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chartsheet+xml" PartName="/xl/chartsheets/sheet2.xml"/>
  <Override ContentType="application/vnd.openxmlformats-officedocument.spreadsheetml.chartsheet+xml" PartName="/xl/chartsheets/sheet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21.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2.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61.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69.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68.xml"/>
  <Override ContentType="application/vnd.openxmlformats-officedocument.drawingml.chart+xml" PartName="/xl/charts/chart51.xml"/>
  <Override ContentType="application/vnd.openxmlformats-officedocument.drawingml.chart+xml" PartName="/xl/charts/chart60.xml"/>
  <Override ContentType="application/vnd.openxmlformats-officedocument.drawingml.chart+xml" PartName="/xl/charts/chart16.xml"/>
  <Override ContentType="application/vnd.openxmlformats-officedocument.drawingml.chart+xml" PartName="/xl/charts/chart59.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63.xml"/>
  <Override ContentType="application/vnd.openxmlformats-officedocument.drawingml.chart+xml" PartName="/xl/charts/chart28.xml"/>
  <Override ContentType="application/vnd.openxmlformats-officedocument.drawingml.chart+xml" PartName="/xl/charts/chart5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62.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6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72.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64.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7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6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66.xml"/>
  <Override ContentType="application/vnd.openxmlformats-officedocument.drawingml.chart+xml" PartName="/xl/charts/chart7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 Do" sheetId="1" r:id="rId3"/>
    <sheet state="visible" name="MANUAL" sheetId="2" r:id="rId4"/>
    <sheet state="visible" name="Inputs" sheetId="3" r:id="rId5"/>
    <sheet state="visible" name="Aggregation" sheetId="4" r:id="rId6"/>
    <sheet state="visible" name="Dashboard" sheetId="5" r:id="rId7"/>
    <sheet state="visible" name="Model" sheetId="6" r:id="rId8"/>
    <sheet state="visible" name="Inflation GDP Population" sheetId="7" r:id="rId9"/>
    <sheet state="visible" name="Assumptions (NG non-electricity" sheetId="8" r:id="rId10"/>
    <sheet state="visible" name="Assumptions (O&amp;G Upstream)" sheetId="9" r:id="rId11"/>
    <sheet state="visible" name="Transportation and Industrial G" sheetId="10" r:id="rId12"/>
    <sheet state="visible" name="Assumptions (T&amp;D)" sheetId="11" r:id="rId13"/>
    <sheet state="visible" name="Assumptions (T&amp;D) old" sheetId="12" r:id="rId14"/>
    <sheet state="visible" name="Assumptions (Oil G&amp;T)" sheetId="13" r:id="rId15"/>
    <sheet state="visible" name="Assumptions (NG Midstream)" sheetId="14" r:id="rId16"/>
    <sheet state="visible" name="Assumptions (Coal)" sheetId="15" r:id="rId17"/>
    <sheet state="visible" name="Assumptions (NG)" sheetId="16" r:id="rId18"/>
    <sheet state="visible" name="Assumptions (Wind)" sheetId="17" r:id="rId19"/>
    <sheet state="visible" name="Assumptions (Solar)" sheetId="18" r:id="rId20"/>
    <sheet state="visible" name="Assumptions (CSP)" sheetId="19" r:id="rId21"/>
    <sheet state="visible" name="Assumptions (Nuclear)" sheetId="20" r:id="rId22"/>
    <sheet state="visible" name="Assumptions (Hydro)" sheetId="21" r:id="rId23"/>
    <sheet state="visible" name="Assumptions (Geo)" sheetId="22" r:id="rId24"/>
    <sheet state="visible" name="Assumptions (MSW)" sheetId="23" r:id="rId25"/>
    <sheet state="visible" name="Assumptions (Biomass)" sheetId="24" r:id="rId26"/>
    <sheet state="visible" name="Assumptions (Petroleum)" sheetId="25" r:id="rId27"/>
    <sheet state="visible" name="Assumptions (Battery)" sheetId="26" r:id="rId28"/>
    <sheet state="visible" name="NG &amp; WE nom price" sheetId="27" r:id="rId29"/>
    <sheet state="visible" name="NG &amp; WE real price" sheetId="28" r:id="rId30"/>
  </sheets>
  <definedNames>
    <definedName localSheetId="11" name="solver_opt">'Assumptions (T&amp;D) old'!$L$56</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21">
      <text>
        <t xml:space="preserve">Not an input from SolveGEN; This inflation factor is applied to all power plant "Assumption" tabs. NOTE: 2.5%/yr inflation is used in NREL ReEDS standard runs and the Annual Technology Baseline.
NOTE: When calculating inflation as change in nominal GDP - change in real GDP, you get 1.99% (using historical annual data for 2001-2018)</t>
      </text>
    </comment>
  </commentList>
</comments>
</file>

<file path=xl/comments2.xml><?xml version="1.0" encoding="utf-8"?>
<comments xmlns:r="http://schemas.openxmlformats.org/officeDocument/2006/relationships" xmlns="http://schemas.openxmlformats.org/spreadsheetml/2006/main">
  <authors>
    <author/>
  </authors>
  <commentList>
    <comment authorId="0" ref="AC1">
      <text>
        <t xml:space="preserve">Gurcan Gulen:
we can do 5-yr increments instead of every yr if desired or computationally necessary.</t>
      </text>
    </comment>
    <comment authorId="0" ref="A23">
      <text>
        <t xml:space="preserve">Zero out this CO2-eq emissions for power plants as it is duplicate information for emissions per the other rows of this sheet.</t>
      </text>
    </comment>
  </commentList>
</comments>
</file>

<file path=xl/comments3.xml><?xml version="1.0" encoding="utf-8"?>
<comments xmlns:r="http://schemas.openxmlformats.org/officeDocument/2006/relationships" xmlns="http://schemas.openxmlformats.org/spreadsheetml/2006/main">
  <authors>
    <author/>
  </authors>
  <commentList>
    <comment authorId="0" ref="X11">
      <text>
        <t xml:space="preserve">This is = 
(TWh generation)*(Heat rate of coal fleet, MMBtu/MWh)*($/MMBtu of coal fuel)/(10^3 as a units conversion to $billions)</t>
      </text>
    </comment>
    <comment authorId="0" ref="A18">
      <text>
        <t xml:space="preserve">The historical data for "New Capacity" are already written into the "Assumptions (Coal")" Tab and transposed here.</t>
      </text>
    </comment>
    <comment authorId="0" ref="A243">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5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6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T672">
      <text>
        <t xml:space="preserve">Gurcan Gulen:
AEO18 for 2017-2019
inc DER</t>
      </text>
    </comment>
    <comment authorId="0" ref="W672">
      <text>
        <t xml:space="preserve">Gurcan Gulen:
AEO18 Ref Case. Includes 3,000 MW of DER.</t>
      </text>
    </comment>
    <comment authorId="0" ref="A890">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11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34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7">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8">
      <text>
        <t xml:space="preserve">For Hydro, for simplicity we assume new plants or retirements so there are never GHG emissions embodied in new installations ...
</t>
      </text>
    </comment>
    <comment authorId="0" ref="A2467">
      <text>
        <t xml:space="preserve">Assume embodied GHG emissions for a petroleum CC power plant is the same as a NGCC power plant.</t>
      </text>
    </comment>
    <comment authorId="0" ref="A2474">
      <text>
        <t xml:space="preserve">Originally programmed as:
= "Storage Dispatch" 
= K2464*'Assumptions (Battery)'!J15*'Assumptions (Battery)'!J16*'Assumptions (Battery)'!J17*'Assumptions (Battery)'!J18/10^6
which is:
=(MW cap)*(duration of storage, hrs)*(% usable energy stored)*(cycles per day)*(operating days/yr)/10^6  ... (to get to units of TWh)</t>
      </text>
    </comment>
    <comment authorId="0" ref="A2475">
      <text>
        <t xml:space="preserve">VOM is assumed = $0.
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THUS: We copy this and assume FOM costs are 2.5% of the total amount of storage capacity that exists (in any given year) times the current installed capacity costs for that year as if all capacity was built in that year.
EXAMPLE: Say in year 2030 there is 1000 MW (power) storage with 10,000 MWh (energy) storage capacity (so 10 hrs of storage) costing $100,000/MW and $150,000/MWh, respectively.  Total capital cost (IF it were all built in the current year = ($100,000/MW*1,000 MW + $150,000/MWh *10,000 MWh) = $1.6 billion  Thus FOM is 2.5% of that value, = $40 million.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t>
      </text>
    </comment>
    <comment authorId="0" ref="A2479">
      <text>
        <t xml:space="preserve">For historical data, assume that new batteries have 4 hours of storage at full power capacity (so a 1 MW power capacity battery has 4 MWh of energy storage capacity).  For future data (2021 to 2050) the energy and power capacities come as inputs into this spreadsheet.</t>
      </text>
    </comment>
    <comment authorId="0" ref="C2695">
      <text>
        <t xml:space="preserve">Carey King:
sum of T maintenance, T operation and Regional Mkt Opex from FERC 1 adjusted to account for the % of T from municipal utilities and coops as follows:
(FERC 1 value) / (1 - % from munis, coops, etc)</t>
      </text>
    </comment>
    <comment authorId="0" ref="C2696">
      <text>
        <t xml:space="preserve">Carey King:
FERC1/(1-other)</t>
      </text>
    </comment>
    <comment authorId="0" ref="C2697">
      <text>
        <t xml:space="preserve">Gurcan Gulen:
FERC1/(1-other)
</t>
      </text>
    </comment>
    <comment authorId="0" ref="A2698">
      <text>
        <t xml:space="preserve">NOTE: The T&amp;D CAPEX and OPEX costs are calculated in the "T&amp;D Assumptions (T&amp;D)" tab in real $2017 due to the regression coefficients we use to calculate future spending. Thus, we need to convert those real $2017 into nominal $ in this cash flow in the "Model" tab.</t>
      </text>
    </comment>
    <comment authorId="0" ref="C2858">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pro-forma adjustment: 1/(1-tax rate)*RR</t>
      </text>
    </comment>
    <comment authorId="0" ref="C2862">
      <text>
        <t xml:space="preserve">Gurcan Gulen:
sum of D maintenance, D operation, Cust Acc Exp, and Cust Serv Exp from FERC 1 adjusted to account for the % of T from municipal utilities and coops as follows:
(FERC 1 value) / (1 - % from munis, coops, etc)</t>
      </text>
    </comment>
    <comment authorId="0" ref="C2863">
      <text>
        <t xml:space="preserve">Gurcan Gulen:
FERC1/
(1-other)</t>
      </text>
    </comment>
    <comment authorId="0" ref="T2863">
      <text>
        <t xml:space="preserve">Gurcan Gulen:
2016 Beg Yr - 2016 Ret + 2016 CAPEX
</t>
      </text>
    </comment>
    <comment authorId="0" ref="C3025">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prof-forma adjustment: 1/(1-tax rate)*RR</t>
      </text>
    </comment>
    <comment authorId="0" ref="A3759">
      <text>
        <t xml:space="preserve">Gurcan Gulen:
net of subsidies.  I suggest tracking this item. Because govts will have to adjust tax policies if they lose major revenues from traditional industries. Example: road tax in lieu of gasoline tax if Evs replace ICEs</t>
      </text>
    </comment>
  </commentList>
</comments>
</file>

<file path=xl/comments4.xml><?xml version="1.0" encoding="utf-8"?>
<comments xmlns:r="http://schemas.openxmlformats.org/officeDocument/2006/relationships" xmlns="http://schemas.openxmlformats.org/spreadsheetml/2006/main">
  <authors>
    <author/>
  </authors>
  <commentList>
    <comment authorId="0" ref="A2">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Q3">
      <text>
        <t xml:space="preserve">Gurcan Gulen:
older prices based on the trendline in NG * WE price chart</t>
      </text>
    </comment>
    <comment authorId="0" ref="A4">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7">
      <text>
        <t xml:space="preserve">Gurcan Gulen:
Based on PJM early 2018 auction for 2020/21</t>
      </text>
    </comment>
    <comment authorId="0" ref="A16">
      <text>
        <t xml:space="preserve">Data from US BEA National Income and Product Accounts (NIPA) Table 1.1.6, downloaded December 3, 2019. 
Last Revised on: November 27, 2019 - Next Release Date December 20, 2019</t>
      </text>
    </comment>
    <comment authorId="0" ref="A17">
      <text>
        <t xml:space="preserve">Data from US BEA, SAGDP2N, Gross Domestic Product by state.
Gross domestic product (GDP) by state: All industry total (Millions of current dollars)
Industry detail is based on the 2012 North American Industry Classification System (NAICS). Calculations are performed on unrounded data.
Last updated: November 7, 2019-- revised statistics for 2014-2018.</t>
      </text>
    </comment>
    <comment authorId="0" ref="A24">
      <text>
        <t xml:space="preserve">Historical state and EIoF regional population data come the
United States Census Bureau (2018). National Population Totals and Components of Change: 2010-2018. Retrieved from: https://www.census.gov/data/tables/time-series/demo/popest/2010s-national-total.html
2000-2010:  Historical US level historical population data come from US Census (downloaded Dec. 3, 2019) from https://www2.census.gov/programs-surveys/popest/datasets/2000-2010/intercensal/national/us-est00int-tot.csv
2010-2018:  Historical US level historical population data come from US Census (downloaded Dec. 3, 2019) from https://www2.census.gov/programs-surveys/popest/datasets/2010-2018/national/totals/nst-est2018-alldata.csv (generally https://www2.census.gov/programs-surveys/popest/datasets/)
Population projections from 2018 to 2050 come from decadal estimates (2020, 2030, 2040), by state, from the Weldon Center State Population projections as downloaded in Spring 2019. The population projections to 2050 were extrapolated from the Weldon Center projections.</t>
      </text>
    </comment>
    <comment authorId="0" ref="A25">
      <text>
        <t xml:space="preserve">2000-2009 data per State population from US Census:
https://www2.census.gov/programs-surveys/popest/tables/2000-2009/state/totals/nst-est2009-01.xls</t>
      </text>
    </comment>
  </commentList>
</comments>
</file>

<file path=xl/comments5.xml><?xml version="1.0" encoding="utf-8"?>
<comments xmlns:r="http://schemas.openxmlformats.org/officeDocument/2006/relationships" xmlns="http://schemas.openxmlformats.org/spreadsheetml/2006/main">
  <authors>
    <author/>
  </authors>
  <commentList>
    <comment authorId="0" ref="A44">
      <text>
        <t xml:space="preserve">LDC = local distribution companies (that sell natural gas)</t>
      </text>
    </comment>
  </commentList>
</comments>
</file>

<file path=xl/comments6.xml><?xml version="1.0" encoding="utf-8"?>
<comments xmlns:r="http://schemas.openxmlformats.org/officeDocument/2006/relationships" xmlns="http://schemas.openxmlformats.org/spreadsheetml/2006/main">
  <authors>
    <author/>
  </authors>
  <commentList>
    <comment authorId="0" ref="B315">
      <text>
        <t xml:space="preserve">From EIA:
http://www.eia.gov/dnav/pet/pet_pri_spt_s1_a.htm as the price in Los Angeles from 2001-2016</t>
      </text>
    </comment>
    <comment authorId="0" ref="B316">
      <text>
        <t xml:space="preserve">Assuming 137,000 Btu/gallon of diesel</t>
      </text>
    </comment>
    <comment authorId="0" ref="B317">
      <text>
        <t xml:space="preserve">2017-2050 values from EIA AEO Reference case, Table 3, as the cost of distillate fuel oil to the Electric Power Sector.</t>
      </text>
    </comment>
    <comment authorId="0" ref="B318">
      <text>
        <t xml:space="preserve">Nominal DFO price using 
1) historical GDP deflator for 2000-2017, and
2) assumed inflation index multiplied to $2018/MMBtu values from EIA AEO</t>
      </text>
    </comment>
    <comment authorId="0" ref="B319">
      <text>
        <t xml:space="preserve">Energy content of oil from EIA MER Appendix on heat content of oil production: 
Table A2 Approximate Heat Content of  Petroleum Production, Imports, and Exports
</t>
      </text>
    </comment>
    <comment authorId="0" ref="X319">
      <text>
        <t xml:space="preserve">Assume heat content of 1 BBL in the future is the same as in 2020.</t>
      </text>
    </comment>
    <comment authorId="0" ref="B320">
      <text>
        <t xml:space="preserve">Energy content of NG from EIA MER Appendix on heat content of "Natural Gas Consumption, Total Heat Content" from table:
Table A4 Approximate Heat Content of Natural Gas</t>
      </text>
    </comment>
    <comment authorId="0" ref="X320">
      <text>
        <t xml:space="preserve">Assume heat content of NG in 2021 and rest of future is same as in 2020.</t>
      </text>
    </comment>
    <comment authorId="0" ref="V350">
      <text>
        <t xml:space="preserve">Gurcan Gulen:
this is just the new federal tax.  NREL uses (based on EIA) 26% to capture state tax, apparently.</t>
      </text>
    </comment>
  </commentList>
</comments>
</file>

<file path=xl/comments7.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A2">
      <text>
        <t xml:space="preserve">EPA Emission Factors for Greenhouse Gas Inventories (updated April 2014), available at: https://www.epa.gov/sites/production/files/2015-07/documents/emission-factors_2014.pdf</t>
      </text>
    </comment>
    <comment authorId="0" ref="D2">
      <text>
        <t xml:space="preserve">EPA Emission Factors for Greenhouse Gas Inventories (updated April 2014), available at: https://www.epa.gov/sites/production/files/2015-07/documents/emission-factors_2014.pdf</t>
      </text>
    </comment>
    <comment authorId="0" ref="A22">
      <text>
        <t xml:space="preserve">From EIA July 1, 2020:
Price
https://www.eia.gov/coal/data/browser/#/topic/23?agg=0,1&amp;geo=vvvvvvvvvvvvo&amp;sec=vs&amp;linechart=~COAL.COST.US-10.A&amp;columnchart=COAL.COST.US-98.A&amp;map=COAL.COST.US-98.A&amp;freq=A&amp;start=2000&amp;end=2018&amp;ctype=linechart&amp;ltype=pin&amp;rtype=s&amp;maptype=0&amp;rse=0&amp;pin=A
Wed Jul 01 2020 17:38:21 GMT-0500 (Central Daylight Time)
Source: U.S. Energy Information Administration
</t>
      </text>
    </comment>
    <comment authorId="0" ref="A23">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4">
      <text>
        <t xml:space="preserve">From EIA July 1, 2020:
Price
https://www.eia.gov/coal/data/browser/#/topic/23?agg=0,1&amp;geo=vvvvvvvvvvvvo&amp;sec=vs&amp;linechart=COAL.COST.US-98.A&amp;columnchart=COAL.COST.US-98.A&amp;map=COAL.COST.US-98.A&amp;freq=A&amp;start=2000&amp;end=2018&amp;ctype=linechart&amp;ltype=pin&amp;rtype=s&amp;maptype=0&amp;rse=0&amp;pin=
Wed Jul 01 2020 17:38:21 GMT-0500 (Central Daylight Time)
Source: U.S. Energy Information Administration
</t>
      </text>
    </comment>
    <comment authorId="0" ref="A25">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6">
      <text>
        <t xml:space="preserve">Future coal price ($ nominal) for industry from EIA AEO2019 reference case.</t>
      </text>
    </comment>
    <comment authorId="0" ref="A27">
      <text>
        <t xml:space="preserve">Future coal price (real $2018) for industry from EIA AEO2019 reference case.</t>
      </text>
    </comment>
    <comment authorId="0" ref="R31">
      <text>
        <t xml:space="preserve">EXAMPLE: 
In 2016 in Texas, there was a ratio of 1.464 quads consumed by LDVs and 1.707 quads of petroleum consumed by non-LDVs.</t>
      </text>
    </comment>
    <comment authorId="0" ref="S31">
      <text>
        <t xml:space="preserve">EXAMPLE: 
In 2016 in Texas, there was a ratio of 1.464 quads consumed by LDVs and 1.707 quads of petroleum consumed by non-LDVs.</t>
      </text>
    </comment>
    <comment authorId="0" ref="A36">
      <text>
        <t xml:space="preserve">For simplicity in estimating CO2 emissions ONLY, we assume LDVs consume motor gasoline and non-LDVs consume diesel (distillate fuel oil No. 2)</t>
      </text>
    </comment>
    <comment authorId="0" ref="A37">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38">
      <text>
        <t xml:space="preserve">Assume same average kg CO2/MMBtu as for the Residential sector.</t>
      </text>
    </comment>
    <comment authorId="0" ref="A40">
      <text>
        <t xml:space="preserve">For simplicity in estimating CO2 emissions ONLY, we assume LDVs consume motor gasoline and non-LDVs consume diesel (distillate fuel oil No. 2)</t>
      </text>
    </comment>
    <comment authorId="0" ref="A41">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42">
      <text>
        <t xml:space="preserve">Assume same average kg CO2/MMBtu as for the Residential sector.</t>
      </text>
    </comment>
  </commentList>
</comments>
</file>

<file path=xl/comments8.xml><?xml version="1.0" encoding="utf-8"?>
<comments xmlns:r="http://schemas.openxmlformats.org/officeDocument/2006/relationships" xmlns="http://schemas.openxmlformats.org/spreadsheetml/2006/main">
  <authors>
    <author/>
  </authors>
  <commentList>
    <comment authorId="0" ref="A3">
      <text>
        <t xml:space="preserve">Carey King:  The peak in 2020 is assumed from the year 2016 hourly profiles that we collected for the year 2016. So peak in 2016-2020 is assumed constant. We linearly interpolate from 2000 to 2015 based on the same % change in TWh from 2000 to 2016.</t>
      </text>
    </comment>
    <comment authorId="0" ref="A8">
      <text>
        <t xml:space="preserve">Carey King: Future projections of customers are not really used in the spreadsheet, but they are calculated assuming the same "customer/population" in the year 2019 holds for all years 2020-2050.</t>
      </text>
    </comment>
    <comment authorId="0" ref="A9">
      <text>
        <t xml:space="preserve">The EIA-861 data only have the number of electricity customers data starting in the year 2007. So we have to estimate some pattern of the% of customers in FERC Form 1 data for years 2000-2006, but this is difficult because the data reported for FERC Form 1 are not consistent from year to year, and often especially for years before 2007 when electricity restructuring was occurring and there are sharp changes in year to year data trends (possibly by mistake or due to changing reporting rules and people not knowing what to enter anymore)</t>
      </text>
    </comment>
    <comment authorId="0" ref="A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A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V26">
      <text>
        <t xml:space="preserve">Gurcan Gulen:
this is just the new federal tax.  NREL uses (based on EIA) 26% to capture state tax, apparently.</t>
      </text>
    </comment>
    <comment authorId="0" ref="A33">
      <text>
        <t xml:space="preserve">Carey King:
Data come from FERC 1, are housed in files such as "TotalTDASpendingUSD_1994-2016_Real2017USD_TX.csv" which are derived withing R code "FERC1_CostAnalysis_PickRegion.R".</t>
      </text>
    </comment>
    <comment authorId="0" ref="A34">
      <text>
        <t xml:space="preserve">Carey King:
Data come from FERC 1, are housed in files such as "TotalTDASpendingUSD_1994-2016_Real2017USD_TX.csv" which are derived withing R code "FERC1_CostAnalysis_PickRegion.R".</t>
      </text>
    </comment>
    <comment authorId="0" ref="A35">
      <text>
        <t xml:space="preserve">Carey King:
Data come from FERC 1, are housed in files such as "TotalTDASpendingUSD_1994-2016_Real2017USD_TX.csv" which are derived withing R code "FERC1_CostAnalysis_PickRegion.R".</t>
      </text>
    </comment>
    <comment authorId="0" ref="A36">
      <text>
        <t xml:space="preserve">Carey King:
Data come from FERC 1, are housed in files such as "TotalTDASpendingUSD_1994-2016_Real2017USD_TX.csv" which are derived withing R code "FERC1_CostAnalysis_PickRegion.R".</t>
      </text>
    </comment>
    <comment authorId="0" ref="A37">
      <text>
        <t xml:space="preserve">Carey King:
Data come from FERC 1, are housed in files such as "TotalTDASpendingUSD_1994-2016_Real2017USD_TX.csv" which are derived withing R code "FERC1_CostAnalysis_PickRegion.R".</t>
      </text>
    </comment>
    <comment authorId="0" ref="A38">
      <text>
        <t xml:space="preserve">Carey King:
Data come from FERC 1, are housed in files such as "TotalTDASpendingUSD_1994-2016_Real2017USD_TX.csv" which are derived withing R code "FERC1_CostAnalysis_PickRegion.R".</t>
      </text>
    </comment>
  </commentList>
</comments>
</file>

<file path=xl/comments9.xml><?xml version="1.0" encoding="utf-8"?>
<comments xmlns:r="http://schemas.openxmlformats.org/officeDocument/2006/relationships" xmlns="http://schemas.openxmlformats.org/spreadsheetml/2006/main">
  <authors>
    <author/>
  </authors>
  <commentList>
    <comment authorId="0" ref="A2">
      <text>
        <t xml:space="preserve">Gurcan Gulen:
Toggle with 2 controls:
1=use FERC1 instead of ERCOT TPIT
1=use NREL 2012 T cost for rens
0=use ERCOT TPIT instead of FERC 1
0=use NERC % for ren-driven T inv
My default is 0.
This doesn't matter if we use T CAPEX from row 15, which is based on residential customers correlation.</t>
      </text>
    </comment>
    <comment authorId="0" ref="S8">
      <text>
        <t xml:space="preserve">Gurcan Gulen:
Trendline from T retirements chart below</t>
      </text>
    </comment>
    <comment authorId="0" ref="A12">
      <text>
        <t xml:space="preserve">Gurcan Gulen:
In a presentation to NARUC in Nov 2018, Brattle replaced FERC 1 ERCOT data for 2010-2017 with ERCOT TPIT reports.</t>
      </text>
    </comment>
    <comment authorId="0" ref="A13">
      <text>
        <t xml:space="preserve">Gurcan Gulen:
2000-2003: See Fig 8 in Appendix of Brattle 2011 report for the Wires Group.
2004-2009: Fig 2 and footnote 1 main body same report.</t>
      </text>
    </comment>
    <comment authorId="0" ref="L13">
      <text>
        <t xml:space="preserve">Gurcan Gulen:
is it safe to assume 32% through 2050? Coops &amp; munis are here to stay. Some pursue 100% renewables, which may mean more T investment. Merchant T can expand, which push this percentage higher if not the total investment value.</t>
      </text>
    </comment>
    <comment authorId="0" ref="L15">
      <text>
        <t xml:space="preserve">Gurcan Gulen:
EEI: $11.1B from IOUs and stand-alone T companies</t>
      </text>
    </comment>
    <comment authorId="0" ref="A17">
      <text>
        <t xml:space="preserve">Gurcan Gulen:
from slide 9 of Brattle 2017 EUCI presentation</t>
      </text>
    </comment>
    <comment authorId="0" ref="S18">
      <text>
        <t xml:space="preserve">Gurcan Gulen:
Based on the exponential fit to the trend of previous 17 years  (chart below)
NOT USED: would lead to extremely high total T inv</t>
      </text>
    </comment>
    <comment authorId="0" ref="A19">
      <text>
        <t xml:space="preserve">Gurcan Gulen:
From NERC Long-Term Reliability Assessment reports. Percentage of new projects (not built, at least not completely, in that year). </t>
      </text>
    </comment>
    <comment authorId="0" ref="P20">
      <text>
        <t xml:space="preserve">Gurcan Gulen:
Historical T investment for renewables based on NERC-reported shares add up to $22B 2009-14 as compared to $15.6B implied by NREL modeling.
But, the RPS goals for 2050 is probably greater than 23% in 2050 implied by the AEO 2018. 30-35% is more likely. Or, NREL T inv estimates are too low.</t>
      </text>
    </comment>
    <comment authorId="0" ref="P21">
      <text>
        <t xml:space="preserve">Gurcan Gulen:
This is attractive because T inv will change with the share of wind &amp; solar in 2050. But, per the comment above, this leads to much lower $ amounts than implied by NERC reporting.</t>
      </text>
    </comment>
    <comment authorId="0" ref="K24">
      <text>
        <t xml:space="preserve">Gurcan Gulen:
alternative IMPLIED T inv other than upgrades &amp; rens (using NERC % for ren share)
This makes sense that according to NERC, 15-20% is econ &amp; congestion &amp; other (could be upgrade), ~50% for reliability (could be this line)</t>
      </text>
    </comment>
    <comment authorId="0" ref="B28">
      <text>
        <t xml:space="preserve">Gurcan Gulen:
Fig ES-3 of NREL (2012)</t>
      </text>
    </comment>
    <comment authorId="0" ref="C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t>
      </text>
    </comment>
    <comment authorId="0" ref="D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Also, NREL (2012) mentions existing MW-miles of transmission, so to get to 90% renewable penetration, you would need about double the existing T lines:
"The ReEDS model assumed 150 million MW-miles of existing inter-BA transmission 
capacity; the 200 million MW-mile figure is estimated from Homeland Security 
Infrastructure Database (2008) and other sources."
</t>
      </text>
    </comment>
    <comment authorId="0" ref="A29">
      <text>
        <t xml:space="preserve">Gurcan Gulen:
The share of hydro and geothermal remain constant across scenarios. NREL assumes the share of biomass to increase from ~1% to ~19%. We don't have biomass. Wind and solar seem to drive T investment. So, we use their % shares. NREL assumes a lot more CSP than PV!</t>
      </text>
    </comment>
    <comment authorId="0" ref="A39">
      <text>
        <t xml:space="preserve">Gurcan Gulen:
All mileage and cost data from ERCOT TPIT files: http://www.ercot.com/content/wcm/key_documents_lists/89026/TPITdocuments_archived__1_.zip </t>
      </text>
    </comment>
    <comment authorId="0" ref="A47">
      <text>
        <t xml:space="preserve">Gurcan Gulen:
Calculated numbers (2000-2007) are based on 2008-2009 for which both cost and mileage data are available. But there can be large variations for each voltage (but apparently more for 138 kV) from year to year. Probably due to location of the line and the nature of refurbishment among other factors. Still, they are within the range of the Table from QTR 2015, which refers to a 2012 EEI report (see below).</t>
      </text>
    </comment>
    <comment authorId="0" ref="T48">
      <text>
        <t xml:space="preserve">Gurcan Gulen:
From October 2018 TPIT. Includes completed and planned.</t>
      </text>
    </comment>
    <comment authorId="0" ref="U48">
      <text>
        <t xml:space="preserve">Gurcan Gulen:
yellow shaded are estimates from October 2018 TPIT</t>
      </text>
    </comment>
    <comment authorId="0" ref="A72">
      <text>
        <t xml:space="preserve">Gurcan Gulen:
FERC 1 CAPEX adds up to $283B 2000-16 in nominal terms (or $346B in $2017 using BLS T&amp;D index - assuming same D inv in 2017 as in 2016, $371).  EEI cites $445B since 2000 in $2017: http://www.eei.org/issuesandpolicy/distribution/Pages/default.aspx
The ratio of FERC1 is about 83%. Observations:
1- EEI data could be just for their members, which makes the difference even more striking
2- 17% left for munis, coops, etc is much less than their share for T used above (32%). These entities are more likely to invest in D than T!
3- According to https://www.electric.coop/electric-cooperative-fact-sheet/, munis and coops account for ~30% of D asset value</t>
      </text>
    </comment>
    <comment authorId="0" ref="M72">
      <text>
        <t xml:space="preserve">Gurcan Gulen:
EEI: $19.1B</t>
      </text>
    </comment>
    <comment authorId="0" ref="R72">
      <text>
        <t xml:space="preserve">Gurcan Gulen:
EEI: $26.9B and &amp;28.8B in 2017 (both nominal)</t>
      </text>
    </comment>
    <comment authorId="0" ref="S72">
      <text>
        <t xml:space="preserve">Gurcan Gulen:
https://www.eia.gov/todayinenergy/detail.php?id=36675</t>
      </text>
    </comment>
    <comment authorId="0" ref="V106">
      <text>
        <t xml:space="preserve">Gurcan Gulen:
this is just the new federal tax.  NREL uses (based on EIA) 26% to capture state tax, apparently.</t>
      </text>
    </comment>
  </commentList>
</comments>
</file>

<file path=xl/comments10.xml><?xml version="1.0" encoding="utf-8"?>
<comments xmlns:r="http://schemas.openxmlformats.org/officeDocument/2006/relationships" xmlns="http://schemas.openxmlformats.org/spreadsheetml/2006/main">
  <authors>
    <author/>
  </authors>
  <commentList>
    <comment authorId="0" ref="V79">
      <text>
        <t xml:space="preserve">Gurcan Gulen:
this is just the new federal tax.  NREL uses (based on EIA) 26% to capture state tax, apparently.</t>
      </text>
    </comment>
  </commentList>
</comments>
</file>

<file path=xl/comments11.xml><?xml version="1.0" encoding="utf-8"?>
<comments xmlns:r="http://schemas.openxmlformats.org/officeDocument/2006/relationships" xmlns="http://schemas.openxmlformats.org/spreadsheetml/2006/main">
  <authors>
    <author/>
  </authors>
  <commentList>
    <comment authorId="0" ref="V78">
      <text>
        <t xml:space="preserve">Gurcan Gulen:
this is just the new federal tax.  NREL uses (based on EIA) 26% to capture state tax, apparently.</t>
      </text>
    </comment>
  </commentList>
</comments>
</file>

<file path=xl/comments12.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V2">
      <text>
        <t xml:space="preserve">Gurcan Gulen:
$/kW for a 30% CCS coal plant from AEO 2018 (assuming that no non-CCS coal plant will be built)</t>
      </text>
    </comment>
    <comment authorId="0" ref="A3">
      <text>
        <t xml:space="preserve">For 2000-2019 since no coal with CCS plants were constructed, we use an assumed constant real cost of a non-CCS coal plant from NREL ATB as listed in 2018 at 4,150 $2018/kW.
For 2020-2050 from NREL Annual Technology Baseline, 2020 for "new" coal with 30% CCS  to comply with New Source Performance Review Standards.
We could later decide to add Coal plants with more or less  of CCS (0% or 90% CCS near maximum likely to be installed).
</t>
      </text>
    </comment>
    <comment authorId="0" ref="A4">
      <text>
        <t xml:space="preserve">Gurcan Gulen:
Cannot be one number for all years. Limits to improvement should be captured. Asymptotic.
Can be a negative number (e.g., coal CAPEX increases if 90% CCS becomes mandatory) </t>
      </text>
    </comment>
    <comment authorId="0" ref="V5">
      <text>
        <t xml:space="preserve">Gurcan Gulen:
For coal, assuming that is all utility-built. These were the shares and rates we used for the FCe dispatch analysis based on Washington State Dept of Rev study.</t>
      </text>
    </comment>
    <comment authorId="0" ref="V12">
      <text>
        <t xml:space="preserve">Gurcan Gulen:
This number represents what was done in 1980. I doubt that this is realistic today for at least 2 reasons:
1- not much, if any, experience w CCS 30%
2- since 1980, a lot of coal EPC capacity has probably been lost. Challenges faced by major EPC firms such as CBI with the Vogtle plant shows that EPC capability is lost with time if the same type of plant is not built regularly.</t>
      </text>
    </comment>
    <comment authorId="0" ref="V14">
      <text>
        <t xml:space="preserve">Gurcan Gulen:
this assumes a uniform distribution, which should be fine for this exercise. But it can be changed.</t>
      </text>
    </comment>
    <comment authorId="0" ref="V18">
      <text>
        <t xml:space="preserve">Gurcan Gulen:
AEO 2018 for 30% CCS</t>
      </text>
    </comment>
    <comment authorId="0" ref="V19">
      <text>
        <t xml:space="preserve">Gurcan Gulen:
AEO 2018 for 30% CCS</t>
      </text>
    </comment>
    <comment authorId="0" ref="V20">
      <text>
        <t xml:space="preserve">Gurcan Gulen:
based on AEO 2018 FOM &amp; VOM</t>
      </text>
    </comment>
    <comment authorId="0" ref="V22">
      <text>
        <t xml:space="preserve">Gurcan Gulen:
AEO 2018 assumptions</t>
      </text>
    </comment>
    <comment authorId="0" ref="AF22">
      <text>
        <t xml:space="preserve">Gurcan Gulen:
AEO 2018 nth-of-a-kind cost. </t>
      </text>
    </comment>
    <comment authorId="0" ref="V27">
      <text>
        <t xml:space="preserve">Gurcan Gulen:
https://www.eia.gov/electricity/annual/html/epa_08_04.html implies about $10.6 O&amp;M in 2016 for steam plants. I started FOM and VOM for a pulverized coal plant from https://www.bv.com/docs/reports-studies/nrel-cost-report.pdf and adjusted them to get to ~$10.6</t>
      </text>
    </comment>
    <comment authorId="0" ref="V29">
      <text>
        <t xml:space="preserve">Gurcan Gulen:
EIA HR fuel price costs file</t>
      </text>
    </comment>
    <comment authorId="0" ref="V31">
      <text>
        <t xml:space="preserve">https://www.eia.gov/tools/faqs/faq.php?id=74&amp;t=11
In 2018 there were 1127 million metric tonnes of CO2 emitted from coal plants that generated 1,124,638 million kWh</t>
      </text>
    </comment>
    <comment authorId="0" ref="V32">
      <text>
        <t xml:space="preserve">https://www.eia.gov/tools/faqs/faq.php?id=74&amp;t=11
</t>
      </text>
    </comment>
    <comment authorId="0" ref="V36">
      <text>
        <t xml:space="preserve">Gurcan Gulen:
this is just the new federal tax.  NREL uses (based on EIA) 26% to capture state tax, apparently.</t>
      </text>
    </comment>
    <comment authorId="0" ref="A37">
      <text>
        <t xml:space="preserve">Gurcan Gulen:
we can refer to 2 FCe subsidy papers. Sticking with tax expenditures may suffice.</t>
      </text>
    </comment>
    <comment authorId="0" ref="V38">
      <text>
        <t xml:space="preserve">Gurcan Gulen:
capacity-weighted average age of coal retirements since 2002. 52 for 2011-17 but 33 so far in 2018, bringing the avg down to 50 again.</t>
      </text>
    </comment>
    <comment authorId="0" ref="V39">
      <text>
        <t xml:space="preserve">Gurcan Gulen:
avg age of retirements in 2011. There were plenty that retired older. The max was 77. But, thoseolder plants are really small w an avg cap of 45 MW.</t>
      </text>
    </comment>
    <comment authorId="0" ref="V40">
      <text>
        <t xml:space="preserve">Gurcan Gulen:
33?</t>
      </text>
    </comment>
    <comment authorId="0" ref="V41">
      <text>
        <t xml:space="preserve">Gurcan Gulen:
capacity-weighted average age of the existing fleet</t>
      </text>
    </comment>
    <comment authorId="0" ref="V42">
      <text>
        <t xml:space="preserve">Gurcan Gulen:
Not currently used.</t>
      </text>
    </comment>
    <comment authorId="0" ref="A43">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46">
      <text>
        <t xml:space="preserve">Gurcan Gulen:
Based on PJM early 2018 auction for 2020/21</t>
      </text>
    </comment>
  </commentList>
</comments>
</file>

<file path=xl/comments13.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A1">
      <text>
        <t xml:space="preserve">Gurcan Gulen:
we can do 5-yr increments instead of every yr if desired or computationally necessary.</t>
      </text>
    </comment>
    <comment authorId="0" ref="V2">
      <text>
        <t xml:space="preserve">Gurcan Gulen:
$/kW for advanced CC and advanced CT from AEO 2018</t>
      </text>
    </comment>
    <comment authorId="0" ref="V3">
      <text>
        <t xml:space="preserve">Gurcan Gulen:
$/kW for advanced CC and advanced CT from AEO 2018</t>
      </text>
    </comment>
    <comment authorId="0" ref="A6">
      <text>
        <t xml:space="preserve">Gurcan Gulen:
Cannot be one number for all years. Limits to improvement should be captured. Asymptotic.
Can be a negative number (e.g., coal CAPEX increases if 90% CCS becomes mandatory) </t>
      </text>
    </comment>
    <comment authorId="0" ref="V7">
      <text>
        <t xml:space="preserve">Gurcan Gulen:
For NG, assuming that is all merchant-built. These were the shares and rates we used for the FCe dispatch analysis based on Washington State Dept of Rev study.</t>
      </text>
    </comment>
    <comment authorId="0" ref="A14">
      <text>
        <t xml:space="preserve">Gurcan Gulen:
This is necessary to represent the limits of the EPC capabilities. </t>
      </text>
    </comment>
    <comment authorId="0" ref="V16">
      <text>
        <t xml:space="preserve">Gurcan Gulen:
this assumes a uniform distribution, which should be fine for this exercise. But it can be changed.</t>
      </text>
    </comment>
    <comment authorId="0" ref="V25">
      <text>
        <t xml:space="preserve">Gurcan Gulen:
AEO 2018 for Adv CC</t>
      </text>
    </comment>
    <comment authorId="0" ref="V26">
      <text>
        <t xml:space="preserve">Gurcan Gulen:
AEO 2018 for Adv CC</t>
      </text>
    </comment>
    <comment authorId="0" ref="V27">
      <text>
        <t xml:space="preserve">Gurcan Gulen:
based on AEO 2018 FOM &amp; VOM</t>
      </text>
    </comment>
    <comment authorId="0" ref="V30">
      <text>
        <t xml:space="preserve">Gurcan Gulen:
based on AEO 2018 FOM &amp; VOM</t>
      </text>
    </comment>
    <comment authorId="0" ref="V37">
      <text>
        <t xml:space="preserve">https://www.eia.gov/tools/faqs/faq.php?id=74&amp;t=11
2018 data from EIA stating that 523 million metric tonnes of CO2 were emitted from NG power plants generating 1,246,847 million kWh of net electricity.</t>
      </text>
    </comment>
    <comment authorId="0" ref="V38">
      <text>
        <t xml:space="preserve">EIA Form 923 data indicates that in 2018 the electric power sector consumed 4,662,649 (from independent power producers) and 5,551,181 (from electric utilities)  million cubic feet of NG for power generation.
Thus, we can estimate 10,213,830 million CF of gas were associated with  523 million metric tonnes of CO2 such that there is on average (523 million tonnes CO2)/(10,213,830 million CF) = 0.0000512 tCO2/CF of NG</t>
      </text>
    </comment>
    <comment authorId="0" ref="A42">
      <text>
        <t xml:space="preserve">Gurcan Gulen:
we can refer to 2 FCe subsidy papers. Sticking with tax expenditures may suffice.</t>
      </text>
    </comment>
    <comment authorId="0" ref="V43">
      <text>
        <t xml:space="preserve">Gurcan Gulen:
capacity-weighted avg of retirements</t>
      </text>
    </comment>
    <comment authorId="0" ref="V44">
      <text>
        <t xml:space="preserve">Gurcan Gulen:
max of cap-weighted avg (2014)</t>
      </text>
    </comment>
    <comment authorId="0" ref="V45">
      <text>
        <t xml:space="preserve">Gurcan Gulen:
min of cap-weighted (2006)</t>
      </text>
    </comment>
    <comment authorId="0" ref="V46">
      <text>
        <t xml:space="preserve">Gurcan Gulen:
cap-weighted avg age of operatng fleet</t>
      </text>
    </comment>
    <comment authorId="0" ref="V47">
      <text>
        <t xml:space="preserve">Gurcan Gulen:
capacity-weighted avg of retirements</t>
      </text>
    </comment>
    <comment authorId="0" ref="V48">
      <text>
        <t xml:space="preserve">Gurcan Gulen:
max of cap-weighted avg (2014)</t>
      </text>
    </comment>
    <comment authorId="0" ref="V49">
      <text>
        <t xml:space="preserve">Gurcan Gulen:
min of cap-weighted (2006)</t>
      </text>
    </comment>
    <comment authorId="0" ref="V50">
      <text>
        <t xml:space="preserve">Gurcan Gulen:
cap-weighted avg age of operatng fleet</t>
      </text>
    </comment>
    <comment authorId="0" ref="V55">
      <text>
        <t xml:space="preserve">Gurcan Gulen:
Based on PJM early 2018 auction for 2020/21</t>
      </text>
    </comment>
    <comment authorId="0" ref="T58">
      <text>
        <t xml:space="preserve">Gurcan Gulen:
from https://www.eia.gov/dnav/ng/hist/n3045us3M.htm (2018 is avg through August + $0.25 given the high NG prices since Oct)</t>
      </text>
    </comment>
  </commentList>
</comments>
</file>

<file path=xl/comments14.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1,657 $/kW  from AEO 2018
Carey King:
NREL 2019 Annual Technology Baseline states 1,610 $2017/kW in the year 2017 and 1,528 $2017/kW in 2020</t>
      </text>
    </comment>
    <comment authorId="0" ref="A4">
      <text>
        <t xml:space="preserve">Values for 2000-2018 are from DOE Annual Wind Technology Market report 2019, data for Figure 46.  Values for 2019-2050 are from "Moderate" case of the NREL Annual Technology Baseline 2020 version.</t>
      </text>
    </comment>
    <comment authorId="0" ref="A5">
      <text>
        <t xml:space="preserve">Values for 2019-2050 are from "Moderate" case of the NREL Annual Technology Baseline 2020 version.</t>
      </text>
    </comment>
    <comment authorId="0" ref="A6">
      <text>
        <t xml:space="preserve">Gurcan Gulen:
Cannot be one number for all years. Limits to improvement should be captured. Asymptotic.
Can be a negative number (e.g., coal CAPEX increases if 90% CCS becomes mandatory) </t>
      </text>
    </comment>
    <comment authorId="0" ref="A17">
      <text>
        <t xml:space="preserve">Gurcan Gulen:
NREL uses 3 years for both but annual distirbutions are different: 80-10-10 for onshore, 40-40-20 for offshore. May be reasonable to use 2 yrs for onshore, 3 yrs for offshore.</t>
      </text>
    </comment>
    <comment authorId="0" ref="V19">
      <text>
        <t xml:space="preserve">Gurcan Gulen:
this assumes a uniform distribution, which should be fine for this exercise. But it can be changed.</t>
      </text>
    </comment>
    <comment authorId="0" ref="A24">
      <text>
        <t xml:space="preserve">Values for 2000-2018 are assumed at the same real value for the year 2018, and values for 2018-2050 are from "Moderate" case of the NREL Annual Technology Baseline 2020 version.</t>
      </text>
    </comment>
    <comment authorId="0" ref="V25">
      <text>
        <t xml:space="preserve">Gurcan Gulen:
AEO 2018 for Adv CC</t>
      </text>
    </comment>
    <comment authorId="0" ref="A29">
      <text>
        <t xml:space="preserve">Gurcan Gulen:
we can refer to 2 FCe subsidy papers. Sticking with tax expenditures may suffice.</t>
      </text>
    </comment>
    <comment authorId="0" ref="W29">
      <text>
        <t xml:space="preserve">Gurcan Gulen:
Assuming PTC expires, these should only apply to generation from wind farms built before 2020.</t>
      </text>
    </comment>
    <comment authorId="0" ref="V30">
      <text>
        <t xml:space="preserve">Gurcan Gulen:
capacity-weighted avg of retirements</t>
      </text>
    </comment>
    <comment authorId="0" ref="V31">
      <text>
        <t xml:space="preserve">Gurcan Gulen:
max of cap-weighted avg (2014)</t>
      </text>
    </comment>
    <comment authorId="0" ref="V32">
      <text>
        <t xml:space="preserve">Gurcan Gulen:
min of cap-weighted (2006)</t>
      </text>
    </comment>
    <comment authorId="0" ref="V33">
      <text>
        <t xml:space="preserve">Gurcan Gulen:
cap-weighted avg age of operatng fleet</t>
      </text>
    </comment>
    <comment authorId="0" ref="V38">
      <text>
        <t xml:space="preserve">Gurcan Gulen:
Based on PJM early 2018 auction for 2020/21</t>
      </text>
    </comment>
    <comment authorId="0" ref="A41">
      <text>
        <t xml:space="preserve">Carey King:
Data on historical Wind costs from DOE-EERE 2018 Wind Technologies Market Report.</t>
      </text>
    </comment>
  </commentList>
</comments>
</file>

<file path=xl/comments15.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$/kW for utility-scale PV w tracking AEO 2018</t>
      </text>
    </comment>
    <comment authorId="0" ref="A3">
      <text>
        <t xml:space="preserve">2000-2018 Data are from 2019 Tracking The Sun report for residential installs, median price, from Figure 13.</t>
      </text>
    </comment>
    <comment authorId="0" ref="A4">
      <text>
        <t xml:space="preserve">Values for 2009-2017 are historical data from LBNL report "Utility Scale Solar: Empirical Trends in Project Technology, Cost, Performance, and PPA Pricing in the United States –2019 Edition", Figure 8.
Values from 2000-2008 are assumed same as in 2009
Values for 2018-2050 are from "Moderate" case of the NREL Annual Technology Baseline 2020 version.</t>
      </text>
    </comment>
    <comment authorId="0" ref="A5">
      <text>
        <t xml:space="preserve">Values for 2019-2050 are from "Moderate" case of the NREL Annual Technology Baseline 2020 version for "Residential" PV installations.</t>
      </text>
    </comment>
    <comment authorId="0" ref="A6">
      <text>
        <t xml:space="preserve">Gurcan Gulen:
Cannot be one number for all years. Limits to improvement should be captured. Asymptotic.
Can be a negative number (e.g., coal CAPEX increases if 90% CCS becomes mandatory) </t>
      </text>
    </comment>
    <comment authorId="0" ref="V15">
      <text>
        <t xml:space="preserve">Gurcan Gulen:
since we include DER PV, I more than doubled the max utility build-out per year of 8,000 MW.</t>
      </text>
    </comment>
    <comment authorId="0" ref="V19">
      <text>
        <t xml:space="preserve">Gurcan Gulen:
this assumes a uniform distribution, which should be fine for this exercise. But it can be changed.</t>
      </text>
    </comment>
    <comment authorId="0" ref="V20">
      <text>
        <t xml:space="preserve">Gurcan Gulen:
AEO 2018 Ref Case capacity shares
NOTE: As a simplification, the EIoF Tool assumes that all future Solar PV is utility scale PV.</t>
      </text>
    </comment>
    <comment authorId="0" ref="V22">
      <text>
        <t xml:space="preserve">Gurcan Gulen:
AEO 2018 Ref Case generation</t>
      </text>
    </comment>
    <comment authorId="0" ref="V24">
      <text>
        <t xml:space="preserve">Gurcan Gulen:
AEO 2018 Ref Case generation</t>
      </text>
    </comment>
    <comment authorId="0" ref="A34">
      <text>
        <t xml:space="preserve">Gurcan Gulen:
we can refer to 2 FCe subsidy papers. Sticking with tax expenditures may suffice.</t>
      </text>
    </comment>
    <comment authorId="0" ref="W34">
      <text>
        <t xml:space="preserve">Gurcan Gulen:
Assuming ITC is reduced to 10% from 30% after 2022, these levels should apply to capacity built between 2016-22 and another level should be used for future capacities.</t>
      </text>
    </comment>
    <comment authorId="0" ref="V35">
      <text>
        <t xml:space="preserve">Gurcan Gulen:
capacity-weighted avg of retirements</t>
      </text>
    </comment>
    <comment authorId="0" ref="V36">
      <text>
        <t xml:space="preserve">Gurcan Gulen:
max of cap-weighted avg (2014)</t>
      </text>
    </comment>
    <comment authorId="0" ref="V37">
      <text>
        <t xml:space="preserve">Gurcan Gulen:
min of cap-weighted (2006)</t>
      </text>
    </comment>
    <comment authorId="0" ref="V38">
      <text>
        <t xml:space="preserve">Gurcan Gulen:
cap-weighted avg age of operatng fleet</t>
      </text>
    </comment>
    <comment authorId="0" ref="V42">
      <text>
        <t xml:space="preserve">Gurcan Gulen:
all DER PV lifetimes are guesstimates.</t>
      </text>
    </comment>
    <comment authorId="0" ref="V47">
      <text>
        <t xml:space="preserve">Gurcan Gulen:
Based on PJM early 2018 auction for 2020/21</t>
      </text>
    </comment>
  </commentList>
</comments>
</file>

<file path=xl/comments16.xml><?xml version="1.0" encoding="utf-8"?>
<comments xmlns:r="http://schemas.openxmlformats.org/officeDocument/2006/relationships" xmlns="http://schemas.openxmlformats.org/spreadsheetml/2006/main">
  <authors>
    <author/>
  </authors>
  <commentList>
    <comment authorId="0" ref="A4">
      <text>
        <t xml:space="preserve">Values for 2019-2050 are from "Moderate" case of the NREL Annual Technology Baseline 2020 version EXCEPT, for the following since we are modeling dispatch of CSP without thermal energy storage:
1) we remove the cost of the storage;
2) we change the solar multiple from 2.4 to 1.0 (and thus capital cost of building the mirror array decrease by over half)
FOR EXAMPLE: The NREL ATB 2020 reports a CAPEX value for CSP with 10 hours of storage and a solar multiple of 2.4 in year 2020 projected as 6,823 $2018/kW, but when you remove storage costs and change solar multiple to 1.0, the cost is 3,656 $2018/kW.</t>
      </text>
    </comment>
    <comment authorId="0" ref="V15">
      <text>
        <t xml:space="preserve">Gurcan Gulen:
adjusted to match 2020 coal gen from AEO 2018.  Coal CF fluctuated between 52% in 2018 and 64% in 2011. 
https://www.eia.gov/electricity/monthly/epm_table_grapher.php?t=epmt_6_07_a </t>
      </text>
    </comment>
    <comment authorId="0" ref="A20">
      <text>
        <t xml:space="preserve">For 2018-2050: From "Moderate" case of the NREL Annual Technology Baseline, 2020 update.
For 2000-2017 (and simpicity): We assume same constant real $2018 cost each year.</t>
      </text>
    </comment>
    <comment authorId="0" ref="A21">
      <text>
        <t xml:space="preserve">For 2018-2050: From "Moderate" case of the NREL Annual Technology Baseline, 2020 update.
For 2000-2017 (and simpicity): We assume same constant real $2018 cost each year.</t>
      </text>
    </comment>
    <comment authorId="0" ref="A26">
      <text>
        <t xml:space="preserve">This is needed in model tab for gov tax, solar doesn't have a value for this either </t>
      </text>
    </comment>
    <comment authorId="0" ref="V27">
      <text>
        <t xml:space="preserve">https://pdfs.semanticscholar.org/af9d/31f5147b5abb43c5c417340ad8690d2645f1.pdf</t>
      </text>
    </comment>
    <comment authorId="0" ref="V35">
      <text>
        <t xml:space="preserve">Gurcan Gulen:
Based on PJM early 2018 auction for 2020/21</t>
      </text>
    </comment>
  </commentList>
</comments>
</file>

<file path=xl/comments17.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A4">
      <text>
        <t xml:space="preserve">Installed CAPEX from NREL Annual Technology Baseline 2020.</t>
      </text>
    </comment>
    <comment authorId="0" ref="V14">
      <text>
        <t xml:space="preserve">Gurcan Gulen:
this assumes a uniform distribution, which should be fine for this exercise. But it can be changed.</t>
      </text>
    </comment>
    <comment authorId="0" ref="V18">
      <text>
        <t xml:space="preserve">Data from: ???
NOTE: The NREL Annual Technology Baseline 2020 assumes an FOM at a  constant value of 119 $2018/kW-yr for 2020 to 2050.</t>
      </text>
    </comment>
    <comment authorId="0" ref="A20">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S20">
      <text>
        <t xml:space="preserve">Gurcan Gulen:
red values for 2017 are from p 3 Table (real $2017) of NEI nuclear costs in context Oct 2018 rpt</t>
      </text>
    </comment>
    <comment authorId="0" ref="V21">
      <text>
        <t xml:space="preserve">Gurcan Gulen:
calculated based on p3 Table of the NEI report on nuclear costs (Oct 10) real 2017$</t>
      </text>
    </comment>
    <comment authorId="0" ref="S22">
      <text>
        <t xml:space="preserve">From NEI (2018) report:
NUCLEAR COSTS IN CONTEXT
October 2018</t>
      </text>
    </comment>
    <comment authorId="0" ref="V23">
      <text>
        <t xml:space="preserve">Gurcan Gulen:
calculated based on p3 Table of the NEI report on nuclear costs (Oct 10) real 2017$</t>
      </text>
    </comment>
    <comment authorId="0" ref="AB23">
      <text>
        <t xml:space="preserve">Gurcan Gulen:
4.28% probably unique to 2010s.  By 2025, license expirations will likely reduce the incentive to manage costs. Also, there is probably a limit to how much more they can improve. So, I set it euqal to BLS PPI starting 2026.</t>
      </text>
    </comment>
    <comment authorId="0" ref="V24">
      <text>
        <t xml:space="preserve">Gurcan Gulen:
AEO 2018 assumptions assume a decline in Heat Rate from 10.46 MMBtu/MWh in 2020 to 9.2 MMBtu/MWh in 2030.
Carey King: NREL Annual Technology Baseline just assumes 10.46 mMBtu/MWh heat rate for all years 2020-2050, and given the lack of new build in "conventional" nuclear, this is probably a better assumption.</t>
      </text>
    </comment>
    <comment authorId="0" ref="AF24">
      <text>
        <t xml:space="preserve">Gurcan Gulen:
AEO 2018 nth-of-a-kind plant shows 9.2 MMBtu/MWh heat rate in year 2030.</t>
      </text>
    </comment>
    <comment authorId="0" ref="V26">
      <text>
        <t xml:space="preserve">Gurcan Gulen:
calculated based on p3 Table of the NEI report on nuclear costs (Oct 10) real 2017$</t>
      </text>
    </comment>
    <comment authorId="0" ref="V29">
      <text>
        <t xml:space="preserve">Gurcan Gulen:
this is just the new federal tax.  NREL uses (based on EIA) 26% to capture state tax, apparently.</t>
      </text>
    </comment>
    <comment authorId="0" ref="A30">
      <text>
        <t xml:space="preserve">Gurcan Gulen:
we can refer to 2 FCe subsidy papers. Sticking with tax expenditures may suffice.</t>
      </text>
    </comment>
    <comment authorId="0" ref="V31">
      <text>
        <t xml:space="preserve">Gurcan Gulen:
capacity-weighted average age of nuke retirements in recent yrs</t>
      </text>
    </comment>
    <comment authorId="0" ref="V32">
      <text>
        <t xml:space="preserve">Gurcan Gulen:
most plants have 60-year licenses; almost all 40-yr licensees either applied or expected to apply for an extension. But, rcent retirements averaged 43 yrs.</t>
      </text>
    </comment>
    <comment authorId="0" ref="V33">
      <text>
        <t xml:space="preserve">Gurcan Gulen:
33?</t>
      </text>
    </comment>
    <comment authorId="0" ref="V34">
      <text>
        <t xml:space="preserve">Gurcan Gulen:
capacity-weighted average age of the existing fleet</t>
      </text>
    </comment>
    <comment authorId="0" ref="A36">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9">
      <text>
        <t xml:space="preserve">Gurcan Gulen:
Based on PJM early 2018 auction for 2020/21</t>
      </text>
    </comment>
    <comment authorId="0" ref="A43">
      <text>
        <t xml:space="preserve">For 2000-2018, uses BLS PPI for power. 
For 2019-2050, uses assumed future general inflation of the economy.</t>
      </text>
    </comment>
    <comment authorId="0" ref="A46">
      <text>
        <t xml:space="preserve">Gurcan Gulen:
2000 MW will retire in 2021 and anothr 2200 in 2025.  Using 60 yrs as criteria, they don't retire until later.</t>
      </text>
    </comment>
  </commentList>
</comments>
</file>

<file path=xl/comments18.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adjusted to match 2020 coal gen from AEO 2018.  Coal CF fluctuated between 52% in 2018 and 64% in 2011. 
https://www.eia.gov/electricity/monthly/epm_table_grapher.php?t=epmt_6_07_a </t>
      </text>
    </comment>
    <comment authorId="0" ref="V17">
      <text>
        <t xml:space="preserve">The Electricity Market Module of the National Energy Modeling System: Model Documentation 2018, DOE/EIA-M068 states 40.05 $2017/kW-yr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lowest two FOM is 33 and $2018/kW-yr with no real cost declines from 2018-2050 (no change in cost).
</t>
      </text>
    </comment>
    <comment authorId="0" ref="V18">
      <text>
        <t xml:space="preserve">The Electricity Market Module of the National Energy Modeling System: Model Documentation 2018, DOE/EIA-M068 states 1.33 $2017/MWh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ATB lists 0 $2018/MWh for VOM from 2018-2050.</t>
      </text>
    </comment>
    <comment authorId="0" ref="A19">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V19">
      <text>
        <t xml:space="preserve">Gurcan Gulen:
based on AEO 2018 FOM &amp; VOM</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V33">
      <text>
        <t xml:space="preserve">Gurcan Gulen:
assuming  pumped hydro does NOT get capacity credit. Otherwise, ~39% is more reasonable.</t>
      </text>
    </comment>
    <comment authorId="0" ref="A36">
      <text>
        <t xml:space="preserve">For simplicity, we assume no hydro retires.</t>
      </text>
    </comment>
  </commentList>
</comments>
</file>

<file path=xl/comments19.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Based on NREL ReEDS data for geothermal supply and capital cost curves for each region.</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geothermal utilization rate was 77%.  But AEO 2018 allows for 89% utilization in future years, which is used in Max next cell down.</t>
      </text>
    </comment>
    <comment authorId="0" ref="A20">
      <text>
        <t xml:space="preserve">NREL Annual Technology Baseline 2020 assumes $0/MWh in VOM for geothermal.</t>
      </text>
    </comment>
    <comment authorId="0" ref="V25">
      <text>
        <t xml:space="preserve">Gurcan Gulen:
this is just the new federal tax.  NREL uses (based on EIA) 26% to capture state tax, apparently.</t>
      </text>
    </comment>
    <comment authorId="0" ref="A26">
      <text>
        <t xml:space="preserve">Gurcan Gulen:
we can refer to 2 FCe subsidy papers. Sticking with tax expenditures may suffice.</t>
      </text>
    </comment>
    <comment authorId="0" ref="V30">
      <text>
        <t xml:space="preserve">Gurcan Gulen:
capacity-weighted average age of the existing fleet</t>
      </text>
    </comment>
    <comment authorId="0" ref="A32">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5">
      <text>
        <t xml:space="preserve">Gurcan Gulen:
Based on PJM early 2018 auction for 2020/21</t>
      </text>
    </comment>
    <comment authorId="0" ref="A39">
      <text>
        <t xml:space="preserve">Gurcan Gulen:
2000 MW will retire in 2021 and anothr 2200 in 2025.  Using 60 yrs as criteria, they don't retire until later.</t>
      </text>
    </comment>
  </commentList>
</comments>
</file>

<file path=xl/comments20.xml><?xml version="1.0" encoding="utf-8"?>
<comments xmlns:r="http://schemas.openxmlformats.org/officeDocument/2006/relationships" xmlns="http://schemas.openxmlformats.org/spreadsheetml/2006/main">
  <authors>
    <author/>
  </authors>
  <commentLis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from AEO 2018: average of 2016-2020. But AEO 2018 allows for 73% utilization in future years, which is used in Max next cell down.</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A36">
      <text>
        <t xml:space="preserve">Gurcan Gulen:
2000 MW will retire in 2021 and anothr 2200 in 2025.  Using 60 yrs as criteria, they don't retire until later.</t>
      </text>
    </comment>
  </commentList>
</comments>
</file>

<file path=xl/comments21.xml><?xml version="1.0" encoding="utf-8"?>
<comments xmlns:r="http://schemas.openxmlformats.org/officeDocument/2006/relationships" xmlns="http://schemas.openxmlformats.org/spreadsheetml/2006/main">
  <authors>
    <author/>
  </authors>
  <commentList>
    <comment authorId="0" ref="A3">
      <text>
        <t xml:space="preserve">These costs from NREL ATB 2020 are for the "Moderate" cost of a "Dedicated" biomass facility (not a coal-fired facility that co-fires with biomass).</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But AEO 2018 allows for 73% utilization in future years, which is used in Max next cell down.</t>
      </text>
    </comment>
    <comment authorId="0" ref="A22">
      <text>
        <t xml:space="preserve">Heat rates from AEO 2019 reference case calculated as fuel consumption (Btu) divided by net generation (kWh) from biomass and municipal solid waste.</t>
      </text>
    </comment>
    <comment authorId="0" ref="A23">
      <text>
        <t xml:space="preserve">Need to separately factor in the cost of biomass fuel as a function of how much is consumed, not just a factor that varies over time, by using the data in the NREL ReEDS model from the DOE Billion Ton Study (2011).</t>
      </text>
    </comment>
    <comment authorId="0" ref="A24">
      <text>
        <t xml:space="preserve">NOTE: NREL ReEDS model assumes some annual cost escalators for biomass fuel that are specific to each of its 134 Balancing Areas. We could choose to assume some increase in real biomass fuel price.</t>
      </text>
    </comment>
    <comment authorId="0" ref="A25">
      <text>
        <t xml:space="preserve">Here we input (from the "Inputs" tab) the cost of biomass fuel as a function of how much is consumed, by using the data in the NREL ReEDS model from the DOE Billion Ton Study (2011).  This 2050 input value DOES NOT assume any price escalation over time (e.g., from the year of the price data in 2012 from NREL to the year 2050 in this worksheet).  </t>
      </text>
    </comment>
    <comment authorId="0" ref="V25">
      <text>
        <t xml:space="preserve">We assume 3 $2017/MMBtu for an average fuel price for all EIoF regions for 2020.  NREL ATB 2020 assumes 3 $2018/MMBtu as the average price of fuel for its biomass power plant scenario.</t>
      </text>
    </comment>
    <comment authorId="0" ref="V28">
      <text>
        <t xml:space="preserve">Gurcan Gulen:
this is just the new federal tax.  NREL uses (based on EIA) 26% to capture state tax, apparently.</t>
      </text>
    </comment>
    <comment authorId="0" ref="A29">
      <text>
        <t xml:space="preserve">Gurcan Gulen:
we can refer to 2 FCe subsidy papers. Sticking with tax expenditures may suffice.</t>
      </text>
    </comment>
    <comment authorId="0" ref="V33">
      <text>
        <t xml:space="preserve">Gurcan Gulen:
capacity-weighted average age of the existing fleet</t>
      </text>
    </comment>
    <comment authorId="0" ref="A35">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8">
      <text>
        <t xml:space="preserve">Gurcan Gulen:
Based on PJM early 2018 auction for 2020/21</t>
      </text>
    </comment>
    <comment authorId="0" ref="A42">
      <text>
        <t xml:space="preserve">Gurcan Gulen:
2000 MW will retire in 2021 and anothr 2200 in 2025.  Using 60 yrs as criteria, they don't retire until later.</t>
      </text>
    </comment>
  </commentList>
</comments>
</file>

<file path=xl/comments22.xml><?xml version="1.0" encoding="utf-8"?>
<comments xmlns:r="http://schemas.openxmlformats.org/officeDocument/2006/relationships" xmlns="http://schemas.openxmlformats.org/spreadsheetml/2006/main">
  <authors>
    <author/>
  </authors>
  <commentList>
    <comment authorId="0" ref="V2">
      <text>
        <t xml:space="preserve">Cost listed here from AEO2018 (NEMS Electricity Market Module) for "Conv Gas/Oil Combined Cycle (CC)" at 982 $kW.
The Electricity Market Module of the National Energy Modeling System: Model Documentation 2018, DOE/EIA-M068.</t>
      </text>
    </comment>
    <comment authorId="0" ref="V13">
      <text>
        <t xml:space="preserve">Gurcan Gulen:
this assumes a uniform distribution, which should be fine for this exercise. But it can be changed.</t>
      </text>
    </comment>
    <comment authorId="0" ref="A21">
      <text>
        <t xml:space="preserve">Heat Rates can be calculated from EIA AEO 2019 Reference case for years 2017 (at 10.6 MMBtu/MWh) and 2050 (at 12.53 MMBtu/MWh) and linearly interpolated for intervening years. 
Here was have assumed have the same value as listed for 2017 in the EIA AEO 2019 reference case.</t>
      </text>
    </comment>
    <comment authorId="0" ref="V23">
      <text>
        <t xml:space="preserve">https://www.eia.gov/tools/faqs/faq.php?id=74&amp;t=11 indicates that in 2018 the electric power industry, in its consumption of petroleum for power generation, emitted 21 million metric tons of CO2 with  21,860 million kWh</t>
      </text>
    </comment>
    <comment authorId="0" ref="V24">
      <text>
        <t xml:space="preserve">Gurcan Gulen:
this is just the new federal tax.  NREL uses (based on EIA) 26% to capture state tax, apparently.</t>
      </text>
    </comment>
    <comment authorId="0" ref="A25">
      <text>
        <t xml:space="preserve">Gurcan Gulen:
we can refer to 2 FCe subsidy papers. Sticking with tax expenditures may suffice.</t>
      </text>
    </comment>
    <comment authorId="0" ref="V29">
      <text>
        <t xml:space="preserve">Gurcan Gulen:
capacity-weighted average age of the existing fleet</t>
      </text>
    </comment>
    <comment authorId="0" ref="A31">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4">
      <text>
        <t xml:space="preserve">Gurcan Gulen:
Based on PJM early 2018 auction for 2020/21</t>
      </text>
    </comment>
    <comment authorId="0" ref="A38">
      <text>
        <t xml:space="preserve">Gurcan Gulen:
2000 MW will retire in 2021 and anothr 2200 in 2025.  Using 60 yrs as criteria, they don't retire until later.</t>
      </text>
    </comment>
  </commentList>
</comments>
</file>

<file path=xl/comments23.xml><?xml version="1.0" encoding="utf-8"?>
<comments xmlns:r="http://schemas.openxmlformats.org/officeDocument/2006/relationships" xmlns="http://schemas.openxmlformats.org/spreadsheetml/2006/main">
  <authors>
    <author/>
  </authors>
  <commentList>
    <comment authorId="0" ref="A3">
      <text>
        <t xml:space="preserve">For capital costs we assume Lazard (2019) v5.0 Levelized Cost of Storage report and a system with 4X MWh energy storage relative to MW power capacity, so for example a 100 MW power capacity and 400 MWh energy storage capacity.
So INHERENTLY here we have:
$/MW = 4 x $/MWh.</t>
      </text>
    </comment>
    <comment authorId="0" ref="A4">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t>
      </text>
    </comment>
    <comment authorId="0" ref="A5">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
Costs here separate out an energy (MWh) and a power (MW) capital cost for batteries such that you can calculate each and add them together based on hours of storage.
So here we list costs assuming 1 hour of storage, so much multiply hours of storage (hours if discharging at installed capacity) to get installed hours needed and thus capital cost to add for energy storage.</t>
      </text>
    </comment>
    <comment authorId="0" ref="A6">
      <text>
        <t xml:space="preserve">Gurcan Gulen:
Cannot be one number for all years. Limits to improvement should be captured. Asymptotic.
Can be a negative number (e.g., coal CAPEX increases if 90% CCS becomes mandatory) </t>
      </text>
    </comment>
    <comment authorId="0" ref="A22">
      <text>
        <t xml:space="preserve">Used data from NREL (2019) Study on battery costs, 
"Cost Projections for Utility-Scale
Battery Storage", Technical Report
NREL/TP-6A20-73222, June 2019. 
VOM costs are assumed $0/MWh.</t>
      </text>
    </comment>
    <comment authorId="0" ref="A23">
      <text>
        <t xml:space="preserve">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A27">
      <text>
        <t xml:space="preserve">Assumed as 95% one way efficiency in the "solveGEN.R" code that determines the capacity quantity of storage to use (TWh and MW).
Actually NREL ReEDS model assumes 85% round trip charging efficiency for Li-ion batteries (referencing a Lazard (2017) study)</t>
      </text>
    </comment>
    <comment authorId="0" ref="A28">
      <text>
        <t xml:space="preserve">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V31">
      <text>
        <t xml:space="preserve">https://www.researchgate.net/publication/316254101_GHG_Emissions_from_the_production_of_lithium-ion_batteries_for_electric_vehicles_in_China
"With the mass market penetration of electric vehicles, the Greenhouse Gas (GHG) emissions associated with lithium-ion battery production has become a major concern. In this study, by establishing a life cycle assessment framework, GHG emissions from the production of lithium-ion batteries in China are estimated. The results show that for the three types of most commonly used lithium-ion batteries, the (LFP) battery, the (NMC) battery and the (LMO) battery, the GHG emissions from the production of a 28 kWh battery are 3061 kgCO2-eq, 2912 kgCO2-eq and 2705 kgCO2-eq, respectively."
Thus, 2912 kgCO2-eq / 28 kWh storage capacity = 104,000 g CO2-eq per kWh of storage capacity.</t>
      </text>
    </comment>
    <comment authorId="0" ref="V32">
      <text>
        <t xml:space="preserve">Gurcan Gulen:
this is just the new federal tax.  NREL uses (based on EIA) 26% to capture state tax, apparently.</t>
      </text>
    </comment>
    <comment authorId="0" ref="A33">
      <text>
        <t xml:space="preserve">Gurcan Gulen:
we can refer to 2 FCe subsidy papers. Sticking with tax expenditures may suffice.</t>
      </text>
    </comment>
    <comment authorId="0" ref="V34">
      <text>
        <t xml:space="preserve">15-year lifetime of Li-ion from NREL (2019) Study on battery costs, 
"Cost Projections for Utility-Scale
Battery Storage", Technical Report
NREL/TP-6A20-73222, June 2019. </t>
      </text>
    </comment>
    <comment authorId="0" ref="A3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42">
      <text>
        <t xml:space="preserve">Gurcan Gulen:
Based on PJM early 2018 auction for 2020/21</t>
      </text>
    </comment>
  </commentList>
</comments>
</file>

<file path=xl/sharedStrings.xml><?xml version="1.0" encoding="utf-8"?>
<sst xmlns="http://schemas.openxmlformats.org/spreadsheetml/2006/main" count="3089" uniqueCount="1163">
  <si>
    <t>Should I connect electricity generation to natural gas upstream and/or midstream? This could matter in agressive renewables scenarios. All expected (e.g., AEO 2019) NG production may be too much for exports.</t>
  </si>
  <si>
    <t>Should coal be connected? 1- power gen is the main consumer of coal; 2- the US coal exports will likely remain small. Alternatively, we can assume coal mines closing as it has been happening.</t>
  </si>
  <si>
    <t>Connection between EVs and oil?</t>
  </si>
  <si>
    <t>New capacity decision function: should it be more forward-looking in sufficiency of capacity? NO. IMPLICITLY IT IS FORWARD-LOOKING AS CONSTRUCTION STARTS YEARS EARLIER.</t>
  </si>
  <si>
    <t>Add ST to the NG setup? Probably not; STs are going away. Plus,  solveGen doesn't distinguish STs.</t>
  </si>
  <si>
    <t xml:space="preserve">stranded costs? Nondepreciated part of the asset if it is retired before its book life? Or something else? </t>
  </si>
  <si>
    <t>CAPEX improvements in Assumptions tabs?</t>
  </si>
  <si>
    <t>Add intrastate values to Oil G&amp;T (FERC 6) and NG Midstream (FERC 2)</t>
  </si>
  <si>
    <t xml:space="preserve">Add heating demand for NG. </t>
  </si>
  <si>
    <t>Retirement decisions are based on historical max age. Should that be switched to average lifetime?</t>
  </si>
  <si>
    <r>
      <rPr>
        <rFont val="Calibri"/>
        <color rgb="FF000000"/>
        <sz val="11.0"/>
      </rPr>
      <t xml:space="preserve">Overview: User inputs for NG Heating and SolveGen results for 2050 are to be copied into green highlighted cells in the </t>
    </r>
    <r>
      <rPr>
        <rFont val="Calibri"/>
        <b/>
        <color rgb="FF4A86E8"/>
        <sz val="11.0"/>
      </rPr>
      <t>Inputs</t>
    </r>
    <r>
      <rPr>
        <rFont val="Calibri"/>
        <color rgb="FF000000"/>
        <sz val="11.0"/>
      </rPr>
      <t xml:space="preserve"> tab. These values are linked to the </t>
    </r>
    <r>
      <rPr>
        <rFont val="Calibri"/>
        <b/>
        <color rgb="FF4A86E8"/>
        <sz val="11.0"/>
      </rPr>
      <t>Model</t>
    </r>
    <r>
      <rPr>
        <rFont val="Calibri"/>
        <color rgb="FF000000"/>
        <sz val="11.0"/>
      </rPr>
      <t xml:space="preserve"> tab. 2020 values in the model are "set" (see below). There are no 2050 user inputs for NG Midstream, Electricity T, D, and A&amp;G, Oil G&amp;T and Oil&amp;Gas Upstream. The model connects 2020 and 2050 values via linear interpolation. The model calculates new capacity builds based on retirements estimated in the </t>
    </r>
    <r>
      <rPr>
        <rFont val="Calibri"/>
        <b/>
        <color rgb="FF4A86E8"/>
        <sz val="11.0"/>
      </rPr>
      <t>Assumptions</t>
    </r>
    <r>
      <rPr>
        <rFont val="Calibri"/>
        <color rgb="FF000000"/>
        <sz val="11.0"/>
      </rPr>
      <t xml:space="preserve"> (...) tabs for each technology, which also include all cost, finance, construction, and operational assumptions (see below for details &amp; comments). In addition to CAPEX associated with new builds, the model calculates operating and fuel costs for each year. We assume debt-equity financing: principal and interest payments associated with CAPEX of new and capacities built before 2020 with outstanding payments are captured as well as depreciation of all of these assets. With all these costs and financing calculations, cash flow is calculated assuming a tax rate.  </t>
    </r>
  </si>
  <si>
    <t>Tab</t>
  </si>
  <si>
    <t>Variable</t>
  </si>
  <si>
    <t>Purpose</t>
  </si>
  <si>
    <t>Comment</t>
  </si>
  <si>
    <t>Inputs</t>
  </si>
  <si>
    <t>Inputs from SolveGen and user entries for NG heating demand</t>
  </si>
  <si>
    <t>2020 and 2050 AEO Ref percentages are provided for comparison. See comments on conversion of Biomass from SolveGen into MSW and other biomass, and storage.</t>
  </si>
  <si>
    <t>Dashboard</t>
  </si>
  <si>
    <t>Quick visual summary of model results when user inputs change.</t>
  </si>
  <si>
    <t xml:space="preserve">$ values are reported in nominal terms, which leads to large values in the future. </t>
  </si>
  <si>
    <t>Aggregation</t>
  </si>
  <si>
    <t>Summary of key results from Model &amp; Assumptions tabs</t>
  </si>
  <si>
    <r>
      <rPr>
        <rFont val="Calibri"/>
        <color rgb="FF000000"/>
        <sz val="10.0"/>
      </rPr>
      <t xml:space="preserve">More data for generation. Only OPEX and CAPEX for Oil&amp;Gas midstream and upstream, electricity T&amp;D. </t>
    </r>
    <r>
      <rPr>
        <rFont val="Calibri"/>
        <color rgb="FFFF0000"/>
        <sz val="10.0"/>
      </rPr>
      <t xml:space="preserve">Total NG Consumption section is intended as a check on user assumptions on NG Heating. It is not likely for user inputs to lead to import levels that are above historical values. And, export capacity can increase. </t>
    </r>
    <r>
      <rPr>
        <rFont val="Calibri"/>
        <b/>
        <color rgb="FFFF0000"/>
        <sz val="10.0"/>
      </rPr>
      <t>As such, no need to connect O&amp;G Upstream to NG Demand. Currently, O&amp;G Upstream is based on AEO 2018 Ref gas production.</t>
    </r>
  </si>
  <si>
    <t>Model</t>
  </si>
  <si>
    <t>Operating Capacity</t>
  </si>
  <si>
    <t>2020 value is hardwired.</t>
  </si>
  <si>
    <r>
      <rPr>
        <rFont val="Calibri"/>
        <color rgb="FF000000"/>
        <sz val="10.0"/>
      </rPr>
      <t xml:space="preserve">Mostly from AEO 2018 but for </t>
    </r>
    <r>
      <rPr>
        <rFont val="Calibri"/>
        <color rgb="FFFF0000"/>
        <sz val="10.0"/>
      </rPr>
      <t xml:space="preserve">coal and NG, there are adjustments based on more recent data on new builds and retirements. </t>
    </r>
  </si>
  <si>
    <t>Generation</t>
  </si>
  <si>
    <t>2020 value is indirectly hardwired.</t>
  </si>
  <si>
    <r>
      <rPr>
        <rFont val="Calibri"/>
        <color rgb="FF000000"/>
        <sz val="10.0"/>
      </rPr>
      <t xml:space="preserve">Calculation=2020 Operating Capacity*Avg Utilization from Assumptions (…). The 2020 Avg Utilization (or capacity factor) is calculated via the Goal Seek tool to yield TWh reported in AEO18. They are realistic based on recent fleet performances. </t>
    </r>
    <r>
      <rPr>
        <rFont val="Calibri"/>
        <color rgb="FFFF0000"/>
        <sz val="10.0"/>
      </rPr>
      <t>Years 2021-2049 are calculated as a linear trend to connect the 2020 value to user-input-determined 2050 value.</t>
    </r>
  </si>
  <si>
    <t>FOM&amp;VOM</t>
  </si>
  <si>
    <t>Annual flow to be used in other calculations or to depict trends.</t>
  </si>
  <si>
    <r>
      <rPr>
        <rFont val="Calibri"/>
        <color rgb="FF000000"/>
        <sz val="10.0"/>
      </rPr>
      <t xml:space="preserve">Calculated=FOM*Operating Capacity+VOM*Generation.  </t>
    </r>
    <r>
      <rPr>
        <rFont val="Calibri"/>
        <color rgb="FFFF0000"/>
        <sz val="10.0"/>
      </rPr>
      <t>Special Cases: (1) For coal, new capacity  is assumed to be CCS 30% per AEO18 with higher FOM and VOM. For existing capacity, separate assumptions have been used. (2) For NG, the costs are calculated as average of CC and CTs weighted by capacity shares. (3) Nuclear cost data are from NEI and classified as Operating, Fuel, and Annual Capital. (4) For wind, solar, and hydro, there is no fuel costs.  (5) For wind and solar, there is no VOM.</t>
    </r>
  </si>
  <si>
    <t>Fuel Costs</t>
  </si>
  <si>
    <r>
      <rPr>
        <rFont val="Calibri"/>
        <color rgb="FF000000"/>
        <sz val="10.0"/>
      </rPr>
      <t xml:space="preserve">Calculated=Avg fuel cost per MWh*Generation.  </t>
    </r>
    <r>
      <rPr>
        <rFont val="Calibri"/>
        <color rgb="FFFF0000"/>
        <sz val="10.0"/>
      </rPr>
      <t>Special Cases: (1) For coal, new capacity  is assumed to be CCS 30% per AEO18 with different HR than existing caapcity, hence fuel cost.  (2) For NG, the costs are calculated as average of CC and CTs weighted by capacity shares. (3) No fuel costs for wind, solar, and hydro.</t>
    </r>
  </si>
  <si>
    <t>Energy Revenues</t>
  </si>
  <si>
    <r>
      <rPr>
        <rFont val="Calibri"/>
        <color rgb="FF000000"/>
        <sz val="10.0"/>
      </rPr>
      <t xml:space="preserve">Calculated=Avg wholesale electricity price*Generation. </t>
    </r>
    <r>
      <rPr>
        <rFont val="Calibri"/>
        <b/>
        <color rgb="FFFF0000"/>
        <sz val="10.0"/>
      </rPr>
      <t>CAUTION</t>
    </r>
    <r>
      <rPr>
        <rFont val="Calibri"/>
        <color rgb="FFFF0000"/>
        <sz val="10.0"/>
      </rPr>
      <t>: Currently, wholesale electricity prices from AEO18 Reference Case are used. When user inputs change generation shares significantly, these prices should change. Linking these prices, albeit in rudimentary fashion, to dispatch economics appears desirable.</t>
    </r>
  </si>
  <si>
    <t>Capacity Revenues</t>
  </si>
  <si>
    <r>
      <rPr>
        <rFont val="Calibri"/>
        <color rgb="FF000000"/>
        <sz val="10.0"/>
      </rPr>
      <t xml:space="preserve">Calculated=Avg capacity price in MW-day*share of capacity in capacity markets*Operating Capacity*365.  </t>
    </r>
    <r>
      <rPr>
        <rFont val="Calibri"/>
        <b/>
        <color rgb="FFFF0000"/>
        <sz val="10.0"/>
      </rPr>
      <t>CAUTION</t>
    </r>
    <r>
      <rPr>
        <rFont val="Calibri"/>
        <color rgb="FFFF0000"/>
        <sz val="10.0"/>
      </rPr>
      <t>: Currently, the price from the most recent PJM auction is used. The share of capacity in states with capacity markets is used. Two improvements should be pursued: a more accurate calculation of capacity receiving capacity payments and of the capacity price.</t>
    </r>
  </si>
  <si>
    <t>Principal - Built &lt;2020</t>
  </si>
  <si>
    <r>
      <rPr>
        <rFont val="Calibri"/>
        <color rgb="FF000000"/>
        <sz val="10.0"/>
      </rPr>
      <t xml:space="preserve">Calculated with PPMT formula for capacities built before 2020 based on EIA860 data. </t>
    </r>
    <r>
      <rPr>
        <rFont val="Calibri"/>
        <color rgb="FFFF0000"/>
        <sz val="10.0"/>
      </rPr>
      <t>Financing assumptions (share of debt, interest rate, loan term) for each type of plants should be confirmed.</t>
    </r>
  </si>
  <si>
    <t>Interest - Built &lt;2020</t>
  </si>
  <si>
    <r>
      <rPr>
        <rFont val="Calibri"/>
        <color rgb="FF000000"/>
        <sz val="10.0"/>
      </rPr>
      <t xml:space="preserve">Calculated with IPMT formula for capacities built before 2020 based on EIA860 data. </t>
    </r>
    <r>
      <rPr>
        <rFont val="Calibri"/>
        <color rgb="FFFF0000"/>
        <sz val="10.0"/>
      </rPr>
      <t>Financing assumptions (share of debt, interest rate, loan term) for each type of plants should be confirmed.</t>
    </r>
  </si>
  <si>
    <t>Depreciation - Built &lt;2020</t>
  </si>
  <si>
    <t>Calculated given the MACRS schedule for each type of plant from NREL ATB model.</t>
  </si>
  <si>
    <t>New capacity</t>
  </si>
  <si>
    <t>Calculated=If Operating Capacity at max CF in Assumptions (…) is not sufficient to generate TWh in Generation, build enough new capacity as long as it is &lt; Annual Max Build-Out in Assumptions (…)</t>
  </si>
  <si>
    <t>GAP due to annual new cap limit</t>
  </si>
  <si>
    <r>
      <rPr>
        <rFont val="Calibri"/>
        <color rgb="FF000000"/>
        <sz val="10.0"/>
      </rPr>
      <t xml:space="preserve">Calculated=TWh in Generation but not generated because insufficient New capacity was built the year before due to Annual Max Build-Out in Assumptions (…).  </t>
    </r>
    <r>
      <rPr>
        <rFont val="Calibri"/>
        <color rgb="FFFF0000"/>
        <sz val="10.0"/>
      </rPr>
      <t>Based on historical values, the Annual Max is not likely to be an issue for any technology but for nuclear, wind and solar. However, restricting wind and solar capacities annual maximum build-outs of the past seems unfair since these are growing industries. Currently, much large values are used for Annual Max Build-Out for widn and solar, but there are still some GAPs.</t>
    </r>
  </si>
  <si>
    <t>New CAPEX</t>
  </si>
  <si>
    <r>
      <rPr>
        <rFont val="Calibri"/>
        <color rgb="FF000000"/>
        <sz val="10.0"/>
      </rPr>
      <t xml:space="preserve">Calculated=total capital cost for New capacity in any given year is Avg CAPEX (per-MW, row 2 of the Assumptions (…) tab) of the previous Avg # of years to build a particular type of plant (also in Assumptions tabs).  There is a separate row for each year since Avg CAPEX change over the years as a function of inflation and cost improvement factors. </t>
    </r>
    <r>
      <rPr>
        <rFont val="Calibri"/>
        <color rgb="FFFF0000"/>
        <sz val="10.0"/>
      </rPr>
      <t>CAUTION: currently, we assume CAPEX is spent uniformly across the Avg # of years to build. This can be changed to NREL ATB or other assumptions.</t>
    </r>
  </si>
  <si>
    <t>Debt</t>
  </si>
  <si>
    <t>Calculated=Share of Debt from Assumptions (…) tabs x New CAPEX.</t>
  </si>
  <si>
    <t>Equity</t>
  </si>
  <si>
    <t>Calculated=Share of Equity from Assumptions (…) tabs x New CAPEX.</t>
  </si>
  <si>
    <t>Principal - New Debt</t>
  </si>
  <si>
    <r>
      <rPr>
        <rFont val="Calibri"/>
        <color rgb="FF000000"/>
        <sz val="10.0"/>
      </rPr>
      <t xml:space="preserve">Calculated with PPMT formula for the debt portion of New CAPEX. Separate row for each year. </t>
    </r>
    <r>
      <rPr>
        <rFont val="Calibri"/>
        <color rgb="FFFF0000"/>
        <sz val="10.0"/>
      </rPr>
      <t>Financing assumptions (share of debt, interest rate, loan term) for each type of plants should be confirmed.</t>
    </r>
  </si>
  <si>
    <t>Interest - New Debt</t>
  </si>
  <si>
    <r>
      <rPr>
        <rFont val="Calibri"/>
        <color rgb="FF000000"/>
        <sz val="10.0"/>
      </rPr>
      <t xml:space="preserve">Calculated with IPMT formula for the debt portion of New CAPEX. Separate row for each year. </t>
    </r>
    <r>
      <rPr>
        <rFont val="Calibri"/>
        <color rgb="FFFF0000"/>
        <sz val="10.0"/>
      </rPr>
      <t>Financing assumptions (share of debt, interest rate, loan term) for each type of plants should be confirmed.</t>
    </r>
  </si>
  <si>
    <t>Depreciation - New CAPEX</t>
  </si>
  <si>
    <t>Calculated given the MACRS schedule for each type of plant from NREL ATB model. Separate row for each year.</t>
  </si>
  <si>
    <t>Cash Flow</t>
  </si>
  <si>
    <t>Calculated=if(Energy Revenues+Capacity Revenues-FOM&amp;VOM-Fuel Costs-Depreciation&lt;2020-DepreciationNew-Interest&lt;2020-InterestNew)&gt;0, CF=(1-tax rate)*(Energy Revenues+Capacity Revenues-FOM&amp;VOM-Fuel Costs-Depreciation&lt;2020-DepreciationNew-Interest&lt;2020-InterestNew)+Depreciation&lt;2020+DepreciationNew-Equity-Principal&lt;2020-PrincipalNew.  Otherwise, CF=Energy Revenues+Capacity Revenues-FOM&amp;VOM-Fuel Costs-Interest&lt;2020-InterestNew-Equity-Principal&lt;2020-PrincipalNew.</t>
  </si>
  <si>
    <t>Net tax revenues to government</t>
  </si>
  <si>
    <r>
      <rPr>
        <rFont val="Calibri"/>
        <color rgb="FF000000"/>
        <sz val="10.0"/>
      </rPr>
      <t xml:space="preserve">Calculated=if(Energy Revenues+Capacity Revenues-FOM&amp;VOM-Fuel Costs-Depreciation&lt;2020-DepreciationNew-Interest&lt;2020-InterestNew)&gt;0, Net Tax=tax rate*(Energy Revenues+Capacity Revenues-FOM&amp;VOM-Fuel Costs-Depreciation&lt;2020-DepreciationNew-Interest&lt;2020-InterestNew)-Avg subsidy per MWh from Assumptions (...)*Generation.  Otherwise, -Avg subsidy per MWh from Assumptions (...)*Generation. </t>
    </r>
    <r>
      <rPr>
        <rFont val="Calibri"/>
        <color rgb="FFFF0000"/>
        <sz val="10.0"/>
      </rPr>
      <t xml:space="preserve"> Avg subsidy per MWh are taken from the FCe subsidies report, Table 7, Tax Expenditures subtotal column for 2019. The future years needs confirmation. Especially wind and solar subsidies are likely to decline along with PTC and ITC.</t>
    </r>
  </si>
  <si>
    <t>GHG emissions</t>
  </si>
  <si>
    <t>Need inputs on per-MWh GHG emissions.</t>
  </si>
  <si>
    <t>Assumptions (…)</t>
  </si>
  <si>
    <t>Each fuel / technology has its own tab of assumptions. Each has roughly the same list of variables with some adjustments (see below for details).</t>
  </si>
  <si>
    <t>Avg CAPEX ($/MW)</t>
  </si>
  <si>
    <r>
      <rPr>
        <rFont val="Calibri"/>
        <color rgb="FF000000"/>
        <sz val="10.0"/>
      </rPr>
      <t xml:space="preserve">2020 is the "seed" year. AEO18 assumptions are used. Future (and past) years are calculated per inflation (BLS PPI for the power sector) and Annunal CAPEX improve (see next). Separate inputs for NGCC &amp; NGCT, Onshore &amp; Offshore Wind, Utility &amp; DER PV.  </t>
    </r>
    <r>
      <rPr>
        <rFont val="Calibri"/>
        <color rgb="FFFF0000"/>
        <sz val="10.0"/>
      </rPr>
      <t>CAUTION: (1) Although Offshore Wind CAPEX as well as other inputs are available, they are not currently used since the AEO18 Reference Case doesn't build any. This needs to be fixed to allow for other scenarios. (2) the Model calculations ignores For coal, AEO18 only reports CCS 30%.  So, implictly, we assume no other type of coal plants can be built in the future. For existing coal plants finished within the last 15 years or so, Principal, Interest, Depreciation are based on PC supercritical plant costs. Needs confirmation.</t>
    </r>
  </si>
  <si>
    <t>Annual CAPEX improve (%)</t>
  </si>
  <si>
    <t>Currently, guesstimates. Needs some justified values.</t>
  </si>
  <si>
    <t>Share of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</si>
  <si>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</si>
  <si>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Share of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</si>
  <si>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</si>
  <si>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Interest rate on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</si>
  <si>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</si>
  <si>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Return on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</si>
  <si>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</si>
  <si>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Avg WACC (%)</t>
  </si>
  <si>
    <t>Calculated=Share of debt*interest rate on debt + Share of equity*return on equity</t>
  </si>
  <si>
    <t>Avg loan term (yrs)</t>
  </si>
  <si>
    <r>
      <rPr>
        <rFont val="Calibri"/>
        <color rgb="FF000000"/>
        <sz val="10.0"/>
      </rPr>
      <t xml:space="preserve">Used the FCe Dispatch Report estimates. </t>
    </r>
    <r>
      <rPr>
        <rFont val="Calibri"/>
        <color rgb="FFFF0000"/>
        <sz val="10.0"/>
      </rPr>
      <t>CAUTION: NREL ATB uses Capital Recovery Period for LCOE purposes and assumes 30 years for all technologies.  This is not realistic: gas, wind and solar loans can be as short as 6-7 years. Nuclear and Coal can be as long as 20 years but probably 15 is more typical. Still, the current inputs need confirmation.</t>
    </r>
  </si>
  <si>
    <t>Depreciation (MACRS)</t>
  </si>
  <si>
    <t>FCe Dispatch Report and NREL ATB assumptions are the same.</t>
  </si>
  <si>
    <t>Annual max capacity build (MW)</t>
  </si>
  <si>
    <r>
      <rPr>
        <rFont val="Calibri"/>
        <color rgb="FF000000"/>
        <sz val="10.0"/>
      </rPr>
      <t xml:space="preserve">Based on historical EIA 860 data. </t>
    </r>
    <r>
      <rPr>
        <rFont val="Calibri"/>
        <color rgb="FFFF0000"/>
        <sz val="10.0"/>
      </rPr>
      <t>These could be unfairly low to wind and solar in the future.  Currently, solar annual max is set at 20,000 MW as compared to 8,000 MW of utility-scale historically. But, this also assumes DER solar PV.</t>
    </r>
  </si>
  <si>
    <t>Avg # of years to build</t>
  </si>
  <si>
    <t>NREL ATB assumptions with slight modifications. For example, onshore wind 2 years instead of 3 (3rd year CAPEX share was only 10%).</t>
  </si>
  <si>
    <t>CAPEX per year</t>
  </si>
  <si>
    <t>Uniform distribution across the avg # of years to build. This is different from NREL ATB assumptions; but should be acceptable for the purposes of this model.</t>
  </si>
  <si>
    <t>Avg utilization</t>
  </si>
  <si>
    <t>Adjusted to yield 2020 generation from AEO18 given the 2020 capacities.  Very close to historical CFs.</t>
  </si>
  <si>
    <t>Max utilization</t>
  </si>
  <si>
    <t>Theoretical / historical max CF. Can be adjusted if desired.</t>
  </si>
  <si>
    <t>Avg annual utilization change</t>
  </si>
  <si>
    <t>Currently set to 0%. But a cyclical pattern based on historical data could be employed.</t>
  </si>
  <si>
    <t>Avg annual FOM ($/MW-yr)</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</si>
  <si>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Onshore &amp; Offshore Wind, Utility &amp; DER Solar PV.</t>
  </si>
  <si>
    <t>Avg annual VOM  ($/MWh)</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</si>
  <si>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No VOM for Wind or Solar.</t>
  </si>
  <si>
    <t>Avg OPEX - NEW ($/MWh)</t>
  </si>
  <si>
    <t>Calculated from components of OPEX.</t>
  </si>
  <si>
    <t>Annual OPEX improve (%)</t>
  </si>
  <si>
    <t>Heat rate (MMBtu/MWh)</t>
  </si>
  <si>
    <t>AEO18 assumptions except for existing Coal from NREL ATB.</t>
  </si>
  <si>
    <t>Avg annual fuel cost ($/MWh)</t>
  </si>
  <si>
    <t>Calculated=HR*fuel price for coal and NG.  NEI fuel cost is used for Nuclear.</t>
  </si>
  <si>
    <t>Avg GHG emission (mt/MWh)</t>
  </si>
  <si>
    <t>Avg tax</t>
  </si>
  <si>
    <t xml:space="preserve">New federal tax rate of 21% is used. But, </t>
  </si>
  <si>
    <t>Avg subsidy per unit of output ($/MWh)</t>
  </si>
  <si>
    <t>Avg subsidy per MWh are taken from the FCe subsidies report, Table 7, Tax Expenditures subtotal column for 2019. The future years needs confirmation. Especially wind and solar subsidies are likely to decline along with PTC and ITC.</t>
  </si>
  <si>
    <t>Avg Lifetime (years)</t>
  </si>
  <si>
    <t>Reference</t>
  </si>
  <si>
    <t xml:space="preserve">Capacity-weighted averages from EIA860 data. </t>
  </si>
  <si>
    <t>Max Lifetime</t>
  </si>
  <si>
    <r>
      <rPr>
        <rFont val="Calibri"/>
        <color rgb="FF000000"/>
        <sz val="10.0"/>
      </rPr>
      <t xml:space="preserve">Capacity-weighted averages from EIA860 data. </t>
    </r>
    <r>
      <rPr>
        <rFont val="Calibri"/>
        <color rgb="FFFF0000"/>
        <sz val="10.0"/>
      </rPr>
      <t>Used to determine the retirement profile based on the age of existing capacity. This approach and its results need further investigation. More capacity can be retired this way than in reality, especially for hydro, wind, and solar.</t>
    </r>
  </si>
  <si>
    <t>Min Lifetime</t>
  </si>
  <si>
    <t>Avg Age (years)</t>
  </si>
  <si>
    <t>CAPEX to extend the life of plant to Max Lifetime ($/MW)</t>
  </si>
  <si>
    <t xml:space="preserve">Placeholder </t>
  </si>
  <si>
    <t>Some existing capacities' retirement may be delayed if we use this variable to represent incremental CAPEX for upgrades. This could be particularly relevant for nuclear but possibly wind.</t>
  </si>
  <si>
    <t>Avg energy price of electricity ($2017/MWh)</t>
  </si>
  <si>
    <r>
      <rPr>
        <rFont val="Calibri"/>
        <color rgb="FF000000"/>
        <sz val="10.0"/>
      </rPr>
      <t xml:space="preserve">AEO18 Reference Case. Real Electricity Price from 2016 onward.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</si>
  <si>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energy price of electricity ($/MWh)</t>
  </si>
  <si>
    <r>
      <rPr>
        <rFont val="Calibri"/>
        <color rgb="FF000000"/>
        <sz val="10.0"/>
      </rPr>
      <t xml:space="preserve">AEO18 Reference Case. Nominal Electricity Price from 2016 onward which is used in the Model to calculate Energy Revenues.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</si>
  <si>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capacity price of electricity ($/MW-day)</t>
  </si>
  <si>
    <r>
      <rPr>
        <rFont val="Calibri"/>
        <color rgb="FF000000"/>
        <sz val="10.0"/>
      </rPr>
      <t xml:space="preserve">2020 "seed" price is from the latest PJM auction. It is inflated in future years at the annual rate of increase of the nominal energy price of electricity. </t>
    </r>
    <r>
      <rPr>
        <rFont val="Calibri"/>
        <color rgb="FFFF0000"/>
        <sz val="10.0"/>
      </rPr>
      <t>CAUTION: This price is probably not appropriate for all capacity around the country. Need a more sophisticated approach and data on historical capacity prices around the country.</t>
    </r>
  </si>
  <si>
    <t>Share of capacity receiving capacity payments</t>
  </si>
  <si>
    <t>Percentage calculated based on the share of each type of generation capacity in CAISO, MISO, PJM, NYISO, ISONE (i.e., markets with capacity markets). Needs to be confirmed with a more rigorous approach.</t>
  </si>
  <si>
    <t>Avg price of fuel ($2017/MMBtu)</t>
  </si>
  <si>
    <t>From EIA</t>
  </si>
  <si>
    <t>Avg price of fuel ($/MMBtu)</t>
  </si>
  <si>
    <t>Avg inflation (BLS PPI for Power)</t>
  </si>
  <si>
    <t>Used for cost escalation (CAPEX &amp; OPEX)</t>
  </si>
  <si>
    <t>Coal/NG price inflation</t>
  </si>
  <si>
    <t>Expected Retirement Profile</t>
  </si>
  <si>
    <t>Used to calculate each year's capacity in the Model.</t>
  </si>
  <si>
    <t>In Assumptions (…) tabs, the operating capacity is ranked by year of operation. The retirement profile is calculated based on the Max Lifetime parameter defined above.</t>
  </si>
  <si>
    <t>AEO 2018 Ref</t>
  </si>
  <si>
    <t>"Actual" Data</t>
  </si>
  <si>
    <t>Share of fuel / technology in Electricity in 2050</t>
  </si>
  <si>
    <t>2050 data written from SolveGen.R (via master_EIoF.R)</t>
  </si>
  <si>
    <t>All fuel consumption (non-electricity)</t>
  </si>
  <si>
    <t>2020</t>
  </si>
  <si>
    <t>MW</t>
  </si>
  <si>
    <t>TWh</t>
  </si>
  <si>
    <t>% gen</t>
  </si>
  <si>
    <t>Coal</t>
  </si>
  <si>
    <t>Nuclear</t>
  </si>
  <si>
    <t>Natural Gas (CC) (unless labled otherwise)</t>
  </si>
  <si>
    <t>35.44% (total NG)</t>
  </si>
  <si>
    <t>32.4% (total NG)</t>
  </si>
  <si>
    <t>Natural Gas (CC)</t>
  </si>
  <si>
    <t>Natural Gas (CT)</t>
  </si>
  <si>
    <t>--</t>
  </si>
  <si>
    <t>Hydro</t>
  </si>
  <si>
    <t>Solar PV</t>
  </si>
  <si>
    <t>Wind</t>
  </si>
  <si>
    <t>Geothermal</t>
  </si>
  <si>
    <t>MSW</t>
  </si>
  <si>
    <t>Biomass</t>
  </si>
  <si>
    <t>Other biomass</t>
  </si>
  <si>
    <t>Other</t>
  </si>
  <si>
    <t>Petroleum</t>
  </si>
  <si>
    <t>Storage</t>
  </si>
  <si>
    <t>N/A</t>
  </si>
  <si>
    <t>Solar CSP</t>
  </si>
  <si>
    <t>CSP</t>
  </si>
  <si>
    <t>Average Miles of Trans. to Connect CSP</t>
  </si>
  <si>
    <t>Average Miles of Trans. to Connect Wind</t>
  </si>
  <si>
    <t>Residential NG Consumption - NonSpace Heating, in 2050 (Quad BTU)</t>
  </si>
  <si>
    <t>Residential NG Consumption - Space Heating, in 2050 (Quad BTU)</t>
  </si>
  <si>
    <t>Peak Generation in 2050 (MW)</t>
  </si>
  <si>
    <t>Avg future inflation (%/yr) (for overall economy &amp; assumed for BLS PPI for Power)</t>
  </si>
  <si>
    <t>Petroleum for LDV transport (Quad BTU)</t>
  </si>
  <si>
    <t>Avg future change in real US GDP (%/yr)</t>
  </si>
  <si>
    <t>Average biomass fuel price based on ReEDS 2012 supply (2017 USD/MMBtu)</t>
  </si>
  <si>
    <t>Implied Capacity factor of each technology in 2050</t>
  </si>
  <si>
    <t>2050 Capacity Factor Calculated</t>
  </si>
  <si>
    <t>Average 2050 geothermal CAPEX cost based on ReEDS supply (2017 USD/kW)</t>
  </si>
  <si>
    <t>Average 2050 geothermal FOM cost based on ReEDS supply (2017 USD/kW-yr)</t>
  </si>
  <si>
    <t>Assumed 2020 geothermal CAPEX cost based on ReEDS supply (2017 USD/kW)</t>
  </si>
  <si>
    <t>Assumed 2020 geothermal FOM cost based on ReEDS supply (2017 USD/kW-yr)</t>
  </si>
  <si>
    <t>Year</t>
  </si>
  <si>
    <t>type</t>
  </si>
  <si>
    <t>value</t>
  </si>
  <si>
    <t>PowerPlantCapacity_Total_MW</t>
  </si>
  <si>
    <t>powerplantcapacity</t>
  </si>
  <si>
    <t>total</t>
  </si>
  <si>
    <t>PowerPlantCapacity_Coal_MW</t>
  </si>
  <si>
    <t>coal</t>
  </si>
  <si>
    <t>PowerPlantCapacity_NGCC_MW</t>
  </si>
  <si>
    <t>ngcc</t>
  </si>
  <si>
    <t>PowerPlantCapacity_NGCT_MW</t>
  </si>
  <si>
    <t>ngct</t>
  </si>
  <si>
    <t>PowerPlantCapacity_Wind_MW</t>
  </si>
  <si>
    <t>wind</t>
  </si>
  <si>
    <t>PowerPlantCapacity_SolarPV_MW</t>
  </si>
  <si>
    <t>solarPV</t>
  </si>
  <si>
    <t>PowerPlantCapacity_SolarCSP_MW</t>
  </si>
  <si>
    <t>solarCSP</t>
  </si>
  <si>
    <t>PowerPlantCapacity_Nuclear_MW</t>
  </si>
  <si>
    <t>nuclear</t>
  </si>
  <si>
    <t>PowerPlantCapacity_Hydro_MW</t>
  </si>
  <si>
    <t>hydro</t>
  </si>
  <si>
    <t>PowerPlantCapacity_Geothermal_MW</t>
  </si>
  <si>
    <t>geothermal</t>
  </si>
  <si>
    <t>PowerPlantCapacity_Biomass_MW</t>
  </si>
  <si>
    <t>biomass</t>
  </si>
  <si>
    <t>PowerPlantCapacity_Petroleum_MW</t>
  </si>
  <si>
    <t>petroleum</t>
  </si>
  <si>
    <t>PowerPlantCapacity_Battery_MW</t>
  </si>
  <si>
    <t>battery</t>
  </si>
  <si>
    <t>Generation_Total_TWh</t>
  </si>
  <si>
    <t>generation</t>
  </si>
  <si>
    <t>Dispatch_FromBattery_TWh</t>
  </si>
  <si>
    <t>POWER_PLANT_FOM_and_VOM_Billion2017USD</t>
  </si>
  <si>
    <t>fom_vom</t>
  </si>
  <si>
    <t>all_pp</t>
  </si>
  <si>
    <t>POWER_PLANT_FuelCosts_Billion2017USD</t>
  </si>
  <si>
    <t>fuel_cost</t>
  </si>
  <si>
    <t>POWER_PLANT_CAPEX_Nuclear_Billion2017USD</t>
  </si>
  <si>
    <t>capex</t>
  </si>
  <si>
    <t>annual_nuclear</t>
  </si>
  <si>
    <t>NewCapacity_PowerPlant_MW</t>
  </si>
  <si>
    <t>new_powerplantcapacity</t>
  </si>
  <si>
    <t>NewCapacity_Battery_MW</t>
  </si>
  <si>
    <t>POWER PLANT_CAPEX_NoNuclear_Billion2017USD</t>
  </si>
  <si>
    <t>all_no_annualnuke</t>
  </si>
  <si>
    <t>GHG_emissions_MillionMetricTonnes</t>
  </si>
  <si>
    <t>emissions</t>
  </si>
  <si>
    <t>POWER_PLANT_OPEX_incl_Fuel_Billion2017USD</t>
  </si>
  <si>
    <t>opex_wfuel</t>
  </si>
  <si>
    <t>POWER_PLANT_CAPEX_TOTAL_Billion2017USD</t>
  </si>
  <si>
    <t>ELECTRICITY_TandD_OPEX_Billion2017USD</t>
  </si>
  <si>
    <t>opex</t>
  </si>
  <si>
    <t>TandD</t>
  </si>
  <si>
    <t>ELECTRICITY_TandD_CAPEX_Billion2017USD</t>
  </si>
  <si>
    <t>OILandGAS_MIDSTREAM_OPEX_BillionUSD</t>
  </si>
  <si>
    <t>OandG_mid</t>
  </si>
  <si>
    <t>OILandGAS_MIDSTREAM_CAPEX_BillionUSD</t>
  </si>
  <si>
    <t>OILandGAS_UPSTREAM_OPEX_BillionUSD</t>
  </si>
  <si>
    <t>OandG_up</t>
  </si>
  <si>
    <t>OILandGAS_UPSTREAM_CAPEX_BillionUSD</t>
  </si>
  <si>
    <t>NATURALGAS_ResidAndComm_OPEX_BillionUSD</t>
  </si>
  <si>
    <t>NG_res_comm</t>
  </si>
  <si>
    <t>NATURALGAS_ResidAndComm_CAPEX_BillionUSD</t>
  </si>
  <si>
    <t>NG_CONSUMPTION_Heating_RandC_Quad</t>
  </si>
  <si>
    <t>ng_use</t>
  </si>
  <si>
    <t>res_comm</t>
  </si>
  <si>
    <t>NG_CONSUMPTION_PowerGeneration_Quad</t>
  </si>
  <si>
    <t>NG_CONSUMPTION_Industrial_Quad</t>
  </si>
  <si>
    <t xml:space="preserve">Industrial </t>
  </si>
  <si>
    <t>NG_CONSUMPTION_Other_Quad</t>
  </si>
  <si>
    <t>other</t>
  </si>
  <si>
    <t>NG_ImpliedTrade_PositiveIfNetImporter_TCF</t>
  </si>
  <si>
    <t>trade</t>
  </si>
  <si>
    <t>NG_DryGasProduction_US_AEO_2019_LOW_TCF</t>
  </si>
  <si>
    <t>ng_prod</t>
  </si>
  <si>
    <t>aeo19_low</t>
  </si>
  <si>
    <t>NG_DryGasProduction_US_AEO_2019_REF_TCF</t>
  </si>
  <si>
    <t>aeo19_ref</t>
  </si>
  <si>
    <t>NG_DryGasProduction_US_AEO_2019_HIGH_TCF</t>
  </si>
  <si>
    <t>aeo19_high</t>
  </si>
  <si>
    <t xml:space="preserve"> Total_Energy_System_OPEX_Billions2107USD</t>
  </si>
  <si>
    <t>energy_sys_BillionsUSD</t>
  </si>
  <si>
    <t xml:space="preserve"> Total_Energy_System_CAPEX_Billions2017USD</t>
  </si>
  <si>
    <t xml:space="preserve"> Total_Energy_System_OPEX_2017USDperPerson</t>
  </si>
  <si>
    <t>USD_per_person</t>
  </si>
  <si>
    <t xml:space="preserve"> Total_Energy_System_CAPEX_2017USDperPerson</t>
  </si>
  <si>
    <t xml:space="preserve"> Total_Energy_System_OPEX_USDperUSDofGDP</t>
  </si>
  <si>
    <t>USDperUSDofGDP_pct</t>
  </si>
  <si>
    <t xml:space="preserve"> Total_Energy_System_CAPEX_USDperUSDofGDP</t>
  </si>
  <si>
    <t>Annual_CO2_Emissions_Coal_MillionTonnesCO2</t>
  </si>
  <si>
    <t>MtCO2</t>
  </si>
  <si>
    <t>Annual_CO2_Emissions_NG_MillionTonnesCO2</t>
  </si>
  <si>
    <t>NG</t>
  </si>
  <si>
    <t>Annual_CO2_Emissions_Petroleum_MillionTonnesCO2</t>
  </si>
  <si>
    <t>Annual_CO2_Emissions_EmbodiedPowerPlantCapital_MillionTonnesCO2</t>
  </si>
  <si>
    <t>embodied_in_PP</t>
  </si>
  <si>
    <t>POWER_PLANT_DEPRECIATION_Interest_BillionUSD</t>
  </si>
  <si>
    <t>depreciation_int</t>
  </si>
  <si>
    <t>ELECTRICITY_TandD_DEPRECIATION_Interest_BillionUSD</t>
  </si>
  <si>
    <t>NATURALGAS_ResidAndComm_DEPRECIATION_Interest_BillionUSD</t>
  </si>
  <si>
    <t>OIL_Spending_Industrial_Billions2017USD</t>
  </si>
  <si>
    <t>oil_indus_spending</t>
  </si>
  <si>
    <t>OIL_Spending_Commercial_Billions2017USD</t>
  </si>
  <si>
    <t>oil_commerce_spending</t>
  </si>
  <si>
    <t>OIL_Spending_Transportation_Billions2017USD</t>
  </si>
  <si>
    <t>oil_transport_spending</t>
  </si>
  <si>
    <t>OIL_Spending_Residential_Billions2017USD</t>
  </si>
  <si>
    <t>oil_resid_spending</t>
  </si>
  <si>
    <t>NG_Spending_Industrial_Billions2017USD</t>
  </si>
  <si>
    <t>ng_indus_spending</t>
  </si>
  <si>
    <t>NG_Spending_Commercial_Billions2017USD</t>
  </si>
  <si>
    <t>ng_commerce_spending</t>
  </si>
  <si>
    <t>NG_Spending_Transportation_Billions2017USD</t>
  </si>
  <si>
    <t>ng_transport_spending</t>
  </si>
  <si>
    <t>NG_Spending_Residential_Billions2017USD</t>
  </si>
  <si>
    <t>ng_resid_spending</t>
  </si>
  <si>
    <t>NonElectricty_Energy_System_COAL_Billions2017USD</t>
  </si>
  <si>
    <t>coal_not_elec</t>
  </si>
  <si>
    <t>OIL_Spending_Industrial_2017USDperPerson</t>
  </si>
  <si>
    <t>OIL_Spending_Commercial_2017USDperPerson</t>
  </si>
  <si>
    <t>OIL_Spending_Transportation_2017USDperPerson</t>
  </si>
  <si>
    <t>OIL_Spending_Residential_2017USDperPerson</t>
  </si>
  <si>
    <t xml:space="preserve"> NonElectricty_Energy_System_OIL_2017USDperPerson</t>
  </si>
  <si>
    <t>oil_not_elec</t>
  </si>
  <si>
    <t>NG_Spending_Industrial_2017USDperPerson</t>
  </si>
  <si>
    <t>NG_Spending_Commercial_2017USDperPerson</t>
  </si>
  <si>
    <t>NG_Spending_Transportation_2017USDperPerson</t>
  </si>
  <si>
    <t>NG_Spending_Residential_2017USDperPerson</t>
  </si>
  <si>
    <t xml:space="preserve"> NonElectricty_Energy_System_NG_2017USDperPerson</t>
  </si>
  <si>
    <t>ng_not_elec</t>
  </si>
  <si>
    <t xml:space="preserve"> NonElectricty_Energy_System_COAL_2017USDperPerson</t>
  </si>
  <si>
    <t>OIL_Spending_Industrial_USDofGDP</t>
  </si>
  <si>
    <t>OIL_Spending_Commercial_USDofGDP</t>
  </si>
  <si>
    <t>OIL_Spending_Transportation_USDofGDP</t>
  </si>
  <si>
    <t>OIL_Spending_Residential_USDofGDP</t>
  </si>
  <si>
    <t>NonElectricty_Energy_System_OIL_USDperUSDofGDP</t>
  </si>
  <si>
    <t>NG_Spending_Industrial_USDofGDP</t>
  </si>
  <si>
    <t>NG_Spending_Commercial_USDofGDP</t>
  </si>
  <si>
    <t>NG_Spending_Transportation_USDofGDP</t>
  </si>
  <si>
    <t>NG_Spending_Residential_USDofGDP</t>
  </si>
  <si>
    <t>NonElectricty_Energy_System_NG_USDperUSDofGDP</t>
  </si>
  <si>
    <t>NonElectricty_Energy_System_COAL_USDperUSDofGDP</t>
  </si>
  <si>
    <t>PowerPlantOpex_System_2017USDperPerson</t>
  </si>
  <si>
    <t>all_pp_opex</t>
  </si>
  <si>
    <t>PowerPlantCapex_System_2017USDperPerson</t>
  </si>
  <si>
    <t>all_pp_capex</t>
  </si>
  <si>
    <t>TandDOpex_System_2017USDperPerson</t>
  </si>
  <si>
    <t>TandD_opex</t>
  </si>
  <si>
    <t>TandDCapex_System_2017USDperPerson</t>
  </si>
  <si>
    <t>TandD_capex</t>
  </si>
  <si>
    <t>PowerPlantOpex_System_2017USDofGDP</t>
  </si>
  <si>
    <t>PowerPlantCapex_System_2017USDofGDP</t>
  </si>
  <si>
    <t>TandDOpex_System_2017USDofGDP</t>
  </si>
  <si>
    <t>TandDCapex_System_2017USDofGDP</t>
  </si>
  <si>
    <t>SEGMENTS</t>
  </si>
  <si>
    <t>Units</t>
  </si>
  <si>
    <t>Coal Upstream (Mining)</t>
  </si>
  <si>
    <t>Coal Midstream (Transport)</t>
  </si>
  <si>
    <t>Annual Retirments (MW)</t>
  </si>
  <si>
    <t>Coal Downstream (PowerGen)</t>
  </si>
  <si>
    <t>Total Available Capacity (MW)</t>
  </si>
  <si>
    <t>(historical pre-2020; user desired post-2020) Operating Capacity</t>
  </si>
  <si>
    <t>$billion</t>
  </si>
  <si>
    <t>Capacity remaining from 2020 existing coal fleet</t>
  </si>
  <si>
    <t>Cumulative added capacity since 2020</t>
  </si>
  <si>
    <t xml:space="preserve">Implied Heat Rate of the total power plant fleet </t>
  </si>
  <si>
    <t>MMBTU/MWh</t>
  </si>
  <si>
    <t>Capacity Installed * Heat Rate</t>
  </si>
  <si>
    <t>MMBTU/hr</t>
  </si>
  <si>
    <t>CAPEX</t>
  </si>
  <si>
    <t>Principal</t>
  </si>
  <si>
    <t>Interest</t>
  </si>
  <si>
    <t>Depreciation</t>
  </si>
  <si>
    <t>Annualized CAPEX</t>
  </si>
  <si>
    <t>GHG emissions (embodied in PP)</t>
  </si>
  <si>
    <t>million mt CO2-eq</t>
  </si>
  <si>
    <t>GHG emissions (coal consumed in PP)</t>
  </si>
  <si>
    <t>Coal Downstream (Industrial)</t>
  </si>
  <si>
    <t>Natural Gas Midstream</t>
  </si>
  <si>
    <t>Total Utility OPEX</t>
  </si>
  <si>
    <t>Beginning-Year Balance</t>
  </si>
  <si>
    <t>Retirements</t>
  </si>
  <si>
    <t>Other Adjustments</t>
  </si>
  <si>
    <t>Depreciation Straight Line - 30 yrs</t>
  </si>
  <si>
    <t>Depreciation MACRS - 20 yrs</t>
  </si>
  <si>
    <t>Revenue</t>
  </si>
  <si>
    <t>Tax revenues to government</t>
  </si>
  <si>
    <t>Natural Gas Downstream (PowerGen)</t>
  </si>
  <si>
    <t>Annual Retirements CC (MW):</t>
  </si>
  <si>
    <t>2020 Operating Capacity - Cumulative Retired Capacity to year T (MW) (CC)= "Total Available Capacity (MW)"</t>
  </si>
  <si>
    <t>Annual Retirements CT (MW):</t>
  </si>
  <si>
    <t>2020 Operating Capacity - Cumulative Retired Capacity to year T (MW) (CT)= "Total Available Capacity (MW)"</t>
  </si>
  <si>
    <t>(historical pre-2020; user desired post-2020) Operating Capacity, total NG</t>
  </si>
  <si>
    <t>(historical pre-2020; user desired post-2020) Oper. Capacity CC</t>
  </si>
  <si>
    <t>(historical pre-2020; user desired post-2020) Oper. Capacity CT</t>
  </si>
  <si>
    <t>Generation CC+CT</t>
  </si>
  <si>
    <t>Generation CC</t>
  </si>
  <si>
    <t>Generation CT</t>
  </si>
  <si>
    <t>Implied average capacity factor</t>
  </si>
  <si>
    <t>%</t>
  </si>
  <si>
    <t>Implied fleet heat rate</t>
  </si>
  <si>
    <t>MMBtu/MWh</t>
  </si>
  <si>
    <t>Fuel Consumption</t>
  </si>
  <si>
    <t>Quadrillion Btu</t>
  </si>
  <si>
    <t>New capacity (CC)</t>
  </si>
  <si>
    <t>New capacity (CT)</t>
  </si>
  <si>
    <t>=IF(and($AX$433&gt;0,Model!W$1&lt;='Assumptions (NG)'!$V$10),IPMT('Assumptions (NG)'!$V$7,Model!W$1,'Assumptions (NG)'!$V$10,'Assumptions (NG)'!$V$5*(Model!$AX$433*AVERAGE('Assumptions (NG)'!$AT$2:$AV$2))/10^9),0)+IF(and($AX$434&gt;0,Model!W$1&lt;='Assumptions (NG)'!$V$10),IPMT('Assumptions (NG)'!$V$7,Model!W$1,'Assumptions (NG)'!$V$10,'Assumptions (NG)'!$V$5*(Model!$AX$434*AVERAGE('Assumptions (NG)'!$AT$3:$AV$3))/10^9),0)</t>
  </si>
  <si>
    <t>=IF(and($AY$433&gt;0,Model!W$1&lt;='Assumptions (NG)'!$V$10),IPMT('Assumptions (NG)'!$V$7,Model!W$1,'Assumptions (NG)'!$V$10,'Assumptions (NG)'!$V$5*(Model!$AY$433*AVERAGE('Assumptions (NG)'!$AU$2:$AW$2))/10^9),0)+IF(and($AY$434&gt;0,Model!W$1&lt;='Assumptions (NG)'!$V$10),IPMT('Assumptions (NG)'!$V$7,Model!W$1,'Assumptions (NG)'!$V$10,'Assumptions (NG)'!$V$5*(Model!$AY$434*AVERAGE('Assumptions (NG)'!$AU$3:$AW$3))/10^9),0)</t>
  </si>
  <si>
    <t>=IF(and($AZ$433&gt;0,Model!W$1&lt;='Assumptions (NG)'!$V$10),IPMT('Assumptions (NG)'!$V$7,Model!W$1,'Assumptions (NG)'!$V$10,'Assumptions (NG)'!$V$5*(Model!$AZ$433*AVERAGE('Assumptions (NG)'!$AV$2:$AX$2))/10^9),0)+IF(and($AZ$434&gt;0,Model!W$1&lt;='Assumptions (NG)'!$V$10),IPMT('Assumptions (NG)'!$V$7,Model!W$1,'Assumptions (NG)'!$V$10,'Assumptions (NG)'!$V$5*(Model!$AZ$434*AVERAGE('Assumptions (NG)'!$AV$3:$AX$3))/10^9),0)</t>
  </si>
  <si>
    <t>=IF(and($BA$433&gt;0,Model!W$1&lt;='Assumptions (NG)'!$V$10),IPMT('Assumptions (NG)'!$V$7,Model!W$1,'Assumptions (NG)'!$V$10,'Assumptions (NG)'!$V$5*(Model!$BA$433*AVERAGE('Assumptions (NG)'!$AW$2:$AY$2))/10^9),0)+IF(and($BA$434&gt;0,Model!W$1&lt;='Assumptions (NG)'!$V$10),IPMT('Assumptions (NG)'!$V$7,Model!W$1,'Assumptions (NG)'!$V$10,'Assumptions (NG)'!$V$5*(Model!$BA$434*AVERAGE('Assumptions (NG)'!$AW$3:$AY$3))/10^9),0)</t>
  </si>
  <si>
    <t>GHG emissions (NG consumed in PP)</t>
  </si>
  <si>
    <t>Natural Gas Downstream (LDCs)</t>
  </si>
  <si>
    <t>Volume (Full R&amp;C + share of Ind through LDC)</t>
  </si>
  <si>
    <t>Volume (R&amp;C only)</t>
  </si>
  <si>
    <t>Revenues</t>
  </si>
  <si>
    <t>OPEX</t>
  </si>
  <si>
    <t>DD&amp;A inc Retirements</t>
  </si>
  <si>
    <t>Taxes</t>
  </si>
  <si>
    <t>million mt co2-eq</t>
  </si>
  <si>
    <t>NG CO2 emisssions NOT explicitly counted here as NG emissions for industrial, commerical, and residential sectors are separately calculated</t>
  </si>
  <si>
    <t>Wind Upstream</t>
  </si>
  <si>
    <t>Wind Midstream</t>
  </si>
  <si>
    <t>Annual Retirements (MW):</t>
  </si>
  <si>
    <t>Wind PowerGen</t>
  </si>
  <si>
    <t>2020 Operating Capacity - Cumulative Retired Capacity to year T (MW) = "Total Available Capacity (MW)"</t>
  </si>
  <si>
    <t>FOM</t>
  </si>
  <si>
    <t>Solar Upstream</t>
  </si>
  <si>
    <t>Solar PV Midstream</t>
  </si>
  <si>
    <t>Solar PV PowerGen</t>
  </si>
  <si>
    <t>Nuclear Upstream</t>
  </si>
  <si>
    <t>Nuclear Midstream</t>
  </si>
  <si>
    <t>Nuclear PowerGen</t>
  </si>
  <si>
    <t>Operating Cost</t>
  </si>
  <si>
    <t>Annual Capital Cost (existing capacity)</t>
  </si>
  <si>
    <t>CAPEX (new capacity)</t>
  </si>
  <si>
    <t>Hydro Upstream</t>
  </si>
  <si>
    <t>Hydro Midstream</t>
  </si>
  <si>
    <t>Hydro PowerGen</t>
  </si>
  <si>
    <t xml:space="preserve">Depreciation </t>
  </si>
  <si>
    <t>Geothermal Upstream</t>
  </si>
  <si>
    <t>Geothermal Midstream</t>
  </si>
  <si>
    <t>Geothermal PowerGen</t>
  </si>
  <si>
    <t>(historical pre-2020; user desired post-2020) Operating Capacity (MW)</t>
  </si>
  <si>
    <t>Generation (TWh)</t>
  </si>
  <si>
    <t>MSW Upstream</t>
  </si>
  <si>
    <t>MSW Midstream</t>
  </si>
  <si>
    <t>MSW PowerGen</t>
  </si>
  <si>
    <t>Biomass Upstream</t>
  </si>
  <si>
    <t>Biomass Midstream</t>
  </si>
  <si>
    <t>Biomass PowerGen</t>
  </si>
  <si>
    <t>Petroleum PowerGen</t>
  </si>
  <si>
    <t>GHG emissions (petro consumed in PP)</t>
  </si>
  <si>
    <t>Annual Retirements (TWh):</t>
  </si>
  <si>
    <t>2020 Operating Capacity - Cumulative Retired Capacity to year T (Twh) = "Total Available Capacity (TWh)"</t>
  </si>
  <si>
    <t>Battery Storage</t>
  </si>
  <si>
    <t>(historical pre-2020; user desired post-2020) Storage Capacity (power)</t>
  </si>
  <si>
    <t>Storage Capacity (energy)</t>
  </si>
  <si>
    <t>O&amp;M</t>
  </si>
  <si>
    <t>New capacity (power)</t>
  </si>
  <si>
    <t>New capacity (energy)</t>
  </si>
  <si>
    <t>Electricity Transmission</t>
  </si>
  <si>
    <t>Beginning-Year Balance Before Dep</t>
  </si>
  <si>
    <t>Retirement</t>
  </si>
  <si>
    <t>Electricity Distribution + Administration &amp; General</t>
  </si>
  <si>
    <t>Electricity Admin &amp; General (no longer used as separate category)</t>
  </si>
  <si>
    <t>Oil G&amp;T</t>
  </si>
  <si>
    <t>Sold/Abandoned/Retired</t>
  </si>
  <si>
    <t>O&amp;G Upstream</t>
  </si>
  <si>
    <t>Depreciation MACRS - 7 yrs</t>
  </si>
  <si>
    <t>Tax revenues to federal government</t>
  </si>
  <si>
    <t>Production tax revenues to local gov</t>
  </si>
  <si>
    <t>Royalties to resource owners</t>
  </si>
  <si>
    <t>CSP PowerGen</t>
  </si>
  <si>
    <t>million mt  CO2-eq</t>
  </si>
  <si>
    <t>Change in energy price of electricity ($2017/MWh) "inflation"</t>
  </si>
  <si>
    <t>Change in energy price of electricity ($/MWh) inflation</t>
  </si>
  <si>
    <t>Avg capacity price of electricity ($2017/MW-day)</t>
  </si>
  <si>
    <t>Avg price of NG ($2017/MMBtu)</t>
  </si>
  <si>
    <t>Avg price of NG ($/MMBtu)</t>
  </si>
  <si>
    <t>BLS Utility natural gas, seasonally adjusted</t>
  </si>
  <si>
    <t>BLS PPI for T&amp;D PCU22112 (not seasonally adjusted)</t>
  </si>
  <si>
    <t>ASSUMED Inflation index, annual % from Inputs tab (2000=100)</t>
  </si>
  <si>
    <t>Nominal US GDP change (%/yr)</t>
  </si>
  <si>
    <t>Real $2012 chained US GDP change (%/yr)</t>
  </si>
  <si>
    <t>GDP US 50 states (Millions chained $2012)</t>
  </si>
  <si>
    <t>GDP US 50 states (Millions $ nominal)</t>
  </si>
  <si>
    <t>GDP Deflator US 50 States ($ nominal/ chained $2012)</t>
  </si>
  <si>
    <t>GDP Alaska state (Millions $ nominal)</t>
  </si>
  <si>
    <t>GDP Hawai'i (Millions $ nominal)</t>
  </si>
  <si>
    <t>GDP US 48 states (Millions $ nominal)</t>
  </si>
  <si>
    <t>GDP for EIoF Region (Millions $ nominal)</t>
  </si>
  <si>
    <t>GDP for EIoF Region (Millions $2017)</t>
  </si>
  <si>
    <t>Population US 50 States (Millions)</t>
  </si>
  <si>
    <t>Population Alaska (Millions)</t>
  </si>
  <si>
    <t>Population Hawai'i (Millions)</t>
  </si>
  <si>
    <t>Population US 48 States (Millions)</t>
  </si>
  <si>
    <t>Population EIoF Region (Millions)</t>
  </si>
  <si>
    <t>Commercial Consumption (quads)</t>
  </si>
  <si>
    <t>Residential non-heating consumption (quads)</t>
  </si>
  <si>
    <t>Residential heating Consumption (quads)</t>
  </si>
  <si>
    <t>Total Residential Consumption (quads)</t>
  </si>
  <si>
    <t>Industrial Consumption (quads)</t>
  </si>
  <si>
    <t>Tranportation Consumption (quads)</t>
  </si>
  <si>
    <t>Assumed share of industrial NG served through LDCs (need to calculate a generic avg.)</t>
  </si>
  <si>
    <t>Residential Volumes from EIA-176 (TCF)</t>
  </si>
  <si>
    <t>Commercial Volumes from EIA-176 (TCF)</t>
  </si>
  <si>
    <t>Industrial Volumes from EIA-176 (TCF)</t>
  </si>
  <si>
    <t>Residential Volumes (EIA-176 share EIA)</t>
  </si>
  <si>
    <t>Commercial Volumes (EIA-176 share of EIA)</t>
  </si>
  <si>
    <t>Industrial Volumes (EIA-176 share of EIA)</t>
  </si>
  <si>
    <t>Residential Volumes from AGA (TCF)</t>
  </si>
  <si>
    <t>Commercial Volumes from AGA (TCF)</t>
  </si>
  <si>
    <t>Industrial Volumes from AGA (TCF)</t>
  </si>
  <si>
    <t>Residential Volumes ratio EIA-176 to AGA</t>
  </si>
  <si>
    <t>Commercial Volumes ratio EIA-176 to AGA</t>
  </si>
  <si>
    <t>Industrial Volumes ratio EIA-176 to AGA</t>
  </si>
  <si>
    <t>Residential Volumes ratio AGA to EIA</t>
  </si>
  <si>
    <t>Commercial Volumes ratio AGA to EIA</t>
  </si>
  <si>
    <t>Industrial Volumes ratio AGA to EIA</t>
  </si>
  <si>
    <t>Residential Customers (EIA-176)</t>
  </si>
  <si>
    <t>Commercial Customers (EIA-176)</t>
  </si>
  <si>
    <t>Industrial Customers (EIA-176)</t>
  </si>
  <si>
    <t>Residential Customers (AGA)</t>
  </si>
  <si>
    <t>Commercial Customers (AGA)</t>
  </si>
  <si>
    <t>Industrial Customers (AGA)</t>
  </si>
  <si>
    <t>Residential customers ratio EIA-176 to AGA</t>
  </si>
  <si>
    <t>Commercial customers ratio EIA-176 to AGA</t>
  </si>
  <si>
    <t>Industrial customers ratio EIA-176 to AGA</t>
  </si>
  <si>
    <t>Residential Revenues from EIA-176 ($billion)</t>
  </si>
  <si>
    <t>Commercial Revenues from EIA-176 ($billion)</t>
  </si>
  <si>
    <t>Industrial Revenues from EIA-176 ($billion)</t>
  </si>
  <si>
    <t>Residential Revenues from AGA ($billion)</t>
  </si>
  <si>
    <t>Commercial Revenues from AGA ($billion)</t>
  </si>
  <si>
    <t>Industrial Revenues from AGA ($billion)</t>
  </si>
  <si>
    <t>Residential revenues ratio EIA-176 to AGA</t>
  </si>
  <si>
    <t>Commercial revenues ratio EIA-176 to AGA</t>
  </si>
  <si>
    <t>Industrial revenues ratio EIA-176 to AGA</t>
  </si>
  <si>
    <t>LDC Revenues from AGA ($billion)</t>
  </si>
  <si>
    <t>LDC O&amp;M Cost from AGA ($billion)</t>
  </si>
  <si>
    <t>LDC DD&amp;A inc Retriements from AGA ($billion)</t>
  </si>
  <si>
    <t>LDC Total Taxes from AGA ($billion)</t>
  </si>
  <si>
    <t>LDC Total Interest Charges from AGA ($billion)</t>
  </si>
  <si>
    <t>LDC Construction Exp from AGA ($billion)</t>
  </si>
  <si>
    <t>LDC Interest to Construction Expense</t>
  </si>
  <si>
    <t>LDC O&amp;M to Revenues</t>
  </si>
  <si>
    <t>LDC Revenues to Residential Revenues</t>
  </si>
  <si>
    <t>LDC Revenues to Commercial Revenues</t>
  </si>
  <si>
    <t>LDC Revenues to Industrial Revenues</t>
  </si>
  <si>
    <t>HH Spot Price ($/thousand cf)</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</si>
  <si>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</si>
  <si>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</si>
  <si>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</si>
  <si>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</si>
  <si>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</si>
  <si>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</si>
  <si>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</si>
  <si>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</si>
  <si>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</si>
  <si>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</si>
  <si>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</si>
  <si>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</si>
  <si>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</si>
  <si>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</si>
  <si>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</si>
  <si>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</si>
  <si>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</si>
  <si>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</si>
  <si>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</si>
  <si>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</si>
  <si>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</si>
  <si>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Intercept</t>
  </si>
  <si>
    <t>Number of wells from EIA Publication: The Distribution of U.S. Oil and Natural Gas Wells by Production Rate, October 2018</t>
  </si>
  <si>
    <t>Prod Brackets (BOE/day)</t>
  </si>
  <si>
    <t>Categ.</t>
  </si>
  <si>
    <t>A_  0 - 1</t>
  </si>
  <si>
    <t>Oil</t>
  </si>
  <si>
    <t>B_  1 - 2</t>
  </si>
  <si>
    <t>C_  2 - 4</t>
  </si>
  <si>
    <t>D_  4 - 6</t>
  </si>
  <si>
    <t>E_  6 - 8</t>
  </si>
  <si>
    <t>F_  8 - 10</t>
  </si>
  <si>
    <t>H_ 10 - 12</t>
  </si>
  <si>
    <t>I_ 12 - 15</t>
  </si>
  <si>
    <t>K_ 15 - 20</t>
  </si>
  <si>
    <t>L_ 20 - 25</t>
  </si>
  <si>
    <t>M_ 25 - 30</t>
  </si>
  <si>
    <t>N_ 30 - 40</t>
  </si>
  <si>
    <t>O_ 40 - 50</t>
  </si>
  <si>
    <t>P_ 50 - 100</t>
  </si>
  <si>
    <t>R_ 100 - 200</t>
  </si>
  <si>
    <t>S_ 200 - 400</t>
  </si>
  <si>
    <t>T_ 400 - 800</t>
  </si>
  <si>
    <t>U_ 800 - 1,600</t>
  </si>
  <si>
    <t>V_ 1,600 - 3,200</t>
  </si>
  <si>
    <t>W_ 3,200 - 6,400</t>
  </si>
  <si>
    <t>X_ 6,400 - 12,800</t>
  </si>
  <si>
    <t>Y_ &gt; 12,800</t>
  </si>
  <si>
    <t>Gas</t>
  </si>
  <si>
    <t>Horizontal</t>
  </si>
  <si>
    <t>New Wells &amp; Abandonments</t>
  </si>
  <si>
    <t>All</t>
  </si>
  <si>
    <t>EIA Hor yr-yr</t>
  </si>
  <si>
    <t>Number of horizontal wells drilled from WoodMac North America Well Analysis Tool</t>
  </si>
  <si>
    <t>Oil&amp;Gas</t>
  </si>
  <si>
    <t>Undetermined</t>
  </si>
  <si>
    <t>WM Hor Well Total</t>
  </si>
  <si>
    <t>Good agreement between WM Hor Well count, yr-yr changes from EIA data. and JAS reporting</t>
  </si>
  <si>
    <t>Use WM Hor Well Count for cost calculations</t>
  </si>
  <si>
    <t>Annual Production from EIA Publication: The Distribution of U.S. Oil and Natural Gas Wells by Production Rate, October 2018</t>
  </si>
  <si>
    <t>Oil:Oil (million bbl)</t>
  </si>
  <si>
    <t>Oil:Gas (billion cf)</t>
  </si>
  <si>
    <t>Gas:Gas (billion cf)</t>
  </si>
  <si>
    <t>Gas:Oil (million bbl)</t>
  </si>
  <si>
    <t>Total Oil:Oil (million bbl)</t>
  </si>
  <si>
    <t>Total Oil:Gas (billion cf)</t>
  </si>
  <si>
    <t>Total Gas:Gas (billion cf)</t>
  </si>
  <si>
    <t>Total Gas:Oil (million bbl)</t>
  </si>
  <si>
    <t>Cash OPEX CEE financial data</t>
  </si>
  <si>
    <t>Liquids-heavy companies</t>
  </si>
  <si>
    <t>Cash OPEX ($/BOE)</t>
  </si>
  <si>
    <t>All companies</t>
  </si>
  <si>
    <t>Gas-heavy companies</t>
  </si>
  <si>
    <t>Cash OPEX ($/MCFE)</t>
  </si>
  <si>
    <t>Crude Oil Prod (million bbl/day)</t>
  </si>
  <si>
    <t>Gas Prod (billion cf/d)</t>
  </si>
  <si>
    <t>Total annual O&amp;G (billion BOE)</t>
  </si>
  <si>
    <t>Total OPEX ($billion)</t>
  </si>
  <si>
    <t>CAPEX from various shale plays (horizontal wells)</t>
  </si>
  <si>
    <t>Drilling ($million)</t>
  </si>
  <si>
    <t>Permian - Midland</t>
  </si>
  <si>
    <t>Permian - Delaware</t>
  </si>
  <si>
    <t>Bakken</t>
  </si>
  <si>
    <t>Eagle Ford</t>
  </si>
  <si>
    <t>Marcellus</t>
  </si>
  <si>
    <t>Haynesville</t>
  </si>
  <si>
    <t>Completion ($million)</t>
  </si>
  <si>
    <t>D&amp;C ($million)</t>
  </si>
  <si>
    <t>Avg D&amp;C</t>
  </si>
  <si>
    <t>Prod Facilities ($million)</t>
  </si>
  <si>
    <t>Total CWC ($million)</t>
  </si>
  <si>
    <t>Comment for chart below</t>
  </si>
  <si>
    <t>Avg CWC</t>
  </si>
  <si>
    <t>Average D&amp;C costs from EIA Upstream Costs report by IHS March 2016 (Figure 3)</t>
  </si>
  <si>
    <t>EF</t>
  </si>
  <si>
    <t>EIA Fig3 Avg CWC</t>
  </si>
  <si>
    <t>EIA Costs of Crude Oil and Natural Gas Wells Drilled (based on API Joint Association Survey of Drilling Costs. JAS)</t>
  </si>
  <si>
    <t>All wells ($million)</t>
  </si>
  <si>
    <t>&lt;= avg(conv'l,shale), hence lower than values above</t>
  </si>
  <si>
    <t>Oil ($million)</t>
  </si>
  <si>
    <t>Gas ($million)</t>
  </si>
  <si>
    <t>Dry ($million)</t>
  </si>
  <si>
    <t>Cushing OK WTI Spot Price FOB ($/bbl)</t>
  </si>
  <si>
    <t>API Joint Association Survey (JAS) Press Releases</t>
  </si>
  <si>
    <t>&lt;= conventional wells. much lower cost</t>
  </si>
  <si>
    <t>Drilling ($billion)</t>
  </si>
  <si>
    <t>O&amp;G wells drilled</t>
  </si>
  <si>
    <t>Shale drilling ($billion)</t>
  </si>
  <si>
    <t>Shale wells</t>
  </si>
  <si>
    <t>&lt;= shale wells, much higher cost but still lower than Fig 3 costs above</t>
  </si>
  <si>
    <t>not clear whether JAS costs include completion but they include prod facilities</t>
  </si>
  <si>
    <t>IHS Upstream Cost Indices</t>
  </si>
  <si>
    <t>North American CAPEX</t>
  </si>
  <si>
    <t>IHS Upstream OPEX index</t>
  </si>
  <si>
    <t>IHS applied to JAS All Wells</t>
  </si>
  <si>
    <t xml:space="preserve">doesn't match the JAS data. </t>
  </si>
  <si>
    <t>BLS PPI O&amp;G Drilling (1985Dec=100)</t>
  </si>
  <si>
    <t>BLS applied to JAS All Wells</t>
  </si>
  <si>
    <t>much better match than IHS index</t>
  </si>
  <si>
    <t>EIA Oil and Natural Gas Exploratory and Development wells</t>
  </si>
  <si>
    <t>All wells</t>
  </si>
  <si>
    <t>Dry</t>
  </si>
  <si>
    <t>Baker Hughes North America Rotary Rig Count (Jan 2000 - Current) last downloaded in March 2019</t>
  </si>
  <si>
    <t>Lower 48 (excl Alaska)</t>
  </si>
  <si>
    <t>Land</t>
  </si>
  <si>
    <t>Offshore</t>
  </si>
  <si>
    <t>TOTAL</t>
  </si>
  <si>
    <t>Share of Oil</t>
  </si>
  <si>
    <t>Share of Gas</t>
  </si>
  <si>
    <t>Percent drilling Directional</t>
  </si>
  <si>
    <t>Percent drilling Horizontal</t>
  </si>
  <si>
    <t>Percent drilling Vertical</t>
  </si>
  <si>
    <t xml:space="preserve">Horizontal well per horizontal land rig </t>
  </si>
  <si>
    <t>Average day rate of rigs ($)</t>
  </si>
  <si>
    <t>deepwater &lt;3000-ft. TVD 15000-ft</t>
  </si>
  <si>
    <t>deepwater 7500-ft, TVD 30000-ft</t>
  </si>
  <si>
    <t>Jackup</t>
  </si>
  <si>
    <t>semis/floaters</t>
  </si>
  <si>
    <t>deepwater dayrates</t>
  </si>
  <si>
    <t>Share of rigs &lt;5000-ft</t>
  </si>
  <si>
    <t>average # of days a year a rig operates</t>
  </si>
  <si>
    <t>Upstream CAPEX ($billion)</t>
  </si>
  <si>
    <t>based on rig count &amp; day rates</t>
  </si>
  <si>
    <t>Based on EIA cost &amp; well data + JAS (2011-16)</t>
  </si>
  <si>
    <t>Shale CAPEX ($billion)</t>
  </si>
  <si>
    <t>based on WM Hor well count x Avg CWC</t>
  </si>
  <si>
    <t>BEA Investment in fixed assets ($billion)</t>
  </si>
  <si>
    <t>oil &amp; gas extraction</t>
  </si>
  <si>
    <t>Crude Oil Prod (million bbl/d)</t>
  </si>
  <si>
    <t>U.S. Tight Oil Production (million bbl/d)</t>
  </si>
  <si>
    <t>Dry Gas Prod (trillion cf)</t>
  </si>
  <si>
    <t>U.S. Shale Gas Production (trillion cf)</t>
  </si>
  <si>
    <t>NGPL Production (billion bbl)</t>
  </si>
  <si>
    <t>NGPL Composite Price ($/bbl)</t>
  </si>
  <si>
    <t>Ultra-Low-Sulfur No. 2 Diesel Fuel price ($/gallon)</t>
  </si>
  <si>
    <t>Ultra-Low-Sulfur No. 2 Diesel Fuel price ($/MMBtu)</t>
  </si>
  <si>
    <t>Distillate fuel oil price to Elec. ($2018/MMBtu)</t>
  </si>
  <si>
    <t>Distillate fuel oil price to Elec. ($/MMBtu)</t>
  </si>
  <si>
    <t>MMBtu per BBL of oil production</t>
  </si>
  <si>
    <t>Btu per cf (cubic foot) of NG</t>
  </si>
  <si>
    <t>$/MMBtu of WTI</t>
  </si>
  <si>
    <t xml:space="preserve">Both WTI and HH influence NGPL prices. </t>
  </si>
  <si>
    <t>1- it is consistent with EIA &amp; JAS data (yellow line) with the exception of 2007. EIA well costs spike that year.</t>
  </si>
  <si>
    <t>NGPL Composite P</t>
  </si>
  <si>
    <t>WTI</t>
  </si>
  <si>
    <t>HH</t>
  </si>
  <si>
    <t>A simple regression should be better for projecting into the future.</t>
  </si>
  <si>
    <t>2- Shale CAPEX (green line) accounts for an increasing % of Total CAPEX, esp after 2008, consistent with increasing share of shale drilling (rig counts)</t>
  </si>
  <si>
    <t>3- all series correlate with the oil P as one would expect.</t>
  </si>
  <si>
    <t>4- very close to 2015-17 investment data reported in an OGJ article (030617): $146B, $88B, and $122B</t>
  </si>
  <si>
    <t>Intangible CAPEX</t>
  </si>
  <si>
    <t>Depreciation (MACRS - 7 yrs)</t>
  </si>
  <si>
    <t>Avg Production tax</t>
  </si>
  <si>
    <t>Avg Royalty rate</t>
  </si>
  <si>
    <t>Avg Depletion (% of net rev)</t>
  </si>
  <si>
    <t>Fuel or Feedstock for CO2 Emissions Factors:</t>
  </si>
  <si>
    <t>Value</t>
  </si>
  <si>
    <t>year of emission factor</t>
  </si>
  <si>
    <t>Values from EPA</t>
  </si>
  <si>
    <t>NG kg CO2 per mmBTU</t>
  </si>
  <si>
    <t>Mixed Coal Industrial kg CO2 per mmBTU</t>
  </si>
  <si>
    <t>Mixed Coal Commercial kg CO2 per mmBTU</t>
  </si>
  <si>
    <t>Petroleum (Diesel) kg CO2 per gallon</t>
  </si>
  <si>
    <t>Petrochemical feedstocks kg CO2 per mmBTU</t>
  </si>
  <si>
    <t xml:space="preserve">Assume this for industrial petroleum consumption </t>
  </si>
  <si>
    <t>Crude oil kg CO2 per mmBTU</t>
  </si>
  <si>
    <t>NOTE: Distiallate Fuel Oils (1, 2 &amp; 4) and Residual Fuel oils (5 &amp; 6) are between about 73 and 76 kg CO2 per MMBtu</t>
  </si>
  <si>
    <t>Propane kg CO2 per mmBTU</t>
  </si>
  <si>
    <t>Motor Gasoline kg CO2 per mmBTU</t>
  </si>
  <si>
    <t>Distillate Fuel Oil No. 2 kg CO2 per mmBTU</t>
  </si>
  <si>
    <t>Residual Fuel Oil No. 6 kg CO2 per mmBTU</t>
  </si>
  <si>
    <t>Natural Gas CO2 Emissions (not electricity)</t>
  </si>
  <si>
    <t>Industrial NG (million mtCO2), historical to 2017</t>
  </si>
  <si>
    <t>Commercial NG (million mtCO2), historical to 2017</t>
  </si>
  <si>
    <t>Residential NG (million mtCO2), historical to 2017</t>
  </si>
  <si>
    <t>Transportation NG (million mtCO2), historical to 2017</t>
  </si>
  <si>
    <t>Coal Energy &amp; CO2 (not electricity)</t>
  </si>
  <si>
    <t>Coal consumption Ind.+Commer.+Res. (quads), historical to 2016, calculated after 2016</t>
  </si>
  <si>
    <t>Coal Ind.+Comm.+Res. emimssions (million mtCO2), historical to 2016, calculated after 2016</t>
  </si>
  <si>
    <t>Coal "industrial" price ($/short ton)</t>
  </si>
  <si>
    <t>Coal "industrial" heat content (Btu/lb)</t>
  </si>
  <si>
    <t>Coal "coke plants" price ($/short ton)</t>
  </si>
  <si>
    <t>Coal "coke plants" heat content (Btu/lb)</t>
  </si>
  <si>
    <t>Coal price, metallurgical for industry ($/MMBtu), from AEO2019</t>
  </si>
  <si>
    <t>Coal price, metallurgical for industry ($2018/MMBtu), from AEO2019</t>
  </si>
  <si>
    <t>Coal price assumed for non-electriicty ($2017/MMBtu)</t>
  </si>
  <si>
    <t>Petroleum Energy &amp; CO2 (not electricity)</t>
  </si>
  <si>
    <t>Petroleum Transportation - LDVs (quads), 2016 data (and projections after 2016) for LDV only</t>
  </si>
  <si>
    <t>Petroleum Transportation - non-LDVs (quads), (all vechicles for HISTORICAL to 2015), 2016 data and later projections are for non-LDV only</t>
  </si>
  <si>
    <t>Petroleum Residential (quads), HISTORICAL to 2017</t>
  </si>
  <si>
    <t>Petroleum Commerical (quads), HISTORICAL to 2017</t>
  </si>
  <si>
    <t>Petroleum Industrial (quads), HISTORICAL to 2017</t>
  </si>
  <si>
    <t>Petroleum Transportation (million mt CO2) historical data to 2017, CALCULATED after 2017</t>
  </si>
  <si>
    <t>Petroleum Residential (million mt CO2) historical data to 2017, CALCULATED after 2017</t>
  </si>
  <si>
    <t>Petroleum Commercial (million mt CO2), historical data to 2017, CALCULATED after 2017</t>
  </si>
  <si>
    <t>Petroleum Industrial (million mt CO2) historical data to 2017, CALCULATED after 2017</t>
  </si>
  <si>
    <t>Petroleum Transportation (tCO2/MMBtu) From HISTORICAL DATA</t>
  </si>
  <si>
    <t>Petroleum Residential (tCO2/MMBtu) From HISTORICAL DATA</t>
  </si>
  <si>
    <t>Petroleum Commercial (tCO2/MMBtu) From HISTORICAL DATA</t>
  </si>
  <si>
    <t>Petroleum Industrial (tCO2/MMBtu) From HISTORICAL DATA</t>
  </si>
  <si>
    <t>Annual Peak Generation (MW) (for 2000-2016) assumed to decline at same average rate as TWh ..)</t>
  </si>
  <si>
    <t>Distance of transmission from wind farms to city (miles)</t>
  </si>
  <si>
    <t>Transmission</t>
  </si>
  <si>
    <t>Distance of transmission from CSP farms to city (miles)</t>
  </si>
  <si>
    <t>number of customers in FERC1 data (total for EIoF REgion)</t>
  </si>
  <si>
    <t>number of customers (extrapolation based on population, 2000-2007; directly from EIA-861 data, 2008-2019)</t>
  </si>
  <si>
    <t>% of customers in FERC 1 data/EIA-861 data (data-based calculations only 2007-2016)</t>
  </si>
  <si>
    <t>wind-specific transmission (CAPEX)  ($2017 billions)</t>
  </si>
  <si>
    <t>CSP-specific transmission (CAPEX)  ($2017 billions)</t>
  </si>
  <si>
    <t>Coefficent for added transmission (CSP &amp; wind) $2017/(MW-mile)</t>
  </si>
  <si>
    <t>Coefficent for added transmission (CSP &amp; wind) $nominal/(MW-mile)</t>
  </si>
  <si>
    <t>Coefficent for CAPEX ($2017 billion/Peak TW)</t>
  </si>
  <si>
    <t>Distribution and Admin</t>
  </si>
  <si>
    <t>Coefficent for O&amp;M ($2017 billion/(PWh/yr))</t>
  </si>
  <si>
    <t>Depreciation (MACRS - 20 yrs)</t>
  </si>
  <si>
    <t>Depreciation (Straight Line - 30 yrs)</t>
  </si>
  <si>
    <t>Total Peak MW in FERC 1 data</t>
  </si>
  <si>
    <t>TD&amp;A total</t>
  </si>
  <si>
    <t>Total MWh consumption in FERC 1 data</t>
  </si>
  <si>
    <t>Coefficient for total TD&amp;A spending ($2017 in FERC1/customer-year in FERC1)</t>
  </si>
  <si>
    <t>Coefficient for totoal TD&amp;A spending ($2017/peak kW)</t>
  </si>
  <si>
    <t>Coefficient for tootal TD&amp;A spending (cents 2017/kWh)</t>
  </si>
  <si>
    <t>CAPEX ($2017 billion) from FERC 1 data</t>
  </si>
  <si>
    <t>Distribution</t>
  </si>
  <si>
    <t>"General" or Admin</t>
  </si>
  <si>
    <t>O&amp;M ($2017 billion) from FERC 1 data</t>
  </si>
  <si>
    <t>CAPEX ($2017 billion) scaled up by customers</t>
  </si>
  <si>
    <t>Dist. + Admin</t>
  </si>
  <si>
    <t>O&amp;M ($2017 billion) scaled up by customers</t>
  </si>
  <si>
    <t>CAPEX ($2017/kW peak) from scaled up by customers</t>
  </si>
  <si>
    <t>O&amp;M (cents 2017/kWh) from scaled up by customers</t>
  </si>
  <si>
    <t>CAPEX ($2017/kW peak) from FERC 1 data</t>
  </si>
  <si>
    <t>O&amp;M (cents 2017/kWh) from FERC 1 data</t>
  </si>
  <si>
    <t>CAPEX ($2017/kW peak)</t>
  </si>
  <si>
    <t>TD&amp;A Total</t>
  </si>
  <si>
    <t>O&amp;M (cents 2017/kWh)</t>
  </si>
  <si>
    <t>CAPEX ($2017 billions), scaled up history and future</t>
  </si>
  <si>
    <t>O&amp;M ($2017 billions), scaled up history and future</t>
  </si>
  <si>
    <t>CAPEX, Trans ($2017/kW)</t>
  </si>
  <si>
    <t>OPEX, Trans ($2017/MWh)</t>
  </si>
  <si>
    <t>CAPEX, Dist + Admin ($2017/kW)</t>
  </si>
  <si>
    <t>OPEX, Dist + Admin ($2017/MWh)</t>
  </si>
  <si>
    <t>T and D&amp;A Coeffients to paste into documentation</t>
  </si>
  <si>
    <t>Capital Additions in FERC form 1</t>
  </si>
  <si>
    <t>US wide FERC 1 data</t>
  </si>
  <si>
    <t>T Beginning Year Balance from FERC1 ($billion)</t>
  </si>
  <si>
    <t>T Retirement from FERC1 ($billion)</t>
  </si>
  <si>
    <t>T Capital Additions from non-FERC utilities ($billion)</t>
  </si>
  <si>
    <t>D Beginning Year Balance from FERC1 ($billion)</t>
  </si>
  <si>
    <t>Percent of Distribution not reported in FERC 1</t>
  </si>
  <si>
    <t>D Retirement from FERC1 ($billion)</t>
  </si>
  <si>
    <t>General Beginning Year Balance from FERC1 ($billion)</t>
  </si>
  <si>
    <t>General Retirement from FERC1 ($billion)</t>
  </si>
  <si>
    <t xml:space="preserve">ALL FUTURE YEARS ARE BASED ON HISTORICAL CORRELATION WITH RESIDENTIAL CUSTOMERS. USED LOGARITHMIC FITS ALTHOUGH IT IS NOT ALWAYS THE BEST FIT BASED ON R2. OTHERWISE, INCREASES WOULD BE EVEN LARGER. I FIND THESE RESULTS UNREALISTIC BUT IN THE ABSENCE OF A BETTER ALTERNATIVE, IT IS AT LEAST A CONSISTENT APPROACH. </t>
  </si>
  <si>
    <t>T Maintenance from FERC 1 ($billion)</t>
  </si>
  <si>
    <t>T Operation from FERC 1 ($billion)</t>
  </si>
  <si>
    <t>T Regional Market Maintenance from FERC 1 ($billion)</t>
  </si>
  <si>
    <t>T Regional Market Operation from FERC 1 ($billion)</t>
  </si>
  <si>
    <t>T Capital Additions from FERC 1 ($billion)</t>
  </si>
  <si>
    <t>TX from FERC 1</t>
  </si>
  <si>
    <t>T Capital Additions FERC1-TX(FERC1)+TPIT ($billion)</t>
  </si>
  <si>
    <t>T Capital Additions from ERCOT TPIT ($billion)</t>
  </si>
  <si>
    <t>Percent share of non-FERC 1</t>
  </si>
  <si>
    <t>TOTAL T (Orginal FERC+non-FERC if A1=1,TPIT-adjusted+non-FERC, otherwise)</t>
  </si>
  <si>
    <t>TOTAL T CAPEX</t>
  </si>
  <si>
    <t>Upgrading/replacing aging T lines ($billion)</t>
  </si>
  <si>
    <t>Percent share of upgrade/replace in total</t>
  </si>
  <si>
    <t>Renewable Integration as a driver of new T mileage</t>
  </si>
  <si>
    <t>Estimate of T CAPEX for Renewable Integration</t>
  </si>
  <si>
    <t>T investment due to wind and solar</t>
  </si>
  <si>
    <t>Wind + Solar Generation from the Model (share of total)</t>
  </si>
  <si>
    <t>IMPLIED T inv for reasons other than upgrade &amp; rens (ver1)</t>
  </si>
  <si>
    <t>IMPLIED T inv for reasons other than upgrade &amp; rens (ver2)</t>
  </si>
  <si>
    <t>Solar PV capacity from the model (MW)</t>
  </si>
  <si>
    <t>Solar CSP capacity from the model (MW)</t>
  </si>
  <si>
    <t>Wind capacity from the model (MW)</t>
  </si>
  <si>
    <t>2050 W+S share</t>
  </si>
  <si>
    <t>Avg annual T cost ($billion)</t>
  </si>
  <si>
    <t>Total MW-mile additions needed (millions)</t>
  </si>
  <si>
    <t>NREL Renewable Electricity Futures Study Baseline</t>
  </si>
  <si>
    <t>NREL Renewable Electricity Futures Study 30%</t>
  </si>
  <si>
    <t>NREL Renewable Electricity Futures Study 40%</t>
  </si>
  <si>
    <t>NREL Renewable Electricity Futures Study 50%</t>
  </si>
  <si>
    <t>NREL Renewable Electricity Futures Study 60%</t>
  </si>
  <si>
    <t>NREL Renewable Electricity Futures Study 70%</t>
  </si>
  <si>
    <t>NREL Renewable Electricity Futures Study 80%</t>
  </si>
  <si>
    <t>NREL Renewable Electricity Futures Study 90%</t>
  </si>
  <si>
    <t>ERCOT T Miles New</t>
  </si>
  <si>
    <t>69 kV</t>
  </si>
  <si>
    <t>138 kV</t>
  </si>
  <si>
    <t>345 kV</t>
  </si>
  <si>
    <t>ERCOT T Miles Refurbished</t>
  </si>
  <si>
    <t>ERCOT T Project Costs</t>
  </si>
  <si>
    <t>A&amp;G Maintenance from FERC 1 ($billion)</t>
  </si>
  <si>
    <t>A&amp;G Operation from FERC 1 ($billion)</t>
  </si>
  <si>
    <t>General Plant Additions from FERC 1 ($billion)</t>
  </si>
  <si>
    <t>D Maintenance from FERC 1 ($billion)</t>
  </si>
  <si>
    <t>D Operation from FERC 1 ($billion)</t>
  </si>
  <si>
    <t>Customer Account Expenses from FERC 1 ($billion)</t>
  </si>
  <si>
    <t>Customer Service and Info Expenses from FERC 1 ($billion)</t>
  </si>
  <si>
    <t>D Capital Additions from FERC 1 ($billion)</t>
  </si>
  <si>
    <t>D Capital Additions from all else ($billion)</t>
  </si>
  <si>
    <t>TOTAL D Capital</t>
  </si>
  <si>
    <t>Delta Total Capital</t>
  </si>
  <si>
    <t>Delta Residential Customers</t>
  </si>
  <si>
    <t>Residential Customers</t>
  </si>
  <si>
    <t>this calculated row is nearly perfectly correlated with next year's beginning balance.</t>
  </si>
  <si>
    <t>Gathering Beginning Year Balance FERC 6 ($billion)</t>
  </si>
  <si>
    <t>Gathering Capital Expenditures FERC 6 ($billion)</t>
  </si>
  <si>
    <t>Gathering Sold/Abandoned/Retired FERC 6 ($billion)</t>
  </si>
  <si>
    <t>Best correlation is between Gathering CAPEX and US tight oil production</t>
  </si>
  <si>
    <t>Gathering Other Adjustments FERC 6 ($billion)</t>
  </si>
  <si>
    <t>Gathering Revenues Crude Oil FERC 6 ($billion)</t>
  </si>
  <si>
    <t>Gathering Revenues Products FERC 6 ($billion)</t>
  </si>
  <si>
    <t>Gathering O&amp;M Expenses Crude Oil FERC 6 ($billion)</t>
  </si>
  <si>
    <t>Gathering O&amp;M Expenses Products FERC 6 ($billion)</t>
  </si>
  <si>
    <t>Gathering General Expenses Crude Oil FERC 6 ($billion)</t>
  </si>
  <si>
    <t>Gathering General Expenses Products FERC 6 ($billion)</t>
  </si>
  <si>
    <t>Trunk Lines Beginning Year Balance FERC 6 ($billion)</t>
  </si>
  <si>
    <t>Trunk Lines Capital Expenditures FERC 6 ($billion)</t>
  </si>
  <si>
    <t>Trunk Lines Sold/Abandoned/Retired FERC 6 ($billion)</t>
  </si>
  <si>
    <t>Trunk Lines Other Adjustments FERC 6 ($billion)</t>
  </si>
  <si>
    <t>Trunk Lines Revenues Crude Oil FERC 6 ($billion)</t>
  </si>
  <si>
    <t>Trunk Lines Revenues Products FERC 6 ($billion)</t>
  </si>
  <si>
    <t>Trunk Lines O&amp;M Expenses Crude Oil FERC 6 ($billion)</t>
  </si>
  <si>
    <t>Trunk Lines O&amp;M Expenses Products FERC 6 ($billion)</t>
  </si>
  <si>
    <t>Trunk Lines General Expenses Crude Oil FERC 6 ($billion)</t>
  </si>
  <si>
    <t>Trunk Lines General Expenses Products FERC 6 ($billion)</t>
  </si>
  <si>
    <t>General Beginning Year Balance FERC 6 ($billion)</t>
  </si>
  <si>
    <t>General Capital Expenditures FERC 6 ($billion)</t>
  </si>
  <si>
    <t>General Sold/Abandoned/Retired FERC 6 ($billion)</t>
  </si>
  <si>
    <t>Though much lower than Gathering &amp; Trunk Line, best correlation is between General CAPEX and US tight oil production</t>
  </si>
  <si>
    <t>General Other Adjustments FERC 6 ($billion)</t>
  </si>
  <si>
    <t>Delivery&amp;Other Revenues Crude Oil FERC 6 ($billion)</t>
  </si>
  <si>
    <t>Delivery&amp;Other Revenues Products FERC 6 ($billion)</t>
  </si>
  <si>
    <t>Delivery&amp;Other O&amp;M Expenses Crude Oil FERC 6 ($billion)</t>
  </si>
  <si>
    <t>Delivery&amp;Other O&amp;M Expenses Products FERC 6 ($billion)</t>
  </si>
  <si>
    <t>Delivery&amp;Other General Expenses Crude Oil FERC 6 ($billion)</t>
  </si>
  <si>
    <t>Delivery&amp;Other General Expenses Products FERC 6 ($billion)</t>
  </si>
  <si>
    <t>Again, tight oil production explains Total CAPEX pretty well.</t>
  </si>
  <si>
    <t>Total Beginning Year Balance FERC 6 ($billion)</t>
  </si>
  <si>
    <t>Total Capital Expenditures FERC 6 ($billion)</t>
  </si>
  <si>
    <t>Total Sold/Abandoned/Retired FERC 6 ($billion)</t>
  </si>
  <si>
    <t>Total Other Adjustments FERC 6 ($billion)</t>
  </si>
  <si>
    <t>Aggregate Revenues FERC 6 ($billion)</t>
  </si>
  <si>
    <t>Aggregate OPEX FERC 6 ($billion)</t>
  </si>
  <si>
    <t>Intrastate multiplier</t>
  </si>
  <si>
    <t>VARIOUS SERIES THAT MIGHT DRIVE CAPEX IN G&amp;T</t>
  </si>
  <si>
    <t>U.S. Crude Oil Production (thousand bbl)</t>
  </si>
  <si>
    <t>U.S. Crude Oil Production (million bbl per day)</t>
  </si>
  <si>
    <t>U.S. Tight Oil Production (million bbl per day)</t>
  </si>
  <si>
    <t>Share of Tight Oil in Total Production</t>
  </si>
  <si>
    <t>U.S. Refinery&amp;Blender Net Production of Crude and Products (Thousand Barrels)</t>
  </si>
  <si>
    <t>U.S. Refinery&amp;Blender Net Production of HGLs (Thousand Barrels)</t>
  </si>
  <si>
    <t xml:space="preserve">Total/aggregate values smooth spikes observed in gathering, </t>
  </si>
  <si>
    <t>U.S. Refinery&amp;Blender Net Production of LPGs (Thousand Barrels)</t>
  </si>
  <si>
    <t>trunk lines or general (e.g., 2008 Gathering O&amp;M Expenses)</t>
  </si>
  <si>
    <t>U.S. Refinery&amp;Blender Net Production of Gasoline (Thousand Barrels)</t>
  </si>
  <si>
    <t>U.S. Tight Oil production correlates pretty well with all of these series</t>
  </si>
  <si>
    <t>U.S. Refinery&amp;Blender Net Production of Jet Fuel (Thousand Barrels)</t>
  </si>
  <si>
    <t>Except Sold/Abandoned/Retired, which is small: a 2-yr MA should be a good enough to extrapolate</t>
  </si>
  <si>
    <t>U.S. Refinery&amp;Blender Net Production of Distillate (Thousand Barrels)</t>
  </si>
  <si>
    <t>U.S. Refinery&amp;Blender Net Production of Residual Fuel Oil (Thousand Barrels)</t>
  </si>
  <si>
    <t>VARIOUS SERIES THAT MIGHT DRIVE G&amp;T REVENUES AND COSTS</t>
  </si>
  <si>
    <t>TOTAL tight oil revenue ($billion)</t>
  </si>
  <si>
    <t>Somewhat surprisingly, tight oil production correlates better with revenues &amp; expenses than oil price or total tight oil revenues.</t>
  </si>
  <si>
    <t>Prod&amp;Gather Beginning Year Balance FERC 2 ($billion)</t>
  </si>
  <si>
    <t>$-</t>
  </si>
  <si>
    <t>Prod&amp;Gather Additions FERC 2 ($billion)</t>
  </si>
  <si>
    <t>Prod&amp;Gather Retirements FERC 2 ($billion)</t>
  </si>
  <si>
    <t>Prod&amp;Gather Adjustments FERC 2 ($billion)</t>
  </si>
  <si>
    <t>Prod&amp;Gather Transfers FERC 2 ($billion)</t>
  </si>
  <si>
    <t>Prod&amp;Gather End Year Balance FERC 2 ($billion)</t>
  </si>
  <si>
    <t>Extraction Beginning Year Balance  FERC 2 ($billion)</t>
  </si>
  <si>
    <t>Extraction Additions FERC 2 ($billion)</t>
  </si>
  <si>
    <t>Extraction Retirements FERC 2 ($billion)</t>
  </si>
  <si>
    <t>Extraction Adjustments FERC 2 ($billion)</t>
  </si>
  <si>
    <t>Extraction Transfers FERC 2 ($billion)</t>
  </si>
  <si>
    <t>Extraction End Year Balance FERC 2 ($billion)</t>
  </si>
  <si>
    <t>Base Load LNG Beginning Year Balance  FERC 2 ($billion)</t>
  </si>
  <si>
    <t>Base Load LNG Additions FERC 2 ($billion)</t>
  </si>
  <si>
    <t>Base Load LNG Retirements FERC 2 ($billion)</t>
  </si>
  <si>
    <t>Base Load LNG Adjustments FERC 2 ($billion)</t>
  </si>
  <si>
    <t>Base Load LNG Transfers FERC 2 ($billion)</t>
  </si>
  <si>
    <t>Base Load LNG End Year Balance FERC 2 ($billion)</t>
  </si>
  <si>
    <t>Underground Storage Beginning Year Balance  FERC 2 ($billion)</t>
  </si>
  <si>
    <t>Underground Storage Additions FERC 2 ($billion)</t>
  </si>
  <si>
    <t>Underground Storage Retirements FERC 2 ($billion)</t>
  </si>
  <si>
    <t>Underground Storage Adjustments FERC 2 ($billion)</t>
  </si>
  <si>
    <t>Underground Storage Transfers FERC 2 ($billion)</t>
  </si>
  <si>
    <t>Underground Storage End Year Balance FERC 2 ($billion)</t>
  </si>
  <si>
    <t>Other Storage Beginning Year Balance  FERC 2 ($billion)</t>
  </si>
  <si>
    <t>Other Storage Additions FERC 2 ($billion)</t>
  </si>
  <si>
    <t>Other Storage Retirements FERC 2 ($billion)</t>
  </si>
  <si>
    <t>Other Storage Adjustments FERC 2 ($billion)</t>
  </si>
  <si>
    <t>Other Storage Transfers FERC 2 ($billion)</t>
  </si>
  <si>
    <t>Other Storage End Year Balance FERC 2 ($billion)</t>
  </si>
  <si>
    <t>Transmission Beginning Year Balance  FERC 2 ($billion)</t>
  </si>
  <si>
    <t>Transmission Additions FERC 2 ($billion)</t>
  </si>
  <si>
    <t>Transmission Retirements FERC 2 ($billion)</t>
  </si>
  <si>
    <t>Transmission Adjustments FERC 2 ($billion)</t>
  </si>
  <si>
    <t>Transmission Transfers FERC 2 ($billion)</t>
  </si>
  <si>
    <t>Transmission End Year Balance FERC 2 ($billion)</t>
  </si>
  <si>
    <t>Distribution Beginning Year Balance  FERC 2 ($billion)</t>
  </si>
  <si>
    <t>Distribution Additions FERC 2 ($billion)</t>
  </si>
  <si>
    <t>Distribution Retirements FERC 2 ($billion)</t>
  </si>
  <si>
    <t>Distribution Adjustments FERC 2 ($billion)</t>
  </si>
  <si>
    <t>Distribution Transfers FERC 2 ($billion)</t>
  </si>
  <si>
    <t>Distribution End Year Balance FERC 2 ($billion)</t>
  </si>
  <si>
    <t>Intangible Beginning Year Balance  FERC 2 ($billion)</t>
  </si>
  <si>
    <t>Intangible Additions FERC 2 ($billion)</t>
  </si>
  <si>
    <t>Intangible Retirements FERC 2 ($billion)</t>
  </si>
  <si>
    <t>Intangible Adjustments FERC 2 ($billion)</t>
  </si>
  <si>
    <t>Intangible Transfers FERC 2 ($billion)</t>
  </si>
  <si>
    <t>Intangible End Year Balance FERC 2 ($billion)</t>
  </si>
  <si>
    <t>General Beginning Year Balance  FERC 2 ($billion)</t>
  </si>
  <si>
    <t>General Additions FERC 2 ($billion)</t>
  </si>
  <si>
    <t>General Retirements FERC 2 ($billion)</t>
  </si>
  <si>
    <t>General Adjustments FERC 2 ($billion)</t>
  </si>
  <si>
    <t>General Transfers FERC 2 ($billion)</t>
  </si>
  <si>
    <t>General End Year Balance FERC 2 ($billion)</t>
  </si>
  <si>
    <t>Total Beginning Year Balance  FERC 2 ($billion)</t>
  </si>
  <si>
    <t>Total Additions FERC 2 ($billion)</t>
  </si>
  <si>
    <t>Total Retirements FERC 2 ($billion)</t>
  </si>
  <si>
    <t>Total Adjustments FERC 2 ($billion)</t>
  </si>
  <si>
    <t>Total Transfers FERC 2 ($billion)</t>
  </si>
  <si>
    <t>Total End Year Balance FERC 2 ($billion)</t>
  </si>
  <si>
    <t>Total Gas Operating Revenues FERC 2 ($billion)</t>
  </si>
  <si>
    <t>Total Utility Operating Expenses FERC 2 ($billion)</t>
  </si>
  <si>
    <t>Intrastate multiplier (based on volume delivered)</t>
  </si>
  <si>
    <t>Intrastate multiplier (based on mileage)</t>
  </si>
  <si>
    <t>Avg CAPEX ($2018/kW)</t>
  </si>
  <si>
    <t>Avg utilization (calculated per user input and SolveGEN)</t>
  </si>
  <si>
    <t>Avg annual FOM - NEW ($/MW-yr)</t>
  </si>
  <si>
    <t>Avg annual VOM - NEW ($/MWh)</t>
  </si>
  <si>
    <t>Annual OPEX improve - NEW (%)</t>
  </si>
  <si>
    <t>Heat rate - NEW (MMBtu/MWh)</t>
  </si>
  <si>
    <t>Avg annual fuel cost - NEW ($/MWh)</t>
  </si>
  <si>
    <t>Avg GHG emission - NEW (mt/MWh)</t>
  </si>
  <si>
    <t>Avg annual FOM - EXISTING ($/MW-yr)</t>
  </si>
  <si>
    <t>Avg annual VOM - EXISTING ($/MWh)</t>
  </si>
  <si>
    <t>Avg OPEX - EXISTING ($/MWh)</t>
  </si>
  <si>
    <t>Annual OPEX improve - EXISTING (%)</t>
  </si>
  <si>
    <t>Heat Rate - EXISTING (MMBtu/MWh)</t>
  </si>
  <si>
    <t>Avg annual fuel cost - EXISTING ($/MWh)</t>
  </si>
  <si>
    <t>Avg GHG emission - EXISTING (mt/kWh)</t>
  </si>
  <si>
    <t>Heat Content of Coal (MMBtu/short ton)</t>
  </si>
  <si>
    <t xml:space="preserve"> CO2 Emissions from coal in electricity sector in 2018 (million metric tonnes)</t>
  </si>
  <si>
    <t>Coal consumed in electric sector in 2018 (million short ton)</t>
  </si>
  <si>
    <t>One Time Upstream CO2 (and CO2 equivilant) Emissions (g/KW)</t>
  </si>
  <si>
    <t>Share of coal capacity receiving capacity payments</t>
  </si>
  <si>
    <t>Avg price of coal ($2017/MMBtu)</t>
  </si>
  <si>
    <t>Avg price of coal ($/MMBtu)</t>
  </si>
  <si>
    <t>Coal price inflation</t>
  </si>
  <si>
    <t>Operating Year</t>
  </si>
  <si>
    <t>Operating Year (legacy GG inputs for entire US)</t>
  </si>
  <si>
    <t>Capacity (legacy GG inputs for entire US)</t>
  </si>
  <si>
    <t>Capacity Installed in given Operating Year</t>
  </si>
  <si>
    <t xml:space="preserve">NOTE: We copy annual installed power plants from the "Model" tab here </t>
  </si>
  <si>
    <t xml:space="preserve">in case the lifetime of a power plant is &lt; 30 years such that a power plant </t>
  </si>
  <si>
    <t xml:space="preserve"> (for example) built in 2022 needs to retire before 2050 and </t>
  </si>
  <si>
    <t xml:space="preserve"> thus a new power plant would have to fill its place (as needed).</t>
  </si>
  <si>
    <t xml:space="preserve">Coal and NG are real $2017 for electricity gen from the AEO 2018 Reference case. Electricity price is the Generation price. Several issues to consider: </t>
  </si>
  <si>
    <t xml:space="preserve">1- National average prices may not be best for accuracy.  </t>
  </si>
  <si>
    <t xml:space="preserve">2- these reflect AEO 2018 Ref Case assumptions, which presumably takes some interaction among fuels. But, they need to change in response to user choices or scenarios.  </t>
  </si>
  <si>
    <t>Avg CAPEX CC ($/MW)</t>
  </si>
  <si>
    <t>Avg CAPEX CT ($/MW)</t>
  </si>
  <si>
    <t>Avg CAPEX CC ($2018/hW)</t>
  </si>
  <si>
    <t>Avg CAPEX CT ($2018/kW)</t>
  </si>
  <si>
    <t>Depreciation (MACRS - 15 yrs)</t>
  </si>
  <si>
    <t>Share of CC in NG Fleet</t>
  </si>
  <si>
    <t>Share of CT in NG Fleet</t>
  </si>
  <si>
    <t>Avg annual change in CC share</t>
  </si>
  <si>
    <t>Avg utilization CC</t>
  </si>
  <si>
    <t>Max utilization CC</t>
  </si>
  <si>
    <t>Avg utilization CT</t>
  </si>
  <si>
    <t>Max utilization CT</t>
  </si>
  <si>
    <t>Avg annual FOM - CC ($/MW-yr)</t>
  </si>
  <si>
    <t>Avg annual VOM - CC ($/MWh)</t>
  </si>
  <si>
    <t>Avg OPEX - CC ($/MWh)</t>
  </si>
  <si>
    <t>Avg annual FOM - CT ($/MW-yr)</t>
  </si>
  <si>
    <t>Avg annual VOM - CT ($/MWh)</t>
  </si>
  <si>
    <t>Avg OPEX - CT ($/MWh)</t>
  </si>
  <si>
    <t>Heat rate CC (MMBtu/MWh)</t>
  </si>
  <si>
    <t>Heat rate CT (MMBtu/MWh)</t>
  </si>
  <si>
    <t>Heat Content (BTU/CF)</t>
  </si>
  <si>
    <t>Avg annual fuel cost per unit of output CC ($/MWh)</t>
  </si>
  <si>
    <t>Avg annual fuel cost per unit of output CT ($/MWh)</t>
  </si>
  <si>
    <t>Avg GHG emission per unit of output 2018 (mt/KWh)</t>
  </si>
  <si>
    <t>Avg CO2 per unit of NG fuel (mt CO2/cubic foot NG)</t>
  </si>
  <si>
    <t>One Time Upstream CO2 equivilant Emissions CC (g/KW)</t>
  </si>
  <si>
    <t>One Time Upstream CO2 equivilant Emissions CT(g/KW)</t>
  </si>
  <si>
    <t>Avg Lifetime CC (years)</t>
  </si>
  <si>
    <t>Max Lifetime CC</t>
  </si>
  <si>
    <t>Min Lifetime CC</t>
  </si>
  <si>
    <t>Avg Age CC</t>
  </si>
  <si>
    <t>Avg Lifetime CT (years)</t>
  </si>
  <si>
    <t>Max Lifetime CT</t>
  </si>
  <si>
    <t>Min Lifetime CT</t>
  </si>
  <si>
    <t>Avg Age CT</t>
  </si>
  <si>
    <t>Share of NG capacity receiving capacity payments</t>
  </si>
  <si>
    <t>CC + CT</t>
  </si>
  <si>
    <t>Expected Retirement Profile CC</t>
  </si>
  <si>
    <t>Capacity (NGCC) Installed in given Operating Year</t>
  </si>
  <si>
    <t>Expected Retirement Profile CT</t>
  </si>
  <si>
    <t>Capacity (NGCT and Steam turbines) Installed in given Operating Year</t>
  </si>
  <si>
    <t>Avg CAPEX - Onshore ($/MW)</t>
  </si>
  <si>
    <t>Avg CAPEX - Offshore ($/MW)</t>
  </si>
  <si>
    <t>Avg CAPEX - Onshore ($2018/kW)</t>
  </si>
  <si>
    <t>Avg CAPEX - Offshore ($2018/kW)</t>
  </si>
  <si>
    <t>Annual CAPEX improve - Onshore (%)</t>
  </si>
  <si>
    <t>Annual CAPEX improve - Offshore (%)</t>
  </si>
  <si>
    <t>Depreciation (MACRS - 5 yrs)</t>
  </si>
  <si>
    <t>Avg # of years to build - Onshore</t>
  </si>
  <si>
    <t>Avg # of years to build - Offshore</t>
  </si>
  <si>
    <t>CAPEX per year - Onshore</t>
  </si>
  <si>
    <t>CAPEX per year - Offshore</t>
  </si>
  <si>
    <t>Avg annual FOM - Onshore ($/MW-yr)</t>
  </si>
  <si>
    <t>Avg annual FOM - Onshore ($2018/kW-yr)</t>
  </si>
  <si>
    <t>Avg annual FOM - Offshore ($/MW-yr)</t>
  </si>
  <si>
    <t>Avg Age</t>
  </si>
  <si>
    <t>Share of Wind capacity receiving capacity payments</t>
  </si>
  <si>
    <t>Avg CAPEX - Onshore ($2018/kW) historical</t>
  </si>
  <si>
    <t>Avg CAPEX - Utility PV ($/MW)</t>
  </si>
  <si>
    <t>Avg CAPEX - DER PV ($/MW)</t>
  </si>
  <si>
    <t>Avg CAPEX - Utility PV ($2018/kW)</t>
  </si>
  <si>
    <t>Avg CAPEX - DER PV ($2018/kW)</t>
  </si>
  <si>
    <t>Annual CAPEX improve - Utility PV (%)</t>
  </si>
  <si>
    <t>Annual CAPEX improve - DER PV (%)</t>
  </si>
  <si>
    <t>Avg # of years to build - Utility PV</t>
  </si>
  <si>
    <t>Avg # of years to build - DER PV</t>
  </si>
  <si>
    <t>CAPEX per year - Utility PV</t>
  </si>
  <si>
    <t>CAPEX per year - DER PV</t>
  </si>
  <si>
    <t>Share of Utility PV in Solar Fleet</t>
  </si>
  <si>
    <t>Share of DER PV in Solar Fleet</t>
  </si>
  <si>
    <t>Avg utilization - Utility PV</t>
  </si>
  <si>
    <t>Max utilization - Utility PV</t>
  </si>
  <si>
    <t>Avg utilization - DER PV</t>
  </si>
  <si>
    <t>Max utilization - DER PV</t>
  </si>
  <si>
    <t>Avg annual FOM - Utility PV ($/MW-yr)</t>
  </si>
  <si>
    <t>Avg annual FOM - DER PV ($/MW-yr)</t>
  </si>
  <si>
    <t>Avg annual FOM - Utility PV ($2018/kW-yr)</t>
  </si>
  <si>
    <t>Avg annual FOM - DER PV ($2018/kW-yr)</t>
  </si>
  <si>
    <t>One Time Upstream CO2 (and CO2 equilivant) Emissions (g/KW)</t>
  </si>
  <si>
    <t>Avg Lifetime Utility PV (years)</t>
  </si>
  <si>
    <t>Max Lifetime Utility PV</t>
  </si>
  <si>
    <t>Min Lifetime Utility PV</t>
  </si>
  <si>
    <t>Avg Age Utility PV</t>
  </si>
  <si>
    <t>Avg Lifetime DER PV (years)</t>
  </si>
  <si>
    <t>Max Lifetime DER PV</t>
  </si>
  <si>
    <t>Min Lifetime DER PV</t>
  </si>
  <si>
    <t>Avg Age DER PV</t>
  </si>
  <si>
    <t>Share of Solar capacity receiving capacity payments</t>
  </si>
  <si>
    <t>the debt to equity ratio is inconsistent per fuel type</t>
  </si>
  <si>
    <t>Avg annual VOM ($/MWh)</t>
  </si>
  <si>
    <t>Avg annual FOM ($2018/kW-yr)</t>
  </si>
  <si>
    <t>Avg annual VOM ($2018/MWh)</t>
  </si>
  <si>
    <t>Avg OPEX ($/MWh)</t>
  </si>
  <si>
    <t>Share of CSP capacity receiving capacity payments</t>
  </si>
  <si>
    <t xml:space="preserve">Expected Retirement Profile </t>
  </si>
  <si>
    <t>Avg annual CAPEX on existing Capacity ($/MWh)</t>
  </si>
  <si>
    <t>Fuel cost improve (%)</t>
  </si>
  <si>
    <t>Share of nuclear capacity receiving capacity payments</t>
  </si>
  <si>
    <t>Avg price of uranium ($2017/MMBtu)</t>
  </si>
  <si>
    <t>Avg price of uranium ($/MMBtu)</t>
  </si>
  <si>
    <t>Uranium Fuel price inflation</t>
  </si>
  <si>
    <t>Share of hydro capacity receiving capacity payments</t>
  </si>
  <si>
    <t>Avg CAPEX ($2017/kW)</t>
  </si>
  <si>
    <t>Avg annual FOM ($2017/kW-yr)</t>
  </si>
  <si>
    <t>Share of GEO capacity receiving capacity payments</t>
  </si>
  <si>
    <t>Capacity</t>
  </si>
  <si>
    <t>Share of MSW capacity receiving capacity payments</t>
  </si>
  <si>
    <t>Heat Rate (Btu/kWh)</t>
  </si>
  <si>
    <t>Fuel Cost ($/MMBtu)</t>
  </si>
  <si>
    <t>Assumed real increase in Fuel Cost (%/yr)</t>
  </si>
  <si>
    <t>Fuel Cost w/o any cost escalation ($2017/MMBtu)</t>
  </si>
  <si>
    <t>Share of Biomass capacity receiving capacity payments</t>
  </si>
  <si>
    <t>Heat Rate of power plant (MMBtu/MWh)</t>
  </si>
  <si>
    <t>Annual fuel (DFO) cost per MWh ($/MWh)</t>
  </si>
  <si>
    <t>Avg GHG emission (metric tCO2/MWh)</t>
  </si>
  <si>
    <t>Share of Petroleum capacity receiving capacity payments</t>
  </si>
  <si>
    <t>Avg CAPEX ($/MW of storage capacity)</t>
  </si>
  <si>
    <t>Avg CAPEX ($/MWh of storage capacity)</t>
  </si>
  <si>
    <t>Avg CAPEX ($2018/kW of storage capacity)</t>
  </si>
  <si>
    <t>Avg CAPEX ($2018/kWh of storage capacity)</t>
  </si>
  <si>
    <t>Cost of equity (%)</t>
  </si>
  <si>
    <t>Duration (hours)</t>
  </si>
  <si>
    <t>Usable energy</t>
  </si>
  <si>
    <t>Cycle per day</t>
  </si>
  <si>
    <t>Operating days/year</t>
  </si>
  <si>
    <t>Avg annual duration change</t>
  </si>
  <si>
    <t>THESE FOM COSTS ARE CALCULATED IN THE "MODEL" TAB</t>
  </si>
  <si>
    <t>Avg O&amp;M ($/MWh)</t>
  </si>
  <si>
    <t>Avg cost of stored electricity??? ($/MWh)</t>
  </si>
  <si>
    <t>Annual charging cost escalator</t>
  </si>
  <si>
    <t>Cycle efficiency</t>
  </si>
  <si>
    <t>Avg VOM ($/MWh)</t>
  </si>
  <si>
    <t>one time up-stream emissions (g CO2-eq/kWh capacity)</t>
  </si>
  <si>
    <t>Share of battery capacity receiving capacity payments</t>
  </si>
  <si>
    <t>Expected Retirement Profile (MW capacity)</t>
  </si>
  <si>
    <t>Expected Retirement Profile (TWh capacity)</t>
  </si>
  <si>
    <t>Operating Year (of Power Capacity, MW)</t>
  </si>
  <si>
    <t>Capacity (MW) Installed in given Operating Year</t>
  </si>
  <si>
    <t>Operating Year (of Energy Capacity, TWh)</t>
  </si>
  <si>
    <t>Capacity (TWh) Installed in given Operating Year</t>
  </si>
</sst>
</file>

<file path=xl/styles.xml><?xml version="1.0" encoding="utf-8"?>
<styleSheet xmlns="http://schemas.openxmlformats.org/spreadsheetml/2006/main" xmlns:x14ac="http://schemas.microsoft.com/office/spreadsheetml/2009/9/ac" xmlns:mc="http://schemas.openxmlformats.org/markup-compatibility/2006">
  <numFmts count="30">
    <numFmt numFmtId="164" formatCode="0.0%"/>
    <numFmt numFmtId="165" formatCode="0.000"/>
    <numFmt numFmtId="166" formatCode="_(* #,##0_);_(* \(#,##0\);_(* &quot;-&quot;??_);_(@_)"/>
    <numFmt numFmtId="167" formatCode="#,##0.0"/>
    <numFmt numFmtId="168" formatCode="_(&quot;$&quot;* #,##0.00_);_(&quot;$&quot;* \(#,##0.00\);_(&quot;$&quot;* &quot;-&quot;??_);_(@_)"/>
    <numFmt numFmtId="169" formatCode="0.0"/>
    <numFmt numFmtId="170" formatCode="_(&quot;$&quot;* #,##0_);_(&quot;$&quot;* \(#,##0\);_(&quot;$&quot;* &quot;-&quot;??_);_(@_)"/>
    <numFmt numFmtId="171" formatCode="_(&quot;$&quot;* #,##0.0_);_(&quot;$&quot;* \(#,##0.0\);_(&quot;$&quot;* &quot;-&quot;??_);_(@_)"/>
    <numFmt numFmtId="172" formatCode="_(&quot;$&quot;* #,##0.000_);_(&quot;$&quot;* \(#,##0.000\);_(&quot;$&quot;* &quot;-&quot;??_);_(@_)"/>
    <numFmt numFmtId="173" formatCode="&quot;$&quot;#,##0.00_);[Red]\(&quot;$&quot;#,##0.00\)"/>
    <numFmt numFmtId="174" formatCode="&quot;$&quot;#,##0.00"/>
    <numFmt numFmtId="175" formatCode="_(&quot;$&quot;* #,##0.0_);_(&quot;$&quot;* \(#,##0.0\);_(&quot;$&quot;* &quot;-&quot;??.0_);_(@_)"/>
    <numFmt numFmtId="176" formatCode="_(&quot;$&quot;* #,##0.00_);_(&quot;$&quot;* \(#,##0.00\);_(&quot;$&quot;* &quot;-&quot;??.00_);_(@_)"/>
    <numFmt numFmtId="177" formatCode="_(&quot;$&quot;* #,##0.000_);_(&quot;$&quot;* \(#,##0.000\);_(&quot;$&quot;* &quot;-&quot;??.0_);_(@_)"/>
    <numFmt numFmtId="178" formatCode="_(&quot;$&quot;* #,##0.00_);_(&quot;$&quot;* \(#,##0.00\);_(&quot;$&quot;* &quot;-&quot;??.0_);_(@_)"/>
    <numFmt numFmtId="179" formatCode="_(&quot;$&quot;* #,##0.000_);_(&quot;$&quot;* \(#,##0.000\);_(&quot;$&quot;* &quot;-&quot;??.000_);_(@_)"/>
    <numFmt numFmtId="180" formatCode="0.0000"/>
    <numFmt numFmtId="181" formatCode="_(&quot;$&quot;* #,##0.00000_);_(&quot;$&quot;* \(#,##0.00000\);_(&quot;$&quot;* &quot;-&quot;??.000_);_(@_)"/>
    <numFmt numFmtId="182" formatCode="_(&quot;$&quot;* #,##0.000000_);_(&quot;$&quot;* \(#,##0.000000\);_(&quot;$&quot;* &quot;-&quot;??.000000_);_(@_)"/>
    <numFmt numFmtId="183" formatCode="_(&quot;$&quot;* #,##0.0000_);_(&quot;$&quot;* \(#,##0.0000\);_(&quot;$&quot;* &quot;-&quot;??_);_(@_)"/>
    <numFmt numFmtId="184" formatCode="#,##0.00000"/>
    <numFmt numFmtId="185" formatCode="0.00000"/>
    <numFmt numFmtId="186" formatCode="&quot;$&quot;#,##0"/>
    <numFmt numFmtId="187" formatCode="&quot;$&quot;#,##0.0"/>
    <numFmt numFmtId="188" formatCode="#,##0.000"/>
    <numFmt numFmtId="189" formatCode="_(&quot;$&quot;* #,##0.00000_);_(&quot;$&quot;* \(#,##0.00000\);_(&quot;$&quot;* &quot;-&quot;??_);_(@_)"/>
    <numFmt numFmtId="190" formatCode="_(&quot;$&quot;* #,##0.000000_);_(&quot;$&quot;* \(#,##0.000000\);_(&quot;$&quot;* &quot;-&quot;??_);_(@_)"/>
    <numFmt numFmtId="191" formatCode="#,##0.0000"/>
    <numFmt numFmtId="192" formatCode="0.000000"/>
    <numFmt numFmtId="193" formatCode="#,##0.0000000"/>
  </numFmts>
  <fonts count="58">
    <font>
      <sz val="11.0"/>
      <color rgb="FF000000"/>
      <name val="Calibri"/>
    </font>
    <font>
      <sz val="11.0"/>
      <color rgb="FF0000FF"/>
      <name val="Calibri"/>
    </font>
    <font>
      <color rgb="FF0000FF"/>
    </font>
    <font>
      <sz val="11.0"/>
      <color rgb="FFFF0000"/>
      <name val="Calibri"/>
    </font>
    <font>
      <color rgb="FFFF0000"/>
    </font>
    <font>
      <color rgb="FF38761D"/>
    </font>
    <font>
      <sz val="10.0"/>
      <color rgb="FF000000"/>
      <name val="Calibri"/>
    </font>
    <font>
      <b/>
      <sz val="10.0"/>
      <color rgb="FFFF0000"/>
      <name val="Calibri"/>
    </font>
    <font>
      <b/>
      <sz val="10.0"/>
      <color rgb="FF4472C4"/>
      <name val="Calibri"/>
    </font>
    <font>
      <sz val="10.0"/>
      <color rgb="FFFF0000"/>
      <name val="Calibri"/>
    </font>
    <font>
      <b/>
      <sz val="10.0"/>
      <color rgb="FF000000"/>
      <name val="Calibri"/>
    </font>
    <font>
      <sz val="11.0"/>
      <name val="Calibri"/>
    </font>
    <font>
      <b/>
      <sz val="11.0"/>
      <color rgb="FFFF0000"/>
      <name val="Calibri"/>
    </font>
    <font>
      <b/>
      <sz val="11.0"/>
      <color rgb="FF000000"/>
      <name val="Calibri"/>
    </font>
    <font>
      <b/>
    </font>
    <font/>
    <font>
      <sz val="11.0"/>
      <color rgb="FF000000"/>
      <name val="Inconsolata"/>
    </font>
    <font>
      <b/>
      <sz val="11.0"/>
      <name val="Calibri"/>
    </font>
    <font>
      <sz val="11.0"/>
      <color rgb="FF000000"/>
      <name val="ArialMT"/>
    </font>
    <font>
      <sz val="11.0"/>
      <color rgb="FF000000"/>
      <name val="Arial"/>
    </font>
    <font>
      <b/>
      <color rgb="FFFF0000"/>
    </font>
    <font>
      <b/>
      <sz val="11.0"/>
      <color rgb="FF0000FF"/>
      <name val="Calibri"/>
    </font>
    <font>
      <name val="Calibri"/>
    </font>
    <font>
      <sz val="11.0"/>
      <color rgb="FF000000"/>
      <name val="Roboto"/>
    </font>
    <font>
      <sz val="11.0"/>
      <color rgb="FF1155CC"/>
      <name val="Inconsolata"/>
    </font>
    <font>
      <sz val="11.0"/>
      <color rgb="FFF7981D"/>
      <name val="Inconsolata"/>
    </font>
    <font>
      <sz val="11.0"/>
      <color rgb="FF1155CC"/>
      <name val="Arial"/>
    </font>
    <font>
      <sz val="11.0"/>
      <name val="Arial"/>
    </font>
    <font>
      <sz val="12.0"/>
      <color rgb="FF000000"/>
      <name val="Calibri"/>
    </font>
    <font>
      <sz val="12.0"/>
      <color rgb="FFFF0000"/>
      <name val="Calibri"/>
    </font>
    <font>
      <b/>
      <color rgb="FFE69138"/>
    </font>
    <font>
      <i/>
    </font>
    <font>
      <b/>
      <color rgb="FF000000"/>
    </font>
    <font>
      <color rgb="FF00B050"/>
    </font>
    <font>
      <color rgb="FF000000"/>
    </font>
    <font>
      <color rgb="FFFA7D00"/>
      <name val="Calibri"/>
    </font>
    <font>
      <color rgb="FF6AA84F"/>
    </font>
    <font>
      <sz val="12.0"/>
      <color rgb="FF000000"/>
      <name val="Times New Roman"/>
    </font>
    <font>
      <b/>
      <color rgb="FF00FF00"/>
    </font>
    <font>
      <color rgb="FF00FF00"/>
    </font>
    <font>
      <name val="Arial"/>
    </font>
    <font>
      <sz val="9.0"/>
      <color rgb="FF000000"/>
      <name val="Calibri"/>
    </font>
    <font>
      <sz val="11.0"/>
      <color rgb="FF434343"/>
      <name val="Calibri"/>
    </font>
    <font>
      <sz val="11.0"/>
      <color rgb="FF4A86E8"/>
      <name val="Calibri"/>
    </font>
    <font>
      <sz val="11.0"/>
      <color rgb="FF3F3F76"/>
      <name val="Calibri"/>
    </font>
    <font>
      <b/>
      <sz val="11.0"/>
      <color rgb="FFFA7D00"/>
      <name val="Calibri"/>
    </font>
    <font>
      <b/>
      <sz val="10.0"/>
      <name val="Calibri"/>
    </font>
    <font>
      <color rgb="FFFF0000"/>
      <name val="Calibri"/>
    </font>
    <font>
      <b/>
      <sz val="11.0"/>
      <color rgb="FF70AD47"/>
      <name val="Calibri"/>
    </font>
    <font>
      <b/>
      <sz val="11.0"/>
      <color rgb="FF00FF00"/>
      <name val="Calibri"/>
    </font>
    <font>
      <sz val="11.0"/>
      <color rgb="FF999999"/>
      <name val="Calibri"/>
    </font>
    <font>
      <b/>
      <sz val="11.0"/>
      <color rgb="FF000000"/>
      <name val="Arial"/>
    </font>
    <font>
      <b/>
      <sz val="11.0"/>
      <color rgb="FF000000"/>
      <name val="Roboto"/>
    </font>
    <font>
      <sz val="7.0"/>
      <color rgb="FF000000"/>
      <name val="&amp;quot"/>
    </font>
    <font>
      <color rgb="FFFF0000"/>
      <name val="Arial"/>
    </font>
    <font>
      <sz val="11.0"/>
      <color rgb="FF333333"/>
      <name val="Arial"/>
    </font>
    <font>
      <b/>
      <sz val="11.0"/>
      <color rgb="FF4A86E8"/>
      <name val="Calibri"/>
    </font>
    <font>
      <b/>
      <sz val="11.0"/>
      <color rgb="FFFF9900"/>
      <name val="Calibri"/>
    </font>
  </fonts>
  <fills count="40">
    <fill>
      <patternFill patternType="none"/>
    </fill>
    <fill>
      <patternFill patternType="lightGray"/>
    </fill>
    <fill>
      <patternFill patternType="solid">
        <fgColor rgb="FFFFFFFF"/>
        <bgColor rgb="FFFFFFFF"/>
      </patternFill>
    </fill>
    <fill>
      <patternFill patternType="solid">
        <fgColor rgb="FFFEF2CB"/>
        <bgColor rgb="FFFEF2CB"/>
      </patternFill>
    </fill>
    <fill>
      <patternFill patternType="solid">
        <fgColor rgb="FF00FF00"/>
        <bgColor rgb="FF00FF00"/>
      </patternFill>
    </fill>
    <fill>
      <patternFill patternType="solid">
        <fgColor rgb="FFF4CCCC"/>
        <bgColor rgb="FFF4CCCC"/>
      </patternFill>
    </fill>
    <fill>
      <patternFill patternType="solid">
        <fgColor rgb="FFFFD966"/>
        <bgColor rgb="FFFFD966"/>
      </patternFill>
    </fill>
    <fill>
      <patternFill patternType="solid">
        <fgColor rgb="FFE7E6E6"/>
        <bgColor rgb="FFE7E6E6"/>
      </patternFill>
    </fill>
    <fill>
      <patternFill patternType="solid">
        <fgColor rgb="FFFFFF00"/>
        <bgColor rgb="FFFFFF00"/>
      </patternFill>
    </fill>
    <fill>
      <patternFill patternType="solid">
        <fgColor rgb="FFD9EAD3"/>
        <bgColor rgb="FFD9EAD3"/>
      </patternFill>
    </fill>
    <fill>
      <patternFill patternType="solid">
        <fgColor rgb="FFEFEFEF"/>
        <bgColor rgb="FFEFEFEF"/>
      </patternFill>
    </fill>
    <fill>
      <patternFill patternType="solid">
        <fgColor rgb="FFFCE5CD"/>
        <bgColor rgb="FFFCE5CD"/>
      </patternFill>
    </fill>
    <fill>
      <patternFill patternType="solid">
        <fgColor rgb="FFFF0000"/>
        <bgColor rgb="FFFF0000"/>
      </patternFill>
    </fill>
    <fill>
      <patternFill patternType="solid">
        <fgColor rgb="FFBDD6EE"/>
        <bgColor rgb="FFBDD6EE"/>
      </patternFill>
    </fill>
    <fill>
      <patternFill patternType="solid">
        <fgColor rgb="FFFFE598"/>
        <bgColor rgb="FFFFE598"/>
      </patternFill>
    </fill>
    <fill>
      <patternFill patternType="solid">
        <fgColor rgb="FFC5E0B3"/>
        <bgColor rgb="FFC5E0B3"/>
      </patternFill>
    </fill>
    <fill>
      <patternFill patternType="solid">
        <fgColor rgb="FF8EAADB"/>
        <bgColor rgb="FF8EAADB"/>
      </patternFill>
    </fill>
    <fill>
      <patternFill patternType="solid">
        <fgColor rgb="FFD5A6BD"/>
        <bgColor rgb="FFD5A6BD"/>
      </patternFill>
    </fill>
    <fill>
      <patternFill patternType="solid">
        <fgColor rgb="FFA2C4C9"/>
        <bgColor rgb="FFA2C4C9"/>
      </patternFill>
    </fill>
    <fill>
      <patternFill patternType="solid">
        <fgColor rgb="FF00FFFF"/>
        <bgColor rgb="FF00FFFF"/>
      </patternFill>
    </fill>
    <fill>
      <patternFill patternType="solid">
        <fgColor rgb="FFFF00FF"/>
        <bgColor rgb="FFFF00FF"/>
      </patternFill>
    </fill>
    <fill>
      <patternFill patternType="solid">
        <fgColor rgb="FF3D85C6"/>
        <bgColor rgb="FF3D85C6"/>
      </patternFill>
    </fill>
    <fill>
      <patternFill patternType="solid">
        <fgColor rgb="FFFF9900"/>
        <bgColor rgb="FFFF9900"/>
      </patternFill>
    </fill>
    <fill>
      <patternFill patternType="solid">
        <fgColor rgb="FF6AA84F"/>
        <bgColor rgb="FF6AA84F"/>
      </patternFill>
    </fill>
    <fill>
      <patternFill patternType="solid">
        <fgColor rgb="FFA64D79"/>
        <bgColor rgb="FFA64D79"/>
      </patternFill>
    </fill>
    <fill>
      <patternFill patternType="solid">
        <fgColor rgb="FFFFF2CC"/>
        <bgColor rgb="FFFFF2CC"/>
      </patternFill>
    </fill>
    <fill>
      <patternFill patternType="solid">
        <fgColor rgb="FFD9D9D9"/>
        <bgColor rgb="FFD9D9D9"/>
      </patternFill>
    </fill>
    <fill>
      <patternFill patternType="solid">
        <fgColor rgb="FFCFE2F3"/>
        <bgColor rgb="FFCFE2F3"/>
      </patternFill>
    </fill>
    <fill>
      <patternFill patternType="solid">
        <fgColor rgb="FFA4C2F4"/>
        <bgColor rgb="FFA4C2F4"/>
      </patternFill>
    </fill>
    <fill>
      <patternFill patternType="solid">
        <fgColor rgb="FFC9DAF8"/>
        <bgColor rgb="FFC9DAF8"/>
      </patternFill>
    </fill>
    <fill>
      <patternFill patternType="solid">
        <fgColor rgb="FFB6D7A8"/>
        <bgColor rgb="FFB6D7A8"/>
      </patternFill>
    </fill>
    <fill>
      <patternFill patternType="solid">
        <fgColor rgb="FFFFCC99"/>
        <bgColor rgb="FFFFCC99"/>
      </patternFill>
    </fill>
    <fill>
      <patternFill patternType="solid">
        <fgColor rgb="FFF2F2F2"/>
        <bgColor rgb="FFF2F2F2"/>
      </patternFill>
    </fill>
    <fill>
      <patternFill patternType="solid">
        <fgColor rgb="FFF9CB9C"/>
        <bgColor rgb="FFF9CB9C"/>
      </patternFill>
    </fill>
    <fill>
      <patternFill patternType="solid">
        <fgColor rgb="FFD9D2E9"/>
        <bgColor rgb="FFD9D2E9"/>
      </patternFill>
    </fill>
    <fill>
      <patternFill patternType="solid">
        <fgColor rgb="FFFFE599"/>
        <bgColor rgb="FFFFE599"/>
      </patternFill>
    </fill>
    <fill>
      <patternFill patternType="solid">
        <fgColor rgb="FFEA9999"/>
        <bgColor rgb="FFEA9999"/>
      </patternFill>
    </fill>
    <fill>
      <patternFill patternType="solid">
        <fgColor rgb="FFF6B26B"/>
        <bgColor rgb="FFF6B26B"/>
      </patternFill>
    </fill>
    <fill>
      <patternFill patternType="solid">
        <fgColor rgb="FFFBE4D5"/>
        <bgColor rgb="FFFBE4D5"/>
      </patternFill>
    </fill>
    <fill>
      <patternFill patternType="solid">
        <fgColor rgb="FFFFC000"/>
        <bgColor rgb="FFFFC000"/>
      </patternFill>
    </fill>
  </fills>
  <borders count="15">
    <border/>
    <border>
      <left/>
      <right/>
      <top/>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ttom style="medium">
        <color rgb="FF000000"/>
      </bottom>
    </border>
    <border>
      <left/>
      <top/>
      <bottom/>
    </border>
    <border>
      <left/>
      <top/>
    </border>
    <border>
      <bottom style="thin">
        <color rgb="FF000000"/>
      </bottom>
    </border>
    <border>
      <left style="thin">
        <color rgb="FF7F7F7F"/>
      </left>
      <right style="thin">
        <color rgb="FF7F7F7F"/>
      </right>
      <top style="thin">
        <color rgb="FF7F7F7F"/>
      </top>
      <bottom style="thin">
        <color rgb="FF7F7F7F"/>
      </bottom>
    </border>
    <border>
      <left style="thin">
        <color rgb="FF7F7F7F"/>
      </left>
      <right style="thin">
        <color rgb="FF7F7F7F"/>
      </right>
      <top style="thin">
        <color rgb="FF7F7F7F"/>
      </top>
      <bottom style="thin">
        <color rgb="FF000000"/>
      </bottom>
    </border>
    <border>
      <left style="thin">
        <color rgb="FF7F7F7F"/>
      </left>
      <right style="thin">
        <color rgb="FF7F7F7F"/>
      </right>
      <top style="thin">
        <color rgb="FF000000"/>
      </top>
    </border>
    <border>
      <left style="thin">
        <color rgb="FF7F7F7F"/>
      </left>
      <right style="thin">
        <color rgb="FF7F7F7F"/>
      </right>
      <top style="thin">
        <color rgb="FF000000"/>
      </top>
      <bottom style="thin">
        <color rgb="FF7F7F7F"/>
      </bottom>
    </border>
    <border>
      <left/>
      <right/>
      <bottom/>
    </border>
  </borders>
  <cellStyleXfs count="1">
    <xf borderId="0" fillId="0" fontId="0" numFmtId="0" applyAlignment="1" applyFont="1"/>
  </cellStyleXfs>
  <cellXfs count="88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Font="1"/>
    <xf borderId="0" fillId="0" fontId="4" numFmtId="0" xfId="0" applyAlignment="1" applyFont="1">
      <alignment readingOrder="0"/>
    </xf>
    <xf borderId="0" fillId="0" fontId="4" numFmtId="0" xfId="0" applyFont="1"/>
    <xf borderId="0" fillId="0" fontId="5" numFmtId="0" xfId="0" applyAlignment="1" applyFont="1">
      <alignment readingOrder="0"/>
    </xf>
    <xf borderId="0" fillId="0" fontId="0" numFmtId="0" xfId="0" applyAlignment="1" applyFont="1">
      <alignment horizontal="left" readingOrder="0" shrinkToFit="0" vertical="top" wrapText="1"/>
    </xf>
    <xf borderId="0" fillId="0" fontId="6" numFmtId="0" xfId="0" applyFont="1"/>
    <xf borderId="0" fillId="0" fontId="7" numFmtId="0" xfId="0" applyFont="1"/>
    <xf borderId="0" fillId="0" fontId="8" numFmtId="0" xfId="0" applyAlignment="1" applyFont="1">
      <alignment readingOrder="0"/>
    </xf>
    <xf borderId="0" fillId="0" fontId="6" numFmtId="0" xfId="0" applyAlignment="1" applyFont="1">
      <alignment horizontal="left" readingOrder="0" shrinkToFit="0" vertical="top" wrapText="1"/>
    </xf>
    <xf borderId="0" fillId="0" fontId="6" numFmtId="0" xfId="0" applyAlignment="1" applyFont="1">
      <alignment horizontal="left" shrinkToFit="0" vertical="top" wrapText="1"/>
    </xf>
    <xf borderId="1" fillId="2" fontId="6" numFmtId="0" xfId="0" applyAlignment="1" applyBorder="1" applyFill="1" applyFont="1">
      <alignment horizontal="left" shrinkToFit="0" vertical="top" wrapText="1"/>
    </xf>
    <xf borderId="1" fillId="2" fontId="6" numFmtId="0" xfId="0" applyAlignment="1" applyBorder="1" applyFont="1">
      <alignment horizontal="left" readingOrder="0" shrinkToFit="0" vertical="top" wrapText="1"/>
    </xf>
    <xf borderId="0" fillId="0" fontId="9" numFmtId="0" xfId="0" applyAlignment="1" applyFont="1">
      <alignment horizontal="left" readingOrder="0" shrinkToFit="0" vertical="top" wrapText="1"/>
    </xf>
    <xf borderId="0" fillId="0" fontId="8" numFmtId="0" xfId="0" applyFont="1"/>
    <xf borderId="0" fillId="0" fontId="9" numFmtId="0" xfId="0" applyAlignment="1" applyFont="1">
      <alignment horizontal="left" shrinkToFit="0" vertical="top" wrapText="1"/>
    </xf>
    <xf borderId="0" fillId="0" fontId="10" numFmtId="0" xfId="0" applyAlignment="1" applyFont="1">
      <alignment horizontal="left" shrinkToFit="0" vertical="top" wrapText="1"/>
    </xf>
    <xf borderId="0" fillId="0" fontId="6" numFmtId="0" xfId="0" applyAlignment="1" applyFont="1">
      <alignment shrinkToFit="0" wrapText="1"/>
    </xf>
    <xf borderId="0" fillId="0" fontId="9" numFmtId="0" xfId="0" applyAlignment="1" applyFont="1">
      <alignment shrinkToFit="0" wrapText="1"/>
    </xf>
    <xf borderId="2" fillId="0" fontId="11" numFmtId="0" xfId="0" applyAlignment="1" applyBorder="1" applyFont="1">
      <alignment vertical="bottom"/>
    </xf>
    <xf borderId="2" fillId="2" fontId="12" numFmtId="0" xfId="0" applyAlignment="1" applyBorder="1" applyFont="1">
      <alignment horizontal="center" shrinkToFit="0" vertical="bottom" wrapText="1"/>
    </xf>
    <xf borderId="2" fillId="3" fontId="13" numFmtId="0" xfId="0" applyAlignment="1" applyBorder="1" applyFill="1" applyFont="1">
      <alignment horizontal="center" shrinkToFit="0" vertical="bottom" wrapText="1"/>
    </xf>
    <xf borderId="0" fillId="0" fontId="11" numFmtId="0" xfId="0" applyAlignment="1" applyFont="1">
      <alignment vertical="bottom"/>
    </xf>
    <xf borderId="3" fillId="0" fontId="14" numFmtId="0" xfId="0" applyAlignment="1" applyBorder="1" applyFont="1">
      <alignment horizontal="center" readingOrder="0"/>
    </xf>
    <xf borderId="4" fillId="0" fontId="15" numFmtId="0" xfId="0" applyBorder="1" applyFont="1"/>
    <xf borderId="2" fillId="2" fontId="16" numFmtId="0" xfId="0" applyAlignment="1" applyBorder="1" applyFont="1">
      <alignment horizontal="center" shrinkToFit="0" vertical="bottom" wrapText="1"/>
    </xf>
    <xf borderId="3" fillId="4" fontId="17" numFmtId="0" xfId="0" applyAlignment="1" applyBorder="1" applyFill="1" applyFont="1">
      <alignment horizontal="center" shrinkToFit="0" vertical="bottom" wrapText="1"/>
    </xf>
    <xf borderId="5" fillId="0" fontId="15" numFmtId="0" xfId="0" applyBorder="1" applyFont="1"/>
    <xf borderId="2" fillId="0" fontId="11" numFmtId="0" xfId="0" applyAlignment="1" applyBorder="1" applyFont="1">
      <alignment horizontal="center" shrinkToFit="0" vertical="center" wrapText="1"/>
    </xf>
    <xf borderId="2" fillId="0" fontId="11" numFmtId="0" xfId="0" applyAlignment="1" applyBorder="1" applyFont="1">
      <alignment vertical="bottom"/>
    </xf>
    <xf borderId="0" fillId="0" fontId="11" numFmtId="0" xfId="0" applyAlignment="1" applyFont="1">
      <alignment vertical="bottom"/>
    </xf>
    <xf borderId="2" fillId="0" fontId="13" numFmtId="0" xfId="0" applyAlignment="1" applyBorder="1" applyFont="1">
      <alignment vertical="bottom"/>
    </xf>
    <xf borderId="2" fillId="2" fontId="12" numFmtId="0" xfId="0" applyAlignment="1" applyBorder="1" applyFont="1">
      <alignment horizontal="center" vertical="bottom"/>
    </xf>
    <xf borderId="2" fillId="3" fontId="13" numFmtId="49" xfId="0" applyAlignment="1" applyBorder="1" applyFont="1" applyNumberFormat="1">
      <alignment horizontal="center" vertical="bottom"/>
    </xf>
    <xf borderId="2" fillId="4" fontId="17" numFmtId="0" xfId="0" applyAlignment="1" applyBorder="1" applyFont="1">
      <alignment horizontal="center" vertical="bottom"/>
    </xf>
    <xf borderId="2" fillId="4" fontId="17" numFmtId="0" xfId="0" applyAlignment="1" applyBorder="1" applyFont="1">
      <alignment readingOrder="0" vertical="bottom"/>
    </xf>
    <xf borderId="0" fillId="0" fontId="11" numFmtId="0" xfId="0" applyAlignment="1" applyFont="1">
      <alignment vertical="bottom"/>
    </xf>
    <xf borderId="2" fillId="2" fontId="12" numFmtId="10" xfId="0" applyAlignment="1" applyBorder="1" applyFont="1" applyNumberFormat="1">
      <alignment horizontal="center" vertical="bottom"/>
    </xf>
    <xf borderId="2" fillId="3" fontId="0" numFmtId="164" xfId="0" applyAlignment="1" applyBorder="1" applyFont="1" applyNumberFormat="1">
      <alignment horizontal="center" vertical="bottom"/>
    </xf>
    <xf borderId="0" fillId="0" fontId="11" numFmtId="164" xfId="0" applyAlignment="1" applyFont="1" applyNumberFormat="1">
      <alignment vertical="bottom"/>
    </xf>
    <xf borderId="2" fillId="0" fontId="11" numFmtId="0" xfId="0" applyAlignment="1" applyBorder="1" applyFont="1">
      <alignment horizontal="left" vertical="bottom"/>
    </xf>
    <xf borderId="0" fillId="0" fontId="11" numFmtId="0" xfId="0" applyAlignment="1" applyFont="1">
      <alignment shrinkToFit="0" vertical="bottom" wrapText="0"/>
    </xf>
    <xf borderId="0" fillId="0" fontId="0" numFmtId="0" xfId="0" applyAlignment="1" applyFont="1">
      <alignment horizontal="right" vertical="bottom"/>
    </xf>
    <xf borderId="2" fillId="3" fontId="0" numFmtId="0" xfId="0" applyAlignment="1" applyBorder="1" applyFont="1">
      <alignment horizontal="center" shrinkToFit="0" vertical="bottom" wrapText="1"/>
    </xf>
    <xf borderId="2" fillId="0" fontId="0" numFmtId="0" xfId="0" applyAlignment="1" applyBorder="1" applyFont="1">
      <alignment horizontal="left" vertical="bottom"/>
    </xf>
    <xf borderId="2" fillId="2" fontId="12" numFmtId="4" xfId="0" applyAlignment="1" applyBorder="1" applyFont="1" applyNumberFormat="1">
      <alignment horizontal="center" vertical="bottom"/>
    </xf>
    <xf borderId="2" fillId="3" fontId="0" numFmtId="4" xfId="0" applyAlignment="1" applyBorder="1" applyFont="1" applyNumberFormat="1">
      <alignment horizontal="center" vertical="bottom"/>
    </xf>
    <xf borderId="0" fillId="5" fontId="0" numFmtId="0" xfId="0" applyAlignment="1" applyFill="1" applyFont="1">
      <alignment horizontal="right" vertical="bottom"/>
    </xf>
    <xf borderId="2" fillId="5" fontId="12" numFmtId="10" xfId="0" applyAlignment="1" applyBorder="1" applyFont="1" applyNumberFormat="1">
      <alignment horizontal="center" vertical="bottom"/>
    </xf>
    <xf borderId="2" fillId="5" fontId="0" numFmtId="164" xfId="0" applyAlignment="1" applyBorder="1" applyFont="1" applyNumberFormat="1">
      <alignment horizontal="center" vertical="bottom"/>
    </xf>
    <xf borderId="0" fillId="0" fontId="11" numFmtId="1" xfId="0" applyAlignment="1" applyFont="1" applyNumberFormat="1">
      <alignment vertical="bottom"/>
    </xf>
    <xf borderId="0" fillId="2" fontId="0" numFmtId="0" xfId="0" applyAlignment="1" applyFont="1">
      <alignment horizontal="right" vertical="bottom"/>
    </xf>
    <xf borderId="0" fillId="2" fontId="3" numFmtId="0" xfId="0" applyAlignment="1" applyFont="1">
      <alignment horizontal="center" vertical="bottom"/>
    </xf>
    <xf borderId="2" fillId="0" fontId="11" numFmtId="0" xfId="0" applyAlignment="1" applyBorder="1" applyFont="1">
      <alignment horizontal="left" readingOrder="0" vertical="bottom"/>
    </xf>
    <xf borderId="0" fillId="0" fontId="11" numFmtId="0" xfId="0" applyAlignment="1" applyFont="1">
      <alignment horizontal="right" vertical="bottom"/>
    </xf>
    <xf borderId="2" fillId="0" fontId="11" numFmtId="0" xfId="0" applyAlignment="1" applyBorder="1" applyFont="1">
      <alignment horizontal="right" readingOrder="0" vertical="bottom"/>
    </xf>
    <xf borderId="2" fillId="0" fontId="11" numFmtId="0" xfId="0" applyAlignment="1" applyBorder="1" applyFont="1">
      <alignment horizontal="right" readingOrder="0" shrinkToFit="0" vertical="bottom" wrapText="0"/>
    </xf>
    <xf borderId="0" fillId="0" fontId="17" numFmtId="0" xfId="0" applyAlignment="1" applyFont="1">
      <alignment vertical="bottom"/>
    </xf>
    <xf borderId="0" fillId="0" fontId="11" numFmtId="10" xfId="0" applyAlignment="1" applyFont="1" applyNumberFormat="1">
      <alignment horizontal="right" vertical="bottom"/>
    </xf>
    <xf borderId="0" fillId="0" fontId="17" numFmtId="0" xfId="0" applyAlignment="1" applyFont="1">
      <alignment readingOrder="0" vertical="bottom"/>
    </xf>
    <xf borderId="0" fillId="0" fontId="11" numFmtId="10" xfId="0" applyAlignment="1" applyFont="1" applyNumberFormat="1">
      <alignment horizontal="right" readingOrder="0" vertical="bottom"/>
    </xf>
    <xf borderId="0" fillId="0" fontId="11" numFmtId="10" xfId="0" applyAlignment="1" applyFont="1" applyNumberFormat="1">
      <alignment shrinkToFit="0" vertical="bottom" wrapText="0"/>
    </xf>
    <xf borderId="2" fillId="0" fontId="11" numFmtId="10" xfId="0" applyAlignment="1" applyBorder="1" applyFont="1" applyNumberFormat="1">
      <alignment horizontal="right" vertical="bottom"/>
    </xf>
    <xf borderId="2" fillId="0" fontId="11" numFmtId="0" xfId="0" applyAlignment="1" applyBorder="1" applyFont="1">
      <alignment vertical="bottom"/>
    </xf>
    <xf borderId="2" fillId="0" fontId="17" numFmtId="0" xfId="0" applyAlignment="1" applyBorder="1" applyFont="1">
      <alignment horizontal="center" shrinkToFit="0" vertical="bottom" wrapText="1"/>
    </xf>
    <xf borderId="0" fillId="0" fontId="11" numFmtId="0" xfId="0" applyAlignment="1" applyFont="1">
      <alignment horizontal="center" vertical="bottom"/>
    </xf>
    <xf borderId="0" fillId="0" fontId="11" numFmtId="165" xfId="0" applyAlignment="1" applyFont="1" applyNumberFormat="1">
      <alignment horizontal="center" vertical="bottom"/>
    </xf>
    <xf borderId="0" fillId="0" fontId="0" numFmtId="0" xfId="0" applyAlignment="1" applyFont="1">
      <alignment horizontal="center" vertical="bottom"/>
    </xf>
    <xf borderId="0" fillId="0" fontId="0" numFmtId="0" xfId="0" applyAlignment="1" applyFont="1">
      <alignment horizontal="center" readingOrder="0" vertical="bottom"/>
    </xf>
    <xf borderId="0" fillId="0" fontId="0" numFmtId="0" xfId="0" applyAlignment="1" applyFont="1">
      <alignment horizontal="center" vertical="bottom"/>
    </xf>
    <xf borderId="0" fillId="5" fontId="0" numFmtId="0" xfId="0" applyAlignment="1" applyFont="1">
      <alignment horizontal="center" vertical="bottom"/>
    </xf>
    <xf borderId="0" fillId="5" fontId="11" numFmtId="165" xfId="0" applyAlignment="1" applyFont="1" applyNumberFormat="1">
      <alignment vertical="bottom"/>
    </xf>
    <xf borderId="0" fillId="2" fontId="0" numFmtId="0" xfId="0" applyAlignment="1" applyFont="1">
      <alignment horizontal="center" vertical="bottom"/>
    </xf>
    <xf borderId="0" fillId="2" fontId="11" numFmtId="0" xfId="0" applyAlignment="1" applyFont="1">
      <alignment horizontal="center" vertical="bottom"/>
    </xf>
    <xf borderId="0" fillId="0" fontId="14" numFmtId="0" xfId="0" applyAlignment="1" applyFont="1">
      <alignment readingOrder="0"/>
    </xf>
    <xf borderId="0" fillId="0" fontId="13" numFmtId="0" xfId="0" applyAlignment="1" applyFont="1">
      <alignment vertical="bottom"/>
    </xf>
    <xf borderId="0" fillId="0" fontId="13" numFmtId="0" xfId="0" applyFont="1"/>
    <xf borderId="0" fillId="0" fontId="13" numFmtId="0" xfId="0" applyAlignment="1" applyFont="1">
      <alignment horizontal="right" readingOrder="0"/>
    </xf>
    <xf borderId="0" fillId="0" fontId="18" numFmtId="166" xfId="0" applyAlignment="1" applyFont="1" applyNumberFormat="1">
      <alignment vertical="bottom"/>
    </xf>
    <xf borderId="0" fillId="0" fontId="0" numFmtId="166" xfId="0" applyAlignment="1" applyFont="1" applyNumberFormat="1">
      <alignment vertical="bottom"/>
    </xf>
    <xf borderId="0" fillId="0" fontId="0" numFmtId="3" xfId="0" applyFont="1" applyNumberFormat="1"/>
    <xf borderId="0" fillId="0" fontId="0" numFmtId="166" xfId="0" applyFont="1" applyNumberFormat="1"/>
    <xf borderId="0" fillId="0" fontId="0" numFmtId="166" xfId="0" applyAlignment="1" applyFont="1" applyNumberFormat="1">
      <alignment readingOrder="0" vertical="bottom"/>
    </xf>
    <xf borderId="0" fillId="0" fontId="0" numFmtId="3" xfId="0" applyAlignment="1" applyFont="1" applyNumberFormat="1">
      <alignment readingOrder="0"/>
    </xf>
    <xf borderId="0" fillId="0" fontId="19" numFmtId="166" xfId="0" applyAlignment="1" applyFont="1" applyNumberFormat="1">
      <alignment vertical="bottom"/>
    </xf>
    <xf borderId="0" fillId="6" fontId="13" numFmtId="0" xfId="0" applyAlignment="1" applyFill="1" applyFont="1">
      <alignment horizontal="right" readingOrder="0"/>
    </xf>
    <xf borderId="0" fillId="6" fontId="0" numFmtId="166" xfId="0" applyAlignment="1" applyFont="1" applyNumberFormat="1">
      <alignment vertical="bottom"/>
    </xf>
    <xf borderId="0" fillId="6" fontId="0" numFmtId="3" xfId="0" applyFont="1" applyNumberFormat="1"/>
    <xf borderId="0" fillId="6" fontId="0" numFmtId="166" xfId="0" applyFont="1" applyNumberFormat="1"/>
    <xf borderId="0" fillId="6" fontId="0" numFmtId="167" xfId="0" applyAlignment="1" applyFont="1" applyNumberFormat="1">
      <alignment vertical="bottom"/>
    </xf>
    <xf borderId="0" fillId="6" fontId="0" numFmtId="168" xfId="0" applyFont="1" applyNumberFormat="1"/>
    <xf borderId="0" fillId="0" fontId="0" numFmtId="167" xfId="0" applyAlignment="1" applyFont="1" applyNumberFormat="1">
      <alignment vertical="bottom"/>
    </xf>
    <xf borderId="0" fillId="0" fontId="3" numFmtId="3" xfId="0" applyFont="1" applyNumberFormat="1"/>
    <xf borderId="0" fillId="0" fontId="0" numFmtId="168" xfId="0" applyFont="1" applyNumberFormat="1"/>
    <xf borderId="0" fillId="0" fontId="0" numFmtId="3" xfId="0" applyAlignment="1" applyFont="1" applyNumberFormat="1">
      <alignment horizontal="right" vertical="bottom"/>
    </xf>
    <xf borderId="0" fillId="0" fontId="3" numFmtId="3" xfId="0" applyAlignment="1" applyFont="1" applyNumberFormat="1">
      <alignment horizontal="right" vertical="bottom"/>
    </xf>
    <xf borderId="0" fillId="6" fontId="0" numFmtId="3" xfId="0" applyAlignment="1" applyFont="1" applyNumberFormat="1">
      <alignment horizontal="right" vertical="bottom"/>
    </xf>
    <xf borderId="0" fillId="0" fontId="0" numFmtId="167" xfId="0" applyFont="1" applyNumberFormat="1"/>
    <xf borderId="0" fillId="6" fontId="13" numFmtId="3" xfId="0" applyAlignment="1" applyFont="1" applyNumberFormat="1">
      <alignment horizontal="right" readingOrder="0"/>
    </xf>
    <xf borderId="0" fillId="6" fontId="15" numFmtId="167" xfId="0" applyFont="1" applyNumberFormat="1"/>
    <xf borderId="0" fillId="6" fontId="15" numFmtId="0" xfId="0" applyFont="1"/>
    <xf borderId="0" fillId="0" fontId="15" numFmtId="167" xfId="0" applyFont="1" applyNumberFormat="1"/>
    <xf borderId="0" fillId="6" fontId="3" numFmtId="3" xfId="0" applyFont="1" applyNumberFormat="1"/>
    <xf borderId="0" fillId="6" fontId="0" numFmtId="167" xfId="0" applyFont="1" applyNumberFormat="1"/>
    <xf borderId="0" fillId="0" fontId="11" numFmtId="167" xfId="0" applyAlignment="1" applyFont="1" applyNumberFormat="1">
      <alignment vertical="bottom"/>
    </xf>
    <xf borderId="0" fillId="0" fontId="15" numFmtId="3" xfId="0" applyFont="1" applyNumberFormat="1"/>
    <xf borderId="0" fillId="6" fontId="11" numFmtId="167" xfId="0" applyAlignment="1" applyFont="1" applyNumberFormat="1">
      <alignment vertical="bottom"/>
    </xf>
    <xf borderId="0" fillId="6" fontId="15" numFmtId="3" xfId="0" applyFont="1" applyNumberFormat="1"/>
    <xf borderId="0" fillId="6" fontId="17" numFmtId="0" xfId="0" applyAlignment="1" applyFont="1">
      <alignment horizontal="right" vertical="bottom"/>
    </xf>
    <xf borderId="0" fillId="6" fontId="11" numFmtId="0" xfId="0" applyAlignment="1" applyFont="1">
      <alignment vertical="bottom"/>
    </xf>
    <xf borderId="0" fillId="6" fontId="11" numFmtId="2" xfId="0" applyAlignment="1" applyFont="1" applyNumberFormat="1">
      <alignment vertical="bottom"/>
    </xf>
    <xf borderId="0" fillId="6" fontId="15" numFmtId="167" xfId="0" applyAlignment="1" applyFont="1" applyNumberFormat="1">
      <alignment readingOrder="0"/>
    </xf>
    <xf borderId="0" fillId="0" fontId="20" numFmtId="0" xfId="0" applyAlignment="1" applyFont="1">
      <alignment horizontal="right" readingOrder="0"/>
    </xf>
    <xf borderId="0" fillId="0" fontId="3" numFmtId="0" xfId="0" applyAlignment="1" applyFont="1">
      <alignment vertical="bottom"/>
    </xf>
    <xf borderId="0" fillId="0" fontId="4" numFmtId="3" xfId="0" applyFont="1" applyNumberFormat="1"/>
    <xf borderId="0" fillId="6" fontId="14" numFmtId="0" xfId="0" applyAlignment="1" applyFont="1">
      <alignment horizontal="right" readingOrder="0"/>
    </xf>
    <xf borderId="0" fillId="6" fontId="15" numFmtId="3" xfId="0" applyAlignment="1" applyFont="1" applyNumberFormat="1">
      <alignment readingOrder="0"/>
    </xf>
    <xf borderId="0" fillId="0" fontId="21" numFmtId="0" xfId="0" applyAlignment="1" applyFont="1">
      <alignment horizontal="right" readingOrder="0"/>
    </xf>
    <xf borderId="0" fillId="0" fontId="1" numFmtId="0" xfId="0" applyAlignment="1" applyFont="1">
      <alignment vertical="bottom"/>
    </xf>
    <xf borderId="0" fillId="0" fontId="2" numFmtId="3" xfId="0" applyFont="1" applyNumberFormat="1"/>
    <xf borderId="0" fillId="0" fontId="2" numFmtId="0" xfId="0" applyFont="1"/>
    <xf borderId="0" fillId="0" fontId="1" numFmtId="167" xfId="0" applyAlignment="1" applyFont="1" applyNumberFormat="1">
      <alignment vertical="bottom"/>
    </xf>
    <xf borderId="0" fillId="0" fontId="1" numFmtId="164" xfId="0" applyAlignment="1" applyFont="1" applyNumberFormat="1">
      <alignment vertical="bottom"/>
    </xf>
    <xf borderId="0" fillId="2" fontId="0" numFmtId="164" xfId="0" applyAlignment="1" applyFont="1" applyNumberFormat="1">
      <alignment vertical="bottom"/>
    </xf>
    <xf borderId="0" fillId="0" fontId="2" numFmtId="4" xfId="0" applyAlignment="1" applyFont="1" applyNumberFormat="1">
      <alignment readingOrder="0"/>
    </xf>
    <xf borderId="0" fillId="0" fontId="17" numFmtId="0" xfId="0" applyAlignment="1" applyFont="1">
      <alignment vertical="bottom"/>
    </xf>
    <xf borderId="0" fillId="2" fontId="0" numFmtId="167" xfId="0" applyAlignment="1" applyFont="1" applyNumberFormat="1">
      <alignment horizontal="right" vertical="bottom"/>
    </xf>
    <xf borderId="0" fillId="6" fontId="0" numFmtId="167" xfId="0" applyAlignment="1" applyFont="1" applyNumberFormat="1">
      <alignment readingOrder="0" vertical="bottom"/>
    </xf>
    <xf borderId="0" fillId="6" fontId="11" numFmtId="167" xfId="0" applyAlignment="1" applyFont="1" applyNumberFormat="1">
      <alignment readingOrder="0" vertical="bottom"/>
    </xf>
    <xf borderId="0" fillId="0" fontId="1" numFmtId="167" xfId="0" applyAlignment="1" applyFont="1" applyNumberFormat="1">
      <alignment readingOrder="0" vertical="bottom"/>
    </xf>
    <xf borderId="0" fillId="0" fontId="2" numFmtId="167" xfId="0" applyAlignment="1" applyFont="1" applyNumberFormat="1">
      <alignment readingOrder="0"/>
    </xf>
    <xf borderId="0" fillId="0" fontId="2" numFmtId="3" xfId="0" applyAlignment="1" applyFont="1" applyNumberFormat="1">
      <alignment readingOrder="0"/>
    </xf>
    <xf borderId="0" fillId="2" fontId="0" numFmtId="167" xfId="0" applyAlignment="1" applyFont="1" applyNumberFormat="1">
      <alignment readingOrder="0"/>
    </xf>
    <xf borderId="0" fillId="0" fontId="21" numFmtId="0" xfId="0" applyAlignment="1" applyFont="1">
      <alignment horizontal="right" vertical="bottom"/>
    </xf>
    <xf borderId="0" fillId="0" fontId="1" numFmtId="3" xfId="0" applyAlignment="1" applyFont="1" applyNumberFormat="1">
      <alignment horizontal="right" vertical="bottom"/>
    </xf>
    <xf borderId="0" fillId="2" fontId="0" numFmtId="167" xfId="0" applyAlignment="1" applyFont="1" applyNumberFormat="1">
      <alignment vertical="bottom"/>
    </xf>
    <xf borderId="0" fillId="0" fontId="1" numFmtId="4" xfId="0" applyAlignment="1" applyFont="1" applyNumberFormat="1">
      <alignment horizontal="right" vertical="bottom"/>
    </xf>
    <xf borderId="0" fillId="0" fontId="0" numFmtId="0" xfId="0" applyFont="1"/>
    <xf borderId="6" fillId="7" fontId="13" numFmtId="0" xfId="0" applyBorder="1" applyFill="1" applyFont="1"/>
    <xf borderId="0" fillId="0" fontId="0" numFmtId="0" xfId="0" applyAlignment="1" applyFont="1">
      <alignment horizontal="center"/>
    </xf>
    <xf borderId="7" fillId="7" fontId="13" numFmtId="0" xfId="0" applyBorder="1" applyFont="1"/>
    <xf borderId="2" fillId="0" fontId="13" numFmtId="0" xfId="0" applyAlignment="1" applyBorder="1" applyFont="1">
      <alignment shrinkToFit="0" vertical="bottom" wrapText="0"/>
    </xf>
    <xf borderId="0" fillId="2" fontId="11" numFmtId="0" xfId="0" applyAlignment="1" applyFont="1">
      <alignment vertical="bottom"/>
    </xf>
    <xf borderId="0" fillId="2" fontId="0" numFmtId="0" xfId="0" applyAlignment="1" applyFont="1">
      <alignment horizontal="right" vertical="bottom"/>
    </xf>
    <xf borderId="0" fillId="0" fontId="11" numFmtId="1" xfId="0" applyFont="1" applyNumberFormat="1"/>
    <xf borderId="0" fillId="8" fontId="0" numFmtId="1" xfId="0" applyAlignment="1" applyFill="1" applyFont="1" applyNumberFormat="1">
      <alignment horizontal="center" vertical="bottom"/>
    </xf>
    <xf borderId="0" fillId="0" fontId="0" numFmtId="1" xfId="0" applyAlignment="1" applyFont="1" applyNumberFormat="1">
      <alignment horizontal="center" vertical="bottom"/>
    </xf>
    <xf borderId="7" fillId="7" fontId="13" numFmtId="0" xfId="0" applyAlignment="1" applyBorder="1" applyFont="1">
      <alignment horizontal="right" readingOrder="0"/>
    </xf>
    <xf borderId="0" fillId="0" fontId="13" numFmtId="0" xfId="0" applyAlignment="1" applyFont="1">
      <alignment horizontal="right" vertical="bottom"/>
    </xf>
    <xf borderId="0" fillId="8" fontId="3" numFmtId="0" xfId="0" applyAlignment="1" applyFont="1">
      <alignment horizontal="right" readingOrder="0" vertical="bottom"/>
    </xf>
    <xf borderId="0" fillId="8" fontId="3" numFmtId="1" xfId="0" applyAlignment="1" applyFont="1" applyNumberFormat="1">
      <alignment horizontal="right" readingOrder="0" vertical="bottom"/>
    </xf>
    <xf borderId="0" fillId="9" fontId="0" numFmtId="1" xfId="0" applyAlignment="1" applyFill="1" applyFont="1" applyNumberFormat="1">
      <alignment horizontal="right" vertical="bottom"/>
    </xf>
    <xf borderId="0" fillId="0" fontId="0" numFmtId="169" xfId="0" applyAlignment="1" applyFont="1" applyNumberFormat="1">
      <alignment horizontal="center" vertical="bottom"/>
    </xf>
    <xf borderId="0" fillId="8" fontId="12" numFmtId="1" xfId="0" applyAlignment="1" applyFont="1" applyNumberFormat="1">
      <alignment horizontal="center" vertical="bottom"/>
    </xf>
    <xf borderId="0" fillId="8" fontId="3" numFmtId="169" xfId="0" applyAlignment="1" applyFont="1" applyNumberFormat="1">
      <alignment horizontal="right" readingOrder="0" shrinkToFit="0" vertical="bottom" wrapText="0"/>
    </xf>
    <xf borderId="0" fillId="9" fontId="0" numFmtId="169" xfId="0" applyAlignment="1" applyFont="1" applyNumberFormat="1">
      <alignment horizontal="right" readingOrder="0" vertical="bottom"/>
    </xf>
    <xf borderId="7" fillId="7" fontId="13" numFmtId="0" xfId="0" applyAlignment="1" applyBorder="1" applyFont="1">
      <alignment horizontal="right"/>
    </xf>
    <xf borderId="0" fillId="0" fontId="13" numFmtId="0" xfId="0" applyAlignment="1" applyFont="1">
      <alignment horizontal="right" vertical="bottom"/>
    </xf>
    <xf borderId="0" fillId="0" fontId="0" numFmtId="170" xfId="0" applyAlignment="1" applyFont="1" applyNumberFormat="1">
      <alignment horizontal="center"/>
    </xf>
    <xf borderId="0" fillId="8" fontId="0" numFmtId="170" xfId="0" applyAlignment="1" applyFont="1" applyNumberFormat="1">
      <alignment horizontal="center"/>
    </xf>
    <xf borderId="0" fillId="7" fontId="13" numFmtId="0" xfId="0" applyAlignment="1" applyFont="1">
      <alignment horizontal="right" vertical="bottom"/>
    </xf>
    <xf borderId="0" fillId="0" fontId="11" numFmtId="170" xfId="0" applyAlignment="1" applyFont="1" applyNumberFormat="1">
      <alignment vertical="bottom"/>
    </xf>
    <xf borderId="0" fillId="0" fontId="0" numFmtId="3" xfId="0" applyAlignment="1" applyFont="1" applyNumberFormat="1">
      <alignment horizontal="center" vertical="bottom"/>
    </xf>
    <xf borderId="2" fillId="7" fontId="13" numFmtId="0" xfId="0" applyAlignment="1" applyBorder="1" applyFont="1">
      <alignment horizontal="right" vertical="bottom"/>
    </xf>
    <xf borderId="2" fillId="0" fontId="13" numFmtId="0" xfId="0" applyAlignment="1" applyBorder="1" applyFont="1">
      <alignment horizontal="right" vertical="bottom"/>
    </xf>
    <xf borderId="0" fillId="0" fontId="0" numFmtId="2" xfId="0" applyAlignment="1" applyFont="1" applyNumberFormat="1">
      <alignment horizontal="center" vertical="bottom"/>
    </xf>
    <xf borderId="0" fillId="0" fontId="0" numFmtId="4" xfId="0" applyAlignment="1" applyFont="1" applyNumberFormat="1">
      <alignment horizontal="center" vertical="bottom"/>
    </xf>
    <xf borderId="2" fillId="10" fontId="13" numFmtId="0" xfId="0" applyAlignment="1" applyBorder="1" applyFill="1" applyFont="1">
      <alignment horizontal="right" vertical="bottom"/>
    </xf>
    <xf borderId="0" fillId="0" fontId="11" numFmtId="4" xfId="0" applyAlignment="1" applyFont="1" applyNumberFormat="1">
      <alignment vertical="bottom"/>
    </xf>
    <xf borderId="0" fillId="8" fontId="3" numFmtId="0" xfId="0" applyAlignment="1" applyFont="1">
      <alignment horizontal="right" readingOrder="0" vertical="bottom"/>
    </xf>
    <xf borderId="0" fillId="9" fontId="0" numFmtId="0" xfId="0" applyAlignment="1" applyFont="1">
      <alignment horizontal="right" vertical="bottom"/>
    </xf>
    <xf borderId="0" fillId="8" fontId="3" numFmtId="1" xfId="0" applyAlignment="1" applyFont="1" applyNumberFormat="1">
      <alignment horizontal="right" vertical="bottom"/>
    </xf>
    <xf borderId="0" fillId="0" fontId="13" numFmtId="0" xfId="0" applyAlignment="1" applyFont="1">
      <alignment horizontal="right"/>
    </xf>
    <xf borderId="0" fillId="0" fontId="0" numFmtId="1" xfId="0" applyAlignment="1" applyFont="1" applyNumberFormat="1">
      <alignment horizontal="center"/>
    </xf>
    <xf borderId="0" fillId="0" fontId="0" numFmtId="171" xfId="0" applyAlignment="1" applyFont="1" applyNumberFormat="1">
      <alignment horizontal="center"/>
    </xf>
    <xf borderId="0" fillId="0" fontId="0" numFmtId="168" xfId="0" applyAlignment="1" applyFont="1" applyNumberFormat="1">
      <alignment horizontal="center"/>
    </xf>
    <xf borderId="0" fillId="0" fontId="0" numFmtId="172" xfId="0" applyAlignment="1" applyFont="1" applyNumberFormat="1">
      <alignment horizontal="center"/>
    </xf>
    <xf borderId="0" fillId="0" fontId="0" numFmtId="173" xfId="0" applyAlignment="1" applyFont="1" applyNumberFormat="1">
      <alignment horizontal="center"/>
    </xf>
    <xf borderId="0" fillId="0" fontId="0" numFmtId="174" xfId="0" applyAlignment="1" applyFont="1" applyNumberFormat="1">
      <alignment horizontal="center"/>
    </xf>
    <xf borderId="0" fillId="0" fontId="0" numFmtId="175" xfId="0" applyAlignment="1" applyFont="1" applyNumberFormat="1">
      <alignment horizontal="center"/>
    </xf>
    <xf borderId="0" fillId="7" fontId="13" numFmtId="0" xfId="0" applyAlignment="1" applyFont="1">
      <alignment horizontal="right" readingOrder="0"/>
    </xf>
    <xf borderId="0" fillId="0" fontId="0" numFmtId="169" xfId="0" applyAlignment="1" applyFont="1" applyNumberFormat="1">
      <alignment horizontal="center"/>
    </xf>
    <xf borderId="0" fillId="11" fontId="0" numFmtId="169" xfId="0" applyAlignment="1" applyFill="1" applyFont="1" applyNumberFormat="1">
      <alignment horizontal="center"/>
    </xf>
    <xf borderId="6" fillId="12" fontId="13" numFmtId="0" xfId="0" applyBorder="1" applyFill="1" applyFont="1"/>
    <xf borderId="0" fillId="12" fontId="13" numFmtId="0" xfId="0" applyAlignment="1" applyFont="1">
      <alignment horizontal="right" readingOrder="0"/>
    </xf>
    <xf borderId="0" fillId="12" fontId="13" numFmtId="0" xfId="0" applyAlignment="1" applyFont="1">
      <alignment horizontal="right"/>
    </xf>
    <xf borderId="0" fillId="0" fontId="13" numFmtId="173" xfId="0" applyFont="1" applyNumberFormat="1"/>
    <xf borderId="0" fillId="12" fontId="13" numFmtId="0" xfId="0" applyFont="1"/>
    <xf borderId="0" fillId="2" fontId="0" numFmtId="168" xfId="0" applyFont="1" applyNumberFormat="1"/>
    <xf borderId="0" fillId="0" fontId="0" numFmtId="2" xfId="0" applyAlignment="1" applyFont="1" applyNumberFormat="1">
      <alignment horizontal="center"/>
    </xf>
    <xf borderId="2" fillId="12" fontId="13" numFmtId="0" xfId="0" applyAlignment="1" applyBorder="1" applyFont="1">
      <alignment vertical="bottom"/>
    </xf>
    <xf borderId="0" fillId="0" fontId="11" numFmtId="2" xfId="0" applyAlignment="1" applyFont="1" applyNumberFormat="1">
      <alignment vertical="bottom"/>
    </xf>
    <xf borderId="0" fillId="8" fontId="11" numFmtId="1" xfId="0" applyAlignment="1" applyFont="1" applyNumberFormat="1">
      <alignment vertical="bottom"/>
    </xf>
    <xf borderId="2" fillId="12" fontId="13" numFmtId="0" xfId="0" applyAlignment="1" applyBorder="1" applyFont="1">
      <alignment horizontal="right" vertical="bottom"/>
    </xf>
    <xf borderId="0" fillId="9" fontId="3" numFmtId="0" xfId="0" applyAlignment="1" applyFont="1">
      <alignment horizontal="right" vertical="bottom"/>
    </xf>
    <xf borderId="0" fillId="9" fontId="3" numFmtId="0" xfId="0" applyAlignment="1" applyFont="1">
      <alignment horizontal="right" vertical="bottom"/>
    </xf>
    <xf borderId="0" fillId="0" fontId="3" numFmtId="0" xfId="0" applyAlignment="1" applyFont="1">
      <alignment horizontal="right" vertical="bottom"/>
    </xf>
    <xf borderId="0" fillId="0" fontId="0" numFmtId="1" xfId="0" applyAlignment="1" applyFont="1" applyNumberFormat="1">
      <alignment vertical="bottom"/>
    </xf>
    <xf borderId="0" fillId="8" fontId="16" numFmtId="1" xfId="0" applyFont="1" applyNumberFormat="1"/>
    <xf borderId="2" fillId="12" fontId="13" numFmtId="0" xfId="0" applyAlignment="1" applyBorder="1" applyFont="1">
      <alignment horizontal="right" readingOrder="0" vertical="bottom"/>
    </xf>
    <xf borderId="2" fillId="0" fontId="13" numFmtId="0" xfId="0" applyAlignment="1" applyBorder="1" applyFont="1">
      <alignment horizontal="right" vertical="bottom"/>
    </xf>
    <xf borderId="0" fillId="0" fontId="0" numFmtId="1" xfId="0" applyAlignment="1" applyFont="1" applyNumberFormat="1">
      <alignment horizontal="right" readingOrder="0" shrinkToFit="0" vertical="bottom" wrapText="0"/>
    </xf>
    <xf borderId="2" fillId="12" fontId="13" numFmtId="0" xfId="0" applyAlignment="1" applyBorder="1" applyFont="1">
      <alignment horizontal="right" vertical="bottom"/>
    </xf>
    <xf borderId="0" fillId="8" fontId="3" numFmtId="4" xfId="0" applyAlignment="1" applyFont="1" applyNumberFormat="1">
      <alignment horizontal="center" readingOrder="0" vertical="bottom"/>
    </xf>
    <xf borderId="0" fillId="9" fontId="0" numFmtId="4" xfId="0" applyAlignment="1" applyFont="1" applyNumberFormat="1">
      <alignment horizontal="center" vertical="bottom"/>
    </xf>
    <xf borderId="7" fillId="12" fontId="13" numFmtId="0" xfId="0" applyAlignment="1" applyBorder="1" applyFont="1">
      <alignment horizontal="right" readingOrder="0"/>
    </xf>
    <xf borderId="0" fillId="0" fontId="0" numFmtId="9" xfId="0" applyAlignment="1" applyFont="1" applyNumberFormat="1">
      <alignment horizontal="center"/>
    </xf>
    <xf borderId="7" fillId="12" fontId="13" numFmtId="0" xfId="0" applyAlignment="1" applyBorder="1" applyFont="1">
      <alignment horizontal="right"/>
    </xf>
    <xf borderId="0" fillId="0" fontId="0" numFmtId="4" xfId="0" applyAlignment="1" applyFont="1" applyNumberFormat="1">
      <alignment readingOrder="0"/>
    </xf>
    <xf borderId="0" fillId="0" fontId="0" numFmtId="4" xfId="0" applyFont="1" applyNumberFormat="1"/>
    <xf borderId="0" fillId="0" fontId="0" numFmtId="170" xfId="0" applyFont="1" applyNumberFormat="1"/>
    <xf borderId="0" fillId="9" fontId="0" numFmtId="0" xfId="0" applyAlignment="1" applyFont="1">
      <alignment horizontal="right" readingOrder="0" vertical="bottom"/>
    </xf>
    <xf borderId="0" fillId="2" fontId="16" numFmtId="171" xfId="0" applyAlignment="1" applyFont="1" applyNumberFormat="1">
      <alignment readingOrder="0"/>
    </xf>
    <xf borderId="0" fillId="0" fontId="11" numFmtId="168" xfId="0" applyAlignment="1" applyFont="1" applyNumberFormat="1">
      <alignment vertical="bottom"/>
    </xf>
    <xf borderId="0" fillId="0" fontId="11" numFmtId="168" xfId="0" applyAlignment="1" applyFont="1" applyNumberFormat="1">
      <alignment horizontal="right" vertical="bottom"/>
    </xf>
    <xf borderId="0" fillId="0" fontId="11" numFmtId="170" xfId="0" applyAlignment="1" applyFont="1" applyNumberFormat="1">
      <alignment horizontal="right"/>
    </xf>
    <xf borderId="0" fillId="0" fontId="0" numFmtId="168" xfId="0" applyAlignment="1" applyFont="1" applyNumberFormat="1">
      <alignment readingOrder="0"/>
    </xf>
    <xf borderId="0" fillId="0" fontId="0" numFmtId="176" xfId="0" applyAlignment="1" applyFont="1" applyNumberFormat="1">
      <alignment horizontal="center"/>
    </xf>
    <xf borderId="0" fillId="2" fontId="16" numFmtId="170" xfId="0" applyFont="1" applyNumberFormat="1"/>
    <xf borderId="0" fillId="0" fontId="0" numFmtId="176" xfId="0" applyFont="1" applyNumberFormat="1"/>
    <xf borderId="0" fillId="0" fontId="22" numFmtId="176" xfId="0" applyFont="1" applyNumberFormat="1"/>
    <xf borderId="0" fillId="8" fontId="0" numFmtId="176" xfId="0" applyAlignment="1" applyFont="1" applyNumberFormat="1">
      <alignment horizontal="center"/>
    </xf>
    <xf borderId="0" fillId="0" fontId="15" numFmtId="168" xfId="0" applyFont="1" applyNumberFormat="1"/>
    <xf borderId="0" fillId="0" fontId="13" numFmtId="168" xfId="0" applyAlignment="1" applyFont="1" applyNumberFormat="1">
      <alignment horizontal="right"/>
    </xf>
    <xf quotePrefix="1" borderId="0" fillId="2" fontId="0" numFmtId="0" xfId="0" applyAlignment="1" applyFont="1">
      <alignment readingOrder="0" shrinkToFit="0" vertical="bottom" wrapText="0"/>
    </xf>
    <xf borderId="6" fillId="12" fontId="13" numFmtId="0" xfId="0" applyAlignment="1" applyBorder="1" applyFont="1">
      <alignment readingOrder="0"/>
    </xf>
    <xf borderId="0" fillId="0" fontId="0" numFmtId="169" xfId="0" applyFont="1" applyNumberFormat="1"/>
    <xf borderId="0" fillId="0" fontId="0" numFmtId="2" xfId="0" applyFont="1" applyNumberFormat="1"/>
    <xf borderId="0" fillId="0" fontId="0" numFmtId="174" xfId="0" applyFont="1" applyNumberFormat="1"/>
    <xf borderId="0" fillId="0" fontId="0" numFmtId="0" xfId="0" applyAlignment="1" applyFont="1">
      <alignment readingOrder="0"/>
    </xf>
    <xf borderId="6" fillId="13" fontId="13" numFmtId="0" xfId="0" applyBorder="1" applyFill="1" applyFont="1"/>
    <xf borderId="7" fillId="13" fontId="13" numFmtId="0" xfId="0" applyBorder="1" applyFont="1"/>
    <xf borderId="2" fillId="2" fontId="23" numFmtId="0" xfId="0" applyAlignment="1" applyBorder="1" applyFont="1">
      <alignment shrinkToFit="0" vertical="bottom" wrapText="0"/>
    </xf>
    <xf borderId="0" fillId="0" fontId="11" numFmtId="1" xfId="0" applyAlignment="1" applyFont="1" applyNumberFormat="1">
      <alignment horizontal="right" vertical="bottom"/>
    </xf>
    <xf borderId="6" fillId="13" fontId="13" numFmtId="0" xfId="0" applyAlignment="1" applyBorder="1" applyFont="1">
      <alignment readingOrder="0"/>
    </xf>
    <xf borderId="2" fillId="2" fontId="23" numFmtId="0" xfId="0" applyAlignment="1" applyBorder="1" applyFont="1">
      <alignment shrinkToFit="0" vertical="bottom" wrapText="0"/>
    </xf>
    <xf borderId="0" fillId="8" fontId="0" numFmtId="2" xfId="0" applyAlignment="1" applyFont="1" applyNumberFormat="1">
      <alignment horizontal="center" vertical="bottom"/>
    </xf>
    <xf borderId="7" fillId="13" fontId="13" numFmtId="0" xfId="0" applyAlignment="1" applyBorder="1" applyFont="1">
      <alignment horizontal="right" readingOrder="0"/>
    </xf>
    <xf borderId="2" fillId="8" fontId="3" numFmtId="0" xfId="0" applyAlignment="1" applyBorder="1" applyFont="1">
      <alignment horizontal="right" readingOrder="0" vertical="bottom"/>
    </xf>
    <xf borderId="7" fillId="13" fontId="13" numFmtId="0" xfId="0" applyAlignment="1" applyBorder="1" applyFont="1">
      <alignment horizontal="right"/>
    </xf>
    <xf borderId="0" fillId="9" fontId="0" numFmtId="169" xfId="0" applyAlignment="1" applyFont="1" applyNumberFormat="1">
      <alignment horizontal="right" vertical="bottom"/>
    </xf>
    <xf borderId="0" fillId="8" fontId="12" numFmtId="169" xfId="0" applyAlignment="1" applyFont="1" applyNumberFormat="1">
      <alignment horizontal="center" vertical="bottom"/>
    </xf>
    <xf borderId="0" fillId="0" fontId="0" numFmtId="168" xfId="0" applyAlignment="1" applyFont="1" applyNumberFormat="1">
      <alignment horizontal="right"/>
    </xf>
    <xf borderId="7" fillId="13" fontId="13" numFmtId="165" xfId="0" applyAlignment="1" applyBorder="1" applyFont="1" applyNumberFormat="1">
      <alignment horizontal="right" readingOrder="0"/>
    </xf>
    <xf borderId="0" fillId="0" fontId="13" numFmtId="165" xfId="0" applyAlignment="1" applyFont="1" applyNumberFormat="1">
      <alignment horizontal="right" vertical="bottom"/>
    </xf>
    <xf borderId="0" fillId="0" fontId="11" numFmtId="165" xfId="0" applyAlignment="1" applyFont="1" applyNumberFormat="1">
      <alignment horizontal="right" vertical="bottom"/>
    </xf>
    <xf borderId="0" fillId="0" fontId="15" numFmtId="165" xfId="0" applyFont="1" applyNumberFormat="1"/>
    <xf borderId="6" fillId="14" fontId="13" numFmtId="0" xfId="0" applyBorder="1" applyFill="1" applyFont="1"/>
    <xf borderId="7" fillId="14" fontId="13" numFmtId="0" xfId="0" applyBorder="1" applyFont="1"/>
    <xf borderId="6" fillId="14" fontId="13" numFmtId="0" xfId="0" applyAlignment="1" applyBorder="1" applyFont="1">
      <alignment readingOrder="0"/>
    </xf>
    <xf borderId="0" fillId="0" fontId="11" numFmtId="0" xfId="0" applyAlignment="1" applyFont="1">
      <alignment horizontal="right" vertical="bottom"/>
    </xf>
    <xf borderId="0" fillId="0" fontId="11" numFmtId="169" xfId="0" applyAlignment="1" applyFont="1" applyNumberFormat="1">
      <alignment horizontal="right" vertical="bottom"/>
    </xf>
    <xf borderId="7" fillId="14" fontId="13" numFmtId="0" xfId="0" applyAlignment="1" applyBorder="1" applyFont="1">
      <alignment horizontal="right" readingOrder="0"/>
    </xf>
    <xf borderId="7" fillId="14" fontId="13" numFmtId="0" xfId="0" applyAlignment="1" applyBorder="1" applyFont="1">
      <alignment horizontal="right"/>
    </xf>
    <xf borderId="0" fillId="0" fontId="0" numFmtId="2" xfId="0" applyAlignment="1" applyFont="1" applyNumberFormat="1">
      <alignment horizontal="right" vertical="bottom"/>
    </xf>
    <xf borderId="6" fillId="15" fontId="13" numFmtId="0" xfId="0" applyBorder="1" applyFill="1" applyFont="1"/>
    <xf borderId="7" fillId="15" fontId="13" numFmtId="0" xfId="0" applyBorder="1" applyFont="1"/>
    <xf borderId="0" fillId="0" fontId="13" numFmtId="0" xfId="0" applyAlignment="1" applyFont="1">
      <alignment readingOrder="0"/>
    </xf>
    <xf borderId="6" fillId="15" fontId="13" numFmtId="0" xfId="0" applyAlignment="1" applyBorder="1" applyFont="1">
      <alignment readingOrder="0"/>
    </xf>
    <xf borderId="7" fillId="15" fontId="13" numFmtId="0" xfId="0" applyAlignment="1" applyBorder="1" applyFont="1">
      <alignment horizontal="right" readingOrder="0"/>
    </xf>
    <xf borderId="7" fillId="15" fontId="13" numFmtId="0" xfId="0" applyAlignment="1" applyBorder="1" applyFont="1">
      <alignment horizontal="right"/>
    </xf>
    <xf borderId="0" fillId="8" fontId="3" numFmtId="0" xfId="0" applyAlignment="1" applyFont="1">
      <alignment horizontal="right" vertical="bottom"/>
    </xf>
    <xf borderId="7" fillId="15" fontId="13" numFmtId="2" xfId="0" applyAlignment="1" applyBorder="1" applyFont="1" applyNumberFormat="1">
      <alignment horizontal="right" readingOrder="0"/>
    </xf>
    <xf borderId="0" fillId="0" fontId="13" numFmtId="2" xfId="0" applyAlignment="1" applyFont="1" applyNumberFormat="1">
      <alignment horizontal="right" vertical="bottom"/>
    </xf>
    <xf borderId="0" fillId="0" fontId="0" numFmtId="2" xfId="0" applyAlignment="1" applyFont="1" applyNumberFormat="1">
      <alignment horizontal="right"/>
    </xf>
    <xf borderId="0" fillId="0" fontId="13" numFmtId="2" xfId="0" applyAlignment="1" applyFont="1" applyNumberFormat="1">
      <alignment horizontal="right"/>
    </xf>
    <xf borderId="0" fillId="0" fontId="15" numFmtId="2" xfId="0" applyFont="1" applyNumberFormat="1"/>
    <xf borderId="6" fillId="16" fontId="13" numFmtId="0" xfId="0" applyBorder="1" applyFill="1" applyFont="1"/>
    <xf borderId="7" fillId="16" fontId="13" numFmtId="0" xfId="0" applyBorder="1" applyFont="1"/>
    <xf borderId="6" fillId="16" fontId="13" numFmtId="0" xfId="0" applyAlignment="1" applyBorder="1" applyFont="1">
      <alignment readingOrder="0"/>
    </xf>
    <xf borderId="7" fillId="16" fontId="13" numFmtId="0" xfId="0" applyAlignment="1" applyBorder="1" applyFont="1">
      <alignment horizontal="right" readingOrder="0"/>
    </xf>
    <xf borderId="7" fillId="16" fontId="13" numFmtId="0" xfId="0" applyAlignment="1" applyBorder="1" applyFont="1">
      <alignment horizontal="right"/>
    </xf>
    <xf borderId="0" fillId="8" fontId="3" numFmtId="165" xfId="0" applyAlignment="1" applyFont="1" applyNumberFormat="1">
      <alignment horizontal="right" readingOrder="0" shrinkToFit="0" vertical="bottom" wrapText="0"/>
    </xf>
    <xf borderId="0" fillId="9" fontId="0" numFmtId="165" xfId="0" applyAlignment="1" applyFont="1" applyNumberFormat="1">
      <alignment horizontal="right" readingOrder="0" vertical="bottom"/>
    </xf>
    <xf borderId="0" fillId="0" fontId="0" numFmtId="0" xfId="0" applyAlignment="1" applyFont="1">
      <alignment horizontal="right"/>
    </xf>
    <xf borderId="0" fillId="0" fontId="0" numFmtId="177" xfId="0" applyAlignment="1" applyFont="1" applyNumberFormat="1">
      <alignment horizontal="center"/>
    </xf>
    <xf borderId="0" fillId="0" fontId="13" numFmtId="176" xfId="0" applyAlignment="1" applyFont="1" applyNumberFormat="1">
      <alignment horizontal="right"/>
    </xf>
    <xf borderId="0" fillId="0" fontId="0" numFmtId="178" xfId="0" applyAlignment="1" applyFont="1" applyNumberFormat="1">
      <alignment horizontal="center"/>
    </xf>
    <xf borderId="0" fillId="0" fontId="0" numFmtId="179" xfId="0" applyAlignment="1" applyFont="1" applyNumberFormat="1">
      <alignment horizontal="center"/>
    </xf>
    <xf borderId="0" fillId="0" fontId="13" numFmtId="0" xfId="0" applyAlignment="1" applyFont="1">
      <alignment horizontal="right" readingOrder="0"/>
    </xf>
    <xf borderId="8" fillId="16" fontId="13" numFmtId="0" xfId="0" applyAlignment="1" applyBorder="1" applyFont="1">
      <alignment horizontal="right" readingOrder="0"/>
    </xf>
    <xf borderId="0" fillId="8" fontId="0" numFmtId="0" xfId="0" applyAlignment="1" applyFont="1">
      <alignment horizontal="right" readingOrder="0"/>
    </xf>
    <xf borderId="6" fillId="17" fontId="13" numFmtId="0" xfId="0" applyAlignment="1" applyBorder="1" applyFill="1" applyFont="1">
      <alignment readingOrder="0"/>
    </xf>
    <xf borderId="0" fillId="0" fontId="0" numFmtId="0" xfId="0" applyAlignment="1" applyFont="1">
      <alignment horizontal="right" readingOrder="0" shrinkToFit="0" vertical="bottom" wrapText="0"/>
    </xf>
    <xf borderId="0" fillId="0" fontId="0" numFmtId="1" xfId="0" applyFont="1" applyNumberFormat="1"/>
    <xf borderId="7" fillId="17" fontId="13" numFmtId="0" xfId="0" applyBorder="1" applyFont="1"/>
    <xf borderId="0" fillId="0" fontId="0" numFmtId="2" xfId="0" applyAlignment="1" applyFont="1" applyNumberFormat="1">
      <alignment horizontal="right" readingOrder="0"/>
    </xf>
    <xf borderId="0" fillId="0" fontId="0" numFmtId="0" xfId="0" applyAlignment="1" applyFont="1">
      <alignment horizontal="right" readingOrder="0"/>
    </xf>
    <xf borderId="0" fillId="2" fontId="12" numFmtId="169" xfId="0" applyAlignment="1" applyFont="1" applyNumberFormat="1">
      <alignment horizontal="center"/>
    </xf>
    <xf borderId="2" fillId="0" fontId="11" numFmtId="168" xfId="0" applyAlignment="1" applyBorder="1" applyFont="1" applyNumberFormat="1">
      <alignment vertical="bottom"/>
    </xf>
    <xf borderId="0" fillId="0" fontId="0" numFmtId="4" xfId="0" applyAlignment="1" applyFont="1" applyNumberFormat="1">
      <alignment horizontal="right" vertical="bottom"/>
    </xf>
    <xf borderId="7" fillId="17" fontId="13" numFmtId="0" xfId="0" applyAlignment="1" applyBorder="1" applyFont="1">
      <alignment horizontal="right" readingOrder="0"/>
    </xf>
    <xf borderId="7" fillId="17" fontId="13" numFmtId="0" xfId="0" applyAlignment="1" applyBorder="1" applyFont="1">
      <alignment horizontal="right"/>
    </xf>
    <xf borderId="0" fillId="17" fontId="13" numFmtId="0" xfId="0" applyAlignment="1" applyFont="1">
      <alignment horizontal="right"/>
    </xf>
    <xf borderId="0" fillId="9" fontId="0" numFmtId="1" xfId="0" applyAlignment="1" applyFont="1" applyNumberFormat="1">
      <alignment horizontal="right" readingOrder="0" vertical="bottom"/>
    </xf>
    <xf borderId="0" fillId="17" fontId="13" numFmtId="0" xfId="0" applyAlignment="1" applyFont="1">
      <alignment horizontal="right" readingOrder="0"/>
    </xf>
    <xf borderId="0" fillId="17" fontId="13" numFmtId="2" xfId="0" applyAlignment="1" applyFont="1" applyNumberFormat="1">
      <alignment horizontal="right" readingOrder="0"/>
    </xf>
    <xf borderId="0" fillId="2" fontId="0" numFmtId="2" xfId="0" applyAlignment="1" applyFont="1" applyNumberFormat="1">
      <alignment horizontal="right" vertical="bottom"/>
    </xf>
    <xf borderId="0" fillId="2" fontId="24" numFmtId="2" xfId="0" applyAlignment="1" applyFont="1" applyNumberFormat="1">
      <alignment horizontal="right" vertical="bottom"/>
    </xf>
    <xf borderId="6" fillId="18" fontId="13" numFmtId="0" xfId="0" applyAlignment="1" applyBorder="1" applyFill="1" applyFont="1">
      <alignment readingOrder="0"/>
    </xf>
    <xf borderId="7" fillId="18" fontId="13" numFmtId="0" xfId="0" applyBorder="1" applyFont="1"/>
    <xf borderId="7" fillId="18" fontId="13" numFmtId="0" xfId="0" applyAlignment="1" applyBorder="1" applyFont="1">
      <alignment horizontal="right" readingOrder="0"/>
    </xf>
    <xf borderId="0" fillId="8" fontId="12" numFmtId="1" xfId="0" applyAlignment="1" applyFont="1" applyNumberFormat="1">
      <alignment horizontal="center"/>
    </xf>
    <xf borderId="7" fillId="18" fontId="13" numFmtId="0" xfId="0" applyAlignment="1" applyBorder="1" applyFont="1">
      <alignment horizontal="right"/>
    </xf>
    <xf borderId="0" fillId="0" fontId="0" numFmtId="169" xfId="0" applyAlignment="1" applyFont="1" applyNumberFormat="1">
      <alignment horizontal="right" readingOrder="0"/>
    </xf>
    <xf borderId="0" fillId="0" fontId="0" numFmtId="169" xfId="0" applyAlignment="1" applyFont="1" applyNumberFormat="1">
      <alignment readingOrder="0"/>
    </xf>
    <xf borderId="0" fillId="8" fontId="12" numFmtId="169" xfId="0" applyAlignment="1" applyFont="1" applyNumberFormat="1">
      <alignment horizontal="center"/>
    </xf>
    <xf borderId="0" fillId="18" fontId="13" numFmtId="0" xfId="0" applyAlignment="1" applyFont="1">
      <alignment horizontal="right"/>
    </xf>
    <xf borderId="0" fillId="18" fontId="13" numFmtId="0" xfId="0" applyAlignment="1" applyFont="1">
      <alignment horizontal="right" readingOrder="0"/>
    </xf>
    <xf borderId="6" fillId="19" fontId="13" numFmtId="0" xfId="0" applyAlignment="1" applyBorder="1" applyFill="1" applyFont="1">
      <alignment readingOrder="0"/>
    </xf>
    <xf borderId="7" fillId="19" fontId="13" numFmtId="0" xfId="0" applyBorder="1" applyFont="1"/>
    <xf borderId="7" fillId="19" fontId="13" numFmtId="0" xfId="0" applyAlignment="1" applyBorder="1" applyFont="1">
      <alignment horizontal="right" readingOrder="0"/>
    </xf>
    <xf borderId="0" fillId="9" fontId="13" numFmtId="0" xfId="0" applyAlignment="1" applyFont="1">
      <alignment horizontal="right" vertical="bottom"/>
    </xf>
    <xf borderId="7" fillId="19" fontId="13" numFmtId="0" xfId="0" applyAlignment="1" applyBorder="1" applyFont="1">
      <alignment horizontal="right"/>
    </xf>
    <xf borderId="0" fillId="19" fontId="13" numFmtId="0" xfId="0" applyAlignment="1" applyFont="1">
      <alignment horizontal="right" vertical="bottom"/>
    </xf>
    <xf borderId="0" fillId="0" fontId="0" numFmtId="178" xfId="0" applyFont="1" applyNumberFormat="1"/>
    <xf borderId="0" fillId="19" fontId="13" numFmtId="0" xfId="0" applyAlignment="1" applyFont="1">
      <alignment horizontal="right"/>
    </xf>
    <xf borderId="0" fillId="9" fontId="0" numFmtId="0" xfId="0" applyAlignment="1" applyFont="1">
      <alignment horizontal="right" vertical="bottom"/>
    </xf>
    <xf borderId="0" fillId="19" fontId="13" numFmtId="0" xfId="0" applyAlignment="1" applyFont="1">
      <alignment horizontal="right" readingOrder="0"/>
    </xf>
    <xf borderId="0" fillId="19" fontId="13" numFmtId="2" xfId="0" applyAlignment="1" applyFont="1" applyNumberFormat="1">
      <alignment horizontal="right" readingOrder="0"/>
    </xf>
    <xf borderId="2" fillId="0" fontId="13" numFmtId="2" xfId="0" applyAlignment="1" applyBorder="1" applyFont="1" applyNumberFormat="1">
      <alignment horizontal="right" vertical="bottom"/>
    </xf>
    <xf borderId="0" fillId="20" fontId="13" numFmtId="0" xfId="0" applyAlignment="1" applyFill="1" applyFont="1">
      <alignment readingOrder="0"/>
    </xf>
    <xf borderId="6" fillId="20" fontId="13" numFmtId="0" xfId="0" applyAlignment="1" applyBorder="1" applyFont="1">
      <alignment readingOrder="0"/>
    </xf>
    <xf borderId="7" fillId="20" fontId="13" numFmtId="0" xfId="0" applyAlignment="1" applyBorder="1" applyFont="1">
      <alignment horizontal="right" readingOrder="0"/>
    </xf>
    <xf borderId="7" fillId="20" fontId="13" numFmtId="0" xfId="0" applyAlignment="1" applyBorder="1" applyFont="1">
      <alignment horizontal="right"/>
    </xf>
    <xf borderId="0" fillId="0" fontId="0" numFmtId="176" xfId="0" applyAlignment="1" applyFont="1" applyNumberFormat="1">
      <alignment horizontal="center" vertical="bottom"/>
    </xf>
    <xf borderId="0" fillId="20" fontId="13" numFmtId="0" xfId="0" applyAlignment="1" applyFont="1">
      <alignment horizontal="right"/>
    </xf>
    <xf borderId="0" fillId="8" fontId="3" numFmtId="0" xfId="0" applyAlignment="1" applyFont="1">
      <alignment horizontal="right" vertical="bottom"/>
    </xf>
    <xf borderId="0" fillId="20" fontId="13" numFmtId="0" xfId="0" applyAlignment="1" applyFont="1">
      <alignment horizontal="right" readingOrder="0"/>
    </xf>
    <xf borderId="0" fillId="20" fontId="13" numFmtId="165" xfId="0" applyAlignment="1" applyFont="1" applyNumberFormat="1">
      <alignment horizontal="right" readingOrder="0"/>
    </xf>
    <xf borderId="0" fillId="2" fontId="0" numFmtId="165" xfId="0" applyAlignment="1" applyFont="1" applyNumberFormat="1">
      <alignment horizontal="right" vertical="bottom"/>
    </xf>
    <xf borderId="2" fillId="0" fontId="13" numFmtId="165" xfId="0" applyAlignment="1" applyBorder="1" applyFont="1" applyNumberFormat="1">
      <alignment horizontal="right" vertical="bottom"/>
    </xf>
    <xf borderId="0" fillId="2" fontId="16" numFmtId="165" xfId="0" applyAlignment="1" applyFont="1" applyNumberFormat="1">
      <alignment horizontal="right" vertical="bottom"/>
    </xf>
    <xf borderId="0" fillId="21" fontId="13" numFmtId="0" xfId="0" applyAlignment="1" applyFill="1" applyFont="1">
      <alignment readingOrder="0"/>
    </xf>
    <xf borderId="0" fillId="0" fontId="0" numFmtId="165" xfId="0" applyAlignment="1" applyFont="1" applyNumberFormat="1">
      <alignment horizontal="right" vertical="bottom"/>
    </xf>
    <xf borderId="0" fillId="8" fontId="11" numFmtId="165" xfId="0" applyAlignment="1" applyFont="1" applyNumberFormat="1">
      <alignment horizontal="right" vertical="bottom"/>
    </xf>
    <xf borderId="0" fillId="0" fontId="0" numFmtId="169" xfId="0" applyAlignment="1" applyFont="1" applyNumberFormat="1">
      <alignment horizontal="right" vertical="bottom"/>
    </xf>
    <xf borderId="6" fillId="21" fontId="13" numFmtId="0" xfId="0" applyAlignment="1" applyBorder="1" applyFont="1">
      <alignment readingOrder="0"/>
    </xf>
    <xf borderId="0" fillId="8" fontId="11" numFmtId="169" xfId="0" applyAlignment="1" applyFont="1" applyNumberFormat="1">
      <alignment horizontal="right" vertical="bottom"/>
    </xf>
    <xf borderId="7" fillId="21" fontId="13" numFmtId="0" xfId="0" applyAlignment="1" applyBorder="1" applyFont="1">
      <alignment horizontal="right" readingOrder="0"/>
    </xf>
    <xf borderId="0" fillId="9" fontId="0" numFmtId="180" xfId="0" applyAlignment="1" applyFont="1" applyNumberFormat="1">
      <alignment horizontal="right" vertical="bottom"/>
    </xf>
    <xf borderId="0" fillId="8" fontId="12" numFmtId="165" xfId="0" applyAlignment="1" applyFont="1" applyNumberFormat="1">
      <alignment horizontal="center" vertical="bottom"/>
    </xf>
    <xf borderId="7" fillId="21" fontId="13" numFmtId="0" xfId="0" applyAlignment="1" applyBorder="1" applyFont="1">
      <alignment horizontal="right"/>
    </xf>
    <xf borderId="0" fillId="21" fontId="13" numFmtId="0" xfId="0" applyAlignment="1" applyFont="1">
      <alignment horizontal="right" readingOrder="0"/>
    </xf>
    <xf borderId="0" fillId="8" fontId="3" numFmtId="0" xfId="0" applyAlignment="1" applyFont="1">
      <alignment horizontal="right" readingOrder="0"/>
    </xf>
    <xf borderId="0" fillId="9" fontId="0" numFmtId="0" xfId="0" applyAlignment="1" applyFont="1">
      <alignment horizontal="right" readingOrder="0"/>
    </xf>
    <xf borderId="0" fillId="9" fontId="0" numFmtId="0" xfId="0" applyAlignment="1" applyFont="1">
      <alignment readingOrder="0"/>
    </xf>
    <xf borderId="0" fillId="8" fontId="3" numFmtId="0" xfId="0" applyAlignment="1" applyFont="1">
      <alignment readingOrder="0"/>
    </xf>
    <xf borderId="0" fillId="9" fontId="0" numFmtId="180" xfId="0" applyAlignment="1" applyFont="1" applyNumberFormat="1">
      <alignment horizontal="center"/>
    </xf>
    <xf borderId="0" fillId="0" fontId="0" numFmtId="165" xfId="0" applyAlignment="1" applyFont="1" applyNumberFormat="1">
      <alignment horizontal="center"/>
    </xf>
    <xf borderId="0" fillId="0" fontId="0" numFmtId="181" xfId="0" applyAlignment="1" applyFont="1" applyNumberFormat="1">
      <alignment horizontal="center"/>
    </xf>
    <xf borderId="0" fillId="21" fontId="13" numFmtId="0" xfId="0" applyAlignment="1" applyFont="1">
      <alignment horizontal="right"/>
    </xf>
    <xf borderId="0" fillId="8" fontId="15" numFmtId="174" xfId="0" applyFont="1" applyNumberFormat="1"/>
    <xf borderId="0" fillId="0" fontId="13" numFmtId="174" xfId="0" applyAlignment="1" applyFont="1" applyNumberFormat="1">
      <alignment horizontal="right"/>
    </xf>
    <xf borderId="0" fillId="0" fontId="15" numFmtId="170" xfId="0" applyFont="1" applyNumberFormat="1"/>
    <xf borderId="0" fillId="22" fontId="15" numFmtId="170" xfId="0" applyFill="1" applyFont="1" applyNumberFormat="1"/>
    <xf borderId="0" fillId="8" fontId="15" numFmtId="170" xfId="0" applyFont="1" applyNumberFormat="1"/>
    <xf borderId="0" fillId="0" fontId="0" numFmtId="170" xfId="0" applyAlignment="1" applyFont="1" applyNumberFormat="1">
      <alignment horizontal="center" readingOrder="0"/>
    </xf>
    <xf borderId="0" fillId="0" fontId="0" numFmtId="182" xfId="0" applyAlignment="1" applyFont="1" applyNumberFormat="1">
      <alignment horizontal="center"/>
    </xf>
    <xf borderId="0" fillId="21" fontId="13" numFmtId="165" xfId="0" applyAlignment="1" applyFont="1" applyNumberFormat="1">
      <alignment horizontal="right" readingOrder="0"/>
    </xf>
    <xf borderId="0" fillId="2" fontId="0" numFmtId="165" xfId="0" applyFont="1" applyNumberFormat="1"/>
    <xf borderId="0" fillId="9" fontId="13" numFmtId="0" xfId="0" applyFont="1"/>
    <xf borderId="6" fillId="9" fontId="13" numFmtId="0" xfId="0" applyBorder="1" applyFont="1"/>
    <xf borderId="0" fillId="9" fontId="13" numFmtId="0" xfId="0" applyAlignment="1" applyFont="1">
      <alignment horizontal="right"/>
    </xf>
    <xf borderId="0" fillId="9" fontId="0" numFmtId="168" xfId="0" applyAlignment="1" applyFont="1" applyNumberFormat="1">
      <alignment horizontal="right" vertical="bottom"/>
    </xf>
    <xf borderId="0" fillId="11" fontId="0" numFmtId="168" xfId="0" applyAlignment="1" applyFont="1" applyNumberFormat="1">
      <alignment horizontal="right" vertical="bottom"/>
    </xf>
    <xf borderId="0" fillId="9" fontId="13" numFmtId="0" xfId="0" applyAlignment="1" applyFont="1">
      <alignment horizontal="right" readingOrder="0"/>
    </xf>
    <xf borderId="0" fillId="2" fontId="0" numFmtId="170" xfId="0" applyAlignment="1" applyFont="1" applyNumberFormat="1">
      <alignment horizontal="right" vertical="bottom"/>
    </xf>
    <xf borderId="0" fillId="2" fontId="16" numFmtId="168" xfId="0" applyAlignment="1" applyFont="1" applyNumberFormat="1">
      <alignment horizontal="right" vertical="bottom"/>
    </xf>
    <xf borderId="0" fillId="0" fontId="0" numFmtId="168" xfId="0" applyAlignment="1" applyFont="1" applyNumberFormat="1">
      <alignment horizontal="right" vertical="bottom"/>
    </xf>
    <xf borderId="0" fillId="0" fontId="0" numFmtId="168" xfId="0" applyAlignment="1" applyFont="1" applyNumberFormat="1">
      <alignment horizontal="center" vertical="bottom"/>
    </xf>
    <xf borderId="0" fillId="0" fontId="13" numFmtId="173" xfId="0" applyAlignment="1" applyFont="1" applyNumberFormat="1">
      <alignment horizontal="center" vertical="bottom"/>
    </xf>
    <xf borderId="0" fillId="0" fontId="11" numFmtId="173" xfId="0" applyAlignment="1" applyFont="1" applyNumberFormat="1">
      <alignment vertical="bottom"/>
    </xf>
    <xf borderId="0" fillId="0" fontId="0" numFmtId="173" xfId="0" applyAlignment="1" applyFont="1" applyNumberFormat="1">
      <alignment horizontal="right" vertical="bottom"/>
    </xf>
    <xf borderId="0" fillId="8" fontId="0" numFmtId="173" xfId="0" applyAlignment="1" applyFont="1" applyNumberFormat="1">
      <alignment horizontal="right" vertical="bottom"/>
    </xf>
    <xf borderId="0" fillId="8" fontId="0" numFmtId="168" xfId="0" applyAlignment="1" applyFont="1" applyNumberFormat="1">
      <alignment horizontal="right" vertical="bottom"/>
    </xf>
    <xf borderId="6" fillId="9" fontId="13" numFmtId="0" xfId="0" applyAlignment="1" applyBorder="1" applyFont="1">
      <alignment readingOrder="0"/>
    </xf>
    <xf borderId="0" fillId="0" fontId="0" numFmtId="170" xfId="0" applyAlignment="1" applyFont="1" applyNumberFormat="1">
      <alignment horizontal="right" vertical="bottom"/>
    </xf>
    <xf borderId="2" fillId="5" fontId="11" numFmtId="0" xfId="0" applyAlignment="1" applyBorder="1" applyFont="1">
      <alignment vertical="bottom"/>
    </xf>
    <xf borderId="0" fillId="5" fontId="11" numFmtId="0" xfId="0" applyAlignment="1" applyFont="1">
      <alignment vertical="bottom"/>
    </xf>
    <xf borderId="0" fillId="0" fontId="0" numFmtId="4" xfId="0" applyAlignment="1" applyFont="1" applyNumberFormat="1">
      <alignment horizontal="right" readingOrder="0" vertical="bottom"/>
    </xf>
    <xf borderId="0" fillId="5" fontId="11" numFmtId="0" xfId="0" applyAlignment="1" applyFont="1">
      <alignment vertical="bottom"/>
    </xf>
    <xf borderId="6" fillId="23" fontId="13" numFmtId="0" xfId="0" applyBorder="1" applyFill="1" applyFont="1"/>
    <xf borderId="0" fillId="23" fontId="13" numFmtId="0" xfId="0" applyAlignment="1" applyFont="1">
      <alignment horizontal="right"/>
    </xf>
    <xf borderId="0" fillId="23" fontId="13" numFmtId="0" xfId="0" applyAlignment="1" applyFont="1">
      <alignment horizontal="right" readingOrder="0"/>
    </xf>
    <xf borderId="0" fillId="23" fontId="13" numFmtId="0" xfId="0" applyFont="1"/>
    <xf borderId="0" fillId="4" fontId="13" numFmtId="0" xfId="0" applyAlignment="1" applyFont="1">
      <alignment horizontal="left" readingOrder="0"/>
    </xf>
    <xf borderId="0" fillId="4" fontId="13" numFmtId="0" xfId="0" applyAlignment="1" applyFont="1">
      <alignment horizontal="right" readingOrder="0"/>
    </xf>
    <xf borderId="6" fillId="24" fontId="13" numFmtId="0" xfId="0" applyAlignment="1" applyBorder="1" applyFill="1" applyFont="1">
      <alignment readingOrder="0"/>
    </xf>
    <xf borderId="7" fillId="24" fontId="13" numFmtId="0" xfId="0" applyBorder="1" applyFont="1"/>
    <xf borderId="0" fillId="0" fontId="0" numFmtId="49" xfId="0" applyAlignment="1" applyFont="1" applyNumberFormat="1">
      <alignment vertical="bottom"/>
    </xf>
    <xf borderId="0" fillId="8" fontId="0" numFmtId="1" xfId="0" applyAlignment="1" applyFont="1" applyNumberFormat="1">
      <alignment vertical="bottom"/>
    </xf>
    <xf borderId="0" fillId="0" fontId="0" numFmtId="1" xfId="0" applyAlignment="1" applyFont="1" applyNumberFormat="1">
      <alignment vertical="bottom"/>
    </xf>
    <xf borderId="7" fillId="24" fontId="13" numFmtId="0" xfId="0" applyAlignment="1" applyBorder="1" applyFont="1">
      <alignment horizontal="right" readingOrder="0"/>
    </xf>
    <xf borderId="0" fillId="0" fontId="0" numFmtId="1" xfId="0" applyAlignment="1" applyFont="1" applyNumberFormat="1">
      <alignment horizontal="right" vertical="bottom"/>
    </xf>
    <xf borderId="0" fillId="8" fontId="12" numFmtId="1" xfId="0" applyAlignment="1" applyFont="1" applyNumberFormat="1">
      <alignment horizontal="right" vertical="bottom"/>
    </xf>
    <xf borderId="7" fillId="24" fontId="13" numFmtId="0" xfId="0" applyAlignment="1" applyBorder="1" applyFont="1">
      <alignment horizontal="right"/>
    </xf>
    <xf borderId="0" fillId="2" fontId="25" numFmtId="1" xfId="0" applyAlignment="1" applyFont="1" applyNumberFormat="1">
      <alignment horizontal="right" vertical="bottom"/>
    </xf>
    <xf borderId="0" fillId="2" fontId="26" numFmtId="168" xfId="0" applyAlignment="1" applyFont="1" applyNumberFormat="1">
      <alignment readingOrder="0"/>
    </xf>
    <xf borderId="0" fillId="0" fontId="0" numFmtId="1" xfId="0" applyAlignment="1" applyFont="1" applyNumberFormat="1">
      <alignment readingOrder="0"/>
    </xf>
    <xf borderId="0" fillId="2" fontId="16" numFmtId="168" xfId="0" applyFont="1" applyNumberFormat="1"/>
    <xf borderId="0" fillId="0" fontId="13" numFmtId="0" xfId="0" applyAlignment="1" applyFont="1">
      <alignment horizontal="center" shrinkToFit="0" vertical="bottom" wrapText="1"/>
    </xf>
    <xf borderId="2" fillId="0" fontId="13" numFmtId="168" xfId="0" applyAlignment="1" applyBorder="1" applyFont="1" applyNumberFormat="1">
      <alignment horizontal="center" shrinkToFit="0" vertical="bottom" wrapText="1"/>
    </xf>
    <xf borderId="2" fillId="0" fontId="0" numFmtId="168" xfId="0" applyAlignment="1" applyBorder="1" applyFont="1" applyNumberFormat="1">
      <alignment horizontal="center" vertical="bottom"/>
    </xf>
    <xf borderId="2" fillId="8" fontId="0" numFmtId="168" xfId="0" applyAlignment="1" applyBorder="1" applyFont="1" applyNumberFormat="1">
      <alignment horizontal="center" vertical="bottom"/>
    </xf>
    <xf borderId="2" fillId="8" fontId="0" numFmtId="168" xfId="0" applyAlignment="1" applyBorder="1" applyFont="1" applyNumberFormat="1">
      <alignment horizontal="center"/>
    </xf>
    <xf borderId="2" fillId="0" fontId="13" numFmtId="0" xfId="0" applyAlignment="1" applyBorder="1" applyFont="1">
      <alignment horizontal="center" shrinkToFit="0" vertical="bottom" wrapText="1"/>
    </xf>
    <xf borderId="0" fillId="0" fontId="13" numFmtId="0" xfId="0" applyAlignment="1" applyFont="1">
      <alignment horizontal="center" shrinkToFit="0" vertical="bottom" wrapText="1"/>
    </xf>
    <xf borderId="0" fillId="0" fontId="11" numFmtId="9" xfId="0" applyAlignment="1" applyFont="1" applyNumberFormat="1">
      <alignment vertical="bottom"/>
    </xf>
    <xf borderId="2" fillId="0" fontId="11" numFmtId="9" xfId="0" applyAlignment="1" applyBorder="1" applyFont="1" applyNumberFormat="1">
      <alignment vertical="bottom"/>
    </xf>
    <xf borderId="0" fillId="0" fontId="13" numFmtId="168" xfId="0" applyAlignment="1" applyFont="1" applyNumberFormat="1">
      <alignment horizontal="center" shrinkToFit="0" vertical="bottom" wrapText="1"/>
    </xf>
    <xf borderId="0" fillId="13" fontId="13" numFmtId="0" xfId="0" applyAlignment="1" applyFont="1">
      <alignment horizontal="center" shrinkToFit="0" vertical="bottom" wrapText="1"/>
    </xf>
    <xf borderId="0" fillId="13" fontId="0" numFmtId="168" xfId="0" applyAlignment="1" applyFont="1" applyNumberFormat="1">
      <alignment horizontal="center" vertical="bottom"/>
    </xf>
    <xf borderId="2" fillId="13" fontId="0" numFmtId="168" xfId="0" applyAlignment="1" applyBorder="1" applyFont="1" applyNumberFormat="1">
      <alignment horizontal="center" vertical="bottom"/>
    </xf>
    <xf borderId="2" fillId="13" fontId="0" numFmtId="168" xfId="0" applyAlignment="1" applyBorder="1" applyFont="1" applyNumberFormat="1">
      <alignment horizontal="center"/>
    </xf>
    <xf borderId="0" fillId="13" fontId="0" numFmtId="2" xfId="0" applyAlignment="1" applyFont="1" applyNumberFormat="1">
      <alignment horizontal="center" vertical="bottom"/>
    </xf>
    <xf borderId="0" fillId="13" fontId="3" numFmtId="2" xfId="0" applyAlignment="1" applyFont="1" applyNumberFormat="1">
      <alignment vertical="bottom"/>
    </xf>
    <xf borderId="0" fillId="0" fontId="11" numFmtId="183" xfId="0" applyAlignment="1" applyFont="1" applyNumberFormat="1">
      <alignment vertical="bottom"/>
    </xf>
    <xf borderId="0" fillId="8" fontId="11" numFmtId="10" xfId="0" applyAlignment="1" applyFont="1" applyNumberFormat="1">
      <alignment horizontal="right" vertical="bottom"/>
    </xf>
    <xf borderId="0" fillId="13" fontId="17" numFmtId="0" xfId="0" applyAlignment="1" applyFont="1">
      <alignment vertical="bottom"/>
    </xf>
    <xf borderId="0" fillId="22" fontId="27" numFmtId="0" xfId="0" applyAlignment="1" applyFont="1">
      <alignment horizontal="right" vertical="bottom"/>
    </xf>
    <xf borderId="0" fillId="13" fontId="17" numFmtId="0" xfId="0" applyAlignment="1" applyFont="1">
      <alignment readingOrder="0" vertical="bottom"/>
    </xf>
    <xf borderId="0" fillId="22" fontId="27" numFmtId="4" xfId="0" applyAlignment="1" applyFont="1" applyNumberFormat="1">
      <alignment horizontal="right" vertical="bottom"/>
    </xf>
    <xf borderId="0" fillId="22" fontId="27" numFmtId="184" xfId="0" applyAlignment="1" applyFont="1" applyNumberFormat="1">
      <alignment horizontal="right" vertical="bottom"/>
    </xf>
    <xf borderId="0" fillId="22" fontId="27" numFmtId="1" xfId="0" applyAlignment="1" applyFont="1" applyNumberFormat="1">
      <alignment horizontal="right" vertical="bottom"/>
    </xf>
    <xf borderId="0" fillId="22" fontId="11" numFmtId="1" xfId="0" applyAlignment="1" applyFont="1" applyNumberFormat="1">
      <alignment horizontal="right" vertical="bottom"/>
    </xf>
    <xf borderId="0" fillId="8" fontId="3" numFmtId="1" xfId="0" applyAlignment="1" applyFont="1" applyNumberFormat="1">
      <alignment horizontal="right" readingOrder="0" shrinkToFit="0" vertical="bottom" wrapText="0"/>
    </xf>
    <xf borderId="0" fillId="0" fontId="27" numFmtId="0" xfId="0" applyAlignment="1" applyFont="1">
      <alignment horizontal="right" vertical="bottom"/>
    </xf>
    <xf borderId="0" fillId="22" fontId="11" numFmtId="169" xfId="0" applyAlignment="1" applyFont="1" applyNumberFormat="1">
      <alignment horizontal="right" vertical="bottom"/>
    </xf>
    <xf borderId="0" fillId="22" fontId="3" numFmtId="169" xfId="0" applyAlignment="1" applyFont="1" applyNumberFormat="1">
      <alignment horizontal="right" vertical="bottom"/>
    </xf>
    <xf borderId="0" fillId="22" fontId="11" numFmtId="2" xfId="0" applyAlignment="1" applyFont="1" applyNumberFormat="1">
      <alignment horizontal="right" vertical="bottom"/>
    </xf>
    <xf borderId="0" fillId="8" fontId="3" numFmtId="169" xfId="0" applyAlignment="1" applyFont="1" applyNumberFormat="1">
      <alignment horizontal="right" readingOrder="0" vertical="bottom"/>
    </xf>
    <xf borderId="0" fillId="0" fontId="0" numFmtId="2" xfId="0" applyAlignment="1" applyFont="1" applyNumberFormat="1">
      <alignment horizontal="right" readingOrder="0" shrinkToFit="0" vertical="bottom" wrapText="0"/>
    </xf>
    <xf borderId="0" fillId="0" fontId="0" numFmtId="11" xfId="0" applyAlignment="1" applyFont="1" applyNumberFormat="1">
      <alignment horizontal="right" readingOrder="0" shrinkToFit="0" vertical="bottom" wrapText="0"/>
    </xf>
    <xf borderId="0" fillId="0" fontId="11" numFmtId="2" xfId="0" applyAlignment="1" applyFont="1" applyNumberFormat="1">
      <alignment horizontal="right" vertical="bottom"/>
    </xf>
    <xf borderId="0" fillId="0" fontId="3" numFmtId="2" xfId="0" applyAlignment="1" applyFont="1" applyNumberFormat="1">
      <alignment horizontal="right" vertical="bottom"/>
    </xf>
    <xf borderId="0" fillId="0" fontId="3" numFmtId="4" xfId="0" applyAlignment="1" applyFont="1" applyNumberFormat="1">
      <alignment horizontal="right" vertical="bottom"/>
    </xf>
    <xf borderId="0" fillId="11" fontId="11" numFmtId="0" xfId="0" applyAlignment="1" applyFont="1">
      <alignment readingOrder="0" vertical="bottom"/>
    </xf>
    <xf borderId="0" fillId="8" fontId="15" numFmtId="185" xfId="0" applyAlignment="1" applyFont="1" applyNumberFormat="1">
      <alignment readingOrder="0"/>
    </xf>
    <xf borderId="0" fillId="0" fontId="28" numFmtId="4" xfId="0" applyAlignment="1" applyFont="1" applyNumberFormat="1">
      <alignment horizontal="right" vertical="bottom"/>
    </xf>
    <xf borderId="0" fillId="8" fontId="11" numFmtId="4" xfId="0" applyAlignment="1" applyFont="1" applyNumberFormat="1">
      <alignment horizontal="right" readingOrder="0" vertical="bottom"/>
    </xf>
    <xf borderId="0" fillId="8" fontId="3" numFmtId="4" xfId="0" applyAlignment="1" applyFont="1" applyNumberFormat="1">
      <alignment horizontal="center" vertical="bottom"/>
    </xf>
    <xf borderId="0" fillId="8" fontId="15" numFmtId="180" xfId="0" applyAlignment="1" applyFont="1" applyNumberFormat="1">
      <alignment readingOrder="0"/>
    </xf>
    <xf borderId="0" fillId="11" fontId="11" numFmtId="4" xfId="0" applyAlignment="1" applyFont="1" applyNumberFormat="1">
      <alignment horizontal="right" vertical="bottom"/>
    </xf>
    <xf borderId="0" fillId="8" fontId="29" numFmtId="2" xfId="0" applyAlignment="1" applyFont="1" applyNumberFormat="1">
      <alignment horizontal="right" readingOrder="0" vertical="bottom"/>
    </xf>
    <xf borderId="0" fillId="0" fontId="15" numFmtId="0" xfId="0" applyAlignment="1" applyFont="1">
      <alignment readingOrder="0"/>
    </xf>
    <xf borderId="0" fillId="0" fontId="15" numFmtId="9" xfId="0" applyAlignment="1" applyFont="1" applyNumberFormat="1">
      <alignment readingOrder="0"/>
    </xf>
    <xf borderId="0" fillId="25" fontId="15" numFmtId="0" xfId="0" applyAlignment="1" applyFill="1" applyFont="1">
      <alignment readingOrder="0"/>
    </xf>
    <xf borderId="0" fillId="25" fontId="15" numFmtId="9" xfId="0" applyAlignment="1" applyFont="1" applyNumberFormat="1">
      <alignment readingOrder="0"/>
    </xf>
    <xf borderId="0" fillId="0" fontId="15" numFmtId="4" xfId="0" applyAlignment="1" applyFont="1" applyNumberFormat="1">
      <alignment readingOrder="0"/>
    </xf>
    <xf borderId="0" fillId="0" fontId="15" numFmtId="3" xfId="0" applyAlignment="1" applyFont="1" applyNumberFormat="1">
      <alignment readingOrder="0"/>
    </xf>
    <xf borderId="0" fillId="0" fontId="4" numFmtId="10" xfId="0" applyFont="1" applyNumberFormat="1"/>
    <xf borderId="0" fillId="0" fontId="15" numFmtId="174" xfId="0" applyAlignment="1" applyFont="1" applyNumberFormat="1">
      <alignment readingOrder="0"/>
    </xf>
    <xf borderId="2" fillId="26" fontId="30" numFmtId="174" xfId="0" applyBorder="1" applyFill="1" applyFont="1" applyNumberFormat="1"/>
    <xf borderId="0" fillId="8" fontId="15" numFmtId="0" xfId="0" applyAlignment="1" applyFont="1">
      <alignment readingOrder="0"/>
    </xf>
    <xf borderId="0" fillId="25" fontId="15" numFmtId="9" xfId="0" applyFont="1" applyNumberFormat="1"/>
    <xf borderId="0" fillId="0" fontId="15" numFmtId="0" xfId="0" applyAlignment="1" applyFont="1">
      <alignment horizontal="right" readingOrder="0"/>
    </xf>
    <xf borderId="0" fillId="9" fontId="0" numFmtId="174" xfId="0" applyAlignment="1" applyFont="1" applyNumberFormat="1">
      <alignment horizontal="right" readingOrder="0" shrinkToFit="0" vertical="bottom" wrapText="0"/>
    </xf>
    <xf borderId="0" fillId="0" fontId="0" numFmtId="174" xfId="0" applyAlignment="1" applyFont="1" applyNumberFormat="1">
      <alignment horizontal="right" readingOrder="0" shrinkToFit="0" vertical="bottom" wrapText="0"/>
    </xf>
    <xf borderId="4" fillId="0" fontId="31" numFmtId="0" xfId="0" applyAlignment="1" applyBorder="1" applyFont="1">
      <alignment horizontal="center" readingOrder="0"/>
    </xf>
    <xf borderId="4" fillId="0" fontId="31" numFmtId="0" xfId="0" applyAlignment="1" applyBorder="1" applyFont="1">
      <alignment horizontal="center"/>
    </xf>
    <xf borderId="0" fillId="0" fontId="31" numFmtId="0" xfId="0" applyAlignment="1" applyFont="1">
      <alignment horizontal="center" readingOrder="0"/>
    </xf>
    <xf borderId="0" fillId="0" fontId="15" numFmtId="0" xfId="0" applyAlignment="1" applyFont="1">
      <alignment readingOrder="0"/>
    </xf>
    <xf borderId="9" fillId="0" fontId="15" numFmtId="0" xfId="0" applyAlignment="1" applyBorder="1" applyFont="1">
      <alignment readingOrder="0"/>
    </xf>
    <xf borderId="9" fillId="0" fontId="15" numFmtId="0" xfId="0" applyAlignment="1" applyBorder="1" applyFont="1">
      <alignment readingOrder="0"/>
    </xf>
    <xf borderId="0" fillId="0" fontId="31" numFmtId="0" xfId="0" applyAlignment="1" applyFont="1">
      <alignment horizontal="center"/>
    </xf>
    <xf borderId="9" fillId="0" fontId="15" numFmtId="0" xfId="0" applyBorder="1" applyFont="1"/>
    <xf borderId="0" fillId="0" fontId="31" numFmtId="0" xfId="0" applyAlignment="1" applyFont="1">
      <alignment horizontal="center" readingOrder="0"/>
    </xf>
    <xf borderId="9" fillId="0" fontId="31" numFmtId="0" xfId="0" applyAlignment="1" applyBorder="1" applyFont="1">
      <alignment horizontal="center"/>
    </xf>
    <xf borderId="9" fillId="0" fontId="31" numFmtId="0" xfId="0" applyAlignment="1" applyBorder="1" applyFont="1">
      <alignment horizontal="center" readingOrder="0"/>
    </xf>
    <xf borderId="9" fillId="0" fontId="31" numFmtId="0" xfId="0" applyAlignment="1" applyBorder="1" applyFont="1">
      <alignment horizontal="center" readingOrder="0"/>
    </xf>
    <xf borderId="0" fillId="0" fontId="20" numFmtId="0" xfId="0" applyAlignment="1" applyFont="1">
      <alignment readingOrder="0"/>
    </xf>
    <xf borderId="0" fillId="0" fontId="14" numFmtId="0" xfId="0" applyFont="1"/>
    <xf borderId="0" fillId="8" fontId="32" numFmtId="0" xfId="0" applyAlignment="1" applyFont="1">
      <alignment readingOrder="0"/>
    </xf>
    <xf borderId="0" fillId="8" fontId="14" numFmtId="0" xfId="0" applyAlignment="1" applyFont="1">
      <alignment readingOrder="0"/>
    </xf>
    <xf borderId="0" fillId="8" fontId="15" numFmtId="0" xfId="0" applyFont="1"/>
    <xf borderId="0" fillId="2" fontId="14" numFmtId="0" xfId="0" applyAlignment="1" applyFont="1">
      <alignment readingOrder="0"/>
    </xf>
    <xf borderId="0" fillId="0" fontId="33" numFmtId="0" xfId="0" applyAlignment="1" applyFont="1">
      <alignment readingOrder="0"/>
    </xf>
    <xf borderId="0" fillId="0" fontId="33" numFmtId="0" xfId="0" applyFont="1"/>
    <xf borderId="0" fillId="0" fontId="34" numFmtId="0" xfId="0" applyAlignment="1" applyFont="1">
      <alignment readingOrder="0"/>
    </xf>
    <xf borderId="0" fillId="0" fontId="15" numFmtId="1" xfId="0" applyAlignment="1" applyFont="1" applyNumberFormat="1">
      <alignment readingOrder="0"/>
    </xf>
    <xf borderId="0" fillId="0" fontId="15" numFmtId="1" xfId="0" applyFont="1" applyNumberFormat="1"/>
    <xf borderId="0" fillId="0" fontId="15" numFmtId="174" xfId="0" applyFont="1" applyNumberFormat="1"/>
    <xf borderId="0" fillId="4" fontId="35" numFmtId="174" xfId="0" applyAlignment="1" applyFont="1" applyNumberFormat="1">
      <alignment horizontal="right" readingOrder="0" shrinkToFit="0" vertical="bottom" wrapText="0"/>
    </xf>
    <xf borderId="0" fillId="0" fontId="0" numFmtId="169" xfId="0" applyAlignment="1" applyFont="1" applyNumberFormat="1">
      <alignment horizontal="right" readingOrder="0" shrinkToFit="0" vertical="bottom" wrapText="0"/>
    </xf>
    <xf borderId="0" fillId="25" fontId="14" numFmtId="0" xfId="0" applyAlignment="1" applyFont="1">
      <alignment readingOrder="0"/>
    </xf>
    <xf borderId="0" fillId="25" fontId="15" numFmtId="186" xfId="0" applyAlignment="1" applyFont="1" applyNumberFormat="1">
      <alignment readingOrder="0"/>
    </xf>
    <xf borderId="0" fillId="27" fontId="15" numFmtId="0" xfId="0" applyFill="1" applyFont="1"/>
    <xf borderId="0" fillId="27" fontId="15" numFmtId="174" xfId="0" applyAlignment="1" applyFont="1" applyNumberFormat="1">
      <alignment readingOrder="0"/>
    </xf>
    <xf borderId="0" fillId="27" fontId="15" numFmtId="174" xfId="0" applyFont="1" applyNumberFormat="1"/>
    <xf borderId="0" fillId="2" fontId="35" numFmtId="174" xfId="0" applyAlignment="1" applyFont="1" applyNumberFormat="1">
      <alignment horizontal="right" readingOrder="0" shrinkToFit="0" vertical="bottom" wrapText="0"/>
    </xf>
    <xf borderId="5" fillId="26" fontId="35" numFmtId="174" xfId="0" applyAlignment="1" applyBorder="1" applyFont="1" applyNumberFormat="1">
      <alignment horizontal="right" readingOrder="0" shrinkToFit="0" vertical="bottom" wrapText="0"/>
    </xf>
    <xf borderId="2" fillId="26" fontId="35" numFmtId="174" xfId="0" applyAlignment="1" applyBorder="1" applyFont="1" applyNumberFormat="1">
      <alignment horizontal="right" readingOrder="0" shrinkToFit="0" vertical="bottom" wrapText="0"/>
    </xf>
    <xf borderId="0" fillId="0" fontId="15" numFmtId="10" xfId="0" applyFont="1" applyNumberFormat="1"/>
    <xf borderId="0" fillId="27" fontId="15" numFmtId="174" xfId="0" applyAlignment="1" applyFont="1" applyNumberFormat="1">
      <alignment readingOrder="0"/>
    </xf>
    <xf borderId="0" fillId="8" fontId="15" numFmtId="174" xfId="0" applyAlignment="1" applyFont="1" applyNumberFormat="1">
      <alignment readingOrder="0"/>
    </xf>
    <xf borderId="0" fillId="0" fontId="15" numFmtId="186" xfId="0" applyAlignment="1" applyFont="1" applyNumberFormat="1">
      <alignment readingOrder="0"/>
    </xf>
    <xf borderId="0" fillId="0" fontId="15" numFmtId="169" xfId="0" applyAlignment="1" applyFont="1" applyNumberFormat="1">
      <alignment readingOrder="0"/>
    </xf>
    <xf borderId="0" fillId="8" fontId="4" numFmtId="174" xfId="0" applyFont="1" applyNumberFormat="1"/>
    <xf borderId="0" fillId="8" fontId="36" numFmtId="174" xfId="0" applyFont="1" applyNumberFormat="1"/>
    <xf borderId="0" fillId="0" fontId="33" numFmtId="0" xfId="0" applyAlignment="1" applyFont="1">
      <alignment readingOrder="0"/>
    </xf>
    <xf borderId="0" fillId="0" fontId="15" numFmtId="169" xfId="0" applyFont="1" applyNumberFormat="1"/>
    <xf borderId="0" fillId="0" fontId="15" numFmtId="186" xfId="0" applyFont="1" applyNumberFormat="1"/>
    <xf borderId="0" fillId="8" fontId="15" numFmtId="186" xfId="0" applyAlignment="1" applyFont="1" applyNumberFormat="1">
      <alignment readingOrder="0"/>
    </xf>
    <xf borderId="0" fillId="8" fontId="15" numFmtId="186" xfId="0" applyFont="1" applyNumberFormat="1"/>
    <xf borderId="0" fillId="0" fontId="37" numFmtId="0" xfId="0" applyAlignment="1" applyFont="1">
      <alignment horizontal="left"/>
    </xf>
    <xf borderId="0" fillId="0" fontId="15" numFmtId="10" xfId="0" applyAlignment="1" applyFont="1" applyNumberFormat="1">
      <alignment readingOrder="0"/>
    </xf>
    <xf borderId="0" fillId="0" fontId="14" numFmtId="0" xfId="0" applyAlignment="1" applyFont="1">
      <alignment horizontal="right" readingOrder="0"/>
    </xf>
    <xf borderId="0" fillId="0" fontId="15" numFmtId="187" xfId="0" applyAlignment="1" applyFont="1" applyNumberFormat="1">
      <alignment readingOrder="0"/>
    </xf>
    <xf borderId="0" fillId="0" fontId="15" numFmtId="187" xfId="0" applyFont="1" applyNumberFormat="1"/>
    <xf borderId="0" fillId="25" fontId="15" numFmtId="0" xfId="0" applyFont="1"/>
    <xf borderId="0" fillId="25" fontId="14" numFmtId="0" xfId="0" applyAlignment="1" applyFont="1">
      <alignment horizontal="right" readingOrder="0"/>
    </xf>
    <xf borderId="0" fillId="25" fontId="15" numFmtId="187" xfId="0" applyAlignment="1" applyFont="1" applyNumberFormat="1">
      <alignment readingOrder="0"/>
    </xf>
    <xf borderId="0" fillId="25" fontId="15" numFmtId="187" xfId="0" applyFont="1" applyNumberFormat="1"/>
    <xf borderId="0" fillId="0" fontId="3" numFmtId="2" xfId="0" applyAlignment="1" applyFont="1" applyNumberFormat="1">
      <alignment horizontal="right" readingOrder="0" shrinkToFit="0" vertical="bottom" wrapText="0"/>
    </xf>
    <xf borderId="0" fillId="0" fontId="4" numFmtId="2" xfId="0" applyAlignment="1" applyFont="1" applyNumberFormat="1">
      <alignment readingOrder="0"/>
    </xf>
    <xf borderId="0" fillId="0" fontId="38" numFmtId="2" xfId="0" applyAlignment="1" applyFont="1" applyNumberFormat="1">
      <alignment readingOrder="0"/>
    </xf>
    <xf borderId="0" fillId="0" fontId="0" numFmtId="0" xfId="0" applyAlignment="1" applyFont="1">
      <alignment horizontal="right" readingOrder="0" vertical="bottom"/>
    </xf>
    <xf borderId="0" fillId="0" fontId="0" numFmtId="2" xfId="0" applyAlignment="1" applyFont="1" applyNumberFormat="1">
      <alignment horizontal="right" readingOrder="0" vertical="bottom"/>
    </xf>
    <xf borderId="0" fillId="0" fontId="15" numFmtId="1" xfId="0" applyAlignment="1" applyFont="1" applyNumberFormat="1">
      <alignment horizontal="right" readingOrder="0"/>
    </xf>
    <xf borderId="0" fillId="8" fontId="4" numFmtId="174" xfId="0" applyAlignment="1" applyFont="1" applyNumberFormat="1">
      <alignment readingOrder="0"/>
    </xf>
    <xf borderId="0" fillId="0" fontId="39" numFmtId="2" xfId="0" applyAlignment="1" applyFont="1" applyNumberFormat="1">
      <alignment readingOrder="0"/>
    </xf>
    <xf borderId="0" fillId="0" fontId="34" numFmtId="169" xfId="0" applyAlignment="1" applyFont="1" applyNumberFormat="1">
      <alignment readingOrder="0"/>
    </xf>
    <xf borderId="0" fillId="8" fontId="0" numFmtId="174" xfId="0" applyAlignment="1" applyFont="1" applyNumberFormat="1">
      <alignment horizontal="right" readingOrder="0" shrinkToFit="0" vertical="bottom" wrapText="0"/>
    </xf>
    <xf borderId="0" fillId="8" fontId="34" numFmtId="174" xfId="0" applyAlignment="1" applyFont="1" applyNumberFormat="1">
      <alignment readingOrder="0"/>
    </xf>
    <xf borderId="0" fillId="0" fontId="15" numFmtId="2" xfId="0" applyAlignment="1" applyFont="1" applyNumberFormat="1">
      <alignment readingOrder="0"/>
    </xf>
    <xf borderId="0" fillId="0" fontId="40" numFmtId="0" xfId="0" applyAlignment="1" applyFont="1">
      <alignment horizontal="right" readingOrder="0" shrinkToFit="0" vertical="bottom" wrapText="0"/>
    </xf>
    <xf borderId="0" fillId="0" fontId="4" numFmtId="2" xfId="0" applyFont="1" applyNumberFormat="1"/>
    <xf borderId="0" fillId="8" fontId="0" numFmtId="0" xfId="0" applyAlignment="1" applyFont="1">
      <alignment horizontal="right" readingOrder="0" shrinkToFit="0" vertical="bottom" wrapText="0"/>
    </xf>
    <xf borderId="0" fillId="8" fontId="4" numFmtId="0" xfId="0" applyFont="1"/>
    <xf borderId="0" fillId="0" fontId="15" numFmtId="174" xfId="0" applyFont="1" applyNumberFormat="1"/>
    <xf borderId="0" fillId="0" fontId="34" numFmtId="174" xfId="0" applyAlignment="1" applyFont="1" applyNumberFormat="1">
      <alignment readingOrder="0"/>
    </xf>
    <xf borderId="0" fillId="2" fontId="15" numFmtId="0" xfId="0" applyFont="1"/>
    <xf borderId="0" fillId="0" fontId="13" numFmtId="0" xfId="0" applyAlignment="1" applyFont="1">
      <alignment horizontal="center" shrinkToFit="0" wrapText="1"/>
    </xf>
    <xf borderId="1" fillId="8" fontId="0" numFmtId="10" xfId="0" applyAlignment="1" applyBorder="1" applyFont="1" applyNumberFormat="1">
      <alignment horizontal="center" readingOrder="0" vertical="center"/>
    </xf>
    <xf borderId="0" fillId="0" fontId="0" numFmtId="10" xfId="0" applyAlignment="1" applyFont="1" applyNumberFormat="1">
      <alignment horizontal="center" vertical="center"/>
    </xf>
    <xf borderId="1" fillId="8" fontId="0" numFmtId="10" xfId="0" applyAlignment="1" applyBorder="1" applyFont="1" applyNumberFormat="1">
      <alignment horizontal="center" vertical="center"/>
    </xf>
    <xf borderId="0" fillId="0" fontId="0" numFmtId="9" xfId="0" applyAlignment="1" applyFont="1" applyNumberFormat="1">
      <alignment horizontal="center" vertical="center"/>
    </xf>
    <xf borderId="1" fillId="8" fontId="0" numFmtId="1" xfId="0" applyAlignment="1" applyBorder="1" applyFont="1" applyNumberFormat="1">
      <alignment horizontal="center" readingOrder="0" vertical="center"/>
    </xf>
    <xf borderId="0" fillId="0" fontId="13" numFmtId="0" xfId="0" applyAlignment="1" applyFont="1">
      <alignment horizontal="center" readingOrder="0" shrinkToFit="0" wrapText="1"/>
    </xf>
    <xf borderId="1" fillId="8" fontId="0" numFmtId="9" xfId="0" applyAlignment="1" applyBorder="1" applyFont="1" applyNumberFormat="1">
      <alignment horizontal="center" readingOrder="0" vertical="center"/>
    </xf>
    <xf borderId="0" fillId="2" fontId="0" numFmtId="10" xfId="0" applyAlignment="1" applyFont="1" applyNumberFormat="1">
      <alignment horizontal="center" readingOrder="0" vertical="center"/>
    </xf>
    <xf borderId="0" fillId="2" fontId="0" numFmtId="10" xfId="0" applyAlignment="1" applyFont="1" applyNumberFormat="1">
      <alignment horizontal="center"/>
    </xf>
    <xf borderId="1" fillId="2" fontId="0" numFmtId="10" xfId="0" applyAlignment="1" applyBorder="1" applyFont="1" applyNumberFormat="1">
      <alignment horizontal="center"/>
    </xf>
    <xf borderId="0" fillId="0" fontId="13" numFmtId="9" xfId="0" applyAlignment="1" applyFont="1" applyNumberFormat="1">
      <alignment horizontal="center" shrinkToFit="0" wrapText="1"/>
    </xf>
    <xf borderId="1" fillId="8" fontId="0" numFmtId="9" xfId="0" applyAlignment="1" applyBorder="1" applyFont="1" applyNumberFormat="1">
      <alignment horizontal="center" vertical="center"/>
    </xf>
    <xf borderId="0" fillId="2" fontId="15" numFmtId="9" xfId="0" applyAlignment="1" applyFont="1" applyNumberFormat="1">
      <alignment horizontal="center" readingOrder="0"/>
    </xf>
    <xf borderId="0" fillId="2" fontId="31" numFmtId="0" xfId="0" applyAlignment="1" applyFont="1">
      <alignment horizontal="center"/>
    </xf>
    <xf borderId="0" fillId="2" fontId="31" numFmtId="0" xfId="0" applyAlignment="1" applyFont="1">
      <alignment horizontal="center" readingOrder="0"/>
    </xf>
    <xf borderId="0" fillId="2" fontId="15" numFmtId="0" xfId="0" applyAlignment="1" applyFont="1">
      <alignment readingOrder="0"/>
    </xf>
    <xf borderId="0" fillId="2" fontId="15" numFmtId="0" xfId="0" applyAlignment="1" applyFont="1">
      <alignment readingOrder="0"/>
    </xf>
    <xf borderId="4" fillId="2" fontId="31" numFmtId="0" xfId="0" applyAlignment="1" applyBorder="1" applyFont="1">
      <alignment horizontal="center" readingOrder="0"/>
    </xf>
    <xf borderId="4" fillId="2" fontId="31" numFmtId="0" xfId="0" applyAlignment="1" applyBorder="1" applyFont="1">
      <alignment horizontal="center"/>
    </xf>
    <xf borderId="9" fillId="2" fontId="15" numFmtId="0" xfId="0" applyAlignment="1" applyBorder="1" applyFont="1">
      <alignment readingOrder="0"/>
    </xf>
    <xf borderId="9" fillId="2" fontId="15" numFmtId="0" xfId="0" applyAlignment="1" applyBorder="1" applyFont="1">
      <alignment readingOrder="0"/>
    </xf>
    <xf borderId="0" fillId="0" fontId="13" numFmtId="0" xfId="0" applyAlignment="1" applyFont="1">
      <alignment horizontal="right" vertical="bottom"/>
    </xf>
    <xf borderId="0" fillId="0" fontId="17" numFmtId="0" xfId="0" applyAlignment="1" applyFont="1">
      <alignment horizontal="center" readingOrder="0" vertical="bottom"/>
    </xf>
    <xf borderId="0" fillId="0" fontId="17" numFmtId="0" xfId="0" applyAlignment="1" applyFont="1">
      <alignment horizontal="center" readingOrder="0" shrinkToFit="0" vertical="bottom" wrapText="1"/>
    </xf>
    <xf borderId="0" fillId="0" fontId="11" numFmtId="0" xfId="0" applyAlignment="1" applyFont="1">
      <alignment readingOrder="0" vertical="bottom"/>
    </xf>
    <xf borderId="0" fillId="2" fontId="11" numFmtId="0" xfId="0" applyAlignment="1" applyFont="1">
      <alignment vertical="bottom"/>
    </xf>
    <xf borderId="0" fillId="2" fontId="19" numFmtId="0" xfId="0" applyAlignment="1" applyFont="1">
      <alignment vertical="bottom"/>
    </xf>
    <xf borderId="0" fillId="28" fontId="17" numFmtId="0" xfId="0" applyAlignment="1" applyFill="1" applyFont="1">
      <alignment readingOrder="0" vertical="bottom"/>
    </xf>
    <xf borderId="0" fillId="0" fontId="0" numFmtId="4" xfId="0" applyAlignment="1" applyFont="1" applyNumberFormat="1">
      <alignment horizontal="right" readingOrder="0" vertical="bottom"/>
    </xf>
    <xf borderId="0" fillId="28" fontId="11" numFmtId="0" xfId="0" applyAlignment="1" applyFont="1">
      <alignment readingOrder="0" vertical="bottom"/>
    </xf>
    <xf borderId="0" fillId="8" fontId="3" numFmtId="4" xfId="0" applyAlignment="1" applyFont="1" applyNumberFormat="1">
      <alignment horizontal="right" readingOrder="0" vertical="bottom"/>
    </xf>
    <xf borderId="0" fillId="11" fontId="0" numFmtId="4" xfId="0" applyAlignment="1" applyFont="1" applyNumberFormat="1">
      <alignment horizontal="right" vertical="bottom"/>
    </xf>
    <xf borderId="0" fillId="29" fontId="17" numFmtId="0" xfId="0" applyAlignment="1" applyFill="1" applyFont="1">
      <alignment readingOrder="0" vertical="bottom"/>
    </xf>
    <xf borderId="0" fillId="29" fontId="11" numFmtId="0" xfId="0" applyAlignment="1" applyFont="1">
      <alignment readingOrder="0" vertical="bottom"/>
    </xf>
    <xf borderId="0" fillId="8" fontId="3" numFmtId="4" xfId="0" applyAlignment="1" applyFont="1" applyNumberFormat="1">
      <alignment horizontal="right" readingOrder="0" vertical="bottom"/>
    </xf>
    <xf borderId="0" fillId="8" fontId="3" numFmtId="4" xfId="0" applyAlignment="1" applyFont="1" applyNumberFormat="1">
      <alignment horizontal="right" readingOrder="0" shrinkToFit="0" vertical="bottom" wrapText="0"/>
    </xf>
    <xf borderId="0" fillId="8" fontId="3" numFmtId="188" xfId="0" applyAlignment="1" applyFont="1" applyNumberFormat="1">
      <alignment horizontal="right" readingOrder="0" vertical="bottom"/>
    </xf>
    <xf borderId="0" fillId="0" fontId="0" numFmtId="188" xfId="0" applyAlignment="1" applyFont="1" applyNumberFormat="1">
      <alignment horizontal="right" vertical="bottom"/>
    </xf>
    <xf borderId="0" fillId="8" fontId="3" numFmtId="4" xfId="0" applyAlignment="1" applyFont="1" applyNumberFormat="1">
      <alignment horizontal="right" readingOrder="0" shrinkToFit="0" vertical="bottom" wrapText="0"/>
    </xf>
    <xf borderId="0" fillId="11" fontId="0" numFmtId="4" xfId="0" applyAlignment="1" applyFont="1" applyNumberFormat="1">
      <alignment horizontal="right" readingOrder="0" vertical="bottom"/>
    </xf>
    <xf borderId="0" fillId="8" fontId="3" numFmtId="4" xfId="0" applyAlignment="1" applyFont="1" applyNumberFormat="1">
      <alignment horizontal="right" vertical="bottom"/>
    </xf>
    <xf borderId="0" fillId="8" fontId="3" numFmtId="3" xfId="0" applyAlignment="1" applyFont="1" applyNumberFormat="1">
      <alignment horizontal="right" readingOrder="0" shrinkToFit="0" vertical="bottom" wrapText="0"/>
    </xf>
    <xf borderId="0" fillId="0" fontId="41" numFmtId="4" xfId="0" applyAlignment="1" applyFont="1" applyNumberFormat="1">
      <alignment horizontal="right" readingOrder="0" vertical="bottom"/>
    </xf>
    <xf borderId="0" fillId="8" fontId="3" numFmtId="3" xfId="0" applyAlignment="1" applyFont="1" applyNumberFormat="1">
      <alignment horizontal="right" readingOrder="0" vertical="bottom"/>
    </xf>
    <xf borderId="0" fillId="9" fontId="3" numFmtId="4" xfId="0" applyAlignment="1" applyFont="1" applyNumberFormat="1">
      <alignment horizontal="right" vertical="bottom"/>
    </xf>
    <xf borderId="0" fillId="8" fontId="3" numFmtId="4" xfId="0" applyFont="1" applyNumberFormat="1"/>
    <xf borderId="0" fillId="8" fontId="3" numFmtId="188" xfId="0" applyAlignment="1" applyFont="1" applyNumberFormat="1">
      <alignment horizontal="right" readingOrder="0" shrinkToFit="0" vertical="bottom" wrapText="0"/>
    </xf>
    <xf borderId="0" fillId="11" fontId="0" numFmtId="167" xfId="0" applyAlignment="1" applyFont="1" applyNumberFormat="1">
      <alignment horizontal="right" vertical="bottom"/>
    </xf>
    <xf borderId="0" fillId="0" fontId="11" numFmtId="188" xfId="0" applyAlignment="1" applyFont="1" applyNumberFormat="1">
      <alignment horizontal="right" vertical="bottom"/>
    </xf>
    <xf borderId="0" fillId="11" fontId="11" numFmtId="188" xfId="0" applyAlignment="1" applyFont="1" applyNumberFormat="1">
      <alignment horizontal="right" vertical="bottom"/>
    </xf>
    <xf borderId="0" fillId="0" fontId="11" numFmtId="4" xfId="0" applyAlignment="1" applyFont="1" applyNumberFormat="1">
      <alignment horizontal="right" vertical="bottom"/>
    </xf>
    <xf borderId="0" fillId="8" fontId="13" numFmtId="0" xfId="0" applyAlignment="1" applyFont="1">
      <alignment horizontal="right" vertical="bottom"/>
    </xf>
    <xf borderId="0" fillId="9" fontId="0" numFmtId="166" xfId="0" applyAlignment="1" applyFont="1" applyNumberFormat="1">
      <alignment horizontal="right" vertical="bottom"/>
    </xf>
    <xf borderId="0" fillId="0" fontId="3" numFmtId="1" xfId="0" applyAlignment="1" applyFont="1" applyNumberFormat="1">
      <alignment vertical="bottom"/>
    </xf>
    <xf borderId="0" fillId="8" fontId="3" numFmtId="1" xfId="0" applyAlignment="1" applyFont="1" applyNumberFormat="1">
      <alignment horizontal="center" readingOrder="0" vertical="bottom"/>
    </xf>
    <xf borderId="0" fillId="8" fontId="12" numFmtId="0" xfId="0" applyAlignment="1" applyFont="1">
      <alignment horizontal="center" readingOrder="0" vertical="bottom"/>
    </xf>
    <xf borderId="0" fillId="0" fontId="0" numFmtId="0" xfId="0" applyAlignment="1" applyFont="1">
      <alignment horizontal="center"/>
    </xf>
    <xf borderId="0" fillId="2" fontId="0" numFmtId="0" xfId="0" applyAlignment="1" applyFont="1">
      <alignment readingOrder="0" vertical="bottom"/>
    </xf>
    <xf borderId="2" fillId="0" fontId="11" numFmtId="0" xfId="0" applyAlignment="1" applyBorder="1" applyFont="1">
      <alignment readingOrder="0" shrinkToFit="0" vertical="bottom" wrapText="0"/>
    </xf>
    <xf borderId="0" fillId="0" fontId="11" numFmtId="0" xfId="0" applyAlignment="1" applyFont="1">
      <alignment horizontal="right" readingOrder="0" vertical="bottom"/>
    </xf>
    <xf borderId="0" fillId="9" fontId="42" numFmtId="1" xfId="0" applyAlignment="1" applyFont="1" applyNumberFormat="1">
      <alignment horizontal="right" readingOrder="0" vertical="bottom"/>
    </xf>
    <xf borderId="0" fillId="0" fontId="11" numFmtId="1" xfId="0" applyAlignment="1" applyFont="1" applyNumberFormat="1">
      <alignment horizontal="right" readingOrder="0" vertical="bottom"/>
    </xf>
    <xf borderId="0" fillId="25" fontId="11" numFmtId="0" xfId="0" applyAlignment="1" applyFont="1">
      <alignment readingOrder="0" vertical="bottom"/>
    </xf>
    <xf borderId="0" fillId="25" fontId="11" numFmtId="0" xfId="0" applyAlignment="1" applyFont="1">
      <alignment vertical="bottom"/>
    </xf>
    <xf borderId="0" fillId="25" fontId="11" numFmtId="9" xfId="0" applyAlignment="1" applyFont="1" applyNumberFormat="1">
      <alignment horizontal="right" vertical="bottom"/>
    </xf>
    <xf borderId="0" fillId="0" fontId="11" numFmtId="10" xfId="0" applyAlignment="1" applyFont="1" applyNumberFormat="1">
      <alignment vertical="bottom"/>
    </xf>
    <xf borderId="0" fillId="30" fontId="11" numFmtId="1" xfId="0" applyAlignment="1" applyFill="1" applyFont="1" applyNumberFormat="1">
      <alignment readingOrder="0" vertical="bottom"/>
    </xf>
    <xf borderId="0" fillId="8" fontId="3" numFmtId="1" xfId="0" applyAlignment="1" applyFont="1" applyNumberFormat="1">
      <alignment readingOrder="0" vertical="bottom"/>
    </xf>
    <xf borderId="0" fillId="11" fontId="1" numFmtId="1" xfId="0" applyAlignment="1" applyFont="1" applyNumberFormat="1">
      <alignment readingOrder="0" vertical="bottom"/>
    </xf>
    <xf borderId="0" fillId="11" fontId="11" numFmtId="1" xfId="0" applyAlignment="1" applyFont="1" applyNumberFormat="1">
      <alignment readingOrder="0" vertical="bottom"/>
    </xf>
    <xf borderId="0" fillId="8" fontId="3" numFmtId="0" xfId="0" applyAlignment="1" applyFont="1">
      <alignment horizontal="center" readingOrder="0" vertical="bottom"/>
    </xf>
    <xf borderId="0" fillId="0" fontId="1" numFmtId="2" xfId="0" applyAlignment="1" applyFont="1" applyNumberFormat="1">
      <alignment vertical="bottom"/>
    </xf>
    <xf borderId="2" fillId="0" fontId="13" numFmtId="0" xfId="0" applyAlignment="1" applyBorder="1" applyFont="1">
      <alignment horizontal="center" shrinkToFit="0" vertical="bottom" wrapText="1"/>
    </xf>
    <xf borderId="2" fillId="0" fontId="11" numFmtId="10" xfId="0" applyAlignment="1" applyBorder="1" applyFont="1" applyNumberFormat="1">
      <alignment vertical="bottom"/>
    </xf>
    <xf borderId="2" fillId="8" fontId="0" numFmtId="10" xfId="0" applyAlignment="1" applyBorder="1" applyFont="1" applyNumberFormat="1">
      <alignment horizontal="center" vertical="bottom"/>
    </xf>
    <xf borderId="2" fillId="8" fontId="0" numFmtId="9" xfId="0" applyAlignment="1" applyBorder="1" applyFont="1" applyNumberFormat="1">
      <alignment horizontal="center" vertical="bottom"/>
    </xf>
    <xf borderId="2" fillId="0" fontId="13" numFmtId="1" xfId="0" applyAlignment="1" applyBorder="1" applyFont="1" applyNumberFormat="1">
      <alignment horizontal="center" shrinkToFit="0" vertical="bottom" wrapText="1"/>
    </xf>
    <xf borderId="2" fillId="8" fontId="0" numFmtId="0" xfId="0" applyAlignment="1" applyBorder="1" applyFont="1">
      <alignment horizontal="center" vertical="bottom"/>
    </xf>
    <xf borderId="0" fillId="0" fontId="13" numFmtId="0" xfId="0" applyAlignment="1" applyFont="1">
      <alignment horizontal="center" shrinkToFit="0" vertical="bottom" wrapText="1"/>
    </xf>
    <xf borderId="2" fillId="0" fontId="13" numFmtId="9" xfId="0" applyAlignment="1" applyBorder="1" applyFont="1" applyNumberFormat="1">
      <alignment horizontal="center" shrinkToFit="0" vertical="bottom" wrapText="1"/>
    </xf>
    <xf borderId="0" fillId="0" fontId="0" numFmtId="9" xfId="0" applyAlignment="1" applyFont="1" applyNumberFormat="1">
      <alignment horizontal="center" vertical="bottom"/>
    </xf>
    <xf borderId="0" fillId="8" fontId="3" numFmtId="0" xfId="0" applyAlignment="1" applyFont="1">
      <alignment horizontal="right" readingOrder="0" shrinkToFit="0" vertical="bottom" wrapText="0"/>
    </xf>
    <xf borderId="0" fillId="8" fontId="3" numFmtId="11" xfId="0" applyAlignment="1" applyFont="1" applyNumberFormat="1">
      <alignment horizontal="right" readingOrder="0" shrinkToFit="0" vertical="bottom" wrapText="0"/>
    </xf>
    <xf borderId="0" fillId="0" fontId="1" numFmtId="3" xfId="0" applyAlignment="1" applyFont="1" applyNumberFormat="1">
      <alignment vertical="bottom"/>
    </xf>
    <xf borderId="0" fillId="0" fontId="0" numFmtId="4" xfId="0" applyAlignment="1" applyFont="1" applyNumberFormat="1">
      <alignment vertical="bottom"/>
    </xf>
    <xf borderId="0" fillId="0" fontId="1" numFmtId="4" xfId="0" applyAlignment="1" applyFont="1" applyNumberFormat="1">
      <alignment vertical="bottom"/>
    </xf>
    <xf borderId="0" fillId="11" fontId="1" numFmtId="4" xfId="0" applyAlignment="1" applyFont="1" applyNumberFormat="1">
      <alignment vertical="bottom"/>
    </xf>
    <xf borderId="0" fillId="9" fontId="1" numFmtId="4" xfId="0" applyAlignment="1" applyFont="1" applyNumberFormat="1">
      <alignment vertical="bottom"/>
    </xf>
    <xf borderId="0" fillId="0" fontId="3" numFmtId="0" xfId="0" applyAlignment="1" applyFont="1">
      <alignment readingOrder="0" vertical="bottom"/>
    </xf>
    <xf borderId="0" fillId="9" fontId="43" numFmtId="4" xfId="0" applyAlignment="1" applyFont="1" applyNumberFormat="1">
      <alignment vertical="bottom"/>
    </xf>
    <xf borderId="0" fillId="0" fontId="0" numFmtId="4" xfId="0" applyAlignment="1" applyFont="1" applyNumberFormat="1">
      <alignment readingOrder="0" vertical="bottom"/>
    </xf>
    <xf quotePrefix="1" borderId="0" fillId="0" fontId="11" numFmtId="0" xfId="0" applyAlignment="1" applyFont="1">
      <alignment readingOrder="0" vertical="bottom"/>
    </xf>
    <xf borderId="2" fillId="31" fontId="44" numFmtId="0" xfId="0" applyAlignment="1" applyBorder="1" applyFill="1" applyFont="1">
      <alignment vertical="bottom"/>
    </xf>
    <xf borderId="0" fillId="0" fontId="11" numFmtId="174" xfId="0" applyAlignment="1" applyFont="1" applyNumberFormat="1">
      <alignment vertical="bottom"/>
    </xf>
    <xf borderId="0" fillId="32" fontId="45" numFmtId="174" xfId="0" applyAlignment="1" applyFill="1" applyFont="1" applyNumberFormat="1">
      <alignment horizontal="right" vertical="bottom"/>
    </xf>
    <xf borderId="0" fillId="8" fontId="45" numFmtId="174" xfId="0" applyAlignment="1" applyFont="1" applyNumberFormat="1">
      <alignment horizontal="right" vertical="bottom"/>
    </xf>
    <xf borderId="2" fillId="0" fontId="13" numFmtId="0" xfId="0" applyAlignment="1" applyBorder="1" applyFont="1">
      <alignment shrinkToFit="0" vertical="bottom" wrapText="0"/>
    </xf>
    <xf borderId="0" fillId="8" fontId="11" numFmtId="0" xfId="0" applyAlignment="1" applyFont="1">
      <alignment vertical="bottom"/>
    </xf>
    <xf borderId="2" fillId="31" fontId="44" numFmtId="0" xfId="0" applyAlignment="1" applyBorder="1" applyFont="1">
      <alignment shrinkToFit="0" vertical="bottom" wrapText="0"/>
    </xf>
    <xf borderId="0" fillId="0" fontId="3" numFmtId="0" xfId="0" applyAlignment="1" applyFont="1">
      <alignment readingOrder="0"/>
    </xf>
    <xf borderId="10" fillId="31" fontId="44" numFmtId="0" xfId="0" applyBorder="1" applyFont="1"/>
    <xf borderId="10" fillId="32" fontId="45" numFmtId="168" xfId="0" applyBorder="1" applyFont="1" applyNumberFormat="1"/>
    <xf borderId="10" fillId="31" fontId="44" numFmtId="0" xfId="0" applyAlignment="1" applyBorder="1" applyFont="1">
      <alignment readingOrder="0"/>
    </xf>
    <xf borderId="0" fillId="0" fontId="0" numFmtId="9" xfId="0" applyFont="1" applyNumberFormat="1"/>
    <xf borderId="1" fillId="3" fontId="0" numFmtId="9" xfId="0" applyBorder="1" applyFont="1" applyNumberFormat="1"/>
    <xf borderId="0" fillId="19" fontId="0" numFmtId="168" xfId="0" applyFont="1" applyNumberFormat="1"/>
    <xf borderId="10" fillId="32" fontId="45" numFmtId="9" xfId="0" applyBorder="1" applyFont="1" applyNumberFormat="1"/>
    <xf borderId="10" fillId="31" fontId="44" numFmtId="9" xfId="0" applyBorder="1" applyFont="1" applyNumberFormat="1"/>
    <xf borderId="10" fillId="32" fontId="45" numFmtId="10" xfId="0" applyBorder="1" applyFont="1" applyNumberFormat="1"/>
    <xf borderId="0" fillId="2" fontId="13" numFmtId="0" xfId="0" applyAlignment="1" applyFont="1">
      <alignment horizontal="center" shrinkToFit="0" vertical="center" wrapText="1"/>
    </xf>
    <xf borderId="0" fillId="2" fontId="13" numFmtId="0" xfId="0" applyAlignment="1" applyFont="1">
      <alignment horizontal="center" readingOrder="0" shrinkToFit="0" vertical="center" wrapText="1"/>
    </xf>
    <xf borderId="0" fillId="2" fontId="0" numFmtId="0" xfId="0" applyAlignment="1" applyFont="1">
      <alignment horizontal="center" shrinkToFit="0" vertical="center" wrapText="1"/>
    </xf>
    <xf borderId="0" fillId="2" fontId="0" numFmtId="1" xfId="0" applyAlignment="1" applyFont="1" applyNumberFormat="1">
      <alignment horizontal="center" shrinkToFit="0" vertical="center" wrapText="1"/>
    </xf>
    <xf borderId="0" fillId="0" fontId="0" numFmtId="9" xfId="0" applyFont="1" applyNumberFormat="1"/>
    <xf borderId="0" fillId="0" fontId="0" numFmtId="168" xfId="0" applyFont="1" applyNumberFormat="1"/>
    <xf borderId="0" fillId="0" fontId="46" numFmtId="0" xfId="0" applyFont="1"/>
    <xf borderId="0" fillId="0" fontId="13" numFmtId="0" xfId="0" applyAlignment="1" applyFont="1">
      <alignment horizontal="left"/>
    </xf>
    <xf borderId="1" fillId="3" fontId="0" numFmtId="168" xfId="0" applyBorder="1" applyFont="1" applyNumberFormat="1"/>
    <xf borderId="0" fillId="0" fontId="0" numFmtId="189" xfId="0" applyFont="1" applyNumberFormat="1"/>
    <xf borderId="0" fillId="0" fontId="0" numFmtId="190" xfId="0" applyFont="1" applyNumberFormat="1"/>
    <xf borderId="0" fillId="0" fontId="0" numFmtId="183" xfId="0" applyFont="1" applyNumberFormat="1"/>
    <xf borderId="0" fillId="0" fontId="15" numFmtId="174" xfId="0" applyAlignment="1" applyFont="1" applyNumberFormat="1">
      <alignment readingOrder="0"/>
    </xf>
    <xf borderId="11" fillId="32" fontId="45" numFmtId="168" xfId="0" applyBorder="1" applyFont="1" applyNumberFormat="1"/>
    <xf borderId="0" fillId="2" fontId="45" numFmtId="168" xfId="0" applyFont="1" applyNumberFormat="1"/>
    <xf borderId="12" fillId="32" fontId="45" numFmtId="168" xfId="0" applyBorder="1" applyFont="1" applyNumberFormat="1"/>
    <xf borderId="11" fillId="31" fontId="44" numFmtId="0" xfId="0" applyAlignment="1" applyBorder="1" applyFont="1">
      <alignment readingOrder="0"/>
    </xf>
    <xf borderId="0" fillId="2" fontId="44" numFmtId="0" xfId="0" applyFont="1"/>
    <xf borderId="13" fillId="31" fontId="44" numFmtId="0" xfId="0" applyBorder="1" applyFont="1"/>
    <xf borderId="13" fillId="32" fontId="45" numFmtId="168" xfId="0" applyBorder="1" applyFont="1" applyNumberFormat="1"/>
    <xf borderId="0" fillId="0" fontId="3" numFmtId="9" xfId="0" applyFont="1" applyNumberFormat="1"/>
    <xf borderId="2" fillId="33" fontId="15" numFmtId="3" xfId="0" applyAlignment="1" applyBorder="1" applyFill="1" applyFont="1" applyNumberFormat="1">
      <alignment readingOrder="0"/>
    </xf>
    <xf borderId="0" fillId="0" fontId="0" numFmtId="10" xfId="0" applyAlignment="1" applyFont="1" applyNumberFormat="1">
      <alignment horizontal="left" vertical="center"/>
    </xf>
    <xf borderId="1" fillId="8" fontId="0" numFmtId="1" xfId="0" applyAlignment="1" applyBorder="1" applyFont="1" applyNumberFormat="1">
      <alignment horizontal="center" vertical="center"/>
    </xf>
    <xf borderId="1" fillId="8" fontId="0" numFmtId="10" xfId="0" applyAlignment="1" applyBorder="1" applyFont="1" applyNumberFormat="1">
      <alignment horizontal="center"/>
    </xf>
    <xf borderId="0" fillId="0" fontId="22" numFmtId="0" xfId="0" applyFont="1"/>
    <xf borderId="0" fillId="2" fontId="22" numFmtId="0" xfId="0" applyAlignment="1" applyFont="1">
      <alignment readingOrder="0" shrinkToFit="0" vertical="bottom" wrapText="0"/>
    </xf>
    <xf borderId="0" fillId="0" fontId="22" numFmtId="174" xfId="0" applyAlignment="1" applyFont="1" applyNumberFormat="1">
      <alignment horizontal="right" readingOrder="0" shrinkToFit="0" vertical="bottom" wrapText="0"/>
    </xf>
    <xf borderId="0" fillId="0" fontId="47" numFmtId="0" xfId="0" applyAlignment="1" applyFont="1">
      <alignment readingOrder="0"/>
    </xf>
    <xf borderId="0" fillId="31" fontId="22" numFmtId="0" xfId="0" applyAlignment="1" applyFont="1">
      <alignment readingOrder="0" shrinkToFit="0" vertical="bottom" wrapText="0"/>
    </xf>
    <xf borderId="0" fillId="0" fontId="3" numFmtId="0" xfId="0" applyAlignment="1" applyFont="1">
      <alignment readingOrder="0" shrinkToFit="0" vertical="bottom" wrapText="0"/>
    </xf>
    <xf borderId="0" fillId="31" fontId="15" numFmtId="0" xfId="0" applyAlignment="1" applyFont="1">
      <alignment readingOrder="0"/>
    </xf>
    <xf borderId="0" fillId="0" fontId="48" numFmtId="2" xfId="0" applyAlignment="1" applyFont="1" applyNumberFormat="1">
      <alignment horizontal="right" readingOrder="0" vertical="bottom"/>
    </xf>
    <xf borderId="0" fillId="0" fontId="49" numFmtId="2" xfId="0" applyAlignment="1" applyFont="1" applyNumberFormat="1">
      <alignment horizontal="right" readingOrder="0" shrinkToFit="0" vertical="bottom" wrapText="0"/>
    </xf>
    <xf borderId="0" fillId="0" fontId="48" numFmtId="0" xfId="0" applyAlignment="1" applyFont="1">
      <alignment readingOrder="0" vertical="bottom"/>
    </xf>
    <xf borderId="0" fillId="0" fontId="48" numFmtId="2" xfId="0" applyAlignment="1" applyFont="1" applyNumberFormat="1">
      <alignment horizontal="right" readingOrder="0" shrinkToFit="0" vertical="bottom" wrapText="0"/>
    </xf>
    <xf borderId="0" fillId="0" fontId="15" numFmtId="164" xfId="0" applyFont="1" applyNumberFormat="1"/>
    <xf borderId="0" fillId="0" fontId="4" numFmtId="0" xfId="0" applyAlignment="1" applyFont="1">
      <alignment horizontal="left" readingOrder="0"/>
    </xf>
    <xf borderId="0" fillId="2" fontId="3" numFmtId="0" xfId="0" applyAlignment="1" applyFont="1">
      <alignment horizontal="left" readingOrder="0"/>
    </xf>
    <xf borderId="0" fillId="0" fontId="39" numFmtId="174" xfId="0" applyAlignment="1" applyFont="1" applyNumberFormat="1">
      <alignment readingOrder="0"/>
    </xf>
    <xf borderId="0" fillId="11" fontId="15" numFmtId="0" xfId="0" applyAlignment="1" applyFont="1">
      <alignment readingOrder="0"/>
    </xf>
    <xf borderId="0" fillId="11" fontId="15" numFmtId="174" xfId="0" applyAlignment="1" applyFont="1" applyNumberFormat="1">
      <alignment readingOrder="0"/>
    </xf>
    <xf borderId="0" fillId="9" fontId="15" numFmtId="0" xfId="0" applyAlignment="1" applyFont="1">
      <alignment readingOrder="0"/>
    </xf>
    <xf borderId="0" fillId="9" fontId="15" numFmtId="174" xfId="0" applyAlignment="1" applyFont="1" applyNumberFormat="1">
      <alignment readingOrder="0"/>
    </xf>
    <xf borderId="0" fillId="34" fontId="15" numFmtId="0" xfId="0" applyAlignment="1" applyFill="1" applyFont="1">
      <alignment readingOrder="0"/>
    </xf>
    <xf borderId="0" fillId="34" fontId="15" numFmtId="174" xfId="0" applyAlignment="1" applyFont="1" applyNumberFormat="1">
      <alignment readingOrder="0"/>
    </xf>
    <xf borderId="0" fillId="25" fontId="15" numFmtId="174" xfId="0" applyAlignment="1" applyFont="1" applyNumberFormat="1">
      <alignment readingOrder="0"/>
    </xf>
    <xf borderId="0" fillId="35" fontId="15" numFmtId="0" xfId="0" applyAlignment="1" applyFill="1" applyFont="1">
      <alignment readingOrder="0"/>
    </xf>
    <xf borderId="0" fillId="35" fontId="15" numFmtId="174" xfId="0" applyAlignment="1" applyFont="1" applyNumberFormat="1">
      <alignment readingOrder="0"/>
    </xf>
    <xf borderId="0" fillId="27" fontId="15" numFmtId="0" xfId="0" applyAlignment="1" applyFont="1">
      <alignment readingOrder="0"/>
    </xf>
    <xf borderId="0" fillId="30" fontId="15" numFmtId="0" xfId="0" applyAlignment="1" applyFont="1">
      <alignment readingOrder="0"/>
    </xf>
    <xf borderId="0" fillId="30" fontId="15" numFmtId="174" xfId="0" applyAlignment="1" applyFont="1" applyNumberFormat="1">
      <alignment readingOrder="0"/>
    </xf>
    <xf borderId="0" fillId="36" fontId="15" numFmtId="0" xfId="0" applyAlignment="1" applyFill="1" applyFont="1">
      <alignment readingOrder="0"/>
    </xf>
    <xf borderId="0" fillId="36" fontId="15" numFmtId="174" xfId="0" applyAlignment="1" applyFont="1" applyNumberFormat="1">
      <alignment readingOrder="0"/>
    </xf>
    <xf borderId="0" fillId="5" fontId="15" numFmtId="0" xfId="0" applyAlignment="1" applyFont="1">
      <alignment readingOrder="0"/>
    </xf>
    <xf borderId="0" fillId="5" fontId="15" numFmtId="174" xfId="0" applyAlignment="1" applyFont="1" applyNumberFormat="1">
      <alignment readingOrder="0"/>
    </xf>
    <xf borderId="0" fillId="0" fontId="15" numFmtId="164" xfId="0" applyAlignment="1" applyFont="1" applyNumberFormat="1">
      <alignment readingOrder="0"/>
    </xf>
    <xf borderId="0" fillId="37" fontId="15" numFmtId="164" xfId="0" applyFill="1" applyFont="1" applyNumberFormat="1"/>
    <xf borderId="0" fillId="0" fontId="0" numFmtId="164" xfId="0" applyAlignment="1" applyFont="1" applyNumberFormat="1">
      <alignment horizontal="right" readingOrder="0" shrinkToFit="0" vertical="bottom" wrapText="0"/>
    </xf>
    <xf borderId="0" fillId="0" fontId="4" numFmtId="174" xfId="0" applyAlignment="1" applyFont="1" applyNumberFormat="1">
      <alignment readingOrder="0"/>
    </xf>
    <xf borderId="1" fillId="8" fontId="0" numFmtId="170" xfId="0" applyAlignment="1" applyBorder="1" applyFont="1" applyNumberFormat="1">
      <alignment horizontal="center" vertical="center"/>
    </xf>
    <xf borderId="0" fillId="11" fontId="3" numFmtId="186" xfId="0" applyAlignment="1" applyFont="1" applyNumberFormat="1">
      <alignment horizontal="center" readingOrder="0" shrinkToFit="0" wrapText="1"/>
    </xf>
    <xf borderId="1" fillId="8" fontId="3" numFmtId="186" xfId="0" applyAlignment="1" applyBorder="1" applyFont="1" applyNumberFormat="1">
      <alignment horizontal="center" readingOrder="0" vertical="center"/>
    </xf>
    <xf borderId="0" fillId="0" fontId="3" numFmtId="186" xfId="0" applyAlignment="1" applyFont="1" applyNumberFormat="1">
      <alignment horizontal="center" readingOrder="0" vertical="center"/>
    </xf>
    <xf borderId="0" fillId="0" fontId="13" numFmtId="10" xfId="0" applyAlignment="1" applyFont="1" applyNumberFormat="1">
      <alignment horizontal="center" shrinkToFit="0" wrapText="1"/>
    </xf>
    <xf borderId="0" fillId="0" fontId="0" numFmtId="10" xfId="0" applyAlignment="1" applyFont="1" applyNumberFormat="1">
      <alignment horizontal="center"/>
    </xf>
    <xf borderId="0" fillId="0" fontId="0" numFmtId="1" xfId="0" applyAlignment="1" applyFont="1" applyNumberFormat="1">
      <alignment horizontal="center" vertical="center"/>
    </xf>
    <xf borderId="1" fillId="8" fontId="0" numFmtId="0" xfId="0" applyAlignment="1" applyBorder="1" applyFont="1">
      <alignment horizontal="center" vertical="center"/>
    </xf>
    <xf borderId="0" fillId="8" fontId="0" numFmtId="9" xfId="0" applyAlignment="1" applyFont="1" applyNumberFormat="1">
      <alignment horizontal="center"/>
    </xf>
    <xf borderId="1" fillId="3" fontId="13" numFmtId="0" xfId="0" applyAlignment="1" applyBorder="1" applyFont="1">
      <alignment horizontal="center" shrinkToFit="0" wrapText="1"/>
    </xf>
    <xf borderId="1" fillId="8" fontId="0" numFmtId="168" xfId="0" applyAlignment="1" applyBorder="1" applyFont="1" applyNumberFormat="1">
      <alignment horizontal="center" vertical="center"/>
    </xf>
    <xf borderId="1" fillId="8" fontId="0" numFmtId="2" xfId="0" applyAlignment="1" applyBorder="1" applyFont="1" applyNumberFormat="1">
      <alignment horizontal="center" vertical="center"/>
    </xf>
    <xf borderId="1" fillId="8" fontId="0" numFmtId="191" xfId="0" applyAlignment="1" applyBorder="1" applyFont="1" applyNumberFormat="1">
      <alignment horizontal="center" vertical="center"/>
    </xf>
    <xf borderId="0" fillId="0" fontId="0" numFmtId="191" xfId="0" applyAlignment="1" applyFont="1" applyNumberFormat="1">
      <alignment horizontal="center"/>
    </xf>
    <xf borderId="1" fillId="38" fontId="13" numFmtId="0" xfId="0" applyAlignment="1" applyBorder="1" applyFill="1" applyFont="1">
      <alignment horizontal="center" shrinkToFit="0" wrapText="1"/>
    </xf>
    <xf borderId="0" fillId="0" fontId="0" numFmtId="10" xfId="0" applyAlignment="1" applyFont="1" applyNumberFormat="1">
      <alignment horizontal="center" shrinkToFit="0" wrapText="1"/>
    </xf>
    <xf borderId="0" fillId="0" fontId="0" numFmtId="168" xfId="0" applyAlignment="1" applyFont="1" applyNumberFormat="1">
      <alignment horizontal="center" vertical="center"/>
    </xf>
    <xf borderId="1" fillId="38" fontId="13" numFmtId="0" xfId="0" applyAlignment="1" applyBorder="1" applyFont="1">
      <alignment horizontal="center" readingOrder="0" shrinkToFit="0" wrapText="1"/>
    </xf>
    <xf borderId="0" fillId="0" fontId="13" numFmtId="185" xfId="0" applyAlignment="1" applyFont="1" applyNumberFormat="1">
      <alignment horizontal="center" shrinkToFit="0" wrapText="1"/>
    </xf>
    <xf borderId="1" fillId="8" fontId="0" numFmtId="180" xfId="0" applyAlignment="1" applyBorder="1" applyFont="1" applyNumberFormat="1">
      <alignment horizontal="center" vertical="center"/>
    </xf>
    <xf borderId="0" fillId="0" fontId="0" numFmtId="180" xfId="0" applyAlignment="1" applyFont="1" applyNumberFormat="1">
      <alignment horizontal="center"/>
    </xf>
    <xf borderId="2" fillId="8" fontId="0" numFmtId="4" xfId="0" applyAlignment="1" applyBorder="1" applyFont="1" applyNumberFormat="1">
      <alignment horizontal="center"/>
    </xf>
    <xf borderId="0" fillId="0" fontId="0" numFmtId="188" xfId="0" applyAlignment="1" applyFont="1" applyNumberFormat="1">
      <alignment horizontal="center"/>
    </xf>
    <xf borderId="0" fillId="0" fontId="13" numFmtId="0" xfId="0" applyAlignment="1" applyFont="1">
      <alignment horizontal="center" readingOrder="0" shrinkToFit="0" vertical="bottom" wrapText="1"/>
    </xf>
    <xf borderId="2" fillId="8" fontId="0" numFmtId="3" xfId="0" applyAlignment="1" applyBorder="1" applyFont="1" applyNumberFormat="1">
      <alignment horizontal="center"/>
    </xf>
    <xf borderId="0" fillId="0" fontId="13" numFmtId="168" xfId="0" applyAlignment="1" applyFont="1" applyNumberFormat="1">
      <alignment horizontal="center" shrinkToFit="0" wrapText="1"/>
    </xf>
    <xf borderId="0" fillId="0" fontId="0" numFmtId="9" xfId="0" applyAlignment="1" applyFont="1" applyNumberFormat="1">
      <alignment horizontal="center" shrinkToFit="0" wrapText="1"/>
    </xf>
    <xf borderId="0" fillId="0" fontId="3" numFmtId="168" xfId="0" applyAlignment="1" applyFont="1" applyNumberFormat="1">
      <alignment horizontal="center"/>
    </xf>
    <xf borderId="0" fillId="0" fontId="0" numFmtId="0" xfId="0" applyAlignment="1" applyFont="1">
      <alignment horizontal="center" shrinkToFit="0" vertical="bottom" wrapText="1"/>
    </xf>
    <xf borderId="0" fillId="0" fontId="50" numFmtId="0" xfId="0" applyAlignment="1" applyFont="1">
      <alignment horizontal="center" shrinkToFit="0" vertical="bottom" wrapText="1"/>
    </xf>
    <xf borderId="0" fillId="0" fontId="50" numFmtId="0" xfId="0" applyAlignment="1" applyFont="1">
      <alignment shrinkToFit="0" vertical="bottom" wrapText="1"/>
    </xf>
    <xf borderId="0" fillId="0" fontId="11" numFmtId="0" xfId="0" applyAlignment="1" applyFont="1">
      <alignment shrinkToFit="0" vertical="bottom" wrapText="1"/>
    </xf>
    <xf borderId="0" fillId="0" fontId="13" numFmtId="0" xfId="0" applyAlignment="1" applyFont="1">
      <alignment horizontal="right" readingOrder="0" vertical="bottom"/>
    </xf>
    <xf borderId="0" fillId="0" fontId="0" numFmtId="0" xfId="0" applyAlignment="1" applyFont="1">
      <alignment vertical="bottom"/>
    </xf>
    <xf borderId="0" fillId="0" fontId="50" numFmtId="0" xfId="0" applyAlignment="1" applyFont="1">
      <alignment vertical="bottom"/>
    </xf>
    <xf borderId="0" fillId="0" fontId="50" numFmtId="0" xfId="0" applyAlignment="1" applyFont="1">
      <alignment horizontal="right" vertical="bottom"/>
    </xf>
    <xf borderId="0" fillId="8" fontId="3" numFmtId="0" xfId="0" applyAlignment="1" applyFont="1">
      <alignment horizontal="right" readingOrder="0" vertical="bottom"/>
    </xf>
    <xf borderId="0" fillId="0" fontId="11" numFmtId="0" xfId="0" applyAlignment="1" applyFont="1">
      <alignment horizontal="right" vertical="bottom"/>
    </xf>
    <xf borderId="0" fillId="0" fontId="0" numFmtId="0" xfId="0" applyAlignment="1" applyFont="1">
      <alignment horizontal="right" shrinkToFit="0" vertical="bottom" wrapText="1"/>
    </xf>
    <xf borderId="0" fillId="0" fontId="3" numFmtId="0" xfId="0" applyAlignment="1" applyFont="1">
      <alignment horizontal="right" vertical="bottom"/>
    </xf>
    <xf borderId="0" fillId="0" fontId="3" numFmtId="0" xfId="0" applyAlignment="1" applyFont="1">
      <alignment horizontal="right" readingOrder="0" vertical="bottom"/>
    </xf>
    <xf borderId="0" fillId="0" fontId="1" numFmtId="0" xfId="0" applyAlignment="1" applyFont="1">
      <alignment horizontal="right" vertical="bottom"/>
    </xf>
    <xf borderId="0" fillId="0" fontId="4" numFmtId="1" xfId="0" applyFont="1" applyNumberFormat="1"/>
    <xf borderId="0" fillId="0" fontId="0" numFmtId="0" xfId="0" applyAlignment="1" applyFont="1">
      <alignment horizontal="center" shrinkToFit="0" vertical="bottom" wrapText="1"/>
    </xf>
    <xf borderId="0" fillId="0" fontId="0" numFmtId="170" xfId="0" applyAlignment="1" applyFont="1" applyNumberFormat="1">
      <alignment horizontal="center" vertical="center"/>
    </xf>
    <xf borderId="0" fillId="8" fontId="3" numFmtId="186" xfId="0" applyAlignment="1" applyFont="1" applyNumberFormat="1">
      <alignment horizontal="center" readingOrder="0" shrinkToFit="0" wrapText="1"/>
    </xf>
    <xf borderId="0" fillId="8" fontId="3" numFmtId="186" xfId="0" applyAlignment="1" applyFont="1" applyNumberFormat="1">
      <alignment horizontal="center" readingOrder="0" vertical="center"/>
    </xf>
    <xf borderId="1" fillId="8" fontId="0" numFmtId="164" xfId="0" applyAlignment="1" applyBorder="1" applyFont="1" applyNumberFormat="1">
      <alignment horizontal="center" vertical="center"/>
    </xf>
    <xf borderId="0" fillId="0" fontId="0" numFmtId="9" xfId="0" applyAlignment="1" applyFont="1" applyNumberFormat="1">
      <alignment horizontal="center" readingOrder="0" shrinkToFit="0" wrapText="1"/>
    </xf>
    <xf borderId="0" fillId="0" fontId="1" numFmtId="9" xfId="0" applyAlignment="1" applyFont="1" applyNumberFormat="1">
      <alignment horizontal="center" vertical="center"/>
    </xf>
    <xf borderId="0" fillId="8" fontId="12" numFmtId="9" xfId="0" applyAlignment="1" applyFont="1" applyNumberFormat="1">
      <alignment horizontal="center" vertical="center"/>
    </xf>
    <xf borderId="0" fillId="0" fontId="1" numFmtId="10" xfId="0" applyAlignment="1" applyFont="1" applyNumberFormat="1">
      <alignment horizontal="center" vertical="center"/>
    </xf>
    <xf borderId="0" fillId="0" fontId="1" numFmtId="9" xfId="0" applyAlignment="1" applyFont="1" applyNumberFormat="1">
      <alignment horizontal="center"/>
    </xf>
    <xf borderId="0" fillId="0" fontId="0" numFmtId="0" xfId="0" applyAlignment="1" applyFont="1">
      <alignment horizontal="center" readingOrder="0"/>
    </xf>
    <xf borderId="0" fillId="8" fontId="0" numFmtId="3" xfId="0" applyAlignment="1" applyFont="1" applyNumberFormat="1">
      <alignment horizontal="center" readingOrder="0" vertical="center"/>
    </xf>
    <xf borderId="0" fillId="0" fontId="13" numFmtId="192" xfId="0" applyAlignment="1" applyFont="1" applyNumberFormat="1">
      <alignment horizontal="center" shrinkToFit="0" wrapText="1"/>
    </xf>
    <xf borderId="0" fillId="2" fontId="24" numFmtId="192" xfId="0" applyFont="1" applyNumberFormat="1"/>
    <xf borderId="0" fillId="8" fontId="0" numFmtId="193" xfId="0" applyAlignment="1" applyFont="1" applyNumberFormat="1">
      <alignment horizontal="center"/>
    </xf>
    <xf borderId="2" fillId="2" fontId="51" numFmtId="0" xfId="0" applyAlignment="1" applyBorder="1" applyFont="1">
      <alignment readingOrder="0" shrinkToFit="0" vertical="bottom" wrapText="0"/>
    </xf>
    <xf borderId="2" fillId="2" fontId="52" numFmtId="0" xfId="0" applyAlignment="1" applyBorder="1" applyFont="1">
      <alignment readingOrder="0" shrinkToFit="0" vertical="bottom" wrapText="0"/>
    </xf>
    <xf borderId="0" fillId="0" fontId="53" numFmtId="0" xfId="0" applyAlignment="1" applyFont="1">
      <alignment horizontal="right" shrinkToFit="0" vertical="center" wrapText="1"/>
    </xf>
    <xf borderId="1" fillId="8" fontId="3" numFmtId="0" xfId="0" applyAlignment="1" applyBorder="1" applyFont="1">
      <alignment horizontal="center"/>
    </xf>
    <xf borderId="0" fillId="0" fontId="11" numFmtId="0" xfId="0" applyAlignment="1" applyFont="1">
      <alignment readingOrder="0" shrinkToFit="0" vertical="bottom" wrapText="1"/>
    </xf>
    <xf borderId="0" fillId="0" fontId="0" numFmtId="0" xfId="0" applyAlignment="1" applyFont="1">
      <alignment horizontal="right" vertical="bottom"/>
    </xf>
    <xf borderId="0" fillId="8" fontId="29" numFmtId="0" xfId="0" applyAlignment="1" applyFont="1">
      <alignment horizontal="right" readingOrder="0" vertical="bottom"/>
    </xf>
    <xf borderId="0" fillId="8" fontId="29" numFmtId="0" xfId="0" applyAlignment="1" applyFont="1">
      <alignment horizontal="right" readingOrder="0" vertical="bottom"/>
    </xf>
    <xf borderId="0" fillId="8" fontId="29" numFmtId="0" xfId="0" applyAlignment="1" applyFont="1">
      <alignment horizontal="right" readingOrder="0" shrinkToFit="0" vertical="bottom" wrapText="0"/>
    </xf>
    <xf borderId="0" fillId="0" fontId="0" numFmtId="170" xfId="0" applyAlignment="1" applyFont="1" applyNumberFormat="1">
      <alignment horizontal="center" shrinkToFit="0" wrapText="1"/>
    </xf>
    <xf borderId="1" fillId="8" fontId="0" numFmtId="170" xfId="0" applyAlignment="1" applyBorder="1" applyFont="1" applyNumberFormat="1">
      <alignment horizontal="center" readingOrder="0" vertical="center"/>
    </xf>
    <xf borderId="0" fillId="8" fontId="54" numFmtId="186" xfId="0" applyAlignment="1" applyFont="1" applyNumberFormat="1">
      <alignment horizontal="right" readingOrder="0" shrinkToFit="0" vertical="bottom" wrapText="0"/>
    </xf>
    <xf borderId="0" fillId="8" fontId="54" numFmtId="186" xfId="0" applyAlignment="1" applyFont="1" applyNumberFormat="1">
      <alignment horizontal="right" readingOrder="0" shrinkToFit="0" vertical="bottom" wrapText="0"/>
    </xf>
    <xf borderId="0" fillId="0" fontId="13" numFmtId="10" xfId="0" applyAlignment="1" applyFont="1" applyNumberFormat="1">
      <alignment horizontal="center" readingOrder="0" shrinkToFit="0" wrapText="1"/>
    </xf>
    <xf borderId="0" fillId="0" fontId="0" numFmtId="164" xfId="0" applyAlignment="1" applyFont="1" applyNumberFormat="1">
      <alignment horizontal="center"/>
    </xf>
    <xf borderId="0" fillId="0" fontId="13" numFmtId="170" xfId="0" applyAlignment="1" applyFont="1" applyNumberFormat="1">
      <alignment horizontal="center" readingOrder="0" shrinkToFit="0" wrapText="1"/>
    </xf>
    <xf borderId="0" fillId="0" fontId="0" numFmtId="170" xfId="0" applyAlignment="1" applyFont="1" applyNumberFormat="1">
      <alignment horizontal="center" readingOrder="0" shrinkToFit="0" wrapText="1"/>
    </xf>
    <xf borderId="0" fillId="8" fontId="0" numFmtId="170" xfId="0" applyAlignment="1" applyFont="1" applyNumberFormat="1">
      <alignment horizontal="center" readingOrder="0" shrinkToFit="0" wrapText="1"/>
    </xf>
    <xf borderId="0" fillId="0" fontId="0" numFmtId="186" xfId="0" applyAlignment="1" applyFont="1" applyNumberFormat="1">
      <alignment horizontal="center" readingOrder="0" shrinkToFit="0" wrapText="1"/>
    </xf>
    <xf borderId="0" fillId="0" fontId="0" numFmtId="168" xfId="0" applyAlignment="1" applyFont="1" applyNumberFormat="1">
      <alignment horizontal="center" readingOrder="0"/>
    </xf>
    <xf borderId="0" fillId="8" fontId="13" numFmtId="10" xfId="0" applyAlignment="1" applyFont="1" applyNumberFormat="1">
      <alignment horizontal="center" readingOrder="0" shrinkToFit="0" wrapText="1"/>
    </xf>
    <xf borderId="0" fillId="0" fontId="40" numFmtId="186" xfId="0" applyAlignment="1" applyFont="1" applyNumberFormat="1">
      <alignment horizontal="right" readingOrder="0" shrinkToFit="0" vertical="bottom" wrapText="0"/>
    </xf>
    <xf borderId="0" fillId="0" fontId="40" numFmtId="186" xfId="0" applyAlignment="1" applyFont="1" applyNumberFormat="1">
      <alignment horizontal="right" readingOrder="0" shrinkToFit="0" vertical="bottom" wrapText="0"/>
    </xf>
    <xf borderId="0" fillId="0" fontId="11" numFmtId="0" xfId="0" applyAlignment="1" applyFont="1">
      <alignment shrinkToFit="0" vertical="bottom" wrapText="1"/>
    </xf>
    <xf borderId="0" fillId="0" fontId="28" numFmtId="0" xfId="0" applyAlignment="1" applyFont="1">
      <alignment horizontal="right" vertical="bottom"/>
    </xf>
    <xf borderId="0" fillId="0" fontId="29" numFmtId="0" xfId="0" applyAlignment="1" applyFont="1">
      <alignment horizontal="right" vertical="bottom"/>
    </xf>
    <xf borderId="0" fillId="0" fontId="0" numFmtId="0" xfId="0" applyAlignment="1" applyFont="1">
      <alignment horizontal="left"/>
    </xf>
    <xf borderId="0" fillId="8" fontId="3" numFmtId="170" xfId="0" applyAlignment="1" applyFont="1" applyNumberFormat="1">
      <alignment horizontal="center" readingOrder="0" shrinkToFit="0" wrapText="1"/>
    </xf>
    <xf borderId="0" fillId="0" fontId="3" numFmtId="170" xfId="0" applyAlignment="1" applyFont="1" applyNumberFormat="1">
      <alignment horizontal="center" shrinkToFit="0" wrapText="1"/>
    </xf>
    <xf borderId="0" fillId="0" fontId="1" numFmtId="186" xfId="0" applyAlignment="1" applyFont="1" applyNumberFormat="1">
      <alignment horizontal="center" shrinkToFit="0" wrapText="1"/>
    </xf>
    <xf borderId="0" fillId="0" fontId="13" numFmtId="186" xfId="0" applyAlignment="1" applyFont="1" applyNumberFormat="1">
      <alignment horizontal="center" readingOrder="0" shrinkToFit="0" wrapText="1"/>
    </xf>
    <xf borderId="0" fillId="0" fontId="0" numFmtId="9" xfId="0" applyAlignment="1" applyFont="1" applyNumberFormat="1">
      <alignment horizontal="center" readingOrder="0" vertical="center"/>
    </xf>
    <xf borderId="0" fillId="0" fontId="13" numFmtId="164" xfId="0" applyAlignment="1" applyFont="1" applyNumberFormat="1">
      <alignment horizontal="center" shrinkToFit="0" wrapText="1"/>
    </xf>
    <xf borderId="0" fillId="0" fontId="1" numFmtId="174" xfId="0" applyAlignment="1" applyFont="1" applyNumberFormat="1">
      <alignment horizontal="center" shrinkToFit="0" wrapText="1"/>
    </xf>
    <xf borderId="0" fillId="8" fontId="3" numFmtId="174" xfId="0" applyAlignment="1" applyFont="1" applyNumberFormat="1">
      <alignment horizontal="center" readingOrder="0" shrinkToFit="0" wrapText="1"/>
    </xf>
    <xf borderId="1" fillId="8" fontId="3" numFmtId="174" xfId="0" applyAlignment="1" applyBorder="1" applyFont="1" applyNumberFormat="1">
      <alignment horizontal="center" readingOrder="0" vertical="center"/>
    </xf>
    <xf borderId="0" fillId="8" fontId="3" numFmtId="174" xfId="0" applyAlignment="1" applyFont="1" applyNumberFormat="1">
      <alignment horizontal="center" readingOrder="0" vertical="center"/>
    </xf>
    <xf borderId="0" fillId="0" fontId="13" numFmtId="4" xfId="0" applyAlignment="1" applyFont="1" applyNumberFormat="1">
      <alignment horizontal="center" shrinkToFit="0" vertical="bottom" wrapText="1"/>
    </xf>
    <xf borderId="0" fillId="8" fontId="29" numFmtId="0" xfId="0" applyAlignment="1" applyFont="1">
      <alignment horizontal="right" readingOrder="0" vertical="bottom"/>
    </xf>
    <xf borderId="0" fillId="8" fontId="55" numFmtId="186" xfId="0" applyAlignment="1" applyFont="1" applyNumberFormat="1">
      <alignment horizontal="left" readingOrder="0"/>
    </xf>
    <xf borderId="0" fillId="8" fontId="4" numFmtId="186" xfId="0" applyAlignment="1" applyFont="1" applyNumberFormat="1">
      <alignment readingOrder="0"/>
    </xf>
    <xf borderId="0" fillId="8" fontId="4" numFmtId="186" xfId="0" applyAlignment="1" applyFont="1" applyNumberFormat="1">
      <alignment horizontal="right" readingOrder="0"/>
    </xf>
    <xf borderId="0" fillId="0" fontId="56" numFmtId="0" xfId="0" applyAlignment="1" applyFont="1">
      <alignment horizontal="center" shrinkToFit="0" wrapText="1"/>
    </xf>
    <xf borderId="0" fillId="0" fontId="56" numFmtId="0" xfId="0" applyAlignment="1" applyFont="1">
      <alignment horizontal="center" readingOrder="0" shrinkToFit="0" wrapText="1"/>
    </xf>
    <xf borderId="0" fillId="0" fontId="57" numFmtId="0" xfId="0" applyAlignment="1" applyFont="1">
      <alignment horizontal="center" shrinkToFit="0" wrapText="1"/>
    </xf>
    <xf borderId="0" fillId="8" fontId="15" numFmtId="0" xfId="0" applyAlignment="1" applyFont="1">
      <alignment horizontal="center" readingOrder="0"/>
    </xf>
    <xf borderId="0" fillId="8" fontId="15" numFmtId="185" xfId="0" applyAlignment="1" applyFont="1" applyNumberFormat="1">
      <alignment horizontal="center"/>
    </xf>
    <xf borderId="0" fillId="0" fontId="12" numFmtId="0" xfId="0" applyAlignment="1" applyFont="1">
      <alignment horizontal="center" shrinkToFit="0" wrapText="1"/>
    </xf>
    <xf borderId="1" fillId="8" fontId="0" numFmtId="9" xfId="0" applyAlignment="1" applyBorder="1" applyFont="1" applyNumberFormat="1">
      <alignment horizontal="center"/>
    </xf>
    <xf borderId="14" fillId="8" fontId="0" numFmtId="9" xfId="0" applyAlignment="1" applyBorder="1" applyFont="1" applyNumberFormat="1">
      <alignment horizontal="center"/>
    </xf>
    <xf borderId="0" fillId="8" fontId="15" numFmtId="174" xfId="0" applyAlignment="1" applyFont="1" applyNumberFormat="1">
      <alignment readingOrder="0"/>
    </xf>
    <xf borderId="0" fillId="0" fontId="2" numFmtId="174" xfId="0" applyFont="1" applyNumberFormat="1"/>
    <xf borderId="0" fillId="8" fontId="15" numFmtId="174" xfId="0" applyFont="1" applyNumberFormat="1"/>
    <xf borderId="0" fillId="8" fontId="15" numFmtId="10" xfId="0" applyAlignment="1" applyFont="1" applyNumberFormat="1">
      <alignment readingOrder="0"/>
    </xf>
    <xf borderId="2" fillId="2" fontId="13" numFmtId="0" xfId="0" applyAlignment="1" applyBorder="1" applyFont="1">
      <alignment shrinkToFit="0" vertical="bottom" wrapText="0"/>
    </xf>
    <xf borderId="0" fillId="8" fontId="11" numFmtId="3" xfId="0" applyAlignment="1" applyFont="1" applyNumberFormat="1">
      <alignment horizontal="right" vertical="bottom"/>
    </xf>
    <xf borderId="0" fillId="8" fontId="15" numFmtId="9" xfId="0" applyAlignment="1" applyFont="1" applyNumberFormat="1">
      <alignment readingOrder="0"/>
    </xf>
    <xf borderId="0" fillId="0" fontId="15" numFmtId="9" xfId="0" applyFont="1" applyNumberFormat="1"/>
    <xf borderId="0" fillId="2" fontId="16" numFmtId="0" xfId="0" applyFont="1"/>
    <xf borderId="0" fillId="8" fontId="15" numFmtId="10" xfId="0" applyFont="1" applyNumberFormat="1"/>
    <xf borderId="0" fillId="0" fontId="0" numFmtId="0" xfId="0" applyAlignment="1" applyFont="1">
      <alignment horizontal="right" vertical="bottom"/>
    </xf>
    <xf borderId="0" fillId="0" fontId="17" numFmtId="0" xfId="0" applyAlignment="1" applyFont="1">
      <alignment horizontal="right" vertical="bottom"/>
    </xf>
    <xf borderId="0" fillId="0" fontId="0" numFmtId="0" xfId="0" applyAlignment="1" applyFont="1">
      <alignment horizontal="right" shrinkToFit="0" vertical="bottom" wrapText="1"/>
    </xf>
    <xf borderId="0" fillId="0" fontId="4" numFmtId="1" xfId="0" applyFont="1" applyNumberFormat="1"/>
    <xf borderId="0" fillId="0" fontId="0" numFmtId="186" xfId="0" applyAlignment="1" applyFont="1" applyNumberFormat="1">
      <alignment horizontal="center" vertical="center"/>
    </xf>
    <xf borderId="0" fillId="0" fontId="0" numFmtId="186" xfId="0" applyAlignment="1" applyFont="1" applyNumberFormat="1">
      <alignment horizontal="center" readingOrder="0" vertical="center"/>
    </xf>
    <xf borderId="0" fillId="8" fontId="0" numFmtId="170" xfId="0" applyAlignment="1" applyFont="1" applyNumberFormat="1">
      <alignment horizontal="center" readingOrder="0"/>
    </xf>
    <xf borderId="1" fillId="39" fontId="13" numFmtId="0" xfId="0" applyAlignment="1" applyBorder="1" applyFill="1" applyFont="1">
      <alignment horizontal="center" shrinkToFit="0" wrapText="1"/>
    </xf>
    <xf borderId="1" fillId="8" fontId="0" numFmtId="168" xfId="0" applyAlignment="1" applyBorder="1" applyFont="1" applyNumberFormat="1">
      <alignment horizontal="center"/>
    </xf>
    <xf borderId="1" fillId="39" fontId="13" numFmtId="10" xfId="0" applyAlignment="1" applyBorder="1" applyFont="1" applyNumberFormat="1">
      <alignment horizontal="center" shrinkToFit="0" wrapText="1"/>
    </xf>
    <xf borderId="1" fillId="8" fontId="0" numFmtId="10" xfId="0" applyBorder="1" applyFont="1" applyNumberFormat="1"/>
    <xf borderId="1" fillId="39" fontId="13" numFmtId="0" xfId="0" applyAlignment="1" applyBorder="1" applyFont="1">
      <alignment horizontal="center" readingOrder="0" shrinkToFit="0" wrapText="1"/>
    </xf>
    <xf borderId="1" fillId="8" fontId="3" numFmtId="10" xfId="0" applyAlignment="1" applyBorder="1" applyFont="1" applyNumberFormat="1">
      <alignment horizontal="center" vertical="center"/>
    </xf>
    <xf borderId="0" fillId="8" fontId="3" numFmtId="0" xfId="0" applyAlignment="1" applyFont="1">
      <alignment horizontal="center" readingOrder="0"/>
    </xf>
    <xf borderId="1" fillId="8" fontId="0" numFmtId="3" xfId="0" applyAlignment="1" applyBorder="1" applyFont="1" applyNumberFormat="1">
      <alignment horizontal="center" readingOrder="0" vertical="center"/>
    </xf>
    <xf borderId="0" fillId="0" fontId="28" numFmtId="0" xfId="0" applyAlignment="1" applyFont="1">
      <alignment horizontal="right" vertical="bottom"/>
    </xf>
    <xf borderId="0" fillId="8" fontId="13" numFmtId="0" xfId="0" applyAlignment="1" applyFont="1">
      <alignment horizontal="center" shrinkToFit="0" vertical="bottom" wrapText="1"/>
    </xf>
    <xf borderId="0" fillId="0" fontId="3" numFmtId="1" xfId="0" applyAlignment="1" applyFont="1" applyNumberFormat="1">
      <alignment horizontal="right" vertical="bottom"/>
    </xf>
    <xf borderId="0" fillId="0" fontId="0" numFmtId="0" xfId="0" applyAlignment="1" applyFont="1">
      <alignment horizontal="right" readingOrder="0" vertical="bottom"/>
    </xf>
    <xf borderId="1" fillId="8" fontId="12" numFmtId="186" xfId="0" applyAlignment="1" applyBorder="1" applyFont="1" applyNumberFormat="1">
      <alignment horizontal="center" vertical="center"/>
    </xf>
    <xf borderId="0" fillId="8" fontId="12" numFmtId="186" xfId="0" applyAlignment="1" applyFont="1" applyNumberFormat="1">
      <alignment horizontal="center" vertical="center"/>
    </xf>
    <xf borderId="1" fillId="0" fontId="0" numFmtId="9" xfId="0" applyAlignment="1" applyBorder="1" applyFont="1" applyNumberFormat="1">
      <alignment horizontal="center" readingOrder="0" vertical="center"/>
    </xf>
    <xf borderId="1" fillId="8" fontId="12" numFmtId="168" xfId="0" applyAlignment="1" applyBorder="1" applyFont="1" applyNumberFormat="1">
      <alignment horizontal="center" readingOrder="0" vertical="center"/>
    </xf>
    <xf borderId="1" fillId="8" fontId="0" numFmtId="168" xfId="0" applyAlignment="1" applyBorder="1" applyFont="1" applyNumberFormat="1">
      <alignment horizontal="center" readingOrder="0" vertical="center"/>
    </xf>
    <xf borderId="1" fillId="0" fontId="0" numFmtId="168" xfId="0" applyAlignment="1" applyBorder="1" applyFont="1" applyNumberFormat="1">
      <alignment horizontal="center" vertical="center"/>
    </xf>
    <xf borderId="1" fillId="8" fontId="0" numFmtId="4" xfId="0" applyAlignment="1" applyBorder="1" applyFont="1" applyNumberFormat="1">
      <alignment horizontal="center" readingOrder="0" vertical="center"/>
    </xf>
    <xf borderId="1" fillId="8" fontId="0" numFmtId="0" xfId="0" applyAlignment="1" applyBorder="1" applyFont="1">
      <alignment horizontal="center" readingOrder="0" vertical="center"/>
    </xf>
    <xf borderId="0" fillId="0" fontId="28" numFmtId="0" xfId="0" applyAlignment="1" applyFont="1">
      <alignment horizontal="right" vertical="bottom"/>
    </xf>
    <xf borderId="0" fillId="0" fontId="29" numFmtId="0" xfId="0" applyAlignment="1" applyFont="1">
      <alignment horizontal="right" vertical="bottom"/>
    </xf>
    <xf borderId="0" fillId="0" fontId="4" numFmtId="1" xfId="0" applyAlignment="1" applyFont="1" applyNumberFormat="1">
      <alignment horizontal="right"/>
    </xf>
    <xf borderId="0" fillId="0" fontId="0" numFmtId="0" xfId="0" applyAlignment="1" applyFont="1">
      <alignment horizontal="center" shrinkToFit="0" wrapText="1"/>
    </xf>
    <xf borderId="0" fillId="0" fontId="0" numFmtId="0" xfId="0" applyAlignment="1" applyFont="1">
      <alignment horizontal="left" readingOrder="0" shrinkToFit="0" vertical="bottom" wrapText="0"/>
    </xf>
    <xf borderId="0" fillId="0" fontId="0" numFmtId="3" xfId="0" applyAlignment="1" applyFont="1" applyNumberFormat="1">
      <alignment horizontal="center" shrinkToFit="0" wrapText="1"/>
    </xf>
    <xf borderId="0" fillId="0" fontId="0" numFmtId="3" xfId="0" applyAlignment="1" applyFont="1" applyNumberFormat="1">
      <alignment horizontal="center" readingOrder="0" shrinkToFit="0" wrapText="1"/>
    </xf>
    <xf borderId="0" fillId="0" fontId="0" numFmtId="3" xfId="0" applyAlignment="1" applyFont="1" applyNumberFormat="1">
      <alignment horizontal="center" readingOrder="0"/>
    </xf>
    <xf borderId="0" fillId="0" fontId="0" numFmtId="168" xfId="0" applyAlignment="1" applyFont="1" applyNumberFormat="1">
      <alignment horizontal="center" shrinkToFit="0" wrapText="1"/>
    </xf>
    <xf borderId="0" fillId="0" fontId="1" numFmtId="168" xfId="0" applyAlignment="1" applyFont="1" applyNumberFormat="1">
      <alignment horizontal="center"/>
    </xf>
    <xf borderId="0" fillId="8" fontId="1" numFmtId="168" xfId="0" applyAlignment="1" applyFont="1" applyNumberFormat="1">
      <alignment horizontal="center"/>
    </xf>
    <xf borderId="0" fillId="0" fontId="0" numFmtId="164" xfId="0" applyAlignment="1" applyFont="1" applyNumberFormat="1">
      <alignment horizontal="center" readingOrder="0"/>
    </xf>
    <xf borderId="1" fillId="8" fontId="0" numFmtId="164" xfId="0" applyAlignment="1" applyBorder="1" applyFont="1" applyNumberFormat="1">
      <alignment horizontal="center" readingOrder="0" vertical="center"/>
    </xf>
    <xf borderId="0" fillId="0" fontId="0" numFmtId="174" xfId="0" applyAlignment="1" applyFont="1" applyNumberFormat="1">
      <alignment horizontal="center" shrinkToFit="0" wrapText="1"/>
    </xf>
    <xf borderId="1" fillId="8" fontId="12" numFmtId="174" xfId="0" applyAlignment="1" applyBorder="1" applyFont="1" applyNumberFormat="1">
      <alignment horizontal="center" readingOrder="0" vertical="center"/>
    </xf>
    <xf borderId="0" fillId="8" fontId="12" numFmtId="168" xfId="0" applyAlignment="1" applyFont="1" applyNumberFormat="1">
      <alignment horizontal="center"/>
    </xf>
    <xf borderId="0" fillId="0" fontId="0" numFmtId="2" xfId="0" applyAlignment="1" applyFont="1" applyNumberFormat="1">
      <alignment horizontal="center" readingOrder="0" shrinkToFit="0" wrapText="1"/>
    </xf>
    <xf borderId="0" fillId="8" fontId="0" numFmtId="165" xfId="0" applyAlignment="1" applyFont="1" applyNumberFormat="1">
      <alignment horizontal="center"/>
    </xf>
    <xf borderId="0" fillId="0" fontId="29" numFmtId="0" xfId="0" applyAlignment="1" applyFont="1">
      <alignment horizontal="right" vertical="bottom"/>
    </xf>
    <xf borderId="0" fillId="0" fontId="0" numFmtId="1" xfId="0" applyAlignment="1" applyFont="1" applyNumberFormat="1">
      <alignment horizontal="right" vertical="bottom"/>
    </xf>
    <xf borderId="0" fillId="0" fontId="1" numFmtId="170" xfId="0" applyAlignment="1" applyFont="1" applyNumberFormat="1">
      <alignment horizontal="center" shrinkToFit="0" wrapText="1"/>
    </xf>
    <xf borderId="0" fillId="8" fontId="0" numFmtId="10" xfId="0" applyAlignment="1" applyFont="1" applyNumberFormat="1">
      <alignment horizontal="center" vertical="center"/>
    </xf>
    <xf borderId="0" fillId="0" fontId="0" numFmtId="3" xfId="0" applyAlignment="1" applyFont="1" applyNumberFormat="1">
      <alignment horizontal="center" vertical="center"/>
    </xf>
    <xf borderId="0" fillId="0" fontId="0" numFmtId="10" xfId="0" applyAlignment="1" applyFont="1" applyNumberFormat="1">
      <alignment horizontal="center" readingOrder="0"/>
    </xf>
    <xf borderId="0" fillId="8" fontId="13" numFmtId="0" xfId="0" applyAlignment="1" applyFont="1">
      <alignment horizontal="center" readingOrder="0" shrinkToFit="0" wrapText="1"/>
    </xf>
    <xf borderId="0" fillId="0" fontId="0" numFmtId="3" xfId="0" applyAlignment="1" applyFont="1" applyNumberFormat="1">
      <alignment horizontal="center"/>
    </xf>
    <xf borderId="0" fillId="5" fontId="1" numFmtId="168" xfId="0" applyAlignment="1" applyFont="1" applyNumberFormat="1">
      <alignment horizontal="left" readingOrder="0"/>
    </xf>
    <xf borderId="0" fillId="5" fontId="1" numFmtId="168" xfId="0" applyAlignment="1" applyFont="1" applyNumberFormat="1">
      <alignment horizontal="center" readingOrder="0"/>
    </xf>
    <xf borderId="0" fillId="5" fontId="3" numFmtId="168" xfId="0" applyAlignment="1" applyFont="1" applyNumberFormat="1">
      <alignment horizontal="center" readingOrder="0"/>
    </xf>
    <xf borderId="1" fillId="0" fontId="0" numFmtId="168" xfId="0" applyAlignment="1" applyBorder="1" applyFont="1" applyNumberFormat="1">
      <alignment horizontal="center" readingOrder="0" vertical="center"/>
    </xf>
    <xf borderId="0" fillId="0" fontId="0" numFmtId="180" xfId="0" applyAlignment="1" applyFont="1" applyNumberFormat="1">
      <alignment horizontal="right" vertical="bottom"/>
    </xf>
    <xf borderId="0" fillId="0" fontId="0" numFmtId="0" xfId="0" applyAlignment="1" applyFont="1">
      <alignment horizontal="center" readingOrder="0" shrinkToFit="0" vertical="bottom" wrapText="1"/>
    </xf>
    <xf borderId="0" fillId="0" fontId="4" numFmtId="180" xfId="0" applyFont="1" applyNumberFormat="1"/>
    <xf borderId="0" fillId="0" fontId="4" numFmtId="165" xfId="0" applyFont="1" applyNumberFormat="1"/>
  </cellXfs>
  <cellStyles count="1">
    <cellStyle xfId="0" name="Normal" builtinId="0"/>
  </cellStyles>
  <dxfs count="4">
    <dxf>
      <font/>
      <fill>
        <patternFill patternType="none"/>
      </fill>
      <border/>
    </dxf>
    <dxf>
      <font/>
      <fill>
        <patternFill patternType="solid">
          <fgColor rgb="FF000000"/>
          <bgColor rgb="FF000000"/>
        </patternFill>
      </fill>
      <border/>
    </dxf>
    <dxf>
      <font/>
      <fill>
        <patternFill patternType="solid">
          <fgColor rgb="FFBDD6EE"/>
          <bgColor rgb="FFBDD6EE"/>
        </patternFill>
      </fill>
      <border/>
    </dxf>
    <dxf>
      <font/>
      <fill>
        <patternFill patternType="solid">
          <fgColor rgb="FFDEEAF6"/>
          <bgColor rgb="FFDEEAF6"/>
        </patternFill>
      </fill>
      <border/>
    </dxf>
  </dxfs>
  <tableStyles count="1">
    <tableStyle count="3" pivot="0" name="Assumptions (T&amp;D) old-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chartsheet" Target="chartsheets/sheet1.xml"/><Relationship Id="rId7" Type="http://schemas.openxmlformats.org/officeDocument/2006/relationships/worksheet" Target="worksheets/sheet5.xml"/><Relationship Id="rId8" Type="http://schemas.openxmlformats.org/officeDocument/2006/relationships/worksheet" Target="worksheets/sheet6.xml"/><Relationship Id="rId30" Type="http://schemas.openxmlformats.org/officeDocument/2006/relationships/chartsheet" Target="chartsheets/sheet2.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Aggregation!$A$3</c:f>
            </c:strRef>
          </c:tx>
          <c:spPr>
            <a:solidFill>
              <a:srgbClr val="4285F4"/>
            </a:solidFill>
            <a:ln cmpd="sng">
              <a:solidFill>
                <a:srgbClr val="000000"/>
              </a:solidFill>
            </a:ln>
          </c:spPr>
          <c:cat>
            <c:strRef>
              <c:f>Aggregation!$B$1:$BB$1</c:f>
            </c:strRef>
          </c:cat>
          <c:val>
            <c:numRef>
              <c:f>Aggregation!$B$3:$BB$3</c:f>
              <c:numCache/>
            </c:numRef>
          </c:val>
        </c:ser>
        <c:ser>
          <c:idx val="1"/>
          <c:order val="1"/>
          <c:tx>
            <c:strRef>
              <c:f>Aggregation!$A$4</c:f>
            </c:strRef>
          </c:tx>
          <c:spPr>
            <a:solidFill>
              <a:srgbClr val="DB4437"/>
            </a:solidFill>
            <a:ln cmpd="sng">
              <a:solidFill>
                <a:srgbClr val="000000"/>
              </a:solidFill>
            </a:ln>
          </c:spPr>
          <c:cat>
            <c:strRef>
              <c:f>Aggregation!$B$1:$BB$1</c:f>
            </c:strRef>
          </c:cat>
          <c:val>
            <c:numRef>
              <c:f>Aggregation!$B$4:$BB$4</c:f>
              <c:numCache/>
            </c:numRef>
          </c:val>
        </c:ser>
        <c:ser>
          <c:idx val="2"/>
          <c:order val="2"/>
          <c:tx>
            <c:strRef>
              <c:f>Aggregation!$A$5</c:f>
            </c:strRef>
          </c:tx>
          <c:spPr>
            <a:solidFill>
              <a:srgbClr val="F4B400"/>
            </a:solidFill>
            <a:ln cmpd="sng">
              <a:solidFill>
                <a:srgbClr val="000000"/>
              </a:solidFill>
            </a:ln>
          </c:spPr>
          <c:cat>
            <c:strRef>
              <c:f>Aggregation!$B$1:$BB$1</c:f>
            </c:strRef>
          </c:cat>
          <c:val>
            <c:numRef>
              <c:f>Aggregation!$B$5:$BB$5</c:f>
              <c:numCache/>
            </c:numRef>
          </c:val>
        </c:ser>
        <c:ser>
          <c:idx val="3"/>
          <c:order val="3"/>
          <c:tx>
            <c:strRef>
              <c:f>Aggregation!$A$6</c:f>
            </c:strRef>
          </c:tx>
          <c:spPr>
            <a:solidFill>
              <a:srgbClr val="0F9D58"/>
            </a:solidFill>
            <a:ln cmpd="sng">
              <a:solidFill>
                <a:srgbClr val="000000"/>
              </a:solidFill>
            </a:ln>
          </c:spPr>
          <c:cat>
            <c:strRef>
              <c:f>Aggregation!$B$1:$BB$1</c:f>
            </c:strRef>
          </c:cat>
          <c:val>
            <c:numRef>
              <c:f>Aggregation!$B$6:$BB$6</c:f>
              <c:numCache/>
            </c:numRef>
          </c:val>
        </c:ser>
        <c:ser>
          <c:idx val="4"/>
          <c:order val="4"/>
          <c:tx>
            <c:strRef>
              <c:f>Aggregation!$A$7</c:f>
            </c:strRef>
          </c:tx>
          <c:spPr>
            <a:solidFill>
              <a:srgbClr val="FF6D00"/>
            </a:solidFill>
            <a:ln cmpd="sng">
              <a:solidFill>
                <a:srgbClr val="000000"/>
              </a:solidFill>
            </a:ln>
          </c:spPr>
          <c:cat>
            <c:strRef>
              <c:f>Aggregation!$B$1:$BB$1</c:f>
            </c:strRef>
          </c:cat>
          <c:val>
            <c:numRef>
              <c:f>Aggregation!$B$7:$BB$7</c:f>
              <c:numCache/>
            </c:numRef>
          </c:val>
        </c:ser>
        <c:ser>
          <c:idx val="5"/>
          <c:order val="5"/>
          <c:tx>
            <c:strRef>
              <c:f>Aggregation!$A$8</c:f>
            </c:strRef>
          </c:tx>
          <c:spPr>
            <a:solidFill>
              <a:srgbClr val="46BDC6"/>
            </a:solidFill>
            <a:ln cmpd="sng">
              <a:solidFill>
                <a:srgbClr val="000000"/>
              </a:solidFill>
            </a:ln>
          </c:spPr>
          <c:cat>
            <c:strRef>
              <c:f>Aggregation!$B$1:$BB$1</c:f>
            </c:strRef>
          </c:cat>
          <c:val>
            <c:numRef>
              <c:f>Aggregation!$B$8:$BB$8</c:f>
              <c:numCache/>
            </c:numRef>
          </c:val>
        </c:ser>
        <c:ser>
          <c:idx val="6"/>
          <c:order val="6"/>
          <c:tx>
            <c:strRef>
              <c:f>Aggregation!$A$9</c:f>
            </c:strRef>
          </c:tx>
          <c:spPr>
            <a:solidFill>
              <a:srgbClr val="AB30C4"/>
            </a:solidFill>
            <a:ln cmpd="sng">
              <a:solidFill>
                <a:srgbClr val="000000"/>
              </a:solidFill>
            </a:ln>
          </c:spPr>
          <c:cat>
            <c:strRef>
              <c:f>Aggregation!$B$1:$BB$1</c:f>
            </c:strRef>
          </c:cat>
          <c:val>
            <c:numRef>
              <c:f>Aggregation!$B$9:$BB$9</c:f>
              <c:numCache/>
            </c:numRef>
          </c:val>
        </c:ser>
        <c:ser>
          <c:idx val="7"/>
          <c:order val="7"/>
          <c:tx>
            <c:strRef>
              <c:f>Aggregation!$A$10</c:f>
            </c:strRef>
          </c:tx>
          <c:spPr>
            <a:solidFill>
              <a:srgbClr val="C1BC1F"/>
            </a:solidFill>
            <a:ln cmpd="sng">
              <a:solidFill>
                <a:srgbClr val="000000"/>
              </a:solidFill>
            </a:ln>
          </c:spPr>
          <c:cat>
            <c:strRef>
              <c:f>Aggregation!$B$1:$BB$1</c:f>
            </c:strRef>
          </c:cat>
          <c:val>
            <c:numRef>
              <c:f>Aggregation!$B$10:$BB$10</c:f>
              <c:numCache/>
            </c:numRef>
          </c:val>
        </c:ser>
        <c:ser>
          <c:idx val="8"/>
          <c:order val="8"/>
          <c:tx>
            <c:strRef>
              <c:f>Aggregation!$A$11</c:f>
            </c:strRef>
          </c:tx>
          <c:spPr>
            <a:solidFill>
              <a:srgbClr val="3949AB"/>
            </a:solidFill>
            <a:ln cmpd="sng">
              <a:solidFill>
                <a:srgbClr val="000000"/>
              </a:solidFill>
            </a:ln>
          </c:spPr>
          <c:cat>
            <c:strRef>
              <c:f>Aggregation!$B$1:$BB$1</c:f>
            </c:strRef>
          </c:cat>
          <c:val>
            <c:numRef>
              <c:f>Aggregation!$B$11:$BB$11</c:f>
              <c:numCache/>
            </c:numRef>
          </c:val>
        </c:ser>
        <c:ser>
          <c:idx val="9"/>
          <c:order val="9"/>
          <c:tx>
            <c:strRef>
              <c:f>Aggregation!$A$12</c:f>
            </c:strRef>
          </c:tx>
          <c:spPr>
            <a:solidFill>
              <a:srgbClr val="F975A8"/>
            </a:solidFill>
            <a:ln cmpd="sng">
              <a:solidFill>
                <a:srgbClr val="000000"/>
              </a:solidFill>
            </a:ln>
          </c:spPr>
          <c:cat>
            <c:strRef>
              <c:f>Aggregation!$B$1:$BB$1</c:f>
            </c:strRef>
          </c:cat>
          <c:val>
            <c:numRef>
              <c:f>Aggregation!$B$12:$BB$12</c:f>
              <c:numCache/>
            </c:numRef>
          </c:val>
        </c:ser>
        <c:ser>
          <c:idx val="10"/>
          <c:order val="10"/>
          <c:tx>
            <c:strRef>
              <c:f>Aggregation!$A$13</c:f>
            </c:strRef>
          </c:tx>
          <c:spPr>
            <a:solidFill>
              <a:srgbClr val="00695C"/>
            </a:solidFill>
            <a:ln cmpd="sng">
              <a:solidFill>
                <a:srgbClr val="000000"/>
              </a:solidFill>
            </a:ln>
          </c:spPr>
          <c:cat>
            <c:strRef>
              <c:f>Aggregation!$B$1:$BB$1</c:f>
            </c:strRef>
          </c:cat>
          <c:val>
            <c:numRef>
              <c:f>Aggregation!$B$13:$BB$13</c:f>
              <c:numCache/>
            </c:numRef>
          </c:val>
        </c:ser>
        <c:overlap val="100"/>
        <c:axId val="1389448293"/>
        <c:axId val="1607901850"/>
      </c:barChart>
      <c:catAx>
        <c:axId val="138944829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607901850"/>
      </c:catAx>
      <c:valAx>
        <c:axId val="16079018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User's Desired Operating Capacity (MW)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89448293"/>
      </c:valAx>
      <c:lineChart>
        <c:varyColors val="0"/>
        <c:ser>
          <c:idx val="11"/>
          <c:order val="11"/>
          <c:tx>
            <c:strRef>
              <c:f>Aggregation!$A$15</c:f>
            </c:strRef>
          </c:tx>
          <c:spPr>
            <a:ln cmpd="sng">
              <a:solidFill>
                <a:srgbClr val="C2185B"/>
              </a:solidFill>
            </a:ln>
          </c:spPr>
          <c:marker>
            <c:symbol val="none"/>
          </c:marker>
          <c:cat>
            <c:strRef>
              <c:f>Aggregation!$B$1:$BB$1</c:f>
            </c:strRef>
          </c:cat>
          <c:val>
            <c:numRef>
              <c:f>Aggregation!$B$15:$BB$15</c:f>
              <c:numCache/>
            </c:numRef>
          </c:val>
          <c:smooth val="0"/>
        </c:ser>
        <c:axId val="390625439"/>
        <c:axId val="912786666"/>
      </c:lineChart>
      <c:catAx>
        <c:axId val="390625439"/>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912786666"/>
      </c:catAx>
      <c:valAx>
        <c:axId val="912786666"/>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TWh</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90625439"/>
        <c:crosses val="max"/>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Aggregation!$A$17</c:f>
            </c:strRef>
          </c:tx>
          <c:spPr>
            <a:ln cmpd="sng">
              <a:solidFill>
                <a:srgbClr val="4285F4"/>
              </a:solidFill>
            </a:ln>
          </c:spPr>
          <c:marker>
            <c:symbol val="none"/>
          </c:marker>
          <c:cat>
            <c:strRef>
              <c:f>Aggregation!$B$1:$BB$1</c:f>
            </c:strRef>
          </c:cat>
          <c:val>
            <c:numRef>
              <c:f>Aggregation!$B$17:$BB$17</c:f>
              <c:numCache/>
            </c:numRef>
          </c:val>
          <c:smooth val="0"/>
        </c:ser>
        <c:ser>
          <c:idx val="1"/>
          <c:order val="1"/>
          <c:tx>
            <c:strRef>
              <c:f>Aggregation!$A$18</c:f>
            </c:strRef>
          </c:tx>
          <c:spPr>
            <a:ln cmpd="sng">
              <a:solidFill>
                <a:srgbClr val="DB4437"/>
              </a:solidFill>
            </a:ln>
          </c:spPr>
          <c:marker>
            <c:symbol val="none"/>
          </c:marker>
          <c:cat>
            <c:strRef>
              <c:f>Aggregation!$B$1:$BB$1</c:f>
            </c:strRef>
          </c:cat>
          <c:val>
            <c:numRef>
              <c:f>Aggregation!$B$18:$BB$18</c:f>
              <c:numCache/>
            </c:numRef>
          </c:val>
          <c:smooth val="0"/>
        </c:ser>
        <c:ser>
          <c:idx val="2"/>
          <c:order val="2"/>
          <c:tx>
            <c:strRef>
              <c:f>Aggregation!$A$19</c:f>
            </c:strRef>
          </c:tx>
          <c:spPr>
            <a:ln cmpd="sng">
              <a:solidFill>
                <a:srgbClr val="F4B400"/>
              </a:solidFill>
            </a:ln>
          </c:spPr>
          <c:marker>
            <c:symbol val="none"/>
          </c:marker>
          <c:cat>
            <c:strRef>
              <c:f>Aggregation!$B$1:$BB$1</c:f>
            </c:strRef>
          </c:cat>
          <c:val>
            <c:numRef>
              <c:f>Aggregation!$B$19:$BB$19</c:f>
              <c:numCache/>
            </c:numRef>
          </c:val>
          <c:smooth val="0"/>
        </c:ser>
        <c:ser>
          <c:idx val="4"/>
          <c:order val="4"/>
          <c:tx>
            <c:strRef>
              <c:f>Aggregation!$A$22</c:f>
            </c:strRef>
          </c:tx>
          <c:spPr>
            <a:ln cmpd="sng">
              <a:solidFill>
                <a:srgbClr val="FF6D00"/>
              </a:solidFill>
            </a:ln>
          </c:spPr>
          <c:marker>
            <c:symbol val="none"/>
          </c:marker>
          <c:cat>
            <c:strRef>
              <c:f>Aggregation!$B$1:$BB$1</c:f>
            </c:strRef>
          </c:cat>
          <c:val>
            <c:numRef>
              <c:f>Aggregation!$B$22:$BB$22</c:f>
              <c:numCache/>
            </c:numRef>
          </c:val>
          <c:smooth val="0"/>
        </c:ser>
        <c:axId val="1433523150"/>
        <c:axId val="939022938"/>
      </c:lineChart>
      <c:catAx>
        <c:axId val="143352315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939022938"/>
      </c:catAx>
      <c:valAx>
        <c:axId val="9390229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33523150"/>
      </c:valAx>
      <c:barChart>
        <c:barDir val="col"/>
        <c:ser>
          <c:idx val="3"/>
          <c:order val="3"/>
          <c:tx>
            <c:strRef>
              <c:f>Aggregation!$A$20</c:f>
            </c:strRef>
          </c:tx>
          <c:spPr>
            <a:solidFill>
              <a:srgbClr val="0F9D58"/>
            </a:solidFill>
            <a:ln cmpd="sng">
              <a:solidFill>
                <a:srgbClr val="000000"/>
              </a:solidFill>
            </a:ln>
          </c:spPr>
          <c:cat>
            <c:strRef>
              <c:f>Aggregation!$B$1:$BB$1</c:f>
            </c:strRef>
          </c:cat>
          <c:val>
            <c:numRef>
              <c:f>Aggregation!$B$20:$BB$20</c:f>
              <c:numCache/>
            </c:numRef>
          </c:val>
        </c:ser>
        <c:axId val="1194562300"/>
        <c:axId val="1266583095"/>
      </c:barChart>
      <c:catAx>
        <c:axId val="1194562300"/>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266583095"/>
      </c:catAx>
      <c:valAx>
        <c:axId val="1266583095"/>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94562300"/>
        <c:crosses val="max"/>
      </c:valAx>
    </c:plotArea>
    <c:legend>
      <c:legendPos val="t"/>
      <c:overlay val="0"/>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T&amp;D</a:t>
            </a:r>
          </a:p>
        </c:rich>
      </c:tx>
      <c:overlay val="0"/>
    </c:title>
    <c:plotArea>
      <c:layout/>
      <c:lineChart>
        <c:ser>
          <c:idx val="0"/>
          <c:order val="0"/>
          <c:tx>
            <c:strRef>
              <c:f>Aggregation!$A$26</c:f>
            </c:strRef>
          </c:tx>
          <c:spPr>
            <a:ln cmpd="sng">
              <a:solidFill>
                <a:srgbClr val="4285F4"/>
              </a:solidFill>
            </a:ln>
          </c:spPr>
          <c:marker>
            <c:symbol val="none"/>
          </c:marker>
          <c:cat>
            <c:strRef>
              <c:f>Aggregation!$B$1:$BB$1</c:f>
            </c:strRef>
          </c:cat>
          <c:val>
            <c:numRef>
              <c:f>Aggregation!$B$26:$BB$26</c:f>
              <c:numCache/>
            </c:numRef>
          </c:val>
          <c:smooth val="0"/>
        </c:ser>
        <c:ser>
          <c:idx val="1"/>
          <c:order val="1"/>
          <c:tx>
            <c:strRef>
              <c:f>Aggregation!$A$27</c:f>
            </c:strRef>
          </c:tx>
          <c:spPr>
            <a:ln cmpd="sng">
              <a:solidFill>
                <a:srgbClr val="DB4437"/>
              </a:solidFill>
            </a:ln>
          </c:spPr>
          <c:marker>
            <c:symbol val="none"/>
          </c:marker>
          <c:cat>
            <c:strRef>
              <c:f>Aggregation!$B$1:$BB$1</c:f>
            </c:strRef>
          </c:cat>
          <c:val>
            <c:numRef>
              <c:f>Aggregation!$B$27:$BB$27</c:f>
              <c:numCache/>
            </c:numRef>
          </c:val>
          <c:smooth val="0"/>
        </c:ser>
        <c:axId val="620717186"/>
        <c:axId val="1519145535"/>
      </c:lineChart>
      <c:catAx>
        <c:axId val="62071718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519145535"/>
      </c:catAx>
      <c:valAx>
        <c:axId val="15191455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20717186"/>
      </c:valAx>
    </c:plotArea>
    <c:legend>
      <c:legendPos val="r"/>
      <c:overlay val="0"/>
      <c:txPr>
        <a:bodyPr/>
        <a:lstStyle/>
        <a:p>
          <a:pPr lvl="0">
            <a:defRPr b="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Midstream</a:t>
            </a:r>
          </a:p>
        </c:rich>
      </c:tx>
      <c:overlay val="0"/>
    </c:title>
    <c:plotArea>
      <c:layout/>
      <c:lineChart>
        <c:ser>
          <c:idx val="0"/>
          <c:order val="0"/>
          <c:tx>
            <c:strRef>
              <c:f>Aggregation!$A$28</c:f>
            </c:strRef>
          </c:tx>
          <c:spPr>
            <a:ln cmpd="sng">
              <a:solidFill>
                <a:srgbClr val="4285F4"/>
              </a:solidFill>
            </a:ln>
          </c:spPr>
          <c:marker>
            <c:symbol val="none"/>
          </c:marker>
          <c:cat>
            <c:strRef>
              <c:f>Aggregation!$B$1:$BB$1</c:f>
            </c:strRef>
          </c:cat>
          <c:val>
            <c:numRef>
              <c:f>Aggregation!$B$28:$BB$28</c:f>
              <c:numCache/>
            </c:numRef>
          </c:val>
          <c:smooth val="0"/>
        </c:ser>
        <c:ser>
          <c:idx val="1"/>
          <c:order val="1"/>
          <c:tx>
            <c:strRef>
              <c:f>Aggregation!$A$29</c:f>
            </c:strRef>
          </c:tx>
          <c:spPr>
            <a:ln cmpd="sng">
              <a:solidFill>
                <a:srgbClr val="DB4437"/>
              </a:solidFill>
            </a:ln>
          </c:spPr>
          <c:marker>
            <c:symbol val="none"/>
          </c:marker>
          <c:cat>
            <c:strRef>
              <c:f>Aggregation!$B$1:$BB$1</c:f>
            </c:strRef>
          </c:cat>
          <c:val>
            <c:numRef>
              <c:f>Aggregation!$B$29:$BB$29</c:f>
              <c:numCache/>
            </c:numRef>
          </c:val>
          <c:smooth val="0"/>
        </c:ser>
        <c:axId val="968782963"/>
        <c:axId val="645944211"/>
      </c:lineChart>
      <c:catAx>
        <c:axId val="96878296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45944211"/>
      </c:catAx>
      <c:valAx>
        <c:axId val="6459442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68782963"/>
      </c:valAx>
    </c:plotArea>
    <c:legend>
      <c:legendPos val="r"/>
      <c:overlay val="0"/>
      <c:txPr>
        <a:bodyPr/>
        <a:lstStyle/>
        <a:p>
          <a:pPr lvl="0">
            <a:defRPr b="0">
              <a:solidFill>
                <a:srgbClr val="000000"/>
              </a:solidFill>
              <a:latin typeface="Roboto"/>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Upstream</a:t>
            </a:r>
          </a:p>
        </c:rich>
      </c:tx>
      <c:overlay val="0"/>
    </c:title>
    <c:plotArea>
      <c:layout/>
      <c:lineChart>
        <c:ser>
          <c:idx val="0"/>
          <c:order val="0"/>
          <c:tx>
            <c:strRef>
              <c:f>Aggregation!$A$30</c:f>
            </c:strRef>
          </c:tx>
          <c:spPr>
            <a:ln cmpd="sng">
              <a:solidFill>
                <a:srgbClr val="4285F4"/>
              </a:solidFill>
            </a:ln>
          </c:spPr>
          <c:marker>
            <c:symbol val="none"/>
          </c:marker>
          <c:cat>
            <c:strRef>
              <c:f>Aggregation!$B$1:$BB$1</c:f>
            </c:strRef>
          </c:cat>
          <c:val>
            <c:numRef>
              <c:f>Aggregation!$B$30:$BB$30</c:f>
              <c:numCache/>
            </c:numRef>
          </c:val>
          <c:smooth val="0"/>
        </c:ser>
        <c:ser>
          <c:idx val="1"/>
          <c:order val="1"/>
          <c:tx>
            <c:strRef>
              <c:f>Aggregation!$A$31</c:f>
            </c:strRef>
          </c:tx>
          <c:spPr>
            <a:ln cmpd="sng">
              <a:solidFill>
                <a:srgbClr val="DB4437"/>
              </a:solidFill>
            </a:ln>
          </c:spPr>
          <c:marker>
            <c:symbol val="none"/>
          </c:marker>
          <c:cat>
            <c:strRef>
              <c:f>Aggregation!$B$1:$BB$1</c:f>
            </c:strRef>
          </c:cat>
          <c:val>
            <c:numRef>
              <c:f>Aggregation!$B$31:$BB$31</c:f>
              <c:numCache/>
            </c:numRef>
          </c:val>
          <c:smooth val="0"/>
        </c:ser>
        <c:axId val="342598818"/>
        <c:axId val="2014226146"/>
      </c:lineChart>
      <c:catAx>
        <c:axId val="34259881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14226146"/>
      </c:catAx>
      <c:valAx>
        <c:axId val="20142261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42598818"/>
      </c:valAx>
    </c:plotArea>
    <c:legend>
      <c:legendPos val="r"/>
      <c:overlay val="0"/>
      <c:txPr>
        <a:bodyPr/>
        <a:lstStyle/>
        <a:p>
          <a:pPr lvl="0">
            <a:defRPr b="0">
              <a:solidFill>
                <a:srgbClr val="000000"/>
              </a:solidFill>
              <a:latin typeface="Roboto"/>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Gas Heating (R&amp;C)</a:t>
            </a:r>
          </a:p>
        </c:rich>
      </c:tx>
      <c:overlay val="0"/>
    </c:title>
    <c:plotArea>
      <c:layout/>
      <c:lineChart>
        <c:ser>
          <c:idx val="0"/>
          <c:order val="0"/>
          <c:tx>
            <c:strRef>
              <c:f>Aggregation!$A$32</c:f>
            </c:strRef>
          </c:tx>
          <c:spPr>
            <a:ln cmpd="sng">
              <a:solidFill>
                <a:srgbClr val="4285F4"/>
              </a:solidFill>
            </a:ln>
          </c:spPr>
          <c:marker>
            <c:symbol val="none"/>
          </c:marker>
          <c:cat>
            <c:strRef>
              <c:f>Aggregation!$B$1:$BB$1</c:f>
            </c:strRef>
          </c:cat>
          <c:val>
            <c:numRef>
              <c:f>Aggregation!$B$32:$BB$32</c:f>
              <c:numCache/>
            </c:numRef>
          </c:val>
          <c:smooth val="0"/>
        </c:ser>
        <c:ser>
          <c:idx val="1"/>
          <c:order val="1"/>
          <c:tx>
            <c:strRef>
              <c:f>Aggregation!$A$33</c:f>
            </c:strRef>
          </c:tx>
          <c:spPr>
            <a:ln cmpd="sng">
              <a:solidFill>
                <a:srgbClr val="DB4437"/>
              </a:solidFill>
            </a:ln>
          </c:spPr>
          <c:marker>
            <c:symbol val="none"/>
          </c:marker>
          <c:cat>
            <c:strRef>
              <c:f>Aggregation!$B$1:$BB$1</c:f>
            </c:strRef>
          </c:cat>
          <c:val>
            <c:numRef>
              <c:f>Aggregation!$B$33:$BB$33</c:f>
              <c:numCache/>
            </c:numRef>
          </c:val>
          <c:smooth val="0"/>
        </c:ser>
        <c:axId val="582324176"/>
        <c:axId val="1954986775"/>
      </c:lineChart>
      <c:catAx>
        <c:axId val="58232417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954986775"/>
      </c:catAx>
      <c:valAx>
        <c:axId val="19549867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82324176"/>
      </c:valAx>
    </c:plotArea>
    <c:legend>
      <c:legendPos val="r"/>
      <c:overlay val="0"/>
      <c:txPr>
        <a:bodyPr/>
        <a:lstStyle/>
        <a:p>
          <a:pPr lvl="0">
            <a:defRPr b="0">
              <a:solidFill>
                <a:srgbClr val="000000"/>
              </a:solidFill>
              <a:latin typeface="Roboto"/>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grouping val="stacked"/>
        <c:ser>
          <c:idx val="0"/>
          <c:order val="0"/>
          <c:tx>
            <c:strRef>
              <c:f>Aggregation!$A$24</c:f>
            </c:strRef>
          </c:tx>
          <c:spPr>
            <a:solidFill>
              <a:srgbClr val="4285F4">
                <a:alpha val="50000"/>
              </a:srgbClr>
            </a:solidFill>
            <a:ln cmpd="sng">
              <a:solidFill>
                <a:srgbClr val="4285F4"/>
              </a:solidFill>
            </a:ln>
          </c:spPr>
          <c:cat>
            <c:strRef>
              <c:f>Aggregation!$B$1:$BB$1</c:f>
            </c:strRef>
          </c:cat>
          <c:val>
            <c:numRef>
              <c:f>Aggregation!$B$24:$BB$24</c:f>
              <c:numCache/>
            </c:numRef>
          </c:val>
        </c:ser>
        <c:ser>
          <c:idx val="1"/>
          <c:order val="1"/>
          <c:tx>
            <c:strRef>
              <c:f>Aggregation!$A$25</c:f>
            </c:strRef>
          </c:tx>
          <c:spPr>
            <a:solidFill>
              <a:srgbClr val="DB4437">
                <a:alpha val="50000"/>
              </a:srgbClr>
            </a:solidFill>
            <a:ln cmpd="sng">
              <a:solidFill>
                <a:srgbClr val="DB4437"/>
              </a:solidFill>
            </a:ln>
          </c:spPr>
          <c:cat>
            <c:strRef>
              <c:f>Aggregation!$B$1:$BB$1</c:f>
            </c:strRef>
          </c:cat>
          <c:val>
            <c:numRef>
              <c:f>Aggregation!$B$25:$BB$25</c:f>
              <c:numCache/>
            </c:numRef>
          </c:val>
        </c:ser>
        <c:ser>
          <c:idx val="2"/>
          <c:order val="2"/>
          <c:tx>
            <c:strRef>
              <c:f>Aggregation!$A$26</c:f>
            </c:strRef>
          </c:tx>
          <c:spPr>
            <a:solidFill>
              <a:srgbClr val="F4B400">
                <a:alpha val="50000"/>
              </a:srgbClr>
            </a:solidFill>
            <a:ln cmpd="sng">
              <a:solidFill>
                <a:srgbClr val="F4B400"/>
              </a:solidFill>
            </a:ln>
          </c:spPr>
          <c:cat>
            <c:strRef>
              <c:f>Aggregation!$B$1:$BB$1</c:f>
            </c:strRef>
          </c:cat>
          <c:val>
            <c:numRef>
              <c:f>Aggregation!$B$26:$BB$26</c:f>
              <c:numCache/>
            </c:numRef>
          </c:val>
        </c:ser>
        <c:ser>
          <c:idx val="3"/>
          <c:order val="3"/>
          <c:tx>
            <c:strRef>
              <c:f>Aggregation!$A$27</c:f>
            </c:strRef>
          </c:tx>
          <c:spPr>
            <a:solidFill>
              <a:srgbClr val="0F9D58">
                <a:alpha val="50000"/>
              </a:srgbClr>
            </a:solidFill>
            <a:ln cmpd="sng">
              <a:solidFill>
                <a:srgbClr val="0F9D58"/>
              </a:solidFill>
            </a:ln>
          </c:spPr>
          <c:cat>
            <c:strRef>
              <c:f>Aggregation!$B$1:$BB$1</c:f>
            </c:strRef>
          </c:cat>
          <c:val>
            <c:numRef>
              <c:f>Aggregation!$B$27:$BB$27</c:f>
              <c:numCache/>
            </c:numRef>
          </c:val>
        </c:ser>
        <c:ser>
          <c:idx val="4"/>
          <c:order val="4"/>
          <c:tx>
            <c:strRef>
              <c:f>Aggregation!$A$28</c:f>
            </c:strRef>
          </c:tx>
          <c:spPr>
            <a:solidFill>
              <a:srgbClr val="FF6D00">
                <a:alpha val="50000"/>
              </a:srgbClr>
            </a:solidFill>
            <a:ln cmpd="sng">
              <a:solidFill>
                <a:srgbClr val="FF6D00"/>
              </a:solidFill>
            </a:ln>
          </c:spPr>
          <c:cat>
            <c:strRef>
              <c:f>Aggregation!$B$1:$BB$1</c:f>
            </c:strRef>
          </c:cat>
          <c:val>
            <c:numRef>
              <c:f>Aggregation!$B$28:$BB$28</c:f>
              <c:numCache/>
            </c:numRef>
          </c:val>
        </c:ser>
        <c:ser>
          <c:idx val="5"/>
          <c:order val="5"/>
          <c:tx>
            <c:strRef>
              <c:f>Aggregation!$A$29</c:f>
            </c:strRef>
          </c:tx>
          <c:spPr>
            <a:solidFill>
              <a:srgbClr val="46BDC6">
                <a:alpha val="50000"/>
              </a:srgbClr>
            </a:solidFill>
            <a:ln cmpd="sng">
              <a:solidFill>
                <a:srgbClr val="46BDC6"/>
              </a:solidFill>
            </a:ln>
          </c:spPr>
          <c:cat>
            <c:strRef>
              <c:f>Aggregation!$B$1:$BB$1</c:f>
            </c:strRef>
          </c:cat>
          <c:val>
            <c:numRef>
              <c:f>Aggregation!$B$29:$BB$29</c:f>
              <c:numCache/>
            </c:numRef>
          </c:val>
        </c:ser>
        <c:ser>
          <c:idx val="6"/>
          <c:order val="6"/>
          <c:tx>
            <c:strRef>
              <c:f>Aggregation!$A$30</c:f>
            </c:strRef>
          </c:tx>
          <c:spPr>
            <a:solidFill>
              <a:srgbClr val="AB30C4">
                <a:alpha val="50000"/>
              </a:srgbClr>
            </a:solidFill>
            <a:ln cmpd="sng">
              <a:solidFill>
                <a:srgbClr val="AB30C4"/>
              </a:solidFill>
            </a:ln>
          </c:spPr>
          <c:cat>
            <c:strRef>
              <c:f>Aggregation!$B$1:$BB$1</c:f>
            </c:strRef>
          </c:cat>
          <c:val>
            <c:numRef>
              <c:f>Aggregation!$B$30:$BB$30</c:f>
              <c:numCache/>
            </c:numRef>
          </c:val>
        </c:ser>
        <c:ser>
          <c:idx val="7"/>
          <c:order val="7"/>
          <c:tx>
            <c:strRef>
              <c:f>Aggregation!$A$31</c:f>
            </c:strRef>
          </c:tx>
          <c:spPr>
            <a:solidFill>
              <a:srgbClr val="C1BC1F">
                <a:alpha val="50000"/>
              </a:srgbClr>
            </a:solidFill>
            <a:ln cmpd="sng">
              <a:solidFill>
                <a:srgbClr val="C1BC1F"/>
              </a:solidFill>
            </a:ln>
          </c:spPr>
          <c:cat>
            <c:strRef>
              <c:f>Aggregation!$B$1:$BB$1</c:f>
            </c:strRef>
          </c:cat>
          <c:val>
            <c:numRef>
              <c:f>Aggregation!$B$31:$BB$31</c:f>
              <c:numCache/>
            </c:numRef>
          </c:val>
        </c:ser>
        <c:ser>
          <c:idx val="8"/>
          <c:order val="8"/>
          <c:tx>
            <c:strRef>
              <c:f>Aggregation!$A$32</c:f>
            </c:strRef>
          </c:tx>
          <c:spPr>
            <a:solidFill>
              <a:srgbClr val="3949AB">
                <a:alpha val="50000"/>
              </a:srgbClr>
            </a:solidFill>
            <a:ln cmpd="sng">
              <a:solidFill>
                <a:srgbClr val="3949AB"/>
              </a:solidFill>
            </a:ln>
          </c:spPr>
          <c:cat>
            <c:strRef>
              <c:f>Aggregation!$B$1:$BB$1</c:f>
            </c:strRef>
          </c:cat>
          <c:val>
            <c:numRef>
              <c:f>Aggregation!$B$32:$BB$32</c:f>
              <c:numCache/>
            </c:numRef>
          </c:val>
        </c:ser>
        <c:ser>
          <c:idx val="9"/>
          <c:order val="9"/>
          <c:tx>
            <c:strRef>
              <c:f>Aggregation!$A$33</c:f>
            </c:strRef>
          </c:tx>
          <c:spPr>
            <a:solidFill>
              <a:srgbClr val="F975A8">
                <a:alpha val="50000"/>
              </a:srgbClr>
            </a:solidFill>
            <a:ln cmpd="sng">
              <a:solidFill>
                <a:srgbClr val="F975A8"/>
              </a:solidFill>
            </a:ln>
          </c:spPr>
          <c:cat>
            <c:strRef>
              <c:f>Aggregation!$B$1:$BB$1</c:f>
            </c:strRef>
          </c:cat>
          <c:val>
            <c:numRef>
              <c:f>Aggregation!$B$33:$BB$33</c:f>
              <c:numCache/>
            </c:numRef>
          </c:val>
        </c:ser>
        <c:axId val="2032456584"/>
        <c:axId val="996039452"/>
      </c:areaChart>
      <c:catAx>
        <c:axId val="203245658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spPr/>
        <c:txPr>
          <a:bodyPr/>
          <a:lstStyle/>
          <a:p>
            <a:pPr lvl="0">
              <a:defRPr b="0">
                <a:solidFill>
                  <a:srgbClr val="000000"/>
                </a:solidFill>
                <a:latin typeface="Roboto"/>
              </a:defRPr>
            </a:pPr>
          </a:p>
        </c:txPr>
        <c:crossAx val="996039452"/>
      </c:catAx>
      <c:valAx>
        <c:axId val="9960394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32456584"/>
      </c:valAx>
    </c:plotArea>
    <c:legend>
      <c:legendPos val="r"/>
      <c:overlay val="0"/>
      <c:txPr>
        <a:bodyPr/>
        <a:lstStyle/>
        <a:p>
          <a:pPr lvl="0">
            <a:defRPr b="0">
              <a:solidFill>
                <a:srgbClr val="000000"/>
              </a:solidFill>
              <a:latin typeface="Roboto"/>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 Total_Energy_System_OPEX_BillionsUSD/opex/energy_sys and  Total_Energy_System_CAPEX_BillionsUSD/capex/energy_sys</a:t>
            </a:r>
          </a:p>
        </c:rich>
      </c:tx>
      <c:overlay val="0"/>
    </c:title>
    <c:plotArea>
      <c:layout/>
      <c:lineChart>
        <c:ser>
          <c:idx val="0"/>
          <c:order val="0"/>
          <c:tx>
            <c:strRef>
              <c:f>Aggregation!$A$42:$C$42</c:f>
            </c:strRef>
          </c:tx>
          <c:spPr>
            <a:ln cmpd="sng">
              <a:solidFill>
                <a:srgbClr val="4285F4"/>
              </a:solidFill>
            </a:ln>
          </c:spPr>
          <c:marker>
            <c:symbol val="none"/>
          </c:marker>
          <c:cat>
            <c:strRef>
              <c:f>Aggregation!$D$1:$BB$1</c:f>
            </c:strRef>
          </c:cat>
          <c:val>
            <c:numRef>
              <c:f>Aggregation!$D$42:$BB$42</c:f>
              <c:numCache/>
            </c:numRef>
          </c:val>
          <c:smooth val="0"/>
        </c:ser>
        <c:ser>
          <c:idx val="1"/>
          <c:order val="1"/>
          <c:tx>
            <c:strRef>
              <c:f>Aggregation!$A$43:$C$43</c:f>
            </c:strRef>
          </c:tx>
          <c:spPr>
            <a:ln cmpd="sng">
              <a:solidFill>
                <a:srgbClr val="DB4437"/>
              </a:solidFill>
            </a:ln>
          </c:spPr>
          <c:marker>
            <c:symbol val="none"/>
          </c:marker>
          <c:cat>
            <c:strRef>
              <c:f>Aggregation!$D$1:$BB$1</c:f>
            </c:strRef>
          </c:cat>
          <c:val>
            <c:numRef>
              <c:f>Aggregation!$D$43:$BB$43</c:f>
              <c:numCache/>
            </c:numRef>
          </c:val>
          <c:smooth val="0"/>
        </c:ser>
        <c:axId val="524851670"/>
        <c:axId val="1815122759"/>
      </c:lineChart>
      <c:catAx>
        <c:axId val="52485167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815122759"/>
      </c:catAx>
      <c:valAx>
        <c:axId val="18151227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24851670"/>
      </c:valAx>
    </c:plotArea>
    <c:legend>
      <c:legendPos val="r"/>
      <c:overlay val="0"/>
      <c:txPr>
        <a:bodyPr/>
        <a:lstStyle/>
        <a:p>
          <a:pPr lvl="0">
            <a:defRPr b="0">
              <a:solidFill>
                <a:srgbClr val="000000"/>
              </a:solidFill>
              <a:latin typeface="Roboto"/>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Annual_CO2_Emissions_Coal_MillionTonnesCO2/MtCO2/coal, Annual_CO2_Emissions_NG_MillionTonnesCO2/MtCO2/NG, Annual_CO2_Emissions_Petroleum_MillionTonnesCO2/MtCO2/petroleum and Annual_CO2_Emissions_EmbodiedPowerPlantCapital_MillionTonnesCO2/MtCO2/embodied_in_PP</a:t>
            </a:r>
          </a:p>
        </c:rich>
      </c:tx>
      <c:overlay val="0"/>
    </c:title>
    <c:plotArea>
      <c:layout/>
      <c:lineChart>
        <c:ser>
          <c:idx val="0"/>
          <c:order val="0"/>
          <c:tx>
            <c:strRef>
              <c:f>Aggregation!$A$48:$C$48</c:f>
            </c:strRef>
          </c:tx>
          <c:spPr>
            <a:ln cmpd="sng">
              <a:solidFill>
                <a:srgbClr val="4285F4"/>
              </a:solidFill>
            </a:ln>
          </c:spPr>
          <c:marker>
            <c:symbol val="none"/>
          </c:marker>
          <c:cat>
            <c:strRef>
              <c:f>Aggregation!$D$1:$BB$1</c:f>
            </c:strRef>
          </c:cat>
          <c:val>
            <c:numRef>
              <c:f>Aggregation!$D$48:$BB$48</c:f>
              <c:numCache/>
            </c:numRef>
          </c:val>
          <c:smooth val="0"/>
        </c:ser>
        <c:ser>
          <c:idx val="1"/>
          <c:order val="1"/>
          <c:tx>
            <c:strRef>
              <c:f>Aggregation!$A$49:$C$49</c:f>
            </c:strRef>
          </c:tx>
          <c:spPr>
            <a:ln cmpd="sng">
              <a:solidFill>
                <a:srgbClr val="DB4437"/>
              </a:solidFill>
            </a:ln>
          </c:spPr>
          <c:marker>
            <c:symbol val="none"/>
          </c:marker>
          <c:cat>
            <c:strRef>
              <c:f>Aggregation!$D$1:$BB$1</c:f>
            </c:strRef>
          </c:cat>
          <c:val>
            <c:numRef>
              <c:f>Aggregation!$D$49:$BB$49</c:f>
              <c:numCache/>
            </c:numRef>
          </c:val>
          <c:smooth val="0"/>
        </c:ser>
        <c:ser>
          <c:idx val="2"/>
          <c:order val="2"/>
          <c:tx>
            <c:strRef>
              <c:f>Aggregation!$A$50:$C$50</c:f>
            </c:strRef>
          </c:tx>
          <c:spPr>
            <a:ln cmpd="sng">
              <a:solidFill>
                <a:srgbClr val="F4B400"/>
              </a:solidFill>
            </a:ln>
          </c:spPr>
          <c:marker>
            <c:symbol val="none"/>
          </c:marker>
          <c:cat>
            <c:strRef>
              <c:f>Aggregation!$D$1:$BB$1</c:f>
            </c:strRef>
          </c:cat>
          <c:val>
            <c:numRef>
              <c:f>Aggregation!$D$50:$BB$50</c:f>
              <c:numCache/>
            </c:numRef>
          </c:val>
          <c:smooth val="0"/>
        </c:ser>
        <c:ser>
          <c:idx val="3"/>
          <c:order val="3"/>
          <c:tx>
            <c:strRef>
              <c:f>Aggregation!$A$51:$C$51</c:f>
            </c:strRef>
          </c:tx>
          <c:spPr>
            <a:ln cmpd="sng">
              <a:solidFill>
                <a:srgbClr val="0F9D58"/>
              </a:solidFill>
            </a:ln>
          </c:spPr>
          <c:marker>
            <c:symbol val="none"/>
          </c:marker>
          <c:cat>
            <c:strRef>
              <c:f>Aggregation!$D$1:$BB$1</c:f>
            </c:strRef>
          </c:cat>
          <c:val>
            <c:numRef>
              <c:f>Aggregation!$D$51:$BB$51</c:f>
              <c:numCache/>
            </c:numRef>
          </c:val>
          <c:smooth val="0"/>
        </c:ser>
        <c:ser>
          <c:idx val="4"/>
          <c:order val="4"/>
          <c:tx>
            <c:strRef>
              <c:f>Aggregation!$A$52:$C$52</c:f>
            </c:strRef>
          </c:tx>
          <c:spPr>
            <a:ln cmpd="sng">
              <a:solidFill>
                <a:srgbClr val="FF6D00"/>
              </a:solidFill>
            </a:ln>
          </c:spPr>
          <c:marker>
            <c:symbol val="none"/>
          </c:marker>
          <c:cat>
            <c:strRef>
              <c:f>Aggregation!$D$1:$BB$1</c:f>
            </c:strRef>
          </c:cat>
          <c:val>
            <c:numRef>
              <c:f>Aggregation!$D$52:$BB$52</c:f>
              <c:numCache/>
            </c:numRef>
          </c:val>
          <c:smooth val="0"/>
        </c:ser>
        <c:ser>
          <c:idx val="5"/>
          <c:order val="5"/>
          <c:tx>
            <c:strRef>
              <c:f>Aggregation!$A$53:$C$53</c:f>
            </c:strRef>
          </c:tx>
          <c:spPr>
            <a:ln cmpd="sng">
              <a:solidFill>
                <a:srgbClr val="46BDC6"/>
              </a:solidFill>
            </a:ln>
          </c:spPr>
          <c:marker>
            <c:symbol val="none"/>
          </c:marker>
          <c:cat>
            <c:strRef>
              <c:f>Aggregation!$D$1:$BB$1</c:f>
            </c:strRef>
          </c:cat>
          <c:val>
            <c:numRef>
              <c:f>Aggregation!$D$53:$BB$53</c:f>
              <c:numCache/>
            </c:numRef>
          </c:val>
          <c:smooth val="0"/>
        </c:ser>
        <c:ser>
          <c:idx val="6"/>
          <c:order val="6"/>
          <c:tx>
            <c:strRef>
              <c:f>Aggregation!$A$54:$C$54</c:f>
            </c:strRef>
          </c:tx>
          <c:spPr>
            <a:ln cmpd="sng">
              <a:solidFill>
                <a:srgbClr val="AB30C4"/>
              </a:solidFill>
            </a:ln>
          </c:spPr>
          <c:marker>
            <c:symbol val="none"/>
          </c:marker>
          <c:cat>
            <c:strRef>
              <c:f>Aggregation!$D$1:$BB$1</c:f>
            </c:strRef>
          </c:cat>
          <c:val>
            <c:numRef>
              <c:f>Aggregation!$D$54:$BB$54</c:f>
              <c:numCache/>
            </c:numRef>
          </c:val>
          <c:smooth val="0"/>
        </c:ser>
        <c:ser>
          <c:idx val="7"/>
          <c:order val="7"/>
          <c:tx>
            <c:strRef>
              <c:f>Aggregation!$A$55:$C$55</c:f>
            </c:strRef>
          </c:tx>
          <c:spPr>
            <a:ln cmpd="sng">
              <a:solidFill>
                <a:srgbClr val="C1BC1F"/>
              </a:solidFill>
            </a:ln>
          </c:spPr>
          <c:marker>
            <c:symbol val="none"/>
          </c:marker>
          <c:cat>
            <c:strRef>
              <c:f>Aggregation!$D$1:$BB$1</c:f>
            </c:strRef>
          </c:cat>
          <c:val>
            <c:numRef>
              <c:f>Aggregation!$D$55:$BB$55</c:f>
              <c:numCache/>
            </c:numRef>
          </c:val>
          <c:smooth val="0"/>
        </c:ser>
        <c:ser>
          <c:idx val="8"/>
          <c:order val="8"/>
          <c:tx>
            <c:strRef>
              <c:f>Aggregation!$A$56:$C$56</c:f>
            </c:strRef>
          </c:tx>
          <c:spPr>
            <a:ln cmpd="sng">
              <a:solidFill>
                <a:srgbClr val="3949AB"/>
              </a:solidFill>
            </a:ln>
          </c:spPr>
          <c:marker>
            <c:symbol val="none"/>
          </c:marker>
          <c:cat>
            <c:strRef>
              <c:f>Aggregation!$D$1:$BB$1</c:f>
            </c:strRef>
          </c:cat>
          <c:val>
            <c:numRef>
              <c:f>Aggregation!$D$56:$BB$56</c:f>
              <c:numCache/>
            </c:numRef>
          </c:val>
          <c:smooth val="0"/>
        </c:ser>
        <c:ser>
          <c:idx val="9"/>
          <c:order val="9"/>
          <c:tx>
            <c:strRef>
              <c:f>Aggregation!$A$57:$C$57</c:f>
            </c:strRef>
          </c:tx>
          <c:spPr>
            <a:ln cmpd="sng">
              <a:solidFill>
                <a:srgbClr val="F975A8"/>
              </a:solidFill>
            </a:ln>
          </c:spPr>
          <c:marker>
            <c:symbol val="none"/>
          </c:marker>
          <c:cat>
            <c:strRef>
              <c:f>Aggregation!$D$1:$BB$1</c:f>
            </c:strRef>
          </c:cat>
          <c:val>
            <c:numRef>
              <c:f>Aggregation!$D$57:$BB$57</c:f>
              <c:numCache/>
            </c:numRef>
          </c:val>
          <c:smooth val="0"/>
        </c:ser>
        <c:ser>
          <c:idx val="10"/>
          <c:order val="10"/>
          <c:tx>
            <c:strRef>
              <c:f>Aggregation!$A$58:$C$58</c:f>
            </c:strRef>
          </c:tx>
          <c:spPr>
            <a:ln cmpd="sng">
              <a:solidFill>
                <a:srgbClr val="00695C"/>
              </a:solidFill>
            </a:ln>
          </c:spPr>
          <c:marker>
            <c:symbol val="none"/>
          </c:marker>
          <c:cat>
            <c:strRef>
              <c:f>Aggregation!$D$1:$BB$1</c:f>
            </c:strRef>
          </c:cat>
          <c:val>
            <c:numRef>
              <c:f>Aggregation!$D$58:$BB$58</c:f>
              <c:numCache/>
            </c:numRef>
          </c:val>
          <c:smooth val="0"/>
        </c:ser>
        <c:ser>
          <c:idx val="11"/>
          <c:order val="11"/>
          <c:tx>
            <c:strRef>
              <c:f>Aggregation!$A$59:$C$59</c:f>
            </c:strRef>
          </c:tx>
          <c:spPr>
            <a:ln cmpd="sng">
              <a:solidFill>
                <a:srgbClr val="C2185B"/>
              </a:solidFill>
            </a:ln>
          </c:spPr>
          <c:marker>
            <c:symbol val="none"/>
          </c:marker>
          <c:cat>
            <c:strRef>
              <c:f>Aggregation!$D$1:$BB$1</c:f>
            </c:strRef>
          </c:cat>
          <c:val>
            <c:numRef>
              <c:f>Aggregation!$D$59:$BB$59</c:f>
              <c:numCache/>
            </c:numRef>
          </c:val>
          <c:smooth val="0"/>
        </c:ser>
        <c:ser>
          <c:idx val="12"/>
          <c:order val="12"/>
          <c:tx>
            <c:strRef>
              <c:f>Aggregation!$A$60:$C$60</c:f>
            </c:strRef>
          </c:tx>
          <c:spPr>
            <a:ln cmpd="sng">
              <a:solidFill>
                <a:srgbClr val="4285F4"/>
              </a:solidFill>
            </a:ln>
          </c:spPr>
          <c:marker>
            <c:symbol val="none"/>
          </c:marker>
          <c:cat>
            <c:strRef>
              <c:f>Aggregation!$D$1:$BB$1</c:f>
            </c:strRef>
          </c:cat>
          <c:val>
            <c:numRef>
              <c:f>Aggregation!$D$60:$BB$60</c:f>
              <c:numCache/>
            </c:numRef>
          </c:val>
          <c:smooth val="0"/>
        </c:ser>
        <c:ser>
          <c:idx val="13"/>
          <c:order val="13"/>
          <c:tx>
            <c:strRef>
              <c:f>Aggregation!$A$61:$C$61</c:f>
            </c:strRef>
          </c:tx>
          <c:spPr>
            <a:ln cmpd="sng">
              <a:solidFill>
                <a:srgbClr val="DB4437"/>
              </a:solidFill>
            </a:ln>
          </c:spPr>
          <c:marker>
            <c:symbol val="none"/>
          </c:marker>
          <c:cat>
            <c:strRef>
              <c:f>Aggregation!$D$1:$BB$1</c:f>
            </c:strRef>
          </c:cat>
          <c:val>
            <c:numRef>
              <c:f>Aggregation!$D$61:$BB$61</c:f>
              <c:numCache/>
            </c:numRef>
          </c:val>
          <c:smooth val="0"/>
        </c:ser>
        <c:ser>
          <c:idx val="14"/>
          <c:order val="14"/>
          <c:tx>
            <c:strRef>
              <c:f>Aggregation!$A$62:$C$62</c:f>
            </c:strRef>
          </c:tx>
          <c:spPr>
            <a:ln cmpd="sng">
              <a:solidFill>
                <a:srgbClr val="F4B400"/>
              </a:solidFill>
            </a:ln>
          </c:spPr>
          <c:marker>
            <c:symbol val="none"/>
          </c:marker>
          <c:cat>
            <c:strRef>
              <c:f>Aggregation!$D$1:$BB$1</c:f>
            </c:strRef>
          </c:cat>
          <c:val>
            <c:numRef>
              <c:f>Aggregation!$D$62:$BB$62</c:f>
              <c:numCache/>
            </c:numRef>
          </c:val>
          <c:smooth val="0"/>
        </c:ser>
        <c:ser>
          <c:idx val="15"/>
          <c:order val="15"/>
          <c:tx>
            <c:strRef>
              <c:f>Aggregation!$A$63:$C$63</c:f>
            </c:strRef>
          </c:tx>
          <c:spPr>
            <a:ln cmpd="sng">
              <a:solidFill>
                <a:srgbClr val="0F9D58"/>
              </a:solidFill>
            </a:ln>
          </c:spPr>
          <c:marker>
            <c:symbol val="none"/>
          </c:marker>
          <c:cat>
            <c:strRef>
              <c:f>Aggregation!$D$1:$BB$1</c:f>
            </c:strRef>
          </c:cat>
          <c:val>
            <c:numRef>
              <c:f>Aggregation!$D$63:$BB$63</c:f>
              <c:numCache/>
            </c:numRef>
          </c:val>
          <c:smooth val="0"/>
        </c:ser>
        <c:ser>
          <c:idx val="16"/>
          <c:order val="16"/>
          <c:tx>
            <c:strRef>
              <c:f>Aggregation!$A$64:$C$64</c:f>
            </c:strRef>
          </c:tx>
          <c:spPr>
            <a:ln cmpd="sng">
              <a:solidFill>
                <a:srgbClr val="FF6D00"/>
              </a:solidFill>
            </a:ln>
          </c:spPr>
          <c:marker>
            <c:symbol val="none"/>
          </c:marker>
          <c:cat>
            <c:strRef>
              <c:f>Aggregation!$D$1:$BB$1</c:f>
            </c:strRef>
          </c:cat>
          <c:val>
            <c:numRef>
              <c:f>Aggregation!$D$64:$BB$64</c:f>
              <c:numCache/>
            </c:numRef>
          </c:val>
          <c:smooth val="0"/>
        </c:ser>
        <c:ser>
          <c:idx val="17"/>
          <c:order val="17"/>
          <c:tx>
            <c:strRef>
              <c:f>Aggregation!$A$65:$C$65</c:f>
            </c:strRef>
          </c:tx>
          <c:spPr>
            <a:ln cmpd="sng">
              <a:solidFill>
                <a:srgbClr val="46BDC6"/>
              </a:solidFill>
            </a:ln>
          </c:spPr>
          <c:marker>
            <c:symbol val="none"/>
          </c:marker>
          <c:cat>
            <c:strRef>
              <c:f>Aggregation!$D$1:$BB$1</c:f>
            </c:strRef>
          </c:cat>
          <c:val>
            <c:numRef>
              <c:f>Aggregation!$D$65:$BB$65</c:f>
              <c:numCache/>
            </c:numRef>
          </c:val>
          <c:smooth val="0"/>
        </c:ser>
        <c:ser>
          <c:idx val="18"/>
          <c:order val="18"/>
          <c:tx>
            <c:strRef>
              <c:f>Aggregation!$A$66:$C$66</c:f>
            </c:strRef>
          </c:tx>
          <c:spPr>
            <a:ln cmpd="sng">
              <a:solidFill>
                <a:srgbClr val="AB30C4"/>
              </a:solidFill>
            </a:ln>
          </c:spPr>
          <c:marker>
            <c:symbol val="none"/>
          </c:marker>
          <c:cat>
            <c:strRef>
              <c:f>Aggregation!$D$1:$BB$1</c:f>
            </c:strRef>
          </c:cat>
          <c:val>
            <c:numRef>
              <c:f>Aggregation!$D$66:$BB$66</c:f>
              <c:numCache/>
            </c:numRef>
          </c:val>
          <c:smooth val="0"/>
        </c:ser>
        <c:ser>
          <c:idx val="19"/>
          <c:order val="19"/>
          <c:tx>
            <c:strRef>
              <c:f>Aggregation!$A$67:$C$67</c:f>
            </c:strRef>
          </c:tx>
          <c:spPr>
            <a:ln cmpd="sng">
              <a:solidFill>
                <a:srgbClr val="C1BC1F"/>
              </a:solidFill>
            </a:ln>
          </c:spPr>
          <c:marker>
            <c:symbol val="none"/>
          </c:marker>
          <c:cat>
            <c:strRef>
              <c:f>Aggregation!$D$1:$BB$1</c:f>
            </c:strRef>
          </c:cat>
          <c:val>
            <c:numRef>
              <c:f>Aggregation!$D$67:$BB$67</c:f>
              <c:numCache/>
            </c:numRef>
          </c:val>
          <c:smooth val="0"/>
        </c:ser>
        <c:axId val="1961491357"/>
        <c:axId val="2035044011"/>
      </c:lineChart>
      <c:catAx>
        <c:axId val="196149135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2035044011"/>
      </c:catAx>
      <c:valAx>
        <c:axId val="20350440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61491357"/>
      </c:valAx>
    </c:plotArea>
    <c:legend>
      <c:legendPos val="r"/>
      <c:overlay val="0"/>
      <c:txPr>
        <a:bodyPr/>
        <a:lstStyle/>
        <a:p>
          <a:pPr lvl="0">
            <a:defRPr b="0">
              <a:solidFill>
                <a:srgbClr val="000000"/>
              </a:solidFill>
              <a:latin typeface="Roboto"/>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emissions from electricity generation</a:t>
            </a:r>
          </a:p>
        </c:rich>
      </c:tx>
      <c:overlay val="0"/>
    </c:title>
    <c:plotArea>
      <c:layout/>
      <c:lineChart>
        <c:ser>
          <c:idx val="0"/>
          <c:order val="0"/>
          <c:tx>
            <c:strRef>
              <c:f>'Transportation and Industrial G'!$A$31</c:f>
            </c:strRef>
          </c:tx>
          <c:spPr>
            <a:ln cmpd="sng">
              <a:solidFill>
                <a:srgbClr val="4285F4"/>
              </a:solidFill>
            </a:ln>
          </c:spPr>
          <c:marker>
            <c:symbol val="none"/>
          </c:marker>
          <c:cat>
            <c:strRef>
              <c:f>'Transportation and Industrial G'!$B$20:$AZ$20</c:f>
            </c:strRef>
          </c:cat>
          <c:val>
            <c:numRef>
              <c:f>'Transportation and Industrial G'!$B$31:$AZ$31</c:f>
              <c:numCache/>
            </c:numRef>
          </c:val>
          <c:smooth val="0"/>
        </c:ser>
        <c:ser>
          <c:idx val="1"/>
          <c:order val="1"/>
          <c:tx>
            <c:strRef>
              <c:f>'Transportation and Industrial G'!$A$40</c:f>
            </c:strRef>
          </c:tx>
          <c:spPr>
            <a:ln cmpd="sng">
              <a:solidFill>
                <a:srgbClr val="DB4437"/>
              </a:solidFill>
            </a:ln>
          </c:spPr>
          <c:marker>
            <c:symbol val="none"/>
          </c:marker>
          <c:cat>
            <c:strRef>
              <c:f>'Transportation and Industrial G'!$B$20:$AZ$20</c:f>
            </c:strRef>
          </c:cat>
          <c:val>
            <c:numRef>
              <c:f>'Transportation and Industrial G'!$B$40:$AZ$40</c:f>
              <c:numCache/>
            </c:numRef>
          </c:val>
          <c:smooth val="0"/>
        </c:ser>
        <c:ser>
          <c:idx val="2"/>
          <c:order val="2"/>
          <c:tx>
            <c:strRef>
              <c:f>'Transportation and Industrial G'!$A$40</c:f>
            </c:strRef>
          </c:tx>
          <c:spPr>
            <a:ln cmpd="sng">
              <a:solidFill>
                <a:srgbClr val="F4B400"/>
              </a:solidFill>
            </a:ln>
          </c:spPr>
          <c:marker>
            <c:symbol val="none"/>
          </c:marker>
          <c:cat>
            <c:strRef>
              <c:f>'Transportation and Industrial G'!$B$20:$AZ$20</c:f>
            </c:strRef>
          </c:cat>
          <c:val>
            <c:numRef>
              <c:f>'Transportation and Industrial G'!$B$40:$AZ$40</c:f>
              <c:numCache/>
            </c:numRef>
          </c:val>
          <c:smooth val="0"/>
        </c:ser>
        <c:ser>
          <c:idx val="3"/>
          <c:order val="3"/>
          <c:tx>
            <c:strRef>
              <c:f>'Transportation and Industrial G'!$A$40</c:f>
            </c:strRef>
          </c:tx>
          <c:spPr>
            <a:ln cmpd="sng">
              <a:solidFill>
                <a:srgbClr val="0F9D58"/>
              </a:solidFill>
            </a:ln>
          </c:spPr>
          <c:marker>
            <c:symbol val="none"/>
          </c:marker>
          <c:cat>
            <c:strRef>
              <c:f>'Transportation and Industrial G'!$B$20:$AZ$20</c:f>
            </c:strRef>
          </c:cat>
          <c:val>
            <c:numRef>
              <c:f>'Transportation and Industrial G'!$B$40:$AZ$40</c:f>
              <c:numCache/>
            </c:numRef>
          </c:val>
          <c:smooth val="0"/>
        </c:ser>
        <c:ser>
          <c:idx val="4"/>
          <c:order val="4"/>
          <c:tx>
            <c:strRef>
              <c:f>'Transportation and Industrial G'!$A$41</c:f>
            </c:strRef>
          </c:tx>
          <c:spPr>
            <a:ln cmpd="sng">
              <a:solidFill>
                <a:srgbClr val="FF6D00"/>
              </a:solidFill>
            </a:ln>
          </c:spPr>
          <c:marker>
            <c:symbol val="none"/>
          </c:marker>
          <c:cat>
            <c:strRef>
              <c:f>'Transportation and Industrial G'!$B$20:$AZ$20</c:f>
            </c:strRef>
          </c:cat>
          <c:val>
            <c:numRef>
              <c:f>'Transportation and Industrial G'!$B$41:$AZ$41</c:f>
              <c:numCache/>
            </c:numRef>
          </c:val>
          <c:smooth val="0"/>
        </c:ser>
        <c:ser>
          <c:idx val="5"/>
          <c:order val="5"/>
          <c:tx>
            <c:strRef>
              <c:f>'Transportation and Industrial G'!$A$42</c:f>
            </c:strRef>
          </c:tx>
          <c:spPr>
            <a:ln cmpd="sng">
              <a:solidFill>
                <a:srgbClr val="46BDC6"/>
              </a:solidFill>
            </a:ln>
          </c:spPr>
          <c:marker>
            <c:symbol val="none"/>
          </c:marker>
          <c:cat>
            <c:strRef>
              <c:f>'Transportation and Industrial G'!$B$20:$AZ$20</c:f>
            </c:strRef>
          </c:cat>
          <c:val>
            <c:numRef>
              <c:f>'Transportation and Industrial G'!$B$42:$AZ$42</c:f>
              <c:numCache/>
            </c:numRef>
          </c:val>
          <c:smooth val="0"/>
        </c:ser>
        <c:axId val="1937629162"/>
        <c:axId val="967466128"/>
      </c:lineChart>
      <c:catAx>
        <c:axId val="193762916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967466128"/>
      </c:catAx>
      <c:valAx>
        <c:axId val="9674661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Natural Gas (total emissions)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37629162"/>
      </c:valAx>
    </c:plotArea>
    <c:legend>
      <c:legendPos val="r"/>
      <c:overlay val="0"/>
      <c:txPr>
        <a:bodyPr/>
        <a:lstStyle/>
        <a:p>
          <a:pPr lvl="0">
            <a:defRPr b="0">
              <a:solidFill>
                <a:srgbClr val="000000"/>
              </a:solidFill>
              <a:latin typeface="Roboto"/>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POWER_PLANT_OPEX_incl_Fuel_BillionsUSD/opex_wfuel/all_pp and POWER_PLANT_CAPEX_TOTAL_BillionUSD/capex/all_pp</a:t>
            </a:r>
          </a:p>
        </c:rich>
      </c:tx>
      <c:overlay val="0"/>
    </c:title>
    <c:plotArea>
      <c:layout/>
      <c:lineChart>
        <c:ser>
          <c:idx val="0"/>
          <c:order val="0"/>
          <c:tx>
            <c:strRef>
              <c:f>Aggregation!$A$24:$C$24</c:f>
            </c:strRef>
          </c:tx>
          <c:spPr>
            <a:ln cmpd="sng">
              <a:solidFill>
                <a:srgbClr val="4285F4"/>
              </a:solidFill>
            </a:ln>
          </c:spPr>
          <c:marker>
            <c:symbol val="none"/>
          </c:marker>
          <c:cat>
            <c:strRef>
              <c:f>Aggregation!$D$1:$BB$1</c:f>
            </c:strRef>
          </c:cat>
          <c:val>
            <c:numRef>
              <c:f>Aggregation!$D$24:$BB$24</c:f>
              <c:numCache/>
            </c:numRef>
          </c:val>
          <c:smooth val="0"/>
        </c:ser>
        <c:ser>
          <c:idx val="1"/>
          <c:order val="1"/>
          <c:tx>
            <c:strRef>
              <c:f>Aggregation!$A$25:$C$25</c:f>
            </c:strRef>
          </c:tx>
          <c:spPr>
            <a:ln cmpd="sng">
              <a:solidFill>
                <a:srgbClr val="DB4437"/>
              </a:solidFill>
            </a:ln>
          </c:spPr>
          <c:marker>
            <c:symbol val="none"/>
          </c:marker>
          <c:cat>
            <c:strRef>
              <c:f>Aggregation!$D$1:$BB$1</c:f>
            </c:strRef>
          </c:cat>
          <c:val>
            <c:numRef>
              <c:f>Aggregation!$D$25:$BB$25</c:f>
              <c:numCache/>
            </c:numRef>
          </c:val>
          <c:smooth val="0"/>
        </c:ser>
        <c:axId val="1785214021"/>
        <c:axId val="1113422697"/>
      </c:lineChart>
      <c:catAx>
        <c:axId val="178521402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113422697"/>
      </c:catAx>
      <c:valAx>
        <c:axId val="11134226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85214021"/>
      </c:valAx>
    </c:plotArea>
    <c:legend>
      <c:legendPos val="r"/>
      <c:overlay val="0"/>
      <c:txPr>
        <a:bodyPr/>
        <a:lstStyle/>
        <a:p>
          <a:pPr lvl="0">
            <a:defRPr b="0">
              <a:solidFill>
                <a:srgbClr val="000000"/>
              </a:solidFill>
              <a:latin typeface="Roboto"/>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non-electricity'!$A$47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non-electricity'!$B$48:$S$48</c:f>
            </c:numRef>
          </c:xVal>
          <c:yVal>
            <c:numRef>
              <c:f>'Assumptions (NG non-electricity'!$B$47:$S$47</c:f>
              <c:numCache/>
            </c:numRef>
          </c:yVal>
        </c:ser>
        <c:dLbls>
          <c:showLegendKey val="0"/>
          <c:showVal val="0"/>
          <c:showCatName val="0"/>
          <c:showSerName val="0"/>
          <c:showPercent val="0"/>
          <c:showBubbleSize val="0"/>
        </c:dLbls>
        <c:axId val="457181578"/>
        <c:axId val="1342771914"/>
      </c:scatterChart>
      <c:valAx>
        <c:axId val="45718157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42771914"/>
      </c:valAx>
      <c:valAx>
        <c:axId val="134277191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57181578"/>
      </c:valAx>
    </c:plotArea>
    <c:legend>
      <c:legendPos val="r"/>
      <c:overlay val="0"/>
      <c:txPr>
        <a:bodyPr/>
        <a:lstStyle/>
        <a:p>
          <a:pPr lvl="0">
            <a:defRPr b="0">
              <a:solidFill>
                <a:srgbClr val="000000"/>
              </a:solidFill>
              <a:latin typeface="Roboto"/>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non-electricity'!$A$43</c:f>
            </c:strRef>
          </c:tx>
          <c:spPr>
            <a:ln cmpd="sng">
              <a:solidFill>
                <a:srgbClr val="4285F4"/>
              </a:solidFill>
            </a:ln>
          </c:spPr>
          <c:marker>
            <c:symbol val="none"/>
          </c:marker>
          <c:val>
            <c:numRef>
              <c:f>'Assumptions (NG non-electricity'!$B$43:$AZ$43</c:f>
              <c:numCache/>
            </c:numRef>
          </c:val>
          <c:smooth val="0"/>
        </c:ser>
        <c:ser>
          <c:idx val="1"/>
          <c:order val="1"/>
          <c:tx>
            <c:strRef>
              <c:f>'Assumptions (NG non-electricity'!$A$44</c:f>
            </c:strRef>
          </c:tx>
          <c:spPr>
            <a:ln cmpd="sng">
              <a:solidFill>
                <a:srgbClr val="DB4437"/>
              </a:solidFill>
            </a:ln>
          </c:spPr>
          <c:marker>
            <c:symbol val="none"/>
          </c:marker>
          <c:val>
            <c:numRef>
              <c:f>'Assumptions (NG non-electricity'!$B$44:$AZ$44</c:f>
              <c:numCache/>
            </c:numRef>
          </c:val>
          <c:smooth val="0"/>
        </c:ser>
        <c:ser>
          <c:idx val="2"/>
          <c:order val="2"/>
          <c:tx>
            <c:strRef>
              <c:f>'Assumptions (NG non-electricity'!$A$45</c:f>
            </c:strRef>
          </c:tx>
          <c:spPr>
            <a:ln cmpd="sng">
              <a:solidFill>
                <a:srgbClr val="F4B400"/>
              </a:solidFill>
            </a:ln>
          </c:spPr>
          <c:marker>
            <c:symbol val="none"/>
          </c:marker>
          <c:val>
            <c:numRef>
              <c:f>'Assumptions (NG non-electricity'!$B$45:$AZ$45</c:f>
              <c:numCache/>
            </c:numRef>
          </c:val>
          <c:smooth val="0"/>
        </c:ser>
        <c:ser>
          <c:idx val="3"/>
          <c:order val="3"/>
          <c:tx>
            <c:strRef>
              <c:f>'Assumptions (NG non-electricity'!$A$46</c:f>
            </c:strRef>
          </c:tx>
          <c:spPr>
            <a:ln cmpd="sng">
              <a:solidFill>
                <a:srgbClr val="0F9D58"/>
              </a:solidFill>
            </a:ln>
          </c:spPr>
          <c:marker>
            <c:symbol val="none"/>
          </c:marker>
          <c:val>
            <c:numRef>
              <c:f>'Assumptions (NG non-electricity'!$B$46:$AZ$46</c:f>
              <c:numCache/>
            </c:numRef>
          </c:val>
          <c:smooth val="0"/>
        </c:ser>
        <c:ser>
          <c:idx val="4"/>
          <c:order val="4"/>
          <c:tx>
            <c:strRef>
              <c:f>'Assumptions (NG non-electricity'!$A$47</c:f>
            </c:strRef>
          </c:tx>
          <c:spPr>
            <a:ln cmpd="sng">
              <a:solidFill>
                <a:srgbClr val="FF6D00"/>
              </a:solidFill>
            </a:ln>
          </c:spPr>
          <c:marker>
            <c:symbol val="none"/>
          </c:marker>
          <c:val>
            <c:numRef>
              <c:f>'Assumptions (NG non-electricity'!$B$47:$AZ$47</c:f>
              <c:numCache/>
            </c:numRef>
          </c:val>
          <c:smooth val="0"/>
        </c:ser>
        <c:ser>
          <c:idx val="5"/>
          <c:order val="5"/>
          <c:tx>
            <c:strRef>
              <c:f>'Assumptions (NG non-electricity'!$A$48</c:f>
            </c:strRef>
          </c:tx>
          <c:spPr>
            <a:ln cmpd="sng">
              <a:solidFill>
                <a:srgbClr val="46BDC6"/>
              </a:solidFill>
            </a:ln>
          </c:spPr>
          <c:marker>
            <c:symbol val="none"/>
          </c:marker>
          <c:val>
            <c:numRef>
              <c:f>'Assumptions (NG non-electricity'!$B$48:$AZ$48</c:f>
              <c:numCache/>
            </c:numRef>
          </c:val>
          <c:smooth val="0"/>
        </c:ser>
        <c:axId val="1712244877"/>
        <c:axId val="1369589308"/>
      </c:lineChart>
      <c:catAx>
        <c:axId val="171224487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369589308"/>
      </c:catAx>
      <c:valAx>
        <c:axId val="13695893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12244877"/>
      </c:valAx>
    </c:plotArea>
    <c:legend>
      <c:legendPos val="r"/>
      <c:overlay val="0"/>
      <c:txPr>
        <a:bodyPr/>
        <a:lstStyle/>
        <a:p>
          <a:pPr lvl="0">
            <a:defRPr b="0">
              <a:solidFill>
                <a:srgbClr val="000000"/>
              </a:solidFill>
              <a:latin typeface="Roboto"/>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'Assumptions (NG non-electricity'!$A$28</c:f>
            </c:strRef>
          </c:tx>
          <c:spPr>
            <a:ln cmpd="sng">
              <a:solidFill>
                <a:srgbClr val="4285F4"/>
              </a:solidFill>
            </a:ln>
          </c:spPr>
          <c:marker>
            <c:symbol val="none"/>
          </c:marker>
          <c:val>
            <c:numRef>
              <c:f>'Assumptions (NG non-electricity'!$B$28:$AZ$28</c:f>
              <c:numCache/>
            </c:numRef>
          </c:val>
          <c:smooth val="0"/>
        </c:ser>
        <c:axId val="2004160888"/>
        <c:axId val="362655427"/>
      </c:lineChart>
      <c:catAx>
        <c:axId val="200416088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362655427"/>
      </c:catAx>
      <c:valAx>
        <c:axId val="3626554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04160888"/>
      </c:valAx>
    </c:plotArea>
    <c:legend>
      <c:legendPos val="r"/>
      <c:overlay val="0"/>
      <c:txPr>
        <a:bodyPr/>
        <a:lstStyle/>
        <a:p>
          <a:pPr lvl="0">
            <a:defRPr b="0">
              <a:solidFill>
                <a:srgbClr val="000000"/>
              </a:solidFill>
              <a:latin typeface="Roboto"/>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Upstream)'!$B$175</c:f>
            </c:strRef>
          </c:tx>
          <c:spPr>
            <a:ln cmpd="sng">
              <a:solidFill>
                <a:srgbClr val="6AA84F"/>
              </a:solidFill>
            </a:ln>
          </c:spPr>
          <c:marker>
            <c:symbol val="none"/>
          </c:marker>
          <c:cat>
            <c:strRef>
              <c:f>'Assumptions (O&amp;G Upstream)'!$C$174:$T$174</c:f>
            </c:strRef>
          </c:cat>
          <c:val>
            <c:numRef>
              <c:f>'Assumptions (O&amp;G Upstream)'!$C$175:$T$175</c:f>
              <c:numCache/>
            </c:numRef>
          </c:val>
          <c:smooth val="0"/>
        </c:ser>
        <c:ser>
          <c:idx val="3"/>
          <c:order val="3"/>
          <c:tx>
            <c:strRef>
              <c:f>'Assumptions (O&amp;G Upstream)'!$B$178</c:f>
            </c:strRef>
          </c:tx>
          <c:spPr>
            <a:ln cmpd="sng">
              <a:solidFill>
                <a:srgbClr val="6AA84F"/>
              </a:solidFill>
              <a:prstDash val="dash"/>
            </a:ln>
          </c:spPr>
          <c:marker>
            <c:symbol val="none"/>
          </c:marker>
          <c:cat>
            <c:strRef>
              <c:f>'Assumptions (O&amp;G Upstream)'!$C$174:$T$174</c:f>
            </c:strRef>
          </c:cat>
          <c:val>
            <c:numRef>
              <c:f>'Assumptions (O&amp;G Upstream)'!$C$178:$T$178</c:f>
              <c:numCache/>
            </c:numRef>
          </c:val>
          <c:smooth val="0"/>
        </c:ser>
        <c:axId val="8574742"/>
        <c:axId val="1527991142"/>
      </c:lineChart>
      <c:catAx>
        <c:axId val="857474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527991142"/>
      </c:catAx>
      <c:valAx>
        <c:axId val="15279911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million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574742"/>
      </c:valAx>
      <c:lineChart>
        <c:ser>
          <c:idx val="1"/>
          <c:order val="1"/>
          <c:tx>
            <c:strRef>
              <c:f>'Assumptions (O&amp;G Upstream)'!$B$176</c:f>
            </c:strRef>
          </c:tx>
          <c:spPr>
            <a:ln cmpd="sng">
              <a:solidFill>
                <a:srgbClr val="DB4437"/>
              </a:solidFill>
              <a:prstDash val="dash"/>
            </a:ln>
          </c:spPr>
          <c:marker>
            <c:symbol val="none"/>
          </c:marker>
          <c:cat>
            <c:strRef>
              <c:f>'Assumptions (O&amp;G Upstream)'!$C$174:$T$174</c:f>
            </c:strRef>
          </c:cat>
          <c:val>
            <c:numRef>
              <c:f>'Assumptions (O&amp;G Upstream)'!$C$176:$T$176</c:f>
              <c:numCache/>
            </c:numRef>
          </c:val>
          <c:smooth val="0"/>
        </c:ser>
        <c:ser>
          <c:idx val="2"/>
          <c:order val="2"/>
          <c:tx>
            <c:strRef>
              <c:f>'Assumptions (O&amp;G Upstream)'!$B$177</c:f>
            </c:strRef>
          </c:tx>
          <c:spPr>
            <a:ln cmpd="sng">
              <a:solidFill>
                <a:srgbClr val="CC0000"/>
              </a:solidFill>
            </a:ln>
          </c:spPr>
          <c:marker>
            <c:symbol val="none"/>
          </c:marker>
          <c:cat>
            <c:strRef>
              <c:f>'Assumptions (O&amp;G Upstream)'!$C$174:$T$174</c:f>
            </c:strRef>
          </c:cat>
          <c:val>
            <c:numRef>
              <c:f>'Assumptions (O&amp;G Upstream)'!$C$177:$T$177</c:f>
              <c:numCache/>
            </c:numRef>
          </c:val>
          <c:smooth val="0"/>
        </c:ser>
        <c:axId val="627076947"/>
        <c:axId val="1347987549"/>
      </c:lineChart>
      <c:catAx>
        <c:axId val="627076947"/>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347987549"/>
      </c:catAx>
      <c:valAx>
        <c:axId val="1347987549"/>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 cf</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27076947"/>
        <c:crosses val="max"/>
      </c:valAx>
    </c:plotArea>
    <c:legend>
      <c:legendPos val="r"/>
      <c:overlay val="0"/>
      <c:txPr>
        <a:bodyPr/>
        <a:lstStyle/>
        <a:p>
          <a:pPr lvl="0">
            <a:defRPr b="0">
              <a:solidFill>
                <a:srgbClr val="000000"/>
              </a:solidFill>
              <a:latin typeface="Roboto"/>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Upstream)'!$C$77:$U$77</c:f>
            </c:strRef>
          </c:cat>
          <c:val>
            <c:numRef>
              <c:f>'Assumptions (O&amp;G Upstream)'!$C$82:$U$82</c:f>
              <c:numCache/>
            </c:numRef>
          </c:val>
          <c:smooth val="0"/>
        </c:ser>
        <c:ser>
          <c:idx val="1"/>
          <c:order val="1"/>
          <c:spPr>
            <a:ln cmpd="sng">
              <a:solidFill>
                <a:srgbClr val="DB4437"/>
              </a:solidFill>
            </a:ln>
          </c:spPr>
          <c:marker>
            <c:symbol val="none"/>
          </c:marker>
          <c:cat>
            <c:strRef>
              <c:f>'Assumptions (O&amp;G Upstream)'!$C$77:$U$77</c:f>
            </c:strRef>
          </c:cat>
          <c:val>
            <c:numRef>
              <c:f>'Assumptions (O&amp;G Upstream)'!$B$82</c:f>
              <c:numCache/>
            </c:numRef>
          </c:val>
          <c:smooth val="0"/>
        </c:ser>
        <c:ser>
          <c:idx val="2"/>
          <c:order val="2"/>
          <c:spPr>
            <a:ln cmpd="sng">
              <a:solidFill>
                <a:srgbClr val="F4B400"/>
              </a:solidFill>
            </a:ln>
          </c:spPr>
          <c:marker>
            <c:symbol val="none"/>
          </c:marker>
          <c:cat>
            <c:strRef>
              <c:f>'Assumptions (O&amp;G Upstream)'!$C$77:$U$77</c:f>
            </c:strRef>
          </c:cat>
          <c:val>
            <c:numRef>
              <c:f>'Assumptions (O&amp;G Upstream)'!$C$74:$T$74</c:f>
              <c:numCache/>
            </c:numRef>
          </c:val>
          <c:smooth val="0"/>
        </c:ser>
        <c:axId val="84926837"/>
        <c:axId val="331181442"/>
      </c:lineChart>
      <c:catAx>
        <c:axId val="8492683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331181442"/>
      </c:catAx>
      <c:valAx>
        <c:axId val="3311814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4926837"/>
      </c:valAx>
    </c:plotArea>
    <c:legend>
      <c:legendPos val="r"/>
      <c:overlay val="0"/>
      <c:txPr>
        <a:bodyPr/>
        <a:lstStyle/>
        <a:p>
          <a:pPr lvl="0">
            <a:defRPr b="0">
              <a:solidFill>
                <a:srgbClr val="000000"/>
              </a:solidFill>
              <a:latin typeface="Roboto"/>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Upstream)'!$C$237:$U$237</c:f>
            </c:strRef>
          </c:cat>
          <c:val>
            <c:numRef>
              <c:f>'Assumptions (O&amp;G Upstream)'!$C$233:$U$233</c:f>
              <c:numCache/>
            </c:numRef>
          </c:val>
          <c:smooth val="0"/>
        </c:ser>
        <c:ser>
          <c:idx val="1"/>
          <c:order val="1"/>
          <c:spPr>
            <a:ln cmpd="sng">
              <a:solidFill>
                <a:srgbClr val="DB4437"/>
              </a:solidFill>
            </a:ln>
          </c:spPr>
          <c:marker>
            <c:symbol val="none"/>
          </c:marker>
          <c:cat>
            <c:strRef>
              <c:f>'Assumptions (O&amp;G Upstream)'!$C$237:$U$237</c:f>
            </c:strRef>
          </c:cat>
          <c:val>
            <c:numRef>
              <c:f>'Assumptions (O&amp;G Upstream)'!$B$233</c:f>
              <c:numCache/>
            </c:numRef>
          </c:val>
          <c:smooth val="0"/>
        </c:ser>
        <c:axId val="1636152173"/>
        <c:axId val="411714707"/>
      </c:lineChart>
      <c:catAx>
        <c:axId val="163615217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411714707"/>
      </c:catAx>
      <c:valAx>
        <c:axId val="4117147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36152173"/>
      </c:valAx>
    </c:plotArea>
    <c:legend>
      <c:legendPos val="r"/>
      <c:overlay val="0"/>
      <c:txPr>
        <a:bodyPr/>
        <a:lstStyle/>
        <a:p>
          <a:pPr lvl="0">
            <a:defRPr b="0">
              <a:solidFill>
                <a:srgbClr val="000000"/>
              </a:solidFill>
              <a:latin typeface="Roboto"/>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Upstream)'!$B$239</c:f>
            </c:strRef>
          </c:tx>
          <c:spPr>
            <a:ln cmpd="sng">
              <a:solidFill>
                <a:srgbClr val="4285F4"/>
              </a:solidFill>
            </a:ln>
          </c:spPr>
          <c:marker>
            <c:symbol val="none"/>
          </c:marker>
          <c:val>
            <c:numRef>
              <c:f>'Assumptions (O&amp;G Upstream)'!$C$239:$J$239</c:f>
              <c:numCache/>
            </c:numRef>
          </c:val>
          <c:smooth val="0"/>
        </c:ser>
        <c:ser>
          <c:idx val="1"/>
          <c:order val="1"/>
          <c:tx>
            <c:strRef>
              <c:f>'Assumptions (O&amp;G Upstream)'!$B$240</c:f>
            </c:strRef>
          </c:tx>
          <c:spPr>
            <a:ln cmpd="sng">
              <a:solidFill>
                <a:srgbClr val="DB4437"/>
              </a:solidFill>
            </a:ln>
          </c:spPr>
          <c:marker>
            <c:symbol val="none"/>
          </c:marker>
          <c:val>
            <c:numRef>
              <c:f>'Assumptions (O&amp;G Upstream)'!$C$240:$J$240</c:f>
              <c:numCache/>
            </c:numRef>
          </c:val>
          <c:smooth val="0"/>
        </c:ser>
        <c:ser>
          <c:idx val="2"/>
          <c:order val="2"/>
          <c:tx>
            <c:strRef>
              <c:f>'Assumptions (O&amp;G Upstream)'!$B$241</c:f>
            </c:strRef>
          </c:tx>
          <c:spPr>
            <a:ln cmpd="sng">
              <a:solidFill>
                <a:srgbClr val="F4B400"/>
              </a:solidFill>
            </a:ln>
          </c:spPr>
          <c:marker>
            <c:symbol val="none"/>
          </c:marker>
          <c:val>
            <c:numRef>
              <c:f>'Assumptions (O&amp;G Upstream)'!$C$241:$J$241</c:f>
              <c:numCache/>
            </c:numRef>
          </c:val>
          <c:smooth val="0"/>
        </c:ser>
        <c:axId val="1386292972"/>
        <c:axId val="815287956"/>
      </c:lineChart>
      <c:catAx>
        <c:axId val="138629297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15287956"/>
      </c:catAx>
      <c:valAx>
        <c:axId val="8152879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86292972"/>
      </c:valAx>
    </c:plotArea>
    <c:legend>
      <c:legendPos val="r"/>
      <c:overlay val="0"/>
      <c:txPr>
        <a:bodyPr/>
        <a:lstStyle/>
        <a:p>
          <a:pPr lvl="0">
            <a:defRPr b="0">
              <a:solidFill>
                <a:srgbClr val="000000"/>
              </a:solidFill>
              <a:latin typeface="Roboto"/>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Upstream)'!$B$241</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Upstream)'!$C$241:$J$241</c:f>
              <c:numCache/>
            </c:numRef>
          </c:yVal>
        </c:ser>
        <c:dLbls>
          <c:showLegendKey val="0"/>
          <c:showVal val="0"/>
          <c:showCatName val="0"/>
          <c:showSerName val="0"/>
          <c:showPercent val="0"/>
          <c:showBubbleSize val="0"/>
        </c:dLbls>
        <c:axId val="1647120540"/>
        <c:axId val="1435415022"/>
      </c:scatterChart>
      <c:valAx>
        <c:axId val="164712054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35415022"/>
      </c:valAx>
      <c:valAx>
        <c:axId val="14354150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47120540"/>
      </c:valAx>
    </c:plotArea>
    <c:legend>
      <c:legendPos val="r"/>
      <c:overlay val="0"/>
      <c:txPr>
        <a:bodyPr/>
        <a:lstStyle/>
        <a:p>
          <a:pPr lvl="0">
            <a:defRPr b="0">
              <a:solidFill>
                <a:srgbClr val="000000"/>
              </a:solidFill>
              <a:latin typeface="Roboto"/>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Upstream)'!$B$239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Upstream)'!$C$239:$J$239</c:f>
              <c:numCache/>
            </c:numRef>
          </c:yVal>
        </c:ser>
        <c:dLbls>
          <c:showLegendKey val="0"/>
          <c:showVal val="0"/>
          <c:showCatName val="0"/>
          <c:showSerName val="0"/>
          <c:showPercent val="0"/>
          <c:showBubbleSize val="0"/>
        </c:dLbls>
        <c:axId val="1060847406"/>
        <c:axId val="2139759517"/>
      </c:scatterChart>
      <c:valAx>
        <c:axId val="106084740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39759517"/>
      </c:valAx>
      <c:valAx>
        <c:axId val="21397595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60847406"/>
      </c:valAx>
    </c:plotArea>
    <c:legend>
      <c:legendPos val="r"/>
      <c:overlay val="0"/>
      <c:txPr>
        <a:bodyPr/>
        <a:lstStyle/>
        <a:p>
          <a:pPr lvl="0">
            <a:defRPr b="0">
              <a:solidFill>
                <a:srgbClr val="000000"/>
              </a:solidFill>
              <a:latin typeface="Roboto"/>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Upstream)'!$B$240</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Upstream)'!$C$240:$J$240</c:f>
              <c:numCache/>
            </c:numRef>
          </c:yVal>
        </c:ser>
        <c:dLbls>
          <c:showLegendKey val="0"/>
          <c:showVal val="0"/>
          <c:showCatName val="0"/>
          <c:showSerName val="0"/>
          <c:showPercent val="0"/>
          <c:showBubbleSize val="0"/>
        </c:dLbls>
        <c:axId val="430816353"/>
        <c:axId val="553635939"/>
      </c:scatterChart>
      <c:valAx>
        <c:axId val="43081635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53635939"/>
      </c:valAx>
      <c:valAx>
        <c:axId val="5536359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30816353"/>
      </c:valAx>
    </c:plotArea>
    <c:legend>
      <c:legendPos val="r"/>
      <c:overlay val="0"/>
      <c:txPr>
        <a:bodyPr/>
        <a:lstStyle/>
        <a:p>
          <a:pPr lvl="0">
            <a:defRPr b="0">
              <a:solidFill>
                <a:srgbClr val="000000"/>
              </a:solidFill>
              <a:latin typeface="Roboto"/>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All wells ($million)</a:t>
            </a:r>
          </a:p>
        </c:rich>
      </c:tx>
      <c:overlay val="0"/>
    </c:title>
    <c:plotArea>
      <c:layout/>
      <c:lineChart>
        <c:ser>
          <c:idx val="0"/>
          <c:order val="0"/>
          <c:tx>
            <c:strRef>
              <c:f>'Assumptions (O&amp;G Upstream)'!$B$238</c:f>
            </c:strRef>
          </c:tx>
          <c:spPr>
            <a:ln cmpd="sng">
              <a:solidFill>
                <a:srgbClr val="4285F4"/>
              </a:solidFill>
            </a:ln>
          </c:spPr>
          <c:marker>
            <c:symbol val="none"/>
          </c:marker>
          <c:cat>
            <c:strRef>
              <c:f>'Assumptions (O&amp;G Upstream)'!$C$237:$S$237</c:f>
            </c:strRef>
          </c:cat>
          <c:val>
            <c:numRef>
              <c:f>'Assumptions (O&amp;G Upstream)'!$C$238:$S$238</c:f>
              <c:numCache/>
            </c:numRef>
          </c:val>
          <c:smooth val="0"/>
        </c:ser>
        <c:ser>
          <c:idx val="1"/>
          <c:order val="1"/>
          <c:tx>
            <c:strRef>
              <c:f>'Assumptions (O&amp;G Upstream)'!$B$254</c:f>
            </c:strRef>
          </c:tx>
          <c:spPr>
            <a:ln cmpd="sng">
              <a:solidFill>
                <a:srgbClr val="DB4437"/>
              </a:solidFill>
            </a:ln>
          </c:spPr>
          <c:marker>
            <c:symbol val="none"/>
          </c:marker>
          <c:cat>
            <c:strRef>
              <c:f>'Assumptions (O&amp;G Upstream)'!$C$237:$S$237</c:f>
            </c:strRef>
          </c:cat>
          <c:val>
            <c:numRef>
              <c:f>'Assumptions (O&amp;G Upstream)'!$C$254:$U$254</c:f>
              <c:numCache/>
            </c:numRef>
          </c:val>
          <c:smooth val="0"/>
        </c:ser>
        <c:ser>
          <c:idx val="2"/>
          <c:order val="2"/>
          <c:tx>
            <c:strRef>
              <c:f>'Assumptions (O&amp;G Upstream)'!$B$256</c:f>
            </c:strRef>
          </c:tx>
          <c:spPr>
            <a:ln cmpd="sng">
              <a:solidFill>
                <a:srgbClr val="F4B400"/>
              </a:solidFill>
            </a:ln>
          </c:spPr>
          <c:marker>
            <c:symbol val="none"/>
          </c:marker>
          <c:cat>
            <c:strRef>
              <c:f>'Assumptions (O&amp;G Upstream)'!$C$237:$S$237</c:f>
            </c:strRef>
          </c:cat>
          <c:val>
            <c:numRef>
              <c:f>'Assumptions (O&amp;G Upstream)'!$C$256:$S$256</c:f>
              <c:numCache/>
            </c:numRef>
          </c:val>
          <c:smooth val="0"/>
        </c:ser>
        <c:axId val="31708193"/>
        <c:axId val="1904152033"/>
      </c:lineChart>
      <c:catAx>
        <c:axId val="3170819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904152033"/>
      </c:catAx>
      <c:valAx>
        <c:axId val="19041520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All wells ($million)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1708193"/>
      </c:valAx>
    </c:plotArea>
    <c:legend>
      <c:legendPos val="r"/>
      <c:overlay val="0"/>
      <c:txPr>
        <a:bodyPr/>
        <a:lstStyle/>
        <a:p>
          <a:pPr lvl="0">
            <a:defRPr b="0">
              <a:solidFill>
                <a:srgbClr val="000000"/>
              </a:solidFill>
              <a:latin typeface="Roboto"/>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CAPEX</a:t>
            </a:r>
          </a:p>
        </c:rich>
      </c:tx>
      <c:overlay val="0"/>
    </c:title>
    <c:plotArea>
      <c:layout/>
      <c:lineChart>
        <c:ser>
          <c:idx val="0"/>
          <c:order val="0"/>
          <c:tx>
            <c:strRef>
              <c:f>'Assumptions (O&amp;G Upstream)'!$B$305</c:f>
            </c:strRef>
          </c:tx>
          <c:spPr>
            <a:ln cmpd="sng">
              <a:solidFill>
                <a:srgbClr val="4285F4"/>
              </a:solidFill>
            </a:ln>
          </c:spPr>
          <c:marker>
            <c:symbol val="none"/>
          </c:marker>
          <c:cat>
            <c:strRef>
              <c:f>'Assumptions (O&amp;G Upstream)'!$C$304:$U$304</c:f>
            </c:strRef>
          </c:cat>
          <c:val>
            <c:numRef>
              <c:f>'Assumptions (O&amp;G Upstream)'!$C$305:$T$305</c:f>
              <c:numCache/>
            </c:numRef>
          </c:val>
          <c:smooth val="0"/>
        </c:ser>
        <c:ser>
          <c:idx val="2"/>
          <c:order val="2"/>
          <c:tx>
            <c:strRef>
              <c:f>'Assumptions (O&amp;G Upstream)'!$B$309</c:f>
            </c:strRef>
          </c:tx>
          <c:spPr>
            <a:ln cmpd="sng">
              <a:solidFill>
                <a:srgbClr val="F4B400"/>
              </a:solidFill>
            </a:ln>
          </c:spPr>
          <c:marker>
            <c:symbol val="none"/>
          </c:marker>
          <c:cat>
            <c:strRef>
              <c:f>'Assumptions (O&amp;G Upstream)'!$C$304:$U$304</c:f>
            </c:strRef>
          </c:cat>
          <c:val>
            <c:numRef>
              <c:f>'Assumptions (O&amp;G Upstream)'!$C$309:$T$309</c:f>
              <c:numCache/>
            </c:numRef>
          </c:val>
          <c:smooth val="0"/>
        </c:ser>
        <c:ser>
          <c:idx val="3"/>
          <c:order val="3"/>
          <c:tx>
            <c:strRef>
              <c:f>'Assumptions (O&amp;G Upstream)'!$B$300</c:f>
            </c:strRef>
          </c:tx>
          <c:spPr>
            <a:ln cmpd="sng">
              <a:solidFill>
                <a:srgbClr val="0F9D58"/>
              </a:solidFill>
            </a:ln>
          </c:spPr>
          <c:marker>
            <c:symbol val="none"/>
          </c:marker>
          <c:cat>
            <c:strRef>
              <c:f>'Assumptions (O&amp;G Upstream)'!$C$304:$U$304</c:f>
            </c:strRef>
          </c:cat>
          <c:val>
            <c:numRef>
              <c:f>'Assumptions (O&amp;G Upstream)'!$C$300:$U$300</c:f>
              <c:numCache/>
            </c:numRef>
          </c:val>
          <c:smooth val="0"/>
        </c:ser>
        <c:axId val="888644161"/>
        <c:axId val="1283688167"/>
      </c:lineChart>
      <c:catAx>
        <c:axId val="88864416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83688167"/>
      </c:catAx>
      <c:valAx>
        <c:axId val="1283688167"/>
        <c:scaling>
          <c:orientation val="minMax"/>
          <c:max val="25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Investment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88644161"/>
      </c:valAx>
      <c:lineChart>
        <c:varyColors val="0"/>
        <c:ser>
          <c:idx val="1"/>
          <c:order val="1"/>
          <c:tx>
            <c:strRef>
              <c:f>'Assumptions (O&amp;G Upstream)'!$B$306</c:f>
            </c:strRef>
          </c:tx>
          <c:spPr>
            <a:ln cmpd="sng">
              <a:solidFill>
                <a:srgbClr val="DB4437"/>
              </a:solidFill>
            </a:ln>
          </c:spPr>
          <c:marker>
            <c:symbol val="none"/>
          </c:marker>
          <c:cat>
            <c:strRef>
              <c:f>'Assumptions (O&amp;G Upstream)'!$C$304:$U$304</c:f>
            </c:strRef>
          </c:cat>
          <c:val>
            <c:numRef>
              <c:f>'Assumptions (O&amp;G Upstream)'!$C$306:$T$306</c:f>
              <c:numCache/>
            </c:numRef>
          </c:val>
          <c:smooth val="0"/>
        </c:ser>
        <c:axId val="1360825465"/>
        <c:axId val="352897475"/>
      </c:lineChart>
      <c:catAx>
        <c:axId val="1360825465"/>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352897475"/>
      </c:catAx>
      <c:valAx>
        <c:axId val="352897475"/>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60825465"/>
        <c:crosses val="max"/>
      </c:valAx>
    </c:plotArea>
    <c:legend>
      <c:legendPos val="r"/>
      <c:overlay val="0"/>
      <c:txPr>
        <a:bodyPr/>
        <a:lstStyle/>
        <a:p>
          <a:pPr lvl="0">
            <a:defRPr b="0">
              <a:solidFill>
                <a:srgbClr val="000000"/>
              </a:solidFill>
              <a:latin typeface="Roboto"/>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Upstream)'!$C$309:$T$309</c:f>
            </c:numRef>
          </c:xVal>
          <c:yVal>
            <c:numRef>
              <c:f>'Assumptions (O&amp;G Upstream)'!$C$305:$T$305</c:f>
              <c:numCache/>
            </c:numRef>
          </c:yVal>
        </c:ser>
        <c:dLbls>
          <c:showLegendKey val="0"/>
          <c:showVal val="0"/>
          <c:showCatName val="0"/>
          <c:showSerName val="0"/>
          <c:showPercent val="0"/>
          <c:showBubbleSize val="0"/>
        </c:dLbls>
        <c:axId val="1935909080"/>
        <c:axId val="1737699411"/>
      </c:scatterChart>
      <c:valAx>
        <c:axId val="193590908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37699411"/>
      </c:valAx>
      <c:valAx>
        <c:axId val="17376994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35909080"/>
      </c:valAx>
    </c:plotArea>
    <c:legend>
      <c:legendPos val="r"/>
      <c:overlay val="0"/>
      <c:txPr>
        <a:bodyPr/>
        <a:lstStyle/>
        <a:p>
          <a:pPr lvl="0">
            <a:defRPr b="0">
              <a:solidFill>
                <a:srgbClr val="000000"/>
              </a:solidFill>
              <a:latin typeface="Roboto"/>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Upstream)'!$C$308:$T$308</c:f>
            </c:numRef>
          </c:xVal>
          <c:yVal>
            <c:numRef>
              <c:f>'Assumptions (O&amp;G Upstream)'!$C$305:$T$305</c:f>
              <c:numCache/>
            </c:numRef>
          </c:yVal>
        </c:ser>
        <c:dLbls>
          <c:showLegendKey val="0"/>
          <c:showVal val="0"/>
          <c:showCatName val="0"/>
          <c:showSerName val="0"/>
          <c:showPercent val="0"/>
          <c:showBubbleSize val="0"/>
        </c:dLbls>
        <c:axId val="1867484881"/>
        <c:axId val="283058905"/>
      </c:scatterChart>
      <c:valAx>
        <c:axId val="186748488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83058905"/>
      </c:valAx>
      <c:valAx>
        <c:axId val="2830589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67484881"/>
      </c:valAx>
    </c:plotArea>
    <c:legend>
      <c:legendPos val="r"/>
      <c:overlay val="0"/>
      <c:txPr>
        <a:bodyPr/>
        <a:lstStyle/>
        <a:p>
          <a:pPr lvl="0">
            <a:defRPr b="0">
              <a:solidFill>
                <a:srgbClr val="000000"/>
              </a:solidFill>
              <a:latin typeface="Roboto"/>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val>
            <c:numRef>
              <c:f>'Assumptions (O&amp;G Upstream)'!$M$180:$U$180</c:f>
              <c:numCache/>
            </c:numRef>
          </c:val>
          <c:smooth val="0"/>
        </c:ser>
        <c:ser>
          <c:idx val="1"/>
          <c:order val="1"/>
          <c:spPr>
            <a:ln cmpd="sng">
              <a:solidFill>
                <a:srgbClr val="DB4437"/>
              </a:solidFill>
            </a:ln>
          </c:spPr>
          <c:marker>
            <c:symbol val="none"/>
          </c:marker>
          <c:val>
            <c:numRef>
              <c:f>'Assumptions (O&amp;G Upstream)'!$B$253</c:f>
              <c:numCache/>
            </c:numRef>
          </c:val>
          <c:smooth val="0"/>
        </c:ser>
        <c:axId val="1048617344"/>
        <c:axId val="1415503231"/>
      </c:lineChart>
      <c:catAx>
        <c:axId val="104861734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15503231"/>
      </c:catAx>
      <c:valAx>
        <c:axId val="1415503231"/>
        <c:scaling>
          <c:orientation val="minMax"/>
          <c:min val="1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48617344"/>
      </c:valAx>
    </c:plotArea>
    <c:legend>
      <c:legendPos val="r"/>
      <c:overlay val="0"/>
      <c:txPr>
        <a:bodyPr/>
        <a:lstStyle/>
        <a:p>
          <a:pPr lvl="0">
            <a:defRPr b="0">
              <a:solidFill>
                <a:srgbClr val="000000"/>
              </a:solidFill>
              <a:latin typeface="Roboto"/>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Upstream)'!$B$188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Upstream)'!$C$308:$U$308</c:f>
            </c:numRef>
          </c:xVal>
          <c:yVal>
            <c:numRef>
              <c:f>'Assumptions (O&amp;G Upstream)'!$C$188:$U$188</c:f>
              <c:numCache/>
            </c:numRef>
          </c:yVal>
        </c:ser>
        <c:dLbls>
          <c:showLegendKey val="0"/>
          <c:showVal val="0"/>
          <c:showCatName val="0"/>
          <c:showSerName val="0"/>
          <c:showPercent val="0"/>
          <c:showBubbleSize val="0"/>
        </c:dLbls>
        <c:axId val="1163879775"/>
        <c:axId val="822003683"/>
      </c:scatterChart>
      <c:valAx>
        <c:axId val="116387977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production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22003683"/>
      </c:valAx>
      <c:valAx>
        <c:axId val="8220036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63879775"/>
      </c:valAx>
    </c:plotArea>
    <c:legend>
      <c:legendPos val="r"/>
      <c:overlay val="0"/>
      <c:txPr>
        <a:bodyPr/>
        <a:lstStyle/>
        <a:p>
          <a:pPr lvl="0">
            <a:defRPr b="0">
              <a:solidFill>
                <a:srgbClr val="000000"/>
              </a:solidFill>
              <a:latin typeface="Roboto"/>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plotArea>
      <c:layout/>
      <c:scatterChart>
        <c:scatterStyle val="lineMarker"/>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Upstream)'!$J$312:$U$312</c:f>
            </c:numRef>
          </c:xVal>
          <c:yVal>
            <c:numRef>
              <c:f>'Assumptions (O&amp;G Upstream)'!$J$314:$U$314</c:f>
              <c:numCache/>
            </c:numRef>
          </c:yVal>
        </c:ser>
        <c:ser>
          <c:idx val="1"/>
          <c:order val="1"/>
          <c:spPr>
            <a:ln>
              <a:noFill/>
            </a:ln>
          </c:spPr>
          <c:marker>
            <c:symbol val="circle"/>
            <c:size val="7"/>
            <c:spPr>
              <a:solidFill>
                <a:srgbClr val="DB4437"/>
              </a:solidFill>
              <a:ln cmpd="sng">
                <a:solidFill>
                  <a:srgbClr val="DB4437"/>
                </a:solidFill>
              </a:ln>
            </c:spPr>
          </c:marker>
          <c:xVal>
            <c:numRef>
              <c:f>'Assumptions (O&amp;G Upstream)'!$J$312:$U$312</c:f>
            </c:numRef>
          </c:xVal>
          <c:yVal>
            <c:numRef>
              <c:f>'Assumptions (O&amp;G Upstream)'!$J$315:$U$315</c:f>
              <c:numCache/>
            </c:numRef>
          </c:yVal>
        </c:ser>
        <c:ser>
          <c:idx val="2"/>
          <c:order val="2"/>
          <c:spPr>
            <a:ln>
              <a:noFill/>
            </a:ln>
          </c:spPr>
          <c:marker>
            <c:symbol val="circle"/>
            <c:size val="7"/>
            <c:spPr>
              <a:solidFill>
                <a:srgbClr val="F4B400"/>
              </a:solidFill>
              <a:ln cmpd="sng">
                <a:solidFill>
                  <a:srgbClr val="F4B400"/>
                </a:solidFill>
              </a:ln>
            </c:spPr>
          </c:marker>
          <c:xVal>
            <c:numRef>
              <c:f>'Assumptions (O&amp;G Upstream)'!$J$312:$U$312</c:f>
            </c:numRef>
          </c:xVal>
          <c:yVal>
            <c:numRef>
              <c:f>'Assumptions (O&amp;G Upstream)'!$J$316:$U$316</c:f>
              <c:numCache/>
            </c:numRef>
          </c:yVal>
        </c:ser>
        <c:ser>
          <c:idx val="3"/>
          <c:order val="3"/>
          <c:spPr>
            <a:ln>
              <a:noFill/>
            </a:ln>
          </c:spPr>
          <c:marker>
            <c:symbol val="circle"/>
            <c:size val="7"/>
            <c:spPr>
              <a:solidFill>
                <a:srgbClr val="0F9D58"/>
              </a:solidFill>
              <a:ln cmpd="sng">
                <a:solidFill>
                  <a:srgbClr val="0F9D58"/>
                </a:solidFill>
              </a:ln>
            </c:spPr>
          </c:marker>
          <c:xVal>
            <c:numRef>
              <c:f>'Assumptions (O&amp;G Upstream)'!$J$312:$U$312</c:f>
            </c:numRef>
          </c:xVal>
          <c:yVal>
            <c:numRef>
              <c:f>'Assumptions (O&amp;G Upstream)'!$J$317:$U$317</c:f>
              <c:numCache/>
            </c:numRef>
          </c:yVal>
        </c:ser>
        <c:ser>
          <c:idx val="4"/>
          <c:order val="4"/>
          <c:spPr>
            <a:ln>
              <a:noFill/>
            </a:ln>
          </c:spPr>
          <c:marker>
            <c:symbol val="circle"/>
            <c:size val="7"/>
            <c:spPr>
              <a:solidFill>
                <a:srgbClr val="FF6D00"/>
              </a:solidFill>
              <a:ln cmpd="sng">
                <a:solidFill>
                  <a:srgbClr val="FF6D00"/>
                </a:solidFill>
              </a:ln>
            </c:spPr>
          </c:marker>
          <c:xVal>
            <c:numRef>
              <c:f>'Assumptions (O&amp;G Upstream)'!$J$312:$U$312</c:f>
            </c:numRef>
          </c:xVal>
          <c:yVal>
            <c:numRef>
              <c:f>'Assumptions (O&amp;G Upstream)'!$J$318:$U$318</c:f>
              <c:numCache/>
            </c:numRef>
          </c:yVal>
        </c:ser>
        <c:dLbls>
          <c:showLegendKey val="0"/>
          <c:showVal val="0"/>
          <c:showCatName val="0"/>
          <c:showSerName val="0"/>
          <c:showPercent val="0"/>
          <c:showBubbleSize val="0"/>
        </c:dLbls>
        <c:axId val="1672801702"/>
        <c:axId val="903617076"/>
      </c:scatterChart>
      <c:valAx>
        <c:axId val="167280170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03617076"/>
      </c:valAx>
      <c:valAx>
        <c:axId val="9036170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72801702"/>
      </c:valAx>
    </c:plotArea>
    <c:legend>
      <c:legendPos val="r"/>
      <c:overlay val="0"/>
      <c:txPr>
        <a:bodyPr/>
        <a:lstStyle/>
        <a:p>
          <a:pPr lvl="0">
            <a:defRPr b="0">
              <a:solidFill>
                <a:srgbClr val="000000"/>
              </a:solidFill>
              <a:latin typeface="Roboto"/>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Percent share of upgrade/replace</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old'!$B$18:$R$18</c:f>
              <c:numCache/>
            </c:numRef>
          </c:val>
          <c:smooth val="0"/>
        </c:ser>
        <c:axId val="803558277"/>
        <c:axId val="944804086"/>
      </c:lineChart>
      <c:catAx>
        <c:axId val="80355827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944804086"/>
      </c:catAx>
      <c:valAx>
        <c:axId val="944804086"/>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803558277"/>
      </c:valAx>
      <c:spPr>
        <a:solidFill>
          <a:srgbClr val="FFFFFF"/>
        </a:solidFill>
      </c:spPr>
    </c:plotArea>
    <c:plotVisOnly val="1"/>
  </c:chart>
  <c:spPr>
    <a:solidFill>
      <a:srgbClr val="FFFFFF"/>
    </a:solidFill>
  </c:spPr>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Slide 9 Brattle EUCI 2017</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old'!$B$17:$AR$17</c:f>
              <c:numCache/>
            </c:numRef>
          </c:val>
          <c:smooth val="0"/>
        </c:ser>
        <c:axId val="1789903418"/>
        <c:axId val="1723435719"/>
      </c:lineChart>
      <c:catAx>
        <c:axId val="178990341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723435719"/>
      </c:catAx>
      <c:valAx>
        <c:axId val="1723435719"/>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789903418"/>
      </c:valAx>
      <c:spPr>
        <a:solidFill>
          <a:srgbClr val="FFFFFF"/>
        </a:solidFill>
      </c:spPr>
    </c:plotArea>
    <c:plotVisOnly val="1"/>
  </c:chart>
  <c:spPr>
    <a:solidFill>
      <a:srgbClr val="FFFFFF"/>
    </a:solidFill>
  </c:spPr>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IMPLIED T Inv other than upgrades &amp; rens</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old'!$B$23:$R$23</c:f>
              <c:numCache/>
            </c:numRef>
          </c:val>
          <c:smooth val="0"/>
        </c:ser>
        <c:axId val="1701033937"/>
        <c:axId val="564198482"/>
      </c:lineChart>
      <c:catAx>
        <c:axId val="170103393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564198482"/>
      </c:catAx>
      <c:valAx>
        <c:axId val="564198482"/>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701033937"/>
      </c:valAx>
      <c:spPr>
        <a:solidFill>
          <a:srgbClr val="FFFFFF"/>
        </a:solidFill>
      </c:spPr>
    </c:plotArea>
    <c:plotVisOnly val="1"/>
  </c:chart>
  <c:spPr>
    <a:solidFill>
      <a:srgbClr val="FFFFFF"/>
    </a:solidFill>
  </c:spPr>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Total T Inv</a:t>
            </a:r>
          </a:p>
        </c:rich>
      </c:tx>
      <c:overlay val="0"/>
    </c:title>
    <c:plotArea>
      <c:layout/>
      <c:lineChart>
        <c:ser>
          <c:idx val="0"/>
          <c:order val="0"/>
          <c:spPr>
            <a:ln cmpd="sng" w="28575">
              <a:solidFill>
                <a:srgbClr val="5B9BD5">
                  <a:alpha val="100000"/>
                </a:srgbClr>
              </a:solidFill>
              <a:prstDash val="solid"/>
            </a:ln>
          </c:spPr>
          <c:marker>
            <c:symbol val="none"/>
          </c:marker>
          <c:val>
            <c:numRef>
              <c:f>'Assumptions (T&amp;D) old'!$B$15:$AZ$15</c:f>
              <c:numCache/>
            </c:numRef>
          </c:val>
          <c:smooth val="0"/>
        </c:ser>
        <c:ser>
          <c:idx val="1"/>
          <c:order val="1"/>
          <c:spPr>
            <a:ln cmpd="sng">
              <a:solidFill>
                <a:srgbClr val="DC3912"/>
              </a:solidFill>
            </a:ln>
          </c:spPr>
          <c:marker>
            <c:symbol val="none"/>
          </c:marker>
          <c:val>
            <c:numRef>
              <c:f>'Assumptions (T&amp;D) old'!$B$16:$AZ$16</c:f>
              <c:numCache/>
            </c:numRef>
          </c:val>
          <c:smooth val="0"/>
        </c:ser>
        <c:axId val="1683674935"/>
        <c:axId val="1814757905"/>
      </c:lineChart>
      <c:catAx>
        <c:axId val="168367493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814757905"/>
      </c:catAx>
      <c:valAx>
        <c:axId val="1814757905"/>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683674935"/>
      </c:valAx>
      <c:spPr>
        <a:solidFill>
          <a:srgbClr val="FFFFFF"/>
        </a:solidFill>
      </c:spPr>
    </c:plotArea>
    <c:plotVisOnly val="1"/>
  </c:chart>
  <c:spPr>
    <a:solidFill>
      <a:srgbClr val="FFFFFF"/>
    </a:solidFill>
  </c:spPr>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Maintenance &amp;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xVal>
            <c:numRef>
              <c:f>'Assumptions (T&amp;D) old'!$B$15:$R$15</c:f>
            </c:numRef>
          </c:xVal>
          <c:yVal>
            <c:numRef>
              <c:f>'Assumptions (T&amp;D) old'!$B$3:$R$3</c:f>
              <c:numCache/>
            </c:numRef>
          </c:yVal>
        </c:ser>
        <c:dLbls>
          <c:showLegendKey val="0"/>
          <c:showVal val="0"/>
          <c:showCatName val="0"/>
          <c:showSerName val="0"/>
          <c:showPercent val="0"/>
          <c:showBubbleSize val="0"/>
        </c:dLbls>
        <c:axId val="1284940472"/>
        <c:axId val="1489674193"/>
      </c:scatterChart>
      <c:valAx>
        <c:axId val="1284940472"/>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489674193"/>
      </c:valAx>
      <c:valAx>
        <c:axId val="1489674193"/>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284940472"/>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Reg Mkt Op Total T</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xVal>
            <c:numRef>
              <c:f>'Assumptions (T&amp;D) old'!$H$15:$R$15</c:f>
            </c:numRef>
          </c:xVal>
          <c:yVal>
            <c:numRef>
              <c:f>'Assumptions (T&amp;D) old'!$H$6:$R$6</c:f>
              <c:numCache/>
            </c:numRef>
          </c:yVal>
        </c:ser>
        <c:dLbls>
          <c:showLegendKey val="0"/>
          <c:showVal val="0"/>
          <c:showCatName val="0"/>
          <c:showSerName val="0"/>
          <c:showPercent val="0"/>
          <c:showBubbleSize val="0"/>
        </c:dLbls>
        <c:axId val="1903035438"/>
        <c:axId val="1089660624"/>
      </c:scatterChart>
      <c:valAx>
        <c:axId val="1903035438"/>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089660624"/>
      </c:valAx>
      <c:valAx>
        <c:axId val="1089660624"/>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903035438"/>
      </c:valAx>
      <c:spPr>
        <a:solidFill>
          <a:srgbClr val="FFFFFF"/>
        </a:solidFill>
      </c:spPr>
    </c:plotArea>
    <c:plotVisOnly val="1"/>
  </c:chart>
  <c:spPr>
    <a:solidFill>
      <a:srgbClr val="FFFFFF"/>
    </a:solidFill>
  </c:spPr>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Operation&amp;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trendline>
            <c:name/>
            <c:spPr>
              <a:ln w="19050">
                <a:solidFill>
                  <a:srgbClr val="DC3912"/>
                </a:solidFill>
              </a:ln>
            </c:spPr>
            <c:trendlineType val="exp"/>
            <c:dispRSqr val="0"/>
            <c:dispEq val="1"/>
          </c:trendline>
          <c:xVal>
            <c:numRef>
              <c:f>'Assumptions (T&amp;D) old'!$B$15:$R$15</c:f>
            </c:numRef>
          </c:xVal>
          <c:yVal>
            <c:numRef>
              <c:f>'Assumptions (T&amp;D) old'!$B$4:$R$4</c:f>
              <c:numCache/>
            </c:numRef>
          </c:yVal>
        </c:ser>
        <c:dLbls>
          <c:showLegendKey val="0"/>
          <c:showVal val="0"/>
          <c:showCatName val="0"/>
          <c:showSerName val="0"/>
          <c:showPercent val="0"/>
          <c:showBubbleSize val="0"/>
        </c:dLbls>
        <c:axId val="179800915"/>
        <c:axId val="4377184"/>
      </c:scatterChart>
      <c:valAx>
        <c:axId val="179800915"/>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4377184"/>
      </c:valAx>
      <c:valAx>
        <c:axId val="4377184"/>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79800915"/>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old'!$A$63</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old'!$B$63:$S$63</c:f>
              <c:numCache/>
            </c:numRef>
          </c:yVal>
        </c:ser>
        <c:dLbls>
          <c:showLegendKey val="0"/>
          <c:showVal val="0"/>
          <c:showCatName val="0"/>
          <c:showSerName val="0"/>
          <c:showPercent val="0"/>
          <c:showBubbleSize val="0"/>
        </c:dLbls>
        <c:axId val="1337949519"/>
        <c:axId val="894671526"/>
      </c:scatterChart>
      <c:valAx>
        <c:axId val="133794951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94671526"/>
      </c:valAx>
      <c:valAx>
        <c:axId val="8946715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37949519"/>
      </c:valAx>
    </c:plotArea>
    <c:legend>
      <c:legendPos val="r"/>
      <c:overlay val="0"/>
      <c:txPr>
        <a:bodyPr/>
        <a:lstStyle/>
        <a:p>
          <a:pPr lvl="0">
            <a:defRPr b="0">
              <a:solidFill>
                <a:srgbClr val="000000"/>
              </a:solidFill>
              <a:latin typeface="Roboto"/>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ser>
          <c:idx val="0"/>
          <c:order val="0"/>
          <c:tx>
            <c:strRef>
              <c:f>'Assumptions (T&amp;D) old'!$A$15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old'!$B$15:$R$15</c:f>
              <c:numCache/>
            </c:numRef>
          </c:yVal>
        </c:ser>
        <c:ser>
          <c:idx val="1"/>
          <c:order val="1"/>
          <c:tx>
            <c:strRef>
              <c:f>'Assumptions (T&amp;D) old'!$A$16</c:f>
            </c:strRef>
          </c:tx>
          <c:spPr>
            <a:ln>
              <a:noFill/>
            </a:ln>
          </c:spPr>
          <c:marker>
            <c:symbol val="circle"/>
            <c:size val="7"/>
            <c:spPr>
              <a:solidFill>
                <a:srgbClr val="DB4437"/>
              </a:solidFill>
              <a:ln cmpd="sng">
                <a:solidFill>
                  <a:srgbClr val="DB4437"/>
                </a:solidFill>
              </a:ln>
            </c:spPr>
          </c:marker>
          <c:xVal>
            <c:numRef>
              <c:f>'Assumptions (T&amp;D) old'!$B$96:$S$96</c:f>
            </c:numRef>
          </c:xVal>
          <c:yVal>
            <c:numRef>
              <c:f>'Assumptions (T&amp;D) old'!$B$16:$R$16</c:f>
              <c:numCache/>
            </c:numRef>
          </c:yVal>
        </c:ser>
        <c:dLbls>
          <c:showLegendKey val="0"/>
          <c:showVal val="0"/>
          <c:showCatName val="0"/>
          <c:showSerName val="0"/>
          <c:showPercent val="0"/>
          <c:showBubbleSize val="0"/>
        </c:dLbls>
        <c:axId val="1509421560"/>
        <c:axId val="831919883"/>
      </c:scatterChart>
      <c:valAx>
        <c:axId val="150942156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31919883"/>
      </c:valAx>
      <c:valAx>
        <c:axId val="8319198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09421560"/>
      </c:valAx>
    </c:plotArea>
    <c:legend>
      <c:legendPos val="r"/>
      <c:overlay val="0"/>
      <c:txPr>
        <a:bodyPr/>
        <a:lstStyle/>
        <a:p>
          <a:pPr lvl="0">
            <a:defRPr b="0">
              <a:solidFill>
                <a:srgbClr val="000000"/>
              </a:solidFill>
              <a:latin typeface="Roboto"/>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old'!$A$60</c:f>
            </c:strRef>
          </c:tx>
          <c:spPr>
            <a:ln cmpd="sng">
              <a:solidFill>
                <a:srgbClr val="4285F4"/>
              </a:solidFill>
            </a:ln>
          </c:spPr>
          <c:marker>
            <c:symbol val="none"/>
          </c:marker>
          <c:val>
            <c:numRef>
              <c:f>'Assumptions (T&amp;D) old'!$B$60:$AZ$60</c:f>
              <c:numCache/>
            </c:numRef>
          </c:val>
          <c:smooth val="0"/>
        </c:ser>
        <c:ser>
          <c:idx val="1"/>
          <c:order val="1"/>
          <c:tx>
            <c:strRef>
              <c:f>'Assumptions (T&amp;D) old'!$A$61</c:f>
            </c:strRef>
          </c:tx>
          <c:spPr>
            <a:ln cmpd="sng">
              <a:solidFill>
                <a:srgbClr val="DB4437"/>
              </a:solidFill>
            </a:ln>
          </c:spPr>
          <c:marker>
            <c:symbol val="none"/>
          </c:marker>
          <c:val>
            <c:numRef>
              <c:f>'Assumptions (T&amp;D) old'!$B$61:$AZ$61</c:f>
              <c:numCache/>
            </c:numRef>
          </c:val>
          <c:smooth val="0"/>
        </c:ser>
        <c:ser>
          <c:idx val="2"/>
          <c:order val="2"/>
          <c:tx>
            <c:strRef>
              <c:f>'Assumptions (T&amp;D) old'!$A$62</c:f>
            </c:strRef>
          </c:tx>
          <c:spPr>
            <a:ln cmpd="sng">
              <a:solidFill>
                <a:srgbClr val="F4B400"/>
              </a:solidFill>
            </a:ln>
          </c:spPr>
          <c:marker>
            <c:symbol val="none"/>
          </c:marker>
          <c:val>
            <c:numRef>
              <c:f>'Assumptions (T&amp;D) old'!$B$62:$AZ$62</c:f>
              <c:numCache/>
            </c:numRef>
          </c:val>
          <c:smooth val="0"/>
        </c:ser>
        <c:ser>
          <c:idx val="3"/>
          <c:order val="3"/>
          <c:tx>
            <c:strRef>
              <c:f>'Assumptions (T&amp;D) old'!$A$63</c:f>
            </c:strRef>
          </c:tx>
          <c:spPr>
            <a:ln cmpd="sng">
              <a:solidFill>
                <a:srgbClr val="0F9D58"/>
              </a:solidFill>
            </a:ln>
          </c:spPr>
          <c:marker>
            <c:symbol val="none"/>
          </c:marker>
          <c:val>
            <c:numRef>
              <c:f>'Assumptions (T&amp;D) old'!$B$63:$AZ$63</c:f>
              <c:numCache/>
            </c:numRef>
          </c:val>
          <c:smooth val="0"/>
        </c:ser>
        <c:ser>
          <c:idx val="4"/>
          <c:order val="4"/>
          <c:tx>
            <c:strRef>
              <c:f>'Assumptions (T&amp;D) old'!$A$64</c:f>
            </c:strRef>
          </c:tx>
          <c:spPr>
            <a:ln cmpd="sng">
              <a:solidFill>
                <a:srgbClr val="FF6D00"/>
              </a:solidFill>
            </a:ln>
          </c:spPr>
          <c:marker>
            <c:symbol val="none"/>
          </c:marker>
          <c:val>
            <c:numRef>
              <c:f>'Assumptions (T&amp;D) old'!$B$64:$AZ$64</c:f>
              <c:numCache/>
            </c:numRef>
          </c:val>
          <c:smooth val="0"/>
        </c:ser>
        <c:ser>
          <c:idx val="5"/>
          <c:order val="5"/>
          <c:tx>
            <c:strRef>
              <c:f>'Assumptions (T&amp;D) old'!$A$65</c:f>
            </c:strRef>
          </c:tx>
          <c:spPr>
            <a:ln cmpd="sng">
              <a:solidFill>
                <a:srgbClr val="46BDC6"/>
              </a:solidFill>
            </a:ln>
          </c:spPr>
          <c:marker>
            <c:symbol val="none"/>
          </c:marker>
          <c:val>
            <c:numRef>
              <c:f>'Assumptions (T&amp;D) old'!$B$65:$AZ$65</c:f>
              <c:numCache/>
            </c:numRef>
          </c:val>
          <c:smooth val="0"/>
        </c:ser>
        <c:ser>
          <c:idx val="6"/>
          <c:order val="6"/>
          <c:tx>
            <c:strRef>
              <c:f>'Assumptions (T&amp;D) old'!$A$66</c:f>
            </c:strRef>
          </c:tx>
          <c:spPr>
            <a:ln cmpd="sng">
              <a:solidFill>
                <a:srgbClr val="AB30C4"/>
              </a:solidFill>
            </a:ln>
          </c:spPr>
          <c:marker>
            <c:symbol val="none"/>
          </c:marker>
          <c:val>
            <c:numRef>
              <c:f>'Assumptions (T&amp;D) old'!$B$66:$AZ$66</c:f>
              <c:numCache/>
            </c:numRef>
          </c:val>
          <c:smooth val="0"/>
        </c:ser>
        <c:ser>
          <c:idx val="7"/>
          <c:order val="7"/>
          <c:tx>
            <c:strRef>
              <c:f>'Assumptions (T&amp;D) old'!$A$67</c:f>
            </c:strRef>
          </c:tx>
          <c:spPr>
            <a:ln cmpd="sng">
              <a:solidFill>
                <a:srgbClr val="C1BC1F"/>
              </a:solidFill>
            </a:ln>
          </c:spPr>
          <c:marker>
            <c:symbol val="none"/>
          </c:marker>
          <c:val>
            <c:numRef>
              <c:f>'Assumptions (T&amp;D) old'!$B$67:$AZ$67</c:f>
              <c:numCache/>
            </c:numRef>
          </c:val>
          <c:smooth val="0"/>
        </c:ser>
        <c:ser>
          <c:idx val="8"/>
          <c:order val="8"/>
          <c:tx>
            <c:strRef>
              <c:f>'Assumptions (T&amp;D) old'!$A$68</c:f>
            </c:strRef>
          </c:tx>
          <c:spPr>
            <a:ln cmpd="sng">
              <a:solidFill>
                <a:srgbClr val="3949AB"/>
              </a:solidFill>
            </a:ln>
          </c:spPr>
          <c:marker>
            <c:symbol val="none"/>
          </c:marker>
          <c:val>
            <c:numRef>
              <c:f>'Assumptions (T&amp;D) old'!$B$68:$AZ$68</c:f>
              <c:numCache/>
            </c:numRef>
          </c:val>
          <c:smooth val="0"/>
        </c:ser>
        <c:ser>
          <c:idx val="9"/>
          <c:order val="9"/>
          <c:tx>
            <c:strRef>
              <c:f>'Assumptions (T&amp;D) old'!$A$69</c:f>
            </c:strRef>
          </c:tx>
          <c:spPr>
            <a:ln cmpd="sng">
              <a:solidFill>
                <a:srgbClr val="F975A8"/>
              </a:solidFill>
            </a:ln>
          </c:spPr>
          <c:marker>
            <c:symbol val="none"/>
          </c:marker>
          <c:val>
            <c:numRef>
              <c:f>'Assumptions (T&amp;D) old'!$B$69:$AZ$69</c:f>
              <c:numCache/>
            </c:numRef>
          </c:val>
          <c:smooth val="0"/>
        </c:ser>
        <c:ser>
          <c:idx val="10"/>
          <c:order val="10"/>
          <c:tx>
            <c:strRef>
              <c:f>'Assumptions (T&amp;D) old'!$A$71</c:f>
            </c:strRef>
          </c:tx>
          <c:spPr>
            <a:ln cmpd="sng">
              <a:solidFill>
                <a:srgbClr val="00695C"/>
              </a:solidFill>
            </a:ln>
          </c:spPr>
          <c:marker>
            <c:symbol val="none"/>
          </c:marker>
          <c:val>
            <c:numRef>
              <c:f>'Assumptions (T&amp;D) old'!$B$71:$AZ$71</c:f>
              <c:numCache/>
            </c:numRef>
          </c:val>
          <c:smooth val="0"/>
        </c:ser>
        <c:axId val="240559088"/>
        <c:axId val="1712878661"/>
      </c:lineChart>
      <c:catAx>
        <c:axId val="24055908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12878661"/>
      </c:catAx>
      <c:valAx>
        <c:axId val="17128786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40559088"/>
      </c:valAx>
    </c:plotArea>
    <c:legend>
      <c:legendPos val="r"/>
      <c:overlay val="0"/>
      <c:txPr>
        <a:bodyPr/>
        <a:lstStyle/>
        <a:p>
          <a:pPr lvl="0">
            <a:defRPr b="0">
              <a:solidFill>
                <a:srgbClr val="000000"/>
              </a:solidFill>
              <a:latin typeface="Roboto"/>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Delta Total Distribution Capital</a:t>
            </a:r>
          </a:p>
        </c:rich>
      </c:tx>
      <c:overlay val="0"/>
    </c:title>
    <c:plotArea>
      <c:layout/>
      <c:scatterChart>
        <c:scatterStyle val="lineMarker"/>
        <c:varyColors val="0"/>
        <c:ser>
          <c:idx val="0"/>
          <c:order val="0"/>
          <c:tx>
            <c:strRef>
              <c:f>'Assumptions (T&amp;D) old'!$A$76</c:f>
            </c:strRef>
          </c:tx>
          <c:spPr>
            <a:ln>
              <a:noFill/>
            </a:ln>
          </c:spPr>
          <c:marker>
            <c:symbol val="circle"/>
            <c:size val="7"/>
            <c:spPr>
              <a:solidFill>
                <a:srgbClr val="4285F4"/>
              </a:solidFill>
              <a:ln cmpd="sng">
                <a:solidFill>
                  <a:srgbClr val="4285F4"/>
                </a:solidFill>
              </a:ln>
            </c:spPr>
          </c:marker>
          <c:xVal>
            <c:numRef>
              <c:f>'Assumptions (T&amp;D) old'!$B$95:$R$95</c:f>
            </c:numRef>
          </c:xVal>
          <c:yVal>
            <c:numRef>
              <c:f>'Assumptions (T&amp;D) old'!$B$76:$R$76</c:f>
              <c:numCache/>
            </c:numRef>
          </c:yVal>
        </c:ser>
        <c:dLbls>
          <c:showLegendKey val="0"/>
          <c:showVal val="0"/>
          <c:showCatName val="0"/>
          <c:showSerName val="0"/>
          <c:showPercent val="0"/>
          <c:showBubbleSize val="0"/>
        </c:dLbls>
        <c:axId val="692202841"/>
        <c:axId val="131589917"/>
      </c:scatterChart>
      <c:valAx>
        <c:axId val="69220284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1589917"/>
      </c:valAx>
      <c:valAx>
        <c:axId val="1315899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Delta Total Distribution Capital Additions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92202841"/>
      </c:valAx>
    </c:plotArea>
    <c:legend>
      <c:legendPos val="r"/>
      <c:overlay val="0"/>
      <c:txPr>
        <a:bodyPr/>
        <a:lstStyle/>
        <a:p>
          <a:pPr lvl="0">
            <a:defRPr b="0">
              <a:solidFill>
                <a:srgbClr val="000000"/>
              </a:solidFill>
              <a:latin typeface="Roboto"/>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old'!$A$97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old'!$B$96:$R$96</c:f>
            </c:numRef>
          </c:xVal>
          <c:yVal>
            <c:numRef>
              <c:f>'Assumptions (T&amp;D) old'!$B$97:$R$97</c:f>
              <c:numCache/>
            </c:numRef>
          </c:yVal>
        </c:ser>
        <c:dLbls>
          <c:showLegendKey val="0"/>
          <c:showVal val="0"/>
          <c:showCatName val="0"/>
          <c:showSerName val="0"/>
          <c:showPercent val="0"/>
          <c:showBubbleSize val="0"/>
        </c:dLbls>
        <c:axId val="182498828"/>
        <c:axId val="1541437310"/>
      </c:scatterChart>
      <c:valAx>
        <c:axId val="18249882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41437310"/>
      </c:valAx>
      <c:valAx>
        <c:axId val="15414373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2498828"/>
      </c:valAx>
    </c:plotArea>
    <c:legend>
      <c:legendPos val="r"/>
      <c:overlay val="0"/>
      <c:txPr>
        <a:bodyPr/>
        <a:lstStyle/>
        <a:p>
          <a:pPr lvl="0">
            <a:defRPr b="0">
              <a:solidFill>
                <a:srgbClr val="000000"/>
              </a:solidFill>
              <a:latin typeface="Roboto"/>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old'!$A$3</c:f>
            </c:strRef>
          </c:tx>
          <c:spPr>
            <a:ln cmpd="sng">
              <a:solidFill>
                <a:srgbClr val="4285F4"/>
              </a:solidFill>
            </a:ln>
          </c:spPr>
          <c:marker>
            <c:symbol val="none"/>
          </c:marker>
          <c:cat>
            <c:strRef>
              <c:f>'Assumptions (T&amp;D) old'!$B$2:$AZ$2</c:f>
            </c:strRef>
          </c:cat>
          <c:val>
            <c:numRef>
              <c:f>'Assumptions (T&amp;D) old'!$B$3:$AZ$3</c:f>
              <c:numCache/>
            </c:numRef>
          </c:val>
          <c:smooth val="0"/>
        </c:ser>
        <c:ser>
          <c:idx val="1"/>
          <c:order val="1"/>
          <c:tx>
            <c:strRef>
              <c:f>'Assumptions (T&amp;D) old'!$A$4</c:f>
            </c:strRef>
          </c:tx>
          <c:spPr>
            <a:ln cmpd="sng">
              <a:solidFill>
                <a:srgbClr val="DB4437"/>
              </a:solidFill>
            </a:ln>
          </c:spPr>
          <c:marker>
            <c:symbol val="none"/>
          </c:marker>
          <c:cat>
            <c:strRef>
              <c:f>'Assumptions (T&amp;D) old'!$B$2:$AZ$2</c:f>
            </c:strRef>
          </c:cat>
          <c:val>
            <c:numRef>
              <c:f>'Assumptions (T&amp;D) old'!$B$4:$AZ$4</c:f>
              <c:numCache/>
            </c:numRef>
          </c:val>
          <c:smooth val="0"/>
        </c:ser>
        <c:ser>
          <c:idx val="2"/>
          <c:order val="2"/>
          <c:tx>
            <c:strRef>
              <c:f>'Assumptions (T&amp;D) old'!$A$5</c:f>
            </c:strRef>
          </c:tx>
          <c:spPr>
            <a:ln cmpd="sng">
              <a:solidFill>
                <a:srgbClr val="F4B400"/>
              </a:solidFill>
            </a:ln>
          </c:spPr>
          <c:marker>
            <c:symbol val="none"/>
          </c:marker>
          <c:cat>
            <c:strRef>
              <c:f>'Assumptions (T&amp;D) old'!$B$2:$AZ$2</c:f>
            </c:strRef>
          </c:cat>
          <c:val>
            <c:numRef>
              <c:f>'Assumptions (T&amp;D) old'!$B$5:$AZ$5</c:f>
              <c:numCache/>
            </c:numRef>
          </c:val>
          <c:smooth val="0"/>
        </c:ser>
        <c:ser>
          <c:idx val="3"/>
          <c:order val="3"/>
          <c:tx>
            <c:strRef>
              <c:f>'Assumptions (T&amp;D) old'!$A$6</c:f>
            </c:strRef>
          </c:tx>
          <c:spPr>
            <a:ln cmpd="sng">
              <a:solidFill>
                <a:srgbClr val="0F9D58"/>
              </a:solidFill>
            </a:ln>
          </c:spPr>
          <c:marker>
            <c:symbol val="none"/>
          </c:marker>
          <c:cat>
            <c:strRef>
              <c:f>'Assumptions (T&amp;D) old'!$B$2:$AZ$2</c:f>
            </c:strRef>
          </c:cat>
          <c:val>
            <c:numRef>
              <c:f>'Assumptions (T&amp;D) old'!$B$6:$AZ$6</c:f>
              <c:numCache/>
            </c:numRef>
          </c:val>
          <c:smooth val="0"/>
        </c:ser>
        <c:ser>
          <c:idx val="4"/>
          <c:order val="4"/>
          <c:tx>
            <c:strRef>
              <c:f>'Assumptions (T&amp;D) old'!$A$16</c:f>
            </c:strRef>
          </c:tx>
          <c:spPr>
            <a:ln cmpd="sng">
              <a:solidFill>
                <a:srgbClr val="FF6D00"/>
              </a:solidFill>
            </a:ln>
          </c:spPr>
          <c:marker>
            <c:symbol val="none"/>
          </c:marker>
          <c:cat>
            <c:strRef>
              <c:f>'Assumptions (T&amp;D) old'!$B$2:$AZ$2</c:f>
            </c:strRef>
          </c:cat>
          <c:val>
            <c:numRef>
              <c:f>'Assumptions (T&amp;D) old'!$B$16:$AZ$16</c:f>
              <c:numCache/>
            </c:numRef>
          </c:val>
          <c:smooth val="0"/>
        </c:ser>
        <c:ser>
          <c:idx val="5"/>
          <c:order val="5"/>
          <c:tx>
            <c:strRef>
              <c:f>'Assumptions (T&amp;D) old'!$A$15</c:f>
            </c:strRef>
          </c:tx>
          <c:spPr>
            <a:ln cmpd="sng">
              <a:solidFill>
                <a:srgbClr val="46BDC6"/>
              </a:solidFill>
            </a:ln>
          </c:spPr>
          <c:marker>
            <c:symbol val="none"/>
          </c:marker>
          <c:cat>
            <c:strRef>
              <c:f>'Assumptions (T&amp;D) old'!$B$2:$AZ$2</c:f>
            </c:strRef>
          </c:cat>
          <c:val>
            <c:numRef>
              <c:f>'Assumptions (T&amp;D) old'!$B$15:$AZ$15</c:f>
              <c:numCache/>
            </c:numRef>
          </c:val>
          <c:smooth val="0"/>
        </c:ser>
        <c:axId val="202106790"/>
        <c:axId val="820569836"/>
      </c:lineChart>
      <c:catAx>
        <c:axId val="20210679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20569836"/>
      </c:catAx>
      <c:valAx>
        <c:axId val="8205698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2106790"/>
      </c:valAx>
    </c:plotArea>
    <c:legend>
      <c:legendPos val="r"/>
      <c:overlay val="0"/>
      <c:txPr>
        <a:bodyPr/>
        <a:lstStyle/>
        <a:p>
          <a:pPr lvl="0">
            <a:defRPr b="0">
              <a:solidFill>
                <a:srgbClr val="000000"/>
              </a:solidFill>
              <a:latin typeface="Roboto"/>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Courier New"/>
              </a:defRPr>
            </a:pPr>
            <a:r>
              <a:rPr b="0">
                <a:solidFill>
                  <a:srgbClr val="000000"/>
                </a:solidFill>
                <a:latin typeface="Courier New"/>
              </a:rPr>
              <a:t>TOTAL T CAPEX (2000-2016)</a:t>
            </a:r>
          </a:p>
        </c:rich>
      </c:tx>
      <c:overlay val="0"/>
    </c:title>
    <c:plotArea>
      <c:layout/>
      <c:scatterChart>
        <c:scatterStyle val="lineMarker"/>
        <c:varyColors val="0"/>
        <c:ser>
          <c:idx val="0"/>
          <c:order val="0"/>
          <c:tx>
            <c:strRef>
              <c:f>'Assumptions (T&amp;D) old'!$A$16</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(T&amp;D) old'!$C$96:$R$96</c:f>
            </c:numRef>
          </c:xVal>
          <c:yVal>
            <c:numRef>
              <c:f>'Assumptions (T&amp;D) old'!$B$16:$R$16</c:f>
              <c:numCache/>
            </c:numRef>
          </c:yVal>
        </c:ser>
        <c:dLbls>
          <c:showLegendKey val="0"/>
          <c:showVal val="0"/>
          <c:showCatName val="0"/>
          <c:showSerName val="0"/>
          <c:showPercent val="0"/>
          <c:showBubbleSize val="0"/>
        </c:dLbls>
        <c:axId val="1159797190"/>
        <c:axId val="2141444302"/>
      </c:scatterChart>
      <c:valAx>
        <c:axId val="115979719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Residential Customers</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2141444302"/>
      </c:valAx>
      <c:valAx>
        <c:axId val="21414443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TOTAL T CAPEX</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1159797190"/>
      </c:valAx>
    </c:plotArea>
    <c:legend>
      <c:legendPos val="r"/>
      <c:overlay val="0"/>
      <c:txPr>
        <a:bodyPr/>
        <a:lstStyle/>
        <a:p>
          <a:pPr lvl="0">
            <a:defRPr b="0">
              <a:solidFill>
                <a:srgbClr val="000000"/>
              </a:solidFill>
              <a:latin typeface="Courier New"/>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G&amp;T)'!$C$2:$R$2</c:f>
            </c:numRef>
          </c:xVal>
          <c:yVal>
            <c:numRef>
              <c:f>'Assumptions (Oil G&amp;T)'!$C$3:$R$3</c:f>
              <c:numCache/>
            </c:numRef>
          </c:yVal>
        </c:ser>
        <c:dLbls>
          <c:showLegendKey val="0"/>
          <c:showVal val="0"/>
          <c:showCatName val="0"/>
          <c:showSerName val="0"/>
          <c:showPercent val="0"/>
          <c:showBubbleSize val="0"/>
        </c:dLbls>
        <c:axId val="1790950361"/>
        <c:axId val="17851539"/>
      </c:scatterChart>
      <c:valAx>
        <c:axId val="179095036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851539"/>
      </c:valAx>
      <c:valAx>
        <c:axId val="178515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90950361"/>
      </c:valAx>
    </c:plotArea>
    <c:legend>
      <c:legendPos val="r"/>
      <c:overlay val="0"/>
      <c:txPr>
        <a:bodyPr/>
        <a:lstStyle/>
        <a:p>
          <a:pPr lvl="0">
            <a:defRPr b="0">
              <a:solidFill>
                <a:srgbClr val="000000"/>
              </a:solidFill>
              <a:latin typeface="Roboto"/>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G&amp;T)'!$C$13:$R$13</c:f>
            </c:numRef>
          </c:xVal>
          <c:yVal>
            <c:numRef>
              <c:f>'Assumptions (Oil G&amp;T)'!$C$14:$R$14</c:f>
              <c:numCache/>
            </c:numRef>
          </c:yVal>
        </c:ser>
        <c:dLbls>
          <c:showLegendKey val="0"/>
          <c:showVal val="0"/>
          <c:showCatName val="0"/>
          <c:showSerName val="0"/>
          <c:showPercent val="0"/>
          <c:showBubbleSize val="0"/>
        </c:dLbls>
        <c:axId val="1517258726"/>
        <c:axId val="2010197614"/>
      </c:scatterChart>
      <c:valAx>
        <c:axId val="151725872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10197614"/>
      </c:valAx>
      <c:valAx>
        <c:axId val="201019761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17258726"/>
      </c:valAx>
    </c:plotArea>
    <c:legend>
      <c:legendPos val="r"/>
      <c:overlay val="0"/>
      <c:txPr>
        <a:bodyPr/>
        <a:lstStyle/>
        <a:p>
          <a:pPr lvl="0">
            <a:defRPr b="0">
              <a:solidFill>
                <a:srgbClr val="000000"/>
              </a:solidFill>
              <a:latin typeface="Roboto"/>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G&amp;T)'!$C$24:$R$24</c:f>
            </c:numRef>
          </c:xVal>
          <c:yVal>
            <c:numRef>
              <c:f>'Assumptions (Oil G&amp;T)'!$C$25:$R$25</c:f>
              <c:numCache/>
            </c:numRef>
          </c:yVal>
        </c:ser>
        <c:dLbls>
          <c:showLegendKey val="0"/>
          <c:showVal val="0"/>
          <c:showCatName val="0"/>
          <c:showSerName val="0"/>
          <c:showPercent val="0"/>
          <c:showBubbleSize val="0"/>
        </c:dLbls>
        <c:axId val="493908635"/>
        <c:axId val="1913178493"/>
      </c:scatterChart>
      <c:valAx>
        <c:axId val="49390863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13178493"/>
      </c:valAx>
      <c:valAx>
        <c:axId val="19131784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93908635"/>
      </c:valAx>
    </c:plotArea>
    <c:legend>
      <c:legendPos val="r"/>
      <c:overlay val="0"/>
      <c:txPr>
        <a:bodyPr/>
        <a:lstStyle/>
        <a:p>
          <a:pPr lvl="0">
            <a:defRPr b="0">
              <a:solidFill>
                <a:srgbClr val="000000"/>
              </a:solidFill>
              <a:latin typeface="Roboto"/>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G&amp;T)'!$A$4:$R$4</c:f>
              <c:numCache/>
            </c:numRef>
          </c:yVal>
        </c:ser>
        <c:dLbls>
          <c:showLegendKey val="0"/>
          <c:showVal val="0"/>
          <c:showCatName val="0"/>
          <c:showSerName val="0"/>
          <c:showPercent val="0"/>
          <c:showBubbleSize val="0"/>
        </c:dLbls>
        <c:axId val="407865021"/>
        <c:axId val="1355487469"/>
      </c:scatterChart>
      <c:valAx>
        <c:axId val="40786502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55487469"/>
      </c:valAx>
      <c:valAx>
        <c:axId val="13554874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Gathering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07865021"/>
      </c:valAx>
    </c:plotArea>
    <c:legend>
      <c:legendPos val="r"/>
      <c:overlay val="0"/>
      <c:txPr>
        <a:bodyPr/>
        <a:lstStyle/>
        <a:p>
          <a:pPr lvl="0">
            <a:defRPr b="0">
              <a:solidFill>
                <a:srgbClr val="000000"/>
              </a:solidFill>
              <a:latin typeface="Roboto"/>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G&amp;T)'!$A$15:$R$15</c:f>
              <c:numCache/>
            </c:numRef>
          </c:yVal>
        </c:ser>
        <c:dLbls>
          <c:showLegendKey val="0"/>
          <c:showVal val="0"/>
          <c:showCatName val="0"/>
          <c:showSerName val="0"/>
          <c:showPercent val="0"/>
          <c:showBubbleSize val="0"/>
        </c:dLbls>
        <c:axId val="116523046"/>
        <c:axId val="1319694860"/>
      </c:scatterChart>
      <c:valAx>
        <c:axId val="11652304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19694860"/>
      </c:valAx>
      <c:valAx>
        <c:axId val="13196948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Trunk Line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6523046"/>
      </c:valAx>
    </c:plotArea>
    <c:legend>
      <c:legendPos val="r"/>
      <c:overlay val="0"/>
      <c:txPr>
        <a:bodyPr/>
        <a:lstStyle/>
        <a:p>
          <a:pPr lvl="0">
            <a:defRPr b="0">
              <a:solidFill>
                <a:srgbClr val="000000"/>
              </a:solidFill>
              <a:latin typeface="Roboto"/>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G&amp;T)'!$A$26:$R$26</c:f>
              <c:numCache/>
            </c:numRef>
          </c:yVal>
        </c:ser>
        <c:dLbls>
          <c:showLegendKey val="0"/>
          <c:showVal val="0"/>
          <c:showCatName val="0"/>
          <c:showSerName val="0"/>
          <c:showPercent val="0"/>
          <c:showBubbleSize val="0"/>
        </c:dLbls>
        <c:axId val="540012630"/>
        <c:axId val="514675475"/>
      </c:scatterChart>
      <c:valAx>
        <c:axId val="54001263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14675475"/>
      </c:valAx>
      <c:valAx>
        <c:axId val="5146754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General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40012630"/>
      </c:valAx>
    </c:plotArea>
    <c:legend>
      <c:legendPos val="r"/>
      <c:overlay val="0"/>
      <c:txPr>
        <a:bodyPr/>
        <a:lstStyle/>
        <a:p>
          <a:pPr lvl="0">
            <a:defRPr b="0">
              <a:solidFill>
                <a:srgbClr val="000000"/>
              </a:solidFill>
              <a:latin typeface="Roboto"/>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G&amp;T)'!$A$37:$R$37</c:f>
              <c:numCache/>
            </c:numRef>
          </c:yVal>
        </c:ser>
        <c:dLbls>
          <c:showLegendKey val="0"/>
          <c:showVal val="0"/>
          <c:showCatName val="0"/>
          <c:showSerName val="0"/>
          <c:showPercent val="0"/>
          <c:showBubbleSize val="0"/>
        </c:dLbls>
        <c:axId val="89759777"/>
        <c:axId val="585797184"/>
      </c:scatterChart>
      <c:valAx>
        <c:axId val="8975977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85797184"/>
      </c:valAx>
      <c:valAx>
        <c:axId val="5857971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9759777"/>
      </c:valAx>
    </c:plotArea>
    <c:legend>
      <c:legendPos val="r"/>
      <c:overlay val="0"/>
      <c:txPr>
        <a:bodyPr/>
        <a:lstStyle/>
        <a:p>
          <a:pPr lvl="0">
            <a:defRPr b="0">
              <a:solidFill>
                <a:srgbClr val="000000"/>
              </a:solidFill>
              <a:latin typeface="Roboto"/>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G&amp;T)'!$A$40:$R$40</c:f>
              <c:numCache/>
            </c:numRef>
          </c:yVal>
        </c:ser>
        <c:dLbls>
          <c:showLegendKey val="0"/>
          <c:showVal val="0"/>
          <c:showCatName val="0"/>
          <c:showSerName val="0"/>
          <c:showPercent val="0"/>
          <c:showBubbleSize val="0"/>
        </c:dLbls>
        <c:axId val="1210737824"/>
        <c:axId val="1056068187"/>
      </c:scatterChart>
      <c:valAx>
        <c:axId val="121073782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56068187"/>
      </c:valAx>
      <c:valAx>
        <c:axId val="105606818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Revenues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10737824"/>
      </c:valAx>
    </c:plotArea>
    <c:legend>
      <c:legendPos val="r"/>
      <c:overlay val="0"/>
      <c:txPr>
        <a:bodyPr/>
        <a:lstStyle/>
        <a:p>
          <a:pPr lvl="0">
            <a:defRPr b="0">
              <a:solidFill>
                <a:srgbClr val="000000"/>
              </a:solidFill>
              <a:latin typeface="Roboto"/>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G&amp;T)'!$A$41:$R$41</c:f>
              <c:numCache/>
            </c:numRef>
          </c:yVal>
        </c:ser>
        <c:dLbls>
          <c:showLegendKey val="0"/>
          <c:showVal val="0"/>
          <c:showCatName val="0"/>
          <c:showSerName val="0"/>
          <c:showPercent val="0"/>
          <c:showBubbleSize val="0"/>
        </c:dLbls>
        <c:axId val="1251068907"/>
        <c:axId val="1254927383"/>
      </c:scatterChart>
      <c:valAx>
        <c:axId val="125106890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54927383"/>
      </c:valAx>
      <c:valAx>
        <c:axId val="12549273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51068907"/>
      </c:valAx>
    </c:plotArea>
    <c:legend>
      <c:legendPos val="r"/>
      <c:overlay val="0"/>
      <c:txPr>
        <a:bodyPr/>
        <a:lstStyle/>
        <a:p>
          <a:pPr lvl="0">
            <a:defRPr b="0">
              <a:solidFill>
                <a:srgbClr val="000000"/>
              </a:solidFill>
              <a:latin typeface="Roboto"/>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c:f>
            </c:strRef>
          </c:tx>
          <c:spPr>
            <a:ln cmpd="sng">
              <a:solidFill>
                <a:srgbClr val="4285F4"/>
              </a:solidFill>
            </a:ln>
          </c:spPr>
          <c:marker>
            <c:symbol val="none"/>
          </c:marker>
          <c:cat>
            <c:strRef>
              <c:f>'Assumptions (Oil G&amp;T)'!$B$1:$R$1</c:f>
            </c:strRef>
          </c:cat>
          <c:val>
            <c:numRef>
              <c:f>'Assumptions (Oil G&amp;T)'!$B$3:$R$3</c:f>
              <c:numCache/>
            </c:numRef>
          </c:val>
          <c:smooth val="0"/>
        </c:ser>
        <c:ser>
          <c:idx val="1"/>
          <c:order val="1"/>
          <c:tx>
            <c:strRef>
              <c:f>'Assumptions (Oil G&amp;T)'!$A$4</c:f>
            </c:strRef>
          </c:tx>
          <c:spPr>
            <a:ln cmpd="sng">
              <a:solidFill>
                <a:srgbClr val="DB4437"/>
              </a:solidFill>
            </a:ln>
          </c:spPr>
          <c:marker>
            <c:symbol val="none"/>
          </c:marker>
          <c:cat>
            <c:strRef>
              <c:f>'Assumptions (Oil G&amp;T)'!$B$1:$R$1</c:f>
            </c:strRef>
          </c:cat>
          <c:val>
            <c:numRef>
              <c:f>'Assumptions (Oil G&amp;T)'!$B$4:$R$4</c:f>
              <c:numCache/>
            </c:numRef>
          </c:val>
          <c:smooth val="0"/>
        </c:ser>
        <c:ser>
          <c:idx val="2"/>
          <c:order val="2"/>
          <c:tx>
            <c:strRef>
              <c:f>'Assumptions (Oil G&amp;T)'!$A$5</c:f>
            </c:strRef>
          </c:tx>
          <c:spPr>
            <a:ln cmpd="sng">
              <a:solidFill>
                <a:srgbClr val="F4B400"/>
              </a:solidFill>
            </a:ln>
          </c:spPr>
          <c:marker>
            <c:symbol val="none"/>
          </c:marker>
          <c:cat>
            <c:strRef>
              <c:f>'Assumptions (Oil G&amp;T)'!$B$1:$R$1</c:f>
            </c:strRef>
          </c:cat>
          <c:val>
            <c:numRef>
              <c:f>'Assumptions (Oil G&amp;T)'!$B$5:$R$5</c:f>
              <c:numCache/>
            </c:numRef>
          </c:val>
          <c:smooth val="0"/>
        </c:ser>
        <c:ser>
          <c:idx val="3"/>
          <c:order val="3"/>
          <c:tx>
            <c:strRef>
              <c:f>'Assumptions (Oil G&amp;T)'!$A$6</c:f>
            </c:strRef>
          </c:tx>
          <c:spPr>
            <a:ln cmpd="sng">
              <a:solidFill>
                <a:srgbClr val="0F9D58"/>
              </a:solidFill>
            </a:ln>
          </c:spPr>
          <c:marker>
            <c:symbol val="none"/>
          </c:marker>
          <c:cat>
            <c:strRef>
              <c:f>'Assumptions (Oil G&amp;T)'!$B$1:$R$1</c:f>
            </c:strRef>
          </c:cat>
          <c:val>
            <c:numRef>
              <c:f>'Assumptions (Oil G&amp;T)'!$B$6:$R$6</c:f>
              <c:numCache/>
            </c:numRef>
          </c:val>
          <c:smooth val="0"/>
        </c:ser>
        <c:ser>
          <c:idx val="4"/>
          <c:order val="4"/>
          <c:tx>
            <c:strRef>
              <c:f>'Assumptions (Oil G&amp;T)'!$A$7</c:f>
            </c:strRef>
          </c:tx>
          <c:spPr>
            <a:ln cmpd="sng">
              <a:solidFill>
                <a:srgbClr val="FF6D00"/>
              </a:solidFill>
            </a:ln>
          </c:spPr>
          <c:marker>
            <c:symbol val="none"/>
          </c:marker>
          <c:cat>
            <c:strRef>
              <c:f>'Assumptions (Oil G&amp;T)'!$B$1:$R$1</c:f>
            </c:strRef>
          </c:cat>
          <c:val>
            <c:numRef>
              <c:f>'Assumptions (Oil G&amp;T)'!$B$7:$R$7</c:f>
              <c:numCache/>
            </c:numRef>
          </c:val>
          <c:smooth val="0"/>
        </c:ser>
        <c:ser>
          <c:idx val="5"/>
          <c:order val="5"/>
          <c:tx>
            <c:strRef>
              <c:f>'Assumptions (Oil G&amp;T)'!$A$8</c:f>
            </c:strRef>
          </c:tx>
          <c:spPr>
            <a:ln cmpd="sng">
              <a:solidFill>
                <a:srgbClr val="46BDC6"/>
              </a:solidFill>
            </a:ln>
          </c:spPr>
          <c:marker>
            <c:symbol val="none"/>
          </c:marker>
          <c:cat>
            <c:strRef>
              <c:f>'Assumptions (Oil G&amp;T)'!$B$1:$R$1</c:f>
            </c:strRef>
          </c:cat>
          <c:val>
            <c:numRef>
              <c:f>'Assumptions (Oil G&amp;T)'!$B$8:$R$8</c:f>
              <c:numCache/>
            </c:numRef>
          </c:val>
          <c:smooth val="0"/>
        </c:ser>
        <c:ser>
          <c:idx val="6"/>
          <c:order val="6"/>
          <c:tx>
            <c:strRef>
              <c:f>'Assumptions (Oil G&amp;T)'!$A$9</c:f>
            </c:strRef>
          </c:tx>
          <c:spPr>
            <a:ln cmpd="sng">
              <a:solidFill>
                <a:srgbClr val="AB30C4"/>
              </a:solidFill>
            </a:ln>
          </c:spPr>
          <c:marker>
            <c:symbol val="none"/>
          </c:marker>
          <c:cat>
            <c:strRef>
              <c:f>'Assumptions (Oil G&amp;T)'!$B$1:$R$1</c:f>
            </c:strRef>
          </c:cat>
          <c:val>
            <c:numRef>
              <c:f>'Assumptions (Oil G&amp;T)'!$B$9:$R$9</c:f>
              <c:numCache/>
            </c:numRef>
          </c:val>
          <c:smooth val="0"/>
        </c:ser>
        <c:ser>
          <c:idx val="7"/>
          <c:order val="7"/>
          <c:tx>
            <c:strRef>
              <c:f>'Assumptions (Oil G&amp;T)'!$A$10</c:f>
            </c:strRef>
          </c:tx>
          <c:spPr>
            <a:ln cmpd="sng">
              <a:solidFill>
                <a:srgbClr val="C1BC1F"/>
              </a:solidFill>
            </a:ln>
          </c:spPr>
          <c:marker>
            <c:symbol val="none"/>
          </c:marker>
          <c:cat>
            <c:strRef>
              <c:f>'Assumptions (Oil G&amp;T)'!$B$1:$R$1</c:f>
            </c:strRef>
          </c:cat>
          <c:val>
            <c:numRef>
              <c:f>'Assumptions (Oil G&amp;T)'!$B$10:$R$10</c:f>
              <c:numCache/>
            </c:numRef>
          </c:val>
          <c:smooth val="0"/>
        </c:ser>
        <c:ser>
          <c:idx val="8"/>
          <c:order val="8"/>
          <c:tx>
            <c:strRef>
              <c:f>'Assumptions (Oil G&amp;T)'!$A$11</c:f>
            </c:strRef>
          </c:tx>
          <c:spPr>
            <a:ln cmpd="sng">
              <a:solidFill>
                <a:srgbClr val="3949AB"/>
              </a:solidFill>
            </a:ln>
          </c:spPr>
          <c:marker>
            <c:symbol val="none"/>
          </c:marker>
          <c:cat>
            <c:strRef>
              <c:f>'Assumptions (Oil G&amp;T)'!$B$1:$R$1</c:f>
            </c:strRef>
          </c:cat>
          <c:val>
            <c:numRef>
              <c:f>'Assumptions (Oil G&amp;T)'!$B$11:$R$11</c:f>
              <c:numCache/>
            </c:numRef>
          </c:val>
          <c:smooth val="0"/>
        </c:ser>
        <c:ser>
          <c:idx val="9"/>
          <c:order val="9"/>
          <c:tx>
            <c:strRef>
              <c:f>'Assumptions (Oil G&amp;T)'!$A$12</c:f>
            </c:strRef>
          </c:tx>
          <c:spPr>
            <a:ln cmpd="sng">
              <a:solidFill>
                <a:srgbClr val="F975A8"/>
              </a:solidFill>
            </a:ln>
          </c:spPr>
          <c:marker>
            <c:symbol val="none"/>
          </c:marker>
          <c:cat>
            <c:strRef>
              <c:f>'Assumptions (Oil G&amp;T)'!$B$1:$R$1</c:f>
            </c:strRef>
          </c:cat>
          <c:val>
            <c:numRef>
              <c:f>'Assumptions (Oil G&amp;T)'!$B$12:$R$12</c:f>
              <c:numCache/>
            </c:numRef>
          </c:val>
          <c:smooth val="0"/>
        </c:ser>
        <c:axId val="391517582"/>
        <c:axId val="1623436561"/>
      </c:lineChart>
      <c:catAx>
        <c:axId val="39151758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623436561"/>
      </c:catAx>
      <c:valAx>
        <c:axId val="16234365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91517582"/>
      </c:valAx>
    </c:plotArea>
    <c:legend>
      <c:legendPos val="r"/>
      <c:overlay val="0"/>
      <c:txPr>
        <a:bodyPr/>
        <a:lstStyle/>
        <a:p>
          <a:pPr lvl="0">
            <a:defRPr b="0">
              <a:solidFill>
                <a:srgbClr val="000000"/>
              </a:solidFill>
              <a:latin typeface="Roboto"/>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G&amp;T)'!$A$14</c:f>
            </c:strRef>
          </c:tx>
          <c:spPr>
            <a:ln cmpd="sng">
              <a:solidFill>
                <a:srgbClr val="4285F4"/>
              </a:solidFill>
            </a:ln>
          </c:spPr>
          <c:marker>
            <c:symbol val="none"/>
          </c:marker>
          <c:cat>
            <c:strRef>
              <c:f>'Assumptions (Oil G&amp;T)'!$B$1:$R$1</c:f>
            </c:strRef>
          </c:cat>
          <c:val>
            <c:numRef>
              <c:f>'Assumptions (Oil G&amp;T)'!$B$14:$R$14</c:f>
              <c:numCache/>
            </c:numRef>
          </c:val>
          <c:smooth val="0"/>
        </c:ser>
        <c:ser>
          <c:idx val="1"/>
          <c:order val="1"/>
          <c:tx>
            <c:strRef>
              <c:f>'Assumptions (Oil G&amp;T)'!$A$15</c:f>
            </c:strRef>
          </c:tx>
          <c:spPr>
            <a:ln cmpd="sng">
              <a:solidFill>
                <a:srgbClr val="DB4437"/>
              </a:solidFill>
            </a:ln>
          </c:spPr>
          <c:marker>
            <c:symbol val="none"/>
          </c:marker>
          <c:cat>
            <c:strRef>
              <c:f>'Assumptions (Oil G&amp;T)'!$B$1:$R$1</c:f>
            </c:strRef>
          </c:cat>
          <c:val>
            <c:numRef>
              <c:f>'Assumptions (Oil G&amp;T)'!$B$15:$R$15</c:f>
              <c:numCache/>
            </c:numRef>
          </c:val>
          <c:smooth val="0"/>
        </c:ser>
        <c:ser>
          <c:idx val="2"/>
          <c:order val="2"/>
          <c:tx>
            <c:strRef>
              <c:f>'Assumptions (Oil G&amp;T)'!$A$16</c:f>
            </c:strRef>
          </c:tx>
          <c:spPr>
            <a:ln cmpd="sng">
              <a:solidFill>
                <a:srgbClr val="F4B400"/>
              </a:solidFill>
            </a:ln>
          </c:spPr>
          <c:marker>
            <c:symbol val="none"/>
          </c:marker>
          <c:cat>
            <c:strRef>
              <c:f>'Assumptions (Oil G&amp;T)'!$B$1:$R$1</c:f>
            </c:strRef>
          </c:cat>
          <c:val>
            <c:numRef>
              <c:f>'Assumptions (Oil G&amp;T)'!$B$16:$R$16</c:f>
              <c:numCache/>
            </c:numRef>
          </c:val>
          <c:smooth val="0"/>
        </c:ser>
        <c:ser>
          <c:idx val="3"/>
          <c:order val="3"/>
          <c:tx>
            <c:strRef>
              <c:f>'Assumptions (Oil G&amp;T)'!$A$17</c:f>
            </c:strRef>
          </c:tx>
          <c:spPr>
            <a:ln cmpd="sng">
              <a:solidFill>
                <a:srgbClr val="0F9D58"/>
              </a:solidFill>
            </a:ln>
          </c:spPr>
          <c:marker>
            <c:symbol val="none"/>
          </c:marker>
          <c:cat>
            <c:strRef>
              <c:f>'Assumptions (Oil G&amp;T)'!$B$1:$R$1</c:f>
            </c:strRef>
          </c:cat>
          <c:val>
            <c:numRef>
              <c:f>'Assumptions (Oil G&amp;T)'!$B$17:$R$17</c:f>
              <c:numCache/>
            </c:numRef>
          </c:val>
          <c:smooth val="0"/>
        </c:ser>
        <c:ser>
          <c:idx val="4"/>
          <c:order val="4"/>
          <c:tx>
            <c:strRef>
              <c:f>'Assumptions (Oil G&amp;T)'!$A$18</c:f>
            </c:strRef>
          </c:tx>
          <c:spPr>
            <a:ln cmpd="sng">
              <a:solidFill>
                <a:srgbClr val="FF6D00"/>
              </a:solidFill>
            </a:ln>
          </c:spPr>
          <c:marker>
            <c:symbol val="none"/>
          </c:marker>
          <c:cat>
            <c:strRef>
              <c:f>'Assumptions (Oil G&amp;T)'!$B$1:$R$1</c:f>
            </c:strRef>
          </c:cat>
          <c:val>
            <c:numRef>
              <c:f>'Assumptions (Oil G&amp;T)'!$B$18:$R$18</c:f>
              <c:numCache/>
            </c:numRef>
          </c:val>
          <c:smooth val="0"/>
        </c:ser>
        <c:ser>
          <c:idx val="5"/>
          <c:order val="5"/>
          <c:tx>
            <c:strRef>
              <c:f>'Assumptions (Oil G&amp;T)'!$A$19</c:f>
            </c:strRef>
          </c:tx>
          <c:spPr>
            <a:ln cmpd="sng">
              <a:solidFill>
                <a:srgbClr val="46BDC6"/>
              </a:solidFill>
            </a:ln>
          </c:spPr>
          <c:marker>
            <c:symbol val="none"/>
          </c:marker>
          <c:cat>
            <c:strRef>
              <c:f>'Assumptions (Oil G&amp;T)'!$B$1:$R$1</c:f>
            </c:strRef>
          </c:cat>
          <c:val>
            <c:numRef>
              <c:f>'Assumptions (Oil G&amp;T)'!$B$19:$R$19</c:f>
              <c:numCache/>
            </c:numRef>
          </c:val>
          <c:smooth val="0"/>
        </c:ser>
        <c:ser>
          <c:idx val="6"/>
          <c:order val="6"/>
          <c:tx>
            <c:strRef>
              <c:f>'Assumptions (Oil G&amp;T)'!$A$20</c:f>
            </c:strRef>
          </c:tx>
          <c:spPr>
            <a:ln cmpd="sng">
              <a:solidFill>
                <a:srgbClr val="AB30C4"/>
              </a:solidFill>
            </a:ln>
          </c:spPr>
          <c:marker>
            <c:symbol val="none"/>
          </c:marker>
          <c:cat>
            <c:strRef>
              <c:f>'Assumptions (Oil G&amp;T)'!$B$1:$R$1</c:f>
            </c:strRef>
          </c:cat>
          <c:val>
            <c:numRef>
              <c:f>'Assumptions (Oil G&amp;T)'!$B$20:$R$20</c:f>
              <c:numCache/>
            </c:numRef>
          </c:val>
          <c:smooth val="0"/>
        </c:ser>
        <c:ser>
          <c:idx val="7"/>
          <c:order val="7"/>
          <c:tx>
            <c:strRef>
              <c:f>'Assumptions (Oil G&amp;T)'!$A$21</c:f>
            </c:strRef>
          </c:tx>
          <c:spPr>
            <a:ln cmpd="sng">
              <a:solidFill>
                <a:srgbClr val="C1BC1F"/>
              </a:solidFill>
            </a:ln>
          </c:spPr>
          <c:marker>
            <c:symbol val="none"/>
          </c:marker>
          <c:cat>
            <c:strRef>
              <c:f>'Assumptions (Oil G&amp;T)'!$B$1:$R$1</c:f>
            </c:strRef>
          </c:cat>
          <c:val>
            <c:numRef>
              <c:f>'Assumptions (Oil G&amp;T)'!$B$21:$R$21</c:f>
              <c:numCache/>
            </c:numRef>
          </c:val>
          <c:smooth val="0"/>
        </c:ser>
        <c:ser>
          <c:idx val="8"/>
          <c:order val="8"/>
          <c:tx>
            <c:strRef>
              <c:f>'Assumptions (Oil G&amp;T)'!$A$22</c:f>
            </c:strRef>
          </c:tx>
          <c:spPr>
            <a:ln cmpd="sng">
              <a:solidFill>
                <a:srgbClr val="3949AB"/>
              </a:solidFill>
            </a:ln>
          </c:spPr>
          <c:marker>
            <c:symbol val="none"/>
          </c:marker>
          <c:cat>
            <c:strRef>
              <c:f>'Assumptions (Oil G&amp;T)'!$B$1:$R$1</c:f>
            </c:strRef>
          </c:cat>
          <c:val>
            <c:numRef>
              <c:f>'Assumptions (Oil G&amp;T)'!$B$22:$R$22</c:f>
              <c:numCache/>
            </c:numRef>
          </c:val>
          <c:smooth val="0"/>
        </c:ser>
        <c:ser>
          <c:idx val="9"/>
          <c:order val="9"/>
          <c:tx>
            <c:strRef>
              <c:f>'Assumptions (Oil G&amp;T)'!$A$23</c:f>
            </c:strRef>
          </c:tx>
          <c:spPr>
            <a:ln cmpd="sng">
              <a:solidFill>
                <a:srgbClr val="F975A8"/>
              </a:solidFill>
            </a:ln>
          </c:spPr>
          <c:marker>
            <c:symbol val="none"/>
          </c:marker>
          <c:cat>
            <c:strRef>
              <c:f>'Assumptions (Oil G&amp;T)'!$B$1:$R$1</c:f>
            </c:strRef>
          </c:cat>
          <c:val>
            <c:numRef>
              <c:f>'Assumptions (Oil G&amp;T)'!$B$23:$R$23</c:f>
              <c:numCache/>
            </c:numRef>
          </c:val>
          <c:smooth val="0"/>
        </c:ser>
        <c:axId val="1221730310"/>
        <c:axId val="938400208"/>
      </c:lineChart>
      <c:catAx>
        <c:axId val="122173031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938400208"/>
      </c:catAx>
      <c:valAx>
        <c:axId val="9384002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21730310"/>
      </c:valAx>
    </c:plotArea>
    <c:legend>
      <c:legendPos val="r"/>
      <c:overlay val="0"/>
      <c:txPr>
        <a:bodyPr/>
        <a:lstStyle/>
        <a:p>
          <a:pPr lvl="0">
            <a:defRPr b="0">
              <a:solidFill>
                <a:srgbClr val="000000"/>
              </a:solidFill>
              <a:latin typeface="Roboto"/>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G&amp;T)'!$A$25</c:f>
            </c:strRef>
          </c:tx>
          <c:spPr>
            <a:ln cmpd="sng">
              <a:solidFill>
                <a:srgbClr val="4285F4"/>
              </a:solidFill>
            </a:ln>
          </c:spPr>
          <c:marker>
            <c:symbol val="none"/>
          </c:marker>
          <c:cat>
            <c:strRef>
              <c:f>'Assumptions (Oil G&amp;T)'!$B$1:$R$1</c:f>
            </c:strRef>
          </c:cat>
          <c:val>
            <c:numRef>
              <c:f>'Assumptions (Oil G&amp;T)'!$B$25:$R$25</c:f>
              <c:numCache/>
            </c:numRef>
          </c:val>
          <c:smooth val="0"/>
        </c:ser>
        <c:ser>
          <c:idx val="1"/>
          <c:order val="1"/>
          <c:tx>
            <c:strRef>
              <c:f>'Assumptions (Oil G&amp;T)'!$A$26</c:f>
            </c:strRef>
          </c:tx>
          <c:spPr>
            <a:ln cmpd="sng">
              <a:solidFill>
                <a:srgbClr val="DB4437"/>
              </a:solidFill>
            </a:ln>
          </c:spPr>
          <c:marker>
            <c:symbol val="none"/>
          </c:marker>
          <c:cat>
            <c:strRef>
              <c:f>'Assumptions (Oil G&amp;T)'!$B$1:$R$1</c:f>
            </c:strRef>
          </c:cat>
          <c:val>
            <c:numRef>
              <c:f>'Assumptions (Oil G&amp;T)'!$B$26:$R$26</c:f>
              <c:numCache/>
            </c:numRef>
          </c:val>
          <c:smooth val="0"/>
        </c:ser>
        <c:ser>
          <c:idx val="2"/>
          <c:order val="2"/>
          <c:tx>
            <c:strRef>
              <c:f>'Assumptions (Oil G&amp;T)'!$A$27</c:f>
            </c:strRef>
          </c:tx>
          <c:spPr>
            <a:ln cmpd="sng">
              <a:solidFill>
                <a:srgbClr val="F4B400"/>
              </a:solidFill>
            </a:ln>
          </c:spPr>
          <c:marker>
            <c:symbol val="none"/>
          </c:marker>
          <c:cat>
            <c:strRef>
              <c:f>'Assumptions (Oil G&amp;T)'!$B$1:$R$1</c:f>
            </c:strRef>
          </c:cat>
          <c:val>
            <c:numRef>
              <c:f>'Assumptions (Oil G&amp;T)'!$B$27:$R$27</c:f>
              <c:numCache/>
            </c:numRef>
          </c:val>
          <c:smooth val="0"/>
        </c:ser>
        <c:ser>
          <c:idx val="3"/>
          <c:order val="3"/>
          <c:tx>
            <c:strRef>
              <c:f>'Assumptions (Oil G&amp;T)'!$A$28</c:f>
            </c:strRef>
          </c:tx>
          <c:spPr>
            <a:ln cmpd="sng">
              <a:solidFill>
                <a:srgbClr val="0F9D58"/>
              </a:solidFill>
            </a:ln>
          </c:spPr>
          <c:marker>
            <c:symbol val="none"/>
          </c:marker>
          <c:cat>
            <c:strRef>
              <c:f>'Assumptions (Oil G&amp;T)'!$B$1:$R$1</c:f>
            </c:strRef>
          </c:cat>
          <c:val>
            <c:numRef>
              <c:f>'Assumptions (Oil G&amp;T)'!$B$28:$R$28</c:f>
              <c:numCache/>
            </c:numRef>
          </c:val>
          <c:smooth val="0"/>
        </c:ser>
        <c:ser>
          <c:idx val="4"/>
          <c:order val="4"/>
          <c:tx>
            <c:strRef>
              <c:f>'Assumptions (Oil G&amp;T)'!$A$29</c:f>
            </c:strRef>
          </c:tx>
          <c:spPr>
            <a:ln cmpd="sng">
              <a:solidFill>
                <a:srgbClr val="FF6D00"/>
              </a:solidFill>
            </a:ln>
          </c:spPr>
          <c:marker>
            <c:symbol val="none"/>
          </c:marker>
          <c:cat>
            <c:strRef>
              <c:f>'Assumptions (Oil G&amp;T)'!$B$1:$R$1</c:f>
            </c:strRef>
          </c:cat>
          <c:val>
            <c:numRef>
              <c:f>'Assumptions (Oil G&amp;T)'!$B$29:$R$29</c:f>
              <c:numCache/>
            </c:numRef>
          </c:val>
          <c:smooth val="0"/>
        </c:ser>
        <c:ser>
          <c:idx val="5"/>
          <c:order val="5"/>
          <c:tx>
            <c:strRef>
              <c:f>'Assumptions (Oil G&amp;T)'!$A$30</c:f>
            </c:strRef>
          </c:tx>
          <c:spPr>
            <a:ln cmpd="sng">
              <a:solidFill>
                <a:srgbClr val="46BDC6"/>
              </a:solidFill>
            </a:ln>
          </c:spPr>
          <c:marker>
            <c:symbol val="none"/>
          </c:marker>
          <c:cat>
            <c:strRef>
              <c:f>'Assumptions (Oil G&amp;T)'!$B$1:$R$1</c:f>
            </c:strRef>
          </c:cat>
          <c:val>
            <c:numRef>
              <c:f>'Assumptions (Oil G&amp;T)'!$B$30:$R$30</c:f>
              <c:numCache/>
            </c:numRef>
          </c:val>
          <c:smooth val="0"/>
        </c:ser>
        <c:ser>
          <c:idx val="6"/>
          <c:order val="6"/>
          <c:tx>
            <c:strRef>
              <c:f>'Assumptions (Oil G&amp;T)'!$A$31</c:f>
            </c:strRef>
          </c:tx>
          <c:spPr>
            <a:ln cmpd="sng">
              <a:solidFill>
                <a:srgbClr val="AB30C4"/>
              </a:solidFill>
            </a:ln>
          </c:spPr>
          <c:marker>
            <c:symbol val="none"/>
          </c:marker>
          <c:cat>
            <c:strRef>
              <c:f>'Assumptions (Oil G&amp;T)'!$B$1:$R$1</c:f>
            </c:strRef>
          </c:cat>
          <c:val>
            <c:numRef>
              <c:f>'Assumptions (Oil G&amp;T)'!$B$31:$R$31</c:f>
              <c:numCache/>
            </c:numRef>
          </c:val>
          <c:smooth val="0"/>
        </c:ser>
        <c:ser>
          <c:idx val="7"/>
          <c:order val="7"/>
          <c:tx>
            <c:strRef>
              <c:f>'Assumptions (Oil G&amp;T)'!$A$32</c:f>
            </c:strRef>
          </c:tx>
          <c:spPr>
            <a:ln cmpd="sng">
              <a:solidFill>
                <a:srgbClr val="C1BC1F"/>
              </a:solidFill>
            </a:ln>
          </c:spPr>
          <c:marker>
            <c:symbol val="none"/>
          </c:marker>
          <c:cat>
            <c:strRef>
              <c:f>'Assumptions (Oil G&amp;T)'!$B$1:$R$1</c:f>
            </c:strRef>
          </c:cat>
          <c:val>
            <c:numRef>
              <c:f>'Assumptions (Oil G&amp;T)'!$B$32:$R$32</c:f>
              <c:numCache/>
            </c:numRef>
          </c:val>
          <c:smooth val="0"/>
        </c:ser>
        <c:ser>
          <c:idx val="8"/>
          <c:order val="8"/>
          <c:tx>
            <c:strRef>
              <c:f>'Assumptions (Oil G&amp;T)'!$A$33</c:f>
            </c:strRef>
          </c:tx>
          <c:spPr>
            <a:ln cmpd="sng">
              <a:solidFill>
                <a:srgbClr val="3949AB"/>
              </a:solidFill>
            </a:ln>
          </c:spPr>
          <c:marker>
            <c:symbol val="none"/>
          </c:marker>
          <c:cat>
            <c:strRef>
              <c:f>'Assumptions (Oil G&amp;T)'!$B$1:$R$1</c:f>
            </c:strRef>
          </c:cat>
          <c:val>
            <c:numRef>
              <c:f>'Assumptions (Oil G&amp;T)'!$B$33:$R$33</c:f>
              <c:numCache/>
            </c:numRef>
          </c:val>
          <c:smooth val="0"/>
        </c:ser>
        <c:ser>
          <c:idx val="9"/>
          <c:order val="9"/>
          <c:tx>
            <c:strRef>
              <c:f>'Assumptions (Oil G&amp;T)'!$A$34</c:f>
            </c:strRef>
          </c:tx>
          <c:spPr>
            <a:ln cmpd="sng">
              <a:solidFill>
                <a:srgbClr val="F975A8"/>
              </a:solidFill>
            </a:ln>
          </c:spPr>
          <c:marker>
            <c:symbol val="none"/>
          </c:marker>
          <c:cat>
            <c:strRef>
              <c:f>'Assumptions (Oil G&amp;T)'!$B$1:$R$1</c:f>
            </c:strRef>
          </c:cat>
          <c:val>
            <c:numRef>
              <c:f>'Assumptions (Oil G&amp;T)'!$B$34:$R$34</c:f>
              <c:numCache/>
            </c:numRef>
          </c:val>
          <c:smooth val="0"/>
        </c:ser>
        <c:axId val="2012727816"/>
        <c:axId val="711232535"/>
      </c:lineChart>
      <c:catAx>
        <c:axId val="201272781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711232535"/>
      </c:catAx>
      <c:valAx>
        <c:axId val="7112325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12727816"/>
      </c:valAx>
    </c:plotArea>
    <c:legend>
      <c:legendPos val="r"/>
      <c:overlay val="0"/>
      <c:txPr>
        <a:bodyPr/>
        <a:lstStyle/>
        <a:p>
          <a:pPr lvl="0">
            <a:defRPr b="0">
              <a:solidFill>
                <a:srgbClr val="000000"/>
              </a:solidFill>
              <a:latin typeface="Roboto"/>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G&amp;T)'!$A$36</c:f>
            </c:strRef>
          </c:tx>
          <c:spPr>
            <a:ln cmpd="sng">
              <a:solidFill>
                <a:srgbClr val="4285F4"/>
              </a:solidFill>
            </a:ln>
          </c:spPr>
          <c:marker>
            <c:symbol val="none"/>
          </c:marker>
          <c:cat>
            <c:strRef>
              <c:f>'Assumptions (Oil G&amp;T)'!$B$1:$R$1</c:f>
            </c:strRef>
          </c:cat>
          <c:val>
            <c:numRef>
              <c:f>'Assumptions (Oil G&amp;T)'!$B$36:$R$36</c:f>
              <c:numCache/>
            </c:numRef>
          </c:val>
          <c:smooth val="0"/>
        </c:ser>
        <c:ser>
          <c:idx val="1"/>
          <c:order val="1"/>
          <c:tx>
            <c:strRef>
              <c:f>'Assumptions (Oil G&amp;T)'!$A$37</c:f>
            </c:strRef>
          </c:tx>
          <c:spPr>
            <a:ln cmpd="sng">
              <a:solidFill>
                <a:srgbClr val="DB4437"/>
              </a:solidFill>
            </a:ln>
          </c:spPr>
          <c:marker>
            <c:symbol val="none"/>
          </c:marker>
          <c:cat>
            <c:strRef>
              <c:f>'Assumptions (Oil G&amp;T)'!$B$1:$R$1</c:f>
            </c:strRef>
          </c:cat>
          <c:val>
            <c:numRef>
              <c:f>'Assumptions (Oil G&amp;T)'!$B$37:$R$37</c:f>
              <c:numCache/>
            </c:numRef>
          </c:val>
          <c:smooth val="0"/>
        </c:ser>
        <c:ser>
          <c:idx val="2"/>
          <c:order val="2"/>
          <c:tx>
            <c:strRef>
              <c:f>'Assumptions (Oil G&amp;T)'!$A$38</c:f>
            </c:strRef>
          </c:tx>
          <c:spPr>
            <a:ln cmpd="sng">
              <a:solidFill>
                <a:srgbClr val="F4B400"/>
              </a:solidFill>
            </a:ln>
          </c:spPr>
          <c:marker>
            <c:symbol val="none"/>
          </c:marker>
          <c:cat>
            <c:strRef>
              <c:f>'Assumptions (Oil G&amp;T)'!$B$1:$R$1</c:f>
            </c:strRef>
          </c:cat>
          <c:val>
            <c:numRef>
              <c:f>'Assumptions (Oil G&amp;T)'!$B$38:$R$38</c:f>
              <c:numCache/>
            </c:numRef>
          </c:val>
          <c:smooth val="0"/>
        </c:ser>
        <c:ser>
          <c:idx val="3"/>
          <c:order val="3"/>
          <c:tx>
            <c:strRef>
              <c:f>'Assumptions (Oil G&amp;T)'!$A$39</c:f>
            </c:strRef>
          </c:tx>
          <c:spPr>
            <a:ln cmpd="sng">
              <a:solidFill>
                <a:srgbClr val="0F9D58"/>
              </a:solidFill>
            </a:ln>
          </c:spPr>
          <c:marker>
            <c:symbol val="none"/>
          </c:marker>
          <c:cat>
            <c:strRef>
              <c:f>'Assumptions (Oil G&amp;T)'!$B$1:$R$1</c:f>
            </c:strRef>
          </c:cat>
          <c:val>
            <c:numRef>
              <c:f>'Assumptions (Oil G&amp;T)'!$B$39:$R$39</c:f>
              <c:numCache/>
            </c:numRef>
          </c:val>
          <c:smooth val="0"/>
        </c:ser>
        <c:ser>
          <c:idx val="4"/>
          <c:order val="4"/>
          <c:tx>
            <c:strRef>
              <c:f>'Assumptions (Oil G&amp;T)'!$A$40</c:f>
            </c:strRef>
          </c:tx>
          <c:spPr>
            <a:ln cmpd="sng">
              <a:solidFill>
                <a:srgbClr val="FF6D00"/>
              </a:solidFill>
            </a:ln>
          </c:spPr>
          <c:marker>
            <c:symbol val="none"/>
          </c:marker>
          <c:cat>
            <c:strRef>
              <c:f>'Assumptions (Oil G&amp;T)'!$B$1:$R$1</c:f>
            </c:strRef>
          </c:cat>
          <c:val>
            <c:numRef>
              <c:f>'Assumptions (Oil G&amp;T)'!$B$40:$R$40</c:f>
              <c:numCache/>
            </c:numRef>
          </c:val>
          <c:smooth val="0"/>
        </c:ser>
        <c:ser>
          <c:idx val="5"/>
          <c:order val="5"/>
          <c:tx>
            <c:strRef>
              <c:f>'Assumptions (Oil G&amp;T)'!$A$41</c:f>
            </c:strRef>
          </c:tx>
          <c:spPr>
            <a:ln cmpd="sng">
              <a:solidFill>
                <a:srgbClr val="46BDC6"/>
              </a:solidFill>
            </a:ln>
          </c:spPr>
          <c:marker>
            <c:symbol val="none"/>
          </c:marker>
          <c:cat>
            <c:strRef>
              <c:f>'Assumptions (Oil G&amp;T)'!$B$1:$R$1</c:f>
            </c:strRef>
          </c:cat>
          <c:val>
            <c:numRef>
              <c:f>'Assumptions (Oil G&amp;T)'!$B$41:$R$41</c:f>
              <c:numCache/>
            </c:numRef>
          </c:val>
          <c:smooth val="0"/>
        </c:ser>
        <c:axId val="1713379187"/>
        <c:axId val="2138379133"/>
      </c:lineChart>
      <c:catAx>
        <c:axId val="171337918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138379133"/>
      </c:catAx>
      <c:valAx>
        <c:axId val="21383791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13379187"/>
      </c:valAx>
    </c:plotArea>
    <c:legend>
      <c:legendPos val="r"/>
      <c:overlay val="0"/>
      <c:txPr>
        <a:bodyPr/>
        <a:lstStyle/>
        <a:p>
          <a:pPr lvl="0">
            <a:defRPr b="0">
              <a:solidFill>
                <a:srgbClr val="000000"/>
              </a:solidFill>
              <a:latin typeface="Roboto"/>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G&amp;T)'!$A$39:$R$39</c:f>
              <c:numCache/>
            </c:numRef>
          </c:yVal>
        </c:ser>
        <c:dLbls>
          <c:showLegendKey val="0"/>
          <c:showVal val="0"/>
          <c:showCatName val="0"/>
          <c:showSerName val="0"/>
          <c:showPercent val="0"/>
          <c:showBubbleSize val="0"/>
        </c:dLbls>
        <c:axId val="223593078"/>
        <c:axId val="360723143"/>
      </c:scatterChart>
      <c:valAx>
        <c:axId val="22359307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60723143"/>
      </c:valAx>
      <c:valAx>
        <c:axId val="3607231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Other Adjustments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23593078"/>
      </c:valAx>
    </c:plotArea>
    <c:legend>
      <c:legendPos val="r"/>
      <c:overlay val="0"/>
      <c:txPr>
        <a:bodyPr/>
        <a:lstStyle/>
        <a:p>
          <a:pPr lvl="0">
            <a:defRPr b="0">
              <a:solidFill>
                <a:srgbClr val="000000"/>
              </a:solidFill>
              <a:latin typeface="Roboto"/>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1"/>
          <c:order val="1"/>
          <c:tx>
            <c:strRef>
              <c:f>'Assumptions (Oil G&amp;T)'!$A$37</c:f>
            </c:strRef>
          </c:tx>
          <c:spPr>
            <a:ln cmpd="sng">
              <a:solidFill>
                <a:srgbClr val="DB4437"/>
              </a:solidFill>
            </a:ln>
          </c:spPr>
          <c:marker>
            <c:symbol val="none"/>
          </c:marker>
          <c:cat>
            <c:strRef>
              <c:f>'Assumptions (Oil G&amp;T)'!$B$1:$AZ$1</c:f>
            </c:strRef>
          </c:cat>
          <c:val>
            <c:numRef>
              <c:f>'Assumptions (Oil G&amp;T)'!$B$37:$AZ$37</c:f>
              <c:numCache/>
            </c:numRef>
          </c:val>
          <c:smooth val="0"/>
        </c:ser>
        <c:ser>
          <c:idx val="2"/>
          <c:order val="2"/>
          <c:tx>
            <c:strRef>
              <c:f>'Assumptions (Oil G&amp;T)'!$A$38</c:f>
            </c:strRef>
          </c:tx>
          <c:spPr>
            <a:ln cmpd="sng">
              <a:solidFill>
                <a:srgbClr val="F4B400"/>
              </a:solidFill>
            </a:ln>
          </c:spPr>
          <c:marker>
            <c:symbol val="none"/>
          </c:marker>
          <c:cat>
            <c:strRef>
              <c:f>'Assumptions (Oil G&amp;T)'!$B$1:$AZ$1</c:f>
            </c:strRef>
          </c:cat>
          <c:val>
            <c:numRef>
              <c:f>'Assumptions (Oil G&amp;T)'!$B$38:$AZ$38</c:f>
              <c:numCache/>
            </c:numRef>
          </c:val>
          <c:smooth val="0"/>
        </c:ser>
        <c:ser>
          <c:idx val="3"/>
          <c:order val="3"/>
          <c:tx>
            <c:strRef>
              <c:f>'Assumptions (Oil G&amp;T)'!$A$39</c:f>
            </c:strRef>
          </c:tx>
          <c:spPr>
            <a:ln cmpd="sng">
              <a:solidFill>
                <a:srgbClr val="0F9D58"/>
              </a:solidFill>
            </a:ln>
          </c:spPr>
          <c:marker>
            <c:symbol val="none"/>
          </c:marker>
          <c:cat>
            <c:strRef>
              <c:f>'Assumptions (Oil G&amp;T)'!$B$1:$AZ$1</c:f>
            </c:strRef>
          </c:cat>
          <c:val>
            <c:numRef>
              <c:f>'Assumptions (Oil G&amp;T)'!$B$39:$AZ$39</c:f>
              <c:numCache/>
            </c:numRef>
          </c:val>
          <c:smooth val="0"/>
        </c:ser>
        <c:ser>
          <c:idx val="4"/>
          <c:order val="4"/>
          <c:tx>
            <c:strRef>
              <c:f>'Assumptions (Oil G&amp;T)'!$A$40</c:f>
            </c:strRef>
          </c:tx>
          <c:spPr>
            <a:ln cmpd="sng">
              <a:solidFill>
                <a:srgbClr val="FF6D00"/>
              </a:solidFill>
            </a:ln>
          </c:spPr>
          <c:marker>
            <c:symbol val="none"/>
          </c:marker>
          <c:cat>
            <c:strRef>
              <c:f>'Assumptions (Oil G&amp;T)'!$B$1:$AZ$1</c:f>
            </c:strRef>
          </c:cat>
          <c:val>
            <c:numRef>
              <c:f>'Assumptions (Oil G&amp;T)'!$B$40:$AZ$40</c:f>
              <c:numCache/>
            </c:numRef>
          </c:val>
          <c:smooth val="0"/>
        </c:ser>
        <c:ser>
          <c:idx val="5"/>
          <c:order val="5"/>
          <c:tx>
            <c:strRef>
              <c:f>'Assumptions (Oil G&amp;T)'!$A$41</c:f>
            </c:strRef>
          </c:tx>
          <c:spPr>
            <a:ln cmpd="sng">
              <a:solidFill>
                <a:srgbClr val="46BDC6"/>
              </a:solidFill>
            </a:ln>
          </c:spPr>
          <c:marker>
            <c:symbol val="none"/>
          </c:marker>
          <c:cat>
            <c:strRef>
              <c:f>'Assumptions (Oil G&amp;T)'!$B$1:$AZ$1</c:f>
            </c:strRef>
          </c:cat>
          <c:val>
            <c:numRef>
              <c:f>'Assumptions (Oil G&amp;T)'!$B$41:$AZ$41</c:f>
              <c:numCache/>
            </c:numRef>
          </c:val>
          <c:smooth val="0"/>
        </c:ser>
        <c:axId val="469475244"/>
        <c:axId val="1642419485"/>
      </c:lineChart>
      <c:catAx>
        <c:axId val="46947524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642419485"/>
      </c:catAx>
      <c:valAx>
        <c:axId val="16424194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69475244"/>
      </c:valAx>
      <c:lineChart>
        <c:varyColors val="0"/>
        <c:ser>
          <c:idx val="0"/>
          <c:order val="0"/>
          <c:tx>
            <c:strRef>
              <c:f>'Assumptions (Oil G&amp;T)'!$A$36</c:f>
            </c:strRef>
          </c:tx>
          <c:spPr>
            <a:ln cmpd="sng">
              <a:solidFill>
                <a:srgbClr val="4A86E8"/>
              </a:solidFill>
            </a:ln>
          </c:spPr>
          <c:marker>
            <c:symbol val="none"/>
          </c:marker>
          <c:cat>
            <c:strRef>
              <c:f>'Assumptions (Oil G&amp;T)'!$B$1:$AZ$1</c:f>
            </c:strRef>
          </c:cat>
          <c:val>
            <c:numRef>
              <c:f>'Assumptions (Oil G&amp;T)'!$B$36:$AZ$36</c:f>
              <c:numCache/>
            </c:numRef>
          </c:val>
          <c:smooth val="0"/>
        </c:ser>
        <c:axId val="1424045593"/>
        <c:axId val="1495234978"/>
      </c:lineChart>
      <c:catAx>
        <c:axId val="1424045593"/>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495234978"/>
      </c:catAx>
      <c:valAx>
        <c:axId val="1495234978"/>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4A86E8"/>
                    </a:solidFill>
                    <a:latin typeface="Roboto"/>
                  </a:defRPr>
                </a:pPr>
                <a:r>
                  <a:rPr b="0">
                    <a:solidFill>
                      <a:srgbClr val="4A86E8"/>
                    </a:solidFill>
                    <a:latin typeface="Roboto"/>
                  </a:rPr>
                  <a:t>Beg Balance</a:t>
                </a:r>
              </a:p>
            </c:rich>
          </c:tx>
          <c:overlay val="0"/>
        </c:title>
        <c:numFmt formatCode="General" sourceLinked="1"/>
        <c:majorTickMark val="none"/>
        <c:minorTickMark val="none"/>
        <c:tickLblPos val="nextTo"/>
        <c:spPr>
          <a:ln/>
        </c:spPr>
        <c:txPr>
          <a:bodyPr/>
          <a:lstStyle/>
          <a:p>
            <a:pPr lvl="0">
              <a:defRPr b="0">
                <a:solidFill>
                  <a:srgbClr val="4A86E8"/>
                </a:solidFill>
                <a:latin typeface="Roboto"/>
              </a:defRPr>
            </a:pPr>
          </a:p>
        </c:txPr>
        <c:crossAx val="1424045593"/>
        <c:crosses val="max"/>
      </c:valAx>
    </c:plotArea>
    <c:legend>
      <c:legendPos val="r"/>
      <c:overlay val="0"/>
      <c:txPr>
        <a:bodyPr/>
        <a:lstStyle/>
        <a:p>
          <a:pPr lvl="0">
            <a:defRPr b="0">
              <a:solidFill>
                <a:srgbClr val="000000"/>
              </a:solidFill>
              <a:latin typeface="Roboto"/>
            </a:defRPr>
          </a:pPr>
        </a:p>
      </c:txPr>
    </c:legend>
    <c:plotVisOnly val="1"/>
  </c:chart>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plotArea>
      <c:layout/>
      <c:lineChart>
        <c:varyColors val="0"/>
        <c:ser>
          <c:idx val="0"/>
          <c:order val="0"/>
          <c:tx>
            <c:strRef>
              <c:f>'Assumptions (Oil G&amp;T)'!$A$48</c:f>
            </c:strRef>
          </c:tx>
          <c:spPr>
            <a:ln cmpd="sng">
              <a:solidFill>
                <a:srgbClr val="4285F4"/>
              </a:solidFill>
            </a:ln>
          </c:spPr>
          <c:marker>
            <c:symbol val="none"/>
          </c:marker>
          <c:cat>
            <c:strRef>
              <c:f>'Assumptions (Oil G&amp;T)'!$B$1:$AZ$1</c:f>
            </c:strRef>
          </c:cat>
          <c:val>
            <c:numRef>
              <c:f>'Assumptions (Oil G&amp;T)'!$B$48:$AZ$48</c:f>
              <c:numCache/>
            </c:numRef>
          </c:val>
          <c:smooth val="0"/>
        </c:ser>
        <c:axId val="547808567"/>
        <c:axId val="1851857503"/>
      </c:lineChart>
      <c:catAx>
        <c:axId val="54780856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51857503"/>
      </c:catAx>
      <c:valAx>
        <c:axId val="18518575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47808567"/>
      </c:valAx>
    </c:plotArea>
    <c:legend>
      <c:legendPos val="r"/>
      <c:overlay val="0"/>
      <c:txPr>
        <a:bodyPr/>
        <a:lstStyle/>
        <a:p>
          <a:pPr lvl="0">
            <a:defRPr b="0">
              <a:solidFill>
                <a:srgbClr val="000000"/>
              </a:solidFill>
              <a:latin typeface="Roboto"/>
            </a:defRPr>
          </a:pPr>
        </a:p>
      </c:txPr>
    </c:legend>
    <c:plotVisOnly val="1"/>
  </c:chart>
</c:chartSpace>
</file>

<file path=xl/charts/chart5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Midstream)'!$B$86:$R$86</c:f>
            </c:numRef>
          </c:xVal>
          <c:yVal>
            <c:numRef>
              <c:f>'Assumptions (NG Midstream)'!$B$64:$R$64</c:f>
              <c:numCache/>
            </c:numRef>
          </c:yVal>
        </c:ser>
        <c:dLbls>
          <c:showLegendKey val="0"/>
          <c:showVal val="0"/>
          <c:showCatName val="0"/>
          <c:showSerName val="0"/>
          <c:showPercent val="0"/>
          <c:showBubbleSize val="0"/>
        </c:dLbls>
        <c:axId val="1317842935"/>
        <c:axId val="202717534"/>
      </c:scatterChart>
      <c:valAx>
        <c:axId val="131784293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Henry Hub</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2717534"/>
      </c:valAx>
      <c:valAx>
        <c:axId val="2027175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17842935"/>
      </c:valAx>
    </c:plotArea>
    <c:legend>
      <c:legendPos val="r"/>
      <c:overlay val="0"/>
      <c:txPr>
        <a:bodyPr/>
        <a:lstStyle/>
        <a:p>
          <a:pPr lvl="0">
            <a:defRPr b="0">
              <a:solidFill>
                <a:srgbClr val="000000"/>
              </a:solidFill>
              <a:latin typeface="Roboto"/>
            </a:defRPr>
          </a:pPr>
        </a:p>
      </c:txPr>
    </c:legend>
    <c:plotVisOnly val="1"/>
  </c:chart>
</c:chartSpace>
</file>

<file path=xl/charts/chart6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Midstream)'!$B$64:$R$64</c:f>
              <c:numCache/>
            </c:numRef>
          </c:yVal>
        </c:ser>
        <c:dLbls>
          <c:showLegendKey val="0"/>
          <c:showVal val="0"/>
          <c:showCatName val="0"/>
          <c:showSerName val="0"/>
          <c:showPercent val="0"/>
          <c:showBubbleSize val="0"/>
        </c:dLbls>
        <c:axId val="1882925097"/>
        <c:axId val="67452756"/>
      </c:scatterChart>
      <c:valAx>
        <c:axId val="188292509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7452756"/>
      </c:valAx>
      <c:valAx>
        <c:axId val="674527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82925097"/>
      </c:valAx>
    </c:plotArea>
    <c:legend>
      <c:legendPos val="r"/>
      <c:overlay val="0"/>
      <c:txPr>
        <a:bodyPr/>
        <a:lstStyle/>
        <a:p>
          <a:pPr lvl="0">
            <a:defRPr b="0">
              <a:solidFill>
                <a:srgbClr val="000000"/>
              </a:solidFill>
              <a:latin typeface="Roboto"/>
            </a:defRPr>
          </a:pPr>
        </a:p>
      </c:txPr>
    </c:legend>
    <c:plotVisOnly val="1"/>
  </c:chart>
</c:chartSpace>
</file>

<file path=xl/charts/chart6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Midstream)'!$B$64:$R$64</c:f>
              <c:numCache/>
            </c:numRef>
          </c:yVal>
        </c:ser>
        <c:dLbls>
          <c:showLegendKey val="0"/>
          <c:showVal val="0"/>
          <c:showCatName val="0"/>
          <c:showSerName val="0"/>
          <c:showPercent val="0"/>
          <c:showBubbleSize val="0"/>
        </c:dLbls>
        <c:axId val="668006148"/>
        <c:axId val="1325823313"/>
      </c:scatterChart>
      <c:valAx>
        <c:axId val="66800614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25823313"/>
      </c:valAx>
      <c:valAx>
        <c:axId val="13258233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68006148"/>
      </c:valAx>
    </c:plotArea>
    <c:legend>
      <c:legendPos val="r"/>
      <c:overlay val="0"/>
      <c:txPr>
        <a:bodyPr/>
        <a:lstStyle/>
        <a:p>
          <a:pPr lvl="0">
            <a:defRPr b="0">
              <a:solidFill>
                <a:srgbClr val="000000"/>
              </a:solidFill>
              <a:latin typeface="Roboto"/>
            </a:defRPr>
          </a:pPr>
        </a:p>
      </c:txPr>
    </c:legend>
    <c:plotVisOnly val="1"/>
  </c:chart>
</c:chartSpace>
</file>

<file path=xl/charts/chart6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(NG Midstream)'!$B$84:$R$84</c:f>
            </c:numRef>
          </c:xVal>
          <c:yVal>
            <c:numRef>
              <c:f>'Assumptions (NG Midstream)'!$B$64:$R$64</c:f>
              <c:numCache/>
            </c:numRef>
          </c:yVal>
        </c:ser>
        <c:dLbls>
          <c:showLegendKey val="0"/>
          <c:showVal val="0"/>
          <c:showCatName val="0"/>
          <c:showSerName val="0"/>
          <c:showPercent val="0"/>
          <c:showBubbleSize val="0"/>
        </c:dLbls>
        <c:axId val="824878004"/>
        <c:axId val="1054374383"/>
      </c:scatterChart>
      <c:valAx>
        <c:axId val="82487800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54374383"/>
      </c:valAx>
      <c:valAx>
        <c:axId val="10543743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24878004"/>
      </c:valAx>
    </c:plotArea>
    <c:legend>
      <c:legendPos val="r"/>
      <c:overlay val="0"/>
      <c:txPr>
        <a:bodyPr/>
        <a:lstStyle/>
        <a:p>
          <a:pPr lvl="0">
            <a:defRPr b="0">
              <a:solidFill>
                <a:srgbClr val="000000"/>
              </a:solidFill>
              <a:latin typeface="Roboto"/>
            </a:defRPr>
          </a:pPr>
        </a:p>
      </c:txPr>
    </c:legend>
    <c:plotVisOnly val="1"/>
  </c:chart>
</c:chartSpace>
</file>

<file path=xl/charts/chart6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Midstream)'!$B$59:$R$59</c:f>
              <c:numCache/>
            </c:numRef>
          </c:yVal>
        </c:ser>
        <c:dLbls>
          <c:showLegendKey val="0"/>
          <c:showVal val="0"/>
          <c:showCatName val="0"/>
          <c:showSerName val="0"/>
          <c:showPercent val="0"/>
          <c:showBubbleSize val="0"/>
        </c:dLbls>
        <c:axId val="1943845049"/>
        <c:axId val="120544077"/>
      </c:scatterChart>
      <c:valAx>
        <c:axId val="194384504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0544077"/>
      </c:valAx>
      <c:valAx>
        <c:axId val="1205440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43845049"/>
      </c:valAx>
    </c:plotArea>
    <c:legend>
      <c:legendPos val="r"/>
      <c:overlay val="0"/>
      <c:txPr>
        <a:bodyPr/>
        <a:lstStyle/>
        <a:p>
          <a:pPr lvl="0">
            <a:defRPr b="0">
              <a:solidFill>
                <a:srgbClr val="000000"/>
              </a:solidFill>
              <a:latin typeface="Roboto"/>
            </a:defRPr>
          </a:pPr>
        </a:p>
      </c:txPr>
    </c:legend>
    <c:plotVisOnly val="1"/>
  </c:chart>
</c:chartSpace>
</file>

<file path=xl/charts/chart6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Midstream)'!$B$58:$R$58</c:f>
              <c:numCache/>
            </c:numRef>
          </c:yVal>
        </c:ser>
        <c:dLbls>
          <c:showLegendKey val="0"/>
          <c:showVal val="0"/>
          <c:showCatName val="0"/>
          <c:showSerName val="0"/>
          <c:showPercent val="0"/>
          <c:showBubbleSize val="0"/>
        </c:dLbls>
        <c:axId val="1435111320"/>
        <c:axId val="1920124573"/>
      </c:scatterChart>
      <c:valAx>
        <c:axId val="143511132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20124573"/>
      </c:valAx>
      <c:valAx>
        <c:axId val="19201245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35111320"/>
      </c:valAx>
    </c:plotArea>
    <c:legend>
      <c:legendPos val="r"/>
      <c:overlay val="0"/>
      <c:txPr>
        <a:bodyPr/>
        <a:lstStyle/>
        <a:p>
          <a:pPr lvl="0">
            <a:defRPr b="0">
              <a:solidFill>
                <a:srgbClr val="000000"/>
              </a:solidFill>
              <a:latin typeface="Roboto"/>
            </a:defRPr>
          </a:pPr>
        </a:p>
      </c:txPr>
    </c:legend>
    <c:plotVisOnly val="1"/>
  </c:chart>
</c:chartSpace>
</file>

<file path=xl/charts/chart6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Midstream)'!$B$65:$R$65</c:f>
              <c:numCache/>
            </c:numRef>
          </c:yVal>
        </c:ser>
        <c:dLbls>
          <c:showLegendKey val="0"/>
          <c:showVal val="0"/>
          <c:showCatName val="0"/>
          <c:showSerName val="0"/>
          <c:showPercent val="0"/>
          <c:showBubbleSize val="0"/>
        </c:dLbls>
        <c:axId val="35154817"/>
        <c:axId val="1028406216"/>
      </c:scatterChart>
      <c:valAx>
        <c:axId val="3515481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28406216"/>
      </c:valAx>
      <c:valAx>
        <c:axId val="102840621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5154817"/>
      </c:valAx>
    </c:plotArea>
    <c:legend>
      <c:legendPos val="r"/>
      <c:overlay val="0"/>
      <c:txPr>
        <a:bodyPr/>
        <a:lstStyle/>
        <a:p>
          <a:pPr lvl="0">
            <a:defRPr b="0">
              <a:solidFill>
                <a:srgbClr val="000000"/>
              </a:solidFill>
              <a:latin typeface="Roboto"/>
            </a:defRPr>
          </a:pPr>
        </a:p>
      </c:txPr>
    </c:legend>
    <c:plotVisOnly val="1"/>
  </c:chart>
</c:chartSpace>
</file>

<file path=xl/charts/chart6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Midstream)'!$B$59:$R$59</c:f>
              <c:numCache/>
            </c:numRef>
          </c:yVal>
        </c:ser>
        <c:dLbls>
          <c:showLegendKey val="0"/>
          <c:showVal val="0"/>
          <c:showCatName val="0"/>
          <c:showSerName val="0"/>
          <c:showPercent val="0"/>
          <c:showBubbleSize val="0"/>
        </c:dLbls>
        <c:axId val="1965388900"/>
        <c:axId val="1539834684"/>
      </c:scatterChart>
      <c:valAx>
        <c:axId val="196538890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39834684"/>
      </c:valAx>
      <c:valAx>
        <c:axId val="15398346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65388900"/>
      </c:valAx>
    </c:plotArea>
    <c:legend>
      <c:legendPos val="r"/>
      <c:overlay val="0"/>
      <c:txPr>
        <a:bodyPr/>
        <a:lstStyle/>
        <a:p>
          <a:pPr lvl="0">
            <a:defRPr b="0">
              <a:solidFill>
                <a:srgbClr val="000000"/>
              </a:solidFill>
              <a:latin typeface="Roboto"/>
            </a:defRPr>
          </a:pPr>
        </a:p>
      </c:txPr>
    </c:legend>
    <c:plotVisOnly val="1"/>
  </c:chart>
</c:chartSpace>
</file>

<file path=xl/charts/chart6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Midstream)'!$B$84:$R$84</c:f>
            </c:numRef>
          </c:xVal>
          <c:yVal>
            <c:numRef>
              <c:f>'Assumptions (NG Midstream)'!$B$59:$R$59</c:f>
              <c:numCache/>
            </c:numRef>
          </c:yVal>
        </c:ser>
        <c:dLbls>
          <c:showLegendKey val="0"/>
          <c:showVal val="0"/>
          <c:showCatName val="0"/>
          <c:showSerName val="0"/>
          <c:showPercent val="0"/>
          <c:showBubbleSize val="0"/>
        </c:dLbls>
        <c:axId val="1222154325"/>
        <c:axId val="572331889"/>
      </c:scatterChart>
      <c:valAx>
        <c:axId val="122215432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72331889"/>
      </c:valAx>
      <c:valAx>
        <c:axId val="5723318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22154325"/>
      </c:valAx>
    </c:plotArea>
    <c:legend>
      <c:legendPos val="r"/>
      <c:overlay val="0"/>
      <c:txPr>
        <a:bodyPr/>
        <a:lstStyle/>
        <a:p>
          <a:pPr lvl="0">
            <a:defRPr b="0">
              <a:solidFill>
                <a:srgbClr val="000000"/>
              </a:solidFill>
              <a:latin typeface="Roboto"/>
            </a:defRPr>
          </a:pPr>
        </a:p>
      </c:txPr>
    </c:legend>
    <c:plotVisOnly val="1"/>
  </c:chart>
</c:chartSpace>
</file>

<file path=xl/charts/chart6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Midstream)'!$A$60</c:f>
            </c:strRef>
          </c:tx>
          <c:spPr>
            <a:ln cmpd="sng">
              <a:solidFill>
                <a:srgbClr val="4285F4"/>
              </a:solidFill>
            </a:ln>
          </c:spPr>
          <c:marker>
            <c:symbol val="none"/>
          </c:marker>
          <c:trendline>
            <c:name>Trendline for Total Retirements FERC 2 ($billion)</c:name>
            <c:spPr>
              <a:ln w="19050">
                <a:solidFill>
                  <a:srgbClr val="000000"/>
                </a:solidFill>
              </a:ln>
            </c:spPr>
            <c:trendlineType val="exp"/>
            <c:dispRSqr val="0"/>
            <c:dispEq val="0"/>
          </c:trendline>
          <c:val>
            <c:numRef>
              <c:f>'Assumptions (NG Midstream)'!$B$60:$R$60</c:f>
              <c:numCache/>
            </c:numRef>
          </c:val>
          <c:smooth val="0"/>
        </c:ser>
        <c:ser>
          <c:idx val="1"/>
          <c:order val="1"/>
          <c:tx>
            <c:strRef>
              <c:f>'Assumptions (NG Midstream)'!$A$61</c:f>
            </c:strRef>
          </c:tx>
          <c:spPr>
            <a:ln cmpd="sng">
              <a:solidFill>
                <a:srgbClr val="DB4437"/>
              </a:solidFill>
            </a:ln>
          </c:spPr>
          <c:marker>
            <c:symbol val="none"/>
          </c:marker>
          <c:trendline>
            <c:name>Trendline for Total Adjustments FERC 2 ($billion)</c:name>
            <c:spPr>
              <a:ln w="19050">
                <a:solidFill>
                  <a:srgbClr val="000000"/>
                </a:solidFill>
              </a:ln>
            </c:spPr>
            <c:trendlineType val="exp"/>
            <c:dispRSqr val="0"/>
            <c:dispEq val="0"/>
          </c:trendline>
          <c:val>
            <c:numRef>
              <c:f>'Assumptions (NG Midstream)'!$B$61:$R$61</c:f>
              <c:numCache/>
            </c:numRef>
          </c:val>
          <c:smooth val="0"/>
        </c:ser>
        <c:ser>
          <c:idx val="2"/>
          <c:order val="2"/>
          <c:tx>
            <c:strRef>
              <c:f>'Assumptions (NG Midstream)'!$A$62</c:f>
            </c:strRef>
          </c:tx>
          <c:spPr>
            <a:ln cmpd="sng">
              <a:solidFill>
                <a:srgbClr val="F4B400"/>
              </a:solidFill>
            </a:ln>
          </c:spPr>
          <c:marker>
            <c:symbol val="none"/>
          </c:marker>
          <c:trendline>
            <c:name/>
            <c:spPr>
              <a:ln w="19050">
                <a:solidFill>
                  <a:srgbClr val="000000"/>
                </a:solidFill>
              </a:ln>
            </c:spPr>
            <c:trendlineType val="exp"/>
            <c:dispRSqr val="0"/>
            <c:dispEq val="0"/>
          </c:trendline>
          <c:val>
            <c:numRef>
              <c:f>'Assumptions (NG Midstream)'!$B$62:$R$62</c:f>
              <c:numCache/>
            </c:numRef>
          </c:val>
          <c:smooth val="0"/>
        </c:ser>
        <c:axId val="1897883858"/>
        <c:axId val="2046166665"/>
      </c:lineChart>
      <c:catAx>
        <c:axId val="189788385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46166665"/>
      </c:catAx>
      <c:valAx>
        <c:axId val="20461666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97883858"/>
      </c:valAx>
    </c:plotArea>
    <c:legend>
      <c:legendPos val="r"/>
      <c:overlay val="0"/>
      <c:txPr>
        <a:bodyPr/>
        <a:lstStyle/>
        <a:p>
          <a:pPr lvl="0">
            <a:defRPr b="0">
              <a:solidFill>
                <a:srgbClr val="000000"/>
              </a:solidFill>
              <a:latin typeface="Roboto"/>
            </a:defRPr>
          </a:pPr>
        </a:p>
      </c:txPr>
    </c:legend>
    <c:plotVisOnly val="1"/>
  </c:chart>
</c:chartSpace>
</file>

<file path=xl/charts/chart6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Beginning Year Balance  FERC 2 ($billion), Total Additions FERC 2 ($billion), Total Retirements FERC 2 ($billion), Total Adjustments FERC 2 ($billion) and Total Transfers FERC 2 ($billion)</a:t>
            </a:r>
          </a:p>
        </c:rich>
      </c:tx>
      <c:overlay val="0"/>
    </c:title>
    <c:plotArea>
      <c:layout/>
      <c:lineChart>
        <c:ser>
          <c:idx val="1"/>
          <c:order val="1"/>
          <c:tx>
            <c:strRef>
              <c:f>'Assumptions (NG Midstream)'!$A$59</c:f>
            </c:strRef>
          </c:tx>
          <c:spPr>
            <a:ln cmpd="sng">
              <a:solidFill>
                <a:srgbClr val="DB4437"/>
              </a:solidFill>
            </a:ln>
          </c:spPr>
          <c:marker>
            <c:symbol val="none"/>
          </c:marker>
          <c:cat>
            <c:strRef>
              <c:f>'Assumptions (NG Midstream)'!$B$80:$AZ$80</c:f>
            </c:strRef>
          </c:cat>
          <c:val>
            <c:numRef>
              <c:f>'Assumptions (NG Midstream)'!$B$59:$AZ$59</c:f>
              <c:numCache/>
            </c:numRef>
          </c:val>
          <c:smooth val="0"/>
        </c:ser>
        <c:ser>
          <c:idx val="2"/>
          <c:order val="2"/>
          <c:tx>
            <c:strRef>
              <c:f>'Assumptions (NG Midstream)'!$A$60</c:f>
            </c:strRef>
          </c:tx>
          <c:spPr>
            <a:ln cmpd="sng">
              <a:solidFill>
                <a:srgbClr val="F4B400"/>
              </a:solidFill>
            </a:ln>
          </c:spPr>
          <c:marker>
            <c:symbol val="none"/>
          </c:marker>
          <c:cat>
            <c:strRef>
              <c:f>'Assumptions (NG Midstream)'!$B$80:$AZ$80</c:f>
            </c:strRef>
          </c:cat>
          <c:val>
            <c:numRef>
              <c:f>'Assumptions (NG Midstream)'!$B$60:$AZ$60</c:f>
              <c:numCache/>
            </c:numRef>
          </c:val>
          <c:smooth val="0"/>
        </c:ser>
        <c:ser>
          <c:idx val="3"/>
          <c:order val="3"/>
          <c:tx>
            <c:strRef>
              <c:f>'Assumptions (NG Midstream)'!$A$64</c:f>
            </c:strRef>
          </c:tx>
          <c:spPr>
            <a:ln cmpd="sng">
              <a:solidFill>
                <a:srgbClr val="0F9D58"/>
              </a:solidFill>
            </a:ln>
          </c:spPr>
          <c:marker>
            <c:symbol val="none"/>
          </c:marker>
          <c:cat>
            <c:strRef>
              <c:f>'Assumptions (NG Midstream)'!$B$80:$AZ$80</c:f>
            </c:strRef>
          </c:cat>
          <c:val>
            <c:numRef>
              <c:f>'Assumptions (NG Midstream)'!$B$64:$AZ$64</c:f>
              <c:numCache/>
            </c:numRef>
          </c:val>
          <c:smooth val="0"/>
        </c:ser>
        <c:ser>
          <c:idx val="4"/>
          <c:order val="4"/>
          <c:tx>
            <c:strRef>
              <c:f>'Assumptions (NG Midstream)'!$A$65</c:f>
            </c:strRef>
          </c:tx>
          <c:spPr>
            <a:ln cmpd="sng">
              <a:solidFill>
                <a:srgbClr val="FF6D00"/>
              </a:solidFill>
            </a:ln>
          </c:spPr>
          <c:marker>
            <c:symbol val="none"/>
          </c:marker>
          <c:cat>
            <c:strRef>
              <c:f>'Assumptions (NG Midstream)'!$B$80:$AZ$80</c:f>
            </c:strRef>
          </c:cat>
          <c:val>
            <c:numRef>
              <c:f>'Assumptions (NG Midstream)'!$B$65:$AZ$65</c:f>
              <c:numCache/>
            </c:numRef>
          </c:val>
          <c:smooth val="0"/>
        </c:ser>
        <c:axId val="974593246"/>
        <c:axId val="1098422882"/>
      </c:lineChart>
      <c:catAx>
        <c:axId val="97459324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98422882"/>
      </c:catAx>
      <c:valAx>
        <c:axId val="10984228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74593246"/>
      </c:valAx>
      <c:lineChart>
        <c:varyColors val="0"/>
        <c:ser>
          <c:idx val="0"/>
          <c:order val="0"/>
          <c:tx>
            <c:strRef>
              <c:f>'Assumptions (NG Midstream)'!$A$58</c:f>
            </c:strRef>
          </c:tx>
          <c:spPr>
            <a:ln cmpd="sng" w="76200">
              <a:solidFill>
                <a:srgbClr val="4285F4"/>
              </a:solidFill>
              <a:prstDash val="sysDot"/>
            </a:ln>
          </c:spPr>
          <c:marker>
            <c:symbol val="none"/>
          </c:marker>
          <c:cat>
            <c:strRef>
              <c:f>'Assumptions (NG Midstream)'!$B$80:$AZ$80</c:f>
            </c:strRef>
          </c:cat>
          <c:val>
            <c:numRef>
              <c:f>'Assumptions (NG Midstream)'!$B$58:$AZ$58</c:f>
              <c:numCache/>
            </c:numRef>
          </c:val>
          <c:smooth val="0"/>
        </c:ser>
        <c:axId val="757130257"/>
        <c:axId val="1145704886"/>
      </c:lineChart>
      <c:catAx>
        <c:axId val="757130257"/>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145704886"/>
      </c:catAx>
      <c:valAx>
        <c:axId val="1145704886"/>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1155CC"/>
                </a:solidFill>
                <a:latin typeface="Roboto"/>
              </a:defRPr>
            </a:pPr>
          </a:p>
        </c:txPr>
        <c:crossAx val="757130257"/>
        <c:crosses val="max"/>
      </c:valAx>
    </c:plotArea>
    <c:legend>
      <c:legendPos val="r"/>
      <c:overlay val="0"/>
      <c:txPr>
        <a:bodyPr/>
        <a:lstStyle/>
        <a:p>
          <a:pPr lvl="0">
            <a:defRPr b="0">
              <a:solidFill>
                <a:srgbClr val="000000"/>
              </a:solidFill>
              <a:latin typeface="Roboto"/>
            </a:defRPr>
          </a:pPr>
        </a:p>
      </c:txPr>
    </c:legend>
    <c:plotVisOnly val="1"/>
  </c:chart>
</c:chartSpace>
</file>

<file path=xl/charts/chart7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Midstream)'!$B$1:$R$1</c:f>
            </c:numRef>
          </c:xVal>
          <c:yVal>
            <c:numRef>
              <c:f>'Assumptions (NG Midstream)'!$B$64:$R$64</c:f>
              <c:numCache/>
            </c:numRef>
          </c:yVal>
        </c:ser>
        <c:dLbls>
          <c:showLegendKey val="0"/>
          <c:showVal val="0"/>
          <c:showCatName val="0"/>
          <c:showSerName val="0"/>
          <c:showPercent val="0"/>
          <c:showBubbleSize val="0"/>
        </c:dLbls>
        <c:axId val="501749551"/>
        <c:axId val="271524599"/>
      </c:scatterChart>
      <c:valAx>
        <c:axId val="50174955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71524599"/>
      </c:valAx>
      <c:valAx>
        <c:axId val="2715245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01749551"/>
      </c:valAx>
    </c:plotArea>
    <c:legend>
      <c:legendPos val="r"/>
      <c:overlay val="0"/>
      <c:txPr>
        <a:bodyPr/>
        <a:lstStyle/>
        <a:p>
          <a:pPr lvl="0">
            <a:defRPr b="0">
              <a:solidFill>
                <a:srgbClr val="000000"/>
              </a:solidFill>
              <a:latin typeface="Roboto"/>
            </a:defRPr>
          </a:pPr>
        </a:p>
      </c:txPr>
    </c:legend>
    <c:plotVisOnly val="1"/>
  </c:chart>
</c:chartSpace>
</file>

<file path=xl/charts/chart7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nominal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Population'!$R$9:$AZ$9</c:f>
            </c:numRef>
          </c:xVal>
          <c:yVal>
            <c:numRef>
              <c:f>'Inflation GDP Population'!$R$3:$AZ$3</c:f>
              <c:numCache/>
            </c:numRef>
          </c:yVal>
        </c:ser>
        <c:dLbls>
          <c:showLegendKey val="0"/>
          <c:showVal val="0"/>
          <c:showCatName val="0"/>
          <c:showSerName val="0"/>
          <c:showPercent val="0"/>
          <c:showBubbleSize val="0"/>
        </c:dLbls>
        <c:axId val="816270474"/>
        <c:axId val="570025217"/>
      </c:scatterChart>
      <c:valAx>
        <c:axId val="816270474"/>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(nominal,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570025217"/>
      </c:valAx>
      <c:valAx>
        <c:axId val="570025217"/>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(nominal,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816270474"/>
      </c:valAx>
      <c:spPr>
        <a:solidFill>
          <a:srgbClr val="FFFFFF"/>
        </a:solidFill>
      </c:spPr>
    </c:plotArea>
    <c:plotVisOnly val="1"/>
  </c:chart>
  <c:spPr>
    <a:solidFill>
      <a:srgbClr val="FFFFFF"/>
    </a:solidFill>
  </c:spPr>
</c:chartSpace>
</file>

<file path=xl/charts/chart7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real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Population'!$R$8:$AZ$8</c:f>
            </c:numRef>
          </c:xVal>
          <c:yVal>
            <c:numRef>
              <c:f>'Inflation GDP Population'!$R$2:$AZ$2</c:f>
              <c:numCache/>
            </c:numRef>
          </c:yVal>
        </c:ser>
        <c:dLbls>
          <c:showLegendKey val="0"/>
          <c:showVal val="0"/>
          <c:showCatName val="0"/>
          <c:showSerName val="0"/>
          <c:showPercent val="0"/>
          <c:showBubbleSize val="0"/>
        </c:dLbls>
        <c:axId val="601124407"/>
        <c:axId val="12006026"/>
      </c:scatterChart>
      <c:valAx>
        <c:axId val="601124407"/>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(real,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2006026"/>
      </c:valAx>
      <c:valAx>
        <c:axId val="12006026"/>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(real,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601124407"/>
      </c:valAx>
      <c:spPr>
        <a:solidFill>
          <a:srgbClr val="FFFFFF"/>
        </a:solidFill>
      </c:spPr>
    </c:plotArea>
    <c:plotVisOnly val="1"/>
  </c:chart>
  <c:spPr>
    <a:solidFill>
      <a:srgbClr val="FFFFFF"/>
    </a:solidFill>
  </c:spPr>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27.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8.xml"/></Relationships>
</file>

<file path=xl/chartsheets/sheet1.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chartsheets/sheet2.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11" Type="http://schemas.openxmlformats.org/officeDocument/2006/relationships/chart" Target="../charts/chart11.xml"/><Relationship Id="rId10" Type="http://schemas.openxmlformats.org/officeDocument/2006/relationships/chart" Target="../charts/chart10.xml"/><Relationship Id="rId9" Type="http://schemas.openxmlformats.org/officeDocument/2006/relationships/chart" Target="../charts/chart9.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 Id="rId2" Type="http://schemas.openxmlformats.org/officeDocument/2006/relationships/chart" Target="../charts/chart13.xml"/><Relationship Id="rId3"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1" Type="http://schemas.openxmlformats.org/officeDocument/2006/relationships/chart" Target="../charts/chart25.xml"/><Relationship Id="rId10" Type="http://schemas.openxmlformats.org/officeDocument/2006/relationships/chart" Target="../charts/chart24.xml"/><Relationship Id="rId13" Type="http://schemas.openxmlformats.org/officeDocument/2006/relationships/chart" Target="../charts/chart27.xml"/><Relationship Id="rId12" Type="http://schemas.openxmlformats.org/officeDocument/2006/relationships/chart" Target="../charts/chart26.xml"/><Relationship Id="rId1" Type="http://schemas.openxmlformats.org/officeDocument/2006/relationships/chart" Target="../charts/chart15.xml"/><Relationship Id="rId2" Type="http://schemas.openxmlformats.org/officeDocument/2006/relationships/chart" Target="../charts/chart16.xml"/><Relationship Id="rId3" Type="http://schemas.openxmlformats.org/officeDocument/2006/relationships/chart" Target="../charts/chart17.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 Id="rId5" Type="http://schemas.openxmlformats.org/officeDocument/2006/relationships/chart" Target="../charts/chart19.xml"/><Relationship Id="rId6" Type="http://schemas.openxmlformats.org/officeDocument/2006/relationships/chart" Target="../charts/chart20.xml"/><Relationship Id="rId7" Type="http://schemas.openxmlformats.org/officeDocument/2006/relationships/chart" Target="../charts/chart21.xml"/><Relationship Id="rId8"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11" Type="http://schemas.openxmlformats.org/officeDocument/2006/relationships/chart" Target="../charts/chart39.xml"/><Relationship Id="rId10" Type="http://schemas.openxmlformats.org/officeDocument/2006/relationships/chart" Target="../charts/chart38.xml"/><Relationship Id="rId13" Type="http://schemas.openxmlformats.org/officeDocument/2006/relationships/chart" Target="../charts/chart41.xml"/><Relationship Id="rId12" Type="http://schemas.openxmlformats.org/officeDocument/2006/relationships/chart" Target="../charts/chart40.xml"/><Relationship Id="rId1" Type="http://schemas.openxmlformats.org/officeDocument/2006/relationships/chart" Target="../charts/chart29.xml"/><Relationship Id="rId2" Type="http://schemas.openxmlformats.org/officeDocument/2006/relationships/chart" Target="../charts/chart30.xml"/><Relationship Id="rId3" Type="http://schemas.openxmlformats.org/officeDocument/2006/relationships/chart" Target="../charts/chart31.xml"/><Relationship Id="rId4" Type="http://schemas.openxmlformats.org/officeDocument/2006/relationships/chart" Target="../charts/chart32.xml"/><Relationship Id="rId9" Type="http://schemas.openxmlformats.org/officeDocument/2006/relationships/chart" Target="../charts/chart37.xml"/><Relationship Id="rId15" Type="http://schemas.openxmlformats.org/officeDocument/2006/relationships/image" Target="../media/image1.png"/><Relationship Id="rId14" Type="http://schemas.openxmlformats.org/officeDocument/2006/relationships/chart" Target="../charts/chart42.xml"/><Relationship Id="rId5" Type="http://schemas.openxmlformats.org/officeDocument/2006/relationships/chart" Target="../charts/chart33.xml"/><Relationship Id="rId6" Type="http://schemas.openxmlformats.org/officeDocument/2006/relationships/chart" Target="../charts/chart34.xml"/><Relationship Id="rId7" Type="http://schemas.openxmlformats.org/officeDocument/2006/relationships/chart" Target="../charts/chart35.xml"/><Relationship Id="rId8"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11" Type="http://schemas.openxmlformats.org/officeDocument/2006/relationships/chart" Target="../charts/chart53.xml"/><Relationship Id="rId10" Type="http://schemas.openxmlformats.org/officeDocument/2006/relationships/chart" Target="../charts/chart52.xml"/><Relationship Id="rId13" Type="http://schemas.openxmlformats.org/officeDocument/2006/relationships/chart" Target="../charts/chart55.xml"/><Relationship Id="rId12" Type="http://schemas.openxmlformats.org/officeDocument/2006/relationships/chart" Target="../charts/chart54.xml"/><Relationship Id="rId1" Type="http://schemas.openxmlformats.org/officeDocument/2006/relationships/chart" Target="../charts/chart43.xml"/><Relationship Id="rId2" Type="http://schemas.openxmlformats.org/officeDocument/2006/relationships/chart" Target="../charts/chart44.xml"/><Relationship Id="rId3" Type="http://schemas.openxmlformats.org/officeDocument/2006/relationships/chart" Target="../charts/chart45.xml"/><Relationship Id="rId4" Type="http://schemas.openxmlformats.org/officeDocument/2006/relationships/chart" Target="../charts/chart46.xml"/><Relationship Id="rId9" Type="http://schemas.openxmlformats.org/officeDocument/2006/relationships/chart" Target="../charts/chart51.xml"/><Relationship Id="rId15" Type="http://schemas.openxmlformats.org/officeDocument/2006/relationships/chart" Target="../charts/chart57.xml"/><Relationship Id="rId14" Type="http://schemas.openxmlformats.org/officeDocument/2006/relationships/chart" Target="../charts/chart56.xml"/><Relationship Id="rId16" Type="http://schemas.openxmlformats.org/officeDocument/2006/relationships/chart" Target="../charts/chart58.xml"/><Relationship Id="rId5" Type="http://schemas.openxmlformats.org/officeDocument/2006/relationships/chart" Target="../charts/chart47.xml"/><Relationship Id="rId6" Type="http://schemas.openxmlformats.org/officeDocument/2006/relationships/chart" Target="../charts/chart48.xml"/><Relationship Id="rId7" Type="http://schemas.openxmlformats.org/officeDocument/2006/relationships/chart" Target="../charts/chart49.xml"/><Relationship Id="rId8" Type="http://schemas.openxmlformats.org/officeDocument/2006/relationships/chart" Target="../charts/chart50.xml"/></Relationships>
</file>

<file path=xl/drawings/_rels/drawing14.xml.rels><?xml version="1.0" encoding="UTF-8" standalone="yes"?><Relationships xmlns="http://schemas.openxmlformats.org/package/2006/relationships"><Relationship Id="rId11" Type="http://schemas.openxmlformats.org/officeDocument/2006/relationships/chart" Target="../charts/chart69.xml"/><Relationship Id="rId10" Type="http://schemas.openxmlformats.org/officeDocument/2006/relationships/chart" Target="../charts/chart68.xml"/><Relationship Id="rId12" Type="http://schemas.openxmlformats.org/officeDocument/2006/relationships/chart" Target="../charts/chart70.xml"/><Relationship Id="rId1" Type="http://schemas.openxmlformats.org/officeDocument/2006/relationships/chart" Target="../charts/chart59.xml"/><Relationship Id="rId2" Type="http://schemas.openxmlformats.org/officeDocument/2006/relationships/chart" Target="../charts/chart60.xml"/><Relationship Id="rId3" Type="http://schemas.openxmlformats.org/officeDocument/2006/relationships/chart" Target="../charts/chart61.xml"/><Relationship Id="rId4" Type="http://schemas.openxmlformats.org/officeDocument/2006/relationships/chart" Target="../charts/chart62.xml"/><Relationship Id="rId9" Type="http://schemas.openxmlformats.org/officeDocument/2006/relationships/chart" Target="../charts/chart67.xml"/><Relationship Id="rId5" Type="http://schemas.openxmlformats.org/officeDocument/2006/relationships/chart" Target="../charts/chart63.xml"/><Relationship Id="rId6" Type="http://schemas.openxmlformats.org/officeDocument/2006/relationships/chart" Target="../charts/chart64.xml"/><Relationship Id="rId7" Type="http://schemas.openxmlformats.org/officeDocument/2006/relationships/chart" Target="../charts/chart65.xml"/><Relationship Id="rId8" Type="http://schemas.openxmlformats.org/officeDocument/2006/relationships/chart" Target="../charts/chart6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7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314325</xdr:colOff>
      <xdr:row>0</xdr:row>
      <xdr:rowOff>9525</xdr:rowOff>
    </xdr:from>
    <xdr:ext cx="8486775" cy="44862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323850</xdr:colOff>
      <xdr:row>23</xdr:row>
      <xdr:rowOff>9525</xdr:rowOff>
    </xdr:from>
    <xdr:ext cx="8486775" cy="40100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171450</xdr:colOff>
      <xdr:row>0</xdr:row>
      <xdr:rowOff>9525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352425</xdr:colOff>
      <xdr:row>20</xdr:row>
      <xdr:rowOff>9525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17</xdr:col>
      <xdr:colOff>352425</xdr:colOff>
      <xdr:row>37</xdr:row>
      <xdr:rowOff>190500</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17</xdr:col>
      <xdr:colOff>352425</xdr:colOff>
      <xdr:row>56</xdr:row>
      <xdr:rowOff>9525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323850</xdr:colOff>
      <xdr:row>43</xdr:row>
      <xdr:rowOff>180975</xdr:rowOff>
    </xdr:from>
    <xdr:ext cx="8486775" cy="401002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314325</xdr:colOff>
      <xdr:row>82</xdr:row>
      <xdr:rowOff>9525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0</xdr:col>
      <xdr:colOff>314325</xdr:colOff>
      <xdr:row>99</xdr:row>
      <xdr:rowOff>123825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0</xdr:col>
      <xdr:colOff>314325</xdr:colOff>
      <xdr:row>64</xdr:row>
      <xdr:rowOff>28575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15</xdr:col>
      <xdr:colOff>171450</xdr:colOff>
      <xdr:row>0</xdr:row>
      <xdr:rowOff>9525</xdr:rowOff>
    </xdr:from>
    <xdr:ext cx="5715000" cy="353377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238125</xdr:colOff>
      <xdr:row>54</xdr:row>
      <xdr:rowOff>161925</xdr:rowOff>
    </xdr:from>
    <xdr:ext cx="6324600" cy="3533775"/>
    <xdr:graphicFrame>
      <xdr:nvGraphicFramePr>
        <xdr:cNvPr id="12" name="Chart 1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42</xdr:col>
      <xdr:colOff>666750</xdr:colOff>
      <xdr:row>55</xdr:row>
      <xdr:rowOff>85725</xdr:rowOff>
    </xdr:from>
    <xdr:ext cx="7943850" cy="3533775"/>
    <xdr:graphicFrame>
      <xdr:nvGraphicFramePr>
        <xdr:cNvPr id="13" name="Chart 1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41</xdr:col>
      <xdr:colOff>809625</xdr:colOff>
      <xdr:row>28</xdr:row>
      <xdr:rowOff>123825</xdr:rowOff>
    </xdr:from>
    <xdr:ext cx="5715000" cy="2457450"/>
    <xdr:graphicFrame>
      <xdr:nvGraphicFramePr>
        <xdr:cNvPr id="14" name="Chart 14"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57150</xdr:colOff>
      <xdr:row>83</xdr:row>
      <xdr:rowOff>76200</xdr:rowOff>
    </xdr:from>
    <xdr:ext cx="5715000" cy="2790825"/>
    <xdr:graphicFrame>
      <xdr:nvGraphicFramePr>
        <xdr:cNvPr id="15" name="Chart 1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21</xdr:col>
      <xdr:colOff>171450</xdr:colOff>
      <xdr:row>68</xdr:row>
      <xdr:rowOff>171450</xdr:rowOff>
    </xdr:from>
    <xdr:ext cx="5305425" cy="2257425"/>
    <xdr:graphicFrame>
      <xdr:nvGraphicFramePr>
        <xdr:cNvPr id="16" name="Chart 1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21</xdr:col>
      <xdr:colOff>57150</xdr:colOff>
      <xdr:row>225</xdr:row>
      <xdr:rowOff>38100</xdr:rowOff>
    </xdr:from>
    <xdr:ext cx="5715000" cy="2162175"/>
    <xdr:graphicFrame>
      <xdr:nvGraphicFramePr>
        <xdr:cNvPr id="17" name="Chart 1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257175</xdr:colOff>
      <xdr:row>242</xdr:row>
      <xdr:rowOff>57150</xdr:rowOff>
    </xdr:from>
    <xdr:ext cx="2667000" cy="1562100"/>
    <xdr:graphicFrame>
      <xdr:nvGraphicFramePr>
        <xdr:cNvPr id="18" name="Chart 18"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21</xdr:col>
      <xdr:colOff>57150</xdr:colOff>
      <xdr:row>243</xdr:row>
      <xdr:rowOff>28575</xdr:rowOff>
    </xdr:from>
    <xdr:ext cx="3667125" cy="1781175"/>
    <xdr:graphicFrame>
      <xdr:nvGraphicFramePr>
        <xdr:cNvPr id="19" name="Chart 19"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27</xdr:col>
      <xdr:colOff>209550</xdr:colOff>
      <xdr:row>243</xdr:row>
      <xdr:rowOff>28575</xdr:rowOff>
    </xdr:from>
    <xdr:ext cx="3667125" cy="1781175"/>
    <xdr:graphicFrame>
      <xdr:nvGraphicFramePr>
        <xdr:cNvPr id="20" name="Chart 20"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24</xdr:col>
      <xdr:colOff>323850</xdr:colOff>
      <xdr:row>253</xdr:row>
      <xdr:rowOff>161925</xdr:rowOff>
    </xdr:from>
    <xdr:ext cx="3667125" cy="1781175"/>
    <xdr:graphicFrame>
      <xdr:nvGraphicFramePr>
        <xdr:cNvPr id="21" name="Chart 21"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21</xdr:col>
      <xdr:colOff>95250</xdr:colOff>
      <xdr:row>263</xdr:row>
      <xdr:rowOff>66675</xdr:rowOff>
    </xdr:from>
    <xdr:ext cx="5629275" cy="2419350"/>
    <xdr:graphicFrame>
      <xdr:nvGraphicFramePr>
        <xdr:cNvPr id="22" name="Chart 22"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xdr:col>
      <xdr:colOff>104775</xdr:colOff>
      <xdr:row>321</xdr:row>
      <xdr:rowOff>114300</xdr:rowOff>
    </xdr:from>
    <xdr:ext cx="5715000" cy="3533775"/>
    <xdr:graphicFrame>
      <xdr:nvGraphicFramePr>
        <xdr:cNvPr id="23" name="Chart 23"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19050</xdr:colOff>
      <xdr:row>325</xdr:row>
      <xdr:rowOff>28575</xdr:rowOff>
    </xdr:from>
    <xdr:ext cx="5581650" cy="2705100"/>
    <xdr:graphicFrame>
      <xdr:nvGraphicFramePr>
        <xdr:cNvPr id="24" name="Chart 24"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19050</xdr:colOff>
      <xdr:row>339</xdr:row>
      <xdr:rowOff>57150</xdr:rowOff>
    </xdr:from>
    <xdr:ext cx="5581650" cy="2705100"/>
    <xdr:graphicFrame>
      <xdr:nvGraphicFramePr>
        <xdr:cNvPr id="25" name="Chart 25"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31</xdr:col>
      <xdr:colOff>19050</xdr:colOff>
      <xdr:row>173</xdr:row>
      <xdr:rowOff>9525</xdr:rowOff>
    </xdr:from>
    <xdr:ext cx="5715000" cy="2162175"/>
    <xdr:graphicFrame>
      <xdr:nvGraphicFramePr>
        <xdr:cNvPr id="26" name="Chart 26"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22</xdr:col>
      <xdr:colOff>66675</xdr:colOff>
      <xdr:row>188</xdr:row>
      <xdr:rowOff>28575</xdr:rowOff>
    </xdr:from>
    <xdr:ext cx="5715000" cy="3143250"/>
    <xdr:graphicFrame>
      <xdr:nvGraphicFramePr>
        <xdr:cNvPr id="27" name="Chart 27"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21</xdr:col>
      <xdr:colOff>266700</xdr:colOff>
      <xdr:row>290</xdr:row>
      <xdr:rowOff>85725</xdr:rowOff>
    </xdr:from>
    <xdr:ext cx="3886200" cy="2419350"/>
    <xdr:graphicFrame>
      <xdr:nvGraphicFramePr>
        <xdr:cNvPr id="28" name="Chart 28" title="Chart"/>
        <xdr:cNvGraphicFramePr/>
      </xdr:nvGraphicFramePr>
      <xdr:xfrm>
        <a:off x="0" y="0"/>
        <a:ext cx="0" cy="0"/>
      </xdr:xfrm>
      <a:graphic>
        <a:graphicData uri="http://schemas.openxmlformats.org/drawingml/2006/chart">
          <c:chart r:id="rId14"/>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180975</xdr:colOff>
      <xdr:row>27</xdr:row>
      <xdr:rowOff>257175</xdr:rowOff>
    </xdr:from>
    <xdr:ext cx="4733925" cy="2905125"/>
    <xdr:graphicFrame>
      <xdr:nvGraphicFramePr>
        <xdr:cNvPr id="29" name="Chart 29"/>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20</xdr:col>
      <xdr:colOff>466725</xdr:colOff>
      <xdr:row>27</xdr:row>
      <xdr:rowOff>266700</xdr:rowOff>
    </xdr:from>
    <xdr:ext cx="4352925" cy="2981325"/>
    <xdr:graphicFrame>
      <xdr:nvGraphicFramePr>
        <xdr:cNvPr id="30" name="Chart 30"/>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28</xdr:col>
      <xdr:colOff>361950</xdr:colOff>
      <xdr:row>27</xdr:row>
      <xdr:rowOff>276225</xdr:rowOff>
    </xdr:from>
    <xdr:ext cx="4352925" cy="2971800"/>
    <xdr:graphicFrame>
      <xdr:nvGraphicFramePr>
        <xdr:cNvPr id="31" name="Chart 31"/>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36</xdr:col>
      <xdr:colOff>333375</xdr:colOff>
      <xdr:row>27</xdr:row>
      <xdr:rowOff>295275</xdr:rowOff>
    </xdr:from>
    <xdr:ext cx="4371975" cy="2905125"/>
    <xdr:graphicFrame>
      <xdr:nvGraphicFramePr>
        <xdr:cNvPr id="32" name="Chart 32"/>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44</xdr:col>
      <xdr:colOff>276225</xdr:colOff>
      <xdr:row>27</xdr:row>
      <xdr:rowOff>361950</xdr:rowOff>
    </xdr:from>
    <xdr:ext cx="4371975" cy="2905125"/>
    <xdr:graphicFrame>
      <xdr:nvGraphicFramePr>
        <xdr:cNvPr id="33" name="Chart 3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44</xdr:col>
      <xdr:colOff>266700</xdr:colOff>
      <xdr:row>43</xdr:row>
      <xdr:rowOff>76200</xdr:rowOff>
    </xdr:from>
    <xdr:ext cx="4391025" cy="2952750"/>
    <xdr:graphicFrame>
      <xdr:nvGraphicFramePr>
        <xdr:cNvPr id="34" name="Chart 3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52</xdr:col>
      <xdr:colOff>161925</xdr:colOff>
      <xdr:row>27</xdr:row>
      <xdr:rowOff>333375</xdr:rowOff>
    </xdr:from>
    <xdr:ext cx="4391025" cy="2905125"/>
    <xdr:graphicFrame>
      <xdr:nvGraphicFramePr>
        <xdr:cNvPr id="35" name="Chart 3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9525</xdr:colOff>
      <xdr:row>76</xdr:row>
      <xdr:rowOff>180975</xdr:rowOff>
    </xdr:from>
    <xdr:ext cx="5819775" cy="3295650"/>
    <xdr:graphicFrame>
      <xdr:nvGraphicFramePr>
        <xdr:cNvPr id="36" name="Chart 3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26</xdr:col>
      <xdr:colOff>161925</xdr:colOff>
      <xdr:row>43</xdr:row>
      <xdr:rowOff>161925</xdr:rowOff>
    </xdr:from>
    <xdr:ext cx="5715000" cy="3533775"/>
    <xdr:graphicFrame>
      <xdr:nvGraphicFramePr>
        <xdr:cNvPr id="37" name="Chart 3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40</xdr:col>
      <xdr:colOff>66675</xdr:colOff>
      <xdr:row>77</xdr:row>
      <xdr:rowOff>142875</xdr:rowOff>
    </xdr:from>
    <xdr:ext cx="6905625" cy="3057525"/>
    <xdr:graphicFrame>
      <xdr:nvGraphicFramePr>
        <xdr:cNvPr id="38" name="Chart 3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66675</xdr:colOff>
      <xdr:row>76</xdr:row>
      <xdr:rowOff>180975</xdr:rowOff>
    </xdr:from>
    <xdr:ext cx="5334000" cy="3295650"/>
    <xdr:graphicFrame>
      <xdr:nvGraphicFramePr>
        <xdr:cNvPr id="39" name="Chart 3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4</xdr:col>
      <xdr:colOff>142875</xdr:colOff>
      <xdr:row>27</xdr:row>
      <xdr:rowOff>409575</xdr:rowOff>
    </xdr:from>
    <xdr:ext cx="4914900" cy="2609850"/>
    <xdr:graphicFrame>
      <xdr:nvGraphicFramePr>
        <xdr:cNvPr id="40" name="Chart 40"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52</xdr:col>
      <xdr:colOff>238125</xdr:colOff>
      <xdr:row>2</xdr:row>
      <xdr:rowOff>123825</xdr:rowOff>
    </xdr:from>
    <xdr:ext cx="4391025" cy="2705100"/>
    <xdr:graphicFrame>
      <xdr:nvGraphicFramePr>
        <xdr:cNvPr id="41" name="Chart 41"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3</xdr:col>
      <xdr:colOff>209550</xdr:colOff>
      <xdr:row>107</xdr:row>
      <xdr:rowOff>66675</xdr:rowOff>
    </xdr:from>
    <xdr:ext cx="5715000" cy="3714750"/>
    <xdr:graphicFrame>
      <xdr:nvGraphicFramePr>
        <xdr:cNvPr id="42" name="Chart 42"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0</xdr:col>
      <xdr:colOff>142875</xdr:colOff>
      <xdr:row>53</xdr:row>
      <xdr:rowOff>19050</xdr:rowOff>
    </xdr:from>
    <xdr:ext cx="4667250" cy="1000125"/>
    <xdr:pic>
      <xdr:nvPicPr>
        <xdr:cNvPr id="0" name="image1.png" title="Image"/>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266700</xdr:colOff>
      <xdr:row>3</xdr:row>
      <xdr:rowOff>38100</xdr:rowOff>
    </xdr:from>
    <xdr:ext cx="2524125" cy="1562100"/>
    <xdr:graphicFrame>
      <xdr:nvGraphicFramePr>
        <xdr:cNvPr id="43" name="Chart 4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390525</xdr:colOff>
      <xdr:row>13</xdr:row>
      <xdr:rowOff>47625</xdr:rowOff>
    </xdr:from>
    <xdr:ext cx="2524125" cy="1562100"/>
    <xdr:graphicFrame>
      <xdr:nvGraphicFramePr>
        <xdr:cNvPr id="44" name="Chart 44"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13</xdr:col>
      <xdr:colOff>390525</xdr:colOff>
      <xdr:row>24</xdr:row>
      <xdr:rowOff>47625</xdr:rowOff>
    </xdr:from>
    <xdr:ext cx="2524125" cy="1562100"/>
    <xdr:graphicFrame>
      <xdr:nvGraphicFramePr>
        <xdr:cNvPr id="45" name="Chart 45"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18</xdr:col>
      <xdr:colOff>495300</xdr:colOff>
      <xdr:row>2</xdr:row>
      <xdr:rowOff>38100</xdr:rowOff>
    </xdr:from>
    <xdr:ext cx="3829050" cy="1924050"/>
    <xdr:graphicFrame>
      <xdr:nvGraphicFramePr>
        <xdr:cNvPr id="46" name="Chart 46"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19</xdr:col>
      <xdr:colOff>9525</xdr:colOff>
      <xdr:row>13</xdr:row>
      <xdr:rowOff>38100</xdr:rowOff>
    </xdr:from>
    <xdr:ext cx="3848100" cy="1924050"/>
    <xdr:graphicFrame>
      <xdr:nvGraphicFramePr>
        <xdr:cNvPr id="47" name="Chart 47"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19</xdr:col>
      <xdr:colOff>219075</xdr:colOff>
      <xdr:row>24</xdr:row>
      <xdr:rowOff>38100</xdr:rowOff>
    </xdr:from>
    <xdr:ext cx="3105150" cy="1924050"/>
    <xdr:graphicFrame>
      <xdr:nvGraphicFramePr>
        <xdr:cNvPr id="48" name="Chart 48"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14</xdr:col>
      <xdr:colOff>504825</xdr:colOff>
      <xdr:row>59</xdr:row>
      <xdr:rowOff>180975</xdr:rowOff>
    </xdr:from>
    <xdr:ext cx="3038475" cy="1762125"/>
    <xdr:graphicFrame>
      <xdr:nvGraphicFramePr>
        <xdr:cNvPr id="49" name="Chart 49"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9</xdr:col>
      <xdr:colOff>171450</xdr:colOff>
      <xdr:row>59</xdr:row>
      <xdr:rowOff>104775</xdr:rowOff>
    </xdr:from>
    <xdr:ext cx="3105150" cy="1924050"/>
    <xdr:graphicFrame>
      <xdr:nvGraphicFramePr>
        <xdr:cNvPr id="50" name="Chart 50"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25</xdr:col>
      <xdr:colOff>371475</xdr:colOff>
      <xdr:row>60</xdr:row>
      <xdr:rowOff>142875</xdr:rowOff>
    </xdr:from>
    <xdr:ext cx="3105150" cy="1924050"/>
    <xdr:graphicFrame>
      <xdr:nvGraphicFramePr>
        <xdr:cNvPr id="51" name="Chart 51"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30</xdr:col>
      <xdr:colOff>581025</xdr:colOff>
      <xdr:row>1</xdr:row>
      <xdr:rowOff>123825</xdr:rowOff>
    </xdr:from>
    <xdr:ext cx="8296275" cy="1981200"/>
    <xdr:graphicFrame>
      <xdr:nvGraphicFramePr>
        <xdr:cNvPr id="52" name="Chart 52"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31</xdr:col>
      <xdr:colOff>9525</xdr:colOff>
      <xdr:row>13</xdr:row>
      <xdr:rowOff>9525</xdr:rowOff>
    </xdr:from>
    <xdr:ext cx="8296275" cy="1981200"/>
    <xdr:graphicFrame>
      <xdr:nvGraphicFramePr>
        <xdr:cNvPr id="53" name="Chart 53"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30</xdr:col>
      <xdr:colOff>590550</xdr:colOff>
      <xdr:row>23</xdr:row>
      <xdr:rowOff>142875</xdr:rowOff>
    </xdr:from>
    <xdr:ext cx="8296275" cy="1981200"/>
    <xdr:graphicFrame>
      <xdr:nvGraphicFramePr>
        <xdr:cNvPr id="54" name="Chart 54"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32</xdr:col>
      <xdr:colOff>19050</xdr:colOff>
      <xdr:row>60</xdr:row>
      <xdr:rowOff>85725</xdr:rowOff>
    </xdr:from>
    <xdr:ext cx="6029325" cy="2105025"/>
    <xdr:graphicFrame>
      <xdr:nvGraphicFramePr>
        <xdr:cNvPr id="55" name="Chart 55"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20</xdr:col>
      <xdr:colOff>76200</xdr:colOff>
      <xdr:row>59</xdr:row>
      <xdr:rowOff>180975</xdr:rowOff>
    </xdr:from>
    <xdr:ext cx="3057525" cy="1924050"/>
    <xdr:graphicFrame>
      <xdr:nvGraphicFramePr>
        <xdr:cNvPr id="56" name="Chart 56"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42</xdr:col>
      <xdr:colOff>361950</xdr:colOff>
      <xdr:row>59</xdr:row>
      <xdr:rowOff>114300</xdr:rowOff>
    </xdr:from>
    <xdr:ext cx="8782050" cy="2924175"/>
    <xdr:graphicFrame>
      <xdr:nvGraphicFramePr>
        <xdr:cNvPr id="57" name="Chart 57"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42</xdr:col>
      <xdr:colOff>361950</xdr:colOff>
      <xdr:row>74</xdr:row>
      <xdr:rowOff>161925</xdr:rowOff>
    </xdr:from>
    <xdr:ext cx="8181975" cy="2314575"/>
    <xdr:graphicFrame>
      <xdr:nvGraphicFramePr>
        <xdr:cNvPr id="58" name="Chart 58" title="Chart"/>
        <xdr:cNvGraphicFramePr/>
      </xdr:nvGraphicFramePr>
      <xdr:xfrm>
        <a:off x="0" y="0"/>
        <a:ext cx="0" cy="0"/>
      </xdr:xfrm>
      <a:graphic>
        <a:graphicData uri="http://schemas.openxmlformats.org/drawingml/2006/chart">
          <c:chart r:id="rId16"/>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828675</xdr:colOff>
      <xdr:row>87</xdr:row>
      <xdr:rowOff>104775</xdr:rowOff>
    </xdr:from>
    <xdr:ext cx="5715000" cy="3533775"/>
    <xdr:graphicFrame>
      <xdr:nvGraphicFramePr>
        <xdr:cNvPr id="59" name="Chart 5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400050</xdr:colOff>
      <xdr:row>87</xdr:row>
      <xdr:rowOff>104775</xdr:rowOff>
    </xdr:from>
    <xdr:ext cx="5715000" cy="3533775"/>
    <xdr:graphicFrame>
      <xdr:nvGraphicFramePr>
        <xdr:cNvPr id="60" name="Chart 6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16</xdr:col>
      <xdr:colOff>752475</xdr:colOff>
      <xdr:row>87</xdr:row>
      <xdr:rowOff>104775</xdr:rowOff>
    </xdr:from>
    <xdr:ext cx="5715000" cy="3533775"/>
    <xdr:graphicFrame>
      <xdr:nvGraphicFramePr>
        <xdr:cNvPr id="61" name="Chart 6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10</xdr:col>
      <xdr:colOff>495300</xdr:colOff>
      <xdr:row>87</xdr:row>
      <xdr:rowOff>104775</xdr:rowOff>
    </xdr:from>
    <xdr:ext cx="5715000" cy="3533775"/>
    <xdr:graphicFrame>
      <xdr:nvGraphicFramePr>
        <xdr:cNvPr id="62" name="Chart 6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xdr:col>
      <xdr:colOff>400050</xdr:colOff>
      <xdr:row>107</xdr:row>
      <xdr:rowOff>104775</xdr:rowOff>
    </xdr:from>
    <xdr:ext cx="5715000" cy="3533775"/>
    <xdr:graphicFrame>
      <xdr:nvGraphicFramePr>
        <xdr:cNvPr id="63" name="Chart 6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xdr:col>
      <xdr:colOff>400050</xdr:colOff>
      <xdr:row>127</xdr:row>
      <xdr:rowOff>0</xdr:rowOff>
    </xdr:from>
    <xdr:ext cx="5715000" cy="3533775"/>
    <xdr:graphicFrame>
      <xdr:nvGraphicFramePr>
        <xdr:cNvPr id="64" name="Chart 6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xdr:col>
      <xdr:colOff>400050</xdr:colOff>
      <xdr:row>147</xdr:row>
      <xdr:rowOff>0</xdr:rowOff>
    </xdr:from>
    <xdr:ext cx="5715000" cy="3533775"/>
    <xdr:graphicFrame>
      <xdr:nvGraphicFramePr>
        <xdr:cNvPr id="65" name="Chart 6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752475</xdr:colOff>
      <xdr:row>108</xdr:row>
      <xdr:rowOff>85725</xdr:rowOff>
    </xdr:from>
    <xdr:ext cx="5715000" cy="3533775"/>
    <xdr:graphicFrame>
      <xdr:nvGraphicFramePr>
        <xdr:cNvPr id="66" name="Chart 6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10</xdr:col>
      <xdr:colOff>581025</xdr:colOff>
      <xdr:row>107</xdr:row>
      <xdr:rowOff>142875</xdr:rowOff>
    </xdr:from>
    <xdr:ext cx="5715000" cy="3533775"/>
    <xdr:graphicFrame>
      <xdr:nvGraphicFramePr>
        <xdr:cNvPr id="67" name="Chart 6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18</xdr:col>
      <xdr:colOff>561975</xdr:colOff>
      <xdr:row>34</xdr:row>
      <xdr:rowOff>76200</xdr:rowOff>
    </xdr:from>
    <xdr:ext cx="5715000" cy="3524250"/>
    <xdr:graphicFrame>
      <xdr:nvGraphicFramePr>
        <xdr:cNvPr id="68" name="Chart 6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42</xdr:col>
      <xdr:colOff>390525</xdr:colOff>
      <xdr:row>28</xdr:row>
      <xdr:rowOff>114300</xdr:rowOff>
    </xdr:from>
    <xdr:ext cx="9124950" cy="5133975"/>
    <xdr:graphicFrame>
      <xdr:nvGraphicFramePr>
        <xdr:cNvPr id="69" name="Chart 6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22</xdr:col>
      <xdr:colOff>876300</xdr:colOff>
      <xdr:row>87</xdr:row>
      <xdr:rowOff>104775</xdr:rowOff>
    </xdr:from>
    <xdr:ext cx="5715000" cy="3533775"/>
    <xdr:graphicFrame>
      <xdr:nvGraphicFramePr>
        <xdr:cNvPr id="70" name="Chart 70" title="Chart"/>
        <xdr:cNvGraphicFramePr/>
      </xdr:nvGraphicFramePr>
      <xdr:xfrm>
        <a:off x="0" y="0"/>
        <a:ext cx="0" cy="0"/>
      </xdr:xfrm>
      <a:graphic>
        <a:graphicData uri="http://schemas.openxmlformats.org/drawingml/2006/chart">
          <c:chart r:id="rId12"/>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1" name="Chart 71"/>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2" name="Chart 72"/>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tables/table1.xml><?xml version="1.0" encoding="utf-8"?>
<table xmlns="http://schemas.openxmlformats.org/spreadsheetml/2006/main" headerRowCount="0" ref="B25:C36" displayName="Table_1" id="1">
  <tableColumns count="2">
    <tableColumn name="Column1" id="1"/>
    <tableColumn name="Column2" id="2"/>
  </tableColumns>
  <tableStyleInfo name="Assumptions (T&amp;D) old-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1.xml"/><Relationship Id="rId3"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2.xml"/><Relationship Id="rId3" Type="http://schemas.openxmlformats.org/officeDocument/2006/relationships/vmlDrawing" Target="../drawings/vmlDrawing9.vml"/><Relationship Id="rId5"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3.xml"/><Relationship Id="rId3"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4.xml"/><Relationship Id="rId3"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5.xml"/><Relationship Id="rId3"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6.xml"/><Relationship Id="rId3"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7.xml"/><Relationship Id="rId3"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8.xml"/><Relationship Id="rId3"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19.xml"/><Relationship Id="rId3" Type="http://schemas.openxmlformats.org/officeDocument/2006/relationships/vmlDrawing" Target="../drawings/vmlDrawing16.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20.xml"/><Relationship Id="rId3" Type="http://schemas.openxmlformats.org/officeDocument/2006/relationships/vmlDrawing" Target="../drawings/vmlDrawing17.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21.xml"/><Relationship Id="rId3" Type="http://schemas.openxmlformats.org/officeDocument/2006/relationships/vmlDrawing" Target="../drawings/vmlDrawing18.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22.xml"/><Relationship Id="rId3" Type="http://schemas.openxmlformats.org/officeDocument/2006/relationships/vmlDrawing" Target="../drawings/vmlDrawing19.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23.xml"/><Relationship Id="rId3" Type="http://schemas.openxmlformats.org/officeDocument/2006/relationships/vmlDrawing" Target="../drawings/vmlDrawing20.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24.xml"/><Relationship Id="rId3" Type="http://schemas.openxmlformats.org/officeDocument/2006/relationships/vmlDrawing" Target="../drawings/vmlDrawing21.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25.xml"/><Relationship Id="rId3" Type="http://schemas.openxmlformats.org/officeDocument/2006/relationships/vmlDrawing" Target="../drawings/vmlDrawing22.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26.xml"/><Relationship Id="rId3" Type="http://schemas.openxmlformats.org/officeDocument/2006/relationships/vmlDrawing" Target="../drawings/vmlDrawing2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26" width="8.71"/>
  </cols>
  <sheetData>
    <row r="1">
      <c r="A1" s="1" t="s">
        <v>0</v>
      </c>
    </row>
    <row r="2">
      <c r="A2" s="1" t="s">
        <v>1</v>
      </c>
    </row>
    <row r="3">
      <c r="A3" s="2" t="s">
        <v>2</v>
      </c>
    </row>
    <row r="4">
      <c r="A4" s="3" t="s">
        <v>3</v>
      </c>
    </row>
    <row r="5">
      <c r="A5" s="4" t="s">
        <v>4</v>
      </c>
    </row>
    <row r="6">
      <c r="A6" s="5" t="s">
        <v>5</v>
      </c>
    </row>
    <row r="7">
      <c r="A7" s="2" t="s">
        <v>6</v>
      </c>
    </row>
    <row r="8">
      <c r="A8" s="6" t="s">
        <v>7</v>
      </c>
    </row>
    <row r="9">
      <c r="A9" s="6" t="s">
        <v>8</v>
      </c>
    </row>
    <row r="10">
      <c r="A10" s="2" t="s">
        <v>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1" width="11.14"/>
    <col customWidth="1" min="2" max="2" width="25.57"/>
    <col customWidth="1" min="3" max="3" width="27.14"/>
    <col customWidth="1" min="4" max="4" width="104.43"/>
    <col customWidth="1" min="5" max="26" width="8.86"/>
  </cols>
  <sheetData>
    <row r="1" ht="14.25" customHeight="1">
      <c r="A1" s="7" t="s">
        <v>10</v>
      </c>
      <c r="E1" s="8"/>
      <c r="F1" s="8"/>
      <c r="G1" s="8"/>
      <c r="H1" s="8"/>
      <c r="I1" s="8"/>
      <c r="J1" s="8"/>
      <c r="K1" s="8"/>
      <c r="L1" s="8"/>
      <c r="M1" s="8"/>
      <c r="N1" s="8"/>
      <c r="O1" s="8"/>
      <c r="P1" s="8"/>
      <c r="Q1" s="8"/>
      <c r="R1" s="8"/>
      <c r="S1" s="8"/>
      <c r="T1" s="8"/>
      <c r="U1" s="8"/>
      <c r="V1" s="8"/>
      <c r="W1" s="8"/>
      <c r="X1" s="8"/>
      <c r="Y1" s="8"/>
      <c r="Z1" s="8"/>
    </row>
    <row r="2" ht="12.75" customHeight="1">
      <c r="E2" s="8"/>
      <c r="F2" s="8"/>
      <c r="G2" s="8"/>
      <c r="H2" s="8"/>
      <c r="I2" s="8"/>
      <c r="J2" s="8"/>
      <c r="K2" s="8"/>
      <c r="L2" s="8"/>
      <c r="M2" s="8"/>
      <c r="N2" s="8"/>
      <c r="O2" s="8"/>
      <c r="P2" s="8"/>
      <c r="Q2" s="8"/>
      <c r="R2" s="8"/>
      <c r="S2" s="8"/>
      <c r="T2" s="8"/>
      <c r="U2" s="8"/>
      <c r="V2" s="8"/>
      <c r="W2" s="8"/>
      <c r="X2" s="8"/>
      <c r="Y2" s="8"/>
      <c r="Z2" s="8"/>
    </row>
    <row r="3" ht="12.75" customHeight="1">
      <c r="E3" s="8"/>
      <c r="F3" s="8"/>
      <c r="G3" s="8"/>
      <c r="H3" s="8"/>
      <c r="I3" s="8"/>
      <c r="J3" s="8"/>
      <c r="K3" s="8"/>
      <c r="L3" s="8"/>
      <c r="M3" s="8"/>
      <c r="N3" s="8"/>
      <c r="O3" s="8"/>
      <c r="P3" s="8"/>
      <c r="Q3" s="8"/>
      <c r="R3" s="8"/>
      <c r="S3" s="8"/>
      <c r="T3" s="8"/>
      <c r="U3" s="8"/>
      <c r="V3" s="8"/>
      <c r="W3" s="8"/>
      <c r="X3" s="8"/>
      <c r="Y3" s="8"/>
      <c r="Z3" s="8"/>
    </row>
    <row r="4" ht="12.75" customHeight="1">
      <c r="E4" s="8"/>
      <c r="F4" s="8"/>
      <c r="G4" s="8"/>
      <c r="H4" s="8"/>
      <c r="I4" s="8"/>
      <c r="J4" s="8"/>
      <c r="K4" s="8"/>
      <c r="L4" s="8"/>
      <c r="M4" s="8"/>
      <c r="N4" s="8"/>
      <c r="O4" s="8"/>
      <c r="P4" s="8"/>
      <c r="Q4" s="8"/>
      <c r="R4" s="8"/>
      <c r="S4" s="8"/>
      <c r="T4" s="8"/>
      <c r="U4" s="8"/>
      <c r="V4" s="8"/>
      <c r="W4" s="8"/>
      <c r="X4" s="8"/>
      <c r="Y4" s="8"/>
      <c r="Z4" s="8"/>
    </row>
    <row r="5" ht="12.75" customHeight="1">
      <c r="E5" s="8"/>
      <c r="F5" s="8"/>
      <c r="G5" s="8"/>
      <c r="H5" s="8"/>
      <c r="I5" s="8"/>
      <c r="J5" s="8"/>
      <c r="K5" s="8"/>
      <c r="L5" s="8"/>
      <c r="M5" s="8"/>
      <c r="N5" s="8"/>
      <c r="O5" s="8"/>
      <c r="P5" s="8"/>
      <c r="Q5" s="8"/>
      <c r="R5" s="8"/>
      <c r="S5" s="8"/>
      <c r="T5" s="8"/>
      <c r="U5" s="8"/>
      <c r="V5" s="8"/>
      <c r="W5" s="8"/>
      <c r="X5" s="8"/>
      <c r="Y5" s="8"/>
      <c r="Z5" s="8"/>
    </row>
    <row r="6" ht="12.75" customHeight="1">
      <c r="E6" s="8"/>
      <c r="F6" s="8"/>
      <c r="G6" s="8"/>
      <c r="H6" s="8"/>
      <c r="I6" s="8"/>
      <c r="J6" s="8"/>
      <c r="K6" s="8"/>
      <c r="L6" s="8"/>
      <c r="M6" s="8"/>
      <c r="N6" s="8"/>
      <c r="O6" s="8"/>
      <c r="P6" s="8"/>
      <c r="Q6" s="8"/>
      <c r="R6" s="8"/>
      <c r="S6" s="8"/>
      <c r="T6" s="8"/>
      <c r="U6" s="8"/>
      <c r="V6" s="8"/>
      <c r="W6" s="8"/>
      <c r="X6" s="8"/>
      <c r="Y6" s="8"/>
      <c r="Z6" s="8"/>
    </row>
    <row r="7" ht="12.75" customHeight="1">
      <c r="E7" s="8"/>
      <c r="F7" s="8"/>
      <c r="G7" s="8"/>
      <c r="H7" s="8"/>
      <c r="I7" s="8"/>
      <c r="J7" s="8"/>
      <c r="K7" s="8"/>
      <c r="L7" s="8"/>
      <c r="M7" s="8"/>
      <c r="N7" s="8"/>
      <c r="O7" s="8"/>
      <c r="P7" s="8"/>
      <c r="Q7" s="8"/>
      <c r="R7" s="8"/>
      <c r="S7" s="8"/>
      <c r="T7" s="8"/>
      <c r="U7" s="8"/>
      <c r="V7" s="8"/>
      <c r="W7" s="8"/>
      <c r="X7" s="8"/>
      <c r="Y7" s="8"/>
      <c r="Z7" s="8"/>
    </row>
    <row r="8" ht="12.75" customHeight="1">
      <c r="A8" s="9" t="s">
        <v>11</v>
      </c>
      <c r="B8" s="9" t="s">
        <v>12</v>
      </c>
      <c r="C8" s="9" t="s">
        <v>13</v>
      </c>
      <c r="D8" s="9" t="s">
        <v>14</v>
      </c>
      <c r="E8" s="9"/>
      <c r="F8" s="9"/>
      <c r="G8" s="9"/>
      <c r="H8" s="9"/>
      <c r="I8" s="9"/>
      <c r="J8" s="9"/>
      <c r="K8" s="9"/>
      <c r="L8" s="9"/>
      <c r="M8" s="9"/>
      <c r="N8" s="9"/>
      <c r="O8" s="9"/>
      <c r="P8" s="9"/>
      <c r="Q8" s="9"/>
      <c r="R8" s="9"/>
      <c r="S8" s="9"/>
      <c r="T8" s="9"/>
      <c r="U8" s="9"/>
      <c r="V8" s="9"/>
      <c r="W8" s="9"/>
      <c r="X8" s="9"/>
      <c r="Y8" s="9"/>
      <c r="Z8" s="9"/>
    </row>
    <row r="9" ht="12.75" customHeight="1">
      <c r="A9" s="10" t="s">
        <v>15</v>
      </c>
      <c r="B9" s="8"/>
      <c r="C9" s="11" t="s">
        <v>16</v>
      </c>
      <c r="D9" s="12" t="s">
        <v>17</v>
      </c>
      <c r="E9" s="8"/>
      <c r="F9" s="8"/>
      <c r="G9" s="8"/>
      <c r="H9" s="8"/>
      <c r="I9" s="8"/>
      <c r="J9" s="8"/>
      <c r="K9" s="8"/>
      <c r="L9" s="8"/>
      <c r="M9" s="8"/>
      <c r="N9" s="8"/>
      <c r="O9" s="8"/>
      <c r="P9" s="8"/>
      <c r="Q9" s="8"/>
      <c r="R9" s="8"/>
      <c r="S9" s="8"/>
      <c r="T9" s="8"/>
      <c r="U9" s="8"/>
      <c r="V9" s="8"/>
      <c r="W9" s="8"/>
      <c r="X9" s="8"/>
      <c r="Y9" s="8"/>
      <c r="Z9" s="8"/>
    </row>
    <row r="10" ht="12.75" customHeight="1">
      <c r="A10" s="10" t="s">
        <v>18</v>
      </c>
      <c r="B10" s="8"/>
      <c r="C10" s="13" t="s">
        <v>19</v>
      </c>
      <c r="D10" s="14" t="s">
        <v>20</v>
      </c>
      <c r="E10" s="8"/>
      <c r="F10" s="8"/>
      <c r="G10" s="8"/>
      <c r="H10" s="8"/>
      <c r="I10" s="8"/>
      <c r="J10" s="8"/>
      <c r="K10" s="8"/>
      <c r="L10" s="8"/>
      <c r="M10" s="8"/>
      <c r="N10" s="8"/>
      <c r="O10" s="8"/>
      <c r="P10" s="8"/>
      <c r="Q10" s="8"/>
      <c r="R10" s="8"/>
      <c r="S10" s="8"/>
      <c r="T10" s="8"/>
      <c r="U10" s="8"/>
      <c r="V10" s="8"/>
      <c r="W10" s="8"/>
      <c r="X10" s="8"/>
      <c r="Y10" s="8"/>
      <c r="Z10" s="8"/>
    </row>
    <row r="11" ht="12.75" customHeight="1">
      <c r="A11" s="10" t="s">
        <v>21</v>
      </c>
      <c r="B11" s="8"/>
      <c r="C11" s="11" t="s">
        <v>22</v>
      </c>
      <c r="D11" s="15" t="s">
        <v>23</v>
      </c>
      <c r="E11" s="8"/>
      <c r="F11" s="8"/>
      <c r="G11" s="8"/>
      <c r="H11" s="8"/>
      <c r="I11" s="8"/>
      <c r="J11" s="8"/>
      <c r="K11" s="8"/>
      <c r="L11" s="8"/>
      <c r="M11" s="8"/>
      <c r="N11" s="8"/>
      <c r="O11" s="8"/>
      <c r="P11" s="8"/>
      <c r="Q11" s="8"/>
      <c r="R11" s="8"/>
      <c r="S11" s="8"/>
      <c r="T11" s="8"/>
      <c r="U11" s="8"/>
      <c r="V11" s="8"/>
      <c r="W11" s="8"/>
      <c r="X11" s="8"/>
      <c r="Y11" s="8"/>
      <c r="Z11" s="8"/>
    </row>
    <row r="12" ht="12.75" customHeight="1">
      <c r="A12" s="16" t="s">
        <v>24</v>
      </c>
      <c r="B12" s="8"/>
      <c r="C12" s="12"/>
      <c r="D12" s="17"/>
      <c r="E12" s="8"/>
      <c r="F12" s="8"/>
      <c r="G12" s="8"/>
      <c r="H12" s="8"/>
      <c r="I12" s="8"/>
      <c r="J12" s="8"/>
      <c r="K12" s="8"/>
      <c r="L12" s="8"/>
      <c r="M12" s="8"/>
      <c r="N12" s="8"/>
      <c r="O12" s="8"/>
      <c r="P12" s="8"/>
      <c r="Q12" s="8"/>
      <c r="R12" s="8"/>
      <c r="S12" s="8"/>
      <c r="T12" s="8"/>
      <c r="U12" s="8"/>
      <c r="V12" s="8"/>
      <c r="W12" s="8"/>
      <c r="X12" s="8"/>
      <c r="Y12" s="8"/>
      <c r="Z12" s="8"/>
    </row>
    <row r="13" ht="12.75" customHeight="1">
      <c r="A13" s="8"/>
      <c r="B13" s="18" t="s">
        <v>25</v>
      </c>
      <c r="C13" s="12" t="s">
        <v>26</v>
      </c>
      <c r="D13" s="11" t="s">
        <v>27</v>
      </c>
      <c r="E13" s="8"/>
      <c r="F13" s="8"/>
      <c r="G13" s="8"/>
      <c r="H13" s="8"/>
      <c r="I13" s="8"/>
      <c r="J13" s="8"/>
      <c r="K13" s="8"/>
      <c r="L13" s="8"/>
      <c r="M13" s="8"/>
      <c r="N13" s="8"/>
      <c r="O13" s="8"/>
      <c r="P13" s="8"/>
      <c r="Q13" s="8"/>
      <c r="R13" s="8"/>
      <c r="S13" s="8"/>
      <c r="T13" s="8"/>
      <c r="U13" s="8"/>
      <c r="V13" s="8"/>
      <c r="W13" s="8"/>
      <c r="X13" s="8"/>
      <c r="Y13" s="8"/>
      <c r="Z13" s="8"/>
    </row>
    <row r="14" ht="12.75" customHeight="1">
      <c r="A14" s="8"/>
      <c r="B14" s="18" t="s">
        <v>28</v>
      </c>
      <c r="C14" s="12" t="s">
        <v>29</v>
      </c>
      <c r="D14" s="11" t="s">
        <v>30</v>
      </c>
      <c r="E14" s="8"/>
      <c r="F14" s="8"/>
      <c r="G14" s="8"/>
      <c r="H14" s="8"/>
      <c r="I14" s="8"/>
      <c r="J14" s="8"/>
      <c r="K14" s="8"/>
      <c r="L14" s="8"/>
      <c r="M14" s="8"/>
      <c r="N14" s="8"/>
      <c r="O14" s="8"/>
      <c r="P14" s="8"/>
      <c r="Q14" s="8"/>
      <c r="R14" s="8"/>
      <c r="S14" s="8"/>
      <c r="T14" s="8"/>
      <c r="U14" s="8"/>
      <c r="V14" s="8"/>
      <c r="W14" s="8"/>
      <c r="X14" s="8"/>
      <c r="Y14" s="8"/>
      <c r="Z14" s="8"/>
    </row>
    <row r="15" ht="53.25" customHeight="1">
      <c r="A15" s="8"/>
      <c r="B15" s="18" t="s">
        <v>31</v>
      </c>
      <c r="C15" s="12" t="s">
        <v>32</v>
      </c>
      <c r="D15" s="11" t="s">
        <v>33</v>
      </c>
      <c r="E15" s="8"/>
      <c r="F15" s="8"/>
      <c r="G15" s="8"/>
      <c r="H15" s="8"/>
      <c r="I15" s="8"/>
      <c r="J15" s="8"/>
      <c r="K15" s="8"/>
      <c r="L15" s="8"/>
      <c r="M15" s="8"/>
      <c r="N15" s="8"/>
      <c r="O15" s="8"/>
      <c r="P15" s="8"/>
      <c r="Q15" s="8"/>
      <c r="R15" s="8"/>
      <c r="S15" s="8"/>
      <c r="T15" s="8"/>
      <c r="U15" s="8"/>
      <c r="V15" s="8"/>
      <c r="W15" s="8"/>
      <c r="X15" s="8"/>
      <c r="Y15" s="8"/>
      <c r="Z15" s="8"/>
    </row>
    <row r="16" ht="12.75" customHeight="1">
      <c r="A16" s="8"/>
      <c r="B16" s="18" t="s">
        <v>34</v>
      </c>
      <c r="C16" s="12" t="s">
        <v>32</v>
      </c>
      <c r="D16" s="12" t="s">
        <v>35</v>
      </c>
      <c r="E16" s="8"/>
      <c r="F16" s="8"/>
      <c r="G16" s="8"/>
      <c r="H16" s="8"/>
      <c r="I16" s="8"/>
      <c r="J16" s="8"/>
      <c r="K16" s="8"/>
      <c r="L16" s="8"/>
      <c r="M16" s="8"/>
      <c r="N16" s="8"/>
      <c r="O16" s="8"/>
      <c r="P16" s="8"/>
      <c r="Q16" s="8"/>
      <c r="R16" s="8"/>
      <c r="S16" s="8"/>
      <c r="T16" s="8"/>
      <c r="U16" s="8"/>
      <c r="V16" s="8"/>
      <c r="W16" s="8"/>
      <c r="X16" s="8"/>
      <c r="Y16" s="8"/>
      <c r="Z16" s="8"/>
    </row>
    <row r="17" ht="12.75" customHeight="1">
      <c r="A17" s="8"/>
      <c r="B17" s="18" t="s">
        <v>36</v>
      </c>
      <c r="C17" s="12" t="s">
        <v>32</v>
      </c>
      <c r="D17" s="11" t="s">
        <v>37</v>
      </c>
      <c r="E17" s="8"/>
      <c r="F17" s="8"/>
      <c r="G17" s="8"/>
      <c r="H17" s="8"/>
      <c r="I17" s="8"/>
      <c r="J17" s="8"/>
      <c r="K17" s="8"/>
      <c r="L17" s="8"/>
      <c r="M17" s="8"/>
      <c r="N17" s="8"/>
      <c r="O17" s="8"/>
      <c r="P17" s="8"/>
      <c r="Q17" s="8"/>
      <c r="R17" s="8"/>
      <c r="S17" s="8"/>
      <c r="T17" s="8"/>
      <c r="U17" s="8"/>
      <c r="V17" s="8"/>
      <c r="W17" s="8"/>
      <c r="X17" s="8"/>
      <c r="Y17" s="8"/>
      <c r="Z17" s="8"/>
    </row>
    <row r="18" ht="42.75" customHeight="1">
      <c r="A18" s="8"/>
      <c r="B18" s="18" t="s">
        <v>38</v>
      </c>
      <c r="C18" s="12" t="s">
        <v>32</v>
      </c>
      <c r="D18" s="11" t="s">
        <v>39</v>
      </c>
      <c r="E18" s="8"/>
      <c r="F18" s="8"/>
      <c r="G18" s="8"/>
      <c r="H18" s="8"/>
      <c r="I18" s="8"/>
      <c r="J18" s="8"/>
      <c r="K18" s="8"/>
      <c r="L18" s="8"/>
      <c r="M18" s="8"/>
      <c r="N18" s="8"/>
      <c r="O18" s="8"/>
      <c r="P18" s="8"/>
      <c r="Q18" s="8"/>
      <c r="R18" s="8"/>
      <c r="S18" s="8"/>
      <c r="T18" s="8"/>
      <c r="U18" s="8"/>
      <c r="V18" s="8"/>
      <c r="W18" s="8"/>
      <c r="X18" s="8"/>
      <c r="Y18" s="8"/>
      <c r="Z18" s="8"/>
    </row>
    <row r="19" ht="12.75" customHeight="1">
      <c r="A19" s="8"/>
      <c r="B19" s="18" t="s">
        <v>40</v>
      </c>
      <c r="C19" s="12" t="s">
        <v>32</v>
      </c>
      <c r="D19" s="12" t="s">
        <v>41</v>
      </c>
      <c r="E19" s="8"/>
      <c r="F19" s="8"/>
      <c r="G19" s="8"/>
      <c r="H19" s="8"/>
      <c r="I19" s="8"/>
      <c r="J19" s="8"/>
      <c r="K19" s="8"/>
      <c r="L19" s="8"/>
      <c r="M19" s="8"/>
      <c r="N19" s="8"/>
      <c r="O19" s="8"/>
      <c r="P19" s="8"/>
      <c r="Q19" s="8"/>
      <c r="R19" s="8"/>
      <c r="S19" s="8"/>
      <c r="T19" s="8"/>
      <c r="U19" s="8"/>
      <c r="V19" s="8"/>
      <c r="W19" s="8"/>
      <c r="X19" s="8"/>
      <c r="Y19" s="8"/>
      <c r="Z19" s="8"/>
    </row>
    <row r="20" ht="12.75" customHeight="1">
      <c r="A20" s="8"/>
      <c r="B20" s="18" t="s">
        <v>42</v>
      </c>
      <c r="C20" s="12" t="s">
        <v>32</v>
      </c>
      <c r="D20" s="12" t="s">
        <v>43</v>
      </c>
      <c r="E20" s="8"/>
      <c r="F20" s="8"/>
      <c r="G20" s="8"/>
      <c r="H20" s="8"/>
      <c r="I20" s="8"/>
      <c r="J20" s="8"/>
      <c r="K20" s="8"/>
      <c r="L20" s="8"/>
      <c r="M20" s="8"/>
      <c r="N20" s="8"/>
      <c r="O20" s="8"/>
      <c r="P20" s="8"/>
      <c r="Q20" s="8"/>
      <c r="R20" s="8"/>
      <c r="S20" s="8"/>
      <c r="T20" s="8"/>
      <c r="U20" s="8"/>
      <c r="V20" s="8"/>
      <c r="W20" s="8"/>
      <c r="X20" s="8"/>
      <c r="Y20" s="8"/>
      <c r="Z20" s="8"/>
    </row>
    <row r="21" ht="12.75" customHeight="1">
      <c r="A21" s="8"/>
      <c r="B21" s="18" t="s">
        <v>44</v>
      </c>
      <c r="C21" s="12" t="s">
        <v>32</v>
      </c>
      <c r="D21" s="12" t="s">
        <v>45</v>
      </c>
      <c r="E21" s="8"/>
      <c r="F21" s="8"/>
      <c r="G21" s="8"/>
      <c r="H21" s="8"/>
      <c r="I21" s="8"/>
      <c r="J21" s="8"/>
      <c r="K21" s="8"/>
      <c r="L21" s="8"/>
      <c r="M21" s="8"/>
      <c r="N21" s="8"/>
      <c r="O21" s="8"/>
      <c r="P21" s="8"/>
      <c r="Q21" s="8"/>
      <c r="R21" s="8"/>
      <c r="S21" s="8"/>
      <c r="T21" s="8"/>
      <c r="U21" s="8"/>
      <c r="V21" s="8"/>
      <c r="W21" s="8"/>
      <c r="X21" s="8"/>
      <c r="Y21" s="8"/>
      <c r="Z21" s="8"/>
    </row>
    <row r="22" ht="12.75" customHeight="1">
      <c r="A22" s="8"/>
      <c r="B22" s="18" t="s">
        <v>46</v>
      </c>
      <c r="C22" s="12" t="s">
        <v>32</v>
      </c>
      <c r="D22" s="12" t="s">
        <v>47</v>
      </c>
      <c r="E22" s="8"/>
      <c r="F22" s="8"/>
      <c r="G22" s="8"/>
      <c r="H22" s="8"/>
      <c r="I22" s="8"/>
      <c r="J22" s="8"/>
      <c r="K22" s="8"/>
      <c r="L22" s="8"/>
      <c r="M22" s="8"/>
      <c r="N22" s="8"/>
      <c r="O22" s="8"/>
      <c r="P22" s="8"/>
      <c r="Q22" s="8"/>
      <c r="R22" s="8"/>
      <c r="S22" s="8"/>
      <c r="T22" s="8"/>
      <c r="U22" s="8"/>
      <c r="V22" s="8"/>
      <c r="W22" s="8"/>
      <c r="X22" s="8"/>
      <c r="Y22" s="8"/>
      <c r="Z22" s="8"/>
    </row>
    <row r="23" ht="12.75" customHeight="1">
      <c r="A23" s="8"/>
      <c r="B23" s="18" t="s">
        <v>48</v>
      </c>
      <c r="C23" s="12" t="s">
        <v>32</v>
      </c>
      <c r="D23" s="12" t="s">
        <v>49</v>
      </c>
      <c r="E23" s="8"/>
      <c r="F23" s="8"/>
      <c r="G23" s="8"/>
      <c r="H23" s="8"/>
      <c r="I23" s="8"/>
      <c r="J23" s="8"/>
      <c r="K23" s="8"/>
      <c r="L23" s="8"/>
      <c r="M23" s="8"/>
      <c r="N23" s="8"/>
      <c r="O23" s="8"/>
      <c r="P23" s="8"/>
      <c r="Q23" s="8"/>
      <c r="R23" s="8"/>
      <c r="S23" s="8"/>
      <c r="T23" s="8"/>
      <c r="U23" s="8"/>
      <c r="V23" s="8"/>
      <c r="W23" s="8"/>
      <c r="X23" s="8"/>
      <c r="Y23" s="8"/>
      <c r="Z23" s="8"/>
    </row>
    <row r="24" ht="12.75" customHeight="1">
      <c r="A24" s="8"/>
      <c r="B24" s="18" t="s">
        <v>50</v>
      </c>
      <c r="C24" s="12" t="s">
        <v>32</v>
      </c>
      <c r="D24" s="12" t="s">
        <v>51</v>
      </c>
      <c r="E24" s="8"/>
      <c r="F24" s="8"/>
      <c r="G24" s="8"/>
      <c r="H24" s="8"/>
      <c r="I24" s="8"/>
      <c r="J24" s="8"/>
      <c r="K24" s="8"/>
      <c r="L24" s="8"/>
      <c r="M24" s="8"/>
      <c r="N24" s="8"/>
      <c r="O24" s="8"/>
      <c r="P24" s="8"/>
      <c r="Q24" s="8"/>
      <c r="R24" s="8"/>
      <c r="S24" s="8"/>
      <c r="T24" s="8"/>
      <c r="U24" s="8"/>
      <c r="V24" s="8"/>
      <c r="W24" s="8"/>
      <c r="X24" s="8"/>
      <c r="Y24" s="8"/>
      <c r="Z24" s="8"/>
    </row>
    <row r="25" ht="12.75" customHeight="1">
      <c r="A25" s="8"/>
      <c r="B25" s="18" t="s">
        <v>52</v>
      </c>
      <c r="C25" s="12" t="s">
        <v>32</v>
      </c>
      <c r="D25" s="12" t="s">
        <v>53</v>
      </c>
      <c r="E25" s="8"/>
      <c r="F25" s="8"/>
      <c r="G25" s="8"/>
      <c r="H25" s="8"/>
      <c r="I25" s="8"/>
      <c r="J25" s="8"/>
      <c r="K25" s="8"/>
      <c r="L25" s="8"/>
      <c r="M25" s="8"/>
      <c r="N25" s="8"/>
      <c r="O25" s="8"/>
      <c r="P25" s="8"/>
      <c r="Q25" s="8"/>
      <c r="R25" s="8"/>
      <c r="S25" s="8"/>
      <c r="T25" s="8"/>
      <c r="U25" s="8"/>
      <c r="V25" s="8"/>
      <c r="W25" s="8"/>
      <c r="X25" s="8"/>
      <c r="Y25" s="8"/>
      <c r="Z25" s="8"/>
    </row>
    <row r="26" ht="12.75" customHeight="1">
      <c r="A26" s="8"/>
      <c r="B26" s="18" t="s">
        <v>54</v>
      </c>
      <c r="C26" s="12" t="s">
        <v>32</v>
      </c>
      <c r="D26" s="12" t="s">
        <v>55</v>
      </c>
      <c r="E26" s="8"/>
      <c r="F26" s="8"/>
      <c r="G26" s="8"/>
      <c r="H26" s="8"/>
      <c r="I26" s="8"/>
      <c r="J26" s="8"/>
      <c r="K26" s="8"/>
      <c r="L26" s="8"/>
      <c r="M26" s="8"/>
      <c r="N26" s="8"/>
      <c r="O26" s="8"/>
      <c r="P26" s="8"/>
      <c r="Q26" s="8"/>
      <c r="R26" s="8"/>
      <c r="S26" s="8"/>
      <c r="T26" s="8"/>
      <c r="U26" s="8"/>
      <c r="V26" s="8"/>
      <c r="W26" s="8"/>
      <c r="X26" s="8"/>
      <c r="Y26" s="8"/>
      <c r="Z26" s="8"/>
    </row>
    <row r="27" ht="12.75" customHeight="1">
      <c r="A27" s="8"/>
      <c r="B27" s="18" t="s">
        <v>56</v>
      </c>
      <c r="C27" s="12" t="s">
        <v>32</v>
      </c>
      <c r="D27" s="12" t="s">
        <v>57</v>
      </c>
      <c r="E27" s="8"/>
      <c r="F27" s="8"/>
      <c r="G27" s="8"/>
      <c r="H27" s="8"/>
      <c r="I27" s="8"/>
      <c r="J27" s="8"/>
      <c r="K27" s="8"/>
      <c r="L27" s="8"/>
      <c r="M27" s="8"/>
      <c r="N27" s="8"/>
      <c r="O27" s="8"/>
      <c r="P27" s="8"/>
      <c r="Q27" s="8"/>
      <c r="R27" s="8"/>
      <c r="S27" s="8"/>
      <c r="T27" s="8"/>
      <c r="U27" s="8"/>
      <c r="V27" s="8"/>
      <c r="W27" s="8"/>
      <c r="X27" s="8"/>
      <c r="Y27" s="8"/>
      <c r="Z27" s="8"/>
    </row>
    <row r="28" ht="12.75" customHeight="1">
      <c r="A28" s="8"/>
      <c r="B28" s="18" t="s">
        <v>58</v>
      </c>
      <c r="C28" s="12" t="s">
        <v>32</v>
      </c>
      <c r="D28" s="12" t="s">
        <v>59</v>
      </c>
      <c r="E28" s="8"/>
      <c r="F28" s="8"/>
      <c r="G28" s="8"/>
      <c r="H28" s="8"/>
      <c r="I28" s="8"/>
      <c r="J28" s="8"/>
      <c r="K28" s="8"/>
      <c r="L28" s="8"/>
      <c r="M28" s="8"/>
      <c r="N28" s="8"/>
      <c r="O28" s="8"/>
      <c r="P28" s="8"/>
      <c r="Q28" s="8"/>
      <c r="R28" s="8"/>
      <c r="S28" s="8"/>
      <c r="T28" s="8"/>
      <c r="U28" s="8"/>
      <c r="V28" s="8"/>
      <c r="W28" s="8"/>
      <c r="X28" s="8"/>
      <c r="Y28" s="8"/>
      <c r="Z28" s="8"/>
    </row>
    <row r="29" ht="12.75" customHeight="1">
      <c r="A29" s="8"/>
      <c r="B29" s="18" t="s">
        <v>60</v>
      </c>
      <c r="C29" s="12" t="s">
        <v>32</v>
      </c>
      <c r="D29" s="12" t="s">
        <v>61</v>
      </c>
      <c r="E29" s="8"/>
      <c r="F29" s="8"/>
      <c r="G29" s="8"/>
      <c r="H29" s="8"/>
      <c r="I29" s="8"/>
      <c r="J29" s="8"/>
      <c r="K29" s="8"/>
      <c r="L29" s="8"/>
      <c r="M29" s="8"/>
      <c r="N29" s="8"/>
      <c r="O29" s="8"/>
      <c r="P29" s="8"/>
      <c r="Q29" s="8"/>
      <c r="R29" s="8"/>
      <c r="S29" s="8"/>
      <c r="T29" s="8"/>
      <c r="U29" s="8"/>
      <c r="V29" s="8"/>
      <c r="W29" s="8"/>
      <c r="X29" s="8"/>
      <c r="Y29" s="8"/>
      <c r="Z29" s="8"/>
    </row>
    <row r="30" ht="57.0" customHeight="1">
      <c r="A30" s="8"/>
      <c r="B30" s="18" t="s">
        <v>62</v>
      </c>
      <c r="C30" s="12" t="s">
        <v>32</v>
      </c>
      <c r="D30" s="19" t="s">
        <v>63</v>
      </c>
      <c r="E30" s="8"/>
      <c r="F30" s="8"/>
      <c r="G30" s="8"/>
      <c r="H30" s="8"/>
      <c r="I30" s="8"/>
      <c r="J30" s="8"/>
      <c r="K30" s="8"/>
      <c r="L30" s="8"/>
      <c r="M30" s="8"/>
      <c r="N30" s="8"/>
      <c r="O30" s="8"/>
      <c r="P30" s="8"/>
      <c r="Q30" s="8"/>
      <c r="R30" s="8"/>
      <c r="S30" s="8"/>
      <c r="T30" s="8"/>
      <c r="U30" s="8"/>
      <c r="V30" s="8"/>
      <c r="W30" s="8"/>
      <c r="X30" s="8"/>
      <c r="Y30" s="8"/>
      <c r="Z30" s="8"/>
    </row>
    <row r="31" ht="12.75" customHeight="1">
      <c r="A31" s="8"/>
      <c r="B31" s="18" t="s">
        <v>64</v>
      </c>
      <c r="C31" s="12" t="s">
        <v>32</v>
      </c>
      <c r="D31" s="19" t="s">
        <v>65</v>
      </c>
      <c r="E31" s="8"/>
      <c r="F31" s="8"/>
      <c r="G31" s="8"/>
      <c r="H31" s="8"/>
      <c r="I31" s="8"/>
      <c r="J31" s="8"/>
      <c r="K31" s="8"/>
      <c r="L31" s="8"/>
      <c r="M31" s="8"/>
      <c r="N31" s="8"/>
      <c r="O31" s="8"/>
      <c r="P31" s="8"/>
      <c r="Q31" s="8"/>
      <c r="R31" s="8"/>
      <c r="S31" s="8"/>
      <c r="T31" s="8"/>
      <c r="U31" s="8"/>
      <c r="V31" s="8"/>
      <c r="W31" s="8"/>
      <c r="X31" s="8"/>
      <c r="Y31" s="8"/>
      <c r="Z31" s="8"/>
    </row>
    <row r="32" ht="12.75" customHeight="1">
      <c r="A32" s="8"/>
      <c r="B32" s="18" t="s">
        <v>66</v>
      </c>
      <c r="C32" s="12" t="s">
        <v>32</v>
      </c>
      <c r="D32" s="9" t="s">
        <v>67</v>
      </c>
      <c r="E32" s="8"/>
      <c r="F32" s="8"/>
      <c r="G32" s="8"/>
      <c r="H32" s="8"/>
      <c r="I32" s="8"/>
      <c r="J32" s="8"/>
      <c r="K32" s="8"/>
      <c r="L32" s="8"/>
      <c r="M32" s="8"/>
      <c r="N32" s="8"/>
      <c r="O32" s="8"/>
      <c r="P32" s="8"/>
      <c r="Q32" s="8"/>
      <c r="R32" s="8"/>
      <c r="S32" s="8"/>
      <c r="T32" s="8"/>
      <c r="U32" s="8"/>
      <c r="V32" s="8"/>
      <c r="W32" s="8"/>
      <c r="X32" s="8"/>
      <c r="Y32" s="8"/>
      <c r="Z32" s="8"/>
    </row>
    <row r="33" ht="12.75" customHeight="1">
      <c r="A33" s="16" t="s">
        <v>68</v>
      </c>
      <c r="B33" s="8"/>
      <c r="C33" s="8"/>
      <c r="D33" s="19" t="s">
        <v>69</v>
      </c>
      <c r="E33" s="8"/>
      <c r="F33" s="8"/>
      <c r="G33" s="8"/>
      <c r="H33" s="8"/>
      <c r="I33" s="8"/>
      <c r="J33" s="8"/>
      <c r="K33" s="8"/>
      <c r="L33" s="8"/>
      <c r="M33" s="8"/>
      <c r="N33" s="8"/>
      <c r="O33" s="8"/>
      <c r="P33" s="8"/>
      <c r="Q33" s="8"/>
      <c r="R33" s="8"/>
      <c r="S33" s="8"/>
      <c r="T33" s="8"/>
      <c r="U33" s="8"/>
      <c r="V33" s="8"/>
      <c r="W33" s="8"/>
      <c r="X33" s="8"/>
      <c r="Y33" s="8"/>
      <c r="Z33" s="8"/>
    </row>
    <row r="34" ht="12.75" customHeight="1">
      <c r="A34" s="8"/>
      <c r="B34" s="18" t="s">
        <v>70</v>
      </c>
      <c r="C34" s="8"/>
      <c r="D34" s="19" t="s">
        <v>71</v>
      </c>
      <c r="E34" s="8"/>
      <c r="F34" s="8"/>
      <c r="G34" s="8"/>
      <c r="H34" s="8"/>
      <c r="I34" s="8"/>
      <c r="J34" s="8"/>
      <c r="K34" s="8"/>
      <c r="L34" s="8"/>
      <c r="M34" s="8"/>
      <c r="N34" s="8"/>
      <c r="O34" s="8"/>
      <c r="P34" s="8"/>
      <c r="Q34" s="8"/>
      <c r="R34" s="8"/>
      <c r="S34" s="8"/>
      <c r="T34" s="8"/>
      <c r="U34" s="8"/>
      <c r="V34" s="8"/>
      <c r="W34" s="8"/>
      <c r="X34" s="8"/>
      <c r="Y34" s="8"/>
      <c r="Z34" s="8"/>
    </row>
    <row r="35" ht="12.75" customHeight="1">
      <c r="A35" s="8"/>
      <c r="B35" s="18" t="s">
        <v>72</v>
      </c>
      <c r="C35" s="8"/>
      <c r="D35" s="20" t="s">
        <v>73</v>
      </c>
      <c r="E35" s="8"/>
      <c r="F35" s="8"/>
      <c r="G35" s="8"/>
      <c r="H35" s="8"/>
      <c r="I35" s="8"/>
      <c r="J35" s="8"/>
      <c r="K35" s="8"/>
      <c r="L35" s="8"/>
      <c r="M35" s="8"/>
      <c r="N35" s="8"/>
      <c r="O35" s="8"/>
      <c r="P35" s="8"/>
      <c r="Q35" s="8"/>
      <c r="R35" s="8"/>
      <c r="S35" s="8"/>
      <c r="T35" s="8"/>
      <c r="U35" s="8"/>
      <c r="V35" s="8"/>
      <c r="W35" s="8"/>
      <c r="X35" s="8"/>
      <c r="Y35" s="8"/>
      <c r="Z35" s="8"/>
    </row>
    <row r="36" ht="12.75" customHeight="1">
      <c r="A36" s="8"/>
      <c r="B36" s="18" t="s">
        <v>74</v>
      </c>
      <c r="C36" s="8"/>
      <c r="D36" s="19" t="s">
        <v>75</v>
      </c>
      <c r="E36" s="8"/>
      <c r="F36" s="8"/>
      <c r="G36" s="8"/>
      <c r="H36" s="8"/>
      <c r="I36" s="8"/>
      <c r="J36" s="8"/>
      <c r="K36" s="8"/>
      <c r="L36" s="8"/>
      <c r="M36" s="8"/>
      <c r="N36" s="8"/>
      <c r="O36" s="8"/>
      <c r="P36" s="8"/>
      <c r="Q36" s="8"/>
      <c r="R36" s="8"/>
      <c r="S36" s="8"/>
      <c r="T36" s="8"/>
      <c r="U36" s="8"/>
      <c r="V36" s="8"/>
      <c r="W36" s="8"/>
      <c r="X36" s="8"/>
      <c r="Y36" s="8"/>
      <c r="Z36" s="8"/>
    </row>
    <row r="37" ht="12.75" customHeight="1">
      <c r="A37" s="8"/>
      <c r="B37" s="18" t="s">
        <v>76</v>
      </c>
      <c r="C37" s="8"/>
      <c r="D37" s="19" t="s">
        <v>77</v>
      </c>
      <c r="E37" s="8"/>
      <c r="F37" s="8"/>
      <c r="G37" s="8"/>
      <c r="H37" s="8"/>
      <c r="I37" s="8"/>
      <c r="J37" s="8"/>
      <c r="K37" s="8"/>
      <c r="L37" s="8"/>
      <c r="M37" s="8"/>
      <c r="N37" s="8"/>
      <c r="O37" s="8"/>
      <c r="P37" s="8"/>
      <c r="Q37" s="8"/>
      <c r="R37" s="8"/>
      <c r="S37" s="8"/>
      <c r="T37" s="8"/>
      <c r="U37" s="8"/>
      <c r="V37" s="8"/>
      <c r="W37" s="8"/>
      <c r="X37" s="8"/>
      <c r="Y37" s="8"/>
      <c r="Z37" s="8"/>
    </row>
    <row r="38" ht="12.75" customHeight="1">
      <c r="A38" s="8"/>
      <c r="B38" s="18" t="s">
        <v>78</v>
      </c>
      <c r="C38" s="8"/>
      <c r="D38" s="19" t="s">
        <v>79</v>
      </c>
      <c r="E38" s="8"/>
      <c r="F38" s="8"/>
      <c r="G38" s="8"/>
      <c r="H38" s="8"/>
      <c r="I38" s="8"/>
      <c r="J38" s="8"/>
      <c r="K38" s="8"/>
      <c r="L38" s="8"/>
      <c r="M38" s="8"/>
      <c r="N38" s="8"/>
      <c r="O38" s="8"/>
      <c r="P38" s="8"/>
      <c r="Q38" s="8"/>
      <c r="R38" s="8"/>
      <c r="S38" s="8"/>
      <c r="T38" s="8"/>
      <c r="U38" s="8"/>
      <c r="V38" s="8"/>
      <c r="W38" s="8"/>
      <c r="X38" s="8"/>
      <c r="Y38" s="8"/>
      <c r="Z38" s="8"/>
    </row>
    <row r="39" ht="12.75" customHeight="1">
      <c r="A39" s="8"/>
      <c r="B39" s="18" t="s">
        <v>80</v>
      </c>
      <c r="C39" s="8"/>
      <c r="D39" s="19" t="s">
        <v>81</v>
      </c>
      <c r="E39" s="8"/>
      <c r="F39" s="8"/>
      <c r="G39" s="8"/>
      <c r="H39" s="8"/>
      <c r="I39" s="8"/>
      <c r="J39" s="8"/>
      <c r="K39" s="8"/>
      <c r="L39" s="8"/>
      <c r="M39" s="8"/>
      <c r="N39" s="8"/>
      <c r="O39" s="8"/>
      <c r="P39" s="8"/>
      <c r="Q39" s="8"/>
      <c r="R39" s="8"/>
      <c r="S39" s="8"/>
      <c r="T39" s="8"/>
      <c r="U39" s="8"/>
      <c r="V39" s="8"/>
      <c r="W39" s="8"/>
      <c r="X39" s="8"/>
      <c r="Y39" s="8"/>
      <c r="Z39" s="8"/>
    </row>
    <row r="40" ht="12.75" customHeight="1">
      <c r="A40" s="8"/>
      <c r="B40" s="18" t="s">
        <v>82</v>
      </c>
      <c r="C40" s="8"/>
      <c r="D40" s="19" t="s">
        <v>83</v>
      </c>
      <c r="E40" s="8"/>
      <c r="F40" s="8"/>
      <c r="G40" s="8"/>
      <c r="H40" s="8"/>
      <c r="I40" s="8"/>
      <c r="J40" s="8"/>
      <c r="K40" s="8"/>
      <c r="L40" s="8"/>
      <c r="M40" s="8"/>
      <c r="N40" s="8"/>
      <c r="O40" s="8"/>
      <c r="P40" s="8"/>
      <c r="Q40" s="8"/>
      <c r="R40" s="8"/>
      <c r="S40" s="8"/>
      <c r="T40" s="8"/>
      <c r="U40" s="8"/>
      <c r="V40" s="8"/>
      <c r="W40" s="8"/>
      <c r="X40" s="8"/>
      <c r="Y40" s="8"/>
      <c r="Z40" s="8"/>
    </row>
    <row r="41" ht="12.75" customHeight="1">
      <c r="A41" s="8"/>
      <c r="B41" s="18" t="s">
        <v>84</v>
      </c>
      <c r="C41" s="8"/>
      <c r="D41" s="19" t="s">
        <v>85</v>
      </c>
      <c r="E41" s="8"/>
      <c r="F41" s="8"/>
      <c r="G41" s="8"/>
      <c r="H41" s="8"/>
      <c r="I41" s="8"/>
      <c r="J41" s="8"/>
      <c r="K41" s="8"/>
      <c r="L41" s="8"/>
      <c r="M41" s="8"/>
      <c r="N41" s="8"/>
      <c r="O41" s="8"/>
      <c r="P41" s="8"/>
      <c r="Q41" s="8"/>
      <c r="R41" s="8"/>
      <c r="S41" s="8"/>
      <c r="T41" s="8"/>
      <c r="U41" s="8"/>
      <c r="V41" s="8"/>
      <c r="W41" s="8"/>
      <c r="X41" s="8"/>
      <c r="Y41" s="8"/>
      <c r="Z41" s="8"/>
    </row>
    <row r="42" ht="12.75" customHeight="1">
      <c r="A42" s="8"/>
      <c r="B42" s="18" t="s">
        <v>86</v>
      </c>
      <c r="C42" s="8"/>
      <c r="D42" s="19" t="s">
        <v>87</v>
      </c>
      <c r="E42" s="8"/>
      <c r="F42" s="8"/>
      <c r="G42" s="8"/>
      <c r="H42" s="8"/>
      <c r="I42" s="8"/>
      <c r="J42" s="8"/>
      <c r="K42" s="8"/>
      <c r="L42" s="8"/>
      <c r="M42" s="8"/>
      <c r="N42" s="8"/>
      <c r="O42" s="8"/>
      <c r="P42" s="8"/>
      <c r="Q42" s="8"/>
      <c r="R42" s="8"/>
      <c r="S42" s="8"/>
      <c r="T42" s="8"/>
      <c r="U42" s="8"/>
      <c r="V42" s="8"/>
      <c r="W42" s="8"/>
      <c r="X42" s="8"/>
      <c r="Y42" s="8"/>
      <c r="Z42" s="8"/>
    </row>
    <row r="43" ht="12.75" customHeight="1">
      <c r="A43" s="8"/>
      <c r="B43" s="18" t="s">
        <v>88</v>
      </c>
      <c r="C43" s="8"/>
      <c r="D43" s="19" t="s">
        <v>89</v>
      </c>
      <c r="E43" s="8"/>
      <c r="F43" s="8"/>
      <c r="G43" s="8"/>
      <c r="H43" s="8"/>
      <c r="I43" s="8"/>
      <c r="J43" s="8"/>
      <c r="K43" s="8"/>
      <c r="L43" s="8"/>
      <c r="M43" s="8"/>
      <c r="N43" s="8"/>
      <c r="O43" s="8"/>
      <c r="P43" s="8"/>
      <c r="Q43" s="8"/>
      <c r="R43" s="8"/>
      <c r="S43" s="8"/>
      <c r="T43" s="8"/>
      <c r="U43" s="8"/>
      <c r="V43" s="8"/>
      <c r="W43" s="8"/>
      <c r="X43" s="8"/>
      <c r="Y43" s="8"/>
      <c r="Z43" s="8"/>
    </row>
    <row r="44" ht="12.75" customHeight="1">
      <c r="A44" s="8"/>
      <c r="B44" s="18" t="s">
        <v>90</v>
      </c>
      <c r="C44" s="8"/>
      <c r="D44" s="19" t="s">
        <v>91</v>
      </c>
      <c r="E44" s="8"/>
      <c r="F44" s="8"/>
      <c r="G44" s="8"/>
      <c r="H44" s="8"/>
      <c r="I44" s="8"/>
      <c r="J44" s="8"/>
      <c r="K44" s="8"/>
      <c r="L44" s="8"/>
      <c r="M44" s="8"/>
      <c r="N44" s="8"/>
      <c r="O44" s="8"/>
      <c r="P44" s="8"/>
      <c r="Q44" s="8"/>
      <c r="R44" s="8"/>
      <c r="S44" s="8"/>
      <c r="T44" s="8"/>
      <c r="U44" s="8"/>
      <c r="V44" s="8"/>
      <c r="W44" s="8"/>
      <c r="X44" s="8"/>
      <c r="Y44" s="8"/>
      <c r="Z44" s="8"/>
    </row>
    <row r="45" ht="12.75" customHeight="1">
      <c r="A45" s="8"/>
      <c r="B45" s="18" t="s">
        <v>92</v>
      </c>
      <c r="C45" s="8"/>
      <c r="D45" s="20" t="s">
        <v>93</v>
      </c>
      <c r="E45" s="8"/>
      <c r="F45" s="8"/>
      <c r="G45" s="8"/>
      <c r="H45" s="8"/>
      <c r="I45" s="8"/>
      <c r="J45" s="8"/>
      <c r="K45" s="8"/>
      <c r="L45" s="8"/>
      <c r="M45" s="8"/>
      <c r="N45" s="8"/>
      <c r="O45" s="8"/>
      <c r="P45" s="8"/>
      <c r="Q45" s="8"/>
      <c r="R45" s="8"/>
      <c r="S45" s="8"/>
      <c r="T45" s="8"/>
      <c r="U45" s="8"/>
      <c r="V45" s="8"/>
      <c r="W45" s="8"/>
      <c r="X45" s="8"/>
      <c r="Y45" s="8"/>
      <c r="Z45" s="8"/>
    </row>
    <row r="46" ht="12.75" customHeight="1">
      <c r="A46" s="8"/>
      <c r="B46" s="18" t="s">
        <v>94</v>
      </c>
      <c r="C46" s="8"/>
      <c r="D46" s="19" t="s">
        <v>95</v>
      </c>
      <c r="E46" s="8"/>
      <c r="F46" s="8"/>
      <c r="G46" s="8"/>
      <c r="H46" s="8"/>
      <c r="I46" s="8"/>
      <c r="J46" s="8"/>
      <c r="K46" s="8"/>
      <c r="L46" s="8"/>
      <c r="M46" s="8"/>
      <c r="N46" s="8"/>
      <c r="O46" s="8"/>
      <c r="P46" s="8"/>
      <c r="Q46" s="8"/>
      <c r="R46" s="8"/>
      <c r="S46" s="8"/>
      <c r="T46" s="8"/>
      <c r="U46" s="8"/>
      <c r="V46" s="8"/>
      <c r="W46" s="8"/>
      <c r="X46" s="8"/>
      <c r="Y46" s="8"/>
      <c r="Z46" s="8"/>
    </row>
    <row r="47" ht="12.75" customHeight="1">
      <c r="A47" s="8"/>
      <c r="B47" s="18" t="s">
        <v>96</v>
      </c>
      <c r="C47" s="8"/>
      <c r="D47" s="19" t="s">
        <v>97</v>
      </c>
      <c r="E47" s="8"/>
      <c r="F47" s="8"/>
      <c r="G47" s="8"/>
      <c r="H47" s="8"/>
      <c r="I47" s="8"/>
      <c r="J47" s="8"/>
      <c r="K47" s="8"/>
      <c r="L47" s="8"/>
      <c r="M47" s="8"/>
      <c r="N47" s="8"/>
      <c r="O47" s="8"/>
      <c r="P47" s="8"/>
      <c r="Q47" s="8"/>
      <c r="R47" s="8"/>
      <c r="S47" s="8"/>
      <c r="T47" s="8"/>
      <c r="U47" s="8"/>
      <c r="V47" s="8"/>
      <c r="W47" s="8"/>
      <c r="X47" s="8"/>
      <c r="Y47" s="8"/>
      <c r="Z47" s="8"/>
    </row>
    <row r="48" ht="12.75" customHeight="1">
      <c r="A48" s="8"/>
      <c r="B48" s="18" t="s">
        <v>98</v>
      </c>
      <c r="C48" s="8"/>
      <c r="D48" s="20" t="s">
        <v>99</v>
      </c>
      <c r="E48" s="8"/>
      <c r="F48" s="8"/>
      <c r="G48" s="8"/>
      <c r="H48" s="8"/>
      <c r="I48" s="8"/>
      <c r="J48" s="8"/>
      <c r="K48" s="8"/>
      <c r="L48" s="8"/>
      <c r="M48" s="8"/>
      <c r="N48" s="8"/>
      <c r="O48" s="8"/>
      <c r="P48" s="8"/>
      <c r="Q48" s="8"/>
      <c r="R48" s="8"/>
      <c r="S48" s="8"/>
      <c r="T48" s="8"/>
      <c r="U48" s="8"/>
      <c r="V48" s="8"/>
      <c r="W48" s="8"/>
      <c r="X48" s="8"/>
      <c r="Y48" s="8"/>
      <c r="Z48" s="8"/>
    </row>
    <row r="49" ht="12.75" customHeight="1">
      <c r="A49" s="8"/>
      <c r="B49" s="18" t="s">
        <v>100</v>
      </c>
      <c r="C49" s="8"/>
      <c r="D49" s="19" t="s">
        <v>101</v>
      </c>
      <c r="E49" s="8"/>
      <c r="F49" s="8"/>
      <c r="G49" s="8"/>
      <c r="H49" s="8"/>
      <c r="I49" s="8"/>
      <c r="J49" s="8"/>
      <c r="K49" s="8"/>
      <c r="L49" s="8"/>
      <c r="M49" s="8"/>
      <c r="N49" s="8"/>
      <c r="O49" s="8"/>
      <c r="P49" s="8"/>
      <c r="Q49" s="8"/>
      <c r="R49" s="8"/>
      <c r="S49" s="8"/>
      <c r="T49" s="8"/>
      <c r="U49" s="8"/>
      <c r="V49" s="8"/>
      <c r="W49" s="8"/>
      <c r="X49" s="8"/>
      <c r="Y49" s="8"/>
      <c r="Z49" s="8"/>
    </row>
    <row r="50" ht="12.75" customHeight="1">
      <c r="A50" s="8"/>
      <c r="B50" s="18" t="s">
        <v>102</v>
      </c>
      <c r="C50" s="8"/>
      <c r="D50" s="19" t="s">
        <v>103</v>
      </c>
      <c r="E50" s="8"/>
      <c r="F50" s="8"/>
      <c r="G50" s="8"/>
      <c r="H50" s="8"/>
      <c r="I50" s="8"/>
      <c r="J50" s="8"/>
      <c r="K50" s="8"/>
      <c r="L50" s="8"/>
      <c r="M50" s="8"/>
      <c r="N50" s="8"/>
      <c r="O50" s="8"/>
      <c r="P50" s="8"/>
      <c r="Q50" s="8"/>
      <c r="R50" s="8"/>
      <c r="S50" s="8"/>
      <c r="T50" s="8"/>
      <c r="U50" s="8"/>
      <c r="V50" s="8"/>
      <c r="W50" s="8"/>
      <c r="X50" s="8"/>
      <c r="Y50" s="8"/>
      <c r="Z50" s="8"/>
    </row>
    <row r="51" ht="12.75" customHeight="1">
      <c r="A51" s="8"/>
      <c r="B51" s="18" t="s">
        <v>104</v>
      </c>
      <c r="C51" s="8"/>
      <c r="D51" s="19" t="s">
        <v>105</v>
      </c>
      <c r="E51" s="8"/>
      <c r="F51" s="8"/>
      <c r="G51" s="8"/>
      <c r="H51" s="8"/>
      <c r="I51" s="8"/>
      <c r="J51" s="8"/>
      <c r="K51" s="8"/>
      <c r="L51" s="8"/>
      <c r="M51" s="8"/>
      <c r="N51" s="8"/>
      <c r="O51" s="8"/>
      <c r="P51" s="8"/>
      <c r="Q51" s="8"/>
      <c r="R51" s="8"/>
      <c r="S51" s="8"/>
      <c r="T51" s="8"/>
      <c r="U51" s="8"/>
      <c r="V51" s="8"/>
      <c r="W51" s="8"/>
      <c r="X51" s="8"/>
      <c r="Y51" s="8"/>
      <c r="Z51" s="8"/>
    </row>
    <row r="52" ht="12.75" customHeight="1">
      <c r="A52" s="8"/>
      <c r="B52" s="18" t="s">
        <v>106</v>
      </c>
      <c r="C52" s="8"/>
      <c r="D52" s="20" t="s">
        <v>73</v>
      </c>
      <c r="E52" s="8"/>
      <c r="F52" s="8"/>
      <c r="G52" s="8"/>
      <c r="H52" s="8"/>
      <c r="I52" s="8"/>
      <c r="J52" s="8"/>
      <c r="K52" s="8"/>
      <c r="L52" s="8"/>
      <c r="M52" s="8"/>
      <c r="N52" s="8"/>
      <c r="O52" s="8"/>
      <c r="P52" s="8"/>
      <c r="Q52" s="8"/>
      <c r="R52" s="8"/>
      <c r="S52" s="8"/>
      <c r="T52" s="8"/>
      <c r="U52" s="8"/>
      <c r="V52" s="8"/>
      <c r="W52" s="8"/>
      <c r="X52" s="8"/>
      <c r="Y52" s="8"/>
      <c r="Z52" s="8"/>
    </row>
    <row r="53" ht="12.75" customHeight="1">
      <c r="A53" s="8"/>
      <c r="B53" s="18" t="s">
        <v>107</v>
      </c>
      <c r="C53" s="8"/>
      <c r="D53" s="19" t="s">
        <v>108</v>
      </c>
      <c r="E53" s="8"/>
      <c r="F53" s="8"/>
      <c r="G53" s="8"/>
      <c r="H53" s="8"/>
      <c r="I53" s="8"/>
      <c r="J53" s="8"/>
      <c r="K53" s="8"/>
      <c r="L53" s="8"/>
      <c r="M53" s="8"/>
      <c r="N53" s="8"/>
      <c r="O53" s="8"/>
      <c r="P53" s="8"/>
      <c r="Q53" s="8"/>
      <c r="R53" s="8"/>
      <c r="S53" s="8"/>
      <c r="T53" s="8"/>
      <c r="U53" s="8"/>
      <c r="V53" s="8"/>
      <c r="W53" s="8"/>
      <c r="X53" s="8"/>
      <c r="Y53" s="8"/>
      <c r="Z53" s="8"/>
    </row>
    <row r="54" ht="12.75" customHeight="1">
      <c r="A54" s="8"/>
      <c r="B54" s="18" t="s">
        <v>109</v>
      </c>
      <c r="C54" s="8"/>
      <c r="D54" s="19" t="s">
        <v>110</v>
      </c>
      <c r="E54" s="8"/>
      <c r="F54" s="8"/>
      <c r="G54" s="8"/>
      <c r="H54" s="8"/>
      <c r="I54" s="8"/>
      <c r="J54" s="8"/>
      <c r="K54" s="8"/>
      <c r="L54" s="8"/>
      <c r="M54" s="8"/>
      <c r="N54" s="8"/>
      <c r="O54" s="8"/>
      <c r="P54" s="8"/>
      <c r="Q54" s="8"/>
      <c r="R54" s="8"/>
      <c r="S54" s="8"/>
      <c r="T54" s="8"/>
      <c r="U54" s="8"/>
      <c r="V54" s="8"/>
      <c r="W54" s="8"/>
      <c r="X54" s="8"/>
      <c r="Y54" s="8"/>
      <c r="Z54" s="8"/>
    </row>
    <row r="55" ht="12.75" customHeight="1">
      <c r="A55" s="8"/>
      <c r="B55" s="18" t="s">
        <v>111</v>
      </c>
      <c r="C55" s="8"/>
      <c r="D55" s="20" t="s">
        <v>67</v>
      </c>
      <c r="E55" s="8"/>
      <c r="F55" s="8"/>
      <c r="G55" s="8"/>
      <c r="H55" s="8"/>
      <c r="I55" s="8"/>
      <c r="J55" s="8"/>
      <c r="K55" s="8"/>
      <c r="L55" s="8"/>
      <c r="M55" s="8"/>
      <c r="N55" s="8"/>
      <c r="O55" s="8"/>
      <c r="P55" s="8"/>
      <c r="Q55" s="8"/>
      <c r="R55" s="8"/>
      <c r="S55" s="8"/>
      <c r="T55" s="8"/>
      <c r="U55" s="8"/>
      <c r="V55" s="8"/>
      <c r="W55" s="8"/>
      <c r="X55" s="8"/>
      <c r="Y55" s="8"/>
      <c r="Z55" s="8"/>
    </row>
    <row r="56" ht="12.75" customHeight="1">
      <c r="A56" s="8"/>
      <c r="B56" s="18" t="s">
        <v>112</v>
      </c>
      <c r="C56" s="8"/>
      <c r="D56" s="19" t="s">
        <v>113</v>
      </c>
      <c r="E56" s="8"/>
      <c r="F56" s="8"/>
      <c r="G56" s="8"/>
      <c r="H56" s="8"/>
      <c r="I56" s="8"/>
      <c r="J56" s="8"/>
      <c r="K56" s="8"/>
      <c r="L56" s="8"/>
      <c r="M56" s="8"/>
      <c r="N56" s="8"/>
      <c r="O56" s="8"/>
      <c r="P56" s="8"/>
      <c r="Q56" s="8"/>
      <c r="R56" s="8"/>
      <c r="S56" s="8"/>
      <c r="T56" s="8"/>
      <c r="U56" s="8"/>
      <c r="V56" s="8"/>
      <c r="W56" s="8"/>
      <c r="X56" s="8"/>
      <c r="Y56" s="8"/>
      <c r="Z56" s="8"/>
    </row>
    <row r="57" ht="12.75" customHeight="1">
      <c r="A57" s="8"/>
      <c r="B57" s="18" t="s">
        <v>114</v>
      </c>
      <c r="C57" s="8"/>
      <c r="D57" s="20" t="s">
        <v>115</v>
      </c>
      <c r="E57" s="8"/>
      <c r="F57" s="8"/>
      <c r="G57" s="8"/>
      <c r="H57" s="8"/>
      <c r="I57" s="8"/>
      <c r="J57" s="8"/>
      <c r="K57" s="8"/>
      <c r="L57" s="8"/>
      <c r="M57" s="8"/>
      <c r="N57" s="8"/>
      <c r="O57" s="8"/>
      <c r="P57" s="8"/>
      <c r="Q57" s="8"/>
      <c r="R57" s="8"/>
      <c r="S57" s="8"/>
      <c r="T57" s="8"/>
      <c r="U57" s="8"/>
      <c r="V57" s="8"/>
      <c r="W57" s="8"/>
      <c r="X57" s="8"/>
      <c r="Y57" s="8"/>
      <c r="Z57" s="8"/>
    </row>
    <row r="58" ht="12.75" customHeight="1">
      <c r="A58" s="8"/>
      <c r="B58" s="18" t="s">
        <v>116</v>
      </c>
      <c r="C58" s="8" t="s">
        <v>117</v>
      </c>
      <c r="D58" s="19" t="s">
        <v>118</v>
      </c>
      <c r="E58" s="8"/>
      <c r="F58" s="8"/>
      <c r="G58" s="8"/>
      <c r="H58" s="8"/>
      <c r="I58" s="8"/>
      <c r="J58" s="8"/>
      <c r="K58" s="8"/>
      <c r="L58" s="8"/>
      <c r="M58" s="8"/>
      <c r="N58" s="8"/>
      <c r="O58" s="8"/>
      <c r="P58" s="8"/>
      <c r="Q58" s="8"/>
      <c r="R58" s="8"/>
      <c r="S58" s="8"/>
      <c r="T58" s="8"/>
      <c r="U58" s="8"/>
      <c r="V58" s="8"/>
      <c r="W58" s="8"/>
      <c r="X58" s="8"/>
      <c r="Y58" s="8"/>
      <c r="Z58" s="8"/>
    </row>
    <row r="59" ht="12.75" customHeight="1">
      <c r="A59" s="8"/>
      <c r="B59" s="18" t="s">
        <v>119</v>
      </c>
      <c r="C59" s="8"/>
      <c r="D59" s="19" t="s">
        <v>120</v>
      </c>
      <c r="E59" s="8"/>
      <c r="F59" s="8"/>
      <c r="G59" s="8"/>
      <c r="H59" s="8"/>
      <c r="I59" s="8"/>
      <c r="J59" s="8"/>
      <c r="K59" s="8"/>
      <c r="L59" s="8"/>
      <c r="M59" s="8"/>
      <c r="N59" s="8"/>
      <c r="O59" s="8"/>
      <c r="P59" s="8"/>
      <c r="Q59" s="8"/>
      <c r="R59" s="8"/>
      <c r="S59" s="8"/>
      <c r="T59" s="8"/>
      <c r="U59" s="8"/>
      <c r="V59" s="8"/>
      <c r="W59" s="8"/>
      <c r="X59" s="8"/>
      <c r="Y59" s="8"/>
      <c r="Z59" s="8"/>
    </row>
    <row r="60" ht="12.75" customHeight="1">
      <c r="A60" s="8"/>
      <c r="B60" s="18" t="s">
        <v>121</v>
      </c>
      <c r="C60" s="8" t="s">
        <v>117</v>
      </c>
      <c r="D60" s="19" t="s">
        <v>118</v>
      </c>
      <c r="E60" s="8"/>
      <c r="F60" s="8"/>
      <c r="G60" s="8"/>
      <c r="H60" s="8"/>
      <c r="I60" s="8"/>
      <c r="J60" s="8"/>
      <c r="K60" s="8"/>
      <c r="L60" s="8"/>
      <c r="M60" s="8"/>
      <c r="N60" s="8"/>
      <c r="O60" s="8"/>
      <c r="P60" s="8"/>
      <c r="Q60" s="8"/>
      <c r="R60" s="8"/>
      <c r="S60" s="8"/>
      <c r="T60" s="8"/>
      <c r="U60" s="8"/>
      <c r="V60" s="8"/>
      <c r="W60" s="8"/>
      <c r="X60" s="8"/>
      <c r="Y60" s="8"/>
      <c r="Z60" s="8"/>
    </row>
    <row r="61" ht="12.75" customHeight="1">
      <c r="A61" s="8"/>
      <c r="B61" s="18" t="s">
        <v>122</v>
      </c>
      <c r="C61" s="8" t="s">
        <v>117</v>
      </c>
      <c r="D61" s="19" t="s">
        <v>118</v>
      </c>
      <c r="E61" s="8"/>
      <c r="F61" s="8"/>
      <c r="G61" s="8"/>
      <c r="H61" s="8"/>
      <c r="I61" s="8"/>
      <c r="J61" s="8"/>
      <c r="K61" s="8"/>
      <c r="L61" s="8"/>
      <c r="M61" s="8"/>
      <c r="N61" s="8"/>
      <c r="O61" s="8"/>
      <c r="P61" s="8"/>
      <c r="Q61" s="8"/>
      <c r="R61" s="8"/>
      <c r="S61" s="8"/>
      <c r="T61" s="8"/>
      <c r="U61" s="8"/>
      <c r="V61" s="8"/>
      <c r="W61" s="8"/>
      <c r="X61" s="8"/>
      <c r="Y61" s="8"/>
      <c r="Z61" s="8"/>
    </row>
    <row r="62" ht="12.75" customHeight="1">
      <c r="A62" s="8"/>
      <c r="B62" s="18" t="s">
        <v>123</v>
      </c>
      <c r="C62" s="8" t="s">
        <v>124</v>
      </c>
      <c r="D62" s="19" t="s">
        <v>125</v>
      </c>
      <c r="E62" s="8"/>
      <c r="F62" s="8"/>
      <c r="G62" s="8"/>
      <c r="H62" s="8"/>
      <c r="I62" s="8"/>
      <c r="J62" s="8"/>
      <c r="K62" s="8"/>
      <c r="L62" s="8"/>
      <c r="M62" s="8"/>
      <c r="N62" s="8"/>
      <c r="O62" s="8"/>
      <c r="P62" s="8"/>
      <c r="Q62" s="8"/>
      <c r="R62" s="8"/>
      <c r="S62" s="8"/>
      <c r="T62" s="8"/>
      <c r="U62" s="8"/>
      <c r="V62" s="8"/>
      <c r="W62" s="8"/>
      <c r="X62" s="8"/>
      <c r="Y62" s="8"/>
      <c r="Z62" s="8"/>
    </row>
    <row r="63" ht="12.75" customHeight="1">
      <c r="A63" s="8"/>
      <c r="B63" s="18" t="s">
        <v>126</v>
      </c>
      <c r="C63" s="8"/>
      <c r="D63" s="19" t="s">
        <v>127</v>
      </c>
      <c r="E63" s="8"/>
      <c r="F63" s="8"/>
      <c r="G63" s="8"/>
      <c r="H63" s="8"/>
      <c r="I63" s="8"/>
      <c r="J63" s="8"/>
      <c r="K63" s="8"/>
      <c r="L63" s="8"/>
      <c r="M63" s="8"/>
      <c r="N63" s="8"/>
      <c r="O63" s="8"/>
      <c r="P63" s="8"/>
      <c r="Q63" s="8"/>
      <c r="R63" s="8"/>
      <c r="S63" s="8"/>
      <c r="T63" s="8"/>
      <c r="U63" s="8"/>
      <c r="V63" s="8"/>
      <c r="W63" s="8"/>
      <c r="X63" s="8"/>
      <c r="Y63" s="8"/>
      <c r="Z63" s="8"/>
    </row>
    <row r="64" ht="12.75" customHeight="1">
      <c r="A64" s="8"/>
      <c r="B64" s="18" t="s">
        <v>128</v>
      </c>
      <c r="C64" s="8"/>
      <c r="D64" s="19" t="s">
        <v>129</v>
      </c>
      <c r="E64" s="8"/>
      <c r="F64" s="8"/>
      <c r="G64" s="8"/>
      <c r="H64" s="8"/>
      <c r="I64" s="8"/>
      <c r="J64" s="8"/>
      <c r="K64" s="8"/>
      <c r="L64" s="8"/>
      <c r="M64" s="8"/>
      <c r="N64" s="8"/>
      <c r="O64" s="8"/>
      <c r="P64" s="8"/>
      <c r="Q64" s="8"/>
      <c r="R64" s="8"/>
      <c r="S64" s="8"/>
      <c r="T64" s="8"/>
      <c r="U64" s="8"/>
      <c r="V64" s="8"/>
      <c r="W64" s="8"/>
      <c r="X64" s="8"/>
      <c r="Y64" s="8"/>
      <c r="Z64" s="8"/>
    </row>
    <row r="65" ht="12.75" customHeight="1">
      <c r="A65" s="8"/>
      <c r="B65" s="18" t="s">
        <v>130</v>
      </c>
      <c r="C65" s="8"/>
      <c r="D65" s="19" t="s">
        <v>131</v>
      </c>
      <c r="E65" s="8"/>
      <c r="F65" s="8"/>
      <c r="G65" s="8"/>
      <c r="H65" s="8"/>
      <c r="I65" s="8"/>
      <c r="J65" s="8"/>
      <c r="K65" s="8"/>
      <c r="L65" s="8"/>
      <c r="M65" s="8"/>
      <c r="N65" s="8"/>
      <c r="O65" s="8"/>
      <c r="P65" s="8"/>
      <c r="Q65" s="8"/>
      <c r="R65" s="8"/>
      <c r="S65" s="8"/>
      <c r="T65" s="8"/>
      <c r="U65" s="8"/>
      <c r="V65" s="8"/>
      <c r="W65" s="8"/>
      <c r="X65" s="8"/>
      <c r="Y65" s="8"/>
      <c r="Z65" s="8"/>
    </row>
    <row r="66" ht="12.75" customHeight="1">
      <c r="A66" s="8"/>
      <c r="B66" s="18" t="s">
        <v>132</v>
      </c>
      <c r="C66" s="8"/>
      <c r="D66" s="20" t="s">
        <v>133</v>
      </c>
      <c r="E66" s="8"/>
      <c r="F66" s="8"/>
      <c r="G66" s="8"/>
      <c r="H66" s="8"/>
      <c r="I66" s="8"/>
      <c r="J66" s="8"/>
      <c r="K66" s="8"/>
      <c r="L66" s="8"/>
      <c r="M66" s="8"/>
      <c r="N66" s="8"/>
      <c r="O66" s="8"/>
      <c r="P66" s="8"/>
      <c r="Q66" s="8"/>
      <c r="R66" s="8"/>
      <c r="S66" s="8"/>
      <c r="T66" s="8"/>
      <c r="U66" s="8"/>
      <c r="V66" s="8"/>
      <c r="W66" s="8"/>
      <c r="X66" s="8"/>
      <c r="Y66" s="8"/>
      <c r="Z66" s="8"/>
    </row>
    <row r="67" ht="12.75" customHeight="1">
      <c r="A67" s="8"/>
      <c r="B67" s="18" t="s">
        <v>134</v>
      </c>
      <c r="C67" s="8"/>
      <c r="D67" s="19" t="s">
        <v>135</v>
      </c>
      <c r="E67" s="8"/>
      <c r="F67" s="8"/>
      <c r="G67" s="8"/>
      <c r="H67" s="8"/>
      <c r="I67" s="8"/>
      <c r="J67" s="8"/>
      <c r="K67" s="8"/>
      <c r="L67" s="8"/>
      <c r="M67" s="8"/>
      <c r="N67" s="8"/>
      <c r="O67" s="8"/>
      <c r="P67" s="8"/>
      <c r="Q67" s="8"/>
      <c r="R67" s="8"/>
      <c r="S67" s="8"/>
      <c r="T67" s="8"/>
      <c r="U67" s="8"/>
      <c r="V67" s="8"/>
      <c r="W67" s="8"/>
      <c r="X67" s="8"/>
      <c r="Y67" s="8"/>
      <c r="Z67" s="8"/>
    </row>
    <row r="68" ht="12.75" customHeight="1">
      <c r="A68" s="8"/>
      <c r="B68" s="18" t="s">
        <v>136</v>
      </c>
      <c r="C68" s="8"/>
      <c r="D68" s="19" t="s">
        <v>135</v>
      </c>
      <c r="E68" s="8"/>
      <c r="F68" s="8"/>
      <c r="G68" s="8"/>
      <c r="H68" s="8"/>
      <c r="I68" s="8"/>
      <c r="J68" s="8"/>
      <c r="K68" s="8"/>
      <c r="L68" s="8"/>
      <c r="M68" s="8"/>
      <c r="N68" s="8"/>
      <c r="O68" s="8"/>
      <c r="P68" s="8"/>
      <c r="Q68" s="8"/>
      <c r="R68" s="8"/>
      <c r="S68" s="8"/>
      <c r="T68" s="8"/>
      <c r="U68" s="8"/>
      <c r="V68" s="8"/>
      <c r="W68" s="8"/>
      <c r="X68" s="8"/>
      <c r="Y68" s="8"/>
      <c r="Z68" s="8"/>
    </row>
    <row r="69" ht="12.75" customHeight="1">
      <c r="A69" s="8"/>
      <c r="B69" s="18" t="s">
        <v>137</v>
      </c>
      <c r="C69" s="19" t="s">
        <v>138</v>
      </c>
      <c r="D69" s="19"/>
      <c r="E69" s="8"/>
      <c r="F69" s="8"/>
      <c r="G69" s="8"/>
      <c r="H69" s="8"/>
      <c r="I69" s="8"/>
      <c r="J69" s="8"/>
      <c r="K69" s="8"/>
      <c r="L69" s="8"/>
      <c r="M69" s="8"/>
      <c r="N69" s="8"/>
      <c r="O69" s="8"/>
      <c r="P69" s="8"/>
      <c r="Q69" s="8"/>
      <c r="R69" s="8"/>
      <c r="S69" s="8"/>
      <c r="T69" s="8"/>
      <c r="U69" s="8"/>
      <c r="V69" s="8"/>
      <c r="W69" s="8"/>
      <c r="X69" s="8"/>
      <c r="Y69" s="8"/>
      <c r="Z69" s="8"/>
    </row>
    <row r="70" ht="12.75" customHeight="1">
      <c r="A70" s="8"/>
      <c r="B70" s="18" t="s">
        <v>139</v>
      </c>
      <c r="C70" s="8" t="s">
        <v>117</v>
      </c>
      <c r="D70" s="19"/>
      <c r="E70" s="8"/>
      <c r="F70" s="8"/>
      <c r="G70" s="8"/>
      <c r="H70" s="8"/>
      <c r="I70" s="8"/>
      <c r="J70" s="8"/>
      <c r="K70" s="8"/>
      <c r="L70" s="8"/>
      <c r="M70" s="8"/>
      <c r="N70" s="8"/>
      <c r="O70" s="8"/>
      <c r="P70" s="8"/>
      <c r="Q70" s="8"/>
      <c r="R70" s="8"/>
      <c r="S70" s="8"/>
      <c r="T70" s="8"/>
      <c r="U70" s="8"/>
      <c r="V70" s="8"/>
      <c r="W70" s="8"/>
      <c r="X70" s="8"/>
      <c r="Y70" s="8"/>
      <c r="Z70" s="8"/>
    </row>
    <row r="71" ht="12.75" customHeight="1">
      <c r="A71" s="8"/>
      <c r="B71" s="18" t="s">
        <v>140</v>
      </c>
      <c r="C71" s="19" t="s">
        <v>141</v>
      </c>
      <c r="D71" s="19" t="s">
        <v>142</v>
      </c>
      <c r="E71" s="8"/>
      <c r="F71" s="8"/>
      <c r="G71" s="8"/>
      <c r="H71" s="8"/>
      <c r="I71" s="8"/>
      <c r="J71" s="8"/>
      <c r="K71" s="8"/>
      <c r="L71" s="8"/>
      <c r="M71" s="8"/>
      <c r="N71" s="8"/>
      <c r="O71" s="8"/>
      <c r="P71" s="8"/>
      <c r="Q71" s="8"/>
      <c r="R71" s="8"/>
      <c r="S71" s="8"/>
      <c r="T71" s="8"/>
      <c r="U71" s="8"/>
      <c r="V71" s="8"/>
      <c r="W71" s="8"/>
      <c r="X71" s="8"/>
      <c r="Y71" s="8"/>
      <c r="Z71" s="8"/>
    </row>
    <row r="72"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2.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2.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2.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2.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2.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2.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2.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2.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2.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2.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2.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2.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2.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2.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2.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2.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2.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2.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2.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2.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2.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2.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2.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2.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2.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2.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2.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2.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2.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2.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2.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2.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2.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2.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2.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2.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2.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2.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2.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2.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2.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2.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2.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2.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2.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2.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2.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2.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2.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2.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2.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2.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2.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2.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2.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2.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2.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2.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2.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2.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2.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2.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2.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2.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2.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2.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2.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2.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2.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2.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2.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2.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2.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2.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2.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2.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2.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2.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2.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2.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2.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2.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2.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2.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2.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2.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2.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2.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2.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2.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2.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2.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2.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2.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2.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2.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2.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2.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2.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2.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2.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2.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2.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2.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2.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2.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2.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2.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2.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2.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2.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2.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2.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2.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2.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2.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2.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2.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2.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2.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2.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2.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2.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2.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2.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2.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2.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2.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2.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2.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2.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2.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2.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2.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2.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2.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2.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2.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2.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2.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2.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2.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2.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2.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2.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2.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2.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2.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2.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2.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2.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2.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2.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2.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2.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2.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2.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2.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2.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2.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2.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2.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2.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2.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2.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2.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2.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2.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2.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2.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2.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2.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2.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2.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2.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2.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2.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2.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2.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2.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2.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2.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2.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2.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2.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2.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2.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2.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2.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2.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2.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2.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2.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2.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2.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2.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2.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2.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2.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2.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2.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2.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2.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2.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2.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2.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2.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2.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2.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2.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2.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2.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2.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2.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2.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2.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2.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2.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2.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2.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2.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2.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2.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2.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2.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2.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2.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2.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2.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2.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2.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2.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2.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2.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2.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2.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2.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2.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2.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2.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2.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2.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2.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2.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2.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2.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2.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2.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2.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2.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2.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2.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2.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2.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2.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2.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2.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2.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2.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2.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2.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2.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2.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2.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2.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2.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2.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2.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2.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2.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2.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2.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2.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2.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2.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2.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2.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2.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2.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2.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2.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2.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2.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2.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2.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2.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2.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2.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2.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2.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2.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2.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2.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2.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2.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2.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2.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2.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2.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2.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2.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2.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2.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2.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2.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2.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2.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2.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2.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2.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2.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2.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2.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2.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2.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2.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2.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2.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2.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2.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2.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2.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2.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2.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2.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2.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2.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2.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2.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2.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2.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2.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2.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2.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2.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2.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2.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2.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2.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2.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2.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2.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2.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2.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2.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2.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2.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2.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2.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2.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2.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2.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2.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2.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2.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2.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2.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2.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2.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2.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2.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2.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2.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2.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2.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2.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2.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2.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2.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2.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2.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2.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2.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2.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2.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2.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2.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2.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2.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2.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2.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2.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2.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2.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2.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2.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2.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2.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2.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2.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2.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2.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2.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2.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2.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2.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2.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2.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2.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2.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2.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2.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2.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2.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2.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2.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2.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2.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2.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2.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2.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2.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2.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2.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2.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2.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2.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2.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2.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2.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2.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2.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2.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2.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2.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2.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2.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2.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2.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2.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2.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2.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2.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2.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2.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2.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2.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2.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2.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2.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2.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2.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2.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2.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2.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2.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2.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2.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2.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2.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2.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2.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2.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2.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2.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2.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2.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2.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2.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2.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2.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2.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2.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2.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2.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2.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2.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2.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2.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2.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2.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2.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2.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2.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2.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2.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2.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2.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2.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2.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2.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2.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2.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2.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2.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2.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2.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2.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2.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2.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2.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2.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2.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2.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2.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2.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2.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2.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2.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2.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2.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2.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2.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2.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2.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2.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2.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2.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2.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2.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2.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2.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2.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2.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2.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2.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2.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2.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2.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2.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2.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2.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2.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2.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2.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2.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2.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2.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2.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2.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2.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2.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2.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2.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2.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2.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2.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2.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2.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2.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2.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2.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2.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2.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2.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2.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2.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2.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2.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2.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2.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2.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2.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2.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2.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2.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2.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2.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2.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2.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2.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2.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2.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2.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2.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2.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2.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2.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2.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2.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2.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2.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2.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2.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2.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2.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2.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2.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2.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2.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2.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2.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2.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2.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2.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2.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2.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2.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2.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2.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2.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2.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2.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2.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2.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2.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2.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2.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2.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2.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2.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2.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2.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2.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2.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2.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2.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2.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2.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2.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2.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2.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2.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2.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2.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2.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2.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2.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2.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2.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2.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2.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2.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2.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2.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2.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2.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2.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2.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2.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2.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2.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2.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2.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2.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2.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2.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2.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2.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2.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2.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2.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2.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2.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2.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2.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2.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2.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2.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2.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2.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2.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2.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2.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2.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2.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2.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2.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2.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2.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2.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2.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2.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2.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2.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2.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2.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2.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2.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2.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2.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2.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2.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2.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2.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2.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2.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2.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2.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2.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2.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2.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2.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2.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2.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2.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2.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2.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2.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2.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2.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2.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2.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2.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2.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2.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2.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2.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2.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2.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2.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2.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2.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2.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2.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2.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2.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2.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2.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2.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2.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2.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2.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2.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2.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2.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2.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2.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2.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2.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2.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2.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2.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2.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2.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2.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2.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2.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2.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2.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2.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2.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2.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2.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2.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2.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2.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2.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2.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2.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2.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2.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2.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2.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2.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2.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2.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2.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2.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2.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2.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2.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2.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2.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2.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2.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2.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2.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2.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2.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sheetData>
  <mergeCells count="1">
    <mergeCell ref="A1:D7"/>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5.29"/>
    <col customWidth="1" min="2" max="2" width="12.14"/>
    <col customWidth="1" min="3" max="3" width="10.29"/>
    <col customWidth="1" min="4" max="4" width="8.86"/>
    <col customWidth="1" min="5" max="5" width="11.71"/>
    <col customWidth="1" min="6" max="6" width="12.29"/>
    <col customWidth="1" min="7" max="7" width="29.14"/>
    <col customWidth="1" min="8" max="8" width="13.71"/>
    <col customWidth="1" min="9" max="9" width="8.71"/>
    <col customWidth="1" min="10" max="10" width="14.86"/>
    <col customWidth="1" min="11" max="14" width="8.71"/>
  </cols>
  <sheetData>
    <row r="1" ht="15.75" customHeight="1">
      <c r="A1" s="21"/>
      <c r="B1" s="22" t="s">
        <v>143</v>
      </c>
      <c r="C1" s="23" t="s">
        <v>144</v>
      </c>
      <c r="D1" s="24"/>
      <c r="E1" s="25"/>
      <c r="F1" s="26"/>
      <c r="G1" s="27" t="s">
        <v>145</v>
      </c>
      <c r="H1" s="28" t="s">
        <v>146</v>
      </c>
      <c r="I1" s="29"/>
      <c r="J1" s="30" t="s">
        <v>147</v>
      </c>
      <c r="K1" s="31"/>
      <c r="L1" s="31"/>
      <c r="M1" s="32"/>
      <c r="N1" s="32"/>
    </row>
    <row r="2" ht="15.75" customHeight="1">
      <c r="A2" s="33" t="s">
        <v>145</v>
      </c>
      <c r="B2" s="34">
        <v>2050.0</v>
      </c>
      <c r="C2" s="35" t="s">
        <v>148</v>
      </c>
      <c r="D2" s="24"/>
      <c r="E2" s="24"/>
      <c r="F2" s="24"/>
      <c r="G2" s="31"/>
      <c r="H2" s="36" t="s">
        <v>149</v>
      </c>
      <c r="I2" s="36" t="s">
        <v>150</v>
      </c>
      <c r="J2" s="37" t="s">
        <v>151</v>
      </c>
      <c r="K2" s="32"/>
      <c r="L2" s="32"/>
      <c r="M2" s="32"/>
      <c r="N2" s="32"/>
    </row>
    <row r="3" ht="15.75" customHeight="1">
      <c r="A3" s="38" t="s">
        <v>152</v>
      </c>
      <c r="B3" s="39">
        <v>0.2157</v>
      </c>
      <c r="C3" s="40">
        <v>0.282</v>
      </c>
      <c r="D3" s="41"/>
      <c r="E3" s="24"/>
      <c r="F3" s="24"/>
      <c r="G3" s="42" t="s">
        <v>152</v>
      </c>
      <c r="H3">
        <v>18644.908564639</v>
      </c>
      <c r="I3">
        <v>159.916971303961</v>
      </c>
      <c r="J3" s="41">
        <f t="shared" ref="J3:J13" si="1">I3/sum(I$3:I$13,I$15)</f>
        <v>0.1899960947</v>
      </c>
      <c r="K3" s="43"/>
      <c r="L3" s="32"/>
      <c r="M3" s="32"/>
      <c r="N3" s="32"/>
    </row>
    <row r="4" ht="15.75" customHeight="1">
      <c r="A4" s="38" t="s">
        <v>153</v>
      </c>
      <c r="B4" s="39">
        <v>0.1176</v>
      </c>
      <c r="C4" s="40">
        <v>0.181</v>
      </c>
      <c r="D4" s="41"/>
      <c r="E4" s="24"/>
      <c r="F4" s="24"/>
      <c r="G4" s="42" t="s">
        <v>153</v>
      </c>
      <c r="H4">
        <v>30576.4424662437</v>
      </c>
      <c r="I4">
        <v>254.45715420408</v>
      </c>
      <c r="J4" s="41">
        <f t="shared" si="1"/>
        <v>0.3023185417</v>
      </c>
      <c r="K4" s="43"/>
      <c r="L4" s="32"/>
      <c r="M4" s="32"/>
      <c r="N4" s="32"/>
    </row>
    <row r="5" ht="15.75" customHeight="1">
      <c r="A5" s="44" t="s">
        <v>154</v>
      </c>
      <c r="B5" s="22" t="s">
        <v>155</v>
      </c>
      <c r="C5" s="45" t="s">
        <v>156</v>
      </c>
      <c r="D5" s="41"/>
      <c r="E5" s="24"/>
      <c r="F5" s="24"/>
      <c r="G5" s="46" t="s">
        <v>157</v>
      </c>
      <c r="H5">
        <v>60973.4974096073</v>
      </c>
      <c r="I5">
        <v>286.649240019569</v>
      </c>
      <c r="J5" s="41">
        <f t="shared" si="1"/>
        <v>0.3405657054</v>
      </c>
      <c r="K5" s="43"/>
      <c r="L5" s="32"/>
      <c r="M5" s="32"/>
      <c r="N5" s="32"/>
    </row>
    <row r="6" ht="15.75" customHeight="1">
      <c r="A6" s="44" t="s">
        <v>158</v>
      </c>
      <c r="B6" s="47" t="s">
        <v>159</v>
      </c>
      <c r="C6" s="48" t="s">
        <v>159</v>
      </c>
      <c r="D6" s="41"/>
      <c r="E6" s="24"/>
      <c r="F6" s="24"/>
      <c r="G6" s="46" t="s">
        <v>158</v>
      </c>
      <c r="H6">
        <v>27735.4396397359</v>
      </c>
      <c r="I6">
        <v>14.4308609290447</v>
      </c>
      <c r="J6" s="41">
        <f t="shared" si="1"/>
        <v>0.01714519226</v>
      </c>
      <c r="K6" s="43"/>
      <c r="L6" s="32"/>
      <c r="M6" s="32"/>
      <c r="N6" s="32"/>
    </row>
    <row r="7" ht="15.75" customHeight="1">
      <c r="A7" s="38" t="s">
        <v>160</v>
      </c>
      <c r="B7" s="39">
        <v>0.055</v>
      </c>
      <c r="C7" s="40">
        <v>0.07970868105778128</v>
      </c>
      <c r="D7" s="41"/>
      <c r="E7" s="24"/>
      <c r="F7" s="24"/>
      <c r="G7" s="42" t="s">
        <v>160</v>
      </c>
      <c r="H7">
        <v>1196.31873886247</v>
      </c>
      <c r="I7">
        <v>8.41668271303856</v>
      </c>
      <c r="J7" s="41">
        <f t="shared" si="1"/>
        <v>0.009999794471</v>
      </c>
      <c r="K7" s="43"/>
      <c r="L7" s="32"/>
      <c r="M7" s="32"/>
      <c r="N7" s="32"/>
    </row>
    <row r="8" ht="15.75" customHeight="1">
      <c r="A8" s="44" t="s">
        <v>161</v>
      </c>
      <c r="B8" s="39">
        <v>0.1442</v>
      </c>
      <c r="C8" s="40">
        <v>0.026480274320664382</v>
      </c>
      <c r="D8" s="41"/>
      <c r="E8" s="24"/>
      <c r="F8" s="24"/>
      <c r="G8" s="46" t="s">
        <v>161</v>
      </c>
      <c r="H8">
        <v>49284.4487574519</v>
      </c>
      <c r="I8">
        <v>92.5655872335225</v>
      </c>
      <c r="J8" s="41">
        <f t="shared" si="1"/>
        <v>0.1099764455</v>
      </c>
      <c r="K8" s="43"/>
      <c r="L8" s="32"/>
      <c r="M8" s="32"/>
      <c r="N8" s="32"/>
    </row>
    <row r="9" ht="15.75" customHeight="1">
      <c r="A9" s="38" t="s">
        <v>162</v>
      </c>
      <c r="B9" s="39">
        <v>0.0824</v>
      </c>
      <c r="C9" s="40">
        <v>0.07728600020376007</v>
      </c>
      <c r="D9" s="41"/>
      <c r="E9" s="24"/>
      <c r="F9" s="24"/>
      <c r="G9" s="42" t="s">
        <v>162</v>
      </c>
      <c r="H9">
        <v>4900.20290055961</v>
      </c>
      <c r="I9">
        <v>16.832391313028</v>
      </c>
      <c r="J9" s="41">
        <f t="shared" si="1"/>
        <v>0.01999843161</v>
      </c>
      <c r="K9" s="43"/>
      <c r="L9" s="32"/>
      <c r="M9" s="32"/>
      <c r="N9" s="32"/>
    </row>
    <row r="10" ht="15.75" customHeight="1">
      <c r="A10" s="38" t="s">
        <v>163</v>
      </c>
      <c r="B10" s="39">
        <v>0.012</v>
      </c>
      <c r="C10" s="40">
        <v>0.00471674771803757</v>
      </c>
      <c r="D10" s="41"/>
      <c r="E10" s="24"/>
      <c r="F10" s="24"/>
      <c r="G10" s="42" t="s">
        <v>163</v>
      </c>
      <c r="H10">
        <v>0.0</v>
      </c>
      <c r="I10">
        <v>0.0</v>
      </c>
      <c r="J10" s="41">
        <f t="shared" si="1"/>
        <v>0</v>
      </c>
      <c r="K10" s="43"/>
      <c r="L10" s="32"/>
      <c r="M10" s="32"/>
      <c r="N10" s="32"/>
    </row>
    <row r="11" ht="15.75" customHeight="1">
      <c r="A11" s="49" t="s">
        <v>164</v>
      </c>
      <c r="B11" s="50">
        <v>0.005</v>
      </c>
      <c r="C11" s="51">
        <v>0.006801987913880132</v>
      </c>
      <c r="D11" s="41"/>
      <c r="E11" s="24"/>
      <c r="F11" s="24"/>
      <c r="G11" s="42" t="s">
        <v>165</v>
      </c>
      <c r="H11">
        <v>1017.87492327074</v>
      </c>
      <c r="I11">
        <v>8.41668264952252</v>
      </c>
      <c r="J11" s="41">
        <f t="shared" si="1"/>
        <v>0.009999794396</v>
      </c>
      <c r="K11" s="43"/>
      <c r="L11" s="32"/>
      <c r="M11" s="32"/>
      <c r="N11" s="32"/>
    </row>
    <row r="12" ht="15.75" customHeight="1">
      <c r="A12" s="38" t="s">
        <v>166</v>
      </c>
      <c r="B12" s="39">
        <v>0.007</v>
      </c>
      <c r="C12" s="40">
        <v>0.008542780969617064</v>
      </c>
      <c r="D12" s="41"/>
      <c r="E12" s="24"/>
      <c r="F12" s="52"/>
      <c r="G12" s="42" t="s">
        <v>167</v>
      </c>
      <c r="H12">
        <v>0.0</v>
      </c>
      <c r="I12">
        <v>0.0</v>
      </c>
      <c r="J12" s="41">
        <f t="shared" si="1"/>
        <v>0</v>
      </c>
      <c r="K12" s="43"/>
      <c r="L12" s="32"/>
      <c r="M12" s="32"/>
      <c r="N12" s="32"/>
    </row>
    <row r="13" ht="15.75" customHeight="1">
      <c r="A13" s="38" t="s">
        <v>167</v>
      </c>
      <c r="B13" s="39">
        <v>0.004</v>
      </c>
      <c r="C13" s="40">
        <v>0.006</v>
      </c>
      <c r="D13" s="41"/>
      <c r="E13" s="24"/>
      <c r="F13" s="24"/>
      <c r="G13" s="42" t="s">
        <v>168</v>
      </c>
      <c r="H13">
        <v>0.0</v>
      </c>
      <c r="I13">
        <v>0.0</v>
      </c>
      <c r="J13" s="41">
        <f t="shared" si="1"/>
        <v>0</v>
      </c>
      <c r="K13" s="43"/>
      <c r="L13" s="32"/>
      <c r="M13" s="32"/>
      <c r="N13" s="32"/>
    </row>
    <row r="14" ht="15.75" customHeight="1">
      <c r="A14" s="38" t="s">
        <v>168</v>
      </c>
      <c r="B14" s="39">
        <v>0.002</v>
      </c>
      <c r="C14" s="40">
        <v>0.003</v>
      </c>
      <c r="D14" s="41"/>
      <c r="E14" s="24"/>
      <c r="F14" s="24"/>
      <c r="G14" s="42" t="s">
        <v>169</v>
      </c>
      <c r="H14">
        <v>13235.0074495124</v>
      </c>
      <c r="I14">
        <v>0.187379592579806</v>
      </c>
      <c r="J14" s="41"/>
      <c r="K14" s="43"/>
      <c r="L14" s="32"/>
      <c r="M14" s="32"/>
      <c r="N14" s="32"/>
    </row>
    <row r="15" ht="15.75" customHeight="1">
      <c r="A15" s="53" t="s">
        <v>169</v>
      </c>
      <c r="B15" s="54" t="s">
        <v>170</v>
      </c>
      <c r="C15" s="41"/>
      <c r="D15" s="41"/>
      <c r="E15" s="24"/>
      <c r="F15" s="24"/>
      <c r="G15" s="55" t="s">
        <v>171</v>
      </c>
      <c r="H15">
        <v>0.0</v>
      </c>
      <c r="I15">
        <v>0.0</v>
      </c>
      <c r="J15" s="41">
        <f>I15/sum(I$3:I$13,I$15)</f>
        <v>0</v>
      </c>
      <c r="K15" s="43"/>
      <c r="L15" s="32"/>
      <c r="M15" s="32"/>
      <c r="N15" s="32"/>
    </row>
    <row r="16" ht="15.75" customHeight="1">
      <c r="A16" s="56" t="s">
        <v>172</v>
      </c>
      <c r="B16" s="32"/>
      <c r="C16" s="32"/>
      <c r="D16" s="41"/>
      <c r="E16" s="24"/>
      <c r="F16" s="24"/>
      <c r="G16" s="57" t="s">
        <v>173</v>
      </c>
      <c r="H16">
        <v>50.0</v>
      </c>
      <c r="I16">
        <v>0.0</v>
      </c>
      <c r="J16" s="32"/>
      <c r="K16" s="43"/>
      <c r="L16" s="32"/>
      <c r="M16" s="32"/>
      <c r="N16" s="32"/>
    </row>
    <row r="17" ht="15.75" customHeight="1">
      <c r="A17" s="32"/>
      <c r="B17" s="32"/>
      <c r="C17" s="32"/>
      <c r="D17" s="32"/>
      <c r="E17" s="32"/>
      <c r="F17" s="52"/>
      <c r="G17" s="57" t="s">
        <v>174</v>
      </c>
      <c r="H17">
        <v>345.0</v>
      </c>
      <c r="I17">
        <v>0.0</v>
      </c>
      <c r="J17" s="32"/>
      <c r="K17" s="43"/>
      <c r="L17" s="32"/>
      <c r="M17" s="32"/>
      <c r="N17" s="32"/>
    </row>
    <row r="18" ht="15.75" customHeight="1">
      <c r="A18" s="32"/>
      <c r="B18" s="32"/>
      <c r="C18" s="32"/>
      <c r="D18" s="32"/>
      <c r="E18" s="32"/>
      <c r="F18" s="32"/>
      <c r="G18" s="58" t="s">
        <v>175</v>
      </c>
      <c r="H18">
        <v>0.164653899888361</v>
      </c>
      <c r="I18">
        <v>0.0</v>
      </c>
      <c r="J18" s="32"/>
      <c r="K18" s="43"/>
      <c r="L18" s="32"/>
      <c r="M18" s="32"/>
      <c r="N18" s="32"/>
    </row>
    <row r="19" ht="15.75" customHeight="1">
      <c r="A19" s="24"/>
      <c r="B19" s="24"/>
      <c r="C19" s="24"/>
      <c r="D19" s="32"/>
      <c r="E19" s="32"/>
      <c r="F19" s="32"/>
      <c r="G19" s="58" t="s">
        <v>176</v>
      </c>
      <c r="H19">
        <v>0.171472539847468</v>
      </c>
      <c r="I19">
        <v>0.0</v>
      </c>
      <c r="J19" s="32"/>
      <c r="K19" s="43"/>
      <c r="L19" s="32"/>
      <c r="M19" s="32"/>
      <c r="N19" s="32"/>
    </row>
    <row r="20" ht="16.5" customHeight="1">
      <c r="A20" s="59"/>
      <c r="B20" s="60"/>
      <c r="C20" s="43"/>
      <c r="D20" s="32"/>
      <c r="E20" s="32"/>
      <c r="F20" s="32"/>
      <c r="G20" s="57" t="s">
        <v>177</v>
      </c>
      <c r="H20">
        <v>159206.179834421</v>
      </c>
      <c r="I20">
        <v>0.0</v>
      </c>
      <c r="J20" s="32"/>
      <c r="K20" s="43"/>
      <c r="L20" s="32"/>
      <c r="M20" s="32"/>
      <c r="N20" s="32"/>
    </row>
    <row r="21" ht="16.5" customHeight="1">
      <c r="A21" s="61" t="s">
        <v>178</v>
      </c>
      <c r="B21" s="62">
        <f>'Inflation GDP Population'!U14-'Inflation GDP Population'!U15</f>
        <v>0.01989423738</v>
      </c>
      <c r="C21" s="63">
        <f>'Inflation GDP Population'!U14-'Inflation GDP Population'!U15</f>
        <v>0.01989423738</v>
      </c>
      <c r="D21" s="43"/>
      <c r="E21" s="43"/>
      <c r="F21" s="43"/>
      <c r="G21" s="57" t="s">
        <v>179</v>
      </c>
      <c r="H21">
        <v>1.4787879934396</v>
      </c>
      <c r="I21">
        <v>0.0</v>
      </c>
      <c r="J21" s="43"/>
      <c r="K21" s="43"/>
      <c r="L21" s="43"/>
      <c r="M21" s="43"/>
      <c r="N21" s="43"/>
    </row>
    <row r="22" ht="15.75" customHeight="1">
      <c r="A22" s="59" t="s">
        <v>180</v>
      </c>
      <c r="B22" s="64">
        <f>'Inflation GDP Population'!U15</f>
        <v>0.01974797033</v>
      </c>
      <c r="C22" s="32"/>
      <c r="D22" s="32"/>
      <c r="E22" s="32"/>
      <c r="F22" s="32"/>
      <c r="G22" s="57" t="s">
        <v>181</v>
      </c>
      <c r="H22">
        <v>2.1615491520022</v>
      </c>
      <c r="I22">
        <v>0.0</v>
      </c>
      <c r="J22" s="32"/>
      <c r="K22" s="32"/>
      <c r="L22" s="32"/>
      <c r="M22" s="32"/>
      <c r="N22" s="32"/>
    </row>
    <row r="23" ht="15.75" customHeight="1">
      <c r="A23" s="65" t="s">
        <v>182</v>
      </c>
      <c r="B23" s="66" t="s">
        <v>183</v>
      </c>
      <c r="C23" s="32"/>
      <c r="D23" s="32"/>
      <c r="E23" s="32"/>
      <c r="F23" s="32"/>
      <c r="G23" s="57" t="s">
        <v>184</v>
      </c>
      <c r="H23">
        <v>54047.43044</v>
      </c>
      <c r="I23">
        <v>0.0</v>
      </c>
      <c r="J23" s="32"/>
      <c r="K23" s="32"/>
      <c r="L23" s="32"/>
      <c r="M23" s="32"/>
      <c r="N23" s="32"/>
    </row>
    <row r="24" ht="15.75" customHeight="1">
      <c r="A24" s="67" t="s">
        <v>152</v>
      </c>
      <c r="B24" s="68">
        <f t="shared" ref="B24:B26" si="2">if(H3&gt;0,I3*1000000/(H3*8760),0)</f>
        <v>0.9791070821</v>
      </c>
      <c r="C24" s="32"/>
      <c r="D24" s="32"/>
      <c r="E24" s="32"/>
      <c r="F24" s="32"/>
      <c r="G24" s="57" t="s">
        <v>185</v>
      </c>
      <c r="H24">
        <v>777.4810526</v>
      </c>
      <c r="I24">
        <v>0.0</v>
      </c>
      <c r="J24" s="32"/>
      <c r="K24" s="32"/>
      <c r="L24" s="32"/>
      <c r="M24" s="32"/>
      <c r="N24" s="32"/>
    </row>
    <row r="25" ht="15.75" customHeight="1">
      <c r="A25" s="67" t="s">
        <v>153</v>
      </c>
      <c r="B25" s="68">
        <f t="shared" si="2"/>
        <v>0.95</v>
      </c>
      <c r="C25" s="32"/>
      <c r="D25" s="32"/>
      <c r="E25" s="32"/>
      <c r="F25" s="32"/>
      <c r="G25" s="57" t="s">
        <v>186</v>
      </c>
      <c r="H25">
        <v>54047.43044</v>
      </c>
      <c r="I25">
        <v>0.0</v>
      </c>
      <c r="J25" s="32"/>
      <c r="K25" s="32"/>
      <c r="L25" s="32"/>
      <c r="M25" s="32"/>
      <c r="N25" s="32"/>
    </row>
    <row r="26" ht="15.75" customHeight="1">
      <c r="A26" s="69" t="s">
        <v>157</v>
      </c>
      <c r="B26" s="68">
        <f t="shared" si="2"/>
        <v>0.5366678536</v>
      </c>
      <c r="C26" s="32"/>
      <c r="D26" s="32"/>
      <c r="E26" s="32"/>
      <c r="F26" s="32"/>
      <c r="G26" s="57" t="s">
        <v>187</v>
      </c>
      <c r="H26">
        <v>777.4810526</v>
      </c>
      <c r="I26">
        <v>0.0</v>
      </c>
      <c r="J26" s="32"/>
      <c r="K26" s="32"/>
      <c r="L26" s="32"/>
      <c r="M26" s="32"/>
      <c r="N26" s="32"/>
    </row>
    <row r="27" ht="15.75" customHeight="1">
      <c r="A27" s="70" t="s">
        <v>158</v>
      </c>
      <c r="B27" s="68">
        <f>if(H6&gt;0, I6*1000000/(H6*8760), 0)</f>
        <v>0.05939543685</v>
      </c>
      <c r="C27" s="32"/>
      <c r="D27" s="32"/>
      <c r="E27" s="32"/>
      <c r="F27" s="32"/>
      <c r="G27" s="32"/>
      <c r="J27" s="32"/>
      <c r="K27" s="32"/>
      <c r="L27" s="32"/>
      <c r="M27" s="32"/>
      <c r="N27" s="32"/>
    </row>
    <row r="28" ht="15.75" customHeight="1">
      <c r="A28" s="67" t="s">
        <v>160</v>
      </c>
      <c r="B28" s="68">
        <f>if(H7 &gt; 0, (I7*1000000/(H7*8760)), 0)</f>
        <v>0.8031375734</v>
      </c>
      <c r="C28" s="32"/>
      <c r="D28" s="32"/>
      <c r="E28" s="32"/>
      <c r="F28" s="32"/>
      <c r="G28" s="32"/>
      <c r="J28" s="32"/>
      <c r="K28" s="32"/>
      <c r="L28" s="32"/>
      <c r="M28" s="32"/>
      <c r="N28" s="32"/>
    </row>
    <row r="29" ht="15.75" customHeight="1">
      <c r="A29" s="71" t="s">
        <v>161</v>
      </c>
      <c r="B29" s="68">
        <f>if(H8&gt;0, I8*1000000/(H8*8760), 0)</f>
        <v>0.214405317</v>
      </c>
      <c r="C29" s="32"/>
      <c r="D29" s="32"/>
      <c r="E29" s="32"/>
      <c r="F29" s="32"/>
      <c r="G29" s="32"/>
      <c r="J29" s="32"/>
      <c r="K29" s="32"/>
      <c r="L29" s="32"/>
      <c r="M29" s="32"/>
      <c r="N29" s="32"/>
    </row>
    <row r="30" ht="15.75" customHeight="1">
      <c r="A30" s="67" t="s">
        <v>162</v>
      </c>
      <c r="B30" s="68">
        <f t="shared" ref="B30:B31" si="3">if(H9&gt;0,I9*1000000/(H9*8760),0)</f>
        <v>0.3921278152</v>
      </c>
      <c r="C30" s="32"/>
      <c r="D30" s="32"/>
      <c r="E30" s="32"/>
      <c r="F30" s="32"/>
      <c r="G30" s="32"/>
      <c r="J30" s="32"/>
      <c r="K30" s="32"/>
      <c r="L30" s="32"/>
      <c r="M30" s="32"/>
      <c r="N30" s="32"/>
    </row>
    <row r="31" ht="15.75" customHeight="1">
      <c r="A31" s="67" t="s">
        <v>163</v>
      </c>
      <c r="B31" s="68">
        <f t="shared" si="3"/>
        <v>0</v>
      </c>
      <c r="C31" s="32"/>
      <c r="D31" s="32"/>
      <c r="E31" s="32"/>
      <c r="F31" s="32"/>
      <c r="G31" s="32"/>
      <c r="J31" s="32"/>
      <c r="K31" s="32"/>
      <c r="L31" s="32"/>
      <c r="M31" s="32"/>
      <c r="N31" s="32"/>
    </row>
    <row r="32" ht="15.75" customHeight="1">
      <c r="A32" s="72" t="s">
        <v>164</v>
      </c>
      <c r="B32" s="73"/>
      <c r="C32" s="32"/>
      <c r="D32" s="32"/>
      <c r="E32" s="32"/>
      <c r="F32" s="32"/>
      <c r="G32" s="32"/>
      <c r="J32" s="32"/>
      <c r="K32" s="32"/>
      <c r="L32" s="32"/>
      <c r="M32" s="32"/>
      <c r="N32" s="32"/>
    </row>
    <row r="33" ht="15.75" customHeight="1">
      <c r="A33" s="67" t="s">
        <v>166</v>
      </c>
      <c r="B33" s="68">
        <f t="shared" ref="B33:B37" si="4">if(H11&gt;0,I11*1000000/(H11*8760),0)</f>
        <v>0.9439357427</v>
      </c>
      <c r="C33" s="32"/>
      <c r="D33" s="32"/>
      <c r="E33" s="32"/>
      <c r="F33" s="32"/>
      <c r="G33" s="32"/>
      <c r="J33" s="32"/>
      <c r="K33" s="32"/>
      <c r="L33" s="32"/>
      <c r="M33" s="32"/>
      <c r="N33" s="32"/>
    </row>
    <row r="34" ht="15.75" customHeight="1">
      <c r="A34" s="67" t="s">
        <v>167</v>
      </c>
      <c r="B34" s="68">
        <f t="shared" si="4"/>
        <v>0</v>
      </c>
      <c r="C34" s="32"/>
      <c r="D34" s="32"/>
      <c r="E34" s="32"/>
      <c r="F34" s="32"/>
      <c r="G34" s="32"/>
      <c r="H34" s="32"/>
      <c r="I34" s="32"/>
      <c r="J34" s="32"/>
      <c r="K34" s="32"/>
      <c r="L34" s="32"/>
      <c r="M34" s="32"/>
      <c r="N34" s="32"/>
    </row>
    <row r="35" ht="15.75" customHeight="1">
      <c r="A35" s="67" t="s">
        <v>168</v>
      </c>
      <c r="B35" s="68">
        <f t="shared" si="4"/>
        <v>0</v>
      </c>
      <c r="C35" s="32"/>
      <c r="D35" s="32"/>
      <c r="E35" s="32"/>
      <c r="F35" s="32"/>
      <c r="G35" s="32"/>
      <c r="H35" s="32"/>
      <c r="I35" s="32"/>
      <c r="J35" s="32"/>
      <c r="K35" s="32"/>
      <c r="L35" s="32"/>
      <c r="M35" s="32"/>
      <c r="N35" s="32"/>
    </row>
    <row r="36" ht="15.75" customHeight="1">
      <c r="A36" s="74" t="s">
        <v>169</v>
      </c>
      <c r="B36" s="68">
        <f t="shared" si="4"/>
        <v>0.001616195875</v>
      </c>
      <c r="C36" s="32"/>
      <c r="D36" s="32"/>
      <c r="E36" s="32"/>
      <c r="F36" s="32"/>
      <c r="G36" s="32"/>
      <c r="H36" s="32"/>
      <c r="I36" s="32"/>
      <c r="J36" s="32"/>
      <c r="K36" s="32"/>
      <c r="L36" s="32"/>
      <c r="M36" s="32"/>
      <c r="N36" s="32"/>
    </row>
    <row r="37" ht="15.75" customHeight="1">
      <c r="A37" s="75" t="s">
        <v>172</v>
      </c>
      <c r="B37" s="68">
        <f t="shared" si="4"/>
        <v>0</v>
      </c>
      <c r="C37" s="32"/>
      <c r="D37" s="32"/>
      <c r="E37" s="32"/>
      <c r="F37" s="32"/>
      <c r="G37" s="32"/>
      <c r="H37" s="32"/>
      <c r="I37" s="32"/>
      <c r="J37" s="32"/>
      <c r="K37" s="32"/>
      <c r="L37" s="32"/>
      <c r="M37" s="32"/>
      <c r="N37" s="32"/>
    </row>
  </sheetData>
  <mergeCells count="2">
    <mergeCell ref="E1:F1"/>
    <mergeCell ref="H1:I1"/>
  </mergeCells>
  <printOptions/>
  <pageMargins bottom="0.75" footer="0.0" header="0.0" left="0.7" right="0.7" top="0.75"/>
  <pageSetup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86"/>
    <col customWidth="1" min="2" max="2" width="19.14"/>
    <col customWidth="1" min="3" max="3" width="18.29"/>
    <col customWidth="1" min="4" max="13" width="9.14"/>
    <col customWidth="1" min="14" max="23" width="10.57"/>
    <col customWidth="1" min="24" max="54" width="10.71"/>
    <col customWidth="1" min="55" max="58" width="9.14"/>
    <col customWidth="1" min="59" max="66" width="8.71"/>
    <col customWidth="1" min="67" max="68" width="8.14"/>
  </cols>
  <sheetData>
    <row r="1">
      <c r="A1" s="76" t="s">
        <v>188</v>
      </c>
      <c r="B1" s="77" t="s">
        <v>189</v>
      </c>
      <c r="C1" s="77" t="s">
        <v>190</v>
      </c>
      <c r="D1" s="78">
        <v>2000.0</v>
      </c>
      <c r="E1" s="78">
        <v>2001.0</v>
      </c>
      <c r="F1" s="78">
        <v>2002.0</v>
      </c>
      <c r="G1" s="78">
        <v>2003.0</v>
      </c>
      <c r="H1" s="78">
        <v>2004.0</v>
      </c>
      <c r="I1" s="78">
        <v>2005.0</v>
      </c>
      <c r="J1" s="78">
        <v>2006.0</v>
      </c>
      <c r="K1" s="78">
        <v>2007.0</v>
      </c>
      <c r="L1" s="78">
        <v>2008.0</v>
      </c>
      <c r="M1" s="78">
        <v>2009.0</v>
      </c>
      <c r="N1" s="78">
        <v>2010.0</v>
      </c>
      <c r="O1" s="78">
        <v>2011.0</v>
      </c>
      <c r="P1" s="78">
        <v>2012.0</v>
      </c>
      <c r="Q1" s="78">
        <v>2013.0</v>
      </c>
      <c r="R1" s="78">
        <v>2014.0</v>
      </c>
      <c r="S1" s="78">
        <v>2015.0</v>
      </c>
      <c r="T1" s="78">
        <v>2016.0</v>
      </c>
      <c r="U1" s="78">
        <v>2017.0</v>
      </c>
      <c r="V1" s="78">
        <v>2018.0</v>
      </c>
      <c r="W1" s="78">
        <v>2019.0</v>
      </c>
      <c r="X1" s="78">
        <v>2020.0</v>
      </c>
      <c r="Y1" s="78">
        <v>2021.0</v>
      </c>
      <c r="Z1" s="78">
        <v>2022.0</v>
      </c>
      <c r="AA1" s="78">
        <v>2023.0</v>
      </c>
      <c r="AB1" s="78">
        <v>2024.0</v>
      </c>
      <c r="AC1" s="78">
        <v>2025.0</v>
      </c>
      <c r="AD1" s="78">
        <v>2026.0</v>
      </c>
      <c r="AE1" s="78">
        <v>2027.0</v>
      </c>
      <c r="AF1" s="78">
        <v>2028.0</v>
      </c>
      <c r="AG1" s="78">
        <v>2029.0</v>
      </c>
      <c r="AH1" s="78">
        <v>2030.0</v>
      </c>
      <c r="AI1" s="78">
        <v>2031.0</v>
      </c>
      <c r="AJ1" s="78">
        <v>2032.0</v>
      </c>
      <c r="AK1" s="78">
        <v>2033.0</v>
      </c>
      <c r="AL1" s="78">
        <v>2034.0</v>
      </c>
      <c r="AM1" s="78">
        <v>2035.0</v>
      </c>
      <c r="AN1" s="78">
        <v>2036.0</v>
      </c>
      <c r="AO1" s="78">
        <v>2037.0</v>
      </c>
      <c r="AP1" s="78">
        <v>2038.0</v>
      </c>
      <c r="AQ1" s="78">
        <v>2039.0</v>
      </c>
      <c r="AR1" s="78">
        <v>2040.0</v>
      </c>
      <c r="AS1" s="78">
        <v>2041.0</v>
      </c>
      <c r="AT1" s="78">
        <v>2042.0</v>
      </c>
      <c r="AU1" s="78">
        <v>2043.0</v>
      </c>
      <c r="AV1" s="78">
        <v>2044.0</v>
      </c>
      <c r="AW1" s="78">
        <v>2045.0</v>
      </c>
      <c r="AX1" s="78">
        <v>2046.0</v>
      </c>
      <c r="AY1" s="78">
        <v>2047.0</v>
      </c>
      <c r="AZ1" s="78">
        <v>2048.0</v>
      </c>
      <c r="BA1" s="78">
        <v>2049.0</v>
      </c>
      <c r="BB1" s="78">
        <v>2050.0</v>
      </c>
      <c r="BC1" s="78">
        <v>2051.0</v>
      </c>
      <c r="BD1" s="78">
        <v>2052.0</v>
      </c>
      <c r="BE1" s="78">
        <v>2053.0</v>
      </c>
      <c r="BF1" s="78">
        <v>2054.0</v>
      </c>
      <c r="BG1" s="78">
        <v>2055.0</v>
      </c>
      <c r="BH1" s="78">
        <v>2056.0</v>
      </c>
      <c r="BI1" s="78">
        <v>2057.0</v>
      </c>
      <c r="BJ1" s="78">
        <v>2058.0</v>
      </c>
      <c r="BK1" s="78">
        <v>2059.0</v>
      </c>
      <c r="BL1" s="78">
        <v>2060.0</v>
      </c>
      <c r="BM1" s="78">
        <v>2061.0</v>
      </c>
      <c r="BN1" s="78">
        <v>2062.0</v>
      </c>
      <c r="BO1" s="78">
        <v>2063.0</v>
      </c>
      <c r="BP1" s="78">
        <v>2064.0</v>
      </c>
    </row>
    <row r="2">
      <c r="A2" s="79" t="s">
        <v>191</v>
      </c>
      <c r="B2" s="80" t="s">
        <v>192</v>
      </c>
      <c r="C2" s="81" t="s">
        <v>193</v>
      </c>
      <c r="D2" s="82">
        <f>sum(Model!C8,Model!C426,,Model!C427,Model!C672,Model!C897,Model!C1122,Model!C1349,Model!C1574,Model!C1799*0,Model!C2024,Model!C2247,Model!C3534)</f>
        <v>127758.4</v>
      </c>
      <c r="E2" s="82">
        <f>sum(Model!D8,Model!D426,,Model!D427,Model!D672,Model!D897,Model!D1122,Model!D1349,Model!D1574,Model!D1799*0,Model!D2024,Model!D2247,Model!D3534)</f>
        <v>135664.4</v>
      </c>
      <c r="F2" s="82">
        <f>sum(Model!E8,Model!E426,,Model!E427,Model!E672,Model!E897,Model!E1122,Model!E1349,Model!E1574,Model!E1799*0,Model!E2024,Model!E2247,Model!E3534)</f>
        <v>145777</v>
      </c>
      <c r="G2" s="82">
        <f>sum(Model!F8,Model!F426,,Model!F427,Model!F672,Model!F897,Model!F1122,Model!F1349,Model!F1574,Model!F1799*0,Model!F2024,Model!F2247,Model!F3534)</f>
        <v>156627.5</v>
      </c>
      <c r="H2" s="82">
        <f>sum(Model!G8,Model!G426,,Model!G427,Model!G672,Model!G897,Model!G1122,Model!G1349,Model!G1574,Model!G1799*0,Model!G2024,Model!G2247,Model!G3534)</f>
        <v>159601.8</v>
      </c>
      <c r="I2" s="82">
        <f>sum(Model!H8,Model!H426,,Model!H427,Model!H672,Model!H897,Model!H1122,Model!H1349,Model!H1574,Model!H1799*0,Model!H2024,Model!H2247,Model!H3534)</f>
        <v>161027</v>
      </c>
      <c r="J2" s="82">
        <f>sum(Model!I8,Model!I426,,Model!I427,Model!I672,Model!I897,Model!I1122,Model!I1349,Model!I1574,Model!I1799*0,Model!I2024,Model!I2247,Model!I3534)</f>
        <v>162017.2</v>
      </c>
      <c r="K2" s="82">
        <f>sum(Model!J8,Model!J426,,Model!J427,Model!J672,Model!J897,Model!J1122,Model!J1349,Model!J1574,Model!J1799*0,Model!J2024,Model!J2247,Model!J3534)</f>
        <v>163254</v>
      </c>
      <c r="L2" s="82">
        <f>sum(Model!K8,Model!K426,,Model!K427,Model!K672,Model!K897,Model!K1122,Model!K1349,Model!K1574,Model!K1799*0,Model!K2024,Model!K2247,Model!K3534)</f>
        <v>164551</v>
      </c>
      <c r="M2" s="82">
        <f>sum(Model!L8,Model!L426,,Model!L427,Model!L672,Model!L897,Model!L1122,Model!L1349,Model!L1574,Model!L1799*0,Model!L2024,Model!L2247,Model!L3534)</f>
        <v>164793.7</v>
      </c>
      <c r="N2" s="82">
        <f>sum(Model!M8,Model!M426,,Model!M427,Model!M672,Model!M897,Model!M1122,Model!M1349,Model!M1574,Model!M1799*0,Model!M2024,Model!M2247,Model!M3534)</f>
        <v>166725</v>
      </c>
      <c r="O2" s="82">
        <f>sum(Model!N8,Model!N426,,Model!N427,Model!N672,Model!N897,Model!N1122,Model!N1349,Model!N1574,Model!N1799*0,Model!N2024,Model!N2247,Model!N3534)</f>
        <v>167865.3</v>
      </c>
      <c r="P2" s="82">
        <f>sum(Model!O8,Model!O426,,Model!O427,Model!O672,Model!O897,Model!O1122,Model!O1349,Model!O1574,Model!O1799*0,Model!O2024,Model!O2247,Model!O3534)</f>
        <v>170536.4</v>
      </c>
      <c r="Q2" s="82">
        <f>sum(Model!P8,Model!P426,,Model!P427,Model!P672,Model!P897,Model!P1122,Model!P1349,Model!P1574,Model!P1799*0,Model!P2024,Model!P2247,Model!P3534)</f>
        <v>169262.8</v>
      </c>
      <c r="R2" s="82">
        <f>sum(Model!Q8,Model!Q426,,Model!Q427,Model!Q672,Model!Q897,Model!Q1122,Model!Q1349,Model!Q1574,Model!Q1799*0,Model!Q2024,Model!Q2247,Model!Q3534)</f>
        <v>169408.7</v>
      </c>
      <c r="S2" s="82">
        <f>sum(Model!R8,Model!R426,,Model!R427,Model!R672,Model!R897,Model!R1122,Model!R1349,Model!R1574,Model!R1799*0,Model!R2024,Model!R2247,Model!R3534)</f>
        <v>165020</v>
      </c>
      <c r="T2" s="82">
        <f>sum(Model!S8,Model!S426,,Model!S427,Model!S672,Model!S897,Model!S1122,Model!S1349,Model!S1574,Model!S1799*0,Model!S2024,Model!S2247,Model!S3534)</f>
        <v>166428.7</v>
      </c>
      <c r="U2" s="82">
        <f>sum(Model!T8,Model!T426,,Model!T427,Model!T672,Model!T897,Model!T1122,Model!T1349,Model!T1574,Model!T1799*0,Model!T2024,Model!T2247,Model!T3534)</f>
        <v>167447.9</v>
      </c>
      <c r="V2" s="82">
        <f>sum(Model!U8,Model!U426,,Model!U427,Model!U672,Model!U897,Model!U1122,Model!U1349,Model!U1574,Model!U1799*0,Model!U2024,Model!U2247,Model!U3534)</f>
        <v>168310.7</v>
      </c>
      <c r="W2" s="82">
        <f>sum(Model!V8,Model!V426,,Model!V427,Model!V672,Model!V897,Model!V1122,Model!V1349,Model!V1574,Model!V1799*0,Model!V2024,Model!V2247,Model!V3534)</f>
        <v>169190.9</v>
      </c>
      <c r="X2" s="82">
        <f>sum(Model!W8,Model!W426,,Model!W427,Model!W672,Model!W897,Model!W1122,Model!W1349,Model!W1574,Model!W1799*0,Model!W2024,Model!W2247,Model!W3534)</f>
        <v>169190.9</v>
      </c>
      <c r="Y2" s="82">
        <f>sum(Model!X8,Model!X426,,Model!X427,Model!X672,Model!X897,Model!X1122,Model!X1349,Model!X1574,Model!X1799*0,Model!X2024,Model!X2247,Model!X3534)</f>
        <v>170028.8411</v>
      </c>
      <c r="Z2" s="82">
        <f>sum(Model!Y8,Model!Y426,,Model!Y427,Model!Y672,Model!Y897,Model!Y1122,Model!Y1349,Model!Y1574,Model!Y1799*0,Model!Y2024,Model!Y2247,Model!Y3534)</f>
        <v>170866.7822</v>
      </c>
      <c r="AA2" s="82">
        <f>sum(Model!Z8,Model!Z426,,Model!Z427,Model!Z672,Model!Z897,Model!Z1122,Model!Z1349,Model!Z1574,Model!Z1799*0,Model!Z2024,Model!Z2247,Model!Z3534)</f>
        <v>171704.7233</v>
      </c>
      <c r="AB2" s="82">
        <f>sum(Model!AA8,Model!AA426,,Model!AA427,Model!AA672,Model!AA897,Model!AA1122,Model!AA1349,Model!AA1574,Model!AA1799*0,Model!AA2024,Model!AA2247,Model!AA3534)</f>
        <v>172542.6645</v>
      </c>
      <c r="AC2" s="82">
        <f>sum(Model!AB8,Model!AB426,,Model!AB427,Model!AB672,Model!AB897,Model!AB1122,Model!AB1349,Model!AB1574,Model!AB1799*0,Model!AB2024,Model!AB2247,Model!AB3534)</f>
        <v>173380.6056</v>
      </c>
      <c r="AD2" s="82">
        <f>sum(Model!AC8,Model!AC426,,Model!AC427,Model!AC672,Model!AC897,Model!AC1122,Model!AC1349,Model!AC1574,Model!AC1799*0,Model!AC2024,Model!AC2247,Model!AC3534)</f>
        <v>174218.5467</v>
      </c>
      <c r="AE2" s="82">
        <f>sum(Model!AD8,Model!AD426,,Model!AD427,Model!AD672,Model!AD897,Model!AD1122,Model!AD1349,Model!AD1574,Model!AD1799*0,Model!AD2024,Model!AD2247,Model!AD3534)</f>
        <v>175056.4878</v>
      </c>
      <c r="AF2" s="82">
        <f>sum(Model!AE8,Model!AE426,,Model!AE427,Model!AE672,Model!AE897,Model!AE1122,Model!AE1349,Model!AE1574,Model!AE1799*0,Model!AE2024,Model!AE2247,Model!AE3534)</f>
        <v>175894.4289</v>
      </c>
      <c r="AG2" s="82">
        <f>sum(Model!AF8,Model!AF426,,Model!AF427,Model!AF672,Model!AF897,Model!AF1122,Model!AF1349,Model!AF1574,Model!AF1799*0,Model!AF2024,Model!AF2247,Model!AF3534)</f>
        <v>176732.37</v>
      </c>
      <c r="AH2" s="82">
        <f>sum(Model!AG8,Model!AG426,,Model!AG427,Model!AG672,Model!AG897,Model!AG1122,Model!AG1349,Model!AG1574,Model!AG1799*0,Model!AG2024,Model!AG2247,Model!AG3534)</f>
        <v>177570.3111</v>
      </c>
      <c r="AI2" s="82">
        <f>sum(Model!AH8,Model!AH426,,Model!AH427,Model!AH672,Model!AH897,Model!AH1122,Model!AH1349,Model!AH1574,Model!AH1799*0,Model!AH2024,Model!AH2247,Model!AH3534)</f>
        <v>178408.2522</v>
      </c>
      <c r="AJ2" s="82">
        <f>sum(Model!AI8,Model!AI426,,Model!AI427,Model!AI672,Model!AI897,Model!AI1122,Model!AI1349,Model!AI1574,Model!AI1799*0,Model!AI2024,Model!AI2247,Model!AI3534)</f>
        <v>179246.1934</v>
      </c>
      <c r="AK2" s="82">
        <f>sum(Model!AJ8,Model!AJ426,,Model!AJ427,Model!AJ672,Model!AJ897,Model!AJ1122,Model!AJ1349,Model!AJ1574,Model!AJ1799*0,Model!AJ2024,Model!AJ2247,Model!AJ3534)</f>
        <v>180084.1345</v>
      </c>
      <c r="AL2" s="82">
        <f>sum(Model!AK8,Model!AK426,,Model!AK427,Model!AK672,Model!AK897,Model!AK1122,Model!AK1349,Model!AK1574,Model!AK1799*0,Model!AK2024,Model!AK2247,Model!AK3534)</f>
        <v>180922.0756</v>
      </c>
      <c r="AM2" s="82">
        <f>sum(Model!AL8,Model!AL426,,Model!AL427,Model!AL672,Model!AL897,Model!AL1122,Model!AL1349,Model!AL1574,Model!AL1799*0,Model!AL2024,Model!AL2247,Model!AL3534)</f>
        <v>181760.0167</v>
      </c>
      <c r="AN2" s="82">
        <f>sum(Model!AM8,Model!AM426,,Model!AM427,Model!AM672,Model!AM897,Model!AM1122,Model!AM1349,Model!AM1574,Model!AM1799*0,Model!AM2024,Model!AM2247,Model!AM3534)</f>
        <v>182597.9578</v>
      </c>
      <c r="AO2" s="82">
        <f>sum(Model!AN8,Model!AN426,,Model!AN427,Model!AN672,Model!AN897,Model!AN1122,Model!AN1349,Model!AN1574,Model!AN1799*0,Model!AN2024,Model!AN2247,Model!AN3534)</f>
        <v>183435.8989</v>
      </c>
      <c r="AP2" s="82">
        <f>sum(Model!AO8,Model!AO426,,Model!AO427,Model!AO672,Model!AO897,Model!AO1122,Model!AO1349,Model!AO1574,Model!AO1799*0,Model!AO2024,Model!AO2247,Model!AO3534)</f>
        <v>184273.84</v>
      </c>
      <c r="AQ2" s="82">
        <f>sum(Model!AP8,Model!AP426,,Model!AP427,Model!AP672,Model!AP897,Model!AP1122,Model!AP1349,Model!AP1574,Model!AP1799*0,Model!AP2024,Model!AP2247,Model!AP3534)</f>
        <v>185111.7812</v>
      </c>
      <c r="AR2" s="82">
        <f>sum(Model!AQ8,Model!AQ426,,Model!AQ427,Model!AQ672,Model!AQ897,Model!AQ1122,Model!AQ1349,Model!AQ1574,Model!AQ1799*0,Model!AQ2024,Model!AQ2247,Model!AQ3534)</f>
        <v>185949.7223</v>
      </c>
      <c r="AS2" s="82">
        <f>sum(Model!AR8,Model!AR426,,Model!AR427,Model!AR672,Model!AR897,Model!AR1122,Model!AR1349,Model!AR1574,Model!AR1799*0,Model!AR2024,Model!AR2247,Model!AR3534)</f>
        <v>186787.6634</v>
      </c>
      <c r="AT2" s="82">
        <f>sum(Model!AS8,Model!AS426,,Model!AS427,Model!AS672,Model!AS897,Model!AS1122,Model!AS1349,Model!AS1574,Model!AS1799*0,Model!AS2024,Model!AS2247,Model!AS3534)</f>
        <v>187625.6045</v>
      </c>
      <c r="AU2" s="82">
        <f>sum(Model!AT8,Model!AT426,,Model!AT427,Model!AT672,Model!AT897,Model!AT1122,Model!AT1349,Model!AT1574,Model!AT1799*0,Model!AT2024,Model!AT2247,Model!AT3534)</f>
        <v>188463.5456</v>
      </c>
      <c r="AV2" s="82">
        <f>sum(Model!AU8,Model!AU426,,Model!AU427,Model!AU672,Model!AU897,Model!AU1122,Model!AU1349,Model!AU1574,Model!AU1799*0,Model!AU2024,Model!AU2247,Model!AU3534)</f>
        <v>189301.4867</v>
      </c>
      <c r="AW2" s="82">
        <f>sum(Model!AV8,Model!AV426,,Model!AV427,Model!AV672,Model!AV897,Model!AV1122,Model!AV1349,Model!AV1574,Model!AV1799*0,Model!AV2024,Model!AV2247,Model!AV3534)</f>
        <v>190139.4278</v>
      </c>
      <c r="AX2" s="82">
        <f>sum(Model!AW8,Model!AW426,,Model!AW427,Model!AW672,Model!AW897,Model!AW1122,Model!AW1349,Model!AW1574,Model!AW1799*0,Model!AW2024,Model!AW2247,Model!AW3534)</f>
        <v>190977.3689</v>
      </c>
      <c r="AY2" s="82">
        <f>sum(Model!AX8,Model!AX426,,Model!AX427,Model!AX672,Model!AX897,Model!AX1122,Model!AX1349,Model!AX1574,Model!AX1799*0,Model!AX2024,Model!AX2247,Model!AX3534)</f>
        <v>191815.3101</v>
      </c>
      <c r="AZ2" s="82">
        <f>sum(Model!AY8,Model!AY426,,Model!AY427,Model!AY672,Model!AY897,Model!AY1122,Model!AY1349,Model!AY1574,Model!AY1799*0,Model!AY2024,Model!AY2247,Model!AY3534)</f>
        <v>192653.2512</v>
      </c>
      <c r="BA2" s="82">
        <f>sum(Model!AZ8,Model!AZ426,,Model!AZ427,Model!AZ672,Model!AZ897,Model!AZ1122,Model!AZ1349,Model!AZ1574,Model!AZ1799*0,Model!AZ2024,Model!AZ2247,Model!AZ3534)</f>
        <v>193491.1923</v>
      </c>
      <c r="BB2" s="82">
        <f>sum(Model!BA8,Model!BA426,,Model!BA427,Model!BA672,Model!BA897,Model!BA1122,Model!BA1349,Model!BA1574,Model!BA1799*0,Model!BA2024,Model!BA2247,Model!BA3534)</f>
        <v>194329.1334</v>
      </c>
      <c r="BC2" s="83"/>
      <c r="BD2" s="83"/>
      <c r="BE2" s="83"/>
      <c r="BF2" s="83"/>
      <c r="BG2" s="83"/>
      <c r="BH2" s="83"/>
      <c r="BI2" s="83"/>
      <c r="BJ2" s="83"/>
      <c r="BK2" s="83"/>
      <c r="BL2" s="83"/>
      <c r="BM2" s="83"/>
      <c r="BN2" s="83"/>
      <c r="BO2" s="83"/>
      <c r="BP2" s="83"/>
    </row>
    <row r="3">
      <c r="A3" s="79" t="s">
        <v>194</v>
      </c>
      <c r="B3" s="80" t="s">
        <v>192</v>
      </c>
      <c r="C3" s="81" t="s">
        <v>195</v>
      </c>
      <c r="D3" s="82">
        <f>Model!C8</f>
        <v>54831.9</v>
      </c>
      <c r="E3" s="82">
        <f>Model!D8</f>
        <v>55291.8</v>
      </c>
      <c r="F3" s="82">
        <f>Model!E8</f>
        <v>55140.1</v>
      </c>
      <c r="G3" s="82">
        <f>Model!F8</f>
        <v>55135.1</v>
      </c>
      <c r="H3" s="82">
        <f>Model!G8</f>
        <v>55122.6</v>
      </c>
      <c r="I3" s="82">
        <f>Model!H8</f>
        <v>55122.6</v>
      </c>
      <c r="J3" s="82">
        <f>Model!I8</f>
        <v>55115.1</v>
      </c>
      <c r="K3" s="82">
        <f>Model!J8</f>
        <v>55706.1</v>
      </c>
      <c r="L3" s="82">
        <f>Model!K8</f>
        <v>56338.1</v>
      </c>
      <c r="M3" s="82">
        <f>Model!L8</f>
        <v>56338.1</v>
      </c>
      <c r="N3" s="82">
        <f>Model!M8</f>
        <v>56338.1</v>
      </c>
      <c r="O3" s="82">
        <f>Model!N8</f>
        <v>55303.4</v>
      </c>
      <c r="P3" s="82">
        <f>Model!O8</f>
        <v>53641.4</v>
      </c>
      <c r="Q3" s="82">
        <f>Model!P8</f>
        <v>51260</v>
      </c>
      <c r="R3" s="82">
        <f>Model!Q8</f>
        <v>50106.6</v>
      </c>
      <c r="S3" s="82">
        <f>Model!R8</f>
        <v>45199.4</v>
      </c>
      <c r="T3" s="82">
        <f>Model!S8</f>
        <v>43686.2</v>
      </c>
      <c r="U3" s="82">
        <f>Model!T8</f>
        <v>43186.2</v>
      </c>
      <c r="V3" s="82">
        <f>Model!U8</f>
        <v>41761.5</v>
      </c>
      <c r="W3" s="82">
        <f>Model!V8</f>
        <v>41761.5</v>
      </c>
      <c r="X3" s="82">
        <f>Model!W8</f>
        <v>41761.5</v>
      </c>
      <c r="Y3" s="82">
        <f>Model!X8</f>
        <v>40990.94695</v>
      </c>
      <c r="Z3" s="82">
        <f>Model!Y8</f>
        <v>40220.3939</v>
      </c>
      <c r="AA3" s="82">
        <f>Model!Z8</f>
        <v>39449.84086</v>
      </c>
      <c r="AB3" s="82">
        <f>Model!AA8</f>
        <v>38679.28781</v>
      </c>
      <c r="AC3" s="82">
        <f>Model!AB8</f>
        <v>37908.73476</v>
      </c>
      <c r="AD3" s="82">
        <f>Model!AC8</f>
        <v>37138.18171</v>
      </c>
      <c r="AE3" s="82">
        <f>Model!AD8</f>
        <v>36367.62867</v>
      </c>
      <c r="AF3" s="82">
        <f>Model!AE8</f>
        <v>35597.07562</v>
      </c>
      <c r="AG3" s="82">
        <f>Model!AF8</f>
        <v>34826.52257</v>
      </c>
      <c r="AH3" s="82">
        <f>Model!AG8</f>
        <v>34055.96952</v>
      </c>
      <c r="AI3" s="82">
        <f>Model!AH8</f>
        <v>33285.41647</v>
      </c>
      <c r="AJ3" s="82">
        <f>Model!AI8</f>
        <v>32514.86343</v>
      </c>
      <c r="AK3" s="82">
        <f>Model!AJ8</f>
        <v>31744.31038</v>
      </c>
      <c r="AL3" s="82">
        <f>Model!AK8</f>
        <v>30973.75733</v>
      </c>
      <c r="AM3" s="82">
        <f>Model!AL8</f>
        <v>30203.20428</v>
      </c>
      <c r="AN3" s="82">
        <f>Model!AM8</f>
        <v>29432.65123</v>
      </c>
      <c r="AO3" s="82">
        <f>Model!AN8</f>
        <v>28662.09819</v>
      </c>
      <c r="AP3" s="82">
        <f>Model!AO8</f>
        <v>27891.54514</v>
      </c>
      <c r="AQ3" s="82">
        <f>Model!AP8</f>
        <v>27120.99209</v>
      </c>
      <c r="AR3" s="82">
        <f>Model!AQ8</f>
        <v>26350.43904</v>
      </c>
      <c r="AS3" s="82">
        <f>Model!AR8</f>
        <v>25579.886</v>
      </c>
      <c r="AT3" s="82">
        <f>Model!AS8</f>
        <v>24809.33295</v>
      </c>
      <c r="AU3" s="82">
        <f>Model!AT8</f>
        <v>24038.7799</v>
      </c>
      <c r="AV3" s="82">
        <f>Model!AU8</f>
        <v>23268.22685</v>
      </c>
      <c r="AW3" s="82">
        <f>Model!AV8</f>
        <v>22497.6738</v>
      </c>
      <c r="AX3" s="82">
        <f>Model!AW8</f>
        <v>21727.12076</v>
      </c>
      <c r="AY3" s="82">
        <f>Model!AX8</f>
        <v>20956.56771</v>
      </c>
      <c r="AZ3" s="82">
        <f>Model!AY8</f>
        <v>20186.01466</v>
      </c>
      <c r="BA3" s="82">
        <f>Model!AZ8</f>
        <v>19415.46161</v>
      </c>
      <c r="BB3" s="82">
        <f>Model!BA8</f>
        <v>18644.90856</v>
      </c>
      <c r="BC3" s="82"/>
      <c r="BD3" s="83"/>
      <c r="BE3" s="83"/>
      <c r="BF3" s="83"/>
      <c r="BG3" s="83"/>
      <c r="BH3" s="83"/>
      <c r="BI3" s="83"/>
      <c r="BJ3" s="83"/>
      <c r="BK3" s="83"/>
      <c r="BL3" s="83"/>
      <c r="BM3" s="83"/>
      <c r="BN3" s="83"/>
      <c r="BO3" s="83"/>
      <c r="BP3" s="83"/>
    </row>
    <row r="4">
      <c r="A4" s="79" t="s">
        <v>196</v>
      </c>
      <c r="B4" s="80" t="s">
        <v>192</v>
      </c>
      <c r="C4" s="81" t="s">
        <v>197</v>
      </c>
      <c r="D4" s="82">
        <f>Model!C426</f>
        <v>3740.2</v>
      </c>
      <c r="E4" s="82">
        <f>Model!D426</f>
        <v>6775.2</v>
      </c>
      <c r="F4" s="82">
        <f>Model!E426</f>
        <v>13643.9</v>
      </c>
      <c r="G4" s="82">
        <f>Model!F426</f>
        <v>22113.3</v>
      </c>
      <c r="H4" s="82">
        <f>Model!G426</f>
        <v>24587.6</v>
      </c>
      <c r="I4" s="82">
        <f>Model!H426</f>
        <v>25964.2</v>
      </c>
      <c r="J4" s="82">
        <f>Model!I426</f>
        <v>26814.7</v>
      </c>
      <c r="K4" s="82">
        <f>Model!J426</f>
        <v>26814.7</v>
      </c>
      <c r="L4" s="82">
        <f>Model!K426</f>
        <v>27502.8</v>
      </c>
      <c r="M4" s="82">
        <f>Model!L426</f>
        <v>27502.8</v>
      </c>
      <c r="N4" s="82">
        <f>Model!M426</f>
        <v>28930</v>
      </c>
      <c r="O4" s="82">
        <f>Model!N426</f>
        <v>31121.4</v>
      </c>
      <c r="P4" s="82">
        <f>Model!O426</f>
        <v>35583.2</v>
      </c>
      <c r="Q4" s="82">
        <f>Model!P426</f>
        <v>36313.2</v>
      </c>
      <c r="R4" s="82">
        <f>Model!Q426</f>
        <v>37153.2</v>
      </c>
      <c r="S4" s="82">
        <f>Model!R426</f>
        <v>37153.2</v>
      </c>
      <c r="T4" s="82">
        <f>Model!S426</f>
        <v>37153.2</v>
      </c>
      <c r="U4" s="82">
        <f>Model!T426</f>
        <v>37153.2</v>
      </c>
      <c r="V4" s="82">
        <f>Model!U426</f>
        <v>39714.7</v>
      </c>
      <c r="W4" s="82">
        <f>Model!V426</f>
        <v>39714.7</v>
      </c>
      <c r="X4" s="82">
        <f>Model!W426</f>
        <v>39714.7</v>
      </c>
      <c r="Y4" s="82">
        <f>Model!X426</f>
        <v>40423.32658</v>
      </c>
      <c r="Z4" s="82">
        <f>Model!Y426</f>
        <v>41131.95316</v>
      </c>
      <c r="AA4" s="82">
        <f>Model!Z426</f>
        <v>41840.57974</v>
      </c>
      <c r="AB4" s="82">
        <f>Model!AA426</f>
        <v>42549.20632</v>
      </c>
      <c r="AC4" s="82">
        <f>Model!AB426</f>
        <v>43257.8329</v>
      </c>
      <c r="AD4" s="82">
        <f>Model!AC426</f>
        <v>43966.45948</v>
      </c>
      <c r="AE4" s="82">
        <f>Model!AD426</f>
        <v>44675.08606</v>
      </c>
      <c r="AF4" s="82">
        <f>Model!AE426</f>
        <v>45383.71264</v>
      </c>
      <c r="AG4" s="82">
        <f>Model!AF426</f>
        <v>46092.33922</v>
      </c>
      <c r="AH4" s="82">
        <f>Model!AG426</f>
        <v>46800.9658</v>
      </c>
      <c r="AI4" s="82">
        <f>Model!AH426</f>
        <v>47509.59238</v>
      </c>
      <c r="AJ4" s="82">
        <f>Model!AI426</f>
        <v>48218.21896</v>
      </c>
      <c r="AK4" s="82">
        <f>Model!AJ426</f>
        <v>48926.84554</v>
      </c>
      <c r="AL4" s="82">
        <f>Model!AK426</f>
        <v>49635.47212</v>
      </c>
      <c r="AM4" s="82">
        <f>Model!AL426</f>
        <v>50344.0987</v>
      </c>
      <c r="AN4" s="82">
        <f>Model!AM426</f>
        <v>51052.72529</v>
      </c>
      <c r="AO4" s="82">
        <f>Model!AN426</f>
        <v>51761.35187</v>
      </c>
      <c r="AP4" s="82">
        <f>Model!AO426</f>
        <v>52469.97845</v>
      </c>
      <c r="AQ4" s="82">
        <f>Model!AP426</f>
        <v>53178.60503</v>
      </c>
      <c r="AR4" s="82">
        <f>Model!AQ426</f>
        <v>53887.23161</v>
      </c>
      <c r="AS4" s="82">
        <f>Model!AR426</f>
        <v>54595.85819</v>
      </c>
      <c r="AT4" s="82">
        <f>Model!AS426</f>
        <v>55304.48477</v>
      </c>
      <c r="AU4" s="82">
        <f>Model!AT426</f>
        <v>56013.11135</v>
      </c>
      <c r="AV4" s="82">
        <f>Model!AU426</f>
        <v>56721.73793</v>
      </c>
      <c r="AW4" s="82">
        <f>Model!AV426</f>
        <v>57430.36451</v>
      </c>
      <c r="AX4" s="82">
        <f>Model!AW426</f>
        <v>58138.99109</v>
      </c>
      <c r="AY4" s="82">
        <f>Model!AX426</f>
        <v>58847.61767</v>
      </c>
      <c r="AZ4" s="82">
        <f>Model!AY426</f>
        <v>59556.24425</v>
      </c>
      <c r="BA4" s="82">
        <f>Model!AZ426</f>
        <v>60264.87083</v>
      </c>
      <c r="BB4" s="82">
        <f>Model!BA426</f>
        <v>60973.49741</v>
      </c>
      <c r="BC4" s="83"/>
      <c r="BD4" s="83"/>
      <c r="BE4" s="83"/>
      <c r="BF4" s="83"/>
      <c r="BG4" s="83"/>
      <c r="BH4" s="83"/>
      <c r="BI4" s="83"/>
      <c r="BJ4" s="83"/>
      <c r="BK4" s="83"/>
      <c r="BL4" s="83"/>
      <c r="BM4" s="83"/>
      <c r="BN4" s="83"/>
      <c r="BO4" s="83"/>
      <c r="BP4" s="83"/>
    </row>
    <row r="5">
      <c r="A5" s="79" t="s">
        <v>198</v>
      </c>
      <c r="B5" s="80" t="s">
        <v>192</v>
      </c>
      <c r="C5" s="81" t="s">
        <v>199</v>
      </c>
      <c r="D5" s="82">
        <f>Model!C427</f>
        <v>25417.6</v>
      </c>
      <c r="E5" s="82">
        <f>Model!D427</f>
        <v>29810.5</v>
      </c>
      <c r="F5" s="82">
        <f>Model!E427</f>
        <v>33216.9</v>
      </c>
      <c r="G5" s="82">
        <f>Model!F427</f>
        <v>35621.6</v>
      </c>
      <c r="H5" s="82">
        <f>Model!G427</f>
        <v>36033.2</v>
      </c>
      <c r="I5" s="82">
        <f>Model!H427</f>
        <v>36035.3</v>
      </c>
      <c r="J5" s="82">
        <f>Model!I427</f>
        <v>36118.8</v>
      </c>
      <c r="K5" s="82">
        <f>Model!J427</f>
        <v>36738.8</v>
      </c>
      <c r="L5" s="82">
        <f>Model!K427</f>
        <v>36692.8</v>
      </c>
      <c r="M5" s="82">
        <f>Model!L427</f>
        <v>36919.1</v>
      </c>
      <c r="N5" s="82">
        <f>Model!M427</f>
        <v>37317</v>
      </c>
      <c r="O5" s="82">
        <f>Model!N427</f>
        <v>37216.5</v>
      </c>
      <c r="P5" s="82">
        <f>Model!O427</f>
        <v>37126</v>
      </c>
      <c r="Q5" s="82">
        <f>Model!P427</f>
        <v>37135.8</v>
      </c>
      <c r="R5" s="82">
        <f>Model!Q427</f>
        <v>37120.3</v>
      </c>
      <c r="S5" s="82">
        <f>Model!R427</f>
        <v>36812.8</v>
      </c>
      <c r="T5" s="82">
        <f>Model!S427</f>
        <v>36691.9</v>
      </c>
      <c r="U5" s="82">
        <f>Model!T427</f>
        <v>36819.2</v>
      </c>
      <c r="V5" s="82">
        <f>Model!U427</f>
        <v>35731.1</v>
      </c>
      <c r="W5" s="82">
        <f>Model!V427</f>
        <v>35731.1</v>
      </c>
      <c r="X5" s="82">
        <f>Model!W427</f>
        <v>35731.1</v>
      </c>
      <c r="Y5" s="82">
        <f>Model!X427</f>
        <v>35464.57799</v>
      </c>
      <c r="Z5" s="82">
        <f>Model!Y427</f>
        <v>35198.05598</v>
      </c>
      <c r="AA5" s="82">
        <f>Model!Z427</f>
        <v>34931.53396</v>
      </c>
      <c r="AB5" s="82">
        <f>Model!AA427</f>
        <v>34665.01195</v>
      </c>
      <c r="AC5" s="82">
        <f>Model!AB427</f>
        <v>34398.48994</v>
      </c>
      <c r="AD5" s="82">
        <f>Model!AC427</f>
        <v>34131.96793</v>
      </c>
      <c r="AE5" s="82">
        <f>Model!AD427</f>
        <v>33865.44592</v>
      </c>
      <c r="AF5" s="82">
        <f>Model!AE427</f>
        <v>33598.9239</v>
      </c>
      <c r="AG5" s="82">
        <f>Model!AF427</f>
        <v>33332.40189</v>
      </c>
      <c r="AH5" s="82">
        <f>Model!AG427</f>
        <v>33065.87988</v>
      </c>
      <c r="AI5" s="82">
        <f>Model!AH427</f>
        <v>32799.35787</v>
      </c>
      <c r="AJ5" s="82">
        <f>Model!AI427</f>
        <v>32532.83586</v>
      </c>
      <c r="AK5" s="82">
        <f>Model!AJ427</f>
        <v>32266.31384</v>
      </c>
      <c r="AL5" s="82">
        <f>Model!AK427</f>
        <v>31999.79183</v>
      </c>
      <c r="AM5" s="82">
        <f>Model!AL427</f>
        <v>31733.26982</v>
      </c>
      <c r="AN5" s="82">
        <f>Model!AM427</f>
        <v>31466.74781</v>
      </c>
      <c r="AO5" s="82">
        <f>Model!AN427</f>
        <v>31200.2258</v>
      </c>
      <c r="AP5" s="82">
        <f>Model!AO427</f>
        <v>30933.70378</v>
      </c>
      <c r="AQ5" s="82">
        <f>Model!AP427</f>
        <v>30667.18177</v>
      </c>
      <c r="AR5" s="82">
        <f>Model!AQ427</f>
        <v>30400.65976</v>
      </c>
      <c r="AS5" s="82">
        <f>Model!AR427</f>
        <v>30134.13775</v>
      </c>
      <c r="AT5" s="82">
        <f>Model!AS427</f>
        <v>29867.61574</v>
      </c>
      <c r="AU5" s="82">
        <f>Model!AT427</f>
        <v>29601.09372</v>
      </c>
      <c r="AV5" s="82">
        <f>Model!AU427</f>
        <v>29334.57171</v>
      </c>
      <c r="AW5" s="82">
        <f>Model!AV427</f>
        <v>29068.0497</v>
      </c>
      <c r="AX5" s="82">
        <f>Model!AW427</f>
        <v>28801.52769</v>
      </c>
      <c r="AY5" s="82">
        <f>Model!AX427</f>
        <v>28535.00568</v>
      </c>
      <c r="AZ5" s="82">
        <f>Model!AY427</f>
        <v>28268.48366</v>
      </c>
      <c r="BA5" s="82">
        <f>Model!AZ427</f>
        <v>28001.96165</v>
      </c>
      <c r="BB5" s="82">
        <f>Model!BA427</f>
        <v>27735.43964</v>
      </c>
      <c r="BC5" s="83"/>
      <c r="BD5" s="83"/>
      <c r="BE5" s="83"/>
      <c r="BF5" s="83"/>
      <c r="BG5" s="83"/>
      <c r="BH5" s="83"/>
      <c r="BI5" s="83"/>
      <c r="BJ5" s="83"/>
      <c r="BK5" s="83"/>
      <c r="BL5" s="83"/>
      <c r="BM5" s="83"/>
      <c r="BN5" s="83"/>
      <c r="BO5" s="83"/>
      <c r="BP5" s="83"/>
    </row>
    <row r="6">
      <c r="A6" s="79" t="s">
        <v>200</v>
      </c>
      <c r="B6" s="80" t="s">
        <v>192</v>
      </c>
      <c r="C6" s="81" t="s">
        <v>201</v>
      </c>
      <c r="D6" s="82">
        <f>Model!C672</f>
        <v>1.8</v>
      </c>
      <c r="E6" s="82">
        <f>Model!D672</f>
        <v>1.8</v>
      </c>
      <c r="F6" s="82">
        <f>Model!E672</f>
        <v>1.8</v>
      </c>
      <c r="G6" s="82">
        <f>Model!F672</f>
        <v>1.8</v>
      </c>
      <c r="H6" s="82">
        <f>Model!G672</f>
        <v>28.8</v>
      </c>
      <c r="I6" s="82">
        <f>Model!H672</f>
        <v>28.8</v>
      </c>
      <c r="J6" s="82">
        <f>Model!I672</f>
        <v>28.8</v>
      </c>
      <c r="K6" s="82">
        <f>Model!J672</f>
        <v>28.8</v>
      </c>
      <c r="L6" s="82">
        <f>Model!K672</f>
        <v>28.8</v>
      </c>
      <c r="M6" s="82">
        <f>Model!L672</f>
        <v>28.8</v>
      </c>
      <c r="N6" s="82">
        <f>Model!M672</f>
        <v>28.8</v>
      </c>
      <c r="O6" s="82">
        <f>Model!N672</f>
        <v>28.8</v>
      </c>
      <c r="P6" s="82">
        <f>Model!O672</f>
        <v>28.8</v>
      </c>
      <c r="Q6" s="82">
        <f>Model!P672</f>
        <v>28.8</v>
      </c>
      <c r="R6" s="82">
        <f>Model!Q672</f>
        <v>28.8</v>
      </c>
      <c r="S6" s="82">
        <f>Model!R672</f>
        <v>28.8</v>
      </c>
      <c r="T6" s="82">
        <f>Model!S672</f>
        <v>236.8</v>
      </c>
      <c r="U6" s="82">
        <f>Model!T672</f>
        <v>236.8</v>
      </c>
      <c r="V6" s="82">
        <f>Model!U672</f>
        <v>236.8</v>
      </c>
      <c r="W6" s="82">
        <f>Model!V672</f>
        <v>236.8</v>
      </c>
      <c r="X6" s="82">
        <f>Model!W672</f>
        <v>236.8</v>
      </c>
      <c r="Y6" s="82">
        <f>Model!X672</f>
        <v>392.2467634</v>
      </c>
      <c r="Z6" s="82">
        <f>Model!Y672</f>
        <v>547.6935267</v>
      </c>
      <c r="AA6" s="82">
        <f>Model!Z672</f>
        <v>703.1402901</v>
      </c>
      <c r="AB6" s="82">
        <f>Model!AA672</f>
        <v>858.5870534</v>
      </c>
      <c r="AC6" s="82">
        <f>Model!AB672</f>
        <v>1014.033817</v>
      </c>
      <c r="AD6" s="82">
        <f>Model!AC672</f>
        <v>1169.48058</v>
      </c>
      <c r="AE6" s="82">
        <f>Model!AD672</f>
        <v>1324.927343</v>
      </c>
      <c r="AF6" s="82">
        <f>Model!AE672</f>
        <v>1480.374107</v>
      </c>
      <c r="AG6" s="82">
        <f>Model!AF672</f>
        <v>1635.82087</v>
      </c>
      <c r="AH6" s="82">
        <f>Model!AG672</f>
        <v>1791.267634</v>
      </c>
      <c r="AI6" s="82">
        <f>Model!AH672</f>
        <v>1946.714397</v>
      </c>
      <c r="AJ6" s="82">
        <f>Model!AI672</f>
        <v>2102.16116</v>
      </c>
      <c r="AK6" s="82">
        <f>Model!AJ672</f>
        <v>2257.607924</v>
      </c>
      <c r="AL6" s="82">
        <f>Model!AK672</f>
        <v>2413.054687</v>
      </c>
      <c r="AM6" s="82">
        <f>Model!AL672</f>
        <v>2568.50145</v>
      </c>
      <c r="AN6" s="82">
        <f>Model!AM672</f>
        <v>2723.948214</v>
      </c>
      <c r="AO6" s="82">
        <f>Model!AN672</f>
        <v>2879.394977</v>
      </c>
      <c r="AP6" s="82">
        <f>Model!AO672</f>
        <v>3034.84174</v>
      </c>
      <c r="AQ6" s="82">
        <f>Model!AP672</f>
        <v>3190.288504</v>
      </c>
      <c r="AR6" s="82">
        <f>Model!AQ672</f>
        <v>3345.735267</v>
      </c>
      <c r="AS6" s="82">
        <f>Model!AR672</f>
        <v>3501.18203</v>
      </c>
      <c r="AT6" s="82">
        <f>Model!AS672</f>
        <v>3656.628794</v>
      </c>
      <c r="AU6" s="82">
        <f>Model!AT672</f>
        <v>3812.075557</v>
      </c>
      <c r="AV6" s="82">
        <f>Model!AU672</f>
        <v>3967.52232</v>
      </c>
      <c r="AW6" s="82">
        <f>Model!AV672</f>
        <v>4122.969084</v>
      </c>
      <c r="AX6" s="82">
        <f>Model!AW672</f>
        <v>4278.415847</v>
      </c>
      <c r="AY6" s="82">
        <f>Model!AX672</f>
        <v>4433.862611</v>
      </c>
      <c r="AZ6" s="82">
        <f>Model!AY672</f>
        <v>4589.309374</v>
      </c>
      <c r="BA6" s="82">
        <f>Model!AZ672</f>
        <v>4744.756137</v>
      </c>
      <c r="BB6" s="82">
        <f>Model!BA672</f>
        <v>4900.202901</v>
      </c>
      <c r="BC6" s="83"/>
      <c r="BD6" s="83"/>
      <c r="BE6" s="83"/>
      <c r="BF6" s="83"/>
      <c r="BG6" s="83"/>
      <c r="BH6" s="83"/>
      <c r="BI6" s="83"/>
      <c r="BJ6" s="83"/>
      <c r="BK6" s="83"/>
      <c r="BL6" s="83"/>
      <c r="BM6" s="83"/>
      <c r="BN6" s="83"/>
      <c r="BO6" s="83"/>
      <c r="BP6" s="83"/>
    </row>
    <row r="7">
      <c r="A7" s="79" t="s">
        <v>202</v>
      </c>
      <c r="B7" s="80" t="s">
        <v>192</v>
      </c>
      <c r="C7" s="84" t="s">
        <v>203</v>
      </c>
      <c r="D7" s="82">
        <f>Model!C897</f>
        <v>0</v>
      </c>
      <c r="E7" s="82">
        <f>Model!D897</f>
        <v>0</v>
      </c>
      <c r="F7" s="82">
        <f>Model!E897</f>
        <v>0</v>
      </c>
      <c r="G7" s="82">
        <f>Model!F897</f>
        <v>0</v>
      </c>
      <c r="H7" s="82">
        <f>Model!G897</f>
        <v>0</v>
      </c>
      <c r="I7" s="82">
        <f>Model!H897</f>
        <v>0</v>
      </c>
      <c r="J7" s="82">
        <f>Model!I897</f>
        <v>0</v>
      </c>
      <c r="K7" s="82">
        <f>Model!J897</f>
        <v>0</v>
      </c>
      <c r="L7" s="82">
        <f>Model!K897</f>
        <v>3.2</v>
      </c>
      <c r="M7" s="82">
        <f>Model!L897</f>
        <v>3.2</v>
      </c>
      <c r="N7" s="82">
        <f>Model!M897</f>
        <v>10.6</v>
      </c>
      <c r="O7" s="82">
        <f>Model!N897</f>
        <v>37.1</v>
      </c>
      <c r="P7" s="82">
        <f>Model!O897</f>
        <v>148.7</v>
      </c>
      <c r="Q7" s="82">
        <f>Model!P897</f>
        <v>431.1</v>
      </c>
      <c r="R7" s="82">
        <f>Model!Q897</f>
        <v>839.5</v>
      </c>
      <c r="S7" s="82">
        <f>Model!R897</f>
        <v>1929.8</v>
      </c>
      <c r="T7" s="82">
        <f>Model!S897</f>
        <v>3583.9</v>
      </c>
      <c r="U7" s="82">
        <f>Model!T897</f>
        <v>5045</v>
      </c>
      <c r="V7" s="82">
        <f>Model!U897</f>
        <v>5925.2</v>
      </c>
      <c r="W7" s="82">
        <f>Model!V897</f>
        <v>6805.4</v>
      </c>
      <c r="X7" s="82">
        <f>Model!W897</f>
        <v>6805.4</v>
      </c>
      <c r="Y7" s="82">
        <f>Model!X897</f>
        <v>8221.368292</v>
      </c>
      <c r="Z7" s="82">
        <f>Model!Y897</f>
        <v>9637.336584</v>
      </c>
      <c r="AA7" s="82">
        <f>Model!Z897</f>
        <v>11053.30488</v>
      </c>
      <c r="AB7" s="82">
        <f>Model!AA897</f>
        <v>12469.27317</v>
      </c>
      <c r="AC7" s="82">
        <f>Model!AB897</f>
        <v>13885.24146</v>
      </c>
      <c r="AD7" s="82">
        <f>Model!AC897</f>
        <v>15301.20975</v>
      </c>
      <c r="AE7" s="82">
        <f>Model!AD897</f>
        <v>16717.17804</v>
      </c>
      <c r="AF7" s="82">
        <f>Model!AE897</f>
        <v>18133.14634</v>
      </c>
      <c r="AG7" s="82">
        <f>Model!AF897</f>
        <v>19549.11463</v>
      </c>
      <c r="AH7" s="82">
        <f>Model!AG897</f>
        <v>20965.08292</v>
      </c>
      <c r="AI7" s="82">
        <f>Model!AH897</f>
        <v>22381.05121</v>
      </c>
      <c r="AJ7" s="82">
        <f>Model!AI897</f>
        <v>23797.0195</v>
      </c>
      <c r="AK7" s="82">
        <f>Model!AJ897</f>
        <v>25212.98779</v>
      </c>
      <c r="AL7" s="82">
        <f>Model!AK897</f>
        <v>26628.95609</v>
      </c>
      <c r="AM7" s="82">
        <f>Model!AL897</f>
        <v>28044.92438</v>
      </c>
      <c r="AN7" s="82">
        <f>Model!AM897</f>
        <v>29460.89267</v>
      </c>
      <c r="AO7" s="82">
        <f>Model!AN897</f>
        <v>30876.86096</v>
      </c>
      <c r="AP7" s="82">
        <f>Model!AO897</f>
        <v>32292.82925</v>
      </c>
      <c r="AQ7" s="82">
        <f>Model!AP897</f>
        <v>33708.79755</v>
      </c>
      <c r="AR7" s="82">
        <f>Model!AQ897</f>
        <v>35124.76584</v>
      </c>
      <c r="AS7" s="82">
        <f>Model!AR897</f>
        <v>36540.73413</v>
      </c>
      <c r="AT7" s="82">
        <f>Model!AS897</f>
        <v>37956.70242</v>
      </c>
      <c r="AU7" s="82">
        <f>Model!AT897</f>
        <v>39372.67071</v>
      </c>
      <c r="AV7" s="82">
        <f>Model!AU897</f>
        <v>40788.63901</v>
      </c>
      <c r="AW7" s="82">
        <f>Model!AV897</f>
        <v>42204.6073</v>
      </c>
      <c r="AX7" s="82">
        <f>Model!AW897</f>
        <v>43620.57559</v>
      </c>
      <c r="AY7" s="82">
        <f>Model!AX897</f>
        <v>45036.54388</v>
      </c>
      <c r="AZ7" s="82">
        <f>Model!AY897</f>
        <v>46452.51217</v>
      </c>
      <c r="BA7" s="82">
        <f>Model!AZ897</f>
        <v>47868.48047</v>
      </c>
      <c r="BB7" s="82">
        <f>Model!BA897</f>
        <v>49284.44876</v>
      </c>
      <c r="BC7" s="83"/>
      <c r="BD7" s="83"/>
      <c r="BE7" s="83"/>
      <c r="BF7" s="83"/>
      <c r="BG7" s="83"/>
      <c r="BH7" s="83"/>
      <c r="BI7" s="83"/>
      <c r="BJ7" s="83"/>
      <c r="BK7" s="83"/>
      <c r="BL7" s="83"/>
      <c r="BM7" s="83"/>
      <c r="BN7" s="83"/>
      <c r="BO7" s="83"/>
      <c r="BP7" s="83"/>
    </row>
    <row r="8">
      <c r="A8" s="79" t="s">
        <v>204</v>
      </c>
      <c r="B8" s="80" t="s">
        <v>192</v>
      </c>
      <c r="C8" s="84" t="s">
        <v>205</v>
      </c>
      <c r="D8" s="85">
        <f>Model!C3534</f>
        <v>0</v>
      </c>
      <c r="E8" s="85">
        <f>Model!D3534</f>
        <v>0</v>
      </c>
      <c r="F8" s="85">
        <f>Model!E3534</f>
        <v>0</v>
      </c>
      <c r="G8" s="85">
        <f>Model!F3534</f>
        <v>0</v>
      </c>
      <c r="H8" s="85">
        <f>Model!G3534</f>
        <v>0</v>
      </c>
      <c r="I8" s="85">
        <f>Model!H3534</f>
        <v>0</v>
      </c>
      <c r="J8" s="85">
        <f>Model!I3534</f>
        <v>0</v>
      </c>
      <c r="K8" s="85">
        <f>Model!J3534</f>
        <v>0</v>
      </c>
      <c r="L8" s="85">
        <f>Model!K3534</f>
        <v>0</v>
      </c>
      <c r="M8" s="85">
        <f>Model!L3534</f>
        <v>0</v>
      </c>
      <c r="N8" s="85">
        <f>Model!M3534</f>
        <v>0</v>
      </c>
      <c r="O8" s="85">
        <f>Model!N3534</f>
        <v>0</v>
      </c>
      <c r="P8" s="85">
        <f>Model!O3534</f>
        <v>0</v>
      </c>
      <c r="Q8" s="85">
        <f>Model!P3534</f>
        <v>0</v>
      </c>
      <c r="R8" s="85">
        <f>Model!Q3534</f>
        <v>0</v>
      </c>
      <c r="S8" s="85">
        <f>Model!R3534</f>
        <v>0</v>
      </c>
      <c r="T8" s="85">
        <f>Model!S3534</f>
        <v>0</v>
      </c>
      <c r="U8" s="85">
        <f>Model!T3534</f>
        <v>0</v>
      </c>
      <c r="V8" s="85">
        <f>Model!U3534</f>
        <v>0</v>
      </c>
      <c r="W8" s="85">
        <f>Model!V3534</f>
        <v>0</v>
      </c>
      <c r="X8" s="85">
        <f>Model!W3534</f>
        <v>0</v>
      </c>
      <c r="Y8" s="85">
        <f>Model!X3534</f>
        <v>0</v>
      </c>
      <c r="Z8" s="85">
        <f>Model!Y3534</f>
        <v>0</v>
      </c>
      <c r="AA8" s="85">
        <f>Model!Z3534</f>
        <v>0</v>
      </c>
      <c r="AB8" s="85">
        <f>Model!AA3534</f>
        <v>0</v>
      </c>
      <c r="AC8" s="85">
        <f>Model!AB3534</f>
        <v>0</v>
      </c>
      <c r="AD8" s="85">
        <f>Model!AC3534</f>
        <v>0</v>
      </c>
      <c r="AE8" s="85">
        <f>Model!AD3534</f>
        <v>0</v>
      </c>
      <c r="AF8" s="85">
        <f>Model!AE3534</f>
        <v>0</v>
      </c>
      <c r="AG8" s="85">
        <f>Model!AF3534</f>
        <v>0</v>
      </c>
      <c r="AH8" s="85">
        <f>Model!AG3534</f>
        <v>0</v>
      </c>
      <c r="AI8" s="85">
        <f>Model!AH3534</f>
        <v>0</v>
      </c>
      <c r="AJ8" s="85">
        <f>Model!AI3534</f>
        <v>0</v>
      </c>
      <c r="AK8" s="85">
        <f>Model!AJ3534</f>
        <v>0</v>
      </c>
      <c r="AL8" s="85">
        <f>Model!AK3534</f>
        <v>0</v>
      </c>
      <c r="AM8" s="85">
        <f>Model!AL3534</f>
        <v>0</v>
      </c>
      <c r="AN8" s="85">
        <f>Model!AM3534</f>
        <v>0</v>
      </c>
      <c r="AO8" s="85">
        <f>Model!AN3534</f>
        <v>0</v>
      </c>
      <c r="AP8" s="85">
        <f>Model!AO3534</f>
        <v>0</v>
      </c>
      <c r="AQ8" s="85">
        <f>Model!AP3534</f>
        <v>0</v>
      </c>
      <c r="AR8" s="85">
        <f>Model!AQ3534</f>
        <v>0</v>
      </c>
      <c r="AS8" s="85">
        <f>Model!AR3534</f>
        <v>0</v>
      </c>
      <c r="AT8" s="85">
        <f>Model!AS3534</f>
        <v>0</v>
      </c>
      <c r="AU8" s="85">
        <f>Model!AT3534</f>
        <v>0</v>
      </c>
      <c r="AV8" s="85">
        <f>Model!AU3534</f>
        <v>0</v>
      </c>
      <c r="AW8" s="85">
        <f>Model!AV3534</f>
        <v>0</v>
      </c>
      <c r="AX8" s="85">
        <f>Model!AW3534</f>
        <v>0</v>
      </c>
      <c r="AY8" s="85">
        <f>Model!AX3534</f>
        <v>0</v>
      </c>
      <c r="AZ8" s="85">
        <f>Model!AY3534</f>
        <v>0</v>
      </c>
      <c r="BA8" s="85">
        <f>Model!AZ3534</f>
        <v>0</v>
      </c>
      <c r="BB8" s="85">
        <f>Model!BA3534</f>
        <v>0</v>
      </c>
      <c r="BC8" s="83"/>
      <c r="BD8" s="83"/>
      <c r="BE8" s="83"/>
      <c r="BF8" s="83"/>
      <c r="BG8" s="83"/>
      <c r="BH8" s="83"/>
      <c r="BI8" s="83"/>
      <c r="BJ8" s="83"/>
      <c r="BK8" s="83"/>
      <c r="BL8" s="83"/>
      <c r="BM8" s="83"/>
      <c r="BN8" s="83"/>
      <c r="BO8" s="83"/>
      <c r="BP8" s="83"/>
    </row>
    <row r="9">
      <c r="A9" s="79" t="s">
        <v>206</v>
      </c>
      <c r="B9" s="80" t="s">
        <v>192</v>
      </c>
      <c r="C9" s="81" t="s">
        <v>207</v>
      </c>
      <c r="D9" s="82">
        <f>Model!C1122</f>
        <v>26732.9</v>
      </c>
      <c r="E9" s="82">
        <f>Model!D1122</f>
        <v>26732.9</v>
      </c>
      <c r="F9" s="82">
        <f>Model!E1122</f>
        <v>26732.9</v>
      </c>
      <c r="G9" s="82">
        <f>Model!F1122</f>
        <v>26732.9</v>
      </c>
      <c r="H9" s="82">
        <f>Model!G1122</f>
        <v>26732.9</v>
      </c>
      <c r="I9" s="82">
        <f>Model!H1122</f>
        <v>26732.9</v>
      </c>
      <c r="J9" s="82">
        <f>Model!I1122</f>
        <v>26732.9</v>
      </c>
      <c r="K9" s="82">
        <f>Model!J1122</f>
        <v>26732.9</v>
      </c>
      <c r="L9" s="82">
        <f>Model!K1122</f>
        <v>26732.9</v>
      </c>
      <c r="M9" s="82">
        <f>Model!L1122</f>
        <v>26732.9</v>
      </c>
      <c r="N9" s="82">
        <f>Model!M1122</f>
        <v>26732.9</v>
      </c>
      <c r="O9" s="82">
        <f>Model!N1122</f>
        <v>26732.9</v>
      </c>
      <c r="P9" s="82">
        <f>Model!O1122</f>
        <v>26732.9</v>
      </c>
      <c r="Q9" s="82">
        <f>Model!P1122</f>
        <v>26732.9</v>
      </c>
      <c r="R9" s="82">
        <f>Model!Q1122</f>
        <v>26732.9</v>
      </c>
      <c r="S9" s="82">
        <f>Model!R1122</f>
        <v>26732.9</v>
      </c>
      <c r="T9" s="82">
        <f>Model!S1122</f>
        <v>28002.8</v>
      </c>
      <c r="U9" s="82">
        <f>Model!T1122</f>
        <v>28002.8</v>
      </c>
      <c r="V9" s="82">
        <f>Model!U1122</f>
        <v>28002.8</v>
      </c>
      <c r="W9" s="82">
        <f>Model!V1122</f>
        <v>28002.8</v>
      </c>
      <c r="X9" s="82">
        <f>Model!W1122</f>
        <v>28002.8</v>
      </c>
      <c r="Y9" s="82">
        <f>Model!X1122</f>
        <v>28088.58808</v>
      </c>
      <c r="Z9" s="82">
        <f>Model!Y1122</f>
        <v>28174.37616</v>
      </c>
      <c r="AA9" s="82">
        <f>Model!Z1122</f>
        <v>28260.16425</v>
      </c>
      <c r="AB9" s="82">
        <f>Model!AA1122</f>
        <v>28345.95233</v>
      </c>
      <c r="AC9" s="82">
        <f>Model!AB1122</f>
        <v>28431.74041</v>
      </c>
      <c r="AD9" s="82">
        <f>Model!AC1122</f>
        <v>28517.52849</v>
      </c>
      <c r="AE9" s="82">
        <f>Model!AD1122</f>
        <v>28603.31658</v>
      </c>
      <c r="AF9" s="82">
        <f>Model!AE1122</f>
        <v>28689.10466</v>
      </c>
      <c r="AG9" s="82">
        <f>Model!AF1122</f>
        <v>28774.89274</v>
      </c>
      <c r="AH9" s="82">
        <f>Model!AG1122</f>
        <v>28860.68082</v>
      </c>
      <c r="AI9" s="82">
        <f>Model!AH1122</f>
        <v>28946.4689</v>
      </c>
      <c r="AJ9" s="82">
        <f>Model!AI1122</f>
        <v>29032.25699</v>
      </c>
      <c r="AK9" s="82">
        <f>Model!AJ1122</f>
        <v>29118.04507</v>
      </c>
      <c r="AL9" s="82">
        <f>Model!AK1122</f>
        <v>29203.83315</v>
      </c>
      <c r="AM9" s="82">
        <f>Model!AL1122</f>
        <v>29289.62123</v>
      </c>
      <c r="AN9" s="82">
        <f>Model!AM1122</f>
        <v>29375.40932</v>
      </c>
      <c r="AO9" s="82">
        <f>Model!AN1122</f>
        <v>29461.1974</v>
      </c>
      <c r="AP9" s="82">
        <f>Model!AO1122</f>
        <v>29546.98548</v>
      </c>
      <c r="AQ9" s="82">
        <f>Model!AP1122</f>
        <v>29632.77356</v>
      </c>
      <c r="AR9" s="82">
        <f>Model!AQ1122</f>
        <v>29718.56164</v>
      </c>
      <c r="AS9" s="82">
        <f>Model!AR1122</f>
        <v>29804.34973</v>
      </c>
      <c r="AT9" s="82">
        <f>Model!AS1122</f>
        <v>29890.13781</v>
      </c>
      <c r="AU9" s="82">
        <f>Model!AT1122</f>
        <v>29975.92589</v>
      </c>
      <c r="AV9" s="82">
        <f>Model!AU1122</f>
        <v>30061.71397</v>
      </c>
      <c r="AW9" s="82">
        <f>Model!AV1122</f>
        <v>30147.50206</v>
      </c>
      <c r="AX9" s="82">
        <f>Model!AW1122</f>
        <v>30233.29014</v>
      </c>
      <c r="AY9" s="82">
        <f>Model!AX1122</f>
        <v>30319.07822</v>
      </c>
      <c r="AZ9" s="82">
        <f>Model!AY1122</f>
        <v>30404.8663</v>
      </c>
      <c r="BA9" s="82">
        <f>Model!AZ1122</f>
        <v>30490.65438</v>
      </c>
      <c r="BB9" s="82">
        <f>Model!BA1122</f>
        <v>30576.44247</v>
      </c>
      <c r="BC9" s="83"/>
      <c r="BD9" s="83"/>
      <c r="BE9" s="83"/>
      <c r="BF9" s="83"/>
      <c r="BG9" s="83"/>
      <c r="BH9" s="83"/>
      <c r="BI9" s="83"/>
      <c r="BJ9" s="83"/>
      <c r="BK9" s="83"/>
      <c r="BL9" s="83"/>
      <c r="BM9" s="83"/>
      <c r="BN9" s="83"/>
      <c r="BO9" s="83"/>
      <c r="BP9" s="83"/>
    </row>
    <row r="10">
      <c r="A10" s="79" t="s">
        <v>208</v>
      </c>
      <c r="B10" s="80" t="s">
        <v>192</v>
      </c>
      <c r="C10" s="81" t="s">
        <v>209</v>
      </c>
      <c r="D10" s="82">
        <f>Model!C1349</f>
        <v>10999.8</v>
      </c>
      <c r="E10" s="82">
        <f>Model!D1349</f>
        <v>10993.8</v>
      </c>
      <c r="F10" s="82">
        <f>Model!E1349</f>
        <v>10993.8</v>
      </c>
      <c r="G10" s="82">
        <f>Model!F1349</f>
        <v>11015.8</v>
      </c>
      <c r="H10" s="82">
        <f>Model!G1349</f>
        <v>11037.8</v>
      </c>
      <c r="I10" s="82">
        <f>Model!H1349</f>
        <v>11057.6</v>
      </c>
      <c r="J10" s="82">
        <f>Model!I1349</f>
        <v>11057.6</v>
      </c>
      <c r="K10" s="82">
        <f>Model!J1349</f>
        <v>11057.6</v>
      </c>
      <c r="L10" s="82">
        <f>Model!K1349</f>
        <v>11057.6</v>
      </c>
      <c r="M10" s="82">
        <f>Model!L1349</f>
        <v>11057.6</v>
      </c>
      <c r="N10" s="82">
        <f>Model!M1349</f>
        <v>11054.8</v>
      </c>
      <c r="O10" s="82">
        <f>Model!N1349</f>
        <v>11056.5</v>
      </c>
      <c r="P10" s="82">
        <f>Model!O1349</f>
        <v>11063.4</v>
      </c>
      <c r="Q10" s="82">
        <f>Model!P1349</f>
        <v>11092</v>
      </c>
      <c r="R10" s="82">
        <f>Model!Q1349</f>
        <v>11092</v>
      </c>
      <c r="S10" s="82">
        <f>Model!R1349</f>
        <v>11092</v>
      </c>
      <c r="T10" s="82">
        <f>Model!S1349</f>
        <v>11092</v>
      </c>
      <c r="U10" s="82">
        <f>Model!T1349</f>
        <v>11092</v>
      </c>
      <c r="V10" s="82">
        <f>Model!U1349</f>
        <v>11046</v>
      </c>
      <c r="W10" s="82">
        <f>Model!V1349</f>
        <v>11046</v>
      </c>
      <c r="X10" s="82">
        <f>Model!W1349</f>
        <v>11046</v>
      </c>
      <c r="Y10" s="82">
        <f>Model!X1349</f>
        <v>10717.67729</v>
      </c>
      <c r="Z10" s="82">
        <f>Model!Y1349</f>
        <v>10389.35458</v>
      </c>
      <c r="AA10" s="82">
        <f>Model!Z1349</f>
        <v>10061.03187</v>
      </c>
      <c r="AB10" s="82">
        <f>Model!AA1349</f>
        <v>9732.709165</v>
      </c>
      <c r="AC10" s="82">
        <f>Model!AB1349</f>
        <v>9404.386456</v>
      </c>
      <c r="AD10" s="82">
        <f>Model!AC1349</f>
        <v>9076.063748</v>
      </c>
      <c r="AE10" s="82">
        <f>Model!AD1349</f>
        <v>8747.741039</v>
      </c>
      <c r="AF10" s="82">
        <f>Model!AE1349</f>
        <v>8419.41833</v>
      </c>
      <c r="AG10" s="82">
        <f>Model!AF1349</f>
        <v>8091.095622</v>
      </c>
      <c r="AH10" s="82">
        <f>Model!AG1349</f>
        <v>7762.772913</v>
      </c>
      <c r="AI10" s="82">
        <f>Model!AH1349</f>
        <v>7434.450204</v>
      </c>
      <c r="AJ10" s="82">
        <f>Model!AI1349</f>
        <v>7106.127496</v>
      </c>
      <c r="AK10" s="82">
        <f>Model!AJ1349</f>
        <v>6777.804787</v>
      </c>
      <c r="AL10" s="82">
        <f>Model!AK1349</f>
        <v>6449.482078</v>
      </c>
      <c r="AM10" s="82">
        <f>Model!AL1349</f>
        <v>6121.159369</v>
      </c>
      <c r="AN10" s="82">
        <f>Model!AM1349</f>
        <v>5792.836661</v>
      </c>
      <c r="AO10" s="82">
        <f>Model!AN1349</f>
        <v>5464.513952</v>
      </c>
      <c r="AP10" s="82">
        <f>Model!AO1349</f>
        <v>5136.191243</v>
      </c>
      <c r="AQ10" s="82">
        <f>Model!AP1349</f>
        <v>4807.868535</v>
      </c>
      <c r="AR10" s="82">
        <f>Model!AQ1349</f>
        <v>4479.545826</v>
      </c>
      <c r="AS10" s="82">
        <f>Model!AR1349</f>
        <v>4151.223117</v>
      </c>
      <c r="AT10" s="82">
        <f>Model!AS1349</f>
        <v>3822.900408</v>
      </c>
      <c r="AU10" s="82">
        <f>Model!AT1349</f>
        <v>3494.5777</v>
      </c>
      <c r="AV10" s="82">
        <f>Model!AU1349</f>
        <v>3166.254991</v>
      </c>
      <c r="AW10" s="82">
        <f>Model!AV1349</f>
        <v>2837.932282</v>
      </c>
      <c r="AX10" s="82">
        <f>Model!AW1349</f>
        <v>2509.609574</v>
      </c>
      <c r="AY10" s="82">
        <f>Model!AX1349</f>
        <v>2181.286865</v>
      </c>
      <c r="AZ10" s="82">
        <f>Model!AY1349</f>
        <v>1852.964156</v>
      </c>
      <c r="BA10" s="82">
        <f>Model!AZ1349</f>
        <v>1524.641448</v>
      </c>
      <c r="BB10" s="82">
        <f>Model!BA1349</f>
        <v>1196.318739</v>
      </c>
      <c r="BC10" s="83"/>
      <c r="BD10" s="83"/>
      <c r="BE10" s="83"/>
      <c r="BF10" s="83"/>
      <c r="BG10" s="83"/>
      <c r="BH10" s="83"/>
      <c r="BI10" s="83"/>
      <c r="BJ10" s="83"/>
      <c r="BK10" s="83"/>
      <c r="BL10" s="83"/>
      <c r="BM10" s="83"/>
      <c r="BN10" s="83"/>
      <c r="BO10" s="83"/>
      <c r="BP10" s="83"/>
    </row>
    <row r="11">
      <c r="A11" s="79" t="s">
        <v>210</v>
      </c>
      <c r="B11" s="80" t="s">
        <v>192</v>
      </c>
      <c r="C11" s="81" t="s">
        <v>211</v>
      </c>
      <c r="D11" s="82">
        <f>Model!C1574</f>
        <v>0</v>
      </c>
      <c r="E11" s="82">
        <f>Model!D1574</f>
        <v>0</v>
      </c>
      <c r="F11" s="82">
        <f>Model!E1574</f>
        <v>0</v>
      </c>
      <c r="G11" s="82">
        <f>Model!F1574</f>
        <v>0</v>
      </c>
      <c r="H11" s="82">
        <f>Model!G1574</f>
        <v>0</v>
      </c>
      <c r="I11" s="82">
        <f>Model!H1574</f>
        <v>0</v>
      </c>
      <c r="J11" s="82">
        <f>Model!I1574</f>
        <v>0</v>
      </c>
      <c r="K11" s="82">
        <f>Model!J1574</f>
        <v>0</v>
      </c>
      <c r="L11" s="82">
        <f>Model!K1574</f>
        <v>0</v>
      </c>
      <c r="M11" s="82">
        <f>Model!L1574</f>
        <v>0</v>
      </c>
      <c r="N11" s="82">
        <f>Model!M1574</f>
        <v>0</v>
      </c>
      <c r="O11" s="82">
        <f>Model!N1574</f>
        <v>0</v>
      </c>
      <c r="P11" s="82">
        <f>Model!O1574</f>
        <v>0</v>
      </c>
      <c r="Q11" s="82">
        <f>Model!P1574</f>
        <v>0</v>
      </c>
      <c r="R11" s="82">
        <f>Model!Q1574</f>
        <v>0</v>
      </c>
      <c r="S11" s="82">
        <f>Model!R1574</f>
        <v>0</v>
      </c>
      <c r="T11" s="82">
        <f>Model!S1574</f>
        <v>0</v>
      </c>
      <c r="U11" s="82">
        <f>Model!T1574</f>
        <v>0</v>
      </c>
      <c r="V11" s="82">
        <f>Model!U1574</f>
        <v>0</v>
      </c>
      <c r="W11" s="82">
        <f>Model!V1574</f>
        <v>0</v>
      </c>
      <c r="X11" s="82">
        <f>Model!W1574</f>
        <v>0</v>
      </c>
      <c r="Y11" s="82">
        <f>Model!X1574</f>
        <v>0</v>
      </c>
      <c r="Z11" s="82">
        <f>Model!Y1574</f>
        <v>0</v>
      </c>
      <c r="AA11" s="82">
        <f>Model!Z1574</f>
        <v>0</v>
      </c>
      <c r="AB11" s="82">
        <f>Model!AA1574</f>
        <v>0</v>
      </c>
      <c r="AC11" s="82">
        <f>Model!AB1574</f>
        <v>0</v>
      </c>
      <c r="AD11" s="82">
        <f>Model!AC1574</f>
        <v>0</v>
      </c>
      <c r="AE11" s="82">
        <f>Model!AD1574</f>
        <v>0</v>
      </c>
      <c r="AF11" s="82">
        <f>Model!AE1574</f>
        <v>0</v>
      </c>
      <c r="AG11" s="82">
        <f>Model!AF1574</f>
        <v>0</v>
      </c>
      <c r="AH11" s="82">
        <f>Model!AG1574</f>
        <v>0</v>
      </c>
      <c r="AI11" s="82">
        <f>Model!AH1574</f>
        <v>0</v>
      </c>
      <c r="AJ11" s="82">
        <f>Model!AI1574</f>
        <v>0</v>
      </c>
      <c r="AK11" s="82">
        <f>Model!AJ1574</f>
        <v>0</v>
      </c>
      <c r="AL11" s="82">
        <f>Model!AK1574</f>
        <v>0</v>
      </c>
      <c r="AM11" s="82">
        <f>Model!AL1574</f>
        <v>0</v>
      </c>
      <c r="AN11" s="82">
        <f>Model!AM1574</f>
        <v>0</v>
      </c>
      <c r="AO11" s="82">
        <f>Model!AN1574</f>
        <v>0</v>
      </c>
      <c r="AP11" s="82">
        <f>Model!AO1574</f>
        <v>0</v>
      </c>
      <c r="AQ11" s="82">
        <f>Model!AP1574</f>
        <v>0</v>
      </c>
      <c r="AR11" s="82">
        <f>Model!AQ1574</f>
        <v>0</v>
      </c>
      <c r="AS11" s="82">
        <f>Model!AR1574</f>
        <v>0</v>
      </c>
      <c r="AT11" s="82">
        <f>Model!AS1574</f>
        <v>0</v>
      </c>
      <c r="AU11" s="82">
        <f>Model!AT1574</f>
        <v>0</v>
      </c>
      <c r="AV11" s="82">
        <f>Model!AU1574</f>
        <v>0</v>
      </c>
      <c r="AW11" s="82">
        <f>Model!AV1574</f>
        <v>0</v>
      </c>
      <c r="AX11" s="82">
        <f>Model!AW1574</f>
        <v>0</v>
      </c>
      <c r="AY11" s="82">
        <f>Model!AX1574</f>
        <v>0</v>
      </c>
      <c r="AZ11" s="82">
        <f>Model!AY1574</f>
        <v>0</v>
      </c>
      <c r="BA11" s="82">
        <f>Model!AZ1574</f>
        <v>0</v>
      </c>
      <c r="BB11" s="82">
        <f>Model!BA1574</f>
        <v>0</v>
      </c>
      <c r="BC11" s="83"/>
      <c r="BD11" s="83"/>
      <c r="BE11" s="83"/>
      <c r="BF11" s="83"/>
      <c r="BG11" s="83"/>
      <c r="BH11" s="83"/>
      <c r="BI11" s="83"/>
      <c r="BJ11" s="83"/>
      <c r="BK11" s="83"/>
      <c r="BL11" s="83"/>
      <c r="BM11" s="83"/>
      <c r="BN11" s="83"/>
      <c r="BO11" s="83"/>
      <c r="BP11" s="83"/>
    </row>
    <row r="12">
      <c r="A12" s="79" t="s">
        <v>212</v>
      </c>
      <c r="B12" s="80" t="s">
        <v>192</v>
      </c>
      <c r="C12" s="81" t="s">
        <v>213</v>
      </c>
      <c r="D12" s="82">
        <f>Model!C1799*0+Model!C2024</f>
        <v>2668.3</v>
      </c>
      <c r="E12" s="82">
        <f>Model!D1799*0+Model!D2024</f>
        <v>2655.3</v>
      </c>
      <c r="F12" s="82">
        <f>Model!E1799*0+Model!E2024</f>
        <v>2648.7</v>
      </c>
      <c r="G12" s="82">
        <f>Model!F1799*0+Model!F2024</f>
        <v>2664.2</v>
      </c>
      <c r="H12" s="82">
        <f>Model!G1799*0+Model!G2024</f>
        <v>2689.2</v>
      </c>
      <c r="I12" s="82">
        <f>Model!H1799*0+Model!H2024</f>
        <v>2696.9</v>
      </c>
      <c r="J12" s="82">
        <f>Model!I1799*0+Model!I2024</f>
        <v>2739.1</v>
      </c>
      <c r="K12" s="82">
        <f>Model!J1799*0+Model!J2024</f>
        <v>2759.8</v>
      </c>
      <c r="L12" s="82">
        <f>Model!K1799*0+Model!K2024</f>
        <v>2769.4</v>
      </c>
      <c r="M12" s="82">
        <f>Model!L1799*0+Model!L2024</f>
        <v>2786.8</v>
      </c>
      <c r="N12" s="82">
        <f>Model!M1799*0+Model!M2024</f>
        <v>2893.5</v>
      </c>
      <c r="O12" s="82">
        <f>Model!N1799*0+Model!N2024</f>
        <v>2989.3</v>
      </c>
      <c r="P12" s="82">
        <f>Model!O1799*0+Model!O2024</f>
        <v>3018.3</v>
      </c>
      <c r="Q12" s="82">
        <f>Model!P1799*0+Model!P2024</f>
        <v>3190.4</v>
      </c>
      <c r="R12" s="82">
        <f>Model!Q1799*0+Model!Q2024</f>
        <v>3255.6</v>
      </c>
      <c r="S12" s="82">
        <f>Model!R1799*0+Model!R2024</f>
        <v>3301.7</v>
      </c>
      <c r="T12" s="82">
        <f>Model!S1799*0+Model!S2024</f>
        <v>3306.1</v>
      </c>
      <c r="U12" s="82">
        <f>Model!T1799*0+Model!T2024</f>
        <v>3415.6</v>
      </c>
      <c r="V12" s="82">
        <f>Model!U1799*0+Model!U2024</f>
        <v>3404.5</v>
      </c>
      <c r="W12" s="82">
        <f>Model!V1799*0+Model!V2024</f>
        <v>3404.5</v>
      </c>
      <c r="X12" s="82">
        <f>Model!W1799*0+Model!W2024</f>
        <v>3404.5</v>
      </c>
      <c r="Y12" s="82">
        <f>Model!X1799*0+Model!X2024</f>
        <v>3324.945831</v>
      </c>
      <c r="Z12" s="82">
        <f>Model!Y1799*0+Model!Y2024</f>
        <v>3245.391662</v>
      </c>
      <c r="AA12" s="82">
        <f>Model!Z1799*0+Model!Z2024</f>
        <v>3165.837492</v>
      </c>
      <c r="AB12" s="82">
        <f>Model!AA1799*0+Model!AA2024</f>
        <v>3086.283323</v>
      </c>
      <c r="AC12" s="82">
        <f>Model!AB1799*0+Model!AB2024</f>
        <v>3006.729154</v>
      </c>
      <c r="AD12" s="82">
        <f>Model!AC1799*0+Model!AC2024</f>
        <v>2927.174985</v>
      </c>
      <c r="AE12" s="82">
        <f>Model!AD1799*0+Model!AD2024</f>
        <v>2847.620815</v>
      </c>
      <c r="AF12" s="82">
        <f>Model!AE1799*0+Model!AE2024</f>
        <v>2768.066646</v>
      </c>
      <c r="AG12" s="82">
        <f>Model!AF1799*0+Model!AF2024</f>
        <v>2688.512477</v>
      </c>
      <c r="AH12" s="82">
        <f>Model!AG1799*0+Model!AG2024</f>
        <v>2608.958308</v>
      </c>
      <c r="AI12" s="82">
        <f>Model!AH1799*0+Model!AH2024</f>
        <v>2529.404139</v>
      </c>
      <c r="AJ12" s="82">
        <f>Model!AI1799*0+Model!AI2024</f>
        <v>2449.849969</v>
      </c>
      <c r="AK12" s="82">
        <f>Model!AJ1799*0+Model!AJ2024</f>
        <v>2370.2958</v>
      </c>
      <c r="AL12" s="82">
        <f>Model!AK1799*0+Model!AK2024</f>
        <v>2290.741631</v>
      </c>
      <c r="AM12" s="82">
        <f>Model!AL1799*0+Model!AL2024</f>
        <v>2211.187462</v>
      </c>
      <c r="AN12" s="82">
        <f>Model!AM1799*0+Model!AM2024</f>
        <v>2131.633292</v>
      </c>
      <c r="AO12" s="82">
        <f>Model!AN1799*0+Model!AN2024</f>
        <v>2052.079123</v>
      </c>
      <c r="AP12" s="82">
        <f>Model!AO1799*0+Model!AO2024</f>
        <v>1972.524954</v>
      </c>
      <c r="AQ12" s="82">
        <f>Model!AP1799*0+Model!AP2024</f>
        <v>1892.970785</v>
      </c>
      <c r="AR12" s="82">
        <f>Model!AQ1799*0+Model!AQ2024</f>
        <v>1813.416616</v>
      </c>
      <c r="AS12" s="82">
        <f>Model!AR1799*0+Model!AR2024</f>
        <v>1733.862446</v>
      </c>
      <c r="AT12" s="82">
        <f>Model!AS1799*0+Model!AS2024</f>
        <v>1654.308277</v>
      </c>
      <c r="AU12" s="82">
        <f>Model!AT1799*0+Model!AT2024</f>
        <v>1574.754108</v>
      </c>
      <c r="AV12" s="82">
        <f>Model!AU1799*0+Model!AU2024</f>
        <v>1495.199939</v>
      </c>
      <c r="AW12" s="82">
        <f>Model!AV1799*0+Model!AV2024</f>
        <v>1415.645769</v>
      </c>
      <c r="AX12" s="82">
        <f>Model!AW1799*0+Model!AW2024</f>
        <v>1336.0916</v>
      </c>
      <c r="AY12" s="82">
        <f>Model!AX1799*0+Model!AX2024</f>
        <v>1256.537431</v>
      </c>
      <c r="AZ12" s="82">
        <f>Model!AY1799*0+Model!AY2024</f>
        <v>1176.983262</v>
      </c>
      <c r="BA12" s="82">
        <f>Model!AZ1799*0+Model!AZ2024</f>
        <v>1097.429092</v>
      </c>
      <c r="BB12" s="82">
        <f>Model!BA1799*0+Model!BA2024</f>
        <v>1017.874923</v>
      </c>
      <c r="BC12" s="83"/>
      <c r="BD12" s="83"/>
      <c r="BE12" s="83"/>
      <c r="BF12" s="83"/>
      <c r="BG12" s="83"/>
      <c r="BH12" s="83"/>
      <c r="BI12" s="83"/>
      <c r="BJ12" s="83"/>
      <c r="BK12" s="83"/>
      <c r="BL12" s="83"/>
      <c r="BM12" s="83"/>
      <c r="BN12" s="83"/>
      <c r="BO12" s="83"/>
      <c r="BP12" s="83"/>
    </row>
    <row r="13">
      <c r="A13" s="79" t="s">
        <v>214</v>
      </c>
      <c r="B13" s="80" t="s">
        <v>192</v>
      </c>
      <c r="C13" s="81" t="s">
        <v>215</v>
      </c>
      <c r="D13" s="82">
        <f>Model!C2247</f>
        <v>3365.9</v>
      </c>
      <c r="E13" s="82">
        <f>Model!D2247</f>
        <v>3403.1</v>
      </c>
      <c r="F13" s="82">
        <f>Model!E2247</f>
        <v>3398.9</v>
      </c>
      <c r="G13" s="82">
        <f>Model!F2247</f>
        <v>3342.8</v>
      </c>
      <c r="H13" s="82">
        <f>Model!G2247</f>
        <v>3369.7</v>
      </c>
      <c r="I13" s="82">
        <f>Model!H2247</f>
        <v>3388.7</v>
      </c>
      <c r="J13" s="82">
        <f>Model!I2247</f>
        <v>3410.2</v>
      </c>
      <c r="K13" s="82">
        <f>Model!J2247</f>
        <v>3415.3</v>
      </c>
      <c r="L13" s="82">
        <f>Model!K2247</f>
        <v>3425.4</v>
      </c>
      <c r="M13" s="82">
        <f>Model!L2247</f>
        <v>3424.4</v>
      </c>
      <c r="N13" s="82">
        <f>Model!M2247</f>
        <v>3419.3</v>
      </c>
      <c r="O13" s="82">
        <f>Model!N2247</f>
        <v>3379.4</v>
      </c>
      <c r="P13" s="82">
        <f>Model!O2247</f>
        <v>3193.7</v>
      </c>
      <c r="Q13" s="82">
        <f>Model!P2247</f>
        <v>3078.6</v>
      </c>
      <c r="R13" s="82">
        <f>Model!Q2247</f>
        <v>3079.8</v>
      </c>
      <c r="S13" s="82">
        <f>Model!R2247</f>
        <v>2769.4</v>
      </c>
      <c r="T13" s="82">
        <f>Model!S2247</f>
        <v>2675.8</v>
      </c>
      <c r="U13" s="82">
        <f>Model!T2247</f>
        <v>2497.1</v>
      </c>
      <c r="V13" s="82">
        <f>Model!U2247</f>
        <v>2488.1</v>
      </c>
      <c r="W13" s="82">
        <f>Model!V2247</f>
        <v>2488.1</v>
      </c>
      <c r="X13" s="82">
        <f>Model!W2247</f>
        <v>2488.1</v>
      </c>
      <c r="Y13" s="82">
        <f>Model!X2247</f>
        <v>2405.163333</v>
      </c>
      <c r="Z13" s="82">
        <f>Model!Y2247</f>
        <v>2322.226667</v>
      </c>
      <c r="AA13" s="82">
        <f>Model!Z2247</f>
        <v>2239.29</v>
      </c>
      <c r="AB13" s="82">
        <f>Model!AA2247</f>
        <v>2156.353333</v>
      </c>
      <c r="AC13" s="82">
        <f>Model!AB2247</f>
        <v>2073.416667</v>
      </c>
      <c r="AD13" s="82">
        <f>Model!AC2247</f>
        <v>1990.48</v>
      </c>
      <c r="AE13" s="82">
        <f>Model!AD2247</f>
        <v>1907.543333</v>
      </c>
      <c r="AF13" s="82">
        <f>Model!AE2247</f>
        <v>1824.606667</v>
      </c>
      <c r="AG13" s="82">
        <f>Model!AF2247</f>
        <v>1741.67</v>
      </c>
      <c r="AH13" s="82">
        <f>Model!AG2247</f>
        <v>1658.733333</v>
      </c>
      <c r="AI13" s="82">
        <f>Model!AH2247</f>
        <v>1575.796667</v>
      </c>
      <c r="AJ13" s="82">
        <f>Model!AI2247</f>
        <v>1492.86</v>
      </c>
      <c r="AK13" s="82">
        <f>Model!AJ2247</f>
        <v>1409.923333</v>
      </c>
      <c r="AL13" s="82">
        <f>Model!AK2247</f>
        <v>1326.986667</v>
      </c>
      <c r="AM13" s="82">
        <f>Model!AL2247</f>
        <v>1244.05</v>
      </c>
      <c r="AN13" s="82">
        <f>Model!AM2247</f>
        <v>1161.113333</v>
      </c>
      <c r="AO13" s="82">
        <f>Model!AN2247</f>
        <v>1078.176667</v>
      </c>
      <c r="AP13" s="82">
        <f>Model!AO2247</f>
        <v>995.24</v>
      </c>
      <c r="AQ13" s="82">
        <f>Model!AP2247</f>
        <v>912.3033333</v>
      </c>
      <c r="AR13" s="82">
        <f>Model!AQ2247</f>
        <v>829.3666667</v>
      </c>
      <c r="AS13" s="82">
        <f>Model!AR2247</f>
        <v>746.43</v>
      </c>
      <c r="AT13" s="82">
        <f>Model!AS2247</f>
        <v>663.4933333</v>
      </c>
      <c r="AU13" s="82">
        <f>Model!AT2247</f>
        <v>580.5566667</v>
      </c>
      <c r="AV13" s="82">
        <f>Model!AU2247</f>
        <v>497.62</v>
      </c>
      <c r="AW13" s="82">
        <f>Model!AV2247</f>
        <v>414.6833333</v>
      </c>
      <c r="AX13" s="82">
        <f>Model!AW2247</f>
        <v>331.7466667</v>
      </c>
      <c r="AY13" s="82">
        <f>Model!AX2247</f>
        <v>248.81</v>
      </c>
      <c r="AZ13" s="82">
        <f>Model!AY2247</f>
        <v>165.8733333</v>
      </c>
      <c r="BA13" s="82">
        <f>Model!AZ2247</f>
        <v>82.93666667</v>
      </c>
      <c r="BB13" s="82">
        <f>Model!BA2247</f>
        <v>0</v>
      </c>
      <c r="BC13" s="83"/>
      <c r="BD13" s="83"/>
      <c r="BE13" s="83"/>
      <c r="BF13" s="83"/>
      <c r="BG13" s="83"/>
      <c r="BH13" s="83"/>
      <c r="BI13" s="83"/>
      <c r="BJ13" s="83"/>
      <c r="BK13" s="83"/>
      <c r="BL13" s="83"/>
      <c r="BM13" s="83"/>
      <c r="BN13" s="83"/>
      <c r="BO13" s="83"/>
      <c r="BP13" s="83"/>
    </row>
    <row r="14">
      <c r="A14" s="79" t="s">
        <v>216</v>
      </c>
      <c r="B14" s="86" t="s">
        <v>192</v>
      </c>
      <c r="C14" s="81" t="s">
        <v>217</v>
      </c>
      <c r="D14" s="82">
        <f>Model!C2473</f>
        <v>0</v>
      </c>
      <c r="E14" s="82">
        <f>Model!D2473</f>
        <v>0</v>
      </c>
      <c r="F14" s="82">
        <f>Model!E2473</f>
        <v>0</v>
      </c>
      <c r="G14" s="82">
        <f>Model!F2473</f>
        <v>0</v>
      </c>
      <c r="H14" s="82">
        <f>Model!G2473</f>
        <v>0</v>
      </c>
      <c r="I14" s="82">
        <f>Model!H2473</f>
        <v>0</v>
      </c>
      <c r="J14" s="82">
        <f>Model!I2473</f>
        <v>0</v>
      </c>
      <c r="K14" s="82">
        <f>Model!J2473</f>
        <v>0</v>
      </c>
      <c r="L14" s="82">
        <f>Model!K2473</f>
        <v>0</v>
      </c>
      <c r="M14" s="82">
        <f>Model!L2473</f>
        <v>0</v>
      </c>
      <c r="N14" s="82">
        <f>Model!M2473</f>
        <v>0</v>
      </c>
      <c r="O14" s="82">
        <f>Model!N2473</f>
        <v>0</v>
      </c>
      <c r="P14" s="82">
        <f>Model!O2473</f>
        <v>0</v>
      </c>
      <c r="Q14" s="82">
        <f>Model!P2473</f>
        <v>0</v>
      </c>
      <c r="R14" s="82">
        <f>Model!Q2473</f>
        <v>0</v>
      </c>
      <c r="S14" s="82">
        <f>Model!R2473</f>
        <v>1</v>
      </c>
      <c r="T14" s="82">
        <f>Model!S2473</f>
        <v>1</v>
      </c>
      <c r="U14" s="82">
        <f>Model!T2473</f>
        <v>3</v>
      </c>
      <c r="V14" s="82">
        <f>Model!U2473</f>
        <v>7</v>
      </c>
      <c r="W14" s="82">
        <f>Model!V2473</f>
        <v>7</v>
      </c>
      <c r="X14" s="82">
        <f>Model!W2473</f>
        <v>7</v>
      </c>
      <c r="Y14" s="82">
        <f>Model!X2473</f>
        <v>447.9335817</v>
      </c>
      <c r="Z14" s="82">
        <f>Model!Y2473</f>
        <v>888.8671633</v>
      </c>
      <c r="AA14" s="82">
        <f>Model!Z2473</f>
        <v>1329.800745</v>
      </c>
      <c r="AB14" s="82">
        <f>Model!AA2473</f>
        <v>1770.734327</v>
      </c>
      <c r="AC14" s="82">
        <f>Model!AB2473</f>
        <v>2211.667908</v>
      </c>
      <c r="AD14" s="82">
        <f>Model!AC2473</f>
        <v>2652.60149</v>
      </c>
      <c r="AE14" s="82">
        <f>Model!AD2473</f>
        <v>3093.535072</v>
      </c>
      <c r="AF14" s="82">
        <f>Model!AE2473</f>
        <v>3534.468653</v>
      </c>
      <c r="AG14" s="82">
        <f>Model!AF2473</f>
        <v>3975.402235</v>
      </c>
      <c r="AH14" s="82">
        <f>Model!AG2473</f>
        <v>4416.335817</v>
      </c>
      <c r="AI14" s="82">
        <f>Model!AH2473</f>
        <v>4857.269398</v>
      </c>
      <c r="AJ14" s="82">
        <f>Model!AI2473</f>
        <v>5298.20298</v>
      </c>
      <c r="AK14" s="82">
        <f>Model!AJ2473</f>
        <v>5739.136561</v>
      </c>
      <c r="AL14" s="82">
        <f>Model!AK2473</f>
        <v>6180.070143</v>
      </c>
      <c r="AM14" s="82">
        <f>Model!AL2473</f>
        <v>6621.003725</v>
      </c>
      <c r="AN14" s="82">
        <f>Model!AM2473</f>
        <v>7061.937306</v>
      </c>
      <c r="AO14" s="82">
        <f>Model!AN2473</f>
        <v>7502.870888</v>
      </c>
      <c r="AP14" s="82">
        <f>Model!AO2473</f>
        <v>7943.80447</v>
      </c>
      <c r="AQ14" s="82">
        <f>Model!AP2473</f>
        <v>8384.738051</v>
      </c>
      <c r="AR14" s="82">
        <f>Model!AQ2473</f>
        <v>8825.671633</v>
      </c>
      <c r="AS14" s="82">
        <f>Model!AR2473</f>
        <v>9266.605215</v>
      </c>
      <c r="AT14" s="82">
        <f>Model!AS2473</f>
        <v>9707.538796</v>
      </c>
      <c r="AU14" s="82">
        <f>Model!AT2473</f>
        <v>10148.47238</v>
      </c>
      <c r="AV14" s="82">
        <f>Model!AU2473</f>
        <v>10589.40596</v>
      </c>
      <c r="AW14" s="82">
        <f>Model!AV2473</f>
        <v>11030.33954</v>
      </c>
      <c r="AX14" s="82">
        <f>Model!AW2473</f>
        <v>11471.27312</v>
      </c>
      <c r="AY14" s="82">
        <f>Model!AX2473</f>
        <v>11912.2067</v>
      </c>
      <c r="AZ14" s="82">
        <f>Model!AY2473</f>
        <v>12353.14029</v>
      </c>
      <c r="BA14" s="82">
        <f>Model!AZ2473</f>
        <v>12794.07387</v>
      </c>
      <c r="BB14" s="82">
        <f>Model!BA2473</f>
        <v>13235.00745</v>
      </c>
      <c r="BC14" s="83"/>
      <c r="BD14" s="83"/>
      <c r="BE14" s="83"/>
      <c r="BF14" s="83"/>
      <c r="BG14" s="83"/>
      <c r="BH14" s="83"/>
      <c r="BI14" s="83"/>
      <c r="BJ14" s="83"/>
      <c r="BK14" s="83"/>
      <c r="BL14" s="83"/>
      <c r="BM14" s="83"/>
      <c r="BN14" s="83"/>
      <c r="BO14" s="83"/>
      <c r="BP14" s="83"/>
    </row>
    <row r="15">
      <c r="A15" s="87" t="s">
        <v>218</v>
      </c>
      <c r="B15" s="88" t="s">
        <v>219</v>
      </c>
      <c r="C15" s="88" t="s">
        <v>193</v>
      </c>
      <c r="D15" s="89">
        <f>sum(Model!C9,Model!C428,Model!C673,Model!C898,Model!C1123,Model!C1350,Model!C1575,0*Model!C1800,Model!C2025,Model!C2248,Model!C3535)</f>
        <v>598.302617</v>
      </c>
      <c r="E15" s="89">
        <f>sum(Model!D9,Model!D428,Model!D673,Model!D898,Model!D1123,Model!D1350,Model!D1575,0*Model!D1800,Model!D2025,Model!D2248,Model!D3535)</f>
        <v>601.621159</v>
      </c>
      <c r="F15" s="89">
        <f>sum(Model!E9,Model!E428,Model!E673,Model!E898,Model!E1123,Model!E1350,Model!E1575,0*Model!E1800,Model!E2025,Model!E2248,Model!E3535)</f>
        <v>621.062782</v>
      </c>
      <c r="G15" s="89">
        <f>sum(Model!F9,Model!F428,Model!F673,Model!F898,Model!F1123,Model!F1350,Model!F1575,0*Model!F1800,Model!F2025,Model!F2248,Model!F3535)</f>
        <v>616.792479</v>
      </c>
      <c r="H15" s="89">
        <f>sum(Model!G9,Model!G428,Model!G673,Model!G898,Model!G1123,Model!G1350,Model!G1575,0*Model!G1800,Model!G2025,Model!G2248,Model!G3535)</f>
        <v>631.453502</v>
      </c>
      <c r="I15" s="89">
        <f>sum(Model!H9,Model!H428,Model!H673,Model!H898,Model!H1123,Model!H1350,Model!H1575,0*Model!H1800,Model!H2025,Model!H2248,Model!H3535)</f>
        <v>649.933631</v>
      </c>
      <c r="J15" s="89">
        <f>sum(Model!I9,Model!I428,Model!I673,Model!I898,Model!I1123,Model!I1350,Model!I1575,0*Model!I1800,Model!I2025,Model!I2248,Model!I3535)</f>
        <v>644.483876</v>
      </c>
      <c r="K15" s="89">
        <f>sum(Model!J9,Model!J428,Model!J673,Model!J898,Model!J1123,Model!J1350,Model!J1575,0*Model!J1800,Model!J2025,Model!J2248,Model!J3535)</f>
        <v>668.63923</v>
      </c>
      <c r="L15" s="89">
        <f>sum(Model!K9,Model!K428,Model!K673,Model!K898,Model!K1123,Model!K1350,Model!K1575,0*Model!K1800,Model!K2025,Model!K2248,Model!K3535)</f>
        <v>648.233069</v>
      </c>
      <c r="M15" s="89">
        <f>sum(Model!L9,Model!L428,Model!L673,Model!L898,Model!L1123,Model!L1350,Model!L1575,0*Model!L1800,Model!L2025,Model!L2248,Model!L3535)</f>
        <v>618.914553</v>
      </c>
      <c r="N15" s="89">
        <f>sum(Model!M9,Model!M428,Model!M673,Model!M898,Model!M1123,Model!M1350,Model!M1575,0*Model!M1800,Model!M2025,Model!M2248,Model!M3535)</f>
        <v>659.674439</v>
      </c>
      <c r="O15" s="89">
        <f>sum(Model!N9,Model!N428,Model!N673,Model!N898,Model!N1123,Model!N1350,Model!N1575,0*Model!N1800,Model!N2025,Model!N2248,Model!N3535)</f>
        <v>635.448876</v>
      </c>
      <c r="P15" s="89">
        <f>sum(Model!O9,Model!O428,Model!O673,Model!O898,Model!O1123,Model!O1350,Model!O1575,0*Model!O1800,Model!O2025,Model!O2248,Model!O3535)</f>
        <v>621.036074</v>
      </c>
      <c r="Q15" s="89">
        <f>sum(Model!P9,Model!P428,Model!P673,Model!P898,Model!P1123,Model!P1350,Model!P1575,0*Model!P1800,Model!P2025,Model!P2248,Model!P3535)</f>
        <v>624.272859</v>
      </c>
      <c r="R15" s="89">
        <f>sum(Model!Q9,Model!Q428,Model!Q673,Model!Q898,Model!Q1123,Model!Q1350,Model!Q1575,0*Model!Q1800,Model!Q2025,Model!Q2248,Model!Q3535)</f>
        <v>634.953756</v>
      </c>
      <c r="S15" s="89">
        <f>sum(Model!R9,Model!R428,Model!R673,Model!R898,Model!R1123,Model!R1350,Model!R1575,0*Model!R1800,Model!R2025,Model!R2248,Model!R3535)</f>
        <v>646.332348</v>
      </c>
      <c r="T15" s="89">
        <f>sum(Model!S9,Model!S428,Model!S673,Model!S898,Model!S1123,Model!S1350,Model!S1575,0*Model!S1800,Model!S2025,Model!S2248,Model!S3535)</f>
        <v>646.373921</v>
      </c>
      <c r="U15" s="89">
        <f>sum(Model!T9,Model!T428,Model!T673,Model!T898,Model!T1123,Model!T1350,Model!T1575,0*Model!T1800,Model!T2025,Model!T2248,Model!T3535)</f>
        <v>628.579178</v>
      </c>
      <c r="V15" s="89">
        <f>sum(Model!U9,Model!U428,Model!U673,Model!U898,Model!U1123,Model!U1350,Model!U1575,0*Model!U1800,Model!U2025,Model!U2248,Model!U3535)</f>
        <v>652.777506</v>
      </c>
      <c r="W15" s="89">
        <f>sum(Model!V9,Model!V428,Model!V673,Model!V898,Model!V1123,Model!V1350,Model!V1575,0*Model!V1800,Model!V2025,Model!V2248,Model!V3535)</f>
        <v>654.2536189</v>
      </c>
      <c r="X15" s="89">
        <f>sum(Model!W9,Model!W428,Model!W673,Model!W898,Model!W1123,Model!W1350,Model!W1575,0*Model!W1800,Model!W2025,Model!W2248,Model!W3535)</f>
        <v>654.2536189</v>
      </c>
      <c r="Y15" s="89">
        <f>sum(Model!X9,Model!X428,Model!X673,Model!X898,Model!X1123,Model!X1350,Model!X1575,0*Model!X1800,Model!X2025,Model!X2248,Model!X3535)</f>
        <v>660.5013506</v>
      </c>
      <c r="Z15" s="89">
        <f>sum(Model!Y9,Model!Y428,Model!Y673,Model!Y898,Model!Y1123,Model!Y1350,Model!Y1575,0*Model!Y1800,Model!Y2025,Model!Y2248,Model!Y3535)</f>
        <v>666.7490823</v>
      </c>
      <c r="AA15" s="89">
        <f>sum(Model!Z9,Model!Z428,Model!Z673,Model!Z898,Model!Z1123,Model!Z1350,Model!Z1575,0*Model!Z1800,Model!Z2025,Model!Z2248,Model!Z3535)</f>
        <v>672.996814</v>
      </c>
      <c r="AB15" s="89">
        <f>sum(Model!AA9,Model!AA428,Model!AA673,Model!AA898,Model!AA1123,Model!AA1350,Model!AA1575,0*Model!AA1800,Model!AA2025,Model!AA2248,Model!AA3535)</f>
        <v>679.2445458</v>
      </c>
      <c r="AC15" s="89">
        <f>sum(Model!AB9,Model!AB428,Model!AB673,Model!AB898,Model!AB1123,Model!AB1350,Model!AB1575,0*Model!AB1800,Model!AB2025,Model!AB2248,Model!AB3535)</f>
        <v>685.4922775</v>
      </c>
      <c r="AD15" s="89">
        <f>sum(Model!AC9,Model!AC428,Model!AC673,Model!AC898,Model!AC1123,Model!AC1350,Model!AC1575,0*Model!AC1800,Model!AC2025,Model!AC2248,Model!AC3535)</f>
        <v>691.7400092</v>
      </c>
      <c r="AE15" s="89">
        <f>sum(Model!AD9,Model!AD428,Model!AD673,Model!AD898,Model!AD1123,Model!AD1350,Model!AD1575,0*Model!AD1800,Model!AD2025,Model!AD2248,Model!AD3535)</f>
        <v>697.9877409</v>
      </c>
      <c r="AF15" s="89">
        <f>sum(Model!AE9,Model!AE428,Model!AE673,Model!AE898,Model!AE1123,Model!AE1350,Model!AE1575,0*Model!AE1800,Model!AE2025,Model!AE2248,Model!AE3535)</f>
        <v>704.2354726</v>
      </c>
      <c r="AG15" s="89">
        <f>sum(Model!AF9,Model!AF428,Model!AF673,Model!AF898,Model!AF1123,Model!AF1350,Model!AF1575,0*Model!AF1800,Model!AF2025,Model!AF2248,Model!AF3535)</f>
        <v>710.4832043</v>
      </c>
      <c r="AH15" s="89">
        <f>sum(Model!AG9,Model!AG428,Model!AG673,Model!AG898,Model!AG1123,Model!AG1350,Model!AG1575,0*Model!AG1800,Model!AG2025,Model!AG2248,Model!AG3535)</f>
        <v>716.7309361</v>
      </c>
      <c r="AI15" s="89">
        <f>sum(Model!AH9,Model!AH428,Model!AH673,Model!AH898,Model!AH1123,Model!AH1350,Model!AH1575,0*Model!AH1800,Model!AH2025,Model!AH2248,Model!AH3535)</f>
        <v>722.9786678</v>
      </c>
      <c r="AJ15" s="89">
        <f>sum(Model!AI9,Model!AI428,Model!AI673,Model!AI898,Model!AI1123,Model!AI1350,Model!AI1575,0*Model!AI1800,Model!AI2025,Model!AI2248,Model!AI3535)</f>
        <v>729.2263995</v>
      </c>
      <c r="AK15" s="89">
        <f>sum(Model!AJ9,Model!AJ428,Model!AJ673,Model!AJ898,Model!AJ1123,Model!AJ1350,Model!AJ1575,0*Model!AJ1800,Model!AJ2025,Model!AJ2248,Model!AJ3535)</f>
        <v>735.4741312</v>
      </c>
      <c r="AL15" s="89">
        <f>sum(Model!AK9,Model!AK428,Model!AK673,Model!AK898,Model!AK1123,Model!AK1350,Model!AK1575,0*Model!AK1800,Model!AK2025,Model!AK2248,Model!AK3535)</f>
        <v>741.7218629</v>
      </c>
      <c r="AM15" s="89">
        <f>sum(Model!AL9,Model!AL428,Model!AL673,Model!AL898,Model!AL1123,Model!AL1350,Model!AL1575,0*Model!AL1800,Model!AL2025,Model!AL2248,Model!AL3535)</f>
        <v>747.9695946</v>
      </c>
      <c r="AN15" s="89">
        <f>sum(Model!AM9,Model!AM428,Model!AM673,Model!AM898,Model!AM1123,Model!AM1350,Model!AM1575,0*Model!AM1800,Model!AM2025,Model!AM2248,Model!AM3535)</f>
        <v>754.2173263</v>
      </c>
      <c r="AO15" s="89">
        <f>sum(Model!AN9,Model!AN428,Model!AN673,Model!AN898,Model!AN1123,Model!AN1350,Model!AN1575,0*Model!AN1800,Model!AN2025,Model!AN2248,Model!AN3535)</f>
        <v>760.4650581</v>
      </c>
      <c r="AP15" s="89">
        <f>sum(Model!AO9,Model!AO428,Model!AO673,Model!AO898,Model!AO1123,Model!AO1350,Model!AO1575,0*Model!AO1800,Model!AO2025,Model!AO2248,Model!AO3535)</f>
        <v>766.7127898</v>
      </c>
      <c r="AQ15" s="89">
        <f>sum(Model!AP9,Model!AP428,Model!AP673,Model!AP898,Model!AP1123,Model!AP1350,Model!AP1575,0*Model!AP1800,Model!AP2025,Model!AP2248,Model!AP3535)</f>
        <v>772.9605215</v>
      </c>
      <c r="AR15" s="89">
        <f>sum(Model!AQ9,Model!AQ428,Model!AQ673,Model!AQ898,Model!AQ1123,Model!AQ1350,Model!AQ1575,0*Model!AQ1800,Model!AQ2025,Model!AQ2248,Model!AQ3535)</f>
        <v>779.2082532</v>
      </c>
      <c r="AS15" s="89">
        <f>sum(Model!AR9,Model!AR428,Model!AR673,Model!AR898,Model!AR1123,Model!AR1350,Model!AR1575,0*Model!AR1800,Model!AR2025,Model!AR2248,Model!AR3535)</f>
        <v>785.4559849</v>
      </c>
      <c r="AT15" s="89">
        <f>sum(Model!AS9,Model!AS428,Model!AS673,Model!AS898,Model!AS1123,Model!AS1350,Model!AS1575,0*Model!AS1800,Model!AS2025,Model!AS2248,Model!AS3535)</f>
        <v>791.7037166</v>
      </c>
      <c r="AU15" s="89">
        <f>sum(Model!AT9,Model!AT428,Model!AT673,Model!AT898,Model!AT1123,Model!AT1350,Model!AT1575,0*Model!AT1800,Model!AT2025,Model!AT2248,Model!AT3535)</f>
        <v>797.9514484</v>
      </c>
      <c r="AV15" s="89">
        <f>sum(Model!AU9,Model!AU428,Model!AU673,Model!AU898,Model!AU1123,Model!AU1350,Model!AU1575,0*Model!AU1800,Model!AU2025,Model!AU2248,Model!AU3535)</f>
        <v>804.1991801</v>
      </c>
      <c r="AW15" s="89">
        <f>sum(Model!AV9,Model!AV428,Model!AV673,Model!AV898,Model!AV1123,Model!AV1350,Model!AV1575,0*Model!AV1800,Model!AV2025,Model!AV2248,Model!AV3535)</f>
        <v>810.4469118</v>
      </c>
      <c r="AX15" s="89">
        <f>sum(Model!AW9,Model!AW428,Model!AW673,Model!AW898,Model!AW1123,Model!AW1350,Model!AW1575,0*Model!AW1800,Model!AW2025,Model!AW2248,Model!AW3535)</f>
        <v>816.6946435</v>
      </c>
      <c r="AY15" s="89">
        <f>sum(Model!AX9,Model!AX428,Model!AX673,Model!AX898,Model!AX1123,Model!AX1350,Model!AX1575,0*Model!AX1800,Model!AX2025,Model!AX2248,Model!AX3535)</f>
        <v>822.9423752</v>
      </c>
      <c r="AZ15" s="89">
        <f>sum(Model!AY9,Model!AY428,Model!AY673,Model!AY898,Model!AY1123,Model!AY1350,Model!AY1575,0*Model!AY1800,Model!AY2025,Model!AY2248,Model!AY3535)</f>
        <v>829.1901069</v>
      </c>
      <c r="BA15" s="89">
        <f>sum(Model!AZ9,Model!AZ428,Model!AZ673,Model!AZ898,Model!AZ1123,Model!AZ1350,Model!AZ1575,0*Model!AZ1800,Model!AZ2025,Model!AZ2248,Model!AZ3535)</f>
        <v>835.4378387</v>
      </c>
      <c r="BB15" s="89">
        <f>sum(Model!BA9,Model!BA428,Model!BA673,Model!BA898,Model!BA1123,Model!BA1350,Model!BA1575,0*Model!BA1800,Model!BA2025,Model!BA2248,Model!BA3535)</f>
        <v>841.6855704</v>
      </c>
      <c r="BC15" s="90"/>
      <c r="BD15" s="90"/>
      <c r="BE15" s="90"/>
      <c r="BF15" s="90"/>
      <c r="BG15" s="90"/>
      <c r="BH15" s="90"/>
      <c r="BI15" s="90"/>
      <c r="BJ15" s="90"/>
      <c r="BK15" s="90"/>
      <c r="BL15" s="90"/>
      <c r="BM15" s="90"/>
      <c r="BN15" s="90"/>
      <c r="BO15" s="90"/>
      <c r="BP15" s="90"/>
    </row>
    <row r="16">
      <c r="A16" s="87" t="s">
        <v>220</v>
      </c>
      <c r="B16" s="91" t="s">
        <v>219</v>
      </c>
      <c r="C16" s="91" t="s">
        <v>217</v>
      </c>
      <c r="D16" s="89">
        <f>Model!C2474</f>
        <v>0</v>
      </c>
      <c r="E16" s="89">
        <f>Model!D2474</f>
        <v>0</v>
      </c>
      <c r="F16" s="89">
        <f>Model!E2474</f>
        <v>0</v>
      </c>
      <c r="G16" s="89">
        <f>Model!F2474</f>
        <v>0</v>
      </c>
      <c r="H16" s="89">
        <f>Model!G2474</f>
        <v>0</v>
      </c>
      <c r="I16" s="89">
        <f>Model!H2474</f>
        <v>0</v>
      </c>
      <c r="J16" s="89">
        <f>Model!I2474</f>
        <v>0</v>
      </c>
      <c r="K16" s="89">
        <f>Model!J2474</f>
        <v>0</v>
      </c>
      <c r="L16" s="89">
        <f>Model!K2474</f>
        <v>0</v>
      </c>
      <c r="M16" s="89">
        <f>Model!L2474</f>
        <v>0</v>
      </c>
      <c r="N16" s="89">
        <f>Model!M2474</f>
        <v>0</v>
      </c>
      <c r="O16" s="89">
        <f>Model!N2474</f>
        <v>0</v>
      </c>
      <c r="P16" s="89">
        <f>Model!O2474</f>
        <v>0</v>
      </c>
      <c r="Q16" s="89">
        <f>Model!P2474</f>
        <v>0</v>
      </c>
      <c r="R16" s="89">
        <f>Model!Q2474</f>
        <v>0</v>
      </c>
      <c r="S16" s="89">
        <f>Model!R2474</f>
        <v>0.000004</v>
      </c>
      <c r="T16" s="89">
        <f>Model!S2474</f>
        <v>0.000004</v>
      </c>
      <c r="U16" s="89">
        <f>Model!T2474</f>
        <v>0.000012</v>
      </c>
      <c r="V16" s="89">
        <f>Model!U2474</f>
        <v>0.000028</v>
      </c>
      <c r="W16" s="89">
        <f>Model!V2474</f>
        <v>0.000028</v>
      </c>
      <c r="X16" s="89">
        <f>Model!W2474</f>
        <v>0.000028</v>
      </c>
      <c r="Y16" s="89">
        <f>Model!X2474</f>
        <v>0.006273053086</v>
      </c>
      <c r="Z16" s="89">
        <f>Model!Y2474</f>
        <v>0.01251810617</v>
      </c>
      <c r="AA16" s="89">
        <f>Model!Z2474</f>
        <v>0.01876315926</v>
      </c>
      <c r="AB16" s="89">
        <f>Model!AA2474</f>
        <v>0.02500821234</v>
      </c>
      <c r="AC16" s="89">
        <f>Model!AB2474</f>
        <v>0.03125326543</v>
      </c>
      <c r="AD16" s="89">
        <f>Model!AC2474</f>
        <v>0.03749831852</v>
      </c>
      <c r="AE16" s="89">
        <f>Model!AD2474</f>
        <v>0.0437433716</v>
      </c>
      <c r="AF16" s="89">
        <f>Model!AE2474</f>
        <v>0.04998842469</v>
      </c>
      <c r="AG16" s="89">
        <f>Model!AF2474</f>
        <v>0.05623347777</v>
      </c>
      <c r="AH16" s="89">
        <f>Model!AG2474</f>
        <v>0.06247853086</v>
      </c>
      <c r="AI16" s="89">
        <f>Model!AH2474</f>
        <v>0.06872358395</v>
      </c>
      <c r="AJ16" s="89">
        <f>Model!AI2474</f>
        <v>0.07496863703</v>
      </c>
      <c r="AK16" s="89">
        <f>Model!AJ2474</f>
        <v>0.08121369012</v>
      </c>
      <c r="AL16" s="89">
        <f>Model!AK2474</f>
        <v>0.0874587432</v>
      </c>
      <c r="AM16" s="89">
        <f>Model!AL2474</f>
        <v>0.09370379629</v>
      </c>
      <c r="AN16" s="89">
        <f>Model!AM2474</f>
        <v>0.09994884938</v>
      </c>
      <c r="AO16" s="89">
        <f>Model!AN2474</f>
        <v>0.1061939025</v>
      </c>
      <c r="AP16" s="89">
        <f>Model!AO2474</f>
        <v>0.1124389555</v>
      </c>
      <c r="AQ16" s="89">
        <f>Model!AP2474</f>
        <v>0.1186840086</v>
      </c>
      <c r="AR16" s="89">
        <f>Model!AQ2474</f>
        <v>0.1249290617</v>
      </c>
      <c r="AS16" s="89">
        <f>Model!AR2474</f>
        <v>0.1311741148</v>
      </c>
      <c r="AT16" s="89">
        <f>Model!AS2474</f>
        <v>0.1374191679</v>
      </c>
      <c r="AU16" s="89">
        <f>Model!AT2474</f>
        <v>0.143664221</v>
      </c>
      <c r="AV16" s="89">
        <f>Model!AU2474</f>
        <v>0.1499092741</v>
      </c>
      <c r="AW16" s="89">
        <f>Model!AV2474</f>
        <v>0.1561543271</v>
      </c>
      <c r="AX16" s="89">
        <f>Model!AW2474</f>
        <v>0.1623993802</v>
      </c>
      <c r="AY16" s="89">
        <f>Model!AX2474</f>
        <v>0.1686444333</v>
      </c>
      <c r="AZ16" s="89">
        <f>Model!AY2474</f>
        <v>0.1748894864</v>
      </c>
      <c r="BA16" s="89">
        <f>Model!AZ2474</f>
        <v>0.1811345395</v>
      </c>
      <c r="BB16" s="89">
        <f>Model!BA2474</f>
        <v>0.1873795926</v>
      </c>
      <c r="BC16" s="92"/>
      <c r="BD16" s="92"/>
      <c r="BE16" s="92"/>
      <c r="BF16" s="92"/>
      <c r="BG16" s="92"/>
      <c r="BH16" s="92"/>
      <c r="BI16" s="92"/>
      <c r="BJ16" s="92"/>
      <c r="BK16" s="92"/>
      <c r="BL16" s="92"/>
      <c r="BM16" s="92"/>
      <c r="BN16" s="92"/>
      <c r="BO16" s="92"/>
      <c r="BP16" s="92"/>
    </row>
    <row r="17">
      <c r="A17" s="79" t="s">
        <v>221</v>
      </c>
      <c r="B17" s="93" t="s">
        <v>222</v>
      </c>
      <c r="C17" s="93" t="s">
        <v>223</v>
      </c>
      <c r="D17" s="82">
        <f>sum(Model!C10,Model!C432,Model!C674,Model!C899,Model!C1124,Model!C1351,Model!C1576,0*Model!C1801,Model!C2026,Model!C2250,Model!C2475,Model!C3536)*'Inflation GDP Population'!$S$11/'Inflation GDP Population'!B$11</f>
        <v>9.605800275</v>
      </c>
      <c r="E17" s="82">
        <f>sum(Model!D10,Model!D432,Model!D674,Model!D899,Model!D1124,Model!D1351,Model!D1576,0*Model!D1801,Model!D2026,Model!D2250,Model!D2475,Model!D3536)*'Inflation GDP Population'!$S$11/'Inflation GDP Population'!C$11</f>
        <v>9.652339377</v>
      </c>
      <c r="F17" s="82">
        <f>sum(Model!E10,Model!E432,Model!E674,Model!E899,Model!E1124,Model!E1351,Model!E1576,0*Model!E1801,Model!E2026,Model!E2250,Model!E2475,Model!E3536)*'Inflation GDP Population'!$S$11/'Inflation GDP Population'!D$11</f>
        <v>9.779259058</v>
      </c>
      <c r="G17" s="82">
        <f>sum(Model!F10,Model!F432,Model!F674,Model!F899,Model!F1124,Model!F1351,Model!F1576,0*Model!F1801,Model!F2026,Model!F2250,Model!F2475,Model!F3536)*'Inflation GDP Population'!$S$11/'Inflation GDP Population'!E$11</f>
        <v>9.756886649</v>
      </c>
      <c r="H17" s="82">
        <f>sum(Model!G10,Model!G432,Model!G674,Model!G899,Model!G1124,Model!G1351,Model!G1576,0*Model!G1801,Model!G2026,Model!G2250,Model!G2475,Model!G3536)*'Inflation GDP Population'!$S$11/'Inflation GDP Population'!F$11</f>
        <v>9.742673593</v>
      </c>
      <c r="I17" s="82">
        <f>sum(Model!H10,Model!H432,Model!H674,Model!H899,Model!H1124,Model!H1351,Model!H1576,0*Model!H1801,Model!H2026,Model!H2250,Model!H2475,Model!H3536)*'Inflation GDP Population'!$S$11/'Inflation GDP Population'!G$11</f>
        <v>9.579233032</v>
      </c>
      <c r="J17" s="82">
        <f>sum(Model!I10,Model!I432,Model!I674,Model!I899,Model!I1124,Model!I1351,Model!I1576,0*Model!I1801,Model!I2026,Model!I2250,Model!I2475,Model!I3536)*'Inflation GDP Population'!$S$11/'Inflation GDP Population'!H$11</f>
        <v>9.144332262</v>
      </c>
      <c r="K17" s="82">
        <f>sum(Model!J10,Model!J432,Model!J674,Model!J899,Model!J1124,Model!J1351,Model!J1576,0*Model!J1801,Model!J2026,Model!J2250,Model!J2475,Model!J3536)*'Inflation GDP Population'!$S$11/'Inflation GDP Population'!I$11</f>
        <v>9.484411385</v>
      </c>
      <c r="L17" s="82">
        <f>sum(Model!K10,Model!K432,Model!K674,Model!K899,Model!K1124,Model!K1351,Model!K1576,0*Model!K1801,Model!K2026,Model!K2250,Model!K2475,Model!K3536)*'Inflation GDP Population'!$S$11/'Inflation GDP Population'!J$11</f>
        <v>9.196652945</v>
      </c>
      <c r="M17" s="82">
        <f>sum(Model!L10,Model!L432,Model!L674,Model!L899,Model!L1124,Model!L1351,Model!L1576,0*Model!L1801,Model!L2026,Model!L2250,Model!L2475,Model!L3536)*'Inflation GDP Population'!$S$11/'Inflation GDP Population'!K$11</f>
        <v>9.024953803</v>
      </c>
      <c r="N17" s="82">
        <f>sum(Model!M10,Model!M432,Model!M674,Model!M899,Model!M1124,Model!M1351,Model!M1576,0*Model!M1801,Model!M2026,Model!M2250,Model!M2475,Model!M3536)*'Inflation GDP Population'!$S$11/'Inflation GDP Population'!L$11</f>
        <v>9.16225913</v>
      </c>
      <c r="O17" s="82">
        <f>sum(Model!N10,Model!N432,Model!N674,Model!N899,Model!N1124,Model!N1351,Model!N1576,0*Model!N1801,Model!N2026,Model!N2250,Model!N2475,Model!N3536)*'Inflation GDP Population'!$S$11/'Inflation GDP Population'!M$11</f>
        <v>8.931737345</v>
      </c>
      <c r="P17" s="82">
        <f>sum(Model!O10,Model!O432,Model!O674,Model!O899,Model!O1124,Model!O1351,Model!O1576,0*Model!O1801,Model!O2026,Model!O2250,Model!O2475,Model!O3536)*'Inflation GDP Population'!$S$11/'Inflation GDP Population'!N$11</f>
        <v>8.71943561</v>
      </c>
      <c r="Q17" s="82">
        <f>sum(Model!P10,Model!P432,Model!P674,Model!P899,Model!P1124,Model!P1351,Model!P1576,0*Model!P1801,Model!P2026,Model!P2250,Model!P2475,Model!P3536)*'Inflation GDP Population'!$S$11/'Inflation GDP Population'!O$11</f>
        <v>8.783641742</v>
      </c>
      <c r="R17" s="82">
        <f>sum(Model!Q10,Model!Q432,Model!Q674,Model!Q899,Model!Q1124,Model!Q1351,Model!Q1576,0*Model!Q1801,Model!Q2026,Model!Q2250,Model!Q2475,Model!Q3536)*'Inflation GDP Population'!$S$11/'Inflation GDP Population'!P$11</f>
        <v>8.629326664</v>
      </c>
      <c r="S17" s="82">
        <f>sum(Model!R10,Model!R432,Model!R674,Model!R899,Model!R1124,Model!R1351,Model!R1576,0*Model!R1801,Model!R2026,Model!R2250,Model!R2475,Model!R3536)*'Inflation GDP Population'!$S$11/'Inflation GDP Population'!Q$11</f>
        <v>8.670914622</v>
      </c>
      <c r="T17" s="82">
        <f>sum(Model!S10,Model!S432,Model!S674,Model!S899,Model!S1124,Model!S1351,Model!S1576,0*Model!S1801,Model!S2026,Model!S2250,Model!S2475,Model!S3536)*'Inflation GDP Population'!$S$11/'Inflation GDP Population'!R$11</f>
        <v>8.951642483</v>
      </c>
      <c r="U17" s="82">
        <f>sum(Model!T10,Model!T432,Model!T674,Model!T899,Model!T1124,Model!T1351,Model!T1576,0*Model!T1801,Model!T2026,Model!T2250,Model!T2475,Model!T3536)*'Inflation GDP Population'!$S$11/'Inflation GDP Population'!S$11</f>
        <v>8.605073454</v>
      </c>
      <c r="V17" s="82">
        <f>sum(Model!U10,Model!U432,Model!U674,Model!U899,Model!U1124,Model!U1351,Model!U1576,0*Model!U1801,Model!U2026,Model!U2250,Model!U2475,Model!U3536)*'Inflation GDP Population'!$S$11/'Inflation GDP Population'!T$11</f>
        <v>8.699461133</v>
      </c>
      <c r="W17" s="94">
        <f>sum(Model!V10,Model!V432,Model!V674,Model!V899,Model!V1124,Model!V1351,Model!V1576,0*Model!V1801,Model!V2026,Model!V2250,Model!V2475,Model!V3536)*'Inflation GDP Population'!$S$18/'Inflation GDP Population'!U$18</f>
        <v>8.528144393</v>
      </c>
      <c r="X17" s="94">
        <f>sum(Model!W10,Model!W432,Model!W674,Model!W899,Model!W1124,Model!W1351,Model!W1576,0*Model!W1801,Model!W2026,Model!W2250,Model!W2475,Model!W3536)*'Inflation GDP Population'!$S$18/'Inflation GDP Population'!V$18</f>
        <v>8.494059831</v>
      </c>
      <c r="Y17" s="94">
        <f>sum(Model!X10,Model!X432,Model!X674,Model!X899,Model!X1124,Model!X1351,Model!X1576,0*Model!X1801,Model!X2026,Model!X2250,Model!X2475,Model!X3536)*'Inflation GDP Population'!$S$18/'Inflation GDP Population'!W$18</f>
        <v>8.511441571</v>
      </c>
      <c r="Z17" s="94">
        <f>sum(Model!Y10,Model!Y432,Model!Y674,Model!Y899,Model!Y1124,Model!Y1351,Model!Y1576,0*Model!Y1801,Model!Y2026,Model!Y2250,Model!Y2475,Model!Y3536)*'Inflation GDP Population'!$S$18/'Inflation GDP Population'!X$18</f>
        <v>8.933011663</v>
      </c>
      <c r="AA17" s="94">
        <f>sum(Model!Z10,Model!Z432,Model!Z674,Model!Z899,Model!Z1124,Model!Z1351,Model!Z1576,0*Model!Z1801,Model!Z2026,Model!Z2250,Model!Z2475,Model!Z3536)*'Inflation GDP Population'!$S$18/'Inflation GDP Population'!Y$18</f>
        <v>8.587971272</v>
      </c>
      <c r="AB17" s="94">
        <f>sum(Model!AA10,Model!AA432,Model!AA674,Model!AA899,Model!AA1124,Model!AA1351,Model!AA1576,0*Model!AA1801,Model!AA2026,Model!AA2250,Model!AA2475,Model!AA3536)*'Inflation GDP Population'!$S$18/'Inflation GDP Population'!Z$18</f>
        <v>8.617861014</v>
      </c>
      <c r="AC17" s="94">
        <f>sum(Model!AB10,Model!AB432,Model!AB674,Model!AB899,Model!AB1124,Model!AB1351,Model!AB1576,0*Model!AB1801,Model!AB2026,Model!AB2250,Model!AB2475,Model!AB3536)*'Inflation GDP Population'!$S$18/'Inflation GDP Population'!AA$18</f>
        <v>8.615704624</v>
      </c>
      <c r="AD17" s="94">
        <f>sum(Model!AC10,Model!AC432,Model!AC674,Model!AC899,Model!AC1124,Model!AC1351,Model!AC1576,0*Model!AC1801,Model!AC2026,Model!AC2250,Model!AC2475,Model!AC3536)*'Inflation GDP Population'!$S$18/'Inflation GDP Population'!AB$18</f>
        <v>8.700234341</v>
      </c>
      <c r="AE17" s="94">
        <f>sum(Model!AD10,Model!AD432,Model!AD674,Model!AD899,Model!AD1124,Model!AD1351,Model!AD1576,0*Model!AD1801,Model!AD2026,Model!AD2250,Model!AD2475,Model!AD3536)*'Inflation GDP Population'!$S$18/'Inflation GDP Population'!AC$18</f>
        <v>8.655297812</v>
      </c>
      <c r="AF17" s="94">
        <f>sum(Model!AE10,Model!AE432,Model!AE674,Model!AE899,Model!AE1124,Model!AE1351,Model!AE1576,0*Model!AE1801,Model!AE2026,Model!AE2250,Model!AE2475,Model!AE3536)*'Inflation GDP Population'!$S$18/'Inflation GDP Population'!AD$18</f>
        <v>8.615584091</v>
      </c>
      <c r="AG17" s="94">
        <f>sum(Model!AF10,Model!AF432,Model!AF674,Model!AF899,Model!AF1124,Model!AF1351,Model!AF1576,0*Model!AF1801,Model!AF2026,Model!AF2250,Model!AF2475,Model!AF3536)*'Inflation GDP Population'!$S$18/'Inflation GDP Population'!AE$18</f>
        <v>8.525842681</v>
      </c>
      <c r="AH17" s="94">
        <f>sum(Model!AG10,Model!AG432,Model!AG674,Model!AG899,Model!AG1124,Model!AG1351,Model!AG1576,0*Model!AG1801,Model!AG2026,Model!AG2250,Model!AG2475,Model!AG3536)*'Inflation GDP Population'!$S$18/'Inflation GDP Population'!AF$18</f>
        <v>8.505022226</v>
      </c>
      <c r="AI17" s="94">
        <f>sum(Model!AH10,Model!AH432,Model!AH674,Model!AH899,Model!AH1124,Model!AH1351,Model!AH1576,0*Model!AH1801,Model!AH2026,Model!AH2250,Model!AH2475,Model!AH3536)*'Inflation GDP Population'!$S$18/'Inflation GDP Population'!AG$18</f>
        <v>8.55389464</v>
      </c>
      <c r="AJ17" s="94">
        <f>sum(Model!AI10,Model!AI432,Model!AI674,Model!AI899,Model!AI1124,Model!AI1351,Model!AI1576,0*Model!AI1801,Model!AI2026,Model!AI2250,Model!AI2475,Model!AI3536)*'Inflation GDP Population'!$S$18/'Inflation GDP Population'!AH$18</f>
        <v>8.496828388</v>
      </c>
      <c r="AK17" s="94">
        <f>sum(Model!AJ10,Model!AJ432,Model!AJ674,Model!AJ899,Model!AJ1124,Model!AJ1351,Model!AJ1576,0*Model!AJ1801,Model!AJ2026,Model!AJ2250,Model!AJ2475,Model!AJ3536)*'Inflation GDP Population'!$S$18/'Inflation GDP Population'!AI$18</f>
        <v>8.492454365</v>
      </c>
      <c r="AL17" s="94">
        <f>sum(Model!AK10,Model!AK432,Model!AK674,Model!AK899,Model!AK1124,Model!AK1351,Model!AK1576,0*Model!AK1801,Model!AK2026,Model!AK2250,Model!AK2475,Model!AK3536)*'Inflation GDP Population'!$S$18/'Inflation GDP Population'!AJ$18</f>
        <v>8.490577914</v>
      </c>
      <c r="AM17" s="94">
        <f>sum(Model!AL10,Model!AL432,Model!AL674,Model!AL899,Model!AL1124,Model!AL1351,Model!AL1576,0*Model!AL1801,Model!AL2026,Model!AL2250,Model!AL2475,Model!AL3536)*'Inflation GDP Population'!$S$18/'Inflation GDP Population'!AK$18</f>
        <v>8.4880461</v>
      </c>
      <c r="AN17" s="94">
        <f>sum(Model!AM10,Model!AM432,Model!AM674,Model!AM899,Model!AM1124,Model!AM1351,Model!AM1576,0*Model!AM1801,Model!AM2026,Model!AM2250,Model!AM2475,Model!AM3536)*'Inflation GDP Population'!$S$18/'Inflation GDP Population'!AL$18</f>
        <v>8.475692177</v>
      </c>
      <c r="AO17" s="94">
        <f>sum(Model!AN10,Model!AN432,Model!AN674,Model!AN899,Model!AN1124,Model!AN1351,Model!AN1576,0*Model!AN1801,Model!AN2026,Model!AN2250,Model!AN2475,Model!AN3536)*'Inflation GDP Population'!$S$18/'Inflation GDP Population'!AM$18</f>
        <v>8.500817058</v>
      </c>
      <c r="AP17" s="94">
        <f>sum(Model!AO10,Model!AO432,Model!AO674,Model!AO899,Model!AO1124,Model!AO1351,Model!AO1576,0*Model!AO1801,Model!AO2026,Model!AO2250,Model!AO2475,Model!AO3536)*'Inflation GDP Population'!$S$18/'Inflation GDP Population'!AN$18</f>
        <v>8.46093584</v>
      </c>
      <c r="AQ17" s="94">
        <f>sum(Model!AP10,Model!AP432,Model!AP674,Model!AP899,Model!AP1124,Model!AP1351,Model!AP1576,0*Model!AP1801,Model!AP2026,Model!AP2250,Model!AP2475,Model!AP3536)*'Inflation GDP Population'!$S$18/'Inflation GDP Population'!AO$18</f>
        <v>8.449137797</v>
      </c>
      <c r="AR17" s="94">
        <f>sum(Model!AQ10,Model!AQ432,Model!AQ674,Model!AQ899,Model!AQ1124,Model!AQ1351,Model!AQ1576,0*Model!AQ1801,Model!AQ2026,Model!AQ2250,Model!AQ2475,Model!AQ3536)*'Inflation GDP Population'!$S$18/'Inflation GDP Population'!AP$18</f>
        <v>8.43910409</v>
      </c>
      <c r="AS17" s="94">
        <f>sum(Model!AR10,Model!AR432,Model!AR674,Model!AR899,Model!AR1124,Model!AR1351,Model!AR1576,0*Model!AR1801,Model!AR2026,Model!AR2250,Model!AR2475,Model!AR3536)*'Inflation GDP Population'!$S$18/'Inflation GDP Population'!AQ$18</f>
        <v>8.428067592</v>
      </c>
      <c r="AT17" s="94">
        <f>sum(Model!AS10,Model!AS432,Model!AS674,Model!AS899,Model!AS1124,Model!AS1351,Model!AS1576,0*Model!AS1801,Model!AS2026,Model!AS2250,Model!AS2475,Model!AS3536)*'Inflation GDP Population'!$S$18/'Inflation GDP Population'!AR$18</f>
        <v>8.41246029</v>
      </c>
      <c r="AU17" s="94">
        <f>sum(Model!AT10,Model!AT432,Model!AT674,Model!AT899,Model!AT1124,Model!AT1351,Model!AT1576,0*Model!AT1801,Model!AT2026,Model!AT2250,Model!AT2475,Model!AT3536)*'Inflation GDP Population'!$S$18/'Inflation GDP Population'!AS$18</f>
        <v>8.399271425</v>
      </c>
      <c r="AV17" s="94">
        <f>sum(Model!AU10,Model!AU432,Model!AU674,Model!AU899,Model!AU1124,Model!AU1351,Model!AU1576,0*Model!AU1801,Model!AU2026,Model!AU2250,Model!AU2475,Model!AU3536)*'Inflation GDP Population'!$S$18/'Inflation GDP Population'!AT$18</f>
        <v>8.381684533</v>
      </c>
      <c r="AW17" s="94">
        <f>sum(Model!AV10,Model!AV432,Model!AV674,Model!AV899,Model!AV1124,Model!AV1351,Model!AV1576,0*Model!AV1801,Model!AV2026,Model!AV2250,Model!AV2475,Model!AV3536)*'Inflation GDP Population'!$S$18/'Inflation GDP Population'!AU$18</f>
        <v>8.366359918</v>
      </c>
      <c r="AX17" s="94">
        <f>sum(Model!AW10,Model!AW432,Model!AW674,Model!AW899,Model!AW1124,Model!AW1351,Model!AW1576,0*Model!AW1801,Model!AW2026,Model!AW2250,Model!AW2475,Model!AW3536)*'Inflation GDP Population'!$S$18/'Inflation GDP Population'!AV$18</f>
        <v>8.345863988</v>
      </c>
      <c r="AY17" s="94">
        <f>sum(Model!AX10,Model!AX432,Model!AX674,Model!AX899,Model!AX1124,Model!AX1351,Model!AX1576,0*Model!AX1801,Model!AX2026,Model!AX2250,Model!AX2475,Model!AX3536)*'Inflation GDP Population'!$S$18/'Inflation GDP Population'!AW$18</f>
        <v>8.328399926</v>
      </c>
      <c r="AZ17" s="94">
        <f>sum(Model!AY10,Model!AY432,Model!AY674,Model!AY899,Model!AY1124,Model!AY1351,Model!AY1576,0*Model!AY1801,Model!AY2026,Model!AY2250,Model!AY2475,Model!AY3536)*'Inflation GDP Population'!$S$18/'Inflation GDP Population'!AX$18</f>
        <v>8.30994438</v>
      </c>
      <c r="BA17" s="94">
        <f>sum(Model!AZ10,Model!AZ432,Model!AZ674,Model!AZ899,Model!AZ1124,Model!AZ1351,Model!AZ1576,0*Model!AZ1801,Model!AZ2026,Model!AZ2250,Model!AZ2475,Model!AZ3536)*'Inflation GDP Population'!$S$18/'Inflation GDP Population'!AY$18</f>
        <v>8.285866982</v>
      </c>
      <c r="BB17" s="94">
        <f>sum(Model!BA10,Model!BA432,Model!BA674,Model!BA899,Model!BA1124,Model!BA1351,Model!BA1576,0*Model!BA1801,Model!BA2026,Model!BA2250,Model!BA2475,Model!BA3536)*'Inflation GDP Population'!$S$18/'Inflation GDP Population'!AZ$18</f>
        <v>8.265604381</v>
      </c>
      <c r="BC17" s="95"/>
      <c r="BD17" s="95"/>
      <c r="BE17" s="95"/>
      <c r="BF17" s="95"/>
      <c r="BG17" s="95"/>
      <c r="BH17" s="95"/>
      <c r="BI17" s="95"/>
      <c r="BJ17" s="95"/>
      <c r="BK17" s="95"/>
      <c r="BL17" s="95"/>
      <c r="BM17" s="95"/>
      <c r="BN17" s="95"/>
      <c r="BO17" s="95"/>
      <c r="BP17" s="95"/>
    </row>
    <row r="18">
      <c r="A18" s="79" t="s">
        <v>224</v>
      </c>
      <c r="B18" s="93" t="s">
        <v>225</v>
      </c>
      <c r="C18" s="93" t="s">
        <v>223</v>
      </c>
      <c r="D18" s="82">
        <f>sum(Model!C11,Model!C435,0*Model!C675,0*Model!C900,Model!C1126,0*Model!C1352,0*Model!C1802,Model!C2027,Model!C2249,Model!C3537)*'Inflation GDP Population'!$S$11/'Inflation GDP Population'!B$11</f>
        <v>13.35418122</v>
      </c>
      <c r="E18" s="82">
        <f>sum(Model!D11,Model!D435,0*Model!D675,0*Model!D900,Model!D1126,0*Model!D1352,0*Model!D1802,Model!D2027,Model!D2249,Model!D3537)*'Inflation GDP Population'!$S$11/'Inflation GDP Population'!C$11</f>
        <v>14.02346271</v>
      </c>
      <c r="F18" s="82">
        <f>sum(Model!E11,Model!E435,0*Model!E675,0*Model!E900,Model!E1126,0*Model!E1352,0*Model!E1802,Model!E2027,Model!E2249,Model!E3537)*'Inflation GDP Population'!$S$11/'Inflation GDP Population'!D$11</f>
        <v>13.60745061</v>
      </c>
      <c r="G18" s="82">
        <f>sum(Model!F11,Model!F435,0*Model!F675,0*Model!F900,Model!F1126,0*Model!F1352,0*Model!F1802,Model!F2027,Model!F2249,Model!F3537)*'Inflation GDP Population'!$S$11/'Inflation GDP Population'!E$11</f>
        <v>13.64688823</v>
      </c>
      <c r="H18" s="82">
        <f>sum(Model!G11,Model!G435,0*Model!G675,0*Model!G900,Model!G1126,0*Model!G1352,0*Model!G1802,Model!G2027,Model!G2249,Model!G3537)*'Inflation GDP Population'!$S$11/'Inflation GDP Population'!F$11</f>
        <v>14.84345128</v>
      </c>
      <c r="I18" s="82">
        <f>sum(Model!H11,Model!H435,0*Model!H675,0*Model!H900,Model!H1126,0*Model!H1352,0*Model!H1802,Model!H2027,Model!H2249,Model!H3537)*'Inflation GDP Population'!$S$11/'Inflation GDP Population'!G$11</f>
        <v>16.38097652</v>
      </c>
      <c r="J18" s="82">
        <f>sum(Model!I11,Model!I435,0*Model!I675,0*Model!I900,Model!I1126,0*Model!I1352,0*Model!I1802,Model!I2027,Model!I2249,Model!I3537)*'Inflation GDP Population'!$S$11/'Inflation GDP Population'!H$11</f>
        <v>14.96878325</v>
      </c>
      <c r="K18" s="82">
        <f>sum(Model!J11,Model!J435,0*Model!J675,0*Model!J900,Model!J1126,0*Model!J1352,0*Model!J1802,Model!J2027,Model!J2249,Model!J3537)*'Inflation GDP Population'!$S$11/'Inflation GDP Population'!I$11</f>
        <v>16.01778006</v>
      </c>
      <c r="L18" s="82">
        <f>sum(Model!K11,Model!K435,0*Model!K675,0*Model!K900,Model!K1126,0*Model!K1352,0*Model!K1802,Model!K2027,Model!K2249,Model!K3537)*'Inflation GDP Population'!$S$11/'Inflation GDP Population'!J$11</f>
        <v>17.09367428</v>
      </c>
      <c r="M18" s="82">
        <f>sum(Model!L11,Model!L435,0*Model!L675,0*Model!L900,Model!L1126,0*Model!L1352,0*Model!L1802,Model!L2027,Model!L2249,Model!L3537)*'Inflation GDP Population'!$S$11/'Inflation GDP Population'!K$11</f>
        <v>13.62447285</v>
      </c>
      <c r="N18" s="82">
        <f>sum(Model!M11,Model!M435,0*Model!M675,0*Model!M900,Model!M1126,0*Model!M1352,0*Model!M1802,Model!M2027,Model!M2249,Model!M3537)*'Inflation GDP Population'!$S$11/'Inflation GDP Population'!L$11</f>
        <v>15.64501898</v>
      </c>
      <c r="O18" s="82">
        <f>sum(Model!N11,Model!N435,0*Model!N675,0*Model!N900,Model!N1126,0*Model!N1352,0*Model!N1802,Model!N2027,Model!N2249,Model!N3537)*'Inflation GDP Population'!$S$11/'Inflation GDP Population'!M$11</f>
        <v>14.95385037</v>
      </c>
      <c r="P18" s="82">
        <f>sum(Model!O11,Model!O435,0*Model!O675,0*Model!O900,Model!O1126,0*Model!O1352,0*Model!O1802,Model!O2027,Model!O2249,Model!O3537)*'Inflation GDP Population'!$S$11/'Inflation GDP Population'!N$11</f>
        <v>13.15927802</v>
      </c>
      <c r="Q18" s="82">
        <f>sum(Model!P11,Model!P435,0*Model!P675,0*Model!P900,Model!P1126,0*Model!P1352,0*Model!P1802,Model!P2027,Model!P2249,Model!P3537)*'Inflation GDP Population'!$S$11/'Inflation GDP Population'!O$11</f>
        <v>13.62521165</v>
      </c>
      <c r="R18" s="82">
        <f>sum(Model!Q11,Model!Q435,0*Model!Q675,0*Model!Q900,Model!Q1126,0*Model!Q1352,0*Model!Q1802,Model!Q2027,Model!Q2249,Model!Q3537)*'Inflation GDP Population'!$S$11/'Inflation GDP Population'!P$11</f>
        <v>14.94499434</v>
      </c>
      <c r="S18" s="82">
        <f>sum(Model!R11,Model!R435,0*Model!R675,0*Model!R900,Model!R1126,0*Model!R1352,0*Model!R1802,Model!R2027,Model!R2249,Model!R3537)*'Inflation GDP Population'!$S$11/'Inflation GDP Population'!Q$11</f>
        <v>12.18729415</v>
      </c>
      <c r="T18" s="82">
        <f>sum(Model!S11,Model!S435,0*Model!S675,0*Model!S900,Model!S1126,0*Model!S1352,0*Model!S1802,Model!S2027,Model!S2249,Model!S3537)*'Inflation GDP Population'!$S$11/'Inflation GDP Population'!R$11</f>
        <v>11.59023398</v>
      </c>
      <c r="U18" s="82">
        <f>sum(Model!T11,Model!T435,0*Model!T675,0*Model!T900,Model!T1126,0*Model!T1352,0*Model!T1802,Model!T2027,Model!T2249,Model!T3537)*'Inflation GDP Population'!$S$11/'Inflation GDP Population'!S$11</f>
        <v>11.50070335</v>
      </c>
      <c r="V18" s="82">
        <f>sum(Model!U11,Model!U435,0*Model!U675,0*Model!U900,Model!U1126,0*Model!U1352,0*Model!U1802,Model!U2027,Model!U2249,Model!U3537)*'Inflation GDP Population'!$S$11/'Inflation GDP Population'!T$11</f>
        <v>12.12747662</v>
      </c>
      <c r="W18" s="94">
        <f>sum(Model!V11,Model!V435,0*Model!V675,0*Model!V900,Model!V1126,0*Model!V1352,0*Model!V1802,Model!V2027,Model!V2249,Model!V3537)*'Inflation GDP Population'!$S$18/'Inflation GDP Population'!U$18</f>
        <v>11.12948666</v>
      </c>
      <c r="X18" s="94">
        <f>sum(Model!W11,Model!W435,0*Model!W675,0*Model!W900,Model!W1126,0*Model!W1352,0*Model!W1802,Model!W2027,Model!W2249,Model!W3537)*'Inflation GDP Population'!$S$18/'Inflation GDP Population'!V$18</f>
        <v>11.49358159</v>
      </c>
      <c r="Y18" s="94">
        <f>sum(Model!X11,Model!X435,0*Model!X675,0*Model!X900,Model!X1126,0*Model!X1352,0*Model!X1802,Model!X2027,Model!X2249,Model!X3537)*'Inflation GDP Population'!$S$18/'Inflation GDP Population'!W$18</f>
        <v>11.15780894</v>
      </c>
      <c r="Z18" s="94">
        <f>sum(Model!Y11,Model!Y435,0*Model!Y675,0*Model!Y900,Model!Y1126,0*Model!Y1352,0*Model!Y1802,Model!Y2027,Model!Y2249,Model!Y3537)*'Inflation GDP Population'!$S$18/'Inflation GDP Population'!X$18</f>
        <v>10.46083898</v>
      </c>
      <c r="AA18" s="94">
        <f>sum(Model!Z11,Model!Z435,0*Model!Z675,0*Model!Z900,Model!Z1126,0*Model!Z1352,0*Model!Z1802,Model!Z2027,Model!Z2249,Model!Z3537)*'Inflation GDP Population'!$S$18/'Inflation GDP Population'!Y$18</f>
        <v>10.54757879</v>
      </c>
      <c r="AB18" s="94">
        <f>sum(Model!AA11,Model!AA435,0*Model!AA675,0*Model!AA900,Model!AA1126,0*Model!AA1352,0*Model!AA1802,Model!AA2027,Model!AA2249,Model!AA3537)*'Inflation GDP Population'!$S$18/'Inflation GDP Population'!Z$18</f>
        <v>10.72837597</v>
      </c>
      <c r="AC18" s="94">
        <f>sum(Model!AB11,Model!AB435,0*Model!AB675,0*Model!AB900,Model!AB1126,0*Model!AB1352,0*Model!AB1802,Model!AB2027,Model!AB2249,Model!AB3537)*'Inflation GDP Population'!$S$18/'Inflation GDP Population'!AA$18</f>
        <v>10.87432798</v>
      </c>
      <c r="AD18" s="94">
        <f>sum(Model!AC11,Model!AC435,0*Model!AC675,0*Model!AC900,Model!AC1126,0*Model!AC1352,0*Model!AC1802,Model!AC2027,Model!AC2249,Model!AC3537)*'Inflation GDP Population'!$S$18/'Inflation GDP Population'!AB$18</f>
        <v>10.7778367</v>
      </c>
      <c r="AE18" s="94">
        <f>sum(Model!AD11,Model!AD435,0*Model!AD675,0*Model!AD900,Model!AD1126,0*Model!AD1352,0*Model!AD1802,Model!AD2027,Model!AD2249,Model!AD3537)*'Inflation GDP Population'!$S$18/'Inflation GDP Population'!AC$18</f>
        <v>10.60436641</v>
      </c>
      <c r="AF18" s="94">
        <f>sum(Model!AE11,Model!AE435,0*Model!AE675,0*Model!AE900,Model!AE1126,0*Model!AE1352,0*Model!AE1802,Model!AE2027,Model!AE2249,Model!AE3537)*'Inflation GDP Population'!$S$18/'Inflation GDP Population'!AD$18</f>
        <v>10.64575163</v>
      </c>
      <c r="AG18" s="94">
        <f>sum(Model!AF11,Model!AF435,0*Model!AF675,0*Model!AF900,Model!AF1126,0*Model!AF1352,0*Model!AF1802,Model!AF2027,Model!AF2249,Model!AF3537)*'Inflation GDP Population'!$S$18/'Inflation GDP Population'!AE$18</f>
        <v>10.59523083</v>
      </c>
      <c r="AH18" s="94">
        <f>sum(Model!AG11,Model!AG435,0*Model!AG675,0*Model!AG900,Model!AG1126,0*Model!AG1352,0*Model!AG1802,Model!AG2027,Model!AG2249,Model!AG3537)*'Inflation GDP Population'!$S$18/'Inflation GDP Population'!AF$18</f>
        <v>10.58682515</v>
      </c>
      <c r="AI18" s="94">
        <f>sum(Model!AH11,Model!AH435,0*Model!AH675,0*Model!AH900,Model!AH1126,0*Model!AH1352,0*Model!AH1802,Model!AH2027,Model!AH2249,Model!AH3537)*'Inflation GDP Population'!$S$18/'Inflation GDP Population'!AG$18</f>
        <v>10.52353602</v>
      </c>
      <c r="AJ18" s="94">
        <f>sum(Model!AI11,Model!AI435,0*Model!AI675,0*Model!AI900,Model!AI1126,0*Model!AI1352,0*Model!AI1802,Model!AI2027,Model!AI2249,Model!AI3537)*'Inflation GDP Population'!$S$18/'Inflation GDP Population'!AH$18</f>
        <v>10.65815993</v>
      </c>
      <c r="AK18" s="94">
        <f>sum(Model!AJ11,Model!AJ435,0*Model!AJ675,0*Model!AJ900,Model!AJ1126,0*Model!AJ1352,0*Model!AJ1802,Model!AJ2027,Model!AJ2249,Model!AJ3537)*'Inflation GDP Population'!$S$18/'Inflation GDP Population'!AI$18</f>
        <v>10.68670931</v>
      </c>
      <c r="AL18" s="94">
        <f>sum(Model!AK11,Model!AK435,0*Model!AK675,0*Model!AK900,Model!AK1126,0*Model!AK1352,0*Model!AK1802,Model!AK2027,Model!AK2249,Model!AK3537)*'Inflation GDP Population'!$S$18/'Inflation GDP Population'!AJ$18</f>
        <v>10.69009864</v>
      </c>
      <c r="AM18" s="94">
        <f>sum(Model!AL11,Model!AL435,0*Model!AL675,0*Model!AL900,Model!AL1126,0*Model!AL1352,0*Model!AL1802,Model!AL2027,Model!AL2249,Model!AL3537)*'Inflation GDP Population'!$S$18/'Inflation GDP Population'!AK$18</f>
        <v>10.70121137</v>
      </c>
      <c r="AN18" s="94">
        <f>sum(Model!AM11,Model!AM435,0*Model!AM675,0*Model!AM900,Model!AM1126,0*Model!AM1352,0*Model!AM1802,Model!AM2027,Model!AM2249,Model!AM3537)*'Inflation GDP Population'!$S$18/'Inflation GDP Population'!AL$18</f>
        <v>10.74662215</v>
      </c>
      <c r="AO18" s="94">
        <f>sum(Model!AN11,Model!AN435,0*Model!AN675,0*Model!AN900,Model!AN1126,0*Model!AN1352,0*Model!AN1802,Model!AN2027,Model!AN2249,Model!AN3537)*'Inflation GDP Population'!$S$18/'Inflation GDP Population'!AM$18</f>
        <v>10.72379269</v>
      </c>
      <c r="AP18" s="94">
        <f>sum(Model!AO11,Model!AO435,0*Model!AO675,0*Model!AO900,Model!AO1126,0*Model!AO1352,0*Model!AO1802,Model!AO2027,Model!AO2249,Model!AO3537)*'Inflation GDP Population'!$S$18/'Inflation GDP Population'!AN$18</f>
        <v>10.68925629</v>
      </c>
      <c r="AQ18" s="94">
        <f>sum(Model!AP11,Model!AP435,0*Model!AP675,0*Model!AP900,Model!AP1126,0*Model!AP1352,0*Model!AP1802,Model!AP2027,Model!AP2249,Model!AP3537)*'Inflation GDP Population'!$S$18/'Inflation GDP Population'!AO$18</f>
        <v>10.68109048</v>
      </c>
      <c r="AR18" s="94">
        <f>sum(Model!AQ11,Model!AQ435,0*Model!AQ675,0*Model!AQ900,Model!AQ1126,0*Model!AQ1352,0*Model!AQ1802,Model!AQ2027,Model!AQ2249,Model!AQ3537)*'Inflation GDP Population'!$S$18/'Inflation GDP Population'!AP$18</f>
        <v>10.72155561</v>
      </c>
      <c r="AS18" s="94">
        <f>sum(Model!AR11,Model!AR435,0*Model!AR675,0*Model!AR900,Model!AR1126,0*Model!AR1352,0*Model!AR1802,Model!AR2027,Model!AR2249,Model!AR3537)*'Inflation GDP Population'!$S$18/'Inflation GDP Population'!AQ$18</f>
        <v>10.65457387</v>
      </c>
      <c r="AT18" s="94">
        <f>sum(Model!AS11,Model!AS435,0*Model!AS675,0*Model!AS900,Model!AS1126,0*Model!AS1352,0*Model!AS1802,Model!AS2027,Model!AS2249,Model!AS3537)*'Inflation GDP Population'!$S$18/'Inflation GDP Population'!AR$18</f>
        <v>10.66784599</v>
      </c>
      <c r="AU18" s="94">
        <f>sum(Model!AT11,Model!AT435,0*Model!AT675,0*Model!AT900,Model!AT1126,0*Model!AT1352,0*Model!AT1802,Model!AT2027,Model!AT2249,Model!AT3537)*'Inflation GDP Population'!$S$18/'Inflation GDP Population'!AS$18</f>
        <v>10.69381746</v>
      </c>
      <c r="AV18" s="94">
        <f>sum(Model!AU11,Model!AU435,0*Model!AU675,0*Model!AU900,Model!AU1126,0*Model!AU1352,0*Model!AU1802,Model!AU2027,Model!AU2249,Model!AU3537)*'Inflation GDP Population'!$S$18/'Inflation GDP Population'!AT$18</f>
        <v>10.75764619</v>
      </c>
      <c r="AW18" s="94">
        <f>sum(Model!AV11,Model!AV435,0*Model!AV675,0*Model!AV900,Model!AV1126,0*Model!AV1352,0*Model!AV1802,Model!AV2027,Model!AV2249,Model!AV3537)*'Inflation GDP Population'!$S$18/'Inflation GDP Population'!AU$18</f>
        <v>10.79891611</v>
      </c>
      <c r="AX18" s="94">
        <f>sum(Model!AW11,Model!AW435,0*Model!AW675,0*Model!AW900,Model!AW1126,0*Model!AW1352,0*Model!AW1802,Model!AW2027,Model!AW2249,Model!AW3537)*'Inflation GDP Population'!$S$18/'Inflation GDP Population'!AV$18</f>
        <v>10.82325874</v>
      </c>
      <c r="AY18" s="94">
        <f>sum(Model!AX11,Model!AX435,0*Model!AX675,0*Model!AX900,Model!AX1126,0*Model!AX1352,0*Model!AX1802,Model!AX2027,Model!AX2249,Model!AX3537)*'Inflation GDP Population'!$S$18/'Inflation GDP Population'!AW$18</f>
        <v>10.86291896</v>
      </c>
      <c r="AZ18" s="94">
        <f>sum(Model!AY11,Model!AY435,0*Model!AY675,0*Model!AY900,Model!AY1126,0*Model!AY1352,0*Model!AY1802,Model!AY2027,Model!AY2249,Model!AY3537)*'Inflation GDP Population'!$S$18/'Inflation GDP Population'!AX$18</f>
        <v>10.97614102</v>
      </c>
      <c r="BA18" s="94">
        <f>sum(Model!AZ11,Model!AZ435,0*Model!AZ675,0*Model!AZ900,Model!AZ1126,0*Model!AZ1352,0*Model!AZ1802,Model!AZ2027,Model!AZ2249,Model!AZ3537)*'Inflation GDP Population'!$S$18/'Inflation GDP Population'!AY$18</f>
        <v>11.04765747</v>
      </c>
      <c r="BB18" s="94">
        <f>sum(Model!BA11,Model!BA435,0*Model!BA675,0*Model!BA900,Model!BA1126,0*Model!BA1352,0*Model!BA1802,Model!BA2027,Model!BA2249,Model!BA3537)*'Inflation GDP Population'!$S$18/'Inflation GDP Population'!AZ$18</f>
        <v>11.10793559</v>
      </c>
      <c r="BC18" s="95"/>
      <c r="BD18" s="95"/>
      <c r="BE18" s="95"/>
      <c r="BF18" s="95"/>
      <c r="BG18" s="95"/>
      <c r="BH18" s="95"/>
      <c r="BI18" s="95"/>
      <c r="BJ18" s="95"/>
      <c r="BK18" s="95"/>
      <c r="BL18" s="95"/>
      <c r="BM18" s="95"/>
      <c r="BN18" s="95"/>
      <c r="BO18" s="95"/>
      <c r="BP18" s="95"/>
    </row>
    <row r="19">
      <c r="A19" s="79" t="s">
        <v>226</v>
      </c>
      <c r="B19" s="93" t="s">
        <v>227</v>
      </c>
      <c r="C19" s="93" t="s">
        <v>228</v>
      </c>
      <c r="D19" s="96">
        <f>(Model!C1125)*'Inflation GDP Population'!$S$11/'Inflation GDP Population'!B$11</f>
        <v>1.416704192</v>
      </c>
      <c r="E19" s="96">
        <f>(Model!D1125)*'Inflation GDP Population'!$S$11/'Inflation GDP Population'!C$11</f>
        <v>1.415280429</v>
      </c>
      <c r="F19" s="96">
        <f>(Model!E1125)*'Inflation GDP Population'!$S$11/'Inflation GDP Population'!D$11</f>
        <v>1.440333276</v>
      </c>
      <c r="G19" s="96">
        <f>(Model!F1125)*'Inflation GDP Population'!$S$11/'Inflation GDP Population'!E$11</f>
        <v>1.423682477</v>
      </c>
      <c r="H19" s="96">
        <f>(Model!G1125)*'Inflation GDP Population'!$S$11/'Inflation GDP Population'!F$11</f>
        <v>1.419037246</v>
      </c>
      <c r="I19" s="96">
        <f>(Model!H1125)*'Inflation GDP Population'!$S$11/'Inflation GDP Population'!G$11</f>
        <v>1.37248996</v>
      </c>
      <c r="J19" s="96">
        <f>(Model!I1125)*'Inflation GDP Population'!$S$11/'Inflation GDP Population'!H$11</f>
        <v>1.285935068</v>
      </c>
      <c r="K19" s="96">
        <f>(Model!J1125)*'Inflation GDP Population'!$S$11/'Inflation GDP Population'!I$11</f>
        <v>1.370235308</v>
      </c>
      <c r="L19" s="96">
        <f>(Model!K1125)*'Inflation GDP Population'!$S$11/'Inflation GDP Population'!J$11</f>
        <v>1.340929313</v>
      </c>
      <c r="M19" s="96">
        <f>(Model!L1125)*'Inflation GDP Population'!$S$11/'Inflation GDP Population'!K$11</f>
        <v>1.388378362</v>
      </c>
      <c r="N19" s="96">
        <f>(Model!M1125)*'Inflation GDP Population'!$S$11/'Inflation GDP Population'!L$11</f>
        <v>1.378716738</v>
      </c>
      <c r="O19" s="96">
        <f>(Model!N1125)*'Inflation GDP Population'!$S$11/'Inflation GDP Population'!M$11</f>
        <v>1.375573881</v>
      </c>
      <c r="P19" s="96">
        <f>(Model!O1125)*'Inflation GDP Population'!$S$11/'Inflation GDP Population'!N$11</f>
        <v>1.35988402</v>
      </c>
      <c r="Q19" s="96">
        <f>(Model!P1125)*'Inflation GDP Population'!$S$11/'Inflation GDP Population'!O$11</f>
        <v>1.421401077</v>
      </c>
      <c r="R19" s="96">
        <f>(Model!Q1125)*'Inflation GDP Population'!$S$11/'Inflation GDP Population'!P$11</f>
        <v>1.370519862</v>
      </c>
      <c r="S19" s="96">
        <f>(Model!R1125)*'Inflation GDP Population'!$S$11/'Inflation GDP Population'!Q$11</f>
        <v>1.412228875</v>
      </c>
      <c r="T19" s="96">
        <f>(Model!S1125)*'Inflation GDP Population'!$S$11/'Inflation GDP Population'!R$11</f>
        <v>1.456233466</v>
      </c>
      <c r="U19" s="96">
        <f>(Model!T1125)*'Inflation GDP Population'!$S$11/'Inflation GDP Population'!S$11</f>
        <v>1.409417993</v>
      </c>
      <c r="V19" s="96">
        <f>(Model!U1125)*'Inflation GDP Population'!$S$11/'Inflation GDP Population'!T$11</f>
        <v>1.442719208</v>
      </c>
      <c r="W19" s="97">
        <f>(Model!V1125)*'Inflation GDP Population'!$S$18/'Inflation GDP Population'!U$18</f>
        <v>1.356706608</v>
      </c>
      <c r="X19" s="97">
        <f>(Model!W1125)*'Inflation GDP Population'!$S$18/'Inflation GDP Population'!V$18</f>
        <v>1.300263402</v>
      </c>
      <c r="Y19" s="97">
        <f>(Model!X1125)*'Inflation GDP Population'!$S$18/'Inflation GDP Population'!W$18</f>
        <v>1.254554567</v>
      </c>
      <c r="Z19" s="97">
        <f>(Model!Y1125)*'Inflation GDP Population'!$S$18/'Inflation GDP Population'!X$18</f>
        <v>1.210398472</v>
      </c>
      <c r="AA19" s="97">
        <f>(Model!Z1125)*'Inflation GDP Population'!$S$18/'Inflation GDP Population'!Y$18</f>
        <v>1.167745031</v>
      </c>
      <c r="AB19" s="97">
        <f>(Model!AA1125)*'Inflation GDP Population'!$S$18/'Inflation GDP Population'!Z$18</f>
        <v>1.126545642</v>
      </c>
      <c r="AC19" s="97">
        <f>(Model!AB1125)*'Inflation GDP Population'!$S$18/'Inflation GDP Population'!AA$18</f>
        <v>1.086753143</v>
      </c>
      <c r="AD19" s="97">
        <f>(Model!AC1125)*'Inflation GDP Population'!$S$18/'Inflation GDP Population'!AB$18</f>
        <v>1.048321782</v>
      </c>
      <c r="AE19" s="97">
        <f>(Model!AD1125)*'Inflation GDP Population'!$S$18/'Inflation GDP Population'!AC$18</f>
        <v>1.032733359</v>
      </c>
      <c r="AF19" s="97">
        <f>(Model!AE1125)*'Inflation GDP Population'!$S$18/'Inflation GDP Population'!AD$18</f>
        <v>1.017334713</v>
      </c>
      <c r="AG19" s="97">
        <f>(Model!AF1125)*'Inflation GDP Population'!$S$18/'Inflation GDP Population'!AE$18</f>
        <v>1.002124802</v>
      </c>
      <c r="AH19" s="97">
        <f>(Model!AG1125)*'Inflation GDP Population'!$S$18/'Inflation GDP Population'!AF$18</f>
        <v>0.9871025472</v>
      </c>
      <c r="AI19" s="97">
        <f>(Model!AH1125)*'Inflation GDP Population'!$S$18/'Inflation GDP Population'!AG$18</f>
        <v>0.9722668266</v>
      </c>
      <c r="AJ19" s="97">
        <f>(Model!AI1125)*'Inflation GDP Population'!$S$18/'Inflation GDP Population'!AH$18</f>
        <v>0.9576164836</v>
      </c>
      <c r="AK19" s="97">
        <f>(Model!AJ1125)*'Inflation GDP Population'!$S$18/'Inflation GDP Population'!AI$18</f>
        <v>0.943150326</v>
      </c>
      <c r="AL19" s="97">
        <f>(Model!AK1125)*'Inflation GDP Population'!$S$18/'Inflation GDP Population'!AJ$18</f>
        <v>0.9288671293</v>
      </c>
      <c r="AM19" s="97">
        <f>(Model!AL1125)*'Inflation GDP Population'!$S$18/'Inflation GDP Population'!AK$18</f>
        <v>0.9147656377</v>
      </c>
      <c r="AN19" s="97">
        <f>(Model!AM1125)*'Inflation GDP Population'!$S$18/'Inflation GDP Population'!AL$18</f>
        <v>0.9008445668</v>
      </c>
      <c r="AO19" s="97">
        <f>(Model!AN1125)*'Inflation GDP Population'!$S$18/'Inflation GDP Population'!AM$18</f>
        <v>0.8871026047</v>
      </c>
      <c r="AP19" s="97">
        <f>(Model!AO1125)*'Inflation GDP Population'!$S$18/'Inflation GDP Population'!AN$18</f>
        <v>0.8735384142</v>
      </c>
      <c r="AQ19" s="97">
        <f>(Model!AP1125)*'Inflation GDP Population'!$S$18/'Inflation GDP Population'!AO$18</f>
        <v>0.8601506341</v>
      </c>
      <c r="AR19" s="97">
        <f>(Model!AQ1125)*'Inflation GDP Population'!$S$18/'Inflation GDP Population'!AP$18</f>
        <v>0.8469378813</v>
      </c>
      <c r="AS19" s="97">
        <f>(Model!AR1125)*'Inflation GDP Population'!$S$18/'Inflation GDP Population'!AQ$18</f>
        <v>0.8338987518</v>
      </c>
      <c r="AT19" s="97">
        <f>(Model!AS1125)*'Inflation GDP Population'!$S$18/'Inflation GDP Population'!AR$18</f>
        <v>0.8210318225</v>
      </c>
      <c r="AU19" s="97">
        <f>(Model!AT1125)*'Inflation GDP Population'!$S$18/'Inflation GDP Population'!AS$18</f>
        <v>0.8083356528</v>
      </c>
      <c r="AV19" s="97">
        <f>(Model!AU1125)*'Inflation GDP Population'!$S$18/'Inflation GDP Population'!AT$18</f>
        <v>0.7958087855</v>
      </c>
      <c r="AW19" s="97">
        <f>(Model!AV1125)*'Inflation GDP Population'!$S$18/'Inflation GDP Population'!AU$18</f>
        <v>0.7834497487</v>
      </c>
      <c r="AX19" s="97">
        <f>(Model!AW1125)*'Inflation GDP Population'!$S$18/'Inflation GDP Population'!AV$18</f>
        <v>0.7712570565</v>
      </c>
      <c r="AY19" s="97">
        <f>(Model!AX1125)*'Inflation GDP Population'!$S$18/'Inflation GDP Population'!AW$18</f>
        <v>0.7592292109</v>
      </c>
      <c r="AZ19" s="97">
        <f>(Model!AY1125)*'Inflation GDP Population'!$S$18/'Inflation GDP Population'!AX$18</f>
        <v>0.7473647025</v>
      </c>
      <c r="BA19" s="97">
        <f>(Model!AZ1125)*'Inflation GDP Population'!$S$18/'Inflation GDP Population'!AY$18</f>
        <v>0.7356620117</v>
      </c>
      <c r="BB19" s="97">
        <f>(Model!BA1125)*'Inflation GDP Population'!$S$18/'Inflation GDP Population'!AZ$18</f>
        <v>0.7241196101</v>
      </c>
      <c r="BC19" s="95"/>
      <c r="BD19" s="95"/>
      <c r="BE19" s="95"/>
      <c r="BF19" s="95"/>
      <c r="BG19" s="95"/>
      <c r="BH19" s="95"/>
      <c r="BI19" s="95"/>
      <c r="BJ19" s="95"/>
      <c r="BK19" s="95"/>
      <c r="BL19" s="95"/>
      <c r="BM19" s="95"/>
      <c r="BN19" s="95"/>
      <c r="BO19" s="95"/>
      <c r="BP19" s="95"/>
    </row>
    <row r="20">
      <c r="A20" s="87" t="s">
        <v>229</v>
      </c>
      <c r="B20" s="88" t="s">
        <v>230</v>
      </c>
      <c r="C20" s="88" t="s">
        <v>223</v>
      </c>
      <c r="D20" s="98">
        <f>sum(Model!C18,Model!C438,Model!C677,Model!C902,Model!C1129,Model!C1354,Model!C1579,0*Model!C1804,Model!C2030,Model!C2253,Model!C3539)</f>
        <v>2387.4</v>
      </c>
      <c r="E20" s="98">
        <f>sum(Model!D18,Model!D438,Model!D677,Model!D902,Model!D1129,Model!D1354,Model!D1579,0*Model!D1804,Model!D2030,Model!D2253,Model!D3539)</f>
        <v>3578.9</v>
      </c>
      <c r="F20" s="98">
        <f>sum(Model!E18,Model!E438,Model!E677,Model!E902,Model!E1129,Model!E1354,Model!E1579,0*Model!E1804,Model!E2030,Model!E2253,Model!E3539)</f>
        <v>6889</v>
      </c>
      <c r="G20" s="98">
        <f>sum(Model!F18,Model!F438,Model!F677,Model!F902,Model!F1129,Model!F1354,Model!F1579,0*Model!F1804,Model!F2030,Model!F2253,Model!F3539)</f>
        <v>8561.1</v>
      </c>
      <c r="H20" s="98">
        <f>sum(Model!G18,Model!G438,Model!G677,Model!G902,Model!G1129,Model!G1354,Model!G1579,0*Model!G1804,Model!G2030,Model!G2253,Model!G3539)</f>
        <v>2605.2</v>
      </c>
      <c r="I20" s="98">
        <f>sum(Model!H18,Model!H438,Model!H677,Model!H902,Model!H1129,Model!H1354,Model!H1579,0*Model!H1804,Model!H2030,Model!H2253,Model!H3539)</f>
        <v>1429.1</v>
      </c>
      <c r="J20" s="98">
        <f>sum(Model!I18,Model!I438,Model!I677,Model!I902,Model!I1129,Model!I1354,Model!I1579,0*Model!I1804,Model!I2030,Model!I2253,Model!I3539)</f>
        <v>935.1</v>
      </c>
      <c r="K20" s="98">
        <f>sum(Model!J18,Model!J438,Model!J677,Model!J902,Model!J1129,Model!J1354,Model!J1579,0*Model!J1804,Model!J2030,Model!J2253,Model!J3539)</f>
        <v>635.7</v>
      </c>
      <c r="L20" s="98">
        <f>sum(Model!K18,Model!K438,Model!K677,Model!K902,Model!K1129,Model!K1354,Model!K1579,0*Model!K1804,Model!K2030,Model!K2253,Model!K3539)</f>
        <v>1363</v>
      </c>
      <c r="M20" s="98">
        <f>sum(Model!L18,Model!L438,Model!L677,Model!L902,Model!L1129,Model!L1354,Model!L1579,0*Model!L1804,Model!L2030,Model!L2253,Model!L3539)</f>
        <v>18.7</v>
      </c>
      <c r="N20" s="98">
        <f>sum(Model!M18,Model!M438,Model!M677,Model!M902,Model!M1129,Model!M1354,Model!M1579,0*Model!M1804,Model!M2030,Model!M2253,Model!M3539)</f>
        <v>1544.3</v>
      </c>
      <c r="O20" s="98">
        <f>sum(Model!N18,Model!N438,Model!N677,Model!N902,Model!N1129,Model!N1354,Model!N1579,0*Model!N1804,Model!N2030,Model!N2253,Model!N3539)</f>
        <v>2328.7</v>
      </c>
      <c r="P20" s="98">
        <f>sum(Model!O18,Model!O438,Model!O677,Model!O902,Model!O1129,Model!O1354,Model!O1579,0*Model!O1804,Model!O2030,Model!O2253,Model!O3539)</f>
        <v>5622.8</v>
      </c>
      <c r="Q20" s="98">
        <f>sum(Model!P18,Model!P438,Model!P677,Model!P902,Model!P1129,Model!P1354,Model!P1579,0*Model!P1804,Model!P2030,Model!P2253,Model!P3539)</f>
        <v>1233</v>
      </c>
      <c r="R20" s="98">
        <f>sum(Model!Q18,Model!Q438,Model!Q677,Model!Q902,Model!Q1129,Model!Q1354,Model!Q1579,0*Model!Q1804,Model!Q2030,Model!Q2253,Model!Q3539)</f>
        <v>1346.5</v>
      </c>
      <c r="S20" s="98">
        <f>sum(Model!R18,Model!R438,Model!R677,Model!R902,Model!R1129,Model!R1354,Model!R1579,0*Model!R1804,Model!R2030,Model!R2253,Model!R3539)</f>
        <v>1137.1</v>
      </c>
      <c r="T20" s="98">
        <f>sum(Model!S18,Model!S438,Model!S677,Model!S902,Model!S1129,Model!S1354,Model!S1579,0*Model!S1804,Model!S2030,Model!S2253,Model!S3539)</f>
        <v>3161.4</v>
      </c>
      <c r="U20" s="98">
        <f>sum(Model!T18,Model!T438,Model!T677,Model!T902,Model!T1129,Model!T1354,Model!T1579,0*Model!T1804,Model!T2030,Model!T2253,Model!T3539)</f>
        <v>1595.1</v>
      </c>
      <c r="V20" s="98">
        <f>sum(Model!U18,Model!U438,Model!U677,Model!U902,Model!U1129,Model!U1354,Model!U1579,0*Model!U1804,Model!U2030,Model!U2253,Model!U3539)</f>
        <v>3441.7</v>
      </c>
      <c r="W20" s="98">
        <f>sum(Model!V18,Model!V438,Model!V677,Model!V902,Model!V1129,Model!V1354,Model!V1579,0*Model!V1804,Model!V2030,Model!V2253,Model!V3539)</f>
        <v>0</v>
      </c>
      <c r="X20" s="98">
        <f>sum(Model!W18,Model!W438,Model!W677,Model!W902,Model!W1129,Model!W1354,Model!W1579,0*Model!W1804,Model!W2030,Model!W2253,Model!W3539)</f>
        <v>0</v>
      </c>
      <c r="Y20" s="98">
        <f>sum(Model!X18,Model!X438,Model!X677,Model!X902,Model!X1129,Model!X1354,Model!X1579,0*Model!X1804,Model!X2030,Model!X2253,Model!X3539)</f>
        <v>11256.87667</v>
      </c>
      <c r="Z20" s="98">
        <f>sum(Model!Y18,Model!Y438,Model!Y677,Model!Y902,Model!Y1129,Model!Y1354,Model!Y1579,0*Model!Y1804,Model!Y2030,Model!Y2253,Model!Y3539)</f>
        <v>3270.17667</v>
      </c>
      <c r="AA20" s="98">
        <f>sum(Model!Z18,Model!Z438,Model!Z677,Model!Z902,Model!Z1129,Model!Z1354,Model!Z1579,0*Model!Z1804,Model!Z2030,Model!Z2253,Model!Z3539)</f>
        <v>3782.77667</v>
      </c>
      <c r="AB20" s="98">
        <f>sum(Model!AA18,Model!AA438,Model!AA677,Model!AA902,Model!AA1129,Model!AA1354,Model!AA1579,0*Model!AA1804,Model!AA2030,Model!AA2253,Model!AA3539)</f>
        <v>3877.27667</v>
      </c>
      <c r="AC20" s="98">
        <f>sum(Model!AB18,Model!AB438,Model!AB677,Model!AB902,Model!AB1129,Model!AB1354,Model!AB1579,0*Model!AB1804,Model!AB2030,Model!AB2253,Model!AB3539)</f>
        <v>5600.17667</v>
      </c>
      <c r="AD20" s="98">
        <f>sum(Model!AC18,Model!AC438,Model!AC677,Model!AC902,Model!AC1129,Model!AC1354,Model!AC1579,0*Model!AC1804,Model!AC2030,Model!AC2253,Model!AC3539)</f>
        <v>4744.87667</v>
      </c>
      <c r="AE20" s="98">
        <f>sum(Model!AD18,Model!AD438,Model!AD677,Model!AD902,Model!AD1129,Model!AD1354,Model!AD1579,0*Model!AD1804,Model!AD2030,Model!AD2253,Model!AD3539)</f>
        <v>4107.87667</v>
      </c>
      <c r="AF20" s="98">
        <f>sum(Model!AE18,Model!AE438,Model!AE677,Model!AE902,Model!AE1129,Model!AE1354,Model!AE1579,0*Model!AE1804,Model!AE2030,Model!AE2253,Model!AE3539)</f>
        <v>2549.07667</v>
      </c>
      <c r="AG20" s="98">
        <f>sum(Model!AF18,Model!AF438,Model!AF677,Model!AF902,Model!AF1129,Model!AF1354,Model!AF1579,0*Model!AF1804,Model!AF2030,Model!AF2253,Model!AF3539)</f>
        <v>2470.57667</v>
      </c>
      <c r="AH20" s="98">
        <f>sum(Model!AG18,Model!AG438,Model!AG677,Model!AG902,Model!AG1129,Model!AG1354,Model!AG1579,0*Model!AG1804,Model!AG2030,Model!AG2253,Model!AG3539)</f>
        <v>3543.97667</v>
      </c>
      <c r="AI20" s="98">
        <f>sum(Model!AH18,Model!AH438,Model!AH677,Model!AH902,Model!AH1129,Model!AH1354,Model!AH1579,0*Model!AH1804,Model!AH2030,Model!AH2253,Model!AH3539)</f>
        <v>2365.829718</v>
      </c>
      <c r="AJ20" s="98">
        <f>sum(Model!AI18,Model!AI438,Model!AI677,Model!AI902,Model!AI1129,Model!AI1354,Model!AI1579,0*Model!AI1804,Model!AI2030,Model!AI2253,Model!AI3539)</f>
        <v>2505.829718</v>
      </c>
      <c r="AK20" s="98">
        <f>sum(Model!AJ18,Model!AJ438,Model!AJ677,Model!AJ902,Model!AJ1129,Model!AJ1354,Model!AJ1579,0*Model!AJ1804,Model!AJ2030,Model!AJ2253,Model!AJ3539)</f>
        <v>3388.870574</v>
      </c>
      <c r="AL20" s="98">
        <f>sum(Model!AK18,Model!AK438,Model!AK677,Model!AK902,Model!AK1129,Model!AK1354,Model!AK1579,0*Model!AK1804,Model!AK2030,Model!AK2253,Model!AK3539)</f>
        <v>2712.57667</v>
      </c>
      <c r="AM20" s="98">
        <f>sum(Model!AL18,Model!AL438,Model!AL677,Model!AL902,Model!AL1129,Model!AL1354,Model!AL1579,0*Model!AL1804,Model!AL2030,Model!AL2253,Model!AL3539)</f>
        <v>3472.029718</v>
      </c>
      <c r="AN20" s="98">
        <f>sum(Model!AM18,Model!AM438,Model!AM677,Model!AM902,Model!AM1129,Model!AM1354,Model!AM1579,0*Model!AM1804,Model!AM2030,Model!AM2253,Model!AM3539)</f>
        <v>8253.723622</v>
      </c>
      <c r="AO20" s="98">
        <f>sum(Model!AN18,Model!AN438,Model!AN677,Model!AN902,Model!AN1129,Model!AN1354,Model!AN1579,0*Model!AN1804,Model!AN2030,Model!AN2253,Model!AN3539)</f>
        <v>8438.029718</v>
      </c>
      <c r="AP20" s="98">
        <f>sum(Model!AO18,Model!AO438,Model!AO677,Model!AO902,Model!AO1129,Model!AO1354,Model!AO1579,0*Model!AO1804,Model!AO2030,Model!AO2253,Model!AO3539)</f>
        <v>9346.129718</v>
      </c>
      <c r="AQ20" s="98">
        <f>sum(Model!AP18,Model!AP438,Model!AP677,Model!AP902,Model!AP1129,Model!AP1354,Model!AP1579,0*Model!AP1804,Model!AP2030,Model!AP2253,Model!AP3539)</f>
        <v>14197.42972</v>
      </c>
      <c r="AR20" s="98">
        <f>sum(Model!AQ18,Model!AQ438,Model!AQ677,Model!AQ902,Model!AQ1129,Model!AQ1354,Model!AQ1579,0*Model!AQ1804,Model!AQ2030,Model!AQ2253,Model!AQ3539)</f>
        <v>5248.529718</v>
      </c>
      <c r="AS20" s="98">
        <f>sum(Model!AR18,Model!AR438,Model!AR677,Model!AR902,Model!AR1129,Model!AR1354,Model!AR1579,0*Model!AR1804,Model!AR2030,Model!AR2253,Model!AR3539)</f>
        <v>5697.429718</v>
      </c>
      <c r="AT20" s="98">
        <f>sum(Model!AS18,Model!AS438,Model!AS677,Model!AS902,Model!AS1129,Model!AS1354,Model!AS1579,0*Model!AS1804,Model!AS2030,Model!AS2253,Model!AS3539)</f>
        <v>4870.429718</v>
      </c>
      <c r="AU20" s="98">
        <f>sum(Model!AT18,Model!AT438,Model!AT677,Model!AT902,Model!AT1129,Model!AT1354,Model!AT1579,0*Model!AT1804,Model!AT2030,Model!AT2253,Model!AT3539)</f>
        <v>7155.929718</v>
      </c>
      <c r="AV20" s="98">
        <f>sum(Model!AU18,Model!AU438,Model!AU677,Model!AU902,Model!AU1129,Model!AU1354,Model!AU1579,0*Model!AU1804,Model!AU2030,Model!AU2253,Model!AU3539)</f>
        <v>5362.629718</v>
      </c>
      <c r="AW20" s="98">
        <f>sum(Model!AV18,Model!AV438,Model!AV677,Model!AV902,Model!AV1129,Model!AV1354,Model!AV1579,0*Model!AV1804,Model!AV2030,Model!AV2253,Model!AV3539)</f>
        <v>2365.829718</v>
      </c>
      <c r="AX20" s="98">
        <f>sum(Model!AW18,Model!AW438,Model!AW677,Model!AW902,Model!AW1129,Model!AW1354,Model!AW1579,0*Model!AW1804,Model!AW2030,Model!AW2253,Model!AW3539)</f>
        <v>6042.929718</v>
      </c>
      <c r="AY20" s="98">
        <f>sum(Model!AX18,Model!AX438,Model!AX677,Model!AX902,Model!AX1129,Model!AX1354,Model!AX1579,0*Model!AX1804,Model!AX2030,Model!AX2253,Model!AX3539)</f>
        <v>8618.29801</v>
      </c>
      <c r="AZ20" s="98">
        <f>sum(Model!AY18,Model!AY438,Model!AY677,Model!AY902,Model!AY1129,Model!AY1354,Model!AY1579,0*Model!AY1804,Model!AY2030,Model!AY2253,Model!AY3539)</f>
        <v>9448.69801</v>
      </c>
      <c r="BA20" s="98">
        <f>sum(Model!AZ18,Model!AZ438,Model!AZ677,Model!AZ902,Model!AZ1129,Model!AZ1354,Model!AZ1579,0*Model!AZ1804,Model!AZ2030,Model!AZ2253,Model!AZ3539)</f>
        <v>6778.144773</v>
      </c>
      <c r="BB20" s="98">
        <f>sum(Model!BA18,Model!BA438,Model!BA677,Model!BA902,Model!BA1129,Model!BA1354,Model!BA1579,0*Model!BA1804,Model!BA2030,Model!BA2253,Model!BA3539)</f>
        <v>4777.244773</v>
      </c>
      <c r="BC20" s="90"/>
      <c r="BD20" s="90"/>
      <c r="BE20" s="90"/>
      <c r="BF20" s="90"/>
      <c r="BG20" s="90"/>
      <c r="BH20" s="90"/>
      <c r="BI20" s="90"/>
      <c r="BJ20" s="90"/>
      <c r="BK20" s="90"/>
      <c r="BL20" s="90"/>
      <c r="BM20" s="90"/>
      <c r="BN20" s="90"/>
      <c r="BO20" s="90"/>
      <c r="BP20" s="90"/>
    </row>
    <row r="21">
      <c r="A21" s="87" t="s">
        <v>231</v>
      </c>
      <c r="B21" s="88" t="s">
        <v>230</v>
      </c>
      <c r="C21" s="88" t="s">
        <v>217</v>
      </c>
      <c r="D21" s="98">
        <f>Model!C2478</f>
        <v>0</v>
      </c>
      <c r="E21" s="98">
        <f>Model!D2478</f>
        <v>0</v>
      </c>
      <c r="F21" s="98">
        <f>Model!E2478</f>
        <v>0</v>
      </c>
      <c r="G21" s="98">
        <f>Model!F2478</f>
        <v>0</v>
      </c>
      <c r="H21" s="98">
        <f>Model!G2478</f>
        <v>0</v>
      </c>
      <c r="I21" s="98">
        <f>Model!H2478</f>
        <v>0</v>
      </c>
      <c r="J21" s="98">
        <f>Model!I2478</f>
        <v>0</v>
      </c>
      <c r="K21" s="98">
        <f>Model!J2478</f>
        <v>0</v>
      </c>
      <c r="L21" s="98">
        <f>Model!K2478</f>
        <v>0</v>
      </c>
      <c r="M21" s="98">
        <f>Model!L2478</f>
        <v>0</v>
      </c>
      <c r="N21" s="98">
        <f>Model!M2478</f>
        <v>0</v>
      </c>
      <c r="O21" s="98">
        <f>Model!N2478</f>
        <v>0</v>
      </c>
      <c r="P21" s="98">
        <f>Model!O2478</f>
        <v>0</v>
      </c>
      <c r="Q21" s="98">
        <f>Model!P2478</f>
        <v>0</v>
      </c>
      <c r="R21" s="98">
        <f>Model!Q2478</f>
        <v>0</v>
      </c>
      <c r="S21" s="98">
        <f>Model!R2478</f>
        <v>1</v>
      </c>
      <c r="T21" s="98">
        <f>Model!S2478</f>
        <v>0</v>
      </c>
      <c r="U21" s="98">
        <f>Model!T2478</f>
        <v>2</v>
      </c>
      <c r="V21" s="98">
        <f>Model!U2478</f>
        <v>4</v>
      </c>
      <c r="W21" s="98">
        <f>Model!V2478</f>
        <v>0</v>
      </c>
      <c r="X21" s="98">
        <f>Model!W2478</f>
        <v>0</v>
      </c>
      <c r="Y21" s="98">
        <f>Model!X2478</f>
        <v>440.9335817</v>
      </c>
      <c r="Z21" s="98">
        <f>Model!Y2478</f>
        <v>440.9335817</v>
      </c>
      <c r="AA21" s="98">
        <f>Model!Z2478</f>
        <v>440.9335817</v>
      </c>
      <c r="AB21" s="98">
        <f>Model!AA2478</f>
        <v>440.9335817</v>
      </c>
      <c r="AC21" s="98">
        <f>Model!AB2478</f>
        <v>440.9335817</v>
      </c>
      <c r="AD21" s="98">
        <f>Model!AC2478</f>
        <v>440.9335817</v>
      </c>
      <c r="AE21" s="98">
        <f>Model!AD2478</f>
        <v>440.9335817</v>
      </c>
      <c r="AF21" s="98">
        <f>Model!AE2478</f>
        <v>440.9335817</v>
      </c>
      <c r="AG21" s="98">
        <f>Model!AF2478</f>
        <v>440.9335817</v>
      </c>
      <c r="AH21" s="98">
        <f>Model!AG2478</f>
        <v>440.9335817</v>
      </c>
      <c r="AI21" s="98">
        <f>Model!AH2478</f>
        <v>440.9335817</v>
      </c>
      <c r="AJ21" s="98">
        <f>Model!AI2478</f>
        <v>441.9335817</v>
      </c>
      <c r="AK21" s="98">
        <f>Model!AJ2478</f>
        <v>440.9335817</v>
      </c>
      <c r="AL21" s="98">
        <f>Model!AK2478</f>
        <v>442.9335817</v>
      </c>
      <c r="AM21" s="98">
        <f>Model!AL2478</f>
        <v>444.9335817</v>
      </c>
      <c r="AN21" s="98">
        <f>Model!AM2478</f>
        <v>440.9335817</v>
      </c>
      <c r="AO21" s="98">
        <f>Model!AN2478</f>
        <v>440.9335817</v>
      </c>
      <c r="AP21" s="98">
        <f>Model!AO2478</f>
        <v>881.8671633</v>
      </c>
      <c r="AQ21" s="98">
        <f>Model!AP2478</f>
        <v>881.8671633</v>
      </c>
      <c r="AR21" s="98">
        <f>Model!AQ2478</f>
        <v>881.8671633</v>
      </c>
      <c r="AS21" s="98">
        <f>Model!AR2478</f>
        <v>881.8671633</v>
      </c>
      <c r="AT21" s="98">
        <f>Model!AS2478</f>
        <v>881.8671633</v>
      </c>
      <c r="AU21" s="98">
        <f>Model!AT2478</f>
        <v>881.8671633</v>
      </c>
      <c r="AV21" s="98">
        <f>Model!AU2478</f>
        <v>881.8671633</v>
      </c>
      <c r="AW21" s="98">
        <f>Model!AV2478</f>
        <v>881.8671633</v>
      </c>
      <c r="AX21" s="98">
        <f>Model!AW2478</f>
        <v>881.8671633</v>
      </c>
      <c r="AY21" s="98">
        <f>Model!AX2478</f>
        <v>881.8671633</v>
      </c>
      <c r="AZ21" s="98">
        <f>Model!AY2478</f>
        <v>881.8671633</v>
      </c>
      <c r="BA21" s="98">
        <f>Model!AZ2478</f>
        <v>882.8671633</v>
      </c>
      <c r="BB21" s="98">
        <f>Model!BA2478</f>
        <v>881.8671633</v>
      </c>
      <c r="BC21" s="90"/>
      <c r="BD21" s="90"/>
      <c r="BE21" s="90"/>
      <c r="BF21" s="90"/>
      <c r="BG21" s="90"/>
      <c r="BH21" s="90"/>
      <c r="BI21" s="90"/>
      <c r="BJ21" s="90"/>
      <c r="BK21" s="90"/>
      <c r="BL21" s="90"/>
      <c r="BM21" s="90"/>
      <c r="BN21" s="90"/>
      <c r="BO21" s="90"/>
      <c r="BP21" s="90"/>
    </row>
    <row r="22">
      <c r="A22" s="79" t="s">
        <v>232</v>
      </c>
      <c r="B22" s="93" t="s">
        <v>227</v>
      </c>
      <c r="C22" s="93" t="s">
        <v>233</v>
      </c>
      <c r="D22" s="96">
        <f>sum(Model!C20,Model!C441,Model!C679,Model!C904,Model!C1131,Model!C1356,Model!C1581,0*Model!C1806,Model!C2032,Model!C2255,Model!C2480,Model!C3541)*'Inflation GDP Population'!$S$11/'Inflation GDP Population'!B$11</f>
        <v>12.05653886</v>
      </c>
      <c r="E22" s="96">
        <f>sum(Model!D20,Model!D441,Model!D679,Model!D904,Model!D1131,Model!D1356,Model!D1581,0*Model!D1806,Model!D2032,Model!D2255,Model!D2480,Model!D3541)*'Inflation GDP Population'!$S$11/'Inflation GDP Population'!C$11</f>
        <v>9.050732555</v>
      </c>
      <c r="F22" s="96">
        <f>sum(Model!E20,Model!E441,Model!E679,Model!E904,Model!E1131,Model!E1356,Model!E1581,0*Model!E1806,Model!E2032,Model!E2255,Model!E2480,Model!E3541)*'Inflation GDP Population'!$S$11/'Inflation GDP Population'!D$11</f>
        <v>6.642037659</v>
      </c>
      <c r="G22" s="96">
        <f>sum(Model!F20,Model!F441,Model!F679,Model!F904,Model!F1131,Model!F1356,Model!F1581,0*Model!F1806,Model!F2032,Model!F2255,Model!F2480,Model!F3541)*'Inflation GDP Population'!$S$11/'Inflation GDP Population'!E$11</f>
        <v>3.19807111</v>
      </c>
      <c r="H22" s="96">
        <f>sum(Model!G20,Model!G441,Model!G679,Model!G904,Model!G1131,Model!G1356,Model!G1581,0*Model!G1806,Model!G2032,Model!G2255,Model!G2480,Model!G3541)*'Inflation GDP Population'!$S$11/'Inflation GDP Population'!F$11</f>
        <v>2.201457164</v>
      </c>
      <c r="I22" s="96">
        <f>sum(Model!H20,Model!H441,Model!H679,Model!H904,Model!H1131,Model!H1356,Model!H1581,0*Model!H1806,Model!H2032,Model!H2255,Model!H2480,Model!H3541)*'Inflation GDP Population'!$S$11/'Inflation GDP Population'!G$11</f>
        <v>1.862411827</v>
      </c>
      <c r="J22" s="96">
        <f>sum(Model!I20,Model!I441,Model!I679,Model!I904,Model!I1131,Model!I1356,Model!I1581,0*Model!I1806,Model!I2032,Model!I2255,Model!I2480,Model!I3541)*'Inflation GDP Population'!$S$11/'Inflation GDP Population'!H$11</f>
        <v>2.107916463</v>
      </c>
      <c r="K22" s="96">
        <f>sum(Model!J20,Model!J441,Model!J679,Model!J904,Model!J1131,Model!J1356,Model!J1581,0*Model!J1806,Model!J2032,Model!J2255,Model!J2480,Model!J3541)*'Inflation GDP Population'!$S$11/'Inflation GDP Population'!I$11</f>
        <v>2.270842068</v>
      </c>
      <c r="L22" s="96">
        <f>sum(Model!K20,Model!K441,Model!K679,Model!K904,Model!K1131,Model!K1356,Model!K1581,0*Model!K1806,Model!K2032,Model!K2255,Model!K2480,Model!K3541)*'Inflation GDP Population'!$S$11/'Inflation GDP Population'!J$11</f>
        <v>2.380322543</v>
      </c>
      <c r="M22" s="96">
        <f>sum(Model!L20,Model!L441,Model!L679,Model!L904,Model!L1131,Model!L1356,Model!L1581,0*Model!L1806,Model!L2032,Model!L2255,Model!L2480,Model!L3541)*'Inflation GDP Population'!$S$11/'Inflation GDP Population'!K$11</f>
        <v>4.276706388</v>
      </c>
      <c r="N22" s="96">
        <f>sum(Model!M20,Model!M441,Model!M679,Model!M904,Model!M1131,Model!M1356,Model!M1581,0*Model!M1806,Model!M2032,Model!M2255,Model!M2480,Model!M3541)*'Inflation GDP Population'!$S$11/'Inflation GDP Population'!L$11</f>
        <v>5.679998484</v>
      </c>
      <c r="O22" s="96">
        <f>sum(Model!N20,Model!N441,Model!N679,Model!N904,Model!N1131,Model!N1356,Model!N1581,0*Model!N1806,Model!N2032,Model!N2255,Model!N2480,Model!N3541)*'Inflation GDP Population'!$S$11/'Inflation GDP Population'!M$11</f>
        <v>5.644890753</v>
      </c>
      <c r="P22" s="96">
        <f>sum(Model!O20,Model!O441,Model!O679,Model!O904,Model!O1131,Model!O1356,Model!O1581,0*Model!O1806,Model!O2032,Model!O2255,Model!O2480,Model!O3541)*'Inflation GDP Population'!$S$11/'Inflation GDP Population'!N$11</f>
        <v>3.934523378</v>
      </c>
      <c r="Q22" s="96">
        <f>sum(Model!P20,Model!P441,Model!P679,Model!P904,Model!P1131,Model!P1356,Model!P1581,0*Model!P1806,Model!P2032,Model!P2255,Model!P2480,Model!P3541)*'Inflation GDP Population'!$S$11/'Inflation GDP Population'!O$11</f>
        <v>3.953835521</v>
      </c>
      <c r="R22" s="96">
        <f>sum(Model!Q20,Model!Q441,Model!Q679,Model!Q904,Model!Q1131,Model!Q1356,Model!Q1581,0*Model!Q1806,Model!Q2032,Model!Q2255,Model!Q2480,Model!Q3541)*'Inflation GDP Population'!$S$11/'Inflation GDP Population'!P$11</f>
        <v>6.592176902</v>
      </c>
      <c r="S22" s="96">
        <f>sum(Model!R20,Model!R441,Model!R679,Model!R904,Model!R1131,Model!R1356,Model!R1581,0*Model!R1806,Model!R2032,Model!R2255,Model!R2480,Model!R3541)*'Inflation GDP Population'!$S$11/'Inflation GDP Population'!Q$11</f>
        <v>14.68530792</v>
      </c>
      <c r="T22" s="96">
        <f>sum(Model!S20,Model!S441,Model!S679,Model!S904,Model!S1131,Model!S1356,Model!S1581,0*Model!S1806,Model!S2032,Model!S2255,Model!S2480,Model!S3541)*'Inflation GDP Population'!$S$11/'Inflation GDP Population'!R$11</f>
        <v>12.49105361</v>
      </c>
      <c r="U22" s="96">
        <f>sum(Model!T20,Model!T441,Model!T679,Model!T904,Model!T1131,Model!T1356,Model!T1581,0*Model!T1806,Model!T2032,Model!T2255,Model!T2480,Model!T3541)*'Inflation GDP Population'!$S$11/'Inflation GDP Population'!S$11</f>
        <v>10.98365233</v>
      </c>
      <c r="V22" s="96">
        <f>sum(Model!U20,Model!U441,Model!U679,Model!U904,Model!U1131,Model!U1356,Model!U1581,0*Model!U1806,Model!U2032,Model!U2255,Model!U2480,Model!U3541)*'Inflation GDP Population'!$S$11/'Inflation GDP Population'!T$11</f>
        <v>10.08030004</v>
      </c>
      <c r="W22" s="97">
        <f>sum(Model!V20,Model!V441,Model!V679,Model!V904,Model!V1131,Model!V1356,Model!V1581,0*Model!V1806,Model!V2032,Model!V2255,Model!V2480,Model!V3541)*'Inflation GDP Population'!$S$18/'Inflation GDP Population'!U$18</f>
        <v>12.7196434</v>
      </c>
      <c r="X22" s="97">
        <f>sum(Model!W20,Model!W441,Model!W679,Model!W904,Model!W1131,Model!W1356,Model!W1581,0*Model!W1806,Model!W2032,Model!W2255,Model!W2480,Model!W3541)*'Inflation GDP Population'!$S$18/'Inflation GDP Population'!V$18</f>
        <v>22.61519726</v>
      </c>
      <c r="Y22" s="97">
        <f>sum(Model!X20,Model!X441,Model!X679,Model!X904,Model!X1131,Model!X1356,Model!X1581,0*Model!X1806,Model!X2032,Model!X2255,Model!X2480,Model!X3541)*'Inflation GDP Population'!$S$18/'Inflation GDP Population'!W$18</f>
        <v>15.0098686</v>
      </c>
      <c r="Z22" s="97">
        <f>sum(Model!Y20,Model!Y441,Model!Y679,Model!Y904,Model!Y1131,Model!Y1356,Model!Y1581,0*Model!Y1806,Model!Y2032,Model!Y2255,Model!Y2480,Model!Y3541)*'Inflation GDP Population'!$S$18/'Inflation GDP Population'!X$18</f>
        <v>14.48104836</v>
      </c>
      <c r="AA22" s="97">
        <f>sum(Model!Z20,Model!Z441,Model!Z679,Model!Z904,Model!Z1131,Model!Z1356,Model!Z1581,0*Model!Z1806,Model!Z2032,Model!Z2255,Model!Z2480,Model!Z3541)*'Inflation GDP Population'!$S$18/'Inflation GDP Population'!Y$18</f>
        <v>13.057711</v>
      </c>
      <c r="AB22" s="97">
        <f>sum(Model!AA20,Model!AA441,Model!AA679,Model!AA904,Model!AA1131,Model!AA1356,Model!AA1581,0*Model!AA1806,Model!AA2032,Model!AA2255,Model!AA2480,Model!AA3541)*'Inflation GDP Population'!$S$18/'Inflation GDP Population'!Z$18</f>
        <v>12.39773164</v>
      </c>
      <c r="AC22" s="97">
        <f>sum(Model!AB20,Model!AB441,Model!AB679,Model!AB904,Model!AB1131,Model!AB1356,Model!AB1581,0*Model!AB1806,Model!AB2032,Model!AB2255,Model!AB2480,Model!AB3541)*'Inflation GDP Population'!$S$18/'Inflation GDP Population'!AA$18</f>
        <v>9.013238286</v>
      </c>
      <c r="AD22" s="97">
        <f>sum(Model!AC20,Model!AC441,Model!AC679,Model!AC904,Model!AC1131,Model!AC1356,Model!AC1581,0*Model!AC1806,Model!AC2032,Model!AC2255,Model!AC2480,Model!AC3541)*'Inflation GDP Population'!$S$18/'Inflation GDP Population'!AB$18</f>
        <v>6.88333628</v>
      </c>
      <c r="AE22" s="97">
        <f>sum(Model!AD20,Model!AD441,Model!AD679,Model!AD904,Model!AD1131,Model!AD1356,Model!AD1581,0*Model!AD1806,Model!AD2032,Model!AD2255,Model!AD2480,Model!AD3541)*'Inflation GDP Population'!$S$18/'Inflation GDP Population'!AC$18</f>
        <v>6.207092343</v>
      </c>
      <c r="AF22" s="97">
        <f>sum(Model!AE20,Model!AE441,Model!AE679,Model!AE904,Model!AE1131,Model!AE1356,Model!AE1581,0*Model!AE1806,Model!AE2032,Model!AE2255,Model!AE2480,Model!AE3541)*'Inflation GDP Population'!$S$18/'Inflation GDP Population'!AD$18</f>
        <v>6.025797125</v>
      </c>
      <c r="AG22" s="97">
        <f>sum(Model!AF20,Model!AF441,Model!AF679,Model!AF904,Model!AF1131,Model!AF1356,Model!AF1581,0*Model!AF1806,Model!AF2032,Model!AF2255,Model!AF2480,Model!AF3541)*'Inflation GDP Population'!$S$18/'Inflation GDP Population'!AE$18</f>
        <v>6.819140972</v>
      </c>
      <c r="AH22" s="97">
        <f>sum(Model!AG20,Model!AG441,Model!AG679,Model!AG904,Model!AG1131,Model!AG1356,Model!AG1581,0*Model!AG1806,Model!AG2032,Model!AG2255,Model!AG2480,Model!AG3541)*'Inflation GDP Population'!$S$18/'Inflation GDP Population'!AF$18</f>
        <v>9.585465697</v>
      </c>
      <c r="AI22" s="97">
        <f>sum(Model!AH20,Model!AH441,Model!AH679,Model!AH904,Model!AH1131,Model!AH1356,Model!AH1581,0*Model!AH1806,Model!AH2032,Model!AH2255,Model!AH2480,Model!AH3541)*'Inflation GDP Population'!$S$18/'Inflation GDP Population'!AG$18</f>
        <v>12.86587991</v>
      </c>
      <c r="AJ22" s="97">
        <f>sum(Model!AI20,Model!AI441,Model!AI679,Model!AI904,Model!AI1131,Model!AI1356,Model!AI1581,0*Model!AI1806,Model!AI2032,Model!AI2255,Model!AI2480,Model!AI3541)*'Inflation GDP Population'!$S$18/'Inflation GDP Population'!AH$18</f>
        <v>12.79512052</v>
      </c>
      <c r="AK22" s="97">
        <f>sum(Model!AJ20,Model!AJ441,Model!AJ679,Model!AJ904,Model!AJ1131,Model!AJ1356,Model!AJ1581,0*Model!AJ1806,Model!AJ2032,Model!AJ2255,Model!AJ2480,Model!AJ3541)*'Inflation GDP Population'!$S$18/'Inflation GDP Population'!AI$18</f>
        <v>15.86671958</v>
      </c>
      <c r="AL22" s="97">
        <f>sum(Model!AK20,Model!AK441,Model!AK679,Model!AK904,Model!AK1131,Model!AK1356,Model!AK1581,0*Model!AK1806,Model!AK2032,Model!AK2255,Model!AK2480,Model!AK3541)*'Inflation GDP Population'!$S$18/'Inflation GDP Population'!AJ$18</f>
        <v>16.64479372</v>
      </c>
      <c r="AM22" s="97">
        <f>sum(Model!AL20,Model!AL441,Model!AL679,Model!AL904,Model!AL1131,Model!AL1356,Model!AL1581,0*Model!AL1806,Model!AL2032,Model!AL2255,Model!AL2480,Model!AL3541)*'Inflation GDP Population'!$S$18/'Inflation GDP Population'!AK$18</f>
        <v>18.84540257</v>
      </c>
      <c r="AN22" s="97">
        <f>sum(Model!AM20,Model!AM441,Model!AM679,Model!AM904,Model!AM1131,Model!AM1356,Model!AM1581,0*Model!AM1806,Model!AM2032,Model!AM2255,Model!AM2480,Model!AM3541)*'Inflation GDP Population'!$S$18/'Inflation GDP Population'!AL$18</f>
        <v>17.29976141</v>
      </c>
      <c r="AO22" s="97">
        <f>sum(Model!AN20,Model!AN441,Model!AN679,Model!AN904,Model!AN1131,Model!AN1356,Model!AN1581,0*Model!AN1806,Model!AN2032,Model!AN2255,Model!AN2480,Model!AN3541)*'Inflation GDP Population'!$S$18/'Inflation GDP Population'!AM$18</f>
        <v>18.41654419</v>
      </c>
      <c r="AP22" s="97">
        <f>sum(Model!AO20,Model!AO441,Model!AO679,Model!AO904,Model!AO1131,Model!AO1356,Model!AO1581,0*Model!AO1806,Model!AO2032,Model!AO2255,Model!AO2480,Model!AO3541)*'Inflation GDP Population'!$S$18/'Inflation GDP Population'!AN$18</f>
        <v>17.79907193</v>
      </c>
      <c r="AQ22" s="97">
        <f>sum(Model!AP20,Model!AP441,Model!AP679,Model!AP904,Model!AP1131,Model!AP1356,Model!AP1581,0*Model!AP1806,Model!AP2032,Model!AP2255,Model!AP2480,Model!AP3541)*'Inflation GDP Population'!$S$18/'Inflation GDP Population'!AO$18</f>
        <v>11.95772247</v>
      </c>
      <c r="AR22" s="97">
        <f>sum(Model!AQ20,Model!AQ441,Model!AQ679,Model!AQ904,Model!AQ1131,Model!AQ1356,Model!AQ1581,0*Model!AQ1806,Model!AQ2032,Model!AQ2255,Model!AQ2480,Model!AQ3541)*'Inflation GDP Population'!$S$18/'Inflation GDP Population'!AP$18</f>
        <v>13.8031632</v>
      </c>
      <c r="AS22" s="97">
        <f>sum(Model!AR20,Model!AR441,Model!AR679,Model!AR904,Model!AR1131,Model!AR1356,Model!AR1581,0*Model!AR1806,Model!AR2032,Model!AR2255,Model!AR2480,Model!AR3541)*'Inflation GDP Population'!$S$18/'Inflation GDP Population'!AQ$18</f>
        <v>15.68364505</v>
      </c>
      <c r="AT22" s="97">
        <f>sum(Model!AS20,Model!AS441,Model!AS679,Model!AS904,Model!AS1131,Model!AS1356,Model!AS1581,0*Model!AS1806,Model!AS2032,Model!AS2255,Model!AS2480,Model!AS3541)*'Inflation GDP Population'!$S$18/'Inflation GDP Population'!AR$18</f>
        <v>16.44258947</v>
      </c>
      <c r="AU22" s="97">
        <f>sum(Model!AT20,Model!AT441,Model!AT679,Model!AT904,Model!AT1131,Model!AT1356,Model!AT1581,0*Model!AT1806,Model!AT2032,Model!AT2255,Model!AT2480,Model!AT3541)*'Inflation GDP Population'!$S$18/'Inflation GDP Population'!AS$18</f>
        <v>15.17778128</v>
      </c>
      <c r="AV22" s="97">
        <f>sum(Model!AU20,Model!AU441,Model!AU679,Model!AU904,Model!AU1131,Model!AU1356,Model!AU1581,0*Model!AU1806,Model!AU2032,Model!AU2255,Model!AU2480,Model!AU3541)*'Inflation GDP Population'!$S$18/'Inflation GDP Population'!AT$18</f>
        <v>13.62234671</v>
      </c>
      <c r="AW22" s="97">
        <f>sum(Model!AV20,Model!AV441,Model!AV679,Model!AV904,Model!AV1131,Model!AV1356,Model!AV1581,0*Model!AV1806,Model!AV2032,Model!AV2255,Model!AV2480,Model!AV3541)*'Inflation GDP Population'!$S$18/'Inflation GDP Population'!AU$18</f>
        <v>15.00498646</v>
      </c>
      <c r="AX22" s="97">
        <f>sum(Model!AW20,Model!AW441,Model!AW679,Model!AW904,Model!AW1131,Model!AW1356,Model!AW1581,0*Model!AW1806,Model!AW2032,Model!AW2255,Model!AW2480,Model!AW3541)*'Inflation GDP Population'!$S$18/'Inflation GDP Population'!AV$18</f>
        <v>13.36511051</v>
      </c>
      <c r="AY22" s="97">
        <f>sum(Model!AX20,Model!AX441,Model!AX679,Model!AX904,Model!AX1131,Model!AX1356,Model!AX1581,0*Model!AX1806,Model!AX2032,Model!AX2255,Model!AX2480,Model!AX3541)*'Inflation GDP Population'!$S$18/'Inflation GDP Population'!AW$18</f>
        <v>11.60500514</v>
      </c>
      <c r="AZ22" s="97">
        <f>sum(Model!AY20,Model!AY441,Model!AY679,Model!AY904,Model!AY1131,Model!AY1356,Model!AY1581,0*Model!AY1806,Model!AY2032,Model!AY2255,Model!AY2480,Model!AY3541)*'Inflation GDP Population'!$S$18/'Inflation GDP Population'!AX$18</f>
        <v>8.558607451</v>
      </c>
      <c r="BA22" s="97">
        <f>sum(Model!AZ20,Model!AZ441,Model!AZ679,Model!AZ904,Model!AZ1131,Model!AZ1356,Model!AZ1581,0*Model!AZ1806,Model!AZ2032,Model!AZ2255,Model!AZ2480,Model!AZ3541)*'Inflation GDP Population'!$S$18/'Inflation GDP Population'!AY$18</f>
        <v>3.817322567</v>
      </c>
      <c r="BB22" s="97">
        <f>sum(Model!BA20,Model!BA441,Model!BA679,Model!BA904,Model!BA1131,Model!BA1356,Model!BA1581,0*Model!BA1806,Model!BA2032,Model!BA2255,Model!BA2480,Model!BA3541)*'Inflation GDP Population'!$S$18/'Inflation GDP Population'!AZ$18</f>
        <v>0</v>
      </c>
      <c r="BC22" s="99"/>
      <c r="BD22" s="95"/>
      <c r="BE22" s="95"/>
      <c r="BF22" s="95"/>
      <c r="BG22" s="95"/>
      <c r="BH22" s="95"/>
      <c r="BI22" s="95"/>
      <c r="BJ22" s="95"/>
      <c r="BK22" s="95"/>
      <c r="BL22" s="95"/>
      <c r="BM22" s="95"/>
      <c r="BN22" s="95"/>
      <c r="BO22" s="95"/>
      <c r="BP22" s="95"/>
    </row>
    <row r="23" ht="15.75" customHeight="1">
      <c r="A23" s="100" t="s">
        <v>234</v>
      </c>
      <c r="B23" s="91" t="s">
        <v>235</v>
      </c>
      <c r="C23" s="91" t="s">
        <v>223</v>
      </c>
      <c r="D23" s="89">
        <f>0*sum(Model!C245,Model!C653,Model!C891,Model!C1116,Model!C1343,Model!C1568,Model!C1793,Model!C2018,Model!C2244,Model!C2468,Model!C2692,Model!C3760)</f>
        <v>0</v>
      </c>
      <c r="E23" s="89">
        <f>0*sum(Model!D245,Model!D653,Model!D891,Model!D1116,Model!D1343,Model!D1568,Model!D1793,Model!D2018,Model!D2244,Model!D2468,Model!D2692,Model!D3760)</f>
        <v>0</v>
      </c>
      <c r="F23" s="89">
        <f>0*sum(Model!E245,Model!E653,Model!E891,Model!E1116,Model!E1343,Model!E1568,Model!E1793,Model!E2018,Model!E2244,Model!E2468,Model!E2692,Model!E3760)</f>
        <v>0</v>
      </c>
      <c r="G23" s="89">
        <f>0*sum(Model!F245,Model!F653,Model!F891,Model!F1116,Model!F1343,Model!F1568,Model!F1793,Model!F2018,Model!F2244,Model!F2468,Model!F2692,Model!F3760)</f>
        <v>0</v>
      </c>
      <c r="H23" s="89">
        <f>0*sum(Model!G245,Model!G653,Model!G891,Model!G1116,Model!G1343,Model!G1568,Model!G1793,Model!G2018,Model!G2244,Model!G2468,Model!G2692,Model!G3760)</f>
        <v>0</v>
      </c>
      <c r="I23" s="89">
        <f>0*sum(Model!H245,Model!H653,Model!H891,Model!H1116,Model!H1343,Model!H1568,Model!H1793,Model!H2018,Model!H2244,Model!H2468,Model!H2692,Model!H3760)</f>
        <v>0</v>
      </c>
      <c r="J23" s="89">
        <f>0*sum(Model!I245,Model!I653,Model!I891,Model!I1116,Model!I1343,Model!I1568,Model!I1793,Model!I2018,Model!I2244,Model!I2468,Model!I2692,Model!I3760)</f>
        <v>0</v>
      </c>
      <c r="K23" s="89">
        <f>0*sum(Model!J245,Model!J653,Model!J891,Model!J1116,Model!J1343,Model!J1568,Model!J1793,Model!J2018,Model!J2244,Model!J2468,Model!J2692,Model!J3760)</f>
        <v>0</v>
      </c>
      <c r="L23" s="89">
        <f>0*sum(Model!K245,Model!K653,Model!K891,Model!K1116,Model!K1343,Model!K1568,Model!K1793,Model!K2018,Model!K2244,Model!K2468,Model!K2692,Model!K3760)</f>
        <v>0</v>
      </c>
      <c r="M23" s="89">
        <f>0*sum(Model!L245,Model!L653,Model!L891,Model!L1116,Model!L1343,Model!L1568,Model!L1793,Model!L2018,Model!L2244,Model!L2468,Model!L2692,Model!L3760)</f>
        <v>0</v>
      </c>
      <c r="N23" s="89">
        <f>0*sum(Model!M245,Model!M653,Model!M891,Model!M1116,Model!M1343,Model!M1568,Model!M1793,Model!M2018,Model!M2244,Model!M2468,Model!M2692,Model!M3760)</f>
        <v>0</v>
      </c>
      <c r="O23" s="89">
        <f>0*sum(Model!N245,Model!N653,Model!N891,Model!N1116,Model!N1343,Model!N1568,Model!N1793,Model!N2018,Model!N2244,Model!N2468,Model!N2692,Model!N3760)</f>
        <v>0</v>
      </c>
      <c r="P23" s="89">
        <f>0*sum(Model!O245,Model!O653,Model!O891,Model!O1116,Model!O1343,Model!O1568,Model!O1793,Model!O2018,Model!O2244,Model!O2468,Model!O2692,Model!O3760)</f>
        <v>0</v>
      </c>
      <c r="Q23" s="89">
        <f>0*sum(Model!P245,Model!P653,Model!P891,Model!P1116,Model!P1343,Model!P1568,Model!P1793,Model!P2018,Model!P2244,Model!P2468,Model!P2692,Model!P3760)</f>
        <v>0</v>
      </c>
      <c r="R23" s="89">
        <f>0*sum(Model!Q245,Model!Q653,Model!Q891,Model!Q1116,Model!Q1343,Model!Q1568,Model!Q1793,Model!Q2018,Model!Q2244,Model!Q2468,Model!Q2692,Model!Q3760)</f>
        <v>0</v>
      </c>
      <c r="S23" s="89">
        <f>0*sum(Model!R245,Model!R653,Model!R891,Model!R1116,Model!R1343,Model!R1568,Model!R1793,Model!R2018,Model!R2244,Model!R2468,Model!R2692,Model!R3760)</f>
        <v>0</v>
      </c>
      <c r="T23" s="89">
        <f>0*sum(Model!S245,Model!S653,Model!S891,Model!S1116,Model!S1343,Model!S1568,Model!S1793,Model!S2018,Model!S2244,Model!S2468,Model!S2692,Model!S3760)</f>
        <v>0</v>
      </c>
      <c r="U23" s="89">
        <f>0*sum(Model!T245,Model!T653,Model!T891,Model!T1116,Model!T1343,Model!T1568,Model!T1793,Model!T2018,Model!T2244,Model!T2468,Model!T2692,Model!T3760)</f>
        <v>0</v>
      </c>
      <c r="V23" s="89">
        <f>0*sum(Model!U245,Model!U653,Model!U891,Model!U1116,Model!U1343,Model!U1568,Model!U1793,Model!U2018,Model!U2244,Model!U2468,Model!U2692,Model!U3760)</f>
        <v>0</v>
      </c>
      <c r="W23" s="89">
        <f>0*sum(Model!V245,Model!V653,Model!V891,Model!V1116,Model!V1343,Model!V1568,Model!V1793,Model!V2018,Model!V2244,Model!V2468,Model!V2692,Model!V3760)</f>
        <v>0</v>
      </c>
      <c r="X23" s="89">
        <f>0*sum(Model!W245,Model!W653,Model!W891,Model!W1116,Model!W1343,Model!W1568,Model!W1793,Model!W2018,Model!W2244,Model!W2468,Model!W2692,Model!W3760)</f>
        <v>0</v>
      </c>
      <c r="Y23" s="89">
        <f>0*sum(Model!X245,Model!X653,Model!X891,Model!X1116,Model!X1343,Model!X1568,Model!X1793,Model!X2018,Model!X2244,Model!X2468,Model!X2692,Model!X3760)</f>
        <v>0</v>
      </c>
      <c r="Z23" s="89">
        <f>0*sum(Model!Y245,Model!Y653,Model!Y891,Model!Y1116,Model!Y1343,Model!Y1568,Model!Y1793,Model!Y2018,Model!Y2244,Model!Y2468,Model!Y2692,Model!Y3760)</f>
        <v>0</v>
      </c>
      <c r="AA23" s="89">
        <f>0*sum(Model!Z245,Model!Z653,Model!Z891,Model!Z1116,Model!Z1343,Model!Z1568,Model!Z1793,Model!Z2018,Model!Z2244,Model!Z2468,Model!Z2692,Model!Z3760)</f>
        <v>0</v>
      </c>
      <c r="AB23" s="89">
        <f>0*sum(Model!AA245,Model!AA653,Model!AA891,Model!AA1116,Model!AA1343,Model!AA1568,Model!AA1793,Model!AA2018,Model!AA2244,Model!AA2468,Model!AA2692,Model!AA3760)</f>
        <v>0</v>
      </c>
      <c r="AC23" s="89">
        <f>0*sum(Model!AB245,Model!AB653,Model!AB891,Model!AB1116,Model!AB1343,Model!AB1568,Model!AB1793,Model!AB2018,Model!AB2244,Model!AB2468,Model!AB2692,Model!AB3760)</f>
        <v>0</v>
      </c>
      <c r="AD23" s="89">
        <f>0*sum(Model!AC245,Model!AC653,Model!AC891,Model!AC1116,Model!AC1343,Model!AC1568,Model!AC1793,Model!AC2018,Model!AC2244,Model!AC2468,Model!AC2692,Model!AC3760)</f>
        <v>0</v>
      </c>
      <c r="AE23" s="89">
        <f>0*sum(Model!AD245,Model!AD653,Model!AD891,Model!AD1116,Model!AD1343,Model!AD1568,Model!AD1793,Model!AD2018,Model!AD2244,Model!AD2468,Model!AD2692,Model!AD3760)</f>
        <v>0</v>
      </c>
      <c r="AF23" s="89">
        <f>0*sum(Model!AE245,Model!AE653,Model!AE891,Model!AE1116,Model!AE1343,Model!AE1568,Model!AE1793,Model!AE2018,Model!AE2244,Model!AE2468,Model!AE2692,Model!AE3760)</f>
        <v>0</v>
      </c>
      <c r="AG23" s="89">
        <f>0*sum(Model!AF245,Model!AF653,Model!AF891,Model!AF1116,Model!AF1343,Model!AF1568,Model!AF1793,Model!AF2018,Model!AF2244,Model!AF2468,Model!AF2692,Model!AF3760)</f>
        <v>0</v>
      </c>
      <c r="AH23" s="89">
        <f>0*sum(Model!AG245,Model!AG653,Model!AG891,Model!AG1116,Model!AG1343,Model!AG1568,Model!AG1793,Model!AG2018,Model!AG2244,Model!AG2468,Model!AG2692,Model!AG3760)</f>
        <v>0</v>
      </c>
      <c r="AI23" s="89">
        <f>0*sum(Model!AH245,Model!AH653,Model!AH891,Model!AH1116,Model!AH1343,Model!AH1568,Model!AH1793,Model!AH2018,Model!AH2244,Model!AH2468,Model!AH2692,Model!AH3760)</f>
        <v>0</v>
      </c>
      <c r="AJ23" s="89">
        <f>0*sum(Model!AI245,Model!AI653,Model!AI891,Model!AI1116,Model!AI1343,Model!AI1568,Model!AI1793,Model!AI2018,Model!AI2244,Model!AI2468,Model!AI2692,Model!AI3760)</f>
        <v>0</v>
      </c>
      <c r="AK23" s="89">
        <f>0*sum(Model!AJ245,Model!AJ653,Model!AJ891,Model!AJ1116,Model!AJ1343,Model!AJ1568,Model!AJ1793,Model!AJ2018,Model!AJ2244,Model!AJ2468,Model!AJ2692,Model!AJ3760)</f>
        <v>0</v>
      </c>
      <c r="AL23" s="89">
        <f>0*sum(Model!AK245,Model!AK653,Model!AK891,Model!AK1116,Model!AK1343,Model!AK1568,Model!AK1793,Model!AK2018,Model!AK2244,Model!AK2468,Model!AK2692,Model!AK3760)</f>
        <v>0</v>
      </c>
      <c r="AM23" s="89">
        <f>0*sum(Model!AL245,Model!AL653,Model!AL891,Model!AL1116,Model!AL1343,Model!AL1568,Model!AL1793,Model!AL2018,Model!AL2244,Model!AL2468,Model!AL2692,Model!AL3760)</f>
        <v>0</v>
      </c>
      <c r="AN23" s="89">
        <f>0*sum(Model!AM245,Model!AM653,Model!AM891,Model!AM1116,Model!AM1343,Model!AM1568,Model!AM1793,Model!AM2018,Model!AM2244,Model!AM2468,Model!AM2692,Model!AM3760)</f>
        <v>0</v>
      </c>
      <c r="AO23" s="89">
        <f>0*sum(Model!AN245,Model!AN653,Model!AN891,Model!AN1116,Model!AN1343,Model!AN1568,Model!AN1793,Model!AN2018,Model!AN2244,Model!AN2468,Model!AN2692,Model!AN3760)</f>
        <v>0</v>
      </c>
      <c r="AP23" s="89">
        <f>0*sum(Model!AO245,Model!AO653,Model!AO891,Model!AO1116,Model!AO1343,Model!AO1568,Model!AO1793,Model!AO2018,Model!AO2244,Model!AO2468,Model!AO2692,Model!AO3760)</f>
        <v>0</v>
      </c>
      <c r="AQ23" s="89">
        <f>0*sum(Model!AP245,Model!AP653,Model!AP891,Model!AP1116,Model!AP1343,Model!AP1568,Model!AP1793,Model!AP2018,Model!AP2244,Model!AP2468,Model!AP2692,Model!AP3760)</f>
        <v>0</v>
      </c>
      <c r="AR23" s="89">
        <f>0*sum(Model!AQ245,Model!AQ653,Model!AQ891,Model!AQ1116,Model!AQ1343,Model!AQ1568,Model!AQ1793,Model!AQ2018,Model!AQ2244,Model!AQ2468,Model!AQ2692,Model!AQ3760)</f>
        <v>0</v>
      </c>
      <c r="AS23" s="89">
        <f>0*sum(Model!AR245,Model!AR653,Model!AR891,Model!AR1116,Model!AR1343,Model!AR1568,Model!AR1793,Model!AR2018,Model!AR2244,Model!AR2468,Model!AR2692,Model!AR3760)</f>
        <v>0</v>
      </c>
      <c r="AT23" s="89">
        <f>0*sum(Model!AS245,Model!AS653,Model!AS891,Model!AS1116,Model!AS1343,Model!AS1568,Model!AS1793,Model!AS2018,Model!AS2244,Model!AS2468,Model!AS2692,Model!AS3760)</f>
        <v>0</v>
      </c>
      <c r="AU23" s="89">
        <f>0*sum(Model!AT245,Model!AT653,Model!AT891,Model!AT1116,Model!AT1343,Model!AT1568,Model!AT1793,Model!AT2018,Model!AT2244,Model!AT2468,Model!AT2692,Model!AT3760)</f>
        <v>0</v>
      </c>
      <c r="AV23" s="89">
        <f>0*sum(Model!AU245,Model!AU653,Model!AU891,Model!AU1116,Model!AU1343,Model!AU1568,Model!AU1793,Model!AU2018,Model!AU2244,Model!AU2468,Model!AU2692,Model!AU3760)</f>
        <v>0</v>
      </c>
      <c r="AW23" s="89">
        <f>0*sum(Model!AV245,Model!AV653,Model!AV891,Model!AV1116,Model!AV1343,Model!AV1568,Model!AV1793,Model!AV2018,Model!AV2244,Model!AV2468,Model!AV2692,Model!AV3760)</f>
        <v>0</v>
      </c>
      <c r="AX23" s="89">
        <f>0*sum(Model!AW245,Model!AW653,Model!AW891,Model!AW1116,Model!AW1343,Model!AW1568,Model!AW1793,Model!AW2018,Model!AW2244,Model!AW2468,Model!AW2692,Model!AW3760)</f>
        <v>0</v>
      </c>
      <c r="AY23" s="89">
        <f>0*sum(Model!AX245,Model!AX653,Model!AX891,Model!AX1116,Model!AX1343,Model!AX1568,Model!AX1793,Model!AX2018,Model!AX2244,Model!AX2468,Model!AX2692,Model!AX3760)</f>
        <v>0</v>
      </c>
      <c r="AZ23" s="89">
        <f>0*sum(Model!AY245,Model!AY653,Model!AY891,Model!AY1116,Model!AY1343,Model!AY1568,Model!AY1793,Model!AY2018,Model!AY2244,Model!AY2468,Model!AY2692,Model!AY3760)</f>
        <v>0</v>
      </c>
      <c r="BA23" s="89">
        <f>0*sum(Model!AZ245,Model!AZ653,Model!AZ891,Model!AZ1116,Model!AZ1343,Model!AZ1568,Model!AZ1793,Model!AZ2018,Model!AZ2244,Model!AZ2468,Model!AZ2692,Model!AZ3760)</f>
        <v>0</v>
      </c>
      <c r="BB23" s="89">
        <f>0*sum(Model!BA245,Model!BA653,Model!BA891,Model!BA1116,Model!BA1343,Model!BA1568,Model!BA1793,Model!BA2018,Model!BA2244,Model!BA2468,Model!BA2692,Model!BA3760)</f>
        <v>0</v>
      </c>
      <c r="BC23" s="101"/>
      <c r="BD23" s="102"/>
      <c r="BE23" s="102"/>
      <c r="BF23" s="102"/>
      <c r="BG23" s="102"/>
      <c r="BH23" s="102"/>
      <c r="BI23" s="102"/>
      <c r="BJ23" s="102"/>
      <c r="BK23" s="102"/>
      <c r="BL23" s="102"/>
      <c r="BM23" s="102"/>
      <c r="BN23" s="102"/>
      <c r="BO23" s="102"/>
      <c r="BP23" s="102"/>
    </row>
    <row r="24" ht="15.75" customHeight="1">
      <c r="A24" s="79" t="s">
        <v>236</v>
      </c>
      <c r="B24" s="93" t="s">
        <v>237</v>
      </c>
      <c r="C24" s="93" t="s">
        <v>223</v>
      </c>
      <c r="D24" s="82">
        <f t="shared" ref="D24:BB24" si="1">SUM(D17:D18)</f>
        <v>22.9599815</v>
      </c>
      <c r="E24" s="82">
        <f t="shared" si="1"/>
        <v>23.67580209</v>
      </c>
      <c r="F24" s="82">
        <f t="shared" si="1"/>
        <v>23.38670967</v>
      </c>
      <c r="G24" s="82">
        <f t="shared" si="1"/>
        <v>23.40377488</v>
      </c>
      <c r="H24" s="82">
        <f t="shared" si="1"/>
        <v>24.58612488</v>
      </c>
      <c r="I24" s="82">
        <f t="shared" si="1"/>
        <v>25.96020955</v>
      </c>
      <c r="J24" s="82">
        <f t="shared" si="1"/>
        <v>24.11311551</v>
      </c>
      <c r="K24" s="82">
        <f t="shared" si="1"/>
        <v>25.50219145</v>
      </c>
      <c r="L24" s="82">
        <f t="shared" si="1"/>
        <v>26.29032722</v>
      </c>
      <c r="M24" s="82">
        <f t="shared" si="1"/>
        <v>22.64942666</v>
      </c>
      <c r="N24" s="82">
        <f t="shared" si="1"/>
        <v>24.80727811</v>
      </c>
      <c r="O24" s="82">
        <f t="shared" si="1"/>
        <v>23.88558771</v>
      </c>
      <c r="P24" s="82">
        <f t="shared" si="1"/>
        <v>21.87871363</v>
      </c>
      <c r="Q24" s="82">
        <f t="shared" si="1"/>
        <v>22.40885339</v>
      </c>
      <c r="R24" s="82">
        <f t="shared" si="1"/>
        <v>23.57432101</v>
      </c>
      <c r="S24" s="82">
        <f t="shared" si="1"/>
        <v>20.85820878</v>
      </c>
      <c r="T24" s="82">
        <f t="shared" si="1"/>
        <v>20.54187647</v>
      </c>
      <c r="U24" s="82">
        <f t="shared" si="1"/>
        <v>20.1057768</v>
      </c>
      <c r="V24" s="82">
        <f t="shared" si="1"/>
        <v>20.82693775</v>
      </c>
      <c r="W24" s="82">
        <f t="shared" si="1"/>
        <v>19.65763106</v>
      </c>
      <c r="X24" s="82">
        <f t="shared" si="1"/>
        <v>19.98764143</v>
      </c>
      <c r="Y24" s="82">
        <f t="shared" si="1"/>
        <v>19.66925051</v>
      </c>
      <c r="Z24" s="82">
        <f t="shared" si="1"/>
        <v>19.39385064</v>
      </c>
      <c r="AA24" s="82">
        <f t="shared" si="1"/>
        <v>19.13555007</v>
      </c>
      <c r="AB24" s="82">
        <f t="shared" si="1"/>
        <v>19.34623698</v>
      </c>
      <c r="AC24" s="82">
        <f t="shared" si="1"/>
        <v>19.49003261</v>
      </c>
      <c r="AD24" s="82">
        <f t="shared" si="1"/>
        <v>19.47807104</v>
      </c>
      <c r="AE24" s="82">
        <f t="shared" si="1"/>
        <v>19.25966422</v>
      </c>
      <c r="AF24" s="82">
        <f t="shared" si="1"/>
        <v>19.26133572</v>
      </c>
      <c r="AG24" s="82">
        <f t="shared" si="1"/>
        <v>19.12107351</v>
      </c>
      <c r="AH24" s="82">
        <f t="shared" si="1"/>
        <v>19.09184738</v>
      </c>
      <c r="AI24" s="82">
        <f t="shared" si="1"/>
        <v>19.07743066</v>
      </c>
      <c r="AJ24" s="82">
        <f t="shared" si="1"/>
        <v>19.15498832</v>
      </c>
      <c r="AK24" s="82">
        <f t="shared" si="1"/>
        <v>19.17916368</v>
      </c>
      <c r="AL24" s="82">
        <f t="shared" si="1"/>
        <v>19.18067655</v>
      </c>
      <c r="AM24" s="82">
        <f t="shared" si="1"/>
        <v>19.18925747</v>
      </c>
      <c r="AN24" s="82">
        <f t="shared" si="1"/>
        <v>19.22231433</v>
      </c>
      <c r="AO24" s="82">
        <f t="shared" si="1"/>
        <v>19.22460975</v>
      </c>
      <c r="AP24" s="82">
        <f t="shared" si="1"/>
        <v>19.15019213</v>
      </c>
      <c r="AQ24" s="82">
        <f t="shared" si="1"/>
        <v>19.13022828</v>
      </c>
      <c r="AR24" s="82">
        <f t="shared" si="1"/>
        <v>19.1606597</v>
      </c>
      <c r="AS24" s="82">
        <f t="shared" si="1"/>
        <v>19.08264146</v>
      </c>
      <c r="AT24" s="82">
        <f t="shared" si="1"/>
        <v>19.08030628</v>
      </c>
      <c r="AU24" s="82">
        <f t="shared" si="1"/>
        <v>19.09308888</v>
      </c>
      <c r="AV24" s="82">
        <f t="shared" si="1"/>
        <v>19.13933072</v>
      </c>
      <c r="AW24" s="82">
        <f t="shared" si="1"/>
        <v>19.16527603</v>
      </c>
      <c r="AX24" s="82">
        <f t="shared" si="1"/>
        <v>19.16912273</v>
      </c>
      <c r="AY24" s="82">
        <f t="shared" si="1"/>
        <v>19.19131889</v>
      </c>
      <c r="AZ24" s="82">
        <f t="shared" si="1"/>
        <v>19.2860854</v>
      </c>
      <c r="BA24" s="82">
        <f t="shared" si="1"/>
        <v>19.33352445</v>
      </c>
      <c r="BB24" s="82">
        <f t="shared" si="1"/>
        <v>19.37353997</v>
      </c>
      <c r="BC24" s="103"/>
    </row>
    <row r="25" ht="15.75" customHeight="1">
      <c r="A25" s="79" t="s">
        <v>238</v>
      </c>
      <c r="B25" s="93" t="s">
        <v>227</v>
      </c>
      <c r="C25" s="93" t="s">
        <v>223</v>
      </c>
      <c r="D25" s="82">
        <f t="shared" ref="D25:BB25" si="2">SUM(D19,D22)</f>
        <v>13.47324305</v>
      </c>
      <c r="E25" s="82">
        <f t="shared" si="2"/>
        <v>10.46601298</v>
      </c>
      <c r="F25" s="82">
        <f t="shared" si="2"/>
        <v>8.082370935</v>
      </c>
      <c r="G25" s="82">
        <f t="shared" si="2"/>
        <v>4.621753587</v>
      </c>
      <c r="H25" s="82">
        <f t="shared" si="2"/>
        <v>3.620494411</v>
      </c>
      <c r="I25" s="82">
        <f t="shared" si="2"/>
        <v>3.234901787</v>
      </c>
      <c r="J25" s="82">
        <f t="shared" si="2"/>
        <v>3.393851532</v>
      </c>
      <c r="K25" s="82">
        <f t="shared" si="2"/>
        <v>3.641077376</v>
      </c>
      <c r="L25" s="82">
        <f t="shared" si="2"/>
        <v>3.721251856</v>
      </c>
      <c r="M25" s="82">
        <f t="shared" si="2"/>
        <v>5.66508475</v>
      </c>
      <c r="N25" s="82">
        <f t="shared" si="2"/>
        <v>7.058715221</v>
      </c>
      <c r="O25" s="82">
        <f t="shared" si="2"/>
        <v>7.020464633</v>
      </c>
      <c r="P25" s="82">
        <f t="shared" si="2"/>
        <v>5.294407397</v>
      </c>
      <c r="Q25" s="82">
        <f t="shared" si="2"/>
        <v>5.375236599</v>
      </c>
      <c r="R25" s="82">
        <f t="shared" si="2"/>
        <v>7.962696764</v>
      </c>
      <c r="S25" s="82">
        <f t="shared" si="2"/>
        <v>16.09753679</v>
      </c>
      <c r="T25" s="82">
        <f t="shared" si="2"/>
        <v>13.94728708</v>
      </c>
      <c r="U25" s="82">
        <f t="shared" si="2"/>
        <v>12.39307033</v>
      </c>
      <c r="V25" s="82">
        <f t="shared" si="2"/>
        <v>11.52301925</v>
      </c>
      <c r="W25" s="82">
        <f t="shared" si="2"/>
        <v>14.07635001</v>
      </c>
      <c r="X25" s="82">
        <f t="shared" si="2"/>
        <v>23.91546067</v>
      </c>
      <c r="Y25" s="82">
        <f t="shared" si="2"/>
        <v>16.26442317</v>
      </c>
      <c r="Z25" s="82">
        <f t="shared" si="2"/>
        <v>15.69144684</v>
      </c>
      <c r="AA25" s="82">
        <f t="shared" si="2"/>
        <v>14.22545603</v>
      </c>
      <c r="AB25" s="82">
        <f t="shared" si="2"/>
        <v>13.52427728</v>
      </c>
      <c r="AC25" s="82">
        <f t="shared" si="2"/>
        <v>10.09999143</v>
      </c>
      <c r="AD25" s="82">
        <f t="shared" si="2"/>
        <v>7.931658062</v>
      </c>
      <c r="AE25" s="82">
        <f t="shared" si="2"/>
        <v>7.239825702</v>
      </c>
      <c r="AF25" s="82">
        <f t="shared" si="2"/>
        <v>7.043131838</v>
      </c>
      <c r="AG25" s="82">
        <f t="shared" si="2"/>
        <v>7.821265774</v>
      </c>
      <c r="AH25" s="82">
        <f t="shared" si="2"/>
        <v>10.57256824</v>
      </c>
      <c r="AI25" s="82">
        <f t="shared" si="2"/>
        <v>13.83814674</v>
      </c>
      <c r="AJ25" s="82">
        <f t="shared" si="2"/>
        <v>13.75273701</v>
      </c>
      <c r="AK25" s="82">
        <f t="shared" si="2"/>
        <v>16.80986991</v>
      </c>
      <c r="AL25" s="82">
        <f t="shared" si="2"/>
        <v>17.57366085</v>
      </c>
      <c r="AM25" s="82">
        <f t="shared" si="2"/>
        <v>19.7601682</v>
      </c>
      <c r="AN25" s="82">
        <f t="shared" si="2"/>
        <v>18.20060598</v>
      </c>
      <c r="AO25" s="82">
        <f t="shared" si="2"/>
        <v>19.30364679</v>
      </c>
      <c r="AP25" s="82">
        <f t="shared" si="2"/>
        <v>18.67261034</v>
      </c>
      <c r="AQ25" s="82">
        <f t="shared" si="2"/>
        <v>12.8178731</v>
      </c>
      <c r="AR25" s="82">
        <f t="shared" si="2"/>
        <v>14.65010108</v>
      </c>
      <c r="AS25" s="82">
        <f t="shared" si="2"/>
        <v>16.5175438</v>
      </c>
      <c r="AT25" s="82">
        <f t="shared" si="2"/>
        <v>17.26362129</v>
      </c>
      <c r="AU25" s="82">
        <f t="shared" si="2"/>
        <v>15.98611694</v>
      </c>
      <c r="AV25" s="82">
        <f t="shared" si="2"/>
        <v>14.41815549</v>
      </c>
      <c r="AW25" s="82">
        <f t="shared" si="2"/>
        <v>15.78843621</v>
      </c>
      <c r="AX25" s="82">
        <f t="shared" si="2"/>
        <v>14.13636756</v>
      </c>
      <c r="AY25" s="82">
        <f t="shared" si="2"/>
        <v>12.36423435</v>
      </c>
      <c r="AZ25" s="82">
        <f t="shared" si="2"/>
        <v>9.305972153</v>
      </c>
      <c r="BA25" s="82">
        <f t="shared" si="2"/>
        <v>4.552984579</v>
      </c>
      <c r="BB25" s="82">
        <f t="shared" si="2"/>
        <v>0.7241196101</v>
      </c>
      <c r="BC25" s="103"/>
    </row>
    <row r="26" ht="15.75" customHeight="1">
      <c r="A26" s="87" t="s">
        <v>239</v>
      </c>
      <c r="B26" s="91" t="s">
        <v>240</v>
      </c>
      <c r="C26" s="91" t="s">
        <v>241</v>
      </c>
      <c r="D26" s="89">
        <f>SUM(Model!C2695,Model!C2862,Model!C3029)*'Inflation GDP Population'!$S$11/'Inflation GDP Population'!B$11</f>
        <v>9.333732236</v>
      </c>
      <c r="E26" s="89">
        <f>SUM(Model!D2695,Model!D2862,Model!D3029)*'Inflation GDP Population'!$S$11/'Inflation GDP Population'!C$11</f>
        <v>8.717730655</v>
      </c>
      <c r="F26" s="89">
        <f>SUM(Model!E2695,Model!E2862,Model!E3029)*'Inflation GDP Population'!$S$11/'Inflation GDP Population'!D$11</f>
        <v>9.142207052</v>
      </c>
      <c r="G26" s="89">
        <f>SUM(Model!F2695,Model!F2862,Model!F3029)*'Inflation GDP Population'!$S$11/'Inflation GDP Population'!E$11</f>
        <v>8.832780604</v>
      </c>
      <c r="H26" s="89">
        <f>SUM(Model!G2695,Model!G2862,Model!G3029)*'Inflation GDP Population'!$S$11/'Inflation GDP Population'!F$11</f>
        <v>8.854749067</v>
      </c>
      <c r="I26" s="89">
        <f>SUM(Model!H2695,Model!H2862,Model!H3029)*'Inflation GDP Population'!$S$11/'Inflation GDP Population'!G$11</f>
        <v>9.343573857</v>
      </c>
      <c r="J26" s="89">
        <f>SUM(Model!I2695,Model!I2862,Model!I3029)*'Inflation GDP Population'!$S$11/'Inflation GDP Population'!H$11</f>
        <v>9.932571974</v>
      </c>
      <c r="K26" s="89">
        <f>SUM(Model!J2695,Model!J2862,Model!J3029)*'Inflation GDP Population'!$S$11/'Inflation GDP Population'!I$11</f>
        <v>9.031051875</v>
      </c>
      <c r="L26" s="89">
        <f>SUM(Model!K2695,Model!K2862,Model!K3029)*'Inflation GDP Population'!$S$11/'Inflation GDP Population'!J$11</f>
        <v>8.943608242</v>
      </c>
      <c r="M26" s="89">
        <f>SUM(Model!L2695,Model!L2862,Model!L3029)*'Inflation GDP Population'!$S$11/'Inflation GDP Population'!K$11</f>
        <v>8.754333862</v>
      </c>
      <c r="N26" s="89">
        <f>SUM(Model!M2695,Model!M2862,Model!M3029)*'Inflation GDP Population'!$S$11/'Inflation GDP Population'!L$11</f>
        <v>9.729592121</v>
      </c>
      <c r="O26" s="89">
        <f>SUM(Model!N2695,Model!N2862,Model!N3029)*'Inflation GDP Population'!$S$11/'Inflation GDP Population'!M$11</f>
        <v>9.251457407</v>
      </c>
      <c r="P26" s="89">
        <f>SUM(Model!O2695,Model!O2862,Model!O3029)*'Inflation GDP Population'!$S$11/'Inflation GDP Population'!N$11</f>
        <v>9.116850235</v>
      </c>
      <c r="Q26" s="89">
        <f>SUM(Model!P2695,Model!P2862,Model!P3029)*'Inflation GDP Population'!$S$11/'Inflation GDP Population'!O$11</f>
        <v>9.1269052</v>
      </c>
      <c r="R26" s="89">
        <f>SUM(Model!Q2695,Model!Q2862,Model!Q3029)*'Inflation GDP Population'!$S$11/'Inflation GDP Population'!P$11</f>
        <v>9.169500126</v>
      </c>
      <c r="S26" s="89">
        <f>SUM(Model!R2695,Model!R2862,Model!R3029)*'Inflation GDP Population'!$S$11/'Inflation GDP Population'!Q$11</f>
        <v>9.231105587</v>
      </c>
      <c r="T26" s="89">
        <f>SUM(Model!S2695,Model!S2862,Model!S3029)*'Inflation GDP Population'!$S$11/'Inflation GDP Population'!R$11</f>
        <v>9.463465718</v>
      </c>
      <c r="U26" s="89">
        <f>SUM(Model!T2695,Model!T2862,Model!T3029)*'Inflation GDP Population'!$S$11/'Inflation GDP Population'!S$11</f>
        <v>9.393684334</v>
      </c>
      <c r="V26" s="89">
        <f>SUM(Model!U2695,Model!U2862,Model!U3029)*'Inflation GDP Population'!$S$11/'Inflation GDP Population'!T$11</f>
        <v>9.135075203</v>
      </c>
      <c r="W26" s="104">
        <f>SUM(Model!V2695,Model!V2862,Model!V3029)*'Inflation GDP Population'!$S$18/'Inflation GDP Population'!U$18</f>
        <v>9.534488244</v>
      </c>
      <c r="X26" s="104">
        <f>SUM(Model!W2695,Model!W2862,Model!W3029)*'Inflation GDP Population'!$S$18/'Inflation GDP Population'!V$18</f>
        <v>9.558288545</v>
      </c>
      <c r="Y26" s="104">
        <f>SUM(Model!X2695,Model!X2862,Model!X3029)*'Inflation GDP Population'!$S$18/'Inflation GDP Population'!W$18</f>
        <v>9.56052922</v>
      </c>
      <c r="Z26" s="104">
        <f>SUM(Model!Y2695,Model!Y2862,Model!Y3029)*'Inflation GDP Population'!$S$18/'Inflation GDP Population'!X$18</f>
        <v>9.654089174</v>
      </c>
      <c r="AA26" s="104">
        <f>SUM(Model!Z2695,Model!Z2862,Model!Z3029)*'Inflation GDP Population'!$S$18/'Inflation GDP Population'!Y$18</f>
        <v>9.747692466</v>
      </c>
      <c r="AB26" s="104">
        <f>SUM(Model!AA2695,Model!AA2862,Model!AA3029)*'Inflation GDP Population'!$S$18/'Inflation GDP Population'!Z$18</f>
        <v>9.841339114</v>
      </c>
      <c r="AC26" s="104">
        <f>SUM(Model!AB2695,Model!AB2862,Model!AB3029)*'Inflation GDP Population'!$S$18/'Inflation GDP Population'!AA$18</f>
        <v>9.935029131</v>
      </c>
      <c r="AD26" s="104">
        <f>SUM(Model!AC2695,Model!AC2862,Model!AC3029)*'Inflation GDP Population'!$S$18/'Inflation GDP Population'!AB$18</f>
        <v>10.02876253</v>
      </c>
      <c r="AE26" s="104">
        <f>SUM(Model!AD2695,Model!AD2862,Model!AD3029)*'Inflation GDP Population'!$S$18/'Inflation GDP Population'!AC$18</f>
        <v>10.12253934</v>
      </c>
      <c r="AF26" s="104">
        <f>SUM(Model!AE2695,Model!AE2862,Model!AE3029)*'Inflation GDP Population'!$S$18/'Inflation GDP Population'!AD$18</f>
        <v>10.21635956</v>
      </c>
      <c r="AG26" s="104">
        <f>SUM(Model!AF2695,Model!AF2862,Model!AF3029)*'Inflation GDP Population'!$S$18/'Inflation GDP Population'!AE$18</f>
        <v>10.31022321</v>
      </c>
      <c r="AH26" s="104">
        <f>SUM(Model!AG2695,Model!AG2862,Model!AG3029)*'Inflation GDP Population'!$S$18/'Inflation GDP Population'!AF$18</f>
        <v>10.4041303</v>
      </c>
      <c r="AI26" s="104">
        <f>SUM(Model!AH2695,Model!AH2862,Model!AH3029)*'Inflation GDP Population'!$S$18/'Inflation GDP Population'!AG$18</f>
        <v>10.49808086</v>
      </c>
      <c r="AJ26" s="104">
        <f>SUM(Model!AI2695,Model!AI2862,Model!AI3029)*'Inflation GDP Population'!$S$18/'Inflation GDP Population'!AH$18</f>
        <v>10.59207489</v>
      </c>
      <c r="AK26" s="104">
        <f>SUM(Model!AJ2695,Model!AJ2862,Model!AJ3029)*'Inflation GDP Population'!$S$18/'Inflation GDP Population'!AI$18</f>
        <v>10.68611242</v>
      </c>
      <c r="AL26" s="104">
        <f>SUM(Model!AK2695,Model!AK2862,Model!AK3029)*'Inflation GDP Population'!$S$18/'Inflation GDP Population'!AJ$18</f>
        <v>10.78019345</v>
      </c>
      <c r="AM26" s="104">
        <f>SUM(Model!AL2695,Model!AL2862,Model!AL3029)*'Inflation GDP Population'!$S$18/'Inflation GDP Population'!AK$18</f>
        <v>10.874318</v>
      </c>
      <c r="AN26" s="104">
        <f>SUM(Model!AM2695,Model!AM2862,Model!AM3029)*'Inflation GDP Population'!$S$18/'Inflation GDP Population'!AL$18</f>
        <v>10.9684861</v>
      </c>
      <c r="AO26" s="104">
        <f>SUM(Model!AN2695,Model!AN2862,Model!AN3029)*'Inflation GDP Population'!$S$18/'Inflation GDP Population'!AM$18</f>
        <v>11.06269774</v>
      </c>
      <c r="AP26" s="104">
        <f>SUM(Model!AO2695,Model!AO2862,Model!AO3029)*'Inflation GDP Population'!$S$18/'Inflation GDP Population'!AN$18</f>
        <v>11.15695295</v>
      </c>
      <c r="AQ26" s="104">
        <f>SUM(Model!AP2695,Model!AP2862,Model!AP3029)*'Inflation GDP Population'!$S$18/'Inflation GDP Population'!AO$18</f>
        <v>11.25125175</v>
      </c>
      <c r="AR26" s="104">
        <f>SUM(Model!AQ2695,Model!AQ2862,Model!AQ3029)*'Inflation GDP Population'!$S$18/'Inflation GDP Population'!AP$18</f>
        <v>11.34559414</v>
      </c>
      <c r="AS26" s="104">
        <f>SUM(Model!AR2695,Model!AR2862,Model!AR3029)*'Inflation GDP Population'!$S$18/'Inflation GDP Population'!AQ$18</f>
        <v>11.43998015</v>
      </c>
      <c r="AT26" s="104">
        <f>SUM(Model!AS2695,Model!AS2862,Model!AS3029)*'Inflation GDP Population'!$S$18/'Inflation GDP Population'!AR$18</f>
        <v>11.53440978</v>
      </c>
      <c r="AU26" s="104">
        <f>SUM(Model!AT2695,Model!AT2862,Model!AT3029)*'Inflation GDP Population'!$S$18/'Inflation GDP Population'!AS$18</f>
        <v>11.62888306</v>
      </c>
      <c r="AV26" s="104">
        <f>SUM(Model!AU2695,Model!AU2862,Model!AU3029)*'Inflation GDP Population'!$S$18/'Inflation GDP Population'!AT$18</f>
        <v>11.7234</v>
      </c>
      <c r="AW26" s="104">
        <f>SUM(Model!AV2695,Model!AV2862,Model!AV3029)*'Inflation GDP Population'!$S$18/'Inflation GDP Population'!AU$18</f>
        <v>11.81796062</v>
      </c>
      <c r="AX26" s="104">
        <f>SUM(Model!AW2695,Model!AW2862,Model!AW3029)*'Inflation GDP Population'!$S$18/'Inflation GDP Population'!AV$18</f>
        <v>11.91256492</v>
      </c>
      <c r="AY26" s="104">
        <f>SUM(Model!AX2695,Model!AX2862,Model!AX3029)*'Inflation GDP Population'!$S$18/'Inflation GDP Population'!AW$18</f>
        <v>12.00721293</v>
      </c>
      <c r="AZ26" s="104">
        <f>SUM(Model!AY2695,Model!AY2862,Model!AY3029)*'Inflation GDP Population'!$S$18/'Inflation GDP Population'!AX$18</f>
        <v>12.10190466</v>
      </c>
      <c r="BA26" s="104">
        <f>SUM(Model!AZ2695,Model!AZ2862,Model!AZ3029)*'Inflation GDP Population'!$S$18/'Inflation GDP Population'!AY$18</f>
        <v>12.19664013</v>
      </c>
      <c r="BB26" s="104">
        <f>SUM(Model!BA2695,Model!BA2862,Model!BA3029)*'Inflation GDP Population'!$S$18/'Inflation GDP Population'!AZ$18</f>
        <v>12.29141934</v>
      </c>
      <c r="BC26" s="105"/>
      <c r="BD26" s="92"/>
      <c r="BE26" s="92"/>
      <c r="BF26" s="92"/>
      <c r="BG26" s="92"/>
      <c r="BH26" s="92"/>
      <c r="BI26" s="92"/>
      <c r="BJ26" s="92"/>
      <c r="BK26" s="92"/>
      <c r="BL26" s="92"/>
      <c r="BM26" s="92"/>
      <c r="BN26" s="92"/>
      <c r="BO26" s="92"/>
      <c r="BP26" s="92"/>
    </row>
    <row r="27" ht="15.75" customHeight="1">
      <c r="A27" s="87" t="s">
        <v>242</v>
      </c>
      <c r="B27" s="91" t="s">
        <v>227</v>
      </c>
      <c r="C27" s="91" t="s">
        <v>241</v>
      </c>
      <c r="D27" s="89">
        <f>SUM(Model!C2698,Model!C2865,0*Model!C3032)*'Inflation GDP Population'!$S$11/'Inflation GDP Population'!B$11</f>
        <v>5.617152015</v>
      </c>
      <c r="E27" s="89">
        <f>SUM(Model!D2698,Model!D2865,0*Model!D3032)*'Inflation GDP Population'!$S$11/'Inflation GDP Population'!C$11</f>
        <v>6.24360836</v>
      </c>
      <c r="F27" s="89">
        <f>SUM(Model!E2698,Model!E2865,0*Model!E3032)*'Inflation GDP Population'!$S$11/'Inflation GDP Population'!D$11</f>
        <v>5.773723237</v>
      </c>
      <c r="G27" s="89">
        <f>SUM(Model!F2698,Model!F2865,0*Model!F3032)*'Inflation GDP Population'!$S$11/'Inflation GDP Population'!E$11</f>
        <v>5.717312697</v>
      </c>
      <c r="H27" s="89">
        <f>SUM(Model!G2698,Model!G2865,0*Model!G3032)*'Inflation GDP Population'!$S$11/'Inflation GDP Population'!F$11</f>
        <v>6.222612112</v>
      </c>
      <c r="I27" s="89">
        <f>SUM(Model!H2698,Model!H2865,0*Model!H3032)*'Inflation GDP Population'!$S$11/'Inflation GDP Population'!G$11</f>
        <v>5.49382866</v>
      </c>
      <c r="J27" s="89">
        <f>SUM(Model!I2698,Model!I2865,0*Model!I3032)*'Inflation GDP Population'!$S$11/'Inflation GDP Population'!H$11</f>
        <v>8.226132052</v>
      </c>
      <c r="K27" s="89">
        <f>SUM(Model!J2698,Model!J2865,0*Model!J3032)*'Inflation GDP Population'!$S$11/'Inflation GDP Population'!I$11</f>
        <v>6.688746098</v>
      </c>
      <c r="L27" s="89">
        <f>SUM(Model!K2698,Model!K2865,0*Model!K3032)*'Inflation GDP Population'!$S$11/'Inflation GDP Population'!J$11</f>
        <v>6.65483008</v>
      </c>
      <c r="M27" s="89">
        <f>SUM(Model!L2698,Model!L2865,0*Model!L3032)*'Inflation GDP Population'!$S$11/'Inflation GDP Population'!K$11</f>
        <v>6.068180484</v>
      </c>
      <c r="N27" s="89">
        <f>SUM(Model!M2698,Model!M2865,0*Model!M3032)*'Inflation GDP Population'!$S$11/'Inflation GDP Population'!L$11</f>
        <v>6.210795173</v>
      </c>
      <c r="O27" s="89">
        <f>SUM(Model!N2698,Model!N2865,0*Model!N3032)*'Inflation GDP Population'!$S$11/'Inflation GDP Population'!M$11</f>
        <v>6.824064448</v>
      </c>
      <c r="P27" s="89">
        <f>SUM(Model!O2698,Model!O2865,0*Model!O3032)*'Inflation GDP Population'!$S$11/'Inflation GDP Population'!N$11</f>
        <v>6.867512004</v>
      </c>
      <c r="Q27" s="89">
        <f>SUM(Model!P2698,Model!P2865,0*Model!P3032)*'Inflation GDP Population'!$S$11/'Inflation GDP Population'!O$11</f>
        <v>7.328559076</v>
      </c>
      <c r="R27" s="89">
        <f>SUM(Model!Q2698,Model!Q2865,0*Model!Q3032)*'Inflation GDP Population'!$S$11/'Inflation GDP Population'!P$11</f>
        <v>7.032193415</v>
      </c>
      <c r="S27" s="89">
        <f>SUM(Model!R2698,Model!R2865,0*Model!R3032)*'Inflation GDP Population'!$S$11/'Inflation GDP Population'!Q$11</f>
        <v>7.442326318</v>
      </c>
      <c r="T27" s="89">
        <f>SUM(Model!S2698,Model!S2865,0*Model!S3032)*'Inflation GDP Population'!$S$11/'Inflation GDP Population'!R$11</f>
        <v>8.321674592</v>
      </c>
      <c r="U27" s="89">
        <f>SUM(Model!T2698,Model!T2865,0*Model!T3032)*'Inflation GDP Population'!$S$11/'Inflation GDP Population'!S$11</f>
        <v>7.465350023</v>
      </c>
      <c r="V27" s="89">
        <f>SUM(Model!U2698,Model!U2865,0*Model!U3032)*'Inflation GDP Population'!$S$11/'Inflation GDP Population'!T$11</f>
        <v>7.465350023</v>
      </c>
      <c r="W27" s="104">
        <f>SUM(Model!V2698,Model!V2865,0*Model!V3032)*'Inflation GDP Population'!$S$18/'Inflation GDP Population'!U$18</f>
        <v>7.502918789</v>
      </c>
      <c r="X27" s="104">
        <f>SUM(Model!W2698,Model!W2865,0*Model!W3032)*'Inflation GDP Population'!$S$18/'Inflation GDP Population'!V$18</f>
        <v>7.50467764</v>
      </c>
      <c r="Y27" s="104">
        <f>SUM(Model!X2698,Model!X2865,0*Model!X3032)*'Inflation GDP Population'!$S$18/'Inflation GDP Population'!W$18</f>
        <v>7.716925266</v>
      </c>
      <c r="Z27" s="104">
        <f>SUM(Model!Y2698,Model!Y2865,0*Model!Y3032)*'Inflation GDP Population'!$S$18/'Inflation GDP Population'!X$18</f>
        <v>7.780896271</v>
      </c>
      <c r="AA27" s="104">
        <f>SUM(Model!Z2698,Model!Z2865,0*Model!Z3032)*'Inflation GDP Population'!$S$18/'Inflation GDP Population'!Y$18</f>
        <v>7.844896845</v>
      </c>
      <c r="AB27" s="104">
        <f>SUM(Model!AA2698,Model!AA2865,0*Model!AA3032)*'Inflation GDP Population'!$S$18/'Inflation GDP Population'!Z$18</f>
        <v>7.908926997</v>
      </c>
      <c r="AC27" s="104">
        <f>SUM(Model!AB2698,Model!AB2865,0*Model!AB3032)*'Inflation GDP Population'!$S$18/'Inflation GDP Population'!AA$18</f>
        <v>7.972986739</v>
      </c>
      <c r="AD27" s="104">
        <f>SUM(Model!AC2698,Model!AC2865,0*Model!AC3032)*'Inflation GDP Population'!$S$18/'Inflation GDP Population'!AB$18</f>
        <v>8.037076079</v>
      </c>
      <c r="AE27" s="104">
        <f>SUM(Model!AD2698,Model!AD2865,0*Model!AD3032)*'Inflation GDP Population'!$S$18/'Inflation GDP Population'!AC$18</f>
        <v>8.10119503</v>
      </c>
      <c r="AF27" s="104">
        <f>SUM(Model!AE2698,Model!AE2865,0*Model!AE3032)*'Inflation GDP Population'!$S$18/'Inflation GDP Population'!AD$18</f>
        <v>8.16634332</v>
      </c>
      <c r="AG27" s="104">
        <f>SUM(Model!AF2698,Model!AF2865,0*Model!AF3032)*'Inflation GDP Population'!$S$18/'Inflation GDP Population'!AE$18</f>
        <v>8.229521802</v>
      </c>
      <c r="AH27" s="104">
        <f>SUM(Model!AG2698,Model!AG2865,0*Model!AG3032)*'Inflation GDP Population'!$S$18/'Inflation GDP Population'!AF$18</f>
        <v>8.293729644</v>
      </c>
      <c r="AI27" s="104">
        <f>SUM(Model!AH2698,Model!AH2865,0*Model!AH3032)*'Inflation GDP Population'!$S$18/'Inflation GDP Population'!AG$18</f>
        <v>8.357967138</v>
      </c>
      <c r="AJ27" s="104">
        <f>SUM(Model!AI2698,Model!AI2865,0*Model!AI3032)*'Inflation GDP Population'!$S$18/'Inflation GDP Population'!AH$18</f>
        <v>8.437244148</v>
      </c>
      <c r="AK27" s="104">
        <f>SUM(Model!AJ2698,Model!AJ2865,0*Model!AJ3032)*'Inflation GDP Population'!$S$18/'Inflation GDP Population'!AI$18</f>
        <v>8.48653112</v>
      </c>
      <c r="AL27" s="104">
        <f>SUM(Model!AK2698,Model!AK2865,0*Model!AK3032)*'Inflation GDP Population'!$S$18/'Inflation GDP Population'!AJ$18</f>
        <v>8.550857629</v>
      </c>
      <c r="AM27" s="104">
        <f>SUM(Model!AL2698,Model!AL2865,0*Model!AL3032)*'Inflation GDP Population'!$S$18/'Inflation GDP Population'!AK$18</f>
        <v>8.615213831</v>
      </c>
      <c r="AN27" s="104">
        <f>SUM(Model!AM2698,Model!AM2865,0*Model!AM3032)*'Inflation GDP Population'!$S$18/'Inflation GDP Population'!AL$18</f>
        <v>8.679599737</v>
      </c>
      <c r="AO27" s="104">
        <f>SUM(Model!AN2698,Model!AN2865,0*Model!AN3032)*'Inflation GDP Population'!$S$18/'Inflation GDP Population'!AM$18</f>
        <v>8.744015356</v>
      </c>
      <c r="AP27" s="104">
        <f>SUM(Model!AO2698,Model!AO2865,0*Model!AO3032)*'Inflation GDP Population'!$S$18/'Inflation GDP Population'!AN$18</f>
        <v>8.808460698</v>
      </c>
      <c r="AQ27" s="104">
        <f>SUM(Model!AP2698,Model!AP2865,0*Model!AP3032)*'Inflation GDP Population'!$S$18/'Inflation GDP Population'!AO$18</f>
        <v>8.872935776</v>
      </c>
      <c r="AR27" s="104">
        <f>SUM(Model!AQ2698,Model!AQ2865,0*Model!AQ3032)*'Inflation GDP Population'!$S$18/'Inflation GDP Population'!AP$18</f>
        <v>8.937440597</v>
      </c>
      <c r="AS27" s="104">
        <f>SUM(Model!AR2698,Model!AR2865,0*Model!AR3032)*'Inflation GDP Population'!$S$18/'Inflation GDP Population'!AQ$18</f>
        <v>9.001975174</v>
      </c>
      <c r="AT27" s="104">
        <f>SUM(Model!AS2698,Model!AS2865,0*Model!AS3032)*'Inflation GDP Population'!$S$18/'Inflation GDP Population'!AR$18</f>
        <v>9.066539517</v>
      </c>
      <c r="AU27" s="104">
        <f>SUM(Model!AT2698,Model!AT2865,0*Model!AT3032)*'Inflation GDP Population'!$S$18/'Inflation GDP Population'!AS$18</f>
        <v>9.131133636</v>
      </c>
      <c r="AV27" s="104">
        <f>SUM(Model!AU2698,Model!AU2865,0*Model!AU3032)*'Inflation GDP Population'!$S$18/'Inflation GDP Population'!AT$18</f>
        <v>9.311714715</v>
      </c>
      <c r="AW27" s="104">
        <f>SUM(Model!AV2698,Model!AV2865,0*Model!AV3032)*'Inflation GDP Population'!$S$18/'Inflation GDP Population'!AU$18</f>
        <v>9.260411242</v>
      </c>
      <c r="AX27" s="104">
        <f>SUM(Model!AW2698,Model!AW2865,0*Model!AW3032)*'Inflation GDP Population'!$S$18/'Inflation GDP Population'!AV$18</f>
        <v>9.325094751</v>
      </c>
      <c r="AY27" s="104">
        <f>SUM(Model!AX2698,Model!AX2865,0*Model!AX3032)*'Inflation GDP Population'!$S$18/'Inflation GDP Population'!AW$18</f>
        <v>9.389808077</v>
      </c>
      <c r="AZ27" s="104">
        <f>SUM(Model!AY2698,Model!AY2865,0*Model!AY3032)*'Inflation GDP Population'!$S$18/'Inflation GDP Population'!AX$18</f>
        <v>9.454551232</v>
      </c>
      <c r="BA27" s="104">
        <f>SUM(Model!AZ2698,Model!AZ2865,0*Model!AZ3032)*'Inflation GDP Population'!$S$18/'Inflation GDP Population'!AY$18</f>
        <v>9.606085306</v>
      </c>
      <c r="BB27" s="104">
        <f>SUM(Model!BA2698,Model!BA2865,0*Model!BA3032)*'Inflation GDP Population'!$S$18/'Inflation GDP Population'!AZ$18</f>
        <v>9.608337186</v>
      </c>
      <c r="BC27" s="105"/>
      <c r="BD27" s="92"/>
      <c r="BE27" s="92"/>
      <c r="BF27" s="92"/>
      <c r="BG27" s="92"/>
      <c r="BH27" s="92"/>
      <c r="BI27" s="92"/>
      <c r="BJ27" s="92"/>
      <c r="BK27" s="92"/>
      <c r="BL27" s="92"/>
      <c r="BM27" s="92"/>
      <c r="BN27" s="92"/>
      <c r="BO27" s="92"/>
      <c r="BP27" s="92"/>
    </row>
    <row r="28" ht="15.75" customHeight="1">
      <c r="A28" s="79" t="s">
        <v>243</v>
      </c>
      <c r="B28" s="106" t="s">
        <v>240</v>
      </c>
      <c r="C28" s="106" t="s">
        <v>244</v>
      </c>
      <c r="D28" s="107">
        <f>SUM(Model!C253,Model!C3196)</f>
        <v>18.49558136</v>
      </c>
      <c r="E28" s="107">
        <f>SUM(Model!D253,Model!D3196)</f>
        <v>18.46520845</v>
      </c>
      <c r="F28" s="107">
        <f>SUM(Model!E253,Model!E3196)</f>
        <v>17.5630891</v>
      </c>
      <c r="G28" s="107">
        <f>SUM(Model!F253,Model!F3196)</f>
        <v>18.45456882</v>
      </c>
      <c r="H28" s="107">
        <f>SUM(Model!G253,Model!G3196)</f>
        <v>16.52826899</v>
      </c>
      <c r="I28" s="107">
        <f>SUM(Model!H253,Model!H3196)</f>
        <v>18.23160243</v>
      </c>
      <c r="J28" s="107">
        <f>SUM(Model!I253,Model!I3196)</f>
        <v>19.1798798</v>
      </c>
      <c r="K28" s="107">
        <f>SUM(Model!J253,Model!J3196)</f>
        <v>24.69625827</v>
      </c>
      <c r="L28" s="107">
        <f>SUM(Model!K253,Model!K3196)</f>
        <v>21.5191442</v>
      </c>
      <c r="M28" s="107">
        <f>SUM(Model!L253,Model!L3196)</f>
        <v>20.1535042</v>
      </c>
      <c r="N28" s="107">
        <f>SUM(Model!M253,Model!M3196)</f>
        <v>22.46835279</v>
      </c>
      <c r="O28" s="107">
        <f>SUM(Model!N253,Model!N3196)</f>
        <v>23.10616221</v>
      </c>
      <c r="P28" s="107">
        <f>SUM(Model!O253,Model!O3196)</f>
        <v>23.99174798</v>
      </c>
      <c r="Q28" s="107">
        <f>SUM(Model!P253,Model!P3196)</f>
        <v>25.16658278</v>
      </c>
      <c r="R28" s="107">
        <f>SUM(Model!Q253,Model!Q3196)</f>
        <v>28.32962133</v>
      </c>
      <c r="S28" s="107">
        <f>SUM(Model!R253,Model!R3196)</f>
        <v>28.88823778</v>
      </c>
      <c r="T28" s="107">
        <f>SUM(Model!S253,Model!S3196)</f>
        <v>26.88965916</v>
      </c>
      <c r="U28" s="107">
        <f>SUM(Model!T253,Model!T3196)</f>
        <v>28.38768692</v>
      </c>
      <c r="V28" s="107">
        <f>SUM(Model!U253,Model!U3196)</f>
        <v>30.14931228</v>
      </c>
      <c r="W28" s="107">
        <f>SUM(Model!V253,Model!V3196)</f>
        <v>31.14314805</v>
      </c>
      <c r="X28" s="107">
        <f>SUM(Model!W253,Model!W3196)</f>
        <v>32.09061213</v>
      </c>
      <c r="Y28" s="107">
        <f>SUM(Model!X253,Model!X3196)</f>
        <v>32.57630833</v>
      </c>
      <c r="Z28" s="107">
        <f>SUM(Model!Y253,Model!Y3196)</f>
        <v>32.73413203</v>
      </c>
      <c r="AA28" s="107">
        <f>SUM(Model!Z253,Model!Z3196)</f>
        <v>32.77875372</v>
      </c>
      <c r="AB28" s="107">
        <f>SUM(Model!AA253,Model!AA3196)</f>
        <v>33.07379031</v>
      </c>
      <c r="AC28" s="107">
        <f>SUM(Model!AB253,Model!AB3196)</f>
        <v>33.23231345</v>
      </c>
      <c r="AD28" s="107">
        <f>SUM(Model!AC253,Model!AC3196)</f>
        <v>33.53609723</v>
      </c>
      <c r="AE28" s="107">
        <f>SUM(Model!AD253,Model!AD3196)</f>
        <v>33.85529367</v>
      </c>
      <c r="AF28" s="107">
        <f>SUM(Model!AE253,Model!AE3196)</f>
        <v>33.94869894</v>
      </c>
      <c r="AG28" s="107">
        <f>SUM(Model!AF253,Model!AF3196)</f>
        <v>34.06686576</v>
      </c>
      <c r="AH28" s="107">
        <f>SUM(Model!AG253,Model!AG3196)</f>
        <v>34.09440143</v>
      </c>
      <c r="AI28" s="107">
        <f>SUM(Model!AH253,Model!AH3196)</f>
        <v>34.14982021</v>
      </c>
      <c r="AJ28" s="107">
        <f>SUM(Model!AI253,Model!AI3196)</f>
        <v>34.14713026</v>
      </c>
      <c r="AK28" s="107">
        <f>SUM(Model!AJ253,Model!AJ3196)</f>
        <v>34.10626572</v>
      </c>
      <c r="AL28" s="107">
        <f>SUM(Model!AK253,Model!AK3196)</f>
        <v>34.11640374</v>
      </c>
      <c r="AM28" s="107">
        <f>SUM(Model!AL253,Model!AL3196)</f>
        <v>34.04751827</v>
      </c>
      <c r="AN28" s="107">
        <f>SUM(Model!AM253,Model!AM3196)</f>
        <v>33.95060322</v>
      </c>
      <c r="AO28" s="107">
        <f>SUM(Model!AN253,Model!AN3196)</f>
        <v>33.82858942</v>
      </c>
      <c r="AP28" s="107">
        <f>SUM(Model!AO253,Model!AO3196)</f>
        <v>33.75929525</v>
      </c>
      <c r="AQ28" s="107">
        <f>SUM(Model!AP253,Model!AP3196)</f>
        <v>33.69438886</v>
      </c>
      <c r="AR28" s="107">
        <f>SUM(Model!AQ253,Model!AQ3196)</f>
        <v>33.62821491</v>
      </c>
      <c r="AS28" s="107">
        <f>SUM(Model!AR253,Model!AR3196)</f>
        <v>33.61414079</v>
      </c>
      <c r="AT28" s="107">
        <f>SUM(Model!AS253,Model!AS3196)</f>
        <v>33.57250615</v>
      </c>
      <c r="AU28" s="107">
        <f>SUM(Model!AT253,Model!AT3196)</f>
        <v>33.49922376</v>
      </c>
      <c r="AV28" s="107">
        <f>SUM(Model!AU253,Model!AU3196)</f>
        <v>33.44346118</v>
      </c>
      <c r="AW28" s="107">
        <f>SUM(Model!AV253,Model!AV3196)</f>
        <v>33.31206848</v>
      </c>
      <c r="AX28" s="107">
        <f>SUM(Model!AW253,Model!AW3196)</f>
        <v>33.20615613</v>
      </c>
      <c r="AY28" s="107">
        <f>SUM(Model!AX253,Model!AX3196)</f>
        <v>33.13375395</v>
      </c>
      <c r="AZ28" s="107">
        <f>SUM(Model!AY253,Model!AY3196)</f>
        <v>33.07291074</v>
      </c>
      <c r="BA28" s="107">
        <f>SUM(Model!AZ253,Model!AZ3196)</f>
        <v>32.92686718</v>
      </c>
      <c r="BB28" s="107">
        <f>SUM(Model!BA253,Model!BA3196)</f>
        <v>32.85576926</v>
      </c>
      <c r="BC28" s="103"/>
    </row>
    <row r="29" ht="15.75" customHeight="1">
      <c r="A29" s="79" t="s">
        <v>245</v>
      </c>
      <c r="B29" s="106" t="s">
        <v>227</v>
      </c>
      <c r="C29" s="106" t="s">
        <v>244</v>
      </c>
      <c r="D29" s="107">
        <f>SUM(Model!C257,Model!C3200)</f>
        <v>4.991171302</v>
      </c>
      <c r="E29" s="107">
        <f>SUM(Model!D257,Model!D3200)</f>
        <v>6.017668188</v>
      </c>
      <c r="F29" s="107">
        <f>SUM(Model!E257,Model!E3200)</f>
        <v>6.928330798</v>
      </c>
      <c r="G29" s="107">
        <f>SUM(Model!F257,Model!F3200)</f>
        <v>8.202587264</v>
      </c>
      <c r="H29" s="107">
        <f>SUM(Model!G257,Model!G3200)</f>
        <v>7.118917729</v>
      </c>
      <c r="I29" s="107">
        <f>SUM(Model!H257,Model!H3200)</f>
        <v>6.799502588</v>
      </c>
      <c r="J29" s="107">
        <f>SUM(Model!I257,Model!I3200)</f>
        <v>7.403393657</v>
      </c>
      <c r="K29" s="107">
        <f>SUM(Model!J257,Model!J3200)</f>
        <v>13.06968951</v>
      </c>
      <c r="L29" s="107">
        <f>SUM(Model!K257,Model!K3200)</f>
        <v>19.83918573</v>
      </c>
      <c r="M29" s="107">
        <f>SUM(Model!L257,Model!L3200)</f>
        <v>22.74726873</v>
      </c>
      <c r="N29" s="107">
        <f>SUM(Model!M257,Model!M3200)</f>
        <v>14.46357867</v>
      </c>
      <c r="O29" s="107">
        <f>SUM(Model!N257,Model!N3200)</f>
        <v>21.63989054</v>
      </c>
      <c r="P29" s="107">
        <f>SUM(Model!O257,Model!O3200)</f>
        <v>14.30320642</v>
      </c>
      <c r="Q29" s="107">
        <f>SUM(Model!P257,Model!P3200)</f>
        <v>25.47271595</v>
      </c>
      <c r="R29" s="107">
        <f>SUM(Model!Q257,Model!Q3200)</f>
        <v>29.54298155</v>
      </c>
      <c r="S29" s="107">
        <f>SUM(Model!R257,Model!R3200)</f>
        <v>25.99832873</v>
      </c>
      <c r="T29" s="107">
        <f>SUM(Model!S257,Model!S3200)</f>
        <v>18.46714457</v>
      </c>
      <c r="U29" s="107">
        <f>SUM(Model!T257,Model!T3200)</f>
        <v>25.63707887</v>
      </c>
      <c r="V29" s="107">
        <f>SUM(Model!U257,Model!U3200)</f>
        <v>20.38269255</v>
      </c>
      <c r="W29" s="107">
        <f>SUM(Model!V257,Model!V3200)</f>
        <v>23.69552885</v>
      </c>
      <c r="X29" s="107">
        <f>SUM(Model!W257,Model!W3200)</f>
        <v>23.16670201</v>
      </c>
      <c r="Y29" s="107">
        <f>SUM(Model!X257,Model!X3200)</f>
        <v>23.27347205</v>
      </c>
      <c r="Z29" s="107">
        <f>SUM(Model!Y257,Model!Y3200)</f>
        <v>23.89654587</v>
      </c>
      <c r="AA29" s="107">
        <f>SUM(Model!Z257,Model!Z3200)</f>
        <v>24.08519353</v>
      </c>
      <c r="AB29" s="107">
        <f>SUM(Model!AA257,Model!AA3200)</f>
        <v>24.25257672</v>
      </c>
      <c r="AC29" s="107">
        <f>SUM(Model!AB257,Model!AB3200)</f>
        <v>24.16805465</v>
      </c>
      <c r="AD29" s="107">
        <f>SUM(Model!AC257,Model!AC3200)</f>
        <v>23.90495686</v>
      </c>
      <c r="AE29" s="107">
        <f>SUM(Model!AD257,Model!AD3200)</f>
        <v>23.97796471</v>
      </c>
      <c r="AF29" s="107">
        <f>SUM(Model!AE257,Model!AE3200)</f>
        <v>23.69312122</v>
      </c>
      <c r="AG29" s="107">
        <f>SUM(Model!AF257,Model!AF3200)</f>
        <v>23.57134727</v>
      </c>
      <c r="AH29" s="107">
        <f>SUM(Model!AG257,Model!AG3200)</f>
        <v>23.88861343</v>
      </c>
      <c r="AI29" s="107">
        <f>SUM(Model!AH257,Model!AH3200)</f>
        <v>24.02286202</v>
      </c>
      <c r="AJ29" s="107">
        <f>SUM(Model!AI257,Model!AI3200)</f>
        <v>23.66816044</v>
      </c>
      <c r="AK29" s="107">
        <f>SUM(Model!AJ257,Model!AJ3200)</f>
        <v>23.86343205</v>
      </c>
      <c r="AL29" s="107">
        <f>SUM(Model!AK257,Model!AK3200)</f>
        <v>23.70812798</v>
      </c>
      <c r="AM29" s="107">
        <f>SUM(Model!AL257,Model!AL3200)</f>
        <v>23.67016642</v>
      </c>
      <c r="AN29" s="107">
        <f>SUM(Model!AM257,Model!AM3200)</f>
        <v>23.45809202</v>
      </c>
      <c r="AO29" s="107">
        <f>SUM(Model!AN257,Model!AN3200)</f>
        <v>23.44093208</v>
      </c>
      <c r="AP29" s="107">
        <f>SUM(Model!AO257,Model!AO3200)</f>
        <v>23.29662237</v>
      </c>
      <c r="AQ29" s="107">
        <f>SUM(Model!AP257,Model!AP3200)</f>
        <v>23.30527371</v>
      </c>
      <c r="AR29" s="107">
        <f>SUM(Model!AQ257,Model!AQ3200)</f>
        <v>23.1569518</v>
      </c>
      <c r="AS29" s="107">
        <f>SUM(Model!AR257,Model!AR3200)</f>
        <v>23.24826953</v>
      </c>
      <c r="AT29" s="107">
        <f>SUM(Model!AS257,Model!AS3200)</f>
        <v>23.15788848</v>
      </c>
      <c r="AU29" s="107">
        <f>SUM(Model!AT257,Model!AT3200)</f>
        <v>23.31619417</v>
      </c>
      <c r="AV29" s="107">
        <f>SUM(Model!AU257,Model!AU3200)</f>
        <v>23.11083729</v>
      </c>
      <c r="AW29" s="107">
        <f>SUM(Model!AV257,Model!AV3200)</f>
        <v>22.90805415</v>
      </c>
      <c r="AX29" s="107">
        <f>SUM(Model!AW257,Model!AW3200)</f>
        <v>22.96681075</v>
      </c>
      <c r="AY29" s="107">
        <f>SUM(Model!AX257,Model!AX3200)</f>
        <v>23.00931711</v>
      </c>
      <c r="AZ29" s="107">
        <f>SUM(Model!AY257,Model!AY3200)</f>
        <v>22.72806551</v>
      </c>
      <c r="BA29" s="107">
        <f>SUM(Model!AZ257,Model!AZ3200)</f>
        <v>22.69282343</v>
      </c>
      <c r="BB29" s="107">
        <f>SUM(Model!BA257,Model!BA3200)</f>
        <v>22.61684575</v>
      </c>
      <c r="BC29" s="103"/>
    </row>
    <row r="30" ht="15.75" customHeight="1">
      <c r="A30" s="87" t="s">
        <v>246</v>
      </c>
      <c r="B30" s="108" t="s">
        <v>240</v>
      </c>
      <c r="C30" s="108" t="s">
        <v>247</v>
      </c>
      <c r="D30" s="109">
        <f>Model!C3364</f>
        <v>45.60505049</v>
      </c>
      <c r="E30" s="109">
        <f>Model!D3364</f>
        <v>45.9109988</v>
      </c>
      <c r="F30" s="109">
        <f>Model!E3364</f>
        <v>45.05182034</v>
      </c>
      <c r="G30" s="109">
        <f>Model!F3364</f>
        <v>47.19927625</v>
      </c>
      <c r="H30" s="109">
        <f>Model!G3364</f>
        <v>49.52083973</v>
      </c>
      <c r="I30" s="109">
        <f>Model!H3364</f>
        <v>55.63954666</v>
      </c>
      <c r="J30" s="109">
        <f>Model!I3364</f>
        <v>56.92956494</v>
      </c>
      <c r="K30" s="109">
        <f>Model!J3364</f>
        <v>66.31300775</v>
      </c>
      <c r="L30" s="109">
        <f>Model!K3364</f>
        <v>81.8636061</v>
      </c>
      <c r="M30" s="109">
        <f>Model!L3364</f>
        <v>78.02865303</v>
      </c>
      <c r="N30" s="109">
        <f>Model!M3364</f>
        <v>74.95940205</v>
      </c>
      <c r="O30" s="109">
        <f>Model!N3364</f>
        <v>87.66744474</v>
      </c>
      <c r="P30" s="109">
        <f>Model!O3364</f>
        <v>89.01252802</v>
      </c>
      <c r="Q30" s="109">
        <f>Model!P3364</f>
        <v>99.298667</v>
      </c>
      <c r="R30" s="109">
        <f>Model!Q3364</f>
        <v>113.4537213</v>
      </c>
      <c r="S30" s="109">
        <f>Model!R3364</f>
        <v>110.2287395</v>
      </c>
      <c r="T30" s="109">
        <f>Model!S3364</f>
        <v>98.33929383</v>
      </c>
      <c r="U30" s="109">
        <f>Model!T3364</f>
        <v>104.2303629</v>
      </c>
      <c r="V30" s="109">
        <f>Model!U3364</f>
        <v>107.1196122</v>
      </c>
      <c r="W30" s="109">
        <f>Model!V3364</f>
        <v>120.1773502</v>
      </c>
      <c r="X30" s="109">
        <f>Model!W3364</f>
        <v>122.5772578</v>
      </c>
      <c r="Y30" s="109">
        <f>Model!X3364</f>
        <v>123.7102934</v>
      </c>
      <c r="Z30" s="109">
        <f>Model!Y3364</f>
        <v>123.936216</v>
      </c>
      <c r="AA30" s="109">
        <f>Model!Z3364</f>
        <v>123.9264783</v>
      </c>
      <c r="AB30" s="109">
        <f>Model!AA3364</f>
        <v>124.4626208</v>
      </c>
      <c r="AC30" s="109">
        <f>Model!AB3364</f>
        <v>124.7144424</v>
      </c>
      <c r="AD30" s="109">
        <f>Model!AC3364</f>
        <v>125.2330682</v>
      </c>
      <c r="AE30" s="109">
        <f>Model!AD3364</f>
        <v>125.8426075</v>
      </c>
      <c r="AF30" s="109">
        <f>Model!AE3364</f>
        <v>125.9296642</v>
      </c>
      <c r="AG30" s="109">
        <f>Model!AF3364</f>
        <v>126.1848731</v>
      </c>
      <c r="AH30" s="109">
        <f>Model!AG3364</f>
        <v>126.3715088</v>
      </c>
      <c r="AI30" s="109">
        <f>Model!AH3364</f>
        <v>126.5069695</v>
      </c>
      <c r="AJ30" s="109">
        <f>Model!AI3364</f>
        <v>126.4200206</v>
      </c>
      <c r="AK30" s="109">
        <f>Model!AJ3364</f>
        <v>126.2653176</v>
      </c>
      <c r="AL30" s="109">
        <f>Model!AK3364</f>
        <v>126.1979472</v>
      </c>
      <c r="AM30" s="109">
        <f>Model!AL3364</f>
        <v>125.9782919</v>
      </c>
      <c r="AN30" s="109">
        <f>Model!AM3364</f>
        <v>125.6881752</v>
      </c>
      <c r="AO30" s="109">
        <f>Model!AN3364</f>
        <v>125.3511134</v>
      </c>
      <c r="AP30" s="109">
        <f>Model!AO3364</f>
        <v>125.1323126</v>
      </c>
      <c r="AQ30" s="109">
        <f>Model!AP3364</f>
        <v>124.9391941</v>
      </c>
      <c r="AR30" s="109">
        <f>Model!AQ3364</f>
        <v>124.736424</v>
      </c>
      <c r="AS30" s="109">
        <f>Model!AR3364</f>
        <v>124.6777878</v>
      </c>
      <c r="AT30" s="109">
        <f>Model!AS3364</f>
        <v>124.5308471</v>
      </c>
      <c r="AU30" s="109">
        <f>Model!AT3364</f>
        <v>124.3042489</v>
      </c>
      <c r="AV30" s="109">
        <f>Model!AU3364</f>
        <v>124.088276</v>
      </c>
      <c r="AW30" s="109">
        <f>Model!AV3364</f>
        <v>123.6960829</v>
      </c>
      <c r="AX30" s="109">
        <f>Model!AW3364</f>
        <v>123.3864275</v>
      </c>
      <c r="AY30" s="109">
        <f>Model!AX3364</f>
        <v>123.1388661</v>
      </c>
      <c r="AZ30" s="109">
        <f>Model!AY3364</f>
        <v>122.8907026</v>
      </c>
      <c r="BA30" s="109">
        <f>Model!AZ3364</f>
        <v>122.4303587</v>
      </c>
      <c r="BB30" s="109">
        <f>Model!BA3364</f>
        <v>122.1610024</v>
      </c>
      <c r="BC30" s="101"/>
      <c r="BD30" s="102"/>
      <c r="BE30" s="102"/>
      <c r="BF30" s="102"/>
      <c r="BG30" s="102"/>
      <c r="BH30" s="102"/>
      <c r="BI30" s="102"/>
      <c r="BJ30" s="102"/>
      <c r="BK30" s="102"/>
      <c r="BL30" s="102"/>
      <c r="BM30" s="102"/>
      <c r="BN30" s="102"/>
      <c r="BO30" s="102"/>
      <c r="BP30" s="102"/>
    </row>
    <row r="31" ht="15.75" customHeight="1">
      <c r="A31" s="87" t="s">
        <v>248</v>
      </c>
      <c r="B31" s="108" t="s">
        <v>227</v>
      </c>
      <c r="C31" s="108" t="s">
        <v>247</v>
      </c>
      <c r="D31" s="109">
        <f>Model!C3365</f>
        <v>31.1</v>
      </c>
      <c r="E31" s="109">
        <f>Model!D3365</f>
        <v>41.7</v>
      </c>
      <c r="F31" s="109">
        <f>Model!E3365</f>
        <v>33.8</v>
      </c>
      <c r="G31" s="109">
        <f>Model!F3365</f>
        <v>44.7</v>
      </c>
      <c r="H31" s="109">
        <f>Model!G3365</f>
        <v>51.7</v>
      </c>
      <c r="I31" s="109">
        <f>Model!H3365</f>
        <v>71.7</v>
      </c>
      <c r="J31" s="109">
        <f>Model!I3365</f>
        <v>98.8</v>
      </c>
      <c r="K31" s="109">
        <f>Model!J3365</f>
        <v>108.1</v>
      </c>
      <c r="L31" s="109">
        <f>Model!K3365</f>
        <v>125.3</v>
      </c>
      <c r="M31" s="109">
        <f>Model!L3365</f>
        <v>87.2</v>
      </c>
      <c r="N31" s="109">
        <f>Model!M3365</f>
        <v>103.1</v>
      </c>
      <c r="O31" s="109">
        <f>Model!N3365</f>
        <v>130.2</v>
      </c>
      <c r="P31" s="109">
        <f>Model!O3365</f>
        <v>162.7</v>
      </c>
      <c r="Q31" s="109">
        <f>Model!P3365</f>
        <v>170.6</v>
      </c>
      <c r="R31" s="109">
        <f>Model!Q3365</f>
        <v>203.9</v>
      </c>
      <c r="S31" s="109">
        <f>Model!R3365</f>
        <v>149.6</v>
      </c>
      <c r="T31" s="109">
        <f>Model!S3365</f>
        <v>79.9</v>
      </c>
      <c r="U31" s="109">
        <f>Model!T3365</f>
        <v>112.3</v>
      </c>
      <c r="V31" s="109">
        <f>Model!U3365</f>
        <v>168.5105323</v>
      </c>
      <c r="W31" s="109">
        <f>Model!V3365</f>
        <v>189.6636615</v>
      </c>
      <c r="X31" s="109">
        <f>Model!W3365</f>
        <v>206.582089</v>
      </c>
      <c r="Y31" s="109">
        <f>Model!X3365</f>
        <v>217.351437</v>
      </c>
      <c r="Z31" s="109">
        <f>Model!Y3365</f>
        <v>220.1246444</v>
      </c>
      <c r="AA31" s="109">
        <f>Model!Z3365</f>
        <v>224.9103731</v>
      </c>
      <c r="AB31" s="109">
        <f>Model!AA3365</f>
        <v>235.1595854</v>
      </c>
      <c r="AC31" s="109">
        <f>Model!AB3365</f>
        <v>243.4061019</v>
      </c>
      <c r="AD31" s="109">
        <f>Model!AC3365</f>
        <v>252.5479446</v>
      </c>
      <c r="AE31" s="109">
        <f>Model!AD3365</f>
        <v>262.81877</v>
      </c>
      <c r="AF31" s="109">
        <f>Model!AE3365</f>
        <v>269.175029</v>
      </c>
      <c r="AG31" s="109">
        <f>Model!AF3365</f>
        <v>277.069537</v>
      </c>
      <c r="AH31" s="109">
        <f>Model!AG3365</f>
        <v>283.7640479</v>
      </c>
      <c r="AI31" s="109">
        <f>Model!AH3365</f>
        <v>291.1472762</v>
      </c>
      <c r="AJ31" s="109">
        <f>Model!AI3365</f>
        <v>296.0584149</v>
      </c>
      <c r="AK31" s="109">
        <f>Model!AJ3365</f>
        <v>303.5991857</v>
      </c>
      <c r="AL31" s="109">
        <f>Model!AK3365</f>
        <v>308.1018894</v>
      </c>
      <c r="AM31" s="109">
        <f>Model!AL3365</f>
        <v>313.6107738</v>
      </c>
      <c r="AN31" s="109">
        <f>Model!AM3365</f>
        <v>319.7110538</v>
      </c>
      <c r="AO31" s="109">
        <f>Model!AN3365</f>
        <v>321.2982685</v>
      </c>
      <c r="AP31" s="109">
        <f>Model!AO3365</f>
        <v>326.7825855</v>
      </c>
      <c r="AQ31" s="109">
        <f>Model!AP3365</f>
        <v>331.7565222</v>
      </c>
      <c r="AR31" s="109">
        <f>Model!AQ3365</f>
        <v>338.389383</v>
      </c>
      <c r="AS31" s="109">
        <f>Model!AR3365</f>
        <v>344.2856115</v>
      </c>
      <c r="AT31" s="109">
        <f>Model!AS3365</f>
        <v>351.5722606</v>
      </c>
      <c r="AU31" s="109">
        <f>Model!AT3365</f>
        <v>356.2649178</v>
      </c>
      <c r="AV31" s="109">
        <f>Model!AU3365</f>
        <v>361.8447209</v>
      </c>
      <c r="AW31" s="109">
        <f>Model!AV3365</f>
        <v>366.7061776</v>
      </c>
      <c r="AX31" s="109">
        <f>Model!AW3365</f>
        <v>371.8051804</v>
      </c>
      <c r="AY31" s="109">
        <f>Model!AX3365</f>
        <v>377.3722989</v>
      </c>
      <c r="AZ31" s="109">
        <f>Model!AY3365</f>
        <v>383.2136804</v>
      </c>
      <c r="BA31" s="109">
        <f>Model!AZ3365</f>
        <v>387.5942312</v>
      </c>
      <c r="BB31" s="109">
        <f>Model!BA3365</f>
        <v>392.9965976</v>
      </c>
      <c r="BC31" s="101"/>
      <c r="BD31" s="102"/>
      <c r="BE31" s="102"/>
      <c r="BF31" s="102"/>
      <c r="BG31" s="102"/>
      <c r="BH31" s="102"/>
      <c r="BI31" s="102"/>
      <c r="BJ31" s="102"/>
      <c r="BK31" s="102"/>
      <c r="BL31" s="102"/>
      <c r="BM31" s="102"/>
      <c r="BN31" s="102"/>
      <c r="BO31" s="102"/>
      <c r="BP31" s="102"/>
    </row>
    <row r="32" ht="15.75" customHeight="1">
      <c r="A32" s="79" t="s">
        <v>249</v>
      </c>
      <c r="B32" s="106" t="s">
        <v>240</v>
      </c>
      <c r="C32" s="106" t="s">
        <v>250</v>
      </c>
      <c r="D32" s="107">
        <f>Model!C659</f>
        <v>27.09</v>
      </c>
      <c r="E32" s="107">
        <f>Model!D659</f>
        <v>28.37614843</v>
      </c>
      <c r="F32" s="107">
        <f>Model!E659</f>
        <v>25.68388706</v>
      </c>
      <c r="G32" s="107">
        <f>Model!F659</f>
        <v>33.86773648</v>
      </c>
      <c r="H32" s="107">
        <f>Model!G659</f>
        <v>35.12535196</v>
      </c>
      <c r="I32" s="107">
        <f>Model!H659</f>
        <v>42</v>
      </c>
      <c r="J32" s="107">
        <f>Model!I659</f>
        <v>37.39177744</v>
      </c>
      <c r="K32" s="107">
        <f>Model!J659</f>
        <v>37.98745882</v>
      </c>
      <c r="L32" s="107">
        <f>Model!K659</f>
        <v>42.066295</v>
      </c>
      <c r="M32" s="107">
        <f>Model!L659</f>
        <v>28.2900723</v>
      </c>
      <c r="N32" s="107">
        <f>Model!M659</f>
        <v>32.22</v>
      </c>
      <c r="O32" s="107">
        <f>Model!N659</f>
        <v>28.54700414</v>
      </c>
      <c r="P32" s="107">
        <f>Model!O659</f>
        <v>22.1772155</v>
      </c>
      <c r="Q32" s="107">
        <f>Model!P659</f>
        <v>27.35893997</v>
      </c>
      <c r="R32" s="107">
        <f>Model!Q659</f>
        <v>30.05097115</v>
      </c>
      <c r="S32" s="107">
        <f>Model!R659</f>
        <v>21.83</v>
      </c>
      <c r="T32" s="107">
        <f>Model!S659</f>
        <v>20.84</v>
      </c>
      <c r="U32" s="107">
        <f>Model!T659</f>
        <v>23.32</v>
      </c>
      <c r="V32" s="107">
        <f>Model!U659</f>
        <v>24.59343699</v>
      </c>
      <c r="W32" s="107">
        <f>Model!V659</f>
        <v>24.21884741</v>
      </c>
      <c r="X32" s="107">
        <f>Model!W659</f>
        <v>25.00338815</v>
      </c>
      <c r="Y32" s="107">
        <f>Model!X659</f>
        <v>24.98103571</v>
      </c>
      <c r="Z32" s="107">
        <f>Model!Y659</f>
        <v>25.42388613</v>
      </c>
      <c r="AA32" s="107">
        <f>Model!Z659</f>
        <v>26.5460716</v>
      </c>
      <c r="AB32" s="107">
        <f>Model!AA659</f>
        <v>27.86795623</v>
      </c>
      <c r="AC32" s="107">
        <f>Model!AB659</f>
        <v>29.38894756</v>
      </c>
      <c r="AD32" s="107">
        <f>Model!AC659</f>
        <v>30.11317757</v>
      </c>
      <c r="AE32" s="107">
        <f>Model!AD659</f>
        <v>30.60687087</v>
      </c>
      <c r="AF32" s="107">
        <f>Model!AE659</f>
        <v>31.35078438</v>
      </c>
      <c r="AG32" s="107">
        <f>Model!AF659</f>
        <v>31.80265387</v>
      </c>
      <c r="AH32" s="107">
        <f>Model!AG659</f>
        <v>32.33471795</v>
      </c>
      <c r="AI32" s="107">
        <f>Model!AH659</f>
        <v>32.63000737</v>
      </c>
      <c r="AJ32" s="107">
        <f>Model!AI659</f>
        <v>33.58913993</v>
      </c>
      <c r="AK32" s="107">
        <f>Model!AJ659</f>
        <v>34.21173787</v>
      </c>
      <c r="AL32" s="107">
        <f>Model!AK659</f>
        <v>34.76244797</v>
      </c>
      <c r="AM32" s="107">
        <f>Model!AL659</f>
        <v>35.30944093</v>
      </c>
      <c r="AN32" s="107">
        <f>Model!AM659</f>
        <v>36.00552341</v>
      </c>
      <c r="AO32" s="107">
        <f>Model!AN659</f>
        <v>36.46392026</v>
      </c>
      <c r="AP32" s="107">
        <f>Model!AO659</f>
        <v>36.88076633</v>
      </c>
      <c r="AQ32" s="107">
        <f>Model!AP659</f>
        <v>37.34647136</v>
      </c>
      <c r="AR32" s="107">
        <f>Model!AQ659</f>
        <v>37.96663388</v>
      </c>
      <c r="AS32" s="107">
        <f>Model!AR659</f>
        <v>38.29894859</v>
      </c>
      <c r="AT32" s="107">
        <f>Model!AS659</f>
        <v>38.85132825</v>
      </c>
      <c r="AU32" s="107">
        <f>Model!AT659</f>
        <v>39.48157535</v>
      </c>
      <c r="AV32" s="107">
        <f>Model!AU659</f>
        <v>40.18428908</v>
      </c>
      <c r="AW32" s="107">
        <f>Model!AV659</f>
        <v>40.85860004</v>
      </c>
      <c r="AX32" s="107">
        <f>Model!AW659</f>
        <v>41.44782134</v>
      </c>
      <c r="AY32" s="107">
        <f>Model!AX659</f>
        <v>42.10329973</v>
      </c>
      <c r="AZ32" s="107">
        <f>Model!AY659</f>
        <v>42.97274654</v>
      </c>
      <c r="BA32" s="107">
        <f>Model!AZ659</f>
        <v>43.72419466</v>
      </c>
      <c r="BB32" s="107">
        <f>Model!BA659</f>
        <v>44.42113048</v>
      </c>
      <c r="BC32" s="103"/>
    </row>
    <row r="33" ht="15.75" customHeight="1">
      <c r="A33" s="79" t="s">
        <v>251</v>
      </c>
      <c r="B33" s="106" t="s">
        <v>227</v>
      </c>
      <c r="C33" s="106" t="s">
        <v>250</v>
      </c>
      <c r="D33" s="107">
        <f>Model!C660</f>
        <v>5.44</v>
      </c>
      <c r="E33" s="107">
        <f>Model!D660</f>
        <v>4.55</v>
      </c>
      <c r="F33" s="107">
        <f>Model!E660</f>
        <v>4.89</v>
      </c>
      <c r="G33" s="107">
        <f>Model!F660</f>
        <v>3.93</v>
      </c>
      <c r="H33" s="107">
        <f>Model!G660</f>
        <v>5.55</v>
      </c>
      <c r="I33" s="107">
        <f>Model!H660</f>
        <v>5.02</v>
      </c>
      <c r="J33" s="107">
        <f>Model!I660</f>
        <v>5.16</v>
      </c>
      <c r="K33" s="107">
        <f>Model!J660</f>
        <v>4.85</v>
      </c>
      <c r="L33" s="107">
        <f>Model!K660</f>
        <v>5.43</v>
      </c>
      <c r="M33" s="107">
        <f>Model!L660</f>
        <v>4.95</v>
      </c>
      <c r="N33" s="107">
        <f>Model!M660</f>
        <v>5.67</v>
      </c>
      <c r="O33" s="107">
        <f>Model!N660</f>
        <v>6.99</v>
      </c>
      <c r="P33" s="107">
        <f>Model!O660</f>
        <v>7.36</v>
      </c>
      <c r="Q33" s="107">
        <f>Model!P660</f>
        <v>8</v>
      </c>
      <c r="R33" s="107">
        <f>Model!Q660</f>
        <v>9.67</v>
      </c>
      <c r="S33" s="107">
        <f>Model!R660</f>
        <v>11.61</v>
      </c>
      <c r="T33" s="107">
        <f>Model!S660</f>
        <v>13.43</v>
      </c>
      <c r="U33" s="107">
        <f>Model!T660</f>
        <v>14.88</v>
      </c>
      <c r="V33" s="107">
        <f>Model!U660</f>
        <v>13.87655737</v>
      </c>
      <c r="W33" s="107">
        <f>Model!V660</f>
        <v>14.51106668</v>
      </c>
      <c r="X33" s="107">
        <f>Model!W660</f>
        <v>15.04696062</v>
      </c>
      <c r="Y33" s="107">
        <f>Model!X660</f>
        <v>15.66740327</v>
      </c>
      <c r="Z33" s="107">
        <f>Model!Y660</f>
        <v>16.25213067</v>
      </c>
      <c r="AA33" s="107">
        <f>Model!Z660</f>
        <v>16.77532627</v>
      </c>
      <c r="AB33" s="107">
        <f>Model!AA660</f>
        <v>17.27760397</v>
      </c>
      <c r="AC33" s="107">
        <f>Model!AB660</f>
        <v>17.75309107</v>
      </c>
      <c r="AD33" s="107">
        <f>Model!AC660</f>
        <v>18.32630884</v>
      </c>
      <c r="AE33" s="107">
        <f>Model!AD660</f>
        <v>18.93573647</v>
      </c>
      <c r="AF33" s="107">
        <f>Model!AE660</f>
        <v>19.51819606</v>
      </c>
      <c r="AG33" s="107">
        <f>Model!AF660</f>
        <v>20.14753819</v>
      </c>
      <c r="AH33" s="107">
        <f>Model!AG660</f>
        <v>20.77286983</v>
      </c>
      <c r="AI33" s="107">
        <f>Model!AH660</f>
        <v>21.44091442</v>
      </c>
      <c r="AJ33" s="107">
        <f>Model!AI660</f>
        <v>22.01468082</v>
      </c>
      <c r="AK33" s="107">
        <f>Model!AJ660</f>
        <v>22.64524284</v>
      </c>
      <c r="AL33" s="107">
        <f>Model!AK660</f>
        <v>23.29387422</v>
      </c>
      <c r="AM33" s="107">
        <f>Model!AL660</f>
        <v>23.94976264</v>
      </c>
      <c r="AN33" s="107">
        <f>Model!AM660</f>
        <v>24.58515424</v>
      </c>
      <c r="AO33" s="107">
        <f>Model!AN660</f>
        <v>25.26990907</v>
      </c>
      <c r="AP33" s="107">
        <f>Model!AO660</f>
        <v>25.97007616</v>
      </c>
      <c r="AQ33" s="107">
        <f>Model!AP660</f>
        <v>26.66842296</v>
      </c>
      <c r="AR33" s="107">
        <f>Model!AQ660</f>
        <v>27.34258087</v>
      </c>
      <c r="AS33" s="107">
        <f>Model!AR660</f>
        <v>28.08256674</v>
      </c>
      <c r="AT33" s="107">
        <f>Model!AS660</f>
        <v>28.78392388</v>
      </c>
      <c r="AU33" s="107">
        <f>Model!AT660</f>
        <v>29.47394501</v>
      </c>
      <c r="AV33" s="107">
        <f>Model!AU660</f>
        <v>30.15183035</v>
      </c>
      <c r="AW33" s="107">
        <f>Model!AV660</f>
        <v>30.83984104</v>
      </c>
      <c r="AX33" s="107">
        <f>Model!AW660</f>
        <v>31.55283618</v>
      </c>
      <c r="AY33" s="107">
        <f>Model!AX660</f>
        <v>32.25351183</v>
      </c>
      <c r="AZ33" s="107">
        <f>Model!AY660</f>
        <v>32.89926649</v>
      </c>
      <c r="BA33" s="107">
        <f>Model!AZ660</f>
        <v>33.57697713</v>
      </c>
      <c r="BB33" s="107">
        <f>Model!BA660</f>
        <v>34.27169117</v>
      </c>
      <c r="BC33" s="103"/>
    </row>
    <row r="34" ht="15.75" customHeight="1">
      <c r="A34" s="110" t="s">
        <v>252</v>
      </c>
      <c r="B34" s="111" t="s">
        <v>253</v>
      </c>
      <c r="C34" s="111" t="s">
        <v>254</v>
      </c>
      <c r="D34" s="101">
        <f>Model!C657</f>
        <v>0.619544</v>
      </c>
      <c r="E34" s="101">
        <f>Model!D657</f>
        <v>0.580233</v>
      </c>
      <c r="F34" s="101">
        <f>Model!E657</f>
        <v>0.582736</v>
      </c>
      <c r="G34" s="101">
        <f>Model!F657</f>
        <v>0.609071</v>
      </c>
      <c r="H34" s="101">
        <f>Model!G657</f>
        <v>0.595343</v>
      </c>
      <c r="I34" s="101">
        <f>Model!H657</f>
        <v>0.592389</v>
      </c>
      <c r="J34" s="101">
        <f>Model!I657</f>
        <v>0.539837</v>
      </c>
      <c r="K34" s="101">
        <f>Model!J657</f>
        <v>0.540938</v>
      </c>
      <c r="L34" s="101">
        <f>Model!K657</f>
        <v>0.579261</v>
      </c>
      <c r="M34" s="101">
        <f>Model!L657</f>
        <v>0.573638</v>
      </c>
      <c r="N34" s="101">
        <f>Model!M657</f>
        <v>0.647169</v>
      </c>
      <c r="O34" s="101">
        <f>Model!N657</f>
        <v>0.56529</v>
      </c>
      <c r="P34" s="101">
        <f>Model!O657</f>
        <v>0.492083</v>
      </c>
      <c r="Q34" s="101">
        <f>Model!P657</f>
        <v>0.595788</v>
      </c>
      <c r="R34" s="101">
        <f>Model!Q657</f>
        <v>0.653358</v>
      </c>
      <c r="S34" s="101">
        <f>Model!R657</f>
        <v>0.581622</v>
      </c>
      <c r="T34" s="101">
        <f>Model!S657</f>
        <v>0.555076</v>
      </c>
      <c r="U34" s="101">
        <f>Model!T657</f>
        <v>0.5483600423</v>
      </c>
      <c r="V34" s="101">
        <f>Model!U657</f>
        <v>0.550601528</v>
      </c>
      <c r="W34" s="101">
        <f>Model!V657</f>
        <v>0.5528430136</v>
      </c>
      <c r="X34" s="101">
        <f>Model!W657</f>
        <v>0.5550844992</v>
      </c>
      <c r="Y34" s="101">
        <f>Model!X657</f>
        <v>0.5573259849</v>
      </c>
      <c r="Z34" s="101">
        <f>Model!Y657</f>
        <v>0.5595674705</v>
      </c>
      <c r="AA34" s="101">
        <f>Model!Z657</f>
        <v>0.5618089561</v>
      </c>
      <c r="AB34" s="101">
        <f>Model!AA657</f>
        <v>0.5640504417</v>
      </c>
      <c r="AC34" s="101">
        <f>Model!AB657</f>
        <v>0.5662919274</v>
      </c>
      <c r="AD34" s="101">
        <f>Model!AC657</f>
        <v>0.568533413</v>
      </c>
      <c r="AE34" s="101">
        <f>Model!AD657</f>
        <v>0.5707748986</v>
      </c>
      <c r="AF34" s="101">
        <f>Model!AE657</f>
        <v>0.5730163843</v>
      </c>
      <c r="AG34" s="101">
        <f>Model!AF657</f>
        <v>0.5752578699</v>
      </c>
      <c r="AH34" s="101">
        <f>Model!AG657</f>
        <v>0.5774993555</v>
      </c>
      <c r="AI34" s="101">
        <f>Model!AH657</f>
        <v>0.5797408412</v>
      </c>
      <c r="AJ34" s="101">
        <f>Model!AI657</f>
        <v>0.5819823268</v>
      </c>
      <c r="AK34" s="101">
        <f>Model!AJ657</f>
        <v>0.5842238124</v>
      </c>
      <c r="AL34" s="101">
        <f>Model!AK657</f>
        <v>0.586465298</v>
      </c>
      <c r="AM34" s="101">
        <f>Model!AL657</f>
        <v>0.5887067837</v>
      </c>
      <c r="AN34" s="101">
        <f>Model!AM657</f>
        <v>0.5909482693</v>
      </c>
      <c r="AO34" s="101">
        <f>Model!AN657</f>
        <v>0.5931897549</v>
      </c>
      <c r="AP34" s="101">
        <f>Model!AO657</f>
        <v>0.5954312406</v>
      </c>
      <c r="AQ34" s="101">
        <f>Model!AP657</f>
        <v>0.5976727262</v>
      </c>
      <c r="AR34" s="101">
        <f>Model!AQ657</f>
        <v>0.5999142118</v>
      </c>
      <c r="AS34" s="101">
        <f>Model!AR657</f>
        <v>0.6021556974</v>
      </c>
      <c r="AT34" s="101">
        <f>Model!AS657</f>
        <v>0.6043971831</v>
      </c>
      <c r="AU34" s="101">
        <f>Model!AT657</f>
        <v>0.6066386687</v>
      </c>
      <c r="AV34" s="101">
        <f>Model!AU657</f>
        <v>0.6088801543</v>
      </c>
      <c r="AW34" s="101">
        <f>Model!AV657</f>
        <v>0.61112164</v>
      </c>
      <c r="AX34" s="101">
        <f>Model!AW657</f>
        <v>0.6133631256</v>
      </c>
      <c r="AY34" s="101">
        <f>Model!AX657</f>
        <v>0.6156046112</v>
      </c>
      <c r="AZ34" s="101">
        <f>Model!AY657</f>
        <v>0.6178460968</v>
      </c>
      <c r="BA34" s="101">
        <f>Model!AZ657</f>
        <v>0.6200875825</v>
      </c>
      <c r="BB34" s="101">
        <f>Model!BA657</f>
        <v>0.6223290681</v>
      </c>
      <c r="BC34" s="102"/>
      <c r="BD34" s="102"/>
      <c r="BE34" s="102"/>
      <c r="BF34" s="102"/>
      <c r="BG34" s="102"/>
      <c r="BH34" s="102"/>
      <c r="BI34" s="102"/>
      <c r="BJ34" s="102"/>
      <c r="BK34" s="102"/>
      <c r="BL34" s="102"/>
      <c r="BM34" s="102"/>
      <c r="BN34" s="102"/>
      <c r="BO34" s="102"/>
      <c r="BP34" s="102"/>
    </row>
    <row r="35" ht="15.75" customHeight="1">
      <c r="A35" s="110" t="s">
        <v>255</v>
      </c>
      <c r="B35" s="111" t="s">
        <v>253</v>
      </c>
      <c r="C35" s="111" t="s">
        <v>223</v>
      </c>
      <c r="D35" s="101">
        <f>Model!C434</f>
        <v>0.1904703384</v>
      </c>
      <c r="E35" s="101">
        <f>Model!D434</f>
        <v>0.3158500042</v>
      </c>
      <c r="F35" s="101">
        <f>Model!E434</f>
        <v>0.3921189775</v>
      </c>
      <c r="G35" s="101">
        <f>Model!F434</f>
        <v>0.2384209668</v>
      </c>
      <c r="H35" s="101">
        <f>Model!G434</f>
        <v>0.3222873389</v>
      </c>
      <c r="I35" s="101">
        <f>Model!H434</f>
        <v>0.3840003657</v>
      </c>
      <c r="J35" s="101">
        <f>Model!I434</f>
        <v>0.4629975086</v>
      </c>
      <c r="K35" s="101">
        <f>Model!J434</f>
        <v>0.5730551497</v>
      </c>
      <c r="L35" s="101">
        <f>Model!K434</f>
        <v>0.5365422841</v>
      </c>
      <c r="M35" s="101">
        <f>Model!L434</f>
        <v>0.7234974558</v>
      </c>
      <c r="N35" s="101">
        <f>Model!M434</f>
        <v>0.9171641176</v>
      </c>
      <c r="O35" s="101">
        <f>Model!N434</f>
        <v>1.052276824</v>
      </c>
      <c r="P35" s="101">
        <f>Model!O434</f>
        <v>1.428627237</v>
      </c>
      <c r="Q35" s="101">
        <f>Model!P434</f>
        <v>1.314327103</v>
      </c>
      <c r="R35" s="101">
        <f>Model!Q434</f>
        <v>1.350490917</v>
      </c>
      <c r="S35" s="101">
        <f>Model!R434</f>
        <v>1.752215847</v>
      </c>
      <c r="T35" s="101">
        <f>Model!S434</f>
        <v>1.915784766</v>
      </c>
      <c r="U35" s="101">
        <f>Model!T434</f>
        <v>1.849232501</v>
      </c>
      <c r="V35" s="101">
        <f>Model!U434</f>
        <v>1.953172475</v>
      </c>
      <c r="W35" s="101">
        <f>Model!V434</f>
        <v>1.913005854</v>
      </c>
      <c r="X35" s="101">
        <f>Model!W434</f>
        <v>1.872839232</v>
      </c>
      <c r="Y35" s="101">
        <f>Model!X434</f>
        <v>1.844029059</v>
      </c>
      <c r="Z35" s="101">
        <f>Model!Y434</f>
        <v>1.814866029</v>
      </c>
      <c r="AA35" s="101">
        <f>Model!Z434</f>
        <v>1.78535014</v>
      </c>
      <c r="AB35" s="101">
        <f>Model!AA434</f>
        <v>1.755481394</v>
      </c>
      <c r="AC35" s="101">
        <f>Model!AB434</f>
        <v>1.72525979</v>
      </c>
      <c r="AD35" s="101">
        <f>Model!AC434</f>
        <v>1.694685329</v>
      </c>
      <c r="AE35" s="101">
        <f>Model!AD434</f>
        <v>1.663758009</v>
      </c>
      <c r="AF35" s="101">
        <f>Model!AE434</f>
        <v>1.674055885</v>
      </c>
      <c r="AG35" s="101">
        <f>Model!AF434</f>
        <v>1.68435376</v>
      </c>
      <c r="AH35" s="101">
        <f>Model!AG434</f>
        <v>1.694651636</v>
      </c>
      <c r="AI35" s="101">
        <f>Model!AH434</f>
        <v>1.704949512</v>
      </c>
      <c r="AJ35" s="101">
        <f>Model!AI434</f>
        <v>1.715247387</v>
      </c>
      <c r="AK35" s="101">
        <f>Model!AJ434</f>
        <v>1.725545263</v>
      </c>
      <c r="AL35" s="101">
        <f>Model!AK434</f>
        <v>1.735843139</v>
      </c>
      <c r="AM35" s="101">
        <f>Model!AL434</f>
        <v>1.746141014</v>
      </c>
      <c r="AN35" s="101">
        <f>Model!AM434</f>
        <v>1.75643889</v>
      </c>
      <c r="AO35" s="101">
        <f>Model!AN434</f>
        <v>1.766736766</v>
      </c>
      <c r="AP35" s="101">
        <f>Model!AO434</f>
        <v>1.777034641</v>
      </c>
      <c r="AQ35" s="101">
        <f>Model!AP434</f>
        <v>1.787332517</v>
      </c>
      <c r="AR35" s="101">
        <f>Model!AQ434</f>
        <v>1.797630393</v>
      </c>
      <c r="AS35" s="101">
        <f>Model!AR434</f>
        <v>1.807928268</v>
      </c>
      <c r="AT35" s="101">
        <f>Model!AS434</f>
        <v>1.818226144</v>
      </c>
      <c r="AU35" s="101">
        <f>Model!AT434</f>
        <v>1.82852402</v>
      </c>
      <c r="AV35" s="101">
        <f>Model!AU434</f>
        <v>1.838821895</v>
      </c>
      <c r="AW35" s="101">
        <f>Model!AV434</f>
        <v>1.849119771</v>
      </c>
      <c r="AX35" s="101">
        <f>Model!AW434</f>
        <v>1.859417646</v>
      </c>
      <c r="AY35" s="101">
        <f>Model!AX434</f>
        <v>1.869715522</v>
      </c>
      <c r="AZ35" s="101">
        <f>Model!AY434</f>
        <v>1.880013398</v>
      </c>
      <c r="BA35" s="101">
        <f>Model!AZ434</f>
        <v>1.890311273</v>
      </c>
      <c r="BB35" s="101">
        <f>Model!BA434</f>
        <v>1.900609149</v>
      </c>
      <c r="BC35" s="102"/>
      <c r="BD35" s="102"/>
      <c r="BE35" s="102"/>
      <c r="BF35" s="102"/>
      <c r="BG35" s="102"/>
      <c r="BH35" s="102"/>
      <c r="BI35" s="102"/>
      <c r="BJ35" s="102"/>
      <c r="BK35" s="102"/>
      <c r="BL35" s="102"/>
      <c r="BM35" s="102"/>
      <c r="BN35" s="102"/>
      <c r="BO35" s="102"/>
      <c r="BP35" s="102"/>
    </row>
    <row r="36" ht="15.75" customHeight="1">
      <c r="A36" s="110" t="s">
        <v>256</v>
      </c>
      <c r="B36" s="111" t="s">
        <v>253</v>
      </c>
      <c r="C36" s="111" t="s">
        <v>257</v>
      </c>
      <c r="D36" s="101">
        <f>'Assumptions (NG non-electricity'!B7</f>
        <v>0.864365</v>
      </c>
      <c r="E36" s="101">
        <f>'Assumptions (NG non-electricity'!C7</f>
        <v>0.720209</v>
      </c>
      <c r="F36" s="101">
        <f>'Assumptions (NG non-electricity'!D7</f>
        <v>0.758307</v>
      </c>
      <c r="G36" s="101">
        <f>'Assumptions (NG non-electricity'!E7</f>
        <v>0.73021</v>
      </c>
      <c r="H36" s="101">
        <f>'Assumptions (NG non-electricity'!F7</f>
        <v>0.734689</v>
      </c>
      <c r="I36" s="101">
        <f>'Assumptions (NG non-electricity'!G7</f>
        <v>0.69999</v>
      </c>
      <c r="J36" s="101">
        <f>'Assumptions (NG non-electricity'!H7</f>
        <v>0.711421</v>
      </c>
      <c r="K36" s="101">
        <f>'Assumptions (NG non-electricity'!I7</f>
        <v>0.709551</v>
      </c>
      <c r="L36" s="101">
        <f>'Assumptions (NG non-electricity'!J7</f>
        <v>0.698147</v>
      </c>
      <c r="M36" s="101">
        <f>'Assumptions (NG non-electricity'!K7</f>
        <v>0.644659</v>
      </c>
      <c r="N36" s="101">
        <f>'Assumptions (NG non-electricity'!L7</f>
        <v>0.70936</v>
      </c>
      <c r="O36" s="101">
        <f>'Assumptions (NG non-electricity'!M7</f>
        <v>0.726666</v>
      </c>
      <c r="P36" s="101">
        <f>'Assumptions (NG non-electricity'!N7</f>
        <v>0.75458</v>
      </c>
      <c r="Q36" s="101">
        <f>'Assumptions (NG non-electricity'!O7</f>
        <v>0.79134</v>
      </c>
      <c r="R36" s="101">
        <f>'Assumptions (NG non-electricity'!P7</f>
        <v>0.81133</v>
      </c>
      <c r="S36" s="101">
        <f>'Assumptions (NG non-electricity'!Q7</f>
        <v>0.815598</v>
      </c>
      <c r="T36" s="101">
        <f>'Assumptions (NG non-electricity'!R7</f>
        <v>0.820734</v>
      </c>
      <c r="U36" s="101">
        <f>'Assumptions (NG non-electricity'!S7</f>
        <v>0.85235</v>
      </c>
      <c r="V36" s="101">
        <f>'Assumptions (NG non-electricity'!T7</f>
        <v>0.8595805122</v>
      </c>
      <c r="W36" s="101">
        <f>'Assumptions (NG non-electricity'!U7</f>
        <v>0.8668110243</v>
      </c>
      <c r="X36" s="101">
        <f>'Assumptions (NG non-electricity'!V7</f>
        <v>0.8740415365</v>
      </c>
      <c r="Y36" s="101">
        <f>'Assumptions (NG non-electricity'!W7</f>
        <v>0.8812720486</v>
      </c>
      <c r="Z36" s="101">
        <f>'Assumptions (NG non-electricity'!X7</f>
        <v>0.8885025608</v>
      </c>
      <c r="AA36" s="101">
        <f>'Assumptions (NG non-electricity'!Y7</f>
        <v>0.895733073</v>
      </c>
      <c r="AB36" s="101">
        <f>'Assumptions (NG non-electricity'!Z7</f>
        <v>0.9029635851</v>
      </c>
      <c r="AC36" s="101">
        <f>'Assumptions (NG non-electricity'!AA7</f>
        <v>0.9101940973</v>
      </c>
      <c r="AD36" s="101">
        <f>'Assumptions (NG non-electricity'!AB7</f>
        <v>0.9174246095</v>
      </c>
      <c r="AE36" s="101">
        <f>'Assumptions (NG non-electricity'!AC7</f>
        <v>0.9246551216</v>
      </c>
      <c r="AF36" s="101">
        <f>'Assumptions (NG non-electricity'!AD7</f>
        <v>0.9318856338</v>
      </c>
      <c r="AG36" s="101">
        <f>'Assumptions (NG non-electricity'!AE7</f>
        <v>0.9391161459</v>
      </c>
      <c r="AH36" s="101">
        <f>'Assumptions (NG non-electricity'!AF7</f>
        <v>0.9463466581</v>
      </c>
      <c r="AI36" s="101">
        <f>'Assumptions (NG non-electricity'!AG7</f>
        <v>0.9535771703</v>
      </c>
      <c r="AJ36" s="101">
        <f>'Assumptions (NG non-electricity'!AH7</f>
        <v>0.9608076824</v>
      </c>
      <c r="AK36" s="101">
        <f>'Assumptions (NG non-electricity'!AI7</f>
        <v>0.9680381946</v>
      </c>
      <c r="AL36" s="101">
        <f>'Assumptions (NG non-electricity'!AJ7</f>
        <v>0.9752687068</v>
      </c>
      <c r="AM36" s="101">
        <f>'Assumptions (NG non-electricity'!AK7</f>
        <v>0.9824992189</v>
      </c>
      <c r="AN36" s="101">
        <f>'Assumptions (NG non-electricity'!AL7</f>
        <v>0.9897297311</v>
      </c>
      <c r="AO36" s="101">
        <f>'Assumptions (NG non-electricity'!AM7</f>
        <v>0.9969602432</v>
      </c>
      <c r="AP36" s="101">
        <f>'Assumptions (NG non-electricity'!AN7</f>
        <v>1.004190755</v>
      </c>
      <c r="AQ36" s="101">
        <f>'Assumptions (NG non-electricity'!AO7</f>
        <v>1.011421268</v>
      </c>
      <c r="AR36" s="101">
        <f>'Assumptions (NG non-electricity'!AP7</f>
        <v>1.01865178</v>
      </c>
      <c r="AS36" s="101">
        <f>'Assumptions (NG non-electricity'!AQ7</f>
        <v>1.025882292</v>
      </c>
      <c r="AT36" s="101">
        <f>'Assumptions (NG non-electricity'!AR7</f>
        <v>1.033112804</v>
      </c>
      <c r="AU36" s="101">
        <f>'Assumptions (NG non-electricity'!AS7</f>
        <v>1.040343316</v>
      </c>
      <c r="AV36" s="101">
        <f>'Assumptions (NG non-electricity'!AT7</f>
        <v>1.047573828</v>
      </c>
      <c r="AW36" s="101">
        <f>'Assumptions (NG non-electricity'!AU7</f>
        <v>1.054804341</v>
      </c>
      <c r="AX36" s="101">
        <f>'Assumptions (NG non-electricity'!AV7</f>
        <v>1.062034853</v>
      </c>
      <c r="AY36" s="101">
        <f>'Assumptions (NG non-electricity'!AW7</f>
        <v>1.069265365</v>
      </c>
      <c r="AZ36" s="101">
        <f>'Assumptions (NG non-electricity'!AX7</f>
        <v>1.076495877</v>
      </c>
      <c r="BA36" s="101">
        <f>'Assumptions (NG non-electricity'!AY7</f>
        <v>1.083726389</v>
      </c>
      <c r="BB36" s="101">
        <f>'Assumptions (NG non-electricity'!AZ7</f>
        <v>1.090956901</v>
      </c>
      <c r="BC36" s="102"/>
      <c r="BD36" s="102"/>
      <c r="BE36" s="102"/>
      <c r="BF36" s="102"/>
      <c r="BG36" s="102"/>
      <c r="BH36" s="102"/>
      <c r="BI36" s="102"/>
      <c r="BJ36" s="102"/>
      <c r="BK36" s="102"/>
      <c r="BL36" s="102"/>
      <c r="BM36" s="102"/>
      <c r="BN36" s="102"/>
      <c r="BO36" s="102"/>
      <c r="BP36" s="102"/>
    </row>
    <row r="37" ht="15.75" customHeight="1">
      <c r="A37" s="110" t="s">
        <v>258</v>
      </c>
      <c r="B37" s="112" t="s">
        <v>253</v>
      </c>
      <c r="C37" s="112" t="s">
        <v>259</v>
      </c>
      <c r="D37" s="113">
        <f>'Assumptions (NG non-electricity'!B8</f>
        <v>0.087549</v>
      </c>
      <c r="E37" s="113">
        <v>1.743516</v>
      </c>
      <c r="F37" s="113">
        <v>1.780005</v>
      </c>
      <c r="G37" s="113">
        <v>1.713775</v>
      </c>
      <c r="H37" s="113">
        <v>1.664092</v>
      </c>
      <c r="I37" s="113">
        <v>1.695542</v>
      </c>
      <c r="J37" s="113">
        <v>1.72619</v>
      </c>
      <c r="K37" s="113">
        <v>1.847751</v>
      </c>
      <c r="L37" s="113">
        <v>1.867659</v>
      </c>
      <c r="M37" s="113">
        <v>1.945413</v>
      </c>
      <c r="N37" s="113">
        <v>1.959751</v>
      </c>
      <c r="O37" s="113">
        <v>2.010372</v>
      </c>
      <c r="P37" s="113">
        <v>2.127064</v>
      </c>
      <c r="Q37" s="113">
        <v>2.316146</v>
      </c>
      <c r="R37" s="113">
        <v>2.212293</v>
      </c>
      <c r="S37" s="113">
        <v>2.254573</v>
      </c>
      <c r="T37" s="113">
        <v>2.232061</v>
      </c>
      <c r="U37" s="113">
        <v>2.285987</v>
      </c>
      <c r="V37" s="113">
        <v>2.551315</v>
      </c>
      <c r="W37" s="113">
        <v>2.816773</v>
      </c>
      <c r="X37" s="113">
        <v>2.96742</v>
      </c>
      <c r="Y37" s="113">
        <v>3.057216</v>
      </c>
      <c r="Z37" s="113">
        <v>3.079606</v>
      </c>
      <c r="AA37" s="113">
        <v>3.14811</v>
      </c>
      <c r="AB37" s="113">
        <v>3.230632</v>
      </c>
      <c r="AC37" s="113">
        <v>3.324656</v>
      </c>
      <c r="AD37" s="113">
        <v>3.425815</v>
      </c>
      <c r="AE37" s="113">
        <v>3.488126</v>
      </c>
      <c r="AF37" s="113">
        <v>3.54681</v>
      </c>
      <c r="AG37" s="113">
        <v>3.585583</v>
      </c>
      <c r="AH37" s="113">
        <v>3.616832</v>
      </c>
      <c r="AI37" s="113">
        <v>3.651595</v>
      </c>
      <c r="AJ37" s="113">
        <v>3.689102</v>
      </c>
      <c r="AK37" s="113">
        <v>3.7086</v>
      </c>
      <c r="AL37" s="113">
        <v>3.741305</v>
      </c>
      <c r="AM37" s="113">
        <v>3.774442</v>
      </c>
      <c r="AN37" s="113">
        <v>3.814757</v>
      </c>
      <c r="AO37" s="113">
        <v>3.842074</v>
      </c>
      <c r="AP37" s="113">
        <v>3.882615</v>
      </c>
      <c r="AQ37" s="113">
        <v>3.917741</v>
      </c>
      <c r="AR37" s="113">
        <v>3.962125</v>
      </c>
      <c r="AS37" s="113">
        <v>3.98048</v>
      </c>
      <c r="AT37" s="113">
        <v>4.009223</v>
      </c>
      <c r="AU37" s="113">
        <v>4.019099</v>
      </c>
      <c r="AV37" s="113">
        <v>4.04808</v>
      </c>
      <c r="AW37" s="113">
        <v>4.066693</v>
      </c>
      <c r="AX37" s="113">
        <v>4.088215</v>
      </c>
      <c r="AY37" s="113">
        <v>4.104752</v>
      </c>
      <c r="AZ37" s="113">
        <v>4.132667</v>
      </c>
      <c r="BA37" s="113">
        <v>4.148519</v>
      </c>
      <c r="BB37" s="113">
        <v>4.177433</v>
      </c>
      <c r="BC37" s="102"/>
      <c r="BD37" s="102"/>
      <c r="BE37" s="102"/>
      <c r="BF37" s="102"/>
      <c r="BG37" s="102"/>
      <c r="BH37" s="102"/>
      <c r="BI37" s="102"/>
      <c r="BJ37" s="102"/>
      <c r="BK37" s="102"/>
      <c r="BL37" s="102"/>
      <c r="BM37" s="102"/>
      <c r="BN37" s="102"/>
      <c r="BO37" s="102"/>
      <c r="BP37" s="102"/>
    </row>
    <row r="38" ht="15.75" customHeight="1">
      <c r="A38" s="114" t="s">
        <v>260</v>
      </c>
      <c r="B38" s="115" t="s">
        <v>253</v>
      </c>
      <c r="C38" s="115" t="s">
        <v>261</v>
      </c>
      <c r="D38" s="116">
        <f t="shared" ref="D38:BB38" si="3">sum(D34:D37)-D40</f>
        <v>-17.00038066</v>
      </c>
      <c r="E38" s="116">
        <f t="shared" si="3"/>
        <v>-15.821212</v>
      </c>
      <c r="F38" s="116">
        <f t="shared" si="3"/>
        <v>-14.98602602</v>
      </c>
      <c r="G38" s="116">
        <f t="shared" si="3"/>
        <v>-15.35062603</v>
      </c>
      <c r="H38" s="116">
        <f t="shared" si="3"/>
        <v>-14.83562466</v>
      </c>
      <c r="I38" s="116">
        <f t="shared" si="3"/>
        <v>-14.21935063</v>
      </c>
      <c r="J38" s="116">
        <f t="shared" si="3"/>
        <v>-14.64307349</v>
      </c>
      <c r="K38" s="116">
        <f t="shared" si="3"/>
        <v>-15.18757785</v>
      </c>
      <c r="L38" s="116">
        <f t="shared" si="3"/>
        <v>-16.10288772</v>
      </c>
      <c r="M38" s="116">
        <f t="shared" si="3"/>
        <v>-16.36249454</v>
      </c>
      <c r="N38" s="116">
        <f t="shared" si="3"/>
        <v>-16.72867188</v>
      </c>
      <c r="O38" s="116">
        <f t="shared" si="3"/>
        <v>-18.21260318</v>
      </c>
      <c r="P38" s="116">
        <f t="shared" si="3"/>
        <v>-18.90112276</v>
      </c>
      <c r="Q38" s="116">
        <f t="shared" si="3"/>
        <v>-18.8704189</v>
      </c>
      <c r="R38" s="116">
        <f t="shared" si="3"/>
        <v>-20.53525708</v>
      </c>
      <c r="S38" s="116">
        <f t="shared" si="3"/>
        <v>-21.33529415</v>
      </c>
      <c r="T38" s="116">
        <f t="shared" si="3"/>
        <v>-20.75322623</v>
      </c>
      <c r="U38" s="116">
        <f t="shared" si="3"/>
        <v>-21.43021046</v>
      </c>
      <c r="V38" s="116">
        <f t="shared" si="3"/>
        <v>-24.16134633</v>
      </c>
      <c r="W38" s="116">
        <f t="shared" si="3"/>
        <v>-26.10649111</v>
      </c>
      <c r="X38" s="116">
        <f t="shared" si="3"/>
        <v>-27.28255973</v>
      </c>
      <c r="Y38" s="116">
        <f t="shared" si="3"/>
        <v>-27.76451891</v>
      </c>
      <c r="Z38" s="116">
        <f t="shared" si="3"/>
        <v>-28.26777894</v>
      </c>
      <c r="AA38" s="116">
        <f t="shared" si="3"/>
        <v>-28.87483683</v>
      </c>
      <c r="AB38" s="116">
        <f t="shared" si="3"/>
        <v>-29.42507658</v>
      </c>
      <c r="AC38" s="116">
        <f t="shared" si="3"/>
        <v>-30.09368119</v>
      </c>
      <c r="AD38" s="116">
        <f t="shared" si="3"/>
        <v>-30.75237065</v>
      </c>
      <c r="AE38" s="116">
        <f t="shared" si="3"/>
        <v>-31.17670997</v>
      </c>
      <c r="AF38" s="116">
        <f t="shared" si="3"/>
        <v>-31.5384681</v>
      </c>
      <c r="AG38" s="116">
        <f t="shared" si="3"/>
        <v>-31.62501022</v>
      </c>
      <c r="AH38" s="116">
        <f t="shared" si="3"/>
        <v>-31.65854735</v>
      </c>
      <c r="AI38" s="116">
        <f t="shared" si="3"/>
        <v>-31.86601548</v>
      </c>
      <c r="AJ38" s="116">
        <f t="shared" si="3"/>
        <v>-32.1346476</v>
      </c>
      <c r="AK38" s="116">
        <f t="shared" si="3"/>
        <v>-32.17766273</v>
      </c>
      <c r="AL38" s="116">
        <f t="shared" si="3"/>
        <v>-32.36005886</v>
      </c>
      <c r="AM38" s="116">
        <f t="shared" si="3"/>
        <v>-32.49227898</v>
      </c>
      <c r="AN38" s="116">
        <f t="shared" si="3"/>
        <v>-32.67274911</v>
      </c>
      <c r="AO38" s="116">
        <f t="shared" si="3"/>
        <v>-32.85799224</v>
      </c>
      <c r="AP38" s="116">
        <f t="shared" si="3"/>
        <v>-33.01515436</v>
      </c>
      <c r="AQ38" s="116">
        <f t="shared" si="3"/>
        <v>-33.12352349</v>
      </c>
      <c r="AR38" s="116">
        <f t="shared" si="3"/>
        <v>-33.33797162</v>
      </c>
      <c r="AS38" s="116">
        <f t="shared" si="3"/>
        <v>-33.51886374</v>
      </c>
      <c r="AT38" s="116">
        <f t="shared" si="3"/>
        <v>-33.74225487</v>
      </c>
      <c r="AU38" s="116">
        <f t="shared" si="3"/>
        <v>-33.883905</v>
      </c>
      <c r="AV38" s="116">
        <f t="shared" si="3"/>
        <v>-34.22929212</v>
      </c>
      <c r="AW38" s="116">
        <f t="shared" si="3"/>
        <v>-34.51154925</v>
      </c>
      <c r="AX38" s="116">
        <f t="shared" si="3"/>
        <v>-34.71255238</v>
      </c>
      <c r="AY38" s="116">
        <f t="shared" si="3"/>
        <v>-34.9000845</v>
      </c>
      <c r="AZ38" s="116">
        <f t="shared" si="3"/>
        <v>-35.20768463</v>
      </c>
      <c r="BA38" s="116">
        <f t="shared" si="3"/>
        <v>-35.35682775</v>
      </c>
      <c r="BB38" s="116">
        <f t="shared" si="3"/>
        <v>-35.61605888</v>
      </c>
    </row>
    <row r="39" ht="15.75" customHeight="1">
      <c r="A39" s="117" t="s">
        <v>262</v>
      </c>
      <c r="B39" s="112" t="s">
        <v>263</v>
      </c>
      <c r="C39" s="112" t="s">
        <v>264</v>
      </c>
      <c r="D39" s="118">
        <v>18.762309</v>
      </c>
      <c r="E39" s="118">
        <v>19.18102</v>
      </c>
      <c r="F39" s="118">
        <v>18.499193</v>
      </c>
      <c r="G39" s="118">
        <v>18.642103</v>
      </c>
      <c r="H39" s="118">
        <v>18.152036</v>
      </c>
      <c r="I39" s="118">
        <v>17.591272</v>
      </c>
      <c r="J39" s="118">
        <v>18.083519</v>
      </c>
      <c r="K39" s="118">
        <v>18.858873</v>
      </c>
      <c r="L39" s="118">
        <v>19.784497</v>
      </c>
      <c r="M39" s="118">
        <v>20.249702</v>
      </c>
      <c r="N39" s="118">
        <v>20.962116</v>
      </c>
      <c r="O39" s="118">
        <v>22.567208</v>
      </c>
      <c r="P39" s="118">
        <v>23.703477</v>
      </c>
      <c r="Q39" s="118">
        <v>23.88802</v>
      </c>
      <c r="R39" s="118">
        <v>25.562729</v>
      </c>
      <c r="S39" s="118">
        <v>26.739303</v>
      </c>
      <c r="T39" s="118">
        <v>26.276882</v>
      </c>
      <c r="U39" s="118">
        <v>26.96614</v>
      </c>
      <c r="V39" s="118">
        <v>30.07601585</v>
      </c>
      <c r="W39" s="118">
        <v>31.415365</v>
      </c>
      <c r="X39" s="118">
        <v>31.905443</v>
      </c>
      <c r="Y39" s="118">
        <v>31.845394</v>
      </c>
      <c r="Z39" s="118">
        <v>31.706486</v>
      </c>
      <c r="AA39" s="118">
        <v>31.804522</v>
      </c>
      <c r="AB39" s="118">
        <v>31.819155</v>
      </c>
      <c r="AC39" s="118">
        <v>32.007519</v>
      </c>
      <c r="AD39" s="118">
        <v>32.040432</v>
      </c>
      <c r="AE39" s="118">
        <v>31.927734</v>
      </c>
      <c r="AF39" s="118">
        <v>31.628454</v>
      </c>
      <c r="AG39" s="118">
        <v>31.32823</v>
      </c>
      <c r="AH39" s="118">
        <v>31.04236</v>
      </c>
      <c r="AI39" s="118">
        <v>30.918407</v>
      </c>
      <c r="AJ39" s="118">
        <v>30.826933</v>
      </c>
      <c r="AK39" s="118">
        <v>30.572741</v>
      </c>
      <c r="AL39" s="118">
        <v>30.496328</v>
      </c>
      <c r="AM39" s="118">
        <v>30.360363</v>
      </c>
      <c r="AN39" s="118">
        <v>30.451832</v>
      </c>
      <c r="AO39" s="118">
        <v>30.366768</v>
      </c>
      <c r="AP39" s="118">
        <v>30.501249</v>
      </c>
      <c r="AQ39" s="118">
        <v>30.802629</v>
      </c>
      <c r="AR39" s="118">
        <v>30.875381</v>
      </c>
      <c r="AS39" s="118">
        <v>30.877424</v>
      </c>
      <c r="AT39" s="118">
        <v>30.759768</v>
      </c>
      <c r="AU39" s="118">
        <v>30.759426</v>
      </c>
      <c r="AV39" s="118">
        <v>30.429953</v>
      </c>
      <c r="AW39" s="118">
        <v>30.274145</v>
      </c>
      <c r="AX39" s="118">
        <v>30.232283</v>
      </c>
      <c r="AY39" s="118">
        <v>30.278065</v>
      </c>
      <c r="AZ39" s="118">
        <v>30.394506</v>
      </c>
      <c r="BA39" s="118">
        <v>30.493931</v>
      </c>
      <c r="BB39" s="118">
        <v>30.580973</v>
      </c>
      <c r="BC39" s="102"/>
      <c r="BD39" s="102"/>
      <c r="BE39" s="102"/>
      <c r="BF39" s="102"/>
      <c r="BG39" s="102"/>
      <c r="BH39" s="102"/>
      <c r="BI39" s="102"/>
      <c r="BJ39" s="102"/>
      <c r="BK39" s="102"/>
      <c r="BL39" s="102"/>
      <c r="BM39" s="102"/>
      <c r="BN39" s="102"/>
      <c r="BO39" s="102"/>
      <c r="BP39" s="102"/>
    </row>
    <row r="40" ht="15.75" customHeight="1">
      <c r="A40" s="117" t="s">
        <v>265</v>
      </c>
      <c r="B40" s="112" t="s">
        <v>263</v>
      </c>
      <c r="C40" s="112" t="s">
        <v>266</v>
      </c>
      <c r="D40" s="118">
        <v>18.762309</v>
      </c>
      <c r="E40" s="118">
        <v>19.18102</v>
      </c>
      <c r="F40" s="118">
        <v>18.499193</v>
      </c>
      <c r="G40" s="118">
        <v>18.642103</v>
      </c>
      <c r="H40" s="118">
        <v>18.152036</v>
      </c>
      <c r="I40" s="118">
        <v>17.591272</v>
      </c>
      <c r="J40" s="118">
        <v>18.083519</v>
      </c>
      <c r="K40" s="118">
        <v>18.858873</v>
      </c>
      <c r="L40" s="118">
        <v>19.784497</v>
      </c>
      <c r="M40" s="118">
        <v>20.249702</v>
      </c>
      <c r="N40" s="118">
        <v>20.962116</v>
      </c>
      <c r="O40" s="118">
        <v>22.567208</v>
      </c>
      <c r="P40" s="118">
        <v>23.703477</v>
      </c>
      <c r="Q40" s="118">
        <v>23.88802</v>
      </c>
      <c r="R40" s="118">
        <v>25.562729</v>
      </c>
      <c r="S40" s="118">
        <v>26.739303</v>
      </c>
      <c r="T40" s="118">
        <v>26.276882</v>
      </c>
      <c r="U40" s="118">
        <v>26.96614</v>
      </c>
      <c r="V40" s="118">
        <v>30.07601585</v>
      </c>
      <c r="W40" s="118">
        <v>32.255924</v>
      </c>
      <c r="X40" s="118">
        <v>33.551945</v>
      </c>
      <c r="Y40" s="118">
        <v>34.104362</v>
      </c>
      <c r="Z40" s="118">
        <v>34.610321</v>
      </c>
      <c r="AA40" s="118">
        <v>35.265839</v>
      </c>
      <c r="AB40" s="118">
        <v>35.878204</v>
      </c>
      <c r="AC40" s="118">
        <v>36.620083</v>
      </c>
      <c r="AD40" s="118">
        <v>37.358829</v>
      </c>
      <c r="AE40" s="118">
        <v>37.824024</v>
      </c>
      <c r="AF40" s="118">
        <v>38.264236</v>
      </c>
      <c r="AG40" s="118">
        <v>38.409321</v>
      </c>
      <c r="AH40" s="118">
        <v>38.493877</v>
      </c>
      <c r="AI40" s="118">
        <v>38.755878</v>
      </c>
      <c r="AJ40" s="118">
        <v>39.081787</v>
      </c>
      <c r="AK40" s="118">
        <v>39.16407</v>
      </c>
      <c r="AL40" s="118">
        <v>39.398941</v>
      </c>
      <c r="AM40" s="118">
        <v>39.584068</v>
      </c>
      <c r="AN40" s="118">
        <v>39.824623</v>
      </c>
      <c r="AO40" s="118">
        <v>40.056953</v>
      </c>
      <c r="AP40" s="118">
        <v>40.274426</v>
      </c>
      <c r="AQ40" s="118">
        <v>40.437691</v>
      </c>
      <c r="AR40" s="118">
        <v>40.716293</v>
      </c>
      <c r="AS40" s="118">
        <v>40.93531</v>
      </c>
      <c r="AT40" s="118">
        <v>41.207214</v>
      </c>
      <c r="AU40" s="118">
        <v>41.37851</v>
      </c>
      <c r="AV40" s="118">
        <v>41.772648</v>
      </c>
      <c r="AW40" s="118">
        <v>42.093288</v>
      </c>
      <c r="AX40" s="118">
        <v>42.335583</v>
      </c>
      <c r="AY40" s="118">
        <v>42.559422</v>
      </c>
      <c r="AZ40" s="118">
        <v>42.914707</v>
      </c>
      <c r="BA40" s="118">
        <v>43.099472</v>
      </c>
      <c r="BB40" s="118">
        <v>43.407387</v>
      </c>
      <c r="BC40" s="102"/>
      <c r="BD40" s="102"/>
      <c r="BE40" s="102"/>
      <c r="BF40" s="102"/>
      <c r="BG40" s="102"/>
      <c r="BH40" s="102"/>
      <c r="BI40" s="102"/>
      <c r="BJ40" s="102"/>
      <c r="BK40" s="102"/>
      <c r="BL40" s="102"/>
      <c r="BM40" s="102"/>
      <c r="BN40" s="102"/>
      <c r="BO40" s="102"/>
      <c r="BP40" s="102"/>
    </row>
    <row r="41" ht="15.75" customHeight="1">
      <c r="A41" s="117" t="s">
        <v>267</v>
      </c>
      <c r="B41" s="112" t="s">
        <v>263</v>
      </c>
      <c r="C41" s="112" t="s">
        <v>268</v>
      </c>
      <c r="D41" s="118">
        <v>18.762309</v>
      </c>
      <c r="E41" s="118">
        <v>19.18102</v>
      </c>
      <c r="F41" s="118">
        <v>18.499193</v>
      </c>
      <c r="G41" s="118">
        <v>18.642103</v>
      </c>
      <c r="H41" s="118">
        <v>18.152036</v>
      </c>
      <c r="I41" s="118">
        <v>17.591272</v>
      </c>
      <c r="J41" s="118">
        <v>18.083519</v>
      </c>
      <c r="K41" s="118">
        <v>18.858873</v>
      </c>
      <c r="L41" s="118">
        <v>19.784497</v>
      </c>
      <c r="M41" s="118">
        <v>20.249702</v>
      </c>
      <c r="N41" s="118">
        <v>20.962116</v>
      </c>
      <c r="O41" s="118">
        <v>22.567208</v>
      </c>
      <c r="P41" s="118">
        <v>23.703477</v>
      </c>
      <c r="Q41" s="118">
        <v>23.88802</v>
      </c>
      <c r="R41" s="118">
        <v>25.562729</v>
      </c>
      <c r="S41" s="118">
        <v>26.739303</v>
      </c>
      <c r="T41" s="118">
        <v>26.276882</v>
      </c>
      <c r="U41" s="118">
        <v>26.96614</v>
      </c>
      <c r="V41" s="118">
        <v>30.07601585</v>
      </c>
      <c r="W41" s="118">
        <v>32.802624</v>
      </c>
      <c r="X41" s="118">
        <v>34.68969</v>
      </c>
      <c r="Y41" s="118">
        <v>35.770996</v>
      </c>
      <c r="Z41" s="118">
        <v>36.589798</v>
      </c>
      <c r="AA41" s="118">
        <v>37.626343</v>
      </c>
      <c r="AB41" s="118">
        <v>38.547901</v>
      </c>
      <c r="AC41" s="118">
        <v>39.811314</v>
      </c>
      <c r="AD41" s="118">
        <v>41.130337</v>
      </c>
      <c r="AE41" s="118">
        <v>42.156601</v>
      </c>
      <c r="AF41" s="118">
        <v>43.058346</v>
      </c>
      <c r="AG41" s="118">
        <v>43.448326</v>
      </c>
      <c r="AH41" s="118">
        <v>44.071457</v>
      </c>
      <c r="AI41" s="118">
        <v>44.75983</v>
      </c>
      <c r="AJ41" s="118">
        <v>45.336655</v>
      </c>
      <c r="AK41" s="118">
        <v>45.89183</v>
      </c>
      <c r="AL41" s="118">
        <v>46.419579</v>
      </c>
      <c r="AM41" s="118">
        <v>46.902061</v>
      </c>
      <c r="AN41" s="118">
        <v>47.401855</v>
      </c>
      <c r="AO41" s="118">
        <v>47.86335</v>
      </c>
      <c r="AP41" s="118">
        <v>48.406834</v>
      </c>
      <c r="AQ41" s="118">
        <v>48.838318</v>
      </c>
      <c r="AR41" s="118">
        <v>49.279327</v>
      </c>
      <c r="AS41" s="118">
        <v>49.646111</v>
      </c>
      <c r="AT41" s="118">
        <v>49.990952</v>
      </c>
      <c r="AU41" s="118">
        <v>50.37846</v>
      </c>
      <c r="AV41" s="118">
        <v>50.946964</v>
      </c>
      <c r="AW41" s="118">
        <v>51.272995</v>
      </c>
      <c r="AX41" s="118">
        <v>51.685265</v>
      </c>
      <c r="AY41" s="118">
        <v>52.090981</v>
      </c>
      <c r="AZ41" s="118">
        <v>52.581478</v>
      </c>
      <c r="BA41" s="118">
        <v>52.936752</v>
      </c>
      <c r="BB41" s="118">
        <v>53.360783</v>
      </c>
      <c r="BC41" s="102"/>
      <c r="BD41" s="102"/>
      <c r="BE41" s="102"/>
      <c r="BF41" s="102"/>
      <c r="BG41" s="102"/>
      <c r="BH41" s="102"/>
      <c r="BI41" s="102"/>
      <c r="BJ41" s="102"/>
      <c r="BK41" s="102"/>
      <c r="BL41" s="102"/>
      <c r="BM41" s="102"/>
      <c r="BN41" s="102"/>
      <c r="BO41" s="102"/>
      <c r="BP41" s="102"/>
    </row>
    <row r="42" ht="15.75" customHeight="1">
      <c r="A42" s="119" t="s">
        <v>269</v>
      </c>
      <c r="B42" s="120" t="s">
        <v>240</v>
      </c>
      <c r="C42" s="120" t="s">
        <v>270</v>
      </c>
      <c r="D42" s="121">
        <f t="shared" ref="D42:BB42" si="4">sum(D32*0,D30*0,D28*0,D26,D24)</f>
        <v>32.29371373</v>
      </c>
      <c r="E42" s="121">
        <f t="shared" si="4"/>
        <v>32.39353275</v>
      </c>
      <c r="F42" s="121">
        <f t="shared" si="4"/>
        <v>32.52891672</v>
      </c>
      <c r="G42" s="121">
        <f t="shared" si="4"/>
        <v>32.23655549</v>
      </c>
      <c r="H42" s="121">
        <f t="shared" si="4"/>
        <v>33.44087394</v>
      </c>
      <c r="I42" s="121">
        <f t="shared" si="4"/>
        <v>35.30378341</v>
      </c>
      <c r="J42" s="121">
        <f t="shared" si="4"/>
        <v>34.04568748</v>
      </c>
      <c r="K42" s="121">
        <f t="shared" si="4"/>
        <v>34.53324332</v>
      </c>
      <c r="L42" s="121">
        <f t="shared" si="4"/>
        <v>35.23393546</v>
      </c>
      <c r="M42" s="121">
        <f t="shared" si="4"/>
        <v>31.40376052</v>
      </c>
      <c r="N42" s="121">
        <f t="shared" si="4"/>
        <v>34.53687023</v>
      </c>
      <c r="O42" s="121">
        <f t="shared" si="4"/>
        <v>33.13704512</v>
      </c>
      <c r="P42" s="121">
        <f t="shared" si="4"/>
        <v>30.99556387</v>
      </c>
      <c r="Q42" s="121">
        <f t="shared" si="4"/>
        <v>31.53575859</v>
      </c>
      <c r="R42" s="121">
        <f t="shared" si="4"/>
        <v>32.74382113</v>
      </c>
      <c r="S42" s="121">
        <f t="shared" si="4"/>
        <v>30.08931436</v>
      </c>
      <c r="T42" s="121">
        <f t="shared" si="4"/>
        <v>30.00534219</v>
      </c>
      <c r="U42" s="121">
        <f t="shared" si="4"/>
        <v>29.49946114</v>
      </c>
      <c r="V42" s="121">
        <f t="shared" si="4"/>
        <v>29.96201295</v>
      </c>
      <c r="W42" s="121">
        <f t="shared" si="4"/>
        <v>29.1921193</v>
      </c>
      <c r="X42" s="121">
        <f t="shared" si="4"/>
        <v>29.54592997</v>
      </c>
      <c r="Y42" s="121">
        <f t="shared" si="4"/>
        <v>29.22977973</v>
      </c>
      <c r="Z42" s="121">
        <f t="shared" si="4"/>
        <v>29.04793982</v>
      </c>
      <c r="AA42" s="121">
        <f t="shared" si="4"/>
        <v>28.88324253</v>
      </c>
      <c r="AB42" s="121">
        <f t="shared" si="4"/>
        <v>29.18757609</v>
      </c>
      <c r="AC42" s="121">
        <f t="shared" si="4"/>
        <v>29.42506174</v>
      </c>
      <c r="AD42" s="121">
        <f t="shared" si="4"/>
        <v>29.50683357</v>
      </c>
      <c r="AE42" s="121">
        <f t="shared" si="4"/>
        <v>29.38220356</v>
      </c>
      <c r="AF42" s="121">
        <f t="shared" si="4"/>
        <v>29.47769527</v>
      </c>
      <c r="AG42" s="121">
        <f t="shared" si="4"/>
        <v>29.43129671</v>
      </c>
      <c r="AH42" s="121">
        <f t="shared" si="4"/>
        <v>29.49597768</v>
      </c>
      <c r="AI42" s="121">
        <f t="shared" si="4"/>
        <v>29.57551152</v>
      </c>
      <c r="AJ42" s="121">
        <f t="shared" si="4"/>
        <v>29.74706321</v>
      </c>
      <c r="AK42" s="121">
        <f t="shared" si="4"/>
        <v>29.8652761</v>
      </c>
      <c r="AL42" s="121">
        <f t="shared" si="4"/>
        <v>29.96087</v>
      </c>
      <c r="AM42" s="121">
        <f t="shared" si="4"/>
        <v>30.06357548</v>
      </c>
      <c r="AN42" s="121">
        <f t="shared" si="4"/>
        <v>30.19080043</v>
      </c>
      <c r="AO42" s="121">
        <f t="shared" si="4"/>
        <v>30.28730749</v>
      </c>
      <c r="AP42" s="121">
        <f t="shared" si="4"/>
        <v>30.30714508</v>
      </c>
      <c r="AQ42" s="121">
        <f t="shared" si="4"/>
        <v>30.38148003</v>
      </c>
      <c r="AR42" s="121">
        <f t="shared" si="4"/>
        <v>30.50625384</v>
      </c>
      <c r="AS42" s="121">
        <f t="shared" si="4"/>
        <v>30.5226216</v>
      </c>
      <c r="AT42" s="121">
        <f t="shared" si="4"/>
        <v>30.61471607</v>
      </c>
      <c r="AU42" s="121">
        <f t="shared" si="4"/>
        <v>30.72197194</v>
      </c>
      <c r="AV42" s="121">
        <f t="shared" si="4"/>
        <v>30.86273073</v>
      </c>
      <c r="AW42" s="121">
        <f t="shared" si="4"/>
        <v>30.98323665</v>
      </c>
      <c r="AX42" s="121">
        <f t="shared" si="4"/>
        <v>31.08168765</v>
      </c>
      <c r="AY42" s="121">
        <f t="shared" si="4"/>
        <v>31.19853182</v>
      </c>
      <c r="AZ42" s="121">
        <f t="shared" si="4"/>
        <v>31.38799007</v>
      </c>
      <c r="BA42" s="121">
        <f t="shared" si="4"/>
        <v>31.53016457</v>
      </c>
      <c r="BB42" s="121">
        <f t="shared" si="4"/>
        <v>31.66495931</v>
      </c>
      <c r="BC42" s="122"/>
      <c r="BD42" s="122"/>
      <c r="BE42" s="122"/>
      <c r="BF42" s="122"/>
      <c r="BG42" s="122"/>
      <c r="BH42" s="122"/>
      <c r="BI42" s="122"/>
      <c r="BJ42" s="122"/>
      <c r="BK42" s="122"/>
      <c r="BL42" s="122"/>
      <c r="BM42" s="122"/>
      <c r="BN42" s="122"/>
      <c r="BO42" s="122"/>
      <c r="BP42" s="122"/>
    </row>
    <row r="43" ht="15.75" customHeight="1">
      <c r="A43" s="119" t="s">
        <v>271</v>
      </c>
      <c r="B43" s="120" t="s">
        <v>227</v>
      </c>
      <c r="C43" s="120" t="s">
        <v>270</v>
      </c>
      <c r="D43" s="121">
        <f t="shared" ref="D43:BB43" si="5">sum(D33*0,D31*0,D29*0,D27,D25)</f>
        <v>19.09039506</v>
      </c>
      <c r="E43" s="121">
        <f t="shared" si="5"/>
        <v>16.70962134</v>
      </c>
      <c r="F43" s="121">
        <f t="shared" si="5"/>
        <v>13.85609417</v>
      </c>
      <c r="G43" s="121">
        <f t="shared" si="5"/>
        <v>10.33906628</v>
      </c>
      <c r="H43" s="121">
        <f t="shared" si="5"/>
        <v>9.843106522</v>
      </c>
      <c r="I43" s="121">
        <f t="shared" si="5"/>
        <v>8.728730447</v>
      </c>
      <c r="J43" s="121">
        <f t="shared" si="5"/>
        <v>11.61998358</v>
      </c>
      <c r="K43" s="121">
        <f t="shared" si="5"/>
        <v>10.32982347</v>
      </c>
      <c r="L43" s="121">
        <f t="shared" si="5"/>
        <v>10.37608194</v>
      </c>
      <c r="M43" s="121">
        <f t="shared" si="5"/>
        <v>11.73326523</v>
      </c>
      <c r="N43" s="121">
        <f t="shared" si="5"/>
        <v>13.26951039</v>
      </c>
      <c r="O43" s="121">
        <f t="shared" si="5"/>
        <v>13.84452908</v>
      </c>
      <c r="P43" s="121">
        <f t="shared" si="5"/>
        <v>12.1619194</v>
      </c>
      <c r="Q43" s="121">
        <f t="shared" si="5"/>
        <v>12.70379567</v>
      </c>
      <c r="R43" s="121">
        <f t="shared" si="5"/>
        <v>14.99489018</v>
      </c>
      <c r="S43" s="121">
        <f t="shared" si="5"/>
        <v>23.53986311</v>
      </c>
      <c r="T43" s="121">
        <f t="shared" si="5"/>
        <v>22.26896167</v>
      </c>
      <c r="U43" s="121">
        <f t="shared" si="5"/>
        <v>19.85842035</v>
      </c>
      <c r="V43" s="121">
        <f t="shared" si="5"/>
        <v>18.98836927</v>
      </c>
      <c r="W43" s="121">
        <f t="shared" si="5"/>
        <v>21.57926879</v>
      </c>
      <c r="X43" s="121">
        <f t="shared" si="5"/>
        <v>31.42013831</v>
      </c>
      <c r="Y43" s="121">
        <f t="shared" si="5"/>
        <v>23.98134843</v>
      </c>
      <c r="Z43" s="121">
        <f t="shared" si="5"/>
        <v>23.47234311</v>
      </c>
      <c r="AA43" s="121">
        <f t="shared" si="5"/>
        <v>22.07035288</v>
      </c>
      <c r="AB43" s="121">
        <f t="shared" si="5"/>
        <v>21.43320428</v>
      </c>
      <c r="AC43" s="121">
        <f t="shared" si="5"/>
        <v>18.07297817</v>
      </c>
      <c r="AD43" s="121">
        <f t="shared" si="5"/>
        <v>15.96873414</v>
      </c>
      <c r="AE43" s="121">
        <f t="shared" si="5"/>
        <v>15.34102073</v>
      </c>
      <c r="AF43" s="121">
        <f t="shared" si="5"/>
        <v>15.20947516</v>
      </c>
      <c r="AG43" s="121">
        <f t="shared" si="5"/>
        <v>16.05078758</v>
      </c>
      <c r="AH43" s="121">
        <f t="shared" si="5"/>
        <v>18.86629789</v>
      </c>
      <c r="AI43" s="121">
        <f t="shared" si="5"/>
        <v>22.19611388</v>
      </c>
      <c r="AJ43" s="121">
        <f t="shared" si="5"/>
        <v>22.18998116</v>
      </c>
      <c r="AK43" s="121">
        <f t="shared" si="5"/>
        <v>25.29640103</v>
      </c>
      <c r="AL43" s="121">
        <f t="shared" si="5"/>
        <v>26.12451848</v>
      </c>
      <c r="AM43" s="121">
        <f t="shared" si="5"/>
        <v>28.37538204</v>
      </c>
      <c r="AN43" s="121">
        <f t="shared" si="5"/>
        <v>26.88020572</v>
      </c>
      <c r="AO43" s="121">
        <f t="shared" si="5"/>
        <v>28.04766215</v>
      </c>
      <c r="AP43" s="121">
        <f t="shared" si="5"/>
        <v>27.48107104</v>
      </c>
      <c r="AQ43" s="121">
        <f t="shared" si="5"/>
        <v>21.69080888</v>
      </c>
      <c r="AR43" s="121">
        <f t="shared" si="5"/>
        <v>23.58754167</v>
      </c>
      <c r="AS43" s="121">
        <f t="shared" si="5"/>
        <v>25.51951898</v>
      </c>
      <c r="AT43" s="121">
        <f t="shared" si="5"/>
        <v>26.33016081</v>
      </c>
      <c r="AU43" s="121">
        <f t="shared" si="5"/>
        <v>25.11725057</v>
      </c>
      <c r="AV43" s="121">
        <f t="shared" si="5"/>
        <v>23.72987021</v>
      </c>
      <c r="AW43" s="121">
        <f t="shared" si="5"/>
        <v>25.04884745</v>
      </c>
      <c r="AX43" s="121">
        <f t="shared" si="5"/>
        <v>23.46146231</v>
      </c>
      <c r="AY43" s="121">
        <f t="shared" si="5"/>
        <v>21.75404242</v>
      </c>
      <c r="AZ43" s="121">
        <f t="shared" si="5"/>
        <v>18.76052339</v>
      </c>
      <c r="BA43" s="121">
        <f t="shared" si="5"/>
        <v>14.15906988</v>
      </c>
      <c r="BB43" s="121">
        <f t="shared" si="5"/>
        <v>10.3324568</v>
      </c>
      <c r="BC43" s="122"/>
      <c r="BD43" s="122"/>
      <c r="BE43" s="122"/>
      <c r="BF43" s="122"/>
      <c r="BG43" s="122"/>
      <c r="BH43" s="122"/>
      <c r="BI43" s="122"/>
      <c r="BJ43" s="122"/>
      <c r="BK43" s="122"/>
      <c r="BL43" s="122"/>
      <c r="BM43" s="122"/>
      <c r="BN43" s="122"/>
      <c r="BO43" s="122"/>
      <c r="BP43" s="122"/>
    </row>
    <row r="44" ht="15.75" customHeight="1">
      <c r="A44" s="119" t="s">
        <v>272</v>
      </c>
      <c r="B44" s="123" t="s">
        <v>240</v>
      </c>
      <c r="C44" s="123" t="s">
        <v>273</v>
      </c>
      <c r="D44" s="121">
        <f>D42*1000/'Inflation GDP Population'!B28</f>
        <v>968.6936673</v>
      </c>
      <c r="E44" s="121">
        <f>E42*1000/'Inflation GDP Population'!C28</f>
        <v>960.5605464</v>
      </c>
      <c r="F44" s="121">
        <f>F42*1000/'Inflation GDP Population'!D28</f>
        <v>954.5727029</v>
      </c>
      <c r="G44" s="121">
        <f>G42*1000/'Inflation GDP Population'!E28</f>
        <v>936.6951192</v>
      </c>
      <c r="H44" s="121">
        <f>H42*1000/'Inflation GDP Population'!F28</f>
        <v>959.1841372</v>
      </c>
      <c r="I44" s="121">
        <f>I42*1000/'Inflation GDP Population'!G28</f>
        <v>998.1763155</v>
      </c>
      <c r="J44" s="121">
        <f>J42*1000/'Inflation GDP Population'!H28</f>
        <v>944.3061317</v>
      </c>
      <c r="K44" s="121">
        <f>K42*1000/'Inflation GDP Population'!I28</f>
        <v>941.2410907</v>
      </c>
      <c r="L44" s="121">
        <f>L42*1000/'Inflation GDP Population'!J28</f>
        <v>945.7070825</v>
      </c>
      <c r="M44" s="121">
        <f>M42*1000/'Inflation GDP Population'!K28</f>
        <v>833.3664522</v>
      </c>
      <c r="N44" s="121">
        <f>N42*1000/'Inflation GDP Population'!L28</f>
        <v>908.3226895</v>
      </c>
      <c r="O44" s="121">
        <f>O42*1000/'Inflation GDP Population'!M28</f>
        <v>865.0960801</v>
      </c>
      <c r="P44" s="121">
        <f>P42*1000/'Inflation GDP Population'!N28</f>
        <v>802.6124752</v>
      </c>
      <c r="Q44" s="121">
        <f>Q42*1000/'Inflation GDP Population'!O28</f>
        <v>810.8178</v>
      </c>
      <c r="R44" s="121">
        <f>R42*1000/'Inflation GDP Population'!P28</f>
        <v>835.2873255</v>
      </c>
      <c r="S44" s="121">
        <f>S42*1000/'Inflation GDP Population'!Q28</f>
        <v>761.0014219</v>
      </c>
      <c r="T44" s="121">
        <f>T42*1000/'Inflation GDP Population'!R28</f>
        <v>751.6795528</v>
      </c>
      <c r="U44" s="121">
        <f>U42*1000/'Inflation GDP Population'!S28</f>
        <v>732.3845364</v>
      </c>
      <c r="V44" s="121">
        <f>V42*1000/'Inflation GDP Population'!T28</f>
        <v>737.4060735</v>
      </c>
      <c r="W44" s="121">
        <f>W42*1000/'Inflation GDP Population'!U28</f>
        <v>713.1055006</v>
      </c>
      <c r="X44" s="121">
        <f>X42*1000/'Inflation GDP Population'!V28</f>
        <v>716.4112023</v>
      </c>
      <c r="Y44" s="121">
        <f>Y42*1000/'Inflation GDP Population'!W28</f>
        <v>702.8005392</v>
      </c>
      <c r="Z44" s="121">
        <f>Z42*1000/'Inflation GDP Population'!X28</f>
        <v>692.6187992</v>
      </c>
      <c r="AA44" s="121">
        <f>AA42*1000/'Inflation GDP Population'!Y28</f>
        <v>683.0104237</v>
      </c>
      <c r="AB44" s="121">
        <f>AB42*1000/'Inflation GDP Population'!Z28</f>
        <v>684.5598389</v>
      </c>
      <c r="AC44" s="121">
        <f>AC42*1000/'Inflation GDP Population'!AA28</f>
        <v>684.528991</v>
      </c>
      <c r="AD44" s="121">
        <f>AD42*1000/'Inflation GDP Population'!AB28</f>
        <v>680.9053579</v>
      </c>
      <c r="AE44" s="121">
        <f>AE42*1000/'Inflation GDP Population'!AC28</f>
        <v>672.6146691</v>
      </c>
      <c r="AF44" s="121">
        <f>AF42*1000/'Inflation GDP Population'!AD28</f>
        <v>669.4544329</v>
      </c>
      <c r="AG44" s="121">
        <f>AG42*1000/'Inflation GDP Population'!AE28</f>
        <v>663.1468025</v>
      </c>
      <c r="AH44" s="121">
        <f>AH42*1000/'Inflation GDP Population'!AF28</f>
        <v>659.4208866</v>
      </c>
      <c r="AI44" s="121">
        <f>AI42*1000/'Inflation GDP Population'!AG28</f>
        <v>656.8753303</v>
      </c>
      <c r="AJ44" s="121">
        <f>AJ42*1000/'Inflation GDP Population'!AH28</f>
        <v>656.393298</v>
      </c>
      <c r="AK44" s="121">
        <f>AK42*1000/'Inflation GDP Population'!AI28</f>
        <v>654.7481209</v>
      </c>
      <c r="AL44" s="121">
        <f>AL42*1000/'Inflation GDP Population'!AJ28</f>
        <v>652.6313412</v>
      </c>
      <c r="AM44" s="121">
        <f>AM42*1000/'Inflation GDP Population'!AK28</f>
        <v>650.6954623</v>
      </c>
      <c r="AN44" s="121">
        <f>AN42*1000/'Inflation GDP Population'!AL28</f>
        <v>649.3114381</v>
      </c>
      <c r="AO44" s="121">
        <f>AO42*1000/'Inflation GDP Population'!AM28</f>
        <v>647.2883406</v>
      </c>
      <c r="AP44" s="121">
        <f>AP42*1000/'Inflation GDP Population'!AN28</f>
        <v>643.6622397</v>
      </c>
      <c r="AQ44" s="121">
        <f>AQ42*1000/'Inflation GDP Population'!AO28</f>
        <v>641.2314248</v>
      </c>
      <c r="AR44" s="121">
        <f>AR42*1000/'Inflation GDP Population'!AP28</f>
        <v>639.888622</v>
      </c>
      <c r="AS44" s="121">
        <f>AS42*1000/'Inflation GDP Population'!AQ28</f>
        <v>635.9777067</v>
      </c>
      <c r="AT44" s="121">
        <f>AT42*1000/'Inflation GDP Population'!AR28</f>
        <v>633.6858699</v>
      </c>
      <c r="AU44" s="121">
        <f>AU42*1000/'Inflation GDP Population'!AS28</f>
        <v>631.7358557</v>
      </c>
      <c r="AV44" s="121">
        <f>AV42*1000/'Inflation GDP Population'!AT28</f>
        <v>630.4956818</v>
      </c>
      <c r="AW44" s="121">
        <f>AW42*1000/'Inflation GDP Population'!AU28</f>
        <v>628.8604946</v>
      </c>
      <c r="AX44" s="121">
        <f>AX42*1000/'Inflation GDP Population'!AV28</f>
        <v>626.8015743</v>
      </c>
      <c r="AY44" s="121">
        <f>AY42*1000/'Inflation GDP Population'!AW28</f>
        <v>625.1375186</v>
      </c>
      <c r="AZ44" s="121">
        <f>AZ42*1000/'Inflation GDP Population'!AX28</f>
        <v>624.9403537</v>
      </c>
      <c r="BA44" s="121">
        <f>BA42*1000/'Inflation GDP Population'!AY28</f>
        <v>623.8101892</v>
      </c>
      <c r="BB44" s="121">
        <f>BB42*1000/'Inflation GDP Population'!AZ28</f>
        <v>622.5491067</v>
      </c>
      <c r="BC44" s="122"/>
      <c r="BD44" s="122"/>
      <c r="BE44" s="122"/>
      <c r="BF44" s="122"/>
      <c r="BG44" s="122"/>
      <c r="BH44" s="122"/>
      <c r="BI44" s="122"/>
      <c r="BJ44" s="122"/>
      <c r="BK44" s="122"/>
      <c r="BL44" s="122"/>
      <c r="BM44" s="122"/>
      <c r="BN44" s="122"/>
      <c r="BO44" s="122"/>
      <c r="BP44" s="122"/>
    </row>
    <row r="45" ht="15.75" customHeight="1">
      <c r="A45" s="119" t="s">
        <v>274</v>
      </c>
      <c r="B45" s="123" t="s">
        <v>227</v>
      </c>
      <c r="C45" s="123" t="s">
        <v>273</v>
      </c>
      <c r="D45" s="121">
        <f>D43*1000/'Inflation GDP Population'!B28</f>
        <v>572.6422473</v>
      </c>
      <c r="E45" s="121">
        <f>E43*1000/'Inflation GDP Population'!C28</f>
        <v>495.4878844</v>
      </c>
      <c r="F45" s="121">
        <f>F43*1000/'Inflation GDP Population'!D28</f>
        <v>406.6120424</v>
      </c>
      <c r="G45" s="121">
        <f>G43*1000/'Inflation GDP Population'!E28</f>
        <v>300.4214557</v>
      </c>
      <c r="H45" s="121">
        <f>H43*1000/'Inflation GDP Population'!F28</f>
        <v>282.3296919</v>
      </c>
      <c r="I45" s="121">
        <f>I43*1000/'Inflation GDP Population'!G28</f>
        <v>246.7954184</v>
      </c>
      <c r="J45" s="121">
        <f>J43*1000/'Inflation GDP Population'!H28</f>
        <v>322.296965</v>
      </c>
      <c r="K45" s="121">
        <f>K43*1000/'Inflation GDP Population'!I28</f>
        <v>281.5505692</v>
      </c>
      <c r="L45" s="121">
        <f>L43*1000/'Inflation GDP Population'!J28</f>
        <v>278.5023599</v>
      </c>
      <c r="M45" s="121">
        <f>M43*1000/'Inflation GDP Population'!K28</f>
        <v>311.3674751</v>
      </c>
      <c r="N45" s="121">
        <f>N43*1000/'Inflation GDP Population'!L28</f>
        <v>348.989277</v>
      </c>
      <c r="O45" s="121">
        <f>O43*1000/'Inflation GDP Population'!M28</f>
        <v>361.433791</v>
      </c>
      <c r="P45" s="121">
        <f>P43*1000/'Inflation GDP Population'!N28</f>
        <v>314.925977</v>
      </c>
      <c r="Q45" s="121">
        <f>Q43*1000/'Inflation GDP Population'!O28</f>
        <v>326.6280603</v>
      </c>
      <c r="R45" s="121">
        <f>R43*1000/'Inflation GDP Population'!P28</f>
        <v>382.5161903</v>
      </c>
      <c r="S45" s="121">
        <f>S43*1000/'Inflation GDP Population'!Q28</f>
        <v>595.3565137</v>
      </c>
      <c r="T45" s="121">
        <f>T43*1000/'Inflation GDP Population'!R28</f>
        <v>557.8714299</v>
      </c>
      <c r="U45" s="121">
        <f>U43*1000/'Inflation GDP Population'!S28</f>
        <v>493.0259544</v>
      </c>
      <c r="V45" s="121">
        <f>V43*1000/'Inflation GDP Population'!T28</f>
        <v>467.3297101</v>
      </c>
      <c r="W45" s="121">
        <f>W43*1000/'Inflation GDP Population'!U28</f>
        <v>527.1386815</v>
      </c>
      <c r="X45" s="121">
        <f>X43*1000/'Inflation GDP Population'!V28</f>
        <v>761.855832</v>
      </c>
      <c r="Y45" s="121">
        <f>Y43*1000/'Inflation GDP Population'!W28</f>
        <v>576.6073081</v>
      </c>
      <c r="Z45" s="121">
        <f>Z43*1000/'Inflation GDP Population'!X28</f>
        <v>559.6743246</v>
      </c>
      <c r="AA45" s="121">
        <f>AA43*1000/'Inflation GDP Population'!Y28</f>
        <v>521.9040436</v>
      </c>
      <c r="AB45" s="121">
        <f>AB43*1000/'Inflation GDP Population'!Z28</f>
        <v>502.6902824</v>
      </c>
      <c r="AC45" s="121">
        <f>AC43*1000/'Inflation GDP Population'!AA28</f>
        <v>420.4401547</v>
      </c>
      <c r="AD45" s="121">
        <f>AD43*1000/'Inflation GDP Population'!AB28</f>
        <v>368.4975756</v>
      </c>
      <c r="AE45" s="121">
        <f>AE43*1000/'Inflation GDP Population'!AC28</f>
        <v>351.1852187</v>
      </c>
      <c r="AF45" s="121">
        <f>AF43*1000/'Inflation GDP Population'!AD28</f>
        <v>345.4154225</v>
      </c>
      <c r="AG45" s="121">
        <f>AG43*1000/'Inflation GDP Population'!AE28</f>
        <v>361.6567956</v>
      </c>
      <c r="AH45" s="121">
        <f>AH43*1000/'Inflation GDP Population'!AF28</f>
        <v>421.7805905</v>
      </c>
      <c r="AI45" s="121">
        <f>AI43*1000/'Inflation GDP Population'!AG28</f>
        <v>492.9781053</v>
      </c>
      <c r="AJ45" s="121">
        <f>AJ43*1000/'Inflation GDP Population'!AH28</f>
        <v>489.6400968</v>
      </c>
      <c r="AK45" s="121">
        <f>AK43*1000/'Inflation GDP Population'!AI28</f>
        <v>554.5828869</v>
      </c>
      <c r="AL45" s="121">
        <f>AL43*1000/'Inflation GDP Population'!AJ28</f>
        <v>569.0649014</v>
      </c>
      <c r="AM45" s="121">
        <f>AM43*1000/'Inflation GDP Population'!AK28</f>
        <v>614.1562352</v>
      </c>
      <c r="AN45" s="121">
        <f>AN43*1000/'Inflation GDP Population'!AL28</f>
        <v>578.1107088</v>
      </c>
      <c r="AO45" s="121">
        <f>AO43*1000/'Inflation GDP Population'!AM28</f>
        <v>599.4235274</v>
      </c>
      <c r="AP45" s="121">
        <f>AP43*1000/'Inflation GDP Population'!AN28</f>
        <v>583.6421638</v>
      </c>
      <c r="AQ45" s="121">
        <f>AQ43*1000/'Inflation GDP Population'!AO28</f>
        <v>457.806146</v>
      </c>
      <c r="AR45" s="121">
        <f>AR43*1000/'Inflation GDP Population'!AP28</f>
        <v>494.7641102</v>
      </c>
      <c r="AS45" s="121">
        <f>AS43*1000/'Inflation GDP Population'!AQ28</f>
        <v>531.7316895</v>
      </c>
      <c r="AT45" s="121">
        <f>AT43*1000/'Inflation GDP Population'!AR28</f>
        <v>545.0009996</v>
      </c>
      <c r="AU45" s="121">
        <f>AU43*1000/'Inflation GDP Population'!AS28</f>
        <v>516.4859798</v>
      </c>
      <c r="AV45" s="121">
        <f>AV43*1000/'Inflation GDP Population'!AT28</f>
        <v>484.7782534</v>
      </c>
      <c r="AW45" s="121">
        <f>AW43*1000/'Inflation GDP Population'!AU28</f>
        <v>508.411396</v>
      </c>
      <c r="AX45" s="121">
        <f>AX43*1000/'Inflation GDP Population'!AV28</f>
        <v>473.1300848</v>
      </c>
      <c r="AY45" s="121">
        <f>AY43*1000/'Inflation GDP Population'!AW28</f>
        <v>435.8944895</v>
      </c>
      <c r="AZ45" s="121">
        <f>AZ43*1000/'Inflation GDP Population'!AX28</f>
        <v>373.5252909</v>
      </c>
      <c r="BA45" s="121">
        <f>BA43*1000/'Inflation GDP Population'!AY28</f>
        <v>280.1308582</v>
      </c>
      <c r="BB45" s="121">
        <f>BB43*1000/'Inflation GDP Population'!AZ28</f>
        <v>203.1413236</v>
      </c>
      <c r="BC45" s="122"/>
      <c r="BD45" s="122"/>
      <c r="BE45" s="122"/>
      <c r="BF45" s="122"/>
      <c r="BG45" s="122"/>
      <c r="BH45" s="122"/>
      <c r="BI45" s="122"/>
      <c r="BJ45" s="122"/>
      <c r="BK45" s="122"/>
      <c r="BL45" s="122"/>
      <c r="BM45" s="122"/>
      <c r="BN45" s="122"/>
      <c r="BO45" s="122"/>
      <c r="BP45" s="122"/>
    </row>
    <row r="46" ht="15.75" customHeight="1">
      <c r="A46" s="119" t="s">
        <v>275</v>
      </c>
      <c r="B46" s="124" t="s">
        <v>240</v>
      </c>
      <c r="C46" s="125" t="s">
        <v>276</v>
      </c>
      <c r="D46" s="126">
        <f>D42*1000/'Inflation GDP Population'!B23*100</f>
        <v>2.196195797</v>
      </c>
      <c r="E46" s="126">
        <f>E42*1000/'Inflation GDP Population'!C23*100</f>
        <v>2.17587909</v>
      </c>
      <c r="F46" s="126">
        <f>F42*1000/'Inflation GDP Population'!D23*100</f>
        <v>2.143374122</v>
      </c>
      <c r="G46" s="126">
        <f>G42*1000/'Inflation GDP Population'!E23*100</f>
        <v>2.07304495</v>
      </c>
      <c r="H46" s="126">
        <f>H42*1000/'Inflation GDP Population'!F23*100</f>
        <v>2.072249709</v>
      </c>
      <c r="I46" s="126">
        <f>I42*1000/'Inflation GDP Population'!G23*100</f>
        <v>2.125781326</v>
      </c>
      <c r="J46" s="126">
        <f>J42*1000/'Inflation GDP Population'!H23*100</f>
        <v>1.994512564</v>
      </c>
      <c r="K46" s="126">
        <f>K42*1000/'Inflation GDP Population'!I23*100</f>
        <v>2.007619897</v>
      </c>
      <c r="L46" s="126">
        <f>L42*1000/'Inflation GDP Population'!J23*100</f>
        <v>2.042000558</v>
      </c>
      <c r="M46" s="126">
        <f>M42*1000/'Inflation GDP Population'!K23*100</f>
        <v>1.863258624</v>
      </c>
      <c r="N46" s="126">
        <f>N42*1000/'Inflation GDP Population'!L23*100</f>
        <v>2.023435842</v>
      </c>
      <c r="O46" s="126">
        <f>O42*1000/'Inflation GDP Population'!M23*100</f>
        <v>1.918439736</v>
      </c>
      <c r="P46" s="126">
        <f>P42*1000/'Inflation GDP Population'!N23*100</f>
        <v>1.765469936</v>
      </c>
      <c r="Q46" s="126">
        <f>Q42*1000/'Inflation GDP Population'!O23*100</f>
        <v>1.766659251</v>
      </c>
      <c r="R46" s="126">
        <f>R42*1000/'Inflation GDP Population'!P23*100</f>
        <v>1.792871795</v>
      </c>
      <c r="S46" s="126">
        <f>S42*1000/'Inflation GDP Population'!Q23*100</f>
        <v>1.579966566</v>
      </c>
      <c r="T46" s="126">
        <f>T42*1000/'Inflation GDP Population'!R23*100</f>
        <v>1.535816072</v>
      </c>
      <c r="U46" s="126">
        <f>U42*1000/'Inflation GDP Population'!S23*100</f>
        <v>1.479022695</v>
      </c>
      <c r="V46" s="126">
        <f>V42*1000/'Inflation GDP Population'!T23*100</f>
        <v>1.468195665</v>
      </c>
      <c r="W46" s="126">
        <f>W42*1000/'Inflation GDP Population'!U23*100</f>
        <v>1.398314743</v>
      </c>
      <c r="X46" s="126">
        <f>X42*1000/'Inflation GDP Population'!V23*100</f>
        <v>1.387855101</v>
      </c>
      <c r="Y46" s="126">
        <f>Y42*1000/'Inflation GDP Population'!W23*100</f>
        <v>1.346415662</v>
      </c>
      <c r="Z46" s="126">
        <f>Z42*1000/'Inflation GDP Population'!X23*100</f>
        <v>1.312127685</v>
      </c>
      <c r="AA46" s="126">
        <f>AA42*1000/'Inflation GDP Population'!Y23*100</f>
        <v>1.279422135</v>
      </c>
      <c r="AB46" s="126">
        <f>AB42*1000/'Inflation GDP Population'!Z23*100</f>
        <v>1.267865235</v>
      </c>
      <c r="AC46" s="126">
        <f>AC42*1000/'Inflation GDP Population'!AA23*100</f>
        <v>1.253428591</v>
      </c>
      <c r="AD46" s="126">
        <f>AD42*1000/'Inflation GDP Population'!AB23*100</f>
        <v>1.232571074</v>
      </c>
      <c r="AE46" s="126">
        <f>AE42*1000/'Inflation GDP Population'!AC23*100</f>
        <v>1.203596394</v>
      </c>
      <c r="AF46" s="126">
        <f>AF42*1000/'Inflation GDP Population'!AD23*100</f>
        <v>1.184124018</v>
      </c>
      <c r="AG46" s="126">
        <f>AG42*1000/'Inflation GDP Population'!AE23*100</f>
        <v>1.159365073</v>
      </c>
      <c r="AH46" s="126">
        <f>AH42*1000/'Inflation GDP Population'!AF23*100</f>
        <v>1.139411929</v>
      </c>
      <c r="AI46" s="126">
        <f>AI42*1000/'Inflation GDP Population'!AG23*100</f>
        <v>1.120359448</v>
      </c>
      <c r="AJ46" s="126">
        <f>AJ42*1000/'Inflation GDP Population'!AH23*100</f>
        <v>1.105035838</v>
      </c>
      <c r="AK46" s="126">
        <f>AK42*1000/'Inflation GDP Population'!AI23*100</f>
        <v>1.087942522</v>
      </c>
      <c r="AL46" s="126">
        <f>AL42*1000/'Inflation GDP Population'!AJ23*100</f>
        <v>1.070288817</v>
      </c>
      <c r="AM46" s="126">
        <f>AM42*1000/'Inflation GDP Population'!AK23*100</f>
        <v>1.053159982</v>
      </c>
      <c r="AN46" s="126">
        <f>AN42*1000/'Inflation GDP Population'!AL23*100</f>
        <v>1.03713549</v>
      </c>
      <c r="AO46" s="126">
        <f>AO42*1000/'Inflation GDP Population'!AM23*100</f>
        <v>1.020301877</v>
      </c>
      <c r="AP46" s="126">
        <f>AP42*1000/'Inflation GDP Population'!AN23*100</f>
        <v>1.001198516</v>
      </c>
      <c r="AQ46" s="126">
        <f>AQ42*1000/'Inflation GDP Population'!AO23*100</f>
        <v>0.9842178705</v>
      </c>
      <c r="AR46" s="126">
        <f>AR42*1000/'Inflation GDP Population'!AP23*100</f>
        <v>0.9691217706</v>
      </c>
      <c r="AS46" s="126">
        <f>AS42*1000/'Inflation GDP Population'!AQ23*100</f>
        <v>0.9508641052</v>
      </c>
      <c r="AT46" s="126">
        <f>AT42*1000/'Inflation GDP Population'!AR23*100</f>
        <v>0.9352635457</v>
      </c>
      <c r="AU46" s="126">
        <f>AU42*1000/'Inflation GDP Population'!AS23*100</f>
        <v>0.9203648194</v>
      </c>
      <c r="AV46" s="126">
        <f>AV42*1000/'Inflation GDP Population'!AT23*100</f>
        <v>0.9066766295</v>
      </c>
      <c r="AW46" s="126">
        <f>AW42*1000/'Inflation GDP Population'!AU23*100</f>
        <v>0.8925899782</v>
      </c>
      <c r="AX46" s="126">
        <f>AX42*1000/'Inflation GDP Population'!AV23*100</f>
        <v>0.878085821</v>
      </c>
      <c r="AY46" s="126">
        <f>AY42*1000/'Inflation GDP Population'!AW23*100</f>
        <v>0.8643182435</v>
      </c>
      <c r="AZ46" s="126">
        <f>AZ42*1000/'Inflation GDP Population'!AX23*100</f>
        <v>0.8527273252</v>
      </c>
      <c r="BA46" s="126">
        <f>BA42*1000/'Inflation GDP Population'!AY23*100</f>
        <v>0.8400014997</v>
      </c>
      <c r="BB46" s="126">
        <f>BB42*1000/'Inflation GDP Population'!AZ23*100</f>
        <v>0.8272559674</v>
      </c>
      <c r="BC46" s="122"/>
      <c r="BD46" s="122"/>
      <c r="BE46" s="122"/>
      <c r="BF46" s="122"/>
      <c r="BG46" s="122"/>
      <c r="BH46" s="122"/>
      <c r="BI46" s="122"/>
      <c r="BJ46" s="122"/>
      <c r="BK46" s="122"/>
      <c r="BL46" s="122"/>
      <c r="BM46" s="122"/>
      <c r="BN46" s="122"/>
      <c r="BO46" s="122"/>
      <c r="BP46" s="122"/>
    </row>
    <row r="47" ht="15.75" customHeight="1">
      <c r="A47" s="119" t="s">
        <v>277</v>
      </c>
      <c r="B47" s="124" t="s">
        <v>227</v>
      </c>
      <c r="C47" s="125" t="s">
        <v>276</v>
      </c>
      <c r="D47" s="126">
        <f>D43*1000/'Inflation GDP Population'!B23*100</f>
        <v>1.298278846</v>
      </c>
      <c r="E47" s="126">
        <f>E43*1000/'Inflation GDP Population'!C23*100</f>
        <v>1.122388101</v>
      </c>
      <c r="F47" s="126">
        <f>F43*1000/'Inflation GDP Population'!D23*100</f>
        <v>0.9129967021</v>
      </c>
      <c r="G47" s="126">
        <f>G43*1000/'Inflation GDP Population'!E23*100</f>
        <v>0.6648771502</v>
      </c>
      <c r="H47" s="126">
        <f>H43*1000/'Inflation GDP Population'!F23*100</f>
        <v>0.6099533959</v>
      </c>
      <c r="I47" s="126">
        <f>I43*1000/'Inflation GDP Population'!G23*100</f>
        <v>0.5255916051</v>
      </c>
      <c r="J47" s="126">
        <f>J43*1000/'Inflation GDP Population'!H23*100</f>
        <v>0.6807382949</v>
      </c>
      <c r="K47" s="126">
        <f>K43*1000/'Inflation GDP Population'!I23*100</f>
        <v>0.6005332005</v>
      </c>
      <c r="L47" s="126">
        <f>L43*1000/'Inflation GDP Population'!J23*100</f>
        <v>0.6013510789</v>
      </c>
      <c r="M47" s="126">
        <f>M43*1000/'Inflation GDP Population'!K23*100</f>
        <v>0.6961620926</v>
      </c>
      <c r="N47" s="126">
        <f>N43*1000/'Inflation GDP Population'!L23*100</f>
        <v>0.7774301132</v>
      </c>
      <c r="O47" s="126">
        <f>O43*1000/'Inflation GDP Population'!M23*100</f>
        <v>0.8015166899</v>
      </c>
      <c r="P47" s="126">
        <f>P43*1000/'Inflation GDP Population'!N23*100</f>
        <v>0.6927282614</v>
      </c>
      <c r="Q47" s="126">
        <f>Q43*1000/'Inflation GDP Population'!O23*100</f>
        <v>0.7116771294</v>
      </c>
      <c r="R47" s="126">
        <f>R43*1000/'Inflation GDP Population'!P23*100</f>
        <v>0.8210378245</v>
      </c>
      <c r="S47" s="126">
        <f>S43*1000/'Inflation GDP Population'!Q23*100</f>
        <v>1.236059959</v>
      </c>
      <c r="T47" s="126">
        <f>T43*1000/'Inflation GDP Population'!R23*100</f>
        <v>1.139831335</v>
      </c>
      <c r="U47" s="126">
        <f>U43*1000/'Inflation GDP Population'!S23*100</f>
        <v>0.9956471491</v>
      </c>
      <c r="V47" s="126">
        <f>V43*1000/'Inflation GDP Population'!T23*100</f>
        <v>0.9304662372</v>
      </c>
      <c r="W47" s="126">
        <f>W43*1000/'Inflation GDP Population'!U23*100</f>
        <v>1.033656015</v>
      </c>
      <c r="X47" s="126">
        <f>X43*1000/'Inflation GDP Population'!V23*100</f>
        <v>1.475891917</v>
      </c>
      <c r="Y47" s="126">
        <f>Y43*1000/'Inflation GDP Population'!W23*100</f>
        <v>1.104656396</v>
      </c>
      <c r="Z47" s="126">
        <f>Z43*1000/'Inflation GDP Population'!X23*100</f>
        <v>1.060271792</v>
      </c>
      <c r="AA47" s="126">
        <f>AA43*1000/'Inflation GDP Population'!Y23*100</f>
        <v>0.9776360106</v>
      </c>
      <c r="AB47" s="126">
        <f>AB43*1000/'Inflation GDP Population'!Z23*100</f>
        <v>0.9310267663</v>
      </c>
      <c r="AC47" s="126">
        <f>AC43*1000/'Inflation GDP Population'!AA23*100</f>
        <v>0.7698603236</v>
      </c>
      <c r="AD47" s="126">
        <f>AD43*1000/'Inflation GDP Population'!AB23*100</f>
        <v>0.6670522522</v>
      </c>
      <c r="AE47" s="126">
        <f>AE43*1000/'Inflation GDP Population'!AC23*100</f>
        <v>0.6284211188</v>
      </c>
      <c r="AF47" s="126">
        <f>AF43*1000/'Inflation GDP Population'!AD23*100</f>
        <v>0.6109671963</v>
      </c>
      <c r="AG47" s="126">
        <f>AG43*1000/'Inflation GDP Population'!AE23*100</f>
        <v>0.6322766778</v>
      </c>
      <c r="AH47" s="126">
        <f>AH43*1000/'Inflation GDP Population'!AF23*100</f>
        <v>0.7287937733</v>
      </c>
      <c r="AI47" s="126">
        <f>AI43*1000/'Inflation GDP Population'!AG23*100</f>
        <v>0.8408181168</v>
      </c>
      <c r="AJ47" s="126">
        <f>AJ43*1000/'Inflation GDP Population'!AH23*100</f>
        <v>0.824307403</v>
      </c>
      <c r="AK47" s="126">
        <f>AK43*1000/'Inflation GDP Population'!AI23*100</f>
        <v>0.9215059734</v>
      </c>
      <c r="AL47" s="126">
        <f>AL43*1000/'Inflation GDP Population'!AJ23*100</f>
        <v>0.9332432598</v>
      </c>
      <c r="AM47" s="126">
        <f>AM43*1000/'Inflation GDP Population'!AK23*100</f>
        <v>0.994020716</v>
      </c>
      <c r="AN47" s="126">
        <f>AN43*1000/'Inflation GDP Population'!AL23*100</f>
        <v>0.9234076254</v>
      </c>
      <c r="AO47" s="126">
        <f>AO43*1000/'Inflation GDP Population'!AM23*100</f>
        <v>0.9448539571</v>
      </c>
      <c r="AP47" s="126">
        <f>AP43*1000/'Inflation GDP Population'!AN23*100</f>
        <v>0.9078389757</v>
      </c>
      <c r="AQ47" s="126">
        <f>AQ43*1000/'Inflation GDP Population'!AO23*100</f>
        <v>0.7026807682</v>
      </c>
      <c r="AR47" s="126">
        <f>AR43*1000/'Inflation GDP Population'!AP23*100</f>
        <v>0.749328327</v>
      </c>
      <c r="AS47" s="126">
        <f>AS43*1000/'Inflation GDP Population'!AQ23*100</f>
        <v>0.795003617</v>
      </c>
      <c r="AT47" s="126">
        <f>AT43*1000/'Inflation GDP Population'!AR23*100</f>
        <v>0.804372626</v>
      </c>
      <c r="AU47" s="126">
        <f>AU43*1000/'Inflation GDP Population'!AS23*100</f>
        <v>0.7524593092</v>
      </c>
      <c r="AV47" s="126">
        <f>AV43*1000/'Inflation GDP Population'!AT23*100</f>
        <v>0.6971294578</v>
      </c>
      <c r="AW47" s="126">
        <f>AW43*1000/'Inflation GDP Population'!AU23*100</f>
        <v>0.7216273255</v>
      </c>
      <c r="AX47" s="126">
        <f>AX43*1000/'Inflation GDP Population'!AV23*100</f>
        <v>0.6628075551</v>
      </c>
      <c r="AY47" s="126">
        <f>AY43*1000/'Inflation GDP Population'!AW23*100</f>
        <v>0.6026698899</v>
      </c>
      <c r="AZ47" s="126">
        <f>AZ43*1000/'Inflation GDP Population'!AX23*100</f>
        <v>0.5096729957</v>
      </c>
      <c r="BA47" s="126">
        <f>BA43*1000/'Inflation GDP Population'!AY23*100</f>
        <v>0.3772146482</v>
      </c>
      <c r="BB47" s="126">
        <f>BB43*1000/'Inflation GDP Population'!AZ23*100</f>
        <v>0.2699383397</v>
      </c>
      <c r="BC47" s="122"/>
      <c r="BD47" s="122"/>
      <c r="BE47" s="122"/>
      <c r="BF47" s="122"/>
      <c r="BG47" s="122"/>
      <c r="BH47" s="122"/>
      <c r="BI47" s="122"/>
      <c r="BJ47" s="122"/>
      <c r="BK47" s="122"/>
      <c r="BL47" s="122"/>
      <c r="BM47" s="122"/>
      <c r="BN47" s="122"/>
      <c r="BO47" s="122"/>
      <c r="BP47" s="122"/>
    </row>
    <row r="48" ht="15.75" customHeight="1">
      <c r="A48" s="127" t="s">
        <v>278</v>
      </c>
      <c r="B48" s="32" t="s">
        <v>279</v>
      </c>
      <c r="C48" s="32" t="s">
        <v>195</v>
      </c>
      <c r="D48" s="128">
        <f>sum('Transportation and Industrial G'!B21,Model!C246)</f>
        <v>383.7692827</v>
      </c>
      <c r="E48" s="128">
        <f>sum('Transportation and Industrial G'!C21,Model!D246)</f>
        <v>369.3714591</v>
      </c>
      <c r="F48" s="128">
        <f>sum('Transportation and Industrial G'!D21,Model!E246)</f>
        <v>369.0080377</v>
      </c>
      <c r="G48" s="128">
        <f>sum('Transportation and Industrial G'!E21,Model!F246)</f>
        <v>371.5341633</v>
      </c>
      <c r="H48" s="128">
        <f>sum('Transportation and Industrial G'!F21,Model!G246)</f>
        <v>376.2553603</v>
      </c>
      <c r="I48" s="128">
        <f>sum('Transportation and Industrial G'!G21,Model!H246)</f>
        <v>388.1700823</v>
      </c>
      <c r="J48" s="128">
        <f>sum('Transportation and Industrial G'!H21,Model!I246)</f>
        <v>385.7449358</v>
      </c>
      <c r="K48" s="128">
        <f>sum('Transportation and Industrial G'!I21,Model!J246)</f>
        <v>393.5154905</v>
      </c>
      <c r="L48" s="128">
        <f>sum('Transportation and Industrial G'!J21,Model!K246)</f>
        <v>376.8565033</v>
      </c>
      <c r="M48" s="128">
        <f>sum('Transportation and Industrial G'!K21,Model!L246)</f>
        <v>299.5445806</v>
      </c>
      <c r="N48" s="128">
        <f>sum('Transportation and Industrial G'!L21,Model!M246)</f>
        <v>325.3599151</v>
      </c>
      <c r="O48" s="128">
        <f>sum('Transportation and Industrial G'!M21,Model!N246)</f>
        <v>282.0499217</v>
      </c>
      <c r="P48" s="128">
        <f>sum('Transportation and Industrial G'!N21,Model!O246)</f>
        <v>227.2360155</v>
      </c>
      <c r="Q48" s="128">
        <f>sum('Transportation and Industrial G'!O21,Model!P246)</f>
        <v>219.1337749</v>
      </c>
      <c r="R48" s="128">
        <f>sum('Transportation and Industrial G'!P21,Model!Q246)</f>
        <v>237.3479107</v>
      </c>
      <c r="S48" s="128">
        <f>sum('Transportation and Industrial G'!Q21,Model!R246)</f>
        <v>194.4683459</v>
      </c>
      <c r="T48" s="128">
        <f>sum('Transportation and Industrial G'!R21,Model!S246)</f>
        <v>181.7441769</v>
      </c>
      <c r="U48" s="128">
        <f>sum('Transportation and Industrial G'!S21,Model!T246)</f>
        <v>161.6615725</v>
      </c>
      <c r="V48" s="128">
        <f>sum('Transportation and Industrial G'!T21,Model!U246)</f>
        <v>155.9328202</v>
      </c>
      <c r="W48" s="128">
        <f>sum('Transportation and Industrial G'!U21,Model!V246)</f>
        <v>155.9063591</v>
      </c>
      <c r="X48" s="128">
        <f>sum('Transportation and Industrial G'!V21,Model!W246)</f>
        <v>155.8798979</v>
      </c>
      <c r="Y48" s="128">
        <f>sum('Transportation and Industrial G'!W21,Model!X246)</f>
        <v>149.2638972</v>
      </c>
      <c r="Z48" s="128">
        <f>sum('Transportation and Industrial G'!X21,Model!Y246)</f>
        <v>149.0603165</v>
      </c>
      <c r="AA48" s="128">
        <f>sum('Transportation and Industrial G'!Y21,Model!Z246)</f>
        <v>148.5037011</v>
      </c>
      <c r="AB48" s="128">
        <f>sum('Transportation and Industrial G'!Z21,Model!AA246)</f>
        <v>147.9520276</v>
      </c>
      <c r="AC48" s="128">
        <f>sum('Transportation and Industrial G'!AA21,Model!AB246)</f>
        <v>146.3395956</v>
      </c>
      <c r="AD48" s="128">
        <f>sum('Transportation and Industrial G'!AB21,Model!AC246)</f>
        <v>145.3543446</v>
      </c>
      <c r="AE48" s="128">
        <f>sum('Transportation and Industrial G'!AC21,Model!AD246)</f>
        <v>144.7654918</v>
      </c>
      <c r="AF48" s="128">
        <f>sum('Transportation and Industrial G'!AD21,Model!AE246)</f>
        <v>144.9850891</v>
      </c>
      <c r="AG48" s="128">
        <f>sum('Transportation and Industrial G'!AE21,Model!AF246)</f>
        <v>145.241214</v>
      </c>
      <c r="AH48" s="128">
        <f>sum('Transportation and Industrial G'!AF21,Model!AG246)</f>
        <v>144.9618627</v>
      </c>
      <c r="AI48" s="128">
        <f>sum('Transportation and Industrial G'!AG21,Model!AH246)</f>
        <v>145.2429383</v>
      </c>
      <c r="AJ48" s="128">
        <f>sum('Transportation and Industrial G'!AH21,Model!AI246)</f>
        <v>145.515024</v>
      </c>
      <c r="AK48" s="128">
        <f>sum('Transportation and Industrial G'!AI21,Model!AJ246)</f>
        <v>145.7581723</v>
      </c>
      <c r="AL48" s="128">
        <f>sum('Transportation and Industrial G'!AJ21,Model!AK246)</f>
        <v>145.9404826</v>
      </c>
      <c r="AM48" s="128">
        <f>sum('Transportation and Industrial G'!AK21,Model!AL246)</f>
        <v>146.1823323</v>
      </c>
      <c r="AN48" s="128">
        <f>sum('Transportation and Industrial G'!AL21,Model!AM246)</f>
        <v>146.066047</v>
      </c>
      <c r="AO48" s="128">
        <f>sum('Transportation and Industrial G'!AM21,Model!AN246)</f>
        <v>146.2831505</v>
      </c>
      <c r="AP48" s="128">
        <f>sum('Transportation and Industrial G'!AN21,Model!AO246)</f>
        <v>146.48859</v>
      </c>
      <c r="AQ48" s="128">
        <f>sum('Transportation and Industrial G'!AO21,Model!AP246)</f>
        <v>146.681813</v>
      </c>
      <c r="AR48" s="128">
        <f>sum('Transportation and Industrial G'!AP21,Model!AQ246)</f>
        <v>146.8622316</v>
      </c>
      <c r="AS48" s="128">
        <f>sum('Transportation and Industrial G'!AQ21,Model!AR246)</f>
        <v>147.0292194</v>
      </c>
      <c r="AT48" s="128">
        <f>sum('Transportation and Industrial G'!AR21,Model!AS246)</f>
        <v>147.1821088</v>
      </c>
      <c r="AU48" s="128">
        <f>sum('Transportation and Industrial G'!AS21,Model!AT246)</f>
        <v>147.3201867</v>
      </c>
      <c r="AV48" s="128">
        <f>sum('Transportation and Industrial G'!AT21,Model!AU246)</f>
        <v>147.4426916</v>
      </c>
      <c r="AW48" s="128">
        <f>sum('Transportation and Industrial G'!AU21,Model!AV246)</f>
        <v>147.5488087</v>
      </c>
      <c r="AX48" s="128">
        <f>sum('Transportation and Industrial G'!AV21,Model!AW246)</f>
        <v>147.6376651</v>
      </c>
      <c r="AY48" s="128">
        <f>sum('Transportation and Industrial G'!AW21,Model!AX246)</f>
        <v>147.7083252</v>
      </c>
      <c r="AZ48" s="128">
        <f>sum('Transportation and Industrial G'!AX21,Model!AY246)</f>
        <v>147.7597843</v>
      </c>
      <c r="BA48" s="128">
        <f>sum('Transportation and Industrial G'!AY21,Model!AZ246)</f>
        <v>147.7909623</v>
      </c>
      <c r="BB48" s="128">
        <f>sum('Transportation and Industrial G'!AZ21,Model!BA246)</f>
        <v>147.8006967</v>
      </c>
    </row>
    <row r="49" ht="15.75" customHeight="1">
      <c r="A49" s="127" t="s">
        <v>280</v>
      </c>
      <c r="B49" s="32" t="s">
        <v>279</v>
      </c>
      <c r="C49" s="32" t="s">
        <v>281</v>
      </c>
      <c r="D49" s="128">
        <f>sum('Transportation and Industrial G'!B$14:B$17,Model!C654)</f>
        <v>92.6024844</v>
      </c>
      <c r="E49" s="128">
        <f>sum('Transportation and Industrial G'!C$14:C$17,Model!D654)</f>
        <v>89.07999533</v>
      </c>
      <c r="F49" s="128">
        <f>sum('Transportation and Industrial G'!D$14:D$17,Model!E654)</f>
        <v>94.92368742</v>
      </c>
      <c r="G49" s="128">
        <f>sum('Transportation and Industrial G'!E$14:E$17,Model!F654)</f>
        <v>86.87149019</v>
      </c>
      <c r="H49" s="128">
        <f>sum('Transportation and Industrial G'!F$14:F$17,Model!G654)</f>
        <v>89.96335597</v>
      </c>
      <c r="I49" s="128">
        <f>sum('Transportation and Industrial G'!G$14:G$17,Model!H654)</f>
        <v>90.91408922</v>
      </c>
      <c r="J49" s="128">
        <f>sum('Transportation and Industrial G'!H$14:H$17,Model!I654)</f>
        <v>92.84709433</v>
      </c>
      <c r="K49" s="128">
        <f>sum('Transportation and Industrial G'!I$14:I$17,Model!J654)</f>
        <v>98.7688077</v>
      </c>
      <c r="L49" s="128">
        <f>sum('Transportation and Industrial G'!J$14:J$17,Model!K654)</f>
        <v>98.52567476</v>
      </c>
      <c r="M49" s="128">
        <f>sum('Transportation and Industrial G'!K$14:K$17,Model!L654)</f>
        <v>105.3309469</v>
      </c>
      <c r="N49" s="128">
        <f>sum('Transportation and Industrial G'!L$14:L$17,Model!M654)</f>
        <v>122.5584788</v>
      </c>
      <c r="O49" s="128">
        <f>sum('Transportation and Industrial G'!M$14:M$17,Model!N654)</f>
        <v>126.2264364</v>
      </c>
      <c r="P49" s="128">
        <f>sum('Transportation and Industrial G'!N$14:N$17,Model!O654)</f>
        <v>143.8836875</v>
      </c>
      <c r="Q49" s="128">
        <f>sum('Transportation and Industrial G'!O$14:O$17,Model!P654)</f>
        <v>143.6048879</v>
      </c>
      <c r="R49" s="128">
        <f>sum('Transportation and Industrial G'!P$14:P$17,Model!Q654)</f>
        <v>149.2113245</v>
      </c>
      <c r="S49" s="128">
        <f>sum('Transportation and Industrial G'!Q$14:Q$17,Model!R654)</f>
        <v>166.3580155</v>
      </c>
      <c r="T49" s="128">
        <f>sum('Transportation and Industrial G'!R$14:R$17,Model!S654)</f>
        <v>173.183649</v>
      </c>
      <c r="U49" s="128">
        <f>sum('Transportation and Industrial G'!S$14:S$17,Model!T654)</f>
        <v>169.9745756</v>
      </c>
      <c r="V49" s="128">
        <f>sum('Transportation and Industrial G'!T$14:T$17,Model!U654)</f>
        <v>176.8164756</v>
      </c>
      <c r="W49" s="128">
        <f>sum('Transportation and Industrial G'!U$14:U$17,Model!V654)</f>
        <v>175.3611415</v>
      </c>
      <c r="X49" s="128">
        <f>sum('Transportation and Industrial G'!V$14:V$17,Model!W654)</f>
        <v>173.9058074</v>
      </c>
      <c r="Y49" s="128">
        <f>sum('Transportation and Industrial G'!W$14:W$17,Model!X654)</f>
        <v>173.0262237</v>
      </c>
      <c r="Z49" s="128">
        <f>sum('Transportation and Industrial G'!X$14:X$17,Model!Y654)</f>
        <v>172.1287508</v>
      </c>
      <c r="AA49" s="128">
        <f>sum('Transportation and Industrial G'!Y$14:Y$17,Model!Z654)</f>
        <v>171.2133886</v>
      </c>
      <c r="AB49" s="128">
        <f>sum('Transportation and Industrial G'!Z$14:Z$17,Model!AA654)</f>
        <v>170.2801373</v>
      </c>
      <c r="AC49" s="128">
        <f>sum('Transportation and Industrial G'!AA$14:AA$17,Model!AB654)</f>
        <v>169.3289967</v>
      </c>
      <c r="AD49" s="128">
        <f>sum('Transportation and Industrial G'!AB$14:AB$17,Model!AC654)</f>
        <v>168.3599669</v>
      </c>
      <c r="AE49" s="128">
        <f>sum('Transportation and Industrial G'!AC$14:AC$17,Model!AD654)</f>
        <v>167.3730479</v>
      </c>
      <c r="AF49" s="128">
        <f>sum('Transportation and Industrial G'!AD$14:AD$17,Model!AE654)</f>
        <v>168.4761679</v>
      </c>
      <c r="AG49" s="128">
        <f>sum('Transportation and Industrial G'!AE$14:AE$17,Model!AF654)</f>
        <v>169.579288</v>
      </c>
      <c r="AH49" s="128">
        <f>sum('Transportation and Industrial G'!AF$14:AF$17,Model!AG654)</f>
        <v>170.6824081</v>
      </c>
      <c r="AI49" s="128">
        <f>sum('Transportation and Industrial G'!AG$14:AG$17,Model!AH654)</f>
        <v>171.7855282</v>
      </c>
      <c r="AJ49" s="128">
        <f>sum('Transportation and Industrial G'!AH$14:AH$17,Model!AI654)</f>
        <v>172.8886482</v>
      </c>
      <c r="AK49" s="128">
        <f>sum('Transportation and Industrial G'!AI$14:AI$17,Model!AJ654)</f>
        <v>173.9917683</v>
      </c>
      <c r="AL49" s="128">
        <f>sum('Transportation and Industrial G'!AJ$14:AJ$17,Model!AK654)</f>
        <v>175.0948884</v>
      </c>
      <c r="AM49" s="128">
        <f>sum('Transportation and Industrial G'!AK$14:AK$17,Model!AL654)</f>
        <v>176.1980084</v>
      </c>
      <c r="AN49" s="128">
        <f>sum('Transportation and Industrial G'!AL$14:AL$17,Model!AM654)</f>
        <v>177.3011285</v>
      </c>
      <c r="AO49" s="128">
        <f>sum('Transportation and Industrial G'!AM$14:AM$17,Model!AN654)</f>
        <v>178.4042486</v>
      </c>
      <c r="AP49" s="128">
        <f>sum('Transportation and Industrial G'!AN$14:AN$17,Model!AO654)</f>
        <v>179.5073687</v>
      </c>
      <c r="AQ49" s="128">
        <f>sum('Transportation and Industrial G'!AO$14:AO$17,Model!AP654)</f>
        <v>180.6104887</v>
      </c>
      <c r="AR49" s="128">
        <f>sum('Transportation and Industrial G'!AP$14:AP$17,Model!AQ654)</f>
        <v>181.7136088</v>
      </c>
      <c r="AS49" s="128">
        <f>sum('Transportation and Industrial G'!AQ$14:AQ$17,Model!AR654)</f>
        <v>182.8167289</v>
      </c>
      <c r="AT49" s="128">
        <f>sum('Transportation and Industrial G'!AR$14:AR$17,Model!AS654)</f>
        <v>183.9198489</v>
      </c>
      <c r="AU49" s="128">
        <f>sum('Transportation and Industrial G'!AS$14:AS$17,Model!AT654)</f>
        <v>185.022969</v>
      </c>
      <c r="AV49" s="128">
        <f>sum('Transportation and Industrial G'!AT$14:AT$17,Model!AU654)</f>
        <v>186.1260891</v>
      </c>
      <c r="AW49" s="128">
        <f>sum('Transportation and Industrial G'!AU$14:AU$17,Model!AV654)</f>
        <v>187.2292092</v>
      </c>
      <c r="AX49" s="128">
        <f>sum('Transportation and Industrial G'!AV$14:AV$17,Model!AW654)</f>
        <v>188.3323292</v>
      </c>
      <c r="AY49" s="128">
        <f>sum('Transportation and Industrial G'!AW$14:AW$17,Model!AX654)</f>
        <v>189.4354493</v>
      </c>
      <c r="AZ49" s="128">
        <f>sum('Transportation and Industrial G'!AX$14:AX$17,Model!AY654)</f>
        <v>190.5385694</v>
      </c>
      <c r="BA49" s="128">
        <f>sum('Transportation and Industrial G'!AY$14:AY$17,Model!AZ654)</f>
        <v>191.6416895</v>
      </c>
      <c r="BB49" s="128">
        <f>sum('Transportation and Industrial G'!AZ$14:AZ$17,Model!BA654)</f>
        <v>192.7448095</v>
      </c>
    </row>
    <row r="50" ht="15.75" customHeight="1">
      <c r="A50" s="127" t="s">
        <v>282</v>
      </c>
      <c r="B50" s="32" t="s">
        <v>279</v>
      </c>
      <c r="C50" s="32" t="s">
        <v>215</v>
      </c>
      <c r="D50" s="128">
        <f>sum('Transportation and Industrial G'!B36:B39,Model!C2468)</f>
        <v>273.2279166</v>
      </c>
      <c r="E50" s="128">
        <f>sum('Transportation and Industrial G'!C36:C39,Model!D2468)</f>
        <v>274.1365275</v>
      </c>
      <c r="F50" s="128">
        <f>sum('Transportation and Industrial G'!D36:D39,Model!E2468)</f>
        <v>272.3443198</v>
      </c>
      <c r="G50" s="128">
        <f>sum('Transportation and Industrial G'!E36:E39,Model!F2468)</f>
        <v>282.5547445</v>
      </c>
      <c r="H50" s="128">
        <f>sum('Transportation and Industrial G'!F36:F39,Model!G2468)</f>
        <v>294.3345162</v>
      </c>
      <c r="I50" s="128">
        <f>sum('Transportation and Industrial G'!G36:G39,Model!H2468)</f>
        <v>295.0324776</v>
      </c>
      <c r="J50" s="128">
        <f>sum('Transportation and Industrial G'!H36:H39,Model!I2468)</f>
        <v>292.9844135</v>
      </c>
      <c r="K50" s="128">
        <f>sum('Transportation and Industrial G'!I36:I39,Model!J2468)</f>
        <v>289.9865175</v>
      </c>
      <c r="L50" s="128">
        <f>sum('Transportation and Industrial G'!J36:J39,Model!K2468)</f>
        <v>269.566085</v>
      </c>
      <c r="M50" s="128">
        <f>sum('Transportation and Industrial G'!K36:K39,Model!L2468)</f>
        <v>262.787356</v>
      </c>
      <c r="N50" s="128">
        <f>sum('Transportation and Industrial G'!L36:L39,Model!M2468)</f>
        <v>266.8500723</v>
      </c>
      <c r="O50" s="128">
        <f>sum('Transportation and Industrial G'!M36:M39,Model!N2468)</f>
        <v>260.2249821</v>
      </c>
      <c r="P50" s="128">
        <f>sum('Transportation and Industrial G'!N36:N39,Model!O2468)</f>
        <v>250.2550584</v>
      </c>
      <c r="Q50" s="128">
        <f>sum('Transportation and Industrial G'!O36:O39,Model!P2468)</f>
        <v>253.9174229</v>
      </c>
      <c r="R50" s="128">
        <f>sum('Transportation and Industrial G'!P36:P39,Model!Q2468)</f>
        <v>254.7880924</v>
      </c>
      <c r="S50" s="128">
        <f>sum('Transportation and Industrial G'!Q36:Q39,Model!R2468)</f>
        <v>263.4184969</v>
      </c>
      <c r="T50" s="128">
        <f>sum('Transportation and Industrial G'!R36:R39,Model!S2468)</f>
        <v>269.4041161</v>
      </c>
      <c r="U50" s="128">
        <f>sum('Transportation and Industrial G'!S36:S39,Model!T2468)</f>
        <v>273.0970641</v>
      </c>
      <c r="V50" s="128">
        <f>sum('Transportation and Industrial G'!T36:T39,Model!U2468)</f>
        <v>272.3521535</v>
      </c>
      <c r="W50" s="128">
        <f>sum('Transportation and Industrial G'!U36:U39,Model!V2468)</f>
        <v>270.8073542</v>
      </c>
      <c r="X50" s="128">
        <f>sum('Transportation and Industrial G'!V36:V39,Model!W2468)</f>
        <v>269.262555</v>
      </c>
      <c r="Y50" s="128">
        <f>sum('Transportation and Industrial G'!W36:W39,Model!X2468)</f>
        <v>267.6653906</v>
      </c>
      <c r="Z50" s="128">
        <f>sum('Transportation and Industrial G'!X36:X39,Model!Y2468)</f>
        <v>266.0682263</v>
      </c>
      <c r="AA50" s="128">
        <f>sum('Transportation and Industrial G'!Y36:Y39,Model!Z2468)</f>
        <v>264.471062</v>
      </c>
      <c r="AB50" s="128">
        <f>sum('Transportation and Industrial G'!Z36:Z39,Model!AA2468)</f>
        <v>262.8738976</v>
      </c>
      <c r="AC50" s="128">
        <f>sum('Transportation and Industrial G'!AA36:AA39,Model!AB2468)</f>
        <v>261.2767333</v>
      </c>
      <c r="AD50" s="128">
        <f>sum('Transportation and Industrial G'!AB36:AB39,Model!AC2468)</f>
        <v>259.6795689</v>
      </c>
      <c r="AE50" s="128">
        <f>sum('Transportation and Industrial G'!AC36:AC39,Model!AD2468)</f>
        <v>258.0824046</v>
      </c>
      <c r="AF50" s="128">
        <f>sum('Transportation and Industrial G'!AD36:AD39,Model!AE2468)</f>
        <v>256.4852402</v>
      </c>
      <c r="AG50" s="128">
        <f>sum('Transportation and Industrial G'!AE36:AE39,Model!AF2468)</f>
        <v>254.8880759</v>
      </c>
      <c r="AH50" s="128">
        <f>sum('Transportation and Industrial G'!AF36:AF39,Model!AG2468)</f>
        <v>253.2909116</v>
      </c>
      <c r="AI50" s="128">
        <f>sum('Transportation and Industrial G'!AG36:AG39,Model!AH2468)</f>
        <v>251.6937472</v>
      </c>
      <c r="AJ50" s="128">
        <f>sum('Transportation and Industrial G'!AH36:AH39,Model!AI2468)</f>
        <v>250.0965829</v>
      </c>
      <c r="AK50" s="128">
        <f>sum('Transportation and Industrial G'!AI36:AI39,Model!AJ2468)</f>
        <v>248.4994185</v>
      </c>
      <c r="AL50" s="128">
        <f>sum('Transportation and Industrial G'!AJ36:AJ39,Model!AK2468)</f>
        <v>246.9022542</v>
      </c>
      <c r="AM50" s="128">
        <f>sum('Transportation and Industrial G'!AK36:AK39,Model!AL2468)</f>
        <v>245.3050898</v>
      </c>
      <c r="AN50" s="128">
        <f>sum('Transportation and Industrial G'!AL36:AL39,Model!AM2468)</f>
        <v>243.7079255</v>
      </c>
      <c r="AO50" s="128">
        <f>sum('Transportation and Industrial G'!AM36:AM39,Model!AN2468)</f>
        <v>242.1107612</v>
      </c>
      <c r="AP50" s="128">
        <f>sum('Transportation and Industrial G'!AN36:AN39,Model!AO2468)</f>
        <v>240.5135968</v>
      </c>
      <c r="AQ50" s="128">
        <f>sum('Transportation and Industrial G'!AO36:AO39,Model!AP2468)</f>
        <v>238.9164325</v>
      </c>
      <c r="AR50" s="128">
        <f>sum('Transportation and Industrial G'!AP36:AP39,Model!AQ2468)</f>
        <v>237.3192681</v>
      </c>
      <c r="AS50" s="128">
        <f>sum('Transportation and Industrial G'!AQ36:AQ39,Model!AR2468)</f>
        <v>235.7221038</v>
      </c>
      <c r="AT50" s="128">
        <f>sum('Transportation and Industrial G'!AR36:AR39,Model!AS2468)</f>
        <v>234.1249394</v>
      </c>
      <c r="AU50" s="128">
        <f>sum('Transportation and Industrial G'!AS36:AS39,Model!AT2468)</f>
        <v>232.5277751</v>
      </c>
      <c r="AV50" s="128">
        <f>sum('Transportation and Industrial G'!AT36:AT39,Model!AU2468)</f>
        <v>230.9306108</v>
      </c>
      <c r="AW50" s="128">
        <f>sum('Transportation and Industrial G'!AU36:AU39,Model!AV2468)</f>
        <v>229.3334464</v>
      </c>
      <c r="AX50" s="128">
        <f>sum('Transportation and Industrial G'!AV36:AV39,Model!AW2468)</f>
        <v>227.7362821</v>
      </c>
      <c r="AY50" s="128">
        <f>sum('Transportation and Industrial G'!AW36:AW39,Model!AX2468)</f>
        <v>226.1391177</v>
      </c>
      <c r="AZ50" s="128">
        <f>sum('Transportation and Industrial G'!AX36:AX39,Model!AY2468)</f>
        <v>224.5419534</v>
      </c>
      <c r="BA50" s="128">
        <f>sum('Transportation and Industrial G'!AY36:AY39,Model!AZ2468)</f>
        <v>222.944789</v>
      </c>
      <c r="BB50" s="128">
        <f>sum('Transportation and Industrial G'!AZ36:AZ39,Model!BA2468)</f>
        <v>221.3476247</v>
      </c>
    </row>
    <row r="51" ht="15.75" customHeight="1">
      <c r="A51" s="127" t="s">
        <v>283</v>
      </c>
      <c r="B51" s="32" t="s">
        <v>279</v>
      </c>
      <c r="C51" s="32" t="s">
        <v>284</v>
      </c>
      <c r="D51" s="128">
        <f>sum(Model!C245,Model!C653,Model!C891,Model!C1116,Model!C1343,Model!C1568,Model!C1793,Model!C2244,Model!C2467,Model!C3760)</f>
        <v>0.42798796</v>
      </c>
      <c r="E51" s="128">
        <f>sum(Model!D245,Model!D653,Model!D891,Model!D1116,Model!D1343,Model!D1568,Model!D1793,Model!D2244,Model!D2467,Model!D3760)</f>
        <v>0.6524941</v>
      </c>
      <c r="F51" s="128">
        <f>sum(Model!E245,Model!E653,Model!E891,Model!E1116,Model!E1343,Model!E1568,Model!E1793,Model!E2244,Model!E2467,Model!E3760)</f>
        <v>1.12743516</v>
      </c>
      <c r="G51" s="128">
        <f>sum(Model!F245,Model!F653,Model!F891,Model!F1116,Model!F1343,Model!F1568,Model!F1793,Model!F2244,Model!F2467,Model!F3760)</f>
        <v>1.37674176</v>
      </c>
      <c r="H51" s="128">
        <f>sum(Model!G245,Model!G653,Model!G891,Model!G1116,Model!G1343,Model!G1568,Model!G1793,Model!G2244,Model!G2467,Model!G3760)</f>
        <v>0.42470688</v>
      </c>
      <c r="I51" s="128">
        <f>sum(Model!H245,Model!H653,Model!H891,Model!H1116,Model!H1343,Model!H1568,Model!H1793,Model!H2244,Model!H2467,Model!H3760)</f>
        <v>0.225864</v>
      </c>
      <c r="J51" s="128">
        <f>sum(Model!I245,Model!I653,Model!I891,Model!I1116,Model!I1343,Model!I1568,Model!I1793,Model!I2244,Model!I2467,Model!I3760)</f>
        <v>0.1561814</v>
      </c>
      <c r="K51" s="128">
        <f>sum(Model!J245,Model!J653,Model!J891,Model!J1116,Model!J1343,Model!J1568,Model!J1793,Model!J2244,Model!J2467,Model!J3760)</f>
        <v>0.16616644</v>
      </c>
      <c r="L51" s="128">
        <f>sum(Model!K245,Model!K653,Model!K891,Model!K1116,Model!K1343,Model!K1568,Model!K1793,Model!K2244,Model!K2467,Model!K3760)</f>
        <v>0.2869688</v>
      </c>
      <c r="M51" s="128">
        <f>sum(Model!L245,Model!L653,Model!L891,Model!L1116,Model!L1343,Model!L1568,Model!L1793,Model!L2244,Model!L2467,Model!L3760)</f>
        <v>0.00623604</v>
      </c>
      <c r="N51" s="128">
        <f>sum(Model!M245,Model!M653,Model!M891,Model!M1116,Model!M1343,Model!M1568,Model!M1793,Model!M2244,Model!M2467,Model!M3760)</f>
        <v>0.27142232</v>
      </c>
      <c r="O51" s="128">
        <f>sum(Model!N245,Model!N653,Model!N891,Model!N1116,Model!N1343,Model!N1568,Model!N1793,Model!N2244,Model!N2467,Model!N3760)</f>
        <v>0.4209378</v>
      </c>
      <c r="P51" s="128">
        <f>sum(Model!O245,Model!O653,Model!O891,Model!O1116,Model!O1343,Model!O1568,Model!O1793,Model!O2244,Model!O2467,Model!O3760)</f>
        <v>1.14793966</v>
      </c>
      <c r="Q51" s="128">
        <f>sum(Model!P245,Model!P653,Model!P891,Model!P1116,Model!P1343,Model!P1568,Model!P1793,Model!P2244,Model!P2467,Model!P3760)</f>
        <v>0.62508744</v>
      </c>
      <c r="R51" s="128">
        <f>sum(Model!Q245,Model!Q653,Model!Q891,Model!Q1116,Model!Q1343,Model!Q1568,Model!Q1793,Model!Q2244,Model!Q2467,Model!Q3760)</f>
        <v>0.8252978</v>
      </c>
      <c r="S51" s="128">
        <f>sum(Model!R245,Model!R653,Model!R891,Model!R1116,Model!R1343,Model!R1568,Model!R1793,Model!R2244,Model!R2467,Model!R3760)</f>
        <v>1.78924376</v>
      </c>
      <c r="T51" s="128">
        <f>sum(Model!S245,Model!S653,Model!S891,Model!S1116,Model!S1343,Model!S1568,Model!S1793,Model!S2244,Model!S2467,Model!S3760)</f>
        <v>3.2769852</v>
      </c>
      <c r="U51" s="128">
        <f>sum(Model!T245,Model!T653,Model!T891,Model!T1116,Model!T1343,Model!T1568,Model!T1793,Model!T2244,Model!T2467,Model!T3760)</f>
        <v>2.41703064</v>
      </c>
      <c r="V51" s="128">
        <f>sum(Model!U245,Model!U653,Model!U891,Model!U1116,Model!U1343,Model!U1568,Model!U1793,Model!U2244,Model!U2467,Model!U3760)</f>
        <v>1.84461496</v>
      </c>
      <c r="W51" s="128">
        <f>sum(Model!V245,Model!V653,Model!V891,Model!V1116,Model!V1343,Model!V1568,Model!V1793,Model!V2244,Model!V2467,Model!V3760)</f>
        <v>0</v>
      </c>
      <c r="X51" s="128">
        <f>sum(Model!W245,Model!W653,Model!W891,Model!W1116,Model!W1343,Model!W1568,Model!W1793,Model!W2244,Model!W2467,Model!W3760)</f>
        <v>0</v>
      </c>
      <c r="Y51" s="128">
        <f>sum(Model!X245,Model!X653,Model!X891,Model!X1116,Model!X1343,Model!X1568,Model!X1793,Model!X2244,Model!X2467,Model!X3760)</f>
        <v>4.808348801</v>
      </c>
      <c r="Z51" s="128">
        <f>sum(Model!Y245,Model!Y653,Model!Y891,Model!Y1116,Model!Y1343,Model!Y1568,Model!Y1793,Model!Y2244,Model!Y2467,Model!Y3760)</f>
        <v>2.783484521</v>
      </c>
      <c r="AA51" s="128">
        <f>sum(Model!Z245,Model!Z653,Model!Z891,Model!Z1116,Model!Z1343,Model!Z1568,Model!Z1793,Model!Z2244,Model!Z2467,Model!Z3760)</f>
        <v>2.913929361</v>
      </c>
      <c r="AB51" s="128">
        <f>sum(Model!AA245,Model!AA653,Model!AA891,Model!AA1116,Model!AA1343,Model!AA1568,Model!AA1793,Model!AA2244,Model!AA2467,Model!AA3760)</f>
        <v>2.933603261</v>
      </c>
      <c r="AC51" s="128">
        <f>sum(Model!AB245,Model!AB653,Model!AB891,Model!AB1116,Model!AB1343,Model!AB1568,Model!AB1793,Model!AB2244,Model!AB2467,Model!AB3760)</f>
        <v>3.392448281</v>
      </c>
      <c r="AD51" s="128">
        <f>sum(Model!AC245,Model!AC653,Model!AC891,Model!AC1116,Model!AC1343,Model!AC1568,Model!AC1793,Model!AC2244,Model!AC2467,Model!AC3760)</f>
        <v>3.159071011</v>
      </c>
      <c r="AE51" s="128">
        <f>sum(Model!AD245,Model!AD653,Model!AD891,Model!AD1116,Model!AD1343,Model!AD1568,Model!AD1793,Model!AD2244,Model!AD2467,Model!AD3760)</f>
        <v>2.995362011</v>
      </c>
      <c r="AF51" s="128">
        <f>sum(Model!AE245,Model!AE653,Model!AE891,Model!AE1116,Model!AE1343,Model!AE1568,Model!AE1793,Model!AE2244,Model!AE2467,Model!AE3760)</f>
        <v>2.595402011</v>
      </c>
      <c r="AG51" s="128">
        <f>sum(Model!AF245,Model!AF653,Model!AF891,Model!AF1116,Model!AF1343,Model!AF1568,Model!AF1793,Model!AF2244,Model!AF2467,Model!AF3760)</f>
        <v>2.573411911</v>
      </c>
      <c r="AH51" s="128">
        <f>sum(Model!AG245,Model!AG653,Model!AG891,Model!AG1116,Model!AG1343,Model!AG1568,Model!AG1793,Model!AG2244,Model!AG2467,Model!AG3760)</f>
        <v>2.845085311</v>
      </c>
      <c r="AI51" s="128">
        <f>sum(Model!AH245,Model!AH653,Model!AH891,Model!AH1116,Model!AH1343,Model!AH1568,Model!AH1793,Model!AH2244,Model!AH2467,Model!AH3760)</f>
        <v>2.547655944</v>
      </c>
      <c r="AJ51" s="128">
        <f>sum(Model!AI245,Model!AI653,Model!AI891,Model!AI1116,Model!AI1343,Model!AI1568,Model!AI1793,Model!AI2244,Model!AI2467,Model!AI3760)</f>
        <v>2.582448944</v>
      </c>
      <c r="AK51" s="128">
        <f>sum(Model!AJ245,Model!AJ653,Model!AJ891,Model!AJ1116,Model!AJ1343,Model!AJ1568,Model!AJ1793,Model!AJ2244,Model!AJ2467,Model!AJ3760)</f>
        <v>2.861056744</v>
      </c>
      <c r="AL51" s="128">
        <f>sum(Model!AK245,Model!AK653,Model!AK891,Model!AK1116,Model!AK1343,Model!AK1568,Model!AK1793,Model!AK2244,Model!AK2467,Model!AK3760)</f>
        <v>2.621016611</v>
      </c>
      <c r="AM51" s="128">
        <f>sum(Model!AL245,Model!AL653,Model!AL891,Model!AL1116,Model!AL1343,Model!AL1568,Model!AL1793,Model!AL2244,Model!AL2467,Model!AL3760)</f>
        <v>2.893120944</v>
      </c>
      <c r="AN51" s="128">
        <f>sum(Model!AM245,Model!AM653,Model!AM891,Model!AM1116,Model!AM1343,Model!AM1568,Model!AM1793,Model!AM2244,Model!AM2467,Model!AM3760)</f>
        <v>4.122598477</v>
      </c>
      <c r="AO51" s="128">
        <f>sum(Model!AN245,Model!AN653,Model!AN891,Model!AN1116,Model!AN1343,Model!AN1568,Model!AN1793,Model!AN2244,Model!AN2467,Model!AN3760)</f>
        <v>4.130195944</v>
      </c>
      <c r="AP51" s="128">
        <f>sum(Model!AO245,Model!AO653,Model!AO891,Model!AO1116,Model!AO1343,Model!AO1568,Model!AO1793,Model!AO2244,Model!AO2467,Model!AO3760)</f>
        <v>3.828555944</v>
      </c>
      <c r="AQ51" s="128">
        <f>sum(Model!AP245,Model!AP653,Model!AP891,Model!AP1116,Model!AP1343,Model!AP1568,Model!AP1793,Model!AP2244,Model!AP2467,Model!AP3760)</f>
        <v>5.441001944</v>
      </c>
      <c r="AR51" s="128">
        <f>sum(Model!AQ245,Model!AQ653,Model!AQ891,Model!AQ1116,Model!AQ1343,Model!AQ1568,Model!AQ1793,Model!AQ2244,Model!AQ2467,Model!AQ3760)</f>
        <v>3.609235944</v>
      </c>
      <c r="AS51" s="128">
        <f>sum(Model!AR245,Model!AR653,Model!AR891,Model!AR1116,Model!AR1343,Model!AR1568,Model!AR1793,Model!AR2244,Model!AR2467,Model!AR3760)</f>
        <v>4.847745944</v>
      </c>
      <c r="AT51" s="128">
        <f>sum(Model!AS245,Model!AS653,Model!AS891,Model!AS1116,Model!AS1343,Model!AS1568,Model!AS1793,Model!AS2244,Model!AS2467,Model!AS3760)</f>
        <v>5.379918944</v>
      </c>
      <c r="AU51" s="128">
        <f>sum(Model!AT245,Model!AT653,Model!AT891,Model!AT1116,Model!AT1343,Model!AT1568,Model!AT1793,Model!AT2244,Model!AT2467,Model!AT3760)</f>
        <v>6.094398944</v>
      </c>
      <c r="AV51" s="128">
        <f>sum(Model!AU245,Model!AU653,Model!AU891,Model!AU1116,Model!AU1343,Model!AU1568,Model!AU1793,Model!AU2244,Model!AU2467,Model!AU3760)</f>
        <v>4.648404944</v>
      </c>
      <c r="AW51" s="128">
        <f>sum(Model!AV245,Model!AV653,Model!AV891,Model!AV1116,Model!AV1343,Model!AV1568,Model!AV1793,Model!AV2244,Model!AV2467,Model!AV3760)</f>
        <v>2.547655944</v>
      </c>
      <c r="AX51" s="128">
        <f>sum(Model!AW245,Model!AW653,Model!AW891,Model!AW1116,Model!AW1343,Model!AW1568,Model!AW1793,Model!AW2244,Model!AW2467,Model!AW3760)</f>
        <v>3.563472944</v>
      </c>
      <c r="AY51" s="128">
        <f>sum(Model!AX245,Model!AX653,Model!AX891,Model!AX1116,Model!AX1343,Model!AX1568,Model!AX1793,Model!AX2244,Model!AX2467,Model!AX3760)</f>
        <v>6.13209326</v>
      </c>
      <c r="AZ51" s="128">
        <f>sum(Model!AY245,Model!AY653,Model!AY891,Model!AY1116,Model!AY1343,Model!AY1568,Model!AY1793,Model!AY2244,Model!AY2467,Model!AY3760)</f>
        <v>5.99135726</v>
      </c>
      <c r="BA51" s="128">
        <f>sum(Model!AZ245,Model!AZ653,Model!AZ891,Model!AZ1116,Model!AZ1343,Model!AZ1568,Model!AZ1793,Model!AZ2244,Model!AZ2467,Model!AZ3760)</f>
        <v>5.807520806</v>
      </c>
      <c r="BB51" s="128">
        <f>sum(Model!BA245,Model!BA653,Model!BA891,Model!BA1116,Model!BA1343,Model!BA1568,Model!BA1793,Model!BA2244,Model!BA2467,Model!BA3760)</f>
        <v>5.129662264</v>
      </c>
    </row>
    <row r="52" ht="15.75" customHeight="1">
      <c r="A52" s="87" t="s">
        <v>285</v>
      </c>
      <c r="B52" s="129" t="s">
        <v>286</v>
      </c>
      <c r="C52" s="91" t="s">
        <v>223</v>
      </c>
      <c r="D52" s="105">
        <f>SUM(Model!C189,Model!C599,Model!C837,Model!C1062,Model!C1289,Model!C1514,Model!C1739,Model!C1964*0,Model!C2190,Model!C2413,Model!C2638,Model!C3704)-sum(Model!C136,Model!C547,Model!C785,Model!C1010,Model!C1237,Model!C1462,Model!C1687,Model!C1912*0,Model!C2138,Model!C2361,Model!C2586,Model!C3652)</f>
        <v>0.3112774257</v>
      </c>
      <c r="E52" s="105">
        <f>SUM(Model!D189,Model!D599,Model!D837,Model!D1062,Model!D1289,Model!D1514,Model!D1739,Model!D1964*0,Model!D2190,Model!D2413,Model!D2638,Model!D3704)-sum(Model!D136,Model!D547,Model!D785,Model!D1010,Model!D1237,Model!D1462,Model!D1687,Model!D1912*0,Model!D2138,Model!D2361,Model!D2586,Model!D3652)</f>
        <v>0.7467504752</v>
      </c>
      <c r="F52" s="105">
        <f>SUM(Model!E189,Model!E599,Model!E837,Model!E1062,Model!E1289,Model!E1514,Model!E1739,Model!E1964*0,Model!E2190,Model!E2413,Model!E2638,Model!E3704)-sum(Model!E136,Model!E547,Model!E785,Model!E1010,Model!E1237,Model!E1462,Model!E1687,Model!E1912*0,Model!E2138,Model!E2361,Model!E2586,Model!E3652)</f>
        <v>1.382560997</v>
      </c>
      <c r="G52" s="105">
        <f>SUM(Model!F189,Model!F599,Model!F837,Model!F1062,Model!F1289,Model!F1514,Model!F1739,Model!F1964*0,Model!F2190,Model!F2413,Model!F2638,Model!F3704)-sum(Model!F136,Model!F547,Model!F785,Model!F1010,Model!F1237,Model!F1462,Model!F1687,Model!F1912*0,Model!F2138,Model!F2361,Model!F2586,Model!F3652)</f>
        <v>2.11959754</v>
      </c>
      <c r="H52" s="105">
        <f>SUM(Model!G189,Model!G599,Model!G837,Model!G1062,Model!G1289,Model!G1514,Model!G1739,Model!G1964*0,Model!G2190,Model!G2413,Model!G2638,Model!G3704)-sum(Model!G136,Model!G547,Model!G785,Model!G1010,Model!G1237,Model!G1462,Model!G1687,Model!G1912*0,Model!G2138,Model!G2361,Model!G2586,Model!G3652)</f>
        <v>2.40236723</v>
      </c>
      <c r="I52" s="105">
        <f>SUM(Model!H189,Model!H599,Model!H837,Model!H1062,Model!H1289,Model!H1514,Model!H1739,Model!H1964*0,Model!H2190,Model!H2413,Model!H2638,Model!H3704)-sum(Model!H136,Model!H547,Model!H785,Model!H1010,Model!H1237,Model!H1462,Model!H1687,Model!H1912*0,Model!H2138,Model!H2361,Model!H2586,Model!H3652)</f>
        <v>2.365291274</v>
      </c>
      <c r="J52" s="105">
        <f>SUM(Model!I189,Model!I599,Model!I837,Model!I1062,Model!I1289,Model!I1514,Model!I1739,Model!I1964*0,Model!I2190,Model!I2413,Model!I2638,Model!I3704)-sum(Model!I136,Model!I547,Model!I785,Model!I1010,Model!I1237,Model!I1462,Model!I1687,Model!I1912*0,Model!I2138,Model!I2361,Model!I2586,Model!I3652)</f>
        <v>2.244911727</v>
      </c>
      <c r="K52" s="105">
        <f>SUM(Model!J189,Model!J599,Model!J837,Model!J1062,Model!J1289,Model!J1514,Model!J1739,Model!J1964*0,Model!J2190,Model!J2413,Model!J2638,Model!J3704)-sum(Model!J136,Model!J547,Model!J785,Model!J1010,Model!J1237,Model!J1462,Model!J1687,Model!J1912*0,Model!J2138,Model!J2361,Model!J2586,Model!J3652)</f>
        <v>2.168939269</v>
      </c>
      <c r="L52" s="105">
        <f>SUM(Model!K189,Model!K599,Model!K837,Model!K1062,Model!K1289,Model!K1514,Model!K1739,Model!K1964*0,Model!K2190,Model!K2413,Model!K2638,Model!K3704)-sum(Model!K136,Model!K547,Model!K785,Model!K1010,Model!K1237,Model!K1462,Model!K1687,Model!K1912*0,Model!K2138,Model!K2361,Model!K2586,Model!K3652)</f>
        <v>1.439175814</v>
      </c>
      <c r="M52" s="105">
        <f>SUM(Model!L189,Model!L599,Model!L837,Model!L1062,Model!L1289,Model!L1514,Model!L1739,Model!L1964*0,Model!L2190,Model!L2413,Model!L2638,Model!L3704)-sum(Model!L136,Model!L547,Model!L785,Model!L1010,Model!L1237,Model!L1462,Model!L1687,Model!L1912*0,Model!L2138,Model!L2361,Model!L2586,Model!L3652)</f>
        <v>2.403224751</v>
      </c>
      <c r="N52" s="105">
        <f>SUM(Model!M189,Model!M599,Model!M837,Model!M1062,Model!M1289,Model!M1514,Model!M1739,Model!M1964*0,Model!M2190,Model!M2413,Model!M2638,Model!M3704)-sum(Model!M136,Model!M547,Model!M785,Model!M1010,Model!M1237,Model!M1462,Model!M1687,Model!M1912*0,Model!M2138,Model!M2361,Model!M2586,Model!M3652)</f>
        <v>2.326768952</v>
      </c>
      <c r="O52" s="105">
        <f>SUM(Model!N189,Model!N599,Model!N837,Model!N1062,Model!N1289,Model!N1514,Model!N1739,Model!N1964*0,Model!N2190,Model!N2413,Model!N2638,Model!N3704)-sum(Model!N136,Model!N547,Model!N785,Model!N1010,Model!N1237,Model!N1462,Model!N1687,Model!N1912*0,Model!N2138,Model!N2361,Model!N2586,Model!N3652)</f>
        <v>2.413232112</v>
      </c>
      <c r="P52" s="105">
        <f>SUM(Model!O189,Model!O599,Model!O837,Model!O1062,Model!O1289,Model!O1514,Model!O1739,Model!O1964*0,Model!O2190,Model!O2413,Model!O2638,Model!O3704)-sum(Model!O136,Model!O547,Model!O785,Model!O1010,Model!O1237,Model!O1462,Model!O1687,Model!O1912*0,Model!O2138,Model!O2361,Model!O2586,Model!O3652)</f>
        <v>3.067088043</v>
      </c>
      <c r="Q52" s="105">
        <f>SUM(Model!P189,Model!P599,Model!P837,Model!P1062,Model!P1289,Model!P1514,Model!P1739,Model!P1964*0,Model!P2190,Model!P2413,Model!P2638,Model!P3704)-sum(Model!P136,Model!P547,Model!P785,Model!P1010,Model!P1237,Model!P1462,Model!P1687,Model!P1912*0,Model!P2138,Model!P2361,Model!P2586,Model!P3652)</f>
        <v>3.615096713</v>
      </c>
      <c r="R52" s="105">
        <f>SUM(Model!Q189,Model!Q599,Model!Q837,Model!Q1062,Model!Q1289,Model!Q1514,Model!Q1739,Model!Q1964*0,Model!Q2190,Model!Q2413,Model!Q2638,Model!Q3704)-sum(Model!Q136,Model!Q547,Model!Q785,Model!Q1010,Model!Q1237,Model!Q1462,Model!Q1687,Model!Q1912*0,Model!Q2138,Model!Q2361,Model!Q2586,Model!Q3652)</f>
        <v>4.046183887</v>
      </c>
      <c r="S52" s="105">
        <f>SUM(Model!R189,Model!R599,Model!R837,Model!R1062,Model!R1289,Model!R1514,Model!R1739,Model!R1964*0,Model!R2190,Model!R2413,Model!R2638,Model!R3704)-sum(Model!R136,Model!R547,Model!R785,Model!R1010,Model!R1237,Model!R1462,Model!R1687,Model!R1912*0,Model!R2138,Model!R2361,Model!R2586,Model!R3652)</f>
        <v>4.935857938</v>
      </c>
      <c r="T52" s="105">
        <f>SUM(Model!S189,Model!S599,Model!S837,Model!S1062,Model!S1289,Model!S1514,Model!S1739,Model!S1964*0,Model!S2190,Model!S2413,Model!S2638,Model!S3704)-sum(Model!S136,Model!S547,Model!S785,Model!S1010,Model!S1237,Model!S1462,Model!S1687,Model!S1912*0,Model!S2138,Model!S2361,Model!S2586,Model!S3652)</f>
        <v>6.973690621</v>
      </c>
      <c r="U52" s="105">
        <f>SUM(Model!T189,Model!T599,Model!T837,Model!T1062,Model!T1289,Model!T1514,Model!T1739,Model!T1964*0,Model!T2190,Model!T2413,Model!T2638,Model!T3704)-sum(Model!T136,Model!T547,Model!T785,Model!T1010,Model!T1237,Model!T1462,Model!T1687,Model!T1912*0,Model!T2138,Model!T2361,Model!T2586,Model!T3652)</f>
        <v>8.147600855</v>
      </c>
      <c r="V52" s="105">
        <f>SUM(Model!U189,Model!U599,Model!U837,Model!U1062,Model!U1289,Model!U1514,Model!U1739,Model!U1964*0,Model!U2190,Model!U2413,Model!U2638,Model!U3704)-sum(Model!U136,Model!U547,Model!U785,Model!U1010,Model!U1237,Model!U1462,Model!U1687,Model!U1912*0,Model!U2138,Model!U2361,Model!U2586,Model!U3652)</f>
        <v>7.757736396</v>
      </c>
      <c r="W52" s="105">
        <f>SUM(Model!V189,Model!V599,Model!V837,Model!V1062,Model!V1289,Model!V1514,Model!V1739,Model!V1964*0,Model!V2190,Model!V2413,Model!V2638,Model!V3704)-sum(Model!V136,Model!V547,Model!V785,Model!V1010,Model!V1237,Model!V1462,Model!V1687,Model!V1912*0,Model!V2138,Model!V2361,Model!V2586,Model!V3652)</f>
        <v>6.441751884</v>
      </c>
      <c r="X52" s="105">
        <f>SUM(Model!W189,Model!W599,Model!W837,Model!W1062,Model!W1289,Model!W1514,Model!W1739,Model!W1964*0,Model!W2190,Model!W2413,Model!W2638,Model!W3704)-sum(Model!W136,Model!W547,Model!W785,Model!W1010,Model!W1237,Model!W1462,Model!W1687,Model!W1912*0,Model!W2138,Model!W2361,Model!W2586,Model!W3652)</f>
        <v>4.998455667</v>
      </c>
      <c r="Y52" s="105">
        <f>SUM(Model!X189,Model!X599,Model!X837,Model!X1062,Model!X1289,Model!X1514,Model!X1739,Model!X1964*0,Model!X2190,Model!X2413,Model!X2638,Model!X3704)-sum(Model!X136,Model!X547,Model!X785,Model!X1010,Model!X1237,Model!X1462,Model!X1687,Model!X1912*0,Model!X2138,Model!X2361,Model!X2586,Model!X3652)</f>
        <v>7.038840241</v>
      </c>
      <c r="Z52" s="105">
        <f>SUM(Model!Y189,Model!Y599,Model!Y837,Model!Y1062,Model!Y1289,Model!Y1514,Model!Y1739,Model!Y1964*0,Model!Y2190,Model!Y2413,Model!Y2638,Model!Y3704)-sum(Model!Y136,Model!Y547,Model!Y785,Model!Y1010,Model!Y1237,Model!Y1462,Model!Y1687,Model!Y1912*0,Model!Y2138,Model!Y2361,Model!Y2586,Model!Y3652)</f>
        <v>9.136427501</v>
      </c>
      <c r="AA52" s="105">
        <f>SUM(Model!Z189,Model!Z599,Model!Z837,Model!Z1062,Model!Z1289,Model!Z1514,Model!Z1739,Model!Z1964*0,Model!Z2190,Model!Z2413,Model!Z2638,Model!Z3704)-sum(Model!Z136,Model!Z547,Model!Z785,Model!Z1010,Model!Z1237,Model!Z1462,Model!Z1687,Model!Z1912*0,Model!Z2138,Model!Z2361,Model!Z2586,Model!Z3652)</f>
        <v>9.679140634</v>
      </c>
      <c r="AB52" s="105">
        <f>SUM(Model!AA189,Model!AA599,Model!AA837,Model!AA1062,Model!AA1289,Model!AA1514,Model!AA1739,Model!AA1964*0,Model!AA2190,Model!AA2413,Model!AA2638,Model!AA3704)-sum(Model!AA136,Model!AA547,Model!AA785,Model!AA1010,Model!AA1237,Model!AA1462,Model!AA1687,Model!AA1912*0,Model!AA2138,Model!AA2361,Model!AA2586,Model!AA3652)</f>
        <v>10.33271156</v>
      </c>
      <c r="AC52" s="105">
        <f>SUM(Model!AB189,Model!AB599,Model!AB837,Model!AB1062,Model!AB1289,Model!AB1514,Model!AB1739,Model!AB1964*0,Model!AB2190,Model!AB2413,Model!AB2638,Model!AB3704)-sum(Model!AB136,Model!AB547,Model!AB785,Model!AB1010,Model!AB1237,Model!AB1462,Model!AB1687,Model!AB1912*0,Model!AB2138,Model!AB2361,Model!AB2586,Model!AB3652)</f>
        <v>11.62448154</v>
      </c>
      <c r="AD52" s="105">
        <f>SUM(Model!AC189,Model!AC599,Model!AC837,Model!AC1062,Model!AC1289,Model!AC1514,Model!AC1739,Model!AC1964*0,Model!AC2190,Model!AC2413,Model!AC2638,Model!AC3704)-sum(Model!AC136,Model!AC547,Model!AC785,Model!AC1010,Model!AC1237,Model!AC1462,Model!AC1687,Model!AC1912*0,Model!AC2138,Model!AC2361,Model!AC2586,Model!AC3652)</f>
        <v>12.75847525</v>
      </c>
      <c r="AE52" s="105">
        <f>SUM(Model!AD189,Model!AD599,Model!AD837,Model!AD1062,Model!AD1289,Model!AD1514,Model!AD1739,Model!AD1964*0,Model!AD2190,Model!AD2413,Model!AD2638,Model!AD3704)-sum(Model!AD136,Model!AD547,Model!AD785,Model!AD1010,Model!AD1237,Model!AD1462,Model!AD1687,Model!AD1912*0,Model!AD2138,Model!AD2361,Model!AD2586,Model!AD3652)</f>
        <v>13.2465772</v>
      </c>
      <c r="AF52" s="105">
        <f>SUM(Model!AE189,Model!AE599,Model!AE837,Model!AE1062,Model!AE1289,Model!AE1514,Model!AE1739,Model!AE1964*0,Model!AE2190,Model!AE2413,Model!AE2638,Model!AE3704)-sum(Model!AE136,Model!AE547,Model!AE785,Model!AE1010,Model!AE1237,Model!AE1462,Model!AE1687,Model!AE1912*0,Model!AE2138,Model!AE2361,Model!AE2586,Model!AE3652)</f>
        <v>13.00029321</v>
      </c>
      <c r="AG52" s="105">
        <f>SUM(Model!AF189,Model!AF599,Model!AF837,Model!AF1062,Model!AF1289,Model!AF1514,Model!AF1739,Model!AF1964*0,Model!AF2190,Model!AF2413,Model!AF2638,Model!AF3704)-sum(Model!AF136,Model!AF547,Model!AF785,Model!AF1010,Model!AF1237,Model!AF1462,Model!AF1687,Model!AF1912*0,Model!AF2138,Model!AF2361,Model!AF2586,Model!AF3652)</f>
        <v>12.85963102</v>
      </c>
      <c r="AH52" s="105">
        <f>SUM(Model!AG189,Model!AG599,Model!AG837,Model!AG1062,Model!AG1289,Model!AG1514,Model!AG1739,Model!AG1964*0,Model!AG2190,Model!AG2413,Model!AG2638,Model!AG3704)-sum(Model!AG136,Model!AG547,Model!AG785,Model!AG1010,Model!AG1237,Model!AG1462,Model!AG1687,Model!AG1912*0,Model!AG2138,Model!AG2361,Model!AG2586,Model!AG3652)</f>
        <v>12.81722408</v>
      </c>
      <c r="AI52" s="105">
        <f>SUM(Model!AH189,Model!AH599,Model!AH837,Model!AH1062,Model!AH1289,Model!AH1514,Model!AH1739,Model!AH1964*0,Model!AH2190,Model!AH2413,Model!AH2638,Model!AH3704)-sum(Model!AH136,Model!AH547,Model!AH785,Model!AH1010,Model!AH1237,Model!AH1462,Model!AH1687,Model!AH1912*0,Model!AH2138,Model!AH2361,Model!AH2586,Model!AH3652)</f>
        <v>12.39305555</v>
      </c>
      <c r="AJ52" s="105">
        <f>SUM(Model!AI189,Model!AI599,Model!AI837,Model!AI1062,Model!AI1289,Model!AI1514,Model!AI1739,Model!AI1964*0,Model!AI2190,Model!AI2413,Model!AI2638,Model!AI3704)-sum(Model!AI136,Model!AI547,Model!AI785,Model!AI1010,Model!AI1237,Model!AI1462,Model!AI1687,Model!AI1912*0,Model!AI2138,Model!AI2361,Model!AI2586,Model!AI3652)</f>
        <v>11.75052352</v>
      </c>
      <c r="AK52" s="105">
        <f>SUM(Model!AJ189,Model!AJ599,Model!AJ837,Model!AJ1062,Model!AJ1289,Model!AJ1514,Model!AJ1739,Model!AJ1964*0,Model!AJ2190,Model!AJ2413,Model!AJ2638,Model!AJ3704)-sum(Model!AJ136,Model!AJ547,Model!AJ785,Model!AJ1010,Model!AJ1237,Model!AJ1462,Model!AJ1687,Model!AJ1912*0,Model!AJ2138,Model!AJ2361,Model!AJ2586,Model!AJ3652)</f>
        <v>11.87071059</v>
      </c>
      <c r="AL52" s="105">
        <f>SUM(Model!AK189,Model!AK599,Model!AK837,Model!AK1062,Model!AK1289,Model!AK1514,Model!AK1739,Model!AK1964*0,Model!AK2190,Model!AK2413,Model!AK2638,Model!AK3704)-sum(Model!AK136,Model!AK547,Model!AK785,Model!AK1010,Model!AK1237,Model!AK1462,Model!AK1687,Model!AK1912*0,Model!AK2138,Model!AK2361,Model!AK2586,Model!AK3652)</f>
        <v>12.02924948</v>
      </c>
      <c r="AM52" s="105">
        <f>SUM(Model!AL189,Model!AL599,Model!AL837,Model!AL1062,Model!AL1289,Model!AL1514,Model!AL1739,Model!AL1964*0,Model!AL2190,Model!AL2413,Model!AL2638,Model!AL3704)-sum(Model!AL136,Model!AL547,Model!AL785,Model!AL1010,Model!AL1237,Model!AL1462,Model!AL1687,Model!AL1912*0,Model!AL2138,Model!AL2361,Model!AL2586,Model!AL3652)</f>
        <v>12.4565988</v>
      </c>
      <c r="AN52" s="105">
        <f>SUM(Model!AM189,Model!AM599,Model!AM837,Model!AM1062,Model!AM1289,Model!AM1514,Model!AM1739,Model!AM1964*0,Model!AM2190,Model!AM2413,Model!AM2638,Model!AM3704)-sum(Model!AM136,Model!AM547,Model!AM785,Model!AM1010,Model!AM1237,Model!AM1462,Model!AM1687,Model!AM1912*0,Model!AM2138,Model!AM2361,Model!AM2586,Model!AM3652)</f>
        <v>14.94048076</v>
      </c>
      <c r="AO52" s="105">
        <f>SUM(Model!AN189,Model!AN599,Model!AN837,Model!AN1062,Model!AN1289,Model!AN1514,Model!AN1739,Model!AN1964*0,Model!AN2190,Model!AN2413,Model!AN2638,Model!AN3704)-sum(Model!AN136,Model!AN547,Model!AN785,Model!AN1010,Model!AN1237,Model!AN1462,Model!AN1687,Model!AN1912*0,Model!AN2138,Model!AN2361,Model!AN2586,Model!AN3652)</f>
        <v>18.60138485</v>
      </c>
      <c r="AP52" s="105">
        <f>SUM(Model!AO189,Model!AO599,Model!AO837,Model!AO1062,Model!AO1289,Model!AO1514,Model!AO1739,Model!AO1964*0,Model!AO2190,Model!AO2413,Model!AO2638,Model!AO3704)-sum(Model!AO136,Model!AO547,Model!AO785,Model!AO1010,Model!AO1237,Model!AO1462,Model!AO1687,Model!AO1912*0,Model!AO2138,Model!AO2361,Model!AO2586,Model!AO3652)</f>
        <v>20.79769222</v>
      </c>
      <c r="AQ52" s="105">
        <f>SUM(Model!AP189,Model!AP599,Model!AP837,Model!AP1062,Model!AP1289,Model!AP1514,Model!AP1739,Model!AP1964*0,Model!AP2190,Model!AP2413,Model!AP2638,Model!AP3704)-sum(Model!AP136,Model!AP547,Model!AP785,Model!AP1010,Model!AP1237,Model!AP1462,Model!AP1687,Model!AP1912*0,Model!AP2138,Model!AP2361,Model!AP2586,Model!AP3652)</f>
        <v>23.89573637</v>
      </c>
      <c r="AR52" s="105">
        <f>SUM(Model!AQ189,Model!AQ599,Model!AQ837,Model!AQ1062,Model!AQ1289,Model!AQ1514,Model!AQ1739,Model!AQ1964*0,Model!AQ2190,Model!AQ2413,Model!AQ2638,Model!AQ3704)-sum(Model!AQ136,Model!AQ547,Model!AQ785,Model!AQ1010,Model!AQ1237,Model!AQ1462,Model!AQ1687,Model!AQ1912*0,Model!AQ2138,Model!AQ2361,Model!AQ2586,Model!AQ3652)</f>
        <v>25.48354841</v>
      </c>
      <c r="AS52" s="105">
        <f>SUM(Model!AR189,Model!AR599,Model!AR837,Model!AR1062,Model!AR1289,Model!AR1514,Model!AR1739,Model!AR1964*0,Model!AR2190,Model!AR2413,Model!AR2638,Model!AR3704)-sum(Model!AR136,Model!AR547,Model!AR785,Model!AR1010,Model!AR1237,Model!AR1462,Model!AR1687,Model!AR1912*0,Model!AR2138,Model!AR2361,Model!AR2586,Model!AR3652)</f>
        <v>24.90223643</v>
      </c>
      <c r="AT52" s="105">
        <f>SUM(Model!AS189,Model!AS599,Model!AS837,Model!AS1062,Model!AS1289,Model!AS1514,Model!AS1739,Model!AS1964*0,Model!AS2190,Model!AS2413,Model!AS2638,Model!AS3704)-sum(Model!AS136,Model!AS547,Model!AS785,Model!AS1010,Model!AS1237,Model!AS1462,Model!AS1687,Model!AS1912*0,Model!AS2138,Model!AS2361,Model!AS2586,Model!AS3652)</f>
        <v>24.27764518</v>
      </c>
      <c r="AU52" s="105">
        <f>SUM(Model!AT189,Model!AT599,Model!AT837,Model!AT1062,Model!AT1289,Model!AT1514,Model!AT1739,Model!AT1964*0,Model!AT2190,Model!AT2413,Model!AT2638,Model!AT3704)-sum(Model!AT136,Model!AT547,Model!AT785,Model!AT1010,Model!AT1237,Model!AT1462,Model!AT1687,Model!AT1912*0,Model!AT2138,Model!AT2361,Model!AT2586,Model!AT3652)</f>
        <v>26.01941034</v>
      </c>
      <c r="AV52" s="105">
        <f>SUM(Model!AU189,Model!AU599,Model!AU837,Model!AU1062,Model!AU1289,Model!AU1514,Model!AU1739,Model!AU1964*0,Model!AU2190,Model!AU2413,Model!AU2638,Model!AU3704)-sum(Model!AU136,Model!AU547,Model!AU785,Model!AU1010,Model!AU1237,Model!AU1462,Model!AU1687,Model!AU1912*0,Model!AU2138,Model!AU2361,Model!AU2586,Model!AU3652)</f>
        <v>27.58278203</v>
      </c>
      <c r="AW52" s="105">
        <f>SUM(Model!AV189,Model!AV599,Model!AV837,Model!AV1062,Model!AV1289,Model!AV1514,Model!AV1739,Model!AV1964*0,Model!AV2190,Model!AV2413,Model!AV2638,Model!AV3704)-sum(Model!AV136,Model!AV547,Model!AV785,Model!AV1010,Model!AV1237,Model!AV1462,Model!AV1687,Model!AV1912*0,Model!AV2138,Model!AV2361,Model!AV2586,Model!AV3652)</f>
        <v>26.47519988</v>
      </c>
      <c r="AX52" s="105">
        <f>SUM(Model!AW189,Model!AW599,Model!AW837,Model!AW1062,Model!AW1289,Model!AW1514,Model!AW1739,Model!AW1964*0,Model!AW2190,Model!AW2413,Model!AW2638,Model!AW3704)-sum(Model!AW136,Model!AW547,Model!AW785,Model!AW1010,Model!AW1237,Model!AW1462,Model!AW1687,Model!AW1912*0,Model!AW2138,Model!AW2361,Model!AW2586,Model!AW3652)</f>
        <v>26.29671214</v>
      </c>
      <c r="AY52" s="105">
        <f>SUM(Model!AX189,Model!AX599,Model!AX837,Model!AX1062,Model!AX1289,Model!AX1514,Model!AX1739,Model!AX1964*0,Model!AX2190,Model!AX2413,Model!AX2638,Model!AX3704)-sum(Model!AX136,Model!AX547,Model!AX785,Model!AX1010,Model!AX1237,Model!AX1462,Model!AX1687,Model!AX1912*0,Model!AX2138,Model!AX2361,Model!AX2586,Model!AX3652)</f>
        <v>28.41950995</v>
      </c>
      <c r="AZ52" s="105">
        <f>SUM(Model!AY189,Model!AY599,Model!AY837,Model!AY1062,Model!AY1289,Model!AY1514,Model!AY1739,Model!AY1964*0,Model!AY2190,Model!AY2413,Model!AY2638,Model!AY3704)-sum(Model!AY136,Model!AY547,Model!AY785,Model!AY1010,Model!AY1237,Model!AY1462,Model!AY1687,Model!AY1912*0,Model!AY2138,Model!AY2361,Model!AY2586,Model!AY3652)</f>
        <v>30.36568317</v>
      </c>
      <c r="BA52" s="105">
        <f>SUM(Model!AZ189,Model!AZ599,Model!AZ837,Model!AZ1062,Model!AZ1289,Model!AZ1514,Model!AZ1739,Model!AZ1964*0,Model!AZ2190,Model!AZ2413,Model!AZ2638,Model!AZ3704)-sum(Model!AZ136,Model!AZ547,Model!AZ785,Model!AZ1010,Model!AZ1237,Model!AZ1462,Model!AZ1687,Model!AZ1912*0,Model!AZ2138,Model!AZ2361,Model!AZ2586,Model!AZ3652)</f>
        <v>31.83519699</v>
      </c>
      <c r="BB52" s="105">
        <f>SUM(Model!BA189,Model!BA599,Model!BA837,Model!BA1062,Model!BA1289,Model!BA1514,Model!BA1739,Model!BA1964*0,Model!BA2190,Model!BA2413,Model!BA2638,Model!BA3704)-sum(Model!BA136,Model!BA547,Model!BA785,Model!BA1010,Model!BA1237,Model!BA1462,Model!BA1687,Model!BA1912*0,Model!BA2138,Model!BA2361,Model!BA2586,Model!BA3652)</f>
        <v>31.74820036</v>
      </c>
    </row>
    <row r="53" ht="15.75" customHeight="1">
      <c r="A53" s="87" t="s">
        <v>287</v>
      </c>
      <c r="B53" s="129" t="s">
        <v>286</v>
      </c>
      <c r="C53" s="91" t="s">
        <v>241</v>
      </c>
      <c r="D53" s="105">
        <f>sum(Model!C2805,Model!C2972)-sum(Model!C2753,Model!C2920)</f>
        <v>0.1970335683</v>
      </c>
      <c r="E53" s="105">
        <f>sum(Model!D2805,Model!D2972)-sum(Model!D2753,Model!D2920)</f>
        <v>0.4126613347</v>
      </c>
      <c r="F53" s="105">
        <f>sum(Model!E2805,Model!E2972)-sum(Model!E2753,Model!E2920)</f>
        <v>0.6078892664</v>
      </c>
      <c r="G53" s="105">
        <f>sum(Model!F2805,Model!F2972)-sum(Model!F2753,Model!F2920)</f>
        <v>0.797317529</v>
      </c>
      <c r="H53" s="105">
        <f>sum(Model!G2805,Model!G2972)-sum(Model!G2753,Model!G2920)</f>
        <v>1.006031287</v>
      </c>
      <c r="I53" s="105">
        <f>sum(Model!H2805,Model!H2972)-sum(Model!H2753,Model!H2920)</f>
        <v>1.192778197</v>
      </c>
      <c r="J53" s="105">
        <f>sum(Model!I2805,Model!I2972)-sum(Model!I2753,Model!I2920)</f>
        <v>1.500805531</v>
      </c>
      <c r="K53" s="105">
        <f>sum(Model!J2805,Model!J2972)-sum(Model!J2753,Model!J2920)</f>
        <v>1.748732728</v>
      </c>
      <c r="L53" s="105">
        <f>sum(Model!K2805,Model!K2972)-sum(Model!K2753,Model!K2920)</f>
        <v>2.002899578</v>
      </c>
      <c r="M53" s="105">
        <f>sum(Model!L2805,Model!L2972)-sum(Model!L2753,Model!L2920)</f>
        <v>2.230768654</v>
      </c>
      <c r="N53" s="105">
        <f>sum(Model!M2805,Model!M2972)-sum(Model!M2753,Model!M2920)</f>
        <v>2.464537472</v>
      </c>
      <c r="O53" s="105">
        <f>sum(Model!N2805,Model!N2972)-sum(Model!N2753,Model!N2920)</f>
        <v>2.727107222</v>
      </c>
      <c r="P53" s="105">
        <f>sum(Model!O2805,Model!O2972)-sum(Model!O2753,Model!O2920)</f>
        <v>2.986854774</v>
      </c>
      <c r="Q53" s="105">
        <f>sum(Model!P2805,Model!P2972)-sum(Model!P2753,Model!P2920)</f>
        <v>3.264590144</v>
      </c>
      <c r="R53" s="105">
        <f>sum(Model!Q2805,Model!Q2972)-sum(Model!Q2753,Model!Q2920)</f>
        <v>3.531251262</v>
      </c>
      <c r="S53" s="105">
        <f>sum(Model!R2805,Model!R2972)-sum(Model!R2753,Model!R2920)</f>
        <v>3.814662952</v>
      </c>
      <c r="T53" s="105">
        <f>sum(Model!S2805,Model!S2972)-sum(Model!S2753,Model!S2920)</f>
        <v>4.13392323</v>
      </c>
      <c r="U53" s="105">
        <f>sum(Model!T2805,Model!T2972)-sum(Model!T2753,Model!T2920)</f>
        <v>4.421139798</v>
      </c>
      <c r="V53" s="105">
        <f>sum(Model!U2805,Model!U2972)-sum(Model!U2753,Model!U2920)</f>
        <v>4.708656322</v>
      </c>
      <c r="W53" s="105">
        <f>sum(Model!V2805,Model!V2972)-sum(Model!V2753,Model!V2920)</f>
        <v>5.005602024</v>
      </c>
      <c r="X53" s="105">
        <f>sum(Model!W2805,Model!W2972)-sum(Model!W2753,Model!W2920)</f>
        <v>5.30595088</v>
      </c>
      <c r="Y53" s="105">
        <f>sum(Model!X2805,Model!X2972)-sum(Model!X2753,Model!X2920)</f>
        <v>5.620851642</v>
      </c>
      <c r="Z53" s="105">
        <f>sum(Model!Y2805,Model!Y2972)-sum(Model!Y2753,Model!Y2920)</f>
        <v>5.946063839</v>
      </c>
      <c r="AA53" s="105">
        <f>sum(Model!Z2805,Model!Z2972)-sum(Model!Z2753,Model!Z2920)</f>
        <v>6.279765609</v>
      </c>
      <c r="AB53" s="105">
        <f>sum(Model!AA2805,Model!AA2972)-sum(Model!AA2753,Model!AA2920)</f>
        <v>6.622298475</v>
      </c>
      <c r="AC53" s="105">
        <f>sum(Model!AB2805,Model!AB2972)-sum(Model!AB2753,Model!AB2920)</f>
        <v>6.972905168</v>
      </c>
      <c r="AD53" s="105">
        <f>sum(Model!AC2805,Model!AC2972)-sum(Model!AC2753,Model!AC2920)</f>
        <v>7.33188665</v>
      </c>
      <c r="AE53" s="105">
        <f>sum(Model!AD2805,Model!AD2972)-sum(Model!AD2753,Model!AD2920)</f>
        <v>7.700351127</v>
      </c>
      <c r="AF53" s="105">
        <f>sum(Model!AE2805,Model!AE2972)-sum(Model!AE2753,Model!AE2920)</f>
        <v>8.078455506</v>
      </c>
      <c r="AG53" s="105">
        <f>sum(Model!AF2805,Model!AF2972)-sum(Model!AF2753,Model!AF2920)</f>
        <v>8.466883534</v>
      </c>
      <c r="AH53" s="105">
        <f>sum(Model!AG2805,Model!AG2972)-sum(Model!AG2753,Model!AG2920)</f>
        <v>8.840042863</v>
      </c>
      <c r="AI53" s="105">
        <f>sum(Model!AH2805,Model!AH2972)-sum(Model!AH2753,Model!AH2920)</f>
        <v>9.211005879</v>
      </c>
      <c r="AJ53" s="105">
        <f>sum(Model!AI2805,Model!AI2972)-sum(Model!AI2753,Model!AI2920)</f>
        <v>9.599730221</v>
      </c>
      <c r="AK53" s="105">
        <f>sum(Model!AJ2805,Model!AJ2972)-sum(Model!AJ2753,Model!AJ2920)</f>
        <v>9.998162836</v>
      </c>
      <c r="AL53" s="105">
        <f>sum(Model!AK2805,Model!AK2972)-sum(Model!AK2753,Model!AK2920)</f>
        <v>10.40270141</v>
      </c>
      <c r="AM53" s="105">
        <f>sum(Model!AL2805,Model!AL2972)-sum(Model!AL2753,Model!AL2920)</f>
        <v>10.82721531</v>
      </c>
      <c r="AN53" s="105">
        <f>sum(Model!AM2805,Model!AM2972)-sum(Model!AM2753,Model!AM2920)</f>
        <v>11.25021453</v>
      </c>
      <c r="AO53" s="105">
        <f>sum(Model!AN2805,Model!AN2972)-sum(Model!AN2753,Model!AN2920)</f>
        <v>11.68469806</v>
      </c>
      <c r="AP53" s="105">
        <f>sum(Model!AO2805,Model!AO2972)-sum(Model!AO2753,Model!AO2920)</f>
        <v>12.13532697</v>
      </c>
      <c r="AQ53" s="105">
        <f>sum(Model!AP2805,Model!AP2972)-sum(Model!AP2753,Model!AP2920)</f>
        <v>12.6026965</v>
      </c>
      <c r="AR53" s="105">
        <f>sum(Model!AQ2805,Model!AQ2972)-sum(Model!AQ2753,Model!AQ2920)</f>
        <v>13.06864194</v>
      </c>
      <c r="AS53" s="105">
        <f>sum(Model!AR2805,Model!AR2972)-sum(Model!AR2753,Model!AR2920)</f>
        <v>13.54057103</v>
      </c>
      <c r="AT53" s="105">
        <f>sum(Model!AS2805,Model!AS2972)-sum(Model!AS2753,Model!AS2920)</f>
        <v>14.02235856</v>
      </c>
      <c r="AU53" s="105">
        <f>sum(Model!AT2805,Model!AT2972)-sum(Model!AT2753,Model!AT2920)</f>
        <v>14.50659393</v>
      </c>
      <c r="AV53" s="105">
        <f>sum(Model!AU2805,Model!AU2972)-sum(Model!AU2753,Model!AU2920)</f>
        <v>15.02422478</v>
      </c>
      <c r="AW53" s="105">
        <f>sum(Model!AV2805,Model!AV2972)-sum(Model!AV2753,Model!AV2920)</f>
        <v>15.54688462</v>
      </c>
      <c r="AX53" s="105">
        <f>sum(Model!AW2805,Model!AW2972)-sum(Model!AW2753,Model!AW2920)</f>
        <v>16.08332881</v>
      </c>
      <c r="AY53" s="105">
        <f>sum(Model!AX2805,Model!AX2972)-sum(Model!AX2753,Model!AX2920)</f>
        <v>16.63133453</v>
      </c>
      <c r="AZ53" s="105">
        <f>sum(Model!AY2805,Model!AY2972)-sum(Model!AY2753,Model!AY2920)</f>
        <v>17.19489496</v>
      </c>
      <c r="BA53" s="105">
        <f>sum(Model!AZ2805,Model!AZ2972)-sum(Model!AZ2753,Model!AZ2920)</f>
        <v>17.78094719</v>
      </c>
      <c r="BB53" s="105">
        <f>sum(Model!BA2805,Model!BA2972)-sum(Model!BA2753,Model!BA2920)</f>
        <v>18.37651462</v>
      </c>
    </row>
    <row r="54" ht="15.75" customHeight="1">
      <c r="A54" s="87" t="s">
        <v>288</v>
      </c>
      <c r="B54" s="130" t="s">
        <v>286</v>
      </c>
      <c r="C54" s="108" t="s">
        <v>250</v>
      </c>
      <c r="D54" s="101">
        <f>sum(Model!C661,Model!C364)+sum(-Model!C312,Model!C662)</f>
        <v>3.70829736</v>
      </c>
      <c r="E54" s="101">
        <f>sum(Model!D661,Model!D364)+sum(-Model!D312,Model!D662)</f>
        <v>3.778313669</v>
      </c>
      <c r="F54" s="101">
        <f>sum(Model!E661,Model!E364)+sum(-Model!E312,Model!E662)</f>
        <v>4.301959273</v>
      </c>
      <c r="G54" s="101">
        <f>sum(Model!F661,Model!F364)+sum(-Model!F312,Model!F662)</f>
        <v>4.402689217</v>
      </c>
      <c r="H54" s="101">
        <f>sum(Model!G661,Model!G364)+sum(-Model!G312,Model!G662)</f>
        <v>5.289917752</v>
      </c>
      <c r="I54" s="101">
        <f>sum(Model!H661,Model!H364)+sum(-Model!H312,Model!H662)</f>
        <v>4.964685687</v>
      </c>
      <c r="J54" s="101">
        <f>sum(Model!I661,Model!I364)+sum(-Model!I312,Model!I662)</f>
        <v>5.72317368</v>
      </c>
      <c r="K54" s="101">
        <f>sum(Model!J661,Model!J364)+sum(-Model!J312,Model!J662)</f>
        <v>6.139189807</v>
      </c>
      <c r="L54" s="101">
        <f>sum(Model!K661,Model!K364)+sum(-Model!K312,Model!K662)</f>
        <v>7.346551207</v>
      </c>
      <c r="M54" s="101">
        <f>sum(Model!L661,Model!L364)+sum(-Model!L312,Model!L662)</f>
        <v>8.476190269</v>
      </c>
      <c r="N54" s="101">
        <f>sum(Model!M661,Model!M364)+sum(-Model!M312,Model!M662)</f>
        <v>9.618811575</v>
      </c>
      <c r="O54" s="101">
        <f>sum(Model!N661,Model!N364)+sum(-Model!N312,Model!N662)</f>
        <v>10.5363839</v>
      </c>
      <c r="P54" s="101">
        <f>sum(Model!O661,Model!O364)+sum(-Model!O312,Model!O662)</f>
        <v>10.88186148</v>
      </c>
      <c r="Q54" s="101">
        <f>sum(Model!P661,Model!P364)+sum(-Model!P312,Model!P662)</f>
        <v>11.38521416</v>
      </c>
      <c r="R54" s="101">
        <f>sum(Model!Q661,Model!Q364)+sum(-Model!Q312,Model!Q662)</f>
        <v>11.84202393</v>
      </c>
      <c r="S54" s="101">
        <f>sum(Model!R661,Model!R364)+sum(-Model!R312,Model!R662)</f>
        <v>12.22594429</v>
      </c>
      <c r="T54" s="101">
        <f>sum(Model!S661,Model!S364)+sum(-Model!S312,Model!S662)</f>
        <v>13.07099786</v>
      </c>
      <c r="U54" s="101">
        <f>sum(Model!T661,Model!T364)+sum(-Model!T312,Model!T662)</f>
        <v>13.81002956</v>
      </c>
      <c r="V54" s="101">
        <f>sum(Model!U661,Model!U364)+sum(-Model!U312,Model!U662)</f>
        <v>13.18201868</v>
      </c>
      <c r="W54" s="101">
        <f>sum(Model!V661,Model!V364)+sum(-Model!V312,Model!V662)</f>
        <v>13.21555929</v>
      </c>
      <c r="X54" s="101">
        <f>sum(Model!W661,Model!W364)+sum(-Model!W312,Model!W662)</f>
        <v>13.12287349</v>
      </c>
      <c r="Y54" s="101">
        <f>sum(Model!X661,Model!X364)+sum(-Model!X312,Model!X662)</f>
        <v>13.01805869</v>
      </c>
      <c r="Z54" s="101">
        <f>sum(Model!Y661,Model!Y364)+sum(-Model!Y312,Model!Y662)</f>
        <v>12.94292982</v>
      </c>
      <c r="AA54" s="101">
        <f>sum(Model!Z661,Model!Z364)+sum(-Model!Z312,Model!Z662)</f>
        <v>12.87768879</v>
      </c>
      <c r="AB54" s="101">
        <f>sum(Model!AA661,Model!AA364)+sum(-Model!AA312,Model!AA662)</f>
        <v>12.84919852</v>
      </c>
      <c r="AC54" s="101">
        <f>sum(Model!AB661,Model!AB364)+sum(-Model!AB312,Model!AB662)</f>
        <v>12.86604639</v>
      </c>
      <c r="AD54" s="101">
        <f>sum(Model!AC661,Model!AC364)+sum(-Model!AC312,Model!AC662)</f>
        <v>12.87741549</v>
      </c>
      <c r="AE54" s="101">
        <f>sum(Model!AD661,Model!AD364)+sum(-Model!AD312,Model!AD662)</f>
        <v>12.95315294</v>
      </c>
      <c r="AF54" s="101">
        <f>sum(Model!AE661,Model!AE364)+sum(-Model!AE312,Model!AE662)</f>
        <v>13.0131518</v>
      </c>
      <c r="AG54" s="101">
        <f>sum(Model!AF661,Model!AF364)+sum(-Model!AF312,Model!AF662)</f>
        <v>13.09236801</v>
      </c>
      <c r="AH54" s="101">
        <f>sum(Model!AG661,Model!AG364)+sum(-Model!AG312,Model!AG662)</f>
        <v>13.10338192</v>
      </c>
      <c r="AI54" s="101">
        <f>sum(Model!AH661,Model!AH364)+sum(-Model!AH312,Model!AH662)</f>
        <v>13.12659873</v>
      </c>
      <c r="AJ54" s="101">
        <f>sum(Model!AI661,Model!AI364)+sum(-Model!AI312,Model!AI662)</f>
        <v>13.09727295</v>
      </c>
      <c r="AK54" s="101">
        <f>sum(Model!AJ661,Model!AJ364)+sum(-Model!AJ312,Model!AJ662)</f>
        <v>13.08925426</v>
      </c>
      <c r="AL54" s="101">
        <f>sum(Model!AK661,Model!AK364)+sum(-Model!AK312,Model!AK662)</f>
        <v>13.15536944</v>
      </c>
      <c r="AM54" s="101">
        <f>sum(Model!AL661,Model!AL364)+sum(-Model!AL312,Model!AL662)</f>
        <v>13.23599099</v>
      </c>
      <c r="AN54" s="101">
        <f>sum(Model!AM661,Model!AM364)+sum(-Model!AM312,Model!AM662)</f>
        <v>13.27379516</v>
      </c>
      <c r="AO54" s="101">
        <f>sum(Model!AN661,Model!AN364)+sum(-Model!AN312,Model!AN662)</f>
        <v>13.23010605</v>
      </c>
      <c r="AP54" s="101">
        <f>sum(Model!AO661,Model!AO364)+sum(-Model!AO312,Model!AO662)</f>
        <v>12.97750389</v>
      </c>
      <c r="AQ54" s="101">
        <f>sum(Model!AP661,Model!AP364)+sum(-Model!AP312,Model!AP662)</f>
        <v>12.60399557</v>
      </c>
      <c r="AR54" s="101">
        <f>sum(Model!AQ661,Model!AQ364)+sum(-Model!AQ312,Model!AQ662)</f>
        <v>12.62847959</v>
      </c>
      <c r="AS54" s="101">
        <f>sum(Model!AR661,Model!AR364)+sum(-Model!AR312,Model!AR662)</f>
        <v>12.31930608</v>
      </c>
      <c r="AT54" s="101">
        <f>sum(Model!AS661,Model!AS364)+sum(-Model!AS312,Model!AS662)</f>
        <v>12.36389366</v>
      </c>
      <c r="AU54" s="101">
        <f>sum(Model!AT661,Model!AT364)+sum(-Model!AT312,Model!AT662)</f>
        <v>12.37411027</v>
      </c>
      <c r="AV54" s="101">
        <f>sum(Model!AU661,Model!AU364)+sum(-Model!AU312,Model!AU662)</f>
        <v>12.45964479</v>
      </c>
      <c r="AW54" s="101">
        <f>sum(Model!AV661,Model!AV364)+sum(-Model!AV312,Model!AV662)</f>
        <v>12.46734955</v>
      </c>
      <c r="AX54" s="101">
        <f>sum(Model!AW661,Model!AW364)+sum(-Model!AW312,Model!AW662)</f>
        <v>12.51929716</v>
      </c>
      <c r="AY54" s="101">
        <f>sum(Model!AX661,Model!AX364)+sum(-Model!AX312,Model!AX662)</f>
        <v>12.5521128</v>
      </c>
      <c r="AZ54" s="101">
        <f>sum(Model!AY661,Model!AY364)+sum(-Model!AY312,Model!AY662)</f>
        <v>12.78225237</v>
      </c>
      <c r="BA54" s="101">
        <f>sum(Model!AZ661,Model!AZ364)+sum(-Model!AZ312,Model!AZ662)</f>
        <v>12.9581294</v>
      </c>
      <c r="BB54" s="101">
        <f>sum(Model!BA661,Model!BA364)+sum(-Model!BA312,Model!BA662)</f>
        <v>13.18461931</v>
      </c>
    </row>
    <row r="55" ht="15.75" customHeight="1">
      <c r="A55" s="119" t="s">
        <v>289</v>
      </c>
      <c r="B55" s="131" t="s">
        <v>290</v>
      </c>
      <c r="C55" s="120" t="s">
        <v>270</v>
      </c>
      <c r="D55" s="132">
        <f>sum('Transportation and Industrial G'!B$35)*10^9*'Assumptions (O&amp;G Upstream)'!C$309/'Assumptions (O&amp;G Upstream)'!C$319/10^9*'Inflation GDP Population'!$S$18/'Inflation GDP Population'!B$18</f>
        <v>4.152708134</v>
      </c>
      <c r="E55" s="132">
        <f>sum('Transportation and Industrial G'!C$35)*10^9*'Assumptions (O&amp;G Upstream)'!D$309/'Assumptions (O&amp;G Upstream)'!D$319/10^9*'Inflation GDP Population'!$S$18/'Inflation GDP Population'!C$18</f>
        <v>3.841938535</v>
      </c>
      <c r="F55" s="132">
        <f>sum('Transportation and Industrial G'!D$35)*10^9*'Assumptions (O&amp;G Upstream)'!E$309/'Assumptions (O&amp;G Upstream)'!E$319/10^9*'Inflation GDP Population'!$S$18/'Inflation GDP Population'!D$18</f>
        <v>3.63631695</v>
      </c>
      <c r="G55" s="132">
        <f>sum('Transportation and Industrial G'!E$35)*10^9*'Assumptions (O&amp;G Upstream)'!F$309/'Assumptions (O&amp;G Upstream)'!F$319/10^9*'Inflation GDP Population'!$S$18/'Inflation GDP Population'!E$18</f>
        <v>4.478072622</v>
      </c>
      <c r="H55" s="132">
        <f>sum('Transportation and Industrial G'!F$35)*10^9*'Assumptions (O&amp;G Upstream)'!G$309/'Assumptions (O&amp;G Upstream)'!G$319/10^9*'Inflation GDP Population'!$S$18/'Inflation GDP Population'!F$18</f>
        <v>6.317088127</v>
      </c>
      <c r="I55" s="132">
        <f>sum('Transportation and Industrial G'!G$35)*10^9*'Assumptions (O&amp;G Upstream)'!H$309/'Assumptions (O&amp;G Upstream)'!H$319/10^9*'Inflation GDP Population'!$S$18/'Inflation GDP Population'!G$18</f>
        <v>8.686342291</v>
      </c>
      <c r="J55" s="132">
        <f>sum('Transportation and Industrial G'!H$35)*10^9*'Assumptions (O&amp;G Upstream)'!I$309/'Assumptions (O&amp;G Upstream)'!I$319/10^9*'Inflation GDP Population'!$S$18/'Inflation GDP Population'!H$18</f>
        <v>9.541374403</v>
      </c>
      <c r="K55" s="132">
        <f>sum('Transportation and Industrial G'!I$35)*10^9*'Assumptions (O&amp;G Upstream)'!J$309/'Assumptions (O&amp;G Upstream)'!J$319/10^9*'Inflation GDP Population'!$S$18/'Inflation GDP Population'!I$18</f>
        <v>9.317879689</v>
      </c>
      <c r="L55" s="132">
        <f>sum('Transportation and Industrial G'!J$35)*10^9*'Assumptions (O&amp;G Upstream)'!K$309/'Assumptions (O&amp;G Upstream)'!K$319/10^9*'Inflation GDP Population'!$S$18/'Inflation GDP Population'!J$18</f>
        <v>10.98450126</v>
      </c>
      <c r="M55" s="132">
        <f>sum('Transportation and Industrial G'!K$35)*10^9*'Assumptions (O&amp;G Upstream)'!L$309/'Assumptions (O&amp;G Upstream)'!L$319/10^9*'Inflation GDP Population'!$S$18/'Inflation GDP Population'!K$18</f>
        <v>5.463501419</v>
      </c>
      <c r="N55" s="132">
        <f>sum('Transportation and Industrial G'!L$35)*10^9*'Assumptions (O&amp;G Upstream)'!M$309/'Assumptions (O&amp;G Upstream)'!M$319/10^9*'Inflation GDP Population'!$S$18/'Inflation GDP Population'!L$18</f>
        <v>6.944224227</v>
      </c>
      <c r="O55" s="132">
        <f>sum('Transportation and Industrial G'!M$35)*10^9*'Assumptions (O&amp;G Upstream)'!N$309/'Assumptions (O&amp;G Upstream)'!N$319/10^9*'Inflation GDP Population'!$S$18/'Inflation GDP Population'!M$18</f>
        <v>7.810331226</v>
      </c>
      <c r="P55" s="132">
        <f>sum('Transportation and Industrial G'!N$35)*10^9*'Assumptions (O&amp;G Upstream)'!O$309/'Assumptions (O&amp;G Upstream)'!O$319/10^9*'Inflation GDP Population'!$S$18/'Inflation GDP Population'!N$18</f>
        <v>7.56645905</v>
      </c>
      <c r="Q55" s="132">
        <f>sum('Transportation and Industrial G'!O$35)*10^9*'Assumptions (O&amp;G Upstream)'!P$309/'Assumptions (O&amp;G Upstream)'!P$319/10^9*'Inflation GDP Population'!$S$18/'Inflation GDP Population'!O$18</f>
        <v>7.376332063</v>
      </c>
      <c r="R55" s="132">
        <f>sum('Transportation and Industrial G'!P$35)*10^9*'Assumptions (O&amp;G Upstream)'!Q$309/'Assumptions (O&amp;G Upstream)'!Q$319/10^9*'Inflation GDP Population'!$S$18/'Inflation GDP Population'!P$18</f>
        <v>6.736549257</v>
      </c>
      <c r="S55" s="132">
        <f>sum('Transportation and Industrial G'!Q$35)*10^9*'Assumptions (O&amp;G Upstream)'!R$309/'Assumptions (O&amp;G Upstream)'!R$319/10^9*'Inflation GDP Population'!$S$18/'Inflation GDP Population'!Q$18</f>
        <v>3.578699319</v>
      </c>
      <c r="T55" s="132">
        <f>sum('Transportation and Industrial G'!R$35)*10^9*'Assumptions (O&amp;G Upstream)'!S$309/'Assumptions (O&amp;G Upstream)'!S$319/10^9*'Inflation GDP Population'!$S$18/'Inflation GDP Population'!R$18</f>
        <v>3.377332522</v>
      </c>
      <c r="U55" s="132">
        <f>sum('Transportation and Industrial G'!S$35)*10^9*'Assumptions (O&amp;G Upstream)'!T$309/'Assumptions (O&amp;G Upstream)'!T$319/10^9*'Inflation GDP Population'!$S$18/'Inflation GDP Population'!S$18</f>
        <v>4.039623129</v>
      </c>
      <c r="V55" s="132">
        <f>sum('Transportation and Industrial G'!T$35)*10^9*'Assumptions (O&amp;G Upstream)'!U$309/'Assumptions (O&amp;G Upstream)'!U$319/10^9*'Inflation GDP Population'!$S$18/'Inflation GDP Population'!T$18</f>
        <v>5.091838848</v>
      </c>
      <c r="W55" s="132">
        <f>sum('Transportation and Industrial G'!U$35)*10^9*'Assumptions (O&amp;G Upstream)'!V$309/'Assumptions (O&amp;G Upstream)'!V$319/10^9*'Inflation GDP Population'!$S$18/'Inflation GDP Population'!U$18</f>
        <v>5.403233358</v>
      </c>
      <c r="X55" s="132">
        <f>sum('Transportation and Industrial G'!V$35)*10^9*'Assumptions (O&amp;G Upstream)'!W$309/'Assumptions (O&amp;G Upstream)'!W$319/10^9*'Inflation GDP Population'!$S$18/'Inflation GDP Population'!V$18</f>
        <v>5.641884045</v>
      </c>
      <c r="Y55" s="132">
        <f>sum('Transportation and Industrial G'!W$35)*10^9*'Assumptions (O&amp;G Upstream)'!X$309/'Assumptions (O&amp;G Upstream)'!X$319/10^9*'Inflation GDP Population'!$S$18/'Inflation GDP Population'!W$18</f>
        <v>5.853798231</v>
      </c>
      <c r="Z55" s="132">
        <f>sum('Transportation and Industrial G'!X$35)*10^9*'Assumptions (O&amp;G Upstream)'!Y$309/'Assumptions (O&amp;G Upstream)'!Y$319/10^9*'Inflation GDP Population'!$S$18/'Inflation GDP Population'!X$18</f>
        <v>5.877853179</v>
      </c>
      <c r="AA55" s="132">
        <f>sum('Transportation and Industrial G'!Y$35)*10^9*'Assumptions (O&amp;G Upstream)'!Z$309/'Assumptions (O&amp;G Upstream)'!Z$319/10^9*'Inflation GDP Population'!$S$18/'Inflation GDP Population'!Y$18</f>
        <v>6.090563996</v>
      </c>
      <c r="AB55" s="132">
        <f>sum('Transportation and Industrial G'!Z$35)*10^9*'Assumptions (O&amp;G Upstream)'!AA$309/'Assumptions (O&amp;G Upstream)'!AA$319/10^9*'Inflation GDP Population'!$S$18/'Inflation GDP Population'!Z$18</f>
        <v>6.431856554</v>
      </c>
      <c r="AC55" s="132">
        <f>sum('Transportation and Industrial G'!AA$35)*10^9*'Assumptions (O&amp;G Upstream)'!AB$309/'Assumptions (O&amp;G Upstream)'!AB$319/10^9*'Inflation GDP Population'!$S$18/'Inflation GDP Population'!AA$18</f>
        <v>6.740937469</v>
      </c>
      <c r="AD55" s="132">
        <f>sum('Transportation and Industrial G'!AB$35)*10^9*'Assumptions (O&amp;G Upstream)'!AC$309/'Assumptions (O&amp;G Upstream)'!AC$319/10^9*'Inflation GDP Population'!$S$18/'Inflation GDP Population'!AB$18</f>
        <v>7.003235902</v>
      </c>
      <c r="AE55" s="132">
        <f>sum('Transportation and Industrial G'!AC$35)*10^9*'Assumptions (O&amp;G Upstream)'!AD$309/'Assumptions (O&amp;G Upstream)'!AD$319/10^9*'Inflation GDP Population'!$S$18/'Inflation GDP Population'!AC$18</f>
        <v>7.285656147</v>
      </c>
      <c r="AF55" s="132">
        <f>sum('Transportation and Industrial G'!AD$35)*10^9*'Assumptions (O&amp;G Upstream)'!AE$309/'Assumptions (O&amp;G Upstream)'!AE$319/10^9*'Inflation GDP Population'!$S$18/'Inflation GDP Population'!AD$18</f>
        <v>7.51861711</v>
      </c>
      <c r="AG55" s="132">
        <f>sum('Transportation and Industrial G'!AE$35)*10^9*'Assumptions (O&amp;G Upstream)'!AF$309/'Assumptions (O&amp;G Upstream)'!AF$319/10^9*'Inflation GDP Population'!$S$18/'Inflation GDP Population'!AE$18</f>
        <v>7.771365371</v>
      </c>
      <c r="AH55" s="132">
        <f>sum('Transportation and Industrial G'!AF$35)*10^9*'Assumptions (O&amp;G Upstream)'!AG$309/'Assumptions (O&amp;G Upstream)'!AG$319/10^9*'Inflation GDP Population'!$S$18/'Inflation GDP Population'!AF$18</f>
        <v>7.975218536</v>
      </c>
      <c r="AI55" s="132">
        <f>sum('Transportation and Industrial G'!AG$35)*10^9*'Assumptions (O&amp;G Upstream)'!AH$309/'Assumptions (O&amp;G Upstream)'!AH$319/10^9*'Inflation GDP Population'!$S$18/'Inflation GDP Population'!AG$18</f>
        <v>8.225307743</v>
      </c>
      <c r="AJ55" s="132">
        <f>sum('Transportation and Industrial G'!AH$35)*10^9*'Assumptions (O&amp;G Upstream)'!AI$309/'Assumptions (O&amp;G Upstream)'!AI$319/10^9*'Inflation GDP Population'!$S$18/'Inflation GDP Population'!AH$18</f>
        <v>8.412710711</v>
      </c>
      <c r="AK55" s="132">
        <f>sum('Transportation and Industrial G'!AI$35)*10^9*'Assumptions (O&amp;G Upstream)'!AJ$309/'Assumptions (O&amp;G Upstream)'!AJ$319/10^9*'Inflation GDP Population'!$S$18/'Inflation GDP Population'!AI$18</f>
        <v>8.750081424</v>
      </c>
      <c r="AL55" s="132">
        <f>sum('Transportation and Industrial G'!AJ$35)*10^9*'Assumptions (O&amp;G Upstream)'!AK$309/'Assumptions (O&amp;G Upstream)'!AK$319/10^9*'Inflation GDP Population'!$S$18/'Inflation GDP Population'!AJ$18</f>
        <v>8.896814909</v>
      </c>
      <c r="AM55" s="132">
        <f>sum('Transportation and Industrial G'!AK$35)*10^9*'Assumptions (O&amp;G Upstream)'!AL$309/'Assumptions (O&amp;G Upstream)'!AL$319/10^9*'Inflation GDP Population'!$S$18/'Inflation GDP Population'!AK$18</f>
        <v>9.135553765</v>
      </c>
      <c r="AN55" s="132">
        <f>sum('Transportation and Industrial G'!AL$35)*10^9*'Assumptions (O&amp;G Upstream)'!AM$309/'Assumptions (O&amp;G Upstream)'!AM$319/10^9*'Inflation GDP Population'!$S$18/'Inflation GDP Population'!AL$18</f>
        <v>9.416584358</v>
      </c>
      <c r="AO55" s="132">
        <f>sum('Transportation and Industrial G'!AM$35)*10^9*'Assumptions (O&amp;G Upstream)'!AN$309/'Assumptions (O&amp;G Upstream)'!AN$319/10^9*'Inflation GDP Population'!$S$18/'Inflation GDP Population'!AM$18</f>
        <v>9.481762487</v>
      </c>
      <c r="AP55" s="132">
        <f>sum('Transportation and Industrial G'!AN$35)*10^9*'Assumptions (O&amp;G Upstream)'!AO$309/'Assumptions (O&amp;G Upstream)'!AO$319/10^9*'Inflation GDP Population'!$S$18/'Inflation GDP Population'!AN$18</f>
        <v>9.696098188</v>
      </c>
      <c r="AQ55" s="132">
        <f>sum('Transportation and Industrial G'!AO$35)*10^9*'Assumptions (O&amp;G Upstream)'!AP$309/'Assumptions (O&amp;G Upstream)'!AP$319/10^9*'Inflation GDP Population'!$S$18/'Inflation GDP Population'!AO$18</f>
        <v>9.871391806</v>
      </c>
      <c r="AR55" s="132">
        <f>sum('Transportation and Industrial G'!AP$35)*10^9*'Assumptions (O&amp;G Upstream)'!AQ$309/'Assumptions (O&amp;G Upstream)'!AQ$319/10^9*'Inflation GDP Population'!$S$18/'Inflation GDP Population'!AP$18</f>
        <v>10.12074521</v>
      </c>
      <c r="AS55" s="132">
        <f>sum('Transportation and Industrial G'!AQ$35)*10^9*'Assumptions (O&amp;G Upstream)'!AR$309/'Assumptions (O&amp;G Upstream)'!AR$319/10^9*'Inflation GDP Population'!$S$18/'Inflation GDP Population'!AQ$18</f>
        <v>10.28877865</v>
      </c>
      <c r="AT55" s="132">
        <f>sum('Transportation and Industrial G'!AR$35)*10^9*'Assumptions (O&amp;G Upstream)'!AS$309/'Assumptions (O&amp;G Upstream)'!AS$319/10^9*'Inflation GDP Population'!$S$18/'Inflation GDP Population'!AR$18</f>
        <v>10.53789293</v>
      </c>
      <c r="AU55" s="132">
        <f>sum('Transportation and Industrial G'!AS$35)*10^9*'Assumptions (O&amp;G Upstream)'!AT$309/'Assumptions (O&amp;G Upstream)'!AT$319/10^9*'Inflation GDP Population'!$S$18/'Inflation GDP Population'!AS$18</f>
        <v>10.68166753</v>
      </c>
      <c r="AV55" s="132">
        <f>sum('Transportation and Industrial G'!AT$35)*10^9*'Assumptions (O&amp;G Upstream)'!AU$309/'Assumptions (O&amp;G Upstream)'!AU$319/10^9*'Inflation GDP Population'!$S$18/'Inflation GDP Population'!AT$18</f>
        <v>10.85629469</v>
      </c>
      <c r="AW55" s="132">
        <f>sum('Transportation and Industrial G'!AU$35)*10^9*'Assumptions (O&amp;G Upstream)'!AV$309/'Assumptions (O&amp;G Upstream)'!AV$319/10^9*'Inflation GDP Population'!$S$18/'Inflation GDP Population'!AU$18</f>
        <v>11.03550377</v>
      </c>
      <c r="AX55" s="132">
        <f>sum('Transportation and Industrial G'!AV$35)*10^9*'Assumptions (O&amp;G Upstream)'!AW$309/'Assumptions (O&amp;G Upstream)'!AW$319/10^9*'Inflation GDP Population'!$S$18/'Inflation GDP Population'!AV$18</f>
        <v>11.19717146</v>
      </c>
      <c r="AY55" s="132">
        <f>sum('Transportation and Industrial G'!AW$35)*10^9*'Assumptions (O&amp;G Upstream)'!AX$309/'Assumptions (O&amp;G Upstream)'!AX$319/10^9*'Inflation GDP Population'!$S$18/'Inflation GDP Population'!AW$18</f>
        <v>11.35738625</v>
      </c>
      <c r="AZ55" s="132">
        <f>sum('Transportation and Industrial G'!AX$35)*10^9*'Assumptions (O&amp;G Upstream)'!AY$309/'Assumptions (O&amp;G Upstream)'!AY$319/10^9*'Inflation GDP Population'!$S$18/'Inflation GDP Population'!AX$18</f>
        <v>11.52256915</v>
      </c>
      <c r="BA55" s="132">
        <f>sum('Transportation and Industrial G'!AY$35)*10^9*'Assumptions (O&amp;G Upstream)'!AZ$309/'Assumptions (O&amp;G Upstream)'!AZ$319/10^9*'Inflation GDP Population'!$S$18/'Inflation GDP Population'!AY$18</f>
        <v>11.66600254</v>
      </c>
      <c r="BB55" s="132">
        <f>sum('Transportation and Industrial G'!AZ$35)*10^9*'Assumptions (O&amp;G Upstream)'!BA$309/'Assumptions (O&amp;G Upstream)'!BA$319/10^9*'Inflation GDP Population'!$S$18/'Inflation GDP Population'!AZ$18</f>
        <v>11.80320989</v>
      </c>
    </row>
    <row r="56" ht="15.75" customHeight="1">
      <c r="A56" s="119" t="s">
        <v>291</v>
      </c>
      <c r="B56" s="131" t="s">
        <v>292</v>
      </c>
      <c r="C56" s="120" t="s">
        <v>270</v>
      </c>
      <c r="D56" s="132">
        <f>sum('Transportation and Industrial G'!B$34)*10^9*'Assumptions (O&amp;G Upstream)'!C$309/'Assumptions (O&amp;G Upstream)'!C$319/10^9*'Inflation GDP Population'!$S$18/'Inflation GDP Population'!B$18</f>
        <v>0.558721158</v>
      </c>
      <c r="E56" s="132">
        <f>sum('Transportation and Industrial G'!C$34)*10^9*'Assumptions (O&amp;G Upstream)'!D$309/'Assumptions (O&amp;G Upstream)'!D$319/10^9*'Inflation GDP Population'!$S$18/'Inflation GDP Population'!C$18</f>
        <v>0.4689660153</v>
      </c>
      <c r="F56" s="132">
        <f>sum('Transportation and Industrial G'!D$34)*10^9*'Assumptions (O&amp;G Upstream)'!E$309/'Assumptions (O&amp;G Upstream)'!E$319/10^9*'Inflation GDP Population'!$S$18/'Inflation GDP Population'!D$18</f>
        <v>0.3783128218</v>
      </c>
      <c r="G56" s="132">
        <f>sum('Transportation and Industrial G'!E$34)*10^9*'Assumptions (O&amp;G Upstream)'!F$309/'Assumptions (O&amp;G Upstream)'!F$319/10^9*'Inflation GDP Population'!$S$18/'Inflation GDP Population'!E$18</f>
        <v>0.5119186445</v>
      </c>
      <c r="H56" s="132">
        <f>sum('Transportation and Industrial G'!F$34)*10^9*'Assumptions (O&amp;G Upstream)'!G$309/'Assumptions (O&amp;G Upstream)'!G$319/10^9*'Inflation GDP Population'!$S$18/'Inflation GDP Population'!F$18</f>
        <v>0.6467654841</v>
      </c>
      <c r="I56" s="132">
        <f>sum('Transportation and Industrial G'!G$34)*10^9*'Assumptions (O&amp;G Upstream)'!H$309/'Assumptions (O&amp;G Upstream)'!H$319/10^9*'Inflation GDP Population'!$S$18/'Inflation GDP Population'!G$18</f>
        <v>0.7585987397</v>
      </c>
      <c r="J56" s="132">
        <f>sum('Transportation and Industrial G'!H$34)*10^9*'Assumptions (O&amp;G Upstream)'!I$309/'Assumptions (O&amp;G Upstream)'!I$319/10^9*'Inflation GDP Population'!$S$18/'Inflation GDP Population'!H$18</f>
        <v>0.8648068513</v>
      </c>
      <c r="K56" s="132">
        <f>sum('Transportation and Industrial G'!I$34)*10^9*'Assumptions (O&amp;G Upstream)'!J$309/'Assumptions (O&amp;G Upstream)'!J$319/10^9*'Inflation GDP Population'!$S$18/'Inflation GDP Population'!I$18</f>
        <v>0.938740309</v>
      </c>
      <c r="L56" s="132">
        <f>sum('Transportation and Industrial G'!J$34)*10^9*'Assumptions (O&amp;G Upstream)'!K$309/'Assumptions (O&amp;G Upstream)'!K$319/10^9*'Inflation GDP Population'!$S$18/'Inflation GDP Population'!J$18</f>
        <v>1.224194435</v>
      </c>
      <c r="M56" s="132">
        <f>sum('Transportation and Industrial G'!K$34)*10^9*'Assumptions (O&amp;G Upstream)'!L$309/'Assumptions (O&amp;G Upstream)'!L$319/10^9*'Inflation GDP Population'!$S$18/'Inflation GDP Population'!K$18</f>
        <v>0.7859656322</v>
      </c>
      <c r="N56" s="132">
        <f>sum('Transportation and Industrial G'!L$34)*10^9*'Assumptions (O&amp;G Upstream)'!M$309/'Assumptions (O&amp;G Upstream)'!M$319/10^9*'Inflation GDP Population'!$S$18/'Inflation GDP Population'!L$18</f>
        <v>0.9792497029</v>
      </c>
      <c r="O56" s="132">
        <f>sum('Transportation and Industrial G'!M$34)*10^9*'Assumptions (O&amp;G Upstream)'!N$309/'Assumptions (O&amp;G Upstream)'!N$319/10^9*'Inflation GDP Population'!$S$18/'Inflation GDP Population'!M$18</f>
        <v>1.051429103</v>
      </c>
      <c r="P56" s="132">
        <f>sum('Transportation and Industrial G'!N$34)*10^9*'Assumptions (O&amp;G Upstream)'!O$309/'Assumptions (O&amp;G Upstream)'!O$319/10^9*'Inflation GDP Population'!$S$18/'Inflation GDP Population'!N$18</f>
        <v>1.000045915</v>
      </c>
      <c r="Q56" s="132">
        <f>sum('Transportation and Industrial G'!O$34)*10^9*'Assumptions (O&amp;G Upstream)'!P$309/'Assumptions (O&amp;G Upstream)'!P$319/10^9*'Inflation GDP Population'!$S$18/'Inflation GDP Population'!O$18</f>
        <v>0.9006522246</v>
      </c>
      <c r="R56" s="132">
        <f>sum('Transportation and Industrial G'!P$34)*10^9*'Assumptions (O&amp;G Upstream)'!Q$309/'Assumptions (O&amp;G Upstream)'!Q$319/10^9*'Inflation GDP Population'!$S$18/'Inflation GDP Population'!P$18</f>
        <v>0.945399032</v>
      </c>
      <c r="S56" s="132">
        <f>sum('Transportation and Industrial G'!Q$34)*10^9*'Assumptions (O&amp;G Upstream)'!R$309/'Assumptions (O&amp;G Upstream)'!R$319/10^9*'Inflation GDP Population'!$S$18/'Inflation GDP Population'!Q$18</f>
        <v>0.846263146</v>
      </c>
      <c r="T56" s="132">
        <f>sum('Transportation and Industrial G'!R$34)*10^9*'Assumptions (O&amp;G Upstream)'!S$309/'Assumptions (O&amp;G Upstream)'!S$319/10^9*'Inflation GDP Population'!$S$18/'Inflation GDP Population'!R$18</f>
        <v>0.7665866804</v>
      </c>
      <c r="U56" s="132">
        <f>sum('Transportation and Industrial G'!S$34)*10^9*'Assumptions (O&amp;G Upstream)'!T$309/'Assumptions (O&amp;G Upstream)'!T$319/10^9*'Inflation GDP Population'!$S$18/'Inflation GDP Population'!S$18</f>
        <v>0.8834444467</v>
      </c>
      <c r="V56" s="132">
        <f>sum('Transportation and Industrial G'!T$34)*10^9*'Assumptions (O&amp;G Upstream)'!U$309/'Assumptions (O&amp;G Upstream)'!U$319/10^9*'Inflation GDP Population'!$S$18/'Inflation GDP Population'!T$18</f>
        <v>1.105830982</v>
      </c>
      <c r="W56" s="132">
        <f>sum('Transportation and Industrial G'!U$34)*10^9*'Assumptions (O&amp;G Upstream)'!V$309/'Assumptions (O&amp;G Upstream)'!V$319/10^9*'Inflation GDP Population'!$S$18/'Inflation GDP Population'!U$18</f>
        <v>1.165398967</v>
      </c>
      <c r="X56" s="132">
        <f>sum('Transportation and Industrial G'!V$34)*10^9*'Assumptions (O&amp;G Upstream)'!W$309/'Assumptions (O&amp;G Upstream)'!W$319/10^9*'Inflation GDP Population'!$S$18/'Inflation GDP Population'!V$18</f>
        <v>1.208599491</v>
      </c>
      <c r="Y56" s="132">
        <f>sum('Transportation and Industrial G'!W$34)*10^9*'Assumptions (O&amp;G Upstream)'!X$309/'Assumptions (O&amp;G Upstream)'!X$319/10^9*'Inflation GDP Population'!$S$18/'Inflation GDP Population'!W$18</f>
        <v>1.245556291</v>
      </c>
      <c r="Z56" s="132">
        <f>sum('Transportation and Industrial G'!X$34)*10^9*'Assumptions (O&amp;G Upstream)'!Y$309/'Assumptions (O&amp;G Upstream)'!Y$319/10^9*'Inflation GDP Population'!$S$18/'Inflation GDP Population'!X$18</f>
        <v>1.242342082</v>
      </c>
      <c r="AA56" s="132">
        <f>sum('Transportation and Industrial G'!Y$34)*10^9*'Assumptions (O&amp;G Upstream)'!Z$309/'Assumptions (O&amp;G Upstream)'!Z$319/10^9*'Inflation GDP Population'!$S$18/'Inflation GDP Population'!Y$18</f>
        <v>1.278809378</v>
      </c>
      <c r="AB56" s="132">
        <f>sum('Transportation and Industrial G'!Z$34)*10^9*'Assumptions (O&amp;G Upstream)'!AA$309/'Assumptions (O&amp;G Upstream)'!AA$319/10^9*'Inflation GDP Population'!$S$18/'Inflation GDP Population'!Z$18</f>
        <v>1.341649221</v>
      </c>
      <c r="AC56" s="132">
        <f>sum('Transportation and Industrial G'!AA$34)*10^9*'Assumptions (O&amp;G Upstream)'!AB$309/'Assumptions (O&amp;G Upstream)'!AB$319/10^9*'Inflation GDP Population'!$S$18/'Inflation GDP Population'!AA$18</f>
        <v>1.397028523</v>
      </c>
      <c r="AD56" s="132">
        <f>sum('Transportation and Industrial G'!AB$34)*10^9*'Assumptions (O&amp;G Upstream)'!AC$309/'Assumptions (O&amp;G Upstream)'!AC$319/10^9*'Inflation GDP Population'!$S$18/'Inflation GDP Population'!AB$18</f>
        <v>1.442094142</v>
      </c>
      <c r="AE56" s="132">
        <f>sum('Transportation and Industrial G'!AC$34)*10^9*'Assumptions (O&amp;G Upstream)'!AD$309/'Assumptions (O&amp;G Upstream)'!AD$319/10^9*'Inflation GDP Population'!$S$18/'Inflation GDP Population'!AC$18</f>
        <v>1.490735151</v>
      </c>
      <c r="AF56" s="132">
        <f>sum('Transportation and Industrial G'!AD$34)*10^9*'Assumptions (O&amp;G Upstream)'!AE$309/'Assumptions (O&amp;G Upstream)'!AE$319/10^9*'Inflation GDP Population'!$S$18/'Inflation GDP Population'!AD$18</f>
        <v>1.528739157</v>
      </c>
      <c r="AG56" s="132">
        <f>sum('Transportation and Industrial G'!AE$34)*10^9*'Assumptions (O&amp;G Upstream)'!AF$309/'Assumptions (O&amp;G Upstream)'!AF$319/10^9*'Inflation GDP Population'!$S$18/'Inflation GDP Population'!AE$18</f>
        <v>1.570299693</v>
      </c>
      <c r="AH56" s="132">
        <f>sum('Transportation and Industrial G'!AF$34)*10^9*'Assumptions (O&amp;G Upstream)'!AG$309/'Assumptions (O&amp;G Upstream)'!AG$319/10^9*'Inflation GDP Population'!$S$18/'Inflation GDP Population'!AF$18</f>
        <v>1.601560609</v>
      </c>
      <c r="AI56" s="132">
        <f>sum('Transportation and Industrial G'!AG$34)*10^9*'Assumptions (O&amp;G Upstream)'!AH$309/'Assumptions (O&amp;G Upstream)'!AH$319/10^9*'Inflation GDP Population'!$S$18/'Inflation GDP Population'!AG$18</f>
        <v>1.641700253</v>
      </c>
      <c r="AJ56" s="132">
        <f>sum('Transportation and Industrial G'!AH$34)*10^9*'Assumptions (O&amp;G Upstream)'!AI$309/'Assumptions (O&amp;G Upstream)'!AI$319/10^9*'Inflation GDP Population'!$S$18/'Inflation GDP Population'!AH$18</f>
        <v>1.668950807</v>
      </c>
      <c r="AK56" s="132">
        <f>sum('Transportation and Industrial G'!AI$34)*10^9*'Assumptions (O&amp;G Upstream)'!AJ$309/'Assumptions (O&amp;G Upstream)'!AJ$319/10^9*'Inflation GDP Population'!$S$18/'Inflation GDP Population'!AI$18</f>
        <v>1.725480667</v>
      </c>
      <c r="AL56" s="132">
        <f>sum('Transportation and Industrial G'!AJ$34)*10^9*'Assumptions (O&amp;G Upstream)'!AK$309/'Assumptions (O&amp;G Upstream)'!AK$319/10^9*'Inflation GDP Population'!$S$18/'Inflation GDP Population'!AJ$18</f>
        <v>1.744002664</v>
      </c>
      <c r="AM56" s="132">
        <f>sum('Transportation and Industrial G'!AK$34)*10^9*'Assumptions (O&amp;G Upstream)'!AL$309/'Assumptions (O&amp;G Upstream)'!AL$319/10^9*'Inflation GDP Population'!$S$18/'Inflation GDP Population'!AK$18</f>
        <v>1.780269844</v>
      </c>
      <c r="AN56" s="132">
        <f>sum('Transportation and Industrial G'!AL$34)*10^9*'Assumptions (O&amp;G Upstream)'!AM$309/'Assumptions (O&amp;G Upstream)'!AM$319/10^9*'Inflation GDP Population'!$S$18/'Inflation GDP Population'!AL$18</f>
        <v>1.824341513</v>
      </c>
      <c r="AO56" s="132">
        <f>sum('Transportation and Industrial G'!AM$34)*10^9*'Assumptions (O&amp;G Upstream)'!AN$309/'Assumptions (O&amp;G Upstream)'!AN$319/10^9*'Inflation GDP Population'!$S$18/'Inflation GDP Population'!AM$18</f>
        <v>1.826361083</v>
      </c>
      <c r="AP56" s="132">
        <f>sum('Transportation and Industrial G'!AN$34)*10^9*'Assumptions (O&amp;G Upstream)'!AO$309/'Assumptions (O&amp;G Upstream)'!AO$319/10^9*'Inflation GDP Population'!$S$18/'Inflation GDP Population'!AN$18</f>
        <v>1.856958106</v>
      </c>
      <c r="AQ56" s="132">
        <f>sum('Transportation and Industrial G'!AO$34)*10^9*'Assumptions (O&amp;G Upstream)'!AP$309/'Assumptions (O&amp;G Upstream)'!AP$319/10^9*'Inflation GDP Population'!$S$18/'Inflation GDP Population'!AO$18</f>
        <v>1.879807468</v>
      </c>
      <c r="AR56" s="132">
        <f>sum('Transportation and Industrial G'!AP$34)*10^9*'Assumptions (O&amp;G Upstream)'!AQ$309/'Assumptions (O&amp;G Upstream)'!AQ$319/10^9*'Inflation GDP Population'!$S$18/'Inflation GDP Population'!AP$18</f>
        <v>1.916458253</v>
      </c>
      <c r="AS56" s="132">
        <f>sum('Transportation and Industrial G'!AQ$34)*10^9*'Assumptions (O&amp;G Upstream)'!AR$309/'Assumptions (O&amp;G Upstream)'!AR$319/10^9*'Inflation GDP Population'!$S$18/'Inflation GDP Population'!AQ$18</f>
        <v>1.937422177</v>
      </c>
      <c r="AT56" s="132">
        <f>sum('Transportation and Industrial G'!AR$34)*10^9*'Assumptions (O&amp;G Upstream)'!AS$309/'Assumptions (O&amp;G Upstream)'!AS$319/10^9*'Inflation GDP Population'!$S$18/'Inflation GDP Population'!AR$18</f>
        <v>1.973372862</v>
      </c>
      <c r="AU56" s="132">
        <f>sum('Transportation and Industrial G'!AS$34)*10^9*'Assumptions (O&amp;G Upstream)'!AT$309/'Assumptions (O&amp;G Upstream)'!AT$319/10^9*'Inflation GDP Population'!$S$18/'Inflation GDP Population'!AS$18</f>
        <v>1.989346307</v>
      </c>
      <c r="AV56" s="132">
        <f>sum('Transportation and Industrial G'!AT$34)*10^9*'Assumptions (O&amp;G Upstream)'!AU$309/'Assumptions (O&amp;G Upstream)'!AU$319/10^9*'Inflation GDP Population'!$S$18/'Inflation GDP Population'!AT$18</f>
        <v>2.010896203</v>
      </c>
      <c r="AW56" s="132">
        <f>sum('Transportation and Industrial G'!AU$34)*10^9*'Assumptions (O&amp;G Upstream)'!AV$309/'Assumptions (O&amp;G Upstream)'!AV$319/10^9*'Inflation GDP Population'!$S$18/'Inflation GDP Population'!AU$18</f>
        <v>2.033093323</v>
      </c>
      <c r="AX56" s="132">
        <f>sum('Transportation and Industrial G'!AV$34)*10^9*'Assumptions (O&amp;G Upstream)'!AW$309/'Assumptions (O&amp;G Upstream)'!AW$319/10^9*'Inflation GDP Population'!$S$18/'Inflation GDP Population'!AV$18</f>
        <v>2.05187418</v>
      </c>
      <c r="AY56" s="132">
        <f>sum('Transportation and Industrial G'!AW$34)*10^9*'Assumptions (O&amp;G Upstream)'!AX$309/'Assumptions (O&amp;G Upstream)'!AX$319/10^9*'Inflation GDP Population'!$S$18/'Inflation GDP Population'!AW$18</f>
        <v>2.070226569</v>
      </c>
      <c r="AZ56" s="132">
        <f>sum('Transportation and Industrial G'!AX$34)*10^9*'Assumptions (O&amp;G Upstream)'!AY$309/'Assumptions (O&amp;G Upstream)'!AY$319/10^9*'Inflation GDP Population'!$S$18/'Inflation GDP Population'!AX$18</f>
        <v>2.089322305</v>
      </c>
      <c r="BA56" s="132">
        <f>sum('Transportation and Industrial G'!AY$34)*10^9*'Assumptions (O&amp;G Upstream)'!AZ$309/'Assumptions (O&amp;G Upstream)'!AZ$319/10^9*'Inflation GDP Population'!$S$18/'Inflation GDP Population'!AY$18</f>
        <v>2.10433119</v>
      </c>
      <c r="BB56" s="132">
        <f>sum('Transportation and Industrial G'!AZ$34)*10^9*'Assumptions (O&amp;G Upstream)'!BA$309/'Assumptions (O&amp;G Upstream)'!BA$319/10^9*'Inflation GDP Population'!$S$18/'Inflation GDP Population'!AZ$18</f>
        <v>2.11810294</v>
      </c>
    </row>
    <row r="57" ht="15.75" customHeight="1">
      <c r="A57" s="119" t="s">
        <v>293</v>
      </c>
      <c r="B57" s="131" t="s">
        <v>294</v>
      </c>
      <c r="C57" s="120" t="s">
        <v>270</v>
      </c>
      <c r="D57" s="132">
        <f>sum('Transportation and Industrial G'!B$31:B$32)*10^9*'Assumptions (O&amp;G Upstream)'!C$309/'Assumptions (O&amp;G Upstream)'!C$319/10^9*'Inflation GDP Population'!$S$18/'Inflation GDP Population'!B$18</f>
        <v>23.56510202</v>
      </c>
      <c r="E57" s="132">
        <f>sum('Transportation and Industrial G'!C$31:C$32)*10^9*'Assumptions (O&amp;G Upstream)'!D$309/'Assumptions (O&amp;G Upstream)'!D$319/10^9*'Inflation GDP Population'!$S$18/'Inflation GDP Population'!C$18</f>
        <v>19.46839941</v>
      </c>
      <c r="F57" s="132">
        <f>sum('Transportation and Industrial G'!D$31:D$32)*10^9*'Assumptions (O&amp;G Upstream)'!E$309/'Assumptions (O&amp;G Upstream)'!E$319/10^9*'Inflation GDP Population'!$S$18/'Inflation GDP Population'!D$18</f>
        <v>19.81450306</v>
      </c>
      <c r="G57" s="132">
        <f>sum('Transportation and Industrial G'!E$31:E$32)*10^9*'Assumptions (O&amp;G Upstream)'!F$309/'Assumptions (O&amp;G Upstream)'!F$319/10^9*'Inflation GDP Population'!$S$18/'Inflation GDP Population'!E$18</f>
        <v>23.68469689</v>
      </c>
      <c r="H57" s="132">
        <f>sum('Transportation and Industrial G'!F$31:F$32)*10^9*'Assumptions (O&amp;G Upstream)'!G$309/'Assumptions (O&amp;G Upstream)'!G$319/10^9*'Inflation GDP Population'!$S$18/'Inflation GDP Population'!F$18</f>
        <v>32.05314866</v>
      </c>
      <c r="I57" s="132">
        <f>sum('Transportation and Industrial G'!G$31:G$32)*10^9*'Assumptions (O&amp;G Upstream)'!H$309/'Assumptions (O&amp;G Upstream)'!H$319/10^9*'Inflation GDP Population'!$S$18/'Inflation GDP Population'!G$18</f>
        <v>42.86378325</v>
      </c>
      <c r="J57" s="132">
        <f>sum('Transportation and Industrial G'!H$31:H$32)*10^9*'Assumptions (O&amp;G Upstream)'!I$309/'Assumptions (O&amp;G Upstream)'!I$319/10^9*'Inflation GDP Population'!$S$18/'Inflation GDP Population'!H$18</f>
        <v>48.91008451</v>
      </c>
      <c r="K57" s="132">
        <f>sum('Transportation and Industrial G'!I$31:I$32)*10^9*'Assumptions (O&amp;G Upstream)'!J$309/'Assumptions (O&amp;G Upstream)'!J$319/10^9*'Inflation GDP Population'!$S$18/'Inflation GDP Population'!I$18</f>
        <v>51.97647384</v>
      </c>
      <c r="L57" s="132">
        <f>sum('Transportation and Industrial G'!J$31:J$32)*10^9*'Assumptions (O&amp;G Upstream)'!K$309/'Assumptions (O&amp;G Upstream)'!K$319/10^9*'Inflation GDP Population'!$S$18/'Inflation GDP Population'!J$18</f>
        <v>67.095284</v>
      </c>
      <c r="M57" s="132">
        <f>sum('Transportation and Industrial G'!K$31:K$32)*10^9*'Assumptions (O&amp;G Upstream)'!L$309/'Assumptions (O&amp;G Upstream)'!L$319/10^9*'Inflation GDP Population'!$S$18/'Inflation GDP Population'!K$18</f>
        <v>41.02817791</v>
      </c>
      <c r="N57" s="132">
        <f>sum('Transportation and Industrial G'!L$31:L$32)*10^9*'Assumptions (O&amp;G Upstream)'!M$309/'Assumptions (O&amp;G Upstream)'!M$319/10^9*'Inflation GDP Population'!$S$18/'Inflation GDP Population'!L$18</f>
        <v>53.29425607</v>
      </c>
      <c r="O57" s="132">
        <f>sum('Transportation and Industrial G'!M$31:M$32)*10^9*'Assumptions (O&amp;G Upstream)'!N$309/'Assumptions (O&amp;G Upstream)'!N$319/10^9*'Inflation GDP Population'!$S$18/'Inflation GDP Population'!M$18</f>
        <v>61.29514665</v>
      </c>
      <c r="P57" s="132">
        <f>sum('Transportation and Industrial G'!N$31:N$32)*10^9*'Assumptions (O&amp;G Upstream)'!O$309/'Assumptions (O&amp;G Upstream)'!O$319/10^9*'Inflation GDP Population'!$S$18/'Inflation GDP Population'!N$18</f>
        <v>57.49237307</v>
      </c>
      <c r="Q57" s="132">
        <f>sum('Transportation and Industrial G'!O$31:O$32)*10^9*'Assumptions (O&amp;G Upstream)'!P$309/'Assumptions (O&amp;G Upstream)'!P$319/10^9*'Inflation GDP Population'!$S$18/'Inflation GDP Population'!O$18</f>
        <v>60.03251392</v>
      </c>
      <c r="R57" s="132">
        <f>sum('Transportation and Industrial G'!P$31:P$32)*10^9*'Assumptions (O&amp;G Upstream)'!Q$309/'Assumptions (O&amp;G Upstream)'!Q$319/10^9*'Inflation GDP Population'!$S$18/'Inflation GDP Population'!P$18</f>
        <v>55.95232038</v>
      </c>
      <c r="S57" s="132">
        <f>sum('Transportation and Industrial G'!Q$31:Q$32)*10^9*'Assumptions (O&amp;G Upstream)'!R$309/'Assumptions (O&amp;G Upstream)'!R$319/10^9*'Inflation GDP Population'!$S$18/'Inflation GDP Population'!Q$18</f>
        <v>30.04360408</v>
      </c>
      <c r="T57" s="132">
        <f>sum('Transportation and Industrial G'!R$31:R$32)*10^9*'Assumptions (O&amp;G Upstream)'!S$309/'Assumptions (O&amp;G Upstream)'!S$319/10^9*'Inflation GDP Population'!$S$18/'Inflation GDP Population'!R$18</f>
        <v>26.96487796</v>
      </c>
      <c r="U57" s="132">
        <f>sum('Transportation and Industrial G'!S$31:S$32)*10^9*'Assumptions (O&amp;G Upstream)'!T$309/'Assumptions (O&amp;G Upstream)'!T$319/10^9*'Inflation GDP Population'!$S$18/'Inflation GDP Population'!S$18</f>
        <v>30.99374497</v>
      </c>
      <c r="V57" s="132">
        <f>sum('Transportation and Industrial G'!T$31:T$32)*10^9*'Assumptions (O&amp;G Upstream)'!U$309/'Assumptions (O&amp;G Upstream)'!U$319/10^9*'Inflation GDP Population'!$S$18/'Inflation GDP Population'!T$18</f>
        <v>38.46073592</v>
      </c>
      <c r="W57" s="132">
        <f>sum('Transportation and Industrial G'!U$31:U$32)*10^9*'Assumptions (O&amp;G Upstream)'!V$309/'Assumptions (O&amp;G Upstream)'!V$319/10^9*'Inflation GDP Population'!$S$18/'Inflation GDP Population'!U$18</f>
        <v>40.1807024</v>
      </c>
      <c r="X57" s="132">
        <f>sum('Transportation and Industrial G'!V$31:V$32)*10^9*'Assumptions (O&amp;G Upstream)'!W$309/'Assumptions (O&amp;G Upstream)'!W$319/10^9*'Inflation GDP Population'!$S$18/'Inflation GDP Population'!V$18</f>
        <v>41.30656586</v>
      </c>
      <c r="Y57" s="132">
        <f>sum('Transportation and Industrial G'!W$31:W$32)*10^9*'Assumptions (O&amp;G Upstream)'!X$309/'Assumptions (O&amp;G Upstream)'!X$319/10^9*'Inflation GDP Population'!$S$18/'Inflation GDP Population'!W$18</f>
        <v>42.19619082</v>
      </c>
      <c r="Z57" s="132">
        <f>sum('Transportation and Industrial G'!X$31:X$32)*10^9*'Assumptions (O&amp;G Upstream)'!Y$309/'Assumptions (O&amp;G Upstream)'!Y$319/10^9*'Inflation GDP Population'!$S$18/'Inflation GDP Population'!X$18</f>
        <v>41.71607027</v>
      </c>
      <c r="AA57" s="132">
        <f>sum('Transportation and Industrial G'!Y$31:Y$32)*10^9*'Assumptions (O&amp;G Upstream)'!Z$309/'Assumptions (O&amp;G Upstream)'!Z$319/10^9*'Inflation GDP Population'!$S$18/'Inflation GDP Population'!Y$18</f>
        <v>42.55975199</v>
      </c>
      <c r="AB57" s="132">
        <f>sum('Transportation and Industrial G'!Z$31:Z$32)*10^9*'Assumptions (O&amp;G Upstream)'!AA$309/'Assumptions (O&amp;G Upstream)'!AA$319/10^9*'Inflation GDP Population'!$S$18/'Inflation GDP Population'!Z$18</f>
        <v>44.25290514</v>
      </c>
      <c r="AC57" s="132">
        <f>sum('Transportation and Industrial G'!AA$31:AA$32)*10^9*'Assumptions (O&amp;G Upstream)'!AB$309/'Assumptions (O&amp;G Upstream)'!AB$319/10^9*'Inflation GDP Population'!$S$18/'Inflation GDP Population'!AA$18</f>
        <v>45.66628816</v>
      </c>
      <c r="AD57" s="132">
        <f>sum('Transportation and Industrial G'!AB$31:AB$32)*10^9*'Assumptions (O&amp;G Upstream)'!AC$309/'Assumptions (O&amp;G Upstream)'!AC$319/10^9*'Inflation GDP Population'!$S$18/'Inflation GDP Population'!AB$18</f>
        <v>46.71425749</v>
      </c>
      <c r="AE57" s="132">
        <f>sum('Transportation and Industrial G'!AC$31:AC$32)*10^9*'Assumptions (O&amp;G Upstream)'!AD$309/'Assumptions (O&amp;G Upstream)'!AD$319/10^9*'Inflation GDP Population'!$S$18/'Inflation GDP Population'!AC$18</f>
        <v>47.85189452</v>
      </c>
      <c r="AF57" s="132">
        <f>sum('Transportation and Industrial G'!AD$31:AD$32)*10^9*'Assumptions (O&amp;G Upstream)'!AE$309/'Assumptions (O&amp;G Upstream)'!AE$319/10^9*'Inflation GDP Population'!$S$18/'Inflation GDP Population'!AD$18</f>
        <v>48.62413513</v>
      </c>
      <c r="AG57" s="132">
        <f>sum('Transportation and Industrial G'!AE$31:AE$32)*10^9*'Assumptions (O&amp;G Upstream)'!AF$309/'Assumptions (O&amp;G Upstream)'!AF$319/10^9*'Inflation GDP Population'!$S$18/'Inflation GDP Population'!AE$18</f>
        <v>49.48773542</v>
      </c>
      <c r="AH57" s="132">
        <f>sum('Transportation and Industrial G'!AF$31:AF$32)*10^9*'Assumptions (O&amp;G Upstream)'!AG$309/'Assumptions (O&amp;G Upstream)'!AG$319/10^9*'Inflation GDP Population'!$S$18/'Inflation GDP Population'!AF$18</f>
        <v>50.00705178</v>
      </c>
      <c r="AI57" s="132">
        <f>sum('Transportation and Industrial G'!AG$31:AG$32)*10^9*'Assumptions (O&amp;G Upstream)'!AH$309/'Assumptions (O&amp;G Upstream)'!AH$319/10^9*'Inflation GDP Population'!$S$18/'Inflation GDP Population'!AG$18</f>
        <v>50.78441938</v>
      </c>
      <c r="AJ57" s="132">
        <f>sum('Transportation and Industrial G'!AH$31:AH$32)*10^9*'Assumptions (O&amp;G Upstream)'!AI$309/'Assumptions (O&amp;G Upstream)'!AI$319/10^9*'Inflation GDP Population'!$S$18/'Inflation GDP Population'!AH$18</f>
        <v>51.14514784</v>
      </c>
      <c r="AK57" s="132">
        <f>sum('Transportation and Industrial G'!AI$31:AI$32)*10^9*'Assumptions (O&amp;G Upstream)'!AJ$309/'Assumptions (O&amp;G Upstream)'!AJ$319/10^9*'Inflation GDP Population'!$S$18/'Inflation GDP Population'!AI$18</f>
        <v>52.38059105</v>
      </c>
      <c r="AL57" s="132">
        <f>sum('Transportation and Industrial G'!AJ$31:AJ$32)*10^9*'Assumptions (O&amp;G Upstream)'!AK$309/'Assumptions (O&amp;G Upstream)'!AK$319/10^9*'Inflation GDP Population'!$S$18/'Inflation GDP Population'!AJ$18</f>
        <v>52.44227709</v>
      </c>
      <c r="AM57" s="132">
        <f>sum('Transportation and Industrial G'!AK$31:AK$32)*10^9*'Assumptions (O&amp;G Upstream)'!AL$309/'Assumptions (O&amp;G Upstream)'!AL$319/10^9*'Inflation GDP Population'!$S$18/'Inflation GDP Population'!AK$18</f>
        <v>53.02352727</v>
      </c>
      <c r="AN57" s="132">
        <f>sum('Transportation and Industrial G'!AL$31:AL$32)*10^9*'Assumptions (O&amp;G Upstream)'!AM$309/'Assumptions (O&amp;G Upstream)'!AM$319/10^9*'Inflation GDP Population'!$S$18/'Inflation GDP Population'!AL$18</f>
        <v>53.81596755</v>
      </c>
      <c r="AO57" s="132">
        <f>sum('Transportation and Industrial G'!AM$31:AM$32)*10^9*'Assumptions (O&amp;G Upstream)'!AN$309/'Assumptions (O&amp;G Upstream)'!AN$319/10^9*'Inflation GDP Population'!$S$18/'Inflation GDP Population'!AM$18</f>
        <v>53.35649538</v>
      </c>
      <c r="AP57" s="132">
        <f>sum('Transportation and Industrial G'!AN$31:AN$32)*10^9*'Assumptions (O&amp;G Upstream)'!AO$309/'Assumptions (O&amp;G Upstream)'!AO$319/10^9*'Inflation GDP Population'!$S$18/'Inflation GDP Population'!AN$18</f>
        <v>53.72437239</v>
      </c>
      <c r="AQ57" s="132">
        <f>sum('Transportation and Industrial G'!AO$31:AO$32)*10^9*'Assumptions (O&amp;G Upstream)'!AP$309/'Assumptions (O&amp;G Upstream)'!AP$319/10^9*'Inflation GDP Population'!$S$18/'Inflation GDP Population'!AO$18</f>
        <v>53.85471066</v>
      </c>
      <c r="AR57" s="132">
        <f>sum('Transportation and Industrial G'!AP$31:AP$32)*10^9*'Assumptions (O&amp;G Upstream)'!AQ$309/'Assumptions (O&amp;G Upstream)'!AQ$319/10^9*'Inflation GDP Population'!$S$18/'Inflation GDP Population'!AP$18</f>
        <v>54.36542458</v>
      </c>
      <c r="AS57" s="132">
        <f>sum('Transportation and Industrial G'!AQ$31:AQ$32)*10^9*'Assumptions (O&amp;G Upstream)'!AR$309/'Assumptions (O&amp;G Upstream)'!AR$319/10^9*'Inflation GDP Population'!$S$18/'Inflation GDP Population'!AQ$18</f>
        <v>54.41671326</v>
      </c>
      <c r="AT57" s="132">
        <f>sum('Transportation and Industrial G'!AR$31:AR$32)*10^9*'Assumptions (O&amp;G Upstream)'!AS$309/'Assumptions (O&amp;G Upstream)'!AS$319/10^9*'Inflation GDP Population'!$S$18/'Inflation GDP Population'!AR$18</f>
        <v>54.87478562</v>
      </c>
      <c r="AU57" s="132">
        <f>sum('Transportation and Industrial G'!AS$31:AS$32)*10^9*'Assumptions (O&amp;G Upstream)'!AT$309/'Assumptions (O&amp;G Upstream)'!AT$319/10^9*'Inflation GDP Population'!$S$18/'Inflation GDP Population'!AS$18</f>
        <v>54.7646397</v>
      </c>
      <c r="AV57" s="132">
        <f>sum('Transportation and Industrial G'!AT$31:AT$32)*10^9*'Assumptions (O&amp;G Upstream)'!AU$309/'Assumptions (O&amp;G Upstream)'!AU$319/10^9*'Inflation GDP Population'!$S$18/'Inflation GDP Population'!AT$18</f>
        <v>54.79937961</v>
      </c>
      <c r="AW57" s="132">
        <f>sum('Transportation and Industrial G'!AU$31:AU$32)*10^9*'Assumptions (O&amp;G Upstream)'!AV$309/'Assumptions (O&amp;G Upstream)'!AV$319/10^9*'Inflation GDP Population'!$S$18/'Inflation GDP Population'!AU$18</f>
        <v>54.84144577</v>
      </c>
      <c r="AX57" s="132">
        <f>sum('Transportation and Industrial G'!AV$31:AV$32)*10^9*'Assumptions (O&amp;G Upstream)'!AW$309/'Assumptions (O&amp;G Upstream)'!AW$319/10^9*'Inflation GDP Population'!$S$18/'Inflation GDP Population'!AV$18</f>
        <v>54.78186301</v>
      </c>
      <c r="AY57" s="132">
        <f>sum('Transportation and Industrial G'!AW$31:AW$32)*10^9*'Assumptions (O&amp;G Upstream)'!AX$309/'Assumptions (O&amp;G Upstream)'!AX$319/10^9*'Inflation GDP Population'!$S$18/'Inflation GDP Population'!AW$18</f>
        <v>54.70244876</v>
      </c>
      <c r="AZ57" s="132">
        <f>sum('Transportation and Industrial G'!AX$31:AX$32)*10^9*'Assumptions (O&amp;G Upstream)'!AY$309/'Assumptions (O&amp;G Upstream)'!AY$319/10^9*'Inflation GDP Population'!$S$18/'Inflation GDP Population'!AX$18</f>
        <v>54.63423885</v>
      </c>
      <c r="BA57" s="132">
        <f>sum('Transportation and Industrial G'!AY$31:AY$32)*10^9*'Assumptions (O&amp;G Upstream)'!AZ$309/'Assumptions (O&amp;G Upstream)'!AZ$319/10^9*'Inflation GDP Population'!$S$18/'Inflation GDP Population'!AY$18</f>
        <v>54.45167763</v>
      </c>
      <c r="BB57" s="132">
        <f>sum('Transportation and Industrial G'!AZ$31:AZ$32)*10^9*'Assumptions (O&amp;G Upstream)'!BA$309/'Assumptions (O&amp;G Upstream)'!BA$319/10^9*'Inflation GDP Population'!$S$18/'Inflation GDP Population'!AZ$18</f>
        <v>54.23110937</v>
      </c>
    </row>
    <row r="58" ht="15.75" customHeight="1">
      <c r="A58" s="119" t="s">
        <v>295</v>
      </c>
      <c r="B58" s="131" t="s">
        <v>296</v>
      </c>
      <c r="C58" s="120" t="s">
        <v>270</v>
      </c>
      <c r="D58" s="132">
        <f>sum('Transportation and Industrial G'!B$33)*10^9*'Assumptions (O&amp;G Upstream)'!C$309/'Assumptions (O&amp;G Upstream)'!C$319/10^9*'Inflation GDP Population'!$S$18/'Inflation GDP Population'!B$18</f>
        <v>0.9304614307</v>
      </c>
      <c r="E58" s="132">
        <f>sum('Transportation and Industrial G'!C$33)*10^9*'Assumptions (O&amp;G Upstream)'!D$309/'Assumptions (O&amp;G Upstream)'!D$319/10^9*'Inflation GDP Population'!$S$18/'Inflation GDP Population'!C$18</f>
        <v>0.6979733005</v>
      </c>
      <c r="F58" s="132">
        <f>sum('Transportation and Industrial G'!D$33)*10^9*'Assumptions (O&amp;G Upstream)'!E$309/'Assumptions (O&amp;G Upstream)'!E$319/10^9*'Inflation GDP Population'!$S$18/'Inflation GDP Population'!D$18</f>
        <v>0.6086646528</v>
      </c>
      <c r="G58" s="132">
        <f>sum('Transportation and Industrial G'!E$33)*10^9*'Assumptions (O&amp;G Upstream)'!F$309/'Assumptions (O&amp;G Upstream)'!F$319/10^9*'Inflation GDP Population'!$S$18/'Inflation GDP Population'!E$18</f>
        <v>0.7332059349</v>
      </c>
      <c r="H58" s="132">
        <f>sum('Transportation and Industrial G'!F$33)*10^9*'Assumptions (O&amp;G Upstream)'!G$309/'Assumptions (O&amp;G Upstream)'!G$319/10^9*'Inflation GDP Population'!$S$18/'Inflation GDP Population'!F$18</f>
        <v>0.9777615072</v>
      </c>
      <c r="I58" s="132">
        <f>sum('Transportation and Industrial G'!G$33)*10^9*'Assumptions (O&amp;G Upstream)'!H$309/'Assumptions (O&amp;G Upstream)'!H$319/10^9*'Inflation GDP Population'!$S$18/'Inflation GDP Population'!G$18</f>
        <v>1.109182234</v>
      </c>
      <c r="J58" s="132">
        <f>sum('Transportation and Industrial G'!H$33)*10^9*'Assumptions (O&amp;G Upstream)'!I$309/'Assumptions (O&amp;G Upstream)'!I$319/10^9*'Inflation GDP Population'!$S$18/'Inflation GDP Population'!H$18</f>
        <v>1.093902608</v>
      </c>
      <c r="K58" s="132">
        <f>sum('Transportation and Industrial G'!I$33)*10^9*'Assumptions (O&amp;G Upstream)'!J$309/'Assumptions (O&amp;G Upstream)'!J$319/10^9*'Inflation GDP Population'!$S$18/'Inflation GDP Population'!I$18</f>
        <v>1.109584186</v>
      </c>
      <c r="L58" s="132">
        <f>sum('Transportation and Industrial G'!J$33)*10^9*'Assumptions (O&amp;G Upstream)'!K$309/'Assumptions (O&amp;G Upstream)'!K$319/10^9*'Inflation GDP Population'!$S$18/'Inflation GDP Population'!J$18</f>
        <v>1.573835294</v>
      </c>
      <c r="M58" s="132">
        <f>sum('Transportation and Industrial G'!K$33)*10^9*'Assumptions (O&amp;G Upstream)'!L$309/'Assumptions (O&amp;G Upstream)'!L$319/10^9*'Inflation GDP Population'!$S$18/'Inflation GDP Population'!K$18</f>
        <v>0.9456795415</v>
      </c>
      <c r="N58" s="132">
        <f>sum('Transportation and Industrial G'!L$33)*10^9*'Assumptions (O&amp;G Upstream)'!M$309/'Assumptions (O&amp;G Upstream)'!M$319/10^9*'Inflation GDP Population'!$S$18/'Inflation GDP Population'!L$18</f>
        <v>1.322063095</v>
      </c>
      <c r="O58" s="132">
        <f>sum('Transportation and Industrial G'!M$33)*10^9*'Assumptions (O&amp;G Upstream)'!N$309/'Assumptions (O&amp;G Upstream)'!N$319/10^9*'Inflation GDP Population'!$S$18/'Inflation GDP Population'!M$18</f>
        <v>1.159145416</v>
      </c>
      <c r="P58" s="132">
        <f>sum('Transportation and Industrial G'!N$33)*10^9*'Assumptions (O&amp;G Upstream)'!O$309/'Assumptions (O&amp;G Upstream)'!O$319/10^9*'Inflation GDP Population'!$S$18/'Inflation GDP Population'!N$18</f>
        <v>0.870999833</v>
      </c>
      <c r="Q58" s="132">
        <f>sum('Transportation and Industrial G'!O$33)*10^9*'Assumptions (O&amp;G Upstream)'!P$309/'Assumptions (O&amp;G Upstream)'!P$319/10^9*'Inflation GDP Population'!$S$18/'Inflation GDP Population'!O$18</f>
        <v>0.9044432398</v>
      </c>
      <c r="R58" s="132">
        <f>sum('Transportation and Industrial G'!P$33)*10^9*'Assumptions (O&amp;G Upstream)'!Q$309/'Assumptions (O&amp;G Upstream)'!Q$319/10^9*'Inflation GDP Population'!$S$18/'Inflation GDP Population'!P$18</f>
        <v>0.9895499863</v>
      </c>
      <c r="S58" s="132">
        <f>sum('Transportation and Industrial G'!Q$33)*10^9*'Assumptions (O&amp;G Upstream)'!R$309/'Assumptions (O&amp;G Upstream)'!R$319/10^9*'Inflation GDP Population'!$S$18/'Inflation GDP Population'!Q$18</f>
        <v>0.5118326308</v>
      </c>
      <c r="T58" s="132">
        <f>sum('Transportation and Industrial G'!R$33)*10^9*'Assumptions (O&amp;G Upstream)'!S$309/'Assumptions (O&amp;G Upstream)'!S$319/10^9*'Inflation GDP Population'!$S$18/'Inflation GDP Population'!R$18</f>
        <v>0.4080334659</v>
      </c>
      <c r="U58" s="132">
        <f>sum('Transportation and Industrial G'!S$33)*10^9*'Assumptions (O&amp;G Upstream)'!T$309/'Assumptions (O&amp;G Upstream)'!T$319/10^9*'Inflation GDP Population'!$S$18/'Inflation GDP Population'!S$18</f>
        <v>0.4103719575</v>
      </c>
      <c r="V58" s="132">
        <f>sum('Transportation and Industrial G'!T$33)*10^9*'Assumptions (O&amp;G Upstream)'!U$309/'Assumptions (O&amp;G Upstream)'!U$319/10^9*'Inflation GDP Population'!$S$18/'Inflation GDP Population'!T$18</f>
        <v>0.5088378484</v>
      </c>
      <c r="W58" s="132">
        <f>sum('Transportation and Industrial G'!U$33)*10^9*'Assumptions (O&amp;G Upstream)'!V$309/'Assumptions (O&amp;G Upstream)'!V$319/10^9*'Inflation GDP Population'!$S$18/'Inflation GDP Population'!U$18</f>
        <v>0.5311686701</v>
      </c>
      <c r="X58" s="132">
        <f>sum('Transportation and Industrial G'!V$33)*10^9*'Assumptions (O&amp;G Upstream)'!W$309/'Assumptions (O&amp;G Upstream)'!W$319/10^9*'Inflation GDP Population'!$S$18/'Inflation GDP Population'!V$18</f>
        <v>0.5456095002</v>
      </c>
      <c r="Y58" s="132">
        <f>sum('Transportation and Industrial G'!W$33)*10^9*'Assumptions (O&amp;G Upstream)'!X$309/'Assumptions (O&amp;G Upstream)'!X$319/10^9*'Inflation GDP Population'!$S$18/'Inflation GDP Population'!W$18</f>
        <v>0.5569018589</v>
      </c>
      <c r="Z58" s="132">
        <f>sum('Transportation and Industrial G'!X$33)*10^9*'Assumptions (O&amp;G Upstream)'!Y$309/'Assumptions (O&amp;G Upstream)'!Y$319/10^9*'Inflation GDP Population'!$S$18/'Inflation GDP Population'!X$18</f>
        <v>0.5501054589</v>
      </c>
      <c r="AA58" s="132">
        <f>sum('Transportation and Industrial G'!Y$33)*10^9*'Assumptions (O&amp;G Upstream)'!Z$309/'Assumptions (O&amp;G Upstream)'!Z$319/10^9*'Inflation GDP Population'!$S$18/'Inflation GDP Population'!Y$18</f>
        <v>0.5607550969</v>
      </c>
      <c r="AB58" s="132">
        <f>sum('Transportation and Industrial G'!Z$33)*10^9*'Assumptions (O&amp;G Upstream)'!AA$309/'Assumptions (O&amp;G Upstream)'!AA$319/10^9*'Inflation GDP Population'!$S$18/'Inflation GDP Population'!Z$18</f>
        <v>0.5825615382</v>
      </c>
      <c r="AC58" s="132">
        <f>sum('Transportation and Industrial G'!AA$33)*10^9*'Assumptions (O&amp;G Upstream)'!AB$309/'Assumptions (O&amp;G Upstream)'!AB$319/10^9*'Inflation GDP Population'!$S$18/'Inflation GDP Population'!AA$18</f>
        <v>0.6006421212</v>
      </c>
      <c r="AD58" s="132">
        <f>sum('Transportation and Industrial G'!AB$33)*10^9*'Assumptions (O&amp;G Upstream)'!AC$309/'Assumptions (O&amp;G Upstream)'!AC$319/10^9*'Inflation GDP Population'!$S$18/'Inflation GDP Population'!AB$18</f>
        <v>0.6138801706</v>
      </c>
      <c r="AE58" s="132">
        <f>sum('Transportation and Industrial G'!AC$33)*10^9*'Assumptions (O&amp;G Upstream)'!AD$309/'Assumptions (O&amp;G Upstream)'!AD$319/10^9*'Inflation GDP Population'!$S$18/'Inflation GDP Population'!AC$18</f>
        <v>0.6282626839</v>
      </c>
      <c r="AF58" s="132">
        <f>sum('Transportation and Industrial G'!AD$33)*10^9*'Assumptions (O&amp;G Upstream)'!AE$309/'Assumptions (O&amp;G Upstream)'!AE$319/10^9*'Inflation GDP Population'!$S$18/'Inflation GDP Population'!AD$18</f>
        <v>0.6378164795</v>
      </c>
      <c r="AG58" s="132">
        <f>sum('Transportation and Industrial G'!AE$33)*10^9*'Assumptions (O&amp;G Upstream)'!AF$309/'Assumptions (O&amp;G Upstream)'!AF$319/10^9*'Inflation GDP Population'!$S$18/'Inflation GDP Population'!AE$18</f>
        <v>0.6485399569</v>
      </c>
      <c r="AH58" s="132">
        <f>sum('Transportation and Industrial G'!AF$33)*10^9*'Assumptions (O&amp;G Upstream)'!AG$309/'Assumptions (O&amp;G Upstream)'!AG$319/10^9*'Inflation GDP Population'!$S$18/'Inflation GDP Population'!AF$18</f>
        <v>0.6547253506</v>
      </c>
      <c r="AI58" s="132">
        <f>sum('Transportation and Industrial G'!AG$33)*10^9*'Assumptions (O&amp;G Upstream)'!AH$309/'Assumptions (O&amp;G Upstream)'!AH$319/10^9*'Inflation GDP Population'!$S$18/'Inflation GDP Population'!AG$18</f>
        <v>0.6642635495</v>
      </c>
      <c r="AJ58" s="132">
        <f>sum('Transportation and Industrial G'!AH$33)*10^9*'Assumptions (O&amp;G Upstream)'!AI$309/'Assumptions (O&amp;G Upstream)'!AI$319/10^9*'Inflation GDP Population'!$S$18/'Inflation GDP Population'!AH$18</f>
        <v>0.6683277631</v>
      </c>
      <c r="AK58" s="132">
        <f>sum('Transportation and Industrial G'!AI$33)*10^9*'Assumptions (O&amp;G Upstream)'!AJ$309/'Assumptions (O&amp;G Upstream)'!AJ$319/10^9*'Inflation GDP Population'!$S$18/'Inflation GDP Population'!AI$18</f>
        <v>0.6837912362</v>
      </c>
      <c r="AL58" s="132">
        <f>sum('Transportation and Industrial G'!AJ$33)*10^9*'Assumptions (O&amp;G Upstream)'!AK$309/'Assumptions (O&amp;G Upstream)'!AK$319/10^9*'Inflation GDP Population'!$S$18/'Inflation GDP Population'!AJ$18</f>
        <v>0.6839045735</v>
      </c>
      <c r="AM58" s="132">
        <f>sum('Transportation and Industrial G'!AK$33)*10^9*'Assumptions (O&amp;G Upstream)'!AL$309/'Assumptions (O&amp;G Upstream)'!AL$319/10^9*'Inflation GDP Population'!$S$18/'Inflation GDP Population'!AK$18</f>
        <v>0.6907740101</v>
      </c>
      <c r="AN58" s="132">
        <f>sum('Transportation and Industrial G'!AL$33)*10^9*'Assumptions (O&amp;G Upstream)'!AM$309/'Assumptions (O&amp;G Upstream)'!AM$319/10^9*'Inflation GDP Population'!$S$18/'Inflation GDP Population'!AL$18</f>
        <v>0.7003648159</v>
      </c>
      <c r="AO58" s="132">
        <f>sum('Transportation and Industrial G'!AM$33)*10^9*'Assumptions (O&amp;G Upstream)'!AN$309/'Assumptions (O&amp;G Upstream)'!AN$319/10^9*'Inflation GDP Population'!$S$18/'Inflation GDP Population'!AM$18</f>
        <v>0.693646894</v>
      </c>
      <c r="AP58" s="132">
        <f>sum('Transportation and Industrial G'!AN$33)*10^9*'Assumptions (O&amp;G Upstream)'!AO$309/'Assumptions (O&amp;G Upstream)'!AO$319/10^9*'Inflation GDP Population'!$S$18/'Inflation GDP Population'!AN$18</f>
        <v>0.6976738878</v>
      </c>
      <c r="AQ58" s="132">
        <f>sum('Transportation and Industrial G'!AO$33)*10^9*'Assumptions (O&amp;G Upstream)'!AP$309/'Assumptions (O&amp;G Upstream)'!AP$319/10^9*'Inflation GDP Population'!$S$18/'Inflation GDP Population'!AO$18</f>
        <v>0.6985967455</v>
      </c>
      <c r="AR58" s="132">
        <f>sum('Transportation and Industrial G'!AP$33)*10^9*'Assumptions (O&amp;G Upstream)'!AQ$309/'Assumptions (O&amp;G Upstream)'!AQ$319/10^9*'Inflation GDP Population'!$S$18/'Inflation GDP Population'!AP$18</f>
        <v>0.7044317876</v>
      </c>
      <c r="AS58" s="132">
        <f>sum('Transportation and Industrial G'!AQ$33)*10^9*'Assumptions (O&amp;G Upstream)'!AR$309/'Assumptions (O&amp;G Upstream)'!AR$319/10^9*'Inflation GDP Population'!$S$18/'Inflation GDP Population'!AQ$18</f>
        <v>0.7042925584</v>
      </c>
      <c r="AT58" s="132">
        <f>sum('Transportation and Industrial G'!AR$33)*10^9*'Assumptions (O&amp;G Upstream)'!AS$309/'Assumptions (O&amp;G Upstream)'!AS$319/10^9*'Inflation GDP Population'!$S$18/'Inflation GDP Population'!AR$18</f>
        <v>0.7093970162</v>
      </c>
      <c r="AU58" s="132">
        <f>sum('Transportation and Industrial G'!AS$33)*10^9*'Assumptions (O&amp;G Upstream)'!AT$309/'Assumptions (O&amp;G Upstream)'!AT$319/10^9*'Inflation GDP Population'!$S$18/'Inflation GDP Population'!AS$18</f>
        <v>0.7071366366</v>
      </c>
      <c r="AV58" s="132">
        <f>sum('Transportation and Industrial G'!AT$33)*10^9*'Assumptions (O&amp;G Upstream)'!AU$309/'Assumptions (O&amp;G Upstream)'!AU$319/10^9*'Inflation GDP Population'!$S$18/'Inflation GDP Population'!AT$18</f>
        <v>0.7067339129</v>
      </c>
      <c r="AW58" s="132">
        <f>sum('Transportation and Industrial G'!AU$33)*10^9*'Assumptions (O&amp;G Upstream)'!AV$309/'Assumptions (O&amp;G Upstream)'!AV$319/10^9*'Inflation GDP Population'!$S$18/'Inflation GDP Population'!AU$18</f>
        <v>0.7064097969</v>
      </c>
      <c r="AX58" s="132">
        <f>sum('Transportation and Industrial G'!AV$33)*10^9*'Assumptions (O&amp;G Upstream)'!AW$309/'Assumptions (O&amp;G Upstream)'!AW$319/10^9*'Inflation GDP Population'!$S$18/'Inflation GDP Population'!AV$18</f>
        <v>0.7047615728</v>
      </c>
      <c r="AY58" s="132">
        <f>sum('Transportation and Industrial G'!AW$33)*10^9*'Assumptions (O&amp;G Upstream)'!AX$309/'Assumptions (O&amp;G Upstream)'!AX$319/10^9*'Inflation GDP Population'!$S$18/'Inflation GDP Population'!AW$18</f>
        <v>0.7028450295</v>
      </c>
      <c r="AZ58" s="132">
        <f>sum('Transportation and Industrial G'!AX$33)*10^9*'Assumptions (O&amp;G Upstream)'!AY$309/'Assumptions (O&amp;G Upstream)'!AY$319/10^9*'Inflation GDP Population'!$S$18/'Inflation GDP Population'!AX$18</f>
        <v>0.7010590468</v>
      </c>
      <c r="BA58" s="132">
        <f>sum('Transportation and Industrial G'!AY$33)*10^9*'Assumptions (O&amp;G Upstream)'!AZ$309/'Assumptions (O&amp;G Upstream)'!AZ$319/10^9*'Inflation GDP Population'!$S$18/'Inflation GDP Population'!AY$18</f>
        <v>0.6977937158</v>
      </c>
      <c r="BB58" s="132">
        <f>sum('Transportation and Industrial G'!AZ$33)*10^9*'Assumptions (O&amp;G Upstream)'!BA$309/'Assumptions (O&amp;G Upstream)'!BA$319/10^9*'Inflation GDP Population'!$S$18/'Inflation GDP Population'!AZ$18</f>
        <v>0.6940316063</v>
      </c>
    </row>
    <row r="59" ht="15.75" customHeight="1">
      <c r="A59" s="119" t="s">
        <v>297</v>
      </c>
      <c r="B59" s="131" t="s">
        <v>298</v>
      </c>
      <c r="C59" s="120" t="s">
        <v>270</v>
      </c>
      <c r="D59" s="132">
        <f>sum('Assumptions (NG non-electricity'!B$7)*10^15*'Assumptions (O&amp;G Upstream)'!C$312/'Assumptions (O&amp;G Upstream)'!C$320/10^9/10^3*'Inflation GDP Population'!$S$18/'Inflation GDP Population'!B$18</f>
        <v>5.017867598</v>
      </c>
      <c r="E59" s="132">
        <f>sum('Assumptions (NG non-electricity'!C$7)*10^15*'Assumptions (O&amp;G Upstream)'!D$312/'Assumptions (O&amp;G Upstream)'!D$320/10^9/10^3*'Inflation GDP Population'!$S$18/'Inflation GDP Population'!C$18</f>
        <v>3.748058145</v>
      </c>
      <c r="F59" s="132">
        <f>sum('Assumptions (NG non-electricity'!D$7)*10^15*'Assumptions (O&amp;G Upstream)'!E$312/'Assumptions (O&amp;G Upstream)'!E$320/10^9/10^3*'Inflation GDP Population'!$S$18/'Inflation GDP Population'!D$18</f>
        <v>3.32883166</v>
      </c>
      <c r="G59" s="132">
        <f>sum('Assumptions (NG non-electricity'!E$7)*10^15*'Assumptions (O&amp;G Upstream)'!F$312/'Assumptions (O&amp;G Upstream)'!F$320/10^9/10^3*'Inflation GDP Population'!$S$18/'Inflation GDP Population'!E$18</f>
        <v>5.073183878</v>
      </c>
      <c r="H59" s="132">
        <f>sum('Assumptions (NG non-electricity'!F$7)*10^15*'Assumptions (O&amp;G Upstream)'!G$312/'Assumptions (O&amp;G Upstream)'!G$320/10^9/10^3*'Inflation GDP Population'!$S$18/'Inflation GDP Population'!F$18</f>
        <v>5.362565726</v>
      </c>
      <c r="I59" s="132">
        <f>sum('Assumptions (NG non-electricity'!G$7)*10^15*'Assumptions (O&amp;G Upstream)'!H$312/'Assumptions (O&amp;G Upstream)'!H$320/10^9/10^3*'Inflation GDP Population'!$S$18/'Inflation GDP Population'!G$18</f>
        <v>7.296224506</v>
      </c>
      <c r="J59" s="132">
        <f>sum('Assumptions (NG non-electricity'!H$7)*10^15*'Assumptions (O&amp;G Upstream)'!I$312/'Assumptions (O&amp;G Upstream)'!I$320/10^9/10^3*'Inflation GDP Population'!$S$18/'Inflation GDP Population'!H$18</f>
        <v>5.574174864</v>
      </c>
      <c r="K59" s="132">
        <f>sum('Assumptions (NG non-electricity'!I$7)*10^15*'Assumptions (O&amp;G Upstream)'!J$312/'Assumptions (O&amp;G Upstream)'!J$320/10^9/10^3*'Inflation GDP Population'!$S$18/'Inflation GDP Population'!I$18</f>
        <v>5.612616602</v>
      </c>
      <c r="L59" s="132">
        <f>sum('Assumptions (NG non-electricity'!J$7)*10^15*'Assumptions (O&amp;G Upstream)'!K$312/'Assumptions (O&amp;G Upstream)'!K$320/10^9/10^3*'Inflation GDP Population'!$S$18/'Inflation GDP Population'!J$18</f>
        <v>6.885937906</v>
      </c>
      <c r="M59" s="132">
        <f>sum('Assumptions (NG non-electricity'!K$7)*10^15*'Assumptions (O&amp;G Upstream)'!L$312/'Assumptions (O&amp;G Upstream)'!L$320/10^9/10^3*'Inflation GDP Population'!$S$18/'Inflation GDP Population'!K$18</f>
        <v>2.811623241</v>
      </c>
      <c r="N59" s="132">
        <f>sum('Assumptions (NG non-electricity'!L$7)*10^15*'Assumptions (O&amp;G Upstream)'!M$312/'Assumptions (O&amp;G Upstream)'!M$320/10^9/10^3*'Inflation GDP Population'!$S$18/'Inflation GDP Population'!L$18</f>
        <v>3.398567073</v>
      </c>
      <c r="O59" s="132">
        <f>sum('Assumptions (NG non-electricity'!M$7)*10^15*'Assumptions (O&amp;G Upstream)'!N$312/'Assumptions (O&amp;G Upstream)'!N$320/10^9/10^3*'Inflation GDP Population'!$S$18/'Inflation GDP Population'!M$18</f>
        <v>3.124558759</v>
      </c>
      <c r="P59" s="132">
        <f>sum('Assumptions (NG non-electricity'!N$7)*10^15*'Assumptions (O&amp;G Upstream)'!O$312/'Assumptions (O&amp;G Upstream)'!O$320/10^9/10^3*'Inflation GDP Population'!$S$18/'Inflation GDP Population'!N$18</f>
        <v>2.184402036</v>
      </c>
      <c r="Q59" s="132">
        <f>sum('Assumptions (NG non-electricity'!O$7)*10^15*'Assumptions (O&amp;G Upstream)'!P$312/'Assumptions (O&amp;G Upstream)'!P$320/10^9/10^3*'Inflation GDP Population'!$S$18/'Inflation GDP Population'!O$18</f>
        <v>3.044672587</v>
      </c>
      <c r="R59" s="132">
        <f>sum('Assumptions (NG non-electricity'!P$7)*10^15*'Assumptions (O&amp;G Upstream)'!Q$312/'Assumptions (O&amp;G Upstream)'!Q$320/10^9/10^3*'Inflation GDP Population'!$S$18/'Inflation GDP Population'!P$18</f>
        <v>3.573351893</v>
      </c>
      <c r="S59" s="132">
        <f>sum('Assumptions (NG non-electricity'!Q$7)*10^15*'Assumptions (O&amp;G Upstream)'!R$312/'Assumptions (O&amp;G Upstream)'!R$320/10^9/10^3*'Inflation GDP Population'!$S$18/'Inflation GDP Population'!Q$18</f>
        <v>2.121173022</v>
      </c>
      <c r="T59" s="132">
        <f>sum('Assumptions (NG non-electricity'!R$7)*10^15*'Assumptions (O&amp;G Upstream)'!S$312/'Assumptions (O&amp;G Upstream)'!S$320/10^9/10^3*'Inflation GDP Population'!$S$18/'Inflation GDP Population'!R$18</f>
        <v>2.032022799</v>
      </c>
      <c r="U59" s="132">
        <f>sum('Assumptions (NG non-electricity'!S$7)*10^15*'Assumptions (O&amp;G Upstream)'!T$312/'Assumptions (O&amp;G Upstream)'!T$320/10^9/10^3*'Inflation GDP Population'!$S$18/'Inflation GDP Population'!S$18</f>
        <v>2.459967664</v>
      </c>
      <c r="V59" s="132">
        <f>sum('Assumptions (NG non-electricity'!T$7)*10^15*'Assumptions (O&amp;G Upstream)'!U$312/'Assumptions (O&amp;G Upstream)'!U$320/10^9/10^3*'Inflation GDP Population'!$S$18/'Inflation GDP Population'!T$18</f>
        <v>2.567637239</v>
      </c>
      <c r="W59" s="132">
        <f>sum('Assumptions (NG non-electricity'!U$7)*10^15*'Assumptions (O&amp;G Upstream)'!V$312/'Assumptions (O&amp;G Upstream)'!V$320/10^9/10^3*'Inflation GDP Population'!$S$18/'Inflation GDP Population'!U$18</f>
        <v>2.48194376</v>
      </c>
      <c r="X59" s="132">
        <f>sum('Assumptions (NG non-electricity'!V$7)*10^15*'Assumptions (O&amp;G Upstream)'!W$312/'Assumptions (O&amp;G Upstream)'!W$320/10^9/10^3*'Inflation GDP Population'!$S$18/'Inflation GDP Population'!V$18</f>
        <v>2.570697543</v>
      </c>
      <c r="Y59" s="132">
        <f>sum('Assumptions (NG non-electricity'!W$7)*10^15*'Assumptions (O&amp;G Upstream)'!X$312/'Assumptions (O&amp;G Upstream)'!X$320/10^9/10^3*'Inflation GDP Population'!$S$18/'Inflation GDP Population'!W$18</f>
        <v>2.53902409</v>
      </c>
      <c r="Z59" s="132">
        <f>sum('Assumptions (NG non-electricity'!X$7)*10^15*'Assumptions (O&amp;G Upstream)'!Y$312/'Assumptions (O&amp;G Upstream)'!Y$320/10^9/10^3*'Inflation GDP Population'!$S$18/'Inflation GDP Population'!X$18</f>
        <v>2.57713897</v>
      </c>
      <c r="AA59" s="132">
        <f>sum('Assumptions (NG non-electricity'!Y$7)*10^15*'Assumptions (O&amp;G Upstream)'!Z$312/'Assumptions (O&amp;G Upstream)'!Z$320/10^9/10^3*'Inflation GDP Population'!$S$18/'Inflation GDP Population'!Y$18</f>
        <v>2.722293116</v>
      </c>
      <c r="AB59" s="132">
        <f>sum('Assumptions (NG non-electricity'!Z$7)*10^15*'Assumptions (O&amp;G Upstream)'!AA$312/'Assumptions (O&amp;G Upstream)'!AA$320/10^9/10^3*'Inflation GDP Population'!$S$18/'Inflation GDP Population'!Z$18</f>
        <v>2.909412453</v>
      </c>
      <c r="AC59" s="132">
        <f>sum('Assumptions (NG non-electricity'!AA$7)*10^15*'Assumptions (O&amp;G Upstream)'!AB$312/'Assumptions (O&amp;G Upstream)'!AB$320/10^9/10^3*'Inflation GDP Population'!$S$18/'Inflation GDP Population'!AA$18</f>
        <v>3.1458237</v>
      </c>
      <c r="AD59" s="132">
        <f>sum('Assumptions (NG non-electricity'!AB$7)*10^15*'Assumptions (O&amp;G Upstream)'!AC$312/'Assumptions (O&amp;G Upstream)'!AC$320/10^9/10^3*'Inflation GDP Population'!$S$18/'Inflation GDP Population'!AB$18</f>
        <v>3.245498473</v>
      </c>
      <c r="AE59" s="132">
        <f>sum('Assumptions (NG non-electricity'!AC$7)*10^15*'Assumptions (O&amp;G Upstream)'!AD$312/'Assumptions (O&amp;G Upstream)'!AD$320/10^9/10^3*'Inflation GDP Population'!$S$18/'Inflation GDP Population'!AC$18</f>
        <v>3.30302607</v>
      </c>
      <c r="AF59" s="132">
        <f>sum('Assumptions (NG non-electricity'!AD$7)*10^15*'Assumptions (O&amp;G Upstream)'!AE$312/'Assumptions (O&amp;G Upstream)'!AE$320/10^9/10^3*'Inflation GDP Population'!$S$18/'Inflation GDP Population'!AD$18</f>
        <v>3.411209135</v>
      </c>
      <c r="AG59" s="132">
        <f>sum('Assumptions (NG non-electricity'!AE$7)*10^15*'Assumptions (O&amp;G Upstream)'!AF$312/'Assumptions (O&amp;G Upstream)'!AF$320/10^9/10^3*'Inflation GDP Population'!$S$18/'Inflation GDP Population'!AE$18</f>
        <v>3.462723172</v>
      </c>
      <c r="AH59" s="132">
        <f>sum('Assumptions (NG non-electricity'!AF$7)*10^15*'Assumptions (O&amp;G Upstream)'!AG$312/'Assumptions (O&amp;G Upstream)'!AG$320/10^9/10^3*'Inflation GDP Population'!$S$18/'Inflation GDP Population'!AF$18</f>
        <v>3.531426446</v>
      </c>
      <c r="AI59" s="132">
        <f>sum('Assumptions (NG non-electricity'!AG$7)*10^15*'Assumptions (O&amp;G Upstream)'!AH$312/'Assumptions (O&amp;G Upstream)'!AH$320/10^9/10^3*'Inflation GDP Population'!$S$18/'Inflation GDP Population'!AG$18</f>
        <v>3.551471914</v>
      </c>
      <c r="AJ59" s="132">
        <f>sum('Assumptions (NG non-electricity'!AH$7)*10^15*'Assumptions (O&amp;G Upstream)'!AI$312/'Assumptions (O&amp;G Upstream)'!AI$320/10^9/10^3*'Inflation GDP Population'!$S$18/'Inflation GDP Population'!AH$18</f>
        <v>3.713647327</v>
      </c>
      <c r="AK59" s="132">
        <f>sum('Assumptions (NG non-electricity'!AI$7)*10^15*'Assumptions (O&amp;G Upstream)'!AJ$312/'Assumptions (O&amp;G Upstream)'!AJ$320/10^9/10^3*'Inflation GDP Population'!$S$18/'Inflation GDP Population'!AI$18</f>
        <v>3.806895668</v>
      </c>
      <c r="AL59" s="132">
        <f>sum('Assumptions (NG non-electricity'!AJ$7)*10^15*'Assumptions (O&amp;G Upstream)'!AK$312/'Assumptions (O&amp;G Upstream)'!AK$320/10^9/10^3*'Inflation GDP Population'!$S$18/'Inflation GDP Population'!AJ$18</f>
        <v>3.88580106</v>
      </c>
      <c r="AM59" s="132">
        <f>sum('Assumptions (NG non-electricity'!AK$7)*10^15*'Assumptions (O&amp;G Upstream)'!AL$312/'Assumptions (O&amp;G Upstream)'!AL$320/10^9/10^3*'Inflation GDP Population'!$S$18/'Inflation GDP Population'!AK$18</f>
        <v>3.965256789</v>
      </c>
      <c r="AN59" s="132">
        <f>sum('Assumptions (NG non-electricity'!AL$7)*10^15*'Assumptions (O&amp;G Upstream)'!AM$312/'Assumptions (O&amp;G Upstream)'!AM$320/10^9/10^3*'Inflation GDP Population'!$S$18/'Inflation GDP Population'!AL$18</f>
        <v>4.081758455</v>
      </c>
      <c r="AO59" s="132">
        <f>sum('Assumptions (NG non-electricity'!AM$7)*10^15*'Assumptions (O&amp;G Upstream)'!AN$312/'Assumptions (O&amp;G Upstream)'!AN$320/10^9/10^3*'Inflation GDP Population'!$S$18/'Inflation GDP Population'!AM$18</f>
        <v>4.143124784</v>
      </c>
      <c r="AP59" s="132">
        <f>sum('Assumptions (NG non-electricity'!AN$7)*10^15*'Assumptions (O&amp;G Upstream)'!AO$312/'Assumptions (O&amp;G Upstream)'!AO$320/10^9/10^3*'Inflation GDP Population'!$S$18/'Inflation GDP Population'!AN$18</f>
        <v>4.194926879</v>
      </c>
      <c r="AQ59" s="132">
        <f>sum('Assumptions (NG non-electricity'!AO$7)*10^15*'Assumptions (O&amp;G Upstream)'!AP$312/'Assumptions (O&amp;G Upstream)'!AP$320/10^9/10^3*'Inflation GDP Population'!$S$18/'Inflation GDP Population'!AO$18</f>
        <v>4.259380587</v>
      </c>
      <c r="AR59" s="132">
        <f>sum('Assumptions (NG non-electricity'!AP$7)*10^15*'Assumptions (O&amp;G Upstream)'!AQ$312/'Assumptions (O&amp;G Upstream)'!AQ$320/10^9/10^3*'Inflation GDP Population'!$S$18/'Inflation GDP Population'!AP$18</f>
        <v>4.36407482</v>
      </c>
      <c r="AS59" s="132">
        <f>sum('Assumptions (NG non-electricity'!AQ$7)*10^15*'Assumptions (O&amp;G Upstream)'!AR$312/'Assumptions (O&amp;G Upstream)'!AR$320/10^9/10^3*'Inflation GDP Population'!$S$18/'Inflation GDP Population'!AQ$18</f>
        <v>4.3960485</v>
      </c>
      <c r="AT59" s="132">
        <f>sum('Assumptions (NG non-electricity'!AR$7)*10^15*'Assumptions (O&amp;G Upstream)'!AS$312/'Assumptions (O&amp;G Upstream)'!AS$320/10^9/10^3*'Inflation GDP Population'!$S$18/'Inflation GDP Population'!AR$18</f>
        <v>4.485729998</v>
      </c>
      <c r="AU59" s="132">
        <f>sum('Assumptions (NG non-electricity'!AS$7)*10^15*'Assumptions (O&amp;G Upstream)'!AT$312/'Assumptions (O&amp;G Upstream)'!AT$320/10^9/10^3*'Inflation GDP Population'!$S$18/'Inflation GDP Population'!AS$18</f>
        <v>4.59802966</v>
      </c>
      <c r="AV59" s="132">
        <f>sum('Assumptions (NG non-electricity'!AT$7)*10^15*'Assumptions (O&amp;G Upstream)'!AU$312/'Assumptions (O&amp;G Upstream)'!AU$320/10^9/10^3*'Inflation GDP Population'!$S$18/'Inflation GDP Population'!AT$18</f>
        <v>4.733045881</v>
      </c>
      <c r="AW59" s="132">
        <f>sum('Assumptions (NG non-electricity'!AU$7)*10^15*'Assumptions (O&amp;G Upstream)'!AV$312/'Assumptions (O&amp;G Upstream)'!AV$320/10^9/10^3*'Inflation GDP Population'!$S$18/'Inflation GDP Population'!AU$18</f>
        <v>4.86366185</v>
      </c>
      <c r="AX59" s="132">
        <f>sum('Assumptions (NG non-electricity'!AV$7)*10^15*'Assumptions (O&amp;G Upstream)'!AW$312/'Assumptions (O&amp;G Upstream)'!AW$320/10^9/10^3*'Inflation GDP Population'!$S$18/'Inflation GDP Population'!AV$18</f>
        <v>4.97269543</v>
      </c>
      <c r="AY59" s="132">
        <f>sum('Assumptions (NG non-electricity'!AW$7)*10^15*'Assumptions (O&amp;G Upstream)'!AX$312/'Assumptions (O&amp;G Upstream)'!AX$320/10^9/10^3*'Inflation GDP Population'!$S$18/'Inflation GDP Population'!AW$18</f>
        <v>5.103790858</v>
      </c>
      <c r="AZ59" s="132">
        <f>sum('Assumptions (NG non-electricity'!AX$7)*10^15*'Assumptions (O&amp;G Upstream)'!AY$312/'Assumptions (O&amp;G Upstream)'!AY$320/10^9/10^3*'Inflation GDP Population'!$S$18/'Inflation GDP Population'!AX$18</f>
        <v>5.30444822</v>
      </c>
      <c r="BA59" s="132">
        <f>sum('Assumptions (NG non-electricity'!AY$7)*10^15*'Assumptions (O&amp;G Upstream)'!AZ$312/'Assumptions (O&amp;G Upstream)'!AZ$320/10^9/10^3*'Inflation GDP Population'!$S$18/'Inflation GDP Population'!AY$18</f>
        <v>5.474613756</v>
      </c>
      <c r="BB59" s="132">
        <f>sum('Assumptions (NG non-electricity'!AZ$7)*10^15*'Assumptions (O&amp;G Upstream)'!BA$312/'Assumptions (O&amp;G Upstream)'!BA$320/10^9/10^3*'Inflation GDP Population'!$S$18/'Inflation GDP Population'!AZ$18</f>
        <v>5.631898388</v>
      </c>
    </row>
    <row r="60" ht="15.75" customHeight="1">
      <c r="A60" s="119" t="s">
        <v>299</v>
      </c>
      <c r="B60" s="131" t="s">
        <v>300</v>
      </c>
      <c r="C60" s="120" t="s">
        <v>270</v>
      </c>
      <c r="D60" s="132">
        <f>sum('Assumptions (NG non-electricity'!B$3)*10^15*'Assumptions (O&amp;G Upstream)'!C$312/'Assumptions (O&amp;G Upstream)'!C$320/10^9/10^3*'Inflation GDP Population'!$S$18/'Inflation GDP Population'!B$18</f>
        <v>1.345056603</v>
      </c>
      <c r="E60" s="132">
        <f>sum('Assumptions (NG non-electricity'!C$3)*10^15*'Assumptions (O&amp;G Upstream)'!D$312/'Assumptions (O&amp;G Upstream)'!D$320/10^9/10^3*'Inflation GDP Population'!$S$18/'Inflation GDP Population'!C$18</f>
        <v>1.136695537</v>
      </c>
      <c r="F60" s="132">
        <f>sum('Assumptions (NG non-electricity'!D$3)*10^15*'Assumptions (O&amp;G Upstream)'!E$312/'Assumptions (O&amp;G Upstream)'!E$320/10^9/10^3*'Inflation GDP Population'!$S$18/'Inflation GDP Population'!D$18</f>
        <v>0.9500888641</v>
      </c>
      <c r="G60" s="132">
        <f>sum('Assumptions (NG non-electricity'!E$3)*10^15*'Assumptions (O&amp;G Upstream)'!F$312/'Assumptions (O&amp;G Upstream)'!F$320/10^9/10^3*'Inflation GDP Population'!$S$18/'Inflation GDP Population'!E$18</f>
        <v>1.593688806</v>
      </c>
      <c r="H60" s="132">
        <f>sum('Assumptions (NG non-electricity'!F$3)*10^15*'Assumptions (O&amp;G Upstream)'!G$312/'Assumptions (O&amp;G Upstream)'!G$320/10^9/10^3*'Inflation GDP Population'!$S$18/'Inflation GDP Population'!F$18</f>
        <v>1.697375637</v>
      </c>
      <c r="I60" s="132">
        <f>sum('Assumptions (NG non-electricity'!G$3)*10^15*'Assumptions (O&amp;G Upstream)'!H$312/'Assumptions (O&amp;G Upstream)'!H$320/10^9/10^3*'Inflation GDP Population'!$S$18/'Inflation GDP Population'!G$18</f>
        <v>2.402972907</v>
      </c>
      <c r="J60" s="132">
        <f>sum('Assumptions (NG non-electricity'!H$3)*10^15*'Assumptions (O&amp;G Upstream)'!I$312/'Assumptions (O&amp;G Upstream)'!I$320/10^9/10^3*'Inflation GDP Population'!$S$18/'Inflation GDP Population'!H$18</f>
        <v>1.703740055</v>
      </c>
      <c r="K60" s="132">
        <f>sum('Assumptions (NG non-electricity'!I$3)*10^15*'Assumptions (O&amp;G Upstream)'!J$312/'Assumptions (O&amp;G Upstream)'!J$320/10^9/10^3*'Inflation GDP Population'!$S$18/'Inflation GDP Population'!I$18</f>
        <v>1.717005011</v>
      </c>
      <c r="L60" s="132">
        <f>sum('Assumptions (NG non-electricity'!J$3)*10^15*'Assumptions (O&amp;G Upstream)'!K$312/'Assumptions (O&amp;G Upstream)'!K$320/10^9/10^3*'Inflation GDP Population'!$S$18/'Inflation GDP Population'!J$18</f>
        <v>2.252588699</v>
      </c>
      <c r="M60" s="132">
        <f>sum('Assumptions (NG non-electricity'!K$3)*10^15*'Assumptions (O&amp;G Upstream)'!L$312/'Assumptions (O&amp;G Upstream)'!L$320/10^9/10^3*'Inflation GDP Population'!$S$18/'Inflation GDP Population'!K$18</f>
        <v>0.9942317499</v>
      </c>
      <c r="N60" s="132">
        <f>sum('Assumptions (NG non-electricity'!L$3)*10^15*'Assumptions (O&amp;G Upstream)'!M$312/'Assumptions (O&amp;G Upstream)'!M$320/10^9/10^3*'Inflation GDP Population'!$S$18/'Inflation GDP Population'!L$18</f>
        <v>1.197350979</v>
      </c>
      <c r="O60" s="132">
        <f>sum('Assumptions (NG non-electricity'!M$3)*10^15*'Assumptions (O&amp;G Upstream)'!N$312/'Assumptions (O&amp;G Upstream)'!N$320/10^9/10^3*'Inflation GDP Population'!$S$18/'Inflation GDP Population'!M$18</f>
        <v>0.9884507704</v>
      </c>
      <c r="P60" s="132">
        <f>sum('Assumptions (NG non-electricity'!N$3)*10^15*'Assumptions (O&amp;G Upstream)'!O$312/'Assumptions (O&amp;G Upstream)'!O$320/10^9/10^3*'Inflation GDP Population'!$S$18/'Inflation GDP Population'!N$18</f>
        <v>0.6073701811</v>
      </c>
      <c r="Q60" s="132">
        <f>sum('Assumptions (NG non-electricity'!O$3)*10^15*'Assumptions (O&amp;G Upstream)'!P$312/'Assumptions (O&amp;G Upstream)'!P$320/10^9/10^3*'Inflation GDP Population'!$S$18/'Inflation GDP Population'!O$18</f>
        <v>0.918726702</v>
      </c>
      <c r="R60" s="132">
        <f>sum('Assumptions (NG non-electricity'!P$3)*10^15*'Assumptions (O&amp;G Upstream)'!Q$312/'Assumptions (O&amp;G Upstream)'!Q$320/10^9/10^3*'Inflation GDP Population'!$S$18/'Inflation GDP Population'!P$18</f>
        <v>1.133903794</v>
      </c>
      <c r="S60" s="132">
        <f>sum('Assumptions (NG non-electricity'!Q$3)*10^15*'Assumptions (O&amp;G Upstream)'!R$312/'Assumptions (O&amp;G Upstream)'!R$320/10^9/10^3*'Inflation GDP Population'!$S$18/'Inflation GDP Population'!Q$18</f>
        <v>0.6178230663</v>
      </c>
      <c r="T60" s="132">
        <f>sum('Assumptions (NG non-electricity'!R$3)*10^15*'Assumptions (O&amp;G Upstream)'!S$312/'Assumptions (O&amp;G Upstream)'!S$320/10^9/10^3*'Inflation GDP Population'!$S$18/'Inflation GDP Population'!R$18</f>
        <v>0.5684402139</v>
      </c>
      <c r="U60" s="132">
        <f>sum('Assumptions (NG non-electricity'!S$3)*10^15*'Assumptions (O&amp;G Upstream)'!T$312/'Assumptions (O&amp;G Upstream)'!T$320/10^9/10^3*'Inflation GDP Population'!$S$18/'Inflation GDP Population'!S$18</f>
        <v>0.6423420463</v>
      </c>
      <c r="V60" s="132">
        <f>sum('Assumptions (NG non-electricity'!T$3)*10^15*'Assumptions (O&amp;G Upstream)'!U$312/'Assumptions (O&amp;G Upstream)'!U$320/10^9/10^3*'Inflation GDP Population'!$S$18/'Inflation GDP Population'!T$18</f>
        <v>0.6705772746</v>
      </c>
      <c r="W60" s="132">
        <f>sum('Assumptions (NG non-electricity'!U$3)*10^15*'Assumptions (O&amp;G Upstream)'!V$312/'Assumptions (O&amp;G Upstream)'!V$320/10^9/10^3*'Inflation GDP Population'!$S$18/'Inflation GDP Population'!U$18</f>
        <v>0.6483119051</v>
      </c>
      <c r="X60" s="132">
        <f>sum('Assumptions (NG non-electricity'!V$3)*10^15*'Assumptions (O&amp;G Upstream)'!W$312/'Assumptions (O&amp;G Upstream)'!W$320/10^9/10^3*'Inflation GDP Population'!$S$18/'Inflation GDP Population'!V$18</f>
        <v>0.6716123166</v>
      </c>
      <c r="Y60" s="132">
        <f>sum('Assumptions (NG non-electricity'!W$3)*10^15*'Assumptions (O&amp;G Upstream)'!X$312/'Assumptions (O&amp;G Upstream)'!X$320/10^9/10^3*'Inflation GDP Population'!$S$18/'Inflation GDP Population'!W$18</f>
        <v>0.6634509902</v>
      </c>
      <c r="Z60" s="132">
        <f>sum('Assumptions (NG non-electricity'!X$3)*10^15*'Assumptions (O&amp;G Upstream)'!Y$312/'Assumptions (O&amp;G Upstream)'!Y$320/10^9/10^3*'Inflation GDP Population'!$S$18/'Inflation GDP Population'!X$18</f>
        <v>0.6735238768</v>
      </c>
      <c r="AA60" s="132">
        <f>sum('Assumptions (NG non-electricity'!Y$3)*10^15*'Assumptions (O&amp;G Upstream)'!Z$312/'Assumptions (O&amp;G Upstream)'!Z$320/10^9/10^3*'Inflation GDP Population'!$S$18/'Inflation GDP Population'!Y$18</f>
        <v>0.7115771333</v>
      </c>
      <c r="AB60" s="132">
        <f>sum('Assumptions (NG non-electricity'!Z$3)*10^15*'Assumptions (O&amp;G Upstream)'!AA$312/'Assumptions (O&amp;G Upstream)'!AA$320/10^9/10^3*'Inflation GDP Population'!$S$18/'Inflation GDP Population'!Z$18</f>
        <v>0.7606119925</v>
      </c>
      <c r="AC60" s="132">
        <f>sum('Assumptions (NG non-electricity'!AA$3)*10^15*'Assumptions (O&amp;G Upstream)'!AB$312/'Assumptions (O&amp;G Upstream)'!AB$320/10^9/10^3*'Inflation GDP Population'!$S$18/'Inflation GDP Population'!AA$18</f>
        <v>0.822549222</v>
      </c>
      <c r="AD60" s="132">
        <f>sum('Assumptions (NG non-electricity'!AB$3)*10^15*'Assumptions (O&amp;G Upstream)'!AC$312/'Assumptions (O&amp;G Upstream)'!AC$320/10^9/10^3*'Inflation GDP Population'!$S$18/'Inflation GDP Population'!AB$18</f>
        <v>0.8487454465</v>
      </c>
      <c r="AE60" s="132">
        <f>sum('Assumptions (NG non-electricity'!AC$3)*10^15*'Assumptions (O&amp;G Upstream)'!AD$312/'Assumptions (O&amp;G Upstream)'!AD$320/10^9/10^3*'Inflation GDP Population'!$S$18/'Inflation GDP Population'!AC$18</f>
        <v>0.8639239213</v>
      </c>
      <c r="AF60" s="132">
        <f>sum('Assumptions (NG non-electricity'!AD$3)*10^15*'Assumptions (O&amp;G Upstream)'!AE$312/'Assumptions (O&amp;G Upstream)'!AE$320/10^9/10^3*'Inflation GDP Population'!$S$18/'Inflation GDP Population'!AD$18</f>
        <v>0.8923561826</v>
      </c>
      <c r="AG60" s="132">
        <f>sum('Assumptions (NG non-electricity'!AE$3)*10^15*'Assumptions (O&amp;G Upstream)'!AF$312/'Assumptions (O&amp;G Upstream)'!AF$320/10^9/10^3*'Inflation GDP Population'!$S$18/'Inflation GDP Population'!AE$18</f>
        <v>0.9059683477</v>
      </c>
      <c r="AH60" s="132">
        <f>sum('Assumptions (NG non-electricity'!AF$3)*10^15*'Assumptions (O&amp;G Upstream)'!AG$312/'Assumptions (O&amp;G Upstream)'!AG$320/10^9/10^3*'Inflation GDP Population'!$S$18/'Inflation GDP Population'!AF$18</f>
        <v>0.9240804213</v>
      </c>
      <c r="AI60" s="132">
        <f>sum('Assumptions (NG non-electricity'!AG$3)*10^15*'Assumptions (O&amp;G Upstream)'!AH$312/'Assumptions (O&amp;G Upstream)'!AH$320/10^9/10^3*'Inflation GDP Population'!$S$18/'Inflation GDP Population'!AG$18</f>
        <v>0.9294613933</v>
      </c>
      <c r="AJ60" s="132">
        <f>sum('Assumptions (NG non-electricity'!AH$3)*10^15*'Assumptions (O&amp;G Upstream)'!AI$312/'Assumptions (O&amp;G Upstream)'!AI$320/10^9/10^3*'Inflation GDP Population'!$S$18/'Inflation GDP Population'!AH$18</f>
        <v>0.972044244</v>
      </c>
      <c r="AK60" s="132">
        <f>sum('Assumptions (NG non-electricity'!AI$3)*10^15*'Assumptions (O&amp;G Upstream)'!AJ$312/'Assumptions (O&amp;G Upstream)'!AJ$320/10^9/10^3*'Inflation GDP Population'!$S$18/'Inflation GDP Population'!AI$18</f>
        <v>0.9965929557</v>
      </c>
      <c r="AL60" s="132">
        <f>sum('Assumptions (NG non-electricity'!AJ$3)*10^15*'Assumptions (O&amp;G Upstream)'!AK$312/'Assumptions (O&amp;G Upstream)'!AK$320/10^9/10^3*'Inflation GDP Population'!$S$18/'Inflation GDP Population'!AJ$18</f>
        <v>1.017391124</v>
      </c>
      <c r="AM60" s="132">
        <f>sum('Assumptions (NG non-electricity'!AK$3)*10^15*'Assumptions (O&amp;G Upstream)'!AL$312/'Assumptions (O&amp;G Upstream)'!AL$320/10^9/10^3*'Inflation GDP Population'!$S$18/'Inflation GDP Population'!AK$18</f>
        <v>1.038337032</v>
      </c>
      <c r="AN60" s="132">
        <f>sum('Assumptions (NG non-electricity'!AL$3)*10^15*'Assumptions (O&amp;G Upstream)'!AM$312/'Assumptions (O&amp;G Upstream)'!AM$320/10^9/10^3*'Inflation GDP Population'!$S$18/'Inflation GDP Population'!AL$18</f>
        <v>1.068988644</v>
      </c>
      <c r="AO60" s="132">
        <f>sum('Assumptions (NG non-electricity'!AM$3)*10^15*'Assumptions (O&amp;G Upstream)'!AN$312/'Assumptions (O&amp;G Upstream)'!AN$320/10^9/10^3*'Inflation GDP Population'!$S$18/'Inflation GDP Population'!AM$18</f>
        <v>1.085204806</v>
      </c>
      <c r="AP60" s="132">
        <f>sum('Assumptions (NG non-electricity'!AN$3)*10^15*'Assumptions (O&amp;G Upstream)'!AO$312/'Assumptions (O&amp;G Upstream)'!AO$320/10^9/10^3*'Inflation GDP Population'!$S$18/'Inflation GDP Population'!AN$18</f>
        <v>1.098917661</v>
      </c>
      <c r="AQ60" s="132">
        <f>sum('Assumptions (NG non-electricity'!AO$3)*10^15*'Assumptions (O&amp;G Upstream)'!AP$312/'Assumptions (O&amp;G Upstream)'!AP$320/10^9/10^3*'Inflation GDP Population'!$S$18/'Inflation GDP Population'!AO$18</f>
        <v>1.115946681</v>
      </c>
      <c r="AR60" s="132">
        <f>sum('Assumptions (NG non-electricity'!AP$3)*10^15*'Assumptions (O&amp;G Upstream)'!AQ$312/'Assumptions (O&amp;G Upstream)'!AQ$320/10^9/10^3*'Inflation GDP Population'!$S$18/'Inflation GDP Population'!AP$18</f>
        <v>1.143522251</v>
      </c>
      <c r="AS60" s="132">
        <f>sum('Assumptions (NG non-electricity'!AQ$3)*10^15*'Assumptions (O&amp;G Upstream)'!AR$312/'Assumptions (O&amp;G Upstream)'!AR$320/10^9/10^3*'Inflation GDP Population'!$S$18/'Inflation GDP Population'!AQ$18</f>
        <v>1.152045291</v>
      </c>
      <c r="AT60" s="132">
        <f>sum('Assumptions (NG non-electricity'!AR$3)*10^15*'Assumptions (O&amp;G Upstream)'!AS$312/'Assumptions (O&amp;G Upstream)'!AS$320/10^9/10^3*'Inflation GDP Population'!$S$18/'Inflation GDP Population'!AR$18</f>
        <v>1.175693403</v>
      </c>
      <c r="AU60" s="132">
        <f>sum('Assumptions (NG non-electricity'!AS$3)*10^15*'Assumptions (O&amp;G Upstream)'!AT$312/'Assumptions (O&amp;G Upstream)'!AT$320/10^9/10^3*'Inflation GDP Population'!$S$18/'Inflation GDP Population'!AS$18</f>
        <v>1.205274142</v>
      </c>
      <c r="AV60" s="132">
        <f>sum('Assumptions (NG non-electricity'!AT$3)*10^15*'Assumptions (O&amp;G Upstream)'!AU$312/'Assumptions (O&amp;G Upstream)'!AU$320/10^9/10^3*'Inflation GDP Population'!$S$18/'Inflation GDP Population'!AT$18</f>
        <v>1.240815371</v>
      </c>
      <c r="AW60" s="132">
        <f>sum('Assumptions (NG non-electricity'!AU$3)*10^15*'Assumptions (O&amp;G Upstream)'!AV$312/'Assumptions (O&amp;G Upstream)'!AV$320/10^9/10^3*'Inflation GDP Population'!$S$18/'Inflation GDP Population'!AU$18</f>
        <v>1.275209319</v>
      </c>
      <c r="AX60" s="132">
        <f>sum('Assumptions (NG non-electricity'!AV$3)*10^15*'Assumptions (O&amp;G Upstream)'!AW$312/'Assumptions (O&amp;G Upstream)'!AW$320/10^9/10^3*'Inflation GDP Population'!$S$18/'Inflation GDP Population'!AV$18</f>
        <v>1.303949917</v>
      </c>
      <c r="AY60" s="132">
        <f>sum('Assumptions (NG non-electricity'!AW$3)*10^15*'Assumptions (O&amp;G Upstream)'!AX$312/'Assumptions (O&amp;G Upstream)'!AX$320/10^9/10^3*'Inflation GDP Population'!$S$18/'Inflation GDP Population'!AW$18</f>
        <v>1.338480878</v>
      </c>
      <c r="AZ60" s="132">
        <f>sum('Assumptions (NG non-electricity'!AX$3)*10^15*'Assumptions (O&amp;G Upstream)'!AY$312/'Assumptions (O&amp;G Upstream)'!AY$320/10^9/10^3*'Inflation GDP Population'!$S$18/'Inflation GDP Population'!AX$18</f>
        <v>1.391262521</v>
      </c>
      <c r="BA60" s="132">
        <f>sum('Assumptions (NG non-electricity'!AY$3)*10^15*'Assumptions (O&amp;G Upstream)'!AZ$312/'Assumptions (O&amp;G Upstream)'!AZ$320/10^9/10^3*'Inflation GDP Population'!$S$18/'Inflation GDP Population'!AY$18</f>
        <v>1.436055613</v>
      </c>
      <c r="BB60" s="132">
        <f>sum('Assumptions (NG non-electricity'!AZ$3)*10^15*'Assumptions (O&amp;G Upstream)'!BA$312/'Assumptions (O&amp;G Upstream)'!BA$320/10^9/10^3*'Inflation GDP Population'!$S$18/'Inflation GDP Population'!AZ$18</f>
        <v>1.477477359</v>
      </c>
    </row>
    <row r="61" ht="15.75" customHeight="1">
      <c r="A61" s="119" t="s">
        <v>301</v>
      </c>
      <c r="B61" s="131" t="s">
        <v>302</v>
      </c>
      <c r="C61" s="120" t="s">
        <v>270</v>
      </c>
      <c r="D61" s="132">
        <f>sum('Assumptions (NG non-electricity'!B$8)*10^15*'Assumptions (O&amp;G Upstream)'!C$312/'Assumptions (O&amp;G Upstream)'!C$320/10^9/10^3*'Inflation GDP Population'!$S$18/'Inflation GDP Population'!B$18</f>
        <v>0.5082451167</v>
      </c>
      <c r="E61" s="132">
        <f>sum('Assumptions (NG non-electricity'!C$8)*10^15*'Assumptions (O&amp;G Upstream)'!D$312/'Assumptions (O&amp;G Upstream)'!D$320/10^9/10^3*'Inflation GDP Population'!$S$18/'Inflation GDP Population'!C$18</f>
        <v>0.4379531958</v>
      </c>
      <c r="F61" s="132">
        <f>sum('Assumptions (NG non-electricity'!D$8)*10^15*'Assumptions (O&amp;G Upstream)'!E$312/'Assumptions (O&amp;G Upstream)'!E$320/10^9/10^3*'Inflation GDP Population'!$S$18/'Inflation GDP Population'!D$18</f>
        <v>0.3543463157</v>
      </c>
      <c r="G61" s="132">
        <f>sum('Assumptions (NG non-electricity'!E$8)*10^15*'Assumptions (O&amp;G Upstream)'!F$312/'Assumptions (O&amp;G Upstream)'!F$320/10^9/10^3*'Inflation GDP Population'!$S$18/'Inflation GDP Population'!E$18</f>
        <v>0.5374986247</v>
      </c>
      <c r="H61" s="132">
        <f>sum('Assumptions (NG non-electricity'!F$8)*10^15*'Assumptions (O&amp;G Upstream)'!G$312/'Assumptions (O&amp;G Upstream)'!G$320/10^9/10^3*'Inflation GDP Population'!$S$18/'Inflation GDP Population'!F$18</f>
        <v>0.473733244</v>
      </c>
      <c r="I61" s="132">
        <f>sum('Assumptions (NG non-electricity'!G$8)*10^15*'Assumptions (O&amp;G Upstream)'!H$312/'Assumptions (O&amp;G Upstream)'!H$320/10^9/10^3*'Inflation GDP Population'!$S$18/'Inflation GDP Population'!G$18</f>
        <v>0.6368652656</v>
      </c>
      <c r="J61" s="132">
        <f>sum('Assumptions (NG non-electricity'!H$8)*10^15*'Assumptions (O&amp;G Upstream)'!I$312/'Assumptions (O&amp;G Upstream)'!I$320/10^9/10^3*'Inflation GDP Population'!$S$18/'Inflation GDP Population'!H$18</f>
        <v>0.4828876247</v>
      </c>
      <c r="K61" s="132">
        <f>sum('Assumptions (NG non-electricity'!I$8)*10^15*'Assumptions (O&amp;G Upstream)'!J$312/'Assumptions (O&amp;G Upstream)'!J$320/10^9/10^3*'Inflation GDP Population'!$S$18/'Inflation GDP Population'!I$18</f>
        <v>0.5455909688</v>
      </c>
      <c r="L61" s="132">
        <f>sum('Assumptions (NG non-electricity'!J$8)*10^15*'Assumptions (O&amp;G Upstream)'!K$312/'Assumptions (O&amp;G Upstream)'!K$320/10^9/10^3*'Inflation GDP Population'!$S$18/'Inflation GDP Population'!J$18</f>
        <v>0.7139943952</v>
      </c>
      <c r="M61" s="132">
        <f>sum('Assumptions (NG non-electricity'!K$8)*10^15*'Assumptions (O&amp;G Upstream)'!L$312/'Assumptions (O&amp;G Upstream)'!L$320/10^9/10^3*'Inflation GDP Population'!$S$18/'Inflation GDP Population'!K$18</f>
        <v>0.3496369224</v>
      </c>
      <c r="N61" s="132">
        <f>sum('Assumptions (NG non-electricity'!L$8)*10^15*'Assumptions (O&amp;G Upstream)'!M$312/'Assumptions (O&amp;G Upstream)'!M$320/10^9/10^3*'Inflation GDP Population'!$S$18/'Inflation GDP Population'!L$18</f>
        <v>0.396951446</v>
      </c>
      <c r="O61" s="132">
        <f>sum('Assumptions (NG non-electricity'!M$8)*10^15*'Assumptions (O&amp;G Upstream)'!N$312/'Assumptions (O&amp;G Upstream)'!N$320/10^9/10^3*'Inflation GDP Population'!$S$18/'Inflation GDP Population'!M$18</f>
        <v>0.3762330519</v>
      </c>
      <c r="P61" s="132">
        <f>sum('Assumptions (NG non-electricity'!N$8)*10^15*'Assumptions (O&amp;G Upstream)'!O$312/'Assumptions (O&amp;G Upstream)'!O$320/10^9/10^3*'Inflation GDP Population'!$S$18/'Inflation GDP Population'!N$18</f>
        <v>0.3070720745</v>
      </c>
      <c r="Q61" s="132">
        <f>sum('Assumptions (NG non-electricity'!O$8)*10^15*'Assumptions (O&amp;G Upstream)'!P$312/'Assumptions (O&amp;G Upstream)'!P$320/10^9/10^3*'Inflation GDP Population'!$S$18/'Inflation GDP Population'!O$18</f>
        <v>0.2671619975</v>
      </c>
      <c r="R61" s="132">
        <f>sum('Assumptions (NG non-electricity'!P$8)*10^15*'Assumptions (O&amp;G Upstream)'!Q$312/'Assumptions (O&amp;G Upstream)'!Q$320/10^9/10^3*'Inflation GDP Population'!$S$18/'Inflation GDP Population'!P$18</f>
        <v>0.2785023771</v>
      </c>
      <c r="S61" s="132">
        <f>sum('Assumptions (NG non-electricity'!Q$8)*10^15*'Assumptions (O&amp;G Upstream)'!R$312/'Assumptions (O&amp;G Upstream)'!R$320/10^9/10^3*'Inflation GDP Population'!$S$18/'Inflation GDP Population'!Q$18</f>
        <v>0.1817435697</v>
      </c>
      <c r="T61" s="132">
        <f>sum('Assumptions (NG non-electricity'!R$8)*10^15*'Assumptions (O&amp;G Upstream)'!S$312/'Assumptions (O&amp;G Upstream)'!S$320/10^9/10^3*'Inflation GDP Population'!$S$18/'Inflation GDP Population'!R$18</f>
        <v>0.1583362235</v>
      </c>
      <c r="U61" s="132">
        <f>sum('Assumptions (NG non-electricity'!S$8)*10^15*'Assumptions (O&amp;G Upstream)'!T$312/'Assumptions (O&amp;G Upstream)'!T$320/10^9/10^3*'Inflation GDP Population'!$S$18/'Inflation GDP Population'!S$18</f>
        <v>0.1763003282</v>
      </c>
      <c r="V61" s="132">
        <f>sum('Assumptions (NG non-electricity'!T$8)*10^15*'Assumptions (O&amp;G Upstream)'!U$312/'Assumptions (O&amp;G Upstream)'!U$320/10^9/10^3*'Inflation GDP Population'!$S$18/'Inflation GDP Population'!T$18</f>
        <v>0.187052245</v>
      </c>
      <c r="W61" s="132">
        <f>sum('Assumptions (NG non-electricity'!U$8)*10^15*'Assumptions (O&amp;G Upstream)'!V$312/'Assumptions (O&amp;G Upstream)'!V$320/10^9/10^3*'Inflation GDP Population'!$S$18/'Inflation GDP Population'!U$18</f>
        <v>0.1836947024</v>
      </c>
      <c r="X61" s="132">
        <f>sum('Assumptions (NG non-electricity'!V$8)*10^15*'Assumptions (O&amp;G Upstream)'!W$312/'Assumptions (O&amp;G Upstream)'!W$320/10^9/10^3*'Inflation GDP Population'!$S$18/'Inflation GDP Population'!V$18</f>
        <v>0.193202541</v>
      </c>
      <c r="Y61" s="132">
        <f>sum('Assumptions (NG non-electricity'!W$8)*10^15*'Assumptions (O&amp;G Upstream)'!X$312/'Assumptions (O&amp;G Upstream)'!X$320/10^9/10^3*'Inflation GDP Population'!$S$18/'Inflation GDP Population'!W$18</f>
        <v>0.1936772133</v>
      </c>
      <c r="Z61" s="132">
        <f>sum('Assumptions (NG non-electricity'!X$8)*10^15*'Assumptions (O&amp;G Upstream)'!Y$312/'Assumptions (O&amp;G Upstream)'!Y$320/10^9/10^3*'Inflation GDP Population'!$S$18/'Inflation GDP Population'!X$18</f>
        <v>0.1994354288</v>
      </c>
      <c r="AA61" s="132">
        <f>sum('Assumptions (NG non-electricity'!Y$8)*10^15*'Assumptions (O&amp;G Upstream)'!Z$312/'Assumptions (O&amp;G Upstream)'!Z$320/10^9/10^3*'Inflation GDP Population'!$S$18/'Inflation GDP Population'!Y$18</f>
        <v>0.2136311382</v>
      </c>
      <c r="AB61" s="132">
        <f>sum('Assumptions (NG non-electricity'!Z$8)*10^15*'Assumptions (O&amp;G Upstream)'!AA$312/'Assumptions (O&amp;G Upstream)'!AA$320/10^9/10^3*'Inflation GDP Population'!$S$18/'Inflation GDP Population'!Z$18</f>
        <v>0.231430967</v>
      </c>
      <c r="AC61" s="132">
        <f>sum('Assumptions (NG non-electricity'!AA$8)*10^15*'Assumptions (O&amp;G Upstream)'!AB$312/'Assumptions (O&amp;G Upstream)'!AB$320/10^9/10^3*'Inflation GDP Population'!$S$18/'Inflation GDP Population'!AA$18</f>
        <v>0.2535517859</v>
      </c>
      <c r="AD61" s="132">
        <f>sum('Assumptions (NG non-electricity'!AB$8)*10^15*'Assumptions (O&amp;G Upstream)'!AC$312/'Assumptions (O&amp;G Upstream)'!AC$320/10^9/10^3*'Inflation GDP Population'!$S$18/'Inflation GDP Population'!AB$18</f>
        <v>0.2649519974</v>
      </c>
      <c r="AE61" s="132">
        <f>sum('Assumptions (NG non-electricity'!AC$8)*10^15*'Assumptions (O&amp;G Upstream)'!AD$312/'Assumptions (O&amp;G Upstream)'!AD$320/10^9/10^3*'Inflation GDP Population'!$S$18/'Inflation GDP Population'!AC$18</f>
        <v>0.2730209289</v>
      </c>
      <c r="AF61" s="132">
        <f>sum('Assumptions (NG non-electricity'!AD$8)*10^15*'Assumptions (O&amp;G Upstream)'!AE$312/'Assumptions (O&amp;G Upstream)'!AE$320/10^9/10^3*'Inflation GDP Population'!$S$18/'Inflation GDP Population'!AD$18</f>
        <v>0.2853920807</v>
      </c>
      <c r="AG61" s="132">
        <f>sum('Assumptions (NG non-electricity'!AE$8)*10^15*'Assumptions (O&amp;G Upstream)'!AF$312/'Assumptions (O&amp;G Upstream)'!AF$320/10^9/10^3*'Inflation GDP Population'!$S$18/'Inflation GDP Population'!AE$18</f>
        <v>0.2931290603</v>
      </c>
      <c r="AH61" s="132">
        <f>sum('Assumptions (NG non-electricity'!AF$8)*10^15*'Assumptions (O&amp;G Upstream)'!AG$312/'Assumptions (O&amp;G Upstream)'!AG$320/10^9/10^3*'Inflation GDP Population'!$S$18/'Inflation GDP Population'!AF$18</f>
        <v>0.3023867297</v>
      </c>
      <c r="AI61" s="132">
        <f>sum('Assumptions (NG non-electricity'!AG$8)*10^15*'Assumptions (O&amp;G Upstream)'!AH$312/'Assumptions (O&amp;G Upstream)'!AH$320/10^9/10^3*'Inflation GDP Population'!$S$18/'Inflation GDP Population'!AG$18</f>
        <v>0.3075119641</v>
      </c>
      <c r="AJ61" s="132">
        <f>sum('Assumptions (NG non-electricity'!AH$8)*10^15*'Assumptions (O&amp;G Upstream)'!AI$312/'Assumptions (O&amp;G Upstream)'!AI$320/10^9/10^3*'Inflation GDP Population'!$S$18/'Inflation GDP Population'!AH$18</f>
        <v>0.3250650826</v>
      </c>
      <c r="AK61" s="132">
        <f>sum('Assumptions (NG non-electricity'!AI$8)*10^15*'Assumptions (O&amp;G Upstream)'!AJ$312/'Assumptions (O&amp;G Upstream)'!AJ$320/10^9/10^3*'Inflation GDP Population'!$S$18/'Inflation GDP Population'!AI$18</f>
        <v>0.3367725471</v>
      </c>
      <c r="AL61" s="132">
        <f>sum('Assumptions (NG non-electricity'!AJ$8)*10^15*'Assumptions (O&amp;G Upstream)'!AK$312/'Assumptions (O&amp;G Upstream)'!AK$320/10^9/10^3*'Inflation GDP Population'!$S$18/'Inflation GDP Population'!AJ$18</f>
        <v>0.3473178419</v>
      </c>
      <c r="AM61" s="132">
        <f>sum('Assumptions (NG non-electricity'!AK$8)*10^15*'Assumptions (O&amp;G Upstream)'!AL$312/'Assumptions (O&amp;G Upstream)'!AL$320/10^9/10^3*'Inflation GDP Population'!$S$18/'Inflation GDP Population'!AK$18</f>
        <v>0.3580040695</v>
      </c>
      <c r="AN61" s="132">
        <f>sum('Assumptions (NG non-electricity'!AL$8)*10^15*'Assumptions (O&amp;G Upstream)'!AM$312/'Assumptions (O&amp;G Upstream)'!AM$320/10^9/10^3*'Inflation GDP Population'!$S$18/'Inflation GDP Population'!AL$18</f>
        <v>0.3721582221</v>
      </c>
      <c r="AO61" s="132">
        <f>sum('Assumptions (NG non-electricity'!AM$8)*10^15*'Assumptions (O&amp;G Upstream)'!AN$312/'Assumptions (O&amp;G Upstream)'!AN$320/10^9/10^3*'Inflation GDP Population'!$S$18/'Inflation GDP Population'!AM$18</f>
        <v>0.3813902611</v>
      </c>
      <c r="AP61" s="132">
        <f>sum('Assumptions (NG non-electricity'!AN$8)*10^15*'Assumptions (O&amp;G Upstream)'!AO$312/'Assumptions (O&amp;G Upstream)'!AO$320/10^9/10^3*'Inflation GDP Population'!$S$18/'Inflation GDP Population'!AN$18</f>
        <v>0.3897881888</v>
      </c>
      <c r="AQ61" s="132">
        <f>sum('Assumptions (NG non-electricity'!AO$8)*10^15*'Assumptions (O&amp;G Upstream)'!AP$312/'Assumptions (O&amp;G Upstream)'!AP$320/10^9/10^3*'Inflation GDP Population'!$S$18/'Inflation GDP Population'!AO$18</f>
        <v>0.399409584</v>
      </c>
      <c r="AR61" s="132">
        <f>sum('Assumptions (NG non-electricity'!AP$8)*10^15*'Assumptions (O&amp;G Upstream)'!AQ$312/'Assumptions (O&amp;G Upstream)'!AQ$320/10^9/10^3*'Inflation GDP Population'!$S$18/'Inflation GDP Population'!AP$18</f>
        <v>0.4128958198</v>
      </c>
      <c r="AS61" s="132">
        <f>sum('Assumptions (NG non-electricity'!AQ$8)*10^15*'Assumptions (O&amp;G Upstream)'!AR$312/'Assumptions (O&amp;G Upstream)'!AR$320/10^9/10^3*'Inflation GDP Population'!$S$18/'Inflation GDP Population'!AQ$18</f>
        <v>0.4195645864</v>
      </c>
      <c r="AT61" s="132">
        <f>sum('Assumptions (NG non-electricity'!AR$8)*10^15*'Assumptions (O&amp;G Upstream)'!AS$312/'Assumptions (O&amp;G Upstream)'!AS$320/10^9/10^3*'Inflation GDP Population'!$S$18/'Inflation GDP Population'!AR$18</f>
        <v>0.4317898532</v>
      </c>
      <c r="AU61" s="132">
        <f>sum('Assumptions (NG non-electricity'!AS$8)*10^15*'Assumptions (O&amp;G Upstream)'!AT$312/'Assumptions (O&amp;G Upstream)'!AT$320/10^9/10^3*'Inflation GDP Population'!$S$18/'Inflation GDP Population'!AS$18</f>
        <v>0.4463051468</v>
      </c>
      <c r="AV61" s="132">
        <f>sum('Assumptions (NG non-electricity'!AT$8)*10^15*'Assumptions (O&amp;G Upstream)'!AU$312/'Assumptions (O&amp;G Upstream)'!AU$320/10^9/10^3*'Inflation GDP Population'!$S$18/'Inflation GDP Population'!AT$18</f>
        <v>0.4631720652</v>
      </c>
      <c r="AW61" s="132">
        <f>sum('Assumptions (NG non-electricity'!AU$8)*10^15*'Assumptions (O&amp;G Upstream)'!AV$312/'Assumptions (O&amp;G Upstream)'!AV$320/10^9/10^3*'Inflation GDP Population'!$S$18/'Inflation GDP Population'!AU$18</f>
        <v>0.4797664987</v>
      </c>
      <c r="AX61" s="132">
        <f>sum('Assumptions (NG non-electricity'!AV$8)*10^15*'Assumptions (O&amp;G Upstream)'!AW$312/'Assumptions (O&amp;G Upstream)'!AW$320/10^9/10^3*'Inflation GDP Population'!$S$18/'Inflation GDP Population'!AV$18</f>
        <v>0.494366757</v>
      </c>
      <c r="AY61" s="132">
        <f>sum('Assumptions (NG non-electricity'!AW$8)*10^15*'Assumptions (O&amp;G Upstream)'!AX$312/'Assumptions (O&amp;G Upstream)'!AX$320/10^9/10^3*'Inflation GDP Population'!$S$18/'Inflation GDP Population'!AW$18</f>
        <v>0.5112926179</v>
      </c>
      <c r="AZ61" s="132">
        <f>sum('Assumptions (NG non-electricity'!AX$8)*10^15*'Assumptions (O&amp;G Upstream)'!AY$312/'Assumptions (O&amp;G Upstream)'!AY$320/10^9/10^3*'Inflation GDP Population'!$S$18/'Inflation GDP Population'!AX$18</f>
        <v>0.5353858129</v>
      </c>
      <c r="BA61" s="132">
        <f>sum('Assumptions (NG non-electricity'!AY$8)*10^15*'Assumptions (O&amp;G Upstream)'!AZ$312/'Assumptions (O&amp;G Upstream)'!AZ$320/10^9/10^3*'Inflation GDP Population'!$S$18/'Inflation GDP Population'!AY$18</f>
        <v>0.556625492</v>
      </c>
      <c r="BB61" s="132">
        <f>sum('Assumptions (NG non-electricity'!AZ$8)*10^15*'Assumptions (O&amp;G Upstream)'!BA$312/'Assumptions (O&amp;G Upstream)'!BA$320/10^9/10^3*'Inflation GDP Population'!$S$18/'Inflation GDP Population'!AZ$18</f>
        <v>0.5767432082</v>
      </c>
    </row>
    <row r="62" ht="15.75" customHeight="1">
      <c r="A62" s="119" t="s">
        <v>303</v>
      </c>
      <c r="B62" s="131" t="s">
        <v>304</v>
      </c>
      <c r="C62" s="120" t="s">
        <v>270</v>
      </c>
      <c r="D62" s="132">
        <f>sum('Assumptions (NG non-electricity'!B$6)*10^15*'Assumptions (O&amp;G Upstream)'!C$312/'Assumptions (O&amp;G Upstream)'!C$320/10^9/10^3*'Inflation GDP Population'!$S$18/'Inflation GDP Population'!B$18</f>
        <v>2.251560292</v>
      </c>
      <c r="E62" s="132">
        <f>sum('Assumptions (NG non-electricity'!C$6)*10^15*'Assumptions (O&amp;G Upstream)'!D$312/'Assumptions (O&amp;G Upstream)'!D$320/10^9/10^3*'Inflation GDP Population'!$S$18/'Inflation GDP Population'!C$18</f>
        <v>1.882909913</v>
      </c>
      <c r="F62" s="132">
        <f>sum('Assumptions (NG non-electricity'!D$6)*10^15*'Assumptions (O&amp;G Upstream)'!E$312/'Assumptions (O&amp;G Upstream)'!E$320/10^9/10^3*'Inflation GDP Population'!$S$18/'Inflation GDP Population'!D$18</f>
        <v>1.608017611</v>
      </c>
      <c r="G62" s="132">
        <f>sum('Assumptions (NG non-electricity'!E$6)*10^15*'Assumptions (O&amp;G Upstream)'!F$312/'Assumptions (O&amp;G Upstream)'!F$320/10^9/10^3*'Inflation GDP Population'!$S$18/'Inflation GDP Population'!E$18</f>
        <v>2.63787359</v>
      </c>
      <c r="H62" s="132">
        <f>sum('Assumptions (NG non-electricity'!F$6)*10^15*'Assumptions (O&amp;G Upstream)'!G$312/'Assumptions (O&amp;G Upstream)'!G$320/10^9/10^3*'Inflation GDP Population'!$S$18/'Inflation GDP Population'!F$18</f>
        <v>2.648090223</v>
      </c>
      <c r="I62" s="132">
        <f>sum('Assumptions (NG non-electricity'!G$6)*10^15*'Assumptions (O&amp;G Upstream)'!H$312/'Assumptions (O&amp;G Upstream)'!H$320/10^9/10^3*'Inflation GDP Population'!$S$18/'Inflation GDP Population'!G$18</f>
        <v>3.771691215</v>
      </c>
      <c r="J62" s="132">
        <f>sum('Assumptions (NG non-electricity'!H$6)*10^15*'Assumptions (O&amp;G Upstream)'!I$312/'Assumptions (O&amp;G Upstream)'!I$320/10^9/10^3*'Inflation GDP Population'!$S$18/'Inflation GDP Population'!H$18</f>
        <v>2.526028024</v>
      </c>
      <c r="K62" s="132">
        <f>sum('Assumptions (NG non-electricity'!I$6)*10^15*'Assumptions (O&amp;G Upstream)'!J$312/'Assumptions (O&amp;G Upstream)'!J$320/10^9/10^3*'Inflation GDP Population'!$S$18/'Inflation GDP Population'!I$18</f>
        <v>2.561866556</v>
      </c>
      <c r="L62" s="132">
        <f>sum('Assumptions (NG non-electricity'!J$6)*10^15*'Assumptions (O&amp;G Upstream)'!K$312/'Assumptions (O&amp;G Upstream)'!K$320/10^9/10^3*'Inflation GDP Population'!$S$18/'Inflation GDP Population'!J$18</f>
        <v>3.460757168</v>
      </c>
      <c r="M62" s="132">
        <f>sum('Assumptions (NG non-electricity'!K$6)*10^15*'Assumptions (O&amp;G Upstream)'!L$312/'Assumptions (O&amp;G Upstream)'!L$320/10^9/10^3*'Inflation GDP Population'!$S$18/'Inflation GDP Population'!K$18</f>
        <v>1.507639678</v>
      </c>
      <c r="N62" s="132">
        <f>sum('Assumptions (NG non-electricity'!L$6)*10^15*'Assumptions (O&amp;G Upstream)'!M$312/'Assumptions (O&amp;G Upstream)'!M$320/10^9/10^3*'Inflation GDP Population'!$S$18/'Inflation GDP Population'!L$18</f>
        <v>1.90325697</v>
      </c>
      <c r="O62" s="132">
        <f>sum('Assumptions (NG non-electricity'!M$6)*10^15*'Assumptions (O&amp;G Upstream)'!N$312/'Assumptions (O&amp;G Upstream)'!N$320/10^9/10^3*'Inflation GDP Population'!$S$18/'Inflation GDP Population'!M$18</f>
        <v>1.442214516</v>
      </c>
      <c r="P62" s="132">
        <f>sum('Assumptions (NG non-electricity'!N$6)*10^15*'Assumptions (O&amp;G Upstream)'!O$312/'Assumptions (O&amp;G Upstream)'!O$320/10^9/10^3*'Inflation GDP Population'!$S$18/'Inflation GDP Population'!N$18</f>
        <v>0.8171402847</v>
      </c>
      <c r="Q62" s="132">
        <f>sum('Assumptions (NG non-electricity'!O$6)*10^15*'Assumptions (O&amp;G Upstream)'!P$312/'Assumptions (O&amp;G Upstream)'!P$320/10^9/10^3*'Inflation GDP Population'!$S$18/'Inflation GDP Population'!O$18</f>
        <v>1.373561558</v>
      </c>
      <c r="R62" s="132">
        <f>sum('Assumptions (NG non-electricity'!P$6)*10^15*'Assumptions (O&amp;G Upstream)'!Q$312/'Assumptions (O&amp;G Upstream)'!Q$320/10^9/10^3*'Inflation GDP Population'!$S$18/'Inflation GDP Population'!P$18</f>
        <v>1.743689844</v>
      </c>
      <c r="S62" s="132">
        <f>sum('Assumptions (NG non-electricity'!Q$6)*10^15*'Assumptions (O&amp;G Upstream)'!R$312/'Assumptions (O&amp;G Upstream)'!R$320/10^9/10^3*'Inflation GDP Population'!$S$18/'Inflation GDP Population'!Q$18</f>
        <v>0.8948350022</v>
      </c>
      <c r="T62" s="132">
        <f>sum('Assumptions (NG non-electricity'!R$6)*10^15*'Assumptions (O&amp;G Upstream)'!S$312/'Assumptions (O&amp;G Upstream)'!S$320/10^9/10^3*'Inflation GDP Population'!$S$18/'Inflation GDP Population'!R$18</f>
        <v>0.8058504665</v>
      </c>
      <c r="U62" s="132">
        <f>sum('Assumptions (NG non-electricity'!S$6)*10^15*'Assumptions (O&amp;G Upstream)'!T$312/'Assumptions (O&amp;G Upstream)'!T$320/10^9/10^3*'Inflation GDP Population'!$S$18/'Inflation GDP Population'!S$18</f>
        <v>0.9402800836</v>
      </c>
      <c r="V62" s="132">
        <f>sum('Assumptions (NG non-electricity'!T$6)*10^15*'Assumptions (O&amp;G Upstream)'!U$312/'Assumptions (O&amp;G Upstream)'!U$320/10^9/10^3*'Inflation GDP Population'!$S$18/'Inflation GDP Population'!T$18</f>
        <v>0.9741144871</v>
      </c>
      <c r="W62" s="132">
        <f>sum('Assumptions (NG non-electricity'!U$6)*10^15*'Assumptions (O&amp;G Upstream)'!V$312/'Assumptions (O&amp;G Upstream)'!V$320/10^9/10^3*'Inflation GDP Population'!$S$18/'Inflation GDP Population'!U$18</f>
        <v>0.93464589</v>
      </c>
      <c r="X62" s="132">
        <f>sum('Assumptions (NG non-electricity'!V$6)*10^15*'Assumptions (O&amp;G Upstream)'!W$312/'Assumptions (O&amp;G Upstream)'!W$320/10^9/10^3*'Inflation GDP Population'!$S$18/'Inflation GDP Population'!V$18</f>
        <v>0.9609809854</v>
      </c>
      <c r="Y62" s="132">
        <f>sum('Assumptions (NG non-electricity'!W$6)*10^15*'Assumptions (O&amp;G Upstream)'!X$312/'Assumptions (O&amp;G Upstream)'!X$320/10^9/10^3*'Inflation GDP Population'!$S$18/'Inflation GDP Population'!W$18</f>
        <v>0.9422553335</v>
      </c>
      <c r="Z62" s="132">
        <f>sum('Assumptions (NG non-electricity'!X$6)*10^15*'Assumptions (O&amp;G Upstream)'!Y$312/'Assumptions (O&amp;G Upstream)'!Y$320/10^9/10^3*'Inflation GDP Population'!$S$18/'Inflation GDP Population'!X$18</f>
        <v>0.9495250573</v>
      </c>
      <c r="AA62" s="132">
        <f>sum('Assumptions (NG non-electricity'!Y$6)*10^15*'Assumptions (O&amp;G Upstream)'!Z$312/'Assumptions (O&amp;G Upstream)'!Z$320/10^9/10^3*'Inflation GDP Population'!$S$18/'Inflation GDP Population'!Y$18</f>
        <v>0.9958608299</v>
      </c>
      <c r="AB62" s="132">
        <f>sum('Assumptions (NG non-electricity'!Z$6)*10^15*'Assumptions (O&amp;G Upstream)'!AA$312/'Assumptions (O&amp;G Upstream)'!AA$320/10^9/10^3*'Inflation GDP Population'!$S$18/'Inflation GDP Population'!Z$18</f>
        <v>1.056798373</v>
      </c>
      <c r="AC62" s="132">
        <f>sum('Assumptions (NG non-electricity'!AA$6)*10^15*'Assumptions (O&amp;G Upstream)'!AB$312/'Assumptions (O&amp;G Upstream)'!AB$320/10^9/10^3*'Inflation GDP Population'!$S$18/'Inflation GDP Population'!AA$18</f>
        <v>1.134675695</v>
      </c>
      <c r="AD62" s="132">
        <f>sum('Assumptions (NG non-electricity'!AB$6)*10^15*'Assumptions (O&amp;G Upstream)'!AC$312/'Assumptions (O&amp;G Upstream)'!AC$320/10^9/10^3*'Inflation GDP Population'!$S$18/'Inflation GDP Population'!AB$18</f>
        <v>1.162508999</v>
      </c>
      <c r="AE62" s="132">
        <f>sum('Assumptions (NG non-electricity'!AC$6)*10^15*'Assumptions (O&amp;G Upstream)'!AD$312/'Assumptions (O&amp;G Upstream)'!AD$320/10^9/10^3*'Inflation GDP Population'!$S$18/'Inflation GDP Population'!AC$18</f>
        <v>1.174981532</v>
      </c>
      <c r="AF62" s="132">
        <f>sum('Assumptions (NG non-electricity'!AD$6)*10^15*'Assumptions (O&amp;G Upstream)'!AE$312/'Assumptions (O&amp;G Upstream)'!AE$320/10^9/10^3*'Inflation GDP Population'!$S$18/'Inflation GDP Population'!AD$18</f>
        <v>1.205195978</v>
      </c>
      <c r="AG62" s="132">
        <f>sum('Assumptions (NG non-electricity'!AE$6)*10^15*'Assumptions (O&amp;G Upstream)'!AF$312/'Assumptions (O&amp;G Upstream)'!AF$320/10^9/10^3*'Inflation GDP Population'!$S$18/'Inflation GDP Population'!AE$18</f>
        <v>1.215131119</v>
      </c>
      <c r="AH62" s="132">
        <f>sum('Assumptions (NG non-electricity'!AF$6)*10^15*'Assumptions (O&amp;G Upstream)'!AG$312/'Assumptions (O&amp;G Upstream)'!AG$320/10^9/10^3*'Inflation GDP Population'!$S$18/'Inflation GDP Population'!AF$18</f>
        <v>1.23094013</v>
      </c>
      <c r="AI62" s="132">
        <f>sum('Assumptions (NG non-electricity'!AG$6)*10^15*'Assumptions (O&amp;G Upstream)'!AH$312/'Assumptions (O&amp;G Upstream)'!AH$320/10^9/10^3*'Inflation GDP Population'!$S$18/'Inflation GDP Population'!AG$18</f>
        <v>1.22970661</v>
      </c>
      <c r="AJ62" s="132">
        <f>sum('Assumptions (NG non-electricity'!AH$6)*10^15*'Assumptions (O&amp;G Upstream)'!AI$312/'Assumptions (O&amp;G Upstream)'!AI$320/10^9/10^3*'Inflation GDP Population'!$S$18/'Inflation GDP Population'!AH$18</f>
        <v>1.277393548</v>
      </c>
      <c r="AK62" s="132">
        <f>sum('Assumptions (NG non-electricity'!AI$6)*10^15*'Assumptions (O&amp;G Upstream)'!AJ$312/'Assumptions (O&amp;G Upstream)'!AJ$320/10^9/10^3*'Inflation GDP Population'!$S$18/'Inflation GDP Population'!AI$18</f>
        <v>1.300918768</v>
      </c>
      <c r="AL62" s="132">
        <f>sum('Assumptions (NG non-electricity'!AJ$6)*10^15*'Assumptions (O&amp;G Upstream)'!AK$312/'Assumptions (O&amp;G Upstream)'!AK$320/10^9/10^3*'Inflation GDP Population'!$S$18/'Inflation GDP Population'!AJ$18</f>
        <v>1.319285385</v>
      </c>
      <c r="AM62" s="132">
        <f>sum('Assumptions (NG non-electricity'!AK$6)*10^15*'Assumptions (O&amp;G Upstream)'!AL$312/'Assumptions (O&amp;G Upstream)'!AL$320/10^9/10^3*'Inflation GDP Population'!$S$18/'Inflation GDP Population'!AK$18</f>
        <v>1.337617601</v>
      </c>
      <c r="AN62" s="132">
        <f>sum('Assumptions (NG non-electricity'!AL$6)*10^15*'Assumptions (O&amp;G Upstream)'!AM$312/'Assumptions (O&amp;G Upstream)'!AM$320/10^9/10^3*'Inflation GDP Population'!$S$18/'Inflation GDP Population'!AL$18</f>
        <v>1.368149515</v>
      </c>
      <c r="AO62" s="132">
        <f>sum('Assumptions (NG non-electricity'!AM$6)*10^15*'Assumptions (O&amp;G Upstream)'!AN$312/'Assumptions (O&amp;G Upstream)'!AN$320/10^9/10^3*'Inflation GDP Population'!$S$18/'Inflation GDP Population'!AM$18</f>
        <v>1.379947833</v>
      </c>
      <c r="AP62" s="132">
        <f>sum('Assumptions (NG non-electricity'!AN$6)*10^15*'Assumptions (O&amp;G Upstream)'!AO$312/'Assumptions (O&amp;G Upstream)'!AO$320/10^9/10^3*'Inflation GDP Population'!$S$18/'Inflation GDP Population'!AN$18</f>
        <v>1.38844891</v>
      </c>
      <c r="AQ62" s="132">
        <f>sum('Assumptions (NG non-electricity'!AO$6)*10^15*'Assumptions (O&amp;G Upstream)'!AP$312/'Assumptions (O&amp;G Upstream)'!AP$320/10^9/10^3*'Inflation GDP Population'!$S$18/'Inflation GDP Population'!AO$18</f>
        <v>1.401021954</v>
      </c>
      <c r="AR62" s="132">
        <f>sum('Assumptions (NG non-electricity'!AP$6)*10^15*'Assumptions (O&amp;G Upstream)'!AQ$312/'Assumptions (O&amp;G Upstream)'!AQ$320/10^9/10^3*'Inflation GDP Population'!$S$18/'Inflation GDP Population'!AP$18</f>
        <v>1.426610701</v>
      </c>
      <c r="AS62" s="132">
        <f>sum('Assumptions (NG non-electricity'!AQ$6)*10^15*'Assumptions (O&amp;G Upstream)'!AR$312/'Assumptions (O&amp;G Upstream)'!AR$320/10^9/10^3*'Inflation GDP Population'!$S$18/'Inflation GDP Population'!AQ$18</f>
        <v>1.428275738</v>
      </c>
      <c r="AT62" s="132">
        <f>sum('Assumptions (NG non-electricity'!AR$6)*10^15*'Assumptions (O&amp;G Upstream)'!AS$312/'Assumptions (O&amp;G Upstream)'!AS$320/10^9/10^3*'Inflation GDP Population'!$S$18/'Inflation GDP Population'!AR$18</f>
        <v>1.448572373</v>
      </c>
      <c r="AU62" s="132">
        <f>sum('Assumptions (NG non-electricity'!AS$6)*10^15*'Assumptions (O&amp;G Upstream)'!AT$312/'Assumptions (O&amp;G Upstream)'!AT$320/10^9/10^3*'Inflation GDP Population'!$S$18/'Inflation GDP Population'!AS$18</f>
        <v>1.475900955</v>
      </c>
      <c r="AV62" s="132">
        <f>sum('Assumptions (NG non-electricity'!AT$6)*10^15*'Assumptions (O&amp;G Upstream)'!AU$312/'Assumptions (O&amp;G Upstream)'!AU$320/10^9/10^3*'Inflation GDP Population'!$S$18/'Inflation GDP Population'!AT$18</f>
        <v>1.510167547</v>
      </c>
      <c r="AW62" s="132">
        <f>sum('Assumptions (NG non-electricity'!AU$6)*10^15*'Assumptions (O&amp;G Upstream)'!AV$312/'Assumptions (O&amp;G Upstream)'!AV$320/10^9/10^3*'Inflation GDP Population'!$S$18/'Inflation GDP Population'!AU$18</f>
        <v>1.542648829</v>
      </c>
      <c r="AX62" s="132">
        <f>sum('Assumptions (NG non-electricity'!AV$6)*10^15*'Assumptions (O&amp;G Upstream)'!AW$312/'Assumptions (O&amp;G Upstream)'!AW$320/10^9/10^3*'Inflation GDP Population'!$S$18/'Inflation GDP Population'!AV$18</f>
        <v>1.56795961</v>
      </c>
      <c r="AY62" s="132">
        <f>sum('Assumptions (NG non-electricity'!AW$6)*10^15*'Assumptions (O&amp;G Upstream)'!AX$312/'Assumptions (O&amp;G Upstream)'!AX$320/10^9/10^3*'Inflation GDP Population'!$S$18/'Inflation GDP Population'!AW$18</f>
        <v>1.599907748</v>
      </c>
      <c r="AZ62" s="132">
        <f>sum('Assumptions (NG non-electricity'!AX$6)*10^15*'Assumptions (O&amp;G Upstream)'!AY$312/'Assumptions (O&amp;G Upstream)'!AY$320/10^9/10^3*'Inflation GDP Population'!$S$18/'Inflation GDP Population'!AX$18</f>
        <v>1.653182608</v>
      </c>
      <c r="BA62" s="132">
        <f>sum('Assumptions (NG non-electricity'!AY$6)*10^15*'Assumptions (O&amp;G Upstream)'!AZ$312/'Assumptions (O&amp;G Upstream)'!AZ$320/10^9/10^3*'Inflation GDP Population'!$S$18/'Inflation GDP Population'!AY$18</f>
        <v>1.696414024</v>
      </c>
      <c r="BB62" s="132">
        <f>sum('Assumptions (NG non-electricity'!AZ$6)*10^15*'Assumptions (O&amp;G Upstream)'!BA$312/'Assumptions (O&amp;G Upstream)'!BA$320/10^9/10^3*'Inflation GDP Population'!$S$18/'Inflation GDP Population'!AZ$18</f>
        <v>1.735201411</v>
      </c>
    </row>
    <row r="63" ht="15.75" customHeight="1">
      <c r="A63" s="119" t="s">
        <v>305</v>
      </c>
      <c r="B63" s="131" t="s">
        <v>306</v>
      </c>
      <c r="C63" s="120" t="s">
        <v>270</v>
      </c>
      <c r="D63" s="132">
        <f>'Transportation and Industrial G'!B$20*10^9*'Transportation and Industrial G'!B28/10^9</f>
        <v>0.8473717099</v>
      </c>
      <c r="E63" s="132">
        <f>'Transportation and Industrial G'!C$20*10^9*'Transportation and Industrial G'!C28/10^9</f>
        <v>0.8477967854</v>
      </c>
      <c r="F63" s="132">
        <f>'Transportation and Industrial G'!D$20*10^9*'Transportation and Industrial G'!D28/10^9</f>
        <v>0.8430755607</v>
      </c>
      <c r="G63" s="132">
        <f>'Transportation and Industrial G'!E$20*10^9*'Transportation and Industrial G'!E28/10^9</f>
        <v>0.8371868273</v>
      </c>
      <c r="H63" s="132">
        <f>'Transportation and Industrial G'!F$20*10^9*'Transportation and Industrial G'!F28/10^9</f>
        <v>0.9769384874</v>
      </c>
      <c r="I63" s="132">
        <f>'Transportation and Industrial G'!G$20*10^9*'Transportation and Industrial G'!G28/10^9</f>
        <v>1.179472444</v>
      </c>
      <c r="J63" s="132">
        <f>'Transportation and Industrial G'!H$20*10^9*'Transportation and Industrial G'!H28/10^9</f>
        <v>1.201243581</v>
      </c>
      <c r="K63" s="132">
        <f>'Transportation and Industrial G'!I$20*10^9*'Transportation and Industrial G'!I28/10^9</f>
        <v>1.124471515</v>
      </c>
      <c r="L63" s="132">
        <f>'Transportation and Industrial G'!J$20*10^9*'Transportation and Industrial G'!J28/10^9</f>
        <v>1.357082097</v>
      </c>
      <c r="M63" s="132">
        <f>'Transportation and Industrial G'!K$20*10^9*'Transportation and Industrial G'!K28/10^9</f>
        <v>1.287220208</v>
      </c>
      <c r="N63" s="132">
        <f>'Transportation and Industrial G'!L$20*10^9*'Transportation and Industrial G'!L28/10^9</f>
        <v>1.489404175</v>
      </c>
      <c r="O63" s="132">
        <f>'Transportation and Industrial G'!M$20*10^9*'Transportation and Industrial G'!M28/10^9</f>
        <v>1.64178146</v>
      </c>
      <c r="P63" s="132">
        <f>'Transportation and Industrial G'!N$20*10^9*'Transportation and Industrial G'!N28/10^9</f>
        <v>1.408444521</v>
      </c>
      <c r="Q63" s="132">
        <f>'Transportation and Industrial G'!O$20*10^9*'Transportation and Industrial G'!O28/10^9</f>
        <v>1.152690202</v>
      </c>
      <c r="R63" s="132">
        <f>'Transportation and Industrial G'!P$20*10^9*'Transportation and Industrial G'!P28/10^9</f>
        <v>0.9948082167</v>
      </c>
      <c r="S63" s="132">
        <f>'Transportation and Industrial G'!Q$20*10^9*'Transportation and Industrial G'!Q28/10^9</f>
        <v>0.7273134088</v>
      </c>
      <c r="T63" s="132">
        <f>'Transportation and Industrial G'!R$20*10^9*'Transportation and Industrial G'!R28/10^9</f>
        <v>0.5511083298</v>
      </c>
      <c r="U63" s="132">
        <f>'Transportation and Industrial G'!S$20*10^9*'Transportation and Industrial G'!S28/10^9</f>
        <v>0.6874100588</v>
      </c>
      <c r="V63" s="132">
        <f>'Transportation and Industrial G'!T$20*10^9*'Transportation and Industrial G'!T28/10^9</f>
        <v>0.771717811</v>
      </c>
      <c r="W63" s="132">
        <f>'Transportation and Industrial G'!U$20*10^9*'Transportation and Industrial G'!U28/10^9</f>
        <v>0.7231539004</v>
      </c>
      <c r="X63" s="132">
        <f>'Transportation and Industrial G'!V$20*10^9*'Transportation and Industrial G'!V28/10^9</f>
        <v>0.7056370563</v>
      </c>
      <c r="Y63" s="132">
        <f>'Transportation and Industrial G'!W$20*10^9*'Transportation and Industrial G'!W28/10^9</f>
        <v>0.6764418347</v>
      </c>
      <c r="Z63" s="132">
        <f>'Transportation and Industrial G'!X$20*10^9*'Transportation and Industrial G'!X28/10^9</f>
        <v>0.6649259181</v>
      </c>
      <c r="AA63" s="132">
        <f>'Transportation and Industrial G'!Y$20*10^9*'Transportation and Industrial G'!Y28/10^9</f>
        <v>0.659295793</v>
      </c>
      <c r="AB63" s="132">
        <f>'Transportation and Industrial G'!Z$20*10^9*'Transportation and Industrial G'!Z28/10^9</f>
        <v>0.6609776753</v>
      </c>
      <c r="AC63" s="132">
        <f>'Transportation and Industrial G'!AA$20*10^9*'Transportation and Industrial G'!AA28/10^9</f>
        <v>0.6626485922</v>
      </c>
      <c r="AD63" s="132">
        <f>'Transportation and Industrial G'!AB$20*10^9*'Transportation and Industrial G'!AB28/10^9</f>
        <v>0.6657621729</v>
      </c>
      <c r="AE63" s="132">
        <f>'Transportation and Industrial G'!AC$20*10^9*'Transportation and Industrial G'!AC28/10^9</f>
        <v>0.6703101936</v>
      </c>
      <c r="AF63" s="132">
        <f>'Transportation and Industrial G'!AD$20*10^9*'Transportation and Industrial G'!AD28/10^9</f>
        <v>0.6719399905</v>
      </c>
      <c r="AG63" s="132">
        <f>'Transportation and Industrial G'!AE$20*10^9*'Transportation and Industrial G'!AE28/10^9</f>
        <v>0.6778950376</v>
      </c>
      <c r="AH63" s="132">
        <f>'Transportation and Industrial G'!AF$20*10^9*'Transportation and Industrial G'!AF28/10^9</f>
        <v>0.6794946799</v>
      </c>
      <c r="AI63" s="132">
        <f>'Transportation and Industrial G'!AG$20*10^9*'Transportation and Industrial G'!AG28/10^9</f>
        <v>0.6839632018</v>
      </c>
      <c r="AJ63" s="132">
        <f>'Transportation and Industrial G'!AH$20*10^9*'Transportation and Industrial G'!AH28/10^9</f>
        <v>0.6869726119</v>
      </c>
      <c r="AK63" s="132">
        <f>'Transportation and Industrial G'!AI$20*10^9*'Transportation and Industrial G'!AI28/10^9</f>
        <v>0.6870966943</v>
      </c>
      <c r="AL63" s="132">
        <f>'Transportation and Industrial G'!AJ$20*10^9*'Transportation and Industrial G'!AJ28/10^9</f>
        <v>0.687215294</v>
      </c>
      <c r="AM63" s="132">
        <f>'Transportation and Industrial G'!AK$20*10^9*'Transportation and Industrial G'!AK28/10^9</f>
        <v>0.6901863254</v>
      </c>
      <c r="AN63" s="132">
        <f>'Transportation and Industrial G'!AL$20*10^9*'Transportation and Industrial G'!AL28/10^9</f>
        <v>0.691714693</v>
      </c>
      <c r="AO63" s="132">
        <f>'Transportation and Industrial G'!AM$20*10^9*'Transportation and Industrial G'!AM28/10^9</f>
        <v>0.6918086207</v>
      </c>
      <c r="AP63" s="132">
        <f>'Transportation and Industrial G'!AN$20*10^9*'Transportation and Industrial G'!AN28/10^9</f>
        <v>0.6933177989</v>
      </c>
      <c r="AQ63" s="132">
        <f>'Transportation and Industrial G'!AO$20*10^9*'Transportation and Industrial G'!AO28/10^9</f>
        <v>0.691980028</v>
      </c>
      <c r="AR63" s="132">
        <f>'Transportation and Industrial G'!AP$20*10^9*'Transportation and Industrial G'!AP28/10^9</f>
        <v>0.6920575077</v>
      </c>
      <c r="AS63" s="132">
        <f>'Transportation and Industrial G'!AQ$20*10^9*'Transportation and Industrial G'!AQ28/10^9</f>
        <v>0.693542014</v>
      </c>
      <c r="AT63" s="132">
        <f>'Transportation and Industrial G'!AR$20*10^9*'Transportation and Industrial G'!AR28/10^9</f>
        <v>0.693605787</v>
      </c>
      <c r="AU63" s="132">
        <f>'Transportation and Industrial G'!AS$20*10^9*'Transportation and Industrial G'!AS28/10^9</f>
        <v>0.6936640773</v>
      </c>
      <c r="AV63" s="132">
        <f>'Transportation and Industrial G'!AT$20*10^9*'Transportation and Industrial G'!AT28/10^9</f>
        <v>0.6951211702</v>
      </c>
      <c r="AW63" s="132">
        <f>'Transportation and Industrial G'!AU$20*10^9*'Transportation and Industrial G'!AU28/10^9</f>
        <v>0.6979688416</v>
      </c>
      <c r="AX63" s="132">
        <f>'Transportation and Industrial G'!AV$20*10^9*'Transportation and Industrial G'!AV28/10^9</f>
        <v>0.6966036574</v>
      </c>
      <c r="AY63" s="132">
        <f>'Transportation and Industrial G'!AW$20*10^9*'Transportation and Industrial G'!AW28/10^9</f>
        <v>0.6980305957</v>
      </c>
      <c r="AZ63" s="132">
        <f>'Transportation and Industrial G'!AX$20*10^9*'Transportation and Industrial G'!AX28/10^9</f>
        <v>0.6980532487</v>
      </c>
      <c r="BA63" s="132">
        <f>'Transportation and Industrial G'!AY$20*10^9*'Transportation and Industrial G'!AY28/10^9</f>
        <v>0.698070419</v>
      </c>
      <c r="BB63" s="132">
        <f>'Transportation and Industrial G'!AZ$20*10^9*'Transportation and Industrial G'!AZ28/10^9</f>
        <v>0.6980821067</v>
      </c>
    </row>
    <row r="64" ht="15.75" customHeight="1">
      <c r="A64" s="119" t="s">
        <v>307</v>
      </c>
      <c r="B64" s="131" t="s">
        <v>290</v>
      </c>
      <c r="C64" s="123" t="s">
        <v>273</v>
      </c>
      <c r="D64" s="133">
        <f>D55*1000/'Inflation GDP Population'!B$28</f>
        <v>124.566103</v>
      </c>
      <c r="E64" s="133">
        <f>E55*1000/'Inflation GDP Population'!C$28</f>
        <v>113.9244246</v>
      </c>
      <c r="F64" s="133">
        <f>F55*1000/'Inflation GDP Population'!D$28</f>
        <v>106.7090223</v>
      </c>
      <c r="G64" s="133">
        <f>G55*1000/'Inflation GDP Population'!E$28</f>
        <v>130.1190126</v>
      </c>
      <c r="H64" s="133">
        <f>H55*1000/'Inflation GDP Population'!F$28</f>
        <v>181.1929537</v>
      </c>
      <c r="I64" s="133">
        <f>I55*1000/'Inflation GDP Population'!G$28</f>
        <v>245.5969391</v>
      </c>
      <c r="J64" s="133">
        <f>J55*1000/'Inflation GDP Population'!H$28</f>
        <v>264.6437484</v>
      </c>
      <c r="K64" s="133">
        <f>K55*1000/'Inflation GDP Population'!I$28</f>
        <v>253.9689412</v>
      </c>
      <c r="L64" s="133">
        <f>L55*1000/'Inflation GDP Population'!J$28</f>
        <v>294.8328224</v>
      </c>
      <c r="M64" s="133">
        <f>M55*1000/'Inflation GDP Population'!K$28</f>
        <v>144.9857826</v>
      </c>
      <c r="N64" s="133">
        <f>N55*1000/'Inflation GDP Population'!L$28</f>
        <v>182.6337009</v>
      </c>
      <c r="O64" s="133">
        <f>O55*1000/'Inflation GDP Population'!M$28</f>
        <v>203.9013106</v>
      </c>
      <c r="P64" s="133">
        <f>P55*1000/'Inflation GDP Population'!N$28</f>
        <v>195.9291482</v>
      </c>
      <c r="Q64" s="133">
        <f>Q55*1000/'Inflation GDP Population'!O$28</f>
        <v>189.6533206</v>
      </c>
      <c r="R64" s="133">
        <f>R55*1000/'Inflation GDP Population'!P$28</f>
        <v>171.8478179</v>
      </c>
      <c r="S64" s="133">
        <f>S55*1000/'Inflation GDP Population'!Q$28</f>
        <v>90.51037978</v>
      </c>
      <c r="T64" s="133">
        <f>T55*1000/'Inflation GDP Population'!R$28</f>
        <v>84.60732705</v>
      </c>
      <c r="U64" s="133">
        <f>U55*1000/'Inflation GDP Population'!S$28</f>
        <v>100.2919172</v>
      </c>
      <c r="V64" s="133">
        <f>V55*1000/'Inflation GDP Population'!T$28</f>
        <v>125.3171106</v>
      </c>
      <c r="W64" s="133">
        <f>W55*1000/'Inflation GDP Population'!U$28</f>
        <v>131.9902604</v>
      </c>
      <c r="X64" s="133">
        <f>X55*1000/'Inflation GDP Population'!V$28</f>
        <v>136.8008703</v>
      </c>
      <c r="Y64" s="133">
        <f>Y55*1000/'Inflation GDP Population'!W$28</f>
        <v>140.7486676</v>
      </c>
      <c r="Z64" s="133">
        <f>Z55*1000/'Inflation GDP Population'!X$28</f>
        <v>140.151475</v>
      </c>
      <c r="AA64" s="133">
        <f>AA55*1000/'Inflation GDP Population'!Y$28</f>
        <v>144.0253355</v>
      </c>
      <c r="AB64" s="133">
        <f>AB55*1000/'Inflation GDP Population'!Z$28</f>
        <v>150.851536</v>
      </c>
      <c r="AC64" s="133">
        <f>AC55*1000/'Inflation GDP Population'!AA$28</f>
        <v>156.8175851</v>
      </c>
      <c r="AD64" s="133">
        <f>AD55*1000/'Inflation GDP Population'!AB$28</f>
        <v>161.6080165</v>
      </c>
      <c r="AE64" s="133">
        <f>AE55*1000/'Inflation GDP Population'!AC$28</f>
        <v>166.7825624</v>
      </c>
      <c r="AF64" s="133">
        <f>AF55*1000/'Inflation GDP Population'!AD$28</f>
        <v>170.7518687</v>
      </c>
      <c r="AG64" s="133">
        <f>AG55*1000/'Inflation GDP Population'!AE$28</f>
        <v>175.1046224</v>
      </c>
      <c r="AH64" s="133">
        <f>AH55*1000/'Inflation GDP Population'!AF$28</f>
        <v>178.2963676</v>
      </c>
      <c r="AI64" s="133">
        <f>AI55*1000/'Inflation GDP Population'!AG$28</f>
        <v>182.6849803</v>
      </c>
      <c r="AJ64" s="133">
        <f>AJ55*1000/'Inflation GDP Population'!AH$28</f>
        <v>185.6333477</v>
      </c>
      <c r="AK64" s="133">
        <f>AK55*1000/'Inflation GDP Population'!AI$28</f>
        <v>191.8314551</v>
      </c>
      <c r="AL64" s="133">
        <f>AL55*1000/'Inflation GDP Population'!AJ$28</f>
        <v>193.7974513</v>
      </c>
      <c r="AM64" s="133">
        <f>AM55*1000/'Inflation GDP Population'!AK$28</f>
        <v>197.7297539</v>
      </c>
      <c r="AN64" s="133">
        <f>AN55*1000/'Inflation GDP Population'!AL$28</f>
        <v>202.5218227</v>
      </c>
      <c r="AO64" s="133">
        <f>AO55*1000/'Inflation GDP Population'!AM$28</f>
        <v>202.6404727</v>
      </c>
      <c r="AP64" s="133">
        <f>AP55*1000/'Inflation GDP Population'!AN$28</f>
        <v>205.9254429</v>
      </c>
      <c r="AQ64" s="133">
        <f>AQ55*1000/'Inflation GDP Population'!AO$28</f>
        <v>208.3455654</v>
      </c>
      <c r="AR64" s="133">
        <f>AR55*1000/'Inflation GDP Population'!AP$28</f>
        <v>212.2892486</v>
      </c>
      <c r="AS64" s="133">
        <f>AS55*1000/'Inflation GDP Population'!AQ$28</f>
        <v>214.379811</v>
      </c>
      <c r="AT64" s="133">
        <f>AT55*1000/'Inflation GDP Population'!AR$28</f>
        <v>218.1210446</v>
      </c>
      <c r="AU64" s="133">
        <f>AU55*1000/'Inflation GDP Population'!AS$28</f>
        <v>219.6471108</v>
      </c>
      <c r="AV64" s="133">
        <f>AV55*1000/'Inflation GDP Population'!AT$28</f>
        <v>221.7835803</v>
      </c>
      <c r="AW64" s="133">
        <f>AW55*1000/'Inflation GDP Population'!AU$28</f>
        <v>223.9853905</v>
      </c>
      <c r="AX64" s="133">
        <f>AX55*1000/'Inflation GDP Population'!AV$28</f>
        <v>225.8051357</v>
      </c>
      <c r="AY64" s="133">
        <f>AY55*1000/'Inflation GDP Population'!AW$28</f>
        <v>227.5725121</v>
      </c>
      <c r="AZ64" s="133">
        <f>AZ55*1000/'Inflation GDP Population'!AX$28</f>
        <v>229.4163604</v>
      </c>
      <c r="BA64" s="133">
        <f>BA55*1000/'Inflation GDP Population'!AY$28</f>
        <v>230.806637</v>
      </c>
      <c r="BB64" s="133">
        <f>BB55*1000/'Inflation GDP Population'!AZ$28</f>
        <v>232.057073</v>
      </c>
    </row>
    <row r="65" ht="15.75" customHeight="1">
      <c r="A65" s="119" t="s">
        <v>308</v>
      </c>
      <c r="B65" s="131" t="s">
        <v>292</v>
      </c>
      <c r="C65" s="123" t="s">
        <v>273</v>
      </c>
      <c r="D65" s="133">
        <f>D56*1000/'Inflation GDP Population'!B$28</f>
        <v>16.75959761</v>
      </c>
      <c r="E65" s="133">
        <f>E56*1000/'Inflation GDP Population'!C$28</f>
        <v>13.9061786</v>
      </c>
      <c r="F65" s="133">
        <f>F56*1000/'Inflation GDP Population'!D$28</f>
        <v>11.10172515</v>
      </c>
      <c r="G65" s="133">
        <f>G56*1000/'Inflation GDP Population'!E$28</f>
        <v>14.87478077</v>
      </c>
      <c r="H65" s="133">
        <f>H56*1000/'Inflation GDP Population'!F$28</f>
        <v>18.55116568</v>
      </c>
      <c r="I65" s="133">
        <f>I56*1000/'Inflation GDP Population'!G$28</f>
        <v>21.44855938</v>
      </c>
      <c r="J65" s="133">
        <f>J56*1000/'Inflation GDP Population'!H$28</f>
        <v>23.98666242</v>
      </c>
      <c r="K65" s="133">
        <f>K56*1000/'Inflation GDP Population'!I$28</f>
        <v>25.58638771</v>
      </c>
      <c r="L65" s="133">
        <f>L56*1000/'Inflation GDP Population'!J$28</f>
        <v>32.85836034</v>
      </c>
      <c r="M65" s="133">
        <f>M56*1000/'Inflation GDP Population'!K$28</f>
        <v>20.8572916</v>
      </c>
      <c r="N65" s="133">
        <f>N56*1000/'Inflation GDP Population'!L$28</f>
        <v>25.75435232</v>
      </c>
      <c r="O65" s="133">
        <f>O56*1000/'Inflation GDP Population'!M$28</f>
        <v>27.44925481</v>
      </c>
      <c r="P65" s="133">
        <f>P56*1000/'Inflation GDP Population'!N$28</f>
        <v>25.89561946</v>
      </c>
      <c r="Q65" s="133">
        <f>Q56*1000/'Inflation GDP Population'!O$28</f>
        <v>23.15672392</v>
      </c>
      <c r="R65" s="133">
        <f>R56*1000/'Inflation GDP Population'!P$28</f>
        <v>24.11691127</v>
      </c>
      <c r="S65" s="133">
        <f>S56*1000/'Inflation GDP Population'!Q$28</f>
        <v>21.40319482</v>
      </c>
      <c r="T65" s="133">
        <f>T56*1000/'Inflation GDP Population'!R$28</f>
        <v>19.2041647</v>
      </c>
      <c r="U65" s="133">
        <f>U56*1000/'Inflation GDP Population'!S$28</f>
        <v>21.93331765</v>
      </c>
      <c r="V65" s="133">
        <f>V56*1000/'Inflation GDP Population'!T$28</f>
        <v>27.21601128</v>
      </c>
      <c r="W65" s="133">
        <f>W56*1000/'Inflation GDP Population'!U$28</f>
        <v>28.46838235</v>
      </c>
      <c r="X65" s="133">
        <f>X56*1000/'Inflation GDP Population'!V$28</f>
        <v>29.3053634</v>
      </c>
      <c r="Y65" s="133">
        <f>Y56*1000/'Inflation GDP Population'!W$28</f>
        <v>29.94814332</v>
      </c>
      <c r="Z65" s="133">
        <f>Z56*1000/'Inflation GDP Population'!X$28</f>
        <v>29.62239273</v>
      </c>
      <c r="AA65" s="133">
        <f>AA56*1000/'Inflation GDP Population'!Y$28</f>
        <v>30.24037672</v>
      </c>
      <c r="AB65" s="133">
        <f>AB56*1000/'Inflation GDP Population'!Z$28</f>
        <v>31.46678475</v>
      </c>
      <c r="AC65" s="133">
        <f>AC56*1000/'Inflation GDP Population'!AA$28</f>
        <v>32.49972875</v>
      </c>
      <c r="AD65" s="133">
        <f>AD56*1000/'Inflation GDP Population'!AB$28</f>
        <v>33.27804136</v>
      </c>
      <c r="AE65" s="133">
        <f>AE56*1000/'Inflation GDP Population'!AC$28</f>
        <v>34.12577033</v>
      </c>
      <c r="AF65" s="133">
        <f>AF56*1000/'Inflation GDP Population'!AD$28</f>
        <v>34.71849463</v>
      </c>
      <c r="AG65" s="133">
        <f>AG56*1000/'Inflation GDP Population'!AE$28</f>
        <v>35.38203669</v>
      </c>
      <c r="AH65" s="133">
        <f>AH56*1000/'Inflation GDP Population'!AF$28</f>
        <v>35.80496731</v>
      </c>
      <c r="AI65" s="133">
        <f>AI56*1000/'Inflation GDP Population'!AG$28</f>
        <v>36.46234132</v>
      </c>
      <c r="AJ65" s="133">
        <f>AJ56*1000/'Inflation GDP Population'!AH$28</f>
        <v>36.8267656</v>
      </c>
      <c r="AK65" s="133">
        <f>AK56*1000/'Inflation GDP Population'!AI$28</f>
        <v>37.82838707</v>
      </c>
      <c r="AL65" s="133">
        <f>AL56*1000/'Inflation GDP Population'!AJ$28</f>
        <v>37.98924389</v>
      </c>
      <c r="AM65" s="133">
        <f>AM56*1000/'Inflation GDP Population'!AK$28</f>
        <v>38.53212702</v>
      </c>
      <c r="AN65" s="133">
        <f>AN56*1000/'Inflation GDP Population'!AL$28</f>
        <v>39.23598563</v>
      </c>
      <c r="AO65" s="133">
        <f>AO56*1000/'Inflation GDP Population'!AM$28</f>
        <v>39.03226575</v>
      </c>
      <c r="AP65" s="133">
        <f>AP56*1000/'Inflation GDP Population'!AN$28</f>
        <v>39.43802065</v>
      </c>
      <c r="AQ65" s="133">
        <f>AQ56*1000/'Inflation GDP Population'!AO$28</f>
        <v>39.67521068</v>
      </c>
      <c r="AR65" s="133">
        <f>AR56*1000/'Inflation GDP Population'!AP$28</f>
        <v>40.198965</v>
      </c>
      <c r="AS65" s="133">
        <f>AS56*1000/'Inflation GDP Population'!AQ$28</f>
        <v>40.36865932</v>
      </c>
      <c r="AT65" s="133">
        <f>AT56*1000/'Inflation GDP Population'!AR$28</f>
        <v>40.84632031</v>
      </c>
      <c r="AU65" s="133">
        <f>AU56*1000/'Inflation GDP Population'!AS$28</f>
        <v>40.90692466</v>
      </c>
      <c r="AV65" s="133">
        <f>AV56*1000/'Inflation GDP Population'!AT$28</f>
        <v>41.08066082</v>
      </c>
      <c r="AW65" s="133">
        <f>AW56*1000/'Inflation GDP Population'!AU$28</f>
        <v>41.26528443</v>
      </c>
      <c r="AX65" s="133">
        <f>AX56*1000/'Inflation GDP Population'!AV$28</f>
        <v>41.37864007</v>
      </c>
      <c r="AY65" s="133">
        <f>AY56*1000/'Inflation GDP Population'!AW$28</f>
        <v>41.48196164</v>
      </c>
      <c r="AZ65" s="133">
        <f>AZ56*1000/'Inflation GDP Population'!AX$28</f>
        <v>41.5987713</v>
      </c>
      <c r="BA65" s="133">
        <f>BA56*1000/'Inflation GDP Population'!AY$28</f>
        <v>41.63325042</v>
      </c>
      <c r="BB65" s="133">
        <f>BB56*1000/'Inflation GDP Population'!AZ$28</f>
        <v>41.64297449</v>
      </c>
    </row>
    <row r="66" ht="15.75" customHeight="1">
      <c r="A66" s="119" t="s">
        <v>309</v>
      </c>
      <c r="B66" s="131" t="s">
        <v>294</v>
      </c>
      <c r="C66" s="123" t="s">
        <v>273</v>
      </c>
      <c r="D66" s="133">
        <f>D57*1000/'Inflation GDP Population'!B$28</f>
        <v>706.8671409</v>
      </c>
      <c r="E66" s="133">
        <f>E57*1000/'Inflation GDP Population'!C$28</f>
        <v>577.2935147</v>
      </c>
      <c r="F66" s="133">
        <f>F57*1000/'Inflation GDP Population'!D$28</f>
        <v>581.4636836</v>
      </c>
      <c r="G66" s="133">
        <f>G57*1000/'Inflation GDP Population'!E$28</f>
        <v>688.2044203</v>
      </c>
      <c r="H66" s="133">
        <f>H57*1000/'Inflation GDP Population'!F$28</f>
        <v>919.3800315</v>
      </c>
      <c r="I66" s="133">
        <f>I57*1000/'Inflation GDP Population'!G$28</f>
        <v>1211.927139</v>
      </c>
      <c r="J66" s="133">
        <f>J57*1000/'Inflation GDP Population'!H$28</f>
        <v>1356.591572</v>
      </c>
      <c r="K66" s="133">
        <f>K57*1000/'Inflation GDP Population'!I$28</f>
        <v>1416.675303</v>
      </c>
      <c r="L66" s="133">
        <f>L57*1000/'Inflation GDP Population'!J$28</f>
        <v>1800.891227</v>
      </c>
      <c r="M66" s="133">
        <f>M57*1000/'Inflation GDP Population'!K$28</f>
        <v>1088.771106</v>
      </c>
      <c r="N66" s="133">
        <f>N57*1000/'Inflation GDP Population'!L$28</f>
        <v>1401.643568</v>
      </c>
      <c r="O66" s="133">
        <f>O57*1000/'Inflation GDP Population'!M$28</f>
        <v>1600.208797</v>
      </c>
      <c r="P66" s="133">
        <f>P57*1000/'Inflation GDP Population'!N$28</f>
        <v>1488.73226</v>
      </c>
      <c r="Q66" s="133">
        <f>Q57*1000/'Inflation GDP Population'!O$28</f>
        <v>1543.499603</v>
      </c>
      <c r="R66" s="133">
        <f>R57*1000/'Inflation GDP Population'!P$28</f>
        <v>1427.330789</v>
      </c>
      <c r="S66" s="133">
        <f>S57*1000/'Inflation GDP Population'!Q$28</f>
        <v>759.845344</v>
      </c>
      <c r="T66" s="133">
        <f>T57*1000/'Inflation GDP Population'!R$28</f>
        <v>675.51129</v>
      </c>
      <c r="U66" s="133">
        <f>U57*1000/'Inflation GDP Population'!S$28</f>
        <v>769.4831926</v>
      </c>
      <c r="V66" s="133">
        <f>V57*1000/'Inflation GDP Population'!T$28</f>
        <v>946.571257</v>
      </c>
      <c r="W66" s="133">
        <f>W57*1000/'Inflation GDP Population'!U$28</f>
        <v>981.534763</v>
      </c>
      <c r="X66" s="133">
        <f>X57*1000/'Inflation GDP Population'!V$28</f>
        <v>1001.575735</v>
      </c>
      <c r="Y66" s="133">
        <f>Y57*1000/'Inflation GDP Population'!W$28</f>
        <v>1014.564801</v>
      </c>
      <c r="Z66" s="133">
        <f>Z57*1000/'Inflation GDP Population'!X$28</f>
        <v>994.6775806</v>
      </c>
      <c r="AA66" s="133">
        <f>AA57*1000/'Inflation GDP Population'!Y$28</f>
        <v>1006.422814</v>
      </c>
      <c r="AB66" s="133">
        <f>AB57*1000/'Inflation GDP Population'!Z$28</f>
        <v>1037.899191</v>
      </c>
      <c r="AC66" s="133">
        <f>AC57*1000/'Inflation GDP Population'!AA$28</f>
        <v>1062.356247</v>
      </c>
      <c r="AD66" s="133">
        <f>AD57*1000/'Inflation GDP Population'!AB$28</f>
        <v>1077.987177</v>
      </c>
      <c r="AE66" s="133">
        <f>AE57*1000/'Inflation GDP Population'!AC$28</f>
        <v>1095.421116</v>
      </c>
      <c r="AF66" s="133">
        <f>AF57*1000/'Inflation GDP Population'!AD$28</f>
        <v>1104.280457</v>
      </c>
      <c r="AG66" s="133">
        <f>AG57*1000/'Inflation GDP Population'!AE$28</f>
        <v>1115.059042</v>
      </c>
      <c r="AH66" s="133">
        <f>AH57*1000/'Inflation GDP Population'!AF$28</f>
        <v>1117.972585</v>
      </c>
      <c r="AI66" s="133">
        <f>AI57*1000/'Inflation GDP Population'!AG$28</f>
        <v>1127.927482</v>
      </c>
      <c r="AJ66" s="133">
        <f>AJ57*1000/'Inflation GDP Population'!AH$28</f>
        <v>1128.55955</v>
      </c>
      <c r="AK66" s="133">
        <f>AK57*1000/'Inflation GDP Population'!AI$28</f>
        <v>1148.360171</v>
      </c>
      <c r="AL66" s="133">
        <f>AL57*1000/'Inflation GDP Population'!AJ$28</f>
        <v>1142.339112</v>
      </c>
      <c r="AM66" s="133">
        <f>AM57*1000/'Inflation GDP Population'!AK$28</f>
        <v>1147.640227</v>
      </c>
      <c r="AN66" s="133">
        <f>AN57*1000/'Inflation GDP Population'!AL$28</f>
        <v>1157.416259</v>
      </c>
      <c r="AO66" s="133">
        <f>AO57*1000/'Inflation GDP Population'!AM$28</f>
        <v>1140.313888</v>
      </c>
      <c r="AP66" s="133">
        <f>AP57*1000/'Inflation GDP Population'!AN$28</f>
        <v>1140.996612</v>
      </c>
      <c r="AQ66" s="133">
        <f>AQ57*1000/'Inflation GDP Population'!AO$28</f>
        <v>1136.657359</v>
      </c>
      <c r="AR66" s="133">
        <f>AR57*1000/'Inflation GDP Population'!AP$28</f>
        <v>1140.350329</v>
      </c>
      <c r="AS66" s="133">
        <f>AS57*1000/'Inflation GDP Population'!AQ$28</f>
        <v>1133.841547</v>
      </c>
      <c r="AT66" s="133">
        <f>AT57*1000/'Inflation GDP Population'!AR$28</f>
        <v>1135.838601</v>
      </c>
      <c r="AU66" s="133">
        <f>AU57*1000/'Inflation GDP Population'!AS$28</f>
        <v>1126.125191</v>
      </c>
      <c r="AV66" s="133">
        <f>AV57*1000/'Inflation GDP Population'!AT$28</f>
        <v>1119.498223</v>
      </c>
      <c r="AW66" s="133">
        <f>AW57*1000/'Inflation GDP Population'!AU$28</f>
        <v>1113.105745</v>
      </c>
      <c r="AX66" s="133">
        <f>AX57*1000/'Inflation GDP Population'!AV$28</f>
        <v>1104.74561</v>
      </c>
      <c r="AY66" s="133">
        <f>AY57*1000/'Inflation GDP Population'!AW$28</f>
        <v>1096.094947</v>
      </c>
      <c r="AZ66" s="133">
        <f>AZ57*1000/'Inflation GDP Population'!AX$28</f>
        <v>1087.777219</v>
      </c>
      <c r="BA66" s="133">
        <f>BA57*1000/'Inflation GDP Population'!AY$28</f>
        <v>1077.302062</v>
      </c>
      <c r="BB66" s="133">
        <f>BB57*1000/'Inflation GDP Population'!AZ$28</f>
        <v>1066.211024</v>
      </c>
    </row>
    <row r="67" ht="15.75" customHeight="1">
      <c r="A67" s="119" t="s">
        <v>310</v>
      </c>
      <c r="B67" s="131" t="s">
        <v>296</v>
      </c>
      <c r="C67" s="123" t="s">
        <v>273</v>
      </c>
      <c r="D67" s="133">
        <f>D58*1000/'Inflation GDP Population'!B$28</f>
        <v>27.91045041</v>
      </c>
      <c r="E67" s="133">
        <f>E58*1000/'Inflation GDP Population'!C$28</f>
        <v>20.69689713</v>
      </c>
      <c r="F67" s="133">
        <f>F58*1000/'Inflation GDP Population'!D$28</f>
        <v>17.86148207</v>
      </c>
      <c r="G67" s="133">
        <f>G58*1000/'Inflation GDP Population'!E$28</f>
        <v>21.30470859</v>
      </c>
      <c r="H67" s="133">
        <f>H58*1000/'Inflation GDP Population'!F$28</f>
        <v>28.04512015</v>
      </c>
      <c r="I67" s="133">
        <f>I58*1000/'Inflation GDP Population'!G$28</f>
        <v>31.36092872</v>
      </c>
      <c r="J67" s="133">
        <f>J58*1000/'Inflation GDP Population'!H$28</f>
        <v>30.34096288</v>
      </c>
      <c r="K67" s="133">
        <f>K58*1000/'Inflation GDP Population'!I$28</f>
        <v>30.24292331</v>
      </c>
      <c r="L67" s="133">
        <f>L58*1000/'Inflation GDP Population'!J$28</f>
        <v>42.24300138</v>
      </c>
      <c r="M67" s="133">
        <f>M58*1000/'Inflation GDP Population'!K$28</f>
        <v>25.09564432</v>
      </c>
      <c r="N67" s="133">
        <f>N58*1000/'Inflation GDP Population'!L$28</f>
        <v>34.77037435</v>
      </c>
      <c r="O67" s="133">
        <f>O58*1000/'Inflation GDP Population'!M$28</f>
        <v>30.26136313</v>
      </c>
      <c r="P67" s="133">
        <f>P58*1000/'Inflation GDP Population'!N$28</f>
        <v>22.55404467</v>
      </c>
      <c r="Q67" s="133">
        <f>Q58*1000/'Inflation GDP Population'!O$28</f>
        <v>23.25419494</v>
      </c>
      <c r="R67" s="133">
        <f>R58*1000/'Inflation GDP Population'!P$28</f>
        <v>25.24319193</v>
      </c>
      <c r="S67" s="133">
        <f>S58*1000/'Inflation GDP Population'!Q$28</f>
        <v>12.94497293</v>
      </c>
      <c r="T67" s="133">
        <f>T58*1000/'Inflation GDP Population'!R$28</f>
        <v>10.2218602</v>
      </c>
      <c r="U67" s="133">
        <f>U58*1000/'Inflation GDP Population'!S$28</f>
        <v>10.18832427</v>
      </c>
      <c r="V67" s="133">
        <f>V58*1000/'Inflation GDP Population'!T$28</f>
        <v>12.52319464</v>
      </c>
      <c r="W67" s="133">
        <f>W58*1000/'Inflation GDP Population'!U$28</f>
        <v>12.97539574</v>
      </c>
      <c r="X67" s="133">
        <f>X58*1000/'Inflation GDP Population'!V$28</f>
        <v>13.22959739</v>
      </c>
      <c r="Y67" s="133">
        <f>Y58*1000/'Inflation GDP Population'!W$28</f>
        <v>13.39014287</v>
      </c>
      <c r="Z67" s="133">
        <f>Z58*1000/'Inflation GDP Population'!X$28</f>
        <v>13.1167093</v>
      </c>
      <c r="AA67" s="133">
        <f>AA58*1000/'Inflation GDP Population'!Y$28</f>
        <v>13.26033862</v>
      </c>
      <c r="AB67" s="133">
        <f>AB58*1000/'Inflation GDP Population'!Z$28</f>
        <v>13.66328713</v>
      </c>
      <c r="AC67" s="133">
        <f>AC58*1000/'Inflation GDP Population'!AA$28</f>
        <v>13.97301894</v>
      </c>
      <c r="AD67" s="133">
        <f>AD58*1000/'Inflation GDP Population'!AB$28</f>
        <v>14.1660167</v>
      </c>
      <c r="AE67" s="133">
        <f>AE58*1000/'Inflation GDP Population'!AC$28</f>
        <v>14.38213088</v>
      </c>
      <c r="AF67" s="133">
        <f>AF58*1000/'Inflation GDP Population'!AD$28</f>
        <v>14.48515787</v>
      </c>
      <c r="AG67" s="133">
        <f>AG58*1000/'Inflation GDP Population'!AE$28</f>
        <v>14.61292049</v>
      </c>
      <c r="AH67" s="133">
        <f>AH58*1000/'Inflation GDP Population'!AF$28</f>
        <v>14.63723549</v>
      </c>
      <c r="AI67" s="133">
        <f>AI58*1000/'Inflation GDP Population'!AG$28</f>
        <v>14.75336574</v>
      </c>
      <c r="AJ67" s="133">
        <f>AJ58*1000/'Inflation GDP Population'!AH$28</f>
        <v>14.74719912</v>
      </c>
      <c r="AK67" s="133">
        <f>AK58*1000/'Inflation GDP Population'!AI$28</f>
        <v>14.99102253</v>
      </c>
      <c r="AL67" s="133">
        <f>AL58*1000/'Inflation GDP Population'!AJ$28</f>
        <v>14.89734974</v>
      </c>
      <c r="AM67" s="133">
        <f>AM58*1000/'Inflation GDP Population'!AK$28</f>
        <v>14.95109968</v>
      </c>
      <c r="AN67" s="133">
        <f>AN58*1000/'Inflation GDP Population'!AL$28</f>
        <v>15.06269723</v>
      </c>
      <c r="AO67" s="133">
        <f>AO58*1000/'Inflation GDP Population'!AM$28</f>
        <v>14.82434671</v>
      </c>
      <c r="AP67" s="133">
        <f>AP58*1000/'Inflation GDP Population'!AN$28</f>
        <v>14.81717713</v>
      </c>
      <c r="AQ67" s="133">
        <f>AQ58*1000/'Inflation GDP Population'!AO$28</f>
        <v>14.74458078</v>
      </c>
      <c r="AR67" s="133">
        <f>AR58*1000/'Inflation GDP Population'!AP$28</f>
        <v>14.77591736</v>
      </c>
      <c r="AS67" s="133">
        <f>AS58*1000/'Inflation GDP Population'!AQ$28</f>
        <v>14.67483272</v>
      </c>
      <c r="AT67" s="133">
        <f>AT58*1000/'Inflation GDP Population'!AR$28</f>
        <v>14.68362027</v>
      </c>
      <c r="AU67" s="133">
        <f>AU58*1000/'Inflation GDP Population'!AS$28</f>
        <v>14.54084943</v>
      </c>
      <c r="AV67" s="133">
        <f>AV58*1000/'Inflation GDP Population'!AT$28</f>
        <v>14.43788899</v>
      </c>
      <c r="AW67" s="133">
        <f>AW58*1000/'Inflation GDP Population'!AU$28</f>
        <v>14.33785693</v>
      </c>
      <c r="AX67" s="133">
        <f>AX58*1000/'Inflation GDP Population'!AV$28</f>
        <v>14.21240919</v>
      </c>
      <c r="AY67" s="133">
        <f>AY58*1000/'Inflation GDP Population'!AW$28</f>
        <v>14.08318828</v>
      </c>
      <c r="AZ67" s="133">
        <f>AZ58*1000/'Inflation GDP Population'!AX$28</f>
        <v>13.95820783</v>
      </c>
      <c r="BA67" s="133">
        <f>BA58*1000/'Inflation GDP Population'!AY$28</f>
        <v>13.80553625</v>
      </c>
      <c r="BB67" s="133">
        <f>BB58*1000/'Inflation GDP Population'!AZ$28</f>
        <v>13.64501221</v>
      </c>
    </row>
    <row r="68" ht="15.75" customHeight="1">
      <c r="A68" s="119" t="s">
        <v>311</v>
      </c>
      <c r="B68" s="131" t="s">
        <v>312</v>
      </c>
      <c r="C68" s="123" t="s">
        <v>273</v>
      </c>
      <c r="D68" s="133">
        <f t="shared" ref="D68:BB68" si="6">sum(D64:D67)</f>
        <v>876.1032919</v>
      </c>
      <c r="E68" s="133">
        <f t="shared" si="6"/>
        <v>725.821015</v>
      </c>
      <c r="F68" s="133">
        <f t="shared" si="6"/>
        <v>717.1359131</v>
      </c>
      <c r="G68" s="133">
        <f t="shared" si="6"/>
        <v>854.5029222</v>
      </c>
      <c r="H68" s="133">
        <f t="shared" si="6"/>
        <v>1147.169271</v>
      </c>
      <c r="I68" s="133">
        <f t="shared" si="6"/>
        <v>1510.333566</v>
      </c>
      <c r="J68" s="133">
        <f t="shared" si="6"/>
        <v>1675.562946</v>
      </c>
      <c r="K68" s="133">
        <f t="shared" si="6"/>
        <v>1726.473555</v>
      </c>
      <c r="L68" s="133">
        <f t="shared" si="6"/>
        <v>2170.825411</v>
      </c>
      <c r="M68" s="133">
        <f t="shared" si="6"/>
        <v>1279.709824</v>
      </c>
      <c r="N68" s="133">
        <f t="shared" si="6"/>
        <v>1644.801996</v>
      </c>
      <c r="O68" s="133">
        <f t="shared" si="6"/>
        <v>1861.820725</v>
      </c>
      <c r="P68" s="133">
        <f t="shared" si="6"/>
        <v>1733.111073</v>
      </c>
      <c r="Q68" s="133">
        <f t="shared" si="6"/>
        <v>1779.563842</v>
      </c>
      <c r="R68" s="133">
        <f t="shared" si="6"/>
        <v>1648.53871</v>
      </c>
      <c r="S68" s="133">
        <f t="shared" si="6"/>
        <v>884.7038915</v>
      </c>
      <c r="T68" s="133">
        <f t="shared" si="6"/>
        <v>789.5446419</v>
      </c>
      <c r="U68" s="133">
        <f t="shared" si="6"/>
        <v>901.8967517</v>
      </c>
      <c r="V68" s="133">
        <f t="shared" si="6"/>
        <v>1111.627574</v>
      </c>
      <c r="W68" s="133">
        <f t="shared" si="6"/>
        <v>1154.968802</v>
      </c>
      <c r="X68" s="133">
        <f t="shared" si="6"/>
        <v>1180.911566</v>
      </c>
      <c r="Y68" s="133">
        <f t="shared" si="6"/>
        <v>1198.651755</v>
      </c>
      <c r="Z68" s="133">
        <f t="shared" si="6"/>
        <v>1177.568158</v>
      </c>
      <c r="AA68" s="133">
        <f t="shared" si="6"/>
        <v>1193.948865</v>
      </c>
      <c r="AB68" s="133">
        <f t="shared" si="6"/>
        <v>1233.880799</v>
      </c>
      <c r="AC68" s="133">
        <f t="shared" si="6"/>
        <v>1265.64658</v>
      </c>
      <c r="AD68" s="133">
        <f t="shared" si="6"/>
        <v>1287.039251</v>
      </c>
      <c r="AE68" s="133">
        <f t="shared" si="6"/>
        <v>1310.711579</v>
      </c>
      <c r="AF68" s="133">
        <f t="shared" si="6"/>
        <v>1324.235978</v>
      </c>
      <c r="AG68" s="133">
        <f t="shared" si="6"/>
        <v>1340.158621</v>
      </c>
      <c r="AH68" s="133">
        <f t="shared" si="6"/>
        <v>1346.711156</v>
      </c>
      <c r="AI68" s="133">
        <f t="shared" si="6"/>
        <v>1361.82817</v>
      </c>
      <c r="AJ68" s="133">
        <f t="shared" si="6"/>
        <v>1365.766862</v>
      </c>
      <c r="AK68" s="133">
        <f t="shared" si="6"/>
        <v>1393.011035</v>
      </c>
      <c r="AL68" s="133">
        <f t="shared" si="6"/>
        <v>1389.023157</v>
      </c>
      <c r="AM68" s="133">
        <f t="shared" si="6"/>
        <v>1398.853208</v>
      </c>
      <c r="AN68" s="133">
        <f t="shared" si="6"/>
        <v>1414.236765</v>
      </c>
      <c r="AO68" s="133">
        <f t="shared" si="6"/>
        <v>1396.810973</v>
      </c>
      <c r="AP68" s="133">
        <f t="shared" si="6"/>
        <v>1401.177253</v>
      </c>
      <c r="AQ68" s="133">
        <f t="shared" si="6"/>
        <v>1399.422716</v>
      </c>
      <c r="AR68" s="133">
        <f t="shared" si="6"/>
        <v>1407.61446</v>
      </c>
      <c r="AS68" s="133">
        <f t="shared" si="6"/>
        <v>1403.26485</v>
      </c>
      <c r="AT68" s="133">
        <f t="shared" si="6"/>
        <v>1409.489586</v>
      </c>
      <c r="AU68" s="133">
        <f t="shared" si="6"/>
        <v>1401.220076</v>
      </c>
      <c r="AV68" s="133">
        <f t="shared" si="6"/>
        <v>1396.800353</v>
      </c>
      <c r="AW68" s="133">
        <f t="shared" si="6"/>
        <v>1392.694277</v>
      </c>
      <c r="AX68" s="133">
        <f t="shared" si="6"/>
        <v>1386.141795</v>
      </c>
      <c r="AY68" s="133">
        <f t="shared" si="6"/>
        <v>1379.232609</v>
      </c>
      <c r="AZ68" s="133">
        <f t="shared" si="6"/>
        <v>1372.750559</v>
      </c>
      <c r="BA68" s="133">
        <f t="shared" si="6"/>
        <v>1363.547486</v>
      </c>
      <c r="BB68" s="133">
        <f t="shared" si="6"/>
        <v>1353.556084</v>
      </c>
    </row>
    <row r="69" ht="15.75" customHeight="1">
      <c r="A69" s="119" t="s">
        <v>313</v>
      </c>
      <c r="B69" s="131" t="s">
        <v>298</v>
      </c>
      <c r="C69" s="123" t="s">
        <v>273</v>
      </c>
      <c r="D69" s="133">
        <f>D59*1000/'Inflation GDP Population'!B$28</f>
        <v>150.5177325</v>
      </c>
      <c r="E69" s="133">
        <f>E59*1000/'Inflation GDP Population'!C$28</f>
        <v>111.1406035</v>
      </c>
      <c r="F69" s="133">
        <f>F59*1000/'Inflation GDP Population'!D$28</f>
        <v>97.68575642</v>
      </c>
      <c r="G69" s="133">
        <f>G59*1000/'Inflation GDP Population'!E$28</f>
        <v>147.4111147</v>
      </c>
      <c r="H69" s="133">
        <f>H59*1000/'Inflation GDP Population'!F$28</f>
        <v>153.8144005</v>
      </c>
      <c r="I69" s="133">
        <f>I59*1000/'Inflation GDP Population'!G$28</f>
        <v>206.2928613</v>
      </c>
      <c r="J69" s="133">
        <f>J59*1000/'Inflation GDP Population'!H$28</f>
        <v>154.6077607</v>
      </c>
      <c r="K69" s="133">
        <f>K59*1000/'Inflation GDP Population'!I$28</f>
        <v>152.9779674</v>
      </c>
      <c r="L69" s="133">
        <f>L59*1000/'Inflation GDP Population'!J$28</f>
        <v>184.8240953</v>
      </c>
      <c r="M69" s="133">
        <f>M59*1000/'Inflation GDP Population'!K$28</f>
        <v>74.61248101</v>
      </c>
      <c r="N69" s="133">
        <f>N59*1000/'Inflation GDP Population'!L$28</f>
        <v>89.38260949</v>
      </c>
      <c r="O69" s="133">
        <f>O59*1000/'Inflation GDP Population'!M$28</f>
        <v>81.57165266</v>
      </c>
      <c r="P69" s="133">
        <f>P59*1000/'Inflation GDP Population'!N$28</f>
        <v>56.56384678</v>
      </c>
      <c r="Q69" s="133">
        <f>Q59*1000/'Inflation GDP Population'!O$28</f>
        <v>78.28176137</v>
      </c>
      <c r="R69" s="133">
        <f>R59*1000/'Inflation GDP Population'!P$28</f>
        <v>91.15538267</v>
      </c>
      <c r="S69" s="133">
        <f>S59*1000/'Inflation GDP Population'!Q$28</f>
        <v>53.64747319</v>
      </c>
      <c r="T69" s="133">
        <f>T59*1000/'Inflation GDP Population'!R$28</f>
        <v>50.90526812</v>
      </c>
      <c r="U69" s="133">
        <f>U59*1000/'Inflation GDP Population'!S$28</f>
        <v>61.07373517</v>
      </c>
      <c r="V69" s="133">
        <f>V59*1000/'Inflation GDP Population'!T$28</f>
        <v>63.19306041</v>
      </c>
      <c r="W69" s="133">
        <f>W59*1000/'Inflation GDP Population'!U$28</f>
        <v>60.62895705</v>
      </c>
      <c r="X69" s="133">
        <f>X59*1000/'Inflation GDP Population'!V$28</f>
        <v>62.33266372</v>
      </c>
      <c r="Y69" s="133">
        <f>Y59*1000/'Inflation GDP Population'!W$28</f>
        <v>61.04827048</v>
      </c>
      <c r="Z69" s="133">
        <f>Z59*1000/'Inflation GDP Population'!X$28</f>
        <v>61.44927694</v>
      </c>
      <c r="AA69" s="133">
        <f>AA59*1000/'Inflation GDP Population'!Y$28</f>
        <v>64.37485585</v>
      </c>
      <c r="AB69" s="133">
        <f>AB59*1000/'Inflation GDP Population'!Z$28</f>
        <v>68.23680438</v>
      </c>
      <c r="AC69" s="133">
        <f>AC59*1000/'Inflation GDP Population'!AA$28</f>
        <v>73.18276991</v>
      </c>
      <c r="AD69" s="133">
        <f>AD59*1000/'Inflation GDP Population'!AB$28</f>
        <v>74.89374602</v>
      </c>
      <c r="AE69" s="133">
        <f>AE59*1000/'Inflation GDP Population'!AC$28</f>
        <v>75.61256535</v>
      </c>
      <c r="AF69" s="133">
        <f>AF59*1000/'Inflation GDP Population'!AD$28</f>
        <v>77.47040791</v>
      </c>
      <c r="AG69" s="133">
        <f>AG59*1000/'Inflation GDP Population'!AE$28</f>
        <v>78.02217557</v>
      </c>
      <c r="AH69" s="133">
        <f>AH59*1000/'Inflation GDP Population'!AF$28</f>
        <v>78.94962438</v>
      </c>
      <c r="AI69" s="133">
        <f>AI59*1000/'Inflation GDP Population'!AG$28</f>
        <v>78.87857779</v>
      </c>
      <c r="AJ69" s="133">
        <f>AJ59*1000/'Inflation GDP Population'!AH$28</f>
        <v>81.9446679</v>
      </c>
      <c r="AK69" s="133">
        <f>AK59*1000/'Inflation GDP Population'!AI$28</f>
        <v>83.46006167</v>
      </c>
      <c r="AL69" s="133">
        <f>AL59*1000/'Inflation GDP Population'!AJ$28</f>
        <v>84.6435887</v>
      </c>
      <c r="AM69" s="133">
        <f>AM59*1000/'Inflation GDP Population'!AK$28</f>
        <v>85.82394337</v>
      </c>
      <c r="AN69" s="133">
        <f>AN59*1000/'Inflation GDP Population'!AL$28</f>
        <v>87.78609428</v>
      </c>
      <c r="AO69" s="133">
        <f>AO59*1000/'Inflation GDP Population'!AM$28</f>
        <v>88.54522204</v>
      </c>
      <c r="AP69" s="133">
        <f>AP59*1000/'Inflation GDP Population'!AN$28</f>
        <v>89.09173143</v>
      </c>
      <c r="AQ69" s="133">
        <f>AQ59*1000/'Inflation GDP Population'!AO$28</f>
        <v>89.89847368</v>
      </c>
      <c r="AR69" s="133">
        <f>AR59*1000/'Inflation GDP Population'!AP$28</f>
        <v>91.53932296</v>
      </c>
      <c r="AS69" s="133">
        <f>AS59*1000/'Inflation GDP Population'!AQ$28</f>
        <v>91.59727102</v>
      </c>
      <c r="AT69" s="133">
        <f>AT59*1000/'Inflation GDP Population'!AR$28</f>
        <v>92.84893284</v>
      </c>
      <c r="AU69" s="133">
        <f>AU59*1000/'Inflation GDP Population'!AS$28</f>
        <v>94.54927591</v>
      </c>
      <c r="AV69" s="133">
        <f>AV59*1000/'Inflation GDP Population'!AT$28</f>
        <v>96.69154088</v>
      </c>
      <c r="AW69" s="133">
        <f>AW59*1000/'Inflation GDP Population'!AU$28</f>
        <v>98.71676194</v>
      </c>
      <c r="AX69" s="133">
        <f>AX59*1000/'Inflation GDP Population'!AV$28</f>
        <v>100.2806977</v>
      </c>
      <c r="AY69" s="133">
        <f>AY59*1000/'Inflation GDP Population'!AW$28</f>
        <v>102.2667083</v>
      </c>
      <c r="AZ69" s="133">
        <f>AZ59*1000/'Inflation GDP Population'!AX$28</f>
        <v>105.6124887</v>
      </c>
      <c r="BA69" s="133">
        <f>BA59*1000/'Inflation GDP Population'!AY$28</f>
        <v>108.312782</v>
      </c>
      <c r="BB69" s="133">
        <f>BB59*1000/'Inflation GDP Population'!AZ$28</f>
        <v>110.7259692</v>
      </c>
    </row>
    <row r="70" ht="15.75" customHeight="1">
      <c r="A70" s="119" t="s">
        <v>314</v>
      </c>
      <c r="B70" s="131" t="s">
        <v>300</v>
      </c>
      <c r="C70" s="123" t="s">
        <v>273</v>
      </c>
      <c r="D70" s="133">
        <f>D60*1000/'Inflation GDP Population'!B$28</f>
        <v>40.34679395</v>
      </c>
      <c r="E70" s="133">
        <f>E60*1000/'Inflation GDP Population'!C$28</f>
        <v>33.70626152</v>
      </c>
      <c r="F70" s="133">
        <f>F60*1000/'Inflation GDP Population'!D$28</f>
        <v>27.88069774</v>
      </c>
      <c r="G70" s="133">
        <f>G60*1000/'Inflation GDP Population'!E$28</f>
        <v>46.30769336</v>
      </c>
      <c r="H70" s="133">
        <f>H60*1000/'Inflation GDP Population'!F$28</f>
        <v>48.68580255</v>
      </c>
      <c r="I70" s="133">
        <f>I60*1000/'Inflation GDP Population'!G$28</f>
        <v>67.94146153</v>
      </c>
      <c r="J70" s="133">
        <f>J60*1000/'Inflation GDP Population'!H$28</f>
        <v>47.25568197</v>
      </c>
      <c r="K70" s="133">
        <f>K60*1000/'Inflation GDP Population'!I$28</f>
        <v>46.79883828</v>
      </c>
      <c r="L70" s="133">
        <f>L60*1000/'Inflation GDP Population'!J$28</f>
        <v>60.46128708</v>
      </c>
      <c r="M70" s="133">
        <f>M60*1000/'Inflation GDP Population'!K$28</f>
        <v>26.38408179</v>
      </c>
      <c r="N70" s="133">
        <f>N60*1000/'Inflation GDP Population'!L$28</f>
        <v>31.49043483</v>
      </c>
      <c r="O70" s="133">
        <f>O60*1000/'Inflation GDP Population'!M$28</f>
        <v>25.80510374</v>
      </c>
      <c r="P70" s="133">
        <f>P60*1000/'Inflation GDP Population'!N$28</f>
        <v>15.72750496</v>
      </c>
      <c r="Q70" s="133">
        <f>Q60*1000/'Inflation GDP Population'!O$28</f>
        <v>23.6214379</v>
      </c>
      <c r="R70" s="133">
        <f>R60*1000/'Inflation GDP Population'!P$28</f>
        <v>28.92562427</v>
      </c>
      <c r="S70" s="133">
        <f>S60*1000/'Inflation GDP Population'!Q$28</f>
        <v>15.62562132</v>
      </c>
      <c r="T70" s="133">
        <f>T60*1000/'Inflation GDP Population'!R$28</f>
        <v>14.24029372</v>
      </c>
      <c r="U70" s="133">
        <f>U60*1000/'Inflation GDP Population'!S$28</f>
        <v>15.94745679</v>
      </c>
      <c r="V70" s="133">
        <f>V60*1000/'Inflation GDP Population'!T$28</f>
        <v>16.50382289</v>
      </c>
      <c r="W70" s="133">
        <f>W60*1000/'Inflation GDP Population'!U$28</f>
        <v>15.83697233</v>
      </c>
      <c r="X70" s="133">
        <f>X60*1000/'Inflation GDP Population'!V$28</f>
        <v>16.28483475</v>
      </c>
      <c r="Y70" s="133">
        <f>Y60*1000/'Inflation GDP Population'!W$28</f>
        <v>15.95200915</v>
      </c>
      <c r="Z70" s="133">
        <f>Z60*1000/'Inflation GDP Population'!X$28</f>
        <v>16.05949688</v>
      </c>
      <c r="AA70" s="133">
        <f>AA60*1000/'Inflation GDP Population'!Y$28</f>
        <v>16.82687111</v>
      </c>
      <c r="AB70" s="133">
        <f>AB60*1000/'Inflation GDP Population'!Z$28</f>
        <v>17.8392485</v>
      </c>
      <c r="AC70" s="133">
        <f>AC60*1000/'Inflation GDP Population'!AA$28</f>
        <v>19.13534775</v>
      </c>
      <c r="AD70" s="133">
        <f>AD60*1000/'Inflation GDP Population'!AB$28</f>
        <v>19.58581291</v>
      </c>
      <c r="AE70" s="133">
        <f>AE60*1000/'Inflation GDP Population'!AC$28</f>
        <v>19.776866</v>
      </c>
      <c r="AF70" s="133">
        <f>AF60*1000/'Inflation GDP Population'!AD$28</f>
        <v>20.26589245</v>
      </c>
      <c r="AG70" s="133">
        <f>AG60*1000/'Inflation GDP Population'!AE$28</f>
        <v>20.4133042</v>
      </c>
      <c r="AH70" s="133">
        <f>AH60*1000/'Inflation GDP Population'!AF$28</f>
        <v>20.6590179</v>
      </c>
      <c r="AI70" s="133">
        <f>AI60*1000/'Inflation GDP Population'!AG$28</f>
        <v>20.64343872</v>
      </c>
      <c r="AJ70" s="133">
        <f>AJ60*1000/'Inflation GDP Population'!AH$28</f>
        <v>21.44895187</v>
      </c>
      <c r="AK70" s="133">
        <f>AK60*1000/'Inflation GDP Population'!AI$28</f>
        <v>21.84869689</v>
      </c>
      <c r="AL70" s="133">
        <f>AL60*1000/'Inflation GDP Population'!AJ$28</f>
        <v>22.16161725</v>
      </c>
      <c r="AM70" s="133">
        <f>AM60*1000/'Inflation GDP Population'!AK$28</f>
        <v>22.47374719</v>
      </c>
      <c r="AN70" s="133">
        <f>AN60*1000/'Inflation GDP Population'!AL$28</f>
        <v>22.99066417</v>
      </c>
      <c r="AO70" s="133">
        <f>AO60*1000/'Inflation GDP Population'!AM$28</f>
        <v>23.19256734</v>
      </c>
      <c r="AP70" s="133">
        <f>AP60*1000/'Inflation GDP Population'!AN$28</f>
        <v>23.33878037</v>
      </c>
      <c r="AQ70" s="133">
        <f>AQ60*1000/'Inflation GDP Population'!AO$28</f>
        <v>23.55316724</v>
      </c>
      <c r="AR70" s="133">
        <f>AR60*1000/'Inflation GDP Population'!AP$28</f>
        <v>23.98612695</v>
      </c>
      <c r="AS70" s="133">
        <f>AS60*1000/'Inflation GDP Population'!AQ$28</f>
        <v>24.00433133</v>
      </c>
      <c r="AT70" s="133">
        <f>AT60*1000/'Inflation GDP Population'!AR$28</f>
        <v>24.33536523</v>
      </c>
      <c r="AU70" s="133">
        <f>AU60*1000/'Inflation GDP Population'!AS$28</f>
        <v>24.78405009</v>
      </c>
      <c r="AV70" s="133">
        <f>AV60*1000/'Inflation GDP Population'!AT$28</f>
        <v>25.34865563</v>
      </c>
      <c r="AW70" s="133">
        <f>AW60*1000/'Inflation GDP Population'!AU$28</f>
        <v>25.88266591</v>
      </c>
      <c r="AX70" s="133">
        <f>AX60*1000/'Inflation GDP Population'!AV$28</f>
        <v>26.29580059</v>
      </c>
      <c r="AY70" s="133">
        <f>AY60*1000/'Inflation GDP Population'!AW$28</f>
        <v>26.8196792</v>
      </c>
      <c r="AZ70" s="133">
        <f>AZ60*1000/'Inflation GDP Population'!AX$28</f>
        <v>27.70027931</v>
      </c>
      <c r="BA70" s="133">
        <f>BA60*1000/'Inflation GDP Population'!AY$28</f>
        <v>28.41171734</v>
      </c>
      <c r="BB70" s="133">
        <f>BB60*1000/'Inflation GDP Population'!AZ$28</f>
        <v>29.04795174</v>
      </c>
    </row>
    <row r="71" ht="15.75" customHeight="1">
      <c r="A71" s="119" t="s">
        <v>315</v>
      </c>
      <c r="B71" s="131" t="s">
        <v>302</v>
      </c>
      <c r="C71" s="123" t="s">
        <v>273</v>
      </c>
      <c r="D71" s="133">
        <f>D61*1000/'Inflation GDP Population'!B$28</f>
        <v>15.24550041</v>
      </c>
      <c r="E71" s="133">
        <f>E61*1000/'Inflation GDP Population'!C$28</f>
        <v>12.98656014</v>
      </c>
      <c r="F71" s="133">
        <f>F61*1000/'Inflation GDP Population'!D$28</f>
        <v>10.39841945</v>
      </c>
      <c r="G71" s="133">
        <f>G61*1000/'Inflation GDP Population'!E$28</f>
        <v>15.61805629</v>
      </c>
      <c r="H71" s="133">
        <f>H61*1000/'Inflation GDP Population'!F$28</f>
        <v>13.58808426</v>
      </c>
      <c r="I71" s="133">
        <f>I61*1000/'Inflation GDP Population'!G$28</f>
        <v>18.00667699</v>
      </c>
      <c r="J71" s="133">
        <f>J61*1000/'Inflation GDP Population'!H$28</f>
        <v>13.39358311</v>
      </c>
      <c r="K71" s="133">
        <f>K61*1000/'Inflation GDP Population'!I$28</f>
        <v>14.87067501</v>
      </c>
      <c r="L71" s="133">
        <f>L61*1000/'Inflation GDP Population'!J$28</f>
        <v>19.16418213</v>
      </c>
      <c r="M71" s="133">
        <f>M61*1000/'Inflation GDP Population'!K$28</f>
        <v>9.278369111</v>
      </c>
      <c r="N71" s="133">
        <f>N61*1000/'Inflation GDP Population'!L$28</f>
        <v>10.43985754</v>
      </c>
      <c r="O71" s="133">
        <f>O61*1000/'Inflation GDP Population'!M$28</f>
        <v>9.822171446</v>
      </c>
      <c r="P71" s="133">
        <f>P61*1000/'Inflation GDP Population'!N$28</f>
        <v>7.951456502</v>
      </c>
      <c r="Q71" s="133">
        <f>Q61*1000/'Inflation GDP Population'!O$28</f>
        <v>6.869018306</v>
      </c>
      <c r="R71" s="133">
        <f>R61*1000/'Inflation GDP Population'!P$28</f>
        <v>7.104531409</v>
      </c>
      <c r="S71" s="133">
        <f>S61*1000/'Inflation GDP Population'!Q$28</f>
        <v>4.596552559</v>
      </c>
      <c r="T71" s="133">
        <f>T61*1000/'Inflation GDP Population'!R$28</f>
        <v>3.966563718</v>
      </c>
      <c r="U71" s="133">
        <f>U61*1000/'Inflation GDP Population'!S$28</f>
        <v>4.377016703</v>
      </c>
      <c r="V71" s="133">
        <f>V61*1000/'Inflation GDP Population'!T$28</f>
        <v>4.603611304</v>
      </c>
      <c r="W71" s="133">
        <f>W61*1000/'Inflation GDP Population'!U$28</f>
        <v>4.487296773</v>
      </c>
      <c r="X71" s="133">
        <f>X61*1000/'Inflation GDP Population'!V$28</f>
        <v>4.684654192</v>
      </c>
      <c r="Y71" s="133">
        <f>Y61*1000/'Inflation GDP Population'!W$28</f>
        <v>4.656773029</v>
      </c>
      <c r="Z71" s="133">
        <f>Z61*1000/'Inflation GDP Population'!X$28</f>
        <v>4.755336456</v>
      </c>
      <c r="AA71" s="133">
        <f>AA61*1000/'Inflation GDP Population'!Y$28</f>
        <v>5.051797563</v>
      </c>
      <c r="AB71" s="133">
        <f>AB61*1000/'Inflation GDP Population'!Z$28</f>
        <v>5.427937729</v>
      </c>
      <c r="AC71" s="133">
        <f>AC61*1000/'Inflation GDP Population'!AA$28</f>
        <v>5.898493934</v>
      </c>
      <c r="AD71" s="133">
        <f>AD61*1000/'Inflation GDP Population'!AB$28</f>
        <v>6.114083171</v>
      </c>
      <c r="AE71" s="133">
        <f>AE61*1000/'Inflation GDP Population'!AC$28</f>
        <v>6.249969693</v>
      </c>
      <c r="AF71" s="133">
        <f>AF61*1000/'Inflation GDP Population'!AD$28</f>
        <v>6.4814088</v>
      </c>
      <c r="AG71" s="133">
        <f>AG61*1000/'Inflation GDP Population'!AE$28</f>
        <v>6.604792204</v>
      </c>
      <c r="AH71" s="133">
        <f>AH61*1000/'Inflation GDP Population'!AF$28</f>
        <v>6.760248045</v>
      </c>
      <c r="AI71" s="133">
        <f>AI61*1000/'Inflation GDP Population'!AG$28</f>
        <v>6.829874196</v>
      </c>
      <c r="AJ71" s="133">
        <f>AJ61*1000/'Inflation GDP Population'!AH$28</f>
        <v>7.172827116</v>
      </c>
      <c r="AK71" s="133">
        <f>AK61*1000/'Inflation GDP Population'!AI$28</f>
        <v>7.383196179</v>
      </c>
      <c r="AL71" s="133">
        <f>AL61*1000/'Inflation GDP Population'!AJ$28</f>
        <v>7.565551634</v>
      </c>
      <c r="AM71" s="133">
        <f>AM61*1000/'Inflation GDP Population'!AK$28</f>
        <v>7.748633349</v>
      </c>
      <c r="AN71" s="133">
        <f>AN61*1000/'Inflation GDP Population'!AL$28</f>
        <v>8.003980915</v>
      </c>
      <c r="AO71" s="133">
        <f>AO61*1000/'Inflation GDP Population'!AM$28</f>
        <v>8.150921615</v>
      </c>
      <c r="AP71" s="133">
        <f>AP61*1000/'Inflation GDP Population'!AN$28</f>
        <v>8.278309881</v>
      </c>
      <c r="AQ71" s="133">
        <f>AQ61*1000/'Inflation GDP Population'!AO$28</f>
        <v>8.429937461</v>
      </c>
      <c r="AR71" s="133">
        <f>AR61*1000/'Inflation GDP Population'!AP$28</f>
        <v>8.660759808</v>
      </c>
      <c r="AS71" s="133">
        <f>AS61*1000/'Inflation GDP Population'!AQ$28</f>
        <v>8.742162679</v>
      </c>
      <c r="AT71" s="133">
        <f>AT61*1000/'Inflation GDP Population'!AR$28</f>
        <v>8.937503394</v>
      </c>
      <c r="AU71" s="133">
        <f>AU61*1000/'Inflation GDP Population'!AS$28</f>
        <v>9.177371958</v>
      </c>
      <c r="AV71" s="133">
        <f>AV61*1000/'Inflation GDP Population'!AT$28</f>
        <v>9.462156464</v>
      </c>
      <c r="AW71" s="133">
        <f>AW61*1000/'Inflation GDP Population'!AU$28</f>
        <v>9.737723695</v>
      </c>
      <c r="AX71" s="133">
        <f>AX61*1000/'Inflation GDP Population'!AV$28</f>
        <v>9.969531418</v>
      </c>
      <c r="AY71" s="133">
        <f>AY61*1000/'Inflation GDP Population'!AW$28</f>
        <v>10.24497564</v>
      </c>
      <c r="AZ71" s="133">
        <f>AZ61*1000/'Inflation GDP Population'!AX$28</f>
        <v>10.65962486</v>
      </c>
      <c r="BA71" s="133">
        <f>BA61*1000/'Inflation GDP Population'!AY$28</f>
        <v>11.01258614</v>
      </c>
      <c r="BB71" s="133">
        <f>BB61*1000/'Inflation GDP Population'!AZ$28</f>
        <v>11.33906301</v>
      </c>
    </row>
    <row r="72" ht="15.75" customHeight="1">
      <c r="A72" s="119" t="s">
        <v>316</v>
      </c>
      <c r="B72" s="131" t="s">
        <v>304</v>
      </c>
      <c r="C72" s="123" t="s">
        <v>273</v>
      </c>
      <c r="D72" s="133">
        <f>D62*1000/'Inflation GDP Population'!B$28</f>
        <v>67.53859945</v>
      </c>
      <c r="E72" s="133">
        <f>E62*1000/'Inflation GDP Population'!C$28</f>
        <v>55.83364398</v>
      </c>
      <c r="F72" s="133">
        <f>F62*1000/'Inflation GDP Population'!D$28</f>
        <v>47.18785227</v>
      </c>
      <c r="G72" s="133">
        <f>G62*1000/'Inflation GDP Population'!E$28</f>
        <v>76.6484905</v>
      </c>
      <c r="H72" s="133">
        <f>H62*1000/'Inflation GDP Population'!F$28</f>
        <v>75.95513622</v>
      </c>
      <c r="I72" s="133">
        <f>I62*1000/'Inflation GDP Population'!G$28</f>
        <v>106.6404922</v>
      </c>
      <c r="J72" s="133">
        <f>J62*1000/'Inflation GDP Population'!H$28</f>
        <v>70.06302201</v>
      </c>
      <c r="K72" s="133">
        <f>K62*1000/'Inflation GDP Population'!I$28</f>
        <v>69.82645821</v>
      </c>
      <c r="L72" s="133">
        <f>L62*1000/'Inflation GDP Population'!J$28</f>
        <v>92.88949763</v>
      </c>
      <c r="M72" s="133">
        <f>M62*1000/'Inflation GDP Population'!K$28</f>
        <v>40.00846742</v>
      </c>
      <c r="N72" s="133">
        <f>N62*1000/'Inflation GDP Population'!L$28</f>
        <v>50.05582377</v>
      </c>
      <c r="O72" s="133">
        <f>O62*1000/'Inflation GDP Population'!M$28</f>
        <v>37.65133916</v>
      </c>
      <c r="P72" s="133">
        <f>P62*1000/'Inflation GDP Population'!N$28</f>
        <v>21.15938234</v>
      </c>
      <c r="Q72" s="133">
        <f>Q62*1000/'Inflation GDP Population'!O$28</f>
        <v>35.31572443</v>
      </c>
      <c r="R72" s="133">
        <f>R62*1000/'Inflation GDP Population'!P$28</f>
        <v>44.48112578</v>
      </c>
      <c r="S72" s="133">
        <f>S62*1000/'Inflation GDP Population'!Q$28</f>
        <v>22.63164593</v>
      </c>
      <c r="T72" s="133">
        <f>T62*1000/'Inflation GDP Population'!R$28</f>
        <v>20.18778238</v>
      </c>
      <c r="U72" s="133">
        <f>U62*1000/'Inflation GDP Population'!S$28</f>
        <v>23.34437873</v>
      </c>
      <c r="V72" s="133">
        <f>V62*1000/'Inflation GDP Population'!T$28</f>
        <v>23.97428838</v>
      </c>
      <c r="W72" s="133">
        <f>W62*1000/'Inflation GDP Population'!U$28</f>
        <v>22.83154294</v>
      </c>
      <c r="X72" s="133">
        <f>X62*1000/'Inflation GDP Population'!V$28</f>
        <v>23.30126497</v>
      </c>
      <c r="Y72" s="133">
        <f>Y62*1000/'Inflation GDP Population'!W$28</f>
        <v>22.65557806</v>
      </c>
      <c r="Z72" s="133">
        <f>Z62*1000/'Inflation GDP Population'!X$28</f>
        <v>22.64046639</v>
      </c>
      <c r="AA72" s="133">
        <f>AA62*1000/'Inflation GDP Population'!Y$28</f>
        <v>23.54941024</v>
      </c>
      <c r="AB72" s="133">
        <f>AB62*1000/'Inflation GDP Population'!Z$28</f>
        <v>24.78594734</v>
      </c>
      <c r="AC72" s="133">
        <f>AC62*1000/'Inflation GDP Population'!AA$28</f>
        <v>26.39649205</v>
      </c>
      <c r="AD72" s="133">
        <f>AD62*1000/'Inflation GDP Population'!AB$28</f>
        <v>26.8262809</v>
      </c>
      <c r="AE72" s="133">
        <f>AE62*1000/'Inflation GDP Population'!AC$28</f>
        <v>26.89756787</v>
      </c>
      <c r="AF72" s="133">
        <f>AF62*1000/'Inflation GDP Population'!AD$28</f>
        <v>27.37065373</v>
      </c>
      <c r="AG72" s="133">
        <f>AG62*1000/'Inflation GDP Population'!AE$28</f>
        <v>27.37936843</v>
      </c>
      <c r="AH72" s="133">
        <f>AH62*1000/'Inflation GDP Population'!AF$28</f>
        <v>27.51926519</v>
      </c>
      <c r="AI72" s="133">
        <f>AI62*1000/'Inflation GDP Population'!AG$28</f>
        <v>27.31191766</v>
      </c>
      <c r="AJ72" s="133">
        <f>AJ62*1000/'Inflation GDP Population'!AH$28</f>
        <v>28.1867342</v>
      </c>
      <c r="AK72" s="133">
        <f>AK62*1000/'Inflation GDP Population'!AI$28</f>
        <v>28.52055061</v>
      </c>
      <c r="AL72" s="133">
        <f>AL62*1000/'Inflation GDP Population'!AJ$28</f>
        <v>28.73771657</v>
      </c>
      <c r="AM72" s="133">
        <f>AM62*1000/'Inflation GDP Population'!AK$28</f>
        <v>28.95137019</v>
      </c>
      <c r="AN72" s="133">
        <f>AN62*1000/'Inflation GDP Population'!AL$28</f>
        <v>29.42469616</v>
      </c>
      <c r="AO72" s="133">
        <f>AO62*1000/'Inflation GDP Population'!AM$28</f>
        <v>29.49169858</v>
      </c>
      <c r="AP72" s="133">
        <f>AP62*1000/'Inflation GDP Population'!AN$28</f>
        <v>29.48783637</v>
      </c>
      <c r="AQ72" s="133">
        <f>AQ62*1000/'Inflation GDP Population'!AO$28</f>
        <v>29.56996509</v>
      </c>
      <c r="AR72" s="133">
        <f>AR62*1000/'Inflation GDP Population'!AP$28</f>
        <v>29.9240923</v>
      </c>
      <c r="AS72" s="133">
        <f>AS62*1000/'Inflation GDP Population'!AQ$28</f>
        <v>29.7599446</v>
      </c>
      <c r="AT72" s="133">
        <f>AT62*1000/'Inflation GDP Population'!AR$28</f>
        <v>29.98361449</v>
      </c>
      <c r="AU72" s="133">
        <f>AU62*1000/'Inflation GDP Population'!AS$28</f>
        <v>30.34894876</v>
      </c>
      <c r="AV72" s="133">
        <f>AV62*1000/'Inflation GDP Population'!AT$28</f>
        <v>30.85125958</v>
      </c>
      <c r="AW72" s="133">
        <f>AW62*1000/'Inflation GDP Population'!AU$28</f>
        <v>31.31083162</v>
      </c>
      <c r="AX72" s="133">
        <f>AX62*1000/'Inflation GDP Population'!AV$28</f>
        <v>31.61989024</v>
      </c>
      <c r="AY72" s="133">
        <f>AY62*1000/'Inflation GDP Population'!AW$28</f>
        <v>32.05799444</v>
      </c>
      <c r="AZ72" s="133">
        <f>AZ62*1000/'Inflation GDP Population'!AX$28</f>
        <v>32.9151539</v>
      </c>
      <c r="BA72" s="133">
        <f>BA62*1000/'Inflation GDP Population'!AY$28</f>
        <v>33.56279193</v>
      </c>
      <c r="BB72" s="133">
        <f>BB62*1000/'Inflation GDP Population'!AZ$28</f>
        <v>34.11493687</v>
      </c>
    </row>
    <row r="73" ht="15.75" customHeight="1">
      <c r="A73" s="119" t="s">
        <v>317</v>
      </c>
      <c r="B73" s="131" t="s">
        <v>318</v>
      </c>
      <c r="C73" s="123" t="s">
        <v>273</v>
      </c>
      <c r="D73" s="133">
        <f>sum(D59:D62)*1000/'Inflation GDP Population'!B$28</f>
        <v>273.6486263</v>
      </c>
      <c r="E73" s="133">
        <f>sum(E59:E62)*1000/'Inflation GDP Population'!C$28</f>
        <v>213.6670691</v>
      </c>
      <c r="F73" s="133">
        <f>sum(F59:F62)*1000/'Inflation GDP Population'!D$28</f>
        <v>183.1527259</v>
      </c>
      <c r="G73" s="133">
        <f>sum(G59:G62)*1000/'Inflation GDP Population'!E$28</f>
        <v>285.9853548</v>
      </c>
      <c r="H73" s="133">
        <f>sum(H59:H62)*1000/'Inflation GDP Population'!F$28</f>
        <v>292.0434236</v>
      </c>
      <c r="I73" s="133">
        <f>sum(I59:I62)*1000/'Inflation GDP Population'!G$28</f>
        <v>398.8814921</v>
      </c>
      <c r="J73" s="133">
        <f>sum(J59:J62)*1000/'Inflation GDP Population'!H$28</f>
        <v>285.3200478</v>
      </c>
      <c r="K73" s="133">
        <f>sum(K59:K62)*1000/'Inflation GDP Population'!I$28</f>
        <v>284.4739389</v>
      </c>
      <c r="L73" s="133">
        <f>sum(L59:L62)*1000/'Inflation GDP Population'!J$28</f>
        <v>357.3390622</v>
      </c>
      <c r="M73" s="133">
        <f>sum(M59:M62)*1000/'Inflation GDP Population'!K$28</f>
        <v>150.2833993</v>
      </c>
      <c r="N73" s="133">
        <f>sum(N59:N62)*1000/'Inflation GDP Population'!L$28</f>
        <v>181.3687256</v>
      </c>
      <c r="O73" s="133">
        <f>sum(O59:O62)*1000/'Inflation GDP Population'!M$28</f>
        <v>154.850267</v>
      </c>
      <c r="P73" s="133">
        <f>sum(P59:P62)*1000/'Inflation GDP Population'!N$28</f>
        <v>101.4021906</v>
      </c>
      <c r="Q73" s="133">
        <f>sum(Q59:Q62)*1000/'Inflation GDP Population'!O$28</f>
        <v>144.087942</v>
      </c>
      <c r="R73" s="133">
        <f>sum(R59:R62)*1000/'Inflation GDP Population'!P$28</f>
        <v>171.6666641</v>
      </c>
      <c r="S73" s="133">
        <f>sum(S59:S62)*1000/'Inflation GDP Population'!Q$28</f>
        <v>96.501293</v>
      </c>
      <c r="T73" s="133">
        <f>sum(T59:T62)*1000/'Inflation GDP Population'!R$28</f>
        <v>89.29990793</v>
      </c>
      <c r="U73" s="133">
        <f>sum(U59:U62)*1000/'Inflation GDP Population'!S$28</f>
        <v>104.7425874</v>
      </c>
      <c r="V73" s="133">
        <f>sum(V59:V62)*1000/'Inflation GDP Population'!T$28</f>
        <v>108.274783</v>
      </c>
      <c r="W73" s="133">
        <f>sum(W59:W62)*1000/'Inflation GDP Population'!U$28</f>
        <v>103.7847691</v>
      </c>
      <c r="X73" s="133">
        <f>sum(X59:X62)*1000/'Inflation GDP Population'!V$28</f>
        <v>106.6034176</v>
      </c>
      <c r="Y73" s="133">
        <f>sum(Y59:Y62)*1000/'Inflation GDP Population'!W$28</f>
        <v>104.3126307</v>
      </c>
      <c r="Z73" s="133">
        <f>sum(Z59:Z62)*1000/'Inflation GDP Population'!X$28</f>
        <v>104.9045767</v>
      </c>
      <c r="AA73" s="133">
        <f>sum(AA59:AA62)*1000/'Inflation GDP Population'!Y$28</f>
        <v>109.8029348</v>
      </c>
      <c r="AB73" s="133">
        <f>sum(AB59:AB62)*1000/'Inflation GDP Population'!Z$28</f>
        <v>116.289938</v>
      </c>
      <c r="AC73" s="133">
        <f>sum(AC59:AC62)*1000/'Inflation GDP Population'!AA$28</f>
        <v>124.6131036</v>
      </c>
      <c r="AD73" s="133">
        <f>sum(AD59:AD62)*1000/'Inflation GDP Population'!AB$28</f>
        <v>127.419923</v>
      </c>
      <c r="AE73" s="133">
        <f>sum(AE59:AE62)*1000/'Inflation GDP Population'!AC$28</f>
        <v>128.5369689</v>
      </c>
      <c r="AF73" s="133">
        <f>sum(AF59:AF62)*1000/'Inflation GDP Population'!AD$28</f>
        <v>131.5883629</v>
      </c>
      <c r="AG73" s="133">
        <f>sum(AG59:AG62)*1000/'Inflation GDP Population'!AE$28</f>
        <v>132.4196404</v>
      </c>
      <c r="AH73" s="133">
        <f>sum(AH59:AH62)*1000/'Inflation GDP Population'!AF$28</f>
        <v>133.8881555</v>
      </c>
      <c r="AI73" s="133">
        <f>sum(AI59:AI62)*1000/'Inflation GDP Population'!AG$28</f>
        <v>133.6638084</v>
      </c>
      <c r="AJ73" s="133">
        <f>sum(AJ59:AJ62)*1000/'Inflation GDP Population'!AH$28</f>
        <v>138.7531811</v>
      </c>
      <c r="AK73" s="133">
        <f>sum(AK59:AK62)*1000/'Inflation GDP Population'!AI$28</f>
        <v>141.2125054</v>
      </c>
      <c r="AL73" s="133">
        <f>sum(AL59:AL62)*1000/'Inflation GDP Population'!AJ$28</f>
        <v>143.1084742</v>
      </c>
      <c r="AM73" s="133">
        <f>sum(AM59:AM62)*1000/'Inflation GDP Population'!AK$28</f>
        <v>144.9976941</v>
      </c>
      <c r="AN73" s="133">
        <f>sum(AN59:AN62)*1000/'Inflation GDP Population'!AL$28</f>
        <v>148.2054355</v>
      </c>
      <c r="AO73" s="133">
        <f>sum(AO59:AO62)*1000/'Inflation GDP Population'!AM$28</f>
        <v>149.3804096</v>
      </c>
      <c r="AP73" s="133">
        <f>sum(AP59:AP62)*1000/'Inflation GDP Population'!AN$28</f>
        <v>150.1966581</v>
      </c>
      <c r="AQ73" s="133">
        <f>sum(AQ59:AQ62)*1000/'Inflation GDP Population'!AO$28</f>
        <v>151.4515435</v>
      </c>
      <c r="AR73" s="133">
        <f>sum(AR59:AR62)*1000/'Inflation GDP Population'!AP$28</f>
        <v>154.110302</v>
      </c>
      <c r="AS73" s="133">
        <f>sum(AS59:AS62)*1000/'Inflation GDP Population'!AQ$28</f>
        <v>154.1037096</v>
      </c>
      <c r="AT73" s="133">
        <f>sum(AT59:AT62)*1000/'Inflation GDP Population'!AR$28</f>
        <v>156.105416</v>
      </c>
      <c r="AU73" s="133">
        <f>sum(AU59:AU62)*1000/'Inflation GDP Population'!AS$28</f>
        <v>158.8596467</v>
      </c>
      <c r="AV73" s="133">
        <f>sum(AV59:AV62)*1000/'Inflation GDP Population'!AT$28</f>
        <v>162.3536126</v>
      </c>
      <c r="AW73" s="133">
        <f>sum(AW59:AW62)*1000/'Inflation GDP Population'!AU$28</f>
        <v>165.6479832</v>
      </c>
      <c r="AX73" s="133">
        <f>sum(AX59:AX62)*1000/'Inflation GDP Population'!AV$28</f>
        <v>168.16592</v>
      </c>
      <c r="AY73" s="133">
        <f>sum(AY59:AY62)*1000/'Inflation GDP Population'!AW$28</f>
        <v>171.3893575</v>
      </c>
      <c r="AZ73" s="133">
        <f>sum(AZ59:AZ62)*1000/'Inflation GDP Population'!AX$28</f>
        <v>176.8875468</v>
      </c>
      <c r="BA73" s="133">
        <f>sum(BA59:BA62)*1000/'Inflation GDP Population'!AY$28</f>
        <v>181.2998774</v>
      </c>
      <c r="BB73" s="133">
        <f>sum(BB59:BB62)*1000/'Inflation GDP Population'!AZ$28</f>
        <v>185.2279209</v>
      </c>
    </row>
    <row r="74" ht="15.75" customHeight="1">
      <c r="A74" s="119" t="s">
        <v>319</v>
      </c>
      <c r="B74" s="131" t="s">
        <v>306</v>
      </c>
      <c r="C74" s="123" t="s">
        <v>273</v>
      </c>
      <c r="D74" s="133">
        <f>D63*1000/'Inflation GDP Population'!B$28</f>
        <v>25.41806173</v>
      </c>
      <c r="E74" s="133">
        <f>E63*1000/'Inflation GDP Population'!C$28</f>
        <v>25.13959035</v>
      </c>
      <c r="F74" s="133">
        <f>F63*1000/'Inflation GDP Population'!D$28</f>
        <v>24.74035405</v>
      </c>
      <c r="G74" s="133">
        <f>G63*1000/'Inflation GDP Population'!E$28</f>
        <v>24.3260734</v>
      </c>
      <c r="H74" s="133">
        <f>H63*1000/'Inflation GDP Population'!F$28</f>
        <v>28.02151348</v>
      </c>
      <c r="I74" s="133">
        <f>I63*1000/'Inflation GDP Population'!G$28</f>
        <v>33.34830846</v>
      </c>
      <c r="J74" s="133">
        <f>J63*1000/'Inflation GDP Population'!H$28</f>
        <v>33.31821923</v>
      </c>
      <c r="K74" s="133">
        <f>K63*1000/'Inflation GDP Population'!I$28</f>
        <v>30.64869365</v>
      </c>
      <c r="L74" s="133">
        <f>L63*1000/'Inflation GDP Population'!J$28</f>
        <v>36.42517176</v>
      </c>
      <c r="M74" s="133">
        <f>M63*1000/'Inflation GDP Population'!K$28</f>
        <v>34.15916183</v>
      </c>
      <c r="N74" s="133">
        <f>N63*1000/'Inflation GDP Population'!L$28</f>
        <v>39.17145928</v>
      </c>
      <c r="O74" s="133">
        <f>O63*1000/'Inflation GDP Population'!M$28</f>
        <v>42.86135653</v>
      </c>
      <c r="P74" s="133">
        <f>P63*1000/'Inflation GDP Population'!N$28</f>
        <v>36.47086881</v>
      </c>
      <c r="Q74" s="133">
        <f>Q63*1000/'Inflation GDP Population'!O$28</f>
        <v>29.63688764</v>
      </c>
      <c r="R74" s="133">
        <f>R63*1000/'Inflation GDP Population'!P$28</f>
        <v>25.37732818</v>
      </c>
      <c r="S74" s="133">
        <f>S63*1000/'Inflation GDP Population'!Q$28</f>
        <v>18.39478732</v>
      </c>
      <c r="T74" s="133">
        <f>T63*1000/'Inflation GDP Population'!R$28</f>
        <v>13.8061036</v>
      </c>
      <c r="U74" s="133">
        <f>U63*1000/'Inflation GDP Population'!S$28</f>
        <v>17.0663625</v>
      </c>
      <c r="V74" s="133">
        <f>V63*1000/'Inflation GDP Population'!T$28</f>
        <v>18.99302967</v>
      </c>
      <c r="W74" s="133">
        <f>W63*1000/'Inflation GDP Population'!U$28</f>
        <v>17.66521364</v>
      </c>
      <c r="X74" s="133">
        <f>X63*1000/'Inflation GDP Population'!V$28</f>
        <v>17.10984533</v>
      </c>
      <c r="Y74" s="133">
        <f>Y63*1000/'Inflation GDP Population'!W$28</f>
        <v>16.26436088</v>
      </c>
      <c r="Z74" s="133">
        <f>Z63*1000/'Inflation GDP Population'!X$28</f>
        <v>15.85448723</v>
      </c>
      <c r="AA74" s="133">
        <f>AA63*1000/'Inflation GDP Population'!Y$28</f>
        <v>15.59055907</v>
      </c>
      <c r="AB74" s="133">
        <f>AB63*1000/'Inflation GDP Population'!Z$28</f>
        <v>15.50244424</v>
      </c>
      <c r="AC74" s="133">
        <f>AC63*1000/'Inflation GDP Population'!AA$28</f>
        <v>15.41550452</v>
      </c>
      <c r="AD74" s="133">
        <f>AD63*1000/'Inflation GDP Population'!AB$28</f>
        <v>15.36325575</v>
      </c>
      <c r="AE74" s="133">
        <f>AE63*1000/'Inflation GDP Population'!AC$28</f>
        <v>15.34467856</v>
      </c>
      <c r="AF74" s="133">
        <f>AF63*1000/'Inflation GDP Population'!AD$28</f>
        <v>15.26012129</v>
      </c>
      <c r="AG74" s="133">
        <f>AG63*1000/'Inflation GDP Population'!AE$28</f>
        <v>15.27434999</v>
      </c>
      <c r="AH74" s="133">
        <f>AH63*1000/'Inflation GDP Population'!AF$28</f>
        <v>15.19098601</v>
      </c>
      <c r="AI74" s="133">
        <f>AI63*1000/'Inflation GDP Population'!AG$28</f>
        <v>15.19089716</v>
      </c>
      <c r="AJ74" s="133">
        <f>AJ63*1000/'Inflation GDP Population'!AH$28</f>
        <v>15.15861297</v>
      </c>
      <c r="AK74" s="133">
        <f>AK63*1000/'Inflation GDP Population'!AI$28</f>
        <v>15.06348938</v>
      </c>
      <c r="AL74" s="133">
        <f>AL63*1000/'Inflation GDP Population'!AJ$28</f>
        <v>14.96946647</v>
      </c>
      <c r="AM74" s="133">
        <f>AM63*1000/'Inflation GDP Population'!AK$28</f>
        <v>14.93837985</v>
      </c>
      <c r="AN74" s="133">
        <f>AN63*1000/'Inflation GDP Population'!AL$28</f>
        <v>14.87665964</v>
      </c>
      <c r="AO74" s="133">
        <f>AO63*1000/'Inflation GDP Population'!AM$28</f>
        <v>14.78505986</v>
      </c>
      <c r="AP74" s="133">
        <f>AP63*1000/'Inflation GDP Population'!AN$28</f>
        <v>14.72466265</v>
      </c>
      <c r="AQ74" s="133">
        <f>AQ63*1000/'Inflation GDP Population'!AO$28</f>
        <v>14.60492836</v>
      </c>
      <c r="AR74" s="133">
        <f>AR63*1000/'Inflation GDP Population'!AP$28</f>
        <v>14.51635875</v>
      </c>
      <c r="AS74" s="133">
        <f>AS63*1000/'Inflation GDP Population'!AQ$28</f>
        <v>14.45083143</v>
      </c>
      <c r="AT74" s="133">
        <f>AT63*1000/'Inflation GDP Population'!AR$28</f>
        <v>14.35676181</v>
      </c>
      <c r="AU74" s="133">
        <f>AU63*1000/'Inflation GDP Population'!AS$28</f>
        <v>14.26381322</v>
      </c>
      <c r="AV74" s="133">
        <f>AV63*1000/'Inflation GDP Population'!AT$28</f>
        <v>14.20065191</v>
      </c>
      <c r="AW74" s="133">
        <f>AW63*1000/'Inflation GDP Population'!AU$28</f>
        <v>14.16653256</v>
      </c>
      <c r="AX74" s="133">
        <f>AX63*1000/'Inflation GDP Population'!AV$28</f>
        <v>14.0478945</v>
      </c>
      <c r="AY74" s="133">
        <f>AY63*1000/'Inflation GDP Population'!AW$28</f>
        <v>13.98671953</v>
      </c>
      <c r="AZ74" s="133">
        <f>AZ63*1000/'Inflation GDP Population'!AX$28</f>
        <v>13.89836186</v>
      </c>
      <c r="BA74" s="133">
        <f>BA63*1000/'Inflation GDP Population'!AY$28</f>
        <v>13.81101069</v>
      </c>
      <c r="BB74" s="133">
        <f>BB63*1000/'Inflation GDP Population'!AZ$28</f>
        <v>13.7246471</v>
      </c>
    </row>
    <row r="75" ht="15.75" customHeight="1">
      <c r="A75" s="119" t="s">
        <v>320</v>
      </c>
      <c r="B75" s="131" t="s">
        <v>290</v>
      </c>
      <c r="C75" s="134" t="s">
        <v>276</v>
      </c>
      <c r="D75" s="126">
        <f>D55*1000/'Inflation GDP Population'!B$23*100</f>
        <v>0.2824128629</v>
      </c>
      <c r="E75" s="126">
        <f>E55*1000/'Inflation GDP Population'!C$23*100</f>
        <v>0.2580636632</v>
      </c>
      <c r="F75" s="126">
        <f>F55*1000/'Inflation GDP Population'!D$23*100</f>
        <v>0.2396018201</v>
      </c>
      <c r="G75" s="126">
        <f>G55*1000/'Inflation GDP Population'!E$23*100</f>
        <v>0.2879726352</v>
      </c>
      <c r="H75" s="126">
        <f>H55*1000/'Inflation GDP Population'!F$23*100</f>
        <v>0.3914546029</v>
      </c>
      <c r="I75" s="126">
        <f>I55*1000/'Inflation GDP Population'!G$23*100</f>
        <v>0.5230392455</v>
      </c>
      <c r="J75" s="126">
        <f>J55*1000/'Inflation GDP Population'!H$23*100</f>
        <v>0.5589662753</v>
      </c>
      <c r="K75" s="126">
        <f>K55*1000/'Inflation GDP Population'!I$23*100</f>
        <v>0.5417029754</v>
      </c>
      <c r="L75" s="126">
        <f>L55*1000/'Inflation GDP Population'!J$23*100</f>
        <v>0.6366123285</v>
      </c>
      <c r="M75" s="126">
        <f>M55*1000/'Inflation GDP Population'!K$23*100</f>
        <v>0.3241623286</v>
      </c>
      <c r="N75" s="126">
        <f>N55*1000/'Inflation GDP Population'!L$23*100</f>
        <v>0.4068461357</v>
      </c>
      <c r="O75" s="126">
        <f>O55*1000/'Inflation GDP Population'!M$23*100</f>
        <v>0.4521721754</v>
      </c>
      <c r="P75" s="126">
        <f>P55*1000/'Inflation GDP Population'!N$23*100</f>
        <v>0.4309763821</v>
      </c>
      <c r="Q75" s="126">
        <f>Q55*1000/'Inflation GDP Population'!O$23*100</f>
        <v>0.4132282164</v>
      </c>
      <c r="R75" s="126">
        <f>R55*1000/'Inflation GDP Population'!P$23*100</f>
        <v>0.3688564358</v>
      </c>
      <c r="S75" s="126">
        <f>S55*1000/'Inflation GDP Population'!Q$23*100</f>
        <v>0.1879147263</v>
      </c>
      <c r="T75" s="126">
        <f>T55*1000/'Inflation GDP Population'!R$23*100</f>
        <v>0.1728679358</v>
      </c>
      <c r="U75" s="126">
        <f>U55*1000/'Inflation GDP Population'!S$23*100</f>
        <v>0.2025357094</v>
      </c>
      <c r="V75" s="126">
        <f>V55*1000/'Inflation GDP Population'!T$23*100</f>
        <v>0.2495097955</v>
      </c>
      <c r="W75" s="126">
        <f>W55*1000/'Inflation GDP Population'!U$23*100</f>
        <v>0.2588171412</v>
      </c>
      <c r="X75" s="126">
        <f>X55*1000/'Inflation GDP Population'!V$23*100</f>
        <v>0.2650150988</v>
      </c>
      <c r="Y75" s="126">
        <f>Y55*1000/'Inflation GDP Population'!W$23*100</f>
        <v>0.2696443727</v>
      </c>
      <c r="Z75" s="126">
        <f>Z55*1000/'Inflation GDP Population'!X$23*100</f>
        <v>0.2655091525</v>
      </c>
      <c r="AA75" s="126">
        <f>AA55*1000/'Inflation GDP Population'!Y$23*100</f>
        <v>0.2697897365</v>
      </c>
      <c r="AB75" s="126">
        <f>AB55*1000/'Inflation GDP Population'!Z$23*100</f>
        <v>0.2793903576</v>
      </c>
      <c r="AC75" s="126">
        <f>AC55*1000/'Inflation GDP Population'!AA$23*100</f>
        <v>0.2871458291</v>
      </c>
      <c r="AD75" s="126">
        <f>AD55*1000/'Inflation GDP Population'!AB$23*100</f>
        <v>0.2925419285</v>
      </c>
      <c r="AE75" s="126">
        <f>AE55*1000/'Inflation GDP Population'!AC$23*100</f>
        <v>0.2984456033</v>
      </c>
      <c r="AF75" s="126">
        <f>AF55*1000/'Inflation GDP Population'!AD$23*100</f>
        <v>0.3020241243</v>
      </c>
      <c r="AG75" s="126">
        <f>AG55*1000/'Inflation GDP Population'!AE$23*100</f>
        <v>0.3061315873</v>
      </c>
      <c r="AH75" s="126">
        <f>AH55*1000/'Inflation GDP Population'!AF$23*100</f>
        <v>0.3080779093</v>
      </c>
      <c r="AI75" s="126">
        <f>AI55*1000/'Inflation GDP Population'!AG$23*100</f>
        <v>0.3115855237</v>
      </c>
      <c r="AJ75" s="126">
        <f>AJ55*1000/'Inflation GDP Population'!AH$23*100</f>
        <v>0.3125130963</v>
      </c>
      <c r="AK75" s="126">
        <f>AK55*1000/'Inflation GDP Population'!AI$23*100</f>
        <v>0.3187509675</v>
      </c>
      <c r="AL75" s="126">
        <f>AL55*1000/'Inflation GDP Population'!AJ$23*100</f>
        <v>0.3178199267</v>
      </c>
      <c r="AM75" s="126">
        <f>AM55*1000/'Inflation GDP Population'!AK$23*100</f>
        <v>0.3200284558</v>
      </c>
      <c r="AN75" s="126">
        <f>AN55*1000/'Inflation GDP Population'!AL$23*100</f>
        <v>0.3234850913</v>
      </c>
      <c r="AO75" s="126">
        <f>AO55*1000/'Inflation GDP Population'!AM$23*100</f>
        <v>0.3194163121</v>
      </c>
      <c r="AP75" s="126">
        <f>AP55*1000/'Inflation GDP Population'!AN$23*100</f>
        <v>0.3203112366</v>
      </c>
      <c r="AQ75" s="126">
        <f>AQ55*1000/'Inflation GDP Population'!AO$23*100</f>
        <v>0.3197869299</v>
      </c>
      <c r="AR75" s="126">
        <f>AR55*1000/'Inflation GDP Population'!AP$23*100</f>
        <v>0.3215155348</v>
      </c>
      <c r="AS75" s="126">
        <f>AS55*1000/'Inflation GDP Population'!AQ$23*100</f>
        <v>0.3205239193</v>
      </c>
      <c r="AT75" s="126">
        <f>AT55*1000/'Inflation GDP Population'!AR$23*100</f>
        <v>0.3219271113</v>
      </c>
      <c r="AU75" s="126">
        <f>AU55*1000/'Inflation GDP Population'!AS$23*100</f>
        <v>0.3199999994</v>
      </c>
      <c r="AV75" s="126">
        <f>AV55*1000/'Inflation GDP Population'!AT$23*100</f>
        <v>0.3189331742</v>
      </c>
      <c r="AW75" s="126">
        <f>AW55*1000/'Inflation GDP Population'!AU$23*100</f>
        <v>0.3179196604</v>
      </c>
      <c r="AX75" s="126">
        <f>AX55*1000/'Inflation GDP Population'!AV$23*100</f>
        <v>0.3163302329</v>
      </c>
      <c r="AY75" s="126">
        <f>AY55*1000/'Inflation GDP Population'!AW$23*100</f>
        <v>0.3146428875</v>
      </c>
      <c r="AZ75" s="126">
        <f>AZ55*1000/'Inflation GDP Population'!AX$23*100</f>
        <v>0.3130372334</v>
      </c>
      <c r="BA75" s="126">
        <f>BA55*1000/'Inflation GDP Population'!AY$23*100</f>
        <v>0.3107963361</v>
      </c>
      <c r="BB75" s="126">
        <f>BB55*1000/'Inflation GDP Population'!AZ$23*100</f>
        <v>0.308362178</v>
      </c>
    </row>
    <row r="76" ht="15.75" customHeight="1">
      <c r="A76" s="119" t="s">
        <v>321</v>
      </c>
      <c r="B76" s="131" t="s">
        <v>292</v>
      </c>
      <c r="C76" s="134" t="s">
        <v>276</v>
      </c>
      <c r="D76" s="126">
        <f>D56*1000/'Inflation GDP Population'!B$23*100</f>
        <v>0.03799690148</v>
      </c>
      <c r="E76" s="126">
        <f>E56*1000/'Inflation GDP Population'!C$23*100</f>
        <v>0.03150052681</v>
      </c>
      <c r="F76" s="126">
        <f>F56*1000/'Inflation GDP Population'!D$23*100</f>
        <v>0.02492754122</v>
      </c>
      <c r="G76" s="126">
        <f>G56*1000/'Inflation GDP Population'!E$23*100</f>
        <v>0.03292009164</v>
      </c>
      <c r="H76" s="126">
        <f>H56*1000/'Inflation GDP Population'!F$23*100</f>
        <v>0.04007848564</v>
      </c>
      <c r="I76" s="126">
        <f>I56*1000/'Inflation GDP Population'!G$23*100</f>
        <v>0.04567824973</v>
      </c>
      <c r="J76" s="126">
        <f>J56*1000/'Inflation GDP Population'!H$23*100</f>
        <v>0.05066333676</v>
      </c>
      <c r="K76" s="126">
        <f>K56*1000/'Inflation GDP Population'!I$23*100</f>
        <v>0.05457447783</v>
      </c>
      <c r="L76" s="126">
        <f>L56*1000/'Inflation GDP Population'!J$23*100</f>
        <v>0.07094880793</v>
      </c>
      <c r="M76" s="126">
        <f>M56*1000/'Inflation GDP Population'!K$23*100</f>
        <v>0.04663318081</v>
      </c>
      <c r="N76" s="126">
        <f>N56*1000/'Inflation GDP Population'!L$23*100</f>
        <v>0.05737198923</v>
      </c>
      <c r="O76" s="126">
        <f>O56*1000/'Inflation GDP Population'!M$23*100</f>
        <v>0.06087155215</v>
      </c>
      <c r="P76" s="126">
        <f>P56*1000/'Inflation GDP Population'!N$23*100</f>
        <v>0.05696140921</v>
      </c>
      <c r="Q76" s="126">
        <f>Q56*1000/'Inflation GDP Population'!O$23*100</f>
        <v>0.05045528173</v>
      </c>
      <c r="R76" s="126">
        <f>R56*1000/'Inflation GDP Population'!P$23*100</f>
        <v>0.05176485825</v>
      </c>
      <c r="S76" s="126">
        <f>S56*1000/'Inflation GDP Population'!Q$23*100</f>
        <v>0.04443662159</v>
      </c>
      <c r="T76" s="126">
        <f>T56*1000/'Inflation GDP Population'!R$23*100</f>
        <v>0.039237551</v>
      </c>
      <c r="U76" s="126">
        <f>U56*1000/'Inflation GDP Population'!S$23*100</f>
        <v>0.04429350015</v>
      </c>
      <c r="V76" s="126">
        <f>V56*1000/'Inflation GDP Population'!T$23*100</f>
        <v>0.05418782299</v>
      </c>
      <c r="W76" s="126">
        <f>W56*1000/'Inflation GDP Population'!U$23*100</f>
        <v>0.0558230987</v>
      </c>
      <c r="X76" s="126">
        <f>X56*1000/'Inflation GDP Population'!V$23*100</f>
        <v>0.05677130389</v>
      </c>
      <c r="Y76" s="126">
        <f>Y56*1000/'Inflation GDP Population'!W$23*100</f>
        <v>0.05737424343</v>
      </c>
      <c r="Z76" s="126">
        <f>Z56*1000/'Inflation GDP Population'!X$23*100</f>
        <v>0.05611797086</v>
      </c>
      <c r="AA76" s="126">
        <f>AA56*1000/'Inflation GDP Population'!Y$23*100</f>
        <v>0.05664658401</v>
      </c>
      <c r="AB76" s="126">
        <f>AB56*1000/'Inflation GDP Population'!Z$23*100</f>
        <v>0.05827926235</v>
      </c>
      <c r="AC76" s="126">
        <f>AC56*1000/'Inflation GDP Population'!AA$23*100</f>
        <v>0.05950966247</v>
      </c>
      <c r="AD76" s="126">
        <f>AD56*1000/'Inflation GDP Population'!AB$23*100</f>
        <v>0.06023972451</v>
      </c>
      <c r="AE76" s="126">
        <f>AE56*1000/'Inflation GDP Population'!AC$23*100</f>
        <v>0.06106565319</v>
      </c>
      <c r="AF76" s="126">
        <f>AF56*1000/'Inflation GDP Population'!AD$23*100</f>
        <v>0.06140971117</v>
      </c>
      <c r="AG76" s="126">
        <f>AG56*1000/'Inflation GDP Population'!AE$23*100</f>
        <v>0.06185764207</v>
      </c>
      <c r="AH76" s="126">
        <f>AH56*1000/'Inflation GDP Population'!AF$23*100</f>
        <v>0.06186732585</v>
      </c>
      <c r="AI76" s="126">
        <f>AI56*1000/'Inflation GDP Population'!AG$23*100</f>
        <v>0.06218977441</v>
      </c>
      <c r="AJ76" s="126">
        <f>AJ56*1000/'Inflation GDP Population'!AH$23*100</f>
        <v>0.06199773203</v>
      </c>
      <c r="AK76" s="126">
        <f>AK56*1000/'Inflation GDP Population'!AI$23*100</f>
        <v>0.06285640158</v>
      </c>
      <c r="AL76" s="126">
        <f>AL56*1000/'Inflation GDP Population'!AJ$23*100</f>
        <v>0.06230081265</v>
      </c>
      <c r="AM76" s="126">
        <f>AM56*1000/'Inflation GDP Population'!AK$23*100</f>
        <v>0.06236480279</v>
      </c>
      <c r="AN76" s="126">
        <f>AN56*1000/'Inflation GDP Population'!AL$23*100</f>
        <v>0.06267105552</v>
      </c>
      <c r="AO76" s="126">
        <f>AO56*1000/'Inflation GDP Population'!AM$23*100</f>
        <v>0.06152543079</v>
      </c>
      <c r="AP76" s="126">
        <f>AP56*1000/'Inflation GDP Population'!AN$23*100</f>
        <v>0.06134473226</v>
      </c>
      <c r="AQ76" s="126">
        <f>AQ56*1000/'Inflation GDP Population'!AO$23*100</f>
        <v>0.06089697083</v>
      </c>
      <c r="AR76" s="126">
        <f>AR56*1000/'Inflation GDP Population'!AP$23*100</f>
        <v>0.06088198914</v>
      </c>
      <c r="AS76" s="126">
        <f>AS56*1000/'Inflation GDP Population'!AQ$23*100</f>
        <v>0.06035606078</v>
      </c>
      <c r="AT76" s="126">
        <f>AT56*1000/'Inflation GDP Population'!AR$23*100</f>
        <v>0.06028550765</v>
      </c>
      <c r="AU76" s="126">
        <f>AU56*1000/'Inflation GDP Population'!AS$23*100</f>
        <v>0.05959657662</v>
      </c>
      <c r="AV76" s="126">
        <f>AV56*1000/'Inflation GDP Population'!AT$23*100</f>
        <v>0.05907554351</v>
      </c>
      <c r="AW76" s="126">
        <f>AW56*1000/'Inflation GDP Population'!AU$23*100</f>
        <v>0.05857098616</v>
      </c>
      <c r="AX76" s="126">
        <f>AX56*1000/'Inflation GDP Population'!AV$23*100</f>
        <v>0.05796730358</v>
      </c>
      <c r="AY76" s="126">
        <f>AY56*1000/'Inflation GDP Population'!AW$23*100</f>
        <v>0.05735316655</v>
      </c>
      <c r="AZ76" s="126">
        <f>AZ56*1000/'Inflation GDP Population'!AX$23*100</f>
        <v>0.05676127134</v>
      </c>
      <c r="BA76" s="126">
        <f>BA56*1000/'Inflation GDP Population'!AY$23*100</f>
        <v>0.05606191338</v>
      </c>
      <c r="BB76" s="126">
        <f>BB56*1000/'Inflation GDP Population'!AZ$23*100</f>
        <v>0.05533603499</v>
      </c>
    </row>
    <row r="77" ht="15.75" customHeight="1">
      <c r="A77" s="119" t="s">
        <v>322</v>
      </c>
      <c r="B77" s="131" t="s">
        <v>294</v>
      </c>
      <c r="C77" s="134" t="s">
        <v>276</v>
      </c>
      <c r="D77" s="126">
        <f>D57*1000/'Inflation GDP Population'!B$23*100</f>
        <v>1.602589855</v>
      </c>
      <c r="E77" s="126">
        <f>E57*1000/'Inflation GDP Population'!C$23*100</f>
        <v>1.307695691</v>
      </c>
      <c r="F77" s="126">
        <f>F57*1000/'Inflation GDP Population'!D$23*100</f>
        <v>1.305604287</v>
      </c>
      <c r="G77" s="126">
        <f>G57*1000/'Inflation GDP Population'!E$23*100</f>
        <v>1.523098251</v>
      </c>
      <c r="H77" s="126">
        <f>H57*1000/'Inflation GDP Population'!F$23*100</f>
        <v>1.986255744</v>
      </c>
      <c r="I77" s="126">
        <f>I57*1000/'Inflation GDP Population'!G$23*100</f>
        <v>2.580999009</v>
      </c>
      <c r="J77" s="126">
        <f>J57*1000/'Inflation GDP Population'!H$23*100</f>
        <v>2.86531967</v>
      </c>
      <c r="K77" s="126">
        <f>K57*1000/'Inflation GDP Population'!I$23*100</f>
        <v>3.021697153</v>
      </c>
      <c r="L77" s="126">
        <f>L57*1000/'Inflation GDP Population'!J$23*100</f>
        <v>3.888541134</v>
      </c>
      <c r="M77" s="126">
        <f>M57*1000/'Inflation GDP Population'!K$23*100</f>
        <v>2.434297838</v>
      </c>
      <c r="N77" s="126">
        <f>N57*1000/'Inflation GDP Population'!L$23*100</f>
        <v>3.122387963</v>
      </c>
      <c r="O77" s="126">
        <f>O57*1000/'Inflation GDP Population'!M$23*100</f>
        <v>3.548627964</v>
      </c>
      <c r="P77" s="126">
        <f>P57*1000/'Inflation GDP Population'!N$23*100</f>
        <v>3.274696232</v>
      </c>
      <c r="Q77" s="126">
        <f>Q57*1000/'Inflation GDP Population'!O$23*100</f>
        <v>3.363071028</v>
      </c>
      <c r="R77" s="126">
        <f>R57*1000/'Inflation GDP Population'!P$23*100</f>
        <v>3.063641737</v>
      </c>
      <c r="S77" s="126">
        <f>S57*1000/'Inflation GDP Population'!Q$23*100</f>
        <v>1.577566354</v>
      </c>
      <c r="T77" s="126">
        <f>T57*1000/'Inflation GDP Population'!R$23*100</f>
        <v>1.380190657</v>
      </c>
      <c r="U77" s="126">
        <f>U57*1000/'Inflation GDP Population'!S$23*100</f>
        <v>1.553942019</v>
      </c>
      <c r="V77" s="126">
        <f>V57*1000/'Inflation GDP Population'!T$23*100</f>
        <v>1.884649267</v>
      </c>
      <c r="W77" s="126">
        <f>W57*1000/'Inflation GDP Population'!U$23*100</f>
        <v>1.924672477</v>
      </c>
      <c r="X77" s="126">
        <f>X57*1000/'Inflation GDP Population'!V$23*100</f>
        <v>1.940285115</v>
      </c>
      <c r="Y77" s="126">
        <f>Y57*1000/'Inflation GDP Population'!W$23*100</f>
        <v>1.943689372</v>
      </c>
      <c r="Z77" s="126">
        <f>Z57*1000/'Inflation GDP Population'!X$23*100</f>
        <v>1.884361199</v>
      </c>
      <c r="AA77" s="126">
        <f>AA57*1000/'Inflation GDP Population'!Y$23*100</f>
        <v>1.885241544</v>
      </c>
      <c r="AB77" s="126">
        <f>AB57*1000/'Inflation GDP Population'!Z$23*100</f>
        <v>1.922280898</v>
      </c>
      <c r="AC77" s="126">
        <f>AC57*1000/'Inflation GDP Population'!AA$23*100</f>
        <v>1.94526121</v>
      </c>
      <c r="AD77" s="126">
        <f>AD57*1000/'Inflation GDP Population'!AB$23*100</f>
        <v>1.951366363</v>
      </c>
      <c r="AE77" s="126">
        <f>AE57*1000/'Inflation GDP Population'!AC$23*100</f>
        <v>1.960178636</v>
      </c>
      <c r="AF77" s="126">
        <f>AF57*1000/'Inflation GDP Population'!AD$23*100</f>
        <v>1.953239754</v>
      </c>
      <c r="AG77" s="126">
        <f>AG57*1000/'Inflation GDP Population'!AE$23*100</f>
        <v>1.949433372</v>
      </c>
      <c r="AH77" s="126">
        <f>AH57*1000/'Inflation GDP Population'!AF$23*100</f>
        <v>1.931742421</v>
      </c>
      <c r="AI77" s="126">
        <f>AI57*1000/'Inflation GDP Population'!AG$23*100</f>
        <v>1.923780897</v>
      </c>
      <c r="AJ77" s="126">
        <f>AJ57*1000/'Inflation GDP Population'!AH$23*100</f>
        <v>1.899926084</v>
      </c>
      <c r="AK77" s="126">
        <f>AK57*1000/'Inflation GDP Population'!AI$23*100</f>
        <v>1.908138138</v>
      </c>
      <c r="AL77" s="126">
        <f>AL57*1000/'Inflation GDP Population'!AJ$23*100</f>
        <v>1.873389615</v>
      </c>
      <c r="AM77" s="126">
        <f>AM57*1000/'Inflation GDP Population'!AK$23*100</f>
        <v>1.857472244</v>
      </c>
      <c r="AN77" s="126">
        <f>AN57*1000/'Inflation GDP Population'!AL$23*100</f>
        <v>1.848723753</v>
      </c>
      <c r="AO77" s="126">
        <f>AO57*1000/'Inflation GDP Population'!AM$23*100</f>
        <v>1.797443778</v>
      </c>
      <c r="AP77" s="126">
        <f>AP57*1000/'Inflation GDP Population'!AN$23*100</f>
        <v>1.774788149</v>
      </c>
      <c r="AQ77" s="126">
        <f>AQ57*1000/'Inflation GDP Population'!AO$23*100</f>
        <v>1.744640768</v>
      </c>
      <c r="AR77" s="126">
        <f>AR57*1000/'Inflation GDP Population'!AP$23*100</f>
        <v>1.727079202</v>
      </c>
      <c r="AS77" s="126">
        <f>AS57*1000/'Inflation GDP Population'!AQ$23*100</f>
        <v>1.695231164</v>
      </c>
      <c r="AT77" s="126">
        <f>AT57*1000/'Inflation GDP Population'!AR$23*100</f>
        <v>1.676395968</v>
      </c>
      <c r="AU77" s="126">
        <f>AU57*1000/'Inflation GDP Population'!AS$23*100</f>
        <v>1.640631917</v>
      </c>
      <c r="AV77" s="126">
        <f>AV57*1000/'Inflation GDP Population'!AT$23*100</f>
        <v>1.609880773</v>
      </c>
      <c r="AW77" s="126">
        <f>AW57*1000/'Inflation GDP Population'!AU$23*100</f>
        <v>1.579916438</v>
      </c>
      <c r="AX77" s="126">
        <f>AX57*1000/'Inflation GDP Population'!AV$23*100</f>
        <v>1.547637236</v>
      </c>
      <c r="AY77" s="126">
        <f>AY57*1000/'Inflation GDP Population'!AW$23*100</f>
        <v>1.515466327</v>
      </c>
      <c r="AZ77" s="126">
        <f>AZ57*1000/'Inflation GDP Population'!AX$23*100</f>
        <v>1.484265423</v>
      </c>
      <c r="BA77" s="126">
        <f>BA57*1000/'Inflation GDP Population'!AY$23*100</f>
        <v>1.450658171</v>
      </c>
      <c r="BB77" s="126">
        <f>BB57*1000/'Inflation GDP Population'!AZ$23*100</f>
        <v>1.416802984</v>
      </c>
    </row>
    <row r="78" ht="15.75" customHeight="1">
      <c r="A78" s="119" t="s">
        <v>323</v>
      </c>
      <c r="B78" s="131" t="s">
        <v>296</v>
      </c>
      <c r="C78" s="134" t="s">
        <v>276</v>
      </c>
      <c r="D78" s="126">
        <f>D58*1000/'Inflation GDP Population'!B$23*100</f>
        <v>0.06327781005</v>
      </c>
      <c r="E78" s="126">
        <f>E58*1000/'Inflation GDP Population'!C$23*100</f>
        <v>0.04688298501</v>
      </c>
      <c r="F78" s="126">
        <f>F58*1000/'Inflation GDP Population'!D$23*100</f>
        <v>0.04010573353</v>
      </c>
      <c r="G78" s="126">
        <f>G58*1000/'Inflation GDP Population'!E$23*100</f>
        <v>0.04715047366</v>
      </c>
      <c r="H78" s="126">
        <f>H58*1000/'Inflation GDP Population'!F$23*100</f>
        <v>0.06058950499</v>
      </c>
      <c r="I78" s="126">
        <f>I58*1000/'Inflation GDP Population'!G$23*100</f>
        <v>0.0667882774</v>
      </c>
      <c r="J78" s="126">
        <f>J58*1000/'Inflation GDP Population'!H$23*100</f>
        <v>0.06408454804</v>
      </c>
      <c r="K78" s="126">
        <f>K58*1000/'Inflation GDP Population'!I$23*100</f>
        <v>0.06450663402</v>
      </c>
      <c r="L78" s="126">
        <f>L58*1000/'Inflation GDP Population'!J$23*100</f>
        <v>0.09121242084</v>
      </c>
      <c r="M78" s="126">
        <f>M58*1000/'Inflation GDP Population'!K$23*100</f>
        <v>0.05610938093</v>
      </c>
      <c r="N78" s="126">
        <f>N58*1000/'Inflation GDP Population'!L$23*100</f>
        <v>0.07745663792</v>
      </c>
      <c r="O78" s="126">
        <f>O58*1000/'Inflation GDP Population'!M$23*100</f>
        <v>0.06710769222</v>
      </c>
      <c r="P78" s="126">
        <f>P58*1000/'Inflation GDP Population'!N$23*100</f>
        <v>0.04961110004</v>
      </c>
      <c r="Q78" s="126">
        <f>Q58*1000/'Inflation GDP Population'!O$23*100</f>
        <v>0.05066765754</v>
      </c>
      <c r="R78" s="126">
        <f>R58*1000/'Inflation GDP Population'!P$23*100</f>
        <v>0.054182322</v>
      </c>
      <c r="S78" s="126">
        <f>S58*1000/'Inflation GDP Population'!Q$23*100</f>
        <v>0.02687593456</v>
      </c>
      <c r="T78" s="126">
        <f>T58*1000/'Inflation GDP Population'!R$23*100</f>
        <v>0.02088509276</v>
      </c>
      <c r="U78" s="126">
        <f>U58*1000/'Inflation GDP Population'!S$23*100</f>
        <v>0.02057493307</v>
      </c>
      <c r="V78" s="126">
        <f>V58*1000/'Inflation GDP Population'!T$23*100</f>
        <v>0.02493402311</v>
      </c>
      <c r="W78" s="126">
        <f>W58*1000/'Inflation GDP Population'!U$23*100</f>
        <v>0.0254432018</v>
      </c>
      <c r="X78" s="126">
        <f>X58*1000/'Inflation GDP Population'!V$23*100</f>
        <v>0.0256288067</v>
      </c>
      <c r="Y78" s="126">
        <f>Y58*1000/'Inflation GDP Population'!W$23*100</f>
        <v>0.0256526526</v>
      </c>
      <c r="Z78" s="126">
        <f>Z58*1000/'Inflation GDP Population'!X$23*100</f>
        <v>0.02484887419</v>
      </c>
      <c r="AA78" s="126">
        <f>AA58*1000/'Inflation GDP Population'!Y$23*100</f>
        <v>0.02483940238</v>
      </c>
      <c r="AB78" s="126">
        <f>AB58*1000/'Inflation GDP Population'!Z$23*100</f>
        <v>0.02530561357</v>
      </c>
      <c r="AC78" s="126">
        <f>AC58*1000/'Inflation GDP Population'!AA$23*100</f>
        <v>0.02558574096</v>
      </c>
      <c r="AD78" s="126">
        <f>AD58*1000/'Inflation GDP Population'!AB$23*100</f>
        <v>0.02564324428</v>
      </c>
      <c r="AE78" s="126">
        <f>AE58*1000/'Inflation GDP Population'!AC$23*100</f>
        <v>0.02573580635</v>
      </c>
      <c r="AF78" s="126">
        <f>AF58*1000/'Inflation GDP Population'!AD$23*100</f>
        <v>0.02562119614</v>
      </c>
      <c r="AG78" s="126">
        <f>AG58*1000/'Inflation GDP Population'!AE$23*100</f>
        <v>0.02554744977</v>
      </c>
      <c r="AH78" s="126">
        <f>AH58*1000/'Inflation GDP Population'!AF$23*100</f>
        <v>0.02529164765</v>
      </c>
      <c r="AI78" s="126">
        <f>AI58*1000/'Inflation GDP Population'!AG$23*100</f>
        <v>0.02516318081</v>
      </c>
      <c r="AJ78" s="126">
        <f>AJ58*1000/'Inflation GDP Population'!AH$23*100</f>
        <v>0.02482685852</v>
      </c>
      <c r="AK78" s="126">
        <f>AK58*1000/'Inflation GDP Population'!AI$23*100</f>
        <v>0.0249093817</v>
      </c>
      <c r="AL78" s="126">
        <f>AL58*1000/'Inflation GDP Population'!AJ$23*100</f>
        <v>0.0244310468</v>
      </c>
      <c r="AM78" s="126">
        <f>AM58*1000/'Inflation GDP Population'!AK$23*100</f>
        <v>0.02419857027</v>
      </c>
      <c r="AN78" s="126">
        <f>AN58*1000/'Inflation GDP Population'!AL$23*100</f>
        <v>0.02405942195</v>
      </c>
      <c r="AO78" s="126">
        <f>AO58*1000/'Inflation GDP Population'!AM$23*100</f>
        <v>0.02336718865</v>
      </c>
      <c r="AP78" s="126">
        <f>AP58*1000/'Inflation GDP Population'!AN$23*100</f>
        <v>0.02304770242</v>
      </c>
      <c r="AQ78" s="126">
        <f>AQ58*1000/'Inflation GDP Population'!AO$23*100</f>
        <v>0.02263126749</v>
      </c>
      <c r="AR78" s="126">
        <f>AR58*1000/'Inflation GDP Population'!AP$23*100</f>
        <v>0.02237836822</v>
      </c>
      <c r="AS78" s="126">
        <f>AS58*1000/'Inflation GDP Population'!AQ$23*100</f>
        <v>0.02194066165</v>
      </c>
      <c r="AT78" s="126">
        <f>AT58*1000/'Inflation GDP Population'!AR$23*100</f>
        <v>0.0216717074</v>
      </c>
      <c r="AU78" s="126">
        <f>AU58*1000/'Inflation GDP Population'!AS$23*100</f>
        <v>0.02118430692</v>
      </c>
      <c r="AV78" s="126">
        <f>AV58*1000/'Inflation GDP Population'!AT$23*100</f>
        <v>0.02076223027</v>
      </c>
      <c r="AW78" s="126">
        <f>AW58*1000/'Inflation GDP Population'!AU$23*100</f>
        <v>0.02035082107</v>
      </c>
      <c r="AX78" s="126">
        <f>AX58*1000/'Inflation GDP Population'!AV$23*100</f>
        <v>0.0199101526</v>
      </c>
      <c r="AY78" s="126">
        <f>AY58*1000/'Inflation GDP Population'!AW$23*100</f>
        <v>0.01947148619</v>
      </c>
      <c r="AZ78" s="126">
        <f>AZ58*1000/'Inflation GDP Population'!AX$23*100</f>
        <v>0.01904588999</v>
      </c>
      <c r="BA78" s="126">
        <f>BA58*1000/'Inflation GDP Population'!AY$23*100</f>
        <v>0.0185900637</v>
      </c>
      <c r="BB78" s="126">
        <f>BB58*1000/'Inflation GDP Population'!AZ$23*100</f>
        <v>0.0181317709</v>
      </c>
    </row>
    <row r="79" ht="15.75" customHeight="1">
      <c r="A79" s="119" t="s">
        <v>324</v>
      </c>
      <c r="B79" s="131" t="s">
        <v>312</v>
      </c>
      <c r="C79" s="134" t="s">
        <v>276</v>
      </c>
      <c r="D79" s="126">
        <f t="shared" ref="D79:BB79" si="7">sum(D75:D78)</f>
        <v>1.98627743</v>
      </c>
      <c r="E79" s="126">
        <f t="shared" si="7"/>
        <v>1.644142866</v>
      </c>
      <c r="F79" s="126">
        <f t="shared" si="7"/>
        <v>1.610239381</v>
      </c>
      <c r="G79" s="126">
        <f t="shared" si="7"/>
        <v>1.891141452</v>
      </c>
      <c r="H79" s="126">
        <f t="shared" si="7"/>
        <v>2.478378338</v>
      </c>
      <c r="I79" s="126">
        <f t="shared" si="7"/>
        <v>3.216504782</v>
      </c>
      <c r="J79" s="126">
        <f t="shared" si="7"/>
        <v>3.539033831</v>
      </c>
      <c r="K79" s="126">
        <f t="shared" si="7"/>
        <v>3.682481241</v>
      </c>
      <c r="L79" s="126">
        <f t="shared" si="7"/>
        <v>4.687314692</v>
      </c>
      <c r="M79" s="126">
        <f t="shared" si="7"/>
        <v>2.861202728</v>
      </c>
      <c r="N79" s="126">
        <f t="shared" si="7"/>
        <v>3.664062726</v>
      </c>
      <c r="O79" s="126">
        <f t="shared" si="7"/>
        <v>4.128779384</v>
      </c>
      <c r="P79" s="126">
        <f t="shared" si="7"/>
        <v>3.812245124</v>
      </c>
      <c r="Q79" s="126">
        <f t="shared" si="7"/>
        <v>3.877422184</v>
      </c>
      <c r="R79" s="126">
        <f t="shared" si="7"/>
        <v>3.538445353</v>
      </c>
      <c r="S79" s="126">
        <f t="shared" si="7"/>
        <v>1.836793637</v>
      </c>
      <c r="T79" s="126">
        <f t="shared" si="7"/>
        <v>1.613181237</v>
      </c>
      <c r="U79" s="126">
        <f t="shared" si="7"/>
        <v>1.821346162</v>
      </c>
      <c r="V79" s="126">
        <f t="shared" si="7"/>
        <v>2.213280909</v>
      </c>
      <c r="W79" s="126">
        <f t="shared" si="7"/>
        <v>2.264755918</v>
      </c>
      <c r="X79" s="126">
        <f t="shared" si="7"/>
        <v>2.287700325</v>
      </c>
      <c r="Y79" s="126">
        <f t="shared" si="7"/>
        <v>2.29636064</v>
      </c>
      <c r="Z79" s="126">
        <f t="shared" si="7"/>
        <v>2.230837196</v>
      </c>
      <c r="AA79" s="126">
        <f t="shared" si="7"/>
        <v>2.236517267</v>
      </c>
      <c r="AB79" s="126">
        <f t="shared" si="7"/>
        <v>2.285256131</v>
      </c>
      <c r="AC79" s="126">
        <f t="shared" si="7"/>
        <v>2.317502442</v>
      </c>
      <c r="AD79" s="126">
        <f t="shared" si="7"/>
        <v>2.329791261</v>
      </c>
      <c r="AE79" s="126">
        <f t="shared" si="7"/>
        <v>2.345425699</v>
      </c>
      <c r="AF79" s="126">
        <f t="shared" si="7"/>
        <v>2.342294786</v>
      </c>
      <c r="AG79" s="126">
        <f t="shared" si="7"/>
        <v>2.342970051</v>
      </c>
      <c r="AH79" s="126">
        <f t="shared" si="7"/>
        <v>2.326979304</v>
      </c>
      <c r="AI79" s="126">
        <f t="shared" si="7"/>
        <v>2.322719376</v>
      </c>
      <c r="AJ79" s="126">
        <f t="shared" si="7"/>
        <v>2.299263771</v>
      </c>
      <c r="AK79" s="126">
        <f t="shared" si="7"/>
        <v>2.314654888</v>
      </c>
      <c r="AL79" s="126">
        <f t="shared" si="7"/>
        <v>2.277941402</v>
      </c>
      <c r="AM79" s="126">
        <f t="shared" si="7"/>
        <v>2.264064073</v>
      </c>
      <c r="AN79" s="126">
        <f t="shared" si="7"/>
        <v>2.258939322</v>
      </c>
      <c r="AO79" s="126">
        <f t="shared" si="7"/>
        <v>2.201752709</v>
      </c>
      <c r="AP79" s="126">
        <f t="shared" si="7"/>
        <v>2.17949182</v>
      </c>
      <c r="AQ79" s="126">
        <f t="shared" si="7"/>
        <v>2.147955936</v>
      </c>
      <c r="AR79" s="126">
        <f t="shared" si="7"/>
        <v>2.131855094</v>
      </c>
      <c r="AS79" s="126">
        <f t="shared" si="7"/>
        <v>2.098051806</v>
      </c>
      <c r="AT79" s="126">
        <f t="shared" si="7"/>
        <v>2.080280294</v>
      </c>
      <c r="AU79" s="126">
        <f t="shared" si="7"/>
        <v>2.0414128</v>
      </c>
      <c r="AV79" s="126">
        <f t="shared" si="7"/>
        <v>2.008651721</v>
      </c>
      <c r="AW79" s="126">
        <f t="shared" si="7"/>
        <v>1.976757906</v>
      </c>
      <c r="AX79" s="126">
        <f t="shared" si="7"/>
        <v>1.941844925</v>
      </c>
      <c r="AY79" s="126">
        <f t="shared" si="7"/>
        <v>1.906933867</v>
      </c>
      <c r="AZ79" s="126">
        <f t="shared" si="7"/>
        <v>1.873109818</v>
      </c>
      <c r="BA79" s="126">
        <f t="shared" si="7"/>
        <v>1.836106484</v>
      </c>
      <c r="BB79" s="126">
        <f t="shared" si="7"/>
        <v>1.798632968</v>
      </c>
    </row>
    <row r="80" ht="15.75" customHeight="1">
      <c r="A80" s="119" t="s">
        <v>325</v>
      </c>
      <c r="B80" s="131" t="s">
        <v>298</v>
      </c>
      <c r="C80" s="134" t="s">
        <v>276</v>
      </c>
      <c r="D80" s="126">
        <f>D59*1000/'Inflation GDP Population'!B$23*100</f>
        <v>0.3412496878</v>
      </c>
      <c r="E80" s="126">
        <f>E59*1000/'Inflation GDP Population'!C$23*100</f>
        <v>0.2517577015</v>
      </c>
      <c r="F80" s="126">
        <f>F59*1000/'Inflation GDP Population'!D$23*100</f>
        <v>0.2193412003</v>
      </c>
      <c r="G80" s="126">
        <f>G59*1000/'Inflation GDP Population'!E$23*100</f>
        <v>0.3262426167</v>
      </c>
      <c r="H80" s="126">
        <f>H59*1000/'Inflation GDP Population'!F$23*100</f>
        <v>0.3323051689</v>
      </c>
      <c r="I80" s="126">
        <f>I59*1000/'Inflation GDP Population'!G$23*100</f>
        <v>0.4393347202</v>
      </c>
      <c r="J80" s="126">
        <f>J59*1000/'Inflation GDP Population'!H$23*100</f>
        <v>0.326554187</v>
      </c>
      <c r="K80" s="126">
        <f>K59*1000/'Inflation GDP Population'!I$23*100</f>
        <v>0.3262943089</v>
      </c>
      <c r="L80" s="126">
        <f>L59*1000/'Inflation GDP Population'!J$23*100</f>
        <v>0.3990780157</v>
      </c>
      <c r="M80" s="126">
        <f>M59*1000/'Inflation GDP Population'!K$23*100</f>
        <v>0.1668201886</v>
      </c>
      <c r="N80" s="126">
        <f>N59*1000/'Inflation GDP Population'!L$23*100</f>
        <v>0.199114233</v>
      </c>
      <c r="O80" s="126">
        <f>O59*1000/'Inflation GDP Population'!M$23*100</f>
        <v>0.1808935486</v>
      </c>
      <c r="P80" s="126">
        <f>P59*1000/'Inflation GDP Population'!N$23*100</f>
        <v>0.1244209055</v>
      </c>
      <c r="Q80" s="126">
        <f>Q59*1000/'Inflation GDP Population'!O$23*100</f>
        <v>0.1705650738</v>
      </c>
      <c r="R80" s="126">
        <f>R59*1000/'Inflation GDP Population'!P$23*100</f>
        <v>0.1956571225</v>
      </c>
      <c r="S80" s="126">
        <f>S59*1000/'Inflation GDP Population'!Q$23*100</f>
        <v>0.1113811506</v>
      </c>
      <c r="T80" s="126">
        <f>T59*1000/'Inflation GDP Population'!R$23*100</f>
        <v>0.104008588</v>
      </c>
      <c r="U80" s="126">
        <f>U59*1000/'Inflation GDP Population'!S$23*100</f>
        <v>0.1233360836</v>
      </c>
      <c r="V80" s="126">
        <f>V59*1000/'Inflation GDP Population'!T$23*100</f>
        <v>0.125819112</v>
      </c>
      <c r="W80" s="126">
        <f>W59*1000/'Inflation GDP Population'!U$23*100</f>
        <v>0.1188861458</v>
      </c>
      <c r="X80" s="126">
        <f>X59*1000/'Inflation GDP Population'!V$23*100</f>
        <v>0.1207528651</v>
      </c>
      <c r="Y80" s="126">
        <f>Y59*1000/'Inflation GDP Population'!W$23*100</f>
        <v>0.1169554417</v>
      </c>
      <c r="Z80" s="126">
        <f>Z59*1000/'Inflation GDP Population'!X$23*100</f>
        <v>0.1164122279</v>
      </c>
      <c r="AA80" s="126">
        <f>AA59*1000/'Inflation GDP Population'!Y$23*100</f>
        <v>0.1205876406</v>
      </c>
      <c r="AB80" s="126">
        <f>AB59*1000/'Inflation GDP Population'!Z$23*100</f>
        <v>0.1263805837</v>
      </c>
      <c r="AC80" s="126">
        <f>AC59*1000/'Inflation GDP Population'!AA$23*100</f>
        <v>0.1340036395</v>
      </c>
      <c r="AD80" s="126">
        <f>AD59*1000/'Inflation GDP Population'!AB$23*100</f>
        <v>0.1355722405</v>
      </c>
      <c r="AE80" s="126">
        <f>AE59*1000/'Inflation GDP Population'!AC$23*100</f>
        <v>0.1353033396</v>
      </c>
      <c r="AF80" s="126">
        <f>AF59*1000/'Inflation GDP Population'!AD$23*100</f>
        <v>0.1370288494</v>
      </c>
      <c r="AG80" s="126">
        <f>AG59*1000/'Inflation GDP Population'!AE$23*100</f>
        <v>0.1364044657</v>
      </c>
      <c r="AH80" s="126">
        <f>AH59*1000/'Inflation GDP Population'!AF$23*100</f>
        <v>0.1364168858</v>
      </c>
      <c r="AI80" s="126">
        <f>AI59*1000/'Inflation GDP Population'!AG$23*100</f>
        <v>0.1345344479</v>
      </c>
      <c r="AJ80" s="126">
        <f>AJ59*1000/'Inflation GDP Population'!AH$23*100</f>
        <v>0.1379535639</v>
      </c>
      <c r="AK80" s="126">
        <f>AK59*1000/'Inflation GDP Population'!AI$23*100</f>
        <v>0.1386789012</v>
      </c>
      <c r="AL80" s="126">
        <f>AL59*1000/'Inflation GDP Population'!AJ$23*100</f>
        <v>0.1388120379</v>
      </c>
      <c r="AM80" s="126">
        <f>AM59*1000/'Inflation GDP Population'!AK$23*100</f>
        <v>0.138907289</v>
      </c>
      <c r="AN80" s="126">
        <f>AN59*1000/'Inflation GDP Population'!AL$23*100</f>
        <v>0.140219421</v>
      </c>
      <c r="AO80" s="126">
        <f>AO59*1000/'Inflation GDP Population'!AM$23*100</f>
        <v>0.1395712707</v>
      </c>
      <c r="AP80" s="126">
        <f>AP59*1000/'Inflation GDP Population'!AN$23*100</f>
        <v>0.1385796833</v>
      </c>
      <c r="AQ80" s="126">
        <f>AQ59*1000/'Inflation GDP Population'!AO$23*100</f>
        <v>0.1379840116</v>
      </c>
      <c r="AR80" s="126">
        <f>AR59*1000/'Inflation GDP Population'!AP$23*100</f>
        <v>0.1386377999</v>
      </c>
      <c r="AS80" s="126">
        <f>AS59*1000/'Inflation GDP Population'!AQ$23*100</f>
        <v>0.1369490726</v>
      </c>
      <c r="AT80" s="126">
        <f>AT59*1000/'Inflation GDP Population'!AR$23*100</f>
        <v>0.1370367027</v>
      </c>
      <c r="AU80" s="126">
        <f>AU59*1000/'Inflation GDP Population'!AS$23*100</f>
        <v>0.1377471715</v>
      </c>
      <c r="AV80" s="126">
        <f>AV59*1000/'Inflation GDP Population'!AT$23*100</f>
        <v>0.1390460917</v>
      </c>
      <c r="AW80" s="126">
        <f>AW59*1000/'Inflation GDP Population'!AU$23*100</f>
        <v>0.1401162788</v>
      </c>
      <c r="AX80" s="126">
        <f>AX59*1000/'Inflation GDP Population'!AV$23*100</f>
        <v>0.1404831487</v>
      </c>
      <c r="AY80" s="126">
        <f>AY59*1000/'Inflation GDP Population'!AW$23*100</f>
        <v>0.1413944597</v>
      </c>
      <c r="AZ80" s="126">
        <f>AZ59*1000/'Inflation GDP Population'!AX$23*100</f>
        <v>0.1441076008</v>
      </c>
      <c r="BA80" s="126">
        <f>BA59*1000/'Inflation GDP Population'!AY$23*100</f>
        <v>0.1458502938</v>
      </c>
      <c r="BB80" s="126">
        <f>BB59*1000/'Inflation GDP Population'!AZ$23*100</f>
        <v>0.1471349293</v>
      </c>
    </row>
    <row r="81" ht="15.75" customHeight="1">
      <c r="A81" s="119" t="s">
        <v>326</v>
      </c>
      <c r="B81" s="131" t="s">
        <v>300</v>
      </c>
      <c r="C81" s="134" t="s">
        <v>276</v>
      </c>
      <c r="D81" s="126">
        <f>D60*1000/'Inflation GDP Population'!B$23*100</f>
        <v>0.0914731481</v>
      </c>
      <c r="E81" s="126">
        <f>E60*1000/'Inflation GDP Population'!C$23*100</f>
        <v>0.07635203208</v>
      </c>
      <c r="F81" s="126">
        <f>F60*1000/'Inflation GDP Population'!D$23*100</f>
        <v>0.06260263454</v>
      </c>
      <c r="G81" s="126">
        <f>G60*1000/'Inflation GDP Population'!E$23*100</f>
        <v>0.1024857799</v>
      </c>
      <c r="H81" s="126">
        <f>H60*1000/'Inflation GDP Population'!F$23*100</f>
        <v>0.1051822442</v>
      </c>
      <c r="I81" s="126">
        <f>I60*1000/'Inflation GDP Population'!G$23*100</f>
        <v>0.1446925638</v>
      </c>
      <c r="J81" s="126">
        <f>J60*1000/'Inflation GDP Population'!H$23*100</f>
        <v>0.09981090691</v>
      </c>
      <c r="K81" s="126">
        <f>K60*1000/'Inflation GDP Population'!I$23*100</f>
        <v>0.0998195678</v>
      </c>
      <c r="L81" s="126">
        <f>L60*1000/'Inflation GDP Population'!J$23*100</f>
        <v>0.1305499179</v>
      </c>
      <c r="M81" s="126">
        <f>M60*1000/'Inflation GDP Population'!K$23*100</f>
        <v>0.05899009711</v>
      </c>
      <c r="N81" s="126">
        <f>N60*1000/'Inflation GDP Population'!L$23*100</f>
        <v>0.07015004165</v>
      </c>
      <c r="O81" s="126">
        <f>O60*1000/'Inflation GDP Population'!M$23*100</f>
        <v>0.05722547766</v>
      </c>
      <c r="P81" s="126">
        <f>P60*1000/'Inflation GDP Population'!N$23*100</f>
        <v>0.03459507301</v>
      </c>
      <c r="Q81" s="126">
        <f>Q60*1000/'Inflation GDP Population'!O$23*100</f>
        <v>0.05146782889</v>
      </c>
      <c r="R81" s="126">
        <f>R60*1000/'Inflation GDP Population'!P$23*100</f>
        <v>0.0620863436</v>
      </c>
      <c r="S81" s="126">
        <f>S60*1000/'Inflation GDP Population'!Q$23*100</f>
        <v>0.03244141014</v>
      </c>
      <c r="T81" s="126">
        <f>T60*1000/'Inflation GDP Population'!R$23*100</f>
        <v>0.02909547277</v>
      </c>
      <c r="U81" s="126">
        <f>U60*1000/'Inflation GDP Population'!S$23*100</f>
        <v>0.03220528199</v>
      </c>
      <c r="V81" s="126">
        <f>V60*1000/'Inflation GDP Population'!T$23*100</f>
        <v>0.03285956285</v>
      </c>
      <c r="W81" s="126">
        <f>W60*1000/'Inflation GDP Population'!U$23*100</f>
        <v>0.03105441183</v>
      </c>
      <c r="X81" s="126">
        <f>X60*1000/'Inflation GDP Population'!V$23*100</f>
        <v>0.03154751197</v>
      </c>
      <c r="Y81" s="126">
        <f>Y60*1000/'Inflation GDP Population'!W$23*100</f>
        <v>0.03056064098</v>
      </c>
      <c r="Z81" s="126">
        <f>Z60*1000/'Inflation GDP Population'!X$23*100</f>
        <v>0.03042382112</v>
      </c>
      <c r="AA81" s="126">
        <f>AA60*1000/'Inflation GDP Population'!Y$23*100</f>
        <v>0.03152026765</v>
      </c>
      <c r="AB81" s="126">
        <f>AB60*1000/'Inflation GDP Population'!Z$23*100</f>
        <v>0.03303986256</v>
      </c>
      <c r="AC81" s="126">
        <f>AC60*1000/'Inflation GDP Population'!AA$23*100</f>
        <v>0.03503838738</v>
      </c>
      <c r="AD81" s="126">
        <f>AD60*1000/'Inflation GDP Population'!AB$23*100</f>
        <v>0.03545412909</v>
      </c>
      <c r="AE81" s="126">
        <f>AE60*1000/'Inflation GDP Population'!AC$23*100</f>
        <v>0.0353893034</v>
      </c>
      <c r="AF81" s="126">
        <f>AF60*1000/'Inflation GDP Population'!AD$23*100</f>
        <v>0.03584609918</v>
      </c>
      <c r="AG81" s="126">
        <f>AG60*1000/'Inflation GDP Population'!AE$23*100</f>
        <v>0.03568813395</v>
      </c>
      <c r="AH81" s="126">
        <f>AH60*1000/'Inflation GDP Population'!AF$23*100</f>
        <v>0.0356966725</v>
      </c>
      <c r="AI81" s="126">
        <f>AI60*1000/'Inflation GDP Population'!AG$23*100</f>
        <v>0.03520922548</v>
      </c>
      <c r="AJ81" s="126">
        <f>AJ60*1000/'Inflation GDP Population'!AH$23*100</f>
        <v>0.036109236</v>
      </c>
      <c r="AK81" s="126">
        <f>AK60*1000/'Inflation GDP Population'!AI$23*100</f>
        <v>0.03630423003</v>
      </c>
      <c r="AL81" s="126">
        <f>AL60*1000/'Inflation GDP Population'!AJ$23*100</f>
        <v>0.03634414964</v>
      </c>
      <c r="AM81" s="126">
        <f>AM60*1000/'Inflation GDP Population'!AK$23*100</f>
        <v>0.03637408365</v>
      </c>
      <c r="AN81" s="126">
        <f>AN60*1000/'Inflation GDP Population'!AL$23*100</f>
        <v>0.03672264548</v>
      </c>
      <c r="AO81" s="126">
        <f>AO60*1000/'Inflation GDP Population'!AM$23*100</f>
        <v>0.03655777263</v>
      </c>
      <c r="AP81" s="126">
        <f>AP60*1000/'Inflation GDP Population'!AN$23*100</f>
        <v>0.03630281666</v>
      </c>
      <c r="AQ81" s="126">
        <f>AQ60*1000/'Inflation GDP Population'!AO$23*100</f>
        <v>0.03615145361</v>
      </c>
      <c r="AR81" s="126">
        <f>AR60*1000/'Inflation GDP Population'!AP$23*100</f>
        <v>0.03632738108</v>
      </c>
      <c r="AS81" s="126">
        <f>AS60*1000/'Inflation GDP Population'!AQ$23*100</f>
        <v>0.03588939799</v>
      </c>
      <c r="AT81" s="126">
        <f>AT60*1000/'Inflation GDP Population'!AR$23*100</f>
        <v>0.03591681786</v>
      </c>
      <c r="AU81" s="126">
        <f>AU60*1000/'Inflation GDP Population'!AS$23*100</f>
        <v>0.0361074452</v>
      </c>
      <c r="AV81" s="126">
        <f>AV60*1000/'Inflation GDP Population'!AT$23*100</f>
        <v>0.03645232523</v>
      </c>
      <c r="AW81" s="126">
        <f>AW60*1000/'Inflation GDP Population'!AU$23*100</f>
        <v>0.03673725477</v>
      </c>
      <c r="AX81" s="126">
        <f>AX60*1000/'Inflation GDP Population'!AV$23*100</f>
        <v>0.03683776589</v>
      </c>
      <c r="AY81" s="126">
        <f>AY60*1000/'Inflation GDP Population'!AW$23*100</f>
        <v>0.0370810219</v>
      </c>
      <c r="AZ81" s="126">
        <f>AZ60*1000/'Inflation GDP Population'!AX$23*100</f>
        <v>0.03779686324</v>
      </c>
      <c r="BA81" s="126">
        <f>BA60*1000/'Inflation GDP Population'!AY$23*100</f>
        <v>0.03825824841</v>
      </c>
      <c r="BB81" s="126">
        <f>BB60*1000/'Inflation GDP Population'!AZ$23*100</f>
        <v>0.03859951152</v>
      </c>
    </row>
    <row r="82" ht="15.75" customHeight="1">
      <c r="A82" s="119" t="s">
        <v>327</v>
      </c>
      <c r="B82" s="131" t="s">
        <v>302</v>
      </c>
      <c r="C82" s="134" t="s">
        <v>276</v>
      </c>
      <c r="D82" s="126">
        <f>D61*1000/'Inflation GDP Population'!B$23*100</f>
        <v>0.0345641817</v>
      </c>
      <c r="E82" s="126">
        <f>E61*1000/'Inflation GDP Population'!C$23*100</f>
        <v>0.02941739046</v>
      </c>
      <c r="F82" s="126">
        <f>F61*1000/'Inflation GDP Population'!D$23*100</f>
        <v>0.02334835586</v>
      </c>
      <c r="G82" s="126">
        <f>G61*1000/'Inflation GDP Population'!E$23*100</f>
        <v>0.03456507038</v>
      </c>
      <c r="H82" s="126">
        <f>H61*1000/'Inflation GDP Population'!F$23*100</f>
        <v>0.02935609813</v>
      </c>
      <c r="I82" s="126">
        <f>I61*1000/'Inflation GDP Population'!G$23*100</f>
        <v>0.0383481927</v>
      </c>
      <c r="J82" s="126">
        <f>J61*1000/'Inflation GDP Population'!H$23*100</f>
        <v>0.02828920505</v>
      </c>
      <c r="K82" s="126">
        <f>K61*1000/'Inflation GDP Population'!I$23*100</f>
        <v>0.03171840172</v>
      </c>
      <c r="L82" s="126">
        <f>L61*1000/'Inflation GDP Population'!J$23*100</f>
        <v>0.04137990646</v>
      </c>
      <c r="M82" s="126">
        <f>M61*1000/'Inflation GDP Population'!K$23*100</f>
        <v>0.02074477707</v>
      </c>
      <c r="N82" s="126">
        <f>N61*1000/'Inflation GDP Population'!L$23*100</f>
        <v>0.0232564728</v>
      </c>
      <c r="O82" s="126">
        <f>O61*1000/'Inflation GDP Population'!M$23*100</f>
        <v>0.0217816777</v>
      </c>
      <c r="P82" s="126">
        <f>P61*1000/'Inflation GDP Population'!N$23*100</f>
        <v>0.01749045503</v>
      </c>
      <c r="Q82" s="126">
        <f>Q61*1000/'Inflation GDP Population'!O$23*100</f>
        <v>0.01496663583</v>
      </c>
      <c r="R82" s="126">
        <f>R61*1000/'Inflation GDP Population'!P$23*100</f>
        <v>0.01524926045</v>
      </c>
      <c r="S82" s="126">
        <f>S61*1000/'Inflation GDP Population'!Q$23*100</f>
        <v>0.009543213917</v>
      </c>
      <c r="T82" s="126">
        <f>T61*1000/'Inflation GDP Population'!R$23*100</f>
        <v>0.00810440072</v>
      </c>
      <c r="U82" s="126">
        <f>U61*1000/'Inflation GDP Population'!S$23*100</f>
        <v>0.008839218632</v>
      </c>
      <c r="V82" s="126">
        <f>V61*1000/'Inflation GDP Population'!T$23*100</f>
        <v>0.009165916043</v>
      </c>
      <c r="W82" s="126">
        <f>W61*1000/'Inflation GDP Population'!U$23*100</f>
        <v>0.008799053195</v>
      </c>
      <c r="X82" s="126">
        <f>X61*1000/'Inflation GDP Population'!V$23*100</f>
        <v>0.009075264591</v>
      </c>
      <c r="Y82" s="126">
        <f>Y61*1000/'Inflation GDP Population'!W$23*100</f>
        <v>0.008921382087</v>
      </c>
      <c r="Z82" s="126">
        <f>Z61*1000/'Inflation GDP Population'!X$23*100</f>
        <v>0.00900871969</v>
      </c>
      <c r="AA82" s="126">
        <f>AA61*1000/'Inflation GDP Population'!Y$23*100</f>
        <v>0.009463079039</v>
      </c>
      <c r="AB82" s="126">
        <f>AB61*1000/'Inflation GDP Population'!Z$23*100</f>
        <v>0.0100530197</v>
      </c>
      <c r="AC82" s="126">
        <f>AC61*1000/'Inflation GDP Population'!AA$23*100</f>
        <v>0.01080062501</v>
      </c>
      <c r="AD82" s="126">
        <f>AD61*1000/'Inflation GDP Population'!AB$23*100</f>
        <v>0.01106767919</v>
      </c>
      <c r="AE82" s="126">
        <f>AE61*1000/'Inflation GDP Population'!AC$23*100</f>
        <v>0.01118387887</v>
      </c>
      <c r="AF82" s="126">
        <f>AF61*1000/'Inflation GDP Population'!AD$23*100</f>
        <v>0.01146424828</v>
      </c>
      <c r="AG82" s="126">
        <f>AG61*1000/'Inflation GDP Population'!AE$23*100</f>
        <v>0.01154701397</v>
      </c>
      <c r="AH82" s="126">
        <f>AH61*1000/'Inflation GDP Population'!AF$23*100</f>
        <v>0.01168101803</v>
      </c>
      <c r="AI82" s="126">
        <f>AI61*1000/'Inflation GDP Population'!AG$23*100</f>
        <v>0.01164895945</v>
      </c>
      <c r="AJ82" s="126">
        <f>AJ61*1000/'Inflation GDP Population'!AH$23*100</f>
        <v>0.01207542955</v>
      </c>
      <c r="AK82" s="126">
        <f>AK61*1000/'Inflation GDP Population'!AI$23*100</f>
        <v>0.01226806586</v>
      </c>
      <c r="AL82" s="126">
        <f>AL61*1000/'Inflation GDP Population'!AJ$23*100</f>
        <v>0.01240719653</v>
      </c>
      <c r="AM82" s="126">
        <f>AM61*1000/'Inflation GDP Population'!AK$23*100</f>
        <v>0.01254127473</v>
      </c>
      <c r="AN82" s="126">
        <f>AN61*1000/'Inflation GDP Population'!AL$23*100</f>
        <v>0.01278463951</v>
      </c>
      <c r="AO82" s="126">
        <f>AO61*1000/'Inflation GDP Population'!AM$23*100</f>
        <v>0.01284806183</v>
      </c>
      <c r="AP82" s="126">
        <f>AP61*1000/'Inflation GDP Population'!AN$23*100</f>
        <v>0.01287667826</v>
      </c>
      <c r="AQ82" s="126">
        <f>AQ61*1000/'Inflation GDP Population'!AO$23*100</f>
        <v>0.01293900264</v>
      </c>
      <c r="AR82" s="126">
        <f>AR61*1000/'Inflation GDP Population'!AP$23*100</f>
        <v>0.0131168622</v>
      </c>
      <c r="AS82" s="126">
        <f>AS61*1000/'Inflation GDP Population'!AQ$23*100</f>
        <v>0.01307059761</v>
      </c>
      <c r="AT82" s="126">
        <f>AT61*1000/'Inflation GDP Population'!AR$23*100</f>
        <v>0.01319095393</v>
      </c>
      <c r="AU82" s="126">
        <f>AU61*1000/'Inflation GDP Population'!AS$23*100</f>
        <v>0.01337035125</v>
      </c>
      <c r="AV82" s="126">
        <f>AV61*1000/'Inflation GDP Population'!AT$23*100</f>
        <v>0.01360693876</v>
      </c>
      <c r="AW82" s="126">
        <f>AW61*1000/'Inflation GDP Population'!AU$23*100</f>
        <v>0.01382149882</v>
      </c>
      <c r="AX82" s="126">
        <f>AX61*1000/'Inflation GDP Population'!AV$23*100</f>
        <v>0.01396630854</v>
      </c>
      <c r="AY82" s="126">
        <f>AY61*1000/'Inflation GDP Population'!AW$23*100</f>
        <v>0.01416475429</v>
      </c>
      <c r="AZ82" s="126">
        <f>AZ61*1000/'Inflation GDP Population'!AX$23*100</f>
        <v>0.01454499352</v>
      </c>
      <c r="BA82" s="126">
        <f>BA61*1000/'Inflation GDP Population'!AY$23*100</f>
        <v>0.01482917246</v>
      </c>
      <c r="BB82" s="126">
        <f>BB61*1000/'Inflation GDP Population'!AZ$23*100</f>
        <v>0.01506757851</v>
      </c>
    </row>
    <row r="83" ht="15.75" customHeight="1">
      <c r="A83" s="119" t="s">
        <v>328</v>
      </c>
      <c r="B83" s="131" t="s">
        <v>304</v>
      </c>
      <c r="C83" s="134" t="s">
        <v>276</v>
      </c>
      <c r="D83" s="126">
        <f>D62*1000/'Inflation GDP Population'!B$23*100</f>
        <v>0.1531216661</v>
      </c>
      <c r="E83" s="126">
        <f>E62*1000/'Inflation GDP Population'!C$23*100</f>
        <v>0.1264753783</v>
      </c>
      <c r="F83" s="126">
        <f>F62*1000/'Inflation GDP Population'!D$23*100</f>
        <v>0.1059544455</v>
      </c>
      <c r="G83" s="126">
        <f>G62*1000/'Inflation GDP Population'!E$23*100</f>
        <v>0.1696344551</v>
      </c>
      <c r="H83" s="126">
        <f>H62*1000/'Inflation GDP Population'!F$23*100</f>
        <v>0.1640957172</v>
      </c>
      <c r="I83" s="126">
        <f>I62*1000/'Inflation GDP Population'!G$23*100</f>
        <v>0.2271085413</v>
      </c>
      <c r="J83" s="126">
        <f>J62*1000/'Inflation GDP Population'!H$23*100</f>
        <v>0.1479833425</v>
      </c>
      <c r="K83" s="126">
        <f>K62*1000/'Inflation GDP Population'!I$23*100</f>
        <v>0.1489363227</v>
      </c>
      <c r="L83" s="126">
        <f>L62*1000/'Inflation GDP Population'!J$23*100</f>
        <v>0.2005699328</v>
      </c>
      <c r="M83" s="126">
        <f>M62*1000/'Inflation GDP Population'!K$23*100</f>
        <v>0.0894517913</v>
      </c>
      <c r="N83" s="126">
        <f>N62*1000/'Inflation GDP Population'!L$23*100</f>
        <v>0.1115074511</v>
      </c>
      <c r="O83" s="126">
        <f>O62*1000/'Inflation GDP Population'!M$23*100</f>
        <v>0.08349572586</v>
      </c>
      <c r="P83" s="126">
        <f>P62*1000/'Inflation GDP Population'!N$23*100</f>
        <v>0.04654332512</v>
      </c>
      <c r="Q83" s="126">
        <f>Q62*1000/'Inflation GDP Population'!O$23*100</f>
        <v>0.07694805328</v>
      </c>
      <c r="R83" s="126">
        <f>R62*1000/'Inflation GDP Population'!P$23*100</f>
        <v>0.09547487837</v>
      </c>
      <c r="S83" s="126">
        <f>S62*1000/'Inflation GDP Population'!Q$23*100</f>
        <v>0.0469870921</v>
      </c>
      <c r="T83" s="126">
        <f>T62*1000/'Inflation GDP Population'!R$23*100</f>
        <v>0.04124725825</v>
      </c>
      <c r="U83" s="126">
        <f>U62*1000/'Inflation GDP Population'!S$23*100</f>
        <v>0.0471430843</v>
      </c>
      <c r="V83" s="126">
        <f>V62*1000/'Inflation GDP Population'!T$23*100</f>
        <v>0.04773346402</v>
      </c>
      <c r="W83" s="126">
        <f>W62*1000/'Inflation GDP Population'!U$23*100</f>
        <v>0.04476992965</v>
      </c>
      <c r="X83" s="126">
        <f>X62*1000/'Inflation GDP Population'!V$23*100</f>
        <v>0.04513996898</v>
      </c>
      <c r="Y83" s="126">
        <f>Y62*1000/'Inflation GDP Population'!W$23*100</f>
        <v>0.04340324663</v>
      </c>
      <c r="Z83" s="126">
        <f>Z62*1000/'Inflation GDP Population'!X$23*100</f>
        <v>0.04289110081</v>
      </c>
      <c r="AA83" s="126">
        <f>AA62*1000/'Inflation GDP Population'!Y$23*100</f>
        <v>0.04411299693</v>
      </c>
      <c r="AB83" s="126">
        <f>AB62*1000/'Inflation GDP Population'!Z$23*100</f>
        <v>0.04590576188</v>
      </c>
      <c r="AC83" s="126">
        <f>AC62*1000/'Inflation GDP Population'!AA$23*100</f>
        <v>0.0483341367</v>
      </c>
      <c r="AD83" s="126">
        <f>AD62*1000/'Inflation GDP Population'!AB$23*100</f>
        <v>0.04856078377</v>
      </c>
      <c r="AE83" s="126">
        <f>AE62*1000/'Inflation GDP Population'!AC$23*100</f>
        <v>0.04813129595</v>
      </c>
      <c r="AF83" s="126">
        <f>AF62*1000/'Inflation GDP Population'!AD$23*100</f>
        <v>0.04841292682</v>
      </c>
      <c r="AG83" s="126">
        <f>AG62*1000/'Inflation GDP Population'!AE$23*100</f>
        <v>0.04786675191</v>
      </c>
      <c r="AH83" s="126">
        <f>AH62*1000/'Inflation GDP Population'!AF$23*100</f>
        <v>0.04755047902</v>
      </c>
      <c r="AI83" s="126">
        <f>AI62*1000/'Inflation GDP Population'!AG$23*100</f>
        <v>0.04658291094</v>
      </c>
      <c r="AJ83" s="126">
        <f>AJ62*1000/'Inflation GDP Population'!AH$23*100</f>
        <v>0.04745226916</v>
      </c>
      <c r="AK83" s="126">
        <f>AK62*1000/'Inflation GDP Population'!AI$23*100</f>
        <v>0.04739031509</v>
      </c>
      <c r="AL83" s="126">
        <f>AL62*1000/'Inflation GDP Population'!AJ$23*100</f>
        <v>0.04712868467</v>
      </c>
      <c r="AM83" s="126">
        <f>AM62*1000/'Inflation GDP Population'!AK$23*100</f>
        <v>0.04685820982</v>
      </c>
      <c r="AN83" s="126">
        <f>AN62*1000/'Inflation GDP Population'!AL$23*100</f>
        <v>0.04699962897</v>
      </c>
      <c r="AO83" s="126">
        <f>AO62*1000/'Inflation GDP Population'!AM$23*100</f>
        <v>0.04648691089</v>
      </c>
      <c r="AP83" s="126">
        <f>AP62*1000/'Inflation GDP Population'!AN$23*100</f>
        <v>0.04586750038</v>
      </c>
      <c r="AQ83" s="126">
        <f>AQ62*1000/'Inflation GDP Population'!AO$23*100</f>
        <v>0.04538655928</v>
      </c>
      <c r="AR83" s="126">
        <f>AR62*1000/'Inflation GDP Population'!AP$23*100</f>
        <v>0.04532052661</v>
      </c>
      <c r="AS83" s="126">
        <f>AS62*1000/'Inflation GDP Population'!AQ$23*100</f>
        <v>0.04449474061</v>
      </c>
      <c r="AT83" s="126">
        <f>AT62*1000/'Inflation GDP Population'!AR$23*100</f>
        <v>0.04425312751</v>
      </c>
      <c r="AU83" s="126">
        <f>AU62*1000/'Inflation GDP Population'!AS$23*100</f>
        <v>0.04421484787</v>
      </c>
      <c r="AV83" s="126">
        <f>AV62*1000/'Inflation GDP Population'!AT$23*100</f>
        <v>0.04436527776</v>
      </c>
      <c r="AW83" s="126">
        <f>AW62*1000/'Inflation GDP Population'!AU$23*100</f>
        <v>0.04444186708</v>
      </c>
      <c r="AX83" s="126">
        <f>AX62*1000/'Inflation GDP Population'!AV$23*100</f>
        <v>0.0442962788</v>
      </c>
      <c r="AY83" s="126">
        <f>AY62*1000/'Inflation GDP Population'!AW$23*100</f>
        <v>0.04432354262</v>
      </c>
      <c r="AZ83" s="126">
        <f>AZ62*1000/'Inflation GDP Population'!AX$23*100</f>
        <v>0.04491252801</v>
      </c>
      <c r="BA83" s="126">
        <f>BA62*1000/'Inflation GDP Population'!AY$23*100</f>
        <v>0.04519450956</v>
      </c>
      <c r="BB83" s="126">
        <f>BB62*1000/'Inflation GDP Population'!AZ$23*100</f>
        <v>0.04533262485</v>
      </c>
    </row>
    <row r="84" ht="15.75" customHeight="1">
      <c r="A84" s="119" t="s">
        <v>329</v>
      </c>
      <c r="B84" s="131" t="s">
        <v>318</v>
      </c>
      <c r="C84" s="134" t="s">
        <v>276</v>
      </c>
      <c r="D84" s="126">
        <f t="shared" ref="D84:BB84" si="8">sum(D80:D83)</f>
        <v>0.6204086837</v>
      </c>
      <c r="E84" s="126">
        <f t="shared" si="8"/>
        <v>0.4840025023</v>
      </c>
      <c r="F84" s="126">
        <f t="shared" si="8"/>
        <v>0.4112466363</v>
      </c>
      <c r="G84" s="126">
        <f t="shared" si="8"/>
        <v>0.6329279222</v>
      </c>
      <c r="H84" s="126">
        <f t="shared" si="8"/>
        <v>0.6309392284</v>
      </c>
      <c r="I84" s="126">
        <f t="shared" si="8"/>
        <v>0.849484018</v>
      </c>
      <c r="J84" s="126">
        <f t="shared" si="8"/>
        <v>0.6026376415</v>
      </c>
      <c r="K84" s="126">
        <f t="shared" si="8"/>
        <v>0.6067686011</v>
      </c>
      <c r="L84" s="126">
        <f t="shared" si="8"/>
        <v>0.7715777728</v>
      </c>
      <c r="M84" s="126">
        <f t="shared" si="8"/>
        <v>0.3360068541</v>
      </c>
      <c r="N84" s="126">
        <f t="shared" si="8"/>
        <v>0.4040281986</v>
      </c>
      <c r="O84" s="126">
        <f t="shared" si="8"/>
        <v>0.3433964298</v>
      </c>
      <c r="P84" s="126">
        <f t="shared" si="8"/>
        <v>0.2230497587</v>
      </c>
      <c r="Q84" s="126">
        <f t="shared" si="8"/>
        <v>0.3139475918</v>
      </c>
      <c r="R84" s="126">
        <f t="shared" si="8"/>
        <v>0.3684676049</v>
      </c>
      <c r="S84" s="126">
        <f t="shared" si="8"/>
        <v>0.2003528667</v>
      </c>
      <c r="T84" s="126">
        <f t="shared" si="8"/>
        <v>0.1824557197</v>
      </c>
      <c r="U84" s="126">
        <f t="shared" si="8"/>
        <v>0.2115236685</v>
      </c>
      <c r="V84" s="126">
        <f t="shared" si="8"/>
        <v>0.2155780549</v>
      </c>
      <c r="W84" s="126">
        <f t="shared" si="8"/>
        <v>0.2035095405</v>
      </c>
      <c r="X84" s="126">
        <f t="shared" si="8"/>
        <v>0.2065156107</v>
      </c>
      <c r="Y84" s="126">
        <f t="shared" si="8"/>
        <v>0.1998407114</v>
      </c>
      <c r="Z84" s="126">
        <f t="shared" si="8"/>
        <v>0.1987358695</v>
      </c>
      <c r="AA84" s="126">
        <f t="shared" si="8"/>
        <v>0.2056839842</v>
      </c>
      <c r="AB84" s="126">
        <f t="shared" si="8"/>
        <v>0.2153792279</v>
      </c>
      <c r="AC84" s="126">
        <f t="shared" si="8"/>
        <v>0.2281767886</v>
      </c>
      <c r="AD84" s="126">
        <f t="shared" si="8"/>
        <v>0.2306548326</v>
      </c>
      <c r="AE84" s="126">
        <f t="shared" si="8"/>
        <v>0.2300078178</v>
      </c>
      <c r="AF84" s="126">
        <f t="shared" si="8"/>
        <v>0.2327521237</v>
      </c>
      <c r="AG84" s="126">
        <f t="shared" si="8"/>
        <v>0.2315063655</v>
      </c>
      <c r="AH84" s="126">
        <f t="shared" si="8"/>
        <v>0.2313450554</v>
      </c>
      <c r="AI84" s="126">
        <f t="shared" si="8"/>
        <v>0.2279755438</v>
      </c>
      <c r="AJ84" s="126">
        <f t="shared" si="8"/>
        <v>0.2335904986</v>
      </c>
      <c r="AK84" s="126">
        <f t="shared" si="8"/>
        <v>0.2346415122</v>
      </c>
      <c r="AL84" s="126">
        <f t="shared" si="8"/>
        <v>0.2346920687</v>
      </c>
      <c r="AM84" s="126">
        <f t="shared" si="8"/>
        <v>0.2346808572</v>
      </c>
      <c r="AN84" s="126">
        <f t="shared" si="8"/>
        <v>0.236726335</v>
      </c>
      <c r="AO84" s="126">
        <f t="shared" si="8"/>
        <v>0.2354640161</v>
      </c>
      <c r="AP84" s="126">
        <f t="shared" si="8"/>
        <v>0.2336266786</v>
      </c>
      <c r="AQ84" s="126">
        <f t="shared" si="8"/>
        <v>0.2324610271</v>
      </c>
      <c r="AR84" s="126">
        <f t="shared" si="8"/>
        <v>0.2334025698</v>
      </c>
      <c r="AS84" s="126">
        <f t="shared" si="8"/>
        <v>0.2304038088</v>
      </c>
      <c r="AT84" s="126">
        <f t="shared" si="8"/>
        <v>0.230397602</v>
      </c>
      <c r="AU84" s="126">
        <f t="shared" si="8"/>
        <v>0.2314398158</v>
      </c>
      <c r="AV84" s="126">
        <f t="shared" si="8"/>
        <v>0.2334706334</v>
      </c>
      <c r="AW84" s="126">
        <f t="shared" si="8"/>
        <v>0.2351168995</v>
      </c>
      <c r="AX84" s="126">
        <f t="shared" si="8"/>
        <v>0.235583502</v>
      </c>
      <c r="AY84" s="126">
        <f t="shared" si="8"/>
        <v>0.2369637785</v>
      </c>
      <c r="AZ84" s="126">
        <f t="shared" si="8"/>
        <v>0.2413619856</v>
      </c>
      <c r="BA84" s="126">
        <f t="shared" si="8"/>
        <v>0.2441322242</v>
      </c>
      <c r="BB84" s="126">
        <f t="shared" si="8"/>
        <v>0.2461346442</v>
      </c>
    </row>
    <row r="85" ht="15.75" customHeight="1">
      <c r="A85" s="119" t="s">
        <v>330</v>
      </c>
      <c r="B85" s="131" t="s">
        <v>306</v>
      </c>
      <c r="C85" s="134" t="s">
        <v>276</v>
      </c>
      <c r="D85" s="126">
        <f>D63*1000/'Inflation GDP Population'!B$23*100</f>
        <v>0.0576271346</v>
      </c>
      <c r="E85" s="126">
        <f>E63*1000/'Inflation GDP Population'!C$23*100</f>
        <v>0.05694665391</v>
      </c>
      <c r="F85" s="126">
        <f>F63*1000/'Inflation GDP Population'!D$23*100</f>
        <v>0.05555138388</v>
      </c>
      <c r="G85" s="126">
        <f>G63*1000/'Inflation GDP Population'!E$23*100</f>
        <v>0.05383720122</v>
      </c>
      <c r="H85" s="126">
        <f>H63*1000/'Inflation GDP Population'!F$23*100</f>
        <v>0.06053850445</v>
      </c>
      <c r="I85" s="126">
        <f>I63*1000/'Inflation GDP Population'!G$23*100</f>
        <v>0.07102073079</v>
      </c>
      <c r="J85" s="126">
        <f>J63*1000/'Inflation GDP Population'!H$23*100</f>
        <v>0.0703729486</v>
      </c>
      <c r="K85" s="126">
        <f>K63*1000/'Inflation GDP Population'!I$23*100</f>
        <v>0.06537212174</v>
      </c>
      <c r="L85" s="126">
        <f>L63*1000/'Inflation GDP Population'!J$23*100</f>
        <v>0.07865037963</v>
      </c>
      <c r="M85" s="126">
        <f>M63*1000/'Inflation GDP Population'!K$23*100</f>
        <v>0.07637378816</v>
      </c>
      <c r="N85" s="126">
        <f>N63*1000/'Inflation GDP Population'!L$23*100</f>
        <v>0.08726076712</v>
      </c>
      <c r="O85" s="126">
        <f>O63*1000/'Inflation GDP Population'!M$23*100</f>
        <v>0.09504947646</v>
      </c>
      <c r="P85" s="126">
        <f>P63*1000/'Inflation GDP Population'!N$23*100</f>
        <v>0.0802233013</v>
      </c>
      <c r="Q85" s="126">
        <f>Q63*1000/'Inflation GDP Population'!O$23*100</f>
        <v>0.06457465748</v>
      </c>
      <c r="R85" s="126">
        <f>R63*1000/'Inflation GDP Population'!P$23*100</f>
        <v>0.05447023381</v>
      </c>
      <c r="S85" s="126">
        <f>S63*1000/'Inflation GDP Population'!Q$23*100</f>
        <v>0.03819066313</v>
      </c>
      <c r="T85" s="126">
        <f>T63*1000/'Inflation GDP Population'!R$23*100</f>
        <v>0.02820834453</v>
      </c>
      <c r="U85" s="126">
        <f>U63*1000/'Inflation GDP Population'!S$23*100</f>
        <v>0.03446486948</v>
      </c>
      <c r="V85" s="126">
        <f>V63*1000/'Inflation GDP Population'!T$23*100</f>
        <v>0.03781564164</v>
      </c>
      <c r="W85" s="126">
        <f>W63*1000/'Inflation GDP Population'!U$23*100</f>
        <v>0.03463937476</v>
      </c>
      <c r="X85" s="126">
        <f>X63*1000/'Inflation GDP Population'!V$23*100</f>
        <v>0.03314574931</v>
      </c>
      <c r="Y85" s="126">
        <f>Y63*1000/'Inflation GDP Population'!W$23*100</f>
        <v>0.03115904016</v>
      </c>
      <c r="Z85" s="126">
        <f>Z63*1000/'Inflation GDP Population'!X$23*100</f>
        <v>0.03003544179</v>
      </c>
      <c r="AA85" s="126">
        <f>AA63*1000/'Inflation GDP Population'!Y$23*100</f>
        <v>0.02920439526</v>
      </c>
      <c r="AB85" s="126">
        <f>AB63*1000/'Inflation GDP Population'!Z$23*100</f>
        <v>0.02871189485</v>
      </c>
      <c r="AC85" s="126">
        <f>AC63*1000/'Inflation GDP Population'!AA$23*100</f>
        <v>0.02822705006</v>
      </c>
      <c r="AD85" s="126">
        <f>AD63*1000/'Inflation GDP Population'!AB$23*100</f>
        <v>0.02781047971</v>
      </c>
      <c r="AE85" s="126">
        <f>AE63*1000/'Inflation GDP Population'!AC$23*100</f>
        <v>0.02745821736</v>
      </c>
      <c r="AF85" s="126">
        <f>AF63*1000/'Inflation GDP Population'!AD$23*100</f>
        <v>0.02699194337</v>
      </c>
      <c r="AG85" s="126">
        <f>AG63*1000/'Inflation GDP Population'!AE$23*100</f>
        <v>0.02670381252</v>
      </c>
      <c r="AH85" s="126">
        <f>AH63*1000/'Inflation GDP Population'!AF$23*100</f>
        <v>0.02624847199</v>
      </c>
      <c r="AI85" s="126">
        <f>AI63*1000/'Inflation GDP Population'!AG$23*100</f>
        <v>0.02590942966</v>
      </c>
      <c r="AJ85" s="126">
        <f>AJ63*1000/'Inflation GDP Population'!AH$23*100</f>
        <v>0.02551947231</v>
      </c>
      <c r="AK85" s="126">
        <f>AK63*1000/'Inflation GDP Population'!AI$23*100</f>
        <v>0.02502979406</v>
      </c>
      <c r="AL85" s="126">
        <f>AL63*1000/'Inflation GDP Population'!AJ$23*100</f>
        <v>0.0245493153</v>
      </c>
      <c r="AM85" s="126">
        <f>AM63*1000/'Inflation GDP Population'!AK$23*100</f>
        <v>0.02417798303</v>
      </c>
      <c r="AN85" s="126">
        <f>AN63*1000/'Inflation GDP Population'!AL$23*100</f>
        <v>0.02376226688</v>
      </c>
      <c r="AO85" s="126">
        <f>AO63*1000/'Inflation GDP Population'!AM$23*100</f>
        <v>0.02330526193</v>
      </c>
      <c r="AP85" s="126">
        <f>AP63*1000/'Inflation GDP Population'!AN$23*100</f>
        <v>0.02290379874</v>
      </c>
      <c r="AQ85" s="126">
        <f>AQ63*1000/'Inflation GDP Population'!AO$23*100</f>
        <v>0.02241691679</v>
      </c>
      <c r="AR85" s="126">
        <f>AR63*1000/'Inflation GDP Population'!AP$23*100</f>
        <v>0.02198526246</v>
      </c>
      <c r="AS85" s="126">
        <f>AS63*1000/'Inflation GDP Population'!AQ$23*100</f>
        <v>0.02160575245</v>
      </c>
      <c r="AT85" s="126">
        <f>AT63*1000/'Inflation GDP Population'!AR$23*100</f>
        <v>0.02118929361</v>
      </c>
      <c r="AU85" s="126">
        <f>AU63*1000/'Inflation GDP Population'!AS$23*100</f>
        <v>0.02078069775</v>
      </c>
      <c r="AV85" s="126">
        <f>AV63*1000/'Inflation GDP Population'!AT$23*100</f>
        <v>0.02042107438</v>
      </c>
      <c r="AW85" s="126">
        <f>AW63*1000/'Inflation GDP Population'!AU$23*100</f>
        <v>0.02010764725</v>
      </c>
      <c r="AX85" s="126">
        <f>AX63*1000/'Inflation GDP Population'!AV$23*100</f>
        <v>0.01967968411</v>
      </c>
      <c r="AY85" s="126">
        <f>AY63*1000/'Inflation GDP Population'!AW$23*100</f>
        <v>0.01933810802</v>
      </c>
      <c r="AZ85" s="126">
        <f>AZ63*1000/'Inflation GDP Population'!AX$23*100</f>
        <v>0.01896423053</v>
      </c>
      <c r="BA85" s="126">
        <f>BA63*1000/'Inflation GDP Population'!AY$23*100</f>
        <v>0.0185974354</v>
      </c>
      <c r="BB85" s="126">
        <f>BB63*1000/'Inflation GDP Population'!AZ$23*100</f>
        <v>0.01823759136</v>
      </c>
    </row>
    <row r="86" ht="15.75" customHeight="1">
      <c r="A86" s="135" t="s">
        <v>331</v>
      </c>
      <c r="B86" s="93" t="s">
        <v>332</v>
      </c>
      <c r="C86" s="123" t="s">
        <v>273</v>
      </c>
      <c r="D86" s="136">
        <f>D24*1000/'Inflation GDP Population'!B$28</f>
        <v>688.7157315</v>
      </c>
      <c r="E86" s="136">
        <f>E24*1000/'Inflation GDP Population'!C$28</f>
        <v>702.0549926</v>
      </c>
      <c r="F86" s="136">
        <f>F24*1000/'Inflation GDP Population'!D$28</f>
        <v>686.291365</v>
      </c>
      <c r="G86" s="136">
        <f>G24*1000/'Inflation GDP Population'!E$28</f>
        <v>680.0416909</v>
      </c>
      <c r="H86" s="136">
        <f>H24*1000/'Inflation GDP Population'!F$28</f>
        <v>705.2034889</v>
      </c>
      <c r="I86" s="136">
        <f>I24*1000/'Inflation GDP Population'!G$28</f>
        <v>733.9968643</v>
      </c>
      <c r="J86" s="136">
        <f>J24*1000/'Inflation GDP Population'!H$28</f>
        <v>668.8119557</v>
      </c>
      <c r="K86" s="136">
        <f>K24*1000/'Inflation GDP Population'!I$28</f>
        <v>695.0899534</v>
      </c>
      <c r="L86" s="136">
        <f>L24*1000/'Inflation GDP Population'!J$28</f>
        <v>705.6534653</v>
      </c>
      <c r="M86" s="136">
        <f>M24*1000/'Inflation GDP Population'!K$28</f>
        <v>601.0513399</v>
      </c>
      <c r="N86" s="136">
        <f>N24*1000/'Inflation GDP Population'!L$28</f>
        <v>652.4335708</v>
      </c>
      <c r="O86" s="136">
        <f>O24*1000/'Inflation GDP Population'!M$28</f>
        <v>623.5718431</v>
      </c>
      <c r="P86" s="136">
        <f>P24*1000/'Inflation GDP Population'!N$28</f>
        <v>566.5368302</v>
      </c>
      <c r="Q86" s="136">
        <f>Q24*1000/'Inflation GDP Population'!O$28</f>
        <v>576.1553874</v>
      </c>
      <c r="R86" s="136">
        <f>R24*1000/'Inflation GDP Population'!P$28</f>
        <v>601.3754921</v>
      </c>
      <c r="S86" s="136">
        <f>S24*1000/'Inflation GDP Population'!Q$28</f>
        <v>527.5336734</v>
      </c>
      <c r="T86" s="136">
        <f>T24*1000/'Inflation GDP Population'!R$28</f>
        <v>514.6053133</v>
      </c>
      <c r="U86" s="136">
        <f>U24*1000/'Inflation GDP Population'!S$28</f>
        <v>499.1670849</v>
      </c>
      <c r="V86" s="136">
        <f>V24*1000/'Inflation GDP Population'!T$28</f>
        <v>512.5793922</v>
      </c>
      <c r="W86" s="136">
        <f>W24*1000/'Inflation GDP Population'!U$28</f>
        <v>480.1968878</v>
      </c>
      <c r="X86" s="136">
        <f>X24*1000/'Inflation GDP Population'!V$28</f>
        <v>484.647809</v>
      </c>
      <c r="Y86" s="136">
        <f>Y24*1000/'Inflation GDP Population'!W$28</f>
        <v>472.9272677</v>
      </c>
      <c r="Z86" s="136">
        <f>Z24*1000/'Inflation GDP Population'!X$28</f>
        <v>462.4267893</v>
      </c>
      <c r="AA86" s="136">
        <f>AA24*1000/'Inflation GDP Population'!Y$28</f>
        <v>452.5039092</v>
      </c>
      <c r="AB86" s="136">
        <f>AB24*1000/'Inflation GDP Population'!Z$28</f>
        <v>453.7429497</v>
      </c>
      <c r="AC86" s="136">
        <f>AC24*1000/'Inflation GDP Population'!AA$28</f>
        <v>453.4057557</v>
      </c>
      <c r="AD86" s="136">
        <f>AD24*1000/'Inflation GDP Population'!AB$28</f>
        <v>449.4797077</v>
      </c>
      <c r="AE86" s="136">
        <f>AE24*1000/'Inflation GDP Population'!AC$28</f>
        <v>440.8904407</v>
      </c>
      <c r="AF86" s="136">
        <f>AF24*1000/'Inflation GDP Population'!AD$28</f>
        <v>437.4353714</v>
      </c>
      <c r="AG86" s="136">
        <f>AG24*1000/'Inflation GDP Population'!AE$28</f>
        <v>430.8365642</v>
      </c>
      <c r="AH86" s="136">
        <f>AH24*1000/'Inflation GDP Population'!AF$28</f>
        <v>426.8230422</v>
      </c>
      <c r="AI86" s="136">
        <f>AI24*1000/'Inflation GDP Population'!AG$28</f>
        <v>423.7118117</v>
      </c>
      <c r="AJ86" s="136">
        <f>AJ24*1000/'Inflation GDP Population'!AH$28</f>
        <v>422.6704958</v>
      </c>
      <c r="AK86" s="136">
        <f>AK24*1000/'Inflation GDP Population'!AI$28</f>
        <v>420.4723016</v>
      </c>
      <c r="AL86" s="136">
        <f>AL24*1000/'Inflation GDP Population'!AJ$28</f>
        <v>417.8086505</v>
      </c>
      <c r="AM86" s="136">
        <f>AM24*1000/'Inflation GDP Population'!AK$28</f>
        <v>415.3319279</v>
      </c>
      <c r="AN86" s="136">
        <f>AN24*1000/'Inflation GDP Population'!AL$28</f>
        <v>413.412973</v>
      </c>
      <c r="AO86" s="136">
        <f>AO24*1000/'Inflation GDP Population'!AM$28</f>
        <v>410.8607458</v>
      </c>
      <c r="AP86" s="136">
        <f>AP24*1000/'Inflation GDP Population'!AN$28</f>
        <v>406.711207</v>
      </c>
      <c r="AQ86" s="136">
        <f>AQ24*1000/'Inflation GDP Population'!AO$28</f>
        <v>403.7625397</v>
      </c>
      <c r="AR86" s="136">
        <f>AR24*1000/'Inflation GDP Population'!AP$28</f>
        <v>401.9073661</v>
      </c>
      <c r="AS86" s="136">
        <f>AS24*1000/'Inflation GDP Population'!AQ$28</f>
        <v>397.6111459</v>
      </c>
      <c r="AT86" s="136">
        <f>AT24*1000/'Inflation GDP Population'!AR$28</f>
        <v>394.9381879</v>
      </c>
      <c r="AU86" s="136">
        <f>AU24*1000/'Inflation GDP Population'!AS$28</f>
        <v>392.6111535</v>
      </c>
      <c r="AV86" s="136">
        <f>AV24*1000/'Inflation GDP Population'!AT$28</f>
        <v>390.9979801</v>
      </c>
      <c r="AW86" s="136">
        <f>AW24*1000/'Inflation GDP Population'!AU$28</f>
        <v>388.9937356</v>
      </c>
      <c r="AX86" s="136">
        <f>AX24*1000/'Inflation GDP Population'!AV$28</f>
        <v>386.5696239</v>
      </c>
      <c r="AY86" s="136">
        <f>AY24*1000/'Inflation GDP Population'!AW$28</f>
        <v>384.5441682</v>
      </c>
      <c r="AZ86" s="136">
        <f>AZ24*1000/'Inflation GDP Population'!AX$28</f>
        <v>383.9893223</v>
      </c>
      <c r="BA86" s="136">
        <f>BA24*1000/'Inflation GDP Population'!AY$28</f>
        <v>382.505125</v>
      </c>
      <c r="BB86" s="136">
        <f>BB24*1000/'Inflation GDP Population'!AZ$28</f>
        <v>380.8935891</v>
      </c>
    </row>
    <row r="87" ht="15.75" customHeight="1">
      <c r="A87" s="135" t="s">
        <v>333</v>
      </c>
      <c r="B87" s="93" t="s">
        <v>334</v>
      </c>
      <c r="C87" s="123" t="s">
        <v>273</v>
      </c>
      <c r="D87" s="136">
        <f>D25*1000/'Inflation GDP Population'!B$28</f>
        <v>404.1481673</v>
      </c>
      <c r="E87" s="136">
        <f>E25*1000/'Inflation GDP Population'!C$28</f>
        <v>310.3471063</v>
      </c>
      <c r="F87" s="136">
        <f>F25*1000/'Inflation GDP Population'!D$28</f>
        <v>237.1800677</v>
      </c>
      <c r="G87" s="136">
        <f>G25*1000/'Inflation GDP Population'!E$28</f>
        <v>134.2939393</v>
      </c>
      <c r="H87" s="136">
        <f>H25*1000/'Inflation GDP Population'!F$28</f>
        <v>103.8465924</v>
      </c>
      <c r="I87" s="136">
        <f>I25*1000/'Inflation GDP Population'!G$28</f>
        <v>91.46335138</v>
      </c>
      <c r="J87" s="136">
        <f>J25*1000/'Inflation GDP Population'!H$28</f>
        <v>94.13335573</v>
      </c>
      <c r="K87" s="136">
        <f>K25*1000/'Inflation GDP Population'!I$28</f>
        <v>99.2415224</v>
      </c>
      <c r="L87" s="136">
        <f>L25*1000/'Inflation GDP Population'!J$28</f>
        <v>99.88138395</v>
      </c>
      <c r="M87" s="136">
        <f>M25*1000/'Inflation GDP Population'!K$28</f>
        <v>150.3352306</v>
      </c>
      <c r="N87" s="136">
        <f>N25*1000/'Inflation GDP Population'!L$28</f>
        <v>185.644824</v>
      </c>
      <c r="O87" s="136">
        <f>O25*1000/'Inflation GDP Population'!M$28</f>
        <v>183.2805675</v>
      </c>
      <c r="P87" s="136">
        <f>P25*1000/'Inflation GDP Population'!N$28</f>
        <v>137.0956645</v>
      </c>
      <c r="Q87" s="136">
        <f>Q25*1000/'Inflation GDP Population'!O$28</f>
        <v>138.2030339</v>
      </c>
      <c r="R87" s="136">
        <f>R25*1000/'Inflation GDP Population'!P$28</f>
        <v>203.126558</v>
      </c>
      <c r="S87" s="136">
        <f>S25*1000/'Inflation GDP Population'!Q$28</f>
        <v>407.1295292</v>
      </c>
      <c r="T87" s="136">
        <f>T25*1000/'Inflation GDP Population'!R$28</f>
        <v>349.4007984</v>
      </c>
      <c r="U87" s="136">
        <f>U25*1000/'Inflation GDP Population'!S$28</f>
        <v>307.6833513</v>
      </c>
      <c r="V87" s="136">
        <f>V25*1000/'Inflation GDP Population'!T$28</f>
        <v>283.5972467</v>
      </c>
      <c r="W87" s="136">
        <f>W25*1000/'Inflation GDP Population'!U$28</f>
        <v>343.8572758</v>
      </c>
      <c r="X87" s="136">
        <f>X25*1000/'Inflation GDP Population'!V$28</f>
        <v>579.8871095</v>
      </c>
      <c r="Y87" s="136">
        <f>Y25*1000/'Inflation GDP Population'!W$28</f>
        <v>391.0616322</v>
      </c>
      <c r="Z87" s="136">
        <f>Z25*1000/'Inflation GDP Population'!X$28</f>
        <v>374.1467083</v>
      </c>
      <c r="AA87" s="136">
        <f>AA25*1000/'Inflation GDP Population'!Y$28</f>
        <v>336.3934898</v>
      </c>
      <c r="AB87" s="136">
        <f>AB25*1000/'Inflation GDP Population'!Z$28</f>
        <v>317.1958181</v>
      </c>
      <c r="AC87" s="136">
        <f>AC25*1000/'Inflation GDP Population'!AA$28</f>
        <v>234.9608304</v>
      </c>
      <c r="AD87" s="136">
        <f>AD25*1000/'Inflation GDP Population'!AB$28</f>
        <v>183.0324646</v>
      </c>
      <c r="AE87" s="136">
        <f>AE25*1000/'Inflation GDP Population'!AC$28</f>
        <v>165.7334161</v>
      </c>
      <c r="AF87" s="136">
        <f>AF25*1000/'Inflation GDP Population'!AD$28</f>
        <v>159.9533405</v>
      </c>
      <c r="AG87" s="136">
        <f>AG25*1000/'Inflation GDP Population'!AE$28</f>
        <v>176.2289796</v>
      </c>
      <c r="AH87" s="136">
        <f>AH25*1000/'Inflation GDP Population'!AF$28</f>
        <v>236.3634934</v>
      </c>
      <c r="AI87" s="136">
        <f>AI25*1000/'Inflation GDP Population'!AG$28</f>
        <v>307.3467454</v>
      </c>
      <c r="AJ87" s="136">
        <f>AJ25*1000/'Inflation GDP Population'!AH$28</f>
        <v>303.4653988</v>
      </c>
      <c r="AK87" s="136">
        <f>AK25*1000/'Inflation GDP Population'!AI$28</f>
        <v>368.5293482</v>
      </c>
      <c r="AL87" s="136">
        <f>AL25*1000/'Inflation GDP Population'!AJ$28</f>
        <v>382.8033648</v>
      </c>
      <c r="AM87" s="136">
        <f>AM25*1000/'Inflation GDP Population'!AK$28</f>
        <v>427.688709</v>
      </c>
      <c r="AN87" s="136">
        <f>AN25*1000/'Inflation GDP Population'!AL$28</f>
        <v>391.4391629</v>
      </c>
      <c r="AO87" s="136">
        <f>AO25*1000/'Inflation GDP Population'!AM$28</f>
        <v>412.5498942</v>
      </c>
      <c r="AP87" s="136">
        <f>AP25*1000/'Inflation GDP Population'!AN$28</f>
        <v>396.5683392</v>
      </c>
      <c r="AQ87" s="136">
        <f>AQ25*1000/'Inflation GDP Population'!AO$28</f>
        <v>270.5339906</v>
      </c>
      <c r="AR87" s="136">
        <f>AR25*1000/'Inflation GDP Population'!AP$28</f>
        <v>307.2954496</v>
      </c>
      <c r="AS87" s="136">
        <f>AS25*1000/'Inflation GDP Population'!AQ$28</f>
        <v>344.1640683</v>
      </c>
      <c r="AT87" s="136">
        <f>AT25*1000/'Inflation GDP Population'!AR$28</f>
        <v>357.3351082</v>
      </c>
      <c r="AU87" s="136">
        <f>AU25*1000/'Inflation GDP Population'!AS$28</f>
        <v>328.7224948</v>
      </c>
      <c r="AV87" s="136">
        <f>AV25*1000/'Inflation GDP Population'!AT$28</f>
        <v>294.5489451</v>
      </c>
      <c r="AW87" s="136">
        <f>AW25*1000/'Inflation GDP Population'!AU$28</f>
        <v>320.4546999</v>
      </c>
      <c r="AX87" s="136">
        <f>AX25*1000/'Inflation GDP Population'!AV$28</f>
        <v>285.0777456</v>
      </c>
      <c r="AY87" s="136">
        <f>AY25*1000/'Inflation GDP Population'!AW$28</f>
        <v>247.7471319</v>
      </c>
      <c r="AZ87" s="136">
        <f>AZ25*1000/'Inflation GDP Population'!AX$28</f>
        <v>185.2835278</v>
      </c>
      <c r="BA87" s="136">
        <f>BA25*1000/'Inflation GDP Population'!AY$28</f>
        <v>90.07876139</v>
      </c>
      <c r="BB87" s="136">
        <f>BB25*1000/'Inflation GDP Population'!AZ$28</f>
        <v>14.23655758</v>
      </c>
    </row>
    <row r="88" ht="15.75" customHeight="1">
      <c r="A88" s="135" t="s">
        <v>335</v>
      </c>
      <c r="B88" s="123" t="s">
        <v>336</v>
      </c>
      <c r="C88" s="123" t="s">
        <v>273</v>
      </c>
      <c r="D88" s="136">
        <f>D26*1000/'Inflation GDP Population'!B$28</f>
        <v>279.9779357</v>
      </c>
      <c r="E88" s="136">
        <f>E26*1000/'Inflation GDP Population'!C$28</f>
        <v>258.5055538</v>
      </c>
      <c r="F88" s="136">
        <f>F26*1000/'Inflation GDP Population'!D$28</f>
        <v>268.2813378</v>
      </c>
      <c r="G88" s="136">
        <f>G26*1000/'Inflation GDP Population'!E$28</f>
        <v>256.6534282</v>
      </c>
      <c r="H88" s="136">
        <f>H26*1000/'Inflation GDP Population'!F$28</f>
        <v>253.9806483</v>
      </c>
      <c r="I88" s="136">
        <f>I26*1000/'Inflation GDP Population'!G$28</f>
        <v>264.1794512</v>
      </c>
      <c r="J88" s="136">
        <f>J26*1000/'Inflation GDP Population'!H$28</f>
        <v>275.4941759</v>
      </c>
      <c r="K88" s="136">
        <f>K26*1000/'Inflation GDP Population'!I$28</f>
        <v>246.1511373</v>
      </c>
      <c r="L88" s="136">
        <f>L26*1000/'Inflation GDP Population'!J$28</f>
        <v>240.0536172</v>
      </c>
      <c r="M88" s="136">
        <f>M26*1000/'Inflation GDP Population'!K$28</f>
        <v>232.3151123</v>
      </c>
      <c r="N88" s="136">
        <f>N26*1000/'Inflation GDP Population'!L$28</f>
        <v>255.8891186</v>
      </c>
      <c r="O88" s="136">
        <f>O26*1000/'Inflation GDP Population'!M$28</f>
        <v>241.524237</v>
      </c>
      <c r="P88" s="136">
        <f>P26*1000/'Inflation GDP Population'!N$28</f>
        <v>236.0756451</v>
      </c>
      <c r="Q88" s="136">
        <f>Q26*1000/'Inflation GDP Population'!O$28</f>
        <v>234.6624126</v>
      </c>
      <c r="R88" s="136">
        <f>R26*1000/'Inflation GDP Population'!P$28</f>
        <v>233.9118335</v>
      </c>
      <c r="S88" s="136">
        <f>S26*1000/'Inflation GDP Population'!Q$28</f>
        <v>233.4677485</v>
      </c>
      <c r="T88" s="136">
        <f>T26*1000/'Inflation GDP Population'!R$28</f>
        <v>237.0742395</v>
      </c>
      <c r="U88" s="136">
        <f>U26*1000/'Inflation GDP Population'!S$28</f>
        <v>233.2174515</v>
      </c>
      <c r="V88" s="136">
        <f>V26*1000/'Inflation GDP Population'!T$28</f>
        <v>224.8266813</v>
      </c>
      <c r="W88" s="136">
        <f>W26*1000/'Inflation GDP Population'!U$28</f>
        <v>232.9086129</v>
      </c>
      <c r="X88" s="136">
        <f>X26*1000/'Inflation GDP Population'!V$28</f>
        <v>231.7633933</v>
      </c>
      <c r="Y88" s="136">
        <f>Y26*1000/'Inflation GDP Population'!W$28</f>
        <v>229.8732714</v>
      </c>
      <c r="Z88" s="136">
        <f>Z26*1000/'Inflation GDP Population'!X$28</f>
        <v>230.1920099</v>
      </c>
      <c r="AA88" s="136">
        <f>AA26*1000/'Inflation GDP Population'!Y$28</f>
        <v>230.5065144</v>
      </c>
      <c r="AB88" s="136">
        <f>AB26*1000/'Inflation GDP Population'!Z$28</f>
        <v>230.8168892</v>
      </c>
      <c r="AC88" s="136">
        <f>AC26*1000/'Inflation GDP Population'!AA$28</f>
        <v>231.1232352</v>
      </c>
      <c r="AD88" s="136">
        <f>AD26*1000/'Inflation GDP Population'!AB$28</f>
        <v>231.4256501</v>
      </c>
      <c r="AE88" s="136">
        <f>AE26*1000/'Inflation GDP Population'!AC$28</f>
        <v>231.7242284</v>
      </c>
      <c r="AF88" s="136">
        <f>AF26*1000/'Inflation GDP Population'!AD$28</f>
        <v>232.0190615</v>
      </c>
      <c r="AG88" s="136">
        <f>AG26*1000/'Inflation GDP Population'!AE$28</f>
        <v>232.3102383</v>
      </c>
      <c r="AH88" s="136">
        <f>AH26*1000/'Inflation GDP Population'!AF$28</f>
        <v>232.5978445</v>
      </c>
      <c r="AI88" s="136">
        <f>AI26*1000/'Inflation GDP Population'!AG$28</f>
        <v>233.1635186</v>
      </c>
      <c r="AJ88" s="136">
        <f>AJ26*1000/'Inflation GDP Population'!AH$28</f>
        <v>233.7228022</v>
      </c>
      <c r="AK88" s="136">
        <f>AK26*1000/'Inflation GDP Population'!AI$28</f>
        <v>234.2758192</v>
      </c>
      <c r="AL88" s="136">
        <f>AL26*1000/'Inflation GDP Population'!AJ$28</f>
        <v>234.8226907</v>
      </c>
      <c r="AM88" s="136">
        <f>AM26*1000/'Inflation GDP Population'!AK$28</f>
        <v>235.3635344</v>
      </c>
      <c r="AN88" s="136">
        <f>AN26*1000/'Inflation GDP Population'!AL$28</f>
        <v>235.8984651</v>
      </c>
      <c r="AO88" s="136">
        <f>AO26*1000/'Inflation GDP Population'!AM$28</f>
        <v>236.4275948</v>
      </c>
      <c r="AP88" s="136">
        <f>AP26*1000/'Inflation GDP Population'!AN$28</f>
        <v>236.9510327</v>
      </c>
      <c r="AQ88" s="136">
        <f>AQ26*1000/'Inflation GDP Population'!AO$28</f>
        <v>237.4688851</v>
      </c>
      <c r="AR88" s="136">
        <f>AR26*1000/'Inflation GDP Population'!AP$28</f>
        <v>237.9812558</v>
      </c>
      <c r="AS88" s="136">
        <f>AS26*1000/'Inflation GDP Population'!AQ$28</f>
        <v>238.3665608</v>
      </c>
      <c r="AT88" s="136">
        <f>AT26*1000/'Inflation GDP Population'!AR$28</f>
        <v>238.747682</v>
      </c>
      <c r="AU88" s="136">
        <f>AU26*1000/'Inflation GDP Population'!AS$28</f>
        <v>239.1247022</v>
      </c>
      <c r="AV88" s="136">
        <f>AV26*1000/'Inflation GDP Population'!AT$28</f>
        <v>239.4977017</v>
      </c>
      <c r="AW88" s="136">
        <f>AW26*1000/'Inflation GDP Population'!AU$28</f>
        <v>239.866759</v>
      </c>
      <c r="AX88" s="136">
        <f>AX26*1000/'Inflation GDP Population'!AV$28</f>
        <v>240.2319504</v>
      </c>
      <c r="AY88" s="136">
        <f>AY26*1000/'Inflation GDP Population'!AW$28</f>
        <v>240.5933504</v>
      </c>
      <c r="AZ88" s="136">
        <f>AZ26*1000/'Inflation GDP Population'!AX$28</f>
        <v>240.9510314</v>
      </c>
      <c r="BA88" s="136">
        <f>BA26*1000/'Inflation GDP Population'!AY$28</f>
        <v>241.3050641</v>
      </c>
      <c r="BB88" s="136">
        <f>BB26*1000/'Inflation GDP Population'!AZ$28</f>
        <v>241.6555176</v>
      </c>
    </row>
    <row r="89" ht="15.75" customHeight="1">
      <c r="A89" s="135" t="s">
        <v>337</v>
      </c>
      <c r="B89" s="123" t="s">
        <v>338</v>
      </c>
      <c r="C89" s="123" t="s">
        <v>273</v>
      </c>
      <c r="D89" s="136">
        <f>D27*1000/'Inflation GDP Population'!B$28</f>
        <v>168.49408</v>
      </c>
      <c r="E89" s="136">
        <f>E27*1000/'Inflation GDP Population'!C$28</f>
        <v>185.1407781</v>
      </c>
      <c r="F89" s="136">
        <f>F27*1000/'Inflation GDP Population'!D$28</f>
        <v>169.4319747</v>
      </c>
      <c r="G89" s="136">
        <f>G27*1000/'Inflation GDP Population'!E$28</f>
        <v>166.1275163</v>
      </c>
      <c r="H89" s="136">
        <f>H27*1000/'Inflation GDP Population'!F$28</f>
        <v>178.4830994</v>
      </c>
      <c r="I89" s="136">
        <f>I27*1000/'Inflation GDP Population'!G$28</f>
        <v>155.332067</v>
      </c>
      <c r="J89" s="136">
        <f>J27*1000/'Inflation GDP Population'!H$28</f>
        <v>228.1636093</v>
      </c>
      <c r="K89" s="136">
        <f>K27*1000/'Inflation GDP Population'!I$28</f>
        <v>182.3090468</v>
      </c>
      <c r="L89" s="136">
        <f>L27*1000/'Inflation GDP Population'!J$28</f>
        <v>178.620976</v>
      </c>
      <c r="M89" s="136">
        <f>M27*1000/'Inflation GDP Population'!K$28</f>
        <v>161.0322445</v>
      </c>
      <c r="N89" s="136">
        <f>N27*1000/'Inflation GDP Population'!L$28</f>
        <v>163.344453</v>
      </c>
      <c r="O89" s="136">
        <f>O27*1000/'Inflation GDP Population'!M$28</f>
        <v>178.1532235</v>
      </c>
      <c r="P89" s="136">
        <f>P27*1000/'Inflation GDP Population'!N$28</f>
        <v>177.8303125</v>
      </c>
      <c r="Q89" s="136">
        <f>Q27*1000/'Inflation GDP Population'!O$28</f>
        <v>188.4250265</v>
      </c>
      <c r="R89" s="136">
        <f>R27*1000/'Inflation GDP Population'!P$28</f>
        <v>179.3896322</v>
      </c>
      <c r="S89" s="136">
        <f>S27*1000/'Inflation GDP Population'!Q$28</f>
        <v>188.2269846</v>
      </c>
      <c r="T89" s="136">
        <f>T27*1000/'Inflation GDP Population'!R$28</f>
        <v>208.4706316</v>
      </c>
      <c r="U89" s="136">
        <f>U27*1000/'Inflation GDP Population'!S$28</f>
        <v>185.342603</v>
      </c>
      <c r="V89" s="136">
        <f>V27*1000/'Inflation GDP Population'!T$28</f>
        <v>183.7324634</v>
      </c>
      <c r="W89" s="136">
        <f>W27*1000/'Inflation GDP Population'!U$28</f>
        <v>183.2814056</v>
      </c>
      <c r="X89" s="136">
        <f>X27*1000/'Inflation GDP Population'!V$28</f>
        <v>181.9687225</v>
      </c>
      <c r="Y89" s="136">
        <f>Y27*1000/'Inflation GDP Population'!W$28</f>
        <v>185.5456759</v>
      </c>
      <c r="Z89" s="136">
        <f>Z27*1000/'Inflation GDP Population'!X$28</f>
        <v>185.5276163</v>
      </c>
      <c r="AA89" s="136">
        <f>AA27*1000/'Inflation GDP Population'!Y$28</f>
        <v>185.5105538</v>
      </c>
      <c r="AB89" s="136">
        <f>AB27*1000/'Inflation GDP Population'!Z$28</f>
        <v>185.4944643</v>
      </c>
      <c r="AC89" s="136">
        <f>AC27*1000/'Inflation GDP Population'!AA$28</f>
        <v>185.4793242</v>
      </c>
      <c r="AD89" s="136">
        <f>AD27*1000/'Inflation GDP Population'!AB$28</f>
        <v>185.465111</v>
      </c>
      <c r="AE89" s="136">
        <f>AE27*1000/'Inflation GDP Population'!AC$28</f>
        <v>185.4518026</v>
      </c>
      <c r="AF89" s="136">
        <f>AF27*1000/'Inflation GDP Population'!AD$28</f>
        <v>185.4620819</v>
      </c>
      <c r="AG89" s="136">
        <f>AG27*1000/'Inflation GDP Population'!AE$28</f>
        <v>185.4278159</v>
      </c>
      <c r="AH89" s="136">
        <f>AH27*1000/'Inflation GDP Population'!AF$28</f>
        <v>185.4170971</v>
      </c>
      <c r="AI89" s="136">
        <f>AI27*1000/'Inflation GDP Population'!AG$28</f>
        <v>185.6313599</v>
      </c>
      <c r="AJ89" s="136">
        <f>AJ27*1000/'Inflation GDP Population'!AH$28</f>
        <v>186.1746981</v>
      </c>
      <c r="AK89" s="136">
        <f>AK27*1000/'Inflation GDP Population'!AI$28</f>
        <v>186.0535387</v>
      </c>
      <c r="AL89" s="136">
        <f>AL27*1000/'Inflation GDP Population'!AJ$28</f>
        <v>186.2615366</v>
      </c>
      <c r="AM89" s="136">
        <f>AM27*1000/'Inflation GDP Population'!AK$28</f>
        <v>186.4675262</v>
      </c>
      <c r="AN89" s="136">
        <f>AN27*1000/'Inflation GDP Population'!AL$28</f>
        <v>186.6715459</v>
      </c>
      <c r="AO89" s="136">
        <f>AO27*1000/'Inflation GDP Population'!AM$28</f>
        <v>186.8736332</v>
      </c>
      <c r="AP89" s="136">
        <f>AP27*1000/'Inflation GDP Population'!AN$28</f>
        <v>187.0738245</v>
      </c>
      <c r="AQ89" s="136">
        <f>AQ27*1000/'Inflation GDP Population'!AO$28</f>
        <v>187.2721554</v>
      </c>
      <c r="AR89" s="136">
        <f>AR27*1000/'Inflation GDP Population'!AP$28</f>
        <v>187.4686606</v>
      </c>
      <c r="AS89" s="136">
        <f>AS27*1000/'Inflation GDP Population'!AQ$28</f>
        <v>187.5676212</v>
      </c>
      <c r="AT89" s="136">
        <f>AT27*1000/'Inflation GDP Population'!AR$28</f>
        <v>187.6658914</v>
      </c>
      <c r="AU89" s="136">
        <f>AU27*1000/'Inflation GDP Population'!AS$28</f>
        <v>187.7634851</v>
      </c>
      <c r="AV89" s="136">
        <f>AV27*1000/'Inflation GDP Population'!AT$28</f>
        <v>190.2293083</v>
      </c>
      <c r="AW89" s="136">
        <f>AW27*1000/'Inflation GDP Population'!AU$28</f>
        <v>187.9566961</v>
      </c>
      <c r="AX89" s="136">
        <f>AX27*1000/'Inflation GDP Population'!AV$28</f>
        <v>188.0523392</v>
      </c>
      <c r="AY89" s="136">
        <f>AY27*1000/'Inflation GDP Population'!AW$28</f>
        <v>188.1473576</v>
      </c>
      <c r="AZ89" s="136">
        <f>AZ27*1000/'Inflation GDP Population'!AX$28</f>
        <v>188.2417631</v>
      </c>
      <c r="BA89" s="136">
        <f>BA27*1000/'Inflation GDP Population'!AY$28</f>
        <v>190.0520969</v>
      </c>
      <c r="BB89" s="136">
        <f>BB27*1000/'Inflation GDP Population'!AZ$28</f>
        <v>188.9047661</v>
      </c>
    </row>
    <row r="90" ht="15.75" customHeight="1">
      <c r="A90" s="135" t="s">
        <v>339</v>
      </c>
      <c r="B90" s="93" t="s">
        <v>332</v>
      </c>
      <c r="C90" s="137" t="s">
        <v>276</v>
      </c>
      <c r="D90" s="138">
        <f>D24*1000/'Inflation GDP Population'!B$23*100</f>
        <v>1.561437476</v>
      </c>
      <c r="E90" s="138">
        <f>E24*1000/'Inflation GDP Population'!C$23*100</f>
        <v>1.590307643</v>
      </c>
      <c r="F90" s="138">
        <f>F24*1000/'Inflation GDP Population'!D$23*100</f>
        <v>1.54098179</v>
      </c>
      <c r="G90" s="138">
        <f>G24*1000/'Inflation GDP Population'!E$23*100</f>
        <v>1.505032923</v>
      </c>
      <c r="H90" s="138">
        <f>H24*1000/'Inflation GDP Population'!F$23*100</f>
        <v>1.523542423</v>
      </c>
      <c r="I90" s="138">
        <f>I24*1000/'Inflation GDP Population'!G$23*100</f>
        <v>1.563167552</v>
      </c>
      <c r="J90" s="138">
        <f>J24*1000/'Inflation GDP Population'!H$23*100</f>
        <v>1.4126286</v>
      </c>
      <c r="K90" s="138">
        <f>K24*1000/'Inflation GDP Population'!I$23*100</f>
        <v>1.482591904</v>
      </c>
      <c r="L90" s="138">
        <f>L24*1000/'Inflation GDP Population'!J$23*100</f>
        <v>1.523669217</v>
      </c>
      <c r="M90" s="138">
        <f>M24*1000/'Inflation GDP Population'!K$23*100</f>
        <v>1.343843503</v>
      </c>
      <c r="N90" s="138">
        <f>N24*1000/'Inflation GDP Population'!L$23*100</f>
        <v>1.453401403</v>
      </c>
      <c r="O90" s="138">
        <f>O24*1000/'Inflation GDP Population'!M$23*100</f>
        <v>1.382834843</v>
      </c>
      <c r="P90" s="138">
        <f>P24*1000/'Inflation GDP Population'!N$23*100</f>
        <v>1.246185142</v>
      </c>
      <c r="Q90" s="138">
        <f>Q24*1000/'Inflation GDP Population'!O$23*100</f>
        <v>1.255362481</v>
      </c>
      <c r="R90" s="138">
        <f>R24*1000/'Inflation GDP Population'!P$23*100</f>
        <v>1.290800333</v>
      </c>
      <c r="S90" s="138">
        <f>S24*1000/'Inflation GDP Population'!Q$23*100</f>
        <v>1.095248369</v>
      </c>
      <c r="T90" s="138">
        <f>T24*1000/'Inflation GDP Population'!R$23*100</f>
        <v>1.051430903</v>
      </c>
      <c r="U90" s="138">
        <f>U24*1000/'Inflation GDP Population'!S$23*100</f>
        <v>1.008048929</v>
      </c>
      <c r="V90" s="138">
        <f>V24*1000/'Inflation GDP Population'!T$23*100</f>
        <v>1.020559592</v>
      </c>
      <c r="W90" s="138">
        <f>W24*1000/'Inflation GDP Population'!U$23*100</f>
        <v>0.9416087622</v>
      </c>
      <c r="X90" s="138">
        <f>X24*1000/'Inflation GDP Population'!V$23*100</f>
        <v>0.9388755114</v>
      </c>
      <c r="Y90" s="138">
        <f>Y24*1000/'Inflation GDP Population'!W$23*100</f>
        <v>0.9060275922</v>
      </c>
      <c r="Z90" s="138">
        <f>Z24*1000/'Inflation GDP Population'!X$23*100</f>
        <v>0.8760417607</v>
      </c>
      <c r="AA90" s="138">
        <f>AA24*1000/'Inflation GDP Population'!Y$23*100</f>
        <v>0.8476349667</v>
      </c>
      <c r="AB90" s="138">
        <f>AB24*1000/'Inflation GDP Population'!Z$23*100</f>
        <v>0.8403719863</v>
      </c>
      <c r="AC90" s="138">
        <f>AC24*1000/'Inflation GDP Population'!AA$23*100</f>
        <v>0.8302230364</v>
      </c>
      <c r="AD90" s="138">
        <f>AD24*1000/'Inflation GDP Population'!AB$23*100</f>
        <v>0.8136456553</v>
      </c>
      <c r="AE90" s="138">
        <f>AE24*1000/'Inflation GDP Population'!AC$23*100</f>
        <v>0.7889422711</v>
      </c>
      <c r="AF90" s="138">
        <f>AF24*1000/'Inflation GDP Population'!AD$23*100</f>
        <v>0.7737311222</v>
      </c>
      <c r="AG90" s="138">
        <f>AG24*1000/'Inflation GDP Population'!AE$23*100</f>
        <v>0.7532221566</v>
      </c>
      <c r="AH90" s="138">
        <f>AH24*1000/'Inflation GDP Population'!AF$23*100</f>
        <v>0.7375066147</v>
      </c>
      <c r="AI90" s="138">
        <f>AI24*1000/'Inflation GDP Population'!AG$23*100</f>
        <v>0.7226782766</v>
      </c>
      <c r="AJ90" s="138">
        <f>AJ24*1000/'Inflation GDP Population'!AH$23*100</f>
        <v>0.7115643122</v>
      </c>
      <c r="AK90" s="138">
        <f>AK24*1000/'Inflation GDP Population'!AI$23*100</f>
        <v>0.6986651531</v>
      </c>
      <c r="AL90" s="138">
        <f>AL24*1000/'Inflation GDP Population'!AJ$23*100</f>
        <v>0.6851891692</v>
      </c>
      <c r="AM90" s="138">
        <f>AM24*1000/'Inflation GDP Population'!AK$23*100</f>
        <v>0.6722207099</v>
      </c>
      <c r="AN90" s="138">
        <f>AN24*1000/'Inflation GDP Population'!AL$23*100</f>
        <v>0.660338385</v>
      </c>
      <c r="AO90" s="138">
        <f>AO24*1000/'Inflation GDP Population'!AM$23*100</f>
        <v>0.6476279021</v>
      </c>
      <c r="AP90" s="138">
        <f>AP24*1000/'Inflation GDP Population'!AN$23*100</f>
        <v>0.6326278472</v>
      </c>
      <c r="AQ90" s="138">
        <f>AQ24*1000/'Inflation GDP Population'!AO$23*100</f>
        <v>0.6197299316</v>
      </c>
      <c r="AR90" s="138">
        <f>AR24*1000/'Inflation GDP Population'!AP$23*100</f>
        <v>0.6086952712</v>
      </c>
      <c r="AS90" s="138">
        <f>AS24*1000/'Inflation GDP Population'!AQ$23*100</f>
        <v>0.5944770744</v>
      </c>
      <c r="AT90" s="138">
        <f>AT24*1000/'Inflation GDP Population'!AR$23*100</f>
        <v>0.5828933663</v>
      </c>
      <c r="AU90" s="138">
        <f>AU24*1000/'Inflation GDP Population'!AS$23*100</f>
        <v>0.5719882608</v>
      </c>
      <c r="AV90" s="138">
        <f>AV24*1000/'Inflation GDP Population'!AT$23*100</f>
        <v>0.562269879</v>
      </c>
      <c r="AW90" s="138">
        <f>AW24*1000/'Inflation GDP Population'!AU$23*100</f>
        <v>0.5521286723</v>
      </c>
      <c r="AX90" s="138">
        <f>AX24*1000/'Inflation GDP Population'!AV$23*100</f>
        <v>0.541545075</v>
      </c>
      <c r="AY90" s="138">
        <f>AY24*1000/'Inflation GDP Population'!AW$23*100</f>
        <v>0.5316726803</v>
      </c>
      <c r="AZ90" s="138">
        <f>AZ24*1000/'Inflation GDP Population'!AX$23*100</f>
        <v>0.5239511031</v>
      </c>
      <c r="BA90" s="138">
        <f>BA24*1000/'Inflation GDP Population'!AY$23*100</f>
        <v>0.5150683401</v>
      </c>
      <c r="BB90" s="138">
        <f>BB24*1000/'Inflation GDP Population'!AZ$23*100</f>
        <v>0.5061391803</v>
      </c>
    </row>
    <row r="91" ht="15.75" customHeight="1">
      <c r="A91" s="135" t="s">
        <v>340</v>
      </c>
      <c r="B91" s="93" t="s">
        <v>334</v>
      </c>
      <c r="C91" s="137" t="s">
        <v>276</v>
      </c>
      <c r="D91" s="138">
        <f>D25*1000/'Inflation GDP Population'!B$23*100</f>
        <v>0.9162736749</v>
      </c>
      <c r="E91" s="138">
        <f>E25*1000/'Inflation GDP Population'!C$23*100</f>
        <v>0.7030038678</v>
      </c>
      <c r="F91" s="138">
        <f>F25*1000/'Inflation GDP Population'!D$23*100</f>
        <v>0.5325583037</v>
      </c>
      <c r="G91" s="138">
        <f>G25*1000/'Inflation GDP Population'!E$23*100</f>
        <v>0.2972123661</v>
      </c>
      <c r="H91" s="138">
        <f>H25*1000/'Inflation GDP Population'!F$23*100</f>
        <v>0.2243532421</v>
      </c>
      <c r="I91" s="138">
        <f>I25*1000/'Inflation GDP Population'!G$23*100</f>
        <v>0.1947863132</v>
      </c>
      <c r="J91" s="138">
        <f>J25*1000/'Inflation GDP Population'!H$23*100</f>
        <v>0.1988234052</v>
      </c>
      <c r="K91" s="138">
        <f>K25*1000/'Inflation GDP Population'!I$23*100</f>
        <v>0.2116771749</v>
      </c>
      <c r="L91" s="138">
        <f>L25*1000/'Inflation GDP Population'!J$23*100</f>
        <v>0.2156670343</v>
      </c>
      <c r="M91" s="138">
        <f>M25*1000/'Inflation GDP Population'!K$23*100</f>
        <v>0.3361227396</v>
      </c>
      <c r="N91" s="138">
        <f>N25*1000/'Inflation GDP Population'!L$23*100</f>
        <v>0.4135538999</v>
      </c>
      <c r="O91" s="138">
        <f>O25*1000/'Inflation GDP Population'!M$23*100</f>
        <v>0.4064435519</v>
      </c>
      <c r="P91" s="138">
        <f>P25*1000/'Inflation GDP Population'!N$23*100</f>
        <v>0.3015630601</v>
      </c>
      <c r="Q91" s="138">
        <f>Q25*1000/'Inflation GDP Population'!O$23*100</f>
        <v>0.3011251952</v>
      </c>
      <c r="R91" s="138">
        <f>R25*1000/'Inflation GDP Population'!P$23*100</f>
        <v>0.4359935385</v>
      </c>
      <c r="S91" s="138">
        <f>S25*1000/'Inflation GDP Population'!Q$23*100</f>
        <v>0.8452691748</v>
      </c>
      <c r="T91" s="138">
        <f>T25*1000/'Inflation GDP Population'!R$23*100</f>
        <v>0.7138884644</v>
      </c>
      <c r="U91" s="138">
        <f>U25*1000/'Inflation GDP Population'!S$23*100</f>
        <v>0.6213548169</v>
      </c>
      <c r="V91" s="138">
        <f>V25*1000/'Inflation GDP Population'!T$23*100</f>
        <v>0.5646498764</v>
      </c>
      <c r="W91" s="138">
        <f>W25*1000/'Inflation GDP Population'!U$23*100</f>
        <v>0.6742630619</v>
      </c>
      <c r="X91" s="138">
        <f>X25*1000/'Inflation GDP Population'!V$23*100</f>
        <v>1.123376184</v>
      </c>
      <c r="Y91" s="138">
        <f>Y25*1000/'Inflation GDP Population'!W$23*100</f>
        <v>0.7491905272</v>
      </c>
      <c r="Z91" s="138">
        <f>Z25*1000/'Inflation GDP Population'!X$23*100</f>
        <v>0.708800071</v>
      </c>
      <c r="AA91" s="138">
        <f>AA25*1000/'Inflation GDP Population'!Y$23*100</f>
        <v>0.6301357374</v>
      </c>
      <c r="AB91" s="138">
        <f>AB25*1000/'Inflation GDP Population'!Z$23*100</f>
        <v>0.5874746483</v>
      </c>
      <c r="AC91" s="138">
        <f>AC25*1000/'Inflation GDP Population'!AA$23*100</f>
        <v>0.430232505</v>
      </c>
      <c r="AD91" s="138">
        <f>AD25*1000/'Inflation GDP Population'!AB$23*100</f>
        <v>0.3313243446</v>
      </c>
      <c r="AE91" s="138">
        <f>AE25*1000/'Inflation GDP Population'!AC$23*100</f>
        <v>0.2965682302</v>
      </c>
      <c r="AF91" s="138">
        <f>AF25*1000/'Inflation GDP Population'!AD$23*100</f>
        <v>0.2829238003</v>
      </c>
      <c r="AG91" s="138">
        <f>AG25*1000/'Inflation GDP Population'!AE$23*100</f>
        <v>0.3080972766</v>
      </c>
      <c r="AH91" s="138">
        <f>AH25*1000/'Inflation GDP Population'!AF$23*100</f>
        <v>0.4084119709</v>
      </c>
      <c r="AI91" s="138">
        <f>AI25*1000/'Inflation GDP Population'!AG$23*100</f>
        <v>0.5242072799</v>
      </c>
      <c r="AJ91" s="138">
        <f>AJ25*1000/'Inflation GDP Population'!AH$23*100</f>
        <v>0.5108829452</v>
      </c>
      <c r="AK91" s="138">
        <f>AK25*1000/'Inflation GDP Population'!AI$23*100</f>
        <v>0.6123557068</v>
      </c>
      <c r="AL91" s="138">
        <f>AL25*1000/'Inflation GDP Population'!AJ$23*100</f>
        <v>0.6277819265</v>
      </c>
      <c r="AM91" s="138">
        <f>AM25*1000/'Inflation GDP Population'!AK$23*100</f>
        <v>0.6922203381</v>
      </c>
      <c r="AN91" s="138">
        <f>AN25*1000/'Inflation GDP Population'!AL$23*100</f>
        <v>0.6252399452</v>
      </c>
      <c r="AO91" s="138">
        <f>AO25*1000/'Inflation GDP Population'!AM$23*100</f>
        <v>0.6502904578</v>
      </c>
      <c r="AP91" s="138">
        <f>AP25*1000/'Inflation GDP Population'!AN$23*100</f>
        <v>0.6168509015</v>
      </c>
      <c r="AQ91" s="138">
        <f>AQ25*1000/'Inflation GDP Population'!AO$23*100</f>
        <v>0.4152391443</v>
      </c>
      <c r="AR91" s="138">
        <f>AR25*1000/'Inflation GDP Population'!AP$23*100</f>
        <v>0.4654039782</v>
      </c>
      <c r="AS91" s="138">
        <f>AS25*1000/'Inflation GDP Population'!AQ$23*100</f>
        <v>0.5145671859</v>
      </c>
      <c r="AT91" s="138">
        <f>AT25*1000/'Inflation GDP Population'!AR$23*100</f>
        <v>0.5273945911</v>
      </c>
      <c r="AU91" s="138">
        <f>AU25*1000/'Inflation GDP Population'!AS$23*100</f>
        <v>0.4789100014</v>
      </c>
      <c r="AV91" s="138">
        <f>AV25*1000/'Inflation GDP Population'!AT$23*100</f>
        <v>0.4235725199</v>
      </c>
      <c r="AW91" s="138">
        <f>AW25*1000/'Inflation GDP Population'!AU$23*100</f>
        <v>0.4548459572</v>
      </c>
      <c r="AX91" s="138">
        <f>AX25*1000/'Inflation GDP Population'!AV$23*100</f>
        <v>0.3993651844</v>
      </c>
      <c r="AY91" s="138">
        <f>AY25*1000/'Inflation GDP Population'!AW$23*100</f>
        <v>0.3425364173</v>
      </c>
      <c r="AZ91" s="138">
        <f>AZ25*1000/'Inflation GDP Population'!AX$23*100</f>
        <v>0.2528182507</v>
      </c>
      <c r="BA91" s="138">
        <f>BA25*1000/'Inflation GDP Population'!AY$23*100</f>
        <v>0.1212969842</v>
      </c>
      <c r="BB91" s="138">
        <f>BB25*1000/'Inflation GDP Population'!AZ$23*100</f>
        <v>0.01891782846</v>
      </c>
    </row>
    <row r="92" ht="15.75" customHeight="1">
      <c r="A92" s="135" t="s">
        <v>341</v>
      </c>
      <c r="B92" s="123" t="s">
        <v>336</v>
      </c>
      <c r="C92" s="137" t="s">
        <v>276</v>
      </c>
      <c r="D92" s="138">
        <f>D26*1000/'Inflation GDP Population'!B$23*100</f>
        <v>0.634758321</v>
      </c>
      <c r="E92" s="138">
        <f>E26*1000/'Inflation GDP Population'!C$23*100</f>
        <v>0.5855714471</v>
      </c>
      <c r="F92" s="138">
        <f>F26*1000/'Inflation GDP Population'!D$23*100</f>
        <v>0.6023923325</v>
      </c>
      <c r="G92" s="138">
        <f>G26*1000/'Inflation GDP Population'!E$23*100</f>
        <v>0.5680120269</v>
      </c>
      <c r="H92" s="138">
        <f>H26*1000/'Inflation GDP Population'!F$23*100</f>
        <v>0.5487072858</v>
      </c>
      <c r="I92" s="138">
        <f>I26*1000/'Inflation GDP Population'!G$23*100</f>
        <v>0.5626137741</v>
      </c>
      <c r="J92" s="138">
        <f>J26*1000/'Inflation GDP Population'!H$23*100</f>
        <v>0.581883964</v>
      </c>
      <c r="K92" s="138">
        <f>K26*1000/'Inflation GDP Population'!I$23*100</f>
        <v>0.525027993</v>
      </c>
      <c r="L92" s="138">
        <f>L26*1000/'Inflation GDP Population'!J$23*100</f>
        <v>0.5183313411</v>
      </c>
      <c r="M92" s="138">
        <f>M26*1000/'Inflation GDP Population'!K$23*100</f>
        <v>0.5194151209</v>
      </c>
      <c r="N92" s="138">
        <f>N26*1000/'Inflation GDP Population'!L$23*100</f>
        <v>0.5700344383</v>
      </c>
      <c r="O92" s="138">
        <f>O26*1000/'Inflation GDP Population'!M$23*100</f>
        <v>0.535604893</v>
      </c>
      <c r="P92" s="138">
        <f>P26*1000/'Inflation GDP Population'!N$23*100</f>
        <v>0.5192847942</v>
      </c>
      <c r="Q92" s="138">
        <f>Q26*1000/'Inflation GDP Population'!O$23*100</f>
        <v>0.5112967699</v>
      </c>
      <c r="R92" s="138">
        <f>R26*1000/'Inflation GDP Population'!P$23*100</f>
        <v>0.502071462</v>
      </c>
      <c r="S92" s="138">
        <f>S26*1000/'Inflation GDP Population'!Q$23*100</f>
        <v>0.4847181965</v>
      </c>
      <c r="T92" s="138">
        <f>T26*1000/'Inflation GDP Population'!R$23*100</f>
        <v>0.484385169</v>
      </c>
      <c r="U92" s="138">
        <f>U26*1000/'Inflation GDP Population'!S$23*100</f>
        <v>0.4709737664</v>
      </c>
      <c r="V92" s="138">
        <f>V26*1000/'Inflation GDP Population'!T$23*100</f>
        <v>0.4476360728</v>
      </c>
      <c r="W92" s="138">
        <f>W26*1000/'Inflation GDP Population'!U$23*100</f>
        <v>0.4567059809</v>
      </c>
      <c r="X92" s="138">
        <f>X26*1000/'Inflation GDP Population'!V$23*100</f>
        <v>0.4489795896</v>
      </c>
      <c r="Y92" s="138">
        <f>Y26*1000/'Inflation GDP Population'!W$23*100</f>
        <v>0.4403880699</v>
      </c>
      <c r="Z92" s="138">
        <f>Z26*1000/'Inflation GDP Population'!X$23*100</f>
        <v>0.436085924</v>
      </c>
      <c r="AA92" s="138">
        <f>AA26*1000/'Inflation GDP Population'!Y$23*100</f>
        <v>0.4317871684</v>
      </c>
      <c r="AB92" s="138">
        <f>AB26*1000/'Inflation GDP Population'!Z$23*100</f>
        <v>0.4274932488</v>
      </c>
      <c r="AC92" s="138">
        <f>AC26*1000/'Inflation GDP Population'!AA$23*100</f>
        <v>0.4232055542</v>
      </c>
      <c r="AD92" s="138">
        <f>AD26*1000/'Inflation GDP Population'!AB$23*100</f>
        <v>0.4189254186</v>
      </c>
      <c r="AE92" s="138">
        <f>AE26*1000/'Inflation GDP Population'!AC$23*100</f>
        <v>0.4146541229</v>
      </c>
      <c r="AF92" s="138">
        <f>AF26*1000/'Inflation GDP Population'!AD$23*100</f>
        <v>0.4103928959</v>
      </c>
      <c r="AG92" s="138">
        <f>AG26*1000/'Inflation GDP Population'!AE$23*100</f>
        <v>0.4061429164</v>
      </c>
      <c r="AH92" s="138">
        <f>AH26*1000/'Inflation GDP Population'!AF$23*100</f>
        <v>0.4019053142</v>
      </c>
      <c r="AI92" s="138">
        <f>AI26*1000/'Inflation GDP Population'!AG$23*100</f>
        <v>0.3976811719</v>
      </c>
      <c r="AJ92" s="138">
        <f>AJ26*1000/'Inflation GDP Population'!AH$23*100</f>
        <v>0.393471526</v>
      </c>
      <c r="AK92" s="138">
        <f>AK26*1000/'Inflation GDP Population'!AI$23*100</f>
        <v>0.3892773686</v>
      </c>
      <c r="AL92" s="138">
        <f>AL26*1000/'Inflation GDP Population'!AJ$23*100</f>
        <v>0.3850996482</v>
      </c>
      <c r="AM92" s="138">
        <f>AM26*1000/'Inflation GDP Population'!AK$23*100</f>
        <v>0.3809392718</v>
      </c>
      <c r="AN92" s="138">
        <f>AN26*1000/'Inflation GDP Population'!AL$23*100</f>
        <v>0.3767971051</v>
      </c>
      <c r="AO92" s="138">
        <f>AO26*1000/'Inflation GDP Population'!AM$23*100</f>
        <v>0.3726739748</v>
      </c>
      <c r="AP92" s="138">
        <f>AP26*1000/'Inflation GDP Population'!AN$23*100</f>
        <v>0.368570669</v>
      </c>
      <c r="AQ92" s="138">
        <f>AQ26*1000/'Inflation GDP Population'!AO$23*100</f>
        <v>0.3644879389</v>
      </c>
      <c r="AR92" s="138">
        <f>AR26*1000/'Inflation GDP Population'!AP$23*100</f>
        <v>0.3604264994</v>
      </c>
      <c r="AS92" s="138">
        <f>AS26*1000/'Inflation GDP Population'!AQ$23*100</f>
        <v>0.3563870308</v>
      </c>
      <c r="AT92" s="138">
        <f>AT26*1000/'Inflation GDP Population'!AR$23*100</f>
        <v>0.3523701793</v>
      </c>
      <c r="AU92" s="138">
        <f>AU26*1000/'Inflation GDP Population'!AS$23*100</f>
        <v>0.3483765586</v>
      </c>
      <c r="AV92" s="138">
        <f>AV26*1000/'Inflation GDP Population'!AT$23*100</f>
        <v>0.3444067505</v>
      </c>
      <c r="AW92" s="138">
        <f>AW26*1000/'Inflation GDP Population'!AU$23*100</f>
        <v>0.3404613059</v>
      </c>
      <c r="AX92" s="138">
        <f>AX26*1000/'Inflation GDP Population'!AV$23*100</f>
        <v>0.336540746</v>
      </c>
      <c r="AY92" s="138">
        <f>AY26*1000/'Inflation GDP Population'!AW$23*100</f>
        <v>0.3326455633</v>
      </c>
      <c r="AZ92" s="138">
        <f>AZ26*1000/'Inflation GDP Population'!AX$23*100</f>
        <v>0.328776222</v>
      </c>
      <c r="BA92" s="138">
        <f>BA26*1000/'Inflation GDP Population'!AY$23*100</f>
        <v>0.3249331596</v>
      </c>
      <c r="BB92" s="138">
        <f>BB26*1000/'Inflation GDP Population'!AZ$23*100</f>
        <v>0.3211167871</v>
      </c>
    </row>
    <row r="93" ht="15.75" customHeight="1">
      <c r="A93" s="135" t="s">
        <v>342</v>
      </c>
      <c r="B93" s="123" t="s">
        <v>338</v>
      </c>
      <c r="C93" s="137" t="s">
        <v>276</v>
      </c>
      <c r="D93" s="138">
        <f>D27*1000/'Inflation GDP Population'!B$23*100</f>
        <v>0.3820051713</v>
      </c>
      <c r="E93" s="138">
        <f>E27*1000/'Inflation GDP Population'!C$23*100</f>
        <v>0.4193842328</v>
      </c>
      <c r="F93" s="138">
        <f>F27*1000/'Inflation GDP Population'!D$23*100</f>
        <v>0.3804383983</v>
      </c>
      <c r="G93" s="138">
        <f>G27*1000/'Inflation GDP Population'!E$23*100</f>
        <v>0.3676647841</v>
      </c>
      <c r="H93" s="138">
        <f>H27*1000/'Inflation GDP Population'!F$23*100</f>
        <v>0.3856001538</v>
      </c>
      <c r="I93" s="138">
        <f>I27*1000/'Inflation GDP Population'!G$23*100</f>
        <v>0.3308052919</v>
      </c>
      <c r="J93" s="138">
        <f>J27*1000/'Inflation GDP Population'!H$23*100</f>
        <v>0.4819148897</v>
      </c>
      <c r="K93" s="138">
        <f>K27*1000/'Inflation GDP Population'!I$23*100</f>
        <v>0.3888560256</v>
      </c>
      <c r="L93" s="138">
        <f>L27*1000/'Inflation GDP Population'!J$23*100</f>
        <v>0.3856840447</v>
      </c>
      <c r="M93" s="138">
        <f>M27*1000/'Inflation GDP Population'!K$23*100</f>
        <v>0.3600393531</v>
      </c>
      <c r="N93" s="138">
        <f>N27*1000/'Inflation GDP Population'!L$23*100</f>
        <v>0.3638762133</v>
      </c>
      <c r="O93" s="138">
        <f>O27*1000/'Inflation GDP Population'!M$23*100</f>
        <v>0.395073138</v>
      </c>
      <c r="P93" s="138">
        <f>P27*1000/'Inflation GDP Population'!N$23*100</f>
        <v>0.3911652013</v>
      </c>
      <c r="Q93" s="138">
        <f>Q27*1000/'Inflation GDP Population'!O$23*100</f>
        <v>0.4105519342</v>
      </c>
      <c r="R93" s="138">
        <f>R27*1000/'Inflation GDP Population'!P$23*100</f>
        <v>0.385044286</v>
      </c>
      <c r="S93" s="138">
        <f>S27*1000/'Inflation GDP Population'!Q$23*100</f>
        <v>0.3907907841</v>
      </c>
      <c r="T93" s="138">
        <f>T27*1000/'Inflation GDP Population'!R$23*100</f>
        <v>0.4259428706</v>
      </c>
      <c r="U93" s="138">
        <f>U27*1000/'Inflation GDP Population'!S$23*100</f>
        <v>0.3742923323</v>
      </c>
      <c r="V93" s="138">
        <f>V27*1000/'Inflation GDP Population'!T$23*100</f>
        <v>0.3658163608</v>
      </c>
      <c r="W93" s="138">
        <f>W27*1000/'Inflation GDP Population'!U$23*100</f>
        <v>0.3593929529</v>
      </c>
      <c r="X93" s="138">
        <f>X27*1000/'Inflation GDP Population'!V$23*100</f>
        <v>0.3525157324</v>
      </c>
      <c r="Y93" s="138">
        <f>Y27*1000/'Inflation GDP Population'!W$23*100</f>
        <v>0.3554658686</v>
      </c>
      <c r="Z93" s="138">
        <f>Z27*1000/'Inflation GDP Population'!X$23*100</f>
        <v>0.3514717213</v>
      </c>
      <c r="AA93" s="138">
        <f>AA27*1000/'Inflation GDP Population'!Y$23*100</f>
        <v>0.3475002732</v>
      </c>
      <c r="AB93" s="138">
        <f>AB27*1000/'Inflation GDP Population'!Z$23*100</f>
        <v>0.343552118</v>
      </c>
      <c r="AC93" s="138">
        <f>AC27*1000/'Inflation GDP Population'!AA$23*100</f>
        <v>0.3396278186</v>
      </c>
      <c r="AD93" s="138">
        <f>AD27*1000/'Inflation GDP Population'!AB$23*100</f>
        <v>0.3357279076</v>
      </c>
      <c r="AE93" s="138">
        <f>AE27*1000/'Inflation GDP Population'!AC$23*100</f>
        <v>0.3318528886</v>
      </c>
      <c r="AF93" s="138">
        <f>AF27*1000/'Inflation GDP Population'!AD$23*100</f>
        <v>0.328043396</v>
      </c>
      <c r="AG93" s="138">
        <f>AG27*1000/'Inflation GDP Population'!AE$23*100</f>
        <v>0.3241794012</v>
      </c>
      <c r="AH93" s="138">
        <f>AH27*1000/'Inflation GDP Population'!AF$23*100</f>
        <v>0.3203818024</v>
      </c>
      <c r="AI93" s="138">
        <f>AI27*1000/'Inflation GDP Population'!AG$23*100</f>
        <v>0.3166108368</v>
      </c>
      <c r="AJ93" s="138">
        <f>AJ27*1000/'Inflation GDP Population'!AH$23*100</f>
        <v>0.3134244578</v>
      </c>
      <c r="AK93" s="138">
        <f>AK27*1000/'Inflation GDP Population'!AI$23*100</f>
        <v>0.3091502666</v>
      </c>
      <c r="AL93" s="138">
        <f>AL27*1000/'Inflation GDP Population'!AJ$23*100</f>
        <v>0.3054613334</v>
      </c>
      <c r="AM93" s="138">
        <f>AM27*1000/'Inflation GDP Population'!AK$23*100</f>
        <v>0.3018003779</v>
      </c>
      <c r="AN93" s="138">
        <f>AN27*1000/'Inflation GDP Population'!AL$23*100</f>
        <v>0.2981676802</v>
      </c>
      <c r="AO93" s="138">
        <f>AO27*1000/'Inflation GDP Population'!AM$23*100</f>
        <v>0.2945634993</v>
      </c>
      <c r="AP93" s="138">
        <f>AP27*1000/'Inflation GDP Population'!AN$23*100</f>
        <v>0.2909880742</v>
      </c>
      <c r="AQ93" s="138">
        <f>AQ27*1000/'Inflation GDP Population'!AO$23*100</f>
        <v>0.2874416239</v>
      </c>
      <c r="AR93" s="138">
        <f>AR27*1000/'Inflation GDP Population'!AP$23*100</f>
        <v>0.2839243488</v>
      </c>
      <c r="AS93" s="138">
        <f>AS27*1000/'Inflation GDP Population'!AQ$23*100</f>
        <v>0.280436431</v>
      </c>
      <c r="AT93" s="138">
        <f>AT27*1000/'Inflation GDP Population'!AR$23*100</f>
        <v>0.2769780349</v>
      </c>
      <c r="AU93" s="138">
        <f>AU27*1000/'Inflation GDP Population'!AS$23*100</f>
        <v>0.2735493078</v>
      </c>
      <c r="AV93" s="138">
        <f>AV27*1000/'Inflation GDP Population'!AT$23*100</f>
        <v>0.2735569379</v>
      </c>
      <c r="AW93" s="138">
        <f>AW27*1000/'Inflation GDP Population'!AU$23*100</f>
        <v>0.2667813683</v>
      </c>
      <c r="AX93" s="138">
        <f>AX27*1000/'Inflation GDP Population'!AV$23*100</f>
        <v>0.2634423707</v>
      </c>
      <c r="AY93" s="138">
        <f>AY27*1000/'Inflation GDP Population'!AW$23*100</f>
        <v>0.2601334727</v>
      </c>
      <c r="AZ93" s="138">
        <f>AZ27*1000/'Inflation GDP Population'!AX$23*100</f>
        <v>0.2568547449</v>
      </c>
      <c r="BA93" s="138">
        <f>BA27*1000/'Inflation GDP Population'!AY$23*100</f>
        <v>0.255917664</v>
      </c>
      <c r="BB93" s="138">
        <f>BB27*1000/'Inflation GDP Population'!AZ$23*100</f>
        <v>0.2510205112</v>
      </c>
    </row>
    <row r="94" ht="15.75" customHeight="1">
      <c r="A94" s="119"/>
      <c r="B94" s="131"/>
      <c r="C94" s="123"/>
      <c r="D94" s="133"/>
    </row>
    <row r="95" ht="15.75" customHeight="1">
      <c r="A95" s="119"/>
      <c r="B95" s="131"/>
      <c r="C95" s="123"/>
      <c r="D95" s="133"/>
    </row>
    <row r="96" ht="15.75" customHeight="1">
      <c r="A96" s="119"/>
      <c r="B96" s="131"/>
      <c r="C96" s="123"/>
      <c r="D96" s="133"/>
    </row>
  </sheetData>
  <printOptions/>
  <pageMargins bottom="0.75" footer="0.0" header="0.0" left="0.7" right="0.7" top="0.75"/>
  <pageSetup orientation="landscape"/>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3" width="8.71"/>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outlineLevelRow="1"/>
  <cols>
    <col customWidth="1" min="1" max="1" width="35.29"/>
    <col customWidth="1" min="2" max="2" width="17.43"/>
    <col customWidth="1" min="3" max="19" width="9.43"/>
    <col customWidth="1" min="20" max="20" width="11.14"/>
    <col customWidth="1" min="21" max="22" width="9.43"/>
    <col customWidth="1" min="23" max="23" width="9.86"/>
    <col customWidth="1" min="24" max="24" width="11.57"/>
    <col customWidth="1" min="25" max="53" width="9.86"/>
    <col customWidth="1" min="54" max="82" width="8.71"/>
  </cols>
  <sheetData>
    <row r="1">
      <c r="A1" s="78"/>
      <c r="B1" s="32"/>
      <c r="C1" s="78"/>
      <c r="D1" s="78"/>
      <c r="E1" s="78"/>
      <c r="F1" s="78"/>
      <c r="G1" s="78"/>
      <c r="H1" s="78"/>
      <c r="I1" s="78"/>
      <c r="J1" s="78"/>
      <c r="K1" s="78"/>
      <c r="L1" s="78"/>
      <c r="M1" s="78"/>
      <c r="N1" s="78"/>
      <c r="O1" s="78"/>
      <c r="P1" s="78"/>
      <c r="Q1" s="78"/>
      <c r="R1" s="78"/>
      <c r="S1" s="78"/>
      <c r="T1" s="78"/>
      <c r="U1" s="78"/>
      <c r="V1" s="78"/>
      <c r="W1" s="139">
        <v>1.0</v>
      </c>
      <c r="X1">
        <v>2.0</v>
      </c>
      <c r="Y1">
        <v>3.0</v>
      </c>
      <c r="Z1">
        <v>4.0</v>
      </c>
      <c r="AA1">
        <v>5.0</v>
      </c>
      <c r="AB1">
        <v>6.0</v>
      </c>
      <c r="AC1">
        <v>7.0</v>
      </c>
      <c r="AD1">
        <v>8.0</v>
      </c>
      <c r="AE1">
        <v>9.0</v>
      </c>
      <c r="AF1">
        <v>10.0</v>
      </c>
      <c r="AG1">
        <v>11.0</v>
      </c>
      <c r="AH1">
        <v>12.0</v>
      </c>
      <c r="AI1">
        <v>13.0</v>
      </c>
      <c r="AJ1">
        <v>14.0</v>
      </c>
      <c r="AK1">
        <v>15.0</v>
      </c>
      <c r="AL1">
        <v>16.0</v>
      </c>
      <c r="AM1">
        <v>17.0</v>
      </c>
      <c r="AN1">
        <v>18.0</v>
      </c>
      <c r="AO1">
        <v>19.0</v>
      </c>
      <c r="AP1">
        <v>20.0</v>
      </c>
      <c r="AQ1">
        <v>21.0</v>
      </c>
      <c r="AR1">
        <v>22.0</v>
      </c>
      <c r="AS1">
        <v>23.0</v>
      </c>
      <c r="AT1">
        <v>24.0</v>
      </c>
      <c r="AU1">
        <v>25.0</v>
      </c>
      <c r="AV1">
        <v>26.0</v>
      </c>
      <c r="AW1">
        <v>27.0</v>
      </c>
      <c r="AX1">
        <v>28.0</v>
      </c>
      <c r="AY1">
        <v>29.0</v>
      </c>
      <c r="AZ1">
        <v>30.0</v>
      </c>
    </row>
    <row r="2" ht="20.25" customHeight="1">
      <c r="A2" s="78" t="s">
        <v>343</v>
      </c>
      <c r="B2" s="38" t="s">
        <v>344</v>
      </c>
      <c r="C2" s="78">
        <v>2000.0</v>
      </c>
      <c r="D2" s="78">
        <v>2001.0</v>
      </c>
      <c r="E2" s="78">
        <v>2002.0</v>
      </c>
      <c r="F2" s="78">
        <v>2003.0</v>
      </c>
      <c r="G2" s="78">
        <v>2004.0</v>
      </c>
      <c r="H2" s="78">
        <v>2005.0</v>
      </c>
      <c r="I2" s="78">
        <v>2006.0</v>
      </c>
      <c r="J2" s="78">
        <v>2007.0</v>
      </c>
      <c r="K2" s="78">
        <v>2008.0</v>
      </c>
      <c r="L2" s="78">
        <v>2009.0</v>
      </c>
      <c r="M2" s="78">
        <v>2010.0</v>
      </c>
      <c r="N2" s="78">
        <v>2011.0</v>
      </c>
      <c r="O2" s="78">
        <v>2012.0</v>
      </c>
      <c r="P2" s="78">
        <v>2013.0</v>
      </c>
      <c r="Q2" s="78">
        <v>2014.0</v>
      </c>
      <c r="R2" s="78">
        <v>2015.0</v>
      </c>
      <c r="S2" s="78">
        <v>2016.0</v>
      </c>
      <c r="T2" s="78">
        <v>2017.0</v>
      </c>
      <c r="U2" s="78">
        <v>2018.0</v>
      </c>
      <c r="V2" s="78">
        <v>2019.0</v>
      </c>
      <c r="W2" s="78">
        <v>2020.0</v>
      </c>
      <c r="X2" s="78">
        <v>2021.0</v>
      </c>
      <c r="Y2" s="78">
        <v>2022.0</v>
      </c>
      <c r="Z2" s="78">
        <v>2023.0</v>
      </c>
      <c r="AA2" s="78">
        <v>2024.0</v>
      </c>
      <c r="AB2" s="78">
        <v>2025.0</v>
      </c>
      <c r="AC2" s="78">
        <v>2026.0</v>
      </c>
      <c r="AD2" s="78">
        <v>2027.0</v>
      </c>
      <c r="AE2" s="78">
        <v>2028.0</v>
      </c>
      <c r="AF2" s="78">
        <v>2029.0</v>
      </c>
      <c r="AG2" s="78">
        <v>2030.0</v>
      </c>
      <c r="AH2" s="78">
        <v>2031.0</v>
      </c>
      <c r="AI2" s="78">
        <v>2032.0</v>
      </c>
      <c r="AJ2" s="78">
        <v>2033.0</v>
      </c>
      <c r="AK2" s="78">
        <v>2034.0</v>
      </c>
      <c r="AL2" s="78">
        <v>2035.0</v>
      </c>
      <c r="AM2" s="78">
        <v>2036.0</v>
      </c>
      <c r="AN2" s="78">
        <v>2037.0</v>
      </c>
      <c r="AO2" s="78">
        <v>2038.0</v>
      </c>
      <c r="AP2" s="78">
        <v>2039.0</v>
      </c>
      <c r="AQ2" s="78">
        <v>2040.0</v>
      </c>
      <c r="AR2" s="78">
        <v>2041.0</v>
      </c>
      <c r="AS2" s="78">
        <v>2042.0</v>
      </c>
      <c r="AT2" s="78">
        <v>2043.0</v>
      </c>
      <c r="AU2" s="78">
        <v>2044.0</v>
      </c>
      <c r="AV2" s="78">
        <v>2045.0</v>
      </c>
      <c r="AW2" s="78">
        <v>2046.0</v>
      </c>
      <c r="AX2" s="78">
        <v>2047.0</v>
      </c>
      <c r="AY2" s="78">
        <v>2048.0</v>
      </c>
      <c r="AZ2" s="78">
        <v>2049.0</v>
      </c>
      <c r="BA2" s="78">
        <v>2050.0</v>
      </c>
      <c r="BB2" s="78">
        <v>2051.0</v>
      </c>
      <c r="BC2" s="78">
        <v>2052.0</v>
      </c>
      <c r="BD2" s="78">
        <v>2053.0</v>
      </c>
      <c r="BE2" s="78">
        <v>2054.0</v>
      </c>
      <c r="BF2" s="78">
        <v>2055.0</v>
      </c>
      <c r="BG2" s="78">
        <v>2056.0</v>
      </c>
      <c r="BH2" s="78">
        <v>2057.0</v>
      </c>
      <c r="BI2" s="78">
        <v>2058.0</v>
      </c>
      <c r="BJ2" s="78">
        <v>2059.0</v>
      </c>
      <c r="BK2" s="78">
        <v>2060.0</v>
      </c>
      <c r="BL2" s="78">
        <v>2061.0</v>
      </c>
      <c r="BM2" s="78">
        <v>2062.0</v>
      </c>
      <c r="BN2" s="78">
        <v>2063.0</v>
      </c>
      <c r="BO2" s="78">
        <v>2064.0</v>
      </c>
      <c r="BP2" s="78">
        <v>2065.0</v>
      </c>
      <c r="BQ2" s="78">
        <v>2066.0</v>
      </c>
      <c r="BR2" s="78">
        <v>2067.0</v>
      </c>
      <c r="BS2" s="78">
        <v>2068.0</v>
      </c>
      <c r="BT2" s="78">
        <v>2069.0</v>
      </c>
      <c r="BU2" s="78">
        <v>2070.0</v>
      </c>
      <c r="BV2" s="78">
        <v>2071.0</v>
      </c>
      <c r="BW2" s="78">
        <v>2072.0</v>
      </c>
      <c r="BX2" s="78">
        <v>2073.0</v>
      </c>
      <c r="BY2" s="78">
        <v>2074.0</v>
      </c>
      <c r="BZ2" s="78">
        <v>2075.0</v>
      </c>
      <c r="CA2" s="78">
        <v>2076.0</v>
      </c>
      <c r="CB2" s="78">
        <v>2077.0</v>
      </c>
      <c r="CC2" s="78">
        <v>2078.0</v>
      </c>
      <c r="CD2" s="78">
        <v>2079.0</v>
      </c>
    </row>
    <row r="3">
      <c r="A3" s="140" t="s">
        <v>345</v>
      </c>
      <c r="B3" s="38"/>
      <c r="C3" s="78"/>
      <c r="D3" s="78"/>
      <c r="E3" s="78"/>
      <c r="F3" s="78"/>
      <c r="G3" s="78"/>
      <c r="H3" s="78"/>
      <c r="I3" s="78"/>
      <c r="J3" s="78"/>
      <c r="K3" s="78"/>
      <c r="L3" s="78"/>
      <c r="M3" s="78"/>
      <c r="N3" s="78"/>
      <c r="O3" s="78"/>
      <c r="P3" s="78"/>
      <c r="Q3" s="78"/>
      <c r="R3" s="78"/>
      <c r="S3" s="78"/>
      <c r="T3" s="78"/>
      <c r="U3" s="78"/>
      <c r="V3" s="78"/>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row>
    <row r="4">
      <c r="A4" s="142"/>
      <c r="B4" s="38"/>
      <c r="C4" s="78"/>
      <c r="D4" s="78"/>
      <c r="E4" s="78"/>
      <c r="F4" s="78"/>
      <c r="G4" s="78"/>
      <c r="H4" s="78"/>
      <c r="I4" s="78"/>
      <c r="J4" s="78"/>
      <c r="K4" s="78"/>
      <c r="L4" s="78"/>
      <c r="M4" s="78"/>
      <c r="N4" s="78"/>
      <c r="O4" s="78"/>
      <c r="P4" s="78"/>
      <c r="Q4" s="78"/>
      <c r="R4" s="78"/>
      <c r="S4" s="78"/>
      <c r="T4" s="78"/>
      <c r="U4" s="78"/>
      <c r="V4" s="78"/>
      <c r="W4" s="141"/>
      <c r="X4" s="141"/>
      <c r="Y4" s="141"/>
      <c r="Z4" s="141"/>
      <c r="AA4" s="141"/>
      <c r="AB4" s="141"/>
      <c r="AC4" s="141"/>
      <c r="AD4" s="141"/>
      <c r="AE4" s="141"/>
      <c r="AF4" s="141"/>
      <c r="AG4" s="141"/>
      <c r="AH4" s="141"/>
      <c r="AI4" s="141"/>
      <c r="AJ4" s="141"/>
      <c r="AK4" s="141"/>
      <c r="AL4" s="141"/>
      <c r="AM4" s="141"/>
      <c r="AN4" s="141"/>
      <c r="AO4" s="141"/>
      <c r="AP4" s="141"/>
      <c r="AQ4" s="141"/>
      <c r="AR4" s="141"/>
      <c r="AS4" s="141"/>
      <c r="AT4" s="141"/>
      <c r="AU4" s="141"/>
      <c r="AV4" s="141"/>
      <c r="AW4" s="141"/>
      <c r="AX4" s="141"/>
      <c r="AY4" s="141"/>
      <c r="AZ4" s="141"/>
      <c r="BA4" s="141"/>
    </row>
    <row r="5">
      <c r="A5" s="140" t="s">
        <v>346</v>
      </c>
      <c r="B5" s="21"/>
      <c r="C5" s="78"/>
      <c r="D5" s="78"/>
      <c r="E5" s="78"/>
      <c r="F5" s="78"/>
      <c r="G5" s="78"/>
      <c r="H5" s="78"/>
      <c r="I5" s="78"/>
      <c r="J5" s="78"/>
      <c r="K5" s="78"/>
      <c r="L5" s="78"/>
      <c r="M5" s="78"/>
      <c r="N5" s="78"/>
      <c r="O5" s="78"/>
      <c r="P5" s="78"/>
      <c r="Q5" s="78"/>
      <c r="R5" s="78"/>
      <c r="S5" s="78"/>
      <c r="T5" s="78"/>
      <c r="U5" s="78"/>
      <c r="V5" s="78"/>
      <c r="W5" s="141"/>
      <c r="X5" s="141"/>
      <c r="Y5" s="141"/>
      <c r="Z5" s="141"/>
      <c r="AA5" s="141"/>
      <c r="AB5" s="141"/>
      <c r="AC5" s="141"/>
      <c r="AD5" s="141"/>
      <c r="AE5" s="141"/>
      <c r="AF5" s="141"/>
      <c r="AG5" s="141"/>
      <c r="AH5" s="141"/>
      <c r="AI5" s="141"/>
      <c r="AJ5" s="141"/>
      <c r="AK5" s="141"/>
      <c r="AL5" s="141"/>
      <c r="AM5" s="141"/>
      <c r="AN5" s="141"/>
      <c r="AO5" s="141"/>
      <c r="AP5" s="141"/>
      <c r="AQ5" s="141"/>
      <c r="AR5" s="141"/>
      <c r="AS5" s="141"/>
      <c r="AT5" s="141"/>
      <c r="AU5" s="141"/>
      <c r="AV5" s="141"/>
      <c r="AW5" s="141"/>
      <c r="AX5" s="141"/>
      <c r="AY5" s="141"/>
      <c r="AZ5" s="141"/>
      <c r="BA5" s="141"/>
    </row>
    <row r="6">
      <c r="A6" s="142"/>
      <c r="B6" s="143" t="s">
        <v>347</v>
      </c>
      <c r="C6" s="38"/>
      <c r="D6" s="38"/>
      <c r="E6" s="38"/>
      <c r="F6" s="38"/>
      <c r="G6" s="38"/>
      <c r="H6" s="38"/>
      <c r="I6" s="38"/>
      <c r="J6" s="38"/>
      <c r="K6" s="38"/>
      <c r="L6" s="38"/>
      <c r="M6" s="38"/>
      <c r="N6" s="38"/>
      <c r="O6" s="38"/>
      <c r="P6" s="38"/>
      <c r="Q6" s="38"/>
      <c r="R6" s="38"/>
      <c r="S6" s="38"/>
      <c r="T6" s="38"/>
      <c r="U6" s="38"/>
      <c r="V6" s="38"/>
      <c r="W6" s="144"/>
      <c r="X6" s="145">
        <f>'Assumptions (Coal)'!W53</f>
        <v>9097.5</v>
      </c>
      <c r="Y6" s="145">
        <f>'Assumptions (Coal)'!X53</f>
        <v>1674.9</v>
      </c>
      <c r="Z6" s="145">
        <f>'Assumptions (Coal)'!Y53</f>
        <v>2187.5</v>
      </c>
      <c r="AA6" s="145">
        <f>'Assumptions (Coal)'!Z53</f>
        <v>2209</v>
      </c>
      <c r="AB6" s="145">
        <f>'Assumptions (Coal)'!AA53</f>
        <v>4004.9</v>
      </c>
      <c r="AC6" s="145">
        <f>'Assumptions (Coal)'!AB53</f>
        <v>3149.6</v>
      </c>
      <c r="AD6" s="145">
        <f>'Assumptions (Coal)'!AC53</f>
        <v>2512.6</v>
      </c>
      <c r="AE6" s="145">
        <f>'Assumptions (Coal)'!AD53</f>
        <v>952</v>
      </c>
      <c r="AF6" s="145">
        <f>'Assumptions (Coal)'!AE53</f>
        <v>863.3</v>
      </c>
      <c r="AG6" s="145">
        <f>'Assumptions (Coal)'!AF53</f>
        <v>1893.5</v>
      </c>
      <c r="AH6" s="145">
        <f>'Assumptions (Coal)'!AG53</f>
        <v>190.1</v>
      </c>
      <c r="AI6" s="145">
        <f>'Assumptions (Coal)'!AH53</f>
        <v>1296.2</v>
      </c>
      <c r="AJ6" s="145">
        <f>'Assumptions (Coal)'!AI53</f>
        <v>863.3</v>
      </c>
      <c r="AK6" s="145">
        <f>'Assumptions (Coal)'!AJ53</f>
        <v>906.4</v>
      </c>
      <c r="AL6" s="145">
        <f>'Assumptions (Coal)'!AK53</f>
        <v>763.2</v>
      </c>
      <c r="AM6" s="145">
        <f>'Assumptions (Coal)'!AL53</f>
        <v>1447.2</v>
      </c>
      <c r="AN6" s="145">
        <f>'Assumptions (Coal)'!AM53</f>
        <v>705.5</v>
      </c>
      <c r="AO6" s="145">
        <f>'Assumptions (Coal)'!AN53</f>
        <v>0</v>
      </c>
      <c r="AP6" s="145">
        <f>'Assumptions (Coal)'!AO53</f>
        <v>891</v>
      </c>
      <c r="AQ6" s="145">
        <f>'Assumptions (Coal)'!AP53</f>
        <v>0</v>
      </c>
      <c r="AR6" s="145">
        <f>'Assumptions (Coal)'!AQ53</f>
        <v>1596.5</v>
      </c>
      <c r="AS6" s="145">
        <f>'Assumptions (Coal)'!AR53</f>
        <v>114.8</v>
      </c>
      <c r="AT6" s="145">
        <f>'Assumptions (Coal)'!AS53</f>
        <v>733.5</v>
      </c>
      <c r="AU6" s="145">
        <f>'Assumptions (Coal)'!AT53</f>
        <v>0</v>
      </c>
      <c r="AV6" s="145">
        <f>'Assumptions (Coal)'!AU53</f>
        <v>0</v>
      </c>
      <c r="AW6" s="145">
        <f>'Assumptions (Coal)'!AV53</f>
        <v>34.6</v>
      </c>
      <c r="AX6" s="145">
        <f>'Assumptions (Coal)'!AW53</f>
        <v>590.9</v>
      </c>
      <c r="AY6" s="145">
        <f>'Assumptions (Coal)'!AX53</f>
        <v>417.3</v>
      </c>
      <c r="AZ6" s="145">
        <f>'Assumptions (Coal)'!AY53</f>
        <v>0</v>
      </c>
      <c r="BA6" s="145">
        <f>'Assumptions (Coal)'!AZ53</f>
        <v>0</v>
      </c>
      <c r="BB6" s="145"/>
    </row>
    <row r="7">
      <c r="A7" s="140" t="s">
        <v>348</v>
      </c>
      <c r="B7" s="143" t="s">
        <v>349</v>
      </c>
      <c r="C7" s="21"/>
      <c r="D7" s="38"/>
      <c r="E7" s="38"/>
      <c r="F7" s="38"/>
      <c r="G7" s="38"/>
      <c r="H7" s="38"/>
      <c r="I7" s="38"/>
      <c r="J7" s="38"/>
      <c r="K7" s="38"/>
      <c r="L7" s="38"/>
      <c r="M7" s="38"/>
      <c r="N7" s="38"/>
      <c r="O7" s="38"/>
      <c r="P7" s="38"/>
      <c r="Q7" s="38"/>
      <c r="R7" s="38"/>
      <c r="S7" s="38"/>
      <c r="T7" s="38"/>
      <c r="U7" s="38"/>
      <c r="V7" s="38"/>
      <c r="W7" s="146"/>
      <c r="X7" s="147">
        <f>W8-'Assumptions (Coal)'!W53+W18</f>
        <v>32664</v>
      </c>
      <c r="Y7" s="148">
        <f>X7-'Assumptions (Coal)'!X53+X18</f>
        <v>39316.04695</v>
      </c>
      <c r="Z7" s="148">
        <f>Y7-'Assumptions (Coal)'!Y53+Y18</f>
        <v>38032.8939</v>
      </c>
      <c r="AA7" s="148">
        <f>Z7-'Assumptions (Coal)'!Z53+Z18</f>
        <v>37240.84086</v>
      </c>
      <c r="AB7" s="148">
        <f>AA7-'Assumptions (Coal)'!AA53+AA18</f>
        <v>34674.38781</v>
      </c>
      <c r="AC7" s="148">
        <f>AB7-'Assumptions (Coal)'!AB53+AB18</f>
        <v>34759.13476</v>
      </c>
      <c r="AD7" s="148">
        <f>AC7-'Assumptions (Coal)'!AC53+AC18</f>
        <v>34625.58171</v>
      </c>
      <c r="AE7" s="148">
        <f>AD7-'Assumptions (Coal)'!AD53+AD18</f>
        <v>35415.62867</v>
      </c>
      <c r="AF7" s="148">
        <f>AE7-'Assumptions (Coal)'!AE53+AE18</f>
        <v>34733.77562</v>
      </c>
      <c r="AG7" s="148">
        <f>AF7-'Assumptions (Coal)'!AF53+AF18</f>
        <v>32933.02257</v>
      </c>
      <c r="AH7" s="148">
        <f>AG7-'Assumptions (Coal)'!AG53+AG18</f>
        <v>33865.86952</v>
      </c>
      <c r="AI7" s="148">
        <f>AH7-'Assumptions (Coal)'!AH53+AH18</f>
        <v>32569.66952</v>
      </c>
      <c r="AJ7" s="148">
        <f>AI7-'Assumptions (Coal)'!AI53+AI18</f>
        <v>31706.36952</v>
      </c>
      <c r="AK7" s="148">
        <f>AJ7-'Assumptions (Coal)'!AJ53+AJ18</f>
        <v>30837.91038</v>
      </c>
      <c r="AL7" s="148">
        <f>AK7-'Assumptions (Coal)'!AK53+AK18</f>
        <v>30210.55733</v>
      </c>
      <c r="AM7" s="148">
        <f>AL7-'Assumptions (Coal)'!AL53+AL18</f>
        <v>28763.35733</v>
      </c>
      <c r="AN7" s="148">
        <f>AM7-'Assumptions (Coal)'!AM53+AM18</f>
        <v>28727.15123</v>
      </c>
      <c r="AO7" s="148">
        <f>AN7-'Assumptions (Coal)'!AN53+AN18</f>
        <v>28727.15123</v>
      </c>
      <c r="AP7" s="148">
        <f>AO7-'Assumptions (Coal)'!AO53+AO18</f>
        <v>27836.15123</v>
      </c>
      <c r="AQ7" s="148">
        <f>AP7-'Assumptions (Coal)'!AP53+AP18</f>
        <v>27836.15123</v>
      </c>
      <c r="AR7" s="148">
        <f>AQ7-'Assumptions (Coal)'!AQ53+AQ18</f>
        <v>26239.65123</v>
      </c>
      <c r="AS7" s="148">
        <f>AR7-'Assumptions (Coal)'!AR53+AR18</f>
        <v>26124.85123</v>
      </c>
      <c r="AT7" s="148">
        <f>AS7-'Assumptions (Coal)'!AS53+AS18</f>
        <v>25391.35123</v>
      </c>
      <c r="AU7" s="148">
        <f>AT7-'Assumptions (Coal)'!AT53+AT18</f>
        <v>25391.35123</v>
      </c>
      <c r="AV7" s="148">
        <f>AU7-'Assumptions (Coal)'!AU53+AU18</f>
        <v>25391.35123</v>
      </c>
      <c r="AW7" s="148">
        <f>AV7-'Assumptions (Coal)'!AV53+AV18</f>
        <v>25356.75123</v>
      </c>
      <c r="AX7" s="148">
        <f>AW7-'Assumptions (Coal)'!AW53+AW18</f>
        <v>24765.85123</v>
      </c>
      <c r="AY7" s="148">
        <f>AX7-'Assumptions (Coal)'!AX53+AX18</f>
        <v>24348.55123</v>
      </c>
      <c r="AZ7" s="148">
        <f>AY7-'Assumptions (Coal)'!AY53+AY18</f>
        <v>24348.55123</v>
      </c>
      <c r="BA7" s="148">
        <f>AZ7-'Assumptions (Coal)'!AZ53+AZ18</f>
        <v>24348.55123</v>
      </c>
      <c r="BB7" s="148"/>
    </row>
    <row r="8" ht="15.0" customHeight="1">
      <c r="A8" s="149" t="s">
        <v>350</v>
      </c>
      <c r="B8" s="150" t="s">
        <v>149</v>
      </c>
      <c r="C8" s="151">
        <v>54831.9</v>
      </c>
      <c r="D8" s="152">
        <v>55291.8</v>
      </c>
      <c r="E8" s="152">
        <v>55140.1</v>
      </c>
      <c r="F8" s="152">
        <v>55135.1</v>
      </c>
      <c r="G8" s="152">
        <v>55122.6</v>
      </c>
      <c r="H8" s="152">
        <v>55122.6</v>
      </c>
      <c r="I8" s="152">
        <v>55115.1</v>
      </c>
      <c r="J8" s="152">
        <v>55706.1</v>
      </c>
      <c r="K8" s="152">
        <v>56338.1</v>
      </c>
      <c r="L8" s="152">
        <v>56338.1</v>
      </c>
      <c r="M8" s="152">
        <v>56338.1</v>
      </c>
      <c r="N8" s="152">
        <v>55303.4</v>
      </c>
      <c r="O8" s="152">
        <v>53641.4</v>
      </c>
      <c r="P8" s="152">
        <v>51260.0</v>
      </c>
      <c r="Q8" s="152">
        <v>50106.6</v>
      </c>
      <c r="R8" s="152">
        <v>45199.4</v>
      </c>
      <c r="S8" s="152">
        <v>43686.2</v>
      </c>
      <c r="T8" s="152">
        <v>43186.2</v>
      </c>
      <c r="U8" s="152">
        <v>41761.5</v>
      </c>
      <c r="V8" s="153">
        <f t="shared" ref="V8:W8" si="1">U8+V18</f>
        <v>41761.5</v>
      </c>
      <c r="W8" s="153">
        <f t="shared" si="1"/>
        <v>41761.5</v>
      </c>
      <c r="X8" s="154">
        <f t="shared" ref="X8:AZ8" si="2">W8+($BA$8-$W$8)/($BA$2-$W$2)</f>
        <v>40990.94695</v>
      </c>
      <c r="Y8" s="154">
        <f t="shared" si="2"/>
        <v>40220.3939</v>
      </c>
      <c r="Z8" s="154">
        <f t="shared" si="2"/>
        <v>39449.84086</v>
      </c>
      <c r="AA8" s="154">
        <f t="shared" si="2"/>
        <v>38679.28781</v>
      </c>
      <c r="AB8" s="154">
        <f t="shared" si="2"/>
        <v>37908.73476</v>
      </c>
      <c r="AC8" s="154">
        <f t="shared" si="2"/>
        <v>37138.18171</v>
      </c>
      <c r="AD8" s="154">
        <f t="shared" si="2"/>
        <v>36367.62867</v>
      </c>
      <c r="AE8" s="154">
        <f t="shared" si="2"/>
        <v>35597.07562</v>
      </c>
      <c r="AF8" s="154">
        <f t="shared" si="2"/>
        <v>34826.52257</v>
      </c>
      <c r="AG8" s="154">
        <f t="shared" si="2"/>
        <v>34055.96952</v>
      </c>
      <c r="AH8" s="154">
        <f t="shared" si="2"/>
        <v>33285.41647</v>
      </c>
      <c r="AI8" s="154">
        <f t="shared" si="2"/>
        <v>32514.86343</v>
      </c>
      <c r="AJ8" s="154">
        <f t="shared" si="2"/>
        <v>31744.31038</v>
      </c>
      <c r="AK8" s="154">
        <f t="shared" si="2"/>
        <v>30973.75733</v>
      </c>
      <c r="AL8" s="154">
        <f t="shared" si="2"/>
        <v>30203.20428</v>
      </c>
      <c r="AM8" s="154">
        <f t="shared" si="2"/>
        <v>29432.65123</v>
      </c>
      <c r="AN8" s="154">
        <f t="shared" si="2"/>
        <v>28662.09819</v>
      </c>
      <c r="AO8" s="154">
        <f t="shared" si="2"/>
        <v>27891.54514</v>
      </c>
      <c r="AP8" s="154">
        <f t="shared" si="2"/>
        <v>27120.99209</v>
      </c>
      <c r="AQ8" s="154">
        <f t="shared" si="2"/>
        <v>26350.43904</v>
      </c>
      <c r="AR8" s="154">
        <f t="shared" si="2"/>
        <v>25579.886</v>
      </c>
      <c r="AS8" s="154">
        <f t="shared" si="2"/>
        <v>24809.33295</v>
      </c>
      <c r="AT8" s="154">
        <f t="shared" si="2"/>
        <v>24038.7799</v>
      </c>
      <c r="AU8" s="154">
        <f t="shared" si="2"/>
        <v>23268.22685</v>
      </c>
      <c r="AV8" s="154">
        <f t="shared" si="2"/>
        <v>22497.6738</v>
      </c>
      <c r="AW8" s="154">
        <f t="shared" si="2"/>
        <v>21727.12076</v>
      </c>
      <c r="AX8" s="154">
        <f t="shared" si="2"/>
        <v>20956.56771</v>
      </c>
      <c r="AY8" s="154">
        <f t="shared" si="2"/>
        <v>20186.01466</v>
      </c>
      <c r="AZ8" s="154">
        <f t="shared" si="2"/>
        <v>19415.46161</v>
      </c>
      <c r="BA8" s="155">
        <f>Inputs!H3</f>
        <v>18644.90856</v>
      </c>
    </row>
    <row r="9">
      <c r="A9" s="149" t="s">
        <v>28</v>
      </c>
      <c r="B9" s="150" t="s">
        <v>150</v>
      </c>
      <c r="C9" s="156">
        <v>348.868578</v>
      </c>
      <c r="D9" s="156">
        <v>335.342163</v>
      </c>
      <c r="E9" s="156">
        <v>337.564075</v>
      </c>
      <c r="F9" s="156">
        <v>339.547036</v>
      </c>
      <c r="G9" s="156">
        <v>344.780242</v>
      </c>
      <c r="H9" s="156">
        <v>359.125835</v>
      </c>
      <c r="I9" s="156">
        <v>358.175684</v>
      </c>
      <c r="J9" s="156">
        <v>367.501652</v>
      </c>
      <c r="K9" s="156">
        <v>351.191919</v>
      </c>
      <c r="L9" s="156">
        <v>279.238116</v>
      </c>
      <c r="M9" s="156">
        <v>303.269978</v>
      </c>
      <c r="N9" s="156">
        <v>261.393934</v>
      </c>
      <c r="O9" s="156">
        <v>208.281576</v>
      </c>
      <c r="P9" s="156">
        <v>199.949834</v>
      </c>
      <c r="Q9" s="156">
        <v>217.366391</v>
      </c>
      <c r="R9" s="156">
        <v>178.080336</v>
      </c>
      <c r="S9" s="156">
        <v>167.097234</v>
      </c>
      <c r="T9" s="156">
        <v>148.882884</v>
      </c>
      <c r="U9" s="156">
        <v>141.392785</v>
      </c>
      <c r="V9" s="157">
        <f t="shared" ref="V9:W9" si="3">U9</f>
        <v>141.392785</v>
      </c>
      <c r="W9" s="157">
        <f t="shared" si="3"/>
        <v>141.392785</v>
      </c>
      <c r="X9" s="154">
        <f t="shared" ref="X9:AZ9" si="4">W9+($BA$9-$W$9)/($BA$2-$W$2)</f>
        <v>142.0102579</v>
      </c>
      <c r="Y9" s="154">
        <f t="shared" si="4"/>
        <v>142.6277308</v>
      </c>
      <c r="Z9" s="154">
        <f t="shared" si="4"/>
        <v>143.2452036</v>
      </c>
      <c r="AA9" s="154">
        <f t="shared" si="4"/>
        <v>143.8626765</v>
      </c>
      <c r="AB9" s="154">
        <f t="shared" si="4"/>
        <v>144.4801494</v>
      </c>
      <c r="AC9" s="154">
        <f t="shared" si="4"/>
        <v>145.0976223</v>
      </c>
      <c r="AD9" s="154">
        <f t="shared" si="4"/>
        <v>145.7150951</v>
      </c>
      <c r="AE9" s="154">
        <f t="shared" si="4"/>
        <v>146.332568</v>
      </c>
      <c r="AF9" s="154">
        <f t="shared" si="4"/>
        <v>146.9500409</v>
      </c>
      <c r="AG9" s="154">
        <f t="shared" si="4"/>
        <v>147.5675138</v>
      </c>
      <c r="AH9" s="154">
        <f t="shared" si="4"/>
        <v>148.1849866</v>
      </c>
      <c r="AI9" s="154">
        <f t="shared" si="4"/>
        <v>148.8024595</v>
      </c>
      <c r="AJ9" s="154">
        <f t="shared" si="4"/>
        <v>149.4199324</v>
      </c>
      <c r="AK9" s="154">
        <f t="shared" si="4"/>
        <v>150.0374053</v>
      </c>
      <c r="AL9" s="154">
        <f t="shared" si="4"/>
        <v>150.6548782</v>
      </c>
      <c r="AM9" s="154">
        <f t="shared" si="4"/>
        <v>151.272351</v>
      </c>
      <c r="AN9" s="154">
        <f t="shared" si="4"/>
        <v>151.8898239</v>
      </c>
      <c r="AO9" s="154">
        <f t="shared" si="4"/>
        <v>152.5072968</v>
      </c>
      <c r="AP9" s="154">
        <f t="shared" si="4"/>
        <v>153.1247697</v>
      </c>
      <c r="AQ9" s="154">
        <f t="shared" si="4"/>
        <v>153.7422425</v>
      </c>
      <c r="AR9" s="154">
        <f t="shared" si="4"/>
        <v>154.3597154</v>
      </c>
      <c r="AS9" s="154">
        <f t="shared" si="4"/>
        <v>154.9771883</v>
      </c>
      <c r="AT9" s="154">
        <f t="shared" si="4"/>
        <v>155.5946612</v>
      </c>
      <c r="AU9" s="154">
        <f t="shared" si="4"/>
        <v>156.212134</v>
      </c>
      <c r="AV9" s="154">
        <f t="shared" si="4"/>
        <v>156.8296069</v>
      </c>
      <c r="AW9" s="154">
        <f t="shared" si="4"/>
        <v>157.4470798</v>
      </c>
      <c r="AX9" s="154">
        <f t="shared" si="4"/>
        <v>158.0645527</v>
      </c>
      <c r="AY9" s="154">
        <f t="shared" si="4"/>
        <v>158.6820256</v>
      </c>
      <c r="AZ9" s="154">
        <f t="shared" si="4"/>
        <v>159.2994984</v>
      </c>
      <c r="BA9" s="155">
        <f>Inputs!I3</f>
        <v>159.9169713</v>
      </c>
    </row>
    <row r="10" ht="15.0" customHeight="1">
      <c r="A10" s="158" t="s">
        <v>31</v>
      </c>
      <c r="B10" s="159" t="s">
        <v>351</v>
      </c>
      <c r="C10" s="160">
        <f>'Assumptions (Coal)'!B25*Model!C8/10^9+'Assumptions (Coal)'!B26*Model!C9/10^3</f>
        <v>2.326396182</v>
      </c>
      <c r="D10" s="160">
        <f>'Assumptions (Coal)'!C25*Model!D8/10^9+'Assumptions (Coal)'!C26*Model!D9/10^3</f>
        <v>2.278491827</v>
      </c>
      <c r="E10" s="160">
        <f>'Assumptions (Coal)'!D25*Model!E8/10^9+'Assumptions (Coal)'!D26*Model!E9/10^3</f>
        <v>2.281016537</v>
      </c>
      <c r="F10" s="160">
        <f>'Assumptions (Coal)'!E25*Model!F8/10^9+'Assumptions (Coal)'!E26*Model!F9/10^3</f>
        <v>2.285185308</v>
      </c>
      <c r="G10" s="160">
        <f>'Assumptions (Coal)'!F25*Model!G8/10^9+'Assumptions (Coal)'!F26*Model!G9/10^3</f>
        <v>2.340938915</v>
      </c>
      <c r="H10" s="160">
        <f>'Assumptions (Coal)'!G25*Model!H8/10^9+'Assumptions (Coal)'!G26*Model!H9/10^3</f>
        <v>2.467177968</v>
      </c>
      <c r="I10" s="160">
        <f>'Assumptions (Coal)'!H25*Model!I8/10^9+'Assumptions (Coal)'!H26*Model!I9/10^3</f>
        <v>2.591801341</v>
      </c>
      <c r="J10" s="160">
        <f>'Assumptions (Coal)'!I25*Model!J8/10^9+'Assumptions (Coal)'!I26*Model!J9/10^3</f>
        <v>2.705604947</v>
      </c>
      <c r="K10" s="160">
        <f>'Assumptions (Coal)'!J25*Model!K8/10^9+'Assumptions (Coal)'!J26*Model!K9/10^3</f>
        <v>2.748844898</v>
      </c>
      <c r="L10" s="160">
        <f>'Assumptions (Coal)'!K25*Model!L8/10^9+'Assumptions (Coal)'!K26*Model!L9/10^3</f>
        <v>2.466503926</v>
      </c>
      <c r="M10" s="160">
        <f>'Assumptions (Coal)'!L25*Model!M8/10^9+'Assumptions (Coal)'!L26*Model!M9/10^3</f>
        <v>2.623060673</v>
      </c>
      <c r="N10" s="160">
        <f>'Assumptions (Coal)'!M25*Model!N8/10^9+'Assumptions (Coal)'!M26*Model!N9/10^3</f>
        <v>2.454915411</v>
      </c>
      <c r="O10" s="160">
        <f>'Assumptions (Coal)'!N25*Model!O8/10^9+'Assumptions (Coal)'!N26*Model!O9/10^3</f>
        <v>2.181668827</v>
      </c>
      <c r="P10" s="160">
        <f>'Assumptions (Coal)'!O25*Model!P8/10^9+'Assumptions (Coal)'!O26*Model!P9/10^3</f>
        <v>2.112484784</v>
      </c>
      <c r="Q10" s="160">
        <f>'Assumptions (Coal)'!P25*Model!Q8/10^9+'Assumptions (Coal)'!P26*Model!Q9/10^3</f>
        <v>2.244251599</v>
      </c>
      <c r="R10" s="160">
        <f>'Assumptions (Coal)'!Q25*Model!R8/10^9+'Assumptions (Coal)'!Q26*Model!R9/10^3</f>
        <v>1.962157565</v>
      </c>
      <c r="S10" s="160">
        <f>'Assumptions (Coal)'!R25*Model!S8/10^9+'Assumptions (Coal)'!R26*Model!S9/10^3</f>
        <v>1.848106431</v>
      </c>
      <c r="T10" s="160">
        <f>'Assumptions (Coal)'!S25*Model!T8/10^9+'Assumptions (Coal)'!S26*Model!T9/10^3</f>
        <v>1.810396272</v>
      </c>
      <c r="U10" s="160">
        <f>'Assumptions (Coal)'!T25*Model!U8/10^9+'Assumptions (Coal)'!T26*Model!U9/10^3</f>
        <v>1.756485106</v>
      </c>
      <c r="V10" s="160">
        <f>'Assumptions (Coal)'!U25*Model!V8/10^9+'Assumptions (Coal)'!U26*Model!V9/10^3</f>
        <v>1.78879431</v>
      </c>
      <c r="W10" s="160">
        <f>'Assumptions (Coal)'!V25*Model!W8/10^9+'Assumptions (Coal)'!V26*Model!W9/10^3</f>
        <v>1.821697818</v>
      </c>
      <c r="X10" s="160">
        <f>IF(W18&gt;0,'Assumptions (Coal)'!W18*Model!W18/10^9+'Assumptions (Coal)'!W19*Model!X9*(Model!W18/Model!X8)/10^3+'Assumptions (Coal)'!W25*(Model!X8-W18)/10^9+'Assumptions (Coal)'!W26*Model!X9*((X8-Model!W18)/Model!X8)/10^3,'Assumptions (Coal)'!W25*Model!X8/10^9+'Assumptions (Coal)'!W26*Model!X9/10^3)</f>
        <v>1.83904696</v>
      </c>
      <c r="Y10" s="160">
        <f>IF(X18&gt;0,'Assumptions (Coal)'!X18*Model!X18/10^9+'Assumptions (Coal)'!X19*Model!Y9*(Model!X18/Model!Y8)/10^3+'Assumptions (Coal)'!X25*(Model!Y8-X18)/10^9+'Assumptions (Coal)'!X26*Model!Y9*((Y8-Model!X18)/Model!Y8)/10^3,'Assumptions (Coal)'!X25*Model!Y8/10^9+'Assumptions (Coal)'!X26*Model!Y9/10^3)</f>
        <v>2.299787736</v>
      </c>
      <c r="Z10" s="160">
        <f>IF(Y18&gt;0,'Assumptions (Coal)'!Y18*Model!Y18/10^9+'Assumptions (Coal)'!Y19*Model!Z9*(Model!Y18/Model!Z8)/10^3+'Assumptions (Coal)'!Y25*(Model!Z8-Y18)/10^9+'Assumptions (Coal)'!Y26*Model!Z9*((Z8-Model!Y18)/Model!Z8)/10^3,'Assumptions (Coal)'!Y25*Model!Z8/10^9+'Assumptions (Coal)'!Y26*Model!Z9/10^3)</f>
        <v>1.922841704</v>
      </c>
      <c r="AA10" s="160">
        <f>IF(Z18&gt;0,'Assumptions (Coal)'!Z18*Model!Z18/10^9+'Assumptions (Coal)'!Z19*Model!AA9*(Model!Z18/Model!AA8)/10^3+'Assumptions (Coal)'!Z25*(Model!AA8-Z18)/10^9+'Assumptions (Coal)'!Z26*Model!AA9*((AA8-Model!Z18)/Model!AA8)/10^3,'Assumptions (Coal)'!Z25*Model!AA8/10^9+'Assumptions (Coal)'!Z26*Model!AA9/10^3)</f>
        <v>1.969451624</v>
      </c>
      <c r="AB10" s="160">
        <f>IF(AA18&gt;0,'Assumptions (Coal)'!AA18*Model!AA18/10^9+'Assumptions (Coal)'!AA19*Model!AB9*(Model!AA18/Model!AB8)/10^3+'Assumptions (Coal)'!AA25*(Model!AB8-AA18)/10^9+'Assumptions (Coal)'!AA26*Model!AB9*((AB8-Model!AA18)/Model!AB8)/10^3,'Assumptions (Coal)'!AA25*Model!AB8/10^9+'Assumptions (Coal)'!AA26*Model!AB9/10^3)</f>
        <v>1.98951504</v>
      </c>
      <c r="AC10" s="160">
        <f>IF(AB18&gt;0,'Assumptions (Coal)'!AB18*Model!AB18/10^9+'Assumptions (Coal)'!AB19*Model!AC9*(Model!AB18/Model!AC8)/10^3+'Assumptions (Coal)'!AB25*(Model!AC8-AB18)/10^9+'Assumptions (Coal)'!AB26*Model!AC9*((AC8-Model!AB18)/Model!AC8)/10^3,'Assumptions (Coal)'!AB25*Model!AC8/10^9+'Assumptions (Coal)'!AB26*Model!AC9/10^3)</f>
        <v>2.111313862</v>
      </c>
      <c r="AD10" s="160">
        <f>IF(AC18&gt;0,'Assumptions (Coal)'!AC18*Model!AC18/10^9+'Assumptions (Coal)'!AC19*Model!AD9*(Model!AC18/Model!AD8)/10^3+'Assumptions (Coal)'!AC25*(Model!AD8-AC18)/10^9+'Assumptions (Coal)'!AC26*Model!AD9*((AD8-Model!AC18)/Model!AD8)/10^3,'Assumptions (Coal)'!AC25*Model!AD8/10^9+'Assumptions (Coal)'!AC26*Model!AD9/10^3)</f>
        <v>2.082261821</v>
      </c>
      <c r="AE10" s="160">
        <f>IF(AD18&gt;0,'Assumptions (Coal)'!AD18*Model!AD18/10^9+'Assumptions (Coal)'!AD19*Model!AE9*(Model!AD18/Model!AE8)/10^3+'Assumptions (Coal)'!AD25*(Model!AE8-AD18)/10^9+'Assumptions (Coal)'!AD26*Model!AE9*((AE8-Model!AD18)/Model!AE8)/10^3,'Assumptions (Coal)'!AD25*Model!AE8/10^9+'Assumptions (Coal)'!AD26*Model!AE9/10^3)</f>
        <v>2.064385188</v>
      </c>
      <c r="AF10" s="160">
        <f>IF(AE18&gt;0,'Assumptions (Coal)'!AE18*Model!AE18/10^9+'Assumptions (Coal)'!AE19*Model!AF9*(Model!AE18/Model!AF8)/10^3+'Assumptions (Coal)'!AE25*(Model!AF8-AE18)/10^9+'Assumptions (Coal)'!AE26*Model!AF9*((AF8-Model!AE18)/Model!AF8)/10^3,'Assumptions (Coal)'!AE25*Model!AF8/10^9+'Assumptions (Coal)'!AE26*Model!AF9/10^3)</f>
        <v>1.98916963</v>
      </c>
      <c r="AG10" s="160">
        <f>IF(AF18&gt;0,'Assumptions (Coal)'!AF18*Model!AF18/10^9+'Assumptions (Coal)'!AF19*Model!AG9*(Model!AF18/Model!AG8)/10^3+'Assumptions (Coal)'!AF25*(Model!AG8-AF18)/10^9+'Assumptions (Coal)'!AF26*Model!AG9*((AG8-Model!AF18)/Model!AG8)/10^3,'Assumptions (Coal)'!AF25*Model!AG8/10^9+'Assumptions (Coal)'!AF26*Model!AG9/10^3)</f>
        <v>2.001249578</v>
      </c>
      <c r="AH10" s="160">
        <f>IF(AG18&gt;0,'Assumptions (Coal)'!AG18*Model!AG18/10^9+'Assumptions (Coal)'!AG19*Model!AH9*(Model!AG18/Model!AH8)/10^3+'Assumptions (Coal)'!AG25*(Model!AH8-AG18)/10^9+'Assumptions (Coal)'!AG26*Model!AH9*((AH8-Model!AG18)/Model!AH8)/10^3,'Assumptions (Coal)'!AG25*Model!AH8/10^9+'Assumptions (Coal)'!AG26*Model!AH9/10^3)</f>
        <v>2.083489106</v>
      </c>
      <c r="AI10" s="160">
        <f>IF(AH18&gt;0,'Assumptions (Coal)'!AH18*Model!AH18/10^9+'Assumptions (Coal)'!AH19*Model!AI9*(Model!AH18/Model!AI8)/10^3+'Assumptions (Coal)'!AH25*(Model!AI8-AH18)/10^9+'Assumptions (Coal)'!AH26*Model!AI9*((AI8-Model!AH18)/Model!AI8)/10^3,'Assumptions (Coal)'!AH25*Model!AI8/10^9+'Assumptions (Coal)'!AH26*Model!AI9/10^3)</f>
        <v>2.030117014</v>
      </c>
      <c r="AJ10" s="160">
        <f>IF(AI18&gt;0,'Assumptions (Coal)'!AI18*Model!AI18/10^9+'Assumptions (Coal)'!AI19*Model!AJ9*(Model!AI18/Model!AJ8)/10^3+'Assumptions (Coal)'!AI25*(Model!AJ8-AI18)/10^9+'Assumptions (Coal)'!AI26*Model!AJ9*((AJ8-Model!AI18)/Model!AJ8)/10^3,'Assumptions (Coal)'!AI25*Model!AJ8/10^9+'Assumptions (Coal)'!AI26*Model!AJ9/10^3)</f>
        <v>2.047349018</v>
      </c>
      <c r="AK10" s="160">
        <f>IF(AJ18&gt;0,'Assumptions (Coal)'!AJ18*Model!AJ18/10^9+'Assumptions (Coal)'!AJ19*Model!AK9*(Model!AJ18/Model!AK8)/10^3+'Assumptions (Coal)'!AJ25*(Model!AK8-AJ18)/10^9+'Assumptions (Coal)'!AJ26*Model!AK9*((AK8-Model!AJ18)/Model!AK8)/10^3,'Assumptions (Coal)'!AJ25*Model!AK8/10^9+'Assumptions (Coal)'!AJ26*Model!AK9/10^3)</f>
        <v>2.067056696</v>
      </c>
      <c r="AL10" s="160">
        <f>IF(AK18&gt;0,'Assumptions (Coal)'!AK18*Model!AK18/10^9+'Assumptions (Coal)'!AK19*Model!AL9*(Model!AK18/Model!AL8)/10^3+'Assumptions (Coal)'!AK25*(Model!AL8-AK18)/10^9+'Assumptions (Coal)'!AK26*Model!AL9*((AL8-Model!AK18)/Model!AL8)/10^3,'Assumptions (Coal)'!AK25*Model!AL8/10^9+'Assumptions (Coal)'!AK26*Model!AL9/10^3)</f>
        <v>2.090878406</v>
      </c>
      <c r="AM10" s="160">
        <f>IF(AL18&gt;0,'Assumptions (Coal)'!AL18*Model!AL18/10^9+'Assumptions (Coal)'!AL19*Model!AM9*(Model!AL18/Model!AM8)/10^3+'Assumptions (Coal)'!AL25*(Model!AM8-AL18)/10^9+'Assumptions (Coal)'!AL26*Model!AM9*((AM8-Model!AL18)/Model!AM8)/10^3,'Assumptions (Coal)'!AL25*Model!AM8/10^9+'Assumptions (Coal)'!AL26*Model!AM9/10^3)</f>
        <v>2.098695966</v>
      </c>
      <c r="AN10" s="160">
        <f>IF(AM18&gt;0,'Assumptions (Coal)'!AM18*Model!AM18/10^9+'Assumptions (Coal)'!AM19*Model!AN9*(Model!AM18/Model!AN8)/10^3+'Assumptions (Coal)'!AM25*(Model!AN8-AM18)/10^9+'Assumptions (Coal)'!AM26*Model!AN9*((AN8-Model!AM18)/Model!AN8)/10^3,'Assumptions (Coal)'!AM25*Model!AN8/10^9+'Assumptions (Coal)'!AM26*Model!AN9/10^3)</f>
        <v>2.162985784</v>
      </c>
      <c r="AO10" s="160">
        <f>IF(AN18&gt;0,'Assumptions (Coal)'!AN18*Model!AN18/10^9+'Assumptions (Coal)'!AN19*Model!AO9*(Model!AN18/Model!AO8)/10^3+'Assumptions (Coal)'!AN25*(Model!AO8-AN18)/10^9+'Assumptions (Coal)'!AN26*Model!AO9*((AO8-Model!AN18)/Model!AO8)/10^3,'Assumptions (Coal)'!AN25*Model!AO8/10^9+'Assumptions (Coal)'!AN26*Model!AO9/10^3)</f>
        <v>2.1325552</v>
      </c>
      <c r="AP10" s="160">
        <f>IF(AO18&gt;0,'Assumptions (Coal)'!AO18*Model!AO18/10^9+'Assumptions (Coal)'!AO19*Model!AP9*(Model!AO18/Model!AP8)/10^3+'Assumptions (Coal)'!AO25*(Model!AP8-AO18)/10^9+'Assumptions (Coal)'!AO26*Model!AP9*((AP8-Model!AO18)/Model!AP8)/10^3,'Assumptions (Coal)'!AO25*Model!AP8/10^9+'Assumptions (Coal)'!AO26*Model!AP9/10^3)</f>
        <v>2.149347375</v>
      </c>
      <c r="AQ10" s="160">
        <f>IF(AP18&gt;0,'Assumptions (Coal)'!AP18*Model!AP18/10^9+'Assumptions (Coal)'!AP19*Model!AQ9*(Model!AP18/Model!AQ8)/10^3+'Assumptions (Coal)'!AP25*(Model!AQ8-AP18)/10^9+'Assumptions (Coal)'!AP26*Model!AQ9*((AQ8-Model!AP18)/Model!AQ8)/10^3,'Assumptions (Coal)'!AP25*Model!AQ8/10^9+'Assumptions (Coal)'!AP26*Model!AQ9/10^3)</f>
        <v>2.166035762</v>
      </c>
      <c r="AR10" s="160">
        <f>IF(AQ18&gt;0,'Assumptions (Coal)'!AQ18*Model!AQ18/10^9+'Assumptions (Coal)'!AQ19*Model!AR9*(Model!AQ18/Model!AR8)/10^3+'Assumptions (Coal)'!AQ25*(Model!AR8-AQ18)/10^9+'Assumptions (Coal)'!AQ26*Model!AR9*((AR8-Model!AQ18)/Model!AR8)/10^3,'Assumptions (Coal)'!AQ25*Model!AR8/10^9+'Assumptions (Coal)'!AQ26*Model!AR9/10^3)</f>
        <v>2.182610862</v>
      </c>
      <c r="AS10" s="160">
        <f>IF(AR18&gt;0,'Assumptions (Coal)'!AR18*Model!AR18/10^9+'Assumptions (Coal)'!AR19*Model!AS9*(Model!AR18/Model!AS8)/10^3+'Assumptions (Coal)'!AR25*(Model!AS8-AR18)/10^9+'Assumptions (Coal)'!AR26*Model!AS9*((AS8-Model!AR18)/Model!AS8)/10^3,'Assumptions (Coal)'!AR25*Model!AS8/10^9+'Assumptions (Coal)'!AR26*Model!AS9/10^3)</f>
        <v>2.199062861</v>
      </c>
      <c r="AT10" s="160">
        <f>IF(AS18&gt;0,'Assumptions (Coal)'!AS18*Model!AS18/10^9+'Assumptions (Coal)'!AS19*Model!AT9*(Model!AS18/Model!AT8)/10^3+'Assumptions (Coal)'!AS25*(Model!AT8-AS18)/10^9+'Assumptions (Coal)'!AS26*Model!AT9*((AT8-Model!AS18)/Model!AT8)/10^3,'Assumptions (Coal)'!AS25*Model!AT8/10^9+'Assumptions (Coal)'!AS26*Model!AT9/10^3)</f>
        <v>2.215381622</v>
      </c>
      <c r="AU10" s="160">
        <f>IF(AT18&gt;0,'Assumptions (Coal)'!AT18*Model!AT18/10^9+'Assumptions (Coal)'!AT19*Model!AU9*(Model!AT18/Model!AU8)/10^3+'Assumptions (Coal)'!AT25*(Model!AU8-AT18)/10^9+'Assumptions (Coal)'!AT26*Model!AU9*((AU8-Model!AT18)/Model!AU8)/10^3,'Assumptions (Coal)'!AT25*Model!AU8/10^9+'Assumptions (Coal)'!AT26*Model!AU9/10^3)</f>
        <v>2.231556677</v>
      </c>
      <c r="AV10" s="160">
        <f>IF(AU18&gt;0,'Assumptions (Coal)'!AU18*Model!AU18/10^9+'Assumptions (Coal)'!AU19*Model!AV9*(Model!AU18/Model!AV8)/10^3+'Assumptions (Coal)'!AU25*(Model!AV8-AU18)/10^9+'Assumptions (Coal)'!AU26*Model!AV9*((AV8-Model!AU18)/Model!AV8)/10^3,'Assumptions (Coal)'!AU25*Model!AV8/10^9+'Assumptions (Coal)'!AU26*Model!AV9/10^3)</f>
        <v>2.247577217</v>
      </c>
      <c r="AW10" s="160">
        <f>IF(AV18&gt;0,'Assumptions (Coal)'!AV18*Model!AV18/10^9+'Assumptions (Coal)'!AV19*Model!AW9*(Model!AV18/Model!AW8)/10^3+'Assumptions (Coal)'!AV25*(Model!AW8-AV18)/10^9+'Assumptions (Coal)'!AV26*Model!AW9*((AW8-Model!AV18)/Model!AW8)/10^3,'Assumptions (Coal)'!AV25*Model!AW8/10^9+'Assumptions (Coal)'!AV26*Model!AW9/10^3)</f>
        <v>2.263432086</v>
      </c>
      <c r="AX10" s="160">
        <f>IF(AW18&gt;0,'Assumptions (Coal)'!AW18*Model!AW18/10^9+'Assumptions (Coal)'!AW19*Model!AX9*(Model!AW18/Model!AX8)/10^3+'Assumptions (Coal)'!AW25*(Model!AX8-AW18)/10^9+'Assumptions (Coal)'!AW26*Model!AX9*((AX8-Model!AW18)/Model!AX8)/10^3,'Assumptions (Coal)'!AW25*Model!AX8/10^9+'Assumptions (Coal)'!AW26*Model!AX9/10^3)</f>
        <v>2.279109769</v>
      </c>
      <c r="AY10" s="160">
        <f>IF(AX18&gt;0,'Assumptions (Coal)'!AX18*Model!AX18/10^9+'Assumptions (Coal)'!AX19*Model!AY9*(Model!AX18/Model!AY8)/10^3+'Assumptions (Coal)'!AX25*(Model!AY8-AX18)/10^9+'Assumptions (Coal)'!AX26*Model!AY9*((AY8-Model!AX18)/Model!AY8)/10^3,'Assumptions (Coal)'!AX25*Model!AY8/10^9+'Assumptions (Coal)'!AX26*Model!AY9/10^3)</f>
        <v>2.294598382</v>
      </c>
      <c r="AZ10" s="160">
        <f>IF(AY18&gt;0,'Assumptions (Coal)'!AY18*Model!AY18/10^9+'Assumptions (Coal)'!AY19*Model!AZ9*(Model!AY18/Model!AZ8)/10^3+'Assumptions (Coal)'!AY25*(Model!AZ8-AY18)/10^9+'Assumptions (Coal)'!AY26*Model!AZ9*((AZ8-Model!AY18)/Model!AZ8)/10^3,'Assumptions (Coal)'!AY25*Model!AZ8/10^9+'Assumptions (Coal)'!AY26*Model!AZ9/10^3)</f>
        <v>2.309885665</v>
      </c>
      <c r="BA10" s="160">
        <f>IF(AZ18&gt;0,'Assumptions (Coal)'!AZ18*Model!AZ18/10^9+'Assumptions (Coal)'!AZ19*Model!BA9*(Model!AZ18/Model!BA8)/10^3+'Assumptions (Coal)'!AZ25*(Model!BA8-AZ18)/10^9+'Assumptions (Coal)'!AZ26*Model!BA9*((BA8-Model!AZ18)/Model!BA8)/10^3,'Assumptions (Coal)'!AZ25*Model!BA8/10^9+'Assumptions (Coal)'!AZ26*Model!BA9/10^3)</f>
        <v>2.324958971</v>
      </c>
    </row>
    <row r="11">
      <c r="A11" s="158" t="s">
        <v>34</v>
      </c>
      <c r="B11" s="159" t="s">
        <v>351</v>
      </c>
      <c r="C11" s="160">
        <f>'Assumptions (Coal)'!B30*Model!C9/10^3</f>
        <v>6.236723569</v>
      </c>
      <c r="D11" s="160">
        <f>'Assumptions (Coal)'!C30*Model!D9/10^3</f>
        <v>5.994911848</v>
      </c>
      <c r="E11" s="160">
        <f>'Assumptions (Coal)'!D30*Model!E9/10^3</f>
        <v>6.034632969</v>
      </c>
      <c r="F11" s="160">
        <f>'Assumptions (Coal)'!E30*Model!F9/10^3</f>
        <v>6.070082363</v>
      </c>
      <c r="G11" s="160">
        <f>'Assumptions (Coal)'!F30*Model!G9/10^3</f>
        <v>6.163636386</v>
      </c>
      <c r="H11" s="160">
        <f>'Assumptions (Coal)'!G30*Model!H9/10^3</f>
        <v>6.420092552</v>
      </c>
      <c r="I11" s="160">
        <f>'Assumptions (Coal)'!H30*Model!I9/10^3</f>
        <v>6.403106703</v>
      </c>
      <c r="J11" s="160">
        <f>'Assumptions (Coal)'!I30*Model!J9/10^3</f>
        <v>6.569827033</v>
      </c>
      <c r="K11" s="160">
        <f>'Assumptions (Coal)'!J30*Model!K9/10^3</f>
        <v>7.342369451</v>
      </c>
      <c r="L11" s="160">
        <f>'Assumptions (Coal)'!K30*Model!L9/10^3</f>
        <v>6.232873987</v>
      </c>
      <c r="M11" s="160">
        <f>'Assumptions (Coal)'!L30*Model!M9/10^3</f>
        <v>6.953070786</v>
      </c>
      <c r="N11" s="160">
        <f>'Assumptions (Coal)'!M30*Model!N9/10^3</f>
        <v>6.309788173</v>
      </c>
      <c r="O11" s="160">
        <f>'Assumptions (Coal)'!N30*Model!O9/10^3</f>
        <v>5.006672524</v>
      </c>
      <c r="P11" s="160">
        <f>'Assumptions (Coal)'!O30*Model!P9/10^3</f>
        <v>4.725614377</v>
      </c>
      <c r="Q11" s="160">
        <f>'Assumptions (Coal)'!P30*Model!Q9/10^3</f>
        <v>5.203099301</v>
      </c>
      <c r="R11" s="160">
        <f>'Assumptions (Coal)'!Q30*Model!R9/10^3</f>
        <v>3.992917294</v>
      </c>
      <c r="S11" s="160">
        <f>'Assumptions (Coal)'!R30*Model!S9/10^3</f>
        <v>3.561009154</v>
      </c>
      <c r="T11" s="160">
        <f>'Assumptions (Coal)'!S30*Model!T9/10^3</f>
        <v>3.097657285</v>
      </c>
      <c r="U11" s="160">
        <f>'Assumptions (Coal)'!T30*Model!U9/10^3</f>
        <v>2.941818285</v>
      </c>
      <c r="V11" s="160">
        <f>'Assumptions (Coal)'!U30*Model!V9/10^3</f>
        <v>2.941818285</v>
      </c>
      <c r="W11" s="160">
        <f>'Assumptions (Coal)'!V30*Model!W9/10^3</f>
        <v>3.42671705</v>
      </c>
      <c r="X11" s="161">
        <f>X9*X14*'Assumptions (Coal)'!W49/10^3</f>
        <v>3.50663766</v>
      </c>
      <c r="Y11" s="161">
        <f>Y9*Y14*'Assumptions (Coal)'!X49/10^3</f>
        <v>3.585985743</v>
      </c>
      <c r="Z11" s="161">
        <f>Z9*Z14*'Assumptions (Coal)'!Y49/10^3</f>
        <v>3.696819243</v>
      </c>
      <c r="AA11" s="161">
        <f>AA9*AA14*'Assumptions (Coal)'!Z49/10^3</f>
        <v>3.83528634</v>
      </c>
      <c r="AB11" s="161">
        <f>AB9*AB14*'Assumptions (Coal)'!AA49/10^3</f>
        <v>3.946890137</v>
      </c>
      <c r="AC11" s="161">
        <f>AC9*AC14*'Assumptions (Coal)'!AB49/10^3</f>
        <v>4.046160869</v>
      </c>
      <c r="AD11" s="161">
        <f>AD9*AD14*'Assumptions (Coal)'!AC49/10^3</f>
        <v>4.146422587</v>
      </c>
      <c r="AE11" s="161">
        <f>AE9*AE14*'Assumptions (Coal)'!AD49/10^3</f>
        <v>4.251759794</v>
      </c>
      <c r="AF11" s="161">
        <f>AF9*AF14*'Assumptions (Coal)'!AE49/10^3</f>
        <v>4.370362728</v>
      </c>
      <c r="AG11" s="161">
        <f>AG9*AG14*'Assumptions (Coal)'!AF49/10^3</f>
        <v>4.484246628</v>
      </c>
      <c r="AH11" s="161">
        <f>AH9*AH14*'Assumptions (Coal)'!AG49/10^3</f>
        <v>4.607063765</v>
      </c>
      <c r="AI11" s="161">
        <f>AI9*AI14*'Assumptions (Coal)'!AH49/10^3</f>
        <v>4.728654951</v>
      </c>
      <c r="AJ11" s="161">
        <f>AJ9*AJ14*'Assumptions (Coal)'!AI49/10^3</f>
        <v>4.872092616</v>
      </c>
      <c r="AK11" s="161">
        <f>AK9*AK14*'Assumptions (Coal)'!AJ49/10^3</f>
        <v>5.014486537</v>
      </c>
      <c r="AL11" s="161">
        <f>AL9*AL14*'Assumptions (Coal)'!AK49/10^3</f>
        <v>5.177307683</v>
      </c>
      <c r="AM11" s="161">
        <f>AM9*AM14*'Assumptions (Coal)'!AL49/10^3</f>
        <v>5.325901102</v>
      </c>
      <c r="AN11" s="161">
        <f>AN9*AN14*'Assumptions (Coal)'!AM49/10^3</f>
        <v>5.500191472</v>
      </c>
      <c r="AO11" s="161">
        <f>AO9*AO14*'Assumptions (Coal)'!AN49/10^3</f>
        <v>5.676057345</v>
      </c>
      <c r="AP11" s="161">
        <f>AP9*AP14*'Assumptions (Coal)'!AO49/10^3</f>
        <v>5.861569788</v>
      </c>
      <c r="AQ11" s="161">
        <f>AQ9*AQ14*'Assumptions (Coal)'!AP49/10^3</f>
        <v>6.036725414</v>
      </c>
      <c r="AR11" s="161">
        <f>AR9*AR14*'Assumptions (Coal)'!AQ49/10^3</f>
        <v>6.208588993</v>
      </c>
      <c r="AS11" s="161">
        <f>AS9*AS14*'Assumptions (Coal)'!AR49/10^3</f>
        <v>6.398200711</v>
      </c>
      <c r="AT11" s="161">
        <f>AT9*AT14*'Assumptions (Coal)'!AS49/10^3</f>
        <v>6.581137568</v>
      </c>
      <c r="AU11" s="161">
        <f>AU9*AU14*'Assumptions (Coal)'!AT49/10^3</f>
        <v>6.783305671</v>
      </c>
      <c r="AV11" s="161">
        <f>AV9*AV14*'Assumptions (Coal)'!AU49/10^3</f>
        <v>6.986613667</v>
      </c>
      <c r="AW11" s="161">
        <f>AW9*AW14*'Assumptions (Coal)'!AV49/10^3</f>
        <v>7.201141298</v>
      </c>
      <c r="AX11" s="161">
        <f>AX9*AX14*'Assumptions (Coal)'!AW49/10^3</f>
        <v>7.409112162</v>
      </c>
      <c r="AY11" s="161">
        <f>AY9*AY14*'Assumptions (Coal)'!AX49/10^3</f>
        <v>7.628135779</v>
      </c>
      <c r="AZ11" s="161">
        <f>AZ9*AZ14*'Assumptions (Coal)'!AY49/10^3</f>
        <v>7.878201192</v>
      </c>
      <c r="BA11" s="161">
        <f>BA9*BA14*'Assumptions (Coal)'!AZ49/10^3</f>
        <v>8.124376452</v>
      </c>
    </row>
    <row r="12">
      <c r="A12" s="162" t="s">
        <v>352</v>
      </c>
      <c r="B12" s="159" t="s">
        <v>149</v>
      </c>
      <c r="C12" s="163"/>
      <c r="D12" s="163"/>
      <c r="E12" s="163"/>
      <c r="F12" s="163"/>
      <c r="G12" s="163"/>
      <c r="H12" s="163"/>
      <c r="I12" s="163"/>
      <c r="J12" s="163"/>
      <c r="K12" s="163"/>
      <c r="L12" s="163"/>
      <c r="M12" s="163"/>
      <c r="N12" s="163"/>
      <c r="O12" s="163"/>
      <c r="P12" s="163"/>
      <c r="Q12" s="163"/>
      <c r="R12" s="163"/>
      <c r="S12" s="163"/>
      <c r="T12" s="163"/>
      <c r="U12" s="163"/>
      <c r="V12" s="163"/>
      <c r="W12" s="164">
        <f>W8</f>
        <v>41761.5</v>
      </c>
      <c r="X12" s="164">
        <f>$W8-'Assumptions (Coal)'!$W53</f>
        <v>32664</v>
      </c>
      <c r="Y12" s="164">
        <f>$W8-sum('Assumptions (Coal)'!$W53 :'Assumptions (Coal)'!X53)</f>
        <v>30989.1</v>
      </c>
      <c r="Z12" s="164">
        <f>$W8-sum('Assumptions (Coal)'!$W53 :'Assumptions (Coal)'!Y53)</f>
        <v>28801.6</v>
      </c>
      <c r="AA12" s="164">
        <f>$W8-sum('Assumptions (Coal)'!$W53 :'Assumptions (Coal)'!Z53)</f>
        <v>26592.6</v>
      </c>
      <c r="AB12" s="164">
        <f>$W8-sum('Assumptions (Coal)'!$W53 :'Assumptions (Coal)'!AA53)</f>
        <v>22587.7</v>
      </c>
      <c r="AC12" s="164">
        <f>$W8-sum('Assumptions (Coal)'!$W53 :'Assumptions (Coal)'!AB53)</f>
        <v>19438.1</v>
      </c>
      <c r="AD12" s="164">
        <f>$W8-sum('Assumptions (Coal)'!$W53 :'Assumptions (Coal)'!AC53)</f>
        <v>16925.5</v>
      </c>
      <c r="AE12" s="164">
        <f>$W8-sum('Assumptions (Coal)'!$W53 :'Assumptions (Coal)'!AD53)</f>
        <v>15973.5</v>
      </c>
      <c r="AF12" s="164">
        <f>$W8-sum('Assumptions (Coal)'!$W53 :'Assumptions (Coal)'!AE53)</f>
        <v>15110.2</v>
      </c>
      <c r="AG12" s="164">
        <f>$W8-sum('Assumptions (Coal)'!$W53 :'Assumptions (Coal)'!AF53)</f>
        <v>13216.7</v>
      </c>
      <c r="AH12" s="164">
        <f>$W8-sum('Assumptions (Coal)'!$W53 :'Assumptions (Coal)'!AG53)</f>
        <v>13026.6</v>
      </c>
      <c r="AI12" s="164">
        <f>$W8-sum('Assumptions (Coal)'!$W53 :'Assumptions (Coal)'!AH53)</f>
        <v>11730.4</v>
      </c>
      <c r="AJ12" s="164">
        <f>$W8-sum('Assumptions (Coal)'!$W53 :'Assumptions (Coal)'!AI53)</f>
        <v>10867.1</v>
      </c>
      <c r="AK12" s="164">
        <f>$W8-sum('Assumptions (Coal)'!$W53 :'Assumptions (Coal)'!AJ53)</f>
        <v>9960.7</v>
      </c>
      <c r="AL12" s="164">
        <f>$W8-sum('Assumptions (Coal)'!$W53 :'Assumptions (Coal)'!AK53)</f>
        <v>9197.5</v>
      </c>
      <c r="AM12" s="164">
        <f>$W8-sum('Assumptions (Coal)'!$W53 :'Assumptions (Coal)'!AL53)</f>
        <v>7750.3</v>
      </c>
      <c r="AN12" s="164">
        <f>$W8-sum('Assumptions (Coal)'!$W53 :'Assumptions (Coal)'!AM53)</f>
        <v>7044.8</v>
      </c>
      <c r="AO12" s="164">
        <f>$W8-sum('Assumptions (Coal)'!$W53 :'Assumptions (Coal)'!AN53)</f>
        <v>7044.8</v>
      </c>
      <c r="AP12" s="164">
        <f>$W8-sum('Assumptions (Coal)'!$W53 :'Assumptions (Coal)'!AO53)</f>
        <v>6153.8</v>
      </c>
      <c r="AQ12" s="164">
        <f>$W8-sum('Assumptions (Coal)'!$W53 :'Assumptions (Coal)'!AP53)</f>
        <v>6153.8</v>
      </c>
      <c r="AR12" s="164">
        <f>$W8-sum('Assumptions (Coal)'!$W53 :'Assumptions (Coal)'!AQ53)</f>
        <v>4557.3</v>
      </c>
      <c r="AS12" s="164">
        <f>$W8-sum('Assumptions (Coal)'!$W53 :'Assumptions (Coal)'!AR53)</f>
        <v>4442.5</v>
      </c>
      <c r="AT12" s="164">
        <f>$W8-sum('Assumptions (Coal)'!$W53 :'Assumptions (Coal)'!AS53)</f>
        <v>3709</v>
      </c>
      <c r="AU12" s="164">
        <f>$W8-sum('Assumptions (Coal)'!$W53 :'Assumptions (Coal)'!AT53)</f>
        <v>3709</v>
      </c>
      <c r="AV12" s="164">
        <f>$W8-sum('Assumptions (Coal)'!$W53 :'Assumptions (Coal)'!AU53)</f>
        <v>3709</v>
      </c>
      <c r="AW12" s="164">
        <f>$W8-sum('Assumptions (Coal)'!$W53 :'Assumptions (Coal)'!AV53)</f>
        <v>3674.4</v>
      </c>
      <c r="AX12" s="164">
        <f>$W8-sum('Assumptions (Coal)'!$W53 :'Assumptions (Coal)'!AW53)</f>
        <v>3083.5</v>
      </c>
      <c r="AY12" s="164">
        <f>$W8-sum('Assumptions (Coal)'!$W53 :'Assumptions (Coal)'!AX53)</f>
        <v>2666.2</v>
      </c>
      <c r="AZ12" s="164">
        <f>$W8-sum('Assumptions (Coal)'!$W53 :'Assumptions (Coal)'!AY53)</f>
        <v>2666.2</v>
      </c>
      <c r="BA12" s="164">
        <f>$W8-sum('Assumptions (Coal)'!$W53 :'Assumptions (Coal)'!AZ53)</f>
        <v>2666.2</v>
      </c>
    </row>
    <row r="13">
      <c r="A13" s="165" t="s">
        <v>353</v>
      </c>
      <c r="B13" s="166" t="s">
        <v>149</v>
      </c>
      <c r="C13" s="163"/>
      <c r="D13" s="163"/>
      <c r="E13" s="163"/>
      <c r="F13" s="163"/>
      <c r="G13" s="163"/>
      <c r="H13" s="163"/>
      <c r="I13" s="163"/>
      <c r="J13" s="163"/>
      <c r="K13" s="163"/>
      <c r="L13" s="163"/>
      <c r="M13" s="163"/>
      <c r="N13" s="163"/>
      <c r="O13" s="163"/>
      <c r="P13" s="163"/>
      <c r="Q13" s="163"/>
      <c r="R13" s="163"/>
      <c r="S13" s="163"/>
      <c r="T13" s="163"/>
      <c r="U13" s="163"/>
      <c r="V13" s="163"/>
      <c r="W13" s="164">
        <f>W18</f>
        <v>0</v>
      </c>
      <c r="X13" s="164">
        <f t="shared" ref="X13:Y13" si="5">sum($W18:X18)</f>
        <v>8326.946952</v>
      </c>
      <c r="Y13" s="164">
        <f t="shared" si="5"/>
        <v>9231.293904</v>
      </c>
      <c r="Z13" s="164">
        <f>sum(W18:Z18)</f>
        <v>10648.24086</v>
      </c>
      <c r="AA13" s="164">
        <f>sum(W18:AA18)</f>
        <v>12086.68781</v>
      </c>
      <c r="AB13" s="164">
        <f>sum(W18:AB18)</f>
        <v>15321.03476</v>
      </c>
      <c r="AC13" s="164">
        <f>sum(W18:AC18)</f>
        <v>17700.08171</v>
      </c>
      <c r="AD13" s="164">
        <f>sum(W18:AD18)</f>
        <v>19442.12867</v>
      </c>
      <c r="AE13" s="164">
        <f>sum(W18:AE18)</f>
        <v>19623.57562</v>
      </c>
      <c r="AF13" s="164">
        <f>sum(W18:AF18)</f>
        <v>19716.32257</v>
      </c>
      <c r="AG13" s="164">
        <f>sum(W18:AG18)</f>
        <v>20839.26952</v>
      </c>
      <c r="AH13" s="164">
        <f>sum(W18:AH18)</f>
        <v>20839.26952</v>
      </c>
      <c r="AI13" s="164">
        <f>sum(W18:AI18)</f>
        <v>20839.26952</v>
      </c>
      <c r="AJ13" s="164">
        <f>sum(W18:AJ18)</f>
        <v>20877.21038</v>
      </c>
      <c r="AK13" s="164">
        <f>sum(W18:AK18)</f>
        <v>21013.05733</v>
      </c>
      <c r="AL13" s="164">
        <f>sum(W18:AL18)</f>
        <v>21013.05733</v>
      </c>
      <c r="AM13" s="164">
        <f>sum(W18:AM18)</f>
        <v>21682.35123</v>
      </c>
      <c r="AN13" s="164">
        <f>sum(W18:AN18)</f>
        <v>21682.35123</v>
      </c>
      <c r="AO13" s="164">
        <f>sum(W18:AO18)</f>
        <v>21682.35123</v>
      </c>
      <c r="AP13" s="164">
        <f>sum(W18:AP18)</f>
        <v>21682.35123</v>
      </c>
      <c r="AQ13" s="164">
        <f>sum(W18:AQ18)</f>
        <v>21682.35123</v>
      </c>
      <c r="AR13" s="164">
        <f>sum(W18:AR18)</f>
        <v>21682.35123</v>
      </c>
      <c r="AS13" s="164">
        <f>sum(W18:AS18)</f>
        <v>21682.35123</v>
      </c>
      <c r="AT13" s="164">
        <f>sum(W18:AT18)</f>
        <v>21682.35123</v>
      </c>
      <c r="AU13" s="164">
        <f>sum(W18:AU18)</f>
        <v>21682.35123</v>
      </c>
      <c r="AV13" s="164">
        <f>sum(W18:AV18)</f>
        <v>21682.35123</v>
      </c>
      <c r="AW13" s="164">
        <f>sum(W18:AW18)</f>
        <v>21682.35123</v>
      </c>
      <c r="AX13" s="164">
        <f>sum(W18:AX18)</f>
        <v>21682.35123</v>
      </c>
      <c r="AY13" s="164">
        <f>sum(W18:AY18)</f>
        <v>21682.35123</v>
      </c>
      <c r="AZ13" s="164">
        <f>sum(W18:AZ18)</f>
        <v>21682.35123</v>
      </c>
      <c r="BA13" s="164">
        <f>sum(W18:BA18)</f>
        <v>21682.35123</v>
      </c>
    </row>
    <row r="14">
      <c r="A14" s="165" t="s">
        <v>354</v>
      </c>
      <c r="B14" s="166" t="s">
        <v>355</v>
      </c>
      <c r="C14" s="167">
        <f>'Assumptions (Coal)'!$V29</f>
        <v>10.1</v>
      </c>
      <c r="D14" s="167">
        <f>'Assumptions (Coal)'!$V29</f>
        <v>10.1</v>
      </c>
      <c r="E14" s="167">
        <f>'Assumptions (Coal)'!$V29</f>
        <v>10.1</v>
      </c>
      <c r="F14" s="167">
        <f>'Assumptions (Coal)'!$V29</f>
        <v>10.1</v>
      </c>
      <c r="G14" s="167">
        <f>'Assumptions (Coal)'!$V29</f>
        <v>10.1</v>
      </c>
      <c r="H14" s="167">
        <f>'Assumptions (Coal)'!$V29</f>
        <v>10.1</v>
      </c>
      <c r="I14" s="167">
        <f>'Assumptions (Coal)'!$V29</f>
        <v>10.1</v>
      </c>
      <c r="J14" s="167">
        <f>'Assumptions (Coal)'!$V29</f>
        <v>10.1</v>
      </c>
      <c r="K14" s="167">
        <f>'Assumptions (Coal)'!$V29</f>
        <v>10.1</v>
      </c>
      <c r="L14" s="167">
        <f>'Assumptions (Coal)'!$V29</f>
        <v>10.1</v>
      </c>
      <c r="M14" s="167">
        <f>'Assumptions (Coal)'!$V29</f>
        <v>10.1</v>
      </c>
      <c r="N14" s="167">
        <f>'Assumptions (Coal)'!$V29</f>
        <v>10.1</v>
      </c>
      <c r="O14" s="167">
        <f>'Assumptions (Coal)'!$V29</f>
        <v>10.1</v>
      </c>
      <c r="P14" s="167">
        <f>'Assumptions (Coal)'!$V29</f>
        <v>10.1</v>
      </c>
      <c r="Q14" s="167">
        <f>'Assumptions (Coal)'!$V29</f>
        <v>10.1</v>
      </c>
      <c r="R14" s="167">
        <f>'Assumptions (Coal)'!$V29</f>
        <v>10.1</v>
      </c>
      <c r="S14" s="167">
        <f>'Assumptions (Coal)'!$V29</f>
        <v>10.1</v>
      </c>
      <c r="T14" s="167">
        <f>'Assumptions (Coal)'!$V29</f>
        <v>10.1</v>
      </c>
      <c r="U14" s="167">
        <f>'Assumptions (Coal)'!$V29</f>
        <v>10.1</v>
      </c>
      <c r="V14" s="167">
        <f>'Assumptions (Coal)'!$V29</f>
        <v>10.1</v>
      </c>
      <c r="W14" s="167">
        <f>'Assumptions (Coal)'!$V29</f>
        <v>10.1</v>
      </c>
      <c r="X14" s="168">
        <f>((sum($X$15:X15)+X12*'Assumptions (Coal)'!$V$29)/(X12+sum($X18:X18)))</f>
        <v>10.01772785</v>
      </c>
      <c r="Y14" s="168">
        <f>((sum($X$15:Y15)+Y12*'Assumptions (Coal)'!$V$29)/(Y12+sum($X18:Y18)))</f>
        <v>10.00580865</v>
      </c>
      <c r="Z14" s="168">
        <f>((sum($X$15:Z15)+Z12*'Assumptions (Coal)'!$V$29)/(Z12+sum($X18:Z18)))</f>
        <v>9.985471254</v>
      </c>
      <c r="AA14" s="168">
        <f>((sum($X$15:AA15)+AA12*'Assumptions (Coal)'!$V$29)/(AA12+sum($X18:AA18)))</f>
        <v>9.961991886</v>
      </c>
      <c r="AB14" s="168">
        <f>((sum($X$15:AB15)+AB12*'Assumptions (Coal)'!$V$29)/(AB12+sum($X18:AB18)))</f>
        <v>9.905862094</v>
      </c>
      <c r="AC14" s="168">
        <f>((sum($X$15:AC15)+AC12*'Assumptions (Coal)'!$V$29)/(AC12+sum($X18:AC18)))</f>
        <v>9.858273725</v>
      </c>
      <c r="AD14" s="168">
        <f>((sum($X$15:AD15)+AD12*'Assumptions (Coal)'!$V$29)/(AD12+sum($X18:AD18)))</f>
        <v>9.817944798</v>
      </c>
      <c r="AE14" s="168">
        <f>((sum($X$15:AE15)+AE12*'Assumptions (Coal)'!$V$29)/(AE12+sum($X18:AE18)))</f>
        <v>9.807812461</v>
      </c>
      <c r="AF14" s="168">
        <f>((sum($X$15:AF15)+AF12*'Assumptions (Coal)'!$V$29)/(AF12+sum($X18:AF18)))</f>
        <v>9.799097345</v>
      </c>
      <c r="AG14" s="168">
        <f>((sum($X$15:AG15)+AG12*'Assumptions (Coal)'!$V$29)/(AG12+sum($X18:AG18)))</f>
        <v>9.762612883</v>
      </c>
      <c r="AH14" s="168">
        <f>((sum($X$15:AH15)+AH12*'Assumptions (Coal)'!$V$29)/(AH12+sum($X18:AH18)))</f>
        <v>9.760719021</v>
      </c>
      <c r="AI14" s="168">
        <f>((sum($X$15:AI15)+AI12*'Assumptions (Coal)'!$V$29)/(AI12+sum($X18:AI18)))</f>
        <v>9.747216397</v>
      </c>
      <c r="AJ14" s="168">
        <f>((sum($X$15:AJ15)+AJ12*'Assumptions (Coal)'!$V$29)/(AJ12+sum($X18:AJ18)))</f>
        <v>9.736968263</v>
      </c>
      <c r="AK14" s="168">
        <f>((sum($X$15:AK15)+AK12*'Assumptions (Coal)'!$V$29)/(AK12+sum($X18:AK18)))</f>
        <v>9.723989616</v>
      </c>
      <c r="AL14" s="168">
        <f>((sum($X$15:AL15)+AL12*'Assumptions (Coal)'!$V$29)/(AL12+sum($X18:AL18)))</f>
        <v>9.714490581</v>
      </c>
      <c r="AM14" s="168">
        <f>((sum($X$15:AM15)+AM12*'Assumptions (Coal)'!$V$29)/(AM12+sum($X18:AM18)))</f>
        <v>9.683835693</v>
      </c>
      <c r="AN14" s="168">
        <f>((sum($X$15:AN15)+AN12*'Assumptions (Coal)'!$V$29)/(AN12+sum($X18:AN18)))</f>
        <v>9.67361526</v>
      </c>
      <c r="AO14" s="168">
        <f>((sum($X$15:AO15)+AO12*'Assumptions (Coal)'!$V$29)/(AO12+sum($X18:AO18)))</f>
        <v>9.67361526</v>
      </c>
      <c r="AP14" s="168">
        <f>((sum($X$15:AP15)+AP12*'Assumptions (Coal)'!$V$29)/(AP12+sum($X18:AP18)))</f>
        <v>9.659967224</v>
      </c>
      <c r="AQ14" s="168">
        <f>((sum($X$15:AQ15)+AQ12*'Assumptions (Coal)'!$V$29)/(AQ12+sum($X18:AQ18)))</f>
        <v>9.659967224</v>
      </c>
      <c r="AR14" s="168">
        <f>((sum($X$15:AR15)+AR12*'Assumptions (Coal)'!$V$29)/(AR12+sum($X18:AR18)))</f>
        <v>9.633194295</v>
      </c>
      <c r="AS14" s="168">
        <f>((sum($X$15:AS15)+AS12*'Assumptions (Coal)'!$V$29)/(AS12+sum($X18:AS18)))</f>
        <v>9.631143018</v>
      </c>
      <c r="AT14" s="168">
        <f>((sum($X$15:AT15)+AT12*'Assumptions (Coal)'!$V$29)/(AT12+sum($X18:AT18)))</f>
        <v>9.617598776</v>
      </c>
      <c r="AU14" s="168">
        <f>((sum($X$15:AU15)+AU12*'Assumptions (Coal)'!$V$29)/(AU12+sum($X18:AU18)))</f>
        <v>9.617598776</v>
      </c>
      <c r="AV14" s="168">
        <f>((sum($X$15:AV15)+AV12*'Assumptions (Coal)'!$V$29)/(AV12+sum($X18:AV18)))</f>
        <v>9.617598776</v>
      </c>
      <c r="AW14" s="168">
        <f>((sum($X$15:AW15)+AW12*'Assumptions (Coal)'!$V$29)/(AW12+sum($X18:AW18)))</f>
        <v>9.616940526</v>
      </c>
      <c r="AX14" s="168">
        <f>((sum($X$15:AX15)+AX12*'Assumptions (Coal)'!$V$29)/(AX12+sum($X18:AX18)))</f>
        <v>9.605414985</v>
      </c>
      <c r="AY14" s="168">
        <f>((sum($X$15:AY15)+AY12*'Assumptions (Coal)'!$V$29)/(AY12+sum($X18:AY18)))</f>
        <v>9.596938492</v>
      </c>
      <c r="AZ14" s="168">
        <f>((sum($X$15:AZ15)+AZ12*'Assumptions (Coal)'!$V$29)/(AZ12+sum($X18:AZ18)))</f>
        <v>9.596938492</v>
      </c>
      <c r="BA14" s="168">
        <f>((sum($X$15:BA15)+BA12*'Assumptions (Coal)'!$V$29)/(BA12+sum($X18:BA18)))</f>
        <v>9.596938492</v>
      </c>
    </row>
    <row r="15">
      <c r="A15" s="169" t="s">
        <v>356</v>
      </c>
      <c r="B15" s="166" t="s">
        <v>357</v>
      </c>
      <c r="C15" s="170"/>
      <c r="D15" s="170"/>
      <c r="E15" s="170"/>
      <c r="F15" s="170"/>
      <c r="G15" s="170"/>
      <c r="H15" s="170"/>
      <c r="I15" s="170"/>
      <c r="J15" s="170"/>
      <c r="K15" s="170"/>
      <c r="L15" s="170"/>
      <c r="M15" s="170"/>
      <c r="N15" s="170"/>
      <c r="O15" s="170"/>
      <c r="P15" s="170"/>
      <c r="Q15" s="170"/>
      <c r="R15" s="170"/>
      <c r="S15" s="170"/>
      <c r="T15" s="170"/>
      <c r="U15" s="170"/>
      <c r="V15" s="170"/>
      <c r="W15" s="170"/>
      <c r="X15" s="168">
        <f>X18*'Assumptions (Coal)'!W22</f>
        <v>80729.7507</v>
      </c>
      <c r="Y15" s="168">
        <f>Y18*'Assumptions (Coal)'!X22</f>
        <v>8717.904619</v>
      </c>
      <c r="Z15" s="168">
        <f>Z18*'Assumptions (Coal)'!Y22</f>
        <v>13581.43654</v>
      </c>
      <c r="AA15" s="168">
        <f>AA18*'Assumptions (Coal)'!Z22</f>
        <v>13708.39945</v>
      </c>
      <c r="AB15" s="168">
        <f>AB18*'Assumptions (Coal)'!AA22</f>
        <v>30645.43737</v>
      </c>
      <c r="AC15" s="168">
        <f>AC18*'Assumptions (Coal)'!AB22</f>
        <v>22410.62229</v>
      </c>
      <c r="AD15" s="168">
        <f>AD18*'Assumptions (Coal)'!AC22</f>
        <v>16314.26971</v>
      </c>
      <c r="AE15" s="168">
        <f>AE18*'Assumptions (Coal)'!AD22</f>
        <v>1689.271125</v>
      </c>
      <c r="AF15" s="168">
        <f>AF18*'Assumptions (Coal)'!AE22</f>
        <v>858.3730422</v>
      </c>
      <c r="AG15" s="168">
        <f>AG18*'Assumptions (Coal)'!AF22</f>
        <v>10331.11196</v>
      </c>
      <c r="AH15" s="168">
        <f>AH18*'Assumptions (Coal)'!AG22</f>
        <v>0</v>
      </c>
      <c r="AI15" s="168">
        <f>AI18*'Assumptions (Coal)'!AH22</f>
        <v>0</v>
      </c>
      <c r="AJ15" s="168">
        <f>AJ18*'Assumptions (Coal)'!AI22</f>
        <v>349.0558795</v>
      </c>
      <c r="AK15" s="168">
        <f>AK18*'Assumptions (Coal)'!AJ22</f>
        <v>1249.79196</v>
      </c>
      <c r="AL15" s="168">
        <f>AL18*'Assumptions (Coal)'!AK22</f>
        <v>0</v>
      </c>
      <c r="AM15" s="168">
        <f>AM18*'Assumptions (Coal)'!AL22</f>
        <v>6157.50392</v>
      </c>
      <c r="AN15" s="168">
        <f>AN18*'Assumptions (Coal)'!AM22</f>
        <v>0</v>
      </c>
      <c r="AO15" s="168">
        <f>AO18*'Assumptions (Coal)'!AN22</f>
        <v>0</v>
      </c>
      <c r="AP15" s="168">
        <f>AP18*'Assumptions (Coal)'!AO22</f>
        <v>0</v>
      </c>
      <c r="AQ15" s="168">
        <f>AQ18*'Assumptions (Coal)'!AP22</f>
        <v>0</v>
      </c>
      <c r="AR15" s="168">
        <f>AR18*'Assumptions (Coal)'!AQ22</f>
        <v>0</v>
      </c>
      <c r="AS15" s="168">
        <f>AS18*'Assumptions (Coal)'!AR22</f>
        <v>0</v>
      </c>
      <c r="AT15" s="168">
        <f>AT18*'Assumptions (Coal)'!AS22</f>
        <v>0</v>
      </c>
      <c r="AU15" s="168">
        <f>AU18*'Assumptions (Coal)'!AT22</f>
        <v>0</v>
      </c>
      <c r="AV15" s="168">
        <f>AV18*'Assumptions (Coal)'!AU22</f>
        <v>0</v>
      </c>
      <c r="AW15" s="168">
        <f>AW18*'Assumptions (Coal)'!AV22</f>
        <v>0</v>
      </c>
      <c r="AX15" s="168">
        <f>AX18*'Assumptions (Coal)'!AW22</f>
        <v>0</v>
      </c>
      <c r="AY15" s="168">
        <f>AY18*'Assumptions (Coal)'!AX22</f>
        <v>0</v>
      </c>
      <c r="AZ15" s="168">
        <f>AZ18*'Assumptions (Coal)'!AY22</f>
        <v>0</v>
      </c>
      <c r="BA15" s="168">
        <f>BA18*'Assumptions (Coal)'!AZ22</f>
        <v>0</v>
      </c>
    </row>
    <row r="16">
      <c r="A16" s="158" t="s">
        <v>36</v>
      </c>
      <c r="B16" s="159" t="s">
        <v>351</v>
      </c>
      <c r="C16" s="160">
        <f>C9*'Assumptions (Coal)'!B44/10^3</f>
        <v>23.35207646</v>
      </c>
      <c r="D16" s="160">
        <f>D9*'Assumptions (Coal)'!C44/10^3</f>
        <v>22.99196412</v>
      </c>
      <c r="E16" s="160">
        <f>E9*'Assumptions (Coal)'!D44/10^3</f>
        <v>20.92478686</v>
      </c>
      <c r="F16" s="160">
        <f>F9*'Assumptions (Coal)'!E44/10^3</f>
        <v>25.58483521</v>
      </c>
      <c r="G16" s="160">
        <f>G9*'Assumptions (Coal)'!F44/10^3</f>
        <v>27.29545876</v>
      </c>
      <c r="H16" s="160">
        <f>H9*'Assumptions (Coal)'!G44/10^3</f>
        <v>34.42325275</v>
      </c>
      <c r="I16" s="160">
        <f>I9*'Assumptions (Coal)'!H44/10^3</f>
        <v>30.88824718</v>
      </c>
      <c r="J16" s="160">
        <f>J9*'Assumptions (Coal)'!I44/10^3</f>
        <v>32.21214455</v>
      </c>
      <c r="K16" s="160">
        <f>K9*'Assumptions (Coal)'!J44/10^3</f>
        <v>35.62427612</v>
      </c>
      <c r="L16" s="160">
        <f>L9*'Assumptions (Coal)'!K44/10^3</f>
        <v>19.77706749</v>
      </c>
      <c r="M16" s="160">
        <f>M9*'Assumptions (Coal)'!L44/10^3</f>
        <v>22.20812689</v>
      </c>
      <c r="N16" s="160">
        <f>N9*'Assumptions (Coal)'!M44/10^3</f>
        <v>18.43932931</v>
      </c>
      <c r="O16" s="160">
        <f>O9*'Assumptions (Coal)'!N44/10^3</f>
        <v>12.70471792</v>
      </c>
      <c r="P16" s="160">
        <f>P9*'Assumptions (Coal)'!O44/10^3</f>
        <v>13.53946304</v>
      </c>
      <c r="Q16" s="160">
        <f>Q9*'Assumptions (Coal)'!P44/10^3</f>
        <v>15.79455928</v>
      </c>
      <c r="R16" s="160">
        <f>R9*'Assumptions (Coal)'!Q44/10^3</f>
        <v>10.66106424</v>
      </c>
      <c r="S16" s="160">
        <f>S9*'Assumptions (Coal)'!R44/10^3</f>
        <v>10.70591978</v>
      </c>
      <c r="T16" s="160">
        <f>T9*'Assumptions (Coal)'!S44/10^3</f>
        <v>9.311135565</v>
      </c>
      <c r="U16" s="160">
        <f>U9*'Assumptions (Coal)'!T44/10^3</f>
        <v>9.077416797</v>
      </c>
      <c r="V16" s="160">
        <f>V9*'Assumptions (Coal)'!U44/10^3</f>
        <v>9.203256376</v>
      </c>
      <c r="W16" s="160">
        <f>W9*'Assumptions (Coal)'!V44/10^3</f>
        <v>9.599619942</v>
      </c>
      <c r="X16" s="160">
        <f>X9*'Assumptions (Coal)'!W44/10^3</f>
        <v>9.714670383</v>
      </c>
      <c r="Y16" s="160">
        <f>Y9*'Assumptions (Coal)'!X44/10^3</f>
        <v>9.846995711</v>
      </c>
      <c r="Z16" s="160">
        <f>Z9*'Assumptions (Coal)'!Y44/10^3</f>
        <v>10.05093293</v>
      </c>
      <c r="AA16" s="160">
        <f>AA9*'Assumptions (Coal)'!Z44/10^3</f>
        <v>10.28611519</v>
      </c>
      <c r="AB16" s="160">
        <f>AB9*'Assumptions (Coal)'!AA44/10^3</f>
        <v>10.62168791</v>
      </c>
      <c r="AC16" s="160">
        <f>AC9*'Assumptions (Coal)'!AB44/10^3</f>
        <v>10.83931764</v>
      </c>
      <c r="AD16" s="160">
        <f>AD9*'Assumptions (Coal)'!AC44/10^3</f>
        <v>11.0993534</v>
      </c>
      <c r="AE16" s="160">
        <f>AE9*'Assumptions (Coal)'!AD44/10^3</f>
        <v>11.34216125</v>
      </c>
      <c r="AF16" s="160">
        <f>AF9*'Assumptions (Coal)'!AE44/10^3</f>
        <v>11.59979979</v>
      </c>
      <c r="AG16" s="160">
        <f>AG9*'Assumptions (Coal)'!AF44/10^3</f>
        <v>11.86365485</v>
      </c>
      <c r="AH16" s="160">
        <f>AH9*'Assumptions (Coal)'!AG44/10^3</f>
        <v>12.15105332</v>
      </c>
      <c r="AI16" s="160">
        <f>AI9*'Assumptions (Coal)'!AH44/10^3</f>
        <v>12.39348157</v>
      </c>
      <c r="AJ16" s="160">
        <f>AJ9*'Assumptions (Coal)'!AI44/10^3</f>
        <v>12.63378102</v>
      </c>
      <c r="AK16" s="160">
        <f>AK9*'Assumptions (Coal)'!AJ44/10^3</f>
        <v>12.87959496</v>
      </c>
      <c r="AL16" s="160">
        <f>AL9*'Assumptions (Coal)'!AK44/10^3</f>
        <v>13.1495344</v>
      </c>
      <c r="AM16" s="160">
        <f>AM9*'Assumptions (Coal)'!AL44/10^3</f>
        <v>13.47708974</v>
      </c>
      <c r="AN16" s="160">
        <f>AN9*'Assumptions (Coal)'!AM44/10^3</f>
        <v>13.79844776</v>
      </c>
      <c r="AO16" s="160">
        <f>AO9*'Assumptions (Coal)'!AN44/10^3</f>
        <v>14.16562044</v>
      </c>
      <c r="AP16" s="160">
        <f>AP9*'Assumptions (Coal)'!AO44/10^3</f>
        <v>14.54078631</v>
      </c>
      <c r="AQ16" s="160">
        <f>AQ9*'Assumptions (Coal)'!AP44/10^3</f>
        <v>14.8973235</v>
      </c>
      <c r="AR16" s="160">
        <f>AR9*'Assumptions (Coal)'!AQ44/10^3</f>
        <v>15.24964702</v>
      </c>
      <c r="AS16" s="160">
        <f>AS9*'Assumptions (Coal)'!AR44/10^3</f>
        <v>15.60231603</v>
      </c>
      <c r="AT16" s="160">
        <f>AT9*'Assumptions (Coal)'!AS44/10^3</f>
        <v>15.9748743</v>
      </c>
      <c r="AU16" s="160">
        <f>AU9*'Assumptions (Coal)'!AT44/10^3</f>
        <v>16.37074109</v>
      </c>
      <c r="AV16" s="160">
        <f>AV9*'Assumptions (Coal)'!AU44/10^3</f>
        <v>16.77780857</v>
      </c>
      <c r="AW16" s="160">
        <f>AW9*'Assumptions (Coal)'!AV44/10^3</f>
        <v>17.15848514</v>
      </c>
      <c r="AX16" s="160">
        <f>AX9*'Assumptions (Coal)'!AW44/10^3</f>
        <v>17.60437949</v>
      </c>
      <c r="AY16" s="160">
        <f>AY9*'Assumptions (Coal)'!AX44/10^3</f>
        <v>18.31020944</v>
      </c>
      <c r="AZ16" s="160">
        <f>AZ9*'Assumptions (Coal)'!AY44/10^3</f>
        <v>18.87109648</v>
      </c>
      <c r="BA16" s="160">
        <f>BA9*'Assumptions (Coal)'!AZ44/10^3</f>
        <v>19.33066914</v>
      </c>
    </row>
    <row r="17">
      <c r="A17" s="158" t="s">
        <v>38</v>
      </c>
      <c r="B17" s="159" t="s">
        <v>351</v>
      </c>
      <c r="C17" s="160">
        <f>C8*'Assumptions (Coal)'!B47*'Assumptions (Coal)'!B46*365/10^9</f>
        <v>0</v>
      </c>
      <c r="D17" s="160">
        <f>D8*'Assumptions (Coal)'!C47*'Assumptions (Coal)'!C46*365/10^9</f>
        <v>0</v>
      </c>
      <c r="E17" s="160">
        <f>E8*'Assumptions (Coal)'!D47*'Assumptions (Coal)'!D46*365/10^9</f>
        <v>0</v>
      </c>
      <c r="F17" s="160">
        <f>F8*'Assumptions (Coal)'!E47*'Assumptions (Coal)'!E46*365/10^9</f>
        <v>0</v>
      </c>
      <c r="G17" s="160">
        <f>G8*'Assumptions (Coal)'!F47*'Assumptions (Coal)'!F46*365/10^9</f>
        <v>0</v>
      </c>
      <c r="H17" s="160">
        <f>H8*'Assumptions (Coal)'!G47*'Assumptions (Coal)'!G46*365/10^9</f>
        <v>0</v>
      </c>
      <c r="I17" s="160">
        <f>I8*'Assumptions (Coal)'!H47*'Assumptions (Coal)'!H46*365/10^9</f>
        <v>0</v>
      </c>
      <c r="J17" s="160">
        <f>J8*'Assumptions (Coal)'!I47*'Assumptions (Coal)'!I46*365/10^9</f>
        <v>2.025799003</v>
      </c>
      <c r="K17" s="160">
        <f>K8*'Assumptions (Coal)'!J47*'Assumptions (Coal)'!J46*365/10^9</f>
        <v>2.082375155</v>
      </c>
      <c r="L17" s="160">
        <f>L8*'Assumptions (Coal)'!K47*'Assumptions (Coal)'!K46*365/10^9</f>
        <v>2.409906339</v>
      </c>
      <c r="M17" s="160">
        <f>M8*'Assumptions (Coal)'!L47*'Assumptions (Coal)'!L46*365/10^9</f>
        <v>1.682619146</v>
      </c>
      <c r="N17" s="160">
        <f>N8*'Assumptions (Coal)'!M47*'Assumptions (Coal)'!M46*365/10^9</f>
        <v>1.707775489</v>
      </c>
      <c r="O17" s="160">
        <f>O8*'Assumptions (Coal)'!N47*'Assumptions (Coal)'!N46*365/10^9</f>
        <v>1.595681291</v>
      </c>
      <c r="P17" s="160">
        <f>P8*'Assumptions (Coal)'!O47*'Assumptions (Coal)'!O46*365/10^9</f>
        <v>1.318527545</v>
      </c>
      <c r="Q17" s="160">
        <f>Q8*'Assumptions (Coal)'!P47*'Assumptions (Coal)'!P46*365/10^9</f>
        <v>1.430776378</v>
      </c>
      <c r="R17" s="160">
        <f>R8*'Assumptions (Coal)'!Q47*'Assumptions (Coal)'!Q46*365/10^9</f>
        <v>1.384982292</v>
      </c>
      <c r="S17" s="160">
        <f>S8*'Assumptions (Coal)'!R47*'Assumptions (Coal)'!R46*365/10^9</f>
        <v>1.102872473</v>
      </c>
      <c r="T17" s="160">
        <f>T8*'Assumptions (Coal)'!S47*'Assumptions (Coal)'!S46*365/10^9</f>
        <v>1.166799271</v>
      </c>
      <c r="U17" s="160">
        <f>U8*'Assumptions (Coal)'!T47*'Assumptions (Coal)'!T46*365/10^9</f>
        <v>1.101362791</v>
      </c>
      <c r="V17" s="160">
        <f>V8*'Assumptions (Coal)'!U47*'Assumptions (Coal)'!U46*365/10^9</f>
        <v>1.130596277</v>
      </c>
      <c r="W17" s="160">
        <f>W8*'Assumptions (Coal)'!V47*'Assumptions (Coal)'!V46*365/10^9</f>
        <v>1.146269652</v>
      </c>
      <c r="X17" s="160">
        <f>X8*'Assumptions (Coal)'!W47*'Assumptions (Coal)'!W46*365/10^9</f>
        <v>1.133653203</v>
      </c>
      <c r="Y17" s="160">
        <f>Y8*'Assumptions (Coal)'!X47*'Assumptions (Coal)'!X46*365/10^9</f>
        <v>1.122612854</v>
      </c>
      <c r="Z17" s="160">
        <f>Z8*'Assumptions (Coal)'!Y47*'Assumptions (Coal)'!Y46*365/10^9</f>
        <v>1.119065369</v>
      </c>
      <c r="AA17" s="160">
        <f>AA8*'Assumptions (Coal)'!Z47*'Assumptions (Coal)'!Z46*365/10^9</f>
        <v>1.118061341</v>
      </c>
      <c r="AB17" s="160">
        <f>AB8*'Assumptions (Coal)'!AA47*'Assumptions (Coal)'!AA46*365/10^9</f>
        <v>1.126700686</v>
      </c>
      <c r="AC17" s="160">
        <f>AC8*'Assumptions (Coal)'!AB47*'Assumptions (Coal)'!AB46*365/10^9</f>
        <v>1.121621173</v>
      </c>
      <c r="AD17" s="160">
        <f>AD8*'Assumptions (Coal)'!AC47*'Assumptions (Coal)'!AC46*365/10^9</f>
        <v>1.119932979</v>
      </c>
      <c r="AE17" s="160">
        <f>AE8*'Assumptions (Coal)'!AD47*'Assumptions (Coal)'!AD46*365/10^9</f>
        <v>1.11545758</v>
      </c>
      <c r="AF17" s="160">
        <f>AF8*'Assumptions (Coal)'!AE47*'Assumptions (Coal)'!AE46*365/10^9</f>
        <v>1.111411302</v>
      </c>
      <c r="AG17" s="160">
        <f>AG8*'Assumptions (Coal)'!AF47*'Assumptions (Coal)'!AF46*365/10^9</f>
        <v>1.106891127</v>
      </c>
      <c r="AH17" s="160">
        <f>AH8*'Assumptions (Coal)'!AG47*'Assumptions (Coal)'!AG46*365/10^9</f>
        <v>1.103437225</v>
      </c>
      <c r="AI17" s="160">
        <f>AI8*'Assumptions (Coal)'!AH47*'Assumptions (Coal)'!AH46*365/10^9</f>
        <v>1.094835988</v>
      </c>
      <c r="AJ17" s="160">
        <f>AJ8*'Assumptions (Coal)'!AI47*'Assumptions (Coal)'!AI46*365/10^9</f>
        <v>1.085112136</v>
      </c>
      <c r="AK17" s="160">
        <f>AK8*'Assumptions (Coal)'!AJ47*'Assumptions (Coal)'!AJ46*365/10^9</f>
        <v>1.074930701</v>
      </c>
      <c r="AL17" s="160">
        <f>AL8*'Assumptions (Coal)'!AK47*'Assumptions (Coal)'!AK46*365/10^9</f>
        <v>1.065771523</v>
      </c>
      <c r="AM17" s="160">
        <f>AM8*'Assumptions (Coal)'!AL47*'Assumptions (Coal)'!AL46*365/10^9</f>
        <v>1.060107391</v>
      </c>
      <c r="AN17" s="160">
        <f>AN8*'Assumptions (Coal)'!AM47*'Assumptions (Coal)'!AM46*365/10^9</f>
        <v>1.052672916</v>
      </c>
      <c r="AO17" s="160">
        <f>AO8*'Assumptions (Coal)'!AN47*'Assumptions (Coal)'!AN46*365/10^9</f>
        <v>1.047373222</v>
      </c>
      <c r="AP17" s="160">
        <f>AP8*'Assumptions (Coal)'!AO47*'Assumptions (Coal)'!AO46*365/10^9</f>
        <v>1.041194656</v>
      </c>
      <c r="AQ17" s="160">
        <f>AQ8*'Assumptions (Coal)'!AP47*'Assumptions (Coal)'!AP46*365/10^9</f>
        <v>1.032254554</v>
      </c>
      <c r="AR17" s="160">
        <f>AR8*'Assumptions (Coal)'!AQ47*'Assumptions (Coal)'!AQ46*365/10^9</f>
        <v>1.021664589</v>
      </c>
      <c r="AS17" s="160">
        <f>AS8*'Assumptions (Coal)'!AR47*'Assumptions (Coal)'!AR46*365/10^9</f>
        <v>1.009764958</v>
      </c>
      <c r="AT17" s="160">
        <f>AT8*'Assumptions (Coal)'!AS47*'Assumptions (Coal)'!AS46*365/10^9</f>
        <v>0.9977898781</v>
      </c>
      <c r="AU17" s="160">
        <f>AU8*'Assumptions (Coal)'!AT47*'Assumptions (Coal)'!AT46*365/10^9</f>
        <v>0.985827159</v>
      </c>
      <c r="AV17" s="160">
        <f>AV8*'Assumptions (Coal)'!AU47*'Assumptions (Coal)'!AU46*365/10^9</f>
        <v>0.9730355579</v>
      </c>
      <c r="AW17" s="160">
        <f>AW8*'Assumptions (Coal)'!AV47*'Assumptions (Coal)'!AV46*365/10^9</f>
        <v>0.9572611322</v>
      </c>
      <c r="AX17" s="160">
        <f>AX8*'Assumptions (Coal)'!AW47*'Assumptions (Coal)'!AW46*365/10^9</f>
        <v>0.9436051549</v>
      </c>
      <c r="AY17" s="160">
        <f>AY8*'Assumptions (Coal)'!AX47*'Assumptions (Coal)'!AX46*365/10^9</f>
        <v>0.9416729067</v>
      </c>
      <c r="AZ17" s="160">
        <f>AZ8*'Assumptions (Coal)'!AY47*'Assumptions (Coal)'!AY46*365/10^9</f>
        <v>0.9298531398</v>
      </c>
      <c r="BA17" s="160">
        <f>BA8*'Assumptions (Coal)'!AZ47*'Assumptions (Coal)'!AZ46*365/10^9</f>
        <v>0.9111638985</v>
      </c>
    </row>
    <row r="18" ht="15.75" customHeight="1">
      <c r="A18" s="158" t="s">
        <v>46</v>
      </c>
      <c r="B18" s="159" t="s">
        <v>149</v>
      </c>
      <c r="C18" s="171">
        <f t="array" ref="C18:V18">transpose('Assumptions (Coal)'!V125:V144)</f>
        <v>0</v>
      </c>
      <c r="D18" s="172">
        <v>513.7</v>
      </c>
      <c r="E18" s="172">
        <v>0.0</v>
      </c>
      <c r="F18" s="172">
        <v>0.0</v>
      </c>
      <c r="G18" s="172">
        <v>0.0</v>
      </c>
      <c r="H18" s="172">
        <v>0.0</v>
      </c>
      <c r="I18" s="172">
        <v>0.0</v>
      </c>
      <c r="J18" s="172">
        <v>591.0</v>
      </c>
      <c r="K18" s="172">
        <v>652.0</v>
      </c>
      <c r="L18" s="172">
        <v>0.0</v>
      </c>
      <c r="M18" s="172">
        <v>0.0</v>
      </c>
      <c r="N18" s="172">
        <v>0.0</v>
      </c>
      <c r="O18" s="172">
        <v>909.5</v>
      </c>
      <c r="P18" s="172">
        <v>0.0</v>
      </c>
      <c r="Q18" s="172">
        <v>0.0</v>
      </c>
      <c r="R18" s="172">
        <v>0.0</v>
      </c>
      <c r="S18" s="172">
        <v>0.0</v>
      </c>
      <c r="T18" s="172">
        <v>0.0</v>
      </c>
      <c r="U18" s="172">
        <v>0.0</v>
      </c>
      <c r="V18" s="172">
        <v>0.0</v>
      </c>
      <c r="W18" s="173">
        <v>0.0</v>
      </c>
      <c r="X18" s="148">
        <f t="shared" ref="X18:BA18" si="6">if(X8&gt;X7,X8-X7,0)</f>
        <v>8326.946952</v>
      </c>
      <c r="Y18" s="148">
        <f t="shared" si="6"/>
        <v>904.3469522</v>
      </c>
      <c r="Z18" s="148">
        <f t="shared" si="6"/>
        <v>1416.946952</v>
      </c>
      <c r="AA18" s="148">
        <f t="shared" si="6"/>
        <v>1438.446952</v>
      </c>
      <c r="AB18" s="148">
        <f t="shared" si="6"/>
        <v>3234.346952</v>
      </c>
      <c r="AC18" s="148">
        <f t="shared" si="6"/>
        <v>2379.046952</v>
      </c>
      <c r="AD18" s="148">
        <f t="shared" si="6"/>
        <v>1742.046952</v>
      </c>
      <c r="AE18" s="148">
        <f t="shared" si="6"/>
        <v>181.4469522</v>
      </c>
      <c r="AF18" s="148">
        <f t="shared" si="6"/>
        <v>92.74695215</v>
      </c>
      <c r="AG18" s="148">
        <f t="shared" si="6"/>
        <v>1122.946952</v>
      </c>
      <c r="AH18" s="148">
        <f t="shared" si="6"/>
        <v>0</v>
      </c>
      <c r="AI18" s="148">
        <f t="shared" si="6"/>
        <v>0</v>
      </c>
      <c r="AJ18" s="148">
        <f t="shared" si="6"/>
        <v>37.94085646</v>
      </c>
      <c r="AK18" s="148">
        <f t="shared" si="6"/>
        <v>135.8469522</v>
      </c>
      <c r="AL18" s="148">
        <f t="shared" si="6"/>
        <v>0</v>
      </c>
      <c r="AM18" s="148">
        <f t="shared" si="6"/>
        <v>669.2939043</v>
      </c>
      <c r="AN18" s="148">
        <f t="shared" si="6"/>
        <v>0</v>
      </c>
      <c r="AO18" s="148">
        <f t="shared" si="6"/>
        <v>0</v>
      </c>
      <c r="AP18" s="148">
        <f t="shared" si="6"/>
        <v>0</v>
      </c>
      <c r="AQ18" s="148">
        <f t="shared" si="6"/>
        <v>0</v>
      </c>
      <c r="AR18" s="148">
        <f t="shared" si="6"/>
        <v>0</v>
      </c>
      <c r="AS18" s="148">
        <f t="shared" si="6"/>
        <v>0</v>
      </c>
      <c r="AT18" s="148">
        <f t="shared" si="6"/>
        <v>0</v>
      </c>
      <c r="AU18" s="148">
        <f t="shared" si="6"/>
        <v>0</v>
      </c>
      <c r="AV18" s="148">
        <f t="shared" si="6"/>
        <v>0</v>
      </c>
      <c r="AW18" s="148">
        <f t="shared" si="6"/>
        <v>0</v>
      </c>
      <c r="AX18" s="148">
        <f t="shared" si="6"/>
        <v>0</v>
      </c>
      <c r="AY18" s="148">
        <f t="shared" si="6"/>
        <v>0</v>
      </c>
      <c r="AZ18" s="148">
        <f t="shared" si="6"/>
        <v>0</v>
      </c>
      <c r="BA18" s="148">
        <f t="shared" si="6"/>
        <v>0</v>
      </c>
    </row>
    <row r="19" ht="15.75" customHeight="1">
      <c r="A19" s="158" t="s">
        <v>48</v>
      </c>
      <c r="B19" s="159" t="s">
        <v>150</v>
      </c>
      <c r="C19" s="174"/>
      <c r="D19" s="174"/>
      <c r="E19" s="174"/>
      <c r="F19" s="174"/>
      <c r="G19" s="174"/>
      <c r="H19" s="174"/>
      <c r="I19" s="174"/>
      <c r="J19" s="174"/>
      <c r="K19" s="174"/>
      <c r="L19" s="174"/>
      <c r="M19" s="174"/>
      <c r="N19" s="174"/>
      <c r="O19" s="174"/>
      <c r="P19" s="174"/>
      <c r="Q19" s="174"/>
      <c r="R19" s="174"/>
      <c r="S19" s="174"/>
      <c r="T19" s="174"/>
      <c r="U19" s="174"/>
      <c r="V19" s="174"/>
      <c r="W19" s="175"/>
      <c r="X19" s="175">
        <f>IF(W18='Assumptions (Coal)'!$V$12,Model!X9-Model!X8*'Assumptions (Coal)'!V16*0.00876,0)</f>
        <v>0</v>
      </c>
      <c r="Y19" s="175">
        <f>IF(X18='Assumptions (Coal)'!$V$12,Model!Y9-Model!Y8*'Assumptions (Coal)'!W16*0.00876,0)</f>
        <v>0</v>
      </c>
      <c r="Z19" s="175">
        <f>IF(Y18='Assumptions (Coal)'!$V$12,Model!Z9-Model!Z8*'Assumptions (Coal)'!X16*0.00876,0)</f>
        <v>0</v>
      </c>
      <c r="AA19" s="175">
        <f>IF(Z18='Assumptions (Coal)'!$V$12,Model!AA9-Model!AA8*'Assumptions (Coal)'!Y16*0.00876,0)</f>
        <v>0</v>
      </c>
      <c r="AB19" s="175">
        <f>IF(AA18='Assumptions (Coal)'!$V$12,Model!AB9-Model!AB8*'Assumptions (Coal)'!Z16*0.00876,0)</f>
        <v>0</v>
      </c>
      <c r="AC19" s="175">
        <f>IF(AB18='Assumptions (Coal)'!$V$12,Model!AC9-Model!AC8*'Assumptions (Coal)'!AA16*0.00876,0)</f>
        <v>0</v>
      </c>
      <c r="AD19" s="175">
        <f>IF(AC18='Assumptions (Coal)'!$V$12,Model!AD9-Model!AD8*'Assumptions (Coal)'!AB16*0.00876,0)</f>
        <v>0</v>
      </c>
      <c r="AE19" s="175">
        <f>IF(AD18='Assumptions (Coal)'!$V$12,Model!AE9-Model!AE8*'Assumptions (Coal)'!AC16*0.00876,0)</f>
        <v>0</v>
      </c>
      <c r="AF19" s="175">
        <f>IF(AE18='Assumptions (Coal)'!$V$12,Model!AF9-Model!AF8*'Assumptions (Coal)'!AD16*0.00876,0)</f>
        <v>0</v>
      </c>
      <c r="AG19" s="175">
        <f>IF(AF18='Assumptions (Coal)'!$V$12,Model!AG9-Model!AG8*'Assumptions (Coal)'!AE16*0.00876,0)</f>
        <v>0</v>
      </c>
      <c r="AH19" s="175">
        <f>IF(AG18='Assumptions (Coal)'!$V$12,Model!AH9-Model!AH8*'Assumptions (Coal)'!AF16*0.00876,0)</f>
        <v>0</v>
      </c>
      <c r="AI19" s="175">
        <f>IF(AH18='Assumptions (Coal)'!$V$12,Model!AI9-Model!AI8*'Assumptions (Coal)'!AG16*0.00876,0)</f>
        <v>0</v>
      </c>
      <c r="AJ19" s="175">
        <f>IF(AI18='Assumptions (Coal)'!$V$12,Model!AJ9-Model!AJ8*'Assumptions (Coal)'!AH16*0.00876,0)</f>
        <v>0</v>
      </c>
      <c r="AK19" s="175">
        <f>IF(AJ18='Assumptions (Coal)'!$V$12,Model!AK9-Model!AK8*'Assumptions (Coal)'!AI16*0.00876,0)</f>
        <v>0</v>
      </c>
      <c r="AL19" s="175">
        <f>IF(AK18='Assumptions (Coal)'!$V$12,Model!AL9-Model!AL8*'Assumptions (Coal)'!AJ16*0.00876,0)</f>
        <v>0</v>
      </c>
      <c r="AM19" s="175">
        <f>IF(AL18='Assumptions (Coal)'!$V$12,Model!AM9-Model!AM8*'Assumptions (Coal)'!AK16*0.00876,0)</f>
        <v>0</v>
      </c>
      <c r="AN19" s="175">
        <f>IF(AM18='Assumptions (Coal)'!$V$12,Model!AN9-Model!AN8*'Assumptions (Coal)'!AL16*0.00876,0)</f>
        <v>0</v>
      </c>
      <c r="AO19" s="175">
        <f>IF(AN18='Assumptions (Coal)'!$V$12,Model!AO9-Model!AO8*'Assumptions (Coal)'!AM16*0.00876,0)</f>
        <v>0</v>
      </c>
      <c r="AP19" s="175">
        <f>IF(AO18='Assumptions (Coal)'!$V$12,Model!AP9-Model!AP8*'Assumptions (Coal)'!AN16*0.00876,0)</f>
        <v>0</v>
      </c>
      <c r="AQ19" s="175">
        <f>IF(AP18='Assumptions (Coal)'!$V$12,Model!AQ9-Model!AQ8*'Assumptions (Coal)'!AO16*0.00876,0)</f>
        <v>0</v>
      </c>
      <c r="AR19" s="175">
        <f>IF(AQ18='Assumptions (Coal)'!$V$12,Model!AR9-Model!AR8*'Assumptions (Coal)'!AP16*0.00876,0)</f>
        <v>0</v>
      </c>
      <c r="AS19" s="175">
        <f>IF(AR18='Assumptions (Coal)'!$V$12,Model!AS9-Model!AS8*'Assumptions (Coal)'!AQ16*0.00876,0)</f>
        <v>0</v>
      </c>
      <c r="AT19" s="175">
        <f>IF(AS18='Assumptions (Coal)'!$V$12,Model!AT9-Model!AT8*'Assumptions (Coal)'!AR16*0.00876,0)</f>
        <v>0</v>
      </c>
      <c r="AU19" s="175">
        <f>IF(AT18='Assumptions (Coal)'!$V$12,Model!AU9-Model!AU8*'Assumptions (Coal)'!AS16*0.00876,0)</f>
        <v>0</v>
      </c>
      <c r="AV19" s="175">
        <f>IF(AU18='Assumptions (Coal)'!$V$12,Model!AV9-Model!AV8*'Assumptions (Coal)'!AT16*0.00876,0)</f>
        <v>0</v>
      </c>
      <c r="AW19" s="175">
        <f>IF(AV18='Assumptions (Coal)'!$V$12,Model!AW9-Model!AW8*'Assumptions (Coal)'!AU16*0.00876,0)</f>
        <v>0</v>
      </c>
      <c r="AX19" s="175">
        <f>IF(AW18='Assumptions (Coal)'!$V$12,Model!AX9-Model!AX8*'Assumptions (Coal)'!AV16*0.00876,0)</f>
        <v>0</v>
      </c>
      <c r="AY19" s="175">
        <f>IF(AX18='Assumptions (Coal)'!$V$12,Model!AY9-Model!AY8*'Assumptions (Coal)'!AW16*0.00876,0)</f>
        <v>0</v>
      </c>
      <c r="AZ19" s="175">
        <f>IF(AY18='Assumptions (Coal)'!$V$12,Model!AZ9-Model!AZ8*'Assumptions (Coal)'!AX16*0.00876,0)</f>
        <v>0</v>
      </c>
      <c r="BA19" s="175">
        <f>IF(AZ18='Assumptions (Coal)'!$V$12,Model!BA9-Model!BA8*'Assumptions (Coal)'!AY16*0.00876,0)</f>
        <v>0</v>
      </c>
    </row>
    <row r="20">
      <c r="A20" s="149" t="s">
        <v>358</v>
      </c>
      <c r="B20" s="150" t="s">
        <v>351</v>
      </c>
      <c r="C20" s="176">
        <f t="shared" ref="C20:BA20" si="7">SUM(C21:C80)</f>
        <v>1.507428217</v>
      </c>
      <c r="D20" s="176">
        <f t="shared" si="7"/>
        <v>0.2953834924</v>
      </c>
      <c r="E20" s="176">
        <f t="shared" si="7"/>
        <v>0.631081644</v>
      </c>
      <c r="F20" s="176">
        <f t="shared" si="7"/>
        <v>0.6428016119</v>
      </c>
      <c r="G20" s="176">
        <f t="shared" si="7"/>
        <v>0.6601071187</v>
      </c>
      <c r="H20" s="176">
        <f t="shared" si="7"/>
        <v>0.6806688587</v>
      </c>
      <c r="I20" s="176">
        <f t="shared" si="7"/>
        <v>1.214382908</v>
      </c>
      <c r="J20" s="176">
        <f t="shared" si="7"/>
        <v>0.9046217122</v>
      </c>
      <c r="K20" s="176">
        <f t="shared" si="7"/>
        <v>0.5371482931</v>
      </c>
      <c r="L20" s="176">
        <f t="shared" si="7"/>
        <v>0.5412431709</v>
      </c>
      <c r="M20" s="176">
        <f t="shared" si="7"/>
        <v>0.5475500222</v>
      </c>
      <c r="N20" s="176">
        <f t="shared" si="7"/>
        <v>0.5589878746</v>
      </c>
      <c r="O20" s="176">
        <f t="shared" si="7"/>
        <v>0</v>
      </c>
      <c r="P20" s="176">
        <f t="shared" si="7"/>
        <v>0</v>
      </c>
      <c r="Q20" s="176">
        <f t="shared" si="7"/>
        <v>0</v>
      </c>
      <c r="R20" s="176">
        <f t="shared" si="7"/>
        <v>5.462014319</v>
      </c>
      <c r="S20" s="176">
        <f t="shared" si="7"/>
        <v>6.117903966</v>
      </c>
      <c r="T20" s="176">
        <f t="shared" si="7"/>
        <v>7.189891064</v>
      </c>
      <c r="U20" s="176">
        <f t="shared" si="7"/>
        <v>8.359959068</v>
      </c>
      <c r="V20" s="176">
        <f t="shared" si="7"/>
        <v>10.8037866</v>
      </c>
      <c r="W20" s="176">
        <f t="shared" si="7"/>
        <v>16.12535551</v>
      </c>
      <c r="X20" s="176">
        <f t="shared" si="7"/>
        <v>10.28655052</v>
      </c>
      <c r="Y20" s="176">
        <f t="shared" si="7"/>
        <v>9.767746423</v>
      </c>
      <c r="Z20" s="176">
        <f t="shared" si="7"/>
        <v>8.65611035</v>
      </c>
      <c r="AA20" s="176">
        <f t="shared" si="7"/>
        <v>8.485178887</v>
      </c>
      <c r="AB20" s="176">
        <f t="shared" si="7"/>
        <v>5.419265932</v>
      </c>
      <c r="AC20" s="176">
        <f t="shared" si="7"/>
        <v>3.129596477</v>
      </c>
      <c r="AD20" s="176">
        <f t="shared" si="7"/>
        <v>1.451208692</v>
      </c>
      <c r="AE20" s="176">
        <f t="shared" si="7"/>
        <v>1.426046643</v>
      </c>
      <c r="AF20" s="176">
        <f t="shared" si="7"/>
        <v>1.350140163</v>
      </c>
      <c r="AG20" s="176">
        <f t="shared" si="7"/>
        <v>0.8896133241</v>
      </c>
      <c r="AH20" s="176">
        <f t="shared" si="7"/>
        <v>0.9019109855</v>
      </c>
      <c r="AI20" s="176">
        <f t="shared" si="7"/>
        <v>0.9137974123</v>
      </c>
      <c r="AJ20" s="176">
        <f t="shared" si="7"/>
        <v>0.884320069</v>
      </c>
      <c r="AK20" s="176">
        <f t="shared" si="7"/>
        <v>0.7455040629</v>
      </c>
      <c r="AL20" s="176">
        <f t="shared" si="7"/>
        <v>0.7558651847</v>
      </c>
      <c r="AM20" s="176">
        <f t="shared" si="7"/>
        <v>0</v>
      </c>
      <c r="AN20" s="176">
        <f t="shared" si="7"/>
        <v>0</v>
      </c>
      <c r="AO20" s="176">
        <f t="shared" si="7"/>
        <v>0</v>
      </c>
      <c r="AP20" s="176">
        <f t="shared" si="7"/>
        <v>0</v>
      </c>
      <c r="AQ20" s="176">
        <f t="shared" si="7"/>
        <v>0</v>
      </c>
      <c r="AR20" s="176">
        <f t="shared" si="7"/>
        <v>0</v>
      </c>
      <c r="AS20" s="176">
        <f t="shared" si="7"/>
        <v>0</v>
      </c>
      <c r="AT20" s="176">
        <f t="shared" si="7"/>
        <v>0</v>
      </c>
      <c r="AU20" s="176">
        <f t="shared" si="7"/>
        <v>0</v>
      </c>
      <c r="AV20" s="176">
        <f t="shared" si="7"/>
        <v>0</v>
      </c>
      <c r="AW20" s="176">
        <f t="shared" si="7"/>
        <v>0</v>
      </c>
      <c r="AX20" s="176">
        <f t="shared" si="7"/>
        <v>0</v>
      </c>
      <c r="AY20" s="176">
        <f t="shared" si="7"/>
        <v>0</v>
      </c>
      <c r="AZ20" s="176">
        <f t="shared" si="7"/>
        <v>0</v>
      </c>
      <c r="BA20" s="176">
        <f t="shared" si="7"/>
        <v>0</v>
      </c>
      <c r="BB20" s="176"/>
    </row>
    <row r="21" hidden="1" outlineLevel="1">
      <c r="A21" s="158"/>
      <c r="B21" s="38"/>
      <c r="C21" s="177">
        <f>IF($C$18&gt;0,6*'Assumptions (Coal)'!$V$14*Model!$C$18*'Assumptions (Coal)'!B$2/10^9,0)</f>
        <v>0</v>
      </c>
      <c r="D21" s="160"/>
      <c r="E21" s="160"/>
      <c r="F21" s="160"/>
      <c r="G21" s="160"/>
      <c r="H21" s="160"/>
      <c r="I21" s="160"/>
      <c r="J21" s="160"/>
      <c r="K21" s="160"/>
      <c r="L21" s="160"/>
      <c r="M21" s="160"/>
      <c r="N21" s="160"/>
      <c r="O21" s="160"/>
      <c r="P21" s="160"/>
      <c r="Q21" s="160"/>
      <c r="R21" s="160"/>
      <c r="S21" s="160"/>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0"/>
      <c r="AW21" s="160"/>
      <c r="AX21" s="160"/>
      <c r="AY21" s="160"/>
      <c r="AZ21" s="160"/>
      <c r="BA21" s="160"/>
    </row>
    <row r="22" hidden="1" outlineLevel="1">
      <c r="A22" s="158"/>
      <c r="B22" s="38"/>
      <c r="C22" s="177">
        <f>IF($D$18&gt;0,6*'Assumptions (Coal)'!$V$14*Model!$D$18*'Assumptions (Coal)'!B$2/10^9,0)</f>
        <v>1.507428217</v>
      </c>
      <c r="D22" s="177"/>
      <c r="E22" s="177"/>
      <c r="F22" s="177"/>
      <c r="G22" s="177"/>
      <c r="H22" s="177"/>
      <c r="I22" s="177"/>
      <c r="J22" s="177"/>
      <c r="K22" s="177"/>
      <c r="L22" s="177"/>
      <c r="M22" s="160"/>
      <c r="N22" s="160"/>
      <c r="O22" s="160"/>
      <c r="P22" s="160"/>
      <c r="Q22" s="160"/>
      <c r="R22" s="160"/>
      <c r="S22" s="160"/>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c r="BA22" s="160"/>
    </row>
    <row r="23" hidden="1" outlineLevel="1">
      <c r="A23" s="158"/>
      <c r="B23" s="38"/>
      <c r="C23" s="177">
        <f>IF($E$18&gt;0,5*'Assumptions (Coal)'!$V$14*Model!$E$18*'Assumptions (Coal)'!B$2/10^9,0)</f>
        <v>0</v>
      </c>
      <c r="D23" s="177">
        <f>IF($E$18&gt;0,'Assumptions (Coal)'!$V$14*Model!$E$18*'Assumptions (Coal)'!C$2/10^9,0)</f>
        <v>0</v>
      </c>
      <c r="E23" s="177"/>
      <c r="F23" s="177"/>
      <c r="G23" s="177"/>
      <c r="H23" s="177"/>
      <c r="I23" s="177"/>
      <c r="J23" s="177"/>
      <c r="K23" s="177"/>
      <c r="L23" s="177"/>
      <c r="M23" s="160"/>
      <c r="N23" s="160"/>
      <c r="O23" s="160"/>
      <c r="P23" s="160"/>
      <c r="Q23" s="160"/>
      <c r="R23" s="160"/>
      <c r="S23" s="160"/>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c r="AU23" s="160"/>
      <c r="AV23" s="160"/>
      <c r="AW23" s="160"/>
      <c r="AX23" s="160"/>
      <c r="AY23" s="160"/>
      <c r="AZ23" s="160"/>
      <c r="BA23" s="160"/>
    </row>
    <row r="24" hidden="1" outlineLevel="1">
      <c r="A24" s="158"/>
      <c r="B24" s="38"/>
      <c r="C24" s="177">
        <f>IF($F$18&gt;0,4*'Assumptions (Coal)'!$V$14*Model!$F$18*'Assumptions (Coal)'!B$2/10^9,0)</f>
        <v>0</v>
      </c>
      <c r="D24" s="177">
        <f>IF($F$18&gt;0,'Assumptions (Coal)'!$V$14*Model!$F$18*'Assumptions (Coal)'!C$2/10^9,0)</f>
        <v>0</v>
      </c>
      <c r="E24" s="177">
        <f>IF($F$18&gt;0,'Assumptions (Coal)'!$V$14*Model!$F$18*'Assumptions (Coal)'!D$2/10^9,0)</f>
        <v>0</v>
      </c>
      <c r="F24" s="177"/>
      <c r="G24" s="177"/>
      <c r="H24" s="177"/>
      <c r="I24" s="177"/>
      <c r="J24" s="177"/>
      <c r="K24" s="177"/>
      <c r="L24" s="177"/>
      <c r="M24" s="160"/>
      <c r="N24" s="160"/>
      <c r="O24" s="160"/>
      <c r="P24" s="160"/>
      <c r="Q24" s="160"/>
      <c r="R24" s="160"/>
      <c r="S24" s="160"/>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0"/>
      <c r="AW24" s="160"/>
      <c r="AX24" s="160"/>
      <c r="AY24" s="160"/>
      <c r="AZ24" s="160"/>
      <c r="BA24" s="160"/>
    </row>
    <row r="25" hidden="1" outlineLevel="1">
      <c r="A25" s="158"/>
      <c r="B25" s="38"/>
      <c r="C25" s="177">
        <f>IF($G$18&gt;0,3*'Assumptions (Coal)'!$V$14*Model!$G$18*'Assumptions (Coal)'!B$2/10^9,0)</f>
        <v>0</v>
      </c>
      <c r="D25" s="177">
        <f>IF($G$18&gt;0,'Assumptions (Coal)'!$V$14*Model!$G$18*'Assumptions (Coal)'!C$2/10^9,0)</f>
        <v>0</v>
      </c>
      <c r="E25" s="177">
        <f>IF($G$18&gt;0,'Assumptions (Coal)'!$V$14*Model!$G$18*'Assumptions (Coal)'!D$2/10^9,0)</f>
        <v>0</v>
      </c>
      <c r="F25" s="177">
        <f>IF($G$18&gt;0,'Assumptions (Coal)'!$V$14*Model!$G$18*'Assumptions (Coal)'!E$2/10^9,0)</f>
        <v>0</v>
      </c>
      <c r="G25" s="177"/>
      <c r="H25" s="177"/>
      <c r="I25" s="177"/>
      <c r="J25" s="177"/>
      <c r="K25" s="177"/>
      <c r="L25" s="177"/>
      <c r="M25" s="160"/>
      <c r="N25" s="160"/>
      <c r="O25" s="160"/>
      <c r="P25" s="160"/>
      <c r="Q25" s="160"/>
      <c r="R25" s="160"/>
      <c r="S25" s="160"/>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0"/>
      <c r="AW25" s="160"/>
      <c r="AX25" s="160"/>
      <c r="AY25" s="160"/>
      <c r="AZ25" s="160"/>
      <c r="BA25" s="160"/>
    </row>
    <row r="26" hidden="1" outlineLevel="1">
      <c r="A26" s="158"/>
      <c r="B26" s="38"/>
      <c r="C26" s="177">
        <f>IF($H$18&gt;0,2*'Assumptions (Coal)'!$V$14*Model!$H$18*'Assumptions (Coal)'!B$2/10^9,0)</f>
        <v>0</v>
      </c>
      <c r="D26" s="177">
        <f>IF($H$18&gt;0,'Assumptions (Coal)'!$V$14*Model!$H$18*'Assumptions (Coal)'!C$2/10^9,0)</f>
        <v>0</v>
      </c>
      <c r="E26" s="177">
        <f>IF($H$18&gt;0,'Assumptions (Coal)'!$V$14*Model!$H$18*'Assumptions (Coal)'!D$2/10^9,0)</f>
        <v>0</v>
      </c>
      <c r="F26" s="177">
        <f>IF($H$18&gt;0,'Assumptions (Coal)'!$V$14*Model!$H$18*'Assumptions (Coal)'!E$2/10^9,0)</f>
        <v>0</v>
      </c>
      <c r="G26" s="177">
        <f>IF($H$18&gt;0,'Assumptions (Coal)'!$V$14*Model!$H$18*'Assumptions (Coal)'!F$2/10^9,0)</f>
        <v>0</v>
      </c>
      <c r="H26" s="177"/>
      <c r="I26" s="177"/>
      <c r="J26" s="177"/>
      <c r="K26" s="177"/>
      <c r="L26" s="177"/>
      <c r="M26" s="160"/>
      <c r="N26" s="160"/>
      <c r="O26" s="160"/>
      <c r="P26" s="160"/>
      <c r="Q26" s="160"/>
      <c r="R26" s="160"/>
      <c r="S26" s="160"/>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0"/>
      <c r="AW26" s="160"/>
      <c r="AX26" s="160"/>
      <c r="AY26" s="160"/>
      <c r="AZ26" s="160"/>
      <c r="BA26" s="160"/>
    </row>
    <row r="27" ht="15.75" hidden="1" customHeight="1" outlineLevel="1">
      <c r="A27" s="158"/>
      <c r="B27" s="38"/>
      <c r="C27" s="177">
        <f>IF($I$18&gt;0,'Assumptions (Coal)'!$V$14*Model!$I$18*'Assumptions (Coal)'!B$2/10^9,0)</f>
        <v>0</v>
      </c>
      <c r="D27" s="177">
        <f>IF($I$18&gt;0,'Assumptions (Coal)'!$V$14*Model!$I$18*'Assumptions (Coal)'!C$2/10^9,0)</f>
        <v>0</v>
      </c>
      <c r="E27" s="177">
        <f>IF($I$18&gt;0,'Assumptions (Coal)'!$V$14*Model!$I$18*'Assumptions (Coal)'!D$2/10^9,0)</f>
        <v>0</v>
      </c>
      <c r="F27" s="177">
        <f>IF($I$18&gt;0,'Assumptions (Coal)'!$V$14*Model!$I$18*'Assumptions (Coal)'!E$2/10^9,0)</f>
        <v>0</v>
      </c>
      <c r="G27" s="177">
        <f>IF($I$18&gt;0,'Assumptions (Coal)'!$V$14*Model!$I$18*'Assumptions (Coal)'!F$2/10^9,0)</f>
        <v>0</v>
      </c>
      <c r="H27" s="177">
        <f>IF($I$18&gt;0,'Assumptions (Coal)'!$V$14*Model!$I$18*'Assumptions (Coal)'!G$2/10^9,0)</f>
        <v>0</v>
      </c>
      <c r="I27" s="177"/>
      <c r="J27" s="177"/>
      <c r="K27" s="177"/>
      <c r="L27" s="177"/>
      <c r="M27" s="160"/>
      <c r="N27" s="160"/>
      <c r="O27" s="160"/>
      <c r="P27" s="160"/>
      <c r="Q27" s="160"/>
      <c r="R27" s="160"/>
      <c r="S27" s="160"/>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0"/>
      <c r="AW27" s="160"/>
      <c r="AX27" s="160"/>
      <c r="AY27" s="160"/>
      <c r="AZ27" s="160"/>
      <c r="BA27" s="160"/>
    </row>
    <row r="28" ht="15.75" hidden="1" customHeight="1" outlineLevel="1">
      <c r="A28" s="158"/>
      <c r="B28" s="38"/>
      <c r="C28" s="177"/>
      <c r="D28" s="177">
        <f>IF($J$18&gt;0,'Assumptions (Coal)'!$V$14*Model!$J$18*'Assumptions (Coal)'!C$2/10^9,0)</f>
        <v>0.2953834924</v>
      </c>
      <c r="E28" s="177">
        <f>IF($J$18&gt;0,'Assumptions (Coal)'!$V$14*Model!$J$18*'Assumptions (Coal)'!D$2/10^9,0)</f>
        <v>0.3000557133</v>
      </c>
      <c r="F28" s="177">
        <f>IF($J$18&gt;0,'Assumptions (Coal)'!$V$14*Model!$J$18*'Assumptions (Coal)'!E$2/10^9,0)</f>
        <v>0.3056281196</v>
      </c>
      <c r="G28" s="177">
        <f>IF($J$18&gt;0,'Assumptions (Coal)'!$V$14*Model!$J$18*'Assumptions (Coal)'!F$2/10^9,0)</f>
        <v>0.3138562407</v>
      </c>
      <c r="H28" s="177">
        <f>IF($J$18&gt;0,'Assumptions (Coal)'!$V$14*Model!$J$18*'Assumptions (Coal)'!G$2/10^9,0)</f>
        <v>0.3236325788</v>
      </c>
      <c r="I28" s="177">
        <f>IF($J$18&gt;0,'Assumptions (Coal)'!$V$14*Model!$J$18*'Assumptions (Coal)'!H$2/10^9,0)</f>
        <v>0.3334263873</v>
      </c>
      <c r="J28" s="177"/>
      <c r="K28" s="177"/>
      <c r="L28" s="177"/>
      <c r="M28" s="160"/>
      <c r="N28" s="160"/>
      <c r="O28" s="160"/>
      <c r="P28" s="160"/>
      <c r="Q28" s="160"/>
      <c r="R28" s="160"/>
      <c r="S28" s="160"/>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0"/>
      <c r="AW28" s="160"/>
      <c r="AX28" s="160"/>
      <c r="AY28" s="160"/>
      <c r="AZ28" s="160"/>
      <c r="BA28" s="160"/>
    </row>
    <row r="29" ht="15.75" hidden="1" customHeight="1" outlineLevel="1">
      <c r="A29" s="158"/>
      <c r="B29" s="38"/>
      <c r="C29" s="177"/>
      <c r="D29" s="177"/>
      <c r="E29" s="177">
        <f>IF($K$18&gt;0,'Assumptions (Coal)'!$V$14*Model!$K$18*'Assumptions (Coal)'!D$2/10^9,0)</f>
        <v>0.3310259307</v>
      </c>
      <c r="F29" s="177">
        <f>IF($K$18&gt;0,'Assumptions (Coal)'!$V$14*Model!$K$18*'Assumptions (Coal)'!E$2/10^9,0)</f>
        <v>0.3371734923</v>
      </c>
      <c r="G29" s="177">
        <f>IF($K$18&gt;0,'Assumptions (Coal)'!$V$14*Model!$K$18*'Assumptions (Coal)'!F$2/10^9,0)</f>
        <v>0.346250878</v>
      </c>
      <c r="H29" s="177">
        <f>IF($K$18&gt;0,'Assumptions (Coal)'!$V$14*Model!$K$18*'Assumptions (Coal)'!G$2/10^9,0)</f>
        <v>0.3570362799</v>
      </c>
      <c r="I29" s="177">
        <f>IF($K$18&gt;0,'Assumptions (Coal)'!$V$14*Model!$K$18*'Assumptions (Coal)'!H$2/10^9,0)</f>
        <v>0.3678409552</v>
      </c>
      <c r="J29" s="177">
        <f>IF($K$18&gt;0,'Assumptions (Coal)'!$V$14*Model!$K$18*'Assumptions (Coal)'!I$2/10^9,0)</f>
        <v>0.3777222903</v>
      </c>
      <c r="K29" s="177"/>
      <c r="L29" s="177"/>
      <c r="M29" s="160"/>
      <c r="N29" s="160"/>
      <c r="O29" s="160"/>
      <c r="P29" s="160"/>
      <c r="Q29" s="160"/>
      <c r="R29" s="160"/>
      <c r="S29" s="160"/>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0"/>
      <c r="AW29" s="160"/>
      <c r="AX29" s="160"/>
      <c r="AY29" s="160"/>
      <c r="AZ29" s="160"/>
      <c r="BA29" s="160"/>
    </row>
    <row r="30" ht="15.75" hidden="1" customHeight="1" outlineLevel="1">
      <c r="A30" s="158"/>
      <c r="B30" s="38"/>
      <c r="C30" s="177"/>
      <c r="D30" s="177"/>
      <c r="E30" s="177"/>
      <c r="F30" s="177">
        <f>IF($L$18&gt;0,'Assumptions (Coal)'!$V$14*Model!$L$18*'Assumptions (Coal)'!E$2/10^9,0)</f>
        <v>0</v>
      </c>
      <c r="G30" s="177">
        <f>IF($L$18&gt;0,'Assumptions (Coal)'!$V$14*Model!$L$18*'Assumptions (Coal)'!F$2/10^9,0)</f>
        <v>0</v>
      </c>
      <c r="H30" s="177">
        <f>IF($L$18&gt;0,'Assumptions (Coal)'!$V$14*Model!$L$18*'Assumptions (Coal)'!G$2/10^9,0)</f>
        <v>0</v>
      </c>
      <c r="I30" s="177">
        <f>IF($L$18&gt;0,'Assumptions (Coal)'!$V$14*Model!$L$18*'Assumptions (Coal)'!H$2/10^9,0)</f>
        <v>0</v>
      </c>
      <c r="J30" s="177">
        <f>IF($L$18&gt;0,'Assumptions (Coal)'!$V$14*Model!$L$18*'Assumptions (Coal)'!I$2/10^9,0)</f>
        <v>0</v>
      </c>
      <c r="K30" s="177">
        <f>IF($L$18&gt;0,'Assumptions (Coal)'!$V$14*Model!$L$18*'Assumptions (Coal)'!J$2/10^9,0)</f>
        <v>0</v>
      </c>
      <c r="L30" s="177"/>
      <c r="M30" s="160"/>
      <c r="N30" s="160"/>
      <c r="O30" s="160"/>
      <c r="P30" s="160"/>
      <c r="Q30" s="160"/>
      <c r="R30" s="160"/>
      <c r="S30" s="160"/>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0"/>
      <c r="AW30" s="160"/>
      <c r="AX30" s="160"/>
      <c r="AY30" s="160"/>
      <c r="AZ30" s="160"/>
      <c r="BA30" s="160"/>
    </row>
    <row r="31" ht="15.75" hidden="1" customHeight="1" outlineLevel="1">
      <c r="A31" s="158"/>
      <c r="B31" s="38"/>
      <c r="C31" s="177"/>
      <c r="D31" s="177"/>
      <c r="E31" s="177"/>
      <c r="F31" s="177"/>
      <c r="G31" s="177">
        <f>IF($M$18&gt;0,'Assumptions (Coal)'!$V$14*Model!$M$18*'Assumptions (Coal)'!F$2/10^9,0)</f>
        <v>0</v>
      </c>
      <c r="H31" s="177">
        <f>IF($M$18&gt;0,'Assumptions (Coal)'!$V$14*Model!$M$18*'Assumptions (Coal)'!G$2/10^9,0)</f>
        <v>0</v>
      </c>
      <c r="I31" s="177">
        <f>IF($M$18&gt;0,'Assumptions (Coal)'!$V$14*Model!$M$18*'Assumptions (Coal)'!H$2/10^9,0)</f>
        <v>0</v>
      </c>
      <c r="J31" s="177">
        <f>IF($M$18&gt;0,'Assumptions (Coal)'!$V$14*Model!$M$18*'Assumptions (Coal)'!I$2/10^9,0)</f>
        <v>0</v>
      </c>
      <c r="K31" s="177">
        <f>IF($M$18&gt;0,'Assumptions (Coal)'!$V$14*Model!$M$18*'Assumptions (Coal)'!J$2/10^9,0)</f>
        <v>0</v>
      </c>
      <c r="L31" s="177">
        <f>IF($M$18&gt;0,'Assumptions (Coal)'!$V$14*Model!$M$18*'Assumptions (Coal)'!K$2/10^9,0)</f>
        <v>0</v>
      </c>
      <c r="M31" s="160"/>
      <c r="N31" s="160"/>
      <c r="O31" s="160"/>
      <c r="P31" s="160"/>
      <c r="Q31" s="160"/>
      <c r="R31" s="160"/>
      <c r="S31" s="160"/>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row>
    <row r="32" ht="15.75" hidden="1" customHeight="1" outlineLevel="1">
      <c r="A32" s="158"/>
      <c r="B32" s="38"/>
      <c r="C32" s="160"/>
      <c r="D32" s="160"/>
      <c r="E32" s="160"/>
      <c r="F32" s="160"/>
      <c r="G32" s="160"/>
      <c r="H32" s="160">
        <f>IF($N$18&gt;0,'Assumptions (Coal)'!$V$14*Model!$N$18*'Assumptions (Coal)'!G$2/10^9,0)</f>
        <v>0</v>
      </c>
      <c r="I32" s="160">
        <f>IF($N$18&gt;0,'Assumptions (Coal)'!$V$14*Model!$N$18*'Assumptions (Coal)'!H$2/10^9,0)</f>
        <v>0</v>
      </c>
      <c r="J32" s="160">
        <f>IF($N$18&gt;0,'Assumptions (Coal)'!$V$14*Model!$N$18*'Assumptions (Coal)'!I$2/10^9,0)</f>
        <v>0</v>
      </c>
      <c r="K32" s="160">
        <f>IF($N$18&gt;0,'Assumptions (Coal)'!$V$14*Model!$N$18*'Assumptions (Coal)'!J$2/10^9,0)</f>
        <v>0</v>
      </c>
      <c r="L32" s="160">
        <f>IF($N$18&gt;0,'Assumptions (Coal)'!$V$14*Model!$N$18*'Assumptions (Coal)'!K$2/10^9,0)</f>
        <v>0</v>
      </c>
      <c r="M32" s="160">
        <f>IF($N$18&gt;0,'Assumptions (Coal)'!$V$14*Model!$N$18*'Assumptions (Coal)'!L$2/10^9,0)</f>
        <v>0</v>
      </c>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row>
    <row r="33" ht="15.75" hidden="1" customHeight="1" outlineLevel="1">
      <c r="A33" s="158"/>
      <c r="B33" s="38"/>
      <c r="C33" s="160"/>
      <c r="D33" s="160"/>
      <c r="E33" s="160"/>
      <c r="F33" s="160"/>
      <c r="G33" s="160"/>
      <c r="H33" s="160"/>
      <c r="I33" s="160">
        <f>IF($O$18&gt;0,'Assumptions (Coal)'!$V$14*Model!$O$18*'Assumptions (Coal)'!H$2/10^9,0)</f>
        <v>0.5131155656</v>
      </c>
      <c r="J33" s="160">
        <f>IF($O$18&gt;0,'Assumptions (Coal)'!$V$14*Model!$O$18*'Assumptions (Coal)'!I$2/10^9,0)</f>
        <v>0.5268994219</v>
      </c>
      <c r="K33" s="160">
        <f>IF($O$18&gt;0,'Assumptions (Coal)'!$V$14*Model!$O$18*'Assumptions (Coal)'!J$2/10^9,0)</f>
        <v>0.5371482931</v>
      </c>
      <c r="L33" s="160">
        <f>IF($O$18&gt;0,'Assumptions (Coal)'!$V$14*Model!$O$18*'Assumptions (Coal)'!K$2/10^9,0)</f>
        <v>0.5412431709</v>
      </c>
      <c r="M33" s="160">
        <f>IF($O$18&gt;0,'Assumptions (Coal)'!$V$14*Model!$O$18*'Assumptions (Coal)'!L$2/10^9,0)</f>
        <v>0.5475500222</v>
      </c>
      <c r="N33" s="160">
        <f>IF($O$18&gt;0,'Assumptions (Coal)'!$V$14*Model!$O$18*'Assumptions (Coal)'!M$2/10^9,0)</f>
        <v>0.5589878746</v>
      </c>
      <c r="O33" s="160"/>
      <c r="P33" s="160"/>
      <c r="Q33" s="160"/>
      <c r="R33" s="160"/>
      <c r="S33" s="160"/>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c r="AW33" s="160"/>
      <c r="AX33" s="160"/>
      <c r="AY33" s="160"/>
      <c r="AZ33" s="160"/>
      <c r="BA33" s="160"/>
    </row>
    <row r="34" ht="15.75" hidden="1" customHeight="1" outlineLevel="1">
      <c r="A34" s="158"/>
      <c r="B34" s="38"/>
      <c r="C34" s="160"/>
      <c r="D34" s="160"/>
      <c r="E34" s="160"/>
      <c r="F34" s="160"/>
      <c r="G34" s="160"/>
      <c r="H34" s="160"/>
      <c r="I34" s="160"/>
      <c r="J34" s="177">
        <f>IF($P$18&gt;0,'Assumptions (Coal)'!$V$14*Model!$P$18*'Assumptions (Coal)'!I$2/10^9,0)</f>
        <v>0</v>
      </c>
      <c r="K34" s="177">
        <f>IF($P$18&gt;0,'Assumptions (Coal)'!$V$14*Model!$P$18*'Assumptions (Coal)'!J$2/10^9,0)</f>
        <v>0</v>
      </c>
      <c r="L34" s="177">
        <f>IF($P$18&gt;0,'Assumptions (Coal)'!$V$14*Model!$P$18*'Assumptions (Coal)'!K$2/10^9,0)</f>
        <v>0</v>
      </c>
      <c r="M34" s="177">
        <f>IF($P$18&gt;0,'Assumptions (Coal)'!$V$14*Model!$P$18*'Assumptions (Coal)'!L$2/10^9,0)</f>
        <v>0</v>
      </c>
      <c r="N34" s="177">
        <f>IF($P$18&gt;0,'Assumptions (Coal)'!$V$14*Model!$P$18*'Assumptions (Coal)'!M$2/10^9,0)</f>
        <v>0</v>
      </c>
      <c r="O34" s="177">
        <f>IF($P$18&gt;0,'Assumptions (Coal)'!$V$14*Model!$P$18*'Assumptions (Coal)'!N$2/10^9,0)</f>
        <v>0</v>
      </c>
      <c r="P34" s="177"/>
      <c r="Q34" s="160"/>
      <c r="R34" s="177"/>
      <c r="S34" s="177"/>
      <c r="T34" s="177"/>
      <c r="U34" s="177"/>
      <c r="V34" s="177"/>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row>
    <row r="35" ht="15.75" hidden="1" customHeight="1" outlineLevel="1">
      <c r="A35" s="158"/>
      <c r="B35" s="38"/>
      <c r="C35" s="160"/>
      <c r="D35" s="160"/>
      <c r="E35" s="160"/>
      <c r="F35" s="160"/>
      <c r="G35" s="160"/>
      <c r="H35" s="160"/>
      <c r="I35" s="160"/>
      <c r="J35" s="160"/>
      <c r="K35" s="177">
        <f>IF($Q$18&gt;0,'Assumptions (Coal)'!$V$14*Model!$Q$18*'Assumptions (Coal)'!J$2/10^9,0)</f>
        <v>0</v>
      </c>
      <c r="L35" s="177">
        <f>IF($Q$18&gt;0,'Assumptions (Coal)'!$V$14*Model!$Q$18*'Assumptions (Coal)'!K$2/10^9,0)</f>
        <v>0</v>
      </c>
      <c r="M35" s="177">
        <f>IF($Q$18&gt;0,'Assumptions (Coal)'!$V$14*Model!$Q$18*'Assumptions (Coal)'!L$2/10^9,0)</f>
        <v>0</v>
      </c>
      <c r="N35" s="177">
        <f>IF($Q$18&gt;0,'Assumptions (Coal)'!$V$14*Model!$Q$18*'Assumptions (Coal)'!M$2/10^9,0)</f>
        <v>0</v>
      </c>
      <c r="O35" s="177">
        <f>IF($Q$18&gt;0,'Assumptions (Coal)'!$V$14*Model!$Q$18*'Assumptions (Coal)'!N$2/10^9,0)</f>
        <v>0</v>
      </c>
      <c r="P35" s="177">
        <f>IF($Q$18&gt;0,'Assumptions (Coal)'!$V$14*Model!$Q$18*'Assumptions (Coal)'!O$2/10^9,0)</f>
        <v>0</v>
      </c>
      <c r="Q35" s="160"/>
      <c r="R35" s="177"/>
      <c r="S35" s="177"/>
      <c r="T35" s="177"/>
      <c r="U35" s="177"/>
      <c r="V35" s="177"/>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c r="AW35" s="160"/>
      <c r="AX35" s="160"/>
      <c r="AY35" s="160"/>
      <c r="AZ35" s="160"/>
      <c r="BA35" s="160"/>
    </row>
    <row r="36" ht="15.75" hidden="1" customHeight="1" outlineLevel="1">
      <c r="A36" s="158"/>
      <c r="B36" s="38"/>
      <c r="C36" s="160"/>
      <c r="D36" s="160"/>
      <c r="E36" s="160"/>
      <c r="F36" s="160"/>
      <c r="G36" s="160"/>
      <c r="H36" s="160"/>
      <c r="I36" s="160"/>
      <c r="J36" s="160"/>
      <c r="K36" s="160"/>
      <c r="L36" s="178">
        <f>IF($R$18&gt;0,'Assumptions (Coal)'!$V$14*Model!$R$18*'Assumptions (Coal)'!K$2/10^9,0)</f>
        <v>0</v>
      </c>
      <c r="M36" s="178">
        <f>IF($R$18&gt;0,'Assumptions (Coal)'!$V$14*Model!$R$18*'Assumptions (Coal)'!L$2/10^9,0)</f>
        <v>0</v>
      </c>
      <c r="N36" s="178">
        <f>IF($R$18&gt;0,'Assumptions (Coal)'!$V$14*Model!$R$18*'Assumptions (Coal)'!M$2/10^9,0)</f>
        <v>0</v>
      </c>
      <c r="O36" s="178">
        <f>IF($R$18&gt;0,'Assumptions (Coal)'!$V$14*Model!$R$18*'Assumptions (Coal)'!N$2/10^9,0)</f>
        <v>0</v>
      </c>
      <c r="P36" s="178">
        <f>IF($R$18&gt;0,'Assumptions (Coal)'!$V$14*Model!$R$18*'Assumptions (Coal)'!O$2/10^9,0)</f>
        <v>0</v>
      </c>
      <c r="Q36" s="178">
        <f>IF($R$18&gt;0,'Assumptions (Coal)'!$V$14*Model!$R$18*'Assumptions (Coal)'!P$2/10^9,0)</f>
        <v>0</v>
      </c>
      <c r="R36" s="177"/>
      <c r="S36" s="177"/>
      <c r="T36" s="177"/>
      <c r="U36" s="177"/>
      <c r="V36" s="177"/>
      <c r="W36" s="160"/>
      <c r="X36" s="160"/>
      <c r="Y36" s="160"/>
      <c r="Z36" s="160"/>
      <c r="AA36" s="160"/>
      <c r="AB36" s="160"/>
      <c r="AC36" s="160"/>
      <c r="AD36" s="160"/>
      <c r="AE36" s="160"/>
      <c r="AF36" s="160"/>
      <c r="AG36" s="160"/>
      <c r="AH36" s="160"/>
      <c r="AI36" s="160"/>
      <c r="AJ36" s="160"/>
      <c r="AK36" s="160"/>
      <c r="AL36" s="160"/>
      <c r="AM36" s="160"/>
      <c r="AN36" s="160"/>
      <c r="AO36" s="160"/>
      <c r="AP36" s="160"/>
      <c r="AQ36" s="160"/>
      <c r="AR36" s="160"/>
      <c r="AS36" s="160"/>
      <c r="AT36" s="160"/>
      <c r="AU36" s="160"/>
      <c r="AV36" s="160"/>
      <c r="AW36" s="160"/>
      <c r="AX36" s="160"/>
      <c r="AY36" s="160"/>
      <c r="AZ36" s="160"/>
      <c r="BA36" s="160"/>
    </row>
    <row r="37" ht="15.75" hidden="1" customHeight="1" outlineLevel="1">
      <c r="A37" s="158"/>
      <c r="B37" s="38"/>
      <c r="C37" s="160"/>
      <c r="D37" s="160"/>
      <c r="E37" s="160"/>
      <c r="F37" s="160"/>
      <c r="G37" s="160"/>
      <c r="H37" s="160"/>
      <c r="I37" s="160"/>
      <c r="J37" s="160"/>
      <c r="K37" s="160"/>
      <c r="L37" s="160"/>
      <c r="M37" s="160">
        <f>IF($S$18&gt;0,'Assumptions (Coal)'!$V$14*Model!$S$18*'Assumptions (Coal)'!L$2/10^9,0)</f>
        <v>0</v>
      </c>
      <c r="N37" s="160">
        <f>IF($S$18&gt;0,'Assumptions (Coal)'!$V$14*Model!$S$18*'Assumptions (Coal)'!M$2/10^9,0)</f>
        <v>0</v>
      </c>
      <c r="O37" s="160">
        <f>IF($S$18&gt;0,'Assumptions (Coal)'!$V$14*Model!$S$18*'Assumptions (Coal)'!N$2/10^9,0)</f>
        <v>0</v>
      </c>
      <c r="P37" s="160">
        <f>IF($S$18&gt;0,'Assumptions (Coal)'!$V$14*Model!$S$18*'Assumptions (Coal)'!O$2/10^9,0)</f>
        <v>0</v>
      </c>
      <c r="Q37" s="160">
        <f>IF($S$18&gt;0,'Assumptions (Coal)'!$V$14*Model!$S$18*'Assumptions (Coal)'!P$2/10^9,0)</f>
        <v>0</v>
      </c>
      <c r="R37" s="160">
        <f>IF($S$18&gt;0,'Assumptions (Coal)'!$V$14*Model!$S$18*'Assumptions (Coal)'!Q$2/10^9,0)</f>
        <v>0</v>
      </c>
      <c r="S37" s="160"/>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c r="AQ37" s="160"/>
      <c r="AR37" s="160"/>
      <c r="AS37" s="160"/>
      <c r="AT37" s="160"/>
      <c r="AU37" s="160"/>
      <c r="AV37" s="160"/>
      <c r="AW37" s="160"/>
      <c r="AX37" s="160"/>
      <c r="AY37" s="160"/>
      <c r="AZ37" s="160"/>
      <c r="BA37" s="160"/>
    </row>
    <row r="38" ht="15.75" hidden="1" customHeight="1" outlineLevel="1">
      <c r="A38" s="158"/>
      <c r="B38" s="38"/>
      <c r="C38" s="160"/>
      <c r="D38" s="160"/>
      <c r="E38" s="160"/>
      <c r="F38" s="160"/>
      <c r="G38" s="160"/>
      <c r="H38" s="160"/>
      <c r="I38" s="160"/>
      <c r="J38" s="160"/>
      <c r="K38" s="160"/>
      <c r="L38" s="160"/>
      <c r="M38" s="160"/>
      <c r="N38" s="160">
        <f>IF($T$18&gt;0,'Assumptions (Coal)'!$V$14*Model!$T$18*'Assumptions (Coal)'!M$2/10^9,0)</f>
        <v>0</v>
      </c>
      <c r="O38" s="160">
        <f>IF($T$18&gt;0,'Assumptions (Coal)'!$V$14*Model!$T$18*'Assumptions (Coal)'!N$2/10^9,0)</f>
        <v>0</v>
      </c>
      <c r="P38" s="160">
        <f>IF($T$18&gt;0,'Assumptions (Coal)'!$V$14*Model!$T$18*'Assumptions (Coal)'!O$2/10^9,0)</f>
        <v>0</v>
      </c>
      <c r="Q38" s="160">
        <f>IF($T$18&gt;0,'Assumptions (Coal)'!$V$14*Model!$T$18*'Assumptions (Coal)'!P$2/10^9,0)</f>
        <v>0</v>
      </c>
      <c r="R38" s="160">
        <f>IF($T$18&gt;0,'Assumptions (Coal)'!$V$14*Model!$T$18*'Assumptions (Coal)'!Q$2/10^9,0)</f>
        <v>0</v>
      </c>
      <c r="S38" s="160">
        <f>IF($T$18&gt;0,'Assumptions (Coal)'!$V$14*Model!$T$18*'Assumptions (Coal)'!R$2/10^9,0)</f>
        <v>0</v>
      </c>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c r="AQ38" s="160"/>
      <c r="AR38" s="160"/>
      <c r="AS38" s="160"/>
      <c r="AT38" s="160"/>
      <c r="AU38" s="160"/>
      <c r="AV38" s="160"/>
      <c r="AW38" s="160"/>
      <c r="AX38" s="160"/>
      <c r="AY38" s="160"/>
      <c r="AZ38" s="160"/>
      <c r="BA38" s="160"/>
    </row>
    <row r="39" ht="15.75" hidden="1" customHeight="1" outlineLevel="1">
      <c r="A39" s="158"/>
      <c r="B39" s="38"/>
      <c r="C39" s="160"/>
      <c r="D39" s="160"/>
      <c r="E39" s="160"/>
      <c r="F39" s="160"/>
      <c r="G39" s="160"/>
      <c r="H39" s="160"/>
      <c r="I39" s="160"/>
      <c r="J39" s="160"/>
      <c r="K39" s="160"/>
      <c r="L39" s="160"/>
      <c r="M39" s="160"/>
      <c r="N39" s="160"/>
      <c r="O39" s="177">
        <f>IF($U$18&gt;0,'Assumptions (Coal)'!$V$14*Model!$U$18*'Assumptions (Coal)'!N$2/10^9,0)</f>
        <v>0</v>
      </c>
      <c r="P39" s="177">
        <f>IF($U$18&gt;0,'Assumptions (Coal)'!$V$14*Model!$U$18*'Assumptions (Coal)'!O$2/10^9,0)</f>
        <v>0</v>
      </c>
      <c r="Q39" s="177">
        <f>IF($U$18&gt;0,'Assumptions (Coal)'!$V$14*Model!$U$18*'Assumptions (Coal)'!P$2/10^9,0)</f>
        <v>0</v>
      </c>
      <c r="R39" s="177">
        <f>IF($U$18&gt;0,'Assumptions (Coal)'!$V$14*Model!$U$18*'Assumptions (Coal)'!Q$2/10^9,0)</f>
        <v>0</v>
      </c>
      <c r="S39" s="177">
        <f>IF($U$18&gt;0,'Assumptions (Coal)'!$V$14*Model!$U$18*'Assumptions (Coal)'!R$2/10^9,0)</f>
        <v>0</v>
      </c>
      <c r="T39" s="177">
        <f>IF($U$18&gt;0,'Assumptions (Coal)'!$V$14*Model!$U$18*'Assumptions (Coal)'!S$2/10^9,0)</f>
        <v>0</v>
      </c>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0"/>
      <c r="AW39" s="160"/>
      <c r="AX39" s="160"/>
      <c r="AY39" s="160"/>
      <c r="AZ39" s="160"/>
      <c r="BA39" s="160"/>
    </row>
    <row r="40" ht="15.75" hidden="1" customHeight="1" outlineLevel="1">
      <c r="A40" s="158"/>
      <c r="B40" s="38"/>
      <c r="C40" s="160"/>
      <c r="D40" s="160"/>
      <c r="E40" s="160"/>
      <c r="F40" s="160"/>
      <c r="G40" s="160"/>
      <c r="H40" s="160"/>
      <c r="I40" s="160"/>
      <c r="J40" s="160"/>
      <c r="K40" s="160"/>
      <c r="L40" s="160"/>
      <c r="M40" s="160"/>
      <c r="N40" s="160"/>
      <c r="O40" s="160"/>
      <c r="P40" s="160">
        <f>IF($V$18&gt;0,'Assumptions (Coal)'!$V$14*Model!$V$18*'Assumptions (Coal)'!O$2/10^9,0)</f>
        <v>0</v>
      </c>
      <c r="Q40" s="160">
        <f>IF($V$18&gt;0,'Assumptions (Coal)'!$V$14*Model!$V$18*'Assumptions (Coal)'!P$2/10^9,0)</f>
        <v>0</v>
      </c>
      <c r="R40" s="160">
        <f>IF($V$18&gt;0,'Assumptions (Coal)'!$V$14*Model!$V$18*'Assumptions (Coal)'!Q$2/10^9,0)</f>
        <v>0</v>
      </c>
      <c r="S40" s="160">
        <f>IF($V$18&gt;0,'Assumptions (Coal)'!$V$14*Model!$V$18*'Assumptions (Coal)'!R$2/10^9,0)</f>
        <v>0</v>
      </c>
      <c r="T40" s="160">
        <f>IF($V$18&gt;0,'Assumptions (Coal)'!$V$14*Model!$V$18*'Assumptions (Coal)'!S$2/10^9,0)</f>
        <v>0</v>
      </c>
      <c r="U40" s="160">
        <f>IF($V$18&gt;0,'Assumptions (Coal)'!$V$14*Model!$V$18*'Assumptions (Coal)'!T$2/10^9,0)</f>
        <v>0</v>
      </c>
      <c r="V40" s="160"/>
      <c r="W40" s="160"/>
      <c r="X40" s="160"/>
      <c r="Y40" s="160"/>
      <c r="Z40" s="160"/>
      <c r="AA40" s="160"/>
      <c r="AB40" s="160"/>
      <c r="AC40" s="160"/>
      <c r="AD40" s="160"/>
      <c r="AE40" s="160"/>
      <c r="AF40" s="160"/>
      <c r="AG40" s="160"/>
      <c r="AH40" s="160"/>
      <c r="AI40" s="160"/>
      <c r="AJ40" s="160"/>
      <c r="AK40" s="160"/>
      <c r="AL40" s="160"/>
      <c r="AM40" s="160"/>
      <c r="AN40" s="160"/>
      <c r="AO40" s="160"/>
      <c r="AP40" s="160"/>
      <c r="AQ40" s="160"/>
      <c r="AR40" s="160"/>
      <c r="AS40" s="160"/>
      <c r="AT40" s="160"/>
      <c r="AU40" s="160"/>
      <c r="AV40" s="160"/>
      <c r="AW40" s="160"/>
      <c r="AX40" s="160"/>
      <c r="AY40" s="160"/>
      <c r="AZ40" s="160"/>
      <c r="BA40" s="160"/>
    </row>
    <row r="41" ht="15.75" hidden="1" customHeight="1" outlineLevel="1">
      <c r="A41" s="158"/>
      <c r="B41" s="38"/>
      <c r="C41" s="174"/>
      <c r="D41" s="174"/>
      <c r="E41" s="174"/>
      <c r="F41" s="174"/>
      <c r="G41" s="174"/>
      <c r="H41" s="174"/>
      <c r="I41" s="174"/>
      <c r="J41" s="174"/>
      <c r="K41" s="174"/>
      <c r="L41" s="174"/>
      <c r="M41" s="174"/>
      <c r="N41" s="174"/>
      <c r="O41" s="174"/>
      <c r="P41" s="174"/>
      <c r="Q41" s="160">
        <f>IF($W$18&gt;0,'Assumptions (Coal)'!$V$14*Model!$W$18*'Assumptions (Coal)'!P$2/10^9,0)</f>
        <v>0</v>
      </c>
      <c r="R41" s="160">
        <f>IF($W$18&gt;0,'Assumptions (Coal)'!$V$14*Model!$W$18*'Assumptions (Coal)'!Q$2/10^9,0)</f>
        <v>0</v>
      </c>
      <c r="S41" s="160">
        <f>IF($W$18&gt;0,'Assumptions (Coal)'!$V$14*Model!$W$18*'Assumptions (Coal)'!R$2/10^9,0)</f>
        <v>0</v>
      </c>
      <c r="T41" s="160">
        <f>IF($W$18&gt;0,'Assumptions (Coal)'!$V$14*Model!$W$18*'Assumptions (Coal)'!S$2/10^9,0)</f>
        <v>0</v>
      </c>
      <c r="U41" s="160">
        <f>IF($W$18&gt;0,'Assumptions (Coal)'!$V$14*Model!$W$18*'Assumptions (Coal)'!T$2/10^9,0)</f>
        <v>0</v>
      </c>
      <c r="V41" s="160">
        <f>IF($W$18&gt;0,'Assumptions (Coal)'!$V$14*Model!$W$18*'Assumptions (Coal)'!U$2/10^9,0)</f>
        <v>0</v>
      </c>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0"/>
      <c r="AW41" s="160"/>
      <c r="AX41" s="160"/>
      <c r="AY41" s="160"/>
      <c r="AZ41" s="160"/>
      <c r="BA41" s="160"/>
    </row>
    <row r="42" ht="15.75" hidden="1" customHeight="1" outlineLevel="1">
      <c r="A42" s="158"/>
      <c r="B42" s="38"/>
      <c r="C42" s="174"/>
      <c r="D42" s="174"/>
      <c r="E42" s="174"/>
      <c r="F42" s="174"/>
      <c r="G42" s="174"/>
      <c r="H42" s="174"/>
      <c r="I42" s="174"/>
      <c r="J42" s="174"/>
      <c r="K42" s="174"/>
      <c r="L42" s="174"/>
      <c r="M42" s="174"/>
      <c r="N42" s="174"/>
      <c r="O42" s="174"/>
      <c r="P42" s="174"/>
      <c r="Q42" s="174"/>
      <c r="R42" s="160">
        <f>IF($X$18&gt;0,'Assumptions (Coal)'!$V$14*Model!$X$18*'Assumptions (Coal)'!Q$2/10^9,0)</f>
        <v>5.462014319</v>
      </c>
      <c r="S42" s="160">
        <f>IF($X$18&gt;0,'Assumptions (Coal)'!$V$14*Model!$X$18*'Assumptions (Coal)'!R$2/10^9,0)</f>
        <v>5.518561353</v>
      </c>
      <c r="T42" s="160">
        <f>IF($X$18&gt;0,'Assumptions (Coal)'!$V$14*Model!$X$18*'Assumptions (Coal)'!S$2/10^9,0)</f>
        <v>5.622510074</v>
      </c>
      <c r="U42" s="160">
        <f>IF($X$18&gt;0,'Assumptions (Coal)'!$V$14*Model!$X$18*'Assumptions (Coal)'!T$2/10^9,0)</f>
        <v>5.759471642</v>
      </c>
      <c r="V42" s="160">
        <f>IF($X$18&gt;0,'Assumptions (Coal)'!$V$14*Model!$X$18*'Assumptions (Coal)'!U$2/10^9,0)</f>
        <v>5.871833029</v>
      </c>
      <c r="W42" s="160">
        <f>IF($X$18&gt;0,'Assumptions (Coal)'!$V$14*Model!$X$18*'Assumptions (Coal)'!V$2/10^9,0)</f>
        <v>7.586122036</v>
      </c>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60"/>
      <c r="AX42" s="160"/>
      <c r="AY42" s="160"/>
      <c r="AZ42" s="160"/>
      <c r="BA42" s="160"/>
    </row>
    <row r="43" ht="15.75" hidden="1" customHeight="1" outlineLevel="1">
      <c r="A43" s="158"/>
      <c r="B43" s="38"/>
      <c r="C43" s="174"/>
      <c r="D43" s="174"/>
      <c r="E43" s="174"/>
      <c r="F43" s="174"/>
      <c r="G43" s="174"/>
      <c r="H43" s="174"/>
      <c r="I43" s="174"/>
      <c r="J43" s="174"/>
      <c r="K43" s="174"/>
      <c r="L43" s="174"/>
      <c r="M43" s="174"/>
      <c r="N43" s="174"/>
      <c r="O43" s="174"/>
      <c r="P43" s="174"/>
      <c r="Q43" s="174"/>
      <c r="R43" s="174"/>
      <c r="S43" s="160">
        <f>IF($Y$18&gt;0,'Assumptions (Coal)'!$V$14*Model!$Y$18*'Assumptions (Coal)'!R$2/10^9,0)</f>
        <v>0.5993426124</v>
      </c>
      <c r="T43" s="160">
        <f>IF($Y$18&gt;0,'Assumptions (Coal)'!$V$14*Model!$Y$18*'Assumptions (Coal)'!S$2/10^9,0)</f>
        <v>0.6106319492</v>
      </c>
      <c r="U43" s="160">
        <f>IF($Y$18&gt;0,'Assumptions (Coal)'!$V$14*Model!$Y$18*'Assumptions (Coal)'!T$2/10^9,0)</f>
        <v>0.6255066419</v>
      </c>
      <c r="V43" s="160">
        <f>IF($Y$18&gt;0,'Assumptions (Coal)'!$V$14*Model!$Y$18*'Assumptions (Coal)'!U$2/10^9,0)</f>
        <v>0.6377096352</v>
      </c>
      <c r="W43" s="160">
        <f>IF($Y$18&gt;0,'Assumptions (Coal)'!$V$14*Model!$Y$18*'Assumptions (Coal)'!V$2/10^9,0)</f>
        <v>0.8238897619</v>
      </c>
      <c r="X43" s="160">
        <f>IF($Y$18&gt;0,'Assumptions (Coal)'!$V$14*Model!$Y$18*'Assumptions (Coal)'!W$2/10^9,0)</f>
        <v>0.8369283426</v>
      </c>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0"/>
      <c r="AW43" s="160"/>
      <c r="AX43" s="160"/>
      <c r="AY43" s="160"/>
      <c r="AZ43" s="160"/>
      <c r="BA43" s="160"/>
    </row>
    <row r="44" ht="15.75" hidden="1" customHeight="1" outlineLevel="1">
      <c r="A44" s="158"/>
      <c r="B44" s="38"/>
      <c r="C44" s="174"/>
      <c r="D44" s="174"/>
      <c r="E44" s="174"/>
      <c r="F44" s="174"/>
      <c r="G44" s="174"/>
      <c r="H44" s="174"/>
      <c r="I44" s="174"/>
      <c r="J44" s="174"/>
      <c r="K44" s="174"/>
      <c r="L44" s="174"/>
      <c r="M44" s="174"/>
      <c r="N44" s="174"/>
      <c r="O44" s="174"/>
      <c r="P44" s="174"/>
      <c r="Q44" s="174"/>
      <c r="R44" s="174"/>
      <c r="S44" s="174"/>
      <c r="T44" s="160">
        <f>IF($Z$18&gt;0,'Assumptions (Coal)'!$V$14*Model!$Z$18*'Assumptions (Coal)'!S$2/10^9,0)</f>
        <v>0.9567490412</v>
      </c>
      <c r="U44" s="160">
        <f>IF($Z$18&gt;0,'Assumptions (Coal)'!$V$14*Model!$Z$18*'Assumptions (Coal)'!T$2/10^9,0)</f>
        <v>0.9800549752</v>
      </c>
      <c r="V44" s="160">
        <f>IF($Z$18&gt;0,'Assumptions (Coal)'!$V$14*Model!$Z$18*'Assumptions (Coal)'!U$2/10^9,0)</f>
        <v>0.999174843</v>
      </c>
      <c r="W44" s="160">
        <f>IF($Z$18&gt;0,'Assumptions (Coal)'!$V$14*Model!$Z$18*'Assumptions (Coal)'!V$2/10^9,0)</f>
        <v>1.29088519</v>
      </c>
      <c r="X44" s="160">
        <f>IF($Z$18&gt;0,'Assumptions (Coal)'!$V$14*Model!$Z$18*'Assumptions (Coal)'!W$2/10^9,0)</f>
        <v>1.311314271</v>
      </c>
      <c r="Y44" s="160">
        <f>IF($Z$18&gt;0,'Assumptions (Coal)'!$V$14*Model!$Z$18*'Assumptions (Coal)'!X$2/10^9,0)</f>
        <v>1.331794009</v>
      </c>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0"/>
      <c r="AW44" s="160"/>
      <c r="AX44" s="160"/>
      <c r="AY44" s="160"/>
      <c r="AZ44" s="160"/>
      <c r="BA44" s="160"/>
    </row>
    <row r="45" ht="15.75" hidden="1" customHeight="1" outlineLevel="1">
      <c r="A45" s="158"/>
      <c r="B45" s="38"/>
      <c r="C45" s="174"/>
      <c r="D45" s="174"/>
      <c r="E45" s="174"/>
      <c r="F45" s="174"/>
      <c r="G45" s="174"/>
      <c r="H45" s="174"/>
      <c r="I45" s="174"/>
      <c r="J45" s="174"/>
      <c r="K45" s="174"/>
      <c r="L45" s="174"/>
      <c r="M45" s="174"/>
      <c r="N45" s="174"/>
      <c r="O45" s="174"/>
      <c r="P45" s="174"/>
      <c r="Q45" s="174"/>
      <c r="R45" s="174"/>
      <c r="S45" s="174"/>
      <c r="T45" s="174"/>
      <c r="U45" s="160">
        <f>IF($AA$18&gt;0,'Assumptions (Coal)'!$V$14*Model!$AA$18*'Assumptions (Coal)'!T$2/10^9,0)</f>
        <v>0.9949258086</v>
      </c>
      <c r="V45" s="160">
        <f>IF($AA$18&gt;0,'Assumptions (Coal)'!$V$14*Model!$AA$18*'Assumptions (Coal)'!U$2/10^9,0)</f>
        <v>1.014335791</v>
      </c>
      <c r="W45" s="160">
        <f>IF($AA$18&gt;0,'Assumptions (Coal)'!$V$14*Model!$AA$18*'Assumptions (Coal)'!V$2/10^9,0)</f>
        <v>1.310472396</v>
      </c>
      <c r="X45" s="160">
        <f>IF($AA$18&gt;0,'Assumptions (Coal)'!$V$14*Model!$AA$18*'Assumptions (Coal)'!W$2/10^9,0)</f>
        <v>1.331211457</v>
      </c>
      <c r="Y45" s="160">
        <f>IF($AA$18&gt;0,'Assumptions (Coal)'!$V$14*Model!$AA$18*'Assumptions (Coal)'!X$2/10^9,0)</f>
        <v>1.352001943</v>
      </c>
      <c r="Z45" s="160">
        <f>IF($AA$18&gt;0,'Assumptions (Coal)'!$V$14*Model!$AA$18*'Assumptions (Coal)'!Y$2/10^9,0)</f>
        <v>1.373096973</v>
      </c>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0"/>
      <c r="AW45" s="160"/>
      <c r="AX45" s="160"/>
      <c r="AY45" s="160"/>
      <c r="AZ45" s="160"/>
      <c r="BA45" s="160"/>
    </row>
    <row r="46" ht="15.75" hidden="1" customHeight="1" outlineLevel="1">
      <c r="A46" s="158"/>
      <c r="B46" s="38"/>
      <c r="C46" s="174"/>
      <c r="D46" s="174"/>
      <c r="E46" s="174"/>
      <c r="F46" s="174"/>
      <c r="G46" s="174"/>
      <c r="H46" s="174"/>
      <c r="I46" s="174"/>
      <c r="J46" s="174"/>
      <c r="K46" s="174"/>
      <c r="L46" s="174"/>
      <c r="M46" s="174"/>
      <c r="N46" s="174"/>
      <c r="O46" s="174"/>
      <c r="P46" s="174"/>
      <c r="Q46" s="174"/>
      <c r="R46" s="174"/>
      <c r="S46" s="174"/>
      <c r="T46" s="174"/>
      <c r="U46" s="174"/>
      <c r="V46" s="160">
        <f>IF($AB$18&gt;0,'Assumptions (Coal)'!$V$14*Model!$AB$18*'Assumptions (Coal)'!U$2/10^9,0)</f>
        <v>2.280733307</v>
      </c>
      <c r="W46" s="160">
        <f>IF($AB$18&gt;0,'Assumptions (Coal)'!$V$14*Model!$AB$18*'Assumptions (Coal)'!V$2/10^9,0)</f>
        <v>2.946596253</v>
      </c>
      <c r="X46" s="160">
        <f>IF($AB$18&gt;0,'Assumptions (Coal)'!$V$14*Model!$AB$18*'Assumptions (Coal)'!W$2/10^9,0)</f>
        <v>2.993228017</v>
      </c>
      <c r="Y46" s="160">
        <f>IF($AB$18&gt;0,'Assumptions (Coal)'!$V$14*Model!$AB$18*'Assumptions (Coal)'!X$2/10^9,0)</f>
        <v>3.039975411</v>
      </c>
      <c r="Z46" s="160">
        <f>IF($AB$18&gt;0,'Assumptions (Coal)'!$V$14*Model!$AB$18*'Assumptions (Coal)'!Y$2/10^9,0)</f>
        <v>3.08740757</v>
      </c>
      <c r="AA46" s="160">
        <f>IF($AB$18&gt;0,'Assumptions (Coal)'!$V$14*Model!$AB$18*'Assumptions (Coal)'!Z$2/10^9,0)</f>
        <v>3.13553342</v>
      </c>
      <c r="AB46" s="160"/>
      <c r="AC46" s="160"/>
      <c r="AD46" s="160"/>
      <c r="AE46" s="160"/>
      <c r="AF46" s="160"/>
      <c r="AG46" s="160"/>
      <c r="AH46" s="160"/>
      <c r="AI46" s="160"/>
      <c r="AJ46" s="160"/>
      <c r="AK46" s="160"/>
      <c r="AL46" s="160"/>
      <c r="AM46" s="160"/>
      <c r="AN46" s="160"/>
      <c r="AO46" s="160"/>
      <c r="AP46" s="160"/>
      <c r="AQ46" s="160"/>
      <c r="AR46" s="160"/>
      <c r="AS46" s="160"/>
      <c r="AT46" s="160"/>
      <c r="AU46" s="160"/>
      <c r="AV46" s="160"/>
      <c r="AW46" s="160"/>
      <c r="AX46" s="160"/>
      <c r="AY46" s="160"/>
      <c r="AZ46" s="160"/>
      <c r="BA46" s="160"/>
    </row>
    <row r="47" ht="15.75" hidden="1" customHeight="1" outlineLevel="1">
      <c r="A47" s="158"/>
      <c r="B47" s="38"/>
      <c r="C47" s="174"/>
      <c r="D47" s="174"/>
      <c r="E47" s="174"/>
      <c r="F47" s="174"/>
      <c r="G47" s="174"/>
      <c r="H47" s="174"/>
      <c r="I47" s="174"/>
      <c r="J47" s="174"/>
      <c r="K47" s="174"/>
      <c r="L47" s="174"/>
      <c r="M47" s="174"/>
      <c r="N47" s="174"/>
      <c r="O47" s="174"/>
      <c r="P47" s="174"/>
      <c r="Q47" s="174"/>
      <c r="R47" s="174"/>
      <c r="S47" s="174"/>
      <c r="T47" s="174"/>
      <c r="U47" s="174"/>
      <c r="V47" s="174"/>
      <c r="W47" s="160">
        <f>IF($AC$18&gt;0,'Assumptions (Coal)'!$V$14*Model!$AC$18*'Assumptions (Coal)'!V$2/10^9,0)</f>
        <v>2.167389874</v>
      </c>
      <c r="X47" s="160">
        <f>IF($AC$18&gt;0,'Assumptions (Coal)'!$V$14*Model!$AC$18*'Assumptions (Coal)'!W$2/10^9,0)</f>
        <v>2.201690201</v>
      </c>
      <c r="Y47" s="160">
        <f>IF($AC$18&gt;0,'Assumptions (Coal)'!$V$14*Model!$AC$18*'Assumptions (Coal)'!X$2/10^9,0)</f>
        <v>2.23607558</v>
      </c>
      <c r="Z47" s="160">
        <f>IF($AC$18&gt;0,'Assumptions (Coal)'!$V$14*Model!$AC$18*'Assumptions (Coal)'!Y$2/10^9,0)</f>
        <v>2.270964643</v>
      </c>
      <c r="AA47" s="160">
        <f>IF($AC$18&gt;0,'Assumptions (Coal)'!$V$14*Model!$AC$18*'Assumptions (Coal)'!Z$2/10^9,0)</f>
        <v>2.306363954</v>
      </c>
      <c r="AB47" s="160">
        <f>IF($AC$18&gt;0,'Assumptions (Coal)'!$V$14*Model!$AC$18*'Assumptions (Coal)'!AA$2/10^9,0)</f>
        <v>2.336379052</v>
      </c>
      <c r="AC47" s="160"/>
      <c r="AD47" s="160"/>
      <c r="AE47" s="160"/>
      <c r="AF47" s="160"/>
      <c r="AG47" s="160"/>
      <c r="AH47" s="160"/>
      <c r="AI47" s="160"/>
      <c r="AJ47" s="160"/>
      <c r="AK47" s="160"/>
      <c r="AL47" s="160"/>
      <c r="AM47" s="160"/>
      <c r="AN47" s="160"/>
      <c r="AO47" s="160"/>
      <c r="AP47" s="160"/>
      <c r="AQ47" s="160"/>
      <c r="AR47" s="160"/>
      <c r="AS47" s="160"/>
      <c r="AT47" s="160"/>
      <c r="AU47" s="160"/>
      <c r="AV47" s="160"/>
      <c r="AW47" s="160"/>
      <c r="AX47" s="160"/>
      <c r="AY47" s="160"/>
      <c r="AZ47" s="160"/>
      <c r="BA47" s="160"/>
    </row>
    <row r="48" ht="15.75" hidden="1" customHeight="1" outlineLevel="1">
      <c r="A48" s="158"/>
      <c r="B48" s="38"/>
      <c r="C48" s="174"/>
      <c r="D48" s="174"/>
      <c r="E48" s="174"/>
      <c r="F48" s="174"/>
      <c r="G48" s="174"/>
      <c r="H48" s="174"/>
      <c r="I48" s="174"/>
      <c r="J48" s="174"/>
      <c r="K48" s="174"/>
      <c r="L48" s="174"/>
      <c r="M48" s="174"/>
      <c r="N48" s="174"/>
      <c r="O48" s="174"/>
      <c r="P48" s="174"/>
      <c r="Q48" s="174"/>
      <c r="R48" s="174"/>
      <c r="S48" s="174"/>
      <c r="T48" s="174"/>
      <c r="U48" s="174"/>
      <c r="V48" s="174"/>
      <c r="W48" s="160"/>
      <c r="X48" s="160">
        <f>IF($AD$18&gt;0,'Assumptions (Coal)'!$V$14*Model!$AD$18*'Assumptions (Coal)'!W$2/10^9,0)</f>
        <v>1.61217823</v>
      </c>
      <c r="Y48" s="160">
        <f>IF($AD$18&gt;0,'Assumptions (Coal)'!$V$14*Model!$AD$18*'Assumptions (Coal)'!X$2/10^9,0)</f>
        <v>1.637356777</v>
      </c>
      <c r="Z48" s="160">
        <f>IF($AD$18&gt;0,'Assumptions (Coal)'!$V$14*Model!$AD$18*'Assumptions (Coal)'!Y$2/10^9,0)</f>
        <v>1.662904143</v>
      </c>
      <c r="AA48" s="160">
        <f>IF($AD$18&gt;0,'Assumptions (Coal)'!$V$14*Model!$AD$18*'Assumptions (Coal)'!Z$2/10^9,0)</f>
        <v>1.688825138</v>
      </c>
      <c r="AB48" s="160">
        <f>IF($AD$18&gt;0,'Assumptions (Coal)'!$V$14*Model!$AD$18*'Assumptions (Coal)'!AA$2/10^9,0)</f>
        <v>1.710803565</v>
      </c>
      <c r="AC48" s="160">
        <f>IF($AD$18&gt;0,'Assumptions (Coal)'!$V$14*Model!$AD$18*'Assumptions (Coal)'!AB$2/10^9,0)</f>
        <v>1.736724381</v>
      </c>
      <c r="AD48" s="160"/>
      <c r="AE48" s="160"/>
      <c r="AF48" s="160"/>
      <c r="AG48" s="160"/>
      <c r="AH48" s="160"/>
      <c r="AI48" s="160"/>
      <c r="AJ48" s="160"/>
      <c r="AK48" s="160"/>
      <c r="AL48" s="160"/>
      <c r="AM48" s="160"/>
      <c r="AN48" s="160"/>
      <c r="AO48" s="160"/>
      <c r="AP48" s="160"/>
      <c r="AQ48" s="160"/>
      <c r="AR48" s="160"/>
      <c r="AS48" s="160"/>
      <c r="AT48" s="160"/>
      <c r="AU48" s="160"/>
      <c r="AV48" s="160"/>
      <c r="AW48" s="160"/>
      <c r="AX48" s="160"/>
      <c r="AY48" s="160"/>
      <c r="AZ48" s="160"/>
      <c r="BA48" s="160"/>
      <c r="BB48" s="160"/>
    </row>
    <row r="49" ht="15.75" hidden="1" customHeight="1" outlineLevel="1">
      <c r="A49" s="158"/>
      <c r="B49" s="38"/>
      <c r="C49" s="174"/>
      <c r="D49" s="174"/>
      <c r="E49" s="174"/>
      <c r="F49" s="174"/>
      <c r="G49" s="174"/>
      <c r="H49" s="174"/>
      <c r="I49" s="174"/>
      <c r="J49" s="174"/>
      <c r="K49" s="174"/>
      <c r="L49" s="174"/>
      <c r="M49" s="174"/>
      <c r="N49" s="174"/>
      <c r="O49" s="174"/>
      <c r="P49" s="174"/>
      <c r="Q49" s="174"/>
      <c r="R49" s="174"/>
      <c r="S49" s="174"/>
      <c r="T49" s="174"/>
      <c r="U49" s="174"/>
      <c r="V49" s="174"/>
      <c r="W49" s="160"/>
      <c r="X49" s="160"/>
      <c r="Y49" s="160">
        <f>IF($AE$18&gt;0,'Assumptions (Coal)'!$V$14*Model!$AE$18*'Assumptions (Coal)'!X$2/10^9,0)</f>
        <v>0.1705427034</v>
      </c>
      <c r="Z49" s="160">
        <f>IF($AE$18&gt;0,'Assumptions (Coal)'!$V$14*Model!$AE$18*'Assumptions (Coal)'!Y$2/10^9,0)</f>
        <v>0.1732036488</v>
      </c>
      <c r="AA49" s="160">
        <f>IF($AE$18&gt;0,'Assumptions (Coal)'!$V$14*Model!$AE$18*'Assumptions (Coal)'!Z$2/10^9,0)</f>
        <v>0.1759035103</v>
      </c>
      <c r="AB49" s="160">
        <f>IF($AE$18&gt;0,'Assumptions (Coal)'!$V$14*Model!$AE$18*'Assumptions (Coal)'!AA$2/10^9,0)</f>
        <v>0.1781927245</v>
      </c>
      <c r="AC49" s="160">
        <f>IF($AE$18&gt;0,'Assumptions (Coal)'!$V$14*Model!$AE$18*'Assumptions (Coal)'!AB$2/10^9,0)</f>
        <v>0.1808925674</v>
      </c>
      <c r="AD49" s="160">
        <f>IF($AE$18&gt;0,'Assumptions (Coal)'!$V$14*Model!$AE$18*'Assumptions (Coal)'!AC$2/10^9,0)</f>
        <v>0.1834859937</v>
      </c>
      <c r="AE49" s="160"/>
      <c r="AF49" s="160"/>
      <c r="AG49" s="160"/>
      <c r="AH49" s="160"/>
      <c r="AI49" s="160"/>
      <c r="AJ49" s="160"/>
      <c r="AK49" s="160"/>
      <c r="AL49" s="160"/>
      <c r="AM49" s="160"/>
      <c r="AN49" s="160"/>
      <c r="AO49" s="160"/>
      <c r="AP49" s="160"/>
      <c r="AQ49" s="160"/>
      <c r="AR49" s="160"/>
      <c r="AS49" s="160"/>
      <c r="AT49" s="160"/>
      <c r="AU49" s="160"/>
      <c r="AV49" s="160"/>
      <c r="AW49" s="160"/>
      <c r="AX49" s="160"/>
      <c r="AY49" s="160"/>
      <c r="AZ49" s="160"/>
      <c r="BA49" s="160"/>
      <c r="BB49" s="160"/>
      <c r="BC49" s="160"/>
    </row>
    <row r="50" ht="15.75" hidden="1" customHeight="1" outlineLevel="1">
      <c r="A50" s="158"/>
      <c r="B50" s="38"/>
      <c r="C50" s="174"/>
      <c r="D50" s="174"/>
      <c r="E50" s="174"/>
      <c r="F50" s="174"/>
      <c r="G50" s="174"/>
      <c r="H50" s="174"/>
      <c r="I50" s="174"/>
      <c r="J50" s="174"/>
      <c r="K50" s="174"/>
      <c r="L50" s="174"/>
      <c r="M50" s="174"/>
      <c r="N50" s="174"/>
      <c r="O50" s="174"/>
      <c r="P50" s="174"/>
      <c r="Q50" s="174"/>
      <c r="R50" s="174"/>
      <c r="S50" s="174"/>
      <c r="T50" s="174"/>
      <c r="U50" s="174"/>
      <c r="V50" s="174"/>
      <c r="W50" s="160"/>
      <c r="X50" s="160"/>
      <c r="Y50" s="160"/>
      <c r="Z50" s="160">
        <f>IF($AF$18&gt;0,'Assumptions (Coal)'!$V$14*Model!$AF$18*'Assumptions (Coal)'!Y$2/10^9,0)</f>
        <v>0.08853337209</v>
      </c>
      <c r="AA50" s="160">
        <f>IF($AF$18&gt;0,'Assumptions (Coal)'!$V$14*Model!$AF$18*'Assumptions (Coal)'!Z$2/10^9,0)</f>
        <v>0.08991341138</v>
      </c>
      <c r="AB50" s="160">
        <f>IF($AF$18&gt;0,'Assumptions (Coal)'!$V$14*Model!$AF$18*'Assumptions (Coal)'!AA$2/10^9,0)</f>
        <v>0.09108354752</v>
      </c>
      <c r="AC50" s="160">
        <f>IF($AF$18&gt;0,'Assumptions (Coal)'!$V$14*Model!$AF$18*'Assumptions (Coal)'!AB$2/10^9,0)</f>
        <v>0.09246357733</v>
      </c>
      <c r="AD50" s="160">
        <f>IF($AF$18&gt;0,'Assumptions (Coal)'!$V$14*Model!$AF$18*'Assumptions (Coal)'!AC$2/10^9,0)</f>
        <v>0.09378921207</v>
      </c>
      <c r="AE50" s="160">
        <f>IF($AF$18&gt;0,'Assumptions (Coal)'!$V$14*Model!$AF$18*'Assumptions (Coal)'!AD$2/10^9,0)</f>
        <v>0.09518763618</v>
      </c>
      <c r="AF50" s="160"/>
      <c r="AG50" s="160"/>
      <c r="AH50" s="160"/>
      <c r="AI50" s="160"/>
      <c r="AJ50" s="160"/>
      <c r="AK50" s="160"/>
      <c r="AL50" s="160"/>
      <c r="AM50" s="160"/>
      <c r="AN50" s="160"/>
      <c r="AO50" s="160"/>
      <c r="AP50" s="160"/>
      <c r="AQ50" s="160"/>
      <c r="AR50" s="160"/>
      <c r="AS50" s="160"/>
      <c r="AT50" s="160"/>
      <c r="AU50" s="160"/>
      <c r="AV50" s="160"/>
      <c r="AW50" s="160"/>
      <c r="AX50" s="160"/>
      <c r="AY50" s="160"/>
      <c r="AZ50" s="160"/>
      <c r="BA50" s="160"/>
      <c r="BB50" s="160"/>
      <c r="BC50" s="160"/>
      <c r="BD50" s="160"/>
    </row>
    <row r="51" ht="15.75" hidden="1" customHeight="1" outlineLevel="1">
      <c r="A51" s="158"/>
      <c r="B51" s="38"/>
      <c r="C51" s="174"/>
      <c r="D51" s="174"/>
      <c r="E51" s="174"/>
      <c r="F51" s="174"/>
      <c r="G51" s="174"/>
      <c r="H51" s="174"/>
      <c r="I51" s="174"/>
      <c r="J51" s="174"/>
      <c r="K51" s="174"/>
      <c r="L51" s="174"/>
      <c r="M51" s="174"/>
      <c r="N51" s="174"/>
      <c r="O51" s="174"/>
      <c r="P51" s="174"/>
      <c r="Q51" s="174"/>
      <c r="R51" s="174"/>
      <c r="S51" s="174"/>
      <c r="T51" s="174"/>
      <c r="U51" s="174"/>
      <c r="V51" s="174"/>
      <c r="W51" s="160"/>
      <c r="X51" s="160"/>
      <c r="Y51" s="160"/>
      <c r="Z51" s="160"/>
      <c r="AA51" s="160">
        <f>IF($AG$18&gt;0,'Assumptions (Coal)'!$V$14*Model!$AG$18*'Assumptions (Coal)'!Z$2/10^9,0)</f>
        <v>1.088639453</v>
      </c>
      <c r="AB51" s="160">
        <f>IF($AG$18&gt;0,'Assumptions (Coal)'!$V$14*Model!$AG$18*'Assumptions (Coal)'!AA$2/10^9,0)</f>
        <v>1.102807043</v>
      </c>
      <c r="AC51" s="160">
        <f>IF($AG$18&gt;0,'Assumptions (Coal)'!$V$14*Model!$AG$18*'Assumptions (Coal)'!AB$2/10^9,0)</f>
        <v>1.119515951</v>
      </c>
      <c r="AD51" s="160">
        <f>IF($AG$18&gt;0,'Assumptions (Coal)'!$V$14*Model!$AG$18*'Assumptions (Coal)'!AC$2/10^9,0)</f>
        <v>1.135566263</v>
      </c>
      <c r="AE51" s="160">
        <f>IF($AG$18&gt;0,'Assumptions (Coal)'!$V$14*Model!$AG$18*'Assumptions (Coal)'!AD$2/10^9,0)</f>
        <v>1.152497882</v>
      </c>
      <c r="AF51" s="160">
        <f>IF($AG$18&gt;0,'Assumptions (Coal)'!$V$14*Model!$AG$18*'Assumptions (Coal)'!AE$2/10^9,0)</f>
        <v>1.169194986</v>
      </c>
      <c r="AG51" s="160"/>
      <c r="AH51" s="160"/>
      <c r="AI51" s="160"/>
      <c r="AJ51" s="160"/>
      <c r="AK51" s="160"/>
      <c r="AL51" s="160"/>
      <c r="AM51" s="160"/>
      <c r="AN51" s="160"/>
      <c r="AO51" s="160"/>
      <c r="AP51" s="160"/>
      <c r="AQ51" s="160"/>
      <c r="AR51" s="160"/>
      <c r="AS51" s="160"/>
      <c r="AT51" s="160"/>
      <c r="AU51" s="160"/>
      <c r="AV51" s="160"/>
      <c r="AW51" s="160"/>
      <c r="AX51" s="160"/>
      <c r="AY51" s="160"/>
      <c r="AZ51" s="160"/>
      <c r="BA51" s="160"/>
      <c r="BB51" s="160"/>
      <c r="BC51" s="160"/>
      <c r="BD51" s="160"/>
      <c r="BE51" s="160"/>
    </row>
    <row r="52" ht="15.75" hidden="1" customHeight="1" outlineLevel="1">
      <c r="A52" s="158"/>
      <c r="B52" s="38"/>
      <c r="C52" s="174"/>
      <c r="D52" s="174"/>
      <c r="E52" s="174"/>
      <c r="F52" s="174"/>
      <c r="G52" s="174"/>
      <c r="H52" s="174"/>
      <c r="I52" s="174"/>
      <c r="J52" s="174"/>
      <c r="K52" s="174"/>
      <c r="L52" s="174"/>
      <c r="M52" s="174"/>
      <c r="N52" s="174"/>
      <c r="O52" s="174"/>
      <c r="P52" s="174"/>
      <c r="Q52" s="174"/>
      <c r="R52" s="174"/>
      <c r="S52" s="174"/>
      <c r="T52" s="174"/>
      <c r="U52" s="174"/>
      <c r="V52" s="174"/>
      <c r="W52" s="160"/>
      <c r="X52" s="160"/>
      <c r="Y52" s="160"/>
      <c r="Z52" s="160"/>
      <c r="AA52" s="160"/>
      <c r="AB52" s="160">
        <f>IF($AH$18&gt;0,'Assumptions (Coal)'!$V$14*Model!$AH$18*'Assumptions (Coal)'!AA$2/10^9,0)</f>
        <v>0</v>
      </c>
      <c r="AC52" s="160">
        <f>IF($AH$18&gt;0,'Assumptions (Coal)'!$V$14*Model!$AH$18*'Assumptions (Coal)'!AB$2/10^9,0)</f>
        <v>0</v>
      </c>
      <c r="AD52" s="160">
        <f>IF($AH$18&gt;0,'Assumptions (Coal)'!$V$14*Model!$AH$18*'Assumptions (Coal)'!AC$2/10^9,0)</f>
        <v>0</v>
      </c>
      <c r="AE52" s="160">
        <f>IF($AH$18&gt;0,'Assumptions (Coal)'!$V$14*Model!$AH$18*'Assumptions (Coal)'!AD$2/10^9,0)</f>
        <v>0</v>
      </c>
      <c r="AF52" s="160">
        <f>IF($AH$18&gt;0,'Assumptions (Coal)'!$V$14*Model!$AH$18*'Assumptions (Coal)'!AE$2/10^9,0)</f>
        <v>0</v>
      </c>
      <c r="AG52" s="160">
        <f>IF($AH$18&gt;0,'Assumptions (Coal)'!$V$14*Model!$AH$18*'Assumptions (Coal)'!AF$2/10^9,0)</f>
        <v>0</v>
      </c>
      <c r="AH52" s="160"/>
      <c r="AI52" s="160"/>
      <c r="AJ52" s="160"/>
      <c r="AK52" s="160"/>
      <c r="AL52" s="160"/>
      <c r="AM52" s="160"/>
      <c r="AN52" s="160"/>
      <c r="AO52" s="160"/>
      <c r="AP52" s="160"/>
      <c r="AQ52" s="160"/>
      <c r="AR52" s="160"/>
      <c r="AS52" s="160"/>
      <c r="AT52" s="160"/>
      <c r="AU52" s="160"/>
      <c r="AV52" s="160"/>
      <c r="AW52" s="160"/>
      <c r="AX52" s="160"/>
      <c r="AY52" s="160"/>
      <c r="AZ52" s="160"/>
      <c r="BA52" s="160"/>
      <c r="BB52" s="160"/>
      <c r="BC52" s="160"/>
      <c r="BD52" s="160"/>
      <c r="BE52" s="160"/>
      <c r="BF52" s="160"/>
    </row>
    <row r="53" ht="15.75" hidden="1" customHeight="1" outlineLevel="1">
      <c r="A53" s="158"/>
      <c r="B53" s="38"/>
      <c r="C53" s="174"/>
      <c r="D53" s="174"/>
      <c r="E53" s="174"/>
      <c r="F53" s="174"/>
      <c r="G53" s="174"/>
      <c r="H53" s="174"/>
      <c r="I53" s="174"/>
      <c r="J53" s="174"/>
      <c r="K53" s="174"/>
      <c r="L53" s="174"/>
      <c r="M53" s="174"/>
      <c r="N53" s="174"/>
      <c r="O53" s="174"/>
      <c r="P53" s="174"/>
      <c r="Q53" s="174"/>
      <c r="R53" s="174"/>
      <c r="S53" s="174"/>
      <c r="T53" s="174"/>
      <c r="U53" s="174"/>
      <c r="V53" s="174"/>
      <c r="W53" s="160"/>
      <c r="X53" s="160"/>
      <c r="Y53" s="160"/>
      <c r="Z53" s="160"/>
      <c r="AA53" s="160"/>
      <c r="AB53" s="160"/>
      <c r="AC53" s="160">
        <f>IF($AI$18&gt;0,'Assumptions (Coal)'!$V$14*Model!$AI$18*'Assumptions (Coal)'!AB$2/10^9,0)</f>
        <v>0</v>
      </c>
      <c r="AD53" s="160">
        <f>IF($AI$18&gt;0,'Assumptions (Coal)'!$V$14*Model!$AI$18*'Assumptions (Coal)'!AC$2/10^9,0)</f>
        <v>0</v>
      </c>
      <c r="AE53" s="160">
        <f>IF($AI$18&gt;0,'Assumptions (Coal)'!$V$14*Model!$AI$18*'Assumptions (Coal)'!AD$2/10^9,0)</f>
        <v>0</v>
      </c>
      <c r="AF53" s="160">
        <f>IF($AI$18&gt;0,'Assumptions (Coal)'!$V$14*Model!$AI$18*'Assumptions (Coal)'!AE$2/10^9,0)</f>
        <v>0</v>
      </c>
      <c r="AG53" s="160">
        <f>IF($AI$18&gt;0,'Assumptions (Coal)'!$V$14*Model!$AI$18*'Assumptions (Coal)'!AF$2/10^9,0)</f>
        <v>0</v>
      </c>
      <c r="AH53" s="160">
        <f>IF($AI$18&gt;0,'Assumptions (Coal)'!$V$14*Model!$AI$18*'Assumptions (Coal)'!AG$2/10^9,0)</f>
        <v>0</v>
      </c>
      <c r="AI53" s="160"/>
      <c r="AJ53" s="160"/>
      <c r="AK53" s="160"/>
      <c r="AL53" s="160"/>
      <c r="AM53" s="160"/>
      <c r="AN53" s="160"/>
      <c r="AO53" s="160"/>
      <c r="AP53" s="160"/>
      <c r="AQ53" s="160"/>
      <c r="AR53" s="160"/>
      <c r="AS53" s="160"/>
      <c r="AT53" s="160"/>
      <c r="AU53" s="160"/>
      <c r="AV53" s="160"/>
      <c r="AW53" s="160"/>
      <c r="AX53" s="160"/>
      <c r="AY53" s="160"/>
      <c r="AZ53" s="160"/>
      <c r="BA53" s="160"/>
      <c r="BB53" s="160"/>
      <c r="BC53" s="160"/>
      <c r="BD53" s="160"/>
      <c r="BE53" s="160"/>
      <c r="BF53" s="160"/>
      <c r="BG53" s="160"/>
    </row>
    <row r="54" ht="15.75" hidden="1" customHeight="1" outlineLevel="1">
      <c r="A54" s="158"/>
      <c r="B54" s="38"/>
      <c r="C54" s="174"/>
      <c r="D54" s="174"/>
      <c r="E54" s="174"/>
      <c r="F54" s="174"/>
      <c r="G54" s="174"/>
      <c r="H54" s="174"/>
      <c r="I54" s="174"/>
      <c r="J54" s="174"/>
      <c r="K54" s="174"/>
      <c r="L54" s="174"/>
      <c r="M54" s="174"/>
      <c r="N54" s="174"/>
      <c r="O54" s="174"/>
      <c r="P54" s="174"/>
      <c r="Q54" s="174"/>
      <c r="R54" s="174"/>
      <c r="S54" s="174"/>
      <c r="T54" s="174"/>
      <c r="U54" s="174"/>
      <c r="V54" s="174"/>
      <c r="W54" s="160"/>
      <c r="X54" s="160"/>
      <c r="Y54" s="160"/>
      <c r="Z54" s="160"/>
      <c r="AA54" s="160"/>
      <c r="AB54" s="160"/>
      <c r="AC54" s="160"/>
      <c r="AD54" s="177">
        <f>IF($AJ$18&gt;0,'Assumptions (Coal)'!$V$14*Model!$AJ$18*'Assumptions (Coal)'!AC$2/10^9,0)</f>
        <v>0.0383672234</v>
      </c>
      <c r="AE54" s="177">
        <f>IF($AJ$18&gt;0,'Assumptions (Coal)'!$V$14*Model!$AJ$18*'Assumptions (Coal)'!AD$2/10^9,0)</f>
        <v>0.03893928973</v>
      </c>
      <c r="AF54" s="177">
        <f>IF($AJ$18&gt;0,'Assumptions (Coal)'!$V$14*Model!$AJ$18*'Assumptions (Coal)'!AE$2/10^9,0)</f>
        <v>0.03950343252</v>
      </c>
      <c r="AG54" s="177">
        <f>IF($AJ$18&gt;0,'Assumptions (Coal)'!$V$14*Model!$AJ$18*'Assumptions (Coal)'!AF$2/10^9,0)</f>
        <v>0.04003489925</v>
      </c>
      <c r="AH54" s="177">
        <f>IF($AJ$18&gt;0,'Assumptions (Coal)'!$V$14*Model!$AJ$18*'Assumptions (Coal)'!AG$2/10^9,0)</f>
        <v>0.0405883258</v>
      </c>
      <c r="AI54" s="177">
        <f>IF($AJ$18&gt;0,'Assumptions (Coal)'!$V$14*Model!$AJ$18*'Assumptions (Coal)'!AH$2/10^9,0)</f>
        <v>0.04112324574</v>
      </c>
      <c r="AJ54" s="177"/>
      <c r="AK54" s="160"/>
      <c r="AL54" s="177"/>
      <c r="AM54" s="177"/>
      <c r="AN54" s="177"/>
      <c r="AO54" s="177"/>
      <c r="AP54" s="177"/>
      <c r="AQ54" s="177"/>
      <c r="AR54" s="177"/>
      <c r="AS54" s="177"/>
      <c r="AT54" s="177"/>
      <c r="AU54" s="177"/>
      <c r="AV54" s="177"/>
      <c r="AW54" s="177"/>
      <c r="AX54" s="177"/>
      <c r="AY54" s="177"/>
      <c r="AZ54" s="177"/>
      <c r="BA54" s="177"/>
      <c r="BB54" s="177"/>
      <c r="BC54" s="177"/>
      <c r="BD54" s="177"/>
      <c r="BE54" s="177"/>
      <c r="BF54" s="177"/>
      <c r="BG54" s="177"/>
      <c r="BH54" s="177"/>
    </row>
    <row r="55" ht="15.75" hidden="1" customHeight="1" outlineLevel="1">
      <c r="A55" s="158"/>
      <c r="B55" s="38"/>
      <c r="C55" s="174"/>
      <c r="D55" s="174"/>
      <c r="E55" s="174"/>
      <c r="F55" s="174"/>
      <c r="G55" s="174"/>
      <c r="H55" s="174"/>
      <c r="I55" s="174"/>
      <c r="J55" s="174"/>
      <c r="K55" s="174"/>
      <c r="L55" s="174"/>
      <c r="M55" s="174"/>
      <c r="N55" s="174"/>
      <c r="O55" s="174"/>
      <c r="P55" s="174"/>
      <c r="Q55" s="174"/>
      <c r="R55" s="174"/>
      <c r="S55" s="174"/>
      <c r="T55" s="174"/>
      <c r="U55" s="174"/>
      <c r="V55" s="174"/>
      <c r="W55" s="160"/>
      <c r="X55" s="160"/>
      <c r="Y55" s="160"/>
      <c r="Z55" s="160"/>
      <c r="AA55" s="160"/>
      <c r="AB55" s="160"/>
      <c r="AC55" s="160"/>
      <c r="AD55" s="160"/>
      <c r="AE55" s="160">
        <f>IF($AK$18&gt;0,'Assumptions (Coal)'!$V$14*Model!$AK$18*'Assumptions (Coal)'!AD$2/10^9,0)</f>
        <v>0.139421835</v>
      </c>
      <c r="AF55" s="160">
        <f>IF($AK$18&gt;0,'Assumptions (Coal)'!$V$14*Model!$AK$18*'Assumptions (Coal)'!AE$2/10^9,0)</f>
        <v>0.141441744</v>
      </c>
      <c r="AG55" s="160">
        <f>IF($AK$18&gt;0,'Assumptions (Coal)'!$V$14*Model!$AK$18*'Assumptions (Coal)'!AF$2/10^9,0)</f>
        <v>0.1433446567</v>
      </c>
      <c r="AH55" s="160">
        <f>IF($AK$18&gt;0,'Assumptions (Coal)'!$V$14*Model!$AK$18*'Assumptions (Coal)'!AG$2/10^9,0)</f>
        <v>0.1453261963</v>
      </c>
      <c r="AI55" s="160">
        <f>IF($AK$18&gt;0,'Assumptions (Coal)'!$V$14*Model!$AK$18*'Assumptions (Coal)'!AH$2/10^9,0)</f>
        <v>0.1472414731</v>
      </c>
      <c r="AJ55" s="160">
        <f>IF($AK$18&gt;0,'Assumptions (Coal)'!$V$14*Model!$AK$18*'Assumptions (Coal)'!AI$2/10^9,0)</f>
        <v>0.1492064216</v>
      </c>
      <c r="AK55" s="160"/>
      <c r="AL55" s="177"/>
      <c r="AM55" s="177"/>
      <c r="AN55" s="177"/>
      <c r="AO55" s="177"/>
      <c r="AP55" s="177"/>
      <c r="AQ55" s="177"/>
      <c r="AR55" s="177"/>
      <c r="AS55" s="177"/>
      <c r="AT55" s="177"/>
      <c r="AU55" s="177"/>
      <c r="AV55" s="177"/>
      <c r="AW55" s="177"/>
      <c r="AX55" s="177"/>
      <c r="AY55" s="177"/>
      <c r="AZ55" s="177"/>
      <c r="BA55" s="177"/>
      <c r="BB55" s="177"/>
      <c r="BC55" s="177"/>
      <c r="BD55" s="177"/>
      <c r="BE55" s="177"/>
      <c r="BF55" s="177"/>
      <c r="BG55" s="177"/>
      <c r="BH55" s="177"/>
      <c r="BI55" s="177"/>
    </row>
    <row r="56" ht="15.75" hidden="1" customHeight="1" outlineLevel="1">
      <c r="A56" s="158"/>
      <c r="B56" s="38"/>
      <c r="C56" s="174"/>
      <c r="D56" s="174"/>
      <c r="E56" s="174"/>
      <c r="F56" s="174"/>
      <c r="G56" s="174"/>
      <c r="H56" s="174"/>
      <c r="I56" s="174"/>
      <c r="J56" s="174"/>
      <c r="K56" s="174"/>
      <c r="L56" s="174"/>
      <c r="M56" s="174"/>
      <c r="N56" s="174"/>
      <c r="O56" s="174"/>
      <c r="P56" s="174"/>
      <c r="Q56" s="174"/>
      <c r="R56" s="174"/>
      <c r="S56" s="174"/>
      <c r="T56" s="174"/>
      <c r="U56" s="174"/>
      <c r="V56" s="174"/>
      <c r="W56" s="160"/>
      <c r="X56" s="160"/>
      <c r="Y56" s="160"/>
      <c r="Z56" s="160"/>
      <c r="AA56" s="160"/>
      <c r="AB56" s="160"/>
      <c r="AC56" s="160"/>
      <c r="AD56" s="160"/>
      <c r="AE56" s="160"/>
      <c r="AF56" s="160">
        <f>IF($AL$18&gt;0,'Assumptions (Coal)'!$V$14*Model!$AL$18*'Assumptions (Coal)'!AE$2/10^9,0)</f>
        <v>0</v>
      </c>
      <c r="AG56" s="160">
        <f>IF($AL$18&gt;0,'Assumptions (Coal)'!$V$14*Model!$AL$18*'Assumptions (Coal)'!AF$2/10^9,0)</f>
        <v>0</v>
      </c>
      <c r="AH56" s="160">
        <f>IF($AL$18&gt;0,'Assumptions (Coal)'!$V$14*Model!$AL$18*'Assumptions (Coal)'!AG$2/10^9,0)</f>
        <v>0</v>
      </c>
      <c r="AI56" s="160">
        <f>IF($AL$18&gt;0,'Assumptions (Coal)'!$V$14*Model!$AL$18*'Assumptions (Coal)'!AH$2/10^9,0)</f>
        <v>0</v>
      </c>
      <c r="AJ56" s="160">
        <f>IF($AL$18&gt;0,'Assumptions (Coal)'!$V$14*Model!$AL$18*'Assumptions (Coal)'!AI$2/10^9,0)</f>
        <v>0</v>
      </c>
      <c r="AK56" s="160">
        <f>IF($AL$18&gt;0,'Assumptions (Coal)'!$V$14*Model!$AL$18*'Assumptions (Coal)'!AJ$2/10^9,0)</f>
        <v>0</v>
      </c>
      <c r="AL56" s="177"/>
      <c r="AM56" s="177"/>
      <c r="AN56" s="177"/>
      <c r="AO56" s="177"/>
      <c r="AP56" s="177"/>
      <c r="AQ56" s="177"/>
      <c r="AR56" s="177"/>
      <c r="AS56" s="177"/>
      <c r="AT56" s="177"/>
      <c r="AU56" s="177"/>
      <c r="AV56" s="177"/>
      <c r="AW56" s="177"/>
      <c r="AX56" s="177"/>
      <c r="AY56" s="177"/>
      <c r="AZ56" s="177"/>
      <c r="BA56" s="177"/>
      <c r="BB56" s="177"/>
      <c r="BC56" s="177"/>
      <c r="BD56" s="177"/>
      <c r="BE56" s="177"/>
      <c r="BF56" s="177"/>
      <c r="BG56" s="177"/>
      <c r="BH56" s="177"/>
      <c r="BI56" s="177"/>
      <c r="BJ56" s="177"/>
    </row>
    <row r="57" ht="15.75" hidden="1" customHeight="1" outlineLevel="1">
      <c r="A57" s="158"/>
      <c r="B57" s="38"/>
      <c r="C57" s="174"/>
      <c r="D57" s="174"/>
      <c r="E57" s="174"/>
      <c r="F57" s="174"/>
      <c r="G57" s="174"/>
      <c r="H57" s="174"/>
      <c r="I57" s="174"/>
      <c r="J57" s="174"/>
      <c r="K57" s="174"/>
      <c r="L57" s="174"/>
      <c r="M57" s="174"/>
      <c r="N57" s="174"/>
      <c r="O57" s="174"/>
      <c r="P57" s="174"/>
      <c r="Q57" s="174"/>
      <c r="R57" s="174"/>
      <c r="S57" s="174"/>
      <c r="T57" s="174"/>
      <c r="U57" s="174"/>
      <c r="V57" s="174"/>
      <c r="W57" s="160"/>
      <c r="X57" s="160"/>
      <c r="Y57" s="160"/>
      <c r="Z57" s="160"/>
      <c r="AA57" s="160"/>
      <c r="AB57" s="160"/>
      <c r="AC57" s="160"/>
      <c r="AD57" s="160"/>
      <c r="AE57" s="160"/>
      <c r="AF57" s="160"/>
      <c r="AG57" s="160">
        <f>IF($AM$18&gt;0,'Assumptions (Coal)'!$V$14*Model!$AM$18*'Assumptions (Coal)'!AF$2/10^9,0)</f>
        <v>0.7062337682</v>
      </c>
      <c r="AH57" s="160">
        <f>IF($AM$18&gt;0,'Assumptions (Coal)'!$V$14*Model!$AM$18*'Assumptions (Coal)'!AG$2/10^9,0)</f>
        <v>0.7159964634</v>
      </c>
      <c r="AI57" s="160">
        <f>IF($AM$18&gt;0,'Assumptions (Coal)'!$V$14*Model!$AM$18*'Assumptions (Coal)'!AH$2/10^9,0)</f>
        <v>0.7254326935</v>
      </c>
      <c r="AJ57" s="160">
        <f>IF($AM$18&gt;0,'Assumptions (Coal)'!$V$14*Model!$AM$18*'Assumptions (Coal)'!AI$2/10^9,0)</f>
        <v>0.7351136473</v>
      </c>
      <c r="AK57" s="160">
        <f>IF($AM$18&gt;0,'Assumptions (Coal)'!$V$14*Model!$AM$18*'Assumptions (Coal)'!AJ$2/10^9,0)</f>
        <v>0.7455040629</v>
      </c>
      <c r="AL57" s="160">
        <f>IF($AM$18&gt;0,'Assumptions (Coal)'!$V$14*Model!$AM$18*'Assumptions (Coal)'!AK$2/10^9,0)</f>
        <v>0.7558651847</v>
      </c>
      <c r="AM57" s="160"/>
      <c r="AN57" s="160"/>
      <c r="AO57" s="160"/>
      <c r="AP57" s="160"/>
      <c r="AQ57" s="160"/>
      <c r="AR57" s="160"/>
      <c r="AS57" s="160"/>
      <c r="AT57" s="160"/>
      <c r="AU57" s="160"/>
      <c r="AV57" s="160"/>
      <c r="AW57" s="160"/>
      <c r="AX57" s="160"/>
      <c r="AY57" s="160"/>
      <c r="AZ57" s="160"/>
      <c r="BA57" s="160"/>
      <c r="BB57" s="160"/>
      <c r="BC57" s="160"/>
      <c r="BD57" s="160"/>
      <c r="BE57" s="160"/>
      <c r="BF57" s="160"/>
      <c r="BG57" s="160"/>
      <c r="BH57" s="160"/>
      <c r="BI57" s="160"/>
      <c r="BJ57" s="160"/>
      <c r="BK57" s="160"/>
    </row>
    <row r="58" ht="15.75" hidden="1" customHeight="1" outlineLevel="1">
      <c r="A58" s="158"/>
      <c r="B58" s="38"/>
      <c r="C58" s="174"/>
      <c r="D58" s="174"/>
      <c r="E58" s="174"/>
      <c r="F58" s="174"/>
      <c r="G58" s="174"/>
      <c r="H58" s="174"/>
      <c r="I58" s="174"/>
      <c r="J58" s="174"/>
      <c r="K58" s="174"/>
      <c r="L58" s="174"/>
      <c r="M58" s="174"/>
      <c r="N58" s="174"/>
      <c r="O58" s="174"/>
      <c r="P58" s="174"/>
      <c r="Q58" s="174"/>
      <c r="R58" s="174"/>
      <c r="S58" s="174"/>
      <c r="T58" s="174"/>
      <c r="U58" s="174"/>
      <c r="V58" s="174"/>
      <c r="W58" s="160"/>
      <c r="X58" s="160"/>
      <c r="Y58" s="160"/>
      <c r="Z58" s="160"/>
      <c r="AA58" s="160"/>
      <c r="AB58" s="160"/>
      <c r="AC58" s="160"/>
      <c r="AD58" s="160"/>
      <c r="AE58" s="160"/>
      <c r="AF58" s="160"/>
      <c r="AG58" s="160"/>
      <c r="AH58" s="160">
        <f>IF($AN$18&gt;0,'Assumptions (Coal)'!$V$14*Model!$AN$18*'Assumptions (Coal)'!AG$2/10^9,0)</f>
        <v>0</v>
      </c>
      <c r="AI58" s="160">
        <f>IF($AN$18&gt;0,'Assumptions (Coal)'!$V$14*Model!$AN$18*'Assumptions (Coal)'!AH$2/10^9,0)</f>
        <v>0</v>
      </c>
      <c r="AJ58" s="160">
        <f>IF($AN$18&gt;0,'Assumptions (Coal)'!$V$14*Model!$AN$18*'Assumptions (Coal)'!AI$2/10^9,0)</f>
        <v>0</v>
      </c>
      <c r="AK58" s="160">
        <f>IF($AN$18&gt;0,'Assumptions (Coal)'!$V$14*Model!$AN$18*'Assumptions (Coal)'!AJ$2/10^9,0)</f>
        <v>0</v>
      </c>
      <c r="AL58" s="160">
        <f>IF($AN$18&gt;0,'Assumptions (Coal)'!$V$14*Model!$AN$18*'Assumptions (Coal)'!AK$2/10^9,0)</f>
        <v>0</v>
      </c>
      <c r="AM58" s="160">
        <f>IF($AN$18&gt;0,'Assumptions (Coal)'!$V$14*Model!$AN$18*'Assumptions (Coal)'!AL$2/10^9,0)</f>
        <v>0</v>
      </c>
      <c r="AN58" s="160"/>
      <c r="AO58" s="160"/>
      <c r="AP58" s="160"/>
      <c r="AQ58" s="160"/>
      <c r="AR58" s="160"/>
      <c r="AS58" s="160"/>
      <c r="AT58" s="160"/>
      <c r="AU58" s="160"/>
      <c r="AV58" s="160"/>
      <c r="AW58" s="160"/>
      <c r="AX58" s="160"/>
      <c r="AY58" s="160"/>
      <c r="AZ58" s="160"/>
      <c r="BA58" s="160"/>
      <c r="BB58" s="160"/>
      <c r="BC58" s="160"/>
      <c r="BD58" s="160"/>
      <c r="BE58" s="160"/>
      <c r="BF58" s="160"/>
      <c r="BG58" s="160"/>
      <c r="BH58" s="160"/>
      <c r="BI58" s="160"/>
      <c r="BJ58" s="160"/>
      <c r="BK58" s="160"/>
      <c r="BL58" s="160"/>
    </row>
    <row r="59" ht="15.75" hidden="1" customHeight="1" outlineLevel="1">
      <c r="A59" s="158"/>
      <c r="B59" s="38"/>
      <c r="C59" s="174"/>
      <c r="D59" s="174"/>
      <c r="E59" s="174"/>
      <c r="F59" s="174"/>
      <c r="G59" s="174"/>
      <c r="H59" s="174"/>
      <c r="I59" s="174"/>
      <c r="J59" s="174"/>
      <c r="K59" s="174"/>
      <c r="L59" s="174"/>
      <c r="M59" s="174"/>
      <c r="N59" s="174"/>
      <c r="O59" s="174"/>
      <c r="P59" s="174"/>
      <c r="Q59" s="174"/>
      <c r="R59" s="174"/>
      <c r="S59" s="174"/>
      <c r="T59" s="174"/>
      <c r="U59" s="174"/>
      <c r="V59" s="174"/>
      <c r="W59" s="160"/>
      <c r="X59" s="160"/>
      <c r="Y59" s="160"/>
      <c r="Z59" s="160"/>
      <c r="AA59" s="160"/>
      <c r="AB59" s="160"/>
      <c r="AC59" s="160"/>
      <c r="AD59" s="160"/>
      <c r="AE59" s="160"/>
      <c r="AF59" s="160"/>
      <c r="AG59" s="160"/>
      <c r="AH59" s="160"/>
      <c r="AI59" s="160">
        <f>IF($AO$18&gt;0,'Assumptions (Coal)'!$V$14*Model!$AO$18*'Assumptions (Coal)'!AH$2/10^9,0)</f>
        <v>0</v>
      </c>
      <c r="AJ59" s="160">
        <f>IF($AO$18&gt;0,'Assumptions (Coal)'!$V$14*Model!$AO$18*'Assumptions (Coal)'!AI$2/10^9,0)</f>
        <v>0</v>
      </c>
      <c r="AK59" s="160">
        <f>IF($AO$18&gt;0,'Assumptions (Coal)'!$V$14*Model!$AO$18*'Assumptions (Coal)'!AJ$2/10^9,0)</f>
        <v>0</v>
      </c>
      <c r="AL59" s="160">
        <f>IF($AO$18&gt;0,'Assumptions (Coal)'!$V$14*Model!$AO$18*'Assumptions (Coal)'!AK$2/10^9,0)</f>
        <v>0</v>
      </c>
      <c r="AM59" s="160">
        <f>IF($AO$18&gt;0,'Assumptions (Coal)'!$V$14*Model!$AO$18*'Assumptions (Coal)'!AL$2/10^9,0)</f>
        <v>0</v>
      </c>
      <c r="AN59" s="160">
        <f>IF($AO$18&gt;0,'Assumptions (Coal)'!$V$14*Model!$AO$18*'Assumptions (Coal)'!AM$2/10^9,0)</f>
        <v>0</v>
      </c>
      <c r="AO59" s="160"/>
      <c r="AP59" s="160"/>
      <c r="AQ59" s="160"/>
      <c r="AR59" s="160"/>
      <c r="AS59" s="160"/>
      <c r="AT59" s="160"/>
      <c r="AU59" s="160"/>
      <c r="AV59" s="160"/>
      <c r="AW59" s="160"/>
      <c r="AX59" s="160"/>
      <c r="AY59" s="160"/>
      <c r="AZ59" s="160"/>
      <c r="BA59" s="160"/>
      <c r="BB59" s="160"/>
      <c r="BC59" s="160"/>
      <c r="BD59" s="160"/>
      <c r="BE59" s="160"/>
      <c r="BF59" s="160"/>
      <c r="BG59" s="160"/>
      <c r="BH59" s="160"/>
      <c r="BI59" s="160"/>
      <c r="BJ59" s="160"/>
      <c r="BK59" s="160"/>
      <c r="BL59" s="160"/>
      <c r="BM59" s="160"/>
    </row>
    <row r="60" ht="15.75" hidden="1" customHeight="1" outlineLevel="1">
      <c r="A60" s="158"/>
      <c r="B60" s="38"/>
      <c r="C60" s="174"/>
      <c r="D60" s="174"/>
      <c r="E60" s="174"/>
      <c r="F60" s="174"/>
      <c r="G60" s="174"/>
      <c r="H60" s="174"/>
      <c r="I60" s="174"/>
      <c r="J60" s="174"/>
      <c r="K60" s="174"/>
      <c r="L60" s="174"/>
      <c r="M60" s="174"/>
      <c r="N60" s="174"/>
      <c r="O60" s="174"/>
      <c r="P60" s="174"/>
      <c r="Q60" s="174"/>
      <c r="R60" s="174"/>
      <c r="S60" s="174"/>
      <c r="T60" s="174"/>
      <c r="U60" s="174"/>
      <c r="V60" s="174"/>
      <c r="W60" s="160"/>
      <c r="X60" s="160"/>
      <c r="Y60" s="160"/>
      <c r="Z60" s="160"/>
      <c r="AA60" s="160"/>
      <c r="AB60" s="160"/>
      <c r="AC60" s="160"/>
      <c r="AD60" s="160"/>
      <c r="AE60" s="160"/>
      <c r="AF60" s="160"/>
      <c r="AG60" s="160"/>
      <c r="AH60" s="160"/>
      <c r="AI60" s="160"/>
      <c r="AJ60" s="160">
        <f>IF($AP$18&gt;0,'Assumptions (Coal)'!$V$14*Model!$AP$18*'Assumptions (Coal)'!AI$2/10^9,0)</f>
        <v>0</v>
      </c>
      <c r="AK60" s="160">
        <f>IF($AP$18&gt;0,'Assumptions (Coal)'!$V$14*Model!$AP$18*'Assumptions (Coal)'!AJ$2/10^9,0)</f>
        <v>0</v>
      </c>
      <c r="AL60" s="160">
        <f>IF($AP$18&gt;0,'Assumptions (Coal)'!$V$14*Model!$AP$18*'Assumptions (Coal)'!AK$2/10^9,0)</f>
        <v>0</v>
      </c>
      <c r="AM60" s="160">
        <f>IF($AP$18&gt;0,'Assumptions (Coal)'!$V$14*Model!$AP$18*'Assumptions (Coal)'!AL$2/10^9,0)</f>
        <v>0</v>
      </c>
      <c r="AN60" s="160">
        <f>IF($AP$18&gt;0,'Assumptions (Coal)'!$V$14*Model!$AP$18*'Assumptions (Coal)'!AM$2/10^9,0)</f>
        <v>0</v>
      </c>
      <c r="AO60" s="160">
        <f>IF($AP$18&gt;0,'Assumptions (Coal)'!$V$14*Model!$AP$18*'Assumptions (Coal)'!AN$2/10^9,0)</f>
        <v>0</v>
      </c>
      <c r="AP60" s="160"/>
      <c r="AQ60" s="160"/>
      <c r="AR60" s="160"/>
      <c r="AS60" s="160"/>
      <c r="AT60" s="160"/>
      <c r="AU60" s="160"/>
      <c r="AV60" s="160"/>
      <c r="AW60" s="160"/>
      <c r="AX60" s="160"/>
      <c r="AY60" s="160"/>
      <c r="AZ60" s="160"/>
      <c r="BA60" s="160"/>
      <c r="BB60" s="160"/>
      <c r="BC60" s="160"/>
      <c r="BD60" s="160"/>
      <c r="BE60" s="160"/>
      <c r="BF60" s="160"/>
      <c r="BG60" s="160"/>
      <c r="BH60" s="160"/>
      <c r="BI60" s="160"/>
      <c r="BJ60" s="160"/>
      <c r="BK60" s="160"/>
      <c r="BL60" s="160"/>
      <c r="BM60" s="160"/>
      <c r="BN60" s="160"/>
    </row>
    <row r="61" ht="15.75" hidden="1" customHeight="1" outlineLevel="1">
      <c r="A61" s="158"/>
      <c r="B61" s="38"/>
      <c r="C61" s="174"/>
      <c r="D61" s="174"/>
      <c r="E61" s="174"/>
      <c r="F61" s="174"/>
      <c r="G61" s="174"/>
      <c r="H61" s="174"/>
      <c r="I61" s="174"/>
      <c r="J61" s="174"/>
      <c r="K61" s="174"/>
      <c r="L61" s="174"/>
      <c r="M61" s="174"/>
      <c r="N61" s="174"/>
      <c r="O61" s="174"/>
      <c r="P61" s="174"/>
      <c r="Q61" s="174"/>
      <c r="R61" s="174"/>
      <c r="S61" s="174"/>
      <c r="T61" s="174"/>
      <c r="U61" s="174"/>
      <c r="V61" s="174"/>
      <c r="W61" s="160"/>
      <c r="X61" s="160"/>
      <c r="Y61" s="160"/>
      <c r="Z61" s="160"/>
      <c r="AA61" s="160"/>
      <c r="AB61" s="160"/>
      <c r="AC61" s="160"/>
      <c r="AD61" s="160"/>
      <c r="AE61" s="160"/>
      <c r="AF61" s="160"/>
      <c r="AG61" s="160"/>
      <c r="AH61" s="160"/>
      <c r="AI61" s="160"/>
      <c r="AJ61" s="179"/>
      <c r="AK61" s="160">
        <f>IF($AQ$18&gt;0,'Assumptions (Coal)'!$V$14*Model!$AQ$18*'Assumptions (Coal)'!AJ$2/10^9,0)</f>
        <v>0</v>
      </c>
      <c r="AL61" s="160">
        <f>IF($AQ$18&gt;0,'Assumptions (Coal)'!$V$14*Model!$AQ$18*'Assumptions (Coal)'!AK$2/10^9,0)</f>
        <v>0</v>
      </c>
      <c r="AM61" s="160">
        <f>IF($AQ$18&gt;0,'Assumptions (Coal)'!$V$14*Model!$AQ$18*'Assumptions (Coal)'!AL$2/10^9,0)</f>
        <v>0</v>
      </c>
      <c r="AN61" s="160">
        <f>IF($AQ$18&gt;0,'Assumptions (Coal)'!$V$14*Model!$AQ$18*'Assumptions (Coal)'!AM$2/10^9,0)</f>
        <v>0</v>
      </c>
      <c r="AO61" s="160">
        <f>IF($AQ$18&gt;0,'Assumptions (Coal)'!$V$14*Model!$AQ$18*'Assumptions (Coal)'!AN$2/10^9,0)</f>
        <v>0</v>
      </c>
      <c r="AP61" s="160">
        <f>IF($AQ$18&gt;0,'Assumptions (Coal)'!$V$14*Model!$AQ$18*'Assumptions (Coal)'!AO$2/10^9,0)</f>
        <v>0</v>
      </c>
      <c r="AQ61" s="160"/>
      <c r="AR61" s="160"/>
      <c r="AS61" s="160"/>
      <c r="AT61" s="160"/>
      <c r="AU61" s="160"/>
      <c r="AV61" s="160"/>
      <c r="AW61" s="160"/>
      <c r="AX61" s="160"/>
      <c r="AY61" s="160"/>
      <c r="AZ61" s="160"/>
      <c r="BA61" s="160"/>
      <c r="BB61" s="160"/>
      <c r="BC61" s="160"/>
      <c r="BD61" s="160"/>
      <c r="BE61" s="160"/>
      <c r="BF61" s="160"/>
      <c r="BG61" s="160"/>
      <c r="BH61" s="160"/>
      <c r="BI61" s="160"/>
      <c r="BJ61" s="160"/>
      <c r="BK61" s="160"/>
      <c r="BL61" s="160"/>
      <c r="BM61" s="160"/>
      <c r="BN61" s="160"/>
      <c r="BO61" s="160"/>
    </row>
    <row r="62" ht="15.75" hidden="1" customHeight="1" outlineLevel="1">
      <c r="A62" s="158"/>
      <c r="B62" s="38"/>
      <c r="C62" s="174"/>
      <c r="D62" s="174"/>
      <c r="E62" s="174"/>
      <c r="F62" s="174"/>
      <c r="G62" s="174"/>
      <c r="H62" s="174"/>
      <c r="I62" s="174"/>
      <c r="J62" s="174"/>
      <c r="K62" s="174"/>
      <c r="L62" s="174"/>
      <c r="M62" s="174"/>
      <c r="N62" s="174"/>
      <c r="O62" s="174"/>
      <c r="P62" s="174"/>
      <c r="Q62" s="174"/>
      <c r="R62" s="174"/>
      <c r="S62" s="174"/>
      <c r="T62" s="174"/>
      <c r="U62" s="174"/>
      <c r="V62" s="174"/>
      <c r="W62" s="160"/>
      <c r="X62" s="160"/>
      <c r="Y62" s="160"/>
      <c r="Z62" s="160"/>
      <c r="AA62" s="160"/>
      <c r="AB62" s="160"/>
      <c r="AC62" s="160"/>
      <c r="AD62" s="160"/>
      <c r="AE62" s="160"/>
      <c r="AF62" s="160"/>
      <c r="AG62" s="160"/>
      <c r="AH62" s="160"/>
      <c r="AI62" s="160"/>
      <c r="AJ62" s="179"/>
      <c r="AK62" s="160"/>
      <c r="AL62" s="160">
        <f>IF($AR$18&gt;0,'Assumptions (Coal)'!$V$14*Model!$AR$18*'Assumptions (Coal)'!AK$2/10^9,0)</f>
        <v>0</v>
      </c>
      <c r="AM62" s="160">
        <f>IF($AR$18&gt;0,'Assumptions (Coal)'!$V$14*Model!$AR$18*'Assumptions (Coal)'!AL$2/10^9,0)</f>
        <v>0</v>
      </c>
      <c r="AN62" s="160">
        <f>IF($AR$18&gt;0,'Assumptions (Coal)'!$V$14*Model!$AR$18*'Assumptions (Coal)'!AM$2/10^9,0)</f>
        <v>0</v>
      </c>
      <c r="AO62" s="160">
        <f>IF($AR$18&gt;0,'Assumptions (Coal)'!$V$14*Model!$AR$18*'Assumptions (Coal)'!AN$2/10^9,0)</f>
        <v>0</v>
      </c>
      <c r="AP62" s="160">
        <f>IF($AR$18&gt;0,'Assumptions (Coal)'!$V$14*Model!$AR$18*'Assumptions (Coal)'!AO$2/10^9,0)</f>
        <v>0</v>
      </c>
      <c r="AQ62" s="160">
        <f>IF($AR$18&gt;0,'Assumptions (Coal)'!$V$14*Model!$AR$18*'Assumptions (Coal)'!AP$2/10^9,0)</f>
        <v>0</v>
      </c>
      <c r="AR62" s="160"/>
      <c r="AS62" s="160"/>
      <c r="AT62" s="160"/>
      <c r="AU62" s="160"/>
      <c r="AV62" s="160"/>
      <c r="AW62" s="160"/>
      <c r="AX62" s="160"/>
      <c r="AY62" s="160"/>
      <c r="AZ62" s="160"/>
      <c r="BA62" s="160"/>
      <c r="BB62" s="160"/>
      <c r="BC62" s="160"/>
      <c r="BD62" s="160"/>
      <c r="BE62" s="160"/>
      <c r="BF62" s="160"/>
      <c r="BG62" s="160"/>
      <c r="BH62" s="160"/>
      <c r="BI62" s="160"/>
      <c r="BJ62" s="160"/>
      <c r="BK62" s="160"/>
      <c r="BL62" s="160"/>
      <c r="BM62" s="160"/>
      <c r="BN62" s="160"/>
      <c r="BO62" s="160"/>
      <c r="BP62" s="160"/>
    </row>
    <row r="63" ht="15.75" hidden="1" customHeight="1" outlineLevel="1">
      <c r="A63" s="158"/>
      <c r="B63" s="38"/>
      <c r="C63" s="174"/>
      <c r="D63" s="174"/>
      <c r="E63" s="174"/>
      <c r="F63" s="174"/>
      <c r="G63" s="174"/>
      <c r="H63" s="174"/>
      <c r="I63" s="174"/>
      <c r="J63" s="174"/>
      <c r="K63" s="174"/>
      <c r="L63" s="174"/>
      <c r="M63" s="174"/>
      <c r="N63" s="174"/>
      <c r="O63" s="174"/>
      <c r="P63" s="174"/>
      <c r="Q63" s="174"/>
      <c r="R63" s="174"/>
      <c r="S63" s="174"/>
      <c r="T63" s="174"/>
      <c r="U63" s="174"/>
      <c r="V63" s="174"/>
      <c r="W63" s="160"/>
      <c r="X63" s="160"/>
      <c r="Y63" s="160"/>
      <c r="Z63" s="160"/>
      <c r="AA63" s="160"/>
      <c r="AB63" s="160"/>
      <c r="AC63" s="160"/>
      <c r="AD63" s="160"/>
      <c r="AE63" s="160"/>
      <c r="AF63" s="160"/>
      <c r="AG63" s="160"/>
      <c r="AH63" s="160"/>
      <c r="AI63" s="160"/>
      <c r="AJ63" s="179"/>
      <c r="AK63" s="160"/>
      <c r="AL63" s="177"/>
      <c r="AM63" s="160">
        <f>IF($AS$18&gt;0,'Assumptions (Coal)'!$V$14*Model!$AS$18*'Assumptions (Coal)'!AL$2/10^9,0)</f>
        <v>0</v>
      </c>
      <c r="AN63" s="160">
        <f>IF($AS$18&gt;0,'Assumptions (Coal)'!$V$14*Model!$AS$18*'Assumptions (Coal)'!AM$2/10^9,0)</f>
        <v>0</v>
      </c>
      <c r="AO63" s="160">
        <f>IF($AS$18&gt;0,'Assumptions (Coal)'!$V$14*Model!$AS$18*'Assumptions (Coal)'!AN$2/10^9,0)</f>
        <v>0</v>
      </c>
      <c r="AP63" s="160">
        <f>IF($AS$18&gt;0,'Assumptions (Coal)'!$V$14*Model!$AS$18*'Assumptions (Coal)'!AO$2/10^9,0)</f>
        <v>0</v>
      </c>
      <c r="AQ63" s="160">
        <f>IF($AS$18&gt;0,'Assumptions (Coal)'!$V$14*Model!$AS$18*'Assumptions (Coal)'!AP$2/10^9,0)</f>
        <v>0</v>
      </c>
      <c r="AR63" s="160">
        <f>IF($AS$18&gt;0,'Assumptions (Coal)'!$V$14*Model!$AS$18*'Assumptions (Coal)'!AQ$2/10^9,0)</f>
        <v>0</v>
      </c>
      <c r="AS63" s="160"/>
      <c r="AT63" s="160"/>
      <c r="AU63" s="160"/>
      <c r="AV63" s="160"/>
      <c r="AW63" s="160"/>
      <c r="AX63" s="160"/>
      <c r="AY63" s="160"/>
      <c r="AZ63" s="160"/>
      <c r="BA63" s="160"/>
      <c r="BB63" s="160"/>
      <c r="BC63" s="160"/>
      <c r="BD63" s="160"/>
      <c r="BE63" s="160"/>
      <c r="BF63" s="160"/>
      <c r="BG63" s="160"/>
      <c r="BH63" s="160"/>
      <c r="BI63" s="160"/>
      <c r="BJ63" s="160"/>
      <c r="BK63" s="160"/>
      <c r="BL63" s="160"/>
      <c r="BM63" s="160"/>
      <c r="BN63" s="160"/>
      <c r="BO63" s="160"/>
      <c r="BP63" s="160"/>
      <c r="BQ63" s="160"/>
      <c r="BR63" s="160"/>
    </row>
    <row r="64" ht="15.75" hidden="1" customHeight="1" outlineLevel="1">
      <c r="A64" s="158"/>
      <c r="B64" s="38"/>
      <c r="C64" s="174"/>
      <c r="D64" s="174"/>
      <c r="E64" s="174"/>
      <c r="F64" s="174"/>
      <c r="G64" s="174"/>
      <c r="H64" s="174"/>
      <c r="I64" s="174"/>
      <c r="J64" s="174"/>
      <c r="K64" s="174"/>
      <c r="L64" s="174"/>
      <c r="M64" s="174"/>
      <c r="N64" s="174"/>
      <c r="O64" s="174"/>
      <c r="P64" s="174"/>
      <c r="Q64" s="174"/>
      <c r="R64" s="174"/>
      <c r="S64" s="174"/>
      <c r="T64" s="174"/>
      <c r="U64" s="174"/>
      <c r="V64" s="174"/>
      <c r="W64" s="160"/>
      <c r="X64" s="160"/>
      <c r="Y64" s="160"/>
      <c r="Z64" s="160"/>
      <c r="AA64" s="160"/>
      <c r="AB64" s="160"/>
      <c r="AC64" s="160"/>
      <c r="AD64" s="160"/>
      <c r="AE64" s="160"/>
      <c r="AF64" s="160"/>
      <c r="AG64" s="160"/>
      <c r="AH64" s="160"/>
      <c r="AI64" s="160"/>
      <c r="AJ64" s="179"/>
      <c r="AK64" s="160"/>
      <c r="AL64" s="177"/>
      <c r="AM64" s="177"/>
      <c r="AN64" s="160">
        <f>IF($AT$18&gt;0,'Assumptions (Coal)'!$V$14*Model!$AT$18*'Assumptions (Coal)'!AM$2/10^9,0)</f>
        <v>0</v>
      </c>
      <c r="AO64" s="160">
        <f>IF($AT$18&gt;0,'Assumptions (Coal)'!$V$14*Model!$AT$18*'Assumptions (Coal)'!AN$2/10^9,0)</f>
        <v>0</v>
      </c>
      <c r="AP64" s="160">
        <f>IF($AT$18&gt;0,'Assumptions (Coal)'!$V$14*Model!$AT$18*'Assumptions (Coal)'!AO$2/10^9,0)</f>
        <v>0</v>
      </c>
      <c r="AQ64" s="160">
        <f>IF($AT$18&gt;0,'Assumptions (Coal)'!$V$14*Model!$AT$18*'Assumptions (Coal)'!AP$2/10^9,0)</f>
        <v>0</v>
      </c>
      <c r="AR64" s="160">
        <f>IF($AT$18&gt;0,'Assumptions (Coal)'!$V$14*Model!$AT$18*'Assumptions (Coal)'!AQ$2/10^9,0)</f>
        <v>0</v>
      </c>
      <c r="AS64" s="160">
        <f>IF($AT$18&gt;0,'Assumptions (Coal)'!$V$14*Model!$AT$18*'Assumptions (Coal)'!AR$2/10^9,0)</f>
        <v>0</v>
      </c>
      <c r="AT64" s="160"/>
      <c r="AU64" s="160"/>
      <c r="AV64" s="160"/>
      <c r="AW64" s="160"/>
      <c r="AX64" s="160"/>
      <c r="AY64" s="160"/>
      <c r="AZ64" s="160"/>
      <c r="BA64" s="160"/>
      <c r="BB64" s="160"/>
      <c r="BC64" s="160"/>
      <c r="BD64" s="160"/>
      <c r="BE64" s="160"/>
      <c r="BF64" s="160"/>
      <c r="BG64" s="160"/>
      <c r="BH64" s="160"/>
      <c r="BI64" s="160"/>
      <c r="BJ64" s="160"/>
      <c r="BK64" s="160"/>
      <c r="BL64" s="160"/>
      <c r="BM64" s="160"/>
      <c r="BN64" s="160"/>
      <c r="BO64" s="160"/>
      <c r="BP64" s="160"/>
      <c r="BQ64" s="160"/>
      <c r="BR64" s="160"/>
    </row>
    <row r="65" ht="15.75" hidden="1" customHeight="1" outlineLevel="1">
      <c r="A65" s="158"/>
      <c r="B65" s="38"/>
      <c r="C65" s="174"/>
      <c r="D65" s="174"/>
      <c r="E65" s="174"/>
      <c r="F65" s="174"/>
      <c r="G65" s="174"/>
      <c r="H65" s="174"/>
      <c r="I65" s="174"/>
      <c r="J65" s="174"/>
      <c r="K65" s="174"/>
      <c r="L65" s="174"/>
      <c r="M65" s="174"/>
      <c r="N65" s="174"/>
      <c r="O65" s="174"/>
      <c r="P65" s="174"/>
      <c r="Q65" s="174"/>
      <c r="R65" s="174"/>
      <c r="S65" s="174"/>
      <c r="T65" s="174"/>
      <c r="U65" s="174"/>
      <c r="V65" s="174"/>
      <c r="W65" s="160"/>
      <c r="X65" s="160"/>
      <c r="Y65" s="160"/>
      <c r="Z65" s="160"/>
      <c r="AA65" s="160"/>
      <c r="AB65" s="160"/>
      <c r="AC65" s="160"/>
      <c r="AD65" s="160"/>
      <c r="AE65" s="160"/>
      <c r="AF65" s="160"/>
      <c r="AG65" s="160"/>
      <c r="AH65" s="160"/>
      <c r="AI65" s="160"/>
      <c r="AJ65" s="179"/>
      <c r="AK65" s="160"/>
      <c r="AL65" s="177"/>
      <c r="AM65" s="177"/>
      <c r="AN65" s="177"/>
      <c r="AO65" s="160">
        <f>IF($AU$18&gt;0,'Assumptions (Coal)'!$V$14*Model!$AU$18*'Assumptions (Coal)'!AN$2/10^9,0)</f>
        <v>0</v>
      </c>
      <c r="AP65" s="160">
        <f>IF($AU$18&gt;0,'Assumptions (Coal)'!$V$14*Model!$AU$18*'Assumptions (Coal)'!AO$2/10^9,0)</f>
        <v>0</v>
      </c>
      <c r="AQ65" s="160">
        <f>IF($AU$18&gt;0,'Assumptions (Coal)'!$V$14*Model!$AU$18*'Assumptions (Coal)'!AP$2/10^9,0)</f>
        <v>0</v>
      </c>
      <c r="AR65" s="160">
        <f>IF($AU$18&gt;0,'Assumptions (Coal)'!$V$14*Model!$AU$18*'Assumptions (Coal)'!AQ$2/10^9,0)</f>
        <v>0</v>
      </c>
      <c r="AS65" s="160">
        <f>IF($AU$18&gt;0,'Assumptions (Coal)'!$V$14*Model!$AU$18*'Assumptions (Coal)'!AR$2/10^9,0)</f>
        <v>0</v>
      </c>
      <c r="AT65" s="160">
        <f>IF($AU$18&gt;0,'Assumptions (Coal)'!$V$14*Model!$AU$18*'Assumptions (Coal)'!AS$2/10^9,0)</f>
        <v>0</v>
      </c>
      <c r="AU65" s="160"/>
      <c r="AV65" s="160"/>
      <c r="AW65" s="160"/>
      <c r="AX65" s="160"/>
      <c r="AY65" s="160"/>
      <c r="AZ65" s="160"/>
      <c r="BA65" s="160"/>
      <c r="BB65" s="160"/>
      <c r="BC65" s="160"/>
      <c r="BD65" s="160"/>
      <c r="BE65" s="160"/>
      <c r="BF65" s="160"/>
      <c r="BG65" s="160"/>
      <c r="BH65" s="160"/>
      <c r="BI65" s="160"/>
      <c r="BJ65" s="160"/>
      <c r="BK65" s="160"/>
      <c r="BL65" s="160"/>
      <c r="BM65" s="160"/>
      <c r="BN65" s="160"/>
      <c r="BO65" s="160"/>
      <c r="BP65" s="160"/>
      <c r="BQ65" s="160"/>
      <c r="BR65" s="160"/>
      <c r="BS65" s="160"/>
    </row>
    <row r="66" ht="15.75" hidden="1" customHeight="1" outlineLevel="1">
      <c r="A66" s="158"/>
      <c r="B66" s="38"/>
      <c r="C66" s="174"/>
      <c r="D66" s="174"/>
      <c r="E66" s="174"/>
      <c r="F66" s="174"/>
      <c r="G66" s="174"/>
      <c r="H66" s="174"/>
      <c r="I66" s="174"/>
      <c r="J66" s="174"/>
      <c r="K66" s="174"/>
      <c r="L66" s="174"/>
      <c r="M66" s="174"/>
      <c r="N66" s="174"/>
      <c r="O66" s="174"/>
      <c r="P66" s="174"/>
      <c r="Q66" s="174"/>
      <c r="R66" s="174"/>
      <c r="S66" s="174"/>
      <c r="T66" s="174"/>
      <c r="U66" s="174"/>
      <c r="V66" s="174"/>
      <c r="W66" s="160"/>
      <c r="X66" s="160"/>
      <c r="Y66" s="160"/>
      <c r="Z66" s="160"/>
      <c r="AA66" s="160"/>
      <c r="AB66" s="160"/>
      <c r="AC66" s="160"/>
      <c r="AD66" s="160"/>
      <c r="AE66" s="160"/>
      <c r="AF66" s="160"/>
      <c r="AG66" s="160"/>
      <c r="AH66" s="160"/>
      <c r="AI66" s="160"/>
      <c r="AJ66" s="179"/>
      <c r="AK66" s="160"/>
      <c r="AL66" s="177"/>
      <c r="AM66" s="177"/>
      <c r="AN66" s="177"/>
      <c r="AO66" s="160"/>
      <c r="AP66" s="160">
        <f>IF($AV$18&gt;0,'Assumptions (Coal)'!$V$14*Model!$AV$18*'Assumptions (Coal)'!AO$2/10^9,0)</f>
        <v>0</v>
      </c>
      <c r="AQ66" s="160">
        <f>IF($AV$18&gt;0,'Assumptions (Coal)'!$V$14*Model!$AV$18*'Assumptions (Coal)'!AP$2/10^9,0)</f>
        <v>0</v>
      </c>
      <c r="AR66" s="160">
        <f>IF($AV$18&gt;0,'Assumptions (Coal)'!$V$14*Model!$AV$18*'Assumptions (Coal)'!AQ$2/10^9,0)</f>
        <v>0</v>
      </c>
      <c r="AS66" s="160">
        <f>IF($AV$18&gt;0,'Assumptions (Coal)'!$V$14*Model!$AV$18*'Assumptions (Coal)'!AR$2/10^9,0)</f>
        <v>0</v>
      </c>
      <c r="AT66" s="160">
        <f>IF($AV$18&gt;0,'Assumptions (Coal)'!$V$14*Model!$AV$18*'Assumptions (Coal)'!AS$2/10^9,0)</f>
        <v>0</v>
      </c>
      <c r="AU66" s="160">
        <f>IF($AV$18&gt;0,'Assumptions (Coal)'!$V$14*Model!$AV$18*'Assumptions (Coal)'!AT$2/10^9,0)</f>
        <v>0</v>
      </c>
      <c r="AV66" s="160"/>
      <c r="AW66" s="160"/>
      <c r="AX66" s="160"/>
      <c r="AY66" s="160"/>
      <c r="AZ66" s="160"/>
      <c r="BA66" s="160"/>
      <c r="BB66" s="160"/>
      <c r="BC66" s="160"/>
      <c r="BD66" s="160"/>
      <c r="BE66" s="160"/>
      <c r="BF66" s="160"/>
      <c r="BG66" s="160"/>
      <c r="BH66" s="160"/>
      <c r="BI66" s="160"/>
      <c r="BJ66" s="160"/>
      <c r="BK66" s="160"/>
      <c r="BL66" s="160"/>
      <c r="BM66" s="160"/>
      <c r="BN66" s="160"/>
      <c r="BO66" s="160"/>
      <c r="BP66" s="160"/>
      <c r="BQ66" s="160"/>
      <c r="BR66" s="160"/>
      <c r="BS66" s="160"/>
      <c r="BT66" s="160"/>
    </row>
    <row r="67" ht="15.75" hidden="1" customHeight="1" outlineLevel="1">
      <c r="A67" s="158"/>
      <c r="B67" s="38"/>
      <c r="C67" s="174"/>
      <c r="D67" s="174"/>
      <c r="E67" s="174"/>
      <c r="F67" s="174"/>
      <c r="G67" s="174"/>
      <c r="H67" s="174"/>
      <c r="I67" s="174"/>
      <c r="J67" s="174"/>
      <c r="K67" s="174"/>
      <c r="L67" s="174"/>
      <c r="M67" s="174"/>
      <c r="N67" s="174"/>
      <c r="O67" s="174"/>
      <c r="P67" s="174"/>
      <c r="Q67" s="174"/>
      <c r="R67" s="174"/>
      <c r="S67" s="174"/>
      <c r="T67" s="174"/>
      <c r="U67" s="174"/>
      <c r="V67" s="174"/>
      <c r="W67" s="160"/>
      <c r="X67" s="160"/>
      <c r="Y67" s="160"/>
      <c r="Z67" s="160"/>
      <c r="AA67" s="160"/>
      <c r="AB67" s="160"/>
      <c r="AC67" s="160"/>
      <c r="AD67" s="160"/>
      <c r="AE67" s="160"/>
      <c r="AF67" s="160"/>
      <c r="AG67" s="160"/>
      <c r="AH67" s="160"/>
      <c r="AI67" s="160"/>
      <c r="AJ67" s="179"/>
      <c r="AK67" s="160"/>
      <c r="AL67" s="177"/>
      <c r="AM67" s="177"/>
      <c r="AN67" s="177"/>
      <c r="AO67" s="160"/>
      <c r="AP67" s="160"/>
      <c r="AQ67" s="160">
        <f>IF($AW$18&gt;0,'Assumptions (Coal)'!$V$14*Model!$AW$18*'Assumptions (Coal)'!AP$2/10^9,0)</f>
        <v>0</v>
      </c>
      <c r="AR67" s="160">
        <f>IF($AW$18&gt;0,'Assumptions (Coal)'!$V$14*Model!$AW$18*'Assumptions (Coal)'!AQ$2/10^9,0)</f>
        <v>0</v>
      </c>
      <c r="AS67" s="160">
        <f>IF($AW$18&gt;0,'Assumptions (Coal)'!$V$14*Model!$AW$18*'Assumptions (Coal)'!AR$2/10^9,0)</f>
        <v>0</v>
      </c>
      <c r="AT67" s="160">
        <f>IF($AW$18&gt;0,'Assumptions (Coal)'!$V$14*Model!$AW$18*'Assumptions (Coal)'!AS$2/10^9,0)</f>
        <v>0</v>
      </c>
      <c r="AU67" s="160">
        <f>IF($AW$18&gt;0,'Assumptions (Coal)'!$V$14*Model!$AW$18*'Assumptions (Coal)'!AT$2/10^9,0)</f>
        <v>0</v>
      </c>
      <c r="AV67" s="160">
        <f>IF($AW$18&gt;0,'Assumptions (Coal)'!$V$14*Model!$AW$18*'Assumptions (Coal)'!AU$2/10^9,0)</f>
        <v>0</v>
      </c>
      <c r="AW67" s="160"/>
      <c r="AX67" s="160"/>
      <c r="AY67" s="160"/>
      <c r="AZ67" s="160"/>
      <c r="BA67" s="160"/>
      <c r="BB67" s="160"/>
      <c r="BC67" s="160"/>
      <c r="BD67" s="160"/>
      <c r="BE67" s="160"/>
      <c r="BF67" s="160"/>
      <c r="BG67" s="160"/>
      <c r="BH67" s="160"/>
      <c r="BI67" s="160"/>
      <c r="BJ67" s="160"/>
      <c r="BK67" s="160"/>
      <c r="BL67" s="160"/>
      <c r="BM67" s="160"/>
      <c r="BN67" s="160"/>
      <c r="BO67" s="160"/>
      <c r="BP67" s="160"/>
      <c r="BQ67" s="160"/>
      <c r="BR67" s="160"/>
      <c r="BS67" s="160"/>
      <c r="BT67" s="160"/>
      <c r="BU67" s="160"/>
    </row>
    <row r="68" ht="15.75" hidden="1" customHeight="1" outlineLevel="1">
      <c r="A68" s="158"/>
      <c r="B68" s="38"/>
      <c r="C68" s="174"/>
      <c r="D68" s="174"/>
      <c r="E68" s="174"/>
      <c r="F68" s="174"/>
      <c r="G68" s="174"/>
      <c r="H68" s="174"/>
      <c r="I68" s="174"/>
      <c r="J68" s="174"/>
      <c r="K68" s="174"/>
      <c r="L68" s="174"/>
      <c r="M68" s="174"/>
      <c r="N68" s="174"/>
      <c r="O68" s="174"/>
      <c r="P68" s="174"/>
      <c r="Q68" s="174"/>
      <c r="R68" s="174"/>
      <c r="S68" s="174"/>
      <c r="T68" s="174"/>
      <c r="U68" s="174"/>
      <c r="V68" s="174"/>
      <c r="W68" s="160"/>
      <c r="X68" s="160"/>
      <c r="Y68" s="160"/>
      <c r="Z68" s="160"/>
      <c r="AA68" s="160"/>
      <c r="AB68" s="160"/>
      <c r="AC68" s="160"/>
      <c r="AD68" s="160"/>
      <c r="AE68" s="160"/>
      <c r="AF68" s="160"/>
      <c r="AG68" s="160"/>
      <c r="AH68" s="160"/>
      <c r="AI68" s="160"/>
      <c r="AJ68" s="179"/>
      <c r="AK68" s="160"/>
      <c r="AL68" s="177"/>
      <c r="AM68" s="177"/>
      <c r="AN68" s="177"/>
      <c r="AO68" s="160"/>
      <c r="AP68" s="160"/>
      <c r="AQ68" s="160"/>
      <c r="AR68" s="160">
        <f>IF($AX$18&gt;0,'Assumptions (Coal)'!$V$14*Model!$AX$18*'Assumptions (Coal)'!AQ$2/10^9,0)</f>
        <v>0</v>
      </c>
      <c r="AS68" s="160">
        <f>IF($AX$18&gt;0,'Assumptions (Coal)'!$V$14*Model!$AX$18*'Assumptions (Coal)'!AR$2/10^9,0)</f>
        <v>0</v>
      </c>
      <c r="AT68" s="160">
        <f>IF($AX$18&gt;0,'Assumptions (Coal)'!$V$14*Model!$AX$18*'Assumptions (Coal)'!AS$2/10^9,0)</f>
        <v>0</v>
      </c>
      <c r="AU68" s="160">
        <f>IF($AX$18&gt;0,'Assumptions (Coal)'!$V$14*Model!$AX$18*'Assumptions (Coal)'!AT$2/10^9,0)</f>
        <v>0</v>
      </c>
      <c r="AV68" s="160">
        <f>IF($AX$18&gt;0,'Assumptions (Coal)'!$V$14*Model!$AX$18*'Assumptions (Coal)'!AU$2/10^9,0)</f>
        <v>0</v>
      </c>
      <c r="AW68" s="160">
        <f>IF($AX$18&gt;0,'Assumptions (Coal)'!$V$14*Model!$AX$18*'Assumptions (Coal)'!AV$2/10^9,0)</f>
        <v>0</v>
      </c>
      <c r="AX68" s="160"/>
      <c r="AY68" s="160"/>
      <c r="AZ68" s="160"/>
      <c r="BA68" s="160"/>
      <c r="BB68" s="160"/>
      <c r="BC68" s="160"/>
      <c r="BD68" s="160"/>
      <c r="BE68" s="160"/>
      <c r="BF68" s="160"/>
      <c r="BG68" s="160"/>
      <c r="BH68" s="160"/>
      <c r="BI68" s="160"/>
      <c r="BJ68" s="160"/>
      <c r="BK68" s="160"/>
      <c r="BL68" s="160"/>
      <c r="BM68" s="160"/>
      <c r="BN68" s="160"/>
      <c r="BO68" s="160"/>
      <c r="BP68" s="160"/>
      <c r="BQ68" s="160"/>
      <c r="BR68" s="160"/>
      <c r="BS68" s="160"/>
      <c r="BT68" s="160"/>
      <c r="BU68" s="160"/>
      <c r="BV68" s="160"/>
    </row>
    <row r="69" ht="15.75" hidden="1" customHeight="1" outlineLevel="1">
      <c r="A69" s="158"/>
      <c r="B69" s="38"/>
      <c r="C69" s="174"/>
      <c r="D69" s="174"/>
      <c r="E69" s="174"/>
      <c r="F69" s="174"/>
      <c r="G69" s="174"/>
      <c r="H69" s="174"/>
      <c r="I69" s="174"/>
      <c r="J69" s="174"/>
      <c r="K69" s="174"/>
      <c r="L69" s="174"/>
      <c r="M69" s="174"/>
      <c r="N69" s="174"/>
      <c r="O69" s="174"/>
      <c r="P69" s="174"/>
      <c r="Q69" s="174"/>
      <c r="R69" s="174"/>
      <c r="S69" s="174"/>
      <c r="T69" s="174"/>
      <c r="U69" s="174"/>
      <c r="V69" s="174"/>
      <c r="W69" s="160"/>
      <c r="X69" s="160"/>
      <c r="Y69" s="160"/>
      <c r="Z69" s="160"/>
      <c r="AA69" s="160"/>
      <c r="AB69" s="160"/>
      <c r="AC69" s="160"/>
      <c r="AD69" s="160"/>
      <c r="AE69" s="160"/>
      <c r="AF69" s="160"/>
      <c r="AG69" s="160"/>
      <c r="AH69" s="160"/>
      <c r="AI69" s="160"/>
      <c r="AJ69" s="179"/>
      <c r="AK69" s="160"/>
      <c r="AL69" s="177"/>
      <c r="AM69" s="177"/>
      <c r="AN69" s="177"/>
      <c r="AO69" s="160"/>
      <c r="AP69" s="160"/>
      <c r="AQ69" s="160"/>
      <c r="AR69" s="160"/>
      <c r="AS69" s="160">
        <f>IF($AY$18&gt;0,'Assumptions (Coal)'!$V$14*Model!$AY$18*'Assumptions (Coal)'!AR$2/10^9,0)</f>
        <v>0</v>
      </c>
      <c r="AT69" s="160">
        <f>IF($AY$18&gt;0,'Assumptions (Coal)'!$V$14*Model!$AY$18*'Assumptions (Coal)'!AS$2/10^9,0)</f>
        <v>0</v>
      </c>
      <c r="AU69" s="160">
        <f>IF($AY$18&gt;0,'Assumptions (Coal)'!$V$14*Model!$AY$18*'Assumptions (Coal)'!AT$2/10^9,0)</f>
        <v>0</v>
      </c>
      <c r="AV69" s="160">
        <f>IF($AY$18&gt;0,'Assumptions (Coal)'!$V$14*Model!$AY$18*'Assumptions (Coal)'!AU$2/10^9,0)</f>
        <v>0</v>
      </c>
      <c r="AW69" s="160">
        <f>IF($AY$18&gt;0,'Assumptions (Coal)'!$V$14*Model!$AY$18*'Assumptions (Coal)'!AV$2/10^9,0)</f>
        <v>0</v>
      </c>
      <c r="AX69" s="160">
        <f>IF($AY$18&gt;0,'Assumptions (Coal)'!$V$14*Model!$AY$18*'Assumptions (Coal)'!AW$2/10^9,0)</f>
        <v>0</v>
      </c>
      <c r="AY69" s="160"/>
      <c r="AZ69" s="160"/>
      <c r="BA69" s="160"/>
      <c r="BB69" s="160"/>
      <c r="BC69" s="160"/>
      <c r="BD69" s="160"/>
      <c r="BE69" s="160"/>
      <c r="BF69" s="160"/>
      <c r="BG69" s="160"/>
      <c r="BH69" s="160"/>
      <c r="BI69" s="160"/>
      <c r="BJ69" s="160"/>
      <c r="BK69" s="160"/>
      <c r="BL69" s="160"/>
      <c r="BM69" s="160"/>
      <c r="BN69" s="160"/>
      <c r="BO69" s="160"/>
      <c r="BP69" s="160"/>
      <c r="BQ69" s="160"/>
      <c r="BR69" s="160"/>
      <c r="BS69" s="160"/>
      <c r="BT69" s="160"/>
      <c r="BU69" s="160"/>
      <c r="BV69" s="160"/>
      <c r="BW69" s="160"/>
    </row>
    <row r="70" ht="15.75" hidden="1" customHeight="1" outlineLevel="1">
      <c r="A70" s="158"/>
      <c r="B70" s="38"/>
      <c r="C70" s="174"/>
      <c r="D70" s="174"/>
      <c r="E70" s="174"/>
      <c r="F70" s="174"/>
      <c r="G70" s="174"/>
      <c r="H70" s="174"/>
      <c r="I70" s="174"/>
      <c r="J70" s="174"/>
      <c r="K70" s="174"/>
      <c r="L70" s="174"/>
      <c r="M70" s="174"/>
      <c r="N70" s="174"/>
      <c r="O70" s="174"/>
      <c r="P70" s="174"/>
      <c r="Q70" s="174"/>
      <c r="R70" s="174"/>
      <c r="S70" s="174"/>
      <c r="T70" s="174"/>
      <c r="U70" s="174"/>
      <c r="V70" s="174"/>
      <c r="W70" s="160"/>
      <c r="X70" s="160"/>
      <c r="Y70" s="160"/>
      <c r="Z70" s="160"/>
      <c r="AA70" s="160"/>
      <c r="AB70" s="160"/>
      <c r="AC70" s="160"/>
      <c r="AD70" s="160"/>
      <c r="AE70" s="160"/>
      <c r="AF70" s="160"/>
      <c r="AG70" s="160"/>
      <c r="AH70" s="160"/>
      <c r="AI70" s="160"/>
      <c r="AJ70" s="179"/>
      <c r="AK70" s="160"/>
      <c r="AL70" s="177"/>
      <c r="AM70" s="177"/>
      <c r="AN70" s="177"/>
      <c r="AO70" s="160"/>
      <c r="AP70" s="160"/>
      <c r="AQ70" s="160"/>
      <c r="AR70" s="160"/>
      <c r="AS70" s="160"/>
      <c r="AT70" s="160">
        <f>IF($AZ$18&gt;0,'Assumptions (Coal)'!$V$14*Model!$AZ$18*'Assumptions (Coal)'!AS$2/10^9,0)</f>
        <v>0</v>
      </c>
      <c r="AU70" s="160">
        <f>IF($AZ$18&gt;0,'Assumptions (Coal)'!$V$14*Model!$AZ$18*'Assumptions (Coal)'!AT$2/10^9,0)</f>
        <v>0</v>
      </c>
      <c r="AV70" s="160">
        <f>IF($AZ$18&gt;0,'Assumptions (Coal)'!$V$14*Model!$AZ$18*'Assumptions (Coal)'!AU$2/10^9,0)</f>
        <v>0</v>
      </c>
      <c r="AW70" s="160">
        <f>IF($AZ$18&gt;0,'Assumptions (Coal)'!$V$14*Model!$AZ$18*'Assumptions (Coal)'!AV$2/10^9,0)</f>
        <v>0</v>
      </c>
      <c r="AX70" s="160">
        <f>IF($AZ$18&gt;0,'Assumptions (Coal)'!$V$14*Model!$AZ$18*'Assumptions (Coal)'!AW$2/10^9,0)</f>
        <v>0</v>
      </c>
      <c r="AY70" s="160">
        <f>IF($AZ$18&gt;0,'Assumptions (Coal)'!$V$14*Model!$AZ$18*'Assumptions (Coal)'!AX$2/10^9,0)</f>
        <v>0</v>
      </c>
      <c r="AZ70" s="160"/>
      <c r="BA70" s="160"/>
      <c r="BB70" s="160"/>
      <c r="BC70" s="160"/>
      <c r="BD70" s="160"/>
      <c r="BE70" s="160"/>
      <c r="BF70" s="160"/>
      <c r="BG70" s="160"/>
      <c r="BH70" s="160"/>
      <c r="BI70" s="160"/>
      <c r="BJ70" s="160"/>
      <c r="BK70" s="160"/>
      <c r="BL70" s="160"/>
      <c r="BM70" s="160"/>
      <c r="BN70" s="160"/>
      <c r="BO70" s="160"/>
      <c r="BP70" s="160"/>
      <c r="BQ70" s="160"/>
      <c r="BR70" s="160"/>
      <c r="BS70" s="160"/>
      <c r="BT70" s="160"/>
      <c r="BU70" s="160"/>
      <c r="BV70" s="160"/>
      <c r="BW70" s="160"/>
      <c r="BX70" s="160"/>
    </row>
    <row r="71" ht="15.75" hidden="1" customHeight="1" outlineLevel="1">
      <c r="A71" s="158"/>
      <c r="B71" s="38"/>
      <c r="C71" s="174"/>
      <c r="D71" s="174"/>
      <c r="E71" s="174"/>
      <c r="F71" s="174"/>
      <c r="G71" s="174"/>
      <c r="H71" s="174"/>
      <c r="I71" s="174"/>
      <c r="J71" s="174"/>
      <c r="K71" s="174"/>
      <c r="L71" s="174"/>
      <c r="M71" s="174"/>
      <c r="N71" s="174"/>
      <c r="O71" s="174"/>
      <c r="P71" s="174"/>
      <c r="Q71" s="174"/>
      <c r="R71" s="174"/>
      <c r="S71" s="174"/>
      <c r="T71" s="174"/>
      <c r="U71" s="174"/>
      <c r="V71" s="174"/>
      <c r="W71" s="160"/>
      <c r="X71" s="160"/>
      <c r="Y71" s="160"/>
      <c r="Z71" s="160"/>
      <c r="AA71" s="160"/>
      <c r="AB71" s="160"/>
      <c r="AC71" s="160"/>
      <c r="AD71" s="160"/>
      <c r="AE71" s="160"/>
      <c r="AF71" s="160"/>
      <c r="AG71" s="160"/>
      <c r="AH71" s="160"/>
      <c r="AI71" s="160"/>
      <c r="AJ71" s="179"/>
      <c r="AK71" s="160"/>
      <c r="AL71" s="177"/>
      <c r="AM71" s="177"/>
      <c r="AN71" s="177"/>
      <c r="AO71" s="160"/>
      <c r="AP71" s="160"/>
      <c r="AQ71" s="160"/>
      <c r="AR71" s="160"/>
      <c r="AS71" s="160"/>
      <c r="AT71" s="160"/>
      <c r="AU71" s="160">
        <f>IF($BA$18&gt;0,'Assumptions (Coal)'!$V$14*Model!$BA$18*'Assumptions (Coal)'!AT$2/10^9,0)</f>
        <v>0</v>
      </c>
      <c r="AV71" s="160">
        <f>IF($BA$18&gt;0,'Assumptions (Coal)'!$V$14*Model!$BA$18*'Assumptions (Coal)'!AU$2/10^9,0)</f>
        <v>0</v>
      </c>
      <c r="AW71" s="160">
        <f>IF($BA$18&gt;0,'Assumptions (Coal)'!$V$14*Model!$BA$18*'Assumptions (Coal)'!AV$2/10^9,0)</f>
        <v>0</v>
      </c>
      <c r="AX71" s="160">
        <f>IF($BA$18&gt;0,'Assumptions (Coal)'!$V$14*Model!$BA$18*'Assumptions (Coal)'!AW$2/10^9,0)</f>
        <v>0</v>
      </c>
      <c r="AY71" s="160">
        <f>IF($BA$18&gt;0,'Assumptions (Coal)'!$V$14*Model!$BA$18*'Assumptions (Coal)'!AX$2/10^9,0)</f>
        <v>0</v>
      </c>
      <c r="AZ71" s="160">
        <f>IF($BA$18&gt;0,'Assumptions (Coal)'!$V$14*Model!$BA$18*'Assumptions (Coal)'!AY$2/10^9,0)</f>
        <v>0</v>
      </c>
      <c r="BA71" s="160"/>
      <c r="BB71" s="160"/>
      <c r="BC71" s="160"/>
      <c r="BD71" s="160"/>
      <c r="BE71" s="160"/>
      <c r="BF71" s="160"/>
      <c r="BG71" s="160"/>
      <c r="BH71" s="160"/>
      <c r="BI71" s="160"/>
      <c r="BJ71" s="160"/>
      <c r="BK71" s="160"/>
      <c r="BL71" s="160"/>
      <c r="BM71" s="160"/>
      <c r="BN71" s="160"/>
      <c r="BO71" s="160"/>
      <c r="BP71" s="160"/>
      <c r="BQ71" s="160"/>
      <c r="BR71" s="160"/>
      <c r="BS71" s="160"/>
      <c r="BT71" s="160"/>
      <c r="BU71" s="160"/>
      <c r="BV71" s="160"/>
      <c r="BW71" s="160"/>
      <c r="BX71" s="160"/>
      <c r="BY71" s="160"/>
    </row>
    <row r="72" ht="15.75" hidden="1" customHeight="1" outlineLevel="1">
      <c r="A72" s="158"/>
      <c r="B72" s="38"/>
      <c r="C72" s="160"/>
      <c r="D72" s="160"/>
      <c r="E72" s="160"/>
      <c r="F72" s="160"/>
      <c r="G72" s="160"/>
      <c r="H72" s="160"/>
      <c r="I72" s="160"/>
      <c r="J72" s="160"/>
      <c r="K72" s="160"/>
      <c r="L72" s="160"/>
      <c r="M72" s="160"/>
      <c r="N72" s="160"/>
      <c r="O72" s="160"/>
      <c r="P72" s="160"/>
      <c r="Q72" s="160"/>
      <c r="R72" s="160"/>
      <c r="S72" s="160"/>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0">
        <f>IF($BB$18&gt;0,'Assumptions (Coal)'!$V$14*Model!$BB$18*'Assumptions (Coal)'!AU$2/10^9,0)</f>
        <v>0</v>
      </c>
      <c r="AW72" s="160">
        <f>IF($BB$18&gt;0,'Assumptions (Coal)'!$V$14*Model!$BB$18*'Assumptions (Coal)'!AV$2/10^9,0)</f>
        <v>0</v>
      </c>
      <c r="AX72" s="160">
        <f>IF($BB$18&gt;0,'Assumptions (Coal)'!$V$14*Model!$BB$18*'Assumptions (Coal)'!AW$2/10^9,0)</f>
        <v>0</v>
      </c>
      <c r="AY72" s="160">
        <f>IF($BB$18&gt;0,'Assumptions (Coal)'!$V$14*Model!$BB$18*'Assumptions (Coal)'!AX$2/10^9,0)</f>
        <v>0</v>
      </c>
      <c r="AZ72" s="160">
        <f>IF($BB$18&gt;0,'Assumptions (Coal)'!$V$14*Model!$BB$18*'Assumptions (Coal)'!AY$2/10^9,0)</f>
        <v>0</v>
      </c>
      <c r="BA72" s="160">
        <f>IF($BB$18&gt;0,'Assumptions (Coal)'!$V$14*Model!$BB$18*'Assumptions (Coal)'!AZ$2/10^9,0)</f>
        <v>0</v>
      </c>
    </row>
    <row r="73" ht="15.75" hidden="1" customHeight="1" outlineLevel="1">
      <c r="A73" s="158"/>
      <c r="B73" s="38"/>
      <c r="C73" s="160"/>
      <c r="D73" s="160"/>
      <c r="E73" s="160"/>
      <c r="F73" s="160"/>
      <c r="G73" s="160"/>
      <c r="H73" s="160"/>
      <c r="I73" s="160"/>
      <c r="J73" s="160"/>
      <c r="K73" s="160"/>
      <c r="L73" s="160"/>
      <c r="M73" s="160"/>
      <c r="N73" s="160"/>
      <c r="O73" s="160"/>
      <c r="P73" s="160"/>
      <c r="Q73" s="160"/>
      <c r="R73" s="160"/>
      <c r="S73" s="160"/>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0"/>
      <c r="AW73" s="160"/>
      <c r="AX73" s="160"/>
      <c r="AY73" s="160"/>
      <c r="AZ73" s="160"/>
      <c r="BA73" s="160"/>
    </row>
    <row r="74" ht="15.75" hidden="1" customHeight="1" outlineLevel="1">
      <c r="A74" s="158"/>
      <c r="B74" s="38"/>
      <c r="C74" s="160"/>
      <c r="D74" s="160"/>
      <c r="E74" s="160"/>
      <c r="F74" s="160"/>
      <c r="G74" s="160"/>
      <c r="H74" s="160"/>
      <c r="I74" s="160"/>
      <c r="J74" s="160"/>
      <c r="K74" s="160"/>
      <c r="L74" s="160"/>
      <c r="M74" s="160"/>
      <c r="N74" s="160"/>
      <c r="O74" s="160"/>
      <c r="P74" s="160"/>
      <c r="Q74" s="160"/>
      <c r="R74" s="160"/>
      <c r="S74" s="160"/>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60"/>
      <c r="AU74" s="160"/>
      <c r="AV74" s="160"/>
      <c r="AW74" s="160"/>
      <c r="AX74" s="160"/>
      <c r="AY74" s="160"/>
      <c r="AZ74" s="160"/>
      <c r="BA74" s="160"/>
    </row>
    <row r="75" ht="15.75" hidden="1" customHeight="1" outlineLevel="1">
      <c r="A75" s="158"/>
      <c r="B75" s="38"/>
      <c r="C75" s="160"/>
      <c r="D75" s="160"/>
      <c r="E75" s="160"/>
      <c r="F75" s="160"/>
      <c r="G75" s="160"/>
      <c r="H75" s="160"/>
      <c r="I75" s="160"/>
      <c r="J75" s="160"/>
      <c r="K75" s="160"/>
      <c r="L75" s="160"/>
      <c r="M75" s="160"/>
      <c r="N75" s="160"/>
      <c r="O75" s="160"/>
      <c r="P75" s="160"/>
      <c r="Q75" s="160"/>
      <c r="R75" s="160"/>
      <c r="S75" s="160"/>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0"/>
      <c r="AW75" s="160"/>
      <c r="AX75" s="160"/>
      <c r="AY75" s="160"/>
      <c r="AZ75" s="160"/>
      <c r="BA75" s="160"/>
    </row>
    <row r="76" ht="15.75" hidden="1" customHeight="1" outlineLevel="1">
      <c r="A76" s="158"/>
      <c r="B76" s="38"/>
      <c r="C76" s="160"/>
      <c r="D76" s="160"/>
      <c r="E76" s="160"/>
      <c r="F76" s="160"/>
      <c r="G76" s="160"/>
      <c r="H76" s="160"/>
      <c r="I76" s="160"/>
      <c r="J76" s="160"/>
      <c r="K76" s="160"/>
      <c r="L76" s="160"/>
      <c r="M76" s="160"/>
      <c r="N76" s="160"/>
      <c r="O76" s="160"/>
      <c r="P76" s="160"/>
      <c r="Q76" s="160"/>
      <c r="R76" s="160"/>
      <c r="S76" s="160"/>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c r="AQ76" s="160"/>
      <c r="AR76" s="160"/>
      <c r="AS76" s="160"/>
      <c r="AT76" s="160"/>
      <c r="AU76" s="160"/>
      <c r="AV76" s="160"/>
      <c r="AW76" s="160"/>
      <c r="AX76" s="160"/>
      <c r="AY76" s="160"/>
      <c r="AZ76" s="160"/>
      <c r="BA76" s="160"/>
    </row>
    <row r="77" ht="15.75" hidden="1" customHeight="1" outlineLevel="1">
      <c r="A77" s="158"/>
      <c r="B77" s="38"/>
      <c r="C77" s="160"/>
      <c r="D77" s="160"/>
      <c r="E77" s="160"/>
      <c r="F77" s="160"/>
      <c r="G77" s="160"/>
      <c r="H77" s="160"/>
      <c r="I77" s="160"/>
      <c r="J77" s="160"/>
      <c r="K77" s="160"/>
      <c r="L77" s="160"/>
      <c r="M77" s="160"/>
      <c r="N77" s="160"/>
      <c r="O77" s="160"/>
      <c r="P77" s="160"/>
      <c r="Q77" s="160"/>
      <c r="R77" s="160"/>
      <c r="S77" s="160"/>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c r="AQ77" s="160"/>
      <c r="AR77" s="160"/>
      <c r="AS77" s="160"/>
      <c r="AT77" s="160"/>
      <c r="AU77" s="160"/>
      <c r="AV77" s="160"/>
      <c r="AW77" s="160"/>
      <c r="AX77" s="160"/>
      <c r="AY77" s="160"/>
      <c r="AZ77" s="160"/>
      <c r="BA77" s="160"/>
    </row>
    <row r="78" ht="15.75" hidden="1" customHeight="1" outlineLevel="1">
      <c r="A78" s="158"/>
      <c r="B78" s="38"/>
      <c r="C78" s="160"/>
      <c r="D78" s="160"/>
      <c r="E78" s="160"/>
      <c r="F78" s="160"/>
      <c r="G78" s="160"/>
      <c r="H78" s="160"/>
      <c r="I78" s="160"/>
      <c r="J78" s="160"/>
      <c r="K78" s="160"/>
      <c r="L78" s="160"/>
      <c r="M78" s="160"/>
      <c r="N78" s="160"/>
      <c r="O78" s="160"/>
      <c r="P78" s="160"/>
      <c r="Q78" s="160"/>
      <c r="R78" s="160"/>
      <c r="S78" s="160"/>
      <c r="T78" s="160"/>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c r="AQ78" s="160"/>
      <c r="AR78" s="160"/>
      <c r="AS78" s="160"/>
      <c r="AT78" s="160"/>
      <c r="AU78" s="160"/>
      <c r="AV78" s="160"/>
      <c r="AW78" s="160"/>
      <c r="AX78" s="160"/>
      <c r="AY78" s="160"/>
      <c r="AZ78" s="160"/>
      <c r="BA78" s="160"/>
    </row>
    <row r="79" ht="15.75" hidden="1" customHeight="1" outlineLevel="1">
      <c r="A79" s="158"/>
      <c r="B79" s="38"/>
      <c r="C79" s="160"/>
      <c r="D79" s="160"/>
      <c r="E79" s="160"/>
      <c r="F79" s="160"/>
      <c r="G79" s="160"/>
      <c r="H79" s="160"/>
      <c r="I79" s="160"/>
      <c r="J79" s="160"/>
      <c r="K79" s="160"/>
      <c r="L79" s="160"/>
      <c r="M79" s="160"/>
      <c r="N79" s="160"/>
      <c r="O79" s="160"/>
      <c r="P79" s="160"/>
      <c r="Q79" s="160"/>
      <c r="R79" s="160"/>
      <c r="S79" s="160"/>
      <c r="T79" s="160"/>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c r="AQ79" s="160"/>
      <c r="AR79" s="160"/>
      <c r="AS79" s="160"/>
      <c r="AT79" s="160"/>
      <c r="AU79" s="160"/>
      <c r="AV79" s="160"/>
      <c r="AW79" s="160"/>
      <c r="AX79" s="160"/>
      <c r="AY79" s="160"/>
      <c r="AZ79" s="160"/>
      <c r="BA79" s="160"/>
    </row>
    <row r="80" ht="15.75" hidden="1" customHeight="1" outlineLevel="1">
      <c r="A80" s="158"/>
      <c r="B80" s="38"/>
      <c r="C80" s="160"/>
      <c r="D80" s="160"/>
      <c r="E80" s="160"/>
      <c r="F80" s="160"/>
      <c r="G80" s="160"/>
      <c r="H80" s="160"/>
      <c r="I80" s="160"/>
      <c r="J80" s="160"/>
      <c r="K80" s="160"/>
      <c r="L80" s="160"/>
      <c r="M80" s="160"/>
      <c r="N80" s="160"/>
      <c r="O80" s="160"/>
      <c r="P80" s="160"/>
      <c r="Q80" s="160"/>
      <c r="R80" s="160"/>
      <c r="S80" s="160"/>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0"/>
      <c r="AW80" s="160"/>
      <c r="AX80" s="160"/>
      <c r="AY80" s="160"/>
      <c r="AZ80" s="160"/>
      <c r="BA80" s="160"/>
    </row>
    <row r="81" ht="15.75" customHeight="1" collapsed="1">
      <c r="A81" s="149" t="s">
        <v>52</v>
      </c>
      <c r="B81" s="150" t="s">
        <v>351</v>
      </c>
      <c r="C81" s="177">
        <f>'Assumptions (Coal)'!$V$5*Model!C20</f>
        <v>0.6029712868</v>
      </c>
      <c r="D81" s="177">
        <f>'Assumptions (Coal)'!$V$5*Model!D20</f>
        <v>0.118153397</v>
      </c>
      <c r="E81" s="177">
        <f>'Assumptions (Coal)'!$V$5*Model!E20</f>
        <v>0.2524326576</v>
      </c>
      <c r="F81" s="177">
        <f>'Assumptions (Coal)'!$V$5*Model!F20</f>
        <v>0.2571206448</v>
      </c>
      <c r="G81" s="177">
        <f>'Assumptions (Coal)'!$V$5*Model!G20</f>
        <v>0.2640428475</v>
      </c>
      <c r="H81" s="177">
        <f>'Assumptions (Coal)'!$V$5*Model!H20</f>
        <v>0.2722675435</v>
      </c>
      <c r="I81" s="177">
        <f>'Assumptions (Coal)'!$V$5*Model!I20</f>
        <v>0.4857531632</v>
      </c>
      <c r="J81" s="177">
        <f>'Assumptions (Coal)'!$V$5*Model!J20</f>
        <v>0.3618486849</v>
      </c>
      <c r="K81" s="177">
        <f>'Assumptions (Coal)'!$V$5*Model!K20</f>
        <v>0.2148593172</v>
      </c>
      <c r="L81" s="177">
        <f>'Assumptions (Coal)'!$V$5*Model!L20</f>
        <v>0.2164972684</v>
      </c>
      <c r="M81" s="177">
        <f>'Assumptions (Coal)'!$V$5*Model!M20</f>
        <v>0.2190200089</v>
      </c>
      <c r="N81" s="177">
        <f>'Assumptions (Coal)'!$V$5*Model!N20</f>
        <v>0.2235951498</v>
      </c>
      <c r="O81" s="177">
        <f>'Assumptions (Coal)'!$V$5*Model!O20</f>
        <v>0</v>
      </c>
      <c r="P81" s="177">
        <f>'Assumptions (Coal)'!$V$5*Model!P20</f>
        <v>0</v>
      </c>
      <c r="Q81" s="177">
        <f>'Assumptions (Coal)'!$V$5*Model!Q20</f>
        <v>0</v>
      </c>
      <c r="R81" s="177">
        <f>'Assumptions (Coal)'!$V$5*Model!R20</f>
        <v>2.184805728</v>
      </c>
      <c r="S81" s="177">
        <f>'Assumptions (Coal)'!$V$5*Model!S20</f>
        <v>2.447161586</v>
      </c>
      <c r="T81" s="177">
        <f>'Assumptions (Coal)'!$V$5*Model!T20</f>
        <v>2.875956426</v>
      </c>
      <c r="U81" s="177">
        <f>'Assumptions (Coal)'!$V$5*Model!U20</f>
        <v>3.343983627</v>
      </c>
      <c r="V81" s="177">
        <f>'Assumptions (Coal)'!$V$5*Model!V20</f>
        <v>4.321514642</v>
      </c>
      <c r="W81" s="177">
        <f>'Assumptions (Coal)'!$V$5*Model!W20</f>
        <v>6.450142204</v>
      </c>
      <c r="X81" s="177">
        <f>'Assumptions (Coal)'!$V$5*Model!X20</f>
        <v>4.114620207</v>
      </c>
      <c r="Y81" s="177">
        <f>'Assumptions (Coal)'!$V$5*Model!Y20</f>
        <v>3.907098569</v>
      </c>
      <c r="Z81" s="177">
        <f>'Assumptions (Coal)'!$V$5*Model!Z20</f>
        <v>3.46244414</v>
      </c>
      <c r="AA81" s="177">
        <f>'Assumptions (Coal)'!$V$5*Model!AA20</f>
        <v>3.394071555</v>
      </c>
      <c r="AB81" s="177">
        <f>'Assumptions (Coal)'!$V$5*Model!AB20</f>
        <v>2.167706373</v>
      </c>
      <c r="AC81" s="177">
        <f>'Assumptions (Coal)'!$V$5*Model!AC20</f>
        <v>1.251838591</v>
      </c>
      <c r="AD81" s="177">
        <f>'Assumptions (Coal)'!$V$5*Model!AD20</f>
        <v>0.5804834767</v>
      </c>
      <c r="AE81" s="177">
        <f>'Assumptions (Coal)'!$V$5*Model!AE20</f>
        <v>0.5704186572</v>
      </c>
      <c r="AF81" s="177">
        <f>'Assumptions (Coal)'!$V$5*Model!AF20</f>
        <v>0.5400560651</v>
      </c>
      <c r="AG81" s="177">
        <f>'Assumptions (Coal)'!$V$5*Model!AG20</f>
        <v>0.3558453296</v>
      </c>
      <c r="AH81" s="177">
        <f>'Assumptions (Coal)'!$V$5*Model!AH20</f>
        <v>0.3607643942</v>
      </c>
      <c r="AI81" s="177">
        <f>'Assumptions (Coal)'!$V$5*Model!AI20</f>
        <v>0.3655189649</v>
      </c>
      <c r="AJ81" s="177">
        <f>'Assumptions (Coal)'!$V$5*Model!AJ20</f>
        <v>0.3537280276</v>
      </c>
      <c r="AK81" s="177">
        <f>'Assumptions (Coal)'!$V$5*Model!AK20</f>
        <v>0.2982016252</v>
      </c>
      <c r="AL81" s="177">
        <f>'Assumptions (Coal)'!$V$5*Model!AL20</f>
        <v>0.3023460739</v>
      </c>
      <c r="AM81" s="177">
        <f>'Assumptions (Coal)'!$V$5*Model!AM20</f>
        <v>0</v>
      </c>
      <c r="AN81" s="177">
        <f>'Assumptions (Coal)'!$V$5*Model!AN20</f>
        <v>0</v>
      </c>
      <c r="AO81" s="177">
        <f>'Assumptions (Coal)'!$V$5*Model!AO20</f>
        <v>0</v>
      </c>
      <c r="AP81" s="177">
        <f>'Assumptions (Coal)'!$V$5*Model!AP20</f>
        <v>0</v>
      </c>
      <c r="AQ81" s="177">
        <f>'Assumptions (Coal)'!$V$5*Model!AQ20</f>
        <v>0</v>
      </c>
      <c r="AR81" s="177">
        <f>'Assumptions (Coal)'!$V$5*Model!AR20</f>
        <v>0</v>
      </c>
      <c r="AS81" s="177">
        <f>'Assumptions (Coal)'!$V$5*Model!AS20</f>
        <v>0</v>
      </c>
      <c r="AT81" s="177">
        <f>'Assumptions (Coal)'!$V$5*Model!AT20</f>
        <v>0</v>
      </c>
      <c r="AU81" s="177">
        <f>'Assumptions (Coal)'!$V$5*Model!AU20</f>
        <v>0</v>
      </c>
      <c r="AV81" s="177">
        <f>'Assumptions (Coal)'!$V$5*Model!AV20</f>
        <v>0</v>
      </c>
      <c r="AW81" s="177">
        <f>'Assumptions (Coal)'!$V$5*Model!AW20</f>
        <v>0</v>
      </c>
      <c r="AX81" s="177">
        <f>'Assumptions (Coal)'!$V$5*Model!AX20</f>
        <v>0</v>
      </c>
      <c r="AY81" s="177">
        <f>'Assumptions (Coal)'!$V$5*Model!AY20</f>
        <v>0</v>
      </c>
      <c r="AZ81" s="177">
        <f>'Assumptions (Coal)'!$V$5*Model!AZ20</f>
        <v>0</v>
      </c>
      <c r="BA81" s="177">
        <f>'Assumptions (Coal)'!$V$5*Model!BA20</f>
        <v>0</v>
      </c>
      <c r="BB81" s="177"/>
    </row>
    <row r="82" ht="15.75" customHeight="1">
      <c r="A82" s="149" t="s">
        <v>54</v>
      </c>
      <c r="B82" s="150" t="s">
        <v>351</v>
      </c>
      <c r="C82" s="176">
        <f>'Assumptions (Coal)'!$V$6*Model!C20</f>
        <v>0.9044569303</v>
      </c>
      <c r="D82" s="176">
        <f>'Assumptions (Coal)'!$V$6*Model!D20</f>
        <v>0.1772300954</v>
      </c>
      <c r="E82" s="176">
        <f>'Assumptions (Coal)'!$V$6*Model!E20</f>
        <v>0.3786489864</v>
      </c>
      <c r="F82" s="176">
        <f>'Assumptions (Coal)'!$V$6*Model!F20</f>
        <v>0.3856809671</v>
      </c>
      <c r="G82" s="176">
        <f>'Assumptions (Coal)'!$V$6*Model!G20</f>
        <v>0.3960642712</v>
      </c>
      <c r="H82" s="176">
        <f>'Assumptions (Coal)'!$V$6*Model!H20</f>
        <v>0.4084013152</v>
      </c>
      <c r="I82" s="176">
        <f>'Assumptions (Coal)'!$V$6*Model!I20</f>
        <v>0.7286297449</v>
      </c>
      <c r="J82" s="176">
        <f>'Assumptions (Coal)'!$V$6*Model!J20</f>
        <v>0.5427730273</v>
      </c>
      <c r="K82" s="176">
        <f>'Assumptions (Coal)'!$V$6*Model!K20</f>
        <v>0.3222889758</v>
      </c>
      <c r="L82" s="176">
        <f>'Assumptions (Coal)'!$V$6*Model!L20</f>
        <v>0.3247459025</v>
      </c>
      <c r="M82" s="176">
        <f>'Assumptions (Coal)'!$V$6*Model!M20</f>
        <v>0.3285300133</v>
      </c>
      <c r="N82" s="176">
        <f>'Assumptions (Coal)'!$V$6*Model!N20</f>
        <v>0.3353927248</v>
      </c>
      <c r="O82" s="176">
        <f>'Assumptions (Coal)'!$V$6*Model!O20</f>
        <v>0</v>
      </c>
      <c r="P82" s="176">
        <f>'Assumptions (Coal)'!$V$6*Model!P20</f>
        <v>0</v>
      </c>
      <c r="Q82" s="176">
        <f>'Assumptions (Coal)'!$V$6*Model!Q20</f>
        <v>0</v>
      </c>
      <c r="R82" s="176">
        <f>'Assumptions (Coal)'!$V$6*Model!R20</f>
        <v>3.277208592</v>
      </c>
      <c r="S82" s="176">
        <f>'Assumptions (Coal)'!$V$6*Model!S20</f>
        <v>3.670742379</v>
      </c>
      <c r="T82" s="176">
        <f>'Assumptions (Coal)'!$V$6*Model!T20</f>
        <v>4.313934638</v>
      </c>
      <c r="U82" s="176">
        <f>'Assumptions (Coal)'!$V$6*Model!U20</f>
        <v>5.015975441</v>
      </c>
      <c r="V82" s="176">
        <f>'Assumptions (Coal)'!$V$6*Model!V20</f>
        <v>6.482271963</v>
      </c>
      <c r="W82" s="176">
        <f>'Assumptions (Coal)'!$V$6*Model!W20</f>
        <v>9.675213306</v>
      </c>
      <c r="X82" s="176">
        <f>'Assumptions (Coal)'!$V$6*Model!X20</f>
        <v>6.171930311</v>
      </c>
      <c r="Y82" s="176">
        <f>'Assumptions (Coal)'!$V$6*Model!Y20</f>
        <v>5.860647854</v>
      </c>
      <c r="Z82" s="176">
        <f>'Assumptions (Coal)'!$V$6*Model!Z20</f>
        <v>5.19366621</v>
      </c>
      <c r="AA82" s="176">
        <f>'Assumptions (Coal)'!$V$6*Model!AA20</f>
        <v>5.091107332</v>
      </c>
      <c r="AB82" s="176">
        <f>'Assumptions (Coal)'!$V$6*Model!AB20</f>
        <v>3.251559559</v>
      </c>
      <c r="AC82" s="176">
        <f>'Assumptions (Coal)'!$V$6*Model!AC20</f>
        <v>1.877757886</v>
      </c>
      <c r="AD82" s="176">
        <f>'Assumptions (Coal)'!$V$6*Model!AD20</f>
        <v>0.8707252151</v>
      </c>
      <c r="AE82" s="176">
        <f>'Assumptions (Coal)'!$V$6*Model!AE20</f>
        <v>0.8556279858</v>
      </c>
      <c r="AF82" s="176">
        <f>'Assumptions (Coal)'!$V$6*Model!AF20</f>
        <v>0.8100840976</v>
      </c>
      <c r="AG82" s="176">
        <f>'Assumptions (Coal)'!$V$6*Model!AG20</f>
        <v>0.5337679944</v>
      </c>
      <c r="AH82" s="176">
        <f>'Assumptions (Coal)'!$V$6*Model!AH20</f>
        <v>0.5411465913</v>
      </c>
      <c r="AI82" s="176">
        <f>'Assumptions (Coal)'!$V$6*Model!AI20</f>
        <v>0.5482784474</v>
      </c>
      <c r="AJ82" s="176">
        <f>'Assumptions (Coal)'!$V$6*Model!AJ20</f>
        <v>0.5305920414</v>
      </c>
      <c r="AK82" s="176">
        <f>'Assumptions (Coal)'!$V$6*Model!AK20</f>
        <v>0.4473024377</v>
      </c>
      <c r="AL82" s="176">
        <f>'Assumptions (Coal)'!$V$6*Model!AL20</f>
        <v>0.4535191108</v>
      </c>
      <c r="AM82" s="176">
        <f>'Assumptions (Coal)'!$V$6*Model!AM20</f>
        <v>0</v>
      </c>
      <c r="AN82" s="176">
        <f>'Assumptions (Coal)'!$V$6*Model!AN20</f>
        <v>0</v>
      </c>
      <c r="AO82" s="176">
        <f>'Assumptions (Coal)'!$V$6*Model!AO20</f>
        <v>0</v>
      </c>
      <c r="AP82" s="176">
        <f>'Assumptions (Coal)'!$V$6*Model!AP20</f>
        <v>0</v>
      </c>
      <c r="AQ82" s="176">
        <f>'Assumptions (Coal)'!$V$6*Model!AQ20</f>
        <v>0</v>
      </c>
      <c r="AR82" s="176">
        <f>'Assumptions (Coal)'!$V$6*Model!AR20</f>
        <v>0</v>
      </c>
      <c r="AS82" s="176">
        <f>'Assumptions (Coal)'!$V$6*Model!AS20</f>
        <v>0</v>
      </c>
      <c r="AT82" s="176">
        <f>'Assumptions (Coal)'!$V$6*Model!AT20</f>
        <v>0</v>
      </c>
      <c r="AU82" s="176">
        <f>'Assumptions (Coal)'!$V$6*Model!AU20</f>
        <v>0</v>
      </c>
      <c r="AV82" s="176">
        <f>'Assumptions (Coal)'!$V$6*Model!AV20</f>
        <v>0</v>
      </c>
      <c r="AW82" s="176">
        <f>'Assumptions (Coal)'!$V$6*Model!AW20</f>
        <v>0</v>
      </c>
      <c r="AX82" s="176">
        <f>'Assumptions (Coal)'!$V$6*Model!AX20</f>
        <v>0</v>
      </c>
      <c r="AY82" s="176">
        <f>'Assumptions (Coal)'!$V$6*Model!AY20</f>
        <v>0</v>
      </c>
      <c r="AZ82" s="176">
        <f>'Assumptions (Coal)'!$V$6*Model!AZ20</f>
        <v>0</v>
      </c>
      <c r="BA82" s="176">
        <f>'Assumptions (Coal)'!$V$6*Model!BA20</f>
        <v>0</v>
      </c>
      <c r="BB82" s="176"/>
    </row>
    <row r="83" ht="15.75" customHeight="1">
      <c r="A83" s="149" t="s">
        <v>359</v>
      </c>
      <c r="B83" s="150" t="s">
        <v>351</v>
      </c>
      <c r="C83" s="177">
        <f t="array" ref="C83">SUM(IF(ISERROR(C84:C135),"",C84:C135))</f>
        <v>0</v>
      </c>
      <c r="D83" s="177">
        <f t="array" ref="D83">SUM(IF(ISERROR(D84:D135),"",D84:D135))</f>
        <v>-0.02847298818</v>
      </c>
      <c r="E83" s="177">
        <f t="array" ref="E83">SUM(IF(ISERROR(E84:E135),"",E84:E135))</f>
        <v>-0.02982545512</v>
      </c>
      <c r="F83" s="177">
        <f t="array" ref="F83">SUM(IF(ISERROR(F84:F135),"",F84:F135))</f>
        <v>-0.03124216424</v>
      </c>
      <c r="G83" s="177">
        <f t="array" ref="G83">SUM(IF(ISERROR(G84:G135),"",G84:G135))</f>
        <v>-0.03272616704</v>
      </c>
      <c r="H83" s="177">
        <f t="array" ref="H83">SUM(IF(ISERROR(H84:H135),"",H84:H135))</f>
        <v>-0.03428065997</v>
      </c>
      <c r="I83" s="177">
        <f t="array" ref="I83">SUM(IF(ISERROR(I84:I135),"",I84:I135))</f>
        <v>-0.03590899132</v>
      </c>
      <c r="J83" s="177">
        <f t="array" ref="J83">SUM(IF(ISERROR(J84:J135),"",J84:J135))</f>
        <v>-0.07297352392</v>
      </c>
      <c r="K83" s="177">
        <f t="array" ref="K83">SUM(IF(ISERROR(K84:K135),"",K84:K135))</f>
        <v>-0.1164275641</v>
      </c>
      <c r="L83" s="177">
        <f t="array" ref="L83">SUM(IF(ISERROR(L84:L135),"",L84:L135))</f>
        <v>-0.1219578734</v>
      </c>
      <c r="M83" s="177">
        <f t="array" ref="M83">SUM(IF(ISERROR(M84:M135),"",M84:M135))</f>
        <v>-0.1277508723</v>
      </c>
      <c r="N83" s="177">
        <f t="array" ref="N83">SUM(IF(ISERROR(N84:N135),"",N84:N135))</f>
        <v>-0.1338190388</v>
      </c>
      <c r="O83" s="177">
        <f t="array" ref="O83">SUM(IF(ISERROR(O84:O135),"",O84:O135))</f>
        <v>-0.2010896553</v>
      </c>
      <c r="P83" s="177">
        <f t="array" ref="P83">SUM(IF(ISERROR(P84:P135),"",P84:P135))</f>
        <v>-0.210641414</v>
      </c>
      <c r="Q83" s="177">
        <f t="array" ref="Q83">SUM(IF(ISERROR(Q84:Q135),"",Q84:Q135))</f>
        <v>-0.2206468811</v>
      </c>
      <c r="R83" s="177">
        <f t="array" ref="R83">SUM(IF(ISERROR(R84:R135),"",R84:R135))</f>
        <v>-0.231127608</v>
      </c>
      <c r="S83" s="177">
        <f t="array" ref="S83">SUM(IF(ISERROR(S84:S135),"",S84:S135))</f>
        <v>-0.1849920451</v>
      </c>
      <c r="T83" s="177">
        <f t="array" ref="T83">SUM(IF(ISERROR(T84:T135),"",T84:T135))</f>
        <v>-0.1937791672</v>
      </c>
      <c r="U83" s="177">
        <f t="array" ref="U83">SUM(IF(ISERROR(U84:U135),"",U84:U135))</f>
        <v>-0.2029836776</v>
      </c>
      <c r="V83" s="177">
        <f t="array" ref="V83">SUM(IF(ISERROR(V84:V135),"",V84:V135))</f>
        <v>-0.2126254023</v>
      </c>
      <c r="W83" s="177">
        <f t="array" ref="W83">SUM(IF(ISERROR(W84:W135),"",W84:W135))</f>
        <v>-0.2227251089</v>
      </c>
      <c r="X83" s="177">
        <f t="array" ref="X83">SUM(IF(ISERROR(X84:X135),"",X84:X135))</f>
        <v>-0.9098986449</v>
      </c>
      <c r="Y83" s="177">
        <f t="array" ref="Y83">SUM(IF(ISERROR(Y84:Y135),"",Y84:Y135))</f>
        <v>-0.9602773437</v>
      </c>
      <c r="Z83" s="177">
        <f t="array" ref="Z83">SUM(IF(ISERROR(Z84:Z135),"",Z84:Z135))</f>
        <v>-1.055441928</v>
      </c>
      <c r="AA83" s="177">
        <f t="array" ref="AA83">SUM(IF(ISERROR(AA84:AA135),"",AA84:AA135))</f>
        <v>-1.244897492</v>
      </c>
      <c r="AB83" s="177">
        <f t="array" ref="AB83">SUM(IF(ISERROR(AB84:AB135),"",AB84:AB135))</f>
        <v>-1.634265913</v>
      </c>
      <c r="AC83" s="177">
        <f t="array" ref="AC83">SUM(IF(ISERROR(AC84:AC135),"",AC84:AC135))</f>
        <v>-1.967243968</v>
      </c>
      <c r="AD83" s="177">
        <f t="array" ref="AD83">SUM(IF(ISERROR(AD84:AD135),"",AD84:AD135))</f>
        <v>-2.12830605</v>
      </c>
      <c r="AE83" s="177">
        <f t="array" ref="AE83">SUM(IF(ISERROR(AE84:AE135),"",AE84:AE135))</f>
        <v>-2.249464302</v>
      </c>
      <c r="AF83" s="177">
        <f t="array" ref="AF83">SUM(IF(ISERROR(AF84:AF135),"",AF84:AF135))</f>
        <v>-2.366720842</v>
      </c>
      <c r="AG83" s="177">
        <f t="array" ref="AG83">SUM(IF(ISERROR(AG84:AG135),"",AG84:AG135))</f>
        <v>-2.606981322</v>
      </c>
      <c r="AH83" s="177">
        <f t="array" ref="AH83">SUM(IF(ISERROR(AH84:AH135),"",AH84:AH135))</f>
        <v>-2.730812935</v>
      </c>
      <c r="AI83" s="177">
        <f t="array" ref="AI83">SUM(IF(ISERROR(AI84:AI135),"",AI84:AI135))</f>
        <v>-2.86052655</v>
      </c>
      <c r="AJ83" s="177">
        <f t="array" ref="AJ83">SUM(IF(ISERROR(AJ84:AJ135),"",AJ84:AJ135))</f>
        <v>-3.000907523</v>
      </c>
      <c r="AK83" s="177">
        <f t="array" ref="AK83">SUM(IF(ISERROR(AK84:AK135),"",AK84:AK135))</f>
        <v>-3.159807697</v>
      </c>
      <c r="AL83" s="177">
        <f t="array" ref="AL83">SUM(IF(ISERROR(AL84:AL135),"",AL84:AL135))</f>
        <v>-3.309898563</v>
      </c>
      <c r="AM83" s="177">
        <f t="array" ref="AM83">SUM(IF(ISERROR(AM84:AM135),"",AM84:AM135))</f>
        <v>-2.19274465</v>
      </c>
      <c r="AN83" s="177">
        <f t="array" ref="AN83">SUM(IF(ISERROR(AN84:AN135),"",AN84:AN135))</f>
        <v>-2.140268814</v>
      </c>
      <c r="AO83" s="177">
        <f t="array" ref="AO83">SUM(IF(ISERROR(AO84:AO135),"",AO84:AO135))</f>
        <v>-1.981638954</v>
      </c>
      <c r="AP83" s="177">
        <f t="array" ref="AP83">SUM(IF(ISERROR(AP84:AP135),"",AP84:AP135))</f>
        <v>-1.796299888</v>
      </c>
      <c r="AQ83" s="177">
        <f t="array" ref="AQ83">SUM(IF(ISERROR(AQ84:AQ135),"",AQ84:AQ135))</f>
        <v>-1.219202337</v>
      </c>
      <c r="AR83" s="177">
        <f t="array" ref="AR83">SUM(IF(ISERROR(AR84:AR135),"",AR84:AR135))</f>
        <v>-0.7649056212</v>
      </c>
      <c r="AS83" s="177">
        <f t="array" ref="AS83">SUM(IF(ISERROR(AS84:AS135),"",AS84:AS135))</f>
        <v>-0.4205054383</v>
      </c>
      <c r="AT83" s="177">
        <f t="array" ref="AT83">SUM(IF(ISERROR(AT84:AT135),"",AT84:AT135))</f>
        <v>-0.4002335298</v>
      </c>
      <c r="AU83" s="177">
        <f t="array" ref="AU83">SUM(IF(ISERROR(AU84:AU135),"",AU84:AU135))</f>
        <v>-0.3983691924</v>
      </c>
      <c r="AV83" s="177">
        <f t="array" ref="AV83">SUM(IF(ISERROR(AV84:AV135),"",AV84:AV135))</f>
        <v>-0.1608542787</v>
      </c>
      <c r="AW83" s="177">
        <f t="array" ref="AW83">SUM(IF(ISERROR(AW84:AW135),"",AW84:AW135))</f>
        <v>-0.168494857</v>
      </c>
      <c r="AX83" s="177">
        <f t="array" ref="AX83">SUM(IF(ISERROR(AX84:AX135),"",AX84:AX135))</f>
        <v>-0.1764983627</v>
      </c>
      <c r="AY83" s="177">
        <f t="array" ref="AY83">SUM(IF(ISERROR(AY84:AY135),"",AY84:AY135))</f>
        <v>-0.1758435011</v>
      </c>
      <c r="AZ83" s="177">
        <f t="array" ref="AZ83">SUM(IF(ISERROR(AZ84:AZ135),"",AZ84:AZ135))</f>
        <v>-0.1513853361</v>
      </c>
      <c r="BA83" s="177">
        <f t="array" ref="BA83">SUM(IF(ISERROR(BA84:BA135),"",BA84:BA135))</f>
        <v>-0.1585761396</v>
      </c>
      <c r="BB83" s="177">
        <f t="array" ref="BB83">SUM(IF(ISERROR(BB84:BB135),"",BB84:BB135))</f>
        <v>0</v>
      </c>
      <c r="BC83" s="177">
        <f t="array" ref="BC83">SUM(IF(ISERROR(BC84:BC135),"",BC84:BC135))</f>
        <v>0</v>
      </c>
      <c r="BD83" s="177">
        <f t="array" ref="BD83">SUM(IF(ISERROR(BD84:BD135),"",BD84:BD135))</f>
        <v>0</v>
      </c>
      <c r="BE83" s="177">
        <f t="array" ref="BE83">SUM(IF(ISERROR(BE84:BE135),"",BE84:BE135))</f>
        <v>0</v>
      </c>
      <c r="BF83" s="177">
        <f t="array" ref="BF83">SUM(IF(ISERROR(BF84:BF135),"",BF84:BF135))</f>
        <v>0</v>
      </c>
      <c r="BG83" s="177">
        <f t="array" ref="BG83">SUM(IF(ISERROR(BG84:BG135),"",BG84:BG135))</f>
        <v>0</v>
      </c>
      <c r="BH83" s="177">
        <f t="array" ref="BH83">SUM(IF(ISERROR(BH84:BH135),"",BH84:BH135))</f>
        <v>0</v>
      </c>
      <c r="BI83" s="177">
        <f t="array" ref="BI83">SUM(IF(ISERROR(BI84:BI135),"",BI84:BI135))</f>
        <v>0</v>
      </c>
      <c r="BJ83" s="177">
        <f t="array" ref="BJ83">SUM(IF(ISERROR(BJ84:BJ135),"",BJ84:BJ135))</f>
        <v>0</v>
      </c>
      <c r="BK83" s="177">
        <f t="array" ref="BK83">SUM(IF(ISERROR(BK84:BK135),"",BK84:BK135))</f>
        <v>0</v>
      </c>
      <c r="BL83" s="177">
        <f t="array" ref="BL83">SUM(IF(ISERROR(BL84:BL135),"",BL84:BL135))</f>
        <v>0</v>
      </c>
      <c r="BM83" s="177">
        <f t="array" ref="BM83">SUM(IF(ISERROR(BM84:BM135),"",BM84:BM135))</f>
        <v>0</v>
      </c>
      <c r="BN83" s="177">
        <f t="array" ref="BN83">SUM(IF(ISERROR(BN84:BN135),"",BN84:BN135))</f>
        <v>0</v>
      </c>
      <c r="BO83" s="177">
        <f t="array" ref="BO83">SUM(IF(ISERROR(BO84:BO135),"",BO84:BO135))</f>
        <v>0</v>
      </c>
      <c r="BP83" s="177"/>
    </row>
    <row r="84" ht="15.75" hidden="1" customHeight="1" outlineLevel="1">
      <c r="A84" s="158"/>
      <c r="B84" s="38"/>
      <c r="C84" s="177">
        <f>IF($C$18&gt;0,PPMT('Assumptions (Coal)'!$V$7,Model!W$1,'Assumptions (Coal)'!$V$10,'Assumptions (Coal)'!$V$5*Model!$C$18*'Assumptions (Coal)'!$B$2/10^9),0)</f>
        <v>0</v>
      </c>
      <c r="D84" s="177">
        <f>IF($C$18&gt;0,PPMT('Assumptions (Coal)'!$V$7,Model!X$1,'Assumptions (Coal)'!$V$10,'Assumptions (Coal)'!$V$5*Model!$C$18*'Assumptions (Coal)'!$B$2/10^9),0)</f>
        <v>0</v>
      </c>
      <c r="E84" s="177">
        <f>IF($C$18&gt;0,PPMT('Assumptions (Coal)'!$V$7,Model!Y$1,'Assumptions (Coal)'!$V$10,'Assumptions (Coal)'!$V$5*Model!$C$18*'Assumptions (Coal)'!$B$2/10^9),0)</f>
        <v>0</v>
      </c>
      <c r="F84" s="177">
        <f>IF($C$18&gt;0,PPMT('Assumptions (Coal)'!$V$7,Model!Z$1,'Assumptions (Coal)'!$V$10,'Assumptions (Coal)'!$V$5*Model!$C$18*'Assumptions (Coal)'!$B$2/10^9),0)</f>
        <v>0</v>
      </c>
      <c r="G84" s="177">
        <f>IF($C$18&gt;0,PPMT('Assumptions (Coal)'!$V$7,Model!AA$1,'Assumptions (Coal)'!$V$10,'Assumptions (Coal)'!$V$5*Model!$C$18*'Assumptions (Coal)'!$B$2/10^9),0)</f>
        <v>0</v>
      </c>
      <c r="H84" s="177">
        <f>IF($C$18&gt;0,PPMT('Assumptions (Coal)'!$V$7,Model!AB$1,'Assumptions (Coal)'!$V$10,'Assumptions (Coal)'!$V$5*Model!$C$18*'Assumptions (Coal)'!$B$2/10^9),0)</f>
        <v>0</v>
      </c>
      <c r="I84" s="177">
        <f>IF($C$18&gt;0,PPMT('Assumptions (Coal)'!$V$7,Model!AC$1,'Assumptions (Coal)'!$V$10,'Assumptions (Coal)'!$V$5*Model!$C$18*'Assumptions (Coal)'!$B$2/10^9),0)</f>
        <v>0</v>
      </c>
      <c r="J84" s="177">
        <f>IF($C$18&gt;0,PPMT('Assumptions (Coal)'!$V$7,Model!AD$1,'Assumptions (Coal)'!$V$10,'Assumptions (Coal)'!$V$5*Model!$C$18*'Assumptions (Coal)'!$B$2/10^9),0)</f>
        <v>0</v>
      </c>
      <c r="K84" s="177">
        <f>IF($C$18&gt;0,PPMT('Assumptions (Coal)'!$V$7,Model!AE$1,'Assumptions (Coal)'!$V$10,'Assumptions (Coal)'!$V$5*Model!$C$18*'Assumptions (Coal)'!$B$2/10^9),0)</f>
        <v>0</v>
      </c>
      <c r="L84" s="177">
        <f>IF($C$18&gt;0,PPMT('Assumptions (Coal)'!$V$7,Model!AF$1,'Assumptions (Coal)'!$V$10,'Assumptions (Coal)'!$V$5*Model!$C$18*'Assumptions (Coal)'!$B$2/10^9),0)</f>
        <v>0</v>
      </c>
      <c r="M84" s="177">
        <f>IF($C$18&gt;0,PPMT('Assumptions (Coal)'!$V$7,Model!AG$1,'Assumptions (Coal)'!$V$10,'Assumptions (Coal)'!$V$5*Model!$C$18*'Assumptions (Coal)'!$B$2/10^9),0)</f>
        <v>0</v>
      </c>
      <c r="N84" s="177">
        <f>IF($C$18&gt;0,PPMT('Assumptions (Coal)'!$V$7,Model!AH$1,'Assumptions (Coal)'!$V$10,'Assumptions (Coal)'!$V$5*Model!$C$18*'Assumptions (Coal)'!$B$2/10^9),0)</f>
        <v>0</v>
      </c>
      <c r="O84" s="177">
        <f>IF($C$18&gt;0,PPMT('Assumptions (Coal)'!$V$7,Model!AI$1,'Assumptions (Coal)'!$V$10,'Assumptions (Coal)'!$V$5*Model!$C$18*'Assumptions (Coal)'!$B$2/10^9),0)</f>
        <v>0</v>
      </c>
      <c r="P84" s="177">
        <f>IF($C$18&gt;0,PPMT('Assumptions (Coal)'!$V$7,Model!AJ$1,'Assumptions (Coal)'!$V$10,'Assumptions (Coal)'!$V$5*Model!$C$18*'Assumptions (Coal)'!$B$2/10^9),0)</f>
        <v>0</v>
      </c>
      <c r="Q84" s="177">
        <f>IF($C$18&gt;0,PPMT('Assumptions (Coal)'!$V$7,Model!AK$1,'Assumptions (Coal)'!$V$10,'Assumptions (Coal)'!$V$5*Model!$C$18*'Assumptions (Coal)'!$B$2/10^9),0)</f>
        <v>0</v>
      </c>
      <c r="R84" s="177"/>
      <c r="S84" s="177"/>
      <c r="T84" s="177"/>
      <c r="U84" s="177"/>
      <c r="V84" s="177"/>
      <c r="W84" s="177"/>
      <c r="X84" s="177"/>
      <c r="Y84" s="177"/>
      <c r="Z84" s="177"/>
      <c r="AA84" s="177"/>
      <c r="AB84" s="160"/>
      <c r="AC84" s="160"/>
      <c r="AD84" s="160"/>
      <c r="AE84" s="160"/>
      <c r="AF84" s="160"/>
      <c r="AG84" s="160"/>
      <c r="AU84" s="160"/>
      <c r="AV84" s="160"/>
      <c r="AW84" s="160"/>
      <c r="AX84" s="160"/>
      <c r="AY84" s="160"/>
      <c r="AZ84" s="160"/>
      <c r="BA84" s="160"/>
    </row>
    <row r="85" ht="15.75" hidden="1" customHeight="1" outlineLevel="1">
      <c r="A85" s="158"/>
      <c r="B85" s="38"/>
      <c r="C85" s="160"/>
      <c r="D85" s="177">
        <f>IF($D$18&gt;0,PPMT('Assumptions (Coal)'!$V$7,Model!W$1,'Assumptions (Coal)'!$V$10,'Assumptions (Coal)'!$V$5*Model!$D$18*'Assumptions (Coal)'!$B$2/10^9),0)</f>
        <v>-0.02847298818</v>
      </c>
      <c r="E85" s="177">
        <f>IF($D$18&gt;0,PPMT('Assumptions (Coal)'!$V$7,Model!X$1,'Assumptions (Coal)'!$V$10,'Assumptions (Coal)'!$V$5*Model!$D$18*'Assumptions (Coal)'!$B$2/10^9),0)</f>
        <v>-0.02982545512</v>
      </c>
      <c r="F85" s="177">
        <f>IF($D$18&gt;0,PPMT('Assumptions (Coal)'!$V$7,Model!Y$1,'Assumptions (Coal)'!$V$10,'Assumptions (Coal)'!$V$5*Model!$D$18*'Assumptions (Coal)'!$B$2/10^9),0)</f>
        <v>-0.03124216424</v>
      </c>
      <c r="G85" s="177">
        <f>IF($D$18&gt;0,PPMT('Assumptions (Coal)'!$V$7,Model!Z$1,'Assumptions (Coal)'!$V$10,'Assumptions (Coal)'!$V$5*Model!$D$18*'Assumptions (Coal)'!$B$2/10^9),0)</f>
        <v>-0.03272616704</v>
      </c>
      <c r="H85" s="177">
        <f>IF($D$18&gt;0,PPMT('Assumptions (Coal)'!$V$7,Model!AA$1,'Assumptions (Coal)'!$V$10,'Assumptions (Coal)'!$V$5*Model!$D$18*'Assumptions (Coal)'!$B$2/10^9),0)</f>
        <v>-0.03428065997</v>
      </c>
      <c r="I85" s="177">
        <f>IF($D$18&gt;0,PPMT('Assumptions (Coal)'!$V$7,Model!AB$1,'Assumptions (Coal)'!$V$10,'Assumptions (Coal)'!$V$5*Model!$D$18*'Assumptions (Coal)'!$B$2/10^9),0)</f>
        <v>-0.03590899132</v>
      </c>
      <c r="J85" s="177">
        <f>IF($D$18&gt;0,PPMT('Assumptions (Coal)'!$V$7,Model!AC$1,'Assumptions (Coal)'!$V$10,'Assumptions (Coal)'!$V$5*Model!$D$18*'Assumptions (Coal)'!$B$2/10^9),0)</f>
        <v>-0.03761466841</v>
      </c>
      <c r="K85" s="177">
        <f>IF($D$18&gt;0,PPMT('Assumptions (Coal)'!$V$7,Model!AD$1,'Assumptions (Coal)'!$V$10,'Assumptions (Coal)'!$V$5*Model!$D$18*'Assumptions (Coal)'!$B$2/10^9),0)</f>
        <v>-0.03940136516</v>
      </c>
      <c r="L85" s="177">
        <f>IF($D$18&gt;0,PPMT('Assumptions (Coal)'!$V$7,Model!AE$1,'Assumptions (Coal)'!$V$10,'Assumptions (Coal)'!$V$5*Model!$D$18*'Assumptions (Coal)'!$B$2/10^9),0)</f>
        <v>-0.04127293001</v>
      </c>
      <c r="M85" s="177">
        <f>IF($D$18&gt;0,PPMT('Assumptions (Coal)'!$V$7,Model!AF$1,'Assumptions (Coal)'!$V$10,'Assumptions (Coal)'!$V$5*Model!$D$18*'Assumptions (Coal)'!$B$2/10^9),0)</f>
        <v>-0.04323339418</v>
      </c>
      <c r="N85" s="177">
        <f>IF($D$18&gt;0,PPMT('Assumptions (Coal)'!$V$7,Model!AG$1,'Assumptions (Coal)'!$V$10,'Assumptions (Coal)'!$V$5*Model!$D$18*'Assumptions (Coal)'!$B$2/10^9),0)</f>
        <v>-0.0452869804</v>
      </c>
      <c r="O85" s="177">
        <f>IF($D$18&gt;0,PPMT('Assumptions (Coal)'!$V$7,Model!AH$1,'Assumptions (Coal)'!$V$10,'Assumptions (Coal)'!$V$5*Model!$D$18*'Assumptions (Coal)'!$B$2/10^9),0)</f>
        <v>-0.04743811197</v>
      </c>
      <c r="P85" s="177">
        <f>IF($D$18&gt;0,PPMT('Assumptions (Coal)'!$V$7,Model!AI$1,'Assumptions (Coal)'!$V$10,'Assumptions (Coal)'!$V$5*Model!$D$18*'Assumptions (Coal)'!$B$2/10^9),0)</f>
        <v>-0.04969142229</v>
      </c>
      <c r="Q85" s="177">
        <f>IF($D$18&gt;0,PPMT('Assumptions (Coal)'!$V$7,Model!AJ$1,'Assumptions (Coal)'!$V$10,'Assumptions (Coal)'!$V$5*Model!$D$18*'Assumptions (Coal)'!$B$2/10^9),0)</f>
        <v>-0.05205176485</v>
      </c>
      <c r="R85" s="177">
        <f>IF($D$18&gt;0,PPMT('Assumptions (Coal)'!$V$7,Model!AK$1,'Assumptions (Coal)'!$V$10,'Assumptions (Coal)'!$V$5*Model!$D$18*'Assumptions (Coal)'!$B$2/10^9),0)</f>
        <v>-0.05452422368</v>
      </c>
      <c r="S85" s="177"/>
      <c r="T85" s="177"/>
      <c r="U85" s="177"/>
      <c r="V85" s="177"/>
      <c r="W85" s="177"/>
      <c r="X85" s="177"/>
      <c r="Y85" s="177"/>
      <c r="Z85" s="177"/>
      <c r="AA85" s="177"/>
      <c r="AB85" s="177"/>
      <c r="AC85" s="160"/>
      <c r="AD85" s="160"/>
      <c r="AE85" s="160"/>
      <c r="AF85" s="160"/>
      <c r="AG85" s="160"/>
      <c r="AU85" s="160"/>
      <c r="AV85" s="160"/>
      <c r="AW85" s="160"/>
      <c r="AX85" s="160"/>
      <c r="AY85" s="160"/>
      <c r="AZ85" s="160"/>
      <c r="BA85" s="160"/>
    </row>
    <row r="86" ht="15.75" hidden="1" customHeight="1" outlineLevel="1">
      <c r="A86" s="158"/>
      <c r="B86" s="38"/>
      <c r="C86" s="160"/>
      <c r="D86" s="160"/>
      <c r="E86" s="160">
        <f>IF($E$18&gt;0,PPMT('Assumptions (Coal)'!$V$7,Model!W$1,'Assumptions (Coal)'!$V$10,'Assumptions (Coal)'!$V$5*Model!$E$18*AVERAGE('Assumptions (Coal)'!$B$2:$C$2)/10^9),0)</f>
        <v>0</v>
      </c>
      <c r="F86" s="160">
        <f>IF($E$18&gt;0,PPMT('Assumptions (Coal)'!$V$7,Model!X$1,'Assumptions (Coal)'!$V$10,'Assumptions (Coal)'!$V$5*Model!$E$18*AVERAGE('Assumptions (Coal)'!$B$2:$C$2)/10^9),0)</f>
        <v>0</v>
      </c>
      <c r="G86" s="160">
        <f>IF($E$18&gt;0,PPMT('Assumptions (Coal)'!$V$7,Model!Y$1,'Assumptions (Coal)'!$V$10,'Assumptions (Coal)'!$V$5*Model!$E$18*AVERAGE('Assumptions (Coal)'!$B$2:$C$2)/10^9),0)</f>
        <v>0</v>
      </c>
      <c r="H86" s="160">
        <f>IF($E$18&gt;0,PPMT('Assumptions (Coal)'!$V$7,Model!Z$1,'Assumptions (Coal)'!$V$10,'Assumptions (Coal)'!$V$5*Model!$E$18*AVERAGE('Assumptions (Coal)'!$B$2:$C$2)/10^9),0)</f>
        <v>0</v>
      </c>
      <c r="I86" s="160">
        <f>IF($E$18&gt;0,PPMT('Assumptions (Coal)'!$V$7,Model!AA$1,'Assumptions (Coal)'!$V$10,'Assumptions (Coal)'!$V$5*Model!$E$18*AVERAGE('Assumptions (Coal)'!$B$2:$C$2)/10^9),0)</f>
        <v>0</v>
      </c>
      <c r="J86" s="160">
        <f>IF($E$18&gt;0,PPMT('Assumptions (Coal)'!$V$7,Model!AB$1,'Assumptions (Coal)'!$V$10,'Assumptions (Coal)'!$V$5*Model!$E$18*AVERAGE('Assumptions (Coal)'!$B$2:$C$2)/10^9),0)</f>
        <v>0</v>
      </c>
      <c r="K86" s="160">
        <f>IF($E$18&gt;0,PPMT('Assumptions (Coal)'!$V$7,Model!AC$1,'Assumptions (Coal)'!$V$10,'Assumptions (Coal)'!$V$5*Model!$E$18*AVERAGE('Assumptions (Coal)'!$B$2:$C$2)/10^9),0)</f>
        <v>0</v>
      </c>
      <c r="L86" s="160">
        <f>IF($E$18&gt;0,PPMT('Assumptions (Coal)'!$V$7,Model!AD$1,'Assumptions (Coal)'!$V$10,'Assumptions (Coal)'!$V$5*Model!$E$18*AVERAGE('Assumptions (Coal)'!$B$2:$C$2)/10^9),0)</f>
        <v>0</v>
      </c>
      <c r="M86" s="160">
        <f>IF($E$18&gt;0,PPMT('Assumptions (Coal)'!$V$7,Model!AE$1,'Assumptions (Coal)'!$V$10,'Assumptions (Coal)'!$V$5*Model!$E$18*AVERAGE('Assumptions (Coal)'!$B$2:$C$2)/10^9),0)</f>
        <v>0</v>
      </c>
      <c r="N86" s="177">
        <f>IF($E$18&gt;0,PPMT('Assumptions (Coal)'!$V$7,Model!AF$1,'Assumptions (Coal)'!$V$10,'Assumptions (Coal)'!$V$5*Model!$E$18*AVERAGE('Assumptions (Coal)'!$B$2:$C$2)/10^9),0)</f>
        <v>0</v>
      </c>
      <c r="O86" s="160">
        <f>IF($E$18&gt;0,PPMT('Assumptions (Coal)'!$V$7,Model!AG$1,'Assumptions (Coal)'!$V$10,'Assumptions (Coal)'!$V$5*Model!$E$18*AVERAGE('Assumptions (Coal)'!$B$2:$C$2)/10^9),0)</f>
        <v>0</v>
      </c>
      <c r="P86" s="160">
        <f>IF($E$18&gt;0,PPMT('Assumptions (Coal)'!$V$7,Model!AH$1,'Assumptions (Coal)'!$V$10,'Assumptions (Coal)'!$V$5*Model!$E$18*AVERAGE('Assumptions (Coal)'!$B$2:$C$2)/10^9),0)</f>
        <v>0</v>
      </c>
      <c r="Q86" s="160">
        <f>IF($E$18&gt;0,PPMT('Assumptions (Coal)'!$V$7,Model!AI$1,'Assumptions (Coal)'!$V$10,'Assumptions (Coal)'!$V$5*Model!$E$18*AVERAGE('Assumptions (Coal)'!$B$2:$C$2)/10^9),0)</f>
        <v>0</v>
      </c>
      <c r="R86" s="160">
        <f>IF($E$18&gt;0,PPMT('Assumptions (Coal)'!$V$7,Model!AJ$1,'Assumptions (Coal)'!$V$10,'Assumptions (Coal)'!$V$5*Model!$E$18*AVERAGE('Assumptions (Coal)'!$B$2:$C$2)/10^9),0)</f>
        <v>0</v>
      </c>
      <c r="S86" s="160">
        <f>IF($E$18&gt;0,PPMT('Assumptions (Coal)'!$V$7,Model!AK$1,'Assumptions (Coal)'!$V$10,'Assumptions (Coal)'!$V$5*Model!$E$18*AVERAGE('Assumptions (Coal)'!$B$2:$C$2)/10^9),0)</f>
        <v>0</v>
      </c>
      <c r="T86" s="160"/>
      <c r="U86" s="160"/>
      <c r="V86" s="160"/>
      <c r="W86" s="160"/>
      <c r="X86" s="160"/>
      <c r="Y86" s="160"/>
      <c r="Z86" s="160"/>
      <c r="AA86" s="160"/>
      <c r="AB86" s="160"/>
      <c r="AC86" s="160"/>
      <c r="AD86" s="160"/>
      <c r="AE86" s="160"/>
      <c r="AF86" s="160"/>
      <c r="AG86" s="160"/>
      <c r="AU86" s="160"/>
      <c r="AV86" s="160"/>
      <c r="AW86" s="160"/>
      <c r="AX86" s="160"/>
      <c r="AY86" s="160"/>
      <c r="AZ86" s="160"/>
      <c r="BA86" s="160"/>
    </row>
    <row r="87" ht="15.75" hidden="1" customHeight="1" outlineLevel="1">
      <c r="A87" s="158"/>
      <c r="B87" s="38"/>
      <c r="C87" s="160"/>
      <c r="D87" s="160"/>
      <c r="E87" s="160"/>
      <c r="F87" s="160">
        <f>IF($F$18&gt;0,PPMT('Assumptions (Coal)'!$V$7,Model!W$1,'Assumptions (Coal)'!$V$10,'Assumptions (Coal)'!$V$5*Model!$F$18*AVERAGE('Assumptions (Coal)'!$B$2:$D$2)/10^9),0)</f>
        <v>0</v>
      </c>
      <c r="G87" s="160">
        <f>IF($F$18&gt;0,PPMT('Assumptions (Coal)'!$V$7,Model!X$1,'Assumptions (Coal)'!$V$10,'Assumptions (Coal)'!$V$5*Model!$F$18*AVERAGE('Assumptions (Coal)'!$B$2:$D$2)/10^9),0)</f>
        <v>0</v>
      </c>
      <c r="H87" s="160">
        <f>IF($F$18&gt;0,PPMT('Assumptions (Coal)'!$V$7,Model!Y$1,'Assumptions (Coal)'!$V$10,'Assumptions (Coal)'!$V$5*Model!$F$18*AVERAGE('Assumptions (Coal)'!$B$2:$D$2)/10^9),0)</f>
        <v>0</v>
      </c>
      <c r="I87" s="160">
        <f>IF($F$18&gt;0,PPMT('Assumptions (Coal)'!$V$7,Model!Z$1,'Assumptions (Coal)'!$V$10,'Assumptions (Coal)'!$V$5*Model!$F$18*AVERAGE('Assumptions (Coal)'!$B$2:$D$2)/10^9),0)</f>
        <v>0</v>
      </c>
      <c r="J87" s="160">
        <f>IF($F$18&gt;0,PPMT('Assumptions (Coal)'!$V$7,Model!AA$1,'Assumptions (Coal)'!$V$10,'Assumptions (Coal)'!$V$5*Model!$F$18*AVERAGE('Assumptions (Coal)'!$B$2:$D$2)/10^9),0)</f>
        <v>0</v>
      </c>
      <c r="K87" s="160">
        <f>IF($F$18&gt;0,PPMT('Assumptions (Coal)'!$V$7,Model!AB$1,'Assumptions (Coal)'!$V$10,'Assumptions (Coal)'!$V$5*Model!$F$18*AVERAGE('Assumptions (Coal)'!$B$2:$D$2)/10^9),0)</f>
        <v>0</v>
      </c>
      <c r="L87" s="160">
        <f>IF($F$18&gt;0,PPMT('Assumptions (Coal)'!$V$7,Model!AC$1,'Assumptions (Coal)'!$V$10,'Assumptions (Coal)'!$V$5*Model!$F$18*AVERAGE('Assumptions (Coal)'!$B$2:$D$2)/10^9),0)</f>
        <v>0</v>
      </c>
      <c r="M87" s="160">
        <f>IF($F$18&gt;0,PPMT('Assumptions (Coal)'!$V$7,Model!AD$1,'Assumptions (Coal)'!$V$10,'Assumptions (Coal)'!$V$5*Model!$F$18*AVERAGE('Assumptions (Coal)'!$B$2:$D$2)/10^9),0)</f>
        <v>0</v>
      </c>
      <c r="N87" s="177">
        <f>IF($F$18&gt;0,PPMT('Assumptions (Coal)'!$V$7,Model!AE$1,'Assumptions (Coal)'!$V$10,'Assumptions (Coal)'!$V$5*Model!$F$18*AVERAGE('Assumptions (Coal)'!$B$2:$D$2)/10^9),0)</f>
        <v>0</v>
      </c>
      <c r="O87" s="160">
        <f>IF($F$18&gt;0,PPMT('Assumptions (Coal)'!$V$7,Model!AF$1,'Assumptions (Coal)'!$V$10,'Assumptions (Coal)'!$V$5*Model!$F$18*AVERAGE('Assumptions (Coal)'!$B$2:$D$2)/10^9),0)</f>
        <v>0</v>
      </c>
      <c r="P87" s="160">
        <f>IF($F$18&gt;0,PPMT('Assumptions (Coal)'!$V$7,Model!AG$1,'Assumptions (Coal)'!$V$10,'Assumptions (Coal)'!$V$5*Model!$F$18*AVERAGE('Assumptions (Coal)'!$B$2:$D$2)/10^9),0)</f>
        <v>0</v>
      </c>
      <c r="Q87" s="160">
        <f>IF($F$18&gt;0,PPMT('Assumptions (Coal)'!$V$7,Model!AH$1,'Assumptions (Coal)'!$V$10,'Assumptions (Coal)'!$V$5*Model!$F$18*AVERAGE('Assumptions (Coal)'!$B$2:$D$2)/10^9),0)</f>
        <v>0</v>
      </c>
      <c r="R87" s="160">
        <f>IF($F$18&gt;0,PPMT('Assumptions (Coal)'!$V$7,Model!AI$1,'Assumptions (Coal)'!$V$10,'Assumptions (Coal)'!$V$5*Model!$F$18*AVERAGE('Assumptions (Coal)'!$B$2:$D$2)/10^9),0)</f>
        <v>0</v>
      </c>
      <c r="S87" s="160">
        <f>IF($F$18&gt;0,PPMT('Assumptions (Coal)'!$V$7,Model!AJ$1,'Assumptions (Coal)'!$V$10,'Assumptions (Coal)'!$V$5*Model!$F$18*AVERAGE('Assumptions (Coal)'!$B$2:$D$2)/10^9),0)</f>
        <v>0</v>
      </c>
      <c r="T87" s="160">
        <f>IF($F$18&gt;0,PPMT('Assumptions (Coal)'!$V$7,Model!AK$1,'Assumptions (Coal)'!$V$10,'Assumptions (Coal)'!$V$5*Model!$F$18*AVERAGE('Assumptions (Coal)'!$B$2:$D$2)/10^9),0)</f>
        <v>0</v>
      </c>
      <c r="U87" s="160"/>
      <c r="V87" s="160"/>
      <c r="W87" s="160"/>
      <c r="X87" s="160"/>
      <c r="Y87" s="160"/>
      <c r="Z87" s="160"/>
      <c r="AA87" s="160"/>
      <c r="AB87" s="160"/>
      <c r="AC87" s="160"/>
      <c r="AD87" s="160"/>
      <c r="AE87" s="160"/>
      <c r="AF87" s="160"/>
      <c r="AG87" s="160"/>
      <c r="AU87" s="160"/>
      <c r="AV87" s="160"/>
      <c r="AW87" s="160"/>
      <c r="AX87" s="160"/>
      <c r="AY87" s="160"/>
      <c r="AZ87" s="160"/>
      <c r="BA87" s="160"/>
    </row>
    <row r="88" ht="15.75" hidden="1" customHeight="1" outlineLevel="1">
      <c r="A88" s="158"/>
      <c r="B88" s="38"/>
      <c r="C88" s="160"/>
      <c r="D88" s="160"/>
      <c r="E88" s="160"/>
      <c r="F88" s="160"/>
      <c r="G88" s="160">
        <f>IF($G$18&gt;0,PPMT('Assumptions (Coal)'!$V$7,Model!W$1,'Assumptions (Coal)'!$V$10,'Assumptions (Coal)'!$V$5*Model!$G$18*AVERAGE('Assumptions (Coal)'!$B$2:$E$2)/10^9),0)</f>
        <v>0</v>
      </c>
      <c r="H88" s="160">
        <f>IF($G$18&gt;0,PPMT('Assumptions (Coal)'!$V$7,Model!X$1,'Assumptions (Coal)'!$V$10,'Assumptions (Coal)'!$V$5*Model!$G$18*AVERAGE('Assumptions (Coal)'!$B$2:$E$2)/10^9),0)</f>
        <v>0</v>
      </c>
      <c r="I88" s="160">
        <f>IF($G$18&gt;0,PPMT('Assumptions (Coal)'!$V$7,Model!Y$1,'Assumptions (Coal)'!$V$10,'Assumptions (Coal)'!$V$5*Model!$G$18*AVERAGE('Assumptions (Coal)'!$B$2:$E$2)/10^9),0)</f>
        <v>0</v>
      </c>
      <c r="J88" s="160">
        <f>IF($G$18&gt;0,PPMT('Assumptions (Coal)'!$V$7,Model!Z$1,'Assumptions (Coal)'!$V$10,'Assumptions (Coal)'!$V$5*Model!$G$18*AVERAGE('Assumptions (Coal)'!$B$2:$E$2)/10^9),0)</f>
        <v>0</v>
      </c>
      <c r="K88" s="160">
        <f>IF($G$18&gt;0,PPMT('Assumptions (Coal)'!$V$7,Model!AA$1,'Assumptions (Coal)'!$V$10,'Assumptions (Coal)'!$V$5*Model!$G$18*AVERAGE('Assumptions (Coal)'!$B$2:$E$2)/10^9),0)</f>
        <v>0</v>
      </c>
      <c r="L88" s="160">
        <f>IF($G$18&gt;0,PPMT('Assumptions (Coal)'!$V$7,Model!AB$1,'Assumptions (Coal)'!$V$10,'Assumptions (Coal)'!$V$5*Model!$G$18*AVERAGE('Assumptions (Coal)'!$B$2:$E$2)/10^9),0)</f>
        <v>0</v>
      </c>
      <c r="M88" s="160">
        <f>IF($G$18&gt;0,PPMT('Assumptions (Coal)'!$V$7,Model!AC$1,'Assumptions (Coal)'!$V$10,'Assumptions (Coal)'!$V$5*Model!$G$18*AVERAGE('Assumptions (Coal)'!$B$2:$E$2)/10^9),0)</f>
        <v>0</v>
      </c>
      <c r="N88" s="177">
        <f>IF($G$18&gt;0,PPMT('Assumptions (Coal)'!$V$7,Model!AD$1,'Assumptions (Coal)'!$V$10,'Assumptions (Coal)'!$V$5*Model!$G$18*AVERAGE('Assumptions (Coal)'!$B$2:$E$2)/10^9),0)</f>
        <v>0</v>
      </c>
      <c r="O88" s="160">
        <f>IF($G$18&gt;0,PPMT('Assumptions (Coal)'!$V$7,Model!AE$1,'Assumptions (Coal)'!$V$10,'Assumptions (Coal)'!$V$5*Model!$G$18*AVERAGE('Assumptions (Coal)'!$B$2:$E$2)/10^9),0)</f>
        <v>0</v>
      </c>
      <c r="P88" s="160">
        <f>IF($G$18&gt;0,PPMT('Assumptions (Coal)'!$V$7,Model!AF$1,'Assumptions (Coal)'!$V$10,'Assumptions (Coal)'!$V$5*Model!$G$18*AVERAGE('Assumptions (Coal)'!$B$2:$E$2)/10^9),0)</f>
        <v>0</v>
      </c>
      <c r="Q88" s="160">
        <f>IF($G$18&gt;0,PPMT('Assumptions (Coal)'!$V$7,Model!AG$1,'Assumptions (Coal)'!$V$10,'Assumptions (Coal)'!$V$5*Model!$G$18*AVERAGE('Assumptions (Coal)'!$B$2:$E$2)/10^9),0)</f>
        <v>0</v>
      </c>
      <c r="R88" s="160">
        <f>IF($G$18&gt;0,PPMT('Assumptions (Coal)'!$V$7,Model!AH$1,'Assumptions (Coal)'!$V$10,'Assumptions (Coal)'!$V$5*Model!$G$18*AVERAGE('Assumptions (Coal)'!$B$2:$E$2)/10^9),0)</f>
        <v>0</v>
      </c>
      <c r="S88" s="160">
        <f>IF($G$18&gt;0,PPMT('Assumptions (Coal)'!$V$7,Model!AI$1,'Assumptions (Coal)'!$V$10,'Assumptions (Coal)'!$V$5*Model!$G$18*AVERAGE('Assumptions (Coal)'!$B$2:$E$2)/10^9),0)</f>
        <v>0</v>
      </c>
      <c r="T88" s="160">
        <f>IF($G$18&gt;0,PPMT('Assumptions (Coal)'!$V$7,Model!AJ$1,'Assumptions (Coal)'!$V$10,'Assumptions (Coal)'!$V$5*Model!$G$18*AVERAGE('Assumptions (Coal)'!$B$2:$E$2)/10^9),0)</f>
        <v>0</v>
      </c>
      <c r="U88" s="160">
        <f>IF($G$18&gt;0,PPMT('Assumptions (Coal)'!$V$7,Model!AK$1,'Assumptions (Coal)'!$V$10,'Assumptions (Coal)'!$V$5*Model!$G$18*AVERAGE('Assumptions (Coal)'!$B$2:$E$2)/10^9),0)</f>
        <v>0</v>
      </c>
      <c r="V88" s="160"/>
      <c r="W88" s="160"/>
      <c r="X88" s="160"/>
      <c r="Y88" s="160"/>
      <c r="Z88" s="160"/>
      <c r="AA88" s="160"/>
      <c r="AB88" s="160"/>
      <c r="AC88" s="160"/>
      <c r="AD88" s="160"/>
      <c r="AE88" s="160"/>
      <c r="AF88" s="160"/>
      <c r="AG88" s="160"/>
      <c r="AU88" s="160"/>
      <c r="AV88" s="160"/>
      <c r="AW88" s="160"/>
      <c r="AX88" s="160"/>
      <c r="AY88" s="160"/>
      <c r="AZ88" s="160"/>
      <c r="BA88" s="160"/>
    </row>
    <row r="89" ht="15.75" hidden="1" customHeight="1" outlineLevel="1">
      <c r="A89" s="158"/>
      <c r="B89" s="38"/>
      <c r="C89" s="160"/>
      <c r="D89" s="160"/>
      <c r="E89" s="160"/>
      <c r="F89" s="160"/>
      <c r="G89" s="160"/>
      <c r="H89" s="160">
        <f>IF($H$18&gt;0,PPMT('Assumptions (Coal)'!$V$7,Model!W$1,'Assumptions (Coal)'!$V$10,'Assumptions (Coal)'!$V$5*Model!$H$18*AVERAGE('Assumptions (Coal)'!$B$2:$F$2)/10^9),0)</f>
        <v>0</v>
      </c>
      <c r="I89" s="160">
        <f>IF($H$18&gt;0,PPMT('Assumptions (Coal)'!$V$7,Model!X$1,'Assumptions (Coal)'!$V$10,'Assumptions (Coal)'!$V$5*Model!$H$18*AVERAGE('Assumptions (Coal)'!$B$2:$F$2)/10^9),0)</f>
        <v>0</v>
      </c>
      <c r="J89" s="160">
        <f>IF($H$18&gt;0,PPMT('Assumptions (Coal)'!$V$7,Model!Y$1,'Assumptions (Coal)'!$V$10,'Assumptions (Coal)'!$V$5*Model!$H$18*AVERAGE('Assumptions (Coal)'!$B$2:$F$2)/10^9),0)</f>
        <v>0</v>
      </c>
      <c r="K89" s="160">
        <f>IF($H$18&gt;0,PPMT('Assumptions (Coal)'!$V$7,Model!Z$1,'Assumptions (Coal)'!$V$10,'Assumptions (Coal)'!$V$5*Model!$H$18*AVERAGE('Assumptions (Coal)'!$B$2:$F$2)/10^9),0)</f>
        <v>0</v>
      </c>
      <c r="L89" s="160">
        <f>IF($H$18&gt;0,PPMT('Assumptions (Coal)'!$V$7,Model!AA$1,'Assumptions (Coal)'!$V$10,'Assumptions (Coal)'!$V$5*Model!$H$18*AVERAGE('Assumptions (Coal)'!$B$2:$F$2)/10^9),0)</f>
        <v>0</v>
      </c>
      <c r="M89" s="160">
        <f>IF($H$18&gt;0,PPMT('Assumptions (Coal)'!$V$7,Model!AB$1,'Assumptions (Coal)'!$V$10,'Assumptions (Coal)'!$V$5*Model!$H$18*AVERAGE('Assumptions (Coal)'!$B$2:$F$2)/10^9),0)</f>
        <v>0</v>
      </c>
      <c r="N89" s="177">
        <f>IF($H$18&gt;0,PPMT('Assumptions (Coal)'!$V$7,Model!AC$1,'Assumptions (Coal)'!$V$10,'Assumptions (Coal)'!$V$5*Model!$H$18*AVERAGE('Assumptions (Coal)'!$B$2:$F$2)/10^9),0)</f>
        <v>0</v>
      </c>
      <c r="O89" s="160">
        <f>IF($H$18&gt;0,PPMT('Assumptions (Coal)'!$V$7,Model!AD$1,'Assumptions (Coal)'!$V$10,'Assumptions (Coal)'!$V$5*Model!$H$18*AVERAGE('Assumptions (Coal)'!$B$2:$F$2)/10^9),0)</f>
        <v>0</v>
      </c>
      <c r="P89" s="160">
        <f>IF($H$18&gt;0,PPMT('Assumptions (Coal)'!$V$7,Model!AE$1,'Assumptions (Coal)'!$V$10,'Assumptions (Coal)'!$V$5*Model!$H$18*AVERAGE('Assumptions (Coal)'!$B$2:$F$2)/10^9),0)</f>
        <v>0</v>
      </c>
      <c r="Q89" s="160">
        <f>IF($H$18&gt;0,PPMT('Assumptions (Coal)'!$V$7,Model!AF$1,'Assumptions (Coal)'!$V$10,'Assumptions (Coal)'!$V$5*Model!$H$18*AVERAGE('Assumptions (Coal)'!$B$2:$F$2)/10^9),0)</f>
        <v>0</v>
      </c>
      <c r="R89" s="160">
        <f>IF($H$18&gt;0,PPMT('Assumptions (Coal)'!$V$7,Model!AG$1,'Assumptions (Coal)'!$V$10,'Assumptions (Coal)'!$V$5*Model!$H$18*AVERAGE('Assumptions (Coal)'!$B$2:$F$2)/10^9),0)</f>
        <v>0</v>
      </c>
      <c r="S89" s="160">
        <f>IF($H$18&gt;0,PPMT('Assumptions (Coal)'!$V$7,Model!AH$1,'Assumptions (Coal)'!$V$10,'Assumptions (Coal)'!$V$5*Model!$H$18*AVERAGE('Assumptions (Coal)'!$B$2:$F$2)/10^9),0)</f>
        <v>0</v>
      </c>
      <c r="T89" s="160">
        <f>IF($H$18&gt;0,PPMT('Assumptions (Coal)'!$V$7,Model!AI$1,'Assumptions (Coal)'!$V$10,'Assumptions (Coal)'!$V$5*Model!$H$18*AVERAGE('Assumptions (Coal)'!$B$2:$F$2)/10^9),0)</f>
        <v>0</v>
      </c>
      <c r="U89" s="160">
        <f>IF($H$18&gt;0,PPMT('Assumptions (Coal)'!$V$7,Model!AJ$1,'Assumptions (Coal)'!$V$10,'Assumptions (Coal)'!$V$5*Model!$H$18*AVERAGE('Assumptions (Coal)'!$B$2:$F$2)/10^9),0)</f>
        <v>0</v>
      </c>
      <c r="V89" s="160">
        <f>IF($H$18&gt;0,PPMT('Assumptions (Coal)'!$V$7,Model!AK$1,'Assumptions (Coal)'!$V$10,'Assumptions (Coal)'!$V$5*Model!$H$18*AVERAGE('Assumptions (Coal)'!$B$2:$F$2)/10^9),0)</f>
        <v>0</v>
      </c>
      <c r="W89" s="160"/>
      <c r="X89" s="160"/>
      <c r="Y89" s="160"/>
      <c r="Z89" s="160"/>
      <c r="AA89" s="160"/>
      <c r="AB89" s="160"/>
      <c r="AC89" s="160"/>
      <c r="AD89" s="160"/>
      <c r="AE89" s="160"/>
      <c r="AF89" s="160"/>
      <c r="AG89" s="160"/>
      <c r="AU89" s="160"/>
      <c r="AV89" s="160"/>
      <c r="AW89" s="160"/>
      <c r="AX89" s="160"/>
      <c r="AY89" s="160"/>
      <c r="AZ89" s="160"/>
      <c r="BA89" s="160"/>
    </row>
    <row r="90" ht="15.75" hidden="1" customHeight="1" outlineLevel="1">
      <c r="A90" s="158"/>
      <c r="B90" s="38"/>
      <c r="C90" s="160"/>
      <c r="D90" s="160"/>
      <c r="E90" s="160"/>
      <c r="F90" s="160"/>
      <c r="G90" s="160"/>
      <c r="H90" s="160"/>
      <c r="I90" s="160">
        <f>IF($I$18&gt;0,PPMT('Assumptions (Coal)'!$V$7,Model!W$1,'Assumptions (Coal)'!$V$10,'Assumptions (Coal)'!$V$5*Model!$I$18*AVERAGE('Assumptions (Coal)'!$B$2:$G$2)/10^9),0)</f>
        <v>0</v>
      </c>
      <c r="J90" s="160">
        <f>IF($I$18&gt;0,PPMT('Assumptions (Coal)'!$V$7,Model!X$1,'Assumptions (Coal)'!$V$10,'Assumptions (Coal)'!$V$5*Model!$I$18*AVERAGE('Assumptions (Coal)'!$B$2:$G$2)/10^9),0)</f>
        <v>0</v>
      </c>
      <c r="K90" s="160">
        <f>IF($I$18&gt;0,PPMT('Assumptions (Coal)'!$V$7,Model!Y$1,'Assumptions (Coal)'!$V$10,'Assumptions (Coal)'!$V$5*Model!$I$18*AVERAGE('Assumptions (Coal)'!$B$2:$G$2)/10^9),0)</f>
        <v>0</v>
      </c>
      <c r="L90" s="160">
        <f>IF($I$18&gt;0,PPMT('Assumptions (Coal)'!$V$7,Model!Z$1,'Assumptions (Coal)'!$V$10,'Assumptions (Coal)'!$V$5*Model!$I$18*AVERAGE('Assumptions (Coal)'!$B$2:$G$2)/10^9),0)</f>
        <v>0</v>
      </c>
      <c r="M90" s="160">
        <f>IF($I$18&gt;0,PPMT('Assumptions (Coal)'!$V$7,Model!AA$1,'Assumptions (Coal)'!$V$10,'Assumptions (Coal)'!$V$5*Model!$I$18*AVERAGE('Assumptions (Coal)'!$B$2:$G$2)/10^9),0)</f>
        <v>0</v>
      </c>
      <c r="N90" s="177">
        <f>IF($I$18&gt;0,PPMT('Assumptions (Coal)'!$V$7,Model!AB$1,'Assumptions (Coal)'!$V$10,'Assumptions (Coal)'!$V$5*Model!$I$18*AVERAGE('Assumptions (Coal)'!$B$2:$G$2)/10^9),0)</f>
        <v>0</v>
      </c>
      <c r="O90" s="160">
        <f>IF($I$18&gt;0,PPMT('Assumptions (Coal)'!$V$7,Model!AC$1,'Assumptions (Coal)'!$V$10,'Assumptions (Coal)'!$V$5*Model!$I$18*AVERAGE('Assumptions (Coal)'!$B$2:$G$2)/10^9),0)</f>
        <v>0</v>
      </c>
      <c r="P90" s="160">
        <f>IF($I$18&gt;0,PPMT('Assumptions (Coal)'!$V$7,Model!AD$1,'Assumptions (Coal)'!$V$10,'Assumptions (Coal)'!$V$5*Model!$I$18*AVERAGE('Assumptions (Coal)'!$B$2:$G$2)/10^9),0)</f>
        <v>0</v>
      </c>
      <c r="Q90" s="160">
        <f>IF($I$18&gt;0,PPMT('Assumptions (Coal)'!$V$7,Model!AE$1,'Assumptions (Coal)'!$V$10,'Assumptions (Coal)'!$V$5*Model!$I$18*AVERAGE('Assumptions (Coal)'!$B$2:$G$2)/10^9),0)</f>
        <v>0</v>
      </c>
      <c r="R90" s="160">
        <f>IF($I$18&gt;0,PPMT('Assumptions (Coal)'!$V$7,Model!AF$1,'Assumptions (Coal)'!$V$10,'Assumptions (Coal)'!$V$5*Model!$I$18*AVERAGE('Assumptions (Coal)'!$B$2:$G$2)/10^9),0)</f>
        <v>0</v>
      </c>
      <c r="S90" s="160">
        <f>IF($I$18&gt;0,PPMT('Assumptions (Coal)'!$V$7,Model!AG$1,'Assumptions (Coal)'!$V$10,'Assumptions (Coal)'!$V$5*Model!$I$18*AVERAGE('Assumptions (Coal)'!$B$2:$G$2)/10^9),0)</f>
        <v>0</v>
      </c>
      <c r="T90" s="160">
        <f>IF($I$18&gt;0,PPMT('Assumptions (Coal)'!$V$7,Model!AH$1,'Assumptions (Coal)'!$V$10,'Assumptions (Coal)'!$V$5*Model!$I$18*AVERAGE('Assumptions (Coal)'!$B$2:$G$2)/10^9),0)</f>
        <v>0</v>
      </c>
      <c r="U90" s="160">
        <f>IF($I$18&gt;0,PPMT('Assumptions (Coal)'!$V$7,Model!AI$1,'Assumptions (Coal)'!$V$10,'Assumptions (Coal)'!$V$5*Model!$I$18*AVERAGE('Assumptions (Coal)'!$B$2:$G$2)/10^9),0)</f>
        <v>0</v>
      </c>
      <c r="V90" s="160">
        <f>IF($I$18&gt;0,PPMT('Assumptions (Coal)'!$V$7,Model!AJ$1,'Assumptions (Coal)'!$V$10,'Assumptions (Coal)'!$V$5*Model!$I$18*AVERAGE('Assumptions (Coal)'!$B$2:$G$2)/10^9),0)</f>
        <v>0</v>
      </c>
      <c r="W90" s="160">
        <f>IF($I$18&gt;0,PPMT('Assumptions (Coal)'!$V$7,Model!AK$1,'Assumptions (Coal)'!$V$10,'Assumptions (Coal)'!$V$5*Model!$I$18*AVERAGE('Assumptions (Coal)'!$B$2:$G$2)/10^9),0)</f>
        <v>0</v>
      </c>
      <c r="X90" s="160"/>
      <c r="Y90" s="160"/>
      <c r="Z90" s="160"/>
      <c r="AA90" s="160"/>
      <c r="AB90" s="160"/>
      <c r="AC90" s="160"/>
      <c r="AD90" s="160"/>
      <c r="AE90" s="160"/>
      <c r="AF90" s="160"/>
      <c r="AG90" s="160"/>
      <c r="AU90" s="160"/>
      <c r="AV90" s="160"/>
      <c r="AW90" s="160"/>
      <c r="AX90" s="160"/>
      <c r="AY90" s="160"/>
      <c r="AZ90" s="160"/>
      <c r="BA90" s="160"/>
    </row>
    <row r="91" ht="15.75" hidden="1" customHeight="1" outlineLevel="1">
      <c r="A91" s="158"/>
      <c r="B91" s="38"/>
      <c r="C91" s="160"/>
      <c r="D91" s="160"/>
      <c r="E91" s="160"/>
      <c r="F91" s="160"/>
      <c r="G91" s="160"/>
      <c r="H91" s="160"/>
      <c r="I91" s="160"/>
      <c r="J91" s="160">
        <f>IF($J$18&gt;0,PPMT('Assumptions (Coal)'!$V$7,Model!W$1,'Assumptions (Coal)'!$V$10,'Assumptions (Coal)'!$V$5*Model!$J$18*AVERAGE('Assumptions (Coal)'!$C$2:$H$2)/10^9),0)</f>
        <v>-0.0353588555</v>
      </c>
      <c r="K91" s="160">
        <f>IF($J$18&gt;0,PPMT('Assumptions (Coal)'!$V$7,Model!X$1,'Assumptions (Coal)'!$V$10,'Assumptions (Coal)'!$V$5*Model!$J$18*AVERAGE('Assumptions (Coal)'!$C$2:$H$2)/10^9),0)</f>
        <v>-0.03703840114</v>
      </c>
      <c r="L91" s="160">
        <f>IF($J$18&gt;0,PPMT('Assumptions (Coal)'!$V$7,Model!Y$1,'Assumptions (Coal)'!$V$10,'Assumptions (Coal)'!$V$5*Model!$J$18*AVERAGE('Assumptions (Coal)'!$C$2:$H$2)/10^9),0)</f>
        <v>-0.0387977252</v>
      </c>
      <c r="M91" s="160">
        <f>IF($J$18&gt;0,PPMT('Assumptions (Coal)'!$V$7,Model!Z$1,'Assumptions (Coal)'!$V$10,'Assumptions (Coal)'!$V$5*Model!$J$18*AVERAGE('Assumptions (Coal)'!$C$2:$H$2)/10^9),0)</f>
        <v>-0.04064061714</v>
      </c>
      <c r="N91" s="177">
        <f>IF($J$18&gt;0,PPMT('Assumptions (Coal)'!$V$7,Model!AA$1,'Assumptions (Coal)'!$V$10,'Assumptions (Coal)'!$V$5*Model!$J$18*AVERAGE('Assumptions (Coal)'!$C$2:$H$2)/10^9),0)</f>
        <v>-0.04257104646</v>
      </c>
      <c r="O91" s="160">
        <f>IF($J$18&gt;0,PPMT('Assumptions (Coal)'!$V$7,Model!AB$1,'Assumptions (Coal)'!$V$10,'Assumptions (Coal)'!$V$5*Model!$J$18*AVERAGE('Assumptions (Coal)'!$C$2:$H$2)/10^9),0)</f>
        <v>-0.04459317116</v>
      </c>
      <c r="P91" s="160">
        <f>IF($J$18&gt;0,PPMT('Assumptions (Coal)'!$V$7,Model!AC$1,'Assumptions (Coal)'!$V$10,'Assumptions (Coal)'!$V$5*Model!$J$18*AVERAGE('Assumptions (Coal)'!$C$2:$H$2)/10^9),0)</f>
        <v>-0.04671134679</v>
      </c>
      <c r="Q91" s="160">
        <f>IF($J$18&gt;0,PPMT('Assumptions (Coal)'!$V$7,Model!AD$1,'Assumptions (Coal)'!$V$10,'Assumptions (Coal)'!$V$5*Model!$J$18*AVERAGE('Assumptions (Coal)'!$C$2:$H$2)/10^9),0)</f>
        <v>-0.04893013577</v>
      </c>
      <c r="R91" s="160">
        <f>IF($J$18&gt;0,PPMT('Assumptions (Coal)'!$V$7,Model!AE$1,'Assumptions (Coal)'!$V$10,'Assumptions (Coal)'!$V$5*Model!$J$18*AVERAGE('Assumptions (Coal)'!$C$2:$H$2)/10^9),0)</f>
        <v>-0.05125431722</v>
      </c>
      <c r="S91" s="160">
        <f>IF($J$18&gt;0,PPMT('Assumptions (Coal)'!$V$7,Model!AF$1,'Assumptions (Coal)'!$V$10,'Assumptions (Coal)'!$V$5*Model!$J$18*AVERAGE('Assumptions (Coal)'!$C$2:$H$2)/10^9),0)</f>
        <v>-0.05368889728</v>
      </c>
      <c r="T91" s="160">
        <f>IF($J$18&gt;0,PPMT('Assumptions (Coal)'!$V$7,Model!AG$1,'Assumptions (Coal)'!$V$10,'Assumptions (Coal)'!$V$5*Model!$J$18*AVERAGE('Assumptions (Coal)'!$C$2:$H$2)/10^9),0)</f>
        <v>-0.0562391199</v>
      </c>
      <c r="U91" s="160">
        <f>IF($J$18&gt;0,PPMT('Assumptions (Coal)'!$V$7,Model!AH$1,'Assumptions (Coal)'!$V$10,'Assumptions (Coal)'!$V$5*Model!$J$18*AVERAGE('Assumptions (Coal)'!$C$2:$H$2)/10^9),0)</f>
        <v>-0.0589104781</v>
      </c>
      <c r="V91" s="160">
        <f>IF($J$18&gt;0,PPMT('Assumptions (Coal)'!$V$7,Model!AI$1,'Assumptions (Coal)'!$V$10,'Assumptions (Coal)'!$V$5*Model!$J$18*AVERAGE('Assumptions (Coal)'!$C$2:$H$2)/10^9),0)</f>
        <v>-0.06170872581</v>
      </c>
      <c r="W91" s="160">
        <f>IF($J$18&gt;0,PPMT('Assumptions (Coal)'!$V$7,Model!AJ$1,'Assumptions (Coal)'!$V$10,'Assumptions (Coal)'!$V$5*Model!$J$18*AVERAGE('Assumptions (Coal)'!$C$2:$H$2)/10^9),0)</f>
        <v>-0.06463989028</v>
      </c>
      <c r="X91" s="160">
        <f>IF($J$18&gt;0,PPMT('Assumptions (Coal)'!$V$7,Model!AK$1,'Assumptions (Coal)'!$V$10,'Assumptions (Coal)'!$V$5*Model!$J$18*AVERAGE('Assumptions (Coal)'!$C$2:$H$2)/10^9),0)</f>
        <v>-0.06771028507</v>
      </c>
      <c r="Y91" s="160"/>
      <c r="Z91" s="160"/>
      <c r="AA91" s="160"/>
      <c r="AB91" s="160"/>
      <c r="AC91" s="160"/>
      <c r="AD91" s="160"/>
      <c r="AE91" s="160"/>
      <c r="AF91" s="160"/>
      <c r="AG91" s="160"/>
      <c r="AH91" s="160"/>
      <c r="AU91" s="160"/>
      <c r="AV91" s="160"/>
      <c r="AW91" s="160"/>
      <c r="AX91" s="160"/>
      <c r="AY91" s="160"/>
      <c r="AZ91" s="160"/>
      <c r="BA91" s="160"/>
    </row>
    <row r="92" ht="15.75" hidden="1" customHeight="1" outlineLevel="1">
      <c r="A92" s="158"/>
      <c r="B92" s="38"/>
      <c r="C92" s="160"/>
      <c r="D92" s="160"/>
      <c r="E92" s="160"/>
      <c r="F92" s="160"/>
      <c r="G92" s="160"/>
      <c r="H92" s="160"/>
      <c r="I92" s="160"/>
      <c r="J92" s="160"/>
      <c r="K92" s="160">
        <f>IF($K$18&gt;0,PPMT('Assumptions (Coal)'!$V$7,Model!W$1,'Assumptions (Coal)'!$V$10,'Assumptions (Coal)'!$V$5*Model!$K$18*AVERAGE('Assumptions (Coal)'!$D$2:$I$2)/10^9),0)</f>
        <v>-0.03998779776</v>
      </c>
      <c r="L92" s="160">
        <f>IF($K$18&gt;0,PPMT('Assumptions (Coal)'!$V$7,Model!X$1,'Assumptions (Coal)'!$V$10,'Assumptions (Coal)'!$V$5*Model!$K$18*AVERAGE('Assumptions (Coal)'!$D$2:$I$2)/10^9),0)</f>
        <v>-0.04188721816</v>
      </c>
      <c r="M92" s="160">
        <f>IF($K$18&gt;0,PPMT('Assumptions (Coal)'!$V$7,Model!Y$1,'Assumptions (Coal)'!$V$10,'Assumptions (Coal)'!$V$5*Model!$K$18*AVERAGE('Assumptions (Coal)'!$D$2:$I$2)/10^9),0)</f>
        <v>-0.04387686102</v>
      </c>
      <c r="N92" s="177">
        <f>IF($K$18&gt;0,PPMT('Assumptions (Coal)'!$V$7,Model!Z$1,'Assumptions (Coal)'!$V$10,'Assumptions (Coal)'!$V$5*Model!$K$18*AVERAGE('Assumptions (Coal)'!$D$2:$I$2)/10^9),0)</f>
        <v>-0.04596101192</v>
      </c>
      <c r="O92" s="160">
        <f>IF($K$18&gt;0,PPMT('Assumptions (Coal)'!$V$7,Model!AA$1,'Assumptions (Coal)'!$V$10,'Assumptions (Coal)'!$V$5*Model!$K$18*AVERAGE('Assumptions (Coal)'!$D$2:$I$2)/10^9),0)</f>
        <v>-0.04814415998</v>
      </c>
      <c r="P92" s="160">
        <f>IF($K$18&gt;0,PPMT('Assumptions (Coal)'!$V$7,Model!AB$1,'Assumptions (Coal)'!$V$10,'Assumptions (Coal)'!$V$5*Model!$K$18*AVERAGE('Assumptions (Coal)'!$D$2:$I$2)/10^9),0)</f>
        <v>-0.05043100758</v>
      </c>
      <c r="Q92" s="160">
        <f>IF($K$18&gt;0,PPMT('Assumptions (Coal)'!$V$7,Model!AC$1,'Assumptions (Coal)'!$V$10,'Assumptions (Coal)'!$V$5*Model!$K$18*AVERAGE('Assumptions (Coal)'!$D$2:$I$2)/10^9),0)</f>
        <v>-0.05282648044</v>
      </c>
      <c r="R92" s="160">
        <f>IF($K$18&gt;0,PPMT('Assumptions (Coal)'!$V$7,Model!AD$1,'Assumptions (Coal)'!$V$10,'Assumptions (Coal)'!$V$5*Model!$K$18*AVERAGE('Assumptions (Coal)'!$D$2:$I$2)/10^9),0)</f>
        <v>-0.05533573827</v>
      </c>
      <c r="S92" s="160">
        <f>IF($K$18&gt;0,PPMT('Assumptions (Coal)'!$V$7,Model!AE$1,'Assumptions (Coal)'!$V$10,'Assumptions (Coal)'!$V$5*Model!$K$18*AVERAGE('Assumptions (Coal)'!$D$2:$I$2)/10^9),0)</f>
        <v>-0.05796418583</v>
      </c>
      <c r="T92" s="160">
        <f>IF($K$18&gt;0,PPMT('Assumptions (Coal)'!$V$7,Model!AF$1,'Assumptions (Coal)'!$V$10,'Assumptions (Coal)'!$V$5*Model!$K$18*AVERAGE('Assumptions (Coal)'!$D$2:$I$2)/10^9),0)</f>
        <v>-0.06071748466</v>
      </c>
      <c r="U92" s="160">
        <f>IF($K$18&gt;0,PPMT('Assumptions (Coal)'!$V$7,Model!AG$1,'Assumptions (Coal)'!$V$10,'Assumptions (Coal)'!$V$5*Model!$K$18*AVERAGE('Assumptions (Coal)'!$D$2:$I$2)/10^9),0)</f>
        <v>-0.06360156518</v>
      </c>
      <c r="V92" s="160">
        <f>IF($K$18&gt;0,PPMT('Assumptions (Coal)'!$V$7,Model!AH$1,'Assumptions (Coal)'!$V$10,'Assumptions (Coal)'!$V$5*Model!$K$18*AVERAGE('Assumptions (Coal)'!$D$2:$I$2)/10^9),0)</f>
        <v>-0.06662263953</v>
      </c>
      <c r="W92" s="160">
        <f>IF($K$18&gt;0,PPMT('Assumptions (Coal)'!$V$7,Model!AI$1,'Assumptions (Coal)'!$V$10,'Assumptions (Coal)'!$V$5*Model!$K$18*AVERAGE('Assumptions (Coal)'!$D$2:$I$2)/10^9),0)</f>
        <v>-0.06978721491</v>
      </c>
      <c r="X92" s="160">
        <f>IF($K$18&gt;0,PPMT('Assumptions (Coal)'!$V$7,Model!AJ$1,'Assumptions (Coal)'!$V$10,'Assumptions (Coal)'!$V$5*Model!$K$18*AVERAGE('Assumptions (Coal)'!$D$2:$I$2)/10^9),0)</f>
        <v>-0.07310210761</v>
      </c>
      <c r="Y92" s="160">
        <f>IF($K$18&gt;0,PPMT('Assumptions (Coal)'!$V$7,Model!AK$1,'Assumptions (Coal)'!$V$10,'Assumptions (Coal)'!$V$5*Model!$K$18*AVERAGE('Assumptions (Coal)'!$D$2:$I$2)/10^9),0)</f>
        <v>-0.07657445772</v>
      </c>
      <c r="Z92" s="160"/>
      <c r="AA92" s="160"/>
      <c r="AB92" s="160"/>
      <c r="AC92" s="160"/>
      <c r="AD92" s="160"/>
      <c r="AE92" s="160"/>
      <c r="AF92" s="160"/>
      <c r="AG92" s="160"/>
      <c r="AH92" s="160"/>
      <c r="AI92" s="160"/>
      <c r="AU92" s="160"/>
      <c r="AV92" s="160"/>
      <c r="AW92" s="160"/>
      <c r="AX92" s="160"/>
      <c r="AY92" s="160"/>
      <c r="AZ92" s="160"/>
      <c r="BA92" s="160"/>
    </row>
    <row r="93" ht="15.75" hidden="1" customHeight="1" outlineLevel="1">
      <c r="A93" s="158"/>
      <c r="B93" s="38"/>
      <c r="C93" s="160"/>
      <c r="D93" s="160"/>
      <c r="E93" s="160"/>
      <c r="F93" s="160"/>
      <c r="G93" s="160"/>
      <c r="H93" s="160"/>
      <c r="I93" s="160"/>
      <c r="J93" s="160"/>
      <c r="K93" s="160"/>
      <c r="L93" s="160">
        <f>IF($L$18&gt;0,PPMT('Assumptions (Coal)'!$V$7,Model!W$1,'Assumptions (Coal)'!$V$10,'Assumptions (Coal)'!$V$5*Model!$L$18*AVERAGE('Assumptions (Coal)'!$E$2:$J$2)/10^9),0)</f>
        <v>0</v>
      </c>
      <c r="M93" s="160">
        <f>IF($L$18&gt;0,PPMT('Assumptions (Coal)'!$V$7,Model!X$1,'Assumptions (Coal)'!$V$10,'Assumptions (Coal)'!$V$5*Model!$L$18*AVERAGE('Assumptions (Coal)'!$E$2:$J$2)/10^9),0)</f>
        <v>0</v>
      </c>
      <c r="N93" s="177">
        <f>IF($L$18&gt;0,PPMT('Assumptions (Coal)'!$V$7,Model!Y$1,'Assumptions (Coal)'!$V$10,'Assumptions (Coal)'!$V$5*Model!$L$18*AVERAGE('Assumptions (Coal)'!$E$2:$J$2)/10^9),0)</f>
        <v>0</v>
      </c>
      <c r="O93" s="160">
        <f>IF($L$18&gt;0,PPMT('Assumptions (Coal)'!$V$7,Model!Z$1,'Assumptions (Coal)'!$V$10,'Assumptions (Coal)'!$V$5*Model!$L$18*AVERAGE('Assumptions (Coal)'!$E$2:$J$2)/10^9),0)</f>
        <v>0</v>
      </c>
      <c r="P93" s="160">
        <f>IF($L$18&gt;0,PPMT('Assumptions (Coal)'!$V$7,Model!AA$1,'Assumptions (Coal)'!$V$10,'Assumptions (Coal)'!$V$5*Model!$L$18*AVERAGE('Assumptions (Coal)'!$E$2:$J$2)/10^9),0)</f>
        <v>0</v>
      </c>
      <c r="Q93" s="160">
        <f>IF($L$18&gt;0,PPMT('Assumptions (Coal)'!$V$7,Model!AB$1,'Assumptions (Coal)'!$V$10,'Assumptions (Coal)'!$V$5*Model!$L$18*AVERAGE('Assumptions (Coal)'!$E$2:$J$2)/10^9),0)</f>
        <v>0</v>
      </c>
      <c r="R93" s="160">
        <f>IF($L$18&gt;0,PPMT('Assumptions (Coal)'!$V$7,Model!AC$1,'Assumptions (Coal)'!$V$10,'Assumptions (Coal)'!$V$5*Model!$L$18*AVERAGE('Assumptions (Coal)'!$E$2:$J$2)/10^9),0)</f>
        <v>0</v>
      </c>
      <c r="S93" s="160">
        <f>IF($L$18&gt;0,PPMT('Assumptions (Coal)'!$V$7,Model!AD$1,'Assumptions (Coal)'!$V$10,'Assumptions (Coal)'!$V$5*Model!$L$18*AVERAGE('Assumptions (Coal)'!$E$2:$J$2)/10^9),0)</f>
        <v>0</v>
      </c>
      <c r="T93" s="160">
        <f>IF($L$18&gt;0,PPMT('Assumptions (Coal)'!$V$7,Model!AE$1,'Assumptions (Coal)'!$V$10,'Assumptions (Coal)'!$V$5*Model!$L$18*AVERAGE('Assumptions (Coal)'!$E$2:$J$2)/10^9),0)</f>
        <v>0</v>
      </c>
      <c r="U93" s="160">
        <f>IF($L$18&gt;0,PPMT('Assumptions (Coal)'!$V$7,Model!AF$1,'Assumptions (Coal)'!$V$10,'Assumptions (Coal)'!$V$5*Model!$L$18*AVERAGE('Assumptions (Coal)'!$E$2:$J$2)/10^9),0)</f>
        <v>0</v>
      </c>
      <c r="V93" s="160">
        <f>IF($L$18&gt;0,PPMT('Assumptions (Coal)'!$V$7,Model!AG$1,'Assumptions (Coal)'!$V$10,'Assumptions (Coal)'!$V$5*Model!$L$18*AVERAGE('Assumptions (Coal)'!$E$2:$J$2)/10^9),0)</f>
        <v>0</v>
      </c>
      <c r="W93" s="160">
        <f>IF($L$18&gt;0,PPMT('Assumptions (Coal)'!$V$7,Model!AH$1,'Assumptions (Coal)'!$V$10,'Assumptions (Coal)'!$V$5*Model!$L$18*AVERAGE('Assumptions (Coal)'!$E$2:$J$2)/10^9),0)</f>
        <v>0</v>
      </c>
      <c r="X93" s="160">
        <f>IF($L$18&gt;0,PPMT('Assumptions (Coal)'!$V$7,Model!AI$1,'Assumptions (Coal)'!$V$10,'Assumptions (Coal)'!$V$5*Model!$L$18*AVERAGE('Assumptions (Coal)'!$E$2:$J$2)/10^9),0)</f>
        <v>0</v>
      </c>
      <c r="Y93" s="160">
        <f>IF($L$18&gt;0,PPMT('Assumptions (Coal)'!$V$7,Model!AJ$1,'Assumptions (Coal)'!$V$10,'Assumptions (Coal)'!$V$5*Model!$L$18*AVERAGE('Assumptions (Coal)'!$E$2:$J$2)/10^9),0)</f>
        <v>0</v>
      </c>
      <c r="Z93" s="160">
        <f>IF($L$18&gt;0,PPMT('Assumptions (Coal)'!$V$7,Model!AK$1,'Assumptions (Coal)'!$V$10,'Assumptions (Coal)'!$V$5*Model!$L$18*AVERAGE('Assumptions (Coal)'!$E$2:$J$2)/10^9),0)</f>
        <v>0</v>
      </c>
      <c r="AA93" s="160"/>
      <c r="AB93" s="160"/>
      <c r="AC93" s="160"/>
      <c r="AD93" s="160"/>
      <c r="AE93" s="160"/>
      <c r="AF93" s="160"/>
      <c r="AG93" s="160"/>
      <c r="AH93" s="160"/>
      <c r="AI93" s="160"/>
      <c r="AJ93" s="160"/>
      <c r="AU93" s="160"/>
      <c r="AV93" s="160"/>
      <c r="AW93" s="160"/>
      <c r="AX93" s="160"/>
      <c r="AY93" s="160"/>
      <c r="AZ93" s="160"/>
      <c r="BA93" s="160"/>
    </row>
    <row r="94" ht="15.75" hidden="1" customHeight="1" outlineLevel="1">
      <c r="A94" s="158"/>
      <c r="B94" s="38"/>
      <c r="C94" s="160"/>
      <c r="D94" s="160"/>
      <c r="E94" s="160"/>
      <c r="F94" s="160"/>
      <c r="G94" s="160"/>
      <c r="H94" s="160"/>
      <c r="I94" s="160"/>
      <c r="J94" s="160"/>
      <c r="K94" s="160"/>
      <c r="L94" s="160"/>
      <c r="M94" s="160">
        <f>IF($M$18&gt;0,PPMT('Assumptions (Coal)'!$V$7,Model!W$1,'Assumptions (Coal)'!$V$10,'Assumptions (Coal)'!$V$5*Model!$M$18*AVERAGE('Assumptions (Coal)'!$F$2:$K$2)/10^9),0)</f>
        <v>0</v>
      </c>
      <c r="N94" s="177">
        <f>IF($M$18&gt;0,PPMT('Assumptions (Coal)'!$V$7,Model!X$1,'Assumptions (Coal)'!$V$10,'Assumptions (Coal)'!$V$5*Model!$M$18*AVERAGE('Assumptions (Coal)'!$F$2:$K$2)/10^9),0)</f>
        <v>0</v>
      </c>
      <c r="O94" s="160">
        <f>IF($M$18&gt;0,PPMT('Assumptions (Coal)'!$V$7,Model!Y$1,'Assumptions (Coal)'!$V$10,'Assumptions (Coal)'!$V$5*Model!$M$18*AVERAGE('Assumptions (Coal)'!$F$2:$K$2)/10^9),0)</f>
        <v>0</v>
      </c>
      <c r="P94" s="160">
        <f>IF($M$18&gt;0,PPMT('Assumptions (Coal)'!$V$7,Model!Z$1,'Assumptions (Coal)'!$V$10,'Assumptions (Coal)'!$V$5*Model!$M$18*AVERAGE('Assumptions (Coal)'!$F$2:$K$2)/10^9),0)</f>
        <v>0</v>
      </c>
      <c r="Q94" s="160">
        <f>IF($M$18&gt;0,PPMT('Assumptions (Coal)'!$V$7,Model!AA$1,'Assumptions (Coal)'!$V$10,'Assumptions (Coal)'!$V$5*Model!$M$18*AVERAGE('Assumptions (Coal)'!$F$2:$K$2)/10^9),0)</f>
        <v>0</v>
      </c>
      <c r="R94" s="160">
        <f>IF($M$18&gt;0,PPMT('Assumptions (Coal)'!$V$7,Model!AB$1,'Assumptions (Coal)'!$V$10,'Assumptions (Coal)'!$V$5*Model!$M$18*AVERAGE('Assumptions (Coal)'!$F$2:$K$2)/10^9),0)</f>
        <v>0</v>
      </c>
      <c r="S94" s="160">
        <f>IF($M$18&gt;0,PPMT('Assumptions (Coal)'!$V$7,Model!AC$1,'Assumptions (Coal)'!$V$10,'Assumptions (Coal)'!$V$5*Model!$M$18*AVERAGE('Assumptions (Coal)'!$F$2:$K$2)/10^9),0)</f>
        <v>0</v>
      </c>
      <c r="T94" s="160">
        <f>IF($M$18&gt;0,PPMT('Assumptions (Coal)'!$V$7,Model!AD$1,'Assumptions (Coal)'!$V$10,'Assumptions (Coal)'!$V$5*Model!$M$18*AVERAGE('Assumptions (Coal)'!$F$2:$K$2)/10^9),0)</f>
        <v>0</v>
      </c>
      <c r="U94" s="160">
        <f>IF($M$18&gt;0,PPMT('Assumptions (Coal)'!$V$7,Model!AE$1,'Assumptions (Coal)'!$V$10,'Assumptions (Coal)'!$V$5*Model!$M$18*AVERAGE('Assumptions (Coal)'!$F$2:$K$2)/10^9),0)</f>
        <v>0</v>
      </c>
      <c r="V94" s="160">
        <f>IF($M$18&gt;0,PPMT('Assumptions (Coal)'!$V$7,Model!AF$1,'Assumptions (Coal)'!$V$10,'Assumptions (Coal)'!$V$5*Model!$M$18*AVERAGE('Assumptions (Coal)'!$F$2:$K$2)/10^9),0)</f>
        <v>0</v>
      </c>
      <c r="W94" s="160">
        <f>IF($M$18&gt;0,PPMT('Assumptions (Coal)'!$V$7,Model!AG$1,'Assumptions (Coal)'!$V$10,'Assumptions (Coal)'!$V$5*Model!$M$18*AVERAGE('Assumptions (Coal)'!$F$2:$K$2)/10^9),0)</f>
        <v>0</v>
      </c>
      <c r="X94" s="160">
        <f>IF($M$18&gt;0,PPMT('Assumptions (Coal)'!$V$7,Model!AH$1,'Assumptions (Coal)'!$V$10,'Assumptions (Coal)'!$V$5*Model!$M$18*AVERAGE('Assumptions (Coal)'!$F$2:$K$2)/10^9),0)</f>
        <v>0</v>
      </c>
      <c r="Y94" s="160">
        <f>IF($M$18&gt;0,PPMT('Assumptions (Coal)'!$V$7,Model!AI$1,'Assumptions (Coal)'!$V$10,'Assumptions (Coal)'!$V$5*Model!$M$18*AVERAGE('Assumptions (Coal)'!$F$2:$K$2)/10^9),0)</f>
        <v>0</v>
      </c>
      <c r="Z94" s="160">
        <f>IF($M$18&gt;0,PPMT('Assumptions (Coal)'!$V$7,Model!AJ$1,'Assumptions (Coal)'!$V$10,'Assumptions (Coal)'!$V$5*Model!$M$18*AVERAGE('Assumptions (Coal)'!$F$2:$K$2)/10^9),0)</f>
        <v>0</v>
      </c>
      <c r="AA94" s="160">
        <f>IF($M$18&gt;0,PPMT('Assumptions (Coal)'!$V$7,Model!AK$1,'Assumptions (Coal)'!$V$10,'Assumptions (Coal)'!$V$5*Model!$M$18*AVERAGE('Assumptions (Coal)'!$F$2:$K$2)/10^9),0)</f>
        <v>0</v>
      </c>
      <c r="AB94" s="160"/>
      <c r="AC94" s="160"/>
      <c r="AD94" s="160"/>
      <c r="AE94" s="160"/>
      <c r="AF94" s="160"/>
      <c r="AG94" s="160"/>
      <c r="AH94" s="160"/>
      <c r="AI94" s="160"/>
      <c r="AJ94" s="160"/>
      <c r="AK94" s="160"/>
      <c r="AU94" s="160"/>
      <c r="AV94" s="160"/>
      <c r="AW94" s="160"/>
      <c r="AX94" s="160"/>
      <c r="AY94" s="160"/>
      <c r="AZ94" s="160"/>
      <c r="BA94" s="160"/>
    </row>
    <row r="95" ht="15.75" hidden="1" customHeight="1" outlineLevel="1">
      <c r="A95" s="158"/>
      <c r="B95" s="38"/>
      <c r="C95" s="160"/>
      <c r="D95" s="160"/>
      <c r="E95" s="160"/>
      <c r="F95" s="160"/>
      <c r="G95" s="160"/>
      <c r="H95" s="160"/>
      <c r="I95" s="160"/>
      <c r="J95" s="160"/>
      <c r="K95" s="160"/>
      <c r="L95" s="160"/>
      <c r="M95" s="160"/>
      <c r="N95" s="177">
        <f>IF($N$18&gt;0,PPMT('Assumptions (Coal)'!$V$7,Model!W$1,'Assumptions (Coal)'!$V$10,'Assumptions (Coal)'!$V$5*Model!$N$18*AVERAGE('Assumptions (Coal)'!$G$2:$L$2)/10^9),0)</f>
        <v>0</v>
      </c>
      <c r="O95" s="160">
        <f>IF($N$18&gt;0,PPMT('Assumptions (Coal)'!$V$7,Model!X$1,'Assumptions (Coal)'!$V$10,'Assumptions (Coal)'!$V$5*Model!$N$18*AVERAGE('Assumptions (Coal)'!$G$2:$L$2)/10^9),0)</f>
        <v>0</v>
      </c>
      <c r="P95" s="160">
        <f>IF($N$18&gt;0,PPMT('Assumptions (Coal)'!$V$7,Model!Y$1,'Assumptions (Coal)'!$V$10,'Assumptions (Coal)'!$V$5*Model!$N$18*AVERAGE('Assumptions (Coal)'!$G$2:$L$2)/10^9),0)</f>
        <v>0</v>
      </c>
      <c r="Q95" s="160">
        <f>IF($N$18&gt;0,PPMT('Assumptions (Coal)'!$V$7,Model!Z$1,'Assumptions (Coal)'!$V$10,'Assumptions (Coal)'!$V$5*Model!$N$18*AVERAGE('Assumptions (Coal)'!$G$2:$L$2)/10^9),0)</f>
        <v>0</v>
      </c>
      <c r="R95" s="160">
        <f>IF($N$18&gt;0,PPMT('Assumptions (Coal)'!$V$7,Model!AA$1,'Assumptions (Coal)'!$V$10,'Assumptions (Coal)'!$V$5*Model!$N$18*AVERAGE('Assumptions (Coal)'!$G$2:$L$2)/10^9),0)</f>
        <v>0</v>
      </c>
      <c r="S95" s="160">
        <f>IF($N$18&gt;0,PPMT('Assumptions (Coal)'!$V$7,Model!AB$1,'Assumptions (Coal)'!$V$10,'Assumptions (Coal)'!$V$5*Model!$N$18*AVERAGE('Assumptions (Coal)'!$G$2:$L$2)/10^9),0)</f>
        <v>0</v>
      </c>
      <c r="T95" s="160">
        <f>IF($N$18&gt;0,PPMT('Assumptions (Coal)'!$V$7,Model!AC$1,'Assumptions (Coal)'!$V$10,'Assumptions (Coal)'!$V$5*Model!$N$18*AVERAGE('Assumptions (Coal)'!$G$2:$L$2)/10^9),0)</f>
        <v>0</v>
      </c>
      <c r="U95" s="160">
        <f>IF($N$18&gt;0,PPMT('Assumptions (Coal)'!$V$7,Model!AD$1,'Assumptions (Coal)'!$V$10,'Assumptions (Coal)'!$V$5*Model!$N$18*AVERAGE('Assumptions (Coal)'!$G$2:$L$2)/10^9),0)</f>
        <v>0</v>
      </c>
      <c r="V95" s="160">
        <f>IF($N$18&gt;0,PPMT('Assumptions (Coal)'!$V$7,Model!AE$1,'Assumptions (Coal)'!$V$10,'Assumptions (Coal)'!$V$5*Model!$N$18*AVERAGE('Assumptions (Coal)'!$G$2:$L$2)/10^9),0)</f>
        <v>0</v>
      </c>
      <c r="W95" s="160">
        <f>IF($N$18&gt;0,PPMT('Assumptions (Coal)'!$V$7,Model!AF$1,'Assumptions (Coal)'!$V$10,'Assumptions (Coal)'!$V$5*Model!$N$18*AVERAGE('Assumptions (Coal)'!$G$2:$L$2)/10^9),0)</f>
        <v>0</v>
      </c>
      <c r="X95" s="160">
        <f>IF($N$18&gt;0,PPMT('Assumptions (Coal)'!$V$7,Model!AG$1,'Assumptions (Coal)'!$V$10,'Assumptions (Coal)'!$V$5*Model!$N$18*AVERAGE('Assumptions (Coal)'!$G$2:$L$2)/10^9),0)</f>
        <v>0</v>
      </c>
      <c r="Y95" s="160">
        <f>IF($N$18&gt;0,PPMT('Assumptions (Coal)'!$V$7,Model!AH$1,'Assumptions (Coal)'!$V$10,'Assumptions (Coal)'!$V$5*Model!$N$18*AVERAGE('Assumptions (Coal)'!$G$2:$L$2)/10^9),0)</f>
        <v>0</v>
      </c>
      <c r="Z95" s="160">
        <f>IF($N$18&gt;0,PPMT('Assumptions (Coal)'!$V$7,Model!AI$1,'Assumptions (Coal)'!$V$10,'Assumptions (Coal)'!$V$5*Model!$N$18*AVERAGE('Assumptions (Coal)'!$G$2:$L$2)/10^9),0)</f>
        <v>0</v>
      </c>
      <c r="AA95" s="160">
        <f>IF($N$18&gt;0,PPMT('Assumptions (Coal)'!$V$7,Model!AJ$1,'Assumptions (Coal)'!$V$10,'Assumptions (Coal)'!$V$5*Model!$N$18*AVERAGE('Assumptions (Coal)'!$G$2:$L$2)/10^9),0)</f>
        <v>0</v>
      </c>
      <c r="AB95" s="160">
        <f>IF($N$18&gt;0,PPMT('Assumptions (Coal)'!$V$7,Model!AK$1,'Assumptions (Coal)'!$V$10,'Assumptions (Coal)'!$V$5*Model!$N$18*AVERAGE('Assumptions (Coal)'!$G$2:$L$2)/10^9),0)</f>
        <v>0</v>
      </c>
      <c r="AC95" s="160"/>
      <c r="AD95" s="160"/>
      <c r="AE95" s="160"/>
      <c r="AF95" s="160"/>
      <c r="AG95" s="160"/>
      <c r="AH95" s="160"/>
      <c r="AI95" s="160"/>
      <c r="AJ95" s="160"/>
      <c r="AK95" s="160"/>
      <c r="AL95" s="160"/>
      <c r="AU95" s="160"/>
      <c r="AV95" s="160"/>
      <c r="AW95" s="160"/>
      <c r="AX95" s="160"/>
      <c r="AY95" s="160"/>
      <c r="AZ95" s="160"/>
      <c r="BA95" s="160"/>
    </row>
    <row r="96" ht="15.75" hidden="1" customHeight="1" outlineLevel="1">
      <c r="A96" s="158"/>
      <c r="B96" s="38"/>
      <c r="C96" s="160"/>
      <c r="D96" s="160"/>
      <c r="E96" s="160"/>
      <c r="F96" s="160"/>
      <c r="G96" s="160"/>
      <c r="H96" s="160"/>
      <c r="I96" s="160"/>
      <c r="J96" s="160"/>
      <c r="K96" s="160"/>
      <c r="L96" s="160"/>
      <c r="M96" s="160"/>
      <c r="N96" s="160"/>
      <c r="O96" s="160">
        <f>IF($O$18&gt;0,PPMT('Assumptions (Coal)'!$V$7,Model!W$1,'Assumptions (Coal)'!$V$10,'Assumptions (Coal)'!$V$5*Model!$O$18*AVERAGE('Assumptions (Coal)'!$H$2:$M$2)/10^9),0)</f>
        <v>-0.06091421221</v>
      </c>
      <c r="P96" s="160">
        <f>IF($O$18&gt;0,PPMT('Assumptions (Coal)'!$V$7,Model!X$1,'Assumptions (Coal)'!$V$10,'Assumptions (Coal)'!$V$5*Model!$O$18*AVERAGE('Assumptions (Coal)'!$H$2:$M$2)/10^9),0)</f>
        <v>-0.06380763729</v>
      </c>
      <c r="Q96" s="160">
        <f>IF($O$18&gt;0,PPMT('Assumptions (Coal)'!$V$7,Model!Y$1,'Assumptions (Coal)'!$V$10,'Assumptions (Coal)'!$V$5*Model!$O$18*AVERAGE('Assumptions (Coal)'!$H$2:$M$2)/10^9),0)</f>
        <v>-0.06683850007</v>
      </c>
      <c r="R96" s="160">
        <f>IF($O$18&gt;0,PPMT('Assumptions (Coal)'!$V$7,Model!Z$1,'Assumptions (Coal)'!$V$10,'Assumptions (Coal)'!$V$5*Model!$O$18*AVERAGE('Assumptions (Coal)'!$H$2:$M$2)/10^9),0)</f>
        <v>-0.07001332882</v>
      </c>
      <c r="S96" s="160">
        <f>IF($O$18&gt;0,PPMT('Assumptions (Coal)'!$V$7,Model!AA$1,'Assumptions (Coal)'!$V$10,'Assumptions (Coal)'!$V$5*Model!$O$18*AVERAGE('Assumptions (Coal)'!$H$2:$M$2)/10^9),0)</f>
        <v>-0.07333896194</v>
      </c>
      <c r="T96" s="160">
        <f>IF($O$18&gt;0,PPMT('Assumptions (Coal)'!$V$7,Model!AB$1,'Assumptions (Coal)'!$V$10,'Assumptions (Coal)'!$V$5*Model!$O$18*AVERAGE('Assumptions (Coal)'!$H$2:$M$2)/10^9),0)</f>
        <v>-0.07682256263</v>
      </c>
      <c r="U96" s="160">
        <f>IF($O$18&gt;0,PPMT('Assumptions (Coal)'!$V$7,Model!AC$1,'Assumptions (Coal)'!$V$10,'Assumptions (Coal)'!$V$5*Model!$O$18*AVERAGE('Assumptions (Coal)'!$H$2:$M$2)/10^9),0)</f>
        <v>-0.08047163435</v>
      </c>
      <c r="V96" s="160">
        <f>IF($O$18&gt;0,PPMT('Assumptions (Coal)'!$V$7,Model!AD$1,'Assumptions (Coal)'!$V$10,'Assumptions (Coal)'!$V$5*Model!$O$18*AVERAGE('Assumptions (Coal)'!$H$2:$M$2)/10^9),0)</f>
        <v>-0.08429403699</v>
      </c>
      <c r="W96" s="160">
        <f>IF($O$18&gt;0,PPMT('Assumptions (Coal)'!$V$7,Model!AE$1,'Assumptions (Coal)'!$V$10,'Assumptions (Coal)'!$V$5*Model!$O$18*AVERAGE('Assumptions (Coal)'!$H$2:$M$2)/10^9),0)</f>
        <v>-0.08829800374</v>
      </c>
      <c r="X96" s="160">
        <f>IF($O$18&gt;0,PPMT('Assumptions (Coal)'!$V$7,Model!AF$1,'Assumptions (Coal)'!$V$10,'Assumptions (Coal)'!$V$5*Model!$O$18*AVERAGE('Assumptions (Coal)'!$H$2:$M$2)/10^9),0)</f>
        <v>-0.09249215892</v>
      </c>
      <c r="Y96" s="160">
        <f>IF($O$18&gt;0,PPMT('Assumptions (Coal)'!$V$7,Model!AG$1,'Assumptions (Coal)'!$V$10,'Assumptions (Coal)'!$V$5*Model!$O$18*AVERAGE('Assumptions (Coal)'!$H$2:$M$2)/10^9),0)</f>
        <v>-0.09688553647</v>
      </c>
      <c r="Z96" s="160">
        <f>IF($O$18&gt;0,PPMT('Assumptions (Coal)'!$V$7,Model!AH$1,'Assumptions (Coal)'!$V$10,'Assumptions (Coal)'!$V$5*Model!$O$18*AVERAGE('Assumptions (Coal)'!$H$2:$M$2)/10^9),0)</f>
        <v>-0.1014875995</v>
      </c>
      <c r="AA96" s="160">
        <f>IF($O$18&gt;0,PPMT('Assumptions (Coal)'!$V$7,Model!AI$1,'Assumptions (Coal)'!$V$10,'Assumptions (Coal)'!$V$5*Model!$O$18*AVERAGE('Assumptions (Coal)'!$H$2:$M$2)/10^9),0)</f>
        <v>-0.1063082604</v>
      </c>
      <c r="AB96" s="160">
        <f>IF($O$18&gt;0,PPMT('Assumptions (Coal)'!$V$7,Model!AJ$1,'Assumptions (Coal)'!$V$10,'Assumptions (Coal)'!$V$5*Model!$O$18*AVERAGE('Assumptions (Coal)'!$H$2:$M$2)/10^9),0)</f>
        <v>-0.1113579028</v>
      </c>
      <c r="AC96" s="160">
        <f>IF($O$18&gt;0,PPMT('Assumptions (Coal)'!$V$7,Model!AK$1,'Assumptions (Coal)'!$V$10,'Assumptions (Coal)'!$V$5*Model!$O$18*AVERAGE('Assumptions (Coal)'!$H$2:$M$2)/10^9),0)</f>
        <v>-0.1166474032</v>
      </c>
      <c r="AD96" s="160"/>
      <c r="AE96" s="160"/>
      <c r="AF96" s="160"/>
      <c r="AG96" s="160"/>
      <c r="AH96" s="160"/>
      <c r="AI96" s="160"/>
      <c r="AJ96" s="160"/>
      <c r="AK96" s="160"/>
      <c r="AL96" s="160"/>
      <c r="AM96" s="160"/>
      <c r="AU96" s="160"/>
      <c r="AV96" s="160"/>
      <c r="AW96" s="160"/>
      <c r="AX96" s="160"/>
      <c r="AY96" s="160"/>
      <c r="AZ96" s="160"/>
      <c r="BA96" s="160"/>
    </row>
    <row r="97" ht="15.75" hidden="1" customHeight="1" outlineLevel="1">
      <c r="A97" s="158"/>
      <c r="B97" s="38"/>
      <c r="C97" s="160"/>
      <c r="D97" s="160"/>
      <c r="E97" s="160"/>
      <c r="F97" s="160"/>
      <c r="G97" s="160"/>
      <c r="H97" s="160"/>
      <c r="I97" s="160"/>
      <c r="J97" s="160"/>
      <c r="K97" s="160"/>
      <c r="L97" s="160"/>
      <c r="M97" s="160"/>
      <c r="N97" s="160"/>
      <c r="O97" s="160"/>
      <c r="P97" s="177">
        <f>IF($P$18&gt;0,PPMT('Assumptions (Coal)'!$V$7,Model!W$1,'Assumptions (Coal)'!$V$10,'Assumptions (Coal)'!$V$5*Model!$P$18*AVERAGE('Assumptions (Coal)'!$I$2:$N$2)/10^9),0)</f>
        <v>0</v>
      </c>
      <c r="Q97" s="177">
        <f>IF($P$18&gt;0,PPMT('Assumptions (Coal)'!$V$7,Model!X$1,'Assumptions (Coal)'!$V$10,'Assumptions (Coal)'!$V$5*Model!$P$18*AVERAGE('Assumptions (Coal)'!$I$2:$N$2)/10^9),0)</f>
        <v>0</v>
      </c>
      <c r="R97" s="177">
        <f>IF($P$18&gt;0,PPMT('Assumptions (Coal)'!$V$7,Model!Y$1,'Assumptions (Coal)'!$V$10,'Assumptions (Coal)'!$V$5*Model!$P$18*AVERAGE('Assumptions (Coal)'!$I$2:$N$2)/10^9),0)</f>
        <v>0</v>
      </c>
      <c r="S97" s="177">
        <f>IF($P$18&gt;0,PPMT('Assumptions (Coal)'!$V$7,Model!Z$1,'Assumptions (Coal)'!$V$10,'Assumptions (Coal)'!$V$5*Model!$P$18*AVERAGE('Assumptions (Coal)'!$I$2:$N$2)/10^9),0)</f>
        <v>0</v>
      </c>
      <c r="T97" s="177">
        <f>IF($P$18&gt;0,PPMT('Assumptions (Coal)'!$V$7,Model!AA$1,'Assumptions (Coal)'!$V$10,'Assumptions (Coal)'!$V$5*Model!$P$18*AVERAGE('Assumptions (Coal)'!$I$2:$N$2)/10^9),0)</f>
        <v>0</v>
      </c>
      <c r="U97" s="177">
        <f>IF($P$18&gt;0,PPMT('Assumptions (Coal)'!$V$7,Model!AB$1,'Assumptions (Coal)'!$V$10,'Assumptions (Coal)'!$V$5*Model!$P$18*AVERAGE('Assumptions (Coal)'!$I$2:$N$2)/10^9),0)</f>
        <v>0</v>
      </c>
      <c r="V97" s="177">
        <f>IF($P$18&gt;0,PPMT('Assumptions (Coal)'!$V$7,Model!AC$1,'Assumptions (Coal)'!$V$10,'Assumptions (Coal)'!$V$5*Model!$P$18*AVERAGE('Assumptions (Coal)'!$I$2:$N$2)/10^9),0)</f>
        <v>0</v>
      </c>
      <c r="W97" s="177">
        <f>IF($P$18&gt;0,PPMT('Assumptions (Coal)'!$V$7,Model!AD$1,'Assumptions (Coal)'!$V$10,'Assumptions (Coal)'!$V$5*Model!$P$18*AVERAGE('Assumptions (Coal)'!$I$2:$N$2)/10^9),0)</f>
        <v>0</v>
      </c>
      <c r="X97" s="177">
        <f>IF($P$18&gt;0,PPMT('Assumptions (Coal)'!$V$7,Model!AE$1,'Assumptions (Coal)'!$V$10,'Assumptions (Coal)'!$V$5*Model!$P$18*AVERAGE('Assumptions (Coal)'!$I$2:$N$2)/10^9),0)</f>
        <v>0</v>
      </c>
      <c r="Y97" s="177">
        <f>IF($P$18&gt;0,PPMT('Assumptions (Coal)'!$V$7,Model!AF$1,'Assumptions (Coal)'!$V$10,'Assumptions (Coal)'!$V$5*Model!$P$18*AVERAGE('Assumptions (Coal)'!$I$2:$N$2)/10^9),0)</f>
        <v>0</v>
      </c>
      <c r="Z97" s="177">
        <f>IF($P$18&gt;0,PPMT('Assumptions (Coal)'!$V$7,Model!AG$1,'Assumptions (Coal)'!$V$10,'Assumptions (Coal)'!$V$5*Model!$P$18*AVERAGE('Assumptions (Coal)'!$I$2:$N$2)/10^9),0)</f>
        <v>0</v>
      </c>
      <c r="AA97" s="177">
        <f>IF($P$18&gt;0,PPMT('Assumptions (Coal)'!$V$7,Model!AH$1,'Assumptions (Coal)'!$V$10,'Assumptions (Coal)'!$V$5*Model!$P$18*AVERAGE('Assumptions (Coal)'!$I$2:$N$2)/10^9),0)</f>
        <v>0</v>
      </c>
      <c r="AB97" s="177">
        <f>IF($P$18&gt;0,PPMT('Assumptions (Coal)'!$V$7,Model!AI$1,'Assumptions (Coal)'!$V$10,'Assumptions (Coal)'!$V$5*Model!$P$18*AVERAGE('Assumptions (Coal)'!$I$2:$N$2)/10^9),0)</f>
        <v>0</v>
      </c>
      <c r="AC97" s="177">
        <f>IF($P$18&gt;0,PPMT('Assumptions (Coal)'!$V$7,Model!AJ$1,'Assumptions (Coal)'!$V$10,'Assumptions (Coal)'!$V$5*Model!$P$18*AVERAGE('Assumptions (Coal)'!$I$2:$N$2)/10^9),0)</f>
        <v>0</v>
      </c>
      <c r="AD97" s="177">
        <f>IF($P$18&gt;0,PPMT('Assumptions (Coal)'!$V$7,Model!AK$1,'Assumptions (Coal)'!$V$10,'Assumptions (Coal)'!$V$5*Model!$P$18*AVERAGE('Assumptions (Coal)'!$I$2:$N$2)/10^9),0)</f>
        <v>0</v>
      </c>
      <c r="AE97" s="177"/>
      <c r="AF97" s="177"/>
      <c r="AG97" s="177"/>
      <c r="AH97" s="177"/>
      <c r="AI97" s="177"/>
      <c r="AJ97" s="177"/>
      <c r="AK97" s="177"/>
      <c r="AL97" s="177"/>
      <c r="AM97" s="177"/>
      <c r="AN97" s="177"/>
      <c r="AU97" s="160"/>
      <c r="AV97" s="160"/>
      <c r="AW97" s="160"/>
      <c r="AX97" s="160"/>
      <c r="AY97" s="160"/>
      <c r="AZ97" s="160"/>
      <c r="BA97" s="160"/>
    </row>
    <row r="98" ht="15.75" hidden="1" customHeight="1" outlineLevel="1">
      <c r="A98" s="158"/>
      <c r="B98" s="38"/>
      <c r="C98" s="160"/>
      <c r="D98" s="160"/>
      <c r="E98" s="160"/>
      <c r="F98" s="160"/>
      <c r="G98" s="160"/>
      <c r="H98" s="160"/>
      <c r="I98" s="160"/>
      <c r="J98" s="160"/>
      <c r="K98" s="160"/>
      <c r="L98" s="160"/>
      <c r="M98" s="160"/>
      <c r="N98" s="160"/>
      <c r="O98" s="160"/>
      <c r="P98" s="179"/>
      <c r="Q98" s="160">
        <f>IF($Q$18&gt;0,PPMT('Assumptions (Coal)'!$V$7,Model!W$1,'Assumptions (Coal)'!$V$10,'Assumptions (Coal)'!$V$5*Model!$Q$18*AVERAGE('Assumptions (Coal)'!$J$2:$O$2)/10^9),0)</f>
        <v>0</v>
      </c>
      <c r="R98" s="160">
        <f>IF($Q$18&gt;0,PPMT('Assumptions (Coal)'!$V$7,Model!X$1,'Assumptions (Coal)'!$V$10,'Assumptions (Coal)'!$V$5*Model!$Q$18*AVERAGE('Assumptions (Coal)'!$J$2:$O$2)/10^9),0)</f>
        <v>0</v>
      </c>
      <c r="S98" s="160">
        <f>IF($Q$18&gt;0,PPMT('Assumptions (Coal)'!$V$7,Model!Y$1,'Assumptions (Coal)'!$V$10,'Assumptions (Coal)'!$V$5*Model!$Q$18*AVERAGE('Assumptions (Coal)'!$J$2:$O$2)/10^9),0)</f>
        <v>0</v>
      </c>
      <c r="T98" s="160">
        <f>IF($Q$18&gt;0,PPMT('Assumptions (Coal)'!$V$7,Model!Z$1,'Assumptions (Coal)'!$V$10,'Assumptions (Coal)'!$V$5*Model!$Q$18*AVERAGE('Assumptions (Coal)'!$J$2:$O$2)/10^9),0)</f>
        <v>0</v>
      </c>
      <c r="U98" s="160">
        <f>IF($Q$18&gt;0,PPMT('Assumptions (Coal)'!$V$7,Model!AA$1,'Assumptions (Coal)'!$V$10,'Assumptions (Coal)'!$V$5*Model!$Q$18*AVERAGE('Assumptions (Coal)'!$J$2:$O$2)/10^9),0)</f>
        <v>0</v>
      </c>
      <c r="V98" s="160">
        <f>IF($Q$18&gt;0,PPMT('Assumptions (Coal)'!$V$7,Model!AB$1,'Assumptions (Coal)'!$V$10,'Assumptions (Coal)'!$V$5*Model!$Q$18*AVERAGE('Assumptions (Coal)'!$J$2:$O$2)/10^9),0)</f>
        <v>0</v>
      </c>
      <c r="W98" s="160">
        <f>IF($Q$18&gt;0,PPMT('Assumptions (Coal)'!$V$7,Model!AC$1,'Assumptions (Coal)'!$V$10,'Assumptions (Coal)'!$V$5*Model!$Q$18*AVERAGE('Assumptions (Coal)'!$J$2:$O$2)/10^9),0)</f>
        <v>0</v>
      </c>
      <c r="X98" s="160">
        <f>IF($Q$18&gt;0,PPMT('Assumptions (Coal)'!$V$7,Model!AD$1,'Assumptions (Coal)'!$V$10,'Assumptions (Coal)'!$V$5*Model!$Q$18*AVERAGE('Assumptions (Coal)'!$J$2:$O$2)/10^9),0)</f>
        <v>0</v>
      </c>
      <c r="Y98" s="160">
        <f>IF($Q$18&gt;0,PPMT('Assumptions (Coal)'!$V$7,Model!AE$1,'Assumptions (Coal)'!$V$10,'Assumptions (Coal)'!$V$5*Model!$Q$18*AVERAGE('Assumptions (Coal)'!$J$2:$O$2)/10^9),0)</f>
        <v>0</v>
      </c>
      <c r="Z98" s="160">
        <f>IF($Q$18&gt;0,PPMT('Assumptions (Coal)'!$V$7,Model!AF$1,'Assumptions (Coal)'!$V$10,'Assumptions (Coal)'!$V$5*Model!$Q$18*AVERAGE('Assumptions (Coal)'!$J$2:$O$2)/10^9),0)</f>
        <v>0</v>
      </c>
      <c r="AA98" s="160">
        <f>IF($Q$18&gt;0,PPMT('Assumptions (Coal)'!$V$7,Model!AG$1,'Assumptions (Coal)'!$V$10,'Assumptions (Coal)'!$V$5*Model!$Q$18*AVERAGE('Assumptions (Coal)'!$J$2:$O$2)/10^9),0)</f>
        <v>0</v>
      </c>
      <c r="AB98" s="160">
        <f>IF($Q$18&gt;0,PPMT('Assumptions (Coal)'!$V$7,Model!AH$1,'Assumptions (Coal)'!$V$10,'Assumptions (Coal)'!$V$5*Model!$Q$18*AVERAGE('Assumptions (Coal)'!$J$2:$O$2)/10^9),0)</f>
        <v>0</v>
      </c>
      <c r="AC98" s="160">
        <f>IF($Q$18&gt;0,PPMT('Assumptions (Coal)'!$V$7,Model!AI$1,'Assumptions (Coal)'!$V$10,'Assumptions (Coal)'!$V$5*Model!$Q$18*AVERAGE('Assumptions (Coal)'!$J$2:$O$2)/10^9),0)</f>
        <v>0</v>
      </c>
      <c r="AD98" s="160">
        <f>IF($Q$18&gt;0,PPMT('Assumptions (Coal)'!$V$7,Model!AJ$1,'Assumptions (Coal)'!$V$10,'Assumptions (Coal)'!$V$5*Model!$Q$18*AVERAGE('Assumptions (Coal)'!$J$2:$O$2)/10^9),0)</f>
        <v>0</v>
      </c>
      <c r="AE98" s="160">
        <f>IF($Q$18&gt;0,PPMT('Assumptions (Coal)'!$V$7,Model!AK$1,'Assumptions (Coal)'!$V$10,'Assumptions (Coal)'!$V$5*Model!$Q$18*AVERAGE('Assumptions (Coal)'!$J$2:$O$2)/10^9),0)</f>
        <v>0</v>
      </c>
      <c r="AF98" s="160"/>
      <c r="AG98" s="160"/>
      <c r="AH98" s="160"/>
      <c r="AI98" s="160"/>
      <c r="AJ98" s="160"/>
      <c r="AK98" s="160"/>
      <c r="AL98" s="160"/>
      <c r="AM98" s="160"/>
      <c r="AN98" s="160"/>
      <c r="AO98" s="160"/>
      <c r="AU98" s="160"/>
      <c r="AV98" s="160"/>
      <c r="AW98" s="160"/>
      <c r="AX98" s="160"/>
      <c r="AY98" s="160"/>
      <c r="AZ98" s="160"/>
      <c r="BA98" s="160"/>
    </row>
    <row r="99" ht="15.75" hidden="1" customHeight="1" outlineLevel="1">
      <c r="A99" s="158"/>
      <c r="B99" s="38"/>
      <c r="C99" s="160"/>
      <c r="D99" s="160"/>
      <c r="E99" s="160"/>
      <c r="F99" s="160"/>
      <c r="G99" s="160"/>
      <c r="H99" s="160"/>
      <c r="I99" s="160"/>
      <c r="J99" s="160"/>
      <c r="K99" s="160"/>
      <c r="L99" s="160"/>
      <c r="M99" s="160"/>
      <c r="N99" s="160"/>
      <c r="O99" s="160"/>
      <c r="P99" s="179"/>
      <c r="Q99" s="160"/>
      <c r="R99" s="177">
        <f>IF($R$18&gt;0,PPMT('Assumptions (Coal)'!$V$7,Model!W$1,'Assumptions (Coal)'!$V$10,'Assumptions (Coal)'!$V$5*Model!$R$18*AVERAGE('Assumptions (Coal)'!$K$2:$P$2)/10^9),0)</f>
        <v>0</v>
      </c>
      <c r="S99" s="177">
        <f>IF($R$18&gt;0,PPMT('Assumptions (Coal)'!$V$7,Model!X$1,'Assumptions (Coal)'!$V$10,'Assumptions (Coal)'!$V$5*Model!$R$18*AVERAGE('Assumptions (Coal)'!$K$2:$P$2)/10^9),0)</f>
        <v>0</v>
      </c>
      <c r="T99" s="177">
        <f>IF($R$18&gt;0,PPMT('Assumptions (Coal)'!$V$7,Model!Y$1,'Assumptions (Coal)'!$V$10,'Assumptions (Coal)'!$V$5*Model!$R$18*AVERAGE('Assumptions (Coal)'!$K$2:$P$2)/10^9),0)</f>
        <v>0</v>
      </c>
      <c r="U99" s="177">
        <f>IF($R$18&gt;0,PPMT('Assumptions (Coal)'!$V$7,Model!Z$1,'Assumptions (Coal)'!$V$10,'Assumptions (Coal)'!$V$5*Model!$R$18*AVERAGE('Assumptions (Coal)'!$K$2:$P$2)/10^9),0)</f>
        <v>0</v>
      </c>
      <c r="V99" s="177">
        <f>IF($R$18&gt;0,PPMT('Assumptions (Coal)'!$V$7,Model!AA$1,'Assumptions (Coal)'!$V$10,'Assumptions (Coal)'!$V$5*Model!$R$18*AVERAGE('Assumptions (Coal)'!$K$2:$P$2)/10^9),0)</f>
        <v>0</v>
      </c>
      <c r="W99" s="177">
        <f>IF($R$18&gt;0,PPMT('Assumptions (Coal)'!$V$7,Model!AB$1,'Assumptions (Coal)'!$V$10,'Assumptions (Coal)'!$V$5*Model!$R$18*AVERAGE('Assumptions (Coal)'!$K$2:$P$2)/10^9),0)</f>
        <v>0</v>
      </c>
      <c r="X99" s="177">
        <f>IF($R$18&gt;0,PPMT('Assumptions (Coal)'!$V$7,Model!AC$1,'Assumptions (Coal)'!$V$10,'Assumptions (Coal)'!$V$5*Model!$R$18*AVERAGE('Assumptions (Coal)'!$K$2:$P$2)/10^9),0)</f>
        <v>0</v>
      </c>
      <c r="Y99" s="177">
        <f>IF($R$18&gt;0,PPMT('Assumptions (Coal)'!$V$7,Model!AD$1,'Assumptions (Coal)'!$V$10,'Assumptions (Coal)'!$V$5*Model!$R$18*AVERAGE('Assumptions (Coal)'!$K$2:$P$2)/10^9),0)</f>
        <v>0</v>
      </c>
      <c r="Z99" s="177">
        <f>IF($R$18&gt;0,PPMT('Assumptions (Coal)'!$V$7,Model!AE$1,'Assumptions (Coal)'!$V$10,'Assumptions (Coal)'!$V$5*Model!$R$18*AVERAGE('Assumptions (Coal)'!$K$2:$P$2)/10^9),0)</f>
        <v>0</v>
      </c>
      <c r="AA99" s="177">
        <f>IF($R$18&gt;0,PPMT('Assumptions (Coal)'!$V$7,Model!AF$1,'Assumptions (Coal)'!$V$10,'Assumptions (Coal)'!$V$5*Model!$R$18*AVERAGE('Assumptions (Coal)'!$K$2:$P$2)/10^9),0)</f>
        <v>0</v>
      </c>
      <c r="AB99" s="177">
        <f>IF($R$18&gt;0,PPMT('Assumptions (Coal)'!$V$7,Model!AG$1,'Assumptions (Coal)'!$V$10,'Assumptions (Coal)'!$V$5*Model!$R$18*AVERAGE('Assumptions (Coal)'!$K$2:$P$2)/10^9),0)</f>
        <v>0</v>
      </c>
      <c r="AC99" s="177">
        <f>IF($R$18&gt;0,PPMT('Assumptions (Coal)'!$V$7,Model!AH$1,'Assumptions (Coal)'!$V$10,'Assumptions (Coal)'!$V$5*Model!$R$18*AVERAGE('Assumptions (Coal)'!$K$2:$P$2)/10^9),0)</f>
        <v>0</v>
      </c>
      <c r="AD99" s="177">
        <f>IF($R$18&gt;0,PPMT('Assumptions (Coal)'!$V$7,Model!AI$1,'Assumptions (Coal)'!$V$10,'Assumptions (Coal)'!$V$5*Model!$R$18*AVERAGE('Assumptions (Coal)'!$K$2:$P$2)/10^9),0)</f>
        <v>0</v>
      </c>
      <c r="AE99" s="177">
        <f>IF($R$18&gt;0,PPMT('Assumptions (Coal)'!$V$7,Model!AJ$1,'Assumptions (Coal)'!$V$10,'Assumptions (Coal)'!$V$5*Model!$R$18*AVERAGE('Assumptions (Coal)'!$K$2:$P$2)/10^9),0)</f>
        <v>0</v>
      </c>
      <c r="AF99" s="177">
        <f>IF($R$18&gt;0,PPMT('Assumptions (Coal)'!$V$7,Model!AK$1,'Assumptions (Coal)'!$V$10,'Assumptions (Coal)'!$V$5*Model!$R$18*AVERAGE('Assumptions (Coal)'!$K$2:$P$2)/10^9),0)</f>
        <v>0</v>
      </c>
      <c r="AG99" s="177"/>
      <c r="AH99" s="177"/>
      <c r="AI99" s="177"/>
      <c r="AJ99" s="177"/>
      <c r="AK99" s="177"/>
      <c r="AL99" s="177"/>
      <c r="AM99" s="177"/>
      <c r="AN99" s="177"/>
      <c r="AO99" s="177"/>
      <c r="AP99" s="177"/>
      <c r="AU99" s="160"/>
      <c r="AV99" s="160"/>
      <c r="AW99" s="160"/>
      <c r="AX99" s="160"/>
      <c r="AY99" s="160"/>
      <c r="AZ99" s="160"/>
      <c r="BA99" s="160"/>
    </row>
    <row r="100" ht="15.75" hidden="1" customHeight="1" outlineLevel="1">
      <c r="A100" s="158"/>
      <c r="B100" s="38"/>
      <c r="C100" s="160"/>
      <c r="D100" s="160"/>
      <c r="E100" s="160"/>
      <c r="F100" s="160"/>
      <c r="G100" s="160"/>
      <c r="H100" s="160"/>
      <c r="I100" s="160"/>
      <c r="J100" s="160"/>
      <c r="K100" s="160"/>
      <c r="L100" s="160"/>
      <c r="M100" s="160"/>
      <c r="N100" s="160"/>
      <c r="O100" s="160"/>
      <c r="P100" s="179"/>
      <c r="Q100" s="160"/>
      <c r="R100" s="177"/>
      <c r="S100" s="160">
        <f>IF($S$18&gt;0,PPMT('Assumptions (Coal)'!$V$7,Model!W$1,'Assumptions (Coal)'!$V$10,'Assumptions (Coal)'!$V$5*Model!$S$18*AVERAGE('Assumptions (Coal)'!$L$2:$Q$2)/10^9),0)</f>
        <v>0</v>
      </c>
      <c r="T100" s="160">
        <f>IF($S$18&gt;0,PPMT('Assumptions (Coal)'!$V$7,Model!X$1,'Assumptions (Coal)'!$V$10,'Assumptions (Coal)'!$V$5*Model!$S$18*AVERAGE('Assumptions (Coal)'!$L$2:$Q$2)/10^9),0)</f>
        <v>0</v>
      </c>
      <c r="U100" s="160">
        <f>IF($S$18&gt;0,PPMT('Assumptions (Coal)'!$V$7,Model!Y$1,'Assumptions (Coal)'!$V$10,'Assumptions (Coal)'!$V$5*Model!$S$18*AVERAGE('Assumptions (Coal)'!$L$2:$Q$2)/10^9),0)</f>
        <v>0</v>
      </c>
      <c r="V100" s="160">
        <f>IF($S$18&gt;0,PPMT('Assumptions (Coal)'!$V$7,Model!Z$1,'Assumptions (Coal)'!$V$10,'Assumptions (Coal)'!$V$5*Model!$S$18*AVERAGE('Assumptions (Coal)'!$L$2:$Q$2)/10^9),0)</f>
        <v>0</v>
      </c>
      <c r="W100" s="160">
        <f>IF($S$18&gt;0,PPMT('Assumptions (Coal)'!$V$7,Model!AA$1,'Assumptions (Coal)'!$V$10,'Assumptions (Coal)'!$V$5*Model!$S$18*AVERAGE('Assumptions (Coal)'!$L$2:$Q$2)/10^9),0)</f>
        <v>0</v>
      </c>
      <c r="X100" s="160">
        <f>IF($S$18&gt;0,PPMT('Assumptions (Coal)'!$V$7,Model!AB$1,'Assumptions (Coal)'!$V$10,'Assumptions (Coal)'!$V$5*Model!$S$18*AVERAGE('Assumptions (Coal)'!$L$2:$Q$2)/10^9),0)</f>
        <v>0</v>
      </c>
      <c r="Y100" s="160">
        <f>IF($S$18&gt;0,PPMT('Assumptions (Coal)'!$V$7,Model!AC$1,'Assumptions (Coal)'!$V$10,'Assumptions (Coal)'!$V$5*Model!$S$18*AVERAGE('Assumptions (Coal)'!$L$2:$Q$2)/10^9),0)</f>
        <v>0</v>
      </c>
      <c r="Z100" s="160">
        <f>IF($S$18&gt;0,PPMT('Assumptions (Coal)'!$V$7,Model!AD$1,'Assumptions (Coal)'!$V$10,'Assumptions (Coal)'!$V$5*Model!$S$18*AVERAGE('Assumptions (Coal)'!$L$2:$Q$2)/10^9),0)</f>
        <v>0</v>
      </c>
      <c r="AA100" s="160">
        <f>IF($S$18&gt;0,PPMT('Assumptions (Coal)'!$V$7,Model!AE$1,'Assumptions (Coal)'!$V$10,'Assumptions (Coal)'!$V$5*Model!$S$18*AVERAGE('Assumptions (Coal)'!$L$2:$Q$2)/10^9),0)</f>
        <v>0</v>
      </c>
      <c r="AB100" s="160">
        <f>IF($S$18&gt;0,PPMT('Assumptions (Coal)'!$V$7,Model!AF$1,'Assumptions (Coal)'!$V$10,'Assumptions (Coal)'!$V$5*Model!$S$18*AVERAGE('Assumptions (Coal)'!$L$2:$Q$2)/10^9),0)</f>
        <v>0</v>
      </c>
      <c r="AC100" s="160">
        <f>IF($S$18&gt;0,PPMT('Assumptions (Coal)'!$V$7,Model!AG$1,'Assumptions (Coal)'!$V$10,'Assumptions (Coal)'!$V$5*Model!$S$18*AVERAGE('Assumptions (Coal)'!$L$2:$Q$2)/10^9),0)</f>
        <v>0</v>
      </c>
      <c r="AD100" s="160">
        <f>IF($S$18&gt;0,PPMT('Assumptions (Coal)'!$V$7,Model!AH$1,'Assumptions (Coal)'!$V$10,'Assumptions (Coal)'!$V$5*Model!$S$18*AVERAGE('Assumptions (Coal)'!$L$2:$Q$2)/10^9),0)</f>
        <v>0</v>
      </c>
      <c r="AE100" s="160">
        <f>IF($S$18&gt;0,PPMT('Assumptions (Coal)'!$V$7,Model!AI$1,'Assumptions (Coal)'!$V$10,'Assumptions (Coal)'!$V$5*Model!$S$18*AVERAGE('Assumptions (Coal)'!$L$2:$Q$2)/10^9),0)</f>
        <v>0</v>
      </c>
      <c r="AF100" s="160">
        <f>IF($S$18&gt;0,PPMT('Assumptions (Coal)'!$V$7,Model!AJ$1,'Assumptions (Coal)'!$V$10,'Assumptions (Coal)'!$V$5*Model!$S$18*AVERAGE('Assumptions (Coal)'!$L$2:$Q$2)/10^9),0)</f>
        <v>0</v>
      </c>
      <c r="AG100" s="160">
        <f>IF($S$18&gt;0,PPMT('Assumptions (Coal)'!$V$7,Model!AK$1,'Assumptions (Coal)'!$V$10,'Assumptions (Coal)'!$V$5*Model!$S$18*AVERAGE('Assumptions (Coal)'!$L$2:$Q$2)/10^9),0)</f>
        <v>0</v>
      </c>
      <c r="AH100" s="160"/>
      <c r="AI100" s="160"/>
      <c r="AJ100" s="160"/>
      <c r="AK100" s="160"/>
      <c r="AL100" s="160"/>
      <c r="AM100" s="160"/>
      <c r="AN100" s="160"/>
      <c r="AO100" s="160"/>
      <c r="AP100" s="160"/>
      <c r="AQ100" s="160"/>
      <c r="AU100" s="160"/>
      <c r="AV100" s="160"/>
      <c r="AW100" s="160"/>
      <c r="AX100" s="160"/>
      <c r="AY100" s="160"/>
      <c r="AZ100" s="160"/>
      <c r="BA100" s="160"/>
    </row>
    <row r="101" ht="15.75" hidden="1" customHeight="1" outlineLevel="1">
      <c r="A101" s="158"/>
      <c r="B101" s="38"/>
      <c r="C101" s="160"/>
      <c r="D101" s="160"/>
      <c r="E101" s="160"/>
      <c r="F101" s="160"/>
      <c r="G101" s="160"/>
      <c r="H101" s="160"/>
      <c r="I101" s="160"/>
      <c r="J101" s="160"/>
      <c r="K101" s="160"/>
      <c r="L101" s="160"/>
      <c r="M101" s="160"/>
      <c r="N101" s="160"/>
      <c r="O101" s="160"/>
      <c r="P101" s="179"/>
      <c r="Q101" s="160"/>
      <c r="R101" s="177"/>
      <c r="S101" s="177"/>
      <c r="T101" s="160">
        <f>IF($T$18&gt;0,PPMT('Assumptions (Coal)'!$V$7,Model!W$1,'Assumptions (Coal)'!$V$10,'Assumptions (Coal)'!$V$5*Model!$T$18*AVERAGE('Assumptions (Coal)'!$M$2:$R$2)/10^9),0)</f>
        <v>0</v>
      </c>
      <c r="U101" s="160">
        <f>IF($T$18&gt;0,PPMT('Assumptions (Coal)'!$V$7,Model!X$1,'Assumptions (Coal)'!$V$10,'Assumptions (Coal)'!$V$5*Model!$T$18*AVERAGE('Assumptions (Coal)'!$M$2:$R$2)/10^9),0)</f>
        <v>0</v>
      </c>
      <c r="V101" s="160">
        <f>IF($T$18&gt;0,PPMT('Assumptions (Coal)'!$V$7,Model!Y$1,'Assumptions (Coal)'!$V$10,'Assumptions (Coal)'!$V$5*Model!$T$18*AVERAGE('Assumptions (Coal)'!$M$2:$R$2)/10^9),0)</f>
        <v>0</v>
      </c>
      <c r="W101" s="160">
        <f>IF($T$18&gt;0,PPMT('Assumptions (Coal)'!$V$7,Model!Z$1,'Assumptions (Coal)'!$V$10,'Assumptions (Coal)'!$V$5*Model!$T$18*AVERAGE('Assumptions (Coal)'!$M$2:$R$2)/10^9),0)</f>
        <v>0</v>
      </c>
      <c r="X101" s="160">
        <f>IF($T$18&gt;0,PPMT('Assumptions (Coal)'!$V$7,Model!AA$1,'Assumptions (Coal)'!$V$10,'Assumptions (Coal)'!$V$5*Model!$T$18*AVERAGE('Assumptions (Coal)'!$M$2:$R$2)/10^9),0)</f>
        <v>0</v>
      </c>
      <c r="Y101" s="160">
        <f>IF($T$18&gt;0,PPMT('Assumptions (Coal)'!$V$7,Model!AB$1,'Assumptions (Coal)'!$V$10,'Assumptions (Coal)'!$V$5*Model!$T$18*AVERAGE('Assumptions (Coal)'!$M$2:$R$2)/10^9),0)</f>
        <v>0</v>
      </c>
      <c r="Z101" s="160">
        <f>IF($T$18&gt;0,PPMT('Assumptions (Coal)'!$V$7,Model!AC$1,'Assumptions (Coal)'!$V$10,'Assumptions (Coal)'!$V$5*Model!$T$18*AVERAGE('Assumptions (Coal)'!$M$2:$R$2)/10^9),0)</f>
        <v>0</v>
      </c>
      <c r="AA101" s="160">
        <f>IF($T$18&gt;0,PPMT('Assumptions (Coal)'!$V$7,Model!AD$1,'Assumptions (Coal)'!$V$10,'Assumptions (Coal)'!$V$5*Model!$T$18*AVERAGE('Assumptions (Coal)'!$M$2:$R$2)/10^9),0)</f>
        <v>0</v>
      </c>
      <c r="AB101" s="160">
        <f>IF($T$18&gt;0,PPMT('Assumptions (Coal)'!$V$7,Model!AE$1,'Assumptions (Coal)'!$V$10,'Assumptions (Coal)'!$V$5*Model!$T$18*AVERAGE('Assumptions (Coal)'!$M$2:$R$2)/10^9),0)</f>
        <v>0</v>
      </c>
      <c r="AC101" s="160">
        <f>IF($T$18&gt;0,PPMT('Assumptions (Coal)'!$V$7,Model!AF$1,'Assumptions (Coal)'!$V$10,'Assumptions (Coal)'!$V$5*Model!$T$18*AVERAGE('Assumptions (Coal)'!$M$2:$R$2)/10^9),0)</f>
        <v>0</v>
      </c>
      <c r="AD101" s="160">
        <f>IF($T$18&gt;0,PPMT('Assumptions (Coal)'!$V$7,Model!AG$1,'Assumptions (Coal)'!$V$10,'Assumptions (Coal)'!$V$5*Model!$T$18*AVERAGE('Assumptions (Coal)'!$M$2:$R$2)/10^9),0)</f>
        <v>0</v>
      </c>
      <c r="AE101" s="160">
        <f>IF($T$18&gt;0,PPMT('Assumptions (Coal)'!$V$7,Model!AH$1,'Assumptions (Coal)'!$V$10,'Assumptions (Coal)'!$V$5*Model!$T$18*AVERAGE('Assumptions (Coal)'!$M$2:$R$2)/10^9),0)</f>
        <v>0</v>
      </c>
      <c r="AF101" s="160">
        <f>IF($T$18&gt;0,PPMT('Assumptions (Coal)'!$V$7,Model!AI$1,'Assumptions (Coal)'!$V$10,'Assumptions (Coal)'!$V$5*Model!$T$18*AVERAGE('Assumptions (Coal)'!$M$2:$R$2)/10^9),0)</f>
        <v>0</v>
      </c>
      <c r="AG101" s="160">
        <f>IF($T$18&gt;0,PPMT('Assumptions (Coal)'!$V$7,Model!AJ$1,'Assumptions (Coal)'!$V$10,'Assumptions (Coal)'!$V$5*Model!$T$18*AVERAGE('Assumptions (Coal)'!$M$2:$R$2)/10^9),0)</f>
        <v>0</v>
      </c>
      <c r="AH101" s="160">
        <f>IF($T$18&gt;0,PPMT('Assumptions (Coal)'!$V$7,Model!AK$1,'Assumptions (Coal)'!$V$10,'Assumptions (Coal)'!$V$5*Model!$T$18*AVERAGE('Assumptions (Coal)'!$M$2:$R$2)/10^9),0)</f>
        <v>0</v>
      </c>
      <c r="AI101" s="160"/>
      <c r="AJ101" s="160"/>
      <c r="AK101" s="160"/>
      <c r="AL101" s="160"/>
      <c r="AM101" s="160"/>
      <c r="AN101" s="160"/>
      <c r="AO101" s="160"/>
      <c r="AP101" s="160"/>
      <c r="AQ101" s="160"/>
      <c r="AR101" s="160"/>
      <c r="AU101" s="160"/>
      <c r="AV101" s="160"/>
      <c r="AW101" s="160"/>
      <c r="AX101" s="160"/>
      <c r="AY101" s="160"/>
      <c r="AZ101" s="160"/>
      <c r="BA101" s="160"/>
    </row>
    <row r="102" ht="15.75" hidden="1" customHeight="1" outlineLevel="1">
      <c r="A102" s="158"/>
      <c r="B102" s="38"/>
      <c r="C102" s="160"/>
      <c r="D102" s="160"/>
      <c r="E102" s="160"/>
      <c r="F102" s="160"/>
      <c r="G102" s="160"/>
      <c r="H102" s="160"/>
      <c r="I102" s="160"/>
      <c r="J102" s="160"/>
      <c r="K102" s="160"/>
      <c r="L102" s="160"/>
      <c r="M102" s="160"/>
      <c r="N102" s="160"/>
      <c r="O102" s="160"/>
      <c r="P102" s="179"/>
      <c r="Q102" s="160"/>
      <c r="R102" s="177"/>
      <c r="S102" s="177"/>
      <c r="T102" s="177"/>
      <c r="U102" s="160">
        <f>IF($U$18&gt;0,PPMT('Assumptions (Coal)'!$V$7,Model!W$1,'Assumptions (Coal)'!$V$10,'Assumptions (Coal)'!$V$5*Model!$U$18*AVERAGE('Assumptions (Coal)'!$N$2:$S$2)/10^9),0)</f>
        <v>0</v>
      </c>
      <c r="V102" s="160">
        <f>IF($U$18&gt;0,PPMT('Assumptions (Coal)'!$V$7,Model!X$1,'Assumptions (Coal)'!$V$10,'Assumptions (Coal)'!$V$5*Model!$U$18*AVERAGE('Assumptions (Coal)'!$N$2:$S$2)/10^9),0)</f>
        <v>0</v>
      </c>
      <c r="W102" s="160">
        <f>IF($U$18&gt;0,PPMT('Assumptions (Coal)'!$V$7,Model!Y$1,'Assumptions (Coal)'!$V$10,'Assumptions (Coal)'!$V$5*Model!$U$18*AVERAGE('Assumptions (Coal)'!$N$2:$S$2)/10^9),0)</f>
        <v>0</v>
      </c>
      <c r="X102" s="160">
        <f>IF($U$18&gt;0,PPMT('Assumptions (Coal)'!$V$7,Model!Z$1,'Assumptions (Coal)'!$V$10,'Assumptions (Coal)'!$V$5*Model!$U$18*AVERAGE('Assumptions (Coal)'!$N$2:$S$2)/10^9),0)</f>
        <v>0</v>
      </c>
      <c r="Y102" s="160">
        <f>IF($U$18&gt;0,PPMT('Assumptions (Coal)'!$V$7,Model!AA$1,'Assumptions (Coal)'!$V$10,'Assumptions (Coal)'!$V$5*Model!$U$18*AVERAGE('Assumptions (Coal)'!$N$2:$S$2)/10^9),0)</f>
        <v>0</v>
      </c>
      <c r="Z102" s="160">
        <f>IF($U$18&gt;0,PPMT('Assumptions (Coal)'!$V$7,Model!AB$1,'Assumptions (Coal)'!$V$10,'Assumptions (Coal)'!$V$5*Model!$U$18*AVERAGE('Assumptions (Coal)'!$N$2:$S$2)/10^9),0)</f>
        <v>0</v>
      </c>
      <c r="AA102" s="160">
        <f>IF($U$18&gt;0,PPMT('Assumptions (Coal)'!$V$7,Model!AC$1,'Assumptions (Coal)'!$V$10,'Assumptions (Coal)'!$V$5*Model!$U$18*AVERAGE('Assumptions (Coal)'!$N$2:$S$2)/10^9),0)</f>
        <v>0</v>
      </c>
      <c r="AB102" s="160">
        <f>IF($U$18&gt;0,PPMT('Assumptions (Coal)'!$V$7,Model!AD$1,'Assumptions (Coal)'!$V$10,'Assumptions (Coal)'!$V$5*Model!$U$18*AVERAGE('Assumptions (Coal)'!$N$2:$S$2)/10^9),0)</f>
        <v>0</v>
      </c>
      <c r="AC102" s="160">
        <f>IF($U$18&gt;0,PPMT('Assumptions (Coal)'!$V$7,Model!AE$1,'Assumptions (Coal)'!$V$10,'Assumptions (Coal)'!$V$5*Model!$U$18*AVERAGE('Assumptions (Coal)'!$N$2:$S$2)/10^9),0)</f>
        <v>0</v>
      </c>
      <c r="AD102" s="160">
        <f>IF($U$18&gt;0,PPMT('Assumptions (Coal)'!$V$7,Model!AF$1,'Assumptions (Coal)'!$V$10,'Assumptions (Coal)'!$V$5*Model!$U$18*AVERAGE('Assumptions (Coal)'!$N$2:$S$2)/10^9),0)</f>
        <v>0</v>
      </c>
      <c r="AE102" s="160">
        <f>IF($U$18&gt;0,PPMT('Assumptions (Coal)'!$V$7,Model!AG$1,'Assumptions (Coal)'!$V$10,'Assumptions (Coal)'!$V$5*Model!$U$18*AVERAGE('Assumptions (Coal)'!$N$2:$S$2)/10^9),0)</f>
        <v>0</v>
      </c>
      <c r="AF102" s="160">
        <f>IF($U$18&gt;0,PPMT('Assumptions (Coal)'!$V$7,Model!AH$1,'Assumptions (Coal)'!$V$10,'Assumptions (Coal)'!$V$5*Model!$U$18*AVERAGE('Assumptions (Coal)'!$N$2:$S$2)/10^9),0)</f>
        <v>0</v>
      </c>
      <c r="AG102" s="160">
        <f>IF($U$18&gt;0,PPMT('Assumptions (Coal)'!$V$7,Model!AI$1,'Assumptions (Coal)'!$V$10,'Assumptions (Coal)'!$V$5*Model!$U$18*AVERAGE('Assumptions (Coal)'!$N$2:$S$2)/10^9),0)</f>
        <v>0</v>
      </c>
      <c r="AH102" s="160">
        <f>IF($U$18&gt;0,PPMT('Assumptions (Coal)'!$V$7,Model!AJ$1,'Assumptions (Coal)'!$V$10,'Assumptions (Coal)'!$V$5*Model!$U$18*AVERAGE('Assumptions (Coal)'!$N$2:$S$2)/10^9),0)</f>
        <v>0</v>
      </c>
      <c r="AI102" s="160">
        <f>IF($U$18&gt;0,PPMT('Assumptions (Coal)'!$V$7,Model!AK$1,'Assumptions (Coal)'!$V$10,'Assumptions (Coal)'!$V$5*Model!$U$18*AVERAGE('Assumptions (Coal)'!$N$2:$S$2)/10^9),0)</f>
        <v>0</v>
      </c>
      <c r="AJ102" s="160"/>
      <c r="AK102" s="160"/>
      <c r="AL102" s="160"/>
      <c r="AM102" s="160"/>
      <c r="AN102" s="160"/>
      <c r="AO102" s="160"/>
      <c r="AP102" s="160"/>
      <c r="AQ102" s="160"/>
      <c r="AR102" s="160"/>
      <c r="AS102" s="160"/>
      <c r="AU102" s="160"/>
      <c r="AV102" s="160"/>
      <c r="AW102" s="160"/>
      <c r="AX102" s="160"/>
      <c r="AY102" s="160"/>
      <c r="AZ102" s="160"/>
      <c r="BA102" s="160"/>
    </row>
    <row r="103" ht="15.75" hidden="1" customHeight="1" outlineLevel="1">
      <c r="A103" s="158"/>
      <c r="B103" s="38"/>
      <c r="C103" s="160"/>
      <c r="D103" s="160"/>
      <c r="E103" s="160"/>
      <c r="F103" s="160"/>
      <c r="G103" s="160"/>
      <c r="H103" s="160"/>
      <c r="I103" s="160"/>
      <c r="J103" s="160"/>
      <c r="K103" s="160"/>
      <c r="L103" s="160"/>
      <c r="M103" s="160"/>
      <c r="N103" s="160"/>
      <c r="O103" s="160"/>
      <c r="P103" s="179"/>
      <c r="Q103" s="160"/>
      <c r="R103" s="177"/>
      <c r="S103" s="177"/>
      <c r="T103" s="177"/>
      <c r="U103" s="160"/>
      <c r="V103" s="160">
        <f>IF($V$18&gt;0,PPMT('Assumptions (Coal)'!$V$7,Model!W$1,'Assumptions (Coal)'!$V$10,'Assumptions (Coal)'!$V$5*Model!$V$18*AVERAGE('Assumptions (Coal)'!$O$2:$T$2)/10^9),0)</f>
        <v>0</v>
      </c>
      <c r="W103" s="160">
        <f>IF($V$18&gt;0,PPMT('Assumptions (Coal)'!$V$7,Model!X$1,'Assumptions (Coal)'!$V$10,'Assumptions (Coal)'!$V$5*Model!$V$18*AVERAGE('Assumptions (Coal)'!$O$2:$T$2)/10^9),0)</f>
        <v>0</v>
      </c>
      <c r="X103" s="160">
        <f>IF($V$18&gt;0,PPMT('Assumptions (Coal)'!$V$7,Model!Y$1,'Assumptions (Coal)'!$V$10,'Assumptions (Coal)'!$V$5*Model!$V$18*AVERAGE('Assumptions (Coal)'!$O$2:$T$2)/10^9),0)</f>
        <v>0</v>
      </c>
      <c r="Y103" s="160">
        <f>IF($V$18&gt;0,PPMT('Assumptions (Coal)'!$V$7,Model!Z$1,'Assumptions (Coal)'!$V$10,'Assumptions (Coal)'!$V$5*Model!$V$18*AVERAGE('Assumptions (Coal)'!$O$2:$T$2)/10^9),0)</f>
        <v>0</v>
      </c>
      <c r="Z103" s="160">
        <f>IF($V$18&gt;0,PPMT('Assumptions (Coal)'!$V$7,Model!AA$1,'Assumptions (Coal)'!$V$10,'Assumptions (Coal)'!$V$5*Model!$V$18*AVERAGE('Assumptions (Coal)'!$O$2:$T$2)/10^9),0)</f>
        <v>0</v>
      </c>
      <c r="AA103" s="160">
        <f>IF($V$18&gt;0,PPMT('Assumptions (Coal)'!$V$7,Model!AB$1,'Assumptions (Coal)'!$V$10,'Assumptions (Coal)'!$V$5*Model!$V$18*AVERAGE('Assumptions (Coal)'!$O$2:$T$2)/10^9),0)</f>
        <v>0</v>
      </c>
      <c r="AB103" s="160">
        <f>IF($V$18&gt;0,PPMT('Assumptions (Coal)'!$V$7,Model!AC$1,'Assumptions (Coal)'!$V$10,'Assumptions (Coal)'!$V$5*Model!$V$18*AVERAGE('Assumptions (Coal)'!$O$2:$T$2)/10^9),0)</f>
        <v>0</v>
      </c>
      <c r="AC103" s="160">
        <f>IF($V$18&gt;0,PPMT('Assumptions (Coal)'!$V$7,Model!AD$1,'Assumptions (Coal)'!$V$10,'Assumptions (Coal)'!$V$5*Model!$V$18*AVERAGE('Assumptions (Coal)'!$O$2:$T$2)/10^9),0)</f>
        <v>0</v>
      </c>
      <c r="AD103" s="160">
        <f>IF($V$18&gt;0,PPMT('Assumptions (Coal)'!$V$7,Model!AE$1,'Assumptions (Coal)'!$V$10,'Assumptions (Coal)'!$V$5*Model!$V$18*AVERAGE('Assumptions (Coal)'!$O$2:$T$2)/10^9),0)</f>
        <v>0</v>
      </c>
      <c r="AE103" s="160">
        <f>IF($V$18&gt;0,PPMT('Assumptions (Coal)'!$V$7,Model!AF$1,'Assumptions (Coal)'!$V$10,'Assumptions (Coal)'!$V$5*Model!$V$18*AVERAGE('Assumptions (Coal)'!$O$2:$T$2)/10^9),0)</f>
        <v>0</v>
      </c>
      <c r="AF103" s="160">
        <f>IF($V$18&gt;0,PPMT('Assumptions (Coal)'!$V$7,Model!AG$1,'Assumptions (Coal)'!$V$10,'Assumptions (Coal)'!$V$5*Model!$V$18*AVERAGE('Assumptions (Coal)'!$O$2:$T$2)/10^9),0)</f>
        <v>0</v>
      </c>
      <c r="AG103" s="160">
        <f>IF($V$18&gt;0,PPMT('Assumptions (Coal)'!$V$7,Model!AH$1,'Assumptions (Coal)'!$V$10,'Assumptions (Coal)'!$V$5*Model!$V$18*AVERAGE('Assumptions (Coal)'!$O$2:$T$2)/10^9),0)</f>
        <v>0</v>
      </c>
      <c r="AH103" s="160">
        <f>IF($V$18&gt;0,PPMT('Assumptions (Coal)'!$V$7,Model!AI$1,'Assumptions (Coal)'!$V$10,'Assumptions (Coal)'!$V$5*Model!$V$18*AVERAGE('Assumptions (Coal)'!$O$2:$T$2)/10^9),0)</f>
        <v>0</v>
      </c>
      <c r="AI103" s="160">
        <f>IF($V$18&gt;0,PPMT('Assumptions (Coal)'!$V$7,Model!AJ$1,'Assumptions (Coal)'!$V$10,'Assumptions (Coal)'!$V$5*Model!$V$18*AVERAGE('Assumptions (Coal)'!$O$2:$T$2)/10^9),0)</f>
        <v>0</v>
      </c>
      <c r="AJ103" s="160">
        <f>IF($V$18&gt;0,PPMT('Assumptions (Coal)'!$V$7,Model!AK$1,'Assumptions (Coal)'!$V$10,'Assumptions (Coal)'!$V$5*Model!$V$18*AVERAGE('Assumptions (Coal)'!$O$2:$T$2)/10^9),0)</f>
        <v>0</v>
      </c>
      <c r="AK103" s="160"/>
      <c r="AL103" s="160"/>
      <c r="AM103" s="160"/>
      <c r="AN103" s="160"/>
      <c r="AO103" s="160"/>
      <c r="AP103" s="160"/>
      <c r="AQ103" s="160"/>
      <c r="AR103" s="160"/>
      <c r="AS103" s="160"/>
      <c r="AT103" s="160"/>
      <c r="AU103" s="160"/>
      <c r="AV103" s="160"/>
      <c r="AW103" s="160"/>
      <c r="AX103" s="160"/>
      <c r="AY103" s="160"/>
      <c r="AZ103" s="160"/>
      <c r="BA103" s="160"/>
    </row>
    <row r="104" ht="15.75" hidden="1" customHeight="1" outlineLevel="1">
      <c r="A104" s="158"/>
      <c r="B104" s="38"/>
      <c r="C104" s="160"/>
      <c r="D104" s="160"/>
      <c r="E104" s="160"/>
      <c r="F104" s="160"/>
      <c r="G104" s="160"/>
      <c r="H104" s="160"/>
      <c r="I104" s="160"/>
      <c r="J104" s="160"/>
      <c r="K104" s="160"/>
      <c r="L104" s="160"/>
      <c r="M104" s="160"/>
      <c r="N104" s="160"/>
      <c r="O104" s="160"/>
      <c r="P104" s="160"/>
      <c r="Q104" s="160"/>
      <c r="R104" s="160"/>
      <c r="S104" s="160"/>
      <c r="T104" s="160"/>
      <c r="U104" s="160"/>
      <c r="V104" s="174"/>
      <c r="W104" s="160">
        <f>IF($W$18&gt;0,PPMT('Assumptions (Coal)'!$V$7,Model!W1,'Assumptions (Coal)'!$V$10,'Assumptions (Coal)'!$V$5*Model!$W$18*Average('Assumptions (Coal)'!$P$2:$U$2)/10^9),0)</f>
        <v>0</v>
      </c>
      <c r="X104" s="160">
        <f>IF($W$18&gt;0,PPMT('Assumptions (Coal)'!$V$7,Model!X1,'Assumptions (Coal)'!$V$10,'Assumptions (Coal)'!$V$5*Model!$W$18*Average('Assumptions (Coal)'!$P$2:$U$2)/10^9),0)</f>
        <v>0</v>
      </c>
      <c r="Y104" s="160">
        <f>IF($W$18&gt;0,PPMT('Assumptions (Coal)'!$V$7,Model!Y1,'Assumptions (Coal)'!$V$10,'Assumptions (Coal)'!$V$5*Model!$W$18*Average('Assumptions (Coal)'!$P$2:$U$2)/10^9),0)</f>
        <v>0</v>
      </c>
      <c r="Z104" s="160">
        <f>IF($W$18&gt;0,PPMT('Assumptions (Coal)'!$V$7,Model!Z1,'Assumptions (Coal)'!$V$10,'Assumptions (Coal)'!$V$5*Model!$W$18*Average('Assumptions (Coal)'!$P$2:$U$2)/10^9),0)</f>
        <v>0</v>
      </c>
      <c r="AA104" s="160">
        <f>IF($W$18&gt;0,PPMT('Assumptions (Coal)'!$V$7,Model!AA1,'Assumptions (Coal)'!$V$10,'Assumptions (Coal)'!$V$5*Model!$W$18*Average('Assumptions (Coal)'!$P$2:$U$2)/10^9),0)</f>
        <v>0</v>
      </c>
      <c r="AB104" s="160">
        <f>IF($W$18&gt;0,PPMT('Assumptions (Coal)'!$V$7,Model!AB1,'Assumptions (Coal)'!$V$10,'Assumptions (Coal)'!$V$5*Model!$W$18*Average('Assumptions (Coal)'!$P$2:$U$2)/10^9),0)</f>
        <v>0</v>
      </c>
      <c r="AC104" s="160">
        <f>IF($W$18&gt;0,PPMT('Assumptions (Coal)'!$V$7,Model!AC1,'Assumptions (Coal)'!$V$10,'Assumptions (Coal)'!$V$5*Model!$W$18*Average('Assumptions (Coal)'!$P$2:$U$2)/10^9),0)</f>
        <v>0</v>
      </c>
      <c r="AD104" s="160">
        <f>IF($W$18&gt;0,PPMT('Assumptions (Coal)'!$V$7,Model!AD1,'Assumptions (Coal)'!$V$10,'Assumptions (Coal)'!$V$5*Model!$W$18*Average('Assumptions (Coal)'!$P$2:$U$2)/10^9),0)</f>
        <v>0</v>
      </c>
      <c r="AE104" s="160">
        <f>IF($W$18&gt;0,PPMT('Assumptions (Coal)'!$V$7,Model!AE1,'Assumptions (Coal)'!$V$10,'Assumptions (Coal)'!$V$5*Model!$W$18*Average('Assumptions (Coal)'!$P$2:$U$2)/10^9),0)</f>
        <v>0</v>
      </c>
      <c r="AF104" s="160">
        <f>IF($W$18&gt;0,PPMT('Assumptions (Coal)'!$V$7,Model!AF1,'Assumptions (Coal)'!$V$10,'Assumptions (Coal)'!$V$5*Model!$W$18*Average('Assumptions (Coal)'!$P$2:$U$2)/10^9),0)</f>
        <v>0</v>
      </c>
      <c r="AG104" s="160">
        <f>IF($W$18&gt;0,PPMT('Assumptions (Coal)'!$V$7,Model!AG1,'Assumptions (Coal)'!$V$10,'Assumptions (Coal)'!$V$5*Model!$W$18*Average('Assumptions (Coal)'!$P$2:$U$2)/10^9),0)</f>
        <v>0</v>
      </c>
      <c r="AH104" s="160">
        <f>IF($W$18&gt;0,PPMT('Assumptions (Coal)'!$V$7,Model!AH1,'Assumptions (Coal)'!$V$10,'Assumptions (Coal)'!$V$5*Model!$W$18*Average('Assumptions (Coal)'!$P$2:$U$2)/10^9),0)</f>
        <v>0</v>
      </c>
      <c r="AI104" s="160">
        <f>IF($W$18&gt;0,PPMT('Assumptions (Coal)'!$V$7,Model!AI1,'Assumptions (Coal)'!$V$10,'Assumptions (Coal)'!$V$5*Model!$W$18*Average('Assumptions (Coal)'!$P$2:$U$2)/10^9),0)</f>
        <v>0</v>
      </c>
      <c r="AJ104" s="160">
        <f>IF($W$18&gt;0,PPMT('Assumptions (Coal)'!$V$7,Model!AJ1,'Assumptions (Coal)'!$V$10,'Assumptions (Coal)'!$V$5*Model!$W$18*Average('Assumptions (Coal)'!$P$2:$U$2)/10^9),0)</f>
        <v>0</v>
      </c>
      <c r="AK104" s="160">
        <f>IF($W$18&gt;0,PPMT('Assumptions (Coal)'!$V$7,Model!AK1,'Assumptions (Coal)'!$V$10,'Assumptions (Coal)'!$V$5*Model!$W$18*Average('Assumptions (Coal)'!$P$2:$U$2)/10^9),0)</f>
        <v>0</v>
      </c>
      <c r="AL104" s="160"/>
      <c r="AM104" s="160"/>
      <c r="AN104" s="160"/>
      <c r="AO104" s="160"/>
      <c r="AP104" s="160"/>
      <c r="AQ104" s="160"/>
      <c r="AR104" s="160"/>
      <c r="AS104" s="160"/>
      <c r="AT104" s="160"/>
      <c r="AU104" s="160"/>
      <c r="AV104" s="160"/>
      <c r="AW104" s="160"/>
      <c r="AX104" s="160"/>
      <c r="AY104" s="160"/>
      <c r="AZ104" s="160"/>
      <c r="BA104" s="160"/>
    </row>
    <row r="105" ht="15.75" hidden="1" customHeight="1" outlineLevel="1">
      <c r="A105" s="158"/>
      <c r="B105" s="38"/>
      <c r="C105" s="160"/>
      <c r="D105" s="160"/>
      <c r="E105" s="160"/>
      <c r="F105" s="160"/>
      <c r="G105" s="160"/>
      <c r="H105" s="160"/>
      <c r="I105" s="160"/>
      <c r="J105" s="160"/>
      <c r="K105" s="160"/>
      <c r="L105" s="160"/>
      <c r="M105" s="160"/>
      <c r="N105" s="160"/>
      <c r="O105" s="160"/>
      <c r="P105" s="160"/>
      <c r="Q105" s="160"/>
      <c r="R105" s="160"/>
      <c r="S105" s="160"/>
      <c r="T105" s="160"/>
      <c r="U105" s="160"/>
      <c r="V105" s="174"/>
      <c r="W105" s="160"/>
      <c r="X105" s="160">
        <f>IF($X$18&gt;0,PPMT('Assumptions (Coal)'!$V$7,Model!W1,'Assumptions (Coal)'!$V$10,'Assumptions (Coal)'!$V$5*Model!$X$18*average('Assumptions (Coal)'!$Q$2:$V$2)/10^9),0)</f>
        <v>-0.6765940933</v>
      </c>
      <c r="Y105" s="160">
        <f>IF($X$18&gt;0,PPMT('Assumptions (Coal)'!$V$7,Model!X1,'Assumptions (Coal)'!$V$10,'Assumptions (Coal)'!$V$5*Model!$X$18*average('Assumptions (Coal)'!$Q$2:$V$2)/10^9),0)</f>
        <v>-0.7087323127</v>
      </c>
      <c r="Z105" s="160">
        <f>IF($X$18&gt;0,PPMT('Assumptions (Coal)'!$V$7,Model!Y1,'Assumptions (Coal)'!$V$10,'Assumptions (Coal)'!$V$5*Model!$X$18*average('Assumptions (Coal)'!$Q$2:$V$2)/10^9),0)</f>
        <v>-0.7423970976</v>
      </c>
      <c r="AA105" s="160">
        <f>IF($X$18&gt;0,PPMT('Assumptions (Coal)'!$V$7,Model!Z1,'Assumptions (Coal)'!$V$10,'Assumptions (Coal)'!$V$5*Model!$X$18*average('Assumptions (Coal)'!$Q$2:$V$2)/10^9),0)</f>
        <v>-0.7776609597</v>
      </c>
      <c r="AB105" s="160">
        <f>IF($X$18&gt;0,PPMT('Assumptions (Coal)'!$V$7,Model!AA1,'Assumptions (Coal)'!$V$10,'Assumptions (Coal)'!$V$5*Model!$X$18*average('Assumptions (Coal)'!$Q$2:$V$2)/10^9),0)</f>
        <v>-0.8145998553</v>
      </c>
      <c r="AC105" s="160">
        <f>IF($X$18&gt;0,PPMT('Assumptions (Coal)'!$V$7,Model!AB1,'Assumptions (Coal)'!$V$10,'Assumptions (Coal)'!$V$5*Model!$X$18*average('Assumptions (Coal)'!$Q$2:$V$2)/10^9),0)</f>
        <v>-0.8532933484</v>
      </c>
      <c r="AD105" s="160">
        <f>IF($X$18&gt;0,PPMT('Assumptions (Coal)'!$V$7,Model!AC1,'Assumptions (Coal)'!$V$10,'Assumptions (Coal)'!$V$5*Model!$X$18*average('Assumptions (Coal)'!$Q$2:$V$2)/10^9),0)</f>
        <v>-0.8938247825</v>
      </c>
      <c r="AE105" s="160">
        <f>IF($X$18&gt;0,PPMT('Assumptions (Coal)'!$V$7,Model!AD1,'Assumptions (Coal)'!$V$10,'Assumptions (Coal)'!$V$5*Model!$X$18*average('Assumptions (Coal)'!$Q$2:$V$2)/10^9),0)</f>
        <v>-0.9362814596</v>
      </c>
      <c r="AF105" s="160">
        <f>IF($X$18&gt;0,PPMT('Assumptions (Coal)'!$V$7,Model!AE1,'Assumptions (Coal)'!$V$10,'Assumptions (Coal)'!$V$5*Model!$X$18*average('Assumptions (Coal)'!$Q$2:$V$2)/10^9),0)</f>
        <v>-0.980754829</v>
      </c>
      <c r="AG105" s="160">
        <f>IF($X$18&gt;0,PPMT('Assumptions (Coal)'!$V$7,Model!AF1,'Assumptions (Coal)'!$V$10,'Assumptions (Coal)'!$V$5*Model!$X$18*average('Assumptions (Coal)'!$Q$2:$V$2)/10^9),0)</f>
        <v>-1.027340683</v>
      </c>
      <c r="AH105" s="160">
        <f>IF($X$18&gt;0,PPMT('Assumptions (Coal)'!$V$7,Model!AG1,'Assumptions (Coal)'!$V$10,'Assumptions (Coal)'!$V$5*Model!$X$18*average('Assumptions (Coal)'!$Q$2:$V$2)/10^9),0)</f>
        <v>-1.076139366</v>
      </c>
      <c r="AI105" s="160">
        <f>IF($X$18&gt;0,PPMT('Assumptions (Coal)'!$V$7,Model!AH1,'Assumptions (Coal)'!$V$10,'Assumptions (Coal)'!$V$5*Model!$X$18*average('Assumptions (Coal)'!$Q$2:$V$2)/10^9),0)</f>
        <v>-1.127255986</v>
      </c>
      <c r="AJ105" s="160">
        <f>IF($X$18&gt;0,PPMT('Assumptions (Coal)'!$V$7,Model!AI1,'Assumptions (Coal)'!$V$10,'Assumptions (Coal)'!$V$5*Model!$X$18*average('Assumptions (Coal)'!$Q$2:$V$2)/10^9),0)</f>
        <v>-1.180800645</v>
      </c>
      <c r="AK105" s="160">
        <f>IF($X$18&gt;0,PPMT('Assumptions (Coal)'!$V$7,Model!AJ1,'Assumptions (Coal)'!$V$10,'Assumptions (Coal)'!$V$5*Model!$X$18*average('Assumptions (Coal)'!$Q$2:$V$2)/10^9),0)</f>
        <v>-1.236888676</v>
      </c>
      <c r="AL105" s="160">
        <f>IF($X$18&gt;0,PPMT('Assumptions (Coal)'!$V$7,Model!AK1,'Assumptions (Coal)'!$V$10,'Assumptions (Coal)'!$V$5*Model!$X$18*average('Assumptions (Coal)'!$Q$2:$V$2)/10^9),0)</f>
        <v>-1.295640888</v>
      </c>
      <c r="AM105" s="160"/>
      <c r="AN105" s="160"/>
      <c r="AO105" s="160"/>
      <c r="AP105" s="160"/>
      <c r="AQ105" s="160"/>
      <c r="AR105" s="160"/>
      <c r="AS105" s="160"/>
      <c r="AT105" s="160"/>
      <c r="AU105" s="160"/>
      <c r="AV105" s="160"/>
      <c r="AW105" s="160"/>
      <c r="AX105" s="160"/>
      <c r="AY105" s="160"/>
      <c r="AZ105" s="160"/>
      <c r="BA105" s="160"/>
    </row>
    <row r="106" ht="15.75" hidden="1" customHeight="1" outlineLevel="1">
      <c r="A106" s="158"/>
      <c r="B106" s="38"/>
      <c r="C106" s="160"/>
      <c r="D106" s="160"/>
      <c r="E106" s="160"/>
      <c r="F106" s="160"/>
      <c r="G106" s="160"/>
      <c r="H106" s="160"/>
      <c r="I106" s="160"/>
      <c r="J106" s="160"/>
      <c r="K106" s="160"/>
      <c r="L106" s="160"/>
      <c r="M106" s="160"/>
      <c r="N106" s="160"/>
      <c r="O106" s="160"/>
      <c r="P106" s="160"/>
      <c r="Q106" s="160"/>
      <c r="R106" s="160"/>
      <c r="S106" s="160"/>
      <c r="T106" s="160"/>
      <c r="U106" s="160"/>
      <c r="V106" s="174"/>
      <c r="W106" s="160"/>
      <c r="X106" s="160"/>
      <c r="Y106" s="160">
        <f>IF($Y$18&gt;0,PPMT('Assumptions (Coal)'!$V$7,Model!W1,'Assumptions (Coal)'!$V$10,'Assumptions (Coal)'!$V$5*Model!$Y$18*AVERAGE('Assumptions (Coal)'!$R$2:$W$2)/10^9),0)</f>
        <v>-0.07808503679</v>
      </c>
      <c r="Z106" s="160">
        <f>IF($Y$18&gt;0,PPMT('Assumptions (Coal)'!$V$7,Model!X1,'Assumptions (Coal)'!$V$10,'Assumptions (Coal)'!$V$5*Model!$Y$18*AVERAGE('Assumptions (Coal)'!$R$2:$W$2)/10^9),0)</f>
        <v>-0.08179407603</v>
      </c>
      <c r="AA106" s="160">
        <f>IF($Y$18&gt;0,PPMT('Assumptions (Coal)'!$V$7,Model!Y1,'Assumptions (Coal)'!$V$10,'Assumptions (Coal)'!$V$5*Model!$Y$18*AVERAGE('Assumptions (Coal)'!$R$2:$W$2)/10^9),0)</f>
        <v>-0.08567929465</v>
      </c>
      <c r="AB106" s="160">
        <f>IF($Y$18&gt;0,PPMT('Assumptions (Coal)'!$V$7,Model!Z1,'Assumptions (Coal)'!$V$10,'Assumptions (Coal)'!$V$5*Model!$Y$18*AVERAGE('Assumptions (Coal)'!$R$2:$W$2)/10^9),0)</f>
        <v>-0.08974906114</v>
      </c>
      <c r="AC106" s="160">
        <f>IF($Y$18&gt;0,PPMT('Assumptions (Coal)'!$V$7,Model!AA1,'Assumptions (Coal)'!$V$10,'Assumptions (Coal)'!$V$5*Model!$Y$18*AVERAGE('Assumptions (Coal)'!$R$2:$W$2)/10^9),0)</f>
        <v>-0.09401214155</v>
      </c>
      <c r="AD106" s="160">
        <f>IF($Y$18&gt;0,PPMT('Assumptions (Coal)'!$V$7,Model!AB1,'Assumptions (Coal)'!$V$10,'Assumptions (Coal)'!$V$5*Model!$Y$18*AVERAGE('Assumptions (Coal)'!$R$2:$W$2)/10^9),0)</f>
        <v>-0.09847771827</v>
      </c>
      <c r="AE106" s="160">
        <f>IF($Y$18&gt;0,PPMT('Assumptions (Coal)'!$V$7,Model!AC1,'Assumptions (Coal)'!$V$10,'Assumptions (Coal)'!$V$5*Model!$Y$18*AVERAGE('Assumptions (Coal)'!$R$2:$W$2)/10^9),0)</f>
        <v>-0.1031554099</v>
      </c>
      <c r="AF106" s="160">
        <f>IF($Y$18&gt;0,PPMT('Assumptions (Coal)'!$V$7,Model!AD1,'Assumptions (Coal)'!$V$10,'Assumptions (Coal)'!$V$5*Model!$Y$18*AVERAGE('Assumptions (Coal)'!$R$2:$W$2)/10^9),0)</f>
        <v>-0.1080552919</v>
      </c>
      <c r="AG106" s="160">
        <f>IF($Y$18&gt;0,PPMT('Assumptions (Coal)'!$V$7,Model!AE1,'Assumptions (Coal)'!$V$10,'Assumptions (Coal)'!$V$5*Model!$Y$18*AVERAGE('Assumptions (Coal)'!$R$2:$W$2)/10^9),0)</f>
        <v>-0.1131879182</v>
      </c>
      <c r="AH106" s="160">
        <f>IF($Y$18&gt;0,PPMT('Assumptions (Coal)'!$V$7,Model!AF1,'Assumptions (Coal)'!$V$10,'Assumptions (Coal)'!$V$5*Model!$Y$18*AVERAGE('Assumptions (Coal)'!$R$2:$W$2)/10^9),0)</f>
        <v>-0.1185643443</v>
      </c>
      <c r="AI106" s="160">
        <f>IF($Y$18&gt;0,PPMT('Assumptions (Coal)'!$V$7,Model!AG1,'Assumptions (Coal)'!$V$10,'Assumptions (Coal)'!$V$5*Model!$Y$18*AVERAGE('Assumptions (Coal)'!$R$2:$W$2)/10^9),0)</f>
        <v>-0.1241961507</v>
      </c>
      <c r="AJ106" s="160">
        <f>IF($Y$18&gt;0,PPMT('Assumptions (Coal)'!$V$7,Model!AH1,'Assumptions (Coal)'!$V$10,'Assumptions (Coal)'!$V$5*Model!$Y$18*AVERAGE('Assumptions (Coal)'!$R$2:$W$2)/10^9),0)</f>
        <v>-0.1300954678</v>
      </c>
      <c r="AK106" s="160">
        <f>IF($Y$18&gt;0,PPMT('Assumptions (Coal)'!$V$7,Model!AI1,'Assumptions (Coal)'!$V$10,'Assumptions (Coal)'!$V$5*Model!$Y$18*AVERAGE('Assumptions (Coal)'!$R$2:$W$2)/10^9),0)</f>
        <v>-0.1362750026</v>
      </c>
      <c r="AL106" s="160">
        <f>IF($Y$18&gt;0,PPMT('Assumptions (Coal)'!$V$7,Model!AJ1,'Assumptions (Coal)'!$V$10,'Assumptions (Coal)'!$V$5*Model!$Y$18*AVERAGE('Assumptions (Coal)'!$R$2:$W$2)/10^9),0)</f>
        <v>-0.1427480652</v>
      </c>
      <c r="AM106" s="160">
        <f>IF($Y$18&gt;0,PPMT('Assumptions (Coal)'!$V$7,Model!AK1,'Assumptions (Coal)'!$V$10,'Assumptions (Coal)'!$V$5*Model!$Y$18*AVERAGE('Assumptions (Coal)'!$R$2:$W$2)/10^9),0)</f>
        <v>-0.1495285983</v>
      </c>
      <c r="AN106" s="160"/>
      <c r="AO106" s="160"/>
      <c r="AP106" s="160"/>
      <c r="AQ106" s="160"/>
      <c r="AR106" s="160"/>
      <c r="AS106" s="160"/>
      <c r="AT106" s="160"/>
      <c r="AU106" s="160"/>
      <c r="AV106" s="160"/>
      <c r="AW106" s="160"/>
      <c r="AX106" s="160"/>
      <c r="AY106" s="160"/>
      <c r="AZ106" s="160"/>
      <c r="BA106" s="160"/>
    </row>
    <row r="107" ht="15.75" hidden="1" customHeight="1" outlineLevel="1">
      <c r="A107" s="158"/>
      <c r="B107" s="38"/>
      <c r="C107" s="160"/>
      <c r="D107" s="160"/>
      <c r="E107" s="160"/>
      <c r="F107" s="160"/>
      <c r="G107" s="160"/>
      <c r="H107" s="160"/>
      <c r="I107" s="160"/>
      <c r="J107" s="160"/>
      <c r="K107" s="160"/>
      <c r="L107" s="160"/>
      <c r="M107" s="160"/>
      <c r="N107" s="160"/>
      <c r="O107" s="160"/>
      <c r="P107" s="160"/>
      <c r="Q107" s="160"/>
      <c r="R107" s="160"/>
      <c r="S107" s="160"/>
      <c r="T107" s="160"/>
      <c r="U107" s="160"/>
      <c r="V107" s="174"/>
      <c r="W107" s="160"/>
      <c r="X107" s="160"/>
      <c r="Y107" s="160"/>
      <c r="Z107" s="160">
        <f>IF($Z$18&gt;0,PPMT('Assumptions (Coal)'!$V$7,Model!W1,'Assumptions (Coal)'!$V$10,'Assumptions (Coal)'!$V$5*Model!$Z$18*AVERAGE('Assumptions (Coal)'!$S$2:$X$2)/10^9),0)</f>
        <v>-0.1297631547</v>
      </c>
      <c r="AA107" s="160">
        <f>IF($Z$18&gt;0,PPMT('Assumptions (Coal)'!$V$7,Model!X1,'Assumptions (Coal)'!$V$10,'Assumptions (Coal)'!$V$5*Model!$Z$18*AVERAGE('Assumptions (Coal)'!$S$2:$X$2)/10^9),0)</f>
        <v>-0.1359269046</v>
      </c>
      <c r="AB107" s="160">
        <f>IF($Z$18&gt;0,PPMT('Assumptions (Coal)'!$V$7,Model!Y1,'Assumptions (Coal)'!$V$10,'Assumptions (Coal)'!$V$5*Model!$Z$18*AVERAGE('Assumptions (Coal)'!$S$2:$X$2)/10^9),0)</f>
        <v>-0.1423834325</v>
      </c>
      <c r="AC107" s="160">
        <f>IF($Z$18&gt;0,PPMT('Assumptions (Coal)'!$V$7,Model!Z1,'Assumptions (Coal)'!$V$10,'Assumptions (Coal)'!$V$5*Model!$Z$18*AVERAGE('Assumptions (Coal)'!$S$2:$X$2)/10^9),0)</f>
        <v>-0.1491466456</v>
      </c>
      <c r="AD107" s="160">
        <f>IF($Z$18&gt;0,PPMT('Assumptions (Coal)'!$V$7,Model!AA1,'Assumptions (Coal)'!$V$10,'Assumptions (Coal)'!$V$5*Model!$Z$18*AVERAGE('Assumptions (Coal)'!$S$2:$X$2)/10^9),0)</f>
        <v>-0.1562311112</v>
      </c>
      <c r="AE107" s="160">
        <f>IF($Z$18&gt;0,PPMT('Assumptions (Coal)'!$V$7,Model!AB1,'Assumptions (Coal)'!$V$10,'Assumptions (Coal)'!$V$5*Model!$Z$18*AVERAGE('Assumptions (Coal)'!$S$2:$X$2)/10^9),0)</f>
        <v>-0.163652089</v>
      </c>
      <c r="AF107" s="160">
        <f>IF($Z$18&gt;0,PPMT('Assumptions (Coal)'!$V$7,Model!AC1,'Assumptions (Coal)'!$V$10,'Assumptions (Coal)'!$V$5*Model!$Z$18*AVERAGE('Assumptions (Coal)'!$S$2:$X$2)/10^9),0)</f>
        <v>-0.1714255632</v>
      </c>
      <c r="AG107" s="160">
        <f>IF($Z$18&gt;0,PPMT('Assumptions (Coal)'!$V$7,Model!AD1,'Assumptions (Coal)'!$V$10,'Assumptions (Coal)'!$V$5*Model!$Z$18*AVERAGE('Assumptions (Coal)'!$S$2:$X$2)/10^9),0)</f>
        <v>-0.1795682775</v>
      </c>
      <c r="AH107" s="160">
        <f>IF($Z$18&gt;0,PPMT('Assumptions (Coal)'!$V$7,Model!AE1,'Assumptions (Coal)'!$V$10,'Assumptions (Coal)'!$V$5*Model!$Z$18*AVERAGE('Assumptions (Coal)'!$S$2:$X$2)/10^9),0)</f>
        <v>-0.1880977707</v>
      </c>
      <c r="AI107" s="160">
        <f>IF($Z$18&gt;0,PPMT('Assumptions (Coal)'!$V$7,Model!AF1,'Assumptions (Coal)'!$V$10,'Assumptions (Coal)'!$V$5*Model!$Z$18*AVERAGE('Assumptions (Coal)'!$S$2:$X$2)/10^9),0)</f>
        <v>-0.1970324148</v>
      </c>
      <c r="AJ107" s="160">
        <f>IF($Z$18&gt;0,PPMT('Assumptions (Coal)'!$V$7,Model!AG1,'Assumptions (Coal)'!$V$10,'Assumptions (Coal)'!$V$5*Model!$Z$18*AVERAGE('Assumptions (Coal)'!$S$2:$X$2)/10^9),0)</f>
        <v>-0.2063914545</v>
      </c>
      <c r="AK107" s="160">
        <f>IF($Z$18&gt;0,PPMT('Assumptions (Coal)'!$V$7,Model!AH1,'Assumptions (Coal)'!$V$10,'Assumptions (Coal)'!$V$5*Model!$Z$18*AVERAGE('Assumptions (Coal)'!$S$2:$X$2)/10^9),0)</f>
        <v>-0.2161950486</v>
      </c>
      <c r="AL107" s="160">
        <f>IF($Z$18&gt;0,PPMT('Assumptions (Coal)'!$V$7,Model!AI1,'Assumptions (Coal)'!$V$10,'Assumptions (Coal)'!$V$5*Model!$Z$18*AVERAGE('Assumptions (Coal)'!$S$2:$X$2)/10^9),0)</f>
        <v>-0.2264643134</v>
      </c>
      <c r="AM107" s="160">
        <f>IF($Z$18&gt;0,PPMT('Assumptions (Coal)'!$V$7,Model!AJ1,'Assumptions (Coal)'!$V$10,'Assumptions (Coal)'!$V$5*Model!$Z$18*AVERAGE('Assumptions (Coal)'!$S$2:$X$2)/10^9),0)</f>
        <v>-0.2372213683</v>
      </c>
      <c r="AN107" s="160">
        <f>IF($Z$18&gt;0,PPMT('Assumptions (Coal)'!$V$7,Model!AK1,'Assumptions (Coal)'!$V$10,'Assumptions (Coal)'!$V$5*Model!$Z$18*AVERAGE('Assumptions (Coal)'!$S$2:$X$2)/10^9),0)</f>
        <v>-0.2484893833</v>
      </c>
      <c r="AO107" s="160"/>
      <c r="AP107" s="160"/>
      <c r="AQ107" s="160"/>
      <c r="AR107" s="160"/>
      <c r="AS107" s="160"/>
      <c r="AT107" s="160"/>
      <c r="AU107" s="160"/>
      <c r="AV107" s="160"/>
      <c r="AW107" s="160"/>
      <c r="AX107" s="160"/>
      <c r="AY107" s="160"/>
      <c r="AZ107" s="160"/>
      <c r="BA107" s="160"/>
    </row>
    <row r="108" ht="15.75" hidden="1" customHeight="1" outlineLevel="1">
      <c r="A108" s="158"/>
      <c r="B108" s="38"/>
      <c r="C108" s="160"/>
      <c r="D108" s="160"/>
      <c r="E108" s="160"/>
      <c r="F108" s="160"/>
      <c r="G108" s="160"/>
      <c r="H108" s="160"/>
      <c r="I108" s="160"/>
      <c r="J108" s="160"/>
      <c r="K108" s="160"/>
      <c r="L108" s="160"/>
      <c r="M108" s="160"/>
      <c r="N108" s="160"/>
      <c r="O108" s="160"/>
      <c r="P108" s="160"/>
      <c r="Q108" s="160"/>
      <c r="R108" s="160"/>
      <c r="S108" s="160"/>
      <c r="T108" s="160"/>
      <c r="U108" s="160"/>
      <c r="V108" s="174"/>
      <c r="W108" s="160"/>
      <c r="X108" s="160"/>
      <c r="Y108" s="160"/>
      <c r="Z108" s="160"/>
      <c r="AA108" s="160">
        <f>IF($AA$18&gt;0,PPMT('Assumptions (Coal)'!$V$7,Model!W1,'Assumptions (Coal)'!$V$10,'Assumptions (Coal)'!$V$5*Model!$AA$18*AVERAGE('Assumptions (Coal)'!$T$2:$Y$2)/10^9),0)</f>
        <v>-0.139322073</v>
      </c>
      <c r="AB108" s="160">
        <f>IF($AA$18&gt;0,PPMT('Assumptions (Coal)'!$V$7,Model!X1,'Assumptions (Coal)'!$V$10,'Assumptions (Coal)'!$V$5*Model!$AA$18*AVERAGE('Assumptions (Coal)'!$T$2:$Y$2)/10^9),0)</f>
        <v>-0.1459398715</v>
      </c>
      <c r="AC108" s="160">
        <f>IF($AA$18&gt;0,PPMT('Assumptions (Coal)'!$V$7,Model!Y1,'Assumptions (Coal)'!$V$10,'Assumptions (Coal)'!$V$5*Model!$AA$18*AVERAGE('Assumptions (Coal)'!$T$2:$Y$2)/10^9),0)</f>
        <v>-0.1528720154</v>
      </c>
      <c r="AD108" s="160">
        <f>IF($AA$18&gt;0,PPMT('Assumptions (Coal)'!$V$7,Model!Z1,'Assumptions (Coal)'!$V$10,'Assumptions (Coal)'!$V$5*Model!$AA$18*AVERAGE('Assumptions (Coal)'!$T$2:$Y$2)/10^9),0)</f>
        <v>-0.1601334361</v>
      </c>
      <c r="AE108" s="160">
        <f>IF($AA$18&gt;0,PPMT('Assumptions (Coal)'!$V$7,Model!AA1,'Assumptions (Coal)'!$V$10,'Assumptions (Coal)'!$V$5*Model!$AA$18*AVERAGE('Assumptions (Coal)'!$T$2:$Y$2)/10^9),0)</f>
        <v>-0.1677397743</v>
      </c>
      <c r="AF108" s="160">
        <f>IF($AA$18&gt;0,PPMT('Assumptions (Coal)'!$V$7,Model!AB1,'Assumptions (Coal)'!$V$10,'Assumptions (Coal)'!$V$5*Model!$AA$18*AVERAGE('Assumptions (Coal)'!$T$2:$Y$2)/10^9),0)</f>
        <v>-0.1757074136</v>
      </c>
      <c r="AG108" s="160">
        <f>IF($AA$18&gt;0,PPMT('Assumptions (Coal)'!$V$7,Model!AC1,'Assumptions (Coal)'!$V$10,'Assumptions (Coal)'!$V$5*Model!$AA$18*AVERAGE('Assumptions (Coal)'!$T$2:$Y$2)/10^9),0)</f>
        <v>-0.1840535158</v>
      </c>
      <c r="AH108" s="160">
        <f>IF($AA$18&gt;0,PPMT('Assumptions (Coal)'!$V$7,Model!AD1,'Assumptions (Coal)'!$V$10,'Assumptions (Coal)'!$V$5*Model!$AA$18*AVERAGE('Assumptions (Coal)'!$T$2:$Y$2)/10^9),0)</f>
        <v>-0.1927960578</v>
      </c>
      <c r="AI108" s="160">
        <f>IF($AA$18&gt;0,PPMT('Assumptions (Coal)'!$V$7,Model!AE1,'Assumptions (Coal)'!$V$10,'Assumptions (Coal)'!$V$5*Model!$AA$18*AVERAGE('Assumptions (Coal)'!$T$2:$Y$2)/10^9),0)</f>
        <v>-0.2019538705</v>
      </c>
      <c r="AJ108" s="160">
        <f>IF($AA$18&gt;0,PPMT('Assumptions (Coal)'!$V$7,Model!AF1,'Assumptions (Coal)'!$V$10,'Assumptions (Coal)'!$V$5*Model!$AA$18*AVERAGE('Assumptions (Coal)'!$T$2:$Y$2)/10^9),0)</f>
        <v>-0.2115466793</v>
      </c>
      <c r="AK108" s="160">
        <f>IF($AA$18&gt;0,PPMT('Assumptions (Coal)'!$V$7,Model!AG1,'Assumptions (Coal)'!$V$10,'Assumptions (Coal)'!$V$5*Model!$AA$18*AVERAGE('Assumptions (Coal)'!$T$2:$Y$2)/10^9),0)</f>
        <v>-0.2215951466</v>
      </c>
      <c r="AL108" s="160">
        <f>IF($AA$18&gt;0,PPMT('Assumptions (Coal)'!$V$7,Model!AH1,'Assumptions (Coal)'!$V$10,'Assumptions (Coal)'!$V$5*Model!$AA$18*AVERAGE('Assumptions (Coal)'!$T$2:$Y$2)/10^9),0)</f>
        <v>-0.2321209161</v>
      </c>
      <c r="AM108" s="160">
        <f>IF($AA$18&gt;0,PPMT('Assumptions (Coal)'!$V$7,Model!AI1,'Assumptions (Coal)'!$V$10,'Assumptions (Coal)'!$V$5*Model!$AA$18*AVERAGE('Assumptions (Coal)'!$T$2:$Y$2)/10^9),0)</f>
        <v>-0.2431466596</v>
      </c>
      <c r="AN108" s="160">
        <f>IF($AA$18&gt;0,PPMT('Assumptions (Coal)'!$V$7,Model!AJ1,'Assumptions (Coal)'!$V$10,'Assumptions (Coal)'!$V$5*Model!$AA$18*AVERAGE('Assumptions (Coal)'!$T$2:$Y$2)/10^9),0)</f>
        <v>-0.2546961259</v>
      </c>
      <c r="AO108" s="160">
        <f>IF($AA$18&gt;0,PPMT('Assumptions (Coal)'!$V$7,Model!AK1,'Assumptions (Coal)'!$V$10,'Assumptions (Coal)'!$V$5*Model!$AA$18*AVERAGE('Assumptions (Coal)'!$T$2:$Y$2)/10^9),0)</f>
        <v>-0.2667941919</v>
      </c>
      <c r="AP108" s="160"/>
      <c r="AQ108" s="160"/>
      <c r="AR108" s="160"/>
      <c r="AS108" s="160"/>
      <c r="AT108" s="160"/>
      <c r="AU108" s="160"/>
      <c r="AV108" s="160"/>
      <c r="AW108" s="160"/>
      <c r="AX108" s="160"/>
      <c r="AY108" s="160"/>
      <c r="AZ108" s="160"/>
      <c r="BA108" s="160"/>
    </row>
    <row r="109" ht="15.75" hidden="1" customHeight="1" outlineLevel="1">
      <c r="A109" s="158"/>
      <c r="B109" s="38"/>
      <c r="C109" s="160"/>
      <c r="D109" s="160"/>
      <c r="E109" s="160"/>
      <c r="F109" s="160"/>
      <c r="G109" s="160"/>
      <c r="H109" s="160"/>
      <c r="I109" s="160"/>
      <c r="J109" s="160"/>
      <c r="K109" s="160"/>
      <c r="L109" s="160"/>
      <c r="M109" s="160"/>
      <c r="N109" s="160"/>
      <c r="O109" s="160"/>
      <c r="P109" s="160"/>
      <c r="Q109" s="160"/>
      <c r="R109" s="160"/>
      <c r="S109" s="160"/>
      <c r="T109" s="160"/>
      <c r="U109" s="160"/>
      <c r="V109" s="174"/>
      <c r="W109" s="160"/>
      <c r="X109" s="160"/>
      <c r="Y109" s="160"/>
      <c r="Z109" s="160"/>
      <c r="AA109" s="160"/>
      <c r="AB109" s="160">
        <f>IF($AB$18&gt;0,PPMT('Assumptions (Coal)'!$V$7,Model!W1,'Assumptions (Coal)'!$V$10,'Assumptions (Coal)'!$V$5*Model!$AB$18*AVERAGE('Assumptions (Coal)'!$U$2:$Z$2)/10^9),0)</f>
        <v>-0.3302357899</v>
      </c>
      <c r="AC109" s="160">
        <f>IF($AB$18&gt;0,PPMT('Assumptions (Coal)'!$V$7,Model!X1,'Assumptions (Coal)'!$V$10,'Assumptions (Coal)'!$V$5*Model!$AB$18*AVERAGE('Assumptions (Coal)'!$U$2:$Z$2)/10^9),0)</f>
        <v>-0.3459219899</v>
      </c>
      <c r="AD109" s="160">
        <f>IF($AB$18&gt;0,PPMT('Assumptions (Coal)'!$V$7,Model!Y1,'Assumptions (Coal)'!$V$10,'Assumptions (Coal)'!$V$5*Model!$AB$18*AVERAGE('Assumptions (Coal)'!$U$2:$Z$2)/10^9),0)</f>
        <v>-0.3623532844</v>
      </c>
      <c r="AE109" s="160">
        <f>IF($AB$18&gt;0,PPMT('Assumptions (Coal)'!$V$7,Model!Z1,'Assumptions (Coal)'!$V$10,'Assumptions (Coal)'!$V$5*Model!$AB$18*AVERAGE('Assumptions (Coal)'!$U$2:$Z$2)/10^9),0)</f>
        <v>-0.3795650654</v>
      </c>
      <c r="AF109" s="160">
        <f>IF($AB$18&gt;0,PPMT('Assumptions (Coal)'!$V$7,Model!AA1,'Assumptions (Coal)'!$V$10,'Assumptions (Coal)'!$V$5*Model!$AB$18*AVERAGE('Assumptions (Coal)'!$U$2:$Z$2)/10^9),0)</f>
        <v>-0.397594406</v>
      </c>
      <c r="AG109" s="160">
        <f>IF($AB$18&gt;0,PPMT('Assumptions (Coal)'!$V$7,Model!AB1,'Assumptions (Coal)'!$V$10,'Assumptions (Coal)'!$V$5*Model!$AB$18*AVERAGE('Assumptions (Coal)'!$U$2:$Z$2)/10^9),0)</f>
        <v>-0.4164801403</v>
      </c>
      <c r="AH109" s="160">
        <f>IF($AB$18&gt;0,PPMT('Assumptions (Coal)'!$V$7,Model!AC1,'Assumptions (Coal)'!$V$10,'Assumptions (Coal)'!$V$5*Model!$AB$18*AVERAGE('Assumptions (Coal)'!$U$2:$Z$2)/10^9),0)</f>
        <v>-0.436262947</v>
      </c>
      <c r="AI109" s="160">
        <f>IF($AB$18&gt;0,PPMT('Assumptions (Coal)'!$V$7,Model!AD1,'Assumptions (Coal)'!$V$10,'Assumptions (Coal)'!$V$5*Model!$AB$18*AVERAGE('Assumptions (Coal)'!$U$2:$Z$2)/10^9),0)</f>
        <v>-0.456985437</v>
      </c>
      <c r="AJ109" s="160">
        <f>IF($AB$18&gt;0,PPMT('Assumptions (Coal)'!$V$7,Model!AE1,'Assumptions (Coal)'!$V$10,'Assumptions (Coal)'!$V$5*Model!$AB$18*AVERAGE('Assumptions (Coal)'!$U$2:$Z$2)/10^9),0)</f>
        <v>-0.4786922452</v>
      </c>
      <c r="AK109" s="160">
        <f>IF($AB$18&gt;0,PPMT('Assumptions (Coal)'!$V$7,Model!AF1,'Assumptions (Coal)'!$V$10,'Assumptions (Coal)'!$V$5*Model!$AB$18*AVERAGE('Assumptions (Coal)'!$U$2:$Z$2)/10^9),0)</f>
        <v>-0.5014301269</v>
      </c>
      <c r="AL109" s="160">
        <f>IF($AB$18&gt;0,PPMT('Assumptions (Coal)'!$V$7,Model!AG1,'Assumptions (Coal)'!$V$10,'Assumptions (Coal)'!$V$5*Model!$AB$18*AVERAGE('Assumptions (Coal)'!$U$2:$Z$2)/10^9),0)</f>
        <v>-0.5252480579</v>
      </c>
      <c r="AM109" s="160">
        <f>IF($AB$18&gt;0,PPMT('Assumptions (Coal)'!$V$7,Model!AH1,'Assumptions (Coal)'!$V$10,'Assumptions (Coal)'!$V$5*Model!$AB$18*AVERAGE('Assumptions (Coal)'!$U$2:$Z$2)/10^9),0)</f>
        <v>-0.5501973406</v>
      </c>
      <c r="AN109" s="160">
        <f>IF($AB$18&gt;0,PPMT('Assumptions (Coal)'!$V$7,Model!AI1,'Assumptions (Coal)'!$V$10,'Assumptions (Coal)'!$V$5*Model!$AB$18*AVERAGE('Assumptions (Coal)'!$U$2:$Z$2)/10^9),0)</f>
        <v>-0.5763317143</v>
      </c>
      <c r="AO109" s="160">
        <f>IF($AB$18&gt;0,PPMT('Assumptions (Coal)'!$V$7,Model!AJ1,'Assumptions (Coal)'!$V$10,'Assumptions (Coal)'!$V$5*Model!$AB$18*AVERAGE('Assumptions (Coal)'!$U$2:$Z$2)/10^9),0)</f>
        <v>-0.6037074708</v>
      </c>
      <c r="AP109" s="160">
        <f>IF($AB$18&gt;0,PPMT('Assumptions (Coal)'!$V$7,Model!AK1,'Assumptions (Coal)'!$V$10,'Assumptions (Coal)'!$V$5*Model!$AB$18*AVERAGE('Assumptions (Coal)'!$U$2:$Z$2)/10^9),0)</f>
        <v>-0.6323835756</v>
      </c>
      <c r="AQ109" s="160"/>
      <c r="AR109" s="160"/>
      <c r="AS109" s="160"/>
      <c r="AT109" s="160"/>
      <c r="AU109" s="160"/>
      <c r="AV109" s="160"/>
      <c r="AW109" s="160"/>
      <c r="AX109" s="160"/>
      <c r="AY109" s="160"/>
      <c r="AZ109" s="160"/>
      <c r="BA109" s="160"/>
    </row>
    <row r="110" ht="15.75" hidden="1" customHeight="1" outlineLevel="1">
      <c r="A110" s="158"/>
      <c r="B110" s="38"/>
      <c r="C110" s="160"/>
      <c r="D110" s="160"/>
      <c r="E110" s="160"/>
      <c r="F110" s="160"/>
      <c r="G110" s="160"/>
      <c r="H110" s="160"/>
      <c r="I110" s="160"/>
      <c r="J110" s="160"/>
      <c r="K110" s="160"/>
      <c r="L110" s="160"/>
      <c r="M110" s="160"/>
      <c r="N110" s="160"/>
      <c r="O110" s="160"/>
      <c r="P110" s="160"/>
      <c r="Q110" s="160"/>
      <c r="R110" s="160"/>
      <c r="S110" s="160"/>
      <c r="T110" s="160"/>
      <c r="U110" s="160"/>
      <c r="V110" s="174"/>
      <c r="W110" s="160"/>
      <c r="X110" s="160"/>
      <c r="Y110" s="160"/>
      <c r="Z110" s="160"/>
      <c r="AA110" s="160"/>
      <c r="AB110" s="160"/>
      <c r="AC110" s="160">
        <f>IF($AC$18&gt;0,PPMT('Assumptions (Coal)'!$V$7,Model!W1,'Assumptions (Coal)'!$V$10,'Assumptions (Coal)'!$V$5*Model!$AC$18*AVERAGE('Assumptions (Coal)'!$V$2:$AA$2)/10^9),0)</f>
        <v>-0.2553504245</v>
      </c>
      <c r="AD110" s="160">
        <f>IF($AC$18&gt;0,PPMT('Assumptions (Coal)'!$V$7,Model!X1,'Assumptions (Coal)'!$V$10,'Assumptions (Coal)'!$V$5*Model!$AC$18*AVERAGE('Assumptions (Coal)'!$V$2:$AA$2)/10^9),0)</f>
        <v>-0.2674795696</v>
      </c>
      <c r="AE110" s="160">
        <f>IF($AC$18&gt;0,PPMT('Assumptions (Coal)'!$V$7,Model!Y1,'Assumptions (Coal)'!$V$10,'Assumptions (Coal)'!$V$5*Model!$AC$18*AVERAGE('Assumptions (Coal)'!$V$2:$AA$2)/10^9),0)</f>
        <v>-0.2801848492</v>
      </c>
      <c r="AF110" s="160">
        <f>IF($AC$18&gt;0,PPMT('Assumptions (Coal)'!$V$7,Model!Z1,'Assumptions (Coal)'!$V$10,'Assumptions (Coal)'!$V$5*Model!$AC$18*AVERAGE('Assumptions (Coal)'!$V$2:$AA$2)/10^9),0)</f>
        <v>-0.2934936295</v>
      </c>
      <c r="AG110" s="160">
        <f>IF($AC$18&gt;0,PPMT('Assumptions (Coal)'!$V$7,Model!AA1,'Assumptions (Coal)'!$V$10,'Assumptions (Coal)'!$V$5*Model!$AC$18*AVERAGE('Assumptions (Coal)'!$V$2:$AA$2)/10^9),0)</f>
        <v>-0.3074345769</v>
      </c>
      <c r="AH110" s="160">
        <f>IF($AC$18&gt;0,PPMT('Assumptions (Coal)'!$V$7,Model!AB1,'Assumptions (Coal)'!$V$10,'Assumptions (Coal)'!$V$5*Model!$AC$18*AVERAGE('Assumptions (Coal)'!$V$2:$AA$2)/10^9),0)</f>
        <v>-0.3220377193</v>
      </c>
      <c r="AI110" s="160">
        <f>IF($AC$18&gt;0,PPMT('Assumptions (Coal)'!$V$7,Model!AC1,'Assumptions (Coal)'!$V$10,'Assumptions (Coal)'!$V$5*Model!$AC$18*AVERAGE('Assumptions (Coal)'!$V$2:$AA$2)/10^9),0)</f>
        <v>-0.337334511</v>
      </c>
      <c r="AJ110" s="160">
        <f>IF($AC$18&gt;0,PPMT('Assumptions (Coal)'!$V$7,Model!AD1,'Assumptions (Coal)'!$V$10,'Assumptions (Coal)'!$V$5*Model!$AC$18*AVERAGE('Assumptions (Coal)'!$V$2:$AA$2)/10^9),0)</f>
        <v>-0.3533579003</v>
      </c>
      <c r="AK110" s="160">
        <f>IF($AC$18&gt;0,PPMT('Assumptions (Coal)'!$V$7,Model!AE1,'Assumptions (Coal)'!$V$10,'Assumptions (Coal)'!$V$5*Model!$AC$18*AVERAGE('Assumptions (Coal)'!$V$2:$AA$2)/10^9),0)</f>
        <v>-0.3701424005</v>
      </c>
      <c r="AL110" s="160">
        <f>IF($AC$18&gt;0,PPMT('Assumptions (Coal)'!$V$7,Model!AF1,'Assumptions (Coal)'!$V$10,'Assumptions (Coal)'!$V$5*Model!$AC$18*AVERAGE('Assumptions (Coal)'!$V$2:$AA$2)/10^9),0)</f>
        <v>-0.3877241645</v>
      </c>
      <c r="AM110" s="160">
        <f>IF($AC$18&gt;0,PPMT('Assumptions (Coal)'!$V$7,Model!AG1,'Assumptions (Coal)'!$V$10,'Assumptions (Coal)'!$V$5*Model!$AC$18*AVERAGE('Assumptions (Coal)'!$V$2:$AA$2)/10^9),0)</f>
        <v>-0.4061410624</v>
      </c>
      <c r="AN110" s="160">
        <f>IF($AC$18&gt;0,PPMT('Assumptions (Coal)'!$V$7,Model!AH1,'Assumptions (Coal)'!$V$10,'Assumptions (Coal)'!$V$5*Model!$AC$18*AVERAGE('Assumptions (Coal)'!$V$2:$AA$2)/10^9),0)</f>
        <v>-0.4254327628</v>
      </c>
      <c r="AO110" s="160">
        <f>IF($AC$18&gt;0,PPMT('Assumptions (Coal)'!$V$7,Model!AI1,'Assumptions (Coal)'!$V$10,'Assumptions (Coal)'!$V$5*Model!$AC$18*AVERAGE('Assumptions (Coal)'!$V$2:$AA$2)/10^9),0)</f>
        <v>-0.4456408191</v>
      </c>
      <c r="AP110" s="160">
        <f>IF($AC$18&gt;0,PPMT('Assumptions (Coal)'!$V$7,Model!AJ1,'Assumptions (Coal)'!$V$10,'Assumptions (Coal)'!$V$5*Model!$AC$18*AVERAGE('Assumptions (Coal)'!$V$2:$AA$2)/10^9),0)</f>
        <v>-0.466808758</v>
      </c>
      <c r="AQ110" s="160">
        <f>IF($AC$18&gt;0,PPMT('Assumptions (Coal)'!$V$7,Model!AK1,'Assumptions (Coal)'!$V$10,'Assumptions (Coal)'!$V$5*Model!$AC$18*AVERAGE('Assumptions (Coal)'!$V$2:$AA$2)/10^9),0)</f>
        <v>-0.488982174</v>
      </c>
      <c r="AR110" s="160"/>
      <c r="AS110" s="160"/>
      <c r="AT110" s="160"/>
      <c r="AU110" s="160"/>
      <c r="AV110" s="160"/>
      <c r="AW110" s="160"/>
      <c r="AX110" s="160"/>
      <c r="AY110" s="160"/>
      <c r="AZ110" s="160"/>
      <c r="BA110" s="160"/>
    </row>
    <row r="111" ht="15.75" hidden="1" customHeight="1" outlineLevel="1">
      <c r="A111" s="158"/>
      <c r="B111" s="38"/>
      <c r="C111" s="160"/>
      <c r="D111" s="160"/>
      <c r="E111" s="160"/>
      <c r="F111" s="160"/>
      <c r="G111" s="160"/>
      <c r="H111" s="160"/>
      <c r="I111" s="160"/>
      <c r="J111" s="160"/>
      <c r="K111" s="160"/>
      <c r="L111" s="160"/>
      <c r="M111" s="160"/>
      <c r="N111" s="160"/>
      <c r="O111" s="160"/>
      <c r="P111" s="160"/>
      <c r="Q111" s="160"/>
      <c r="R111" s="160"/>
      <c r="S111" s="160"/>
      <c r="T111" s="160"/>
      <c r="U111" s="160"/>
      <c r="V111" s="174"/>
      <c r="W111" s="160"/>
      <c r="X111" s="160"/>
      <c r="Y111" s="160"/>
      <c r="Z111" s="160"/>
      <c r="AA111" s="160"/>
      <c r="AB111" s="160"/>
      <c r="AC111" s="160"/>
      <c r="AD111" s="160">
        <f>IF($AD$18&gt;0,PPMT('Assumptions (Coal)'!$V$7,Model!W1,'Assumptions (Coal)'!$V$10,'Assumptions (Coal)'!$V$5*Model!$AD$18*AVERAGE('Assumptions (Coal)'!$W$2:$AB$2)/10^9),0)</f>
        <v>-0.1898061475</v>
      </c>
      <c r="AE111" s="160">
        <f>IF($AD$18&gt;0,PPMT('Assumptions (Coal)'!$V$7,Model!X1,'Assumptions (Coal)'!$V$10,'Assumptions (Coal)'!$V$5*Model!$AD$18*AVERAGE('Assumptions (Coal)'!$W$2:$AB$2)/10^9),0)</f>
        <v>-0.1988219395</v>
      </c>
      <c r="AF111" s="160">
        <f>IF($AD$18&gt;0,PPMT('Assumptions (Coal)'!$V$7,Model!Y1,'Assumptions (Coal)'!$V$10,'Assumptions (Coal)'!$V$5*Model!$AD$18*AVERAGE('Assumptions (Coal)'!$W$2:$AB$2)/10^9),0)</f>
        <v>-0.2082659816</v>
      </c>
      <c r="AG111" s="160">
        <f>IF($AD$18&gt;0,PPMT('Assumptions (Coal)'!$V$7,Model!Z1,'Assumptions (Coal)'!$V$10,'Assumptions (Coal)'!$V$5*Model!$AD$18*AVERAGE('Assumptions (Coal)'!$W$2:$AB$2)/10^9),0)</f>
        <v>-0.2181586157</v>
      </c>
      <c r="AH111" s="160">
        <f>IF($AD$18&gt;0,PPMT('Assumptions (Coal)'!$V$7,Model!AA1,'Assumptions (Coal)'!$V$10,'Assumptions (Coal)'!$V$5*Model!$AD$18*AVERAGE('Assumptions (Coal)'!$W$2:$AB$2)/10^9),0)</f>
        <v>-0.22852115</v>
      </c>
      <c r="AI111" s="160">
        <f>IF($AD$18&gt;0,PPMT('Assumptions (Coal)'!$V$7,Model!AB1,'Assumptions (Coal)'!$V$10,'Assumptions (Coal)'!$V$5*Model!$AD$18*AVERAGE('Assumptions (Coal)'!$W$2:$AB$2)/10^9),0)</f>
        <v>-0.2393759046</v>
      </c>
      <c r="AJ111" s="160">
        <f>IF($AD$18&gt;0,PPMT('Assumptions (Coal)'!$V$7,Model!AC1,'Assumptions (Coal)'!$V$10,'Assumptions (Coal)'!$V$5*Model!$AD$18*AVERAGE('Assumptions (Coal)'!$W$2:$AB$2)/10^9),0)</f>
        <v>-0.2507462601</v>
      </c>
      <c r="AK111" s="160">
        <f>IF($AD$18&gt;0,PPMT('Assumptions (Coal)'!$V$7,Model!AD1,'Assumptions (Coal)'!$V$10,'Assumptions (Coal)'!$V$5*Model!$AD$18*AVERAGE('Assumptions (Coal)'!$W$2:$AB$2)/10^9),0)</f>
        <v>-0.2626567074</v>
      </c>
      <c r="AL111" s="160">
        <f>IF($AD$18&gt;0,PPMT('Assumptions (Coal)'!$V$7,Model!AE1,'Assumptions (Coal)'!$V$10,'Assumptions (Coal)'!$V$5*Model!$AD$18*AVERAGE('Assumptions (Coal)'!$W$2:$AB$2)/10^9),0)</f>
        <v>-0.275132901</v>
      </c>
      <c r="AM111" s="160">
        <f>IF($AD$18&gt;0,PPMT('Assumptions (Coal)'!$V$7,Model!AF1,'Assumptions (Coal)'!$V$10,'Assumptions (Coal)'!$V$5*Model!$AD$18*AVERAGE('Assumptions (Coal)'!$W$2:$AB$2)/10^9),0)</f>
        <v>-0.2882017138</v>
      </c>
      <c r="AN111" s="160">
        <f>IF($AD$18&gt;0,PPMT('Assumptions (Coal)'!$V$7,Model!AG1,'Assumptions (Coal)'!$V$10,'Assumptions (Coal)'!$V$5*Model!$AD$18*AVERAGE('Assumptions (Coal)'!$W$2:$AB$2)/10^9),0)</f>
        <v>-0.3018912952</v>
      </c>
      <c r="AO111" s="160">
        <f>IF($AD$18&gt;0,PPMT('Assumptions (Coal)'!$V$7,Model!AH1,'Assumptions (Coal)'!$V$10,'Assumptions (Coal)'!$V$5*Model!$AD$18*AVERAGE('Assumptions (Coal)'!$W$2:$AB$2)/10^9),0)</f>
        <v>-0.3162311318</v>
      </c>
      <c r="AP111" s="160">
        <f>IF($AD$18&gt;0,PPMT('Assumptions (Coal)'!$V$7,Model!AI1,'Assumptions (Coal)'!$V$10,'Assumptions (Coal)'!$V$5*Model!$AD$18*AVERAGE('Assumptions (Coal)'!$W$2:$AB$2)/10^9),0)</f>
        <v>-0.3312521105</v>
      </c>
      <c r="AQ111" s="160">
        <f>IF($AD$18&gt;0,PPMT('Assumptions (Coal)'!$V$7,Model!AJ1,'Assumptions (Coal)'!$V$10,'Assumptions (Coal)'!$V$5*Model!$AD$18*AVERAGE('Assumptions (Coal)'!$W$2:$AB$2)/10^9),0)</f>
        <v>-0.3469865858</v>
      </c>
      <c r="AR111" s="160">
        <f>IF($AD$18&gt;0,PPMT('Assumptions (Coal)'!$V$7,Model!AK1,'Assumptions (Coal)'!$V$10,'Assumptions (Coal)'!$V$5*Model!$AD$18*AVERAGE('Assumptions (Coal)'!$W$2:$AB$2)/10^9),0)</f>
        <v>-0.3634684486</v>
      </c>
      <c r="AS111" s="160"/>
      <c r="AT111" s="160"/>
      <c r="AU111" s="160"/>
      <c r="AV111" s="160"/>
      <c r="AW111" s="160"/>
      <c r="AX111" s="160"/>
      <c r="AY111" s="160"/>
      <c r="AZ111" s="160"/>
      <c r="BA111" s="160"/>
      <c r="BB111" s="160"/>
    </row>
    <row r="112" ht="15.75" hidden="1" customHeight="1" outlineLevel="1">
      <c r="A112" s="158"/>
      <c r="B112" s="38"/>
      <c r="C112" s="160"/>
      <c r="D112" s="160"/>
      <c r="E112" s="160"/>
      <c r="F112" s="160"/>
      <c r="G112" s="160"/>
      <c r="H112" s="160"/>
      <c r="I112" s="160"/>
      <c r="J112" s="160"/>
      <c r="K112" s="160"/>
      <c r="L112" s="160"/>
      <c r="M112" s="160"/>
      <c r="N112" s="160"/>
      <c r="O112" s="160"/>
      <c r="P112" s="160"/>
      <c r="Q112" s="160"/>
      <c r="R112" s="160"/>
      <c r="S112" s="160"/>
      <c r="T112" s="160"/>
      <c r="U112" s="160"/>
      <c r="V112" s="174"/>
      <c r="W112" s="160"/>
      <c r="X112" s="160"/>
      <c r="Y112" s="160"/>
      <c r="Z112" s="160"/>
      <c r="AA112" s="160"/>
      <c r="AB112" s="160"/>
      <c r="AC112" s="160"/>
      <c r="AD112" s="160"/>
      <c r="AE112" s="160">
        <f>IF($AE$18&gt;0,PPMT('Assumptions (Coal)'!$V$7,Model!W1,'Assumptions (Coal)'!$V$10,'Assumptions (Coal)'!$V$5*Model!$AE$18*AVERAGE('Assumptions (Coal)'!$X$2:$AC$2)/10^9),0)</f>
        <v>-0.02006371504</v>
      </c>
      <c r="AF112" s="160">
        <f>IF($AE$18&gt;0,PPMT('Assumptions (Coal)'!$V$7,Model!X1,'Assumptions (Coal)'!$V$10,'Assumptions (Coal)'!$V$5*Model!$AE$18*AVERAGE('Assumptions (Coal)'!$X$2:$AC$2)/10^9),0)</f>
        <v>-0.02101674151</v>
      </c>
      <c r="AG112" s="160">
        <f>IF($AE$18&gt;0,PPMT('Assumptions (Coal)'!$V$7,Model!Y1,'Assumptions (Coal)'!$V$10,'Assumptions (Coal)'!$V$5*Model!$AE$18*AVERAGE('Assumptions (Coal)'!$X$2:$AC$2)/10^9),0)</f>
        <v>-0.02201503673</v>
      </c>
      <c r="AH112" s="160">
        <f>IF($AE$18&gt;0,PPMT('Assumptions (Coal)'!$V$7,Model!Z1,'Assumptions (Coal)'!$V$10,'Assumptions (Coal)'!$V$5*Model!$AE$18*AVERAGE('Assumptions (Coal)'!$X$2:$AC$2)/10^9),0)</f>
        <v>-0.02306075097</v>
      </c>
      <c r="AI112" s="160">
        <f>IF($AE$18&gt;0,PPMT('Assumptions (Coal)'!$V$7,Model!AA1,'Assumptions (Coal)'!$V$10,'Assumptions (Coal)'!$V$5*Model!$AE$18*AVERAGE('Assumptions (Coal)'!$X$2:$AC$2)/10^9),0)</f>
        <v>-0.02415613664</v>
      </c>
      <c r="AJ112" s="160">
        <f>IF($AE$18&gt;0,PPMT('Assumptions (Coal)'!$V$7,Model!AB1,'Assumptions (Coal)'!$V$10,'Assumptions (Coal)'!$V$5*Model!$AE$18*AVERAGE('Assumptions (Coal)'!$X$2:$AC$2)/10^9),0)</f>
        <v>-0.02530355313</v>
      </c>
      <c r="AK112" s="160">
        <f>IF($AE$18&gt;0,PPMT('Assumptions (Coal)'!$V$7,Model!AC1,'Assumptions (Coal)'!$V$10,'Assumptions (Coal)'!$V$5*Model!$AE$18*AVERAGE('Assumptions (Coal)'!$X$2:$AC$2)/10^9),0)</f>
        <v>-0.02650547191</v>
      </c>
      <c r="AL112" s="160">
        <f>IF($AE$18&gt;0,PPMT('Assumptions (Coal)'!$V$7,Model!AD1,'Assumptions (Coal)'!$V$10,'Assumptions (Coal)'!$V$5*Model!$AE$18*AVERAGE('Assumptions (Coal)'!$X$2:$AC$2)/10^9),0)</f>
        <v>-0.02776448182</v>
      </c>
      <c r="AM112" s="160">
        <f>IF($AE$18&gt;0,PPMT('Assumptions (Coal)'!$V$7,Model!AE1,'Assumptions (Coal)'!$V$10,'Assumptions (Coal)'!$V$5*Model!$AE$18*AVERAGE('Assumptions (Coal)'!$X$2:$AC$2)/10^9),0)</f>
        <v>-0.02908329471</v>
      </c>
      <c r="AN112" s="160">
        <f>IF($AE$18&gt;0,PPMT('Assumptions (Coal)'!$V$7,Model!AF1,'Assumptions (Coal)'!$V$10,'Assumptions (Coal)'!$V$5*Model!$AE$18*AVERAGE('Assumptions (Coal)'!$X$2:$AC$2)/10^9),0)</f>
        <v>-0.03046475121</v>
      </c>
      <c r="AO112" s="160">
        <f>IF($AE$18&gt;0,PPMT('Assumptions (Coal)'!$V$7,Model!AG1,'Assumptions (Coal)'!$V$10,'Assumptions (Coal)'!$V$5*Model!$AE$18*AVERAGE('Assumptions (Coal)'!$X$2:$AC$2)/10^9),0)</f>
        <v>-0.03191182689</v>
      </c>
      <c r="AP112" s="160">
        <f>IF($AE$18&gt;0,PPMT('Assumptions (Coal)'!$V$7,Model!AH1,'Assumptions (Coal)'!$V$10,'Assumptions (Coal)'!$V$5*Model!$AE$18*AVERAGE('Assumptions (Coal)'!$X$2:$AC$2)/10^9),0)</f>
        <v>-0.03342763867</v>
      </c>
      <c r="AQ112" s="160">
        <f>IF($AE$18&gt;0,PPMT('Assumptions (Coal)'!$V$7,Model!AI1,'Assumptions (Coal)'!$V$10,'Assumptions (Coal)'!$V$5*Model!$AE$18*AVERAGE('Assumptions (Coal)'!$X$2:$AC$2)/10^9),0)</f>
        <v>-0.03501545151</v>
      </c>
      <c r="AR112" s="160">
        <f>IF($AE$18&gt;0,PPMT('Assumptions (Coal)'!$V$7,Model!AJ1,'Assumptions (Coal)'!$V$10,'Assumptions (Coal)'!$V$5*Model!$AE$18*AVERAGE('Assumptions (Coal)'!$X$2:$AC$2)/10^9),0)</f>
        <v>-0.03667868545</v>
      </c>
      <c r="AS112" s="160">
        <f>IF($AE$18&gt;0,PPMT('Assumptions (Coal)'!$V$7,Model!AK1,'Assumptions (Coal)'!$V$10,'Assumptions (Coal)'!$V$5*Model!$AE$18*AVERAGE('Assumptions (Coal)'!$X$2:$AC$2)/10^9),0)</f>
        <v>-0.03842092301</v>
      </c>
      <c r="AT112" s="160"/>
      <c r="AU112" s="160"/>
      <c r="AV112" s="160"/>
      <c r="AW112" s="160"/>
      <c r="AX112" s="160"/>
      <c r="AY112" s="160"/>
      <c r="AZ112" s="160"/>
      <c r="BA112" s="160"/>
      <c r="BB112" s="160"/>
      <c r="BC112" s="160"/>
    </row>
    <row r="113" ht="15.75" hidden="1" customHeight="1" outlineLevel="1">
      <c r="A113" s="158"/>
      <c r="B113" s="38"/>
      <c r="C113" s="160"/>
      <c r="D113" s="160"/>
      <c r="E113" s="160"/>
      <c r="F113" s="160"/>
      <c r="G113" s="160"/>
      <c r="H113" s="160"/>
      <c r="I113" s="160"/>
      <c r="J113" s="160"/>
      <c r="K113" s="160"/>
      <c r="L113" s="160"/>
      <c r="M113" s="160"/>
      <c r="N113" s="160"/>
      <c r="O113" s="160"/>
      <c r="P113" s="160"/>
      <c r="Q113" s="160"/>
      <c r="R113" s="160"/>
      <c r="S113" s="160"/>
      <c r="T113" s="160"/>
      <c r="U113" s="160"/>
      <c r="V113" s="174"/>
      <c r="W113" s="160"/>
      <c r="X113" s="160"/>
      <c r="Y113" s="160"/>
      <c r="Z113" s="160"/>
      <c r="AA113" s="160"/>
      <c r="AB113" s="160"/>
      <c r="AC113" s="160"/>
      <c r="AD113" s="160"/>
      <c r="AE113" s="160"/>
      <c r="AF113" s="160">
        <f>IF($AF$18&gt;0,PPMT('Assumptions (Coal)'!$V$7,Model!W1,'Assumptions (Coal)'!$V$10,'Assumptions (Coal)'!$V$5*Model!$AF$18*AVERAGE('Assumptions (Coal)'!$Y$2:$AD$2)/10^9),0)</f>
        <v>-0.01040698566</v>
      </c>
      <c r="AG113" s="160">
        <f>IF($AF$18&gt;0,PPMT('Assumptions (Coal)'!$V$7,Model!X1,'Assumptions (Coal)'!$V$10,'Assumptions (Coal)'!$V$5*Model!$AF$18*AVERAGE('Assumptions (Coal)'!$Y$2:$AD$2)/10^9),0)</f>
        <v>-0.01090131748</v>
      </c>
      <c r="AH113" s="160">
        <f>IF($AF$18&gt;0,PPMT('Assumptions (Coal)'!$V$7,Model!Y1,'Assumptions (Coal)'!$V$10,'Assumptions (Coal)'!$V$5*Model!$AF$18*AVERAGE('Assumptions (Coal)'!$Y$2:$AD$2)/10^9),0)</f>
        <v>-0.01141913006</v>
      </c>
      <c r="AI113" s="160">
        <f>IF($AF$18&gt;0,PPMT('Assumptions (Coal)'!$V$7,Model!Z1,'Assumptions (Coal)'!$V$10,'Assumptions (Coal)'!$V$5*Model!$AF$18*AVERAGE('Assumptions (Coal)'!$Y$2:$AD$2)/10^9),0)</f>
        <v>-0.01196153874</v>
      </c>
      <c r="AJ113" s="160">
        <f>IF($AF$18&gt;0,PPMT('Assumptions (Coal)'!$V$7,Model!AA1,'Assumptions (Coal)'!$V$10,'Assumptions (Coal)'!$V$5*Model!$AF$18*AVERAGE('Assumptions (Coal)'!$Y$2:$AD$2)/10^9),0)</f>
        <v>-0.01252971183</v>
      </c>
      <c r="AK113" s="160">
        <f>IF($AF$18&gt;0,PPMT('Assumptions (Coal)'!$V$7,Model!AB1,'Assumptions (Coal)'!$V$10,'Assumptions (Coal)'!$V$5*Model!$AF$18*AVERAGE('Assumptions (Coal)'!$Y$2:$AD$2)/10^9),0)</f>
        <v>-0.01312487314</v>
      </c>
      <c r="AL113" s="160">
        <f>IF($AF$18&gt;0,PPMT('Assumptions (Coal)'!$V$7,Model!AC1,'Assumptions (Coal)'!$V$10,'Assumptions (Coal)'!$V$5*Model!$AF$18*AVERAGE('Assumptions (Coal)'!$Y$2:$AD$2)/10^9),0)</f>
        <v>-0.01374830461</v>
      </c>
      <c r="AM113" s="160">
        <f>IF($AF$18&gt;0,PPMT('Assumptions (Coal)'!$V$7,Model!AD1,'Assumptions (Coal)'!$V$10,'Assumptions (Coal)'!$V$5*Model!$AF$18*AVERAGE('Assumptions (Coal)'!$Y$2:$AD$2)/10^9),0)</f>
        <v>-0.01440134908</v>
      </c>
      <c r="AN113" s="160">
        <f>IF($AF$18&gt;0,PPMT('Assumptions (Coal)'!$V$7,Model!AE1,'Assumptions (Coal)'!$V$10,'Assumptions (Coal)'!$V$5*Model!$AF$18*AVERAGE('Assumptions (Coal)'!$Y$2:$AD$2)/10^9),0)</f>
        <v>-0.01508541316</v>
      </c>
      <c r="AO113" s="160">
        <f>IF($AF$18&gt;0,PPMT('Assumptions (Coal)'!$V$7,Model!AF1,'Assumptions (Coal)'!$V$10,'Assumptions (Coal)'!$V$5*Model!$AF$18*AVERAGE('Assumptions (Coal)'!$Y$2:$AD$2)/10^9),0)</f>
        <v>-0.01580197029</v>
      </c>
      <c r="AP113" s="160">
        <f>IF($AF$18&gt;0,PPMT('Assumptions (Coal)'!$V$7,Model!AG1,'Assumptions (Coal)'!$V$10,'Assumptions (Coal)'!$V$5*Model!$AF$18*AVERAGE('Assumptions (Coal)'!$Y$2:$AD$2)/10^9),0)</f>
        <v>-0.01655256388</v>
      </c>
      <c r="AQ113" s="160">
        <f>IF($AF$18&gt;0,PPMT('Assumptions (Coal)'!$V$7,Model!AH1,'Assumptions (Coal)'!$V$10,'Assumptions (Coal)'!$V$5*Model!$AF$18*AVERAGE('Assumptions (Coal)'!$Y$2:$AD$2)/10^9),0)</f>
        <v>-0.01733881066</v>
      </c>
      <c r="AR113" s="160">
        <f>IF($AF$18&gt;0,PPMT('Assumptions (Coal)'!$V$7,Model!AI1,'Assumptions (Coal)'!$V$10,'Assumptions (Coal)'!$V$5*Model!$AF$18*AVERAGE('Assumptions (Coal)'!$Y$2:$AD$2)/10^9),0)</f>
        <v>-0.01816240417</v>
      </c>
      <c r="AS113" s="160">
        <f>IF($AF$18&gt;0,PPMT('Assumptions (Coal)'!$V$7,Model!AJ1,'Assumptions (Coal)'!$V$10,'Assumptions (Coal)'!$V$5*Model!$AF$18*AVERAGE('Assumptions (Coal)'!$Y$2:$AD$2)/10^9),0)</f>
        <v>-0.01902511837</v>
      </c>
      <c r="AT113" s="160">
        <f>IF($AF$18&gt;0,PPMT('Assumptions (Coal)'!$V$7,Model!AK1,'Assumptions (Coal)'!$V$10,'Assumptions (Coal)'!$V$5*Model!$AF$18*AVERAGE('Assumptions (Coal)'!$Y$2:$AD$2)/10^9),0)</f>
        <v>-0.01992881149</v>
      </c>
      <c r="AU113" s="160"/>
      <c r="AV113" s="160"/>
      <c r="AW113" s="160"/>
      <c r="AX113" s="160"/>
      <c r="AY113" s="160"/>
      <c r="AZ113" s="160"/>
      <c r="BA113" s="160"/>
      <c r="BB113" s="160"/>
      <c r="BC113" s="160"/>
      <c r="BD113" s="160"/>
    </row>
    <row r="114" ht="15.75" hidden="1" customHeight="1" outlineLevel="1">
      <c r="A114" s="158"/>
      <c r="B114" s="38"/>
      <c r="C114" s="160"/>
      <c r="D114" s="160"/>
      <c r="E114" s="160"/>
      <c r="F114" s="160"/>
      <c r="G114" s="160"/>
      <c r="H114" s="160"/>
      <c r="I114" s="160"/>
      <c r="J114" s="160"/>
      <c r="K114" s="160"/>
      <c r="L114" s="160"/>
      <c r="M114" s="160"/>
      <c r="N114" s="160"/>
      <c r="O114" s="160"/>
      <c r="P114" s="160"/>
      <c r="Q114" s="160"/>
      <c r="R114" s="160"/>
      <c r="S114" s="160"/>
      <c r="T114" s="160"/>
      <c r="U114" s="160"/>
      <c r="V114" s="174"/>
      <c r="W114" s="160"/>
      <c r="X114" s="160"/>
      <c r="Y114" s="160"/>
      <c r="Z114" s="160"/>
      <c r="AA114" s="160"/>
      <c r="AB114" s="160"/>
      <c r="AC114" s="160"/>
      <c r="AD114" s="160"/>
      <c r="AE114" s="160"/>
      <c r="AF114" s="160"/>
      <c r="AG114" s="160">
        <f>IF($AG$18&gt;0,PPMT('Assumptions (Coal)'!$V$7,Model!W1,'Assumptions (Coal)'!$V$10,'Assumptions (Coal)'!$V$5*Model!$AG$18*AVERAGE('Assumptions (Coal)'!$Z$2:$AE$2)/10^9),0)</f>
        <v>-0.1278412404</v>
      </c>
      <c r="AH114" s="160">
        <f>IF($AG$18&gt;0,PPMT('Assumptions (Coal)'!$V$7,Model!X1,'Assumptions (Coal)'!$V$10,'Assumptions (Coal)'!$V$5*Model!$AG$18*AVERAGE('Assumptions (Coal)'!$Z$2:$AE$2)/10^9),0)</f>
        <v>-0.1339136993</v>
      </c>
      <c r="AI114" s="160">
        <f>IF($AG$18&gt;0,PPMT('Assumptions (Coal)'!$V$7,Model!Y1,'Assumptions (Coal)'!$V$10,'Assumptions (Coal)'!$V$5*Model!$AG$18*AVERAGE('Assumptions (Coal)'!$Z$2:$AE$2)/10^9),0)</f>
        <v>-0.1402746</v>
      </c>
      <c r="AJ114" s="160">
        <f>IF($AG$18&gt;0,PPMT('Assumptions (Coal)'!$V$7,Model!Z1,'Assumptions (Coal)'!$V$10,'Assumptions (Coal)'!$V$5*Model!$AG$18*AVERAGE('Assumptions (Coal)'!$Z$2:$AE$2)/10^9),0)</f>
        <v>-0.1469376435</v>
      </c>
      <c r="AK114" s="160">
        <f>IF($AG$18&gt;0,PPMT('Assumptions (Coal)'!$V$7,Model!AA1,'Assumptions (Coal)'!$V$10,'Assumptions (Coal)'!$V$5*Model!$AG$18*AVERAGE('Assumptions (Coal)'!$Z$2:$AE$2)/10^9),0)</f>
        <v>-0.1539171815</v>
      </c>
      <c r="AL114" s="160">
        <f>IF($AG$18&gt;0,PPMT('Assumptions (Coal)'!$V$7,Model!AB1,'Assumptions (Coal)'!$V$10,'Assumptions (Coal)'!$V$5*Model!$AG$18*AVERAGE('Assumptions (Coal)'!$Z$2:$AE$2)/10^9),0)</f>
        <v>-0.1612282477</v>
      </c>
      <c r="AM114" s="160">
        <f>IF($AG$18&gt;0,PPMT('Assumptions (Coal)'!$V$7,Model!AC1,'Assumptions (Coal)'!$V$10,'Assumptions (Coal)'!$V$5*Model!$AG$18*AVERAGE('Assumptions (Coal)'!$Z$2:$AE$2)/10^9),0)</f>
        <v>-0.1688865894</v>
      </c>
      <c r="AN114" s="160">
        <f>IF($AG$18&gt;0,PPMT('Assumptions (Coal)'!$V$7,Model!AD1,'Assumptions (Coal)'!$V$10,'Assumptions (Coal)'!$V$5*Model!$AG$18*AVERAGE('Assumptions (Coal)'!$Z$2:$AE$2)/10^9),0)</f>
        <v>-0.1769087024</v>
      </c>
      <c r="AO114" s="160">
        <f>IF($AG$18&gt;0,PPMT('Assumptions (Coal)'!$V$7,Model!AE1,'Assumptions (Coal)'!$V$10,'Assumptions (Coal)'!$V$5*Model!$AG$18*AVERAGE('Assumptions (Coal)'!$Z$2:$AE$2)/10^9),0)</f>
        <v>-0.1853118658</v>
      </c>
      <c r="AP114" s="160">
        <f>IF($AG$18&gt;0,PPMT('Assumptions (Coal)'!$V$7,Model!AF1,'Assumptions (Coal)'!$V$10,'Assumptions (Coal)'!$V$5*Model!$AG$18*AVERAGE('Assumptions (Coal)'!$Z$2:$AE$2)/10^9),0)</f>
        <v>-0.1941141794</v>
      </c>
      <c r="AQ114" s="160">
        <f>IF($AG$18&gt;0,PPMT('Assumptions (Coal)'!$V$7,Model!AG1,'Assumptions (Coal)'!$V$10,'Assumptions (Coal)'!$V$5*Model!$AG$18*AVERAGE('Assumptions (Coal)'!$Z$2:$AE$2)/10^9),0)</f>
        <v>-0.2033346029</v>
      </c>
      <c r="AR114" s="160">
        <f>IF($AG$18&gt;0,PPMT('Assumptions (Coal)'!$V$7,Model!AH1,'Assumptions (Coal)'!$V$10,'Assumptions (Coal)'!$V$5*Model!$AG$18*AVERAGE('Assumptions (Coal)'!$Z$2:$AE$2)/10^9),0)</f>
        <v>-0.2129929966</v>
      </c>
      <c r="AS114" s="160">
        <f>IF($AG$18&gt;0,PPMT('Assumptions (Coal)'!$V$7,Model!AI1,'Assumptions (Coal)'!$V$10,'Assumptions (Coal)'!$V$5*Model!$AG$18*AVERAGE('Assumptions (Coal)'!$Z$2:$AE$2)/10^9),0)</f>
        <v>-0.2231101639</v>
      </c>
      <c r="AT114" s="160">
        <f>IF($AG$18&gt;0,PPMT('Assumptions (Coal)'!$V$7,Model!AJ1,'Assumptions (Coal)'!$V$10,'Assumptions (Coal)'!$V$5*Model!$AG$18*AVERAGE('Assumptions (Coal)'!$Z$2:$AE$2)/10^9),0)</f>
        <v>-0.2337078967</v>
      </c>
      <c r="AU114" s="160">
        <f>IF($AG$18&gt;0,PPMT('Assumptions (Coal)'!$V$7,Model!AK1,'Assumptions (Coal)'!$V$10,'Assumptions (Coal)'!$V$5*Model!$AG$18*AVERAGE('Assumptions (Coal)'!$Z$2:$AE$2)/10^9),0)</f>
        <v>-0.2448090218</v>
      </c>
      <c r="AV114" s="160"/>
      <c r="AW114" s="160"/>
      <c r="AX114" s="160"/>
      <c r="AY114" s="160"/>
      <c r="AZ114" s="160"/>
      <c r="BA114" s="160"/>
      <c r="BB114" s="160"/>
      <c r="BC114" s="160"/>
      <c r="BD114" s="160"/>
      <c r="BE114" s="160"/>
    </row>
    <row r="115" ht="15.75" hidden="1" customHeight="1" outlineLevel="1">
      <c r="A115" s="158"/>
      <c r="B115" s="38"/>
      <c r="C115" s="160"/>
      <c r="D115" s="160"/>
      <c r="E115" s="160"/>
      <c r="F115" s="160"/>
      <c r="G115" s="160"/>
      <c r="H115" s="160"/>
      <c r="I115" s="160"/>
      <c r="J115" s="160"/>
      <c r="K115" s="160"/>
      <c r="L115" s="160"/>
      <c r="M115" s="160"/>
      <c r="N115" s="160"/>
      <c r="O115" s="160"/>
      <c r="P115" s="160"/>
      <c r="Q115" s="160"/>
      <c r="R115" s="160"/>
      <c r="S115" s="160"/>
      <c r="T115" s="160"/>
      <c r="U115" s="160"/>
      <c r="V115" s="174"/>
      <c r="W115" s="160"/>
      <c r="X115" s="160"/>
      <c r="Y115" s="160"/>
      <c r="Z115" s="160"/>
      <c r="AA115" s="160"/>
      <c r="AB115" s="160"/>
      <c r="AC115" s="160"/>
      <c r="AD115" s="160"/>
      <c r="AE115" s="160"/>
      <c r="AF115" s="160"/>
      <c r="AG115" s="160"/>
      <c r="AH115" s="160">
        <f>IF($AH$18&gt;0,PPMT('Assumptions (Coal)'!$V$7,Model!W1,'Assumptions (Coal)'!$V$10,'Assumptions (Coal)'!$V$5*Model!$AH$18*AVERAGE('Assumptions (Coal)'!$AA$2:$AF$2)/10^9),0)</f>
        <v>0</v>
      </c>
      <c r="AI115" s="160">
        <f>IF($AH$18&gt;0,PPMT('Assumptions (Coal)'!$V$7,Model!X1,'Assumptions (Coal)'!$V$10,'Assumptions (Coal)'!$V$5*Model!$AH$18*AVERAGE('Assumptions (Coal)'!$AA$2:$AF$2)/10^9),0)</f>
        <v>0</v>
      </c>
      <c r="AJ115" s="160">
        <f>IF($AH$18&gt;0,PPMT('Assumptions (Coal)'!$V$7,Model!Y1,'Assumptions (Coal)'!$V$10,'Assumptions (Coal)'!$V$5*Model!$AH$18*AVERAGE('Assumptions (Coal)'!$AA$2:$AF$2)/10^9),0)</f>
        <v>0</v>
      </c>
      <c r="AK115" s="160">
        <f>IF($AH$18&gt;0,PPMT('Assumptions (Coal)'!$V$7,Model!Z1,'Assumptions (Coal)'!$V$10,'Assumptions (Coal)'!$V$5*Model!$AH$18*AVERAGE('Assumptions (Coal)'!$AA$2:$AF$2)/10^9),0)</f>
        <v>0</v>
      </c>
      <c r="AL115" s="160">
        <f>IF($AH$18&gt;0,PPMT('Assumptions (Coal)'!$V$7,Model!AA1,'Assumptions (Coal)'!$V$10,'Assumptions (Coal)'!$V$5*Model!$AH$18*AVERAGE('Assumptions (Coal)'!$AA$2:$AF$2)/10^9),0)</f>
        <v>0</v>
      </c>
      <c r="AM115" s="160">
        <f>IF($AH$18&gt;0,PPMT('Assumptions (Coal)'!$V$7,Model!AB1,'Assumptions (Coal)'!$V$10,'Assumptions (Coal)'!$V$5*Model!$AH$18*AVERAGE('Assumptions (Coal)'!$AA$2:$AF$2)/10^9),0)</f>
        <v>0</v>
      </c>
      <c r="AN115" s="160">
        <f>IF($AH$18&gt;0,PPMT('Assumptions (Coal)'!$V$7,Model!AC1,'Assumptions (Coal)'!$V$10,'Assumptions (Coal)'!$V$5*Model!$AH$18*AVERAGE('Assumptions (Coal)'!$AA$2:$AF$2)/10^9),0)</f>
        <v>0</v>
      </c>
      <c r="AO115" s="160">
        <f>IF($AH$18&gt;0,PPMT('Assumptions (Coal)'!$V$7,Model!AD1,'Assumptions (Coal)'!$V$10,'Assumptions (Coal)'!$V$5*Model!$AH$18*AVERAGE('Assumptions (Coal)'!$AA$2:$AF$2)/10^9),0)</f>
        <v>0</v>
      </c>
      <c r="AP115" s="160">
        <f>IF($AH$18&gt;0,PPMT('Assumptions (Coal)'!$V$7,Model!AE1,'Assumptions (Coal)'!$V$10,'Assumptions (Coal)'!$V$5*Model!$AH$18*AVERAGE('Assumptions (Coal)'!$AA$2:$AF$2)/10^9),0)</f>
        <v>0</v>
      </c>
      <c r="AQ115" s="160">
        <f>IF($AH$18&gt;0,PPMT('Assumptions (Coal)'!$V$7,Model!AF1,'Assumptions (Coal)'!$V$10,'Assumptions (Coal)'!$V$5*Model!$AH$18*AVERAGE('Assumptions (Coal)'!$AA$2:$AF$2)/10^9),0)</f>
        <v>0</v>
      </c>
      <c r="AR115" s="160">
        <f>IF($AH$18&gt;0,PPMT('Assumptions (Coal)'!$V$7,Model!AG1,'Assumptions (Coal)'!$V$10,'Assumptions (Coal)'!$V$5*Model!$AH$18*AVERAGE('Assumptions (Coal)'!$AA$2:$AF$2)/10^9),0)</f>
        <v>0</v>
      </c>
      <c r="AS115" s="160">
        <f>IF($AH$18&gt;0,PPMT('Assumptions (Coal)'!$V$7,Model!AH1,'Assumptions (Coal)'!$V$10,'Assumptions (Coal)'!$V$5*Model!$AH$18*AVERAGE('Assumptions (Coal)'!$AA$2:$AF$2)/10^9),0)</f>
        <v>0</v>
      </c>
      <c r="AT115" s="160">
        <f>IF($AH$18&gt;0,PPMT('Assumptions (Coal)'!$V$7,Model!AI1,'Assumptions (Coal)'!$V$10,'Assumptions (Coal)'!$V$5*Model!$AH$18*AVERAGE('Assumptions (Coal)'!$AA$2:$AF$2)/10^9),0)</f>
        <v>0</v>
      </c>
      <c r="AU115" s="160">
        <f>IF($AH$18&gt;0,PPMT('Assumptions (Coal)'!$V$7,Model!AJ1,'Assumptions (Coal)'!$V$10,'Assumptions (Coal)'!$V$5*Model!$AH$18*AVERAGE('Assumptions (Coal)'!$AA$2:$AF$2)/10^9),0)</f>
        <v>0</v>
      </c>
      <c r="AV115" s="160">
        <f>IF($AH$18&gt;0,PPMT('Assumptions (Coal)'!$V$7,Model!AK1,'Assumptions (Coal)'!$V$10,'Assumptions (Coal)'!$V$5*Model!$AH$18*AVERAGE('Assumptions (Coal)'!$AA$2:$AF$2)/10^9),0)</f>
        <v>0</v>
      </c>
      <c r="AW115" s="160"/>
      <c r="AX115" s="160"/>
      <c r="AY115" s="160"/>
      <c r="AZ115" s="160"/>
      <c r="BA115" s="160"/>
      <c r="BB115" s="160"/>
      <c r="BC115" s="160"/>
      <c r="BD115" s="160"/>
      <c r="BE115" s="160"/>
      <c r="BF115" s="160"/>
    </row>
    <row r="116" ht="15.75" hidden="1" customHeight="1" outlineLevel="1">
      <c r="A116" s="158"/>
      <c r="B116" s="38"/>
      <c r="C116" s="160"/>
      <c r="D116" s="160"/>
      <c r="E116" s="160"/>
      <c r="F116" s="160"/>
      <c r="G116" s="160"/>
      <c r="H116" s="160"/>
      <c r="I116" s="160"/>
      <c r="J116" s="160"/>
      <c r="K116" s="160"/>
      <c r="L116" s="160"/>
      <c r="M116" s="160"/>
      <c r="N116" s="160"/>
      <c r="O116" s="160"/>
      <c r="P116" s="160"/>
      <c r="Q116" s="160"/>
      <c r="R116" s="160"/>
      <c r="S116" s="160"/>
      <c r="T116" s="160"/>
      <c r="U116" s="160"/>
      <c r="V116" s="174"/>
      <c r="W116" s="160"/>
      <c r="X116" s="160"/>
      <c r="Y116" s="160"/>
      <c r="Z116" s="160"/>
      <c r="AA116" s="160"/>
      <c r="AB116" s="160"/>
      <c r="AC116" s="160"/>
      <c r="AD116" s="160"/>
      <c r="AE116" s="160"/>
      <c r="AF116" s="160"/>
      <c r="AG116" s="160"/>
      <c r="AH116" s="160"/>
      <c r="AI116" s="160">
        <f>IF($AI$18&gt;0,PPMT('Assumptions (Coal)'!$V$7,Model!W1,'Assumptions (Coal)'!$V$10,'Assumptions (Coal)'!$V$5*Model!$AI$18*AVERAGE('Assumptions (Coal)'!$AB$2:$AG$2)/10^9),0)</f>
        <v>0</v>
      </c>
      <c r="AJ116" s="160">
        <f>IF($AI$18&gt;0,PPMT('Assumptions (Coal)'!$V$7,Model!X1,'Assumptions (Coal)'!$V$10,'Assumptions (Coal)'!$V$5*Model!$AI$18*AVERAGE('Assumptions (Coal)'!$AB$2:$AG$2)/10^9),0)</f>
        <v>0</v>
      </c>
      <c r="AK116" s="160">
        <f>IF($AI$18&gt;0,PPMT('Assumptions (Coal)'!$V$7,Model!Y1,'Assumptions (Coal)'!$V$10,'Assumptions (Coal)'!$V$5*Model!$AI$18*AVERAGE('Assumptions (Coal)'!$AB$2:$AG$2)/10^9),0)</f>
        <v>0</v>
      </c>
      <c r="AL116" s="160">
        <f>IF($AI$18&gt;0,PPMT('Assumptions (Coal)'!$V$7,Model!Z1,'Assumptions (Coal)'!$V$10,'Assumptions (Coal)'!$V$5*Model!$AI$18*AVERAGE('Assumptions (Coal)'!$AB$2:$AG$2)/10^9),0)</f>
        <v>0</v>
      </c>
      <c r="AM116" s="160">
        <f>IF($AI$18&gt;0,PPMT('Assumptions (Coal)'!$V$7,Model!AA1,'Assumptions (Coal)'!$V$10,'Assumptions (Coal)'!$V$5*Model!$AI$18*AVERAGE('Assumptions (Coal)'!$AB$2:$AG$2)/10^9),0)</f>
        <v>0</v>
      </c>
      <c r="AN116" s="160">
        <f>IF($AI$18&gt;0,PPMT('Assumptions (Coal)'!$V$7,Model!AB1,'Assumptions (Coal)'!$V$10,'Assumptions (Coal)'!$V$5*Model!$AI$18*AVERAGE('Assumptions (Coal)'!$AB$2:$AG$2)/10^9),0)</f>
        <v>0</v>
      </c>
      <c r="AO116" s="160">
        <f>IF($AI$18&gt;0,PPMT('Assumptions (Coal)'!$V$7,Model!AC1,'Assumptions (Coal)'!$V$10,'Assumptions (Coal)'!$V$5*Model!$AI$18*AVERAGE('Assumptions (Coal)'!$AB$2:$AG$2)/10^9),0)</f>
        <v>0</v>
      </c>
      <c r="AP116" s="160">
        <f>IF($AI$18&gt;0,PPMT('Assumptions (Coal)'!$V$7,Model!AD1,'Assumptions (Coal)'!$V$10,'Assumptions (Coal)'!$V$5*Model!$AI$18*AVERAGE('Assumptions (Coal)'!$AB$2:$AG$2)/10^9),0)</f>
        <v>0</v>
      </c>
      <c r="AQ116" s="160">
        <f>IF($AI$18&gt;0,PPMT('Assumptions (Coal)'!$V$7,Model!AE1,'Assumptions (Coal)'!$V$10,'Assumptions (Coal)'!$V$5*Model!$AI$18*AVERAGE('Assumptions (Coal)'!$AB$2:$AG$2)/10^9),0)</f>
        <v>0</v>
      </c>
      <c r="AR116" s="160">
        <f>IF($AI$18&gt;0,PPMT('Assumptions (Coal)'!$V$7,Model!AF1,'Assumptions (Coal)'!$V$10,'Assumptions (Coal)'!$V$5*Model!$AI$18*AVERAGE('Assumptions (Coal)'!$AB$2:$AG$2)/10^9),0)</f>
        <v>0</v>
      </c>
      <c r="AS116" s="160">
        <f>IF($AI$18&gt;0,PPMT('Assumptions (Coal)'!$V$7,Model!AG1,'Assumptions (Coal)'!$V$10,'Assumptions (Coal)'!$V$5*Model!$AI$18*AVERAGE('Assumptions (Coal)'!$AB$2:$AG$2)/10^9),0)</f>
        <v>0</v>
      </c>
      <c r="AT116" s="160">
        <f>IF($AI$18&gt;0,PPMT('Assumptions (Coal)'!$V$7,Model!AH1,'Assumptions (Coal)'!$V$10,'Assumptions (Coal)'!$V$5*Model!$AI$18*AVERAGE('Assumptions (Coal)'!$AB$2:$AG$2)/10^9),0)</f>
        <v>0</v>
      </c>
      <c r="AU116" s="160">
        <f>IF($AI$18&gt;0,PPMT('Assumptions (Coal)'!$V$7,Model!AI1,'Assumptions (Coal)'!$V$10,'Assumptions (Coal)'!$V$5*Model!$AI$18*AVERAGE('Assumptions (Coal)'!$AB$2:$AG$2)/10^9),0)</f>
        <v>0</v>
      </c>
      <c r="AV116" s="160">
        <f>IF($AI$18&gt;0,PPMT('Assumptions (Coal)'!$V$7,Model!AJ1,'Assumptions (Coal)'!$V$10,'Assumptions (Coal)'!$V$5*Model!$AI$18*AVERAGE('Assumptions (Coal)'!$AB$2:$AG$2)/10^9),0)</f>
        <v>0</v>
      </c>
      <c r="AW116" s="160">
        <f>IF($AI$18&gt;0,PPMT('Assumptions (Coal)'!$V$7,Model!AK1,'Assumptions (Coal)'!$V$10,'Assumptions (Coal)'!$V$5*Model!$AI$18*AVERAGE('Assumptions (Coal)'!$AB$2:$AG$2)/10^9),0)</f>
        <v>0</v>
      </c>
      <c r="AX116" s="160"/>
      <c r="AY116" s="160"/>
      <c r="AZ116" s="160"/>
      <c r="BA116" s="160"/>
      <c r="BB116" s="160"/>
      <c r="BC116" s="160"/>
      <c r="BD116" s="160"/>
      <c r="BE116" s="160"/>
      <c r="BF116" s="160"/>
      <c r="BG116" s="160"/>
    </row>
    <row r="117" ht="15.75" hidden="1" customHeight="1" outlineLevel="1">
      <c r="A117" s="158"/>
      <c r="B117" s="38"/>
      <c r="C117" s="160"/>
      <c r="D117" s="160"/>
      <c r="E117" s="160"/>
      <c r="F117" s="160"/>
      <c r="G117" s="160"/>
      <c r="H117" s="160"/>
      <c r="I117" s="160"/>
      <c r="J117" s="160"/>
      <c r="K117" s="160"/>
      <c r="L117" s="160"/>
      <c r="M117" s="160"/>
      <c r="N117" s="160"/>
      <c r="O117" s="160"/>
      <c r="P117" s="160"/>
      <c r="Q117" s="160"/>
      <c r="R117" s="160"/>
      <c r="S117" s="160"/>
      <c r="T117" s="160"/>
      <c r="U117" s="160"/>
      <c r="V117" s="174"/>
      <c r="W117" s="160"/>
      <c r="X117" s="160"/>
      <c r="Y117" s="160"/>
      <c r="Z117" s="160"/>
      <c r="AA117" s="160"/>
      <c r="AB117" s="160"/>
      <c r="AC117" s="160"/>
      <c r="AD117" s="160"/>
      <c r="AE117" s="160"/>
      <c r="AF117" s="160"/>
      <c r="AG117" s="160"/>
      <c r="AH117" s="160"/>
      <c r="AI117" s="160"/>
      <c r="AJ117" s="177">
        <f>IF($AJ$18&gt;0,PPMT('Assumptions (Coal)'!$V$7,Model!W1,'Assumptions (Coal)'!$V$10,'Assumptions (Coal)'!$V$5*Model!$AJ$18*AVERAGE('Assumptions (Coal)'!$AC$2:$AH$2)/10^9),0)</f>
        <v>-0.004505961842</v>
      </c>
      <c r="AK117" s="177">
        <f>IF($AJ$18&gt;0,PPMT('Assumptions (Coal)'!$V$7,Model!X1,'Assumptions (Coal)'!$V$10,'Assumptions (Coal)'!$V$5*Model!$AJ$18*AVERAGE('Assumptions (Coal)'!$AC$2:$AH$2)/10^9),0)</f>
        <v>-0.00471999503</v>
      </c>
      <c r="AL117" s="177">
        <f>IF($AJ$18&gt;0,PPMT('Assumptions (Coal)'!$V$7,Model!Y1,'Assumptions (Coal)'!$V$10,'Assumptions (Coal)'!$V$5*Model!$AJ$18*AVERAGE('Assumptions (Coal)'!$AC$2:$AH$2)/10^9),0)</f>
        <v>-0.004944194794</v>
      </c>
      <c r="AM117" s="177">
        <f>IF($AJ$18&gt;0,PPMT('Assumptions (Coal)'!$V$7,Model!Z1,'Assumptions (Coal)'!$V$10,'Assumptions (Coal)'!$V$5*Model!$AJ$18*AVERAGE('Assumptions (Coal)'!$AC$2:$AH$2)/10^9),0)</f>
        <v>-0.005179044046</v>
      </c>
      <c r="AN117" s="177">
        <f>IF($AJ$18&gt;0,PPMT('Assumptions (Coal)'!$V$7,Model!AA1,'Assumptions (Coal)'!$V$10,'Assumptions (Coal)'!$V$5*Model!$AJ$18*AVERAGE('Assumptions (Coal)'!$AC$2:$AH$2)/10^9),0)</f>
        <v>-0.005425048638</v>
      </c>
      <c r="AO117" s="177">
        <f>IF($AJ$18&gt;0,PPMT('Assumptions (Coal)'!$V$7,Model!AB1,'Assumptions (Coal)'!$V$10,'Assumptions (Coal)'!$V$5*Model!$AJ$18*AVERAGE('Assumptions (Coal)'!$AC$2:$AH$2)/10^9),0)</f>
        <v>-0.005682738449</v>
      </c>
      <c r="AP117" s="177">
        <f>IF($AJ$18&gt;0,PPMT('Assumptions (Coal)'!$V$7,Model!AC1,'Assumptions (Coal)'!$V$10,'Assumptions (Coal)'!$V$5*Model!$AJ$18*AVERAGE('Assumptions (Coal)'!$AC$2:$AH$2)/10^9),0)</f>
        <v>-0.005952668525</v>
      </c>
      <c r="AQ117" s="177">
        <f>IF($AJ$18&gt;0,PPMT('Assumptions (Coal)'!$V$7,Model!AD1,'Assumptions (Coal)'!$V$10,'Assumptions (Coal)'!$V$5*Model!$AJ$18*AVERAGE('Assumptions (Coal)'!$AC$2:$AH$2)/10^9),0)</f>
        <v>-0.00623542028</v>
      </c>
      <c r="AR117" s="177">
        <f>IF($AJ$18&gt;0,PPMT('Assumptions (Coal)'!$V$7,Model!AE1,'Assumptions (Coal)'!$V$10,'Assumptions (Coal)'!$V$5*Model!$AJ$18*AVERAGE('Assumptions (Coal)'!$AC$2:$AH$2)/10^9),0)</f>
        <v>-0.006531602743</v>
      </c>
      <c r="AS117" s="177">
        <f>IF($AJ$18&gt;0,PPMT('Assumptions (Coal)'!$V$7,Model!AF1,'Assumptions (Coal)'!$V$10,'Assumptions (Coal)'!$V$5*Model!$AJ$18*AVERAGE('Assumptions (Coal)'!$AC$2:$AH$2)/10^9),0)</f>
        <v>-0.006841853874</v>
      </c>
      <c r="AT117" s="177">
        <f>IF($AJ$18&gt;0,PPMT('Assumptions (Coal)'!$V$7,Model!AG1,'Assumptions (Coal)'!$V$10,'Assumptions (Coal)'!$V$5*Model!$AJ$18*AVERAGE('Assumptions (Coal)'!$AC$2:$AH$2)/10^9),0)</f>
        <v>-0.007166841933</v>
      </c>
      <c r="AU117" s="177">
        <f>IF($AJ$18&gt;0,PPMT('Assumptions (Coal)'!$V$7,Model!AH1,'Assumptions (Coal)'!$V$10,'Assumptions (Coal)'!$V$5*Model!$AJ$18*AVERAGE('Assumptions (Coal)'!$AC$2:$AH$2)/10^9),0)</f>
        <v>-0.007507266924</v>
      </c>
      <c r="AV117" s="177">
        <f>IF($AJ$18&gt;0,PPMT('Assumptions (Coal)'!$V$7,Model!AI1,'Assumptions (Coal)'!$V$10,'Assumptions (Coal)'!$V$5*Model!$AJ$18*AVERAGE('Assumptions (Coal)'!$AC$2:$AH$2)/10^9),0)</f>
        <v>-0.007863862103</v>
      </c>
      <c r="AW117" s="177">
        <f>IF($AJ$18&gt;0,PPMT('Assumptions (Coal)'!$V$7,Model!AJ1,'Assumptions (Coal)'!$V$10,'Assumptions (Coal)'!$V$5*Model!$AJ$18*AVERAGE('Assumptions (Coal)'!$AC$2:$AH$2)/10^9),0)</f>
        <v>-0.008237395553</v>
      </c>
      <c r="AX117" s="177">
        <f>IF($AJ$18&gt;0,PPMT('Assumptions (Coal)'!$V$7,Model!AK1,'Assumptions (Coal)'!$V$10,'Assumptions (Coal)'!$V$5*Model!$AJ$18*AVERAGE('Assumptions (Coal)'!$AC$2:$AH$2)/10^9),0)</f>
        <v>-0.008628671842</v>
      </c>
      <c r="AY117" s="177"/>
      <c r="AZ117" s="177"/>
      <c r="BA117" s="177"/>
      <c r="BB117" s="177"/>
      <c r="BC117" s="177"/>
      <c r="BD117" s="177"/>
      <c r="BE117" s="177"/>
      <c r="BF117" s="177"/>
      <c r="BG117" s="177"/>
      <c r="BH117" s="177"/>
    </row>
    <row r="118" ht="15.75" hidden="1" customHeight="1" outlineLevel="1">
      <c r="A118" s="158"/>
      <c r="B118" s="38"/>
      <c r="C118" s="160"/>
      <c r="D118" s="160"/>
      <c r="E118" s="160"/>
      <c r="F118" s="160"/>
      <c r="G118" s="160"/>
      <c r="H118" s="160"/>
      <c r="I118" s="160"/>
      <c r="J118" s="160"/>
      <c r="K118" s="160"/>
      <c r="L118" s="160"/>
      <c r="M118" s="160"/>
      <c r="N118" s="160"/>
      <c r="O118" s="160"/>
      <c r="P118" s="177"/>
      <c r="Q118" s="177"/>
      <c r="R118" s="177"/>
      <c r="S118" s="177"/>
      <c r="T118" s="177"/>
      <c r="U118" s="177"/>
      <c r="V118" s="174"/>
      <c r="W118" s="160"/>
      <c r="X118" s="160"/>
      <c r="Y118" s="160"/>
      <c r="Z118" s="160"/>
      <c r="AA118" s="160"/>
      <c r="AB118" s="160"/>
      <c r="AC118" s="160"/>
      <c r="AD118" s="160"/>
      <c r="AE118" s="160"/>
      <c r="AF118" s="160"/>
      <c r="AG118" s="160"/>
      <c r="AH118" s="160"/>
      <c r="AI118" s="160"/>
      <c r="AJ118" s="179"/>
      <c r="AK118" s="160">
        <f>IF($AK$18&gt;0,PPMT('Assumptions (Coal)'!$V$7,Model!W1,'Assumptions (Coal)'!$V$10,'Assumptions (Coal)'!$V$5*Model!$AK$18*AVERAGE('Assumptions (Coal)'!$AD$2:$AI$2)/10^9),0)</f>
        <v>-0.01635706714</v>
      </c>
      <c r="AL118" s="160">
        <f>IF($AK$18&gt;0,PPMT('Assumptions (Coal)'!$V$7,Model!X1,'Assumptions (Coal)'!$V$10,'Assumptions (Coal)'!$V$5*Model!$AK$18*AVERAGE('Assumptions (Coal)'!$AD$2:$AI$2)/10^9),0)</f>
        <v>-0.01713402783</v>
      </c>
      <c r="AM118" s="160">
        <f>IF($AK$18&gt;0,PPMT('Assumptions (Coal)'!$V$7,Model!Y1,'Assumptions (Coal)'!$V$10,'Assumptions (Coal)'!$V$5*Model!$AK$18*AVERAGE('Assumptions (Coal)'!$AD$2:$AI$2)/10^9),0)</f>
        <v>-0.01794789415</v>
      </c>
      <c r="AN118" s="160">
        <f>IF($AK$18&gt;0,PPMT('Assumptions (Coal)'!$V$7,Model!Z1,'Assumptions (Coal)'!$V$10,'Assumptions (Coal)'!$V$5*Model!$AK$18*AVERAGE('Assumptions (Coal)'!$AD$2:$AI$2)/10^9),0)</f>
        <v>-0.01880041912</v>
      </c>
      <c r="AO118" s="160">
        <f>IF($AK$18&gt;0,PPMT('Assumptions (Coal)'!$V$7,Model!AA1,'Assumptions (Coal)'!$V$10,'Assumptions (Coal)'!$V$5*Model!$AK$18*AVERAGE('Assumptions (Coal)'!$AD$2:$AI$2)/10^9),0)</f>
        <v>-0.01969343903</v>
      </c>
      <c r="AP118" s="160">
        <f>IF($AK$18&gt;0,PPMT('Assumptions (Coal)'!$V$7,Model!AB1,'Assumptions (Coal)'!$V$10,'Assumptions (Coal)'!$V$5*Model!$AK$18*AVERAGE('Assumptions (Coal)'!$AD$2:$AI$2)/10^9),0)</f>
        <v>-0.02062887738</v>
      </c>
      <c r="AQ118" s="160">
        <f>IF($AK$18&gt;0,PPMT('Assumptions (Coal)'!$V$7,Model!AC1,'Assumptions (Coal)'!$V$10,'Assumptions (Coal)'!$V$5*Model!$AK$18*AVERAGE('Assumptions (Coal)'!$AD$2:$AI$2)/10^9),0)</f>
        <v>-0.02160874906</v>
      </c>
      <c r="AR118" s="160">
        <f>IF($AK$18&gt;0,PPMT('Assumptions (Coal)'!$V$7,Model!AD1,'Assumptions (Coal)'!$V$10,'Assumptions (Coal)'!$V$5*Model!$AK$18*AVERAGE('Assumptions (Coal)'!$AD$2:$AI$2)/10^9),0)</f>
        <v>-0.02263516464</v>
      </c>
      <c r="AS118" s="160">
        <f>IF($AK$18&gt;0,PPMT('Assumptions (Coal)'!$V$7,Model!AE1,'Assumptions (Coal)'!$V$10,'Assumptions (Coal)'!$V$5*Model!$AK$18*AVERAGE('Assumptions (Coal)'!$AD$2:$AI$2)/10^9),0)</f>
        <v>-0.02371033496</v>
      </c>
      <c r="AT118" s="160">
        <f>IF($AK$18&gt;0,PPMT('Assumptions (Coal)'!$V$7,Model!AF1,'Assumptions (Coal)'!$V$10,'Assumptions (Coal)'!$V$5*Model!$AK$18*AVERAGE('Assumptions (Coal)'!$AD$2:$AI$2)/10^9),0)</f>
        <v>-0.02483657587</v>
      </c>
      <c r="AU118" s="160">
        <f>IF($AK$18&gt;0,PPMT('Assumptions (Coal)'!$V$7,Model!AG1,'Assumptions (Coal)'!$V$10,'Assumptions (Coal)'!$V$5*Model!$AK$18*AVERAGE('Assumptions (Coal)'!$AD$2:$AI$2)/10^9),0)</f>
        <v>-0.02601631322</v>
      </c>
      <c r="AV118" s="160">
        <f>IF($AK$18&gt;0,PPMT('Assumptions (Coal)'!$V$7,Model!AH1,'Assumptions (Coal)'!$V$10,'Assumptions (Coal)'!$V$5*Model!$AK$18*AVERAGE('Assumptions (Coal)'!$AD$2:$AI$2)/10^9),0)</f>
        <v>-0.0272520881</v>
      </c>
      <c r="AW118" s="160">
        <f>IF($AK$18&gt;0,PPMT('Assumptions (Coal)'!$V$7,Model!AI1,'Assumptions (Coal)'!$V$10,'Assumptions (Coal)'!$V$5*Model!$AK$18*AVERAGE('Assumptions (Coal)'!$AD$2:$AI$2)/10^9),0)</f>
        <v>-0.02854656229</v>
      </c>
      <c r="AX118" s="160">
        <f>IF($AK$18&gt;0,PPMT('Assumptions (Coal)'!$V$7,Model!AJ1,'Assumptions (Coal)'!$V$10,'Assumptions (Coal)'!$V$5*Model!$AK$18*AVERAGE('Assumptions (Coal)'!$AD$2:$AI$2)/10^9),0)</f>
        <v>-0.02990252399</v>
      </c>
      <c r="AY118" s="160">
        <f>IF($AK$18&gt;0,PPMT('Assumptions (Coal)'!$V$7,Model!AK1,'Assumptions (Coal)'!$V$10,'Assumptions (Coal)'!$V$5*Model!$AK$18*AVERAGE('Assumptions (Coal)'!$AD$2:$AI$2)/10^9),0)</f>
        <v>-0.03132289388</v>
      </c>
      <c r="AZ118" s="160"/>
      <c r="BA118" s="160"/>
      <c r="BB118" s="160"/>
      <c r="BC118" s="160"/>
      <c r="BD118" s="160"/>
      <c r="BE118" s="160"/>
      <c r="BF118" s="160"/>
      <c r="BG118" s="160"/>
      <c r="BH118" s="160"/>
      <c r="BI118" s="160"/>
    </row>
    <row r="119" ht="15.75" hidden="1" customHeight="1" outlineLevel="1">
      <c r="A119" s="158"/>
      <c r="B119" s="38"/>
      <c r="C119" s="160"/>
      <c r="D119" s="160"/>
      <c r="E119" s="160"/>
      <c r="F119" s="160"/>
      <c r="G119" s="160"/>
      <c r="H119" s="160"/>
      <c r="I119" s="160"/>
      <c r="J119" s="160"/>
      <c r="K119" s="160"/>
      <c r="L119" s="160"/>
      <c r="M119" s="160"/>
      <c r="N119" s="160"/>
      <c r="O119" s="160"/>
      <c r="P119" s="179"/>
      <c r="Q119" s="160"/>
      <c r="R119" s="160"/>
      <c r="S119" s="160"/>
      <c r="T119" s="160"/>
      <c r="U119" s="160"/>
      <c r="V119" s="174"/>
      <c r="W119" s="160"/>
      <c r="X119" s="160"/>
      <c r="Y119" s="160"/>
      <c r="Z119" s="160"/>
      <c r="AA119" s="160"/>
      <c r="AB119" s="160"/>
      <c r="AC119" s="160"/>
      <c r="AD119" s="160"/>
      <c r="AE119" s="160"/>
      <c r="AF119" s="160"/>
      <c r="AG119" s="160"/>
      <c r="AH119" s="160"/>
      <c r="AI119" s="160"/>
      <c r="AJ119" s="179"/>
      <c r="AK119" s="160"/>
      <c r="AL119" s="177">
        <f>IF($AL$18&gt;0,PPMT('Assumptions (Coal)'!$V$7,Model!W1,'Assumptions (Coal)'!$V$10,'Assumptions (Coal)'!$V$5*Model!$AL$18*AVERAGE('Assumptions (Coal)'!$AE$2:$AJ$2)/10^9),0)</f>
        <v>0</v>
      </c>
      <c r="AM119" s="177">
        <f>IF($AL$18&gt;0,PPMT('Assumptions (Coal)'!$V$7,Model!X1,'Assumptions (Coal)'!$V$10,'Assumptions (Coal)'!$V$5*Model!$AL$18*AVERAGE('Assumptions (Coal)'!$AE$2:$AJ$2)/10^9),0)</f>
        <v>0</v>
      </c>
      <c r="AN119" s="177">
        <f>IF($AL$18&gt;0,PPMT('Assumptions (Coal)'!$V$7,Model!Y1,'Assumptions (Coal)'!$V$10,'Assumptions (Coal)'!$V$5*Model!$AL$18*AVERAGE('Assumptions (Coal)'!$AE$2:$AJ$2)/10^9),0)</f>
        <v>0</v>
      </c>
      <c r="AO119" s="177">
        <f>IF($AL$18&gt;0,PPMT('Assumptions (Coal)'!$V$7,Model!Z1,'Assumptions (Coal)'!$V$10,'Assumptions (Coal)'!$V$5*Model!$AL$18*AVERAGE('Assumptions (Coal)'!$AE$2:$AJ$2)/10^9),0)</f>
        <v>0</v>
      </c>
      <c r="AP119" s="177">
        <f>IF($AL$18&gt;0,PPMT('Assumptions (Coal)'!$V$7,Model!AA1,'Assumptions (Coal)'!$V$10,'Assumptions (Coal)'!$V$5*Model!$AL$18*AVERAGE('Assumptions (Coal)'!$AE$2:$AJ$2)/10^9),0)</f>
        <v>0</v>
      </c>
      <c r="AQ119" s="177">
        <f>IF($AL$18&gt;0,PPMT('Assumptions (Coal)'!$V$7,Model!AB1,'Assumptions (Coal)'!$V$10,'Assumptions (Coal)'!$V$5*Model!$AL$18*AVERAGE('Assumptions (Coal)'!$AE$2:$AJ$2)/10^9),0)</f>
        <v>0</v>
      </c>
      <c r="AR119" s="177">
        <f>IF($AL$18&gt;0,PPMT('Assumptions (Coal)'!$V$7,Model!AC1,'Assumptions (Coal)'!$V$10,'Assumptions (Coal)'!$V$5*Model!$AL$18*AVERAGE('Assumptions (Coal)'!$AE$2:$AJ$2)/10^9),0)</f>
        <v>0</v>
      </c>
      <c r="AS119" s="177">
        <f>IF($AL$18&gt;0,PPMT('Assumptions (Coal)'!$V$7,Model!AD1,'Assumptions (Coal)'!$V$10,'Assumptions (Coal)'!$V$5*Model!$AL$18*AVERAGE('Assumptions (Coal)'!$AE$2:$AJ$2)/10^9),0)</f>
        <v>0</v>
      </c>
      <c r="AT119" s="177">
        <f>IF($AL$18&gt;0,PPMT('Assumptions (Coal)'!$V$7,Model!AE1,'Assumptions (Coal)'!$V$10,'Assumptions (Coal)'!$V$5*Model!$AL$18*AVERAGE('Assumptions (Coal)'!$AE$2:$AJ$2)/10^9),0)</f>
        <v>0</v>
      </c>
      <c r="AU119" s="177">
        <f>IF($AL$18&gt;0,PPMT('Assumptions (Coal)'!$V$7,Model!AF1,'Assumptions (Coal)'!$V$10,'Assumptions (Coal)'!$V$5*Model!$AL$18*AVERAGE('Assumptions (Coal)'!$AE$2:$AJ$2)/10^9),0)</f>
        <v>0</v>
      </c>
      <c r="AV119" s="177">
        <f>IF($AL$18&gt;0,PPMT('Assumptions (Coal)'!$V$7,Model!AG1,'Assumptions (Coal)'!$V$10,'Assumptions (Coal)'!$V$5*Model!$AL$18*AVERAGE('Assumptions (Coal)'!$AE$2:$AJ$2)/10^9),0)</f>
        <v>0</v>
      </c>
      <c r="AW119" s="177">
        <f>IF($AL$18&gt;0,PPMT('Assumptions (Coal)'!$V$7,Model!AH1,'Assumptions (Coal)'!$V$10,'Assumptions (Coal)'!$V$5*Model!$AL$18*AVERAGE('Assumptions (Coal)'!$AE$2:$AJ$2)/10^9),0)</f>
        <v>0</v>
      </c>
      <c r="AX119" s="177">
        <f>IF($AL$18&gt;0,PPMT('Assumptions (Coal)'!$V$7,Model!AI1,'Assumptions (Coal)'!$V$10,'Assumptions (Coal)'!$V$5*Model!$AL$18*AVERAGE('Assumptions (Coal)'!$AE$2:$AJ$2)/10^9),0)</f>
        <v>0</v>
      </c>
      <c r="AY119" s="177">
        <f>IF($AL$18&gt;0,PPMT('Assumptions (Coal)'!$V$7,Model!AJ1,'Assumptions (Coal)'!$V$10,'Assumptions (Coal)'!$V$5*Model!$AL$18*AVERAGE('Assumptions (Coal)'!$AE$2:$AJ$2)/10^9),0)</f>
        <v>0</v>
      </c>
      <c r="AZ119" s="177">
        <f>IF($AL$18&gt;0,PPMT('Assumptions (Coal)'!$V$7,Model!AK1,'Assumptions (Coal)'!$V$10,'Assumptions (Coal)'!$V$5*Model!$AL$18*AVERAGE('Assumptions (Coal)'!$AE$2:$AJ$2)/10^9),0)</f>
        <v>0</v>
      </c>
      <c r="BA119" s="177"/>
      <c r="BB119" s="177"/>
      <c r="BC119" s="177"/>
      <c r="BD119" s="177"/>
      <c r="BE119" s="177"/>
      <c r="BF119" s="177"/>
      <c r="BG119" s="177"/>
      <c r="BH119" s="177"/>
      <c r="BI119" s="177"/>
      <c r="BJ119" s="177"/>
    </row>
    <row r="120" ht="15.75" hidden="1" customHeight="1" outlineLevel="1">
      <c r="A120" s="158"/>
      <c r="B120" s="38"/>
      <c r="C120" s="160"/>
      <c r="D120" s="160"/>
      <c r="E120" s="160"/>
      <c r="F120" s="160"/>
      <c r="G120" s="160"/>
      <c r="H120" s="160"/>
      <c r="I120" s="160"/>
      <c r="J120" s="160"/>
      <c r="K120" s="160"/>
      <c r="L120" s="160"/>
      <c r="M120" s="160"/>
      <c r="N120" s="160"/>
      <c r="O120" s="160"/>
      <c r="P120" s="179"/>
      <c r="Q120" s="160"/>
      <c r="R120" s="177"/>
      <c r="S120" s="177"/>
      <c r="T120" s="177"/>
      <c r="U120" s="177"/>
      <c r="V120" s="174"/>
      <c r="W120" s="160"/>
      <c r="X120" s="160"/>
      <c r="Y120" s="160"/>
      <c r="Z120" s="160"/>
      <c r="AA120" s="160"/>
      <c r="AB120" s="160"/>
      <c r="AC120" s="160"/>
      <c r="AD120" s="160"/>
      <c r="AE120" s="160"/>
      <c r="AF120" s="160"/>
      <c r="AG120" s="160"/>
      <c r="AH120" s="160"/>
      <c r="AI120" s="160"/>
      <c r="AJ120" s="179"/>
      <c r="AK120" s="160"/>
      <c r="AL120" s="177"/>
      <c r="AM120" s="160">
        <f>IF($AM$18&gt;0,PPMT('Assumptions (Coal)'!$V$7,Model!W1,'Assumptions (Coal)'!$V$10,'Assumptions (Coal)'!$V$5*Model!$AM$18*AVERAGE('Assumptions (Coal)'!$AF$2:$AK$2)/10^9),0)</f>
        <v>-0.08280973562</v>
      </c>
      <c r="AN120" s="160">
        <f>IF($AM$18&gt;0,PPMT('Assumptions (Coal)'!$V$7,Model!X1,'Assumptions (Coal)'!$V$10,'Assumptions (Coal)'!$V$5*Model!$AM$18*AVERAGE('Assumptions (Coal)'!$AF$2:$AK$2)/10^9),0)</f>
        <v>-0.08674319806</v>
      </c>
      <c r="AO120" s="160">
        <f>IF($AM$18&gt;0,PPMT('Assumptions (Coal)'!$V$7,Model!Y1,'Assumptions (Coal)'!$V$10,'Assumptions (Coal)'!$V$5*Model!$AM$18*AVERAGE('Assumptions (Coal)'!$AF$2:$AK$2)/10^9),0)</f>
        <v>-0.09086349997</v>
      </c>
      <c r="AP120" s="160">
        <f>IF($AM$18&gt;0,PPMT('Assumptions (Coal)'!$V$7,Model!Z1,'Assumptions (Coal)'!$V$10,'Assumptions (Coal)'!$V$5*Model!$AM$18*AVERAGE('Assumptions (Coal)'!$AF$2:$AK$2)/10^9),0)</f>
        <v>-0.09517951621</v>
      </c>
      <c r="AQ120" s="160">
        <f>IF($AM$18&gt;0,PPMT('Assumptions (Coal)'!$V$7,Model!AA1,'Assumptions (Coal)'!$V$10,'Assumptions (Coal)'!$V$5*Model!$AM$18*AVERAGE('Assumptions (Coal)'!$AF$2:$AK$2)/10^9),0)</f>
        <v>-0.09970054323</v>
      </c>
      <c r="AR120" s="160">
        <f>IF($AM$18&gt;0,PPMT('Assumptions (Coal)'!$V$7,Model!AB1,'Assumptions (Coal)'!$V$10,'Assumptions (Coal)'!$V$5*Model!$AM$18*AVERAGE('Assumptions (Coal)'!$AF$2:$AK$2)/10^9),0)</f>
        <v>-0.104436319</v>
      </c>
      <c r="AS120" s="160">
        <f>IF($AM$18&gt;0,PPMT('Assumptions (Coal)'!$V$7,Model!AC1,'Assumptions (Coal)'!$V$10,'Assumptions (Coal)'!$V$5*Model!$AM$18*AVERAGE('Assumptions (Coal)'!$AF$2:$AK$2)/10^9),0)</f>
        <v>-0.1093970442</v>
      </c>
      <c r="AT120" s="160">
        <f>IF($AM$18&gt;0,PPMT('Assumptions (Coal)'!$V$7,Model!AD1,'Assumptions (Coal)'!$V$10,'Assumptions (Coal)'!$V$5*Model!$AM$18*AVERAGE('Assumptions (Coal)'!$AF$2:$AK$2)/10^9),0)</f>
        <v>-0.1145934038</v>
      </c>
      <c r="AU120" s="160">
        <f>IF($AM$18&gt;0,PPMT('Assumptions (Coal)'!$V$7,Model!AE1,'Assumptions (Coal)'!$V$10,'Assumptions (Coal)'!$V$5*Model!$AM$18*AVERAGE('Assumptions (Coal)'!$AF$2:$AK$2)/10^9),0)</f>
        <v>-0.1200365905</v>
      </c>
      <c r="AV120" s="160">
        <f>IF($AM$18&gt;0,PPMT('Assumptions (Coal)'!$V$7,Model!AF1,'Assumptions (Coal)'!$V$10,'Assumptions (Coal)'!$V$5*Model!$AM$18*AVERAGE('Assumptions (Coal)'!$AF$2:$AK$2)/10^9),0)</f>
        <v>-0.1257383285</v>
      </c>
      <c r="AW120" s="160">
        <f>IF($AM$18&gt;0,PPMT('Assumptions (Coal)'!$V$7,Model!AG1,'Assumptions (Coal)'!$V$10,'Assumptions (Coal)'!$V$5*Model!$AM$18*AVERAGE('Assumptions (Coal)'!$AF$2:$AK$2)/10^9),0)</f>
        <v>-0.1317108991</v>
      </c>
      <c r="AX120" s="160">
        <f>IF($AM$18&gt;0,PPMT('Assumptions (Coal)'!$V$7,Model!AH1,'Assumptions (Coal)'!$V$10,'Assumptions (Coal)'!$V$5*Model!$AM$18*AVERAGE('Assumptions (Coal)'!$AF$2:$AK$2)/10^9),0)</f>
        <v>-0.1379671668</v>
      </c>
      <c r="AY120" s="160">
        <f>IF($AM$18&gt;0,PPMT('Assumptions (Coal)'!$V$7,Model!AI1,'Assumptions (Coal)'!$V$10,'Assumptions (Coal)'!$V$5*Model!$AM$18*AVERAGE('Assumptions (Coal)'!$AF$2:$AK$2)/10^9),0)</f>
        <v>-0.1445206073</v>
      </c>
      <c r="AZ120" s="160">
        <f>IF($AM$18&gt;0,PPMT('Assumptions (Coal)'!$V$7,Model!AJ1,'Assumptions (Coal)'!$V$10,'Assumptions (Coal)'!$V$5*Model!$AM$18*AVERAGE('Assumptions (Coal)'!$AF$2:$AK$2)/10^9),0)</f>
        <v>-0.1513853361</v>
      </c>
      <c r="BA120" s="160">
        <f>IF($AM$18&gt;0,PPMT('Assumptions (Coal)'!$V$7,Model!AK1,'Assumptions (Coal)'!$V$10,'Assumptions (Coal)'!$V$5*Model!$AM$18*AVERAGE('Assumptions (Coal)'!$AF$2:$AK$2)/10^9),0)</f>
        <v>-0.1585761396</v>
      </c>
      <c r="BB120" s="160"/>
      <c r="BC120" s="160"/>
      <c r="BD120" s="160"/>
      <c r="BE120" s="160"/>
      <c r="BF120" s="160"/>
      <c r="BG120" s="160"/>
      <c r="BH120" s="160"/>
      <c r="BI120" s="160"/>
      <c r="BJ120" s="160"/>
      <c r="BK120" s="160"/>
    </row>
    <row r="121" ht="15.75" hidden="1" customHeight="1" outlineLevel="1">
      <c r="A121" s="158"/>
      <c r="B121" s="38"/>
      <c r="C121" s="160"/>
      <c r="D121" s="160"/>
      <c r="E121" s="160"/>
      <c r="F121" s="160"/>
      <c r="G121" s="160"/>
      <c r="H121" s="160"/>
      <c r="I121" s="160"/>
      <c r="J121" s="160"/>
      <c r="K121" s="160"/>
      <c r="L121" s="160"/>
      <c r="M121" s="160"/>
      <c r="N121" s="160"/>
      <c r="O121" s="160"/>
      <c r="P121" s="179"/>
      <c r="Q121" s="160"/>
      <c r="R121" s="177"/>
      <c r="S121" s="160"/>
      <c r="T121" s="160"/>
      <c r="U121" s="160"/>
      <c r="V121" s="174"/>
      <c r="W121" s="160"/>
      <c r="X121" s="160"/>
      <c r="Y121" s="160"/>
      <c r="Z121" s="160"/>
      <c r="AA121" s="160"/>
      <c r="AB121" s="160"/>
      <c r="AC121" s="160"/>
      <c r="AD121" s="160"/>
      <c r="AE121" s="160"/>
      <c r="AF121" s="160"/>
      <c r="AG121" s="160"/>
      <c r="AH121" s="160"/>
      <c r="AI121" s="160"/>
      <c r="AJ121" s="179"/>
      <c r="AK121" s="160"/>
      <c r="AL121" s="177"/>
      <c r="AM121" s="177"/>
      <c r="AN121" s="160">
        <f>IF($AN$18&gt;0,PPMT('Assumptions (Coal)'!$V$7,Model!W1,'Assumptions (Coal)'!$V$10,'Assumptions (Coal)'!$V$5*Model!$AN$18*AVERAGE('Assumptions (Coal)'!$AG$2:$AL$2)/10^9),0)</f>
        <v>0</v>
      </c>
      <c r="AO121" s="160">
        <f>IF($AN$18&gt;0,PPMT('Assumptions (Coal)'!$V$7,Model!X1,'Assumptions (Coal)'!$V$10,'Assumptions (Coal)'!$V$5*Model!$AN$18*AVERAGE('Assumptions (Coal)'!$AG$2:$AL$2)/10^9),0)</f>
        <v>0</v>
      </c>
      <c r="AP121" s="160">
        <f>IF($AN$18&gt;0,PPMT('Assumptions (Coal)'!$V$7,Model!Y1,'Assumptions (Coal)'!$V$10,'Assumptions (Coal)'!$V$5*Model!$AN$18*AVERAGE('Assumptions (Coal)'!$AG$2:$AL$2)/10^9),0)</f>
        <v>0</v>
      </c>
      <c r="AQ121" s="160">
        <f>IF($AN$18&gt;0,PPMT('Assumptions (Coal)'!$V$7,Model!Z1,'Assumptions (Coal)'!$V$10,'Assumptions (Coal)'!$V$5*Model!$AN$18*AVERAGE('Assumptions (Coal)'!$AG$2:$AL$2)/10^9),0)</f>
        <v>0</v>
      </c>
      <c r="AR121" s="160">
        <f>IF($AN$18&gt;0,PPMT('Assumptions (Coal)'!$V$7,Model!AA1,'Assumptions (Coal)'!$V$10,'Assumptions (Coal)'!$V$5*Model!$AN$18*AVERAGE('Assumptions (Coal)'!$AG$2:$AL$2)/10^9),0)</f>
        <v>0</v>
      </c>
      <c r="AS121" s="160">
        <f>IF($AN$18&gt;0,PPMT('Assumptions (Coal)'!$V$7,Model!AB1,'Assumptions (Coal)'!$V$10,'Assumptions (Coal)'!$V$5*Model!$AN$18*AVERAGE('Assumptions (Coal)'!$AG$2:$AL$2)/10^9),0)</f>
        <v>0</v>
      </c>
      <c r="AT121" s="160">
        <f>IF($AN$18&gt;0,PPMT('Assumptions (Coal)'!$V$7,Model!AC1,'Assumptions (Coal)'!$V$10,'Assumptions (Coal)'!$V$5*Model!$AN$18*AVERAGE('Assumptions (Coal)'!$AG$2:$AL$2)/10^9),0)</f>
        <v>0</v>
      </c>
      <c r="AU121" s="160">
        <f>IF($AN$18&gt;0,PPMT('Assumptions (Coal)'!$V$7,Model!AD1,'Assumptions (Coal)'!$V$10,'Assumptions (Coal)'!$V$5*Model!$AN$18*AVERAGE('Assumptions (Coal)'!$AG$2:$AL$2)/10^9),0)</f>
        <v>0</v>
      </c>
      <c r="AV121" s="160">
        <f>IF($AN$18&gt;0,PPMT('Assumptions (Coal)'!$V$7,Model!AE1,'Assumptions (Coal)'!$V$10,'Assumptions (Coal)'!$V$5*Model!$AN$18*AVERAGE('Assumptions (Coal)'!$AG$2:$AL$2)/10^9),0)</f>
        <v>0</v>
      </c>
      <c r="AW121" s="160">
        <f>IF($AN$18&gt;0,PPMT('Assumptions (Coal)'!$V$7,Model!AF1,'Assumptions (Coal)'!$V$10,'Assumptions (Coal)'!$V$5*Model!$AN$18*AVERAGE('Assumptions (Coal)'!$AG$2:$AL$2)/10^9),0)</f>
        <v>0</v>
      </c>
      <c r="AX121" s="160">
        <f>IF($AN$18&gt;0,PPMT('Assumptions (Coal)'!$V$7,Model!AG1,'Assumptions (Coal)'!$V$10,'Assumptions (Coal)'!$V$5*Model!$AN$18*AVERAGE('Assumptions (Coal)'!$AG$2:$AL$2)/10^9),0)</f>
        <v>0</v>
      </c>
      <c r="AY121" s="160">
        <f>IF($AN$18&gt;0,PPMT('Assumptions (Coal)'!$V$7,Model!AH1,'Assumptions (Coal)'!$V$10,'Assumptions (Coal)'!$V$5*Model!$AN$18*AVERAGE('Assumptions (Coal)'!$AG$2:$AL$2)/10^9),0)</f>
        <v>0</v>
      </c>
      <c r="AZ121" s="160">
        <f>IF($AN$18&gt;0,PPMT('Assumptions (Coal)'!$V$7,Model!AI1,'Assumptions (Coal)'!$V$10,'Assumptions (Coal)'!$V$5*Model!$AN$18*AVERAGE('Assumptions (Coal)'!$AG$2:$AL$2)/10^9),0)</f>
        <v>0</v>
      </c>
      <c r="BA121" s="160">
        <f>IF($AN$18&gt;0,PPMT('Assumptions (Coal)'!$V$7,Model!AJ1,'Assumptions (Coal)'!$V$10,'Assumptions (Coal)'!$V$5*Model!$AN$18*AVERAGE('Assumptions (Coal)'!$AG$2:$AL$2)/10^9),0)</f>
        <v>0</v>
      </c>
      <c r="BB121" s="160">
        <f>IF($AN$18&gt;0,PPMT('Assumptions (Coal)'!$V$7,Model!AK1,'Assumptions (Coal)'!$V$10,'Assumptions (Coal)'!$V$5*Model!$AN$18*AVERAGE('Assumptions (Coal)'!$AG$2:$AL$2)/10^9),0)</f>
        <v>0</v>
      </c>
      <c r="BC121" s="160"/>
      <c r="BD121" s="160"/>
      <c r="BE121" s="160"/>
      <c r="BF121" s="160"/>
      <c r="BG121" s="160"/>
      <c r="BH121" s="160"/>
      <c r="BI121" s="160"/>
      <c r="BJ121" s="160"/>
      <c r="BK121" s="160"/>
      <c r="BL121" s="160"/>
    </row>
    <row r="122" ht="15.75" hidden="1" customHeight="1" outlineLevel="1">
      <c r="A122" s="158"/>
      <c r="B122" s="38"/>
      <c r="C122" s="160"/>
      <c r="D122" s="160"/>
      <c r="E122" s="160"/>
      <c r="F122" s="160"/>
      <c r="G122" s="160"/>
      <c r="H122" s="160"/>
      <c r="I122" s="160"/>
      <c r="J122" s="160"/>
      <c r="K122" s="160"/>
      <c r="L122" s="160"/>
      <c r="M122" s="160"/>
      <c r="N122" s="160"/>
      <c r="O122" s="160"/>
      <c r="P122" s="179"/>
      <c r="Q122" s="160"/>
      <c r="R122" s="177"/>
      <c r="S122" s="177"/>
      <c r="T122" s="160"/>
      <c r="U122" s="160"/>
      <c r="V122" s="174"/>
      <c r="W122" s="160"/>
      <c r="X122" s="160"/>
      <c r="Y122" s="160"/>
      <c r="Z122" s="160"/>
      <c r="AA122" s="160"/>
      <c r="AB122" s="160"/>
      <c r="AC122" s="160"/>
      <c r="AD122" s="160"/>
      <c r="AE122" s="160"/>
      <c r="AF122" s="160"/>
      <c r="AG122" s="160"/>
      <c r="AH122" s="160"/>
      <c r="AI122" s="160"/>
      <c r="AJ122" s="179"/>
      <c r="AK122" s="160"/>
      <c r="AL122" s="177"/>
      <c r="AM122" s="177"/>
      <c r="AN122" s="177"/>
      <c r="AO122" s="160">
        <f>IF($AO$18&gt;0,PPMT('Assumptions (Coal)'!$V$7,Model!W1,'Assumptions (Coal)'!$V$10,'Assumptions (Coal)'!$V$5*Model!$AO$18*AVERAGE('Assumptions (Coal)'!$AH$2:$AM$2)/10^9),0)</f>
        <v>0</v>
      </c>
      <c r="AP122" s="160">
        <f>IF($AO$18&gt;0,PPMT('Assumptions (Coal)'!$V$7,Model!X1,'Assumptions (Coal)'!$V$10,'Assumptions (Coal)'!$V$5*Model!$AO$18*AVERAGE('Assumptions (Coal)'!$AH$2:$AM$2)/10^9),0)</f>
        <v>0</v>
      </c>
      <c r="AQ122" s="160">
        <f>IF($AO$18&gt;0,PPMT('Assumptions (Coal)'!$V$7,Model!Y1,'Assumptions (Coal)'!$V$10,'Assumptions (Coal)'!$V$5*Model!$AO$18*AVERAGE('Assumptions (Coal)'!$AH$2:$AM$2)/10^9),0)</f>
        <v>0</v>
      </c>
      <c r="AR122" s="160">
        <f>IF($AO$18&gt;0,PPMT('Assumptions (Coal)'!$V$7,Model!Z1,'Assumptions (Coal)'!$V$10,'Assumptions (Coal)'!$V$5*Model!$AO$18*AVERAGE('Assumptions (Coal)'!$AH$2:$AM$2)/10^9),0)</f>
        <v>0</v>
      </c>
      <c r="AS122" s="160">
        <f>IF($AO$18&gt;0,PPMT('Assumptions (Coal)'!$V$7,Model!AA1,'Assumptions (Coal)'!$V$10,'Assumptions (Coal)'!$V$5*Model!$AO$18*AVERAGE('Assumptions (Coal)'!$AH$2:$AM$2)/10^9),0)</f>
        <v>0</v>
      </c>
      <c r="AT122" s="160">
        <f>IF($AO$18&gt;0,PPMT('Assumptions (Coal)'!$V$7,Model!AB1,'Assumptions (Coal)'!$V$10,'Assumptions (Coal)'!$V$5*Model!$AO$18*AVERAGE('Assumptions (Coal)'!$AH$2:$AM$2)/10^9),0)</f>
        <v>0</v>
      </c>
      <c r="AU122" s="160">
        <f>IF($AO$18&gt;0,PPMT('Assumptions (Coal)'!$V$7,Model!AC1,'Assumptions (Coal)'!$V$10,'Assumptions (Coal)'!$V$5*Model!$AO$18*AVERAGE('Assumptions (Coal)'!$AH$2:$AM$2)/10^9),0)</f>
        <v>0</v>
      </c>
      <c r="AV122" s="160">
        <f>IF($AO$18&gt;0,PPMT('Assumptions (Coal)'!$V$7,Model!AD1,'Assumptions (Coal)'!$V$10,'Assumptions (Coal)'!$V$5*Model!$AO$18*AVERAGE('Assumptions (Coal)'!$AH$2:$AM$2)/10^9),0)</f>
        <v>0</v>
      </c>
      <c r="AW122" s="160">
        <f>IF($AO$18&gt;0,PPMT('Assumptions (Coal)'!$V$7,Model!AE1,'Assumptions (Coal)'!$V$10,'Assumptions (Coal)'!$V$5*Model!$AO$18*AVERAGE('Assumptions (Coal)'!$AH$2:$AM$2)/10^9),0)</f>
        <v>0</v>
      </c>
      <c r="AX122" s="160">
        <f>IF($AO$18&gt;0,PPMT('Assumptions (Coal)'!$V$7,Model!AF1,'Assumptions (Coal)'!$V$10,'Assumptions (Coal)'!$V$5*Model!$AO$18*AVERAGE('Assumptions (Coal)'!$AH$2:$AM$2)/10^9),0)</f>
        <v>0</v>
      </c>
      <c r="AY122" s="160">
        <f>IF($AO$18&gt;0,PPMT('Assumptions (Coal)'!$V$7,Model!AG1,'Assumptions (Coal)'!$V$10,'Assumptions (Coal)'!$V$5*Model!$AO$18*AVERAGE('Assumptions (Coal)'!$AH$2:$AM$2)/10^9),0)</f>
        <v>0</v>
      </c>
      <c r="AZ122" s="160">
        <f>IF($AO$18&gt;0,PPMT('Assumptions (Coal)'!$V$7,Model!AH1,'Assumptions (Coal)'!$V$10,'Assumptions (Coal)'!$V$5*Model!$AO$18*AVERAGE('Assumptions (Coal)'!$AH$2:$AM$2)/10^9),0)</f>
        <v>0</v>
      </c>
      <c r="BA122" s="160">
        <f>IF($AO$18&gt;0,PPMT('Assumptions (Coal)'!$V$7,Model!AI1,'Assumptions (Coal)'!$V$10,'Assumptions (Coal)'!$V$5*Model!$AO$18*AVERAGE('Assumptions (Coal)'!$AH$2:$AM$2)/10^9),0)</f>
        <v>0</v>
      </c>
      <c r="BB122" s="160">
        <f>IF($AO$18&gt;0,PPMT('Assumptions (Coal)'!$V$7,Model!AJ1,'Assumptions (Coal)'!$V$10,'Assumptions (Coal)'!$V$5*Model!$AO$18*AVERAGE('Assumptions (Coal)'!$AH$2:$AM$2)/10^9),0)</f>
        <v>0</v>
      </c>
      <c r="BC122" s="160">
        <f>IF($AO$18&gt;0,PPMT('Assumptions (Coal)'!$V$7,Model!AK1,'Assumptions (Coal)'!$V$10,'Assumptions (Coal)'!$V$5*Model!$AO$18*AVERAGE('Assumptions (Coal)'!$AH$2:$AM$2)/10^9),0)</f>
        <v>0</v>
      </c>
      <c r="BD122" s="160"/>
      <c r="BE122" s="160"/>
      <c r="BF122" s="160"/>
      <c r="BG122" s="160"/>
      <c r="BH122" s="160"/>
      <c r="BI122" s="160"/>
      <c r="BJ122" s="160"/>
      <c r="BK122" s="160"/>
      <c r="BL122" s="160"/>
      <c r="BM122" s="160"/>
    </row>
    <row r="123" ht="15.75" hidden="1" customHeight="1" outlineLevel="1">
      <c r="A123" s="158"/>
      <c r="B123" s="38"/>
      <c r="C123" s="160"/>
      <c r="D123" s="160"/>
      <c r="E123" s="160"/>
      <c r="F123" s="160"/>
      <c r="G123" s="160"/>
      <c r="H123" s="160"/>
      <c r="I123" s="160"/>
      <c r="J123" s="160"/>
      <c r="K123" s="160"/>
      <c r="L123" s="160"/>
      <c r="M123" s="160"/>
      <c r="N123" s="160"/>
      <c r="O123" s="160"/>
      <c r="P123" s="179"/>
      <c r="Q123" s="160"/>
      <c r="R123" s="177"/>
      <c r="S123" s="177"/>
      <c r="T123" s="177"/>
      <c r="U123" s="160"/>
      <c r="V123" s="174"/>
      <c r="W123" s="160"/>
      <c r="X123" s="160"/>
      <c r="Y123" s="160"/>
      <c r="Z123" s="160"/>
      <c r="AA123" s="160"/>
      <c r="AB123" s="160"/>
      <c r="AC123" s="160"/>
      <c r="AD123" s="160"/>
      <c r="AE123" s="160"/>
      <c r="AF123" s="160"/>
      <c r="AG123" s="160"/>
      <c r="AH123" s="160"/>
      <c r="AI123" s="160"/>
      <c r="AJ123" s="179"/>
      <c r="AK123" s="160"/>
      <c r="AL123" s="177"/>
      <c r="AM123" s="177"/>
      <c r="AN123" s="177"/>
      <c r="AO123" s="160"/>
      <c r="AP123" s="160">
        <f>IF($AP$18&gt;0,PPMT('Assumptions (Coal)'!$V$7,Model!W1,'Assumptions (Coal)'!$V$10,'Assumptions (Coal)'!$V$5*Model!$AP$18*AVERAGE('Assumptions (Coal)'!$AI$2:$AN$2)/10^9),0)</f>
        <v>0</v>
      </c>
      <c r="AQ123" s="160">
        <f>IF($AP$18&gt;0,PPMT('Assumptions (Coal)'!$V$7,Model!X1,'Assumptions (Coal)'!$V$10,'Assumptions (Coal)'!$V$5*Model!$AP$18*AVERAGE('Assumptions (Coal)'!$AI$2:$AN$2)/10^9),0)</f>
        <v>0</v>
      </c>
      <c r="AR123" s="160">
        <f>IF($AP$18&gt;0,PPMT('Assumptions (Coal)'!$V$7,Model!Y1,'Assumptions (Coal)'!$V$10,'Assumptions (Coal)'!$V$5*Model!$AP$18*AVERAGE('Assumptions (Coal)'!$AI$2:$AN$2)/10^9),0)</f>
        <v>0</v>
      </c>
      <c r="AS123" s="160">
        <f>IF($AP$18&gt;0,PPMT('Assumptions (Coal)'!$V$7,Model!Z1,'Assumptions (Coal)'!$V$10,'Assumptions (Coal)'!$V$5*Model!$AP$18*AVERAGE('Assumptions (Coal)'!$AI$2:$AN$2)/10^9),0)</f>
        <v>0</v>
      </c>
      <c r="AT123" s="160">
        <f>IF($AP$18&gt;0,PPMT('Assumptions (Coal)'!$V$7,Model!AA1,'Assumptions (Coal)'!$V$10,'Assumptions (Coal)'!$V$5*Model!$AP$18*AVERAGE('Assumptions (Coal)'!$AI$2:$AN$2)/10^9),0)</f>
        <v>0</v>
      </c>
      <c r="AU123" s="160">
        <f>IF($AP$18&gt;0,PPMT('Assumptions (Coal)'!$V$7,Model!AB1,'Assumptions (Coal)'!$V$10,'Assumptions (Coal)'!$V$5*Model!$AP$18*AVERAGE('Assumptions (Coal)'!$AI$2:$AN$2)/10^9),0)</f>
        <v>0</v>
      </c>
      <c r="AV123" s="160">
        <f>IF($AP$18&gt;0,PPMT('Assumptions (Coal)'!$V$7,Model!AC1,'Assumptions (Coal)'!$V$10,'Assumptions (Coal)'!$V$5*Model!$AP$18*AVERAGE('Assumptions (Coal)'!$AI$2:$AN$2)/10^9),0)</f>
        <v>0</v>
      </c>
      <c r="AW123" s="160">
        <f>IF($AP$18&gt;0,PPMT('Assumptions (Coal)'!$V$7,Model!AD1,'Assumptions (Coal)'!$V$10,'Assumptions (Coal)'!$V$5*Model!$AP$18*AVERAGE('Assumptions (Coal)'!$AI$2:$AN$2)/10^9),0)</f>
        <v>0</v>
      </c>
      <c r="AX123" s="160">
        <f>IF($AP$18&gt;0,PPMT('Assumptions (Coal)'!$V$7,Model!AE1,'Assumptions (Coal)'!$V$10,'Assumptions (Coal)'!$V$5*Model!$AP$18*AVERAGE('Assumptions (Coal)'!$AI$2:$AN$2)/10^9),0)</f>
        <v>0</v>
      </c>
      <c r="AY123" s="160">
        <f>IF($AP$18&gt;0,PPMT('Assumptions (Coal)'!$V$7,Model!AF1,'Assumptions (Coal)'!$V$10,'Assumptions (Coal)'!$V$5*Model!$AP$18*AVERAGE('Assumptions (Coal)'!$AI$2:$AN$2)/10^9),0)</f>
        <v>0</v>
      </c>
      <c r="AZ123" s="160">
        <f>IF($AP$18&gt;0,PPMT('Assumptions (Coal)'!$V$7,Model!AG1,'Assumptions (Coal)'!$V$10,'Assumptions (Coal)'!$V$5*Model!$AP$18*AVERAGE('Assumptions (Coal)'!$AI$2:$AN$2)/10^9),0)</f>
        <v>0</v>
      </c>
      <c r="BA123" s="160">
        <f>IF($AP$18&gt;0,PPMT('Assumptions (Coal)'!$V$7,Model!AH1,'Assumptions (Coal)'!$V$10,'Assumptions (Coal)'!$V$5*Model!$AP$18*AVERAGE('Assumptions (Coal)'!$AI$2:$AN$2)/10^9),0)</f>
        <v>0</v>
      </c>
      <c r="BB123" s="160">
        <f>IF($AP$18&gt;0,PPMT('Assumptions (Coal)'!$V$7,Model!AI1,'Assumptions (Coal)'!$V$10,'Assumptions (Coal)'!$V$5*Model!$AP$18*AVERAGE('Assumptions (Coal)'!$AI$2:$AN$2)/10^9),0)</f>
        <v>0</v>
      </c>
      <c r="BC123" s="160">
        <f>IF($AP$18&gt;0,PPMT('Assumptions (Coal)'!$V$7,Model!AJ1,'Assumptions (Coal)'!$V$10,'Assumptions (Coal)'!$V$5*Model!$AP$18*AVERAGE('Assumptions (Coal)'!$AI$2:$AN$2)/10^9),0)</f>
        <v>0</v>
      </c>
      <c r="BD123" s="160">
        <f>IF($AP$18&gt;0,PPMT('Assumptions (Coal)'!$V$7,Model!AK1,'Assumptions (Coal)'!$V$10,'Assumptions (Coal)'!$V$5*Model!$AP$18*AVERAGE('Assumptions (Coal)'!$AI$2:$AN$2)/10^9),0)</f>
        <v>0</v>
      </c>
      <c r="BE123" s="160"/>
      <c r="BF123" s="160"/>
      <c r="BG123" s="160"/>
      <c r="BH123" s="160"/>
      <c r="BI123" s="160"/>
      <c r="BJ123" s="160"/>
      <c r="BK123" s="160"/>
      <c r="BL123" s="160"/>
      <c r="BM123" s="160"/>
      <c r="BN123" s="160"/>
    </row>
    <row r="124" ht="15.75" hidden="1" customHeight="1" outlineLevel="1">
      <c r="A124" s="158"/>
      <c r="B124" s="38"/>
      <c r="C124" s="160"/>
      <c r="D124" s="160"/>
      <c r="E124" s="160"/>
      <c r="F124" s="160"/>
      <c r="G124" s="160"/>
      <c r="H124" s="160"/>
      <c r="I124" s="160"/>
      <c r="J124" s="160"/>
      <c r="K124" s="160"/>
      <c r="L124" s="160"/>
      <c r="M124" s="160"/>
      <c r="N124" s="160"/>
      <c r="O124" s="160"/>
      <c r="P124" s="179"/>
      <c r="Q124" s="160"/>
      <c r="R124" s="177"/>
      <c r="S124" s="177"/>
      <c r="T124" s="177"/>
      <c r="U124" s="160"/>
      <c r="V124" s="174"/>
      <c r="W124" s="160"/>
      <c r="X124" s="160"/>
      <c r="Y124" s="160"/>
      <c r="Z124" s="160"/>
      <c r="AA124" s="160"/>
      <c r="AB124" s="160"/>
      <c r="AC124" s="160"/>
      <c r="AD124" s="160"/>
      <c r="AE124" s="160"/>
      <c r="AF124" s="160"/>
      <c r="AG124" s="160"/>
      <c r="AH124" s="160"/>
      <c r="AI124" s="160"/>
      <c r="AJ124" s="179"/>
      <c r="AK124" s="160"/>
      <c r="AL124" s="177"/>
      <c r="AM124" s="177"/>
      <c r="AN124" s="177"/>
      <c r="AO124" s="160"/>
      <c r="AP124" s="160"/>
      <c r="AQ124" s="160">
        <f>IF($AQ$18&gt;0,PPMT('Assumptions (Coal)'!$V$7,Model!W1,'Assumptions (Coal)'!$V$10,'Assumptions (Coal)'!$V$5*Model!$AQ$18*AVERAGE('Assumptions (Coal)'!$AJ$2:$AO$2)/10^9),0)</f>
        <v>0</v>
      </c>
      <c r="AR124" s="160">
        <f>IF($AQ$18&gt;0,PPMT('Assumptions (Coal)'!$V$7,Model!X1,'Assumptions (Coal)'!$V$10,'Assumptions (Coal)'!$V$5*Model!$AQ$18*AVERAGE('Assumptions (Coal)'!$AJ$2:$AO$2)/10^9),0)</f>
        <v>0</v>
      </c>
      <c r="AS124" s="160">
        <f>IF($AQ$18&gt;0,PPMT('Assumptions (Coal)'!$V$7,Model!Y1,'Assumptions (Coal)'!$V$10,'Assumptions (Coal)'!$V$5*Model!$AQ$18*AVERAGE('Assumptions (Coal)'!$AJ$2:$AO$2)/10^9),0)</f>
        <v>0</v>
      </c>
      <c r="AT124" s="160">
        <f>IF($AQ$18&gt;0,PPMT('Assumptions (Coal)'!$V$7,Model!Z1,'Assumptions (Coal)'!$V$10,'Assumptions (Coal)'!$V$5*Model!$AQ$18*AVERAGE('Assumptions (Coal)'!$AJ$2:$AO$2)/10^9),0)</f>
        <v>0</v>
      </c>
      <c r="AU124" s="160">
        <f>IF($AQ$18&gt;0,PPMT('Assumptions (Coal)'!$V$7,Model!AA1,'Assumptions (Coal)'!$V$10,'Assumptions (Coal)'!$V$5*Model!$AQ$18*AVERAGE('Assumptions (Coal)'!$AJ$2:$AO$2)/10^9),0)</f>
        <v>0</v>
      </c>
      <c r="AV124" s="160">
        <f>IF($AQ$18&gt;0,PPMT('Assumptions (Coal)'!$V$7,Model!AB1,'Assumptions (Coal)'!$V$10,'Assumptions (Coal)'!$V$5*Model!$AQ$18*AVERAGE('Assumptions (Coal)'!$AJ$2:$AO$2)/10^9),0)</f>
        <v>0</v>
      </c>
      <c r="AW124" s="160">
        <f>IF($AQ$18&gt;0,PPMT('Assumptions (Coal)'!$V$7,Model!AC1,'Assumptions (Coal)'!$V$10,'Assumptions (Coal)'!$V$5*Model!$AQ$18*AVERAGE('Assumptions (Coal)'!$AJ$2:$AO$2)/10^9),0)</f>
        <v>0</v>
      </c>
      <c r="AX124" s="160">
        <f>IF($AQ$18&gt;0,PPMT('Assumptions (Coal)'!$V$7,Model!AD1,'Assumptions (Coal)'!$V$10,'Assumptions (Coal)'!$V$5*Model!$AQ$18*AVERAGE('Assumptions (Coal)'!$AJ$2:$AO$2)/10^9),0)</f>
        <v>0</v>
      </c>
      <c r="AY124" s="160">
        <f>IF($AQ$18&gt;0,PPMT('Assumptions (Coal)'!$V$7,Model!AE1,'Assumptions (Coal)'!$V$10,'Assumptions (Coal)'!$V$5*Model!$AQ$18*AVERAGE('Assumptions (Coal)'!$AJ$2:$AO$2)/10^9),0)</f>
        <v>0</v>
      </c>
      <c r="AZ124" s="160">
        <f>IF($AQ$18&gt;0,PPMT('Assumptions (Coal)'!$V$7,Model!AF1,'Assumptions (Coal)'!$V$10,'Assumptions (Coal)'!$V$5*Model!$AQ$18*AVERAGE('Assumptions (Coal)'!$AJ$2:$AO$2)/10^9),0)</f>
        <v>0</v>
      </c>
      <c r="BA124" s="160">
        <f>IF($AQ$18&gt;0,PPMT('Assumptions (Coal)'!$V$7,Model!AG1,'Assumptions (Coal)'!$V$10,'Assumptions (Coal)'!$V$5*Model!$AQ$18*AVERAGE('Assumptions (Coal)'!$AJ$2:$AO$2)/10^9),0)</f>
        <v>0</v>
      </c>
      <c r="BB124" s="160">
        <f>IF($AQ$18&gt;0,PPMT('Assumptions (Coal)'!$V$7,Model!AH1,'Assumptions (Coal)'!$V$10,'Assumptions (Coal)'!$V$5*Model!$AQ$18*AVERAGE('Assumptions (Coal)'!$AJ$2:$AO$2)/10^9),0)</f>
        <v>0</v>
      </c>
      <c r="BC124" s="160">
        <f>IF($AQ$18&gt;0,PPMT('Assumptions (Coal)'!$V$7,Model!AI1,'Assumptions (Coal)'!$V$10,'Assumptions (Coal)'!$V$5*Model!$AQ$18*AVERAGE('Assumptions (Coal)'!$AJ$2:$AO$2)/10^9),0)</f>
        <v>0</v>
      </c>
      <c r="BD124" s="160">
        <f>IF($AQ$18&gt;0,PPMT('Assumptions (Coal)'!$V$7,Model!AJ1,'Assumptions (Coal)'!$V$10,'Assumptions (Coal)'!$V$5*Model!$AQ$18*AVERAGE('Assumptions (Coal)'!$AJ$2:$AO$2)/10^9),0)</f>
        <v>0</v>
      </c>
      <c r="BE124" s="160">
        <f>IF($AQ$18&gt;0,PPMT('Assumptions (Coal)'!$V$7,Model!AK1,'Assumptions (Coal)'!$V$10,'Assumptions (Coal)'!$V$5*Model!$AQ$18*AVERAGE('Assumptions (Coal)'!$AJ$2:$AO$2)/10^9),0)</f>
        <v>0</v>
      </c>
      <c r="BF124" s="160"/>
      <c r="BG124" s="160"/>
      <c r="BH124" s="160"/>
      <c r="BI124" s="160"/>
      <c r="BJ124" s="160"/>
      <c r="BK124" s="160"/>
      <c r="BL124" s="160"/>
      <c r="BM124" s="160"/>
      <c r="BN124" s="160"/>
      <c r="BO124" s="160"/>
    </row>
    <row r="125" ht="15.75" hidden="1" customHeight="1" outlineLevel="1">
      <c r="A125" s="158"/>
      <c r="B125" s="38"/>
      <c r="C125" s="174"/>
      <c r="D125" s="174"/>
      <c r="E125" s="174"/>
      <c r="F125" s="174"/>
      <c r="G125" s="174"/>
      <c r="H125" s="174"/>
      <c r="I125" s="174"/>
      <c r="J125" s="174"/>
      <c r="K125" s="174"/>
      <c r="L125" s="174"/>
      <c r="M125" s="174"/>
      <c r="N125" s="174"/>
      <c r="O125" s="174"/>
      <c r="P125" s="174"/>
      <c r="Q125" s="174"/>
      <c r="R125" s="174"/>
      <c r="S125" s="174"/>
      <c r="T125" s="174"/>
      <c r="U125" s="174"/>
      <c r="V125" s="174"/>
      <c r="W125" s="160"/>
      <c r="X125" s="160"/>
      <c r="Y125" s="160"/>
      <c r="Z125" s="160"/>
      <c r="AA125" s="160"/>
      <c r="AB125" s="160"/>
      <c r="AC125" s="160"/>
      <c r="AD125" s="160"/>
      <c r="AE125" s="160"/>
      <c r="AF125" s="160"/>
      <c r="AG125" s="160"/>
      <c r="AH125" s="160"/>
      <c r="AI125" s="160"/>
      <c r="AJ125" s="179"/>
      <c r="AK125" s="160"/>
      <c r="AL125" s="177"/>
      <c r="AM125" s="177"/>
      <c r="AN125" s="177"/>
      <c r="AO125" s="160"/>
      <c r="AP125" s="160"/>
      <c r="AQ125" s="160"/>
      <c r="AR125" s="160">
        <f>IF($AR$18&gt;0,PPMT('Assumptions (Coal)'!$V$7,Model!W1,'Assumptions (Coal)'!$V$10,'Assumptions (Coal)'!$V$5*Model!$AR$18*AVERAGE('Assumptions (Coal)'!$AK$2:$AP$2)/10^9),0)</f>
        <v>0</v>
      </c>
      <c r="AS125" s="160">
        <f>IF($AR$18&gt;0,PPMT('Assumptions (Coal)'!$V$7,Model!X1,'Assumptions (Coal)'!$V$10,'Assumptions (Coal)'!$V$5*Model!$AR$18*AVERAGE('Assumptions (Coal)'!$AK$2:$AP$2)/10^9),0)</f>
        <v>0</v>
      </c>
      <c r="AT125" s="160">
        <f>IF($AR$18&gt;0,PPMT('Assumptions (Coal)'!$V$7,Model!Y1,'Assumptions (Coal)'!$V$10,'Assumptions (Coal)'!$V$5*Model!$AR$18*AVERAGE('Assumptions (Coal)'!$AK$2:$AP$2)/10^9),0)</f>
        <v>0</v>
      </c>
      <c r="AU125" s="160">
        <f>IF($AR$18&gt;0,PPMT('Assumptions (Coal)'!$V$7,Model!Z1,'Assumptions (Coal)'!$V$10,'Assumptions (Coal)'!$V$5*Model!$AR$18*AVERAGE('Assumptions (Coal)'!$AK$2:$AP$2)/10^9),0)</f>
        <v>0</v>
      </c>
      <c r="AV125" s="160">
        <f>IF($AR$18&gt;0,PPMT('Assumptions (Coal)'!$V$7,Model!AA1,'Assumptions (Coal)'!$V$10,'Assumptions (Coal)'!$V$5*Model!$AR$18*AVERAGE('Assumptions (Coal)'!$AK$2:$AP$2)/10^9),0)</f>
        <v>0</v>
      </c>
      <c r="AW125" s="160">
        <f>IF($AR$18&gt;0,PPMT('Assumptions (Coal)'!$V$7,Model!AB1,'Assumptions (Coal)'!$V$10,'Assumptions (Coal)'!$V$5*Model!$AR$18*AVERAGE('Assumptions (Coal)'!$AK$2:$AP$2)/10^9),0)</f>
        <v>0</v>
      </c>
      <c r="AX125" s="160">
        <f>IF($AR$18&gt;0,PPMT('Assumptions (Coal)'!$V$7,Model!AC1,'Assumptions (Coal)'!$V$10,'Assumptions (Coal)'!$V$5*Model!$AR$18*AVERAGE('Assumptions (Coal)'!$AK$2:$AP$2)/10^9),0)</f>
        <v>0</v>
      </c>
      <c r="AY125" s="160">
        <f>IF($AR$18&gt;0,PPMT('Assumptions (Coal)'!$V$7,Model!AD1,'Assumptions (Coal)'!$V$10,'Assumptions (Coal)'!$V$5*Model!$AR$18*AVERAGE('Assumptions (Coal)'!$AK$2:$AP$2)/10^9),0)</f>
        <v>0</v>
      </c>
      <c r="AZ125" s="160">
        <f>IF($AR$18&gt;0,PPMT('Assumptions (Coal)'!$V$7,Model!AE1,'Assumptions (Coal)'!$V$10,'Assumptions (Coal)'!$V$5*Model!$AR$18*AVERAGE('Assumptions (Coal)'!$AK$2:$AP$2)/10^9),0)</f>
        <v>0</v>
      </c>
      <c r="BA125" s="160">
        <f>IF($AR$18&gt;0,PPMT('Assumptions (Coal)'!$V$7,Model!AF1,'Assumptions (Coal)'!$V$10,'Assumptions (Coal)'!$V$5*Model!$AR$18*AVERAGE('Assumptions (Coal)'!$AK$2:$AP$2)/10^9),0)</f>
        <v>0</v>
      </c>
      <c r="BB125" s="160">
        <f>IF($AR$18&gt;0,PPMT('Assumptions (Coal)'!$V$7,Model!AG1,'Assumptions (Coal)'!$V$10,'Assumptions (Coal)'!$V$5*Model!$AR$18*AVERAGE('Assumptions (Coal)'!$AK$2:$AP$2)/10^9),0)</f>
        <v>0</v>
      </c>
      <c r="BC125" s="160">
        <f>IF($AR$18&gt;0,PPMT('Assumptions (Coal)'!$V$7,Model!AH1,'Assumptions (Coal)'!$V$10,'Assumptions (Coal)'!$V$5*Model!$AR$18*AVERAGE('Assumptions (Coal)'!$AK$2:$AP$2)/10^9),0)</f>
        <v>0</v>
      </c>
      <c r="BD125" s="160">
        <f>IF($AR$18&gt;0,PPMT('Assumptions (Coal)'!$V$7,Model!AI1,'Assumptions (Coal)'!$V$10,'Assumptions (Coal)'!$V$5*Model!$AR$18*AVERAGE('Assumptions (Coal)'!$AK$2:$AP$2)/10^9),0)</f>
        <v>0</v>
      </c>
      <c r="BE125" s="160">
        <f>IF($AR$18&gt;0,PPMT('Assumptions (Coal)'!$V$7,Model!AJ1,'Assumptions (Coal)'!$V$10,'Assumptions (Coal)'!$V$5*Model!$AR$18*AVERAGE('Assumptions (Coal)'!$AK$2:$AP$2)/10^9),0)</f>
        <v>0</v>
      </c>
      <c r="BF125" s="160">
        <f>IF($AR$18&gt;0,PPMT('Assumptions (Coal)'!$V$7,Model!AK1,'Assumptions (Coal)'!$V$10,'Assumptions (Coal)'!$V$5*Model!$AR$18*AVERAGE('Assumptions (Coal)'!$AK$2:$AP$2)/10^9),0)</f>
        <v>0</v>
      </c>
      <c r="BG125" s="160"/>
      <c r="BH125" s="160"/>
      <c r="BI125" s="160"/>
      <c r="BJ125" s="160"/>
      <c r="BK125" s="160"/>
      <c r="BL125" s="160"/>
      <c r="BM125" s="160"/>
      <c r="BN125" s="160"/>
      <c r="BO125" s="160"/>
      <c r="BP125" s="160"/>
    </row>
    <row r="126" ht="15.75" hidden="1" customHeight="1" outlineLevel="1">
      <c r="A126" s="158"/>
      <c r="B126" s="38"/>
      <c r="C126" s="174"/>
      <c r="D126" s="174"/>
      <c r="E126" s="174"/>
      <c r="F126" s="174"/>
      <c r="G126" s="174"/>
      <c r="H126" s="174"/>
      <c r="I126" s="174"/>
      <c r="J126" s="174"/>
      <c r="K126" s="174"/>
      <c r="L126" s="174"/>
      <c r="M126" s="174"/>
      <c r="N126" s="174"/>
      <c r="O126" s="174"/>
      <c r="P126" s="174"/>
      <c r="Q126" s="174"/>
      <c r="R126" s="174"/>
      <c r="S126" s="174"/>
      <c r="T126" s="174"/>
      <c r="U126" s="174"/>
      <c r="V126" s="174"/>
      <c r="W126" s="160"/>
      <c r="X126" s="160"/>
      <c r="Y126" s="160"/>
      <c r="Z126" s="160"/>
      <c r="AA126" s="160"/>
      <c r="AB126" s="160"/>
      <c r="AC126" s="160"/>
      <c r="AD126" s="160"/>
      <c r="AE126" s="160"/>
      <c r="AF126" s="160"/>
      <c r="AG126" s="160"/>
      <c r="AH126" s="160"/>
      <c r="AI126" s="160"/>
      <c r="AJ126" s="179"/>
      <c r="AK126" s="160"/>
      <c r="AL126" s="177"/>
      <c r="AM126" s="177"/>
      <c r="AN126" s="177"/>
      <c r="AO126" s="160"/>
      <c r="AP126" s="160"/>
      <c r="AQ126" s="160"/>
      <c r="AR126" s="160"/>
      <c r="AS126" s="160">
        <f>IF($AS$18&gt;0,PPMT('Assumptions (Coal)'!$V$7,Model!W1,'Assumptions (Coal)'!$V$10,'Assumptions (Coal)'!$V$5*Model!$AS$18*AVERAGE('Assumptions (Coal)'!$AL$2:$AQ$2)/10^9),0)</f>
        <v>0</v>
      </c>
      <c r="AT126" s="160">
        <f>IF($AS$18&gt;0,PPMT('Assumptions (Coal)'!$V$7,Model!X1,'Assumptions (Coal)'!$V$10,'Assumptions (Coal)'!$V$5*Model!$AS$18*AVERAGE('Assumptions (Coal)'!$AL$2:$AQ$2)/10^9),0)</f>
        <v>0</v>
      </c>
      <c r="AU126" s="160">
        <f>IF($AS$18&gt;0,PPMT('Assumptions (Coal)'!$V$7,Model!Y1,'Assumptions (Coal)'!$V$10,'Assumptions (Coal)'!$V$5*Model!$AS$18*AVERAGE('Assumptions (Coal)'!$AL$2:$AQ$2)/10^9),0)</f>
        <v>0</v>
      </c>
      <c r="AV126" s="160">
        <f>IF($AS$18&gt;0,PPMT('Assumptions (Coal)'!$V$7,Model!Z1,'Assumptions (Coal)'!$V$10,'Assumptions (Coal)'!$V$5*Model!$AS$18*AVERAGE('Assumptions (Coal)'!$AL$2:$AQ$2)/10^9),0)</f>
        <v>0</v>
      </c>
      <c r="AW126" s="160">
        <f>IF($AS$18&gt;0,PPMT('Assumptions (Coal)'!$V$7,Model!AA1,'Assumptions (Coal)'!$V$10,'Assumptions (Coal)'!$V$5*Model!$AS$18*AVERAGE('Assumptions (Coal)'!$AL$2:$AQ$2)/10^9),0)</f>
        <v>0</v>
      </c>
      <c r="AX126" s="160">
        <f>IF($AS$18&gt;0,PPMT('Assumptions (Coal)'!$V$7,Model!AB1,'Assumptions (Coal)'!$V$10,'Assumptions (Coal)'!$V$5*Model!$AS$18*AVERAGE('Assumptions (Coal)'!$AL$2:$AQ$2)/10^9),0)</f>
        <v>0</v>
      </c>
      <c r="AY126" s="160">
        <f>IF($AS$18&gt;0,PPMT('Assumptions (Coal)'!$V$7,Model!AC1,'Assumptions (Coal)'!$V$10,'Assumptions (Coal)'!$V$5*Model!$AS$18*AVERAGE('Assumptions (Coal)'!$AL$2:$AQ$2)/10^9),0)</f>
        <v>0</v>
      </c>
      <c r="AZ126" s="160">
        <f>IF($AS$18&gt;0,PPMT('Assumptions (Coal)'!$V$7,Model!AD1,'Assumptions (Coal)'!$V$10,'Assumptions (Coal)'!$V$5*Model!$AS$18*AVERAGE('Assumptions (Coal)'!$AL$2:$AQ$2)/10^9),0)</f>
        <v>0</v>
      </c>
      <c r="BA126" s="160">
        <f>IF($AS$18&gt;0,PPMT('Assumptions (Coal)'!$V$7,Model!AE1,'Assumptions (Coal)'!$V$10,'Assumptions (Coal)'!$V$5*Model!$AS$18*AVERAGE('Assumptions (Coal)'!$AL$2:$AQ$2)/10^9),0)</f>
        <v>0</v>
      </c>
      <c r="BB126" s="160">
        <f>IF($AS$18&gt;0,PPMT('Assumptions (Coal)'!$V$7,Model!AF1,'Assumptions (Coal)'!$V$10,'Assumptions (Coal)'!$V$5*Model!$AS$18*AVERAGE('Assumptions (Coal)'!$AL$2:$AQ$2)/10^9),0)</f>
        <v>0</v>
      </c>
      <c r="BC126" s="160">
        <f>IF($AS$18&gt;0,PPMT('Assumptions (Coal)'!$V$7,Model!AG1,'Assumptions (Coal)'!$V$10,'Assumptions (Coal)'!$V$5*Model!$AS$18*AVERAGE('Assumptions (Coal)'!$AL$2:$AQ$2)/10^9),0)</f>
        <v>0</v>
      </c>
      <c r="BD126" s="160">
        <f>IF($AS$18&gt;0,PPMT('Assumptions (Coal)'!$V$7,Model!AH1,'Assumptions (Coal)'!$V$10,'Assumptions (Coal)'!$V$5*Model!$AS$18*AVERAGE('Assumptions (Coal)'!$AL$2:$AQ$2)/10^9),0)</f>
        <v>0</v>
      </c>
      <c r="BE126" s="160">
        <f>IF($AS$18&gt;0,PPMT('Assumptions (Coal)'!$V$7,Model!AI1,'Assumptions (Coal)'!$V$10,'Assumptions (Coal)'!$V$5*Model!$AS$18*AVERAGE('Assumptions (Coal)'!$AL$2:$AQ$2)/10^9),0)</f>
        <v>0</v>
      </c>
      <c r="BF126" s="160">
        <f>IF($AS$18&gt;0,PPMT('Assumptions (Coal)'!$V$7,Model!AJ1,'Assumptions (Coal)'!$V$10,'Assumptions (Coal)'!$V$5*Model!$AS$18*AVERAGE('Assumptions (Coal)'!$AL$2:$AQ$2)/10^9),0)</f>
        <v>0</v>
      </c>
      <c r="BG126" s="160">
        <f>IF($AS$18&gt;0,PPMT('Assumptions (Coal)'!$V$7,Model!AK1,'Assumptions (Coal)'!$V$10,'Assumptions (Coal)'!$V$5*Model!$AS$18*AVERAGE('Assumptions (Coal)'!$AL$2:$AQ$2)/10^9),0)</f>
        <v>0</v>
      </c>
      <c r="BH126" s="160"/>
      <c r="BI126" s="160"/>
      <c r="BJ126" s="160"/>
      <c r="BK126" s="160"/>
      <c r="BL126" s="160"/>
      <c r="BM126" s="160"/>
      <c r="BN126" s="160"/>
      <c r="BO126" s="160"/>
      <c r="BP126" s="160"/>
      <c r="BQ126" s="160"/>
      <c r="BR126" s="160"/>
    </row>
    <row r="127" ht="15.75" hidden="1" customHeight="1" outlineLevel="1">
      <c r="A127" s="158"/>
      <c r="B127" s="38"/>
      <c r="C127" s="174"/>
      <c r="D127" s="174"/>
      <c r="E127" s="174"/>
      <c r="F127" s="174"/>
      <c r="G127" s="174"/>
      <c r="H127" s="174"/>
      <c r="I127" s="174"/>
      <c r="J127" s="174"/>
      <c r="K127" s="174"/>
      <c r="L127" s="174"/>
      <c r="M127" s="174"/>
      <c r="N127" s="174"/>
      <c r="O127" s="174"/>
      <c r="P127" s="174"/>
      <c r="Q127" s="174"/>
      <c r="R127" s="174"/>
      <c r="S127" s="174"/>
      <c r="T127" s="174"/>
      <c r="U127" s="174"/>
      <c r="V127" s="174"/>
      <c r="W127" s="160"/>
      <c r="X127" s="160"/>
      <c r="Y127" s="160"/>
      <c r="Z127" s="160"/>
      <c r="AA127" s="160"/>
      <c r="AB127" s="160"/>
      <c r="AC127" s="160"/>
      <c r="AD127" s="160"/>
      <c r="AE127" s="160"/>
      <c r="AF127" s="160"/>
      <c r="AG127" s="160"/>
      <c r="AH127" s="160"/>
      <c r="AI127" s="160"/>
      <c r="AJ127" s="179"/>
      <c r="AK127" s="160"/>
      <c r="AL127" s="177"/>
      <c r="AM127" s="177"/>
      <c r="AN127" s="177"/>
      <c r="AO127" s="160"/>
      <c r="AP127" s="160"/>
      <c r="AQ127" s="160"/>
      <c r="AR127" s="160"/>
      <c r="AS127" s="160"/>
      <c r="AT127" s="160">
        <f>IF($AT$18&gt;0,PPMT('Assumptions (Coal)'!$V$7,Model!W1,'Assumptions (Coal)'!$V$10,'Assumptions (Coal)'!$V$5*Model!$AT$18*AVERAGE('Assumptions (Coal)'!$AM$2:$AR$2)/10^9),0)</f>
        <v>0</v>
      </c>
      <c r="AU127" s="160">
        <f>IF($AT$18&gt;0,PPMT('Assumptions (Coal)'!$V$7,Model!X1,'Assumptions (Coal)'!$V$10,'Assumptions (Coal)'!$V$5*Model!$AT$18*AVERAGE('Assumptions (Coal)'!$AM$2:$AR$2)/10^9),0)</f>
        <v>0</v>
      </c>
      <c r="AV127" s="160">
        <f>IF($AT$18&gt;0,PPMT('Assumptions (Coal)'!$V$7,Model!Y1,'Assumptions (Coal)'!$V$10,'Assumptions (Coal)'!$V$5*Model!$AT$18*AVERAGE('Assumptions (Coal)'!$AM$2:$AR$2)/10^9),0)</f>
        <v>0</v>
      </c>
      <c r="AW127" s="160">
        <f>IF($AT$18&gt;0,PPMT('Assumptions (Coal)'!$V$7,Model!Z1,'Assumptions (Coal)'!$V$10,'Assumptions (Coal)'!$V$5*Model!$AT$18*AVERAGE('Assumptions (Coal)'!$AM$2:$AR$2)/10^9),0)</f>
        <v>0</v>
      </c>
      <c r="AX127" s="160">
        <f>IF($AT$18&gt;0,PPMT('Assumptions (Coal)'!$V$7,Model!AA1,'Assumptions (Coal)'!$V$10,'Assumptions (Coal)'!$V$5*Model!$AT$18*AVERAGE('Assumptions (Coal)'!$AM$2:$AR$2)/10^9),0)</f>
        <v>0</v>
      </c>
      <c r="AY127" s="160">
        <f>IF($AT$18&gt;0,PPMT('Assumptions (Coal)'!$V$7,Model!AB1,'Assumptions (Coal)'!$V$10,'Assumptions (Coal)'!$V$5*Model!$AT$18*AVERAGE('Assumptions (Coal)'!$AM$2:$AR$2)/10^9),0)</f>
        <v>0</v>
      </c>
      <c r="AZ127" s="160">
        <f>IF($AT$18&gt;0,PPMT('Assumptions (Coal)'!$V$7,Model!AC1,'Assumptions (Coal)'!$V$10,'Assumptions (Coal)'!$V$5*Model!$AT$18*AVERAGE('Assumptions (Coal)'!$AM$2:$AR$2)/10^9),0)</f>
        <v>0</v>
      </c>
      <c r="BA127" s="160">
        <f>IF($AT$18&gt;0,PPMT('Assumptions (Coal)'!$V$7,Model!AD1,'Assumptions (Coal)'!$V$10,'Assumptions (Coal)'!$V$5*Model!$AT$18*AVERAGE('Assumptions (Coal)'!$AM$2:$AR$2)/10^9),0)</f>
        <v>0</v>
      </c>
      <c r="BB127" s="160">
        <f>IF($AT$18&gt;0,PPMT('Assumptions (Coal)'!$V$7,Model!AE1,'Assumptions (Coal)'!$V$10,'Assumptions (Coal)'!$V$5*Model!$AT$18*AVERAGE('Assumptions (Coal)'!$AM$2:$AR$2)/10^9),0)</f>
        <v>0</v>
      </c>
      <c r="BC127" s="160">
        <f>IF($AT$18&gt;0,PPMT('Assumptions (Coal)'!$V$7,Model!AF1,'Assumptions (Coal)'!$V$10,'Assumptions (Coal)'!$V$5*Model!$AT$18*AVERAGE('Assumptions (Coal)'!$AM$2:$AR$2)/10^9),0)</f>
        <v>0</v>
      </c>
      <c r="BD127" s="160">
        <f>IF($AT$18&gt;0,PPMT('Assumptions (Coal)'!$V$7,Model!AG1,'Assumptions (Coal)'!$V$10,'Assumptions (Coal)'!$V$5*Model!$AT$18*AVERAGE('Assumptions (Coal)'!$AM$2:$AR$2)/10^9),0)</f>
        <v>0</v>
      </c>
      <c r="BE127" s="160">
        <f>IF($AT$18&gt;0,PPMT('Assumptions (Coal)'!$V$7,Model!AH1,'Assumptions (Coal)'!$V$10,'Assumptions (Coal)'!$V$5*Model!$AT$18*AVERAGE('Assumptions (Coal)'!$AM$2:$AR$2)/10^9),0)</f>
        <v>0</v>
      </c>
      <c r="BF127" s="160">
        <f>IF($AT$18&gt;0,PPMT('Assumptions (Coal)'!$V$7,Model!AI1,'Assumptions (Coal)'!$V$10,'Assumptions (Coal)'!$V$5*Model!$AT$18*AVERAGE('Assumptions (Coal)'!$AM$2:$AR$2)/10^9),0)</f>
        <v>0</v>
      </c>
      <c r="BG127" s="160">
        <f>IF($AT$18&gt;0,PPMT('Assumptions (Coal)'!$V$7,Model!AJ1,'Assumptions (Coal)'!$V$10,'Assumptions (Coal)'!$V$5*Model!$AT$18*AVERAGE('Assumptions (Coal)'!$AM$2:$AR$2)/10^9),0)</f>
        <v>0</v>
      </c>
      <c r="BH127" s="160">
        <f>IF($AT$18&gt;0,PPMT('Assumptions (Coal)'!$V$7,Model!AK1,'Assumptions (Coal)'!$V$10,'Assumptions (Coal)'!$V$5*Model!$AT$18*AVERAGE('Assumptions (Coal)'!$AM$2:$AR$2)/10^9),0)</f>
        <v>0</v>
      </c>
      <c r="BI127" s="160"/>
      <c r="BJ127" s="160"/>
      <c r="BK127" s="160"/>
      <c r="BL127" s="160"/>
      <c r="BM127" s="160"/>
      <c r="BN127" s="160"/>
      <c r="BO127" s="160"/>
      <c r="BP127" s="160"/>
      <c r="BQ127" s="160"/>
      <c r="BR127" s="160"/>
    </row>
    <row r="128" ht="15.75" hidden="1" customHeight="1" outlineLevel="1">
      <c r="A128" s="158"/>
      <c r="B128" s="38"/>
      <c r="C128" s="174"/>
      <c r="D128" s="174"/>
      <c r="E128" s="174"/>
      <c r="F128" s="174"/>
      <c r="G128" s="174"/>
      <c r="H128" s="174"/>
      <c r="I128" s="174"/>
      <c r="J128" s="174"/>
      <c r="K128" s="174"/>
      <c r="L128" s="174"/>
      <c r="M128" s="174"/>
      <c r="N128" s="174"/>
      <c r="O128" s="174"/>
      <c r="P128" s="174"/>
      <c r="Q128" s="174"/>
      <c r="R128" s="174"/>
      <c r="S128" s="174"/>
      <c r="T128" s="174"/>
      <c r="U128" s="174"/>
      <c r="V128" s="174"/>
      <c r="W128" s="160"/>
      <c r="X128" s="160"/>
      <c r="Y128" s="160"/>
      <c r="Z128" s="160"/>
      <c r="AA128" s="160"/>
      <c r="AB128" s="160"/>
      <c r="AC128" s="160"/>
      <c r="AD128" s="160"/>
      <c r="AE128" s="160"/>
      <c r="AF128" s="160"/>
      <c r="AG128" s="160"/>
      <c r="AH128" s="160"/>
      <c r="AI128" s="160"/>
      <c r="AJ128" s="179"/>
      <c r="AK128" s="160"/>
      <c r="AL128" s="177"/>
      <c r="AM128" s="177"/>
      <c r="AN128" s="177"/>
      <c r="AO128" s="160"/>
      <c r="AP128" s="160"/>
      <c r="AQ128" s="160"/>
      <c r="AR128" s="160"/>
      <c r="AS128" s="160"/>
      <c r="AT128" s="160"/>
      <c r="AU128" s="160">
        <f>IF($AU$18&gt;0,PPMT('Assumptions (Coal)'!$V$7,Model!W1,'Assumptions (Coal)'!$V$10,'Assumptions (Coal)'!$V$5*Model!$AU$18*AVERAGE('Assumptions (Coal)'!$AN$2:$AS$2)/10^9),0)</f>
        <v>0</v>
      </c>
      <c r="AV128" s="160">
        <f>IF($AU$18&gt;0,PPMT('Assumptions (Coal)'!$V$7,Model!X1,'Assumptions (Coal)'!$V$10,'Assumptions (Coal)'!$V$5*Model!$AU$18*AVERAGE('Assumptions (Coal)'!$AN$2:$AS$2)/10^9),0)</f>
        <v>0</v>
      </c>
      <c r="AW128" s="160">
        <f>IF($AU$18&gt;0,PPMT('Assumptions (Coal)'!$V$7,Model!Y1,'Assumptions (Coal)'!$V$10,'Assumptions (Coal)'!$V$5*Model!$AU$18*AVERAGE('Assumptions (Coal)'!$AN$2:$AS$2)/10^9),0)</f>
        <v>0</v>
      </c>
      <c r="AX128" s="160">
        <f>IF($AU$18&gt;0,PPMT('Assumptions (Coal)'!$V$7,Model!Z1,'Assumptions (Coal)'!$V$10,'Assumptions (Coal)'!$V$5*Model!$AU$18*AVERAGE('Assumptions (Coal)'!$AN$2:$AS$2)/10^9),0)</f>
        <v>0</v>
      </c>
      <c r="AY128" s="160">
        <f>IF($AU$18&gt;0,PPMT('Assumptions (Coal)'!$V$7,Model!AA1,'Assumptions (Coal)'!$V$10,'Assumptions (Coal)'!$V$5*Model!$AU$18*AVERAGE('Assumptions (Coal)'!$AN$2:$AS$2)/10^9),0)</f>
        <v>0</v>
      </c>
      <c r="AZ128" s="160">
        <f>IF($AU$18&gt;0,PPMT('Assumptions (Coal)'!$V$7,Model!AB1,'Assumptions (Coal)'!$V$10,'Assumptions (Coal)'!$V$5*Model!$AU$18*AVERAGE('Assumptions (Coal)'!$AN$2:$AS$2)/10^9),0)</f>
        <v>0</v>
      </c>
      <c r="BA128" s="160">
        <f>IF($AU$18&gt;0,PPMT('Assumptions (Coal)'!$V$7,Model!AC1,'Assumptions (Coal)'!$V$10,'Assumptions (Coal)'!$V$5*Model!$AU$18*AVERAGE('Assumptions (Coal)'!$AN$2:$AS$2)/10^9),0)</f>
        <v>0</v>
      </c>
      <c r="BB128" s="160">
        <f>IF($AU$18&gt;0,PPMT('Assumptions (Coal)'!$V$7,Model!AD1,'Assumptions (Coal)'!$V$10,'Assumptions (Coal)'!$V$5*Model!$AU$18*AVERAGE('Assumptions (Coal)'!$AN$2:$AS$2)/10^9),0)</f>
        <v>0</v>
      </c>
      <c r="BC128" s="160">
        <f>IF($AU$18&gt;0,PPMT('Assumptions (Coal)'!$V$7,Model!AE1,'Assumptions (Coal)'!$V$10,'Assumptions (Coal)'!$V$5*Model!$AU$18*AVERAGE('Assumptions (Coal)'!$AN$2:$AS$2)/10^9),0)</f>
        <v>0</v>
      </c>
      <c r="BD128" s="160">
        <f>IF($AU$18&gt;0,PPMT('Assumptions (Coal)'!$V$7,Model!AF1,'Assumptions (Coal)'!$V$10,'Assumptions (Coal)'!$V$5*Model!$AU$18*AVERAGE('Assumptions (Coal)'!$AN$2:$AS$2)/10^9),0)</f>
        <v>0</v>
      </c>
      <c r="BE128" s="160">
        <f>IF($AU$18&gt;0,PPMT('Assumptions (Coal)'!$V$7,Model!AG1,'Assumptions (Coal)'!$V$10,'Assumptions (Coal)'!$V$5*Model!$AU$18*AVERAGE('Assumptions (Coal)'!$AN$2:$AS$2)/10^9),0)</f>
        <v>0</v>
      </c>
      <c r="BF128" s="160">
        <f>IF($AU$18&gt;0,PPMT('Assumptions (Coal)'!$V$7,Model!AH1,'Assumptions (Coal)'!$V$10,'Assumptions (Coal)'!$V$5*Model!$AU$18*AVERAGE('Assumptions (Coal)'!$AN$2:$AS$2)/10^9),0)</f>
        <v>0</v>
      </c>
      <c r="BG128" s="160">
        <f>IF($AU$18&gt;0,PPMT('Assumptions (Coal)'!$V$7,Model!AI1,'Assumptions (Coal)'!$V$10,'Assumptions (Coal)'!$V$5*Model!$AU$18*AVERAGE('Assumptions (Coal)'!$AN$2:$AS$2)/10^9),0)</f>
        <v>0</v>
      </c>
      <c r="BH128" s="160">
        <f>IF($AU$18&gt;0,PPMT('Assumptions (Coal)'!$V$7,Model!AJ1,'Assumptions (Coal)'!$V$10,'Assumptions (Coal)'!$V$5*Model!$AU$18*AVERAGE('Assumptions (Coal)'!$AN$2:$AS$2)/10^9),0)</f>
        <v>0</v>
      </c>
      <c r="BI128" s="160">
        <f>IF($AU$18&gt;0,PPMT('Assumptions (Coal)'!$V$7,Model!AK1,'Assumptions (Coal)'!$V$10,'Assumptions (Coal)'!$V$5*Model!$AU$18*AVERAGE('Assumptions (Coal)'!$AN$2:$AS$2)/10^9),0)</f>
        <v>0</v>
      </c>
      <c r="BJ128" s="160"/>
      <c r="BK128" s="160"/>
      <c r="BL128" s="160"/>
      <c r="BM128" s="160"/>
      <c r="BN128" s="160"/>
      <c r="BO128" s="160"/>
      <c r="BP128" s="160"/>
      <c r="BQ128" s="160"/>
      <c r="BR128" s="160"/>
      <c r="BS128" s="160"/>
    </row>
    <row r="129" ht="15.75" hidden="1" customHeight="1" outlineLevel="1">
      <c r="A129" s="158"/>
      <c r="B129" s="38"/>
      <c r="C129" s="174"/>
      <c r="D129" s="174"/>
      <c r="E129" s="174"/>
      <c r="F129" s="174"/>
      <c r="G129" s="174"/>
      <c r="H129" s="174"/>
      <c r="I129" s="174"/>
      <c r="J129" s="174"/>
      <c r="K129" s="174"/>
      <c r="L129" s="174"/>
      <c r="M129" s="174"/>
      <c r="N129" s="174"/>
      <c r="O129" s="174"/>
      <c r="P129" s="174"/>
      <c r="Q129" s="174"/>
      <c r="R129" s="174"/>
      <c r="S129" s="174"/>
      <c r="T129" s="174"/>
      <c r="U129" s="174"/>
      <c r="V129" s="174"/>
      <c r="W129" s="160"/>
      <c r="X129" s="160"/>
      <c r="Y129" s="160"/>
      <c r="Z129" s="160"/>
      <c r="AA129" s="160"/>
      <c r="AB129" s="160"/>
      <c r="AC129" s="160"/>
      <c r="AD129" s="160"/>
      <c r="AE129" s="160"/>
      <c r="AF129" s="160"/>
      <c r="AG129" s="160"/>
      <c r="AH129" s="160"/>
      <c r="AI129" s="160"/>
      <c r="AJ129" s="179"/>
      <c r="AK129" s="160"/>
      <c r="AL129" s="177"/>
      <c r="AM129" s="177"/>
      <c r="AN129" s="177"/>
      <c r="AO129" s="160"/>
      <c r="AP129" s="160"/>
      <c r="AQ129" s="160"/>
      <c r="AR129" s="160"/>
      <c r="AS129" s="160"/>
      <c r="AT129" s="160"/>
      <c r="AU129" s="160"/>
      <c r="AV129" s="160">
        <f>IF($AV$18&gt;0,PPMT('Assumptions (Coal)'!$V$7,Model!W1,'Assumptions (Coal)'!$V$10,'Assumptions (Coal)'!$V$5*Model!$AV$18*AVERAGE('Assumptions (Coal)'!$AO$2:$AT$2)/10^9),0)</f>
        <v>0</v>
      </c>
      <c r="AW129" s="160">
        <f>IF($AV$18&gt;0,PPMT('Assumptions (Coal)'!$V$7,Model!X1,'Assumptions (Coal)'!$V$10,'Assumptions (Coal)'!$V$5*Model!$AV$18*AVERAGE('Assumptions (Coal)'!$AO$2:$AT$2)/10^9),0)</f>
        <v>0</v>
      </c>
      <c r="AX129" s="160">
        <f>IF($AV$18&gt;0,PPMT('Assumptions (Coal)'!$V$7,Model!Y1,'Assumptions (Coal)'!$V$10,'Assumptions (Coal)'!$V$5*Model!$AV$18*AVERAGE('Assumptions (Coal)'!$AO$2:$AT$2)/10^9),0)</f>
        <v>0</v>
      </c>
      <c r="AY129" s="160">
        <f>IF($AV$18&gt;0,PPMT('Assumptions (Coal)'!$V$7,Model!Z1,'Assumptions (Coal)'!$V$10,'Assumptions (Coal)'!$V$5*Model!$AV$18*AVERAGE('Assumptions (Coal)'!$AO$2:$AT$2)/10^9),0)</f>
        <v>0</v>
      </c>
      <c r="AZ129" s="160">
        <f>IF($AV$18&gt;0,PPMT('Assumptions (Coal)'!$V$7,Model!AA1,'Assumptions (Coal)'!$V$10,'Assumptions (Coal)'!$V$5*Model!$AV$18*AVERAGE('Assumptions (Coal)'!$AO$2:$AT$2)/10^9),0)</f>
        <v>0</v>
      </c>
      <c r="BA129" s="160">
        <f>IF($AV$18&gt;0,PPMT('Assumptions (Coal)'!$V$7,Model!AB1,'Assumptions (Coal)'!$V$10,'Assumptions (Coal)'!$V$5*Model!$AV$18*AVERAGE('Assumptions (Coal)'!$AO$2:$AT$2)/10^9),0)</f>
        <v>0</v>
      </c>
      <c r="BB129" s="160">
        <f>IF($AV$18&gt;0,PPMT('Assumptions (Coal)'!$V$7,Model!AC1,'Assumptions (Coal)'!$V$10,'Assumptions (Coal)'!$V$5*Model!$AV$18*AVERAGE('Assumptions (Coal)'!$AO$2:$AT$2)/10^9),0)</f>
        <v>0</v>
      </c>
      <c r="BC129" s="160">
        <f>IF($AV$18&gt;0,PPMT('Assumptions (Coal)'!$V$7,Model!AD1,'Assumptions (Coal)'!$V$10,'Assumptions (Coal)'!$V$5*Model!$AV$18*AVERAGE('Assumptions (Coal)'!$AO$2:$AT$2)/10^9),0)</f>
        <v>0</v>
      </c>
      <c r="BD129" s="160">
        <f>IF($AV$18&gt;0,PPMT('Assumptions (Coal)'!$V$7,Model!AE1,'Assumptions (Coal)'!$V$10,'Assumptions (Coal)'!$V$5*Model!$AV$18*AVERAGE('Assumptions (Coal)'!$AO$2:$AT$2)/10^9),0)</f>
        <v>0</v>
      </c>
      <c r="BE129" s="160">
        <f>IF($AV$18&gt;0,PPMT('Assumptions (Coal)'!$V$7,Model!AF1,'Assumptions (Coal)'!$V$10,'Assumptions (Coal)'!$V$5*Model!$AV$18*AVERAGE('Assumptions (Coal)'!$AO$2:$AT$2)/10^9),0)</f>
        <v>0</v>
      </c>
      <c r="BF129" s="160">
        <f>IF($AV$18&gt;0,PPMT('Assumptions (Coal)'!$V$7,Model!AG1,'Assumptions (Coal)'!$V$10,'Assumptions (Coal)'!$V$5*Model!$AV$18*AVERAGE('Assumptions (Coal)'!$AO$2:$AT$2)/10^9),0)</f>
        <v>0</v>
      </c>
      <c r="BG129" s="160">
        <f>IF($AV$18&gt;0,PPMT('Assumptions (Coal)'!$V$7,Model!AH1,'Assumptions (Coal)'!$V$10,'Assumptions (Coal)'!$V$5*Model!$AV$18*AVERAGE('Assumptions (Coal)'!$AO$2:$AT$2)/10^9),0)</f>
        <v>0</v>
      </c>
      <c r="BH129" s="160">
        <f>IF($AV$18&gt;0,PPMT('Assumptions (Coal)'!$V$7,Model!AI1,'Assumptions (Coal)'!$V$10,'Assumptions (Coal)'!$V$5*Model!$AV$18*AVERAGE('Assumptions (Coal)'!$AO$2:$AT$2)/10^9),0)</f>
        <v>0</v>
      </c>
      <c r="BI129" s="160">
        <f>IF($AV$18&gt;0,PPMT('Assumptions (Coal)'!$V$7,Model!AJ1,'Assumptions (Coal)'!$V$10,'Assumptions (Coal)'!$V$5*Model!$AV$18*AVERAGE('Assumptions (Coal)'!$AO$2:$AT$2)/10^9),0)</f>
        <v>0</v>
      </c>
      <c r="BJ129" s="160">
        <f>IF($AV$18&gt;0,PPMT('Assumptions (Coal)'!$V$7,Model!AK1,'Assumptions (Coal)'!$V$10,'Assumptions (Coal)'!$V$5*Model!$AV$18*AVERAGE('Assumptions (Coal)'!$AO$2:$AT$2)/10^9),0)</f>
        <v>0</v>
      </c>
      <c r="BK129" s="160"/>
      <c r="BL129" s="160"/>
      <c r="BM129" s="160"/>
      <c r="BN129" s="160"/>
      <c r="BO129" s="160"/>
      <c r="BP129" s="160"/>
      <c r="BQ129" s="160"/>
      <c r="BR129" s="160"/>
      <c r="BS129" s="160"/>
      <c r="BT129" s="160"/>
    </row>
    <row r="130" ht="15.75" hidden="1" customHeight="1" outlineLevel="1">
      <c r="A130" s="158"/>
      <c r="B130" s="38"/>
      <c r="C130" s="174"/>
      <c r="D130" s="174"/>
      <c r="E130" s="174"/>
      <c r="F130" s="174"/>
      <c r="G130" s="174"/>
      <c r="H130" s="174"/>
      <c r="I130" s="174"/>
      <c r="J130" s="174"/>
      <c r="K130" s="174"/>
      <c r="L130" s="174"/>
      <c r="M130" s="174"/>
      <c r="N130" s="174"/>
      <c r="O130" s="174"/>
      <c r="P130" s="174"/>
      <c r="Q130" s="174"/>
      <c r="R130" s="174"/>
      <c r="S130" s="174"/>
      <c r="T130" s="174"/>
      <c r="U130" s="174"/>
      <c r="V130" s="174"/>
      <c r="W130" s="160"/>
      <c r="X130" s="160"/>
      <c r="Y130" s="160"/>
      <c r="Z130" s="160"/>
      <c r="AA130" s="160"/>
      <c r="AB130" s="160"/>
      <c r="AC130" s="160"/>
      <c r="AD130" s="160"/>
      <c r="AE130" s="160"/>
      <c r="AF130" s="160"/>
      <c r="AG130" s="160"/>
      <c r="AH130" s="160"/>
      <c r="AI130" s="160"/>
      <c r="AJ130" s="179"/>
      <c r="AK130" s="160"/>
      <c r="AL130" s="177"/>
      <c r="AM130" s="177"/>
      <c r="AN130" s="177"/>
      <c r="AO130" s="160"/>
      <c r="AP130" s="160"/>
      <c r="AQ130" s="160"/>
      <c r="AR130" s="160"/>
      <c r="AS130" s="160"/>
      <c r="AT130" s="160"/>
      <c r="AU130" s="160"/>
      <c r="AV130" s="160"/>
      <c r="AW130" s="160">
        <f>IF($AW$18&gt;0,PPMT('Assumptions (Coal)'!$V$7,Model!W1,'Assumptions (Coal)'!$V$10,'Assumptions (Coal)'!$V$5*Model!$AW$18*AVERAGE('Assumptions (Coal)'!$AP$2:$AU$2)/10^9),0)</f>
        <v>0</v>
      </c>
      <c r="AX130" s="160">
        <f>IF($AW$18&gt;0,PPMT('Assumptions (Coal)'!$V$7,Model!X1,'Assumptions (Coal)'!$V$10,'Assumptions (Coal)'!$V$5*Model!$AW$18*AVERAGE('Assumptions (Coal)'!$AP$2:$AU$2)/10^9),0)</f>
        <v>0</v>
      </c>
      <c r="AY130" s="160">
        <f>IF($AW$18&gt;0,PPMT('Assumptions (Coal)'!$V$7,Model!Y1,'Assumptions (Coal)'!$V$10,'Assumptions (Coal)'!$V$5*Model!$AW$18*AVERAGE('Assumptions (Coal)'!$AP$2:$AU$2)/10^9),0)</f>
        <v>0</v>
      </c>
      <c r="AZ130" s="160">
        <f>IF($AW$18&gt;0,PPMT('Assumptions (Coal)'!$V$7,Model!Z1,'Assumptions (Coal)'!$V$10,'Assumptions (Coal)'!$V$5*Model!$AW$18*AVERAGE('Assumptions (Coal)'!$AP$2:$AU$2)/10^9),0)</f>
        <v>0</v>
      </c>
      <c r="BA130" s="160">
        <f>IF($AW$18&gt;0,PPMT('Assumptions (Coal)'!$V$7,Model!AA1,'Assumptions (Coal)'!$V$10,'Assumptions (Coal)'!$V$5*Model!$AW$18*AVERAGE('Assumptions (Coal)'!$AP$2:$AU$2)/10^9),0)</f>
        <v>0</v>
      </c>
      <c r="BB130" s="160">
        <f>IF($AW$18&gt;0,PPMT('Assumptions (Coal)'!$V$7,Model!AB1,'Assumptions (Coal)'!$V$10,'Assumptions (Coal)'!$V$5*Model!$AW$18*AVERAGE('Assumptions (Coal)'!$AP$2:$AU$2)/10^9),0)</f>
        <v>0</v>
      </c>
      <c r="BC130" s="160">
        <f>IF($AW$18&gt;0,PPMT('Assumptions (Coal)'!$V$7,Model!AC1,'Assumptions (Coal)'!$V$10,'Assumptions (Coal)'!$V$5*Model!$AW$18*AVERAGE('Assumptions (Coal)'!$AP$2:$AU$2)/10^9),0)</f>
        <v>0</v>
      </c>
      <c r="BD130" s="160">
        <f>IF($AW$18&gt;0,PPMT('Assumptions (Coal)'!$V$7,Model!AD1,'Assumptions (Coal)'!$V$10,'Assumptions (Coal)'!$V$5*Model!$AW$18*AVERAGE('Assumptions (Coal)'!$AP$2:$AU$2)/10^9),0)</f>
        <v>0</v>
      </c>
      <c r="BE130" s="160">
        <f>IF($AW$18&gt;0,PPMT('Assumptions (Coal)'!$V$7,Model!AE1,'Assumptions (Coal)'!$V$10,'Assumptions (Coal)'!$V$5*Model!$AW$18*AVERAGE('Assumptions (Coal)'!$AP$2:$AU$2)/10^9),0)</f>
        <v>0</v>
      </c>
      <c r="BF130" s="160">
        <f>IF($AW$18&gt;0,PPMT('Assumptions (Coal)'!$V$7,Model!AF1,'Assumptions (Coal)'!$V$10,'Assumptions (Coal)'!$V$5*Model!$AW$18*AVERAGE('Assumptions (Coal)'!$AP$2:$AU$2)/10^9),0)</f>
        <v>0</v>
      </c>
      <c r="BG130" s="160">
        <f>IF($AW$18&gt;0,PPMT('Assumptions (Coal)'!$V$7,Model!AG1,'Assumptions (Coal)'!$V$10,'Assumptions (Coal)'!$V$5*Model!$AW$18*AVERAGE('Assumptions (Coal)'!$AP$2:$AU$2)/10^9),0)</f>
        <v>0</v>
      </c>
      <c r="BH130" s="160">
        <f>IF($AW$18&gt;0,PPMT('Assumptions (Coal)'!$V$7,Model!AH1,'Assumptions (Coal)'!$V$10,'Assumptions (Coal)'!$V$5*Model!$AW$18*AVERAGE('Assumptions (Coal)'!$AP$2:$AU$2)/10^9),0)</f>
        <v>0</v>
      </c>
      <c r="BI130" s="160">
        <f>IF($AW$18&gt;0,PPMT('Assumptions (Coal)'!$V$7,Model!AI1,'Assumptions (Coal)'!$V$10,'Assumptions (Coal)'!$V$5*Model!$AW$18*AVERAGE('Assumptions (Coal)'!$AP$2:$AU$2)/10^9),0)</f>
        <v>0</v>
      </c>
      <c r="BJ130" s="160">
        <f>IF($AW$18&gt;0,PPMT('Assumptions (Coal)'!$V$7,Model!AJ1,'Assumptions (Coal)'!$V$10,'Assumptions (Coal)'!$V$5*Model!$AW$18*AVERAGE('Assumptions (Coal)'!$AP$2:$AU$2)/10^9),0)</f>
        <v>0</v>
      </c>
      <c r="BK130" s="160">
        <f>IF($AW$18&gt;0,PPMT('Assumptions (Coal)'!$V$7,Model!AK1,'Assumptions (Coal)'!$V$10,'Assumptions (Coal)'!$V$5*Model!$AW$18*AVERAGE('Assumptions (Coal)'!$AP$2:$AU$2)/10^9),0)</f>
        <v>0</v>
      </c>
      <c r="BL130" s="160"/>
      <c r="BM130" s="160"/>
      <c r="BN130" s="160"/>
      <c r="BO130" s="160"/>
      <c r="BP130" s="160"/>
      <c r="BQ130" s="160"/>
      <c r="BR130" s="160"/>
      <c r="BS130" s="160"/>
      <c r="BT130" s="160"/>
      <c r="BU130" s="160"/>
    </row>
    <row r="131" ht="15.75" hidden="1" customHeight="1" outlineLevel="1">
      <c r="A131" s="158"/>
      <c r="B131" s="38"/>
      <c r="C131" s="174"/>
      <c r="D131" s="174"/>
      <c r="E131" s="174"/>
      <c r="F131" s="174"/>
      <c r="G131" s="174"/>
      <c r="H131" s="174"/>
      <c r="I131" s="174"/>
      <c r="J131" s="174"/>
      <c r="K131" s="174"/>
      <c r="L131" s="174"/>
      <c r="M131" s="174"/>
      <c r="N131" s="174"/>
      <c r="O131" s="174"/>
      <c r="P131" s="174"/>
      <c r="Q131" s="174"/>
      <c r="R131" s="174"/>
      <c r="S131" s="174"/>
      <c r="T131" s="174"/>
      <c r="U131" s="174"/>
      <c r="V131" s="174"/>
      <c r="W131" s="160"/>
      <c r="X131" s="160"/>
      <c r="Y131" s="160"/>
      <c r="Z131" s="160"/>
      <c r="AA131" s="160"/>
      <c r="AB131" s="160"/>
      <c r="AC131" s="160"/>
      <c r="AD131" s="160"/>
      <c r="AE131" s="160"/>
      <c r="AF131" s="160"/>
      <c r="AG131" s="160"/>
      <c r="AH131" s="160"/>
      <c r="AI131" s="160"/>
      <c r="AJ131" s="179"/>
      <c r="AK131" s="160"/>
      <c r="AL131" s="177"/>
      <c r="AM131" s="177"/>
      <c r="AN131" s="177"/>
      <c r="AO131" s="160"/>
      <c r="AP131" s="160"/>
      <c r="AQ131" s="160"/>
      <c r="AR131" s="160"/>
      <c r="AS131" s="160"/>
      <c r="AT131" s="160"/>
      <c r="AU131" s="160"/>
      <c r="AV131" s="160"/>
      <c r="AW131" s="160"/>
      <c r="AX131" s="160">
        <f>IF($AX$18&gt;0,PPMT('Assumptions (Coal)'!$V$7,Model!W1,'Assumptions (Coal)'!$V$10,'Assumptions (Coal)'!$V$5*Model!$AX$18*AVERAGE('Assumptions (Coal)'!$AQ$2:$AV$2)/10^9),0)</f>
        <v>0</v>
      </c>
      <c r="AY131" s="160">
        <f>IF($AX$18&gt;0,PPMT('Assumptions (Coal)'!$V$7,Model!X1,'Assumptions (Coal)'!$V$10,'Assumptions (Coal)'!$V$5*Model!$AX$18*AVERAGE('Assumptions (Coal)'!$AQ$2:$AV$2)/10^9),0)</f>
        <v>0</v>
      </c>
      <c r="AZ131" s="160">
        <f>IF($AX$18&gt;0,PPMT('Assumptions (Coal)'!$V$7,Model!Y1,'Assumptions (Coal)'!$V$10,'Assumptions (Coal)'!$V$5*Model!$AX$18*AVERAGE('Assumptions (Coal)'!$AQ$2:$AV$2)/10^9),0)</f>
        <v>0</v>
      </c>
      <c r="BA131" s="160">
        <f>IF($AX$18&gt;0,PPMT('Assumptions (Coal)'!$V$7,Model!Z1,'Assumptions (Coal)'!$V$10,'Assumptions (Coal)'!$V$5*Model!$AX$18*AVERAGE('Assumptions (Coal)'!$AQ$2:$AV$2)/10^9),0)</f>
        <v>0</v>
      </c>
      <c r="BB131" s="160">
        <f>IF($AX$18&gt;0,PPMT('Assumptions (Coal)'!$V$7,Model!AA1,'Assumptions (Coal)'!$V$10,'Assumptions (Coal)'!$V$5*Model!$AX$18*AVERAGE('Assumptions (Coal)'!$AQ$2:$AV$2)/10^9),0)</f>
        <v>0</v>
      </c>
      <c r="BC131" s="160">
        <f>IF($AX$18&gt;0,PPMT('Assumptions (Coal)'!$V$7,Model!AB1,'Assumptions (Coal)'!$V$10,'Assumptions (Coal)'!$V$5*Model!$AX$18*AVERAGE('Assumptions (Coal)'!$AQ$2:$AV$2)/10^9),0)</f>
        <v>0</v>
      </c>
      <c r="BD131" s="160">
        <f>IF($AX$18&gt;0,PPMT('Assumptions (Coal)'!$V$7,Model!AC1,'Assumptions (Coal)'!$V$10,'Assumptions (Coal)'!$V$5*Model!$AX$18*AVERAGE('Assumptions (Coal)'!$AQ$2:$AV$2)/10^9),0)</f>
        <v>0</v>
      </c>
      <c r="BE131" s="160">
        <f>IF($AX$18&gt;0,PPMT('Assumptions (Coal)'!$V$7,Model!AD1,'Assumptions (Coal)'!$V$10,'Assumptions (Coal)'!$V$5*Model!$AX$18*AVERAGE('Assumptions (Coal)'!$AQ$2:$AV$2)/10^9),0)</f>
        <v>0</v>
      </c>
      <c r="BF131" s="160">
        <f>IF($AX$18&gt;0,PPMT('Assumptions (Coal)'!$V$7,Model!AE1,'Assumptions (Coal)'!$V$10,'Assumptions (Coal)'!$V$5*Model!$AX$18*AVERAGE('Assumptions (Coal)'!$AQ$2:$AV$2)/10^9),0)</f>
        <v>0</v>
      </c>
      <c r="BG131" s="160">
        <f>IF($AX$18&gt;0,PPMT('Assumptions (Coal)'!$V$7,Model!AF1,'Assumptions (Coal)'!$V$10,'Assumptions (Coal)'!$V$5*Model!$AX$18*AVERAGE('Assumptions (Coal)'!$AQ$2:$AV$2)/10^9),0)</f>
        <v>0</v>
      </c>
      <c r="BH131" s="160">
        <f>IF($AX$18&gt;0,PPMT('Assumptions (Coal)'!$V$7,Model!AG1,'Assumptions (Coal)'!$V$10,'Assumptions (Coal)'!$V$5*Model!$AX$18*AVERAGE('Assumptions (Coal)'!$AQ$2:$AV$2)/10^9),0)</f>
        <v>0</v>
      </c>
      <c r="BI131" s="160">
        <f>IF($AX$18&gt;0,PPMT('Assumptions (Coal)'!$V$7,Model!AH1,'Assumptions (Coal)'!$V$10,'Assumptions (Coal)'!$V$5*Model!$AX$18*AVERAGE('Assumptions (Coal)'!$AQ$2:$AV$2)/10^9),0)</f>
        <v>0</v>
      </c>
      <c r="BJ131" s="160">
        <f>IF($AX$18&gt;0,PPMT('Assumptions (Coal)'!$V$7,Model!AI1,'Assumptions (Coal)'!$V$10,'Assumptions (Coal)'!$V$5*Model!$AX$18*AVERAGE('Assumptions (Coal)'!$AQ$2:$AV$2)/10^9),0)</f>
        <v>0</v>
      </c>
      <c r="BK131" s="160">
        <f>IF($AX$18&gt;0,PPMT('Assumptions (Coal)'!$V$7,Model!AJ1,'Assumptions (Coal)'!$V$10,'Assumptions (Coal)'!$V$5*Model!$AX$18*AVERAGE('Assumptions (Coal)'!$AQ$2:$AV$2)/10^9),0)</f>
        <v>0</v>
      </c>
      <c r="BL131" s="160">
        <f>IF($AX$18&gt;0,PPMT('Assumptions (Coal)'!$V$7,Model!AK1,'Assumptions (Coal)'!$V$10,'Assumptions (Coal)'!$V$5*Model!$AX$18*AVERAGE('Assumptions (Coal)'!$AQ$2:$AV$2)/10^9),0)</f>
        <v>0</v>
      </c>
      <c r="BM131" s="160"/>
      <c r="BN131" s="160"/>
      <c r="BO131" s="160"/>
      <c r="BP131" s="160"/>
      <c r="BQ131" s="160"/>
      <c r="BR131" s="160"/>
      <c r="BS131" s="160"/>
      <c r="BT131" s="160"/>
      <c r="BU131" s="160"/>
      <c r="BV131" s="160"/>
    </row>
    <row r="132" ht="15.75" hidden="1" customHeight="1" outlineLevel="1">
      <c r="A132" s="158"/>
      <c r="B132" s="38"/>
      <c r="C132" s="174"/>
      <c r="D132" s="174"/>
      <c r="E132" s="174"/>
      <c r="F132" s="174"/>
      <c r="G132" s="174"/>
      <c r="H132" s="174"/>
      <c r="I132" s="174"/>
      <c r="J132" s="174"/>
      <c r="K132" s="174"/>
      <c r="L132" s="174"/>
      <c r="M132" s="174"/>
      <c r="N132" s="174"/>
      <c r="O132" s="174"/>
      <c r="P132" s="174"/>
      <c r="Q132" s="174"/>
      <c r="R132" s="174"/>
      <c r="S132" s="174"/>
      <c r="T132" s="174"/>
      <c r="U132" s="174"/>
      <c r="V132" s="174"/>
      <c r="W132" s="160"/>
      <c r="X132" s="160"/>
      <c r="Y132" s="160"/>
      <c r="Z132" s="160"/>
      <c r="AA132" s="160"/>
      <c r="AB132" s="160"/>
      <c r="AC132" s="160"/>
      <c r="AD132" s="160"/>
      <c r="AE132" s="160"/>
      <c r="AF132" s="160"/>
      <c r="AG132" s="160"/>
      <c r="AH132" s="160"/>
      <c r="AI132" s="160"/>
      <c r="AJ132" s="179"/>
      <c r="AK132" s="160"/>
      <c r="AL132" s="177"/>
      <c r="AM132" s="177"/>
      <c r="AN132" s="177"/>
      <c r="AO132" s="160"/>
      <c r="AP132" s="160"/>
      <c r="AQ132" s="160"/>
      <c r="AR132" s="160"/>
      <c r="AS132" s="160"/>
      <c r="AT132" s="160"/>
      <c r="AU132" s="160"/>
      <c r="AV132" s="160"/>
      <c r="AW132" s="160"/>
      <c r="AX132" s="160"/>
      <c r="AY132" s="160">
        <f>IF($AY$18&gt;0,PPMT('Assumptions (Coal)'!$V$7,Model!W1,'Assumptions (Coal)'!$V$10,'Assumptions (Coal)'!$V$5*Model!$AY$18*AVERAGE('Assumptions (Coal)'!$AR$2:$AW$2)/10^9),0)</f>
        <v>0</v>
      </c>
      <c r="AZ132" s="160">
        <f>IF($AY$18&gt;0,PPMT('Assumptions (Coal)'!$V$7,Model!X1,'Assumptions (Coal)'!$V$10,'Assumptions (Coal)'!$V$5*Model!$AY$18*AVERAGE('Assumptions (Coal)'!$AR$2:$AW$2)/10^9),0)</f>
        <v>0</v>
      </c>
      <c r="BA132" s="160">
        <f>IF($AY$18&gt;0,PPMT('Assumptions (Coal)'!$V$7,Model!Y1,'Assumptions (Coal)'!$V$10,'Assumptions (Coal)'!$V$5*Model!$AY$18*AVERAGE('Assumptions (Coal)'!$AR$2:$AW$2)/10^9),0)</f>
        <v>0</v>
      </c>
      <c r="BB132" s="160">
        <f>IF($AY$18&gt;0,PPMT('Assumptions (Coal)'!$V$7,Model!Z1,'Assumptions (Coal)'!$V$10,'Assumptions (Coal)'!$V$5*Model!$AY$18*AVERAGE('Assumptions (Coal)'!$AR$2:$AW$2)/10^9),0)</f>
        <v>0</v>
      </c>
      <c r="BC132" s="160">
        <f>IF($AY$18&gt;0,PPMT('Assumptions (Coal)'!$V$7,Model!AA1,'Assumptions (Coal)'!$V$10,'Assumptions (Coal)'!$V$5*Model!$AY$18*AVERAGE('Assumptions (Coal)'!$AR$2:$AW$2)/10^9),0)</f>
        <v>0</v>
      </c>
      <c r="BD132" s="160">
        <f>IF($AY$18&gt;0,PPMT('Assumptions (Coal)'!$V$7,Model!AB1,'Assumptions (Coal)'!$V$10,'Assumptions (Coal)'!$V$5*Model!$AY$18*AVERAGE('Assumptions (Coal)'!$AR$2:$AW$2)/10^9),0)</f>
        <v>0</v>
      </c>
      <c r="BE132" s="160">
        <f>IF($AY$18&gt;0,PPMT('Assumptions (Coal)'!$V$7,Model!AC1,'Assumptions (Coal)'!$V$10,'Assumptions (Coal)'!$V$5*Model!$AY$18*AVERAGE('Assumptions (Coal)'!$AR$2:$AW$2)/10^9),0)</f>
        <v>0</v>
      </c>
      <c r="BF132" s="160">
        <f>IF($AY$18&gt;0,PPMT('Assumptions (Coal)'!$V$7,Model!AD1,'Assumptions (Coal)'!$V$10,'Assumptions (Coal)'!$V$5*Model!$AY$18*AVERAGE('Assumptions (Coal)'!$AR$2:$AW$2)/10^9),0)</f>
        <v>0</v>
      </c>
      <c r="BG132" s="160">
        <f>IF($AY$18&gt;0,PPMT('Assumptions (Coal)'!$V$7,Model!AE1,'Assumptions (Coal)'!$V$10,'Assumptions (Coal)'!$V$5*Model!$AY$18*AVERAGE('Assumptions (Coal)'!$AR$2:$AW$2)/10^9),0)</f>
        <v>0</v>
      </c>
      <c r="BH132" s="160">
        <f>IF($AY$18&gt;0,PPMT('Assumptions (Coal)'!$V$7,Model!AF1,'Assumptions (Coal)'!$V$10,'Assumptions (Coal)'!$V$5*Model!$AY$18*AVERAGE('Assumptions (Coal)'!$AR$2:$AW$2)/10^9),0)</f>
        <v>0</v>
      </c>
      <c r="BI132" s="160">
        <f>IF($AY$18&gt;0,PPMT('Assumptions (Coal)'!$V$7,Model!AG1,'Assumptions (Coal)'!$V$10,'Assumptions (Coal)'!$V$5*Model!$AY$18*AVERAGE('Assumptions (Coal)'!$AR$2:$AW$2)/10^9),0)</f>
        <v>0</v>
      </c>
      <c r="BJ132" s="160">
        <f>IF($AY$18&gt;0,PPMT('Assumptions (Coal)'!$V$7,Model!AH1,'Assumptions (Coal)'!$V$10,'Assumptions (Coal)'!$V$5*Model!$AY$18*AVERAGE('Assumptions (Coal)'!$AR$2:$AW$2)/10^9),0)</f>
        <v>0</v>
      </c>
      <c r="BK132" s="160">
        <f>IF($AY$18&gt;0,PPMT('Assumptions (Coal)'!$V$7,Model!AI1,'Assumptions (Coal)'!$V$10,'Assumptions (Coal)'!$V$5*Model!$AY$18*AVERAGE('Assumptions (Coal)'!$AR$2:$AW$2)/10^9),0)</f>
        <v>0</v>
      </c>
      <c r="BL132" s="160">
        <f>IF($AY$18&gt;0,PPMT('Assumptions (Coal)'!$V$7,Model!AJ1,'Assumptions (Coal)'!$V$10,'Assumptions (Coal)'!$V$5*Model!$AY$18*AVERAGE('Assumptions (Coal)'!$AR$2:$AW$2)/10^9),0)</f>
        <v>0</v>
      </c>
      <c r="BM132" s="160">
        <f>IF($AY$18&gt;0,PPMT('Assumptions (Coal)'!$V$7,Model!AK1,'Assumptions (Coal)'!$V$10,'Assumptions (Coal)'!$V$5*Model!$AY$18*AVERAGE('Assumptions (Coal)'!$AR$2:$AW$2)/10^9),0)</f>
        <v>0</v>
      </c>
      <c r="BN132" s="160"/>
      <c r="BO132" s="160"/>
      <c r="BP132" s="160"/>
      <c r="BQ132" s="160"/>
      <c r="BR132" s="160"/>
      <c r="BS132" s="160"/>
      <c r="BT132" s="160"/>
      <c r="BU132" s="160"/>
      <c r="BV132" s="160"/>
      <c r="BW132" s="160"/>
    </row>
    <row r="133" ht="15.75" hidden="1" customHeight="1" outlineLevel="1">
      <c r="A133" s="158"/>
      <c r="B133" s="38"/>
      <c r="C133" s="174"/>
      <c r="D133" s="174"/>
      <c r="E133" s="174"/>
      <c r="F133" s="174"/>
      <c r="G133" s="174"/>
      <c r="H133" s="174"/>
      <c r="I133" s="174"/>
      <c r="J133" s="174"/>
      <c r="K133" s="174"/>
      <c r="L133" s="174"/>
      <c r="M133" s="174"/>
      <c r="N133" s="174"/>
      <c r="O133" s="174"/>
      <c r="P133" s="174"/>
      <c r="Q133" s="174"/>
      <c r="R133" s="174"/>
      <c r="S133" s="174"/>
      <c r="T133" s="174"/>
      <c r="U133" s="174"/>
      <c r="V133" s="174"/>
      <c r="W133" s="160"/>
      <c r="X133" s="160"/>
      <c r="Y133" s="160"/>
      <c r="Z133" s="160"/>
      <c r="AA133" s="160"/>
      <c r="AB133" s="160"/>
      <c r="AC133" s="160"/>
      <c r="AD133" s="160"/>
      <c r="AE133" s="160"/>
      <c r="AF133" s="160"/>
      <c r="AG133" s="160"/>
      <c r="AH133" s="160"/>
      <c r="AI133" s="160"/>
      <c r="AJ133" s="179"/>
      <c r="AK133" s="160"/>
      <c r="AL133" s="177"/>
      <c r="AM133" s="177"/>
      <c r="AN133" s="177"/>
      <c r="AO133" s="160"/>
      <c r="AP133" s="160"/>
      <c r="AQ133" s="160"/>
      <c r="AR133" s="160"/>
      <c r="AS133" s="160"/>
      <c r="AT133" s="160"/>
      <c r="AU133" s="160"/>
      <c r="AV133" s="160"/>
      <c r="AW133" s="160"/>
      <c r="AX133" s="160"/>
      <c r="AY133" s="160"/>
      <c r="AZ133" s="160">
        <f>IF($AZ$18&gt;0,PPMT('Assumptions (Coal)'!$V$7,Model!W1,'Assumptions (Coal)'!$V$10,'Assumptions (Coal)'!$V$5*Model!$AZ$18*AVERAGE('Assumptions (Coal)'!$AS$2:$AX$2)/10^9),0)</f>
        <v>0</v>
      </c>
      <c r="BA133" s="160">
        <f>IF($AZ$18&gt;0,PPMT('Assumptions (Coal)'!$V$7,Model!X1,'Assumptions (Coal)'!$V$10,'Assumptions (Coal)'!$V$5*Model!$AZ$18*AVERAGE('Assumptions (Coal)'!$AS$2:$AX$2)/10^9),0)</f>
        <v>0</v>
      </c>
      <c r="BB133" s="160">
        <f>IF($AZ$18&gt;0,PPMT('Assumptions (Coal)'!$V$7,Model!Y1,'Assumptions (Coal)'!$V$10,'Assumptions (Coal)'!$V$5*Model!$AZ$18*AVERAGE('Assumptions (Coal)'!$AS$2:$AX$2)/10^9),0)</f>
        <v>0</v>
      </c>
      <c r="BC133" s="160">
        <f>IF($AZ$18&gt;0,PPMT('Assumptions (Coal)'!$V$7,Model!Z1,'Assumptions (Coal)'!$V$10,'Assumptions (Coal)'!$V$5*Model!$AZ$18*AVERAGE('Assumptions (Coal)'!$AS$2:$AX$2)/10^9),0)</f>
        <v>0</v>
      </c>
      <c r="BD133" s="160">
        <f>IF($AZ$18&gt;0,PPMT('Assumptions (Coal)'!$V$7,Model!AA1,'Assumptions (Coal)'!$V$10,'Assumptions (Coal)'!$V$5*Model!$AZ$18*AVERAGE('Assumptions (Coal)'!$AS$2:$AX$2)/10^9),0)</f>
        <v>0</v>
      </c>
      <c r="BE133" s="160">
        <f>IF($AZ$18&gt;0,PPMT('Assumptions (Coal)'!$V$7,Model!AB1,'Assumptions (Coal)'!$V$10,'Assumptions (Coal)'!$V$5*Model!$AZ$18*AVERAGE('Assumptions (Coal)'!$AS$2:$AX$2)/10^9),0)</f>
        <v>0</v>
      </c>
      <c r="BF133" s="160">
        <f>IF($AZ$18&gt;0,PPMT('Assumptions (Coal)'!$V$7,Model!AC1,'Assumptions (Coal)'!$V$10,'Assumptions (Coal)'!$V$5*Model!$AZ$18*AVERAGE('Assumptions (Coal)'!$AS$2:$AX$2)/10^9),0)</f>
        <v>0</v>
      </c>
      <c r="BG133" s="160">
        <f>IF($AZ$18&gt;0,PPMT('Assumptions (Coal)'!$V$7,Model!AD1,'Assumptions (Coal)'!$V$10,'Assumptions (Coal)'!$V$5*Model!$AZ$18*AVERAGE('Assumptions (Coal)'!$AS$2:$AX$2)/10^9),0)</f>
        <v>0</v>
      </c>
      <c r="BH133" s="160">
        <f>IF($AZ$18&gt;0,PPMT('Assumptions (Coal)'!$V$7,Model!AE1,'Assumptions (Coal)'!$V$10,'Assumptions (Coal)'!$V$5*Model!$AZ$18*AVERAGE('Assumptions (Coal)'!$AS$2:$AX$2)/10^9),0)</f>
        <v>0</v>
      </c>
      <c r="BI133" s="160">
        <f>IF($AZ$18&gt;0,PPMT('Assumptions (Coal)'!$V$7,Model!AF1,'Assumptions (Coal)'!$V$10,'Assumptions (Coal)'!$V$5*Model!$AZ$18*AVERAGE('Assumptions (Coal)'!$AS$2:$AX$2)/10^9),0)</f>
        <v>0</v>
      </c>
      <c r="BJ133" s="160">
        <f>IF($AZ$18&gt;0,PPMT('Assumptions (Coal)'!$V$7,Model!AG1,'Assumptions (Coal)'!$V$10,'Assumptions (Coal)'!$V$5*Model!$AZ$18*AVERAGE('Assumptions (Coal)'!$AS$2:$AX$2)/10^9),0)</f>
        <v>0</v>
      </c>
      <c r="BK133" s="160">
        <f>IF($AZ$18&gt;0,PPMT('Assumptions (Coal)'!$V$7,Model!AH1,'Assumptions (Coal)'!$V$10,'Assumptions (Coal)'!$V$5*Model!$AZ$18*AVERAGE('Assumptions (Coal)'!$AS$2:$AX$2)/10^9),0)</f>
        <v>0</v>
      </c>
      <c r="BL133" s="160">
        <f>IF($AZ$18&gt;0,PPMT('Assumptions (Coal)'!$V$7,Model!AI1,'Assumptions (Coal)'!$V$10,'Assumptions (Coal)'!$V$5*Model!$AZ$18*AVERAGE('Assumptions (Coal)'!$AS$2:$AX$2)/10^9),0)</f>
        <v>0</v>
      </c>
      <c r="BM133" s="160">
        <f>IF($AZ$18&gt;0,PPMT('Assumptions (Coal)'!$V$7,Model!AJ1,'Assumptions (Coal)'!$V$10,'Assumptions (Coal)'!$V$5*Model!$AZ$18*AVERAGE('Assumptions (Coal)'!$AS$2:$AX$2)/10^9),0)</f>
        <v>0</v>
      </c>
      <c r="BN133" s="160">
        <f>IF($AZ$18&gt;0,PPMT('Assumptions (Coal)'!$V$7,Model!AK1,'Assumptions (Coal)'!$V$10,'Assumptions (Coal)'!$V$5*Model!$AZ$18*AVERAGE('Assumptions (Coal)'!$AS$2:$AX$2)/10^9),0)</f>
        <v>0</v>
      </c>
      <c r="BO133" s="160"/>
      <c r="BP133" s="160"/>
      <c r="BQ133" s="160"/>
      <c r="BR133" s="160"/>
      <c r="BS133" s="160"/>
      <c r="BT133" s="160"/>
      <c r="BU133" s="160"/>
      <c r="BV133" s="160"/>
      <c r="BW133" s="160"/>
      <c r="BX133" s="160"/>
    </row>
    <row r="134" ht="15.75" hidden="1" customHeight="1" outlineLevel="1">
      <c r="A134" s="158"/>
      <c r="B134" s="38"/>
      <c r="C134" s="174"/>
      <c r="D134" s="174"/>
      <c r="E134" s="174"/>
      <c r="F134" s="174"/>
      <c r="G134" s="174"/>
      <c r="H134" s="174"/>
      <c r="I134" s="174"/>
      <c r="J134" s="174"/>
      <c r="K134" s="174"/>
      <c r="L134" s="174"/>
      <c r="M134" s="174"/>
      <c r="N134" s="174"/>
      <c r="O134" s="174"/>
      <c r="P134" s="174"/>
      <c r="Q134" s="174"/>
      <c r="R134" s="174"/>
      <c r="S134" s="174"/>
      <c r="T134" s="174"/>
      <c r="U134" s="174"/>
      <c r="V134" s="174"/>
      <c r="W134" s="160"/>
      <c r="X134" s="160"/>
      <c r="Y134" s="160"/>
      <c r="Z134" s="160"/>
      <c r="AA134" s="160"/>
      <c r="AB134" s="160"/>
      <c r="AC134" s="160"/>
      <c r="AD134" s="160"/>
      <c r="AE134" s="160"/>
      <c r="AF134" s="160"/>
      <c r="AG134" s="160"/>
      <c r="AH134" s="160"/>
      <c r="AI134" s="160"/>
      <c r="AJ134" s="179"/>
      <c r="AK134" s="160"/>
      <c r="AL134" s="177"/>
      <c r="AM134" s="177"/>
      <c r="AN134" s="177"/>
      <c r="AO134" s="160"/>
      <c r="AP134" s="160"/>
      <c r="AQ134" s="160"/>
      <c r="AR134" s="160"/>
      <c r="AS134" s="160"/>
      <c r="AT134" s="160"/>
      <c r="AU134" s="160"/>
      <c r="AV134" s="160"/>
      <c r="AW134" s="160"/>
      <c r="AX134" s="160"/>
      <c r="AY134" s="160"/>
      <c r="AZ134" s="160"/>
      <c r="BA134" s="160">
        <f>IF($BA$18&gt;0,PPMT('Assumptions (Coal)'!$V$7,Model!W1,'Assumptions (Coal)'!$V$10,'Assumptions (Coal)'!$V$5*Model!$BA$18*AVERAGE('Assumptions (Coal)'!$AT$2:$AY$2)/10^9),0)</f>
        <v>0</v>
      </c>
      <c r="BB134" s="160">
        <f>IF($BA$18&gt;0,PPMT('Assumptions (Coal)'!$V$7,Model!X1,'Assumptions (Coal)'!$V$10,'Assumptions (Coal)'!$V$5*Model!$BA$18*AVERAGE('Assumptions (Coal)'!$AT$2:$AY$2)/10^9),0)</f>
        <v>0</v>
      </c>
      <c r="BC134" s="160">
        <f>IF($BA$18&gt;0,PPMT('Assumptions (Coal)'!$V$7,Model!Y1,'Assumptions (Coal)'!$V$10,'Assumptions (Coal)'!$V$5*Model!$BA$18*AVERAGE('Assumptions (Coal)'!$AT$2:$AY$2)/10^9),0)</f>
        <v>0</v>
      </c>
      <c r="BD134" s="160">
        <f>IF($BA$18&gt;0,PPMT('Assumptions (Coal)'!$V$7,Model!Z1,'Assumptions (Coal)'!$V$10,'Assumptions (Coal)'!$V$5*Model!$BA$18*AVERAGE('Assumptions (Coal)'!$AT$2:$AY$2)/10^9),0)</f>
        <v>0</v>
      </c>
      <c r="BE134" s="160">
        <f>IF($BA$18&gt;0,PPMT('Assumptions (Coal)'!$V$7,Model!AA1,'Assumptions (Coal)'!$V$10,'Assumptions (Coal)'!$V$5*Model!$BA$18*AVERAGE('Assumptions (Coal)'!$AT$2:$AY$2)/10^9),0)</f>
        <v>0</v>
      </c>
      <c r="BF134" s="160">
        <f>IF($BA$18&gt;0,PPMT('Assumptions (Coal)'!$V$7,Model!AB1,'Assumptions (Coal)'!$V$10,'Assumptions (Coal)'!$V$5*Model!$BA$18*AVERAGE('Assumptions (Coal)'!$AT$2:$AY$2)/10^9),0)</f>
        <v>0</v>
      </c>
      <c r="BG134" s="160">
        <f>IF($BA$18&gt;0,PPMT('Assumptions (Coal)'!$V$7,Model!AC1,'Assumptions (Coal)'!$V$10,'Assumptions (Coal)'!$V$5*Model!$BA$18*AVERAGE('Assumptions (Coal)'!$AT$2:$AY$2)/10^9),0)</f>
        <v>0</v>
      </c>
      <c r="BH134" s="160">
        <f>IF($BA$18&gt;0,PPMT('Assumptions (Coal)'!$V$7,Model!AD1,'Assumptions (Coal)'!$V$10,'Assumptions (Coal)'!$V$5*Model!$BA$18*AVERAGE('Assumptions (Coal)'!$AT$2:$AY$2)/10^9),0)</f>
        <v>0</v>
      </c>
      <c r="BI134" s="160">
        <f>IF($BA$18&gt;0,PPMT('Assumptions (Coal)'!$V$7,Model!AE1,'Assumptions (Coal)'!$V$10,'Assumptions (Coal)'!$V$5*Model!$BA$18*AVERAGE('Assumptions (Coal)'!$AT$2:$AY$2)/10^9),0)</f>
        <v>0</v>
      </c>
      <c r="BJ134" s="160">
        <f>IF($BA$18&gt;0,PPMT('Assumptions (Coal)'!$V$7,Model!AF1,'Assumptions (Coal)'!$V$10,'Assumptions (Coal)'!$V$5*Model!$BA$18*AVERAGE('Assumptions (Coal)'!$AT$2:$AY$2)/10^9),0)</f>
        <v>0</v>
      </c>
      <c r="BK134" s="160">
        <f>IF($BA$18&gt;0,PPMT('Assumptions (Coal)'!$V$7,Model!AG1,'Assumptions (Coal)'!$V$10,'Assumptions (Coal)'!$V$5*Model!$BA$18*AVERAGE('Assumptions (Coal)'!$AT$2:$AY$2)/10^9),0)</f>
        <v>0</v>
      </c>
      <c r="BL134" s="160">
        <f>IF($BA$18&gt;0,PPMT('Assumptions (Coal)'!$V$7,Model!AH1,'Assumptions (Coal)'!$V$10,'Assumptions (Coal)'!$V$5*Model!$BA$18*AVERAGE('Assumptions (Coal)'!$AT$2:$AY$2)/10^9),0)</f>
        <v>0</v>
      </c>
      <c r="BM134" s="160">
        <f>IF($BA$18&gt;0,PPMT('Assumptions (Coal)'!$V$7,Model!AI1,'Assumptions (Coal)'!$V$10,'Assumptions (Coal)'!$V$5*Model!$BA$18*AVERAGE('Assumptions (Coal)'!$AT$2:$AY$2)/10^9),0)</f>
        <v>0</v>
      </c>
      <c r="BN134" s="160">
        <f>IF($BA$18&gt;0,PPMT('Assumptions (Coal)'!$V$7,Model!AJ1,'Assumptions (Coal)'!$V$10,'Assumptions (Coal)'!$V$5*Model!$BA$18*AVERAGE('Assumptions (Coal)'!$AT$2:$AY$2)/10^9),0)</f>
        <v>0</v>
      </c>
      <c r="BO134" s="160">
        <f>IF($BA$18&gt;0,PPMT('Assumptions (Coal)'!$V$7,Model!AK1,'Assumptions (Coal)'!$V$10,'Assumptions (Coal)'!$V$5*Model!$BA$18*AVERAGE('Assumptions (Coal)'!$AT$2:$AY$2)/10^9),0)</f>
        <v>0</v>
      </c>
      <c r="BP134" s="160"/>
      <c r="BQ134" s="160"/>
      <c r="BR134" s="160"/>
      <c r="BS134" s="160"/>
      <c r="BT134" s="160"/>
      <c r="BU134" s="160"/>
      <c r="BV134" s="160"/>
      <c r="BW134" s="160"/>
      <c r="BX134" s="160"/>
      <c r="BY134" s="160"/>
    </row>
    <row r="135" ht="15.75" hidden="1" customHeight="1" outlineLevel="1">
      <c r="A135" s="149"/>
      <c r="B135" s="24"/>
      <c r="C135" s="177"/>
      <c r="D135" s="177"/>
      <c r="E135" s="177"/>
      <c r="F135" s="177"/>
      <c r="G135" s="177"/>
      <c r="H135" s="177"/>
      <c r="I135" s="177"/>
      <c r="J135" s="177"/>
      <c r="K135" s="177"/>
      <c r="L135" s="177"/>
      <c r="M135" s="177"/>
      <c r="N135" s="177"/>
      <c r="O135" s="177"/>
      <c r="P135" s="177"/>
      <c r="Q135" s="177"/>
      <c r="R135" s="177"/>
      <c r="S135" s="177"/>
      <c r="T135" s="177"/>
      <c r="U135" s="177"/>
      <c r="V135" s="177"/>
      <c r="W135" s="177"/>
      <c r="X135" s="177"/>
      <c r="Y135" s="177"/>
      <c r="Z135" s="177"/>
      <c r="AA135" s="177"/>
      <c r="AB135" s="177"/>
      <c r="AC135" s="177"/>
      <c r="AD135" s="177"/>
      <c r="AE135" s="177"/>
      <c r="AF135" s="177"/>
      <c r="AG135" s="177"/>
      <c r="AH135" s="177"/>
      <c r="AI135" s="177"/>
      <c r="AJ135" s="177"/>
      <c r="AK135" s="177"/>
      <c r="AL135" s="177"/>
      <c r="AM135" s="177"/>
      <c r="AN135" s="177"/>
      <c r="AO135" s="177"/>
      <c r="AP135" s="177"/>
      <c r="AQ135" s="177"/>
      <c r="AR135" s="177"/>
      <c r="AS135" s="177"/>
      <c r="AT135" s="177"/>
      <c r="AU135" s="177"/>
      <c r="AV135" s="177"/>
      <c r="AW135" s="177"/>
      <c r="AX135" s="177"/>
      <c r="AY135" s="177"/>
      <c r="AZ135" s="177"/>
      <c r="BA135" s="177"/>
      <c r="BB135" s="160">
        <f>IF($BB$18&gt;0,PPMT('Assumptions (Coal)'!$V$7,Model!W$1,'Assumptions (Coal)'!$V$10,'Assumptions (Coal)'!$V$5*Model!$BB$18*AVERAGE('Assumptions (Coal)'!$AU$2:$AZ$2)/10^9),0)</f>
        <v>0</v>
      </c>
      <c r="BC135" s="160">
        <f>IF($BB$18&gt;0,PPMT('Assumptions (Coal)'!$V$7,Model!X$1,'Assumptions (Coal)'!$V$10,'Assumptions (Coal)'!$V$5*Model!$BB$18*AVERAGE('Assumptions (Coal)'!$AU$2:$AZ$2)/10^9),0)</f>
        <v>0</v>
      </c>
      <c r="BD135" s="160">
        <f>IF($BB$18&gt;0,PPMT('Assumptions (Coal)'!$V$7,Model!Y$1,'Assumptions (Coal)'!$V$10,'Assumptions (Coal)'!$V$5*Model!$BB$18*AVERAGE('Assumptions (Coal)'!$AU$2:$AZ$2)/10^9),0)</f>
        <v>0</v>
      </c>
      <c r="BE135" s="160">
        <f>IF($BB$18&gt;0,PPMT('Assumptions (Coal)'!$V$7,Model!Z$1,'Assumptions (Coal)'!$V$10,'Assumptions (Coal)'!$V$5*Model!$BB$18*AVERAGE('Assumptions (Coal)'!$AU$2:$AZ$2)/10^9),0)</f>
        <v>0</v>
      </c>
      <c r="BF135" s="160">
        <f>IF($BB$18&gt;0,PPMT('Assumptions (Coal)'!$V$7,Model!AA$1,'Assumptions (Coal)'!$V$10,'Assumptions (Coal)'!$V$5*Model!$BB$18*AVERAGE('Assumptions (Coal)'!$AU$2:$AZ$2)/10^9),0)</f>
        <v>0</v>
      </c>
      <c r="BG135" s="160">
        <f>IF($BB$18&gt;0,PPMT('Assumptions (Coal)'!$V$7,Model!AB$1,'Assumptions (Coal)'!$V$10,'Assumptions (Coal)'!$V$5*Model!$BB$18*AVERAGE('Assumptions (Coal)'!$AU$2:$AZ$2)/10^9),0)</f>
        <v>0</v>
      </c>
      <c r="BH135" s="160">
        <f>IF($BB$18&gt;0,PPMT('Assumptions (Coal)'!$V$7,Model!AC$1,'Assumptions (Coal)'!$V$10,'Assumptions (Coal)'!$V$5*Model!$BB$18*AVERAGE('Assumptions (Coal)'!$AU$2:$AZ$2)/10^9),0)</f>
        <v>0</v>
      </c>
      <c r="BI135" s="160">
        <f>IF($BB$18&gt;0,PPMT('Assumptions (Coal)'!$V$7,Model!AD$1,'Assumptions (Coal)'!$V$10,'Assumptions (Coal)'!$V$5*Model!$BB$18*AVERAGE('Assumptions (Coal)'!$AU$2:$AZ$2)/10^9),0)</f>
        <v>0</v>
      </c>
      <c r="BJ135" s="160">
        <f>IF($BB$18&gt;0,PPMT('Assumptions (Coal)'!$V$7,Model!AE$1,'Assumptions (Coal)'!$V$10,'Assumptions (Coal)'!$V$5*Model!$BB$18*AVERAGE('Assumptions (Coal)'!$AU$2:$AZ$2)/10^9),0)</f>
        <v>0</v>
      </c>
      <c r="BK135" s="160">
        <f>IF($BB$18&gt;0,PPMT('Assumptions (Coal)'!$V$7,Model!AF$1,'Assumptions (Coal)'!$V$10,'Assumptions (Coal)'!$V$5*Model!$BB$18*AVERAGE('Assumptions (Coal)'!$AU$2:$AZ$2)/10^9),0)</f>
        <v>0</v>
      </c>
      <c r="BL135" s="160">
        <f>IF($BB$18&gt;0,PPMT('Assumptions (Coal)'!$V$7,Model!AG$1,'Assumptions (Coal)'!$V$10,'Assumptions (Coal)'!$V$5*Model!$BB$18*AVERAGE('Assumptions (Coal)'!$AU$2:$AZ$2)/10^9),0)</f>
        <v>0</v>
      </c>
      <c r="BM135" s="160">
        <f>IF($BB$18&gt;0,PPMT('Assumptions (Coal)'!$V$7,Model!AH$1,'Assumptions (Coal)'!$V$10,'Assumptions (Coal)'!$V$5*Model!$BB$18*AVERAGE('Assumptions (Coal)'!$AU$2:$AZ$2)/10^9),0)</f>
        <v>0</v>
      </c>
      <c r="BN135" s="160">
        <f>IF($BB$18&gt;0,PPMT('Assumptions (Coal)'!$V$7,Model!AI$1,'Assumptions (Coal)'!$V$10,'Assumptions (Coal)'!$V$5*Model!$BB$18*AVERAGE('Assumptions (Coal)'!$AU$2:$AZ$2)/10^9),0)</f>
        <v>0</v>
      </c>
      <c r="BO135" s="160">
        <f>IF($BB$18&gt;0,PPMT('Assumptions (Coal)'!$V$7,Model!AJ$1,'Assumptions (Coal)'!$V$10,'Assumptions (Coal)'!$V$5*Model!$BB$18*AVERAGE('Assumptions (Coal)'!$AU$2:$AZ$2)/10^9),0)</f>
        <v>0</v>
      </c>
      <c r="BP135" s="160">
        <f>IF($BB$18&gt;0,PPMT('Assumptions (Coal)'!$V$7,Model!AK$1,'Assumptions (Coal)'!$V$10,'Assumptions (Coal)'!$V$5*Model!$BB$18*AVERAGE('Assumptions (Coal)'!$AU$2:$AZ$2)/10^9),0)</f>
        <v>0</v>
      </c>
    </row>
    <row r="136" ht="15.75" customHeight="1" collapsed="1">
      <c r="A136" s="149" t="s">
        <v>360</v>
      </c>
      <c r="B136" s="150" t="s">
        <v>351</v>
      </c>
      <c r="C136" s="177">
        <f t="array" ref="C136">SUM(IF(ISERROR(C137:C188),"",C137:C188))</f>
        <v>0</v>
      </c>
      <c r="D136" s="177">
        <f t="array" ref="D136">SUM(IF(ISERROR(D137:D188),"",D137:D188))</f>
        <v>-0.02864113612</v>
      </c>
      <c r="E136" s="177">
        <f t="array" ref="E136">SUM(IF(ISERROR(E137:E188),"",E137:E188))</f>
        <v>-0.02728866919</v>
      </c>
      <c r="F136" s="177">
        <f t="array" ref="F136">SUM(IF(ISERROR(F137:F188),"",F137:F188))</f>
        <v>-0.02587196007</v>
      </c>
      <c r="G136" s="177">
        <f t="array" ref="G136">SUM(IF(ISERROR(G137:G188),"",G137:G188))</f>
        <v>-0.02438795727</v>
      </c>
      <c r="H136" s="177">
        <f t="array" ref="H136">SUM(IF(ISERROR(H137:H188),"",H137:H188))</f>
        <v>-0.02283346433</v>
      </c>
      <c r="I136" s="177">
        <f t="array" ref="I136">SUM(IF(ISERROR(I137:I188),"",I137:I188))</f>
        <v>-0.02120513298</v>
      </c>
      <c r="J136" s="177">
        <f t="array" ref="J136">SUM(IF(ISERROR(J137:J188),"",J137:J188))</f>
        <v>-0.05506712401</v>
      </c>
      <c r="K136" s="177">
        <f t="array" ref="K136">SUM(IF(ISERROR(K137:K188),"",K137:K188))</f>
        <v>-0.09182482832</v>
      </c>
      <c r="L136" s="177">
        <f t="array" ref="L136">SUM(IF(ISERROR(L137:L188),"",L137:L188))</f>
        <v>-0.08629451903</v>
      </c>
      <c r="M136" s="177">
        <f t="array" ref="M136">SUM(IF(ISERROR(M137:M188),"",M137:M188))</f>
        <v>-0.08050152004</v>
      </c>
      <c r="N136" s="177">
        <f t="array" ref="N136">SUM(IF(ISERROR(N137:N188),"",N137:N188))</f>
        <v>-0.07443335361</v>
      </c>
      <c r="O136" s="177">
        <f t="array" ref="O136">SUM(IF(ISERROR(O137:O188),"",O137:O188))</f>
        <v>-0.1293508919</v>
      </c>
      <c r="P136" s="177">
        <f t="array" ref="P136">SUM(IF(ISERROR(P137:P188),"",P137:P188))</f>
        <v>-0.1197991333</v>
      </c>
      <c r="Q136" s="177">
        <f t="array" ref="Q136">SUM(IF(ISERROR(Q137:Q188),"",Q137:Q188))</f>
        <v>-0.1097936661</v>
      </c>
      <c r="R136" s="177">
        <f t="array" ref="R136">SUM(IF(ISERROR(R137:R188),"",R137:R188))</f>
        <v>-0.09931293924</v>
      </c>
      <c r="S136" s="177">
        <f t="array" ref="S136">SUM(IF(ISERROR(S137:S188),"",S137:S188))</f>
        <v>-0.08833437786</v>
      </c>
      <c r="T136" s="177">
        <f t="array" ref="T136">SUM(IF(ISERROR(T137:T188),"",T137:T188))</f>
        <v>-0.07954725572</v>
      </c>
      <c r="U136" s="177">
        <f t="array" ref="U136">SUM(IF(ISERROR(U137:U188),"",U137:U188))</f>
        <v>-0.07034274528</v>
      </c>
      <c r="V136" s="177">
        <f t="array" ref="V136">SUM(IF(ISERROR(V137:V188),"",V137:V188))</f>
        <v>-0.06070102059</v>
      </c>
      <c r="W136" s="177">
        <f t="array" ref="W136">SUM(IF(ISERROR(W137:W188),"",W137:W188))</f>
        <v>-0.05060131398</v>
      </c>
      <c r="X136" s="177">
        <f t="array" ref="X136">SUM(IF(ISERROR(X137:X188),"",X137:X188))</f>
        <v>-0.7206116079</v>
      </c>
      <c r="Y136" s="177">
        <f t="array" ref="Y136">SUM(IF(ISERROR(Y137:Y188),"",Y137:Y188))</f>
        <v>-0.7559375922</v>
      </c>
      <c r="Z136" s="177">
        <f t="array" ref="Z136">SUM(IF(ISERROR(Z137:Z188),"",Z137:Z188))</f>
        <v>-0.8408538926</v>
      </c>
      <c r="AA136" s="177">
        <f t="array" ref="AA136">SUM(IF(ISERROR(AA137:AA188),"",AA137:AA188))</f>
        <v>-0.9308652441</v>
      </c>
      <c r="AB136" s="177">
        <f t="array" ref="AB136">SUM(IF(ISERROR(AB137:AB188),"",AB137:AB188))</f>
        <v>-1.203918619</v>
      </c>
      <c r="AC136" s="177">
        <f t="array" ref="AC136">SUM(IF(ISERROR(AC137:AC188),"",AC137:AC188))</f>
        <v>-1.383149391</v>
      </c>
      <c r="AD136" s="177">
        <f t="array" ref="AD136">SUM(IF(ISERROR(AD137:AD188),"",AD137:AD188))</f>
        <v>-1.480632355</v>
      </c>
      <c r="AE136" s="177">
        <f t="array" ref="AE136">SUM(IF(ISERROR(AE137:AE188),"",AE137:AE188))</f>
        <v>-1.399720019</v>
      </c>
      <c r="AF136" s="177">
        <f t="array" ref="AF136">SUM(IF(ISERROR(AF137:AF188),"",AF137:AF188))</f>
        <v>-1.303338909</v>
      </c>
      <c r="AG136" s="177">
        <f t="array" ref="AG136">SUM(IF(ISERROR(AG137:AG188),"",AG137:AG188))</f>
        <v>-1.319515879</v>
      </c>
      <c r="AH136" s="177">
        <f t="array" ref="AH136">SUM(IF(ISERROR(AH137:AH188),"",AH137:AH188))</f>
        <v>-1.195684266</v>
      </c>
      <c r="AI136" s="177">
        <f t="array" ref="AI136">SUM(IF(ISERROR(AI137:AI188),"",AI137:AI188))</f>
        <v>-1.065970652</v>
      </c>
      <c r="AJ136" s="177">
        <f t="array" ref="AJ136">SUM(IF(ISERROR(AJ137:AJ188),"",AJ137:AJ188))</f>
        <v>-0.9346282126</v>
      </c>
      <c r="AK136" s="177">
        <f t="array" ref="AK136">SUM(IF(ISERROR(AK137:AK188),"",AK137:AK188))</f>
        <v>-0.8085387695</v>
      </c>
      <c r="AL136" s="177">
        <f t="array" ref="AL136">SUM(IF(ISERROR(AL137:AL188),"",AL137:AL188))</f>
        <v>-0.6584479039</v>
      </c>
      <c r="AM136" s="177">
        <f t="array" ref="AM136">SUM(IF(ISERROR(AM137:AM188),"",AM137:AM188))</f>
        <v>-0.5845264928</v>
      </c>
      <c r="AN136" s="177">
        <f t="array" ref="AN136">SUM(IF(ISERROR(AN137:AN188),"",AN137:AN188))</f>
        <v>-0.4803711219</v>
      </c>
      <c r="AO136" s="177">
        <f t="array" ref="AO136">SUM(IF(ISERROR(AO137:AO188),"",AO137:AO188))</f>
        <v>-0.3787083532</v>
      </c>
      <c r="AP136" s="177">
        <f t="array" ref="AP136">SUM(IF(ISERROR(AP137:AP188),"",AP137:AP188))</f>
        <v>-0.2845805029</v>
      </c>
      <c r="AQ136" s="177">
        <f t="array" ref="AQ136">SUM(IF(ISERROR(AQ137:AQ188),"",AQ137:AQ188))</f>
        <v>-0.1992562582</v>
      </c>
      <c r="AR136" s="177">
        <f t="array" ref="AR136">SUM(IF(ISERROR(AR137:AR188),"",AR137:AR188))</f>
        <v>-0.1413441472</v>
      </c>
      <c r="AS136" s="177">
        <f t="array" ref="AS136">SUM(IF(ISERROR(AS137:AS188),"",AS137:AS188))</f>
        <v>-0.1050111302</v>
      </c>
      <c r="AT136" s="177">
        <f t="array" ref="AT136">SUM(IF(ISERROR(AT137:AT188),"",AT137:AT188))</f>
        <v>-0.08503712188</v>
      </c>
      <c r="AU136" s="177">
        <f t="array" ref="AU136">SUM(IF(ISERROR(AU137:AU188),"",AU137:AU188))</f>
        <v>-0.06602602921</v>
      </c>
      <c r="AV136" s="177">
        <f t="array" ref="AV136">SUM(IF(ISERROR(AV137:AV188),"",AV137:AV188))</f>
        <v>-0.04710349257</v>
      </c>
      <c r="AW136" s="177">
        <f t="array" ref="AW136">SUM(IF(ISERROR(AW137:AW188),"",AW137:AW188))</f>
        <v>-0.03946291433</v>
      </c>
      <c r="AX136" s="177">
        <f t="array" ref="AX136">SUM(IF(ISERROR(AX137:AX188),"",AX137:AX188))</f>
        <v>-0.03145940863</v>
      </c>
      <c r="AY136" s="177">
        <f t="array" ref="AY136">SUM(IF(ISERROR(AY137:AY188),"",AY137:AY188))</f>
        <v>-0.0230757364</v>
      </c>
      <c r="AZ136" s="177">
        <f t="array" ref="AZ136">SUM(IF(ISERROR(AZ137:AZ188),"",AZ137:AZ188))</f>
        <v>-0.01472317009</v>
      </c>
      <c r="BA136" s="177">
        <f t="array" ref="BA136">SUM(IF(ISERROR(BA137:BA188),"",BA137:BA188))</f>
        <v>-0.007532366629</v>
      </c>
      <c r="BB136" s="177">
        <f t="array" ref="BB136">SUM(IF(ISERROR(BB137:BB188),"",BB137:BB188))</f>
        <v>0</v>
      </c>
      <c r="BC136" s="177">
        <f t="array" ref="BC136">SUM(IF(ISERROR(BC137:BC188),"",BC137:BC188))</f>
        <v>0</v>
      </c>
      <c r="BD136" s="177">
        <f t="array" ref="BD136">SUM(IF(ISERROR(BD137:BD188),"",BD137:BD188))</f>
        <v>0</v>
      </c>
      <c r="BE136" s="177">
        <f t="array" ref="BE136">SUM(IF(ISERROR(BE137:BE188),"",BE137:BE188))</f>
        <v>0</v>
      </c>
      <c r="BF136" s="177">
        <f t="array" ref="BF136">SUM(IF(ISERROR(BF137:BF188),"",BF137:BF188))</f>
        <v>0</v>
      </c>
      <c r="BG136" s="177">
        <f t="array" ref="BG136">SUM(IF(ISERROR(BG137:BG188),"",BG137:BG188))</f>
        <v>0</v>
      </c>
      <c r="BH136" s="177">
        <f t="array" ref="BH136">SUM(IF(ISERROR(BH137:BH188),"",BH137:BH188))</f>
        <v>0</v>
      </c>
      <c r="BI136" s="177">
        <f t="array" ref="BI136">SUM(IF(ISERROR(BI137:BI188),"",BI137:BI188))</f>
        <v>0</v>
      </c>
      <c r="BJ136" s="177">
        <f t="array" ref="BJ136">SUM(IF(ISERROR(BJ137:BJ188),"",BJ137:BJ188))</f>
        <v>0</v>
      </c>
      <c r="BK136" s="177">
        <f t="array" ref="BK136">SUM(IF(ISERROR(BK137:BK188),"",BK137:BK188))</f>
        <v>0</v>
      </c>
      <c r="BL136" s="177">
        <f t="array" ref="BL136">SUM(IF(ISERROR(BL137:BL188),"",BL137:BL188))</f>
        <v>0</v>
      </c>
      <c r="BM136" s="177">
        <f t="array" ref="BM136">SUM(IF(ISERROR(BM137:BM188),"",BM137:BM188))</f>
        <v>0</v>
      </c>
      <c r="BN136" s="177">
        <f t="array" ref="BN136">SUM(IF(ISERROR(BN137:BN188),"",BN137:BN188))</f>
        <v>0</v>
      </c>
      <c r="BO136" s="177">
        <f t="array" ref="BO136">SUM(IF(ISERROR(BO137:BO188),"",BO137:BO188))</f>
        <v>0</v>
      </c>
    </row>
    <row r="137" ht="15.75" hidden="1" customHeight="1" outlineLevel="1">
      <c r="A137" s="158"/>
      <c r="B137" s="38"/>
      <c r="C137" s="177">
        <f>IF($C$18&gt;0,IPMT('Assumptions (Coal)'!$V$7,Model!W$1,'Assumptions (Coal)'!$V$10,'Assumptions (Coal)'!$V$5*Model!$C$18*'Assumptions (Coal)'!$B$2/10^9),0)</f>
        <v>0</v>
      </c>
      <c r="D137" s="177">
        <f>IF($C$18&gt;0,IPMT('Assumptions (Coal)'!$V$7,Model!X$1,'Assumptions (Coal)'!$V$10,'Assumptions (Coal)'!$V$5*Model!$C$18*'Assumptions (Coal)'!$B$2/10^9),0)</f>
        <v>0</v>
      </c>
      <c r="E137" s="177">
        <f>IF($C$18&gt;0,IPMT('Assumptions (Coal)'!$V$7,Model!Y$1,'Assumptions (Coal)'!$V$10,'Assumptions (Coal)'!$V$5*Model!$C$18*'Assumptions (Coal)'!$B$2/10^9),0)</f>
        <v>0</v>
      </c>
      <c r="F137" s="177">
        <f>IF($C$18&gt;0,IPMT('Assumptions (Coal)'!$V$7,Model!Z$1,'Assumptions (Coal)'!$V$10,'Assumptions (Coal)'!$V$5*Model!$C$18*'Assumptions (Coal)'!$B$2/10^9),0)</f>
        <v>0</v>
      </c>
      <c r="G137" s="177">
        <f>IF($C$18&gt;0,IPMT('Assumptions (Coal)'!$V$7,Model!AA$1,'Assumptions (Coal)'!$V$10,'Assumptions (Coal)'!$V$5*Model!$C$18*'Assumptions (Coal)'!$B$2/10^9),0)</f>
        <v>0</v>
      </c>
      <c r="H137" s="177">
        <f>IF($C$18&gt;0,IPMT('Assumptions (Coal)'!$V$7,Model!AB$1,'Assumptions (Coal)'!$V$10,'Assumptions (Coal)'!$V$5*Model!$C$18*'Assumptions (Coal)'!$B$2/10^9),0)</f>
        <v>0</v>
      </c>
      <c r="I137" s="177">
        <f>IF($C$18&gt;0,IPMT('Assumptions (Coal)'!$V$7,Model!AC$1,'Assumptions (Coal)'!$V$10,'Assumptions (Coal)'!$V$5*Model!$C$18*'Assumptions (Coal)'!$B$2/10^9),0)</f>
        <v>0</v>
      </c>
      <c r="J137" s="177">
        <f>IF($C$18&gt;0,IPMT('Assumptions (Coal)'!$V$7,Model!AD$1,'Assumptions (Coal)'!$V$10,'Assumptions (Coal)'!$V$5*Model!$C$18*'Assumptions (Coal)'!$B$2/10^9),0)</f>
        <v>0</v>
      </c>
      <c r="K137" s="177">
        <f>IF($C$18&gt;0,IPMT('Assumptions (Coal)'!$V$7,Model!AE$1,'Assumptions (Coal)'!$V$10,'Assumptions (Coal)'!$V$5*Model!$C$18*'Assumptions (Coal)'!$B$2/10^9),0)</f>
        <v>0</v>
      </c>
      <c r="L137" s="177">
        <f>IF($C$18&gt;0,IPMT('Assumptions (Coal)'!$V$7,Model!AF$1,'Assumptions (Coal)'!$V$10,'Assumptions (Coal)'!$V$5*Model!$C$18*'Assumptions (Coal)'!$B$2/10^9),0)</f>
        <v>0</v>
      </c>
      <c r="M137" s="177">
        <f>IF($C$18&gt;0,IPMT('Assumptions (Coal)'!$V$7,Model!AG$1,'Assumptions (Coal)'!$V$10,'Assumptions (Coal)'!$V$5*Model!$C$18*'Assumptions (Coal)'!$B$2/10^9),0)</f>
        <v>0</v>
      </c>
      <c r="N137" s="177">
        <f>IF($C$18&gt;0,IPMT('Assumptions (Coal)'!$V$7,Model!AH$1,'Assumptions (Coal)'!$V$10,'Assumptions (Coal)'!$V$5*Model!$C$18*'Assumptions (Coal)'!$B$2/10^9),0)</f>
        <v>0</v>
      </c>
      <c r="O137" s="177">
        <f>IF($C$18&gt;0,IPMT('Assumptions (Coal)'!$V$7,Model!AI$1,'Assumptions (Coal)'!$V$10,'Assumptions (Coal)'!$V$5*Model!$C$18*'Assumptions (Coal)'!$B$2/10^9),0)</f>
        <v>0</v>
      </c>
      <c r="P137" s="177">
        <f>IF($C$18&gt;0,IPMT('Assumptions (Coal)'!$V$7,Model!AJ$1,'Assumptions (Coal)'!$V$10,'Assumptions (Coal)'!$V$5*Model!$C$18*'Assumptions (Coal)'!$B$2/10^9),0)</f>
        <v>0</v>
      </c>
      <c r="Q137" s="177">
        <f>IF($C$18&gt;0,IPMT('Assumptions (Coal)'!$V$7,Model!AK$1,'Assumptions (Coal)'!$V$10,'Assumptions (Coal)'!$V$5*Model!$C$18*'Assumptions (Coal)'!$B$2/10^9),0)</f>
        <v>0</v>
      </c>
      <c r="R137" s="177"/>
      <c r="S137" s="177"/>
      <c r="T137" s="177"/>
      <c r="U137" s="177"/>
      <c r="V137" s="177"/>
      <c r="W137" s="177"/>
      <c r="X137" s="177"/>
      <c r="Y137" s="177"/>
      <c r="Z137" s="177"/>
      <c r="AA137" s="177"/>
      <c r="AB137" s="160"/>
      <c r="AC137" s="160"/>
      <c r="AD137" s="160"/>
      <c r="AE137" s="160"/>
      <c r="AF137" s="160"/>
      <c r="AG137" s="160"/>
      <c r="AU137" s="160"/>
      <c r="AV137" s="160"/>
      <c r="AW137" s="160"/>
      <c r="AX137" s="160"/>
      <c r="AY137" s="160"/>
      <c r="AZ137" s="160"/>
      <c r="BA137" s="160"/>
    </row>
    <row r="138" ht="15.75" hidden="1" customHeight="1" outlineLevel="1">
      <c r="A138" s="158"/>
      <c r="B138" s="38"/>
      <c r="C138" s="160"/>
      <c r="D138" s="177">
        <f>IF($D$18&gt;0,IPMT('Assumptions (Coal)'!$V$7,Model!W$1,'Assumptions (Coal)'!$V$10,'Assumptions (Coal)'!$V$5*Model!$D$18*'Assumptions (Coal)'!$B$2/10^9),0)</f>
        <v>-0.02864113612</v>
      </c>
      <c r="E138" s="177">
        <f>IF($D$18&gt;0,IPMT('Assumptions (Coal)'!$V$7,Model!X$1,'Assumptions (Coal)'!$V$10,'Assumptions (Coal)'!$V$5*Model!$D$18*'Assumptions (Coal)'!$B$2/10^9),0)</f>
        <v>-0.02728866919</v>
      </c>
      <c r="F138" s="177">
        <f>IF($D$18&gt;0,IPMT('Assumptions (Coal)'!$V$7,Model!Y$1,'Assumptions (Coal)'!$V$10,'Assumptions (Coal)'!$V$5*Model!$D$18*'Assumptions (Coal)'!$B$2/10^9),0)</f>
        <v>-0.02587196007</v>
      </c>
      <c r="G138" s="177">
        <f>IF($D$18&gt;0,IPMT('Assumptions (Coal)'!$V$7,Model!Z$1,'Assumptions (Coal)'!$V$10,'Assumptions (Coal)'!$V$5*Model!$D$18*'Assumptions (Coal)'!$B$2/10^9),0)</f>
        <v>-0.02438795727</v>
      </c>
      <c r="H138" s="177">
        <f>IF($D$18&gt;0,IPMT('Assumptions (Coal)'!$V$7,Model!AA$1,'Assumptions (Coal)'!$V$10,'Assumptions (Coal)'!$V$5*Model!$D$18*'Assumptions (Coal)'!$B$2/10^9),0)</f>
        <v>-0.02283346433</v>
      </c>
      <c r="I138" s="177">
        <f>IF($D$18&gt;0,IPMT('Assumptions (Coal)'!$V$7,Model!AB$1,'Assumptions (Coal)'!$V$10,'Assumptions (Coal)'!$V$5*Model!$D$18*'Assumptions (Coal)'!$B$2/10^9),0)</f>
        <v>-0.02120513298</v>
      </c>
      <c r="J138" s="177">
        <f>IF($D$18&gt;0,IPMT('Assumptions (Coal)'!$V$7,Model!AC$1,'Assumptions (Coal)'!$V$10,'Assumptions (Coal)'!$V$5*Model!$D$18*'Assumptions (Coal)'!$B$2/10^9),0)</f>
        <v>-0.0194994559</v>
      </c>
      <c r="K138" s="177">
        <f>IF($D$18&gt;0,IPMT('Assumptions (Coal)'!$V$7,Model!AD$1,'Assumptions (Coal)'!$V$10,'Assumptions (Coal)'!$V$5*Model!$D$18*'Assumptions (Coal)'!$B$2/10^9),0)</f>
        <v>-0.01771275915</v>
      </c>
      <c r="L138" s="177">
        <f>IF($D$18&gt;0,IPMT('Assumptions (Coal)'!$V$7,Model!AE$1,'Assumptions (Coal)'!$V$10,'Assumptions (Coal)'!$V$5*Model!$D$18*'Assumptions (Coal)'!$B$2/10^9),0)</f>
        <v>-0.0158411943</v>
      </c>
      <c r="M138" s="177">
        <f>IF($D$18&gt;0,IPMT('Assumptions (Coal)'!$V$7,Model!AF$1,'Assumptions (Coal)'!$V$10,'Assumptions (Coal)'!$V$5*Model!$D$18*'Assumptions (Coal)'!$B$2/10^9),0)</f>
        <v>-0.01388073013</v>
      </c>
      <c r="N138" s="177">
        <f>IF($D$18&gt;0,IPMT('Assumptions (Coal)'!$V$7,Model!AG$1,'Assumptions (Coal)'!$V$10,'Assumptions (Coal)'!$V$5*Model!$D$18*'Assumptions (Coal)'!$B$2/10^9),0)</f>
        <v>-0.0118271439</v>
      </c>
      <c r="O138" s="177">
        <f>IF($D$18&gt;0,IPMT('Assumptions (Coal)'!$V$7,Model!AH$1,'Assumptions (Coal)'!$V$10,'Assumptions (Coal)'!$V$5*Model!$D$18*'Assumptions (Coal)'!$B$2/10^9),0)</f>
        <v>-0.009676012333</v>
      </c>
      <c r="P138" s="177">
        <f>IF($D$18&gt;0,IPMT('Assumptions (Coal)'!$V$7,Model!AI$1,'Assumptions (Coal)'!$V$10,'Assumptions (Coal)'!$V$5*Model!$D$18*'Assumptions (Coal)'!$B$2/10^9),0)</f>
        <v>-0.007422702014</v>
      </c>
      <c r="Q138" s="177">
        <f>IF($D$18&gt;0,IPMT('Assumptions (Coal)'!$V$7,Model!AJ$1,'Assumptions (Coal)'!$V$10,'Assumptions (Coal)'!$V$5*Model!$D$18*'Assumptions (Coal)'!$B$2/10^9),0)</f>
        <v>-0.005062359455</v>
      </c>
      <c r="R138" s="177">
        <f>IF($D$18&gt;0,IPMT('Assumptions (Coal)'!$V$7,Model!AK$1,'Assumptions (Coal)'!$V$10,'Assumptions (Coal)'!$V$5*Model!$D$18*'Assumptions (Coal)'!$B$2/10^9),0)</f>
        <v>-0.002589900625</v>
      </c>
      <c r="S138" s="177"/>
      <c r="T138" s="177"/>
      <c r="U138" s="177"/>
      <c r="V138" s="177"/>
      <c r="W138" s="177"/>
      <c r="X138" s="177"/>
      <c r="Y138" s="177"/>
      <c r="Z138" s="177"/>
      <c r="AA138" s="177"/>
      <c r="AB138" s="177"/>
      <c r="AC138" s="160"/>
      <c r="AD138" s="160"/>
      <c r="AE138" s="160"/>
      <c r="AF138" s="160"/>
      <c r="AG138" s="160"/>
      <c r="AU138" s="160"/>
      <c r="AV138" s="160"/>
      <c r="AW138" s="160"/>
      <c r="AX138" s="160"/>
      <c r="AY138" s="160"/>
      <c r="AZ138" s="160"/>
      <c r="BA138" s="160"/>
    </row>
    <row r="139" ht="15.75" hidden="1" customHeight="1" outlineLevel="1">
      <c r="A139" s="158"/>
      <c r="B139" s="38"/>
      <c r="C139" s="160"/>
      <c r="D139" s="160"/>
      <c r="E139" s="160">
        <f>IF($E$18&gt;0,IPMT('Assumptions (Coal)'!$V$7,Model!W$1,'Assumptions (Coal)'!$V$10,'Assumptions (Coal)'!$V$5*Model!$E$18*AVERAGE('Assumptions (Coal)'!$B$2:$C$2)/10^9),0)</f>
        <v>0</v>
      </c>
      <c r="F139" s="160">
        <f>IF($E$18&gt;0,IPMT('Assumptions (Coal)'!$V$7,Model!X$1,'Assumptions (Coal)'!$V$10,'Assumptions (Coal)'!$V$5*Model!$E$18*AVERAGE('Assumptions (Coal)'!$B$2:$C$2)/10^9),0)</f>
        <v>0</v>
      </c>
      <c r="G139" s="160">
        <f>IF($E$18&gt;0,IPMT('Assumptions (Coal)'!$V$7,Model!Y$1,'Assumptions (Coal)'!$V$10,'Assumptions (Coal)'!$V$5*Model!$E$18*AVERAGE('Assumptions (Coal)'!$B$2:$C$2)/10^9),0)</f>
        <v>0</v>
      </c>
      <c r="H139" s="160">
        <f>IF($E$18&gt;0,IPMT('Assumptions (Coal)'!$V$7,Model!Z$1,'Assumptions (Coal)'!$V$10,'Assumptions (Coal)'!$V$5*Model!$E$18*AVERAGE('Assumptions (Coal)'!$B$2:$C$2)/10^9),0)</f>
        <v>0</v>
      </c>
      <c r="I139" s="160">
        <f>IF($E$18&gt;0,IPMT('Assumptions (Coal)'!$V$7,Model!AA$1,'Assumptions (Coal)'!$V$10,'Assumptions (Coal)'!$V$5*Model!$E$18*AVERAGE('Assumptions (Coal)'!$B$2:$C$2)/10^9),0)</f>
        <v>0</v>
      </c>
      <c r="J139" s="160">
        <f>IF($E$18&gt;0,IPMT('Assumptions (Coal)'!$V$7,Model!AB$1,'Assumptions (Coal)'!$V$10,'Assumptions (Coal)'!$V$5*Model!$E$18*AVERAGE('Assumptions (Coal)'!$B$2:$C$2)/10^9),0)</f>
        <v>0</v>
      </c>
      <c r="K139" s="160">
        <f>IF($E$18&gt;0,IPMT('Assumptions (Coal)'!$V$7,Model!AC$1,'Assumptions (Coal)'!$V$10,'Assumptions (Coal)'!$V$5*Model!$E$18*AVERAGE('Assumptions (Coal)'!$B$2:$C$2)/10^9),0)</f>
        <v>0</v>
      </c>
      <c r="L139" s="160">
        <f>IF($E$18&gt;0,IPMT('Assumptions (Coal)'!$V$7,Model!AD$1,'Assumptions (Coal)'!$V$10,'Assumptions (Coal)'!$V$5*Model!$E$18*AVERAGE('Assumptions (Coal)'!$B$2:$C$2)/10^9),0)</f>
        <v>0</v>
      </c>
      <c r="M139" s="160">
        <f>IF($E$18&gt;0,IPMT('Assumptions (Coal)'!$V$7,Model!AE$1,'Assumptions (Coal)'!$V$10,'Assumptions (Coal)'!$V$5*Model!$E$18*AVERAGE('Assumptions (Coal)'!$B$2:$C$2)/10^9),0)</f>
        <v>0</v>
      </c>
      <c r="N139" s="177">
        <f>IF($E$18&gt;0,IPMT('Assumptions (Coal)'!$V$7,Model!AF$1,'Assumptions (Coal)'!$V$10,'Assumptions (Coal)'!$V$5*Model!$E$18*AVERAGE('Assumptions (Coal)'!$B$2:$C$2)/10^9),0)</f>
        <v>0</v>
      </c>
      <c r="O139" s="160">
        <f>IF($E$18&gt;0,IPMT('Assumptions (Coal)'!$V$7,Model!AG$1,'Assumptions (Coal)'!$V$10,'Assumptions (Coal)'!$V$5*Model!$E$18*AVERAGE('Assumptions (Coal)'!$B$2:$C$2)/10^9),0)</f>
        <v>0</v>
      </c>
      <c r="P139" s="160">
        <f>IF($E$18&gt;0,IPMT('Assumptions (Coal)'!$V$7,Model!AH$1,'Assumptions (Coal)'!$V$10,'Assumptions (Coal)'!$V$5*Model!$E$18*AVERAGE('Assumptions (Coal)'!$B$2:$C$2)/10^9),0)</f>
        <v>0</v>
      </c>
      <c r="Q139" s="160">
        <f>IF($E$18&gt;0,IPMT('Assumptions (Coal)'!$V$7,Model!AI$1,'Assumptions (Coal)'!$V$10,'Assumptions (Coal)'!$V$5*Model!$E$18*AVERAGE('Assumptions (Coal)'!$B$2:$C$2)/10^9),0)</f>
        <v>0</v>
      </c>
      <c r="R139" s="160">
        <f>IF($E$18&gt;0,IPMT('Assumptions (Coal)'!$V$7,Model!AJ$1,'Assumptions (Coal)'!$V$10,'Assumptions (Coal)'!$V$5*Model!$E$18*AVERAGE('Assumptions (Coal)'!$B$2:$C$2)/10^9),0)</f>
        <v>0</v>
      </c>
      <c r="S139" s="160">
        <f>IF($E$18&gt;0,IPMT('Assumptions (Coal)'!$V$7,Model!AK$1,'Assumptions (Coal)'!$V$10,'Assumptions (Coal)'!$V$5*Model!$E$18*AVERAGE('Assumptions (Coal)'!$B$2:$C$2)/10^9),0)</f>
        <v>0</v>
      </c>
      <c r="T139" s="160"/>
      <c r="U139" s="160"/>
      <c r="V139" s="160"/>
      <c r="W139" s="160"/>
      <c r="X139" s="160"/>
      <c r="Y139" s="160"/>
      <c r="Z139" s="160"/>
      <c r="AA139" s="160"/>
      <c r="AB139" s="160"/>
      <c r="AC139" s="160"/>
      <c r="AD139" s="160"/>
      <c r="AE139" s="160"/>
      <c r="AF139" s="160"/>
      <c r="AG139" s="160"/>
      <c r="AU139" s="160"/>
      <c r="AV139" s="160"/>
      <c r="AW139" s="160"/>
      <c r="AX139" s="160"/>
      <c r="AY139" s="160"/>
      <c r="AZ139" s="160"/>
      <c r="BA139" s="160"/>
    </row>
    <row r="140" ht="15.75" hidden="1" customHeight="1" outlineLevel="1">
      <c r="A140" s="158"/>
      <c r="B140" s="38"/>
      <c r="C140" s="160"/>
      <c r="D140" s="160"/>
      <c r="E140" s="160"/>
      <c r="F140" s="160">
        <f>IF($F$18&gt;0,IPMT('Assumptions (Coal)'!$V$7,Model!W$1,'Assumptions (Coal)'!$V$10,'Assumptions (Coal)'!$V$5*Model!$F$18*AVERAGE('Assumptions (Coal)'!$B$2:$D$2)/10^9),0)</f>
        <v>0</v>
      </c>
      <c r="G140" s="160">
        <f>IF($F$18&gt;0,IPMT('Assumptions (Coal)'!$V$7,Model!X$1,'Assumptions (Coal)'!$V$10,'Assumptions (Coal)'!$V$5*Model!$F$18*AVERAGE('Assumptions (Coal)'!$B$2:$D$2)/10^9),0)</f>
        <v>0</v>
      </c>
      <c r="H140" s="160">
        <f>IF($F$18&gt;0,IPMT('Assumptions (Coal)'!$V$7,Model!Y$1,'Assumptions (Coal)'!$V$10,'Assumptions (Coal)'!$V$5*Model!$F$18*AVERAGE('Assumptions (Coal)'!$B$2:$D$2)/10^9),0)</f>
        <v>0</v>
      </c>
      <c r="I140" s="160">
        <f>IF($F$18&gt;0,IPMT('Assumptions (Coal)'!$V$7,Model!Z$1,'Assumptions (Coal)'!$V$10,'Assumptions (Coal)'!$V$5*Model!$F$18*AVERAGE('Assumptions (Coal)'!$B$2:$D$2)/10^9),0)</f>
        <v>0</v>
      </c>
      <c r="J140" s="160">
        <f>IF($F$18&gt;0,IPMT('Assumptions (Coal)'!$V$7,Model!AA$1,'Assumptions (Coal)'!$V$10,'Assumptions (Coal)'!$V$5*Model!$F$18*AVERAGE('Assumptions (Coal)'!$B$2:$D$2)/10^9),0)</f>
        <v>0</v>
      </c>
      <c r="K140" s="160">
        <f>IF($F$18&gt;0,IPMT('Assumptions (Coal)'!$V$7,Model!AB$1,'Assumptions (Coal)'!$V$10,'Assumptions (Coal)'!$V$5*Model!$F$18*AVERAGE('Assumptions (Coal)'!$B$2:$D$2)/10^9),0)</f>
        <v>0</v>
      </c>
      <c r="L140" s="160">
        <f>IF($F$18&gt;0,IPMT('Assumptions (Coal)'!$V$7,Model!AC$1,'Assumptions (Coal)'!$V$10,'Assumptions (Coal)'!$V$5*Model!$F$18*AVERAGE('Assumptions (Coal)'!$B$2:$D$2)/10^9),0)</f>
        <v>0</v>
      </c>
      <c r="M140" s="160">
        <f>IF($F$18&gt;0,IPMT('Assumptions (Coal)'!$V$7,Model!AD$1,'Assumptions (Coal)'!$V$10,'Assumptions (Coal)'!$V$5*Model!$F$18*AVERAGE('Assumptions (Coal)'!$B$2:$D$2)/10^9),0)</f>
        <v>0</v>
      </c>
      <c r="N140" s="177">
        <f>IF($F$18&gt;0,IPMT('Assumptions (Coal)'!$V$7,Model!AE$1,'Assumptions (Coal)'!$V$10,'Assumptions (Coal)'!$V$5*Model!$F$18*AVERAGE('Assumptions (Coal)'!$B$2:$D$2)/10^9),0)</f>
        <v>0</v>
      </c>
      <c r="O140" s="160">
        <f>IF($F$18&gt;0,IPMT('Assumptions (Coal)'!$V$7,Model!AF$1,'Assumptions (Coal)'!$V$10,'Assumptions (Coal)'!$V$5*Model!$F$18*AVERAGE('Assumptions (Coal)'!$B$2:$D$2)/10^9),0)</f>
        <v>0</v>
      </c>
      <c r="P140" s="160">
        <f>IF($F$18&gt;0,IPMT('Assumptions (Coal)'!$V$7,Model!AG$1,'Assumptions (Coal)'!$V$10,'Assumptions (Coal)'!$V$5*Model!$F$18*AVERAGE('Assumptions (Coal)'!$B$2:$D$2)/10^9),0)</f>
        <v>0</v>
      </c>
      <c r="Q140" s="160">
        <f>IF($F$18&gt;0,IPMT('Assumptions (Coal)'!$V$7,Model!AH$1,'Assumptions (Coal)'!$V$10,'Assumptions (Coal)'!$V$5*Model!$F$18*AVERAGE('Assumptions (Coal)'!$B$2:$D$2)/10^9),0)</f>
        <v>0</v>
      </c>
      <c r="R140" s="160">
        <f>IF($F$18&gt;0,IPMT('Assumptions (Coal)'!$V$7,Model!AI$1,'Assumptions (Coal)'!$V$10,'Assumptions (Coal)'!$V$5*Model!$F$18*AVERAGE('Assumptions (Coal)'!$B$2:$D$2)/10^9),0)</f>
        <v>0</v>
      </c>
      <c r="S140" s="160">
        <f>IF($F$18&gt;0,IPMT('Assumptions (Coal)'!$V$7,Model!AJ$1,'Assumptions (Coal)'!$V$10,'Assumptions (Coal)'!$V$5*Model!$F$18*AVERAGE('Assumptions (Coal)'!$B$2:$D$2)/10^9),0)</f>
        <v>0</v>
      </c>
      <c r="T140" s="160">
        <f>IF($F$18&gt;0,IPMT('Assumptions (Coal)'!$V$7,Model!AK$1,'Assumptions (Coal)'!$V$10,'Assumptions (Coal)'!$V$5*Model!$F$18*AVERAGE('Assumptions (Coal)'!$B$2:$D$2)/10^9),0)</f>
        <v>0</v>
      </c>
      <c r="U140" s="160"/>
      <c r="V140" s="160"/>
      <c r="W140" s="160"/>
      <c r="X140" s="160"/>
      <c r="Y140" s="160"/>
      <c r="Z140" s="160"/>
      <c r="AA140" s="160"/>
      <c r="AB140" s="160"/>
      <c r="AC140" s="160"/>
      <c r="AD140" s="160"/>
      <c r="AE140" s="160"/>
      <c r="AF140" s="160"/>
      <c r="AG140" s="160"/>
      <c r="AU140" s="160"/>
      <c r="AV140" s="160"/>
      <c r="AW140" s="160"/>
      <c r="AX140" s="160"/>
      <c r="AY140" s="160"/>
      <c r="AZ140" s="160"/>
      <c r="BA140" s="160"/>
    </row>
    <row r="141" ht="15.75" hidden="1" customHeight="1" outlineLevel="1">
      <c r="A141" s="158"/>
      <c r="B141" s="38"/>
      <c r="C141" s="160"/>
      <c r="D141" s="160"/>
      <c r="E141" s="160"/>
      <c r="F141" s="160"/>
      <c r="G141" s="160">
        <f>IF($G$18&gt;0,IPMT('Assumptions (Coal)'!$V$7,Model!W$1,'Assumptions (Coal)'!$V$10,'Assumptions (Coal)'!$V$5*Model!$G$18*AVERAGE('Assumptions (Coal)'!$B$2:$E$2)/10^9),0)</f>
        <v>0</v>
      </c>
      <c r="H141" s="160">
        <f>IF($G$18&gt;0,IPMT('Assumptions (Coal)'!$V$7,Model!X$1,'Assumptions (Coal)'!$V$10,'Assumptions (Coal)'!$V$5*Model!$G$18*AVERAGE('Assumptions (Coal)'!$B$2:$E$2)/10^9),0)</f>
        <v>0</v>
      </c>
      <c r="I141" s="160">
        <f>IF($G$18&gt;0,IPMT('Assumptions (Coal)'!$V$7,Model!Y$1,'Assumptions (Coal)'!$V$10,'Assumptions (Coal)'!$V$5*Model!$G$18*AVERAGE('Assumptions (Coal)'!$B$2:$E$2)/10^9),0)</f>
        <v>0</v>
      </c>
      <c r="J141" s="160">
        <f>IF($G$18&gt;0,IPMT('Assumptions (Coal)'!$V$7,Model!Z$1,'Assumptions (Coal)'!$V$10,'Assumptions (Coal)'!$V$5*Model!$G$18*AVERAGE('Assumptions (Coal)'!$B$2:$E$2)/10^9),0)</f>
        <v>0</v>
      </c>
      <c r="K141" s="160">
        <f>IF($G$18&gt;0,IPMT('Assumptions (Coal)'!$V$7,Model!AA$1,'Assumptions (Coal)'!$V$10,'Assumptions (Coal)'!$V$5*Model!$G$18*AVERAGE('Assumptions (Coal)'!$B$2:$E$2)/10^9),0)</f>
        <v>0</v>
      </c>
      <c r="L141" s="160">
        <f>IF($G$18&gt;0,IPMT('Assumptions (Coal)'!$V$7,Model!AB$1,'Assumptions (Coal)'!$V$10,'Assumptions (Coal)'!$V$5*Model!$G$18*AVERAGE('Assumptions (Coal)'!$B$2:$E$2)/10^9),0)</f>
        <v>0</v>
      </c>
      <c r="M141" s="160">
        <f>IF($G$18&gt;0,IPMT('Assumptions (Coal)'!$V$7,Model!AC$1,'Assumptions (Coal)'!$V$10,'Assumptions (Coal)'!$V$5*Model!$G$18*AVERAGE('Assumptions (Coal)'!$B$2:$E$2)/10^9),0)</f>
        <v>0</v>
      </c>
      <c r="N141" s="177">
        <f>IF($G$18&gt;0,IPMT('Assumptions (Coal)'!$V$7,Model!AD$1,'Assumptions (Coal)'!$V$10,'Assumptions (Coal)'!$V$5*Model!$G$18*AVERAGE('Assumptions (Coal)'!$B$2:$E$2)/10^9),0)</f>
        <v>0</v>
      </c>
      <c r="O141" s="160">
        <f>IF($G$18&gt;0,IPMT('Assumptions (Coal)'!$V$7,Model!AE$1,'Assumptions (Coal)'!$V$10,'Assumptions (Coal)'!$V$5*Model!$G$18*AVERAGE('Assumptions (Coal)'!$B$2:$E$2)/10^9),0)</f>
        <v>0</v>
      </c>
      <c r="P141" s="160">
        <f>IF($G$18&gt;0,IPMT('Assumptions (Coal)'!$V$7,Model!AF$1,'Assumptions (Coal)'!$V$10,'Assumptions (Coal)'!$V$5*Model!$G$18*AVERAGE('Assumptions (Coal)'!$B$2:$E$2)/10^9),0)</f>
        <v>0</v>
      </c>
      <c r="Q141" s="160">
        <f>IF($G$18&gt;0,IPMT('Assumptions (Coal)'!$V$7,Model!AG$1,'Assumptions (Coal)'!$V$10,'Assumptions (Coal)'!$V$5*Model!$G$18*AVERAGE('Assumptions (Coal)'!$B$2:$E$2)/10^9),0)</f>
        <v>0</v>
      </c>
      <c r="R141" s="160">
        <f>IF($G$18&gt;0,IPMT('Assumptions (Coal)'!$V$7,Model!AH$1,'Assumptions (Coal)'!$V$10,'Assumptions (Coal)'!$V$5*Model!$G$18*AVERAGE('Assumptions (Coal)'!$B$2:$E$2)/10^9),0)</f>
        <v>0</v>
      </c>
      <c r="S141" s="160">
        <f>IF($G$18&gt;0,IPMT('Assumptions (Coal)'!$V$7,Model!AI$1,'Assumptions (Coal)'!$V$10,'Assumptions (Coal)'!$V$5*Model!$G$18*AVERAGE('Assumptions (Coal)'!$B$2:$E$2)/10^9),0)</f>
        <v>0</v>
      </c>
      <c r="T141" s="160">
        <f>IF($G$18&gt;0,IPMT('Assumptions (Coal)'!$V$7,Model!AJ$1,'Assumptions (Coal)'!$V$10,'Assumptions (Coal)'!$V$5*Model!$G$18*AVERAGE('Assumptions (Coal)'!$B$2:$E$2)/10^9),0)</f>
        <v>0</v>
      </c>
      <c r="U141" s="160">
        <f>IF($G$18&gt;0,IPMT('Assumptions (Coal)'!$V$7,Model!AK$1,'Assumptions (Coal)'!$V$10,'Assumptions (Coal)'!$V$5*Model!$G$18*AVERAGE('Assumptions (Coal)'!$B$2:$E$2)/10^9),0)</f>
        <v>0</v>
      </c>
      <c r="V141" s="160"/>
      <c r="W141" s="160"/>
      <c r="X141" s="160"/>
      <c r="Y141" s="160"/>
      <c r="Z141" s="160"/>
      <c r="AA141" s="160"/>
      <c r="AB141" s="160"/>
      <c r="AC141" s="160"/>
      <c r="AD141" s="160"/>
      <c r="AE141" s="160"/>
      <c r="AF141" s="160"/>
      <c r="AG141" s="160"/>
      <c r="AU141" s="160"/>
      <c r="AV141" s="160"/>
      <c r="AW141" s="160"/>
      <c r="AX141" s="160"/>
      <c r="AY141" s="160"/>
      <c r="AZ141" s="160"/>
      <c r="BA141" s="160"/>
    </row>
    <row r="142" ht="15.75" hidden="1" customHeight="1" outlineLevel="1">
      <c r="A142" s="158"/>
      <c r="B142" s="38"/>
      <c r="C142" s="160"/>
      <c r="D142" s="160"/>
      <c r="E142" s="160"/>
      <c r="F142" s="160"/>
      <c r="G142" s="160"/>
      <c r="H142" s="160">
        <f>IF($H$18&gt;0,IPMT('Assumptions (Coal)'!$V$7,Model!W$1,'Assumptions (Coal)'!$V$10,'Assumptions (Coal)'!$V$5*Model!$H$18*AVERAGE('Assumptions (Coal)'!$B$2:$F$2)/10^9),0)</f>
        <v>0</v>
      </c>
      <c r="I142" s="160">
        <f>IF($H$18&gt;0,IPMT('Assumptions (Coal)'!$V$7,Model!X$1,'Assumptions (Coal)'!$V$10,'Assumptions (Coal)'!$V$5*Model!$H$18*AVERAGE('Assumptions (Coal)'!$B$2:$F$2)/10^9),0)</f>
        <v>0</v>
      </c>
      <c r="J142" s="160">
        <f>IF($H$18&gt;0,IPMT('Assumptions (Coal)'!$V$7,Model!Y$1,'Assumptions (Coal)'!$V$10,'Assumptions (Coal)'!$V$5*Model!$H$18*AVERAGE('Assumptions (Coal)'!$B$2:$F$2)/10^9),0)</f>
        <v>0</v>
      </c>
      <c r="K142" s="160">
        <f>IF($H$18&gt;0,IPMT('Assumptions (Coal)'!$V$7,Model!Z$1,'Assumptions (Coal)'!$V$10,'Assumptions (Coal)'!$V$5*Model!$H$18*AVERAGE('Assumptions (Coal)'!$B$2:$F$2)/10^9),0)</f>
        <v>0</v>
      </c>
      <c r="L142" s="160">
        <f>IF($H$18&gt;0,IPMT('Assumptions (Coal)'!$V$7,Model!AA$1,'Assumptions (Coal)'!$V$10,'Assumptions (Coal)'!$V$5*Model!$H$18*AVERAGE('Assumptions (Coal)'!$B$2:$F$2)/10^9),0)</f>
        <v>0</v>
      </c>
      <c r="M142" s="160">
        <f>IF($H$18&gt;0,IPMT('Assumptions (Coal)'!$V$7,Model!AB$1,'Assumptions (Coal)'!$V$10,'Assumptions (Coal)'!$V$5*Model!$H$18*AVERAGE('Assumptions (Coal)'!$B$2:$F$2)/10^9),0)</f>
        <v>0</v>
      </c>
      <c r="N142" s="177">
        <f>IF($H$18&gt;0,IPMT('Assumptions (Coal)'!$V$7,Model!AC$1,'Assumptions (Coal)'!$V$10,'Assumptions (Coal)'!$V$5*Model!$H$18*AVERAGE('Assumptions (Coal)'!$B$2:$F$2)/10^9),0)</f>
        <v>0</v>
      </c>
      <c r="O142" s="160">
        <f>IF($H$18&gt;0,IPMT('Assumptions (Coal)'!$V$7,Model!AD$1,'Assumptions (Coal)'!$V$10,'Assumptions (Coal)'!$V$5*Model!$H$18*AVERAGE('Assumptions (Coal)'!$B$2:$F$2)/10^9),0)</f>
        <v>0</v>
      </c>
      <c r="P142" s="160">
        <f>IF($H$18&gt;0,IPMT('Assumptions (Coal)'!$V$7,Model!AE$1,'Assumptions (Coal)'!$V$10,'Assumptions (Coal)'!$V$5*Model!$H$18*AVERAGE('Assumptions (Coal)'!$B$2:$F$2)/10^9),0)</f>
        <v>0</v>
      </c>
      <c r="Q142" s="160">
        <f>IF($H$18&gt;0,IPMT('Assumptions (Coal)'!$V$7,Model!AF$1,'Assumptions (Coal)'!$V$10,'Assumptions (Coal)'!$V$5*Model!$H$18*AVERAGE('Assumptions (Coal)'!$B$2:$F$2)/10^9),0)</f>
        <v>0</v>
      </c>
      <c r="R142" s="160">
        <f>IF($H$18&gt;0,IPMT('Assumptions (Coal)'!$V$7,Model!AG$1,'Assumptions (Coal)'!$V$10,'Assumptions (Coal)'!$V$5*Model!$H$18*AVERAGE('Assumptions (Coal)'!$B$2:$F$2)/10^9),0)</f>
        <v>0</v>
      </c>
      <c r="S142" s="160">
        <f>IF($H$18&gt;0,IPMT('Assumptions (Coal)'!$V$7,Model!AH$1,'Assumptions (Coal)'!$V$10,'Assumptions (Coal)'!$V$5*Model!$H$18*AVERAGE('Assumptions (Coal)'!$B$2:$F$2)/10^9),0)</f>
        <v>0</v>
      </c>
      <c r="T142" s="160">
        <f>IF($H$18&gt;0,IPMT('Assumptions (Coal)'!$V$7,Model!AI$1,'Assumptions (Coal)'!$V$10,'Assumptions (Coal)'!$V$5*Model!$H$18*AVERAGE('Assumptions (Coal)'!$B$2:$F$2)/10^9),0)</f>
        <v>0</v>
      </c>
      <c r="U142" s="160">
        <f>IF($H$18&gt;0,IPMT('Assumptions (Coal)'!$V$7,Model!AJ$1,'Assumptions (Coal)'!$V$10,'Assumptions (Coal)'!$V$5*Model!$H$18*AVERAGE('Assumptions (Coal)'!$B$2:$F$2)/10^9),0)</f>
        <v>0</v>
      </c>
      <c r="V142" s="160">
        <f>IF($H$18&gt;0,IPMT('Assumptions (Coal)'!$V$7,Model!AK$1,'Assumptions (Coal)'!$V$10,'Assumptions (Coal)'!$V$5*Model!$H$18*AVERAGE('Assumptions (Coal)'!$B$2:$F$2)/10^9),0)</f>
        <v>0</v>
      </c>
      <c r="W142" s="160"/>
      <c r="X142" s="160"/>
      <c r="Y142" s="160"/>
      <c r="Z142" s="160"/>
      <c r="AA142" s="160"/>
      <c r="AB142" s="160"/>
      <c r="AC142" s="160"/>
      <c r="AD142" s="160"/>
      <c r="AE142" s="160"/>
      <c r="AF142" s="160"/>
      <c r="AG142" s="160"/>
      <c r="AU142" s="160"/>
      <c r="AV142" s="160"/>
      <c r="AW142" s="160"/>
      <c r="AX142" s="160"/>
      <c r="AY142" s="160"/>
      <c r="AZ142" s="160"/>
      <c r="BA142" s="160"/>
    </row>
    <row r="143" ht="15.75" hidden="1" customHeight="1" outlineLevel="1">
      <c r="A143" s="158"/>
      <c r="B143" s="38"/>
      <c r="C143" s="160"/>
      <c r="D143" s="160"/>
      <c r="E143" s="160"/>
      <c r="F143" s="160"/>
      <c r="G143" s="160"/>
      <c r="H143" s="160"/>
      <c r="I143" s="160">
        <f>IF($I$18&gt;0,IPMT('Assumptions (Coal)'!$V$7,Model!W$1,'Assumptions (Coal)'!$V$10,'Assumptions (Coal)'!$V$5*Model!$I$18*AVERAGE('Assumptions (Coal)'!$B$2:$G$2)/10^9),0)</f>
        <v>0</v>
      </c>
      <c r="J143" s="160">
        <f>IF($I$18&gt;0,IPMT('Assumptions (Coal)'!$V$7,Model!X$1,'Assumptions (Coal)'!$V$10,'Assumptions (Coal)'!$V$5*Model!$I$18*AVERAGE('Assumptions (Coal)'!$B$2:$G$2)/10^9),0)</f>
        <v>0</v>
      </c>
      <c r="K143" s="160">
        <f>IF($I$18&gt;0,IPMT('Assumptions (Coal)'!$V$7,Model!Y$1,'Assumptions (Coal)'!$V$10,'Assumptions (Coal)'!$V$5*Model!$I$18*AVERAGE('Assumptions (Coal)'!$B$2:$G$2)/10^9),0)</f>
        <v>0</v>
      </c>
      <c r="L143" s="160">
        <f>IF($I$18&gt;0,IPMT('Assumptions (Coal)'!$V$7,Model!Z$1,'Assumptions (Coal)'!$V$10,'Assumptions (Coal)'!$V$5*Model!$I$18*AVERAGE('Assumptions (Coal)'!$B$2:$G$2)/10^9),0)</f>
        <v>0</v>
      </c>
      <c r="M143" s="160">
        <f>IF($I$18&gt;0,IPMT('Assumptions (Coal)'!$V$7,Model!AA$1,'Assumptions (Coal)'!$V$10,'Assumptions (Coal)'!$V$5*Model!$I$18*AVERAGE('Assumptions (Coal)'!$B$2:$G$2)/10^9),0)</f>
        <v>0</v>
      </c>
      <c r="N143" s="177">
        <f>IF($I$18&gt;0,IPMT('Assumptions (Coal)'!$V$7,Model!AB$1,'Assumptions (Coal)'!$V$10,'Assumptions (Coal)'!$V$5*Model!$I$18*AVERAGE('Assumptions (Coal)'!$B$2:$G$2)/10^9),0)</f>
        <v>0</v>
      </c>
      <c r="O143" s="160">
        <f>IF($I$18&gt;0,IPMT('Assumptions (Coal)'!$V$7,Model!AC$1,'Assumptions (Coal)'!$V$10,'Assumptions (Coal)'!$V$5*Model!$I$18*AVERAGE('Assumptions (Coal)'!$B$2:$G$2)/10^9),0)</f>
        <v>0</v>
      </c>
      <c r="P143" s="160">
        <f>IF($I$18&gt;0,IPMT('Assumptions (Coal)'!$V$7,Model!AD$1,'Assumptions (Coal)'!$V$10,'Assumptions (Coal)'!$V$5*Model!$I$18*AVERAGE('Assumptions (Coal)'!$B$2:$G$2)/10^9),0)</f>
        <v>0</v>
      </c>
      <c r="Q143" s="160">
        <f>IF($I$18&gt;0,IPMT('Assumptions (Coal)'!$V$7,Model!AE$1,'Assumptions (Coal)'!$V$10,'Assumptions (Coal)'!$V$5*Model!$I$18*AVERAGE('Assumptions (Coal)'!$B$2:$G$2)/10^9),0)</f>
        <v>0</v>
      </c>
      <c r="R143" s="160">
        <f>IF($I$18&gt;0,IPMT('Assumptions (Coal)'!$V$7,Model!AF$1,'Assumptions (Coal)'!$V$10,'Assumptions (Coal)'!$V$5*Model!$I$18*AVERAGE('Assumptions (Coal)'!$B$2:$G$2)/10^9),0)</f>
        <v>0</v>
      </c>
      <c r="S143" s="160">
        <f>IF($I$18&gt;0,IPMT('Assumptions (Coal)'!$V$7,Model!AG$1,'Assumptions (Coal)'!$V$10,'Assumptions (Coal)'!$V$5*Model!$I$18*AVERAGE('Assumptions (Coal)'!$B$2:$G$2)/10^9),0)</f>
        <v>0</v>
      </c>
      <c r="T143" s="160">
        <f>IF($I$18&gt;0,IPMT('Assumptions (Coal)'!$V$7,Model!AH$1,'Assumptions (Coal)'!$V$10,'Assumptions (Coal)'!$V$5*Model!$I$18*AVERAGE('Assumptions (Coal)'!$B$2:$G$2)/10^9),0)</f>
        <v>0</v>
      </c>
      <c r="U143" s="160">
        <f>IF($I$18&gt;0,IPMT('Assumptions (Coal)'!$V$7,Model!AI$1,'Assumptions (Coal)'!$V$10,'Assumptions (Coal)'!$V$5*Model!$I$18*AVERAGE('Assumptions (Coal)'!$B$2:$G$2)/10^9),0)</f>
        <v>0</v>
      </c>
      <c r="V143" s="160">
        <f>IF($I$18&gt;0,IPMT('Assumptions (Coal)'!$V$7,Model!AJ$1,'Assumptions (Coal)'!$V$10,'Assumptions (Coal)'!$V$5*Model!$I$18*AVERAGE('Assumptions (Coal)'!$B$2:$G$2)/10^9),0)</f>
        <v>0</v>
      </c>
      <c r="W143" s="160">
        <f>IF($I$18&gt;0,IPMT('Assumptions (Coal)'!$V$7,Model!AK$1,'Assumptions (Coal)'!$V$10,'Assumptions (Coal)'!$V$5*Model!$I$18*AVERAGE('Assumptions (Coal)'!$B$2:$G$2)/10^9),0)</f>
        <v>0</v>
      </c>
      <c r="X143" s="160"/>
      <c r="Y143" s="160"/>
      <c r="Z143" s="160"/>
      <c r="AA143" s="160"/>
      <c r="AB143" s="160"/>
      <c r="AC143" s="160"/>
      <c r="AD143" s="160"/>
      <c r="AE143" s="160"/>
      <c r="AF143" s="160"/>
      <c r="AG143" s="160"/>
      <c r="AU143" s="160"/>
      <c r="AV143" s="160"/>
      <c r="AW143" s="160"/>
      <c r="AX143" s="160"/>
      <c r="AY143" s="160"/>
      <c r="AZ143" s="160"/>
      <c r="BA143" s="160"/>
    </row>
    <row r="144" ht="15.75" hidden="1" customHeight="1" outlineLevel="1">
      <c r="A144" s="158"/>
      <c r="B144" s="38"/>
      <c r="C144" s="160"/>
      <c r="D144" s="160"/>
      <c r="E144" s="160"/>
      <c r="F144" s="160"/>
      <c r="G144" s="160"/>
      <c r="H144" s="160"/>
      <c r="I144" s="160"/>
      <c r="J144" s="160">
        <f>IF($J$18&gt;0,IPMT('Assumptions (Coal)'!$V$7,Model!W$1,'Assumptions (Coal)'!$V$10,'Assumptions (Coal)'!$V$5*Model!$J$18*AVERAGE('Assumptions (Coal)'!$C$2:$H$2)/10^9),0)</f>
        <v>-0.03556766811</v>
      </c>
      <c r="K144" s="160">
        <f>IF($J$18&gt;0,IPMT('Assumptions (Coal)'!$V$7,Model!X$1,'Assumptions (Coal)'!$V$10,'Assumptions (Coal)'!$V$5*Model!$J$18*AVERAGE('Assumptions (Coal)'!$C$2:$H$2)/10^9),0)</f>
        <v>-0.03388812247</v>
      </c>
      <c r="L144" s="160">
        <f>IF($J$18&gt;0,IPMT('Assumptions (Coal)'!$V$7,Model!Y$1,'Assumptions (Coal)'!$V$10,'Assumptions (Coal)'!$V$5*Model!$J$18*AVERAGE('Assumptions (Coal)'!$C$2:$H$2)/10^9),0)</f>
        <v>-0.03212879842</v>
      </c>
      <c r="M144" s="160">
        <f>IF($J$18&gt;0,IPMT('Assumptions (Coal)'!$V$7,Model!Z$1,'Assumptions (Coal)'!$V$10,'Assumptions (Coal)'!$V$5*Model!$J$18*AVERAGE('Assumptions (Coal)'!$C$2:$H$2)/10^9),0)</f>
        <v>-0.03028590647</v>
      </c>
      <c r="N144" s="177">
        <f>IF($J$18&gt;0,IPMT('Assumptions (Coal)'!$V$7,Model!AA$1,'Assumptions (Coal)'!$V$10,'Assumptions (Coal)'!$V$5*Model!$J$18*AVERAGE('Assumptions (Coal)'!$C$2:$H$2)/10^9),0)</f>
        <v>-0.02835547716</v>
      </c>
      <c r="O144" s="160">
        <f>IF($J$18&gt;0,IPMT('Assumptions (Coal)'!$V$7,Model!AB$1,'Assumptions (Coal)'!$V$10,'Assumptions (Coal)'!$V$5*Model!$J$18*AVERAGE('Assumptions (Coal)'!$C$2:$H$2)/10^9),0)</f>
        <v>-0.02633335245</v>
      </c>
      <c r="P144" s="160">
        <f>IF($J$18&gt;0,IPMT('Assumptions (Coal)'!$V$7,Model!AC$1,'Assumptions (Coal)'!$V$10,'Assumptions (Coal)'!$V$5*Model!$J$18*AVERAGE('Assumptions (Coal)'!$C$2:$H$2)/10^9),0)</f>
        <v>-0.02421517682</v>
      </c>
      <c r="Q144" s="160">
        <f>IF($J$18&gt;0,IPMT('Assumptions (Coal)'!$V$7,Model!AD$1,'Assumptions (Coal)'!$V$10,'Assumptions (Coal)'!$V$5*Model!$J$18*AVERAGE('Assumptions (Coal)'!$C$2:$H$2)/10^9),0)</f>
        <v>-0.02199638785</v>
      </c>
      <c r="R144" s="160">
        <f>IF($J$18&gt;0,IPMT('Assumptions (Coal)'!$V$7,Model!AE$1,'Assumptions (Coal)'!$V$10,'Assumptions (Coal)'!$V$5*Model!$J$18*AVERAGE('Assumptions (Coal)'!$C$2:$H$2)/10^9),0)</f>
        <v>-0.0196722064</v>
      </c>
      <c r="S144" s="160">
        <f>IF($J$18&gt;0,IPMT('Assumptions (Coal)'!$V$7,Model!AF$1,'Assumptions (Coal)'!$V$10,'Assumptions (Coal)'!$V$5*Model!$J$18*AVERAGE('Assumptions (Coal)'!$C$2:$H$2)/10^9),0)</f>
        <v>-0.01723762633</v>
      </c>
      <c r="T144" s="160">
        <f>IF($J$18&gt;0,IPMT('Assumptions (Coal)'!$V$7,Model!AG$1,'Assumptions (Coal)'!$V$10,'Assumptions (Coal)'!$V$5*Model!$J$18*AVERAGE('Assumptions (Coal)'!$C$2:$H$2)/10^9),0)</f>
        <v>-0.01468740371</v>
      </c>
      <c r="U144" s="160">
        <f>IF($J$18&gt;0,IPMT('Assumptions (Coal)'!$V$7,Model!AH$1,'Assumptions (Coal)'!$V$10,'Assumptions (Coal)'!$V$5*Model!$J$18*AVERAGE('Assumptions (Coal)'!$C$2:$H$2)/10^9),0)</f>
        <v>-0.01201604552</v>
      </c>
      <c r="V144" s="160">
        <f>IF($J$18&gt;0,IPMT('Assumptions (Coal)'!$V$7,Model!AI$1,'Assumptions (Coal)'!$V$10,'Assumptions (Coal)'!$V$5*Model!$J$18*AVERAGE('Assumptions (Coal)'!$C$2:$H$2)/10^9),0)</f>
        <v>-0.009217797805</v>
      </c>
      <c r="W144" s="160">
        <f>IF($J$18&gt;0,IPMT('Assumptions (Coal)'!$V$7,Model!AJ$1,'Assumptions (Coal)'!$V$10,'Assumptions (Coal)'!$V$5*Model!$J$18*AVERAGE('Assumptions (Coal)'!$C$2:$H$2)/10^9),0)</f>
        <v>-0.00628663333</v>
      </c>
      <c r="X144" s="160">
        <f>IF($J$18&gt;0,IPMT('Assumptions (Coal)'!$V$7,Model!AK$1,'Assumptions (Coal)'!$V$10,'Assumptions (Coal)'!$V$5*Model!$J$18*AVERAGE('Assumptions (Coal)'!$C$2:$H$2)/10^9),0)</f>
        <v>-0.003216238541</v>
      </c>
      <c r="Y144" s="160"/>
      <c r="Z144" s="160"/>
      <c r="AA144" s="160"/>
      <c r="AB144" s="160"/>
      <c r="AC144" s="160"/>
      <c r="AD144" s="160"/>
      <c r="AE144" s="160"/>
      <c r="AF144" s="160"/>
      <c r="AG144" s="160"/>
      <c r="AH144" s="160"/>
      <c r="AU144" s="160"/>
      <c r="AV144" s="160"/>
      <c r="AW144" s="160"/>
      <c r="AX144" s="160"/>
      <c r="AY144" s="160"/>
      <c r="AZ144" s="160"/>
      <c r="BA144" s="160"/>
    </row>
    <row r="145" ht="15.75" hidden="1" customHeight="1" outlineLevel="1">
      <c r="A145" s="158"/>
      <c r="B145" s="38"/>
      <c r="C145" s="160"/>
      <c r="D145" s="160"/>
      <c r="E145" s="160"/>
      <c r="F145" s="160"/>
      <c r="G145" s="160"/>
      <c r="H145" s="160"/>
      <c r="I145" s="160"/>
      <c r="J145" s="160"/>
      <c r="K145" s="160">
        <f>IF($K$18&gt;0,IPMT('Assumptions (Coal)'!$V$7,Model!W$1,'Assumptions (Coal)'!$V$10,'Assumptions (Coal)'!$V$5*Model!$K$18*AVERAGE('Assumptions (Coal)'!$D$2:$I$2)/10^9),0)</f>
        <v>-0.0402239467</v>
      </c>
      <c r="L145" s="160">
        <f>IF($K$18&gt;0,IPMT('Assumptions (Coal)'!$V$7,Model!X$1,'Assumptions (Coal)'!$V$10,'Assumptions (Coal)'!$V$5*Model!$K$18*AVERAGE('Assumptions (Coal)'!$D$2:$I$2)/10^9),0)</f>
        <v>-0.03832452631</v>
      </c>
      <c r="M145" s="160">
        <f>IF($K$18&gt;0,IPMT('Assumptions (Coal)'!$V$7,Model!Y$1,'Assumptions (Coal)'!$V$10,'Assumptions (Coal)'!$V$5*Model!$K$18*AVERAGE('Assumptions (Coal)'!$D$2:$I$2)/10^9),0)</f>
        <v>-0.03633488345</v>
      </c>
      <c r="N145" s="177">
        <f>IF($K$18&gt;0,IPMT('Assumptions (Coal)'!$V$7,Model!Z$1,'Assumptions (Coal)'!$V$10,'Assumptions (Coal)'!$V$5*Model!$K$18*AVERAGE('Assumptions (Coal)'!$D$2:$I$2)/10^9),0)</f>
        <v>-0.03425073255</v>
      </c>
      <c r="O145" s="160">
        <f>IF($K$18&gt;0,IPMT('Assumptions (Coal)'!$V$7,Model!AA$1,'Assumptions (Coal)'!$V$10,'Assumptions (Coal)'!$V$5*Model!$K$18*AVERAGE('Assumptions (Coal)'!$D$2:$I$2)/10^9),0)</f>
        <v>-0.03206758448</v>
      </c>
      <c r="P145" s="160">
        <f>IF($K$18&gt;0,IPMT('Assumptions (Coal)'!$V$7,Model!AB$1,'Assumptions (Coal)'!$V$10,'Assumptions (Coal)'!$V$5*Model!$K$18*AVERAGE('Assumptions (Coal)'!$D$2:$I$2)/10^9),0)</f>
        <v>-0.02978073688</v>
      </c>
      <c r="Q145" s="160">
        <f>IF($K$18&gt;0,IPMT('Assumptions (Coal)'!$V$7,Model!AC$1,'Assumptions (Coal)'!$V$10,'Assumptions (Coal)'!$V$5*Model!$K$18*AVERAGE('Assumptions (Coal)'!$D$2:$I$2)/10^9),0)</f>
        <v>-0.02738526402</v>
      </c>
      <c r="R145" s="160">
        <f>IF($K$18&gt;0,IPMT('Assumptions (Coal)'!$V$7,Model!AD$1,'Assumptions (Coal)'!$V$10,'Assumptions (Coal)'!$V$5*Model!$K$18*AVERAGE('Assumptions (Coal)'!$D$2:$I$2)/10^9),0)</f>
        <v>-0.0248760062</v>
      </c>
      <c r="S145" s="160">
        <f>IF($K$18&gt;0,IPMT('Assumptions (Coal)'!$V$7,Model!AE$1,'Assumptions (Coal)'!$V$10,'Assumptions (Coal)'!$V$5*Model!$K$18*AVERAGE('Assumptions (Coal)'!$D$2:$I$2)/10^9),0)</f>
        <v>-0.02224755863</v>
      </c>
      <c r="T145" s="160">
        <f>IF($K$18&gt;0,IPMT('Assumptions (Coal)'!$V$7,Model!AF$1,'Assumptions (Coal)'!$V$10,'Assumptions (Coal)'!$V$5*Model!$K$18*AVERAGE('Assumptions (Coal)'!$D$2:$I$2)/10^9),0)</f>
        <v>-0.01949425981</v>
      </c>
      <c r="U145" s="160">
        <f>IF($K$18&gt;0,IPMT('Assumptions (Coal)'!$V$7,Model!AG$1,'Assumptions (Coal)'!$V$10,'Assumptions (Coal)'!$V$5*Model!$K$18*AVERAGE('Assumptions (Coal)'!$D$2:$I$2)/10^9),0)</f>
        <v>-0.01661017929</v>
      </c>
      <c r="V145" s="160">
        <f>IF($K$18&gt;0,IPMT('Assumptions (Coal)'!$V$7,Model!AH$1,'Assumptions (Coal)'!$V$10,'Assumptions (Coal)'!$V$5*Model!$K$18*AVERAGE('Assumptions (Coal)'!$D$2:$I$2)/10^9),0)</f>
        <v>-0.01358910494</v>
      </c>
      <c r="W145" s="160">
        <f>IF($K$18&gt;0,IPMT('Assumptions (Coal)'!$V$7,Model!AI$1,'Assumptions (Coal)'!$V$10,'Assumptions (Coal)'!$V$5*Model!$K$18*AVERAGE('Assumptions (Coal)'!$D$2:$I$2)/10^9),0)</f>
        <v>-0.01042452956</v>
      </c>
      <c r="X145" s="160">
        <f>IF($K$18&gt;0,IPMT('Assumptions (Coal)'!$V$7,Model!AJ$1,'Assumptions (Coal)'!$V$10,'Assumptions (Coal)'!$V$5*Model!$K$18*AVERAGE('Assumptions (Coal)'!$D$2:$I$2)/10^9),0)</f>
        <v>-0.007109636854</v>
      </c>
      <c r="Y145" s="160">
        <f>IF($K$18&gt;0,IPMT('Assumptions (Coal)'!$V$7,Model!AK$1,'Assumptions (Coal)'!$V$10,'Assumptions (Coal)'!$V$5*Model!$K$18*AVERAGE('Assumptions (Coal)'!$D$2:$I$2)/10^9),0)</f>
        <v>-0.003637286742</v>
      </c>
      <c r="Z145" s="160"/>
      <c r="AA145" s="160"/>
      <c r="AB145" s="160"/>
      <c r="AC145" s="160"/>
      <c r="AD145" s="160"/>
      <c r="AE145" s="160"/>
      <c r="AF145" s="160"/>
      <c r="AG145" s="160"/>
      <c r="AH145" s="160"/>
      <c r="AI145" s="160"/>
      <c r="AU145" s="160"/>
      <c r="AV145" s="160"/>
      <c r="AW145" s="160"/>
      <c r="AX145" s="160"/>
      <c r="AY145" s="160"/>
      <c r="AZ145" s="160"/>
      <c r="BA145" s="160"/>
    </row>
    <row r="146" ht="15.75" hidden="1" customHeight="1" outlineLevel="1">
      <c r="A146" s="158"/>
      <c r="B146" s="38"/>
      <c r="C146" s="160"/>
      <c r="D146" s="160"/>
      <c r="E146" s="160"/>
      <c r="F146" s="160"/>
      <c r="G146" s="160"/>
      <c r="H146" s="160"/>
      <c r="I146" s="160"/>
      <c r="J146" s="160"/>
      <c r="K146" s="160"/>
      <c r="L146" s="160">
        <f>IF($L$18&gt;0,IPMT('Assumptions (Coal)'!$V$7,Model!W$1,'Assumptions (Coal)'!$V$10,'Assumptions (Coal)'!$V$5*Model!$L$18*AVERAGE('Assumptions (Coal)'!$E$2:$J$2)/10^9),0)</f>
        <v>0</v>
      </c>
      <c r="M146" s="160">
        <f>IF($L$18&gt;0,IPMT('Assumptions (Coal)'!$V$7,Model!X$1,'Assumptions (Coal)'!$V$10,'Assumptions (Coal)'!$V$5*Model!$L$18*AVERAGE('Assumptions (Coal)'!$E$2:$J$2)/10^9),0)</f>
        <v>0</v>
      </c>
      <c r="N146" s="177">
        <f>IF($L$18&gt;0,IPMT('Assumptions (Coal)'!$V$7,Model!Y$1,'Assumptions (Coal)'!$V$10,'Assumptions (Coal)'!$V$5*Model!$L$18*AVERAGE('Assumptions (Coal)'!$E$2:$J$2)/10^9),0)</f>
        <v>0</v>
      </c>
      <c r="O146" s="160">
        <f>IF($L$18&gt;0,IPMT('Assumptions (Coal)'!$V$7,Model!Z$1,'Assumptions (Coal)'!$V$10,'Assumptions (Coal)'!$V$5*Model!$L$18*AVERAGE('Assumptions (Coal)'!$E$2:$J$2)/10^9),0)</f>
        <v>0</v>
      </c>
      <c r="P146" s="160">
        <f>IF($L$18&gt;0,IPMT('Assumptions (Coal)'!$V$7,Model!AA$1,'Assumptions (Coal)'!$V$10,'Assumptions (Coal)'!$V$5*Model!$L$18*AVERAGE('Assumptions (Coal)'!$E$2:$J$2)/10^9),0)</f>
        <v>0</v>
      </c>
      <c r="Q146" s="160">
        <f>IF($L$18&gt;0,IPMT('Assumptions (Coal)'!$V$7,Model!AB$1,'Assumptions (Coal)'!$V$10,'Assumptions (Coal)'!$V$5*Model!$L$18*AVERAGE('Assumptions (Coal)'!$E$2:$J$2)/10^9),0)</f>
        <v>0</v>
      </c>
      <c r="R146" s="160">
        <f>IF($L$18&gt;0,IPMT('Assumptions (Coal)'!$V$7,Model!AC$1,'Assumptions (Coal)'!$V$10,'Assumptions (Coal)'!$V$5*Model!$L$18*AVERAGE('Assumptions (Coal)'!$E$2:$J$2)/10^9),0)</f>
        <v>0</v>
      </c>
      <c r="S146" s="160">
        <f>IF($L$18&gt;0,IPMT('Assumptions (Coal)'!$V$7,Model!AD$1,'Assumptions (Coal)'!$V$10,'Assumptions (Coal)'!$V$5*Model!$L$18*AVERAGE('Assumptions (Coal)'!$E$2:$J$2)/10^9),0)</f>
        <v>0</v>
      </c>
      <c r="T146" s="160">
        <f>IF($L$18&gt;0,IPMT('Assumptions (Coal)'!$V$7,Model!AE$1,'Assumptions (Coal)'!$V$10,'Assumptions (Coal)'!$V$5*Model!$L$18*AVERAGE('Assumptions (Coal)'!$E$2:$J$2)/10^9),0)</f>
        <v>0</v>
      </c>
      <c r="U146" s="160">
        <f>IF($L$18&gt;0,IPMT('Assumptions (Coal)'!$V$7,Model!AF$1,'Assumptions (Coal)'!$V$10,'Assumptions (Coal)'!$V$5*Model!$L$18*AVERAGE('Assumptions (Coal)'!$E$2:$J$2)/10^9),0)</f>
        <v>0</v>
      </c>
      <c r="V146" s="160">
        <f>IF($L$18&gt;0,IPMT('Assumptions (Coal)'!$V$7,Model!AG$1,'Assumptions (Coal)'!$V$10,'Assumptions (Coal)'!$V$5*Model!$L$18*AVERAGE('Assumptions (Coal)'!$E$2:$J$2)/10^9),0)</f>
        <v>0</v>
      </c>
      <c r="W146" s="160">
        <f>IF($L$18&gt;0,IPMT('Assumptions (Coal)'!$V$7,Model!AH$1,'Assumptions (Coal)'!$V$10,'Assumptions (Coal)'!$V$5*Model!$L$18*AVERAGE('Assumptions (Coal)'!$E$2:$J$2)/10^9),0)</f>
        <v>0</v>
      </c>
      <c r="X146" s="160">
        <f>IF($L$18&gt;0,IPMT('Assumptions (Coal)'!$V$7,Model!AI$1,'Assumptions (Coal)'!$V$10,'Assumptions (Coal)'!$V$5*Model!$L$18*AVERAGE('Assumptions (Coal)'!$E$2:$J$2)/10^9),0)</f>
        <v>0</v>
      </c>
      <c r="Y146" s="160">
        <f>IF($L$18&gt;0,IPMT('Assumptions (Coal)'!$V$7,Model!AJ$1,'Assumptions (Coal)'!$V$10,'Assumptions (Coal)'!$V$5*Model!$L$18*AVERAGE('Assumptions (Coal)'!$E$2:$J$2)/10^9),0)</f>
        <v>0</v>
      </c>
      <c r="Z146" s="160">
        <f>IF($L$18&gt;0,IPMT('Assumptions (Coal)'!$V$7,Model!AK$1,'Assumptions (Coal)'!$V$10,'Assumptions (Coal)'!$V$5*Model!$L$18*AVERAGE('Assumptions (Coal)'!$E$2:$J$2)/10^9),0)</f>
        <v>0</v>
      </c>
      <c r="AA146" s="160"/>
      <c r="AB146" s="160"/>
      <c r="AC146" s="160"/>
      <c r="AD146" s="160"/>
      <c r="AE146" s="160"/>
      <c r="AF146" s="160"/>
      <c r="AG146" s="160"/>
      <c r="AH146" s="160"/>
      <c r="AI146" s="160"/>
      <c r="AJ146" s="160"/>
      <c r="AU146" s="160"/>
      <c r="AV146" s="160"/>
      <c r="AW146" s="160"/>
      <c r="AX146" s="160"/>
      <c r="AY146" s="160"/>
      <c r="AZ146" s="160"/>
      <c r="BA146" s="160"/>
    </row>
    <row r="147" ht="15.75" hidden="1" customHeight="1" outlineLevel="1">
      <c r="A147" s="158"/>
      <c r="B147" s="38"/>
      <c r="C147" s="160"/>
      <c r="D147" s="160"/>
      <c r="E147" s="160"/>
      <c r="F147" s="160"/>
      <c r="G147" s="160"/>
      <c r="H147" s="160"/>
      <c r="I147" s="160"/>
      <c r="J147" s="160"/>
      <c r="K147" s="160"/>
      <c r="L147" s="160"/>
      <c r="M147" s="160">
        <f>IF($M$18&gt;0,IPMT('Assumptions (Coal)'!$V$7,Model!W$1,'Assumptions (Coal)'!$V$10,'Assumptions (Coal)'!$V$5*Model!$M$18*AVERAGE('Assumptions (Coal)'!$F$2:$K$2)/10^9),0)</f>
        <v>0</v>
      </c>
      <c r="N147" s="177">
        <f>IF($M$18&gt;0,IPMT('Assumptions (Coal)'!$V$7,Model!X$1,'Assumptions (Coal)'!$V$10,'Assumptions (Coal)'!$V$5*Model!$M$18*AVERAGE('Assumptions (Coal)'!$F$2:$K$2)/10^9),0)</f>
        <v>0</v>
      </c>
      <c r="O147" s="160">
        <f>IF($M$18&gt;0,IPMT('Assumptions (Coal)'!$V$7,Model!Y$1,'Assumptions (Coal)'!$V$10,'Assumptions (Coal)'!$V$5*Model!$M$18*AVERAGE('Assumptions (Coal)'!$F$2:$K$2)/10^9),0)</f>
        <v>0</v>
      </c>
      <c r="P147" s="160">
        <f>IF($M$18&gt;0,IPMT('Assumptions (Coal)'!$V$7,Model!Z$1,'Assumptions (Coal)'!$V$10,'Assumptions (Coal)'!$V$5*Model!$M$18*AVERAGE('Assumptions (Coal)'!$F$2:$K$2)/10^9),0)</f>
        <v>0</v>
      </c>
      <c r="Q147" s="160">
        <f>IF($M$18&gt;0,IPMT('Assumptions (Coal)'!$V$7,Model!AA$1,'Assumptions (Coal)'!$V$10,'Assumptions (Coal)'!$V$5*Model!$M$18*AVERAGE('Assumptions (Coal)'!$F$2:$K$2)/10^9),0)</f>
        <v>0</v>
      </c>
      <c r="R147" s="160">
        <f>IF($M$18&gt;0,IPMT('Assumptions (Coal)'!$V$7,Model!AB$1,'Assumptions (Coal)'!$V$10,'Assumptions (Coal)'!$V$5*Model!$M$18*AVERAGE('Assumptions (Coal)'!$F$2:$K$2)/10^9),0)</f>
        <v>0</v>
      </c>
      <c r="S147" s="160">
        <f>IF($M$18&gt;0,IPMT('Assumptions (Coal)'!$V$7,Model!AC$1,'Assumptions (Coal)'!$V$10,'Assumptions (Coal)'!$V$5*Model!$M$18*AVERAGE('Assumptions (Coal)'!$F$2:$K$2)/10^9),0)</f>
        <v>0</v>
      </c>
      <c r="T147" s="160">
        <f>IF($M$18&gt;0,IPMT('Assumptions (Coal)'!$V$7,Model!AD$1,'Assumptions (Coal)'!$V$10,'Assumptions (Coal)'!$V$5*Model!$M$18*AVERAGE('Assumptions (Coal)'!$F$2:$K$2)/10^9),0)</f>
        <v>0</v>
      </c>
      <c r="U147" s="160">
        <f>IF($M$18&gt;0,IPMT('Assumptions (Coal)'!$V$7,Model!AE$1,'Assumptions (Coal)'!$V$10,'Assumptions (Coal)'!$V$5*Model!$M$18*AVERAGE('Assumptions (Coal)'!$F$2:$K$2)/10^9),0)</f>
        <v>0</v>
      </c>
      <c r="V147" s="160">
        <f>IF($M$18&gt;0,IPMT('Assumptions (Coal)'!$V$7,Model!AF$1,'Assumptions (Coal)'!$V$10,'Assumptions (Coal)'!$V$5*Model!$M$18*AVERAGE('Assumptions (Coal)'!$F$2:$K$2)/10^9),0)</f>
        <v>0</v>
      </c>
      <c r="W147" s="160">
        <f>IF($M$18&gt;0,IPMT('Assumptions (Coal)'!$V$7,Model!AG$1,'Assumptions (Coal)'!$V$10,'Assumptions (Coal)'!$V$5*Model!$M$18*AVERAGE('Assumptions (Coal)'!$F$2:$K$2)/10^9),0)</f>
        <v>0</v>
      </c>
      <c r="X147" s="160">
        <f>IF($M$18&gt;0,IPMT('Assumptions (Coal)'!$V$7,Model!AH$1,'Assumptions (Coal)'!$V$10,'Assumptions (Coal)'!$V$5*Model!$M$18*AVERAGE('Assumptions (Coal)'!$F$2:$K$2)/10^9),0)</f>
        <v>0</v>
      </c>
      <c r="Y147" s="160">
        <f>IF($M$18&gt;0,IPMT('Assumptions (Coal)'!$V$7,Model!AI$1,'Assumptions (Coal)'!$V$10,'Assumptions (Coal)'!$V$5*Model!$M$18*AVERAGE('Assumptions (Coal)'!$F$2:$K$2)/10^9),0)</f>
        <v>0</v>
      </c>
      <c r="Z147" s="160">
        <f>IF($M$18&gt;0,IPMT('Assumptions (Coal)'!$V$7,Model!AJ$1,'Assumptions (Coal)'!$V$10,'Assumptions (Coal)'!$V$5*Model!$M$18*AVERAGE('Assumptions (Coal)'!$F$2:$K$2)/10^9),0)</f>
        <v>0</v>
      </c>
      <c r="AA147" s="160">
        <f>IF($M$18&gt;0,IPMT('Assumptions (Coal)'!$V$7,Model!AK$1,'Assumptions (Coal)'!$V$10,'Assumptions (Coal)'!$V$5*Model!$M$18*AVERAGE('Assumptions (Coal)'!$F$2:$K$2)/10^9),0)</f>
        <v>0</v>
      </c>
      <c r="AB147" s="160"/>
      <c r="AC147" s="160"/>
      <c r="AD147" s="160"/>
      <c r="AE147" s="160"/>
      <c r="AF147" s="160"/>
      <c r="AG147" s="160"/>
      <c r="AH147" s="160"/>
      <c r="AI147" s="160"/>
      <c r="AJ147" s="160"/>
      <c r="AK147" s="160"/>
      <c r="AU147" s="160"/>
      <c r="AV147" s="160"/>
      <c r="AW147" s="160"/>
      <c r="AX147" s="160"/>
      <c r="AY147" s="160"/>
      <c r="AZ147" s="160"/>
      <c r="BA147" s="160"/>
    </row>
    <row r="148" ht="15.75" hidden="1" customHeight="1" outlineLevel="1">
      <c r="A148" s="158"/>
      <c r="B148" s="38"/>
      <c r="C148" s="160"/>
      <c r="D148" s="160"/>
      <c r="E148" s="160"/>
      <c r="F148" s="160"/>
      <c r="G148" s="160"/>
      <c r="H148" s="160"/>
      <c r="I148" s="160"/>
      <c r="J148" s="160"/>
      <c r="K148" s="160"/>
      <c r="L148" s="160"/>
      <c r="M148" s="160"/>
      <c r="N148" s="177">
        <f>IF($N$18&gt;0,IPMT('Assumptions (Coal)'!$V$7,Model!W$1,'Assumptions (Coal)'!$V$10,'Assumptions (Coal)'!$V$5*Model!$N$18*AVERAGE('Assumptions (Coal)'!$G$2:$L$2)/10^9),0)</f>
        <v>0</v>
      </c>
      <c r="O148" s="160">
        <f>IF($N$18&gt;0,IPMT('Assumptions (Coal)'!$V$7,Model!X$1,'Assumptions (Coal)'!$V$10,'Assumptions (Coal)'!$V$5*Model!$N$18*AVERAGE('Assumptions (Coal)'!$G$2:$L$2)/10^9),0)</f>
        <v>0</v>
      </c>
      <c r="P148" s="160">
        <f>IF($N$18&gt;0,IPMT('Assumptions (Coal)'!$V$7,Model!Y$1,'Assumptions (Coal)'!$V$10,'Assumptions (Coal)'!$V$5*Model!$N$18*AVERAGE('Assumptions (Coal)'!$G$2:$L$2)/10^9),0)</f>
        <v>0</v>
      </c>
      <c r="Q148" s="160">
        <f>IF($N$18&gt;0,IPMT('Assumptions (Coal)'!$V$7,Model!Z$1,'Assumptions (Coal)'!$V$10,'Assumptions (Coal)'!$V$5*Model!$N$18*AVERAGE('Assumptions (Coal)'!$G$2:$L$2)/10^9),0)</f>
        <v>0</v>
      </c>
      <c r="R148" s="160">
        <f>IF($N$18&gt;0,IPMT('Assumptions (Coal)'!$V$7,Model!AA$1,'Assumptions (Coal)'!$V$10,'Assumptions (Coal)'!$V$5*Model!$N$18*AVERAGE('Assumptions (Coal)'!$G$2:$L$2)/10^9),0)</f>
        <v>0</v>
      </c>
      <c r="S148" s="160">
        <f>IF($N$18&gt;0,IPMT('Assumptions (Coal)'!$V$7,Model!AB$1,'Assumptions (Coal)'!$V$10,'Assumptions (Coal)'!$V$5*Model!$N$18*AVERAGE('Assumptions (Coal)'!$G$2:$L$2)/10^9),0)</f>
        <v>0</v>
      </c>
      <c r="T148" s="160">
        <f>IF($N$18&gt;0,IPMT('Assumptions (Coal)'!$V$7,Model!AC$1,'Assumptions (Coal)'!$V$10,'Assumptions (Coal)'!$V$5*Model!$N$18*AVERAGE('Assumptions (Coal)'!$G$2:$L$2)/10^9),0)</f>
        <v>0</v>
      </c>
      <c r="U148" s="160">
        <f>IF($N$18&gt;0,IPMT('Assumptions (Coal)'!$V$7,Model!AD$1,'Assumptions (Coal)'!$V$10,'Assumptions (Coal)'!$V$5*Model!$N$18*AVERAGE('Assumptions (Coal)'!$G$2:$L$2)/10^9),0)</f>
        <v>0</v>
      </c>
      <c r="V148" s="160">
        <f>IF($N$18&gt;0,IPMT('Assumptions (Coal)'!$V$7,Model!AE$1,'Assumptions (Coal)'!$V$10,'Assumptions (Coal)'!$V$5*Model!$N$18*AVERAGE('Assumptions (Coal)'!$G$2:$L$2)/10^9),0)</f>
        <v>0</v>
      </c>
      <c r="W148" s="160">
        <f>IF($N$18&gt;0,IPMT('Assumptions (Coal)'!$V$7,Model!AF$1,'Assumptions (Coal)'!$V$10,'Assumptions (Coal)'!$V$5*Model!$N$18*AVERAGE('Assumptions (Coal)'!$G$2:$L$2)/10^9),0)</f>
        <v>0</v>
      </c>
      <c r="X148" s="160">
        <f>IF($N$18&gt;0,IPMT('Assumptions (Coal)'!$V$7,Model!AG$1,'Assumptions (Coal)'!$V$10,'Assumptions (Coal)'!$V$5*Model!$N$18*AVERAGE('Assumptions (Coal)'!$G$2:$L$2)/10^9),0)</f>
        <v>0</v>
      </c>
      <c r="Y148" s="160">
        <f>IF($N$18&gt;0,IPMT('Assumptions (Coal)'!$V$7,Model!AH$1,'Assumptions (Coal)'!$V$10,'Assumptions (Coal)'!$V$5*Model!$N$18*AVERAGE('Assumptions (Coal)'!$G$2:$L$2)/10^9),0)</f>
        <v>0</v>
      </c>
      <c r="Z148" s="160">
        <f>IF($N$18&gt;0,IPMT('Assumptions (Coal)'!$V$7,Model!AI$1,'Assumptions (Coal)'!$V$10,'Assumptions (Coal)'!$V$5*Model!$N$18*AVERAGE('Assumptions (Coal)'!$G$2:$L$2)/10^9),0)</f>
        <v>0</v>
      </c>
      <c r="AA148" s="160">
        <f>IF($N$18&gt;0,IPMT('Assumptions (Coal)'!$V$7,Model!AJ$1,'Assumptions (Coal)'!$V$10,'Assumptions (Coal)'!$V$5*Model!$N$18*AVERAGE('Assumptions (Coal)'!$G$2:$L$2)/10^9),0)</f>
        <v>0</v>
      </c>
      <c r="AB148" s="160">
        <f>IF($N$18&gt;0,IPMT('Assumptions (Coal)'!$V$7,Model!AK$1,'Assumptions (Coal)'!$V$10,'Assumptions (Coal)'!$V$5*Model!$N$18*AVERAGE('Assumptions (Coal)'!$G$2:$L$2)/10^9),0)</f>
        <v>0</v>
      </c>
      <c r="AC148" s="160"/>
      <c r="AD148" s="160"/>
      <c r="AE148" s="160"/>
      <c r="AF148" s="160"/>
      <c r="AG148" s="160"/>
      <c r="AH148" s="160"/>
      <c r="AI148" s="160"/>
      <c r="AJ148" s="160"/>
      <c r="AK148" s="160"/>
      <c r="AL148" s="160"/>
      <c r="AU148" s="160"/>
      <c r="AV148" s="160"/>
      <c r="AW148" s="160"/>
      <c r="AX148" s="160"/>
      <c r="AY148" s="160"/>
      <c r="AZ148" s="160"/>
      <c r="BA148" s="160"/>
    </row>
    <row r="149" ht="15.75" hidden="1" customHeight="1" outlineLevel="1">
      <c r="A149" s="158"/>
      <c r="B149" s="38"/>
      <c r="C149" s="160"/>
      <c r="D149" s="160"/>
      <c r="E149" s="160"/>
      <c r="F149" s="160"/>
      <c r="G149" s="160"/>
      <c r="H149" s="160"/>
      <c r="I149" s="160"/>
      <c r="J149" s="160"/>
      <c r="K149" s="160"/>
      <c r="L149" s="160"/>
      <c r="M149" s="160"/>
      <c r="N149" s="160"/>
      <c r="O149" s="160">
        <f>IF($O$18&gt;0,IPMT('Assumptions (Coal)'!$V$7,Model!W$1,'Assumptions (Coal)'!$V$10,'Assumptions (Coal)'!$V$5*Model!$O$18*AVERAGE('Assumptions (Coal)'!$H$2:$M$2)/10^9),0)</f>
        <v>-0.06127394262</v>
      </c>
      <c r="P149" s="160">
        <f>IF($O$18&gt;0,IPMT('Assumptions (Coal)'!$V$7,Model!X$1,'Assumptions (Coal)'!$V$10,'Assumptions (Coal)'!$V$5*Model!$O$18*AVERAGE('Assumptions (Coal)'!$H$2:$M$2)/10^9),0)</f>
        <v>-0.05838051754</v>
      </c>
      <c r="Q149" s="160">
        <f>IF($O$18&gt;0,IPMT('Assumptions (Coal)'!$V$7,Model!Y$1,'Assumptions (Coal)'!$V$10,'Assumptions (Coal)'!$V$5*Model!$O$18*AVERAGE('Assumptions (Coal)'!$H$2:$M$2)/10^9),0)</f>
        <v>-0.05534965476</v>
      </c>
      <c r="R149" s="160">
        <f>IF($O$18&gt;0,IPMT('Assumptions (Coal)'!$V$7,Model!Z$1,'Assumptions (Coal)'!$V$10,'Assumptions (Coal)'!$V$5*Model!$O$18*AVERAGE('Assumptions (Coal)'!$H$2:$M$2)/10^9),0)</f>
        <v>-0.05217482601</v>
      </c>
      <c r="S149" s="160">
        <f>IF($O$18&gt;0,IPMT('Assumptions (Coal)'!$V$7,Model!AA$1,'Assumptions (Coal)'!$V$10,'Assumptions (Coal)'!$V$5*Model!$O$18*AVERAGE('Assumptions (Coal)'!$H$2:$M$2)/10^9),0)</f>
        <v>-0.04884919289</v>
      </c>
      <c r="T149" s="160">
        <f>IF($O$18&gt;0,IPMT('Assumptions (Coal)'!$V$7,Model!AB$1,'Assumptions (Coal)'!$V$10,'Assumptions (Coal)'!$V$5*Model!$O$18*AVERAGE('Assumptions (Coal)'!$H$2:$M$2)/10^9),0)</f>
        <v>-0.0453655922</v>
      </c>
      <c r="U149" s="160">
        <f>IF($O$18&gt;0,IPMT('Assumptions (Coal)'!$V$7,Model!AC$1,'Assumptions (Coal)'!$V$10,'Assumptions (Coal)'!$V$5*Model!$O$18*AVERAGE('Assumptions (Coal)'!$H$2:$M$2)/10^9),0)</f>
        <v>-0.04171652048</v>
      </c>
      <c r="V149" s="160">
        <f>IF($O$18&gt;0,IPMT('Assumptions (Coal)'!$V$7,Model!AD$1,'Assumptions (Coal)'!$V$10,'Assumptions (Coal)'!$V$5*Model!$O$18*AVERAGE('Assumptions (Coal)'!$H$2:$M$2)/10^9),0)</f>
        <v>-0.03789411784</v>
      </c>
      <c r="W149" s="160">
        <f>IF($O$18&gt;0,IPMT('Assumptions (Coal)'!$V$7,Model!AE$1,'Assumptions (Coal)'!$V$10,'Assumptions (Coal)'!$V$5*Model!$O$18*AVERAGE('Assumptions (Coal)'!$H$2:$M$2)/10^9),0)</f>
        <v>-0.03389015109</v>
      </c>
      <c r="X149" s="160">
        <f>IF($O$18&gt;0,IPMT('Assumptions (Coal)'!$V$7,Model!AF$1,'Assumptions (Coal)'!$V$10,'Assumptions (Coal)'!$V$5*Model!$O$18*AVERAGE('Assumptions (Coal)'!$H$2:$M$2)/10^9),0)</f>
        <v>-0.02969599591</v>
      </c>
      <c r="Y149" s="160">
        <f>IF($O$18&gt;0,IPMT('Assumptions (Coal)'!$V$7,Model!AG$1,'Assumptions (Coal)'!$V$10,'Assumptions (Coal)'!$V$5*Model!$O$18*AVERAGE('Assumptions (Coal)'!$H$2:$M$2)/10^9),0)</f>
        <v>-0.02530261836</v>
      </c>
      <c r="Z149" s="160">
        <f>IF($O$18&gt;0,IPMT('Assumptions (Coal)'!$V$7,Model!AH$1,'Assumptions (Coal)'!$V$10,'Assumptions (Coal)'!$V$5*Model!$O$18*AVERAGE('Assumptions (Coal)'!$H$2:$M$2)/10^9),0)</f>
        <v>-0.02070055538</v>
      </c>
      <c r="AA149" s="160">
        <f>IF($O$18&gt;0,IPMT('Assumptions (Coal)'!$V$7,Model!AI$1,'Assumptions (Coal)'!$V$10,'Assumptions (Coal)'!$V$5*Model!$O$18*AVERAGE('Assumptions (Coal)'!$H$2:$M$2)/10^9),0)</f>
        <v>-0.0158798944</v>
      </c>
      <c r="AB149" s="160">
        <f>IF($O$18&gt;0,IPMT('Assumptions (Coal)'!$V$7,Model!AJ$1,'Assumptions (Coal)'!$V$10,'Assumptions (Coal)'!$V$5*Model!$O$18*AVERAGE('Assumptions (Coal)'!$H$2:$M$2)/10^9),0)</f>
        <v>-0.01083025203</v>
      </c>
      <c r="AC149" s="160">
        <f>IF($O$18&gt;0,IPMT('Assumptions (Coal)'!$V$7,Model!AK$1,'Assumptions (Coal)'!$V$10,'Assumptions (Coal)'!$V$5*Model!$O$18*AVERAGE('Assumptions (Coal)'!$H$2:$M$2)/10^9),0)</f>
        <v>-0.005540751651</v>
      </c>
      <c r="AD149" s="160"/>
      <c r="AE149" s="160"/>
      <c r="AF149" s="160"/>
      <c r="AG149" s="160"/>
      <c r="AH149" s="160"/>
      <c r="AI149" s="160"/>
      <c r="AJ149" s="160"/>
      <c r="AK149" s="160"/>
      <c r="AL149" s="160"/>
      <c r="AM149" s="160"/>
      <c r="AU149" s="160"/>
      <c r="AV149" s="160"/>
      <c r="AW149" s="160"/>
      <c r="AX149" s="160"/>
      <c r="AY149" s="160"/>
      <c r="AZ149" s="160"/>
      <c r="BA149" s="160"/>
    </row>
    <row r="150" ht="15.75" hidden="1" customHeight="1" outlineLevel="1">
      <c r="A150" s="158"/>
      <c r="B150" s="38"/>
      <c r="C150" s="160"/>
      <c r="D150" s="160"/>
      <c r="E150" s="160"/>
      <c r="F150" s="160"/>
      <c r="G150" s="160"/>
      <c r="H150" s="160"/>
      <c r="I150" s="160"/>
      <c r="J150" s="160"/>
      <c r="K150" s="160"/>
      <c r="L150" s="160"/>
      <c r="M150" s="160"/>
      <c r="N150" s="160"/>
      <c r="O150" s="160"/>
      <c r="P150" s="177">
        <f>IF($P$18&gt;0,IPMT('Assumptions (Coal)'!$V$7,Model!W$1,'Assumptions (Coal)'!$V$10,'Assumptions (Coal)'!$V$5*Model!$P$18*AVERAGE('Assumptions (Coal)'!$I$2:$N$2)/10^9),0)</f>
        <v>0</v>
      </c>
      <c r="Q150" s="177">
        <f>IF($P$18&gt;0,IPMT('Assumptions (Coal)'!$V$7,Model!X$1,'Assumptions (Coal)'!$V$10,'Assumptions (Coal)'!$V$5*Model!$P$18*AVERAGE('Assumptions (Coal)'!$I$2:$N$2)/10^9),0)</f>
        <v>0</v>
      </c>
      <c r="R150" s="177">
        <f>IF($P$18&gt;0,IPMT('Assumptions (Coal)'!$V$7,Model!Y$1,'Assumptions (Coal)'!$V$10,'Assumptions (Coal)'!$V$5*Model!$P$18*AVERAGE('Assumptions (Coal)'!$I$2:$N$2)/10^9),0)</f>
        <v>0</v>
      </c>
      <c r="S150" s="177">
        <f>IF($P$18&gt;0,IPMT('Assumptions (Coal)'!$V$7,Model!Z$1,'Assumptions (Coal)'!$V$10,'Assumptions (Coal)'!$V$5*Model!$P$18*AVERAGE('Assumptions (Coal)'!$I$2:$N$2)/10^9),0)</f>
        <v>0</v>
      </c>
      <c r="T150" s="177">
        <f>IF($P$18&gt;0,IPMT('Assumptions (Coal)'!$V$7,Model!AA$1,'Assumptions (Coal)'!$V$10,'Assumptions (Coal)'!$V$5*Model!$P$18*AVERAGE('Assumptions (Coal)'!$I$2:$N$2)/10^9),0)</f>
        <v>0</v>
      </c>
      <c r="U150" s="177">
        <f>IF($P$18&gt;0,IPMT('Assumptions (Coal)'!$V$7,Model!AB$1,'Assumptions (Coal)'!$V$10,'Assumptions (Coal)'!$V$5*Model!$P$18*AVERAGE('Assumptions (Coal)'!$I$2:$N$2)/10^9),0)</f>
        <v>0</v>
      </c>
      <c r="V150" s="177">
        <f>IF($P$18&gt;0,IPMT('Assumptions (Coal)'!$V$7,Model!AC$1,'Assumptions (Coal)'!$V$10,'Assumptions (Coal)'!$V$5*Model!$P$18*AVERAGE('Assumptions (Coal)'!$I$2:$N$2)/10^9),0)</f>
        <v>0</v>
      </c>
      <c r="W150" s="177">
        <f>IF($P$18&gt;0,IPMT('Assumptions (Coal)'!$V$7,Model!AD$1,'Assumptions (Coal)'!$V$10,'Assumptions (Coal)'!$V$5*Model!$P$18*AVERAGE('Assumptions (Coal)'!$I$2:$N$2)/10^9),0)</f>
        <v>0</v>
      </c>
      <c r="X150" s="177">
        <f>IF($P$18&gt;0,IPMT('Assumptions (Coal)'!$V$7,Model!AE$1,'Assumptions (Coal)'!$V$10,'Assumptions (Coal)'!$V$5*Model!$P$18*AVERAGE('Assumptions (Coal)'!$I$2:$N$2)/10^9),0)</f>
        <v>0</v>
      </c>
      <c r="Y150" s="177">
        <f>IF($P$18&gt;0,IPMT('Assumptions (Coal)'!$V$7,Model!AF$1,'Assumptions (Coal)'!$V$10,'Assumptions (Coal)'!$V$5*Model!$P$18*AVERAGE('Assumptions (Coal)'!$I$2:$N$2)/10^9),0)</f>
        <v>0</v>
      </c>
      <c r="Z150" s="177">
        <f>IF($P$18&gt;0,IPMT('Assumptions (Coal)'!$V$7,Model!AG$1,'Assumptions (Coal)'!$V$10,'Assumptions (Coal)'!$V$5*Model!$P$18*AVERAGE('Assumptions (Coal)'!$I$2:$N$2)/10^9),0)</f>
        <v>0</v>
      </c>
      <c r="AA150" s="177">
        <f>IF($P$18&gt;0,IPMT('Assumptions (Coal)'!$V$7,Model!AH$1,'Assumptions (Coal)'!$V$10,'Assumptions (Coal)'!$V$5*Model!$P$18*AVERAGE('Assumptions (Coal)'!$I$2:$N$2)/10^9),0)</f>
        <v>0</v>
      </c>
      <c r="AB150" s="177">
        <f>IF($P$18&gt;0,IPMT('Assumptions (Coal)'!$V$7,Model!AI$1,'Assumptions (Coal)'!$V$10,'Assumptions (Coal)'!$V$5*Model!$P$18*AVERAGE('Assumptions (Coal)'!$I$2:$N$2)/10^9),0)</f>
        <v>0</v>
      </c>
      <c r="AC150" s="177">
        <f>IF($P$18&gt;0,IPMT('Assumptions (Coal)'!$V$7,Model!AJ$1,'Assumptions (Coal)'!$V$10,'Assumptions (Coal)'!$V$5*Model!$P$18*AVERAGE('Assumptions (Coal)'!$I$2:$N$2)/10^9),0)</f>
        <v>0</v>
      </c>
      <c r="AD150" s="177">
        <f>IF($P$18&gt;0,IPMT('Assumptions (Coal)'!$V$7,Model!AK$1,'Assumptions (Coal)'!$V$10,'Assumptions (Coal)'!$V$5*Model!$P$18*AVERAGE('Assumptions (Coal)'!$I$2:$N$2)/10^9),0)</f>
        <v>0</v>
      </c>
      <c r="AE150" s="177"/>
      <c r="AF150" s="177"/>
      <c r="AG150" s="177"/>
      <c r="AH150" s="177"/>
      <c r="AI150" s="177"/>
      <c r="AJ150" s="177"/>
      <c r="AK150" s="177"/>
      <c r="AL150" s="177"/>
      <c r="AM150" s="177"/>
      <c r="AN150" s="177"/>
      <c r="AU150" s="160"/>
      <c r="AV150" s="160"/>
      <c r="AW150" s="160"/>
      <c r="AX150" s="160"/>
      <c r="AY150" s="160"/>
      <c r="AZ150" s="160"/>
      <c r="BA150" s="160"/>
    </row>
    <row r="151" ht="15.75" hidden="1" customHeight="1" outlineLevel="1">
      <c r="A151" s="158"/>
      <c r="B151" s="38"/>
      <c r="C151" s="160"/>
      <c r="D151" s="160"/>
      <c r="E151" s="160"/>
      <c r="F151" s="160"/>
      <c r="G151" s="160"/>
      <c r="H151" s="160"/>
      <c r="I151" s="160"/>
      <c r="J151" s="160"/>
      <c r="K151" s="160"/>
      <c r="L151" s="160"/>
      <c r="M151" s="160"/>
      <c r="N151" s="160"/>
      <c r="O151" s="160"/>
      <c r="P151" s="179"/>
      <c r="Q151" s="160">
        <f>IF($Q$18&gt;0,IPMT('Assumptions (Coal)'!$V$7,Model!W$1,'Assumptions (Coal)'!$V$10,'Assumptions (Coal)'!$V$5*Model!$Q$18*AVERAGE('Assumptions (Coal)'!$J$2:$O$2)/10^9),0)</f>
        <v>0</v>
      </c>
      <c r="R151" s="160">
        <f>IF($Q$18&gt;0,IPMT('Assumptions (Coal)'!$V$7,Model!X$1,'Assumptions (Coal)'!$V$10,'Assumptions (Coal)'!$V$5*Model!$Q$18*AVERAGE('Assumptions (Coal)'!$J$2:$O$2)/10^9),0)</f>
        <v>0</v>
      </c>
      <c r="S151" s="160">
        <f>IF($Q$18&gt;0,IPMT('Assumptions (Coal)'!$V$7,Model!Y$1,'Assumptions (Coal)'!$V$10,'Assumptions (Coal)'!$V$5*Model!$Q$18*AVERAGE('Assumptions (Coal)'!$J$2:$O$2)/10^9),0)</f>
        <v>0</v>
      </c>
      <c r="T151" s="160">
        <f>IF($Q$18&gt;0,IPMT('Assumptions (Coal)'!$V$7,Model!Z$1,'Assumptions (Coal)'!$V$10,'Assumptions (Coal)'!$V$5*Model!$Q$18*AVERAGE('Assumptions (Coal)'!$J$2:$O$2)/10^9),0)</f>
        <v>0</v>
      </c>
      <c r="U151" s="160">
        <f>IF($Q$18&gt;0,IPMT('Assumptions (Coal)'!$V$7,Model!AA$1,'Assumptions (Coal)'!$V$10,'Assumptions (Coal)'!$V$5*Model!$Q$18*AVERAGE('Assumptions (Coal)'!$J$2:$O$2)/10^9),0)</f>
        <v>0</v>
      </c>
      <c r="V151" s="160">
        <f>IF($Q$18&gt;0,IPMT('Assumptions (Coal)'!$V$7,Model!AB$1,'Assumptions (Coal)'!$V$10,'Assumptions (Coal)'!$V$5*Model!$Q$18*AVERAGE('Assumptions (Coal)'!$J$2:$O$2)/10^9),0)</f>
        <v>0</v>
      </c>
      <c r="W151" s="160">
        <f>IF($Q$18&gt;0,IPMT('Assumptions (Coal)'!$V$7,Model!AC$1,'Assumptions (Coal)'!$V$10,'Assumptions (Coal)'!$V$5*Model!$Q$18*AVERAGE('Assumptions (Coal)'!$J$2:$O$2)/10^9),0)</f>
        <v>0</v>
      </c>
      <c r="X151" s="160">
        <f>IF($Q$18&gt;0,IPMT('Assumptions (Coal)'!$V$7,Model!AD$1,'Assumptions (Coal)'!$V$10,'Assumptions (Coal)'!$V$5*Model!$Q$18*AVERAGE('Assumptions (Coal)'!$J$2:$O$2)/10^9),0)</f>
        <v>0</v>
      </c>
      <c r="Y151" s="160">
        <f>IF($Q$18&gt;0,IPMT('Assumptions (Coal)'!$V$7,Model!AE$1,'Assumptions (Coal)'!$V$10,'Assumptions (Coal)'!$V$5*Model!$Q$18*AVERAGE('Assumptions (Coal)'!$J$2:$O$2)/10^9),0)</f>
        <v>0</v>
      </c>
      <c r="Z151" s="160">
        <f>IF($Q$18&gt;0,IPMT('Assumptions (Coal)'!$V$7,Model!AF$1,'Assumptions (Coal)'!$V$10,'Assumptions (Coal)'!$V$5*Model!$Q$18*AVERAGE('Assumptions (Coal)'!$J$2:$O$2)/10^9),0)</f>
        <v>0</v>
      </c>
      <c r="AA151" s="160">
        <f>IF($Q$18&gt;0,IPMT('Assumptions (Coal)'!$V$7,Model!AG$1,'Assumptions (Coal)'!$V$10,'Assumptions (Coal)'!$V$5*Model!$Q$18*AVERAGE('Assumptions (Coal)'!$J$2:$O$2)/10^9),0)</f>
        <v>0</v>
      </c>
      <c r="AB151" s="160">
        <f>IF($Q$18&gt;0,IPMT('Assumptions (Coal)'!$V$7,Model!AH$1,'Assumptions (Coal)'!$V$10,'Assumptions (Coal)'!$V$5*Model!$Q$18*AVERAGE('Assumptions (Coal)'!$J$2:$O$2)/10^9),0)</f>
        <v>0</v>
      </c>
      <c r="AC151" s="160">
        <f>IF($Q$18&gt;0,IPMT('Assumptions (Coal)'!$V$7,Model!AI$1,'Assumptions (Coal)'!$V$10,'Assumptions (Coal)'!$V$5*Model!$Q$18*AVERAGE('Assumptions (Coal)'!$J$2:$O$2)/10^9),0)</f>
        <v>0</v>
      </c>
      <c r="AD151" s="160">
        <f>IF($Q$18&gt;0,IPMT('Assumptions (Coal)'!$V$7,Model!AJ$1,'Assumptions (Coal)'!$V$10,'Assumptions (Coal)'!$V$5*Model!$Q$18*AVERAGE('Assumptions (Coal)'!$J$2:$O$2)/10^9),0)</f>
        <v>0</v>
      </c>
      <c r="AE151" s="160">
        <f>IF($Q$18&gt;0,IPMT('Assumptions (Coal)'!$V$7,Model!AK$1,'Assumptions (Coal)'!$V$10,'Assumptions (Coal)'!$V$5*Model!$Q$18*AVERAGE('Assumptions (Coal)'!$J$2:$O$2)/10^9),0)</f>
        <v>0</v>
      </c>
      <c r="AF151" s="160"/>
      <c r="AG151" s="160"/>
      <c r="AH151" s="160"/>
      <c r="AI151" s="160"/>
      <c r="AJ151" s="160"/>
      <c r="AK151" s="160"/>
      <c r="AL151" s="160"/>
      <c r="AM151" s="160"/>
      <c r="AN151" s="160"/>
      <c r="AO151" s="160"/>
      <c r="AU151" s="160"/>
      <c r="AV151" s="160"/>
      <c r="AW151" s="160"/>
      <c r="AX151" s="160"/>
      <c r="AY151" s="160"/>
      <c r="AZ151" s="160"/>
      <c r="BA151" s="160"/>
    </row>
    <row r="152" ht="15.75" hidden="1" customHeight="1" outlineLevel="1">
      <c r="A152" s="158"/>
      <c r="B152" s="38"/>
      <c r="C152" s="160"/>
      <c r="D152" s="160"/>
      <c r="E152" s="160"/>
      <c r="F152" s="160"/>
      <c r="G152" s="160"/>
      <c r="H152" s="160"/>
      <c r="I152" s="160"/>
      <c r="J152" s="160"/>
      <c r="K152" s="160"/>
      <c r="L152" s="160"/>
      <c r="M152" s="160"/>
      <c r="N152" s="160"/>
      <c r="O152" s="160"/>
      <c r="P152" s="179"/>
      <c r="Q152" s="160"/>
      <c r="R152" s="177">
        <f>IF($R$18&gt;0,IPMT('Assumptions (Coal)'!$V$7,Model!W$1,'Assumptions (Coal)'!$V$10,'Assumptions (Coal)'!$V$5*Model!$R$18*AVERAGE('Assumptions (Coal)'!$K$2:$P$2)/10^9),0)</f>
        <v>0</v>
      </c>
      <c r="S152" s="177">
        <f>IF($R$18&gt;0,IPMT('Assumptions (Coal)'!$V$7,Model!X$1,'Assumptions (Coal)'!$V$10,'Assumptions (Coal)'!$V$5*Model!$R$18*AVERAGE('Assumptions (Coal)'!$K$2:$P$2)/10^9),0)</f>
        <v>0</v>
      </c>
      <c r="T152" s="177">
        <f>IF($R$18&gt;0,IPMT('Assumptions (Coal)'!$V$7,Model!Y$1,'Assumptions (Coal)'!$V$10,'Assumptions (Coal)'!$V$5*Model!$R$18*AVERAGE('Assumptions (Coal)'!$K$2:$P$2)/10^9),0)</f>
        <v>0</v>
      </c>
      <c r="U152" s="177">
        <f>IF($R$18&gt;0,IPMT('Assumptions (Coal)'!$V$7,Model!Z$1,'Assumptions (Coal)'!$V$10,'Assumptions (Coal)'!$V$5*Model!$R$18*AVERAGE('Assumptions (Coal)'!$K$2:$P$2)/10^9),0)</f>
        <v>0</v>
      </c>
      <c r="V152" s="177">
        <f>IF($R$18&gt;0,IPMT('Assumptions (Coal)'!$V$7,Model!AA$1,'Assumptions (Coal)'!$V$10,'Assumptions (Coal)'!$V$5*Model!$R$18*AVERAGE('Assumptions (Coal)'!$K$2:$P$2)/10^9),0)</f>
        <v>0</v>
      </c>
      <c r="W152" s="177">
        <f>IF($R$18&gt;0,IPMT('Assumptions (Coal)'!$V$7,Model!AB$1,'Assumptions (Coal)'!$V$10,'Assumptions (Coal)'!$V$5*Model!$R$18*AVERAGE('Assumptions (Coal)'!$K$2:$P$2)/10^9),0)</f>
        <v>0</v>
      </c>
      <c r="X152" s="177">
        <f>IF($R$18&gt;0,IPMT('Assumptions (Coal)'!$V$7,Model!AC$1,'Assumptions (Coal)'!$V$10,'Assumptions (Coal)'!$V$5*Model!$R$18*AVERAGE('Assumptions (Coal)'!$K$2:$P$2)/10^9),0)</f>
        <v>0</v>
      </c>
      <c r="Y152" s="177">
        <f>IF($R$18&gt;0,IPMT('Assumptions (Coal)'!$V$7,Model!AD$1,'Assumptions (Coal)'!$V$10,'Assumptions (Coal)'!$V$5*Model!$R$18*AVERAGE('Assumptions (Coal)'!$K$2:$P$2)/10^9),0)</f>
        <v>0</v>
      </c>
      <c r="Z152" s="177">
        <f>IF($R$18&gt;0,IPMT('Assumptions (Coal)'!$V$7,Model!AE$1,'Assumptions (Coal)'!$V$10,'Assumptions (Coal)'!$V$5*Model!$R$18*AVERAGE('Assumptions (Coal)'!$K$2:$P$2)/10^9),0)</f>
        <v>0</v>
      </c>
      <c r="AA152" s="177">
        <f>IF($R$18&gt;0,IPMT('Assumptions (Coal)'!$V$7,Model!AF$1,'Assumptions (Coal)'!$V$10,'Assumptions (Coal)'!$V$5*Model!$R$18*AVERAGE('Assumptions (Coal)'!$K$2:$P$2)/10^9),0)</f>
        <v>0</v>
      </c>
      <c r="AB152" s="177">
        <f>IF($R$18&gt;0,IPMT('Assumptions (Coal)'!$V$7,Model!AG$1,'Assumptions (Coal)'!$V$10,'Assumptions (Coal)'!$V$5*Model!$R$18*AVERAGE('Assumptions (Coal)'!$K$2:$P$2)/10^9),0)</f>
        <v>0</v>
      </c>
      <c r="AC152" s="177">
        <f>IF($R$18&gt;0,IPMT('Assumptions (Coal)'!$V$7,Model!AH$1,'Assumptions (Coal)'!$V$10,'Assumptions (Coal)'!$V$5*Model!$R$18*AVERAGE('Assumptions (Coal)'!$K$2:$P$2)/10^9),0)</f>
        <v>0</v>
      </c>
      <c r="AD152" s="177">
        <f>IF($R$18&gt;0,IPMT('Assumptions (Coal)'!$V$7,Model!AI$1,'Assumptions (Coal)'!$V$10,'Assumptions (Coal)'!$V$5*Model!$R$18*AVERAGE('Assumptions (Coal)'!$K$2:$P$2)/10^9),0)</f>
        <v>0</v>
      </c>
      <c r="AE152" s="177">
        <f>IF($R$18&gt;0,IPMT('Assumptions (Coal)'!$V$7,Model!AJ$1,'Assumptions (Coal)'!$V$10,'Assumptions (Coal)'!$V$5*Model!$R$18*AVERAGE('Assumptions (Coal)'!$K$2:$P$2)/10^9),0)</f>
        <v>0</v>
      </c>
      <c r="AF152" s="177">
        <f>IF($R$18&gt;0,IPMT('Assumptions (Coal)'!$V$7,Model!AK$1,'Assumptions (Coal)'!$V$10,'Assumptions (Coal)'!$V$5*Model!$R$18*AVERAGE('Assumptions (Coal)'!$K$2:$P$2)/10^9),0)</f>
        <v>0</v>
      </c>
      <c r="AG152" s="177"/>
      <c r="AH152" s="177"/>
      <c r="AI152" s="177"/>
      <c r="AJ152" s="177"/>
      <c r="AK152" s="177"/>
      <c r="AL152" s="177"/>
      <c r="AM152" s="177"/>
      <c r="AN152" s="177"/>
      <c r="AO152" s="177"/>
      <c r="AP152" s="177"/>
      <c r="AU152" s="160"/>
      <c r="AV152" s="160"/>
      <c r="AW152" s="160"/>
      <c r="AX152" s="160"/>
      <c r="AY152" s="160"/>
      <c r="AZ152" s="160"/>
      <c r="BA152" s="160"/>
    </row>
    <row r="153" ht="15.75" hidden="1" customHeight="1" outlineLevel="1">
      <c r="A153" s="158"/>
      <c r="B153" s="38"/>
      <c r="C153" s="160"/>
      <c r="D153" s="160"/>
      <c r="E153" s="160"/>
      <c r="F153" s="160"/>
      <c r="G153" s="160"/>
      <c r="H153" s="160"/>
      <c r="I153" s="160"/>
      <c r="J153" s="160"/>
      <c r="K153" s="160"/>
      <c r="L153" s="160"/>
      <c r="M153" s="160"/>
      <c r="N153" s="160"/>
      <c r="O153" s="160"/>
      <c r="P153" s="179"/>
      <c r="Q153" s="160"/>
      <c r="R153" s="177"/>
      <c r="S153" s="160">
        <f>IF($S$18&gt;0,IPMT('Assumptions (Coal)'!$V$7,Model!W$1,'Assumptions (Coal)'!$V$10,'Assumptions (Coal)'!$V$5*Model!$S$18*AVERAGE('Assumptions (Coal)'!$L$2:$Q$2)/10^9),0)</f>
        <v>0</v>
      </c>
      <c r="T153" s="160">
        <f>IF($S$18&gt;0,IPMT('Assumptions (Coal)'!$V$7,Model!X$1,'Assumptions (Coal)'!$V$10,'Assumptions (Coal)'!$V$5*Model!$S$18*AVERAGE('Assumptions (Coal)'!$L$2:$Q$2)/10^9),0)</f>
        <v>0</v>
      </c>
      <c r="U153" s="160">
        <f>IF($S$18&gt;0,IPMT('Assumptions (Coal)'!$V$7,Model!Y$1,'Assumptions (Coal)'!$V$10,'Assumptions (Coal)'!$V$5*Model!$S$18*AVERAGE('Assumptions (Coal)'!$L$2:$Q$2)/10^9),0)</f>
        <v>0</v>
      </c>
      <c r="V153" s="160">
        <f>IF($S$18&gt;0,IPMT('Assumptions (Coal)'!$V$7,Model!Z$1,'Assumptions (Coal)'!$V$10,'Assumptions (Coal)'!$V$5*Model!$S$18*AVERAGE('Assumptions (Coal)'!$L$2:$Q$2)/10^9),0)</f>
        <v>0</v>
      </c>
      <c r="W153" s="160">
        <f>IF($S$18&gt;0,IPMT('Assumptions (Coal)'!$V$7,Model!AA$1,'Assumptions (Coal)'!$V$10,'Assumptions (Coal)'!$V$5*Model!$S$18*AVERAGE('Assumptions (Coal)'!$L$2:$Q$2)/10^9),0)</f>
        <v>0</v>
      </c>
      <c r="X153" s="160">
        <f>IF($S$18&gt;0,IPMT('Assumptions (Coal)'!$V$7,Model!AB$1,'Assumptions (Coal)'!$V$10,'Assumptions (Coal)'!$V$5*Model!$S$18*AVERAGE('Assumptions (Coal)'!$L$2:$Q$2)/10^9),0)</f>
        <v>0</v>
      </c>
      <c r="Y153" s="160">
        <f>IF($S$18&gt;0,IPMT('Assumptions (Coal)'!$V$7,Model!AC$1,'Assumptions (Coal)'!$V$10,'Assumptions (Coal)'!$V$5*Model!$S$18*AVERAGE('Assumptions (Coal)'!$L$2:$Q$2)/10^9),0)</f>
        <v>0</v>
      </c>
      <c r="Z153" s="160">
        <f>IF($S$18&gt;0,IPMT('Assumptions (Coal)'!$V$7,Model!AD$1,'Assumptions (Coal)'!$V$10,'Assumptions (Coal)'!$V$5*Model!$S$18*AVERAGE('Assumptions (Coal)'!$L$2:$Q$2)/10^9),0)</f>
        <v>0</v>
      </c>
      <c r="AA153" s="160">
        <f>IF($S$18&gt;0,IPMT('Assumptions (Coal)'!$V$7,Model!AE$1,'Assumptions (Coal)'!$V$10,'Assumptions (Coal)'!$V$5*Model!$S$18*AVERAGE('Assumptions (Coal)'!$L$2:$Q$2)/10^9),0)</f>
        <v>0</v>
      </c>
      <c r="AB153" s="160">
        <f>IF($S$18&gt;0,IPMT('Assumptions (Coal)'!$V$7,Model!AF$1,'Assumptions (Coal)'!$V$10,'Assumptions (Coal)'!$V$5*Model!$S$18*AVERAGE('Assumptions (Coal)'!$L$2:$Q$2)/10^9),0)</f>
        <v>0</v>
      </c>
      <c r="AC153" s="160">
        <f>IF($S$18&gt;0,IPMT('Assumptions (Coal)'!$V$7,Model!AG$1,'Assumptions (Coal)'!$V$10,'Assumptions (Coal)'!$V$5*Model!$S$18*AVERAGE('Assumptions (Coal)'!$L$2:$Q$2)/10^9),0)</f>
        <v>0</v>
      </c>
      <c r="AD153" s="160">
        <f>IF($S$18&gt;0,IPMT('Assumptions (Coal)'!$V$7,Model!AH$1,'Assumptions (Coal)'!$V$10,'Assumptions (Coal)'!$V$5*Model!$S$18*AVERAGE('Assumptions (Coal)'!$L$2:$Q$2)/10^9),0)</f>
        <v>0</v>
      </c>
      <c r="AE153" s="160">
        <f>IF($S$18&gt;0,IPMT('Assumptions (Coal)'!$V$7,Model!AI$1,'Assumptions (Coal)'!$V$10,'Assumptions (Coal)'!$V$5*Model!$S$18*AVERAGE('Assumptions (Coal)'!$L$2:$Q$2)/10^9),0)</f>
        <v>0</v>
      </c>
      <c r="AF153" s="160">
        <f>IF($S$18&gt;0,IPMT('Assumptions (Coal)'!$V$7,Model!AJ$1,'Assumptions (Coal)'!$V$10,'Assumptions (Coal)'!$V$5*Model!$S$18*AVERAGE('Assumptions (Coal)'!$L$2:$Q$2)/10^9),0)</f>
        <v>0</v>
      </c>
      <c r="AG153" s="160">
        <f>IF($S$18&gt;0,IPMT('Assumptions (Coal)'!$V$7,Model!AK$1,'Assumptions (Coal)'!$V$10,'Assumptions (Coal)'!$V$5*Model!$S$18*AVERAGE('Assumptions (Coal)'!$L$2:$Q$2)/10^9),0)</f>
        <v>0</v>
      </c>
      <c r="AH153" s="160"/>
      <c r="AI153" s="160"/>
      <c r="AJ153" s="160"/>
      <c r="AK153" s="160"/>
      <c r="AL153" s="160"/>
      <c r="AM153" s="160"/>
      <c r="AN153" s="160"/>
      <c r="AO153" s="160"/>
      <c r="AP153" s="160"/>
      <c r="AQ153" s="160"/>
      <c r="AU153" s="160"/>
      <c r="AV153" s="160"/>
      <c r="AW153" s="160"/>
      <c r="AX153" s="160"/>
      <c r="AY153" s="160"/>
      <c r="AZ153" s="160"/>
      <c r="BA153" s="160"/>
    </row>
    <row r="154" ht="15.75" hidden="1" customHeight="1" outlineLevel="1">
      <c r="A154" s="158"/>
      <c r="B154" s="38"/>
      <c r="C154" s="160"/>
      <c r="D154" s="160"/>
      <c r="E154" s="160"/>
      <c r="F154" s="160"/>
      <c r="G154" s="160"/>
      <c r="H154" s="160"/>
      <c r="I154" s="160"/>
      <c r="J154" s="160"/>
      <c r="K154" s="160"/>
      <c r="L154" s="160"/>
      <c r="M154" s="160"/>
      <c r="N154" s="160"/>
      <c r="O154" s="160"/>
      <c r="P154" s="179"/>
      <c r="Q154" s="160"/>
      <c r="R154" s="177"/>
      <c r="S154" s="177"/>
      <c r="T154" s="160">
        <f>IF($T$18&gt;0,IPMT('Assumptions (Coal)'!$V$7,Model!W$1,'Assumptions (Coal)'!$V$10,'Assumptions (Coal)'!$V$5*Model!$T$18*AVERAGE('Assumptions (Coal)'!$M$2:$R$2)/10^9),0)</f>
        <v>0</v>
      </c>
      <c r="U154" s="160">
        <f>IF($T$18&gt;0,IPMT('Assumptions (Coal)'!$V$7,Model!X$1,'Assumptions (Coal)'!$V$10,'Assumptions (Coal)'!$V$5*Model!$T$18*AVERAGE('Assumptions (Coal)'!$M$2:$R$2)/10^9),0)</f>
        <v>0</v>
      </c>
      <c r="V154" s="160">
        <f>IF($T$18&gt;0,IPMT('Assumptions (Coal)'!$V$7,Model!Y$1,'Assumptions (Coal)'!$V$10,'Assumptions (Coal)'!$V$5*Model!$T$18*AVERAGE('Assumptions (Coal)'!$M$2:$R$2)/10^9),0)</f>
        <v>0</v>
      </c>
      <c r="W154" s="160">
        <f>IF($T$18&gt;0,IPMT('Assumptions (Coal)'!$V$7,Model!Z$1,'Assumptions (Coal)'!$V$10,'Assumptions (Coal)'!$V$5*Model!$T$18*AVERAGE('Assumptions (Coal)'!$M$2:$R$2)/10^9),0)</f>
        <v>0</v>
      </c>
      <c r="X154" s="160">
        <f>IF($T$18&gt;0,IPMT('Assumptions (Coal)'!$V$7,Model!AA$1,'Assumptions (Coal)'!$V$10,'Assumptions (Coal)'!$V$5*Model!$T$18*AVERAGE('Assumptions (Coal)'!$M$2:$R$2)/10^9),0)</f>
        <v>0</v>
      </c>
      <c r="Y154" s="160">
        <f>IF($T$18&gt;0,IPMT('Assumptions (Coal)'!$V$7,Model!AB$1,'Assumptions (Coal)'!$V$10,'Assumptions (Coal)'!$V$5*Model!$T$18*AVERAGE('Assumptions (Coal)'!$M$2:$R$2)/10^9),0)</f>
        <v>0</v>
      </c>
      <c r="Z154" s="160">
        <f>IF($T$18&gt;0,IPMT('Assumptions (Coal)'!$V$7,Model!AC$1,'Assumptions (Coal)'!$V$10,'Assumptions (Coal)'!$V$5*Model!$T$18*AVERAGE('Assumptions (Coal)'!$M$2:$R$2)/10^9),0)</f>
        <v>0</v>
      </c>
      <c r="AA154" s="160">
        <f>IF($T$18&gt;0,IPMT('Assumptions (Coal)'!$V$7,Model!AD$1,'Assumptions (Coal)'!$V$10,'Assumptions (Coal)'!$V$5*Model!$T$18*AVERAGE('Assumptions (Coal)'!$M$2:$R$2)/10^9),0)</f>
        <v>0</v>
      </c>
      <c r="AB154" s="160">
        <f>IF($T$18&gt;0,IPMT('Assumptions (Coal)'!$V$7,Model!AE$1,'Assumptions (Coal)'!$V$10,'Assumptions (Coal)'!$V$5*Model!$T$18*AVERAGE('Assumptions (Coal)'!$M$2:$R$2)/10^9),0)</f>
        <v>0</v>
      </c>
      <c r="AC154" s="160">
        <f>IF($T$18&gt;0,IPMT('Assumptions (Coal)'!$V$7,Model!AF$1,'Assumptions (Coal)'!$V$10,'Assumptions (Coal)'!$V$5*Model!$T$18*AVERAGE('Assumptions (Coal)'!$M$2:$R$2)/10^9),0)</f>
        <v>0</v>
      </c>
      <c r="AD154" s="160">
        <f>IF($T$18&gt;0,IPMT('Assumptions (Coal)'!$V$7,Model!AG$1,'Assumptions (Coal)'!$V$10,'Assumptions (Coal)'!$V$5*Model!$T$18*AVERAGE('Assumptions (Coal)'!$M$2:$R$2)/10^9),0)</f>
        <v>0</v>
      </c>
      <c r="AE154" s="160">
        <f>IF($T$18&gt;0,IPMT('Assumptions (Coal)'!$V$7,Model!AH$1,'Assumptions (Coal)'!$V$10,'Assumptions (Coal)'!$V$5*Model!$T$18*AVERAGE('Assumptions (Coal)'!$M$2:$R$2)/10^9),0)</f>
        <v>0</v>
      </c>
      <c r="AF154" s="160">
        <f>IF($T$18&gt;0,IPMT('Assumptions (Coal)'!$V$7,Model!AI$1,'Assumptions (Coal)'!$V$10,'Assumptions (Coal)'!$V$5*Model!$T$18*AVERAGE('Assumptions (Coal)'!$M$2:$R$2)/10^9),0)</f>
        <v>0</v>
      </c>
      <c r="AG154" s="160">
        <f>IF($T$18&gt;0,IPMT('Assumptions (Coal)'!$V$7,Model!AJ$1,'Assumptions (Coal)'!$V$10,'Assumptions (Coal)'!$V$5*Model!$T$18*AVERAGE('Assumptions (Coal)'!$M$2:$R$2)/10^9),0)</f>
        <v>0</v>
      </c>
      <c r="AH154" s="160">
        <f>IF($T$18&gt;0,IPMT('Assumptions (Coal)'!$V$7,Model!AK$1,'Assumptions (Coal)'!$V$10,'Assumptions (Coal)'!$V$5*Model!$T$18*AVERAGE('Assumptions (Coal)'!$M$2:$R$2)/10^9),0)</f>
        <v>0</v>
      </c>
      <c r="AI154" s="160"/>
      <c r="AJ154" s="160"/>
      <c r="AK154" s="160"/>
      <c r="AL154" s="160"/>
      <c r="AM154" s="160"/>
      <c r="AN154" s="160"/>
      <c r="AO154" s="160"/>
      <c r="AP154" s="160"/>
      <c r="AQ154" s="160"/>
      <c r="AR154" s="160"/>
      <c r="AU154" s="160"/>
      <c r="AV154" s="160"/>
      <c r="AW154" s="160"/>
      <c r="AX154" s="160"/>
      <c r="AY154" s="160"/>
      <c r="AZ154" s="160"/>
      <c r="BA154" s="160"/>
    </row>
    <row r="155" ht="15.75" hidden="1" customHeight="1" outlineLevel="1">
      <c r="A155" s="158"/>
      <c r="B155" s="38"/>
      <c r="C155" s="160"/>
      <c r="D155" s="160"/>
      <c r="E155" s="160"/>
      <c r="F155" s="160"/>
      <c r="G155" s="160"/>
      <c r="H155" s="160"/>
      <c r="I155" s="160"/>
      <c r="J155" s="160"/>
      <c r="K155" s="160"/>
      <c r="L155" s="160"/>
      <c r="M155" s="160"/>
      <c r="N155" s="160"/>
      <c r="O155" s="160"/>
      <c r="P155" s="179"/>
      <c r="Q155" s="160"/>
      <c r="R155" s="177"/>
      <c r="S155" s="177"/>
      <c r="T155" s="177"/>
      <c r="U155" s="160">
        <f>IF($U$18&gt;0,IPMT('Assumptions (Coal)'!$V$7,Model!W$1,'Assumptions (Coal)'!$V$10,'Assumptions (Coal)'!$V$5*Model!$U$18*AVERAGE('Assumptions (Coal)'!$N$2:$S$2)/10^9),0)</f>
        <v>0</v>
      </c>
      <c r="V155" s="160">
        <f>IF($U$18&gt;0,IPMT('Assumptions (Coal)'!$V$7,Model!X$1,'Assumptions (Coal)'!$V$10,'Assumptions (Coal)'!$V$5*Model!$U$18*AVERAGE('Assumptions (Coal)'!$N$2:$S$2)/10^9),0)</f>
        <v>0</v>
      </c>
      <c r="W155" s="160">
        <f>IF($U$18&gt;0,IPMT('Assumptions (Coal)'!$V$7,Model!Y$1,'Assumptions (Coal)'!$V$10,'Assumptions (Coal)'!$V$5*Model!$U$18*AVERAGE('Assumptions (Coal)'!$N$2:$S$2)/10^9),0)</f>
        <v>0</v>
      </c>
      <c r="X155" s="160">
        <f>IF($U$18&gt;0,IPMT('Assumptions (Coal)'!$V$7,Model!Z$1,'Assumptions (Coal)'!$V$10,'Assumptions (Coal)'!$V$5*Model!$U$18*AVERAGE('Assumptions (Coal)'!$N$2:$S$2)/10^9),0)</f>
        <v>0</v>
      </c>
      <c r="Y155" s="160">
        <f>IF($U$18&gt;0,IPMT('Assumptions (Coal)'!$V$7,Model!AA$1,'Assumptions (Coal)'!$V$10,'Assumptions (Coal)'!$V$5*Model!$U$18*AVERAGE('Assumptions (Coal)'!$N$2:$S$2)/10^9),0)</f>
        <v>0</v>
      </c>
      <c r="Z155" s="160">
        <f>IF($U$18&gt;0,IPMT('Assumptions (Coal)'!$V$7,Model!AB$1,'Assumptions (Coal)'!$V$10,'Assumptions (Coal)'!$V$5*Model!$U$18*AVERAGE('Assumptions (Coal)'!$N$2:$S$2)/10^9),0)</f>
        <v>0</v>
      </c>
      <c r="AA155" s="160">
        <f>IF($U$18&gt;0,IPMT('Assumptions (Coal)'!$V$7,Model!AC$1,'Assumptions (Coal)'!$V$10,'Assumptions (Coal)'!$V$5*Model!$U$18*AVERAGE('Assumptions (Coal)'!$N$2:$S$2)/10^9),0)</f>
        <v>0</v>
      </c>
      <c r="AB155" s="160">
        <f>IF($U$18&gt;0,IPMT('Assumptions (Coal)'!$V$7,Model!AD$1,'Assumptions (Coal)'!$V$10,'Assumptions (Coal)'!$V$5*Model!$U$18*AVERAGE('Assumptions (Coal)'!$N$2:$S$2)/10^9),0)</f>
        <v>0</v>
      </c>
      <c r="AC155" s="160">
        <f>IF($U$18&gt;0,IPMT('Assumptions (Coal)'!$V$7,Model!AE$1,'Assumptions (Coal)'!$V$10,'Assumptions (Coal)'!$V$5*Model!$U$18*AVERAGE('Assumptions (Coal)'!$N$2:$S$2)/10^9),0)</f>
        <v>0</v>
      </c>
      <c r="AD155" s="160">
        <f>IF($U$18&gt;0,IPMT('Assumptions (Coal)'!$V$7,Model!AF$1,'Assumptions (Coal)'!$V$10,'Assumptions (Coal)'!$V$5*Model!$U$18*AVERAGE('Assumptions (Coal)'!$N$2:$S$2)/10^9),0)</f>
        <v>0</v>
      </c>
      <c r="AE155" s="160">
        <f>IF($U$18&gt;0,IPMT('Assumptions (Coal)'!$V$7,Model!AG$1,'Assumptions (Coal)'!$V$10,'Assumptions (Coal)'!$V$5*Model!$U$18*AVERAGE('Assumptions (Coal)'!$N$2:$S$2)/10^9),0)</f>
        <v>0</v>
      </c>
      <c r="AF155" s="160">
        <f>IF($U$18&gt;0,IPMT('Assumptions (Coal)'!$V$7,Model!AH$1,'Assumptions (Coal)'!$V$10,'Assumptions (Coal)'!$V$5*Model!$U$18*AVERAGE('Assumptions (Coal)'!$N$2:$S$2)/10^9),0)</f>
        <v>0</v>
      </c>
      <c r="AG155" s="160">
        <f>IF($U$18&gt;0,IPMT('Assumptions (Coal)'!$V$7,Model!AI$1,'Assumptions (Coal)'!$V$10,'Assumptions (Coal)'!$V$5*Model!$U$18*AVERAGE('Assumptions (Coal)'!$N$2:$S$2)/10^9),0)</f>
        <v>0</v>
      </c>
      <c r="AH155" s="160">
        <f>IF($U$18&gt;0,IPMT('Assumptions (Coal)'!$V$7,Model!AJ$1,'Assumptions (Coal)'!$V$10,'Assumptions (Coal)'!$V$5*Model!$U$18*AVERAGE('Assumptions (Coal)'!$N$2:$S$2)/10^9),0)</f>
        <v>0</v>
      </c>
      <c r="AI155" s="160">
        <f>IF($U$18&gt;0,IPMT('Assumptions (Coal)'!$V$7,Model!AK$1,'Assumptions (Coal)'!$V$10,'Assumptions (Coal)'!$V$5*Model!$U$18*AVERAGE('Assumptions (Coal)'!$N$2:$S$2)/10^9),0)</f>
        <v>0</v>
      </c>
      <c r="AJ155" s="160"/>
      <c r="AK155" s="160"/>
      <c r="AL155" s="160"/>
      <c r="AM155" s="160"/>
      <c r="AN155" s="160"/>
      <c r="AO155" s="160"/>
      <c r="AP155" s="160"/>
      <c r="AQ155" s="160"/>
      <c r="AR155" s="160"/>
      <c r="AS155" s="160"/>
      <c r="AU155" s="160"/>
      <c r="AV155" s="160"/>
      <c r="AW155" s="160"/>
      <c r="AX155" s="160"/>
      <c r="AY155" s="160"/>
      <c r="AZ155" s="160"/>
      <c r="BA155" s="160"/>
    </row>
    <row r="156" ht="15.75" hidden="1" customHeight="1" outlineLevel="1">
      <c r="A156" s="158"/>
      <c r="B156" s="38"/>
      <c r="C156" s="160"/>
      <c r="D156" s="160"/>
      <c r="E156" s="160"/>
      <c r="F156" s="160"/>
      <c r="G156" s="160"/>
      <c r="H156" s="160"/>
      <c r="I156" s="160"/>
      <c r="J156" s="160"/>
      <c r="K156" s="160"/>
      <c r="L156" s="160"/>
      <c r="M156" s="160"/>
      <c r="N156" s="160"/>
      <c r="O156" s="160"/>
      <c r="P156" s="179"/>
      <c r="Q156" s="160"/>
      <c r="R156" s="177"/>
      <c r="S156" s="177"/>
      <c r="T156" s="177"/>
      <c r="U156" s="160"/>
      <c r="V156" s="160">
        <f>IF($V$18&gt;0,IPMT('Assumptions (Coal)'!$V$7,Model!W$1,'Assumptions (Coal)'!$V$10,'Assumptions (Coal)'!$V$5*Model!$V$18*AVERAGE('Assumptions (Coal)'!$O$2:$T$2)/10^9),0)</f>
        <v>0</v>
      </c>
      <c r="W156" s="160">
        <f>IF($V$18&gt;0,IPMT('Assumptions (Coal)'!$V$7,Model!X$1,'Assumptions (Coal)'!$V$10,'Assumptions (Coal)'!$V$5*Model!$V$18*AVERAGE('Assumptions (Coal)'!$O$2:$T$2)/10^9),0)</f>
        <v>0</v>
      </c>
      <c r="X156" s="160">
        <f>IF($V$18&gt;0,IPMT('Assumptions (Coal)'!$V$7,Model!Y$1,'Assumptions (Coal)'!$V$10,'Assumptions (Coal)'!$V$5*Model!$V$18*AVERAGE('Assumptions (Coal)'!$O$2:$T$2)/10^9),0)</f>
        <v>0</v>
      </c>
      <c r="Y156" s="160">
        <f>IF($V$18&gt;0,IPMT('Assumptions (Coal)'!$V$7,Model!Z$1,'Assumptions (Coal)'!$V$10,'Assumptions (Coal)'!$V$5*Model!$V$18*AVERAGE('Assumptions (Coal)'!$O$2:$T$2)/10^9),0)</f>
        <v>0</v>
      </c>
      <c r="Z156" s="160">
        <f>IF($V$18&gt;0,IPMT('Assumptions (Coal)'!$V$7,Model!AA$1,'Assumptions (Coal)'!$V$10,'Assumptions (Coal)'!$V$5*Model!$V$18*AVERAGE('Assumptions (Coal)'!$O$2:$T$2)/10^9),0)</f>
        <v>0</v>
      </c>
      <c r="AA156" s="160">
        <f>IF($V$18&gt;0,IPMT('Assumptions (Coal)'!$V$7,Model!AB$1,'Assumptions (Coal)'!$V$10,'Assumptions (Coal)'!$V$5*Model!$V$18*AVERAGE('Assumptions (Coal)'!$O$2:$T$2)/10^9),0)</f>
        <v>0</v>
      </c>
      <c r="AB156" s="160">
        <f>IF($V$18&gt;0,IPMT('Assumptions (Coal)'!$V$7,Model!AC$1,'Assumptions (Coal)'!$V$10,'Assumptions (Coal)'!$V$5*Model!$V$18*AVERAGE('Assumptions (Coal)'!$O$2:$T$2)/10^9),0)</f>
        <v>0</v>
      </c>
      <c r="AC156" s="160">
        <f>IF($V$18&gt;0,IPMT('Assumptions (Coal)'!$V$7,Model!AD$1,'Assumptions (Coal)'!$V$10,'Assumptions (Coal)'!$V$5*Model!$V$18*AVERAGE('Assumptions (Coal)'!$O$2:$T$2)/10^9),0)</f>
        <v>0</v>
      </c>
      <c r="AD156" s="160">
        <f>IF($V$18&gt;0,IPMT('Assumptions (Coal)'!$V$7,Model!AE$1,'Assumptions (Coal)'!$V$10,'Assumptions (Coal)'!$V$5*Model!$V$18*AVERAGE('Assumptions (Coal)'!$O$2:$T$2)/10^9),0)</f>
        <v>0</v>
      </c>
      <c r="AE156" s="160">
        <f>IF($V$18&gt;0,IPMT('Assumptions (Coal)'!$V$7,Model!AF$1,'Assumptions (Coal)'!$V$10,'Assumptions (Coal)'!$V$5*Model!$V$18*AVERAGE('Assumptions (Coal)'!$O$2:$T$2)/10^9),0)</f>
        <v>0</v>
      </c>
      <c r="AF156" s="160">
        <f>IF($V$18&gt;0,IPMT('Assumptions (Coal)'!$V$7,Model!AG$1,'Assumptions (Coal)'!$V$10,'Assumptions (Coal)'!$V$5*Model!$V$18*AVERAGE('Assumptions (Coal)'!$O$2:$T$2)/10^9),0)</f>
        <v>0</v>
      </c>
      <c r="AG156" s="160">
        <f>IF($V$18&gt;0,IPMT('Assumptions (Coal)'!$V$7,Model!AH$1,'Assumptions (Coal)'!$V$10,'Assumptions (Coal)'!$V$5*Model!$V$18*AVERAGE('Assumptions (Coal)'!$O$2:$T$2)/10^9),0)</f>
        <v>0</v>
      </c>
      <c r="AH156" s="160">
        <f>IF($V$18&gt;0,IPMT('Assumptions (Coal)'!$V$7,Model!AI$1,'Assumptions (Coal)'!$V$10,'Assumptions (Coal)'!$V$5*Model!$V$18*AVERAGE('Assumptions (Coal)'!$O$2:$T$2)/10^9),0)</f>
        <v>0</v>
      </c>
      <c r="AI156" s="160">
        <f>IF($V$18&gt;0,IPMT('Assumptions (Coal)'!$V$7,Model!AJ$1,'Assumptions (Coal)'!$V$10,'Assumptions (Coal)'!$V$5*Model!$V$18*AVERAGE('Assumptions (Coal)'!$O$2:$T$2)/10^9),0)</f>
        <v>0</v>
      </c>
      <c r="AJ156" s="160">
        <f>IF($V$18&gt;0,IPMT('Assumptions (Coal)'!$V$7,Model!AK$1,'Assumptions (Coal)'!$V$10,'Assumptions (Coal)'!$V$5*Model!$V$18*AVERAGE('Assumptions (Coal)'!$O$2:$T$2)/10^9),0)</f>
        <v>0</v>
      </c>
      <c r="AK156" s="160"/>
      <c r="AL156" s="160"/>
      <c r="AM156" s="160"/>
      <c r="AN156" s="160"/>
      <c r="AO156" s="160"/>
      <c r="AP156" s="160"/>
      <c r="AQ156" s="160"/>
      <c r="AR156" s="160"/>
      <c r="AS156" s="160"/>
      <c r="AT156" s="160"/>
      <c r="AU156" s="160"/>
      <c r="AV156" s="160"/>
      <c r="AW156" s="160"/>
      <c r="AX156" s="160"/>
      <c r="AY156" s="160"/>
      <c r="AZ156" s="160"/>
      <c r="BA156" s="160"/>
    </row>
    <row r="157" ht="15.75" hidden="1" customHeight="1" outlineLevel="1">
      <c r="A157" s="158"/>
      <c r="B157" s="38"/>
      <c r="C157" s="160"/>
      <c r="D157" s="160"/>
      <c r="E157" s="160"/>
      <c r="F157" s="160"/>
      <c r="G157" s="160"/>
      <c r="H157" s="160"/>
      <c r="I157" s="160"/>
      <c r="J157" s="160"/>
      <c r="K157" s="160"/>
      <c r="L157" s="160"/>
      <c r="M157" s="160"/>
      <c r="N157" s="160"/>
      <c r="O157" s="160"/>
      <c r="P157" s="160"/>
      <c r="Q157" s="160"/>
      <c r="R157" s="160"/>
      <c r="S157" s="160"/>
      <c r="T157" s="160"/>
      <c r="U157" s="160"/>
      <c r="V157" s="174"/>
      <c r="W157" s="160">
        <f>IF($W$18&gt;0,IPMT('Assumptions (Coal)'!$V$7,Model!W1,'Assumptions (Coal)'!$V$10,'Assumptions (Coal)'!$V$5*Model!$W$18*Average('Assumptions (Coal)'!$P$2:$U$2)/10^9),0)</f>
        <v>0</v>
      </c>
      <c r="X157" s="160">
        <f>IF($W$18&gt;0,IPMT('Assumptions (Coal)'!$V$7,Model!X1,'Assumptions (Coal)'!$V$10,'Assumptions (Coal)'!$V$5*Model!$W$18*Average('Assumptions (Coal)'!$P$2:$U$2)/10^9),0)</f>
        <v>0</v>
      </c>
      <c r="Y157" s="160">
        <f>IF($W$18&gt;0,IPMT('Assumptions (Coal)'!$V$7,Model!Y1,'Assumptions (Coal)'!$V$10,'Assumptions (Coal)'!$V$5*Model!$W$18*Average('Assumptions (Coal)'!$P$2:$U$2)/10^9),0)</f>
        <v>0</v>
      </c>
      <c r="Z157" s="160">
        <f>IF($W$18&gt;0,IPMT('Assumptions (Coal)'!$V$7,Model!Z1,'Assumptions (Coal)'!$V$10,'Assumptions (Coal)'!$V$5*Model!$W$18*Average('Assumptions (Coal)'!$P$2:$U$2)/10^9),0)</f>
        <v>0</v>
      </c>
      <c r="AA157" s="160">
        <f>IF($W$18&gt;0,IPMT('Assumptions (Coal)'!$V$7,Model!AA1,'Assumptions (Coal)'!$V$10,'Assumptions (Coal)'!$V$5*Model!$W$18*Average('Assumptions (Coal)'!$P$2:$U$2)/10^9),0)</f>
        <v>0</v>
      </c>
      <c r="AB157" s="160">
        <f>IF($W$18&gt;0,IPMT('Assumptions (Coal)'!$V$7,Model!AB1,'Assumptions (Coal)'!$V$10,'Assumptions (Coal)'!$V$5*Model!$W$18*Average('Assumptions (Coal)'!$P$2:$U$2)/10^9),0)</f>
        <v>0</v>
      </c>
      <c r="AC157" s="160">
        <f>IF($W$18&gt;0,IPMT('Assumptions (Coal)'!$V$7,Model!AC1,'Assumptions (Coal)'!$V$10,'Assumptions (Coal)'!$V$5*Model!$W$18*Average('Assumptions (Coal)'!$P$2:$U$2)/10^9),0)</f>
        <v>0</v>
      </c>
      <c r="AD157" s="160">
        <f>IF($W$18&gt;0,IPMT('Assumptions (Coal)'!$V$7,Model!AD1,'Assumptions (Coal)'!$V$10,'Assumptions (Coal)'!$V$5*Model!$W$18*Average('Assumptions (Coal)'!$P$2:$U$2)/10^9),0)</f>
        <v>0</v>
      </c>
      <c r="AE157" s="160">
        <f>IF($W$18&gt;0,IPMT('Assumptions (Coal)'!$V$7,Model!AE1,'Assumptions (Coal)'!$V$10,'Assumptions (Coal)'!$V$5*Model!$W$18*Average('Assumptions (Coal)'!$P$2:$U$2)/10^9),0)</f>
        <v>0</v>
      </c>
      <c r="AF157" s="160">
        <f>IF($W$18&gt;0,IPMT('Assumptions (Coal)'!$V$7,Model!AF1,'Assumptions (Coal)'!$V$10,'Assumptions (Coal)'!$V$5*Model!$W$18*Average('Assumptions (Coal)'!$P$2:$U$2)/10^9),0)</f>
        <v>0</v>
      </c>
      <c r="AG157" s="160">
        <f>IF($W$18&gt;0,IPMT('Assumptions (Coal)'!$V$7,Model!AG1,'Assumptions (Coal)'!$V$10,'Assumptions (Coal)'!$V$5*Model!$W$18*Average('Assumptions (Coal)'!$P$2:$U$2)/10^9),0)</f>
        <v>0</v>
      </c>
      <c r="AH157" s="160">
        <f>IF($W$18&gt;0,IPMT('Assumptions (Coal)'!$V$7,Model!AH1,'Assumptions (Coal)'!$V$10,'Assumptions (Coal)'!$V$5*Model!$W$18*Average('Assumptions (Coal)'!$P$2:$U$2)/10^9),0)</f>
        <v>0</v>
      </c>
      <c r="AI157" s="160">
        <f>IF($W$18&gt;0,IPMT('Assumptions (Coal)'!$V$7,Model!AI1,'Assumptions (Coal)'!$V$10,'Assumptions (Coal)'!$V$5*Model!$W$18*Average('Assumptions (Coal)'!$P$2:$U$2)/10^9),0)</f>
        <v>0</v>
      </c>
      <c r="AJ157" s="160">
        <f>IF($W$18&gt;0,IPMT('Assumptions (Coal)'!$V$7,Model!AJ1,'Assumptions (Coal)'!$V$10,'Assumptions (Coal)'!$V$5*Model!$W$18*Average('Assumptions (Coal)'!$P$2:$U$2)/10^9),0)</f>
        <v>0</v>
      </c>
      <c r="AK157" s="160">
        <f>IF($W$18&gt;0,IPMT('Assumptions (Coal)'!$V$7,Model!AK1,'Assumptions (Coal)'!$V$10,'Assumptions (Coal)'!$V$5*Model!$W$18*Average('Assumptions (Coal)'!$P$2:$U$2)/10^9),0)</f>
        <v>0</v>
      </c>
      <c r="AL157" s="160"/>
      <c r="AM157" s="160"/>
      <c r="AN157" s="160"/>
      <c r="AO157" s="160"/>
      <c r="AP157" s="160"/>
      <c r="AQ157" s="160"/>
      <c r="AR157" s="160"/>
      <c r="AS157" s="160"/>
      <c r="AT157" s="160"/>
      <c r="AU157" s="160"/>
      <c r="AV157" s="160"/>
      <c r="AW157" s="160"/>
      <c r="AX157" s="160"/>
      <c r="AY157" s="160"/>
      <c r="AZ157" s="160"/>
      <c r="BA157" s="160"/>
    </row>
    <row r="158" ht="15.75" hidden="1" customHeight="1" outlineLevel="1">
      <c r="A158" s="158"/>
      <c r="B158" s="38"/>
      <c r="C158" s="160"/>
      <c r="D158" s="160"/>
      <c r="E158" s="160"/>
      <c r="F158" s="160"/>
      <c r="G158" s="160"/>
      <c r="H158" s="160"/>
      <c r="I158" s="160"/>
      <c r="J158" s="160"/>
      <c r="K158" s="160"/>
      <c r="L158" s="160"/>
      <c r="M158" s="160"/>
      <c r="N158" s="160"/>
      <c r="O158" s="160"/>
      <c r="P158" s="160"/>
      <c r="Q158" s="160"/>
      <c r="R158" s="160"/>
      <c r="S158" s="160"/>
      <c r="T158" s="160"/>
      <c r="U158" s="160"/>
      <c r="V158" s="174"/>
      <c r="W158" s="160"/>
      <c r="X158" s="160">
        <f>IF($X$18&gt;0,IPMT('Assumptions (Coal)'!$V$7,Model!W1,'Assumptions (Coal)'!$V$10,'Assumptions (Coal)'!$V$5*Model!$X$18*average('Assumptions (Coal)'!$Q$2:$V$2)/10^9),0)</f>
        <v>-0.6805897366</v>
      </c>
      <c r="Y158" s="160">
        <f>IF($X$18&gt;0,IPMT('Assumptions (Coal)'!$V$7,Model!X1,'Assumptions (Coal)'!$V$10,'Assumptions (Coal)'!$V$5*Model!$X$18*average('Assumptions (Coal)'!$Q$2:$V$2)/10^9),0)</f>
        <v>-0.6484515172</v>
      </c>
      <c r="Z158" s="160">
        <f>IF($X$18&gt;0,IPMT('Assumptions (Coal)'!$V$7,Model!Y1,'Assumptions (Coal)'!$V$10,'Assumptions (Coal)'!$V$5*Model!$X$18*average('Assumptions (Coal)'!$Q$2:$V$2)/10^9),0)</f>
        <v>-0.6147867323</v>
      </c>
      <c r="AA158" s="160">
        <f>IF($X$18&gt;0,IPMT('Assumptions (Coal)'!$V$7,Model!Z1,'Assumptions (Coal)'!$V$10,'Assumptions (Coal)'!$V$5*Model!$X$18*average('Assumptions (Coal)'!$Q$2:$V$2)/10^9),0)</f>
        <v>-0.5795228702</v>
      </c>
      <c r="AB158" s="160">
        <f>IF($X$18&gt;0,IPMT('Assumptions (Coal)'!$V$7,Model!AA1,'Assumptions (Coal)'!$V$10,'Assumptions (Coal)'!$V$5*Model!$X$18*average('Assumptions (Coal)'!$Q$2:$V$2)/10^9),0)</f>
        <v>-0.5425839746</v>
      </c>
      <c r="AC158" s="160">
        <f>IF($X$18&gt;0,IPMT('Assumptions (Coal)'!$V$7,Model!AB1,'Assumptions (Coal)'!$V$10,'Assumptions (Coal)'!$V$5*Model!$X$18*average('Assumptions (Coal)'!$Q$2:$V$2)/10^9),0)</f>
        <v>-0.5038904815</v>
      </c>
      <c r="AD158" s="160">
        <f>IF($X$18&gt;0,IPMT('Assumptions (Coal)'!$V$7,Model!AC1,'Assumptions (Coal)'!$V$10,'Assumptions (Coal)'!$V$5*Model!$X$18*average('Assumptions (Coal)'!$Q$2:$V$2)/10^9),0)</f>
        <v>-0.4633590474</v>
      </c>
      <c r="AE158" s="160">
        <f>IF($X$18&gt;0,IPMT('Assumptions (Coal)'!$V$7,Model!AD1,'Assumptions (Coal)'!$V$10,'Assumptions (Coal)'!$V$5*Model!$X$18*average('Assumptions (Coal)'!$Q$2:$V$2)/10^9),0)</f>
        <v>-0.4209023703</v>
      </c>
      <c r="AF158" s="160">
        <f>IF($X$18&gt;0,IPMT('Assumptions (Coal)'!$V$7,Model!AE1,'Assumptions (Coal)'!$V$10,'Assumptions (Coal)'!$V$5*Model!$X$18*average('Assumptions (Coal)'!$Q$2:$V$2)/10^9),0)</f>
        <v>-0.3764290009</v>
      </c>
      <c r="AG158" s="160">
        <f>IF($X$18&gt;0,IPMT('Assumptions (Coal)'!$V$7,Model!AF1,'Assumptions (Coal)'!$V$10,'Assumptions (Coal)'!$V$5*Model!$X$18*average('Assumptions (Coal)'!$Q$2:$V$2)/10^9),0)</f>
        <v>-0.3298431465</v>
      </c>
      <c r="AH158" s="160">
        <f>IF($X$18&gt;0,IPMT('Assumptions (Coal)'!$V$7,Model!AG1,'Assumptions (Coal)'!$V$10,'Assumptions (Coal)'!$V$5*Model!$X$18*average('Assumptions (Coal)'!$Q$2:$V$2)/10^9),0)</f>
        <v>-0.2810444641</v>
      </c>
      <c r="AI158" s="160">
        <f>IF($X$18&gt;0,IPMT('Assumptions (Coal)'!$V$7,Model!AH1,'Assumptions (Coal)'!$V$10,'Assumptions (Coal)'!$V$5*Model!$X$18*average('Assumptions (Coal)'!$Q$2:$V$2)/10^9),0)</f>
        <v>-0.2299278442</v>
      </c>
      <c r="AJ158" s="160">
        <f>IF($X$18&gt;0,IPMT('Assumptions (Coal)'!$V$7,Model!AI1,'Assumptions (Coal)'!$V$10,'Assumptions (Coal)'!$V$5*Model!$X$18*average('Assumptions (Coal)'!$Q$2:$V$2)/10^9),0)</f>
        <v>-0.1763831849</v>
      </c>
      <c r="AK158" s="160">
        <f>IF($X$18&gt;0,IPMT('Assumptions (Coal)'!$V$7,Model!AJ1,'Assumptions (Coal)'!$V$10,'Assumptions (Coal)'!$V$5*Model!$X$18*average('Assumptions (Coal)'!$Q$2:$V$2)/10^9),0)</f>
        <v>-0.1202951543</v>
      </c>
      <c r="AL158" s="160">
        <f>IF($X$18&gt;0,IPMT('Assumptions (Coal)'!$V$7,Model!AK1,'Assumptions (Coal)'!$V$10,'Assumptions (Coal)'!$V$5*Model!$X$18*average('Assumptions (Coal)'!$Q$2:$V$2)/10^9),0)</f>
        <v>-0.06154294217</v>
      </c>
      <c r="AM158" s="160"/>
      <c r="AN158" s="160"/>
      <c r="AO158" s="160"/>
      <c r="AP158" s="160"/>
      <c r="AQ158" s="160"/>
      <c r="AR158" s="160"/>
      <c r="AS158" s="160"/>
      <c r="AT158" s="160"/>
      <c r="AU158" s="160"/>
      <c r="AV158" s="160"/>
      <c r="AW158" s="160"/>
      <c r="AX158" s="160"/>
      <c r="AY158" s="160"/>
      <c r="AZ158" s="160"/>
      <c r="BA158" s="160"/>
    </row>
    <row r="159" ht="15.75" hidden="1" customHeight="1" outlineLevel="1">
      <c r="A159" s="158"/>
      <c r="B159" s="38"/>
      <c r="C159" s="160"/>
      <c r="D159" s="160"/>
      <c r="E159" s="160"/>
      <c r="F159" s="160"/>
      <c r="G159" s="160"/>
      <c r="H159" s="160"/>
      <c r="I159" s="160"/>
      <c r="J159" s="160"/>
      <c r="K159" s="160"/>
      <c r="L159" s="160"/>
      <c r="M159" s="160"/>
      <c r="N159" s="160"/>
      <c r="O159" s="160"/>
      <c r="P159" s="160"/>
      <c r="Q159" s="160"/>
      <c r="R159" s="160"/>
      <c r="S159" s="160"/>
      <c r="T159" s="160"/>
      <c r="U159" s="160"/>
      <c r="V159" s="174"/>
      <c r="W159" s="160"/>
      <c r="X159" s="160"/>
      <c r="Y159" s="160">
        <f>IF($Y$18&gt;0,IPMT('Assumptions (Coal)'!$V$7,Model!W1,'Assumptions (Coal)'!$V$10,'Assumptions (Coal)'!$V$5*Model!$Y$18*AVERAGE('Assumptions (Coal)'!$R$2:$W$2)/10^9),0)</f>
        <v>-0.07854616992</v>
      </c>
      <c r="Z159" s="160">
        <f>IF($Y$18&gt;0,IPMT('Assumptions (Coal)'!$V$7,Model!X1,'Assumptions (Coal)'!$V$10,'Assumptions (Coal)'!$V$5*Model!$Y$18*AVERAGE('Assumptions (Coal)'!$R$2:$W$2)/10^9),0)</f>
        <v>-0.07483713068</v>
      </c>
      <c r="AA159" s="160">
        <f>IF($Y$18&gt;0,IPMT('Assumptions (Coal)'!$V$7,Model!Y1,'Assumptions (Coal)'!$V$10,'Assumptions (Coal)'!$V$5*Model!$Y$18*AVERAGE('Assumptions (Coal)'!$R$2:$W$2)/10^9),0)</f>
        <v>-0.07095191206</v>
      </c>
      <c r="AB159" s="160">
        <f>IF($Y$18&gt;0,IPMT('Assumptions (Coal)'!$V$7,Model!Z1,'Assumptions (Coal)'!$V$10,'Assumptions (Coal)'!$V$5*Model!$Y$18*AVERAGE('Assumptions (Coal)'!$R$2:$W$2)/10^9),0)</f>
        <v>-0.06688214557</v>
      </c>
      <c r="AC159" s="160">
        <f>IF($Y$18&gt;0,IPMT('Assumptions (Coal)'!$V$7,Model!AA1,'Assumptions (Coal)'!$V$10,'Assumptions (Coal)'!$V$5*Model!$Y$18*AVERAGE('Assumptions (Coal)'!$R$2:$W$2)/10^9),0)</f>
        <v>-0.06261906516</v>
      </c>
      <c r="AD159" s="160">
        <f>IF($Y$18&gt;0,IPMT('Assumptions (Coal)'!$V$7,Model!AB1,'Assumptions (Coal)'!$V$10,'Assumptions (Coal)'!$V$5*Model!$Y$18*AVERAGE('Assumptions (Coal)'!$R$2:$W$2)/10^9),0)</f>
        <v>-0.05815348844</v>
      </c>
      <c r="AE159" s="160">
        <f>IF($Y$18&gt;0,IPMT('Assumptions (Coal)'!$V$7,Model!AC1,'Assumptions (Coal)'!$V$10,'Assumptions (Coal)'!$V$5*Model!$Y$18*AVERAGE('Assumptions (Coal)'!$R$2:$W$2)/10^9),0)</f>
        <v>-0.05347579682</v>
      </c>
      <c r="AF159" s="160">
        <f>IF($Y$18&gt;0,IPMT('Assumptions (Coal)'!$V$7,Model!AD1,'Assumptions (Coal)'!$V$10,'Assumptions (Coal)'!$V$5*Model!$Y$18*AVERAGE('Assumptions (Coal)'!$R$2:$W$2)/10^9),0)</f>
        <v>-0.04857591485</v>
      </c>
      <c r="AG159" s="160">
        <f>IF($Y$18&gt;0,IPMT('Assumptions (Coal)'!$V$7,Model!AE1,'Assumptions (Coal)'!$V$10,'Assumptions (Coal)'!$V$5*Model!$Y$18*AVERAGE('Assumptions (Coal)'!$R$2:$W$2)/10^9),0)</f>
        <v>-0.04344328849</v>
      </c>
      <c r="AH159" s="160">
        <f>IF($Y$18&gt;0,IPMT('Assumptions (Coal)'!$V$7,Model!AF1,'Assumptions (Coal)'!$V$10,'Assumptions (Coal)'!$V$5*Model!$Y$18*AVERAGE('Assumptions (Coal)'!$R$2:$W$2)/10^9),0)</f>
        <v>-0.03806686237</v>
      </c>
      <c r="AI159" s="160">
        <f>IF($Y$18&gt;0,IPMT('Assumptions (Coal)'!$V$7,Model!AG1,'Assumptions (Coal)'!$V$10,'Assumptions (Coal)'!$V$5*Model!$Y$18*AVERAGE('Assumptions (Coal)'!$R$2:$W$2)/10^9),0)</f>
        <v>-0.03243505602</v>
      </c>
      <c r="AJ159" s="160">
        <f>IF($Y$18&gt;0,IPMT('Assumptions (Coal)'!$V$7,Model!AH1,'Assumptions (Coal)'!$V$10,'Assumptions (Coal)'!$V$5*Model!$Y$18*AVERAGE('Assumptions (Coal)'!$R$2:$W$2)/10^9),0)</f>
        <v>-0.02653573886</v>
      </c>
      <c r="AK159" s="160">
        <f>IF($Y$18&gt;0,IPMT('Assumptions (Coal)'!$V$7,Model!AI1,'Assumptions (Coal)'!$V$10,'Assumptions (Coal)'!$V$5*Model!$Y$18*AVERAGE('Assumptions (Coal)'!$R$2:$W$2)/10^9),0)</f>
        <v>-0.02035620414</v>
      </c>
      <c r="AL159" s="160">
        <f>IF($Y$18&gt;0,IPMT('Assumptions (Coal)'!$V$7,Model!AJ1,'Assumptions (Coal)'!$V$10,'Assumptions (Coal)'!$V$5*Model!$Y$18*AVERAGE('Assumptions (Coal)'!$R$2:$W$2)/10^9),0)</f>
        <v>-0.01388314152</v>
      </c>
      <c r="AM159" s="160">
        <f>IF($Y$18&gt;0,IPMT('Assumptions (Coal)'!$V$7,Model!AK1,'Assumptions (Coal)'!$V$10,'Assumptions (Coal)'!$V$5*Model!$Y$18*AVERAGE('Assumptions (Coal)'!$R$2:$W$2)/10^9),0)</f>
        <v>-0.007102608419</v>
      </c>
      <c r="AN159" s="160"/>
      <c r="AO159" s="160"/>
      <c r="AP159" s="160"/>
      <c r="AQ159" s="160"/>
      <c r="AR159" s="160"/>
      <c r="AS159" s="160"/>
      <c r="AT159" s="160"/>
      <c r="AU159" s="160"/>
      <c r="AV159" s="160"/>
      <c r="AW159" s="160"/>
      <c r="AX159" s="160"/>
      <c r="AY159" s="160"/>
      <c r="AZ159" s="160"/>
      <c r="BA159" s="160"/>
    </row>
    <row r="160" ht="15.75" hidden="1" customHeight="1" outlineLevel="1">
      <c r="A160" s="158"/>
      <c r="B160" s="38"/>
      <c r="C160" s="160"/>
      <c r="D160" s="160"/>
      <c r="E160" s="160"/>
      <c r="F160" s="160"/>
      <c r="G160" s="160"/>
      <c r="H160" s="160"/>
      <c r="I160" s="160"/>
      <c r="J160" s="160"/>
      <c r="K160" s="160"/>
      <c r="L160" s="160"/>
      <c r="M160" s="160"/>
      <c r="N160" s="160"/>
      <c r="O160" s="160"/>
      <c r="P160" s="160"/>
      <c r="Q160" s="160"/>
      <c r="R160" s="160"/>
      <c r="S160" s="160"/>
      <c r="T160" s="160"/>
      <c r="U160" s="160"/>
      <c r="V160" s="174"/>
      <c r="W160" s="160"/>
      <c r="X160" s="160"/>
      <c r="Y160" s="160"/>
      <c r="Z160" s="160">
        <f>IF($Z$18&gt;0,IPMT('Assumptions (Coal)'!$V$7,Model!W1,'Assumptions (Coal)'!$V$10,'Assumptions (Coal)'!$V$5*Model!$Z$18*AVERAGE('Assumptions (Coal)'!$S$2:$X$2)/10^9),0)</f>
        <v>-0.1305294743</v>
      </c>
      <c r="AA160" s="160">
        <f>IF($Z$18&gt;0,IPMT('Assumptions (Coal)'!$V$7,Model!X1,'Assumptions (Coal)'!$V$10,'Assumptions (Coal)'!$V$5*Model!$Z$18*AVERAGE('Assumptions (Coal)'!$S$2:$X$2)/10^9),0)</f>
        <v>-0.1243657244</v>
      </c>
      <c r="AB160" s="160">
        <f>IF($Z$18&gt;0,IPMT('Assumptions (Coal)'!$V$7,Model!Y1,'Assumptions (Coal)'!$V$10,'Assumptions (Coal)'!$V$5*Model!$Z$18*AVERAGE('Assumptions (Coal)'!$S$2:$X$2)/10^9),0)</f>
        <v>-0.1179091964</v>
      </c>
      <c r="AC160" s="160">
        <f>IF($Z$18&gt;0,IPMT('Assumptions (Coal)'!$V$7,Model!Z1,'Assumptions (Coal)'!$V$10,'Assumptions (Coal)'!$V$5*Model!$Z$18*AVERAGE('Assumptions (Coal)'!$S$2:$X$2)/10^9),0)</f>
        <v>-0.1111459834</v>
      </c>
      <c r="AD160" s="160">
        <f>IF($Z$18&gt;0,IPMT('Assumptions (Coal)'!$V$7,Model!AA1,'Assumptions (Coal)'!$V$10,'Assumptions (Coal)'!$V$5*Model!$Z$18*AVERAGE('Assumptions (Coal)'!$S$2:$X$2)/10^9),0)</f>
        <v>-0.1040615177</v>
      </c>
      <c r="AE160" s="160">
        <f>IF($Z$18&gt;0,IPMT('Assumptions (Coal)'!$V$7,Model!AB1,'Assumptions (Coal)'!$V$10,'Assumptions (Coal)'!$V$5*Model!$Z$18*AVERAGE('Assumptions (Coal)'!$S$2:$X$2)/10^9),0)</f>
        <v>-0.09664053995</v>
      </c>
      <c r="AF160" s="160">
        <f>IF($Z$18&gt;0,IPMT('Assumptions (Coal)'!$V$7,Model!AC1,'Assumptions (Coal)'!$V$10,'Assumptions (Coal)'!$V$5*Model!$Z$18*AVERAGE('Assumptions (Coal)'!$S$2:$X$2)/10^9),0)</f>
        <v>-0.08886706572</v>
      </c>
      <c r="AG160" s="160">
        <f>IF($Z$18&gt;0,IPMT('Assumptions (Coal)'!$V$7,Model!AD1,'Assumptions (Coal)'!$V$10,'Assumptions (Coal)'!$V$5*Model!$Z$18*AVERAGE('Assumptions (Coal)'!$S$2:$X$2)/10^9),0)</f>
        <v>-0.08072435147</v>
      </c>
      <c r="AH160" s="160">
        <f>IF($Z$18&gt;0,IPMT('Assumptions (Coal)'!$V$7,Model!AE1,'Assumptions (Coal)'!$V$10,'Assumptions (Coal)'!$V$5*Model!$Z$18*AVERAGE('Assumptions (Coal)'!$S$2:$X$2)/10^9),0)</f>
        <v>-0.07219485829</v>
      </c>
      <c r="AI160" s="160">
        <f>IF($Z$18&gt;0,IPMT('Assumptions (Coal)'!$V$7,Model!AF1,'Assumptions (Coal)'!$V$10,'Assumptions (Coal)'!$V$5*Model!$Z$18*AVERAGE('Assumptions (Coal)'!$S$2:$X$2)/10^9),0)</f>
        <v>-0.06326021418</v>
      </c>
      <c r="AJ160" s="160">
        <f>IF($Z$18&gt;0,IPMT('Assumptions (Coal)'!$V$7,Model!AG1,'Assumptions (Coal)'!$V$10,'Assumptions (Coal)'!$V$5*Model!$Z$18*AVERAGE('Assumptions (Coal)'!$S$2:$X$2)/10^9),0)</f>
        <v>-0.05390117448</v>
      </c>
      <c r="AK160" s="160">
        <f>IF($Z$18&gt;0,IPMT('Assumptions (Coal)'!$V$7,Model!AH1,'Assumptions (Coal)'!$V$10,'Assumptions (Coal)'!$V$5*Model!$Z$18*AVERAGE('Assumptions (Coal)'!$S$2:$X$2)/10^9),0)</f>
        <v>-0.04409758039</v>
      </c>
      <c r="AL160" s="160">
        <f>IF($Z$18&gt;0,IPMT('Assumptions (Coal)'!$V$7,Model!AI1,'Assumptions (Coal)'!$V$10,'Assumptions (Coal)'!$V$5*Model!$Z$18*AVERAGE('Assumptions (Coal)'!$S$2:$X$2)/10^9),0)</f>
        <v>-0.03382831558</v>
      </c>
      <c r="AM160" s="160">
        <f>IF($Z$18&gt;0,IPMT('Assumptions (Coal)'!$V$7,Model!AJ1,'Assumptions (Coal)'!$V$10,'Assumptions (Coal)'!$V$5*Model!$Z$18*AVERAGE('Assumptions (Coal)'!$S$2:$X$2)/10^9),0)</f>
        <v>-0.0230712607</v>
      </c>
      <c r="AN160" s="160">
        <f>IF($Z$18&gt;0,IPMT('Assumptions (Coal)'!$V$7,Model!AK1,'Assumptions (Coal)'!$V$10,'Assumptions (Coal)'!$V$5*Model!$Z$18*AVERAGE('Assumptions (Coal)'!$S$2:$X$2)/10^9),0)</f>
        <v>-0.0118032457</v>
      </c>
      <c r="AO160" s="160"/>
      <c r="AP160" s="160"/>
      <c r="AQ160" s="160"/>
      <c r="AR160" s="160"/>
      <c r="AS160" s="160"/>
      <c r="AT160" s="160"/>
      <c r="AU160" s="160"/>
      <c r="AV160" s="160"/>
      <c r="AW160" s="160"/>
      <c r="AX160" s="160"/>
      <c r="AY160" s="160"/>
      <c r="AZ160" s="160"/>
      <c r="BA160" s="160"/>
    </row>
    <row r="161" ht="15.75" hidden="1" customHeight="1" outlineLevel="1">
      <c r="A161" s="158"/>
      <c r="B161" s="38"/>
      <c r="C161" s="160"/>
      <c r="D161" s="160"/>
      <c r="E161" s="160"/>
      <c r="F161" s="160"/>
      <c r="G161" s="160"/>
      <c r="H161" s="160"/>
      <c r="I161" s="160"/>
      <c r="J161" s="160"/>
      <c r="K161" s="160"/>
      <c r="L161" s="160"/>
      <c r="M161" s="160"/>
      <c r="N161" s="160"/>
      <c r="O161" s="160"/>
      <c r="P161" s="160"/>
      <c r="Q161" s="160"/>
      <c r="R161" s="160"/>
      <c r="S161" s="160"/>
      <c r="T161" s="160"/>
      <c r="U161" s="160"/>
      <c r="V161" s="174"/>
      <c r="W161" s="160"/>
      <c r="X161" s="160"/>
      <c r="Y161" s="160"/>
      <c r="Z161" s="160"/>
      <c r="AA161" s="160">
        <f>IF($AA$18&gt;0,IPMT('Assumptions (Coal)'!$V$7,Model!W1,'Assumptions (Coal)'!$V$10,'Assumptions (Coal)'!$V$5*Model!$AA$18*AVERAGE('Assumptions (Coal)'!$T$2:$Y$2)/10^9),0)</f>
        <v>-0.140144843</v>
      </c>
      <c r="AB161" s="160">
        <f>IF($AA$18&gt;0,IPMT('Assumptions (Coal)'!$V$7,Model!X1,'Assumptions (Coal)'!$V$10,'Assumptions (Coal)'!$V$5*Model!$AA$18*AVERAGE('Assumptions (Coal)'!$T$2:$Y$2)/10^9),0)</f>
        <v>-0.1335270445</v>
      </c>
      <c r="AC161" s="160">
        <f>IF($AA$18&gt;0,IPMT('Assumptions (Coal)'!$V$7,Model!Y1,'Assumptions (Coal)'!$V$10,'Assumptions (Coal)'!$V$5*Model!$AA$18*AVERAGE('Assumptions (Coal)'!$T$2:$Y$2)/10^9),0)</f>
        <v>-0.1265949006</v>
      </c>
      <c r="AD161" s="160">
        <f>IF($AA$18&gt;0,IPMT('Assumptions (Coal)'!$V$7,Model!Z1,'Assumptions (Coal)'!$V$10,'Assumptions (Coal)'!$V$5*Model!$AA$18*AVERAGE('Assumptions (Coal)'!$T$2:$Y$2)/10^9),0)</f>
        <v>-0.1193334799</v>
      </c>
      <c r="AE161" s="160">
        <f>IF($AA$18&gt;0,IPMT('Assumptions (Coal)'!$V$7,Model!AA1,'Assumptions (Coal)'!$V$10,'Assumptions (Coal)'!$V$5*Model!$AA$18*AVERAGE('Assumptions (Coal)'!$T$2:$Y$2)/10^9),0)</f>
        <v>-0.1117271417</v>
      </c>
      <c r="AF161" s="160">
        <f>IF($AA$18&gt;0,IPMT('Assumptions (Coal)'!$V$7,Model!AB1,'Assumptions (Coal)'!$V$10,'Assumptions (Coal)'!$V$5*Model!$AA$18*AVERAGE('Assumptions (Coal)'!$T$2:$Y$2)/10^9),0)</f>
        <v>-0.1037595024</v>
      </c>
      <c r="AG161" s="160">
        <f>IF($AA$18&gt;0,IPMT('Assumptions (Coal)'!$V$7,Model!AC1,'Assumptions (Coal)'!$V$10,'Assumptions (Coal)'!$V$5*Model!$AA$18*AVERAGE('Assumptions (Coal)'!$T$2:$Y$2)/10^9),0)</f>
        <v>-0.09541340026</v>
      </c>
      <c r="AH161" s="160">
        <f>IF($AA$18&gt;0,IPMT('Assumptions (Coal)'!$V$7,Model!AD1,'Assumptions (Coal)'!$V$10,'Assumptions (Coal)'!$V$5*Model!$AA$18*AVERAGE('Assumptions (Coal)'!$T$2:$Y$2)/10^9),0)</f>
        <v>-0.08667085827</v>
      </c>
      <c r="AI161" s="160">
        <f>IF($AA$18&gt;0,IPMT('Assumptions (Coal)'!$V$7,Model!AE1,'Assumptions (Coal)'!$V$10,'Assumptions (Coal)'!$V$5*Model!$AA$18*AVERAGE('Assumptions (Coal)'!$T$2:$Y$2)/10^9),0)</f>
        <v>-0.07751304552</v>
      </c>
      <c r="AJ161" s="160">
        <f>IF($AA$18&gt;0,IPMT('Assumptions (Coal)'!$V$7,Model!AF1,'Assumptions (Coal)'!$V$10,'Assumptions (Coal)'!$V$5*Model!$AA$18*AVERAGE('Assumptions (Coal)'!$T$2:$Y$2)/10^9),0)</f>
        <v>-0.06792023667</v>
      </c>
      <c r="AK161" s="160">
        <f>IF($AA$18&gt;0,IPMT('Assumptions (Coal)'!$V$7,Model!AG1,'Assumptions (Coal)'!$V$10,'Assumptions (Coal)'!$V$5*Model!$AA$18*AVERAGE('Assumptions (Coal)'!$T$2:$Y$2)/10^9),0)</f>
        <v>-0.05787176941</v>
      </c>
      <c r="AL161" s="160">
        <f>IF($AA$18&gt;0,IPMT('Assumptions (Coal)'!$V$7,Model!AH1,'Assumptions (Coal)'!$V$10,'Assumptions (Coal)'!$V$5*Model!$AA$18*AVERAGE('Assumptions (Coal)'!$T$2:$Y$2)/10^9),0)</f>
        <v>-0.04734599994</v>
      </c>
      <c r="AM161" s="160">
        <f>IF($AA$18&gt;0,IPMT('Assumptions (Coal)'!$V$7,Model!AI1,'Assumptions (Coal)'!$V$10,'Assumptions (Coal)'!$V$5*Model!$AA$18*AVERAGE('Assumptions (Coal)'!$T$2:$Y$2)/10^9),0)</f>
        <v>-0.03632025643</v>
      </c>
      <c r="AN161" s="160">
        <f>IF($AA$18&gt;0,IPMT('Assumptions (Coal)'!$V$7,Model!AJ1,'Assumptions (Coal)'!$V$10,'Assumptions (Coal)'!$V$5*Model!$AA$18*AVERAGE('Assumptions (Coal)'!$T$2:$Y$2)/10^9),0)</f>
        <v>-0.0247707901</v>
      </c>
      <c r="AO161" s="160">
        <f>IF($AA$18&gt;0,IPMT('Assumptions (Coal)'!$V$7,Model!AK1,'Assumptions (Coal)'!$V$10,'Assumptions (Coal)'!$V$5*Model!$AA$18*AVERAGE('Assumptions (Coal)'!$T$2:$Y$2)/10^9),0)</f>
        <v>-0.01267272412</v>
      </c>
      <c r="AP161" s="160"/>
      <c r="AQ161" s="160"/>
      <c r="AR161" s="160"/>
      <c r="AS161" s="160"/>
      <c r="AT161" s="160"/>
      <c r="AU161" s="160"/>
      <c r="AV161" s="160"/>
      <c r="AW161" s="160"/>
      <c r="AX161" s="160"/>
      <c r="AY161" s="160"/>
      <c r="AZ161" s="160"/>
      <c r="BA161" s="160"/>
    </row>
    <row r="162" ht="15.75" hidden="1" customHeight="1" outlineLevel="1">
      <c r="A162" s="158"/>
      <c r="B162" s="38"/>
      <c r="C162" s="160"/>
      <c r="D162" s="160"/>
      <c r="E162" s="160"/>
      <c r="F162" s="160"/>
      <c r="G162" s="160"/>
      <c r="H162" s="160"/>
      <c r="I162" s="160"/>
      <c r="J162" s="160"/>
      <c r="K162" s="160"/>
      <c r="L162" s="160"/>
      <c r="M162" s="160"/>
      <c r="N162" s="160"/>
      <c r="O162" s="160"/>
      <c r="P162" s="160"/>
      <c r="Q162" s="160"/>
      <c r="R162" s="160"/>
      <c r="S162" s="160"/>
      <c r="T162" s="160"/>
      <c r="U162" s="160"/>
      <c r="V162" s="174"/>
      <c r="W162" s="160"/>
      <c r="X162" s="160"/>
      <c r="Y162" s="160"/>
      <c r="Z162" s="160"/>
      <c r="AA162" s="160"/>
      <c r="AB162" s="160">
        <f>IF($AB$18&gt;0,IPMT('Assumptions (Coal)'!$V$7,Model!W1,'Assumptions (Coal)'!$V$10,'Assumptions (Coal)'!$V$5*Model!$AB$18*AVERAGE('Assumptions (Coal)'!$U$2:$Z$2)/10^9),0)</f>
        <v>-0.3321860056</v>
      </c>
      <c r="AC162" s="160">
        <f>IF($AB$18&gt;0,IPMT('Assumptions (Coal)'!$V$7,Model!X1,'Assumptions (Coal)'!$V$10,'Assumptions (Coal)'!$V$5*Model!$AB$18*AVERAGE('Assumptions (Coal)'!$U$2:$Z$2)/10^9),0)</f>
        <v>-0.3164998056</v>
      </c>
      <c r="AD162" s="160">
        <f>IF($AB$18&gt;0,IPMT('Assumptions (Coal)'!$V$7,Model!Y1,'Assumptions (Coal)'!$V$10,'Assumptions (Coal)'!$V$5*Model!$AB$18*AVERAGE('Assumptions (Coal)'!$U$2:$Z$2)/10^9),0)</f>
        <v>-0.300068511</v>
      </c>
      <c r="AE162" s="160">
        <f>IF($AB$18&gt;0,IPMT('Assumptions (Coal)'!$V$7,Model!Z1,'Assumptions (Coal)'!$V$10,'Assumptions (Coal)'!$V$5*Model!$AB$18*AVERAGE('Assumptions (Coal)'!$U$2:$Z$2)/10^9),0)</f>
        <v>-0.28285673</v>
      </c>
      <c r="AF162" s="160">
        <f>IF($AB$18&gt;0,IPMT('Assumptions (Coal)'!$V$7,Model!AA1,'Assumptions (Coal)'!$V$10,'Assumptions (Coal)'!$V$5*Model!$AB$18*AVERAGE('Assumptions (Coal)'!$U$2:$Z$2)/10^9),0)</f>
        <v>-0.2648273894</v>
      </c>
      <c r="AG162" s="160">
        <f>IF($AB$18&gt;0,IPMT('Assumptions (Coal)'!$V$7,Model!AB1,'Assumptions (Coal)'!$V$10,'Assumptions (Coal)'!$V$5*Model!$AB$18*AVERAGE('Assumptions (Coal)'!$U$2:$Z$2)/10^9),0)</f>
        <v>-0.2459416551</v>
      </c>
      <c r="AH162" s="160">
        <f>IF($AB$18&gt;0,IPMT('Assumptions (Coal)'!$V$7,Model!AC1,'Assumptions (Coal)'!$V$10,'Assumptions (Coal)'!$V$5*Model!$AB$18*AVERAGE('Assumptions (Coal)'!$U$2:$Z$2)/10^9),0)</f>
        <v>-0.2261588485</v>
      </c>
      <c r="AI162" s="160">
        <f>IF($AB$18&gt;0,IPMT('Assumptions (Coal)'!$V$7,Model!AD1,'Assumptions (Coal)'!$V$10,'Assumptions (Coal)'!$V$5*Model!$AB$18*AVERAGE('Assumptions (Coal)'!$U$2:$Z$2)/10^9),0)</f>
        <v>-0.2054363585</v>
      </c>
      <c r="AJ162" s="160">
        <f>IF($AB$18&gt;0,IPMT('Assumptions (Coal)'!$V$7,Model!AE1,'Assumptions (Coal)'!$V$10,'Assumptions (Coal)'!$V$5*Model!$AB$18*AVERAGE('Assumptions (Coal)'!$U$2:$Z$2)/10^9),0)</f>
        <v>-0.1837295502</v>
      </c>
      <c r="AK162" s="160">
        <f>IF($AB$18&gt;0,IPMT('Assumptions (Coal)'!$V$7,Model!AF1,'Assumptions (Coal)'!$V$10,'Assumptions (Coal)'!$V$5*Model!$AB$18*AVERAGE('Assumptions (Coal)'!$U$2:$Z$2)/10^9),0)</f>
        <v>-0.1609916686</v>
      </c>
      <c r="AL162" s="160">
        <f>IF($AB$18&gt;0,IPMT('Assumptions (Coal)'!$V$7,Model!AG1,'Assumptions (Coal)'!$V$10,'Assumptions (Coal)'!$V$5*Model!$AB$18*AVERAGE('Assumptions (Coal)'!$U$2:$Z$2)/10^9),0)</f>
        <v>-0.1371737376</v>
      </c>
      <c r="AM162" s="160">
        <f>IF($AB$18&gt;0,IPMT('Assumptions (Coal)'!$V$7,Model!AH1,'Assumptions (Coal)'!$V$10,'Assumptions (Coal)'!$V$5*Model!$AB$18*AVERAGE('Assumptions (Coal)'!$U$2:$Z$2)/10^9),0)</f>
        <v>-0.1122244548</v>
      </c>
      <c r="AN162" s="160">
        <f>IF($AB$18&gt;0,IPMT('Assumptions (Coal)'!$V$7,Model!AI1,'Assumptions (Coal)'!$V$10,'Assumptions (Coal)'!$V$5*Model!$AB$18*AVERAGE('Assumptions (Coal)'!$U$2:$Z$2)/10^9),0)</f>
        <v>-0.08609008113</v>
      </c>
      <c r="AO162" s="160">
        <f>IF($AB$18&gt;0,IPMT('Assumptions (Coal)'!$V$7,Model!AJ1,'Assumptions (Coal)'!$V$10,'Assumptions (Coal)'!$V$5*Model!$AB$18*AVERAGE('Assumptions (Coal)'!$U$2:$Z$2)/10^9),0)</f>
        <v>-0.0587143247</v>
      </c>
      <c r="AP162" s="160">
        <f>IF($AB$18&gt;0,IPMT('Assumptions (Coal)'!$V$7,Model!AK1,'Assumptions (Coal)'!$V$10,'Assumptions (Coal)'!$V$5*Model!$AB$18*AVERAGE('Assumptions (Coal)'!$U$2:$Z$2)/10^9),0)</f>
        <v>-0.03003821984</v>
      </c>
      <c r="AQ162" s="160"/>
      <c r="AR162" s="160"/>
      <c r="AS162" s="160"/>
      <c r="AT162" s="160"/>
      <c r="AU162" s="160"/>
      <c r="AV162" s="160"/>
      <c r="AW162" s="160"/>
      <c r="AX162" s="160"/>
      <c r="AY162" s="160"/>
      <c r="AZ162" s="160"/>
      <c r="BA162" s="160"/>
    </row>
    <row r="163" ht="15.75" hidden="1" customHeight="1" outlineLevel="1">
      <c r="A163" s="158"/>
      <c r="B163" s="38"/>
      <c r="C163" s="160"/>
      <c r="D163" s="160"/>
      <c r="E163" s="160"/>
      <c r="F163" s="160"/>
      <c r="G163" s="160"/>
      <c r="H163" s="160"/>
      <c r="I163" s="160"/>
      <c r="J163" s="160"/>
      <c r="K163" s="160"/>
      <c r="L163" s="160"/>
      <c r="M163" s="160"/>
      <c r="N163" s="160"/>
      <c r="O163" s="160"/>
      <c r="P163" s="160"/>
      <c r="Q163" s="160"/>
      <c r="R163" s="160"/>
      <c r="S163" s="160"/>
      <c r="T163" s="160"/>
      <c r="U163" s="160"/>
      <c r="V163" s="174"/>
      <c r="W163" s="160"/>
      <c r="X163" s="160"/>
      <c r="Y163" s="160"/>
      <c r="Z163" s="160"/>
      <c r="AA163" s="160"/>
      <c r="AB163" s="160"/>
      <c r="AC163" s="160">
        <f>IF($AC$18&gt;0,IPMT('Assumptions (Coal)'!$V$7,Model!W1,'Assumptions (Coal)'!$V$10,'Assumptions (Coal)'!$V$5*Model!$AC$18*AVERAGE('Assumptions (Coal)'!$V$2:$AA$2)/10^9),0)</f>
        <v>-0.2568584028</v>
      </c>
      <c r="AD163" s="160">
        <f>IF($AC$18&gt;0,IPMT('Assumptions (Coal)'!$V$7,Model!X1,'Assumptions (Coal)'!$V$10,'Assumptions (Coal)'!$V$5*Model!$AC$18*AVERAGE('Assumptions (Coal)'!$V$2:$AA$2)/10^9),0)</f>
        <v>-0.2447292576</v>
      </c>
      <c r="AE163" s="160">
        <f>IF($AC$18&gt;0,IPMT('Assumptions (Coal)'!$V$7,Model!Y1,'Assumptions (Coal)'!$V$10,'Assumptions (Coal)'!$V$5*Model!$AC$18*AVERAGE('Assumptions (Coal)'!$V$2:$AA$2)/10^9),0)</f>
        <v>-0.232023978</v>
      </c>
      <c r="AF163" s="160">
        <f>IF($AC$18&gt;0,IPMT('Assumptions (Coal)'!$V$7,Model!Z1,'Assumptions (Coal)'!$V$10,'Assumptions (Coal)'!$V$5*Model!$AC$18*AVERAGE('Assumptions (Coal)'!$V$2:$AA$2)/10^9),0)</f>
        <v>-0.2187151977</v>
      </c>
      <c r="AG163" s="160">
        <f>IF($AC$18&gt;0,IPMT('Assumptions (Coal)'!$V$7,Model!AA1,'Assumptions (Coal)'!$V$10,'Assumptions (Coal)'!$V$5*Model!$AC$18*AVERAGE('Assumptions (Coal)'!$V$2:$AA$2)/10^9),0)</f>
        <v>-0.2047742503</v>
      </c>
      <c r="AH163" s="160">
        <f>IF($AC$18&gt;0,IPMT('Assumptions (Coal)'!$V$7,Model!AB1,'Assumptions (Coal)'!$V$10,'Assumptions (Coal)'!$V$5*Model!$AC$18*AVERAGE('Assumptions (Coal)'!$V$2:$AA$2)/10^9),0)</f>
        <v>-0.1901711079</v>
      </c>
      <c r="AI163" s="160">
        <f>IF($AC$18&gt;0,IPMT('Assumptions (Coal)'!$V$7,Model!AC1,'Assumptions (Coal)'!$V$10,'Assumptions (Coal)'!$V$5*Model!$AC$18*AVERAGE('Assumptions (Coal)'!$V$2:$AA$2)/10^9),0)</f>
        <v>-0.1748743162</v>
      </c>
      <c r="AJ163" s="160">
        <f>IF($AC$18&gt;0,IPMT('Assumptions (Coal)'!$V$7,Model!AD1,'Assumptions (Coal)'!$V$10,'Assumptions (Coal)'!$V$5*Model!$AC$18*AVERAGE('Assumptions (Coal)'!$V$2:$AA$2)/10^9),0)</f>
        <v>-0.158850927</v>
      </c>
      <c r="AK163" s="160">
        <f>IF($AC$18&gt;0,IPMT('Assumptions (Coal)'!$V$7,Model!AE1,'Assumptions (Coal)'!$V$10,'Assumptions (Coal)'!$V$5*Model!$AC$18*AVERAGE('Assumptions (Coal)'!$V$2:$AA$2)/10^9),0)</f>
        <v>-0.1420664267</v>
      </c>
      <c r="AL163" s="160">
        <f>IF($AC$18&gt;0,IPMT('Assumptions (Coal)'!$V$7,Model!AF1,'Assumptions (Coal)'!$V$10,'Assumptions (Coal)'!$V$5*Model!$AC$18*AVERAGE('Assumptions (Coal)'!$V$2:$AA$2)/10^9),0)</f>
        <v>-0.1244846627</v>
      </c>
      <c r="AM163" s="160">
        <f>IF($AC$18&gt;0,IPMT('Assumptions (Coal)'!$V$7,Model!AG1,'Assumptions (Coal)'!$V$10,'Assumptions (Coal)'!$V$5*Model!$AC$18*AVERAGE('Assumptions (Coal)'!$V$2:$AA$2)/10^9),0)</f>
        <v>-0.1060677649</v>
      </c>
      <c r="AN163" s="160">
        <f>IF($AC$18&gt;0,IPMT('Assumptions (Coal)'!$V$7,Model!AH1,'Assumptions (Coal)'!$V$10,'Assumptions (Coal)'!$V$5*Model!$AC$18*AVERAGE('Assumptions (Coal)'!$V$2:$AA$2)/10^9),0)</f>
        <v>-0.08677606441</v>
      </c>
      <c r="AO163" s="160">
        <f>IF($AC$18&gt;0,IPMT('Assumptions (Coal)'!$V$7,Model!AI1,'Assumptions (Coal)'!$V$10,'Assumptions (Coal)'!$V$5*Model!$AC$18*AVERAGE('Assumptions (Coal)'!$V$2:$AA$2)/10^9),0)</f>
        <v>-0.06656800817</v>
      </c>
      <c r="AP163" s="160">
        <f>IF($AC$18&gt;0,IPMT('Assumptions (Coal)'!$V$7,Model!AJ1,'Assumptions (Coal)'!$V$10,'Assumptions (Coal)'!$V$5*Model!$AC$18*AVERAGE('Assumptions (Coal)'!$V$2:$AA$2)/10^9),0)</f>
        <v>-0.04540006927</v>
      </c>
      <c r="AQ163" s="160">
        <f>IF($AC$18&gt;0,IPMT('Assumptions (Coal)'!$V$7,Model!AK1,'Assumptions (Coal)'!$V$10,'Assumptions (Coal)'!$V$5*Model!$AC$18*AVERAGE('Assumptions (Coal)'!$V$2:$AA$2)/10^9),0)</f>
        <v>-0.02322665326</v>
      </c>
      <c r="AR163" s="160"/>
      <c r="AS163" s="160"/>
      <c r="AT163" s="160"/>
      <c r="AU163" s="160"/>
      <c r="AV163" s="160"/>
      <c r="AW163" s="160"/>
      <c r="AX163" s="160"/>
      <c r="AY163" s="160"/>
      <c r="AZ163" s="160"/>
      <c r="BA163" s="160"/>
    </row>
    <row r="164" ht="15.75" hidden="1" customHeight="1" outlineLevel="1">
      <c r="A164" s="158"/>
      <c r="B164" s="38"/>
      <c r="C164" s="160"/>
      <c r="D164" s="160"/>
      <c r="E164" s="160"/>
      <c r="F164" s="160"/>
      <c r="G164" s="160"/>
      <c r="H164" s="160"/>
      <c r="I164" s="160"/>
      <c r="J164" s="160"/>
      <c r="K164" s="160"/>
      <c r="L164" s="160"/>
      <c r="M164" s="160"/>
      <c r="N164" s="160"/>
      <c r="O164" s="160"/>
      <c r="P164" s="160"/>
      <c r="Q164" s="160"/>
      <c r="R164" s="160"/>
      <c r="S164" s="160"/>
      <c r="T164" s="160"/>
      <c r="U164" s="160"/>
      <c r="V164" s="174"/>
      <c r="W164" s="160"/>
      <c r="X164" s="160"/>
      <c r="Y164" s="160"/>
      <c r="Z164" s="160"/>
      <c r="AA164" s="160"/>
      <c r="AB164" s="160"/>
      <c r="AC164" s="160"/>
      <c r="AD164" s="160">
        <f>IF($AD$18&gt;0,IPMT('Assumptions (Coal)'!$V$7,Model!W1,'Assumptions (Coal)'!$V$10,'Assumptions (Coal)'!$V$5*Model!$AD$18*AVERAGE('Assumptions (Coal)'!$W$2:$AB$2)/10^9),0)</f>
        <v>-0.1909270524</v>
      </c>
      <c r="AE164" s="160">
        <f>IF($AD$18&gt;0,IPMT('Assumptions (Coal)'!$V$7,Model!X1,'Assumptions (Coal)'!$V$10,'Assumptions (Coal)'!$V$5*Model!$AD$18*AVERAGE('Assumptions (Coal)'!$W$2:$AB$2)/10^9),0)</f>
        <v>-0.1819112604</v>
      </c>
      <c r="AF164" s="160">
        <f>IF($AD$18&gt;0,IPMT('Assumptions (Coal)'!$V$7,Model!Y1,'Assumptions (Coal)'!$V$10,'Assumptions (Coal)'!$V$5*Model!$AD$18*AVERAGE('Assumptions (Coal)'!$W$2:$AB$2)/10^9),0)</f>
        <v>-0.1724672183</v>
      </c>
      <c r="AG164" s="160">
        <f>IF($AD$18&gt;0,IPMT('Assumptions (Coal)'!$V$7,Model!Z1,'Assumptions (Coal)'!$V$10,'Assumptions (Coal)'!$V$5*Model!$AD$18*AVERAGE('Assumptions (Coal)'!$W$2:$AB$2)/10^9),0)</f>
        <v>-0.1625745842</v>
      </c>
      <c r="AH164" s="160">
        <f>IF($AD$18&gt;0,IPMT('Assumptions (Coal)'!$V$7,Model!AA1,'Assumptions (Coal)'!$V$10,'Assumptions (Coal)'!$V$5*Model!$AD$18*AVERAGE('Assumptions (Coal)'!$W$2:$AB$2)/10^9),0)</f>
        <v>-0.1522120499</v>
      </c>
      <c r="AI164" s="160">
        <f>IF($AD$18&gt;0,IPMT('Assumptions (Coal)'!$V$7,Model!AB1,'Assumptions (Coal)'!$V$10,'Assumptions (Coal)'!$V$5*Model!$AD$18*AVERAGE('Assumptions (Coal)'!$W$2:$AB$2)/10^9),0)</f>
        <v>-0.1413572953</v>
      </c>
      <c r="AJ164" s="160">
        <f>IF($AD$18&gt;0,IPMT('Assumptions (Coal)'!$V$7,Model!AC1,'Assumptions (Coal)'!$V$10,'Assumptions (Coal)'!$V$5*Model!$AD$18*AVERAGE('Assumptions (Coal)'!$W$2:$AB$2)/10^9),0)</f>
        <v>-0.1299869398</v>
      </c>
      <c r="AK164" s="160">
        <f>IF($AD$18&gt;0,IPMT('Assumptions (Coal)'!$V$7,Model!AD1,'Assumptions (Coal)'!$V$10,'Assumptions (Coal)'!$V$5*Model!$AD$18*AVERAGE('Assumptions (Coal)'!$W$2:$AB$2)/10^9),0)</f>
        <v>-0.1180764925</v>
      </c>
      <c r="AL164" s="160">
        <f>IF($AD$18&gt;0,IPMT('Assumptions (Coal)'!$V$7,Model!AE1,'Assumptions (Coal)'!$V$10,'Assumptions (Coal)'!$V$5*Model!$AD$18*AVERAGE('Assumptions (Coal)'!$W$2:$AB$2)/10^9),0)</f>
        <v>-0.1056002989</v>
      </c>
      <c r="AM164" s="160">
        <f>IF($AD$18&gt;0,IPMT('Assumptions (Coal)'!$V$7,Model!AF1,'Assumptions (Coal)'!$V$10,'Assumptions (Coal)'!$V$5*Model!$AD$18*AVERAGE('Assumptions (Coal)'!$W$2:$AB$2)/10^9),0)</f>
        <v>-0.09253148607</v>
      </c>
      <c r="AN164" s="160">
        <f>IF($AD$18&gt;0,IPMT('Assumptions (Coal)'!$V$7,Model!AG1,'Assumptions (Coal)'!$V$10,'Assumptions (Coal)'!$V$5*Model!$AD$18*AVERAGE('Assumptions (Coal)'!$W$2:$AB$2)/10^9),0)</f>
        <v>-0.07884190467</v>
      </c>
      <c r="AO164" s="160">
        <f>IF($AD$18&gt;0,IPMT('Assumptions (Coal)'!$V$7,Model!AH1,'Assumptions (Coal)'!$V$10,'Assumptions (Coal)'!$V$5*Model!$AD$18*AVERAGE('Assumptions (Coal)'!$W$2:$AB$2)/10^9),0)</f>
        <v>-0.06450206814</v>
      </c>
      <c r="AP164" s="160">
        <f>IF($AD$18&gt;0,IPMT('Assumptions (Coal)'!$V$7,Model!AI1,'Assumptions (Coal)'!$V$10,'Assumptions (Coal)'!$V$5*Model!$AD$18*AVERAGE('Assumptions (Coal)'!$W$2:$AB$2)/10^9),0)</f>
        <v>-0.04948108938</v>
      </c>
      <c r="AQ164" s="160">
        <f>IF($AD$18&gt;0,IPMT('Assumptions (Coal)'!$V$7,Model!AJ1,'Assumptions (Coal)'!$V$10,'Assumptions (Coal)'!$V$5*Model!$AD$18*AVERAGE('Assumptions (Coal)'!$W$2:$AB$2)/10^9),0)</f>
        <v>-0.03374661413</v>
      </c>
      <c r="AR164" s="160">
        <f>IF($AD$18&gt;0,IPMT('Assumptions (Coal)'!$V$7,Model!AK1,'Assumptions (Coal)'!$V$10,'Assumptions (Coal)'!$V$5*Model!$AD$18*AVERAGE('Assumptions (Coal)'!$W$2:$AB$2)/10^9),0)</f>
        <v>-0.01726475131</v>
      </c>
      <c r="AS164" s="160"/>
      <c r="AT164" s="160"/>
      <c r="AU164" s="160"/>
      <c r="AV164" s="160"/>
      <c r="AW164" s="160"/>
      <c r="AX164" s="160"/>
      <c r="AY164" s="160"/>
      <c r="AZ164" s="160"/>
      <c r="BA164" s="160"/>
      <c r="BB164" s="160"/>
    </row>
    <row r="165" ht="15.75" hidden="1" customHeight="1" outlineLevel="1">
      <c r="A165" s="158"/>
      <c r="B165" s="38"/>
      <c r="C165" s="160"/>
      <c r="D165" s="160"/>
      <c r="E165" s="160"/>
      <c r="F165" s="160"/>
      <c r="G165" s="160"/>
      <c r="H165" s="160"/>
      <c r="I165" s="160"/>
      <c r="J165" s="160"/>
      <c r="K165" s="160"/>
      <c r="L165" s="160"/>
      <c r="M165" s="160"/>
      <c r="N165" s="160"/>
      <c r="O165" s="160"/>
      <c r="P165" s="160"/>
      <c r="Q165" s="160"/>
      <c r="R165" s="160"/>
      <c r="S165" s="160"/>
      <c r="T165" s="160"/>
      <c r="U165" s="160"/>
      <c r="V165" s="174"/>
      <c r="W165" s="160"/>
      <c r="X165" s="160"/>
      <c r="Y165" s="160"/>
      <c r="Z165" s="160"/>
      <c r="AA165" s="160"/>
      <c r="AB165" s="160"/>
      <c r="AC165" s="160"/>
      <c r="AD165" s="160"/>
      <c r="AE165" s="160">
        <f>IF($AE$18&gt;0,IPMT('Assumptions (Coal)'!$V$7,Model!W1,'Assumptions (Coal)'!$V$10,'Assumptions (Coal)'!$V$5*Model!$AE$18*AVERAGE('Assumptions (Coal)'!$X$2:$AC$2)/10^9),0)</f>
        <v>-0.02018220181</v>
      </c>
      <c r="AF165" s="160">
        <f>IF($AE$18&gt;0,IPMT('Assumptions (Coal)'!$V$7,Model!X1,'Assumptions (Coal)'!$V$10,'Assumptions (Coal)'!$V$5*Model!$AE$18*AVERAGE('Assumptions (Coal)'!$X$2:$AC$2)/10^9),0)</f>
        <v>-0.01922917535</v>
      </c>
      <c r="AG165" s="160">
        <f>IF($AE$18&gt;0,IPMT('Assumptions (Coal)'!$V$7,Model!Y1,'Assumptions (Coal)'!$V$10,'Assumptions (Coal)'!$V$5*Model!$AE$18*AVERAGE('Assumptions (Coal)'!$X$2:$AC$2)/10^9),0)</f>
        <v>-0.01823088013</v>
      </c>
      <c r="AH165" s="160">
        <f>IF($AE$18&gt;0,IPMT('Assumptions (Coal)'!$V$7,Model!Z1,'Assumptions (Coal)'!$V$10,'Assumptions (Coal)'!$V$5*Model!$AE$18*AVERAGE('Assumptions (Coal)'!$X$2:$AC$2)/10^9),0)</f>
        <v>-0.01718516588</v>
      </c>
      <c r="AI165" s="160">
        <f>IF($AE$18&gt;0,IPMT('Assumptions (Coal)'!$V$7,Model!AA1,'Assumptions (Coal)'!$V$10,'Assumptions (Coal)'!$V$5*Model!$AE$18*AVERAGE('Assumptions (Coal)'!$X$2:$AC$2)/10^9),0)</f>
        <v>-0.01608978021</v>
      </c>
      <c r="AJ165" s="160">
        <f>IF($AE$18&gt;0,IPMT('Assumptions (Coal)'!$V$7,Model!AB1,'Assumptions (Coal)'!$V$10,'Assumptions (Coal)'!$V$5*Model!$AE$18*AVERAGE('Assumptions (Coal)'!$X$2:$AC$2)/10^9),0)</f>
        <v>-0.01494236372</v>
      </c>
      <c r="AK165" s="160">
        <f>IF($AE$18&gt;0,IPMT('Assumptions (Coal)'!$V$7,Model!AC1,'Assumptions (Coal)'!$V$10,'Assumptions (Coal)'!$V$5*Model!$AE$18*AVERAGE('Assumptions (Coal)'!$X$2:$AC$2)/10^9),0)</f>
        <v>-0.01374044495</v>
      </c>
      <c r="AL165" s="160">
        <f>IF($AE$18&gt;0,IPMT('Assumptions (Coal)'!$V$7,Model!AD1,'Assumptions (Coal)'!$V$10,'Assumptions (Coal)'!$V$5*Model!$AE$18*AVERAGE('Assumptions (Coal)'!$X$2:$AC$2)/10^9),0)</f>
        <v>-0.01248143503</v>
      </c>
      <c r="AM165" s="160">
        <f>IF($AE$18&gt;0,IPMT('Assumptions (Coal)'!$V$7,Model!AE1,'Assumptions (Coal)'!$V$10,'Assumptions (Coal)'!$V$5*Model!$AE$18*AVERAGE('Assumptions (Coal)'!$X$2:$AC$2)/10^9),0)</f>
        <v>-0.01116262214</v>
      </c>
      <c r="AN165" s="160">
        <f>IF($AE$18&gt;0,IPMT('Assumptions (Coal)'!$V$7,Model!AF1,'Assumptions (Coal)'!$V$10,'Assumptions (Coal)'!$V$5*Model!$AE$18*AVERAGE('Assumptions (Coal)'!$X$2:$AC$2)/10^9),0)</f>
        <v>-0.009781165645</v>
      </c>
      <c r="AO165" s="160">
        <f>IF($AE$18&gt;0,IPMT('Assumptions (Coal)'!$V$7,Model!AG1,'Assumptions (Coal)'!$V$10,'Assumptions (Coal)'!$V$5*Model!$AE$18*AVERAGE('Assumptions (Coal)'!$X$2:$AC$2)/10^9),0)</f>
        <v>-0.008334089963</v>
      </c>
      <c r="AP165" s="160">
        <f>IF($AE$18&gt;0,IPMT('Assumptions (Coal)'!$V$7,Model!AH1,'Assumptions (Coal)'!$V$10,'Assumptions (Coal)'!$V$5*Model!$AE$18*AVERAGE('Assumptions (Coal)'!$X$2:$AC$2)/10^9),0)</f>
        <v>-0.006818278185</v>
      </c>
      <c r="AQ165" s="160">
        <f>IF($AE$18&gt;0,IPMT('Assumptions (Coal)'!$V$7,Model!AI1,'Assumptions (Coal)'!$V$10,'Assumptions (Coal)'!$V$5*Model!$AE$18*AVERAGE('Assumptions (Coal)'!$X$2:$AC$2)/10^9),0)</f>
        <v>-0.005230465349</v>
      </c>
      <c r="AR165" s="160">
        <f>IF($AE$18&gt;0,IPMT('Assumptions (Coal)'!$V$7,Model!AJ1,'Assumptions (Coal)'!$V$10,'Assumptions (Coal)'!$V$5*Model!$AE$18*AVERAGE('Assumptions (Coal)'!$X$2:$AC$2)/10^9),0)</f>
        <v>-0.003567231402</v>
      </c>
      <c r="AS165" s="160">
        <f>IF($AE$18&gt;0,IPMT('Assumptions (Coal)'!$V$7,Model!AK1,'Assumptions (Coal)'!$V$10,'Assumptions (Coal)'!$V$5*Model!$AE$18*AVERAGE('Assumptions (Coal)'!$X$2:$AC$2)/10^9),0)</f>
        <v>-0.001824993843</v>
      </c>
      <c r="AT165" s="160"/>
      <c r="AU165" s="160"/>
      <c r="AV165" s="160"/>
      <c r="AW165" s="160"/>
      <c r="AX165" s="160"/>
      <c r="AY165" s="160"/>
      <c r="AZ165" s="160"/>
      <c r="BA165" s="160"/>
      <c r="BB165" s="160"/>
      <c r="BC165" s="160"/>
    </row>
    <row r="166" ht="15.75" hidden="1" customHeight="1" outlineLevel="1">
      <c r="A166" s="158"/>
      <c r="B166" s="38"/>
      <c r="C166" s="160"/>
      <c r="D166" s="160"/>
      <c r="E166" s="160"/>
      <c r="F166" s="160"/>
      <c r="G166" s="160"/>
      <c r="H166" s="160"/>
      <c r="I166" s="160"/>
      <c r="J166" s="160"/>
      <c r="K166" s="160"/>
      <c r="L166" s="160"/>
      <c r="M166" s="160"/>
      <c r="N166" s="160"/>
      <c r="O166" s="160"/>
      <c r="P166" s="160"/>
      <c r="Q166" s="160"/>
      <c r="R166" s="160"/>
      <c r="S166" s="160"/>
      <c r="T166" s="160"/>
      <c r="U166" s="160"/>
      <c r="V166" s="174"/>
      <c r="W166" s="160"/>
      <c r="X166" s="160"/>
      <c r="Y166" s="160"/>
      <c r="Z166" s="160"/>
      <c r="AA166" s="160"/>
      <c r="AB166" s="160"/>
      <c r="AC166" s="160"/>
      <c r="AD166" s="160"/>
      <c r="AE166" s="160"/>
      <c r="AF166" s="160">
        <f>IF($AF$18&gt;0,IPMT('Assumptions (Coal)'!$V$7,Model!W1,'Assumptions (Coal)'!$V$10,'Assumptions (Coal)'!$V$5*Model!$AF$18*AVERAGE('Assumptions (Coal)'!$Y$2:$AD$2)/10^9),0)</f>
        <v>-0.01046844438</v>
      </c>
      <c r="AG166" s="160">
        <f>IF($AF$18&gt;0,IPMT('Assumptions (Coal)'!$V$7,Model!X1,'Assumptions (Coal)'!$V$10,'Assumptions (Coal)'!$V$5*Model!$AF$18*AVERAGE('Assumptions (Coal)'!$Y$2:$AD$2)/10^9),0)</f>
        <v>-0.009974112556</v>
      </c>
      <c r="AH166" s="160">
        <f>IF($AF$18&gt;0,IPMT('Assumptions (Coal)'!$V$7,Model!Y1,'Assumptions (Coal)'!$V$10,'Assumptions (Coal)'!$V$5*Model!$AF$18*AVERAGE('Assumptions (Coal)'!$Y$2:$AD$2)/10^9),0)</f>
        <v>-0.009456299976</v>
      </c>
      <c r="AI166" s="160">
        <f>IF($AF$18&gt;0,IPMT('Assumptions (Coal)'!$V$7,Model!Z1,'Assumptions (Coal)'!$V$10,'Assumptions (Coal)'!$V$5*Model!$AF$18*AVERAGE('Assumptions (Coal)'!$Y$2:$AD$2)/10^9),0)</f>
        <v>-0.008913891298</v>
      </c>
      <c r="AJ166" s="160">
        <f>IF($AF$18&gt;0,IPMT('Assumptions (Coal)'!$V$7,Model!AA1,'Assumptions (Coal)'!$V$10,'Assumptions (Coal)'!$V$5*Model!$AF$18*AVERAGE('Assumptions (Coal)'!$Y$2:$AD$2)/10^9),0)</f>
        <v>-0.008345718208</v>
      </c>
      <c r="AK166" s="160">
        <f>IF($AF$18&gt;0,IPMT('Assumptions (Coal)'!$V$7,Model!AB1,'Assumptions (Coal)'!$V$10,'Assumptions (Coal)'!$V$5*Model!$AF$18*AVERAGE('Assumptions (Coal)'!$Y$2:$AD$2)/10^9),0)</f>
        <v>-0.007750556896</v>
      </c>
      <c r="AL166" s="160">
        <f>IF($AF$18&gt;0,IPMT('Assumptions (Coal)'!$V$7,Model!AC1,'Assumptions (Coal)'!$V$10,'Assumptions (Coal)'!$V$5*Model!$AF$18*AVERAGE('Assumptions (Coal)'!$Y$2:$AD$2)/10^9),0)</f>
        <v>-0.007127125422</v>
      </c>
      <c r="AM166" s="160">
        <f>IF($AF$18&gt;0,IPMT('Assumptions (Coal)'!$V$7,Model!AD1,'Assumptions (Coal)'!$V$10,'Assumptions (Coal)'!$V$5*Model!$AF$18*AVERAGE('Assumptions (Coal)'!$Y$2:$AD$2)/10^9),0)</f>
        <v>-0.006474080953</v>
      </c>
      <c r="AN166" s="160">
        <f>IF($AF$18&gt;0,IPMT('Assumptions (Coal)'!$V$7,Model!AE1,'Assumptions (Coal)'!$V$10,'Assumptions (Coal)'!$V$5*Model!$AF$18*AVERAGE('Assumptions (Coal)'!$Y$2:$AD$2)/10^9),0)</f>
        <v>-0.005790016871</v>
      </c>
      <c r="AO166" s="160">
        <f>IF($AF$18&gt;0,IPMT('Assumptions (Coal)'!$V$7,Model!AF1,'Assumptions (Coal)'!$V$10,'Assumptions (Coal)'!$V$5*Model!$AF$18*AVERAGE('Assumptions (Coal)'!$Y$2:$AD$2)/10^9),0)</f>
        <v>-0.005073459746</v>
      </c>
      <c r="AP166" s="160">
        <f>IF($AF$18&gt;0,IPMT('Assumptions (Coal)'!$V$7,Model!AG1,'Assumptions (Coal)'!$V$10,'Assumptions (Coal)'!$V$5*Model!$AF$18*AVERAGE('Assumptions (Coal)'!$Y$2:$AD$2)/10^9),0)</f>
        <v>-0.004322866157</v>
      </c>
      <c r="AQ166" s="160">
        <f>IF($AF$18&gt;0,IPMT('Assumptions (Coal)'!$V$7,Model!AH1,'Assumptions (Coal)'!$V$10,'Assumptions (Coal)'!$V$5*Model!$AF$18*AVERAGE('Assumptions (Coal)'!$Y$2:$AD$2)/10^9),0)</f>
        <v>-0.003536619373</v>
      </c>
      <c r="AR166" s="160">
        <f>IF($AF$18&gt;0,IPMT('Assumptions (Coal)'!$V$7,Model!AI1,'Assumptions (Coal)'!$V$10,'Assumptions (Coal)'!$V$5*Model!$AF$18*AVERAGE('Assumptions (Coal)'!$Y$2:$AD$2)/10^9),0)</f>
        <v>-0.002713025866</v>
      </c>
      <c r="AS166" s="160">
        <f>IF($AF$18&gt;0,IPMT('Assumptions (Coal)'!$V$7,Model!AJ1,'Assumptions (Coal)'!$V$10,'Assumptions (Coal)'!$V$5*Model!$AF$18*AVERAGE('Assumptions (Coal)'!$Y$2:$AD$2)/10^9),0)</f>
        <v>-0.001850311668</v>
      </c>
      <c r="AT166" s="160">
        <f>IF($AF$18&gt;0,IPMT('Assumptions (Coal)'!$V$7,Model!AK1,'Assumptions (Coal)'!$V$10,'Assumptions (Coal)'!$V$5*Model!$AF$18*AVERAGE('Assumptions (Coal)'!$Y$2:$AD$2)/10^9),0)</f>
        <v>-0.0009466185458</v>
      </c>
      <c r="AU166" s="160"/>
      <c r="AV166" s="160"/>
      <c r="AW166" s="160"/>
      <c r="AX166" s="160"/>
      <c r="AY166" s="160"/>
      <c r="AZ166" s="160"/>
      <c r="BA166" s="160"/>
      <c r="BB166" s="160"/>
      <c r="BC166" s="160"/>
      <c r="BD166" s="160"/>
    </row>
    <row r="167" ht="15.75" hidden="1" customHeight="1" outlineLevel="1">
      <c r="A167" s="158"/>
      <c r="B167" s="38"/>
      <c r="C167" s="160"/>
      <c r="D167" s="160"/>
      <c r="E167" s="160"/>
      <c r="F167" s="160"/>
      <c r="G167" s="160"/>
      <c r="H167" s="160"/>
      <c r="I167" s="160"/>
      <c r="J167" s="160"/>
      <c r="K167" s="160"/>
      <c r="L167" s="160"/>
      <c r="M167" s="160"/>
      <c r="N167" s="160"/>
      <c r="O167" s="160"/>
      <c r="P167" s="160"/>
      <c r="Q167" s="160"/>
      <c r="R167" s="160"/>
      <c r="S167" s="160"/>
      <c r="T167" s="160"/>
      <c r="U167" s="160"/>
      <c r="V167" s="174"/>
      <c r="W167" s="160"/>
      <c r="X167" s="160"/>
      <c r="Y167" s="160"/>
      <c r="Z167" s="160"/>
      <c r="AA167" s="160"/>
      <c r="AB167" s="160"/>
      <c r="AC167" s="160"/>
      <c r="AD167" s="160"/>
      <c r="AE167" s="160"/>
      <c r="AF167" s="160"/>
      <c r="AG167" s="160">
        <f>IF($AG$18&gt;0,IPMT('Assumptions (Coal)'!$V$7,Model!W1,'Assumptions (Coal)'!$V$10,'Assumptions (Coal)'!$V$5*Model!$AG$18*AVERAGE('Assumptions (Coal)'!$Z$2:$AE$2)/10^9),0)</f>
        <v>-0.12859621</v>
      </c>
      <c r="AH167" s="160">
        <f>IF($AG$18&gt;0,IPMT('Assumptions (Coal)'!$V$7,Model!X1,'Assumptions (Coal)'!$V$10,'Assumptions (Coal)'!$V$5*Model!$AG$18*AVERAGE('Assumptions (Coal)'!$Z$2:$AE$2)/10^9),0)</f>
        <v>-0.1225237511</v>
      </c>
      <c r="AI167" s="160">
        <f>IF($AG$18&gt;0,IPMT('Assumptions (Coal)'!$V$7,Model!Y1,'Assumptions (Coal)'!$V$10,'Assumptions (Coal)'!$V$5*Model!$AG$18*AVERAGE('Assumptions (Coal)'!$Z$2:$AE$2)/10^9),0)</f>
        <v>-0.1161628504</v>
      </c>
      <c r="AJ167" s="160">
        <f>IF($AG$18&gt;0,IPMT('Assumptions (Coal)'!$V$7,Model!Z1,'Assumptions (Coal)'!$V$10,'Assumptions (Coal)'!$V$5*Model!$AG$18*AVERAGE('Assumptions (Coal)'!$Z$2:$AE$2)/10^9),0)</f>
        <v>-0.1094998069</v>
      </c>
      <c r="AK167" s="160">
        <f>IF($AG$18&gt;0,IPMT('Assumptions (Coal)'!$V$7,Model!AA1,'Assumptions (Coal)'!$V$10,'Assumptions (Coal)'!$V$5*Model!$AG$18*AVERAGE('Assumptions (Coal)'!$Z$2:$AE$2)/10^9),0)</f>
        <v>-0.1025202688</v>
      </c>
      <c r="AL167" s="160">
        <f>IF($AG$18&gt;0,IPMT('Assumptions (Coal)'!$V$7,Model!AB1,'Assumptions (Coal)'!$V$10,'Assumptions (Coal)'!$V$5*Model!$AG$18*AVERAGE('Assumptions (Coal)'!$Z$2:$AE$2)/10^9),0)</f>
        <v>-0.09520920267</v>
      </c>
      <c r="AM167" s="160">
        <f>IF($AG$18&gt;0,IPMT('Assumptions (Coal)'!$V$7,Model!AC1,'Assumptions (Coal)'!$V$10,'Assumptions (Coal)'!$V$5*Model!$AG$18*AVERAGE('Assumptions (Coal)'!$Z$2:$AE$2)/10^9),0)</f>
        <v>-0.08755086091</v>
      </c>
      <c r="AN167" s="160">
        <f>IF($AG$18&gt;0,IPMT('Assumptions (Coal)'!$V$7,Model!AD1,'Assumptions (Coal)'!$V$10,'Assumptions (Coal)'!$V$5*Model!$AG$18*AVERAGE('Assumptions (Coal)'!$Z$2:$AE$2)/10^9),0)</f>
        <v>-0.07952874791</v>
      </c>
      <c r="AO167" s="160">
        <f>IF($AG$18&gt;0,IPMT('Assumptions (Coal)'!$V$7,Model!AE1,'Assumptions (Coal)'!$V$10,'Assumptions (Coal)'!$V$5*Model!$AG$18*AVERAGE('Assumptions (Coal)'!$Z$2:$AE$2)/10^9),0)</f>
        <v>-0.07112558454</v>
      </c>
      <c r="AP167" s="160">
        <f>IF($AG$18&gt;0,IPMT('Assumptions (Coal)'!$V$7,Model!AF1,'Assumptions (Coal)'!$V$10,'Assumptions (Coal)'!$V$5*Model!$AG$18*AVERAGE('Assumptions (Coal)'!$Z$2:$AE$2)/10^9),0)</f>
        <v>-0.06232327092</v>
      </c>
      <c r="AQ167" s="160">
        <f>IF($AG$18&gt;0,IPMT('Assumptions (Coal)'!$V$7,Model!AG1,'Assumptions (Coal)'!$V$10,'Assumptions (Coal)'!$V$5*Model!$AG$18*AVERAGE('Assumptions (Coal)'!$Z$2:$AE$2)/10^9),0)</f>
        <v>-0.05310284739</v>
      </c>
      <c r="AR167" s="160">
        <f>IF($AG$18&gt;0,IPMT('Assumptions (Coal)'!$V$7,Model!AH1,'Assumptions (Coal)'!$V$10,'Assumptions (Coal)'!$V$5*Model!$AG$18*AVERAGE('Assumptions (Coal)'!$Z$2:$AE$2)/10^9),0)</f>
        <v>-0.04344445375</v>
      </c>
      <c r="AS167" s="160">
        <f>IF($AG$18&gt;0,IPMT('Assumptions (Coal)'!$V$7,Model!AI1,'Assumptions (Coal)'!$V$10,'Assumptions (Coal)'!$V$5*Model!$AG$18*AVERAGE('Assumptions (Coal)'!$Z$2:$AE$2)/10^9),0)</f>
        <v>-0.03332728642</v>
      </c>
      <c r="AT167" s="160">
        <f>IF($AG$18&gt;0,IPMT('Assumptions (Coal)'!$V$7,Model!AJ1,'Assumptions (Coal)'!$V$10,'Assumptions (Coal)'!$V$5*Model!$AG$18*AVERAGE('Assumptions (Coal)'!$Z$2:$AE$2)/10^9),0)</f>
        <v>-0.02272955363</v>
      </c>
      <c r="AU167" s="160">
        <f>IF($AG$18&gt;0,IPMT('Assumptions (Coal)'!$V$7,Model!AK1,'Assumptions (Coal)'!$V$10,'Assumptions (Coal)'!$V$5*Model!$AG$18*AVERAGE('Assumptions (Coal)'!$Z$2:$AE$2)/10^9),0)</f>
        <v>-0.01162842854</v>
      </c>
      <c r="AV167" s="160"/>
      <c r="AW167" s="160"/>
      <c r="AX167" s="160"/>
      <c r="AY167" s="160"/>
      <c r="AZ167" s="160"/>
      <c r="BA167" s="160"/>
      <c r="BB167" s="160"/>
      <c r="BC167" s="160"/>
      <c r="BD167" s="160"/>
      <c r="BE167" s="160"/>
    </row>
    <row r="168" ht="15.75" hidden="1" customHeight="1" outlineLevel="1">
      <c r="A168" s="158"/>
      <c r="B168" s="38"/>
      <c r="C168" s="160"/>
      <c r="D168" s="160"/>
      <c r="E168" s="160"/>
      <c r="F168" s="160"/>
      <c r="G168" s="160"/>
      <c r="H168" s="160"/>
      <c r="I168" s="160"/>
      <c r="J168" s="160"/>
      <c r="K168" s="160"/>
      <c r="L168" s="160"/>
      <c r="M168" s="160"/>
      <c r="N168" s="160"/>
      <c r="O168" s="160"/>
      <c r="P168" s="160"/>
      <c r="Q168" s="160"/>
      <c r="R168" s="160"/>
      <c r="S168" s="160"/>
      <c r="T168" s="160"/>
      <c r="U168" s="160"/>
      <c r="V168" s="174"/>
      <c r="W168" s="160"/>
      <c r="X168" s="160"/>
      <c r="Y168" s="160"/>
      <c r="Z168" s="160"/>
      <c r="AA168" s="160"/>
      <c r="AB168" s="160"/>
      <c r="AC168" s="160"/>
      <c r="AD168" s="160"/>
      <c r="AE168" s="160"/>
      <c r="AF168" s="160"/>
      <c r="AG168" s="160"/>
      <c r="AH168" s="160">
        <f>IF($AH$18&gt;0,IPMT('Assumptions (Coal)'!$V$7,Model!W1,'Assumptions (Coal)'!$V$10,'Assumptions (Coal)'!$V$5*Model!$AH$18*AVERAGE('Assumptions (Coal)'!$AA$2:$AF$2)/10^9),0)</f>
        <v>0</v>
      </c>
      <c r="AI168" s="160">
        <f>IF($AH$18&gt;0,IPMT('Assumptions (Coal)'!$V$7,Model!X1,'Assumptions (Coal)'!$V$10,'Assumptions (Coal)'!$V$5*Model!$AH$18*AVERAGE('Assumptions (Coal)'!$AA$2:$AF$2)/10^9),0)</f>
        <v>0</v>
      </c>
      <c r="AJ168" s="160">
        <f>IF($AH$18&gt;0,IPMT('Assumptions (Coal)'!$V$7,Model!Y1,'Assumptions (Coal)'!$V$10,'Assumptions (Coal)'!$V$5*Model!$AH$18*AVERAGE('Assumptions (Coal)'!$AA$2:$AF$2)/10^9),0)</f>
        <v>0</v>
      </c>
      <c r="AK168" s="160">
        <f>IF($AH$18&gt;0,IPMT('Assumptions (Coal)'!$V$7,Model!Z1,'Assumptions (Coal)'!$V$10,'Assumptions (Coal)'!$V$5*Model!$AH$18*AVERAGE('Assumptions (Coal)'!$AA$2:$AF$2)/10^9),0)</f>
        <v>0</v>
      </c>
      <c r="AL168" s="160">
        <f>IF($AH$18&gt;0,IPMT('Assumptions (Coal)'!$V$7,Model!AA1,'Assumptions (Coal)'!$V$10,'Assumptions (Coal)'!$V$5*Model!$AH$18*AVERAGE('Assumptions (Coal)'!$AA$2:$AF$2)/10^9),0)</f>
        <v>0</v>
      </c>
      <c r="AM168" s="160">
        <f>IF($AH$18&gt;0,IPMT('Assumptions (Coal)'!$V$7,Model!AB1,'Assumptions (Coal)'!$V$10,'Assumptions (Coal)'!$V$5*Model!$AH$18*AVERAGE('Assumptions (Coal)'!$AA$2:$AF$2)/10^9),0)</f>
        <v>0</v>
      </c>
      <c r="AN168" s="160">
        <f>IF($AH$18&gt;0,IPMT('Assumptions (Coal)'!$V$7,Model!AC1,'Assumptions (Coal)'!$V$10,'Assumptions (Coal)'!$V$5*Model!$AH$18*AVERAGE('Assumptions (Coal)'!$AA$2:$AF$2)/10^9),0)</f>
        <v>0</v>
      </c>
      <c r="AO168" s="160">
        <f>IF($AH$18&gt;0,IPMT('Assumptions (Coal)'!$V$7,Model!AD1,'Assumptions (Coal)'!$V$10,'Assumptions (Coal)'!$V$5*Model!$AH$18*AVERAGE('Assumptions (Coal)'!$AA$2:$AF$2)/10^9),0)</f>
        <v>0</v>
      </c>
      <c r="AP168" s="160">
        <f>IF($AH$18&gt;0,IPMT('Assumptions (Coal)'!$V$7,Model!AE1,'Assumptions (Coal)'!$V$10,'Assumptions (Coal)'!$V$5*Model!$AH$18*AVERAGE('Assumptions (Coal)'!$AA$2:$AF$2)/10^9),0)</f>
        <v>0</v>
      </c>
      <c r="AQ168" s="160">
        <f>IF($AH$18&gt;0,IPMT('Assumptions (Coal)'!$V$7,Model!AF1,'Assumptions (Coal)'!$V$10,'Assumptions (Coal)'!$V$5*Model!$AH$18*AVERAGE('Assumptions (Coal)'!$AA$2:$AF$2)/10^9),0)</f>
        <v>0</v>
      </c>
      <c r="AR168" s="160">
        <f>IF($AH$18&gt;0,IPMT('Assumptions (Coal)'!$V$7,Model!AG1,'Assumptions (Coal)'!$V$10,'Assumptions (Coal)'!$V$5*Model!$AH$18*AVERAGE('Assumptions (Coal)'!$AA$2:$AF$2)/10^9),0)</f>
        <v>0</v>
      </c>
      <c r="AS168" s="160">
        <f>IF($AH$18&gt;0,IPMT('Assumptions (Coal)'!$V$7,Model!AH1,'Assumptions (Coal)'!$V$10,'Assumptions (Coal)'!$V$5*Model!$AH$18*AVERAGE('Assumptions (Coal)'!$AA$2:$AF$2)/10^9),0)</f>
        <v>0</v>
      </c>
      <c r="AT168" s="160">
        <f>IF($AH$18&gt;0,IPMT('Assumptions (Coal)'!$V$7,Model!AI1,'Assumptions (Coal)'!$V$10,'Assumptions (Coal)'!$V$5*Model!$AH$18*AVERAGE('Assumptions (Coal)'!$AA$2:$AF$2)/10^9),0)</f>
        <v>0</v>
      </c>
      <c r="AU168" s="160">
        <f>IF($AH$18&gt;0,IPMT('Assumptions (Coal)'!$V$7,Model!AJ1,'Assumptions (Coal)'!$V$10,'Assumptions (Coal)'!$V$5*Model!$AH$18*AVERAGE('Assumptions (Coal)'!$AA$2:$AF$2)/10^9),0)</f>
        <v>0</v>
      </c>
      <c r="AV168" s="160">
        <f>IF($AH$18&gt;0,IPMT('Assumptions (Coal)'!$V$7,Model!AK1,'Assumptions (Coal)'!$V$10,'Assumptions (Coal)'!$V$5*Model!$AH$18*AVERAGE('Assumptions (Coal)'!$AA$2:$AF$2)/10^9),0)</f>
        <v>0</v>
      </c>
      <c r="AW168" s="160"/>
      <c r="AX168" s="160"/>
      <c r="AY168" s="160"/>
      <c r="AZ168" s="160"/>
      <c r="BA168" s="160"/>
      <c r="BB168" s="160"/>
      <c r="BC168" s="160"/>
      <c r="BD168" s="160"/>
      <c r="BE168" s="160"/>
      <c r="BF168" s="160"/>
    </row>
    <row r="169" ht="15.75" hidden="1" customHeight="1" outlineLevel="1">
      <c r="A169" s="158"/>
      <c r="B169" s="38"/>
      <c r="C169" s="160"/>
      <c r="D169" s="160"/>
      <c r="E169" s="160"/>
      <c r="F169" s="160"/>
      <c r="G169" s="160"/>
      <c r="H169" s="160"/>
      <c r="I169" s="160"/>
      <c r="J169" s="160"/>
      <c r="K169" s="160"/>
      <c r="L169" s="160"/>
      <c r="M169" s="160"/>
      <c r="N169" s="160"/>
      <c r="O169" s="160"/>
      <c r="P169" s="160"/>
      <c r="Q169" s="160"/>
      <c r="R169" s="160"/>
      <c r="S169" s="160"/>
      <c r="T169" s="160"/>
      <c r="U169" s="160"/>
      <c r="V169" s="174"/>
      <c r="W169" s="160"/>
      <c r="X169" s="160"/>
      <c r="Y169" s="160"/>
      <c r="Z169" s="160"/>
      <c r="AA169" s="160"/>
      <c r="AB169" s="160"/>
      <c r="AC169" s="160"/>
      <c r="AD169" s="160"/>
      <c r="AE169" s="160"/>
      <c r="AF169" s="160"/>
      <c r="AG169" s="160"/>
      <c r="AH169" s="160"/>
      <c r="AI169" s="160">
        <f>IF($AI$18&gt;0,IPMT('Assumptions (Coal)'!$V$7,Model!W1,'Assumptions (Coal)'!$V$10,'Assumptions (Coal)'!$V$5*Model!$AI$18*AVERAGE('Assumptions (Coal)'!$AB$2:$AG$2)/10^9),0)</f>
        <v>0</v>
      </c>
      <c r="AJ169" s="160">
        <f>IF($AI$18&gt;0,IPMT('Assumptions (Coal)'!$V$7,Model!X1,'Assumptions (Coal)'!$V$10,'Assumptions (Coal)'!$V$5*Model!$AI$18*AVERAGE('Assumptions (Coal)'!$AB$2:$AG$2)/10^9),0)</f>
        <v>0</v>
      </c>
      <c r="AK169" s="160">
        <f>IF($AI$18&gt;0,IPMT('Assumptions (Coal)'!$V$7,Model!Y1,'Assumptions (Coal)'!$V$10,'Assumptions (Coal)'!$V$5*Model!$AI$18*AVERAGE('Assumptions (Coal)'!$AB$2:$AG$2)/10^9),0)</f>
        <v>0</v>
      </c>
      <c r="AL169" s="160">
        <f>IF($AI$18&gt;0,IPMT('Assumptions (Coal)'!$V$7,Model!Z1,'Assumptions (Coal)'!$V$10,'Assumptions (Coal)'!$V$5*Model!$AI$18*AVERAGE('Assumptions (Coal)'!$AB$2:$AG$2)/10^9),0)</f>
        <v>0</v>
      </c>
      <c r="AM169" s="160">
        <f>IF($AI$18&gt;0,IPMT('Assumptions (Coal)'!$V$7,Model!AA1,'Assumptions (Coal)'!$V$10,'Assumptions (Coal)'!$V$5*Model!$AI$18*AVERAGE('Assumptions (Coal)'!$AB$2:$AG$2)/10^9),0)</f>
        <v>0</v>
      </c>
      <c r="AN169" s="160">
        <f>IF($AI$18&gt;0,IPMT('Assumptions (Coal)'!$V$7,Model!AB1,'Assumptions (Coal)'!$V$10,'Assumptions (Coal)'!$V$5*Model!$AI$18*AVERAGE('Assumptions (Coal)'!$AB$2:$AG$2)/10^9),0)</f>
        <v>0</v>
      </c>
      <c r="AO169" s="160">
        <f>IF($AI$18&gt;0,IPMT('Assumptions (Coal)'!$V$7,Model!AC1,'Assumptions (Coal)'!$V$10,'Assumptions (Coal)'!$V$5*Model!$AI$18*AVERAGE('Assumptions (Coal)'!$AB$2:$AG$2)/10^9),0)</f>
        <v>0</v>
      </c>
      <c r="AP169" s="160">
        <f>IF($AI$18&gt;0,IPMT('Assumptions (Coal)'!$V$7,Model!AD1,'Assumptions (Coal)'!$V$10,'Assumptions (Coal)'!$V$5*Model!$AI$18*AVERAGE('Assumptions (Coal)'!$AB$2:$AG$2)/10^9),0)</f>
        <v>0</v>
      </c>
      <c r="AQ169" s="160">
        <f>IF($AI$18&gt;0,IPMT('Assumptions (Coal)'!$V$7,Model!AE1,'Assumptions (Coal)'!$V$10,'Assumptions (Coal)'!$V$5*Model!$AI$18*AVERAGE('Assumptions (Coal)'!$AB$2:$AG$2)/10^9),0)</f>
        <v>0</v>
      </c>
      <c r="AR169" s="160">
        <f>IF($AI$18&gt;0,IPMT('Assumptions (Coal)'!$V$7,Model!AF1,'Assumptions (Coal)'!$V$10,'Assumptions (Coal)'!$V$5*Model!$AI$18*AVERAGE('Assumptions (Coal)'!$AB$2:$AG$2)/10^9),0)</f>
        <v>0</v>
      </c>
      <c r="AS169" s="160">
        <f>IF($AI$18&gt;0,IPMT('Assumptions (Coal)'!$V$7,Model!AG1,'Assumptions (Coal)'!$V$10,'Assumptions (Coal)'!$V$5*Model!$AI$18*AVERAGE('Assumptions (Coal)'!$AB$2:$AG$2)/10^9),0)</f>
        <v>0</v>
      </c>
      <c r="AT169" s="160">
        <f>IF($AI$18&gt;0,IPMT('Assumptions (Coal)'!$V$7,Model!AH1,'Assumptions (Coal)'!$V$10,'Assumptions (Coal)'!$V$5*Model!$AI$18*AVERAGE('Assumptions (Coal)'!$AB$2:$AG$2)/10^9),0)</f>
        <v>0</v>
      </c>
      <c r="AU169" s="160">
        <f>IF($AI$18&gt;0,IPMT('Assumptions (Coal)'!$V$7,Model!AI1,'Assumptions (Coal)'!$V$10,'Assumptions (Coal)'!$V$5*Model!$AI$18*AVERAGE('Assumptions (Coal)'!$AB$2:$AG$2)/10^9),0)</f>
        <v>0</v>
      </c>
      <c r="AV169" s="160">
        <f>IF($AI$18&gt;0,IPMT('Assumptions (Coal)'!$V$7,Model!AJ1,'Assumptions (Coal)'!$V$10,'Assumptions (Coal)'!$V$5*Model!$AI$18*AVERAGE('Assumptions (Coal)'!$AB$2:$AG$2)/10^9),0)</f>
        <v>0</v>
      </c>
      <c r="AW169" s="160">
        <f>IF($AI$18&gt;0,IPMT('Assumptions (Coal)'!$V$7,Model!AK1,'Assumptions (Coal)'!$V$10,'Assumptions (Coal)'!$V$5*Model!$AI$18*AVERAGE('Assumptions (Coal)'!$AB$2:$AG$2)/10^9),0)</f>
        <v>0</v>
      </c>
      <c r="AX169" s="160"/>
      <c r="AY169" s="160"/>
      <c r="AZ169" s="160"/>
      <c r="BA169" s="160"/>
      <c r="BB169" s="160"/>
      <c r="BC169" s="160"/>
      <c r="BD169" s="160"/>
      <c r="BE169" s="160"/>
      <c r="BF169" s="160"/>
      <c r="BG169" s="160"/>
    </row>
    <row r="170" ht="15.75" hidden="1" customHeight="1" outlineLevel="1">
      <c r="A170" s="158"/>
      <c r="B170" s="38"/>
      <c r="C170" s="160"/>
      <c r="D170" s="160"/>
      <c r="E170" s="160"/>
      <c r="F170" s="160"/>
      <c r="G170" s="160"/>
      <c r="H170" s="160"/>
      <c r="I170" s="160"/>
      <c r="J170" s="160"/>
      <c r="K170" s="160"/>
      <c r="L170" s="160"/>
      <c r="M170" s="160"/>
      <c r="N170" s="160"/>
      <c r="O170" s="160"/>
      <c r="P170" s="160"/>
      <c r="Q170" s="160"/>
      <c r="R170" s="160"/>
      <c r="S170" s="160"/>
      <c r="T170" s="160"/>
      <c r="U170" s="160"/>
      <c r="V170" s="174"/>
      <c r="W170" s="160"/>
      <c r="X170" s="160"/>
      <c r="Y170" s="160"/>
      <c r="Z170" s="160"/>
      <c r="AA170" s="160"/>
      <c r="AB170" s="160"/>
      <c r="AC170" s="160"/>
      <c r="AD170" s="160"/>
      <c r="AE170" s="160"/>
      <c r="AF170" s="160"/>
      <c r="AG170" s="160"/>
      <c r="AH170" s="160"/>
      <c r="AI170" s="160"/>
      <c r="AJ170" s="177">
        <f>IF($AJ$18&gt;0,IPMT('Assumptions (Coal)'!$V$7,Model!W1,'Assumptions (Coal)'!$V$10,'Assumptions (Coal)'!$V$5*Model!$AJ$18*AVERAGE('Assumptions (Coal)'!$AC$2:$AH$2)/10^9),0)</f>
        <v>-0.004532571912</v>
      </c>
      <c r="AK170" s="177">
        <f>IF($AJ$18&gt;0,IPMT('Assumptions (Coal)'!$V$7,Model!X1,'Assumptions (Coal)'!$V$10,'Assumptions (Coal)'!$V$5*Model!$AJ$18*AVERAGE('Assumptions (Coal)'!$AC$2:$AH$2)/10^9),0)</f>
        <v>-0.004318538725</v>
      </c>
      <c r="AL170" s="177">
        <f>IF($AJ$18&gt;0,IPMT('Assumptions (Coal)'!$V$7,Model!Y1,'Assumptions (Coal)'!$V$10,'Assumptions (Coal)'!$V$5*Model!$AJ$18*AVERAGE('Assumptions (Coal)'!$AC$2:$AH$2)/10^9),0)</f>
        <v>-0.004094338961</v>
      </c>
      <c r="AM170" s="177">
        <f>IF($AJ$18&gt;0,IPMT('Assumptions (Coal)'!$V$7,Model!Z1,'Assumptions (Coal)'!$V$10,'Assumptions (Coal)'!$V$5*Model!$AJ$18*AVERAGE('Assumptions (Coal)'!$AC$2:$AH$2)/10^9),0)</f>
        <v>-0.003859489708</v>
      </c>
      <c r="AN170" s="177">
        <f>IF($AJ$18&gt;0,IPMT('Assumptions (Coal)'!$V$7,Model!AA1,'Assumptions (Coal)'!$V$10,'Assumptions (Coal)'!$V$5*Model!$AJ$18*AVERAGE('Assumptions (Coal)'!$AC$2:$AH$2)/10^9),0)</f>
        <v>-0.003613485116</v>
      </c>
      <c r="AO170" s="177">
        <f>IF($AJ$18&gt;0,IPMT('Assumptions (Coal)'!$V$7,Model!AB1,'Assumptions (Coal)'!$V$10,'Assumptions (Coal)'!$V$5*Model!$AJ$18*AVERAGE('Assumptions (Coal)'!$AC$2:$AH$2)/10^9),0)</f>
        <v>-0.003355795306</v>
      </c>
      <c r="AP170" s="177">
        <f>IF($AJ$18&gt;0,IPMT('Assumptions (Coal)'!$V$7,Model!AC1,'Assumptions (Coal)'!$V$10,'Assumptions (Coal)'!$V$5*Model!$AJ$18*AVERAGE('Assumptions (Coal)'!$AC$2:$AH$2)/10^9),0)</f>
        <v>-0.003085865229</v>
      </c>
      <c r="AQ170" s="177">
        <f>IF($AJ$18&gt;0,IPMT('Assumptions (Coal)'!$V$7,Model!AD1,'Assumptions (Coal)'!$V$10,'Assumptions (Coal)'!$V$5*Model!$AJ$18*AVERAGE('Assumptions (Coal)'!$AC$2:$AH$2)/10^9),0)</f>
        <v>-0.002803113474</v>
      </c>
      <c r="AR170" s="177">
        <f>IF($AJ$18&gt;0,IPMT('Assumptions (Coal)'!$V$7,Model!AE1,'Assumptions (Coal)'!$V$10,'Assumptions (Coal)'!$V$5*Model!$AJ$18*AVERAGE('Assumptions (Coal)'!$AC$2:$AH$2)/10^9),0)</f>
        <v>-0.002506931011</v>
      </c>
      <c r="AS170" s="177">
        <f>IF($AJ$18&gt;0,IPMT('Assumptions (Coal)'!$V$7,Model!AF1,'Assumptions (Coal)'!$V$10,'Assumptions (Coal)'!$V$5*Model!$AJ$18*AVERAGE('Assumptions (Coal)'!$AC$2:$AH$2)/10^9),0)</f>
        <v>-0.002196679881</v>
      </c>
      <c r="AT170" s="177">
        <f>IF($AJ$18&gt;0,IPMT('Assumptions (Coal)'!$V$7,Model!AG1,'Assumptions (Coal)'!$V$10,'Assumptions (Coal)'!$V$5*Model!$AJ$18*AVERAGE('Assumptions (Coal)'!$AC$2:$AH$2)/10^9),0)</f>
        <v>-0.001871691822</v>
      </c>
      <c r="AU170" s="177">
        <f>IF($AJ$18&gt;0,IPMT('Assumptions (Coal)'!$V$7,Model!AH1,'Assumptions (Coal)'!$V$10,'Assumptions (Coal)'!$V$5*Model!$AJ$18*AVERAGE('Assumptions (Coal)'!$AC$2:$AH$2)/10^9),0)</f>
        <v>-0.00153126683</v>
      </c>
      <c r="AV170" s="177">
        <f>IF($AJ$18&gt;0,IPMT('Assumptions (Coal)'!$V$7,Model!AI1,'Assumptions (Coal)'!$V$10,'Assumptions (Coal)'!$V$5*Model!$AJ$18*AVERAGE('Assumptions (Coal)'!$AC$2:$AH$2)/10^9),0)</f>
        <v>-0.001174671651</v>
      </c>
      <c r="AW170" s="177">
        <f>IF($AJ$18&gt;0,IPMT('Assumptions (Coal)'!$V$7,Model!AJ1,'Assumptions (Coal)'!$V$10,'Assumptions (Coal)'!$V$5*Model!$AJ$18*AVERAGE('Assumptions (Coal)'!$AC$2:$AH$2)/10^9),0)</f>
        <v>-0.0008011382013</v>
      </c>
      <c r="AX170" s="177">
        <f>IF($AJ$18&gt;0,IPMT('Assumptions (Coal)'!$V$7,Model!AK1,'Assumptions (Coal)'!$V$10,'Assumptions (Coal)'!$V$5*Model!$AJ$18*AVERAGE('Assumptions (Coal)'!$AC$2:$AH$2)/10^9),0)</f>
        <v>-0.0004098619125</v>
      </c>
      <c r="AY170" s="177"/>
      <c r="AZ170" s="177"/>
      <c r="BA170" s="177"/>
      <c r="BB170" s="177"/>
      <c r="BC170" s="177"/>
      <c r="BD170" s="177"/>
      <c r="BE170" s="177"/>
      <c r="BF170" s="177"/>
      <c r="BG170" s="177"/>
      <c r="BH170" s="177"/>
    </row>
    <row r="171" ht="15.75" hidden="1" customHeight="1" outlineLevel="1">
      <c r="A171" s="158"/>
      <c r="B171" s="38"/>
      <c r="C171" s="160"/>
      <c r="D171" s="160"/>
      <c r="E171" s="160"/>
      <c r="F171" s="160"/>
      <c r="G171" s="160"/>
      <c r="H171" s="160"/>
      <c r="I171" s="160"/>
      <c r="J171" s="160"/>
      <c r="K171" s="160"/>
      <c r="L171" s="160"/>
      <c r="M171" s="160"/>
      <c r="N171" s="160"/>
      <c r="O171" s="160"/>
      <c r="P171" s="177"/>
      <c r="Q171" s="177"/>
      <c r="R171" s="177"/>
      <c r="S171" s="177"/>
      <c r="T171" s="177"/>
      <c r="U171" s="177"/>
      <c r="V171" s="174"/>
      <c r="W171" s="160"/>
      <c r="X171" s="160"/>
      <c r="Y171" s="160"/>
      <c r="Z171" s="160"/>
      <c r="AA171" s="160"/>
      <c r="AB171" s="160"/>
      <c r="AC171" s="160"/>
      <c r="AD171" s="160"/>
      <c r="AE171" s="160"/>
      <c r="AF171" s="160"/>
      <c r="AG171" s="160"/>
      <c r="AH171" s="160"/>
      <c r="AI171" s="160"/>
      <c r="AJ171" s="179"/>
      <c r="AK171" s="160">
        <f>IF($AK$18&gt;0,IPMT('Assumptions (Coal)'!$V$7,Model!W1,'Assumptions (Coal)'!$V$10,'Assumptions (Coal)'!$V$5*Model!$AK$18*AVERAGE('Assumptions (Coal)'!$AD$2:$AI$2)/10^9),0)</f>
        <v>-0.01645366421</v>
      </c>
      <c r="AL171" s="160">
        <f>IF($AK$18&gt;0,IPMT('Assumptions (Coal)'!$V$7,Model!X1,'Assumptions (Coal)'!$V$10,'Assumptions (Coal)'!$V$5*Model!$AK$18*AVERAGE('Assumptions (Coal)'!$AD$2:$AI$2)/10^9),0)</f>
        <v>-0.01567670352</v>
      </c>
      <c r="AM171" s="160">
        <f>IF($AK$18&gt;0,IPMT('Assumptions (Coal)'!$V$7,Model!Y1,'Assumptions (Coal)'!$V$10,'Assumptions (Coal)'!$V$5*Model!$AK$18*AVERAGE('Assumptions (Coal)'!$AD$2:$AI$2)/10^9),0)</f>
        <v>-0.0148628372</v>
      </c>
      <c r="AN171" s="160">
        <f>IF($AK$18&gt;0,IPMT('Assumptions (Coal)'!$V$7,Model!Z1,'Assumptions (Coal)'!$V$10,'Assumptions (Coal)'!$V$5*Model!$AK$18*AVERAGE('Assumptions (Coal)'!$AD$2:$AI$2)/10^9),0)</f>
        <v>-0.01401031222</v>
      </c>
      <c r="AO171" s="160">
        <f>IF($AK$18&gt;0,IPMT('Assumptions (Coal)'!$V$7,Model!AA1,'Assumptions (Coal)'!$V$10,'Assumptions (Coal)'!$V$5*Model!$AK$18*AVERAGE('Assumptions (Coal)'!$AD$2:$AI$2)/10^9),0)</f>
        <v>-0.01311729232</v>
      </c>
      <c r="AP171" s="160">
        <f>IF($AK$18&gt;0,IPMT('Assumptions (Coal)'!$V$7,Model!AB1,'Assumptions (Coal)'!$V$10,'Assumptions (Coal)'!$V$5*Model!$AK$18*AVERAGE('Assumptions (Coal)'!$AD$2:$AI$2)/10^9),0)</f>
        <v>-0.01218185396</v>
      </c>
      <c r="AQ171" s="160">
        <f>IF($AK$18&gt;0,IPMT('Assumptions (Coal)'!$V$7,Model!AC1,'Assumptions (Coal)'!$V$10,'Assumptions (Coal)'!$V$5*Model!$AK$18*AVERAGE('Assumptions (Coal)'!$AD$2:$AI$2)/10^9),0)</f>
        <v>-0.01120198229</v>
      </c>
      <c r="AR171" s="160">
        <f>IF($AK$18&gt;0,IPMT('Assumptions (Coal)'!$V$7,Model!AD1,'Assumptions (Coal)'!$V$10,'Assumptions (Coal)'!$V$5*Model!$AK$18*AVERAGE('Assumptions (Coal)'!$AD$2:$AI$2)/10^9),0)</f>
        <v>-0.01017556671</v>
      </c>
      <c r="AS171" s="160">
        <f>IF($AK$18&gt;0,IPMT('Assumptions (Coal)'!$V$7,Model!AE1,'Assumptions (Coal)'!$V$10,'Assumptions (Coal)'!$V$5*Model!$AK$18*AVERAGE('Assumptions (Coal)'!$AD$2:$AI$2)/10^9),0)</f>
        <v>-0.009100396385</v>
      </c>
      <c r="AT171" s="160">
        <f>IF($AK$18&gt;0,IPMT('Assumptions (Coal)'!$V$7,Model!AF1,'Assumptions (Coal)'!$V$10,'Assumptions (Coal)'!$V$5*Model!$AK$18*AVERAGE('Assumptions (Coal)'!$AD$2:$AI$2)/10^9),0)</f>
        <v>-0.007974155474</v>
      </c>
      <c r="AU171" s="160">
        <f>IF($AK$18&gt;0,IPMT('Assumptions (Coal)'!$V$7,Model!AG1,'Assumptions (Coal)'!$V$10,'Assumptions (Coal)'!$V$5*Model!$AK$18*AVERAGE('Assumptions (Coal)'!$AD$2:$AI$2)/10^9),0)</f>
        <v>-0.006794418121</v>
      </c>
      <c r="AV171" s="160">
        <f>IF($AK$18&gt;0,IPMT('Assumptions (Coal)'!$V$7,Model!AH1,'Assumptions (Coal)'!$V$10,'Assumptions (Coal)'!$V$5*Model!$AK$18*AVERAGE('Assumptions (Coal)'!$AD$2:$AI$2)/10^9),0)</f>
        <v>-0.005558643243</v>
      </c>
      <c r="AW171" s="160">
        <f>IF($AK$18&gt;0,IPMT('Assumptions (Coal)'!$V$7,Model!AI1,'Assumptions (Coal)'!$V$10,'Assumptions (Coal)'!$V$5*Model!$AK$18*AVERAGE('Assumptions (Coal)'!$AD$2:$AI$2)/10^9),0)</f>
        <v>-0.004264169058</v>
      </c>
      <c r="AX171" s="160">
        <f>IF($AK$18&gt;0,IPMT('Assumptions (Coal)'!$V$7,Model!AJ1,'Assumptions (Coal)'!$V$10,'Assumptions (Coal)'!$V$5*Model!$AK$18*AVERAGE('Assumptions (Coal)'!$AD$2:$AI$2)/10^9),0)</f>
        <v>-0.002908207349</v>
      </c>
      <c r="AY171" s="160">
        <f>IF($AK$18&gt;0,IPMT('Assumptions (Coal)'!$V$7,Model!AK1,'Assumptions (Coal)'!$V$10,'Assumptions (Coal)'!$V$5*Model!$AK$18*AVERAGE('Assumptions (Coal)'!$AD$2:$AI$2)/10^9),0)</f>
        <v>-0.001487837459</v>
      </c>
      <c r="AZ171" s="160"/>
      <c r="BA171" s="160"/>
      <c r="BB171" s="160"/>
      <c r="BC171" s="160"/>
      <c r="BD171" s="160"/>
      <c r="BE171" s="160"/>
      <c r="BF171" s="160"/>
      <c r="BG171" s="160"/>
      <c r="BH171" s="160"/>
      <c r="BI171" s="160"/>
    </row>
    <row r="172" ht="15.75" hidden="1" customHeight="1" outlineLevel="1">
      <c r="A172" s="158"/>
      <c r="B172" s="38"/>
      <c r="C172" s="160"/>
      <c r="D172" s="160"/>
      <c r="E172" s="160"/>
      <c r="F172" s="160"/>
      <c r="G172" s="160"/>
      <c r="H172" s="160"/>
      <c r="I172" s="160"/>
      <c r="J172" s="160"/>
      <c r="K172" s="160"/>
      <c r="L172" s="160"/>
      <c r="M172" s="160"/>
      <c r="N172" s="160"/>
      <c r="O172" s="160"/>
      <c r="P172" s="179"/>
      <c r="Q172" s="160"/>
      <c r="R172" s="160"/>
      <c r="S172" s="160"/>
      <c r="T172" s="160"/>
      <c r="U172" s="160"/>
      <c r="V172" s="174"/>
      <c r="W172" s="160"/>
      <c r="X172" s="160"/>
      <c r="Y172" s="160"/>
      <c r="Z172" s="160"/>
      <c r="AA172" s="160"/>
      <c r="AB172" s="160"/>
      <c r="AC172" s="160"/>
      <c r="AD172" s="160"/>
      <c r="AE172" s="160"/>
      <c r="AF172" s="160"/>
      <c r="AG172" s="160"/>
      <c r="AH172" s="160"/>
      <c r="AI172" s="160"/>
      <c r="AJ172" s="179"/>
      <c r="AK172" s="160"/>
      <c r="AL172" s="177">
        <f>IF($AL$18&gt;0,IPMT('Assumptions (Coal)'!$V$7,Model!W1,'Assumptions (Coal)'!$V$10,'Assumptions (Coal)'!$V$5*Model!$AL$18*AVERAGE('Assumptions (Coal)'!$AE$2:$AJ$2)/10^9),0)</f>
        <v>0</v>
      </c>
      <c r="AM172" s="177">
        <f>IF($AL$18&gt;0,IPMT('Assumptions (Coal)'!$V$7,Model!X1,'Assumptions (Coal)'!$V$10,'Assumptions (Coal)'!$V$5*Model!$AL$18*AVERAGE('Assumptions (Coal)'!$AE$2:$AJ$2)/10^9),0)</f>
        <v>0</v>
      </c>
      <c r="AN172" s="177">
        <f>IF($AL$18&gt;0,IPMT('Assumptions (Coal)'!$V$7,Model!Y1,'Assumptions (Coal)'!$V$10,'Assumptions (Coal)'!$V$5*Model!$AL$18*AVERAGE('Assumptions (Coal)'!$AE$2:$AJ$2)/10^9),0)</f>
        <v>0</v>
      </c>
      <c r="AO172" s="177">
        <f>IF($AL$18&gt;0,IPMT('Assumptions (Coal)'!$V$7,Model!Z1,'Assumptions (Coal)'!$V$10,'Assumptions (Coal)'!$V$5*Model!$AL$18*AVERAGE('Assumptions (Coal)'!$AE$2:$AJ$2)/10^9),0)</f>
        <v>0</v>
      </c>
      <c r="AP172" s="177">
        <f>IF($AL$18&gt;0,IPMT('Assumptions (Coal)'!$V$7,Model!AA1,'Assumptions (Coal)'!$V$10,'Assumptions (Coal)'!$V$5*Model!$AL$18*AVERAGE('Assumptions (Coal)'!$AE$2:$AJ$2)/10^9),0)</f>
        <v>0</v>
      </c>
      <c r="AQ172" s="177">
        <f>IF($AL$18&gt;0,IPMT('Assumptions (Coal)'!$V$7,Model!AB1,'Assumptions (Coal)'!$V$10,'Assumptions (Coal)'!$V$5*Model!$AL$18*AVERAGE('Assumptions (Coal)'!$AE$2:$AJ$2)/10^9),0)</f>
        <v>0</v>
      </c>
      <c r="AR172" s="177">
        <f>IF($AL$18&gt;0,IPMT('Assumptions (Coal)'!$V$7,Model!AC1,'Assumptions (Coal)'!$V$10,'Assumptions (Coal)'!$V$5*Model!$AL$18*AVERAGE('Assumptions (Coal)'!$AE$2:$AJ$2)/10^9),0)</f>
        <v>0</v>
      </c>
      <c r="AS172" s="177">
        <f>IF($AL$18&gt;0,IPMT('Assumptions (Coal)'!$V$7,Model!AD1,'Assumptions (Coal)'!$V$10,'Assumptions (Coal)'!$V$5*Model!$AL$18*AVERAGE('Assumptions (Coal)'!$AE$2:$AJ$2)/10^9),0)</f>
        <v>0</v>
      </c>
      <c r="AT172" s="177">
        <f>IF($AL$18&gt;0,IPMT('Assumptions (Coal)'!$V$7,Model!AE1,'Assumptions (Coal)'!$V$10,'Assumptions (Coal)'!$V$5*Model!$AL$18*AVERAGE('Assumptions (Coal)'!$AE$2:$AJ$2)/10^9),0)</f>
        <v>0</v>
      </c>
      <c r="AU172" s="177">
        <f>IF($AL$18&gt;0,IPMT('Assumptions (Coal)'!$V$7,Model!AF1,'Assumptions (Coal)'!$V$10,'Assumptions (Coal)'!$V$5*Model!$AL$18*AVERAGE('Assumptions (Coal)'!$AE$2:$AJ$2)/10^9),0)</f>
        <v>0</v>
      </c>
      <c r="AV172" s="177">
        <f>IF($AL$18&gt;0,IPMT('Assumptions (Coal)'!$V$7,Model!AG1,'Assumptions (Coal)'!$V$10,'Assumptions (Coal)'!$V$5*Model!$AL$18*AVERAGE('Assumptions (Coal)'!$AE$2:$AJ$2)/10^9),0)</f>
        <v>0</v>
      </c>
      <c r="AW172" s="177">
        <f>IF($AL$18&gt;0,IPMT('Assumptions (Coal)'!$V$7,Model!AH1,'Assumptions (Coal)'!$V$10,'Assumptions (Coal)'!$V$5*Model!$AL$18*AVERAGE('Assumptions (Coal)'!$AE$2:$AJ$2)/10^9),0)</f>
        <v>0</v>
      </c>
      <c r="AX172" s="177">
        <f>IF($AL$18&gt;0,IPMT('Assumptions (Coal)'!$V$7,Model!AI1,'Assumptions (Coal)'!$V$10,'Assumptions (Coal)'!$V$5*Model!$AL$18*AVERAGE('Assumptions (Coal)'!$AE$2:$AJ$2)/10^9),0)</f>
        <v>0</v>
      </c>
      <c r="AY172" s="177">
        <f>IF($AL$18&gt;0,IPMT('Assumptions (Coal)'!$V$7,Model!AJ1,'Assumptions (Coal)'!$V$10,'Assumptions (Coal)'!$V$5*Model!$AL$18*AVERAGE('Assumptions (Coal)'!$AE$2:$AJ$2)/10^9),0)</f>
        <v>0</v>
      </c>
      <c r="AZ172" s="177">
        <f>IF($AL$18&gt;0,IPMT('Assumptions (Coal)'!$V$7,Model!AK1,'Assumptions (Coal)'!$V$10,'Assumptions (Coal)'!$V$5*Model!$AL$18*AVERAGE('Assumptions (Coal)'!$AE$2:$AJ$2)/10^9),0)</f>
        <v>0</v>
      </c>
      <c r="BA172" s="177"/>
      <c r="BB172" s="177"/>
      <c r="BC172" s="177"/>
      <c r="BD172" s="177"/>
      <c r="BE172" s="177"/>
      <c r="BF172" s="177"/>
      <c r="BG172" s="177"/>
      <c r="BH172" s="177"/>
      <c r="BI172" s="177"/>
      <c r="BJ172" s="177"/>
    </row>
    <row r="173" ht="15.75" hidden="1" customHeight="1" outlineLevel="1">
      <c r="A173" s="158"/>
      <c r="B173" s="38"/>
      <c r="C173" s="160"/>
      <c r="D173" s="160"/>
      <c r="E173" s="160"/>
      <c r="F173" s="160"/>
      <c r="G173" s="160"/>
      <c r="H173" s="160"/>
      <c r="I173" s="160"/>
      <c r="J173" s="160"/>
      <c r="K173" s="160"/>
      <c r="L173" s="160"/>
      <c r="M173" s="160"/>
      <c r="N173" s="160"/>
      <c r="O173" s="160"/>
      <c r="P173" s="179"/>
      <c r="Q173" s="160"/>
      <c r="R173" s="177"/>
      <c r="S173" s="177"/>
      <c r="T173" s="177"/>
      <c r="U173" s="177"/>
      <c r="V173" s="174"/>
      <c r="W173" s="160"/>
      <c r="X173" s="160"/>
      <c r="Y173" s="160"/>
      <c r="Z173" s="160"/>
      <c r="AA173" s="160"/>
      <c r="AB173" s="160"/>
      <c r="AC173" s="160"/>
      <c r="AD173" s="160"/>
      <c r="AE173" s="160"/>
      <c r="AF173" s="160"/>
      <c r="AG173" s="160"/>
      <c r="AH173" s="160"/>
      <c r="AI173" s="160"/>
      <c r="AJ173" s="179"/>
      <c r="AK173" s="160"/>
      <c r="AL173" s="177"/>
      <c r="AM173" s="160">
        <f>IF($AM$18&gt;0,IPMT('Assumptions (Coal)'!$V$7,Model!W1,'Assumptions (Coal)'!$V$10,'Assumptions (Coal)'!$V$5*Model!$AM$18*AVERAGE('Assumptions (Coal)'!$AF$2:$AK$2)/10^9),0)</f>
        <v>-0.08329877058</v>
      </c>
      <c r="AN173" s="160">
        <f>IF($AM$18&gt;0,IPMT('Assumptions (Coal)'!$V$7,Model!X1,'Assumptions (Coal)'!$V$10,'Assumptions (Coal)'!$V$5*Model!$AM$18*AVERAGE('Assumptions (Coal)'!$AF$2:$AK$2)/10^9),0)</f>
        <v>-0.07936530814</v>
      </c>
      <c r="AO173" s="160">
        <f>IF($AM$18&gt;0,IPMT('Assumptions (Coal)'!$V$7,Model!Y1,'Assumptions (Coal)'!$V$10,'Assumptions (Coal)'!$V$5*Model!$AM$18*AVERAGE('Assumptions (Coal)'!$AF$2:$AK$2)/10^9),0)</f>
        <v>-0.07524500623</v>
      </c>
      <c r="AP173" s="160">
        <f>IF($AM$18&gt;0,IPMT('Assumptions (Coal)'!$V$7,Model!Z1,'Assumptions (Coal)'!$V$10,'Assumptions (Coal)'!$V$5*Model!$AM$18*AVERAGE('Assumptions (Coal)'!$AF$2:$AK$2)/10^9),0)</f>
        <v>-0.07092898998</v>
      </c>
      <c r="AQ173" s="160">
        <f>IF($AM$18&gt;0,IPMT('Assumptions (Coal)'!$V$7,Model!AA1,'Assumptions (Coal)'!$V$10,'Assumptions (Coal)'!$V$5*Model!$AM$18*AVERAGE('Assumptions (Coal)'!$AF$2:$AK$2)/10^9),0)</f>
        <v>-0.06640796296</v>
      </c>
      <c r="AR173" s="160">
        <f>IF($AM$18&gt;0,IPMT('Assumptions (Coal)'!$V$7,Model!AB1,'Assumptions (Coal)'!$V$10,'Assumptions (Coal)'!$V$5*Model!$AM$18*AVERAGE('Assumptions (Coal)'!$AF$2:$AK$2)/10^9),0)</f>
        <v>-0.06167218716</v>
      </c>
      <c r="AS173" s="160">
        <f>IF($AM$18&gt;0,IPMT('Assumptions (Coal)'!$V$7,Model!AC1,'Assumptions (Coal)'!$V$10,'Assumptions (Coal)'!$V$5*Model!$AM$18*AVERAGE('Assumptions (Coal)'!$AF$2:$AK$2)/10^9),0)</f>
        <v>-0.056711462</v>
      </c>
      <c r="AT173" s="160">
        <f>IF($AM$18&gt;0,IPMT('Assumptions (Coal)'!$V$7,Model!AD1,'Assumptions (Coal)'!$V$10,'Assumptions (Coal)'!$V$5*Model!$AM$18*AVERAGE('Assumptions (Coal)'!$AF$2:$AK$2)/10^9),0)</f>
        <v>-0.0515151024</v>
      </c>
      <c r="AU173" s="160">
        <f>IF($AM$18&gt;0,IPMT('Assumptions (Coal)'!$V$7,Model!AE1,'Assumptions (Coal)'!$V$10,'Assumptions (Coal)'!$V$5*Model!$AM$18*AVERAGE('Assumptions (Coal)'!$AF$2:$AK$2)/10^9),0)</f>
        <v>-0.04607191572</v>
      </c>
      <c r="AV173" s="160">
        <f>IF($AM$18&gt;0,IPMT('Assumptions (Coal)'!$V$7,Model!AF1,'Assumptions (Coal)'!$V$10,'Assumptions (Coal)'!$V$5*Model!$AM$18*AVERAGE('Assumptions (Coal)'!$AF$2:$AK$2)/10^9),0)</f>
        <v>-0.04037017768</v>
      </c>
      <c r="AW173" s="160">
        <f>IF($AM$18&gt;0,IPMT('Assumptions (Coal)'!$V$7,Model!AG1,'Assumptions (Coal)'!$V$10,'Assumptions (Coal)'!$V$5*Model!$AM$18*AVERAGE('Assumptions (Coal)'!$AF$2:$AK$2)/10^9),0)</f>
        <v>-0.03439760707</v>
      </c>
      <c r="AX173" s="160">
        <f>IF($AM$18&gt;0,IPMT('Assumptions (Coal)'!$V$7,Model!AH1,'Assumptions (Coal)'!$V$10,'Assumptions (Coal)'!$V$5*Model!$AM$18*AVERAGE('Assumptions (Coal)'!$AF$2:$AK$2)/10^9),0)</f>
        <v>-0.02814133936</v>
      </c>
      <c r="AY173" s="160">
        <f>IF($AM$18&gt;0,IPMT('Assumptions (Coal)'!$V$7,Model!AI1,'Assumptions (Coal)'!$V$10,'Assumptions (Coal)'!$V$5*Model!$AM$18*AVERAGE('Assumptions (Coal)'!$AF$2:$AK$2)/10^9),0)</f>
        <v>-0.02158789894</v>
      </c>
      <c r="AZ173" s="160">
        <f>IF($AM$18&gt;0,IPMT('Assumptions (Coal)'!$V$7,Model!AJ1,'Assumptions (Coal)'!$V$10,'Assumptions (Coal)'!$V$5*Model!$AM$18*AVERAGE('Assumptions (Coal)'!$AF$2:$AK$2)/10^9),0)</f>
        <v>-0.01472317009</v>
      </c>
      <c r="BA173" s="160">
        <f>IF($AM$18&gt;0,IPMT('Assumptions (Coal)'!$V$7,Model!AK1,'Assumptions (Coal)'!$V$10,'Assumptions (Coal)'!$V$5*Model!$AM$18*AVERAGE('Assumptions (Coal)'!$AF$2:$AK$2)/10^9),0)</f>
        <v>-0.007532366629</v>
      </c>
      <c r="BB173" s="160"/>
      <c r="BC173" s="160"/>
      <c r="BD173" s="160"/>
      <c r="BE173" s="160"/>
      <c r="BF173" s="160"/>
      <c r="BG173" s="160"/>
      <c r="BH173" s="160"/>
      <c r="BI173" s="160"/>
      <c r="BJ173" s="160"/>
      <c r="BK173" s="160"/>
    </row>
    <row r="174" ht="15.75" hidden="1" customHeight="1" outlineLevel="1">
      <c r="A174" s="158"/>
      <c r="B174" s="38"/>
      <c r="C174" s="160"/>
      <c r="D174" s="160"/>
      <c r="E174" s="160"/>
      <c r="F174" s="160"/>
      <c r="G174" s="160"/>
      <c r="H174" s="160"/>
      <c r="I174" s="160"/>
      <c r="J174" s="160"/>
      <c r="K174" s="160"/>
      <c r="L174" s="160"/>
      <c r="M174" s="160"/>
      <c r="N174" s="160"/>
      <c r="O174" s="160"/>
      <c r="P174" s="179"/>
      <c r="Q174" s="160"/>
      <c r="R174" s="177"/>
      <c r="S174" s="160"/>
      <c r="T174" s="160"/>
      <c r="U174" s="160"/>
      <c r="V174" s="174"/>
      <c r="W174" s="160"/>
      <c r="X174" s="160"/>
      <c r="Y174" s="160"/>
      <c r="Z174" s="160"/>
      <c r="AA174" s="160"/>
      <c r="AB174" s="160"/>
      <c r="AC174" s="160"/>
      <c r="AD174" s="160"/>
      <c r="AE174" s="160"/>
      <c r="AF174" s="160"/>
      <c r="AG174" s="160"/>
      <c r="AH174" s="160"/>
      <c r="AI174" s="160"/>
      <c r="AJ174" s="179"/>
      <c r="AK174" s="160"/>
      <c r="AL174" s="177"/>
      <c r="AM174" s="177"/>
      <c r="AN174" s="160">
        <f>IF($AN$18&gt;0,IPMT('Assumptions (Coal)'!$V$7,Model!W1,'Assumptions (Coal)'!$V$10,'Assumptions (Coal)'!$V$5*Model!$AN$18*AVERAGE('Assumptions (Coal)'!$AG$2:$AL$2)/10^9),0)</f>
        <v>0</v>
      </c>
      <c r="AO174" s="160">
        <f>IF($AN$18&gt;0,IPMT('Assumptions (Coal)'!$V$7,Model!X1,'Assumptions (Coal)'!$V$10,'Assumptions (Coal)'!$V$5*Model!$AN$18*AVERAGE('Assumptions (Coal)'!$AG$2:$AL$2)/10^9),0)</f>
        <v>0</v>
      </c>
      <c r="AP174" s="160">
        <f>IF($AN$18&gt;0,IPMT('Assumptions (Coal)'!$V$7,Model!Y1,'Assumptions (Coal)'!$V$10,'Assumptions (Coal)'!$V$5*Model!$AN$18*AVERAGE('Assumptions (Coal)'!$AG$2:$AL$2)/10^9),0)</f>
        <v>0</v>
      </c>
      <c r="AQ174" s="160">
        <f>IF($AN$18&gt;0,IPMT('Assumptions (Coal)'!$V$7,Model!Z1,'Assumptions (Coal)'!$V$10,'Assumptions (Coal)'!$V$5*Model!$AN$18*AVERAGE('Assumptions (Coal)'!$AG$2:$AL$2)/10^9),0)</f>
        <v>0</v>
      </c>
      <c r="AR174" s="160">
        <f>IF($AN$18&gt;0,IPMT('Assumptions (Coal)'!$V$7,Model!AA1,'Assumptions (Coal)'!$V$10,'Assumptions (Coal)'!$V$5*Model!$AN$18*AVERAGE('Assumptions (Coal)'!$AG$2:$AL$2)/10^9),0)</f>
        <v>0</v>
      </c>
      <c r="AS174" s="160">
        <f>IF($AN$18&gt;0,IPMT('Assumptions (Coal)'!$V$7,Model!AB1,'Assumptions (Coal)'!$V$10,'Assumptions (Coal)'!$V$5*Model!$AN$18*AVERAGE('Assumptions (Coal)'!$AG$2:$AL$2)/10^9),0)</f>
        <v>0</v>
      </c>
      <c r="AT174" s="160">
        <f>IF($AN$18&gt;0,IPMT('Assumptions (Coal)'!$V$7,Model!AC1,'Assumptions (Coal)'!$V$10,'Assumptions (Coal)'!$V$5*Model!$AN$18*AVERAGE('Assumptions (Coal)'!$AG$2:$AL$2)/10^9),0)</f>
        <v>0</v>
      </c>
      <c r="AU174" s="160">
        <f>IF($AN$18&gt;0,IPMT('Assumptions (Coal)'!$V$7,Model!AD1,'Assumptions (Coal)'!$V$10,'Assumptions (Coal)'!$V$5*Model!$AN$18*AVERAGE('Assumptions (Coal)'!$AG$2:$AL$2)/10^9),0)</f>
        <v>0</v>
      </c>
      <c r="AV174" s="160">
        <f>IF($AN$18&gt;0,IPMT('Assumptions (Coal)'!$V$7,Model!AE1,'Assumptions (Coal)'!$V$10,'Assumptions (Coal)'!$V$5*Model!$AN$18*AVERAGE('Assumptions (Coal)'!$AG$2:$AL$2)/10^9),0)</f>
        <v>0</v>
      </c>
      <c r="AW174" s="160">
        <f>IF($AN$18&gt;0,IPMT('Assumptions (Coal)'!$V$7,Model!AF1,'Assumptions (Coal)'!$V$10,'Assumptions (Coal)'!$V$5*Model!$AN$18*AVERAGE('Assumptions (Coal)'!$AG$2:$AL$2)/10^9),0)</f>
        <v>0</v>
      </c>
      <c r="AX174" s="160">
        <f>IF($AN$18&gt;0,IPMT('Assumptions (Coal)'!$V$7,Model!AG1,'Assumptions (Coal)'!$V$10,'Assumptions (Coal)'!$V$5*Model!$AN$18*AVERAGE('Assumptions (Coal)'!$AG$2:$AL$2)/10^9),0)</f>
        <v>0</v>
      </c>
      <c r="AY174" s="160">
        <f>IF($AN$18&gt;0,IPMT('Assumptions (Coal)'!$V$7,Model!AH1,'Assumptions (Coal)'!$V$10,'Assumptions (Coal)'!$V$5*Model!$AN$18*AVERAGE('Assumptions (Coal)'!$AG$2:$AL$2)/10^9),0)</f>
        <v>0</v>
      </c>
      <c r="AZ174" s="160">
        <f>IF($AN$18&gt;0,IPMT('Assumptions (Coal)'!$V$7,Model!AI1,'Assumptions (Coal)'!$V$10,'Assumptions (Coal)'!$V$5*Model!$AN$18*AVERAGE('Assumptions (Coal)'!$AG$2:$AL$2)/10^9),0)</f>
        <v>0</v>
      </c>
      <c r="BA174" s="160">
        <f>IF($AN$18&gt;0,IPMT('Assumptions (Coal)'!$V$7,Model!AJ1,'Assumptions (Coal)'!$V$10,'Assumptions (Coal)'!$V$5*Model!$AN$18*AVERAGE('Assumptions (Coal)'!$AG$2:$AL$2)/10^9),0)</f>
        <v>0</v>
      </c>
      <c r="BB174" s="160">
        <f>IF($AN$18&gt;0,IPMT('Assumptions (Coal)'!$V$7,Model!AK1,'Assumptions (Coal)'!$V$10,'Assumptions (Coal)'!$V$5*Model!$AN$18*AVERAGE('Assumptions (Coal)'!$AG$2:$AL$2)/10^9),0)</f>
        <v>0</v>
      </c>
      <c r="BC174" s="160"/>
      <c r="BD174" s="160"/>
      <c r="BE174" s="160"/>
      <c r="BF174" s="160"/>
      <c r="BG174" s="160"/>
      <c r="BH174" s="160"/>
      <c r="BI174" s="160"/>
      <c r="BJ174" s="160"/>
      <c r="BK174" s="160"/>
      <c r="BL174" s="160"/>
    </row>
    <row r="175" ht="15.75" hidden="1" customHeight="1" outlineLevel="1">
      <c r="A175" s="158"/>
      <c r="B175" s="38"/>
      <c r="C175" s="160"/>
      <c r="D175" s="160"/>
      <c r="E175" s="160"/>
      <c r="F175" s="160"/>
      <c r="G175" s="160"/>
      <c r="H175" s="160"/>
      <c r="I175" s="160"/>
      <c r="J175" s="160"/>
      <c r="K175" s="160"/>
      <c r="L175" s="160"/>
      <c r="M175" s="160"/>
      <c r="N175" s="160"/>
      <c r="O175" s="160"/>
      <c r="P175" s="179"/>
      <c r="Q175" s="160"/>
      <c r="R175" s="177"/>
      <c r="S175" s="177"/>
      <c r="T175" s="160"/>
      <c r="U175" s="160"/>
      <c r="V175" s="174"/>
      <c r="W175" s="160"/>
      <c r="X175" s="160"/>
      <c r="Y175" s="160"/>
      <c r="Z175" s="160"/>
      <c r="AA175" s="160"/>
      <c r="AB175" s="160"/>
      <c r="AC175" s="160"/>
      <c r="AD175" s="160"/>
      <c r="AE175" s="160"/>
      <c r="AF175" s="160"/>
      <c r="AG175" s="160"/>
      <c r="AH175" s="160"/>
      <c r="AI175" s="160"/>
      <c r="AJ175" s="179"/>
      <c r="AK175" s="160"/>
      <c r="AL175" s="177"/>
      <c r="AM175" s="177"/>
      <c r="AN175" s="177"/>
      <c r="AO175" s="160">
        <f>IF($AO$18&gt;0,IPMT('Assumptions (Coal)'!$V$7,Model!W1,'Assumptions (Coal)'!$V$10,'Assumptions (Coal)'!$V$5*Model!$AO$18*AVERAGE('Assumptions (Coal)'!$AH$2:$AM$2)/10^9),0)</f>
        <v>0</v>
      </c>
      <c r="AP175" s="160">
        <f>IF($AO$18&gt;0,IPMT('Assumptions (Coal)'!$V$7,Model!X1,'Assumptions (Coal)'!$V$10,'Assumptions (Coal)'!$V$5*Model!$AO$18*AVERAGE('Assumptions (Coal)'!$AH$2:$AM$2)/10^9),0)</f>
        <v>0</v>
      </c>
      <c r="AQ175" s="160">
        <f>IF($AO$18&gt;0,IPMT('Assumptions (Coal)'!$V$7,Model!Y1,'Assumptions (Coal)'!$V$10,'Assumptions (Coal)'!$V$5*Model!$AO$18*AVERAGE('Assumptions (Coal)'!$AH$2:$AM$2)/10^9),0)</f>
        <v>0</v>
      </c>
      <c r="AR175" s="160">
        <f>IF($AO$18&gt;0,IPMT('Assumptions (Coal)'!$V$7,Model!Z1,'Assumptions (Coal)'!$V$10,'Assumptions (Coal)'!$V$5*Model!$AO$18*AVERAGE('Assumptions (Coal)'!$AH$2:$AM$2)/10^9),0)</f>
        <v>0</v>
      </c>
      <c r="AS175" s="160">
        <f>IF($AO$18&gt;0,IPMT('Assumptions (Coal)'!$V$7,Model!AA1,'Assumptions (Coal)'!$V$10,'Assumptions (Coal)'!$V$5*Model!$AO$18*AVERAGE('Assumptions (Coal)'!$AH$2:$AM$2)/10^9),0)</f>
        <v>0</v>
      </c>
      <c r="AT175" s="160">
        <f>IF($AO$18&gt;0,IPMT('Assumptions (Coal)'!$V$7,Model!AB1,'Assumptions (Coal)'!$V$10,'Assumptions (Coal)'!$V$5*Model!$AO$18*AVERAGE('Assumptions (Coal)'!$AH$2:$AM$2)/10^9),0)</f>
        <v>0</v>
      </c>
      <c r="AU175" s="160">
        <f>IF($AO$18&gt;0,IPMT('Assumptions (Coal)'!$V$7,Model!AC1,'Assumptions (Coal)'!$V$10,'Assumptions (Coal)'!$V$5*Model!$AO$18*AVERAGE('Assumptions (Coal)'!$AH$2:$AM$2)/10^9),0)</f>
        <v>0</v>
      </c>
      <c r="AV175" s="160">
        <f>IF($AO$18&gt;0,IPMT('Assumptions (Coal)'!$V$7,Model!AD1,'Assumptions (Coal)'!$V$10,'Assumptions (Coal)'!$V$5*Model!$AO$18*AVERAGE('Assumptions (Coal)'!$AH$2:$AM$2)/10^9),0)</f>
        <v>0</v>
      </c>
      <c r="AW175" s="160">
        <f>IF($AO$18&gt;0,IPMT('Assumptions (Coal)'!$V$7,Model!AE1,'Assumptions (Coal)'!$V$10,'Assumptions (Coal)'!$V$5*Model!$AO$18*AVERAGE('Assumptions (Coal)'!$AH$2:$AM$2)/10^9),0)</f>
        <v>0</v>
      </c>
      <c r="AX175" s="160">
        <f>IF($AO$18&gt;0,IPMT('Assumptions (Coal)'!$V$7,Model!AF1,'Assumptions (Coal)'!$V$10,'Assumptions (Coal)'!$V$5*Model!$AO$18*AVERAGE('Assumptions (Coal)'!$AH$2:$AM$2)/10^9),0)</f>
        <v>0</v>
      </c>
      <c r="AY175" s="160">
        <f>IF($AO$18&gt;0,IPMT('Assumptions (Coal)'!$V$7,Model!AG1,'Assumptions (Coal)'!$V$10,'Assumptions (Coal)'!$V$5*Model!$AO$18*AVERAGE('Assumptions (Coal)'!$AH$2:$AM$2)/10^9),0)</f>
        <v>0</v>
      </c>
      <c r="AZ175" s="160">
        <f>IF($AO$18&gt;0,IPMT('Assumptions (Coal)'!$V$7,Model!AH1,'Assumptions (Coal)'!$V$10,'Assumptions (Coal)'!$V$5*Model!$AO$18*AVERAGE('Assumptions (Coal)'!$AH$2:$AM$2)/10^9),0)</f>
        <v>0</v>
      </c>
      <c r="BA175" s="160">
        <f>IF($AO$18&gt;0,IPMT('Assumptions (Coal)'!$V$7,Model!AI1,'Assumptions (Coal)'!$V$10,'Assumptions (Coal)'!$V$5*Model!$AO$18*AVERAGE('Assumptions (Coal)'!$AH$2:$AM$2)/10^9),0)</f>
        <v>0</v>
      </c>
      <c r="BB175" s="160">
        <f>IF($AO$18&gt;0,IPMT('Assumptions (Coal)'!$V$7,Model!AJ1,'Assumptions (Coal)'!$V$10,'Assumptions (Coal)'!$V$5*Model!$AO$18*AVERAGE('Assumptions (Coal)'!$AH$2:$AM$2)/10^9),0)</f>
        <v>0</v>
      </c>
      <c r="BC175" s="160">
        <f>IF($AO$18&gt;0,IPMT('Assumptions (Coal)'!$V$7,Model!AK1,'Assumptions (Coal)'!$V$10,'Assumptions (Coal)'!$V$5*Model!$AO$18*AVERAGE('Assumptions (Coal)'!$AH$2:$AM$2)/10^9),0)</f>
        <v>0</v>
      </c>
      <c r="BD175" s="160"/>
      <c r="BE175" s="160"/>
      <c r="BF175" s="160"/>
      <c r="BG175" s="160"/>
      <c r="BH175" s="160"/>
      <c r="BI175" s="160"/>
      <c r="BJ175" s="160"/>
      <c r="BK175" s="160"/>
      <c r="BL175" s="160"/>
      <c r="BM175" s="160"/>
    </row>
    <row r="176" ht="15.75" hidden="1" customHeight="1" outlineLevel="1">
      <c r="A176" s="158"/>
      <c r="B176" s="38"/>
      <c r="C176" s="160"/>
      <c r="D176" s="160"/>
      <c r="E176" s="160"/>
      <c r="F176" s="160"/>
      <c r="G176" s="160"/>
      <c r="H176" s="160"/>
      <c r="I176" s="160"/>
      <c r="J176" s="160"/>
      <c r="K176" s="160"/>
      <c r="L176" s="160"/>
      <c r="M176" s="160"/>
      <c r="N176" s="160"/>
      <c r="O176" s="160"/>
      <c r="P176" s="179"/>
      <c r="Q176" s="160"/>
      <c r="R176" s="177"/>
      <c r="S176" s="177"/>
      <c r="T176" s="177"/>
      <c r="U176" s="160"/>
      <c r="V176" s="174"/>
      <c r="W176" s="160"/>
      <c r="X176" s="160"/>
      <c r="Y176" s="160"/>
      <c r="Z176" s="160"/>
      <c r="AA176" s="160"/>
      <c r="AB176" s="160"/>
      <c r="AC176" s="160"/>
      <c r="AD176" s="160"/>
      <c r="AE176" s="160"/>
      <c r="AF176" s="160"/>
      <c r="AG176" s="160"/>
      <c r="AH176" s="160"/>
      <c r="AI176" s="160"/>
      <c r="AJ176" s="179"/>
      <c r="AK176" s="160"/>
      <c r="AL176" s="177"/>
      <c r="AM176" s="177"/>
      <c r="AN176" s="177"/>
      <c r="AO176" s="160"/>
      <c r="AP176" s="160">
        <f>IF($AP$18&gt;0,IPMT('Assumptions (Coal)'!$V$7,Model!W1,'Assumptions (Coal)'!$V$10,'Assumptions (Coal)'!$V$5*Model!$AP$18*AVERAGE('Assumptions (Coal)'!$AI$2:$AN$2)/10^9),0)</f>
        <v>0</v>
      </c>
      <c r="AQ176" s="160">
        <f>IF($AP$18&gt;0,IPMT('Assumptions (Coal)'!$V$7,Model!X1,'Assumptions (Coal)'!$V$10,'Assumptions (Coal)'!$V$5*Model!$AP$18*AVERAGE('Assumptions (Coal)'!$AI$2:$AN$2)/10^9),0)</f>
        <v>0</v>
      </c>
      <c r="AR176" s="160">
        <f>IF($AP$18&gt;0,IPMT('Assumptions (Coal)'!$V$7,Model!Y1,'Assumptions (Coal)'!$V$10,'Assumptions (Coal)'!$V$5*Model!$AP$18*AVERAGE('Assumptions (Coal)'!$AI$2:$AN$2)/10^9),0)</f>
        <v>0</v>
      </c>
      <c r="AS176" s="160">
        <f>IF($AP$18&gt;0,IPMT('Assumptions (Coal)'!$V$7,Model!Z1,'Assumptions (Coal)'!$V$10,'Assumptions (Coal)'!$V$5*Model!$AP$18*AVERAGE('Assumptions (Coal)'!$AI$2:$AN$2)/10^9),0)</f>
        <v>0</v>
      </c>
      <c r="AT176" s="160">
        <f>IF($AP$18&gt;0,IPMT('Assumptions (Coal)'!$V$7,Model!AA1,'Assumptions (Coal)'!$V$10,'Assumptions (Coal)'!$V$5*Model!$AP$18*AVERAGE('Assumptions (Coal)'!$AI$2:$AN$2)/10^9),0)</f>
        <v>0</v>
      </c>
      <c r="AU176" s="160">
        <f>IF($AP$18&gt;0,IPMT('Assumptions (Coal)'!$V$7,Model!AB1,'Assumptions (Coal)'!$V$10,'Assumptions (Coal)'!$V$5*Model!$AP$18*AVERAGE('Assumptions (Coal)'!$AI$2:$AN$2)/10^9),0)</f>
        <v>0</v>
      </c>
      <c r="AV176" s="160">
        <f>IF($AP$18&gt;0,IPMT('Assumptions (Coal)'!$V$7,Model!AC1,'Assumptions (Coal)'!$V$10,'Assumptions (Coal)'!$V$5*Model!$AP$18*AVERAGE('Assumptions (Coal)'!$AI$2:$AN$2)/10^9),0)</f>
        <v>0</v>
      </c>
      <c r="AW176" s="160">
        <f>IF($AP$18&gt;0,IPMT('Assumptions (Coal)'!$V$7,Model!AD1,'Assumptions (Coal)'!$V$10,'Assumptions (Coal)'!$V$5*Model!$AP$18*AVERAGE('Assumptions (Coal)'!$AI$2:$AN$2)/10^9),0)</f>
        <v>0</v>
      </c>
      <c r="AX176" s="160">
        <f>IF($AP$18&gt;0,IPMT('Assumptions (Coal)'!$V$7,Model!AE1,'Assumptions (Coal)'!$V$10,'Assumptions (Coal)'!$V$5*Model!$AP$18*AVERAGE('Assumptions (Coal)'!$AI$2:$AN$2)/10^9),0)</f>
        <v>0</v>
      </c>
      <c r="AY176" s="160">
        <f>IF($AP$18&gt;0,IPMT('Assumptions (Coal)'!$V$7,Model!AF1,'Assumptions (Coal)'!$V$10,'Assumptions (Coal)'!$V$5*Model!$AP$18*AVERAGE('Assumptions (Coal)'!$AI$2:$AN$2)/10^9),0)</f>
        <v>0</v>
      </c>
      <c r="AZ176" s="160">
        <f>IF($AP$18&gt;0,IPMT('Assumptions (Coal)'!$V$7,Model!AG1,'Assumptions (Coal)'!$V$10,'Assumptions (Coal)'!$V$5*Model!$AP$18*AVERAGE('Assumptions (Coal)'!$AI$2:$AN$2)/10^9),0)</f>
        <v>0</v>
      </c>
      <c r="BA176" s="160">
        <f>IF($AP$18&gt;0,IPMT('Assumptions (Coal)'!$V$7,Model!AH1,'Assumptions (Coal)'!$V$10,'Assumptions (Coal)'!$V$5*Model!$AP$18*AVERAGE('Assumptions (Coal)'!$AI$2:$AN$2)/10^9),0)</f>
        <v>0</v>
      </c>
      <c r="BB176" s="160">
        <f>IF($AP$18&gt;0,IPMT('Assumptions (Coal)'!$V$7,Model!AI1,'Assumptions (Coal)'!$V$10,'Assumptions (Coal)'!$V$5*Model!$AP$18*AVERAGE('Assumptions (Coal)'!$AI$2:$AN$2)/10^9),0)</f>
        <v>0</v>
      </c>
      <c r="BC176" s="160">
        <f>IF($AP$18&gt;0,IPMT('Assumptions (Coal)'!$V$7,Model!AJ1,'Assumptions (Coal)'!$V$10,'Assumptions (Coal)'!$V$5*Model!$AP$18*AVERAGE('Assumptions (Coal)'!$AI$2:$AN$2)/10^9),0)</f>
        <v>0</v>
      </c>
      <c r="BD176" s="160">
        <f>IF($AP$18&gt;0,IPMT('Assumptions (Coal)'!$V$7,Model!AK1,'Assumptions (Coal)'!$V$10,'Assumptions (Coal)'!$V$5*Model!$AP$18*AVERAGE('Assumptions (Coal)'!$AI$2:$AN$2)/10^9),0)</f>
        <v>0</v>
      </c>
      <c r="BE176" s="160"/>
      <c r="BF176" s="160"/>
      <c r="BG176" s="160"/>
      <c r="BH176" s="160"/>
      <c r="BI176" s="160"/>
      <c r="BJ176" s="160"/>
      <c r="BK176" s="160"/>
      <c r="BL176" s="160"/>
      <c r="BM176" s="160"/>
      <c r="BN176" s="160"/>
    </row>
    <row r="177" ht="15.75" hidden="1" customHeight="1" outlineLevel="1">
      <c r="A177" s="158"/>
      <c r="B177" s="38"/>
      <c r="C177" s="160"/>
      <c r="D177" s="160"/>
      <c r="E177" s="160"/>
      <c r="F177" s="160"/>
      <c r="G177" s="160"/>
      <c r="H177" s="160"/>
      <c r="I177" s="160"/>
      <c r="J177" s="160"/>
      <c r="K177" s="160"/>
      <c r="L177" s="160"/>
      <c r="M177" s="160"/>
      <c r="N177" s="160"/>
      <c r="O177" s="160"/>
      <c r="P177" s="179"/>
      <c r="Q177" s="160"/>
      <c r="R177" s="177"/>
      <c r="S177" s="177"/>
      <c r="T177" s="177"/>
      <c r="U177" s="160"/>
      <c r="V177" s="174"/>
      <c r="W177" s="160"/>
      <c r="X177" s="160"/>
      <c r="Y177" s="160"/>
      <c r="Z177" s="160"/>
      <c r="AA177" s="160"/>
      <c r="AB177" s="160"/>
      <c r="AC177" s="160"/>
      <c r="AD177" s="160"/>
      <c r="AE177" s="160"/>
      <c r="AF177" s="160"/>
      <c r="AG177" s="160"/>
      <c r="AH177" s="160"/>
      <c r="AI177" s="160"/>
      <c r="AJ177" s="179"/>
      <c r="AK177" s="160"/>
      <c r="AL177" s="177"/>
      <c r="AM177" s="177"/>
      <c r="AN177" s="177"/>
      <c r="AO177" s="160"/>
      <c r="AP177" s="160"/>
      <c r="AQ177" s="160">
        <f>IF($AQ$18&gt;0,IPMT('Assumptions (Coal)'!$V$7,Model!W1,'Assumptions (Coal)'!$V$10,'Assumptions (Coal)'!$V$5*Model!$AQ$18*AVERAGE('Assumptions (Coal)'!$AJ$2:$AO$2)/10^9),0)</f>
        <v>0</v>
      </c>
      <c r="AR177" s="160">
        <f>IF($AQ$18&gt;0,IPMT('Assumptions (Coal)'!$V$7,Model!X1,'Assumptions (Coal)'!$V$10,'Assumptions (Coal)'!$V$5*Model!$AQ$18*AVERAGE('Assumptions (Coal)'!$AJ$2:$AO$2)/10^9),0)</f>
        <v>0</v>
      </c>
      <c r="AS177" s="160">
        <f>IF($AQ$18&gt;0,IPMT('Assumptions (Coal)'!$V$7,Model!Y1,'Assumptions (Coal)'!$V$10,'Assumptions (Coal)'!$V$5*Model!$AQ$18*AVERAGE('Assumptions (Coal)'!$AJ$2:$AO$2)/10^9),0)</f>
        <v>0</v>
      </c>
      <c r="AT177" s="160">
        <f>IF($AQ$18&gt;0,IPMT('Assumptions (Coal)'!$V$7,Model!Z1,'Assumptions (Coal)'!$V$10,'Assumptions (Coal)'!$V$5*Model!$AQ$18*AVERAGE('Assumptions (Coal)'!$AJ$2:$AO$2)/10^9),0)</f>
        <v>0</v>
      </c>
      <c r="AU177" s="160">
        <f>IF($AQ$18&gt;0,IPMT('Assumptions (Coal)'!$V$7,Model!AA1,'Assumptions (Coal)'!$V$10,'Assumptions (Coal)'!$V$5*Model!$AQ$18*AVERAGE('Assumptions (Coal)'!$AJ$2:$AO$2)/10^9),0)</f>
        <v>0</v>
      </c>
      <c r="AV177" s="160">
        <f>IF($AQ$18&gt;0,IPMT('Assumptions (Coal)'!$V$7,Model!AB1,'Assumptions (Coal)'!$V$10,'Assumptions (Coal)'!$V$5*Model!$AQ$18*AVERAGE('Assumptions (Coal)'!$AJ$2:$AO$2)/10^9),0)</f>
        <v>0</v>
      </c>
      <c r="AW177" s="160">
        <f>IF($AQ$18&gt;0,IPMT('Assumptions (Coal)'!$V$7,Model!AC1,'Assumptions (Coal)'!$V$10,'Assumptions (Coal)'!$V$5*Model!$AQ$18*AVERAGE('Assumptions (Coal)'!$AJ$2:$AO$2)/10^9),0)</f>
        <v>0</v>
      </c>
      <c r="AX177" s="160">
        <f>IF($AQ$18&gt;0,IPMT('Assumptions (Coal)'!$V$7,Model!AD1,'Assumptions (Coal)'!$V$10,'Assumptions (Coal)'!$V$5*Model!$AQ$18*AVERAGE('Assumptions (Coal)'!$AJ$2:$AO$2)/10^9),0)</f>
        <v>0</v>
      </c>
      <c r="AY177" s="160">
        <f>IF($AQ$18&gt;0,IPMT('Assumptions (Coal)'!$V$7,Model!AE1,'Assumptions (Coal)'!$V$10,'Assumptions (Coal)'!$V$5*Model!$AQ$18*AVERAGE('Assumptions (Coal)'!$AJ$2:$AO$2)/10^9),0)</f>
        <v>0</v>
      </c>
      <c r="AZ177" s="160">
        <f>IF($AQ$18&gt;0,IPMT('Assumptions (Coal)'!$V$7,Model!AF1,'Assumptions (Coal)'!$V$10,'Assumptions (Coal)'!$V$5*Model!$AQ$18*AVERAGE('Assumptions (Coal)'!$AJ$2:$AO$2)/10^9),0)</f>
        <v>0</v>
      </c>
      <c r="BA177" s="160">
        <f>IF($AQ$18&gt;0,IPMT('Assumptions (Coal)'!$V$7,Model!AG1,'Assumptions (Coal)'!$V$10,'Assumptions (Coal)'!$V$5*Model!$AQ$18*AVERAGE('Assumptions (Coal)'!$AJ$2:$AO$2)/10^9),0)</f>
        <v>0</v>
      </c>
      <c r="BB177" s="160">
        <f>IF($AQ$18&gt;0,IPMT('Assumptions (Coal)'!$V$7,Model!AH1,'Assumptions (Coal)'!$V$10,'Assumptions (Coal)'!$V$5*Model!$AQ$18*AVERAGE('Assumptions (Coal)'!$AJ$2:$AO$2)/10^9),0)</f>
        <v>0</v>
      </c>
      <c r="BC177" s="160">
        <f>IF($AQ$18&gt;0,IPMT('Assumptions (Coal)'!$V$7,Model!AI1,'Assumptions (Coal)'!$V$10,'Assumptions (Coal)'!$V$5*Model!$AQ$18*AVERAGE('Assumptions (Coal)'!$AJ$2:$AO$2)/10^9),0)</f>
        <v>0</v>
      </c>
      <c r="BD177" s="160">
        <f>IF($AQ$18&gt;0,IPMT('Assumptions (Coal)'!$V$7,Model!AJ1,'Assumptions (Coal)'!$V$10,'Assumptions (Coal)'!$V$5*Model!$AQ$18*AVERAGE('Assumptions (Coal)'!$AJ$2:$AO$2)/10^9),0)</f>
        <v>0</v>
      </c>
      <c r="BE177" s="160">
        <f>IF($AQ$18&gt;0,IPMT('Assumptions (Coal)'!$V$7,Model!AK1,'Assumptions (Coal)'!$V$10,'Assumptions (Coal)'!$V$5*Model!$AQ$18*AVERAGE('Assumptions (Coal)'!$AJ$2:$AO$2)/10^9),0)</f>
        <v>0</v>
      </c>
      <c r="BF177" s="160"/>
      <c r="BG177" s="160"/>
      <c r="BH177" s="160"/>
      <c r="BI177" s="160"/>
      <c r="BJ177" s="160"/>
      <c r="BK177" s="160"/>
      <c r="BL177" s="160"/>
      <c r="BM177" s="160"/>
      <c r="BN177" s="160"/>
      <c r="BO177" s="160"/>
    </row>
    <row r="178" ht="15.75" hidden="1" customHeight="1" outlineLevel="1">
      <c r="A178" s="158"/>
      <c r="B178" s="38"/>
      <c r="C178" s="174"/>
      <c r="D178" s="174"/>
      <c r="E178" s="174"/>
      <c r="F178" s="174"/>
      <c r="G178" s="174"/>
      <c r="H178" s="174"/>
      <c r="I178" s="174"/>
      <c r="J178" s="174"/>
      <c r="K178" s="174"/>
      <c r="L178" s="174"/>
      <c r="M178" s="174"/>
      <c r="N178" s="174"/>
      <c r="O178" s="174"/>
      <c r="P178" s="174"/>
      <c r="Q178" s="174"/>
      <c r="R178" s="174"/>
      <c r="S178" s="174"/>
      <c r="T178" s="174"/>
      <c r="U178" s="174"/>
      <c r="V178" s="174"/>
      <c r="W178" s="160"/>
      <c r="X178" s="160"/>
      <c r="Y178" s="160"/>
      <c r="Z178" s="160"/>
      <c r="AA178" s="160"/>
      <c r="AB178" s="160"/>
      <c r="AC178" s="160"/>
      <c r="AD178" s="160"/>
      <c r="AE178" s="160"/>
      <c r="AF178" s="160"/>
      <c r="AG178" s="160"/>
      <c r="AH178" s="160"/>
      <c r="AI178" s="160"/>
      <c r="AJ178" s="179"/>
      <c r="AK178" s="160"/>
      <c r="AL178" s="177"/>
      <c r="AM178" s="177"/>
      <c r="AN178" s="177"/>
      <c r="AO178" s="160"/>
      <c r="AP178" s="160"/>
      <c r="AQ178" s="160"/>
      <c r="AR178" s="160">
        <f>IF($AR$18&gt;0,IPMT('Assumptions (Coal)'!$V$7,Model!W1,'Assumptions (Coal)'!$V$10,'Assumptions (Coal)'!$V$5*Model!$AR$18*AVERAGE('Assumptions (Coal)'!$AK$2:$AP$2)/10^9),0)</f>
        <v>0</v>
      </c>
      <c r="AS178" s="160">
        <f>IF($AR$18&gt;0,IPMT('Assumptions (Coal)'!$V$7,Model!X1,'Assumptions (Coal)'!$V$10,'Assumptions (Coal)'!$V$5*Model!$AR$18*AVERAGE('Assumptions (Coal)'!$AK$2:$AP$2)/10^9),0)</f>
        <v>0</v>
      </c>
      <c r="AT178" s="160">
        <f>IF($AR$18&gt;0,IPMT('Assumptions (Coal)'!$V$7,Model!Y1,'Assumptions (Coal)'!$V$10,'Assumptions (Coal)'!$V$5*Model!$AR$18*AVERAGE('Assumptions (Coal)'!$AK$2:$AP$2)/10^9),0)</f>
        <v>0</v>
      </c>
      <c r="AU178" s="160">
        <f>IF($AR$18&gt;0,IPMT('Assumptions (Coal)'!$V$7,Model!Z1,'Assumptions (Coal)'!$V$10,'Assumptions (Coal)'!$V$5*Model!$AR$18*AVERAGE('Assumptions (Coal)'!$AK$2:$AP$2)/10^9),0)</f>
        <v>0</v>
      </c>
      <c r="AV178" s="160">
        <f>IF($AR$18&gt;0,IPMT('Assumptions (Coal)'!$V$7,Model!AA1,'Assumptions (Coal)'!$V$10,'Assumptions (Coal)'!$V$5*Model!$AR$18*AVERAGE('Assumptions (Coal)'!$AK$2:$AP$2)/10^9),0)</f>
        <v>0</v>
      </c>
      <c r="AW178" s="160">
        <f>IF($AR$18&gt;0,IPMT('Assumptions (Coal)'!$V$7,Model!AB1,'Assumptions (Coal)'!$V$10,'Assumptions (Coal)'!$V$5*Model!$AR$18*AVERAGE('Assumptions (Coal)'!$AK$2:$AP$2)/10^9),0)</f>
        <v>0</v>
      </c>
      <c r="AX178" s="160">
        <f>IF($AR$18&gt;0,IPMT('Assumptions (Coal)'!$V$7,Model!AC1,'Assumptions (Coal)'!$V$10,'Assumptions (Coal)'!$V$5*Model!$AR$18*AVERAGE('Assumptions (Coal)'!$AK$2:$AP$2)/10^9),0)</f>
        <v>0</v>
      </c>
      <c r="AY178" s="160">
        <f>IF($AR$18&gt;0,IPMT('Assumptions (Coal)'!$V$7,Model!AD1,'Assumptions (Coal)'!$V$10,'Assumptions (Coal)'!$V$5*Model!$AR$18*AVERAGE('Assumptions (Coal)'!$AK$2:$AP$2)/10^9),0)</f>
        <v>0</v>
      </c>
      <c r="AZ178" s="160">
        <f>IF($AR$18&gt;0,IPMT('Assumptions (Coal)'!$V$7,Model!AE1,'Assumptions (Coal)'!$V$10,'Assumptions (Coal)'!$V$5*Model!$AR$18*AVERAGE('Assumptions (Coal)'!$AK$2:$AP$2)/10^9),0)</f>
        <v>0</v>
      </c>
      <c r="BA178" s="160">
        <f>IF($AR$18&gt;0,IPMT('Assumptions (Coal)'!$V$7,Model!AF1,'Assumptions (Coal)'!$V$10,'Assumptions (Coal)'!$V$5*Model!$AR$18*AVERAGE('Assumptions (Coal)'!$AK$2:$AP$2)/10^9),0)</f>
        <v>0</v>
      </c>
      <c r="BB178" s="160">
        <f>IF($AR$18&gt;0,IPMT('Assumptions (Coal)'!$V$7,Model!AG1,'Assumptions (Coal)'!$V$10,'Assumptions (Coal)'!$V$5*Model!$AR$18*AVERAGE('Assumptions (Coal)'!$AK$2:$AP$2)/10^9),0)</f>
        <v>0</v>
      </c>
      <c r="BC178" s="160">
        <f>IF($AR$18&gt;0,IPMT('Assumptions (Coal)'!$V$7,Model!AH1,'Assumptions (Coal)'!$V$10,'Assumptions (Coal)'!$V$5*Model!$AR$18*AVERAGE('Assumptions (Coal)'!$AK$2:$AP$2)/10^9),0)</f>
        <v>0</v>
      </c>
      <c r="BD178" s="160">
        <f>IF($AR$18&gt;0,IPMT('Assumptions (Coal)'!$V$7,Model!AI1,'Assumptions (Coal)'!$V$10,'Assumptions (Coal)'!$V$5*Model!$AR$18*AVERAGE('Assumptions (Coal)'!$AK$2:$AP$2)/10^9),0)</f>
        <v>0</v>
      </c>
      <c r="BE178" s="160">
        <f>IF($AR$18&gt;0,IPMT('Assumptions (Coal)'!$V$7,Model!AJ1,'Assumptions (Coal)'!$V$10,'Assumptions (Coal)'!$V$5*Model!$AR$18*AVERAGE('Assumptions (Coal)'!$AK$2:$AP$2)/10^9),0)</f>
        <v>0</v>
      </c>
      <c r="BF178" s="160">
        <f>IF($AR$18&gt;0,IPMT('Assumptions (Coal)'!$V$7,Model!AK1,'Assumptions (Coal)'!$V$10,'Assumptions (Coal)'!$V$5*Model!$AR$18*AVERAGE('Assumptions (Coal)'!$AK$2:$AP$2)/10^9),0)</f>
        <v>0</v>
      </c>
      <c r="BG178" s="160"/>
      <c r="BH178" s="160"/>
      <c r="BI178" s="160"/>
      <c r="BJ178" s="160"/>
      <c r="BK178" s="160"/>
      <c r="BL178" s="160"/>
      <c r="BM178" s="160"/>
      <c r="BN178" s="160"/>
      <c r="BO178" s="160"/>
    </row>
    <row r="179" ht="15.75" hidden="1" customHeight="1" outlineLevel="1">
      <c r="A179" s="158"/>
      <c r="B179" s="38"/>
      <c r="C179" s="174"/>
      <c r="D179" s="174"/>
      <c r="E179" s="174"/>
      <c r="F179" s="174"/>
      <c r="G179" s="174"/>
      <c r="H179" s="174"/>
      <c r="I179" s="174"/>
      <c r="J179" s="174"/>
      <c r="K179" s="174"/>
      <c r="L179" s="174"/>
      <c r="M179" s="174"/>
      <c r="N179" s="174"/>
      <c r="O179" s="174"/>
      <c r="P179" s="174"/>
      <c r="Q179" s="174"/>
      <c r="R179" s="174"/>
      <c r="S179" s="174"/>
      <c r="T179" s="174"/>
      <c r="U179" s="174"/>
      <c r="V179" s="174"/>
      <c r="W179" s="160"/>
      <c r="X179" s="160"/>
      <c r="Y179" s="160"/>
      <c r="Z179" s="160"/>
      <c r="AA179" s="160"/>
      <c r="AB179" s="160"/>
      <c r="AC179" s="160"/>
      <c r="AD179" s="160"/>
      <c r="AE179" s="160"/>
      <c r="AF179" s="160"/>
      <c r="AG179" s="160"/>
      <c r="AH179" s="160"/>
      <c r="AI179" s="160"/>
      <c r="AJ179" s="179"/>
      <c r="AK179" s="160"/>
      <c r="AL179" s="177"/>
      <c r="AM179" s="177"/>
      <c r="AN179" s="177"/>
      <c r="AO179" s="160"/>
      <c r="AP179" s="160"/>
      <c r="AQ179" s="160"/>
      <c r="AR179" s="160"/>
      <c r="AS179" s="160">
        <f>IF($AS$18&gt;0,IPMT('Assumptions (Coal)'!$V$7,Model!W1,'Assumptions (Coal)'!$V$10,'Assumptions (Coal)'!$V$5*Model!$AS$18*AVERAGE('Assumptions (Coal)'!$AL$2:$AQ$2)/10^9),0)</f>
        <v>0</v>
      </c>
      <c r="AT179" s="160">
        <f>IF($AS$18&gt;0,IPMT('Assumptions (Coal)'!$V$7,Model!X1,'Assumptions (Coal)'!$V$10,'Assumptions (Coal)'!$V$5*Model!$AS$18*AVERAGE('Assumptions (Coal)'!$AL$2:$AQ$2)/10^9),0)</f>
        <v>0</v>
      </c>
      <c r="AU179" s="160">
        <f>IF($AS$18&gt;0,IPMT('Assumptions (Coal)'!$V$7,Model!Y1,'Assumptions (Coal)'!$V$10,'Assumptions (Coal)'!$V$5*Model!$AS$18*AVERAGE('Assumptions (Coal)'!$AL$2:$AQ$2)/10^9),0)</f>
        <v>0</v>
      </c>
      <c r="AV179" s="160">
        <f>IF($AS$18&gt;0,IPMT('Assumptions (Coal)'!$V$7,Model!Z1,'Assumptions (Coal)'!$V$10,'Assumptions (Coal)'!$V$5*Model!$AS$18*AVERAGE('Assumptions (Coal)'!$AL$2:$AQ$2)/10^9),0)</f>
        <v>0</v>
      </c>
      <c r="AW179" s="160">
        <f>IF($AS$18&gt;0,IPMT('Assumptions (Coal)'!$V$7,Model!AA1,'Assumptions (Coal)'!$V$10,'Assumptions (Coal)'!$V$5*Model!$AS$18*AVERAGE('Assumptions (Coal)'!$AL$2:$AQ$2)/10^9),0)</f>
        <v>0</v>
      </c>
      <c r="AX179" s="160">
        <f>IF($AS$18&gt;0,IPMT('Assumptions (Coal)'!$V$7,Model!AB1,'Assumptions (Coal)'!$V$10,'Assumptions (Coal)'!$V$5*Model!$AS$18*AVERAGE('Assumptions (Coal)'!$AL$2:$AQ$2)/10^9),0)</f>
        <v>0</v>
      </c>
      <c r="AY179" s="160">
        <f>IF($AS$18&gt;0,IPMT('Assumptions (Coal)'!$V$7,Model!AC1,'Assumptions (Coal)'!$V$10,'Assumptions (Coal)'!$V$5*Model!$AS$18*AVERAGE('Assumptions (Coal)'!$AL$2:$AQ$2)/10^9),0)</f>
        <v>0</v>
      </c>
      <c r="AZ179" s="160">
        <f>IF($AS$18&gt;0,IPMT('Assumptions (Coal)'!$V$7,Model!AD1,'Assumptions (Coal)'!$V$10,'Assumptions (Coal)'!$V$5*Model!$AS$18*AVERAGE('Assumptions (Coal)'!$AL$2:$AQ$2)/10^9),0)</f>
        <v>0</v>
      </c>
      <c r="BA179" s="160">
        <f>IF($AS$18&gt;0,IPMT('Assumptions (Coal)'!$V$7,Model!AE1,'Assumptions (Coal)'!$V$10,'Assumptions (Coal)'!$V$5*Model!$AS$18*AVERAGE('Assumptions (Coal)'!$AL$2:$AQ$2)/10^9),0)</f>
        <v>0</v>
      </c>
      <c r="BB179" s="160">
        <f>IF($AS$18&gt;0,IPMT('Assumptions (Coal)'!$V$7,Model!AF1,'Assumptions (Coal)'!$V$10,'Assumptions (Coal)'!$V$5*Model!$AS$18*AVERAGE('Assumptions (Coal)'!$AL$2:$AQ$2)/10^9),0)</f>
        <v>0</v>
      </c>
      <c r="BC179" s="160">
        <f>IF($AS$18&gt;0,IPMT('Assumptions (Coal)'!$V$7,Model!AG1,'Assumptions (Coal)'!$V$10,'Assumptions (Coal)'!$V$5*Model!$AS$18*AVERAGE('Assumptions (Coal)'!$AL$2:$AQ$2)/10^9),0)</f>
        <v>0</v>
      </c>
      <c r="BD179" s="160">
        <f>IF($AS$18&gt;0,IPMT('Assumptions (Coal)'!$V$7,Model!AH1,'Assumptions (Coal)'!$V$10,'Assumptions (Coal)'!$V$5*Model!$AS$18*AVERAGE('Assumptions (Coal)'!$AL$2:$AQ$2)/10^9),0)</f>
        <v>0</v>
      </c>
      <c r="BE179" s="160">
        <f>IF($AS$18&gt;0,IPMT('Assumptions (Coal)'!$V$7,Model!AI1,'Assumptions (Coal)'!$V$10,'Assumptions (Coal)'!$V$5*Model!$AS$18*AVERAGE('Assumptions (Coal)'!$AL$2:$AQ$2)/10^9),0)</f>
        <v>0</v>
      </c>
      <c r="BF179" s="160">
        <f>IF($AS$18&gt;0,IPMT('Assumptions (Coal)'!$V$7,Model!AJ1,'Assumptions (Coal)'!$V$10,'Assumptions (Coal)'!$V$5*Model!$AS$18*AVERAGE('Assumptions (Coal)'!$AL$2:$AQ$2)/10^9),0)</f>
        <v>0</v>
      </c>
      <c r="BG179" s="160">
        <f>IF($AS$18&gt;0,IPMT('Assumptions (Coal)'!$V$7,Model!AK1,'Assumptions (Coal)'!$V$10,'Assumptions (Coal)'!$V$5*Model!$AS$18*AVERAGE('Assumptions (Coal)'!$AL$2:$AQ$2)/10^9),0)</f>
        <v>0</v>
      </c>
      <c r="BH179" s="160"/>
      <c r="BI179" s="160"/>
      <c r="BJ179" s="160"/>
      <c r="BK179" s="160"/>
      <c r="BL179" s="160"/>
      <c r="BM179" s="160"/>
      <c r="BN179" s="160"/>
      <c r="BO179" s="160"/>
    </row>
    <row r="180" ht="15.75" hidden="1" customHeight="1" outlineLevel="1">
      <c r="A180" s="158"/>
      <c r="B180" s="38"/>
      <c r="C180" s="174"/>
      <c r="D180" s="174"/>
      <c r="E180" s="174"/>
      <c r="F180" s="174"/>
      <c r="G180" s="174"/>
      <c r="H180" s="174"/>
      <c r="I180" s="174"/>
      <c r="J180" s="174"/>
      <c r="K180" s="174"/>
      <c r="L180" s="174"/>
      <c r="M180" s="174"/>
      <c r="N180" s="174"/>
      <c r="O180" s="174"/>
      <c r="P180" s="174"/>
      <c r="Q180" s="174"/>
      <c r="R180" s="174"/>
      <c r="S180" s="174"/>
      <c r="T180" s="174"/>
      <c r="U180" s="174"/>
      <c r="V180" s="174"/>
      <c r="W180" s="160"/>
      <c r="X180" s="160"/>
      <c r="Y180" s="160"/>
      <c r="Z180" s="160"/>
      <c r="AA180" s="160"/>
      <c r="AB180" s="160"/>
      <c r="AC180" s="160"/>
      <c r="AD180" s="160"/>
      <c r="AE180" s="160"/>
      <c r="AF180" s="160"/>
      <c r="AG180" s="160"/>
      <c r="AH180" s="160"/>
      <c r="AI180" s="160"/>
      <c r="AJ180" s="179"/>
      <c r="AK180" s="160"/>
      <c r="AL180" s="177"/>
      <c r="AM180" s="177"/>
      <c r="AN180" s="177"/>
      <c r="AO180" s="160"/>
      <c r="AP180" s="160"/>
      <c r="AQ180" s="160"/>
      <c r="AR180" s="160"/>
      <c r="AS180" s="160"/>
      <c r="AT180" s="160">
        <f>IF($AT$18&gt;0,IPMT('Assumptions (Coal)'!$V$7,Model!W1,'Assumptions (Coal)'!$V$10,'Assumptions (Coal)'!$V$5*Model!$AT$18*AVERAGE('Assumptions (Coal)'!$AM$2:$AR$2)/10^9),0)</f>
        <v>0</v>
      </c>
      <c r="AU180" s="160">
        <f>IF($AT$18&gt;0,IPMT('Assumptions (Coal)'!$V$7,Model!X1,'Assumptions (Coal)'!$V$10,'Assumptions (Coal)'!$V$5*Model!$AT$18*AVERAGE('Assumptions (Coal)'!$AM$2:$AR$2)/10^9),0)</f>
        <v>0</v>
      </c>
      <c r="AV180" s="160">
        <f>IF($AT$18&gt;0,IPMT('Assumptions (Coal)'!$V$7,Model!Y1,'Assumptions (Coal)'!$V$10,'Assumptions (Coal)'!$V$5*Model!$AT$18*AVERAGE('Assumptions (Coal)'!$AM$2:$AR$2)/10^9),0)</f>
        <v>0</v>
      </c>
      <c r="AW180" s="160">
        <f>IF($AT$18&gt;0,IPMT('Assumptions (Coal)'!$V$7,Model!Z1,'Assumptions (Coal)'!$V$10,'Assumptions (Coal)'!$V$5*Model!$AT$18*AVERAGE('Assumptions (Coal)'!$AM$2:$AR$2)/10^9),0)</f>
        <v>0</v>
      </c>
      <c r="AX180" s="160">
        <f>IF($AT$18&gt;0,IPMT('Assumptions (Coal)'!$V$7,Model!AA1,'Assumptions (Coal)'!$V$10,'Assumptions (Coal)'!$V$5*Model!$AT$18*AVERAGE('Assumptions (Coal)'!$AM$2:$AR$2)/10^9),0)</f>
        <v>0</v>
      </c>
      <c r="AY180" s="160">
        <f>IF($AT$18&gt;0,IPMT('Assumptions (Coal)'!$V$7,Model!AB1,'Assumptions (Coal)'!$V$10,'Assumptions (Coal)'!$V$5*Model!$AT$18*AVERAGE('Assumptions (Coal)'!$AM$2:$AR$2)/10^9),0)</f>
        <v>0</v>
      </c>
      <c r="AZ180" s="160">
        <f>IF($AT$18&gt;0,IPMT('Assumptions (Coal)'!$V$7,Model!AC1,'Assumptions (Coal)'!$V$10,'Assumptions (Coal)'!$V$5*Model!$AT$18*AVERAGE('Assumptions (Coal)'!$AM$2:$AR$2)/10^9),0)</f>
        <v>0</v>
      </c>
      <c r="BA180" s="160">
        <f>IF($AT$18&gt;0,IPMT('Assumptions (Coal)'!$V$7,Model!AD1,'Assumptions (Coal)'!$V$10,'Assumptions (Coal)'!$V$5*Model!$AT$18*AVERAGE('Assumptions (Coal)'!$AM$2:$AR$2)/10^9),0)</f>
        <v>0</v>
      </c>
      <c r="BB180" s="160">
        <f>IF($AT$18&gt;0,IPMT('Assumptions (Coal)'!$V$7,Model!AE1,'Assumptions (Coal)'!$V$10,'Assumptions (Coal)'!$V$5*Model!$AT$18*AVERAGE('Assumptions (Coal)'!$AM$2:$AR$2)/10^9),0)</f>
        <v>0</v>
      </c>
      <c r="BC180" s="160">
        <f>IF($AT$18&gt;0,IPMT('Assumptions (Coal)'!$V$7,Model!AF1,'Assumptions (Coal)'!$V$10,'Assumptions (Coal)'!$V$5*Model!$AT$18*AVERAGE('Assumptions (Coal)'!$AM$2:$AR$2)/10^9),0)</f>
        <v>0</v>
      </c>
      <c r="BD180" s="160">
        <f>IF($AT$18&gt;0,IPMT('Assumptions (Coal)'!$V$7,Model!AG1,'Assumptions (Coal)'!$V$10,'Assumptions (Coal)'!$V$5*Model!$AT$18*AVERAGE('Assumptions (Coal)'!$AM$2:$AR$2)/10^9),0)</f>
        <v>0</v>
      </c>
      <c r="BE180" s="160">
        <f>IF($AT$18&gt;0,IPMT('Assumptions (Coal)'!$V$7,Model!AH1,'Assumptions (Coal)'!$V$10,'Assumptions (Coal)'!$V$5*Model!$AT$18*AVERAGE('Assumptions (Coal)'!$AM$2:$AR$2)/10^9),0)</f>
        <v>0</v>
      </c>
      <c r="BF180" s="160">
        <f>IF($AT$18&gt;0,IPMT('Assumptions (Coal)'!$V$7,Model!AI1,'Assumptions (Coal)'!$V$10,'Assumptions (Coal)'!$V$5*Model!$AT$18*AVERAGE('Assumptions (Coal)'!$AM$2:$AR$2)/10^9),0)</f>
        <v>0</v>
      </c>
      <c r="BG180" s="160">
        <f>IF($AT$18&gt;0,IPMT('Assumptions (Coal)'!$V$7,Model!AJ1,'Assumptions (Coal)'!$V$10,'Assumptions (Coal)'!$V$5*Model!$AT$18*AVERAGE('Assumptions (Coal)'!$AM$2:$AR$2)/10^9),0)</f>
        <v>0</v>
      </c>
      <c r="BH180" s="160">
        <f>IF($AT$18&gt;0,IPMT('Assumptions (Coal)'!$V$7,Model!AK1,'Assumptions (Coal)'!$V$10,'Assumptions (Coal)'!$V$5*Model!$AT$18*AVERAGE('Assumptions (Coal)'!$AM$2:$AR$2)/10^9),0)</f>
        <v>0</v>
      </c>
      <c r="BI180" s="160"/>
      <c r="BJ180" s="160"/>
      <c r="BK180" s="160"/>
      <c r="BL180" s="160"/>
      <c r="BM180" s="160"/>
      <c r="BN180" s="160"/>
      <c r="BO180" s="160"/>
    </row>
    <row r="181" ht="15.75" hidden="1" customHeight="1" outlineLevel="1">
      <c r="A181" s="158"/>
      <c r="B181" s="38"/>
      <c r="C181" s="174"/>
      <c r="D181" s="174"/>
      <c r="E181" s="174"/>
      <c r="F181" s="174"/>
      <c r="G181" s="174"/>
      <c r="H181" s="174"/>
      <c r="I181" s="174"/>
      <c r="J181" s="174"/>
      <c r="K181" s="174"/>
      <c r="L181" s="174"/>
      <c r="M181" s="174"/>
      <c r="N181" s="174"/>
      <c r="O181" s="174"/>
      <c r="P181" s="174"/>
      <c r="Q181" s="174"/>
      <c r="R181" s="174"/>
      <c r="S181" s="174"/>
      <c r="T181" s="174"/>
      <c r="U181" s="174"/>
      <c r="V181" s="174"/>
      <c r="W181" s="160"/>
      <c r="X181" s="160"/>
      <c r="Y181" s="160"/>
      <c r="Z181" s="160"/>
      <c r="AA181" s="160"/>
      <c r="AB181" s="160"/>
      <c r="AC181" s="160"/>
      <c r="AD181" s="160"/>
      <c r="AE181" s="160"/>
      <c r="AF181" s="160"/>
      <c r="AG181" s="160"/>
      <c r="AH181" s="160"/>
      <c r="AI181" s="160"/>
      <c r="AJ181" s="179"/>
      <c r="AK181" s="160"/>
      <c r="AL181" s="177"/>
      <c r="AM181" s="177"/>
      <c r="AN181" s="177"/>
      <c r="AO181" s="160"/>
      <c r="AP181" s="160"/>
      <c r="AQ181" s="160"/>
      <c r="AR181" s="160"/>
      <c r="AS181" s="160"/>
      <c r="AT181" s="160"/>
      <c r="AU181" s="160">
        <f>IF($AU$18&gt;0,IPMT('Assumptions (Coal)'!$V$7,Model!W1,'Assumptions (Coal)'!$V$10,'Assumptions (Coal)'!$V$5*Model!$AU$18*AVERAGE('Assumptions (Coal)'!$AN$2:$AS$2)/10^9),0)</f>
        <v>0</v>
      </c>
      <c r="AV181" s="160">
        <f>IF($AU$18&gt;0,IPMT('Assumptions (Coal)'!$V$7,Model!X1,'Assumptions (Coal)'!$V$10,'Assumptions (Coal)'!$V$5*Model!$AU$18*AVERAGE('Assumptions (Coal)'!$AN$2:$AS$2)/10^9),0)</f>
        <v>0</v>
      </c>
      <c r="AW181" s="160">
        <f>IF($AU$18&gt;0,IPMT('Assumptions (Coal)'!$V$7,Model!Y1,'Assumptions (Coal)'!$V$10,'Assumptions (Coal)'!$V$5*Model!$AU$18*AVERAGE('Assumptions (Coal)'!$AN$2:$AS$2)/10^9),0)</f>
        <v>0</v>
      </c>
      <c r="AX181" s="160">
        <f>IF($AU$18&gt;0,IPMT('Assumptions (Coal)'!$V$7,Model!Z1,'Assumptions (Coal)'!$V$10,'Assumptions (Coal)'!$V$5*Model!$AU$18*AVERAGE('Assumptions (Coal)'!$AN$2:$AS$2)/10^9),0)</f>
        <v>0</v>
      </c>
      <c r="AY181" s="160">
        <f>IF($AU$18&gt;0,IPMT('Assumptions (Coal)'!$V$7,Model!AA1,'Assumptions (Coal)'!$V$10,'Assumptions (Coal)'!$V$5*Model!$AU$18*AVERAGE('Assumptions (Coal)'!$AN$2:$AS$2)/10^9),0)</f>
        <v>0</v>
      </c>
      <c r="AZ181" s="160">
        <f>IF($AU$18&gt;0,IPMT('Assumptions (Coal)'!$V$7,Model!AB1,'Assumptions (Coal)'!$V$10,'Assumptions (Coal)'!$V$5*Model!$AU$18*AVERAGE('Assumptions (Coal)'!$AN$2:$AS$2)/10^9),0)</f>
        <v>0</v>
      </c>
      <c r="BA181" s="160">
        <f>IF($AU$18&gt;0,IPMT('Assumptions (Coal)'!$V$7,Model!AC1,'Assumptions (Coal)'!$V$10,'Assumptions (Coal)'!$V$5*Model!$AU$18*AVERAGE('Assumptions (Coal)'!$AN$2:$AS$2)/10^9),0)</f>
        <v>0</v>
      </c>
      <c r="BB181" s="160">
        <f>IF($AU$18&gt;0,IPMT('Assumptions (Coal)'!$V$7,Model!AD1,'Assumptions (Coal)'!$V$10,'Assumptions (Coal)'!$V$5*Model!$AU$18*AVERAGE('Assumptions (Coal)'!$AN$2:$AS$2)/10^9),0)</f>
        <v>0</v>
      </c>
      <c r="BC181" s="160">
        <f>IF($AU$18&gt;0,IPMT('Assumptions (Coal)'!$V$7,Model!AE1,'Assumptions (Coal)'!$V$10,'Assumptions (Coal)'!$V$5*Model!$AU$18*AVERAGE('Assumptions (Coal)'!$AN$2:$AS$2)/10^9),0)</f>
        <v>0</v>
      </c>
      <c r="BD181" s="160">
        <f>IF($AU$18&gt;0,IPMT('Assumptions (Coal)'!$V$7,Model!AF1,'Assumptions (Coal)'!$V$10,'Assumptions (Coal)'!$V$5*Model!$AU$18*AVERAGE('Assumptions (Coal)'!$AN$2:$AS$2)/10^9),0)</f>
        <v>0</v>
      </c>
      <c r="BE181" s="160">
        <f>IF($AU$18&gt;0,IPMT('Assumptions (Coal)'!$V$7,Model!AG1,'Assumptions (Coal)'!$V$10,'Assumptions (Coal)'!$V$5*Model!$AU$18*AVERAGE('Assumptions (Coal)'!$AN$2:$AS$2)/10^9),0)</f>
        <v>0</v>
      </c>
      <c r="BF181" s="160">
        <f>IF($AU$18&gt;0,IPMT('Assumptions (Coal)'!$V$7,Model!AH1,'Assumptions (Coal)'!$V$10,'Assumptions (Coal)'!$V$5*Model!$AU$18*AVERAGE('Assumptions (Coal)'!$AN$2:$AS$2)/10^9),0)</f>
        <v>0</v>
      </c>
      <c r="BG181" s="160">
        <f>IF($AU$18&gt;0,IPMT('Assumptions (Coal)'!$V$7,Model!AI1,'Assumptions (Coal)'!$V$10,'Assumptions (Coal)'!$V$5*Model!$AU$18*AVERAGE('Assumptions (Coal)'!$AN$2:$AS$2)/10^9),0)</f>
        <v>0</v>
      </c>
      <c r="BH181" s="160">
        <f>IF($AU$18&gt;0,IPMT('Assumptions (Coal)'!$V$7,Model!AJ1,'Assumptions (Coal)'!$V$10,'Assumptions (Coal)'!$V$5*Model!$AU$18*AVERAGE('Assumptions (Coal)'!$AN$2:$AS$2)/10^9),0)</f>
        <v>0</v>
      </c>
      <c r="BI181" s="160">
        <f>IF($AU$18&gt;0,IPMT('Assumptions (Coal)'!$V$7,Model!AK1,'Assumptions (Coal)'!$V$10,'Assumptions (Coal)'!$V$5*Model!$AU$18*AVERAGE('Assumptions (Coal)'!$AN$2:$AS$2)/10^9),0)</f>
        <v>0</v>
      </c>
      <c r="BJ181" s="160"/>
      <c r="BK181" s="160"/>
      <c r="BL181" s="160"/>
      <c r="BM181" s="160"/>
      <c r="BN181" s="160"/>
      <c r="BO181" s="160"/>
    </row>
    <row r="182" ht="15.75" hidden="1" customHeight="1" outlineLevel="1">
      <c r="A182" s="158"/>
      <c r="B182" s="38"/>
      <c r="C182" s="174"/>
      <c r="D182" s="174"/>
      <c r="E182" s="174"/>
      <c r="F182" s="174"/>
      <c r="G182" s="174"/>
      <c r="H182" s="174"/>
      <c r="I182" s="174"/>
      <c r="J182" s="174"/>
      <c r="K182" s="174"/>
      <c r="L182" s="174"/>
      <c r="M182" s="174"/>
      <c r="N182" s="174"/>
      <c r="O182" s="174"/>
      <c r="P182" s="174"/>
      <c r="Q182" s="174"/>
      <c r="R182" s="174"/>
      <c r="S182" s="174"/>
      <c r="T182" s="174"/>
      <c r="U182" s="174"/>
      <c r="V182" s="174"/>
      <c r="W182" s="160"/>
      <c r="X182" s="160"/>
      <c r="Y182" s="160"/>
      <c r="Z182" s="160"/>
      <c r="AA182" s="160"/>
      <c r="AB182" s="160"/>
      <c r="AC182" s="160"/>
      <c r="AD182" s="160"/>
      <c r="AE182" s="160"/>
      <c r="AF182" s="160"/>
      <c r="AG182" s="160"/>
      <c r="AH182" s="160"/>
      <c r="AI182" s="160"/>
      <c r="AJ182" s="179"/>
      <c r="AK182" s="160"/>
      <c r="AL182" s="177"/>
      <c r="AM182" s="177"/>
      <c r="AN182" s="177"/>
      <c r="AO182" s="160"/>
      <c r="AP182" s="160"/>
      <c r="AQ182" s="160"/>
      <c r="AR182" s="160"/>
      <c r="AS182" s="160"/>
      <c r="AT182" s="160"/>
      <c r="AU182" s="160"/>
      <c r="AV182" s="160">
        <f>IF($AV$18&gt;0,IPMT('Assumptions (Coal)'!$V$7,Model!W1,'Assumptions (Coal)'!$V$10,'Assumptions (Coal)'!$V$5*Model!$AV$18*AVERAGE('Assumptions (Coal)'!$AO$2:$AT$2)/10^9),0)</f>
        <v>0</v>
      </c>
      <c r="AW182" s="160">
        <f>IF($AV$18&gt;0,IPMT('Assumptions (Coal)'!$V$7,Model!X1,'Assumptions (Coal)'!$V$10,'Assumptions (Coal)'!$V$5*Model!$AV$18*AVERAGE('Assumptions (Coal)'!$AO$2:$AT$2)/10^9),0)</f>
        <v>0</v>
      </c>
      <c r="AX182" s="160">
        <f>IF($AV$18&gt;0,IPMT('Assumptions (Coal)'!$V$7,Model!Y1,'Assumptions (Coal)'!$V$10,'Assumptions (Coal)'!$V$5*Model!$AV$18*AVERAGE('Assumptions (Coal)'!$AO$2:$AT$2)/10^9),0)</f>
        <v>0</v>
      </c>
      <c r="AY182" s="160">
        <f>IF($AV$18&gt;0,IPMT('Assumptions (Coal)'!$V$7,Model!Z1,'Assumptions (Coal)'!$V$10,'Assumptions (Coal)'!$V$5*Model!$AV$18*AVERAGE('Assumptions (Coal)'!$AO$2:$AT$2)/10^9),0)</f>
        <v>0</v>
      </c>
      <c r="AZ182" s="160">
        <f>IF($AV$18&gt;0,IPMT('Assumptions (Coal)'!$V$7,Model!AA1,'Assumptions (Coal)'!$V$10,'Assumptions (Coal)'!$V$5*Model!$AV$18*AVERAGE('Assumptions (Coal)'!$AO$2:$AT$2)/10^9),0)</f>
        <v>0</v>
      </c>
      <c r="BA182" s="160">
        <f>IF($AV$18&gt;0,IPMT('Assumptions (Coal)'!$V$7,Model!AB1,'Assumptions (Coal)'!$V$10,'Assumptions (Coal)'!$V$5*Model!$AV$18*AVERAGE('Assumptions (Coal)'!$AO$2:$AT$2)/10^9),0)</f>
        <v>0</v>
      </c>
      <c r="BB182" s="160">
        <f>IF($AV$18&gt;0,IPMT('Assumptions (Coal)'!$V$7,Model!AC1,'Assumptions (Coal)'!$V$10,'Assumptions (Coal)'!$V$5*Model!$AV$18*AVERAGE('Assumptions (Coal)'!$AO$2:$AT$2)/10^9),0)</f>
        <v>0</v>
      </c>
      <c r="BC182" s="160">
        <f>IF($AV$18&gt;0,IPMT('Assumptions (Coal)'!$V$7,Model!AD1,'Assumptions (Coal)'!$V$10,'Assumptions (Coal)'!$V$5*Model!$AV$18*AVERAGE('Assumptions (Coal)'!$AO$2:$AT$2)/10^9),0)</f>
        <v>0</v>
      </c>
      <c r="BD182" s="160">
        <f>IF($AV$18&gt;0,IPMT('Assumptions (Coal)'!$V$7,Model!AE1,'Assumptions (Coal)'!$V$10,'Assumptions (Coal)'!$V$5*Model!$AV$18*AVERAGE('Assumptions (Coal)'!$AO$2:$AT$2)/10^9),0)</f>
        <v>0</v>
      </c>
      <c r="BE182" s="160">
        <f>IF($AV$18&gt;0,IPMT('Assumptions (Coal)'!$V$7,Model!AF1,'Assumptions (Coal)'!$V$10,'Assumptions (Coal)'!$V$5*Model!$AV$18*AVERAGE('Assumptions (Coal)'!$AO$2:$AT$2)/10^9),0)</f>
        <v>0</v>
      </c>
      <c r="BF182" s="160">
        <f>IF($AV$18&gt;0,IPMT('Assumptions (Coal)'!$V$7,Model!AG1,'Assumptions (Coal)'!$V$10,'Assumptions (Coal)'!$V$5*Model!$AV$18*AVERAGE('Assumptions (Coal)'!$AO$2:$AT$2)/10^9),0)</f>
        <v>0</v>
      </c>
      <c r="BG182" s="160">
        <f>IF($AV$18&gt;0,IPMT('Assumptions (Coal)'!$V$7,Model!AH1,'Assumptions (Coal)'!$V$10,'Assumptions (Coal)'!$V$5*Model!$AV$18*AVERAGE('Assumptions (Coal)'!$AO$2:$AT$2)/10^9),0)</f>
        <v>0</v>
      </c>
      <c r="BH182" s="160">
        <f>IF($AV$18&gt;0,IPMT('Assumptions (Coal)'!$V$7,Model!AI1,'Assumptions (Coal)'!$V$10,'Assumptions (Coal)'!$V$5*Model!$AV$18*AVERAGE('Assumptions (Coal)'!$AO$2:$AT$2)/10^9),0)</f>
        <v>0</v>
      </c>
      <c r="BI182" s="160">
        <f>IF($AV$18&gt;0,IPMT('Assumptions (Coal)'!$V$7,Model!AJ1,'Assumptions (Coal)'!$V$10,'Assumptions (Coal)'!$V$5*Model!$AV$18*AVERAGE('Assumptions (Coal)'!$AO$2:$AT$2)/10^9),0)</f>
        <v>0</v>
      </c>
      <c r="BJ182" s="160">
        <f>IF($AV$18&gt;0,IPMT('Assumptions (Coal)'!$V$7,Model!AK1,'Assumptions (Coal)'!$V$10,'Assumptions (Coal)'!$V$5*Model!$AV$18*AVERAGE('Assumptions (Coal)'!$AO$2:$AT$2)/10^9),0)</f>
        <v>0</v>
      </c>
      <c r="BK182" s="160"/>
      <c r="BL182" s="160"/>
      <c r="BM182" s="160"/>
      <c r="BN182" s="160"/>
      <c r="BO182" s="160"/>
    </row>
    <row r="183" ht="15.75" hidden="1" customHeight="1" outlineLevel="1">
      <c r="A183" s="158"/>
      <c r="B183" s="38"/>
      <c r="C183" s="174"/>
      <c r="D183" s="174"/>
      <c r="E183" s="174"/>
      <c r="F183" s="174"/>
      <c r="G183" s="174"/>
      <c r="H183" s="174"/>
      <c r="I183" s="174"/>
      <c r="J183" s="174"/>
      <c r="K183" s="174"/>
      <c r="L183" s="174"/>
      <c r="M183" s="174"/>
      <c r="N183" s="174"/>
      <c r="O183" s="174"/>
      <c r="P183" s="174"/>
      <c r="Q183" s="174"/>
      <c r="R183" s="174"/>
      <c r="S183" s="174"/>
      <c r="T183" s="174"/>
      <c r="U183" s="174"/>
      <c r="V183" s="174"/>
      <c r="W183" s="160"/>
      <c r="X183" s="160"/>
      <c r="Y183" s="160"/>
      <c r="Z183" s="160"/>
      <c r="AA183" s="160"/>
      <c r="AB183" s="160"/>
      <c r="AC183" s="160"/>
      <c r="AD183" s="160"/>
      <c r="AE183" s="160"/>
      <c r="AF183" s="160"/>
      <c r="AG183" s="160"/>
      <c r="AH183" s="160"/>
      <c r="AI183" s="160"/>
      <c r="AJ183" s="179"/>
      <c r="AK183" s="160"/>
      <c r="AL183" s="177"/>
      <c r="AM183" s="177"/>
      <c r="AN183" s="177"/>
      <c r="AO183" s="160"/>
      <c r="AP183" s="160"/>
      <c r="AQ183" s="160"/>
      <c r="AR183" s="160"/>
      <c r="AS183" s="160"/>
      <c r="AT183" s="160"/>
      <c r="AU183" s="160"/>
      <c r="AV183" s="160"/>
      <c r="AW183" s="160">
        <f>IF($AW$18&gt;0,IPMT('Assumptions (Coal)'!$V$7,Model!W1,'Assumptions (Coal)'!$V$10,'Assumptions (Coal)'!$V$5*Model!$AW$18*AVERAGE('Assumptions (Coal)'!$AP$2:$AU$2)/10^9),0)</f>
        <v>0</v>
      </c>
      <c r="AX183" s="160">
        <f>IF($AW$18&gt;0,IPMT('Assumptions (Coal)'!$V$7,Model!X1,'Assumptions (Coal)'!$V$10,'Assumptions (Coal)'!$V$5*Model!$AW$18*AVERAGE('Assumptions (Coal)'!$AP$2:$AU$2)/10^9),0)</f>
        <v>0</v>
      </c>
      <c r="AY183" s="160">
        <f>IF($AW$18&gt;0,IPMT('Assumptions (Coal)'!$V$7,Model!Y1,'Assumptions (Coal)'!$V$10,'Assumptions (Coal)'!$V$5*Model!$AW$18*AVERAGE('Assumptions (Coal)'!$AP$2:$AU$2)/10^9),0)</f>
        <v>0</v>
      </c>
      <c r="AZ183" s="160">
        <f>IF($AW$18&gt;0,IPMT('Assumptions (Coal)'!$V$7,Model!Z1,'Assumptions (Coal)'!$V$10,'Assumptions (Coal)'!$V$5*Model!$AW$18*AVERAGE('Assumptions (Coal)'!$AP$2:$AU$2)/10^9),0)</f>
        <v>0</v>
      </c>
      <c r="BA183" s="160">
        <f>IF($AW$18&gt;0,IPMT('Assumptions (Coal)'!$V$7,Model!AA1,'Assumptions (Coal)'!$V$10,'Assumptions (Coal)'!$V$5*Model!$AW$18*AVERAGE('Assumptions (Coal)'!$AP$2:$AU$2)/10^9),0)</f>
        <v>0</v>
      </c>
      <c r="BB183" s="160">
        <f>IF($AW$18&gt;0,IPMT('Assumptions (Coal)'!$V$7,Model!AB1,'Assumptions (Coal)'!$V$10,'Assumptions (Coal)'!$V$5*Model!$AW$18*AVERAGE('Assumptions (Coal)'!$AP$2:$AU$2)/10^9),0)</f>
        <v>0</v>
      </c>
      <c r="BC183" s="160">
        <f>IF($AW$18&gt;0,IPMT('Assumptions (Coal)'!$V$7,Model!AC1,'Assumptions (Coal)'!$V$10,'Assumptions (Coal)'!$V$5*Model!$AW$18*AVERAGE('Assumptions (Coal)'!$AP$2:$AU$2)/10^9),0)</f>
        <v>0</v>
      </c>
      <c r="BD183" s="160">
        <f>IF($AW$18&gt;0,IPMT('Assumptions (Coal)'!$V$7,Model!AD1,'Assumptions (Coal)'!$V$10,'Assumptions (Coal)'!$V$5*Model!$AW$18*AVERAGE('Assumptions (Coal)'!$AP$2:$AU$2)/10^9),0)</f>
        <v>0</v>
      </c>
      <c r="BE183" s="160">
        <f>IF($AW$18&gt;0,IPMT('Assumptions (Coal)'!$V$7,Model!AE1,'Assumptions (Coal)'!$V$10,'Assumptions (Coal)'!$V$5*Model!$AW$18*AVERAGE('Assumptions (Coal)'!$AP$2:$AU$2)/10^9),0)</f>
        <v>0</v>
      </c>
      <c r="BF183" s="160">
        <f>IF($AW$18&gt;0,IPMT('Assumptions (Coal)'!$V$7,Model!AF1,'Assumptions (Coal)'!$V$10,'Assumptions (Coal)'!$V$5*Model!$AW$18*AVERAGE('Assumptions (Coal)'!$AP$2:$AU$2)/10^9),0)</f>
        <v>0</v>
      </c>
      <c r="BG183" s="160">
        <f>IF($AW$18&gt;0,IPMT('Assumptions (Coal)'!$V$7,Model!AG1,'Assumptions (Coal)'!$V$10,'Assumptions (Coal)'!$V$5*Model!$AW$18*AVERAGE('Assumptions (Coal)'!$AP$2:$AU$2)/10^9),0)</f>
        <v>0</v>
      </c>
      <c r="BH183" s="160">
        <f>IF($AW$18&gt;0,IPMT('Assumptions (Coal)'!$V$7,Model!AH1,'Assumptions (Coal)'!$V$10,'Assumptions (Coal)'!$V$5*Model!$AW$18*AVERAGE('Assumptions (Coal)'!$AP$2:$AU$2)/10^9),0)</f>
        <v>0</v>
      </c>
      <c r="BI183" s="160">
        <f>IF($AW$18&gt;0,IPMT('Assumptions (Coal)'!$V$7,Model!AI1,'Assumptions (Coal)'!$V$10,'Assumptions (Coal)'!$V$5*Model!$AW$18*AVERAGE('Assumptions (Coal)'!$AP$2:$AU$2)/10^9),0)</f>
        <v>0</v>
      </c>
      <c r="BJ183" s="160">
        <f>IF($AW$18&gt;0,IPMT('Assumptions (Coal)'!$V$7,Model!AJ1,'Assumptions (Coal)'!$V$10,'Assumptions (Coal)'!$V$5*Model!$AW$18*AVERAGE('Assumptions (Coal)'!$AP$2:$AU$2)/10^9),0)</f>
        <v>0</v>
      </c>
      <c r="BK183" s="160">
        <f>IF($AW$18&gt;0,IPMT('Assumptions (Coal)'!$V$7,Model!AK1,'Assumptions (Coal)'!$V$10,'Assumptions (Coal)'!$V$5*Model!$AW$18*AVERAGE('Assumptions (Coal)'!$AP$2:$AU$2)/10^9),0)</f>
        <v>0</v>
      </c>
      <c r="BL183" s="160"/>
      <c r="BM183" s="160"/>
      <c r="BN183" s="160"/>
      <c r="BO183" s="160"/>
    </row>
    <row r="184" ht="15.75" hidden="1" customHeight="1" outlineLevel="1">
      <c r="A184" s="158"/>
      <c r="B184" s="38"/>
      <c r="C184" s="174"/>
      <c r="D184" s="174"/>
      <c r="E184" s="174"/>
      <c r="F184" s="174"/>
      <c r="G184" s="174"/>
      <c r="H184" s="174"/>
      <c r="I184" s="174"/>
      <c r="J184" s="174"/>
      <c r="K184" s="174"/>
      <c r="L184" s="174"/>
      <c r="M184" s="174"/>
      <c r="N184" s="174"/>
      <c r="O184" s="174"/>
      <c r="P184" s="174"/>
      <c r="Q184" s="174"/>
      <c r="R184" s="174"/>
      <c r="S184" s="174"/>
      <c r="T184" s="174"/>
      <c r="U184" s="174"/>
      <c r="V184" s="174"/>
      <c r="W184" s="160"/>
      <c r="X184" s="160"/>
      <c r="Y184" s="160"/>
      <c r="Z184" s="160"/>
      <c r="AA184" s="160"/>
      <c r="AB184" s="160"/>
      <c r="AC184" s="160"/>
      <c r="AD184" s="160"/>
      <c r="AE184" s="160"/>
      <c r="AF184" s="160"/>
      <c r="AG184" s="160"/>
      <c r="AH184" s="160"/>
      <c r="AI184" s="160"/>
      <c r="AJ184" s="179"/>
      <c r="AK184" s="160"/>
      <c r="AL184" s="177"/>
      <c r="AM184" s="177"/>
      <c r="AN184" s="177"/>
      <c r="AO184" s="160"/>
      <c r="AP184" s="160"/>
      <c r="AQ184" s="160"/>
      <c r="AR184" s="160"/>
      <c r="AS184" s="160"/>
      <c r="AT184" s="160"/>
      <c r="AU184" s="160"/>
      <c r="AV184" s="160"/>
      <c r="AW184" s="160"/>
      <c r="AX184" s="160">
        <f>IF($AX$18&gt;0,IPMT('Assumptions (Coal)'!$V$7,Model!W1,'Assumptions (Coal)'!$V$10,'Assumptions (Coal)'!$V$5*Model!$AX$18*AVERAGE('Assumptions (Coal)'!$AQ$2:$AV$2)/10^9),0)</f>
        <v>0</v>
      </c>
      <c r="AY184" s="160">
        <f>IF($AX$18&gt;0,IPMT('Assumptions (Coal)'!$V$7,Model!X1,'Assumptions (Coal)'!$V$10,'Assumptions (Coal)'!$V$5*Model!$AX$18*AVERAGE('Assumptions (Coal)'!$AQ$2:$AV$2)/10^9),0)</f>
        <v>0</v>
      </c>
      <c r="AZ184" s="160">
        <f>IF($AX$18&gt;0,IPMT('Assumptions (Coal)'!$V$7,Model!Y1,'Assumptions (Coal)'!$V$10,'Assumptions (Coal)'!$V$5*Model!$AX$18*AVERAGE('Assumptions (Coal)'!$AQ$2:$AV$2)/10^9),0)</f>
        <v>0</v>
      </c>
      <c r="BA184" s="160">
        <f>IF($AX$18&gt;0,IPMT('Assumptions (Coal)'!$V$7,Model!Z1,'Assumptions (Coal)'!$V$10,'Assumptions (Coal)'!$V$5*Model!$AX$18*AVERAGE('Assumptions (Coal)'!$AQ$2:$AV$2)/10^9),0)</f>
        <v>0</v>
      </c>
      <c r="BB184" s="160">
        <f>IF($AX$18&gt;0,IPMT('Assumptions (Coal)'!$V$7,Model!AA1,'Assumptions (Coal)'!$V$10,'Assumptions (Coal)'!$V$5*Model!$AX$18*AVERAGE('Assumptions (Coal)'!$AQ$2:$AV$2)/10^9),0)</f>
        <v>0</v>
      </c>
      <c r="BC184" s="160">
        <f>IF($AX$18&gt;0,IPMT('Assumptions (Coal)'!$V$7,Model!AB1,'Assumptions (Coal)'!$V$10,'Assumptions (Coal)'!$V$5*Model!$AX$18*AVERAGE('Assumptions (Coal)'!$AQ$2:$AV$2)/10^9),0)</f>
        <v>0</v>
      </c>
      <c r="BD184" s="160">
        <f>IF($AX$18&gt;0,IPMT('Assumptions (Coal)'!$V$7,Model!AC1,'Assumptions (Coal)'!$V$10,'Assumptions (Coal)'!$V$5*Model!$AX$18*AVERAGE('Assumptions (Coal)'!$AQ$2:$AV$2)/10^9),0)</f>
        <v>0</v>
      </c>
      <c r="BE184" s="160">
        <f>IF($AX$18&gt;0,IPMT('Assumptions (Coal)'!$V$7,Model!AD1,'Assumptions (Coal)'!$V$10,'Assumptions (Coal)'!$V$5*Model!$AX$18*AVERAGE('Assumptions (Coal)'!$AQ$2:$AV$2)/10^9),0)</f>
        <v>0</v>
      </c>
      <c r="BF184" s="160">
        <f>IF($AX$18&gt;0,IPMT('Assumptions (Coal)'!$V$7,Model!AE1,'Assumptions (Coal)'!$V$10,'Assumptions (Coal)'!$V$5*Model!$AX$18*AVERAGE('Assumptions (Coal)'!$AQ$2:$AV$2)/10^9),0)</f>
        <v>0</v>
      </c>
      <c r="BG184" s="160">
        <f>IF($AX$18&gt;0,IPMT('Assumptions (Coal)'!$V$7,Model!AF1,'Assumptions (Coal)'!$V$10,'Assumptions (Coal)'!$V$5*Model!$AX$18*AVERAGE('Assumptions (Coal)'!$AQ$2:$AV$2)/10^9),0)</f>
        <v>0</v>
      </c>
      <c r="BH184" s="160">
        <f>IF($AX$18&gt;0,IPMT('Assumptions (Coal)'!$V$7,Model!AG1,'Assumptions (Coal)'!$V$10,'Assumptions (Coal)'!$V$5*Model!$AX$18*AVERAGE('Assumptions (Coal)'!$AQ$2:$AV$2)/10^9),0)</f>
        <v>0</v>
      </c>
      <c r="BI184" s="160">
        <f>IF($AX$18&gt;0,IPMT('Assumptions (Coal)'!$V$7,Model!AH1,'Assumptions (Coal)'!$V$10,'Assumptions (Coal)'!$V$5*Model!$AX$18*AVERAGE('Assumptions (Coal)'!$AQ$2:$AV$2)/10^9),0)</f>
        <v>0</v>
      </c>
      <c r="BJ184" s="160">
        <f>IF($AX$18&gt;0,IPMT('Assumptions (Coal)'!$V$7,Model!AI1,'Assumptions (Coal)'!$V$10,'Assumptions (Coal)'!$V$5*Model!$AX$18*AVERAGE('Assumptions (Coal)'!$AQ$2:$AV$2)/10^9),0)</f>
        <v>0</v>
      </c>
      <c r="BK184" s="160">
        <f>IF($AX$18&gt;0,IPMT('Assumptions (Coal)'!$V$7,Model!AJ1,'Assumptions (Coal)'!$V$10,'Assumptions (Coal)'!$V$5*Model!$AX$18*AVERAGE('Assumptions (Coal)'!$AQ$2:$AV$2)/10^9),0)</f>
        <v>0</v>
      </c>
      <c r="BL184" s="160">
        <f>IF($AX$18&gt;0,IPMT('Assumptions (Coal)'!$V$7,Model!AK1,'Assumptions (Coal)'!$V$10,'Assumptions (Coal)'!$V$5*Model!$AX$18*AVERAGE('Assumptions (Coal)'!$AQ$2:$AV$2)/10^9),0)</f>
        <v>0</v>
      </c>
      <c r="BM184" s="160"/>
      <c r="BN184" s="160"/>
      <c r="BO184" s="160"/>
    </row>
    <row r="185" ht="15.75" hidden="1" customHeight="1" outlineLevel="1">
      <c r="A185" s="158"/>
      <c r="B185" s="38"/>
      <c r="C185" s="174"/>
      <c r="D185" s="174"/>
      <c r="E185" s="174"/>
      <c r="F185" s="174"/>
      <c r="G185" s="174"/>
      <c r="H185" s="174"/>
      <c r="I185" s="174"/>
      <c r="J185" s="174"/>
      <c r="K185" s="174"/>
      <c r="L185" s="174"/>
      <c r="M185" s="174"/>
      <c r="N185" s="174"/>
      <c r="O185" s="174"/>
      <c r="P185" s="174"/>
      <c r="Q185" s="174"/>
      <c r="R185" s="174"/>
      <c r="S185" s="174"/>
      <c r="T185" s="174"/>
      <c r="U185" s="174"/>
      <c r="V185" s="174"/>
      <c r="W185" s="160"/>
      <c r="X185" s="160"/>
      <c r="Y185" s="160"/>
      <c r="Z185" s="160"/>
      <c r="AA185" s="160"/>
      <c r="AB185" s="160"/>
      <c r="AC185" s="160"/>
      <c r="AD185" s="160"/>
      <c r="AE185" s="160"/>
      <c r="AF185" s="160"/>
      <c r="AG185" s="160"/>
      <c r="AH185" s="160"/>
      <c r="AI185" s="160"/>
      <c r="AJ185" s="179"/>
      <c r="AK185" s="160"/>
      <c r="AL185" s="177"/>
      <c r="AM185" s="177"/>
      <c r="AN185" s="177"/>
      <c r="AO185" s="160"/>
      <c r="AP185" s="160"/>
      <c r="AQ185" s="160"/>
      <c r="AR185" s="160"/>
      <c r="AS185" s="160"/>
      <c r="AT185" s="160"/>
      <c r="AU185" s="160"/>
      <c r="AV185" s="160"/>
      <c r="AW185" s="160"/>
      <c r="AX185" s="160"/>
      <c r="AY185" s="160">
        <f>IF($AY$18&gt;0,IPMT('Assumptions (Coal)'!$V$7,Model!W1,'Assumptions (Coal)'!$V$10,'Assumptions (Coal)'!$V$5*Model!$AY$18*AVERAGE('Assumptions (Coal)'!$AR$2:$AW$2)/10^9),0)</f>
        <v>0</v>
      </c>
      <c r="AZ185" s="160">
        <f>IF($AY$18&gt;0,IPMT('Assumptions (Coal)'!$V$7,Model!X1,'Assumptions (Coal)'!$V$10,'Assumptions (Coal)'!$V$5*Model!$AY$18*AVERAGE('Assumptions (Coal)'!$AR$2:$AW$2)/10^9),0)</f>
        <v>0</v>
      </c>
      <c r="BA185" s="160">
        <f>IF($AY$18&gt;0,IPMT('Assumptions (Coal)'!$V$7,Model!Y1,'Assumptions (Coal)'!$V$10,'Assumptions (Coal)'!$V$5*Model!$AY$18*AVERAGE('Assumptions (Coal)'!$AR$2:$AW$2)/10^9),0)</f>
        <v>0</v>
      </c>
      <c r="BB185" s="160">
        <f>IF($AY$18&gt;0,IPMT('Assumptions (Coal)'!$V$7,Model!Z1,'Assumptions (Coal)'!$V$10,'Assumptions (Coal)'!$V$5*Model!$AY$18*AVERAGE('Assumptions (Coal)'!$AR$2:$AW$2)/10^9),0)</f>
        <v>0</v>
      </c>
      <c r="BC185" s="160">
        <f>IF($AY$18&gt;0,IPMT('Assumptions (Coal)'!$V$7,Model!AA1,'Assumptions (Coal)'!$V$10,'Assumptions (Coal)'!$V$5*Model!$AY$18*AVERAGE('Assumptions (Coal)'!$AR$2:$AW$2)/10^9),0)</f>
        <v>0</v>
      </c>
      <c r="BD185" s="160">
        <f>IF($AY$18&gt;0,IPMT('Assumptions (Coal)'!$V$7,Model!AB1,'Assumptions (Coal)'!$V$10,'Assumptions (Coal)'!$V$5*Model!$AY$18*AVERAGE('Assumptions (Coal)'!$AR$2:$AW$2)/10^9),0)</f>
        <v>0</v>
      </c>
      <c r="BE185" s="160">
        <f>IF($AY$18&gt;0,IPMT('Assumptions (Coal)'!$V$7,Model!AC1,'Assumptions (Coal)'!$V$10,'Assumptions (Coal)'!$V$5*Model!$AY$18*AVERAGE('Assumptions (Coal)'!$AR$2:$AW$2)/10^9),0)</f>
        <v>0</v>
      </c>
      <c r="BF185" s="160">
        <f>IF($AY$18&gt;0,IPMT('Assumptions (Coal)'!$V$7,Model!AD1,'Assumptions (Coal)'!$V$10,'Assumptions (Coal)'!$V$5*Model!$AY$18*AVERAGE('Assumptions (Coal)'!$AR$2:$AW$2)/10^9),0)</f>
        <v>0</v>
      </c>
      <c r="BG185" s="160">
        <f>IF($AY$18&gt;0,IPMT('Assumptions (Coal)'!$V$7,Model!AE1,'Assumptions (Coal)'!$V$10,'Assumptions (Coal)'!$V$5*Model!$AY$18*AVERAGE('Assumptions (Coal)'!$AR$2:$AW$2)/10^9),0)</f>
        <v>0</v>
      </c>
      <c r="BH185" s="160">
        <f>IF($AY$18&gt;0,IPMT('Assumptions (Coal)'!$V$7,Model!AF1,'Assumptions (Coal)'!$V$10,'Assumptions (Coal)'!$V$5*Model!$AY$18*AVERAGE('Assumptions (Coal)'!$AR$2:$AW$2)/10^9),0)</f>
        <v>0</v>
      </c>
      <c r="BI185" s="160">
        <f>IF($AY$18&gt;0,IPMT('Assumptions (Coal)'!$V$7,Model!AG1,'Assumptions (Coal)'!$V$10,'Assumptions (Coal)'!$V$5*Model!$AY$18*AVERAGE('Assumptions (Coal)'!$AR$2:$AW$2)/10^9),0)</f>
        <v>0</v>
      </c>
      <c r="BJ185" s="160">
        <f>IF($AY$18&gt;0,IPMT('Assumptions (Coal)'!$V$7,Model!AH1,'Assumptions (Coal)'!$V$10,'Assumptions (Coal)'!$V$5*Model!$AY$18*AVERAGE('Assumptions (Coal)'!$AR$2:$AW$2)/10^9),0)</f>
        <v>0</v>
      </c>
      <c r="BK185" s="160">
        <f>IF($AY$18&gt;0,IPMT('Assumptions (Coal)'!$V$7,Model!AI1,'Assumptions (Coal)'!$V$10,'Assumptions (Coal)'!$V$5*Model!$AY$18*AVERAGE('Assumptions (Coal)'!$AR$2:$AW$2)/10^9),0)</f>
        <v>0</v>
      </c>
      <c r="BL185" s="160">
        <f>IF($AY$18&gt;0,IPMT('Assumptions (Coal)'!$V$7,Model!AJ1,'Assumptions (Coal)'!$V$10,'Assumptions (Coal)'!$V$5*Model!$AY$18*AVERAGE('Assumptions (Coal)'!$AR$2:$AW$2)/10^9),0)</f>
        <v>0</v>
      </c>
      <c r="BM185" s="160">
        <f>IF($AY$18&gt;0,IPMT('Assumptions (Coal)'!$V$7,Model!AK1,'Assumptions (Coal)'!$V$10,'Assumptions (Coal)'!$V$5*Model!$AY$18*AVERAGE('Assumptions (Coal)'!$AR$2:$AW$2)/10^9),0)</f>
        <v>0</v>
      </c>
      <c r="BN185" s="160"/>
      <c r="BO185" s="160"/>
    </row>
    <row r="186" ht="15.75" hidden="1" customHeight="1" outlineLevel="1">
      <c r="A186" s="158"/>
      <c r="B186" s="38"/>
      <c r="C186" s="174"/>
      <c r="D186" s="174"/>
      <c r="E186" s="174"/>
      <c r="F186" s="174"/>
      <c r="G186" s="174"/>
      <c r="H186" s="174"/>
      <c r="I186" s="174"/>
      <c r="J186" s="174"/>
      <c r="K186" s="174"/>
      <c r="L186" s="174"/>
      <c r="M186" s="174"/>
      <c r="N186" s="174"/>
      <c r="O186" s="174"/>
      <c r="P186" s="174"/>
      <c r="Q186" s="174"/>
      <c r="R186" s="174"/>
      <c r="S186" s="174"/>
      <c r="T186" s="174"/>
      <c r="U186" s="174"/>
      <c r="V186" s="174"/>
      <c r="W186" s="160"/>
      <c r="X186" s="160"/>
      <c r="Y186" s="160"/>
      <c r="Z186" s="160"/>
      <c r="AA186" s="160"/>
      <c r="AB186" s="160"/>
      <c r="AC186" s="160"/>
      <c r="AD186" s="160"/>
      <c r="AE186" s="160"/>
      <c r="AF186" s="160"/>
      <c r="AG186" s="160"/>
      <c r="AH186" s="160"/>
      <c r="AI186" s="160"/>
      <c r="AJ186" s="179"/>
      <c r="AK186" s="160"/>
      <c r="AL186" s="177"/>
      <c r="AM186" s="177"/>
      <c r="AN186" s="177"/>
      <c r="AO186" s="160"/>
      <c r="AP186" s="160"/>
      <c r="AQ186" s="160"/>
      <c r="AR186" s="160"/>
      <c r="AS186" s="160"/>
      <c r="AT186" s="160"/>
      <c r="AU186" s="160"/>
      <c r="AV186" s="160"/>
      <c r="AW186" s="160"/>
      <c r="AX186" s="160"/>
      <c r="AY186" s="160"/>
      <c r="AZ186" s="160">
        <f>IF($AZ$18&gt;0,IPMT('Assumptions (Coal)'!$V$7,Model!W1,'Assumptions (Coal)'!$V$10,'Assumptions (Coal)'!$V$5*Model!$AZ$18*AVERAGE('Assumptions (Coal)'!$AS$2:$AX$2)/10^9),0)</f>
        <v>0</v>
      </c>
      <c r="BA186" s="160">
        <f>IF($AZ$18&gt;0,IPMT('Assumptions (Coal)'!$V$7,Model!X1,'Assumptions (Coal)'!$V$10,'Assumptions (Coal)'!$V$5*Model!$AZ$18*AVERAGE('Assumptions (Coal)'!$AS$2:$AX$2)/10^9),0)</f>
        <v>0</v>
      </c>
      <c r="BB186" s="160">
        <f>IF($AZ$18&gt;0,IPMT('Assumptions (Coal)'!$V$7,Model!Y1,'Assumptions (Coal)'!$V$10,'Assumptions (Coal)'!$V$5*Model!$AZ$18*AVERAGE('Assumptions (Coal)'!$AS$2:$AX$2)/10^9),0)</f>
        <v>0</v>
      </c>
      <c r="BC186" s="160">
        <f>IF($AZ$18&gt;0,IPMT('Assumptions (Coal)'!$V$7,Model!Z1,'Assumptions (Coal)'!$V$10,'Assumptions (Coal)'!$V$5*Model!$AZ$18*AVERAGE('Assumptions (Coal)'!$AS$2:$AX$2)/10^9),0)</f>
        <v>0</v>
      </c>
      <c r="BD186" s="160">
        <f>IF($AZ$18&gt;0,IPMT('Assumptions (Coal)'!$V$7,Model!AA1,'Assumptions (Coal)'!$V$10,'Assumptions (Coal)'!$V$5*Model!$AZ$18*AVERAGE('Assumptions (Coal)'!$AS$2:$AX$2)/10^9),0)</f>
        <v>0</v>
      </c>
      <c r="BE186" s="160">
        <f>IF($AZ$18&gt;0,IPMT('Assumptions (Coal)'!$V$7,Model!AB1,'Assumptions (Coal)'!$V$10,'Assumptions (Coal)'!$V$5*Model!$AZ$18*AVERAGE('Assumptions (Coal)'!$AS$2:$AX$2)/10^9),0)</f>
        <v>0</v>
      </c>
      <c r="BF186" s="160">
        <f>IF($AZ$18&gt;0,IPMT('Assumptions (Coal)'!$V$7,Model!AC1,'Assumptions (Coal)'!$V$10,'Assumptions (Coal)'!$V$5*Model!$AZ$18*AVERAGE('Assumptions (Coal)'!$AS$2:$AX$2)/10^9),0)</f>
        <v>0</v>
      </c>
      <c r="BG186" s="160">
        <f>IF($AZ$18&gt;0,IPMT('Assumptions (Coal)'!$V$7,Model!AD1,'Assumptions (Coal)'!$V$10,'Assumptions (Coal)'!$V$5*Model!$AZ$18*AVERAGE('Assumptions (Coal)'!$AS$2:$AX$2)/10^9),0)</f>
        <v>0</v>
      </c>
      <c r="BH186" s="160">
        <f>IF($AZ$18&gt;0,IPMT('Assumptions (Coal)'!$V$7,Model!AE1,'Assumptions (Coal)'!$V$10,'Assumptions (Coal)'!$V$5*Model!$AZ$18*AVERAGE('Assumptions (Coal)'!$AS$2:$AX$2)/10^9),0)</f>
        <v>0</v>
      </c>
      <c r="BI186" s="160">
        <f>IF($AZ$18&gt;0,IPMT('Assumptions (Coal)'!$V$7,Model!AF1,'Assumptions (Coal)'!$V$10,'Assumptions (Coal)'!$V$5*Model!$AZ$18*AVERAGE('Assumptions (Coal)'!$AS$2:$AX$2)/10^9),0)</f>
        <v>0</v>
      </c>
      <c r="BJ186" s="160">
        <f>IF($AZ$18&gt;0,IPMT('Assumptions (Coal)'!$V$7,Model!AG1,'Assumptions (Coal)'!$V$10,'Assumptions (Coal)'!$V$5*Model!$AZ$18*AVERAGE('Assumptions (Coal)'!$AS$2:$AX$2)/10^9),0)</f>
        <v>0</v>
      </c>
      <c r="BK186" s="160">
        <f>IF($AZ$18&gt;0,IPMT('Assumptions (Coal)'!$V$7,Model!AH1,'Assumptions (Coal)'!$V$10,'Assumptions (Coal)'!$V$5*Model!$AZ$18*AVERAGE('Assumptions (Coal)'!$AS$2:$AX$2)/10^9),0)</f>
        <v>0</v>
      </c>
      <c r="BL186" s="160">
        <f>IF($AZ$18&gt;0,IPMT('Assumptions (Coal)'!$V$7,Model!AI1,'Assumptions (Coal)'!$V$10,'Assumptions (Coal)'!$V$5*Model!$AZ$18*AVERAGE('Assumptions (Coal)'!$AS$2:$AX$2)/10^9),0)</f>
        <v>0</v>
      </c>
      <c r="BM186" s="160">
        <f>IF($AZ$18&gt;0,IPMT('Assumptions (Coal)'!$V$7,Model!AJ1,'Assumptions (Coal)'!$V$10,'Assumptions (Coal)'!$V$5*Model!$AZ$18*AVERAGE('Assumptions (Coal)'!$AS$2:$AX$2)/10^9),0)</f>
        <v>0</v>
      </c>
      <c r="BN186" s="160">
        <f>IF($AZ$18&gt;0,IPMT('Assumptions (Coal)'!$V$7,Model!AK1,'Assumptions (Coal)'!$V$10,'Assumptions (Coal)'!$V$5*Model!$AZ$18*AVERAGE('Assumptions (Coal)'!$AS$2:$AX$2)/10^9),0)</f>
        <v>0</v>
      </c>
      <c r="BO186" s="160"/>
    </row>
    <row r="187" ht="15.75" hidden="1" customHeight="1" outlineLevel="1">
      <c r="A187" s="158"/>
      <c r="B187" s="38"/>
      <c r="C187" s="174"/>
      <c r="D187" s="174"/>
      <c r="E187" s="174"/>
      <c r="F187" s="174"/>
      <c r="G187" s="174"/>
      <c r="H187" s="174"/>
      <c r="I187" s="174"/>
      <c r="J187" s="174"/>
      <c r="K187" s="174"/>
      <c r="L187" s="174"/>
      <c r="M187" s="174"/>
      <c r="N187" s="174"/>
      <c r="O187" s="174"/>
      <c r="P187" s="174"/>
      <c r="Q187" s="174"/>
      <c r="R187" s="174"/>
      <c r="S187" s="174"/>
      <c r="T187" s="174"/>
      <c r="U187" s="174"/>
      <c r="V187" s="174"/>
      <c r="W187" s="160"/>
      <c r="X187" s="160"/>
      <c r="Y187" s="160"/>
      <c r="Z187" s="160"/>
      <c r="AA187" s="160"/>
      <c r="AB187" s="160"/>
      <c r="AC187" s="160"/>
      <c r="AD187" s="160"/>
      <c r="AE187" s="160"/>
      <c r="AF187" s="160"/>
      <c r="AG187" s="160"/>
      <c r="AH187" s="160"/>
      <c r="AI187" s="160"/>
      <c r="AJ187" s="179"/>
      <c r="AK187" s="160"/>
      <c r="AL187" s="177"/>
      <c r="AM187" s="177"/>
      <c r="AN187" s="177"/>
      <c r="AO187" s="160"/>
      <c r="AP187" s="160"/>
      <c r="AQ187" s="160"/>
      <c r="AR187" s="160"/>
      <c r="AS187" s="160"/>
      <c r="AT187" s="160"/>
      <c r="AU187" s="160"/>
      <c r="AV187" s="160"/>
      <c r="AW187" s="160"/>
      <c r="AX187" s="160"/>
      <c r="AY187" s="160"/>
      <c r="AZ187" s="160"/>
      <c r="BA187" s="160">
        <f>IF($BA$18&gt;0,IPMT('Assumptions (Coal)'!$V$7,Model!W1,'Assumptions (Coal)'!$V$10,'Assumptions (Coal)'!$V$5*Model!$BA$18*AVERAGE('Assumptions (Coal)'!$AT$2:$AY$2)/10^9),0)</f>
        <v>0</v>
      </c>
      <c r="BB187" s="160">
        <f>IF($BA$18&gt;0,IPMT('Assumptions (Coal)'!$V$7,Model!X1,'Assumptions (Coal)'!$V$10,'Assumptions (Coal)'!$V$5*Model!$BA$18*AVERAGE('Assumptions (Coal)'!$AT$2:$AY$2)/10^9),0)</f>
        <v>0</v>
      </c>
      <c r="BC187" s="160">
        <f>IF($BA$18&gt;0,IPMT('Assumptions (Coal)'!$V$7,Model!Y1,'Assumptions (Coal)'!$V$10,'Assumptions (Coal)'!$V$5*Model!$BA$18*AVERAGE('Assumptions (Coal)'!$AT$2:$AY$2)/10^9),0)</f>
        <v>0</v>
      </c>
      <c r="BD187" s="160">
        <f>IF($BA$18&gt;0,IPMT('Assumptions (Coal)'!$V$7,Model!Z1,'Assumptions (Coal)'!$V$10,'Assumptions (Coal)'!$V$5*Model!$BA$18*AVERAGE('Assumptions (Coal)'!$AT$2:$AY$2)/10^9),0)</f>
        <v>0</v>
      </c>
      <c r="BE187" s="160">
        <f>IF($BA$18&gt;0,IPMT('Assumptions (Coal)'!$V$7,Model!AA1,'Assumptions (Coal)'!$V$10,'Assumptions (Coal)'!$V$5*Model!$BA$18*AVERAGE('Assumptions (Coal)'!$AT$2:$AY$2)/10^9),0)</f>
        <v>0</v>
      </c>
      <c r="BF187" s="160">
        <f>IF($BA$18&gt;0,IPMT('Assumptions (Coal)'!$V$7,Model!AB1,'Assumptions (Coal)'!$V$10,'Assumptions (Coal)'!$V$5*Model!$BA$18*AVERAGE('Assumptions (Coal)'!$AT$2:$AY$2)/10^9),0)</f>
        <v>0</v>
      </c>
      <c r="BG187" s="160">
        <f>IF($BA$18&gt;0,IPMT('Assumptions (Coal)'!$V$7,Model!AC1,'Assumptions (Coal)'!$V$10,'Assumptions (Coal)'!$V$5*Model!$BA$18*AVERAGE('Assumptions (Coal)'!$AT$2:$AY$2)/10^9),0)</f>
        <v>0</v>
      </c>
      <c r="BH187" s="160">
        <f>IF($BA$18&gt;0,IPMT('Assumptions (Coal)'!$V$7,Model!AD1,'Assumptions (Coal)'!$V$10,'Assumptions (Coal)'!$V$5*Model!$BA$18*AVERAGE('Assumptions (Coal)'!$AT$2:$AY$2)/10^9),0)</f>
        <v>0</v>
      </c>
      <c r="BI187" s="160">
        <f>IF($BA$18&gt;0,IPMT('Assumptions (Coal)'!$V$7,Model!AE1,'Assumptions (Coal)'!$V$10,'Assumptions (Coal)'!$V$5*Model!$BA$18*AVERAGE('Assumptions (Coal)'!$AT$2:$AY$2)/10^9),0)</f>
        <v>0</v>
      </c>
      <c r="BJ187" s="160">
        <f>IF($BA$18&gt;0,IPMT('Assumptions (Coal)'!$V$7,Model!AF1,'Assumptions (Coal)'!$V$10,'Assumptions (Coal)'!$V$5*Model!$BA$18*AVERAGE('Assumptions (Coal)'!$AT$2:$AY$2)/10^9),0)</f>
        <v>0</v>
      </c>
      <c r="BK187" s="160">
        <f>IF($BA$18&gt;0,IPMT('Assumptions (Coal)'!$V$7,Model!AG1,'Assumptions (Coal)'!$V$10,'Assumptions (Coal)'!$V$5*Model!$BA$18*AVERAGE('Assumptions (Coal)'!$AT$2:$AY$2)/10^9),0)</f>
        <v>0</v>
      </c>
      <c r="BL187" s="160">
        <f>IF($BA$18&gt;0,IPMT('Assumptions (Coal)'!$V$7,Model!AH1,'Assumptions (Coal)'!$V$10,'Assumptions (Coal)'!$V$5*Model!$BA$18*AVERAGE('Assumptions (Coal)'!$AT$2:$AY$2)/10^9),0)</f>
        <v>0</v>
      </c>
      <c r="BM187" s="160">
        <f>IF($BA$18&gt;0,IPMT('Assumptions (Coal)'!$V$7,Model!AI1,'Assumptions (Coal)'!$V$10,'Assumptions (Coal)'!$V$5*Model!$BA$18*AVERAGE('Assumptions (Coal)'!$AT$2:$AY$2)/10^9),0)</f>
        <v>0</v>
      </c>
      <c r="BN187" s="160">
        <f>IF($BA$18&gt;0,IPMT('Assumptions (Coal)'!$V$7,Model!AJ1,'Assumptions (Coal)'!$V$10,'Assumptions (Coal)'!$V$5*Model!$BA$18*AVERAGE('Assumptions (Coal)'!$AT$2:$AY$2)/10^9),0)</f>
        <v>0</v>
      </c>
      <c r="BO187" s="160">
        <f>IF($BA$18&gt;0,IPMT('Assumptions (Coal)'!$V$7,Model!AK1,'Assumptions (Coal)'!$V$10,'Assumptions (Coal)'!$V$5*Model!$BA$18*AVERAGE('Assumptions (Coal)'!$AT$2:$AY$2)/10^9),0)</f>
        <v>0</v>
      </c>
    </row>
    <row r="188" ht="15.75" hidden="1" customHeight="1" outlineLevel="1">
      <c r="A188" s="149"/>
      <c r="B188" s="24"/>
      <c r="C188" s="160"/>
      <c r="D188" s="160"/>
      <c r="E188" s="160"/>
      <c r="F188" s="160"/>
      <c r="G188" s="160"/>
      <c r="H188" s="160"/>
      <c r="I188" s="160"/>
      <c r="J188" s="160"/>
      <c r="K188" s="160"/>
      <c r="L188" s="160"/>
      <c r="M188" s="160"/>
      <c r="N188" s="160"/>
      <c r="O188" s="160"/>
      <c r="P188" s="160"/>
      <c r="Q188" s="160"/>
      <c r="R188" s="160"/>
      <c r="S188" s="160"/>
      <c r="T188" s="160"/>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c r="AQ188" s="160"/>
      <c r="AR188" s="160"/>
      <c r="AS188" s="160"/>
      <c r="AT188" s="160"/>
      <c r="AU188" s="160"/>
      <c r="AV188" s="160"/>
      <c r="AW188" s="160"/>
      <c r="AX188" s="160"/>
      <c r="AY188" s="160"/>
      <c r="AZ188" s="160"/>
      <c r="BA188" s="160"/>
      <c r="BB188" s="160">
        <f>IF($BB$18&gt;0,IPMT('Assumptions (Coal)'!$V$7,Model!W$1,'Assumptions (Coal)'!$V$10,'Assumptions (Coal)'!$V$5*Model!$BB$18*AVERAGE('Assumptions (Coal)'!$AU$2:$AZ$2)/10^9),0)</f>
        <v>0</v>
      </c>
      <c r="BC188" s="160">
        <f>IF($BB$18&gt;0,IPMT('Assumptions (Coal)'!$V$7,Model!X$1,'Assumptions (Coal)'!$V$10,'Assumptions (Coal)'!$V$5*Model!$BB$18*AVERAGE('Assumptions (Coal)'!$AU$2:$AZ$2)/10^9),0)</f>
        <v>0</v>
      </c>
      <c r="BD188" s="160">
        <f>IF($BB$18&gt;0,IPMT('Assumptions (Coal)'!$V$7,Model!Y$1,'Assumptions (Coal)'!$V$10,'Assumptions (Coal)'!$V$5*Model!$BB$18*AVERAGE('Assumptions (Coal)'!$AU$2:$AZ$2)/10^9),0)</f>
        <v>0</v>
      </c>
      <c r="BE188" s="160">
        <f>IF($BB$18&gt;0,IPMT('Assumptions (Coal)'!$V$7,Model!Z$1,'Assumptions (Coal)'!$V$10,'Assumptions (Coal)'!$V$5*Model!$BB$18*AVERAGE('Assumptions (Coal)'!$AU$2:$AZ$2)/10^9),0)</f>
        <v>0</v>
      </c>
      <c r="BF188" s="160">
        <f>IF($BB$18&gt;0,IPMT('Assumptions (Coal)'!$V$7,Model!AA$1,'Assumptions (Coal)'!$V$10,'Assumptions (Coal)'!$V$5*Model!$BB$18*AVERAGE('Assumptions (Coal)'!$AU$2:$AZ$2)/10^9),0)</f>
        <v>0</v>
      </c>
      <c r="BG188" s="160">
        <f>IF($BB$18&gt;0,IPMT('Assumptions (Coal)'!$V$7,Model!AB$1,'Assumptions (Coal)'!$V$10,'Assumptions (Coal)'!$V$5*Model!$BB$18*AVERAGE('Assumptions (Coal)'!$AU$2:$AZ$2)/10^9),0)</f>
        <v>0</v>
      </c>
      <c r="BH188" s="160">
        <f>IF($BB$18&gt;0,IPMT('Assumptions (Coal)'!$V$7,Model!AC$1,'Assumptions (Coal)'!$V$10,'Assumptions (Coal)'!$V$5*Model!$BB$18*AVERAGE('Assumptions (Coal)'!$AU$2:$AZ$2)/10^9),0)</f>
        <v>0</v>
      </c>
      <c r="BI188" s="160">
        <f>IF($BB$18&gt;0,IPMT('Assumptions (Coal)'!$V$7,Model!AD$1,'Assumptions (Coal)'!$V$10,'Assumptions (Coal)'!$V$5*Model!$BB$18*AVERAGE('Assumptions (Coal)'!$AU$2:$AZ$2)/10^9),0)</f>
        <v>0</v>
      </c>
      <c r="BJ188" s="160">
        <f>IF($BB$18&gt;0,IPMT('Assumptions (Coal)'!$V$7,Model!AE$1,'Assumptions (Coal)'!$V$10,'Assumptions (Coal)'!$V$5*Model!$BB$18*AVERAGE('Assumptions (Coal)'!$AU$2:$AZ$2)/10^9),0)</f>
        <v>0</v>
      </c>
      <c r="BK188" s="160">
        <f>IF($BB$18&gt;0,IPMT('Assumptions (Coal)'!$V$7,Model!AF$1,'Assumptions (Coal)'!$V$10,'Assumptions (Coal)'!$V$5*Model!$BB$18*AVERAGE('Assumptions (Coal)'!$AU$2:$AZ$2)/10^9),0)</f>
        <v>0</v>
      </c>
      <c r="BL188" s="160">
        <f>IF($BB$18&gt;0,IPMT('Assumptions (Coal)'!$V$7,Model!AG$1,'Assumptions (Coal)'!$V$10,'Assumptions (Coal)'!$V$5*Model!$BB$18*AVERAGE('Assumptions (Coal)'!$AU$2:$AZ$2)/10^9),0)</f>
        <v>0</v>
      </c>
      <c r="BM188" s="160">
        <f>IF($BB$18&gt;0,IPMT('Assumptions (Coal)'!$V$7,Model!AH$1,'Assumptions (Coal)'!$V$10,'Assumptions (Coal)'!$V$5*Model!$BB$18*AVERAGE('Assumptions (Coal)'!$AU$2:$AZ$2)/10^9),0)</f>
        <v>0</v>
      </c>
      <c r="BN188" s="160">
        <f>IF($BB$18&gt;0,IPMT('Assumptions (Coal)'!$V$7,Model!AI$1,'Assumptions (Coal)'!$V$10,'Assumptions (Coal)'!$V$5*Model!$BB$18*AVERAGE('Assumptions (Coal)'!$AU$2:$AZ$2)/10^9),0)</f>
        <v>0</v>
      </c>
      <c r="BO188" s="160">
        <f>IF($BB$18&gt;0,IPMT('Assumptions (Coal)'!$V$7,Model!AJ$1,'Assumptions (Coal)'!$V$10,'Assumptions (Coal)'!$V$5*Model!$BB$18*AVERAGE('Assumptions (Coal)'!$AU$2:$AZ$2)/10^9),0)</f>
        <v>0</v>
      </c>
      <c r="BP188" s="160">
        <f>IF($BB$18&gt;0,IPMT('Assumptions (Coal)'!$V$7,Model!AK$1,'Assumptions (Coal)'!$V$10,'Assumptions (Coal)'!$V$5*Model!$BB$18*AVERAGE('Assumptions (Coal)'!$AU$2:$AZ$2)/10^9),0)</f>
        <v>0</v>
      </c>
      <c r="BQ188" s="160"/>
      <c r="BR188" s="160"/>
      <c r="BS188" s="160"/>
      <c r="BT188" s="160"/>
      <c r="BU188" s="160"/>
      <c r="BV188" s="160"/>
    </row>
    <row r="189" ht="15.75" customHeight="1" collapsed="1">
      <c r="A189" s="149" t="s">
        <v>361</v>
      </c>
      <c r="B189" s="150" t="s">
        <v>351</v>
      </c>
      <c r="C189" s="160">
        <f t="shared" ref="C189:BV189" si="8">SUM(C190:C241)</f>
        <v>0</v>
      </c>
      <c r="D189" s="160">
        <f t="shared" si="8"/>
        <v>0.05652855814</v>
      </c>
      <c r="E189" s="160">
        <f t="shared" si="8"/>
        <v>0.108821243</v>
      </c>
      <c r="F189" s="160">
        <f t="shared" si="8"/>
        <v>0.1006509821</v>
      </c>
      <c r="G189" s="160">
        <f t="shared" si="8"/>
        <v>0.09311384097</v>
      </c>
      <c r="H189" s="160">
        <f t="shared" si="8"/>
        <v>0.08611937404</v>
      </c>
      <c r="I189" s="160">
        <f t="shared" si="8"/>
        <v>0.07966758127</v>
      </c>
      <c r="J189" s="160">
        <f t="shared" si="8"/>
        <v>0.1438824362</v>
      </c>
      <c r="K189" s="160">
        <f t="shared" si="8"/>
        <v>0.2826936915</v>
      </c>
      <c r="L189" s="160">
        <f t="shared" si="8"/>
        <v>0.3450835477</v>
      </c>
      <c r="M189" s="160">
        <f t="shared" si="8"/>
        <v>0.3242341507</v>
      </c>
      <c r="N189" s="160">
        <f t="shared" si="8"/>
        <v>0.3049779769</v>
      </c>
      <c r="O189" s="160">
        <f t="shared" si="8"/>
        <v>0.4080631192</v>
      </c>
      <c r="P189" s="160">
        <f t="shared" si="8"/>
        <v>0.503458769</v>
      </c>
      <c r="Q189" s="160">
        <f t="shared" si="8"/>
        <v>0.4707083525</v>
      </c>
      <c r="R189" s="160">
        <f t="shared" si="8"/>
        <v>0.4457271132</v>
      </c>
      <c r="S189" s="160">
        <f t="shared" si="8"/>
        <v>0.4294593474</v>
      </c>
      <c r="T189" s="160">
        <f t="shared" si="8"/>
        <v>0.4156692092</v>
      </c>
      <c r="U189" s="160">
        <f t="shared" si="8"/>
        <v>0.4028535565</v>
      </c>
      <c r="V189" s="160">
        <f t="shared" si="8"/>
        <v>0.3910628838</v>
      </c>
      <c r="W189" s="160">
        <f t="shared" si="8"/>
        <v>0.3891152936</v>
      </c>
      <c r="X189" s="160">
        <f t="shared" si="8"/>
        <v>1.698734161</v>
      </c>
      <c r="Y189" s="160">
        <f t="shared" si="8"/>
        <v>3.06277705</v>
      </c>
      <c r="Z189" s="160">
        <f t="shared" si="8"/>
        <v>3.269627905</v>
      </c>
      <c r="AA189" s="160">
        <f t="shared" si="8"/>
        <v>3.583074718</v>
      </c>
      <c r="AB189" s="160">
        <f t="shared" si="8"/>
        <v>4.270432799</v>
      </c>
      <c r="AC189" s="160">
        <f t="shared" si="8"/>
        <v>5.137104969</v>
      </c>
      <c r="AD189" s="160">
        <f t="shared" si="8"/>
        <v>5.6176871</v>
      </c>
      <c r="AE189" s="160">
        <f t="shared" si="8"/>
        <v>5.545338076</v>
      </c>
      <c r="AF189" s="160">
        <f t="shared" si="8"/>
        <v>5.25693617</v>
      </c>
      <c r="AG189" s="160">
        <f t="shared" si="8"/>
        <v>5.279066305</v>
      </c>
      <c r="AH189" s="160">
        <f t="shared" si="8"/>
        <v>5.300828331</v>
      </c>
      <c r="AI189" s="160">
        <f t="shared" si="8"/>
        <v>5.019065327</v>
      </c>
      <c r="AJ189" s="160">
        <f t="shared" si="8"/>
        <v>4.815567741</v>
      </c>
      <c r="AK189" s="160">
        <f t="shared" si="8"/>
        <v>4.772961342</v>
      </c>
      <c r="AL189" s="160">
        <f t="shared" si="8"/>
        <v>4.760988397</v>
      </c>
      <c r="AM189" s="160">
        <f t="shared" si="8"/>
        <v>4.889531795</v>
      </c>
      <c r="AN189" s="160">
        <f t="shared" si="8"/>
        <v>5.011520043</v>
      </c>
      <c r="AO189" s="160">
        <f t="shared" si="8"/>
        <v>4.978211034</v>
      </c>
      <c r="AP189" s="160">
        <f t="shared" si="8"/>
        <v>4.952015976</v>
      </c>
      <c r="AQ189" s="160">
        <f t="shared" si="8"/>
        <v>4.926983329</v>
      </c>
      <c r="AR189" s="160">
        <f t="shared" si="8"/>
        <v>4.106130067</v>
      </c>
      <c r="AS189" s="160">
        <f t="shared" si="8"/>
        <v>3.196796722</v>
      </c>
      <c r="AT189" s="160">
        <f t="shared" si="8"/>
        <v>2.93530793</v>
      </c>
      <c r="AU189" s="160">
        <f t="shared" si="8"/>
        <v>2.614861506</v>
      </c>
      <c r="AV189" s="160">
        <f t="shared" si="8"/>
        <v>2.060262875</v>
      </c>
      <c r="AW189" s="160">
        <f t="shared" si="8"/>
        <v>1.368758341</v>
      </c>
      <c r="AX189" s="160">
        <f t="shared" si="8"/>
        <v>0.8429415238</v>
      </c>
      <c r="AY189" s="160">
        <f t="shared" si="8"/>
        <v>0.5951777257</v>
      </c>
      <c r="AZ189" s="160">
        <f t="shared" si="8"/>
        <v>0.5590751261</v>
      </c>
      <c r="BA189" s="160">
        <f t="shared" si="8"/>
        <v>0.3959017431</v>
      </c>
      <c r="BB189" s="160">
        <f t="shared" si="8"/>
        <v>0.2448526039</v>
      </c>
      <c r="BC189" s="160">
        <f t="shared" si="8"/>
        <v>0.2449027196</v>
      </c>
      <c r="BD189" s="160">
        <f t="shared" si="8"/>
        <v>0.2395304103</v>
      </c>
      <c r="BE189" s="160">
        <f t="shared" si="8"/>
        <v>0.2149406522</v>
      </c>
      <c r="BF189" s="160">
        <f t="shared" si="8"/>
        <v>0.195576745</v>
      </c>
      <c r="BG189" s="160">
        <f t="shared" si="8"/>
        <v>0.09781029324</v>
      </c>
      <c r="BH189" s="160">
        <f t="shared" si="8"/>
        <v>0</v>
      </c>
      <c r="BI189" s="160">
        <f t="shared" si="8"/>
        <v>0</v>
      </c>
      <c r="BJ189" s="160">
        <f t="shared" si="8"/>
        <v>0</v>
      </c>
      <c r="BK189" s="160">
        <f t="shared" si="8"/>
        <v>0</v>
      </c>
      <c r="BL189" s="160">
        <f t="shared" si="8"/>
        <v>0</v>
      </c>
      <c r="BM189" s="160">
        <f t="shared" si="8"/>
        <v>0</v>
      </c>
      <c r="BN189" s="160">
        <f t="shared" si="8"/>
        <v>0</v>
      </c>
      <c r="BO189" s="160">
        <f t="shared" si="8"/>
        <v>0</v>
      </c>
      <c r="BP189" s="160">
        <f t="shared" si="8"/>
        <v>0</v>
      </c>
      <c r="BQ189" s="160">
        <f t="shared" si="8"/>
        <v>0</v>
      </c>
      <c r="BR189" s="160">
        <f t="shared" si="8"/>
        <v>0</v>
      </c>
      <c r="BS189" s="160">
        <f t="shared" si="8"/>
        <v>0</v>
      </c>
      <c r="BT189" s="160">
        <f t="shared" si="8"/>
        <v>0</v>
      </c>
      <c r="BU189" s="160">
        <f t="shared" si="8"/>
        <v>0</v>
      </c>
      <c r="BV189" s="160">
        <f t="shared" si="8"/>
        <v>0</v>
      </c>
    </row>
    <row r="190" ht="15.75" hidden="1" customHeight="1" outlineLevel="1">
      <c r="A190" s="158"/>
      <c r="B190" s="38"/>
      <c r="C190" s="177">
        <f>IF($C$18&gt;0,'Assumptions (Coal)'!V$11*Model!$C$18*'Assumptions (Coal)'!$B$2/10^9,0)</f>
        <v>0</v>
      </c>
      <c r="D190" s="177">
        <f>IF($C$18&gt;0,'Assumptions (Coal)'!W$11*Model!$C$18*'Assumptions (Coal)'!$B$2/10^9,0)</f>
        <v>0</v>
      </c>
      <c r="E190" s="177">
        <f>IF($C$18&gt;0,'Assumptions (Coal)'!X$11*Model!$C$18*'Assumptions (Coal)'!$B$2/10^9,0)</f>
        <v>0</v>
      </c>
      <c r="F190" s="177">
        <f>IF($C$18&gt;0,'Assumptions (Coal)'!Y$11*Model!$C$18*'Assumptions (Coal)'!$B$2/10^9,0)</f>
        <v>0</v>
      </c>
      <c r="G190" s="177">
        <f>IF($C$18&gt;0,'Assumptions (Coal)'!Z$11*Model!$C$18*'Assumptions (Coal)'!$B$2/10^9,0)</f>
        <v>0</v>
      </c>
      <c r="H190" s="177">
        <f>IF($C$18&gt;0,'Assumptions (Coal)'!AA$11*Model!$C$18*'Assumptions (Coal)'!$B$2/10^9,0)</f>
        <v>0</v>
      </c>
      <c r="I190" s="177">
        <f>IF($C$18&gt;0,'Assumptions (Coal)'!AB$11*Model!$C$18*'Assumptions (Coal)'!$B$2/10^9,0)</f>
        <v>0</v>
      </c>
      <c r="J190" s="177">
        <f>IF($C$18&gt;0,'Assumptions (Coal)'!AC$11*Model!$C$18*'Assumptions (Coal)'!$B$2/10^9,0)</f>
        <v>0</v>
      </c>
      <c r="K190" s="177">
        <f>IF($C$18&gt;0,'Assumptions (Coal)'!AD$11*Model!$C$18*'Assumptions (Coal)'!$B$2/10^9,0)</f>
        <v>0</v>
      </c>
      <c r="L190" s="177">
        <f>IF($C$18&gt;0,'Assumptions (Coal)'!AE$11*Model!$C$18*'Assumptions (Coal)'!$B$2/10^9,0)</f>
        <v>0</v>
      </c>
      <c r="M190" s="177">
        <f>IF($C$18&gt;0,'Assumptions (Coal)'!AF$11*Model!$C$18*'Assumptions (Coal)'!$B$2/10^9,0)</f>
        <v>0</v>
      </c>
      <c r="N190" s="177">
        <f>IF($C$18&gt;0,'Assumptions (Coal)'!AG$11*Model!$C$18*'Assumptions (Coal)'!$B$2/10^9,0)</f>
        <v>0</v>
      </c>
      <c r="O190" s="177">
        <f>IF($C$18&gt;0,'Assumptions (Coal)'!AH$11*Model!$C$18*'Assumptions (Coal)'!$B$2/10^9,0)</f>
        <v>0</v>
      </c>
      <c r="P190" s="177">
        <f>IF($C$18&gt;0,'Assumptions (Coal)'!AI$11*Model!$C$18*'Assumptions (Coal)'!$B$2/10^9,0)</f>
        <v>0</v>
      </c>
      <c r="Q190" s="177">
        <f>IF($C$18&gt;0,'Assumptions (Coal)'!AJ$11*Model!$C$18*'Assumptions (Coal)'!$B$2/10^9,0)</f>
        <v>0</v>
      </c>
      <c r="R190" s="177">
        <f>IF($C$18&gt;0,'Assumptions (Coal)'!AK$11*Model!$C$18*'Assumptions (Coal)'!$B$2/10^9,0)</f>
        <v>0</v>
      </c>
      <c r="S190" s="177">
        <f>IF($C$18&gt;0,'Assumptions (Coal)'!AL$11*Model!$C$18*'Assumptions (Coal)'!$B$2/10^9,0)</f>
        <v>0</v>
      </c>
      <c r="T190" s="177">
        <f>IF($C$18&gt;0,'Assumptions (Coal)'!AM$11*Model!$C$18*'Assumptions (Coal)'!$B$2/10^9,0)</f>
        <v>0</v>
      </c>
      <c r="U190" s="177">
        <f>IF($C$18&gt;0,'Assumptions (Coal)'!AN$11*Model!$C$18*'Assumptions (Coal)'!$B$2/10^9,0)</f>
        <v>0</v>
      </c>
      <c r="V190" s="177">
        <f>IF($C$18&gt;0,'Assumptions (Coal)'!AO$11*Model!$C$18*'Assumptions (Coal)'!$B$2/10^9,0)</f>
        <v>0</v>
      </c>
      <c r="W190" s="177">
        <f>IF($C$18&gt;0,'Assumptions (Coal)'!AP$11*Model!$C$18*'Assumptions (Coal)'!$B$2/10^9,0)</f>
        <v>0</v>
      </c>
      <c r="X190" s="160"/>
      <c r="Y190" s="160"/>
      <c r="Z190" s="160"/>
      <c r="AA190" s="160"/>
      <c r="AB190" s="160"/>
      <c r="AC190" s="160"/>
      <c r="AD190" s="160"/>
      <c r="AE190" s="160"/>
      <c r="AF190" s="160"/>
      <c r="AG190" s="160"/>
      <c r="AQ190" s="160"/>
      <c r="AR190" s="160"/>
      <c r="AS190" s="160"/>
      <c r="AT190" s="160"/>
      <c r="AU190" s="160"/>
      <c r="AV190" s="160"/>
      <c r="AW190" s="160"/>
      <c r="AX190" s="160"/>
      <c r="AY190" s="160"/>
      <c r="AZ190" s="160"/>
      <c r="BA190" s="160"/>
    </row>
    <row r="191" ht="15.75" hidden="1" customHeight="1" outlineLevel="1">
      <c r="A191" s="158"/>
      <c r="B191" s="38"/>
      <c r="C191" s="160"/>
      <c r="D191" s="160">
        <f>IF($D$18&gt;0,'Assumptions (Coal)'!V$11*Model!$D$18*'Assumptions (Coal)'!$B$2/10^9,0)</f>
        <v>0.05652855814</v>
      </c>
      <c r="E191" s="160">
        <f>IF($D$18&gt;0,'Assumptions (Coal)'!W$11*Model!$D$18*'Assumptions (Coal)'!$B$2/10^9,0)</f>
        <v>0.108821243</v>
      </c>
      <c r="F191" s="160">
        <f>IF($D$18&gt;0,'Assumptions (Coal)'!X$11*Model!$D$18*'Assumptions (Coal)'!$B$2/10^9,0)</f>
        <v>0.1006509821</v>
      </c>
      <c r="G191" s="160">
        <f>IF($D$18&gt;0,'Assumptions (Coal)'!Y$11*Model!$D$18*'Assumptions (Coal)'!$B$2/10^9,0)</f>
        <v>0.09311384097</v>
      </c>
      <c r="H191" s="160">
        <f>IF($D$18&gt;0,'Assumptions (Coal)'!Z$11*Model!$D$18*'Assumptions (Coal)'!$B$2/10^9,0)</f>
        <v>0.08611937404</v>
      </c>
      <c r="I191" s="160">
        <f>IF($D$18&gt;0,'Assumptions (Coal)'!AA$11*Model!$D$18*'Assumptions (Coal)'!$B$2/10^9,0)</f>
        <v>0.07966758127</v>
      </c>
      <c r="J191" s="160">
        <f>IF($D$18&gt;0,'Assumptions (Coal)'!AB$11*Model!$D$18*'Assumptions (Coal)'!$B$2/10^9,0)</f>
        <v>0.07368309125</v>
      </c>
      <c r="K191" s="160">
        <f>IF($D$18&gt;0,'Assumptions (Coal)'!AC$11*Model!$D$18*'Assumptions (Coal)'!$B$2/10^9,0)</f>
        <v>0.06816590398</v>
      </c>
      <c r="L191" s="160">
        <f>IF($D$18&gt;0,'Assumptions (Coal)'!AD$11*Model!$D$18*'Assumptions (Coal)'!$B$2/10^9,0)</f>
        <v>0.06726144705</v>
      </c>
      <c r="M191" s="160">
        <f>IF($D$18&gt;0,'Assumptions (Coal)'!AE$11*Model!$D$18*'Assumptions (Coal)'!$B$2/10^9,0)</f>
        <v>0.06724637276</v>
      </c>
      <c r="N191" s="160">
        <f>IF($D$18&gt;0,'Assumptions (Coal)'!AF$11*Model!$D$18*'Assumptions (Coal)'!$B$2/10^9,0)</f>
        <v>0.06726144705</v>
      </c>
      <c r="O191" s="160">
        <f>IF($D$18&gt;0,'Assumptions (Coal)'!AG$11*Model!$D$18*'Assumptions (Coal)'!$B$2/10^9,0)</f>
        <v>0.06724637276</v>
      </c>
      <c r="P191" s="160">
        <f>IF($D$18&gt;0,'Assumptions (Coal)'!AH$11*Model!$D$18*'Assumptions (Coal)'!$B$2/10^9,0)</f>
        <v>0.06726144705</v>
      </c>
      <c r="Q191" s="160">
        <f>IF($D$18&gt;0,'Assumptions (Coal)'!AI$11*Model!$D$18*'Assumptions (Coal)'!$B$2/10^9,0)</f>
        <v>0.06724637276</v>
      </c>
      <c r="R191" s="160">
        <f>IF($D$18&gt;0,'Assumptions (Coal)'!AJ$11*Model!$D$18*'Assumptions (Coal)'!$B$2/10^9,0)</f>
        <v>0.06726144705</v>
      </c>
      <c r="S191" s="160">
        <f>IF($D$18&gt;0,'Assumptions (Coal)'!AK$11*Model!$D$18*'Assumptions (Coal)'!$B$2/10^9,0)</f>
        <v>0.06724637276</v>
      </c>
      <c r="T191" s="160">
        <f>IF($D$18&gt;0,'Assumptions (Coal)'!AL$11*Model!$D$18*'Assumptions (Coal)'!$B$2/10^9,0)</f>
        <v>0.06726144705</v>
      </c>
      <c r="U191" s="160">
        <f>IF($D$18&gt;0,'Assumptions (Coal)'!AM$11*Model!$D$18*'Assumptions (Coal)'!$B$2/10^9,0)</f>
        <v>0.06724637276</v>
      </c>
      <c r="V191" s="160">
        <f>IF($D$18&gt;0,'Assumptions (Coal)'!AN$11*Model!$D$18*'Assumptions (Coal)'!$B$2/10^9,0)</f>
        <v>0.06726144705</v>
      </c>
      <c r="W191" s="160">
        <f>IF($D$18&gt;0,'Assumptions (Coal)'!AO$11*Model!$D$18*'Assumptions (Coal)'!$B$2/10^9,0)</f>
        <v>0.06724637276</v>
      </c>
      <c r="X191" s="160">
        <f>IF($D$18&gt;0,'Assumptions (Coal)'!AP$11*Model!$D$18*'Assumptions (Coal)'!$B$2/10^9,0)</f>
        <v>0.03363072352</v>
      </c>
      <c r="Y191" s="160"/>
      <c r="Z191" s="160"/>
      <c r="AA191" s="160"/>
      <c r="AB191" s="160"/>
      <c r="AC191" s="160"/>
      <c r="AD191" s="160"/>
      <c r="AE191" s="160"/>
      <c r="AF191" s="160"/>
      <c r="AG191" s="160"/>
      <c r="AQ191" s="160"/>
      <c r="AR191" s="160"/>
      <c r="AS191" s="160"/>
      <c r="AT191" s="160"/>
      <c r="AU191" s="160"/>
      <c r="AV191" s="160"/>
      <c r="AW191" s="160"/>
      <c r="AX191" s="160"/>
      <c r="AY191" s="160"/>
      <c r="AZ191" s="160"/>
      <c r="BA191" s="160"/>
    </row>
    <row r="192" ht="15.75" hidden="1" customHeight="1" outlineLevel="1">
      <c r="A192" s="158"/>
      <c r="B192" s="38"/>
      <c r="C192" s="160"/>
      <c r="D192" s="160"/>
      <c r="E192" s="160">
        <f>IF($E$18&gt;0,'Assumptions (Coal)'!V$11*Model!$E$18*AVERAGE('Assumptions (Coal)'!$B$2:$C$2)/10^9,0)</f>
        <v>0</v>
      </c>
      <c r="F192" s="160">
        <f>IF($E$18&gt;0,'Assumptions (Coal)'!W$11*Model!$E$18*AVERAGE('Assumptions (Coal)'!$B$2:$C$2)/10^9,0)</f>
        <v>0</v>
      </c>
      <c r="G192" s="160">
        <f>IF($E$18&gt;0,'Assumptions (Coal)'!X$11*Model!$E$18*AVERAGE('Assumptions (Coal)'!$B$2:$C$2)/10^9,0)</f>
        <v>0</v>
      </c>
      <c r="H192" s="160">
        <f>IF($E$18&gt;0,'Assumptions (Coal)'!Y$11*Model!$E$18*AVERAGE('Assumptions (Coal)'!$B$2:$C$2)/10^9,0)</f>
        <v>0</v>
      </c>
      <c r="I192" s="160">
        <f>IF($E$18&gt;0,'Assumptions (Coal)'!Z$11*Model!$E$18*AVERAGE('Assumptions (Coal)'!$B$2:$C$2)/10^9,0)</f>
        <v>0</v>
      </c>
      <c r="J192" s="160">
        <f>IF($E$18&gt;0,'Assumptions (Coal)'!AA$11*Model!$E$18*AVERAGE('Assumptions (Coal)'!$B$2:$C$2)/10^9,0)</f>
        <v>0</v>
      </c>
      <c r="K192" s="160">
        <f>IF($E$18&gt;0,'Assumptions (Coal)'!AB$11*Model!$E$18*AVERAGE('Assumptions (Coal)'!$B$2:$C$2)/10^9,0)</f>
        <v>0</v>
      </c>
      <c r="L192" s="160">
        <f>IF($E$18&gt;0,'Assumptions (Coal)'!AC$11*Model!$E$18*AVERAGE('Assumptions (Coal)'!$B$2:$C$2)/10^9,0)</f>
        <v>0</v>
      </c>
      <c r="M192" s="160">
        <f>IF($E$18&gt;0,'Assumptions (Coal)'!AD$11*Model!$E$18*AVERAGE('Assumptions (Coal)'!$B$2:$C$2)/10^9,0)</f>
        <v>0</v>
      </c>
      <c r="N192" s="160">
        <f>IF($E$18&gt;0,'Assumptions (Coal)'!AE$11*Model!$E$18*AVERAGE('Assumptions (Coal)'!$B$2:$C$2)/10^9,0)</f>
        <v>0</v>
      </c>
      <c r="O192" s="160">
        <f>IF($E$18&gt;0,'Assumptions (Coal)'!AF$11*Model!$E$18*AVERAGE('Assumptions (Coal)'!$B$2:$C$2)/10^9,0)</f>
        <v>0</v>
      </c>
      <c r="P192" s="160">
        <f>IF($E$18&gt;0,'Assumptions (Coal)'!AG$11*Model!$E$18*AVERAGE('Assumptions (Coal)'!$B$2:$C$2)/10^9,0)</f>
        <v>0</v>
      </c>
      <c r="Q192" s="160">
        <f>IF($E$18&gt;0,'Assumptions (Coal)'!AH$11*Model!$E$18*AVERAGE('Assumptions (Coal)'!$B$2:$C$2)/10^9,0)</f>
        <v>0</v>
      </c>
      <c r="R192" s="160">
        <f>IF($E$18&gt;0,'Assumptions (Coal)'!AI$11*Model!$E$18*AVERAGE('Assumptions (Coal)'!$B$2:$C$2)/10^9,0)</f>
        <v>0</v>
      </c>
      <c r="S192" s="160">
        <f>IF($E$18&gt;0,'Assumptions (Coal)'!AJ$11*Model!$E$18*AVERAGE('Assumptions (Coal)'!$B$2:$C$2)/10^9,0)</f>
        <v>0</v>
      </c>
      <c r="T192" s="160">
        <f>IF($E$18&gt;0,'Assumptions (Coal)'!AK$11*Model!$E$18*AVERAGE('Assumptions (Coal)'!$B$2:$C$2)/10^9,0)</f>
        <v>0</v>
      </c>
      <c r="U192" s="160">
        <f>IF($E$18&gt;0,'Assumptions (Coal)'!AL$11*Model!$E$18*AVERAGE('Assumptions (Coal)'!$B$2:$C$2)/10^9,0)</f>
        <v>0</v>
      </c>
      <c r="V192" s="160">
        <f>IF($E$18&gt;0,'Assumptions (Coal)'!AM$11*Model!$E$18*AVERAGE('Assumptions (Coal)'!$B$2:$C$2)/10^9,0)</f>
        <v>0</v>
      </c>
      <c r="W192" s="160">
        <f>IF($E$18&gt;0,'Assumptions (Coal)'!AN$11*Model!$E$18*AVERAGE('Assumptions (Coal)'!$B$2:$C$2)/10^9,0)</f>
        <v>0</v>
      </c>
      <c r="X192" s="160">
        <f>IF($E$18&gt;0,'Assumptions (Coal)'!AO$11*Model!$E$18*AVERAGE('Assumptions (Coal)'!$B$2:$C$2)/10^9,0)</f>
        <v>0</v>
      </c>
      <c r="Y192" s="160">
        <f>IF($E$18&gt;0,'Assumptions (Coal)'!AP$11*Model!$E$18*AVERAGE('Assumptions (Coal)'!$B$2:$C$2)/10^9,0)</f>
        <v>0</v>
      </c>
      <c r="Z192" s="160"/>
      <c r="AA192" s="160"/>
      <c r="AB192" s="160"/>
      <c r="AC192" s="160"/>
      <c r="AD192" s="160"/>
      <c r="AE192" s="160"/>
      <c r="AF192" s="160"/>
      <c r="AG192" s="160"/>
      <c r="AQ192" s="160"/>
      <c r="AR192" s="160"/>
      <c r="AS192" s="160"/>
      <c r="AT192" s="160"/>
      <c r="AU192" s="160"/>
      <c r="AV192" s="160"/>
      <c r="AW192" s="160"/>
      <c r="AX192" s="160"/>
      <c r="AY192" s="160"/>
      <c r="AZ192" s="160"/>
      <c r="BA192" s="160"/>
    </row>
    <row r="193" ht="15.75" hidden="1" customHeight="1" outlineLevel="1">
      <c r="A193" s="158"/>
      <c r="B193" s="38"/>
      <c r="C193" s="160"/>
      <c r="D193" s="160"/>
      <c r="E193" s="160"/>
      <c r="F193" s="160">
        <f>IF($F$18&gt;0,'Assumptions (Coal)'!V$11*Model!$F$18*AVERAGE('Assumptions (Coal)'!$B$2:$D$2)/10^9,0)</f>
        <v>0</v>
      </c>
      <c r="G193" s="160">
        <f>IF($F$18&gt;0,'Assumptions (Coal)'!W$11*Model!$F$18*AVERAGE('Assumptions (Coal)'!$B$2:$D$2)/10^9,0)</f>
        <v>0</v>
      </c>
      <c r="H193" s="160">
        <f>IF($F$18&gt;0,'Assumptions (Coal)'!X$11*Model!$F$18*AVERAGE('Assumptions (Coal)'!$B$2:$D$2)/10^9,0)</f>
        <v>0</v>
      </c>
      <c r="I193" s="160">
        <f>IF($F$18&gt;0,'Assumptions (Coal)'!Y$11*Model!$F$18*AVERAGE('Assumptions (Coal)'!$B$2:$D$2)/10^9,0)</f>
        <v>0</v>
      </c>
      <c r="J193" s="160">
        <f>IF($F$18&gt;0,'Assumptions (Coal)'!Z$11*Model!$F$18*AVERAGE('Assumptions (Coal)'!$B$2:$D$2)/10^9,0)</f>
        <v>0</v>
      </c>
      <c r="K193" s="160">
        <f>IF($F$18&gt;0,'Assumptions (Coal)'!AA$11*Model!$F$18*AVERAGE('Assumptions (Coal)'!$B$2:$D$2)/10^9,0)</f>
        <v>0</v>
      </c>
      <c r="L193" s="160">
        <f>IF($F$18&gt;0,'Assumptions (Coal)'!AB$11*Model!$F$18*AVERAGE('Assumptions (Coal)'!$B$2:$D$2)/10^9,0)</f>
        <v>0</v>
      </c>
      <c r="M193" s="160">
        <f>IF($F$18&gt;0,'Assumptions (Coal)'!AC$11*Model!$F$18*AVERAGE('Assumptions (Coal)'!$B$2:$D$2)/10^9,0)</f>
        <v>0</v>
      </c>
      <c r="N193" s="160">
        <f>IF($F$18&gt;0,'Assumptions (Coal)'!AD$11*Model!$F$18*AVERAGE('Assumptions (Coal)'!$B$2:$D$2)/10^9,0)</f>
        <v>0</v>
      </c>
      <c r="O193" s="160">
        <f>IF($F$18&gt;0,'Assumptions (Coal)'!AE$11*Model!$F$18*AVERAGE('Assumptions (Coal)'!$B$2:$D$2)/10^9,0)</f>
        <v>0</v>
      </c>
      <c r="P193" s="160">
        <f>IF($F$18&gt;0,'Assumptions (Coal)'!AF$11*Model!$F$18*AVERAGE('Assumptions (Coal)'!$B$2:$D$2)/10^9,0)</f>
        <v>0</v>
      </c>
      <c r="Q193" s="160">
        <f>IF($F$18&gt;0,'Assumptions (Coal)'!AG$11*Model!$F$18*AVERAGE('Assumptions (Coal)'!$B$2:$D$2)/10^9,0)</f>
        <v>0</v>
      </c>
      <c r="R193" s="160">
        <f>IF($F$18&gt;0,'Assumptions (Coal)'!AH$11*Model!$F$18*AVERAGE('Assumptions (Coal)'!$B$2:$D$2)/10^9,0)</f>
        <v>0</v>
      </c>
      <c r="S193" s="160">
        <f>IF($F$18&gt;0,'Assumptions (Coal)'!AI$11*Model!$F$18*AVERAGE('Assumptions (Coal)'!$B$2:$D$2)/10^9,0)</f>
        <v>0</v>
      </c>
      <c r="T193" s="160">
        <f>IF($F$18&gt;0,'Assumptions (Coal)'!AJ$11*Model!$F$18*AVERAGE('Assumptions (Coal)'!$B$2:$D$2)/10^9,0)</f>
        <v>0</v>
      </c>
      <c r="U193" s="160">
        <f>IF($F$18&gt;0,'Assumptions (Coal)'!AK$11*Model!$F$18*AVERAGE('Assumptions (Coal)'!$B$2:$D$2)/10^9,0)</f>
        <v>0</v>
      </c>
      <c r="V193" s="160">
        <f>IF($F$18&gt;0,'Assumptions (Coal)'!AL$11*Model!$F$18*AVERAGE('Assumptions (Coal)'!$B$2:$D$2)/10^9,0)</f>
        <v>0</v>
      </c>
      <c r="W193" s="160">
        <f>IF($F$18&gt;0,'Assumptions (Coal)'!AM$11*Model!$F$18*AVERAGE('Assumptions (Coal)'!$B$2:$D$2)/10^9,0)</f>
        <v>0</v>
      </c>
      <c r="X193" s="160">
        <f>IF($F$18&gt;0,'Assumptions (Coal)'!AN$11*Model!$F$18*AVERAGE('Assumptions (Coal)'!$B$2:$D$2)/10^9,0)</f>
        <v>0</v>
      </c>
      <c r="Y193" s="160">
        <f>IF($F$18&gt;0,'Assumptions (Coal)'!AO$11*Model!$F$18*AVERAGE('Assumptions (Coal)'!$B$2:$D$2)/10^9,0)</f>
        <v>0</v>
      </c>
      <c r="Z193" s="160">
        <f>IF($F$18&gt;0,'Assumptions (Coal)'!AP$11*Model!$F$18*AVERAGE('Assumptions (Coal)'!$B$2:$D$2)/10^9,0)</f>
        <v>0</v>
      </c>
      <c r="AA193" s="160"/>
      <c r="AB193" s="160"/>
      <c r="AC193" s="160"/>
      <c r="AD193" s="160"/>
      <c r="AE193" s="160"/>
      <c r="AF193" s="160"/>
      <c r="AG193" s="160"/>
      <c r="AQ193" s="160"/>
      <c r="AR193" s="160"/>
      <c r="AS193" s="160"/>
      <c r="AT193" s="160"/>
      <c r="AU193" s="160"/>
      <c r="AV193" s="160"/>
      <c r="AW193" s="160"/>
      <c r="AX193" s="160"/>
      <c r="AY193" s="160"/>
      <c r="AZ193" s="160"/>
      <c r="BA193" s="160"/>
    </row>
    <row r="194" ht="15.75" hidden="1" customHeight="1" outlineLevel="1">
      <c r="A194" s="158"/>
      <c r="B194" s="38"/>
      <c r="C194" s="160"/>
      <c r="D194" s="160"/>
      <c r="E194" s="160"/>
      <c r="F194" s="160"/>
      <c r="G194" s="160">
        <f>IF($G$18&gt;0,'Assumptions (Coal)'!V$11*Model!$G$18*AVERAGE('Assumptions (Coal)'!$B$2:$E$2)/10^9,0)</f>
        <v>0</v>
      </c>
      <c r="H194" s="160">
        <f>IF($G$18&gt;0,'Assumptions (Coal)'!W$11*Model!$G$18*AVERAGE('Assumptions (Coal)'!$B$2:$E$2)/10^9,0)</f>
        <v>0</v>
      </c>
      <c r="I194" s="160">
        <f>IF($G$18&gt;0,'Assumptions (Coal)'!X$11*Model!$G$18*AVERAGE('Assumptions (Coal)'!$B$2:$E$2)/10^9,0)</f>
        <v>0</v>
      </c>
      <c r="J194" s="160">
        <f>IF($G$18&gt;0,'Assumptions (Coal)'!Y$11*Model!$G$18*AVERAGE('Assumptions (Coal)'!$B$2:$E$2)/10^9,0)</f>
        <v>0</v>
      </c>
      <c r="K194" s="160">
        <f>IF($G$18&gt;0,'Assumptions (Coal)'!Z$11*Model!$G$18*AVERAGE('Assumptions (Coal)'!$B$2:$E$2)/10^9,0)</f>
        <v>0</v>
      </c>
      <c r="L194" s="160">
        <f>IF($G$18&gt;0,'Assumptions (Coal)'!AA$11*Model!$G$18*AVERAGE('Assumptions (Coal)'!$B$2:$E$2)/10^9,0)</f>
        <v>0</v>
      </c>
      <c r="M194" s="160">
        <f>IF($G$18&gt;0,'Assumptions (Coal)'!AB$11*Model!$G$18*AVERAGE('Assumptions (Coal)'!$B$2:$E$2)/10^9,0)</f>
        <v>0</v>
      </c>
      <c r="N194" s="160">
        <f>IF($G$18&gt;0,'Assumptions (Coal)'!AC$11*Model!$G$18*AVERAGE('Assumptions (Coal)'!$B$2:$E$2)/10^9,0)</f>
        <v>0</v>
      </c>
      <c r="O194" s="160">
        <f>IF($G$18&gt;0,'Assumptions (Coal)'!AD$11*Model!$G$18*AVERAGE('Assumptions (Coal)'!$B$2:$E$2)/10^9,0)</f>
        <v>0</v>
      </c>
      <c r="P194" s="160">
        <f>IF($G$18&gt;0,'Assumptions (Coal)'!AE$11*Model!$G$18*AVERAGE('Assumptions (Coal)'!$B$2:$E$2)/10^9,0)</f>
        <v>0</v>
      </c>
      <c r="Q194" s="160">
        <f>IF($G$18&gt;0,'Assumptions (Coal)'!AF$11*Model!$G$18*AVERAGE('Assumptions (Coal)'!$B$2:$E$2)/10^9,0)</f>
        <v>0</v>
      </c>
      <c r="R194" s="160">
        <f>IF($G$18&gt;0,'Assumptions (Coal)'!AG$11*Model!$G$18*AVERAGE('Assumptions (Coal)'!$B$2:$E$2)/10^9,0)</f>
        <v>0</v>
      </c>
      <c r="S194" s="160">
        <f>IF($G$18&gt;0,'Assumptions (Coal)'!AH$11*Model!$G$18*AVERAGE('Assumptions (Coal)'!$B$2:$E$2)/10^9,0)</f>
        <v>0</v>
      </c>
      <c r="T194" s="160">
        <f>IF($G$18&gt;0,'Assumptions (Coal)'!AI$11*Model!$G$18*AVERAGE('Assumptions (Coal)'!$B$2:$E$2)/10^9,0)</f>
        <v>0</v>
      </c>
      <c r="U194" s="160">
        <f>IF($G$18&gt;0,'Assumptions (Coal)'!AJ$11*Model!$G$18*AVERAGE('Assumptions (Coal)'!$B$2:$E$2)/10^9,0)</f>
        <v>0</v>
      </c>
      <c r="V194" s="160">
        <f>IF($G$18&gt;0,'Assumptions (Coal)'!AK$11*Model!$G$18*AVERAGE('Assumptions (Coal)'!$B$2:$E$2)/10^9,0)</f>
        <v>0</v>
      </c>
      <c r="W194" s="160">
        <f>IF($G$18&gt;0,'Assumptions (Coal)'!AL$11*Model!$G$18*AVERAGE('Assumptions (Coal)'!$B$2:$E$2)/10^9,0)</f>
        <v>0</v>
      </c>
      <c r="X194" s="160">
        <f>IF($G$18&gt;0,'Assumptions (Coal)'!AM$11*Model!$G$18*AVERAGE('Assumptions (Coal)'!$B$2:$E$2)/10^9,0)</f>
        <v>0</v>
      </c>
      <c r="Y194" s="160">
        <f>IF($G$18&gt;0,'Assumptions (Coal)'!AN$11*Model!$G$18*AVERAGE('Assumptions (Coal)'!$B$2:$E$2)/10^9,0)</f>
        <v>0</v>
      </c>
      <c r="Z194" s="160">
        <f>IF($G$18&gt;0,'Assumptions (Coal)'!AO$11*Model!$G$18*AVERAGE('Assumptions (Coal)'!$B$2:$E$2)/10^9,0)</f>
        <v>0</v>
      </c>
      <c r="AA194" s="160">
        <f>IF($G$18&gt;0,'Assumptions (Coal)'!AP$11*Model!$G$18*AVERAGE('Assumptions (Coal)'!$B$2:$E$2)/10^9,0)</f>
        <v>0</v>
      </c>
      <c r="AB194" s="160"/>
      <c r="AC194" s="160"/>
      <c r="AD194" s="160"/>
      <c r="AE194" s="160"/>
      <c r="AF194" s="160"/>
      <c r="AG194" s="160"/>
      <c r="AQ194" s="160"/>
      <c r="AR194" s="160"/>
      <c r="AS194" s="160"/>
      <c r="AT194" s="160"/>
      <c r="AU194" s="160"/>
      <c r="AV194" s="160"/>
      <c r="AW194" s="160"/>
      <c r="AX194" s="160"/>
      <c r="AY194" s="160"/>
      <c r="AZ194" s="160"/>
      <c r="BA194" s="160"/>
    </row>
    <row r="195" ht="15.75" hidden="1" customHeight="1" outlineLevel="1">
      <c r="A195" s="158"/>
      <c r="B195" s="38"/>
      <c r="C195" s="160"/>
      <c r="D195" s="160"/>
      <c r="E195" s="160"/>
      <c r="F195" s="160"/>
      <c r="G195" s="160"/>
      <c r="H195" s="160">
        <f>IF($H$18&gt;0,'Assumptions (Coal)'!V$11*Model!$H$18*AVERAGE('Assumptions (Coal)'!$B$2:$F$2)/10^9,0)</f>
        <v>0</v>
      </c>
      <c r="I195" s="160">
        <f>IF($H$18&gt;0,'Assumptions (Coal)'!W$11*Model!$H$18*AVERAGE('Assumptions (Coal)'!$B$2:$F$2)/10^9,0)</f>
        <v>0</v>
      </c>
      <c r="J195" s="160">
        <f>IF($H$18&gt;0,'Assumptions (Coal)'!X$11*Model!$H$18*AVERAGE('Assumptions (Coal)'!$B$2:$F$2)/10^9,0)</f>
        <v>0</v>
      </c>
      <c r="K195" s="160">
        <f>IF($H$18&gt;0,'Assumptions (Coal)'!Y$11*Model!$H$18*AVERAGE('Assumptions (Coal)'!$B$2:$F$2)/10^9,0)</f>
        <v>0</v>
      </c>
      <c r="L195" s="160">
        <f>IF($H$18&gt;0,'Assumptions (Coal)'!Z$11*Model!$H$18*AVERAGE('Assumptions (Coal)'!$B$2:$F$2)/10^9,0)</f>
        <v>0</v>
      </c>
      <c r="M195" s="160">
        <f>IF($H$18&gt;0,'Assumptions (Coal)'!AA$11*Model!$H$18*AVERAGE('Assumptions (Coal)'!$B$2:$F$2)/10^9,0)</f>
        <v>0</v>
      </c>
      <c r="N195" s="160">
        <f>IF($H$18&gt;0,'Assumptions (Coal)'!AB$11*Model!$H$18*AVERAGE('Assumptions (Coal)'!$B$2:$F$2)/10^9,0)</f>
        <v>0</v>
      </c>
      <c r="O195" s="160">
        <f>IF($H$18&gt;0,'Assumptions (Coal)'!AC$11*Model!$H$18*AVERAGE('Assumptions (Coal)'!$B$2:$F$2)/10^9,0)</f>
        <v>0</v>
      </c>
      <c r="P195" s="160">
        <f>IF($H$18&gt;0,'Assumptions (Coal)'!AD$11*Model!$H$18*AVERAGE('Assumptions (Coal)'!$B$2:$F$2)/10^9,0)</f>
        <v>0</v>
      </c>
      <c r="Q195" s="160">
        <f>IF($H$18&gt;0,'Assumptions (Coal)'!AE$11*Model!$H$18*AVERAGE('Assumptions (Coal)'!$B$2:$F$2)/10^9,0)</f>
        <v>0</v>
      </c>
      <c r="R195" s="160">
        <f>IF($H$18&gt;0,'Assumptions (Coal)'!AF$11*Model!$H$18*AVERAGE('Assumptions (Coal)'!$B$2:$F$2)/10^9,0)</f>
        <v>0</v>
      </c>
      <c r="S195" s="160">
        <f>IF($H$18&gt;0,'Assumptions (Coal)'!AG$11*Model!$H$18*AVERAGE('Assumptions (Coal)'!$B$2:$F$2)/10^9,0)</f>
        <v>0</v>
      </c>
      <c r="T195" s="160">
        <f>IF($H$18&gt;0,'Assumptions (Coal)'!AH$11*Model!$H$18*AVERAGE('Assumptions (Coal)'!$B$2:$F$2)/10^9,0)</f>
        <v>0</v>
      </c>
      <c r="U195" s="160">
        <f>IF($H$18&gt;0,'Assumptions (Coal)'!AI$11*Model!$H$18*AVERAGE('Assumptions (Coal)'!$B$2:$F$2)/10^9,0)</f>
        <v>0</v>
      </c>
      <c r="V195" s="160">
        <f>IF($H$18&gt;0,'Assumptions (Coal)'!AJ$11*Model!$H$18*AVERAGE('Assumptions (Coal)'!$B$2:$F$2)/10^9,0)</f>
        <v>0</v>
      </c>
      <c r="W195" s="160">
        <f>IF($H$18&gt;0,'Assumptions (Coal)'!AK$11*Model!$H$18*AVERAGE('Assumptions (Coal)'!$B$2:$F$2)/10^9,0)</f>
        <v>0</v>
      </c>
      <c r="X195" s="160">
        <f>IF($H$18&gt;0,'Assumptions (Coal)'!AL$11*Model!$H$18*AVERAGE('Assumptions (Coal)'!$B$2:$F$2)/10^9,0)</f>
        <v>0</v>
      </c>
      <c r="Y195" s="160">
        <f>IF($H$18&gt;0,'Assumptions (Coal)'!AM$11*Model!$H$18*AVERAGE('Assumptions (Coal)'!$B$2:$F$2)/10^9,0)</f>
        <v>0</v>
      </c>
      <c r="Z195" s="160">
        <f>IF($H$18&gt;0,'Assumptions (Coal)'!AN$11*Model!$H$18*AVERAGE('Assumptions (Coal)'!$B$2:$F$2)/10^9,0)</f>
        <v>0</v>
      </c>
      <c r="AA195" s="160">
        <f>IF($H$18&gt;0,'Assumptions (Coal)'!AO$11*Model!$H$18*AVERAGE('Assumptions (Coal)'!$B$2:$F$2)/10^9,0)</f>
        <v>0</v>
      </c>
      <c r="AB195" s="160">
        <f>IF($H$18&gt;0,'Assumptions (Coal)'!AP$11*Model!$H$18*AVERAGE('Assumptions (Coal)'!$B$2:$F$2)/10^9,0)</f>
        <v>0</v>
      </c>
      <c r="AC195" s="160"/>
      <c r="AD195" s="160"/>
      <c r="AE195" s="160"/>
      <c r="AF195" s="160"/>
      <c r="AG195" s="160"/>
      <c r="AQ195" s="160"/>
      <c r="AR195" s="160"/>
      <c r="AS195" s="160"/>
      <c r="AT195" s="160"/>
      <c r="AU195" s="160"/>
      <c r="AV195" s="160"/>
      <c r="AW195" s="160"/>
      <c r="AX195" s="160"/>
      <c r="AY195" s="160"/>
      <c r="AZ195" s="160"/>
      <c r="BA195" s="160"/>
    </row>
    <row r="196" ht="15.75" hidden="1" customHeight="1" outlineLevel="1">
      <c r="A196" s="158"/>
      <c r="B196" s="38"/>
      <c r="C196" s="160"/>
      <c r="D196" s="160"/>
      <c r="E196" s="160"/>
      <c r="F196" s="160"/>
      <c r="G196" s="160"/>
      <c r="H196" s="160"/>
      <c r="I196" s="160">
        <f>IF($I$18&gt;0,'Assumptions (Coal)'!V$11*Model!$I$18*AVERAGE('Assumptions (Coal)'!$B$2:$G$2)/10^9,0)</f>
        <v>0</v>
      </c>
      <c r="J196" s="160">
        <f>IF($I$18&gt;0,'Assumptions (Coal)'!W$11*Model!$I$18*AVERAGE('Assumptions (Coal)'!$B$2:$G$2)/10^9,0)</f>
        <v>0</v>
      </c>
      <c r="K196" s="160">
        <f>IF($I$18&gt;0,'Assumptions (Coal)'!X$11*Model!$I$18*AVERAGE('Assumptions (Coal)'!$B$2:$G$2)/10^9,0)</f>
        <v>0</v>
      </c>
      <c r="L196" s="160">
        <f>IF($I$18&gt;0,'Assumptions (Coal)'!Y$11*Model!$I$18*AVERAGE('Assumptions (Coal)'!$B$2:$G$2)/10^9,0)</f>
        <v>0</v>
      </c>
      <c r="M196" s="160">
        <f>IF($I$18&gt;0,'Assumptions (Coal)'!Z$11*Model!$I$18*AVERAGE('Assumptions (Coal)'!$B$2:$G$2)/10^9,0)</f>
        <v>0</v>
      </c>
      <c r="N196" s="160">
        <f>IF($I$18&gt;0,'Assumptions (Coal)'!AA$11*Model!$I$18*AVERAGE('Assumptions (Coal)'!$B$2:$G$2)/10^9,0)</f>
        <v>0</v>
      </c>
      <c r="O196" s="160">
        <f>IF($I$18&gt;0,'Assumptions (Coal)'!AB$11*Model!$I$18*AVERAGE('Assumptions (Coal)'!$B$2:$G$2)/10^9,0)</f>
        <v>0</v>
      </c>
      <c r="P196" s="160">
        <f>IF($I$18&gt;0,'Assumptions (Coal)'!AC$11*Model!$I$18*AVERAGE('Assumptions (Coal)'!$B$2:$G$2)/10^9,0)</f>
        <v>0</v>
      </c>
      <c r="Q196" s="160">
        <f>IF($I$18&gt;0,'Assumptions (Coal)'!AD$11*Model!$I$18*AVERAGE('Assumptions (Coal)'!$B$2:$G$2)/10^9,0)</f>
        <v>0</v>
      </c>
      <c r="R196" s="160">
        <f>IF($I$18&gt;0,'Assumptions (Coal)'!AE$11*Model!$I$18*AVERAGE('Assumptions (Coal)'!$B$2:$G$2)/10^9,0)</f>
        <v>0</v>
      </c>
      <c r="S196" s="160">
        <f>IF($I$18&gt;0,'Assumptions (Coal)'!AF$11*Model!$I$18*AVERAGE('Assumptions (Coal)'!$B$2:$G$2)/10^9,0)</f>
        <v>0</v>
      </c>
      <c r="T196" s="160">
        <f>IF($I$18&gt;0,'Assumptions (Coal)'!AG$11*Model!$I$18*AVERAGE('Assumptions (Coal)'!$B$2:$G$2)/10^9,0)</f>
        <v>0</v>
      </c>
      <c r="U196" s="160">
        <f>IF($I$18&gt;0,'Assumptions (Coal)'!AH$11*Model!$I$18*AVERAGE('Assumptions (Coal)'!$B$2:$G$2)/10^9,0)</f>
        <v>0</v>
      </c>
      <c r="V196" s="160">
        <f>IF($I$18&gt;0,'Assumptions (Coal)'!AI$11*Model!$I$18*AVERAGE('Assumptions (Coal)'!$B$2:$G$2)/10^9,0)</f>
        <v>0</v>
      </c>
      <c r="W196" s="160">
        <f>IF($I$18&gt;0,'Assumptions (Coal)'!AJ$11*Model!$I$18*AVERAGE('Assumptions (Coal)'!$B$2:$G$2)/10^9,0)</f>
        <v>0</v>
      </c>
      <c r="X196" s="160">
        <f>IF($I$18&gt;0,'Assumptions (Coal)'!AK$11*Model!$I$18*AVERAGE('Assumptions (Coal)'!$B$2:$G$2)/10^9,0)</f>
        <v>0</v>
      </c>
      <c r="Y196" s="160">
        <f>IF($I$18&gt;0,'Assumptions (Coal)'!AL$11*Model!$I$18*AVERAGE('Assumptions (Coal)'!$B$2:$G$2)/10^9,0)</f>
        <v>0</v>
      </c>
      <c r="Z196" s="160">
        <f>IF($I$18&gt;0,'Assumptions (Coal)'!AM$11*Model!$I$18*AVERAGE('Assumptions (Coal)'!$B$2:$G$2)/10^9,0)</f>
        <v>0</v>
      </c>
      <c r="AA196" s="160">
        <f>IF($I$18&gt;0,'Assumptions (Coal)'!AN$11*Model!$I$18*AVERAGE('Assumptions (Coal)'!$B$2:$G$2)/10^9,0)</f>
        <v>0</v>
      </c>
      <c r="AB196" s="160">
        <f>IF($I$18&gt;0,'Assumptions (Coal)'!AO$11*Model!$I$18*AVERAGE('Assumptions (Coal)'!$B$2:$G$2)/10^9,0)</f>
        <v>0</v>
      </c>
      <c r="AC196" s="160">
        <f>IF($I$18&gt;0,'Assumptions (Coal)'!AP$11*Model!$I$18*AVERAGE('Assumptions (Coal)'!$B$2:$G$2)/10^9,0)</f>
        <v>0</v>
      </c>
      <c r="AD196" s="160"/>
      <c r="AE196" s="160"/>
      <c r="AF196" s="160"/>
      <c r="AG196" s="160"/>
      <c r="AQ196" s="160"/>
      <c r="AR196" s="160"/>
      <c r="AS196" s="160"/>
      <c r="AT196" s="160"/>
      <c r="AU196" s="160"/>
      <c r="AV196" s="160"/>
      <c r="AW196" s="160"/>
      <c r="AX196" s="160"/>
      <c r="AY196" s="160"/>
      <c r="AZ196" s="160"/>
      <c r="BA196" s="160"/>
    </row>
    <row r="197" ht="15.75" hidden="1" customHeight="1" outlineLevel="1">
      <c r="A197" s="158"/>
      <c r="B197" s="38"/>
      <c r="C197" s="160"/>
      <c r="D197" s="160"/>
      <c r="E197" s="160"/>
      <c r="F197" s="160"/>
      <c r="G197" s="160"/>
      <c r="H197" s="160"/>
      <c r="I197" s="160"/>
      <c r="J197" s="160">
        <f>IF($J$18&gt;0,'Assumptions (Coal)'!V$11*Model!$J$18*AVERAGE('Assumptions (Coal)'!$C$2:$H$2)/10^9,0)</f>
        <v>0.07019934495</v>
      </c>
      <c r="K197" s="160">
        <f>IF($J$18&gt;0,'Assumptions (Coal)'!W$11*Model!$J$18*AVERAGE('Assumptions (Coal)'!$C$2:$H$2)/10^9,0)</f>
        <v>0.135138419</v>
      </c>
      <c r="L197" s="160">
        <f>IF($J$18&gt;0,'Assumptions (Coal)'!X$11*Model!$J$18*AVERAGE('Assumptions (Coal)'!$C$2:$H$2)/10^9,0)</f>
        <v>0.1249922737</v>
      </c>
      <c r="M197" s="160">
        <f>IF($J$18&gt;0,'Assumptions (Coal)'!Y$11*Model!$J$18*AVERAGE('Assumptions (Coal)'!$C$2:$H$2)/10^9,0)</f>
        <v>0.115632361</v>
      </c>
      <c r="N197" s="160">
        <f>IF($J$18&gt;0,'Assumptions (Coal)'!Z$11*Model!$J$18*AVERAGE('Assumptions (Coal)'!$C$2:$H$2)/10^9,0)</f>
        <v>0.1069463621</v>
      </c>
      <c r="O197" s="160">
        <f>IF($J$18&gt;0,'Assumptions (Coal)'!AA$11*Model!$J$18*AVERAGE('Assumptions (Coal)'!$C$2:$H$2)/10^9,0)</f>
        <v>0.09893427682</v>
      </c>
      <c r="P197" s="160">
        <f>IF($J$18&gt;0,'Assumptions (Coal)'!AB$11*Model!$J$18*AVERAGE('Assumptions (Coal)'!$C$2:$H$2)/10^9,0)</f>
        <v>0.09150250617</v>
      </c>
      <c r="Q197" s="160">
        <f>IF($J$18&gt;0,'Assumptions (Coal)'!AC$11*Model!$J$18*AVERAGE('Assumptions (Coal)'!$C$2:$H$2)/10^9,0)</f>
        <v>0.0846510501</v>
      </c>
      <c r="R197" s="160">
        <f>IF($J$18&gt;0,'Assumptions (Coal)'!AD$11*Model!$J$18*AVERAGE('Assumptions (Coal)'!$C$2:$H$2)/10^9,0)</f>
        <v>0.08352786058</v>
      </c>
      <c r="S197" s="160">
        <f>IF($J$18&gt;0,'Assumptions (Coal)'!AE$11*Model!$J$18*AVERAGE('Assumptions (Coal)'!$C$2:$H$2)/10^9,0)</f>
        <v>0.08350914076</v>
      </c>
      <c r="T197" s="160">
        <f>IF($J$18&gt;0,'Assumptions (Coal)'!AF$11*Model!$J$18*AVERAGE('Assumptions (Coal)'!$C$2:$H$2)/10^9,0)</f>
        <v>0.08352786058</v>
      </c>
      <c r="U197" s="160">
        <f>IF($J$18&gt;0,'Assumptions (Coal)'!AG$11*Model!$J$18*AVERAGE('Assumptions (Coal)'!$C$2:$H$2)/10^9,0)</f>
        <v>0.08350914076</v>
      </c>
      <c r="V197" s="160">
        <f>IF($J$18&gt;0,'Assumptions (Coal)'!AH$11*Model!$J$18*AVERAGE('Assumptions (Coal)'!$C$2:$H$2)/10^9,0)</f>
        <v>0.08352786058</v>
      </c>
      <c r="W197" s="160">
        <f>IF($J$18&gt;0,'Assumptions (Coal)'!AI$11*Model!$J$18*AVERAGE('Assumptions (Coal)'!$C$2:$H$2)/10^9,0)</f>
        <v>0.08350914076</v>
      </c>
      <c r="X197" s="160">
        <f>IF($J$18&gt;0,'Assumptions (Coal)'!AJ$11*Model!$J$18*AVERAGE('Assumptions (Coal)'!$C$2:$H$2)/10^9,0)</f>
        <v>0.08352786058</v>
      </c>
      <c r="Y197" s="160">
        <f>IF($J$18&gt;0,'Assumptions (Coal)'!AK$11*Model!$J$18*AVERAGE('Assumptions (Coal)'!$C$2:$H$2)/10^9,0)</f>
        <v>0.08350914076</v>
      </c>
      <c r="Z197" s="160">
        <f>IF($J$18&gt;0,'Assumptions (Coal)'!AL$11*Model!$J$18*AVERAGE('Assumptions (Coal)'!$C$2:$H$2)/10^9,0)</f>
        <v>0.08352786058</v>
      </c>
      <c r="AA197" s="160">
        <f>IF($J$18&gt;0,'Assumptions (Coal)'!AM$11*Model!$J$18*AVERAGE('Assumptions (Coal)'!$C$2:$H$2)/10^9,0)</f>
        <v>0.08350914076</v>
      </c>
      <c r="AB197" s="160">
        <f>IF($J$18&gt;0,'Assumptions (Coal)'!AN$11*Model!$J$18*AVERAGE('Assumptions (Coal)'!$C$2:$H$2)/10^9,0)</f>
        <v>0.08352786058</v>
      </c>
      <c r="AC197" s="160">
        <f>IF($J$18&gt;0,'Assumptions (Coal)'!AO$11*Model!$J$18*AVERAGE('Assumptions (Coal)'!$C$2:$H$2)/10^9,0)</f>
        <v>0.08350914076</v>
      </c>
      <c r="AD197" s="160">
        <f>IF($J$18&gt;0,'Assumptions (Coal)'!AP$11*Model!$J$18*AVERAGE('Assumptions (Coal)'!$C$2:$H$2)/10^9,0)</f>
        <v>0.04176393029</v>
      </c>
      <c r="AE197" s="160"/>
      <c r="AF197" s="160"/>
      <c r="AG197" s="160"/>
      <c r="AH197" s="160"/>
      <c r="AQ197" s="160"/>
      <c r="AR197" s="160"/>
      <c r="AS197" s="160"/>
      <c r="AT197" s="160"/>
      <c r="AU197" s="160"/>
      <c r="AV197" s="160"/>
      <c r="AW197" s="160"/>
      <c r="AX197" s="160"/>
      <c r="AY197" s="160"/>
      <c r="AZ197" s="160"/>
      <c r="BA197" s="160"/>
    </row>
    <row r="198" ht="15.75" hidden="1" customHeight="1" outlineLevel="1">
      <c r="A198" s="158"/>
      <c r="B198" s="38"/>
      <c r="C198" s="160"/>
      <c r="D198" s="160"/>
      <c r="E198" s="160"/>
      <c r="F198" s="160"/>
      <c r="G198" s="160"/>
      <c r="H198" s="160"/>
      <c r="I198" s="160"/>
      <c r="J198" s="160"/>
      <c r="K198" s="160">
        <f>IF($K$18&gt;0,'Assumptions (Coal)'!V$11*Model!$K$18*AVERAGE('Assumptions (Coal)'!$D$2:$I$2)/10^9,0)</f>
        <v>0.07938936849</v>
      </c>
      <c r="L198" s="160">
        <f>IF($K$18&gt;0,'Assumptions (Coal)'!W$11*Model!$K$18*AVERAGE('Assumptions (Coal)'!$D$2:$I$2)/10^9,0)</f>
        <v>0.152829827</v>
      </c>
      <c r="M198" s="160">
        <f>IF($K$18&gt;0,'Assumptions (Coal)'!X$11*Model!$K$18*AVERAGE('Assumptions (Coal)'!$D$2:$I$2)/10^9,0)</f>
        <v>0.1413554169</v>
      </c>
      <c r="N198" s="160">
        <f>IF($K$18&gt;0,'Assumptions (Coal)'!Y$11*Model!$K$18*AVERAGE('Assumptions (Coal)'!$D$2:$I$2)/10^9,0)</f>
        <v>0.1307701678</v>
      </c>
      <c r="O198" s="160">
        <f>IF($K$18&gt;0,'Assumptions (Coal)'!Z$11*Model!$K$18*AVERAGE('Assumptions (Coal)'!$D$2:$I$2)/10^9,0)</f>
        <v>0.1209470566</v>
      </c>
      <c r="P198" s="160">
        <f>IF($K$18&gt;0,'Assumptions (Coal)'!AA$11*Model!$K$18*AVERAGE('Assumptions (Coal)'!$D$2:$I$2)/10^9,0)</f>
        <v>0.1118860833</v>
      </c>
      <c r="Q198" s="160">
        <f>IF($K$18&gt;0,'Assumptions (Coal)'!AB$11*Model!$K$18*AVERAGE('Assumptions (Coal)'!$D$2:$I$2)/10^9,0)</f>
        <v>0.1034813955</v>
      </c>
      <c r="R198" s="160">
        <f>IF($K$18&gt;0,'Assumptions (Coal)'!AC$11*Model!$K$18*AVERAGE('Assumptions (Coal)'!$D$2:$I$2)/10^9,0)</f>
        <v>0.09573299315</v>
      </c>
      <c r="S198" s="160">
        <f>IF($K$18&gt;0,'Assumptions (Coal)'!AD$11*Model!$K$18*AVERAGE('Assumptions (Coal)'!$D$2:$I$2)/10^9,0)</f>
        <v>0.09446276326</v>
      </c>
      <c r="T198" s="160">
        <f>IF($K$18&gt;0,'Assumptions (Coal)'!AE$11*Model!$K$18*AVERAGE('Assumptions (Coal)'!$D$2:$I$2)/10^9,0)</f>
        <v>0.09444159276</v>
      </c>
      <c r="U198" s="160">
        <f>IF($K$18&gt;0,'Assumptions (Coal)'!AF$11*Model!$K$18*AVERAGE('Assumptions (Coal)'!$D$2:$I$2)/10^9,0)</f>
        <v>0.09446276326</v>
      </c>
      <c r="V198" s="160">
        <f>IF($K$18&gt;0,'Assumptions (Coal)'!AG$11*Model!$K$18*AVERAGE('Assumptions (Coal)'!$D$2:$I$2)/10^9,0)</f>
        <v>0.09444159276</v>
      </c>
      <c r="W198" s="160">
        <f>IF($K$18&gt;0,'Assumptions (Coal)'!AH$11*Model!$K$18*AVERAGE('Assumptions (Coal)'!$D$2:$I$2)/10^9,0)</f>
        <v>0.09446276326</v>
      </c>
      <c r="X198" s="160">
        <f>IF($K$18&gt;0,'Assumptions (Coal)'!AI$11*Model!$K$18*AVERAGE('Assumptions (Coal)'!$D$2:$I$2)/10^9,0)</f>
        <v>0.09444159276</v>
      </c>
      <c r="Y198" s="160">
        <f>IF($K$18&gt;0,'Assumptions (Coal)'!AJ$11*Model!$K$18*AVERAGE('Assumptions (Coal)'!$D$2:$I$2)/10^9,0)</f>
        <v>0.09446276326</v>
      </c>
      <c r="Z198" s="160">
        <f>IF($K$18&gt;0,'Assumptions (Coal)'!AK$11*Model!$K$18*AVERAGE('Assumptions (Coal)'!$D$2:$I$2)/10^9,0)</f>
        <v>0.09444159276</v>
      </c>
      <c r="AA198" s="160">
        <f>IF($K$18&gt;0,'Assumptions (Coal)'!AL$11*Model!$K$18*AVERAGE('Assumptions (Coal)'!$D$2:$I$2)/10^9,0)</f>
        <v>0.09446276326</v>
      </c>
      <c r="AB198" s="160">
        <f>IF($K$18&gt;0,'Assumptions (Coal)'!AM$11*Model!$K$18*AVERAGE('Assumptions (Coal)'!$D$2:$I$2)/10^9,0)</f>
        <v>0.09444159276</v>
      </c>
      <c r="AC198" s="160">
        <f>IF($K$18&gt;0,'Assumptions (Coal)'!AN$11*Model!$K$18*AVERAGE('Assumptions (Coal)'!$D$2:$I$2)/10^9,0)</f>
        <v>0.09446276326</v>
      </c>
      <c r="AD198" s="160">
        <f>IF($K$18&gt;0,'Assumptions (Coal)'!AO$11*Model!$K$18*AVERAGE('Assumptions (Coal)'!$D$2:$I$2)/10^9,0)</f>
        <v>0.09444159276</v>
      </c>
      <c r="AE198" s="160">
        <f>IF($K$18&gt;0,'Assumptions (Coal)'!AP$11*Model!$K$18*AVERAGE('Assumptions (Coal)'!$D$2:$I$2)/10^9,0)</f>
        <v>0.04723138163</v>
      </c>
      <c r="AF198" s="160"/>
      <c r="AG198" s="160"/>
      <c r="AH198" s="160"/>
      <c r="AI198" s="160"/>
      <c r="AQ198" s="160"/>
      <c r="AR198" s="160"/>
      <c r="AS198" s="160"/>
      <c r="AT198" s="160"/>
      <c r="AU198" s="160"/>
      <c r="AV198" s="160"/>
      <c r="AW198" s="160"/>
      <c r="AX198" s="160"/>
      <c r="AY198" s="160"/>
      <c r="AZ198" s="160"/>
      <c r="BA198" s="160"/>
    </row>
    <row r="199" ht="15.75" hidden="1" customHeight="1" outlineLevel="1">
      <c r="A199" s="158"/>
      <c r="B199" s="38"/>
      <c r="C199" s="160"/>
      <c r="D199" s="160"/>
      <c r="E199" s="160"/>
      <c r="F199" s="160"/>
      <c r="G199" s="160"/>
      <c r="H199" s="160"/>
      <c r="I199" s="160"/>
      <c r="J199" s="160"/>
      <c r="K199" s="160"/>
      <c r="L199" s="160">
        <f>IF($L$18&gt;0,'Assumptions (Coal)'!V$11*Model!$L$18*AVERAGE('Assumptions (Coal)'!$E$2:$J$2)/10^9,0)</f>
        <v>0</v>
      </c>
      <c r="M199" s="160">
        <f>IF($L$18&gt;0,'Assumptions (Coal)'!W$11*Model!$L$18*AVERAGE('Assumptions (Coal)'!$E$2:$J$2)/10^9,0)</f>
        <v>0</v>
      </c>
      <c r="N199" s="160">
        <f>IF($L$18&gt;0,'Assumptions (Coal)'!X$11*Model!$L$18*AVERAGE('Assumptions (Coal)'!$E$2:$J$2)/10^9,0)</f>
        <v>0</v>
      </c>
      <c r="O199" s="160">
        <f>IF($L$18&gt;0,'Assumptions (Coal)'!Y$11*Model!$L$18*AVERAGE('Assumptions (Coal)'!$E$2:$J$2)/10^9,0)</f>
        <v>0</v>
      </c>
      <c r="P199" s="160">
        <f>IF($L$18&gt;0,'Assumptions (Coal)'!Z$11*Model!$L$18*AVERAGE('Assumptions (Coal)'!$E$2:$J$2)/10^9,0)</f>
        <v>0</v>
      </c>
      <c r="Q199" s="160">
        <f>IF($L$18&gt;0,'Assumptions (Coal)'!AA$11*Model!$L$18*AVERAGE('Assumptions (Coal)'!$E$2:$J$2)/10^9,0)</f>
        <v>0</v>
      </c>
      <c r="R199" s="160">
        <f>IF($L$18&gt;0,'Assumptions (Coal)'!AB$11*Model!$L$18*AVERAGE('Assumptions (Coal)'!$E$2:$J$2)/10^9,0)</f>
        <v>0</v>
      </c>
      <c r="S199" s="160">
        <f>IF($L$18&gt;0,'Assumptions (Coal)'!AC$11*Model!$L$18*AVERAGE('Assumptions (Coal)'!$E$2:$J$2)/10^9,0)</f>
        <v>0</v>
      </c>
      <c r="T199" s="160">
        <f>IF($L$18&gt;0,'Assumptions (Coal)'!AD$11*Model!$L$18*AVERAGE('Assumptions (Coal)'!$E$2:$J$2)/10^9,0)</f>
        <v>0</v>
      </c>
      <c r="U199" s="160">
        <f>IF($L$18&gt;0,'Assumptions (Coal)'!AE$11*Model!$L$18*AVERAGE('Assumptions (Coal)'!$E$2:$J$2)/10^9,0)</f>
        <v>0</v>
      </c>
      <c r="V199" s="160">
        <f>IF($L$18&gt;0,'Assumptions (Coal)'!AF$11*Model!$L$18*AVERAGE('Assumptions (Coal)'!$E$2:$J$2)/10^9,0)</f>
        <v>0</v>
      </c>
      <c r="W199" s="160">
        <f>IF($L$18&gt;0,'Assumptions (Coal)'!AG$11*Model!$L$18*AVERAGE('Assumptions (Coal)'!$E$2:$J$2)/10^9,0)</f>
        <v>0</v>
      </c>
      <c r="X199" s="160">
        <f>IF($L$18&gt;0,'Assumptions (Coal)'!AH$11*Model!$L$18*AVERAGE('Assumptions (Coal)'!$E$2:$J$2)/10^9,0)</f>
        <v>0</v>
      </c>
      <c r="Y199" s="160">
        <f>IF($L$18&gt;0,'Assumptions (Coal)'!AI$11*Model!$L$18*AVERAGE('Assumptions (Coal)'!$E$2:$J$2)/10^9,0)</f>
        <v>0</v>
      </c>
      <c r="Z199" s="160">
        <f>IF($L$18&gt;0,'Assumptions (Coal)'!AJ$11*Model!$L$18*AVERAGE('Assumptions (Coal)'!$E$2:$J$2)/10^9,0)</f>
        <v>0</v>
      </c>
      <c r="AA199" s="160">
        <f>IF($L$18&gt;0,'Assumptions (Coal)'!AK$11*Model!$L$18*AVERAGE('Assumptions (Coal)'!$E$2:$J$2)/10^9,0)</f>
        <v>0</v>
      </c>
      <c r="AB199" s="160">
        <f>IF($L$18&gt;0,'Assumptions (Coal)'!AL$11*Model!$L$18*AVERAGE('Assumptions (Coal)'!$E$2:$J$2)/10^9,0)</f>
        <v>0</v>
      </c>
      <c r="AC199" s="160">
        <f>IF($L$18&gt;0,'Assumptions (Coal)'!AM$11*Model!$L$18*AVERAGE('Assumptions (Coal)'!$E$2:$J$2)/10^9,0)</f>
        <v>0</v>
      </c>
      <c r="AD199" s="160">
        <f>IF($L$18&gt;0,'Assumptions (Coal)'!AN$11*Model!$L$18*AVERAGE('Assumptions (Coal)'!$E$2:$J$2)/10^9,0)</f>
        <v>0</v>
      </c>
      <c r="AE199" s="160">
        <f>IF($L$18&gt;0,'Assumptions (Coal)'!AO$11*Model!$L$18*AVERAGE('Assumptions (Coal)'!$E$2:$J$2)/10^9,0)</f>
        <v>0</v>
      </c>
      <c r="AF199" s="180">
        <f>IF($L$18&gt;0,'Assumptions (Coal)'!AP$11*Model!$L$18*AVERAGE('Assumptions (Coal)'!$E$2:$J$2)/10^9,0)</f>
        <v>0</v>
      </c>
      <c r="AG199" s="160"/>
      <c r="AH199" s="160"/>
      <c r="AI199" s="160"/>
      <c r="AJ199" s="160"/>
      <c r="AQ199" s="160"/>
      <c r="AR199" s="160"/>
      <c r="AS199" s="160"/>
      <c r="AT199" s="160"/>
      <c r="AU199" s="160"/>
      <c r="AV199" s="160"/>
      <c r="AW199" s="160"/>
      <c r="AX199" s="160"/>
      <c r="AY199" s="160"/>
      <c r="AZ199" s="160"/>
      <c r="BA199" s="160"/>
    </row>
    <row r="200" ht="15.75" hidden="1" customHeight="1" outlineLevel="1">
      <c r="A200" s="158"/>
      <c r="B200" s="38"/>
      <c r="C200" s="160"/>
      <c r="D200" s="160"/>
      <c r="E200" s="160"/>
      <c r="F200" s="160"/>
      <c r="G200" s="160"/>
      <c r="H200" s="160"/>
      <c r="I200" s="160"/>
      <c r="J200" s="160"/>
      <c r="K200" s="160"/>
      <c r="L200" s="160"/>
      <c r="M200" s="160">
        <f>IF($M$18&gt;0,'Assumptions (Coal)'!V$11*Model!$M$18*AVERAGE('Assumptions (Coal)'!$F$2:$K$2)/10^9,0)</f>
        <v>0</v>
      </c>
      <c r="N200" s="160">
        <f>IF($M$18&gt;0,'Assumptions (Coal)'!W$11*Model!$M$18*AVERAGE('Assumptions (Coal)'!$F$2:$K$2)/10^9,0)</f>
        <v>0</v>
      </c>
      <c r="O200" s="160">
        <f>IF($M$18&gt;0,'Assumptions (Coal)'!X$11*Model!$M$18*AVERAGE('Assumptions (Coal)'!$F$2:$K$2)/10^9,0)</f>
        <v>0</v>
      </c>
      <c r="P200" s="160">
        <f>IF($M$18&gt;0,'Assumptions (Coal)'!Y$11*Model!$M$18*AVERAGE('Assumptions (Coal)'!$F$2:$K$2)/10^9,0)</f>
        <v>0</v>
      </c>
      <c r="Q200" s="160">
        <f>IF($M$18&gt;0,'Assumptions (Coal)'!Z$11*Model!$M$18*AVERAGE('Assumptions (Coal)'!$F$2:$K$2)/10^9,0)</f>
        <v>0</v>
      </c>
      <c r="R200" s="160">
        <f>IF($M$18&gt;0,'Assumptions (Coal)'!AA$11*Model!$M$18*AVERAGE('Assumptions (Coal)'!$F$2:$K$2)/10^9,0)</f>
        <v>0</v>
      </c>
      <c r="S200" s="160">
        <f>IF($M$18&gt;0,'Assumptions (Coal)'!AB$11*Model!$M$18*AVERAGE('Assumptions (Coal)'!$F$2:$K$2)/10^9,0)</f>
        <v>0</v>
      </c>
      <c r="T200" s="160">
        <f>IF($M$18&gt;0,'Assumptions (Coal)'!AC$11*Model!$M$18*AVERAGE('Assumptions (Coal)'!$F$2:$K$2)/10^9,0)</f>
        <v>0</v>
      </c>
      <c r="U200" s="160">
        <f>IF($M$18&gt;0,'Assumptions (Coal)'!AD$11*Model!$M$18*AVERAGE('Assumptions (Coal)'!$F$2:$K$2)/10^9,0)</f>
        <v>0</v>
      </c>
      <c r="V200" s="160">
        <f>IF($M$18&gt;0,'Assumptions (Coal)'!AE$11*Model!$M$18*AVERAGE('Assumptions (Coal)'!$F$2:$K$2)/10^9,0)</f>
        <v>0</v>
      </c>
      <c r="W200" s="160">
        <f>IF($M$18&gt;0,'Assumptions (Coal)'!AF$11*Model!$M$18*AVERAGE('Assumptions (Coal)'!$F$2:$K$2)/10^9,0)</f>
        <v>0</v>
      </c>
      <c r="X200" s="160">
        <f>IF($M$18&gt;0,'Assumptions (Coal)'!AG$11*Model!$M$18*AVERAGE('Assumptions (Coal)'!$F$2:$K$2)/10^9,0)</f>
        <v>0</v>
      </c>
      <c r="Y200" s="160">
        <f>IF($M$18&gt;0,'Assumptions (Coal)'!AH$11*Model!$M$18*AVERAGE('Assumptions (Coal)'!$F$2:$K$2)/10^9,0)</f>
        <v>0</v>
      </c>
      <c r="Z200" s="160">
        <f>IF($M$18&gt;0,'Assumptions (Coal)'!AI$11*Model!$M$18*AVERAGE('Assumptions (Coal)'!$F$2:$K$2)/10^9,0)</f>
        <v>0</v>
      </c>
      <c r="AA200" s="160">
        <f>IF($M$18&gt;0,'Assumptions (Coal)'!AJ$11*Model!$M$18*AVERAGE('Assumptions (Coal)'!$F$2:$K$2)/10^9,0)</f>
        <v>0</v>
      </c>
      <c r="AB200" s="160">
        <f>IF($M$18&gt;0,'Assumptions (Coal)'!AK$11*Model!$M$18*AVERAGE('Assumptions (Coal)'!$F$2:$K$2)/10^9,0)</f>
        <v>0</v>
      </c>
      <c r="AC200" s="160">
        <f>IF($M$18&gt;0,'Assumptions (Coal)'!AL$11*Model!$M$18*AVERAGE('Assumptions (Coal)'!$F$2:$K$2)/10^9,0)</f>
        <v>0</v>
      </c>
      <c r="AD200" s="160">
        <f>IF($M$18&gt;0,'Assumptions (Coal)'!AM$11*Model!$M$18*AVERAGE('Assumptions (Coal)'!$F$2:$K$2)/10^9,0)</f>
        <v>0</v>
      </c>
      <c r="AE200" s="160">
        <f>IF($M$18&gt;0,'Assumptions (Coal)'!AN$11*Model!$M$18*AVERAGE('Assumptions (Coal)'!$F$2:$K$2)/10^9,0)</f>
        <v>0</v>
      </c>
      <c r="AF200" s="180">
        <f>IF($M$18&gt;0,'Assumptions (Coal)'!AO$11*Model!$M$18*AVERAGE('Assumptions (Coal)'!$F$2:$K$2)/10^9,0)</f>
        <v>0</v>
      </c>
      <c r="AG200" s="160">
        <f>IF($M$18&gt;0,'Assumptions (Coal)'!AP$11*Model!$M$18*AVERAGE('Assumptions (Coal)'!$F$2:$K$2)/10^9,0)</f>
        <v>0</v>
      </c>
      <c r="AH200" s="160"/>
      <c r="AI200" s="160"/>
      <c r="AJ200" s="160"/>
      <c r="AK200" s="160"/>
      <c r="AQ200" s="160"/>
      <c r="AR200" s="160"/>
      <c r="AS200" s="160"/>
      <c r="AT200" s="160"/>
      <c r="AU200" s="160"/>
      <c r="AV200" s="160"/>
      <c r="AW200" s="160"/>
      <c r="AX200" s="160"/>
      <c r="AY200" s="160"/>
      <c r="AZ200" s="160"/>
      <c r="BA200" s="160"/>
    </row>
    <row r="201" ht="15.75" hidden="1" customHeight="1" outlineLevel="1">
      <c r="A201" s="158"/>
      <c r="B201" s="38"/>
      <c r="C201" s="160"/>
      <c r="D201" s="160"/>
      <c r="E201" s="160"/>
      <c r="F201" s="160"/>
      <c r="G201" s="160"/>
      <c r="H201" s="160"/>
      <c r="I201" s="160"/>
      <c r="J201" s="160"/>
      <c r="K201" s="160"/>
      <c r="L201" s="160"/>
      <c r="M201" s="160"/>
      <c r="N201" s="160">
        <f>IF($N$18&gt;0,'Assumptions (Coal)'!V$11*Model!$N$18*AVERAGE('Assumptions (Coal)'!$G$2:$L$2)/10^9,0)</f>
        <v>0</v>
      </c>
      <c r="O201" s="160">
        <f>IF($N$18&gt;0,'Assumptions (Coal)'!W$11*Model!$N$18*AVERAGE('Assumptions (Coal)'!$G$2:$L$2)/10^9,0)</f>
        <v>0</v>
      </c>
      <c r="P201" s="160">
        <f>IF($N$18&gt;0,'Assumptions (Coal)'!X$11*Model!$N$18*AVERAGE('Assumptions (Coal)'!$G$2:$L$2)/10^9,0)</f>
        <v>0</v>
      </c>
      <c r="Q201" s="160">
        <f>IF($N$18&gt;0,'Assumptions (Coal)'!Y$11*Model!$N$18*AVERAGE('Assumptions (Coal)'!$G$2:$L$2)/10^9,0)</f>
        <v>0</v>
      </c>
      <c r="R201" s="160">
        <f>IF($N$18&gt;0,'Assumptions (Coal)'!Z$11*Model!$N$18*AVERAGE('Assumptions (Coal)'!$G$2:$L$2)/10^9,0)</f>
        <v>0</v>
      </c>
      <c r="S201" s="160">
        <f>IF($N$18&gt;0,'Assumptions (Coal)'!AA$11*Model!$N$18*AVERAGE('Assumptions (Coal)'!$G$2:$L$2)/10^9,0)</f>
        <v>0</v>
      </c>
      <c r="T201" s="160">
        <f>IF($N$18&gt;0,'Assumptions (Coal)'!AB$11*Model!$N$18*AVERAGE('Assumptions (Coal)'!$G$2:$L$2)/10^9,0)</f>
        <v>0</v>
      </c>
      <c r="U201" s="160">
        <f>IF($N$18&gt;0,'Assumptions (Coal)'!AC$11*Model!$N$18*AVERAGE('Assumptions (Coal)'!$G$2:$L$2)/10^9,0)</f>
        <v>0</v>
      </c>
      <c r="V201" s="160">
        <f>IF($N$18&gt;0,'Assumptions (Coal)'!AD$11*Model!$N$18*AVERAGE('Assumptions (Coal)'!$G$2:$L$2)/10^9,0)</f>
        <v>0</v>
      </c>
      <c r="W201" s="160">
        <f>IF($N$18&gt;0,'Assumptions (Coal)'!AE$11*Model!$N$18*AVERAGE('Assumptions (Coal)'!$G$2:$L$2)/10^9,0)</f>
        <v>0</v>
      </c>
      <c r="X201" s="160">
        <f>IF($N$18&gt;0,'Assumptions (Coal)'!AF$11*Model!$N$18*AVERAGE('Assumptions (Coal)'!$G$2:$L$2)/10^9,0)</f>
        <v>0</v>
      </c>
      <c r="Y201" s="160">
        <f>IF($N$18&gt;0,'Assumptions (Coal)'!AG$11*Model!$N$18*AVERAGE('Assumptions (Coal)'!$G$2:$L$2)/10^9,0)</f>
        <v>0</v>
      </c>
      <c r="Z201" s="160">
        <f>IF($N$18&gt;0,'Assumptions (Coal)'!AH$11*Model!$N$18*AVERAGE('Assumptions (Coal)'!$G$2:$L$2)/10^9,0)</f>
        <v>0</v>
      </c>
      <c r="AA201" s="160">
        <f>IF($N$18&gt;0,'Assumptions (Coal)'!AI$11*Model!$N$18*AVERAGE('Assumptions (Coal)'!$G$2:$L$2)/10^9,0)</f>
        <v>0</v>
      </c>
      <c r="AB201" s="160">
        <f>IF($N$18&gt;0,'Assumptions (Coal)'!AJ$11*Model!$N$18*AVERAGE('Assumptions (Coal)'!$G$2:$L$2)/10^9,0)</f>
        <v>0</v>
      </c>
      <c r="AC201" s="160">
        <f>IF($N$18&gt;0,'Assumptions (Coal)'!AK$11*Model!$N$18*AVERAGE('Assumptions (Coal)'!$G$2:$L$2)/10^9,0)</f>
        <v>0</v>
      </c>
      <c r="AD201" s="160">
        <f>IF($N$18&gt;0,'Assumptions (Coal)'!AL$11*Model!$N$18*AVERAGE('Assumptions (Coal)'!$G$2:$L$2)/10^9,0)</f>
        <v>0</v>
      </c>
      <c r="AE201" s="160">
        <f>IF($N$18&gt;0,'Assumptions (Coal)'!AM$11*Model!$N$18*AVERAGE('Assumptions (Coal)'!$G$2:$L$2)/10^9,0)</f>
        <v>0</v>
      </c>
      <c r="AF201" s="180">
        <f>IF($N$18&gt;0,'Assumptions (Coal)'!AN$11*Model!$N$18*AVERAGE('Assumptions (Coal)'!$G$2:$L$2)/10^9,0)</f>
        <v>0</v>
      </c>
      <c r="AG201" s="160">
        <f>IF($N$18&gt;0,'Assumptions (Coal)'!AO$11*Model!$N$18*AVERAGE('Assumptions (Coal)'!$G$2:$L$2)/10^9,0)</f>
        <v>0</v>
      </c>
      <c r="AH201" s="160">
        <f>IF($N$18&gt;0,'Assumptions (Coal)'!AP$11*Model!$N$18*AVERAGE('Assumptions (Coal)'!$G$2:$L$2)/10^9,0)</f>
        <v>0</v>
      </c>
      <c r="AI201" s="160"/>
      <c r="AJ201" s="160"/>
      <c r="AK201" s="160"/>
      <c r="AL201" s="160"/>
      <c r="AQ201" s="160"/>
      <c r="AR201" s="160"/>
      <c r="AS201" s="160"/>
      <c r="AT201" s="160"/>
      <c r="AU201" s="160"/>
      <c r="AV201" s="160"/>
      <c r="AW201" s="160"/>
      <c r="AX201" s="160"/>
      <c r="AY201" s="160"/>
      <c r="AZ201" s="160"/>
      <c r="BA201" s="160"/>
    </row>
    <row r="202" ht="15.75" hidden="1" customHeight="1" outlineLevel="1">
      <c r="A202" s="158"/>
      <c r="B202" s="38"/>
      <c r="C202" s="160"/>
      <c r="D202" s="160"/>
      <c r="E202" s="160"/>
      <c r="F202" s="160"/>
      <c r="G202" s="160"/>
      <c r="H202" s="160"/>
      <c r="I202" s="160"/>
      <c r="J202" s="160"/>
      <c r="K202" s="160"/>
      <c r="L202" s="160"/>
      <c r="M202" s="160"/>
      <c r="N202" s="160"/>
      <c r="O202" s="160">
        <f>IF($O$18&gt;0,'Assumptions (Coal)'!V$11*Model!$O$18*AVERAGE('Assumptions (Coal)'!$H$2:$M$2)/10^9,0)</f>
        <v>0.1209354131</v>
      </c>
      <c r="P202" s="160">
        <f>IF($O$18&gt;0,'Assumptions (Coal)'!W$11*Model!$O$18*AVERAGE('Assumptions (Coal)'!$H$2:$M$2)/10^9,0)</f>
        <v>0.2328087325</v>
      </c>
      <c r="Q202" s="160">
        <f>IF($O$18&gt;0,'Assumptions (Coal)'!X$11*Model!$O$18*AVERAGE('Assumptions (Coal)'!$H$2:$M$2)/10^9,0)</f>
        <v>0.2153295341</v>
      </c>
      <c r="R202" s="160">
        <f>IF($O$18&gt;0,'Assumptions (Coal)'!Y$11*Model!$O$18*AVERAGE('Assumptions (Coal)'!$H$2:$M$2)/10^9,0)</f>
        <v>0.1992048124</v>
      </c>
      <c r="S202" s="160">
        <f>IF($O$18&gt;0,'Assumptions (Coal)'!Z$11*Model!$O$18*AVERAGE('Assumptions (Coal)'!$H$2:$M$2)/10^9,0)</f>
        <v>0.1842410706</v>
      </c>
      <c r="T202" s="160">
        <f>IF($O$18&gt;0,'Assumptions (Coal)'!AA$11*Model!$O$18*AVERAGE('Assumptions (Coal)'!$H$2:$M$2)/10^9,0)</f>
        <v>0.1704383088</v>
      </c>
      <c r="U202" s="160">
        <f>IF($O$18&gt;0,'Assumptions (Coal)'!AB$11*Model!$O$18*AVERAGE('Assumptions (Coal)'!$H$2:$M$2)/10^9,0)</f>
        <v>0.1576352797</v>
      </c>
      <c r="V202" s="160">
        <f>IF($O$18&gt;0,'Assumptions (Coal)'!AC$11*Model!$O$18*AVERAGE('Assumptions (Coal)'!$H$2:$M$2)/10^9,0)</f>
        <v>0.1458319834</v>
      </c>
      <c r="W202" s="160">
        <f>IF($O$18&gt;0,'Assumptions (Coal)'!AD$11*Model!$O$18*AVERAGE('Assumptions (Coal)'!$H$2:$M$2)/10^9,0)</f>
        <v>0.1438970168</v>
      </c>
      <c r="X202" s="160">
        <f>IF($O$18&gt;0,'Assumptions (Coal)'!AE$11*Model!$O$18*AVERAGE('Assumptions (Coal)'!$H$2:$M$2)/10^9,0)</f>
        <v>0.1438647674</v>
      </c>
      <c r="Y202" s="160">
        <f>IF($O$18&gt;0,'Assumptions (Coal)'!AF$11*Model!$O$18*AVERAGE('Assumptions (Coal)'!$H$2:$M$2)/10^9,0)</f>
        <v>0.1438970168</v>
      </c>
      <c r="Z202" s="160">
        <f>IF($O$18&gt;0,'Assumptions (Coal)'!AG$11*Model!$O$18*AVERAGE('Assumptions (Coal)'!$H$2:$M$2)/10^9,0)</f>
        <v>0.1438647674</v>
      </c>
      <c r="AA202" s="160">
        <f>IF($O$18&gt;0,'Assumptions (Coal)'!AH$11*Model!$O$18*AVERAGE('Assumptions (Coal)'!$H$2:$M$2)/10^9,0)</f>
        <v>0.1438970168</v>
      </c>
      <c r="AB202" s="160">
        <f>IF($O$18&gt;0,'Assumptions (Coal)'!AI$11*Model!$O$18*AVERAGE('Assumptions (Coal)'!$H$2:$M$2)/10^9,0)</f>
        <v>0.1438647674</v>
      </c>
      <c r="AC202" s="160">
        <f>IF($O$18&gt;0,'Assumptions (Coal)'!AJ$11*Model!$O$18*AVERAGE('Assumptions (Coal)'!$H$2:$M$2)/10^9,0)</f>
        <v>0.1438970168</v>
      </c>
      <c r="AD202" s="160">
        <f>IF($O$18&gt;0,'Assumptions (Coal)'!AK$11*Model!$O$18*AVERAGE('Assumptions (Coal)'!$H$2:$M$2)/10^9,0)</f>
        <v>0.1438647674</v>
      </c>
      <c r="AE202" s="160">
        <f>IF($O$18&gt;0,'Assumptions (Coal)'!AL$11*Model!$O$18*AVERAGE('Assumptions (Coal)'!$H$2:$M$2)/10^9,0)</f>
        <v>0.1438970168</v>
      </c>
      <c r="AF202" s="180">
        <f>IF($O$18&gt;0,'Assumptions (Coal)'!AM$11*Model!$O$18*AVERAGE('Assumptions (Coal)'!$H$2:$M$2)/10^9,0)</f>
        <v>0.1438647674</v>
      </c>
      <c r="AG202" s="160">
        <f>IF($O$18&gt;0,'Assumptions (Coal)'!AN$11*Model!$O$18*AVERAGE('Assumptions (Coal)'!$H$2:$M$2)/10^9,0)</f>
        <v>0.1438970168</v>
      </c>
      <c r="AH202" s="160">
        <f>IF($O$18&gt;0,'Assumptions (Coal)'!AO$11*Model!$O$18*AVERAGE('Assumptions (Coal)'!$H$2:$M$2)/10^9,0)</f>
        <v>0.1438647674</v>
      </c>
      <c r="AI202" s="160">
        <f>IF($O$18&gt;0,'Assumptions (Coal)'!AP$11*Model!$O$18*AVERAGE('Assumptions (Coal)'!$H$2:$M$2)/10^9,0)</f>
        <v>0.07194850841</v>
      </c>
      <c r="AJ202" s="160"/>
      <c r="AK202" s="160"/>
      <c r="AL202" s="160"/>
      <c r="AM202" s="160"/>
      <c r="AQ202" s="160"/>
      <c r="AR202" s="160"/>
      <c r="AS202" s="160"/>
      <c r="AT202" s="160"/>
      <c r="AU202" s="160"/>
      <c r="AV202" s="160"/>
      <c r="AW202" s="160"/>
      <c r="AX202" s="160"/>
      <c r="AY202" s="160"/>
      <c r="AZ202" s="160"/>
      <c r="BA202" s="160"/>
    </row>
    <row r="203" ht="15.75" hidden="1" customHeight="1" outlineLevel="1">
      <c r="A203" s="158"/>
      <c r="B203" s="38"/>
      <c r="C203" s="160"/>
      <c r="D203" s="160"/>
      <c r="E203" s="160"/>
      <c r="F203" s="160"/>
      <c r="G203" s="160"/>
      <c r="H203" s="177"/>
      <c r="I203" s="160"/>
      <c r="J203" s="160"/>
      <c r="K203" s="160"/>
      <c r="L203" s="160"/>
      <c r="M203" s="160"/>
      <c r="N203" s="160"/>
      <c r="O203" s="160"/>
      <c r="P203" s="177">
        <f>IF($P$18&gt;0,'Assumptions (Coal)'!V$11*Model!$P$18*AVERAGE('Assumptions (Coal)'!$I$2:$N$2)/10^9,0)</f>
        <v>0</v>
      </c>
      <c r="Q203" s="177">
        <f>IF($P$18&gt;0,'Assumptions (Coal)'!W$11*Model!$P$18*AVERAGE('Assumptions (Coal)'!$I$2:$N$2)/10^9,0)</f>
        <v>0</v>
      </c>
      <c r="R203" s="177">
        <f>IF($P$18&gt;0,'Assumptions (Coal)'!X$11*Model!$P$18*AVERAGE('Assumptions (Coal)'!$I$2:$N$2)/10^9,0)</f>
        <v>0</v>
      </c>
      <c r="S203" s="177">
        <f>IF($P$18&gt;0,'Assumptions (Coal)'!Y$11*Model!$P$18*AVERAGE('Assumptions (Coal)'!$I$2:$N$2)/10^9,0)</f>
        <v>0</v>
      </c>
      <c r="T203" s="177">
        <f>IF($P$18&gt;0,'Assumptions (Coal)'!Z$11*Model!$P$18*AVERAGE('Assumptions (Coal)'!$I$2:$N$2)/10^9,0)</f>
        <v>0</v>
      </c>
      <c r="U203" s="177">
        <f>IF($P$18&gt;0,'Assumptions (Coal)'!AA$11*Model!$P$18*AVERAGE('Assumptions (Coal)'!$I$2:$N$2)/10^9,0)</f>
        <v>0</v>
      </c>
      <c r="V203" s="177">
        <f>IF($P$18&gt;0,'Assumptions (Coal)'!AB$11*Model!$P$18*AVERAGE('Assumptions (Coal)'!$I$2:$N$2)/10^9,0)</f>
        <v>0</v>
      </c>
      <c r="W203" s="177">
        <f>IF($P$18&gt;0,'Assumptions (Coal)'!AC$11*Model!$P$18*AVERAGE('Assumptions (Coal)'!$I$2:$N$2)/10^9,0)</f>
        <v>0</v>
      </c>
      <c r="X203" s="177">
        <f>IF($P$18&gt;0,'Assumptions (Coal)'!AD$11*Model!$P$18*AVERAGE('Assumptions (Coal)'!$I$2:$N$2)/10^9,0)</f>
        <v>0</v>
      </c>
      <c r="Y203" s="177">
        <f>IF($P$18&gt;0,'Assumptions (Coal)'!AE$11*Model!$P$18*AVERAGE('Assumptions (Coal)'!$I$2:$N$2)/10^9,0)</f>
        <v>0</v>
      </c>
      <c r="Z203" s="177">
        <f>IF($P$18&gt;0,'Assumptions (Coal)'!AF$11*Model!$P$18*AVERAGE('Assumptions (Coal)'!$I$2:$N$2)/10^9,0)</f>
        <v>0</v>
      </c>
      <c r="AA203" s="177">
        <f>IF($P$18&gt;0,'Assumptions (Coal)'!AG$11*Model!$P$18*AVERAGE('Assumptions (Coal)'!$I$2:$N$2)/10^9,0)</f>
        <v>0</v>
      </c>
      <c r="AB203" s="177">
        <f>IF($P$18&gt;0,'Assumptions (Coal)'!AH$11*Model!$P$18*AVERAGE('Assumptions (Coal)'!$I$2:$N$2)/10^9,0)</f>
        <v>0</v>
      </c>
      <c r="AC203" s="177">
        <f>IF($P$18&gt;0,'Assumptions (Coal)'!AI$11*Model!$P$18*AVERAGE('Assumptions (Coal)'!$I$2:$N$2)/10^9,0)</f>
        <v>0</v>
      </c>
      <c r="AD203" s="177">
        <f>IF($P$18&gt;0,'Assumptions (Coal)'!AJ$11*Model!$P$18*AVERAGE('Assumptions (Coal)'!$I$2:$N$2)/10^9,0)</f>
        <v>0</v>
      </c>
      <c r="AE203" s="177">
        <f>IF($P$18&gt;0,'Assumptions (Coal)'!AK$11*Model!$P$18*AVERAGE('Assumptions (Coal)'!$I$2:$N$2)/10^9,0)</f>
        <v>0</v>
      </c>
      <c r="AF203" s="180">
        <f>IF($P$18&gt;0,'Assumptions (Coal)'!AL$11*Model!$P$18*AVERAGE('Assumptions (Coal)'!$I$2:$N$2)/10^9,0)</f>
        <v>0</v>
      </c>
      <c r="AG203" s="177">
        <f>IF($P$18&gt;0,'Assumptions (Coal)'!AM$11*Model!$P$18*AVERAGE('Assumptions (Coal)'!$I$2:$N$2)/10^9,0)</f>
        <v>0</v>
      </c>
      <c r="AH203" s="177">
        <f>IF($P$18&gt;0,'Assumptions (Coal)'!AN$11*Model!$P$18*AVERAGE('Assumptions (Coal)'!$I$2:$N$2)/10^9,0)</f>
        <v>0</v>
      </c>
      <c r="AI203" s="177">
        <f>IF($P$18&gt;0,'Assumptions (Coal)'!AO$11*Model!$P$18*AVERAGE('Assumptions (Coal)'!$I$2:$N$2)/10^9,0)</f>
        <v>0</v>
      </c>
      <c r="AJ203" s="177">
        <f>IF($P$18&gt;0,'Assumptions (Coal)'!AP$11*Model!$P$18*AVERAGE('Assumptions (Coal)'!$I$2:$N$2)/10^9,0)</f>
        <v>0</v>
      </c>
      <c r="AK203" s="177"/>
      <c r="AL203" s="177"/>
      <c r="AM203" s="177"/>
      <c r="AN203" s="177"/>
      <c r="AQ203" s="160"/>
      <c r="AR203" s="160"/>
      <c r="AS203" s="160"/>
      <c r="AT203" s="160"/>
      <c r="AU203" s="160"/>
      <c r="AV203" s="160"/>
      <c r="AW203" s="160"/>
      <c r="AX203" s="160"/>
      <c r="AY203" s="160"/>
      <c r="AZ203" s="160"/>
      <c r="BA203" s="160"/>
    </row>
    <row r="204" ht="15.75" hidden="1" customHeight="1" outlineLevel="1">
      <c r="A204" s="158"/>
      <c r="B204" s="38"/>
      <c r="C204" s="160"/>
      <c r="D204" s="160"/>
      <c r="E204" s="160"/>
      <c r="F204" s="160"/>
      <c r="G204" s="160"/>
      <c r="H204" s="160"/>
      <c r="I204" s="160"/>
      <c r="J204" s="160"/>
      <c r="K204" s="160"/>
      <c r="L204" s="160"/>
      <c r="M204" s="160"/>
      <c r="N204" s="160"/>
      <c r="O204" s="160"/>
      <c r="P204" s="179"/>
      <c r="Q204" s="160">
        <f>IF($Q$18&gt;0,'Assumptions (Coal)'!V$11*Model!$Q$18*AVERAGE('Assumptions (Coal)'!$J$2:$O$2)/10^9,0)</f>
        <v>0</v>
      </c>
      <c r="R204" s="160">
        <f>IF($Q$18&gt;0,'Assumptions (Coal)'!W$11*Model!$Q$18*AVERAGE('Assumptions (Coal)'!$J$2:$O$2)/10^9,0)</f>
        <v>0</v>
      </c>
      <c r="S204" s="160">
        <f>IF($Q$18&gt;0,'Assumptions (Coal)'!X$11*Model!$Q$18*AVERAGE('Assumptions (Coal)'!$J$2:$O$2)/10^9,0)</f>
        <v>0</v>
      </c>
      <c r="T204" s="160">
        <f>IF($Q$18&gt;0,'Assumptions (Coal)'!Y$11*Model!$Q$18*AVERAGE('Assumptions (Coal)'!$J$2:$O$2)/10^9,0)</f>
        <v>0</v>
      </c>
      <c r="U204" s="160">
        <f>IF($Q$18&gt;0,'Assumptions (Coal)'!Z$11*Model!$Q$18*AVERAGE('Assumptions (Coal)'!$J$2:$O$2)/10^9,0)</f>
        <v>0</v>
      </c>
      <c r="V204" s="160">
        <f>IF($Q$18&gt;0,'Assumptions (Coal)'!AA$11*Model!$Q$18*AVERAGE('Assumptions (Coal)'!$J$2:$O$2)/10^9,0)</f>
        <v>0</v>
      </c>
      <c r="W204" s="160">
        <f>IF($Q$18&gt;0,'Assumptions (Coal)'!AB$11*Model!$Q$18*AVERAGE('Assumptions (Coal)'!$J$2:$O$2)/10^9,0)</f>
        <v>0</v>
      </c>
      <c r="X204" s="160">
        <f>IF($Q$18&gt;0,'Assumptions (Coal)'!AC$11*Model!$Q$18*AVERAGE('Assumptions (Coal)'!$J$2:$O$2)/10^9,0)</f>
        <v>0</v>
      </c>
      <c r="Y204" s="160">
        <f>IF($Q$18&gt;0,'Assumptions (Coal)'!AD$11*Model!$Q$18*AVERAGE('Assumptions (Coal)'!$J$2:$O$2)/10^9,0)</f>
        <v>0</v>
      </c>
      <c r="Z204" s="160">
        <f>IF($Q$18&gt;0,'Assumptions (Coal)'!AE$11*Model!$Q$18*AVERAGE('Assumptions (Coal)'!$J$2:$O$2)/10^9,0)</f>
        <v>0</v>
      </c>
      <c r="AA204" s="160">
        <f>IF($Q$18&gt;0,'Assumptions (Coal)'!AF$11*Model!$Q$18*AVERAGE('Assumptions (Coal)'!$J$2:$O$2)/10^9,0)</f>
        <v>0</v>
      </c>
      <c r="AB204" s="160">
        <f>IF($Q$18&gt;0,'Assumptions (Coal)'!AG$11*Model!$Q$18*AVERAGE('Assumptions (Coal)'!$J$2:$O$2)/10^9,0)</f>
        <v>0</v>
      </c>
      <c r="AC204" s="160">
        <f>IF($Q$18&gt;0,'Assumptions (Coal)'!AH$11*Model!$Q$18*AVERAGE('Assumptions (Coal)'!$J$2:$O$2)/10^9,0)</f>
        <v>0</v>
      </c>
      <c r="AD204" s="160">
        <f>IF($Q$18&gt;0,'Assumptions (Coal)'!AI$11*Model!$Q$18*AVERAGE('Assumptions (Coal)'!$J$2:$O$2)/10^9,0)</f>
        <v>0</v>
      </c>
      <c r="AE204" s="160">
        <f>IF($Q$18&gt;0,'Assumptions (Coal)'!AJ$11*Model!$Q$18*AVERAGE('Assumptions (Coal)'!$J$2:$O$2)/10^9,0)</f>
        <v>0</v>
      </c>
      <c r="AF204" s="180">
        <f>IF($Q$18&gt;0,'Assumptions (Coal)'!AK$11*Model!$Q$18*AVERAGE('Assumptions (Coal)'!$J$2:$O$2)/10^9,0)</f>
        <v>0</v>
      </c>
      <c r="AG204" s="160">
        <f>IF($Q$18&gt;0,'Assumptions (Coal)'!AL$11*Model!$Q$18*AVERAGE('Assumptions (Coal)'!$J$2:$O$2)/10^9,0)</f>
        <v>0</v>
      </c>
      <c r="AH204" s="160">
        <f>IF($Q$18&gt;0,'Assumptions (Coal)'!AM$11*Model!$Q$18*AVERAGE('Assumptions (Coal)'!$J$2:$O$2)/10^9,0)</f>
        <v>0</v>
      </c>
      <c r="AI204" s="160">
        <f>IF($Q$18&gt;0,'Assumptions (Coal)'!AN$11*Model!$Q$18*AVERAGE('Assumptions (Coal)'!$J$2:$O$2)/10^9,0)</f>
        <v>0</v>
      </c>
      <c r="AJ204" s="160">
        <f>IF($Q$18&gt;0,'Assumptions (Coal)'!AO$11*Model!$Q$18*AVERAGE('Assumptions (Coal)'!$J$2:$O$2)/10^9,0)</f>
        <v>0</v>
      </c>
      <c r="AK204" s="160">
        <f>IF($Q$18&gt;0,'Assumptions (Coal)'!AP$11*Model!$Q$18*AVERAGE('Assumptions (Coal)'!$J$2:$O$2)/10^9,0)</f>
        <v>0</v>
      </c>
      <c r="AL204" s="177"/>
      <c r="AM204" s="177"/>
      <c r="AN204" s="177"/>
      <c r="AO204" s="177"/>
      <c r="AQ204" s="160"/>
      <c r="AR204" s="160"/>
      <c r="AS204" s="160"/>
      <c r="AT204" s="160"/>
      <c r="AU204" s="160"/>
      <c r="AV204" s="160"/>
      <c r="AW204" s="160"/>
      <c r="AX204" s="160"/>
      <c r="AY204" s="160"/>
      <c r="AZ204" s="160"/>
      <c r="BA204" s="160"/>
    </row>
    <row r="205" ht="15.75" hidden="1" customHeight="1" outlineLevel="1">
      <c r="A205" s="158"/>
      <c r="B205" s="38"/>
      <c r="C205" s="160"/>
      <c r="D205" s="160"/>
      <c r="E205" s="160"/>
      <c r="F205" s="160"/>
      <c r="G205" s="160"/>
      <c r="H205" s="160"/>
      <c r="I205" s="160"/>
      <c r="J205" s="160"/>
      <c r="K205" s="160"/>
      <c r="L205" s="160"/>
      <c r="M205" s="160"/>
      <c r="N205" s="160"/>
      <c r="O205" s="160"/>
      <c r="P205" s="179"/>
      <c r="Q205" s="160"/>
      <c r="R205" s="177">
        <f>IF($R$18&gt;0,'Assumptions (Coal)'!V$11*Model!$R$18*AVERAGE('Assumptions (Coal)'!$K$2:$P$2)/10^9,0)</f>
        <v>0</v>
      </c>
      <c r="S205" s="177">
        <f>IF($R$18&gt;0,'Assumptions (Coal)'!W$11*Model!$R$18*AVERAGE('Assumptions (Coal)'!$K$2:$P$2)/10^9,0)</f>
        <v>0</v>
      </c>
      <c r="T205" s="177">
        <f>IF($R$18&gt;0,'Assumptions (Coal)'!X$11*Model!$R$18*AVERAGE('Assumptions (Coal)'!$K$2:$P$2)/10^9,0)</f>
        <v>0</v>
      </c>
      <c r="U205" s="177">
        <f>IF($R$18&gt;0,'Assumptions (Coal)'!Y$11*Model!$R$18*AVERAGE('Assumptions (Coal)'!$K$2:$P$2)/10^9,0)</f>
        <v>0</v>
      </c>
      <c r="V205" s="177">
        <f>IF($R$18&gt;0,'Assumptions (Coal)'!Z$11*Model!$R$18*AVERAGE('Assumptions (Coal)'!$K$2:$P$2)/10^9,0)</f>
        <v>0</v>
      </c>
      <c r="W205" s="177">
        <f>IF($R$18&gt;0,'Assumptions (Coal)'!AA$11*Model!$R$18*AVERAGE('Assumptions (Coal)'!$K$2:$P$2)/10^9,0)</f>
        <v>0</v>
      </c>
      <c r="X205" s="177">
        <f>IF($R$18&gt;0,'Assumptions (Coal)'!AB$11*Model!$R$18*AVERAGE('Assumptions (Coal)'!$K$2:$P$2)/10^9,0)</f>
        <v>0</v>
      </c>
      <c r="Y205" s="177">
        <f>IF($R$18&gt;0,'Assumptions (Coal)'!AC$11*Model!$R$18*AVERAGE('Assumptions (Coal)'!$K$2:$P$2)/10^9,0)</f>
        <v>0</v>
      </c>
      <c r="Z205" s="177">
        <f>IF($R$18&gt;0,'Assumptions (Coal)'!AD$11*Model!$R$18*AVERAGE('Assumptions (Coal)'!$K$2:$P$2)/10^9,0)</f>
        <v>0</v>
      </c>
      <c r="AA205" s="177">
        <f>IF($R$18&gt;0,'Assumptions (Coal)'!AE$11*Model!$R$18*AVERAGE('Assumptions (Coal)'!$K$2:$P$2)/10^9,0)</f>
        <v>0</v>
      </c>
      <c r="AB205" s="177">
        <f>IF($R$18&gt;0,'Assumptions (Coal)'!AF$11*Model!$R$18*AVERAGE('Assumptions (Coal)'!$K$2:$P$2)/10^9,0)</f>
        <v>0</v>
      </c>
      <c r="AC205" s="177">
        <f>IF($R$18&gt;0,'Assumptions (Coal)'!AG$11*Model!$R$18*AVERAGE('Assumptions (Coal)'!$K$2:$P$2)/10^9,0)</f>
        <v>0</v>
      </c>
      <c r="AD205" s="177">
        <f>IF($R$18&gt;0,'Assumptions (Coal)'!AH$11*Model!$R$18*AVERAGE('Assumptions (Coal)'!$K$2:$P$2)/10^9,0)</f>
        <v>0</v>
      </c>
      <c r="AE205" s="177">
        <f>IF($R$18&gt;0,'Assumptions (Coal)'!AI$11*Model!$R$18*AVERAGE('Assumptions (Coal)'!$K$2:$P$2)/10^9,0)</f>
        <v>0</v>
      </c>
      <c r="AF205" s="180">
        <f>IF($R$18&gt;0,'Assumptions (Coal)'!AJ$11*Model!$R$18*AVERAGE('Assumptions (Coal)'!$K$2:$P$2)/10^9,0)</f>
        <v>0</v>
      </c>
      <c r="AG205" s="177">
        <f>IF($R$18&gt;0,'Assumptions (Coal)'!AK$11*Model!$R$18*AVERAGE('Assumptions (Coal)'!$K$2:$P$2)/10^9,0)</f>
        <v>0</v>
      </c>
      <c r="AH205" s="177">
        <f>IF($R$18&gt;0,'Assumptions (Coal)'!AL$11*Model!$R$18*AVERAGE('Assumptions (Coal)'!$K$2:$P$2)/10^9,0)</f>
        <v>0</v>
      </c>
      <c r="AI205" s="177">
        <f>IF($R$18&gt;0,'Assumptions (Coal)'!AM$11*Model!$R$18*AVERAGE('Assumptions (Coal)'!$K$2:$P$2)/10^9,0)</f>
        <v>0</v>
      </c>
      <c r="AJ205" s="177">
        <f>IF($R$18&gt;0,'Assumptions (Coal)'!AN$11*Model!$R$18*AVERAGE('Assumptions (Coal)'!$K$2:$P$2)/10^9,0)</f>
        <v>0</v>
      </c>
      <c r="AK205" s="177">
        <f>IF($R$18&gt;0,'Assumptions (Coal)'!AO$11*Model!$R$18*AVERAGE('Assumptions (Coal)'!$K$2:$P$2)/10^9,0)</f>
        <v>0</v>
      </c>
      <c r="AL205" s="177">
        <f>IF($R$18&gt;0,'Assumptions (Coal)'!AP$11*Model!$R$18*AVERAGE('Assumptions (Coal)'!$K$2:$P$2)/10^9,0)</f>
        <v>0</v>
      </c>
      <c r="AM205" s="177"/>
      <c r="AN205" s="177"/>
      <c r="AO205" s="177"/>
      <c r="AP205" s="177"/>
      <c r="AQ205" s="160"/>
      <c r="AR205" s="160"/>
      <c r="AS205" s="160"/>
      <c r="AT205" s="160"/>
      <c r="AU205" s="160"/>
      <c r="AV205" s="160"/>
      <c r="AW205" s="160"/>
      <c r="AX205" s="160"/>
      <c r="AY205" s="160"/>
      <c r="AZ205" s="160"/>
      <c r="BA205" s="160"/>
    </row>
    <row r="206" ht="15.75" hidden="1" customHeight="1" outlineLevel="1">
      <c r="A206" s="158"/>
      <c r="B206" s="38"/>
      <c r="C206" s="160"/>
      <c r="D206" s="160"/>
      <c r="E206" s="160"/>
      <c r="F206" s="160"/>
      <c r="G206" s="160"/>
      <c r="H206" s="160"/>
      <c r="I206" s="160"/>
      <c r="J206" s="160"/>
      <c r="K206" s="160"/>
      <c r="L206" s="160"/>
      <c r="M206" s="160"/>
      <c r="N206" s="160"/>
      <c r="O206" s="160"/>
      <c r="P206" s="179"/>
      <c r="Q206" s="160"/>
      <c r="R206" s="177"/>
      <c r="S206" s="160">
        <f>IF($S$18&gt;0,'Assumptions (Coal)'!V$11*Model!$S$18*AVERAGE('Assumptions (Coal)'!$L$2:$Q$2)/10^9,0)</f>
        <v>0</v>
      </c>
      <c r="T206" s="160">
        <f>IF($S$18&gt;0,'Assumptions (Coal)'!W$11*Model!$S$18*AVERAGE('Assumptions (Coal)'!$L$2:$Q$2)/10^9,0)</f>
        <v>0</v>
      </c>
      <c r="U206" s="160">
        <f>IF($S$18&gt;0,'Assumptions (Coal)'!X$11*Model!$S$18*AVERAGE('Assumptions (Coal)'!$L$2:$Q$2)/10^9,0)</f>
        <v>0</v>
      </c>
      <c r="V206" s="160">
        <f>IF($S$18&gt;0,'Assumptions (Coal)'!Y$11*Model!$S$18*AVERAGE('Assumptions (Coal)'!$L$2:$Q$2)/10^9,0)</f>
        <v>0</v>
      </c>
      <c r="W206" s="160">
        <f>IF($S$18&gt;0,'Assumptions (Coal)'!Z$11*Model!$S$18*AVERAGE('Assumptions (Coal)'!$L$2:$Q$2)/10^9,0)</f>
        <v>0</v>
      </c>
      <c r="X206" s="160">
        <f>IF($S$18&gt;0,'Assumptions (Coal)'!AA$11*Model!$S$18*AVERAGE('Assumptions (Coal)'!$L$2:$Q$2)/10^9,0)</f>
        <v>0</v>
      </c>
      <c r="Y206" s="160">
        <f>IF($S$18&gt;0,'Assumptions (Coal)'!AB$11*Model!$S$18*AVERAGE('Assumptions (Coal)'!$L$2:$Q$2)/10^9,0)</f>
        <v>0</v>
      </c>
      <c r="Z206" s="160">
        <f>IF($S$18&gt;0,'Assumptions (Coal)'!AC$11*Model!$S$18*AVERAGE('Assumptions (Coal)'!$L$2:$Q$2)/10^9,0)</f>
        <v>0</v>
      </c>
      <c r="AA206" s="160">
        <f>IF($S$18&gt;0,'Assumptions (Coal)'!AD$11*Model!$S$18*AVERAGE('Assumptions (Coal)'!$L$2:$Q$2)/10^9,0)</f>
        <v>0</v>
      </c>
      <c r="AB206" s="160">
        <f>IF($S$18&gt;0,'Assumptions (Coal)'!AE$11*Model!$S$18*AVERAGE('Assumptions (Coal)'!$L$2:$Q$2)/10^9,0)</f>
        <v>0</v>
      </c>
      <c r="AC206" s="160">
        <f>IF($S$18&gt;0,'Assumptions (Coal)'!AF$11*Model!$S$18*AVERAGE('Assumptions (Coal)'!$L$2:$Q$2)/10^9,0)</f>
        <v>0</v>
      </c>
      <c r="AD206" s="160">
        <f>IF($S$18&gt;0,'Assumptions (Coal)'!AG$11*Model!$S$18*AVERAGE('Assumptions (Coal)'!$L$2:$Q$2)/10^9,0)</f>
        <v>0</v>
      </c>
      <c r="AE206" s="160">
        <f>IF($S$18&gt;0,'Assumptions (Coal)'!AH$11*Model!$S$18*AVERAGE('Assumptions (Coal)'!$L$2:$Q$2)/10^9,0)</f>
        <v>0</v>
      </c>
      <c r="AF206" s="180">
        <f>IF($S$18&gt;0,'Assumptions (Coal)'!AI$11*Model!$S$18*AVERAGE('Assumptions (Coal)'!$L$2:$Q$2)/10^9,0)</f>
        <v>0</v>
      </c>
      <c r="AG206" s="160">
        <f>IF($S$18&gt;0,'Assumptions (Coal)'!AJ$11*Model!$S$18*AVERAGE('Assumptions (Coal)'!$L$2:$Q$2)/10^9,0)</f>
        <v>0</v>
      </c>
      <c r="AH206" s="160">
        <f>IF($S$18&gt;0,'Assumptions (Coal)'!AK$11*Model!$S$18*AVERAGE('Assumptions (Coal)'!$L$2:$Q$2)/10^9,0)</f>
        <v>0</v>
      </c>
      <c r="AI206" s="160">
        <f>IF($S$18&gt;0,'Assumptions (Coal)'!AL$11*Model!$S$18*AVERAGE('Assumptions (Coal)'!$L$2:$Q$2)/10^9,0)</f>
        <v>0</v>
      </c>
      <c r="AJ206" s="160">
        <f>IF($S$18&gt;0,'Assumptions (Coal)'!AM$11*Model!$S$18*AVERAGE('Assumptions (Coal)'!$L$2:$Q$2)/10^9,0)</f>
        <v>0</v>
      </c>
      <c r="AK206" s="160">
        <f>IF($S$18&gt;0,'Assumptions (Coal)'!AN$11*Model!$S$18*AVERAGE('Assumptions (Coal)'!$L$2:$Q$2)/10^9,0)</f>
        <v>0</v>
      </c>
      <c r="AL206" s="160">
        <f>IF($S$18&gt;0,'Assumptions (Coal)'!AO$11*Model!$S$18*AVERAGE('Assumptions (Coal)'!$L$2:$Q$2)/10^9,0)</f>
        <v>0</v>
      </c>
      <c r="AM206" s="160">
        <f>IF($S$18&gt;0,'Assumptions (Coal)'!AP$11*Model!$S$18*AVERAGE('Assumptions (Coal)'!$L$2:$Q$2)/10^9,0)</f>
        <v>0</v>
      </c>
      <c r="AN206" s="160"/>
      <c r="AO206" s="160"/>
      <c r="AP206" s="160"/>
      <c r="AQ206" s="160"/>
      <c r="AR206" s="160"/>
      <c r="AS206" s="160"/>
      <c r="AT206" s="160"/>
      <c r="AU206" s="160"/>
      <c r="AV206" s="160"/>
      <c r="AW206" s="160"/>
      <c r="AX206" s="160"/>
      <c r="AY206" s="160"/>
      <c r="AZ206" s="160"/>
      <c r="BA206" s="160"/>
    </row>
    <row r="207" ht="15.75" hidden="1" customHeight="1" outlineLevel="1">
      <c r="A207" s="158"/>
      <c r="B207" s="38"/>
      <c r="C207" s="160"/>
      <c r="D207" s="160"/>
      <c r="E207" s="160"/>
      <c r="F207" s="160"/>
      <c r="G207" s="160"/>
      <c r="H207" s="160"/>
      <c r="I207" s="160"/>
      <c r="J207" s="160"/>
      <c r="K207" s="160"/>
      <c r="L207" s="160"/>
      <c r="M207" s="160"/>
      <c r="N207" s="160"/>
      <c r="O207" s="160"/>
      <c r="P207" s="179"/>
      <c r="Q207" s="160"/>
      <c r="R207" s="177"/>
      <c r="S207" s="177"/>
      <c r="T207" s="160">
        <f>IF($T$18&gt;0,'Assumptions (Coal)'!V$11*Model!$T$18*AVERAGE('Assumptions (Coal)'!$M$2:$R$2)/10^9,0)</f>
        <v>0</v>
      </c>
      <c r="U207" s="160">
        <f>IF($T$18&gt;0,'Assumptions (Coal)'!W$11*Model!$T$18*AVERAGE('Assumptions (Coal)'!$M$2:$R$2)/10^9,0)</f>
        <v>0</v>
      </c>
      <c r="V207" s="160">
        <f>IF($T$18&gt;0,'Assumptions (Coal)'!X$11*Model!$T$18*AVERAGE('Assumptions (Coal)'!$M$2:$R$2)/10^9,0)</f>
        <v>0</v>
      </c>
      <c r="W207" s="160">
        <f>IF($T$18&gt;0,'Assumptions (Coal)'!Y$11*Model!$T$18*AVERAGE('Assumptions (Coal)'!$M$2:$R$2)/10^9,0)</f>
        <v>0</v>
      </c>
      <c r="X207" s="160">
        <f>IF($T$18&gt;0,'Assumptions (Coal)'!Z$11*Model!$T$18*AVERAGE('Assumptions (Coal)'!$M$2:$R$2)/10^9,0)</f>
        <v>0</v>
      </c>
      <c r="Y207" s="160">
        <f>IF($T$18&gt;0,'Assumptions (Coal)'!AA$11*Model!$T$18*AVERAGE('Assumptions (Coal)'!$M$2:$R$2)/10^9,0)</f>
        <v>0</v>
      </c>
      <c r="Z207" s="160">
        <f>IF($T$18&gt;0,'Assumptions (Coal)'!AB$11*Model!$T$18*AVERAGE('Assumptions (Coal)'!$M$2:$R$2)/10^9,0)</f>
        <v>0</v>
      </c>
      <c r="AA207" s="160">
        <f>IF($T$18&gt;0,'Assumptions (Coal)'!AC$11*Model!$T$18*AVERAGE('Assumptions (Coal)'!$M$2:$R$2)/10^9,0)</f>
        <v>0</v>
      </c>
      <c r="AB207" s="160">
        <f>IF($T$18&gt;0,'Assumptions (Coal)'!AD$11*Model!$T$18*AVERAGE('Assumptions (Coal)'!$M$2:$R$2)/10^9,0)</f>
        <v>0</v>
      </c>
      <c r="AC207" s="160">
        <f>IF($T$18&gt;0,'Assumptions (Coal)'!AE$11*Model!$T$18*AVERAGE('Assumptions (Coal)'!$M$2:$R$2)/10^9,0)</f>
        <v>0</v>
      </c>
      <c r="AD207" s="160">
        <f>IF($T$18&gt;0,'Assumptions (Coal)'!AF$11*Model!$T$18*AVERAGE('Assumptions (Coal)'!$M$2:$R$2)/10^9,0)</f>
        <v>0</v>
      </c>
      <c r="AE207" s="160">
        <f>IF($T$18&gt;0,'Assumptions (Coal)'!AG$11*Model!$T$18*AVERAGE('Assumptions (Coal)'!$M$2:$R$2)/10^9,0)</f>
        <v>0</v>
      </c>
      <c r="AF207" s="180">
        <f>IF($T$18&gt;0,'Assumptions (Coal)'!AH$11*Model!$T$18*AVERAGE('Assumptions (Coal)'!$M$2:$R$2)/10^9,0)</f>
        <v>0</v>
      </c>
      <c r="AG207" s="160">
        <f>IF($T$18&gt;0,'Assumptions (Coal)'!AI$11*Model!$T$18*AVERAGE('Assumptions (Coal)'!$M$2:$R$2)/10^9,0)</f>
        <v>0</v>
      </c>
      <c r="AH207" s="160">
        <f>IF($T$18&gt;0,'Assumptions (Coal)'!AJ$11*Model!$T$18*AVERAGE('Assumptions (Coal)'!$M$2:$R$2)/10^9,0)</f>
        <v>0</v>
      </c>
      <c r="AI207" s="160">
        <f>IF($T$18&gt;0,'Assumptions (Coal)'!AK$11*Model!$T$18*AVERAGE('Assumptions (Coal)'!$M$2:$R$2)/10^9,0)</f>
        <v>0</v>
      </c>
      <c r="AJ207" s="160">
        <f>IF($T$18&gt;0,'Assumptions (Coal)'!AL$11*Model!$T$18*AVERAGE('Assumptions (Coal)'!$M$2:$R$2)/10^9,0)</f>
        <v>0</v>
      </c>
      <c r="AK207" s="160">
        <f>IF($T$18&gt;0,'Assumptions (Coal)'!AM$11*Model!$T$18*AVERAGE('Assumptions (Coal)'!$M$2:$R$2)/10^9,0)</f>
        <v>0</v>
      </c>
      <c r="AL207" s="160">
        <f>IF($T$18&gt;0,'Assumptions (Coal)'!AN$11*Model!$T$18*AVERAGE('Assumptions (Coal)'!$M$2:$R$2)/10^9,0)</f>
        <v>0</v>
      </c>
      <c r="AM207" s="160">
        <f>IF($T$18&gt;0,'Assumptions (Coal)'!AO$11*Model!$T$18*AVERAGE('Assumptions (Coal)'!$M$2:$R$2)/10^9,0)</f>
        <v>0</v>
      </c>
      <c r="AN207" s="160">
        <f>IF($T$18&gt;0,'Assumptions (Coal)'!AP$11*Model!$T$18*AVERAGE('Assumptions (Coal)'!$M$2:$R$2)/10^9,0)</f>
        <v>0</v>
      </c>
      <c r="AO207" s="160"/>
      <c r="AP207" s="160"/>
      <c r="AQ207" s="160"/>
      <c r="AR207" s="160"/>
      <c r="AS207" s="160"/>
      <c r="AT207" s="160"/>
      <c r="AU207" s="160"/>
      <c r="AV207" s="160"/>
      <c r="AW207" s="160"/>
      <c r="AX207" s="160"/>
      <c r="AY207" s="160"/>
      <c r="AZ207" s="160"/>
      <c r="BA207" s="160"/>
    </row>
    <row r="208" ht="15.75" hidden="1" customHeight="1" outlineLevel="1">
      <c r="A208" s="158"/>
      <c r="B208" s="38"/>
      <c r="C208" s="160"/>
      <c r="D208" s="160"/>
      <c r="E208" s="160"/>
      <c r="F208" s="160"/>
      <c r="G208" s="160"/>
      <c r="H208" s="160"/>
      <c r="I208" s="160"/>
      <c r="J208" s="160"/>
      <c r="K208" s="160"/>
      <c r="L208" s="160"/>
      <c r="M208" s="160"/>
      <c r="N208" s="160"/>
      <c r="O208" s="160"/>
      <c r="P208" s="179"/>
      <c r="Q208" s="160"/>
      <c r="R208" s="177"/>
      <c r="S208" s="177"/>
      <c r="T208" s="177"/>
      <c r="U208" s="160">
        <f>IF($U$18&gt;0,'Assumptions (Coal)'!V$11*Model!$U$18*AVERAGE('Assumptions (Coal)'!$N$2:$S$2)/10^9,0)</f>
        <v>0</v>
      </c>
      <c r="V208" s="160">
        <f>IF($U$18&gt;0,'Assumptions (Coal)'!W$11*Model!$U$18*AVERAGE('Assumptions (Coal)'!$N$2:$S$2)/10^9,0)</f>
        <v>0</v>
      </c>
      <c r="W208" s="160">
        <f>IF($U$18&gt;0,'Assumptions (Coal)'!X$11*Model!$U$18*AVERAGE('Assumptions (Coal)'!$N$2:$S$2)/10^9,0)</f>
        <v>0</v>
      </c>
      <c r="X208" s="160">
        <f>IF($U$18&gt;0,'Assumptions (Coal)'!Y$11*Model!$U$18*AVERAGE('Assumptions (Coal)'!$N$2:$S$2)/10^9,0)</f>
        <v>0</v>
      </c>
      <c r="Y208" s="160">
        <f>IF($U$18&gt;0,'Assumptions (Coal)'!Z$11*Model!$U$18*AVERAGE('Assumptions (Coal)'!$N$2:$S$2)/10^9,0)</f>
        <v>0</v>
      </c>
      <c r="Z208" s="160">
        <f>IF($U$18&gt;0,'Assumptions (Coal)'!AA$11*Model!$U$18*AVERAGE('Assumptions (Coal)'!$N$2:$S$2)/10^9,0)</f>
        <v>0</v>
      </c>
      <c r="AA208" s="160">
        <f>IF($U$18&gt;0,'Assumptions (Coal)'!AB$11*Model!$U$18*AVERAGE('Assumptions (Coal)'!$N$2:$S$2)/10^9,0)</f>
        <v>0</v>
      </c>
      <c r="AB208" s="160">
        <f>IF($U$18&gt;0,'Assumptions (Coal)'!AC$11*Model!$U$18*AVERAGE('Assumptions (Coal)'!$N$2:$S$2)/10^9,0)</f>
        <v>0</v>
      </c>
      <c r="AC208" s="160">
        <f>IF($U$18&gt;0,'Assumptions (Coal)'!AD$11*Model!$U$18*AVERAGE('Assumptions (Coal)'!$N$2:$S$2)/10^9,0)</f>
        <v>0</v>
      </c>
      <c r="AD208" s="160">
        <f>IF($U$18&gt;0,'Assumptions (Coal)'!AE$11*Model!$U$18*AVERAGE('Assumptions (Coal)'!$N$2:$S$2)/10^9,0)</f>
        <v>0</v>
      </c>
      <c r="AE208" s="160">
        <f>IF($U$18&gt;0,'Assumptions (Coal)'!AF$11*Model!$U$18*AVERAGE('Assumptions (Coal)'!$N$2:$S$2)/10^9,0)</f>
        <v>0</v>
      </c>
      <c r="AF208" s="180">
        <f>IF($U$18&gt;0,'Assumptions (Coal)'!AG$11*Model!$U$18*AVERAGE('Assumptions (Coal)'!$N$2:$S$2)/10^9,0)</f>
        <v>0</v>
      </c>
      <c r="AG208" s="160">
        <f>IF($U$18&gt;0,'Assumptions (Coal)'!AH$11*Model!$U$18*AVERAGE('Assumptions (Coal)'!$N$2:$S$2)/10^9,0)</f>
        <v>0</v>
      </c>
      <c r="AH208" s="160">
        <f>IF($U$18&gt;0,'Assumptions (Coal)'!AI$11*Model!$U$18*AVERAGE('Assumptions (Coal)'!$N$2:$S$2)/10^9,0)</f>
        <v>0</v>
      </c>
      <c r="AI208" s="160">
        <f>IF($U$18&gt;0,'Assumptions (Coal)'!AJ$11*Model!$U$18*AVERAGE('Assumptions (Coal)'!$N$2:$S$2)/10^9,0)</f>
        <v>0</v>
      </c>
      <c r="AJ208" s="160">
        <f>IF($U$18&gt;0,'Assumptions (Coal)'!AK$11*Model!$U$18*AVERAGE('Assumptions (Coal)'!$N$2:$S$2)/10^9,0)</f>
        <v>0</v>
      </c>
      <c r="AK208" s="160">
        <f>IF($U$18&gt;0,'Assumptions (Coal)'!AL$11*Model!$U$18*AVERAGE('Assumptions (Coal)'!$N$2:$S$2)/10^9,0)</f>
        <v>0</v>
      </c>
      <c r="AL208" s="160">
        <f>IF($U$18&gt;0,'Assumptions (Coal)'!AM$11*Model!$U$18*AVERAGE('Assumptions (Coal)'!$N$2:$S$2)/10^9,0)</f>
        <v>0</v>
      </c>
      <c r="AM208" s="160">
        <f>IF($U$18&gt;0,'Assumptions (Coal)'!AN$11*Model!$U$18*AVERAGE('Assumptions (Coal)'!$N$2:$S$2)/10^9,0)</f>
        <v>0</v>
      </c>
      <c r="AN208" s="160">
        <f>IF($U$18&gt;0,'Assumptions (Coal)'!AO$11*Model!$U$18*AVERAGE('Assumptions (Coal)'!$N$2:$S$2)/10^9,0)</f>
        <v>0</v>
      </c>
      <c r="AO208" s="160">
        <f>IF($U$18&gt;0,'Assumptions (Coal)'!AP$11*Model!$U$18*AVERAGE('Assumptions (Coal)'!$N$2:$S$2)/10^9,0)</f>
        <v>0</v>
      </c>
      <c r="AP208" s="160"/>
      <c r="AQ208" s="160"/>
      <c r="AR208" s="160"/>
      <c r="AS208" s="160"/>
      <c r="AT208" s="160"/>
      <c r="AU208" s="160"/>
      <c r="AV208" s="160"/>
      <c r="AW208" s="160"/>
      <c r="AX208" s="160"/>
      <c r="AY208" s="160"/>
      <c r="AZ208" s="160"/>
      <c r="BA208" s="160"/>
    </row>
    <row r="209" ht="15.75" hidden="1" customHeight="1" outlineLevel="1">
      <c r="A209" s="158"/>
      <c r="B209" s="38"/>
      <c r="C209" s="160"/>
      <c r="D209" s="160"/>
      <c r="E209" s="160"/>
      <c r="F209" s="160"/>
      <c r="G209" s="160"/>
      <c r="H209" s="160"/>
      <c r="I209" s="160"/>
      <c r="J209" s="160"/>
      <c r="K209" s="160"/>
      <c r="L209" s="160"/>
      <c r="M209" s="160"/>
      <c r="N209" s="160"/>
      <c r="O209" s="160"/>
      <c r="P209" s="179"/>
      <c r="Q209" s="160"/>
      <c r="R209" s="177"/>
      <c r="S209" s="177"/>
      <c r="T209" s="177"/>
      <c r="U209" s="160"/>
      <c r="V209" s="160">
        <f>IF($V$18&gt;0,'Assumptions (Coal)'!V$11*Model!$V$18*AVERAGE('Assumptions (Coal)'!$O$2:$T$2)/10^9,0)</f>
        <v>0</v>
      </c>
      <c r="W209" s="160">
        <f>IF($V$18&gt;0,'Assumptions (Coal)'!W$11*Model!$V$18*AVERAGE('Assumptions (Coal)'!$O$2:$T$2)/10^9,0)</f>
        <v>0</v>
      </c>
      <c r="X209" s="160">
        <f>IF($V$18&gt;0,'Assumptions (Coal)'!X$11*Model!$V$18*AVERAGE('Assumptions (Coal)'!$O$2:$T$2)/10^9,0)</f>
        <v>0</v>
      </c>
      <c r="Y209" s="160">
        <f>IF($V$18&gt;0,'Assumptions (Coal)'!Y$11*Model!$V$18*AVERAGE('Assumptions (Coal)'!$O$2:$T$2)/10^9,0)</f>
        <v>0</v>
      </c>
      <c r="Z209" s="160">
        <f>IF($V$18&gt;0,'Assumptions (Coal)'!Z$11*Model!$V$18*AVERAGE('Assumptions (Coal)'!$O$2:$T$2)/10^9,0)</f>
        <v>0</v>
      </c>
      <c r="AA209" s="160">
        <f>IF($V$18&gt;0,'Assumptions (Coal)'!AA$11*Model!$V$18*AVERAGE('Assumptions (Coal)'!$O$2:$T$2)/10^9,0)</f>
        <v>0</v>
      </c>
      <c r="AB209" s="160">
        <f>IF($V$18&gt;0,'Assumptions (Coal)'!AB$11*Model!$V$18*AVERAGE('Assumptions (Coal)'!$O$2:$T$2)/10^9,0)</f>
        <v>0</v>
      </c>
      <c r="AC209" s="160">
        <f>IF($V$18&gt;0,'Assumptions (Coal)'!AC$11*Model!$V$18*AVERAGE('Assumptions (Coal)'!$O$2:$T$2)/10^9,0)</f>
        <v>0</v>
      </c>
      <c r="AD209" s="160">
        <f>IF($V$18&gt;0,'Assumptions (Coal)'!AD$11*Model!$V$18*AVERAGE('Assumptions (Coal)'!$O$2:$T$2)/10^9,0)</f>
        <v>0</v>
      </c>
      <c r="AE209" s="160">
        <f>IF($V$18&gt;0,'Assumptions (Coal)'!AE$11*Model!$V$18*AVERAGE('Assumptions (Coal)'!$O$2:$T$2)/10^9,0)</f>
        <v>0</v>
      </c>
      <c r="AF209" s="180">
        <f>IF($V$18&gt;0,'Assumptions (Coal)'!AF$11*Model!$V$18*AVERAGE('Assumptions (Coal)'!$O$2:$T$2)/10^9,0)</f>
        <v>0</v>
      </c>
      <c r="AG209" s="160">
        <f>IF($V$18&gt;0,'Assumptions (Coal)'!AG$11*Model!$V$18*AVERAGE('Assumptions (Coal)'!$O$2:$T$2)/10^9,0)</f>
        <v>0</v>
      </c>
      <c r="AH209" s="160">
        <f>IF($V$18&gt;0,'Assumptions (Coal)'!AH$11*Model!$V$18*AVERAGE('Assumptions (Coal)'!$O$2:$T$2)/10^9,0)</f>
        <v>0</v>
      </c>
      <c r="AI209" s="160">
        <f>IF($V$18&gt;0,'Assumptions (Coal)'!AI$11*Model!$V$18*AVERAGE('Assumptions (Coal)'!$O$2:$T$2)/10^9,0)</f>
        <v>0</v>
      </c>
      <c r="AJ209" s="160">
        <f>IF($V$18&gt;0,'Assumptions (Coal)'!AJ$11*Model!$V$18*AVERAGE('Assumptions (Coal)'!$O$2:$T$2)/10^9,0)</f>
        <v>0</v>
      </c>
      <c r="AK209" s="160">
        <f>IF($V$18&gt;0,'Assumptions (Coal)'!AK$11*Model!$V$18*AVERAGE('Assumptions (Coal)'!$O$2:$T$2)/10^9,0)</f>
        <v>0</v>
      </c>
      <c r="AL209" s="160">
        <f>IF($V$18&gt;0,'Assumptions (Coal)'!AL$11*Model!$V$18*AVERAGE('Assumptions (Coal)'!$O$2:$T$2)/10^9,0)</f>
        <v>0</v>
      </c>
      <c r="AM209" s="160">
        <f>IF($V$18&gt;0,'Assumptions (Coal)'!AM$11*Model!$V$18*AVERAGE('Assumptions (Coal)'!$O$2:$T$2)/10^9,0)</f>
        <v>0</v>
      </c>
      <c r="AN209" s="160">
        <f>IF($V$18&gt;0,'Assumptions (Coal)'!AN$11*Model!$V$18*AVERAGE('Assumptions (Coal)'!$O$2:$T$2)/10^9,0)</f>
        <v>0</v>
      </c>
      <c r="AO209" s="160">
        <f>IF($V$18&gt;0,'Assumptions (Coal)'!AO$11*Model!$V$18*AVERAGE('Assumptions (Coal)'!$O$2:$T$2)/10^9,0)</f>
        <v>0</v>
      </c>
      <c r="AP209" s="160">
        <f>IF($V$18&gt;0,'Assumptions (Coal)'!AP$11*Model!$V$18*AVERAGE('Assumptions (Coal)'!$O$2:$T$2)/10^9,0)</f>
        <v>0</v>
      </c>
      <c r="AQ209" s="160"/>
      <c r="AR209" s="160"/>
      <c r="AS209" s="160"/>
      <c r="AT209" s="160"/>
      <c r="AU209" s="160"/>
      <c r="AV209" s="160"/>
      <c r="AW209" s="160"/>
      <c r="AX209" s="160"/>
      <c r="AY209" s="160"/>
      <c r="AZ209" s="160"/>
      <c r="BA209" s="160"/>
    </row>
    <row r="210" ht="15.75" hidden="1" customHeight="1" outlineLevel="1">
      <c r="A210" s="158"/>
      <c r="B210" s="38"/>
      <c r="C210" s="174"/>
      <c r="D210" s="174"/>
      <c r="E210" s="174"/>
      <c r="F210" s="174"/>
      <c r="G210" s="174"/>
      <c r="H210" s="174"/>
      <c r="I210" s="174"/>
      <c r="J210" s="174"/>
      <c r="K210" s="174"/>
      <c r="L210" s="174"/>
      <c r="M210" s="174"/>
      <c r="N210" s="174"/>
      <c r="O210" s="174"/>
      <c r="P210" s="174"/>
      <c r="Q210" s="174"/>
      <c r="R210" s="174"/>
      <c r="S210" s="174"/>
      <c r="T210" s="174"/>
      <c r="U210" s="174"/>
      <c r="V210" s="174"/>
      <c r="W210" s="160">
        <f>IF($W$18&gt;0,'Assumptions (Coal)'!V11*Model!$W$18*average('Assumptions (Coal)'!$P$2:$U$2)/10^9,0)</f>
        <v>0</v>
      </c>
      <c r="X210" s="160">
        <f>IF($W$18&gt;0,'Assumptions (Coal)'!W11*Model!$W$18*average('Assumptions (Coal)'!$P$2:$U$2)/10^9,0)</f>
        <v>0</v>
      </c>
      <c r="Y210" s="160">
        <f>IF($W$18&gt;0,'Assumptions (Coal)'!X11*Model!$W$18*average('Assumptions (Coal)'!$P$2:$U$2)/10^9,0)</f>
        <v>0</v>
      </c>
      <c r="Z210" s="160">
        <f>IF($W$18&gt;0,'Assumptions (Coal)'!Y11*Model!$W$18*average('Assumptions (Coal)'!$P$2:$U$2)/10^9,0)</f>
        <v>0</v>
      </c>
      <c r="AA210" s="160">
        <f>IF($W$18&gt;0,'Assumptions (Coal)'!Z11*Model!$W$18*average('Assumptions (Coal)'!$P$2:$U$2)/10^9,0)</f>
        <v>0</v>
      </c>
      <c r="AB210" s="160">
        <f>IF($W$18&gt;0,'Assumptions (Coal)'!AA11*Model!$W$18*average('Assumptions (Coal)'!$P$2:$U$2)/10^9,0)</f>
        <v>0</v>
      </c>
      <c r="AC210" s="160">
        <f>IF($W$18&gt;0,'Assumptions (Coal)'!AB11*Model!$W$18*average('Assumptions (Coal)'!$P$2:$U$2)/10^9,0)</f>
        <v>0</v>
      </c>
      <c r="AD210" s="160">
        <f>IF($W$18&gt;0,'Assumptions (Coal)'!AC11*Model!$W$18*average('Assumptions (Coal)'!$P$2:$U$2)/10^9,0)</f>
        <v>0</v>
      </c>
      <c r="AE210" s="160">
        <f>IF($W$18&gt;0,'Assumptions (Coal)'!AD11*Model!$W$18*average('Assumptions (Coal)'!$P$2:$U$2)/10^9,0)</f>
        <v>0</v>
      </c>
      <c r="AF210" s="180">
        <f>IF($W$18&gt;0,'Assumptions (Coal)'!AE11*Model!$W$18*average('Assumptions (Coal)'!$P$2:$U$2)/10^9,0)</f>
        <v>0</v>
      </c>
      <c r="AG210" s="160">
        <f>IF($W$18&gt;0,'Assumptions (Coal)'!AF11*Model!$W$18*average('Assumptions (Coal)'!$P$2:$U$2)/10^9,0)</f>
        <v>0</v>
      </c>
      <c r="AH210" s="160">
        <f>IF($W$18&gt;0,'Assumptions (Coal)'!AG11*Model!$W$18*average('Assumptions (Coal)'!$P$2:$U$2)/10^9,0)</f>
        <v>0</v>
      </c>
      <c r="AI210" s="160">
        <f>IF($W$18&gt;0,'Assumptions (Coal)'!AH11*Model!$W$18*average('Assumptions (Coal)'!$P$2:$U$2)/10^9,0)</f>
        <v>0</v>
      </c>
      <c r="AJ210" s="160">
        <f>IF($W$18&gt;0,'Assumptions (Coal)'!AI11*Model!$W$18*average('Assumptions (Coal)'!$P$2:$U$2)/10^9,0)</f>
        <v>0</v>
      </c>
      <c r="AK210" s="160">
        <f>IF($W$18&gt;0,'Assumptions (Coal)'!AJ11*Model!$W$18*average('Assumptions (Coal)'!$P$2:$U$2)/10^9,0)</f>
        <v>0</v>
      </c>
      <c r="AL210" s="160">
        <f>IF($W$18&gt;0,'Assumptions (Coal)'!AK11*Model!$W$18*average('Assumptions (Coal)'!$P$2:$U$2)/10^9,0)</f>
        <v>0</v>
      </c>
      <c r="AM210" s="160">
        <f>IF($W$18&gt;0,'Assumptions (Coal)'!AL11*Model!$W$18*average('Assumptions (Coal)'!$P$2:$U$2)/10^9,0)</f>
        <v>0</v>
      </c>
      <c r="AN210" s="160">
        <f>IF($W$18&gt;0,'Assumptions (Coal)'!AM11*Model!$W$18*average('Assumptions (Coal)'!$P$2:$U$2)/10^9,0)</f>
        <v>0</v>
      </c>
      <c r="AO210" s="160">
        <f>IF($W$18&gt;0,'Assumptions (Coal)'!AN11*Model!$W$18*average('Assumptions (Coal)'!$P$2:$U$2)/10^9,0)</f>
        <v>0</v>
      </c>
      <c r="AP210" s="160">
        <f>IF($W$18&gt;0,'Assumptions (Coal)'!AO11*Model!$W$18*average('Assumptions (Coal)'!$P$2:$U$2)/10^9,0)</f>
        <v>0</v>
      </c>
      <c r="AQ210" s="160">
        <f>IF($W$18&gt;0,'Assumptions (Coal)'!AP11*Model!$W$18*average('Assumptions (Coal)'!$P$2:$U$2)/10^9,0)</f>
        <v>0</v>
      </c>
      <c r="AR210" s="160"/>
      <c r="AS210" s="160"/>
      <c r="AT210" s="160"/>
      <c r="AU210" s="160"/>
      <c r="AV210" s="160"/>
      <c r="AW210" s="160"/>
      <c r="AX210" s="160"/>
      <c r="AY210" s="160"/>
      <c r="AZ210" s="160"/>
      <c r="BA210" s="160"/>
    </row>
    <row r="211" ht="15.75" hidden="1" customHeight="1" outlineLevel="1">
      <c r="A211" s="158"/>
      <c r="B211" s="38"/>
      <c r="C211" s="174"/>
      <c r="D211" s="174"/>
      <c r="E211" s="174"/>
      <c r="F211" s="174"/>
      <c r="G211" s="174"/>
      <c r="H211" s="174"/>
      <c r="I211" s="174"/>
      <c r="J211" s="174"/>
      <c r="K211" s="174"/>
      <c r="L211" s="174"/>
      <c r="M211" s="174"/>
      <c r="N211" s="174"/>
      <c r="O211" s="174"/>
      <c r="P211" s="174"/>
      <c r="Q211" s="174"/>
      <c r="R211" s="174"/>
      <c r="S211" s="174"/>
      <c r="T211" s="174"/>
      <c r="U211" s="174"/>
      <c r="V211" s="174"/>
      <c r="W211" s="160"/>
      <c r="X211" s="160">
        <f>IF($X$18&gt;0,'Assumptions (Coal)'!V11*Model!$X$18*average('Assumptions (Coal)'!$Q$2:$V$2)/10^9,0)</f>
        <v>1.343269217</v>
      </c>
      <c r="Y211" s="160">
        <f>IF($X$18&gt;0,'Assumptions (Coal)'!W11*Model!$X$18*average('Assumptions (Coal)'!$Q$2:$V$2)/10^9,0)</f>
        <v>2.585882794</v>
      </c>
      <c r="Z211" s="160">
        <f>IF($X$18&gt;0,'Assumptions (Coal)'!X11*Model!$X$18*average('Assumptions (Coal)'!$Q$2:$V$2)/10^9,0)</f>
        <v>2.391735616</v>
      </c>
      <c r="AA211" s="160">
        <f>IF($X$18&gt;0,'Assumptions (Coal)'!Y11*Model!$X$18*average('Assumptions (Coal)'!$Q$2:$V$2)/10^9,0)</f>
        <v>2.212633054</v>
      </c>
      <c r="AB211" s="160">
        <f>IF($X$18&gt;0,'Assumptions (Coal)'!Z11*Model!$X$18*average('Assumptions (Coal)'!$Q$2:$V$2)/10^9,0)</f>
        <v>2.046425876</v>
      </c>
      <c r="AC211" s="160">
        <f>IF($X$18&gt;0,'Assumptions (Coal)'!AA11*Model!$X$18*average('Assumptions (Coal)'!$Q$2:$V$2)/10^9,0)</f>
        <v>1.893114083</v>
      </c>
      <c r="AD211" s="160">
        <f>IF($X$18&gt;0,'Assumptions (Coal)'!AB11*Model!$X$18*average('Assumptions (Coal)'!$Q$2:$V$2)/10^9,0)</f>
        <v>1.750906649</v>
      </c>
      <c r="AE211" s="160">
        <f>IF($X$18&gt;0,'Assumptions (Coal)'!AC11*Model!$X$18*average('Assumptions (Coal)'!$Q$2:$V$2)/10^9,0)</f>
        <v>1.619803573</v>
      </c>
      <c r="AF211" s="180">
        <f>IF($X$18&gt;0,'Assumptions (Coal)'!AD11*Model!$X$18*average('Assumptions (Coal)'!$Q$2:$V$2)/10^9,0)</f>
        <v>1.598311266</v>
      </c>
      <c r="AG211" s="160">
        <f>IF($X$18&gt;0,'Assumptions (Coal)'!AE11*Model!$X$18*average('Assumptions (Coal)'!$Q$2:$V$2)/10^9,0)</f>
        <v>1.597953061</v>
      </c>
      <c r="AH211" s="160">
        <f>IF($X$18&gt;0,'Assumptions (Coal)'!AF11*Model!$X$18*average('Assumptions (Coal)'!$Q$2:$V$2)/10^9,0)</f>
        <v>1.598311266</v>
      </c>
      <c r="AI211" s="160">
        <f>IF($X$18&gt;0,'Assumptions (Coal)'!AG11*Model!$X$18*average('Assumptions (Coal)'!$Q$2:$V$2)/10^9,0)</f>
        <v>1.597953061</v>
      </c>
      <c r="AJ211" s="160">
        <f>IF($X$18&gt;0,'Assumptions (Coal)'!AH11*Model!$X$18*average('Assumptions (Coal)'!$Q$2:$V$2)/10^9,0)</f>
        <v>1.598311266</v>
      </c>
      <c r="AK211" s="160">
        <f>IF($X$18&gt;0,'Assumptions (Coal)'!AI11*Model!$X$18*average('Assumptions (Coal)'!$Q$2:$V$2)/10^9,0)</f>
        <v>1.597953061</v>
      </c>
      <c r="AL211" s="160">
        <f>IF($X$18&gt;0,'Assumptions (Coal)'!AJ11*Model!$X$18*average('Assumptions (Coal)'!$Q$2:$V$2)/10^9,0)</f>
        <v>1.598311266</v>
      </c>
      <c r="AM211" s="160">
        <f>IF($X$18&gt;0,'Assumptions (Coal)'!AK11*Model!$X$18*average('Assumptions (Coal)'!$Q$2:$V$2)/10^9,0)</f>
        <v>1.597953061</v>
      </c>
      <c r="AN211" s="160">
        <f>IF($X$18&gt;0,'Assumptions (Coal)'!AL11*Model!$X$18*average('Assumptions (Coal)'!$Q$2:$V$2)/10^9,0)</f>
        <v>1.598311266</v>
      </c>
      <c r="AO211" s="160">
        <f>IF($X$18&gt;0,'Assumptions (Coal)'!AM11*Model!$X$18*average('Assumptions (Coal)'!$Q$2:$V$2)/10^9,0)</f>
        <v>1.597953061</v>
      </c>
      <c r="AP211" s="160">
        <f>IF($X$18&gt;0,'Assumptions (Coal)'!AN11*Model!$X$18*average('Assumptions (Coal)'!$Q$2:$V$2)/10^9,0)</f>
        <v>1.598311266</v>
      </c>
      <c r="AQ211" s="160">
        <f>IF($X$18&gt;0,'Assumptions (Coal)'!AO11*Model!$X$18*average('Assumptions (Coal)'!$Q$2:$V$2)/10^9,0)</f>
        <v>1.597953061</v>
      </c>
      <c r="AR211" s="160">
        <f>IF($X$18&gt;0,'Assumptions (Coal)'!AP11*Model!$X$18*average('Assumptions (Coal)'!$Q$2:$V$2)/10^9,0)</f>
        <v>0.7991556328</v>
      </c>
      <c r="AS211" s="160"/>
      <c r="AT211" s="160"/>
      <c r="AU211" s="160"/>
      <c r="AV211" s="160"/>
      <c r="AW211" s="160"/>
      <c r="AX211" s="160"/>
      <c r="AY211" s="160"/>
      <c r="AZ211" s="160"/>
      <c r="BA211" s="160"/>
    </row>
    <row r="212" ht="15.75" hidden="1" customHeight="1" outlineLevel="1">
      <c r="A212" s="158"/>
      <c r="B212" s="38"/>
      <c r="C212" s="174"/>
      <c r="D212" s="174"/>
      <c r="E212" s="174"/>
      <c r="F212" s="174"/>
      <c r="G212" s="174"/>
      <c r="H212" s="174"/>
      <c r="I212" s="174"/>
      <c r="J212" s="174"/>
      <c r="K212" s="174"/>
      <c r="L212" s="174"/>
      <c r="M212" s="174"/>
      <c r="N212" s="174"/>
      <c r="O212" s="174"/>
      <c r="P212" s="174"/>
      <c r="Q212" s="174"/>
      <c r="R212" s="174"/>
      <c r="S212" s="174"/>
      <c r="T212" s="174"/>
      <c r="U212" s="174"/>
      <c r="V212" s="174"/>
      <c r="W212" s="160"/>
      <c r="X212" s="160"/>
      <c r="Y212" s="160">
        <f>IF($Y$18&gt;0,'Assumptions (Coal)'!V11*Model!$Y$18*AVERAGE('Assumptions (Coal)'!$R$2:$W$2)/10^9,0)</f>
        <v>0.1550253354</v>
      </c>
      <c r="Z212" s="160">
        <f>IF($Y$18&gt;0,'Assumptions (Coal)'!W11*Model!$Y$18*AVERAGE('Assumptions (Coal)'!$R$2:$W$2)/10^9,0)</f>
        <v>0.2984341056</v>
      </c>
      <c r="AA212" s="160">
        <f>IF($Y$18&gt;0,'Assumptions (Coal)'!X11*Model!$Y$18*AVERAGE('Assumptions (Coal)'!$R$2:$W$2)/10^9,0)</f>
        <v>0.2760277771</v>
      </c>
      <c r="AB212" s="160">
        <f>IF($Y$18&gt;0,'Assumptions (Coal)'!Y11*Model!$Y$18*AVERAGE('Assumptions (Coal)'!$R$2:$W$2)/10^9,0)</f>
        <v>0.2553577324</v>
      </c>
      <c r="AC212" s="160">
        <f>IF($Y$18&gt;0,'Assumptions (Coal)'!Z11*Model!$Y$18*AVERAGE('Assumptions (Coal)'!$R$2:$W$2)/10^9,0)</f>
        <v>0.2361759309</v>
      </c>
      <c r="AD212" s="160">
        <f>IF($Y$18&gt;0,'Assumptions (Coal)'!AA11*Model!$Y$18*AVERAGE('Assumptions (Coal)'!$R$2:$W$2)/10^9,0)</f>
        <v>0.2184823727</v>
      </c>
      <c r="AE212" s="160">
        <f>IF($Y$18&gt;0,'Assumptions (Coal)'!AB11*Model!$Y$18*AVERAGE('Assumptions (Coal)'!$R$2:$W$2)/10^9,0)</f>
        <v>0.2020703571</v>
      </c>
      <c r="AF212" s="180">
        <f>IF($Y$18&gt;0,'Assumptions (Coal)'!AC11*Model!$Y$18*AVERAGE('Assumptions (Coal)'!$R$2:$W$2)/10^9,0)</f>
        <v>0.1869398844</v>
      </c>
      <c r="AG212" s="160">
        <f>IF($Y$18&gt;0,'Assumptions (Coal)'!AD11*Model!$Y$18*AVERAGE('Assumptions (Coal)'!$R$2:$W$2)/10^9,0)</f>
        <v>0.1844594791</v>
      </c>
      <c r="AH212" s="160">
        <f>IF($Y$18&gt;0,'Assumptions (Coal)'!AE11*Model!$Y$18*AVERAGE('Assumptions (Coal)'!$R$2:$W$2)/10^9,0)</f>
        <v>0.184418139</v>
      </c>
      <c r="AI212" s="160">
        <f>IF($Y$18&gt;0,'Assumptions (Coal)'!AF11*Model!$Y$18*AVERAGE('Assumptions (Coal)'!$R$2:$W$2)/10^9,0)</f>
        <v>0.1844594791</v>
      </c>
      <c r="AJ212" s="160">
        <f>IF($Y$18&gt;0,'Assumptions (Coal)'!AG11*Model!$Y$18*AVERAGE('Assumptions (Coal)'!$R$2:$W$2)/10^9,0)</f>
        <v>0.184418139</v>
      </c>
      <c r="AK212" s="160">
        <f>IF($Y$18&gt;0,'Assumptions (Coal)'!AH11*Model!$Y$18*AVERAGE('Assumptions (Coal)'!$R$2:$W$2)/10^9,0)</f>
        <v>0.1844594791</v>
      </c>
      <c r="AL212" s="160">
        <f>IF($Y$18&gt;0,'Assumptions (Coal)'!AI11*Model!$Y$18*AVERAGE('Assumptions (Coal)'!$R$2:$W$2)/10^9,0)</f>
        <v>0.184418139</v>
      </c>
      <c r="AM212" s="160">
        <f>IF($Y$18&gt;0,'Assumptions (Coal)'!AJ11*Model!$Y$18*AVERAGE('Assumptions (Coal)'!$R$2:$W$2)/10^9,0)</f>
        <v>0.1844594791</v>
      </c>
      <c r="AN212" s="160">
        <f>IF($Y$18&gt;0,'Assumptions (Coal)'!AK11*Model!$Y$18*AVERAGE('Assumptions (Coal)'!$R$2:$W$2)/10^9,0)</f>
        <v>0.184418139</v>
      </c>
      <c r="AO212" s="160">
        <f>IF($Y$18&gt;0,'Assumptions (Coal)'!AL11*Model!$Y$18*AVERAGE('Assumptions (Coal)'!$R$2:$W$2)/10^9,0)</f>
        <v>0.1844594791</v>
      </c>
      <c r="AP212" s="160">
        <f>IF($Y$18&gt;0,'Assumptions (Coal)'!AM11*Model!$Y$18*AVERAGE('Assumptions (Coal)'!$R$2:$W$2)/10^9,0)</f>
        <v>0.184418139</v>
      </c>
      <c r="AQ212" s="160">
        <f>IF($Y$18&gt;0,'Assumptions (Coal)'!AN11*Model!$Y$18*AVERAGE('Assumptions (Coal)'!$R$2:$W$2)/10^9,0)</f>
        <v>0.1844594791</v>
      </c>
      <c r="AR212" s="160">
        <f>IF($Y$18&gt;0,'Assumptions (Coal)'!AO11*Model!$Y$18*AVERAGE('Assumptions (Coal)'!$R$2:$W$2)/10^9,0)</f>
        <v>0.184418139</v>
      </c>
      <c r="AS212" s="160">
        <f>IF($Y$18&gt;0,'Assumptions (Coal)'!AP11*Model!$Y$18*AVERAGE('Assumptions (Coal)'!$R$2:$W$2)/10^9,0)</f>
        <v>0.09222973953</v>
      </c>
      <c r="AT212" s="160"/>
      <c r="AU212" s="160"/>
      <c r="AV212" s="160"/>
      <c r="AW212" s="160"/>
      <c r="AX212" s="160"/>
      <c r="AY212" s="160"/>
      <c r="AZ212" s="160"/>
      <c r="BA212" s="160"/>
    </row>
    <row r="213" ht="15.75" hidden="1" customHeight="1" outlineLevel="1">
      <c r="A213" s="158"/>
      <c r="B213" s="38"/>
      <c r="C213" s="174"/>
      <c r="D213" s="174"/>
      <c r="E213" s="174"/>
      <c r="F213" s="174"/>
      <c r="G213" s="174"/>
      <c r="H213" s="174"/>
      <c r="I213" s="174"/>
      <c r="J213" s="174"/>
      <c r="K213" s="174"/>
      <c r="L213" s="174"/>
      <c r="M213" s="174"/>
      <c r="N213" s="174"/>
      <c r="O213" s="174"/>
      <c r="P213" s="174"/>
      <c r="Q213" s="174"/>
      <c r="R213" s="174"/>
      <c r="S213" s="174"/>
      <c r="T213" s="174"/>
      <c r="U213" s="174"/>
      <c r="V213" s="174"/>
      <c r="W213" s="160"/>
      <c r="X213" s="160"/>
      <c r="Y213" s="160"/>
      <c r="Z213" s="160">
        <f>IF($Z$18&gt;0,'Assumptions (Coal)'!V11*Model!$Z$18*AVERAGE('Assumptions (Coal)'!$S$2:$X$2)/10^9,0)</f>
        <v>0.2576239623</v>
      </c>
      <c r="AA213" s="160">
        <f>IF($Z$18&gt;0,'Assumptions (Coal)'!W11*Model!$Z$18*AVERAGE('Assumptions (Coal)'!$S$2:$X$2)/10^9,0)</f>
        <v>0.4959433024</v>
      </c>
      <c r="AB213" s="160">
        <f>IF($Z$18&gt;0,'Assumptions (Coal)'!X11*Model!$Z$18*AVERAGE('Assumptions (Coal)'!$S$2:$X$2)/10^9,0)</f>
        <v>0.4587080524</v>
      </c>
      <c r="AC213" s="160">
        <f>IF($Z$18&gt;0,'Assumptions (Coal)'!Y11*Model!$Z$18*AVERAGE('Assumptions (Coal)'!$S$2:$X$2)/10^9,0)</f>
        <v>0.4243581908</v>
      </c>
      <c r="AD213" s="160">
        <f>IF($Z$18&gt;0,'Assumptions (Coal)'!Z11*Model!$Z$18*AVERAGE('Assumptions (Coal)'!$S$2:$X$2)/10^9,0)</f>
        <v>0.3924815192</v>
      </c>
      <c r="AE213" s="160">
        <f>IF($Z$18&gt;0,'Assumptions (Coal)'!AA11*Model!$Z$18*AVERAGE('Assumptions (Coal)'!$S$2:$X$2)/10^9,0)</f>
        <v>0.3630780376</v>
      </c>
      <c r="AF213" s="180">
        <f>IF($Z$18&gt;0,'Assumptions (Coal)'!AB11*Model!$Z$18*AVERAGE('Assumptions (Coal)'!$S$2:$X$2)/10^9,0)</f>
        <v>0.3358042474</v>
      </c>
      <c r="AG213" s="160">
        <f>IF($Z$18&gt;0,'Assumptions (Coal)'!AC11*Model!$Z$18*AVERAGE('Assumptions (Coal)'!$S$2:$X$2)/10^9,0)</f>
        <v>0.3106601487</v>
      </c>
      <c r="AH213" s="160">
        <f>IF($Z$18&gt;0,'Assumptions (Coal)'!AD11*Model!$Z$18*AVERAGE('Assumptions (Coal)'!$S$2:$X$2)/10^9,0)</f>
        <v>0.3065381653</v>
      </c>
      <c r="AI213" s="160">
        <f>IF($Z$18&gt;0,'Assumptions (Coal)'!AE11*Model!$Z$18*AVERAGE('Assumptions (Coal)'!$S$2:$X$2)/10^9,0)</f>
        <v>0.3064694656</v>
      </c>
      <c r="AJ213" s="160">
        <f>IF($Z$18&gt;0,'Assumptions (Coal)'!AF11*Model!$Z$18*AVERAGE('Assumptions (Coal)'!$S$2:$X$2)/10^9,0)</f>
        <v>0.3065381653</v>
      </c>
      <c r="AK213" s="160">
        <f>IF($Z$18&gt;0,'Assumptions (Coal)'!AG11*Model!$Z$18*AVERAGE('Assumptions (Coal)'!$S$2:$X$2)/10^9,0)</f>
        <v>0.3064694656</v>
      </c>
      <c r="AL213" s="160">
        <f>IF($Z$18&gt;0,'Assumptions (Coal)'!AH11*Model!$Z$18*AVERAGE('Assumptions (Coal)'!$S$2:$X$2)/10^9,0)</f>
        <v>0.3065381653</v>
      </c>
      <c r="AM213" s="160">
        <f>IF($Z$18&gt;0,'Assumptions (Coal)'!AI11*Model!$Z$18*AVERAGE('Assumptions (Coal)'!$S$2:$X$2)/10^9,0)</f>
        <v>0.3064694656</v>
      </c>
      <c r="AN213" s="160">
        <f>IF($Z$18&gt;0,'Assumptions (Coal)'!AJ11*Model!$Z$18*AVERAGE('Assumptions (Coal)'!$S$2:$X$2)/10^9,0)</f>
        <v>0.3065381653</v>
      </c>
      <c r="AO213" s="160">
        <f>IF($Z$18&gt;0,'Assumptions (Coal)'!AK11*Model!$Z$18*AVERAGE('Assumptions (Coal)'!$S$2:$X$2)/10^9,0)</f>
        <v>0.3064694656</v>
      </c>
      <c r="AP213" s="160">
        <f>IF($Z$18&gt;0,'Assumptions (Coal)'!AL11*Model!$Z$18*AVERAGE('Assumptions (Coal)'!$S$2:$X$2)/10^9,0)</f>
        <v>0.3065381653</v>
      </c>
      <c r="AQ213" s="160">
        <f>IF($Z$18&gt;0,'Assumptions (Coal)'!AM11*Model!$Z$18*AVERAGE('Assumptions (Coal)'!$S$2:$X$2)/10^9,0)</f>
        <v>0.3064694656</v>
      </c>
      <c r="AR213" s="160">
        <f>IF($Z$18&gt;0,'Assumptions (Coal)'!AN11*Model!$Z$18*AVERAGE('Assumptions (Coal)'!$S$2:$X$2)/10^9,0)</f>
        <v>0.3065381653</v>
      </c>
      <c r="AS213" s="160">
        <f>IF($Z$18&gt;0,'Assumptions (Coal)'!AO11*Model!$Z$18*AVERAGE('Assumptions (Coal)'!$S$2:$X$2)/10^9,0)</f>
        <v>0.3064694656</v>
      </c>
      <c r="AT213" s="160">
        <f>IF($Z$18&gt;0,'Assumptions (Coal)'!AP11*Model!$Z$18*AVERAGE('Assumptions (Coal)'!$S$2:$X$2)/10^9,0)</f>
        <v>0.1532690827</v>
      </c>
      <c r="AU213" s="160"/>
      <c r="AV213" s="160"/>
      <c r="AW213" s="160"/>
      <c r="AX213" s="160"/>
      <c r="AY213" s="160"/>
      <c r="AZ213" s="160"/>
      <c r="BA213" s="160"/>
    </row>
    <row r="214" ht="15.75" hidden="1" customHeight="1" outlineLevel="1">
      <c r="A214" s="158"/>
      <c r="B214" s="38"/>
      <c r="C214" s="174"/>
      <c r="D214" s="174"/>
      <c r="E214" s="174"/>
      <c r="F214" s="174"/>
      <c r="G214" s="174"/>
      <c r="H214" s="174"/>
      <c r="I214" s="174"/>
      <c r="J214" s="174"/>
      <c r="K214" s="174"/>
      <c r="L214" s="174"/>
      <c r="M214" s="174"/>
      <c r="N214" s="174"/>
      <c r="O214" s="174"/>
      <c r="P214" s="174"/>
      <c r="Q214" s="174"/>
      <c r="R214" s="174"/>
      <c r="S214" s="174"/>
      <c r="T214" s="174"/>
      <c r="U214" s="174"/>
      <c r="V214" s="174"/>
      <c r="W214" s="160"/>
      <c r="X214" s="160"/>
      <c r="Y214" s="160"/>
      <c r="Z214" s="160"/>
      <c r="AA214" s="160">
        <f>IF($AA$18&gt;0,'Assumptions (Coal)'!V11*Model!$AA$18*AVERAGE('Assumptions (Coal)'!$T$2:$Y$2)/10^9,0)</f>
        <v>0.2766016638</v>
      </c>
      <c r="AB214" s="160">
        <f>IF($AA$18&gt;0,'Assumptions (Coal)'!W11*Model!$AA$18*AVERAGE('Assumptions (Coal)'!$T$2:$Y$2)/10^9,0)</f>
        <v>0.532476643</v>
      </c>
      <c r="AC214" s="160">
        <f>IF($AA$18&gt;0,'Assumptions (Coal)'!X11*Model!$AA$18*AVERAGE('Assumptions (Coal)'!$T$2:$Y$2)/10^9,0)</f>
        <v>0.4924984825</v>
      </c>
      <c r="AD214" s="160">
        <f>IF($AA$18&gt;0,'Assumptions (Coal)'!Y11*Model!$AA$18*AVERAGE('Assumptions (Coal)'!$T$2:$Y$2)/10^9,0)</f>
        <v>0.4556182606</v>
      </c>
      <c r="AE214" s="160">
        <f>IF($AA$18&gt;0,'Assumptions (Coal)'!Z11*Model!$AA$18*AVERAGE('Assumptions (Coal)'!$T$2:$Y$2)/10^9,0)</f>
        <v>0.4213934148</v>
      </c>
      <c r="AF214" s="180">
        <f>IF($AA$18&gt;0,'Assumptions (Coal)'!AA11*Model!$AA$18*AVERAGE('Assumptions (Coal)'!$T$2:$Y$2)/10^9,0)</f>
        <v>0.3898239449</v>
      </c>
      <c r="AG214" s="160">
        <f>IF($AA$18&gt;0,'Assumptions (Coal)'!AB11*Model!$AA$18*AVERAGE('Assumptions (Coal)'!$T$2:$Y$2)/10^9,0)</f>
        <v>0.3605410487</v>
      </c>
      <c r="AH214" s="160">
        <f>IF($AA$18&gt;0,'Assumptions (Coal)'!AC11*Model!$AA$18*AVERAGE('Assumptions (Coal)'!$T$2:$Y$2)/10^9,0)</f>
        <v>0.3335447263</v>
      </c>
      <c r="AI214" s="160">
        <f>IF($AA$18&gt;0,'Assumptions (Coal)'!AD11*Model!$AA$18*AVERAGE('Assumptions (Coal)'!$T$2:$Y$2)/10^9,0)</f>
        <v>0.3291190997</v>
      </c>
      <c r="AJ214" s="160">
        <f>IF($AA$18&gt;0,'Assumptions (Coal)'!AE11*Model!$AA$18*AVERAGE('Assumptions (Coal)'!$T$2:$Y$2)/10^9,0)</f>
        <v>0.3290453393</v>
      </c>
      <c r="AK214" s="160">
        <f>IF($AA$18&gt;0,'Assumptions (Coal)'!AF11*Model!$AA$18*AVERAGE('Assumptions (Coal)'!$T$2:$Y$2)/10^9,0)</f>
        <v>0.3291190997</v>
      </c>
      <c r="AL214" s="160">
        <f>IF($AA$18&gt;0,'Assumptions (Coal)'!AG11*Model!$AA$18*AVERAGE('Assumptions (Coal)'!$T$2:$Y$2)/10^9,0)</f>
        <v>0.3290453393</v>
      </c>
      <c r="AM214" s="160">
        <f>IF($AA$18&gt;0,'Assumptions (Coal)'!AH11*Model!$AA$18*AVERAGE('Assumptions (Coal)'!$T$2:$Y$2)/10^9,0)</f>
        <v>0.3291190997</v>
      </c>
      <c r="AN214" s="160">
        <f>IF($AA$18&gt;0,'Assumptions (Coal)'!AI11*Model!$AA$18*AVERAGE('Assumptions (Coal)'!$T$2:$Y$2)/10^9,0)</f>
        <v>0.3290453393</v>
      </c>
      <c r="AO214" s="160">
        <f>IF($AA$18&gt;0,'Assumptions (Coal)'!AJ11*Model!$AA$18*AVERAGE('Assumptions (Coal)'!$T$2:$Y$2)/10^9,0)</f>
        <v>0.3291190997</v>
      </c>
      <c r="AP214" s="160">
        <f>IF($AA$18&gt;0,'Assumptions (Coal)'!AK11*Model!$AA$18*AVERAGE('Assumptions (Coal)'!$T$2:$Y$2)/10^9,0)</f>
        <v>0.3290453393</v>
      </c>
      <c r="AQ214" s="160">
        <f>IF($AA$18&gt;0,'Assumptions (Coal)'!AL11*Model!$AA$18*AVERAGE('Assumptions (Coal)'!$T$2:$Y$2)/10^9,0)</f>
        <v>0.3291190997</v>
      </c>
      <c r="AR214" s="160">
        <f>IF($AA$18&gt;0,'Assumptions (Coal)'!AM11*Model!$AA$18*AVERAGE('Assumptions (Coal)'!$T$2:$Y$2)/10^9,0)</f>
        <v>0.3290453393</v>
      </c>
      <c r="AS214" s="160">
        <f>IF($AA$18&gt;0,'Assumptions (Coal)'!AN11*Model!$AA$18*AVERAGE('Assumptions (Coal)'!$T$2:$Y$2)/10^9,0)</f>
        <v>0.3291190997</v>
      </c>
      <c r="AT214" s="160">
        <f>IF($AA$18&gt;0,'Assumptions (Coal)'!AO11*Model!$AA$18*AVERAGE('Assumptions (Coal)'!$T$2:$Y$2)/10^9,0)</f>
        <v>0.3290453393</v>
      </c>
      <c r="AU214" s="160">
        <f>IF($AA$18&gt;0,'Assumptions (Coal)'!AP11*Model!$AA$18*AVERAGE('Assumptions (Coal)'!$T$2:$Y$2)/10^9,0)</f>
        <v>0.1645595499</v>
      </c>
      <c r="AV214" s="160"/>
      <c r="AW214" s="160"/>
      <c r="AX214" s="160"/>
      <c r="AY214" s="160"/>
      <c r="AZ214" s="160"/>
      <c r="BA214" s="160"/>
    </row>
    <row r="215" ht="15.75" hidden="1" customHeight="1" outlineLevel="1">
      <c r="A215" s="158"/>
      <c r="B215" s="38"/>
      <c r="C215" s="174"/>
      <c r="D215" s="174"/>
      <c r="E215" s="174"/>
      <c r="F215" s="174"/>
      <c r="G215" s="174"/>
      <c r="H215" s="174"/>
      <c r="I215" s="174"/>
      <c r="J215" s="174"/>
      <c r="K215" s="174"/>
      <c r="L215" s="174"/>
      <c r="M215" s="174"/>
      <c r="N215" s="174"/>
      <c r="O215" s="174"/>
      <c r="P215" s="174"/>
      <c r="Q215" s="174"/>
      <c r="R215" s="174"/>
      <c r="S215" s="174"/>
      <c r="T215" s="174"/>
      <c r="U215" s="174"/>
      <c r="V215" s="174"/>
      <c r="W215" s="160"/>
      <c r="X215" s="160"/>
      <c r="Y215" s="160"/>
      <c r="Z215" s="160"/>
      <c r="AA215" s="160"/>
      <c r="AB215" s="160">
        <f>IF($AB$18&gt;0,'Assumptions (Coal)'!V11*Model!$AB$18*AVERAGE('Assumptions (Coal)'!$U$2:$Z$2)/10^9,0)</f>
        <v>0.6556302742</v>
      </c>
      <c r="AC215" s="160">
        <f>IF($AB$18&gt;0,'Assumptions (Coal)'!W11*Model!$AB$18*AVERAGE('Assumptions (Coal)'!$U$2:$Z$2)/10^9,0)</f>
        <v>1.262131986</v>
      </c>
      <c r="AD215" s="160">
        <f>IF($AB$18&gt;0,'Assumptions (Coal)'!X11*Model!$AB$18*AVERAGE('Assumptions (Coal)'!$U$2:$Z$2)/10^9,0)</f>
        <v>1.167371558</v>
      </c>
      <c r="AE215" s="160">
        <f>IF($AB$18&gt;0,'Assumptions (Coal)'!Y11*Model!$AB$18*AVERAGE('Assumptions (Coal)'!$U$2:$Z$2)/10^9,0)</f>
        <v>1.079954188</v>
      </c>
      <c r="AF215" s="180">
        <f>IF($AB$18&gt;0,'Assumptions (Coal)'!Z11*Model!$AB$18*AVERAGE('Assumptions (Coal)'!$U$2:$Z$2)/10^9,0)</f>
        <v>0.9988308684</v>
      </c>
      <c r="AG215" s="160">
        <f>IF($AB$18&gt;0,'Assumptions (Coal)'!AA11*Model!$AB$18*AVERAGE('Assumptions (Coal)'!$U$2:$Z$2)/10^9,0)</f>
        <v>0.9240015997</v>
      </c>
      <c r="AH215" s="160">
        <f>IF($AB$18&gt;0,'Assumptions (Coal)'!AB11*Model!$AB$18*AVERAGE('Assumptions (Coal)'!$U$2:$Z$2)/10^9,0)</f>
        <v>0.854592208</v>
      </c>
      <c r="AI215" s="160">
        <f>IF($AB$18&gt;0,'Assumptions (Coal)'!AC11*Model!$AB$18*AVERAGE('Assumptions (Coal)'!$U$2:$Z$2)/10^9,0)</f>
        <v>0.7906026933</v>
      </c>
      <c r="AJ215" s="160">
        <f>IF($AB$18&gt;0,'Assumptions (Coal)'!AD11*Model!$AB$18*AVERAGE('Assumptions (Coal)'!$U$2:$Z$2)/10^9,0)</f>
        <v>0.7801126089</v>
      </c>
      <c r="AK215" s="160">
        <f>IF($AB$18&gt;0,'Assumptions (Coal)'!AE11*Model!$AB$18*AVERAGE('Assumptions (Coal)'!$U$2:$Z$2)/10^9,0)</f>
        <v>0.7799377742</v>
      </c>
      <c r="AL215" s="160">
        <f>IF($AB$18&gt;0,'Assumptions (Coal)'!AF11*Model!$AB$18*AVERAGE('Assumptions (Coal)'!$U$2:$Z$2)/10^9,0)</f>
        <v>0.7801126089</v>
      </c>
      <c r="AM215" s="160">
        <f>IF($AB$18&gt;0,'Assumptions (Coal)'!AG11*Model!$AB$18*AVERAGE('Assumptions (Coal)'!$U$2:$Z$2)/10^9,0)</f>
        <v>0.7799377742</v>
      </c>
      <c r="AN215" s="160">
        <f>IF($AB$18&gt;0,'Assumptions (Coal)'!AH11*Model!$AB$18*AVERAGE('Assumptions (Coal)'!$U$2:$Z$2)/10^9,0)</f>
        <v>0.7801126089</v>
      </c>
      <c r="AO215" s="160">
        <f>IF($AB$18&gt;0,'Assumptions (Coal)'!AI11*Model!$AB$18*AVERAGE('Assumptions (Coal)'!$U$2:$Z$2)/10^9,0)</f>
        <v>0.7799377742</v>
      </c>
      <c r="AP215" s="160">
        <f>IF($AB$18&gt;0,'Assumptions (Coal)'!AJ11*Model!$AB$18*AVERAGE('Assumptions (Coal)'!$U$2:$Z$2)/10^9,0)</f>
        <v>0.7801126089</v>
      </c>
      <c r="AQ215" s="160">
        <f>IF($AB$18&gt;0,'Assumptions (Coal)'!AK11*Model!$AB$18*AVERAGE('Assumptions (Coal)'!$U$2:$Z$2)/10^9,0)</f>
        <v>0.7799377742</v>
      </c>
      <c r="AR215" s="160">
        <f>IF($AB$18&gt;0,'Assumptions (Coal)'!AL11*Model!$AB$18*AVERAGE('Assumptions (Coal)'!$U$2:$Z$2)/10^9,0)</f>
        <v>0.7801126089</v>
      </c>
      <c r="AS215" s="160">
        <f>IF($AB$18&gt;0,'Assumptions (Coal)'!AM11*Model!$AB$18*AVERAGE('Assumptions (Coal)'!$U$2:$Z$2)/10^9,0)</f>
        <v>0.7799377742</v>
      </c>
      <c r="AT215" s="160">
        <f>IF($AB$18&gt;0,'Assumptions (Coal)'!AN11*Model!$AB$18*AVERAGE('Assumptions (Coal)'!$U$2:$Z$2)/10^9,0)</f>
        <v>0.7801126089</v>
      </c>
      <c r="AU215" s="160">
        <f>IF($AB$18&gt;0,'Assumptions (Coal)'!AO11*Model!$AB$18*AVERAGE('Assumptions (Coal)'!$U$2:$Z$2)/10^9,0)</f>
        <v>0.7799377742</v>
      </c>
      <c r="AV215" s="160">
        <f>IF($AB$18&gt;0,'Assumptions (Coal)'!AP11*Model!$AB$18*AVERAGE('Assumptions (Coal)'!$U$2:$Z$2)/10^9,0)</f>
        <v>0.3900563044</v>
      </c>
      <c r="AW215" s="160"/>
      <c r="AX215" s="160"/>
      <c r="AY215" s="160"/>
      <c r="AZ215" s="160"/>
      <c r="BA215" s="160"/>
    </row>
    <row r="216" ht="15.75" hidden="1" customHeight="1" outlineLevel="1">
      <c r="A216" s="158"/>
      <c r="B216" s="38"/>
      <c r="C216" s="174"/>
      <c r="D216" s="174"/>
      <c r="E216" s="174"/>
      <c r="F216" s="174"/>
      <c r="G216" s="174"/>
      <c r="H216" s="174"/>
      <c r="I216" s="174"/>
      <c r="J216" s="174"/>
      <c r="K216" s="174"/>
      <c r="L216" s="174"/>
      <c r="M216" s="174"/>
      <c r="N216" s="174"/>
      <c r="O216" s="174"/>
      <c r="P216" s="174"/>
      <c r="Q216" s="174"/>
      <c r="R216" s="174"/>
      <c r="S216" s="174"/>
      <c r="T216" s="174"/>
      <c r="U216" s="174"/>
      <c r="V216" s="174"/>
      <c r="W216" s="160"/>
      <c r="X216" s="160"/>
      <c r="Y216" s="160"/>
      <c r="Z216" s="160"/>
      <c r="AA216" s="160"/>
      <c r="AB216" s="160"/>
      <c r="AC216" s="160">
        <f>IF($AC$18&gt;0,'Assumptions (Coal)'!V11*Model!$AC$18*AVERAGE('Assumptions (Coal)'!$V$2:$AA$2)/10^9,0)</f>
        <v>0.5069573739</v>
      </c>
      <c r="AD216" s="160">
        <f>IF($AC$18&gt;0,'Assumptions (Coal)'!W11*Model!$AC$18*AVERAGE('Assumptions (Coal)'!$V$2:$AA$2)/10^9,0)</f>
        <v>0.9759267419</v>
      </c>
      <c r="AE216" s="160">
        <f>IF($AC$18&gt;0,'Assumptions (Coal)'!X11*Model!$AC$18*AVERAGE('Assumptions (Coal)'!$V$2:$AA$2)/10^9,0)</f>
        <v>0.9026545028</v>
      </c>
      <c r="AF216" s="180">
        <f>IF($AC$18&gt;0,'Assumptions (Coal)'!Y11*Model!$AC$18*AVERAGE('Assumptions (Coal)'!$V$2:$AA$2)/10^9,0)</f>
        <v>0.8350601863</v>
      </c>
      <c r="AG216" s="160">
        <f>IF($AC$18&gt;0,'Assumptions (Coal)'!Z11*Model!$AC$18*AVERAGE('Assumptions (Coal)'!$V$2:$AA$2)/10^9,0)</f>
        <v>0.7723326605</v>
      </c>
      <c r="AH216" s="160">
        <f>IF($AC$18&gt;0,'Assumptions (Coal)'!AA11*Model!$AC$18*AVERAGE('Assumptions (Coal)'!$V$2:$AA$2)/10^9,0)</f>
        <v>0.7144719256</v>
      </c>
      <c r="AI216" s="160">
        <f>IF($AC$18&gt;0,'Assumptions (Coal)'!AB11*Model!$AC$18*AVERAGE('Assumptions (Coal)'!$V$2:$AA$2)/10^9,0)</f>
        <v>0.6608020383</v>
      </c>
      <c r="AJ216" s="160">
        <f>IF($AC$18&gt;0,'Assumptions (Coal)'!AC11*Model!$AC$18*AVERAGE('Assumptions (Coal)'!$V$2:$AA$2)/10^9,0)</f>
        <v>0.6113229986</v>
      </c>
      <c r="AK216" s="160">
        <f>IF($AC$18&gt;0,'Assumptions (Coal)'!AD11*Model!$AC$18*AVERAGE('Assumptions (Coal)'!$V$2:$AA$2)/10^9,0)</f>
        <v>0.6032116806</v>
      </c>
      <c r="AL216" s="160">
        <f>IF($AC$18&gt;0,'Assumptions (Coal)'!AE11*Model!$AC$18*AVERAGE('Assumptions (Coal)'!$V$2:$AA$2)/10^9,0)</f>
        <v>0.603076492</v>
      </c>
      <c r="AM216" s="160">
        <f>IF($AC$18&gt;0,'Assumptions (Coal)'!AF11*Model!$AC$18*AVERAGE('Assumptions (Coal)'!$V$2:$AA$2)/10^9,0)</f>
        <v>0.6032116806</v>
      </c>
      <c r="AN216" s="160">
        <f>IF($AC$18&gt;0,'Assumptions (Coal)'!AG11*Model!$AC$18*AVERAGE('Assumptions (Coal)'!$V$2:$AA$2)/10^9,0)</f>
        <v>0.603076492</v>
      </c>
      <c r="AO216" s="160">
        <f>IF($AC$18&gt;0,'Assumptions (Coal)'!AH11*Model!$AC$18*AVERAGE('Assumptions (Coal)'!$V$2:$AA$2)/10^9,0)</f>
        <v>0.6032116806</v>
      </c>
      <c r="AP216" s="160">
        <f>IF($AC$18&gt;0,'Assumptions (Coal)'!AI11*Model!$AC$18*AVERAGE('Assumptions (Coal)'!$V$2:$AA$2)/10^9,0)</f>
        <v>0.603076492</v>
      </c>
      <c r="AQ216" s="160">
        <f>IF($AC$18&gt;0,'Assumptions (Coal)'!AJ11*Model!$AC$18*AVERAGE('Assumptions (Coal)'!$V$2:$AA$2)/10^9,0)</f>
        <v>0.6032116806</v>
      </c>
      <c r="AR216" s="160">
        <f>IF($AC$18&gt;0,'Assumptions (Coal)'!AK11*Model!$AC$18*AVERAGE('Assumptions (Coal)'!$V$2:$AA$2)/10^9,0)</f>
        <v>0.603076492</v>
      </c>
      <c r="AS216" s="160">
        <f>IF($AC$18&gt;0,'Assumptions (Coal)'!AL11*Model!$AC$18*AVERAGE('Assumptions (Coal)'!$V$2:$AA$2)/10^9,0)</f>
        <v>0.6032116806</v>
      </c>
      <c r="AT216" s="160">
        <f>IF($AC$18&gt;0,'Assumptions (Coal)'!AM11*Model!$AC$18*AVERAGE('Assumptions (Coal)'!$V$2:$AA$2)/10^9,0)</f>
        <v>0.603076492</v>
      </c>
      <c r="AU216" s="160">
        <f>IF($AC$18&gt;0,'Assumptions (Coal)'!AN11*Model!$AC$18*AVERAGE('Assumptions (Coal)'!$V$2:$AA$2)/10^9,0)</f>
        <v>0.6032116806</v>
      </c>
      <c r="AV216" s="160">
        <f>IF($AC$18&gt;0,'Assumptions (Coal)'!AO11*Model!$AC$18*AVERAGE('Assumptions (Coal)'!$V$2:$AA$2)/10^9,0)</f>
        <v>0.603076492</v>
      </c>
      <c r="AW216" s="160">
        <f>IF($AC$18&gt;0,'Assumptions (Coal)'!AP11*Model!$AC$18*AVERAGE('Assumptions (Coal)'!$V$2:$AA$2)/10^9,0)</f>
        <v>0.3016058403</v>
      </c>
      <c r="AX216" s="160"/>
      <c r="AY216" s="160"/>
      <c r="AZ216" s="160"/>
      <c r="BA216" s="160"/>
    </row>
    <row r="217" ht="15.75" hidden="1" customHeight="1" outlineLevel="1">
      <c r="A217" s="158"/>
      <c r="B217" s="38"/>
      <c r="C217" s="174"/>
      <c r="D217" s="174"/>
      <c r="E217" s="174"/>
      <c r="F217" s="174"/>
      <c r="G217" s="174"/>
      <c r="H217" s="174"/>
      <c r="I217" s="174"/>
      <c r="J217" s="174"/>
      <c r="K217" s="174"/>
      <c r="L217" s="174"/>
      <c r="M217" s="174"/>
      <c r="N217" s="174"/>
      <c r="O217" s="174"/>
      <c r="P217" s="174"/>
      <c r="Q217" s="174"/>
      <c r="R217" s="174"/>
      <c r="S217" s="174"/>
      <c r="T217" s="174"/>
      <c r="U217" s="174"/>
      <c r="V217" s="174"/>
      <c r="W217" s="160"/>
      <c r="X217" s="160"/>
      <c r="Y217" s="160"/>
      <c r="Z217" s="160"/>
      <c r="AA217" s="160"/>
      <c r="AB217" s="160"/>
      <c r="AC217" s="160"/>
      <c r="AD217" s="180">
        <f>IF($AD$18&gt;0,'Assumptions (Coal)'!V11*Model!$AD$18*AVERAGE('Assumptions (Coal)'!$W$2:$AB$2)/10^9,0)</f>
        <v>0.3768297087</v>
      </c>
      <c r="AE217" s="180">
        <f>IF($AD$18&gt;0,'Assumptions (Coal)'!W11*Model!$AD$18*AVERAGE('Assumptions (Coal)'!$W$2:$AB$2)/10^9,0)</f>
        <v>0.7254223113</v>
      </c>
      <c r="AF217" s="180">
        <f>IF($AD$18&gt;0,'Assumptions (Coal)'!X11*Model!$AD$18*AVERAGE('Assumptions (Coal)'!$W$2:$AB$2)/10^9,0)</f>
        <v>0.6709578574</v>
      </c>
      <c r="AG217" s="160">
        <f>IF($AD$18&gt;0,'Assumptions (Coal)'!Y11*Model!$AD$18*AVERAGE('Assumptions (Coal)'!$W$2:$AB$2)/10^9,0)</f>
        <v>0.6207138962</v>
      </c>
      <c r="AH217" s="160">
        <f>IF($AD$18&gt;0,'Assumptions (Coal)'!Z11*Model!$AD$18*AVERAGE('Assumptions (Coal)'!$W$2:$AB$2)/10^9,0)</f>
        <v>0.5740875003</v>
      </c>
      <c r="AI217" s="160">
        <f>IF($AD$18&gt;0,'Assumptions (Coal)'!AA11*Model!$AD$18*AVERAGE('Assumptions (Coal)'!$W$2:$AB$2)/10^9,0)</f>
        <v>0.5310786695</v>
      </c>
      <c r="AJ217" s="160">
        <f>IF($AD$18&gt;0,'Assumptions (Coal)'!AB11*Model!$AD$18*AVERAGE('Assumptions (Coal)'!$W$2:$AB$2)/10^9,0)</f>
        <v>0.4911849644</v>
      </c>
      <c r="AK217" s="160">
        <f>IF($AD$18&gt;0,'Assumptions (Coal)'!AC11*Model!$AD$18*AVERAGE('Assumptions (Coal)'!$W$2:$AB$2)/10^9,0)</f>
        <v>0.4544063848</v>
      </c>
      <c r="AL217" s="160">
        <f>IF($AD$18&gt;0,'Assumptions (Coal)'!AD11*Model!$AD$18*AVERAGE('Assumptions (Coal)'!$W$2:$AB$2)/10^9,0)</f>
        <v>0.4483771094</v>
      </c>
      <c r="AM217" s="160">
        <f>IF($AD$18&gt;0,'Assumptions (Coal)'!AE11*Model!$AD$18*AVERAGE('Assumptions (Coal)'!$W$2:$AB$2)/10^9,0)</f>
        <v>0.4482766215</v>
      </c>
      <c r="AN217" s="160">
        <f>IF($AD$18&gt;0,'Assumptions (Coal)'!AF11*Model!$AD$18*AVERAGE('Assumptions (Coal)'!$W$2:$AB$2)/10^9,0)</f>
        <v>0.4483771094</v>
      </c>
      <c r="AO217" s="160">
        <f>IF($AD$18&gt;0,'Assumptions (Coal)'!AG11*Model!$AD$18*AVERAGE('Assumptions (Coal)'!$W$2:$AB$2)/10^9,0)</f>
        <v>0.4482766215</v>
      </c>
      <c r="AP217" s="160">
        <f>IF($AD$18&gt;0,'Assumptions (Coal)'!AH11*Model!$AD$18*AVERAGE('Assumptions (Coal)'!$W$2:$AB$2)/10^9,0)</f>
        <v>0.4483771094</v>
      </c>
      <c r="AQ217" s="160">
        <f>IF($AD$18&gt;0,'Assumptions (Coal)'!AI11*Model!$AD$18*AVERAGE('Assumptions (Coal)'!$W$2:$AB$2)/10^9,0)</f>
        <v>0.4482766215</v>
      </c>
      <c r="AR217" s="160">
        <f>IF($AD$18&gt;0,'Assumptions (Coal)'!AJ11*Model!$AD$18*AVERAGE('Assumptions (Coal)'!$W$2:$AB$2)/10^9,0)</f>
        <v>0.4483771094</v>
      </c>
      <c r="AS217" s="160">
        <f>IF($AD$18&gt;0,'Assumptions (Coal)'!AK11*Model!$AD$18*AVERAGE('Assumptions (Coal)'!$W$2:$AB$2)/10^9,0)</f>
        <v>0.4482766215</v>
      </c>
      <c r="AT217" s="160">
        <f>IF($AD$18&gt;0,'Assumptions (Coal)'!AL11*Model!$AD$18*AVERAGE('Assumptions (Coal)'!$W$2:$AB$2)/10^9,0)</f>
        <v>0.4483771094</v>
      </c>
      <c r="AU217" s="160">
        <f>IF($AD$18&gt;0,'Assumptions (Coal)'!AM11*Model!$AD$18*AVERAGE('Assumptions (Coal)'!$W$2:$AB$2)/10^9,0)</f>
        <v>0.4482766215</v>
      </c>
      <c r="AV217" s="160">
        <f>IF($AD$18&gt;0,'Assumptions (Coal)'!AN11*Model!$AD$18*AVERAGE('Assumptions (Coal)'!$W$2:$AB$2)/10^9,0)</f>
        <v>0.4483771094</v>
      </c>
      <c r="AW217" s="160">
        <f>IF($AD$18&gt;0,'Assumptions (Coal)'!AO11*Model!$AD$18*AVERAGE('Assumptions (Coal)'!$W$2:$AB$2)/10^9,0)</f>
        <v>0.4482766215</v>
      </c>
      <c r="AX217" s="160">
        <f>IF($AD$18&gt;0,'Assumptions (Coal)'!AP11*Model!$AD$18*AVERAGE('Assumptions (Coal)'!$W$2:$AB$2)/10^9,0)</f>
        <v>0.2241885547</v>
      </c>
      <c r="AY217" s="160"/>
      <c r="AZ217" s="160"/>
      <c r="BA217" s="160"/>
      <c r="BB217" s="160"/>
    </row>
    <row r="218" ht="15.75" hidden="1" customHeight="1" outlineLevel="1">
      <c r="A218" s="158"/>
      <c r="B218" s="38"/>
      <c r="C218" s="174"/>
      <c r="D218" s="174"/>
      <c r="E218" s="174"/>
      <c r="F218" s="174"/>
      <c r="G218" s="174"/>
      <c r="H218" s="174"/>
      <c r="I218" s="174"/>
      <c r="J218" s="174"/>
      <c r="K218" s="174"/>
      <c r="L218" s="174"/>
      <c r="M218" s="174"/>
      <c r="N218" s="174"/>
      <c r="O218" s="174"/>
      <c r="P218" s="174"/>
      <c r="Q218" s="174"/>
      <c r="R218" s="174"/>
      <c r="S218" s="174"/>
      <c r="T218" s="174"/>
      <c r="U218" s="174"/>
      <c r="V218" s="174"/>
      <c r="W218" s="160"/>
      <c r="X218" s="160"/>
      <c r="Y218" s="160"/>
      <c r="Z218" s="160"/>
      <c r="AA218" s="160"/>
      <c r="AB218" s="160"/>
      <c r="AC218" s="160"/>
      <c r="AD218" s="160"/>
      <c r="AE218" s="180">
        <f>IF($AE$18&gt;0,'Assumptions (Coal)'!V11*Model!$AE$18*AVERAGE('Assumptions (Coal)'!$X$2:$AC$2)/10^9,0)</f>
        <v>0.03983329305</v>
      </c>
      <c r="AF218" s="180">
        <f>IF($AE$18&gt;0,'Assumptions (Coal)'!W11*Model!$AE$18*AVERAGE('Assumptions (Coal)'!$X$2:$AC$2)/10^9,0)</f>
        <v>0.07668174468</v>
      </c>
      <c r="AG218" s="160">
        <f>IF($AE$18&gt;0,'Assumptions (Coal)'!X11*Model!$AE$18*AVERAGE('Assumptions (Coal)'!$X$2:$AC$2)/10^9,0)</f>
        <v>0.07092450605</v>
      </c>
      <c r="AH218" s="160">
        <f>IF($AE$18&gt;0,'Assumptions (Coal)'!Y11*Model!$AE$18*AVERAGE('Assumptions (Coal)'!$X$2:$AC$2)/10^9,0)</f>
        <v>0.06561340031</v>
      </c>
      <c r="AI218" s="160">
        <f>IF($AE$18&gt;0,'Assumptions (Coal)'!Z11*Model!$AE$18*AVERAGE('Assumptions (Coal)'!$X$2:$AC$2)/10^9,0)</f>
        <v>0.06068469419</v>
      </c>
      <c r="AJ218" s="160">
        <f>IF($AE$18&gt;0,'Assumptions (Coal)'!AA11*Model!$AE$18*AVERAGE('Assumptions (Coal)'!$X$2:$AC$2)/10^9,0)</f>
        <v>0.05613838767</v>
      </c>
      <c r="AK218" s="160">
        <f>IF($AE$18&gt;0,'Assumptions (Coal)'!AB11*Model!$AE$18*AVERAGE('Assumptions (Coal)'!$X$2:$AC$2)/10^9,0)</f>
        <v>0.05192136972</v>
      </c>
      <c r="AL218" s="160">
        <f>IF($AE$18&gt;0,'Assumptions (Coal)'!AC11*Model!$AE$18*AVERAGE('Assumptions (Coal)'!$X$2:$AC$2)/10^9,0)</f>
        <v>0.04803364031</v>
      </c>
      <c r="AM218" s="160">
        <f>IF($AE$18&gt;0,'Assumptions (Coal)'!AD11*Model!$AE$18*AVERAGE('Assumptions (Coal)'!$X$2:$AC$2)/10^9,0)</f>
        <v>0.04739630762</v>
      </c>
      <c r="AN218" s="160">
        <f>IF($AE$18&gt;0,'Assumptions (Coal)'!AE11*Model!$AE$18*AVERAGE('Assumptions (Coal)'!$X$2:$AC$2)/10^9,0)</f>
        <v>0.04738568541</v>
      </c>
      <c r="AO218" s="160">
        <f>IF($AE$18&gt;0,'Assumptions (Coal)'!AF11*Model!$AE$18*AVERAGE('Assumptions (Coal)'!$X$2:$AC$2)/10^9,0)</f>
        <v>0.04739630762</v>
      </c>
      <c r="AP218" s="160">
        <f>IF($AE$18&gt;0,'Assumptions (Coal)'!AG11*Model!$AE$18*AVERAGE('Assumptions (Coal)'!$X$2:$AC$2)/10^9,0)</f>
        <v>0.04738568541</v>
      </c>
      <c r="AQ218" s="160">
        <f>IF($AE$18&gt;0,'Assumptions (Coal)'!AH11*Model!$AE$18*AVERAGE('Assumptions (Coal)'!$X$2:$AC$2)/10^9,0)</f>
        <v>0.04739630762</v>
      </c>
      <c r="AR218" s="160">
        <f>IF($AE$18&gt;0,'Assumptions (Coal)'!AI11*Model!$AE$18*AVERAGE('Assumptions (Coal)'!$X$2:$AC$2)/10^9,0)</f>
        <v>0.04738568541</v>
      </c>
      <c r="AS218" s="160">
        <f>IF($AE$18&gt;0,'Assumptions (Coal)'!AJ11*Model!$AE$18*AVERAGE('Assumptions (Coal)'!$X$2:$AC$2)/10^9,0)</f>
        <v>0.04739630762</v>
      </c>
      <c r="AT218" s="160">
        <f>IF($AE$18&gt;0,'Assumptions (Coal)'!AK11*Model!$AE$18*AVERAGE('Assumptions (Coal)'!$X$2:$AC$2)/10^9,0)</f>
        <v>0.04738568541</v>
      </c>
      <c r="AU218" s="160">
        <f>IF($AE$18&gt;0,'Assumptions (Coal)'!AL11*Model!$AE$18*AVERAGE('Assumptions (Coal)'!$X$2:$AC$2)/10^9,0)</f>
        <v>0.04739630762</v>
      </c>
      <c r="AV218" s="160">
        <f>IF($AE$18&gt;0,'Assumptions (Coal)'!AM11*Model!$AE$18*AVERAGE('Assumptions (Coal)'!$X$2:$AC$2)/10^9,0)</f>
        <v>0.04738568541</v>
      </c>
      <c r="AW218" s="160">
        <f>IF($AE$18&gt;0,'Assumptions (Coal)'!AN11*Model!$AE$18*AVERAGE('Assumptions (Coal)'!$X$2:$AC$2)/10^9,0)</f>
        <v>0.04739630762</v>
      </c>
      <c r="AX218" s="160">
        <f>IF($AE$18&gt;0,'Assumptions (Coal)'!AO11*Model!$AE$18*AVERAGE('Assumptions (Coal)'!$X$2:$AC$2)/10^9,0)</f>
        <v>0.04738568541</v>
      </c>
      <c r="AY218" s="160">
        <f>IF($AE$18&gt;0,'Assumptions (Coal)'!AP11*Model!$AE$18*AVERAGE('Assumptions (Coal)'!$X$2:$AC$2)/10^9,0)</f>
        <v>0.02369815381</v>
      </c>
      <c r="AZ218" s="160"/>
      <c r="BA218" s="160"/>
      <c r="BB218" s="160"/>
      <c r="BC218" s="160"/>
    </row>
    <row r="219" ht="15.75" hidden="1" customHeight="1" outlineLevel="1">
      <c r="A219" s="158"/>
      <c r="B219" s="38"/>
      <c r="C219" s="174"/>
      <c r="D219" s="174"/>
      <c r="E219" s="174"/>
      <c r="F219" s="174"/>
      <c r="G219" s="174"/>
      <c r="H219" s="174"/>
      <c r="I219" s="174"/>
      <c r="J219" s="174"/>
      <c r="K219" s="174"/>
      <c r="L219" s="174"/>
      <c r="M219" s="174"/>
      <c r="N219" s="174"/>
      <c r="O219" s="174"/>
      <c r="P219" s="174"/>
      <c r="Q219" s="174"/>
      <c r="R219" s="174"/>
      <c r="S219" s="174"/>
      <c r="T219" s="174"/>
      <c r="U219" s="174"/>
      <c r="V219" s="174"/>
      <c r="W219" s="160"/>
      <c r="X219" s="160"/>
      <c r="Y219" s="160"/>
      <c r="Z219" s="160"/>
      <c r="AA219" s="160"/>
      <c r="AB219" s="160"/>
      <c r="AC219" s="160"/>
      <c r="AD219" s="160"/>
      <c r="AE219" s="160"/>
      <c r="AF219" s="180">
        <f>IF($AF$18&gt;0,'Assumptions (Coal)'!V11*Model!$AF$18*AVERAGE('Assumptions (Coal)'!$Y$2:$AD$2)/10^9,0)</f>
        <v>0.02066140337</v>
      </c>
      <c r="AG219" s="160">
        <f>IF($AF$18&gt;0,'Assumptions (Coal)'!W11*Model!$AF$18*AVERAGE('Assumptions (Coal)'!$Y$2:$AD$2)/10^9,0)</f>
        <v>0.03977457892</v>
      </c>
      <c r="AH219" s="160">
        <f>IF($AF$18&gt;0,'Assumptions (Coal)'!X11*Model!$AF$18*AVERAGE('Assumptions (Coal)'!$Y$2:$AD$2)/10^9,0)</f>
        <v>0.03678831742</v>
      </c>
      <c r="AI219" s="160">
        <f>IF($AF$18&gt;0,'Assumptions (Coal)'!Y11*Model!$AF$18*AVERAGE('Assumptions (Coal)'!$Y$2:$AD$2)/10^9,0)</f>
        <v>0.03403346363</v>
      </c>
      <c r="AJ219" s="160">
        <f>IF($AF$18&gt;0,'Assumptions (Coal)'!Z11*Model!$AF$18*AVERAGE('Assumptions (Coal)'!$Y$2:$AD$2)/10^9,0)</f>
        <v>0.03147695932</v>
      </c>
      <c r="AK219" s="160">
        <f>IF($AF$18&gt;0,'Assumptions (Coal)'!AA11*Model!$AF$18*AVERAGE('Assumptions (Coal)'!$Y$2:$AD$2)/10^9,0)</f>
        <v>0.02911880449</v>
      </c>
      <c r="AL219" s="160">
        <f>IF($AF$18&gt;0,'Assumptions (Coal)'!AB11*Model!$AF$18*AVERAGE('Assumptions (Coal)'!$Y$2:$AD$2)/10^9,0)</f>
        <v>0.02693145058</v>
      </c>
      <c r="AM219" s="160">
        <f>IF($AF$18&gt;0,'Assumptions (Coal)'!AC11*Model!$AF$18*AVERAGE('Assumptions (Coal)'!$Y$2:$AD$2)/10^9,0)</f>
        <v>0.02491489761</v>
      </c>
      <c r="AN219" s="160">
        <f>IF($AF$18&gt;0,'Assumptions (Coal)'!AD11*Model!$AF$18*AVERAGE('Assumptions (Coal)'!$Y$2:$AD$2)/10^9,0)</f>
        <v>0.02458431516</v>
      </c>
      <c r="AO219" s="160">
        <f>IF($AF$18&gt;0,'Assumptions (Coal)'!AE11*Model!$AF$18*AVERAGE('Assumptions (Coal)'!$Y$2:$AD$2)/10^9,0)</f>
        <v>0.02457880545</v>
      </c>
      <c r="AP219" s="160">
        <f>IF($AF$18&gt;0,'Assumptions (Coal)'!AF11*Model!$AF$18*AVERAGE('Assumptions (Coal)'!$Y$2:$AD$2)/10^9,0)</f>
        <v>0.02458431516</v>
      </c>
      <c r="AQ219" s="160">
        <f>IF($AF$18&gt;0,'Assumptions (Coal)'!AG11*Model!$AF$18*AVERAGE('Assumptions (Coal)'!$Y$2:$AD$2)/10^9,0)</f>
        <v>0.02457880545</v>
      </c>
      <c r="AR219" s="160">
        <f>IF($AF$18&gt;0,'Assumptions (Coal)'!AH11*Model!$AF$18*AVERAGE('Assumptions (Coal)'!$Y$2:$AD$2)/10^9,0)</f>
        <v>0.02458431516</v>
      </c>
      <c r="AS219" s="160">
        <f>IF($AF$18&gt;0,'Assumptions (Coal)'!AI11*Model!$AF$18*AVERAGE('Assumptions (Coal)'!$Y$2:$AD$2)/10^9,0)</f>
        <v>0.02457880545</v>
      </c>
      <c r="AT219" s="160">
        <f>IF($AF$18&gt;0,'Assumptions (Coal)'!AJ11*Model!$AF$18*AVERAGE('Assumptions (Coal)'!$Y$2:$AD$2)/10^9,0)</f>
        <v>0.02458431516</v>
      </c>
      <c r="AU219" s="160">
        <f>IF($AF$18&gt;0,'Assumptions (Coal)'!AK11*Model!$AF$18*AVERAGE('Assumptions (Coal)'!$Y$2:$AD$2)/10^9,0)</f>
        <v>0.02457880545</v>
      </c>
      <c r="AV219" s="160">
        <f>IF($AF$18&gt;0,'Assumptions (Coal)'!AL11*Model!$AF$18*AVERAGE('Assumptions (Coal)'!$Y$2:$AD$2)/10^9,0)</f>
        <v>0.02458431516</v>
      </c>
      <c r="AW219" s="160">
        <f>IF($AF$18&gt;0,'Assumptions (Coal)'!AM11*Model!$AF$18*AVERAGE('Assumptions (Coal)'!$Y$2:$AD$2)/10^9,0)</f>
        <v>0.02457880545</v>
      </c>
      <c r="AX219" s="160">
        <f>IF($AF$18&gt;0,'Assumptions (Coal)'!AN11*Model!$AF$18*AVERAGE('Assumptions (Coal)'!$Y$2:$AD$2)/10^9,0)</f>
        <v>0.02458431516</v>
      </c>
      <c r="AY219" s="160">
        <f>IF($AF$18&gt;0,'Assumptions (Coal)'!AO11*Model!$AF$18*AVERAGE('Assumptions (Coal)'!$Y$2:$AD$2)/10^9,0)</f>
        <v>0.02457880545</v>
      </c>
      <c r="AZ219" s="160">
        <f>IF($AF$18&gt;0,'Assumptions (Coal)'!AP11*Model!$AF$18*AVERAGE('Assumptions (Coal)'!$Y$2:$AD$2)/10^9,0)</f>
        <v>0.01229215758</v>
      </c>
      <c r="BA219" s="160"/>
      <c r="BB219" s="160"/>
      <c r="BC219" s="160"/>
      <c r="BD219" s="160"/>
    </row>
    <row r="220" ht="15.75" hidden="1" customHeight="1" outlineLevel="1">
      <c r="A220" s="158"/>
      <c r="B220" s="38"/>
      <c r="C220" s="174"/>
      <c r="D220" s="174"/>
      <c r="E220" s="174"/>
      <c r="F220" s="174"/>
      <c r="G220" s="174"/>
      <c r="H220" s="174"/>
      <c r="I220" s="174"/>
      <c r="J220" s="174"/>
      <c r="K220" s="174"/>
      <c r="L220" s="174"/>
      <c r="M220" s="174"/>
      <c r="N220" s="174"/>
      <c r="O220" s="174"/>
      <c r="P220" s="174"/>
      <c r="Q220" s="174"/>
      <c r="R220" s="174"/>
      <c r="S220" s="174"/>
      <c r="T220" s="174"/>
      <c r="U220" s="174"/>
      <c r="V220" s="174"/>
      <c r="W220" s="160"/>
      <c r="X220" s="160"/>
      <c r="Y220" s="160"/>
      <c r="Z220" s="160"/>
      <c r="AA220" s="160"/>
      <c r="AB220" s="160"/>
      <c r="AC220" s="160"/>
      <c r="AD220" s="160"/>
      <c r="AE220" s="160"/>
      <c r="AF220" s="160"/>
      <c r="AG220" s="160">
        <f>IF($AG$18&gt;0,'Assumptions (Coal)'!V11*Model!$AG$18*AVERAGE('Assumptions (Coal)'!$Z$2:$AE$2)/10^9,0)</f>
        <v>0.2538083092</v>
      </c>
      <c r="AH220" s="160">
        <f>IF($AG$18&gt;0,'Assumptions (Coal)'!W11*Model!$AG$18*AVERAGE('Assumptions (Coal)'!$Z$2:$AE$2)/10^9,0)</f>
        <v>0.4885979157</v>
      </c>
      <c r="AI220" s="160">
        <f>IF($AG$18&gt;0,'Assumptions (Coal)'!X11*Model!$AG$18*AVERAGE('Assumptions (Coal)'!$Z$2:$AE$2)/10^9,0)</f>
        <v>0.4519141548</v>
      </c>
      <c r="AJ220" s="160">
        <f>IF($AG$18&gt;0,'Assumptions (Coal)'!Y11*Model!$AG$18*AVERAGE('Assumptions (Coal)'!$Z$2:$AE$2)/10^9,0)</f>
        <v>0.4180730469</v>
      </c>
      <c r="AK220" s="160">
        <f>IF($AG$18&gt;0,'Assumptions (Coal)'!Z11*Model!$AG$18*AVERAGE('Assumptions (Coal)'!$Z$2:$AE$2)/10^9,0)</f>
        <v>0.3866684988</v>
      </c>
      <c r="AL220" s="160">
        <f>IF($AG$18&gt;0,'Assumptions (Coal)'!AA11*Model!$AG$18*AVERAGE('Assumptions (Coal)'!$Z$2:$AE$2)/10^9,0)</f>
        <v>0.3577005104</v>
      </c>
      <c r="AM220" s="160">
        <f>IF($AG$18&gt;0,'Assumptions (Coal)'!AB11*Model!$AG$18*AVERAGE('Assumptions (Coal)'!$Z$2:$AE$2)/10^9,0)</f>
        <v>0.3308306708</v>
      </c>
      <c r="AN220" s="160">
        <f>IF($AG$18&gt;0,'Assumptions (Coal)'!AC11*Model!$AG$18*AVERAGE('Assumptions (Coal)'!$Z$2:$AE$2)/10^9,0)</f>
        <v>0.3060589798</v>
      </c>
      <c r="AO220" s="160">
        <f>IF($AG$18&gt;0,'Assumptions (Coal)'!AD11*Model!$AG$18*AVERAGE('Assumptions (Coal)'!$Z$2:$AE$2)/10^9,0)</f>
        <v>0.3019980468</v>
      </c>
      <c r="AP220" s="160">
        <f>IF($AG$18&gt;0,'Assumptions (Coal)'!AE11*Model!$AG$18*AVERAGE('Assumptions (Coal)'!$Z$2:$AE$2)/10^9,0)</f>
        <v>0.3019303646</v>
      </c>
      <c r="AQ220" s="160">
        <f>IF($AG$18&gt;0,'Assumptions (Coal)'!AF11*Model!$AG$18*AVERAGE('Assumptions (Coal)'!$Z$2:$AE$2)/10^9,0)</f>
        <v>0.3019980468</v>
      </c>
      <c r="AR220" s="160">
        <f>IF($AG$18&gt;0,'Assumptions (Coal)'!AG11*Model!$AG$18*AVERAGE('Assumptions (Coal)'!$Z$2:$AE$2)/10^9,0)</f>
        <v>0.3019303646</v>
      </c>
      <c r="AS220" s="160">
        <f>IF($AG$18&gt;0,'Assumptions (Coal)'!AH11*Model!$AG$18*AVERAGE('Assumptions (Coal)'!$Z$2:$AE$2)/10^9,0)</f>
        <v>0.3019980468</v>
      </c>
      <c r="AT220" s="160">
        <f>IF($AG$18&gt;0,'Assumptions (Coal)'!AI11*Model!$AG$18*AVERAGE('Assumptions (Coal)'!$Z$2:$AE$2)/10^9,0)</f>
        <v>0.3019303646</v>
      </c>
      <c r="AU220" s="160">
        <f>IF($AG$18&gt;0,'Assumptions (Coal)'!AJ11*Model!$AG$18*AVERAGE('Assumptions (Coal)'!$Z$2:$AE$2)/10^9,0)</f>
        <v>0.3019980468</v>
      </c>
      <c r="AV220" s="160">
        <f>IF($AG$18&gt;0,'Assumptions (Coal)'!AK11*Model!$AG$18*AVERAGE('Assumptions (Coal)'!$Z$2:$AE$2)/10^9,0)</f>
        <v>0.3019303646</v>
      </c>
      <c r="AW220" s="160">
        <f>IF($AG$18&gt;0,'Assumptions (Coal)'!AL11*Model!$AG$18*AVERAGE('Assumptions (Coal)'!$Z$2:$AE$2)/10^9,0)</f>
        <v>0.3019980468</v>
      </c>
      <c r="AX220" s="160">
        <f>IF($AG$18&gt;0,'Assumptions (Coal)'!AM11*Model!$AG$18*AVERAGE('Assumptions (Coal)'!$Z$2:$AE$2)/10^9,0)</f>
        <v>0.3019303646</v>
      </c>
      <c r="AY220" s="160">
        <f>IF($AG$18&gt;0,'Assumptions (Coal)'!AN11*Model!$AG$18*AVERAGE('Assumptions (Coal)'!$Z$2:$AE$2)/10^9,0)</f>
        <v>0.3019980468</v>
      </c>
      <c r="AZ220" s="160">
        <f>IF($AG$18&gt;0,'Assumptions (Coal)'!AO11*Model!$AG$18*AVERAGE('Assumptions (Coal)'!$Z$2:$AE$2)/10^9,0)</f>
        <v>0.3019303646</v>
      </c>
      <c r="BA220" s="160">
        <f>IF($AG$18&gt;0,'Assumptions (Coal)'!AP11*Model!$AG$18*AVERAGE('Assumptions (Coal)'!$Z$2:$AE$2)/10^9,0)</f>
        <v>0.1509990234</v>
      </c>
      <c r="BB220" s="160"/>
      <c r="BC220" s="160"/>
      <c r="BD220" s="160"/>
      <c r="BE220" s="160"/>
    </row>
    <row r="221" ht="15.75" hidden="1" customHeight="1" outlineLevel="1">
      <c r="A221" s="158"/>
      <c r="B221" s="38"/>
      <c r="C221" s="174"/>
      <c r="D221" s="174"/>
      <c r="E221" s="174"/>
      <c r="F221" s="174"/>
      <c r="G221" s="174"/>
      <c r="H221" s="174"/>
      <c r="I221" s="174"/>
      <c r="J221" s="174"/>
      <c r="K221" s="174"/>
      <c r="L221" s="174"/>
      <c r="M221" s="174"/>
      <c r="N221" s="174"/>
      <c r="O221" s="174"/>
      <c r="P221" s="174"/>
      <c r="Q221" s="174"/>
      <c r="R221" s="174"/>
      <c r="S221" s="174"/>
      <c r="T221" s="174"/>
      <c r="U221" s="174"/>
      <c r="V221" s="174"/>
      <c r="W221" s="160"/>
      <c r="X221" s="160"/>
      <c r="Y221" s="160"/>
      <c r="Z221" s="160"/>
      <c r="AA221" s="160"/>
      <c r="AB221" s="160"/>
      <c r="AC221" s="160"/>
      <c r="AD221" s="160"/>
      <c r="AE221" s="160"/>
      <c r="AF221" s="160"/>
      <c r="AG221" s="160"/>
      <c r="AH221" s="160">
        <f>IF($AH$18&gt;0,'Assumptions (Coal)'!V11*Model!$AH$18*AVERAGE('Assumptions (Coal)'!$AA$2:$AF$2)/10^9,0)</f>
        <v>0</v>
      </c>
      <c r="AI221" s="160">
        <f>IF($AH$18&gt;0,'Assumptions (Coal)'!W11*Model!$AH$18*AVERAGE('Assumptions (Coal)'!$AA$2:$AF$2)/10^9,0)</f>
        <v>0</v>
      </c>
      <c r="AJ221" s="160">
        <f>IF($AH$18&gt;0,'Assumptions (Coal)'!X11*Model!$AH$18*AVERAGE('Assumptions (Coal)'!$AA$2:$AF$2)/10^9,0)</f>
        <v>0</v>
      </c>
      <c r="AK221" s="160">
        <f>IF($AH$18&gt;0,'Assumptions (Coal)'!Y11*Model!$AH$18*AVERAGE('Assumptions (Coal)'!$AA$2:$AF$2)/10^9,0)</f>
        <v>0</v>
      </c>
      <c r="AL221" s="160">
        <f>IF($AH$18&gt;0,'Assumptions (Coal)'!Z11*Model!$AH$18*AVERAGE('Assumptions (Coal)'!$AA$2:$AF$2)/10^9,0)</f>
        <v>0</v>
      </c>
      <c r="AM221" s="160">
        <f>IF($AH$18&gt;0,'Assumptions (Coal)'!AA11*Model!$AH$18*AVERAGE('Assumptions (Coal)'!$AA$2:$AF$2)/10^9,0)</f>
        <v>0</v>
      </c>
      <c r="AN221" s="160">
        <f>IF($AH$18&gt;0,'Assumptions (Coal)'!AB11*Model!$AH$18*AVERAGE('Assumptions (Coal)'!$AA$2:$AF$2)/10^9,0)</f>
        <v>0</v>
      </c>
      <c r="AO221" s="160">
        <f>IF($AH$18&gt;0,'Assumptions (Coal)'!AC11*Model!$AH$18*AVERAGE('Assumptions (Coal)'!$AA$2:$AF$2)/10^9,0)</f>
        <v>0</v>
      </c>
      <c r="AP221" s="160">
        <f>IF($AH$18&gt;0,'Assumptions (Coal)'!AD11*Model!$AH$18*AVERAGE('Assumptions (Coal)'!$AA$2:$AF$2)/10^9,0)</f>
        <v>0</v>
      </c>
      <c r="AQ221" s="160">
        <f>IF($AH$18&gt;0,'Assumptions (Coal)'!AE11*Model!$AH$18*AVERAGE('Assumptions (Coal)'!$AA$2:$AF$2)/10^9,0)</f>
        <v>0</v>
      </c>
      <c r="AR221" s="160">
        <f>IF($AH$18&gt;0,'Assumptions (Coal)'!AF11*Model!$AH$18*AVERAGE('Assumptions (Coal)'!$AA$2:$AF$2)/10^9,0)</f>
        <v>0</v>
      </c>
      <c r="AS221" s="160">
        <f>IF($AH$18&gt;0,'Assumptions (Coal)'!AG11*Model!$AH$18*AVERAGE('Assumptions (Coal)'!$AA$2:$AF$2)/10^9,0)</f>
        <v>0</v>
      </c>
      <c r="AT221" s="160">
        <f>IF($AH$18&gt;0,'Assumptions (Coal)'!AH11*Model!$AH$18*AVERAGE('Assumptions (Coal)'!$AA$2:$AF$2)/10^9,0)</f>
        <v>0</v>
      </c>
      <c r="AU221" s="160">
        <f>IF($AH$18&gt;0,'Assumptions (Coal)'!AI11*Model!$AH$18*AVERAGE('Assumptions (Coal)'!$AA$2:$AF$2)/10^9,0)</f>
        <v>0</v>
      </c>
      <c r="AV221" s="160">
        <f>IF($AH$18&gt;0,'Assumptions (Coal)'!AJ11*Model!$AH$18*AVERAGE('Assumptions (Coal)'!$AA$2:$AF$2)/10^9,0)</f>
        <v>0</v>
      </c>
      <c r="AW221" s="160">
        <f>IF($AH$18&gt;0,'Assumptions (Coal)'!AK11*Model!$AH$18*AVERAGE('Assumptions (Coal)'!$AA$2:$AF$2)/10^9,0)</f>
        <v>0</v>
      </c>
      <c r="AX221" s="160">
        <f>IF($AH$18&gt;0,'Assumptions (Coal)'!AL11*Model!$AH$18*AVERAGE('Assumptions (Coal)'!$AA$2:$AF$2)/10^9,0)</f>
        <v>0</v>
      </c>
      <c r="AY221" s="160">
        <f>IF($AH$18&gt;0,'Assumptions (Coal)'!AM11*Model!$AH$18*AVERAGE('Assumptions (Coal)'!$AA$2:$AF$2)/10^9,0)</f>
        <v>0</v>
      </c>
      <c r="AZ221" s="160">
        <f>IF($AH$18&gt;0,'Assumptions (Coal)'!AN11*Model!$AH$18*AVERAGE('Assumptions (Coal)'!$AA$2:$AF$2)/10^9,0)</f>
        <v>0</v>
      </c>
      <c r="BA221" s="160">
        <f>IF($AH$18&gt;0,'Assumptions (Coal)'!AO11*Model!$AH$18*AVERAGE('Assumptions (Coal)'!$AA$2:$AF$2)/10^9,0)</f>
        <v>0</v>
      </c>
      <c r="BB221" s="160">
        <f>IF($AH$18&gt;0,'Assumptions (Coal)'!AP11*Model!$AH$18*AVERAGE('Assumptions (Coal)'!$AA$2:$AF$2)/10^9,0)</f>
        <v>0</v>
      </c>
      <c r="BC221" s="160"/>
      <c r="BD221" s="160"/>
      <c r="BE221" s="160"/>
      <c r="BF221" s="160"/>
    </row>
    <row r="222" ht="15.75" hidden="1" customHeight="1" outlineLevel="1">
      <c r="A222" s="158"/>
      <c r="B222" s="38"/>
      <c r="C222" s="174"/>
      <c r="D222" s="174"/>
      <c r="E222" s="174"/>
      <c r="F222" s="174"/>
      <c r="G222" s="174"/>
      <c r="H222" s="174"/>
      <c r="I222" s="174"/>
      <c r="J222" s="174"/>
      <c r="K222" s="174"/>
      <c r="L222" s="174"/>
      <c r="M222" s="174"/>
      <c r="N222" s="174"/>
      <c r="O222" s="174"/>
      <c r="P222" s="174"/>
      <c r="Q222" s="174"/>
      <c r="R222" s="174"/>
      <c r="S222" s="174"/>
      <c r="T222" s="174"/>
      <c r="U222" s="174"/>
      <c r="V222" s="174"/>
      <c r="W222" s="160"/>
      <c r="X222" s="160"/>
      <c r="Y222" s="160"/>
      <c r="Z222" s="160"/>
      <c r="AA222" s="160"/>
      <c r="AB222" s="160"/>
      <c r="AC222" s="160"/>
      <c r="AD222" s="160"/>
      <c r="AE222" s="160"/>
      <c r="AF222" s="160"/>
      <c r="AG222" s="160"/>
      <c r="AH222" s="160"/>
      <c r="AI222" s="160">
        <f>IF($AI$18&gt;0,'Assumptions (Coal)'!V11*Model!$AI$18*AVERAGE('Assumptions (Coal)'!$AB$2:$AG$2)/10^9,0)</f>
        <v>0</v>
      </c>
      <c r="AJ222" s="160">
        <f>IF($AI$18&gt;0,'Assumptions (Coal)'!W11*Model!$AI$18*AVERAGE('Assumptions (Coal)'!$AB$2:$AG$2)/10^9,0)</f>
        <v>0</v>
      </c>
      <c r="AK222" s="160">
        <f>IF($AI$18&gt;0,'Assumptions (Coal)'!X11*Model!$AI$18*AVERAGE('Assumptions (Coal)'!$AB$2:$AG$2)/10^9,0)</f>
        <v>0</v>
      </c>
      <c r="AL222" s="160">
        <f>IF($AI$18&gt;0,'Assumptions (Coal)'!Y11*Model!$AI$18*AVERAGE('Assumptions (Coal)'!$AB$2:$AG$2)/10^9,0)</f>
        <v>0</v>
      </c>
      <c r="AM222" s="160">
        <f>IF($AI$18&gt;0,'Assumptions (Coal)'!Z11*Model!$AI$18*AVERAGE('Assumptions (Coal)'!$AB$2:$AG$2)/10^9,0)</f>
        <v>0</v>
      </c>
      <c r="AN222" s="160">
        <f>IF($AI$18&gt;0,'Assumptions (Coal)'!AA11*Model!$AI$18*AVERAGE('Assumptions (Coal)'!$AB$2:$AG$2)/10^9,0)</f>
        <v>0</v>
      </c>
      <c r="AO222" s="160">
        <f>IF($AI$18&gt;0,'Assumptions (Coal)'!AB11*Model!$AI$18*AVERAGE('Assumptions (Coal)'!$AB$2:$AG$2)/10^9,0)</f>
        <v>0</v>
      </c>
      <c r="AP222" s="160">
        <f>IF($AI$18&gt;0,'Assumptions (Coal)'!AC11*Model!$AI$18*AVERAGE('Assumptions (Coal)'!$AB$2:$AG$2)/10^9,0)</f>
        <v>0</v>
      </c>
      <c r="AQ222" s="160">
        <f>IF($AI$18&gt;0,'Assumptions (Coal)'!AD11*Model!$AI$18*AVERAGE('Assumptions (Coal)'!$AB$2:$AG$2)/10^9,0)</f>
        <v>0</v>
      </c>
      <c r="AR222" s="160">
        <f>IF($AI$18&gt;0,'Assumptions (Coal)'!AE11*Model!$AI$18*AVERAGE('Assumptions (Coal)'!$AB$2:$AG$2)/10^9,0)</f>
        <v>0</v>
      </c>
      <c r="AS222" s="160">
        <f>IF($AI$18&gt;0,'Assumptions (Coal)'!AF11*Model!$AI$18*AVERAGE('Assumptions (Coal)'!$AB$2:$AG$2)/10^9,0)</f>
        <v>0</v>
      </c>
      <c r="AT222" s="160">
        <f>IF($AI$18&gt;0,'Assumptions (Coal)'!AG11*Model!$AI$18*AVERAGE('Assumptions (Coal)'!$AB$2:$AG$2)/10^9,0)</f>
        <v>0</v>
      </c>
      <c r="AU222" s="160">
        <f>IF($AI$18&gt;0,'Assumptions (Coal)'!AH11*Model!$AI$18*AVERAGE('Assumptions (Coal)'!$AB$2:$AG$2)/10^9,0)</f>
        <v>0</v>
      </c>
      <c r="AV222" s="160">
        <f>IF($AI$18&gt;0,'Assumptions (Coal)'!AI11*Model!$AI$18*AVERAGE('Assumptions (Coal)'!$AB$2:$AG$2)/10^9,0)</f>
        <v>0</v>
      </c>
      <c r="AW222" s="160">
        <f>IF($AI$18&gt;0,'Assumptions (Coal)'!AJ11*Model!$AI$18*AVERAGE('Assumptions (Coal)'!$AB$2:$AG$2)/10^9,0)</f>
        <v>0</v>
      </c>
      <c r="AX222" s="160">
        <f>IF($AI$18&gt;0,'Assumptions (Coal)'!AK11*Model!$AI$18*AVERAGE('Assumptions (Coal)'!$AB$2:$AG$2)/10^9,0)</f>
        <v>0</v>
      </c>
      <c r="AY222" s="160">
        <f>IF($AI$18&gt;0,'Assumptions (Coal)'!AL11*Model!$AI$18*AVERAGE('Assumptions (Coal)'!$AB$2:$AG$2)/10^9,0)</f>
        <v>0</v>
      </c>
      <c r="AZ222" s="160">
        <f>IF($AI$18&gt;0,'Assumptions (Coal)'!AM11*Model!$AI$18*AVERAGE('Assumptions (Coal)'!$AB$2:$AG$2)/10^9,0)</f>
        <v>0</v>
      </c>
      <c r="BA222" s="160">
        <f>IF($AI$18&gt;0,'Assumptions (Coal)'!AN11*Model!$AI$18*AVERAGE('Assumptions (Coal)'!$AB$2:$AG$2)/10^9,0)</f>
        <v>0</v>
      </c>
      <c r="BB222" s="160">
        <f>IF($AI$18&gt;0,'Assumptions (Coal)'!AO11*Model!$AI$18*AVERAGE('Assumptions (Coal)'!$AB$2:$AG$2)/10^9,0)</f>
        <v>0</v>
      </c>
      <c r="BC222" s="160">
        <f>IF($AI$18&gt;0,'Assumptions (Coal)'!AP11*Model!$AI$18*AVERAGE('Assumptions (Coal)'!$AB$2:$AG$2)/10^9,0)</f>
        <v>0</v>
      </c>
      <c r="BD222" s="160"/>
      <c r="BE222" s="160"/>
      <c r="BF222" s="160"/>
      <c r="BG222" s="160"/>
    </row>
    <row r="223" ht="15.75" hidden="1" customHeight="1" outlineLevel="1">
      <c r="A223" s="158"/>
      <c r="B223" s="38"/>
      <c r="C223" s="174"/>
      <c r="D223" s="174"/>
      <c r="E223" s="174"/>
      <c r="F223" s="174"/>
      <c r="G223" s="174"/>
      <c r="H223" s="174"/>
      <c r="I223" s="174"/>
      <c r="J223" s="174"/>
      <c r="K223" s="174"/>
      <c r="L223" s="174"/>
      <c r="M223" s="174"/>
      <c r="N223" s="174"/>
      <c r="O223" s="174"/>
      <c r="P223" s="174"/>
      <c r="Q223" s="174"/>
      <c r="R223" s="174"/>
      <c r="S223" s="174"/>
      <c r="T223" s="174"/>
      <c r="U223" s="174"/>
      <c r="V223" s="174"/>
      <c r="W223" s="160"/>
      <c r="X223" s="160"/>
      <c r="Y223" s="160"/>
      <c r="Z223" s="160"/>
      <c r="AA223" s="160"/>
      <c r="AB223" s="177"/>
      <c r="AC223" s="160"/>
      <c r="AD223" s="160"/>
      <c r="AE223" s="160"/>
      <c r="AF223" s="160"/>
      <c r="AG223" s="160"/>
      <c r="AH223" s="160"/>
      <c r="AI223" s="160"/>
      <c r="AJ223" s="177">
        <f>IF($AJ$18&gt;0,'Assumptions (Coal)'!V11*Model!$AJ$18*AVERAGE('Assumptions (Coal)'!$AC$2:$AH$2)/10^9,0)</f>
        <v>0.008945865617</v>
      </c>
      <c r="AK223" s="160">
        <f>IF($AJ$18&gt;0,'Assumptions (Coal)'!W11*Model!$AJ$18*AVERAGE('Assumptions (Coal)'!$AC$2:$AH$2)/10^9,0)</f>
        <v>0.0172213877</v>
      </c>
      <c r="AL223" s="177">
        <f>IF($AJ$18&gt;0,'Assumptions (Coal)'!X11*Model!$AJ$18*AVERAGE('Assumptions (Coal)'!$AC$2:$AH$2)/10^9,0)</f>
        <v>0.01592841193</v>
      </c>
      <c r="AM223" s="177">
        <f>IF($AJ$18&gt;0,'Assumptions (Coal)'!Y11*Model!$AJ$18*AVERAGE('Assumptions (Coal)'!$AC$2:$AH$2)/10^9,0)</f>
        <v>0.01473562984</v>
      </c>
      <c r="AN223" s="177">
        <f>IF($AJ$18&gt;0,'Assumptions (Coal)'!Z11*Model!$AJ$18*AVERAGE('Assumptions (Coal)'!$AC$2:$AH$2)/10^9,0)</f>
        <v>0.01362872807</v>
      </c>
      <c r="AO223" s="177">
        <f>IF($AJ$18&gt;0,'Assumptions (Coal)'!AA11*Model!$AJ$18*AVERAGE('Assumptions (Coal)'!$AC$2:$AH$2)/10^9,0)</f>
        <v>0.01260770661</v>
      </c>
      <c r="AP223" s="177">
        <f>IF($AJ$18&gt;0,'Assumptions (Coal)'!AB11*Model!$AJ$18*AVERAGE('Assumptions (Coal)'!$AC$2:$AH$2)/10^9,0)</f>
        <v>0.01166063764</v>
      </c>
      <c r="AQ223" s="177">
        <f>IF($AJ$18&gt;0,'Assumptions (Coal)'!AC11*Model!$AJ$18*AVERAGE('Assumptions (Coal)'!$AC$2:$AH$2)/10^9,0)</f>
        <v>0.01078752115</v>
      </c>
      <c r="AR223" s="177">
        <f>IF($AJ$18&gt;0,'Assumptions (Coal)'!AD11*Model!$AJ$18*AVERAGE('Assumptions (Coal)'!$AC$2:$AH$2)/10^9,0)</f>
        <v>0.0106443873</v>
      </c>
      <c r="AS223" s="177">
        <f>IF($AJ$18&gt;0,'Assumptions (Coal)'!AE11*Model!$AJ$18*AVERAGE('Assumptions (Coal)'!$AC$2:$AH$2)/10^9,0)</f>
        <v>0.01064200174</v>
      </c>
      <c r="AT223" s="177">
        <f>IF($AJ$18&gt;0,'Assumptions (Coal)'!AF11*Model!$AJ$18*AVERAGE('Assumptions (Coal)'!$AC$2:$AH$2)/10^9,0)</f>
        <v>0.0106443873</v>
      </c>
      <c r="AU223" s="177">
        <f>IF($AJ$18&gt;0,'Assumptions (Coal)'!AG11*Model!$AJ$18*AVERAGE('Assumptions (Coal)'!$AC$2:$AH$2)/10^9,0)</f>
        <v>0.01064200174</v>
      </c>
      <c r="AV223" s="177">
        <f>IF($AJ$18&gt;0,'Assumptions (Coal)'!AH11*Model!$AJ$18*AVERAGE('Assumptions (Coal)'!$AC$2:$AH$2)/10^9,0)</f>
        <v>0.0106443873</v>
      </c>
      <c r="AW223" s="177">
        <f>IF($AJ$18&gt;0,'Assumptions (Coal)'!AI11*Model!$AJ$18*AVERAGE('Assumptions (Coal)'!$AC$2:$AH$2)/10^9,0)</f>
        <v>0.01064200174</v>
      </c>
      <c r="AX223" s="177">
        <f>IF($AJ$18&gt;0,'Assumptions (Coal)'!AJ11*Model!$AJ$18*AVERAGE('Assumptions (Coal)'!$AC$2:$AH$2)/10^9,0)</f>
        <v>0.0106443873</v>
      </c>
      <c r="AY223" s="177">
        <f>IF($AJ$18&gt;0,'Assumptions (Coal)'!AK11*Model!$AJ$18*AVERAGE('Assumptions (Coal)'!$AC$2:$AH$2)/10^9,0)</f>
        <v>0.01064200174</v>
      </c>
      <c r="AZ223" s="177">
        <f>IF($AJ$18&gt;0,'Assumptions (Coal)'!AL11*Model!$AJ$18*AVERAGE('Assumptions (Coal)'!$AC$2:$AH$2)/10^9,0)</f>
        <v>0.0106443873</v>
      </c>
      <c r="BA223" s="177">
        <f>IF($AJ$18&gt;0,'Assumptions (Coal)'!AM11*Model!$AJ$18*AVERAGE('Assumptions (Coal)'!$AC$2:$AH$2)/10^9,0)</f>
        <v>0.01064200174</v>
      </c>
      <c r="BB223" s="177">
        <f>IF($AJ$18&gt;0,'Assumptions (Coal)'!AN11*Model!$AJ$18*AVERAGE('Assumptions (Coal)'!$AC$2:$AH$2)/10^9,0)</f>
        <v>0.0106443873</v>
      </c>
      <c r="BC223" s="177">
        <f>IF($AJ$18&gt;0,'Assumptions (Coal)'!AO11*Model!$AJ$18*AVERAGE('Assumptions (Coal)'!$AC$2:$AH$2)/10^9,0)</f>
        <v>0.01064200174</v>
      </c>
      <c r="BD223" s="177">
        <f>IF($AJ$18&gt;0,'Assumptions (Coal)'!AP11*Model!$AJ$18*AVERAGE('Assumptions (Coal)'!$AC$2:$AH$2)/10^9,0)</f>
        <v>0.005322193651</v>
      </c>
      <c r="BE223" s="177"/>
      <c r="BF223" s="177"/>
      <c r="BG223" s="177"/>
      <c r="BH223" s="177"/>
    </row>
    <row r="224" ht="15.75" hidden="1" customHeight="1" outlineLevel="1">
      <c r="A224" s="158"/>
      <c r="B224" s="38"/>
      <c r="C224" s="174"/>
      <c r="D224" s="174"/>
      <c r="E224" s="174"/>
      <c r="F224" s="174"/>
      <c r="G224" s="174"/>
      <c r="H224" s="174"/>
      <c r="I224" s="174"/>
      <c r="J224" s="174"/>
      <c r="K224" s="174"/>
      <c r="L224" s="174"/>
      <c r="M224" s="174"/>
      <c r="N224" s="174"/>
      <c r="O224" s="174"/>
      <c r="P224" s="174"/>
      <c r="Q224" s="174"/>
      <c r="R224" s="174"/>
      <c r="S224" s="174"/>
      <c r="T224" s="174"/>
      <c r="U224" s="174"/>
      <c r="V224" s="174"/>
      <c r="W224" s="160"/>
      <c r="X224" s="160"/>
      <c r="Y224" s="160"/>
      <c r="Z224" s="160"/>
      <c r="AA224" s="160"/>
      <c r="AB224" s="160"/>
      <c r="AC224" s="160"/>
      <c r="AD224" s="160"/>
      <c r="AE224" s="160"/>
      <c r="AF224" s="160"/>
      <c r="AG224" s="160"/>
      <c r="AH224" s="160"/>
      <c r="AI224" s="160"/>
      <c r="AJ224" s="179"/>
      <c r="AK224" s="160">
        <f>IF($AK$18&gt;0,'Assumptions (Coal)'!V11*Model!$AK$18*AVERAGE('Assumptions (Coal)'!$AD$2:$AI$2)/10^9,0)</f>
        <v>0.03247433725</v>
      </c>
      <c r="AL224" s="177">
        <f>IF($AK$18&gt;0,'Assumptions (Coal)'!W11*Model!$AK$18*AVERAGE('Assumptions (Coal)'!$AD$2:$AI$2)/10^9,0)</f>
        <v>0.06251526416</v>
      </c>
      <c r="AM224" s="177">
        <f>IF($AK$18&gt;0,'Assumptions (Coal)'!X11*Model!$AK$18*AVERAGE('Assumptions (Coal)'!$AD$2:$AI$2)/10^9,0)</f>
        <v>0.05782163995</v>
      </c>
      <c r="AN224" s="177">
        <f>IF($AK$18&gt;0,'Assumptions (Coal)'!Y11*Model!$AK$18*AVERAGE('Assumptions (Coal)'!$AD$2:$AI$2)/10^9,0)</f>
        <v>0.05349172832</v>
      </c>
      <c r="AO224" s="177">
        <f>IF($AK$18&gt;0,'Assumptions (Coal)'!Z11*Model!$AK$18*AVERAGE('Assumptions (Coal)'!$AD$2:$AI$2)/10^9,0)</f>
        <v>0.04947357032</v>
      </c>
      <c r="AP224" s="177">
        <f>IF($AK$18&gt;0,'Assumptions (Coal)'!AA11*Model!$AK$18*AVERAGE('Assumptions (Coal)'!$AD$2:$AI$2)/10^9,0)</f>
        <v>0.04576716596</v>
      </c>
      <c r="AQ224" s="177">
        <f>IF($AK$18&gt;0,'Assumptions (Coal)'!AB11*Model!$AK$18*AVERAGE('Assumptions (Coal)'!$AD$2:$AI$2)/10^9,0)</f>
        <v>0.04232921613</v>
      </c>
      <c r="AR224" s="177">
        <f>IF($AK$18&gt;0,'Assumptions (Coal)'!AC11*Model!$AK$18*AVERAGE('Assumptions (Coal)'!$AD$2:$AI$2)/10^9,0)</f>
        <v>0.03915972081</v>
      </c>
      <c r="AS224" s="177">
        <f>IF($AK$18&gt;0,'Assumptions (Coal)'!AD11*Model!$AK$18*AVERAGE('Assumptions (Coal)'!$AD$2:$AI$2)/10^9,0)</f>
        <v>0.03864013141</v>
      </c>
      <c r="AT224" s="177">
        <f>IF($AK$18&gt;0,'Assumptions (Coal)'!AE11*Model!$AK$18*AVERAGE('Assumptions (Coal)'!$AD$2:$AI$2)/10^9,0)</f>
        <v>0.03863147159</v>
      </c>
      <c r="AU224" s="177">
        <f>IF($AK$18&gt;0,'Assumptions (Coal)'!AF11*Model!$AK$18*AVERAGE('Assumptions (Coal)'!$AD$2:$AI$2)/10^9,0)</f>
        <v>0.03864013141</v>
      </c>
      <c r="AV224" s="177">
        <f>IF($AK$18&gt;0,'Assumptions (Coal)'!AG11*Model!$AK$18*AVERAGE('Assumptions (Coal)'!$AD$2:$AI$2)/10^9,0)</f>
        <v>0.03863147159</v>
      </c>
      <c r="AW224" s="177">
        <f>IF($AK$18&gt;0,'Assumptions (Coal)'!AH11*Model!$AK$18*AVERAGE('Assumptions (Coal)'!$AD$2:$AI$2)/10^9,0)</f>
        <v>0.03864013141</v>
      </c>
      <c r="AX224" s="177">
        <f>IF($AK$18&gt;0,'Assumptions (Coal)'!AI11*Model!$AK$18*AVERAGE('Assumptions (Coal)'!$AD$2:$AI$2)/10^9,0)</f>
        <v>0.03863147159</v>
      </c>
      <c r="AY224" s="177">
        <f>IF($AK$18&gt;0,'Assumptions (Coal)'!AJ11*Model!$AK$18*AVERAGE('Assumptions (Coal)'!$AD$2:$AI$2)/10^9,0)</f>
        <v>0.03864013141</v>
      </c>
      <c r="AZ224" s="177">
        <f>IF($AK$18&gt;0,'Assumptions (Coal)'!AK11*Model!$AK$18*AVERAGE('Assumptions (Coal)'!$AD$2:$AI$2)/10^9,0)</f>
        <v>0.03863147159</v>
      </c>
      <c r="BA224" s="177">
        <f>IF($AK$18&gt;0,'Assumptions (Coal)'!AL11*Model!$AK$18*AVERAGE('Assumptions (Coal)'!$AD$2:$AI$2)/10^9,0)</f>
        <v>0.03864013141</v>
      </c>
      <c r="BB224" s="177">
        <f>IF($AK$18&gt;0,'Assumptions (Coal)'!AM11*Model!$AK$18*AVERAGE('Assumptions (Coal)'!$AD$2:$AI$2)/10^9,0)</f>
        <v>0.03863147159</v>
      </c>
      <c r="BC224" s="177">
        <f>IF($AK$18&gt;0,'Assumptions (Coal)'!AN11*Model!$AK$18*AVERAGE('Assumptions (Coal)'!$AD$2:$AI$2)/10^9,0)</f>
        <v>0.03864013141</v>
      </c>
      <c r="BD224" s="177">
        <f>IF($AK$18&gt;0,'Assumptions (Coal)'!AO11*Model!$AK$18*AVERAGE('Assumptions (Coal)'!$AD$2:$AI$2)/10^9,0)</f>
        <v>0.03863147159</v>
      </c>
      <c r="BE224" s="177">
        <f>IF($AK$18&gt;0,'Assumptions (Coal)'!AP11*Model!$AK$18*AVERAGE('Assumptions (Coal)'!$AD$2:$AI$2)/10^9,0)</f>
        <v>0.01932006571</v>
      </c>
      <c r="BF224" s="177"/>
      <c r="BG224" s="177"/>
      <c r="BH224" s="177"/>
      <c r="BI224" s="177"/>
    </row>
    <row r="225" ht="15.75" hidden="1" customHeight="1" outlineLevel="1">
      <c r="A225" s="158"/>
      <c r="B225" s="38"/>
      <c r="C225" s="174"/>
      <c r="D225" s="174"/>
      <c r="E225" s="174"/>
      <c r="F225" s="174"/>
      <c r="G225" s="174"/>
      <c r="H225" s="174"/>
      <c r="I225" s="174"/>
      <c r="J225" s="174"/>
      <c r="K225" s="174"/>
      <c r="L225" s="174"/>
      <c r="M225" s="174"/>
      <c r="N225" s="174"/>
      <c r="O225" s="174"/>
      <c r="P225" s="174"/>
      <c r="Q225" s="174"/>
      <c r="R225" s="174"/>
      <c r="S225" s="174"/>
      <c r="T225" s="174"/>
      <c r="U225" s="174"/>
      <c r="V225" s="174"/>
      <c r="W225" s="160"/>
      <c r="X225" s="160"/>
      <c r="Y225" s="160"/>
      <c r="Z225" s="160"/>
      <c r="AA225" s="160"/>
      <c r="AB225" s="160"/>
      <c r="AC225" s="160"/>
      <c r="AD225" s="160"/>
      <c r="AE225" s="160"/>
      <c r="AF225" s="160"/>
      <c r="AG225" s="160"/>
      <c r="AH225" s="160"/>
      <c r="AI225" s="160"/>
      <c r="AJ225" s="179"/>
      <c r="AK225" s="160"/>
      <c r="AL225" s="177">
        <f>IF($AL$18&gt;0,'Assumptions (Coal)'!V11*Model!$AL$18*AVERAGE('Assumptions (Coal)'!$AE$2:$AJ$2)/10^9,0)</f>
        <v>0</v>
      </c>
      <c r="AM225" s="177">
        <f>IF($AL$18&gt;0,'Assumptions (Coal)'!W11*Model!$AL$18*AVERAGE('Assumptions (Coal)'!$AE$2:$AJ$2)/10^9,0)</f>
        <v>0</v>
      </c>
      <c r="AN225" s="177">
        <f>IF($AL$18&gt;0,'Assumptions (Coal)'!X11*Model!$AL$18*AVERAGE('Assumptions (Coal)'!$AE$2:$AJ$2)/10^9,0)</f>
        <v>0</v>
      </c>
      <c r="AO225" s="177">
        <f>IF($AL$18&gt;0,'Assumptions (Coal)'!Y11*Model!$AL$18*AVERAGE('Assumptions (Coal)'!$AE$2:$AJ$2)/10^9,0)</f>
        <v>0</v>
      </c>
      <c r="AP225" s="177">
        <f>IF($AL$18&gt;0,'Assumptions (Coal)'!Z11*Model!$AL$18*AVERAGE('Assumptions (Coal)'!$AE$2:$AJ$2)/10^9,0)</f>
        <v>0</v>
      </c>
      <c r="AQ225" s="177">
        <f>IF($AL$18&gt;0,'Assumptions (Coal)'!AA11*Model!$AL$18*AVERAGE('Assumptions (Coal)'!$AE$2:$AJ$2)/10^9,0)</f>
        <v>0</v>
      </c>
      <c r="AR225" s="177">
        <f>IF($AL$18&gt;0,'Assumptions (Coal)'!AB11*Model!$AL$18*AVERAGE('Assumptions (Coal)'!$AE$2:$AJ$2)/10^9,0)</f>
        <v>0</v>
      </c>
      <c r="AS225" s="177">
        <f>IF($AL$18&gt;0,'Assumptions (Coal)'!AC11*Model!$AL$18*AVERAGE('Assumptions (Coal)'!$AE$2:$AJ$2)/10^9,0)</f>
        <v>0</v>
      </c>
      <c r="AT225" s="177">
        <f>IF($AL$18&gt;0,'Assumptions (Coal)'!AD11*Model!$AL$18*AVERAGE('Assumptions (Coal)'!$AE$2:$AJ$2)/10^9,0)</f>
        <v>0</v>
      </c>
      <c r="AU225" s="177">
        <f>IF($AL$18&gt;0,'Assumptions (Coal)'!AE11*Model!$AL$18*AVERAGE('Assumptions (Coal)'!$AE$2:$AJ$2)/10^9,0)</f>
        <v>0</v>
      </c>
      <c r="AV225" s="177">
        <f>IF($AL$18&gt;0,'Assumptions (Coal)'!AF11*Model!$AL$18*AVERAGE('Assumptions (Coal)'!$AE$2:$AJ$2)/10^9,0)</f>
        <v>0</v>
      </c>
      <c r="AW225" s="177">
        <f>IF($AL$18&gt;0,'Assumptions (Coal)'!AG11*Model!$AL$18*AVERAGE('Assumptions (Coal)'!$AE$2:$AJ$2)/10^9,0)</f>
        <v>0</v>
      </c>
      <c r="AX225" s="177">
        <f>IF($AL$18&gt;0,'Assumptions (Coal)'!AH11*Model!$AL$18*AVERAGE('Assumptions (Coal)'!$AE$2:$AJ$2)/10^9,0)</f>
        <v>0</v>
      </c>
      <c r="AY225" s="177">
        <f>IF($AL$18&gt;0,'Assumptions (Coal)'!AI11*Model!$AL$18*AVERAGE('Assumptions (Coal)'!$AE$2:$AJ$2)/10^9,0)</f>
        <v>0</v>
      </c>
      <c r="AZ225" s="177">
        <f>IF($AL$18&gt;0,'Assumptions (Coal)'!AJ11*Model!$AL$18*AVERAGE('Assumptions (Coal)'!$AE$2:$AJ$2)/10^9,0)</f>
        <v>0</v>
      </c>
      <c r="BA225" s="177">
        <f>IF($AL$18&gt;0,'Assumptions (Coal)'!AK11*Model!$AL$18*AVERAGE('Assumptions (Coal)'!$AE$2:$AJ$2)/10^9,0)</f>
        <v>0</v>
      </c>
      <c r="BB225" s="177">
        <f>IF($AL$18&gt;0,'Assumptions (Coal)'!AL11*Model!$AL$18*AVERAGE('Assumptions (Coal)'!$AE$2:$AJ$2)/10^9,0)</f>
        <v>0</v>
      </c>
      <c r="BC225" s="177">
        <f>IF($AL$18&gt;0,'Assumptions (Coal)'!AM11*Model!$AL$18*AVERAGE('Assumptions (Coal)'!$AE$2:$AJ$2)/10^9,0)</f>
        <v>0</v>
      </c>
      <c r="BD225" s="177">
        <f>IF($AL$18&gt;0,'Assumptions (Coal)'!AN11*Model!$AL$18*AVERAGE('Assumptions (Coal)'!$AE$2:$AJ$2)/10^9,0)</f>
        <v>0</v>
      </c>
      <c r="BE225" s="177">
        <f>IF($AL$18&gt;0,'Assumptions (Coal)'!AO11*Model!$AL$18*AVERAGE('Assumptions (Coal)'!$AE$2:$AJ$2)/10^9,0)</f>
        <v>0</v>
      </c>
      <c r="BF225" s="177">
        <f>IF($AL$18&gt;0,'Assumptions (Coal)'!AP11*Model!$AL$18*AVERAGE('Assumptions (Coal)'!$AE$2:$AJ$2)/10^9,0)</f>
        <v>0</v>
      </c>
      <c r="BG225" s="177"/>
      <c r="BH225" s="177"/>
      <c r="BI225" s="177"/>
      <c r="BJ225" s="177"/>
    </row>
    <row r="226" ht="15.75" hidden="1" customHeight="1" outlineLevel="1">
      <c r="A226" s="158"/>
      <c r="B226" s="38"/>
      <c r="C226" s="174"/>
      <c r="D226" s="174"/>
      <c r="E226" s="174"/>
      <c r="F226" s="174"/>
      <c r="G226" s="174"/>
      <c r="H226" s="174"/>
      <c r="I226" s="174"/>
      <c r="J226" s="174"/>
      <c r="K226" s="174"/>
      <c r="L226" s="174"/>
      <c r="M226" s="174"/>
      <c r="N226" s="174"/>
      <c r="O226" s="174"/>
      <c r="P226" s="174"/>
      <c r="Q226" s="174"/>
      <c r="R226" s="174"/>
      <c r="S226" s="174"/>
      <c r="T226" s="174"/>
      <c r="U226" s="174"/>
      <c r="V226" s="174"/>
      <c r="W226" s="160"/>
      <c r="X226" s="160"/>
      <c r="Y226" s="160"/>
      <c r="Z226" s="160"/>
      <c r="AA226" s="160"/>
      <c r="AB226" s="160"/>
      <c r="AC226" s="160"/>
      <c r="AD226" s="160"/>
      <c r="AE226" s="160"/>
      <c r="AF226" s="160"/>
      <c r="AG226" s="160"/>
      <c r="AH226" s="160"/>
      <c r="AI226" s="160"/>
      <c r="AJ226" s="179"/>
      <c r="AK226" s="160"/>
      <c r="AL226" s="177"/>
      <c r="AM226" s="160">
        <f>IF($AM$18&gt;0,'Assumptions (Coal)'!V11*Model!$AM$18*AVERAGE('Assumptions (Coal)'!$AF$2:$AK$2)/10^9,0)</f>
        <v>0.1644054682</v>
      </c>
      <c r="AN226" s="160">
        <f>IF($AM$18&gt;0,'Assumptions (Coal)'!W11*Model!$AM$18*AVERAGE('Assumptions (Coal)'!$AF$2:$AK$2)/10^9,0)</f>
        <v>0.3164914867</v>
      </c>
      <c r="AO226" s="160">
        <f>IF($AM$18&gt;0,'Assumptions (Coal)'!X11*Model!$AM$18*AVERAGE('Assumptions (Coal)'!$AF$2:$AK$2)/10^9,0)</f>
        <v>0.2927294164</v>
      </c>
      <c r="AP226" s="160">
        <f>IF($AM$18&gt;0,'Assumptions (Coal)'!Y11*Model!$AM$18*AVERAGE('Assumptions (Coal)'!$AF$2:$AK$2)/10^9,0)</f>
        <v>0.2708086873</v>
      </c>
      <c r="AQ226" s="160">
        <f>IF($AM$18&gt;0,'Assumptions (Coal)'!Z11*Model!$AM$18*AVERAGE('Assumptions (Coal)'!$AF$2:$AK$2)/10^9,0)</f>
        <v>0.2504662507</v>
      </c>
      <c r="AR226" s="160">
        <f>IF($AM$18&gt;0,'Assumptions (Coal)'!AA11*Model!$AM$18*AVERAGE('Assumptions (Coal)'!$AF$2:$AK$2)/10^9,0)</f>
        <v>0.2317021066</v>
      </c>
      <c r="AS226" s="160">
        <f>IF($AM$18&gt;0,'Assumptions (Coal)'!AB11*Model!$AM$18*AVERAGE('Assumptions (Coal)'!$AF$2:$AK$2)/10^9,0)</f>
        <v>0.2142970477</v>
      </c>
      <c r="AT226" s="160">
        <f>IF($AM$18&gt;0,'Assumptions (Coal)'!AC11*Model!$AM$18*AVERAGE('Assumptions (Coal)'!$AF$2:$AK$2)/10^9,0)</f>
        <v>0.198251074</v>
      </c>
      <c r="AU226" s="160">
        <f>IF($AM$18&gt;0,'Assumptions (Coal)'!AD11*Model!$AM$18*AVERAGE('Assumptions (Coal)'!$AF$2:$AK$2)/10^9,0)</f>
        <v>0.1956205865</v>
      </c>
      <c r="AV226" s="160">
        <f>IF($AM$18&gt;0,'Assumptions (Coal)'!AE11*Model!$AM$18*AVERAGE('Assumptions (Coal)'!$AF$2:$AK$2)/10^9,0)</f>
        <v>0.195576745</v>
      </c>
      <c r="AW226" s="160">
        <f>IF($AM$18&gt;0,'Assumptions (Coal)'!AF11*Model!$AM$18*AVERAGE('Assumptions (Coal)'!$AF$2:$AK$2)/10^9,0)</f>
        <v>0.1956205865</v>
      </c>
      <c r="AX226" s="160">
        <f>IF($AM$18&gt;0,'Assumptions (Coal)'!AG11*Model!$AM$18*AVERAGE('Assumptions (Coal)'!$AF$2:$AK$2)/10^9,0)</f>
        <v>0.195576745</v>
      </c>
      <c r="AY226" s="160">
        <f>IF($AM$18&gt;0,'Assumptions (Coal)'!AH11*Model!$AM$18*AVERAGE('Assumptions (Coal)'!$AF$2:$AK$2)/10^9,0)</f>
        <v>0.1956205865</v>
      </c>
      <c r="AZ226" s="160">
        <f>IF($AM$18&gt;0,'Assumptions (Coal)'!AI11*Model!$AM$18*AVERAGE('Assumptions (Coal)'!$AF$2:$AK$2)/10^9,0)</f>
        <v>0.195576745</v>
      </c>
      <c r="BA226" s="160">
        <f>IF($AM$18&gt;0,'Assumptions (Coal)'!AJ11*Model!$AM$18*AVERAGE('Assumptions (Coal)'!$AF$2:$AK$2)/10^9,0)</f>
        <v>0.1956205865</v>
      </c>
      <c r="BB226" s="160">
        <f>IF($AM$18&gt;0,'Assumptions (Coal)'!AK11*Model!$AM$18*AVERAGE('Assumptions (Coal)'!$AF$2:$AK$2)/10^9,0)</f>
        <v>0.195576745</v>
      </c>
      <c r="BC226" s="160">
        <f>IF($AM$18&gt;0,'Assumptions (Coal)'!AL11*Model!$AM$18*AVERAGE('Assumptions (Coal)'!$AF$2:$AK$2)/10^9,0)</f>
        <v>0.1956205865</v>
      </c>
      <c r="BD226" s="160">
        <f>IF($AM$18&gt;0,'Assumptions (Coal)'!AM11*Model!$AM$18*AVERAGE('Assumptions (Coal)'!$AF$2:$AK$2)/10^9,0)</f>
        <v>0.195576745</v>
      </c>
      <c r="BE226" s="160">
        <f>IF($AM$18&gt;0,'Assumptions (Coal)'!AN11*Model!$AM$18*AVERAGE('Assumptions (Coal)'!$AF$2:$AK$2)/10^9,0)</f>
        <v>0.1956205865</v>
      </c>
      <c r="BF226" s="160">
        <f>IF($AM$18&gt;0,'Assumptions (Coal)'!AO11*Model!$AM$18*AVERAGE('Assumptions (Coal)'!$AF$2:$AK$2)/10^9,0)</f>
        <v>0.195576745</v>
      </c>
      <c r="BG226" s="160">
        <f>IF($AM$18&gt;0,'Assumptions (Coal)'!AP11*Model!$AM$18*AVERAGE('Assumptions (Coal)'!$AF$2:$AK$2)/10^9,0)</f>
        <v>0.09781029324</v>
      </c>
      <c r="BH226" s="160"/>
      <c r="BI226" s="160"/>
      <c r="BJ226" s="160"/>
      <c r="BK226" s="160"/>
    </row>
    <row r="227" ht="15.75" hidden="1" customHeight="1" outlineLevel="1">
      <c r="A227" s="158"/>
      <c r="B227" s="38"/>
      <c r="C227" s="174"/>
      <c r="D227" s="174"/>
      <c r="E227" s="174"/>
      <c r="F227" s="174"/>
      <c r="G227" s="174"/>
      <c r="H227" s="174"/>
      <c r="I227" s="174"/>
      <c r="J227" s="174"/>
      <c r="K227" s="174"/>
      <c r="L227" s="174"/>
      <c r="M227" s="174"/>
      <c r="N227" s="174"/>
      <c r="O227" s="174"/>
      <c r="P227" s="174"/>
      <c r="Q227" s="174"/>
      <c r="R227" s="174"/>
      <c r="S227" s="174"/>
      <c r="T227" s="174"/>
      <c r="U227" s="174"/>
      <c r="V227" s="174"/>
      <c r="W227" s="160"/>
      <c r="X227" s="160"/>
      <c r="Y227" s="160"/>
      <c r="Z227" s="160"/>
      <c r="AA227" s="160"/>
      <c r="AB227" s="160"/>
      <c r="AC227" s="160"/>
      <c r="AD227" s="160"/>
      <c r="AE227" s="160"/>
      <c r="AF227" s="160"/>
      <c r="AG227" s="160"/>
      <c r="AH227" s="160"/>
      <c r="AI227" s="160"/>
      <c r="AJ227" s="179"/>
      <c r="AK227" s="160"/>
      <c r="AL227" s="177"/>
      <c r="AM227" s="177"/>
      <c r="AN227" s="160">
        <f>IF($AN$18&gt;0,'Assumptions (Coal)'!V11*Model!$AN$18*AVERAGE('Assumptions (Coal)'!$AG$2:$AL$2)/10^9,0)</f>
        <v>0</v>
      </c>
      <c r="AO227" s="160">
        <f>IF($AN$18&gt;0,'Assumptions (Coal)'!W11*Model!$AN$18*AVERAGE('Assumptions (Coal)'!$AG$2:$AL$2)/10^9,0)</f>
        <v>0</v>
      </c>
      <c r="AP227" s="160">
        <f>IF($AN$18&gt;0,'Assumptions (Coal)'!X11*Model!$AN$18*AVERAGE('Assumptions (Coal)'!$AG$2:$AL$2)/10^9,0)</f>
        <v>0</v>
      </c>
      <c r="AQ227" s="160">
        <f>IF($AN$18&gt;0,'Assumptions (Coal)'!Y11*Model!$AN$18*AVERAGE('Assumptions (Coal)'!$AG$2:$AL$2)/10^9,0)</f>
        <v>0</v>
      </c>
      <c r="AR227" s="160">
        <f>IF($AN$18&gt;0,'Assumptions (Coal)'!Z11*Model!$AN$18*AVERAGE('Assumptions (Coal)'!$AG$2:$AL$2)/10^9,0)</f>
        <v>0</v>
      </c>
      <c r="AS227" s="160">
        <f>IF($AN$18&gt;0,'Assumptions (Coal)'!AA11*Model!$AN$18*AVERAGE('Assumptions (Coal)'!$AG$2:$AL$2)/10^9,0)</f>
        <v>0</v>
      </c>
      <c r="AT227" s="160">
        <f>IF($AN$18&gt;0,'Assumptions (Coal)'!AB11*Model!$AN$18*AVERAGE('Assumptions (Coal)'!$AG$2:$AL$2)/10^9,0)</f>
        <v>0</v>
      </c>
      <c r="AU227" s="160">
        <f>IF($AN$18&gt;0,'Assumptions (Coal)'!AC11*Model!$AN$18*AVERAGE('Assumptions (Coal)'!$AG$2:$AL$2)/10^9,0)</f>
        <v>0</v>
      </c>
      <c r="AV227" s="160">
        <f>IF($AN$18&gt;0,'Assumptions (Coal)'!AD11*Model!$AN$18*AVERAGE('Assumptions (Coal)'!$AG$2:$AL$2)/10^9,0)</f>
        <v>0</v>
      </c>
      <c r="AW227" s="160">
        <f>IF($AN$18&gt;0,'Assumptions (Coal)'!AE11*Model!$AN$18*AVERAGE('Assumptions (Coal)'!$AG$2:$AL$2)/10^9,0)</f>
        <v>0</v>
      </c>
      <c r="AX227" s="160">
        <f>IF($AN$18&gt;0,'Assumptions (Coal)'!AF11*Model!$AN$18*AVERAGE('Assumptions (Coal)'!$AG$2:$AL$2)/10^9,0)</f>
        <v>0</v>
      </c>
      <c r="AY227" s="160">
        <f>IF($AN$18&gt;0,'Assumptions (Coal)'!AG11*Model!$AN$18*AVERAGE('Assumptions (Coal)'!$AG$2:$AL$2)/10^9,0)</f>
        <v>0</v>
      </c>
      <c r="AZ227" s="160">
        <f>IF($AN$18&gt;0,'Assumptions (Coal)'!AH11*Model!$AN$18*AVERAGE('Assumptions (Coal)'!$AG$2:$AL$2)/10^9,0)</f>
        <v>0</v>
      </c>
      <c r="BA227" s="160">
        <f>IF($AN$18&gt;0,'Assumptions (Coal)'!AI11*Model!$AN$18*AVERAGE('Assumptions (Coal)'!$AG$2:$AL$2)/10^9,0)</f>
        <v>0</v>
      </c>
      <c r="BB227" s="160">
        <f>IF($AN$18&gt;0,'Assumptions (Coal)'!AJ11*Model!$AN$18*AVERAGE('Assumptions (Coal)'!$AG$2:$AL$2)/10^9,0)</f>
        <v>0</v>
      </c>
      <c r="BC227" s="160">
        <f>IF($AN$18&gt;0,'Assumptions (Coal)'!AK11*Model!$AN$18*AVERAGE('Assumptions (Coal)'!$AG$2:$AL$2)/10^9,0)</f>
        <v>0</v>
      </c>
      <c r="BD227" s="160">
        <f>IF($AN$18&gt;0,'Assumptions (Coal)'!AL11*Model!$AN$18*AVERAGE('Assumptions (Coal)'!$AG$2:$AL$2)/10^9,0)</f>
        <v>0</v>
      </c>
      <c r="BE227" s="160">
        <f>IF($AN$18&gt;0,'Assumptions (Coal)'!AM11*Model!$AN$18*AVERAGE('Assumptions (Coal)'!$AG$2:$AL$2)/10^9,0)</f>
        <v>0</v>
      </c>
      <c r="BF227" s="160">
        <f>IF($AN$18&gt;0,'Assumptions (Coal)'!AN11*Model!$AN$18*AVERAGE('Assumptions (Coal)'!$AG$2:$AL$2)/10^9,0)</f>
        <v>0</v>
      </c>
      <c r="BG227" s="160">
        <f>IF($AN$18&gt;0,'Assumptions (Coal)'!AO11*Model!$AN$18*AVERAGE('Assumptions (Coal)'!$AG$2:$AL$2)/10^9,0)</f>
        <v>0</v>
      </c>
      <c r="BH227" s="160">
        <f>IF($AN$18&gt;0,'Assumptions (Coal)'!AP11*Model!$AN$18*AVERAGE('Assumptions (Coal)'!$AG$2:$AL$2)/10^9,0)</f>
        <v>0</v>
      </c>
      <c r="BI227" s="160"/>
      <c r="BJ227" s="160"/>
      <c r="BK227" s="160"/>
      <c r="BL227" s="160"/>
    </row>
    <row r="228" ht="15.75" hidden="1" customHeight="1" outlineLevel="1">
      <c r="A228" s="158"/>
      <c r="B228" s="38"/>
      <c r="C228" s="174"/>
      <c r="D228" s="174"/>
      <c r="E228" s="174"/>
      <c r="F228" s="174"/>
      <c r="G228" s="174"/>
      <c r="H228" s="174"/>
      <c r="I228" s="174"/>
      <c r="J228" s="174"/>
      <c r="K228" s="174"/>
      <c r="L228" s="174"/>
      <c r="M228" s="174"/>
      <c r="N228" s="174"/>
      <c r="O228" s="174"/>
      <c r="P228" s="174"/>
      <c r="Q228" s="174"/>
      <c r="R228" s="174"/>
      <c r="S228" s="174"/>
      <c r="T228" s="174"/>
      <c r="U228" s="174"/>
      <c r="V228" s="174"/>
      <c r="W228" s="160"/>
      <c r="X228" s="160"/>
      <c r="Y228" s="160"/>
      <c r="Z228" s="160"/>
      <c r="AA228" s="160"/>
      <c r="AB228" s="160"/>
      <c r="AC228" s="160"/>
      <c r="AD228" s="160"/>
      <c r="AE228" s="160"/>
      <c r="AF228" s="160"/>
      <c r="AG228" s="160"/>
      <c r="AH228" s="160"/>
      <c r="AI228" s="160"/>
      <c r="AJ228" s="179"/>
      <c r="AK228" s="160"/>
      <c r="AL228" s="177"/>
      <c r="AM228" s="177"/>
      <c r="AN228" s="177"/>
      <c r="AO228" s="160">
        <f>IF($AO$18&gt;0,'Assumptions (Coal)'!V11*Model!$AO$18*AVERAGE('Assumptions (Coal)'!$AH$2:$AM$2)/10^9,0)</f>
        <v>0</v>
      </c>
      <c r="AP228" s="160">
        <f>IF($AO$18&gt;0,'Assumptions (Coal)'!W11*Model!$AO$18*AVERAGE('Assumptions (Coal)'!$AH$2:$AM$2)/10^9,0)</f>
        <v>0</v>
      </c>
      <c r="AQ228" s="160">
        <f>IF($AO$18&gt;0,'Assumptions (Coal)'!X11*Model!$AO$18*AVERAGE('Assumptions (Coal)'!$AH$2:$AM$2)/10^9,0)</f>
        <v>0</v>
      </c>
      <c r="AR228" s="160">
        <f>IF($AO$18&gt;0,'Assumptions (Coal)'!Y11*Model!$AO$18*AVERAGE('Assumptions (Coal)'!$AH$2:$AM$2)/10^9,0)</f>
        <v>0</v>
      </c>
      <c r="AS228" s="160">
        <f>IF($AO$18&gt;0,'Assumptions (Coal)'!Z11*Model!$AO$18*AVERAGE('Assumptions (Coal)'!$AH$2:$AM$2)/10^9,0)</f>
        <v>0</v>
      </c>
      <c r="AT228" s="160">
        <f>IF($AO$18&gt;0,'Assumptions (Coal)'!AA11*Model!$AO$18*AVERAGE('Assumptions (Coal)'!$AH$2:$AM$2)/10^9,0)</f>
        <v>0</v>
      </c>
      <c r="AU228" s="160">
        <f>IF($AO$18&gt;0,'Assumptions (Coal)'!AB11*Model!$AO$18*AVERAGE('Assumptions (Coal)'!$AH$2:$AM$2)/10^9,0)</f>
        <v>0</v>
      </c>
      <c r="AV228" s="160">
        <f>IF($AO$18&gt;0,'Assumptions (Coal)'!AC11*Model!$AO$18*AVERAGE('Assumptions (Coal)'!$AH$2:$AM$2)/10^9,0)</f>
        <v>0</v>
      </c>
      <c r="AW228" s="160">
        <f>IF($AO$18&gt;0,'Assumptions (Coal)'!AD11*Model!$AO$18*AVERAGE('Assumptions (Coal)'!$AH$2:$AM$2)/10^9,0)</f>
        <v>0</v>
      </c>
      <c r="AX228" s="160">
        <f>IF($AO$18&gt;0,'Assumptions (Coal)'!AE11*Model!$AO$18*AVERAGE('Assumptions (Coal)'!$AH$2:$AM$2)/10^9,0)</f>
        <v>0</v>
      </c>
      <c r="AY228" s="160">
        <f>IF($AO$18&gt;0,'Assumptions (Coal)'!AF11*Model!$AO$18*AVERAGE('Assumptions (Coal)'!$AH$2:$AM$2)/10^9,0)</f>
        <v>0</v>
      </c>
      <c r="AZ228" s="160">
        <f>IF($AO$18&gt;0,'Assumptions (Coal)'!AG11*Model!$AO$18*AVERAGE('Assumptions (Coal)'!$AH$2:$AM$2)/10^9,0)</f>
        <v>0</v>
      </c>
      <c r="BA228" s="160">
        <f>IF($AO$18&gt;0,'Assumptions (Coal)'!AH11*Model!$AO$18*AVERAGE('Assumptions (Coal)'!$AH$2:$AM$2)/10^9,0)</f>
        <v>0</v>
      </c>
      <c r="BB228" s="160">
        <f>IF($AO$18&gt;0,'Assumptions (Coal)'!AI11*Model!$AO$18*AVERAGE('Assumptions (Coal)'!$AH$2:$AM$2)/10^9,0)</f>
        <v>0</v>
      </c>
      <c r="BC228" s="160">
        <f>IF($AO$18&gt;0,'Assumptions (Coal)'!AJ11*Model!$AO$18*AVERAGE('Assumptions (Coal)'!$AH$2:$AM$2)/10^9,0)</f>
        <v>0</v>
      </c>
      <c r="BD228" s="160">
        <f>IF($AO$18&gt;0,'Assumptions (Coal)'!AK11*Model!$AO$18*AVERAGE('Assumptions (Coal)'!$AH$2:$AM$2)/10^9,0)</f>
        <v>0</v>
      </c>
      <c r="BE228" s="160">
        <f>IF($AO$18&gt;0,'Assumptions (Coal)'!AL11*Model!$AO$18*AVERAGE('Assumptions (Coal)'!$AH$2:$AM$2)/10^9,0)</f>
        <v>0</v>
      </c>
      <c r="BF228" s="160">
        <f>IF($AO$18&gt;0,'Assumptions (Coal)'!AM11*Model!$AO$18*AVERAGE('Assumptions (Coal)'!$AH$2:$AM$2)/10^9,0)</f>
        <v>0</v>
      </c>
      <c r="BG228" s="160">
        <f>IF($AO$18&gt;0,'Assumptions (Coal)'!AN11*Model!$AO$18*AVERAGE('Assumptions (Coal)'!$AH$2:$AM$2)/10^9,0)</f>
        <v>0</v>
      </c>
      <c r="BH228" s="160">
        <f>IF($AO$18&gt;0,'Assumptions (Coal)'!AO11*Model!$AO$18*AVERAGE('Assumptions (Coal)'!$AH$2:$AM$2)/10^9,0)</f>
        <v>0</v>
      </c>
      <c r="BI228" s="160">
        <f>IF($AO$18&gt;0,'Assumptions (Coal)'!AP11*Model!$AO$18*AVERAGE('Assumptions (Coal)'!$AH$2:$AM$2)/10^9,0)</f>
        <v>0</v>
      </c>
      <c r="BJ228" s="160"/>
      <c r="BK228" s="160"/>
      <c r="BL228" s="160"/>
      <c r="BM228" s="160"/>
    </row>
    <row r="229" ht="15.75" hidden="1" customHeight="1" outlineLevel="1">
      <c r="A229" s="158"/>
      <c r="B229" s="38"/>
      <c r="C229" s="174"/>
      <c r="D229" s="174"/>
      <c r="E229" s="174"/>
      <c r="F229" s="174"/>
      <c r="G229" s="174"/>
      <c r="H229" s="174"/>
      <c r="I229" s="174"/>
      <c r="J229" s="174"/>
      <c r="K229" s="174"/>
      <c r="L229" s="174"/>
      <c r="M229" s="174"/>
      <c r="N229" s="174"/>
      <c r="O229" s="174"/>
      <c r="P229" s="174"/>
      <c r="Q229" s="174"/>
      <c r="R229" s="174"/>
      <c r="S229" s="174"/>
      <c r="T229" s="174"/>
      <c r="U229" s="174"/>
      <c r="V229" s="174"/>
      <c r="W229" s="160"/>
      <c r="X229" s="160"/>
      <c r="Y229" s="160"/>
      <c r="Z229" s="160"/>
      <c r="AA229" s="160"/>
      <c r="AB229" s="160"/>
      <c r="AC229" s="160"/>
      <c r="AD229" s="160"/>
      <c r="AE229" s="160"/>
      <c r="AF229" s="160"/>
      <c r="AG229" s="160"/>
      <c r="AH229" s="160"/>
      <c r="AI229" s="160"/>
      <c r="AJ229" s="179"/>
      <c r="AK229" s="160"/>
      <c r="AL229" s="177"/>
      <c r="AM229" s="177"/>
      <c r="AN229" s="177"/>
      <c r="AO229" s="160"/>
      <c r="AP229" s="160">
        <f>IF($AP$18&gt;0,'Assumptions (Coal)'!V11*Model!$AP$18*AVERAGE('Assumptions (Coal)'!$AI$2:$AN$2)/10^9,0)</f>
        <v>0</v>
      </c>
      <c r="AQ229" s="160">
        <f>IF($AP$18&gt;0,'Assumptions (Coal)'!W11*Model!$AP$18*AVERAGE('Assumptions (Coal)'!$AI$2:$AN$2)/10^9,0)</f>
        <v>0</v>
      </c>
      <c r="AR229" s="160">
        <f>IF($AP$18&gt;0,'Assumptions (Coal)'!X11*Model!$AP$18*AVERAGE('Assumptions (Coal)'!$AI$2:$AN$2)/10^9,0)</f>
        <v>0</v>
      </c>
      <c r="AS229" s="160">
        <f>IF($AP$18&gt;0,'Assumptions (Coal)'!Y11*Model!$AP$18*AVERAGE('Assumptions (Coal)'!$AI$2:$AN$2)/10^9,0)</f>
        <v>0</v>
      </c>
      <c r="AT229" s="160">
        <f>IF($AP$18&gt;0,'Assumptions (Coal)'!Z11*Model!$AP$18*AVERAGE('Assumptions (Coal)'!$AI$2:$AN$2)/10^9,0)</f>
        <v>0</v>
      </c>
      <c r="AU229" s="160">
        <f>IF($AP$18&gt;0,'Assumptions (Coal)'!AA11*Model!$AP$18*AVERAGE('Assumptions (Coal)'!$AI$2:$AN$2)/10^9,0)</f>
        <v>0</v>
      </c>
      <c r="AV229" s="160">
        <f>IF($AP$18&gt;0,'Assumptions (Coal)'!AB11*Model!$AP$18*AVERAGE('Assumptions (Coal)'!$AI$2:$AN$2)/10^9,0)</f>
        <v>0</v>
      </c>
      <c r="AW229" s="160">
        <f>IF($AP$18&gt;0,'Assumptions (Coal)'!AC11*Model!$AP$18*AVERAGE('Assumptions (Coal)'!$AI$2:$AN$2)/10^9,0)</f>
        <v>0</v>
      </c>
      <c r="AX229" s="160">
        <f>IF($AP$18&gt;0,'Assumptions (Coal)'!AD11*Model!$AP$18*AVERAGE('Assumptions (Coal)'!$AI$2:$AN$2)/10^9,0)</f>
        <v>0</v>
      </c>
      <c r="AY229" s="160">
        <f>IF($AP$18&gt;0,'Assumptions (Coal)'!AE11*Model!$AP$18*AVERAGE('Assumptions (Coal)'!$AI$2:$AN$2)/10^9,0)</f>
        <v>0</v>
      </c>
      <c r="AZ229" s="160">
        <f>IF($AP$18&gt;0,'Assumptions (Coal)'!AF11*Model!$AP$18*AVERAGE('Assumptions (Coal)'!$AI$2:$AN$2)/10^9,0)</f>
        <v>0</v>
      </c>
      <c r="BA229" s="160">
        <f>IF($AP$18&gt;0,'Assumptions (Coal)'!AG11*Model!$AP$18*AVERAGE('Assumptions (Coal)'!$AI$2:$AN$2)/10^9,0)</f>
        <v>0</v>
      </c>
      <c r="BB229" s="160">
        <f>IF($AP$18&gt;0,'Assumptions (Coal)'!AH11*Model!$AP$18*AVERAGE('Assumptions (Coal)'!$AI$2:$AN$2)/10^9,0)</f>
        <v>0</v>
      </c>
      <c r="BC229" s="160">
        <f>IF($AP$18&gt;0,'Assumptions (Coal)'!AI11*Model!$AP$18*AVERAGE('Assumptions (Coal)'!$AI$2:$AN$2)/10^9,0)</f>
        <v>0</v>
      </c>
      <c r="BD229" s="160">
        <f>IF($AP$18&gt;0,'Assumptions (Coal)'!AJ11*Model!$AP$18*AVERAGE('Assumptions (Coal)'!$AI$2:$AN$2)/10^9,0)</f>
        <v>0</v>
      </c>
      <c r="BE229" s="160">
        <f>IF($AP$18&gt;0,'Assumptions (Coal)'!AK11*Model!$AP$18*AVERAGE('Assumptions (Coal)'!$AI$2:$AN$2)/10^9,0)</f>
        <v>0</v>
      </c>
      <c r="BF229" s="160">
        <f>IF($AP$18&gt;0,'Assumptions (Coal)'!AL11*Model!$AP$18*AVERAGE('Assumptions (Coal)'!$AI$2:$AN$2)/10^9,0)</f>
        <v>0</v>
      </c>
      <c r="BG229" s="160">
        <f>IF($AP$18&gt;0,'Assumptions (Coal)'!AM11*Model!$AP$18*AVERAGE('Assumptions (Coal)'!$AI$2:$AN$2)/10^9,0)</f>
        <v>0</v>
      </c>
      <c r="BH229" s="160">
        <f>IF($AP$18&gt;0,'Assumptions (Coal)'!AN11*Model!$AP$18*AVERAGE('Assumptions (Coal)'!$AI$2:$AN$2)/10^9,0)</f>
        <v>0</v>
      </c>
      <c r="BI229" s="160">
        <f>IF($AP$18&gt;0,'Assumptions (Coal)'!AO11*Model!$AP$18*AVERAGE('Assumptions (Coal)'!$AI$2:$AN$2)/10^9,0)</f>
        <v>0</v>
      </c>
      <c r="BJ229" s="160">
        <f>IF($AP$18&gt;0,'Assumptions (Coal)'!AP11*Model!$AP$18*AVERAGE('Assumptions (Coal)'!$AI$2:$AN$2)/10^9,0)</f>
        <v>0</v>
      </c>
      <c r="BK229" s="160"/>
      <c r="BL229" s="160"/>
      <c r="BM229" s="160"/>
      <c r="BN229" s="160"/>
    </row>
    <row r="230" ht="15.75" hidden="1" customHeight="1" outlineLevel="1">
      <c r="A230" s="158"/>
      <c r="B230" s="38"/>
      <c r="C230" s="174"/>
      <c r="D230" s="174"/>
      <c r="E230" s="174"/>
      <c r="F230" s="174"/>
      <c r="G230" s="174"/>
      <c r="H230" s="174"/>
      <c r="I230" s="174"/>
      <c r="J230" s="174"/>
      <c r="K230" s="174"/>
      <c r="L230" s="174"/>
      <c r="M230" s="174"/>
      <c r="N230" s="174"/>
      <c r="O230" s="174"/>
      <c r="P230" s="174"/>
      <c r="Q230" s="174"/>
      <c r="R230" s="174"/>
      <c r="S230" s="174"/>
      <c r="T230" s="174"/>
      <c r="U230" s="174"/>
      <c r="V230" s="174"/>
      <c r="W230" s="160"/>
      <c r="X230" s="160"/>
      <c r="Y230" s="160"/>
      <c r="Z230" s="160"/>
      <c r="AA230" s="160"/>
      <c r="AB230" s="160"/>
      <c r="AC230" s="160"/>
      <c r="AD230" s="160"/>
      <c r="AE230" s="160"/>
      <c r="AF230" s="160"/>
      <c r="AG230" s="160"/>
      <c r="AH230" s="160"/>
      <c r="AI230" s="160"/>
      <c r="AJ230" s="179"/>
      <c r="AK230" s="160"/>
      <c r="AL230" s="177"/>
      <c r="AM230" s="177"/>
      <c r="AN230" s="177"/>
      <c r="AO230" s="160"/>
      <c r="AP230" s="160"/>
      <c r="AQ230" s="160">
        <f>IF($AQ$18&gt;0,'Assumptions (Coal)'!V11*Model!$AQ$18*AVERAGE('Assumptions (Coal)'!$AJ$2:$AO$2)/10^9,0)</f>
        <v>0</v>
      </c>
      <c r="AR230" s="160">
        <f>IF($AQ$18&gt;0,'Assumptions (Coal)'!W11*Model!$AQ$18*AVERAGE('Assumptions (Coal)'!$AJ$2:$AO$2)/10^9,0)</f>
        <v>0</v>
      </c>
      <c r="AS230" s="160">
        <f>IF($AQ$18&gt;0,'Assumptions (Coal)'!X11*Model!$AQ$18*AVERAGE('Assumptions (Coal)'!$AJ$2:$AO$2)/10^9,0)</f>
        <v>0</v>
      </c>
      <c r="AT230" s="160">
        <f>IF($AQ$18&gt;0,'Assumptions (Coal)'!Y11*Model!$AQ$18*AVERAGE('Assumptions (Coal)'!$AJ$2:$AO$2)/10^9,0)</f>
        <v>0</v>
      </c>
      <c r="AU230" s="160">
        <f>IF($AQ$18&gt;0,'Assumptions (Coal)'!Z11*Model!$AQ$18*AVERAGE('Assumptions (Coal)'!$AJ$2:$AO$2)/10^9,0)</f>
        <v>0</v>
      </c>
      <c r="AV230" s="160">
        <f>IF($AQ$18&gt;0,'Assumptions (Coal)'!AA11*Model!$AQ$18*AVERAGE('Assumptions (Coal)'!$AJ$2:$AO$2)/10^9,0)</f>
        <v>0</v>
      </c>
      <c r="AW230" s="160">
        <f>IF($AQ$18&gt;0,'Assumptions (Coal)'!AB11*Model!$AQ$18*AVERAGE('Assumptions (Coal)'!$AJ$2:$AO$2)/10^9,0)</f>
        <v>0</v>
      </c>
      <c r="AX230" s="160">
        <f>IF($AQ$18&gt;0,'Assumptions (Coal)'!AC11*Model!$AQ$18*AVERAGE('Assumptions (Coal)'!$AJ$2:$AO$2)/10^9,0)</f>
        <v>0</v>
      </c>
      <c r="AY230" s="160">
        <f>IF($AQ$18&gt;0,'Assumptions (Coal)'!AD11*Model!$AQ$18*AVERAGE('Assumptions (Coal)'!$AJ$2:$AO$2)/10^9,0)</f>
        <v>0</v>
      </c>
      <c r="AZ230" s="160">
        <f>IF($AQ$18&gt;0,'Assumptions (Coal)'!AE11*Model!$AQ$18*AVERAGE('Assumptions (Coal)'!$AJ$2:$AO$2)/10^9,0)</f>
        <v>0</v>
      </c>
      <c r="BA230" s="160">
        <f>IF($AQ$18&gt;0,'Assumptions (Coal)'!AF11*Model!$AQ$18*AVERAGE('Assumptions (Coal)'!$AJ$2:$AO$2)/10^9,0)</f>
        <v>0</v>
      </c>
      <c r="BB230" s="160">
        <f>IF($AQ$18&gt;0,'Assumptions (Coal)'!AG11*Model!$AQ$18*AVERAGE('Assumptions (Coal)'!$AJ$2:$AO$2)/10^9,0)</f>
        <v>0</v>
      </c>
      <c r="BC230" s="160">
        <f>IF($AQ$18&gt;0,'Assumptions (Coal)'!AH11*Model!$AQ$18*AVERAGE('Assumptions (Coal)'!$AJ$2:$AO$2)/10^9,0)</f>
        <v>0</v>
      </c>
      <c r="BD230" s="160">
        <f>IF($AQ$18&gt;0,'Assumptions (Coal)'!AI11*Model!$AQ$18*AVERAGE('Assumptions (Coal)'!$AJ$2:$AO$2)/10^9,0)</f>
        <v>0</v>
      </c>
      <c r="BE230" s="160">
        <f>IF($AQ$18&gt;0,'Assumptions (Coal)'!AJ11*Model!$AQ$18*AVERAGE('Assumptions (Coal)'!$AJ$2:$AO$2)/10^9,0)</f>
        <v>0</v>
      </c>
      <c r="BF230" s="160">
        <f>IF($AQ$18&gt;0,'Assumptions (Coal)'!AK11*Model!$AQ$18*AVERAGE('Assumptions (Coal)'!$AJ$2:$AO$2)/10^9,0)</f>
        <v>0</v>
      </c>
      <c r="BG230" s="160">
        <f>IF($AQ$18&gt;0,'Assumptions (Coal)'!AL11*Model!$AQ$18*AVERAGE('Assumptions (Coal)'!$AJ$2:$AO$2)/10^9,0)</f>
        <v>0</v>
      </c>
      <c r="BH230" s="160">
        <f>IF($AQ$18&gt;0,'Assumptions (Coal)'!AM11*Model!$AQ$18*AVERAGE('Assumptions (Coal)'!$AJ$2:$AO$2)/10^9,0)</f>
        <v>0</v>
      </c>
      <c r="BI230" s="160">
        <f>IF($AQ$18&gt;0,'Assumptions (Coal)'!AN11*Model!$AQ$18*AVERAGE('Assumptions (Coal)'!$AJ$2:$AO$2)/10^9,0)</f>
        <v>0</v>
      </c>
      <c r="BJ230" s="160">
        <f>IF($AQ$18&gt;0,'Assumptions (Coal)'!AO11*Model!$AQ$18*AVERAGE('Assumptions (Coal)'!$AJ$2:$AO$2)/10^9,0)</f>
        <v>0</v>
      </c>
      <c r="BK230" s="160">
        <f>IF($AQ$18&gt;0,'Assumptions (Coal)'!AP11*Model!$AQ$18*AVERAGE('Assumptions (Coal)'!$AJ$2:$AO$2)/10^9,0)</f>
        <v>0</v>
      </c>
      <c r="BL230" s="160"/>
      <c r="BM230" s="160"/>
      <c r="BN230" s="160"/>
      <c r="BO230" s="160"/>
    </row>
    <row r="231" ht="15.75" hidden="1" customHeight="1" outlineLevel="1">
      <c r="A231" s="158"/>
      <c r="B231" s="38"/>
      <c r="C231" s="174"/>
      <c r="D231" s="174"/>
      <c r="E231" s="174"/>
      <c r="F231" s="174"/>
      <c r="G231" s="174"/>
      <c r="H231" s="174"/>
      <c r="I231" s="174"/>
      <c r="J231" s="174"/>
      <c r="K231" s="174"/>
      <c r="L231" s="174"/>
      <c r="M231" s="174"/>
      <c r="N231" s="174"/>
      <c r="O231" s="174"/>
      <c r="P231" s="174"/>
      <c r="Q231" s="174"/>
      <c r="R231" s="174"/>
      <c r="S231" s="174"/>
      <c r="T231" s="174"/>
      <c r="U231" s="174"/>
      <c r="V231" s="174"/>
      <c r="W231" s="160"/>
      <c r="X231" s="160"/>
      <c r="Y231" s="160"/>
      <c r="Z231" s="160"/>
      <c r="AA231" s="160"/>
      <c r="AB231" s="160"/>
      <c r="AC231" s="160"/>
      <c r="AD231" s="160"/>
      <c r="AE231" s="160"/>
      <c r="AF231" s="160"/>
      <c r="AG231" s="160"/>
      <c r="AH231" s="160"/>
      <c r="AI231" s="160"/>
      <c r="AJ231" s="179"/>
      <c r="AK231" s="160"/>
      <c r="AL231" s="177"/>
      <c r="AM231" s="177"/>
      <c r="AN231" s="177"/>
      <c r="AO231" s="160"/>
      <c r="AP231" s="160"/>
      <c r="AQ231" s="160"/>
      <c r="AR231" s="160">
        <f>IF($AR$18&gt;0,'Assumptions (Coal)'!V11*Model!$AR$18*AVERAGE('Assumptions (Coal)'!$AK$2:$AP$2)/10^9,0)</f>
        <v>0</v>
      </c>
      <c r="AS231" s="160">
        <f>IF($AR$18&gt;0,'Assumptions (Coal)'!W11*Model!$AR$18*AVERAGE('Assumptions (Coal)'!$AK$2:$AP$2)/10^9,0)</f>
        <v>0</v>
      </c>
      <c r="AT231" s="160">
        <f>IF($AR$18&gt;0,'Assumptions (Coal)'!X11*Model!$AR$18*AVERAGE('Assumptions (Coal)'!$AK$2:$AP$2)/10^9,0)</f>
        <v>0</v>
      </c>
      <c r="AU231" s="160">
        <f>IF($AR$18&gt;0,'Assumptions (Coal)'!Y11*Model!$AR$18*AVERAGE('Assumptions (Coal)'!$AK$2:$AP$2)/10^9,0)</f>
        <v>0</v>
      </c>
      <c r="AV231" s="160">
        <f>IF($AR$18&gt;0,'Assumptions (Coal)'!Z11*Model!$AR$18*AVERAGE('Assumptions (Coal)'!$AK$2:$AP$2)/10^9,0)</f>
        <v>0</v>
      </c>
      <c r="AW231" s="160">
        <f>IF($AR$18&gt;0,'Assumptions (Coal)'!AA11*Model!$AR$18*AVERAGE('Assumptions (Coal)'!$AK$2:$AP$2)/10^9,0)</f>
        <v>0</v>
      </c>
      <c r="AX231" s="160">
        <f>IF($AR$18&gt;0,'Assumptions (Coal)'!AB11*Model!$AR$18*AVERAGE('Assumptions (Coal)'!$AK$2:$AP$2)/10^9,0)</f>
        <v>0</v>
      </c>
      <c r="AY231" s="160">
        <f>IF($AR$18&gt;0,'Assumptions (Coal)'!AC11*Model!$AR$18*AVERAGE('Assumptions (Coal)'!$AK$2:$AP$2)/10^9,0)</f>
        <v>0</v>
      </c>
      <c r="AZ231" s="160">
        <f>IF($AR$18&gt;0,'Assumptions (Coal)'!AD11*Model!$AR$18*AVERAGE('Assumptions (Coal)'!$AK$2:$AP$2)/10^9,0)</f>
        <v>0</v>
      </c>
      <c r="BA231" s="160">
        <f>IF($AR$18&gt;0,'Assumptions (Coal)'!AE11*Model!$AR$18*AVERAGE('Assumptions (Coal)'!$AK$2:$AP$2)/10^9,0)</f>
        <v>0</v>
      </c>
      <c r="BB231" s="160">
        <f>IF($AR$18&gt;0,'Assumptions (Coal)'!AF11*Model!$AR$18*AVERAGE('Assumptions (Coal)'!$AK$2:$AP$2)/10^9,0)</f>
        <v>0</v>
      </c>
      <c r="BC231" s="160">
        <f>IF($AR$18&gt;0,'Assumptions (Coal)'!AG11*Model!$AR$18*AVERAGE('Assumptions (Coal)'!$AK$2:$AP$2)/10^9,0)</f>
        <v>0</v>
      </c>
      <c r="BD231" s="160">
        <f>IF($AR$18&gt;0,'Assumptions (Coal)'!AH11*Model!$AR$18*AVERAGE('Assumptions (Coal)'!$AK$2:$AP$2)/10^9,0)</f>
        <v>0</v>
      </c>
      <c r="BE231" s="160">
        <f>IF($AR$18&gt;0,'Assumptions (Coal)'!AI11*Model!$AR$18*AVERAGE('Assumptions (Coal)'!$AK$2:$AP$2)/10^9,0)</f>
        <v>0</v>
      </c>
      <c r="BF231" s="160">
        <f>IF($AR$18&gt;0,'Assumptions (Coal)'!AJ11*Model!$AR$18*AVERAGE('Assumptions (Coal)'!$AK$2:$AP$2)/10^9,0)</f>
        <v>0</v>
      </c>
      <c r="BG231" s="160">
        <f>IF($AR$18&gt;0,'Assumptions (Coal)'!AK11*Model!$AR$18*AVERAGE('Assumptions (Coal)'!$AK$2:$AP$2)/10^9,0)</f>
        <v>0</v>
      </c>
      <c r="BH231" s="160">
        <f>IF($AR$18&gt;0,'Assumptions (Coal)'!AL11*Model!$AR$18*AVERAGE('Assumptions (Coal)'!$AK$2:$AP$2)/10^9,0)</f>
        <v>0</v>
      </c>
      <c r="BI231" s="160">
        <f>IF($AR$18&gt;0,'Assumptions (Coal)'!AM11*Model!$AR$18*AVERAGE('Assumptions (Coal)'!$AK$2:$AP$2)/10^9,0)</f>
        <v>0</v>
      </c>
      <c r="BJ231" s="160">
        <f>IF($AR$18&gt;0,'Assumptions (Coal)'!AN11*Model!$AR$18*AVERAGE('Assumptions (Coal)'!$AK$2:$AP$2)/10^9,0)</f>
        <v>0</v>
      </c>
      <c r="BK231" s="160">
        <f>IF($AR$18&gt;0,'Assumptions (Coal)'!AO11*Model!$AR$18*AVERAGE('Assumptions (Coal)'!$AK$2:$AP$2)/10^9,0)</f>
        <v>0</v>
      </c>
      <c r="BL231" s="160">
        <f>IF($AR$18&gt;0,'Assumptions (Coal)'!AP11*Model!$AR$18*AVERAGE('Assumptions (Coal)'!$AK$2:$AP$2)/10^9,0)</f>
        <v>0</v>
      </c>
      <c r="BM231" s="160"/>
      <c r="BN231" s="160"/>
      <c r="BO231" s="160"/>
      <c r="BP231" s="160"/>
    </row>
    <row r="232" ht="15.75" hidden="1" customHeight="1" outlineLevel="1">
      <c r="A232" s="158"/>
      <c r="B232" s="38"/>
      <c r="C232" s="174"/>
      <c r="D232" s="174"/>
      <c r="E232" s="174"/>
      <c r="F232" s="174"/>
      <c r="G232" s="174"/>
      <c r="H232" s="174"/>
      <c r="I232" s="174"/>
      <c r="J232" s="174"/>
      <c r="K232" s="174"/>
      <c r="L232" s="174"/>
      <c r="M232" s="174"/>
      <c r="N232" s="174"/>
      <c r="O232" s="174"/>
      <c r="P232" s="174"/>
      <c r="Q232" s="174"/>
      <c r="R232" s="174"/>
      <c r="S232" s="174"/>
      <c r="T232" s="174"/>
      <c r="U232" s="174"/>
      <c r="V232" s="174"/>
      <c r="W232" s="160"/>
      <c r="X232" s="160"/>
      <c r="Y232" s="160"/>
      <c r="Z232" s="160"/>
      <c r="AA232" s="160"/>
      <c r="AB232" s="160"/>
      <c r="AC232" s="160"/>
      <c r="AD232" s="160"/>
      <c r="AE232" s="160"/>
      <c r="AF232" s="160"/>
      <c r="AG232" s="160"/>
      <c r="AH232" s="160"/>
      <c r="AI232" s="160"/>
      <c r="AJ232" s="179"/>
      <c r="AK232" s="160"/>
      <c r="AL232" s="177"/>
      <c r="AM232" s="177"/>
      <c r="AN232" s="177"/>
      <c r="AO232" s="160"/>
      <c r="AP232" s="160"/>
      <c r="AQ232" s="160"/>
      <c r="AR232" s="160"/>
      <c r="AS232" s="160">
        <f>IF($AS$18&gt;0,'Assumptions (Coal)'!V11*Model!$AS$18*AVERAGE('Assumptions (Coal)'!$AL$2:$AQ$2)/10^9,0)</f>
        <v>0</v>
      </c>
      <c r="AT232" s="160">
        <f>IF($AS$18&gt;0,'Assumptions (Coal)'!W11*Model!$AS$18*AVERAGE('Assumptions (Coal)'!$AL$2:$AQ$2)/10^9,0)</f>
        <v>0</v>
      </c>
      <c r="AU232" s="160">
        <f>IF($AS$18&gt;0,'Assumptions (Coal)'!X11*Model!$AS$18*AVERAGE('Assumptions (Coal)'!$AL$2:$AQ$2)/10^9,0)</f>
        <v>0</v>
      </c>
      <c r="AV232" s="160">
        <f>IF($AS$18&gt;0,'Assumptions (Coal)'!Y11*Model!$AS$18*AVERAGE('Assumptions (Coal)'!$AL$2:$AQ$2)/10^9,0)</f>
        <v>0</v>
      </c>
      <c r="AW232" s="160">
        <f>IF($AS$18&gt;0,'Assumptions (Coal)'!Z11*Model!$AS$18*AVERAGE('Assumptions (Coal)'!$AL$2:$AQ$2)/10^9,0)</f>
        <v>0</v>
      </c>
      <c r="AX232" s="160">
        <f>IF($AS$18&gt;0,'Assumptions (Coal)'!AA11*Model!$AS$18*AVERAGE('Assumptions (Coal)'!$AL$2:$AQ$2)/10^9,0)</f>
        <v>0</v>
      </c>
      <c r="AY232" s="160">
        <f>IF($AS$18&gt;0,'Assumptions (Coal)'!AB11*Model!$AS$18*AVERAGE('Assumptions (Coal)'!$AL$2:$AQ$2)/10^9,0)</f>
        <v>0</v>
      </c>
      <c r="AZ232" s="160">
        <f>IF($AS$18&gt;0,'Assumptions (Coal)'!AC11*Model!$AS$18*AVERAGE('Assumptions (Coal)'!$AL$2:$AQ$2)/10^9,0)</f>
        <v>0</v>
      </c>
      <c r="BA232" s="160">
        <f>IF($AS$18&gt;0,'Assumptions (Coal)'!AD11*Model!$AS$18*AVERAGE('Assumptions (Coal)'!$AL$2:$AQ$2)/10^9,0)</f>
        <v>0</v>
      </c>
      <c r="BB232" s="160">
        <f>IF($AS$18&gt;0,'Assumptions (Coal)'!AE11*Model!$AS$18*AVERAGE('Assumptions (Coal)'!$AL$2:$AQ$2)/10^9,0)</f>
        <v>0</v>
      </c>
      <c r="BC232" s="160">
        <f>IF($AS$18&gt;0,'Assumptions (Coal)'!AF11*Model!$AS$18*AVERAGE('Assumptions (Coal)'!$AL$2:$AQ$2)/10^9,0)</f>
        <v>0</v>
      </c>
      <c r="BD232" s="160">
        <f>IF($AS$18&gt;0,'Assumptions (Coal)'!AG11*Model!$AS$18*AVERAGE('Assumptions (Coal)'!$AL$2:$AQ$2)/10^9,0)</f>
        <v>0</v>
      </c>
      <c r="BE232" s="160">
        <f>IF($AS$18&gt;0,'Assumptions (Coal)'!AH11*Model!$AS$18*AVERAGE('Assumptions (Coal)'!$AL$2:$AQ$2)/10^9,0)</f>
        <v>0</v>
      </c>
      <c r="BF232" s="160">
        <f>IF($AS$18&gt;0,'Assumptions (Coal)'!AI11*Model!$AS$18*AVERAGE('Assumptions (Coal)'!$AL$2:$AQ$2)/10^9,0)</f>
        <v>0</v>
      </c>
      <c r="BG232" s="160">
        <f>IF($AS$18&gt;0,'Assumptions (Coal)'!AJ11*Model!$AS$18*AVERAGE('Assumptions (Coal)'!$AL$2:$AQ$2)/10^9,0)</f>
        <v>0</v>
      </c>
      <c r="BH232" s="160">
        <f>IF($AS$18&gt;0,'Assumptions (Coal)'!AK11*Model!$AS$18*AVERAGE('Assumptions (Coal)'!$AL$2:$AQ$2)/10^9,0)</f>
        <v>0</v>
      </c>
      <c r="BI232" s="160">
        <f>IF($AS$18&gt;0,'Assumptions (Coal)'!AL11*Model!$AS$18*AVERAGE('Assumptions (Coal)'!$AL$2:$AQ$2)/10^9,0)</f>
        <v>0</v>
      </c>
      <c r="BJ232" s="160">
        <f>IF($AS$18&gt;0,'Assumptions (Coal)'!AM11*Model!$AS$18*AVERAGE('Assumptions (Coal)'!$AL$2:$AQ$2)/10^9,0)</f>
        <v>0</v>
      </c>
      <c r="BK232" s="160">
        <f>IF($AS$18&gt;0,'Assumptions (Coal)'!AN11*Model!$AS$18*AVERAGE('Assumptions (Coal)'!$AL$2:$AQ$2)/10^9,0)</f>
        <v>0</v>
      </c>
      <c r="BL232" s="160">
        <f>IF($AS$18&gt;0,'Assumptions (Coal)'!AO11*Model!$AS$18*AVERAGE('Assumptions (Coal)'!$AL$2:$AQ$2)/10^9,0)</f>
        <v>0</v>
      </c>
      <c r="BM232" s="160">
        <f>IF($AS$18&gt;0,'Assumptions (Coal)'!AP11*Model!$AS$18*AVERAGE('Assumptions (Coal)'!$AL$2:$AQ$2)/10^9,0)</f>
        <v>0</v>
      </c>
      <c r="BN232" s="160"/>
      <c r="BO232" s="160"/>
      <c r="BP232" s="160"/>
      <c r="BQ232" s="160"/>
      <c r="BR232" s="160"/>
    </row>
    <row r="233" ht="15.75" hidden="1" customHeight="1" outlineLevel="1">
      <c r="A233" s="158"/>
      <c r="B233" s="38"/>
      <c r="C233" s="174"/>
      <c r="D233" s="174"/>
      <c r="E233" s="174"/>
      <c r="F233" s="174"/>
      <c r="G233" s="174"/>
      <c r="H233" s="174"/>
      <c r="I233" s="174"/>
      <c r="J233" s="174"/>
      <c r="K233" s="174"/>
      <c r="L233" s="174"/>
      <c r="M233" s="174"/>
      <c r="N233" s="174"/>
      <c r="O233" s="174"/>
      <c r="P233" s="174"/>
      <c r="Q233" s="174"/>
      <c r="R233" s="174"/>
      <c r="S233" s="174"/>
      <c r="T233" s="174"/>
      <c r="U233" s="174"/>
      <c r="V233" s="174"/>
      <c r="W233" s="160"/>
      <c r="X233" s="160"/>
      <c r="Y233" s="160"/>
      <c r="Z233" s="160"/>
      <c r="AA233" s="160"/>
      <c r="AB233" s="160"/>
      <c r="AC233" s="160"/>
      <c r="AD233" s="160"/>
      <c r="AE233" s="160"/>
      <c r="AF233" s="160"/>
      <c r="AG233" s="160"/>
      <c r="AH233" s="160"/>
      <c r="AI233" s="160"/>
      <c r="AJ233" s="179"/>
      <c r="AK233" s="160"/>
      <c r="AL233" s="177"/>
      <c r="AM233" s="177"/>
      <c r="AN233" s="177"/>
      <c r="AO233" s="160"/>
      <c r="AP233" s="160"/>
      <c r="AQ233" s="160"/>
      <c r="AR233" s="160"/>
      <c r="AS233" s="160"/>
      <c r="AT233" s="160">
        <f>IF($AT$18&gt;0,'Assumptions (Coal)'!V11*Model!$AT$18*AVERAGE('Assumptions (Coal)'!$AM$2:$AR$2)/10^9,0)</f>
        <v>0</v>
      </c>
      <c r="AU233" s="160">
        <f>IF($AT$18&gt;0,'Assumptions (Coal)'!W11*Model!$AT$18*AVERAGE('Assumptions (Coal)'!$AM$2:$AR$2)/10^9,0)</f>
        <v>0</v>
      </c>
      <c r="AV233" s="160">
        <f>IF($AT$18&gt;0,'Assumptions (Coal)'!X11*Model!$AT$18*AVERAGE('Assumptions (Coal)'!$AM$2:$AR$2)/10^9,0)</f>
        <v>0</v>
      </c>
      <c r="AW233" s="160">
        <f>IF($AT$18&gt;0,'Assumptions (Coal)'!Y11*Model!$AT$18*AVERAGE('Assumptions (Coal)'!$AM$2:$AR$2)/10^9,0)</f>
        <v>0</v>
      </c>
      <c r="AX233" s="160">
        <f>IF($AT$18&gt;0,'Assumptions (Coal)'!Z11*Model!$AT$18*AVERAGE('Assumptions (Coal)'!$AM$2:$AR$2)/10^9,0)</f>
        <v>0</v>
      </c>
      <c r="AY233" s="160">
        <f>IF($AT$18&gt;0,'Assumptions (Coal)'!AA11*Model!$AT$18*AVERAGE('Assumptions (Coal)'!$AM$2:$AR$2)/10^9,0)</f>
        <v>0</v>
      </c>
      <c r="AZ233" s="160">
        <f>IF($AT$18&gt;0,'Assumptions (Coal)'!AB11*Model!$AT$18*AVERAGE('Assumptions (Coal)'!$AM$2:$AR$2)/10^9,0)</f>
        <v>0</v>
      </c>
      <c r="BA233" s="160">
        <f>IF($AT$18&gt;0,'Assumptions (Coal)'!AC11*Model!$AT$18*AVERAGE('Assumptions (Coal)'!$AM$2:$AR$2)/10^9,0)</f>
        <v>0</v>
      </c>
      <c r="BB233" s="160">
        <f>IF($AT$18&gt;0,'Assumptions (Coal)'!AD11*Model!$AT$18*AVERAGE('Assumptions (Coal)'!$AM$2:$AR$2)/10^9,0)</f>
        <v>0</v>
      </c>
      <c r="BC233" s="160">
        <f>IF($AT$18&gt;0,'Assumptions (Coal)'!AE11*Model!$AT$18*AVERAGE('Assumptions (Coal)'!$AM$2:$AR$2)/10^9,0)</f>
        <v>0</v>
      </c>
      <c r="BD233" s="160">
        <f>IF($AT$18&gt;0,'Assumptions (Coal)'!AF11*Model!$AT$18*AVERAGE('Assumptions (Coal)'!$AM$2:$AR$2)/10^9,0)</f>
        <v>0</v>
      </c>
      <c r="BE233" s="160">
        <f>IF($AT$18&gt;0,'Assumptions (Coal)'!AG11*Model!$AT$18*AVERAGE('Assumptions (Coal)'!$AM$2:$AR$2)/10^9,0)</f>
        <v>0</v>
      </c>
      <c r="BF233" s="160">
        <f>IF($AT$18&gt;0,'Assumptions (Coal)'!AH11*Model!$AT$18*AVERAGE('Assumptions (Coal)'!$AM$2:$AR$2)/10^9,0)</f>
        <v>0</v>
      </c>
      <c r="BG233" s="160">
        <f>IF($AT$18&gt;0,'Assumptions (Coal)'!AI11*Model!$AT$18*AVERAGE('Assumptions (Coal)'!$AM$2:$AR$2)/10^9,0)</f>
        <v>0</v>
      </c>
      <c r="BH233" s="160">
        <f>IF($AT$18&gt;0,'Assumptions (Coal)'!AJ11*Model!$AT$18*AVERAGE('Assumptions (Coal)'!$AM$2:$AR$2)/10^9,0)</f>
        <v>0</v>
      </c>
      <c r="BI233" s="160">
        <f>IF($AT$18&gt;0,'Assumptions (Coal)'!AK11*Model!$AT$18*AVERAGE('Assumptions (Coal)'!$AM$2:$AR$2)/10^9,0)</f>
        <v>0</v>
      </c>
      <c r="BJ233" s="160">
        <f>IF($AT$18&gt;0,'Assumptions (Coal)'!AL11*Model!$AT$18*AVERAGE('Assumptions (Coal)'!$AM$2:$AR$2)/10^9,0)</f>
        <v>0</v>
      </c>
      <c r="BK233" s="160">
        <f>IF($AT$18&gt;0,'Assumptions (Coal)'!AM11*Model!$AT$18*AVERAGE('Assumptions (Coal)'!$AM$2:$AR$2)/10^9,0)</f>
        <v>0</v>
      </c>
      <c r="BL233" s="160">
        <f>IF($AT$18&gt;0,'Assumptions (Coal)'!AN11*Model!$AT$18*AVERAGE('Assumptions (Coal)'!$AM$2:$AR$2)/10^9,0)</f>
        <v>0</v>
      </c>
      <c r="BM233" s="160">
        <f>IF($AT$18&gt;0,'Assumptions (Coal)'!AO11*Model!$AT$18*AVERAGE('Assumptions (Coal)'!$AM$2:$AR$2)/10^9,0)</f>
        <v>0</v>
      </c>
      <c r="BN233" s="160">
        <f>IF($AT$18&gt;0,'Assumptions (Coal)'!AP11*Model!$AT$18*AVERAGE('Assumptions (Coal)'!$AM$2:$AR$2)/10^9,0)</f>
        <v>0</v>
      </c>
      <c r="BO233" s="160"/>
      <c r="BP233" s="160"/>
      <c r="BQ233" s="160"/>
      <c r="BR233" s="160"/>
    </row>
    <row r="234" ht="15.75" hidden="1" customHeight="1" outlineLevel="1">
      <c r="A234" s="158"/>
      <c r="B234" s="38"/>
      <c r="C234" s="174"/>
      <c r="D234" s="174"/>
      <c r="E234" s="174"/>
      <c r="F234" s="174"/>
      <c r="G234" s="174"/>
      <c r="H234" s="174"/>
      <c r="I234" s="174"/>
      <c r="J234" s="174"/>
      <c r="K234" s="174"/>
      <c r="L234" s="174"/>
      <c r="M234" s="174"/>
      <c r="N234" s="174"/>
      <c r="O234" s="174"/>
      <c r="P234" s="174"/>
      <c r="Q234" s="174"/>
      <c r="R234" s="174"/>
      <c r="S234" s="174"/>
      <c r="T234" s="174"/>
      <c r="U234" s="174"/>
      <c r="V234" s="174"/>
      <c r="W234" s="160"/>
      <c r="X234" s="160"/>
      <c r="Y234" s="160"/>
      <c r="Z234" s="160"/>
      <c r="AA234" s="160"/>
      <c r="AB234" s="160"/>
      <c r="AC234" s="160"/>
      <c r="AD234" s="160"/>
      <c r="AE234" s="160"/>
      <c r="AF234" s="160"/>
      <c r="AG234" s="160"/>
      <c r="AH234" s="160"/>
      <c r="AI234" s="160"/>
      <c r="AJ234" s="179"/>
      <c r="AK234" s="160"/>
      <c r="AL234" s="177"/>
      <c r="AM234" s="177"/>
      <c r="AN234" s="177"/>
      <c r="AO234" s="160"/>
      <c r="AP234" s="160"/>
      <c r="AQ234" s="160"/>
      <c r="AR234" s="160"/>
      <c r="AS234" s="160"/>
      <c r="AT234" s="160"/>
      <c r="AU234" s="160">
        <f>IF($AU$18&gt;0,'Assumptions (Coal)'!V11*Model!$AU$18*AVERAGE('Assumptions (Coal)'!$AN$2:$AS$2)/10^9,0)</f>
        <v>0</v>
      </c>
      <c r="AV234" s="160">
        <f>IF($AU$18&gt;0,'Assumptions (Coal)'!W11*Model!$AU$18*AVERAGE('Assumptions (Coal)'!$AN$2:$AS$2)/10^9,0)</f>
        <v>0</v>
      </c>
      <c r="AW234" s="160">
        <f>IF($AU$18&gt;0,'Assumptions (Coal)'!X11*Model!$AU$18*AVERAGE('Assumptions (Coal)'!$AN$2:$AS$2)/10^9,0)</f>
        <v>0</v>
      </c>
      <c r="AX234" s="160">
        <f>IF($AU$18&gt;0,'Assumptions (Coal)'!Y11*Model!$AU$18*AVERAGE('Assumptions (Coal)'!$AN$2:$AS$2)/10^9,0)</f>
        <v>0</v>
      </c>
      <c r="AY234" s="160">
        <f>IF($AU$18&gt;0,'Assumptions (Coal)'!Z11*Model!$AU$18*AVERAGE('Assumptions (Coal)'!$AN$2:$AS$2)/10^9,0)</f>
        <v>0</v>
      </c>
      <c r="AZ234" s="160">
        <f>IF($AU$18&gt;0,'Assumptions (Coal)'!AA11*Model!$AU$18*AVERAGE('Assumptions (Coal)'!$AN$2:$AS$2)/10^9,0)</f>
        <v>0</v>
      </c>
      <c r="BA234" s="160">
        <f>IF($AU$18&gt;0,'Assumptions (Coal)'!AB11*Model!$AU$18*AVERAGE('Assumptions (Coal)'!$AN$2:$AS$2)/10^9,0)</f>
        <v>0</v>
      </c>
      <c r="BB234" s="160">
        <f>IF($AU$18&gt;0,'Assumptions (Coal)'!AC11*Model!$AU$18*AVERAGE('Assumptions (Coal)'!$AN$2:$AS$2)/10^9,0)</f>
        <v>0</v>
      </c>
      <c r="BC234" s="160">
        <f>IF($AU$18&gt;0,'Assumptions (Coal)'!AD11*Model!$AU$18*AVERAGE('Assumptions (Coal)'!$AN$2:$AS$2)/10^9,0)</f>
        <v>0</v>
      </c>
      <c r="BD234" s="160">
        <f>IF($AU$18&gt;0,'Assumptions (Coal)'!AE11*Model!$AU$18*AVERAGE('Assumptions (Coal)'!$AN$2:$AS$2)/10^9,0)</f>
        <v>0</v>
      </c>
      <c r="BE234" s="160">
        <f>IF($AU$18&gt;0,'Assumptions (Coal)'!AF11*Model!$AU$18*AVERAGE('Assumptions (Coal)'!$AN$2:$AS$2)/10^9,0)</f>
        <v>0</v>
      </c>
      <c r="BF234" s="160">
        <f>IF($AU$18&gt;0,'Assumptions (Coal)'!AG11*Model!$AU$18*AVERAGE('Assumptions (Coal)'!$AN$2:$AS$2)/10^9,0)</f>
        <v>0</v>
      </c>
      <c r="BG234" s="160">
        <f>IF($AU$18&gt;0,'Assumptions (Coal)'!AH11*Model!$AU$18*AVERAGE('Assumptions (Coal)'!$AN$2:$AS$2)/10^9,0)</f>
        <v>0</v>
      </c>
      <c r="BH234" s="160">
        <f>IF($AU$18&gt;0,'Assumptions (Coal)'!AI11*Model!$AU$18*AVERAGE('Assumptions (Coal)'!$AN$2:$AS$2)/10^9,0)</f>
        <v>0</v>
      </c>
      <c r="BI234" s="160">
        <f>IF($AU$18&gt;0,'Assumptions (Coal)'!AJ11*Model!$AU$18*AVERAGE('Assumptions (Coal)'!$AN$2:$AS$2)/10^9,0)</f>
        <v>0</v>
      </c>
      <c r="BJ234" s="160">
        <f>IF($AU$18&gt;0,'Assumptions (Coal)'!AK11*Model!$AU$18*AVERAGE('Assumptions (Coal)'!$AN$2:$AS$2)/10^9,0)</f>
        <v>0</v>
      </c>
      <c r="BK234" s="160">
        <f>IF($AU$18&gt;0,'Assumptions (Coal)'!AL11*Model!$AU$18*AVERAGE('Assumptions (Coal)'!$AN$2:$AS$2)/10^9,0)</f>
        <v>0</v>
      </c>
      <c r="BL234" s="160">
        <f>IF($AU$18&gt;0,'Assumptions (Coal)'!AM11*Model!$AU$18*AVERAGE('Assumptions (Coal)'!$AN$2:$AS$2)/10^9,0)</f>
        <v>0</v>
      </c>
      <c r="BM234" s="160">
        <f>IF($AU$18&gt;0,'Assumptions (Coal)'!AN11*Model!$AU$18*AVERAGE('Assumptions (Coal)'!$AN$2:$AS$2)/10^9,0)</f>
        <v>0</v>
      </c>
      <c r="BN234" s="160">
        <f>IF($AU$18&gt;0,'Assumptions (Coal)'!AO11*Model!$AU$18*AVERAGE('Assumptions (Coal)'!$AN$2:$AS$2)/10^9,0)</f>
        <v>0</v>
      </c>
      <c r="BO234" s="160">
        <f>IF($AU$18&gt;0,'Assumptions (Coal)'!AP11*Model!$AU$18*AVERAGE('Assumptions (Coal)'!$AN$2:$AS$2)/10^9,0)</f>
        <v>0</v>
      </c>
      <c r="BP234" s="160"/>
      <c r="BQ234" s="160"/>
      <c r="BR234" s="160"/>
      <c r="BS234" s="160"/>
    </row>
    <row r="235" ht="15.75" hidden="1" customHeight="1" outlineLevel="1">
      <c r="A235" s="158"/>
      <c r="B235" s="38"/>
      <c r="C235" s="174"/>
      <c r="D235" s="174"/>
      <c r="E235" s="174"/>
      <c r="F235" s="174"/>
      <c r="G235" s="174"/>
      <c r="H235" s="174"/>
      <c r="I235" s="174"/>
      <c r="J235" s="174"/>
      <c r="K235" s="174"/>
      <c r="L235" s="174"/>
      <c r="M235" s="174"/>
      <c r="N235" s="174"/>
      <c r="O235" s="174"/>
      <c r="P235" s="174"/>
      <c r="Q235" s="174"/>
      <c r="R235" s="174"/>
      <c r="S235" s="174"/>
      <c r="T235" s="174"/>
      <c r="U235" s="174"/>
      <c r="V235" s="174"/>
      <c r="W235" s="160"/>
      <c r="X235" s="160"/>
      <c r="Y235" s="160"/>
      <c r="Z235" s="160"/>
      <c r="AA235" s="160"/>
      <c r="AB235" s="160"/>
      <c r="AC235" s="160"/>
      <c r="AD235" s="160"/>
      <c r="AE235" s="160"/>
      <c r="AF235" s="160"/>
      <c r="AG235" s="160"/>
      <c r="AH235" s="160"/>
      <c r="AI235" s="160"/>
      <c r="AJ235" s="179"/>
      <c r="AK235" s="160"/>
      <c r="AL235" s="177"/>
      <c r="AM235" s="177"/>
      <c r="AN235" s="177"/>
      <c r="AO235" s="160"/>
      <c r="AP235" s="160"/>
      <c r="AQ235" s="160"/>
      <c r="AR235" s="160"/>
      <c r="AS235" s="160"/>
      <c r="AT235" s="160"/>
      <c r="AU235" s="160"/>
      <c r="AV235" s="160">
        <f>IF($AV$18&gt;0,'Assumptions (Coal)'!V11*Model!$AV$18*AVERAGE('Assumptions (Coal)'!$AO$2:$AT$2)/10^9,0)</f>
        <v>0</v>
      </c>
      <c r="AW235" s="160">
        <f>IF($AV$18&gt;0,'Assumptions (Coal)'!W11*Model!$AV$18*AVERAGE('Assumptions (Coal)'!$AO$2:$AT$2)/10^9,0)</f>
        <v>0</v>
      </c>
      <c r="AX235" s="160">
        <f>IF($AV$18&gt;0,'Assumptions (Coal)'!X11*Model!$AV$18*AVERAGE('Assumptions (Coal)'!$AO$2:$AT$2)/10^9,0)</f>
        <v>0</v>
      </c>
      <c r="AY235" s="160">
        <f>IF($AV$18&gt;0,'Assumptions (Coal)'!Y11*Model!$AV$18*AVERAGE('Assumptions (Coal)'!$AO$2:$AT$2)/10^9,0)</f>
        <v>0</v>
      </c>
      <c r="AZ235" s="160">
        <f>IF($AV$18&gt;0,'Assumptions (Coal)'!Z11*Model!$AV$18*AVERAGE('Assumptions (Coal)'!$AO$2:$AT$2)/10^9,0)</f>
        <v>0</v>
      </c>
      <c r="BA235" s="160">
        <f>IF($AV$18&gt;0,'Assumptions (Coal)'!AA11*Model!$AV$18*AVERAGE('Assumptions (Coal)'!$AO$2:$AT$2)/10^9,0)</f>
        <v>0</v>
      </c>
      <c r="BB235" s="160">
        <f>IF($AV$18&gt;0,'Assumptions (Coal)'!AB11*Model!$AV$18*AVERAGE('Assumptions (Coal)'!$AO$2:$AT$2)/10^9,0)</f>
        <v>0</v>
      </c>
      <c r="BC235" s="160">
        <f>IF($AV$18&gt;0,'Assumptions (Coal)'!AC11*Model!$AV$18*AVERAGE('Assumptions (Coal)'!$AO$2:$AT$2)/10^9,0)</f>
        <v>0</v>
      </c>
      <c r="BD235" s="160">
        <f>IF($AV$18&gt;0,'Assumptions (Coal)'!AD11*Model!$AV$18*AVERAGE('Assumptions (Coal)'!$AO$2:$AT$2)/10^9,0)</f>
        <v>0</v>
      </c>
      <c r="BE235" s="160">
        <f>IF($AV$18&gt;0,'Assumptions (Coal)'!AE11*Model!$AV$18*AVERAGE('Assumptions (Coal)'!$AO$2:$AT$2)/10^9,0)</f>
        <v>0</v>
      </c>
      <c r="BF235" s="160">
        <f>IF($AV$18&gt;0,'Assumptions (Coal)'!AF11*Model!$AV$18*AVERAGE('Assumptions (Coal)'!$AO$2:$AT$2)/10^9,0)</f>
        <v>0</v>
      </c>
      <c r="BG235" s="160">
        <f>IF($AV$18&gt;0,'Assumptions (Coal)'!AG11*Model!$AV$18*AVERAGE('Assumptions (Coal)'!$AO$2:$AT$2)/10^9,0)</f>
        <v>0</v>
      </c>
      <c r="BH235" s="160">
        <f>IF($AV$18&gt;0,'Assumptions (Coal)'!AH11*Model!$AV$18*AVERAGE('Assumptions (Coal)'!$AO$2:$AT$2)/10^9,0)</f>
        <v>0</v>
      </c>
      <c r="BI235" s="160">
        <f>IF($AV$18&gt;0,'Assumptions (Coal)'!AI11*Model!$AV$18*AVERAGE('Assumptions (Coal)'!$AO$2:$AT$2)/10^9,0)</f>
        <v>0</v>
      </c>
      <c r="BJ235" s="160">
        <f>IF($AV$18&gt;0,'Assumptions (Coal)'!AJ11*Model!$AV$18*AVERAGE('Assumptions (Coal)'!$AO$2:$AT$2)/10^9,0)</f>
        <v>0</v>
      </c>
      <c r="BK235" s="160">
        <f>IF($AV$18&gt;0,'Assumptions (Coal)'!AK11*Model!$AV$18*AVERAGE('Assumptions (Coal)'!$AO$2:$AT$2)/10^9,0)</f>
        <v>0</v>
      </c>
      <c r="BL235" s="160">
        <f>IF($AV$18&gt;0,'Assumptions (Coal)'!AL11*Model!$AV$18*AVERAGE('Assumptions (Coal)'!$AO$2:$AT$2)/10^9,0)</f>
        <v>0</v>
      </c>
      <c r="BM235" s="160">
        <f>IF($AV$18&gt;0,'Assumptions (Coal)'!AM11*Model!$AV$18*AVERAGE('Assumptions (Coal)'!$AO$2:$AT$2)/10^9,0)</f>
        <v>0</v>
      </c>
      <c r="BN235" s="160">
        <f>IF($AV$18&gt;0,'Assumptions (Coal)'!AN11*Model!$AV$18*AVERAGE('Assumptions (Coal)'!$AO$2:$AT$2)/10^9,0)</f>
        <v>0</v>
      </c>
      <c r="BO235" s="160">
        <f>IF($AV$18&gt;0,'Assumptions (Coal)'!AO11*Model!$AV$18*AVERAGE('Assumptions (Coal)'!$AO$2:$AT$2)/10^9,0)</f>
        <v>0</v>
      </c>
      <c r="BP235" s="160">
        <f>IF($AV$18&gt;0,'Assumptions (Coal)'!AP11*Model!$AV$18*AVERAGE('Assumptions (Coal)'!$AO$2:$AT$2)/10^9,0)</f>
        <v>0</v>
      </c>
      <c r="BQ235" s="160"/>
      <c r="BR235" s="160"/>
      <c r="BS235" s="160"/>
      <c r="BT235" s="160"/>
    </row>
    <row r="236" ht="15.75" hidden="1" customHeight="1" outlineLevel="1">
      <c r="A236" s="158"/>
      <c r="B236" s="38"/>
      <c r="C236" s="174"/>
      <c r="D236" s="174"/>
      <c r="E236" s="174"/>
      <c r="F236" s="174"/>
      <c r="G236" s="174"/>
      <c r="H236" s="174"/>
      <c r="I236" s="174"/>
      <c r="J236" s="174"/>
      <c r="K236" s="174"/>
      <c r="L236" s="174"/>
      <c r="M236" s="174"/>
      <c r="N236" s="174"/>
      <c r="O236" s="174"/>
      <c r="P236" s="174"/>
      <c r="Q236" s="174"/>
      <c r="R236" s="174"/>
      <c r="S236" s="174"/>
      <c r="T236" s="174"/>
      <c r="U236" s="174"/>
      <c r="V236" s="174"/>
      <c r="W236" s="160"/>
      <c r="X236" s="160"/>
      <c r="Y236" s="160"/>
      <c r="Z236" s="160"/>
      <c r="AA236" s="160"/>
      <c r="AB236" s="160"/>
      <c r="AC236" s="160"/>
      <c r="AD236" s="160"/>
      <c r="AE236" s="160"/>
      <c r="AF236" s="160"/>
      <c r="AG236" s="160"/>
      <c r="AH236" s="160"/>
      <c r="AI236" s="160"/>
      <c r="AJ236" s="179"/>
      <c r="AK236" s="160"/>
      <c r="AL236" s="177"/>
      <c r="AM236" s="177"/>
      <c r="AN236" s="177"/>
      <c r="AO236" s="160"/>
      <c r="AP236" s="160"/>
      <c r="AQ236" s="160"/>
      <c r="AR236" s="160"/>
      <c r="AS236" s="160"/>
      <c r="AT236" s="160"/>
      <c r="AU236" s="160"/>
      <c r="AV236" s="160"/>
      <c r="AW236" s="160">
        <f>IF($AW$18&gt;0,'Assumptions (Coal)'!V11*Model!$AW$18*AVERAGE('Assumptions (Coal)'!$AP$2:$AU$2)/10^9,0)</f>
        <v>0</v>
      </c>
      <c r="AX236" s="160">
        <f>IF($AW$18&gt;0,'Assumptions (Coal)'!W11*Model!$AW$18*AVERAGE('Assumptions (Coal)'!$AP$2:$AU$2)/10^9,0)</f>
        <v>0</v>
      </c>
      <c r="AY236" s="160">
        <f>IF($AW$18&gt;0,'Assumptions (Coal)'!X11*Model!$AW$18*AVERAGE('Assumptions (Coal)'!$AP$2:$AU$2)/10^9,0)</f>
        <v>0</v>
      </c>
      <c r="AZ236" s="160">
        <f>IF($AW$18&gt;0,'Assumptions (Coal)'!Y11*Model!$AW$18*AVERAGE('Assumptions (Coal)'!$AP$2:$AU$2)/10^9,0)</f>
        <v>0</v>
      </c>
      <c r="BA236" s="160">
        <f>IF($AW$18&gt;0,'Assumptions (Coal)'!Z11*Model!$AW$18*AVERAGE('Assumptions (Coal)'!$AP$2:$AU$2)/10^9,0)</f>
        <v>0</v>
      </c>
      <c r="BB236" s="160">
        <f>IF($AW$18&gt;0,'Assumptions (Coal)'!AA11*Model!$AW$18*AVERAGE('Assumptions (Coal)'!$AP$2:$AU$2)/10^9,0)</f>
        <v>0</v>
      </c>
      <c r="BC236" s="160">
        <f>IF($AW$18&gt;0,'Assumptions (Coal)'!AB11*Model!$AW$18*AVERAGE('Assumptions (Coal)'!$AP$2:$AU$2)/10^9,0)</f>
        <v>0</v>
      </c>
      <c r="BD236" s="160">
        <f>IF($AW$18&gt;0,'Assumptions (Coal)'!AC11*Model!$AW$18*AVERAGE('Assumptions (Coal)'!$AP$2:$AU$2)/10^9,0)</f>
        <v>0</v>
      </c>
      <c r="BE236" s="160">
        <f>IF($AW$18&gt;0,'Assumptions (Coal)'!AD11*Model!$AW$18*AVERAGE('Assumptions (Coal)'!$AP$2:$AU$2)/10^9,0)</f>
        <v>0</v>
      </c>
      <c r="BF236" s="160">
        <f>IF($AW$18&gt;0,'Assumptions (Coal)'!AE11*Model!$AW$18*AVERAGE('Assumptions (Coal)'!$AP$2:$AU$2)/10^9,0)</f>
        <v>0</v>
      </c>
      <c r="BG236" s="160">
        <f>IF($AW$18&gt;0,'Assumptions (Coal)'!AF11*Model!$AW$18*AVERAGE('Assumptions (Coal)'!$AP$2:$AU$2)/10^9,0)</f>
        <v>0</v>
      </c>
      <c r="BH236" s="160">
        <f>IF($AW$18&gt;0,'Assumptions (Coal)'!AG11*Model!$AW$18*AVERAGE('Assumptions (Coal)'!$AP$2:$AU$2)/10^9,0)</f>
        <v>0</v>
      </c>
      <c r="BI236" s="160">
        <f>IF($AW$18&gt;0,'Assumptions (Coal)'!AH11*Model!$AW$18*AVERAGE('Assumptions (Coal)'!$AP$2:$AU$2)/10^9,0)</f>
        <v>0</v>
      </c>
      <c r="BJ236" s="160">
        <f>IF($AW$18&gt;0,'Assumptions (Coal)'!AI11*Model!$AW$18*AVERAGE('Assumptions (Coal)'!$AP$2:$AU$2)/10^9,0)</f>
        <v>0</v>
      </c>
      <c r="BK236" s="160">
        <f>IF($AW$18&gt;0,'Assumptions (Coal)'!AJ11*Model!$AW$18*AVERAGE('Assumptions (Coal)'!$AP$2:$AU$2)/10^9,0)</f>
        <v>0</v>
      </c>
      <c r="BL236" s="160">
        <f>IF($AW$18&gt;0,'Assumptions (Coal)'!AK11*Model!$AW$18*AVERAGE('Assumptions (Coal)'!$AP$2:$AU$2)/10^9,0)</f>
        <v>0</v>
      </c>
      <c r="BM236" s="160">
        <f>IF($AW$18&gt;0,'Assumptions (Coal)'!AL11*Model!$AW$18*AVERAGE('Assumptions (Coal)'!$AP$2:$AU$2)/10^9,0)</f>
        <v>0</v>
      </c>
      <c r="BN236" s="160">
        <f>IF($AW$18&gt;0,'Assumptions (Coal)'!AM11*Model!$AW$18*AVERAGE('Assumptions (Coal)'!$AP$2:$AU$2)/10^9,0)</f>
        <v>0</v>
      </c>
      <c r="BO236" s="160">
        <f>IF($AW$18&gt;0,'Assumptions (Coal)'!AN11*Model!$AW$18*AVERAGE('Assumptions (Coal)'!$AP$2:$AU$2)/10^9,0)</f>
        <v>0</v>
      </c>
      <c r="BP236" s="160">
        <f>IF($AW$18&gt;0,'Assumptions (Coal)'!AO11*Model!$AW$18*AVERAGE('Assumptions (Coal)'!$AP$2:$AU$2)/10^9,0)</f>
        <v>0</v>
      </c>
      <c r="BQ236" s="160">
        <f>IF($AW$18&gt;0,'Assumptions (Coal)'!AP11*Model!$AW$18*AVERAGE('Assumptions (Coal)'!$AP$2:$AU$2)/10^9,0)</f>
        <v>0</v>
      </c>
      <c r="BR236" s="160"/>
      <c r="BS236" s="160"/>
      <c r="BT236" s="160"/>
      <c r="BU236" s="160"/>
    </row>
    <row r="237" ht="15.75" hidden="1" customHeight="1" outlineLevel="1">
      <c r="A237" s="158"/>
      <c r="B237" s="38"/>
      <c r="C237" s="174"/>
      <c r="D237" s="174"/>
      <c r="E237" s="174"/>
      <c r="F237" s="174"/>
      <c r="G237" s="174"/>
      <c r="H237" s="174"/>
      <c r="I237" s="174"/>
      <c r="J237" s="174"/>
      <c r="K237" s="174"/>
      <c r="L237" s="174"/>
      <c r="M237" s="174"/>
      <c r="N237" s="174"/>
      <c r="O237" s="174"/>
      <c r="P237" s="174"/>
      <c r="Q237" s="174"/>
      <c r="R237" s="174"/>
      <c r="S237" s="174"/>
      <c r="T237" s="174"/>
      <c r="U237" s="174"/>
      <c r="V237" s="174"/>
      <c r="W237" s="160"/>
      <c r="X237" s="160"/>
      <c r="Y237" s="160"/>
      <c r="Z237" s="160"/>
      <c r="AA237" s="160"/>
      <c r="AB237" s="160"/>
      <c r="AC237" s="160"/>
      <c r="AD237" s="160"/>
      <c r="AE237" s="160"/>
      <c r="AF237" s="160"/>
      <c r="AG237" s="160"/>
      <c r="AH237" s="160"/>
      <c r="AI237" s="160"/>
      <c r="AJ237" s="179"/>
      <c r="AK237" s="160"/>
      <c r="AL237" s="177"/>
      <c r="AM237" s="177"/>
      <c r="AN237" s="177"/>
      <c r="AO237" s="160"/>
      <c r="AP237" s="160"/>
      <c r="AQ237" s="160"/>
      <c r="AR237" s="160"/>
      <c r="AS237" s="160"/>
      <c r="AT237" s="160"/>
      <c r="AU237" s="160"/>
      <c r="AV237" s="160"/>
      <c r="AW237" s="160"/>
      <c r="AX237" s="160">
        <f>IF($AX$18&gt;0,'Assumptions (Coal)'!V11*Model!$AX$18*AVERAGE('Assumptions (Coal)'!$AQ$2:$AV$2)/10^9,0)</f>
        <v>0</v>
      </c>
      <c r="AY237" s="160">
        <f>IF($AX$18&gt;0,'Assumptions (Coal)'!W11*Model!$AX$18*AVERAGE('Assumptions (Coal)'!$AQ$2:$AV$2)/10^9,0)</f>
        <v>0</v>
      </c>
      <c r="AZ237" s="160">
        <f>IF($AX$18&gt;0,'Assumptions (Coal)'!X11*Model!$AX$18*AVERAGE('Assumptions (Coal)'!$AQ$2:$AV$2)/10^9,0)</f>
        <v>0</v>
      </c>
      <c r="BA237" s="160">
        <f>IF($AX$18&gt;0,'Assumptions (Coal)'!Y11*Model!$AX$18*AVERAGE('Assumptions (Coal)'!$AQ$2:$AV$2)/10^9,0)</f>
        <v>0</v>
      </c>
      <c r="BB237" s="160">
        <f>IF($AX$18&gt;0,'Assumptions (Coal)'!Z11*Model!$AX$18*AVERAGE('Assumptions (Coal)'!$AQ$2:$AV$2)/10^9,0)</f>
        <v>0</v>
      </c>
      <c r="BC237" s="160">
        <f>IF($AX$18&gt;0,'Assumptions (Coal)'!AA11*Model!$AX$18*AVERAGE('Assumptions (Coal)'!$AQ$2:$AV$2)/10^9,0)</f>
        <v>0</v>
      </c>
      <c r="BD237" s="160">
        <f>IF($AX$18&gt;0,'Assumptions (Coal)'!AB11*Model!$AX$18*AVERAGE('Assumptions (Coal)'!$AQ$2:$AV$2)/10^9,0)</f>
        <v>0</v>
      </c>
      <c r="BE237" s="160">
        <f>IF($AX$18&gt;0,'Assumptions (Coal)'!AC11*Model!$AX$18*AVERAGE('Assumptions (Coal)'!$AQ$2:$AV$2)/10^9,0)</f>
        <v>0</v>
      </c>
      <c r="BF237" s="160">
        <f>IF($AX$18&gt;0,'Assumptions (Coal)'!AD11*Model!$AX$18*AVERAGE('Assumptions (Coal)'!$AQ$2:$AV$2)/10^9,0)</f>
        <v>0</v>
      </c>
      <c r="BG237" s="160">
        <f>IF($AX$18&gt;0,'Assumptions (Coal)'!AE11*Model!$AX$18*AVERAGE('Assumptions (Coal)'!$AQ$2:$AV$2)/10^9,0)</f>
        <v>0</v>
      </c>
      <c r="BH237" s="160">
        <f>IF($AX$18&gt;0,'Assumptions (Coal)'!AF11*Model!$AX$18*AVERAGE('Assumptions (Coal)'!$AQ$2:$AV$2)/10^9,0)</f>
        <v>0</v>
      </c>
      <c r="BI237" s="160">
        <f>IF($AX$18&gt;0,'Assumptions (Coal)'!AG11*Model!$AX$18*AVERAGE('Assumptions (Coal)'!$AQ$2:$AV$2)/10^9,0)</f>
        <v>0</v>
      </c>
      <c r="BJ237" s="160">
        <f>IF($AX$18&gt;0,'Assumptions (Coal)'!AH11*Model!$AX$18*AVERAGE('Assumptions (Coal)'!$AQ$2:$AV$2)/10^9,0)</f>
        <v>0</v>
      </c>
      <c r="BK237" s="160">
        <f>IF($AX$18&gt;0,'Assumptions (Coal)'!AI11*Model!$AX$18*AVERAGE('Assumptions (Coal)'!$AQ$2:$AV$2)/10^9,0)</f>
        <v>0</v>
      </c>
      <c r="BL237" s="160">
        <f>IF($AX$18&gt;0,'Assumptions (Coal)'!AJ11*Model!$AX$18*AVERAGE('Assumptions (Coal)'!$AQ$2:$AV$2)/10^9,0)</f>
        <v>0</v>
      </c>
      <c r="BM237" s="160">
        <f>IF($AX$18&gt;0,'Assumptions (Coal)'!AK11*Model!$AX$18*AVERAGE('Assumptions (Coal)'!$AQ$2:$AV$2)/10^9,0)</f>
        <v>0</v>
      </c>
      <c r="BN237" s="160">
        <f>IF($AX$18&gt;0,'Assumptions (Coal)'!AL11*Model!$AX$18*AVERAGE('Assumptions (Coal)'!$AQ$2:$AV$2)/10^9,0)</f>
        <v>0</v>
      </c>
      <c r="BO237" s="160">
        <f>IF($AX$18&gt;0,'Assumptions (Coal)'!AM11*Model!$AX$18*AVERAGE('Assumptions (Coal)'!$AQ$2:$AV$2)/10^9,0)</f>
        <v>0</v>
      </c>
      <c r="BP237" s="160">
        <f>IF($AX$18&gt;0,'Assumptions (Coal)'!AN11*Model!$AX$18*AVERAGE('Assumptions (Coal)'!$AQ$2:$AV$2)/10^9,0)</f>
        <v>0</v>
      </c>
      <c r="BQ237" s="160">
        <f>IF($AX$18&gt;0,'Assumptions (Coal)'!AO11*Model!$AX$18*AVERAGE('Assumptions (Coal)'!$AQ$2:$AV$2)/10^9,0)</f>
        <v>0</v>
      </c>
      <c r="BR237" s="160">
        <f>IF($AX$18&gt;0,'Assumptions (Coal)'!AP11*Model!$AX$18*AVERAGE('Assumptions (Coal)'!$AQ$2:$AV$2)/10^9,0)</f>
        <v>0</v>
      </c>
      <c r="BS237" s="160"/>
      <c r="BT237" s="160"/>
      <c r="BU237" s="160"/>
      <c r="BV237" s="160"/>
    </row>
    <row r="238" ht="15.75" hidden="1" customHeight="1" outlineLevel="1">
      <c r="A238" s="158"/>
      <c r="B238" s="38"/>
      <c r="C238" s="174"/>
      <c r="D238" s="174"/>
      <c r="E238" s="174"/>
      <c r="F238" s="174"/>
      <c r="G238" s="174"/>
      <c r="H238" s="174"/>
      <c r="I238" s="174"/>
      <c r="J238" s="174"/>
      <c r="K238" s="174"/>
      <c r="L238" s="174"/>
      <c r="M238" s="174"/>
      <c r="N238" s="174"/>
      <c r="O238" s="174"/>
      <c r="P238" s="174"/>
      <c r="Q238" s="174"/>
      <c r="R238" s="174"/>
      <c r="S238" s="174"/>
      <c r="T238" s="174"/>
      <c r="U238" s="174"/>
      <c r="V238" s="174"/>
      <c r="W238" s="160"/>
      <c r="X238" s="160"/>
      <c r="Y238" s="160"/>
      <c r="Z238" s="160"/>
      <c r="AA238" s="160"/>
      <c r="AB238" s="160"/>
      <c r="AC238" s="160"/>
      <c r="AD238" s="160"/>
      <c r="AE238" s="160"/>
      <c r="AF238" s="160"/>
      <c r="AG238" s="160"/>
      <c r="AH238" s="160"/>
      <c r="AI238" s="160"/>
      <c r="AJ238" s="179"/>
      <c r="AK238" s="160"/>
      <c r="AL238" s="177"/>
      <c r="AM238" s="177"/>
      <c r="AN238" s="177"/>
      <c r="AO238" s="160"/>
      <c r="AP238" s="160"/>
      <c r="AQ238" s="160"/>
      <c r="AR238" s="160"/>
      <c r="AS238" s="160"/>
      <c r="AT238" s="160"/>
      <c r="AU238" s="160"/>
      <c r="AV238" s="160"/>
      <c r="AW238" s="160"/>
      <c r="AX238" s="160"/>
      <c r="AY238" s="160">
        <f>IF($AY$18&gt;0,'Assumptions (Coal)'!V11*Model!$AY$18*AVERAGE('Assumptions (Coal)'!$AR$2:$AW$2)/10^9,0)</f>
        <v>0</v>
      </c>
      <c r="AZ238" s="160">
        <f>IF($AY$18&gt;0,'Assumptions (Coal)'!W11*Model!$AY$18*AVERAGE('Assumptions (Coal)'!$AR$2:$AW$2)/10^9,0)</f>
        <v>0</v>
      </c>
      <c r="BA238" s="160">
        <f>IF($AY$18&gt;0,'Assumptions (Coal)'!X11*Model!$AY$18*AVERAGE('Assumptions (Coal)'!$AR$2:$AW$2)/10^9,0)</f>
        <v>0</v>
      </c>
      <c r="BB238" s="160">
        <f>IF($AY$18&gt;0,'Assumptions (Coal)'!Y11*Model!$AY$18*AVERAGE('Assumptions (Coal)'!$AR$2:$AW$2)/10^9,0)</f>
        <v>0</v>
      </c>
      <c r="BC238" s="160">
        <f>IF($AY$18&gt;0,'Assumptions (Coal)'!Z11*Model!$AY$18*AVERAGE('Assumptions (Coal)'!$AR$2:$AW$2)/10^9,0)</f>
        <v>0</v>
      </c>
      <c r="BD238" s="160">
        <f>IF($AY$18&gt;0,'Assumptions (Coal)'!AA11*Model!$AY$18*AVERAGE('Assumptions (Coal)'!$AR$2:$AW$2)/10^9,0)</f>
        <v>0</v>
      </c>
      <c r="BE238" s="160">
        <f>IF($AY$18&gt;0,'Assumptions (Coal)'!AB11*Model!$AY$18*AVERAGE('Assumptions (Coal)'!$AR$2:$AW$2)/10^9,0)</f>
        <v>0</v>
      </c>
      <c r="BF238" s="160">
        <f>IF($AY$18&gt;0,'Assumptions (Coal)'!AC11*Model!$AY$18*AVERAGE('Assumptions (Coal)'!$AR$2:$AW$2)/10^9,0)</f>
        <v>0</v>
      </c>
      <c r="BG238" s="160">
        <f>IF($AY$18&gt;0,'Assumptions (Coal)'!AD11*Model!$AY$18*AVERAGE('Assumptions (Coal)'!$AR$2:$AW$2)/10^9,0)</f>
        <v>0</v>
      </c>
      <c r="BH238" s="160">
        <f>IF($AY$18&gt;0,'Assumptions (Coal)'!AE11*Model!$AY$18*AVERAGE('Assumptions (Coal)'!$AR$2:$AW$2)/10^9,0)</f>
        <v>0</v>
      </c>
      <c r="BI238" s="160">
        <f>IF($AY$18&gt;0,'Assumptions (Coal)'!AF11*Model!$AY$18*AVERAGE('Assumptions (Coal)'!$AR$2:$AW$2)/10^9,0)</f>
        <v>0</v>
      </c>
      <c r="BJ238" s="160">
        <f>IF($AY$18&gt;0,'Assumptions (Coal)'!AG11*Model!$AY$18*AVERAGE('Assumptions (Coal)'!$AR$2:$AW$2)/10^9,0)</f>
        <v>0</v>
      </c>
      <c r="BK238" s="160">
        <f>IF($AY$18&gt;0,'Assumptions (Coal)'!AH11*Model!$AY$18*AVERAGE('Assumptions (Coal)'!$AR$2:$AW$2)/10^9,0)</f>
        <v>0</v>
      </c>
      <c r="BL238" s="160">
        <f>IF($AY$18&gt;0,'Assumptions (Coal)'!AI11*Model!$AY$18*AVERAGE('Assumptions (Coal)'!$AR$2:$AW$2)/10^9,0)</f>
        <v>0</v>
      </c>
      <c r="BM238" s="160">
        <f>IF($AY$18&gt;0,'Assumptions (Coal)'!AJ11*Model!$AY$18*AVERAGE('Assumptions (Coal)'!$AR$2:$AW$2)/10^9,0)</f>
        <v>0</v>
      </c>
      <c r="BN238" s="160">
        <f>IF($AY$18&gt;0,'Assumptions (Coal)'!AK11*Model!$AY$18*AVERAGE('Assumptions (Coal)'!$AR$2:$AW$2)/10^9,0)</f>
        <v>0</v>
      </c>
      <c r="BO238" s="160">
        <f>IF($AY$18&gt;0,'Assumptions (Coal)'!AL11*Model!$AY$18*AVERAGE('Assumptions (Coal)'!$AR$2:$AW$2)/10^9,0)</f>
        <v>0</v>
      </c>
      <c r="BP238" s="160">
        <f>IF($AY$18&gt;0,'Assumptions (Coal)'!AM11*Model!$AY$18*AVERAGE('Assumptions (Coal)'!$AR$2:$AW$2)/10^9,0)</f>
        <v>0</v>
      </c>
      <c r="BQ238" s="160">
        <f>IF($AY$18&gt;0,'Assumptions (Coal)'!AN11*Model!$AY$18*AVERAGE('Assumptions (Coal)'!$AR$2:$AW$2)/10^9,0)</f>
        <v>0</v>
      </c>
      <c r="BR238" s="160">
        <f>IF($AY$18&gt;0,'Assumptions (Coal)'!AO11*Model!$AY$18*AVERAGE('Assumptions (Coal)'!$AR$2:$AW$2)/10^9,0)</f>
        <v>0</v>
      </c>
      <c r="BS238" s="160">
        <f>IF($AY$18&gt;0,'Assumptions (Coal)'!AP11*Model!$AY$18*AVERAGE('Assumptions (Coal)'!$AR$2:$AW$2)/10^9,0)</f>
        <v>0</v>
      </c>
      <c r="BT238" s="160"/>
      <c r="BU238" s="160"/>
      <c r="BV238" s="160"/>
      <c r="BW238" s="160"/>
    </row>
    <row r="239" ht="15.75" hidden="1" customHeight="1" outlineLevel="1">
      <c r="A239" s="158"/>
      <c r="B239" s="38"/>
      <c r="C239" s="174"/>
      <c r="D239" s="174"/>
      <c r="E239" s="174"/>
      <c r="F239" s="174"/>
      <c r="G239" s="174"/>
      <c r="H239" s="174"/>
      <c r="I239" s="174"/>
      <c r="J239" s="174"/>
      <c r="K239" s="174"/>
      <c r="L239" s="174"/>
      <c r="M239" s="174"/>
      <c r="N239" s="174"/>
      <c r="O239" s="174"/>
      <c r="P239" s="174"/>
      <c r="Q239" s="174"/>
      <c r="R239" s="174"/>
      <c r="S239" s="174"/>
      <c r="T239" s="174"/>
      <c r="U239" s="174"/>
      <c r="V239" s="174"/>
      <c r="W239" s="160"/>
      <c r="X239" s="160"/>
      <c r="Y239" s="160"/>
      <c r="Z239" s="160"/>
      <c r="AA239" s="160"/>
      <c r="AB239" s="160"/>
      <c r="AC239" s="160"/>
      <c r="AD239" s="160"/>
      <c r="AE239" s="160"/>
      <c r="AF239" s="160"/>
      <c r="AG239" s="160"/>
      <c r="AH239" s="160"/>
      <c r="AI239" s="160"/>
      <c r="AJ239" s="179"/>
      <c r="AK239" s="160"/>
      <c r="AL239" s="177"/>
      <c r="AM239" s="177"/>
      <c r="AN239" s="177"/>
      <c r="AO239" s="160"/>
      <c r="AP239" s="160"/>
      <c r="AQ239" s="160"/>
      <c r="AR239" s="160"/>
      <c r="AS239" s="160"/>
      <c r="AT239" s="160"/>
      <c r="AU239" s="160"/>
      <c r="AV239" s="160"/>
      <c r="AW239" s="160"/>
      <c r="AX239" s="160"/>
      <c r="AY239" s="160"/>
      <c r="AZ239" s="160">
        <f>IF($AZ$18&gt;0,'Assumptions (Coal)'!V11*Model!$AZ$18*AVERAGE('Assumptions (Coal)'!$AS$2:$AX$2)/10^9,0)</f>
        <v>0</v>
      </c>
      <c r="BA239" s="160">
        <f>IF($AZ$18&gt;0,'Assumptions (Coal)'!W11*Model!$AZ$18*AVERAGE('Assumptions (Coal)'!$AS$2:$AX$2)/10^9,0)</f>
        <v>0</v>
      </c>
      <c r="BB239" s="160">
        <f>IF($AZ$18&gt;0,'Assumptions (Coal)'!X11*Model!$AZ$18*AVERAGE('Assumptions (Coal)'!$AS$2:$AX$2)/10^9,0)</f>
        <v>0</v>
      </c>
      <c r="BC239" s="160">
        <f>IF($AZ$18&gt;0,'Assumptions (Coal)'!Y11*Model!$AZ$18*AVERAGE('Assumptions (Coal)'!$AS$2:$AX$2)/10^9,0)</f>
        <v>0</v>
      </c>
      <c r="BD239" s="160">
        <f>IF($AZ$18&gt;0,'Assumptions (Coal)'!Z11*Model!$AZ$18*AVERAGE('Assumptions (Coal)'!$AS$2:$AX$2)/10^9,0)</f>
        <v>0</v>
      </c>
      <c r="BE239" s="160">
        <f>IF($AZ$18&gt;0,'Assumptions (Coal)'!AA11*Model!$AZ$18*AVERAGE('Assumptions (Coal)'!$AS$2:$AX$2)/10^9,0)</f>
        <v>0</v>
      </c>
      <c r="BF239" s="160">
        <f>IF($AZ$18&gt;0,'Assumptions (Coal)'!AB11*Model!$AZ$18*AVERAGE('Assumptions (Coal)'!$AS$2:$AX$2)/10^9,0)</f>
        <v>0</v>
      </c>
      <c r="BG239" s="160">
        <f>IF($AZ$18&gt;0,'Assumptions (Coal)'!AC11*Model!$AZ$18*AVERAGE('Assumptions (Coal)'!$AS$2:$AX$2)/10^9,0)</f>
        <v>0</v>
      </c>
      <c r="BH239" s="160">
        <f>IF($AZ$18&gt;0,'Assumptions (Coal)'!AD11*Model!$AZ$18*AVERAGE('Assumptions (Coal)'!$AS$2:$AX$2)/10^9,0)</f>
        <v>0</v>
      </c>
      <c r="BI239" s="160">
        <f>IF($AZ$18&gt;0,'Assumptions (Coal)'!AE11*Model!$AZ$18*AVERAGE('Assumptions (Coal)'!$AS$2:$AX$2)/10^9,0)</f>
        <v>0</v>
      </c>
      <c r="BJ239" s="160">
        <f>IF($AZ$18&gt;0,'Assumptions (Coal)'!AF11*Model!$AZ$18*AVERAGE('Assumptions (Coal)'!$AS$2:$AX$2)/10^9,0)</f>
        <v>0</v>
      </c>
      <c r="BK239" s="160">
        <f>IF($AZ$18&gt;0,'Assumptions (Coal)'!AG11*Model!$AZ$18*AVERAGE('Assumptions (Coal)'!$AS$2:$AX$2)/10^9,0)</f>
        <v>0</v>
      </c>
      <c r="BL239" s="160">
        <f>IF($AZ$18&gt;0,'Assumptions (Coal)'!AH11*Model!$AZ$18*AVERAGE('Assumptions (Coal)'!$AS$2:$AX$2)/10^9,0)</f>
        <v>0</v>
      </c>
      <c r="BM239" s="160">
        <f>IF($AZ$18&gt;0,'Assumptions (Coal)'!AI11*Model!$AZ$18*AVERAGE('Assumptions (Coal)'!$AS$2:$AX$2)/10^9,0)</f>
        <v>0</v>
      </c>
      <c r="BN239" s="160">
        <f>IF($AZ$18&gt;0,'Assumptions (Coal)'!AJ11*Model!$AZ$18*AVERAGE('Assumptions (Coal)'!$AS$2:$AX$2)/10^9,0)</f>
        <v>0</v>
      </c>
      <c r="BO239" s="160">
        <f>IF($AZ$18&gt;0,'Assumptions (Coal)'!AK11*Model!$AZ$18*AVERAGE('Assumptions (Coal)'!$AS$2:$AX$2)/10^9,0)</f>
        <v>0</v>
      </c>
      <c r="BP239" s="160">
        <f>IF($AZ$18&gt;0,'Assumptions (Coal)'!AL11*Model!$AZ$18*AVERAGE('Assumptions (Coal)'!$AS$2:$AX$2)/10^9,0)</f>
        <v>0</v>
      </c>
      <c r="BQ239" s="160">
        <f>IF($AZ$18&gt;0,'Assumptions (Coal)'!AM11*Model!$AZ$18*AVERAGE('Assumptions (Coal)'!$AS$2:$AX$2)/10^9,0)</f>
        <v>0</v>
      </c>
      <c r="BR239" s="160">
        <f>IF($AZ$18&gt;0,'Assumptions (Coal)'!AN11*Model!$AZ$18*AVERAGE('Assumptions (Coal)'!$AS$2:$AX$2)/10^9,0)</f>
        <v>0</v>
      </c>
      <c r="BS239" s="160">
        <f>IF($AZ$18&gt;0,'Assumptions (Coal)'!AO11*Model!$AZ$18*AVERAGE('Assumptions (Coal)'!$AS$2:$AX$2)/10^9,0)</f>
        <v>0</v>
      </c>
      <c r="BT239" s="160">
        <f>IF($AZ$18&gt;0,'Assumptions (Coal)'!AP11*Model!$AZ$18*AVERAGE('Assumptions (Coal)'!$AS$2:$AX$2)/10^9,0)</f>
        <v>0</v>
      </c>
      <c r="BU239" s="160"/>
      <c r="BV239" s="160"/>
      <c r="BW239" s="160"/>
      <c r="BX239" s="160"/>
    </row>
    <row r="240" ht="15.75" hidden="1" customHeight="1" outlineLevel="1">
      <c r="A240" s="158"/>
      <c r="B240" s="38"/>
      <c r="C240" s="174"/>
      <c r="D240" s="174"/>
      <c r="E240" s="174"/>
      <c r="F240" s="174"/>
      <c r="G240" s="174"/>
      <c r="H240" s="174"/>
      <c r="I240" s="174"/>
      <c r="J240" s="174"/>
      <c r="K240" s="174"/>
      <c r="L240" s="174"/>
      <c r="M240" s="174"/>
      <c r="N240" s="174"/>
      <c r="O240" s="174"/>
      <c r="P240" s="174"/>
      <c r="Q240" s="174"/>
      <c r="R240" s="174"/>
      <c r="S240" s="174"/>
      <c r="T240" s="174"/>
      <c r="U240" s="174"/>
      <c r="V240" s="174"/>
      <c r="W240" s="160"/>
      <c r="X240" s="160"/>
      <c r="Y240" s="160"/>
      <c r="Z240" s="160"/>
      <c r="AA240" s="160"/>
      <c r="AB240" s="160"/>
      <c r="AC240" s="160"/>
      <c r="AD240" s="160"/>
      <c r="AE240" s="160"/>
      <c r="AF240" s="160"/>
      <c r="AG240" s="160"/>
      <c r="AH240" s="160"/>
      <c r="AI240" s="160"/>
      <c r="AJ240" s="179"/>
      <c r="AK240" s="160"/>
      <c r="AL240" s="177"/>
      <c r="AM240" s="177"/>
      <c r="AN240" s="177"/>
      <c r="AO240" s="160"/>
      <c r="AP240" s="160"/>
      <c r="AQ240" s="160"/>
      <c r="AR240" s="160"/>
      <c r="AS240" s="160"/>
      <c r="AT240" s="160"/>
      <c r="AU240" s="160"/>
      <c r="AV240" s="160"/>
      <c r="AW240" s="160"/>
      <c r="AX240" s="160"/>
      <c r="AY240" s="160"/>
      <c r="AZ240" s="160"/>
      <c r="BA240" s="160">
        <f>IF($BA$18&gt;0,'Assumptions (Coal)'!V$11*Model!$BA$18*AVERAGE('Assumptions (Coal)'!$AT$2:$AY$2)/10^9,0)</f>
        <v>0</v>
      </c>
      <c r="BB240" s="160">
        <f>IF($BA$18&gt;0,'Assumptions (Coal)'!W11*Model!$BA$18*AVERAGE('Assumptions (Coal)'!$AT$2:$AY$2)/10^9,0)</f>
        <v>0</v>
      </c>
      <c r="BC240" s="160">
        <f>IF($BA$18&gt;0,'Assumptions (Coal)'!X11*Model!$BA$18*AVERAGE('Assumptions (Coal)'!$AT$2:$AY$2)/10^9,0)</f>
        <v>0</v>
      </c>
      <c r="BD240" s="160">
        <f>IF($BA$18&gt;0,'Assumptions (Coal)'!Y11*Model!$BA$18*AVERAGE('Assumptions (Coal)'!$AT$2:$AY$2)/10^9,0)</f>
        <v>0</v>
      </c>
      <c r="BE240" s="160">
        <f>IF($BA$18&gt;0,'Assumptions (Coal)'!Z11*Model!$BA$18*AVERAGE('Assumptions (Coal)'!$AT$2:$AY$2)/10^9,0)</f>
        <v>0</v>
      </c>
      <c r="BF240" s="160">
        <f>IF($BA$18&gt;0,'Assumptions (Coal)'!AA11*Model!$BA$18*AVERAGE('Assumptions (Coal)'!$AT$2:$AY$2)/10^9,0)</f>
        <v>0</v>
      </c>
      <c r="BG240" s="160">
        <f>IF($BA$18&gt;0,'Assumptions (Coal)'!AB11*Model!$BA$18*AVERAGE('Assumptions (Coal)'!$AT$2:$AY$2)/10^9,0)</f>
        <v>0</v>
      </c>
      <c r="BH240" s="160">
        <f>IF($BA$18&gt;0,'Assumptions (Coal)'!AC11*Model!$BA$18*AVERAGE('Assumptions (Coal)'!$AT$2:$AY$2)/10^9,0)</f>
        <v>0</v>
      </c>
      <c r="BI240" s="160">
        <f>IF($BA$18&gt;0,'Assumptions (Coal)'!AD11*Model!$BA$18*AVERAGE('Assumptions (Coal)'!$AT$2:$AY$2)/10^9,0)</f>
        <v>0</v>
      </c>
      <c r="BJ240" s="160">
        <f>IF($BA$18&gt;0,'Assumptions (Coal)'!AE11*Model!$BA$18*AVERAGE('Assumptions (Coal)'!$AT$2:$AY$2)/10^9,0)</f>
        <v>0</v>
      </c>
      <c r="BK240" s="160">
        <f>IF($BA$18&gt;0,'Assumptions (Coal)'!AF11*Model!$BA$18*AVERAGE('Assumptions (Coal)'!$AT$2:$AY$2)/10^9,0)</f>
        <v>0</v>
      </c>
      <c r="BL240" s="160">
        <f>IF($BA$18&gt;0,'Assumptions (Coal)'!AG11*Model!$BA$18*AVERAGE('Assumptions (Coal)'!$AT$2:$AY$2)/10^9,0)</f>
        <v>0</v>
      </c>
      <c r="BM240" s="160">
        <f>IF($BA$18&gt;0,'Assumptions (Coal)'!AH11*Model!$BA$18*AVERAGE('Assumptions (Coal)'!$AT$2:$AY$2)/10^9,0)</f>
        <v>0</v>
      </c>
      <c r="BN240" s="160">
        <f>IF($BA$18&gt;0,'Assumptions (Coal)'!AI11*Model!$BA$18*AVERAGE('Assumptions (Coal)'!$AT$2:$AY$2)/10^9,0)</f>
        <v>0</v>
      </c>
      <c r="BO240" s="160">
        <f>IF($BA$18&gt;0,'Assumptions (Coal)'!AJ11*Model!$BA$18*AVERAGE('Assumptions (Coal)'!$AT$2:$AY$2)/10^9,0)</f>
        <v>0</v>
      </c>
      <c r="BP240" s="160">
        <f>IF($BA$18&gt;0,'Assumptions (Coal)'!AK11*Model!$BA$18*AVERAGE('Assumptions (Coal)'!$AT$2:$AY$2)/10^9,0)</f>
        <v>0</v>
      </c>
      <c r="BQ240" s="160">
        <f>IF($BA$18&gt;0,'Assumptions (Coal)'!AL11*Model!$BA$18*AVERAGE('Assumptions (Coal)'!$AT$2:$AY$2)/10^9,0)</f>
        <v>0</v>
      </c>
      <c r="BR240" s="160">
        <f>IF($BA$18&gt;0,'Assumptions (Coal)'!AM11*Model!$BA$18*AVERAGE('Assumptions (Coal)'!$AT$2:$AY$2)/10^9,0)</f>
        <v>0</v>
      </c>
      <c r="BS240" s="160">
        <f>IF($BA$18&gt;0,'Assumptions (Coal)'!AN11*Model!$BA$18*AVERAGE('Assumptions (Coal)'!$AT$2:$AY$2)/10^9,0)</f>
        <v>0</v>
      </c>
      <c r="BT240" s="160">
        <f>IF($BA$18&gt;0,'Assumptions (Coal)'!AO11*Model!$BA$18*AVERAGE('Assumptions (Coal)'!$AT$2:$AY$2)/10^9,0)</f>
        <v>0</v>
      </c>
      <c r="BU240" s="160">
        <f>IF($BA$18&gt;0,'Assumptions (Coal)'!AP11*Model!$BA$18*AVERAGE('Assumptions (Coal)'!$AT$2:$AY$2)/10^9,0)</f>
        <v>0</v>
      </c>
      <c r="BV240" s="160"/>
      <c r="BW240" s="160"/>
      <c r="BX240" s="160"/>
      <c r="BY240" s="160"/>
    </row>
    <row r="241" ht="15.75" hidden="1" customHeight="1" outlineLevel="1">
      <c r="A241" s="158"/>
      <c r="B241" s="38"/>
      <c r="C241" s="160"/>
      <c r="D241" s="160"/>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c r="AQ241" s="160"/>
      <c r="AR241" s="160"/>
      <c r="AS241" s="160"/>
      <c r="AT241" s="160"/>
      <c r="AU241" s="160"/>
      <c r="AV241" s="160"/>
      <c r="AW241" s="160"/>
      <c r="AX241" s="160"/>
      <c r="AY241" s="160"/>
      <c r="AZ241" s="160"/>
      <c r="BA241" s="160"/>
      <c r="BB241" s="160">
        <f>IF($BB$18&gt;0,'Assumptions (Coal)'!V$11*Model!$BB$18*AVERAGE('Assumptions (Coal)'!$AU$2:$AZ$2)/10^9,0)</f>
        <v>0</v>
      </c>
      <c r="BC241" s="160">
        <f>IF($BB$18&gt;0,'Assumptions (Coal)'!W$11*Model!$BB$18*AVERAGE('Assumptions (Coal)'!$AU$2:$AZ$2)/10^9,0)</f>
        <v>0</v>
      </c>
      <c r="BD241" s="160">
        <f>IF($BB$18&gt;0,'Assumptions (Coal)'!X$11*Model!$BB$18*AVERAGE('Assumptions (Coal)'!$AU$2:$AZ$2)/10^9,0)</f>
        <v>0</v>
      </c>
      <c r="BE241" s="160">
        <f>IF($BB$18&gt;0,'Assumptions (Coal)'!Y$11*Model!$BB$18*AVERAGE('Assumptions (Coal)'!$AU$2:$AZ$2)/10^9,0)</f>
        <v>0</v>
      </c>
      <c r="BF241" s="160">
        <f>IF($BB$18&gt;0,'Assumptions (Coal)'!Z$11*Model!$BB$18*AVERAGE('Assumptions (Coal)'!$AU$2:$AZ$2)/10^9,0)</f>
        <v>0</v>
      </c>
      <c r="BG241" s="160">
        <f>IF($BB$18&gt;0,'Assumptions (Coal)'!AA$11*Model!$BB$18*AVERAGE('Assumptions (Coal)'!$AU$2:$AZ$2)/10^9,0)</f>
        <v>0</v>
      </c>
      <c r="BH241" s="160">
        <f>IF($BB$18&gt;0,'Assumptions (Coal)'!AB$11*Model!$BB$18*AVERAGE('Assumptions (Coal)'!$AU$2:$AZ$2)/10^9,0)</f>
        <v>0</v>
      </c>
      <c r="BI241" s="160">
        <f>IF($BB$18&gt;0,'Assumptions (Coal)'!AC$11*Model!$BB$18*AVERAGE('Assumptions (Coal)'!$AU$2:$AZ$2)/10^9,0)</f>
        <v>0</v>
      </c>
      <c r="BJ241" s="160">
        <f>IF($BB$18&gt;0,'Assumptions (Coal)'!AD$11*Model!$BB$18*AVERAGE('Assumptions (Coal)'!$AU$2:$AZ$2)/10^9,0)</f>
        <v>0</v>
      </c>
      <c r="BK241" s="160">
        <f>IF($BB$18&gt;0,'Assumptions (Coal)'!AE$11*Model!$BB$18*AVERAGE('Assumptions (Coal)'!$AU$2:$AZ$2)/10^9,0)</f>
        <v>0</v>
      </c>
      <c r="BL241" s="160">
        <f>IF($BB$18&gt;0,'Assumptions (Coal)'!AF$11*Model!$BB$18*AVERAGE('Assumptions (Coal)'!$AU$2:$AZ$2)/10^9,0)</f>
        <v>0</v>
      </c>
      <c r="BM241" s="160">
        <f>IF($BB$18&gt;0,'Assumptions (Coal)'!AG$11*Model!$BB$18*AVERAGE('Assumptions (Coal)'!$AU$2:$AZ$2)/10^9,0)</f>
        <v>0</v>
      </c>
      <c r="BN241" s="160">
        <f>IF($BB$18&gt;0,'Assumptions (Coal)'!AH$11*Model!$BB$18*AVERAGE('Assumptions (Coal)'!$AU$2:$AZ$2)/10^9,0)</f>
        <v>0</v>
      </c>
      <c r="BO241" s="160">
        <f>IF($BB$18&gt;0,'Assumptions (Coal)'!AI$11*Model!$BB$18*AVERAGE('Assumptions (Coal)'!$AU$2:$AZ$2)/10^9,0)</f>
        <v>0</v>
      </c>
      <c r="BP241" s="160">
        <f>IF($BB$18&gt;0,'Assumptions (Coal)'!AJ$11*Model!$BB$18*AVERAGE('Assumptions (Coal)'!$AU$2:$AZ$2)/10^9,0)</f>
        <v>0</v>
      </c>
      <c r="BQ241" s="160">
        <f>IF($BB$18&gt;0,'Assumptions (Coal)'!AK$11*Model!$BB$18*AVERAGE('Assumptions (Coal)'!$AU$2:$AZ$2)/10^9,0)</f>
        <v>0</v>
      </c>
      <c r="BR241" s="160">
        <f>IF($BB$18&gt;0,'Assumptions (Coal)'!AL$11*Model!$BB$18*AVERAGE('Assumptions (Coal)'!$AU$2:$AZ$2)/10^9,0)</f>
        <v>0</v>
      </c>
      <c r="BS241" s="160">
        <f>IF($BB$18&gt;0,'Assumptions (Coal)'!AM$11*Model!$BB$18*AVERAGE('Assumptions (Coal)'!$AU$2:$AZ$2)/10^9,0)</f>
        <v>0</v>
      </c>
      <c r="BT241" s="160">
        <f>IF($BB$18&gt;0,'Assumptions (Coal)'!AN$11*Model!$BB$18*AVERAGE('Assumptions (Coal)'!$AU$2:$AZ$2)/10^9,0)</f>
        <v>0</v>
      </c>
      <c r="BU241" s="160">
        <f>IF($BB$18&gt;0,'Assumptions (Coal)'!AO$11*Model!$BB$18*AVERAGE('Assumptions (Coal)'!$AU$2:$AZ$2)/10^9,0)</f>
        <v>0</v>
      </c>
      <c r="BV241" s="160">
        <f>IF($BB$18&gt;0,'Assumptions (Coal)'!AP$11*Model!$BB$18*AVERAGE('Assumptions (Coal)'!$AU$2:$AZ$2)/10^9,0)</f>
        <v>0</v>
      </c>
      <c r="BW241" s="160"/>
      <c r="BX241" s="160"/>
      <c r="BY241" s="160"/>
    </row>
    <row r="242" ht="15.75" customHeight="1" collapsed="1">
      <c r="A242" s="158" t="s">
        <v>62</v>
      </c>
      <c r="B242" s="159" t="s">
        <v>351</v>
      </c>
      <c r="C242" s="160">
        <f>IF(Model!C16+Model!C17-Model!C10-Model!C11-C189+C136&gt;0,(1-'Assumptions (Coal)'!B36)*(Model!C16+Model!C17-Model!C10-Model!C11-C189+C136)+C189-C82+C83,Model!C16+Model!C17-Model!C10-Model!C11+C136-C82+C83)</f>
        <v>8.70836493</v>
      </c>
      <c r="D242" s="160">
        <f>IF(Model!D16+Model!D17-Model!D10-Model!D11-D189+D136&gt;0,(1-'Assumptions (Coal)'!C36)*(Model!D16+Model!D17-Model!D10-Model!D11-D189+D136)+D189-D82+D83,Model!D16+Model!D17-Model!D10-Model!D11+D136-D82+D83)</f>
        <v>9.362529462</v>
      </c>
      <c r="E242" s="160">
        <f>IF(Model!E16+Model!E17-Model!E10-Model!E11-E189+E136&gt;0,(1-'Assumptions (Coal)'!D36)*(Model!E16+Model!E17-Model!E10-Model!E11-E189+E136)+E189-E82+E83,Model!E16+Model!E17-Model!E10-Model!E11+E136-E82+E83)</f>
        <v>7.807814636</v>
      </c>
      <c r="F242" s="160">
        <f>IF(Model!F16+Model!F17-Model!F10-Model!F11-F189+F136&gt;0,(1-'Assumptions (Coal)'!E36)*(Model!F16+Model!F17-Model!F10-Model!F11-F189+F136)+F189-F82+F83,Model!F16+Model!F17-Model!F10-Model!F11+F136-F82+F83)</f>
        <v>10.80070684</v>
      </c>
      <c r="G242" s="160">
        <f>IF(Model!G16+Model!G17-Model!G10-Model!G11-G189+G136&gt;0,(1-'Assumptions (Coal)'!F36)*(Model!G16+Model!G17-Model!G10-Model!G11-G189+G136)+G189-G82+G83,Model!G16+Model!G17-Model!G10-Model!G11+G136-G82+G83)</f>
        <v>11.80202148</v>
      </c>
      <c r="H242" s="160">
        <f>IF(Model!H16+Model!H17-Model!H10-Model!H11-H189+H136&gt;0,(1-'Assumptions (Coal)'!G36)*(Model!H16+Model!H17-Model!H10-Model!H11-H189+H136)+H189-H82+H83,Model!H16+Model!H17-Model!H10-Model!H11+H136-H82+H83)</f>
        <v>16.1710065</v>
      </c>
      <c r="I242" s="160">
        <f>IF(Model!I16+Model!I17-Model!I10-Model!I11-I189+I136&gt;0,(1-'Assumptions (Coal)'!H36)*(Model!I16+Model!I17-Model!I10-Model!I11-I189+I136)+I189-I82+I83,Model!I16+Model!I17-Model!I10-Model!I11+I136-I82+I83)</f>
        <v>13.48023202</v>
      </c>
      <c r="J242" s="160">
        <f>IF(Model!J16+Model!J17-Model!J10-Model!J11-J189+J136&gt;0,(1-'Assumptions (Coal)'!I36)*(Model!J16+Model!J17-Model!J10-Model!J11-J189+J136)+J189-J82+J83,Model!J16+Model!J17-Model!J10-Model!J11+J136-J82+J83)</f>
        <v>15.62445119</v>
      </c>
      <c r="K242" s="160">
        <f>IF(Model!K16+Model!K17-Model!K10-Model!K11-K189+K136&gt;0,(1-'Assumptions (Coal)'!J36)*(Model!K16+Model!K17-Model!K10-Model!K11-K189+K136)+K189-K82+K83,Model!K16+Model!K17-Model!K10-Model!K11+K136-K82+K83)</f>
        <v>17.55057411</v>
      </c>
      <c r="L242" s="160">
        <f>IF(Model!L16+Model!L17-Model!L10-Model!L11-L189+L136&gt;0,(1-'Assumptions (Coal)'!K36)*(Model!L16+Model!L17-Model!L10-Model!L11-L189+L136)+L189-L82+L83,Model!L16+Model!L17-Model!L10-Model!L11+L136-L82+L83)</f>
        <v>8.384921373</v>
      </c>
      <c r="M242" s="160">
        <f>IF(Model!M16+Model!M17-Model!M10-Model!M11-M189+M136&gt;0,(1-'Assumptions (Coal)'!L36)*(Model!M16+Model!M17-Model!M10-Model!M11-M189+M136)+M189-M82+M83,Model!M16+Model!M17-Model!M10-Model!M11+M136-M82+M83)</f>
        <v>8.909374556</v>
      </c>
      <c r="N242" s="160">
        <f>IF(Model!N16+Model!N17-Model!N10-Model!N11-N189+N136&gt;0,(1-'Assumptions (Coal)'!M36)*(Model!N16+Model!N17-Model!N10-Model!N11-N189+N136)+N189-N82+N83,Model!N16+Model!N17-Model!N10-Model!N11+N136-N82+N83)</f>
        <v>6.987709639</v>
      </c>
      <c r="O242" s="160">
        <f>IF(Model!O16+Model!O17-Model!O10-Model!O11-O189+O136&gt;0,(1-'Assumptions (Coal)'!N36)*(Model!O16+Model!O17-Model!O10-Model!O11-O189+O136)+O189-O82+O83,Model!O16+Model!O17-Model!O10-Model!O11+O136-O82+O83)</f>
        <v>4.480491964</v>
      </c>
      <c r="P242" s="160">
        <f>IF(Model!P16+Model!P17-Model!P10-Model!P11-P189+P136&gt;0,(1-'Assumptions (Coal)'!O36)*(Model!P16+Model!P17-Model!P10-Model!P11-P189+P136)+P189-P82+P83,Model!P16+Model!P17-Model!P10-Model!P11+P136-P82+P83)</f>
        <v>5.100629148</v>
      </c>
      <c r="Q242" s="160">
        <f>IF(Model!Q16+Model!Q17-Model!Q10-Model!Q11-Q189+Q136&gt;0,(1-'Assumptions (Coal)'!P36)*(Model!Q16+Model!Q17-Model!Q10-Model!Q11-Q189+Q136)+Q189-Q82+Q83,Model!Q16+Model!Q17-Model!Q10-Model!Q11+Q136-Q82+Q83)</f>
        <v>6.228425251</v>
      </c>
      <c r="R242" s="160">
        <f>IF(Model!R16+Model!R17-Model!R10-Model!R11-R189+R136&gt;0,(1-'Assumptions (Coal)'!Q36)*(Model!R16+Model!R17-Model!R10-Model!R11-R189+R136)+R189-R82+R83,Model!R16+Model!R17-Model!R10-Model!R11+R136-R82+R83)</f>
        <v>0.5422464693</v>
      </c>
      <c r="S242" s="160">
        <f>IF(Model!S16+Model!S17-Model!S10-Model!S11-S189+S136&gt;0,(1-'Assumptions (Coal)'!R36)*(Model!S16+Model!S17-Model!S10-Model!S11-S189+S136)+S189-S82+S83,Model!S16+Model!S17-Model!S10-Model!S11+S136-S82+S83)</f>
        <v>0.3969488374</v>
      </c>
      <c r="T242" s="160">
        <f>IF(Model!T16+Model!T17-Model!T10-Model!T11-T189+T136&gt;0,(1-'Assumptions (Coal)'!S36)*(Model!T16+Model!T17-Model!T10-Model!T11-T189+T136)+T189-T82+T83,Model!T16+Model!T17-Model!T10-Model!T11+T136-T82+T83)</f>
        <v>-0.7935124669</v>
      </c>
      <c r="U242" s="160">
        <f>IF(Model!U16+Model!U17-Model!U10-Model!U11-U189+U136&gt;0,(1-'Assumptions (Coal)'!T36)*(Model!U16+Model!U17-Model!U10-Model!U11-U189+U136)+U189-U82+U83,Model!U16+Model!U17-Model!U10-Model!U11+U136-U82+U83)</f>
        <v>-0.8603544449</v>
      </c>
      <c r="V242" s="160">
        <f>IF(Model!V16+Model!V17-Model!V10-Model!V11-V189+V136&gt;0,(1-'Assumptions (Coal)'!U36)*(Model!V16+Model!V17-Model!V10-Model!V11-V189+V136)+V189-V82+V83,Model!V16+Model!V17-Model!V10-Model!V11+V136-V82+V83)</f>
        <v>-2.234168321</v>
      </c>
      <c r="W242" s="160">
        <f>IF(Model!W16+Model!W17-Model!W10-Model!W11-W189+W136&gt;0,(1-'Assumptions (Coal)'!V36)*(Model!W16+Model!W17-Model!W10-Model!W11-W189+W136)+W189-W82+W83,Model!W16+Model!W17-Model!W10-Model!W11+W136-W82+W83)</f>
        <v>-5.513194208</v>
      </c>
      <c r="X242" s="160">
        <f>IF(Model!X16+Model!X17-Model!X10-Model!X11-X189+X136&gt;0,(1-'Assumptions (Coal)'!W36)*(Model!X16+Model!X17-Model!X10-Model!X11-X189+X136)+X189-X82+X83,Model!X16+Model!X17-Model!X10-Model!X11+X136-X82+X83)</f>
        <v>-2.947293168</v>
      </c>
      <c r="Y242" s="160">
        <f>IF(Model!Y16+Model!Y17-Model!Y10-Model!Y11-Y189+Y136&gt;0,(1-'Assumptions (Coal)'!X36)*(Model!Y16+Model!Y17-Model!Y10-Model!Y11-Y189+Y136)+Y189-Y82+Y83,Model!Y16+Model!Y17-Model!Y10-Model!Y11+Y136-Y82+Y83)</f>
        <v>-2.758702998</v>
      </c>
      <c r="Z242" s="160">
        <f>IF(Model!Z16+Model!Z17-Model!Z10-Model!Z11-Z189+Z136&gt;0,(1-'Assumptions (Coal)'!Y36)*(Model!Z16+Model!Z17-Model!Z10-Model!Z11-Z189+Z136)+Z189-Z82+Z83,Model!Z16+Model!Z17-Model!Z10-Model!Z11+Z136-Z82+Z83)</f>
        <v>-1.841994344</v>
      </c>
      <c r="AA242" s="160">
        <f>IF(Model!AA16+Model!AA17-Model!AA10-Model!AA11-AA189+AA136&gt;0,(1-'Assumptions (Coal)'!Z36)*(Model!AA16+Model!AA17-Model!AA10-Model!AA11-AA189+AA136)+AA189-AA82+AA83,Model!AA16+Model!AA17-Model!AA10-Model!AA11+AA136-AA82+AA83)</f>
        <v>-1.895386206</v>
      </c>
      <c r="AB242" s="160">
        <f>IF(Model!AB16+Model!AB17-Model!AB10-Model!AB11-AB189+AB136&gt;0,(1-'Assumptions (Coal)'!AA36)*(Model!AB16+Model!AB17-Model!AB10-Model!AB11-AB189+AB136)+AB189-AB82+AB83,Model!AB16+Model!AB17-Model!AB10-Model!AB11+AB136-AB82+AB83)</f>
        <v>-0.3486633958</v>
      </c>
      <c r="AC242" s="160">
        <f>IF(Model!AC16+Model!AC17-Model!AC10-Model!AC11-AC189+AC136&gt;0,(1-'Assumptions (Coal)'!AB36)*(Model!AC16+Model!AC17-Model!AC10-Model!AC11-AC189+AC136)+AC189-AC82+AC83,Model!AC16+Model!AC17-Model!AC10-Model!AC11+AC136-AC82+AC83)</f>
        <v>0.5753128324</v>
      </c>
      <c r="AD242" s="160">
        <f>IF(Model!AD16+Model!AD17-Model!AD10-Model!AD11-AD189+AD136&gt;0,(1-'Assumptions (Coal)'!AC36)*(Model!AD16+Model!AD17-Model!AD10-Model!AD11-AD189+AD136)+AD189-AD82+AD83,Model!AD16+Model!AD17-Model!AD10-Model!AD11+AD136-AD82+AD83)</f>
        <v>1.510938349</v>
      </c>
      <c r="AE242" s="160">
        <f>IF(Model!AE16+Model!AE17-Model!AE10-Model!AE11-AE189+AE136&gt;0,(1-'Assumptions (Coal)'!AD36)*(Model!AE16+Model!AE17-Model!AE10-Model!AE11-AE189+AE136)+AE189-AE82+AE83,Model!AE16+Model!AE17-Model!AE10-Model!AE11+AE136-AE82+AE83)</f>
        <v>1.636661545</v>
      </c>
      <c r="AF242" s="160">
        <f>IF(Model!AF16+Model!AF17-Model!AF10-Model!AF11-AF189+AF136&gt;0,(1-'Assumptions (Coal)'!AE36)*(Model!AF16+Model!AF17-Model!AF10-Model!AF11-AF189+AF136)+AF189-AF82+AF83,Model!AF16+Model!AF17-Model!AF10-Model!AF11+AF136-AF82+AF83)</f>
        <v>1.871534882</v>
      </c>
      <c r="AG242" s="160">
        <f>IF(Model!AG16+Model!AG17-Model!AG10-Model!AG11-AG189+AG136&gt;0,(1-'Assumptions (Coal)'!AF36)*(Model!AG16+Model!AG17-Model!AG10-Model!AG11-AG189+AG136)+AG189-AG82+AG83,Model!AG16+Model!AG17-Model!AG10-Model!AG11+AG136-AG82+AG83)</f>
        <v>2.024784579</v>
      </c>
      <c r="AH242" s="160">
        <f>IF(Model!AH16+Model!AH17-Model!AH10-Model!AH11-AH189+AH136&gt;0,(1-'Assumptions (Coal)'!AG36)*(Model!AH16+Model!AH17-Model!AH10-Model!AH11-AH189+AH136)+AH189-AH82+AH83,Model!AH16+Model!AH17-Model!AH10-Model!AH11+AH136-AH82+AH83)</f>
        <v>2.082134616</v>
      </c>
      <c r="AI242" s="160">
        <f>IF(Model!AI16+Model!AI17-Model!AI10-Model!AI11-AI189+AI136&gt;0,(1-'Assumptions (Coal)'!AH36)*(Model!AI16+Model!AI17-Model!AI10-Model!AI11-AI189+AI136)+AI189-AI82+AI83,Model!AI16+Model!AI17-Model!AI10-Model!AI11+AI136-AI82+AI83)</f>
        <v>2.119422924</v>
      </c>
      <c r="AJ242" s="160">
        <f>IF(Model!AJ16+Model!AJ17-Model!AJ10-Model!AJ11-AJ189+AJ136&gt;0,(1-'Assumptions (Coal)'!AI36)*(Model!AJ16+Model!AJ17-Model!AJ10-Model!AJ11-AJ189+AJ136)+AJ189-AJ82+AJ83,Model!AJ16+Model!AJ17-Model!AJ10-Model!AJ11+AJ136-AJ82+AJ83)</f>
        <v>2.112980076</v>
      </c>
      <c r="AK242" s="160">
        <f>IF(Model!AK16+Model!AK17-Model!AK10-Model!AK11-AK189+AK136&gt;0,(1-'Assumptions (Coal)'!AJ36)*(Model!AK16+Model!AK17-Model!AK10-Model!AK11-AK189+AK136)+AK189-AK82+AK83,Model!AK16+Model!AK17-Model!AK10-Model!AK11+AK136-AK82+AK83)</f>
        <v>2.18612224</v>
      </c>
      <c r="AL242" s="160">
        <f>IF(Model!AL16+Model!AL17-Model!AL10-Model!AL11-AL189+AL136&gt;0,(1-'Assumptions (Coal)'!AK36)*(Model!AL16+Model!AL17-Model!AL10-Model!AL11-AL189+AL136)+AL189-AL82+AL83,Model!AL16+Model!AL17-Model!AL10-Model!AL11+AL136-AL82+AL83)</f>
        <v>2.204440716</v>
      </c>
      <c r="AM242" s="160">
        <f>IF(Model!AM16+Model!AM17-Model!AM10-Model!AM11-AM189+AM136&gt;0,(1-'Assumptions (Coal)'!AL36)*(Model!AM16+Model!AM17-Model!AM10-Model!AM11-AM189+AM136)+AM189-AM82+AM83,Model!AM16+Model!AM17-Model!AM10-Model!AM11+AM136-AM82+AM83)</f>
        <v>3.991235146</v>
      </c>
      <c r="AN242" s="160">
        <f>IF(Model!AN16+Model!AN17-Model!AN10-Model!AN11-AN189+AN136&gt;0,(1-'Assumptions (Coal)'!AM36)*(Model!AN16+Model!AN17-Model!AN10-Model!AN11-AN189+AN136)+AN189-AN82+AN83,Model!AN16+Model!AN17-Model!AN10-Model!AN11+AN136-AN82+AN83)</f>
        <v>4.211132511</v>
      </c>
      <c r="AO242" s="160">
        <f>IF(Model!AO16+Model!AO17-Model!AO10-Model!AO11-AO189+AO136&gt;0,(1-'Assumptions (Coal)'!AN36)*(Model!AO16+Model!AO17-Model!AO10-Model!AO11-AO189+AO136)+AO189-AO82+AO83,Model!AO16+Model!AO17-Model!AO10-Model!AO11+AO136-AO82+AO83)</f>
        <v>4.614066843</v>
      </c>
      <c r="AP242" s="160">
        <f>IF(Model!AP16+Model!AP17-Model!AP10-Model!AP11-AP189+AP136&gt;0,(1-'Assumptions (Coal)'!AO36)*(Model!AP16+Model!AP17-Model!AP10-Model!AP11-AP189+AP136)+AP189-AP82+AP83,Model!AP16+Model!AP17-Model!AP10-Model!AP11+AP136-AP82+AP83)</f>
        <v>4.999945277</v>
      </c>
      <c r="AQ242" s="160">
        <f>IF(Model!AQ16+Model!AQ17-Model!AQ10-Model!AQ11-AQ189+AQ136&gt;0,(1-'Assumptions (Coal)'!AP36)*(Model!AQ16+Model!AQ17-Model!AQ10-Model!AQ11-AQ189+AQ136)+AQ189-AQ82+AQ83,Model!AQ16+Model!AQ17-Model!AQ10-Model!AQ11+AQ136-AQ82+AQ83)</f>
        <v>5.762237055</v>
      </c>
      <c r="AR242" s="160">
        <f>IF(Model!AR16+Model!AR17-Model!AR10-Model!AR11-AR189+AR136&gt;0,(1-'Assumptions (Coal)'!AQ36)*(Model!AR16+Model!AR17-Model!AR10-Model!AR11-AR189+AR136)+AR189-AR82+AR83,Model!AR16+Model!AR17-Model!AR10-Model!AR11+AR136-AR82+AR83)</f>
        <v>6.211008099</v>
      </c>
      <c r="AS242" s="160">
        <f>IF(Model!AS16+Model!AS17-Model!AS10-Model!AS11-AS189+AS136&gt;0,(1-'Assumptions (Coal)'!AR36)*(Model!AS16+Model!AS17-Model!AS10-Model!AS11-AS189+AS136)+AS189-AS82+AS83,Model!AS16+Model!AS17-Model!AS10-Model!AS11+AS136-AS82+AS83)</f>
        <v>6.499568841</v>
      </c>
      <c r="AT242" s="160">
        <f>IF(Model!AT16+Model!AT17-Model!AT10-Model!AT11-AT189+AT136&gt;0,(1-'Assumptions (Coal)'!AS36)*(Model!AT16+Model!AT17-Model!AT10-Model!AT11-AT189+AT136)+AT189-AT82+AT83,Model!AT16+Model!AT17-Model!AT10-Model!AT11+AT136-AT82+AT83)</f>
        <v>6.608156349</v>
      </c>
      <c r="AU242" s="160">
        <f>IF(Model!AU16+Model!AU17-Model!AU10-Model!AU11-AU189+AU136&gt;0,(1-'Assumptions (Coal)'!AT36)*(Model!AU16+Model!AU17-Model!AU10-Model!AU11-AU189+AU136)+AU189-AU82+AU83,Model!AU16+Model!AU17-Model!AU10-Model!AU11+AU136-AU82+AU83)</f>
        <v>6.688538825</v>
      </c>
      <c r="AV242" s="160">
        <f>IF(Model!AV16+Model!AV17-Model!AV10-Model!AV11-AV189+AV136&gt;0,(1-'Assumptions (Coal)'!AU36)*(Model!AV16+Model!AV17-Model!AV10-Model!AV11-AV189+AV136)+AV189-AV82+AV83,Model!AV16+Model!AV17-Model!AV10-Model!AV11+AV136-AV82+AV83)</f>
        <v>6.962745225</v>
      </c>
      <c r="AW242" s="160">
        <f>IF(Model!AW16+Model!AW17-Model!AW10-Model!AW11-AW189+AW136&gt;0,(1-'Assumptions (Coal)'!AV36)*(Model!AW16+Model!AW17-Model!AW10-Model!AW11-AW189+AW136)+AW189-AW82+AW83,Model!AW16+Model!AW17-Model!AW10-Model!AW11+AW136-AW82+AW83)</f>
        <v>6.922195273</v>
      </c>
      <c r="AX242" s="160">
        <f>IF(Model!AX16+Model!AX17-Model!AX10-Model!AX11-AX189+AX136&gt;0,(1-'Assumptions (Coal)'!AW36)*(Model!AX16+Model!AX17-Model!AX10-Model!AX11-AX189+AX136)+AX189-AX82+AX83,Model!AX16+Model!AX17-Model!AX10-Model!AX11+AX136-AX82+AX83)</f>
        <v>6.974878968</v>
      </c>
      <c r="AY242" s="160">
        <f>IF(Model!AY16+Model!AY17-Model!AY10-Model!AY11-AY189+AY136&gt;0,(1-'Assumptions (Coal)'!AX36)*(Model!AY16+Model!AY17-Model!AY10-Model!AY11-AY189+AY136)+AY189-AY82+AY83,Model!AY16+Model!AY17-Model!AY10-Model!AY11+AY136-AY82+AY83)</f>
        <v>7.300941055</v>
      </c>
      <c r="AZ242" s="160">
        <f>IF(Model!AZ16+Model!AZ17-Model!AZ10-Model!AZ11-AZ189+AZ136&gt;0,(1-'Assumptions (Coal)'!AY36)*(Model!AZ16+Model!AZ17-Model!AZ10-Model!AZ11-AZ189+AZ136)+AZ189-AZ82+AZ83,Model!AZ16+Model!AZ17-Model!AZ10-Model!AZ11+AZ136-AZ82+AZ83)</f>
        <v>7.548550721</v>
      </c>
      <c r="BA242" s="160">
        <f>IF(Model!BA16+Model!BA17-Model!BA10-Model!BA11-BA189+BA136&gt;0,(1-'Assumptions (Coal)'!AZ36)*(Model!BA16+Model!BA17-Model!BA10-Model!BA11-BA189+BA136)+BA189-BA82+BA83,Model!BA16+Model!BA17-Model!BA10-Model!BA11+BA136-BA82+BA83)</f>
        <v>7.654685773</v>
      </c>
      <c r="BB242" s="160"/>
      <c r="BC242" s="160"/>
      <c r="BD242" s="160"/>
      <c r="BE242" s="160"/>
      <c r="BF242" s="160"/>
      <c r="BG242" s="160"/>
      <c r="BH242" s="160"/>
      <c r="BI242" s="160"/>
      <c r="BJ242" s="160"/>
      <c r="BK242" s="160"/>
      <c r="BL242" s="160"/>
      <c r="BM242" s="160"/>
      <c r="BN242" s="160"/>
      <c r="BO242" s="160"/>
      <c r="BP242" s="160"/>
      <c r="BQ242" s="160"/>
      <c r="BR242" s="160"/>
      <c r="BS242" s="160"/>
      <c r="BT242" s="160"/>
      <c r="BU242" s="160"/>
      <c r="BV242" s="160"/>
      <c r="BW242" s="160"/>
      <c r="BX242" s="160"/>
      <c r="BY242" s="160"/>
    </row>
    <row r="243" ht="15.75" customHeight="1">
      <c r="A243" s="158" t="s">
        <v>64</v>
      </c>
      <c r="B243" s="159" t="s">
        <v>351</v>
      </c>
      <c r="C243" s="160">
        <f>IF(Model!C16+Model!C17-Model!C10-Model!C11-C189+C136&gt;0,'Assumptions (Coal)'!B36*(Model!C16+Model!C17-Model!C10-Model!C11-C189+C136)-'Assumptions (Coal)'!B37*Model!C9/10^3,-'Assumptions (Coal)'!B37*Model!C9/10^3)</f>
        <v>4.978233455</v>
      </c>
      <c r="D243" s="160">
        <f>IF(Model!D16+Model!D17-Model!D10-Model!D11-D189+D136&gt;0,'Assumptions (Coal)'!C36*(Model!D16+Model!D17-Model!D10-Model!D11-D189+D136)-'Assumptions (Coal)'!C37*Model!D9/10^3,-'Assumptions (Coal)'!C37*Model!D9/10^3)</f>
        <v>4.93145845</v>
      </c>
      <c r="E243" s="160">
        <f>IF(Model!E16+Model!E17-Model!E10-Model!E11-E189+E136&gt;0,'Assumptions (Coal)'!D36*(Model!E16+Model!E17-Model!E10-Model!E11-E189+E136)-'Assumptions (Coal)'!D37*Model!E9/10^3,-'Assumptions (Coal)'!D37*Model!E9/10^3)</f>
        <v>4.174070874</v>
      </c>
      <c r="F243" s="160">
        <f>IF(Model!F16+Model!F17-Model!F10-Model!F11-F189+F136&gt;0,'Assumptions (Coal)'!E36*(Model!F16+Model!F17-Model!F10-Model!F11-F189+F136)-'Assumptions (Coal)'!E37*Model!F9/10^3,-'Assumptions (Coal)'!E37*Model!F9/10^3)</f>
        <v>5.793452012</v>
      </c>
      <c r="G243" s="160">
        <f>IF(Model!G16+Model!G17-Model!G10-Model!G11-G189+G136&gt;0,'Assumptions (Coal)'!F36*(Model!G16+Model!G17-Model!G10-Model!G11-G189+G136)-'Assumptions (Coal)'!F37*Model!G9/10^3,-'Assumptions (Coal)'!F37*Model!G9/10^3)</f>
        <v>6.340101365</v>
      </c>
      <c r="H243" s="160">
        <f>IF(Model!H16+Model!H17-Model!H10-Model!H11-H189+H136&gt;0,'Assumptions (Coal)'!G36*(Model!H16+Model!H17-Model!H10-Model!H11-H189+H136)-'Assumptions (Coal)'!G37*Model!H9/10^3,-'Assumptions (Coal)'!G37*Model!H9/10^3)</f>
        <v>8.692278925</v>
      </c>
      <c r="I243" s="160">
        <f>IF(Model!I16+Model!I17-Model!I10-Model!I11-I189+I136&gt;0,'Assumptions (Coal)'!H36*(Model!I16+Model!I17-Model!I10-Model!I11-I189+I136)-'Assumptions (Coal)'!H37*Model!I9/10^3,-'Assumptions (Coal)'!H37*Model!I9/10^3)</f>
        <v>7.414401228</v>
      </c>
      <c r="J243" s="160">
        <f>IF(Model!J16+Model!J17-Model!J10-Model!J11-J189+J136&gt;0,'Assumptions (Coal)'!I36*(Model!J16+Model!J17-Model!J10-Model!J11-J189+J136)-'Assumptions (Coal)'!I37*Model!J9/10^3,-'Assumptions (Coal)'!I37*Model!J9/10^3)</f>
        <v>8.43700344</v>
      </c>
      <c r="K243" s="160">
        <f>IF(Model!K16+Model!K17-Model!K10-Model!K11-K189+K136&gt;0,'Assumptions (Coal)'!J36*(Model!K16+Model!K17-Model!K10-Model!K11-K189+K136)-'Assumptions (Coal)'!J37*Model!K9/10^3,-'Assumptions (Coal)'!J37*Model!K9/10^3)</f>
        <v>9.308750252</v>
      </c>
      <c r="L243" s="160">
        <f>IF(Model!L16+Model!L17-Model!L10-Model!L11-L189+L136&gt;0,'Assumptions (Coal)'!K36*(Model!L16+Model!L17-Model!L10-Model!L11-L189+L136)-'Assumptions (Coal)'!K37*Model!L9/10^3,-'Assumptions (Coal)'!K37*Model!L9/10^3)</f>
        <v>4.383153723</v>
      </c>
      <c r="M243" s="160">
        <f>IF(Model!M16+Model!M17-Model!M10-Model!M11-M189+M136&gt;0,'Assumptions (Coal)'!L36*(Model!M16+Model!M17-Model!M10-Model!M11-M189+M136)-'Assumptions (Coal)'!L37*Model!M9/10^3,-'Assumptions (Coal)'!L37*Model!M9/10^3)</f>
        <v>4.661953775</v>
      </c>
      <c r="N243" s="160">
        <f>IF(Model!N16+Model!N17-Model!N10-Model!N11-N189+N136&gt;0,'Assumptions (Coal)'!M36*(Model!N16+Model!N17-Model!N10-Model!N11-N189+N136)-'Assumptions (Coal)'!M37*Model!N9/10^3,-'Assumptions (Coal)'!M37*Model!N9/10^3)</f>
        <v>3.669624969</v>
      </c>
      <c r="O243" s="160">
        <f>IF(Model!O16+Model!O17-Model!O10-Model!O11-O189+O136&gt;0,'Assumptions (Coal)'!N36*(Model!O16+Model!O17-Model!O10-Model!O11-O189+O136)-'Assumptions (Coal)'!N37*Model!O9/10^3,-'Assumptions (Coal)'!N37*Model!O9/10^3)</f>
        <v>2.153326812</v>
      </c>
      <c r="P243" s="160">
        <f>IF(Model!P16+Model!P17-Model!P10-Model!P11-P189+P136&gt;0,'Assumptions (Coal)'!O36*(Model!P16+Model!P17-Model!P10-Model!P11-P189+P136)-'Assumptions (Coal)'!O37*Model!P9/10^3,-'Assumptions (Coal)'!O37*Model!P9/10^3)</f>
        <v>2.445595286</v>
      </c>
      <c r="Q243" s="160">
        <f>IF(Model!Q16+Model!Q17-Model!Q10-Model!Q11-Q189+Q136&gt;0,'Assumptions (Coal)'!P36*(Model!Q16+Model!Q17-Model!Q10-Model!Q11-Q189+Q136)-'Assumptions (Coal)'!P37*Model!Q9/10^3,-'Assumptions (Coal)'!P37*Model!Q9/10^3)</f>
        <v>3.061450096</v>
      </c>
      <c r="R243" s="160">
        <f>IF(Model!R16+Model!R17-Model!R10-Model!R11-R189+R136&gt;0,'Assumptions (Coal)'!Q36*(Model!R16+Model!R17-Model!R10-Model!R11-R189+R136)-'Assumptions (Coal)'!Q37*Model!R9/10^3,-'Assumptions (Coal)'!Q37*Model!R9/10^3)</f>
        <v>1.80740595</v>
      </c>
      <c r="S243" s="160">
        <f>IF(Model!S16+Model!S17-Model!S10-Model!S11-S189+S136&gt;0,'Assumptions (Coal)'!R36*(Model!S16+Model!S17-Model!S10-Model!S11-S189+S136)-'Assumptions (Coal)'!R37*Model!S9/10^3,-'Assumptions (Coal)'!R37*Model!S9/10^3)</f>
        <v>1.931200065</v>
      </c>
      <c r="T243" s="160">
        <f>IF(Model!T16+Model!T17-Model!T10-Model!T11-T189+T136&gt;0,'Assumptions (Coal)'!S36*(Model!T16+Model!T17-Model!T10-Model!T11-T189+T136)-'Assumptions (Coal)'!S37*Model!T9/10^3,-'Assumptions (Coal)'!S37*Model!T9/10^3)</f>
        <v>1.663773301</v>
      </c>
      <c r="U243" s="160">
        <f>IF(Model!U16+Model!U17-Model!U10-Model!U11-U189+U136&gt;0,'Assumptions (Coal)'!T36*(Model!U16+Model!U17-Model!U10-Model!U11-U189+U136)-'Assumptions (Coal)'!T37*Model!U9/10^3,-'Assumptions (Coal)'!T37*Model!U9/10^3)</f>
        <v>0.9406353614</v>
      </c>
      <c r="V243" s="160">
        <f>IF(Model!V16+Model!V17-Model!V10-Model!V11-V189+V136&gt;0,'Assumptions (Coal)'!U36*(Model!V16+Model!V17-Model!V10-Model!V11-V189+V136)-'Assumptions (Coal)'!U37*Model!V9/10^3,-'Assumptions (Coal)'!U37*Model!V9/10^3)</f>
        <v>0.9695158428</v>
      </c>
      <c r="W243" s="160">
        <f>IF(Model!W16+Model!W17-Model!W10-Model!W11-W189+W136&gt;0,'Assumptions (Coal)'!V36*(Model!W16+Model!W17-Model!W10-Model!W11-W189+W136)-'Assumptions (Coal)'!V37*Model!W9/10^3,-'Assumptions (Coal)'!V37*Model!W9/10^3)</f>
        <v>0.9476010491</v>
      </c>
      <c r="X243" s="160">
        <f>IF(Model!X16+Model!X17-Model!X10-Model!X11-X189+X136&gt;0,'Assumptions (Coal)'!W36*(Model!X16+Model!X17-Model!X10-Model!X11-X189+X136)-'Assumptions (Coal)'!W37*Model!X9/10^3,-'Assumptions (Coal)'!W37*Model!X9/10^3)</f>
        <v>0.5301748622</v>
      </c>
      <c r="Y243" s="160">
        <f>IF(Model!Y16+Model!Y17-Model!Y10-Model!Y11-Y189+Y136&gt;0,'Assumptions (Coal)'!X36*(Model!Y16+Model!Y17-Model!Y10-Model!Y11-Y189+Y136)-'Assumptions (Coal)'!X37*Model!Y9/10^3,-'Assumptions (Coal)'!X37*Model!Y9/10^3)</f>
        <v>0.1455044059</v>
      </c>
      <c r="Z243" s="160">
        <f>IF(Model!Z16+Model!Z17-Model!Z10-Model!Z11-Z189+Z136&gt;0,'Assumptions (Coal)'!Y36*(Model!Z16+Model!Z17-Model!Z10-Model!Z11-Z189+Z136)-'Assumptions (Coal)'!Y37*Model!Z9/10^3,-'Assumptions (Coal)'!Y37*Model!Z9/10^3)</f>
        <v>0.1792774701</v>
      </c>
      <c r="AA243" s="160">
        <f>IF(Model!AA16+Model!AA17-Model!AA10-Model!AA11-AA189+AA136&gt;0,'Assumptions (Coal)'!Z36*(Model!AA16+Model!AA17-Model!AA10-Model!AA11-AA189+AA136)-'Assumptions (Coal)'!Z37*Model!AA9/10^3,-'Assumptions (Coal)'!Z37*Model!AA9/10^3)</f>
        <v>0.1018725285</v>
      </c>
      <c r="AB243" s="160">
        <f>IF(Model!AB16+Model!AB17-Model!AB10-Model!AB11-AB189+AB136&gt;0,'Assumptions (Coal)'!AA36*(Model!AB16+Model!AB17-Model!AB10-Model!AB11-AB189+AB136)-'Assumptions (Coal)'!AA37*Model!AB9/10^3,-'Assumptions (Coal)'!AA37*Model!AB9/10^3)</f>
        <v>-0.05823969188</v>
      </c>
      <c r="AC243" s="160">
        <f>IF(Model!AC16+Model!AC17-Model!AC10-Model!AC11-AC189+AC136&gt;0,'Assumptions (Coal)'!AB36*(Model!AC16+Model!AC17-Model!AC10-Model!AC11-AC189+AC136)-'Assumptions (Coal)'!AB37*Model!AC9/10^3,-'Assumptions (Coal)'!AB37*Model!AC9/10^3)</f>
        <v>-0.1322745041</v>
      </c>
      <c r="AD243" s="160">
        <f>IF(Model!AD16+Model!AD17-Model!AD10-Model!AD11-AD189+AD136&gt;0,'Assumptions (Coal)'!AC36*(Model!AD16+Model!AD17-Model!AD10-Model!AD11-AD189+AD136)-'Assumptions (Coal)'!AC37*Model!AD9/10^3,-'Assumptions (Coal)'!AC37*Model!AD9/10^3)</f>
        <v>-0.1354801063</v>
      </c>
      <c r="AE243" s="160">
        <f>IF(Model!AE16+Model!AE17-Model!AE10-Model!AE11-AE189+AE136&gt;0,'Assumptions (Coal)'!AD36*(Model!AE16+Model!AE17-Model!AE10-Model!AE11-AE189+AE136)-'Assumptions (Coal)'!AD37*Model!AE9/10^3,-'Assumptions (Coal)'!AD37*Model!AE9/10^3)</f>
        <v>-0.1387609027</v>
      </c>
      <c r="AF243" s="160">
        <f>IF(Model!AF16+Model!AF17-Model!AF10-Model!AF11-AF189+AF136&gt;0,'Assumptions (Coal)'!AE36*(Model!AF16+Model!AF17-Model!AF10-Model!AF11-AF189+AF136)-'Assumptions (Coal)'!AE37*Model!AF9/10^3,-'Assumptions (Coal)'!AE37*Model!AF9/10^3)</f>
        <v>-0.1421186167</v>
      </c>
      <c r="AG243" s="160">
        <f>IF(Model!AG16+Model!AG17-Model!AG10-Model!AG11-AG189+AG136&gt;0,'Assumptions (Coal)'!AF36*(Model!AG16+Model!AG17-Model!AG10-Model!AG11-AG189+AG136)-'Assumptions (Coal)'!AF37*Model!AG9/10^3,-'Assumptions (Coal)'!AF37*Model!AG9/10^3)</f>
        <v>-0.14555501</v>
      </c>
      <c r="AH243" s="160">
        <f>IF(Model!AH16+Model!AH17-Model!AH10-Model!AH11-AH189+AH136&gt;0,'Assumptions (Coal)'!AG36*(Model!AH16+Model!AH17-Model!AH10-Model!AH11-AH189+AH136)-'Assumptions (Coal)'!AG37*Model!AH9/10^3,-'Assumptions (Coal)'!AG37*Model!AH9/10^3)</f>
        <v>-0.1349126183</v>
      </c>
      <c r="AI243" s="160">
        <f>IF(Model!AI16+Model!AI17-Model!AI10-Model!AI11-AI189+AI136&gt;0,'Assumptions (Coal)'!AH36*(Model!AI16+Model!AI17-Model!AI10-Model!AI11-AI189+AI136)-'Assumptions (Coal)'!AH37*Model!AI9/10^3,-'Assumptions (Coal)'!AH37*Model!AI9/10^3)</f>
        <v>-0.01732406355</v>
      </c>
      <c r="AJ243" s="160">
        <f>IF(Model!AJ16+Model!AJ17-Model!AJ10-Model!AJ11-AJ189+AJ136&gt;0,'Assumptions (Coal)'!AI36*(Model!AJ16+Model!AJ17-Model!AJ10-Model!AJ11-AJ189+AJ136)-'Assumptions (Coal)'!AI37*Model!AJ9/10^3,-'Assumptions (Coal)'!AI37*Model!AJ9/10^3)</f>
        <v>0.06398918298</v>
      </c>
      <c r="AK243" s="160">
        <f>IF(Model!AK16+Model!AK17-Model!AK10-Model!AK11-AK189+AK136&gt;0,'Assumptions (Coal)'!AJ36*(Model!AK16+Model!AK17-Model!AK10-Model!AK11-AK189+AK136)-'Assumptions (Coal)'!AJ37*Model!AK9/10^3,-'Assumptions (Coal)'!AJ37*Model!AK9/10^3)</f>
        <v>0.1110872634</v>
      </c>
      <c r="AL243" s="160">
        <f>IF(Model!AL16+Model!AL17-Model!AL10-Model!AL11-AL189+AL136&gt;0,'Assumptions (Coal)'!AK36*(Model!AL16+Model!AL17-Model!AL10-Model!AL11-AL189+AL136)-'Assumptions (Coal)'!AK37*Model!AL9/10^3,-'Assumptions (Coal)'!AK37*Model!AL9/10^3)</f>
        <v>0.1568318793</v>
      </c>
      <c r="AM243" s="160">
        <f>IF(Model!AM16+Model!AM17-Model!AM10-Model!AM11-AM189+AM136&gt;0,'Assumptions (Coal)'!AL36*(Model!AM16+Model!AM17-Model!AM10-Model!AM11-AM189+AM136)-'Assumptions (Coal)'!AL37*Model!AM9/10^3,-'Assumptions (Coal)'!AL37*Model!AM9/10^3)</f>
        <v>0.1761643545</v>
      </c>
      <c r="AN243" s="160">
        <f>IF(Model!AN16+Model!AN17-Model!AN10-Model!AN11-AN189+AN136&gt;0,'Assumptions (Coal)'!AM36*(Model!AN16+Model!AN17-Model!AN10-Model!AN11-AN189+AN136)-'Assumptions (Coal)'!AM37*Model!AN9/10^3,-'Assumptions (Coal)'!AM37*Model!AN9/10^3)</f>
        <v>0.1842016266</v>
      </c>
      <c r="AO243" s="160">
        <f>IF(Model!AO16+Model!AO17-Model!AO10-Model!AO11-AO189+AO136&gt;0,'Assumptions (Coal)'!AN36*(Model!AO16+Model!AO17-Model!AO10-Model!AO11-AO189+AO136)-'Assumptions (Coal)'!AN37*Model!AO9/10^3,-'Assumptions (Coal)'!AN37*Model!AO9/10^3)</f>
        <v>0.2538634065</v>
      </c>
      <c r="AP243" s="160">
        <f>IF(Model!AP16+Model!AP17-Model!AP10-Model!AP11-AP189+AP136&gt;0,'Assumptions (Coal)'!AO36*(Model!AP16+Model!AP17-Model!AP10-Model!AP11-AP189+AP136)-'Assumptions (Coal)'!AO37*Model!AP9/10^3,-'Assumptions (Coal)'!AO37*Model!AP9/10^3)</f>
        <v>0.309903943</v>
      </c>
      <c r="AQ243" s="160">
        <f>IF(Model!AQ16+Model!AQ17-Model!AQ10-Model!AQ11-AQ189+AQ136&gt;0,'Assumptions (Coal)'!AP36*(Model!AQ16+Model!AQ17-Model!AQ10-Model!AQ11-AQ189+AQ136)-'Assumptions (Coal)'!AP37*Model!AQ9/10^3,-'Assumptions (Coal)'!AP37*Model!AQ9/10^3)</f>
        <v>0.3614577633</v>
      </c>
      <c r="AR243" s="160">
        <f>IF(Model!AR16+Model!AR17-Model!AR10-Model!AR11-AR189+AR136&gt;0,'Assumptions (Coal)'!AQ36*(Model!AR16+Model!AR17-Model!AR10-Model!AR11-AR189+AR136)-'Assumptions (Coal)'!AQ37*Model!AR9/10^3,-'Assumptions (Coal)'!AQ37*Model!AR9/10^3)</f>
        <v>0.5737602589</v>
      </c>
      <c r="AS243" s="160">
        <f>IF(Model!AS16+Model!AS17-Model!AS10-Model!AS11-AS189+AS136&gt;0,'Assumptions (Coal)'!AR36*(Model!AS16+Model!AS17-Model!AS10-Model!AS11-AS189+AS136)-'Assumptions (Coal)'!AR37*Model!AS9/10^3,-'Assumptions (Coal)'!AR37*Model!AS9/10^3)</f>
        <v>0.7961050474</v>
      </c>
      <c r="AT243" s="160">
        <f>IF(Model!AT16+Model!AT17-Model!AT10-Model!AT11-AT189+AT136&gt;0,'Assumptions (Coal)'!AS36*(Model!AT16+Model!AT17-Model!AT10-Model!AT11-AT189+AT136)-'Assumptions (Coal)'!AS37*Model!AT9/10^3,-'Assumptions (Coal)'!AS37*Model!AT9/10^3)</f>
        <v>0.8844521517</v>
      </c>
      <c r="AU243" s="160">
        <f>IF(Model!AU16+Model!AU17-Model!AU10-Model!AU11-AU189+AU136&gt;0,'Assumptions (Coal)'!AT36*(Model!AU16+Model!AU17-Model!AU10-Model!AU11-AU189+AU136)-'Assumptions (Coal)'!AT37*Model!AU9/10^3,-'Assumptions (Coal)'!AT37*Model!AU9/10^3)</f>
        <v>0.9857592102</v>
      </c>
      <c r="AV243" s="160">
        <f>IF(Model!AV16+Model!AV17-Model!AV10-Model!AV11-AV189+AV136&gt;0,'Assumptions (Coal)'!AU36*(Model!AV16+Model!AV17-Model!AV10-Model!AV11-AV189+AV136)-'Assumptions (Coal)'!AU37*Model!AV9/10^3,-'Assumptions (Coal)'!AU37*Model!AV9/10^3)</f>
        <v>1.138080384</v>
      </c>
      <c r="AW243" s="160">
        <f>IF(Model!AW16+Model!AW17-Model!AW10-Model!AW11-AW189+AW136&gt;0,'Assumptions (Coal)'!AV36*(Model!AW16+Model!AW17-Model!AW10-Model!AW11-AW189+AW136)-'Assumptions (Coal)'!AV37*Model!AW9/10^3,-'Assumptions (Coal)'!AV37*Model!AW9/10^3)</f>
        <v>1.30817986</v>
      </c>
      <c r="AX243" s="160">
        <f>IF(Model!AX16+Model!AX17-Model!AX10-Model!AX11-AX189+AX136&gt;0,'Assumptions (Coal)'!AW36*(Model!AX16+Model!AX17-Model!AX10-Model!AX11-AX189+AX136)-'Assumptions (Coal)'!AW37*Model!AX9/10^3,-'Assumptions (Coal)'!AW37*Model!AX9/10^3)</f>
        <v>1.459000384</v>
      </c>
      <c r="AY243" s="160">
        <f>IF(Model!AY16+Model!AY17-Model!AY10-Model!AY11-AY189+AY136&gt;0,'Assumptions (Coal)'!AX36*(Model!AY16+Model!AY17-Model!AY10-Model!AY11-AY189+AY136)-'Assumptions (Coal)'!AX37*Model!AY9/10^3,-'Assumptions (Coal)'!AX37*Model!AY9/10^3)</f>
        <v>1.606158585</v>
      </c>
      <c r="AZ243" s="160">
        <f>IF(Model!AZ16+Model!AZ17-Model!AZ10-Model!AZ11-AZ189+AZ136&gt;0,'Assumptions (Coal)'!AY36*(Model!AZ16+Model!AZ17-Model!AZ10-Model!AZ11-AZ189+AZ136)-'Assumptions (Coal)'!AY37*Model!AZ9/10^3,-'Assumptions (Coal)'!AY37*Model!AZ9/10^3)</f>
        <v>1.669749717</v>
      </c>
      <c r="BA243" s="160">
        <f>IF(Model!BA16+Model!BA17-Model!BA10-Model!BA11-BA189+BA136&gt;0,'Assumptions (Coal)'!AZ36*(Model!BA16+Model!BA17-Model!BA10-Model!BA11-BA189+BA136)-'Assumptions (Coal)'!AZ37*Model!BA9/10^3,-'Assumptions (Coal)'!AZ37*Model!BA9/10^3)</f>
        <v>1.737801456</v>
      </c>
      <c r="BB243" s="160"/>
    </row>
    <row r="244" ht="15.75" customHeight="1">
      <c r="A244" s="149" t="s">
        <v>362</v>
      </c>
      <c r="B244" s="150" t="s">
        <v>351</v>
      </c>
      <c r="C244" s="181">
        <f>(1-'Assumptions (Coal)'!B36)*(-C136)+C82-C83</f>
        <v>0.9044569303</v>
      </c>
      <c r="D244" s="181">
        <f>(1-'Assumptions (Coal)'!C36)*(-D136)+D82-D83</f>
        <v>0.2243198221</v>
      </c>
      <c r="E244" s="181">
        <f>(1-'Assumptions (Coal)'!D36)*(-E136)+E82-E83</f>
        <v>0.4262120765</v>
      </c>
      <c r="F244" s="181">
        <f>(1-'Assumptions (Coal)'!E36)*(-F136)+F82-F83</f>
        <v>0.4337399054</v>
      </c>
      <c r="G244" s="181">
        <f>(1-'Assumptions (Coal)'!F36)*(-G136)+G82-G83</f>
        <v>0.4446426105</v>
      </c>
      <c r="H244" s="181">
        <f>(1-'Assumptions (Coal)'!G36)*(-H136)+H82-H83</f>
        <v>0.457523727</v>
      </c>
      <c r="I244" s="181">
        <f>(1-'Assumptions (Coal)'!H36)*(-I136)+I82-I83</f>
        <v>0.7783220726</v>
      </c>
      <c r="J244" s="181">
        <f>(1-'Assumptions (Coal)'!I36)*(-J136)+J82-J83</f>
        <v>0.6515401818</v>
      </c>
      <c r="K244" s="181">
        <f>(1-'Assumptions (Coal)'!J36)*(-K136)+K82-K83</f>
        <v>0.4984026783</v>
      </c>
      <c r="L244" s="181">
        <f>(1-'Assumptions (Coal)'!K36)*(-L136)+L82-L83</f>
        <v>0.5027952133</v>
      </c>
      <c r="M244" s="181">
        <f>(1-'Assumptions (Coal)'!L36)*(-M136)+M82-M83</f>
        <v>0.5086068737</v>
      </c>
      <c r="N244" s="181">
        <f>(1-'Assumptions (Coal)'!M36)*(-N136)+N82-N83</f>
        <v>0.5175934434</v>
      </c>
      <c r="O244" s="181">
        <f>(1-'Assumptions (Coal)'!N36)*(-O136)+O82-O83</f>
        <v>0.2851677351</v>
      </c>
      <c r="P244" s="181">
        <f>(1-'Assumptions (Coal)'!O36)*(-P136)+P82-P83</f>
        <v>0.2885108506</v>
      </c>
      <c r="Q244" s="181">
        <f>(1-'Assumptions (Coal)'!P36)*(-Q136)+Q82-Q83</f>
        <v>0.2920127641</v>
      </c>
      <c r="R244" s="181">
        <f>(1-'Assumptions (Coal)'!Q36)*(-R136)+R82-R83</f>
        <v>3.57288961</v>
      </c>
      <c r="S244" s="181">
        <f>(1-'Assumptions (Coal)'!R36)*(-S136)+S82-S83</f>
        <v>3.91315177</v>
      </c>
      <c r="T244" s="181">
        <f>(1-'Assumptions (Coal)'!S36)*(-T136)+T82-T83</f>
        <v>4.559419522</v>
      </c>
      <c r="U244" s="181">
        <f>(1-'Assumptions (Coal)'!T36)*(-U136)+U82-U83</f>
        <v>5.274529887</v>
      </c>
      <c r="V244" s="181">
        <f>(1-'Assumptions (Coal)'!U36)*(-V136)+V82-V83</f>
        <v>6.742851171</v>
      </c>
      <c r="W244" s="181">
        <f>(1-'Assumptions (Coal)'!V36)*(-W136)+W82-W83</f>
        <v>9.937913453</v>
      </c>
      <c r="X244" s="181">
        <f>(1-'Assumptions (Coal)'!W36)*(-X136)+X82-X83</f>
        <v>7.651112126</v>
      </c>
      <c r="Y244" s="181">
        <f>(1-'Assumptions (Coal)'!X36)*(-Y136)+Y82-Y83</f>
        <v>7.418115896</v>
      </c>
      <c r="Z244" s="181">
        <f>(1-'Assumptions (Coal)'!Y36)*(-Z136)+Z82-Z83</f>
        <v>6.913382713</v>
      </c>
      <c r="AA244" s="181">
        <f>(1-'Assumptions (Coal)'!Z36)*(-AA136)+AA82-AA83</f>
        <v>7.071388367</v>
      </c>
      <c r="AB244" s="181">
        <f>(1-'Assumptions (Coal)'!AA36)*(-AB136)+AB82-AB83</f>
        <v>5.836921181</v>
      </c>
      <c r="AC244" s="181">
        <f>(1-'Assumptions (Coal)'!AB36)*(-AC136)+AC82-AC83</f>
        <v>4.937689873</v>
      </c>
      <c r="AD244" s="181">
        <f>(1-'Assumptions (Coal)'!AC36)*(-AD136)+AD82-AD83</f>
        <v>4.168730825</v>
      </c>
      <c r="AE244" s="181">
        <f>(1-'Assumptions (Coal)'!AD36)*(-AE136)+AE82-AE83</f>
        <v>4.210871103</v>
      </c>
      <c r="AF244" s="181">
        <f>(1-'Assumptions (Coal)'!AE36)*(-AF136)+AF82-AF83</f>
        <v>4.206442678</v>
      </c>
      <c r="AG244" s="181">
        <f>(1-'Assumptions (Coal)'!AF36)*(-AG136)+AG82-AG83</f>
        <v>4.183166861</v>
      </c>
      <c r="AH244" s="181">
        <f>(1-'Assumptions (Coal)'!AG36)*(-AH136)+AH82-AH83</f>
        <v>4.216550097</v>
      </c>
      <c r="AI244" s="181">
        <f>(1-'Assumptions (Coal)'!AH36)*(-AI136)+AI82-AI83</f>
        <v>4.250921812</v>
      </c>
      <c r="AJ244" s="181">
        <f>(1-'Assumptions (Coal)'!AI36)*(-AJ136)+AJ82-AJ83</f>
        <v>4.269855852</v>
      </c>
      <c r="AK244" s="181">
        <f>(1-'Assumptions (Coal)'!AJ36)*(-AK136)+AK82-AK83</f>
        <v>4.245855763</v>
      </c>
      <c r="AL244" s="181">
        <f>(1-'Assumptions (Coal)'!AK36)*(-AL136)+AL82-AL83</f>
        <v>4.283591517</v>
      </c>
      <c r="AM244" s="181">
        <f>(1-'Assumptions (Coal)'!AL36)*(-AM136)+AM82-AM83</f>
        <v>2.654520579</v>
      </c>
      <c r="AN244" s="181">
        <f>(1-'Assumptions (Coal)'!AM36)*(-AN136)+AN82-AN83</f>
        <v>2.519762</v>
      </c>
      <c r="AO244" s="181">
        <f>(1-'Assumptions (Coal)'!AN36)*(-AO136)+AO82-AO83</f>
        <v>2.280818553</v>
      </c>
      <c r="AP244" s="181">
        <f>(1-'Assumptions (Coal)'!AO36)*(-AP136)+AP82-AP83</f>
        <v>2.021118486</v>
      </c>
      <c r="AQ244" s="181">
        <f>(1-'Assumptions (Coal)'!AP36)*(-AQ136)+AQ82-AQ83</f>
        <v>1.376614781</v>
      </c>
      <c r="AR244" s="181">
        <f>(1-'Assumptions (Coal)'!AQ36)*(-AR136)+AR82-AR83</f>
        <v>0.8765674975</v>
      </c>
      <c r="AS244" s="181">
        <f>(1-'Assumptions (Coal)'!AR36)*(-AS136)+AS82-AS83</f>
        <v>0.5034642312</v>
      </c>
      <c r="AT244" s="181">
        <f>(1-'Assumptions (Coal)'!AS36)*(-AT136)+AT82-AT83</f>
        <v>0.4674128561</v>
      </c>
      <c r="AU244" s="181">
        <f>(1-'Assumptions (Coal)'!AT36)*(-AU136)+AU82-AU83</f>
        <v>0.4505297555</v>
      </c>
      <c r="AV244" s="181">
        <f>(1-'Assumptions (Coal)'!AU36)*(-AV136)+AV82-AV83</f>
        <v>0.1980660379</v>
      </c>
      <c r="AW244" s="181">
        <f>(1-'Assumptions (Coal)'!AV36)*(-AW136)+AW82-AW83</f>
        <v>0.1996705593</v>
      </c>
      <c r="AX244" s="181">
        <f>(1-'Assumptions (Coal)'!AW36)*(-AX136)+AX82-AX83</f>
        <v>0.2013512955</v>
      </c>
      <c r="AY244" s="181">
        <f>(1-'Assumptions (Coal)'!AX36)*(-AY136)+AY82-AY83</f>
        <v>0.1940733329</v>
      </c>
      <c r="AZ244" s="181">
        <f>(1-'Assumptions (Coal)'!AY36)*(-AZ136)+AZ82-AZ83</f>
        <v>0.1630166405</v>
      </c>
      <c r="BA244" s="181">
        <f>(1-'Assumptions (Coal)'!AZ36)*(-BA136)+BA82-BA83</f>
        <v>0.1645267092</v>
      </c>
      <c r="BB244" s="181"/>
    </row>
    <row r="245" ht="15.75" customHeight="1">
      <c r="A245" s="149" t="s">
        <v>363</v>
      </c>
      <c r="B245" s="150" t="s">
        <v>364</v>
      </c>
      <c r="C245" s="168">
        <f>'Assumptions (Coal)'!$V$35*C18/10^9</f>
        <v>0</v>
      </c>
      <c r="D245" s="168">
        <f>'Assumptions (Coal)'!$V$35*D18/10^9</f>
        <v>0.1320209</v>
      </c>
      <c r="E245" s="168">
        <f>'Assumptions (Coal)'!$V$35*E18/10^9</f>
        <v>0</v>
      </c>
      <c r="F245" s="168">
        <f>'Assumptions (Coal)'!$V$35*F18/10^9</f>
        <v>0</v>
      </c>
      <c r="G245" s="168">
        <f>'Assumptions (Coal)'!$V$35*G18/10^9</f>
        <v>0</v>
      </c>
      <c r="H245" s="168">
        <f>'Assumptions (Coal)'!$V$35*H18/10^9</f>
        <v>0</v>
      </c>
      <c r="I245" s="168">
        <f>'Assumptions (Coal)'!$V$35*I18/10^9</f>
        <v>0</v>
      </c>
      <c r="J245" s="168">
        <f>'Assumptions (Coal)'!$V$35*J18/10^9</f>
        <v>0.151887</v>
      </c>
      <c r="K245" s="168">
        <f>'Assumptions (Coal)'!$V$35*K18/10^9</f>
        <v>0.167564</v>
      </c>
      <c r="L245" s="168">
        <f>'Assumptions (Coal)'!$V$35*L18/10^9</f>
        <v>0</v>
      </c>
      <c r="M245" s="168">
        <f>'Assumptions (Coal)'!$V$35*M18/10^9</f>
        <v>0</v>
      </c>
      <c r="N245" s="168">
        <f>'Assumptions (Coal)'!$V$35*N18/10^9</f>
        <v>0</v>
      </c>
      <c r="O245" s="168">
        <f>'Assumptions (Coal)'!$V$35*O18/10^9</f>
        <v>0.2337415</v>
      </c>
      <c r="P245" s="168">
        <f>'Assumptions (Coal)'!$V$35*P18/10^9</f>
        <v>0</v>
      </c>
      <c r="Q245" s="168">
        <f>'Assumptions (Coal)'!$V$35*Q18/10^9</f>
        <v>0</v>
      </c>
      <c r="R245" s="168">
        <f>'Assumptions (Coal)'!$V$35*R18/10^9</f>
        <v>0</v>
      </c>
      <c r="S245" s="168">
        <f>'Assumptions (Coal)'!$V$35*S18/10^9</f>
        <v>0</v>
      </c>
      <c r="T245" s="168">
        <f>'Assumptions (Coal)'!$V$35*T18/10^9</f>
        <v>0</v>
      </c>
      <c r="U245" s="168">
        <f>'Assumptions (Coal)'!$V$35*U18/10^9</f>
        <v>0</v>
      </c>
      <c r="V245" s="168">
        <f>'Assumptions (Coal)'!$V$35*V18/10^9</f>
        <v>0</v>
      </c>
      <c r="W245" s="168">
        <f>'Assumptions (Coal)'!$V$35*W18/10^9</f>
        <v>0</v>
      </c>
      <c r="X245" s="168">
        <f>'Assumptions (Coal)'!$V$35*X18/10^9</f>
        <v>2.140025367</v>
      </c>
      <c r="Y245" s="168">
        <f>'Assumptions (Coal)'!$V$35*Y18/10^9</f>
        <v>0.2324171667</v>
      </c>
      <c r="Z245" s="168">
        <f>'Assumptions (Coal)'!$V$35*Z18/10^9</f>
        <v>0.3641553667</v>
      </c>
      <c r="AA245" s="168">
        <f>'Assumptions (Coal)'!$V$35*AA18/10^9</f>
        <v>0.3696808667</v>
      </c>
      <c r="AB245" s="168">
        <f>'Assumptions (Coal)'!$V$35*AB18/10^9</f>
        <v>0.8312271667</v>
      </c>
      <c r="AC245" s="168">
        <f>'Assumptions (Coal)'!$V$35*AC18/10^9</f>
        <v>0.6114150667</v>
      </c>
      <c r="AD245" s="168">
        <f>'Assumptions (Coal)'!$V$35*AD18/10^9</f>
        <v>0.4477060667</v>
      </c>
      <c r="AE245" s="168">
        <f>'Assumptions (Coal)'!$V$35*AE18/10^9</f>
        <v>0.0466318667</v>
      </c>
      <c r="AF245" s="168">
        <f>'Assumptions (Coal)'!$V$35*AF18/10^9</f>
        <v>0.0238359667</v>
      </c>
      <c r="AG245" s="168">
        <f>'Assumptions (Coal)'!$V$35*AG18/10^9</f>
        <v>0.2885973667</v>
      </c>
      <c r="AH245" s="168">
        <f>'Assumptions (Coal)'!$V$35*AH18/10^9</f>
        <v>0</v>
      </c>
      <c r="AI245" s="168">
        <f>'Assumptions (Coal)'!$V$35*AI18/10^9</f>
        <v>0</v>
      </c>
      <c r="AJ245" s="168">
        <f>'Assumptions (Coal)'!$V$35*AJ18/10^9</f>
        <v>0.009750800111</v>
      </c>
      <c r="AK245" s="168">
        <f>'Assumptions (Coal)'!$V$35*AK18/10^9</f>
        <v>0.0349126667</v>
      </c>
      <c r="AL245" s="168">
        <f>'Assumptions (Coal)'!$V$35*AL18/10^9</f>
        <v>0</v>
      </c>
      <c r="AM245" s="168">
        <f>'Assumptions (Coal)'!$V$35*AM18/10^9</f>
        <v>0.1720085334</v>
      </c>
      <c r="AN245" s="168">
        <f>'Assumptions (Coal)'!$V$35*AN18/10^9</f>
        <v>0</v>
      </c>
      <c r="AO245" s="168">
        <f>'Assumptions (Coal)'!$V$35*AO18/10^9</f>
        <v>0</v>
      </c>
      <c r="AP245" s="168">
        <f>'Assumptions (Coal)'!$V$35*AP18/10^9</f>
        <v>0</v>
      </c>
      <c r="AQ245" s="168">
        <f>'Assumptions (Coal)'!$V$35*AQ18/10^9</f>
        <v>0</v>
      </c>
      <c r="AR245" s="168">
        <f>'Assumptions (Coal)'!$V$35*AR18/10^9</f>
        <v>0</v>
      </c>
      <c r="AS245" s="168">
        <f>'Assumptions (Coal)'!$V$35*AS18/10^9</f>
        <v>0</v>
      </c>
      <c r="AT245" s="168">
        <f>'Assumptions (Coal)'!$V$35*AT18/10^9</f>
        <v>0</v>
      </c>
      <c r="AU245" s="168">
        <f>'Assumptions (Coal)'!$V$35*AU18/10^9</f>
        <v>0</v>
      </c>
      <c r="AV245" s="168">
        <f>'Assumptions (Coal)'!$V$35*AV18/10^9</f>
        <v>0</v>
      </c>
      <c r="AW245" s="168">
        <f>'Assumptions (Coal)'!$V$35*AW18/10^9</f>
        <v>0</v>
      </c>
      <c r="AX245" s="168">
        <f>'Assumptions (Coal)'!$V$35*AX18/10^9</f>
        <v>0</v>
      </c>
      <c r="AY245" s="168">
        <f>'Assumptions (Coal)'!$V$35*AY18/10^9</f>
        <v>0</v>
      </c>
      <c r="AZ245" s="168">
        <f>'Assumptions (Coal)'!$V$35*AZ18/10^9</f>
        <v>0</v>
      </c>
      <c r="BA245" s="168">
        <f>'Assumptions (Coal)'!$V$35*BA18/10^9</f>
        <v>0</v>
      </c>
      <c r="BB245" s="168"/>
    </row>
    <row r="246" ht="15.75" customHeight="1">
      <c r="A246" s="182" t="s">
        <v>365</v>
      </c>
      <c r="B246" s="150" t="s">
        <v>364</v>
      </c>
      <c r="C246" s="183">
        <f>C9*'Assumptions (Coal)'!$V$31*10^3</f>
        <v>349.6012827</v>
      </c>
      <c r="D246" s="183">
        <f>D9*'Assumptions (Coal)'!$V$31*10^3</f>
        <v>336.0464591</v>
      </c>
      <c r="E246" s="183">
        <f>E9*'Assumptions (Coal)'!$V$31*10^3</f>
        <v>338.2730377</v>
      </c>
      <c r="F246" s="183">
        <f>F9*'Assumptions (Coal)'!$V$31*10^3</f>
        <v>340.2601633</v>
      </c>
      <c r="G246" s="183">
        <f>G9*'Assumptions (Coal)'!$V$31*10^3</f>
        <v>345.5043603</v>
      </c>
      <c r="H246" s="183">
        <f>H9*'Assumptions (Coal)'!$V$31*10^3</f>
        <v>359.8800823</v>
      </c>
      <c r="I246" s="183">
        <f>I9*'Assumptions (Coal)'!$V$31*10^3</f>
        <v>358.9279358</v>
      </c>
      <c r="J246" s="183">
        <f>J9*'Assumptions (Coal)'!$V$31*10^3</f>
        <v>368.2734905</v>
      </c>
      <c r="K246" s="183">
        <f>K9*'Assumptions (Coal)'!$V$31*10^3</f>
        <v>351.9295033</v>
      </c>
      <c r="L246" s="183">
        <f>L9*'Assumptions (Coal)'!$V$31*10^3</f>
        <v>279.8245806</v>
      </c>
      <c r="M246" s="183">
        <f>M9*'Assumptions (Coal)'!$V$31*10^3</f>
        <v>303.9069151</v>
      </c>
      <c r="N246" s="183">
        <f>N9*'Assumptions (Coal)'!$V$31*10^3</f>
        <v>261.9429217</v>
      </c>
      <c r="O246" s="183">
        <f>O9*'Assumptions (Coal)'!$V$31*10^3</f>
        <v>208.7190155</v>
      </c>
      <c r="P246" s="183">
        <f>P9*'Assumptions (Coal)'!$V$31*10^3</f>
        <v>200.3697749</v>
      </c>
      <c r="Q246" s="183">
        <f>Q9*'Assumptions (Coal)'!$V$31*10^3</f>
        <v>217.8229107</v>
      </c>
      <c r="R246" s="183">
        <f>R9*'Assumptions (Coal)'!$V$31*10^3</f>
        <v>178.4543459</v>
      </c>
      <c r="S246" s="183">
        <f>S9*'Assumptions (Coal)'!$V$31*10^3</f>
        <v>167.4481769</v>
      </c>
      <c r="T246" s="183">
        <f>T9*'Assumptions (Coal)'!$V$31*10^3</f>
        <v>149.1955725</v>
      </c>
      <c r="U246" s="183">
        <f>U9*'Assumptions (Coal)'!$V$31*10^3</f>
        <v>141.6897426</v>
      </c>
      <c r="V246" s="183">
        <f>V9*'Assumptions (Coal)'!$V$31*10^3</f>
        <v>141.6897426</v>
      </c>
      <c r="W246" s="183">
        <f>W9*'Assumptions (Coal)'!$V$31*10^3</f>
        <v>141.6897426</v>
      </c>
      <c r="X246" s="184">
        <f>X9*('Assumptions (Coal)'!$V$31*10^3*X8/(X8+X13)+'Assumptions (Coal)'!$V$24*10^3*X13/(X8+X13))</f>
        <v>135.100203</v>
      </c>
      <c r="Y246" s="184">
        <f>Y9*('Assumptions (Coal)'!$V$31*10^3*Y8/(Y8+Y13)+'Assumptions (Coal)'!$V$24*10^3*Y13/(Y8+Y13))</f>
        <v>134.9230835</v>
      </c>
      <c r="Z246" s="184">
        <f>Z9*('Assumptions (Coal)'!$V$31*10^3*Z8/(Z8+Z13)+'Assumptions (Coal)'!$V$24*10^3*Z13/(Z8+Z13))</f>
        <v>134.3929292</v>
      </c>
      <c r="AA246" s="184">
        <f>AA9*('Assumptions (Coal)'!$V$31*10^3*AA8/(AA8+AA13)+'Assumptions (Coal)'!$V$24*10^3*AA13/(AA8+AA13))</f>
        <v>133.8677169</v>
      </c>
      <c r="AB246" s="184">
        <f>AB9*('Assumptions (Coal)'!$V$31*10^3*AB8/(AB8+AB13)+'Assumptions (Coal)'!$V$24*10^3*AB13/(AB8+AB13))</f>
        <v>132.2817461</v>
      </c>
      <c r="AC246" s="184">
        <f>AC9*('Assumptions (Coal)'!$V$31*10^3*AC8/(AC8+AC13)+'Assumptions (Coal)'!$V$24*10^3*AC13/(AC8+AC13))</f>
        <v>131.3229562</v>
      </c>
      <c r="AD246" s="184">
        <f>AD9*('Assumptions (Coal)'!$V$31*10^3*AD8/(AD8+AD13)+'Assumptions (Coal)'!$V$24*10^3*AD13/(AD8+AD13))</f>
        <v>130.7605646</v>
      </c>
      <c r="AE246" s="184">
        <f>AE9*('Assumptions (Coal)'!$V$31*10^3*AE8/(AE8+AE13)+'Assumptions (Coal)'!$V$24*10^3*AE13/(AE8+AE13))</f>
        <v>131.006623</v>
      </c>
      <c r="AF246" s="184">
        <f>AF9*('Assumptions (Coal)'!$V$31*10^3*AF8/(AF8+AF13)+'Assumptions (Coal)'!$V$24*10^3*AF13/(AF8+AF13))</f>
        <v>131.2892091</v>
      </c>
      <c r="AG246" s="184">
        <f>AG9*('Assumptions (Coal)'!$V$31*10^3*AG8/(AG8+AG13)+'Assumptions (Coal)'!$V$24*10^3*AG13/(AG8+AG13))</f>
        <v>131.036319</v>
      </c>
      <c r="AH246" s="184">
        <f>AH9*('Assumptions (Coal)'!$V$31*10^3*AH8/(AH8+AH13)+'Assumptions (Coal)'!$V$24*10^3*AH13/(AH8+AH13))</f>
        <v>131.3438557</v>
      </c>
      <c r="AI246" s="184">
        <f>AI9*('Assumptions (Coal)'!$V$31*10^3*AI8/(AI8+AI13)+'Assumptions (Coal)'!$V$24*10^3*AI13/(AI8+AI13))</f>
        <v>131.6424026</v>
      </c>
      <c r="AJ246" s="184">
        <f>AJ9*('Assumptions (Coal)'!$V$31*10^3*AJ8/(AJ8+AJ13)+'Assumptions (Coal)'!$V$24*10^3*AJ13/(AJ8+AJ13))</f>
        <v>131.912012</v>
      </c>
      <c r="AK246" s="184">
        <f>AK9*('Assumptions (Coal)'!$V$31*10^3*AK8/(AK8+AK13)+'Assumptions (Coal)'!$V$24*10^3*AK13/(AK8+AK13))</f>
        <v>132.1207836</v>
      </c>
      <c r="AL246" s="184">
        <f>AL9*('Assumptions (Coal)'!$V$31*10^3*AL8/(AL8+AL13)+'Assumptions (Coal)'!$V$24*10^3*AL13/(AL8+AL13))</f>
        <v>132.3890944</v>
      </c>
      <c r="AM246" s="184">
        <f>AM9*('Assumptions (Coal)'!$V$31*10^3*AM8/(AM8+AM13)+'Assumptions (Coal)'!$V$24*10^3*AM13/(AM8+AM13))</f>
        <v>132.2992702</v>
      </c>
      <c r="AN246" s="184">
        <f>AN9*('Assumptions (Coal)'!$V$31*10^3*AN8/(AN8+AN13)+'Assumptions (Coal)'!$V$24*10^3*AN13/(AN8+AN13))</f>
        <v>132.5428349</v>
      </c>
      <c r="AO246" s="184">
        <f>AO9*('Assumptions (Coal)'!$V$31*10^3*AO8/(AO8+AO13)+'Assumptions (Coal)'!$V$24*10^3*AO13/(AO8+AO13))</f>
        <v>132.7747356</v>
      </c>
      <c r="AP246" s="184">
        <f>AP9*('Assumptions (Coal)'!$V$31*10^3*AP8/(AP8+AP13)+'Assumptions (Coal)'!$V$24*10^3*AP13/(AP8+AP13))</f>
        <v>132.9944198</v>
      </c>
      <c r="AQ246" s="184">
        <f>AQ9*('Assumptions (Coal)'!$V$31*10^3*AQ8/(AQ8+AQ13)+'Assumptions (Coal)'!$V$24*10^3*AQ13/(AQ8+AQ13))</f>
        <v>133.2012995</v>
      </c>
      <c r="AR246" s="184">
        <f>AR9*('Assumptions (Coal)'!$V$31*10^3*AR8/(AR8+AR13)+'Assumptions (Coal)'!$V$24*10^3*AR13/(AR8+AR13))</f>
        <v>133.3947485</v>
      </c>
      <c r="AS246" s="184">
        <f>AS9*('Assumptions (Coal)'!$V$31*10^3*AS8/(AS8+AS13)+'Assumptions (Coal)'!$V$24*10^3*AS13/(AS8+AS13))</f>
        <v>133.574099</v>
      </c>
      <c r="AT246" s="184">
        <f>AT9*('Assumptions (Coal)'!$V$31*10^3*AT8/(AT8+AT13)+'Assumptions (Coal)'!$V$24*10^3*AT13/(AT8+AT13))</f>
        <v>133.7386381</v>
      </c>
      <c r="AU246" s="184">
        <f>AU9*('Assumptions (Coal)'!$V$31*10^3*AU8/(AU8+AU13)+'Assumptions (Coal)'!$V$24*10^3*AU13/(AU8+AU13))</f>
        <v>133.8876042</v>
      </c>
      <c r="AV246" s="184">
        <f>AV9*('Assumptions (Coal)'!$V$31*10^3*AV8/(AV8+AV13)+'Assumptions (Coal)'!$V$24*10^3*AV13/(AV8+AV13))</f>
        <v>134.0201824</v>
      </c>
      <c r="AW246" s="184">
        <f>AW9*('Assumptions (Coal)'!$V$31*10^3*AW8/(AW8+AW13)+'Assumptions (Coal)'!$V$24*10^3*AW13/(AW8+AW13))</f>
        <v>134.1355</v>
      </c>
      <c r="AX246" s="184">
        <f>AX9*('Assumptions (Coal)'!$V$31*10^3*AX8/(AX8+AX13)+'Assumptions (Coal)'!$V$24*10^3*AX13/(AX8+AX13))</f>
        <v>134.2326212</v>
      </c>
      <c r="AY246" s="184">
        <f>AY9*('Assumptions (Coal)'!$V$31*10^3*AY8/(AY8+AY13)+'Assumptions (Coal)'!$V$24*10^3*AY13/(AY8+AY13))</f>
        <v>134.3105415</v>
      </c>
      <c r="AZ246" s="184">
        <f>AZ9*('Assumptions (Coal)'!$V$31*10^3*AZ8/(AZ8+AZ13)+'Assumptions (Coal)'!$V$24*10^3*AZ13/(AZ8+AZ13))</f>
        <v>134.3681806</v>
      </c>
      <c r="BA246" s="184">
        <f>BA9*('Assumptions (Coal)'!$V$31*10^3*BA8/(BA8+BA13)+'Assumptions (Coal)'!$V$24*10^3*BA13/(BA8+BA13))</f>
        <v>134.4043762</v>
      </c>
      <c r="BB246" s="183"/>
    </row>
    <row r="247" ht="15.75" customHeight="1">
      <c r="A247" s="140" t="s">
        <v>366</v>
      </c>
      <c r="B247" s="159"/>
      <c r="C247" s="174"/>
      <c r="D247" s="174"/>
      <c r="E247" s="174"/>
      <c r="F247" s="174"/>
      <c r="G247" s="174"/>
      <c r="H247" s="174"/>
      <c r="I247" s="174"/>
      <c r="J247" s="174"/>
      <c r="K247" s="174"/>
      <c r="L247" s="174"/>
      <c r="M247" s="174"/>
      <c r="N247" s="174"/>
      <c r="O247" s="174"/>
      <c r="P247" s="174"/>
      <c r="Q247" s="174"/>
      <c r="R247" s="174"/>
      <c r="S247" s="174"/>
      <c r="T247" s="174"/>
      <c r="U247" s="174"/>
      <c r="V247" s="174"/>
      <c r="W247" s="175"/>
      <c r="X247" s="141"/>
      <c r="Y247" s="141"/>
      <c r="Z247" s="141"/>
      <c r="AA247" s="141"/>
      <c r="AB247" s="141"/>
      <c r="AC247" s="141"/>
      <c r="AD247" s="141"/>
      <c r="AE247" s="141"/>
      <c r="AF247" s="141"/>
      <c r="AG247" s="141"/>
      <c r="AH247" s="141"/>
      <c r="AI247" s="141"/>
      <c r="AJ247" s="141"/>
      <c r="AK247" s="141"/>
      <c r="AL247" s="141"/>
      <c r="AM247" s="141"/>
      <c r="AN247" s="141"/>
      <c r="AO247" s="141"/>
      <c r="AP247" s="141"/>
      <c r="AQ247" s="141"/>
      <c r="AR247" s="141"/>
      <c r="AS247" s="141"/>
      <c r="AT247" s="141"/>
      <c r="AU247" s="141"/>
      <c r="AV247" s="141"/>
      <c r="AW247" s="141"/>
      <c r="AX247" s="141"/>
      <c r="AY247" s="141"/>
      <c r="AZ247" s="141"/>
      <c r="BA247" s="141"/>
    </row>
    <row r="248" ht="15.75" customHeight="1">
      <c r="A248" s="158" t="s">
        <v>25</v>
      </c>
      <c r="B248" s="159"/>
      <c r="C248" s="174"/>
      <c r="D248" s="174"/>
      <c r="E248" s="174"/>
      <c r="F248" s="174"/>
      <c r="G248" s="174"/>
      <c r="H248" s="174"/>
      <c r="I248" s="174"/>
      <c r="J248" s="174"/>
      <c r="K248" s="174"/>
      <c r="L248" s="174"/>
      <c r="M248" s="174"/>
      <c r="N248" s="174"/>
      <c r="O248" s="174"/>
      <c r="P248" s="174"/>
      <c r="Q248" s="174"/>
      <c r="R248" s="174"/>
      <c r="S248" s="174"/>
      <c r="T248" s="174"/>
      <c r="U248" s="174"/>
      <c r="V248" s="174"/>
      <c r="W248" s="175"/>
      <c r="X248" s="141"/>
      <c r="Y248" s="141"/>
      <c r="Z248" s="141"/>
      <c r="AA248" s="141"/>
      <c r="AB248" s="141"/>
      <c r="AC248" s="141"/>
      <c r="AD248" s="141"/>
      <c r="AE248" s="141"/>
      <c r="AF248" s="141"/>
      <c r="AG248" s="141"/>
      <c r="AH248" s="141"/>
      <c r="AI248" s="141"/>
      <c r="AJ248" s="141"/>
      <c r="AK248" s="141"/>
      <c r="AL248" s="141"/>
      <c r="AM248" s="141"/>
      <c r="AN248" s="141"/>
      <c r="AO248" s="141"/>
      <c r="AP248" s="141"/>
      <c r="AQ248" s="141"/>
      <c r="AR248" s="141"/>
      <c r="AS248" s="141"/>
      <c r="AT248" s="141"/>
      <c r="AU248" s="141"/>
      <c r="AV248" s="141"/>
      <c r="AW248" s="141"/>
      <c r="AX248" s="141"/>
      <c r="AY248" s="141"/>
      <c r="AZ248" s="141"/>
      <c r="BA248" s="141"/>
    </row>
    <row r="249" ht="15.75" customHeight="1">
      <c r="A249" s="158" t="s">
        <v>31</v>
      </c>
      <c r="B249" s="159"/>
      <c r="C249" s="174"/>
      <c r="D249" s="174"/>
      <c r="E249" s="174"/>
      <c r="F249" s="174"/>
      <c r="G249" s="174"/>
      <c r="H249" s="174"/>
      <c r="I249" s="174"/>
      <c r="J249" s="174"/>
      <c r="K249" s="174"/>
      <c r="L249" s="174"/>
      <c r="M249" s="174"/>
      <c r="N249" s="174"/>
      <c r="O249" s="174"/>
      <c r="P249" s="174"/>
      <c r="Q249" s="174"/>
      <c r="R249" s="174"/>
      <c r="S249" s="174"/>
      <c r="T249" s="174"/>
      <c r="U249" s="174"/>
      <c r="V249" s="174"/>
      <c r="W249" s="175"/>
      <c r="X249" s="141"/>
      <c r="Y249" s="141"/>
      <c r="Z249" s="141"/>
      <c r="AA249" s="141"/>
      <c r="AB249" s="141"/>
      <c r="AC249" s="141"/>
      <c r="AD249" s="141"/>
      <c r="AE249" s="141"/>
      <c r="AF249" s="141"/>
      <c r="AG249" s="141"/>
      <c r="AH249" s="141"/>
      <c r="AI249" s="141"/>
      <c r="AJ249" s="141"/>
      <c r="AK249" s="141"/>
      <c r="AL249" s="141"/>
      <c r="AM249" s="141"/>
      <c r="AN249" s="141"/>
      <c r="AO249" s="141"/>
      <c r="AP249" s="141"/>
      <c r="AQ249" s="141"/>
      <c r="AR249" s="141"/>
      <c r="AS249" s="141"/>
      <c r="AT249" s="141"/>
      <c r="AU249" s="141"/>
      <c r="AV249" s="141"/>
      <c r="AW249" s="141"/>
      <c r="AX249" s="141"/>
      <c r="AY249" s="141"/>
      <c r="AZ249" s="141"/>
      <c r="BA249" s="141"/>
    </row>
    <row r="250" ht="15.75" customHeight="1">
      <c r="A250" s="158"/>
      <c r="B250" s="159"/>
      <c r="C250" s="174"/>
      <c r="D250" s="174"/>
      <c r="E250" s="174"/>
      <c r="F250" s="174"/>
      <c r="G250" s="174"/>
      <c r="H250" s="174"/>
      <c r="I250" s="174"/>
      <c r="J250" s="174"/>
      <c r="K250" s="174"/>
      <c r="L250" s="174"/>
      <c r="M250" s="174"/>
      <c r="N250" s="174"/>
      <c r="O250" s="174"/>
      <c r="P250" s="174"/>
      <c r="Q250" s="174"/>
      <c r="R250" s="174"/>
      <c r="S250" s="174"/>
      <c r="T250" s="174"/>
      <c r="U250" s="174"/>
      <c r="V250" s="174"/>
      <c r="W250" s="175"/>
      <c r="X250" s="141"/>
      <c r="Y250" s="141"/>
      <c r="Z250" s="141"/>
      <c r="AA250" s="141"/>
      <c r="AB250" s="141"/>
      <c r="AC250" s="141"/>
      <c r="AD250" s="141"/>
      <c r="AE250" s="141"/>
      <c r="AF250" s="141"/>
      <c r="AG250" s="141"/>
      <c r="AH250" s="141"/>
      <c r="AI250" s="141"/>
      <c r="AJ250" s="141"/>
      <c r="AK250" s="141"/>
      <c r="AL250" s="141"/>
      <c r="AM250" s="141"/>
      <c r="AN250" s="141"/>
      <c r="AO250" s="141"/>
      <c r="AP250" s="141"/>
      <c r="AQ250" s="141"/>
      <c r="AR250" s="141"/>
      <c r="AS250" s="141"/>
      <c r="AT250" s="141"/>
      <c r="AU250" s="141"/>
      <c r="AV250" s="141"/>
      <c r="AW250" s="141"/>
      <c r="AX250" s="141"/>
      <c r="AY250" s="141"/>
      <c r="AZ250" s="141"/>
      <c r="BA250" s="141"/>
    </row>
    <row r="251" ht="15.75" customHeight="1">
      <c r="A251" s="158"/>
      <c r="B251" s="159"/>
      <c r="C251" s="174"/>
      <c r="D251" s="174"/>
      <c r="E251" s="174"/>
      <c r="F251" s="174"/>
      <c r="G251" s="174"/>
      <c r="H251" s="174"/>
      <c r="I251" s="174"/>
      <c r="J251" s="174"/>
      <c r="K251" s="174"/>
      <c r="L251" s="174"/>
      <c r="M251" s="174"/>
      <c r="N251" s="174"/>
      <c r="O251" s="174"/>
      <c r="P251" s="174"/>
      <c r="Q251" s="174"/>
      <c r="R251" s="174"/>
      <c r="S251" s="174"/>
      <c r="T251" s="174"/>
      <c r="U251" s="174"/>
      <c r="V251" s="174"/>
      <c r="W251" s="175"/>
      <c r="X251" s="141"/>
      <c r="Y251" s="141"/>
      <c r="Z251" s="141"/>
      <c r="AA251" s="141"/>
      <c r="AB251" s="141"/>
      <c r="AC251" s="141"/>
      <c r="AD251" s="141"/>
      <c r="AE251" s="141"/>
      <c r="AF251" s="141"/>
      <c r="AG251" s="141"/>
      <c r="AH251" s="141"/>
      <c r="AI251" s="141"/>
      <c r="AJ251" s="141"/>
      <c r="AK251" s="141"/>
      <c r="AL251" s="141"/>
      <c r="AM251" s="141"/>
      <c r="AN251" s="141"/>
      <c r="AO251" s="141"/>
      <c r="AP251" s="141"/>
      <c r="AQ251" s="141"/>
      <c r="AR251" s="141"/>
      <c r="AS251" s="141"/>
      <c r="AT251" s="141"/>
      <c r="AU251" s="141"/>
      <c r="AV251" s="141"/>
      <c r="AW251" s="141"/>
      <c r="AX251" s="141"/>
      <c r="AY251" s="141"/>
      <c r="AZ251" s="141"/>
      <c r="BA251" s="141"/>
    </row>
    <row r="252" ht="15.75" customHeight="1">
      <c r="A252" s="185" t="s">
        <v>367</v>
      </c>
      <c r="B252" s="38"/>
      <c r="C252" s="78"/>
      <c r="D252" s="78"/>
      <c r="E252" s="78"/>
      <c r="F252" s="78"/>
      <c r="G252" s="78"/>
      <c r="H252" s="78"/>
      <c r="I252" s="78"/>
      <c r="J252" s="78"/>
      <c r="K252" s="78"/>
      <c r="L252" s="78"/>
      <c r="M252" s="78"/>
      <c r="N252" s="78"/>
      <c r="O252" s="78"/>
      <c r="P252" s="78"/>
      <c r="Q252" s="78"/>
      <c r="R252" s="78"/>
      <c r="S252" s="78"/>
      <c r="T252" s="78"/>
      <c r="U252" s="78"/>
      <c r="V252" s="78"/>
      <c r="W252" s="139"/>
    </row>
    <row r="253" ht="15.75" customHeight="1">
      <c r="A253" s="186" t="s">
        <v>368</v>
      </c>
      <c r="B253" s="150" t="s">
        <v>351</v>
      </c>
      <c r="C253" s="95">
        <f>(1+'Assumptions (NG Midstream)'!B67)*'Assumptions (NG Midstream)'!B65</f>
        <v>13.11760065</v>
      </c>
      <c r="D253" s="95">
        <f>(1+'Assumptions (NG Midstream)'!C67)*'Assumptions (NG Midstream)'!C65</f>
        <v>12.65194929</v>
      </c>
      <c r="E253" s="95">
        <f>(1+'Assumptions (NG Midstream)'!D67)*'Assumptions (NG Midstream)'!D65</f>
        <v>11.63195453</v>
      </c>
      <c r="F253" s="95">
        <f>(1+'Assumptions (NG Midstream)'!E67)*'Assumptions (NG Midstream)'!E65</f>
        <v>12.45778077</v>
      </c>
      <c r="G253" s="95">
        <f>(1+'Assumptions (NG Midstream)'!F67)*'Assumptions (NG Midstream)'!F65</f>
        <v>12.7064747</v>
      </c>
      <c r="H253" s="95">
        <f>(1+'Assumptions (NG Midstream)'!G67)*'Assumptions (NG Midstream)'!G65</f>
        <v>14.44459418</v>
      </c>
      <c r="I253" s="95">
        <f>(1+'Assumptions (NG Midstream)'!H67)*'Assumptions (NG Midstream)'!H65</f>
        <v>14.53930479</v>
      </c>
      <c r="J253" s="95">
        <f>(1+'Assumptions (NG Midstream)'!I67)*'Assumptions (NG Midstream)'!I65</f>
        <v>19.5529251</v>
      </c>
      <c r="K253" s="95">
        <f>(1+'Assumptions (NG Midstream)'!J67)*'Assumptions (NG Midstream)'!J65</f>
        <v>16.71954067</v>
      </c>
      <c r="L253" s="95">
        <f>(1+'Assumptions (NG Midstream)'!K67)*'Assumptions (NG Midstream)'!K65</f>
        <v>15.1936226</v>
      </c>
      <c r="M253" s="95">
        <f>(1+'Assumptions (NG Midstream)'!L67)*'Assumptions (NG Midstream)'!L65</f>
        <v>16.11841255</v>
      </c>
      <c r="N253" s="95">
        <f>(1+'Assumptions (NG Midstream)'!M67)*'Assumptions (NG Midstream)'!M65</f>
        <v>17.3731179</v>
      </c>
      <c r="O253" s="95">
        <f>(1+'Assumptions (NG Midstream)'!N67)*'Assumptions (NG Midstream)'!N65</f>
        <v>18.10056249</v>
      </c>
      <c r="P253" s="95">
        <f>(1+'Assumptions (NG Midstream)'!O67)*'Assumptions (NG Midstream)'!O65</f>
        <v>17.80394466</v>
      </c>
      <c r="Q253" s="95">
        <f>(1+'Assumptions (NG Midstream)'!P67)*'Assumptions (NG Midstream)'!P65</f>
        <v>20.38314895</v>
      </c>
      <c r="R253" s="95">
        <f>(1+'Assumptions (NG Midstream)'!Q67)*'Assumptions (NG Midstream)'!Q65</f>
        <v>20.11199148</v>
      </c>
      <c r="S253" s="95">
        <f>(1+'Assumptions (NG Midstream)'!R67)*'Assumptions (NG Midstream)'!R65</f>
        <v>17.72132958</v>
      </c>
      <c r="T253" s="95">
        <f>(1+'Assumptions (NG Midstream)'!S67)*'Assumptions (NG Midstream)'!S65</f>
        <v>19.36686819</v>
      </c>
      <c r="U253" s="95">
        <f>(1+'Assumptions (NG Midstream)'!T67)*'Assumptions (NG Midstream)'!T65</f>
        <v>19.81460649</v>
      </c>
      <c r="V253" s="95">
        <f>(1+'Assumptions (NG Midstream)'!U67)*'Assumptions (NG Midstream)'!U65</f>
        <v>19.7922173</v>
      </c>
      <c r="W253" s="95">
        <f>(1+'Assumptions (NG Midstream)'!V67)*'Assumptions (NG Midstream)'!V65</f>
        <v>19.94154559</v>
      </c>
      <c r="X253" s="95">
        <f>(1+'Assumptions (NG Midstream)'!W67)*'Assumptions (NG Midstream)'!W65</f>
        <v>20.01785593</v>
      </c>
      <c r="Y253" s="95">
        <f>(1+'Assumptions (NG Midstream)'!X67)*'Assumptions (NG Midstream)'!X65</f>
        <v>20.09140074</v>
      </c>
      <c r="Z253" s="95">
        <f>(1+'Assumptions (NG Midstream)'!Y67)*'Assumptions (NG Midstream)'!Y65</f>
        <v>20.13967355</v>
      </c>
      <c r="AA253" s="95">
        <f>(1+'Assumptions (NG Midstream)'!Z67)*'Assumptions (NG Midstream)'!Z65</f>
        <v>20.23116763</v>
      </c>
      <c r="AB253" s="95">
        <f>(1+'Assumptions (NG Midstream)'!AA67)*'Assumptions (NG Midstream)'!AA65</f>
        <v>20.2922973</v>
      </c>
      <c r="AC253" s="95">
        <f>(1+'Assumptions (NG Midstream)'!AB67)*'Assumptions (NG Midstream)'!AB65</f>
        <v>20.3918176</v>
      </c>
      <c r="AD253" s="95">
        <f>(1+'Assumptions (NG Midstream)'!AC67)*'Assumptions (NG Midstream)'!AC65</f>
        <v>20.46446795</v>
      </c>
      <c r="AE253" s="95">
        <f>(1+'Assumptions (NG Midstream)'!AD67)*'Assumptions (NG Midstream)'!AD65</f>
        <v>20.52207852</v>
      </c>
      <c r="AF253" s="95">
        <f>(1+'Assumptions (NG Midstream)'!AE67)*'Assumptions (NG Midstream)'!AE65</f>
        <v>20.53446115</v>
      </c>
      <c r="AG253" s="95">
        <f>(1+'Assumptions (NG Midstream)'!AF67)*'Assumptions (NG Midstream)'!AF65</f>
        <v>20.48382612</v>
      </c>
      <c r="AH253" s="95">
        <f>(1+'Assumptions (NG Midstream)'!AG67)*'Assumptions (NG Midstream)'!AG65</f>
        <v>20.48207585</v>
      </c>
      <c r="AI253" s="95">
        <f>(1+'Assumptions (NG Midstream)'!AH67)*'Assumptions (NG Midstream)'!AH65</f>
        <v>20.51612328</v>
      </c>
      <c r="AJ253" s="95">
        <f>(1+'Assumptions (NG Midstream)'!AI67)*'Assumptions (NG Midstream)'!AI65</f>
        <v>20.54025202</v>
      </c>
      <c r="AK253" s="95">
        <f>(1+'Assumptions (NG Midstream)'!AJ67)*'Assumptions (NG Midstream)'!AJ65</f>
        <v>20.57854557</v>
      </c>
      <c r="AL253" s="95">
        <f>(1+'Assumptions (NG Midstream)'!AK67)*'Assumptions (NG Midstream)'!AK65</f>
        <v>20.60083976</v>
      </c>
      <c r="AM253" s="95">
        <f>(1+'Assumptions (NG Midstream)'!AL67)*'Assumptions (NG Midstream)'!AL65</f>
        <v>20.62291424</v>
      </c>
      <c r="AN253" s="95">
        <f>(1+'Assumptions (NG Midstream)'!AM67)*'Assumptions (NG Midstream)'!AM65</f>
        <v>20.63711479</v>
      </c>
      <c r="AO253" s="95">
        <f>(1+'Assumptions (NG Midstream)'!AN67)*'Assumptions (NG Midstream)'!AN65</f>
        <v>20.65509077</v>
      </c>
      <c r="AP253" s="95">
        <f>(1+'Assumptions (NG Midstream)'!AO67)*'Assumptions (NG Midstream)'!AO65</f>
        <v>20.66646624</v>
      </c>
      <c r="AQ253" s="95">
        <f>(1+'Assumptions (NG Midstream)'!AP67)*'Assumptions (NG Midstream)'!AP65</f>
        <v>20.67964221</v>
      </c>
      <c r="AR253" s="95">
        <f>(1+'Assumptions (NG Midstream)'!AQ67)*'Assumptions (NG Midstream)'!AQ65</f>
        <v>20.68837305</v>
      </c>
      <c r="AS253" s="95">
        <f>(1+'Assumptions (NG Midstream)'!AR67)*'Assumptions (NG Midstream)'!AR65</f>
        <v>20.70361069</v>
      </c>
      <c r="AT253" s="95">
        <f>(1+'Assumptions (NG Midstream)'!AS67)*'Assumptions (NG Midstream)'!AS65</f>
        <v>20.71726242</v>
      </c>
      <c r="AU253" s="95">
        <f>(1+'Assumptions (NG Midstream)'!AT67)*'Assumptions (NG Midstream)'!AT65</f>
        <v>20.74349711</v>
      </c>
      <c r="AV253" s="95">
        <f>(1+'Assumptions (NG Midstream)'!AU67)*'Assumptions (NG Midstream)'!AU65</f>
        <v>20.75888723</v>
      </c>
      <c r="AW253" s="95">
        <f>(1+'Assumptions (NG Midstream)'!AV67)*'Assumptions (NG Midstream)'!AV65</f>
        <v>20.76696385</v>
      </c>
      <c r="AX253" s="95">
        <f>(1+'Assumptions (NG Midstream)'!AW67)*'Assumptions (NG Midstream)'!AW65</f>
        <v>20.78450276</v>
      </c>
      <c r="AY253" s="95">
        <f>(1+'Assumptions (NG Midstream)'!AX67)*'Assumptions (NG Midstream)'!AX65</f>
        <v>20.81277142</v>
      </c>
      <c r="AZ253" s="95">
        <f>(1+'Assumptions (NG Midstream)'!AY67)*'Assumptions (NG Midstream)'!AY65</f>
        <v>20.82929356</v>
      </c>
      <c r="BA253" s="95">
        <f>(1+'Assumptions (NG Midstream)'!AZ67)*'Assumptions (NG Midstream)'!AZ65</f>
        <v>20.85169184</v>
      </c>
    </row>
    <row r="254" ht="15.75" customHeight="1">
      <c r="A254" s="186" t="s">
        <v>369</v>
      </c>
      <c r="B254" s="150" t="s">
        <v>351</v>
      </c>
      <c r="C254" s="95">
        <f>(1+'Assumptions (NG Midstream)'!B67)*'Assumptions (NG Midstream)'!B58</f>
        <v>79.22024385</v>
      </c>
      <c r="D254" s="95">
        <f>(1+'Assumptions (NG Midstream)'!C67)*'Assumptions (NG Midstream)'!C58</f>
        <v>85.87274535</v>
      </c>
      <c r="E254" s="95">
        <f>(1+'Assumptions (NG Midstream)'!D67)*'Assumptions (NG Midstream)'!D58</f>
        <v>86.63442841</v>
      </c>
      <c r="F254" s="95">
        <f>(1+'Assumptions (NG Midstream)'!E67)*'Assumptions (NG Midstream)'!E58</f>
        <v>87.51476063</v>
      </c>
      <c r="G254" s="95">
        <f>(1+'Assumptions (NG Midstream)'!F67)*'Assumptions (NG Midstream)'!F58</f>
        <v>92.37242765</v>
      </c>
      <c r="H254" s="95">
        <f>(1+'Assumptions (NG Midstream)'!G67)*'Assumptions (NG Midstream)'!G58</f>
        <v>100.0093355</v>
      </c>
      <c r="I254" s="95">
        <f>(1+'Assumptions (NG Midstream)'!H67)*'Assumptions (NG Midstream)'!H58</f>
        <v>99.76810269</v>
      </c>
      <c r="J254" s="95">
        <f>(1+'Assumptions (NG Midstream)'!I67)*'Assumptions (NG Midstream)'!I58</f>
        <v>106.8350767</v>
      </c>
      <c r="K254" s="95">
        <f>(1+'Assumptions (NG Midstream)'!J67)*'Assumptions (NG Midstream)'!J58</f>
        <v>108.0639263</v>
      </c>
      <c r="L254" s="95">
        <f>(1+'Assumptions (NG Midstream)'!K67)*'Assumptions (NG Midstream)'!K58</f>
        <v>121.5834074</v>
      </c>
      <c r="M254" s="95">
        <f>(1+'Assumptions (NG Midstream)'!L67)*'Assumptions (NG Midstream)'!L58</f>
        <v>139.7469845</v>
      </c>
      <c r="N254" s="95">
        <f>(1+'Assumptions (NG Midstream)'!M67)*'Assumptions (NG Midstream)'!M58</f>
        <v>148.9293918</v>
      </c>
      <c r="O254" s="95">
        <f>(1+'Assumptions (NG Midstream)'!N67)*'Assumptions (NG Midstream)'!N58</f>
        <v>171.6578001</v>
      </c>
      <c r="P254" s="95">
        <f>(1+'Assumptions (NG Midstream)'!O67)*'Assumptions (NG Midstream)'!O58</f>
        <v>170.5329186</v>
      </c>
      <c r="Q254" s="95">
        <f>(1+'Assumptions (NG Midstream)'!P67)*'Assumptions (NG Midstream)'!P58</f>
        <v>171.8928161</v>
      </c>
      <c r="R254" s="95">
        <f>(1+'Assumptions (NG Midstream)'!Q67)*'Assumptions (NG Midstream)'!Q58</f>
        <v>174.7534427</v>
      </c>
      <c r="S254" s="95">
        <f>(1+'Assumptions (NG Midstream)'!R67)*'Assumptions (NG Midstream)'!R58</f>
        <v>180.9949322</v>
      </c>
      <c r="T254" s="95">
        <f>(1+'Assumptions (NG Midstream)'!S67)*'Assumptions (NG Midstream)'!S58</f>
        <v>179.0135228</v>
      </c>
      <c r="U254" s="95">
        <f>(1+'Assumptions (NG Midstream)'!T67)*'Assumptions (NG Midstream)'!T58</f>
        <v>185.9117457</v>
      </c>
      <c r="V254" s="95">
        <f>(1+'Assumptions (NG Midstream)'!U67)*'Assumptions (NG Midstream)'!U58</f>
        <v>185.6072857</v>
      </c>
      <c r="W254" s="95">
        <f>(1+'Assumptions (NG Midstream)'!V67)*'Assumptions (NG Midstream)'!V58</f>
        <v>187.8433225</v>
      </c>
      <c r="X254" s="95">
        <f>(1+'Assumptions (NG Midstream)'!W67)*'Assumptions (NG Midstream)'!W58</f>
        <v>188.8960298</v>
      </c>
      <c r="Y254" s="95">
        <f>(1+'Assumptions (NG Midstream)'!X67)*'Assumptions (NG Midstream)'!X58</f>
        <v>189.8280724</v>
      </c>
      <c r="Z254" s="95">
        <f>(1+'Assumptions (NG Midstream)'!Y67)*'Assumptions (NG Midstream)'!Y58</f>
        <v>190.7308504</v>
      </c>
      <c r="AA254" s="95">
        <f>(1+'Assumptions (NG Midstream)'!Z67)*'Assumptions (NG Midstream)'!Z58</f>
        <v>192.1215769</v>
      </c>
      <c r="AB254" s="95">
        <f>(1+'Assumptions (NG Midstream)'!AA67)*'Assumptions (NG Midstream)'!AA58</f>
        <v>193.2191447</v>
      </c>
      <c r="AC254" s="95">
        <f>(1+'Assumptions (NG Midstream)'!AB67)*'Assumptions (NG Midstream)'!AB58</f>
        <v>194.6078622</v>
      </c>
      <c r="AD254" s="95">
        <f>(1+'Assumptions (NG Midstream)'!AC67)*'Assumptions (NG Midstream)'!AC58</f>
        <v>195.5715675</v>
      </c>
      <c r="AE254" s="95">
        <f>(1+'Assumptions (NG Midstream)'!AD67)*'Assumptions (NG Midstream)'!AD58</f>
        <v>196.358365</v>
      </c>
      <c r="AF254" s="95">
        <f>(1+'Assumptions (NG Midstream)'!AE67)*'Assumptions (NG Midstream)'!AE58</f>
        <v>196.6015464</v>
      </c>
      <c r="AG254" s="95">
        <f>(1+'Assumptions (NG Midstream)'!AF67)*'Assumptions (NG Midstream)'!AF58</f>
        <v>196.1904983</v>
      </c>
      <c r="AH254" s="95">
        <f>(1+'Assumptions (NG Midstream)'!AG67)*'Assumptions (NG Midstream)'!AG58</f>
        <v>196.3398985</v>
      </c>
      <c r="AI254" s="95">
        <f>(1+'Assumptions (NG Midstream)'!AH67)*'Assumptions (NG Midstream)'!AH58</f>
        <v>196.8598995</v>
      </c>
      <c r="AJ254" s="95">
        <f>(1+'Assumptions (NG Midstream)'!AI67)*'Assumptions (NG Midstream)'!AI58</f>
        <v>197.1697321</v>
      </c>
      <c r="AK254" s="95">
        <f>(1+'Assumptions (NG Midstream)'!AJ67)*'Assumptions (NG Midstream)'!AJ58</f>
        <v>197.7057168</v>
      </c>
      <c r="AL254" s="95">
        <f>(1+'Assumptions (NG Midstream)'!AK67)*'Assumptions (NG Midstream)'!AK58</f>
        <v>198.0316097</v>
      </c>
      <c r="AM254" s="95">
        <f>(1+'Assumptions (NG Midstream)'!AL67)*'Assumptions (NG Midstream)'!AL58</f>
        <v>198.3627092</v>
      </c>
      <c r="AN254" s="95">
        <f>(1+'Assumptions (NG Midstream)'!AM67)*'Assumptions (NG Midstream)'!AM58</f>
        <v>198.5655152</v>
      </c>
      <c r="AO254" s="95">
        <f>(1+'Assumptions (NG Midstream)'!AN67)*'Assumptions (NG Midstream)'!AN58</f>
        <v>198.8339004</v>
      </c>
      <c r="AP254" s="95">
        <f>(1+'Assumptions (NG Midstream)'!AO67)*'Assumptions (NG Midstream)'!AO58</f>
        <v>199.0060937</v>
      </c>
      <c r="AQ254" s="95">
        <f>(1+'Assumptions (NG Midstream)'!AP67)*'Assumptions (NG Midstream)'!AP58</f>
        <v>199.2197909</v>
      </c>
      <c r="AR254" s="95">
        <f>(1+'Assumptions (NG Midstream)'!AQ67)*'Assumptions (NG Midstream)'!AQ58</f>
        <v>199.3553525</v>
      </c>
      <c r="AS254" s="95">
        <f>(1+'Assumptions (NG Midstream)'!AR67)*'Assumptions (NG Midstream)'!AR58</f>
        <v>199.5967512</v>
      </c>
      <c r="AT254" s="95">
        <f>(1+'Assumptions (NG Midstream)'!AS67)*'Assumptions (NG Midstream)'!AS58</f>
        <v>199.8053764</v>
      </c>
      <c r="AU254" s="95">
        <f>(1+'Assumptions (NG Midstream)'!AT67)*'Assumptions (NG Midstream)'!AT58</f>
        <v>200.223112</v>
      </c>
      <c r="AV254" s="95">
        <f>(1+'Assumptions (NG Midstream)'!AU67)*'Assumptions (NG Midstream)'!AU58</f>
        <v>200.4805684</v>
      </c>
      <c r="AW254" s="95">
        <f>(1+'Assumptions (NG Midstream)'!AV67)*'Assumptions (NG Midstream)'!AV58</f>
        <v>200.6305988</v>
      </c>
      <c r="AX254" s="95">
        <f>(1+'Assumptions (NG Midstream)'!AW67)*'Assumptions (NG Midstream)'!AW58</f>
        <v>200.9286061</v>
      </c>
      <c r="AY254" s="95">
        <f>(1+'Assumptions (NG Midstream)'!AX67)*'Assumptions (NG Midstream)'!AX58</f>
        <v>201.3744565</v>
      </c>
      <c r="AZ254" s="95">
        <f>(1+'Assumptions (NG Midstream)'!AY67)*'Assumptions (NG Midstream)'!AY58</f>
        <v>201.6243194</v>
      </c>
      <c r="BA254" s="95">
        <f>(1+'Assumptions (NG Midstream)'!AZ67)*'Assumptions (NG Midstream)'!AZ58</f>
        <v>201.9673877</v>
      </c>
    </row>
    <row r="255" ht="15.75" customHeight="1">
      <c r="A255" s="186" t="s">
        <v>370</v>
      </c>
      <c r="B255" s="150" t="s">
        <v>351</v>
      </c>
      <c r="C255" s="95">
        <f>(1+'Assumptions (NG Midstream)'!B67)*'Assumptions (NG Midstream)'!B60</f>
        <v>1.017843468</v>
      </c>
      <c r="D255" s="95">
        <f>(1+'Assumptions (NG Midstream)'!C67)*'Assumptions (NG Midstream)'!C60</f>
        <v>0.873362171</v>
      </c>
      <c r="E255" s="95">
        <f>(1+'Assumptions (NG Midstream)'!D67)*'Assumptions (NG Midstream)'!D60</f>
        <v>0.7493330468</v>
      </c>
      <c r="F255" s="95">
        <f>(1+'Assumptions (NG Midstream)'!E67)*'Assumptions (NG Midstream)'!E60</f>
        <v>0.9768555028</v>
      </c>
      <c r="G255" s="95">
        <f>(1+'Assumptions (NG Midstream)'!F67)*'Assumptions (NG Midstream)'!F60</f>
        <v>0.9222441316</v>
      </c>
      <c r="H255" s="95">
        <f>(1+'Assumptions (NG Midstream)'!G67)*'Assumptions (NG Midstream)'!G60</f>
        <v>1.030900498</v>
      </c>
      <c r="I255" s="95">
        <f>(1+'Assumptions (NG Midstream)'!H67)*'Assumptions (NG Midstream)'!H60</f>
        <v>0.9335027152</v>
      </c>
      <c r="J255" s="95">
        <f>(1+'Assumptions (NG Midstream)'!I67)*'Assumptions (NG Midstream)'!I60</f>
        <v>0.9214046711</v>
      </c>
      <c r="K255" s="95">
        <f>(1+'Assumptions (NG Midstream)'!J67)*'Assumptions (NG Midstream)'!J60</f>
        <v>0.9511459053</v>
      </c>
      <c r="L255" s="95">
        <f>(1+'Assumptions (NG Midstream)'!K67)*'Assumptions (NG Midstream)'!K60</f>
        <v>0.8950925701</v>
      </c>
      <c r="M255" s="95">
        <f>(1+'Assumptions (NG Midstream)'!L67)*'Assumptions (NG Midstream)'!L60</f>
        <v>1.0313003</v>
      </c>
      <c r="N255" s="95">
        <f>(1+'Assumptions (NG Midstream)'!M67)*'Assumptions (NG Midstream)'!M60</f>
        <v>1.518961128</v>
      </c>
      <c r="O255" s="95">
        <f>(1+'Assumptions (NG Midstream)'!N67)*'Assumptions (NG Midstream)'!N60</f>
        <v>1.921635059</v>
      </c>
      <c r="P255" s="95">
        <f>(1+'Assumptions (NG Midstream)'!O67)*'Assumptions (NG Midstream)'!O60</f>
        <v>2.213463391</v>
      </c>
      <c r="Q255" s="95">
        <f>(1+'Assumptions (NG Midstream)'!P67)*'Assumptions (NG Midstream)'!P60</f>
        <v>0.8429561885</v>
      </c>
      <c r="R255" s="95">
        <f>(1+'Assumptions (NG Midstream)'!Q67)*'Assumptions (NG Midstream)'!Q60</f>
        <v>1.092790288</v>
      </c>
      <c r="S255" s="95">
        <f>(1+'Assumptions (NG Midstream)'!R67)*'Assumptions (NG Midstream)'!R60</f>
        <v>1.780278021</v>
      </c>
      <c r="T255" s="95">
        <f>(1+'Assumptions (NG Midstream)'!S67)*'Assumptions (NG Midstream)'!S60</f>
        <v>1.178707391</v>
      </c>
      <c r="U255" s="95">
        <f>(1+'Assumptions (NG Midstream)'!T67)*'Assumptions (NG Midstream)'!T60</f>
        <v>1.208200992</v>
      </c>
      <c r="V255" s="95">
        <f>(1+'Assumptions (NG Midstream)'!U67)*'Assumptions (NG Midstream)'!U60</f>
        <v>1.221832726</v>
      </c>
      <c r="W255" s="95">
        <f>(1+'Assumptions (NG Midstream)'!V67)*'Assumptions (NG Midstream)'!V60</f>
        <v>1.241194298</v>
      </c>
      <c r="X255" s="95">
        <f>(1+'Assumptions (NG Midstream)'!W67)*'Assumptions (NG Midstream)'!W60</f>
        <v>1.258186626</v>
      </c>
      <c r="Y255" s="95">
        <f>(1+'Assumptions (NG Midstream)'!X67)*'Assumptions (NG Midstream)'!X60</f>
        <v>1.281728672</v>
      </c>
      <c r="Z255" s="95">
        <f>(1+'Assumptions (NG Midstream)'!Y67)*'Assumptions (NG Midstream)'!Y60</f>
        <v>1.30533488</v>
      </c>
      <c r="AA255" s="95">
        <f>(1+'Assumptions (NG Midstream)'!Z67)*'Assumptions (NG Midstream)'!Z60</f>
        <v>1.327884616</v>
      </c>
      <c r="AB255" s="95">
        <f>(1+'Assumptions (NG Midstream)'!AA67)*'Assumptions (NG Midstream)'!AA60</f>
        <v>1.353858361</v>
      </c>
      <c r="AC255" s="95">
        <f>(1+'Assumptions (NG Midstream)'!AB67)*'Assumptions (NG Midstream)'!AB60</f>
        <v>1.376394791</v>
      </c>
      <c r="AD255" s="95">
        <f>(1+'Assumptions (NG Midstream)'!AC67)*'Assumptions (NG Midstream)'!AC60</f>
        <v>1.369741337</v>
      </c>
      <c r="AE255" s="95">
        <f>(1+'Assumptions (NG Midstream)'!AD67)*'Assumptions (NG Midstream)'!AD60</f>
        <v>1.340614045</v>
      </c>
      <c r="AF255" s="95">
        <f>(1+'Assumptions (NG Midstream)'!AE67)*'Assumptions (NG Midstream)'!AE60</f>
        <v>1.284858415</v>
      </c>
      <c r="AG255" s="95">
        <f>(1+'Assumptions (NG Midstream)'!AF67)*'Assumptions (NG Midstream)'!AF60</f>
        <v>1.309935606</v>
      </c>
      <c r="AH255" s="95">
        <f>(1+'Assumptions (NG Midstream)'!AG67)*'Assumptions (NG Midstream)'!AG60</f>
        <v>1.32177897</v>
      </c>
      <c r="AI255" s="95">
        <f>(1+'Assumptions (NG Midstream)'!AH67)*'Assumptions (NG Midstream)'!AH60</f>
        <v>1.290374686</v>
      </c>
      <c r="AJ255" s="95">
        <f>(1+'Assumptions (NG Midstream)'!AI67)*'Assumptions (NG Midstream)'!AI60</f>
        <v>1.298356887</v>
      </c>
      <c r="AK255" s="95">
        <f>(1+'Assumptions (NG Midstream)'!AJ67)*'Assumptions (NG Midstream)'!AJ60</f>
        <v>1.304943962</v>
      </c>
      <c r="AL255" s="95">
        <f>(1+'Assumptions (NG Midstream)'!AK67)*'Assumptions (NG Midstream)'!AK60</f>
        <v>1.310548536</v>
      </c>
      <c r="AM255" s="95">
        <f>(1+'Assumptions (NG Midstream)'!AL67)*'Assumptions (NG Midstream)'!AL60</f>
        <v>1.315206947</v>
      </c>
      <c r="AN255" s="95">
        <f>(1+'Assumptions (NG Midstream)'!AM67)*'Assumptions (NG Midstream)'!AM60</f>
        <v>1.319171428</v>
      </c>
      <c r="AO255" s="95">
        <f>(1+'Assumptions (NG Midstream)'!AN67)*'Assumptions (NG Midstream)'!AN60</f>
        <v>1.321907921</v>
      </c>
      <c r="AP255" s="95">
        <f>(1+'Assumptions (NG Midstream)'!AO67)*'Assumptions (NG Midstream)'!AO60</f>
        <v>1.323064575</v>
      </c>
      <c r="AQ255" s="95">
        <f>(1+'Assumptions (NG Midstream)'!AP67)*'Assumptions (NG Midstream)'!AP60</f>
        <v>1.32269154</v>
      </c>
      <c r="AR255" s="95">
        <f>(1+'Assumptions (NG Midstream)'!AQ67)*'Assumptions (NG Midstream)'!AQ60</f>
        <v>1.32055476</v>
      </c>
      <c r="AS255" s="95">
        <f>(1+'Assumptions (NG Midstream)'!AR67)*'Assumptions (NG Midstream)'!AR60</f>
        <v>1.31687029</v>
      </c>
      <c r="AT255" s="95">
        <f>(1+'Assumptions (NG Midstream)'!AS67)*'Assumptions (NG Midstream)'!AS60</f>
        <v>1.313595099</v>
      </c>
      <c r="AU255" s="95">
        <f>(1+'Assumptions (NG Midstream)'!AT67)*'Assumptions (NG Midstream)'!AT60</f>
        <v>1.312013877</v>
      </c>
      <c r="AV255" s="95">
        <f>(1+'Assumptions (NG Midstream)'!AU67)*'Assumptions (NG Midstream)'!AU60</f>
        <v>1.313890526</v>
      </c>
      <c r="AW255" s="95">
        <f>(1+'Assumptions (NG Midstream)'!AV67)*'Assumptions (NG Midstream)'!AV60</f>
        <v>1.313885146</v>
      </c>
      <c r="AX255" s="95">
        <f>(1+'Assumptions (NG Midstream)'!AW67)*'Assumptions (NG Midstream)'!AW60</f>
        <v>1.31299771</v>
      </c>
      <c r="AY255" s="95">
        <f>(1+'Assumptions (NG Midstream)'!AX67)*'Assumptions (NG Midstream)'!AX60</f>
        <v>1.314397423</v>
      </c>
      <c r="AZ255" s="95">
        <f>(1+'Assumptions (NG Midstream)'!AY67)*'Assumptions (NG Midstream)'!AY60</f>
        <v>1.315513655</v>
      </c>
      <c r="BA255" s="95">
        <f>(1+'Assumptions (NG Midstream)'!AZ67)*'Assumptions (NG Midstream)'!AZ60</f>
        <v>1.316300322</v>
      </c>
    </row>
    <row r="256" ht="15.75" customHeight="1">
      <c r="A256" s="186" t="s">
        <v>371</v>
      </c>
      <c r="B256" s="150" t="s">
        <v>351</v>
      </c>
      <c r="C256" s="95">
        <f>(1+'Assumptions (NG Midstream)'!B67)*sum('Assumptions (NG Midstream)'!B61:B62)</f>
        <v>-0.01143644346</v>
      </c>
      <c r="D256" s="95">
        <f>(1+'Assumptions (NG Midstream)'!C67)*sum('Assumptions (NG Midstream)'!C61:C62)</f>
        <v>0.0354065745</v>
      </c>
      <c r="E256" s="95">
        <f>(1+'Assumptions (NG Midstream)'!D67)*sum('Assumptions (NG Midstream)'!D61:D62)</f>
        <v>-0.02305640144</v>
      </c>
      <c r="F256" s="95">
        <f>(1+'Assumptions (NG Midstream)'!E67)*sum('Assumptions (NG Midstream)'!E61:E62)</f>
        <v>0.1953711006</v>
      </c>
      <c r="G256" s="95">
        <f>(1+'Assumptions (NG Midstream)'!F67)*sum('Assumptions (NG Midstream)'!F61:F62)</f>
        <v>-0.07970011014</v>
      </c>
      <c r="H256" s="95">
        <f>(1+'Assumptions (NG Midstream)'!G67)*sum('Assumptions (NG Midstream)'!G61:G62)</f>
        <v>-0.03596164527</v>
      </c>
      <c r="I256" s="95">
        <f>(1+'Assumptions (NG Midstream)'!H67)*sum('Assumptions (NG Midstream)'!H61:H62)</f>
        <v>0.07001270364</v>
      </c>
      <c r="J256" s="95">
        <f>(1+'Assumptions (NG Midstream)'!I67)*sum('Assumptions (NG Midstream)'!I61:I62)</f>
        <v>-0.5624158382</v>
      </c>
      <c r="K256" s="95">
        <f>(1+'Assumptions (NG Midstream)'!J67)*sum('Assumptions (NG Midstream)'!J61:J62)</f>
        <v>-0.04583835688</v>
      </c>
      <c r="L256" s="95">
        <f>(1+'Assumptions (NG Midstream)'!K67)*sum('Assumptions (NG Midstream)'!K61:K62)</f>
        <v>0</v>
      </c>
      <c r="M256" s="95">
        <f>(1+'Assumptions (NG Midstream)'!L67)*sum('Assumptions (NG Midstream)'!L61:L62)</f>
        <v>-0.1969899449</v>
      </c>
      <c r="N256" s="95">
        <f>(1+'Assumptions (NG Midstream)'!M67)*sum('Assumptions (NG Midstream)'!M61:M62)</f>
        <v>-0.2373376762</v>
      </c>
      <c r="O256" s="95">
        <f>(1+'Assumptions (NG Midstream)'!N67)*sum('Assumptions (NG Midstream)'!N61:N62)</f>
        <v>-0.09918116432</v>
      </c>
      <c r="P256" s="95">
        <f>(1+'Assumptions (NG Midstream)'!O67)*sum('Assumptions (NG Midstream)'!O61:O62)</f>
        <v>-0.2526235391</v>
      </c>
      <c r="Q256" s="95">
        <f>(1+'Assumptions (NG Midstream)'!P67)*sum('Assumptions (NG Midstream)'!P61:P62)</f>
        <v>-0.02341544968</v>
      </c>
      <c r="R256" s="95">
        <f>(1+'Assumptions (NG Midstream)'!Q67)*sum('Assumptions (NG Midstream)'!Q61:Q62)</f>
        <v>0.116254286</v>
      </c>
      <c r="S256" s="95">
        <f>(1+'Assumptions (NG Midstream)'!R67)*sum('Assumptions (NG Midstream)'!R61:R62)</f>
        <v>-0.197808669</v>
      </c>
      <c r="T256" s="95">
        <f>(1+'Assumptions (NG Midstream)'!S67)*sum('Assumptions (NG Midstream)'!S61:S62)</f>
        <v>-0.08976910591</v>
      </c>
      <c r="U256" s="95">
        <f>(1+'Assumptions (NG Midstream)'!T67)*sum('Assumptions (NG Midstream)'!T61:T62)</f>
        <v>-0.09432149213</v>
      </c>
      <c r="V256" s="95">
        <f>(1+'Assumptions (NG Midstream)'!U67)*sum('Assumptions (NG Midstream)'!U61:U62)</f>
        <v>-0.1138538972</v>
      </c>
      <c r="W256" s="95">
        <f>(1+'Assumptions (NG Midstream)'!V67)*sum('Assumptions (NG Midstream)'!V61:V62)</f>
        <v>-0.1160865211</v>
      </c>
      <c r="X256" s="95">
        <f>(1+'Assumptions (NG Midstream)'!W67)*sum('Assumptions (NG Midstream)'!W61:W62)</f>
        <v>-0.1216250789</v>
      </c>
      <c r="Y256" s="95">
        <f>(1+'Assumptions (NG Midstream)'!X67)*sum('Assumptions (NG Midstream)'!X61:X62)</f>
        <v>-0.1346742611</v>
      </c>
      <c r="Z256" s="95">
        <f>(1+'Assumptions (NG Midstream)'!Y67)*sum('Assumptions (NG Midstream)'!Y61:Y62)</f>
        <v>-0.1066648235</v>
      </c>
      <c r="AA256" s="95">
        <f>(1+'Assumptions (NG Midstream)'!Z67)*sum('Assumptions (NG Midstream)'!Z61:Z62)</f>
        <v>-0.1106886372</v>
      </c>
      <c r="AB256" s="95">
        <f>(1+'Assumptions (NG Midstream)'!AA67)*sum('Assumptions (NG Midstream)'!AA61:AA62)</f>
        <v>-0.1179455446</v>
      </c>
      <c r="AC256" s="95">
        <f>(1+'Assumptions (NG Midstream)'!AB67)*sum('Assumptions (NG Midstream)'!AB61:AB62)</f>
        <v>-0.1126572317</v>
      </c>
      <c r="AD256" s="95">
        <f>(1+'Assumptions (NG Midstream)'!AC67)*sum('Assumptions (NG Midstream)'!AC61:AC62)</f>
        <v>-0.1046331765</v>
      </c>
      <c r="AE256" s="95">
        <f>(1+'Assumptions (NG Midstream)'!AD67)*sum('Assumptions (NG Midstream)'!AD61:AD62)</f>
        <v>-0.1054272101</v>
      </c>
      <c r="AF256" s="95">
        <f>(1+'Assumptions (NG Midstream)'!AE67)*sum('Assumptions (NG Midstream)'!AE61:AE62)</f>
        <v>-0.09591085606</v>
      </c>
      <c r="AG256" s="95">
        <f>(1+'Assumptions (NG Midstream)'!AF67)*sum('Assumptions (NG Midstream)'!AF61:AF62)</f>
        <v>-0.100426657</v>
      </c>
      <c r="AH256" s="95">
        <f>(1+'Assumptions (NG Midstream)'!AG67)*sum('Assumptions (NG Midstream)'!AG61:AG62)</f>
        <v>-0.1147965813</v>
      </c>
      <c r="AI256" s="95">
        <f>(1+'Assumptions (NG Midstream)'!AH67)*sum('Assumptions (NG Midstream)'!AH61:AH62)</f>
        <v>-0.1091645858</v>
      </c>
      <c r="AJ256" s="95">
        <f>(1+'Assumptions (NG Midstream)'!AI67)*sum('Assumptions (NG Midstream)'!AI61:AI62)</f>
        <v>-0.1105050799</v>
      </c>
      <c r="AK256" s="95">
        <f>(1+'Assumptions (NG Midstream)'!AJ67)*sum('Assumptions (NG Midstream)'!AJ61:AJ62)</f>
        <v>-0.1116342841</v>
      </c>
      <c r="AL256" s="95">
        <f>(1+'Assumptions (NG Midstream)'!AK67)*sum('Assumptions (NG Midstream)'!AK61:AK62)</f>
        <v>-0.1114900669</v>
      </c>
      <c r="AM256" s="95">
        <f>(1+'Assumptions (NG Midstream)'!AL67)*sum('Assumptions (NG Midstream)'!AL61:AL62)</f>
        <v>-0.1111852606</v>
      </c>
      <c r="AN256" s="95">
        <f>(1+'Assumptions (NG Midstream)'!AM67)*sum('Assumptions (NG Midstream)'!AM61:AM62)</f>
        <v>-0.1105021709</v>
      </c>
      <c r="AO256" s="95">
        <f>(1+'Assumptions (NG Midstream)'!AN67)*sum('Assumptions (NG Midstream)'!AN61:AN62)</f>
        <v>-0.1089122903</v>
      </c>
      <c r="AP256" s="95">
        <f>(1+'Assumptions (NG Midstream)'!AO67)*sum('Assumptions (NG Midstream)'!AO61:AO62)</f>
        <v>-0.1090664088</v>
      </c>
      <c r="AQ256" s="95">
        <f>(1+'Assumptions (NG Midstream)'!AP67)*sum('Assumptions (NG Midstream)'!AP61:AP62)</f>
        <v>-0.1089540079</v>
      </c>
      <c r="AR256" s="95">
        <f>(1+'Assumptions (NG Midstream)'!AQ67)*sum('Assumptions (NG Midstream)'!AQ61:AQ62)</f>
        <v>-0.1083493098</v>
      </c>
      <c r="AS256" s="95">
        <f>(1+'Assumptions (NG Midstream)'!AR67)*sum('Assumptions (NG Midstream)'!AR61:AR62)</f>
        <v>-0.10806524</v>
      </c>
      <c r="AT256" s="95">
        <f>(1+'Assumptions (NG Midstream)'!AS67)*sum('Assumptions (NG Midstream)'!AS61:AS62)</f>
        <v>-0.1083135447</v>
      </c>
      <c r="AU256" s="95">
        <f>(1+'Assumptions (NG Midstream)'!AT67)*sum('Assumptions (NG Midstream)'!AT61:AT62)</f>
        <v>-0.1085231302</v>
      </c>
      <c r="AV256" s="95">
        <f>(1+'Assumptions (NG Midstream)'!AU67)*sum('Assumptions (NG Midstream)'!AU61:AU62)</f>
        <v>-0.109367623</v>
      </c>
      <c r="AW256" s="95">
        <f>(1+'Assumptions (NG Midstream)'!AV67)*sum('Assumptions (NG Midstream)'!AV61:AV62)</f>
        <v>-0.1099414369</v>
      </c>
      <c r="AX256" s="95">
        <f>(1+'Assumptions (NG Midstream)'!AW67)*sum('Assumptions (NG Midstream)'!AW61:AW62)</f>
        <v>-0.1095871246</v>
      </c>
      <c r="AY256" s="95">
        <f>(1+'Assumptions (NG Midstream)'!AX67)*sum('Assumptions (NG Midstream)'!AX61:AX62)</f>
        <v>-0.1096061076</v>
      </c>
      <c r="AZ256" s="95">
        <f>(1+'Assumptions (NG Midstream)'!AY67)*sum('Assumptions (NG Midstream)'!AY61:AY62)</f>
        <v>-0.1095499543</v>
      </c>
      <c r="BA256" s="95">
        <f>(1+'Assumptions (NG Midstream)'!AZ67)*sum('Assumptions (NG Midstream)'!AZ61:AZ62)</f>
        <v>-0.1094177475</v>
      </c>
    </row>
    <row r="257" ht="15.75" customHeight="1">
      <c r="A257" s="187" t="s">
        <v>358</v>
      </c>
      <c r="B257" s="159" t="s">
        <v>351</v>
      </c>
      <c r="C257" s="95">
        <f>(1+'Assumptions (NG Midstream)'!B67)*'Assumptions (NG Midstream)'!B59</f>
        <v>3.04209396</v>
      </c>
      <c r="D257" s="95">
        <f>(1+'Assumptions (NG Midstream)'!C67)*'Assumptions (NG Midstream)'!C59</f>
        <v>3.965536344</v>
      </c>
      <c r="E257" s="95">
        <f>(1+'Assumptions (NG Midstream)'!D67)*'Assumptions (NG Midstream)'!D59</f>
        <v>4.841844302</v>
      </c>
      <c r="F257" s="95">
        <f>(1+'Assumptions (NG Midstream)'!E67)*'Assumptions (NG Midstream)'!E59</f>
        <v>6.09098137</v>
      </c>
      <c r="G257" s="95">
        <f>(1+'Assumptions (NG Midstream)'!F67)*'Assumptions (NG Midstream)'!F59</f>
        <v>3.620662146</v>
      </c>
      <c r="H257" s="95">
        <f>(1+'Assumptions (NG Midstream)'!G67)*'Assumptions (NG Midstream)'!G59</f>
        <v>3.596164527</v>
      </c>
      <c r="I257" s="95">
        <f>(1+'Assumptions (NG Midstream)'!H67)*'Assumptions (NG Midstream)'!H59</f>
        <v>4.550825737</v>
      </c>
      <c r="J257" s="95">
        <f>(1+'Assumptions (NG Midstream)'!I67)*'Assumptions (NG Midstream)'!I59</f>
        <v>7.67039473</v>
      </c>
      <c r="K257" s="95">
        <f>(1+'Assumptions (NG Midstream)'!J67)*'Assumptions (NG Midstream)'!J59</f>
        <v>14.07237556</v>
      </c>
      <c r="L257" s="95">
        <f>(1+'Assumptions (NG Midstream)'!K67)*'Assumptions (NG Midstream)'!K59</f>
        <v>18.08546013</v>
      </c>
      <c r="M257" s="95">
        <f>(1+'Assumptions (NG Midstream)'!L67)*'Assumptions (NG Midstream)'!L59</f>
        <v>5.990811855</v>
      </c>
      <c r="N257" s="95">
        <f>(1+'Assumptions (NG Midstream)'!M67)*'Assumptions (NG Midstream)'!M59</f>
        <v>17.06457892</v>
      </c>
      <c r="O257" s="95">
        <f>(1+'Assumptions (NG Midstream)'!N67)*'Assumptions (NG Midstream)'!N59</f>
        <v>6.211220416</v>
      </c>
      <c r="P257" s="95">
        <f>(1+'Assumptions (NG Midstream)'!O67)*'Assumptions (NG Midstream)'!O59</f>
        <v>7.855389098</v>
      </c>
      <c r="Q257" s="95">
        <f>(1+'Assumptions (NG Midstream)'!P67)*'Assumptions (NG Midstream)'!P59</f>
        <v>5.280183903</v>
      </c>
      <c r="R257" s="95">
        <f>(1+'Assumptions (NG Midstream)'!Q67)*'Assumptions (NG Midstream)'!Q59</f>
        <v>7.603030304</v>
      </c>
      <c r="S257" s="95">
        <f>(1+'Assumptions (NG Midstream)'!R67)*'Assumptions (NG Midstream)'!R59</f>
        <v>7.016389848</v>
      </c>
      <c r="T257" s="95">
        <f>(1+'Assumptions (NG Midstream)'!S67)*'Assumptions (NG Midstream)'!S59</f>
        <v>7.912472284</v>
      </c>
      <c r="U257" s="95">
        <f>(1+'Assumptions (NG Midstream)'!T67)*'Assumptions (NG Midstream)'!T59</f>
        <v>1.06992502</v>
      </c>
      <c r="V257" s="95">
        <f>(1+'Assumptions (NG Midstream)'!U67)*'Assumptions (NG Midstream)'!U59</f>
        <v>3.390597534</v>
      </c>
      <c r="W257" s="95">
        <f>(1+'Assumptions (NG Midstream)'!V67)*'Assumptions (NG Midstream)'!V59</f>
        <v>2.183513791</v>
      </c>
      <c r="X257" s="95">
        <f>(1+'Assumptions (NG Midstream)'!W67)*'Assumptions (NG Midstream)'!W59</f>
        <v>1.970067675</v>
      </c>
      <c r="Y257" s="95">
        <f>(1+'Assumptions (NG Midstream)'!X67)*'Assumptions (NG Midstream)'!X59</f>
        <v>2.529291719</v>
      </c>
      <c r="Z257" s="95">
        <f>(1+'Assumptions (NG Midstream)'!Y67)*'Assumptions (NG Midstream)'!Y59</f>
        <v>2.720691421</v>
      </c>
      <c r="AA257" s="95">
        <f>(1+'Assumptions (NG Midstream)'!Z67)*'Assumptions (NG Midstream)'!Z59</f>
        <v>2.736551139</v>
      </c>
      <c r="AB257" s="95">
        <f>(1+'Assumptions (NG Midstream)'!AA67)*'Assumptions (NG Midstream)'!AA59</f>
        <v>2.58085976</v>
      </c>
      <c r="AC257" s="95">
        <f>(1+'Assumptions (NG Midstream)'!AB67)*'Assumptions (NG Midstream)'!AB59</f>
        <v>2.171189036</v>
      </c>
      <c r="AD257" s="95">
        <f>(1+'Assumptions (NG Midstream)'!AC67)*'Assumptions (NG Midstream)'!AC59</f>
        <v>2.071930131</v>
      </c>
      <c r="AE257" s="95">
        <f>(1+'Assumptions (NG Midstream)'!AD67)*'Assumptions (NG Midstream)'!AD59</f>
        <v>1.762482865</v>
      </c>
      <c r="AF257" s="95">
        <f>(1+'Assumptions (NG Midstream)'!AE67)*'Assumptions (NG Midstream)'!AE59</f>
        <v>1.568582297</v>
      </c>
      <c r="AG257" s="95">
        <f>(1+'Assumptions (NG Midstream)'!AF67)*'Assumptions (NG Midstream)'!AF59</f>
        <v>1.833101869</v>
      </c>
      <c r="AH257" s="95">
        <f>(1+'Assumptions (NG Midstream)'!AG67)*'Assumptions (NG Midstream)'!AG59</f>
        <v>1.929066857</v>
      </c>
      <c r="AI257" s="95">
        <f>(1+'Assumptions (NG Midstream)'!AH67)*'Assumptions (NG Midstream)'!AH59</f>
        <v>1.598938577</v>
      </c>
      <c r="AJ257" s="95">
        <f>(1+'Assumptions (NG Midstream)'!AI67)*'Assumptions (NG Midstream)'!AI59</f>
        <v>1.837932023</v>
      </c>
      <c r="AK257" s="95">
        <f>(1+'Assumptions (NG Midstream)'!AJ67)*'Assumptions (NG Midstream)'!AJ59</f>
        <v>1.701668044</v>
      </c>
      <c r="AL257" s="95">
        <f>(1+'Assumptions (NG Midstream)'!AK67)*'Assumptions (NG Midstream)'!AK59</f>
        <v>1.725785019</v>
      </c>
      <c r="AM257" s="95">
        <f>(1+'Assumptions (NG Midstream)'!AL67)*'Assumptions (NG Midstream)'!AL59</f>
        <v>1.595702781</v>
      </c>
      <c r="AN257" s="95">
        <f>(1+'Assumptions (NG Midstream)'!AM67)*'Assumptions (NG Midstream)'!AM59</f>
        <v>1.673802566</v>
      </c>
      <c r="AO257" s="95">
        <f>(1+'Assumptions (NG Midstream)'!AN67)*'Assumptions (NG Midstream)'!AN59</f>
        <v>1.591329868</v>
      </c>
      <c r="AP257" s="95">
        <f>(1+'Assumptions (NG Midstream)'!AO67)*'Assumptions (NG Midstream)'!AO59</f>
        <v>1.654559953</v>
      </c>
      <c r="AQ257" s="95">
        <f>(1+'Assumptions (NG Midstream)'!AP67)*'Assumptions (NG Midstream)'!AP59</f>
        <v>1.563544507</v>
      </c>
      <c r="AR257" s="95">
        <f>(1+'Assumptions (NG Midstream)'!AQ67)*'Assumptions (NG Midstream)'!AQ59</f>
        <v>1.671433874</v>
      </c>
      <c r="AS257" s="95">
        <f>(1+'Assumptions (NG Midstream)'!AR67)*'Assumptions (NG Midstream)'!AR59</f>
        <v>1.622580904</v>
      </c>
      <c r="AT257" s="95">
        <f>(1+'Assumptions (NG Midstream)'!AS67)*'Assumptions (NG Midstream)'!AS59</f>
        <v>1.844927331</v>
      </c>
      <c r="AU257" s="95">
        <f>(1+'Assumptions (NG Midstream)'!AT67)*'Assumptions (NG Midstream)'!AT59</f>
        <v>1.700608239</v>
      </c>
      <c r="AV257" s="95">
        <f>(1+'Assumptions (NG Midstream)'!AU67)*'Assumptions (NG Midstream)'!AU59</f>
        <v>1.608665898</v>
      </c>
      <c r="AW257" s="95">
        <f>(1+'Assumptions (NG Midstream)'!AV67)*'Assumptions (NG Midstream)'!AV59</f>
        <v>1.754936691</v>
      </c>
      <c r="AX257" s="95">
        <f>(1+'Assumptions (NG Midstream)'!AW67)*'Assumptions (NG Midstream)'!AW59</f>
        <v>1.867408327</v>
      </c>
      <c r="AY257" s="95">
        <f>(1+'Assumptions (NG Midstream)'!AX67)*'Assumptions (NG Midstream)'!AX59</f>
        <v>1.656292187</v>
      </c>
      <c r="AZ257" s="95">
        <f>(1+'Assumptions (NG Midstream)'!AY67)*'Assumptions (NG Midstream)'!AY59</f>
        <v>1.751151531</v>
      </c>
      <c r="BA257" s="95">
        <f>(1+'Assumptions (NG Midstream)'!AZ67)*'Assumptions (NG Midstream)'!AZ59</f>
        <v>1.751298771</v>
      </c>
    </row>
    <row r="258" ht="15.75" customHeight="1">
      <c r="A258" s="187" t="s">
        <v>52</v>
      </c>
      <c r="B258" s="159" t="s">
        <v>351</v>
      </c>
      <c r="C258" s="95">
        <f>C257*'Assumptions (NG Midstream)'!$B$70</f>
        <v>1.825256376</v>
      </c>
      <c r="D258" s="95">
        <f>D257*'Assumptions (NG Midstream)'!$B$70</f>
        <v>2.379321806</v>
      </c>
      <c r="E258" s="95">
        <f>E257*'Assumptions (NG Midstream)'!$B$70</f>
        <v>2.905106581</v>
      </c>
      <c r="F258" s="95">
        <f>F257*'Assumptions (NG Midstream)'!$B$70</f>
        <v>3.654588822</v>
      </c>
      <c r="G258" s="95">
        <f>G257*'Assumptions (NG Midstream)'!$B$70</f>
        <v>2.172397288</v>
      </c>
      <c r="H258" s="95">
        <f>H257*'Assumptions (NG Midstream)'!$B$70</f>
        <v>2.157698716</v>
      </c>
      <c r="I258" s="95">
        <f>I257*'Assumptions (NG Midstream)'!$B$70</f>
        <v>2.730495442</v>
      </c>
      <c r="J258" s="95">
        <f>J257*'Assumptions (NG Midstream)'!$B$70</f>
        <v>4.602236838</v>
      </c>
      <c r="K258" s="95">
        <f>K257*'Assumptions (NG Midstream)'!$B$70</f>
        <v>8.443425337</v>
      </c>
      <c r="L258" s="95">
        <f>L257*'Assumptions (NG Midstream)'!$B$70</f>
        <v>10.85127608</v>
      </c>
      <c r="M258" s="95">
        <f>M257*'Assumptions (NG Midstream)'!$B$70</f>
        <v>3.594487113</v>
      </c>
      <c r="N258" s="95">
        <f>N257*'Assumptions (NG Midstream)'!$B$70</f>
        <v>10.23874735</v>
      </c>
      <c r="O258" s="95">
        <f>O257*'Assumptions (NG Midstream)'!$B$70</f>
        <v>3.726732249</v>
      </c>
      <c r="P258" s="95">
        <f>P257*'Assumptions (NG Midstream)'!$B$70</f>
        <v>4.713233459</v>
      </c>
      <c r="Q258" s="95">
        <f>Q257*'Assumptions (NG Midstream)'!$B$70</f>
        <v>3.168110342</v>
      </c>
      <c r="R258" s="95">
        <f>R257*'Assumptions (NG Midstream)'!$B$70</f>
        <v>4.561818183</v>
      </c>
      <c r="S258" s="95">
        <f>S257*'Assumptions (NG Midstream)'!$B$70</f>
        <v>4.209833909</v>
      </c>
      <c r="T258" s="95">
        <f>T257*'Assumptions (NG Midstream)'!$B$70</f>
        <v>4.74748337</v>
      </c>
      <c r="U258" s="95">
        <f>U257*'Assumptions (NG Midstream)'!$B$70</f>
        <v>0.6419550119</v>
      </c>
      <c r="V258" s="95">
        <f>V257*'Assumptions (NG Midstream)'!$B$70</f>
        <v>2.034358521</v>
      </c>
      <c r="W258" s="95">
        <f>W257*'Assumptions (NG Midstream)'!$B$70</f>
        <v>1.310108275</v>
      </c>
      <c r="X258" s="95">
        <f>X257*'Assumptions (NG Midstream)'!$B$70</f>
        <v>1.182040605</v>
      </c>
      <c r="Y258" s="95">
        <f>Y257*'Assumptions (NG Midstream)'!$B$70</f>
        <v>1.517575031</v>
      </c>
      <c r="Z258" s="95">
        <f>Z257*'Assumptions (NG Midstream)'!$B$70</f>
        <v>1.632414853</v>
      </c>
      <c r="AA258" s="95">
        <f>AA257*'Assumptions (NG Midstream)'!$B$70</f>
        <v>1.641930683</v>
      </c>
      <c r="AB258" s="95">
        <f>AB257*'Assumptions (NG Midstream)'!$B$70</f>
        <v>1.548515856</v>
      </c>
      <c r="AC258" s="95">
        <f>AC257*'Assumptions (NG Midstream)'!$B$70</f>
        <v>1.302713422</v>
      </c>
      <c r="AD258" s="95">
        <f>AD257*'Assumptions (NG Midstream)'!$B$70</f>
        <v>1.243158078</v>
      </c>
      <c r="AE258" s="95">
        <f>AE257*'Assumptions (NG Midstream)'!$B$70</f>
        <v>1.057489719</v>
      </c>
      <c r="AF258" s="95">
        <f>AF257*'Assumptions (NG Midstream)'!$B$70</f>
        <v>0.9411493781</v>
      </c>
      <c r="AG258" s="95">
        <f>AG257*'Assumptions (NG Midstream)'!$B$70</f>
        <v>1.099861121</v>
      </c>
      <c r="AH258" s="95">
        <f>AH257*'Assumptions (NG Midstream)'!$B$70</f>
        <v>1.157440114</v>
      </c>
      <c r="AI258" s="95">
        <f>AI257*'Assumptions (NG Midstream)'!$B$70</f>
        <v>0.9593631463</v>
      </c>
      <c r="AJ258" s="95">
        <f>AJ257*'Assumptions (NG Midstream)'!$B$70</f>
        <v>1.102759214</v>
      </c>
      <c r="AK258" s="95">
        <f>AK257*'Assumptions (NG Midstream)'!$B$70</f>
        <v>1.021000826</v>
      </c>
      <c r="AL258" s="95">
        <f>AL257*'Assumptions (NG Midstream)'!$B$70</f>
        <v>1.035471011</v>
      </c>
      <c r="AM258" s="95">
        <f>AM257*'Assumptions (NG Midstream)'!$B$70</f>
        <v>0.9574216687</v>
      </c>
      <c r="AN258" s="95">
        <f>AN257*'Assumptions (NG Midstream)'!$B$70</f>
        <v>1.00428154</v>
      </c>
      <c r="AO258" s="95">
        <f>AO257*'Assumptions (NG Midstream)'!$B$70</f>
        <v>0.9547979207</v>
      </c>
      <c r="AP258" s="95">
        <f>AP257*'Assumptions (NG Midstream)'!$B$70</f>
        <v>0.9927359718</v>
      </c>
      <c r="AQ258" s="95">
        <f>AQ257*'Assumptions (NG Midstream)'!$B$70</f>
        <v>0.938126704</v>
      </c>
      <c r="AR258" s="95">
        <f>AR257*'Assumptions (NG Midstream)'!$B$70</f>
        <v>1.002860324</v>
      </c>
      <c r="AS258" s="95">
        <f>AS257*'Assumptions (NG Midstream)'!$B$70</f>
        <v>0.9735485423</v>
      </c>
      <c r="AT258" s="95">
        <f>AT257*'Assumptions (NG Midstream)'!$B$70</f>
        <v>1.106956399</v>
      </c>
      <c r="AU258" s="95">
        <f>AU257*'Assumptions (NG Midstream)'!$B$70</f>
        <v>1.020364943</v>
      </c>
      <c r="AV258" s="95">
        <f>AV257*'Assumptions (NG Midstream)'!$B$70</f>
        <v>0.9651995389</v>
      </c>
      <c r="AW258" s="95">
        <f>AW257*'Assumptions (NG Midstream)'!$B$70</f>
        <v>1.052962014</v>
      </c>
      <c r="AX258" s="95">
        <f>AX257*'Assumptions (NG Midstream)'!$B$70</f>
        <v>1.120444996</v>
      </c>
      <c r="AY258" s="95">
        <f>AY257*'Assumptions (NG Midstream)'!$B$70</f>
        <v>0.9937753124</v>
      </c>
      <c r="AZ258" s="95">
        <f>AZ257*'Assumptions (NG Midstream)'!$B$70</f>
        <v>1.050690918</v>
      </c>
      <c r="BA258" s="95">
        <f>BA257*'Assumptions (NG Midstream)'!$B$70</f>
        <v>1.050779263</v>
      </c>
    </row>
    <row r="259" ht="15.75" customHeight="1">
      <c r="A259" s="187" t="s">
        <v>54</v>
      </c>
      <c r="B259" s="159" t="s">
        <v>351</v>
      </c>
      <c r="C259" s="95">
        <f>C257*'Assumptions (NG Midstream)'!$B$71</f>
        <v>1.216837584</v>
      </c>
      <c r="D259" s="95">
        <f>D257*'Assumptions (NG Midstream)'!$B$71</f>
        <v>1.586214538</v>
      </c>
      <c r="E259" s="95">
        <f>E257*'Assumptions (NG Midstream)'!$B$71</f>
        <v>1.936737721</v>
      </c>
      <c r="F259" s="95">
        <f>F257*'Assumptions (NG Midstream)'!$B$71</f>
        <v>2.436392548</v>
      </c>
      <c r="G259" s="95">
        <f>G257*'Assumptions (NG Midstream)'!$B$71</f>
        <v>1.448264859</v>
      </c>
      <c r="H259" s="95">
        <f>H257*'Assumptions (NG Midstream)'!$B$71</f>
        <v>1.438465811</v>
      </c>
      <c r="I259" s="95">
        <f>I257*'Assumptions (NG Midstream)'!$B$71</f>
        <v>1.820330295</v>
      </c>
      <c r="J259" s="95">
        <f>J257*'Assumptions (NG Midstream)'!$B$71</f>
        <v>3.068157892</v>
      </c>
      <c r="K259" s="95">
        <f>K257*'Assumptions (NG Midstream)'!$B$71</f>
        <v>5.628950225</v>
      </c>
      <c r="L259" s="95">
        <f>L257*'Assumptions (NG Midstream)'!$B$71</f>
        <v>7.234184053</v>
      </c>
      <c r="M259" s="95">
        <f>M257*'Assumptions (NG Midstream)'!$B$71</f>
        <v>2.396324742</v>
      </c>
      <c r="N259" s="95">
        <f>N257*'Assumptions (NG Midstream)'!$B$71</f>
        <v>6.825831568</v>
      </c>
      <c r="O259" s="95">
        <f>O257*'Assumptions (NG Midstream)'!$B$71</f>
        <v>2.484488166</v>
      </c>
      <c r="P259" s="95">
        <f>P257*'Assumptions (NG Midstream)'!$B$71</f>
        <v>3.142155639</v>
      </c>
      <c r="Q259" s="95">
        <f>Q257*'Assumptions (NG Midstream)'!$B$71</f>
        <v>2.112073561</v>
      </c>
      <c r="R259" s="95">
        <f>R257*'Assumptions (NG Midstream)'!$B$71</f>
        <v>3.041212122</v>
      </c>
      <c r="S259" s="95">
        <f>S257*'Assumptions (NG Midstream)'!$B$71</f>
        <v>2.806555939</v>
      </c>
      <c r="T259" s="95">
        <f>T257*'Assumptions (NG Midstream)'!$B$71</f>
        <v>3.164988914</v>
      </c>
      <c r="U259" s="95">
        <f>U257*'Assumptions (NG Midstream)'!$B$71</f>
        <v>0.4279700079</v>
      </c>
      <c r="V259" s="95">
        <f>V257*'Assumptions (NG Midstream)'!$B$71</f>
        <v>1.356239014</v>
      </c>
      <c r="W259" s="95">
        <f>W257*'Assumptions (NG Midstream)'!$B$71</f>
        <v>0.8734055166</v>
      </c>
      <c r="X259" s="95">
        <f>X257*'Assumptions (NG Midstream)'!$B$71</f>
        <v>0.7880270701</v>
      </c>
      <c r="Y259" s="95">
        <f>Y257*'Assumptions (NG Midstream)'!$B$71</f>
        <v>1.011716688</v>
      </c>
      <c r="Z259" s="95">
        <f>Z257*'Assumptions (NG Midstream)'!$B$71</f>
        <v>1.088276568</v>
      </c>
      <c r="AA259" s="95">
        <f>AA257*'Assumptions (NG Midstream)'!$B$71</f>
        <v>1.094620456</v>
      </c>
      <c r="AB259" s="95">
        <f>AB257*'Assumptions (NG Midstream)'!$B$71</f>
        <v>1.032343904</v>
      </c>
      <c r="AC259" s="95">
        <f>AC257*'Assumptions (NG Midstream)'!$B$71</f>
        <v>0.8684756144</v>
      </c>
      <c r="AD259" s="95">
        <f>AD257*'Assumptions (NG Midstream)'!$B$71</f>
        <v>0.8287720523</v>
      </c>
      <c r="AE259" s="95">
        <f>AE257*'Assumptions (NG Midstream)'!$B$71</f>
        <v>0.704993146</v>
      </c>
      <c r="AF259" s="95">
        <f>AF257*'Assumptions (NG Midstream)'!$B$71</f>
        <v>0.6274329187</v>
      </c>
      <c r="AG259" s="95">
        <f>AG257*'Assumptions (NG Midstream)'!$B$71</f>
        <v>0.7332407476</v>
      </c>
      <c r="AH259" s="95">
        <f>AH257*'Assumptions (NG Midstream)'!$B$71</f>
        <v>0.7716267428</v>
      </c>
      <c r="AI259" s="95">
        <f>AI257*'Assumptions (NG Midstream)'!$B$71</f>
        <v>0.6395754309</v>
      </c>
      <c r="AJ259" s="95">
        <f>AJ257*'Assumptions (NG Midstream)'!$B$71</f>
        <v>0.7351728092</v>
      </c>
      <c r="AK259" s="95">
        <f>AK257*'Assumptions (NG Midstream)'!$B$71</f>
        <v>0.6806672176</v>
      </c>
      <c r="AL259" s="95">
        <f>AL257*'Assumptions (NG Midstream)'!$B$71</f>
        <v>0.6903140076</v>
      </c>
      <c r="AM259" s="95">
        <f>AM257*'Assumptions (NG Midstream)'!$B$71</f>
        <v>0.6382811125</v>
      </c>
      <c r="AN259" s="95">
        <f>AN257*'Assumptions (NG Midstream)'!$B$71</f>
        <v>0.6695210264</v>
      </c>
      <c r="AO259" s="95">
        <f>AO257*'Assumptions (NG Midstream)'!$B$71</f>
        <v>0.6365319472</v>
      </c>
      <c r="AP259" s="95">
        <f>AP257*'Assumptions (NG Midstream)'!$B$71</f>
        <v>0.6618239812</v>
      </c>
      <c r="AQ259" s="95">
        <f>AQ257*'Assumptions (NG Midstream)'!$B$71</f>
        <v>0.6254178026</v>
      </c>
      <c r="AR259" s="95">
        <f>AR257*'Assumptions (NG Midstream)'!$B$71</f>
        <v>0.6685735495</v>
      </c>
      <c r="AS259" s="95">
        <f>AS257*'Assumptions (NG Midstream)'!$B$71</f>
        <v>0.6490323615</v>
      </c>
      <c r="AT259" s="95">
        <f>AT257*'Assumptions (NG Midstream)'!$B$71</f>
        <v>0.7379709325</v>
      </c>
      <c r="AU259" s="95">
        <f>AU257*'Assumptions (NG Midstream)'!$B$71</f>
        <v>0.6802432955</v>
      </c>
      <c r="AV259" s="95">
        <f>AV257*'Assumptions (NG Midstream)'!$B$71</f>
        <v>0.6434663593</v>
      </c>
      <c r="AW259" s="95">
        <f>AW257*'Assumptions (NG Midstream)'!$B$71</f>
        <v>0.7019746762</v>
      </c>
      <c r="AX259" s="95">
        <f>AX257*'Assumptions (NG Midstream)'!$B$71</f>
        <v>0.746963331</v>
      </c>
      <c r="AY259" s="95">
        <f>AY257*'Assumptions (NG Midstream)'!$B$71</f>
        <v>0.662516875</v>
      </c>
      <c r="AZ259" s="95">
        <f>AZ257*'Assumptions (NG Midstream)'!$B$71</f>
        <v>0.7004606123</v>
      </c>
      <c r="BA259" s="95">
        <f>BA257*'Assumptions (NG Midstream)'!$B$71</f>
        <v>0.7005195085</v>
      </c>
    </row>
    <row r="260" ht="15.75" customHeight="1">
      <c r="A260" s="187" t="s">
        <v>359</v>
      </c>
      <c r="B260" s="159" t="s">
        <v>351</v>
      </c>
      <c r="C260" s="177">
        <f t="array" ref="C260">SUM(IF(ISERROR(C261:C311),"",C261:C311))</f>
        <v>-0.0698840221</v>
      </c>
      <c r="D260" s="177">
        <f t="array" ref="D260">SUM(IF(ISERROR(D261:D311),"",D261:D311))</f>
        <v>-0.1662229799</v>
      </c>
      <c r="E260" s="177">
        <f t="array" ref="E260">SUM(IF(ISERROR(E261:E311),"",E261:E311))</f>
        <v>-0.2899182054</v>
      </c>
      <c r="F260" s="177">
        <f t="array" ref="F260">SUM(IF(ISERROR(F261:F311),"",F261:F311))</f>
        <v>-0.4515861765</v>
      </c>
      <c r="G260" s="177">
        <f t="array" ref="G260">SUM(IF(ISERROR(G261:G311),"",G261:G311))</f>
        <v>-0.5686302279</v>
      </c>
      <c r="H260" s="177">
        <f t="array" ref="H260">SUM(IF(ISERROR(H261:H311),"",H261:H311))</f>
        <v>-0.6938898155</v>
      </c>
      <c r="I260" s="177">
        <f t="array" ref="I260">SUM(IF(ISERROR(I261:I311),"",I261:I311))</f>
        <v>-0.8504746757</v>
      </c>
      <c r="J260" s="177">
        <f t="array" ref="J260">SUM(IF(ISERROR(J261:J311),"",J261:J311))</f>
        <v>-1.090467206</v>
      </c>
      <c r="K260" s="177">
        <f t="array" ref="K260">SUM(IF(ISERROR(K261:K311),"",K261:K311))</f>
        <v>-1.495527667</v>
      </c>
      <c r="L260" s="177">
        <f t="array" ref="L260">SUM(IF(ISERROR(L261:L311),"",L261:L311))</f>
        <v>-2.023157613</v>
      </c>
      <c r="M260" s="177">
        <f t="array" ref="M260">SUM(IF(ISERROR(M261:M311),"",M261:M311))</f>
        <v>-2.312517411</v>
      </c>
      <c r="N260" s="177">
        <f t="array" ref="N260">SUM(IF(ISERROR(N261:N311),"",N261:N311))</f>
        <v>-2.877969555</v>
      </c>
      <c r="O260" s="177">
        <f t="array" ref="O260">SUM(IF(ISERROR(O261:O311),"",O261:O311))</f>
        <v>-3.23650355</v>
      </c>
      <c r="P260" s="177">
        <f t="array" ref="P260">SUM(IF(ISERROR(P261:P311),"",P261:P311))</f>
        <v>-3.659697999</v>
      </c>
      <c r="Q260" s="177">
        <f t="array" ref="Q260">SUM(IF(ISERROR(Q261:Q311),"",Q261:Q311))</f>
        <v>-4.055473538</v>
      </c>
      <c r="R260" s="177">
        <f t="array" ref="R260">SUM(IF(ISERROR(R261:R311),"",R261:R311))</f>
        <v>-4.327515214</v>
      </c>
      <c r="S260" s="177">
        <f t="array" ref="S260">SUM(IF(ISERROR(S261:S311),"",S261:S311))</f>
        <v>-4.543714969</v>
      </c>
      <c r="T260" s="177">
        <f t="array" ref="T260">SUM(IF(ISERROR(T261:T311),"",T261:T311))</f>
        <v>-4.737150113</v>
      </c>
      <c r="U260" s="177">
        <f t="array" ref="U260">SUM(IF(ISERROR(U261:U311),"",U261:U311))</f>
        <v>-4.702996788</v>
      </c>
      <c r="V260" s="177">
        <f t="array" ref="V260">SUM(IF(ISERROR(V261:V311),"",V261:V311))</f>
        <v>-4.887506627</v>
      </c>
      <c r="W260" s="177">
        <f t="array" ref="W260">SUM(IF(ISERROR(W261:W311),"",W261:W311))</f>
        <v>-5.059790325</v>
      </c>
      <c r="X260" s="177">
        <f t="array" ref="X260">SUM(IF(ISERROR(X261:X311),"",X261:X311))</f>
        <v>-5.175201385</v>
      </c>
      <c r="Y260" s="177">
        <f t="array" ref="Y260">SUM(IF(ISERROR(Y261:Y311),"",Y261:Y311))</f>
        <v>-5.100070551</v>
      </c>
      <c r="Z260" s="177">
        <f t="array" ref="Z260">SUM(IF(ISERROR(Z261:Z311),"",Z261:Z311))</f>
        <v>-4.588544174</v>
      </c>
      <c r="AA260" s="177">
        <f t="array" ref="AA260">SUM(IF(ISERROR(AA261:AA311),"",AA261:AA311))</f>
        <v>-3.766238899</v>
      </c>
      <c r="AB260" s="177">
        <f t="array" ref="AB260">SUM(IF(ISERROR(AB261:AB311),"",AB261:AB311))</f>
        <v>-3.700785698</v>
      </c>
      <c r="AC260" s="177">
        <f t="array" ref="AC260">SUM(IF(ISERROR(AC261:AC311),"",AC261:AC311))</f>
        <v>-2.868302531</v>
      </c>
      <c r="AD260" s="177">
        <f t="array" ref="AD260">SUM(IF(ISERROR(AD261:AD311),"",AD261:AD311))</f>
        <v>-2.708831111</v>
      </c>
      <c r="AE260" s="177">
        <f t="array" ref="AE260">SUM(IF(ISERROR(AE261:AE311),"",AE261:AE311))</f>
        <v>-2.418532611</v>
      </c>
      <c r="AF260" s="177">
        <f t="array" ref="AF260">SUM(IF(ISERROR(AF261:AF311),"",AF261:AF311))</f>
        <v>-2.277050101</v>
      </c>
      <c r="AG260" s="177">
        <f t="array" ref="AG260">SUM(IF(ISERROR(AG261:AG311),"",AG261:AG311))</f>
        <v>-1.973143727</v>
      </c>
      <c r="AH260" s="177">
        <f t="array" ref="AH260">SUM(IF(ISERROR(AH261:AH311),"",AH261:AH311))</f>
        <v>-1.688524241</v>
      </c>
      <c r="AI260" s="177">
        <f t="array" ref="AI260">SUM(IF(ISERROR(AI261:AI311),"",AI261:AI311))</f>
        <v>-1.314065652</v>
      </c>
      <c r="AJ260" s="177">
        <f t="array" ref="AJ260">SUM(IF(ISERROR(AJ261:AJ311),"",AJ261:AJ311))</f>
        <v>-1.382116869</v>
      </c>
      <c r="AK260" s="177">
        <f t="array" ref="AK260">SUM(IF(ISERROR(AK261:AK311),"",AK261:AK311))</f>
        <v>-1.29440008</v>
      </c>
      <c r="AL260" s="177">
        <f t="array" ref="AL260">SUM(IF(ISERROR(AL261:AL311),"",AL261:AL311))</f>
        <v>-1.282706864</v>
      </c>
      <c r="AM260" s="177">
        <f t="array" ref="AM260">SUM(IF(ISERROR(AM261:AM311),"",AM261:AM311))</f>
        <v>-1.281656795</v>
      </c>
      <c r="AN260" s="177">
        <f t="array" ref="AN260">SUM(IF(ISERROR(AN261:AN311),"",AN261:AN311))</f>
        <v>-1.244310338</v>
      </c>
      <c r="AO260" s="177">
        <f t="array" ref="AO260">SUM(IF(ISERROR(AO261:AO311),"",AO261:AO311))</f>
        <v>-1.18925842</v>
      </c>
      <c r="AP260" s="177">
        <f t="array" ref="AP260">SUM(IF(ISERROR(AP261:AP311),"",AP261:AP311))</f>
        <v>-1.130452129</v>
      </c>
      <c r="AQ260" s="177">
        <f t="array" ref="AQ260">SUM(IF(ISERROR(AQ261:AQ311),"",AQ261:AQ311))</f>
        <v>-1.075727236</v>
      </c>
      <c r="AR260" s="177">
        <f t="array" ref="AR260">SUM(IF(ISERROR(AR261:AR311),"",AR261:AR311))</f>
        <v>-1.047222725</v>
      </c>
      <c r="AS260" s="177">
        <f t="array" ref="AS260">SUM(IF(ISERROR(AS261:AS311),"",AS261:AS311))</f>
        <v>-1.02220497</v>
      </c>
      <c r="AT260" s="177">
        <f t="array" ref="AT260">SUM(IF(ISERROR(AT261:AT311),"",AT261:AT311))</f>
        <v>-1.021452556</v>
      </c>
      <c r="AU260" s="177">
        <f t="array" ref="AU260">SUM(IF(ISERROR(AU261:AU311),"",AU261:AU311))</f>
        <v>-1.030508239</v>
      </c>
      <c r="AV260" s="177">
        <f t="array" ref="AV260">SUM(IF(ISERROR(AV261:AV311),"",AV261:AV311))</f>
        <v>-1.020150953</v>
      </c>
      <c r="AW260" s="177">
        <f t="array" ref="AW260">SUM(IF(ISERROR(AW261:AW311),"",AW261:AW311))</f>
        <v>-1.005854089</v>
      </c>
      <c r="AX260" s="177">
        <f t="array" ref="AX260">SUM(IF(ISERROR(AX261:AX311),"",AX261:AX311))</f>
        <v>-1.015508288</v>
      </c>
      <c r="AY260" s="177">
        <f t="array" ref="AY260">SUM(IF(ISERROR(AY261:AY311),"",AY261:AY311))</f>
        <v>-1.004791776</v>
      </c>
      <c r="AZ260" s="177">
        <f t="array" ref="AZ260">SUM(IF(ISERROR(AZ261:AZ311),"",AZ261:AZ311))</f>
        <v>-1.004712849</v>
      </c>
      <c r="BA260" s="177">
        <f t="array" ref="BA260">SUM(IF(ISERROR(BA261:BA311),"",BA261:BA311))</f>
        <v>-1.002992098</v>
      </c>
      <c r="BB260" s="177">
        <f t="array" ref="BB260">SUM(IF(ISERROR(BB261:BB311),"",BB261:BB311))</f>
        <v>-0.9697528503</v>
      </c>
      <c r="BC260" s="177">
        <f t="array" ref="BC260">SUM(IF(ISERROR(BC261:BC311),"",BC261:BC311))</f>
        <v>-0.928712034</v>
      </c>
      <c r="BD260" s="177">
        <f t="array" ref="BD260">SUM(IF(ISERROR(BD261:BD311),"",BD261:BD311))</f>
        <v>-0.890199019</v>
      </c>
      <c r="BE260" s="177">
        <f t="array" ref="BE260">SUM(IF(ISERROR(BE261:BE311),"",BE261:BE311))</f>
        <v>-0.8444996308</v>
      </c>
      <c r="BF260" s="177">
        <f t="array" ref="BF260">SUM(IF(ISERROR(BF261:BF311),"",BF261:BF311))</f>
        <v>-0.8015593216</v>
      </c>
      <c r="BG260" s="177">
        <f t="array" ref="BG260">SUM(IF(ISERROR(BG261:BG311),"",BG261:BG311))</f>
        <v>-0.7480649962</v>
      </c>
      <c r="BH260" s="177">
        <f t="array" ref="BH260">SUM(IF(ISERROR(BH261:BH311),"",BH261:BH311))</f>
        <v>-0.6938792472</v>
      </c>
      <c r="BI260" s="177">
        <f t="array" ref="BI260">SUM(IF(ISERROR(BI261:BI311),"",BI261:BI311))</f>
        <v>-0.6205161597</v>
      </c>
      <c r="BJ260" s="177">
        <f t="array" ref="BJ260">SUM(IF(ISERROR(BJ261:BJ311),"",BJ261:BJ311))</f>
        <v>-0.5514605473</v>
      </c>
      <c r="BK260" s="177">
        <f t="array" ref="BK260">SUM(IF(ISERROR(BK261:BK311),"",BK261:BK311))</f>
        <v>-0.4834753001</v>
      </c>
      <c r="BL260" s="177">
        <f t="array" ref="BL260">SUM(IF(ISERROR(BL261:BL311),"",BL261:BL311))</f>
        <v>-0.4004487911</v>
      </c>
      <c r="BM260" s="177">
        <f t="array" ref="BM260">SUM(IF(ISERROR(BM261:BM311),"",BM261:BM311))</f>
        <v>-0.3035503334</v>
      </c>
      <c r="BN260" s="177">
        <f t="array" ref="BN260">SUM(IF(ISERROR(BN261:BN311),"",BN261:BN311))</f>
        <v>-0.2137345498</v>
      </c>
      <c r="BO260" s="177">
        <f t="array" ref="BO260">SUM(IF(ISERROR(BO261:BO311),"",BO261:BO311))</f>
        <v>-0.1107347708</v>
      </c>
      <c r="BP260" s="177">
        <f t="array" ref="BP260">SUM(IF(ISERROR(BP261:BP311),"",BP261:BP311))</f>
        <v>0</v>
      </c>
      <c r="BQ260" s="177">
        <f t="array" ref="BQ260">SUM(IF(ISERROR(BQ261:BQ311),"",BQ261:BQ311))</f>
        <v>0</v>
      </c>
      <c r="BR260" s="177">
        <f t="array" ref="BR260">SUM(IF(ISERROR(BR261:BR311),"",BR261:BR311))</f>
        <v>0</v>
      </c>
      <c r="BS260" s="177">
        <f t="array" ref="BS260">SUM(IF(ISERROR(BS261:BS311),"",BS261:BS311))</f>
        <v>0</v>
      </c>
      <c r="BT260" s="177">
        <f t="array" ref="BT260">SUM(IF(ISERROR(BT261:BT311),"",BT261:BT311))</f>
        <v>0</v>
      </c>
      <c r="BU260" s="177">
        <f t="array" ref="BU260">SUM(IF(ISERROR(BU261:BU311),"",BU261:BU311))</f>
        <v>0</v>
      </c>
      <c r="BV260" s="177">
        <f t="array" ref="BV260">SUM(IF(ISERROR(BV261:BV311),"",BV261:BV311))</f>
        <v>0</v>
      </c>
      <c r="BW260" s="177">
        <f t="array" ref="BW260">SUM(IF(ISERROR(BW261:BW311),"",BW261:BW311))</f>
        <v>0</v>
      </c>
      <c r="BX260" s="177">
        <f t="array" ref="BX260">SUM(IF(ISERROR(BX261:BX311),"",BX261:BX311))</f>
        <v>0</v>
      </c>
      <c r="BY260" s="177">
        <f t="array" ref="BY260">SUM(IF(ISERROR(BY261:BY311),"",BY261:BY311))</f>
        <v>0</v>
      </c>
    </row>
    <row r="261" ht="15.75" hidden="1" customHeight="1" outlineLevel="1">
      <c r="A261" s="187"/>
      <c r="B261" s="38"/>
      <c r="C261" s="188">
        <f>PPMT('Assumptions (NG Midstream)'!$B$72,Model!W$1,'Assumptions (NG Midstream)'!$B$75,Model!$C$258)</f>
        <v>-0.0698840221</v>
      </c>
      <c r="D261" s="188">
        <f>PPMT('Assumptions (NG Midstream)'!$B$72,Model!X$1,'Assumptions (NG Midstream)'!$B$75,Model!$C$258)</f>
        <v>-0.07512532376</v>
      </c>
      <c r="E261" s="188">
        <f>PPMT('Assumptions (NG Midstream)'!$B$72,Model!Y$1,'Assumptions (NG Midstream)'!$B$75,Model!$C$258)</f>
        <v>-0.08075972304</v>
      </c>
      <c r="F261" s="188">
        <f>PPMT('Assumptions (NG Midstream)'!$B$72,Model!Z$1,'Assumptions (NG Midstream)'!$B$75,Model!$C$258)</f>
        <v>-0.08681670227</v>
      </c>
      <c r="G261" s="188">
        <f>PPMT('Assumptions (NG Midstream)'!$B$72,Model!AA$1,'Assumptions (NG Midstream)'!$B$75,Model!$C$258)</f>
        <v>-0.09332795494</v>
      </c>
      <c r="H261" s="188">
        <f>PPMT('Assumptions (NG Midstream)'!$B$72,Model!AB$1,'Assumptions (NG Midstream)'!$B$75,Model!$C$258)</f>
        <v>-0.1003275516</v>
      </c>
      <c r="I261" s="188">
        <f>PPMT('Assumptions (NG Midstream)'!$B$72,Model!AC$1,'Assumptions (NG Midstream)'!$B$75,Model!$C$258)</f>
        <v>-0.1078521179</v>
      </c>
      <c r="J261" s="188">
        <f>PPMT('Assumptions (NG Midstream)'!$B$72,Model!AD$1,'Assumptions (NG Midstream)'!$B$75,Model!$C$258)</f>
        <v>-0.1159410268</v>
      </c>
      <c r="K261" s="188">
        <f>PPMT('Assumptions (NG Midstream)'!$B$72,Model!AE$1,'Assumptions (NG Midstream)'!$B$75,Model!$C$258)</f>
        <v>-0.1246366038</v>
      </c>
      <c r="L261" s="188">
        <f>PPMT('Assumptions (NG Midstream)'!$B$72,Model!AF$1,'Assumptions (NG Midstream)'!$B$75,Model!$C$258)</f>
        <v>-0.1339843491</v>
      </c>
      <c r="M261" s="188">
        <f>PPMT('Assumptions (NG Midstream)'!$B$72,Model!AG$1,'Assumptions (NG Midstream)'!$B$75,Model!$C$258)</f>
        <v>-0.1440331752</v>
      </c>
      <c r="N261" s="188">
        <f>PPMT('Assumptions (NG Midstream)'!$B$72,Model!AH$1,'Assumptions (NG Midstream)'!$B$75,Model!$C$258)</f>
        <v>-0.1548356634</v>
      </c>
      <c r="O261" s="188">
        <f>PPMT('Assumptions (NG Midstream)'!$B$72,Model!AI$1,'Assumptions (NG Midstream)'!$B$75,Model!$C$258)</f>
        <v>-0.1664483381</v>
      </c>
      <c r="P261" s="188">
        <f>PPMT('Assumptions (NG Midstream)'!$B$72,Model!AJ$1,'Assumptions (NG Midstream)'!$B$75,Model!$C$258)</f>
        <v>-0.1789319635</v>
      </c>
      <c r="Q261" s="188">
        <f>PPMT('Assumptions (NG Midstream)'!$B$72,Model!AK$1,'Assumptions (NG Midstream)'!$B$75,Model!$C$258)</f>
        <v>-0.1923518608</v>
      </c>
      <c r="R261" s="188"/>
      <c r="S261" s="188"/>
      <c r="T261" s="188"/>
      <c r="U261" s="188"/>
      <c r="V261" s="188"/>
      <c r="W261" s="188"/>
      <c r="X261" s="188"/>
      <c r="Y261" s="188"/>
      <c r="Z261" s="188"/>
      <c r="AA261" s="188"/>
      <c r="AB261" s="188"/>
    </row>
    <row r="262" ht="15.75" hidden="1" customHeight="1" outlineLevel="1">
      <c r="A262" s="187"/>
      <c r="B262" s="38"/>
      <c r="C262" s="188"/>
      <c r="D262" s="188">
        <f>PPMT('Assumptions (NG Midstream)'!$B$72,Model!W$1,'Assumptions (NG Midstream)'!$B$75,Model!$D$258)</f>
        <v>-0.09109765613</v>
      </c>
      <c r="E262" s="188">
        <f>PPMT('Assumptions (NG Midstream)'!$B$72,Model!X$1,'Assumptions (NG Midstream)'!$B$75,Model!$D$258)</f>
        <v>-0.09792998034</v>
      </c>
      <c r="F262" s="188">
        <f>PPMT('Assumptions (NG Midstream)'!$B$72,Model!Y$1,'Assumptions (NG Midstream)'!$B$75,Model!$D$258)</f>
        <v>-0.1052747289</v>
      </c>
      <c r="G262" s="188">
        <f>PPMT('Assumptions (NG Midstream)'!$B$72,Model!Z$1,'Assumptions (NG Midstream)'!$B$75,Model!$D$258)</f>
        <v>-0.1131703335</v>
      </c>
      <c r="H262" s="188">
        <f>PPMT('Assumptions (NG Midstream)'!$B$72,Model!AA$1,'Assumptions (NG Midstream)'!$B$75,Model!$D$258)</f>
        <v>-0.1216581085</v>
      </c>
      <c r="I262" s="188">
        <f>PPMT('Assumptions (NG Midstream)'!$B$72,Model!AB$1,'Assumptions (NG Midstream)'!$B$75,Model!$D$258)</f>
        <v>-0.1307824667</v>
      </c>
      <c r="J262" s="188">
        <f>PPMT('Assumptions (NG Midstream)'!$B$72,Model!AC$1,'Assumptions (NG Midstream)'!$B$75,Model!$D$258)</f>
        <v>-0.1405911517</v>
      </c>
      <c r="K262" s="188">
        <f>PPMT('Assumptions (NG Midstream)'!$B$72,Model!AD$1,'Assumptions (NG Midstream)'!$B$75,Model!$D$258)</f>
        <v>-0.1511354881</v>
      </c>
      <c r="L262" s="188">
        <f>PPMT('Assumptions (NG Midstream)'!$B$72,Model!AE$1,'Assumptions (NG Midstream)'!$B$75,Model!$D$258)</f>
        <v>-0.1624706497</v>
      </c>
      <c r="M262" s="188">
        <f>PPMT('Assumptions (NG Midstream)'!$B$72,Model!AF$1,'Assumptions (NG Midstream)'!$B$75,Model!$D$258)</f>
        <v>-0.1746559484</v>
      </c>
      <c r="N262" s="188">
        <f>PPMT('Assumptions (NG Midstream)'!$B$72,Model!AG$1,'Assumptions (NG Midstream)'!$B$75,Model!$D$258)</f>
        <v>-0.1877551445</v>
      </c>
      <c r="O262" s="188">
        <f>PPMT('Assumptions (NG Midstream)'!$B$72,Model!AH$1,'Assumptions (NG Midstream)'!$B$75,Model!$D$258)</f>
        <v>-0.2018367804</v>
      </c>
      <c r="P262" s="188">
        <f>PPMT('Assumptions (NG Midstream)'!$B$72,Model!AI$1,'Assumptions (NG Midstream)'!$B$75,Model!$D$258)</f>
        <v>-0.2169745389</v>
      </c>
      <c r="Q262" s="188">
        <f>PPMT('Assumptions (NG Midstream)'!$B$72,Model!AJ$1,'Assumptions (NG Midstream)'!$B$75,Model!$D$258)</f>
        <v>-0.2332476293</v>
      </c>
      <c r="R262" s="188">
        <f>PPMT('Assumptions (NG Midstream)'!$B$72,Model!AK$1,'Assumptions (NG Midstream)'!$B$75,Model!$D$258)</f>
        <v>-0.2507412015</v>
      </c>
      <c r="S262" s="188"/>
      <c r="T262" s="188"/>
      <c r="U262" s="188"/>
      <c r="V262" s="188"/>
      <c r="W262" s="188"/>
      <c r="X262" s="188"/>
      <c r="Y262" s="188"/>
      <c r="Z262" s="188"/>
      <c r="AA262" s="188"/>
      <c r="AB262" s="188"/>
    </row>
    <row r="263" ht="15.75" hidden="1" customHeight="1" outlineLevel="1">
      <c r="A263" s="187"/>
      <c r="B263" s="38"/>
      <c r="C263" s="188"/>
      <c r="D263" s="188"/>
      <c r="E263" s="188">
        <f>PPMT('Assumptions (NG Midstream)'!$B$72,Model!W$1,'Assumptions (NG Midstream)'!$B$75,Model!$E$258)</f>
        <v>-0.111228502</v>
      </c>
      <c r="F263" s="188">
        <f>PPMT('Assumptions (NG Midstream)'!$B$72,Model!X$1,'Assumptions (NG Midstream)'!$B$75,Model!$E$258)</f>
        <v>-0.1195706397</v>
      </c>
      <c r="G263" s="188">
        <f>PPMT('Assumptions (NG Midstream)'!$B$72,Model!Y$1,'Assumptions (NG Midstream)'!$B$75,Model!$E$258)</f>
        <v>-0.1285384377</v>
      </c>
      <c r="H263" s="188">
        <f>PPMT('Assumptions (NG Midstream)'!$B$72,Model!Z$1,'Assumptions (NG Midstream)'!$B$75,Model!$E$258)</f>
        <v>-0.1381788205</v>
      </c>
      <c r="I263" s="188">
        <f>PPMT('Assumptions (NG Midstream)'!$B$72,Model!AA$1,'Assumptions (NG Midstream)'!$B$75,Model!$E$258)</f>
        <v>-0.148542232</v>
      </c>
      <c r="J263" s="188">
        <f>PPMT('Assumptions (NG Midstream)'!$B$72,Model!AB$1,'Assumptions (NG Midstream)'!$B$75,Model!$E$258)</f>
        <v>-0.1596828994</v>
      </c>
      <c r="K263" s="188">
        <f>PPMT('Assumptions (NG Midstream)'!$B$72,Model!AC$1,'Assumptions (NG Midstream)'!$B$75,Model!$E$258)</f>
        <v>-0.1716591169</v>
      </c>
      <c r="L263" s="188">
        <f>PPMT('Assumptions (NG Midstream)'!$B$72,Model!AD$1,'Assumptions (NG Midstream)'!$B$75,Model!$E$258)</f>
        <v>-0.1845335506</v>
      </c>
      <c r="M263" s="188">
        <f>PPMT('Assumptions (NG Midstream)'!$B$72,Model!AE$1,'Assumptions (NG Midstream)'!$B$75,Model!$E$258)</f>
        <v>-0.1983735669</v>
      </c>
      <c r="N263" s="188">
        <f>PPMT('Assumptions (NG Midstream)'!$B$72,Model!AF$1,'Assumptions (NG Midstream)'!$B$75,Model!$E$258)</f>
        <v>-0.2132515845</v>
      </c>
      <c r="O263" s="188">
        <f>PPMT('Assumptions (NG Midstream)'!$B$72,Model!AG$1,'Assumptions (NG Midstream)'!$B$75,Model!$E$258)</f>
        <v>-0.2292454533</v>
      </c>
      <c r="P263" s="188">
        <f>PPMT('Assumptions (NG Midstream)'!$B$72,Model!AH$1,'Assumptions (NG Midstream)'!$B$75,Model!$E$258)</f>
        <v>-0.2464388623</v>
      </c>
      <c r="Q263" s="188">
        <f>PPMT('Assumptions (NG Midstream)'!$B$72,Model!AI$1,'Assumptions (NG Midstream)'!$B$75,Model!$E$258)</f>
        <v>-0.264921777</v>
      </c>
      <c r="R263" s="188">
        <f>PPMT('Assumptions (NG Midstream)'!$B$72,Model!AJ$1,'Assumptions (NG Midstream)'!$B$75,Model!$E$258)</f>
        <v>-0.2847909102</v>
      </c>
      <c r="S263" s="188">
        <f>PPMT('Assumptions (NG Midstream)'!$B$72,Model!AK$1,'Assumptions (NG Midstream)'!$B$75,Model!$E$258)</f>
        <v>-0.3061502285</v>
      </c>
      <c r="T263" s="188"/>
      <c r="U263" s="188"/>
      <c r="V263" s="188"/>
      <c r="W263" s="188"/>
      <c r="X263" s="188"/>
      <c r="Y263" s="188"/>
      <c r="Z263" s="188"/>
      <c r="AA263" s="188"/>
      <c r="AB263" s="188"/>
      <c r="AC263" s="188"/>
    </row>
    <row r="264" ht="15.75" hidden="1" customHeight="1" outlineLevel="1">
      <c r="A264" s="187"/>
      <c r="B264" s="38"/>
      <c r="C264" s="188"/>
      <c r="D264" s="188"/>
      <c r="E264" s="188"/>
      <c r="F264" s="188">
        <f>PPMT('Assumptions (NG Midstream)'!$B$72,Model!W$1,'Assumptions (NG Midstream)'!$B$75,Model!$F$258)</f>
        <v>-0.1399241056</v>
      </c>
      <c r="G264" s="188">
        <f>PPMT('Assumptions (NG Midstream)'!$B$72,Model!X$1,'Assumptions (NG Midstream)'!$B$75,Model!$F$258)</f>
        <v>-0.1504184136</v>
      </c>
      <c r="H264" s="188">
        <f>PPMT('Assumptions (NG Midstream)'!$B$72,Model!Y$1,'Assumptions (NG Midstream)'!$B$75,Model!$F$258)</f>
        <v>-0.1616997946</v>
      </c>
      <c r="I264" s="188">
        <f>PPMT('Assumptions (NG Midstream)'!$B$72,Model!Z$1,'Assumptions (NG Midstream)'!$B$75,Model!$F$258)</f>
        <v>-0.1738272792</v>
      </c>
      <c r="J264" s="188">
        <f>PPMT('Assumptions (NG Midstream)'!$B$72,Model!AA$1,'Assumptions (NG Midstream)'!$B$75,Model!$F$258)</f>
        <v>-0.1868643251</v>
      </c>
      <c r="K264" s="188">
        <f>PPMT('Assumptions (NG Midstream)'!$B$72,Model!AB$1,'Assumptions (NG Midstream)'!$B$75,Model!$F$258)</f>
        <v>-0.2008791495</v>
      </c>
      <c r="L264" s="188">
        <f>PPMT('Assumptions (NG Midstream)'!$B$72,Model!AC$1,'Assumptions (NG Midstream)'!$B$75,Model!$F$258)</f>
        <v>-0.2159450857</v>
      </c>
      <c r="M264" s="188">
        <f>PPMT('Assumptions (NG Midstream)'!$B$72,Model!AD$1,'Assumptions (NG Midstream)'!$B$75,Model!$F$258)</f>
        <v>-0.2321409672</v>
      </c>
      <c r="N264" s="188">
        <f>PPMT('Assumptions (NG Midstream)'!$B$72,Model!AE$1,'Assumptions (NG Midstream)'!$B$75,Model!$F$258)</f>
        <v>-0.2495515397</v>
      </c>
      <c r="O264" s="188">
        <f>PPMT('Assumptions (NG Midstream)'!$B$72,Model!AF$1,'Assumptions (NG Midstream)'!$B$75,Model!$F$258)</f>
        <v>-0.2682679052</v>
      </c>
      <c r="P264" s="188">
        <f>PPMT('Assumptions (NG Midstream)'!$B$72,Model!AG$1,'Assumptions (NG Midstream)'!$B$75,Model!$F$258)</f>
        <v>-0.2883879981</v>
      </c>
      <c r="Q264" s="188">
        <f>PPMT('Assumptions (NG Midstream)'!$B$72,Model!AH$1,'Assumptions (NG Midstream)'!$B$75,Model!$F$258)</f>
        <v>-0.3100170979</v>
      </c>
      <c r="R264" s="188">
        <f>PPMT('Assumptions (NG Midstream)'!$B$72,Model!AI$1,'Assumptions (NG Midstream)'!$B$75,Model!$F$258)</f>
        <v>-0.3332683802</v>
      </c>
      <c r="S264" s="188">
        <f>PPMT('Assumptions (NG Midstream)'!$B$72,Model!AJ$1,'Assumptions (NG Midstream)'!$B$75,Model!$F$258)</f>
        <v>-0.3582635088</v>
      </c>
      <c r="T264" s="188">
        <f>PPMT('Assumptions (NG Midstream)'!$B$72,Model!AK$1,'Assumptions (NG Midstream)'!$B$75,Model!$F$258)</f>
        <v>-0.3851332719</v>
      </c>
      <c r="U264" s="188"/>
      <c r="V264" s="188"/>
      <c r="W264" s="188"/>
      <c r="X264" s="188"/>
      <c r="Y264" s="188"/>
      <c r="Z264" s="188"/>
      <c r="AA264" s="188"/>
      <c r="AB264" s="188"/>
      <c r="AC264" s="188"/>
      <c r="AD264" s="188"/>
    </row>
    <row r="265" ht="15.75" hidden="1" customHeight="1" outlineLevel="1">
      <c r="A265" s="187"/>
      <c r="B265" s="38"/>
      <c r="C265" s="188"/>
      <c r="D265" s="188"/>
      <c r="E265" s="188"/>
      <c r="F265" s="188"/>
      <c r="G265" s="188">
        <f>PPMT('Assumptions (NG Midstream)'!$B$72,Model!W$1,'Assumptions (NG Midstream)'!$B$75,Model!$G$258)</f>
        <v>-0.0831750882</v>
      </c>
      <c r="H265" s="188">
        <f>PPMT('Assumptions (NG Midstream)'!$B$72,Model!X$1,'Assumptions (NG Midstream)'!$B$75,Model!$G$258)</f>
        <v>-0.08941321981</v>
      </c>
      <c r="I265" s="188">
        <f>PPMT('Assumptions (NG Midstream)'!$B$72,Model!Y$1,'Assumptions (NG Midstream)'!$B$75,Model!$G$258)</f>
        <v>-0.0961192113</v>
      </c>
      <c r="J265" s="188">
        <f>PPMT('Assumptions (NG Midstream)'!$B$72,Model!Z$1,'Assumptions (NG Midstream)'!$B$75,Model!$G$258)</f>
        <v>-0.1033281521</v>
      </c>
      <c r="K265" s="188">
        <f>PPMT('Assumptions (NG Midstream)'!$B$72,Model!AA$1,'Assumptions (NG Midstream)'!$B$75,Model!$G$258)</f>
        <v>-0.1110777636</v>
      </c>
      <c r="L265" s="188">
        <f>PPMT('Assumptions (NG Midstream)'!$B$72,Model!AB$1,'Assumptions (NG Midstream)'!$B$75,Model!$G$258)</f>
        <v>-0.1194085958</v>
      </c>
      <c r="M265" s="188">
        <f>PPMT('Assumptions (NG Midstream)'!$B$72,Model!AC$1,'Assumptions (NG Midstream)'!$B$75,Model!$G$258)</f>
        <v>-0.1283642405</v>
      </c>
      <c r="N265" s="188">
        <f>PPMT('Assumptions (NG Midstream)'!$B$72,Model!AD$1,'Assumptions (NG Midstream)'!$B$75,Model!$G$258)</f>
        <v>-0.1379915585</v>
      </c>
      <c r="O265" s="188">
        <f>PPMT('Assumptions (NG Midstream)'!$B$72,Model!AE$1,'Assumptions (NG Midstream)'!$B$75,Model!$G$258)</f>
        <v>-0.1483409254</v>
      </c>
      <c r="P265" s="188">
        <f>PPMT('Assumptions (NG Midstream)'!$B$72,Model!AF$1,'Assumptions (NG Midstream)'!$B$75,Model!$G$258)</f>
        <v>-0.1594664948</v>
      </c>
      <c r="Q265" s="188">
        <f>PPMT('Assumptions (NG Midstream)'!$B$72,Model!AG$1,'Assumptions (NG Midstream)'!$B$75,Model!$G$258)</f>
        <v>-0.171426482</v>
      </c>
      <c r="R265" s="188">
        <f>PPMT('Assumptions (NG Midstream)'!$B$72,Model!AH$1,'Assumptions (NG Midstream)'!$B$75,Model!$G$258)</f>
        <v>-0.1842834681</v>
      </c>
      <c r="S265" s="188">
        <f>PPMT('Assumptions (NG Midstream)'!$B$72,Model!AI$1,'Assumptions (NG Midstream)'!$B$75,Model!$G$258)</f>
        <v>-0.1981047282</v>
      </c>
      <c r="T265" s="188">
        <f>PPMT('Assumptions (NG Midstream)'!$B$72,Model!AJ$1,'Assumptions (NG Midstream)'!$B$75,Model!$G$258)</f>
        <v>-0.2129625828</v>
      </c>
      <c r="U265" s="188">
        <f>PPMT('Assumptions (NG Midstream)'!$B$72,Model!AK$1,'Assumptions (NG Midstream)'!$B$75,Model!$G$258)</f>
        <v>-0.2289347765</v>
      </c>
      <c r="V265" s="188"/>
      <c r="W265" s="188"/>
      <c r="X265" s="188"/>
      <c r="Y265" s="188"/>
      <c r="Z265" s="188"/>
      <c r="AA265" s="188"/>
      <c r="AB265" s="188"/>
      <c r="AC265" s="188"/>
      <c r="AD265" s="188"/>
      <c r="AE265" s="188"/>
    </row>
    <row r="266" ht="15.75" hidden="1" customHeight="1" outlineLevel="1">
      <c r="A266" s="187"/>
      <c r="B266" s="38"/>
      <c r="C266" s="188"/>
      <c r="D266" s="188"/>
      <c r="E266" s="188"/>
      <c r="F266" s="188"/>
      <c r="G266" s="188"/>
      <c r="H266" s="188">
        <f>PPMT('Assumptions (NG Midstream)'!$B$72,Model!W$1,'Assumptions (NG Midstream)'!$B$75,Model!$H$258)</f>
        <v>-0.08261232051</v>
      </c>
      <c r="I266" s="188">
        <f>PPMT('Assumptions (NG Midstream)'!$B$72,Model!X$1,'Assumptions (NG Midstream)'!$B$75,Model!$H$258)</f>
        <v>-0.08880824455</v>
      </c>
      <c r="J266" s="188">
        <f>PPMT('Assumptions (NG Midstream)'!$B$72,Model!Y$1,'Assumptions (NG Midstream)'!$B$75,Model!$H$258)</f>
        <v>-0.09546886289</v>
      </c>
      <c r="K266" s="188">
        <f>PPMT('Assumptions (NG Midstream)'!$B$72,Model!Z$1,'Assumptions (NG Midstream)'!$B$75,Model!$H$258)</f>
        <v>-0.1026290276</v>
      </c>
      <c r="L266" s="188">
        <f>PPMT('Assumptions (NG Midstream)'!$B$72,Model!AA$1,'Assumptions (NG Midstream)'!$B$75,Model!$H$258)</f>
        <v>-0.1103262047</v>
      </c>
      <c r="M266" s="188">
        <f>PPMT('Assumptions (NG Midstream)'!$B$72,Model!AB$1,'Assumptions (NG Midstream)'!$B$75,Model!$H$258)</f>
        <v>-0.11860067</v>
      </c>
      <c r="N266" s="188">
        <f>PPMT('Assumptions (NG Midstream)'!$B$72,Model!AC$1,'Assumptions (NG Midstream)'!$B$75,Model!$H$258)</f>
        <v>-0.1274957203</v>
      </c>
      <c r="O266" s="188">
        <f>PPMT('Assumptions (NG Midstream)'!$B$72,Model!AD$1,'Assumptions (NG Midstream)'!$B$75,Model!$H$258)</f>
        <v>-0.1370578993</v>
      </c>
      <c r="P266" s="188">
        <f>PPMT('Assumptions (NG Midstream)'!$B$72,Model!AE$1,'Assumptions (NG Midstream)'!$B$75,Model!$H$258)</f>
        <v>-0.1473372418</v>
      </c>
      <c r="Q266" s="188">
        <f>PPMT('Assumptions (NG Midstream)'!$B$72,Model!AF$1,'Assumptions (NG Midstream)'!$B$75,Model!$H$258)</f>
        <v>-0.1583875349</v>
      </c>
      <c r="R266" s="188">
        <f>PPMT('Assumptions (NG Midstream)'!$B$72,Model!AG$1,'Assumptions (NG Midstream)'!$B$75,Model!$H$258)</f>
        <v>-0.1702666</v>
      </c>
      <c r="S266" s="188">
        <f>PPMT('Assumptions (NG Midstream)'!$B$72,Model!AH$1,'Assumptions (NG Midstream)'!$B$75,Model!$H$258)</f>
        <v>-0.183036595</v>
      </c>
      <c r="T266" s="188">
        <f>PPMT('Assumptions (NG Midstream)'!$B$72,Model!AI$1,'Assumptions (NG Midstream)'!$B$75,Model!$H$258)</f>
        <v>-0.1967643396</v>
      </c>
      <c r="U266" s="188">
        <f>PPMT('Assumptions (NG Midstream)'!$B$72,Model!AJ$1,'Assumptions (NG Midstream)'!$B$75,Model!$H$258)</f>
        <v>-0.2115216651</v>
      </c>
      <c r="V266" s="188">
        <f>PPMT('Assumptions (NG Midstream)'!$B$72,Model!AK$1,'Assumptions (NG Midstream)'!$B$75,Model!$H$258)</f>
        <v>-0.22738579</v>
      </c>
      <c r="W266" s="188"/>
      <c r="X266" s="188"/>
      <c r="Y266" s="188"/>
      <c r="Z266" s="188"/>
      <c r="AA266" s="188"/>
      <c r="AB266" s="188"/>
      <c r="AC266" s="188"/>
      <c r="AD266" s="188"/>
      <c r="AE266" s="188"/>
      <c r="AF266" s="188"/>
    </row>
    <row r="267" ht="15.75" hidden="1" customHeight="1" outlineLevel="1">
      <c r="A267" s="187"/>
      <c r="B267" s="38"/>
      <c r="C267" s="188"/>
      <c r="D267" s="188"/>
      <c r="E267" s="188"/>
      <c r="F267" s="188"/>
      <c r="G267" s="188"/>
      <c r="H267" s="188"/>
      <c r="I267" s="188">
        <f>PPMT('Assumptions (NG Midstream)'!$B$72,Model!W$1,'Assumptions (NG Midstream)'!$B$75,Model!$I$258)</f>
        <v>-0.1045431241</v>
      </c>
      <c r="J267" s="188">
        <f>PPMT('Assumptions (NG Midstream)'!$B$72,Model!X$1,'Assumptions (NG Midstream)'!$B$75,Model!$I$258)</f>
        <v>-0.1123838584</v>
      </c>
      <c r="K267" s="188">
        <f>PPMT('Assumptions (NG Midstream)'!$B$72,Model!Y$1,'Assumptions (NG Midstream)'!$B$75,Model!$I$258)</f>
        <v>-0.1208126478</v>
      </c>
      <c r="L267" s="188">
        <f>PPMT('Assumptions (NG Midstream)'!$B$72,Model!Z$1,'Assumptions (NG Midstream)'!$B$75,Model!$I$258)</f>
        <v>-0.1298735963</v>
      </c>
      <c r="M267" s="188">
        <f>PPMT('Assumptions (NG Midstream)'!$B$72,Model!AA$1,'Assumptions (NG Midstream)'!$B$75,Model!$I$258)</f>
        <v>-0.1396141161</v>
      </c>
      <c r="N267" s="188">
        <f>PPMT('Assumptions (NG Midstream)'!$B$72,Model!AB$1,'Assumptions (NG Midstream)'!$B$75,Model!$I$258)</f>
        <v>-0.1500851748</v>
      </c>
      <c r="O267" s="188">
        <f>PPMT('Assumptions (NG Midstream)'!$B$72,Model!AC$1,'Assumptions (NG Midstream)'!$B$75,Model!$I$258)</f>
        <v>-0.1613415629</v>
      </c>
      <c r="P267" s="188">
        <f>PPMT('Assumptions (NG Midstream)'!$B$72,Model!AD$1,'Assumptions (NG Midstream)'!$B$75,Model!$I$258)</f>
        <v>-0.1734421801</v>
      </c>
      <c r="Q267" s="188">
        <f>PPMT('Assumptions (NG Midstream)'!$B$72,Model!AE$1,'Assumptions (NG Midstream)'!$B$75,Model!$I$258)</f>
        <v>-0.1864503436</v>
      </c>
      <c r="R267" s="188">
        <f>PPMT('Assumptions (NG Midstream)'!$B$72,Model!AF$1,'Assumptions (NG Midstream)'!$B$75,Model!$I$258)</f>
        <v>-0.2004341194</v>
      </c>
      <c r="S267" s="188">
        <f>PPMT('Assumptions (NG Midstream)'!$B$72,Model!AG$1,'Assumptions (NG Midstream)'!$B$75,Model!$I$258)</f>
        <v>-0.2154666783</v>
      </c>
      <c r="T267" s="188">
        <f>PPMT('Assumptions (NG Midstream)'!$B$72,Model!AH$1,'Assumptions (NG Midstream)'!$B$75,Model!$I$258)</f>
        <v>-0.2316266792</v>
      </c>
      <c r="U267" s="188">
        <f>PPMT('Assumptions (NG Midstream)'!$B$72,Model!AI$1,'Assumptions (NG Midstream)'!$B$75,Model!$I$258)</f>
        <v>-0.2489986801</v>
      </c>
      <c r="V267" s="188">
        <f>PPMT('Assumptions (NG Midstream)'!$B$72,Model!AJ$1,'Assumptions (NG Midstream)'!$B$75,Model!$I$258)</f>
        <v>-0.2676735812</v>
      </c>
      <c r="W267" s="188">
        <f>PPMT('Assumptions (NG Midstream)'!$B$72,Model!AK$1,'Assumptions (NG Midstream)'!$B$75,Model!$I$258)</f>
        <v>-0.2877490997</v>
      </c>
      <c r="X267" s="188"/>
      <c r="Y267" s="188"/>
      <c r="Z267" s="188"/>
      <c r="AA267" s="188"/>
      <c r="AB267" s="188"/>
      <c r="AC267" s="188"/>
      <c r="AD267" s="188"/>
      <c r="AE267" s="188"/>
      <c r="AF267" s="188"/>
      <c r="AG267" s="188"/>
    </row>
    <row r="268" ht="15.75" hidden="1" customHeight="1" outlineLevel="1">
      <c r="A268" s="187"/>
      <c r="B268" s="38"/>
      <c r="C268" s="188"/>
      <c r="D268" s="188"/>
      <c r="E268" s="188"/>
      <c r="F268" s="188"/>
      <c r="G268" s="188"/>
      <c r="H268" s="188"/>
      <c r="I268" s="188"/>
      <c r="J268" s="188">
        <f>PPMT('Assumptions (NG Midstream)'!$B$72,Model!W$1,'Assumptions (NG Midstream)'!$B$75,Model!$J$258)</f>
        <v>-0.1762069291</v>
      </c>
      <c r="K268" s="188">
        <f>PPMT('Assumptions (NG Midstream)'!$B$72,Model!X$1,'Assumptions (NG Midstream)'!$B$75,Model!$J$258)</f>
        <v>-0.1894224488</v>
      </c>
      <c r="L268" s="188">
        <f>PPMT('Assumptions (NG Midstream)'!$B$72,Model!Y$1,'Assumptions (NG Midstream)'!$B$75,Model!$J$258)</f>
        <v>-0.2036291324</v>
      </c>
      <c r="M268" s="188">
        <f>PPMT('Assumptions (NG Midstream)'!$B$72,Model!Z$1,'Assumptions (NG Midstream)'!$B$75,Model!$J$258)</f>
        <v>-0.2189013174</v>
      </c>
      <c r="N268" s="188">
        <f>PPMT('Assumptions (NG Midstream)'!$B$72,Model!AA$1,'Assumptions (NG Midstream)'!$B$75,Model!$J$258)</f>
        <v>-0.2353189162</v>
      </c>
      <c r="O268" s="188">
        <f>PPMT('Assumptions (NG Midstream)'!$B$72,Model!AB$1,'Assumptions (NG Midstream)'!$B$75,Model!$J$258)</f>
        <v>-0.2529678349</v>
      </c>
      <c r="P268" s="188">
        <f>PPMT('Assumptions (NG Midstream)'!$B$72,Model!AC$1,'Assumptions (NG Midstream)'!$B$75,Model!$J$258)</f>
        <v>-0.2719404225</v>
      </c>
      <c r="Q268" s="188">
        <f>PPMT('Assumptions (NG Midstream)'!$B$72,Model!AD$1,'Assumptions (NG Midstream)'!$B$75,Model!$J$258)</f>
        <v>-0.2923359542</v>
      </c>
      <c r="R268" s="188">
        <f>PPMT('Assumptions (NG Midstream)'!$B$72,Model!AE$1,'Assumptions (NG Midstream)'!$B$75,Model!$J$258)</f>
        <v>-0.3142611508</v>
      </c>
      <c r="S268" s="188">
        <f>PPMT('Assumptions (NG Midstream)'!$B$72,Model!AF$1,'Assumptions (NG Midstream)'!$B$75,Model!$J$258)</f>
        <v>-0.3378307371</v>
      </c>
      <c r="T268" s="188">
        <f>PPMT('Assumptions (NG Midstream)'!$B$72,Model!AG$1,'Assumptions (NG Midstream)'!$B$75,Model!$J$258)</f>
        <v>-0.3631680424</v>
      </c>
      <c r="U268" s="188">
        <f>PPMT('Assumptions (NG Midstream)'!$B$72,Model!AH$1,'Assumptions (NG Midstream)'!$B$75,Model!$J$258)</f>
        <v>-0.3904056455</v>
      </c>
      <c r="V268" s="188">
        <f>PPMT('Assumptions (NG Midstream)'!$B$72,Model!AI$1,'Assumptions (NG Midstream)'!$B$75,Model!$J$258)</f>
        <v>-0.419686069</v>
      </c>
      <c r="W268" s="188">
        <f>PPMT('Assumptions (NG Midstream)'!$B$72,Model!AJ$1,'Assumptions (NG Midstream)'!$B$75,Model!$J$258)</f>
        <v>-0.4511625241</v>
      </c>
      <c r="X268" s="188">
        <f>PPMT('Assumptions (NG Midstream)'!$B$72,Model!AK$1,'Assumptions (NG Midstream)'!$B$75,Model!$J$258)</f>
        <v>-0.4849997134</v>
      </c>
      <c r="Y268" s="188"/>
      <c r="Z268" s="188"/>
      <c r="AA268" s="188"/>
      <c r="AB268" s="188"/>
      <c r="AC268" s="188"/>
      <c r="AD268" s="188"/>
      <c r="AE268" s="188"/>
      <c r="AF268" s="188"/>
      <c r="AG268" s="188"/>
      <c r="AH268" s="188"/>
    </row>
    <row r="269" ht="15.75" hidden="1" customHeight="1" outlineLevel="1">
      <c r="A269" s="187"/>
      <c r="B269" s="38"/>
      <c r="C269" s="188"/>
      <c r="D269" s="188"/>
      <c r="E269" s="188"/>
      <c r="F269" s="188"/>
      <c r="G269" s="188"/>
      <c r="H269" s="188"/>
      <c r="I269" s="188"/>
      <c r="J269" s="188"/>
      <c r="K269" s="188">
        <f>PPMT('Assumptions (NG Midstream)'!$B$72,Model!W$1,'Assumptions (NG Midstream)'!$B$75,Model!$K$258)</f>
        <v>-0.3232754207</v>
      </c>
      <c r="L269" s="188">
        <f>PPMT('Assumptions (NG Midstream)'!$B$72,Model!X$1,'Assumptions (NG Midstream)'!$B$75,Model!$K$258)</f>
        <v>-0.3475210772</v>
      </c>
      <c r="M269" s="188">
        <f>PPMT('Assumptions (NG Midstream)'!$B$72,Model!Y$1,'Assumptions (NG Midstream)'!$B$75,Model!$K$258)</f>
        <v>-0.373585158</v>
      </c>
      <c r="N269" s="188">
        <f>PPMT('Assumptions (NG Midstream)'!$B$72,Model!Z$1,'Assumptions (NG Midstream)'!$B$75,Model!$K$258)</f>
        <v>-0.4016040449</v>
      </c>
      <c r="O269" s="188">
        <f>PPMT('Assumptions (NG Midstream)'!$B$72,Model!AA$1,'Assumptions (NG Midstream)'!$B$75,Model!$K$258)</f>
        <v>-0.4317243482</v>
      </c>
      <c r="P269" s="188">
        <f>PPMT('Assumptions (NG Midstream)'!$B$72,Model!AB$1,'Assumptions (NG Midstream)'!$B$75,Model!$K$258)</f>
        <v>-0.4641036744</v>
      </c>
      <c r="Q269" s="188">
        <f>PPMT('Assumptions (NG Midstream)'!$B$72,Model!AC$1,'Assumptions (NG Midstream)'!$B$75,Model!$K$258)</f>
        <v>-0.4989114499</v>
      </c>
      <c r="R269" s="188">
        <f>PPMT('Assumptions (NG Midstream)'!$B$72,Model!AD$1,'Assumptions (NG Midstream)'!$B$75,Model!$K$258)</f>
        <v>-0.5363298087</v>
      </c>
      <c r="S269" s="188">
        <f>PPMT('Assumptions (NG Midstream)'!$B$72,Model!AE$1,'Assumptions (NG Midstream)'!$B$75,Model!$K$258)</f>
        <v>-0.5765545443</v>
      </c>
      <c r="T269" s="188">
        <f>PPMT('Assumptions (NG Midstream)'!$B$72,Model!AF$1,'Assumptions (NG Midstream)'!$B$75,Model!$K$258)</f>
        <v>-0.6197961352</v>
      </c>
      <c r="U269" s="188">
        <f>PPMT('Assumptions (NG Midstream)'!$B$72,Model!AG$1,'Assumptions (NG Midstream)'!$B$75,Model!$K$258)</f>
        <v>-0.6662808453</v>
      </c>
      <c r="V269" s="188">
        <f>PPMT('Assumptions (NG Midstream)'!$B$72,Model!AH$1,'Assumptions (NG Midstream)'!$B$75,Model!$K$258)</f>
        <v>-0.7162519087</v>
      </c>
      <c r="W269" s="188">
        <f>PPMT('Assumptions (NG Midstream)'!$B$72,Model!AI$1,'Assumptions (NG Midstream)'!$B$75,Model!$K$258)</f>
        <v>-0.7699708019</v>
      </c>
      <c r="X269" s="188">
        <f>PPMT('Assumptions (NG Midstream)'!$B$72,Model!AJ$1,'Assumptions (NG Midstream)'!$B$75,Model!$K$258)</f>
        <v>-0.827718612</v>
      </c>
      <c r="Y269" s="188">
        <f>PPMT('Assumptions (NG Midstream)'!$B$72,Model!AK$1,'Assumptions (NG Midstream)'!$B$75,Model!$K$258)</f>
        <v>-0.8897975079</v>
      </c>
      <c r="Z269" s="188"/>
      <c r="AA269" s="188"/>
      <c r="AB269" s="188"/>
      <c r="AC269" s="188"/>
      <c r="AD269" s="188"/>
      <c r="AE269" s="188"/>
      <c r="AF269" s="188"/>
      <c r="AG269" s="188"/>
      <c r="AH269" s="188"/>
      <c r="AI269" s="188"/>
    </row>
    <row r="270" ht="15.75" hidden="1" customHeight="1" outlineLevel="1">
      <c r="A270" s="187"/>
      <c r="B270" s="38"/>
      <c r="C270" s="188"/>
      <c r="D270" s="188"/>
      <c r="E270" s="188"/>
      <c r="F270" s="188"/>
      <c r="G270" s="188"/>
      <c r="H270" s="188"/>
      <c r="I270" s="188"/>
      <c r="J270" s="188"/>
      <c r="K270" s="188"/>
      <c r="L270" s="188">
        <f>PPMT('Assumptions (NG Midstream)'!$B$72,Model!W$1,'Assumptions (NG Midstream)'!$B$75,Model!$L$258)</f>
        <v>-0.4154653709</v>
      </c>
      <c r="M270" s="188">
        <f>PPMT('Assumptions (NG Midstream)'!$B$72,Model!X$1,'Assumptions (NG Midstream)'!$B$75,Model!$L$258)</f>
        <v>-0.4466252738</v>
      </c>
      <c r="N270" s="188">
        <f>PPMT('Assumptions (NG Midstream)'!$B$72,Model!Y$1,'Assumptions (NG Midstream)'!$B$75,Model!$L$258)</f>
        <v>-0.4801221693</v>
      </c>
      <c r="O270" s="188">
        <f>PPMT('Assumptions (NG Midstream)'!$B$72,Model!Z$1,'Assumptions (NG Midstream)'!$B$75,Model!$L$258)</f>
        <v>-0.516131332</v>
      </c>
      <c r="P270" s="188">
        <f>PPMT('Assumptions (NG Midstream)'!$B$72,Model!AA$1,'Assumptions (NG Midstream)'!$B$75,Model!$L$258)</f>
        <v>-0.5548411819</v>
      </c>
      <c r="Q270" s="188">
        <f>PPMT('Assumptions (NG Midstream)'!$B$72,Model!AB$1,'Assumptions (NG Midstream)'!$B$75,Model!$L$258)</f>
        <v>-0.5964542705</v>
      </c>
      <c r="R270" s="188">
        <f>PPMT('Assumptions (NG Midstream)'!$B$72,Model!AC$1,'Assumptions (NG Midstream)'!$B$75,Model!$L$258)</f>
        <v>-0.6411883408</v>
      </c>
      <c r="S270" s="188">
        <f>PPMT('Assumptions (NG Midstream)'!$B$72,Model!AD$1,'Assumptions (NG Midstream)'!$B$75,Model!$L$258)</f>
        <v>-0.6892774664</v>
      </c>
      <c r="T270" s="188">
        <f>PPMT('Assumptions (NG Midstream)'!$B$72,Model!AE$1,'Assumptions (NG Midstream)'!$B$75,Model!$L$258)</f>
        <v>-0.7409732764</v>
      </c>
      <c r="U270" s="188">
        <f>PPMT('Assumptions (NG Midstream)'!$B$72,Model!AF$1,'Assumptions (NG Midstream)'!$B$75,Model!$L$258)</f>
        <v>-0.7965462721</v>
      </c>
      <c r="V270" s="188">
        <f>PPMT('Assumptions (NG Midstream)'!$B$72,Model!AG$1,'Assumptions (NG Midstream)'!$B$75,Model!$L$258)</f>
        <v>-0.8562872425</v>
      </c>
      <c r="W270" s="188">
        <f>PPMT('Assumptions (NG Midstream)'!$B$72,Model!AH$1,'Assumptions (NG Midstream)'!$B$75,Model!$L$258)</f>
        <v>-0.9205087857</v>
      </c>
      <c r="X270" s="188">
        <f>PPMT('Assumptions (NG Midstream)'!$B$72,Model!AI$1,'Assumptions (NG Midstream)'!$B$75,Model!$L$258)</f>
        <v>-0.9895469446</v>
      </c>
      <c r="Y270" s="188">
        <f>PPMT('Assumptions (NG Midstream)'!$B$72,Model!AJ$1,'Assumptions (NG Midstream)'!$B$75,Model!$L$258)</f>
        <v>-1.063762965</v>
      </c>
      <c r="Z270" s="188">
        <f>PPMT('Assumptions (NG Midstream)'!$B$72,Model!AK$1,'Assumptions (NG Midstream)'!$B$75,Model!$L$258)</f>
        <v>-1.143545188</v>
      </c>
      <c r="AA270" s="188"/>
      <c r="AB270" s="188"/>
      <c r="AC270" s="188"/>
      <c r="AD270" s="188"/>
      <c r="AE270" s="188"/>
      <c r="AF270" s="188"/>
      <c r="AG270" s="188"/>
      <c r="AH270" s="188"/>
      <c r="AI270" s="188"/>
      <c r="AJ270" s="188"/>
    </row>
    <row r="271" ht="15.75" hidden="1" customHeight="1" outlineLevel="1">
      <c r="A271" s="187"/>
      <c r="B271" s="38"/>
      <c r="C271" s="188"/>
      <c r="D271" s="188"/>
      <c r="E271" s="188"/>
      <c r="F271" s="188"/>
      <c r="G271" s="188"/>
      <c r="H271" s="188"/>
      <c r="I271" s="188"/>
      <c r="J271" s="188"/>
      <c r="K271" s="188"/>
      <c r="L271" s="188"/>
      <c r="M271" s="188">
        <f>PPMT('Assumptions (NG Midstream)'!$B$72,Model!W$1,'Assumptions (NG Midstream)'!$B$75,Model!$M$258)</f>
        <v>-0.1376229773</v>
      </c>
      <c r="N271" s="188">
        <f>PPMT('Assumptions (NG Midstream)'!$B$72,Model!X$1,'Assumptions (NG Midstream)'!$B$75,Model!$M$258)</f>
        <v>-0.1479447006</v>
      </c>
      <c r="O271" s="188">
        <f>PPMT('Assumptions (NG Midstream)'!$B$72,Model!Y$1,'Assumptions (NG Midstream)'!$B$75,Model!$M$258)</f>
        <v>-0.1590405532</v>
      </c>
      <c r="P271" s="188">
        <f>PPMT('Assumptions (NG Midstream)'!$B$72,Model!Z$1,'Assumptions (NG Midstream)'!$B$75,Model!$M$258)</f>
        <v>-0.1709685946</v>
      </c>
      <c r="Q271" s="188">
        <f>PPMT('Assumptions (NG Midstream)'!$B$72,Model!AA$1,'Assumptions (NG Midstream)'!$B$75,Model!$M$258)</f>
        <v>-0.1837912392</v>
      </c>
      <c r="R271" s="188">
        <f>PPMT('Assumptions (NG Midstream)'!$B$72,Model!AB$1,'Assumptions (NG Midstream)'!$B$75,Model!$M$258)</f>
        <v>-0.1975755822</v>
      </c>
      <c r="S271" s="188">
        <f>PPMT('Assumptions (NG Midstream)'!$B$72,Model!AC$1,'Assumptions (NG Midstream)'!$B$75,Model!$M$258)</f>
        <v>-0.2123937508</v>
      </c>
      <c r="T271" s="188">
        <f>PPMT('Assumptions (NG Midstream)'!$B$72,Model!AD$1,'Assumptions (NG Midstream)'!$B$75,Model!$M$258)</f>
        <v>-0.2283232822</v>
      </c>
      <c r="U271" s="188">
        <f>PPMT('Assumptions (NG Midstream)'!$B$72,Model!AE$1,'Assumptions (NG Midstream)'!$B$75,Model!$M$258)</f>
        <v>-0.2454475283</v>
      </c>
      <c r="V271" s="188">
        <f>PPMT('Assumptions (NG Midstream)'!$B$72,Model!AF$1,'Assumptions (NG Midstream)'!$B$75,Model!$M$258)</f>
        <v>-0.2638560929</v>
      </c>
      <c r="W271" s="188">
        <f>PPMT('Assumptions (NG Midstream)'!$B$72,Model!AG$1,'Assumptions (NG Midstream)'!$B$75,Model!$M$258)</f>
        <v>-0.2836452999</v>
      </c>
      <c r="X271" s="188">
        <f>PPMT('Assumptions (NG Midstream)'!$B$72,Model!AH$1,'Assumptions (NG Midstream)'!$B$75,Model!$M$258)</f>
        <v>-0.3049186974</v>
      </c>
      <c r="Y271" s="188">
        <f>PPMT('Assumptions (NG Midstream)'!$B$72,Model!AI$1,'Assumptions (NG Midstream)'!$B$75,Model!$M$258)</f>
        <v>-0.3277875997</v>
      </c>
      <c r="Z271" s="188">
        <f>PPMT('Assumptions (NG Midstream)'!$B$72,Model!AJ$1,'Assumptions (NG Midstream)'!$B$75,Model!$M$258)</f>
        <v>-0.3523716697</v>
      </c>
      <c r="AA271" s="188">
        <f>PPMT('Assumptions (NG Midstream)'!$B$72,Model!AK$1,'Assumptions (NG Midstream)'!$B$75,Model!$M$258)</f>
        <v>-0.3787995449</v>
      </c>
      <c r="AB271" s="188"/>
      <c r="AC271" s="188"/>
      <c r="AD271" s="188"/>
      <c r="AE271" s="188"/>
      <c r="AF271" s="188"/>
      <c r="AG271" s="188"/>
      <c r="AH271" s="188"/>
      <c r="AI271" s="188"/>
      <c r="AJ271" s="188"/>
      <c r="AK271" s="188"/>
    </row>
    <row r="272" ht="15.75" hidden="1" customHeight="1" outlineLevel="1">
      <c r="A272" s="187"/>
      <c r="B272" s="38"/>
      <c r="C272" s="188"/>
      <c r="D272" s="188"/>
      <c r="E272" s="188"/>
      <c r="F272" s="188"/>
      <c r="G272" s="188"/>
      <c r="H272" s="188"/>
      <c r="I272" s="188"/>
      <c r="J272" s="188"/>
      <c r="K272" s="188"/>
      <c r="L272" s="188"/>
      <c r="M272" s="188"/>
      <c r="N272" s="188">
        <f>PPMT('Assumptions (NG Midstream)'!$B$72,Model!W$1,'Assumptions (NG Midstream)'!$B$75,Model!$N$258)</f>
        <v>-0.3920133388</v>
      </c>
      <c r="O272" s="188">
        <f>PPMT('Assumptions (NG Midstream)'!$B$72,Model!X$1,'Assumptions (NG Midstream)'!$B$75,Model!$N$258)</f>
        <v>-0.4214143392</v>
      </c>
      <c r="P272" s="188">
        <f>PPMT('Assumptions (NG Midstream)'!$B$72,Model!Y$1,'Assumptions (NG Midstream)'!$B$75,Model!$N$258)</f>
        <v>-0.4530204146</v>
      </c>
      <c r="Q272" s="188">
        <f>PPMT('Assumptions (NG Midstream)'!$B$72,Model!Z$1,'Assumptions (NG Midstream)'!$B$75,Model!$N$258)</f>
        <v>-0.4869969457</v>
      </c>
      <c r="R272" s="188">
        <f>PPMT('Assumptions (NG Midstream)'!$B$72,Model!AA$1,'Assumptions (NG Midstream)'!$B$75,Model!$N$258)</f>
        <v>-0.5235217167</v>
      </c>
      <c r="S272" s="188">
        <f>PPMT('Assumptions (NG Midstream)'!$B$72,Model!AB$1,'Assumptions (NG Midstream)'!$B$75,Model!$N$258)</f>
        <v>-0.5627858454</v>
      </c>
      <c r="T272" s="188">
        <f>PPMT('Assumptions (NG Midstream)'!$B$72,Model!AC$1,'Assumptions (NG Midstream)'!$B$75,Model!$N$258)</f>
        <v>-0.6049947838</v>
      </c>
      <c r="U272" s="188">
        <f>PPMT('Assumptions (NG Midstream)'!$B$72,Model!AD$1,'Assumptions (NG Midstream)'!$B$75,Model!$N$258)</f>
        <v>-0.6503693926</v>
      </c>
      <c r="V272" s="188">
        <f>PPMT('Assumptions (NG Midstream)'!$B$72,Model!AE$1,'Assumptions (NG Midstream)'!$B$75,Model!$N$258)</f>
        <v>-0.699147097</v>
      </c>
      <c r="W272" s="188">
        <f>PPMT('Assumptions (NG Midstream)'!$B$72,Model!AF$1,'Assumptions (NG Midstream)'!$B$75,Model!$N$258)</f>
        <v>-0.7515831293</v>
      </c>
      <c r="X272" s="188">
        <f>PPMT('Assumptions (NG Midstream)'!$B$72,Model!AG$1,'Assumptions (NG Midstream)'!$B$75,Model!$N$258)</f>
        <v>-0.807951864</v>
      </c>
      <c r="Y272" s="188">
        <f>PPMT('Assumptions (NG Midstream)'!$B$72,Model!AH$1,'Assumptions (NG Midstream)'!$B$75,Model!$N$258)</f>
        <v>-0.8685482538</v>
      </c>
      <c r="Z272" s="188">
        <f>PPMT('Assumptions (NG Midstream)'!$B$72,Model!AI$1,'Assumptions (NG Midstream)'!$B$75,Model!$N$258)</f>
        <v>-0.9336893729</v>
      </c>
      <c r="AA272" s="188">
        <f>PPMT('Assumptions (NG Midstream)'!$B$72,Model!AJ$1,'Assumptions (NG Midstream)'!$B$75,Model!$N$258)</f>
        <v>-1.003716076</v>
      </c>
      <c r="AB272" s="188">
        <f>PPMT('Assumptions (NG Midstream)'!$B$72,Model!AK$1,'Assumptions (NG Midstream)'!$B$75,Model!$N$258)</f>
        <v>-1.078994782</v>
      </c>
      <c r="AC272" s="188"/>
      <c r="AD272" s="188"/>
      <c r="AE272" s="188"/>
      <c r="AF272" s="188"/>
      <c r="AG272" s="188"/>
      <c r="AH272" s="188"/>
      <c r="AI272" s="188"/>
      <c r="AJ272" s="188"/>
      <c r="AK272" s="188"/>
      <c r="AL272" s="188"/>
    </row>
    <row r="273" ht="15.75" hidden="1" customHeight="1" outlineLevel="1">
      <c r="A273" s="187"/>
      <c r="B273" s="38"/>
      <c r="C273" s="188"/>
      <c r="D273" s="188"/>
      <c r="E273" s="188"/>
      <c r="F273" s="188"/>
      <c r="G273" s="188"/>
      <c r="H273" s="188"/>
      <c r="I273" s="188"/>
      <c r="J273" s="188"/>
      <c r="K273" s="188"/>
      <c r="L273" s="188"/>
      <c r="M273" s="188"/>
      <c r="N273" s="188"/>
      <c r="O273" s="188">
        <f>PPMT('Assumptions (NG Midstream)'!$B$72,Model!W$1,'Assumptions (NG Midstream)'!$B$75,Model!$O$258)</f>
        <v>-0.1426862781</v>
      </c>
      <c r="P273" s="188">
        <f>PPMT('Assumptions (NG Midstream)'!$B$72,Model!X$1,'Assumptions (NG Midstream)'!$B$75,Model!$O$258)</f>
        <v>-0.1533877489</v>
      </c>
      <c r="Q273" s="188">
        <f>PPMT('Assumptions (NG Midstream)'!$B$72,Model!Y$1,'Assumptions (NG Midstream)'!$B$75,Model!$O$258)</f>
        <v>-0.1648918301</v>
      </c>
      <c r="R273" s="188">
        <f>PPMT('Assumptions (NG Midstream)'!$B$72,Model!Z$1,'Assumptions (NG Midstream)'!$B$75,Model!$O$258)</f>
        <v>-0.1772587174</v>
      </c>
      <c r="S273" s="188">
        <f>PPMT('Assumptions (NG Midstream)'!$B$72,Model!AA$1,'Assumptions (NG Midstream)'!$B$75,Model!$O$258)</f>
        <v>-0.1905531212</v>
      </c>
      <c r="T273" s="188">
        <f>PPMT('Assumptions (NG Midstream)'!$B$72,Model!AB$1,'Assumptions (NG Midstream)'!$B$75,Model!$O$258)</f>
        <v>-0.2048446053</v>
      </c>
      <c r="U273" s="188">
        <f>PPMT('Assumptions (NG Midstream)'!$B$72,Model!AC$1,'Assumptions (NG Midstream)'!$B$75,Model!$O$258)</f>
        <v>-0.2202079507</v>
      </c>
      <c r="V273" s="188">
        <f>PPMT('Assumptions (NG Midstream)'!$B$72,Model!AD$1,'Assumptions (NG Midstream)'!$B$75,Model!$O$258)</f>
        <v>-0.236723547</v>
      </c>
      <c r="W273" s="188">
        <f>PPMT('Assumptions (NG Midstream)'!$B$72,Model!AE$1,'Assumptions (NG Midstream)'!$B$75,Model!$O$258)</f>
        <v>-0.254477813</v>
      </c>
      <c r="X273" s="188">
        <f>PPMT('Assumptions (NG Midstream)'!$B$72,Model!AF$1,'Assumptions (NG Midstream)'!$B$75,Model!$O$258)</f>
        <v>-0.273563649</v>
      </c>
      <c r="Y273" s="188">
        <f>PPMT('Assumptions (NG Midstream)'!$B$72,Model!AG$1,'Assumptions (NG Midstream)'!$B$75,Model!$O$258)</f>
        <v>-0.2940809226</v>
      </c>
      <c r="Z273" s="188">
        <f>PPMT('Assumptions (NG Midstream)'!$B$72,Model!AH$1,'Assumptions (NG Midstream)'!$B$75,Model!$O$258)</f>
        <v>-0.3161369918</v>
      </c>
      <c r="AA273" s="188">
        <f>PPMT('Assumptions (NG Midstream)'!$B$72,Model!AI$1,'Assumptions (NG Midstream)'!$B$75,Model!$O$258)</f>
        <v>-0.3398472662</v>
      </c>
      <c r="AB273" s="188">
        <f>PPMT('Assumptions (NG Midstream)'!$B$72,Model!AJ$1,'Assumptions (NG Midstream)'!$B$75,Model!$O$258)</f>
        <v>-0.3653358112</v>
      </c>
      <c r="AC273" s="188">
        <f>PPMT('Assumptions (NG Midstream)'!$B$72,Model!AK$1,'Assumptions (NG Midstream)'!$B$75,Model!$O$258)</f>
        <v>-0.392735997</v>
      </c>
      <c r="AD273" s="188"/>
      <c r="AE273" s="188"/>
      <c r="AF273" s="188"/>
      <c r="AG273" s="188"/>
      <c r="AH273" s="188"/>
      <c r="AI273" s="188"/>
      <c r="AJ273" s="188"/>
      <c r="AK273" s="188"/>
      <c r="AL273" s="188"/>
      <c r="AM273" s="188"/>
    </row>
    <row r="274" ht="15.75" hidden="1" customHeight="1" outlineLevel="1">
      <c r="A274" s="187"/>
      <c r="B274" s="38"/>
      <c r="C274" s="188"/>
      <c r="D274" s="188"/>
      <c r="E274" s="188"/>
      <c r="F274" s="188"/>
      <c r="G274" s="188"/>
      <c r="H274" s="188"/>
      <c r="I274" s="188"/>
      <c r="J274" s="188"/>
      <c r="K274" s="188"/>
      <c r="L274" s="188"/>
      <c r="M274" s="188"/>
      <c r="N274" s="188"/>
      <c r="O274" s="188"/>
      <c r="P274" s="188">
        <f>PPMT('Assumptions (NG Midstream)'!$B$72,Model!W$1,'Assumptions (NG Midstream)'!$B$75,Model!$P$258)</f>
        <v>-0.180456683</v>
      </c>
      <c r="Q274" s="188">
        <f>PPMT('Assumptions (NG Midstream)'!$B$72,Model!X$1,'Assumptions (NG Midstream)'!$B$75,Model!$P$258)</f>
        <v>-0.1939909342</v>
      </c>
      <c r="R274" s="188">
        <f>PPMT('Assumptions (NG Midstream)'!$B$72,Model!Y$1,'Assumptions (NG Midstream)'!$B$75,Model!$P$258)</f>
        <v>-0.2085402542</v>
      </c>
      <c r="S274" s="188">
        <f>PPMT('Assumptions (NG Midstream)'!$B$72,Model!Z$1,'Assumptions (NG Midstream)'!$B$75,Model!$P$258)</f>
        <v>-0.2241807733</v>
      </c>
      <c r="T274" s="188">
        <f>PPMT('Assumptions (NG Midstream)'!$B$72,Model!AA$1,'Assumptions (NG Midstream)'!$B$75,Model!$P$258)</f>
        <v>-0.2409943313</v>
      </c>
      <c r="U274" s="188">
        <f>PPMT('Assumptions (NG Midstream)'!$B$72,Model!AB$1,'Assumptions (NG Midstream)'!$B$75,Model!$P$258)</f>
        <v>-0.2590689062</v>
      </c>
      <c r="V274" s="188">
        <f>PPMT('Assumptions (NG Midstream)'!$B$72,Model!AC$1,'Assumptions (NG Midstream)'!$B$75,Model!$P$258)</f>
        <v>-0.2784990741</v>
      </c>
      <c r="W274" s="188">
        <f>PPMT('Assumptions (NG Midstream)'!$B$72,Model!AD$1,'Assumptions (NG Midstream)'!$B$75,Model!$P$258)</f>
        <v>-0.2993865047</v>
      </c>
      <c r="X274" s="188">
        <f>PPMT('Assumptions (NG Midstream)'!$B$72,Model!AE$1,'Assumptions (NG Midstream)'!$B$75,Model!$P$258)</f>
        <v>-0.3218404925</v>
      </c>
      <c r="Y274" s="188">
        <f>PPMT('Assumptions (NG Midstream)'!$B$72,Model!AF$1,'Assumptions (NG Midstream)'!$B$75,Model!$P$258)</f>
        <v>-0.3459785295</v>
      </c>
      <c r="Z274" s="188">
        <f>PPMT('Assumptions (NG Midstream)'!$B$72,Model!AG$1,'Assumptions (NG Midstream)'!$B$75,Model!$P$258)</f>
        <v>-0.3719269192</v>
      </c>
      <c r="AA274" s="188">
        <f>PPMT('Assumptions (NG Midstream)'!$B$72,Model!AH$1,'Assumptions (NG Midstream)'!$B$75,Model!$P$258)</f>
        <v>-0.3998214381</v>
      </c>
      <c r="AB274" s="188">
        <f>PPMT('Assumptions (NG Midstream)'!$B$72,Model!AI$1,'Assumptions (NG Midstream)'!$B$75,Model!$P$258)</f>
        <v>-0.429808046</v>
      </c>
      <c r="AC274" s="188">
        <f>PPMT('Assumptions (NG Midstream)'!$B$72,Model!AJ$1,'Assumptions (NG Midstream)'!$B$75,Model!$P$258)</f>
        <v>-0.4620436494</v>
      </c>
      <c r="AD274" s="188">
        <f>PPMT('Assumptions (NG Midstream)'!$B$72,Model!AK$1,'Assumptions (NG Midstream)'!$B$75,Model!$P$258)</f>
        <v>-0.4966969231</v>
      </c>
      <c r="AE274" s="188"/>
      <c r="AF274" s="188"/>
      <c r="AG274" s="188"/>
      <c r="AH274" s="188"/>
      <c r="AI274" s="188"/>
      <c r="AJ274" s="188"/>
      <c r="AK274" s="188"/>
      <c r="AL274" s="188"/>
      <c r="AM274" s="188"/>
      <c r="AN274" s="188"/>
    </row>
    <row r="275" ht="15.75" hidden="1" customHeight="1" outlineLevel="1">
      <c r="A275" s="187"/>
      <c r="B275" s="38"/>
      <c r="C275" s="188"/>
      <c r="D275" s="188"/>
      <c r="E275" s="188"/>
      <c r="F275" s="188"/>
      <c r="G275" s="188"/>
      <c r="H275" s="188"/>
      <c r="I275" s="188"/>
      <c r="J275" s="188"/>
      <c r="K275" s="188"/>
      <c r="L275" s="188"/>
      <c r="M275" s="188"/>
      <c r="N275" s="188"/>
      <c r="O275" s="188"/>
      <c r="P275" s="188"/>
      <c r="Q275" s="188">
        <f>PPMT('Assumptions (NG Midstream)'!$B$72,Model!W$1,'Assumptions (NG Midstream)'!$B$75,Model!$Q$258)</f>
        <v>-0.1212981891</v>
      </c>
      <c r="R275" s="188">
        <f>PPMT('Assumptions (NG Midstream)'!$B$72,Model!X$1,'Assumptions (NG Midstream)'!$B$75,Model!$Q$258)</f>
        <v>-0.1303955533</v>
      </c>
      <c r="S275" s="188">
        <f>PPMT('Assumptions (NG Midstream)'!$B$72,Model!Y$1,'Assumptions (NG Midstream)'!$B$75,Model!$Q$258)</f>
        <v>-0.1401752198</v>
      </c>
      <c r="T275" s="188">
        <f>PPMT('Assumptions (NG Midstream)'!$B$72,Model!Z$1,'Assumptions (NG Midstream)'!$B$75,Model!$Q$258)</f>
        <v>-0.1506883613</v>
      </c>
      <c r="U275" s="188">
        <f>PPMT('Assumptions (NG Midstream)'!$B$72,Model!AA$1,'Assumptions (NG Midstream)'!$B$75,Model!$Q$258)</f>
        <v>-0.1619899884</v>
      </c>
      <c r="V275" s="188">
        <f>PPMT('Assumptions (NG Midstream)'!$B$72,Model!AB$1,'Assumptions (NG Midstream)'!$B$75,Model!$Q$258)</f>
        <v>-0.1741392375</v>
      </c>
      <c r="W275" s="188">
        <f>PPMT('Assumptions (NG Midstream)'!$B$72,Model!AC$1,'Assumptions (NG Midstream)'!$B$75,Model!$Q$258)</f>
        <v>-0.1871996803</v>
      </c>
      <c r="X275" s="188">
        <f>PPMT('Assumptions (NG Midstream)'!$B$72,Model!AD$1,'Assumptions (NG Midstream)'!$B$75,Model!$Q$258)</f>
        <v>-0.2012396564</v>
      </c>
      <c r="Y275" s="188">
        <f>PPMT('Assumptions (NG Midstream)'!$B$72,Model!AE$1,'Assumptions (NG Midstream)'!$B$75,Model!$Q$258)</f>
        <v>-0.2163326306</v>
      </c>
      <c r="Z275" s="188">
        <f>PPMT('Assumptions (NG Midstream)'!$B$72,Model!AF$1,'Assumptions (NG Midstream)'!$B$75,Model!$Q$258)</f>
        <v>-0.2325575779</v>
      </c>
      <c r="AA275" s="188">
        <f>PPMT('Assumptions (NG Midstream)'!$B$72,Model!AG$1,'Assumptions (NG Midstream)'!$B$75,Model!$Q$258)</f>
        <v>-0.2499993962</v>
      </c>
      <c r="AB275" s="188">
        <f>PPMT('Assumptions (NG Midstream)'!$B$72,Model!AH$1,'Assumptions (NG Midstream)'!$B$75,Model!$Q$258)</f>
        <v>-0.268749351</v>
      </c>
      <c r="AC275" s="188">
        <f>PPMT('Assumptions (NG Midstream)'!$B$72,Model!AI$1,'Assumptions (NG Midstream)'!$B$75,Model!$Q$258)</f>
        <v>-0.2889055523</v>
      </c>
      <c r="AD275" s="188">
        <f>PPMT('Assumptions (NG Midstream)'!$B$72,Model!AJ$1,'Assumptions (NG Midstream)'!$B$75,Model!$Q$258)</f>
        <v>-0.3105734687</v>
      </c>
      <c r="AE275" s="188">
        <f>PPMT('Assumptions (NG Midstream)'!$B$72,Model!AK$1,'Assumptions (NG Midstream)'!$B$75,Model!$Q$258)</f>
        <v>-0.3338664788</v>
      </c>
      <c r="AF275" s="188"/>
      <c r="AG275" s="188"/>
      <c r="AH275" s="188"/>
      <c r="AI275" s="188"/>
      <c r="AJ275" s="188"/>
      <c r="AK275" s="188"/>
      <c r="AL275" s="188"/>
      <c r="AM275" s="188"/>
      <c r="AN275" s="188"/>
      <c r="AO275" s="188"/>
    </row>
    <row r="276" ht="15.75" hidden="1" customHeight="1" outlineLevel="1">
      <c r="A276" s="187"/>
      <c r="B276" s="38"/>
      <c r="C276" s="188"/>
      <c r="D276" s="188"/>
      <c r="E276" s="188"/>
      <c r="F276" s="188"/>
      <c r="G276" s="188"/>
      <c r="H276" s="188"/>
      <c r="I276" s="188"/>
      <c r="J276" s="188"/>
      <c r="K276" s="188"/>
      <c r="L276" s="188"/>
      <c r="M276" s="188"/>
      <c r="N276" s="188"/>
      <c r="O276" s="188"/>
      <c r="P276" s="188"/>
      <c r="Q276" s="188"/>
      <c r="R276" s="188">
        <f>PPMT('Assumptions (NG Midstream)'!$B$72,Model!W$1,'Assumptions (NG Midstream)'!$B$75,Model!$R$258)</f>
        <v>-0.1746594105</v>
      </c>
      <c r="S276" s="188">
        <f>PPMT('Assumptions (NG Midstream)'!$B$72,Model!X$1,'Assumptions (NG Midstream)'!$B$75,Model!$R$258)</f>
        <v>-0.1877588663</v>
      </c>
      <c r="T276" s="188">
        <f>PPMT('Assumptions (NG Midstream)'!$B$72,Model!Y$1,'Assumptions (NG Midstream)'!$B$75,Model!$R$258)</f>
        <v>-0.2018407813</v>
      </c>
      <c r="U276" s="188">
        <f>PPMT('Assumptions (NG Midstream)'!$B$72,Model!Z$1,'Assumptions (NG Midstream)'!$B$75,Model!$R$258)</f>
        <v>-0.2169788399</v>
      </c>
      <c r="V276" s="188">
        <f>PPMT('Assumptions (NG Midstream)'!$B$72,Model!AA$1,'Assumptions (NG Midstream)'!$B$75,Model!$R$258)</f>
        <v>-0.2332522529</v>
      </c>
      <c r="W276" s="188">
        <f>PPMT('Assumptions (NG Midstream)'!$B$72,Model!AB$1,'Assumptions (NG Midstream)'!$B$75,Model!$R$258)</f>
        <v>-0.2507461718</v>
      </c>
      <c r="X276" s="188">
        <f>PPMT('Assumptions (NG Midstream)'!$B$72,Model!AC$1,'Assumptions (NG Midstream)'!$B$75,Model!$R$258)</f>
        <v>-0.2695521347</v>
      </c>
      <c r="Y276" s="188">
        <f>PPMT('Assumptions (NG Midstream)'!$B$72,Model!AD$1,'Assumptions (NG Midstream)'!$B$75,Model!$R$258)</f>
        <v>-0.2897685448</v>
      </c>
      <c r="Z276" s="188">
        <f>PPMT('Assumptions (NG Midstream)'!$B$72,Model!AE$1,'Assumptions (NG Midstream)'!$B$75,Model!$R$258)</f>
        <v>-0.3115011857</v>
      </c>
      <c r="AA276" s="188">
        <f>PPMT('Assumptions (NG Midstream)'!$B$72,Model!AF$1,'Assumptions (NG Midstream)'!$B$75,Model!$R$258)</f>
        <v>-0.3348637746</v>
      </c>
      <c r="AB276" s="188">
        <f>PPMT('Assumptions (NG Midstream)'!$B$72,Model!AG$1,'Assumptions (NG Midstream)'!$B$75,Model!$R$258)</f>
        <v>-0.3599785577</v>
      </c>
      <c r="AC276" s="188">
        <f>PPMT('Assumptions (NG Midstream)'!$B$72,Model!AH$1,'Assumptions (NG Midstream)'!$B$75,Model!$R$258)</f>
        <v>-0.3869769495</v>
      </c>
      <c r="AD276" s="188">
        <f>PPMT('Assumptions (NG Midstream)'!$B$72,Model!AI$1,'Assumptions (NG Midstream)'!$B$75,Model!$R$258)</f>
        <v>-0.4160002207</v>
      </c>
      <c r="AE276" s="188">
        <f>PPMT('Assumptions (NG Midstream)'!$B$72,Model!AJ$1,'Assumptions (NG Midstream)'!$B$75,Model!$R$258)</f>
        <v>-0.4472002373</v>
      </c>
      <c r="AF276" s="188">
        <f>PPMT('Assumptions (NG Midstream)'!$B$72,Model!AK$1,'Assumptions (NG Midstream)'!$B$75,Model!$R$258)</f>
        <v>-0.4807402551</v>
      </c>
      <c r="AG276" s="188"/>
      <c r="AH276" s="188"/>
      <c r="AI276" s="188"/>
      <c r="AJ276" s="188"/>
      <c r="AK276" s="188"/>
      <c r="AL276" s="188"/>
      <c r="AM276" s="188"/>
      <c r="AN276" s="188"/>
      <c r="AO276" s="188"/>
      <c r="AP276" s="188"/>
    </row>
    <row r="277" ht="15.75" hidden="1" customHeight="1" outlineLevel="1">
      <c r="A277" s="187"/>
      <c r="B277" s="38"/>
      <c r="C277" s="188"/>
      <c r="D277" s="188"/>
      <c r="E277" s="188"/>
      <c r="F277" s="188"/>
      <c r="G277" s="188"/>
      <c r="H277" s="188"/>
      <c r="I277" s="188"/>
      <c r="J277" s="188"/>
      <c r="K277" s="188"/>
      <c r="L277" s="188"/>
      <c r="M277" s="188"/>
      <c r="N277" s="188"/>
      <c r="O277" s="188"/>
      <c r="P277" s="188"/>
      <c r="Q277" s="188"/>
      <c r="R277" s="188"/>
      <c r="S277" s="188">
        <f>PPMT('Assumptions (NG Midstream)'!$B$72,Model!W$1,'Assumptions (NG Midstream)'!$B$75,Model!$S$258)</f>
        <v>-0.1611829055</v>
      </c>
      <c r="T277" s="188">
        <f>PPMT('Assumptions (NG Midstream)'!$B$72,Model!X$1,'Assumptions (NG Midstream)'!$B$75,Model!$S$258)</f>
        <v>-0.1732716234</v>
      </c>
      <c r="U277" s="188">
        <f>PPMT('Assumptions (NG Midstream)'!$B$72,Model!Y$1,'Assumptions (NG Midstream)'!$B$75,Model!$S$258)</f>
        <v>-0.1862669951</v>
      </c>
      <c r="V277" s="188">
        <f>PPMT('Assumptions (NG Midstream)'!$B$72,Model!Z$1,'Assumptions (NG Midstream)'!$B$75,Model!$S$258)</f>
        <v>-0.2002370198</v>
      </c>
      <c r="W277" s="188">
        <f>PPMT('Assumptions (NG Midstream)'!$B$72,Model!AA$1,'Assumptions (NG Midstream)'!$B$75,Model!$S$258)</f>
        <v>-0.2152547962</v>
      </c>
      <c r="X277" s="188">
        <f>PPMT('Assumptions (NG Midstream)'!$B$72,Model!AB$1,'Assumptions (NG Midstream)'!$B$75,Model!$S$258)</f>
        <v>-0.231398906</v>
      </c>
      <c r="Y277" s="188">
        <f>PPMT('Assumptions (NG Midstream)'!$B$72,Model!AC$1,'Assumptions (NG Midstream)'!$B$75,Model!$S$258)</f>
        <v>-0.2487538239</v>
      </c>
      <c r="Z277" s="188">
        <f>PPMT('Assumptions (NG Midstream)'!$B$72,Model!AD$1,'Assumptions (NG Midstream)'!$B$75,Model!$S$258)</f>
        <v>-0.2674103607</v>
      </c>
      <c r="AA277" s="188">
        <f>PPMT('Assumptions (NG Midstream)'!$B$72,Model!AE$1,'Assumptions (NG Midstream)'!$B$75,Model!$S$258)</f>
        <v>-0.2874661377</v>
      </c>
      <c r="AB277" s="188">
        <f>PPMT('Assumptions (NG Midstream)'!$B$72,Model!AF$1,'Assumptions (NG Midstream)'!$B$75,Model!$S$258)</f>
        <v>-0.3090260981</v>
      </c>
      <c r="AC277" s="188">
        <f>PPMT('Assumptions (NG Midstream)'!$B$72,Model!AG$1,'Assumptions (NG Midstream)'!$B$75,Model!$S$258)</f>
        <v>-0.3322030554</v>
      </c>
      <c r="AD277" s="188">
        <f>PPMT('Assumptions (NG Midstream)'!$B$72,Model!AH$1,'Assumptions (NG Midstream)'!$B$75,Model!$S$258)</f>
        <v>-0.3571182846</v>
      </c>
      <c r="AE277" s="188">
        <f>PPMT('Assumptions (NG Midstream)'!$B$72,Model!AI$1,'Assumptions (NG Midstream)'!$B$75,Model!$S$258)</f>
        <v>-0.3839021559</v>
      </c>
      <c r="AF277" s="188">
        <f>PPMT('Assumptions (NG Midstream)'!$B$72,Model!AJ$1,'Assumptions (NG Midstream)'!$B$75,Model!$S$258)</f>
        <v>-0.4126948176</v>
      </c>
      <c r="AG277" s="188">
        <f>PPMT('Assumptions (NG Midstream)'!$B$72,Model!AK$1,'Assumptions (NG Midstream)'!$B$75,Model!$S$258)</f>
        <v>-0.443646929</v>
      </c>
      <c r="AH277" s="188"/>
      <c r="AI277" s="188"/>
      <c r="AJ277" s="188"/>
      <c r="AK277" s="188"/>
      <c r="AL277" s="188"/>
      <c r="AM277" s="188"/>
      <c r="AN277" s="188"/>
      <c r="AO277" s="188"/>
      <c r="AP277" s="188"/>
      <c r="AQ277" s="188"/>
    </row>
    <row r="278" ht="15.75" hidden="1" customHeight="1" outlineLevel="1">
      <c r="A278" s="187"/>
      <c r="B278" s="38"/>
      <c r="C278" s="188"/>
      <c r="D278" s="188"/>
      <c r="E278" s="188"/>
      <c r="F278" s="188"/>
      <c r="G278" s="188"/>
      <c r="H278" s="188"/>
      <c r="I278" s="188"/>
      <c r="J278" s="188"/>
      <c r="K278" s="188"/>
      <c r="L278" s="188"/>
      <c r="M278" s="188"/>
      <c r="N278" s="188"/>
      <c r="O278" s="188"/>
      <c r="P278" s="188"/>
      <c r="Q278" s="188"/>
      <c r="R278" s="188"/>
      <c r="S278" s="78"/>
      <c r="T278" s="188">
        <f>PPMT('Assumptions (NG Midstream)'!$B$72,Model!W$1,'Assumptions (NG Midstream)'!$B$75,Model!$T$258)</f>
        <v>-0.1817680174</v>
      </c>
      <c r="U278" s="188">
        <f>PPMT('Assumptions (NG Midstream)'!$B$72,Model!X$1,'Assumptions (NG Midstream)'!$B$75,Model!$T$258)</f>
        <v>-0.1954006187</v>
      </c>
      <c r="V278" s="188">
        <f>PPMT('Assumptions (NG Midstream)'!$B$72,Model!Y$1,'Assumptions (NG Midstream)'!$B$75,Model!$T$258)</f>
        <v>-0.2100556651</v>
      </c>
      <c r="W278" s="188">
        <f>PPMT('Assumptions (NG Midstream)'!$B$72,Model!Z$1,'Assumptions (NG Midstream)'!$B$75,Model!$T$258)</f>
        <v>-0.22580984</v>
      </c>
      <c r="X278" s="188">
        <f>PPMT('Assumptions (NG Midstream)'!$B$72,Model!AA$1,'Assumptions (NG Midstream)'!$B$75,Model!$T$258)</f>
        <v>-0.242745578</v>
      </c>
      <c r="Y278" s="188">
        <f>PPMT('Assumptions (NG Midstream)'!$B$72,Model!AB$1,'Assumptions (NG Midstream)'!$B$75,Model!$T$258)</f>
        <v>-0.2609514964</v>
      </c>
      <c r="Z278" s="188">
        <f>PPMT('Assumptions (NG Midstream)'!$B$72,Model!AC$1,'Assumptions (NG Midstream)'!$B$75,Model!$T$258)</f>
        <v>-0.2805228586</v>
      </c>
      <c r="AA278" s="188">
        <f>PPMT('Assumptions (NG Midstream)'!$B$72,Model!AD$1,'Assumptions (NG Midstream)'!$B$75,Model!$T$258)</f>
        <v>-0.301562073</v>
      </c>
      <c r="AB278" s="188">
        <f>PPMT('Assumptions (NG Midstream)'!$B$72,Model!AE$1,'Assumptions (NG Midstream)'!$B$75,Model!$T$258)</f>
        <v>-0.3241792285</v>
      </c>
      <c r="AC278" s="188">
        <f>PPMT('Assumptions (NG Midstream)'!$B$72,Model!AF$1,'Assumptions (NG Midstream)'!$B$75,Model!$T$258)</f>
        <v>-0.3484926706</v>
      </c>
      <c r="AD278" s="188">
        <f>PPMT('Assumptions (NG Midstream)'!$B$72,Model!AG$1,'Assumptions (NG Midstream)'!$B$75,Model!$T$258)</f>
        <v>-0.3746296209</v>
      </c>
      <c r="AE278" s="188">
        <f>PPMT('Assumptions (NG Midstream)'!$B$72,Model!AH$1,'Assumptions (NG Midstream)'!$B$75,Model!$T$258)</f>
        <v>-0.4027268424</v>
      </c>
      <c r="AF278" s="188">
        <f>PPMT('Assumptions (NG Midstream)'!$B$72,Model!AI$1,'Assumptions (NG Midstream)'!$B$75,Model!$T$258)</f>
        <v>-0.4329313556</v>
      </c>
      <c r="AG278" s="188">
        <f>PPMT('Assumptions (NG Midstream)'!$B$72,Model!AJ$1,'Assumptions (NG Midstream)'!$B$75,Model!$T$258)</f>
        <v>-0.4654012073</v>
      </c>
      <c r="AH278" s="188">
        <f>PPMT('Assumptions (NG Midstream)'!$B$72,Model!AK$1,'Assumptions (NG Midstream)'!$B$75,Model!$T$258)</f>
        <v>-0.5003062979</v>
      </c>
      <c r="AI278" s="188"/>
      <c r="AJ278" s="188"/>
      <c r="AK278" s="188"/>
      <c r="AL278" s="188"/>
      <c r="AM278" s="188"/>
      <c r="AN278" s="188"/>
      <c r="AO278" s="188"/>
      <c r="AP278" s="188"/>
      <c r="AQ278" s="188"/>
      <c r="AR278" s="188"/>
    </row>
    <row r="279" ht="15.75" hidden="1" customHeight="1" outlineLevel="1">
      <c r="A279" s="187"/>
      <c r="B279" s="38"/>
      <c r="C279" s="188"/>
      <c r="D279" s="188"/>
      <c r="E279" s="188"/>
      <c r="F279" s="188"/>
      <c r="G279" s="188"/>
      <c r="H279" s="188"/>
      <c r="I279" s="188"/>
      <c r="J279" s="188"/>
      <c r="K279" s="188"/>
      <c r="L279" s="188"/>
      <c r="M279" s="188"/>
      <c r="N279" s="188"/>
      <c r="O279" s="188"/>
      <c r="P279" s="188"/>
      <c r="Q279" s="188"/>
      <c r="R279" s="188"/>
      <c r="S279" s="78"/>
      <c r="T279" s="78"/>
      <c r="U279" s="188">
        <f>PPMT('Assumptions (NG Midstream)'!$B$72,Model!W$1,'Assumptions (NG Midstream)'!$B$75,Model!$U$258)</f>
        <v>-0.0245786832</v>
      </c>
      <c r="V279" s="188">
        <f>PPMT('Assumptions (NG Midstream)'!$B$72,Model!X$1,'Assumptions (NG Midstream)'!$B$75,Model!$U$258)</f>
        <v>-0.02642208444</v>
      </c>
      <c r="W279" s="188">
        <f>PPMT('Assumptions (NG Midstream)'!$B$72,Model!Y$1,'Assumptions (NG Midstream)'!$B$75,Model!$U$258)</f>
        <v>-0.02840374078</v>
      </c>
      <c r="X279" s="188">
        <f>PPMT('Assumptions (NG Midstream)'!$B$72,Model!Z$1,'Assumptions (NG Midstream)'!$B$75,Model!$U$258)</f>
        <v>-0.03053402134</v>
      </c>
      <c r="Y279" s="188">
        <f>PPMT('Assumptions (NG Midstream)'!$B$72,Model!AA$1,'Assumptions (NG Midstream)'!$B$75,Model!$U$258)</f>
        <v>-0.03282407294</v>
      </c>
      <c r="Z279" s="188">
        <f>PPMT('Assumptions (NG Midstream)'!$B$72,Model!AB$1,'Assumptions (NG Midstream)'!$B$75,Model!$U$258)</f>
        <v>-0.03528587841</v>
      </c>
      <c r="AA279" s="188">
        <f>PPMT('Assumptions (NG Midstream)'!$B$72,Model!AC$1,'Assumptions (NG Midstream)'!$B$75,Model!$U$258)</f>
        <v>-0.03793231929</v>
      </c>
      <c r="AB279" s="188">
        <f>PPMT('Assumptions (NG Midstream)'!$B$72,Model!AD$1,'Assumptions (NG Midstream)'!$B$75,Model!$U$258)</f>
        <v>-0.04077724323</v>
      </c>
      <c r="AC279" s="188">
        <f>PPMT('Assumptions (NG Midstream)'!$B$72,Model!AE$1,'Assumptions (NG Midstream)'!$B$75,Model!$U$258)</f>
        <v>-0.04383553648</v>
      </c>
      <c r="AD279" s="188">
        <f>PPMT('Assumptions (NG Midstream)'!$B$72,Model!AF$1,'Assumptions (NG Midstream)'!$B$75,Model!$U$258)</f>
        <v>-0.04712320171</v>
      </c>
      <c r="AE279" s="188">
        <f>PPMT('Assumptions (NG Midstream)'!$B$72,Model!AG$1,'Assumptions (NG Midstream)'!$B$75,Model!$U$258)</f>
        <v>-0.05065744184</v>
      </c>
      <c r="AF279" s="188">
        <f>PPMT('Assumptions (NG Midstream)'!$B$72,Model!AH$1,'Assumptions (NG Midstream)'!$B$75,Model!$U$258)</f>
        <v>-0.05445674998</v>
      </c>
      <c r="AG279" s="188">
        <f>PPMT('Assumptions (NG Midstream)'!$B$72,Model!AI$1,'Assumptions (NG Midstream)'!$B$75,Model!$U$258)</f>
        <v>-0.05854100623</v>
      </c>
      <c r="AH279" s="188">
        <f>PPMT('Assumptions (NG Midstream)'!$B$72,Model!AJ$1,'Assumptions (NG Midstream)'!$B$75,Model!$U$258)</f>
        <v>-0.06293158169</v>
      </c>
      <c r="AI279" s="188">
        <f>PPMT('Assumptions (NG Midstream)'!$B$72,Model!AK$1,'Assumptions (NG Midstream)'!$B$75,Model!$U$258)</f>
        <v>-0.06765145032</v>
      </c>
      <c r="AJ279" s="188"/>
      <c r="AK279" s="188"/>
      <c r="AL279" s="188"/>
      <c r="AM279" s="188"/>
      <c r="AN279" s="188"/>
      <c r="AO279" s="188"/>
      <c r="AP279" s="188"/>
      <c r="AQ279" s="188"/>
      <c r="AR279" s="188"/>
      <c r="AS279" s="188"/>
    </row>
    <row r="280" ht="15.75" hidden="1" customHeight="1" outlineLevel="1">
      <c r="A280" s="187"/>
      <c r="B280" s="38"/>
      <c r="C280" s="188"/>
      <c r="D280" s="188"/>
      <c r="E280" s="188"/>
      <c r="F280" s="188"/>
      <c r="G280" s="188"/>
      <c r="H280" s="188"/>
      <c r="I280" s="188"/>
      <c r="J280" s="188"/>
      <c r="K280" s="188"/>
      <c r="L280" s="188"/>
      <c r="M280" s="188"/>
      <c r="N280" s="188"/>
      <c r="O280" s="188"/>
      <c r="P280" s="188"/>
      <c r="Q280" s="188"/>
      <c r="R280" s="188"/>
      <c r="S280" s="78"/>
      <c r="T280" s="78"/>
      <c r="U280" s="78"/>
      <c r="V280" s="188">
        <f>PPMT('Assumptions (NG Midstream)'!$B$72,Model!W$1,'Assumptions (NG Midstream)'!$B$75,Model!$V$258)</f>
        <v>-0.0778899653</v>
      </c>
      <c r="W280" s="188">
        <f>PPMT('Assumptions (NG Midstream)'!$B$72,Model!X$1,'Assumptions (NG Midstream)'!$B$75,Model!$V$258)</f>
        <v>-0.0837317127</v>
      </c>
      <c r="X280" s="188">
        <f>PPMT('Assumptions (NG Midstream)'!$B$72,Model!Y$1,'Assumptions (NG Midstream)'!$B$75,Model!$V$258)</f>
        <v>-0.09001159115</v>
      </c>
      <c r="Y280" s="188">
        <f>PPMT('Assumptions (NG Midstream)'!$B$72,Model!Z$1,'Assumptions (NG Midstream)'!$B$75,Model!$V$258)</f>
        <v>-0.09676246049</v>
      </c>
      <c r="Z280" s="188">
        <f>PPMT('Assumptions (NG Midstream)'!$B$72,Model!AA$1,'Assumptions (NG Midstream)'!$B$75,Model!$V$258)</f>
        <v>-0.104019645</v>
      </c>
      <c r="AA280" s="188">
        <f>PPMT('Assumptions (NG Midstream)'!$B$72,Model!AB$1,'Assumptions (NG Midstream)'!$B$75,Model!$V$258)</f>
        <v>-0.1118211184</v>
      </c>
      <c r="AB280" s="188">
        <f>PPMT('Assumptions (NG Midstream)'!$B$72,Model!AC$1,'Assumptions (NG Midstream)'!$B$75,Model!$V$258)</f>
        <v>-0.1202077023</v>
      </c>
      <c r="AC280" s="188">
        <f>PPMT('Assumptions (NG Midstream)'!$B$72,Model!AD$1,'Assumptions (NG Midstream)'!$B$75,Model!$V$258)</f>
        <v>-0.12922328</v>
      </c>
      <c r="AD280" s="188">
        <f>PPMT('Assumptions (NG Midstream)'!$B$72,Model!AE$1,'Assumptions (NG Midstream)'!$B$75,Model!$V$258)</f>
        <v>-0.1389150259</v>
      </c>
      <c r="AE280" s="188">
        <f>PPMT('Assumptions (NG Midstream)'!$B$72,Model!AF$1,'Assumptions (NG Midstream)'!$B$75,Model!$V$258)</f>
        <v>-0.1493336529</v>
      </c>
      <c r="AF280" s="188">
        <f>PPMT('Assumptions (NG Midstream)'!$B$72,Model!AG$1,'Assumptions (NG Midstream)'!$B$75,Model!$V$258)</f>
        <v>-0.1605336769</v>
      </c>
      <c r="AG280" s="188">
        <f>PPMT('Assumptions (NG Midstream)'!$B$72,Model!AH$1,'Assumptions (NG Midstream)'!$B$75,Model!$V$258)</f>
        <v>-0.1725737026</v>
      </c>
      <c r="AH280" s="188">
        <f>PPMT('Assumptions (NG Midstream)'!$B$72,Model!AI$1,'Assumptions (NG Midstream)'!$B$75,Model!$V$258)</f>
        <v>-0.1855167303</v>
      </c>
      <c r="AI280" s="188">
        <f>PPMT('Assumptions (NG Midstream)'!$B$72,Model!AJ$1,'Assumptions (NG Midstream)'!$B$75,Model!$V$258)</f>
        <v>-0.1994304851</v>
      </c>
      <c r="AJ280" s="188">
        <f>PPMT('Assumptions (NG Midstream)'!$B$72,Model!AK$1,'Assumptions (NG Midstream)'!$B$75,Model!$V$258)</f>
        <v>-0.2143877715</v>
      </c>
      <c r="AK280" s="188"/>
      <c r="AL280" s="188"/>
      <c r="AM280" s="188"/>
      <c r="AN280" s="188"/>
      <c r="AO280" s="188"/>
      <c r="AP280" s="188"/>
      <c r="AQ280" s="188"/>
      <c r="AR280" s="188"/>
      <c r="AS280" s="188"/>
      <c r="AT280" s="188"/>
    </row>
    <row r="281" ht="15.75" hidden="1" customHeight="1" outlineLevel="1">
      <c r="A281" s="187"/>
      <c r="B281" s="38"/>
      <c r="C281" s="188"/>
      <c r="D281" s="188"/>
      <c r="E281" s="188"/>
      <c r="F281" s="188"/>
      <c r="G281" s="188"/>
      <c r="H281" s="188"/>
      <c r="I281" s="188"/>
      <c r="J281" s="188"/>
      <c r="K281" s="188"/>
      <c r="L281" s="188"/>
      <c r="M281" s="188"/>
      <c r="N281" s="188"/>
      <c r="O281" s="188"/>
      <c r="P281" s="188"/>
      <c r="Q281" s="188"/>
      <c r="R281" s="188"/>
      <c r="S281" s="78"/>
      <c r="T281" s="78"/>
      <c r="U281" s="78"/>
      <c r="V281" s="78"/>
      <c r="W281" s="188">
        <f>PPMT('Assumptions (NG Midstream)'!$B$72,Model!W$1,'Assumptions (NG Midstream)'!$B$75,Model!$W$258)</f>
        <v>-0.05016042504</v>
      </c>
      <c r="X281" s="188">
        <f>PPMT('Assumptions (NG Midstream)'!$B$72,Model!X$1,'Assumptions (NG Midstream)'!$B$75,Model!$W$258)</f>
        <v>-0.05392245692</v>
      </c>
      <c r="Y281" s="188">
        <f>PPMT('Assumptions (NG Midstream)'!$B$72,Model!Y$1,'Assumptions (NG Midstream)'!$B$75,Model!$W$258)</f>
        <v>-0.05796664119</v>
      </c>
      <c r="Z281" s="188">
        <f>PPMT('Assumptions (NG Midstream)'!$B$72,Model!Z$1,'Assumptions (NG Midstream)'!$B$75,Model!$W$258)</f>
        <v>-0.06231413927</v>
      </c>
      <c r="AA281" s="188">
        <f>PPMT('Assumptions (NG Midstream)'!$B$72,Model!AA$1,'Assumptions (NG Midstream)'!$B$75,Model!$W$258)</f>
        <v>-0.06698769972</v>
      </c>
      <c r="AB281" s="188">
        <f>PPMT('Assumptions (NG Midstream)'!$B$72,Model!AB$1,'Assumptions (NG Midstream)'!$B$75,Model!$W$258)</f>
        <v>-0.0720117772</v>
      </c>
      <c r="AC281" s="188">
        <f>PPMT('Assumptions (NG Midstream)'!$B$72,Model!AC$1,'Assumptions (NG Midstream)'!$B$75,Model!$W$258)</f>
        <v>-0.07741266049</v>
      </c>
      <c r="AD281" s="188">
        <f>PPMT('Assumptions (NG Midstream)'!$B$72,Model!AD$1,'Assumptions (NG Midstream)'!$B$75,Model!$W$258)</f>
        <v>-0.08321861003</v>
      </c>
      <c r="AE281" s="188">
        <f>PPMT('Assumptions (NG Midstream)'!$B$72,Model!AE$1,'Assumptions (NG Midstream)'!$B$75,Model!$W$258)</f>
        <v>-0.08946000578</v>
      </c>
      <c r="AF281" s="188">
        <f>PPMT('Assumptions (NG Midstream)'!$B$72,Model!AF$1,'Assumptions (NG Midstream)'!$B$75,Model!$W$258)</f>
        <v>-0.09616950621</v>
      </c>
      <c r="AG281" s="188">
        <f>PPMT('Assumptions (NG Midstream)'!$B$72,Model!AG$1,'Assumptions (NG Midstream)'!$B$75,Model!$W$258)</f>
        <v>-0.1033822192</v>
      </c>
      <c r="AH281" s="188">
        <f>PPMT('Assumptions (NG Midstream)'!$B$72,Model!AH$1,'Assumptions (NG Midstream)'!$B$75,Model!$W$258)</f>
        <v>-0.1111358856</v>
      </c>
      <c r="AI281" s="188">
        <f>PPMT('Assumptions (NG Midstream)'!$B$72,Model!AI$1,'Assumptions (NG Midstream)'!$B$75,Model!$W$258)</f>
        <v>-0.119471077</v>
      </c>
      <c r="AJ281" s="188">
        <f>PPMT('Assumptions (NG Midstream)'!$B$72,Model!AJ$1,'Assumptions (NG Midstream)'!$B$75,Model!$W$258)</f>
        <v>-0.1284314078</v>
      </c>
      <c r="AK281" s="188">
        <f>PPMT('Assumptions (NG Midstream)'!$B$72,Model!AK$1,'Assumptions (NG Midstream)'!$B$75,Model!$W$258)</f>
        <v>-0.1380637634</v>
      </c>
      <c r="AL281" s="188"/>
      <c r="AM281" s="188"/>
      <c r="AN281" s="188"/>
      <c r="AO281" s="188"/>
      <c r="AP281" s="188"/>
      <c r="AQ281" s="188"/>
      <c r="AR281" s="188"/>
      <c r="AS281" s="188"/>
      <c r="AT281" s="188"/>
      <c r="AU281" s="188"/>
    </row>
    <row r="282" ht="15.75" hidden="1" customHeight="1" outlineLevel="1">
      <c r="A282" s="187"/>
      <c r="B282" s="38"/>
      <c r="C282" s="188"/>
      <c r="D282" s="188"/>
      <c r="E282" s="188"/>
      <c r="F282" s="188"/>
      <c r="G282" s="188"/>
      <c r="H282" s="188"/>
      <c r="I282" s="188"/>
      <c r="J282" s="188"/>
      <c r="K282" s="188"/>
      <c r="L282" s="188"/>
      <c r="M282" s="188"/>
      <c r="N282" s="188"/>
      <c r="O282" s="188"/>
      <c r="P282" s="188"/>
      <c r="Q282" s="188"/>
      <c r="R282" s="188"/>
      <c r="S282" s="78"/>
      <c r="T282" s="78"/>
      <c r="U282" s="78"/>
      <c r="V282" s="78"/>
      <c r="W282" s="139"/>
      <c r="X282" s="188">
        <f>PPMT('Assumptions (NG Midstream)'!$B$72,Model!W$1,'Assumptions (NG Midstream)'!$B$75,Model!$X$258)</f>
        <v>-0.04525706791</v>
      </c>
      <c r="Y282" s="188">
        <f>PPMT('Assumptions (NG Midstream)'!$B$72,Model!X$1,'Assumptions (NG Midstream)'!$B$75,Model!$X$258)</f>
        <v>-0.04865134801</v>
      </c>
      <c r="Z282" s="188">
        <f>PPMT('Assumptions (NG Midstream)'!$B$72,Model!Y$1,'Assumptions (NG Midstream)'!$B$75,Model!$X$258)</f>
        <v>-0.05230019911</v>
      </c>
      <c r="AA282" s="188">
        <f>PPMT('Assumptions (NG Midstream)'!$B$72,Model!Z$1,'Assumptions (NG Midstream)'!$B$75,Model!$X$258)</f>
        <v>-0.05622271404</v>
      </c>
      <c r="AB282" s="188">
        <f>PPMT('Assumptions (NG Midstream)'!$B$72,Model!AA$1,'Assumptions (NG Midstream)'!$B$75,Model!$X$258)</f>
        <v>-0.06043941759</v>
      </c>
      <c r="AC282" s="188">
        <f>PPMT('Assumptions (NG Midstream)'!$B$72,Model!AB$1,'Assumptions (NG Midstream)'!$B$75,Model!$X$258)</f>
        <v>-0.06497237391</v>
      </c>
      <c r="AD282" s="188">
        <f>PPMT('Assumptions (NG Midstream)'!$B$72,Model!AC$1,'Assumptions (NG Midstream)'!$B$75,Model!$X$258)</f>
        <v>-0.06984530196</v>
      </c>
      <c r="AE282" s="188">
        <f>PPMT('Assumptions (NG Midstream)'!$B$72,Model!AD$1,'Assumptions (NG Midstream)'!$B$75,Model!$X$258)</f>
        <v>-0.0750836996</v>
      </c>
      <c r="AF282" s="188">
        <f>PPMT('Assumptions (NG Midstream)'!$B$72,Model!AE$1,'Assumptions (NG Midstream)'!$B$75,Model!$X$258)</f>
        <v>-0.08071497707</v>
      </c>
      <c r="AG282" s="188">
        <f>PPMT('Assumptions (NG Midstream)'!$B$72,Model!AF$1,'Assumptions (NG Midstream)'!$B$75,Model!$X$258)</f>
        <v>-0.08676860035</v>
      </c>
      <c r="AH282" s="188">
        <f>PPMT('Assumptions (NG Midstream)'!$B$72,Model!AG$1,'Assumptions (NG Midstream)'!$B$75,Model!$X$258)</f>
        <v>-0.09327624538</v>
      </c>
      <c r="AI282" s="188">
        <f>PPMT('Assumptions (NG Midstream)'!$B$72,Model!AH$1,'Assumptions (NG Midstream)'!$B$75,Model!$X$258)</f>
        <v>-0.1002719638</v>
      </c>
      <c r="AJ282" s="188">
        <f>PPMT('Assumptions (NG Midstream)'!$B$72,Model!AI$1,'Assumptions (NG Midstream)'!$B$75,Model!$X$258)</f>
        <v>-0.1077923611</v>
      </c>
      <c r="AK282" s="188">
        <f>PPMT('Assumptions (NG Midstream)'!$B$72,Model!AJ$1,'Assumptions (NG Midstream)'!$B$75,Model!$X$258)</f>
        <v>-0.1158767881</v>
      </c>
      <c r="AL282" s="188">
        <f>PPMT('Assumptions (NG Midstream)'!$B$72,Model!AK$1,'Assumptions (NG Midstream)'!$B$75,Model!$X$258)</f>
        <v>-0.1245675473</v>
      </c>
      <c r="AM282" s="188"/>
      <c r="AN282" s="188"/>
      <c r="AO282" s="188"/>
      <c r="AP282" s="188"/>
      <c r="AQ282" s="188"/>
      <c r="AR282" s="188"/>
      <c r="AS282" s="188"/>
      <c r="AT282" s="188"/>
      <c r="AU282" s="188"/>
      <c r="AV282" s="188"/>
    </row>
    <row r="283" ht="15.75" hidden="1" customHeight="1" outlineLevel="1">
      <c r="A283" s="187"/>
      <c r="B283" s="38"/>
      <c r="C283" s="188"/>
      <c r="D283" s="188"/>
      <c r="E283" s="188"/>
      <c r="F283" s="188"/>
      <c r="G283" s="188"/>
      <c r="H283" s="188"/>
      <c r="I283" s="188"/>
      <c r="J283" s="188"/>
      <c r="K283" s="188"/>
      <c r="L283" s="188"/>
      <c r="M283" s="188"/>
      <c r="N283" s="188"/>
      <c r="O283" s="188"/>
      <c r="P283" s="188"/>
      <c r="Q283" s="188"/>
      <c r="R283" s="188"/>
      <c r="S283" s="78"/>
      <c r="T283" s="78"/>
      <c r="U283" s="78"/>
      <c r="V283" s="78"/>
      <c r="W283" s="139"/>
      <c r="Y283" s="188">
        <f>PPMT('Assumptions (NG Midstream)'!$B$72,Model!W$1,'Assumptions (NG Midstream)'!$B$75,Model!$Y$258)</f>
        <v>-0.05810375376</v>
      </c>
      <c r="Z283" s="188">
        <f>PPMT('Assumptions (NG Midstream)'!$B$72,Model!X$1,'Assumptions (NG Midstream)'!$B$75,Model!$Y$258)</f>
        <v>-0.06246153529</v>
      </c>
      <c r="AA283" s="188">
        <f>PPMT('Assumptions (NG Midstream)'!$B$72,Model!Y$1,'Assumptions (NG Midstream)'!$B$75,Model!$Y$258)</f>
        <v>-0.06714615043</v>
      </c>
      <c r="AB283" s="188">
        <f>PPMT('Assumptions (NG Midstream)'!$B$72,Model!Z$1,'Assumptions (NG Midstream)'!$B$75,Model!$Y$258)</f>
        <v>-0.07218211172</v>
      </c>
      <c r="AC283" s="188">
        <f>PPMT('Assumptions (NG Midstream)'!$B$72,Model!AA$1,'Assumptions (NG Midstream)'!$B$75,Model!$Y$258)</f>
        <v>-0.0775957701</v>
      </c>
      <c r="AD283" s="188">
        <f>PPMT('Assumptions (NG Midstream)'!$B$72,Model!AB$1,'Assumptions (NG Midstream)'!$B$75,Model!$Y$258)</f>
        <v>-0.08341545285</v>
      </c>
      <c r="AE283" s="188">
        <f>PPMT('Assumptions (NG Midstream)'!$B$72,Model!AC$1,'Assumptions (NG Midstream)'!$B$75,Model!$Y$258)</f>
        <v>-0.08967161182</v>
      </c>
      <c r="AF283" s="188">
        <f>PPMT('Assumptions (NG Midstream)'!$B$72,Model!AD$1,'Assumptions (NG Midstream)'!$B$75,Model!$Y$258)</f>
        <v>-0.0963969827</v>
      </c>
      <c r="AG283" s="188">
        <f>PPMT('Assumptions (NG Midstream)'!$B$72,Model!AE$1,'Assumptions (NG Midstream)'!$B$75,Model!$Y$258)</f>
        <v>-0.1036267564</v>
      </c>
      <c r="AH283" s="188">
        <f>PPMT('Assumptions (NG Midstream)'!$B$72,Model!AF$1,'Assumptions (NG Midstream)'!$B$75,Model!$Y$258)</f>
        <v>-0.1113987631</v>
      </c>
      <c r="AI283" s="188">
        <f>PPMT('Assumptions (NG Midstream)'!$B$72,Model!AG$1,'Assumptions (NG Midstream)'!$B$75,Model!$Y$258)</f>
        <v>-0.1197536704</v>
      </c>
      <c r="AJ283" s="188">
        <f>PPMT('Assumptions (NG Midstream)'!$B$72,Model!AH$1,'Assumptions (NG Midstream)'!$B$75,Model!$Y$258)</f>
        <v>-0.1287351957</v>
      </c>
      <c r="AK283" s="188">
        <f>PPMT('Assumptions (NG Midstream)'!$B$72,Model!AI$1,'Assumptions (NG Midstream)'!$B$75,Model!$Y$258)</f>
        <v>-0.1383903353</v>
      </c>
      <c r="AL283" s="188">
        <f>PPMT('Assumptions (NG Midstream)'!$B$72,Model!AJ$1,'Assumptions (NG Midstream)'!$B$75,Model!$Y$258)</f>
        <v>-0.1487696105</v>
      </c>
      <c r="AM283" s="188">
        <f>PPMT('Assumptions (NG Midstream)'!$B$72,Model!AK$1,'Assumptions (NG Midstream)'!$B$75,Model!$Y$258)</f>
        <v>-0.1599273313</v>
      </c>
      <c r="AN283" s="188"/>
      <c r="AO283" s="188"/>
      <c r="AP283" s="188"/>
      <c r="AQ283" s="188"/>
      <c r="AR283" s="188"/>
      <c r="AS283" s="188"/>
      <c r="AT283" s="188"/>
      <c r="AU283" s="188"/>
      <c r="AV283" s="188"/>
      <c r="AW283" s="188"/>
    </row>
    <row r="284" ht="15.75" hidden="1" customHeight="1" outlineLevel="1">
      <c r="A284" s="187"/>
      <c r="B284" s="38"/>
      <c r="C284" s="188"/>
      <c r="D284" s="188"/>
      <c r="E284" s="188"/>
      <c r="F284" s="188"/>
      <c r="G284" s="188"/>
      <c r="H284" s="188"/>
      <c r="I284" s="188"/>
      <c r="J284" s="188"/>
      <c r="K284" s="188"/>
      <c r="L284" s="188"/>
      <c r="M284" s="188"/>
      <c r="N284" s="188"/>
      <c r="O284" s="188"/>
      <c r="P284" s="188"/>
      <c r="Q284" s="188"/>
      <c r="R284" s="188"/>
      <c r="S284" s="78"/>
      <c r="T284" s="78"/>
      <c r="U284" s="78"/>
      <c r="V284" s="78"/>
      <c r="W284" s="139"/>
      <c r="Z284" s="188">
        <f>PPMT('Assumptions (NG Midstream)'!$B$72,Model!W$1,'Assumptions (NG Midstream)'!$B$75,Model!$Z$258)</f>
        <v>-0.06250065313</v>
      </c>
      <c r="AA284" s="188">
        <f>PPMT('Assumptions (NG Midstream)'!$B$72,Model!X$1,'Assumptions (NG Midstream)'!$B$75,Model!$Z$258)</f>
        <v>-0.06718820211</v>
      </c>
      <c r="AB284" s="188">
        <f>PPMT('Assumptions (NG Midstream)'!$B$72,Model!Y$1,'Assumptions (NG Midstream)'!$B$75,Model!$Z$258)</f>
        <v>-0.07222731727</v>
      </c>
      <c r="AC284" s="188">
        <f>PPMT('Assumptions (NG Midstream)'!$B$72,Model!Z$1,'Assumptions (NG Midstream)'!$B$75,Model!$Z$258)</f>
        <v>-0.07764436606</v>
      </c>
      <c r="AD284" s="188">
        <f>PPMT('Assumptions (NG Midstream)'!$B$72,Model!AA$1,'Assumptions (NG Midstream)'!$B$75,Model!$Z$258)</f>
        <v>-0.08346769352</v>
      </c>
      <c r="AE284" s="188">
        <f>PPMT('Assumptions (NG Midstream)'!$B$72,Model!AB$1,'Assumptions (NG Midstream)'!$B$75,Model!$Z$258)</f>
        <v>-0.08972777053</v>
      </c>
      <c r="AF284" s="188">
        <f>PPMT('Assumptions (NG Midstream)'!$B$72,Model!AC$1,'Assumptions (NG Midstream)'!$B$75,Model!$Z$258)</f>
        <v>-0.09645735332</v>
      </c>
      <c r="AG284" s="188">
        <f>PPMT('Assumptions (NG Midstream)'!$B$72,Model!AD$1,'Assumptions (NG Midstream)'!$B$75,Model!$Z$258)</f>
        <v>-0.1036916548</v>
      </c>
      <c r="AH284" s="188">
        <f>PPMT('Assumptions (NG Midstream)'!$B$72,Model!AE$1,'Assumptions (NG Midstream)'!$B$75,Model!$Z$258)</f>
        <v>-0.1114685289</v>
      </c>
      <c r="AI284" s="188">
        <f>PPMT('Assumptions (NG Midstream)'!$B$72,Model!AF$1,'Assumptions (NG Midstream)'!$B$75,Model!$Z$258)</f>
        <v>-0.1198286686</v>
      </c>
      <c r="AJ284" s="188">
        <f>PPMT('Assumptions (NG Midstream)'!$B$72,Model!AG$1,'Assumptions (NG Midstream)'!$B$75,Model!$Z$258)</f>
        <v>-0.1288158187</v>
      </c>
      <c r="AK284" s="188">
        <f>PPMT('Assumptions (NG Midstream)'!$B$72,Model!AH$1,'Assumptions (NG Midstream)'!$B$75,Model!$Z$258)</f>
        <v>-0.1384770052</v>
      </c>
      <c r="AL284" s="188">
        <f>PPMT('Assumptions (NG Midstream)'!$B$72,Model!AI$1,'Assumptions (NG Midstream)'!$B$75,Model!$Z$258)</f>
        <v>-0.1488627805</v>
      </c>
      <c r="AM284" s="188">
        <f>PPMT('Assumptions (NG Midstream)'!$B$72,Model!AJ$1,'Assumptions (NG Midstream)'!$B$75,Model!$Z$258)</f>
        <v>-0.1600274891</v>
      </c>
      <c r="AN284" s="188">
        <f>PPMT('Assumptions (NG Midstream)'!$B$72,Model!AK$1,'Assumptions (NG Midstream)'!$B$75,Model!$Z$258)</f>
        <v>-0.1720295508</v>
      </c>
      <c r="AO284" s="188"/>
      <c r="AP284" s="188"/>
      <c r="AQ284" s="188"/>
      <c r="AR284" s="188"/>
      <c r="AS284" s="188"/>
      <c r="AT284" s="188"/>
      <c r="AU284" s="188"/>
      <c r="AV284" s="188"/>
      <c r="AW284" s="188"/>
      <c r="AX284" s="188"/>
    </row>
    <row r="285" ht="15.75" hidden="1" customHeight="1" outlineLevel="1">
      <c r="A285" s="187"/>
      <c r="B285" s="38"/>
      <c r="C285" s="188"/>
      <c r="D285" s="188"/>
      <c r="E285" s="188"/>
      <c r="F285" s="188"/>
      <c r="G285" s="188"/>
      <c r="H285" s="188"/>
      <c r="I285" s="188"/>
      <c r="J285" s="188"/>
      <c r="K285" s="188"/>
      <c r="L285" s="188"/>
      <c r="M285" s="188"/>
      <c r="N285" s="188"/>
      <c r="O285" s="188"/>
      <c r="P285" s="188"/>
      <c r="Q285" s="188"/>
      <c r="R285" s="188"/>
      <c r="S285" s="78"/>
      <c r="T285" s="78"/>
      <c r="U285" s="78"/>
      <c r="V285" s="78"/>
      <c r="W285" s="139"/>
      <c r="AA285" s="188">
        <f>PPMT('Assumptions (NG Midstream)'!$B$72,Model!W$1,'Assumptions (NG Midstream)'!$B$75,Model!$AA$258)</f>
        <v>-0.06286498799</v>
      </c>
      <c r="AB285" s="188">
        <f>PPMT('Assumptions (NG Midstream)'!$B$72,Model!X$1,'Assumptions (NG Midstream)'!$B$75,Model!$AA$258)</f>
        <v>-0.06757986209</v>
      </c>
      <c r="AC285" s="188">
        <f>PPMT('Assumptions (NG Midstream)'!$B$72,Model!Y$1,'Assumptions (NG Midstream)'!$B$75,Model!$AA$258)</f>
        <v>-0.07264835174</v>
      </c>
      <c r="AD285" s="188">
        <f>PPMT('Assumptions (NG Midstream)'!$B$72,Model!Z$1,'Assumptions (NG Midstream)'!$B$75,Model!$AA$258)</f>
        <v>-0.07809697812</v>
      </c>
      <c r="AE285" s="188">
        <f>PPMT('Assumptions (NG Midstream)'!$B$72,Model!AA$1,'Assumptions (NG Midstream)'!$B$75,Model!$AA$258)</f>
        <v>-0.08395425148</v>
      </c>
      <c r="AF285" s="188">
        <f>PPMT('Assumptions (NG Midstream)'!$B$72,Model!AB$1,'Assumptions (NG Midstream)'!$B$75,Model!$AA$258)</f>
        <v>-0.09025082034</v>
      </c>
      <c r="AG285" s="188">
        <f>PPMT('Assumptions (NG Midstream)'!$B$72,Model!AC$1,'Assumptions (NG Midstream)'!$B$75,Model!$AA$258)</f>
        <v>-0.09701963187</v>
      </c>
      <c r="AH285" s="188">
        <f>PPMT('Assumptions (NG Midstream)'!$B$72,Model!AD$1,'Assumptions (NG Midstream)'!$B$75,Model!$AA$258)</f>
        <v>-0.1042961043</v>
      </c>
      <c r="AI285" s="188">
        <f>PPMT('Assumptions (NG Midstream)'!$B$72,Model!AE$1,'Assumptions (NG Midstream)'!$B$75,Model!$AA$258)</f>
        <v>-0.1121183121</v>
      </c>
      <c r="AJ285" s="188">
        <f>PPMT('Assumptions (NG Midstream)'!$B$72,Model!AF$1,'Assumptions (NG Midstream)'!$B$75,Model!$AA$258)</f>
        <v>-0.1205271855</v>
      </c>
      <c r="AK285" s="188">
        <f>PPMT('Assumptions (NG Midstream)'!$B$72,Model!AG$1,'Assumptions (NG Midstream)'!$B$75,Model!$AA$258)</f>
        <v>-0.1295667244</v>
      </c>
      <c r="AL285" s="188">
        <f>PPMT('Assumptions (NG Midstream)'!$B$72,Model!AH$1,'Assumptions (NG Midstream)'!$B$75,Model!$AA$258)</f>
        <v>-0.1392842287</v>
      </c>
      <c r="AM285" s="188">
        <f>PPMT('Assumptions (NG Midstream)'!$B$72,Model!AI$1,'Assumptions (NG Midstream)'!$B$75,Model!$AA$258)</f>
        <v>-0.1497305459</v>
      </c>
      <c r="AN285" s="188">
        <f>PPMT('Assumptions (NG Midstream)'!$B$72,Model!AJ$1,'Assumptions (NG Midstream)'!$B$75,Model!$AA$258)</f>
        <v>-0.1609603368</v>
      </c>
      <c r="AO285" s="188">
        <f>PPMT('Assumptions (NG Midstream)'!$B$72,Model!AK$1,'Assumptions (NG Midstream)'!$B$75,Model!$AA$258)</f>
        <v>-0.1730323621</v>
      </c>
      <c r="AP285" s="188"/>
      <c r="AQ285" s="188"/>
      <c r="AR285" s="188"/>
      <c r="AS285" s="188"/>
      <c r="AT285" s="188"/>
      <c r="AU285" s="188"/>
      <c r="AV285" s="188"/>
      <c r="AW285" s="188"/>
      <c r="AX285" s="188"/>
      <c r="AY285" s="188"/>
    </row>
    <row r="286" ht="15.75" hidden="1" customHeight="1" outlineLevel="1">
      <c r="A286" s="187"/>
      <c r="B286" s="38"/>
      <c r="C286" s="188"/>
      <c r="D286" s="188"/>
      <c r="E286" s="188"/>
      <c r="F286" s="188"/>
      <c r="G286" s="188"/>
      <c r="H286" s="188"/>
      <c r="I286" s="188"/>
      <c r="J286" s="188"/>
      <c r="K286" s="188"/>
      <c r="L286" s="188"/>
      <c r="M286" s="188"/>
      <c r="N286" s="188"/>
      <c r="O286" s="188"/>
      <c r="P286" s="188"/>
      <c r="Q286" s="188"/>
      <c r="R286" s="188"/>
      <c r="S286" s="78"/>
      <c r="T286" s="78"/>
      <c r="U286" s="78"/>
      <c r="V286" s="78"/>
      <c r="W286" s="139"/>
      <c r="AB286" s="188">
        <f>PPMT('Assumptions (NG Midstream)'!$B$72,Model!W$1,'Assumptions (NG Midstream)'!$B$75,Model!$AB$258)</f>
        <v>-0.05928839242</v>
      </c>
      <c r="AC286" s="188">
        <f>PPMT('Assumptions (NG Midstream)'!$B$72,Model!X$1,'Assumptions (NG Midstream)'!$B$75,Model!$AB$258)</f>
        <v>-0.06373502185</v>
      </c>
      <c r="AD286" s="188">
        <f>PPMT('Assumptions (NG Midstream)'!$B$72,Model!Y$1,'Assumptions (NG Midstream)'!$B$75,Model!$AB$258)</f>
        <v>-0.06851514849</v>
      </c>
      <c r="AE286" s="188">
        <f>PPMT('Assumptions (NG Midstream)'!$B$72,Model!Z$1,'Assumptions (NG Midstream)'!$B$75,Model!$AB$258)</f>
        <v>-0.07365378462</v>
      </c>
      <c r="AF286" s="188">
        <f>PPMT('Assumptions (NG Midstream)'!$B$72,Model!AA$1,'Assumptions (NG Midstream)'!$B$75,Model!$AB$258)</f>
        <v>-0.07917781847</v>
      </c>
      <c r="AG286" s="188">
        <f>PPMT('Assumptions (NG Midstream)'!$B$72,Model!AB$1,'Assumptions (NG Midstream)'!$B$75,Model!$AB$258)</f>
        <v>-0.08511615485</v>
      </c>
      <c r="AH286" s="188">
        <f>PPMT('Assumptions (NG Midstream)'!$B$72,Model!AC$1,'Assumptions (NG Midstream)'!$B$75,Model!$AB$258)</f>
        <v>-0.09149986647</v>
      </c>
      <c r="AI286" s="188">
        <f>PPMT('Assumptions (NG Midstream)'!$B$72,Model!AD$1,'Assumptions (NG Midstream)'!$B$75,Model!$AB$258)</f>
        <v>-0.09836235645</v>
      </c>
      <c r="AJ286" s="188">
        <f>PPMT('Assumptions (NG Midstream)'!$B$72,Model!AE$1,'Assumptions (NG Midstream)'!$B$75,Model!$AB$258)</f>
        <v>-0.1057395332</v>
      </c>
      <c r="AK286" s="188">
        <f>PPMT('Assumptions (NG Midstream)'!$B$72,Model!AF$1,'Assumptions (NG Midstream)'!$B$75,Model!$AB$258)</f>
        <v>-0.1136699982</v>
      </c>
      <c r="AL286" s="188">
        <f>PPMT('Assumptions (NG Midstream)'!$B$72,Model!AG$1,'Assumptions (NG Midstream)'!$B$75,Model!$AB$258)</f>
        <v>-0.122195248</v>
      </c>
      <c r="AM286" s="188">
        <f>PPMT('Assumptions (NG Midstream)'!$B$72,Model!AH$1,'Assumptions (NG Midstream)'!$B$75,Model!$AB$258)</f>
        <v>-0.1313598916</v>
      </c>
      <c r="AN286" s="188">
        <f>PPMT('Assumptions (NG Midstream)'!$B$72,Model!AI$1,'Assumptions (NG Midstream)'!$B$75,Model!$AB$258)</f>
        <v>-0.1412118835</v>
      </c>
      <c r="AO286" s="188">
        <f>PPMT('Assumptions (NG Midstream)'!$B$72,Model!AJ$1,'Assumptions (NG Midstream)'!$B$75,Model!$AB$258)</f>
        <v>-0.1518027748</v>
      </c>
      <c r="AP286" s="188">
        <f>PPMT('Assumptions (NG Midstream)'!$B$72,Model!AK$1,'Assumptions (NG Midstream)'!$B$75,Model!$AB$258)</f>
        <v>-0.1631879829</v>
      </c>
      <c r="AQ286" s="188"/>
      <c r="AR286" s="188"/>
      <c r="AS286" s="188"/>
      <c r="AT286" s="188"/>
      <c r="AU286" s="188"/>
      <c r="AV286" s="188"/>
      <c r="AW286" s="188"/>
      <c r="AX286" s="188"/>
      <c r="AY286" s="188"/>
      <c r="AZ286" s="188"/>
    </row>
    <row r="287" ht="15.75" hidden="1" customHeight="1" outlineLevel="1">
      <c r="A287" s="187"/>
      <c r="B287" s="38"/>
      <c r="C287" s="188"/>
      <c r="D287" s="188"/>
      <c r="E287" s="188"/>
      <c r="F287" s="188"/>
      <c r="G287" s="188"/>
      <c r="H287" s="188"/>
      <c r="I287" s="188"/>
      <c r="J287" s="188"/>
      <c r="K287" s="188"/>
      <c r="L287" s="188"/>
      <c r="M287" s="188"/>
      <c r="N287" s="188"/>
      <c r="O287" s="188"/>
      <c r="P287" s="188"/>
      <c r="Q287" s="188"/>
      <c r="R287" s="188"/>
      <c r="S287" s="78"/>
      <c r="T287" s="78"/>
      <c r="U287" s="78"/>
      <c r="V287" s="78"/>
      <c r="W287" s="139"/>
      <c r="AC287" s="188">
        <f>PPMT('Assumptions (NG Midstream)'!$B$72,Model!W$1,'Assumptions (NG Midstream)'!$B$75,Model!$AC$258)</f>
        <v>-0.04987729654</v>
      </c>
      <c r="AD287" s="188">
        <f>PPMT('Assumptions (NG Midstream)'!$B$72,Model!X$1,'Assumptions (NG Midstream)'!$B$75,Model!$AC$258)</f>
        <v>-0.05361809378</v>
      </c>
      <c r="AE287" s="188">
        <f>PPMT('Assumptions (NG Midstream)'!$B$72,Model!Y$1,'Assumptions (NG Midstream)'!$B$75,Model!$AC$258)</f>
        <v>-0.05763945082</v>
      </c>
      <c r="AF287" s="188">
        <f>PPMT('Assumptions (NG Midstream)'!$B$72,Model!Z$1,'Assumptions (NG Midstream)'!$B$75,Model!$AC$258)</f>
        <v>-0.06196240963</v>
      </c>
      <c r="AG287" s="188">
        <f>PPMT('Assumptions (NG Midstream)'!$B$72,Model!AA$1,'Assumptions (NG Midstream)'!$B$75,Model!$AC$258)</f>
        <v>-0.06660959035</v>
      </c>
      <c r="AH287" s="188">
        <f>PPMT('Assumptions (NG Midstream)'!$B$72,Model!AB$1,'Assumptions (NG Midstream)'!$B$75,Model!$AC$258)</f>
        <v>-0.07160530963</v>
      </c>
      <c r="AI287" s="188">
        <f>PPMT('Assumptions (NG Midstream)'!$B$72,Model!AC$1,'Assumptions (NG Midstream)'!$B$75,Model!$AC$258)</f>
        <v>-0.07697570785</v>
      </c>
      <c r="AJ287" s="188">
        <f>PPMT('Assumptions (NG Midstream)'!$B$72,Model!AD$1,'Assumptions (NG Midstream)'!$B$75,Model!$AC$258)</f>
        <v>-0.08274888594</v>
      </c>
      <c r="AK287" s="188">
        <f>PPMT('Assumptions (NG Midstream)'!$B$72,Model!AE$1,'Assumptions (NG Midstream)'!$B$75,Model!$AC$258)</f>
        <v>-0.08895505238</v>
      </c>
      <c r="AL287" s="188">
        <f>PPMT('Assumptions (NG Midstream)'!$B$72,Model!AF$1,'Assumptions (NG Midstream)'!$B$75,Model!$AC$258)</f>
        <v>-0.09562668131</v>
      </c>
      <c r="AM287" s="188">
        <f>PPMT('Assumptions (NG Midstream)'!$B$72,Model!AG$1,'Assumptions (NG Midstream)'!$B$75,Model!$AC$258)</f>
        <v>-0.1027986824</v>
      </c>
      <c r="AN287" s="188">
        <f>PPMT('Assumptions (NG Midstream)'!$B$72,Model!AH$1,'Assumptions (NG Midstream)'!$B$75,Model!$AC$258)</f>
        <v>-0.1105085836</v>
      </c>
      <c r="AO287" s="188">
        <f>PPMT('Assumptions (NG Midstream)'!$B$72,Model!AI$1,'Assumptions (NG Midstream)'!$B$75,Model!$AC$258)</f>
        <v>-0.1187967274</v>
      </c>
      <c r="AP287" s="188">
        <f>PPMT('Assumptions (NG Midstream)'!$B$72,Model!AJ$1,'Assumptions (NG Midstream)'!$B$75,Model!$AC$258)</f>
        <v>-0.1277064819</v>
      </c>
      <c r="AQ287" s="188">
        <f>PPMT('Assumptions (NG Midstream)'!$B$72,Model!AK$1,'Assumptions (NG Midstream)'!$B$75,Model!$AC$258)</f>
        <v>-0.1372844681</v>
      </c>
      <c r="AR287" s="188"/>
      <c r="AS287" s="188"/>
      <c r="AT287" s="188"/>
      <c r="AU287" s="188"/>
      <c r="AV287" s="188"/>
      <c r="AW287" s="188"/>
      <c r="AX287" s="188"/>
      <c r="AY287" s="188"/>
      <c r="AZ287" s="188"/>
      <c r="BA287" s="188"/>
    </row>
    <row r="288" ht="15.75" hidden="1" customHeight="1" outlineLevel="1">
      <c r="A288" s="187"/>
      <c r="B288" s="38"/>
      <c r="C288" s="188"/>
      <c r="D288" s="188"/>
      <c r="E288" s="188"/>
      <c r="F288" s="188"/>
      <c r="G288" s="188"/>
      <c r="H288" s="188"/>
      <c r="I288" s="188"/>
      <c r="J288" s="188"/>
      <c r="K288" s="188"/>
      <c r="L288" s="188"/>
      <c r="M288" s="188"/>
      <c r="N288" s="188"/>
      <c r="O288" s="188"/>
      <c r="P288" s="188"/>
      <c r="Q288" s="188"/>
      <c r="R288" s="188"/>
      <c r="S288" s="78"/>
      <c r="T288" s="78"/>
      <c r="U288" s="78"/>
      <c r="V288" s="78"/>
      <c r="W288" s="139"/>
      <c r="AD288" s="188">
        <f>PPMT('Assumptions (NG Midstream)'!$B$72,Model!W$1,'Assumptions (NG Midstream)'!$B$75,Model!$AD$258)</f>
        <v>-0.04759708705</v>
      </c>
      <c r="AE288" s="188">
        <f>PPMT('Assumptions (NG Midstream)'!$B$72,Model!X$1,'Assumptions (NG Midstream)'!$B$75,Model!$AD$258)</f>
        <v>-0.05116686858</v>
      </c>
      <c r="AF288" s="188">
        <f>PPMT('Assumptions (NG Midstream)'!$B$72,Model!Y$1,'Assumptions (NG Midstream)'!$B$75,Model!$AD$258)</f>
        <v>-0.05500438372</v>
      </c>
      <c r="AG288" s="188">
        <f>PPMT('Assumptions (NG Midstream)'!$B$72,Model!Z$1,'Assumptions (NG Midstream)'!$B$75,Model!$AD$258)</f>
        <v>-0.0591297125</v>
      </c>
      <c r="AH288" s="188">
        <f>PPMT('Assumptions (NG Midstream)'!$B$72,Model!AA$1,'Assumptions (NG Midstream)'!$B$75,Model!$AD$258)</f>
        <v>-0.06356444094</v>
      </c>
      <c r="AI288" s="188">
        <f>PPMT('Assumptions (NG Midstream)'!$B$72,Model!AB$1,'Assumptions (NG Midstream)'!$B$75,Model!$AD$258)</f>
        <v>-0.06833177401</v>
      </c>
      <c r="AJ288" s="188">
        <f>PPMT('Assumptions (NG Midstream)'!$B$72,Model!AC$1,'Assumptions (NG Midstream)'!$B$75,Model!$AD$258)</f>
        <v>-0.07345665706</v>
      </c>
      <c r="AK288" s="188">
        <f>PPMT('Assumptions (NG Midstream)'!$B$72,Model!AD$1,'Assumptions (NG Midstream)'!$B$75,Model!$AD$258)</f>
        <v>-0.07896590634</v>
      </c>
      <c r="AL288" s="188">
        <f>PPMT('Assumptions (NG Midstream)'!$B$72,Model!AE$1,'Assumptions (NG Midstream)'!$B$75,Model!$AD$258)</f>
        <v>-0.08488834932</v>
      </c>
      <c r="AM288" s="188">
        <f>PPMT('Assumptions (NG Midstream)'!$B$72,Model!AF$1,'Assumptions (NG Midstream)'!$B$75,Model!$AD$258)</f>
        <v>-0.09125497552</v>
      </c>
      <c r="AN288" s="188">
        <f>PPMT('Assumptions (NG Midstream)'!$B$72,Model!AG$1,'Assumptions (NG Midstream)'!$B$75,Model!$AD$258)</f>
        <v>-0.09809909868</v>
      </c>
      <c r="AO288" s="188">
        <f>PPMT('Assumptions (NG Midstream)'!$B$72,Model!AH$1,'Assumptions (NG Midstream)'!$B$75,Model!$AD$258)</f>
        <v>-0.1054565311</v>
      </c>
      <c r="AP288" s="188">
        <f>PPMT('Assumptions (NG Midstream)'!$B$72,Model!AI$1,'Assumptions (NG Midstream)'!$B$75,Model!$AD$258)</f>
        <v>-0.1133657709</v>
      </c>
      <c r="AQ288" s="188">
        <f>PPMT('Assumptions (NG Midstream)'!$B$72,Model!AJ$1,'Assumptions (NG Midstream)'!$B$75,Model!$AD$258)</f>
        <v>-0.1218682037</v>
      </c>
      <c r="AR288" s="188">
        <f>PPMT('Assumptions (NG Midstream)'!$B$72,Model!AK$1,'Assumptions (NG Midstream)'!$B$75,Model!$AD$258)</f>
        <v>-0.131008319</v>
      </c>
      <c r="AS288" s="188"/>
      <c r="AT288" s="188"/>
      <c r="AU288" s="188"/>
      <c r="AV288" s="188"/>
      <c r="AW288" s="188"/>
      <c r="AX288" s="188"/>
      <c r="AY288" s="188"/>
      <c r="AZ288" s="188"/>
      <c r="BA288" s="188"/>
      <c r="BB288" s="188"/>
    </row>
    <row r="289" ht="15.75" hidden="1" customHeight="1" outlineLevel="1">
      <c r="A289" s="187"/>
      <c r="B289" s="38"/>
      <c r="C289" s="188"/>
      <c r="D289" s="188"/>
      <c r="E289" s="188"/>
      <c r="F289" s="188"/>
      <c r="G289" s="188"/>
      <c r="H289" s="188"/>
      <c r="I289" s="188"/>
      <c r="J289" s="188"/>
      <c r="K289" s="188"/>
      <c r="L289" s="188"/>
      <c r="M289" s="188"/>
      <c r="N289" s="188"/>
      <c r="O289" s="188"/>
      <c r="P289" s="188"/>
      <c r="Q289" s="188"/>
      <c r="R289" s="188"/>
      <c r="S289" s="78"/>
      <c r="T289" s="78"/>
      <c r="U289" s="78"/>
      <c r="V289" s="78"/>
      <c r="W289" s="139"/>
      <c r="AE289" s="188">
        <f>PPMT('Assumptions (NG Midstream)'!$B$72,Model!W$1,'Assumptions (NG Midstream)'!$B$75,Model!$AE$258)</f>
        <v>-0.04048835871</v>
      </c>
      <c r="AF289" s="188">
        <f>PPMT('Assumptions (NG Midstream)'!$B$72,Model!X$1,'Assumptions (NG Midstream)'!$B$75,Model!$AE$258)</f>
        <v>-0.04352498561</v>
      </c>
      <c r="AG289" s="188">
        <f>PPMT('Assumptions (NG Midstream)'!$B$72,Model!Y$1,'Assumptions (NG Midstream)'!$B$75,Model!$AE$258)</f>
        <v>-0.04678935953</v>
      </c>
      <c r="AH289" s="188">
        <f>PPMT('Assumptions (NG Midstream)'!$B$72,Model!Z$1,'Assumptions (NG Midstream)'!$B$75,Model!$AE$258)</f>
        <v>-0.05029856149</v>
      </c>
      <c r="AI289" s="188">
        <f>PPMT('Assumptions (NG Midstream)'!$B$72,Model!AA$1,'Assumptions (NG Midstream)'!$B$75,Model!$AE$258)</f>
        <v>-0.05407095361</v>
      </c>
      <c r="AJ289" s="188">
        <f>PPMT('Assumptions (NG Midstream)'!$B$72,Model!AB$1,'Assumptions (NG Midstream)'!$B$75,Model!$AE$258)</f>
        <v>-0.05812627513</v>
      </c>
      <c r="AK289" s="188">
        <f>PPMT('Assumptions (NG Midstream)'!$B$72,Model!AC$1,'Assumptions (NG Midstream)'!$B$75,Model!$AE$258)</f>
        <v>-0.06248574576</v>
      </c>
      <c r="AL289" s="188">
        <f>PPMT('Assumptions (NG Midstream)'!$B$72,Model!AD$1,'Assumptions (NG Midstream)'!$B$75,Model!$AE$258)</f>
        <v>-0.06717217669</v>
      </c>
      <c r="AM289" s="188">
        <f>PPMT('Assumptions (NG Midstream)'!$B$72,Model!AE$1,'Assumptions (NG Midstream)'!$B$75,Model!$AE$258)</f>
        <v>-0.07221008994</v>
      </c>
      <c r="AN289" s="188">
        <f>PPMT('Assumptions (NG Midstream)'!$B$72,Model!AF$1,'Assumptions (NG Midstream)'!$B$75,Model!$AE$258)</f>
        <v>-0.07762584669</v>
      </c>
      <c r="AO289" s="188">
        <f>PPMT('Assumptions (NG Midstream)'!$B$72,Model!AG$1,'Assumptions (NG Midstream)'!$B$75,Model!$AE$258)</f>
        <v>-0.08344778519</v>
      </c>
      <c r="AP289" s="188">
        <f>PPMT('Assumptions (NG Midstream)'!$B$72,Model!AH$1,'Assumptions (NG Midstream)'!$B$75,Model!$AE$258)</f>
        <v>-0.08970636908</v>
      </c>
      <c r="AQ289" s="188">
        <f>PPMT('Assumptions (NG Midstream)'!$B$72,Model!AI$1,'Assumptions (NG Midstream)'!$B$75,Model!$AE$258)</f>
        <v>-0.09643434676</v>
      </c>
      <c r="AR289" s="188">
        <f>PPMT('Assumptions (NG Midstream)'!$B$72,Model!AJ$1,'Assumptions (NG Midstream)'!$B$75,Model!$AE$258)</f>
        <v>-0.1036669228</v>
      </c>
      <c r="AS289" s="188">
        <f>PPMT('Assumptions (NG Midstream)'!$B$72,Model!AK$1,'Assumptions (NG Midstream)'!$B$75,Model!$AE$258)</f>
        <v>-0.111441942</v>
      </c>
      <c r="AT289" s="188"/>
      <c r="AU289" s="188"/>
      <c r="AV289" s="188"/>
      <c r="AW289" s="188"/>
      <c r="AX289" s="188"/>
      <c r="AY289" s="188"/>
      <c r="AZ289" s="188"/>
      <c r="BA289" s="188"/>
      <c r="BB289" s="188"/>
      <c r="BC289" s="188"/>
    </row>
    <row r="290" ht="15.75" hidden="1" customHeight="1" outlineLevel="1">
      <c r="A290" s="187"/>
      <c r="B290" s="38"/>
      <c r="C290" s="188"/>
      <c r="D290" s="188"/>
      <c r="E290" s="188"/>
      <c r="F290" s="188"/>
      <c r="G290" s="188"/>
      <c r="H290" s="188"/>
      <c r="I290" s="188"/>
      <c r="J290" s="188"/>
      <c r="K290" s="188"/>
      <c r="L290" s="188"/>
      <c r="M290" s="188"/>
      <c r="N290" s="188"/>
      <c r="O290" s="188"/>
      <c r="P290" s="188"/>
      <c r="Q290" s="188"/>
      <c r="R290" s="188"/>
      <c r="S290" s="78"/>
      <c r="T290" s="78"/>
      <c r="U290" s="78"/>
      <c r="V290" s="78"/>
      <c r="W290" s="139"/>
      <c r="AF290" s="188">
        <f>PPMT('Assumptions (NG Midstream)'!$B$72,Model!W$1,'Assumptions (NG Midstream)'!$B$75,Model!$AF$258)</f>
        <v>-0.03603400859</v>
      </c>
      <c r="AG290" s="188">
        <f>PPMT('Assumptions (NG Midstream)'!$B$72,Model!X$1,'Assumptions (NG Midstream)'!$B$75,Model!$AF$258)</f>
        <v>-0.03873655923</v>
      </c>
      <c r="AH290" s="188">
        <f>PPMT('Assumptions (NG Midstream)'!$B$72,Model!Y$1,'Assumptions (NG Midstream)'!$B$75,Model!$AF$258)</f>
        <v>-0.04164180118</v>
      </c>
      <c r="AI290" s="188">
        <f>PPMT('Assumptions (NG Midstream)'!$B$72,Model!Z$1,'Assumptions (NG Midstream)'!$B$75,Model!$AF$258)</f>
        <v>-0.04476493627</v>
      </c>
      <c r="AJ290" s="188">
        <f>PPMT('Assumptions (NG Midstream)'!$B$72,Model!AA$1,'Assumptions (NG Midstream)'!$B$75,Model!$AF$258)</f>
        <v>-0.04812230649</v>
      </c>
      <c r="AK290" s="188">
        <f>PPMT('Assumptions (NG Midstream)'!$B$72,Model!AB$1,'Assumptions (NG Midstream)'!$B$75,Model!$AF$258)</f>
        <v>-0.05173147947</v>
      </c>
      <c r="AL290" s="188">
        <f>PPMT('Assumptions (NG Midstream)'!$B$72,Model!AC$1,'Assumptions (NG Midstream)'!$B$75,Model!$AF$258)</f>
        <v>-0.05561134043</v>
      </c>
      <c r="AM290" s="188">
        <f>PPMT('Assumptions (NG Midstream)'!$B$72,Model!AD$1,'Assumptions (NG Midstream)'!$B$75,Model!$AF$258)</f>
        <v>-0.05978219096</v>
      </c>
      <c r="AN290" s="188">
        <f>PPMT('Assumptions (NG Midstream)'!$B$72,Model!AE$1,'Assumptions (NG Midstream)'!$B$75,Model!$AF$258)</f>
        <v>-0.06426585529</v>
      </c>
      <c r="AO290" s="188">
        <f>PPMT('Assumptions (NG Midstream)'!$B$72,Model!AF$1,'Assumptions (NG Midstream)'!$B$75,Model!$AF$258)</f>
        <v>-0.06908579443</v>
      </c>
      <c r="AP290" s="188">
        <f>PPMT('Assumptions (NG Midstream)'!$B$72,Model!AG$1,'Assumptions (NG Midstream)'!$B$75,Model!$AF$258)</f>
        <v>-0.07426722902</v>
      </c>
      <c r="AQ290" s="188">
        <f>PPMT('Assumptions (NG Midstream)'!$B$72,Model!AH$1,'Assumptions (NG Midstream)'!$B$75,Model!$AF$258)</f>
        <v>-0.07983727119</v>
      </c>
      <c r="AR290" s="188">
        <f>PPMT('Assumptions (NG Midstream)'!$B$72,Model!AI$1,'Assumptions (NG Midstream)'!$B$75,Model!$AF$258)</f>
        <v>-0.08582506653</v>
      </c>
      <c r="AS290" s="188">
        <f>PPMT('Assumptions (NG Midstream)'!$B$72,Model!AJ$1,'Assumptions (NG Midstream)'!$B$75,Model!$AF$258)</f>
        <v>-0.09226194652</v>
      </c>
      <c r="AT290" s="188">
        <f>PPMT('Assumptions (NG Midstream)'!$B$72,Model!AK$1,'Assumptions (NG Midstream)'!$B$75,Model!$AF$258)</f>
        <v>-0.09918159251</v>
      </c>
      <c r="AU290" s="188"/>
      <c r="AV290" s="188"/>
      <c r="AW290" s="188"/>
      <c r="AX290" s="188"/>
      <c r="AY290" s="188"/>
      <c r="AZ290" s="188"/>
      <c r="BA290" s="188"/>
      <c r="BB290" s="188"/>
      <c r="BC290" s="188"/>
      <c r="BD290" s="188"/>
    </row>
    <row r="291" ht="15.75" hidden="1" customHeight="1" outlineLevel="1">
      <c r="A291" s="187"/>
      <c r="B291" s="38"/>
      <c r="C291" s="188"/>
      <c r="D291" s="188"/>
      <c r="E291" s="188"/>
      <c r="F291" s="188"/>
      <c r="G291" s="188"/>
      <c r="H291" s="188"/>
      <c r="I291" s="188"/>
      <c r="J291" s="188"/>
      <c r="K291" s="188"/>
      <c r="L291" s="188"/>
      <c r="M291" s="188"/>
      <c r="N291" s="188"/>
      <c r="O291" s="188"/>
      <c r="P291" s="188"/>
      <c r="Q291" s="188"/>
      <c r="R291" s="188"/>
      <c r="S291" s="78"/>
      <c r="T291" s="78"/>
      <c r="U291" s="78"/>
      <c r="V291" s="78"/>
      <c r="W291" s="139"/>
      <c r="AG291" s="188">
        <f>PPMT('Assumptions (NG Midstream)'!$B$72,Model!W$1,'Assumptions (NG Midstream)'!$B$75,Model!$AG$258)</f>
        <v>-0.0421106426</v>
      </c>
      <c r="AH291" s="188">
        <f>PPMT('Assumptions (NG Midstream)'!$B$72,Model!X$1,'Assumptions (NG Midstream)'!$B$75,Model!$AG$258)</f>
        <v>-0.04526894079</v>
      </c>
      <c r="AI291" s="188">
        <f>PPMT('Assumptions (NG Midstream)'!$B$72,Model!Y$1,'Assumptions (NG Midstream)'!$B$75,Model!$AG$258)</f>
        <v>-0.04866411135</v>
      </c>
      <c r="AJ291" s="188">
        <f>PPMT('Assumptions (NG Midstream)'!$B$72,Model!Z$1,'Assumptions (NG Midstream)'!$B$75,Model!$AG$258)</f>
        <v>-0.05231391971</v>
      </c>
      <c r="AK291" s="188">
        <f>PPMT('Assumptions (NG Midstream)'!$B$72,Model!AA$1,'Assumptions (NG Midstream)'!$B$75,Model!$AG$258)</f>
        <v>-0.05623746368</v>
      </c>
      <c r="AL291" s="188">
        <f>PPMT('Assumptions (NG Midstream)'!$B$72,Model!AB$1,'Assumptions (NG Midstream)'!$B$75,Model!$AG$258)</f>
        <v>-0.06045527346</v>
      </c>
      <c r="AM291" s="188">
        <f>PPMT('Assumptions (NG Midstream)'!$B$72,Model!AC$1,'Assumptions (NG Midstream)'!$B$75,Model!$AG$258)</f>
        <v>-0.06498941897</v>
      </c>
      <c r="AN291" s="188">
        <f>PPMT('Assumptions (NG Midstream)'!$B$72,Model!AD$1,'Assumptions (NG Midstream)'!$B$75,Model!$AG$258)</f>
        <v>-0.06986362539</v>
      </c>
      <c r="AO291" s="188">
        <f>PPMT('Assumptions (NG Midstream)'!$B$72,Model!AE$1,'Assumptions (NG Midstream)'!$B$75,Model!$AG$258)</f>
        <v>-0.0751033973</v>
      </c>
      <c r="AP291" s="188">
        <f>PPMT('Assumptions (NG Midstream)'!$B$72,Model!AF$1,'Assumptions (NG Midstream)'!$B$75,Model!$AG$258)</f>
        <v>-0.08073615209</v>
      </c>
      <c r="AQ291" s="188">
        <f>PPMT('Assumptions (NG Midstream)'!$B$72,Model!AG$1,'Assumptions (NG Midstream)'!$B$75,Model!$AG$258)</f>
        <v>-0.0867913635</v>
      </c>
      <c r="AR291" s="188">
        <f>PPMT('Assumptions (NG Midstream)'!$B$72,Model!AH$1,'Assumptions (NG Midstream)'!$B$75,Model!$AG$258)</f>
        <v>-0.09330071576</v>
      </c>
      <c r="AS291" s="188">
        <f>PPMT('Assumptions (NG Midstream)'!$B$72,Model!AI$1,'Assumptions (NG Midstream)'!$B$75,Model!$AG$258)</f>
        <v>-0.1002982694</v>
      </c>
      <c r="AT291" s="188">
        <f>PPMT('Assumptions (NG Midstream)'!$B$72,Model!AJ$1,'Assumptions (NG Midstream)'!$B$75,Model!$AG$258)</f>
        <v>-0.1078206397</v>
      </c>
      <c r="AU291" s="188">
        <f>PPMT('Assumptions (NG Midstream)'!$B$72,Model!AK$1,'Assumptions (NG Midstream)'!$B$75,Model!$AG$258)</f>
        <v>-0.1159071876</v>
      </c>
      <c r="AV291" s="188"/>
      <c r="AW291" s="188"/>
      <c r="AX291" s="188"/>
      <c r="AY291" s="188"/>
      <c r="AZ291" s="188"/>
      <c r="BA291" s="188"/>
      <c r="BB291" s="188"/>
      <c r="BC291" s="188"/>
      <c r="BD291" s="188"/>
      <c r="BE291" s="188"/>
    </row>
    <row r="292" ht="15.75" hidden="1" customHeight="1" outlineLevel="1">
      <c r="A292" s="187"/>
      <c r="B292" s="38"/>
      <c r="C292" s="188"/>
      <c r="D292" s="188"/>
      <c r="E292" s="188"/>
      <c r="F292" s="188"/>
      <c r="G292" s="188"/>
      <c r="H292" s="188"/>
      <c r="I292" s="188"/>
      <c r="J292" s="188"/>
      <c r="K292" s="188"/>
      <c r="L292" s="188"/>
      <c r="M292" s="188"/>
      <c r="N292" s="188"/>
      <c r="O292" s="188"/>
      <c r="P292" s="188"/>
      <c r="Q292" s="188"/>
      <c r="R292" s="188"/>
      <c r="S292" s="78"/>
      <c r="T292" s="78"/>
      <c r="U292" s="78"/>
      <c r="V292" s="78"/>
      <c r="W292" s="139"/>
      <c r="AH292" s="188">
        <f>PPMT('Assumptions (NG Midstream)'!$B$72,Model!W$1,'Assumptions (NG Midstream)'!$B$75,Model!$AH$258)</f>
        <v>-0.0443151831</v>
      </c>
      <c r="AI292" s="188">
        <f>PPMT('Assumptions (NG Midstream)'!$B$72,Model!X$1,'Assumptions (NG Midstream)'!$B$75,Model!$AH$258)</f>
        <v>-0.04763882183</v>
      </c>
      <c r="AJ292" s="188">
        <f>PPMT('Assumptions (NG Midstream)'!$B$72,Model!Y$1,'Assumptions (NG Midstream)'!$B$75,Model!$AH$258)</f>
        <v>-0.05121173347</v>
      </c>
      <c r="AK292" s="188">
        <f>PPMT('Assumptions (NG Midstream)'!$B$72,Model!Z$1,'Assumptions (NG Midstream)'!$B$75,Model!$AH$258)</f>
        <v>-0.05505261348</v>
      </c>
      <c r="AL292" s="188">
        <f>PPMT('Assumptions (NG Midstream)'!$B$72,Model!AA$1,'Assumptions (NG Midstream)'!$B$75,Model!$AH$258)</f>
        <v>-0.05918155949</v>
      </c>
      <c r="AM292" s="188">
        <f>PPMT('Assumptions (NG Midstream)'!$B$72,Model!AB$1,'Assumptions (NG Midstream)'!$B$75,Model!$AH$258)</f>
        <v>-0.06362017645</v>
      </c>
      <c r="AN292" s="188">
        <f>PPMT('Assumptions (NG Midstream)'!$B$72,Model!AC$1,'Assumptions (NG Midstream)'!$B$75,Model!$AH$258)</f>
        <v>-0.06839168969</v>
      </c>
      <c r="AO292" s="188">
        <f>PPMT('Assumptions (NG Midstream)'!$B$72,Model!AD$1,'Assumptions (NG Midstream)'!$B$75,Model!$AH$258)</f>
        <v>-0.07352106641</v>
      </c>
      <c r="AP292" s="188">
        <f>PPMT('Assumptions (NG Midstream)'!$B$72,Model!AE$1,'Assumptions (NG Midstream)'!$B$75,Model!$AH$258)</f>
        <v>-0.07903514639</v>
      </c>
      <c r="AQ292" s="188">
        <f>PPMT('Assumptions (NG Midstream)'!$B$72,Model!AF$1,'Assumptions (NG Midstream)'!$B$75,Model!$AH$258)</f>
        <v>-0.08496278237</v>
      </c>
      <c r="AR292" s="188">
        <f>PPMT('Assumptions (NG Midstream)'!$B$72,Model!AG$1,'Assumptions (NG Midstream)'!$B$75,Model!$AH$258)</f>
        <v>-0.09133499105</v>
      </c>
      <c r="AS292" s="188">
        <f>PPMT('Assumptions (NG Midstream)'!$B$72,Model!AH$1,'Assumptions (NG Midstream)'!$B$75,Model!$AH$258)</f>
        <v>-0.09818511538</v>
      </c>
      <c r="AT292" s="188">
        <f>PPMT('Assumptions (NG Midstream)'!$B$72,Model!AI$1,'Assumptions (NG Midstream)'!$B$75,Model!$AH$258)</f>
        <v>-0.105548999</v>
      </c>
      <c r="AU292" s="188">
        <f>PPMT('Assumptions (NG Midstream)'!$B$72,Model!AJ$1,'Assumptions (NG Midstream)'!$B$75,Model!$AH$258)</f>
        <v>-0.113465174</v>
      </c>
      <c r="AV292" s="188">
        <f>PPMT('Assumptions (NG Midstream)'!$B$72,Model!AK$1,'Assumptions (NG Midstream)'!$B$75,Model!$AH$258)</f>
        <v>-0.121975062</v>
      </c>
      <c r="AW292" s="188"/>
      <c r="AX292" s="188"/>
      <c r="AY292" s="188"/>
      <c r="AZ292" s="188"/>
      <c r="BA292" s="188"/>
      <c r="BB292" s="188"/>
      <c r="BC292" s="188"/>
      <c r="BD292" s="188"/>
      <c r="BE292" s="188"/>
      <c r="BF292" s="188"/>
    </row>
    <row r="293" ht="15.75" hidden="1" customHeight="1" outlineLevel="1">
      <c r="A293" s="187"/>
      <c r="B293" s="38"/>
      <c r="C293" s="188"/>
      <c r="D293" s="188"/>
      <c r="E293" s="188"/>
      <c r="F293" s="188"/>
      <c r="G293" s="188"/>
      <c r="H293" s="188"/>
      <c r="I293" s="188"/>
      <c r="J293" s="188"/>
      <c r="K293" s="188"/>
      <c r="L293" s="188"/>
      <c r="M293" s="188"/>
      <c r="N293" s="188"/>
      <c r="O293" s="188"/>
      <c r="P293" s="188"/>
      <c r="Q293" s="188"/>
      <c r="R293" s="188"/>
      <c r="S293" s="78"/>
      <c r="T293" s="78"/>
      <c r="U293" s="78"/>
      <c r="V293" s="78"/>
      <c r="W293" s="139"/>
      <c r="AI293" s="188">
        <f>PPMT('Assumptions (NG Midstream)'!$B$72,Model!W$1,'Assumptions (NG Midstream)'!$B$75,Model!$AI$258)</f>
        <v>-0.03673136344</v>
      </c>
      <c r="AJ293" s="188">
        <f>PPMT('Assumptions (NG Midstream)'!$B$72,Model!X$1,'Assumptions (NG Midstream)'!$B$75,Model!$AI$258)</f>
        <v>-0.03948621569</v>
      </c>
      <c r="AK293" s="188">
        <f>PPMT('Assumptions (NG Midstream)'!$B$72,Model!Y$1,'Assumptions (NG Midstream)'!$B$75,Model!$AI$258)</f>
        <v>-0.04244768187</v>
      </c>
      <c r="AL293" s="188">
        <f>PPMT('Assumptions (NG Midstream)'!$B$72,Model!Z$1,'Assumptions (NG Midstream)'!$B$75,Model!$AI$258)</f>
        <v>-0.04563125801</v>
      </c>
      <c r="AM293" s="188">
        <f>PPMT('Assumptions (NG Midstream)'!$B$72,Model!AA$1,'Assumptions (NG Midstream)'!$B$75,Model!$AI$258)</f>
        <v>-0.04905360236</v>
      </c>
      <c r="AN293" s="188">
        <f>PPMT('Assumptions (NG Midstream)'!$B$72,Model!AB$1,'Assumptions (NG Midstream)'!$B$75,Model!$AI$258)</f>
        <v>-0.05273262254</v>
      </c>
      <c r="AO293" s="188">
        <f>PPMT('Assumptions (NG Midstream)'!$B$72,Model!AC$1,'Assumptions (NG Midstream)'!$B$75,Model!$AI$258)</f>
        <v>-0.05668756923</v>
      </c>
      <c r="AP293" s="188">
        <f>PPMT('Assumptions (NG Midstream)'!$B$72,Model!AD$1,'Assumptions (NG Midstream)'!$B$75,Model!$AI$258)</f>
        <v>-0.06093913692</v>
      </c>
      <c r="AQ293" s="188">
        <f>PPMT('Assumptions (NG Midstream)'!$B$72,Model!AE$1,'Assumptions (NG Midstream)'!$B$75,Model!$AI$258)</f>
        <v>-0.06550957219</v>
      </c>
      <c r="AR293" s="188">
        <f>PPMT('Assumptions (NG Midstream)'!$B$72,Model!AF$1,'Assumptions (NG Midstream)'!$B$75,Model!$AI$258)</f>
        <v>-0.07042279011</v>
      </c>
      <c r="AS293" s="188">
        <f>PPMT('Assumptions (NG Midstream)'!$B$72,Model!AG$1,'Assumptions (NG Midstream)'!$B$75,Model!$AI$258)</f>
        <v>-0.07570449937</v>
      </c>
      <c r="AT293" s="188">
        <f>PPMT('Assumptions (NG Midstream)'!$B$72,Model!AH$1,'Assumptions (NG Midstream)'!$B$75,Model!$AI$258)</f>
        <v>-0.08138233682</v>
      </c>
      <c r="AU293" s="188">
        <f>PPMT('Assumptions (NG Midstream)'!$B$72,Model!AI$1,'Assumptions (NG Midstream)'!$B$75,Model!$AI$258)</f>
        <v>-0.08748601208</v>
      </c>
      <c r="AV293" s="188">
        <f>PPMT('Assumptions (NG Midstream)'!$B$72,Model!AJ$1,'Assumptions (NG Midstream)'!$B$75,Model!$AI$258)</f>
        <v>-0.09404746298</v>
      </c>
      <c r="AW293" s="188">
        <f>PPMT('Assumptions (NG Midstream)'!$B$72,Model!AK$1,'Assumptions (NG Midstream)'!$B$75,Model!$AI$258)</f>
        <v>-0.1011010227</v>
      </c>
      <c r="AX293" s="188"/>
      <c r="AY293" s="188"/>
      <c r="AZ293" s="188"/>
      <c r="BA293" s="188"/>
      <c r="BB293" s="188"/>
      <c r="BC293" s="188"/>
      <c r="BD293" s="188"/>
      <c r="BE293" s="188"/>
      <c r="BF293" s="188"/>
      <c r="BG293" s="188"/>
    </row>
    <row r="294" ht="15.75" hidden="1" customHeight="1" outlineLevel="1">
      <c r="A294" s="187"/>
      <c r="B294" s="38"/>
      <c r="C294" s="188"/>
      <c r="D294" s="188"/>
      <c r="E294" s="188"/>
      <c r="F294" s="188"/>
      <c r="G294" s="188"/>
      <c r="H294" s="188"/>
      <c r="I294" s="188"/>
      <c r="J294" s="188"/>
      <c r="K294" s="188"/>
      <c r="L294" s="188"/>
      <c r="M294" s="188"/>
      <c r="N294" s="188"/>
      <c r="O294" s="188"/>
      <c r="P294" s="188"/>
      <c r="Q294" s="188"/>
      <c r="R294" s="188"/>
      <c r="S294" s="78"/>
      <c r="T294" s="78"/>
      <c r="U294" s="78"/>
      <c r="V294" s="78"/>
      <c r="W294" s="139"/>
      <c r="AJ294" s="188">
        <f>PPMT('Assumptions (NG Midstream)'!$B$72,Model!W$1,'Assumptions (NG Midstream)'!$B$75,Model!$AJ$258)</f>
        <v>-0.04222160255</v>
      </c>
      <c r="AK294" s="188">
        <f>PPMT('Assumptions (NG Midstream)'!$B$72,Model!X$1,'Assumptions (NG Midstream)'!$B$75,Model!$AJ$258)</f>
        <v>-0.04538822274</v>
      </c>
      <c r="AL294" s="188">
        <f>PPMT('Assumptions (NG Midstream)'!$B$72,Model!Y$1,'Assumptions (NG Midstream)'!$B$75,Model!$AJ$258)</f>
        <v>-0.04879233945</v>
      </c>
      <c r="AM294" s="188">
        <f>PPMT('Assumptions (NG Midstream)'!$B$72,Model!Z$1,'Assumptions (NG Midstream)'!$B$75,Model!$AJ$258)</f>
        <v>-0.0524517649</v>
      </c>
      <c r="AN294" s="188">
        <f>PPMT('Assumptions (NG Midstream)'!$B$72,Model!AA$1,'Assumptions (NG Midstream)'!$B$75,Model!$AJ$258)</f>
        <v>-0.05638564727</v>
      </c>
      <c r="AO294" s="188">
        <f>PPMT('Assumptions (NG Midstream)'!$B$72,Model!AB$1,'Assumptions (NG Midstream)'!$B$75,Model!$AJ$258)</f>
        <v>-0.06061457082</v>
      </c>
      <c r="AP294" s="188">
        <f>PPMT('Assumptions (NG Midstream)'!$B$72,Model!AC$1,'Assumptions (NG Midstream)'!$B$75,Model!$AJ$258)</f>
        <v>-0.06516066363</v>
      </c>
      <c r="AQ294" s="188">
        <f>PPMT('Assumptions (NG Midstream)'!$B$72,Model!AD$1,'Assumptions (NG Midstream)'!$B$75,Model!$AJ$258)</f>
        <v>-0.0700477134</v>
      </c>
      <c r="AR294" s="188">
        <f>PPMT('Assumptions (NG Midstream)'!$B$72,Model!AE$1,'Assumptions (NG Midstream)'!$B$75,Model!$AJ$258)</f>
        <v>-0.07530129191</v>
      </c>
      <c r="AS294" s="188">
        <f>PPMT('Assumptions (NG Midstream)'!$B$72,Model!AF$1,'Assumptions (NG Midstream)'!$B$75,Model!$AJ$258)</f>
        <v>-0.0809488888</v>
      </c>
      <c r="AT294" s="188">
        <f>PPMT('Assumptions (NG Midstream)'!$B$72,Model!AG$1,'Assumptions (NG Midstream)'!$B$75,Model!$AJ$258)</f>
        <v>-0.08702005546</v>
      </c>
      <c r="AU294" s="188">
        <f>PPMT('Assumptions (NG Midstream)'!$B$72,Model!AH$1,'Assumptions (NG Midstream)'!$B$75,Model!$AJ$258)</f>
        <v>-0.09354655962</v>
      </c>
      <c r="AV294" s="188">
        <f>PPMT('Assumptions (NG Midstream)'!$B$72,Model!AI$1,'Assumptions (NG Midstream)'!$B$75,Model!$AJ$258)</f>
        <v>-0.1005625516</v>
      </c>
      <c r="AW294" s="188">
        <f>PPMT('Assumptions (NG Midstream)'!$B$72,Model!AJ$1,'Assumptions (NG Midstream)'!$B$75,Model!$AJ$258)</f>
        <v>-0.108104743</v>
      </c>
      <c r="AX294" s="188">
        <f>PPMT('Assumptions (NG Midstream)'!$B$72,Model!AK$1,'Assumptions (NG Midstream)'!$B$75,Model!$AJ$258)</f>
        <v>-0.1162125987</v>
      </c>
      <c r="AY294" s="188"/>
      <c r="AZ294" s="188"/>
      <c r="BA294" s="188"/>
      <c r="BB294" s="188"/>
      <c r="BC294" s="188"/>
      <c r="BD294" s="188"/>
      <c r="BE294" s="188"/>
      <c r="BF294" s="188"/>
      <c r="BG294" s="188"/>
      <c r="BH294" s="188"/>
    </row>
    <row r="295" ht="15.75" hidden="1" customHeight="1" outlineLevel="1">
      <c r="A295" s="187"/>
      <c r="B295" s="38"/>
      <c r="C295" s="188"/>
      <c r="D295" s="188"/>
      <c r="E295" s="188"/>
      <c r="F295" s="188"/>
      <c r="G295" s="188"/>
      <c r="H295" s="188"/>
      <c r="I295" s="188"/>
      <c r="J295" s="188"/>
      <c r="K295" s="188"/>
      <c r="L295" s="188"/>
      <c r="M295" s="188"/>
      <c r="N295" s="188"/>
      <c r="O295" s="188"/>
      <c r="P295" s="188"/>
      <c r="Q295" s="188"/>
      <c r="R295" s="188"/>
      <c r="S295" s="78"/>
      <c r="T295" s="78"/>
      <c r="U295" s="78"/>
      <c r="V295" s="78"/>
      <c r="W295" s="139"/>
      <c r="AK295" s="188">
        <f>PPMT('Assumptions (NG Midstream)'!$B$72,Model!W$1,'Assumptions (NG Midstream)'!$B$75,Model!$AK$258)</f>
        <v>-0.03909129986</v>
      </c>
      <c r="AL295" s="188">
        <f>PPMT('Assumptions (NG Midstream)'!$B$72,Model!X$1,'Assumptions (NG Midstream)'!$B$75,Model!$AK$258)</f>
        <v>-0.04202314735</v>
      </c>
      <c r="AM295" s="188">
        <f>PPMT('Assumptions (NG Midstream)'!$B$72,Model!Y$1,'Assumptions (NG Midstream)'!$B$75,Model!$AK$258)</f>
        <v>-0.0451748834</v>
      </c>
      <c r="AN295" s="188">
        <f>PPMT('Assumptions (NG Midstream)'!$B$72,Model!Z$1,'Assumptions (NG Midstream)'!$B$75,Model!$AK$258)</f>
        <v>-0.04856299965</v>
      </c>
      <c r="AO295" s="188">
        <f>PPMT('Assumptions (NG Midstream)'!$B$72,Model!AA$1,'Assumptions (NG Midstream)'!$B$75,Model!$AK$258)</f>
        <v>-0.05220522463</v>
      </c>
      <c r="AP295" s="188">
        <f>PPMT('Assumptions (NG Midstream)'!$B$72,Model!AB$1,'Assumptions (NG Midstream)'!$B$75,Model!$AK$258)</f>
        <v>-0.05612061647</v>
      </c>
      <c r="AQ295" s="188">
        <f>PPMT('Assumptions (NG Midstream)'!$B$72,Model!AC$1,'Assumptions (NG Midstream)'!$B$75,Model!$AK$258)</f>
        <v>-0.06032966271</v>
      </c>
      <c r="AR295" s="188">
        <f>PPMT('Assumptions (NG Midstream)'!$B$72,Model!AD$1,'Assumptions (NG Midstream)'!$B$75,Model!$AK$258)</f>
        <v>-0.06485438741</v>
      </c>
      <c r="AS295" s="188">
        <f>PPMT('Assumptions (NG Midstream)'!$B$72,Model!AE$1,'Assumptions (NG Midstream)'!$B$75,Model!$AK$258)</f>
        <v>-0.06971846647</v>
      </c>
      <c r="AT295" s="188">
        <f>PPMT('Assumptions (NG Midstream)'!$B$72,Model!AF$1,'Assumptions (NG Midstream)'!$B$75,Model!$AK$258)</f>
        <v>-0.07494735145</v>
      </c>
      <c r="AU295" s="188">
        <f>PPMT('Assumptions (NG Midstream)'!$B$72,Model!AG$1,'Assumptions (NG Midstream)'!$B$75,Model!$AK$258)</f>
        <v>-0.08056840281</v>
      </c>
      <c r="AV295" s="188">
        <f>PPMT('Assumptions (NG Midstream)'!$B$72,Model!AH$1,'Assumptions (NG Midstream)'!$B$75,Model!$AK$258)</f>
        <v>-0.08661103302</v>
      </c>
      <c r="AW295" s="188">
        <f>PPMT('Assumptions (NG Midstream)'!$B$72,Model!AI$1,'Assumptions (NG Midstream)'!$B$75,Model!$AK$258)</f>
        <v>-0.0931068605</v>
      </c>
      <c r="AX295" s="188">
        <f>PPMT('Assumptions (NG Midstream)'!$B$72,Model!AJ$1,'Assumptions (NG Midstream)'!$B$75,Model!$AK$258)</f>
        <v>-0.100089875</v>
      </c>
      <c r="AY295" s="188">
        <f>PPMT('Assumptions (NG Midstream)'!$B$72,Model!AK$1,'Assumptions (NG Midstream)'!$B$75,Model!$AK$258)</f>
        <v>-0.1075966157</v>
      </c>
      <c r="AZ295" s="188"/>
      <c r="BA295" s="188"/>
      <c r="BB295" s="188"/>
      <c r="BC295" s="188"/>
      <c r="BD295" s="188"/>
      <c r="BE295" s="188"/>
      <c r="BF295" s="188"/>
      <c r="BG295" s="188"/>
      <c r="BH295" s="188"/>
      <c r="BI295" s="188"/>
    </row>
    <row r="296" ht="15.75" hidden="1" customHeight="1" outlineLevel="1">
      <c r="A296" s="187"/>
      <c r="B296" s="38"/>
      <c r="C296" s="188"/>
      <c r="D296" s="188"/>
      <c r="E296" s="188"/>
      <c r="F296" s="188"/>
      <c r="G296" s="188"/>
      <c r="H296" s="188"/>
      <c r="I296" s="188"/>
      <c r="J296" s="188"/>
      <c r="K296" s="188"/>
      <c r="L296" s="188"/>
      <c r="M296" s="188"/>
      <c r="N296" s="188"/>
      <c r="O296" s="188"/>
      <c r="P296" s="188"/>
      <c r="Q296" s="188"/>
      <c r="R296" s="188"/>
      <c r="S296" s="78"/>
      <c r="T296" s="78"/>
      <c r="U296" s="78"/>
      <c r="V296" s="78"/>
      <c r="W296" s="139"/>
      <c r="AL296" s="188">
        <f>PPMT('Assumptions (NG Midstream)'!$B$72,Model!W$1,'Assumptions (NG Midstream)'!$B$75,Model!$AL$258)</f>
        <v>-0.03964532325</v>
      </c>
      <c r="AM296" s="188">
        <f>PPMT('Assumptions (NG Midstream)'!$B$72,Model!X$1,'Assumptions (NG Midstream)'!$B$75,Model!$AL$258)</f>
        <v>-0.04261872249</v>
      </c>
      <c r="AN296" s="188">
        <f>PPMT('Assumptions (NG Midstream)'!$B$72,Model!Y$1,'Assumptions (NG Midstream)'!$B$75,Model!$AL$258)</f>
        <v>-0.04581512668</v>
      </c>
      <c r="AO296" s="188">
        <f>PPMT('Assumptions (NG Midstream)'!$B$72,Model!Z$1,'Assumptions (NG Midstream)'!$B$75,Model!$AL$258)</f>
        <v>-0.04925126118</v>
      </c>
      <c r="AP296" s="188">
        <f>PPMT('Assumptions (NG Midstream)'!$B$72,Model!AA$1,'Assumptions (NG Midstream)'!$B$75,Model!$AL$258)</f>
        <v>-0.05294510577</v>
      </c>
      <c r="AQ296" s="188">
        <f>PPMT('Assumptions (NG Midstream)'!$B$72,Model!AB$1,'Assumptions (NG Midstream)'!$B$75,Model!$AL$258)</f>
        <v>-0.0569159887</v>
      </c>
      <c r="AR296" s="188">
        <f>PPMT('Assumptions (NG Midstream)'!$B$72,Model!AC$1,'Assumptions (NG Midstream)'!$B$75,Model!$AL$258)</f>
        <v>-0.06118468785</v>
      </c>
      <c r="AS296" s="188">
        <f>PPMT('Assumptions (NG Midstream)'!$B$72,Model!AD$1,'Assumptions (NG Midstream)'!$B$75,Model!$AL$258)</f>
        <v>-0.06577353944</v>
      </c>
      <c r="AT296" s="188">
        <f>PPMT('Assumptions (NG Midstream)'!$B$72,Model!AE$1,'Assumptions (NG Midstream)'!$B$75,Model!$AL$258)</f>
        <v>-0.0707065549</v>
      </c>
      <c r="AU296" s="188">
        <f>PPMT('Assumptions (NG Midstream)'!$B$72,Model!AF$1,'Assumptions (NG Midstream)'!$B$75,Model!$AL$258)</f>
        <v>-0.07600954652</v>
      </c>
      <c r="AV296" s="188">
        <f>PPMT('Assumptions (NG Midstream)'!$B$72,Model!AG$1,'Assumptions (NG Midstream)'!$B$75,Model!$AL$258)</f>
        <v>-0.08171026251</v>
      </c>
      <c r="AW296" s="188">
        <f>PPMT('Assumptions (NG Midstream)'!$B$72,Model!AH$1,'Assumptions (NG Midstream)'!$B$75,Model!$AL$258)</f>
        <v>-0.08783853219</v>
      </c>
      <c r="AX296" s="188">
        <f>PPMT('Assumptions (NG Midstream)'!$B$72,Model!AI$1,'Assumptions (NG Midstream)'!$B$75,Model!$AL$258)</f>
        <v>-0.09442642211</v>
      </c>
      <c r="AY296" s="188">
        <f>PPMT('Assumptions (NG Midstream)'!$B$72,Model!AJ$1,'Assumptions (NG Midstream)'!$B$75,Model!$AL$258)</f>
        <v>-0.1015084038</v>
      </c>
      <c r="AZ296" s="188">
        <f>PPMT('Assumptions (NG Midstream)'!$B$72,Model!AK$1,'Assumptions (NG Midstream)'!$B$75,Model!$AL$258)</f>
        <v>-0.1091215341</v>
      </c>
      <c r="BA296" s="188"/>
      <c r="BB296" s="188"/>
      <c r="BC296" s="188"/>
      <c r="BD296" s="188"/>
      <c r="BE296" s="188"/>
      <c r="BF296" s="188"/>
      <c r="BG296" s="188"/>
      <c r="BH296" s="188"/>
      <c r="BI296" s="188"/>
      <c r="BJ296" s="188"/>
    </row>
    <row r="297" ht="15.75" hidden="1" customHeight="1" outlineLevel="1">
      <c r="A297" s="187"/>
      <c r="B297" s="38"/>
      <c r="C297" s="188"/>
      <c r="D297" s="188"/>
      <c r="E297" s="188"/>
      <c r="F297" s="188"/>
      <c r="G297" s="188"/>
      <c r="H297" s="188"/>
      <c r="I297" s="188"/>
      <c r="J297" s="188"/>
      <c r="K297" s="188"/>
      <c r="L297" s="188"/>
      <c r="M297" s="188"/>
      <c r="N297" s="188"/>
      <c r="O297" s="188"/>
      <c r="P297" s="188"/>
      <c r="Q297" s="188"/>
      <c r="R297" s="188"/>
      <c r="S297" s="78"/>
      <c r="T297" s="78"/>
      <c r="U297" s="78"/>
      <c r="V297" s="78"/>
      <c r="W297" s="139"/>
      <c r="AM297" s="188">
        <f>PPMT('Assumptions (NG Midstream)'!$B$72,Model!W$1,'Assumptions (NG Midstream)'!$B$75,Model!$AM$258)</f>
        <v>-0.03665702963</v>
      </c>
      <c r="AN297" s="188">
        <f>PPMT('Assumptions (NG Midstream)'!$B$72,Model!X$1,'Assumptions (NG Midstream)'!$B$75,Model!$AM$258)</f>
        <v>-0.03940630685</v>
      </c>
      <c r="AO297" s="188">
        <f>PPMT('Assumptions (NG Midstream)'!$B$72,Model!Y$1,'Assumptions (NG Midstream)'!$B$75,Model!$AM$258)</f>
        <v>-0.04236177986</v>
      </c>
      <c r="AP297" s="188">
        <f>PPMT('Assumptions (NG Midstream)'!$B$72,Model!Z$1,'Assumptions (NG Midstream)'!$B$75,Model!$AM$258)</f>
        <v>-0.04553891335</v>
      </c>
      <c r="AQ297" s="188">
        <f>PPMT('Assumptions (NG Midstream)'!$B$72,Model!AA$1,'Assumptions (NG Midstream)'!$B$75,Model!$AM$258)</f>
        <v>-0.04895433185</v>
      </c>
      <c r="AR297" s="188">
        <f>PPMT('Assumptions (NG Midstream)'!$B$72,Model!AB$1,'Assumptions (NG Midstream)'!$B$75,Model!$AM$258)</f>
        <v>-0.05262590674</v>
      </c>
      <c r="AS297" s="188">
        <f>PPMT('Assumptions (NG Midstream)'!$B$72,Model!AC$1,'Assumptions (NG Midstream)'!$B$75,Model!$AM$258)</f>
        <v>-0.05657284975</v>
      </c>
      <c r="AT297" s="188">
        <f>PPMT('Assumptions (NG Midstream)'!$B$72,Model!AD$1,'Assumptions (NG Midstream)'!$B$75,Model!$AM$258)</f>
        <v>-0.06081581348</v>
      </c>
      <c r="AU297" s="188">
        <f>PPMT('Assumptions (NG Midstream)'!$B$72,Model!AE$1,'Assumptions (NG Midstream)'!$B$75,Model!$AM$258)</f>
        <v>-0.06537699949</v>
      </c>
      <c r="AV297" s="188">
        <f>PPMT('Assumptions (NG Midstream)'!$B$72,Model!AF$1,'Assumptions (NG Midstream)'!$B$75,Model!$AM$258)</f>
        <v>-0.07028027445</v>
      </c>
      <c r="AW297" s="188">
        <f>PPMT('Assumptions (NG Midstream)'!$B$72,Model!AG$1,'Assumptions (NG Midstream)'!$B$75,Model!$AM$258)</f>
        <v>-0.07555129503</v>
      </c>
      <c r="AX297" s="188">
        <f>PPMT('Assumptions (NG Midstream)'!$B$72,Model!AH$1,'Assumptions (NG Midstream)'!$B$75,Model!$AM$258)</f>
        <v>-0.08121764216</v>
      </c>
      <c r="AY297" s="188">
        <f>PPMT('Assumptions (NG Midstream)'!$B$72,Model!AI$1,'Assumptions (NG Midstream)'!$B$75,Model!$AM$258)</f>
        <v>-0.08730896532</v>
      </c>
      <c r="AZ297" s="188">
        <f>PPMT('Assumptions (NG Midstream)'!$B$72,Model!AJ$1,'Assumptions (NG Midstream)'!$B$75,Model!$AM$258)</f>
        <v>-0.09385713772</v>
      </c>
      <c r="BA297" s="188">
        <f>PPMT('Assumptions (NG Midstream)'!$B$72,Model!AK$1,'Assumptions (NG Midstream)'!$B$75,Model!$AM$258)</f>
        <v>-0.1008964231</v>
      </c>
      <c r="BB297" s="188"/>
      <c r="BC297" s="188"/>
      <c r="BD297" s="188"/>
      <c r="BE297" s="188"/>
      <c r="BF297" s="188"/>
      <c r="BG297" s="188"/>
      <c r="BH297" s="188"/>
      <c r="BI297" s="188"/>
      <c r="BJ297" s="188"/>
      <c r="BK297" s="188"/>
    </row>
    <row r="298" ht="15.75" hidden="1" customHeight="1" outlineLevel="1">
      <c r="A298" s="187"/>
      <c r="B298" s="38"/>
      <c r="C298" s="188"/>
      <c r="D298" s="188"/>
      <c r="E298" s="188"/>
      <c r="F298" s="188"/>
      <c r="G298" s="188"/>
      <c r="H298" s="188"/>
      <c r="I298" s="188"/>
      <c r="J298" s="188"/>
      <c r="K298" s="188"/>
      <c r="L298" s="188"/>
      <c r="M298" s="188"/>
      <c r="N298" s="188"/>
      <c r="O298" s="188"/>
      <c r="P298" s="188"/>
      <c r="Q298" s="188"/>
      <c r="R298" s="188"/>
      <c r="S298" s="78"/>
      <c r="T298" s="78"/>
      <c r="U298" s="78"/>
      <c r="V298" s="78"/>
      <c r="W298" s="139"/>
      <c r="AN298" s="188">
        <f>PPMT('Assumptions (NG Midstream)'!$B$72,Model!W$1,'Assumptions (NG Midstream)'!$B$75,Model!$AN$258)</f>
        <v>-0.03845116457</v>
      </c>
      <c r="AO298" s="188">
        <f>PPMT('Assumptions (NG Midstream)'!$B$72,Model!X$1,'Assumptions (NG Midstream)'!$B$75,Model!$AN$258)</f>
        <v>-0.04133500192</v>
      </c>
      <c r="AP298" s="188">
        <f>PPMT('Assumptions (NG Midstream)'!$B$72,Model!Y$1,'Assumptions (NG Midstream)'!$B$75,Model!$AN$258)</f>
        <v>-0.04443512706</v>
      </c>
      <c r="AQ298" s="188">
        <f>PPMT('Assumptions (NG Midstream)'!$B$72,Model!Z$1,'Assumptions (NG Midstream)'!$B$75,Model!$AN$258)</f>
        <v>-0.04776776159</v>
      </c>
      <c r="AR298" s="188">
        <f>PPMT('Assumptions (NG Midstream)'!$B$72,Model!AA$1,'Assumptions (NG Midstream)'!$B$75,Model!$AN$258)</f>
        <v>-0.05135034371</v>
      </c>
      <c r="AS298" s="188">
        <f>PPMT('Assumptions (NG Midstream)'!$B$72,Model!AB$1,'Assumptions (NG Midstream)'!$B$75,Model!$AN$258)</f>
        <v>-0.05520161949</v>
      </c>
      <c r="AT298" s="188">
        <f>PPMT('Assumptions (NG Midstream)'!$B$72,Model!AC$1,'Assumptions (NG Midstream)'!$B$75,Model!$AN$258)</f>
        <v>-0.05934174095</v>
      </c>
      <c r="AU298" s="188">
        <f>PPMT('Assumptions (NG Midstream)'!$B$72,Model!AD$1,'Assumptions (NG Midstream)'!$B$75,Model!$AN$258)</f>
        <v>-0.06379237152</v>
      </c>
      <c r="AV298" s="188">
        <f>PPMT('Assumptions (NG Midstream)'!$B$72,Model!AE$1,'Assumptions (NG Midstream)'!$B$75,Model!$AN$258)</f>
        <v>-0.06857679938</v>
      </c>
      <c r="AW298" s="188">
        <f>PPMT('Assumptions (NG Midstream)'!$B$72,Model!AF$1,'Assumptions (NG Midstream)'!$B$75,Model!$AN$258)</f>
        <v>-0.07372005934</v>
      </c>
      <c r="AX298" s="188">
        <f>PPMT('Assumptions (NG Midstream)'!$B$72,Model!AG$1,'Assumptions (NG Midstream)'!$B$75,Model!$AN$258)</f>
        <v>-0.07924906379</v>
      </c>
      <c r="AY298" s="188">
        <f>PPMT('Assumptions (NG Midstream)'!$B$72,Model!AH$1,'Assumptions (NG Midstream)'!$B$75,Model!$AN$258)</f>
        <v>-0.08519274357</v>
      </c>
      <c r="AZ298" s="188">
        <f>PPMT('Assumptions (NG Midstream)'!$B$72,Model!AI$1,'Assumptions (NG Midstream)'!$B$75,Model!$AN$258)</f>
        <v>-0.09158219934</v>
      </c>
      <c r="BA298" s="188">
        <f>PPMT('Assumptions (NG Midstream)'!$B$72,Model!AJ$1,'Assumptions (NG Midstream)'!$B$75,Model!$AN$258)</f>
        <v>-0.09845086429</v>
      </c>
      <c r="BB298" s="188">
        <f>PPMT('Assumptions (NG Midstream)'!$B$72,Model!AK$1,'Assumptions (NG Midstream)'!$B$75,Model!$AN$258)</f>
        <v>-0.1058346791</v>
      </c>
      <c r="BC298" s="188"/>
      <c r="BD298" s="188"/>
      <c r="BE298" s="188"/>
      <c r="BF298" s="188"/>
      <c r="BG298" s="188"/>
      <c r="BH298" s="188"/>
      <c r="BI298" s="188"/>
      <c r="BJ298" s="188"/>
      <c r="BK298" s="188"/>
      <c r="BL298" s="188"/>
    </row>
    <row r="299" ht="15.75" hidden="1" customHeight="1" outlineLevel="1">
      <c r="A299" s="187"/>
      <c r="B299" s="38"/>
      <c r="C299" s="188"/>
      <c r="D299" s="188"/>
      <c r="E299" s="188"/>
      <c r="F299" s="188"/>
      <c r="G299" s="188"/>
      <c r="H299" s="188"/>
      <c r="I299" s="188"/>
      <c r="J299" s="188"/>
      <c r="K299" s="188"/>
      <c r="L299" s="188"/>
      <c r="M299" s="188"/>
      <c r="N299" s="188"/>
      <c r="O299" s="188"/>
      <c r="P299" s="188"/>
      <c r="Q299" s="188"/>
      <c r="R299" s="188"/>
      <c r="S299" s="78"/>
      <c r="T299" s="78"/>
      <c r="U299" s="78"/>
      <c r="V299" s="78"/>
      <c r="W299" s="139"/>
      <c r="AO299" s="188">
        <f>PPMT('Assumptions (NG Midstream)'!$B$72,Model!W$1,'Assumptions (NG Midstream)'!$B$75,Model!$AO$258)</f>
        <v>-0.03655657357</v>
      </c>
      <c r="AP299" s="188">
        <f>PPMT('Assumptions (NG Midstream)'!$B$72,Model!X$1,'Assumptions (NG Midstream)'!$B$75,Model!$AO$258)</f>
        <v>-0.03929831658</v>
      </c>
      <c r="AQ299" s="188">
        <f>PPMT('Assumptions (NG Midstream)'!$B$72,Model!Y$1,'Assumptions (NG Midstream)'!$B$75,Model!$AO$258)</f>
        <v>-0.04224569033</v>
      </c>
      <c r="AR299" s="188">
        <f>PPMT('Assumptions (NG Midstream)'!$B$72,Model!Z$1,'Assumptions (NG Midstream)'!$B$75,Model!$AO$258)</f>
        <v>-0.0454141171</v>
      </c>
      <c r="AS299" s="188">
        <f>PPMT('Assumptions (NG Midstream)'!$B$72,Model!AA$1,'Assumptions (NG Midstream)'!$B$75,Model!$AO$258)</f>
        <v>-0.04882017588</v>
      </c>
      <c r="AT299" s="188">
        <f>PPMT('Assumptions (NG Midstream)'!$B$72,Model!AB$1,'Assumptions (NG Midstream)'!$B$75,Model!$AO$258)</f>
        <v>-0.05248168908</v>
      </c>
      <c r="AU299" s="188">
        <f>PPMT('Assumptions (NG Midstream)'!$B$72,Model!AC$1,'Assumptions (NG Midstream)'!$B$75,Model!$AO$258)</f>
        <v>-0.05641781576</v>
      </c>
      <c r="AV299" s="188">
        <f>PPMT('Assumptions (NG Midstream)'!$B$72,Model!AD$1,'Assumptions (NG Midstream)'!$B$75,Model!$AO$258)</f>
        <v>-0.06064915194</v>
      </c>
      <c r="AW299" s="188">
        <f>PPMT('Assumptions (NG Midstream)'!$B$72,Model!AE$1,'Assumptions (NG Midstream)'!$B$75,Model!$AO$258)</f>
        <v>-0.06519783833</v>
      </c>
      <c r="AX299" s="188">
        <f>PPMT('Assumptions (NG Midstream)'!$B$72,Model!AF$1,'Assumptions (NG Midstream)'!$B$75,Model!$AO$258)</f>
        <v>-0.07008767621</v>
      </c>
      <c r="AY299" s="188">
        <f>PPMT('Assumptions (NG Midstream)'!$B$72,Model!AG$1,'Assumptions (NG Midstream)'!$B$75,Model!$AO$258)</f>
        <v>-0.07534425192</v>
      </c>
      <c r="AZ299" s="188">
        <f>PPMT('Assumptions (NG Midstream)'!$B$72,Model!AH$1,'Assumptions (NG Midstream)'!$B$75,Model!$AO$258)</f>
        <v>-0.08099507082</v>
      </c>
      <c r="BA299" s="188">
        <f>PPMT('Assumptions (NG Midstream)'!$B$72,Model!AI$1,'Assumptions (NG Midstream)'!$B$75,Model!$AO$258)</f>
        <v>-0.08706970113</v>
      </c>
      <c r="BB299" s="188">
        <f>PPMT('Assumptions (NG Midstream)'!$B$72,Model!AJ$1,'Assumptions (NG Midstream)'!$B$75,Model!$AO$258)</f>
        <v>-0.09359992871</v>
      </c>
      <c r="BC299" s="188">
        <f>PPMT('Assumptions (NG Midstream)'!$B$72,Model!AK$1,'Assumptions (NG Midstream)'!$B$75,Model!$AO$258)</f>
        <v>-0.1006199234</v>
      </c>
      <c r="BD299" s="188"/>
      <c r="BE299" s="188"/>
      <c r="BF299" s="188"/>
      <c r="BG299" s="188"/>
      <c r="BH299" s="188"/>
      <c r="BI299" s="188"/>
      <c r="BJ299" s="188"/>
      <c r="BK299" s="188"/>
      <c r="BL299" s="188"/>
      <c r="BM299" s="188"/>
    </row>
    <row r="300" ht="15.75" hidden="1" customHeight="1" outlineLevel="1">
      <c r="A300" s="187"/>
      <c r="B300" s="38"/>
      <c r="C300" s="188"/>
      <c r="D300" s="188"/>
      <c r="E300" s="188"/>
      <c r="F300" s="188"/>
      <c r="G300" s="188"/>
      <c r="H300" s="188"/>
      <c r="I300" s="188"/>
      <c r="J300" s="188"/>
      <c r="K300" s="188"/>
      <c r="L300" s="188"/>
      <c r="M300" s="188"/>
      <c r="N300" s="188"/>
      <c r="O300" s="188"/>
      <c r="P300" s="188"/>
      <c r="Q300" s="188"/>
      <c r="R300" s="188"/>
      <c r="S300" s="78"/>
      <c r="T300" s="78"/>
      <c r="U300" s="78"/>
      <c r="V300" s="78"/>
      <c r="W300" s="139"/>
      <c r="AP300" s="188">
        <f>PPMT('Assumptions (NG Midstream)'!$B$72,Model!W$1,'Assumptions (NG Midstream)'!$B$75,Model!$AP$258)</f>
        <v>-0.03800911669</v>
      </c>
      <c r="AQ300" s="188">
        <f>PPMT('Assumptions (NG Midstream)'!$B$72,Model!X$1,'Assumptions (NG Midstream)'!$B$75,Model!$AP$258)</f>
        <v>-0.04085980044</v>
      </c>
      <c r="AR300" s="188">
        <f>PPMT('Assumptions (NG Midstream)'!$B$72,Model!Y$1,'Assumptions (NG Midstream)'!$B$75,Model!$AP$258)</f>
        <v>-0.04392428548</v>
      </c>
      <c r="AS300" s="188">
        <f>PPMT('Assumptions (NG Midstream)'!$B$72,Model!Z$1,'Assumptions (NG Midstream)'!$B$75,Model!$AP$258)</f>
        <v>-0.04721860689</v>
      </c>
      <c r="AT300" s="188">
        <f>PPMT('Assumptions (NG Midstream)'!$B$72,Model!AA$1,'Assumptions (NG Midstream)'!$B$75,Model!$AP$258)</f>
        <v>-0.0507600024</v>
      </c>
      <c r="AU300" s="188">
        <f>PPMT('Assumptions (NG Midstream)'!$B$72,Model!AB$1,'Assumptions (NG Midstream)'!$B$75,Model!$AP$258)</f>
        <v>-0.05456700258</v>
      </c>
      <c r="AV300" s="188">
        <f>PPMT('Assumptions (NG Midstream)'!$B$72,Model!AC$1,'Assumptions (NG Midstream)'!$B$75,Model!$AP$258)</f>
        <v>-0.05865952778</v>
      </c>
      <c r="AW300" s="188">
        <f>PPMT('Assumptions (NG Midstream)'!$B$72,Model!AD$1,'Assumptions (NG Midstream)'!$B$75,Model!$AP$258)</f>
        <v>-0.06305899236</v>
      </c>
      <c r="AX300" s="188">
        <f>PPMT('Assumptions (NG Midstream)'!$B$72,Model!AE$1,'Assumptions (NG Midstream)'!$B$75,Model!$AP$258)</f>
        <v>-0.06778841679</v>
      </c>
      <c r="AY300" s="188">
        <f>PPMT('Assumptions (NG Midstream)'!$B$72,Model!AF$1,'Assumptions (NG Midstream)'!$B$75,Model!$AP$258)</f>
        <v>-0.07287254805</v>
      </c>
      <c r="AZ300" s="188">
        <f>PPMT('Assumptions (NG Midstream)'!$B$72,Model!AG$1,'Assumptions (NG Midstream)'!$B$75,Model!$AP$258)</f>
        <v>-0.07833798915</v>
      </c>
      <c r="BA300" s="188">
        <f>PPMT('Assumptions (NG Midstream)'!$B$72,Model!AH$1,'Assumptions (NG Midstream)'!$B$75,Model!$AP$258)</f>
        <v>-0.08421333834</v>
      </c>
      <c r="BB300" s="188">
        <f>PPMT('Assumptions (NG Midstream)'!$B$72,Model!AI$1,'Assumptions (NG Midstream)'!$B$75,Model!$AP$258)</f>
        <v>-0.09052933871</v>
      </c>
      <c r="BC300" s="188">
        <f>PPMT('Assumptions (NG Midstream)'!$B$72,Model!AJ$1,'Assumptions (NG Midstream)'!$B$75,Model!$AP$258)</f>
        <v>-0.09731903912</v>
      </c>
      <c r="BD300" s="188">
        <f>PPMT('Assumptions (NG Midstream)'!$B$72,Model!AK$1,'Assumptions (NG Midstream)'!$B$75,Model!$AP$258)</f>
        <v>-0.104617967</v>
      </c>
      <c r="BE300" s="188"/>
      <c r="BF300" s="188"/>
      <c r="BG300" s="188"/>
      <c r="BH300" s="188"/>
      <c r="BI300" s="188"/>
      <c r="BJ300" s="188"/>
      <c r="BK300" s="188"/>
      <c r="BL300" s="188"/>
      <c r="BM300" s="188"/>
      <c r="BN300" s="188"/>
    </row>
    <row r="301" ht="15.75" hidden="1" customHeight="1" outlineLevel="1">
      <c r="A301" s="187"/>
      <c r="B301" s="38"/>
      <c r="C301" s="188"/>
      <c r="D301" s="188"/>
      <c r="E301" s="188"/>
      <c r="F301" s="188"/>
      <c r="G301" s="188"/>
      <c r="H301" s="188"/>
      <c r="I301" s="188"/>
      <c r="J301" s="188"/>
      <c r="K301" s="188"/>
      <c r="L301" s="188"/>
      <c r="M301" s="188"/>
      <c r="N301" s="188"/>
      <c r="O301" s="188"/>
      <c r="P301" s="188"/>
      <c r="Q301" s="188"/>
      <c r="R301" s="188"/>
      <c r="S301" s="78"/>
      <c r="T301" s="78"/>
      <c r="U301" s="78"/>
      <c r="V301" s="78"/>
      <c r="W301" s="139"/>
      <c r="AQ301" s="188">
        <f>PPMT('Assumptions (NG Midstream)'!$B$72,Model!W$1,'Assumptions (NG Midstream)'!$B$75,Model!$AQ$258)</f>
        <v>-0.03591827875</v>
      </c>
      <c r="AR301" s="188">
        <f>PPMT('Assumptions (NG Midstream)'!$B$72,Model!X$1,'Assumptions (NG Midstream)'!$B$75,Model!$AQ$258)</f>
        <v>-0.03861214966</v>
      </c>
      <c r="AS301" s="188">
        <f>PPMT('Assumptions (NG Midstream)'!$B$72,Model!Y$1,'Assumptions (NG Midstream)'!$B$75,Model!$AQ$258)</f>
        <v>-0.04150806088</v>
      </c>
      <c r="AT301" s="188">
        <f>PPMT('Assumptions (NG Midstream)'!$B$72,Model!Z$1,'Assumptions (NG Midstream)'!$B$75,Model!$AQ$258)</f>
        <v>-0.04462116545</v>
      </c>
      <c r="AU301" s="188">
        <f>PPMT('Assumptions (NG Midstream)'!$B$72,Model!AA$1,'Assumptions (NG Midstream)'!$B$75,Model!$AQ$258)</f>
        <v>-0.04796775286</v>
      </c>
      <c r="AV301" s="188">
        <f>PPMT('Assumptions (NG Midstream)'!$B$72,Model!AB$1,'Assumptions (NG Midstream)'!$B$75,Model!$AQ$258)</f>
        <v>-0.05156533432</v>
      </c>
      <c r="AW301" s="188">
        <f>PPMT('Assumptions (NG Midstream)'!$B$72,Model!AC$1,'Assumptions (NG Midstream)'!$B$75,Model!$AQ$258)</f>
        <v>-0.05543273439</v>
      </c>
      <c r="AX301" s="188">
        <f>PPMT('Assumptions (NG Midstream)'!$B$72,Model!AD$1,'Assumptions (NG Midstream)'!$B$75,Model!$AQ$258)</f>
        <v>-0.05959018947</v>
      </c>
      <c r="AY301" s="188">
        <f>PPMT('Assumptions (NG Midstream)'!$B$72,Model!AE$1,'Assumptions (NG Midstream)'!$B$75,Model!$AQ$258)</f>
        <v>-0.06405945368</v>
      </c>
      <c r="AZ301" s="188">
        <f>PPMT('Assumptions (NG Midstream)'!$B$72,Model!AF$1,'Assumptions (NG Midstream)'!$B$75,Model!$AQ$258)</f>
        <v>-0.06886391271</v>
      </c>
      <c r="BA301" s="188">
        <f>PPMT('Assumptions (NG Midstream)'!$B$72,Model!AG$1,'Assumptions (NG Midstream)'!$B$75,Model!$AQ$258)</f>
        <v>-0.07402870616</v>
      </c>
      <c r="BB301" s="188">
        <f>PPMT('Assumptions (NG Midstream)'!$B$72,Model!AH$1,'Assumptions (NG Midstream)'!$B$75,Model!$AQ$258)</f>
        <v>-0.07958085913</v>
      </c>
      <c r="BC301" s="188">
        <f>PPMT('Assumptions (NG Midstream)'!$B$72,Model!AI$1,'Assumptions (NG Midstream)'!$B$75,Model!$AQ$258)</f>
        <v>-0.08554942356</v>
      </c>
      <c r="BD301" s="188">
        <f>PPMT('Assumptions (NG Midstream)'!$B$72,Model!AJ$1,'Assumptions (NG Midstream)'!$B$75,Model!$AQ$258)</f>
        <v>-0.09196563033</v>
      </c>
      <c r="BE301" s="188">
        <f>PPMT('Assumptions (NG Midstream)'!$B$72,Model!AK$1,'Assumptions (NG Midstream)'!$B$75,Model!$AQ$258)</f>
        <v>-0.0988630526</v>
      </c>
      <c r="BF301" s="188"/>
      <c r="BG301" s="188"/>
      <c r="BH301" s="188"/>
      <c r="BI301" s="188"/>
      <c r="BJ301" s="188"/>
      <c r="BK301" s="188"/>
      <c r="BL301" s="188"/>
      <c r="BM301" s="188"/>
      <c r="BN301" s="188"/>
      <c r="BO301" s="188"/>
    </row>
    <row r="302" ht="15.75" hidden="1" customHeight="1" outlineLevel="1">
      <c r="A302" s="187"/>
      <c r="B302" s="38"/>
      <c r="C302" s="188"/>
      <c r="D302" s="188"/>
      <c r="E302" s="188"/>
      <c r="F302" s="188"/>
      <c r="G302" s="188"/>
      <c r="H302" s="188"/>
      <c r="I302" s="188"/>
      <c r="J302" s="188"/>
      <c r="K302" s="188"/>
      <c r="L302" s="188"/>
      <c r="M302" s="188"/>
      <c r="N302" s="188"/>
      <c r="O302" s="188"/>
      <c r="P302" s="188"/>
      <c r="Q302" s="188"/>
      <c r="R302" s="188"/>
      <c r="S302" s="78"/>
      <c r="T302" s="78"/>
      <c r="U302" s="78"/>
      <c r="V302" s="78"/>
      <c r="W302" s="139"/>
      <c r="AR302" s="188">
        <f>PPMT('Assumptions (NG Midstream)'!$B$72,Model!W$1,'Assumptions (NG Midstream)'!$B$75,Model!$AR$258)</f>
        <v>-0.03839675017</v>
      </c>
      <c r="AS302" s="188">
        <f>PPMT('Assumptions (NG Midstream)'!$B$72,Model!X$1,'Assumptions (NG Midstream)'!$B$75,Model!$AR$258)</f>
        <v>-0.04127650643</v>
      </c>
      <c r="AT302" s="188">
        <f>PPMT('Assumptions (NG Midstream)'!$B$72,Model!Y$1,'Assumptions (NG Midstream)'!$B$75,Model!$AR$258)</f>
        <v>-0.04437224441</v>
      </c>
      <c r="AU302" s="188">
        <f>PPMT('Assumptions (NG Midstream)'!$B$72,Model!Z$1,'Assumptions (NG Midstream)'!$B$75,Model!$AR$258)</f>
        <v>-0.04770016274</v>
      </c>
      <c r="AV302" s="188">
        <f>PPMT('Assumptions (NG Midstream)'!$B$72,Model!AA$1,'Assumptions (NG Midstream)'!$B$75,Model!$AR$258)</f>
        <v>-0.05127767495</v>
      </c>
      <c r="AW302" s="188">
        <f>PPMT('Assumptions (NG Midstream)'!$B$72,Model!AB$1,'Assumptions (NG Midstream)'!$B$75,Model!$AR$258)</f>
        <v>-0.05512350057</v>
      </c>
      <c r="AX302" s="188">
        <f>PPMT('Assumptions (NG Midstream)'!$B$72,Model!AC$1,'Assumptions (NG Midstream)'!$B$75,Model!$AR$258)</f>
        <v>-0.05925776311</v>
      </c>
      <c r="AY302" s="188">
        <f>PPMT('Assumptions (NG Midstream)'!$B$72,Model!AD$1,'Assumptions (NG Midstream)'!$B$75,Model!$AR$258)</f>
        <v>-0.06370209534</v>
      </c>
      <c r="AZ302" s="188">
        <f>PPMT('Assumptions (NG Midstream)'!$B$72,Model!AE$1,'Assumptions (NG Midstream)'!$B$75,Model!$AR$258)</f>
        <v>-0.06847975249</v>
      </c>
      <c r="BA302" s="188">
        <f>PPMT('Assumptions (NG Midstream)'!$B$72,Model!AF$1,'Assumptions (NG Midstream)'!$B$75,Model!$AR$258)</f>
        <v>-0.07361573393</v>
      </c>
      <c r="BB302" s="188">
        <f>PPMT('Assumptions (NG Midstream)'!$B$72,Model!AG$1,'Assumptions (NG Midstream)'!$B$75,Model!$AR$258)</f>
        <v>-0.07913691398</v>
      </c>
      <c r="BC302" s="188">
        <f>PPMT('Assumptions (NG Midstream)'!$B$72,Model!AH$1,'Assumptions (NG Midstream)'!$B$75,Model!$AR$258)</f>
        <v>-0.08507218252</v>
      </c>
      <c r="BD302" s="188">
        <f>PPMT('Assumptions (NG Midstream)'!$B$72,Model!AI$1,'Assumptions (NG Midstream)'!$B$75,Model!$AR$258)</f>
        <v>-0.09145259621</v>
      </c>
      <c r="BE302" s="188">
        <f>PPMT('Assumptions (NG Midstream)'!$B$72,Model!AJ$1,'Assumptions (NG Midstream)'!$B$75,Model!$AR$258)</f>
        <v>-0.09831154093</v>
      </c>
      <c r="BF302" s="188">
        <f>PPMT('Assumptions (NG Midstream)'!$B$72,Model!AK$1,'Assumptions (NG Midstream)'!$B$75,Model!$AR$258)</f>
        <v>-0.1056849065</v>
      </c>
      <c r="BG302" s="188"/>
      <c r="BH302" s="188"/>
      <c r="BI302" s="188"/>
      <c r="BJ302" s="188"/>
      <c r="BK302" s="188"/>
      <c r="BL302" s="188"/>
      <c r="BM302" s="188"/>
      <c r="BN302" s="188"/>
      <c r="BO302" s="188"/>
      <c r="BP302" s="188"/>
    </row>
    <row r="303" ht="15.75" hidden="1" customHeight="1" outlineLevel="1">
      <c r="A303" s="187"/>
      <c r="B303" s="38"/>
      <c r="C303" s="188"/>
      <c r="D303" s="188"/>
      <c r="E303" s="188"/>
      <c r="F303" s="188"/>
      <c r="G303" s="188"/>
      <c r="H303" s="188"/>
      <c r="I303" s="188"/>
      <c r="J303" s="188"/>
      <c r="K303" s="188"/>
      <c r="L303" s="188"/>
      <c r="M303" s="188"/>
      <c r="N303" s="188"/>
      <c r="O303" s="188"/>
      <c r="P303" s="188"/>
      <c r="Q303" s="188"/>
      <c r="R303" s="188"/>
      <c r="S303" s="78"/>
      <c r="T303" s="78"/>
      <c r="U303" s="78"/>
      <c r="V303" s="78"/>
      <c r="W303" s="139"/>
      <c r="AS303" s="188">
        <f>PPMT('Assumptions (NG Midstream)'!$B$72,Model!W$1,'Assumptions (NG Midstream)'!$B$75,Model!$AS$258)</f>
        <v>-0.03727448304</v>
      </c>
      <c r="AT303" s="188">
        <f>PPMT('Assumptions (NG Midstream)'!$B$72,Model!X$1,'Assumptions (NG Midstream)'!$B$75,Model!$AS$258)</f>
        <v>-0.04007006927</v>
      </c>
      <c r="AU303" s="188">
        <f>PPMT('Assumptions (NG Midstream)'!$B$72,Model!Y$1,'Assumptions (NG Midstream)'!$B$75,Model!$AS$258)</f>
        <v>-0.04307532447</v>
      </c>
      <c r="AV303" s="188">
        <f>PPMT('Assumptions (NG Midstream)'!$B$72,Model!Z$1,'Assumptions (NG Midstream)'!$B$75,Model!$AS$258)</f>
        <v>-0.0463059738</v>
      </c>
      <c r="AW303" s="188">
        <f>PPMT('Assumptions (NG Midstream)'!$B$72,Model!AA$1,'Assumptions (NG Midstream)'!$B$75,Model!$AS$258)</f>
        <v>-0.04977892184</v>
      </c>
      <c r="AX303" s="188">
        <f>PPMT('Assumptions (NG Midstream)'!$B$72,Model!AB$1,'Assumptions (NG Midstream)'!$B$75,Model!$AS$258)</f>
        <v>-0.05351234098</v>
      </c>
      <c r="AY303" s="188">
        <f>PPMT('Assumptions (NG Midstream)'!$B$72,Model!AC$1,'Assumptions (NG Midstream)'!$B$75,Model!$AS$258)</f>
        <v>-0.05752576655</v>
      </c>
      <c r="AZ303" s="188">
        <f>PPMT('Assumptions (NG Midstream)'!$B$72,Model!AD$1,'Assumptions (NG Midstream)'!$B$75,Model!$AS$258)</f>
        <v>-0.06184019904</v>
      </c>
      <c r="BA303" s="188">
        <f>PPMT('Assumptions (NG Midstream)'!$B$72,Model!AE$1,'Assumptions (NG Midstream)'!$B$75,Model!$AS$258)</f>
        <v>-0.06647821397</v>
      </c>
      <c r="BB303" s="188">
        <f>PPMT('Assumptions (NG Midstream)'!$B$72,Model!AF$1,'Assumptions (NG Midstream)'!$B$75,Model!$AS$258)</f>
        <v>-0.07146408002</v>
      </c>
      <c r="BC303" s="188">
        <f>PPMT('Assumptions (NG Midstream)'!$B$72,Model!AG$1,'Assumptions (NG Midstream)'!$B$75,Model!$AS$258)</f>
        <v>-0.07682388602</v>
      </c>
      <c r="BD303" s="188">
        <f>PPMT('Assumptions (NG Midstream)'!$B$72,Model!AH$1,'Assumptions (NG Midstream)'!$B$75,Model!$AS$258)</f>
        <v>-0.08258567747</v>
      </c>
      <c r="BE303" s="188">
        <f>PPMT('Assumptions (NG Midstream)'!$B$72,Model!AI$1,'Assumptions (NG Midstream)'!$B$75,Model!$AS$258)</f>
        <v>-0.08877960328</v>
      </c>
      <c r="BF303" s="188">
        <f>PPMT('Assumptions (NG Midstream)'!$B$72,Model!AJ$1,'Assumptions (NG Midstream)'!$B$75,Model!$AS$258)</f>
        <v>-0.09543807353</v>
      </c>
      <c r="BG303" s="188">
        <f>PPMT('Assumptions (NG Midstream)'!$B$72,Model!AK$1,'Assumptions (NG Midstream)'!$B$75,Model!$AS$258)</f>
        <v>-0.102595929</v>
      </c>
      <c r="BH303" s="188"/>
      <c r="BI303" s="188"/>
      <c r="BJ303" s="188"/>
      <c r="BK303" s="188"/>
      <c r="BL303" s="188"/>
      <c r="BM303" s="188"/>
      <c r="BN303" s="188"/>
      <c r="BO303" s="188"/>
      <c r="BP303" s="188"/>
      <c r="BQ303" s="188"/>
    </row>
    <row r="304" ht="15.75" hidden="1" customHeight="1" outlineLevel="1">
      <c r="A304" s="187"/>
      <c r="B304" s="38"/>
      <c r="C304" s="188"/>
      <c r="D304" s="188"/>
      <c r="E304" s="188"/>
      <c r="F304" s="188"/>
      <c r="G304" s="188"/>
      <c r="H304" s="188"/>
      <c r="I304" s="188"/>
      <c r="J304" s="188"/>
      <c r="K304" s="188"/>
      <c r="L304" s="188"/>
      <c r="M304" s="188"/>
      <c r="N304" s="188"/>
      <c r="O304" s="188"/>
      <c r="P304" s="188"/>
      <c r="Q304" s="188"/>
      <c r="R304" s="188"/>
      <c r="S304" s="78"/>
      <c r="T304" s="78"/>
      <c r="U304" s="78"/>
      <c r="V304" s="78"/>
      <c r="W304" s="139"/>
      <c r="AT304" s="188">
        <f>PPMT('Assumptions (NG Midstream)'!$B$72,Model!W$1,'Assumptions (NG Midstream)'!$B$75,Model!$AT$258)</f>
        <v>-0.04238230116</v>
      </c>
      <c r="AU304" s="188">
        <f>PPMT('Assumptions (NG Midstream)'!$B$72,Model!X$1,'Assumptions (NG Midstream)'!$B$75,Model!$AT$258)</f>
        <v>-0.04556097375</v>
      </c>
      <c r="AV304" s="188">
        <f>PPMT('Assumptions (NG Midstream)'!$B$72,Model!Y$1,'Assumptions (NG Midstream)'!$B$75,Model!$AT$258)</f>
        <v>-0.04897804678</v>
      </c>
      <c r="AW304" s="188">
        <f>PPMT('Assumptions (NG Midstream)'!$B$72,Model!Z$1,'Assumptions (NG Midstream)'!$B$75,Model!$AT$258)</f>
        <v>-0.05265140029</v>
      </c>
      <c r="AX304" s="188">
        <f>PPMT('Assumptions (NG Midstream)'!$B$72,Model!AA$1,'Assumptions (NG Midstream)'!$B$75,Model!$AT$258)</f>
        <v>-0.05660025531</v>
      </c>
      <c r="AY304" s="188">
        <f>PPMT('Assumptions (NG Midstream)'!$B$72,Model!AB$1,'Assumptions (NG Midstream)'!$B$75,Model!$AT$258)</f>
        <v>-0.06084527446</v>
      </c>
      <c r="AZ304" s="188">
        <f>PPMT('Assumptions (NG Midstream)'!$B$72,Model!AC$1,'Assumptions (NG Midstream)'!$B$75,Model!$AT$258)</f>
        <v>-0.06540867004</v>
      </c>
      <c r="BA304" s="188">
        <f>PPMT('Assumptions (NG Midstream)'!$B$72,Model!AD$1,'Assumptions (NG Midstream)'!$B$75,Model!$AT$258)</f>
        <v>-0.0703143203</v>
      </c>
      <c r="BB304" s="188">
        <f>PPMT('Assumptions (NG Midstream)'!$B$72,Model!AE$1,'Assumptions (NG Midstream)'!$B$75,Model!$AT$258)</f>
        <v>-0.07558789432</v>
      </c>
      <c r="BC304" s="188">
        <f>PPMT('Assumptions (NG Midstream)'!$B$72,Model!AF$1,'Assumptions (NG Midstream)'!$B$75,Model!$AT$258)</f>
        <v>-0.08125698639</v>
      </c>
      <c r="BD304" s="188">
        <f>PPMT('Assumptions (NG Midstream)'!$B$72,Model!AG$1,'Assumptions (NG Midstream)'!$B$75,Model!$AT$258)</f>
        <v>-0.08735126037</v>
      </c>
      <c r="BE304" s="188">
        <f>PPMT('Assumptions (NG Midstream)'!$B$72,Model!AH$1,'Assumptions (NG Midstream)'!$B$75,Model!$AT$258)</f>
        <v>-0.0939026049</v>
      </c>
      <c r="BF304" s="188">
        <f>PPMT('Assumptions (NG Midstream)'!$B$72,Model!AI$1,'Assumptions (NG Midstream)'!$B$75,Model!$AT$258)</f>
        <v>-0.1009453003</v>
      </c>
      <c r="BG304" s="188">
        <f>PPMT('Assumptions (NG Midstream)'!$B$72,Model!AJ$1,'Assumptions (NG Midstream)'!$B$75,Model!$AT$258)</f>
        <v>-0.1085161978</v>
      </c>
      <c r="BH304" s="188">
        <f>PPMT('Assumptions (NG Midstream)'!$B$72,Model!AK$1,'Assumptions (NG Midstream)'!$B$75,Model!$AT$258)</f>
        <v>-0.1166549126</v>
      </c>
      <c r="BI304" s="188"/>
      <c r="BJ304" s="188"/>
      <c r="BK304" s="188"/>
      <c r="BL304" s="188"/>
      <c r="BM304" s="188"/>
      <c r="BN304" s="188"/>
      <c r="BO304" s="188"/>
      <c r="BP304" s="188"/>
      <c r="BQ304" s="188"/>
      <c r="BR304" s="188"/>
    </row>
    <row r="305" ht="15.75" hidden="1" customHeight="1" outlineLevel="1">
      <c r="A305" s="187"/>
      <c r="B305" s="38"/>
      <c r="C305" s="188"/>
      <c r="D305" s="188"/>
      <c r="E305" s="188"/>
      <c r="F305" s="188"/>
      <c r="G305" s="188"/>
      <c r="H305" s="188"/>
      <c r="I305" s="188"/>
      <c r="J305" s="188"/>
      <c r="K305" s="188"/>
      <c r="L305" s="188"/>
      <c r="M305" s="188"/>
      <c r="N305" s="188"/>
      <c r="O305" s="188"/>
      <c r="P305" s="188"/>
      <c r="Q305" s="188"/>
      <c r="R305" s="188"/>
      <c r="S305" s="78"/>
      <c r="T305" s="78"/>
      <c r="U305" s="78"/>
      <c r="V305" s="78"/>
      <c r="W305" s="139"/>
      <c r="AU305" s="188">
        <f>PPMT('Assumptions (NG Midstream)'!$B$72,Model!W$1,'Assumptions (NG Midstream)'!$B$75,Model!$AU$258)</f>
        <v>-0.03906695365</v>
      </c>
      <c r="AV305" s="188">
        <f>PPMT('Assumptions (NG Midstream)'!$B$72,Model!X$1,'Assumptions (NG Midstream)'!$B$75,Model!$AU$258)</f>
        <v>-0.04199697517</v>
      </c>
      <c r="AW305" s="188">
        <f>PPMT('Assumptions (NG Midstream)'!$B$72,Model!Y$1,'Assumptions (NG Midstream)'!$B$75,Model!$AU$258)</f>
        <v>-0.04514674831</v>
      </c>
      <c r="AX305" s="188">
        <f>PPMT('Assumptions (NG Midstream)'!$B$72,Model!Z$1,'Assumptions (NG Midstream)'!$B$75,Model!$AU$258)</f>
        <v>-0.04853275443</v>
      </c>
      <c r="AY305" s="188">
        <f>PPMT('Assumptions (NG Midstream)'!$B$72,Model!AA$1,'Assumptions (NG Midstream)'!$B$75,Model!$AU$258)</f>
        <v>-0.05217271101</v>
      </c>
      <c r="AZ305" s="188">
        <f>PPMT('Assumptions (NG Midstream)'!$B$72,Model!AB$1,'Assumptions (NG Midstream)'!$B$75,Model!$AU$258)</f>
        <v>-0.05608566434</v>
      </c>
      <c r="BA305" s="188">
        <f>PPMT('Assumptions (NG Midstream)'!$B$72,Model!AC$1,'Assumptions (NG Midstream)'!$B$75,Model!$AU$258)</f>
        <v>-0.06029208916</v>
      </c>
      <c r="BB305" s="188">
        <f>PPMT('Assumptions (NG Midstream)'!$B$72,Model!AD$1,'Assumptions (NG Midstream)'!$B$75,Model!$AU$258)</f>
        <v>-0.06481399585</v>
      </c>
      <c r="BC305" s="188">
        <f>PPMT('Assumptions (NG Midstream)'!$B$72,Model!AE$1,'Assumptions (NG Midstream)'!$B$75,Model!$AU$258)</f>
        <v>-0.06967504554</v>
      </c>
      <c r="BD305" s="188">
        <f>PPMT('Assumptions (NG Midstream)'!$B$72,Model!AF$1,'Assumptions (NG Midstream)'!$B$75,Model!$AU$258)</f>
        <v>-0.07490067396</v>
      </c>
      <c r="BE305" s="188">
        <f>PPMT('Assumptions (NG Midstream)'!$B$72,Model!AG$1,'Assumptions (NG Midstream)'!$B$75,Model!$AU$258)</f>
        <v>-0.0805182245</v>
      </c>
      <c r="BF305" s="188">
        <f>PPMT('Assumptions (NG Midstream)'!$B$72,Model!AH$1,'Assumptions (NG Midstream)'!$B$75,Model!$AU$258)</f>
        <v>-0.08655709134</v>
      </c>
      <c r="BG305" s="188">
        <f>PPMT('Assumptions (NG Midstream)'!$B$72,Model!AI$1,'Assumptions (NG Midstream)'!$B$75,Model!$AU$258)</f>
        <v>-0.09304887319</v>
      </c>
      <c r="BH305" s="188">
        <f>PPMT('Assumptions (NG Midstream)'!$B$72,Model!AJ$1,'Assumptions (NG Midstream)'!$B$75,Model!$AU$258)</f>
        <v>-0.1000275387</v>
      </c>
      <c r="BI305" s="188">
        <f>PPMT('Assumptions (NG Midstream)'!$B$72,Model!AK$1,'Assumptions (NG Midstream)'!$B$75,Model!$AU$258)</f>
        <v>-0.1075296041</v>
      </c>
      <c r="BJ305" s="188"/>
      <c r="BK305" s="188"/>
      <c r="BL305" s="188"/>
      <c r="BM305" s="188"/>
      <c r="BN305" s="188"/>
      <c r="BO305" s="188"/>
      <c r="BP305" s="188"/>
      <c r="BQ305" s="188"/>
      <c r="BR305" s="188"/>
      <c r="BS305" s="188"/>
    </row>
    <row r="306" ht="15.75" hidden="1" customHeight="1" outlineLevel="1">
      <c r="A306" s="187"/>
      <c r="B306" s="38"/>
      <c r="C306" s="188"/>
      <c r="D306" s="188"/>
      <c r="E306" s="188"/>
      <c r="F306" s="188"/>
      <c r="G306" s="188"/>
      <c r="H306" s="188"/>
      <c r="I306" s="188"/>
      <c r="J306" s="188"/>
      <c r="K306" s="188"/>
      <c r="L306" s="188"/>
      <c r="M306" s="188"/>
      <c r="N306" s="188"/>
      <c r="O306" s="188"/>
      <c r="P306" s="188"/>
      <c r="Q306" s="188"/>
      <c r="R306" s="188"/>
      <c r="S306" s="78"/>
      <c r="T306" s="78"/>
      <c r="U306" s="78"/>
      <c r="V306" s="78"/>
      <c r="W306" s="139"/>
      <c r="AV306" s="188">
        <f>PPMT('Assumptions (NG Midstream)'!$B$72,Model!W$1,'Assumptions (NG Midstream)'!$B$75,Model!$AV$258)</f>
        <v>-0.03695482278</v>
      </c>
      <c r="AW306" s="188">
        <f>PPMT('Assumptions (NG Midstream)'!$B$72,Model!X$1,'Assumptions (NG Midstream)'!$B$75,Model!$AV$258)</f>
        <v>-0.03972643449</v>
      </c>
      <c r="AX306" s="188">
        <f>PPMT('Assumptions (NG Midstream)'!$B$72,Model!Y$1,'Assumptions (NG Midstream)'!$B$75,Model!$AV$258)</f>
        <v>-0.04270591707</v>
      </c>
      <c r="AY306" s="188">
        <f>PPMT('Assumptions (NG Midstream)'!$B$72,Model!Z$1,'Assumptions (NG Midstream)'!$B$75,Model!$AV$258)</f>
        <v>-0.04590886085</v>
      </c>
      <c r="AZ306" s="188">
        <f>PPMT('Assumptions (NG Midstream)'!$B$72,Model!AA$1,'Assumptions (NG Midstream)'!$B$75,Model!$AV$258)</f>
        <v>-0.04935202542</v>
      </c>
      <c r="BA306" s="188">
        <f>PPMT('Assumptions (NG Midstream)'!$B$72,Model!AB$1,'Assumptions (NG Midstream)'!$B$75,Model!$AV$258)</f>
        <v>-0.05305342732</v>
      </c>
      <c r="BB306" s="188">
        <f>PPMT('Assumptions (NG Midstream)'!$B$72,Model!AC$1,'Assumptions (NG Midstream)'!$B$75,Model!$AV$258)</f>
        <v>-0.05703243437</v>
      </c>
      <c r="BC306" s="188">
        <f>PPMT('Assumptions (NG Midstream)'!$B$72,Model!AD$1,'Assumptions (NG Midstream)'!$B$75,Model!$AV$258)</f>
        <v>-0.06130986695</v>
      </c>
      <c r="BD306" s="188">
        <f>PPMT('Assumptions (NG Midstream)'!$B$72,Model!AE$1,'Assumptions (NG Midstream)'!$B$75,Model!$AV$258)</f>
        <v>-0.06590810697</v>
      </c>
      <c r="BE306" s="188">
        <f>PPMT('Assumptions (NG Midstream)'!$B$72,Model!AF$1,'Assumptions (NG Midstream)'!$B$75,Model!$AV$258)</f>
        <v>-0.070851215</v>
      </c>
      <c r="BF306" s="188">
        <f>PPMT('Assumptions (NG Midstream)'!$B$72,Model!AG$1,'Assumptions (NG Midstream)'!$B$75,Model!$AV$258)</f>
        <v>-0.07616505612</v>
      </c>
      <c r="BG306" s="188">
        <f>PPMT('Assumptions (NG Midstream)'!$B$72,Model!AH$1,'Assumptions (NG Midstream)'!$B$75,Model!$AV$258)</f>
        <v>-0.08187743533</v>
      </c>
      <c r="BH306" s="188">
        <f>PPMT('Assumptions (NG Midstream)'!$B$72,Model!AI$1,'Assumptions (NG Midstream)'!$B$75,Model!$AV$258)</f>
        <v>-0.08801824298</v>
      </c>
      <c r="BI306" s="188">
        <f>PPMT('Assumptions (NG Midstream)'!$B$72,Model!AJ$1,'Assumptions (NG Midstream)'!$B$75,Model!$AV$258)</f>
        <v>-0.0946196112</v>
      </c>
      <c r="BJ306" s="188">
        <f>PPMT('Assumptions (NG Midstream)'!$B$72,Model!AK$1,'Assumptions (NG Midstream)'!$B$75,Model!$AV$258)</f>
        <v>-0.101716082</v>
      </c>
      <c r="BK306" s="188"/>
      <c r="BL306" s="188"/>
      <c r="BM306" s="188"/>
      <c r="BN306" s="188"/>
      <c r="BO306" s="188"/>
      <c r="BP306" s="188"/>
      <c r="BQ306" s="188"/>
      <c r="BR306" s="188"/>
      <c r="BS306" s="188"/>
      <c r="BT306" s="188"/>
    </row>
    <row r="307" ht="15.75" hidden="1" customHeight="1" outlineLevel="1">
      <c r="A307" s="187"/>
      <c r="B307" s="38"/>
      <c r="C307" s="188"/>
      <c r="D307" s="188"/>
      <c r="E307" s="188"/>
      <c r="F307" s="188"/>
      <c r="G307" s="188"/>
      <c r="H307" s="188"/>
      <c r="I307" s="188"/>
      <c r="J307" s="188"/>
      <c r="K307" s="188"/>
      <c r="L307" s="188"/>
      <c r="M307" s="188"/>
      <c r="N307" s="188"/>
      <c r="O307" s="188"/>
      <c r="P307" s="188"/>
      <c r="Q307" s="188"/>
      <c r="R307" s="188"/>
      <c r="S307" s="78"/>
      <c r="T307" s="78"/>
      <c r="U307" s="78"/>
      <c r="V307" s="78"/>
      <c r="W307" s="139"/>
      <c r="AW307" s="188">
        <f>PPMT('Assumptions (NG Midstream)'!$B$72,Model!W$1,'Assumptions (NG Midstream)'!$B$75,Model!$AW$258)</f>
        <v>-0.04031500541</v>
      </c>
      <c r="AX307" s="188">
        <f>PPMT('Assumptions (NG Midstream)'!$B$72,Model!X$1,'Assumptions (NG Midstream)'!$B$75,Model!$AW$258)</f>
        <v>-0.04333863082</v>
      </c>
      <c r="AY307" s="188">
        <f>PPMT('Assumptions (NG Midstream)'!$B$72,Model!Y$1,'Assumptions (NG Midstream)'!$B$75,Model!$AW$258)</f>
        <v>-0.04658902813</v>
      </c>
      <c r="AZ307" s="188">
        <f>PPMT('Assumptions (NG Midstream)'!$B$72,Model!Z$1,'Assumptions (NG Midstream)'!$B$75,Model!$AW$258)</f>
        <v>-0.05008320524</v>
      </c>
      <c r="BA307" s="188">
        <f>PPMT('Assumptions (NG Midstream)'!$B$72,Model!AA$1,'Assumptions (NG Midstream)'!$B$75,Model!$AW$258)</f>
        <v>-0.05383944563</v>
      </c>
      <c r="BB307" s="188">
        <f>PPMT('Assumptions (NG Midstream)'!$B$72,Model!AB$1,'Assumptions (NG Midstream)'!$B$75,Model!$AW$258)</f>
        <v>-0.05787740405</v>
      </c>
      <c r="BC307" s="188">
        <f>PPMT('Assumptions (NG Midstream)'!$B$72,Model!AC$1,'Assumptions (NG Midstream)'!$B$75,Model!$AW$258)</f>
        <v>-0.06221820935</v>
      </c>
      <c r="BD307" s="188">
        <f>PPMT('Assumptions (NG Midstream)'!$B$72,Model!AD$1,'Assumptions (NG Midstream)'!$B$75,Model!$AW$258)</f>
        <v>-0.06688457506</v>
      </c>
      <c r="BE307" s="188">
        <f>PPMT('Assumptions (NG Midstream)'!$B$72,Model!AE$1,'Assumptions (NG Midstream)'!$B$75,Model!$AW$258)</f>
        <v>-0.07190091819</v>
      </c>
      <c r="BF307" s="188">
        <f>PPMT('Assumptions (NG Midstream)'!$B$72,Model!AF$1,'Assumptions (NG Midstream)'!$B$75,Model!$AW$258)</f>
        <v>-0.07729348705</v>
      </c>
      <c r="BG307" s="188">
        <f>PPMT('Assumptions (NG Midstream)'!$B$72,Model!AG$1,'Assumptions (NG Midstream)'!$B$75,Model!$AW$258)</f>
        <v>-0.08309049858</v>
      </c>
      <c r="BH307" s="188">
        <f>PPMT('Assumptions (NG Midstream)'!$B$72,Model!AH$1,'Assumptions (NG Midstream)'!$B$75,Model!$AW$258)</f>
        <v>-0.08932228597</v>
      </c>
      <c r="BI307" s="188">
        <f>PPMT('Assumptions (NG Midstream)'!$B$72,Model!AI$1,'Assumptions (NG Midstream)'!$B$75,Model!$AW$258)</f>
        <v>-0.09602145742</v>
      </c>
      <c r="BJ307" s="188">
        <f>PPMT('Assumptions (NG Midstream)'!$B$72,Model!AJ$1,'Assumptions (NG Midstream)'!$B$75,Model!$AW$258)</f>
        <v>-0.1032230667</v>
      </c>
      <c r="BK307" s="188">
        <f>PPMT('Assumptions (NG Midstream)'!$B$72,Model!AK$1,'Assumptions (NG Midstream)'!$B$75,Model!$AW$258)</f>
        <v>-0.1109647967</v>
      </c>
      <c r="BL307" s="188"/>
      <c r="BM307" s="188"/>
      <c r="BN307" s="188"/>
      <c r="BO307" s="188"/>
      <c r="BP307" s="188"/>
      <c r="BQ307" s="188"/>
      <c r="BR307" s="188"/>
      <c r="BS307" s="188"/>
      <c r="BT307" s="188"/>
      <c r="BU307" s="188"/>
    </row>
    <row r="308" ht="15.75" hidden="1" customHeight="1" outlineLevel="1">
      <c r="A308" s="187"/>
      <c r="B308" s="38"/>
      <c r="C308" s="188"/>
      <c r="D308" s="188"/>
      <c r="E308" s="188"/>
      <c r="F308" s="188"/>
      <c r="G308" s="188"/>
      <c r="H308" s="188"/>
      <c r="I308" s="188"/>
      <c r="J308" s="188"/>
      <c r="K308" s="188"/>
      <c r="L308" s="188"/>
      <c r="M308" s="188"/>
      <c r="N308" s="188"/>
      <c r="O308" s="188"/>
      <c r="P308" s="188"/>
      <c r="Q308" s="188"/>
      <c r="R308" s="188"/>
      <c r="S308" s="78"/>
      <c r="T308" s="78"/>
      <c r="U308" s="78"/>
      <c r="V308" s="78"/>
      <c r="W308" s="139"/>
      <c r="AW308" s="188"/>
      <c r="AX308" s="188">
        <f>PPMT('Assumptions (NG Midstream)'!$B$72,Model!W$1,'Assumptions (NG Midstream)'!$B$75,Model!$AX$258)</f>
        <v>-0.04289874229</v>
      </c>
      <c r="AY308" s="188">
        <f>PPMT('Assumptions (NG Midstream)'!$B$72,Model!X$1,'Assumptions (NG Midstream)'!$B$75,Model!$AX$258)</f>
        <v>-0.04611614796</v>
      </c>
      <c r="AZ308" s="188">
        <f>PPMT('Assumptions (NG Midstream)'!$B$72,Model!Y$1,'Assumptions (NG Midstream)'!$B$75,Model!$AX$258)</f>
        <v>-0.04957485906</v>
      </c>
      <c r="BA308" s="188">
        <f>PPMT('Assumptions (NG Midstream)'!$B$72,Model!Z$1,'Assumptions (NG Midstream)'!$B$75,Model!$AX$258)</f>
        <v>-0.05329297349</v>
      </c>
      <c r="BB308" s="188">
        <f>PPMT('Assumptions (NG Midstream)'!$B$72,Model!AA$1,'Assumptions (NG Midstream)'!$B$75,Model!$AX$258)</f>
        <v>-0.0572899465</v>
      </c>
      <c r="BC308" s="188">
        <f>PPMT('Assumptions (NG Midstream)'!$B$72,Model!AB$1,'Assumptions (NG Midstream)'!$B$75,Model!$AX$258)</f>
        <v>-0.06158669249</v>
      </c>
      <c r="BD308" s="188">
        <f>PPMT('Assumptions (NG Midstream)'!$B$72,Model!AC$1,'Assumptions (NG Midstream)'!$B$75,Model!$AX$258)</f>
        <v>-0.06620569442</v>
      </c>
      <c r="BE308" s="188">
        <f>PPMT('Assumptions (NG Midstream)'!$B$72,Model!AD$1,'Assumptions (NG Midstream)'!$B$75,Model!$AX$258)</f>
        <v>-0.0711711215</v>
      </c>
      <c r="BF308" s="188">
        <f>PPMT('Assumptions (NG Midstream)'!$B$72,Model!AE$1,'Assumptions (NG Midstream)'!$B$75,Model!$AX$258)</f>
        <v>-0.07650895562</v>
      </c>
      <c r="BG308" s="188">
        <f>PPMT('Assumptions (NG Midstream)'!$B$72,Model!AF$1,'Assumptions (NG Midstream)'!$B$75,Model!$AX$258)</f>
        <v>-0.08224712729</v>
      </c>
      <c r="BH308" s="188">
        <f>PPMT('Assumptions (NG Midstream)'!$B$72,Model!AG$1,'Assumptions (NG Midstream)'!$B$75,Model!$AX$258)</f>
        <v>-0.08841566184</v>
      </c>
      <c r="BI308" s="188">
        <f>PPMT('Assumptions (NG Midstream)'!$B$72,Model!AH$1,'Assumptions (NG Midstream)'!$B$75,Model!$AX$258)</f>
        <v>-0.09504683647</v>
      </c>
      <c r="BJ308" s="188">
        <f>PPMT('Assumptions (NG Midstream)'!$B$72,Model!AI$1,'Assumptions (NG Midstream)'!$B$75,Model!$AX$258)</f>
        <v>-0.1021753492</v>
      </c>
      <c r="BK308" s="188">
        <f>PPMT('Assumptions (NG Midstream)'!$B$72,Model!AJ$1,'Assumptions (NG Midstream)'!$B$75,Model!$AX$258)</f>
        <v>-0.1098385004</v>
      </c>
      <c r="BL308" s="188">
        <f>PPMT('Assumptions (NG Midstream)'!$B$72,Model!AK$1,'Assumptions (NG Midstream)'!$B$75,Model!$AX$258)</f>
        <v>-0.1180763879</v>
      </c>
      <c r="BM308" s="188"/>
      <c r="BN308" s="188"/>
      <c r="BO308" s="188"/>
      <c r="BP308" s="188"/>
      <c r="BQ308" s="188"/>
      <c r="BR308" s="188"/>
      <c r="BS308" s="188"/>
      <c r="BT308" s="188"/>
      <c r="BU308" s="188"/>
      <c r="BV308" s="188"/>
    </row>
    <row r="309" ht="15.75" hidden="1" customHeight="1" outlineLevel="1">
      <c r="A309" s="187"/>
      <c r="B309" s="38"/>
      <c r="C309" s="188"/>
      <c r="D309" s="188"/>
      <c r="E309" s="188"/>
      <c r="F309" s="188"/>
      <c r="G309" s="188"/>
      <c r="H309" s="188"/>
      <c r="I309" s="188"/>
      <c r="J309" s="188"/>
      <c r="K309" s="188"/>
      <c r="L309" s="188"/>
      <c r="M309" s="188"/>
      <c r="N309" s="188"/>
      <c r="O309" s="188"/>
      <c r="P309" s="188"/>
      <c r="Q309" s="188"/>
      <c r="R309" s="188"/>
      <c r="S309" s="78"/>
      <c r="T309" s="78"/>
      <c r="U309" s="78"/>
      <c r="V309" s="78"/>
      <c r="W309" s="139"/>
      <c r="AW309" s="188"/>
      <c r="AX309" s="188"/>
      <c r="AY309" s="188">
        <f>PPMT('Assumptions (NG Midstream)'!$B$72,Model!W$1,'Assumptions (NG Midstream)'!$B$75,Model!$AY$258)</f>
        <v>-0.03804891017</v>
      </c>
      <c r="AZ309" s="188">
        <f>PPMT('Assumptions (NG Midstream)'!$B$72,Model!X$1,'Assumptions (NG Midstream)'!$B$75,Model!$AY$258)</f>
        <v>-0.04090257843</v>
      </c>
      <c r="BA309" s="188">
        <f>PPMT('Assumptions (NG Midstream)'!$B$72,Model!Y$1,'Assumptions (NG Midstream)'!$B$75,Model!$AY$258)</f>
        <v>-0.04397027182</v>
      </c>
      <c r="BB309" s="188">
        <f>PPMT('Assumptions (NG Midstream)'!$B$72,Model!Z$1,'Assumptions (NG Midstream)'!$B$75,Model!$AY$258)</f>
        <v>-0.0472680422</v>
      </c>
      <c r="BC309" s="188">
        <f>PPMT('Assumptions (NG Midstream)'!$B$72,Model!AA$1,'Assumptions (NG Midstream)'!$B$75,Model!$AY$258)</f>
        <v>-0.05081314537</v>
      </c>
      <c r="BD309" s="188">
        <f>PPMT('Assumptions (NG Midstream)'!$B$72,Model!AB$1,'Assumptions (NG Midstream)'!$B$75,Model!$AY$258)</f>
        <v>-0.05462413127</v>
      </c>
      <c r="BE309" s="188">
        <f>PPMT('Assumptions (NG Midstream)'!$B$72,Model!AC$1,'Assumptions (NG Midstream)'!$B$75,Model!$AY$258)</f>
        <v>-0.05872094111</v>
      </c>
      <c r="BF309" s="188">
        <f>PPMT('Assumptions (NG Midstream)'!$B$72,Model!AD$1,'Assumptions (NG Midstream)'!$B$75,Model!$AY$258)</f>
        <v>-0.0631250117</v>
      </c>
      <c r="BG309" s="188">
        <f>PPMT('Assumptions (NG Midstream)'!$B$72,Model!AE$1,'Assumptions (NG Midstream)'!$B$75,Model!$AY$258)</f>
        <v>-0.06785938758</v>
      </c>
      <c r="BH309" s="188">
        <f>PPMT('Assumptions (NG Midstream)'!$B$72,Model!AF$1,'Assumptions (NG Midstream)'!$B$75,Model!$AY$258)</f>
        <v>-0.07294884164</v>
      </c>
      <c r="BI309" s="188">
        <f>PPMT('Assumptions (NG Midstream)'!$B$72,Model!AG$1,'Assumptions (NG Midstream)'!$B$75,Model!$AY$258)</f>
        <v>-0.07842000477</v>
      </c>
      <c r="BJ309" s="188">
        <f>PPMT('Assumptions (NG Midstream)'!$B$72,Model!AH$1,'Assumptions (NG Midstream)'!$B$75,Model!$AY$258)</f>
        <v>-0.08430150512</v>
      </c>
      <c r="BK309" s="188">
        <f>PPMT('Assumptions (NG Midstream)'!$B$72,Model!AI$1,'Assumptions (NG Midstream)'!$B$75,Model!$AY$258)</f>
        <v>-0.09062411801</v>
      </c>
      <c r="BL309" s="188">
        <f>PPMT('Assumptions (NG Midstream)'!$B$72,Model!AJ$1,'Assumptions (NG Midstream)'!$B$75,Model!$AY$258)</f>
        <v>-0.09742092686</v>
      </c>
      <c r="BM309" s="188">
        <f>PPMT('Assumptions (NG Midstream)'!$B$72,Model!AK$1,'Assumptions (NG Midstream)'!$B$75,Model!$AY$258)</f>
        <v>-0.1047274964</v>
      </c>
      <c r="BN309" s="188"/>
      <c r="BO309" s="188"/>
      <c r="BP309" s="188"/>
      <c r="BQ309" s="188"/>
      <c r="BR309" s="188"/>
      <c r="BS309" s="188"/>
      <c r="BT309" s="188"/>
      <c r="BU309" s="188"/>
      <c r="BV309" s="188"/>
      <c r="BW309" s="188"/>
    </row>
    <row r="310" ht="15.75" hidden="1" customHeight="1" outlineLevel="1">
      <c r="A310" s="187"/>
      <c r="B310" s="38"/>
      <c r="C310" s="188"/>
      <c r="D310" s="188"/>
      <c r="E310" s="188"/>
      <c r="F310" s="188"/>
      <c r="G310" s="188"/>
      <c r="H310" s="188"/>
      <c r="I310" s="188"/>
      <c r="J310" s="188"/>
      <c r="K310" s="188"/>
      <c r="L310" s="188"/>
      <c r="M310" s="188"/>
      <c r="N310" s="188"/>
      <c r="O310" s="188"/>
      <c r="P310" s="188"/>
      <c r="Q310" s="188"/>
      <c r="R310" s="188"/>
      <c r="S310" s="78"/>
      <c r="T310" s="78"/>
      <c r="U310" s="78"/>
      <c r="V310" s="78"/>
      <c r="W310" s="139"/>
      <c r="AW310" s="188"/>
      <c r="AX310" s="188"/>
      <c r="AY310" s="188"/>
      <c r="AZ310" s="188">
        <f>PPMT('Assumptions (NG Midstream)'!$B$72,Model!W$1,'Assumptions (NG Midstream)'!$B$75,Model!$AZ$258)</f>
        <v>-0.04022805142</v>
      </c>
      <c r="BA310" s="188">
        <f>PPMT('Assumptions (NG Midstream)'!$B$72,Model!X$1,'Assumptions (NG Midstream)'!$B$75,Model!$AZ$258)</f>
        <v>-0.04324515528</v>
      </c>
      <c r="BB310" s="188">
        <f>PPMT('Assumptions (NG Midstream)'!$B$72,Model!Y$1,'Assumptions (NG Midstream)'!$B$75,Model!$AZ$258)</f>
        <v>-0.04648854193</v>
      </c>
      <c r="BC310" s="188">
        <f>PPMT('Assumptions (NG Midstream)'!$B$72,Model!Z$1,'Assumptions (NG Midstream)'!$B$75,Model!$AZ$258)</f>
        <v>-0.04997518257</v>
      </c>
      <c r="BD310" s="188">
        <f>PPMT('Assumptions (NG Midstream)'!$B$72,Model!AA$1,'Assumptions (NG Midstream)'!$B$75,Model!$AZ$258)</f>
        <v>-0.05372332127</v>
      </c>
      <c r="BE310" s="188">
        <f>PPMT('Assumptions (NG Midstream)'!$B$72,Model!AB$1,'Assumptions (NG Midstream)'!$B$75,Model!$AZ$258)</f>
        <v>-0.05775257036</v>
      </c>
      <c r="BF310" s="188">
        <f>PPMT('Assumptions (NG Midstream)'!$B$72,Model!AC$1,'Assumptions (NG Midstream)'!$B$75,Model!$AZ$258)</f>
        <v>-0.06208401314</v>
      </c>
      <c r="BG310" s="188">
        <f>PPMT('Assumptions (NG Midstream)'!$B$72,Model!AD$1,'Assumptions (NG Midstream)'!$B$75,Model!$AZ$258)</f>
        <v>-0.06674031412</v>
      </c>
      <c r="BH310" s="188">
        <f>PPMT('Assumptions (NG Midstream)'!$B$72,Model!AE$1,'Assumptions (NG Midstream)'!$B$75,Model!$AZ$258)</f>
        <v>-0.07174583768</v>
      </c>
      <c r="BI310" s="188">
        <f>PPMT('Assumptions (NG Midstream)'!$B$72,Model!AF$1,'Assumptions (NG Midstream)'!$B$75,Model!$AZ$258)</f>
        <v>-0.07712677551</v>
      </c>
      <c r="BJ310" s="188">
        <f>PPMT('Assumptions (NG Midstream)'!$B$72,Model!AG$1,'Assumptions (NG Midstream)'!$B$75,Model!$AZ$258)</f>
        <v>-0.08291128367</v>
      </c>
      <c r="BK310" s="188">
        <f>PPMT('Assumptions (NG Midstream)'!$B$72,Model!AH$1,'Assumptions (NG Midstream)'!$B$75,Model!$AZ$258)</f>
        <v>-0.08912962995</v>
      </c>
      <c r="BL310" s="188">
        <f>PPMT('Assumptions (NG Midstream)'!$B$72,Model!AI$1,'Assumptions (NG Midstream)'!$B$75,Model!$AZ$258)</f>
        <v>-0.09581435219</v>
      </c>
      <c r="BM310" s="188">
        <f>PPMT('Assumptions (NG Midstream)'!$B$72,Model!AJ$1,'Assumptions (NG Midstream)'!$B$75,Model!$AZ$258)</f>
        <v>-0.1030004286</v>
      </c>
      <c r="BN310" s="188">
        <f>PPMT('Assumptions (NG Midstream)'!$B$72,Model!AK$1,'Assumptions (NG Midstream)'!$B$75,Model!$AZ$258)</f>
        <v>-0.1107254608</v>
      </c>
      <c r="BO310" s="188"/>
      <c r="BP310" s="188"/>
      <c r="BQ310" s="188"/>
      <c r="BR310" s="188"/>
      <c r="BS310" s="188"/>
      <c r="BT310" s="188"/>
      <c r="BU310" s="188"/>
      <c r="BV310" s="188"/>
      <c r="BW310" s="188"/>
      <c r="BX310" s="188"/>
    </row>
    <row r="311" ht="15.75" hidden="1" customHeight="1" outlineLevel="1">
      <c r="A311" s="187"/>
      <c r="B311" s="38"/>
      <c r="C311" s="188"/>
      <c r="D311" s="188"/>
      <c r="E311" s="188"/>
      <c r="F311" s="188"/>
      <c r="G311" s="188"/>
      <c r="H311" s="188"/>
      <c r="I311" s="188"/>
      <c r="J311" s="188"/>
      <c r="K311" s="188"/>
      <c r="L311" s="188"/>
      <c r="M311" s="188"/>
      <c r="N311" s="188"/>
      <c r="O311" s="188"/>
      <c r="P311" s="188"/>
      <c r="Q311" s="188"/>
      <c r="R311" s="188"/>
      <c r="S311" s="78"/>
      <c r="T311" s="78"/>
      <c r="U311" s="78"/>
      <c r="V311" s="78"/>
      <c r="W311" s="139"/>
      <c r="BA311" s="188">
        <f>PPMT('Assumptions (NG Midstream)'!$B$72,Model!W$1,'Assumptions (NG Midstream)'!$B$75,Model!$BA$258)</f>
        <v>-0.04023143388</v>
      </c>
      <c r="BB311" s="188">
        <f>PPMT('Assumptions (NG Midstream)'!$B$72,Model!X$1,'Assumptions (NG Midstream)'!$B$75,Model!$BA$258)</f>
        <v>-0.04324879142</v>
      </c>
      <c r="BC311" s="188">
        <f>PPMT('Assumptions (NG Midstream)'!$B$72,Model!Y$1,'Assumptions (NG Midstream)'!$B$75,Model!$BA$258)</f>
        <v>-0.04649245078</v>
      </c>
      <c r="BD311" s="188">
        <f>PPMT('Assumptions (NG Midstream)'!$B$72,Model!Z$1,'Assumptions (NG Midstream)'!$B$75,Model!$BA$258)</f>
        <v>-0.04997938459</v>
      </c>
      <c r="BE311" s="188">
        <f>PPMT('Assumptions (NG Midstream)'!$B$72,Model!AA$1,'Assumptions (NG Midstream)'!$B$75,Model!$BA$258)</f>
        <v>-0.05372783843</v>
      </c>
      <c r="BF311" s="188">
        <f>PPMT('Assumptions (NG Midstream)'!$B$72,Model!AB$1,'Assumptions (NG Midstream)'!$B$75,Model!$BA$258)</f>
        <v>-0.05775742632</v>
      </c>
      <c r="BG311" s="188">
        <f>PPMT('Assumptions (NG Midstream)'!$B$72,Model!AC$1,'Assumptions (NG Midstream)'!$B$75,Model!$BA$258)</f>
        <v>-0.06208923329</v>
      </c>
      <c r="BH311" s="188">
        <f>PPMT('Assumptions (NG Midstream)'!$B$72,Model!AD$1,'Assumptions (NG Midstream)'!$B$75,Model!$BA$258)</f>
        <v>-0.06674592579</v>
      </c>
      <c r="BI311" s="188">
        <f>PPMT('Assumptions (NG Midstream)'!$B$72,Model!AE$1,'Assumptions (NG Midstream)'!$B$75,Model!$BA$258)</f>
        <v>-0.07175187022</v>
      </c>
      <c r="BJ311" s="188">
        <f>PPMT('Assumptions (NG Midstream)'!$B$72,Model!AF$1,'Assumptions (NG Midstream)'!$B$75,Model!$BA$258)</f>
        <v>-0.07713326049</v>
      </c>
      <c r="BK311" s="188">
        <f>PPMT('Assumptions (NG Midstream)'!$B$72,Model!AG$1,'Assumptions (NG Midstream)'!$B$75,Model!$BA$258)</f>
        <v>-0.08291825502</v>
      </c>
      <c r="BL311" s="188">
        <f>PPMT('Assumptions (NG Midstream)'!$B$72,Model!AH$1,'Assumptions (NG Midstream)'!$B$75,Model!$BA$258)</f>
        <v>-0.08913712415</v>
      </c>
      <c r="BM311" s="188">
        <f>PPMT('Assumptions (NG Midstream)'!$B$72,Model!AI$1,'Assumptions (NG Midstream)'!$B$75,Model!$BA$258)</f>
        <v>-0.09582240846</v>
      </c>
      <c r="BN311" s="188">
        <f>PPMT('Assumptions (NG Midstream)'!$B$72,Model!AJ$1,'Assumptions (NG Midstream)'!$B$75,Model!$BA$258)</f>
        <v>-0.1030090891</v>
      </c>
      <c r="BO311" s="188">
        <f>PPMT('Assumptions (NG Midstream)'!$B$72,Model!AK$1,'Assumptions (NG Midstream)'!$B$75,Model!$BA$258)</f>
        <v>-0.1107347708</v>
      </c>
      <c r="BP311" s="188"/>
      <c r="BQ311" s="188"/>
      <c r="BR311" s="188"/>
      <c r="BS311" s="188"/>
      <c r="BT311" s="188"/>
      <c r="BU311" s="188"/>
      <c r="BV311" s="188"/>
      <c r="BW311" s="188"/>
      <c r="BX311" s="188"/>
      <c r="BY311" s="188"/>
    </row>
    <row r="312" ht="15.75" customHeight="1" collapsed="1">
      <c r="A312" s="187" t="s">
        <v>360</v>
      </c>
      <c r="B312" s="159" t="s">
        <v>351</v>
      </c>
      <c r="C312" s="177">
        <f t="array" ref="C312">SUM(IF(ISERROR(C313:C363),"",C313:C363))</f>
        <v>-0.1368942282</v>
      </c>
      <c r="D312" s="177">
        <f t="array" ref="D312">SUM(IF(ISERROR(D313:D363),"",D313:D363))</f>
        <v>-0.310102062</v>
      </c>
      <c r="E312" s="177">
        <f t="array" ref="E312">SUM(IF(ISERROR(E313:E363),"",E313:E363))</f>
        <v>-0.5155183322</v>
      </c>
      <c r="F312" s="177">
        <f t="array" ref="F312">SUM(IF(ISERROR(F313:F363),"",F313:F363))</f>
        <v>-0.7678686284</v>
      </c>
      <c r="G312" s="177">
        <f t="array" ref="G312">SUM(IF(ISERROR(G313:G363),"",G313:G363))</f>
        <v>-0.8969294618</v>
      </c>
      <c r="H312" s="177">
        <f t="array" ref="H312">SUM(IF(ISERROR(H313:H363),"",H313:H363))</f>
        <v>-1.016109598</v>
      </c>
      <c r="I312" s="177">
        <f t="array" ref="I312">SUM(IF(ISERROR(I313:I363),"",I313:I363))</f>
        <v>-1.16885502</v>
      </c>
      <c r="J312" s="177">
        <f t="array" ref="J312">SUM(IF(ISERROR(J313:J363),"",J313:J363))</f>
        <v>-1.450237183</v>
      </c>
      <c r="K312" s="177">
        <f t="array" ref="K312">SUM(IF(ISERROR(K313:K363),"",K313:K363))</f>
        <v>-2.001709042</v>
      </c>
      <c r="L312" s="177">
        <f t="array" ref="L312">SUM(IF(ISERROR(L313:L363),"",L313:L363))</f>
        <v>-2.703390173</v>
      </c>
      <c r="M312" s="177">
        <f t="array" ref="M312">SUM(IF(ISERROR(M313:M363),"",M313:M363))</f>
        <v>-2.821239886</v>
      </c>
      <c r="N312" s="177">
        <f t="array" ref="N312">SUM(IF(ISERROR(N313:N363),"",N313:N363))</f>
        <v>-3.415707131</v>
      </c>
      <c r="O312" s="177">
        <f t="array" ref="O312">SUM(IF(ISERROR(O313:O363),"",O313:O363))</f>
        <v>-3.479364334</v>
      </c>
      <c r="P312" s="177">
        <f t="array" ref="P312">SUM(IF(ISERROR(P313:P363),"",P313:P363))</f>
        <v>-3.590119077</v>
      </c>
      <c r="Q312" s="177">
        <f t="array" ref="Q312">SUM(IF(ISERROR(Q313:Q363),"",Q313:Q363))</f>
        <v>-3.553250002</v>
      </c>
      <c r="R312" s="177">
        <f t="array" ref="R312">SUM(IF(ISERROR(R313:R363),"",R313:R363))</f>
        <v>-3.591225851</v>
      </c>
      <c r="S312" s="177">
        <f t="array" ref="S312">SUM(IF(ISERROR(S313:S363),"",S313:S363))</f>
        <v>-3.582399753</v>
      </c>
      <c r="T312" s="177">
        <f t="array" ref="T312">SUM(IF(ISERROR(T313:T363),"",T313:T363))</f>
        <v>-3.597682383</v>
      </c>
      <c r="U312" s="177">
        <f t="array" ref="U312">SUM(IF(ISERROR(U313:U363),"",U313:U363))</f>
        <v>-3.29054275</v>
      </c>
      <c r="V312" s="177">
        <f t="array" ref="V312">SUM(IF(ISERROR(V313:V363),"",V313:V363))</f>
        <v>-3.09039488</v>
      </c>
      <c r="W312" s="177">
        <f t="array" ref="W312">SUM(IF(ISERROR(W313:W363),"",W313:W363))</f>
        <v>-2.822090004</v>
      </c>
      <c r="X312" s="177">
        <f t="array" ref="X312">SUM(IF(ISERROR(X313:X363),"",X313:X363))</f>
        <v>-2.531258775</v>
      </c>
      <c r="Y312" s="177">
        <f t="array" ref="Y312">SUM(IF(ISERROR(Y313:Y363),"",Y313:Y363))</f>
        <v>-2.256936798</v>
      </c>
      <c r="Z312" s="177">
        <f t="array" ref="Z312">SUM(IF(ISERROR(Z313:Z363),"",Z313:Z363))</f>
        <v>-1.996862621</v>
      </c>
      <c r="AA312" s="177">
        <f t="array" ref="AA312">SUM(IF(ISERROR(AA313:AA363),"",AA313:AA363))</f>
        <v>-1.775866609</v>
      </c>
      <c r="AB312" s="177">
        <f t="array" ref="AB312">SUM(IF(ISERROR(AB313:AB363),"",AB313:AB363))</f>
        <v>-1.609537381</v>
      </c>
      <c r="AC312" s="177">
        <f t="array" ref="AC312">SUM(IF(ISERROR(AC313:AC363),"",AC313:AC363))</f>
        <v>-1.42968196</v>
      </c>
      <c r="AD312" s="177">
        <f t="array" ref="AD312">SUM(IF(ISERROR(AD313:AD363),"",AD313:AD363))</f>
        <v>-1.307796126</v>
      </c>
      <c r="AE312" s="177">
        <f t="array" ref="AE312">SUM(IF(ISERROR(AE313:AE363),"",AE313:AE363))</f>
        <v>-1.183945522</v>
      </c>
      <c r="AF312" s="177">
        <f t="array" ref="AF312">SUM(IF(ISERROR(AF313:AF363),"",AF313:AF363))</f>
        <v>-1.073141779</v>
      </c>
      <c r="AG312" s="177">
        <f t="array" ref="AG312">SUM(IF(ISERROR(AG313:AG363),"",AG313:AG363))</f>
        <v>-0.9848526058</v>
      </c>
      <c r="AH312" s="177">
        <f t="array" ref="AH312">SUM(IF(ISERROR(AH313:AH363),"",AH313:AH363))</f>
        <v>-0.9236748348</v>
      </c>
      <c r="AI312" s="177">
        <f t="array" ref="AI312">SUM(IF(ISERROR(AI313:AI363),"",AI313:AI363))</f>
        <v>-0.8689877528</v>
      </c>
      <c r="AJ312" s="177">
        <f t="array" ref="AJ312">SUM(IF(ISERROR(AJ313:AJ363),"",AJ313:AJ363))</f>
        <v>-0.8531397699</v>
      </c>
      <c r="AK312" s="177">
        <f t="array" ref="AK312">SUM(IF(ISERROR(AK313:AK363),"",AK313:AK363))</f>
        <v>-0.8260560666</v>
      </c>
      <c r="AL312" s="177">
        <f t="array" ref="AL312">SUM(IF(ISERROR(AL313:AL363),"",AL313:AL363))</f>
        <v>-0.8066363865</v>
      </c>
      <c r="AM312" s="177">
        <f t="array" ref="AM312">SUM(IF(ISERROR(AM313:AM363),"",AM313:AM363))</f>
        <v>-0.7822399969</v>
      </c>
      <c r="AN312" s="177">
        <f t="array" ref="AN312">SUM(IF(ISERROR(AN313:AN363),"",AN313:AN363))</f>
        <v>-0.7614368527</v>
      </c>
      <c r="AO312" s="177">
        <f t="array" ref="AO312">SUM(IF(ISERROR(AO313:AO363),"",AO313:AO363))</f>
        <v>-0.7397234214</v>
      </c>
      <c r="AP312" s="177">
        <f t="array" ref="AP312">SUM(IF(ISERROR(AP313:AP363),"",AP313:AP363))</f>
        <v>-0.7249842378</v>
      </c>
      <c r="AQ312" s="177">
        <f t="array" ref="AQ312">SUM(IF(ISERROR(AQ313:AQ363),"",AQ313:AQ363))</f>
        <v>-0.710559831</v>
      </c>
      <c r="AR312" s="177">
        <f t="array" ref="AR312">SUM(IF(ISERROR(AR313:AR363),"",AR313:AR363))</f>
        <v>-0.7050948126</v>
      </c>
      <c r="AS312" s="177">
        <f t="array" ref="AS312">SUM(IF(ISERROR(AS313:AS363),"",AS313:AS363))</f>
        <v>-0.6995692489</v>
      </c>
      <c r="AT312" s="177">
        <f t="array" ref="AT312">SUM(IF(ISERROR(AT313:AT363),"",AT313:AT363))</f>
        <v>-0.7059256061</v>
      </c>
      <c r="AU312" s="177">
        <f t="array" ref="AU312">SUM(IF(ISERROR(AU313:AU363),"",AU313:AU363))</f>
        <v>-0.7058440351</v>
      </c>
      <c r="AV312" s="177">
        <f t="array" ref="AV312">SUM(IF(ISERROR(AV313:AV363),"",AV313:AV363))</f>
        <v>-0.7009458826</v>
      </c>
      <c r="AW312" s="177">
        <f t="array" ref="AW312">SUM(IF(ISERROR(AW313:AW363),"",AW313:AW363))</f>
        <v>-0.7034067121</v>
      </c>
      <c r="AX312" s="177">
        <f t="array" ref="AX312">SUM(IF(ISERROR(AX313:AX363),"",AX313:AX363))</f>
        <v>-0.7120010302</v>
      </c>
      <c r="AY312" s="177">
        <f t="array" ref="AY312">SUM(IF(ISERROR(AY313:AY363),"",AY313:AY363))</f>
        <v>-0.710371057</v>
      </c>
      <c r="AZ312" s="177">
        <f t="array" ref="AZ312">SUM(IF(ISERROR(AZ313:AZ363),"",AZ313:AZ363))</f>
        <v>-0.7138134927</v>
      </c>
      <c r="BA312" s="177">
        <f t="array" ref="BA312">SUM(IF(ISERROR(BA313:BA363),"",BA313:BA363))</f>
        <v>-0.7172684737</v>
      </c>
      <c r="BB312" s="177">
        <f t="array" ref="BB312">SUM(IF(ISERROR(BB313:BB363),"",BB313:BB363))</f>
        <v>-0.6420440663</v>
      </c>
      <c r="BC312" s="177">
        <f t="array" ref="BC312">SUM(IF(ISERROR(BC313:BC363),"",BC313:BC363))</f>
        <v>-0.5693126026</v>
      </c>
      <c r="BD312" s="177">
        <f t="array" ref="BD312">SUM(IF(ISERROR(BD313:BD363),"",BD313:BD363))</f>
        <v>-0.4996592</v>
      </c>
      <c r="BE312" s="177">
        <f t="array" ref="BE312">SUM(IF(ISERROR(BE313:BE363),"",BE313:BE363))</f>
        <v>-0.4328942736</v>
      </c>
      <c r="BF312" s="177">
        <f t="array" ref="BF312">SUM(IF(ISERROR(BF313:BF363),"",BF313:BF363))</f>
        <v>-0.3695568013</v>
      </c>
      <c r="BG312" s="177">
        <f t="array" ref="BG312">SUM(IF(ISERROR(BG313:BG363),"",BG313:BG363))</f>
        <v>-0.3094398522</v>
      </c>
      <c r="BH312" s="177">
        <f t="array" ref="BH312">SUM(IF(ISERROR(BH313:BH363),"",BH313:BH363))</f>
        <v>-0.2533349775</v>
      </c>
      <c r="BI312" s="177">
        <f t="array" ref="BI312">SUM(IF(ISERROR(BI313:BI363),"",BI313:BI363))</f>
        <v>-0.2012940339</v>
      </c>
      <c r="BJ312" s="177">
        <f t="array" ref="BJ312">SUM(IF(ISERROR(BJ313:BJ363),"",BJ313:BJ363))</f>
        <v>-0.1547553219</v>
      </c>
      <c r="BK312" s="177">
        <f t="array" ref="BK312">SUM(IF(ISERROR(BK313:BK363),"",BK313:BK363))</f>
        <v>-0.1133957809</v>
      </c>
      <c r="BL312" s="177">
        <f t="array" ref="BL312">SUM(IF(ISERROR(BL313:BL363),"",BL313:BL363))</f>
        <v>-0.07713513339</v>
      </c>
      <c r="BM312" s="177">
        <f t="array" ref="BM312">SUM(IF(ISERROR(BM313:BM363),"",BM313:BM363))</f>
        <v>-0.04710147406</v>
      </c>
      <c r="BN312" s="177">
        <f t="array" ref="BN312">SUM(IF(ISERROR(BN313:BN363),"",BN313:BN363))</f>
        <v>-0.02433519905</v>
      </c>
      <c r="BO312" s="177">
        <f t="array" ref="BO312">SUM(IF(ISERROR(BO313:BO363),"",BO313:BO363))</f>
        <v>-0.008305107808</v>
      </c>
      <c r="BP312" s="177">
        <f t="array" ref="BP312">SUM(IF(ISERROR(BP313:BP363),"",BP313:BP363))</f>
        <v>0</v>
      </c>
      <c r="BQ312" s="177">
        <f t="array" ref="BQ312">SUM(IF(ISERROR(BQ313:BQ363),"",BQ313:BQ363))</f>
        <v>0</v>
      </c>
      <c r="BR312" s="177">
        <f t="array" ref="BR312">SUM(IF(ISERROR(BR313:BR363),"",BR313:BR363))</f>
        <v>0</v>
      </c>
      <c r="BS312" s="177">
        <f t="array" ref="BS312">SUM(IF(ISERROR(BS313:BS363),"",BS313:BS363))</f>
        <v>0</v>
      </c>
      <c r="BT312" s="177">
        <f t="array" ref="BT312">SUM(IF(ISERROR(BT313:BT363),"",BT313:BT363))</f>
        <v>0</v>
      </c>
      <c r="BU312" s="177">
        <f t="array" ref="BU312">SUM(IF(ISERROR(BU313:BU363),"",BU313:BU363))</f>
        <v>0</v>
      </c>
      <c r="BV312" s="177">
        <f t="array" ref="BV312">SUM(IF(ISERROR(BV313:BV363),"",BV313:BV363))</f>
        <v>0</v>
      </c>
      <c r="BW312" s="177">
        <f t="array" ref="BW312">SUM(IF(ISERROR(BW313:BW363),"",BW313:BW363))</f>
        <v>0</v>
      </c>
      <c r="BX312" s="177">
        <f t="array" ref="BX312">SUM(IF(ISERROR(BX313:BX363),"",BX313:BX363))</f>
        <v>0</v>
      </c>
      <c r="BY312" s="177">
        <f t="array" ref="BY312">SUM(IF(ISERROR(BY313:BY363),"",BY313:BY363))</f>
        <v>0</v>
      </c>
    </row>
    <row r="313" ht="15.75" hidden="1" customHeight="1" outlineLevel="1">
      <c r="A313" s="187"/>
      <c r="B313" s="38"/>
      <c r="C313" s="188">
        <f>IPMT('Assumptions (NG Midstream)'!$B$72,Model!W$1,'Assumptions (NG Midstream)'!$B$75,Model!$C$258)</f>
        <v>-0.1368942282</v>
      </c>
      <c r="D313" s="188">
        <f>IPMT('Assumptions (NG Midstream)'!$B$72,Model!X$1,'Assumptions (NG Midstream)'!$B$75,Model!$C$258)</f>
        <v>-0.1316529266</v>
      </c>
      <c r="E313" s="188">
        <f>IPMT('Assumptions (NG Midstream)'!$B$72,Model!Y$1,'Assumptions (NG Midstream)'!$B$75,Model!$C$258)</f>
        <v>-0.1260185273</v>
      </c>
      <c r="F313" s="188">
        <f>IPMT('Assumptions (NG Midstream)'!$B$72,Model!Z$1,'Assumptions (NG Midstream)'!$B$75,Model!$C$258)</f>
        <v>-0.119961548</v>
      </c>
      <c r="G313" s="188">
        <f>IPMT('Assumptions (NG Midstream)'!$B$72,Model!AA$1,'Assumptions (NG Midstream)'!$B$75,Model!$C$258)</f>
        <v>-0.1134502954</v>
      </c>
      <c r="H313" s="188">
        <f>IPMT('Assumptions (NG Midstream)'!$B$72,Model!AB$1,'Assumptions (NG Midstream)'!$B$75,Model!$C$258)</f>
        <v>-0.1064506988</v>
      </c>
      <c r="I313" s="188">
        <f>IPMT('Assumptions (NG Midstream)'!$B$72,Model!AC$1,'Assumptions (NG Midstream)'!$B$75,Model!$C$258)</f>
        <v>-0.09892613239</v>
      </c>
      <c r="J313" s="188">
        <f>IPMT('Assumptions (NG Midstream)'!$B$72,Model!AD$1,'Assumptions (NG Midstream)'!$B$75,Model!$C$258)</f>
        <v>-0.09083722355</v>
      </c>
      <c r="K313" s="188">
        <f>IPMT('Assumptions (NG Midstream)'!$B$72,Model!AE$1,'Assumptions (NG Midstream)'!$B$75,Model!$C$258)</f>
        <v>-0.08214164654</v>
      </c>
      <c r="L313" s="188">
        <f>IPMT('Assumptions (NG Midstream)'!$B$72,Model!AF$1,'Assumptions (NG Midstream)'!$B$75,Model!$C$258)</f>
        <v>-0.07279390126</v>
      </c>
      <c r="M313" s="188">
        <f>IPMT('Assumptions (NG Midstream)'!$B$72,Model!AG$1,'Assumptions (NG Midstream)'!$B$75,Model!$C$258)</f>
        <v>-0.06274507508</v>
      </c>
      <c r="N313" s="188">
        <f>IPMT('Assumptions (NG Midstream)'!$B$72,Model!AH$1,'Assumptions (NG Midstream)'!$B$75,Model!$C$258)</f>
        <v>-0.05194258693</v>
      </c>
      <c r="O313" s="188">
        <f>IPMT('Assumptions (NG Midstream)'!$B$72,Model!AI$1,'Assumptions (NG Midstream)'!$B$75,Model!$C$258)</f>
        <v>-0.04032991218</v>
      </c>
      <c r="P313" s="188">
        <f>IPMT('Assumptions (NG Midstream)'!$B$72,Model!AJ$1,'Assumptions (NG Midstream)'!$B$75,Model!$C$258)</f>
        <v>-0.02784628682</v>
      </c>
      <c r="Q313" s="188">
        <f>IPMT('Assumptions (NG Midstream)'!$B$72,Model!AK$1,'Assumptions (NG Midstream)'!$B$75,Model!$C$258)</f>
        <v>-0.01442638956</v>
      </c>
      <c r="R313" s="188"/>
      <c r="S313" s="188"/>
      <c r="T313" s="188"/>
      <c r="U313" s="188"/>
      <c r="V313" s="188"/>
      <c r="W313" s="188"/>
      <c r="X313" s="188"/>
      <c r="Y313" s="188"/>
      <c r="Z313" s="188"/>
      <c r="AA313" s="188"/>
      <c r="AB313" s="188"/>
    </row>
    <row r="314" ht="15.75" hidden="1" customHeight="1" outlineLevel="1">
      <c r="A314" s="187"/>
      <c r="B314" s="38"/>
      <c r="C314" s="188"/>
      <c r="D314" s="188">
        <f>IPMT('Assumptions (NG Midstream)'!$B$72,Model!W$1,'Assumptions (NG Midstream)'!$B$75,Model!$D$258)</f>
        <v>-0.1784491355</v>
      </c>
      <c r="E314" s="188">
        <f>IPMT('Assumptions (NG Midstream)'!$B$72,Model!X$1,'Assumptions (NG Midstream)'!$B$75,Model!$D$258)</f>
        <v>-0.1716168113</v>
      </c>
      <c r="F314" s="188">
        <f>IPMT('Assumptions (NG Midstream)'!$B$72,Model!Y$1,'Assumptions (NG Midstream)'!$B$75,Model!$D$258)</f>
        <v>-0.1642720627</v>
      </c>
      <c r="G314" s="188">
        <f>IPMT('Assumptions (NG Midstream)'!$B$72,Model!Z$1,'Assumptions (NG Midstream)'!$B$75,Model!$D$258)</f>
        <v>-0.1563764581</v>
      </c>
      <c r="H314" s="188">
        <f>IPMT('Assumptions (NG Midstream)'!$B$72,Model!AA$1,'Assumptions (NG Midstream)'!$B$75,Model!$D$258)</f>
        <v>-0.1478886831</v>
      </c>
      <c r="I314" s="188">
        <f>IPMT('Assumptions (NG Midstream)'!$B$72,Model!AB$1,'Assumptions (NG Midstream)'!$B$75,Model!$D$258)</f>
        <v>-0.1387643249</v>
      </c>
      <c r="J314" s="188">
        <f>IPMT('Assumptions (NG Midstream)'!$B$72,Model!AC$1,'Assumptions (NG Midstream)'!$B$75,Model!$D$258)</f>
        <v>-0.1289556399</v>
      </c>
      <c r="K314" s="188">
        <f>IPMT('Assumptions (NG Midstream)'!$B$72,Model!AD$1,'Assumptions (NG Midstream)'!$B$75,Model!$D$258)</f>
        <v>-0.1184113035</v>
      </c>
      <c r="L314" s="188">
        <f>IPMT('Assumptions (NG Midstream)'!$B$72,Model!AE$1,'Assumptions (NG Midstream)'!$B$75,Model!$D$258)</f>
        <v>-0.1070761419</v>
      </c>
      <c r="M314" s="188">
        <f>IPMT('Assumptions (NG Midstream)'!$B$72,Model!AF$1,'Assumptions (NG Midstream)'!$B$75,Model!$D$258)</f>
        <v>-0.09489084322</v>
      </c>
      <c r="N314" s="188">
        <f>IPMT('Assumptions (NG Midstream)'!$B$72,Model!AG$1,'Assumptions (NG Midstream)'!$B$75,Model!$D$258)</f>
        <v>-0.08179164709</v>
      </c>
      <c r="O314" s="188">
        <f>IPMT('Assumptions (NG Midstream)'!$B$72,Model!AH$1,'Assumptions (NG Midstream)'!$B$75,Model!$D$258)</f>
        <v>-0.06771001125</v>
      </c>
      <c r="P314" s="188">
        <f>IPMT('Assumptions (NG Midstream)'!$B$72,Model!AI$1,'Assumptions (NG Midstream)'!$B$75,Model!$D$258)</f>
        <v>-0.05257225273</v>
      </c>
      <c r="Q314" s="188">
        <f>IPMT('Assumptions (NG Midstream)'!$B$72,Model!AJ$1,'Assumptions (NG Midstream)'!$B$75,Model!$D$258)</f>
        <v>-0.03629916231</v>
      </c>
      <c r="R314" s="188">
        <f>IPMT('Assumptions (NG Midstream)'!$B$72,Model!AK$1,'Assumptions (NG Midstream)'!$B$75,Model!$D$258)</f>
        <v>-0.01880559011</v>
      </c>
      <c r="S314" s="188"/>
      <c r="T314" s="188"/>
      <c r="U314" s="188"/>
      <c r="V314" s="188"/>
      <c r="W314" s="188"/>
      <c r="X314" s="188"/>
      <c r="Y314" s="188"/>
      <c r="Z314" s="188"/>
      <c r="AA314" s="188"/>
      <c r="AB314" s="188"/>
    </row>
    <row r="315" ht="15.75" hidden="1" customHeight="1" outlineLevel="1">
      <c r="A315" s="187"/>
      <c r="B315" s="38"/>
      <c r="C315" s="188"/>
      <c r="D315" s="188"/>
      <c r="E315" s="188">
        <f>IPMT('Assumptions (NG Midstream)'!$B$72,Model!W$1,'Assumptions (NG Midstream)'!$B$75,Model!$E$258)</f>
        <v>-0.2178829936</v>
      </c>
      <c r="F315" s="188">
        <f>IPMT('Assumptions (NG Midstream)'!$B$72,Model!X$1,'Assumptions (NG Midstream)'!$B$75,Model!$E$258)</f>
        <v>-0.209540856</v>
      </c>
      <c r="G315" s="188">
        <f>IPMT('Assumptions (NG Midstream)'!$B$72,Model!Y$1,'Assumptions (NG Midstream)'!$B$75,Model!$E$258)</f>
        <v>-0.200573058</v>
      </c>
      <c r="H315" s="188">
        <f>IPMT('Assumptions (NG Midstream)'!$B$72,Model!Z$1,'Assumptions (NG Midstream)'!$B$75,Model!$E$258)</f>
        <v>-0.1909326752</v>
      </c>
      <c r="I315" s="188">
        <f>IPMT('Assumptions (NG Midstream)'!$B$72,Model!AA$1,'Assumptions (NG Midstream)'!$B$75,Model!$E$258)</f>
        <v>-0.1805692636</v>
      </c>
      <c r="J315" s="188">
        <f>IPMT('Assumptions (NG Midstream)'!$B$72,Model!AB$1,'Assumptions (NG Midstream)'!$B$75,Model!$E$258)</f>
        <v>-0.1694285962</v>
      </c>
      <c r="K315" s="188">
        <f>IPMT('Assumptions (NG Midstream)'!$B$72,Model!AC$1,'Assumptions (NG Midstream)'!$B$75,Model!$E$258)</f>
        <v>-0.1574523788</v>
      </c>
      <c r="L315" s="188">
        <f>IPMT('Assumptions (NG Midstream)'!$B$72,Model!AD$1,'Assumptions (NG Midstream)'!$B$75,Model!$E$258)</f>
        <v>-0.144577945</v>
      </c>
      <c r="M315" s="188">
        <f>IPMT('Assumptions (NG Midstream)'!$B$72,Model!AE$1,'Assumptions (NG Midstream)'!$B$75,Model!$E$258)</f>
        <v>-0.1307379287</v>
      </c>
      <c r="N315" s="188">
        <f>IPMT('Assumptions (NG Midstream)'!$B$72,Model!AF$1,'Assumptions (NG Midstream)'!$B$75,Model!$E$258)</f>
        <v>-0.1158599112</v>
      </c>
      <c r="O315" s="188">
        <f>IPMT('Assumptions (NG Midstream)'!$B$72,Model!AG$1,'Assumptions (NG Midstream)'!$B$75,Model!$E$258)</f>
        <v>-0.09986604234</v>
      </c>
      <c r="P315" s="188">
        <f>IPMT('Assumptions (NG Midstream)'!$B$72,Model!AH$1,'Assumptions (NG Midstream)'!$B$75,Model!$E$258)</f>
        <v>-0.08267263335</v>
      </c>
      <c r="Q315" s="188">
        <f>IPMT('Assumptions (NG Midstream)'!$B$72,Model!AI$1,'Assumptions (NG Midstream)'!$B$75,Model!$E$258)</f>
        <v>-0.06418971868</v>
      </c>
      <c r="R315" s="188">
        <f>IPMT('Assumptions (NG Midstream)'!$B$72,Model!AJ$1,'Assumptions (NG Midstream)'!$B$75,Model!$E$258)</f>
        <v>-0.0443205854</v>
      </c>
      <c r="S315" s="188">
        <f>IPMT('Assumptions (NG Midstream)'!$B$72,Model!AK$1,'Assumptions (NG Midstream)'!$B$75,Model!$E$258)</f>
        <v>-0.02296126714</v>
      </c>
      <c r="T315" s="188"/>
      <c r="U315" s="188"/>
      <c r="V315" s="188"/>
      <c r="W315" s="188"/>
      <c r="X315" s="188"/>
      <c r="Y315" s="188"/>
      <c r="Z315" s="188"/>
      <c r="AA315" s="188"/>
      <c r="AB315" s="188"/>
      <c r="AC315" s="188"/>
    </row>
    <row r="316" ht="15.75" hidden="1" customHeight="1" outlineLevel="1">
      <c r="A316" s="187"/>
      <c r="B316" s="38"/>
      <c r="C316" s="188"/>
      <c r="D316" s="188"/>
      <c r="E316" s="188"/>
      <c r="F316" s="188">
        <f>IPMT('Assumptions (NG Midstream)'!$B$72,Model!W$1,'Assumptions (NG Midstream)'!$B$75,Model!$F$258)</f>
        <v>-0.2740941617</v>
      </c>
      <c r="G316" s="188">
        <f>IPMT('Assumptions (NG Midstream)'!$B$72,Model!X$1,'Assumptions (NG Midstream)'!$B$75,Model!$F$258)</f>
        <v>-0.2635998537</v>
      </c>
      <c r="H316" s="188">
        <f>IPMT('Assumptions (NG Midstream)'!$B$72,Model!Y$1,'Assumptions (NG Midstream)'!$B$75,Model!$F$258)</f>
        <v>-0.2523184727</v>
      </c>
      <c r="I316" s="188">
        <f>IPMT('Assumptions (NG Midstream)'!$B$72,Model!Z$1,'Assumptions (NG Midstream)'!$B$75,Model!$F$258)</f>
        <v>-0.2401909881</v>
      </c>
      <c r="J316" s="188">
        <f>IPMT('Assumptions (NG Midstream)'!$B$72,Model!AA$1,'Assumptions (NG Midstream)'!$B$75,Model!$F$258)</f>
        <v>-0.2271539422</v>
      </c>
      <c r="K316" s="188">
        <f>IPMT('Assumptions (NG Midstream)'!$B$72,Model!AB$1,'Assumptions (NG Midstream)'!$B$75,Model!$F$258)</f>
        <v>-0.2131391178</v>
      </c>
      <c r="L316" s="188">
        <f>IPMT('Assumptions (NG Midstream)'!$B$72,Model!AC$1,'Assumptions (NG Midstream)'!$B$75,Model!$F$258)</f>
        <v>-0.1980731816</v>
      </c>
      <c r="M316" s="188">
        <f>IPMT('Assumptions (NG Midstream)'!$B$72,Model!AD$1,'Assumptions (NG Midstream)'!$B$75,Model!$F$258)</f>
        <v>-0.1818773002</v>
      </c>
      <c r="N316" s="188">
        <f>IPMT('Assumptions (NG Midstream)'!$B$72,Model!AE$1,'Assumptions (NG Midstream)'!$B$75,Model!$F$258)</f>
        <v>-0.1644667276</v>
      </c>
      <c r="O316" s="188">
        <f>IPMT('Assumptions (NG Midstream)'!$B$72,Model!AF$1,'Assumptions (NG Midstream)'!$B$75,Model!$F$258)</f>
        <v>-0.1457503622</v>
      </c>
      <c r="P316" s="188">
        <f>IPMT('Assumptions (NG Midstream)'!$B$72,Model!AG$1,'Assumptions (NG Midstream)'!$B$75,Model!$F$258)</f>
        <v>-0.1256302693</v>
      </c>
      <c r="Q316" s="188">
        <f>IPMT('Assumptions (NG Midstream)'!$B$72,Model!AH$1,'Assumptions (NG Midstream)'!$B$75,Model!$F$258)</f>
        <v>-0.1040011694</v>
      </c>
      <c r="R316" s="188">
        <f>IPMT('Assumptions (NG Midstream)'!$B$72,Model!AI$1,'Assumptions (NG Midstream)'!$B$75,Model!$F$258)</f>
        <v>-0.08074988707</v>
      </c>
      <c r="S316" s="188">
        <f>IPMT('Assumptions (NG Midstream)'!$B$72,Model!AJ$1,'Assumptions (NG Midstream)'!$B$75,Model!$F$258)</f>
        <v>-0.05575475855</v>
      </c>
      <c r="T316" s="188">
        <f>IPMT('Assumptions (NG Midstream)'!$B$72,Model!AK$1,'Assumptions (NG Midstream)'!$B$75,Model!$F$258)</f>
        <v>-0.02888499539</v>
      </c>
      <c r="U316" s="188"/>
      <c r="V316" s="188"/>
      <c r="W316" s="188"/>
      <c r="X316" s="188"/>
      <c r="Y316" s="188"/>
      <c r="Z316" s="188"/>
      <c r="AA316" s="188"/>
      <c r="AB316" s="188"/>
      <c r="AC316" s="188"/>
      <c r="AD316" s="188"/>
    </row>
    <row r="317" ht="15.75" hidden="1" customHeight="1" outlineLevel="1">
      <c r="A317" s="187"/>
      <c r="B317" s="38"/>
      <c r="C317" s="188"/>
      <c r="D317" s="188"/>
      <c r="E317" s="188"/>
      <c r="F317" s="188"/>
      <c r="G317" s="188">
        <f>IPMT('Assumptions (NG Midstream)'!$B$72,Model!W$1,'Assumptions (NG Midstream)'!$B$75,Model!$G$258)</f>
        <v>-0.1629297966</v>
      </c>
      <c r="H317" s="188">
        <f>IPMT('Assumptions (NG Midstream)'!$B$72,Model!X$1,'Assumptions (NG Midstream)'!$B$75,Model!$G$258)</f>
        <v>-0.156691665</v>
      </c>
      <c r="I317" s="188">
        <f>IPMT('Assumptions (NG Midstream)'!$B$72,Model!Y$1,'Assumptions (NG Midstream)'!$B$75,Model!$G$258)</f>
        <v>-0.1499856735</v>
      </c>
      <c r="J317" s="188">
        <f>IPMT('Assumptions (NG Midstream)'!$B$72,Model!Z$1,'Assumptions (NG Midstream)'!$B$75,Model!$G$258)</f>
        <v>-0.1427767326</v>
      </c>
      <c r="K317" s="188">
        <f>IPMT('Assumptions (NG Midstream)'!$B$72,Model!AA$1,'Assumptions (NG Midstream)'!$B$75,Model!$G$258)</f>
        <v>-0.1350271212</v>
      </c>
      <c r="L317" s="188">
        <f>IPMT('Assumptions (NG Midstream)'!$B$72,Model!AB$1,'Assumptions (NG Midstream)'!$B$75,Model!$G$258)</f>
        <v>-0.126696289</v>
      </c>
      <c r="M317" s="188">
        <f>IPMT('Assumptions (NG Midstream)'!$B$72,Model!AC$1,'Assumptions (NG Midstream)'!$B$75,Model!$G$258)</f>
        <v>-0.1177406443</v>
      </c>
      <c r="N317" s="188">
        <f>IPMT('Assumptions (NG Midstream)'!$B$72,Model!AD$1,'Assumptions (NG Midstream)'!$B$75,Model!$G$258)</f>
        <v>-0.1081133262</v>
      </c>
      <c r="O317" s="188">
        <f>IPMT('Assumptions (NG Midstream)'!$B$72,Model!AE$1,'Assumptions (NG Midstream)'!$B$75,Model!$G$258)</f>
        <v>-0.09776395935</v>
      </c>
      <c r="P317" s="188">
        <f>IPMT('Assumptions (NG Midstream)'!$B$72,Model!AF$1,'Assumptions (NG Midstream)'!$B$75,Model!$G$258)</f>
        <v>-0.08663838994</v>
      </c>
      <c r="Q317" s="188">
        <f>IPMT('Assumptions (NG Midstream)'!$B$72,Model!AG$1,'Assumptions (NG Midstream)'!$B$75,Model!$G$258)</f>
        <v>-0.07467840282</v>
      </c>
      <c r="R317" s="188">
        <f>IPMT('Assumptions (NG Midstream)'!$B$72,Model!AH$1,'Assumptions (NG Midstream)'!$B$75,Model!$G$258)</f>
        <v>-0.06182141668</v>
      </c>
      <c r="S317" s="188">
        <f>IPMT('Assumptions (NG Midstream)'!$B$72,Model!AI$1,'Assumptions (NG Midstream)'!$B$75,Model!$G$258)</f>
        <v>-0.04800015657</v>
      </c>
      <c r="T317" s="188">
        <f>IPMT('Assumptions (NG Midstream)'!$B$72,Model!AJ$1,'Assumptions (NG Midstream)'!$B$75,Model!$G$258)</f>
        <v>-0.03314230195</v>
      </c>
      <c r="U317" s="188">
        <f>IPMT('Assumptions (NG Midstream)'!$B$72,Model!AK$1,'Assumptions (NG Midstream)'!$B$75,Model!$G$258)</f>
        <v>-0.01717010824</v>
      </c>
      <c r="V317" s="188"/>
      <c r="W317" s="188"/>
      <c r="X317" s="188"/>
      <c r="Y317" s="188"/>
      <c r="Z317" s="188"/>
      <c r="AA317" s="188"/>
      <c r="AB317" s="188"/>
      <c r="AC317" s="188"/>
      <c r="AD317" s="188"/>
      <c r="AE317" s="188"/>
    </row>
    <row r="318" ht="15.75" hidden="1" customHeight="1" outlineLevel="1">
      <c r="A318" s="187"/>
      <c r="B318" s="38"/>
      <c r="C318" s="188"/>
      <c r="D318" s="188"/>
      <c r="E318" s="188"/>
      <c r="F318" s="188"/>
      <c r="G318" s="188"/>
      <c r="H318" s="188">
        <f>IPMT('Assumptions (NG Midstream)'!$B$72,Model!W$1,'Assumptions (NG Midstream)'!$B$75,Model!$H$258)</f>
        <v>-0.1618274037</v>
      </c>
      <c r="I318" s="188">
        <f>IPMT('Assumptions (NG Midstream)'!$B$72,Model!X$1,'Assumptions (NG Midstream)'!$B$75,Model!$H$258)</f>
        <v>-0.1556314797</v>
      </c>
      <c r="J318" s="188">
        <f>IPMT('Assumptions (NG Midstream)'!$B$72,Model!Y$1,'Assumptions (NG Midstream)'!$B$75,Model!$H$258)</f>
        <v>-0.1489708613</v>
      </c>
      <c r="K318" s="188">
        <f>IPMT('Assumptions (NG Midstream)'!$B$72,Model!Z$1,'Assumptions (NG Midstream)'!$B$75,Model!$H$258)</f>
        <v>-0.1418106966</v>
      </c>
      <c r="L318" s="188">
        <f>IPMT('Assumptions (NG Midstream)'!$B$72,Model!AA$1,'Assumptions (NG Midstream)'!$B$75,Model!$H$258)</f>
        <v>-0.1341135195</v>
      </c>
      <c r="M318" s="188">
        <f>IPMT('Assumptions (NG Midstream)'!$B$72,Model!AB$1,'Assumptions (NG Midstream)'!$B$75,Model!$H$258)</f>
        <v>-0.1258390542</v>
      </c>
      <c r="N318" s="188">
        <f>IPMT('Assumptions (NG Midstream)'!$B$72,Model!AC$1,'Assumptions (NG Midstream)'!$B$75,Model!$H$258)</f>
        <v>-0.1169440039</v>
      </c>
      <c r="O318" s="188">
        <f>IPMT('Assumptions (NG Midstream)'!$B$72,Model!AD$1,'Assumptions (NG Midstream)'!$B$75,Model!$H$258)</f>
        <v>-0.1073818249</v>
      </c>
      <c r="P318" s="188">
        <f>IPMT('Assumptions (NG Midstream)'!$B$72,Model!AE$1,'Assumptions (NG Midstream)'!$B$75,Model!$H$258)</f>
        <v>-0.09710248248</v>
      </c>
      <c r="Q318" s="188">
        <f>IPMT('Assumptions (NG Midstream)'!$B$72,Model!AF$1,'Assumptions (NG Midstream)'!$B$75,Model!$H$258)</f>
        <v>-0.08605218934</v>
      </c>
      <c r="R318" s="188">
        <f>IPMT('Assumptions (NG Midstream)'!$B$72,Model!AG$1,'Assumptions (NG Midstream)'!$B$75,Model!$H$258)</f>
        <v>-0.07417312423</v>
      </c>
      <c r="S318" s="188">
        <f>IPMT('Assumptions (NG Midstream)'!$B$72,Model!AH$1,'Assumptions (NG Midstream)'!$B$75,Model!$H$258)</f>
        <v>-0.06140312923</v>
      </c>
      <c r="T318" s="188">
        <f>IPMT('Assumptions (NG Midstream)'!$B$72,Model!AI$1,'Assumptions (NG Midstream)'!$B$75,Model!$H$258)</f>
        <v>-0.0476753846</v>
      </c>
      <c r="U318" s="188">
        <f>IPMT('Assumptions (NG Midstream)'!$B$72,Model!AJ$1,'Assumptions (NG Midstream)'!$B$75,Model!$H$258)</f>
        <v>-0.03291805913</v>
      </c>
      <c r="V318" s="188">
        <f>IPMT('Assumptions (NG Midstream)'!$B$72,Model!AK$1,'Assumptions (NG Midstream)'!$B$75,Model!$H$258)</f>
        <v>-0.01705393425</v>
      </c>
      <c r="W318" s="188"/>
      <c r="X318" s="188"/>
      <c r="Y318" s="188"/>
      <c r="Z318" s="188"/>
      <c r="AA318" s="188"/>
      <c r="AB318" s="188"/>
      <c r="AC318" s="188"/>
      <c r="AD318" s="188"/>
      <c r="AE318" s="188"/>
      <c r="AF318" s="188"/>
    </row>
    <row r="319" ht="15.75" hidden="1" customHeight="1" outlineLevel="1">
      <c r="A319" s="187"/>
      <c r="B319" s="38"/>
      <c r="C319" s="188"/>
      <c r="D319" s="188"/>
      <c r="E319" s="188"/>
      <c r="F319" s="188"/>
      <c r="G319" s="188"/>
      <c r="H319" s="188"/>
      <c r="I319" s="188">
        <f>IPMT('Assumptions (NG Midstream)'!$B$72,Model!W$1,'Assumptions (NG Midstream)'!$B$75,Model!$I$258)</f>
        <v>-0.2047871581</v>
      </c>
      <c r="J319" s="188">
        <f>IPMT('Assumptions (NG Midstream)'!$B$72,Model!X$1,'Assumptions (NG Midstream)'!$B$75,Model!$I$258)</f>
        <v>-0.1969464238</v>
      </c>
      <c r="K319" s="188">
        <f>IPMT('Assumptions (NG Midstream)'!$B$72,Model!Y$1,'Assumptions (NG Midstream)'!$B$75,Model!$I$258)</f>
        <v>-0.1885176345</v>
      </c>
      <c r="L319" s="188">
        <f>IPMT('Assumptions (NG Midstream)'!$B$72,Model!Z$1,'Assumptions (NG Midstream)'!$B$75,Model!$I$258)</f>
        <v>-0.1794566859</v>
      </c>
      <c r="M319" s="188">
        <f>IPMT('Assumptions (NG Midstream)'!$B$72,Model!AA$1,'Assumptions (NG Midstream)'!$B$75,Model!$I$258)</f>
        <v>-0.1697161662</v>
      </c>
      <c r="N319" s="188">
        <f>IPMT('Assumptions (NG Midstream)'!$B$72,Model!AB$1,'Assumptions (NG Midstream)'!$B$75,Model!$I$258)</f>
        <v>-0.1592451074</v>
      </c>
      <c r="O319" s="188">
        <f>IPMT('Assumptions (NG Midstream)'!$B$72,Model!AC$1,'Assumptions (NG Midstream)'!$B$75,Model!$I$258)</f>
        <v>-0.1479887193</v>
      </c>
      <c r="P319" s="188">
        <f>IPMT('Assumptions (NG Midstream)'!$B$72,Model!AD$1,'Assumptions (NG Midstream)'!$B$75,Model!$I$258)</f>
        <v>-0.1358881021</v>
      </c>
      <c r="Q319" s="188">
        <f>IPMT('Assumptions (NG Midstream)'!$B$72,Model!AE$1,'Assumptions (NG Midstream)'!$B$75,Model!$I$258)</f>
        <v>-0.1228799386</v>
      </c>
      <c r="R319" s="188">
        <f>IPMT('Assumptions (NG Midstream)'!$B$72,Model!AF$1,'Assumptions (NG Midstream)'!$B$75,Model!$I$258)</f>
        <v>-0.1088961628</v>
      </c>
      <c r="S319" s="188">
        <f>IPMT('Assumptions (NG Midstream)'!$B$72,Model!AG$1,'Assumptions (NG Midstream)'!$B$75,Model!$I$258)</f>
        <v>-0.09386360389</v>
      </c>
      <c r="T319" s="188">
        <f>IPMT('Assumptions (NG Midstream)'!$B$72,Model!AH$1,'Assumptions (NG Midstream)'!$B$75,Model!$I$258)</f>
        <v>-0.07770360302</v>
      </c>
      <c r="U319" s="188">
        <f>IPMT('Assumptions (NG Midstream)'!$B$72,Model!AI$1,'Assumptions (NG Midstream)'!$B$75,Model!$I$258)</f>
        <v>-0.06033160208</v>
      </c>
      <c r="V319" s="188">
        <f>IPMT('Assumptions (NG Midstream)'!$B$72,Model!AJ$1,'Assumptions (NG Midstream)'!$B$75,Model!$I$258)</f>
        <v>-0.04165670107</v>
      </c>
      <c r="W319" s="188">
        <f>IPMT('Assumptions (NG Midstream)'!$B$72,Model!AK$1,'Assumptions (NG Midstream)'!$B$75,Model!$I$258)</f>
        <v>-0.02158118248</v>
      </c>
      <c r="X319" s="188"/>
      <c r="Y319" s="188"/>
      <c r="Z319" s="188"/>
      <c r="AA319" s="188"/>
      <c r="AB319" s="188"/>
      <c r="AC319" s="188"/>
      <c r="AD319" s="188"/>
      <c r="AE319" s="188"/>
      <c r="AF319" s="188"/>
      <c r="AG319" s="188"/>
    </row>
    <row r="320" ht="15.75" hidden="1" customHeight="1" outlineLevel="1">
      <c r="A320" s="187"/>
      <c r="B320" s="38"/>
      <c r="C320" s="188"/>
      <c r="D320" s="188"/>
      <c r="E320" s="188"/>
      <c r="F320" s="188"/>
      <c r="G320" s="188"/>
      <c r="H320" s="188"/>
      <c r="I320" s="188"/>
      <c r="J320" s="188">
        <f>IPMT('Assumptions (NG Midstream)'!$B$72,Model!W$1,'Assumptions (NG Midstream)'!$B$75,Model!$J$258)</f>
        <v>-0.3451677628</v>
      </c>
      <c r="K320" s="188">
        <f>IPMT('Assumptions (NG Midstream)'!$B$72,Model!X$1,'Assumptions (NG Midstream)'!$B$75,Model!$J$258)</f>
        <v>-0.3319522432</v>
      </c>
      <c r="L320" s="188">
        <f>IPMT('Assumptions (NG Midstream)'!$B$72,Model!Y$1,'Assumptions (NG Midstream)'!$B$75,Model!$J$258)</f>
        <v>-0.3177455595</v>
      </c>
      <c r="M320" s="188">
        <f>IPMT('Assumptions (NG Midstream)'!$B$72,Model!Z$1,'Assumptions (NG Midstream)'!$B$75,Model!$J$258)</f>
        <v>-0.3024733746</v>
      </c>
      <c r="N320" s="188">
        <f>IPMT('Assumptions (NG Midstream)'!$B$72,Model!AA$1,'Assumptions (NG Midstream)'!$B$75,Model!$J$258)</f>
        <v>-0.2860557758</v>
      </c>
      <c r="O320" s="188">
        <f>IPMT('Assumptions (NG Midstream)'!$B$72,Model!AB$1,'Assumptions (NG Midstream)'!$B$75,Model!$J$258)</f>
        <v>-0.268406857</v>
      </c>
      <c r="P320" s="188">
        <f>IPMT('Assumptions (NG Midstream)'!$B$72,Model!AC$1,'Assumptions (NG Midstream)'!$B$75,Model!$J$258)</f>
        <v>-0.2494342694</v>
      </c>
      <c r="Q320" s="188">
        <f>IPMT('Assumptions (NG Midstream)'!$B$72,Model!AD$1,'Assumptions (NG Midstream)'!$B$75,Model!$J$258)</f>
        <v>-0.2290387377</v>
      </c>
      <c r="R320" s="188">
        <f>IPMT('Assumptions (NG Midstream)'!$B$72,Model!AE$1,'Assumptions (NG Midstream)'!$B$75,Model!$J$258)</f>
        <v>-0.2071135412</v>
      </c>
      <c r="S320" s="188">
        <f>IPMT('Assumptions (NG Midstream)'!$B$72,Model!AF$1,'Assumptions (NG Midstream)'!$B$75,Model!$J$258)</f>
        <v>-0.1835439549</v>
      </c>
      <c r="T320" s="188">
        <f>IPMT('Assumptions (NG Midstream)'!$B$72,Model!AG$1,'Assumptions (NG Midstream)'!$B$75,Model!$J$258)</f>
        <v>-0.1582066496</v>
      </c>
      <c r="U320" s="188">
        <f>IPMT('Assumptions (NG Midstream)'!$B$72,Model!AH$1,'Assumptions (NG Midstream)'!$B$75,Model!$J$258)</f>
        <v>-0.1309690464</v>
      </c>
      <c r="V320" s="188">
        <f>IPMT('Assumptions (NG Midstream)'!$B$72,Model!AI$1,'Assumptions (NG Midstream)'!$B$75,Model!$J$258)</f>
        <v>-0.101688623</v>
      </c>
      <c r="W320" s="188">
        <f>IPMT('Assumptions (NG Midstream)'!$B$72,Model!AJ$1,'Assumptions (NG Midstream)'!$B$75,Model!$J$258)</f>
        <v>-0.07021216782</v>
      </c>
      <c r="X320" s="188">
        <f>IPMT('Assumptions (NG Midstream)'!$B$72,Model!AK$1,'Assumptions (NG Midstream)'!$B$75,Model!$J$258)</f>
        <v>-0.03637497851</v>
      </c>
      <c r="Y320" s="188"/>
      <c r="Z320" s="188"/>
      <c r="AA320" s="188"/>
      <c r="AB320" s="188"/>
      <c r="AC320" s="188"/>
      <c r="AD320" s="188"/>
      <c r="AE320" s="188"/>
      <c r="AF320" s="188"/>
      <c r="AG320" s="188"/>
      <c r="AH320" s="188"/>
    </row>
    <row r="321" ht="15.75" hidden="1" customHeight="1" outlineLevel="1">
      <c r="A321" s="187"/>
      <c r="B321" s="38"/>
      <c r="C321" s="188"/>
      <c r="D321" s="188"/>
      <c r="E321" s="188"/>
      <c r="F321" s="188"/>
      <c r="G321" s="188"/>
      <c r="H321" s="188"/>
      <c r="I321" s="188"/>
      <c r="J321" s="188"/>
      <c r="K321" s="188">
        <f>IPMT('Assumptions (NG Midstream)'!$B$72,Model!W$1,'Assumptions (NG Midstream)'!$B$75,Model!$K$258)</f>
        <v>-0.6332569003</v>
      </c>
      <c r="L321" s="188">
        <f>IPMT('Assumptions (NG Midstream)'!$B$72,Model!X$1,'Assumptions (NG Midstream)'!$B$75,Model!$K$258)</f>
        <v>-0.6090112437</v>
      </c>
      <c r="M321" s="188">
        <f>IPMT('Assumptions (NG Midstream)'!$B$72,Model!Y$1,'Assumptions (NG Midstream)'!$B$75,Model!$K$258)</f>
        <v>-0.582947163</v>
      </c>
      <c r="N321" s="188">
        <f>IPMT('Assumptions (NG Midstream)'!$B$72,Model!Z$1,'Assumptions (NG Midstream)'!$B$75,Model!$K$258)</f>
        <v>-0.5549282761</v>
      </c>
      <c r="O321" s="188">
        <f>IPMT('Assumptions (NG Midstream)'!$B$72,Model!AA$1,'Assumptions (NG Midstream)'!$B$75,Model!$K$258)</f>
        <v>-0.5248079727</v>
      </c>
      <c r="P321" s="188">
        <f>IPMT('Assumptions (NG Midstream)'!$B$72,Model!AB$1,'Assumptions (NG Midstream)'!$B$75,Model!$K$258)</f>
        <v>-0.4924286466</v>
      </c>
      <c r="Q321" s="188">
        <f>IPMT('Assumptions (NG Midstream)'!$B$72,Model!AC$1,'Assumptions (NG Midstream)'!$B$75,Model!$K$258)</f>
        <v>-0.457620871</v>
      </c>
      <c r="R321" s="188">
        <f>IPMT('Assumptions (NG Midstream)'!$B$72,Model!AD$1,'Assumptions (NG Midstream)'!$B$75,Model!$K$258)</f>
        <v>-0.4202025123</v>
      </c>
      <c r="S321" s="188">
        <f>IPMT('Assumptions (NG Midstream)'!$B$72,Model!AE$1,'Assumptions (NG Midstream)'!$B$75,Model!$K$258)</f>
        <v>-0.3799777766</v>
      </c>
      <c r="T321" s="188">
        <f>IPMT('Assumptions (NG Midstream)'!$B$72,Model!AF$1,'Assumptions (NG Midstream)'!$B$75,Model!$K$258)</f>
        <v>-0.3367361858</v>
      </c>
      <c r="U321" s="188">
        <f>IPMT('Assumptions (NG Midstream)'!$B$72,Model!AG$1,'Assumptions (NG Midstream)'!$B$75,Model!$K$258)</f>
        <v>-0.2902514757</v>
      </c>
      <c r="V321" s="188">
        <f>IPMT('Assumptions (NG Midstream)'!$B$72,Model!AH$1,'Assumptions (NG Midstream)'!$B$75,Model!$K$258)</f>
        <v>-0.2402804123</v>
      </c>
      <c r="W321" s="188">
        <f>IPMT('Assumptions (NG Midstream)'!$B$72,Model!AI$1,'Assumptions (NG Midstream)'!$B$75,Model!$K$258)</f>
        <v>-0.1865615191</v>
      </c>
      <c r="X321" s="188">
        <f>IPMT('Assumptions (NG Midstream)'!$B$72,Model!AJ$1,'Assumptions (NG Midstream)'!$B$75,Model!$K$258)</f>
        <v>-0.128813709</v>
      </c>
      <c r="Y321" s="188">
        <f>IPMT('Assumptions (NG Midstream)'!$B$72,Model!AK$1,'Assumptions (NG Midstream)'!$B$75,Model!$K$258)</f>
        <v>-0.06673481309</v>
      </c>
      <c r="Z321" s="188"/>
      <c r="AA321" s="188"/>
      <c r="AB321" s="188"/>
      <c r="AC321" s="188"/>
      <c r="AD321" s="188"/>
      <c r="AE321" s="188"/>
      <c r="AF321" s="188"/>
      <c r="AG321" s="188"/>
      <c r="AH321" s="188"/>
      <c r="AI321" s="188"/>
    </row>
    <row r="322" ht="15.75" hidden="1" customHeight="1" outlineLevel="1">
      <c r="A322" s="187"/>
      <c r="B322" s="38"/>
      <c r="C322" s="188"/>
      <c r="D322" s="188"/>
      <c r="E322" s="188"/>
      <c r="F322" s="188"/>
      <c r="G322" s="188"/>
      <c r="H322" s="188"/>
      <c r="I322" s="188"/>
      <c r="J322" s="188"/>
      <c r="K322" s="188"/>
      <c r="L322" s="188">
        <f>IPMT('Assumptions (NG Midstream)'!$B$72,Model!W$1,'Assumptions (NG Midstream)'!$B$75,Model!$L$258)</f>
        <v>-0.813845706</v>
      </c>
      <c r="M322" s="188">
        <f>IPMT('Assumptions (NG Midstream)'!$B$72,Model!X$1,'Assumptions (NG Midstream)'!$B$75,Model!$L$258)</f>
        <v>-0.7826858032</v>
      </c>
      <c r="N322" s="188">
        <f>IPMT('Assumptions (NG Midstream)'!$B$72,Model!Y$1,'Assumptions (NG Midstream)'!$B$75,Model!$L$258)</f>
        <v>-0.7491889077</v>
      </c>
      <c r="O322" s="188">
        <f>IPMT('Assumptions (NG Midstream)'!$B$72,Model!Z$1,'Assumptions (NG Midstream)'!$B$75,Model!$L$258)</f>
        <v>-0.713179745</v>
      </c>
      <c r="P322" s="188">
        <f>IPMT('Assumptions (NG Midstream)'!$B$72,Model!AA$1,'Assumptions (NG Midstream)'!$B$75,Model!$L$258)</f>
        <v>-0.6744698951</v>
      </c>
      <c r="Q322" s="188">
        <f>IPMT('Assumptions (NG Midstream)'!$B$72,Model!AB$1,'Assumptions (NG Midstream)'!$B$75,Model!$L$258)</f>
        <v>-0.6328568064</v>
      </c>
      <c r="R322" s="188">
        <f>IPMT('Assumptions (NG Midstream)'!$B$72,Model!AC$1,'Assumptions (NG Midstream)'!$B$75,Model!$L$258)</f>
        <v>-0.5881227361</v>
      </c>
      <c r="S322" s="188">
        <f>IPMT('Assumptions (NG Midstream)'!$B$72,Model!AD$1,'Assumptions (NG Midstream)'!$B$75,Model!$L$258)</f>
        <v>-0.5400336106</v>
      </c>
      <c r="T322" s="188">
        <f>IPMT('Assumptions (NG Midstream)'!$B$72,Model!AE$1,'Assumptions (NG Midstream)'!$B$75,Model!$L$258)</f>
        <v>-0.4883378006</v>
      </c>
      <c r="U322" s="188">
        <f>IPMT('Assumptions (NG Midstream)'!$B$72,Model!AF$1,'Assumptions (NG Midstream)'!$B$75,Model!$L$258)</f>
        <v>-0.4327648049</v>
      </c>
      <c r="V322" s="188">
        <f>IPMT('Assumptions (NG Midstream)'!$B$72,Model!AG$1,'Assumptions (NG Midstream)'!$B$75,Model!$L$258)</f>
        <v>-0.3730238345</v>
      </c>
      <c r="W322" s="188">
        <f>IPMT('Assumptions (NG Midstream)'!$B$72,Model!AH$1,'Assumptions (NG Midstream)'!$B$75,Model!$L$258)</f>
        <v>-0.3088022913</v>
      </c>
      <c r="X322" s="188">
        <f>IPMT('Assumptions (NG Midstream)'!$B$72,Model!AI$1,'Assumptions (NG Midstream)'!$B$75,Model!$L$258)</f>
        <v>-0.2397641323</v>
      </c>
      <c r="Y322" s="188">
        <f>IPMT('Assumptions (NG Midstream)'!$B$72,Model!AJ$1,'Assumptions (NG Midstream)'!$B$75,Model!$L$258)</f>
        <v>-0.1655481115</v>
      </c>
      <c r="Z322" s="188">
        <f>IPMT('Assumptions (NG Midstream)'!$B$72,Model!AK$1,'Assumptions (NG Midstream)'!$B$75,Model!$L$258)</f>
        <v>-0.08576588909</v>
      </c>
      <c r="AA322" s="188"/>
      <c r="AB322" s="188"/>
      <c r="AC322" s="188"/>
      <c r="AD322" s="188"/>
      <c r="AE322" s="188"/>
      <c r="AF322" s="188"/>
      <c r="AG322" s="188"/>
      <c r="AH322" s="188"/>
      <c r="AI322" s="188"/>
      <c r="AJ322" s="188"/>
    </row>
    <row r="323" ht="15.75" hidden="1" customHeight="1" outlineLevel="1">
      <c r="A323" s="187"/>
      <c r="B323" s="38"/>
      <c r="C323" s="188"/>
      <c r="D323" s="188"/>
      <c r="E323" s="188"/>
      <c r="F323" s="188"/>
      <c r="G323" s="188"/>
      <c r="H323" s="188"/>
      <c r="I323" s="188"/>
      <c r="J323" s="188"/>
      <c r="K323" s="188"/>
      <c r="L323" s="188"/>
      <c r="M323" s="188">
        <f>IPMT('Assumptions (NG Midstream)'!$B$72,Model!W$1,'Assumptions (NG Midstream)'!$B$75,Model!$M$258)</f>
        <v>-0.2695865335</v>
      </c>
      <c r="N323" s="188">
        <f>IPMT('Assumptions (NG Midstream)'!$B$72,Model!X$1,'Assumptions (NG Midstream)'!$B$75,Model!$M$258)</f>
        <v>-0.2592648102</v>
      </c>
      <c r="O323" s="188">
        <f>IPMT('Assumptions (NG Midstream)'!$B$72,Model!Y$1,'Assumptions (NG Midstream)'!$B$75,Model!$M$258)</f>
        <v>-0.2481689576</v>
      </c>
      <c r="P323" s="188">
        <f>IPMT('Assumptions (NG Midstream)'!$B$72,Model!Z$1,'Assumptions (NG Midstream)'!$B$75,Model!$M$258)</f>
        <v>-0.2362409161</v>
      </c>
      <c r="Q323" s="188">
        <f>IPMT('Assumptions (NG Midstream)'!$B$72,Model!AA$1,'Assumptions (NG Midstream)'!$B$75,Model!$M$258)</f>
        <v>-0.2234182715</v>
      </c>
      <c r="R323" s="188">
        <f>IPMT('Assumptions (NG Midstream)'!$B$72,Model!AB$1,'Assumptions (NG Midstream)'!$B$75,Model!$M$258)</f>
        <v>-0.2096339286</v>
      </c>
      <c r="S323" s="188">
        <f>IPMT('Assumptions (NG Midstream)'!$B$72,Model!AC$1,'Assumptions (NG Midstream)'!$B$75,Model!$M$258)</f>
        <v>-0.1948157599</v>
      </c>
      <c r="T323" s="188">
        <f>IPMT('Assumptions (NG Midstream)'!$B$72,Model!AD$1,'Assumptions (NG Midstream)'!$B$75,Model!$M$258)</f>
        <v>-0.1788862286</v>
      </c>
      <c r="U323" s="188">
        <f>IPMT('Assumptions (NG Midstream)'!$B$72,Model!AE$1,'Assumptions (NG Midstream)'!$B$75,Model!$M$258)</f>
        <v>-0.1617619825</v>
      </c>
      <c r="V323" s="188">
        <f>IPMT('Assumptions (NG Midstream)'!$B$72,Model!AF$1,'Assumptions (NG Midstream)'!$B$75,Model!$M$258)</f>
        <v>-0.1433534178</v>
      </c>
      <c r="W323" s="188">
        <f>IPMT('Assumptions (NG Midstream)'!$B$72,Model!AG$1,'Assumptions (NG Midstream)'!$B$75,Model!$M$258)</f>
        <v>-0.1235642109</v>
      </c>
      <c r="X323" s="188">
        <f>IPMT('Assumptions (NG Midstream)'!$B$72,Model!AH$1,'Assumptions (NG Midstream)'!$B$75,Model!$M$258)</f>
        <v>-0.1022908134</v>
      </c>
      <c r="Y323" s="188">
        <f>IPMT('Assumptions (NG Midstream)'!$B$72,Model!AI$1,'Assumptions (NG Midstream)'!$B$75,Model!$M$258)</f>
        <v>-0.07942191107</v>
      </c>
      <c r="Z323" s="188">
        <f>IPMT('Assumptions (NG Midstream)'!$B$72,Model!AJ$1,'Assumptions (NG Midstream)'!$B$75,Model!$M$258)</f>
        <v>-0.05483784109</v>
      </c>
      <c r="AA323" s="188">
        <f>IPMT('Assumptions (NG Midstream)'!$B$72,Model!AK$1,'Assumptions (NG Midstream)'!$B$75,Model!$M$258)</f>
        <v>-0.02840996587</v>
      </c>
      <c r="AB323" s="188"/>
      <c r="AC323" s="188"/>
      <c r="AD323" s="188"/>
      <c r="AE323" s="188"/>
      <c r="AF323" s="188"/>
      <c r="AG323" s="188"/>
      <c r="AH323" s="188"/>
      <c r="AI323" s="188"/>
      <c r="AJ323" s="188"/>
      <c r="AK323" s="188"/>
    </row>
    <row r="324" ht="15.75" hidden="1" customHeight="1" outlineLevel="1">
      <c r="A324" s="187"/>
      <c r="B324" s="38"/>
      <c r="C324" s="188"/>
      <c r="D324" s="188"/>
      <c r="E324" s="188"/>
      <c r="F324" s="188"/>
      <c r="G324" s="188"/>
      <c r="H324" s="188"/>
      <c r="I324" s="188"/>
      <c r="J324" s="188"/>
      <c r="K324" s="188"/>
      <c r="L324" s="188"/>
      <c r="M324" s="188"/>
      <c r="N324" s="188">
        <f>IPMT('Assumptions (NG Midstream)'!$B$72,Model!W$1,'Assumptions (NG Midstream)'!$B$75,Model!$N$258)</f>
        <v>-0.7679060513</v>
      </c>
      <c r="O324" s="188">
        <f>IPMT('Assumptions (NG Midstream)'!$B$72,Model!X$1,'Assumptions (NG Midstream)'!$B$75,Model!$N$258)</f>
        <v>-0.7385050509</v>
      </c>
      <c r="P324" s="188">
        <f>IPMT('Assumptions (NG Midstream)'!$B$72,Model!Y$1,'Assumptions (NG Midstream)'!$B$75,Model!$N$258)</f>
        <v>-0.7068989755</v>
      </c>
      <c r="Q324" s="188">
        <f>IPMT('Assumptions (NG Midstream)'!$B$72,Model!Z$1,'Assumptions (NG Midstream)'!$B$75,Model!$N$258)</f>
        <v>-0.6729224444</v>
      </c>
      <c r="R324" s="188">
        <f>IPMT('Assumptions (NG Midstream)'!$B$72,Model!AA$1,'Assumptions (NG Midstream)'!$B$75,Model!$N$258)</f>
        <v>-0.6363976735</v>
      </c>
      <c r="S324" s="188">
        <f>IPMT('Assumptions (NG Midstream)'!$B$72,Model!AB$1,'Assumptions (NG Midstream)'!$B$75,Model!$N$258)</f>
        <v>-0.5971335447</v>
      </c>
      <c r="T324" s="188">
        <f>IPMT('Assumptions (NG Midstream)'!$B$72,Model!AC$1,'Assumptions (NG Midstream)'!$B$75,Model!$N$258)</f>
        <v>-0.5549246063</v>
      </c>
      <c r="U324" s="188">
        <f>IPMT('Assumptions (NG Midstream)'!$B$72,Model!AD$1,'Assumptions (NG Midstream)'!$B$75,Model!$N$258)</f>
        <v>-0.5095499975</v>
      </c>
      <c r="V324" s="188">
        <f>IPMT('Assumptions (NG Midstream)'!$B$72,Model!AE$1,'Assumptions (NG Midstream)'!$B$75,Model!$N$258)</f>
        <v>-0.4607722931</v>
      </c>
      <c r="W324" s="188">
        <f>IPMT('Assumptions (NG Midstream)'!$B$72,Model!AF$1,'Assumptions (NG Midstream)'!$B$75,Model!$N$258)</f>
        <v>-0.4083362608</v>
      </c>
      <c r="X324" s="188">
        <f>IPMT('Assumptions (NG Midstream)'!$B$72,Model!AG$1,'Assumptions (NG Midstream)'!$B$75,Model!$N$258)</f>
        <v>-0.3519675261</v>
      </c>
      <c r="Y324" s="188">
        <f>IPMT('Assumptions (NG Midstream)'!$B$72,Model!AH$1,'Assumptions (NG Midstream)'!$B$75,Model!$N$258)</f>
        <v>-0.2913711363</v>
      </c>
      <c r="Z324" s="188">
        <f>IPMT('Assumptions (NG Midstream)'!$B$72,Model!AI$1,'Assumptions (NG Midstream)'!$B$75,Model!$N$258)</f>
        <v>-0.2262300173</v>
      </c>
      <c r="AA324" s="188">
        <f>IPMT('Assumptions (NG Midstream)'!$B$72,Model!AJ$1,'Assumptions (NG Midstream)'!$B$75,Model!$N$258)</f>
        <v>-0.1562033143</v>
      </c>
      <c r="AB324" s="188">
        <f>IPMT('Assumptions (NG Midstream)'!$B$72,Model!AK$1,'Assumptions (NG Midstream)'!$B$75,Model!$N$258)</f>
        <v>-0.08092460861</v>
      </c>
      <c r="AC324" s="188"/>
      <c r="AD324" s="188"/>
      <c r="AE324" s="188"/>
      <c r="AF324" s="188"/>
      <c r="AG324" s="188"/>
      <c r="AH324" s="188"/>
      <c r="AI324" s="188"/>
      <c r="AJ324" s="188"/>
      <c r="AK324" s="188"/>
      <c r="AL324" s="188"/>
    </row>
    <row r="325" ht="15.75" hidden="1" customHeight="1" outlineLevel="1">
      <c r="A325" s="187"/>
      <c r="B325" s="38"/>
      <c r="C325" s="188"/>
      <c r="D325" s="188"/>
      <c r="E325" s="188"/>
      <c r="F325" s="188"/>
      <c r="G325" s="188"/>
      <c r="H325" s="188"/>
      <c r="I325" s="188"/>
      <c r="J325" s="188"/>
      <c r="K325" s="188"/>
      <c r="L325" s="188"/>
      <c r="M325" s="188"/>
      <c r="N325" s="188"/>
      <c r="O325" s="188">
        <f>IPMT('Assumptions (NG Midstream)'!$B$72,Model!W$1,'Assumptions (NG Midstream)'!$B$75,Model!$O$258)</f>
        <v>-0.2795049187</v>
      </c>
      <c r="P325" s="188">
        <f>IPMT('Assumptions (NG Midstream)'!$B$72,Model!X$1,'Assumptions (NG Midstream)'!$B$75,Model!$O$258)</f>
        <v>-0.2688034478</v>
      </c>
      <c r="Q325" s="188">
        <f>IPMT('Assumptions (NG Midstream)'!$B$72,Model!Y$1,'Assumptions (NG Midstream)'!$B$75,Model!$O$258)</f>
        <v>-0.2572993667</v>
      </c>
      <c r="R325" s="188">
        <f>IPMT('Assumptions (NG Midstream)'!$B$72,Model!Z$1,'Assumptions (NG Midstream)'!$B$75,Model!$O$258)</f>
        <v>-0.2449324794</v>
      </c>
      <c r="S325" s="188">
        <f>IPMT('Assumptions (NG Midstream)'!$B$72,Model!AA$1,'Assumptions (NG Midstream)'!$B$75,Model!$O$258)</f>
        <v>-0.2316380756</v>
      </c>
      <c r="T325" s="188">
        <f>IPMT('Assumptions (NG Midstream)'!$B$72,Model!AB$1,'Assumptions (NG Midstream)'!$B$75,Model!$O$258)</f>
        <v>-0.2173465915</v>
      </c>
      <c r="U325" s="188">
        <f>IPMT('Assumptions (NG Midstream)'!$B$72,Model!AC$1,'Assumptions (NG Midstream)'!$B$75,Model!$O$258)</f>
        <v>-0.2019832461</v>
      </c>
      <c r="V325" s="188">
        <f>IPMT('Assumptions (NG Midstream)'!$B$72,Model!AD$1,'Assumptions (NG Midstream)'!$B$75,Model!$O$258)</f>
        <v>-0.1854676498</v>
      </c>
      <c r="W325" s="188">
        <f>IPMT('Assumptions (NG Midstream)'!$B$72,Model!AE$1,'Assumptions (NG Midstream)'!$B$75,Model!$O$258)</f>
        <v>-0.1677133838</v>
      </c>
      <c r="X325" s="188">
        <f>IPMT('Assumptions (NG Midstream)'!$B$72,Model!AF$1,'Assumptions (NG Midstream)'!$B$75,Model!$O$258)</f>
        <v>-0.1486275478</v>
      </c>
      <c r="Y325" s="188">
        <f>IPMT('Assumptions (NG Midstream)'!$B$72,Model!AG$1,'Assumptions (NG Midstream)'!$B$75,Model!$O$258)</f>
        <v>-0.1281102742</v>
      </c>
      <c r="Z325" s="188">
        <f>IPMT('Assumptions (NG Midstream)'!$B$72,Model!AH$1,'Assumptions (NG Midstream)'!$B$75,Model!$O$258)</f>
        <v>-0.106054205</v>
      </c>
      <c r="AA325" s="188">
        <f>IPMT('Assumptions (NG Midstream)'!$B$72,Model!AI$1,'Assumptions (NG Midstream)'!$B$75,Model!$O$258)</f>
        <v>-0.08234393058</v>
      </c>
      <c r="AB325" s="188">
        <f>IPMT('Assumptions (NG Midstream)'!$B$72,Model!AJ$1,'Assumptions (NG Midstream)'!$B$75,Model!$O$258)</f>
        <v>-0.05685538561</v>
      </c>
      <c r="AC325" s="188">
        <f>IPMT('Assumptions (NG Midstream)'!$B$72,Model!AK$1,'Assumptions (NG Midstream)'!$B$75,Model!$O$258)</f>
        <v>-0.02945519978</v>
      </c>
      <c r="AD325" s="188"/>
      <c r="AE325" s="188"/>
      <c r="AF325" s="188"/>
      <c r="AG325" s="188"/>
      <c r="AH325" s="188"/>
      <c r="AI325" s="188"/>
      <c r="AJ325" s="188"/>
      <c r="AK325" s="188"/>
      <c r="AL325" s="188"/>
      <c r="AM325" s="188"/>
    </row>
    <row r="326" ht="15.75" hidden="1" customHeight="1" outlineLevel="1">
      <c r="A326" s="187"/>
      <c r="B326" s="38"/>
      <c r="C326" s="188"/>
      <c r="D326" s="188"/>
      <c r="E326" s="188"/>
      <c r="F326" s="188"/>
      <c r="G326" s="188"/>
      <c r="H326" s="188"/>
      <c r="I326" s="188"/>
      <c r="J326" s="188"/>
      <c r="K326" s="188"/>
      <c r="L326" s="188"/>
      <c r="M326" s="188"/>
      <c r="N326" s="188"/>
      <c r="O326" s="188"/>
      <c r="P326" s="188">
        <f>IPMT('Assumptions (NG Midstream)'!$B$72,Model!W$1,'Assumptions (NG Midstream)'!$B$75,Model!$P$258)</f>
        <v>-0.3534925094</v>
      </c>
      <c r="Q326" s="188">
        <f>IPMT('Assumptions (NG Midstream)'!$B$72,Model!X$1,'Assumptions (NG Midstream)'!$B$75,Model!$P$258)</f>
        <v>-0.3399582582</v>
      </c>
      <c r="R326" s="188">
        <f>IPMT('Assumptions (NG Midstream)'!$B$72,Model!Y$1,'Assumptions (NG Midstream)'!$B$75,Model!$P$258)</f>
        <v>-0.3254089381</v>
      </c>
      <c r="S326" s="188">
        <f>IPMT('Assumptions (NG Midstream)'!$B$72,Model!Z$1,'Assumptions (NG Midstream)'!$B$75,Model!$P$258)</f>
        <v>-0.3097684191</v>
      </c>
      <c r="T326" s="188">
        <f>IPMT('Assumptions (NG Midstream)'!$B$72,Model!AA$1,'Assumptions (NG Midstream)'!$B$75,Model!$P$258)</f>
        <v>-0.2929548611</v>
      </c>
      <c r="U326" s="188">
        <f>IPMT('Assumptions (NG Midstream)'!$B$72,Model!AB$1,'Assumptions (NG Midstream)'!$B$75,Model!$P$258)</f>
        <v>-0.2748802862</v>
      </c>
      <c r="V326" s="188">
        <f>IPMT('Assumptions (NG Midstream)'!$B$72,Model!AC$1,'Assumptions (NG Midstream)'!$B$75,Model!$P$258)</f>
        <v>-0.2554501182</v>
      </c>
      <c r="W326" s="188">
        <f>IPMT('Assumptions (NG Midstream)'!$B$72,Model!AD$1,'Assumptions (NG Midstream)'!$B$75,Model!$P$258)</f>
        <v>-0.2345626877</v>
      </c>
      <c r="X326" s="188">
        <f>IPMT('Assumptions (NG Midstream)'!$B$72,Model!AE$1,'Assumptions (NG Midstream)'!$B$75,Model!$P$258)</f>
        <v>-0.2121086998</v>
      </c>
      <c r="Y326" s="188">
        <f>IPMT('Assumptions (NG Midstream)'!$B$72,Model!AF$1,'Assumptions (NG Midstream)'!$B$75,Model!$P$258)</f>
        <v>-0.1879706629</v>
      </c>
      <c r="Z326" s="188">
        <f>IPMT('Assumptions (NG Midstream)'!$B$72,Model!AG$1,'Assumptions (NG Midstream)'!$B$75,Model!$P$258)</f>
        <v>-0.1620222732</v>
      </c>
      <c r="AA326" s="188">
        <f>IPMT('Assumptions (NG Midstream)'!$B$72,Model!AH$1,'Assumptions (NG Midstream)'!$B$75,Model!$P$258)</f>
        <v>-0.1341277542</v>
      </c>
      <c r="AB326" s="188">
        <f>IPMT('Assumptions (NG Midstream)'!$B$72,Model!AI$1,'Assumptions (NG Midstream)'!$B$75,Model!$P$258)</f>
        <v>-0.1041411464</v>
      </c>
      <c r="AC326" s="188">
        <f>IPMT('Assumptions (NG Midstream)'!$B$72,Model!AJ$1,'Assumptions (NG Midstream)'!$B$75,Model!$P$258)</f>
        <v>-0.07190554294</v>
      </c>
      <c r="AD326" s="188">
        <f>IPMT('Assumptions (NG Midstream)'!$B$72,Model!AK$1,'Assumptions (NG Midstream)'!$B$75,Model!$P$258)</f>
        <v>-0.03725226924</v>
      </c>
      <c r="AE326" s="188"/>
      <c r="AF326" s="188"/>
      <c r="AG326" s="188"/>
      <c r="AH326" s="188"/>
      <c r="AI326" s="188"/>
      <c r="AJ326" s="188"/>
      <c r="AK326" s="188"/>
      <c r="AL326" s="188"/>
      <c r="AM326" s="188"/>
      <c r="AN326" s="188"/>
    </row>
    <row r="327" ht="15.75" hidden="1" customHeight="1" outlineLevel="1">
      <c r="A327" s="187"/>
      <c r="B327" s="38"/>
      <c r="C327" s="188"/>
      <c r="D327" s="188"/>
      <c r="E327" s="188"/>
      <c r="F327" s="188"/>
      <c r="G327" s="188"/>
      <c r="H327" s="188"/>
      <c r="I327" s="188"/>
      <c r="J327" s="188"/>
      <c r="K327" s="188"/>
      <c r="L327" s="188"/>
      <c r="M327" s="188"/>
      <c r="N327" s="188"/>
      <c r="O327" s="188"/>
      <c r="P327" s="188"/>
      <c r="Q327" s="188">
        <f>IPMT('Assumptions (NG Midstream)'!$B$72,Model!W$1,'Assumptions (NG Midstream)'!$B$75,Model!$Q$258)</f>
        <v>-0.2376082756</v>
      </c>
      <c r="R327" s="188">
        <f>IPMT('Assumptions (NG Midstream)'!$B$72,Model!X$1,'Assumptions (NG Midstream)'!$B$75,Model!$Q$258)</f>
        <v>-0.2285109114</v>
      </c>
      <c r="S327" s="188">
        <f>IPMT('Assumptions (NG Midstream)'!$B$72,Model!Y$1,'Assumptions (NG Midstream)'!$B$75,Model!$Q$258)</f>
        <v>-0.2187312449</v>
      </c>
      <c r="T327" s="188">
        <f>IPMT('Assumptions (NG Midstream)'!$B$72,Model!Z$1,'Assumptions (NG Midstream)'!$B$75,Model!$Q$258)</f>
        <v>-0.2082181035</v>
      </c>
      <c r="U327" s="188">
        <f>IPMT('Assumptions (NG Midstream)'!$B$72,Model!AA$1,'Assumptions (NG Midstream)'!$B$75,Model!$Q$258)</f>
        <v>-0.1969164764</v>
      </c>
      <c r="V327" s="188">
        <f>IPMT('Assumptions (NG Midstream)'!$B$72,Model!AB$1,'Assumptions (NG Midstream)'!$B$75,Model!$Q$258)</f>
        <v>-0.1847672272</v>
      </c>
      <c r="W327" s="188">
        <f>IPMT('Assumptions (NG Midstream)'!$B$72,Model!AC$1,'Assumptions (NG Midstream)'!$B$75,Model!$Q$258)</f>
        <v>-0.1717067844</v>
      </c>
      <c r="X327" s="188">
        <f>IPMT('Assumptions (NG Midstream)'!$B$72,Model!AD$1,'Assumptions (NG Midstream)'!$B$75,Model!$Q$258)</f>
        <v>-0.1576668084</v>
      </c>
      <c r="Y327" s="188">
        <f>IPMT('Assumptions (NG Midstream)'!$B$72,Model!AE$1,'Assumptions (NG Midstream)'!$B$75,Model!$Q$258)</f>
        <v>-0.1425738342</v>
      </c>
      <c r="Z327" s="188">
        <f>IPMT('Assumptions (NG Midstream)'!$B$72,Model!AF$1,'Assumptions (NG Midstream)'!$B$75,Model!$Q$258)</f>
        <v>-0.1263488869</v>
      </c>
      <c r="AA327" s="188">
        <f>IPMT('Assumptions (NG Midstream)'!$B$72,Model!AG$1,'Assumptions (NG Midstream)'!$B$75,Model!$Q$258)</f>
        <v>-0.1089070685</v>
      </c>
      <c r="AB327" s="188">
        <f>IPMT('Assumptions (NG Midstream)'!$B$72,Model!AH$1,'Assumptions (NG Midstream)'!$B$75,Model!$Q$258)</f>
        <v>-0.09015711381</v>
      </c>
      <c r="AC327" s="188">
        <f>IPMT('Assumptions (NG Midstream)'!$B$72,Model!AI$1,'Assumptions (NG Midstream)'!$B$75,Model!$Q$258)</f>
        <v>-0.07000091249</v>
      </c>
      <c r="AD327" s="188">
        <f>IPMT('Assumptions (NG Midstream)'!$B$72,Model!AJ$1,'Assumptions (NG Midstream)'!$B$75,Model!$Q$258)</f>
        <v>-0.04833299607</v>
      </c>
      <c r="AE327" s="188">
        <f>IPMT('Assumptions (NG Midstream)'!$B$72,Model!AK$1,'Assumptions (NG Midstream)'!$B$75,Model!$Q$258)</f>
        <v>-0.02503998591</v>
      </c>
      <c r="AF327" s="188"/>
      <c r="AG327" s="188"/>
      <c r="AH327" s="188"/>
      <c r="AI327" s="188"/>
      <c r="AJ327" s="188"/>
      <c r="AK327" s="188"/>
      <c r="AL327" s="188"/>
      <c r="AM327" s="188"/>
      <c r="AN327" s="188"/>
      <c r="AO327" s="188"/>
    </row>
    <row r="328" ht="15.75" hidden="1" customHeight="1" outlineLevel="1">
      <c r="A328" s="187"/>
      <c r="B328" s="38"/>
      <c r="C328" s="188"/>
      <c r="D328" s="188"/>
      <c r="E328" s="188"/>
      <c r="F328" s="188"/>
      <c r="G328" s="188"/>
      <c r="H328" s="188"/>
      <c r="I328" s="188"/>
      <c r="J328" s="188"/>
      <c r="K328" s="188"/>
      <c r="L328" s="188"/>
      <c r="M328" s="188"/>
      <c r="N328" s="188"/>
      <c r="O328" s="188"/>
      <c r="P328" s="188"/>
      <c r="Q328" s="188"/>
      <c r="R328" s="188">
        <f>IPMT('Assumptions (NG Midstream)'!$B$72,Model!W$1,'Assumptions (NG Midstream)'!$B$75,Model!$R$258)</f>
        <v>-0.3421363637</v>
      </c>
      <c r="S328" s="188">
        <f>IPMT('Assumptions (NG Midstream)'!$B$72,Model!X$1,'Assumptions (NG Midstream)'!$B$75,Model!$R$258)</f>
        <v>-0.3290369079</v>
      </c>
      <c r="T328" s="188">
        <f>IPMT('Assumptions (NG Midstream)'!$B$72,Model!Y$1,'Assumptions (NG Midstream)'!$B$75,Model!$R$258)</f>
        <v>-0.3149549929</v>
      </c>
      <c r="U328" s="188">
        <f>IPMT('Assumptions (NG Midstream)'!$B$72,Model!Z$1,'Assumptions (NG Midstream)'!$B$75,Model!$R$258)</f>
        <v>-0.2998169343</v>
      </c>
      <c r="V328" s="188">
        <f>IPMT('Assumptions (NG Midstream)'!$B$72,Model!AA$1,'Assumptions (NG Midstream)'!$B$75,Model!$R$258)</f>
        <v>-0.2835435214</v>
      </c>
      <c r="W328" s="188">
        <f>IPMT('Assumptions (NG Midstream)'!$B$72,Model!AB$1,'Assumptions (NG Midstream)'!$B$75,Model!$R$258)</f>
        <v>-0.2660496024</v>
      </c>
      <c r="X328" s="188">
        <f>IPMT('Assumptions (NG Midstream)'!$B$72,Model!AC$1,'Assumptions (NG Midstream)'!$B$75,Model!$R$258)</f>
        <v>-0.2472436395</v>
      </c>
      <c r="Y328" s="188">
        <f>IPMT('Assumptions (NG Midstream)'!$B$72,Model!AD$1,'Assumptions (NG Midstream)'!$B$75,Model!$R$258)</f>
        <v>-0.2270272294</v>
      </c>
      <c r="Z328" s="188">
        <f>IPMT('Assumptions (NG Midstream)'!$B$72,Model!AE$1,'Assumptions (NG Midstream)'!$B$75,Model!$R$258)</f>
        <v>-0.2052945885</v>
      </c>
      <c r="AA328" s="188">
        <f>IPMT('Assumptions (NG Midstream)'!$B$72,Model!AF$1,'Assumptions (NG Midstream)'!$B$75,Model!$R$258)</f>
        <v>-0.1819319996</v>
      </c>
      <c r="AB328" s="188">
        <f>IPMT('Assumptions (NG Midstream)'!$B$72,Model!AG$1,'Assumptions (NG Midstream)'!$B$75,Model!$R$258)</f>
        <v>-0.1568172165</v>
      </c>
      <c r="AC328" s="188">
        <f>IPMT('Assumptions (NG Midstream)'!$B$72,Model!AH$1,'Assumptions (NG Midstream)'!$B$75,Model!$R$258)</f>
        <v>-0.1298188247</v>
      </c>
      <c r="AD328" s="188">
        <f>IPMT('Assumptions (NG Midstream)'!$B$72,Model!AI$1,'Assumptions (NG Midstream)'!$B$75,Model!$R$258)</f>
        <v>-0.1007955535</v>
      </c>
      <c r="AE328" s="188">
        <f>IPMT('Assumptions (NG Midstream)'!$B$72,Model!AJ$1,'Assumptions (NG Midstream)'!$B$75,Model!$R$258)</f>
        <v>-0.06959553693</v>
      </c>
      <c r="AF328" s="188">
        <f>IPMT('Assumptions (NG Midstream)'!$B$72,Model!AK$1,'Assumptions (NG Midstream)'!$B$75,Model!$R$258)</f>
        <v>-0.03605551913</v>
      </c>
      <c r="AG328" s="188"/>
      <c r="AH328" s="188"/>
      <c r="AI328" s="188"/>
      <c r="AJ328" s="188"/>
      <c r="AK328" s="188"/>
      <c r="AL328" s="188"/>
      <c r="AM328" s="188"/>
      <c r="AN328" s="188"/>
      <c r="AO328" s="188"/>
      <c r="AP328" s="188"/>
    </row>
    <row r="329" ht="15.75" hidden="1" customHeight="1" outlineLevel="1">
      <c r="A329" s="187"/>
      <c r="B329" s="38"/>
      <c r="C329" s="188"/>
      <c r="D329" s="188"/>
      <c r="E329" s="188"/>
      <c r="F329" s="188"/>
      <c r="G329" s="188"/>
      <c r="H329" s="188"/>
      <c r="I329" s="188"/>
      <c r="J329" s="188"/>
      <c r="K329" s="188"/>
      <c r="L329" s="188"/>
      <c r="M329" s="188"/>
      <c r="N329" s="188"/>
      <c r="O329" s="188"/>
      <c r="P329" s="188"/>
      <c r="Q329" s="188"/>
      <c r="R329" s="188"/>
      <c r="S329" s="188">
        <f>IPMT('Assumptions (NG Midstream)'!$B$72,Model!W$1,'Assumptions (NG Midstream)'!$B$75,Model!$S$258)</f>
        <v>-0.3157375432</v>
      </c>
      <c r="T329" s="188">
        <f>IPMT('Assumptions (NG Midstream)'!$B$72,Model!X$1,'Assumptions (NG Midstream)'!$B$75,Model!$S$258)</f>
        <v>-0.3036488253</v>
      </c>
      <c r="U329" s="188">
        <f>IPMT('Assumptions (NG Midstream)'!$B$72,Model!Y$1,'Assumptions (NG Midstream)'!$B$75,Model!$S$258)</f>
        <v>-0.2906534535</v>
      </c>
      <c r="V329" s="188">
        <f>IPMT('Assumptions (NG Midstream)'!$B$72,Model!Z$1,'Assumptions (NG Midstream)'!$B$75,Model!$S$258)</f>
        <v>-0.2766834289</v>
      </c>
      <c r="W329" s="188">
        <f>IPMT('Assumptions (NG Midstream)'!$B$72,Model!AA$1,'Assumptions (NG Midstream)'!$B$75,Model!$S$258)</f>
        <v>-0.2616656524</v>
      </c>
      <c r="X329" s="188">
        <f>IPMT('Assumptions (NG Midstream)'!$B$72,Model!AB$1,'Assumptions (NG Midstream)'!$B$75,Model!$S$258)</f>
        <v>-0.2455215427</v>
      </c>
      <c r="Y329" s="188">
        <f>IPMT('Assumptions (NG Midstream)'!$B$72,Model!AC$1,'Assumptions (NG Midstream)'!$B$75,Model!$S$258)</f>
        <v>-0.2281666247</v>
      </c>
      <c r="Z329" s="188">
        <f>IPMT('Assumptions (NG Midstream)'!$B$72,Model!AD$1,'Assumptions (NG Midstream)'!$B$75,Model!$S$258)</f>
        <v>-0.2095100879</v>
      </c>
      <c r="AA329" s="188">
        <f>IPMT('Assumptions (NG Midstream)'!$B$72,Model!AE$1,'Assumptions (NG Midstream)'!$B$75,Model!$S$258)</f>
        <v>-0.1894543109</v>
      </c>
      <c r="AB329" s="188">
        <f>IPMT('Assumptions (NG Midstream)'!$B$72,Model!AF$1,'Assumptions (NG Midstream)'!$B$75,Model!$S$258)</f>
        <v>-0.1678943505</v>
      </c>
      <c r="AC329" s="188">
        <f>IPMT('Assumptions (NG Midstream)'!$B$72,Model!AG$1,'Assumptions (NG Midstream)'!$B$75,Model!$S$258)</f>
        <v>-0.1447173932</v>
      </c>
      <c r="AD329" s="188">
        <f>IPMT('Assumptions (NG Midstream)'!$B$72,Model!AH$1,'Assumptions (NG Midstream)'!$B$75,Model!$S$258)</f>
        <v>-0.119802164</v>
      </c>
      <c r="AE329" s="188">
        <f>IPMT('Assumptions (NG Midstream)'!$B$72,Model!AI$1,'Assumptions (NG Midstream)'!$B$75,Model!$S$258)</f>
        <v>-0.09301829269</v>
      </c>
      <c r="AF329" s="188">
        <f>IPMT('Assumptions (NG Midstream)'!$B$72,Model!AJ$1,'Assumptions (NG Midstream)'!$B$75,Model!$S$258)</f>
        <v>-0.06422563099</v>
      </c>
      <c r="AG329" s="188">
        <f>IPMT('Assumptions (NG Midstream)'!$B$72,Model!AK$1,'Assumptions (NG Midstream)'!$B$75,Model!$S$258)</f>
        <v>-0.03327351967</v>
      </c>
      <c r="AH329" s="188"/>
      <c r="AI329" s="188"/>
      <c r="AJ329" s="188"/>
      <c r="AK329" s="188"/>
      <c r="AL329" s="188"/>
      <c r="AM329" s="188"/>
      <c r="AN329" s="188"/>
      <c r="AO329" s="188"/>
      <c r="AP329" s="188"/>
      <c r="AQ329" s="188"/>
    </row>
    <row r="330" ht="15.75" hidden="1" customHeight="1" outlineLevel="1">
      <c r="A330" s="187"/>
      <c r="B330" s="38"/>
      <c r="C330" s="188"/>
      <c r="D330" s="188"/>
      <c r="E330" s="188"/>
      <c r="F330" s="188"/>
      <c r="G330" s="188"/>
      <c r="H330" s="188"/>
      <c r="I330" s="188"/>
      <c r="J330" s="188"/>
      <c r="K330" s="188"/>
      <c r="L330" s="188"/>
      <c r="M330" s="188"/>
      <c r="N330" s="188"/>
      <c r="O330" s="188"/>
      <c r="P330" s="188"/>
      <c r="Q330" s="188"/>
      <c r="R330" s="188"/>
      <c r="S330" s="78"/>
      <c r="T330" s="188">
        <f>IPMT('Assumptions (NG Midstream)'!$B$72,Model!W$1,'Assumptions (NG Midstream)'!$B$75,Model!$T$258)</f>
        <v>-0.3560612528</v>
      </c>
      <c r="U330" s="188">
        <f>IPMT('Assumptions (NG Midstream)'!$B$72,Model!X$1,'Assumptions (NG Midstream)'!$B$75,Model!$T$258)</f>
        <v>-0.3424286515</v>
      </c>
      <c r="V330" s="188">
        <f>IPMT('Assumptions (NG Midstream)'!$B$72,Model!Y$1,'Assumptions (NG Midstream)'!$B$75,Model!$T$258)</f>
        <v>-0.3277736051</v>
      </c>
      <c r="W330" s="188">
        <f>IPMT('Assumptions (NG Midstream)'!$B$72,Model!Z$1,'Assumptions (NG Midstream)'!$B$75,Model!$T$258)</f>
        <v>-0.3120194302</v>
      </c>
      <c r="X330" s="188">
        <f>IPMT('Assumptions (NG Midstream)'!$B$72,Model!AA$1,'Assumptions (NG Midstream)'!$B$75,Model!$T$258)</f>
        <v>-0.2950836922</v>
      </c>
      <c r="Y330" s="188">
        <f>IPMT('Assumptions (NG Midstream)'!$B$72,Model!AB$1,'Assumptions (NG Midstream)'!$B$75,Model!$T$258)</f>
        <v>-0.2768777738</v>
      </c>
      <c r="Z330" s="188">
        <f>IPMT('Assumptions (NG Midstream)'!$B$72,Model!AC$1,'Assumptions (NG Midstream)'!$B$75,Model!$T$258)</f>
        <v>-0.2573064116</v>
      </c>
      <c r="AA330" s="188">
        <f>IPMT('Assumptions (NG Midstream)'!$B$72,Model!AD$1,'Assumptions (NG Midstream)'!$B$75,Model!$T$258)</f>
        <v>-0.2362671972</v>
      </c>
      <c r="AB330" s="188">
        <f>IPMT('Assumptions (NG Midstream)'!$B$72,Model!AE$1,'Assumptions (NG Midstream)'!$B$75,Model!$T$258)</f>
        <v>-0.2136500417</v>
      </c>
      <c r="AC330" s="188">
        <f>IPMT('Assumptions (NG Midstream)'!$B$72,Model!AF$1,'Assumptions (NG Midstream)'!$B$75,Model!$T$258)</f>
        <v>-0.1893365996</v>
      </c>
      <c r="AD330" s="188">
        <f>IPMT('Assumptions (NG Midstream)'!$B$72,Model!AG$1,'Assumptions (NG Midstream)'!$B$75,Model!$T$258)</f>
        <v>-0.1631996493</v>
      </c>
      <c r="AE330" s="188">
        <f>IPMT('Assumptions (NG Midstream)'!$B$72,Model!AH$1,'Assumptions (NG Midstream)'!$B$75,Model!$T$258)</f>
        <v>-0.1351024277</v>
      </c>
      <c r="AF330" s="188">
        <f>IPMT('Assumptions (NG Midstream)'!$B$72,Model!AI$1,'Assumptions (NG Midstream)'!$B$75,Model!$T$258)</f>
        <v>-0.1048979146</v>
      </c>
      <c r="AG330" s="188">
        <f>IPMT('Assumptions (NG Midstream)'!$B$72,Model!AJ$1,'Assumptions (NG Midstream)'!$B$75,Model!$T$258)</f>
        <v>-0.07242806289</v>
      </c>
      <c r="AH330" s="188">
        <f>IPMT('Assumptions (NG Midstream)'!$B$72,Model!AK$1,'Assumptions (NG Midstream)'!$B$75,Model!$T$258)</f>
        <v>-0.03752297234</v>
      </c>
      <c r="AI330" s="188"/>
      <c r="AJ330" s="188"/>
      <c r="AK330" s="188"/>
      <c r="AL330" s="188"/>
      <c r="AM330" s="188"/>
      <c r="AN330" s="188"/>
      <c r="AO330" s="188"/>
      <c r="AP330" s="188"/>
      <c r="AQ330" s="188"/>
      <c r="AR330" s="188"/>
    </row>
    <row r="331" ht="15.75" hidden="1" customHeight="1" outlineLevel="1">
      <c r="A331" s="187"/>
      <c r="B331" s="38"/>
      <c r="C331" s="188"/>
      <c r="D331" s="188"/>
      <c r="E331" s="188"/>
      <c r="F331" s="188"/>
      <c r="G331" s="188"/>
      <c r="H331" s="188"/>
      <c r="I331" s="188"/>
      <c r="J331" s="188"/>
      <c r="K331" s="188"/>
      <c r="L331" s="188"/>
      <c r="M331" s="188"/>
      <c r="N331" s="188"/>
      <c r="O331" s="188"/>
      <c r="P331" s="188"/>
      <c r="Q331" s="188"/>
      <c r="R331" s="188"/>
      <c r="S331" s="78"/>
      <c r="T331" s="78"/>
      <c r="U331" s="188">
        <f>IPMT('Assumptions (NG Midstream)'!$B$72,Model!W$1,'Assumptions (NG Midstream)'!$B$75,Model!$U$258)</f>
        <v>-0.04814662589</v>
      </c>
      <c r="V331" s="188">
        <f>IPMT('Assumptions (NG Midstream)'!$B$72,Model!X$1,'Assumptions (NG Midstream)'!$B$75,Model!$U$258)</f>
        <v>-0.04630322465</v>
      </c>
      <c r="W331" s="188">
        <f>IPMT('Assumptions (NG Midstream)'!$B$72,Model!Y$1,'Assumptions (NG Midstream)'!$B$75,Model!$U$258)</f>
        <v>-0.04432156832</v>
      </c>
      <c r="X331" s="188">
        <f>IPMT('Assumptions (NG Midstream)'!$B$72,Model!Z$1,'Assumptions (NG Midstream)'!$B$75,Model!$U$258)</f>
        <v>-0.04219128776</v>
      </c>
      <c r="Y331" s="188">
        <f>IPMT('Assumptions (NG Midstream)'!$B$72,Model!AA$1,'Assumptions (NG Midstream)'!$B$75,Model!$U$258)</f>
        <v>-0.03990123616</v>
      </c>
      <c r="Z331" s="188">
        <f>IPMT('Assumptions (NG Midstream)'!$B$72,Model!AB$1,'Assumptions (NG Midstream)'!$B$75,Model!$U$258)</f>
        <v>-0.03743943069</v>
      </c>
      <c r="AA331" s="188">
        <f>IPMT('Assumptions (NG Midstream)'!$B$72,Model!AC$1,'Assumptions (NG Midstream)'!$B$75,Model!$U$258)</f>
        <v>-0.03479298981</v>
      </c>
      <c r="AB331" s="188">
        <f>IPMT('Assumptions (NG Midstream)'!$B$72,Model!AD$1,'Assumptions (NG Midstream)'!$B$75,Model!$U$258)</f>
        <v>-0.03194806586</v>
      </c>
      <c r="AC331" s="188">
        <f>IPMT('Assumptions (NG Midstream)'!$B$72,Model!AE$1,'Assumptions (NG Midstream)'!$B$75,Model!$U$258)</f>
        <v>-0.02888977262</v>
      </c>
      <c r="AD331" s="188">
        <f>IPMT('Assumptions (NG Midstream)'!$B$72,Model!AF$1,'Assumptions (NG Midstream)'!$B$75,Model!$U$258)</f>
        <v>-0.02560210738</v>
      </c>
      <c r="AE331" s="188">
        <f>IPMT('Assumptions (NG Midstream)'!$B$72,Model!AG$1,'Assumptions (NG Midstream)'!$B$75,Model!$U$258)</f>
        <v>-0.02206786725</v>
      </c>
      <c r="AF331" s="188">
        <f>IPMT('Assumptions (NG Midstream)'!$B$72,Model!AH$1,'Assumptions (NG Midstream)'!$B$75,Model!$U$258)</f>
        <v>-0.01826855912</v>
      </c>
      <c r="AG331" s="188">
        <f>IPMT('Assumptions (NG Midstream)'!$B$72,Model!AI$1,'Assumptions (NG Midstream)'!$B$75,Model!$U$258)</f>
        <v>-0.01418430287</v>
      </c>
      <c r="AH331" s="188">
        <f>IPMT('Assumptions (NG Midstream)'!$B$72,Model!AJ$1,'Assumptions (NG Midstream)'!$B$75,Model!$U$258)</f>
        <v>-0.009793727401</v>
      </c>
      <c r="AI331" s="188">
        <f>IPMT('Assumptions (NG Midstream)'!$B$72,Model!AK$1,'Assumptions (NG Midstream)'!$B$75,Model!$U$258)</f>
        <v>-0.005073858774</v>
      </c>
      <c r="AJ331" s="188"/>
      <c r="AK331" s="188"/>
      <c r="AL331" s="188"/>
      <c r="AM331" s="188"/>
      <c r="AN331" s="188"/>
      <c r="AO331" s="188"/>
      <c r="AP331" s="188"/>
      <c r="AQ331" s="188"/>
      <c r="AR331" s="188"/>
      <c r="AS331" s="188"/>
    </row>
    <row r="332" ht="15.75" hidden="1" customHeight="1" outlineLevel="1">
      <c r="A332" s="187"/>
      <c r="B332" s="38"/>
      <c r="C332" s="188"/>
      <c r="D332" s="188"/>
      <c r="E332" s="188"/>
      <c r="F332" s="188"/>
      <c r="G332" s="188"/>
      <c r="H332" s="188"/>
      <c r="I332" s="188"/>
      <c r="J332" s="188"/>
      <c r="K332" s="188"/>
      <c r="L332" s="188"/>
      <c r="M332" s="188"/>
      <c r="N332" s="188"/>
      <c r="O332" s="188"/>
      <c r="P332" s="188"/>
      <c r="Q332" s="188"/>
      <c r="R332" s="188"/>
      <c r="S332" s="78"/>
      <c r="T332" s="78"/>
      <c r="U332" s="78"/>
      <c r="V332" s="188">
        <f>IPMT('Assumptions (NG Midstream)'!$B$72,Model!W$1,'Assumptions (NG Midstream)'!$B$75,Model!$V$258)</f>
        <v>-0.152576889</v>
      </c>
      <c r="W332" s="188">
        <f>IPMT('Assumptions (NG Midstream)'!$B$72,Model!X$1,'Assumptions (NG Midstream)'!$B$75,Model!$V$258)</f>
        <v>-0.1467351416</v>
      </c>
      <c r="X332" s="188">
        <f>IPMT('Assumptions (NG Midstream)'!$B$72,Model!Y$1,'Assumptions (NG Midstream)'!$B$75,Model!$V$258)</f>
        <v>-0.1404552632</v>
      </c>
      <c r="Y332" s="188">
        <f>IPMT('Assumptions (NG Midstream)'!$B$72,Model!Z$1,'Assumptions (NG Midstream)'!$B$75,Model!$V$258)</f>
        <v>-0.1337043939</v>
      </c>
      <c r="Z332" s="188">
        <f>IPMT('Assumptions (NG Midstream)'!$B$72,Model!AA$1,'Assumptions (NG Midstream)'!$B$75,Model!$V$258)</f>
        <v>-0.1264472093</v>
      </c>
      <c r="AA332" s="188">
        <f>IPMT('Assumptions (NG Midstream)'!$B$72,Model!AB$1,'Assumptions (NG Midstream)'!$B$75,Model!$V$258)</f>
        <v>-0.1186457359</v>
      </c>
      <c r="AB332" s="188">
        <f>IPMT('Assumptions (NG Midstream)'!$B$72,Model!AC$1,'Assumptions (NG Midstream)'!$B$75,Model!$V$258)</f>
        <v>-0.1102591521</v>
      </c>
      <c r="AC332" s="188">
        <f>IPMT('Assumptions (NG Midstream)'!$B$72,Model!AD$1,'Assumptions (NG Midstream)'!$B$75,Model!$V$258)</f>
        <v>-0.1012435744</v>
      </c>
      <c r="AD332" s="188">
        <f>IPMT('Assumptions (NG Midstream)'!$B$72,Model!AE$1,'Assumptions (NG Midstream)'!$B$75,Model!$V$258)</f>
        <v>-0.09155182839</v>
      </c>
      <c r="AE332" s="188">
        <f>IPMT('Assumptions (NG Midstream)'!$B$72,Model!AF$1,'Assumptions (NG Midstream)'!$B$75,Model!$V$258)</f>
        <v>-0.08113320145</v>
      </c>
      <c r="AF332" s="188">
        <f>IPMT('Assumptions (NG Midstream)'!$B$72,Model!AG$1,'Assumptions (NG Midstream)'!$B$75,Model!$V$258)</f>
        <v>-0.06993317748</v>
      </c>
      <c r="AG332" s="188">
        <f>IPMT('Assumptions (NG Midstream)'!$B$72,Model!AH$1,'Assumptions (NG Midstream)'!$B$75,Model!$V$258)</f>
        <v>-0.05789315172</v>
      </c>
      <c r="AH332" s="188">
        <f>IPMT('Assumptions (NG Midstream)'!$B$72,Model!AI$1,'Assumptions (NG Midstream)'!$B$75,Model!$V$258)</f>
        <v>-0.04495012402</v>
      </c>
      <c r="AI332" s="188">
        <f>IPMT('Assumptions (NG Midstream)'!$B$72,Model!AJ$1,'Assumptions (NG Midstream)'!$B$75,Model!$V$258)</f>
        <v>-0.03103636924</v>
      </c>
      <c r="AJ332" s="188">
        <f>IPMT('Assumptions (NG Midstream)'!$B$72,Model!AK$1,'Assumptions (NG Midstream)'!$B$75,Model!$V$258)</f>
        <v>-0.01607908286</v>
      </c>
      <c r="AK332" s="188"/>
      <c r="AL332" s="188"/>
      <c r="AM332" s="188"/>
      <c r="AN332" s="188"/>
      <c r="AO332" s="188"/>
      <c r="AP332" s="188"/>
      <c r="AQ332" s="188"/>
      <c r="AR332" s="188"/>
      <c r="AS332" s="188"/>
      <c r="AT332" s="188"/>
    </row>
    <row r="333" ht="15.75" hidden="1" customHeight="1" outlineLevel="1">
      <c r="A333" s="187"/>
      <c r="B333" s="38"/>
      <c r="C333" s="188"/>
      <c r="D333" s="188"/>
      <c r="E333" s="188"/>
      <c r="F333" s="188"/>
      <c r="G333" s="188"/>
      <c r="H333" s="188"/>
      <c r="I333" s="188"/>
      <c r="J333" s="188"/>
      <c r="K333" s="188"/>
      <c r="L333" s="188"/>
      <c r="M333" s="188"/>
      <c r="N333" s="188"/>
      <c r="O333" s="188"/>
      <c r="P333" s="188"/>
      <c r="Q333" s="188"/>
      <c r="R333" s="188"/>
      <c r="S333" s="78"/>
      <c r="T333" s="78"/>
      <c r="U333" s="78"/>
      <c r="V333" s="78"/>
      <c r="W333" s="188">
        <f>IPMT('Assumptions (NG Midstream)'!$B$72,Model!W$1,'Assumptions (NG Midstream)'!$B$75,Model!$W$258)</f>
        <v>-0.09825812062</v>
      </c>
      <c r="X333" s="188">
        <f>IPMT('Assumptions (NG Midstream)'!$B$72,Model!X$1,'Assumptions (NG Midstream)'!$B$75,Model!$W$258)</f>
        <v>-0.09449608874</v>
      </c>
      <c r="Y333" s="188">
        <f>IPMT('Assumptions (NG Midstream)'!$B$72,Model!Y$1,'Assumptions (NG Midstream)'!$B$75,Model!$W$258)</f>
        <v>-0.09045190447</v>
      </c>
      <c r="Z333" s="188">
        <f>IPMT('Assumptions (NG Midstream)'!$B$72,Model!Z$1,'Assumptions (NG Midstream)'!$B$75,Model!$W$258)</f>
        <v>-0.08610440638</v>
      </c>
      <c r="AA333" s="188">
        <f>IPMT('Assumptions (NG Midstream)'!$B$72,Model!AA$1,'Assumptions (NG Midstream)'!$B$75,Model!$W$258)</f>
        <v>-0.08143084594</v>
      </c>
      <c r="AB333" s="188">
        <f>IPMT('Assumptions (NG Midstream)'!$B$72,Model!AB$1,'Assumptions (NG Midstream)'!$B$75,Model!$W$258)</f>
        <v>-0.07640676846</v>
      </c>
      <c r="AC333" s="188">
        <f>IPMT('Assumptions (NG Midstream)'!$B$72,Model!AC$1,'Assumptions (NG Midstream)'!$B$75,Model!$W$258)</f>
        <v>-0.07100588517</v>
      </c>
      <c r="AD333" s="188">
        <f>IPMT('Assumptions (NG Midstream)'!$B$72,Model!AD$1,'Assumptions (NG Midstream)'!$B$75,Model!$W$258)</f>
        <v>-0.06519993563</v>
      </c>
      <c r="AE333" s="188">
        <f>IPMT('Assumptions (NG Midstream)'!$B$72,Model!AE$1,'Assumptions (NG Midstream)'!$B$75,Model!$W$258)</f>
        <v>-0.05895853988</v>
      </c>
      <c r="AF333" s="188">
        <f>IPMT('Assumptions (NG Midstream)'!$B$72,Model!AF$1,'Assumptions (NG Midstream)'!$B$75,Model!$W$258)</f>
        <v>-0.05224903944</v>
      </c>
      <c r="AG333" s="188">
        <f>IPMT('Assumptions (NG Midstream)'!$B$72,Model!AG$1,'Assumptions (NG Midstream)'!$B$75,Model!$W$258)</f>
        <v>-0.04503632648</v>
      </c>
      <c r="AH333" s="188">
        <f>IPMT('Assumptions (NG Midstream)'!$B$72,Model!AH$1,'Assumptions (NG Midstream)'!$B$75,Model!$W$258)</f>
        <v>-0.03728266004</v>
      </c>
      <c r="AI333" s="188">
        <f>IPMT('Assumptions (NG Midstream)'!$B$72,Model!AI$1,'Assumptions (NG Midstream)'!$B$75,Model!$W$258)</f>
        <v>-0.02894746862</v>
      </c>
      <c r="AJ333" s="188">
        <f>IPMT('Assumptions (NG Midstream)'!$B$72,Model!AJ$1,'Assumptions (NG Midstream)'!$B$75,Model!$W$258)</f>
        <v>-0.01998713784</v>
      </c>
      <c r="AK333" s="188">
        <f>IPMT('Assumptions (NG Midstream)'!$B$72,Model!AK$1,'Assumptions (NG Midstream)'!$B$75,Model!$W$258)</f>
        <v>-0.01035478226</v>
      </c>
      <c r="AL333" s="188"/>
      <c r="AM333" s="188"/>
      <c r="AN333" s="188"/>
      <c r="AO333" s="188"/>
      <c r="AP333" s="188"/>
      <c r="AQ333" s="188"/>
      <c r="AR333" s="188"/>
      <c r="AS333" s="188"/>
      <c r="AT333" s="188"/>
      <c r="AU333" s="188"/>
    </row>
    <row r="334" ht="15.75" hidden="1" customHeight="1" outlineLevel="1">
      <c r="A334" s="187"/>
      <c r="B334" s="38"/>
      <c r="C334" s="188"/>
      <c r="D334" s="188"/>
      <c r="E334" s="188"/>
      <c r="F334" s="188"/>
      <c r="G334" s="188"/>
      <c r="H334" s="188"/>
      <c r="I334" s="188"/>
      <c r="J334" s="188"/>
      <c r="K334" s="188"/>
      <c r="L334" s="188"/>
      <c r="M334" s="188"/>
      <c r="N334" s="188"/>
      <c r="O334" s="188"/>
      <c r="P334" s="188"/>
      <c r="Q334" s="188"/>
      <c r="R334" s="188"/>
      <c r="S334" s="78"/>
      <c r="T334" s="78"/>
      <c r="U334" s="78"/>
      <c r="V334" s="78"/>
      <c r="W334" s="139"/>
      <c r="X334" s="188">
        <f>IPMT('Assumptions (NG Midstream)'!$B$72,Model!W$1,'Assumptions (NG Midstream)'!$B$75,Model!$X$258)</f>
        <v>-0.08865304539</v>
      </c>
      <c r="Y334" s="188">
        <f>IPMT('Assumptions (NG Midstream)'!$B$72,Model!X$1,'Assumptions (NG Midstream)'!$B$75,Model!$X$258)</f>
        <v>-0.0852587653</v>
      </c>
      <c r="Z334" s="188">
        <f>IPMT('Assumptions (NG Midstream)'!$B$72,Model!Y$1,'Assumptions (NG Midstream)'!$B$75,Model!$X$258)</f>
        <v>-0.0816099142</v>
      </c>
      <c r="AA334" s="188">
        <f>IPMT('Assumptions (NG Midstream)'!$B$72,Model!Z$1,'Assumptions (NG Midstream)'!$B$75,Model!$X$258)</f>
        <v>-0.07768739926</v>
      </c>
      <c r="AB334" s="188">
        <f>IPMT('Assumptions (NG Midstream)'!$B$72,Model!AA$1,'Assumptions (NG Midstream)'!$B$75,Model!$X$258)</f>
        <v>-0.07347069571</v>
      </c>
      <c r="AC334" s="188">
        <f>IPMT('Assumptions (NG Midstream)'!$B$72,Model!AB$1,'Assumptions (NG Midstream)'!$B$75,Model!$X$258)</f>
        <v>-0.06893773939</v>
      </c>
      <c r="AD334" s="188">
        <f>IPMT('Assumptions (NG Midstream)'!$B$72,Model!AC$1,'Assumptions (NG Midstream)'!$B$75,Model!$X$258)</f>
        <v>-0.06406481135</v>
      </c>
      <c r="AE334" s="188">
        <f>IPMT('Assumptions (NG Midstream)'!$B$72,Model!AD$1,'Assumptions (NG Midstream)'!$B$75,Model!$X$258)</f>
        <v>-0.0588264137</v>
      </c>
      <c r="AF334" s="188">
        <f>IPMT('Assumptions (NG Midstream)'!$B$72,Model!AE$1,'Assumptions (NG Midstream)'!$B$75,Model!$X$258)</f>
        <v>-0.05319513623</v>
      </c>
      <c r="AG334" s="188">
        <f>IPMT('Assumptions (NG Midstream)'!$B$72,Model!AF$1,'Assumptions (NG Midstream)'!$B$75,Model!$X$258)</f>
        <v>-0.04714151295</v>
      </c>
      <c r="AH334" s="188">
        <f>IPMT('Assumptions (NG Midstream)'!$B$72,Model!AG$1,'Assumptions (NG Midstream)'!$B$75,Model!$X$258)</f>
        <v>-0.04063386792</v>
      </c>
      <c r="AI334" s="188">
        <f>IPMT('Assumptions (NG Midstream)'!$B$72,Model!AH$1,'Assumptions (NG Midstream)'!$B$75,Model!$X$258)</f>
        <v>-0.03363814952</v>
      </c>
      <c r="AJ334" s="188">
        <f>IPMT('Assumptions (NG Midstream)'!$B$72,Model!AI$1,'Assumptions (NG Midstream)'!$B$75,Model!$X$258)</f>
        <v>-0.02611775224</v>
      </c>
      <c r="AK334" s="188">
        <f>IPMT('Assumptions (NG Midstream)'!$B$72,Model!AJ$1,'Assumptions (NG Midstream)'!$B$75,Model!$X$258)</f>
        <v>-0.01803332516</v>
      </c>
      <c r="AL334" s="188">
        <f>IPMT('Assumptions (NG Midstream)'!$B$72,Model!AK$1,'Assumptions (NG Midstream)'!$B$75,Model!$X$258)</f>
        <v>-0.009342566044</v>
      </c>
      <c r="AM334" s="188"/>
      <c r="AN334" s="188"/>
      <c r="AO334" s="188"/>
      <c r="AP334" s="188"/>
      <c r="AQ334" s="188"/>
      <c r="AR334" s="188"/>
      <c r="AS334" s="188"/>
      <c r="AT334" s="188"/>
      <c r="AU334" s="188"/>
      <c r="AV334" s="188"/>
    </row>
    <row r="335" ht="15.75" hidden="1" customHeight="1" outlineLevel="1">
      <c r="A335" s="187"/>
      <c r="B335" s="38"/>
      <c r="C335" s="188"/>
      <c r="D335" s="188"/>
      <c r="E335" s="188"/>
      <c r="F335" s="188"/>
      <c r="G335" s="188"/>
      <c r="H335" s="188"/>
      <c r="I335" s="188"/>
      <c r="J335" s="188"/>
      <c r="K335" s="188"/>
      <c r="L335" s="188"/>
      <c r="M335" s="188"/>
      <c r="N335" s="188"/>
      <c r="O335" s="188"/>
      <c r="P335" s="188"/>
      <c r="Q335" s="188"/>
      <c r="R335" s="188"/>
      <c r="S335" s="78"/>
      <c r="T335" s="78"/>
      <c r="U335" s="78"/>
      <c r="V335" s="78"/>
      <c r="W335" s="139"/>
      <c r="Y335" s="188">
        <f>IPMT('Assumptions (NG Midstream)'!$B$72,Model!W$1,'Assumptions (NG Midstream)'!$B$75,Model!$Y$258)</f>
        <v>-0.1138181273</v>
      </c>
      <c r="Z335" s="188">
        <f>IPMT('Assumptions (NG Midstream)'!$B$72,Model!X$1,'Assumptions (NG Midstream)'!$B$75,Model!$Y$258)</f>
        <v>-0.1094603458</v>
      </c>
      <c r="AA335" s="188">
        <f>IPMT('Assumptions (NG Midstream)'!$B$72,Model!Y$1,'Assumptions (NG Midstream)'!$B$75,Model!$Y$258)</f>
        <v>-0.1047757307</v>
      </c>
      <c r="AB335" s="188">
        <f>IPMT('Assumptions (NG Midstream)'!$B$72,Model!Z$1,'Assumptions (NG Midstream)'!$B$75,Model!$Y$258)</f>
        <v>-0.09973976939</v>
      </c>
      <c r="AC335" s="188">
        <f>IPMT('Assumptions (NG Midstream)'!$B$72,Model!AA$1,'Assumptions (NG Midstream)'!$B$75,Model!$Y$258)</f>
        <v>-0.09432611101</v>
      </c>
      <c r="AD335" s="188">
        <f>IPMT('Assumptions (NG Midstream)'!$B$72,Model!AB$1,'Assumptions (NG Midstream)'!$B$75,Model!$Y$258)</f>
        <v>-0.08850642825</v>
      </c>
      <c r="AE335" s="188">
        <f>IPMT('Assumptions (NG Midstream)'!$B$72,Model!AC$1,'Assumptions (NG Midstream)'!$B$75,Model!$Y$258)</f>
        <v>-0.08225026929</v>
      </c>
      <c r="AF335" s="188">
        <f>IPMT('Assumptions (NG Midstream)'!$B$72,Model!AD$1,'Assumptions (NG Midstream)'!$B$75,Model!$Y$258)</f>
        <v>-0.0755248984</v>
      </c>
      <c r="AG335" s="188">
        <f>IPMT('Assumptions (NG Midstream)'!$B$72,Model!AE$1,'Assumptions (NG Midstream)'!$B$75,Model!$Y$258)</f>
        <v>-0.0682951247</v>
      </c>
      <c r="AH335" s="188">
        <f>IPMT('Assumptions (NG Midstream)'!$B$72,Model!AF$1,'Assumptions (NG Midstream)'!$B$75,Model!$Y$258)</f>
        <v>-0.06052311797</v>
      </c>
      <c r="AI335" s="188">
        <f>IPMT('Assumptions (NG Midstream)'!$B$72,Model!AG$1,'Assumptions (NG Midstream)'!$B$75,Model!$Y$258)</f>
        <v>-0.05216821073</v>
      </c>
      <c r="AJ335" s="188">
        <f>IPMT('Assumptions (NG Midstream)'!$B$72,Model!AH$1,'Assumptions (NG Midstream)'!$B$75,Model!$Y$258)</f>
        <v>-0.04318668545</v>
      </c>
      <c r="AK335" s="188">
        <f>IPMT('Assumptions (NG Midstream)'!$B$72,Model!AI$1,'Assumptions (NG Midstream)'!$B$75,Model!$Y$258)</f>
        <v>-0.03353154578</v>
      </c>
      <c r="AL335" s="188">
        <f>IPMT('Assumptions (NG Midstream)'!$B$72,Model!AJ$1,'Assumptions (NG Midstream)'!$B$75,Model!$Y$258)</f>
        <v>-0.02315227063</v>
      </c>
      <c r="AM335" s="188">
        <f>IPMT('Assumptions (NG Midstream)'!$B$72,Model!AK$1,'Assumptions (NG Midstream)'!$B$75,Model!$Y$258)</f>
        <v>-0.01199454984</v>
      </c>
      <c r="AN335" s="188"/>
      <c r="AO335" s="188"/>
      <c r="AP335" s="188"/>
      <c r="AQ335" s="188"/>
      <c r="AR335" s="188"/>
      <c r="AS335" s="188"/>
      <c r="AT335" s="188"/>
      <c r="AU335" s="188"/>
      <c r="AV335" s="188"/>
      <c r="AW335" s="188"/>
    </row>
    <row r="336" ht="15.75" hidden="1" customHeight="1" outlineLevel="1">
      <c r="A336" s="187"/>
      <c r="B336" s="38"/>
      <c r="C336" s="188"/>
      <c r="D336" s="188"/>
      <c r="E336" s="188"/>
      <c r="F336" s="188"/>
      <c r="G336" s="188"/>
      <c r="H336" s="188"/>
      <c r="I336" s="188"/>
      <c r="J336" s="188"/>
      <c r="K336" s="188"/>
      <c r="L336" s="188"/>
      <c r="M336" s="188"/>
      <c r="N336" s="188"/>
      <c r="O336" s="188"/>
      <c r="P336" s="188"/>
      <c r="Q336" s="188"/>
      <c r="R336" s="188"/>
      <c r="S336" s="78"/>
      <c r="T336" s="78"/>
      <c r="U336" s="78"/>
      <c r="V336" s="78"/>
      <c r="W336" s="139"/>
      <c r="Z336" s="188">
        <f>IPMT('Assumptions (NG Midstream)'!$B$72,Model!W$1,'Assumptions (NG Midstream)'!$B$75,Model!$Z$258)</f>
        <v>-0.1224311139</v>
      </c>
      <c r="AA336" s="188">
        <f>IPMT('Assumptions (NG Midstream)'!$B$72,Model!X$1,'Assumptions (NG Midstream)'!$B$75,Model!$Z$258)</f>
        <v>-0.117743565</v>
      </c>
      <c r="AB336" s="188">
        <f>IPMT('Assumptions (NG Midstream)'!$B$72,Model!Y$1,'Assumptions (NG Midstream)'!$B$75,Model!$Z$258)</f>
        <v>-0.1127044498</v>
      </c>
      <c r="AC336" s="188">
        <f>IPMT('Assumptions (NG Midstream)'!$B$72,Model!Z$1,'Assumptions (NG Midstream)'!$B$75,Model!$Z$258)</f>
        <v>-0.107287401</v>
      </c>
      <c r="AD336" s="188">
        <f>IPMT('Assumptions (NG Midstream)'!$B$72,Model!AA$1,'Assumptions (NG Midstream)'!$B$75,Model!$Z$258)</f>
        <v>-0.1014640736</v>
      </c>
      <c r="AE336" s="188">
        <f>IPMT('Assumptions (NG Midstream)'!$B$72,Model!AB$1,'Assumptions (NG Midstream)'!$B$75,Model!$Z$258)</f>
        <v>-0.09520399654</v>
      </c>
      <c r="AF336" s="188">
        <f>IPMT('Assumptions (NG Midstream)'!$B$72,Model!AC$1,'Assumptions (NG Midstream)'!$B$75,Model!$Z$258)</f>
        <v>-0.08847441375</v>
      </c>
      <c r="AG336" s="188">
        <f>IPMT('Assumptions (NG Midstream)'!$B$72,Model!AD$1,'Assumptions (NG Midstream)'!$B$75,Model!$Z$258)</f>
        <v>-0.08124011225</v>
      </c>
      <c r="AH336" s="188">
        <f>IPMT('Assumptions (NG Midstream)'!$B$72,Model!AE$1,'Assumptions (NG Midstream)'!$B$75,Model!$Z$258)</f>
        <v>-0.07346323814</v>
      </c>
      <c r="AI336" s="188">
        <f>IPMT('Assumptions (NG Midstream)'!$B$72,Model!AF$1,'Assumptions (NG Midstream)'!$B$75,Model!$Z$258)</f>
        <v>-0.06510309847</v>
      </c>
      <c r="AJ336" s="188">
        <f>IPMT('Assumptions (NG Midstream)'!$B$72,Model!AG$1,'Assumptions (NG Midstream)'!$B$75,Model!$Z$258)</f>
        <v>-0.05611594832</v>
      </c>
      <c r="AK336" s="188">
        <f>IPMT('Assumptions (NG Midstream)'!$B$72,Model!AH$1,'Assumptions (NG Midstream)'!$B$75,Model!$Z$258)</f>
        <v>-0.04645476192</v>
      </c>
      <c r="AL336" s="188">
        <f>IPMT('Assumptions (NG Midstream)'!$B$72,Model!AI$1,'Assumptions (NG Midstream)'!$B$75,Model!$Z$258)</f>
        <v>-0.03606898653</v>
      </c>
      <c r="AM336" s="188">
        <f>IPMT('Assumptions (NG Midstream)'!$B$72,Model!AJ$1,'Assumptions (NG Midstream)'!$B$75,Model!$Z$258)</f>
        <v>-0.02490427799</v>
      </c>
      <c r="AN336" s="188">
        <f>IPMT('Assumptions (NG Midstream)'!$B$72,Model!AK$1,'Assumptions (NG Midstream)'!$B$75,Model!$Z$258)</f>
        <v>-0.01290221631</v>
      </c>
      <c r="AO336" s="188"/>
      <c r="AP336" s="188"/>
      <c r="AQ336" s="188"/>
      <c r="AR336" s="188"/>
      <c r="AS336" s="188"/>
      <c r="AT336" s="188"/>
      <c r="AU336" s="188"/>
      <c r="AV336" s="188"/>
      <c r="AW336" s="188"/>
      <c r="AX336" s="188"/>
    </row>
    <row r="337" ht="15.75" hidden="1" customHeight="1" outlineLevel="1">
      <c r="A337" s="187"/>
      <c r="B337" s="38"/>
      <c r="C337" s="188"/>
      <c r="D337" s="188"/>
      <c r="E337" s="188"/>
      <c r="F337" s="188"/>
      <c r="G337" s="188"/>
      <c r="H337" s="188"/>
      <c r="I337" s="188"/>
      <c r="J337" s="188"/>
      <c r="K337" s="188"/>
      <c r="L337" s="188"/>
      <c r="M337" s="188"/>
      <c r="N337" s="188"/>
      <c r="O337" s="188"/>
      <c r="P337" s="188"/>
      <c r="Q337" s="188"/>
      <c r="R337" s="188"/>
      <c r="S337" s="78"/>
      <c r="T337" s="78"/>
      <c r="U337" s="78"/>
      <c r="V337" s="78"/>
      <c r="W337" s="139"/>
      <c r="AA337" s="188">
        <f>IPMT('Assumptions (NG Midstream)'!$B$72,Model!W$1,'Assumptions (NG Midstream)'!$B$75,Model!$AA$258)</f>
        <v>-0.1231448013</v>
      </c>
      <c r="AB337" s="188">
        <f>IPMT('Assumptions (NG Midstream)'!$B$72,Model!X$1,'Assumptions (NG Midstream)'!$B$75,Model!$AA$258)</f>
        <v>-0.1184299272</v>
      </c>
      <c r="AC337" s="188">
        <f>IPMT('Assumptions (NG Midstream)'!$B$72,Model!Y$1,'Assumptions (NG Midstream)'!$B$75,Model!$AA$258)</f>
        <v>-0.1133614375</v>
      </c>
      <c r="AD337" s="188">
        <f>IPMT('Assumptions (NG Midstream)'!$B$72,Model!Z$1,'Assumptions (NG Midstream)'!$B$75,Model!$AA$258)</f>
        <v>-0.1079128111</v>
      </c>
      <c r="AE337" s="188">
        <f>IPMT('Assumptions (NG Midstream)'!$B$72,Model!AA$1,'Assumptions (NG Midstream)'!$B$75,Model!$AA$258)</f>
        <v>-0.1020555378</v>
      </c>
      <c r="AF337" s="188">
        <f>IPMT('Assumptions (NG Midstream)'!$B$72,Model!AB$1,'Assumptions (NG Midstream)'!$B$75,Model!$AA$258)</f>
        <v>-0.0957589689</v>
      </c>
      <c r="AG337" s="188">
        <f>IPMT('Assumptions (NG Midstream)'!$B$72,Model!AC$1,'Assumptions (NG Midstream)'!$B$75,Model!$AA$258)</f>
        <v>-0.08899015737</v>
      </c>
      <c r="AH337" s="188">
        <f>IPMT('Assumptions (NG Midstream)'!$B$72,Model!AD$1,'Assumptions (NG Midstream)'!$B$75,Model!$AA$258)</f>
        <v>-0.08171368498</v>
      </c>
      <c r="AI337" s="188">
        <f>IPMT('Assumptions (NG Midstream)'!$B$72,Model!AE$1,'Assumptions (NG Midstream)'!$B$75,Model!$AA$258)</f>
        <v>-0.07389147716</v>
      </c>
      <c r="AJ337" s="188">
        <f>IPMT('Assumptions (NG Midstream)'!$B$72,Model!AF$1,'Assumptions (NG Midstream)'!$B$75,Model!$AA$258)</f>
        <v>-0.06548260375</v>
      </c>
      <c r="AK337" s="188">
        <f>IPMT('Assumptions (NG Midstream)'!$B$72,Model!AG$1,'Assumptions (NG Midstream)'!$B$75,Model!$AA$258)</f>
        <v>-0.05644306484</v>
      </c>
      <c r="AL337" s="188">
        <f>IPMT('Assumptions (NG Midstream)'!$B$72,Model!AH$1,'Assumptions (NG Midstream)'!$B$75,Model!$AA$258)</f>
        <v>-0.04672556051</v>
      </c>
      <c r="AM337" s="188">
        <f>IPMT('Assumptions (NG Midstream)'!$B$72,Model!AI$1,'Assumptions (NG Midstream)'!$B$75,Model!$AA$258)</f>
        <v>-0.03627924336</v>
      </c>
      <c r="AN337" s="188">
        <f>IPMT('Assumptions (NG Midstream)'!$B$72,Model!AJ$1,'Assumptions (NG Midstream)'!$B$75,Model!$AA$258)</f>
        <v>-0.02504945242</v>
      </c>
      <c r="AO337" s="188">
        <f>IPMT('Assumptions (NG Midstream)'!$B$72,Model!AK$1,'Assumptions (NG Midstream)'!$B$75,Model!$AA$258)</f>
        <v>-0.01297742716</v>
      </c>
      <c r="AP337" s="188"/>
      <c r="AQ337" s="188"/>
      <c r="AR337" s="188"/>
      <c r="AS337" s="188"/>
      <c r="AT337" s="188"/>
      <c r="AU337" s="188"/>
      <c r="AV337" s="188"/>
      <c r="AW337" s="188"/>
      <c r="AX337" s="188"/>
      <c r="AY337" s="188"/>
    </row>
    <row r="338" ht="15.75" hidden="1" customHeight="1" outlineLevel="1">
      <c r="A338" s="187"/>
      <c r="B338" s="38"/>
      <c r="C338" s="188"/>
      <c r="D338" s="188"/>
      <c r="E338" s="188"/>
      <c r="F338" s="188"/>
      <c r="G338" s="188"/>
      <c r="H338" s="188"/>
      <c r="I338" s="188"/>
      <c r="J338" s="188"/>
      <c r="K338" s="188"/>
      <c r="L338" s="188"/>
      <c r="M338" s="188"/>
      <c r="N338" s="188"/>
      <c r="O338" s="188"/>
      <c r="P338" s="188"/>
      <c r="Q338" s="188"/>
      <c r="R338" s="188"/>
      <c r="S338" s="78"/>
      <c r="T338" s="78"/>
      <c r="U338" s="78"/>
      <c r="V338" s="78"/>
      <c r="W338" s="139"/>
      <c r="AB338" s="188">
        <f>IPMT('Assumptions (NG Midstream)'!$B$72,Model!W$1,'Assumptions (NG Midstream)'!$B$75,Model!$AB$258)</f>
        <v>-0.1161386892</v>
      </c>
      <c r="AC338" s="188">
        <f>IPMT('Assumptions (NG Midstream)'!$B$72,Model!X$1,'Assumptions (NG Midstream)'!$B$75,Model!$AB$258)</f>
        <v>-0.1116920598</v>
      </c>
      <c r="AD338" s="188">
        <f>IPMT('Assumptions (NG Midstream)'!$B$72,Model!Y$1,'Assumptions (NG Midstream)'!$B$75,Model!$AB$258)</f>
        <v>-0.1069119331</v>
      </c>
      <c r="AE338" s="188">
        <f>IPMT('Assumptions (NG Midstream)'!$B$72,Model!Z$1,'Assumptions (NG Midstream)'!$B$75,Model!$AB$258)</f>
        <v>-0.101773297</v>
      </c>
      <c r="AF338" s="188">
        <f>IPMT('Assumptions (NG Midstream)'!$B$72,Model!AA$1,'Assumptions (NG Midstream)'!$B$75,Model!$AB$258)</f>
        <v>-0.09624926314</v>
      </c>
      <c r="AG338" s="188">
        <f>IPMT('Assumptions (NG Midstream)'!$B$72,Model!AB$1,'Assumptions (NG Midstream)'!$B$75,Model!$AB$258)</f>
        <v>-0.09031092675</v>
      </c>
      <c r="AH338" s="188">
        <f>IPMT('Assumptions (NG Midstream)'!$B$72,Model!AC$1,'Assumptions (NG Midstream)'!$B$75,Model!$AB$258)</f>
        <v>-0.08392721514</v>
      </c>
      <c r="AI338" s="188">
        <f>IPMT('Assumptions (NG Midstream)'!$B$72,Model!AD$1,'Assumptions (NG Midstream)'!$B$75,Model!$AB$258)</f>
        <v>-0.07706472515</v>
      </c>
      <c r="AJ338" s="188">
        <f>IPMT('Assumptions (NG Midstream)'!$B$72,Model!AE$1,'Assumptions (NG Midstream)'!$B$75,Model!$AB$258)</f>
        <v>-0.06968754842</v>
      </c>
      <c r="AK338" s="188">
        <f>IPMT('Assumptions (NG Midstream)'!$B$72,Model!AF$1,'Assumptions (NG Midstream)'!$B$75,Model!$AB$258)</f>
        <v>-0.06175708343</v>
      </c>
      <c r="AL338" s="188">
        <f>IPMT('Assumptions (NG Midstream)'!$B$72,Model!AG$1,'Assumptions (NG Midstream)'!$B$75,Model!$AB$258)</f>
        <v>-0.05323183357</v>
      </c>
      <c r="AM338" s="188">
        <f>IPMT('Assumptions (NG Midstream)'!$B$72,Model!AH$1,'Assumptions (NG Midstream)'!$B$75,Model!$AB$258)</f>
        <v>-0.04406718996</v>
      </c>
      <c r="AN338" s="188">
        <f>IPMT('Assumptions (NG Midstream)'!$B$72,Model!AI$1,'Assumptions (NG Midstream)'!$B$75,Model!$AB$258)</f>
        <v>-0.03421519809</v>
      </c>
      <c r="AO338" s="188">
        <f>IPMT('Assumptions (NG Midstream)'!$B$72,Model!AJ$1,'Assumptions (NG Midstream)'!$B$75,Model!$AB$258)</f>
        <v>-0.02362430683</v>
      </c>
      <c r="AP338" s="188">
        <f>IPMT('Assumptions (NG Midstream)'!$B$72,Model!AK$1,'Assumptions (NG Midstream)'!$B$75,Model!$AB$258)</f>
        <v>-0.01223909872</v>
      </c>
      <c r="AQ338" s="188"/>
      <c r="AR338" s="188"/>
      <c r="AS338" s="188"/>
      <c r="AT338" s="188"/>
      <c r="AU338" s="188"/>
      <c r="AV338" s="188"/>
      <c r="AW338" s="188"/>
      <c r="AX338" s="188"/>
      <c r="AY338" s="188"/>
      <c r="AZ338" s="188"/>
    </row>
    <row r="339" ht="15.75" hidden="1" customHeight="1" outlineLevel="1">
      <c r="A339" s="187"/>
      <c r="B339" s="38"/>
      <c r="C339" s="188"/>
      <c r="D339" s="188"/>
      <c r="E339" s="188"/>
      <c r="F339" s="188"/>
      <c r="G339" s="188"/>
      <c r="H339" s="188"/>
      <c r="I339" s="188"/>
      <c r="J339" s="188"/>
      <c r="K339" s="188"/>
      <c r="L339" s="188"/>
      <c r="M339" s="188"/>
      <c r="N339" s="188"/>
      <c r="O339" s="188"/>
      <c r="P339" s="188"/>
      <c r="Q339" s="188"/>
      <c r="R339" s="188"/>
      <c r="S339" s="78"/>
      <c r="T339" s="78"/>
      <c r="U339" s="78"/>
      <c r="V339" s="78"/>
      <c r="W339" s="139"/>
      <c r="AC339" s="188">
        <f>IPMT('Assumptions (NG Midstream)'!$B$72,Model!W$1,'Assumptions (NG Midstream)'!$B$75,Model!$AC$258)</f>
        <v>-0.09770350661</v>
      </c>
      <c r="AD339" s="188">
        <f>IPMT('Assumptions (NG Midstream)'!$B$72,Model!X$1,'Assumptions (NG Midstream)'!$B$75,Model!$AC$258)</f>
        <v>-0.09396270937</v>
      </c>
      <c r="AE339" s="188">
        <f>IPMT('Assumptions (NG Midstream)'!$B$72,Model!Y$1,'Assumptions (NG Midstream)'!$B$75,Model!$AC$258)</f>
        <v>-0.08994135234</v>
      </c>
      <c r="AF339" s="188">
        <f>IPMT('Assumptions (NG Midstream)'!$B$72,Model!Z$1,'Assumptions (NG Midstream)'!$B$75,Model!$AC$258)</f>
        <v>-0.08561839353</v>
      </c>
      <c r="AG339" s="188">
        <f>IPMT('Assumptions (NG Midstream)'!$B$72,Model!AA$1,'Assumptions (NG Midstream)'!$B$75,Model!$AC$258)</f>
        <v>-0.08097121281</v>
      </c>
      <c r="AH339" s="188">
        <f>IPMT('Assumptions (NG Midstream)'!$B$72,Model!AB$1,'Assumptions (NG Midstream)'!$B$75,Model!$AC$258)</f>
        <v>-0.07597549353</v>
      </c>
      <c r="AI339" s="188">
        <f>IPMT('Assumptions (NG Midstream)'!$B$72,Model!AC$1,'Assumptions (NG Midstream)'!$B$75,Model!$AC$258)</f>
        <v>-0.07060509531</v>
      </c>
      <c r="AJ339" s="188">
        <f>IPMT('Assumptions (NG Midstream)'!$B$72,Model!AD$1,'Assumptions (NG Midstream)'!$B$75,Model!$AC$258)</f>
        <v>-0.06483191722</v>
      </c>
      <c r="AK339" s="188">
        <f>IPMT('Assumptions (NG Midstream)'!$B$72,Model!AE$1,'Assumptions (NG Midstream)'!$B$75,Model!$AC$258)</f>
        <v>-0.05862575078</v>
      </c>
      <c r="AL339" s="188">
        <f>IPMT('Assumptions (NG Midstream)'!$B$72,Model!AF$1,'Assumptions (NG Midstream)'!$B$75,Model!$AC$258)</f>
        <v>-0.05195412185</v>
      </c>
      <c r="AM339" s="188">
        <f>IPMT('Assumptions (NG Midstream)'!$B$72,Model!AG$1,'Assumptions (NG Midstream)'!$B$75,Model!$AC$258)</f>
        <v>-0.04478212075</v>
      </c>
      <c r="AN339" s="188">
        <f>IPMT('Assumptions (NG Midstream)'!$B$72,Model!AH$1,'Assumptions (NG Midstream)'!$B$75,Model!$AC$258)</f>
        <v>-0.03707221957</v>
      </c>
      <c r="AO339" s="188">
        <f>IPMT('Assumptions (NG Midstream)'!$B$72,Model!AI$1,'Assumptions (NG Midstream)'!$B$75,Model!$AC$258)</f>
        <v>-0.0287840758</v>
      </c>
      <c r="AP339" s="188">
        <f>IPMT('Assumptions (NG Midstream)'!$B$72,Model!AJ$1,'Assumptions (NG Midstream)'!$B$75,Model!$AC$258)</f>
        <v>-0.01987432125</v>
      </c>
      <c r="AQ339" s="188">
        <f>IPMT('Assumptions (NG Midstream)'!$B$72,Model!AK$1,'Assumptions (NG Midstream)'!$B$75,Model!$AC$258)</f>
        <v>-0.0102963351</v>
      </c>
      <c r="AR339" s="188"/>
      <c r="AS339" s="188"/>
      <c r="AT339" s="188"/>
      <c r="AU339" s="188"/>
      <c r="AV339" s="188"/>
      <c r="AW339" s="188"/>
      <c r="AX339" s="188"/>
      <c r="AY339" s="188"/>
      <c r="AZ339" s="188"/>
      <c r="BA339" s="188"/>
    </row>
    <row r="340" ht="15.75" hidden="1" customHeight="1" outlineLevel="1">
      <c r="A340" s="187"/>
      <c r="B340" s="38"/>
      <c r="C340" s="188"/>
      <c r="D340" s="188"/>
      <c r="E340" s="188"/>
      <c r="F340" s="188"/>
      <c r="G340" s="188"/>
      <c r="H340" s="188"/>
      <c r="I340" s="188"/>
      <c r="J340" s="188"/>
      <c r="K340" s="188"/>
      <c r="L340" s="188"/>
      <c r="M340" s="188"/>
      <c r="N340" s="188"/>
      <c r="O340" s="188"/>
      <c r="P340" s="188"/>
      <c r="Q340" s="188"/>
      <c r="R340" s="188"/>
      <c r="S340" s="78"/>
      <c r="T340" s="78"/>
      <c r="U340" s="78"/>
      <c r="V340" s="78"/>
      <c r="W340" s="139"/>
      <c r="AD340" s="188">
        <f>IPMT('Assumptions (NG Midstream)'!$B$72,Model!W$1,'Assumptions (NG Midstream)'!$B$75,Model!$AD$258)</f>
        <v>-0.09323685589</v>
      </c>
      <c r="AE340" s="188">
        <f>IPMT('Assumptions (NG Midstream)'!$B$72,Model!X$1,'Assumptions (NG Midstream)'!$B$75,Model!$AD$258)</f>
        <v>-0.08966707436</v>
      </c>
      <c r="AF340" s="188">
        <f>IPMT('Assumptions (NG Midstream)'!$B$72,Model!Y$1,'Assumptions (NG Midstream)'!$B$75,Model!$AD$258)</f>
        <v>-0.08582955921</v>
      </c>
      <c r="AG340" s="188">
        <f>IPMT('Assumptions (NG Midstream)'!$B$72,Model!Z$1,'Assumptions (NG Midstream)'!$B$75,Model!$AD$258)</f>
        <v>-0.08170423043</v>
      </c>
      <c r="AH340" s="188">
        <f>IPMT('Assumptions (NG Midstream)'!$B$72,Model!AA$1,'Assumptions (NG Midstream)'!$B$75,Model!$AD$258)</f>
        <v>-0.077269502</v>
      </c>
      <c r="AI340" s="188">
        <f>IPMT('Assumptions (NG Midstream)'!$B$72,Model!AB$1,'Assumptions (NG Midstream)'!$B$75,Model!$AD$258)</f>
        <v>-0.07250216893</v>
      </c>
      <c r="AJ340" s="188">
        <f>IPMT('Assumptions (NG Midstream)'!$B$72,Model!AC$1,'Assumptions (NG Midstream)'!$B$75,Model!$AD$258)</f>
        <v>-0.06737728587</v>
      </c>
      <c r="AK340" s="188">
        <f>IPMT('Assumptions (NG Midstream)'!$B$72,Model!AD$1,'Assumptions (NG Midstream)'!$B$75,Model!$AD$258)</f>
        <v>-0.06186803659</v>
      </c>
      <c r="AL340" s="188">
        <f>IPMT('Assumptions (NG Midstream)'!$B$72,Model!AE$1,'Assumptions (NG Midstream)'!$B$75,Model!$AD$258)</f>
        <v>-0.05594559362</v>
      </c>
      <c r="AM340" s="188">
        <f>IPMT('Assumptions (NG Midstream)'!$B$72,Model!AF$1,'Assumptions (NG Midstream)'!$B$75,Model!$AD$258)</f>
        <v>-0.04957896742</v>
      </c>
      <c r="AN340" s="188">
        <f>IPMT('Assumptions (NG Midstream)'!$B$72,Model!AG$1,'Assumptions (NG Midstream)'!$B$75,Model!$AD$258)</f>
        <v>-0.04273484426</v>
      </c>
      <c r="AO340" s="188">
        <f>IPMT('Assumptions (NG Midstream)'!$B$72,Model!AH$1,'Assumptions (NG Midstream)'!$B$75,Model!$AD$258)</f>
        <v>-0.03537741186</v>
      </c>
      <c r="AP340" s="188">
        <f>IPMT('Assumptions (NG Midstream)'!$B$72,Model!AI$1,'Assumptions (NG Midstream)'!$B$75,Model!$AD$258)</f>
        <v>-0.02746817202</v>
      </c>
      <c r="AQ340" s="188">
        <f>IPMT('Assumptions (NG Midstream)'!$B$72,Model!AJ$1,'Assumptions (NG Midstream)'!$B$75,Model!$AD$258)</f>
        <v>-0.01896573921</v>
      </c>
      <c r="AR340" s="188">
        <f>IPMT('Assumptions (NG Midstream)'!$B$72,Model!AK$1,'Assumptions (NG Midstream)'!$B$75,Model!$AD$258)</f>
        <v>-0.009825623926</v>
      </c>
      <c r="AS340" s="188"/>
      <c r="AT340" s="188"/>
      <c r="AU340" s="188"/>
      <c r="AV340" s="188"/>
      <c r="AW340" s="188"/>
      <c r="AX340" s="188"/>
      <c r="AY340" s="188"/>
      <c r="AZ340" s="188"/>
      <c r="BA340" s="188"/>
      <c r="BB340" s="188"/>
    </row>
    <row r="341" ht="15.75" hidden="1" customHeight="1" outlineLevel="1">
      <c r="A341" s="187"/>
      <c r="B341" s="38"/>
      <c r="C341" s="188"/>
      <c r="D341" s="188"/>
      <c r="E341" s="188"/>
      <c r="F341" s="188"/>
      <c r="G341" s="188"/>
      <c r="H341" s="188"/>
      <c r="I341" s="188"/>
      <c r="J341" s="188"/>
      <c r="K341" s="188"/>
      <c r="L341" s="188"/>
      <c r="M341" s="188"/>
      <c r="N341" s="188"/>
      <c r="O341" s="188"/>
      <c r="P341" s="188"/>
      <c r="Q341" s="188"/>
      <c r="R341" s="188"/>
      <c r="S341" s="78"/>
      <c r="T341" s="78"/>
      <c r="U341" s="78"/>
      <c r="V341" s="78"/>
      <c r="W341" s="139"/>
      <c r="AE341" s="188">
        <f>IPMT('Assumptions (NG Midstream)'!$B$72,Model!W$1,'Assumptions (NG Midstream)'!$B$75,Model!$AE$258)</f>
        <v>-0.07931172892</v>
      </c>
      <c r="AF341" s="188">
        <f>IPMT('Assumptions (NG Midstream)'!$B$72,Model!X$1,'Assumptions (NG Midstream)'!$B$75,Model!$AE$258)</f>
        <v>-0.07627510202</v>
      </c>
      <c r="AG341" s="188">
        <f>IPMT('Assumptions (NG Midstream)'!$B$72,Model!Y$1,'Assumptions (NG Midstream)'!$B$75,Model!$AE$258)</f>
        <v>-0.0730107281</v>
      </c>
      <c r="AH341" s="188">
        <f>IPMT('Assumptions (NG Midstream)'!$B$72,Model!Z$1,'Assumptions (NG Midstream)'!$B$75,Model!$AE$258)</f>
        <v>-0.06950152613</v>
      </c>
      <c r="AI341" s="188">
        <f>IPMT('Assumptions (NG Midstream)'!$B$72,Model!AA$1,'Assumptions (NG Midstream)'!$B$75,Model!$AE$258)</f>
        <v>-0.06572913402</v>
      </c>
      <c r="AJ341" s="188">
        <f>IPMT('Assumptions (NG Midstream)'!$B$72,Model!AB$1,'Assumptions (NG Midstream)'!$B$75,Model!$AE$258)</f>
        <v>-0.0616738125</v>
      </c>
      <c r="AK341" s="188">
        <f>IPMT('Assumptions (NG Midstream)'!$B$72,Model!AC$1,'Assumptions (NG Midstream)'!$B$75,Model!$AE$258)</f>
        <v>-0.05731434187</v>
      </c>
      <c r="AL341" s="188">
        <f>IPMT('Assumptions (NG Midstream)'!$B$72,Model!AD$1,'Assumptions (NG Midstream)'!$B$75,Model!$AE$258)</f>
        <v>-0.05262791093</v>
      </c>
      <c r="AM341" s="188">
        <f>IPMT('Assumptions (NG Midstream)'!$B$72,Model!AE$1,'Assumptions (NG Midstream)'!$B$75,Model!$AE$258)</f>
        <v>-0.04758999768</v>
      </c>
      <c r="AN341" s="188">
        <f>IPMT('Assumptions (NG Midstream)'!$B$72,Model!AF$1,'Assumptions (NG Midstream)'!$B$75,Model!$AE$258)</f>
        <v>-0.04217424094</v>
      </c>
      <c r="AO341" s="188">
        <f>IPMT('Assumptions (NG Midstream)'!$B$72,Model!AG$1,'Assumptions (NG Midstream)'!$B$75,Model!$AE$258)</f>
        <v>-0.03635230243</v>
      </c>
      <c r="AP341" s="188">
        <f>IPMT('Assumptions (NG Midstream)'!$B$72,Model!AH$1,'Assumptions (NG Midstream)'!$B$75,Model!$AE$258)</f>
        <v>-0.03009371854</v>
      </c>
      <c r="AQ341" s="188">
        <f>IPMT('Assumptions (NG Midstream)'!$B$72,Model!AI$1,'Assumptions (NG Midstream)'!$B$75,Model!$AE$258)</f>
        <v>-0.02336574086</v>
      </c>
      <c r="AR341" s="188">
        <f>IPMT('Assumptions (NG Midstream)'!$B$72,Model!AJ$1,'Assumptions (NG Midstream)'!$B$75,Model!$AE$258)</f>
        <v>-0.01613316486</v>
      </c>
      <c r="AS341" s="188">
        <f>IPMT('Assumptions (NG Midstream)'!$B$72,Model!AK$1,'Assumptions (NG Midstream)'!$B$75,Model!$AE$258)</f>
        <v>-0.008358145648</v>
      </c>
      <c r="AT341" s="188"/>
      <c r="AU341" s="188"/>
      <c r="AV341" s="188"/>
      <c r="AW341" s="188"/>
      <c r="AX341" s="188"/>
      <c r="AY341" s="188"/>
      <c r="AZ341" s="188"/>
      <c r="BA341" s="188"/>
      <c r="BB341" s="188"/>
      <c r="BC341" s="188"/>
    </row>
    <row r="342" ht="15.75" hidden="1" customHeight="1" outlineLevel="1">
      <c r="A342" s="187"/>
      <c r="B342" s="38"/>
      <c r="C342" s="188"/>
      <c r="D342" s="188"/>
      <c r="E342" s="188"/>
      <c r="F342" s="188"/>
      <c r="G342" s="188"/>
      <c r="H342" s="188"/>
      <c r="I342" s="188"/>
      <c r="J342" s="188"/>
      <c r="K342" s="188"/>
      <c r="L342" s="188"/>
      <c r="M342" s="188"/>
      <c r="N342" s="188"/>
      <c r="O342" s="188"/>
      <c r="P342" s="188"/>
      <c r="Q342" s="188"/>
      <c r="R342" s="188"/>
      <c r="S342" s="78"/>
      <c r="T342" s="78"/>
      <c r="U342" s="78"/>
      <c r="V342" s="78"/>
      <c r="W342" s="139"/>
      <c r="AF342" s="188">
        <f>IPMT('Assumptions (NG Midstream)'!$B$72,Model!W$1,'Assumptions (NG Midstream)'!$B$75,Model!$AF$258)</f>
        <v>-0.07058620336</v>
      </c>
      <c r="AG342" s="188">
        <f>IPMT('Assumptions (NG Midstream)'!$B$72,Model!X$1,'Assumptions (NG Midstream)'!$B$75,Model!$AF$258)</f>
        <v>-0.06788365271</v>
      </c>
      <c r="AH342" s="188">
        <f>IPMT('Assumptions (NG Midstream)'!$B$72,Model!Y$1,'Assumptions (NG Midstream)'!$B$75,Model!$AF$258)</f>
        <v>-0.06497841077</v>
      </c>
      <c r="AI342" s="188">
        <f>IPMT('Assumptions (NG Midstream)'!$B$72,Model!Z$1,'Assumptions (NG Midstream)'!$B$75,Model!$AF$258)</f>
        <v>-0.06185527568</v>
      </c>
      <c r="AJ342" s="188">
        <f>IPMT('Assumptions (NG Midstream)'!$B$72,Model!AA$1,'Assumptions (NG Midstream)'!$B$75,Model!$AF$258)</f>
        <v>-0.05849790546</v>
      </c>
      <c r="AK342" s="188">
        <f>IPMT('Assumptions (NG Midstream)'!$B$72,Model!AB$1,'Assumptions (NG Midstream)'!$B$75,Model!$AF$258)</f>
        <v>-0.05488873248</v>
      </c>
      <c r="AL342" s="188">
        <f>IPMT('Assumptions (NG Midstream)'!$B$72,Model!AC$1,'Assumptions (NG Midstream)'!$B$75,Model!$AF$258)</f>
        <v>-0.05100887152</v>
      </c>
      <c r="AM342" s="188">
        <f>IPMT('Assumptions (NG Midstream)'!$B$72,Model!AD$1,'Assumptions (NG Midstream)'!$B$75,Model!$AF$258)</f>
        <v>-0.04683802098</v>
      </c>
      <c r="AN342" s="188">
        <f>IPMT('Assumptions (NG Midstream)'!$B$72,Model!AE$1,'Assumptions (NG Midstream)'!$B$75,Model!$AF$258)</f>
        <v>-0.04235435666</v>
      </c>
      <c r="AO342" s="188">
        <f>IPMT('Assumptions (NG Midstream)'!$B$72,Model!AF$1,'Assumptions (NG Midstream)'!$B$75,Model!$AF$258)</f>
        <v>-0.03753441752</v>
      </c>
      <c r="AP342" s="188">
        <f>IPMT('Assumptions (NG Midstream)'!$B$72,Model!AG$1,'Assumptions (NG Midstream)'!$B$75,Model!$AF$258)</f>
        <v>-0.03235298293</v>
      </c>
      <c r="AQ342" s="188">
        <f>IPMT('Assumptions (NG Midstream)'!$B$72,Model!AH$1,'Assumptions (NG Midstream)'!$B$75,Model!$AF$258)</f>
        <v>-0.02678294076</v>
      </c>
      <c r="AR342" s="188">
        <f>IPMT('Assumptions (NG Midstream)'!$B$72,Model!AI$1,'Assumptions (NG Midstream)'!$B$75,Model!$AF$258)</f>
        <v>-0.02079514542</v>
      </c>
      <c r="AS342" s="188">
        <f>IPMT('Assumptions (NG Midstream)'!$B$72,Model!AJ$1,'Assumptions (NG Midstream)'!$B$75,Model!$AF$258)</f>
        <v>-0.01435826543</v>
      </c>
      <c r="AT342" s="188">
        <f>IPMT('Assumptions (NG Midstream)'!$B$72,Model!AK$1,'Assumptions (NG Midstream)'!$B$75,Model!$AF$258)</f>
        <v>-0.007438619438</v>
      </c>
      <c r="AU342" s="188"/>
      <c r="AV342" s="188"/>
      <c r="AW342" s="188"/>
      <c r="AX342" s="188"/>
      <c r="AY342" s="188"/>
      <c r="AZ342" s="188"/>
      <c r="BA342" s="188"/>
      <c r="BB342" s="188"/>
      <c r="BC342" s="188"/>
      <c r="BD342" s="188"/>
    </row>
    <row r="343" ht="15.75" hidden="1" customHeight="1" outlineLevel="1">
      <c r="A343" s="187"/>
      <c r="B343" s="38"/>
      <c r="C343" s="188"/>
      <c r="D343" s="188"/>
      <c r="E343" s="188"/>
      <c r="F343" s="188"/>
      <c r="G343" s="188"/>
      <c r="H343" s="188"/>
      <c r="I343" s="188"/>
      <c r="J343" s="188"/>
      <c r="K343" s="188"/>
      <c r="L343" s="188"/>
      <c r="M343" s="188"/>
      <c r="N343" s="188"/>
      <c r="O343" s="188"/>
      <c r="P343" s="188"/>
      <c r="Q343" s="188"/>
      <c r="R343" s="188"/>
      <c r="S343" s="78"/>
      <c r="T343" s="78"/>
      <c r="U343" s="78"/>
      <c r="V343" s="78"/>
      <c r="W343" s="139"/>
      <c r="AG343" s="188">
        <f>IPMT('Assumptions (NG Midstream)'!$B$72,Model!W$1,'Assumptions (NG Midstream)'!$B$75,Model!$AG$258)</f>
        <v>-0.0824895841</v>
      </c>
      <c r="AH343" s="188">
        <f>IPMT('Assumptions (NG Midstream)'!$B$72,Model!X$1,'Assumptions (NG Midstream)'!$B$75,Model!$AG$258)</f>
        <v>-0.07933128591</v>
      </c>
      <c r="AI343" s="188">
        <f>IPMT('Assumptions (NG Midstream)'!$B$72,Model!Y$1,'Assumptions (NG Midstream)'!$B$75,Model!$AG$258)</f>
        <v>-0.07593611535</v>
      </c>
      <c r="AJ343" s="188">
        <f>IPMT('Assumptions (NG Midstream)'!$B$72,Model!Z$1,'Assumptions (NG Midstream)'!$B$75,Model!$AG$258)</f>
        <v>-0.07228630699</v>
      </c>
      <c r="AK343" s="188">
        <f>IPMT('Assumptions (NG Midstream)'!$B$72,Model!AA$1,'Assumptions (NG Midstream)'!$B$75,Model!$AG$258)</f>
        <v>-0.06836276302</v>
      </c>
      <c r="AL343" s="188">
        <f>IPMT('Assumptions (NG Midstream)'!$B$72,Model!AB$1,'Assumptions (NG Midstream)'!$B$75,Model!$AG$258)</f>
        <v>-0.06414495324</v>
      </c>
      <c r="AM343" s="188">
        <f>IPMT('Assumptions (NG Midstream)'!$B$72,Model!AC$1,'Assumptions (NG Midstream)'!$B$75,Model!$AG$258)</f>
        <v>-0.05961080773</v>
      </c>
      <c r="AN343" s="188">
        <f>IPMT('Assumptions (NG Midstream)'!$B$72,Model!AD$1,'Assumptions (NG Midstream)'!$B$75,Model!$AG$258)</f>
        <v>-0.05473660131</v>
      </c>
      <c r="AO343" s="188">
        <f>IPMT('Assumptions (NG Midstream)'!$B$72,Model!AE$1,'Assumptions (NG Midstream)'!$B$75,Model!$AG$258)</f>
        <v>-0.0494968294</v>
      </c>
      <c r="AP343" s="188">
        <f>IPMT('Assumptions (NG Midstream)'!$B$72,Model!AF$1,'Assumptions (NG Midstream)'!$B$75,Model!$AG$258)</f>
        <v>-0.04386407461</v>
      </c>
      <c r="AQ343" s="188">
        <f>IPMT('Assumptions (NG Midstream)'!$B$72,Model!AG$1,'Assumptions (NG Midstream)'!$B$75,Model!$AG$258)</f>
        <v>-0.0378088632</v>
      </c>
      <c r="AR343" s="188">
        <f>IPMT('Assumptions (NG Midstream)'!$B$72,Model!AH$1,'Assumptions (NG Midstream)'!$B$75,Model!$AG$258)</f>
        <v>-0.03129951094</v>
      </c>
      <c r="AS343" s="188">
        <f>IPMT('Assumptions (NG Midstream)'!$B$72,Model!AI$1,'Assumptions (NG Midstream)'!$B$75,Model!$AG$258)</f>
        <v>-0.02430195725</v>
      </c>
      <c r="AT343" s="188">
        <f>IPMT('Assumptions (NG Midstream)'!$B$72,Model!AJ$1,'Assumptions (NG Midstream)'!$B$75,Model!$AG$258)</f>
        <v>-0.01677958705</v>
      </c>
      <c r="AU343" s="188">
        <f>IPMT('Assumptions (NG Midstream)'!$B$72,Model!AK$1,'Assumptions (NG Midstream)'!$B$75,Model!$AG$258)</f>
        <v>-0.008693039072</v>
      </c>
      <c r="AV343" s="188"/>
      <c r="AW343" s="188"/>
      <c r="AX343" s="188"/>
      <c r="AY343" s="188"/>
      <c r="AZ343" s="188"/>
      <c r="BA343" s="188"/>
      <c r="BB343" s="188"/>
      <c r="BC343" s="188"/>
      <c r="BD343" s="188"/>
      <c r="BE343" s="188"/>
    </row>
    <row r="344" ht="15.75" hidden="1" customHeight="1" outlineLevel="1">
      <c r="A344" s="187"/>
      <c r="B344" s="38"/>
      <c r="C344" s="188"/>
      <c r="D344" s="188"/>
      <c r="E344" s="188"/>
      <c r="F344" s="188"/>
      <c r="G344" s="188"/>
      <c r="H344" s="188"/>
      <c r="I344" s="188"/>
      <c r="J344" s="188"/>
      <c r="K344" s="188"/>
      <c r="L344" s="188"/>
      <c r="M344" s="188"/>
      <c r="N344" s="188"/>
      <c r="O344" s="188"/>
      <c r="P344" s="188"/>
      <c r="Q344" s="188"/>
      <c r="R344" s="188"/>
      <c r="S344" s="78"/>
      <c r="T344" s="78"/>
      <c r="U344" s="78"/>
      <c r="V344" s="78"/>
      <c r="W344" s="139"/>
      <c r="AH344" s="188">
        <f>IPMT('Assumptions (NG Midstream)'!$B$72,Model!W$1,'Assumptions (NG Midstream)'!$B$75,Model!$AH$258)</f>
        <v>-0.08680800856</v>
      </c>
      <c r="AI344" s="188">
        <f>IPMT('Assumptions (NG Midstream)'!$B$72,Model!X$1,'Assumptions (NG Midstream)'!$B$75,Model!$AH$258)</f>
        <v>-0.08348436983</v>
      </c>
      <c r="AJ344" s="188">
        <f>IPMT('Assumptions (NG Midstream)'!$B$72,Model!Y$1,'Assumptions (NG Midstream)'!$B$75,Model!$AH$258)</f>
        <v>-0.07991145819</v>
      </c>
      <c r="AK344" s="188">
        <f>IPMT('Assumptions (NG Midstream)'!$B$72,Model!Z$1,'Assumptions (NG Midstream)'!$B$75,Model!$AH$258)</f>
        <v>-0.07607057818</v>
      </c>
      <c r="AL344" s="188">
        <f>IPMT('Assumptions (NG Midstream)'!$B$72,Model!AA$1,'Assumptions (NG Midstream)'!$B$75,Model!$AH$258)</f>
        <v>-0.07194163217</v>
      </c>
      <c r="AM344" s="188">
        <f>IPMT('Assumptions (NG Midstream)'!$B$72,Model!AB$1,'Assumptions (NG Midstream)'!$B$75,Model!$AH$258)</f>
        <v>-0.06750301521</v>
      </c>
      <c r="AN344" s="188">
        <f>IPMT('Assumptions (NG Midstream)'!$B$72,Model!AC$1,'Assumptions (NG Midstream)'!$B$75,Model!$AH$258)</f>
        <v>-0.06273150197</v>
      </c>
      <c r="AO344" s="188">
        <f>IPMT('Assumptions (NG Midstream)'!$B$72,Model!AD$1,'Assumptions (NG Midstream)'!$B$75,Model!$AH$258)</f>
        <v>-0.05760212525</v>
      </c>
      <c r="AP344" s="188">
        <f>IPMT('Assumptions (NG Midstream)'!$B$72,Model!AE$1,'Assumptions (NG Midstream)'!$B$75,Model!$AH$258)</f>
        <v>-0.05208804527</v>
      </c>
      <c r="AQ344" s="188">
        <f>IPMT('Assumptions (NG Midstream)'!$B$72,Model!AF$1,'Assumptions (NG Midstream)'!$B$75,Model!$AH$258)</f>
        <v>-0.04616040929</v>
      </c>
      <c r="AR344" s="188">
        <f>IPMT('Assumptions (NG Midstream)'!$B$72,Model!AG$1,'Assumptions (NG Midstream)'!$B$75,Model!$AH$258)</f>
        <v>-0.03978820061</v>
      </c>
      <c r="AS344" s="188">
        <f>IPMT('Assumptions (NG Midstream)'!$B$72,Model!AH$1,'Assumptions (NG Midstream)'!$B$75,Model!$AH$258)</f>
        <v>-0.03293807628</v>
      </c>
      <c r="AT344" s="188">
        <f>IPMT('Assumptions (NG Midstream)'!$B$72,Model!AI$1,'Assumptions (NG Midstream)'!$B$75,Model!$AH$258)</f>
        <v>-0.02557419263</v>
      </c>
      <c r="AU344" s="188">
        <f>IPMT('Assumptions (NG Midstream)'!$B$72,Model!AJ$1,'Assumptions (NG Midstream)'!$B$75,Model!$AH$258)</f>
        <v>-0.0176580177</v>
      </c>
      <c r="AV344" s="188">
        <f>IPMT('Assumptions (NG Midstream)'!$B$72,Model!AK$1,'Assumptions (NG Midstream)'!$B$75,Model!$AH$258)</f>
        <v>-0.009148129651</v>
      </c>
      <c r="AW344" s="188"/>
      <c r="AX344" s="188"/>
      <c r="AY344" s="188"/>
      <c r="AZ344" s="188"/>
      <c r="BA344" s="188"/>
      <c r="BB344" s="188"/>
      <c r="BC344" s="188"/>
      <c r="BD344" s="188"/>
      <c r="BE344" s="188"/>
      <c r="BF344" s="188"/>
    </row>
    <row r="345" ht="15.75" hidden="1" customHeight="1" outlineLevel="1">
      <c r="A345" s="187"/>
      <c r="B345" s="38"/>
      <c r="C345" s="188"/>
      <c r="D345" s="188"/>
      <c r="E345" s="188"/>
      <c r="F345" s="188"/>
      <c r="G345" s="188"/>
      <c r="H345" s="188"/>
      <c r="I345" s="188"/>
      <c r="J345" s="188"/>
      <c r="K345" s="188"/>
      <c r="L345" s="188"/>
      <c r="M345" s="188"/>
      <c r="N345" s="188"/>
      <c r="O345" s="188"/>
      <c r="P345" s="188"/>
      <c r="Q345" s="188"/>
      <c r="R345" s="188"/>
      <c r="S345" s="78"/>
      <c r="T345" s="78"/>
      <c r="U345" s="78"/>
      <c r="V345" s="78"/>
      <c r="W345" s="139"/>
      <c r="AI345" s="188">
        <f>IPMT('Assumptions (NG Midstream)'!$B$72,Model!W$1,'Assumptions (NG Midstream)'!$B$75,Model!$AI$258)</f>
        <v>-0.07195223597</v>
      </c>
      <c r="AJ345" s="188">
        <f>IPMT('Assumptions (NG Midstream)'!$B$72,Model!X$1,'Assumptions (NG Midstream)'!$B$75,Model!$AI$258)</f>
        <v>-0.06919738372</v>
      </c>
      <c r="AK345" s="188">
        <f>IPMT('Assumptions (NG Midstream)'!$B$72,Model!Y$1,'Assumptions (NG Midstream)'!$B$75,Model!$AI$258)</f>
        <v>-0.06623591754</v>
      </c>
      <c r="AL345" s="188">
        <f>IPMT('Assumptions (NG Midstream)'!$B$72,Model!Z$1,'Assumptions (NG Midstream)'!$B$75,Model!$AI$258)</f>
        <v>-0.0630523414</v>
      </c>
      <c r="AM345" s="188">
        <f>IPMT('Assumptions (NG Midstream)'!$B$72,Model!AA$1,'Assumptions (NG Midstream)'!$B$75,Model!$AI$258)</f>
        <v>-0.05962999705</v>
      </c>
      <c r="AN345" s="188">
        <f>IPMT('Assumptions (NG Midstream)'!$B$72,Model!AB$1,'Assumptions (NG Midstream)'!$B$75,Model!$AI$258)</f>
        <v>-0.05595097687</v>
      </c>
      <c r="AO345" s="188">
        <f>IPMT('Assumptions (NG Midstream)'!$B$72,Model!AC$1,'Assumptions (NG Midstream)'!$B$75,Model!$AI$258)</f>
        <v>-0.05199603018</v>
      </c>
      <c r="AP345" s="188">
        <f>IPMT('Assumptions (NG Midstream)'!$B$72,Model!AD$1,'Assumptions (NG Midstream)'!$B$75,Model!$AI$258)</f>
        <v>-0.04774446249</v>
      </c>
      <c r="AQ345" s="188">
        <f>IPMT('Assumptions (NG Midstream)'!$B$72,Model!AE$1,'Assumptions (NG Midstream)'!$B$75,Model!$AI$258)</f>
        <v>-0.04317402722</v>
      </c>
      <c r="AR345" s="188">
        <f>IPMT('Assumptions (NG Midstream)'!$B$72,Model!AF$1,'Assumptions (NG Midstream)'!$B$75,Model!$AI$258)</f>
        <v>-0.0382608093</v>
      </c>
      <c r="AS345" s="188">
        <f>IPMT('Assumptions (NG Midstream)'!$B$72,Model!AG$1,'Assumptions (NG Midstream)'!$B$75,Model!$AI$258)</f>
        <v>-0.03297910005</v>
      </c>
      <c r="AT345" s="188">
        <f>IPMT('Assumptions (NG Midstream)'!$B$72,Model!AH$1,'Assumptions (NG Midstream)'!$B$75,Model!$AI$258)</f>
        <v>-0.02730126259</v>
      </c>
      <c r="AU345" s="188">
        <f>IPMT('Assumptions (NG Midstream)'!$B$72,Model!AI$1,'Assumptions (NG Midstream)'!$B$75,Model!$AI$258)</f>
        <v>-0.02119758733</v>
      </c>
      <c r="AV345" s="188">
        <f>IPMT('Assumptions (NG Midstream)'!$B$72,Model!AJ$1,'Assumptions (NG Midstream)'!$B$75,Model!$AI$258)</f>
        <v>-0.01463613643</v>
      </c>
      <c r="AW345" s="188">
        <f>IPMT('Assumptions (NG Midstream)'!$B$72,Model!AK$1,'Assumptions (NG Midstream)'!$B$75,Model!$AI$258)</f>
        <v>-0.007582576703</v>
      </c>
      <c r="AX345" s="188"/>
      <c r="AY345" s="188"/>
      <c r="AZ345" s="188"/>
      <c r="BA345" s="188"/>
      <c r="BB345" s="188"/>
      <c r="BC345" s="188"/>
      <c r="BD345" s="188"/>
      <c r="BE345" s="188"/>
      <c r="BF345" s="188"/>
      <c r="BG345" s="188"/>
    </row>
    <row r="346" ht="15.75" hidden="1" customHeight="1" outlineLevel="1">
      <c r="A346" s="187"/>
      <c r="B346" s="38"/>
      <c r="C346" s="188"/>
      <c r="D346" s="188"/>
      <c r="E346" s="188"/>
      <c r="F346" s="188"/>
      <c r="G346" s="188"/>
      <c r="H346" s="188"/>
      <c r="I346" s="188"/>
      <c r="J346" s="188"/>
      <c r="K346" s="188"/>
      <c r="L346" s="188"/>
      <c r="M346" s="188"/>
      <c r="N346" s="188"/>
      <c r="O346" s="188"/>
      <c r="P346" s="188"/>
      <c r="Q346" s="188"/>
      <c r="R346" s="188"/>
      <c r="S346" s="78"/>
      <c r="T346" s="78"/>
      <c r="U346" s="78"/>
      <c r="V346" s="78"/>
      <c r="W346" s="139"/>
      <c r="AJ346" s="188">
        <f>IPMT('Assumptions (NG Midstream)'!$B$72,Model!W$1,'Assumptions (NG Midstream)'!$B$75,Model!$AJ$258)</f>
        <v>-0.08270694103</v>
      </c>
      <c r="AK346" s="188">
        <f>IPMT('Assumptions (NG Midstream)'!$B$72,Model!X$1,'Assumptions (NG Midstream)'!$B$75,Model!$AJ$258)</f>
        <v>-0.07954032084</v>
      </c>
      <c r="AL346" s="188">
        <f>IPMT('Assumptions (NG Midstream)'!$B$72,Model!Y$1,'Assumptions (NG Midstream)'!$B$75,Model!$AJ$258)</f>
        <v>-0.07613620414</v>
      </c>
      <c r="AM346" s="188">
        <f>IPMT('Assumptions (NG Midstream)'!$B$72,Model!Z$1,'Assumptions (NG Midstream)'!$B$75,Model!$AJ$258)</f>
        <v>-0.07247677868</v>
      </c>
      <c r="AN346" s="188">
        <f>IPMT('Assumptions (NG Midstream)'!$B$72,Model!AA$1,'Assumptions (NG Midstream)'!$B$75,Model!$AJ$258)</f>
        <v>-0.06854289631</v>
      </c>
      <c r="AO346" s="188">
        <f>IPMT('Assumptions (NG Midstream)'!$B$72,Model!AB$1,'Assumptions (NG Midstream)'!$B$75,Model!$AJ$258)</f>
        <v>-0.06431397276</v>
      </c>
      <c r="AP346" s="188">
        <f>IPMT('Assumptions (NG Midstream)'!$B$72,Model!AC$1,'Assumptions (NG Midstream)'!$B$75,Model!$AJ$258)</f>
        <v>-0.05976787995</v>
      </c>
      <c r="AQ346" s="188">
        <f>IPMT('Assumptions (NG Midstream)'!$B$72,Model!AD$1,'Assumptions (NG Midstream)'!$B$75,Model!$AJ$258)</f>
        <v>-0.05488083018</v>
      </c>
      <c r="AR346" s="188">
        <f>IPMT('Assumptions (NG Midstream)'!$B$72,Model!AE$1,'Assumptions (NG Midstream)'!$B$75,Model!$AJ$258)</f>
        <v>-0.04962725168</v>
      </c>
      <c r="AS346" s="188">
        <f>IPMT('Assumptions (NG Midstream)'!$B$72,Model!AF$1,'Assumptions (NG Midstream)'!$B$75,Model!$AJ$258)</f>
        <v>-0.04397965478</v>
      </c>
      <c r="AT346" s="188">
        <f>IPMT('Assumptions (NG Midstream)'!$B$72,Model!AG$1,'Assumptions (NG Midstream)'!$B$75,Model!$AJ$258)</f>
        <v>-0.03790848812</v>
      </c>
      <c r="AU346" s="188">
        <f>IPMT('Assumptions (NG Midstream)'!$B$72,Model!AH$1,'Assumptions (NG Midstream)'!$B$75,Model!$AJ$258)</f>
        <v>-0.03138198396</v>
      </c>
      <c r="AV346" s="188">
        <f>IPMT('Assumptions (NG Midstream)'!$B$72,Model!AI$1,'Assumptions (NG Midstream)'!$B$75,Model!$AJ$258)</f>
        <v>-0.02436599199</v>
      </c>
      <c r="AW346" s="188">
        <f>IPMT('Assumptions (NG Midstream)'!$B$72,Model!AJ$1,'Assumptions (NG Midstream)'!$B$75,Model!$AJ$258)</f>
        <v>-0.01682380062</v>
      </c>
      <c r="AX346" s="188">
        <f>IPMT('Assumptions (NG Midstream)'!$B$72,Model!AK$1,'Assumptions (NG Midstream)'!$B$75,Model!$AJ$258)</f>
        <v>-0.008715944901</v>
      </c>
      <c r="AY346" s="188"/>
      <c r="AZ346" s="188"/>
      <c r="BA346" s="188"/>
      <c r="BB346" s="188"/>
      <c r="BC346" s="188"/>
      <c r="BD346" s="188"/>
      <c r="BE346" s="188"/>
      <c r="BF346" s="188"/>
      <c r="BG346" s="188"/>
      <c r="BH346" s="188"/>
    </row>
    <row r="347" ht="15.75" hidden="1" customHeight="1" outlineLevel="1">
      <c r="A347" s="187"/>
      <c r="B347" s="38"/>
      <c r="C347" s="188"/>
      <c r="D347" s="188"/>
      <c r="E347" s="188"/>
      <c r="F347" s="188"/>
      <c r="G347" s="188"/>
      <c r="H347" s="188"/>
      <c r="I347" s="188"/>
      <c r="J347" s="188"/>
      <c r="K347" s="188"/>
      <c r="L347" s="188"/>
      <c r="M347" s="188"/>
      <c r="N347" s="188"/>
      <c r="O347" s="188"/>
      <c r="P347" s="188"/>
      <c r="Q347" s="188"/>
      <c r="R347" s="188"/>
      <c r="S347" s="78"/>
      <c r="T347" s="78"/>
      <c r="U347" s="78"/>
      <c r="V347" s="78"/>
      <c r="W347" s="139"/>
      <c r="AK347" s="188">
        <f>IPMT('Assumptions (NG Midstream)'!$B$72,Model!W$1,'Assumptions (NG Midstream)'!$B$75,Model!$AK$258)</f>
        <v>-0.07657506198</v>
      </c>
      <c r="AL347" s="188">
        <f>IPMT('Assumptions (NG Midstream)'!$B$72,Model!X$1,'Assumptions (NG Midstream)'!$B$75,Model!$AK$258)</f>
        <v>-0.07364321449</v>
      </c>
      <c r="AM347" s="188">
        <f>IPMT('Assumptions (NG Midstream)'!$B$72,Model!Y$1,'Assumptions (NG Midstream)'!$B$75,Model!$AK$258)</f>
        <v>-0.07049147844</v>
      </c>
      <c r="AN347" s="188">
        <f>IPMT('Assumptions (NG Midstream)'!$B$72,Model!Z$1,'Assumptions (NG Midstream)'!$B$75,Model!$AK$258)</f>
        <v>-0.06710336219</v>
      </c>
      <c r="AO347" s="188">
        <f>IPMT('Assumptions (NG Midstream)'!$B$72,Model!AA$1,'Assumptions (NG Midstream)'!$B$75,Model!$AK$258)</f>
        <v>-0.06346113721</v>
      </c>
      <c r="AP347" s="188">
        <f>IPMT('Assumptions (NG Midstream)'!$B$72,Model!AB$1,'Assumptions (NG Midstream)'!$B$75,Model!$AK$258)</f>
        <v>-0.05954574537</v>
      </c>
      <c r="AQ347" s="188">
        <f>IPMT('Assumptions (NG Midstream)'!$B$72,Model!AC$1,'Assumptions (NG Midstream)'!$B$75,Model!$AK$258)</f>
        <v>-0.05533669913</v>
      </c>
      <c r="AR347" s="188">
        <f>IPMT('Assumptions (NG Midstream)'!$B$72,Model!AD$1,'Assumptions (NG Midstream)'!$B$75,Model!$AK$258)</f>
        <v>-0.05081197443</v>
      </c>
      <c r="AS347" s="188">
        <f>IPMT('Assumptions (NG Midstream)'!$B$72,Model!AE$1,'Assumptions (NG Midstream)'!$B$75,Model!$AK$258)</f>
        <v>-0.04594789537</v>
      </c>
      <c r="AT347" s="188">
        <f>IPMT('Assumptions (NG Midstream)'!$B$72,Model!AF$1,'Assumptions (NG Midstream)'!$B$75,Model!$AK$258)</f>
        <v>-0.04071901039</v>
      </c>
      <c r="AU347" s="188">
        <f>IPMT('Assumptions (NG Midstream)'!$B$72,Model!AG$1,'Assumptions (NG Midstream)'!$B$75,Model!$AK$258)</f>
        <v>-0.03509795903</v>
      </c>
      <c r="AV347" s="188">
        <f>IPMT('Assumptions (NG Midstream)'!$B$72,Model!AH$1,'Assumptions (NG Midstream)'!$B$75,Model!$AK$258)</f>
        <v>-0.02905532882</v>
      </c>
      <c r="AW347" s="188">
        <f>IPMT('Assumptions (NG Midstream)'!$B$72,Model!AI$1,'Assumptions (NG Midstream)'!$B$75,Model!$AK$258)</f>
        <v>-0.02255950134</v>
      </c>
      <c r="AX347" s="188">
        <f>IPMT('Assumptions (NG Midstream)'!$B$72,Model!AJ$1,'Assumptions (NG Midstream)'!$B$75,Model!$AK$258)</f>
        <v>-0.0155764868</v>
      </c>
      <c r="AY347" s="188">
        <f>IPMT('Assumptions (NG Midstream)'!$B$72,Model!AK$1,'Assumptions (NG Midstream)'!$B$75,Model!$AK$258)</f>
        <v>-0.008069746175</v>
      </c>
      <c r="AZ347" s="188"/>
      <c r="BA347" s="188"/>
      <c r="BB347" s="188"/>
      <c r="BC347" s="188"/>
      <c r="BD347" s="188"/>
      <c r="BE347" s="188"/>
      <c r="BF347" s="188"/>
      <c r="BG347" s="188"/>
      <c r="BH347" s="188"/>
      <c r="BI347" s="188"/>
    </row>
    <row r="348" ht="15.75" hidden="1" customHeight="1" outlineLevel="1">
      <c r="A348" s="187"/>
      <c r="B348" s="38"/>
      <c r="C348" s="188"/>
      <c r="D348" s="188"/>
      <c r="E348" s="188"/>
      <c r="F348" s="188"/>
      <c r="G348" s="188"/>
      <c r="H348" s="188"/>
      <c r="I348" s="188"/>
      <c r="J348" s="188"/>
      <c r="K348" s="188"/>
      <c r="L348" s="188"/>
      <c r="M348" s="188"/>
      <c r="N348" s="188"/>
      <c r="O348" s="188"/>
      <c r="P348" s="188"/>
      <c r="Q348" s="188"/>
      <c r="R348" s="188"/>
      <c r="S348" s="78"/>
      <c r="T348" s="78"/>
      <c r="U348" s="78"/>
      <c r="V348" s="78"/>
      <c r="W348" s="139"/>
      <c r="AL348" s="188">
        <f>IPMT('Assumptions (NG Midstream)'!$B$72,Model!W$1,'Assumptions (NG Midstream)'!$B$75,Model!$AL$258)</f>
        <v>-0.07766032586</v>
      </c>
      <c r="AM348" s="188">
        <f>IPMT('Assumptions (NG Midstream)'!$B$72,Model!X$1,'Assumptions (NG Midstream)'!$B$75,Model!$AL$258)</f>
        <v>-0.07468692661</v>
      </c>
      <c r="AN348" s="188">
        <f>IPMT('Assumptions (NG Midstream)'!$B$72,Model!Y$1,'Assumptions (NG Midstream)'!$B$75,Model!$AL$258)</f>
        <v>-0.07149052243</v>
      </c>
      <c r="AO348" s="188">
        <f>IPMT('Assumptions (NG Midstream)'!$B$72,Model!Z$1,'Assumptions (NG Midstream)'!$B$75,Model!$AL$258)</f>
        <v>-0.06805438792</v>
      </c>
      <c r="AP348" s="188">
        <f>IPMT('Assumptions (NG Midstream)'!$B$72,Model!AA$1,'Assumptions (NG Midstream)'!$B$75,Model!$AL$258)</f>
        <v>-0.06436054334</v>
      </c>
      <c r="AQ348" s="188">
        <f>IPMT('Assumptions (NG Midstream)'!$B$72,Model!AB$1,'Assumptions (NG Midstream)'!$B$75,Model!$AL$258)</f>
        <v>-0.0603896604</v>
      </c>
      <c r="AR348" s="188">
        <f>IPMT('Assumptions (NG Midstream)'!$B$72,Model!AC$1,'Assumptions (NG Midstream)'!$B$75,Model!$AL$258)</f>
        <v>-0.05612096125</v>
      </c>
      <c r="AS348" s="188">
        <f>IPMT('Assumptions (NG Midstream)'!$B$72,Model!AD$1,'Assumptions (NG Midstream)'!$B$75,Model!$AL$258)</f>
        <v>-0.05153210966</v>
      </c>
      <c r="AT348" s="188">
        <f>IPMT('Assumptions (NG Midstream)'!$B$72,Model!AE$1,'Assumptions (NG Midstream)'!$B$75,Model!$AL$258)</f>
        <v>-0.0465990942</v>
      </c>
      <c r="AU348" s="188">
        <f>IPMT('Assumptions (NG Midstream)'!$B$72,Model!AF$1,'Assumptions (NG Midstream)'!$B$75,Model!$AL$258)</f>
        <v>-0.04129610259</v>
      </c>
      <c r="AV348" s="188">
        <f>IPMT('Assumptions (NG Midstream)'!$B$72,Model!AG$1,'Assumptions (NG Midstream)'!$B$75,Model!$AL$258)</f>
        <v>-0.0355953866</v>
      </c>
      <c r="AW348" s="188">
        <f>IPMT('Assumptions (NG Midstream)'!$B$72,Model!AH$1,'Assumptions (NG Midstream)'!$B$75,Model!$AL$258)</f>
        <v>-0.02946711691</v>
      </c>
      <c r="AX348" s="188">
        <f>IPMT('Assumptions (NG Midstream)'!$B$72,Model!AI$1,'Assumptions (NG Midstream)'!$B$75,Model!$AL$258)</f>
        <v>-0.02287922699</v>
      </c>
      <c r="AY348" s="188">
        <f>IPMT('Assumptions (NG Midstream)'!$B$72,Model!AJ$1,'Assumptions (NG Midstream)'!$B$75,Model!$AL$258)</f>
        <v>-0.01579724534</v>
      </c>
      <c r="AZ348" s="188">
        <f>IPMT('Assumptions (NG Midstream)'!$B$72,Model!AK$1,'Assumptions (NG Midstream)'!$B$75,Model!$AL$258)</f>
        <v>-0.008184115054</v>
      </c>
      <c r="BA348" s="188"/>
      <c r="BB348" s="188"/>
      <c r="BC348" s="188"/>
      <c r="BD348" s="188"/>
      <c r="BE348" s="188"/>
      <c r="BF348" s="188"/>
      <c r="BG348" s="188"/>
      <c r="BH348" s="188"/>
      <c r="BI348" s="188"/>
      <c r="BJ348" s="188"/>
    </row>
    <row r="349" ht="15.75" hidden="1" customHeight="1" outlineLevel="1">
      <c r="A349" s="187"/>
      <c r="B349" s="38"/>
      <c r="C349" s="188"/>
      <c r="D349" s="188"/>
      <c r="E349" s="188"/>
      <c r="F349" s="188"/>
      <c r="G349" s="188"/>
      <c r="H349" s="188"/>
      <c r="I349" s="188"/>
      <c r="J349" s="188"/>
      <c r="K349" s="188"/>
      <c r="L349" s="188"/>
      <c r="M349" s="188"/>
      <c r="N349" s="188"/>
      <c r="O349" s="188"/>
      <c r="P349" s="188"/>
      <c r="Q349" s="188"/>
      <c r="R349" s="188"/>
      <c r="S349" s="78"/>
      <c r="T349" s="78"/>
      <c r="U349" s="78"/>
      <c r="V349" s="78"/>
      <c r="W349" s="139"/>
      <c r="AM349" s="188">
        <f>IPMT('Assumptions (NG Midstream)'!$B$72,Model!W$1,'Assumptions (NG Midstream)'!$B$75,Model!$AM$258)</f>
        <v>-0.07180662516</v>
      </c>
      <c r="AN349" s="188">
        <f>IPMT('Assumptions (NG Midstream)'!$B$72,Model!X$1,'Assumptions (NG Midstream)'!$B$75,Model!$AM$258)</f>
        <v>-0.06905734793</v>
      </c>
      <c r="AO349" s="188">
        <f>IPMT('Assumptions (NG Midstream)'!$B$72,Model!Y$1,'Assumptions (NG Midstream)'!$B$75,Model!$AM$258)</f>
        <v>-0.06610187492</v>
      </c>
      <c r="AP349" s="188">
        <f>IPMT('Assumptions (NG Midstream)'!$B$72,Model!Z$1,'Assumptions (NG Midstream)'!$B$75,Model!$AM$258)</f>
        <v>-0.06292474143</v>
      </c>
      <c r="AQ349" s="188">
        <f>IPMT('Assumptions (NG Midstream)'!$B$72,Model!AA$1,'Assumptions (NG Midstream)'!$B$75,Model!$AM$258)</f>
        <v>-0.05950932293</v>
      </c>
      <c r="AR349" s="188">
        <f>IPMT('Assumptions (NG Midstream)'!$B$72,Model!AB$1,'Assumptions (NG Midstream)'!$B$75,Model!$AM$258)</f>
        <v>-0.05583774804</v>
      </c>
      <c r="AS349" s="188">
        <f>IPMT('Assumptions (NG Midstream)'!$B$72,Model!AC$1,'Assumptions (NG Midstream)'!$B$75,Model!$AM$258)</f>
        <v>-0.05189080503</v>
      </c>
      <c r="AT349" s="188">
        <f>IPMT('Assumptions (NG Midstream)'!$B$72,Model!AD$1,'Assumptions (NG Midstream)'!$B$75,Model!$AM$258)</f>
        <v>-0.0476478413</v>
      </c>
      <c r="AU349" s="188">
        <f>IPMT('Assumptions (NG Midstream)'!$B$72,Model!AE$1,'Assumptions (NG Midstream)'!$B$75,Model!$AM$258)</f>
        <v>-0.04308665529</v>
      </c>
      <c r="AV349" s="188">
        <f>IPMT('Assumptions (NG Midstream)'!$B$72,Model!AF$1,'Assumptions (NG Midstream)'!$B$75,Model!$AM$258)</f>
        <v>-0.03818338033</v>
      </c>
      <c r="AW349" s="188">
        <f>IPMT('Assumptions (NG Midstream)'!$B$72,Model!AG$1,'Assumptions (NG Midstream)'!$B$75,Model!$AM$258)</f>
        <v>-0.03291235975</v>
      </c>
      <c r="AX349" s="188">
        <f>IPMT('Assumptions (NG Midstream)'!$B$72,Model!AH$1,'Assumptions (NG Midstream)'!$B$75,Model!$AM$258)</f>
        <v>-0.02724601262</v>
      </c>
      <c r="AY349" s="188">
        <f>IPMT('Assumptions (NG Midstream)'!$B$72,Model!AI$1,'Assumptions (NG Midstream)'!$B$75,Model!$AM$258)</f>
        <v>-0.02115468946</v>
      </c>
      <c r="AZ349" s="188">
        <f>IPMT('Assumptions (NG Midstream)'!$B$72,Model!AJ$1,'Assumptions (NG Midstream)'!$B$75,Model!$AM$258)</f>
        <v>-0.01460651706</v>
      </c>
      <c r="BA349" s="188">
        <f>IPMT('Assumptions (NG Midstream)'!$B$72,Model!AK$1,'Assumptions (NG Midstream)'!$B$75,Model!$AM$258)</f>
        <v>-0.007567231729</v>
      </c>
      <c r="BB349" s="188"/>
      <c r="BC349" s="188"/>
      <c r="BD349" s="188"/>
      <c r="BE349" s="188"/>
      <c r="BF349" s="188"/>
      <c r="BG349" s="188"/>
      <c r="BH349" s="188"/>
      <c r="BI349" s="188"/>
      <c r="BJ349" s="188"/>
      <c r="BK349" s="188"/>
    </row>
    <row r="350" ht="15.75" hidden="1" customHeight="1" outlineLevel="1">
      <c r="A350" s="187"/>
      <c r="B350" s="38"/>
      <c r="C350" s="188"/>
      <c r="D350" s="188"/>
      <c r="E350" s="188"/>
      <c r="F350" s="188"/>
      <c r="G350" s="188"/>
      <c r="H350" s="188"/>
      <c r="I350" s="188"/>
      <c r="J350" s="188"/>
      <c r="K350" s="188"/>
      <c r="L350" s="188"/>
      <c r="M350" s="188"/>
      <c r="N350" s="188"/>
      <c r="O350" s="188"/>
      <c r="P350" s="188"/>
      <c r="Q350" s="188"/>
      <c r="R350" s="188"/>
      <c r="S350" s="78"/>
      <c r="T350" s="78"/>
      <c r="U350" s="78"/>
      <c r="V350" s="78"/>
      <c r="W350" s="139"/>
      <c r="AN350" s="188">
        <f>IPMT('Assumptions (NG Midstream)'!$B$72,Model!W$1,'Assumptions (NG Midstream)'!$B$75,Model!$AN$258)</f>
        <v>-0.07532111547</v>
      </c>
      <c r="AO350" s="188">
        <f>IPMT('Assumptions (NG Midstream)'!$B$72,Model!X$1,'Assumptions (NG Midstream)'!$B$75,Model!$AN$258)</f>
        <v>-0.07243727813</v>
      </c>
      <c r="AP350" s="188">
        <f>IPMT('Assumptions (NG Midstream)'!$B$72,Model!Y$1,'Assumptions (NG Midstream)'!$B$75,Model!$AN$258)</f>
        <v>-0.06933715299</v>
      </c>
      <c r="AQ350" s="188">
        <f>IPMT('Assumptions (NG Midstream)'!$B$72,Model!Z$1,'Assumptions (NG Midstream)'!$B$75,Model!$AN$258)</f>
        <v>-0.06600451846</v>
      </c>
      <c r="AR350" s="188">
        <f>IPMT('Assumptions (NG Midstream)'!$B$72,Model!AA$1,'Assumptions (NG Midstream)'!$B$75,Model!$AN$258)</f>
        <v>-0.06242193634</v>
      </c>
      <c r="AS350" s="188">
        <f>IPMT('Assumptions (NG Midstream)'!$B$72,Model!AB$1,'Assumptions (NG Midstream)'!$B$75,Model!$AN$258)</f>
        <v>-0.05857066056</v>
      </c>
      <c r="AT350" s="188">
        <f>IPMT('Assumptions (NG Midstream)'!$B$72,Model!AC$1,'Assumptions (NG Midstream)'!$B$75,Model!$AN$258)</f>
        <v>-0.0544305391</v>
      </c>
      <c r="AU350" s="188">
        <f>IPMT('Assumptions (NG Midstream)'!$B$72,Model!AD$1,'Assumptions (NG Midstream)'!$B$75,Model!$AN$258)</f>
        <v>-0.04997990853</v>
      </c>
      <c r="AV350" s="188">
        <f>IPMT('Assumptions (NG Midstream)'!$B$72,Model!AE$1,'Assumptions (NG Midstream)'!$B$75,Model!$AN$258)</f>
        <v>-0.04519548066</v>
      </c>
      <c r="AW350" s="188">
        <f>IPMT('Assumptions (NG Midstream)'!$B$72,Model!AF$1,'Assumptions (NG Midstream)'!$B$75,Model!$AN$258)</f>
        <v>-0.04005222071</v>
      </c>
      <c r="AX350" s="188">
        <f>IPMT('Assumptions (NG Midstream)'!$B$72,Model!AG$1,'Assumptions (NG Midstream)'!$B$75,Model!$AN$258)</f>
        <v>-0.03452321626</v>
      </c>
      <c r="AY350" s="188">
        <f>IPMT('Assumptions (NG Midstream)'!$B$72,Model!AH$1,'Assumptions (NG Midstream)'!$B$75,Model!$AN$258)</f>
        <v>-0.02857953647</v>
      </c>
      <c r="AZ350" s="188">
        <f>IPMT('Assumptions (NG Midstream)'!$B$72,Model!AI$1,'Assumptions (NG Midstream)'!$B$75,Model!$AN$258)</f>
        <v>-0.02219008071</v>
      </c>
      <c r="BA350" s="188">
        <f>IPMT('Assumptions (NG Midstream)'!$B$72,Model!AJ$1,'Assumptions (NG Midstream)'!$B$75,Model!$AN$258)</f>
        <v>-0.01532141576</v>
      </c>
      <c r="BB350" s="188">
        <f>IPMT('Assumptions (NG Midstream)'!$B$72,Model!AK$1,'Assumptions (NG Midstream)'!$B$75,Model!$AN$258)</f>
        <v>-0.007937600933</v>
      </c>
      <c r="BC350" s="188"/>
      <c r="BD350" s="188"/>
      <c r="BE350" s="188"/>
      <c r="BF350" s="188"/>
      <c r="BG350" s="188"/>
      <c r="BH350" s="188"/>
      <c r="BI350" s="188"/>
      <c r="BJ350" s="188"/>
      <c r="BK350" s="188"/>
      <c r="BL350" s="188"/>
    </row>
    <row r="351" ht="15.75" hidden="1" customHeight="1" outlineLevel="1">
      <c r="A351" s="187"/>
      <c r="B351" s="38"/>
      <c r="C351" s="188"/>
      <c r="D351" s="188"/>
      <c r="E351" s="188"/>
      <c r="F351" s="188"/>
      <c r="G351" s="188"/>
      <c r="H351" s="188"/>
      <c r="I351" s="188"/>
      <c r="J351" s="188"/>
      <c r="K351" s="188"/>
      <c r="L351" s="188"/>
      <c r="M351" s="188"/>
      <c r="N351" s="188"/>
      <c r="O351" s="188"/>
      <c r="P351" s="188"/>
      <c r="Q351" s="188"/>
      <c r="R351" s="188"/>
      <c r="S351" s="78"/>
      <c r="T351" s="78"/>
      <c r="U351" s="78"/>
      <c r="V351" s="78"/>
      <c r="W351" s="139"/>
      <c r="AO351" s="188">
        <f>IPMT('Assumptions (NG Midstream)'!$B$72,Model!W$1,'Assumptions (NG Midstream)'!$B$75,Model!$AO$258)</f>
        <v>-0.07160984405</v>
      </c>
      <c r="AP351" s="188">
        <f>IPMT('Assumptions (NG Midstream)'!$B$72,Model!X$1,'Assumptions (NG Midstream)'!$B$75,Model!$AO$258)</f>
        <v>-0.06886810104</v>
      </c>
      <c r="AQ351" s="188">
        <f>IPMT('Assumptions (NG Midstream)'!$B$72,Model!Y$1,'Assumptions (NG Midstream)'!$B$75,Model!$AO$258)</f>
        <v>-0.06592072729</v>
      </c>
      <c r="AR351" s="188">
        <f>IPMT('Assumptions (NG Midstream)'!$B$72,Model!Z$1,'Assumptions (NG Midstream)'!$B$75,Model!$AO$258)</f>
        <v>-0.06275230052</v>
      </c>
      <c r="AS351" s="188">
        <f>IPMT('Assumptions (NG Midstream)'!$B$72,Model!AA$1,'Assumptions (NG Midstream)'!$B$75,Model!$AO$258)</f>
        <v>-0.05934624174</v>
      </c>
      <c r="AT351" s="188">
        <f>IPMT('Assumptions (NG Midstream)'!$B$72,Model!AB$1,'Assumptions (NG Midstream)'!$B$75,Model!$AO$258)</f>
        <v>-0.05568472854</v>
      </c>
      <c r="AU351" s="188">
        <f>IPMT('Assumptions (NG Midstream)'!$B$72,Model!AC$1,'Assumptions (NG Midstream)'!$B$75,Model!$AO$258)</f>
        <v>-0.05174860186</v>
      </c>
      <c r="AV351" s="188">
        <f>IPMT('Assumptions (NG Midstream)'!$B$72,Model!AD$1,'Assumptions (NG Midstream)'!$B$75,Model!$AO$258)</f>
        <v>-0.04751726568</v>
      </c>
      <c r="AW351" s="188">
        <f>IPMT('Assumptions (NG Midstream)'!$B$72,Model!AE$1,'Assumptions (NG Midstream)'!$B$75,Model!$AO$258)</f>
        <v>-0.04296857929</v>
      </c>
      <c r="AX351" s="188">
        <f>IPMT('Assumptions (NG Midstream)'!$B$72,Model!AF$1,'Assumptions (NG Midstream)'!$B$75,Model!$AO$258)</f>
        <v>-0.03807874141</v>
      </c>
      <c r="AY351" s="188">
        <f>IPMT('Assumptions (NG Midstream)'!$B$72,Model!AG$1,'Assumptions (NG Midstream)'!$B$75,Model!$AO$258)</f>
        <v>-0.0328221657</v>
      </c>
      <c r="AZ351" s="188">
        <f>IPMT('Assumptions (NG Midstream)'!$B$72,Model!AH$1,'Assumptions (NG Midstream)'!$B$75,Model!$AO$258)</f>
        <v>-0.0271713468</v>
      </c>
      <c r="BA351" s="188">
        <f>IPMT('Assumptions (NG Midstream)'!$B$72,Model!AI$1,'Assumptions (NG Midstream)'!$B$75,Model!$AO$258)</f>
        <v>-0.02109671649</v>
      </c>
      <c r="BB351" s="188">
        <f>IPMT('Assumptions (NG Midstream)'!$B$72,Model!AJ$1,'Assumptions (NG Midstream)'!$B$75,Model!$AO$258)</f>
        <v>-0.01456648891</v>
      </c>
      <c r="BC351" s="188">
        <f>IPMT('Assumptions (NG Midstream)'!$B$72,Model!AK$1,'Assumptions (NG Midstream)'!$B$75,Model!$AO$258)</f>
        <v>-0.007546494253</v>
      </c>
      <c r="BD351" s="188"/>
      <c r="BE351" s="188"/>
      <c r="BF351" s="188"/>
      <c r="BG351" s="188"/>
      <c r="BH351" s="188"/>
      <c r="BI351" s="188"/>
      <c r="BJ351" s="188"/>
      <c r="BK351" s="188"/>
      <c r="BL351" s="188"/>
      <c r="BM351" s="188"/>
    </row>
    <row r="352" ht="15.75" hidden="1" customHeight="1" outlineLevel="1">
      <c r="A352" s="187"/>
      <c r="B352" s="38"/>
      <c r="C352" s="188"/>
      <c r="D352" s="188"/>
      <c r="E352" s="188"/>
      <c r="F352" s="188"/>
      <c r="G352" s="188"/>
      <c r="H352" s="188"/>
      <c r="I352" s="188"/>
      <c r="J352" s="188"/>
      <c r="K352" s="188"/>
      <c r="L352" s="188"/>
      <c r="M352" s="188"/>
      <c r="N352" s="188"/>
      <c r="O352" s="188"/>
      <c r="P352" s="188"/>
      <c r="Q352" s="188"/>
      <c r="R352" s="188"/>
      <c r="S352" s="78"/>
      <c r="T352" s="78"/>
      <c r="U352" s="78"/>
      <c r="V352" s="78"/>
      <c r="W352" s="139"/>
      <c r="AP352" s="188">
        <f>IPMT('Assumptions (NG Midstream)'!$B$72,Model!W$1,'Assumptions (NG Midstream)'!$B$75,Model!$AP$258)</f>
        <v>-0.07445519789</v>
      </c>
      <c r="AQ352" s="188">
        <f>IPMT('Assumptions (NG Midstream)'!$B$72,Model!X$1,'Assumptions (NG Midstream)'!$B$75,Model!$AP$258)</f>
        <v>-0.07160451413</v>
      </c>
      <c r="AR352" s="188">
        <f>IPMT('Assumptions (NG Midstream)'!$B$72,Model!Y$1,'Assumptions (NG Midstream)'!$B$75,Model!$AP$258)</f>
        <v>-0.0685400291</v>
      </c>
      <c r="AS352" s="188">
        <f>IPMT('Assumptions (NG Midstream)'!$B$72,Model!Z$1,'Assumptions (NG Midstream)'!$B$75,Model!$AP$258)</f>
        <v>-0.06524570769</v>
      </c>
      <c r="AT352" s="188">
        <f>IPMT('Assumptions (NG Midstream)'!$B$72,Model!AA$1,'Assumptions (NG Midstream)'!$B$75,Model!$AP$258)</f>
        <v>-0.06170431217</v>
      </c>
      <c r="AU352" s="188">
        <f>IPMT('Assumptions (NG Midstream)'!$B$72,Model!AB$1,'Assumptions (NG Midstream)'!$B$75,Model!$AP$258)</f>
        <v>-0.05789731199</v>
      </c>
      <c r="AV352" s="188">
        <f>IPMT('Assumptions (NG Midstream)'!$B$72,Model!AC$1,'Assumptions (NG Midstream)'!$B$75,Model!$AP$258)</f>
        <v>-0.0538047868</v>
      </c>
      <c r="AW352" s="188">
        <f>IPMT('Assumptions (NG Midstream)'!$B$72,Model!AD$1,'Assumptions (NG Midstream)'!$B$75,Model!$AP$258)</f>
        <v>-0.04940532222</v>
      </c>
      <c r="AX352" s="188">
        <f>IPMT('Assumptions (NG Midstream)'!$B$72,Model!AE$1,'Assumptions (NG Midstream)'!$B$75,Model!$AP$258)</f>
        <v>-0.04467589779</v>
      </c>
      <c r="AY352" s="188">
        <f>IPMT('Assumptions (NG Midstream)'!$B$72,Model!AF$1,'Assumptions (NG Midstream)'!$B$75,Model!$AP$258)</f>
        <v>-0.03959176653</v>
      </c>
      <c r="AZ352" s="188">
        <f>IPMT('Assumptions (NG Midstream)'!$B$72,Model!AG$1,'Assumptions (NG Midstream)'!$B$75,Model!$AP$258)</f>
        <v>-0.03412632543</v>
      </c>
      <c r="BA352" s="188">
        <f>IPMT('Assumptions (NG Midstream)'!$B$72,Model!AH$1,'Assumptions (NG Midstream)'!$B$75,Model!$AP$258)</f>
        <v>-0.02825097624</v>
      </c>
      <c r="BB352" s="188">
        <f>IPMT('Assumptions (NG Midstream)'!$B$72,Model!AI$1,'Assumptions (NG Midstream)'!$B$75,Model!$AP$258)</f>
        <v>-0.02193497587</v>
      </c>
      <c r="BC352" s="188">
        <f>IPMT('Assumptions (NG Midstream)'!$B$72,Model!AJ$1,'Assumptions (NG Midstream)'!$B$75,Model!$AP$258)</f>
        <v>-0.01514527546</v>
      </c>
      <c r="BD352" s="188">
        <f>IPMT('Assumptions (NG Midstream)'!$B$72,Model!AK$1,'Assumptions (NG Midstream)'!$B$75,Model!$AP$258)</f>
        <v>-0.007846347529</v>
      </c>
      <c r="BE352" s="188"/>
      <c r="BF352" s="188"/>
      <c r="BG352" s="188"/>
      <c r="BH352" s="188"/>
      <c r="BI352" s="188"/>
      <c r="BJ352" s="188"/>
      <c r="BK352" s="188"/>
      <c r="BL352" s="188"/>
      <c r="BM352" s="188"/>
      <c r="BN352" s="188"/>
    </row>
    <row r="353" ht="15.75" hidden="1" customHeight="1" outlineLevel="1">
      <c r="A353" s="187"/>
      <c r="B353" s="38"/>
      <c r="C353" s="188"/>
      <c r="D353" s="188"/>
      <c r="E353" s="188"/>
      <c r="F353" s="188"/>
      <c r="G353" s="188"/>
      <c r="H353" s="188"/>
      <c r="I353" s="188"/>
      <c r="J353" s="188"/>
      <c r="K353" s="188"/>
      <c r="L353" s="188"/>
      <c r="M353" s="188"/>
      <c r="N353" s="188"/>
      <c r="O353" s="188"/>
      <c r="P353" s="188"/>
      <c r="Q353" s="188"/>
      <c r="R353" s="188"/>
      <c r="S353" s="78"/>
      <c r="T353" s="78"/>
      <c r="U353" s="78"/>
      <c r="V353" s="78"/>
      <c r="W353" s="139"/>
      <c r="AQ353" s="188">
        <f>IPMT('Assumptions (NG Midstream)'!$B$72,Model!W$1,'Assumptions (NG Midstream)'!$B$75,Model!$AQ$258)</f>
        <v>-0.0703595028</v>
      </c>
      <c r="AR353" s="188">
        <f>IPMT('Assumptions (NG Midstream)'!$B$72,Model!X$1,'Assumptions (NG Midstream)'!$B$75,Model!$AQ$258)</f>
        <v>-0.06766563189</v>
      </c>
      <c r="AS353" s="188">
        <f>IPMT('Assumptions (NG Midstream)'!$B$72,Model!Y$1,'Assumptions (NG Midstream)'!$B$75,Model!$AQ$258)</f>
        <v>-0.06476972067</v>
      </c>
      <c r="AT353" s="188">
        <f>IPMT('Assumptions (NG Midstream)'!$B$72,Model!Z$1,'Assumptions (NG Midstream)'!$B$75,Model!$AQ$258)</f>
        <v>-0.0616566161</v>
      </c>
      <c r="AU353" s="188">
        <f>IPMT('Assumptions (NG Midstream)'!$B$72,Model!AA$1,'Assumptions (NG Midstream)'!$B$75,Model!$AQ$258)</f>
        <v>-0.05831002869</v>
      </c>
      <c r="AV353" s="188">
        <f>IPMT('Assumptions (NG Midstream)'!$B$72,Model!AB$1,'Assumptions (NG Midstream)'!$B$75,Model!$AQ$258)</f>
        <v>-0.05471244723</v>
      </c>
      <c r="AW353" s="188">
        <f>IPMT('Assumptions (NG Midstream)'!$B$72,Model!AC$1,'Assumptions (NG Midstream)'!$B$75,Model!$AQ$258)</f>
        <v>-0.05084504715</v>
      </c>
      <c r="AX353" s="188">
        <f>IPMT('Assumptions (NG Midstream)'!$B$72,Model!AD$1,'Assumptions (NG Midstream)'!$B$75,Model!$AQ$258)</f>
        <v>-0.04668759207</v>
      </c>
      <c r="AY353" s="188">
        <f>IPMT('Assumptions (NG Midstream)'!$B$72,Model!AE$1,'Assumptions (NG Midstream)'!$B$75,Model!$AQ$258)</f>
        <v>-0.04221832786</v>
      </c>
      <c r="AZ353" s="188">
        <f>IPMT('Assumptions (NG Midstream)'!$B$72,Model!AF$1,'Assumptions (NG Midstream)'!$B$75,Model!$AQ$258)</f>
        <v>-0.03741386884</v>
      </c>
      <c r="BA353" s="188">
        <f>IPMT('Assumptions (NG Midstream)'!$B$72,Model!AG$1,'Assumptions (NG Midstream)'!$B$75,Model!$AQ$258)</f>
        <v>-0.03224907538</v>
      </c>
      <c r="BB353" s="188">
        <f>IPMT('Assumptions (NG Midstream)'!$B$72,Model!AH$1,'Assumptions (NG Midstream)'!$B$75,Model!$AQ$258)</f>
        <v>-0.02669692242</v>
      </c>
      <c r="BC353" s="188">
        <f>IPMT('Assumptions (NG Midstream)'!$B$72,Model!AI$1,'Assumptions (NG Midstream)'!$B$75,Model!$AQ$258)</f>
        <v>-0.02072835799</v>
      </c>
      <c r="BD353" s="188">
        <f>IPMT('Assumptions (NG Midstream)'!$B$72,Model!AJ$1,'Assumptions (NG Midstream)'!$B$75,Model!$AQ$258)</f>
        <v>-0.01431215122</v>
      </c>
      <c r="BE353" s="188">
        <f>IPMT('Assumptions (NG Midstream)'!$B$72,Model!AK$1,'Assumptions (NG Midstream)'!$B$75,Model!$AQ$258)</f>
        <v>-0.007414728945</v>
      </c>
      <c r="BF353" s="188"/>
      <c r="BG353" s="188"/>
      <c r="BH353" s="188"/>
      <c r="BI353" s="188"/>
      <c r="BJ353" s="188"/>
      <c r="BK353" s="188"/>
      <c r="BL353" s="188"/>
      <c r="BM353" s="188"/>
      <c r="BN353" s="188"/>
      <c r="BO353" s="188"/>
    </row>
    <row r="354" ht="15.75" hidden="1" customHeight="1" outlineLevel="1">
      <c r="A354" s="187"/>
      <c r="B354" s="38"/>
      <c r="C354" s="188"/>
      <c r="D354" s="188"/>
      <c r="E354" s="188"/>
      <c r="F354" s="188"/>
      <c r="G354" s="188"/>
      <c r="H354" s="188"/>
      <c r="I354" s="188"/>
      <c r="J354" s="188"/>
      <c r="K354" s="188"/>
      <c r="L354" s="188"/>
      <c r="M354" s="188"/>
      <c r="N354" s="188"/>
      <c r="O354" s="188"/>
      <c r="P354" s="188"/>
      <c r="Q354" s="188"/>
      <c r="R354" s="188"/>
      <c r="S354" s="78"/>
      <c r="T354" s="78"/>
      <c r="U354" s="78"/>
      <c r="V354" s="78"/>
      <c r="W354" s="139"/>
      <c r="AR354" s="188">
        <f>IPMT('Assumptions (NG Midstream)'!$B$72,Model!W$1,'Assumptions (NG Midstream)'!$B$75,Model!$AR$258)</f>
        <v>-0.07521452432</v>
      </c>
      <c r="AS354" s="188">
        <f>IPMT('Assumptions (NG Midstream)'!$B$72,Model!X$1,'Assumptions (NG Midstream)'!$B$75,Model!$AR$258)</f>
        <v>-0.07233476806</v>
      </c>
      <c r="AT354" s="188">
        <f>IPMT('Assumptions (NG Midstream)'!$B$72,Model!Y$1,'Assumptions (NG Midstream)'!$B$75,Model!$AR$258)</f>
        <v>-0.06923903008</v>
      </c>
      <c r="AU354" s="188">
        <f>IPMT('Assumptions (NG Midstream)'!$B$72,Model!Z$1,'Assumptions (NG Midstream)'!$B$75,Model!$AR$258)</f>
        <v>-0.06591111175</v>
      </c>
      <c r="AV354" s="188">
        <f>IPMT('Assumptions (NG Midstream)'!$B$72,Model!AA$1,'Assumptions (NG Midstream)'!$B$75,Model!$AR$258)</f>
        <v>-0.06233359954</v>
      </c>
      <c r="AW354" s="188">
        <f>IPMT('Assumptions (NG Midstream)'!$B$72,Model!AB$1,'Assumptions (NG Midstream)'!$B$75,Model!$AR$258)</f>
        <v>-0.05848777392</v>
      </c>
      <c r="AX354" s="188">
        <f>IPMT('Assumptions (NG Midstream)'!$B$72,Model!AC$1,'Assumptions (NG Midstream)'!$B$75,Model!$AR$258)</f>
        <v>-0.05435351138</v>
      </c>
      <c r="AY354" s="188">
        <f>IPMT('Assumptions (NG Midstream)'!$B$72,Model!AD$1,'Assumptions (NG Midstream)'!$B$75,Model!$AR$258)</f>
        <v>-0.04990917914</v>
      </c>
      <c r="AZ354" s="188">
        <f>IPMT('Assumptions (NG Midstream)'!$B$72,Model!AE$1,'Assumptions (NG Midstream)'!$B$75,Model!$AR$258)</f>
        <v>-0.04513152199</v>
      </c>
      <c r="BA354" s="188">
        <f>IPMT('Assumptions (NG Midstream)'!$B$72,Model!AF$1,'Assumptions (NG Midstream)'!$B$75,Model!$AR$258)</f>
        <v>-0.03999554056</v>
      </c>
      <c r="BB354" s="188">
        <f>IPMT('Assumptions (NG Midstream)'!$B$72,Model!AG$1,'Assumptions (NG Midstream)'!$B$75,Model!$AR$258)</f>
        <v>-0.03447436051</v>
      </c>
      <c r="BC354" s="188">
        <f>IPMT('Assumptions (NG Midstream)'!$B$72,Model!AH$1,'Assumptions (NG Midstream)'!$B$75,Model!$AR$258)</f>
        <v>-0.02853909196</v>
      </c>
      <c r="BD354" s="188">
        <f>IPMT('Assumptions (NG Midstream)'!$B$72,Model!AI$1,'Assumptions (NG Midstream)'!$B$75,Model!$AR$258)</f>
        <v>-0.02215867827</v>
      </c>
      <c r="BE354" s="188">
        <f>IPMT('Assumptions (NG Midstream)'!$B$72,Model!AJ$1,'Assumptions (NG Midstream)'!$B$75,Model!$AR$258)</f>
        <v>-0.01529973356</v>
      </c>
      <c r="BF354" s="188">
        <f>IPMT('Assumptions (NG Midstream)'!$B$72,Model!AK$1,'Assumptions (NG Midstream)'!$B$75,Model!$AR$258)</f>
        <v>-0.007926367987</v>
      </c>
      <c r="BG354" s="188"/>
      <c r="BH354" s="188"/>
      <c r="BI354" s="188"/>
      <c r="BJ354" s="188"/>
      <c r="BK354" s="188"/>
      <c r="BL354" s="188"/>
      <c r="BM354" s="188"/>
      <c r="BN354" s="188"/>
      <c r="BO354" s="188"/>
      <c r="BP354" s="188"/>
    </row>
    <row r="355" ht="15.75" hidden="1" customHeight="1" outlineLevel="1">
      <c r="A355" s="187"/>
      <c r="B355" s="38"/>
      <c r="C355" s="188"/>
      <c r="D355" s="188"/>
      <c r="E355" s="188"/>
      <c r="F355" s="188"/>
      <c r="G355" s="188"/>
      <c r="H355" s="188"/>
      <c r="I355" s="188"/>
      <c r="J355" s="188"/>
      <c r="K355" s="188"/>
      <c r="L355" s="188"/>
      <c r="M355" s="188"/>
      <c r="N355" s="188"/>
      <c r="O355" s="188"/>
      <c r="P355" s="188"/>
      <c r="Q355" s="188"/>
      <c r="R355" s="188"/>
      <c r="S355" s="78"/>
      <c r="T355" s="78"/>
      <c r="U355" s="78"/>
      <c r="V355" s="78"/>
      <c r="W355" s="139"/>
      <c r="AS355" s="188">
        <f>IPMT('Assumptions (NG Midstream)'!$B$72,Model!W$1,'Assumptions (NG Midstream)'!$B$75,Model!$AS$258)</f>
        <v>-0.07301614067</v>
      </c>
      <c r="AT355" s="188">
        <f>IPMT('Assumptions (NG Midstream)'!$B$72,Model!X$1,'Assumptions (NG Midstream)'!$B$75,Model!$AS$258)</f>
        <v>-0.07022055445</v>
      </c>
      <c r="AU355" s="188">
        <f>IPMT('Assumptions (NG Midstream)'!$B$72,Model!Y$1,'Assumptions (NG Midstream)'!$B$75,Model!$AS$258)</f>
        <v>-0.06721529925</v>
      </c>
      <c r="AV355" s="188">
        <f>IPMT('Assumptions (NG Midstream)'!$B$72,Model!Z$1,'Assumptions (NG Midstream)'!$B$75,Model!$AS$258)</f>
        <v>-0.06398464991</v>
      </c>
      <c r="AW355" s="188">
        <f>IPMT('Assumptions (NG Midstream)'!$B$72,Model!AA$1,'Assumptions (NG Midstream)'!$B$75,Model!$AS$258)</f>
        <v>-0.06051170188</v>
      </c>
      <c r="AX355" s="188">
        <f>IPMT('Assumptions (NG Midstream)'!$B$72,Model!AB$1,'Assumptions (NG Midstream)'!$B$75,Model!$AS$258)</f>
        <v>-0.05677828274</v>
      </c>
      <c r="AY355" s="188">
        <f>IPMT('Assumptions (NG Midstream)'!$B$72,Model!AC$1,'Assumptions (NG Midstream)'!$B$75,Model!$AS$258)</f>
        <v>-0.05276485717</v>
      </c>
      <c r="AZ355" s="188">
        <f>IPMT('Assumptions (NG Midstream)'!$B$72,Model!AD$1,'Assumptions (NG Midstream)'!$B$75,Model!$AS$258)</f>
        <v>-0.04845042468</v>
      </c>
      <c r="BA355" s="188">
        <f>IPMT('Assumptions (NG Midstream)'!$B$72,Model!AE$1,'Assumptions (NG Midstream)'!$B$75,Model!$AS$258)</f>
        <v>-0.04381240975</v>
      </c>
      <c r="BB355" s="188">
        <f>IPMT('Assumptions (NG Midstream)'!$B$72,Model!AF$1,'Assumptions (NG Midstream)'!$B$75,Model!$AS$258)</f>
        <v>-0.0388265437</v>
      </c>
      <c r="BC355" s="188">
        <f>IPMT('Assumptions (NG Midstream)'!$B$72,Model!AG$1,'Assumptions (NG Midstream)'!$B$75,Model!$AS$258)</f>
        <v>-0.0334667377</v>
      </c>
      <c r="BD355" s="188">
        <f>IPMT('Assumptions (NG Midstream)'!$B$72,Model!AH$1,'Assumptions (NG Midstream)'!$B$75,Model!$AS$258)</f>
        <v>-0.02770494625</v>
      </c>
      <c r="BE355" s="188">
        <f>IPMT('Assumptions (NG Midstream)'!$B$72,Model!AI$1,'Assumptions (NG Midstream)'!$B$75,Model!$AS$258)</f>
        <v>-0.02151102044</v>
      </c>
      <c r="BF355" s="188">
        <f>IPMT('Assumptions (NG Midstream)'!$B$72,Model!AJ$1,'Assumptions (NG Midstream)'!$B$75,Model!$AS$258)</f>
        <v>-0.01485255019</v>
      </c>
      <c r="BG355" s="188">
        <f>IPMT('Assumptions (NG Midstream)'!$B$72,Model!AK$1,'Assumptions (NG Midstream)'!$B$75,Model!$AS$258)</f>
        <v>-0.007694694678</v>
      </c>
      <c r="BH355" s="188"/>
      <c r="BI355" s="188"/>
      <c r="BJ355" s="188"/>
      <c r="BK355" s="188"/>
      <c r="BL355" s="188"/>
      <c r="BM355" s="188"/>
      <c r="BN355" s="188"/>
      <c r="BO355" s="188"/>
      <c r="BP355" s="188"/>
      <c r="BQ355" s="188"/>
    </row>
    <row r="356" ht="15.75" hidden="1" customHeight="1" outlineLevel="1">
      <c r="A356" s="187"/>
      <c r="B356" s="38"/>
      <c r="C356" s="188"/>
      <c r="D356" s="188"/>
      <c r="E356" s="188"/>
      <c r="F356" s="188"/>
      <c r="G356" s="188"/>
      <c r="H356" s="188"/>
      <c r="I356" s="188"/>
      <c r="J356" s="188"/>
      <c r="K356" s="188"/>
      <c r="L356" s="188"/>
      <c r="M356" s="188"/>
      <c r="N356" s="188"/>
      <c r="O356" s="188"/>
      <c r="P356" s="188"/>
      <c r="Q356" s="188"/>
      <c r="R356" s="188"/>
      <c r="S356" s="78"/>
      <c r="T356" s="78"/>
      <c r="U356" s="78"/>
      <c r="V356" s="78"/>
      <c r="W356" s="139"/>
      <c r="AT356" s="188">
        <f>IPMT('Assumptions (NG Midstream)'!$B$72,Model!W$1,'Assumptions (NG Midstream)'!$B$75,Model!$AT$258)</f>
        <v>-0.08302172991</v>
      </c>
      <c r="AU356" s="188">
        <f>IPMT('Assumptions (NG Midstream)'!$B$72,Model!X$1,'Assumptions (NG Midstream)'!$B$75,Model!$AT$258)</f>
        <v>-0.07984305732</v>
      </c>
      <c r="AV356" s="188">
        <f>IPMT('Assumptions (NG Midstream)'!$B$72,Model!Y$1,'Assumptions (NG Midstream)'!$B$75,Model!$AT$258)</f>
        <v>-0.07642598429</v>
      </c>
      <c r="AW356" s="188">
        <f>IPMT('Assumptions (NG Midstream)'!$B$72,Model!Z$1,'Assumptions (NG Midstream)'!$B$75,Model!$AT$258)</f>
        <v>-0.07275263078</v>
      </c>
      <c r="AX356" s="188">
        <f>IPMT('Assumptions (NG Midstream)'!$B$72,Model!AA$1,'Assumptions (NG Midstream)'!$B$75,Model!$AT$258)</f>
        <v>-0.06880377576</v>
      </c>
      <c r="AY356" s="188">
        <f>IPMT('Assumptions (NG Midstream)'!$B$72,Model!AB$1,'Assumptions (NG Midstream)'!$B$75,Model!$AT$258)</f>
        <v>-0.06455875661</v>
      </c>
      <c r="AZ356" s="188">
        <f>IPMT('Assumptions (NG Midstream)'!$B$72,Model!AC$1,'Assumptions (NG Midstream)'!$B$75,Model!$AT$258)</f>
        <v>-0.05999536102</v>
      </c>
      <c r="BA356" s="188">
        <f>IPMT('Assumptions (NG Midstream)'!$B$72,Model!AD$1,'Assumptions (NG Midstream)'!$B$75,Model!$AT$258)</f>
        <v>-0.05508971077</v>
      </c>
      <c r="BB356" s="188">
        <f>IPMT('Assumptions (NG Midstream)'!$B$72,Model!AE$1,'Assumptions (NG Midstream)'!$B$75,Model!$AT$258)</f>
        <v>-0.04981613675</v>
      </c>
      <c r="BC356" s="188">
        <f>IPMT('Assumptions (NG Midstream)'!$B$72,Model!AF$1,'Assumptions (NG Midstream)'!$B$75,Model!$AT$258)</f>
        <v>-0.04414704468</v>
      </c>
      <c r="BD356" s="188">
        <f>IPMT('Assumptions (NG Midstream)'!$B$72,Model!AG$1,'Assumptions (NG Midstream)'!$B$75,Model!$AT$258)</f>
        <v>-0.0380527707</v>
      </c>
      <c r="BE356" s="188">
        <f>IPMT('Assumptions (NG Midstream)'!$B$72,Model!AH$1,'Assumptions (NG Midstream)'!$B$75,Model!$AT$258)</f>
        <v>-0.03150142617</v>
      </c>
      <c r="BF356" s="188">
        <f>IPMT('Assumptions (NG Midstream)'!$B$72,Model!AI$1,'Assumptions (NG Midstream)'!$B$75,Model!$AT$258)</f>
        <v>-0.0244587308</v>
      </c>
      <c r="BG356" s="188">
        <f>IPMT('Assumptions (NG Midstream)'!$B$72,Model!AJ$1,'Assumptions (NG Midstream)'!$B$75,Model!$AT$258)</f>
        <v>-0.01688783328</v>
      </c>
      <c r="BH356" s="188">
        <f>IPMT('Assumptions (NG Midstream)'!$B$72,Model!AK$1,'Assumptions (NG Midstream)'!$B$75,Model!$AT$258)</f>
        <v>-0.008749118447</v>
      </c>
      <c r="BI356" s="188"/>
      <c r="BJ356" s="188"/>
      <c r="BK356" s="188"/>
      <c r="BL356" s="188"/>
      <c r="BM356" s="188"/>
      <c r="BN356" s="188"/>
      <c r="BO356" s="188"/>
      <c r="BP356" s="188"/>
      <c r="BQ356" s="188"/>
      <c r="BR356" s="188"/>
    </row>
    <row r="357" ht="15.75" hidden="1" customHeight="1" outlineLevel="1">
      <c r="A357" s="187"/>
      <c r="B357" s="38"/>
      <c r="C357" s="188"/>
      <c r="D357" s="188"/>
      <c r="E357" s="188"/>
      <c r="F357" s="188"/>
      <c r="G357" s="188"/>
      <c r="H357" s="188"/>
      <c r="I357" s="188"/>
      <c r="J357" s="188"/>
      <c r="K357" s="188"/>
      <c r="L357" s="188"/>
      <c r="M357" s="188"/>
      <c r="N357" s="188"/>
      <c r="O357" s="188"/>
      <c r="P357" s="188"/>
      <c r="Q357" s="188"/>
      <c r="R357" s="188"/>
      <c r="S357" s="78"/>
      <c r="T357" s="78"/>
      <c r="U357" s="78"/>
      <c r="V357" s="78"/>
      <c r="W357" s="139"/>
      <c r="AU357" s="188">
        <f>IPMT('Assumptions (NG Midstream)'!$B$72,Model!W$1,'Assumptions (NG Midstream)'!$B$75,Model!$AU$258)</f>
        <v>-0.07652737074</v>
      </c>
      <c r="AV357" s="188">
        <f>IPMT('Assumptions (NG Midstream)'!$B$72,Model!X$1,'Assumptions (NG Midstream)'!$B$75,Model!$AU$258)</f>
        <v>-0.07359734922</v>
      </c>
      <c r="AW357" s="188">
        <f>IPMT('Assumptions (NG Midstream)'!$B$72,Model!Y$1,'Assumptions (NG Midstream)'!$B$75,Model!$AU$258)</f>
        <v>-0.07044757608</v>
      </c>
      <c r="AX357" s="188">
        <f>IPMT('Assumptions (NG Midstream)'!$B$72,Model!Z$1,'Assumptions (NG Midstream)'!$B$75,Model!$AU$258)</f>
        <v>-0.06706156996</v>
      </c>
      <c r="AY357" s="188">
        <f>IPMT('Assumptions (NG Midstream)'!$B$72,Model!AA$1,'Assumptions (NG Midstream)'!$B$75,Model!$AU$258)</f>
        <v>-0.06342161337</v>
      </c>
      <c r="AZ357" s="188">
        <f>IPMT('Assumptions (NG Midstream)'!$B$72,Model!AB$1,'Assumptions (NG Midstream)'!$B$75,Model!$AU$258)</f>
        <v>-0.05950866005</v>
      </c>
      <c r="BA357" s="188">
        <f>IPMT('Assumptions (NG Midstream)'!$B$72,Model!AC$1,'Assumptions (NG Midstream)'!$B$75,Model!$AU$258)</f>
        <v>-0.05530223522</v>
      </c>
      <c r="BB357" s="188">
        <f>IPMT('Assumptions (NG Midstream)'!$B$72,Model!AD$1,'Assumptions (NG Midstream)'!$B$75,Model!$AU$258)</f>
        <v>-0.05078032854</v>
      </c>
      <c r="BC357" s="188">
        <f>IPMT('Assumptions (NG Midstream)'!$B$72,Model!AE$1,'Assumptions (NG Midstream)'!$B$75,Model!$AU$258)</f>
        <v>-0.04591927885</v>
      </c>
      <c r="BD357" s="188">
        <f>IPMT('Assumptions (NG Midstream)'!$B$72,Model!AF$1,'Assumptions (NG Midstream)'!$B$75,Model!$AU$258)</f>
        <v>-0.04069365043</v>
      </c>
      <c r="BE357" s="188">
        <f>IPMT('Assumptions (NG Midstream)'!$B$72,Model!AG$1,'Assumptions (NG Midstream)'!$B$75,Model!$AU$258)</f>
        <v>-0.03507609988</v>
      </c>
      <c r="BF357" s="188">
        <f>IPMT('Assumptions (NG Midstream)'!$B$72,Model!AH$1,'Assumptions (NG Midstream)'!$B$75,Model!$AU$258)</f>
        <v>-0.02903723305</v>
      </c>
      <c r="BG357" s="188">
        <f>IPMT('Assumptions (NG Midstream)'!$B$72,Model!AI$1,'Assumptions (NG Midstream)'!$B$75,Model!$AU$258)</f>
        <v>-0.0225454512</v>
      </c>
      <c r="BH357" s="188">
        <f>IPMT('Assumptions (NG Midstream)'!$B$72,Model!AJ$1,'Assumptions (NG Midstream)'!$B$75,Model!$AU$258)</f>
        <v>-0.01556678571</v>
      </c>
      <c r="BI357" s="188">
        <f>IPMT('Assumptions (NG Midstream)'!$B$72,Model!AK$1,'Assumptions (NG Midstream)'!$B$75,Model!$AU$258)</f>
        <v>-0.008064720306</v>
      </c>
      <c r="BJ357" s="188"/>
      <c r="BK357" s="188"/>
      <c r="BL357" s="188"/>
      <c r="BM357" s="188"/>
      <c r="BN357" s="188"/>
      <c r="BO357" s="188"/>
      <c r="BP357" s="188"/>
      <c r="BQ357" s="188"/>
      <c r="BR357" s="188"/>
      <c r="BS357" s="188"/>
    </row>
    <row r="358" ht="15.75" hidden="1" customHeight="1" outlineLevel="1">
      <c r="A358" s="187"/>
      <c r="B358" s="38"/>
      <c r="C358" s="188"/>
      <c r="D358" s="188"/>
      <c r="E358" s="188"/>
      <c r="F358" s="188"/>
      <c r="G358" s="188"/>
      <c r="H358" s="188"/>
      <c r="I358" s="188"/>
      <c r="J358" s="188"/>
      <c r="K358" s="188"/>
      <c r="L358" s="188"/>
      <c r="M358" s="188"/>
      <c r="N358" s="188"/>
      <c r="O358" s="188"/>
      <c r="P358" s="188"/>
      <c r="Q358" s="188"/>
      <c r="R358" s="188"/>
      <c r="S358" s="78"/>
      <c r="T358" s="78"/>
      <c r="U358" s="78"/>
      <c r="V358" s="78"/>
      <c r="W358" s="139"/>
      <c r="AV358" s="188">
        <f>IPMT('Assumptions (NG Midstream)'!$B$72,Model!W$1,'Assumptions (NG Midstream)'!$B$75,Model!$AV$258)</f>
        <v>-0.07238996542</v>
      </c>
      <c r="AW358" s="188">
        <f>IPMT('Assumptions (NG Midstream)'!$B$72,Model!X$1,'Assumptions (NG Midstream)'!$B$75,Model!$AV$258)</f>
        <v>-0.06961835371</v>
      </c>
      <c r="AX358" s="188">
        <f>IPMT('Assumptions (NG Midstream)'!$B$72,Model!Y$1,'Assumptions (NG Midstream)'!$B$75,Model!$AV$258)</f>
        <v>-0.06663887112</v>
      </c>
      <c r="AY358" s="188">
        <f>IPMT('Assumptions (NG Midstream)'!$B$72,Model!Z$1,'Assumptions (NG Midstream)'!$B$75,Model!$AV$258)</f>
        <v>-0.06343592734</v>
      </c>
      <c r="AZ358" s="188">
        <f>IPMT('Assumptions (NG Midstream)'!$B$72,Model!AA$1,'Assumptions (NG Midstream)'!$B$75,Model!$AV$258)</f>
        <v>-0.05999276278</v>
      </c>
      <c r="BA358" s="188">
        <f>IPMT('Assumptions (NG Midstream)'!$B$72,Model!AB$1,'Assumptions (NG Midstream)'!$B$75,Model!$AV$258)</f>
        <v>-0.05629136087</v>
      </c>
      <c r="BB358" s="188">
        <f>IPMT('Assumptions (NG Midstream)'!$B$72,Model!AC$1,'Assumptions (NG Midstream)'!$B$75,Model!$AV$258)</f>
        <v>-0.05231235382</v>
      </c>
      <c r="BC358" s="188">
        <f>IPMT('Assumptions (NG Midstream)'!$B$72,Model!AD$1,'Assumptions (NG Midstream)'!$B$75,Model!$AV$258)</f>
        <v>-0.04803492124</v>
      </c>
      <c r="BD358" s="188">
        <f>IPMT('Assumptions (NG Midstream)'!$B$72,Model!AE$1,'Assumptions (NG Midstream)'!$B$75,Model!$AV$258)</f>
        <v>-0.04343668122</v>
      </c>
      <c r="BE358" s="188">
        <f>IPMT('Assumptions (NG Midstream)'!$B$72,Model!AF$1,'Assumptions (NG Midstream)'!$B$75,Model!$AV$258)</f>
        <v>-0.0384935732</v>
      </c>
      <c r="BF358" s="188">
        <f>IPMT('Assumptions (NG Midstream)'!$B$72,Model!AG$1,'Assumptions (NG Midstream)'!$B$75,Model!$AV$258)</f>
        <v>-0.03317973208</v>
      </c>
      <c r="BG358" s="188">
        <f>IPMT('Assumptions (NG Midstream)'!$B$72,Model!AH$1,'Assumptions (NG Midstream)'!$B$75,Model!$AV$258)</f>
        <v>-0.02746735287</v>
      </c>
      <c r="BH358" s="188">
        <f>IPMT('Assumptions (NG Midstream)'!$B$72,Model!AI$1,'Assumptions (NG Midstream)'!$B$75,Model!$AV$258)</f>
        <v>-0.02132654522</v>
      </c>
      <c r="BI358" s="188">
        <f>IPMT('Assumptions (NG Midstream)'!$B$72,Model!AJ$1,'Assumptions (NG Midstream)'!$B$75,Model!$AV$258)</f>
        <v>-0.01472517699</v>
      </c>
      <c r="BJ358" s="188">
        <f>IPMT('Assumptions (NG Midstream)'!$B$72,Model!AK$1,'Assumptions (NG Midstream)'!$B$75,Model!$AV$258)</f>
        <v>-0.007628706153</v>
      </c>
      <c r="BK358" s="188"/>
      <c r="BL358" s="188"/>
      <c r="BM358" s="188"/>
      <c r="BN358" s="188"/>
      <c r="BO358" s="188"/>
      <c r="BP358" s="188"/>
      <c r="BQ358" s="188"/>
      <c r="BR358" s="188"/>
      <c r="BS358" s="188"/>
      <c r="BT358" s="188"/>
    </row>
    <row r="359" ht="15.75" hidden="1" customHeight="1" outlineLevel="1">
      <c r="A359" s="187"/>
      <c r="B359" s="38"/>
      <c r="C359" s="188"/>
      <c r="D359" s="188"/>
      <c r="E359" s="188"/>
      <c r="F359" s="188"/>
      <c r="G359" s="188"/>
      <c r="H359" s="188"/>
      <c r="I359" s="188"/>
      <c r="J359" s="188"/>
      <c r="K359" s="188"/>
      <c r="L359" s="188"/>
      <c r="M359" s="188"/>
      <c r="N359" s="188"/>
      <c r="O359" s="188"/>
      <c r="P359" s="188"/>
      <c r="Q359" s="188"/>
      <c r="R359" s="188"/>
      <c r="S359" s="78"/>
      <c r="T359" s="78"/>
      <c r="U359" s="78"/>
      <c r="V359" s="78"/>
      <c r="W359" s="139"/>
      <c r="AW359" s="188">
        <f>IPMT('Assumptions (NG Midstream)'!$B$72,Model!W$1,'Assumptions (NG Midstream)'!$B$75,Model!$AW$258)</f>
        <v>-0.07897215107</v>
      </c>
      <c r="AX359" s="188">
        <f>IPMT('Assumptions (NG Midstream)'!$B$72,Model!X$1,'Assumptions (NG Midstream)'!$B$75,Model!$AW$258)</f>
        <v>-0.07594852567</v>
      </c>
      <c r="AY359" s="188">
        <f>IPMT('Assumptions (NG Midstream)'!$B$72,Model!Y$1,'Assumptions (NG Midstream)'!$B$75,Model!$AW$258)</f>
        <v>-0.07269812836</v>
      </c>
      <c r="AZ359" s="188">
        <f>IPMT('Assumptions (NG Midstream)'!$B$72,Model!Z$1,'Assumptions (NG Midstream)'!$B$75,Model!$AW$258)</f>
        <v>-0.06920395125</v>
      </c>
      <c r="BA359" s="188">
        <f>IPMT('Assumptions (NG Midstream)'!$B$72,Model!AA$1,'Assumptions (NG Midstream)'!$B$75,Model!$AW$258)</f>
        <v>-0.06544771086</v>
      </c>
      <c r="BB359" s="188">
        <f>IPMT('Assumptions (NG Midstream)'!$B$72,Model!AB$1,'Assumptions (NG Midstream)'!$B$75,Model!$AW$258)</f>
        <v>-0.06140975243</v>
      </c>
      <c r="BC359" s="188">
        <f>IPMT('Assumptions (NG Midstream)'!$B$72,Model!AC$1,'Assumptions (NG Midstream)'!$B$75,Model!$AW$258)</f>
        <v>-0.05706894713</v>
      </c>
      <c r="BD359" s="188">
        <f>IPMT('Assumptions (NG Midstream)'!$B$72,Model!AD$1,'Assumptions (NG Midstream)'!$B$75,Model!$AW$258)</f>
        <v>-0.05240258143</v>
      </c>
      <c r="BE359" s="188">
        <f>IPMT('Assumptions (NG Midstream)'!$B$72,Model!AE$1,'Assumptions (NG Midstream)'!$B$75,Model!$AW$258)</f>
        <v>-0.0473862383</v>
      </c>
      <c r="BF359" s="188">
        <f>IPMT('Assumptions (NG Midstream)'!$B$72,Model!AF$1,'Assumptions (NG Midstream)'!$B$75,Model!$AW$258)</f>
        <v>-0.04199366944</v>
      </c>
      <c r="BG359" s="188">
        <f>IPMT('Assumptions (NG Midstream)'!$B$72,Model!AG$1,'Assumptions (NG Midstream)'!$B$75,Model!$AW$258)</f>
        <v>-0.03619665791</v>
      </c>
      <c r="BH359" s="188">
        <f>IPMT('Assumptions (NG Midstream)'!$B$72,Model!AH$1,'Assumptions (NG Midstream)'!$B$75,Model!$AW$258)</f>
        <v>-0.02996487051</v>
      </c>
      <c r="BI359" s="188">
        <f>IPMT('Assumptions (NG Midstream)'!$B$72,Model!AI$1,'Assumptions (NG Midstream)'!$B$75,Model!$AW$258)</f>
        <v>-0.02326569907</v>
      </c>
      <c r="BJ359" s="188">
        <f>IPMT('Assumptions (NG Midstream)'!$B$72,Model!AJ$1,'Assumptions (NG Midstream)'!$B$75,Model!$AW$258)</f>
        <v>-0.01606408976</v>
      </c>
      <c r="BK359" s="188">
        <f>IPMT('Assumptions (NG Midstream)'!$B$72,Model!AK$1,'Assumptions (NG Midstream)'!$B$75,Model!$AW$258)</f>
        <v>-0.008322359755</v>
      </c>
      <c r="BL359" s="188"/>
      <c r="BM359" s="188"/>
      <c r="BN359" s="188"/>
      <c r="BO359" s="188"/>
      <c r="BP359" s="188"/>
      <c r="BQ359" s="188"/>
      <c r="BR359" s="188"/>
      <c r="BS359" s="188"/>
      <c r="BT359" s="188"/>
      <c r="BU359" s="188"/>
    </row>
    <row r="360" ht="15.75" hidden="1" customHeight="1" outlineLevel="1">
      <c r="A360" s="187"/>
      <c r="B360" s="38"/>
      <c r="C360" s="188"/>
      <c r="D360" s="188"/>
      <c r="E360" s="188"/>
      <c r="F360" s="188"/>
      <c r="G360" s="188"/>
      <c r="H360" s="188"/>
      <c r="I360" s="188"/>
      <c r="J360" s="188"/>
      <c r="K360" s="188"/>
      <c r="L360" s="188"/>
      <c r="M360" s="188"/>
      <c r="N360" s="188"/>
      <c r="O360" s="188"/>
      <c r="P360" s="188"/>
      <c r="Q360" s="188"/>
      <c r="R360" s="188"/>
      <c r="S360" s="78"/>
      <c r="T360" s="78"/>
      <c r="U360" s="78"/>
      <c r="V360" s="78"/>
      <c r="W360" s="139"/>
      <c r="AW360" s="188"/>
      <c r="AX360" s="188">
        <f>IPMT('Assumptions (NG Midstream)'!$B$72,Model!W$1,'Assumptions (NG Midstream)'!$B$75,Model!$AX$258)</f>
        <v>-0.08403337473</v>
      </c>
      <c r="AY360" s="188">
        <f>IPMT('Assumptions (NG Midstream)'!$B$72,Model!X$1,'Assumptions (NG Midstream)'!$B$75,Model!$AX$258)</f>
        <v>-0.08081596906</v>
      </c>
      <c r="AZ360" s="188">
        <f>IPMT('Assumptions (NG Midstream)'!$B$72,Model!Y$1,'Assumptions (NG Midstream)'!$B$75,Model!$AX$258)</f>
        <v>-0.07735725797</v>
      </c>
      <c r="BA360" s="188">
        <f>IPMT('Assumptions (NG Midstream)'!$B$72,Model!Z$1,'Assumptions (NG Midstream)'!$B$75,Model!$AX$258)</f>
        <v>-0.07363914354</v>
      </c>
      <c r="BB360" s="188">
        <f>IPMT('Assumptions (NG Midstream)'!$B$72,Model!AA$1,'Assumptions (NG Midstream)'!$B$75,Model!$AX$258)</f>
        <v>-0.06964217052</v>
      </c>
      <c r="BC360" s="188">
        <f>IPMT('Assumptions (NG Midstream)'!$B$72,Model!AB$1,'Assumptions (NG Midstream)'!$B$75,Model!$AX$258)</f>
        <v>-0.06534542454</v>
      </c>
      <c r="BD360" s="188">
        <f>IPMT('Assumptions (NG Midstream)'!$B$72,Model!AC$1,'Assumptions (NG Midstream)'!$B$75,Model!$AX$258)</f>
        <v>-0.0607264226</v>
      </c>
      <c r="BE360" s="188">
        <f>IPMT('Assumptions (NG Midstream)'!$B$72,Model!AD$1,'Assumptions (NG Midstream)'!$B$75,Model!$AX$258)</f>
        <v>-0.05576099552</v>
      </c>
      <c r="BF360" s="188">
        <f>IPMT('Assumptions (NG Midstream)'!$B$72,Model!AE$1,'Assumptions (NG Midstream)'!$B$75,Model!$AX$258)</f>
        <v>-0.05042316141</v>
      </c>
      <c r="BG360" s="188">
        <f>IPMT('Assumptions (NG Midstream)'!$B$72,Model!AF$1,'Assumptions (NG Midstream)'!$B$75,Model!$AX$258)</f>
        <v>-0.04468498974</v>
      </c>
      <c r="BH360" s="188">
        <f>IPMT('Assumptions (NG Midstream)'!$B$72,Model!AG$1,'Assumptions (NG Midstream)'!$B$75,Model!$AX$258)</f>
        <v>-0.03851645519</v>
      </c>
      <c r="BI360" s="188">
        <f>IPMT('Assumptions (NG Midstream)'!$B$72,Model!AH$1,'Assumptions (NG Midstream)'!$B$75,Model!$AX$258)</f>
        <v>-0.03188528055</v>
      </c>
      <c r="BJ360" s="188">
        <f>IPMT('Assumptions (NG Midstream)'!$B$72,Model!AI$1,'Assumptions (NG Midstream)'!$B$75,Model!$AX$258)</f>
        <v>-0.02475676782</v>
      </c>
      <c r="BK360" s="188">
        <f>IPMT('Assumptions (NG Midstream)'!$B$72,Model!AJ$1,'Assumptions (NG Midstream)'!$B$75,Model!$AX$258)</f>
        <v>-0.01709361662</v>
      </c>
      <c r="BL360" s="188">
        <f>IPMT('Assumptions (NG Midstream)'!$B$72,Model!AK$1,'Assumptions (NG Midstream)'!$B$75,Model!$AX$258)</f>
        <v>-0.008855729095</v>
      </c>
      <c r="BM360" s="188"/>
      <c r="BN360" s="188"/>
      <c r="BO360" s="188"/>
      <c r="BP360" s="188"/>
      <c r="BQ360" s="188"/>
      <c r="BR360" s="188"/>
      <c r="BS360" s="188"/>
      <c r="BT360" s="188"/>
      <c r="BU360" s="188"/>
      <c r="BV360" s="188"/>
    </row>
    <row r="361" ht="15.75" hidden="1" customHeight="1" outlineLevel="1">
      <c r="A361" s="187"/>
      <c r="B361" s="38"/>
      <c r="C361" s="188"/>
      <c r="D361" s="188"/>
      <c r="E361" s="188"/>
      <c r="F361" s="188"/>
      <c r="G361" s="188"/>
      <c r="H361" s="188"/>
      <c r="I361" s="188"/>
      <c r="J361" s="188"/>
      <c r="K361" s="188"/>
      <c r="L361" s="188"/>
      <c r="M361" s="188"/>
      <c r="N361" s="188"/>
      <c r="O361" s="188"/>
      <c r="P361" s="188"/>
      <c r="Q361" s="188"/>
      <c r="R361" s="188"/>
      <c r="S361" s="78"/>
      <c r="T361" s="78"/>
      <c r="U361" s="78"/>
      <c r="V361" s="78"/>
      <c r="W361" s="139"/>
      <c r="AW361" s="188"/>
      <c r="AX361" s="188"/>
      <c r="AY361" s="188">
        <f>IPMT('Assumptions (NG Midstream)'!$B$72,Model!W$1,'Assumptions (NG Midstream)'!$B$75,Model!$AY$258)</f>
        <v>-0.07453314843</v>
      </c>
      <c r="AZ361" s="188">
        <f>IPMT('Assumptions (NG Midstream)'!$B$72,Model!X$1,'Assumptions (NG Midstream)'!$B$75,Model!$AY$258)</f>
        <v>-0.07167948017</v>
      </c>
      <c r="BA361" s="188">
        <f>IPMT('Assumptions (NG Midstream)'!$B$72,Model!Y$1,'Assumptions (NG Midstream)'!$B$75,Model!$AY$258)</f>
        <v>-0.06861178679</v>
      </c>
      <c r="BB361" s="188">
        <f>IPMT('Assumptions (NG Midstream)'!$B$72,Model!Z$1,'Assumptions (NG Midstream)'!$B$75,Model!$AY$258)</f>
        <v>-0.0653140164</v>
      </c>
      <c r="BC361" s="188">
        <f>IPMT('Assumptions (NG Midstream)'!$B$72,Model!AA$1,'Assumptions (NG Midstream)'!$B$75,Model!$AY$258)</f>
        <v>-0.06176891324</v>
      </c>
      <c r="BD361" s="188">
        <f>IPMT('Assumptions (NG Midstream)'!$B$72,Model!AB$1,'Assumptions (NG Midstream)'!$B$75,Model!$AY$258)</f>
        <v>-0.05795792733</v>
      </c>
      <c r="BE361" s="188">
        <f>IPMT('Assumptions (NG Midstream)'!$B$72,Model!AC$1,'Assumptions (NG Midstream)'!$B$75,Model!$AY$258)</f>
        <v>-0.05386111749</v>
      </c>
      <c r="BF361" s="188">
        <f>IPMT('Assumptions (NG Midstream)'!$B$72,Model!AD$1,'Assumptions (NG Midstream)'!$B$75,Model!$AY$258)</f>
        <v>-0.0494570469</v>
      </c>
      <c r="BG361" s="188">
        <f>IPMT('Assumptions (NG Midstream)'!$B$72,Model!AE$1,'Assumptions (NG Midstream)'!$B$75,Model!$AY$258)</f>
        <v>-0.04472267103</v>
      </c>
      <c r="BH361" s="188">
        <f>IPMT('Assumptions (NG Midstream)'!$B$72,Model!AF$1,'Assumptions (NG Midstream)'!$B$75,Model!$AY$258)</f>
        <v>-0.03963321696</v>
      </c>
      <c r="BI361" s="188">
        <f>IPMT('Assumptions (NG Midstream)'!$B$72,Model!AG$1,'Assumptions (NG Midstream)'!$B$75,Model!$AY$258)</f>
        <v>-0.03416205384</v>
      </c>
      <c r="BJ361" s="188">
        <f>IPMT('Assumptions (NG Midstream)'!$B$72,Model!AH$1,'Assumptions (NG Midstream)'!$B$75,Model!$AY$258)</f>
        <v>-0.02828055348</v>
      </c>
      <c r="BK361" s="188">
        <f>IPMT('Assumptions (NG Midstream)'!$B$72,Model!AI$1,'Assumptions (NG Midstream)'!$B$75,Model!$AY$258)</f>
        <v>-0.02195794059</v>
      </c>
      <c r="BL361" s="188">
        <f>IPMT('Assumptions (NG Midstream)'!$B$72,Model!AJ$1,'Assumptions (NG Midstream)'!$B$75,Model!$AY$258)</f>
        <v>-0.01516113174</v>
      </c>
      <c r="BM361" s="188">
        <f>IPMT('Assumptions (NG Midstream)'!$B$72,Model!AK$1,'Assumptions (NG Midstream)'!$B$75,Model!$AY$258)</f>
        <v>-0.007854562228</v>
      </c>
      <c r="BN361" s="188"/>
      <c r="BO361" s="188"/>
      <c r="BP361" s="188"/>
      <c r="BQ361" s="188"/>
      <c r="BR361" s="188"/>
      <c r="BS361" s="188"/>
      <c r="BT361" s="188"/>
      <c r="BU361" s="188"/>
      <c r="BV361" s="188"/>
      <c r="BW361" s="188"/>
    </row>
    <row r="362" ht="15.75" hidden="1" customHeight="1" outlineLevel="1">
      <c r="A362" s="187"/>
      <c r="B362" s="38"/>
      <c r="C362" s="188"/>
      <c r="D362" s="188"/>
      <c r="E362" s="188"/>
      <c r="F362" s="188"/>
      <c r="G362" s="188"/>
      <c r="H362" s="188"/>
      <c r="I362" s="188"/>
      <c r="J362" s="188"/>
      <c r="K362" s="188"/>
      <c r="L362" s="188"/>
      <c r="M362" s="188"/>
      <c r="N362" s="188"/>
      <c r="O362" s="188"/>
      <c r="P362" s="188"/>
      <c r="Q362" s="188"/>
      <c r="R362" s="188"/>
      <c r="S362" s="78"/>
      <c r="T362" s="78"/>
      <c r="U362" s="78"/>
      <c r="V362" s="78"/>
      <c r="W362" s="139"/>
      <c r="AW362" s="188"/>
      <c r="AX362" s="188"/>
      <c r="AY362" s="188"/>
      <c r="AZ362" s="188">
        <f>IPMT('Assumptions (NG Midstream)'!$B$72,Model!W$1,'Assumptions (NG Midstream)'!$B$75,Model!$AZ$258)</f>
        <v>-0.07880181888</v>
      </c>
      <c r="BA362" s="188">
        <f>IPMT('Assumptions (NG Midstream)'!$B$72,Model!X$1,'Assumptions (NG Midstream)'!$B$75,Model!$AZ$258)</f>
        <v>-0.07578471503</v>
      </c>
      <c r="BB362" s="188">
        <f>IPMT('Assumptions (NG Midstream)'!$B$72,Model!Y$1,'Assumptions (NG Midstream)'!$B$75,Model!$AZ$258)</f>
        <v>-0.07254132838</v>
      </c>
      <c r="BC362" s="188">
        <f>IPMT('Assumptions (NG Midstream)'!$B$72,Model!Z$1,'Assumptions (NG Midstream)'!$B$75,Model!$AZ$258)</f>
        <v>-0.06905468774</v>
      </c>
      <c r="BD362" s="188">
        <f>IPMT('Assumptions (NG Midstream)'!$B$72,Model!AA$1,'Assumptions (NG Midstream)'!$B$75,Model!$AZ$258)</f>
        <v>-0.06530654904</v>
      </c>
      <c r="BE362" s="188">
        <f>IPMT('Assumptions (NG Midstream)'!$B$72,Model!AB$1,'Assumptions (NG Midstream)'!$B$75,Model!$AZ$258)</f>
        <v>-0.06127729995</v>
      </c>
      <c r="BF362" s="188">
        <f>IPMT('Assumptions (NG Midstream)'!$B$72,Model!AC$1,'Assumptions (NG Midstream)'!$B$75,Model!$AZ$258)</f>
        <v>-0.05694585717</v>
      </c>
      <c r="BG362" s="188">
        <f>IPMT('Assumptions (NG Midstream)'!$B$72,Model!AD$1,'Assumptions (NG Midstream)'!$B$75,Model!$AZ$258)</f>
        <v>-0.05228955619</v>
      </c>
      <c r="BH362" s="188">
        <f>IPMT('Assumptions (NG Midstream)'!$B$72,Model!AE$1,'Assumptions (NG Midstream)'!$B$75,Model!$AZ$258)</f>
        <v>-0.04728403263</v>
      </c>
      <c r="BI362" s="188">
        <f>IPMT('Assumptions (NG Midstream)'!$B$72,Model!AF$1,'Assumptions (NG Midstream)'!$B$75,Model!$AZ$258)</f>
        <v>-0.0419030948</v>
      </c>
      <c r="BJ362" s="188">
        <f>IPMT('Assumptions (NG Midstream)'!$B$72,Model!AG$1,'Assumptions (NG Midstream)'!$B$75,Model!$AZ$258)</f>
        <v>-0.03611858664</v>
      </c>
      <c r="BK362" s="188">
        <f>IPMT('Assumptions (NG Midstream)'!$B$72,Model!AH$1,'Assumptions (NG Midstream)'!$B$75,Model!$AZ$258)</f>
        <v>-0.02990024036</v>
      </c>
      <c r="BL362" s="188">
        <f>IPMT('Assumptions (NG Midstream)'!$B$72,Model!AI$1,'Assumptions (NG Midstream)'!$B$75,Model!$AZ$258)</f>
        <v>-0.02321551812</v>
      </c>
      <c r="BM362" s="188">
        <f>IPMT('Assumptions (NG Midstream)'!$B$72,Model!AJ$1,'Assumptions (NG Midstream)'!$B$75,Model!$AZ$258)</f>
        <v>-0.0160294417</v>
      </c>
      <c r="BN362" s="188">
        <f>IPMT('Assumptions (NG Midstream)'!$B$72,Model!AK$1,'Assumptions (NG Midstream)'!$B$75,Model!$AZ$258)</f>
        <v>-0.008304409556</v>
      </c>
      <c r="BO362" s="188"/>
      <c r="BP362" s="188"/>
      <c r="BQ362" s="188"/>
      <c r="BR362" s="188"/>
      <c r="BS362" s="188"/>
      <c r="BT362" s="188"/>
      <c r="BU362" s="188"/>
      <c r="BV362" s="188"/>
      <c r="BW362" s="188"/>
      <c r="BX362" s="188"/>
    </row>
    <row r="363" ht="15.75" hidden="1" customHeight="1" outlineLevel="1">
      <c r="A363" s="187"/>
      <c r="B363" s="38"/>
      <c r="C363" s="188"/>
      <c r="D363" s="188"/>
      <c r="E363" s="188"/>
      <c r="F363" s="188"/>
      <c r="G363" s="188"/>
      <c r="H363" s="188"/>
      <c r="I363" s="188"/>
      <c r="J363" s="188"/>
      <c r="K363" s="188"/>
      <c r="L363" s="188"/>
      <c r="M363" s="188"/>
      <c r="N363" s="188"/>
      <c r="O363" s="188"/>
      <c r="P363" s="188"/>
      <c r="Q363" s="188"/>
      <c r="R363" s="188"/>
      <c r="S363" s="78"/>
      <c r="T363" s="78"/>
      <c r="U363" s="78"/>
      <c r="V363" s="78"/>
      <c r="W363" s="139"/>
      <c r="BA363" s="188">
        <f>IPMT('Assumptions (NG Midstream)'!$B$72,Model!W$1,'Assumptions (NG Midstream)'!$B$75,Model!$BA$258)</f>
        <v>-0.0788084447</v>
      </c>
      <c r="BB363" s="188">
        <f>IPMT('Assumptions (NG Midstream)'!$B$72,Model!X$1,'Assumptions (NG Midstream)'!$B$75,Model!$BA$258)</f>
        <v>-0.07579108716</v>
      </c>
      <c r="BC363" s="188">
        <f>IPMT('Assumptions (NG Midstream)'!$B$72,Model!Y$1,'Assumptions (NG Midstream)'!$B$75,Model!$BA$258)</f>
        <v>-0.07254742781</v>
      </c>
      <c r="BD363" s="188">
        <f>IPMT('Assumptions (NG Midstream)'!$B$72,Model!Z$1,'Assumptions (NG Midstream)'!$B$75,Model!$BA$258)</f>
        <v>-0.069060494</v>
      </c>
      <c r="BE363" s="188">
        <f>IPMT('Assumptions (NG Midstream)'!$B$72,Model!AA$1,'Assumptions (NG Midstream)'!$B$75,Model!$BA$258)</f>
        <v>-0.06531204015</v>
      </c>
      <c r="BF363" s="188">
        <f>IPMT('Assumptions (NG Midstream)'!$B$72,Model!AB$1,'Assumptions (NG Midstream)'!$B$75,Model!$BA$258)</f>
        <v>-0.06128245227</v>
      </c>
      <c r="BG363" s="188">
        <f>IPMT('Assumptions (NG Midstream)'!$B$72,Model!AC$1,'Assumptions (NG Midstream)'!$B$75,Model!$BA$258)</f>
        <v>-0.0569506453</v>
      </c>
      <c r="BH363" s="188">
        <f>IPMT('Assumptions (NG Midstream)'!$B$72,Model!AD$1,'Assumptions (NG Midstream)'!$B$75,Model!$BA$258)</f>
        <v>-0.0522939528</v>
      </c>
      <c r="BI363" s="188">
        <f>IPMT('Assumptions (NG Midstream)'!$B$72,Model!AE$1,'Assumptions (NG Midstream)'!$B$75,Model!$BA$258)</f>
        <v>-0.04728800837</v>
      </c>
      <c r="BJ363" s="188">
        <f>IPMT('Assumptions (NG Midstream)'!$B$72,Model!AF$1,'Assumptions (NG Midstream)'!$B$75,Model!$BA$258)</f>
        <v>-0.0419066181</v>
      </c>
      <c r="BK363" s="188">
        <f>IPMT('Assumptions (NG Midstream)'!$B$72,Model!AG$1,'Assumptions (NG Midstream)'!$B$75,Model!$BA$258)</f>
        <v>-0.03612162356</v>
      </c>
      <c r="BL363" s="188">
        <f>IPMT('Assumptions (NG Midstream)'!$B$72,Model!AH$1,'Assumptions (NG Midstream)'!$B$75,Model!$BA$258)</f>
        <v>-0.02990275444</v>
      </c>
      <c r="BM363" s="188">
        <f>IPMT('Assumptions (NG Midstream)'!$B$72,Model!AI$1,'Assumptions (NG Midstream)'!$B$75,Model!$BA$258)</f>
        <v>-0.02321747013</v>
      </c>
      <c r="BN363" s="188">
        <f>IPMT('Assumptions (NG Midstream)'!$B$72,Model!AJ$1,'Assumptions (NG Midstream)'!$B$75,Model!$BA$258)</f>
        <v>-0.01603078949</v>
      </c>
      <c r="BO363" s="188">
        <f>IPMT('Assumptions (NG Midstream)'!$B$72,Model!AK$1,'Assumptions (NG Midstream)'!$B$75,Model!$BA$258)</f>
        <v>-0.008305107808</v>
      </c>
      <c r="BP363" s="188"/>
      <c r="BQ363" s="188"/>
      <c r="BR363" s="188"/>
      <c r="BS363" s="188"/>
      <c r="BT363" s="188"/>
      <c r="BU363" s="188"/>
      <c r="BV363" s="188"/>
      <c r="BW363" s="188"/>
      <c r="BX363" s="188"/>
      <c r="BY363" s="188"/>
    </row>
    <row r="364" ht="15.75" customHeight="1" collapsed="1">
      <c r="A364" s="187" t="s">
        <v>372</v>
      </c>
      <c r="B364" s="159" t="s">
        <v>351</v>
      </c>
      <c r="C364" s="95">
        <f>SUM($C$257:C257)*'Assumptions (NG Midstream)'!$B$77</f>
        <v>0.101403132</v>
      </c>
      <c r="D364" s="95">
        <f>SUM($C$257:D257)*'Assumptions (NG Midstream)'!$B$77</f>
        <v>0.2335876768</v>
      </c>
      <c r="E364" s="95">
        <f>SUM($C$257:E257)*'Assumptions (NG Midstream)'!$B$77</f>
        <v>0.3949824869</v>
      </c>
      <c r="F364" s="95">
        <f>SUM($C$257:F257)*'Assumptions (NG Midstream)'!$B$77</f>
        <v>0.5980151992</v>
      </c>
      <c r="G364" s="95">
        <f>SUM($C$257:G257)*'Assumptions (NG Midstream)'!$B$77</f>
        <v>0.7187039375</v>
      </c>
      <c r="H364" s="95">
        <f>SUM($C$257:H257)*'Assumptions (NG Midstream)'!$B$77</f>
        <v>0.8385760884</v>
      </c>
      <c r="I364" s="95">
        <f>SUM($C$257:I257)*'Assumptions (NG Midstream)'!$B$77</f>
        <v>0.9902702796</v>
      </c>
      <c r="J364" s="95">
        <f>SUM($C$257:J257)*'Assumptions (NG Midstream)'!$B$77</f>
        <v>1.245950104</v>
      </c>
      <c r="K364" s="95">
        <f>SUM($C$257:K257)*'Assumptions (NG Midstream)'!$B$77</f>
        <v>1.715029289</v>
      </c>
      <c r="L364" s="95">
        <f>SUM($C$257:L257)*'Assumptions (NG Midstream)'!$B$77</f>
        <v>2.31787796</v>
      </c>
      <c r="M364" s="95">
        <f>SUM($C$257:M257)*'Assumptions (NG Midstream)'!$B$77</f>
        <v>2.517571689</v>
      </c>
      <c r="N364" s="95">
        <f>SUM($C$257:N257)*'Assumptions (NG Midstream)'!$B$77</f>
        <v>3.086390986</v>
      </c>
      <c r="O364" s="95">
        <f>SUM($C$257:O257)*'Assumptions (NG Midstream)'!$B$77</f>
        <v>3.293431667</v>
      </c>
      <c r="P364" s="95">
        <f>SUM($C$257:P257)*'Assumptions (NG Midstream)'!$B$77</f>
        <v>3.55527797</v>
      </c>
      <c r="Q364" s="95">
        <f>SUM($C$257:Q257)*'Assumptions (NG Midstream)'!$B$77</f>
        <v>3.7312841</v>
      </c>
      <c r="R364" s="95">
        <f>SUM($C$257:R257)*'Assumptions (NG Midstream)'!$B$77</f>
        <v>3.984718444</v>
      </c>
      <c r="S364" s="95">
        <f>SUM($C$257:S257)*'Assumptions (NG Midstream)'!$B$77</f>
        <v>4.218598105</v>
      </c>
      <c r="T364" s="95">
        <f>SUM($C$257:T257)*'Assumptions (NG Midstream)'!$B$77</f>
        <v>4.482347181</v>
      </c>
      <c r="U364" s="95">
        <f>SUM($C$257:U257)*'Assumptions (NG Midstream)'!$B$77</f>
        <v>4.518011349</v>
      </c>
      <c r="V364" s="95">
        <f>SUM($C$257:V257)*'Assumptions (NG Midstream)'!$B$77</f>
        <v>4.631031266</v>
      </c>
      <c r="W364" s="95">
        <f>SUM($C$257:W257)*'Assumptions (NG Midstream)'!$B$77</f>
        <v>4.703815059</v>
      </c>
      <c r="X364" s="95">
        <f>SUM($C$257:X257)*'Assumptions (NG Midstream)'!$B$77</f>
        <v>4.769483982</v>
      </c>
      <c r="Y364" s="95">
        <f>SUM($C$257:Y257)*'Assumptions (NG Midstream)'!$B$77</f>
        <v>4.853793706</v>
      </c>
      <c r="Z364" s="95">
        <f>SUM($C$257:Z257)*'Assumptions (NG Midstream)'!$B$77</f>
        <v>4.94448342</v>
      </c>
      <c r="AA364" s="95">
        <f>SUM($C$257:AA257)*'Assumptions (NG Midstream)'!$B$77</f>
        <v>5.035701791</v>
      </c>
      <c r="AB364" s="95">
        <f>SUM($C$257:AB257)*'Assumptions (NG Midstream)'!$B$77</f>
        <v>5.12173045</v>
      </c>
      <c r="AC364" s="95">
        <f>SUM($C$257:AC257)*'Assumptions (NG Midstream)'!$B$77</f>
        <v>5.194103418</v>
      </c>
      <c r="AD364" s="95">
        <f>SUM($C$257:AD257)*'Assumptions (NG Midstream)'!$B$77</f>
        <v>5.263167756</v>
      </c>
      <c r="AE364" s="95">
        <f>SUM($C$257:AE257)*'Assumptions (NG Midstream)'!$B$77</f>
        <v>5.321917184</v>
      </c>
      <c r="AF364" s="95">
        <f>SUM($C$257:AF257)*'Assumptions (NG Midstream)'!$B$77</f>
        <v>5.374203261</v>
      </c>
      <c r="AG364" s="95">
        <f>SUM(D$257:AG257)*'Assumptions (NG Midstream)'!$B$77</f>
        <v>5.333903525</v>
      </c>
      <c r="AH364" s="95">
        <f>SUM(E$257:AH257)*'Assumptions (NG Midstream)'!$B$77</f>
        <v>5.266021208</v>
      </c>
      <c r="AI364" s="95">
        <f>SUM(F$257:AI257)*'Assumptions (NG Midstream)'!$B$77</f>
        <v>5.157924351</v>
      </c>
      <c r="AJ364" s="95">
        <f>SUM(G$257:AJ257)*'Assumptions (NG Midstream)'!$B$77</f>
        <v>5.016156039</v>
      </c>
      <c r="AK364" s="95">
        <f>SUM(H$257:AK257)*'Assumptions (NG Midstream)'!$B$77</f>
        <v>4.952189569</v>
      </c>
      <c r="AL364" s="95">
        <f>SUM(I$257:AL257)*'Assumptions (NG Midstream)'!$B$77</f>
        <v>4.889843586</v>
      </c>
      <c r="AM364" s="95">
        <f>SUM(J$257:AM257)*'Assumptions (NG Midstream)'!$B$77</f>
        <v>4.791339487</v>
      </c>
      <c r="AN364" s="95">
        <f>SUM(K$257:AN257)*'Assumptions (NG Midstream)'!$B$77</f>
        <v>4.591453082</v>
      </c>
      <c r="AO364" s="95">
        <f>SUM(L$257:AO257)*'Assumptions (NG Midstream)'!$B$77</f>
        <v>4.175418225</v>
      </c>
      <c r="AP364" s="95">
        <f>SUM(M$257:AP257)*'Assumptions (NG Midstream)'!$B$77</f>
        <v>3.627721552</v>
      </c>
      <c r="AQ364" s="95">
        <f>SUM(N$257:AQ257)*'Assumptions (NG Midstream)'!$B$77</f>
        <v>3.480145974</v>
      </c>
      <c r="AR364" s="95">
        <f>SUM(O$257:AR257)*'Assumptions (NG Midstream)'!$B$77</f>
        <v>2.967041139</v>
      </c>
      <c r="AS364" s="95">
        <f>SUM(P$257:AS257)*'Assumptions (NG Midstream)'!$B$77</f>
        <v>2.814086489</v>
      </c>
      <c r="AT364" s="95">
        <f>SUM(Q$257:AT257)*'Assumptions (NG Midstream)'!$B$77</f>
        <v>2.613737763</v>
      </c>
      <c r="AU364" s="95">
        <f>SUM(R$257:AU257)*'Assumptions (NG Midstream)'!$B$77</f>
        <v>2.494418575</v>
      </c>
      <c r="AV364" s="95">
        <f>SUM(S$257:AV257)*'Assumptions (NG Midstream)'!$B$77</f>
        <v>2.294606428</v>
      </c>
      <c r="AW364" s="95">
        <f>SUM(T$257:AW257)*'Assumptions (NG Midstream)'!$B$77</f>
        <v>2.119224656</v>
      </c>
      <c r="AX364" s="95">
        <f>SUM(U$257:AX257)*'Assumptions (NG Midstream)'!$B$77</f>
        <v>1.917722524</v>
      </c>
      <c r="AY364" s="95">
        <f>SUM(V$257:AY257)*'Assumptions (NG Midstream)'!$B$77</f>
        <v>1.937268096</v>
      </c>
      <c r="AZ364" s="95">
        <f>SUM(W$257:AZ257)*'Assumptions (NG Midstream)'!$B$77</f>
        <v>1.882619896</v>
      </c>
      <c r="BA364" s="95">
        <f>SUM(X$257:BA257)*'Assumptions (NG Midstream)'!$B$77</f>
        <v>1.868212729</v>
      </c>
      <c r="BB364" s="95">
        <f>SUM(Y$257:BB257)*'Assumptions (NG Midstream)'!$B$77</f>
        <v>1.802543806</v>
      </c>
      <c r="BC364" s="95">
        <f>SUM(Z$257:BC257)*'Assumptions (NG Midstream)'!$B$77</f>
        <v>1.718234082</v>
      </c>
      <c r="BD364" s="95">
        <f>SUM(AA$257:BD257)*'Assumptions (NG Midstream)'!$B$77</f>
        <v>1.627544368</v>
      </c>
      <c r="BE364" s="95">
        <f>SUM(AB$257:BE257)*'Assumptions (NG Midstream)'!$B$77</f>
        <v>1.536325997</v>
      </c>
      <c r="BF364" s="95">
        <f>SUM(AC$257:BF257)*'Assumptions (NG Midstream)'!$B$77</f>
        <v>1.450297338</v>
      </c>
      <c r="BG364" s="95">
        <f>SUM(AD$257:BG257)*'Assumptions (NG Midstream)'!$B$77</f>
        <v>1.37792437</v>
      </c>
      <c r="BH364" s="95">
        <f>SUM(AE$257:BH257)*'Assumptions (NG Midstream)'!$B$77</f>
        <v>1.308860033</v>
      </c>
      <c r="BI364" s="95">
        <f>SUM(AF$257:BI257)*'Assumptions (NG Midstream)'!$B$77</f>
        <v>1.250110604</v>
      </c>
      <c r="BJ364" s="95">
        <f>SUM(AG$257:BJ257)*'Assumptions (NG Midstream)'!$B$77</f>
        <v>1.197824527</v>
      </c>
      <c r="BK364" s="95">
        <f>SUM(AH$257:BK257)*'Assumptions (NG Midstream)'!$B$77</f>
        <v>1.136721132</v>
      </c>
      <c r="BL364" s="95">
        <f>SUM(AI$257:BL257)*'Assumptions (NG Midstream)'!$B$77</f>
        <v>1.072418903</v>
      </c>
      <c r="BM364" s="95">
        <f>SUM(AJ$257:BM257)*'Assumptions (NG Midstream)'!$B$77</f>
        <v>1.01912095</v>
      </c>
      <c r="BN364" s="95">
        <f>SUM(AK$257:BN257)*'Assumptions (NG Midstream)'!$B$77</f>
        <v>0.9578565497</v>
      </c>
      <c r="BO364" s="95">
        <f>SUM(AL$257:BO257)*'Assumptions (NG Midstream)'!$B$77</f>
        <v>0.9011342816</v>
      </c>
      <c r="BP364" s="95">
        <f>SUM(AM$257:BP257)*'Assumptions (NG Midstream)'!$B$77</f>
        <v>0.8436081143</v>
      </c>
      <c r="BQ364" s="95">
        <f>SUM(AN$257:BQ257)*'Assumptions (NG Midstream)'!$B$77</f>
        <v>0.7904180216</v>
      </c>
      <c r="BR364" s="95">
        <f>SUM(AO$257:BR257)*'Assumptions (NG Midstream)'!$B$77</f>
        <v>0.7346246027</v>
      </c>
      <c r="BS364" s="95">
        <f>SUM(AP$257:BS257)*'Assumptions (NG Midstream)'!$B$77</f>
        <v>0.6815802738</v>
      </c>
      <c r="BT364" s="95">
        <f>SUM(AQ$257:BT257)*'Assumptions (NG Midstream)'!$B$77</f>
        <v>0.6264282753</v>
      </c>
      <c r="BU364" s="95">
        <f>SUM(AR$257:BU257)*'Assumptions (NG Midstream)'!$B$77</f>
        <v>0.5743101251</v>
      </c>
      <c r="BV364" s="95">
        <f>SUM(AS$257:BV257)*'Assumptions (NG Midstream)'!$B$77</f>
        <v>0.5185956626</v>
      </c>
      <c r="BW364" s="95">
        <f>SUM(AT$257:BW257)*'Assumptions (NG Midstream)'!$B$77</f>
        <v>0.4645096325</v>
      </c>
      <c r="BX364" s="95">
        <f>SUM(AU$257:BX257)*'Assumptions (NG Midstream)'!$B$77</f>
        <v>0.4030120548</v>
      </c>
      <c r="BY364" s="95">
        <f>SUM(AV$257:BY257)*'Assumptions (NG Midstream)'!$B$77</f>
        <v>0.3463251135</v>
      </c>
      <c r="BZ364" s="95">
        <f>SUM(AW$257:BZ257)*'Assumptions (NG Midstream)'!$B$77</f>
        <v>0.2927029169</v>
      </c>
      <c r="CA364" s="95">
        <f>SUM(AX$257:CA257)*'Assumptions (NG Midstream)'!$B$77</f>
        <v>0.2342050272</v>
      </c>
      <c r="CB364" s="95">
        <f>SUM(AY$257:CB257)*'Assumptions (NG Midstream)'!$B$77</f>
        <v>0.171958083</v>
      </c>
      <c r="CC364" s="95">
        <f>SUM(AZ$257:CC257)*'Assumptions (NG Midstream)'!$B$77</f>
        <v>0.1167483434</v>
      </c>
      <c r="CD364" s="95">
        <f>SUM(BA$257:CD257)*'Assumptions (NG Midstream)'!$B$77</f>
        <v>0.05837662571</v>
      </c>
    </row>
    <row r="365" ht="15.75" customHeight="1">
      <c r="A365" s="187" t="s">
        <v>373</v>
      </c>
      <c r="B365" s="159" t="s">
        <v>351</v>
      </c>
      <c r="C365" s="95">
        <f t="shared" ref="C365:BU365" si="9">SUM(C366:C416)</f>
        <v>0.1140785235</v>
      </c>
      <c r="D365" s="95">
        <f t="shared" si="9"/>
        <v>0.3683163759</v>
      </c>
      <c r="E365" s="95">
        <f t="shared" si="9"/>
        <v>0.6709618437</v>
      </c>
      <c r="F365" s="95">
        <f t="shared" si="9"/>
        <v>1.030633547</v>
      </c>
      <c r="G365" s="95">
        <f t="shared" si="9"/>
        <v>1.317518728</v>
      </c>
      <c r="H365" s="95">
        <f t="shared" si="9"/>
        <v>1.489333076</v>
      </c>
      <c r="I365" s="95">
        <f t="shared" si="9"/>
        <v>1.683145327</v>
      </c>
      <c r="J365" s="95">
        <f t="shared" si="9"/>
        <v>2.015196261</v>
      </c>
      <c r="K365" s="95">
        <f t="shared" si="9"/>
        <v>2.687919526</v>
      </c>
      <c r="L365" s="95">
        <f t="shared" si="9"/>
        <v>3.713472595</v>
      </c>
      <c r="M365" s="95">
        <f t="shared" si="9"/>
        <v>4.374799625</v>
      </c>
      <c r="N365" s="95">
        <f t="shared" si="9"/>
        <v>4.967867191</v>
      </c>
      <c r="O365" s="95">
        <f t="shared" si="9"/>
        <v>5.538312722</v>
      </c>
      <c r="P365" s="95">
        <f t="shared" si="9"/>
        <v>5.732487002</v>
      </c>
      <c r="Q365" s="95">
        <f t="shared" si="9"/>
        <v>5.892113548</v>
      </c>
      <c r="R365" s="95">
        <f t="shared" si="9"/>
        <v>6.054013697</v>
      </c>
      <c r="S365" s="95">
        <f t="shared" si="9"/>
        <v>6.312653026</v>
      </c>
      <c r="T365" s="95">
        <f t="shared" si="9"/>
        <v>6.621514854</v>
      </c>
      <c r="U365" s="95">
        <f t="shared" si="9"/>
        <v>6.711153405</v>
      </c>
      <c r="V365" s="95">
        <f t="shared" si="9"/>
        <v>6.675446905</v>
      </c>
      <c r="W365" s="95">
        <f t="shared" si="9"/>
        <v>6.642977679</v>
      </c>
      <c r="X365" s="95">
        <f t="shared" si="9"/>
        <v>6.491739512</v>
      </c>
      <c r="Y365" s="95">
        <f t="shared" si="9"/>
        <v>6.331758449</v>
      </c>
      <c r="Z365" s="95">
        <f t="shared" si="9"/>
        <v>6.174259228</v>
      </c>
      <c r="AA365" s="95">
        <f t="shared" si="9"/>
        <v>6.068752979</v>
      </c>
      <c r="AB365" s="95">
        <f t="shared" si="9"/>
        <v>6.031643068</v>
      </c>
      <c r="AC365" s="95">
        <f t="shared" si="9"/>
        <v>5.950279175</v>
      </c>
      <c r="AD365" s="95">
        <f t="shared" si="9"/>
        <v>5.761937598</v>
      </c>
      <c r="AE365" s="95">
        <f t="shared" si="9"/>
        <v>5.347025906</v>
      </c>
      <c r="AF365" s="95">
        <f t="shared" si="9"/>
        <v>4.682874725</v>
      </c>
      <c r="AG365" s="95">
        <f t="shared" si="9"/>
        <v>4.205335978</v>
      </c>
      <c r="AH365" s="95">
        <f t="shared" si="9"/>
        <v>3.769000796</v>
      </c>
      <c r="AI365" s="95">
        <f t="shared" si="9"/>
        <v>3.321994019</v>
      </c>
      <c r="AJ365" s="95">
        <f t="shared" si="9"/>
        <v>3.080500624</v>
      </c>
      <c r="AK365" s="95">
        <f t="shared" si="9"/>
        <v>2.865549044</v>
      </c>
      <c r="AL365" s="95">
        <f t="shared" si="9"/>
        <v>2.653283099</v>
      </c>
      <c r="AM365" s="95">
        <f t="shared" si="9"/>
        <v>2.398636677</v>
      </c>
      <c r="AN365" s="95">
        <f t="shared" si="9"/>
        <v>2.135235971</v>
      </c>
      <c r="AO365" s="95">
        <f t="shared" si="9"/>
        <v>2.005011515</v>
      </c>
      <c r="AP365" s="95">
        <f t="shared" si="9"/>
        <v>1.976109904</v>
      </c>
      <c r="AQ365" s="95">
        <f t="shared" si="9"/>
        <v>1.921558575</v>
      </c>
      <c r="AR365" s="95">
        <f t="shared" si="9"/>
        <v>1.900109751</v>
      </c>
      <c r="AS365" s="95">
        <f t="shared" si="9"/>
        <v>1.873589922</v>
      </c>
      <c r="AT365" s="95">
        <f t="shared" si="9"/>
        <v>1.837058273</v>
      </c>
      <c r="AU365" s="95">
        <f t="shared" si="9"/>
        <v>1.798192388</v>
      </c>
      <c r="AV365" s="95">
        <f t="shared" si="9"/>
        <v>1.752933546</v>
      </c>
      <c r="AW365" s="95">
        <f t="shared" si="9"/>
        <v>1.722186438</v>
      </c>
      <c r="AX365" s="95">
        <f t="shared" si="9"/>
        <v>1.712358234</v>
      </c>
      <c r="AY365" s="95">
        <f t="shared" si="9"/>
        <v>1.706861348</v>
      </c>
      <c r="AZ365" s="95">
        <f t="shared" si="9"/>
        <v>1.70777058</v>
      </c>
      <c r="BA365" s="95">
        <f t="shared" si="9"/>
        <v>1.710474535</v>
      </c>
      <c r="BB365" s="95">
        <f t="shared" si="9"/>
        <v>1.639635101</v>
      </c>
      <c r="BC365" s="95">
        <f t="shared" si="9"/>
        <v>1.513117272</v>
      </c>
      <c r="BD365" s="95">
        <f t="shared" si="9"/>
        <v>1.397674372</v>
      </c>
      <c r="BE365" s="95">
        <f t="shared" si="9"/>
        <v>1.288617746</v>
      </c>
      <c r="BF365" s="95">
        <f t="shared" si="9"/>
        <v>1.190524668</v>
      </c>
      <c r="BG365" s="95">
        <f t="shared" si="9"/>
        <v>1.102061708</v>
      </c>
      <c r="BH365" s="95">
        <f t="shared" si="9"/>
        <v>1.021662915</v>
      </c>
      <c r="BI365" s="95">
        <f t="shared" si="9"/>
        <v>0.9477619423</v>
      </c>
      <c r="BJ365" s="95">
        <f t="shared" si="9"/>
        <v>0.8753496293</v>
      </c>
      <c r="BK365" s="95">
        <f t="shared" si="9"/>
        <v>0.8035667755</v>
      </c>
      <c r="BL365" s="95">
        <f t="shared" si="9"/>
        <v>0.7313969866</v>
      </c>
      <c r="BM365" s="95">
        <f t="shared" si="9"/>
        <v>0.6579216525</v>
      </c>
      <c r="BN365" s="95">
        <f t="shared" si="9"/>
        <v>0.580563634</v>
      </c>
      <c r="BO365" s="95">
        <f t="shared" si="9"/>
        <v>0.5014790945</v>
      </c>
      <c r="BP365" s="95">
        <f t="shared" si="9"/>
        <v>0.4276498355</v>
      </c>
      <c r="BQ365" s="95">
        <f t="shared" si="9"/>
        <v>0.3526233014</v>
      </c>
      <c r="BR365" s="95">
        <f t="shared" si="9"/>
        <v>0.2718108937</v>
      </c>
      <c r="BS365" s="95">
        <f t="shared" si="9"/>
        <v>0.1932136997</v>
      </c>
      <c r="BT365" s="95">
        <f t="shared" si="9"/>
        <v>0.1171936288</v>
      </c>
      <c r="BU365" s="95">
        <f t="shared" si="9"/>
        <v>0.03907147559</v>
      </c>
    </row>
    <row r="366" ht="15.75" hidden="1" customHeight="1" outlineLevel="1">
      <c r="A366" s="187"/>
      <c r="B366" s="38"/>
      <c r="C366" s="95">
        <f>$C257*'Assumptions (NG Midstream)'!B$76</f>
        <v>0.1140785235</v>
      </c>
      <c r="D366" s="95">
        <f>$C257*'Assumptions (NG Midstream)'!C$76</f>
        <v>0.219608763</v>
      </c>
      <c r="E366" s="95">
        <f>$C257*'Assumptions (NG Midstream)'!D$76</f>
        <v>0.2031206137</v>
      </c>
      <c r="F366" s="95">
        <f>$C257*'Assumptions (NG Midstream)'!E$76</f>
        <v>0.1879101439</v>
      </c>
      <c r="G366" s="95">
        <f>$C257*'Assumptions (NG Midstream)'!F$76</f>
        <v>0.173794828</v>
      </c>
      <c r="H366" s="95">
        <f>$C257*'Assumptions (NG Midstream)'!G$76</f>
        <v>0.1607746658</v>
      </c>
      <c r="I366" s="95">
        <f>$C257*'Assumptions (NG Midstream)'!H$76</f>
        <v>0.1486975528</v>
      </c>
      <c r="J366" s="95">
        <f>$C257*'Assumptions (NG Midstream)'!I$76</f>
        <v>0.1375634889</v>
      </c>
      <c r="K366" s="95">
        <f>$C257*'Assumptions (NG Midstream)'!J$76</f>
        <v>0.1357382325</v>
      </c>
      <c r="L366" s="95">
        <f>$C257*'Assumptions (NG Midstream)'!K$76</f>
        <v>0.1357078116</v>
      </c>
      <c r="M366" s="95">
        <f>$C257*'Assumptions (NG Midstream)'!L$76</f>
        <v>0.1357382325</v>
      </c>
      <c r="N366" s="95">
        <f>$C257*'Assumptions (NG Midstream)'!M$76</f>
        <v>0.1357078116</v>
      </c>
      <c r="O366" s="95">
        <f>$C257*'Assumptions (NG Midstream)'!N$76</f>
        <v>0.1357382325</v>
      </c>
      <c r="P366" s="95">
        <f>$C257*'Assumptions (NG Midstream)'!O$76</f>
        <v>0.1357078116</v>
      </c>
      <c r="Q366" s="95">
        <f>$C257*'Assumptions (NG Midstream)'!P$76</f>
        <v>0.1357382325</v>
      </c>
      <c r="R366" s="95">
        <f>$C257*'Assumptions (NG Midstream)'!Q$76</f>
        <v>0.1357078116</v>
      </c>
      <c r="S366" s="95">
        <f>$C257*'Assumptions (NG Midstream)'!R$76</f>
        <v>0.1357382325</v>
      </c>
      <c r="T366" s="95">
        <f>$C257*'Assumptions (NG Midstream)'!S$76</f>
        <v>0.1357078116</v>
      </c>
      <c r="U366" s="95">
        <f>$C257*'Assumptions (NG Midstream)'!T$76</f>
        <v>0.1357382325</v>
      </c>
      <c r="V366" s="95">
        <f>$C257*'Assumptions (NG Midstream)'!U$76</f>
        <v>0.1357078116</v>
      </c>
      <c r="W366" s="95">
        <f>$C257*'Assumptions (NG Midstream)'!V$76</f>
        <v>0.06786911626</v>
      </c>
      <c r="X366" s="95"/>
    </row>
    <row r="367" ht="15.75" hidden="1" customHeight="1" outlineLevel="1">
      <c r="A367" s="187"/>
      <c r="B367" s="38"/>
      <c r="C367" s="95"/>
      <c r="D367" s="95">
        <f>$D257*'Assumptions (NG Midstream)'!B$76</f>
        <v>0.1487076129</v>
      </c>
      <c r="E367" s="95">
        <f>$D257*'Assumptions (NG Midstream)'!C$76</f>
        <v>0.2862720687</v>
      </c>
      <c r="F367" s="95">
        <f>$D257*'Assumptions (NG Midstream)'!D$76</f>
        <v>0.2647788617</v>
      </c>
      <c r="G367" s="95">
        <f>$D257*'Assumptions (NG Midstream)'!E$76</f>
        <v>0.24495118</v>
      </c>
      <c r="H367" s="95">
        <f>$D257*'Assumptions (NG Midstream)'!F$76</f>
        <v>0.2265510913</v>
      </c>
      <c r="I367" s="95">
        <f>$D257*'Assumptions (NG Midstream)'!G$76</f>
        <v>0.2095785958</v>
      </c>
      <c r="J367" s="95">
        <f>$D257*'Assumptions (NG Midstream)'!H$76</f>
        <v>0.1938354165</v>
      </c>
      <c r="K367" s="95">
        <f>$D257*'Assumptions (NG Midstream)'!I$76</f>
        <v>0.1793215535</v>
      </c>
      <c r="L367" s="95">
        <f>$D257*'Assumptions (NG Midstream)'!J$76</f>
        <v>0.1769422317</v>
      </c>
      <c r="M367" s="95">
        <f>$D257*'Assumptions (NG Midstream)'!K$76</f>
        <v>0.1769025763</v>
      </c>
      <c r="N367" s="95">
        <f>$D257*'Assumptions (NG Midstream)'!L$76</f>
        <v>0.1769422317</v>
      </c>
      <c r="O367" s="95">
        <f>$D257*'Assumptions (NG Midstream)'!M$76</f>
        <v>0.1769025763</v>
      </c>
      <c r="P367" s="95">
        <f>$D257*'Assumptions (NG Midstream)'!N$76</f>
        <v>0.1769422317</v>
      </c>
      <c r="Q367" s="95">
        <f>$D257*'Assumptions (NG Midstream)'!O$76</f>
        <v>0.1769025763</v>
      </c>
      <c r="R367" s="95">
        <f>$D257*'Assumptions (NG Midstream)'!P$76</f>
        <v>0.1769422317</v>
      </c>
      <c r="S367" s="95">
        <f>$D257*'Assumptions (NG Midstream)'!Q$76</f>
        <v>0.1769025763</v>
      </c>
      <c r="T367" s="95">
        <f>$D257*'Assumptions (NG Midstream)'!R$76</f>
        <v>0.1769422317</v>
      </c>
      <c r="U367" s="95">
        <f>$D257*'Assumptions (NG Midstream)'!S$76</f>
        <v>0.1769025763</v>
      </c>
      <c r="V367" s="95">
        <f>$D257*'Assumptions (NG Midstream)'!T$76</f>
        <v>0.1769422317</v>
      </c>
      <c r="W367" s="95">
        <f>$D257*'Assumptions (NG Midstream)'!U$76</f>
        <v>0.1769025763</v>
      </c>
      <c r="X367" s="95">
        <f>$D257*'Assumptions (NG Midstream)'!V$76</f>
        <v>0.08847111583</v>
      </c>
    </row>
    <row r="368" ht="15.75" hidden="1" customHeight="1" outlineLevel="1">
      <c r="A368" s="189"/>
      <c r="B368" s="38"/>
      <c r="C368" s="95"/>
      <c r="D368" s="78"/>
      <c r="E368" s="95">
        <f>$E257*'Assumptions (NG Midstream)'!B$76</f>
        <v>0.1815691613</v>
      </c>
      <c r="F368" s="95">
        <f>$E257*'Assumptions (NG Midstream)'!C$76</f>
        <v>0.3495327402</v>
      </c>
      <c r="G368" s="95">
        <f>$E257*'Assumptions (NG Midstream)'!D$76</f>
        <v>0.3232899441</v>
      </c>
      <c r="H368" s="95">
        <f>$E257*'Assumptions (NG Midstream)'!E$76</f>
        <v>0.2990807226</v>
      </c>
      <c r="I368" s="95">
        <f>$E257*'Assumptions (NG Midstream)'!F$76</f>
        <v>0.276614565</v>
      </c>
      <c r="J368" s="95">
        <f>$E257*'Assumptions (NG Midstream)'!G$76</f>
        <v>0.2558914714</v>
      </c>
      <c r="K368" s="95">
        <f>$E257*'Assumptions (NG Midstream)'!H$76</f>
        <v>0.2366693495</v>
      </c>
      <c r="L368" s="95">
        <f>$E257*'Assumptions (NG Midstream)'!I$76</f>
        <v>0.2189481994</v>
      </c>
      <c r="M368" s="95">
        <f>$E257*'Assumptions (NG Midstream)'!J$76</f>
        <v>0.2160430928</v>
      </c>
      <c r="N368" s="95">
        <f>$E257*'Assumptions (NG Midstream)'!K$76</f>
        <v>0.2159946743</v>
      </c>
      <c r="O368" s="95">
        <f>$E257*'Assumptions (NG Midstream)'!L$76</f>
        <v>0.2160430928</v>
      </c>
      <c r="P368" s="95">
        <f>$E257*'Assumptions (NG Midstream)'!M$76</f>
        <v>0.2159946743</v>
      </c>
      <c r="Q368" s="95">
        <f>$E257*'Assumptions (NG Midstream)'!N$76</f>
        <v>0.2160430928</v>
      </c>
      <c r="R368" s="95">
        <f>$E257*'Assumptions (NG Midstream)'!O$76</f>
        <v>0.2159946743</v>
      </c>
      <c r="S368" s="95">
        <f>$E257*'Assumptions (NG Midstream)'!P$76</f>
        <v>0.2160430928</v>
      </c>
      <c r="T368" s="95">
        <f>$E257*'Assumptions (NG Midstream)'!Q$76</f>
        <v>0.2159946743</v>
      </c>
      <c r="U368" s="95">
        <f>$E257*'Assumptions (NG Midstream)'!R$76</f>
        <v>0.2160430928</v>
      </c>
      <c r="V368" s="95">
        <f>$E257*'Assumptions (NG Midstream)'!S$76</f>
        <v>0.2159946743</v>
      </c>
      <c r="W368" s="95">
        <f>$E257*'Assumptions (NG Midstream)'!T$76</f>
        <v>0.2160430928</v>
      </c>
      <c r="X368" s="95">
        <f>$E257*'Assumptions (NG Midstream)'!U$76</f>
        <v>0.2159946743</v>
      </c>
      <c r="Y368" s="95">
        <f>$E257*'Assumptions (NG Midstream)'!V$76</f>
        <v>0.1080215464</v>
      </c>
    </row>
    <row r="369" ht="15.75" hidden="1" customHeight="1" outlineLevel="1">
      <c r="A369" s="189"/>
      <c r="B369" s="38"/>
      <c r="C369" s="95"/>
      <c r="D369" s="78"/>
      <c r="E369" s="78"/>
      <c r="F369" s="95">
        <f>$F257*'Assumptions (NG Midstream)'!B$76</f>
        <v>0.2284118014</v>
      </c>
      <c r="G369" s="95">
        <f>$F257*'Assumptions (NG Midstream)'!C$76</f>
        <v>0.4397079451</v>
      </c>
      <c r="H369" s="95">
        <f>$F257*'Assumptions (NG Midstream)'!D$76</f>
        <v>0.4066948261</v>
      </c>
      <c r="I369" s="95">
        <f>$F257*'Assumptions (NG Midstream)'!E$76</f>
        <v>0.3762399192</v>
      </c>
      <c r="J369" s="95">
        <f>$F257*'Assumptions (NG Midstream)'!F$76</f>
        <v>0.3479777657</v>
      </c>
      <c r="K369" s="95">
        <f>$F257*'Assumptions (NG Midstream)'!G$76</f>
        <v>0.3219083654</v>
      </c>
      <c r="L369" s="95">
        <f>$F257*'Assumptions (NG Midstream)'!H$76</f>
        <v>0.2977271694</v>
      </c>
      <c r="M369" s="95">
        <f>$F257*'Assumptions (NG Midstream)'!I$76</f>
        <v>0.2754341776</v>
      </c>
      <c r="N369" s="95">
        <f>$F257*'Assumptions (NG Midstream)'!J$76</f>
        <v>0.2717795887</v>
      </c>
      <c r="O369" s="95">
        <f>$F257*'Assumptions (NG Midstream)'!K$76</f>
        <v>0.2717186789</v>
      </c>
      <c r="P369" s="95">
        <f>$F257*'Assumptions (NG Midstream)'!L$76</f>
        <v>0.2717795887</v>
      </c>
      <c r="Q369" s="95">
        <f>$F257*'Assumptions (NG Midstream)'!M$76</f>
        <v>0.2717186789</v>
      </c>
      <c r="R369" s="95">
        <f>$F257*'Assumptions (NG Midstream)'!N$76</f>
        <v>0.2717795887</v>
      </c>
      <c r="S369" s="95">
        <f>$F257*'Assumptions (NG Midstream)'!O$76</f>
        <v>0.2717186789</v>
      </c>
      <c r="T369" s="95">
        <f>$F257*'Assumptions (NG Midstream)'!P$76</f>
        <v>0.2717795887</v>
      </c>
      <c r="U369" s="95">
        <f>$F257*'Assumptions (NG Midstream)'!Q$76</f>
        <v>0.2717186789</v>
      </c>
      <c r="V369" s="95">
        <f>$F257*'Assumptions (NG Midstream)'!R$76</f>
        <v>0.2717795887</v>
      </c>
      <c r="W369" s="95">
        <f>$F257*'Assumptions (NG Midstream)'!S$76</f>
        <v>0.2717186789</v>
      </c>
      <c r="X369" s="95">
        <f>$F257*'Assumptions (NG Midstream)'!T$76</f>
        <v>0.2717795887</v>
      </c>
      <c r="Y369" s="95">
        <f>$F257*'Assumptions (NG Midstream)'!U$76</f>
        <v>0.2717186789</v>
      </c>
      <c r="Z369" s="95">
        <f>$F257*'Assumptions (NG Midstream)'!V$76</f>
        <v>0.1358897944</v>
      </c>
    </row>
    <row r="370" ht="15.75" hidden="1" customHeight="1" outlineLevel="1">
      <c r="A370" s="189"/>
      <c r="B370" s="38"/>
      <c r="C370" s="95"/>
      <c r="D370" s="78"/>
      <c r="E370" s="78"/>
      <c r="F370" s="78"/>
      <c r="G370" s="95">
        <f>$G257*'Assumptions (NG Midstream)'!B$76</f>
        <v>0.1357748305</v>
      </c>
      <c r="H370" s="95">
        <f>$G257*'Assumptions (NG Midstream)'!C$76</f>
        <v>0.2613756003</v>
      </c>
      <c r="I370" s="95">
        <f>$G257*'Assumptions (NG Midstream)'!D$76</f>
        <v>0.2417516115</v>
      </c>
      <c r="J370" s="95">
        <f>$G257*'Assumptions (NG Midstream)'!E$76</f>
        <v>0.2236483008</v>
      </c>
      <c r="K370" s="95">
        <f>$G257*'Assumptions (NG Midstream)'!F$76</f>
        <v>0.2068484284</v>
      </c>
      <c r="L370" s="95">
        <f>$G257*'Assumptions (NG Midstream)'!G$76</f>
        <v>0.1913519944</v>
      </c>
      <c r="M370" s="95">
        <f>$G257*'Assumptions (NG Midstream)'!H$76</f>
        <v>0.1769779657</v>
      </c>
      <c r="N370" s="95">
        <f>$G257*'Assumptions (NG Midstream)'!I$76</f>
        <v>0.1637263423</v>
      </c>
      <c r="O370" s="95">
        <f>$G257*'Assumptions (NG Midstream)'!J$76</f>
        <v>0.161553945</v>
      </c>
      <c r="P370" s="95">
        <f>$G257*'Assumptions (NG Midstream)'!K$76</f>
        <v>0.1615177383</v>
      </c>
      <c r="Q370" s="95">
        <f>$G257*'Assumptions (NG Midstream)'!L$76</f>
        <v>0.161553945</v>
      </c>
      <c r="R370" s="95">
        <f>$G257*'Assumptions (NG Midstream)'!M$76</f>
        <v>0.1615177383</v>
      </c>
      <c r="S370" s="95">
        <f>$G257*'Assumptions (NG Midstream)'!N$76</f>
        <v>0.161553945</v>
      </c>
      <c r="T370" s="95">
        <f>$G257*'Assumptions (NG Midstream)'!O$76</f>
        <v>0.1615177383</v>
      </c>
      <c r="U370" s="95">
        <f>$G257*'Assumptions (NG Midstream)'!P$76</f>
        <v>0.161553945</v>
      </c>
      <c r="V370" s="95">
        <f>$G257*'Assumptions (NG Midstream)'!Q$76</f>
        <v>0.1615177383</v>
      </c>
      <c r="W370" s="95">
        <f>$G257*'Assumptions (NG Midstream)'!R$76</f>
        <v>0.161553945</v>
      </c>
      <c r="X370" s="95">
        <f>$G257*'Assumptions (NG Midstream)'!S$76</f>
        <v>0.1615177383</v>
      </c>
      <c r="Y370" s="95">
        <f>$G257*'Assumptions (NG Midstream)'!T$76</f>
        <v>0.161553945</v>
      </c>
      <c r="Z370" s="95">
        <f>$G257*'Assumptions (NG Midstream)'!U$76</f>
        <v>0.1615177383</v>
      </c>
      <c r="AA370" s="95">
        <f>$G257*'Assumptions (NG Midstream)'!V$76</f>
        <v>0.08077697249</v>
      </c>
    </row>
    <row r="371" ht="15.75" hidden="1" customHeight="1" outlineLevel="1">
      <c r="A371" s="189"/>
      <c r="B371" s="38"/>
      <c r="C371" s="95"/>
      <c r="D371" s="78"/>
      <c r="E371" s="78"/>
      <c r="F371" s="78"/>
      <c r="G371" s="78"/>
      <c r="H371" s="95">
        <f>$H257*'Assumptions (NG Midstream)'!B$76</f>
        <v>0.1348561698</v>
      </c>
      <c r="I371" s="95">
        <f>$H257*'Assumptions (NG Midstream)'!C$76</f>
        <v>0.2596071172</v>
      </c>
      <c r="J371" s="95">
        <f>$H257*'Assumptions (NG Midstream)'!D$76</f>
        <v>0.2401159055</v>
      </c>
      <c r="K371" s="95">
        <f>$H257*'Assumptions (NG Midstream)'!E$76</f>
        <v>0.2221350828</v>
      </c>
      <c r="L371" s="95">
        <f>$H257*'Assumptions (NG Midstream)'!F$76</f>
        <v>0.2054488794</v>
      </c>
      <c r="M371" s="95">
        <f>$H257*'Assumptions (NG Midstream)'!G$76</f>
        <v>0.1900572953</v>
      </c>
      <c r="N371" s="95">
        <f>$H257*'Assumptions (NG Midstream)'!H$76</f>
        <v>0.1757805221</v>
      </c>
      <c r="O371" s="95">
        <f>$H257*'Assumptions (NG Midstream)'!I$76</f>
        <v>0.1626185599</v>
      </c>
      <c r="P371" s="95">
        <f>$H257*'Assumptions (NG Midstream)'!J$76</f>
        <v>0.1604608612</v>
      </c>
      <c r="Q371" s="95">
        <f>$H257*'Assumptions (NG Midstream)'!K$76</f>
        <v>0.1604248995</v>
      </c>
      <c r="R371" s="95">
        <f>$H257*'Assumptions (NG Midstream)'!L$76</f>
        <v>0.1604608612</v>
      </c>
      <c r="S371" s="95">
        <f>$H257*'Assumptions (NG Midstream)'!M$76</f>
        <v>0.1604248995</v>
      </c>
      <c r="T371" s="95">
        <f>$H257*'Assumptions (NG Midstream)'!N$76</f>
        <v>0.1604608612</v>
      </c>
      <c r="U371" s="95">
        <f>$H257*'Assumptions (NG Midstream)'!O$76</f>
        <v>0.1604248995</v>
      </c>
      <c r="V371" s="95">
        <f>$H257*'Assumptions (NG Midstream)'!P$76</f>
        <v>0.1604608612</v>
      </c>
      <c r="W371" s="95">
        <f>$H257*'Assumptions (NG Midstream)'!Q$76</f>
        <v>0.1604248995</v>
      </c>
      <c r="X371" s="95">
        <f>$H257*'Assumptions (NG Midstream)'!R$76</f>
        <v>0.1604608612</v>
      </c>
      <c r="Y371" s="95">
        <f>$H257*'Assumptions (NG Midstream)'!S$76</f>
        <v>0.1604248995</v>
      </c>
      <c r="Z371" s="95">
        <f>$H257*'Assumptions (NG Midstream)'!T$76</f>
        <v>0.1604608612</v>
      </c>
      <c r="AA371" s="95">
        <f>$H257*'Assumptions (NG Midstream)'!U$76</f>
        <v>0.1604248995</v>
      </c>
      <c r="AB371" s="95">
        <f>$H257*'Assumptions (NG Midstream)'!V$76</f>
        <v>0.0802304306</v>
      </c>
    </row>
    <row r="372" ht="15.75" hidden="1" customHeight="1" outlineLevel="1">
      <c r="A372" s="189"/>
      <c r="B372" s="38"/>
      <c r="C372" s="95"/>
      <c r="D372" s="78"/>
      <c r="E372" s="78"/>
      <c r="F372" s="78"/>
      <c r="G372" s="78"/>
      <c r="H372" s="78"/>
      <c r="I372" s="95">
        <f>$I257*'Assumptions (NG Midstream)'!B$76</f>
        <v>0.1706559651</v>
      </c>
      <c r="J372" s="95">
        <f>$I257*'Assumptions (NG Midstream)'!C$76</f>
        <v>0.3285241099</v>
      </c>
      <c r="K372" s="95">
        <f>$I257*'Assumptions (NG Midstream)'!D$76</f>
        <v>0.3038586344</v>
      </c>
      <c r="L372" s="95">
        <f>$I257*'Assumptions (NG Midstream)'!E$76</f>
        <v>0.2811045057</v>
      </c>
      <c r="M372" s="95">
        <f>$I257*'Assumptions (NG Midstream)'!F$76</f>
        <v>0.2599886743</v>
      </c>
      <c r="N372" s="95">
        <f>$I257*'Assumptions (NG Midstream)'!G$76</f>
        <v>0.2405111402</v>
      </c>
      <c r="O372" s="95">
        <f>$I257*'Assumptions (NG Midstream)'!H$76</f>
        <v>0.222444362</v>
      </c>
      <c r="P372" s="95">
        <f>$I257*'Assumptions (NG Midstream)'!I$76</f>
        <v>0.2057883398</v>
      </c>
      <c r="Q372" s="95">
        <f>$I257*'Assumptions (NG Midstream)'!J$76</f>
        <v>0.2030578444</v>
      </c>
      <c r="R372" s="95">
        <f>$I257*'Assumptions (NG Midstream)'!K$76</f>
        <v>0.2030123361</v>
      </c>
      <c r="S372" s="95">
        <f>$I257*'Assumptions (NG Midstream)'!L$76</f>
        <v>0.2030578444</v>
      </c>
      <c r="T372" s="95">
        <f>$I257*'Assumptions (NG Midstream)'!M$76</f>
        <v>0.2030123361</v>
      </c>
      <c r="U372" s="95">
        <f>$I257*'Assumptions (NG Midstream)'!N$76</f>
        <v>0.2030578444</v>
      </c>
      <c r="V372" s="95">
        <f>$I257*'Assumptions (NG Midstream)'!O$76</f>
        <v>0.2030123361</v>
      </c>
      <c r="W372" s="95">
        <f>$I257*'Assumptions (NG Midstream)'!P$76</f>
        <v>0.2030578444</v>
      </c>
      <c r="X372" s="95">
        <f>$I257*'Assumptions (NG Midstream)'!Q$76</f>
        <v>0.2030123361</v>
      </c>
      <c r="Y372" s="95">
        <f>$I257*'Assumptions (NG Midstream)'!R$76</f>
        <v>0.2030578444</v>
      </c>
      <c r="Z372" s="95">
        <f>$I257*'Assumptions (NG Midstream)'!S$76</f>
        <v>0.2030123361</v>
      </c>
      <c r="AA372" s="95">
        <f>$I257*'Assumptions (NG Midstream)'!T$76</f>
        <v>0.2030578444</v>
      </c>
      <c r="AB372" s="95">
        <f>$I257*'Assumptions (NG Midstream)'!U$76</f>
        <v>0.2030123361</v>
      </c>
      <c r="AC372" s="95">
        <f>$I257*'Assumptions (NG Midstream)'!V$76</f>
        <v>0.1015289222</v>
      </c>
    </row>
    <row r="373" ht="15.75" hidden="1" customHeight="1" outlineLevel="1">
      <c r="A373" s="189"/>
      <c r="B373" s="38"/>
      <c r="C373" s="95"/>
      <c r="D373" s="78"/>
      <c r="E373" s="78"/>
      <c r="F373" s="78"/>
      <c r="G373" s="78"/>
      <c r="H373" s="78"/>
      <c r="I373" s="78"/>
      <c r="J373" s="95">
        <f>$J257*'Assumptions (NG Midstream)'!B$76</f>
        <v>0.2876398024</v>
      </c>
      <c r="K373" s="95">
        <f>$J257*'Assumptions (NG Midstream)'!C$76</f>
        <v>0.5537257955</v>
      </c>
      <c r="L373" s="95">
        <f>$J257*'Assumptions (NG Midstream)'!D$76</f>
        <v>0.5121522561</v>
      </c>
      <c r="M373" s="95">
        <f>$J257*'Assumptions (NG Midstream)'!E$76</f>
        <v>0.4738002824</v>
      </c>
      <c r="N373" s="95">
        <f>$J257*'Assumptions (NG Midstream)'!F$76</f>
        <v>0.4382096509</v>
      </c>
      <c r="O373" s="95">
        <f>$J257*'Assumptions (NG Midstream)'!G$76</f>
        <v>0.4053803615</v>
      </c>
      <c r="P373" s="95">
        <f>$J257*'Assumptions (NG Midstream)'!H$76</f>
        <v>0.3749288944</v>
      </c>
      <c r="Q373" s="95">
        <f>$J257*'Assumptions (NG Midstream)'!I$76</f>
        <v>0.3468552497</v>
      </c>
      <c r="R373" s="95">
        <f>$J257*'Assumptions (NG Midstream)'!J$76</f>
        <v>0.3422530128</v>
      </c>
      <c r="S373" s="95">
        <f>$J257*'Assumptions (NG Midstream)'!K$76</f>
        <v>0.3421763089</v>
      </c>
      <c r="T373" s="95">
        <f>$J257*'Assumptions (NG Midstream)'!L$76</f>
        <v>0.3422530128</v>
      </c>
      <c r="U373" s="95">
        <f>$J257*'Assumptions (NG Midstream)'!M$76</f>
        <v>0.3421763089</v>
      </c>
      <c r="V373" s="95">
        <f>$J257*'Assumptions (NG Midstream)'!N$76</f>
        <v>0.3422530128</v>
      </c>
      <c r="W373" s="95">
        <f>$J257*'Assumptions (NG Midstream)'!O$76</f>
        <v>0.3421763089</v>
      </c>
      <c r="X373" s="95">
        <f>$J257*'Assumptions (NG Midstream)'!P$76</f>
        <v>0.3422530128</v>
      </c>
      <c r="Y373" s="95">
        <f>$J257*'Assumptions (NG Midstream)'!Q$76</f>
        <v>0.3421763089</v>
      </c>
      <c r="Z373" s="95">
        <f>$J257*'Assumptions (NG Midstream)'!R$76</f>
        <v>0.3422530128</v>
      </c>
      <c r="AA373" s="95">
        <f>$J257*'Assumptions (NG Midstream)'!S$76</f>
        <v>0.3421763089</v>
      </c>
      <c r="AB373" s="95">
        <f>$J257*'Assumptions (NG Midstream)'!T$76</f>
        <v>0.3422530128</v>
      </c>
      <c r="AC373" s="95">
        <f>$J257*'Assumptions (NG Midstream)'!U$76</f>
        <v>0.3421763089</v>
      </c>
      <c r="AD373" s="95">
        <f>$J257*'Assumptions (NG Midstream)'!V$76</f>
        <v>0.1711265064</v>
      </c>
    </row>
    <row r="374" ht="15.75" hidden="1" customHeight="1" outlineLevel="1">
      <c r="A374" s="189"/>
      <c r="B374" s="38"/>
      <c r="C374" s="95"/>
      <c r="D374" s="78"/>
      <c r="E374" s="78"/>
      <c r="F374" s="78"/>
      <c r="G374" s="78"/>
      <c r="H374" s="78"/>
      <c r="I374" s="78"/>
      <c r="J374" s="78"/>
      <c r="K374" s="95">
        <f>$K257*'Assumptions (NG Midstream)'!B$76</f>
        <v>0.5277140836</v>
      </c>
      <c r="L374" s="95">
        <f>$K257*'Assumptions (NG Midstream)'!C$76</f>
        <v>1.015884792</v>
      </c>
      <c r="M374" s="95">
        <f>$K257*'Assumptions (NG Midstream)'!D$76</f>
        <v>0.9396125163</v>
      </c>
      <c r="N374" s="95">
        <f>$K257*'Assumptions (NG Midstream)'!E$76</f>
        <v>0.8692506385</v>
      </c>
      <c r="O374" s="95">
        <f>$K257*'Assumptions (NG Midstream)'!F$76</f>
        <v>0.8039548159</v>
      </c>
      <c r="P374" s="95">
        <f>$K257*'Assumptions (NG Midstream)'!G$76</f>
        <v>0.7437250485</v>
      </c>
      <c r="Q374" s="95">
        <f>$K257*'Assumptions (NG Midstream)'!H$76</f>
        <v>0.6878577175</v>
      </c>
      <c r="R374" s="95">
        <f>$K257*'Assumptions (NG Midstream)'!I$76</f>
        <v>0.6363528229</v>
      </c>
      <c r="S374" s="95">
        <f>$K257*'Assumptions (NG Midstream)'!J$76</f>
        <v>0.6279093976</v>
      </c>
      <c r="T374" s="95">
        <f>$K257*'Assumptions (NG Midstream)'!K$76</f>
        <v>0.6277686738</v>
      </c>
      <c r="U374" s="95">
        <f>$K257*'Assumptions (NG Midstream)'!L$76</f>
        <v>0.6279093976</v>
      </c>
      <c r="V374" s="95">
        <f>$K257*'Assumptions (NG Midstream)'!M$76</f>
        <v>0.6277686738</v>
      </c>
      <c r="W374" s="95">
        <f>$K257*'Assumptions (NG Midstream)'!N$76</f>
        <v>0.6279093976</v>
      </c>
      <c r="X374" s="95">
        <f>$K257*'Assumptions (NG Midstream)'!O$76</f>
        <v>0.6277686738</v>
      </c>
      <c r="Y374" s="95">
        <f>$K257*'Assumptions (NG Midstream)'!P$76</f>
        <v>0.6279093976</v>
      </c>
      <c r="Z374" s="95">
        <f>$K257*'Assumptions (NG Midstream)'!Q$76</f>
        <v>0.6277686738</v>
      </c>
      <c r="AA374" s="95">
        <f>$K257*'Assumptions (NG Midstream)'!R$76</f>
        <v>0.6279093976</v>
      </c>
      <c r="AB374" s="95">
        <f>$K257*'Assumptions (NG Midstream)'!S$76</f>
        <v>0.6277686738</v>
      </c>
      <c r="AC374" s="95">
        <f>$K257*'Assumptions (NG Midstream)'!T$76</f>
        <v>0.6279093976</v>
      </c>
      <c r="AD374" s="95">
        <f>$K257*'Assumptions (NG Midstream)'!U$76</f>
        <v>0.6277686738</v>
      </c>
      <c r="AE374" s="95">
        <f>$K257*'Assumptions (NG Midstream)'!V$76</f>
        <v>0.3139546988</v>
      </c>
    </row>
    <row r="375" ht="15.75" hidden="1" customHeight="1" outlineLevel="1">
      <c r="A375" s="189"/>
      <c r="B375" s="38"/>
      <c r="C375" s="78"/>
      <c r="D375" s="78"/>
      <c r="E375" s="78"/>
      <c r="F375" s="78"/>
      <c r="G375" s="78"/>
      <c r="H375" s="78"/>
      <c r="I375" s="78"/>
      <c r="J375" s="78"/>
      <c r="K375" s="78"/>
      <c r="L375" s="95">
        <f>$L257*'Assumptions (NG Midstream)'!B$76</f>
        <v>0.678204755</v>
      </c>
      <c r="M375" s="95">
        <f>$L257*'Assumptions (NG Midstream)'!C$76</f>
        <v>1.305589367</v>
      </c>
      <c r="N375" s="95">
        <f>$L257*'Assumptions (NG Midstream)'!D$76</f>
        <v>1.207566173</v>
      </c>
      <c r="O375" s="95">
        <f>$L257*'Assumptions (NG Midstream)'!E$76</f>
        <v>1.117138872</v>
      </c>
      <c r="P375" s="95">
        <f>$L257*'Assumptions (NG Midstream)'!F$76</f>
        <v>1.033222337</v>
      </c>
      <c r="Q375" s="95">
        <f>$L257*'Assumptions (NG Midstream)'!G$76</f>
        <v>0.9558165681</v>
      </c>
      <c r="R375" s="95">
        <f>$L257*'Assumptions (NG Midstream)'!H$76</f>
        <v>0.8840172913</v>
      </c>
      <c r="S375" s="95">
        <f>$L257*'Assumptions (NG Midstream)'!I$76</f>
        <v>0.8178245072</v>
      </c>
      <c r="T375" s="95">
        <f>$L257*'Assumptions (NG Midstream)'!J$76</f>
        <v>0.8069732312</v>
      </c>
      <c r="U375" s="95">
        <f>$L257*'Assumptions (NG Midstream)'!K$76</f>
        <v>0.8067923766</v>
      </c>
      <c r="V375" s="95">
        <f>$L257*'Assumptions (NG Midstream)'!L$76</f>
        <v>0.8069732312</v>
      </c>
      <c r="W375" s="95">
        <f>$L257*'Assumptions (NG Midstream)'!M$76</f>
        <v>0.8067923766</v>
      </c>
      <c r="X375" s="95">
        <f>$L257*'Assumptions (NG Midstream)'!N$76</f>
        <v>0.8069732312</v>
      </c>
      <c r="Y375" s="95">
        <f>$L257*'Assumptions (NG Midstream)'!O$76</f>
        <v>0.8067923766</v>
      </c>
      <c r="Z375" s="95">
        <f>$L257*'Assumptions (NG Midstream)'!P$76</f>
        <v>0.8069732312</v>
      </c>
      <c r="AA375" s="95">
        <f>$L257*'Assumptions (NG Midstream)'!Q$76</f>
        <v>0.8067923766</v>
      </c>
      <c r="AB375" s="95">
        <f>$L257*'Assumptions (NG Midstream)'!R$76</f>
        <v>0.8069732312</v>
      </c>
      <c r="AC375" s="95">
        <f>$L257*'Assumptions (NG Midstream)'!S$76</f>
        <v>0.8067923766</v>
      </c>
      <c r="AD375" s="95">
        <f>$L257*'Assumptions (NG Midstream)'!T$76</f>
        <v>0.8069732312</v>
      </c>
      <c r="AE375" s="95">
        <f>$L257*'Assumptions (NG Midstream)'!U$76</f>
        <v>0.8067923766</v>
      </c>
      <c r="AF375" s="95">
        <f>$L257*'Assumptions (NG Midstream)'!V$76</f>
        <v>0.4034866156</v>
      </c>
    </row>
    <row r="376" ht="15.75" hidden="1" customHeight="1" outlineLevel="1">
      <c r="A376" s="189"/>
      <c r="B376" s="38"/>
      <c r="C376" s="78"/>
      <c r="D376" s="78"/>
      <c r="E376" s="78"/>
      <c r="F376" s="78"/>
      <c r="G376" s="78"/>
      <c r="H376" s="78"/>
      <c r="I376" s="78"/>
      <c r="J376" s="78"/>
      <c r="K376" s="78"/>
      <c r="L376" s="78"/>
      <c r="M376" s="95">
        <f>$M257*'Assumptions (NG Midstream)'!B$76</f>
        <v>0.2246554446</v>
      </c>
      <c r="N376" s="95">
        <f>$M257*'Assumptions (NG Midstream)'!C$76</f>
        <v>0.4324767078</v>
      </c>
      <c r="O376" s="95">
        <f>$M257*'Assumptions (NG Midstream)'!D$76</f>
        <v>0.4000065076</v>
      </c>
      <c r="P376" s="95">
        <f>$M257*'Assumptions (NG Midstream)'!E$76</f>
        <v>0.3700524483</v>
      </c>
      <c r="Q376" s="95">
        <f>$M257*'Assumptions (NG Midstream)'!F$76</f>
        <v>0.3422550813</v>
      </c>
      <c r="R376" s="95">
        <f>$M257*'Assumptions (NG Midstream)'!G$76</f>
        <v>0.3166144065</v>
      </c>
      <c r="S376" s="95">
        <f>$M257*'Assumptions (NG Midstream)'!H$76</f>
        <v>0.2928308835</v>
      </c>
      <c r="T376" s="95">
        <f>$M257*'Assumptions (NG Midstream)'!I$76</f>
        <v>0.2709045121</v>
      </c>
      <c r="U376" s="95">
        <f>$M257*'Assumptions (NG Midstream)'!J$76</f>
        <v>0.267310025</v>
      </c>
      <c r="V376" s="95">
        <f>$M257*'Assumptions (NG Midstream)'!K$76</f>
        <v>0.2672501168</v>
      </c>
      <c r="W376" s="95">
        <f>$M257*'Assumptions (NG Midstream)'!L$76</f>
        <v>0.267310025</v>
      </c>
      <c r="X376" s="95">
        <f>$M257*'Assumptions (NG Midstream)'!M$76</f>
        <v>0.2672501168</v>
      </c>
      <c r="Y376" s="95">
        <f>$M257*'Assumptions (NG Midstream)'!N$76</f>
        <v>0.267310025</v>
      </c>
      <c r="Z376" s="95">
        <f>$M257*'Assumptions (NG Midstream)'!O$76</f>
        <v>0.2672501168</v>
      </c>
      <c r="AA376" s="95">
        <f>$M257*'Assumptions (NG Midstream)'!P$76</f>
        <v>0.267310025</v>
      </c>
      <c r="AB376" s="95">
        <f>$M257*'Assumptions (NG Midstream)'!Q$76</f>
        <v>0.2672501168</v>
      </c>
      <c r="AC376" s="95">
        <f>$M257*'Assumptions (NG Midstream)'!R$76</f>
        <v>0.267310025</v>
      </c>
      <c r="AD376" s="95">
        <f>$M257*'Assumptions (NG Midstream)'!S$76</f>
        <v>0.2672501168</v>
      </c>
      <c r="AE376" s="95">
        <f>$M257*'Assumptions (NG Midstream)'!T$76</f>
        <v>0.267310025</v>
      </c>
      <c r="AF376" s="95">
        <f>$M257*'Assumptions (NG Midstream)'!U$76</f>
        <v>0.2672501168</v>
      </c>
      <c r="AG376" s="95">
        <f>$M257*'Assumptions (NG Midstream)'!V$76</f>
        <v>0.1336550125</v>
      </c>
    </row>
    <row r="377" ht="15.75" hidden="1" customHeight="1" outlineLevel="1">
      <c r="A377" s="189"/>
      <c r="B377" s="38"/>
      <c r="C377" s="78"/>
      <c r="D377" s="78"/>
      <c r="E377" s="78"/>
      <c r="F377" s="78"/>
      <c r="G377" s="78"/>
      <c r="H377" s="78"/>
      <c r="I377" s="78"/>
      <c r="J377" s="78"/>
      <c r="K377" s="78"/>
      <c r="L377" s="78"/>
      <c r="M377" s="78"/>
      <c r="N377" s="95">
        <f>$N257*'Assumptions (NG Midstream)'!B$76</f>
        <v>0.6399217095</v>
      </c>
      <c r="O377" s="95">
        <f>$N257*'Assumptions (NG Midstream)'!C$76</f>
        <v>1.231891952</v>
      </c>
      <c r="P377" s="95">
        <f>$N257*'Assumptions (NG Midstream)'!D$76</f>
        <v>1.139401934</v>
      </c>
      <c r="Q377" s="95">
        <f>$N257*'Assumptions (NG Midstream)'!E$76</f>
        <v>1.05407904</v>
      </c>
      <c r="R377" s="95">
        <f>$N257*'Assumptions (NG Midstream)'!F$76</f>
        <v>0.9748993936</v>
      </c>
      <c r="S377" s="95">
        <f>$N257*'Assumptions (NG Midstream)'!G$76</f>
        <v>0.9018629959</v>
      </c>
      <c r="T377" s="95">
        <f>$N257*'Assumptions (NG Midstream)'!H$76</f>
        <v>0.8341166175</v>
      </c>
      <c r="U377" s="95">
        <f>$N257*'Assumptions (NG Midstream)'!I$76</f>
        <v>0.7716602587</v>
      </c>
      <c r="V377" s="95">
        <f>$N257*'Assumptions (NG Midstream)'!J$76</f>
        <v>0.7614215114</v>
      </c>
      <c r="W377" s="95">
        <f>$N257*'Assumptions (NG Midstream)'!K$76</f>
        <v>0.7612508656</v>
      </c>
      <c r="X377" s="95">
        <f>$N257*'Assumptions (NG Midstream)'!L$76</f>
        <v>0.7614215114</v>
      </c>
      <c r="Y377" s="95">
        <f>$N257*'Assumptions (NG Midstream)'!M$76</f>
        <v>0.7612508656</v>
      </c>
      <c r="Z377" s="95">
        <f>$N257*'Assumptions (NG Midstream)'!N$76</f>
        <v>0.7614215114</v>
      </c>
      <c r="AA377" s="95">
        <f>$N257*'Assumptions (NG Midstream)'!O$76</f>
        <v>0.7612508656</v>
      </c>
      <c r="AB377" s="95">
        <f>$N257*'Assumptions (NG Midstream)'!P$76</f>
        <v>0.7614215114</v>
      </c>
      <c r="AC377" s="95">
        <f>$N257*'Assumptions (NG Midstream)'!Q$76</f>
        <v>0.7612508656</v>
      </c>
      <c r="AD377" s="95">
        <f>$N257*'Assumptions (NG Midstream)'!R$76</f>
        <v>0.7614215114</v>
      </c>
      <c r="AE377" s="95">
        <f>$N257*'Assumptions (NG Midstream)'!S$76</f>
        <v>0.7612508656</v>
      </c>
      <c r="AF377" s="95">
        <f>$N257*'Assumptions (NG Midstream)'!T$76</f>
        <v>0.7614215114</v>
      </c>
      <c r="AG377" s="95">
        <f>$N257*'Assumptions (NG Midstream)'!U$76</f>
        <v>0.7612508656</v>
      </c>
      <c r="AH377" s="95">
        <f>$N257*'Assumptions (NG Midstream)'!V$76</f>
        <v>0.3807107557</v>
      </c>
    </row>
    <row r="378" ht="15.75" hidden="1" customHeight="1" outlineLevel="1">
      <c r="A378" s="189"/>
      <c r="B378" s="38"/>
      <c r="C378" s="78"/>
      <c r="D378" s="78"/>
      <c r="E378" s="78"/>
      <c r="F378" s="78"/>
      <c r="G378" s="78"/>
      <c r="H378" s="78"/>
      <c r="I378" s="78"/>
      <c r="J378" s="78"/>
      <c r="K378" s="78"/>
      <c r="L378" s="78"/>
      <c r="M378" s="78"/>
      <c r="N378" s="78"/>
      <c r="O378" s="95">
        <f>$O257*'Assumptions (NG Midstream)'!B$76</f>
        <v>0.2329207656</v>
      </c>
      <c r="P378" s="95">
        <f>$O257*'Assumptions (NG Midstream)'!C$76</f>
        <v>0.4483880018</v>
      </c>
      <c r="Q378" s="95">
        <f>$O257*'Assumptions (NG Midstream)'!D$76</f>
        <v>0.4147231871</v>
      </c>
      <c r="R378" s="95">
        <f>$O257*'Assumptions (NG Midstream)'!E$76</f>
        <v>0.3836670851</v>
      </c>
      <c r="S378" s="95">
        <f>$O257*'Assumptions (NG Midstream)'!F$76</f>
        <v>0.3548470223</v>
      </c>
      <c r="T378" s="95">
        <f>$O257*'Assumptions (NG Midstream)'!G$76</f>
        <v>0.328262999</v>
      </c>
      <c r="U378" s="95">
        <f>$O257*'Assumptions (NG Midstream)'!H$76</f>
        <v>0.3036044539</v>
      </c>
      <c r="V378" s="95">
        <f>$O257*'Assumptions (NG Midstream)'!I$76</f>
        <v>0.2808713872</v>
      </c>
      <c r="W378" s="95">
        <f>$O257*'Assumptions (NG Midstream)'!J$76</f>
        <v>0.2771446549</v>
      </c>
      <c r="X378" s="95">
        <f>$O257*'Assumptions (NG Midstream)'!K$76</f>
        <v>0.2770825427</v>
      </c>
      <c r="Y378" s="95">
        <f>$O257*'Assumptions (NG Midstream)'!L$76</f>
        <v>0.2771446549</v>
      </c>
      <c r="Z378" s="95">
        <f>$O257*'Assumptions (NG Midstream)'!M$76</f>
        <v>0.2770825427</v>
      </c>
      <c r="AA378" s="95">
        <f>$O257*'Assumptions (NG Midstream)'!N$76</f>
        <v>0.2771446549</v>
      </c>
      <c r="AB378" s="95">
        <f>$O257*'Assumptions (NG Midstream)'!O$76</f>
        <v>0.2770825427</v>
      </c>
      <c r="AC378" s="95">
        <f>$O257*'Assumptions (NG Midstream)'!P$76</f>
        <v>0.2771446549</v>
      </c>
      <c r="AD378" s="95">
        <f>$O257*'Assumptions (NG Midstream)'!Q$76</f>
        <v>0.2770825427</v>
      </c>
      <c r="AE378" s="95">
        <f>$O257*'Assumptions (NG Midstream)'!R$76</f>
        <v>0.2771446549</v>
      </c>
      <c r="AF378" s="95">
        <f>$O257*'Assumptions (NG Midstream)'!S$76</f>
        <v>0.2770825427</v>
      </c>
      <c r="AG378" s="95">
        <f>$O257*'Assumptions (NG Midstream)'!T$76</f>
        <v>0.2771446549</v>
      </c>
      <c r="AH378" s="95">
        <f>$O257*'Assumptions (NG Midstream)'!U$76</f>
        <v>0.2770825427</v>
      </c>
      <c r="AI378" s="95">
        <f>$O257*'Assumptions (NG Midstream)'!V$76</f>
        <v>0.1385723275</v>
      </c>
    </row>
    <row r="379" ht="15.75" hidden="1" customHeight="1" outlineLevel="1">
      <c r="A379" s="189"/>
      <c r="B379" s="38"/>
      <c r="C379" s="78"/>
      <c r="D379" s="78"/>
      <c r="E379" s="78"/>
      <c r="F379" s="78"/>
      <c r="G379" s="78"/>
      <c r="H379" s="78"/>
      <c r="I379" s="78"/>
      <c r="J379" s="78"/>
      <c r="K379" s="78"/>
      <c r="L379" s="78"/>
      <c r="M379" s="78"/>
      <c r="N379" s="78"/>
      <c r="O379" s="78"/>
      <c r="P379" s="95">
        <f>$P257*'Assumptions (NG Midstream)'!B$76</f>
        <v>0.2945770912</v>
      </c>
      <c r="Q379" s="95">
        <f>$P257*'Assumptions (NG Midstream)'!C$76</f>
        <v>0.567080539</v>
      </c>
      <c r="R379" s="95">
        <f>$P257*'Assumptions (NG Midstream)'!D$76</f>
        <v>0.5245043301</v>
      </c>
      <c r="S379" s="95">
        <f>$P257*'Assumptions (NG Midstream)'!E$76</f>
        <v>0.4852273846</v>
      </c>
      <c r="T379" s="95">
        <f>$P257*'Assumptions (NG Midstream)'!F$76</f>
        <v>0.4487783792</v>
      </c>
      <c r="U379" s="95">
        <f>$P257*'Assumptions (NG Midstream)'!G$76</f>
        <v>0.4151573138</v>
      </c>
      <c r="V379" s="95">
        <f>$P257*'Assumptions (NG Midstream)'!H$76</f>
        <v>0.3839714191</v>
      </c>
      <c r="W379" s="95">
        <f>$P257*'Assumptions (NG Midstream)'!I$76</f>
        <v>0.355220695</v>
      </c>
      <c r="X379" s="95">
        <f>$P257*'Assumptions (NG Midstream)'!J$76</f>
        <v>0.3505074616</v>
      </c>
      <c r="Y379" s="95">
        <f>$P257*'Assumptions (NG Midstream)'!K$76</f>
        <v>0.3504289077</v>
      </c>
      <c r="Z379" s="95">
        <f>$P257*'Assumptions (NG Midstream)'!L$76</f>
        <v>0.3505074616</v>
      </c>
      <c r="AA379" s="95">
        <f>$P257*'Assumptions (NG Midstream)'!M$76</f>
        <v>0.3504289077</v>
      </c>
      <c r="AB379" s="95">
        <f>$P257*'Assumptions (NG Midstream)'!N$76</f>
        <v>0.3505074616</v>
      </c>
      <c r="AC379" s="95">
        <f>$P257*'Assumptions (NG Midstream)'!O$76</f>
        <v>0.3504289077</v>
      </c>
      <c r="AD379" s="95">
        <f>$P257*'Assumptions (NG Midstream)'!P$76</f>
        <v>0.3505074616</v>
      </c>
      <c r="AE379" s="95">
        <f>$P257*'Assumptions (NG Midstream)'!Q$76</f>
        <v>0.3504289077</v>
      </c>
      <c r="AF379" s="95">
        <f>$P257*'Assumptions (NG Midstream)'!R$76</f>
        <v>0.3505074616</v>
      </c>
      <c r="AG379" s="95">
        <f>$P257*'Assumptions (NG Midstream)'!S$76</f>
        <v>0.3504289077</v>
      </c>
      <c r="AH379" s="95">
        <f>$P257*'Assumptions (NG Midstream)'!T$76</f>
        <v>0.3505074616</v>
      </c>
      <c r="AI379" s="95">
        <f>$P257*'Assumptions (NG Midstream)'!U$76</f>
        <v>0.3504289077</v>
      </c>
      <c r="AJ379" s="95">
        <f>$P257*'Assumptions (NG Midstream)'!V$76</f>
        <v>0.1752537308</v>
      </c>
    </row>
    <row r="380" ht="15.75" hidden="1" customHeight="1" outlineLevel="1">
      <c r="A380" s="189"/>
      <c r="B380" s="38"/>
      <c r="C380" s="78"/>
      <c r="D380" s="78"/>
      <c r="E380" s="78"/>
      <c r="F380" s="78"/>
      <c r="G380" s="78"/>
      <c r="H380" s="78"/>
      <c r="I380" s="78"/>
      <c r="J380" s="78"/>
      <c r="K380" s="78"/>
      <c r="L380" s="78"/>
      <c r="M380" s="78"/>
      <c r="N380" s="78"/>
      <c r="O380" s="78"/>
      <c r="P380" s="78"/>
      <c r="Q380" s="95">
        <f>$Q257*'Assumptions (NG Midstream)'!B$76</f>
        <v>0.1980068964</v>
      </c>
      <c r="R380" s="95">
        <f>$Q257*'Assumptions (NG Midstream)'!C$76</f>
        <v>0.3811764759</v>
      </c>
      <c r="S380" s="95">
        <f>$Q257*'Assumptions (NG Midstream)'!D$76</f>
        <v>0.3525578792</v>
      </c>
      <c r="T380" s="95">
        <f>$Q257*'Assumptions (NG Midstream)'!E$76</f>
        <v>0.3261569597</v>
      </c>
      <c r="U380" s="95">
        <f>$Q257*'Assumptions (NG Midstream)'!F$76</f>
        <v>0.3016569064</v>
      </c>
      <c r="V380" s="95">
        <f>$Q257*'Assumptions (NG Midstream)'!G$76</f>
        <v>0.2790577193</v>
      </c>
      <c r="W380" s="95">
        <f>$Q257*'Assumptions (NG Midstream)'!H$76</f>
        <v>0.2580953892</v>
      </c>
      <c r="X380" s="95">
        <f>$Q257*'Assumptions (NG Midstream)'!I$76</f>
        <v>0.2387699161</v>
      </c>
      <c r="Y380" s="95">
        <f>$Q257*'Assumptions (NG Midstream)'!J$76</f>
        <v>0.2356018057</v>
      </c>
      <c r="Z380" s="95">
        <f>$Q257*'Assumptions (NG Midstream)'!K$76</f>
        <v>0.2355490039</v>
      </c>
      <c r="AA380" s="95">
        <f>$Q257*'Assumptions (NG Midstream)'!L$76</f>
        <v>0.2356018057</v>
      </c>
      <c r="AB380" s="95">
        <f>$Q257*'Assumptions (NG Midstream)'!M$76</f>
        <v>0.2355490039</v>
      </c>
      <c r="AC380" s="95">
        <f>$Q257*'Assumptions (NG Midstream)'!N$76</f>
        <v>0.2356018057</v>
      </c>
      <c r="AD380" s="95">
        <f>$Q257*'Assumptions (NG Midstream)'!O$76</f>
        <v>0.2355490039</v>
      </c>
      <c r="AE380" s="95">
        <f>$Q257*'Assumptions (NG Midstream)'!P$76</f>
        <v>0.2356018057</v>
      </c>
      <c r="AF380" s="95">
        <f>$Q257*'Assumptions (NG Midstream)'!Q$76</f>
        <v>0.2355490039</v>
      </c>
      <c r="AG380" s="95">
        <f>$Q257*'Assumptions (NG Midstream)'!R$76</f>
        <v>0.2356018057</v>
      </c>
      <c r="AH380" s="95">
        <f>$Q257*'Assumptions (NG Midstream)'!S$76</f>
        <v>0.2355490039</v>
      </c>
      <c r="AI380" s="95">
        <f>$Q257*'Assumptions (NG Midstream)'!T$76</f>
        <v>0.2356018057</v>
      </c>
      <c r="AJ380" s="95">
        <f>$Q257*'Assumptions (NG Midstream)'!U$76</f>
        <v>0.2355490039</v>
      </c>
      <c r="AK380" s="95">
        <f>$Q257*'Assumptions (NG Midstream)'!V$76</f>
        <v>0.1178009029</v>
      </c>
    </row>
    <row r="381" ht="15.75" hidden="1" customHeight="1" outlineLevel="1">
      <c r="A381" s="189"/>
      <c r="B381" s="38"/>
      <c r="C381" s="78"/>
      <c r="D381" s="78"/>
      <c r="E381" s="78"/>
      <c r="F381" s="78"/>
      <c r="G381" s="78"/>
      <c r="H381" s="78"/>
      <c r="I381" s="78"/>
      <c r="J381" s="78"/>
      <c r="K381" s="78"/>
      <c r="L381" s="78"/>
      <c r="M381" s="78"/>
      <c r="N381" s="78"/>
      <c r="O381" s="78"/>
      <c r="P381" s="78"/>
      <c r="Q381" s="78"/>
      <c r="R381" s="95">
        <f>$R257*'Assumptions (NG Midstream)'!B$76</f>
        <v>0.2851136364</v>
      </c>
      <c r="S381" s="95">
        <f>$R257*'Assumptions (NG Midstream)'!C$76</f>
        <v>0.5488627577</v>
      </c>
      <c r="T381" s="95">
        <f>$R257*'Assumptions (NG Midstream)'!D$76</f>
        <v>0.5076543334</v>
      </c>
      <c r="U381" s="95">
        <f>$R257*'Assumptions (NG Midstream)'!E$76</f>
        <v>0.4696391819</v>
      </c>
      <c r="V381" s="95">
        <f>$R257*'Assumptions (NG Midstream)'!F$76</f>
        <v>0.4343611213</v>
      </c>
      <c r="W381" s="95">
        <f>$R257*'Assumptions (NG Midstream)'!G$76</f>
        <v>0.4018201516</v>
      </c>
      <c r="X381" s="95">
        <f>$R257*'Assumptions (NG Midstream)'!H$76</f>
        <v>0.3716361213</v>
      </c>
      <c r="Y381" s="95">
        <f>$R257*'Assumptions (NG Midstream)'!I$76</f>
        <v>0.3438090304</v>
      </c>
      <c r="Z381" s="95">
        <f>$R257*'Assumptions (NG Midstream)'!J$76</f>
        <v>0.3392472122</v>
      </c>
      <c r="AA381" s="95">
        <f>$R257*'Assumptions (NG Midstream)'!K$76</f>
        <v>0.3391711819</v>
      </c>
      <c r="AB381" s="95">
        <f>$R257*'Assumptions (NG Midstream)'!L$76</f>
        <v>0.3392472122</v>
      </c>
      <c r="AC381" s="95">
        <f>$R257*'Assumptions (NG Midstream)'!M$76</f>
        <v>0.3391711819</v>
      </c>
      <c r="AD381" s="95">
        <f>$R257*'Assumptions (NG Midstream)'!N$76</f>
        <v>0.3392472122</v>
      </c>
      <c r="AE381" s="95">
        <f>$R257*'Assumptions (NG Midstream)'!O$76</f>
        <v>0.3391711819</v>
      </c>
      <c r="AF381" s="95">
        <f>$R257*'Assumptions (NG Midstream)'!P$76</f>
        <v>0.3392472122</v>
      </c>
      <c r="AG381" s="95">
        <f>$R257*'Assumptions (NG Midstream)'!Q$76</f>
        <v>0.3391711819</v>
      </c>
      <c r="AH381" s="95">
        <f>$R257*'Assumptions (NG Midstream)'!R$76</f>
        <v>0.3392472122</v>
      </c>
      <c r="AI381" s="95">
        <f>$R257*'Assumptions (NG Midstream)'!S$76</f>
        <v>0.3391711819</v>
      </c>
      <c r="AJ381" s="95">
        <f>$R257*'Assumptions (NG Midstream)'!T$76</f>
        <v>0.3392472122</v>
      </c>
      <c r="AK381" s="95">
        <f>$R257*'Assumptions (NG Midstream)'!U$76</f>
        <v>0.3391711819</v>
      </c>
      <c r="AL381" s="95">
        <f>$R257*'Assumptions (NG Midstream)'!V$76</f>
        <v>0.1696236061</v>
      </c>
    </row>
    <row r="382" ht="15.75" hidden="1" customHeight="1" outlineLevel="1">
      <c r="A382" s="189"/>
      <c r="B382" s="38"/>
      <c r="C382" s="78"/>
      <c r="D382" s="78"/>
      <c r="E382" s="78"/>
      <c r="F382" s="78"/>
      <c r="G382" s="78"/>
      <c r="H382" s="78"/>
      <c r="I382" s="78"/>
      <c r="J382" s="78"/>
      <c r="K382" s="78"/>
      <c r="L382" s="78"/>
      <c r="M382" s="78"/>
      <c r="N382" s="78"/>
      <c r="O382" s="78"/>
      <c r="P382" s="78"/>
      <c r="Q382" s="78"/>
      <c r="R382" s="78"/>
      <c r="S382" s="95">
        <f>$S257*'Assumptions (NG Midstream)'!B$76</f>
        <v>0.2631146193</v>
      </c>
      <c r="T382" s="95">
        <f>$S257*'Assumptions (NG Midstream)'!C$76</f>
        <v>0.5065131831</v>
      </c>
      <c r="U382" s="95">
        <f>$S257*'Assumptions (NG Midstream)'!D$76</f>
        <v>0.4684843502</v>
      </c>
      <c r="V382" s="95">
        <f>$S257*'Assumptions (NG Midstream)'!E$76</f>
        <v>0.4334024009</v>
      </c>
      <c r="W382" s="95">
        <f>$S257*'Assumptions (NG Midstream)'!F$76</f>
        <v>0.400846352</v>
      </c>
      <c r="X382" s="95">
        <f>$S257*'Assumptions (NG Midstream)'!G$76</f>
        <v>0.3708162035</v>
      </c>
      <c r="Y382" s="95">
        <f>$S257*'Assumptions (NG Midstream)'!H$76</f>
        <v>0.3429611358</v>
      </c>
      <c r="Z382" s="95">
        <f>$S257*'Assumptions (NG Midstream)'!I$76</f>
        <v>0.3172811489</v>
      </c>
      <c r="AA382" s="95">
        <f>$S257*'Assumptions (NG Midstream)'!J$76</f>
        <v>0.313071315</v>
      </c>
      <c r="AB382" s="95">
        <f>$S257*'Assumptions (NG Midstream)'!K$76</f>
        <v>0.3130011511</v>
      </c>
      <c r="AC382" s="95">
        <f>$S257*'Assumptions (NG Midstream)'!L$76</f>
        <v>0.313071315</v>
      </c>
      <c r="AD382" s="95">
        <f>$S257*'Assumptions (NG Midstream)'!M$76</f>
        <v>0.3130011511</v>
      </c>
      <c r="AE382" s="95">
        <f>$S257*'Assumptions (NG Midstream)'!N$76</f>
        <v>0.313071315</v>
      </c>
      <c r="AF382" s="95">
        <f>$S257*'Assumptions (NG Midstream)'!O$76</f>
        <v>0.3130011511</v>
      </c>
      <c r="AG382" s="95">
        <f>$S257*'Assumptions (NG Midstream)'!P$76</f>
        <v>0.313071315</v>
      </c>
      <c r="AH382" s="95">
        <f>$S257*'Assumptions (NG Midstream)'!Q$76</f>
        <v>0.3130011511</v>
      </c>
      <c r="AI382" s="95">
        <f>$S257*'Assumptions (NG Midstream)'!R$76</f>
        <v>0.313071315</v>
      </c>
      <c r="AJ382" s="95">
        <f>$S257*'Assumptions (NG Midstream)'!S$76</f>
        <v>0.3130011511</v>
      </c>
      <c r="AK382" s="95">
        <f>$S257*'Assumptions (NG Midstream)'!T$76</f>
        <v>0.313071315</v>
      </c>
      <c r="AL382" s="95">
        <f>$S257*'Assumptions (NG Midstream)'!U$76</f>
        <v>0.3130011511</v>
      </c>
      <c r="AM382" s="95">
        <f>$S257*'Assumptions (NG Midstream)'!V$76</f>
        <v>0.1565356575</v>
      </c>
    </row>
    <row r="383" ht="15.75" hidden="1" customHeight="1" outlineLevel="1">
      <c r="A383" s="189"/>
      <c r="B383" s="38"/>
      <c r="C383" s="78"/>
      <c r="D383" s="78"/>
      <c r="E383" s="78"/>
      <c r="F383" s="78"/>
      <c r="G383" s="78"/>
      <c r="H383" s="78"/>
      <c r="I383" s="78"/>
      <c r="J383" s="78"/>
      <c r="K383" s="78"/>
      <c r="L383" s="78"/>
      <c r="M383" s="78"/>
      <c r="N383" s="78"/>
      <c r="O383" s="78"/>
      <c r="P383" s="78"/>
      <c r="Q383" s="78"/>
      <c r="R383" s="78"/>
      <c r="S383" s="78"/>
      <c r="T383" s="95">
        <f>$T257*'Assumptions (NG Midstream)'!B$76</f>
        <v>0.2967177106</v>
      </c>
      <c r="U383" s="95">
        <f>$T257*'Assumptions (NG Midstream)'!C$76</f>
        <v>0.5712013742</v>
      </c>
      <c r="V383" s="95">
        <f>$T257*'Assumptions (NG Midstream)'!D$76</f>
        <v>0.5283157744</v>
      </c>
      <c r="W383" s="95">
        <f>$T257*'Assumptions (NG Midstream)'!E$76</f>
        <v>0.488753413</v>
      </c>
      <c r="X383" s="95">
        <f>$T257*'Assumptions (NG Midstream)'!F$76</f>
        <v>0.4520395416</v>
      </c>
      <c r="Y383" s="95">
        <f>$T257*'Assumptions (NG Midstream)'!G$76</f>
        <v>0.4181741602</v>
      </c>
      <c r="Z383" s="95">
        <f>$T257*'Assumptions (NG Midstream)'!H$76</f>
        <v>0.3867616452</v>
      </c>
      <c r="AA383" s="95">
        <f>$T257*'Assumptions (NG Midstream)'!I$76</f>
        <v>0.3578019967</v>
      </c>
      <c r="AB383" s="95">
        <f>$T257*'Assumptions (NG Midstream)'!J$76</f>
        <v>0.3530545133</v>
      </c>
      <c r="AC383" s="95">
        <f>$T257*'Assumptions (NG Midstream)'!K$76</f>
        <v>0.3529753886</v>
      </c>
      <c r="AD383" s="95">
        <f>$T257*'Assumptions (NG Midstream)'!L$76</f>
        <v>0.3530545133</v>
      </c>
      <c r="AE383" s="95">
        <f>$T257*'Assumptions (NG Midstream)'!M$76</f>
        <v>0.3529753886</v>
      </c>
      <c r="AF383" s="95">
        <f>$T257*'Assumptions (NG Midstream)'!N$76</f>
        <v>0.3530545133</v>
      </c>
      <c r="AG383" s="95">
        <f>$T257*'Assumptions (NG Midstream)'!O$76</f>
        <v>0.3529753886</v>
      </c>
      <c r="AH383" s="95">
        <f>$T257*'Assumptions (NG Midstream)'!P$76</f>
        <v>0.3530545133</v>
      </c>
      <c r="AI383" s="95">
        <f>$T257*'Assumptions (NG Midstream)'!Q$76</f>
        <v>0.3529753886</v>
      </c>
      <c r="AJ383" s="95">
        <f>$T257*'Assumptions (NG Midstream)'!R$76</f>
        <v>0.3530545133</v>
      </c>
      <c r="AK383" s="95">
        <f>$T257*'Assumptions (NG Midstream)'!S$76</f>
        <v>0.3529753886</v>
      </c>
      <c r="AL383" s="95">
        <f>$T257*'Assumptions (NG Midstream)'!T$76</f>
        <v>0.3530545133</v>
      </c>
      <c r="AM383" s="95">
        <f>$T257*'Assumptions (NG Midstream)'!U$76</f>
        <v>0.3529753886</v>
      </c>
      <c r="AN383" s="95">
        <f>$T257*'Assumptions (NG Midstream)'!V$76</f>
        <v>0.1765272567</v>
      </c>
    </row>
    <row r="384" ht="15.75" hidden="1" customHeight="1" outlineLevel="1">
      <c r="A384" s="189"/>
      <c r="B384" s="38"/>
      <c r="C384" s="78"/>
      <c r="D384" s="78"/>
      <c r="E384" s="78"/>
      <c r="F384" s="78"/>
      <c r="G384" s="78"/>
      <c r="H384" s="78"/>
      <c r="I384" s="78"/>
      <c r="J384" s="78"/>
      <c r="K384" s="78"/>
      <c r="L384" s="78"/>
      <c r="M384" s="78"/>
      <c r="N384" s="78"/>
      <c r="O384" s="78"/>
      <c r="P384" s="78"/>
      <c r="Q384" s="78"/>
      <c r="R384" s="78"/>
      <c r="S384" s="78"/>
      <c r="T384" s="78"/>
      <c r="U384" s="95">
        <f>$U257*'Assumptions (NG Midstream)'!B$76</f>
        <v>0.04012218824</v>
      </c>
      <c r="V384" s="95">
        <f>$U257*'Assumptions (NG Midstream)'!C$76</f>
        <v>0.07723788718</v>
      </c>
      <c r="W384" s="95">
        <f>$U257*'Assumptions (NG Midstream)'!D$76</f>
        <v>0.07143889357</v>
      </c>
      <c r="X384" s="95">
        <f>$U257*'Assumptions (NG Midstream)'!E$76</f>
        <v>0.06608926847</v>
      </c>
      <c r="Y384" s="95">
        <f>$U257*'Assumptions (NG Midstream)'!F$76</f>
        <v>0.06112481638</v>
      </c>
      <c r="Z384" s="95">
        <f>$U257*'Assumptions (NG Midstream)'!G$76</f>
        <v>0.0565455373</v>
      </c>
      <c r="AA384" s="95">
        <f>$U257*'Assumptions (NG Midstream)'!H$76</f>
        <v>0.05229793497</v>
      </c>
      <c r="AB384" s="95">
        <f>$U257*'Assumptions (NG Midstream)'!I$76</f>
        <v>0.0483820094</v>
      </c>
      <c r="AC384" s="95">
        <f>$U257*'Assumptions (NG Midstream)'!J$76</f>
        <v>0.04774005438</v>
      </c>
      <c r="AD384" s="95">
        <f>$U257*'Assumptions (NG Midstream)'!K$76</f>
        <v>0.04772935513</v>
      </c>
      <c r="AE384" s="95">
        <f>$U257*'Assumptions (NG Midstream)'!L$76</f>
        <v>0.04774005438</v>
      </c>
      <c r="AF384" s="95">
        <f>$U257*'Assumptions (NG Midstream)'!M$76</f>
        <v>0.04772935513</v>
      </c>
      <c r="AG384" s="95">
        <f>$U257*'Assumptions (NG Midstream)'!N$76</f>
        <v>0.04774005438</v>
      </c>
      <c r="AH384" s="95">
        <f>$U257*'Assumptions (NG Midstream)'!O$76</f>
        <v>0.04772935513</v>
      </c>
      <c r="AI384" s="95">
        <f>$U257*'Assumptions (NG Midstream)'!P$76</f>
        <v>0.04774005438</v>
      </c>
      <c r="AJ384" s="95">
        <f>$U257*'Assumptions (NG Midstream)'!Q$76</f>
        <v>0.04772935513</v>
      </c>
      <c r="AK384" s="95">
        <f>$U257*'Assumptions (NG Midstream)'!R$76</f>
        <v>0.04774005438</v>
      </c>
      <c r="AL384" s="95">
        <f>$U257*'Assumptions (NG Midstream)'!S$76</f>
        <v>0.04772935513</v>
      </c>
      <c r="AM384" s="95">
        <f>$U257*'Assumptions (NG Midstream)'!T$76</f>
        <v>0.04774005438</v>
      </c>
      <c r="AN384" s="95">
        <f>$U257*'Assumptions (NG Midstream)'!U$76</f>
        <v>0.04772935513</v>
      </c>
      <c r="AO384" s="95">
        <f>$U257*'Assumptions (NG Midstream)'!V$76</f>
        <v>0.02387002719</v>
      </c>
    </row>
    <row r="385" ht="15.75" hidden="1" customHeight="1" outlineLevel="1">
      <c r="A385" s="189"/>
      <c r="B385" s="38"/>
      <c r="C385" s="78"/>
      <c r="D385" s="78"/>
      <c r="E385" s="78"/>
      <c r="F385" s="78"/>
      <c r="G385" s="78"/>
      <c r="H385" s="78"/>
      <c r="I385" s="78"/>
      <c r="J385" s="78"/>
      <c r="K385" s="78"/>
      <c r="L385" s="78"/>
      <c r="M385" s="78"/>
      <c r="N385" s="78"/>
      <c r="O385" s="78"/>
      <c r="P385" s="78"/>
      <c r="Q385" s="78"/>
      <c r="R385" s="78"/>
      <c r="S385" s="78"/>
      <c r="T385" s="78"/>
      <c r="U385" s="78"/>
      <c r="V385" s="95">
        <f>$V257*'Assumptions (NG Midstream)'!B$76</f>
        <v>0.1271474075</v>
      </c>
      <c r="W385" s="95">
        <f>$V257*'Assumptions (NG Midstream)'!C$76</f>
        <v>0.244767236</v>
      </c>
      <c r="X385" s="95">
        <f>$V257*'Assumptions (NG Midstream)'!D$76</f>
        <v>0.2263901974</v>
      </c>
      <c r="Y385" s="95">
        <f>$V257*'Assumptions (NG Midstream)'!E$76</f>
        <v>0.2094372097</v>
      </c>
      <c r="Z385" s="95">
        <f>$V257*'Assumptions (NG Midstream)'!F$76</f>
        <v>0.1937048371</v>
      </c>
      <c r="AA385" s="95">
        <f>$V257*'Assumptions (NG Midstream)'!G$76</f>
        <v>0.1791930797</v>
      </c>
      <c r="AB385" s="95">
        <f>$V257*'Assumptions (NG Midstream)'!H$76</f>
        <v>0.1657324075</v>
      </c>
      <c r="AC385" s="95">
        <f>$V257*'Assumptions (NG Midstream)'!I$76</f>
        <v>0.1533228205</v>
      </c>
      <c r="AD385" s="95">
        <f>$V257*'Assumptions (NG Midstream)'!J$76</f>
        <v>0.151288462</v>
      </c>
      <c r="AE385" s="95">
        <f>$V257*'Assumptions (NG Midstream)'!K$76</f>
        <v>0.151254556</v>
      </c>
      <c r="AF385" s="95">
        <f>$V257*'Assumptions (NG Midstream)'!L$76</f>
        <v>0.151288462</v>
      </c>
      <c r="AG385" s="95">
        <f>$V257*'Assumptions (NG Midstream)'!M$76</f>
        <v>0.151254556</v>
      </c>
      <c r="AH385" s="95">
        <f>$V257*'Assumptions (NG Midstream)'!N$76</f>
        <v>0.151288462</v>
      </c>
      <c r="AI385" s="95">
        <f>$V257*'Assumptions (NG Midstream)'!O$76</f>
        <v>0.151254556</v>
      </c>
      <c r="AJ385" s="95">
        <f>$V257*'Assumptions (NG Midstream)'!P$76</f>
        <v>0.151288462</v>
      </c>
      <c r="AK385" s="95">
        <f>$V257*'Assumptions (NG Midstream)'!Q$76</f>
        <v>0.151254556</v>
      </c>
      <c r="AL385" s="95">
        <f>$V257*'Assumptions (NG Midstream)'!R$76</f>
        <v>0.151288462</v>
      </c>
      <c r="AM385" s="95">
        <f>$V257*'Assumptions (NG Midstream)'!S$76</f>
        <v>0.151254556</v>
      </c>
      <c r="AN385" s="95">
        <f>$V257*'Assumptions (NG Midstream)'!T$76</f>
        <v>0.151288462</v>
      </c>
      <c r="AO385" s="95">
        <f>$V257*'Assumptions (NG Midstream)'!U$76</f>
        <v>0.151254556</v>
      </c>
      <c r="AP385" s="95">
        <f>$V257*'Assumptions (NG Midstream)'!V$76</f>
        <v>0.07564423099</v>
      </c>
    </row>
    <row r="386" ht="15.75" hidden="1" customHeight="1" outlineLevel="1">
      <c r="A386" s="189"/>
      <c r="B386" s="38"/>
      <c r="C386" s="78"/>
      <c r="D386" s="78"/>
      <c r="E386" s="78"/>
      <c r="F386" s="78"/>
      <c r="G386" s="78"/>
      <c r="H386" s="78"/>
      <c r="I386" s="78"/>
      <c r="J386" s="78"/>
      <c r="K386" s="78"/>
      <c r="L386" s="78"/>
      <c r="M386" s="78"/>
      <c r="N386" s="78"/>
      <c r="O386" s="78"/>
      <c r="P386" s="78"/>
      <c r="Q386" s="78"/>
      <c r="R386" s="78"/>
      <c r="S386" s="78"/>
      <c r="T386" s="78"/>
      <c r="U386" s="78"/>
      <c r="V386" s="78"/>
      <c r="W386" s="95">
        <f>$W257*'Assumptions (NG Midstream)'!B$76</f>
        <v>0.08188176718</v>
      </c>
      <c r="X386" s="95">
        <f>$W257*'Assumptions (NG Midstream)'!C$76</f>
        <v>0.1576278606</v>
      </c>
      <c r="Y386" s="95">
        <f>$W257*'Assumptions (NG Midstream)'!D$76</f>
        <v>0.1457932159</v>
      </c>
      <c r="Z386" s="95">
        <f>$W257*'Assumptions (NG Midstream)'!E$76</f>
        <v>0.1348756469</v>
      </c>
      <c r="AA386" s="95">
        <f>$W257*'Assumptions (NG Midstream)'!F$76</f>
        <v>0.1247441429</v>
      </c>
      <c r="AB386" s="95">
        <f>$W257*'Assumptions (NG Midstream)'!G$76</f>
        <v>0.1153987039</v>
      </c>
      <c r="AC386" s="95">
        <f>$W257*'Assumptions (NG Midstream)'!H$76</f>
        <v>0.1067301541</v>
      </c>
      <c r="AD386" s="95">
        <f>$W257*'Assumptions (NG Midstream)'!I$76</f>
        <v>0.09873849365</v>
      </c>
      <c r="AE386" s="95">
        <f>$W257*'Assumptions (NG Midstream)'!J$76</f>
        <v>0.09742838538</v>
      </c>
      <c r="AF386" s="95">
        <f>$W257*'Assumptions (NG Midstream)'!K$76</f>
        <v>0.09740655024</v>
      </c>
      <c r="AG386" s="95">
        <f>$W257*'Assumptions (NG Midstream)'!L$76</f>
        <v>0.09742838538</v>
      </c>
      <c r="AH386" s="95">
        <f>$W257*'Assumptions (NG Midstream)'!M$76</f>
        <v>0.09740655024</v>
      </c>
      <c r="AI386" s="95">
        <f>$W257*'Assumptions (NG Midstream)'!N$76</f>
        <v>0.09742838538</v>
      </c>
      <c r="AJ386" s="95">
        <f>$W257*'Assumptions (NG Midstream)'!O$76</f>
        <v>0.09740655024</v>
      </c>
      <c r="AK386" s="95">
        <f>$W257*'Assumptions (NG Midstream)'!P$76</f>
        <v>0.09742838538</v>
      </c>
      <c r="AL386" s="95">
        <f>$W257*'Assumptions (NG Midstream)'!Q$76</f>
        <v>0.09740655024</v>
      </c>
      <c r="AM386" s="95">
        <f>$W257*'Assumptions (NG Midstream)'!R$76</f>
        <v>0.09742838538</v>
      </c>
      <c r="AN386" s="95">
        <f>$W257*'Assumptions (NG Midstream)'!S$76</f>
        <v>0.09740655024</v>
      </c>
      <c r="AO386" s="95">
        <f>$W257*'Assumptions (NG Midstream)'!T$76</f>
        <v>0.09742838538</v>
      </c>
      <c r="AP386" s="95">
        <f>$W257*'Assumptions (NG Midstream)'!U$76</f>
        <v>0.09740655024</v>
      </c>
      <c r="AQ386" s="95">
        <f>$W257*'Assumptions (NG Midstream)'!V$76</f>
        <v>0.04871419269</v>
      </c>
    </row>
    <row r="387" ht="15.75" hidden="1" customHeight="1" outlineLevel="1">
      <c r="A387" s="189"/>
      <c r="B387" s="38"/>
      <c r="C387" s="78"/>
      <c r="D387" s="78"/>
      <c r="E387" s="78"/>
      <c r="F387" s="78"/>
      <c r="G387" s="78"/>
      <c r="H387" s="78"/>
      <c r="I387" s="78"/>
      <c r="J387" s="78"/>
      <c r="K387" s="78"/>
      <c r="L387" s="78"/>
      <c r="M387" s="78"/>
      <c r="N387" s="78"/>
      <c r="O387" s="78"/>
      <c r="P387" s="78"/>
      <c r="Q387" s="78"/>
      <c r="R387" s="78"/>
      <c r="S387" s="78"/>
      <c r="T387" s="78"/>
      <c r="U387" s="78"/>
      <c r="V387" s="78"/>
      <c r="W387" s="139"/>
      <c r="X387" s="95">
        <f>$X257*'Assumptions (NG Midstream)'!B$76</f>
        <v>0.07387753782</v>
      </c>
      <c r="Y387" s="95">
        <f>$X257*'Assumptions (NG Midstream)'!C$76</f>
        <v>0.1422191855</v>
      </c>
      <c r="Z387" s="95">
        <f>$X257*'Assumptions (NG Midstream)'!D$76</f>
        <v>0.1315414187</v>
      </c>
      <c r="AA387" s="95">
        <f>$X257*'Assumptions (NG Midstream)'!E$76</f>
        <v>0.1216910803</v>
      </c>
      <c r="AB387" s="95">
        <f>$X257*'Assumptions (NG Midstream)'!F$76</f>
        <v>0.1125499663</v>
      </c>
      <c r="AC387" s="95">
        <f>$X257*'Assumptions (NG Midstream)'!G$76</f>
        <v>0.1041180766</v>
      </c>
      <c r="AD387" s="95">
        <f>$X257*'Assumptions (NG Midstream)'!H$76</f>
        <v>0.09629690797</v>
      </c>
      <c r="AE387" s="95">
        <f>$X257*'Assumptions (NG Midstream)'!I$76</f>
        <v>0.08908646028</v>
      </c>
      <c r="AF387" s="95">
        <f>$X257*'Assumptions (NG Midstream)'!J$76</f>
        <v>0.08790441967</v>
      </c>
      <c r="AG387" s="95">
        <f>$X257*'Assumptions (NG Midstream)'!K$76</f>
        <v>0.087884719</v>
      </c>
      <c r="AH387" s="95">
        <f>$X257*'Assumptions (NG Midstream)'!L$76</f>
        <v>0.08790441967</v>
      </c>
      <c r="AI387" s="95">
        <f>$X257*'Assumptions (NG Midstream)'!M$76</f>
        <v>0.087884719</v>
      </c>
      <c r="AJ387" s="95">
        <f>$X257*'Assumptions (NG Midstream)'!N$76</f>
        <v>0.08790441967</v>
      </c>
      <c r="AK387" s="95">
        <f>$X257*'Assumptions (NG Midstream)'!O$76</f>
        <v>0.087884719</v>
      </c>
      <c r="AL387" s="95">
        <f>$X257*'Assumptions (NG Midstream)'!P$76</f>
        <v>0.08790441967</v>
      </c>
      <c r="AM387" s="95">
        <f>$X257*'Assumptions (NG Midstream)'!Q$76</f>
        <v>0.087884719</v>
      </c>
      <c r="AN387" s="95">
        <f>$X257*'Assumptions (NG Midstream)'!R$76</f>
        <v>0.08790441967</v>
      </c>
      <c r="AO387" s="95">
        <f>$X257*'Assumptions (NG Midstream)'!S$76</f>
        <v>0.087884719</v>
      </c>
      <c r="AP387" s="95">
        <f>$X257*'Assumptions (NG Midstream)'!T$76</f>
        <v>0.08790441967</v>
      </c>
      <c r="AQ387" s="95">
        <f>$X257*'Assumptions (NG Midstream)'!U$76</f>
        <v>0.087884719</v>
      </c>
      <c r="AR387" s="95">
        <f>$X257*'Assumptions (NG Midstream)'!V$76</f>
        <v>0.04395220984</v>
      </c>
    </row>
    <row r="388" ht="15.75" hidden="1" customHeight="1" outlineLevel="1">
      <c r="A388" s="189"/>
      <c r="B388" s="38"/>
      <c r="C388" s="78"/>
      <c r="D388" s="78"/>
      <c r="E388" s="78"/>
      <c r="F388" s="78"/>
      <c r="G388" s="78"/>
      <c r="H388" s="78"/>
      <c r="I388" s="78"/>
      <c r="J388" s="78"/>
      <c r="K388" s="78"/>
      <c r="L388" s="78"/>
      <c r="M388" s="78"/>
      <c r="N388" s="78"/>
      <c r="O388" s="78"/>
      <c r="P388" s="78"/>
      <c r="Q388" s="78"/>
      <c r="R388" s="78"/>
      <c r="S388" s="78"/>
      <c r="T388" s="78"/>
      <c r="U388" s="78"/>
      <c r="V388" s="78"/>
      <c r="W388" s="139"/>
      <c r="Y388" s="95">
        <f>$Y257*'Assumptions (NG Midstream)'!B$76</f>
        <v>0.09484843946</v>
      </c>
      <c r="Z388" s="95">
        <f>$Y257*'Assumptions (NG Midstream)'!C$76</f>
        <v>0.1825895692</v>
      </c>
      <c r="AA388" s="95">
        <f>$Y257*'Assumptions (NG Midstream)'!D$76</f>
        <v>0.1688808081</v>
      </c>
      <c r="AB388" s="95">
        <f>$Y257*'Assumptions (NG Midstream)'!E$76</f>
        <v>0.1562343495</v>
      </c>
      <c r="AC388" s="95">
        <f>$Y257*'Assumptions (NG Midstream)'!F$76</f>
        <v>0.1444984359</v>
      </c>
      <c r="AD388" s="95">
        <f>$Y257*'Assumptions (NG Midstream)'!G$76</f>
        <v>0.1336730673</v>
      </c>
      <c r="AE388" s="95">
        <f>$Y257*'Assumptions (NG Midstream)'!H$76</f>
        <v>0.1236317792</v>
      </c>
      <c r="AF388" s="95">
        <f>$Y257*'Assumptions (NG Midstream)'!I$76</f>
        <v>0.1143745715</v>
      </c>
      <c r="AG388" s="95">
        <f>$Y257*'Assumptions (NG Midstream)'!J$76</f>
        <v>0.1128569965</v>
      </c>
      <c r="AH388" s="95">
        <f>$Y257*'Assumptions (NG Midstream)'!K$76</f>
        <v>0.1128317036</v>
      </c>
      <c r="AI388" s="95">
        <f>$Y257*'Assumptions (NG Midstream)'!L$76</f>
        <v>0.1128569965</v>
      </c>
      <c r="AJ388" s="95">
        <f>$Y257*'Assumptions (NG Midstream)'!M$76</f>
        <v>0.1128317036</v>
      </c>
      <c r="AK388" s="95">
        <f>$Y257*'Assumptions (NG Midstream)'!N$76</f>
        <v>0.1128569965</v>
      </c>
      <c r="AL388" s="95">
        <f>$Y257*'Assumptions (NG Midstream)'!O$76</f>
        <v>0.1128317036</v>
      </c>
      <c r="AM388" s="95">
        <f>$Y257*'Assumptions (NG Midstream)'!P$76</f>
        <v>0.1128569965</v>
      </c>
      <c r="AN388" s="95">
        <f>$Y257*'Assumptions (NG Midstream)'!Q$76</f>
        <v>0.1128317036</v>
      </c>
      <c r="AO388" s="95">
        <f>$Y257*'Assumptions (NG Midstream)'!R$76</f>
        <v>0.1128569965</v>
      </c>
      <c r="AP388" s="95">
        <f>$Y257*'Assumptions (NG Midstream)'!S$76</f>
        <v>0.1128317036</v>
      </c>
      <c r="AQ388" s="95">
        <f>$Y257*'Assumptions (NG Midstream)'!T$76</f>
        <v>0.1128569965</v>
      </c>
      <c r="AR388" s="95">
        <f>$Y257*'Assumptions (NG Midstream)'!U$76</f>
        <v>0.1128317036</v>
      </c>
      <c r="AS388" s="95">
        <f>$Y257*'Assumptions (NG Midstream)'!V$76</f>
        <v>0.05642849825</v>
      </c>
    </row>
    <row r="389" ht="15.75" hidden="1" customHeight="1" outlineLevel="1">
      <c r="A389" s="189"/>
      <c r="B389" s="38"/>
      <c r="C389" s="78"/>
      <c r="D389" s="78"/>
      <c r="E389" s="78"/>
      <c r="F389" s="78"/>
      <c r="G389" s="78"/>
      <c r="H389" s="78"/>
      <c r="I389" s="78"/>
      <c r="J389" s="78"/>
      <c r="K389" s="78"/>
      <c r="L389" s="78"/>
      <c r="M389" s="78"/>
      <c r="N389" s="78"/>
      <c r="O389" s="78"/>
      <c r="P389" s="78"/>
      <c r="Q389" s="78"/>
      <c r="R389" s="78"/>
      <c r="S389" s="78"/>
      <c r="T389" s="78"/>
      <c r="U389" s="78"/>
      <c r="V389" s="78"/>
      <c r="W389" s="139"/>
      <c r="Z389" s="95">
        <f>$Z257*'Assumptions (NG Midstream)'!B$76</f>
        <v>0.1020259283</v>
      </c>
      <c r="AA389" s="95">
        <f>$Z257*'Assumptions (NG Midstream)'!C$76</f>
        <v>0.1964067137</v>
      </c>
      <c r="AB389" s="95">
        <f>$Z257*'Assumptions (NG Midstream)'!D$76</f>
        <v>0.1816605662</v>
      </c>
      <c r="AC389" s="95">
        <f>$Z257*'Assumptions (NG Midstream)'!E$76</f>
        <v>0.1680571091</v>
      </c>
      <c r="AD389" s="95">
        <f>$Z257*'Assumptions (NG Midstream)'!F$76</f>
        <v>0.1554331009</v>
      </c>
      <c r="AE389" s="95">
        <f>$Z257*'Assumptions (NG Midstream)'!G$76</f>
        <v>0.1437885416</v>
      </c>
      <c r="AF389" s="95">
        <f>$Z257*'Assumptions (NG Midstream)'!H$76</f>
        <v>0.1329873967</v>
      </c>
      <c r="AG389" s="95">
        <f>$Z257*'Assumptions (NG Midstream)'!I$76</f>
        <v>0.1230296661</v>
      </c>
      <c r="AH389" s="95">
        <f>$Z257*'Assumptions (NG Midstream)'!J$76</f>
        <v>0.1213972512</v>
      </c>
      <c r="AI389" s="95">
        <f>$Z257*'Assumptions (NG Midstream)'!K$76</f>
        <v>0.1213700443</v>
      </c>
      <c r="AJ389" s="95">
        <f>$Z257*'Assumptions (NG Midstream)'!L$76</f>
        <v>0.1213972512</v>
      </c>
      <c r="AK389" s="95">
        <f>$Z257*'Assumptions (NG Midstream)'!M$76</f>
        <v>0.1213700443</v>
      </c>
      <c r="AL389" s="95">
        <f>$Z257*'Assumptions (NG Midstream)'!N$76</f>
        <v>0.1213972512</v>
      </c>
      <c r="AM389" s="95">
        <f>$Z257*'Assumptions (NG Midstream)'!O$76</f>
        <v>0.1213700443</v>
      </c>
      <c r="AN389" s="95">
        <f>$Z257*'Assumptions (NG Midstream)'!P$76</f>
        <v>0.1213972512</v>
      </c>
      <c r="AO389" s="95">
        <f>$Z257*'Assumptions (NG Midstream)'!Q$76</f>
        <v>0.1213700443</v>
      </c>
      <c r="AP389" s="95">
        <f>$Z257*'Assumptions (NG Midstream)'!R$76</f>
        <v>0.1213972512</v>
      </c>
      <c r="AQ389" s="95">
        <f>$Z257*'Assumptions (NG Midstream)'!S$76</f>
        <v>0.1213700443</v>
      </c>
      <c r="AR389" s="95">
        <f>$Z257*'Assumptions (NG Midstream)'!T$76</f>
        <v>0.1213972512</v>
      </c>
      <c r="AS389" s="95">
        <f>$Z257*'Assumptions (NG Midstream)'!U$76</f>
        <v>0.1213700443</v>
      </c>
      <c r="AT389" s="95">
        <f>$Z257*'Assumptions (NG Midstream)'!V$76</f>
        <v>0.0606986256</v>
      </c>
    </row>
    <row r="390" ht="15.75" hidden="1" customHeight="1" outlineLevel="1">
      <c r="A390" s="189"/>
      <c r="B390" s="38"/>
      <c r="C390" s="78"/>
      <c r="D390" s="78"/>
      <c r="E390" s="78"/>
      <c r="F390" s="78"/>
      <c r="G390" s="78"/>
      <c r="H390" s="78"/>
      <c r="I390" s="78"/>
      <c r="J390" s="78"/>
      <c r="K390" s="78"/>
      <c r="L390" s="78"/>
      <c r="M390" s="78"/>
      <c r="N390" s="78"/>
      <c r="O390" s="78"/>
      <c r="P390" s="78"/>
      <c r="Q390" s="78"/>
      <c r="R390" s="78"/>
      <c r="S390" s="78"/>
      <c r="T390" s="78"/>
      <c r="U390" s="78"/>
      <c r="V390" s="78"/>
      <c r="W390" s="139"/>
      <c r="AA390" s="95">
        <f>$AA257*'Assumptions (NG Midstream)'!B$76</f>
        <v>0.1026206677</v>
      </c>
      <c r="AB390" s="95">
        <f>$AA257*'Assumptions (NG Midstream)'!C$76</f>
        <v>0.1975516267</v>
      </c>
      <c r="AC390" s="95">
        <f>$AA257*'Assumptions (NG Midstream)'!D$76</f>
        <v>0.1827195195</v>
      </c>
      <c r="AD390" s="95">
        <f>$AA257*'Assumptions (NG Midstream)'!E$76</f>
        <v>0.1690367639</v>
      </c>
      <c r="AE390" s="95">
        <f>$AA257*'Assumptions (NG Midstream)'!F$76</f>
        <v>0.1563391666</v>
      </c>
      <c r="AF390" s="95">
        <f>$AA257*'Assumptions (NG Midstream)'!G$76</f>
        <v>0.1446267277</v>
      </c>
      <c r="AG390" s="95">
        <f>$AA257*'Assumptions (NG Midstream)'!H$76</f>
        <v>0.1337626197</v>
      </c>
      <c r="AH390" s="95">
        <f>$AA257*'Assumptions (NG Midstream)'!I$76</f>
        <v>0.1237468425</v>
      </c>
      <c r="AI390" s="95">
        <f>$AA257*'Assumptions (NG Midstream)'!J$76</f>
        <v>0.1221049118</v>
      </c>
      <c r="AJ390" s="95">
        <f>$AA257*'Assumptions (NG Midstream)'!K$76</f>
        <v>0.1220775463</v>
      </c>
      <c r="AK390" s="95">
        <f>$AA257*'Assumptions (NG Midstream)'!L$76</f>
        <v>0.1221049118</v>
      </c>
      <c r="AL390" s="95">
        <f>$AA257*'Assumptions (NG Midstream)'!M$76</f>
        <v>0.1220775463</v>
      </c>
      <c r="AM390" s="95">
        <f>$AA257*'Assumptions (NG Midstream)'!N$76</f>
        <v>0.1221049118</v>
      </c>
      <c r="AN390" s="95">
        <f>$AA257*'Assumptions (NG Midstream)'!O$76</f>
        <v>0.1220775463</v>
      </c>
      <c r="AO390" s="95">
        <f>$AA257*'Assumptions (NG Midstream)'!P$76</f>
        <v>0.1221049118</v>
      </c>
      <c r="AP390" s="95">
        <f>$AA257*'Assumptions (NG Midstream)'!Q$76</f>
        <v>0.1220775463</v>
      </c>
      <c r="AQ390" s="95">
        <f>$AA257*'Assumptions (NG Midstream)'!R$76</f>
        <v>0.1221049118</v>
      </c>
      <c r="AR390" s="95">
        <f>$AA257*'Assumptions (NG Midstream)'!S$76</f>
        <v>0.1220775463</v>
      </c>
      <c r="AS390" s="95">
        <f>$AA257*'Assumptions (NG Midstream)'!T$76</f>
        <v>0.1221049118</v>
      </c>
      <c r="AT390" s="95">
        <f>$AA257*'Assumptions (NG Midstream)'!U$76</f>
        <v>0.1220775463</v>
      </c>
      <c r="AU390" s="95">
        <f>$AA257*'Assumptions (NG Midstream)'!V$76</f>
        <v>0.06105245591</v>
      </c>
    </row>
    <row r="391" ht="15.75" hidden="1" customHeight="1" outlineLevel="1">
      <c r="A391" s="189"/>
      <c r="B391" s="38"/>
      <c r="C391" s="78"/>
      <c r="D391" s="78"/>
      <c r="E391" s="78"/>
      <c r="F391" s="78"/>
      <c r="G391" s="78"/>
      <c r="H391" s="78"/>
      <c r="I391" s="78"/>
      <c r="J391" s="78"/>
      <c r="K391" s="78"/>
      <c r="L391" s="78"/>
      <c r="M391" s="78"/>
      <c r="N391" s="78"/>
      <c r="O391" s="78"/>
      <c r="P391" s="78"/>
      <c r="Q391" s="78"/>
      <c r="R391" s="78"/>
      <c r="S391" s="78"/>
      <c r="T391" s="78"/>
      <c r="U391" s="78"/>
      <c r="V391" s="78"/>
      <c r="W391" s="139"/>
      <c r="AB391" s="95">
        <f>$AB257*'Assumptions (NG Midstream)'!B$76</f>
        <v>0.09678224099</v>
      </c>
      <c r="AC391" s="95">
        <f>$AB257*'Assumptions (NG Midstream)'!C$76</f>
        <v>0.1863122661</v>
      </c>
      <c r="AD391" s="95">
        <f>$AB257*'Assumptions (NG Midstream)'!D$76</f>
        <v>0.1723240062</v>
      </c>
      <c r="AE391" s="95">
        <f>$AB257*'Assumptions (NG Midstream)'!E$76</f>
        <v>0.1594197074</v>
      </c>
      <c r="AF391" s="95">
        <f>$AB257*'Assumptions (NG Midstream)'!F$76</f>
        <v>0.1474445181</v>
      </c>
      <c r="AG391" s="95">
        <f>$AB257*'Assumptions (NG Midstream)'!G$76</f>
        <v>0.1363984383</v>
      </c>
      <c r="AH391" s="95">
        <f>$AB257*'Assumptions (NG Midstream)'!H$76</f>
        <v>0.1261524251</v>
      </c>
      <c r="AI391" s="95">
        <f>$AB257*'Assumptions (NG Midstream)'!I$76</f>
        <v>0.1167064783</v>
      </c>
      <c r="AJ391" s="95">
        <f>$AB257*'Assumptions (NG Midstream)'!J$76</f>
        <v>0.1151579625</v>
      </c>
      <c r="AK391" s="95">
        <f>$AB257*'Assumptions (NG Midstream)'!K$76</f>
        <v>0.1151321539</v>
      </c>
      <c r="AL391" s="95">
        <f>$AB257*'Assumptions (NG Midstream)'!L$76</f>
        <v>0.1151579625</v>
      </c>
      <c r="AM391" s="95">
        <f>$AB257*'Assumptions (NG Midstream)'!M$76</f>
        <v>0.1151321539</v>
      </c>
      <c r="AN391" s="95">
        <f>$AB257*'Assumptions (NG Midstream)'!N$76</f>
        <v>0.1151579625</v>
      </c>
      <c r="AO391" s="95">
        <f>$AB257*'Assumptions (NG Midstream)'!O$76</f>
        <v>0.1151321539</v>
      </c>
      <c r="AP391" s="95">
        <f>$AB257*'Assumptions (NG Midstream)'!P$76</f>
        <v>0.1151579625</v>
      </c>
      <c r="AQ391" s="95">
        <f>$AB257*'Assumptions (NG Midstream)'!Q$76</f>
        <v>0.1151321539</v>
      </c>
      <c r="AR391" s="95">
        <f>$AB257*'Assumptions (NG Midstream)'!R$76</f>
        <v>0.1151579625</v>
      </c>
      <c r="AS391" s="95">
        <f>$AB257*'Assumptions (NG Midstream)'!S$76</f>
        <v>0.1151321539</v>
      </c>
      <c r="AT391" s="95">
        <f>$AB257*'Assumptions (NG Midstream)'!T$76</f>
        <v>0.1151579625</v>
      </c>
      <c r="AU391" s="95">
        <f>$AB257*'Assumptions (NG Midstream)'!U$76</f>
        <v>0.1151321539</v>
      </c>
      <c r="AV391" s="95">
        <f>$AB257*'Assumptions (NG Midstream)'!V$76</f>
        <v>0.05757898124</v>
      </c>
    </row>
    <row r="392" ht="15.75" hidden="1" customHeight="1" outlineLevel="1">
      <c r="A392" s="189"/>
      <c r="B392" s="38"/>
      <c r="C392" s="78"/>
      <c r="D392" s="78"/>
      <c r="E392" s="78"/>
      <c r="F392" s="78"/>
      <c r="G392" s="78"/>
      <c r="H392" s="78"/>
      <c r="I392" s="78"/>
      <c r="J392" s="78"/>
      <c r="K392" s="78"/>
      <c r="L392" s="78"/>
      <c r="M392" s="78"/>
      <c r="N392" s="78"/>
      <c r="O392" s="78"/>
      <c r="P392" s="78"/>
      <c r="Q392" s="78"/>
      <c r="R392" s="78"/>
      <c r="S392" s="78"/>
      <c r="T392" s="78"/>
      <c r="U392" s="78"/>
      <c r="V392" s="78"/>
      <c r="W392" s="139"/>
      <c r="AC392" s="95">
        <f>$AC257*'Assumptions (NG Midstream)'!B$76</f>
        <v>0.08141958885</v>
      </c>
      <c r="AD392" s="95">
        <f>$AC257*'Assumptions (NG Midstream)'!C$76</f>
        <v>0.1567381365</v>
      </c>
      <c r="AE392" s="95">
        <f>$AC257*'Assumptions (NG Midstream)'!D$76</f>
        <v>0.1449702919</v>
      </c>
      <c r="AF392" s="95">
        <f>$AC257*'Assumptions (NG Midstream)'!E$76</f>
        <v>0.1341143467</v>
      </c>
      <c r="AG392" s="95">
        <f>$AC257*'Assumptions (NG Midstream)'!F$76</f>
        <v>0.1240400296</v>
      </c>
      <c r="AH392" s="95">
        <f>$AC257*'Assumptions (NG Midstream)'!G$76</f>
        <v>0.1147473405</v>
      </c>
      <c r="AI392" s="95">
        <f>$AC257*'Assumptions (NG Midstream)'!H$76</f>
        <v>0.1061277201</v>
      </c>
      <c r="AJ392" s="95">
        <f>$AC257*'Assumptions (NG Midstream)'!I$76</f>
        <v>0.0981811682</v>
      </c>
      <c r="AK392" s="95">
        <f>$AC257*'Assumptions (NG Midstream)'!J$76</f>
        <v>0.09687845478</v>
      </c>
      <c r="AL392" s="95">
        <f>$AC257*'Assumptions (NG Midstream)'!K$76</f>
        <v>0.09685674289</v>
      </c>
      <c r="AM392" s="95">
        <f>$AC257*'Assumptions (NG Midstream)'!L$76</f>
        <v>0.09687845478</v>
      </c>
      <c r="AN392" s="95">
        <f>$AC257*'Assumptions (NG Midstream)'!M$76</f>
        <v>0.09685674289</v>
      </c>
      <c r="AO392" s="95">
        <f>$AC257*'Assumptions (NG Midstream)'!N$76</f>
        <v>0.09687845478</v>
      </c>
      <c r="AP392" s="95">
        <f>$AC257*'Assumptions (NG Midstream)'!O$76</f>
        <v>0.09685674289</v>
      </c>
      <c r="AQ392" s="95">
        <f>$AC257*'Assumptions (NG Midstream)'!P$76</f>
        <v>0.09687845478</v>
      </c>
      <c r="AR392" s="95">
        <f>$AC257*'Assumptions (NG Midstream)'!Q$76</f>
        <v>0.09685674289</v>
      </c>
      <c r="AS392" s="95">
        <f>$AC257*'Assumptions (NG Midstream)'!R$76</f>
        <v>0.09687845478</v>
      </c>
      <c r="AT392" s="95">
        <f>$AC257*'Assumptions (NG Midstream)'!S$76</f>
        <v>0.09685674289</v>
      </c>
      <c r="AU392" s="95">
        <f>$AC257*'Assumptions (NG Midstream)'!T$76</f>
        <v>0.09687845478</v>
      </c>
      <c r="AV392" s="95">
        <f>$AC257*'Assumptions (NG Midstream)'!U$76</f>
        <v>0.09685674289</v>
      </c>
      <c r="AW392" s="95">
        <f>$AC257*'Assumptions (NG Midstream)'!V$76</f>
        <v>0.04843922739</v>
      </c>
    </row>
    <row r="393" ht="15.75" hidden="1" customHeight="1" outlineLevel="1">
      <c r="A393" s="189"/>
      <c r="B393" s="38"/>
      <c r="C393" s="78"/>
      <c r="D393" s="78"/>
      <c r="E393" s="78"/>
      <c r="F393" s="78"/>
      <c r="G393" s="78"/>
      <c r="H393" s="78"/>
      <c r="I393" s="78"/>
      <c r="J393" s="78"/>
      <c r="K393" s="78"/>
      <c r="L393" s="78"/>
      <c r="M393" s="78"/>
      <c r="N393" s="78"/>
      <c r="O393" s="78"/>
      <c r="P393" s="78"/>
      <c r="Q393" s="78"/>
      <c r="R393" s="78"/>
      <c r="S393" s="78"/>
      <c r="T393" s="78"/>
      <c r="U393" s="78"/>
      <c r="V393" s="78"/>
      <c r="W393" s="139"/>
      <c r="AD393" s="95">
        <f>$AD257*'Assumptions (NG Midstream)'!B$76</f>
        <v>0.0776973799</v>
      </c>
      <c r="AE393" s="95">
        <f>$AD257*'Assumptions (NG Midstream)'!C$76</f>
        <v>0.1495726361</v>
      </c>
      <c r="AF393" s="95">
        <f>$AD257*'Assumptions (NG Midstream)'!D$76</f>
        <v>0.1383427748</v>
      </c>
      <c r="AG393" s="95">
        <f>$AD257*'Assumptions (NG Midstream)'!E$76</f>
        <v>0.1279831242</v>
      </c>
      <c r="AH393" s="95">
        <f>$AD257*'Assumptions (NG Midstream)'!F$76</f>
        <v>0.1183693684</v>
      </c>
      <c r="AI393" s="95">
        <f>$AD257*'Assumptions (NG Midstream)'!G$76</f>
        <v>0.1095015074</v>
      </c>
      <c r="AJ393" s="95">
        <f>$AD257*'Assumptions (NG Midstream)'!H$76</f>
        <v>0.1012759448</v>
      </c>
      <c r="AK393" s="95">
        <f>$AD257*'Assumptions (NG Midstream)'!I$76</f>
        <v>0.09369268051</v>
      </c>
      <c r="AL393" s="95">
        <f>$AD257*'Assumptions (NG Midstream)'!J$76</f>
        <v>0.09244952244</v>
      </c>
      <c r="AM393" s="95">
        <f>$AD257*'Assumptions (NG Midstream)'!K$76</f>
        <v>0.09242880313</v>
      </c>
      <c r="AN393" s="95">
        <f>$AD257*'Assumptions (NG Midstream)'!L$76</f>
        <v>0.09244952244</v>
      </c>
      <c r="AO393" s="95">
        <f>$AD257*'Assumptions (NG Midstream)'!M$76</f>
        <v>0.09242880313</v>
      </c>
      <c r="AP393" s="95">
        <f>$AD257*'Assumptions (NG Midstream)'!N$76</f>
        <v>0.09244952244</v>
      </c>
      <c r="AQ393" s="95">
        <f>$AD257*'Assumptions (NG Midstream)'!O$76</f>
        <v>0.09242880313</v>
      </c>
      <c r="AR393" s="95">
        <f>$AD257*'Assumptions (NG Midstream)'!P$76</f>
        <v>0.09244952244</v>
      </c>
      <c r="AS393" s="95">
        <f>$AD257*'Assumptions (NG Midstream)'!Q$76</f>
        <v>0.09242880313</v>
      </c>
      <c r="AT393" s="95">
        <f>$AD257*'Assumptions (NG Midstream)'!R$76</f>
        <v>0.09244952244</v>
      </c>
      <c r="AU393" s="95">
        <f>$AD257*'Assumptions (NG Midstream)'!S$76</f>
        <v>0.09242880313</v>
      </c>
      <c r="AV393" s="95">
        <f>$AD257*'Assumptions (NG Midstream)'!T$76</f>
        <v>0.09244952244</v>
      </c>
      <c r="AW393" s="95">
        <f>$AD257*'Assumptions (NG Midstream)'!U$76</f>
        <v>0.09242880313</v>
      </c>
      <c r="AX393" s="95">
        <f>$AD257*'Assumptions (NG Midstream)'!V$76</f>
        <v>0.04622476122</v>
      </c>
    </row>
    <row r="394" ht="15.75" hidden="1" customHeight="1" outlineLevel="1">
      <c r="A394" s="189"/>
      <c r="B394" s="38"/>
      <c r="C394" s="78"/>
      <c r="D394" s="78"/>
      <c r="E394" s="78"/>
      <c r="F394" s="78"/>
      <c r="G394" s="78"/>
      <c r="H394" s="78"/>
      <c r="I394" s="78"/>
      <c r="J394" s="78"/>
      <c r="K394" s="78"/>
      <c r="L394" s="78"/>
      <c r="M394" s="78"/>
      <c r="N394" s="78"/>
      <c r="O394" s="78"/>
      <c r="P394" s="78"/>
      <c r="Q394" s="78"/>
      <c r="R394" s="78"/>
      <c r="S394" s="78"/>
      <c r="T394" s="78"/>
      <c r="U394" s="78"/>
      <c r="V394" s="78"/>
      <c r="W394" s="139"/>
      <c r="AE394" s="95">
        <f>$AE257*'Assumptions (NG Midstream)'!B$76</f>
        <v>0.06609310743</v>
      </c>
      <c r="AF394" s="95">
        <f>$AE257*'Assumptions (NG Midstream)'!C$76</f>
        <v>0.127233638</v>
      </c>
      <c r="AG394" s="95">
        <f>$AE257*'Assumptions (NG Midstream)'!D$76</f>
        <v>0.1176809809</v>
      </c>
      <c r="AH394" s="95">
        <f>$AE257*'Assumptions (NG Midstream)'!E$76</f>
        <v>0.1088685666</v>
      </c>
      <c r="AI394" s="95">
        <f>$AE257*'Assumptions (NG Midstream)'!F$76</f>
        <v>0.1006906461</v>
      </c>
      <c r="AJ394" s="95">
        <f>$AE257*'Assumptions (NG Midstream)'!G$76</f>
        <v>0.09314721941</v>
      </c>
      <c r="AK394" s="95">
        <f>$AE257*'Assumptions (NG Midstream)'!H$76</f>
        <v>0.08615016244</v>
      </c>
      <c r="AL394" s="95">
        <f>$AE257*'Assumptions (NG Midstream)'!I$76</f>
        <v>0.07969947515</v>
      </c>
      <c r="AM394" s="95">
        <f>$AE257*'Assumptions (NG Midstream)'!J$76</f>
        <v>0.07864198543</v>
      </c>
      <c r="AN394" s="95">
        <f>$AE257*'Assumptions (NG Midstream)'!K$76</f>
        <v>0.0786243606</v>
      </c>
      <c r="AO394" s="95">
        <f>$AE257*'Assumptions (NG Midstream)'!L$76</f>
        <v>0.07864198543</v>
      </c>
      <c r="AP394" s="95">
        <f>$AE257*'Assumptions (NG Midstream)'!M$76</f>
        <v>0.0786243606</v>
      </c>
      <c r="AQ394" s="95">
        <f>$AE257*'Assumptions (NG Midstream)'!N$76</f>
        <v>0.07864198543</v>
      </c>
      <c r="AR394" s="95">
        <f>$AE257*'Assumptions (NG Midstream)'!O$76</f>
        <v>0.0786243606</v>
      </c>
      <c r="AS394" s="95">
        <f>$AE257*'Assumptions (NG Midstream)'!P$76</f>
        <v>0.07864198543</v>
      </c>
      <c r="AT394" s="95">
        <f>$AE257*'Assumptions (NG Midstream)'!Q$76</f>
        <v>0.0786243606</v>
      </c>
      <c r="AU394" s="95">
        <f>$AE257*'Assumptions (NG Midstream)'!R$76</f>
        <v>0.07864198543</v>
      </c>
      <c r="AV394" s="95">
        <f>$AE257*'Assumptions (NG Midstream)'!S$76</f>
        <v>0.0786243606</v>
      </c>
      <c r="AW394" s="95">
        <f>$AE257*'Assumptions (NG Midstream)'!T$76</f>
        <v>0.07864198543</v>
      </c>
      <c r="AX394" s="95">
        <f>$AE257*'Assumptions (NG Midstream)'!U$76</f>
        <v>0.0786243606</v>
      </c>
      <c r="AY394" s="95">
        <f>$AE257*'Assumptions (NG Midstream)'!V$76</f>
        <v>0.03932099272</v>
      </c>
    </row>
    <row r="395" ht="15.75" hidden="1" customHeight="1" outlineLevel="1">
      <c r="A395" s="189"/>
      <c r="B395" s="38"/>
      <c r="C395" s="78"/>
      <c r="D395" s="78"/>
      <c r="E395" s="78"/>
      <c r="F395" s="78"/>
      <c r="G395" s="78"/>
      <c r="H395" s="78"/>
      <c r="I395" s="78"/>
      <c r="J395" s="78"/>
      <c r="K395" s="78"/>
      <c r="L395" s="78"/>
      <c r="M395" s="78"/>
      <c r="N395" s="78"/>
      <c r="O395" s="78"/>
      <c r="P395" s="78"/>
      <c r="Q395" s="78"/>
      <c r="R395" s="78"/>
      <c r="S395" s="78"/>
      <c r="T395" s="78"/>
      <c r="U395" s="78"/>
      <c r="V395" s="78"/>
      <c r="W395" s="139"/>
      <c r="AF395" s="95">
        <f>$AF257*'Assumptions (NG Midstream)'!B$76</f>
        <v>0.05882183613</v>
      </c>
      <c r="AG395" s="95">
        <f>$AF257*'Assumptions (NG Midstream)'!C$76</f>
        <v>0.113235956</v>
      </c>
      <c r="AH395" s="95">
        <f>$AF257*'Assumptions (NG Midstream)'!D$76</f>
        <v>0.10473424</v>
      </c>
      <c r="AI395" s="95">
        <f>$AF257*'Assumptions (NG Midstream)'!E$76</f>
        <v>0.09689132848</v>
      </c>
      <c r="AJ395" s="95">
        <f>$AF257*'Assumptions (NG Midstream)'!F$76</f>
        <v>0.08961310662</v>
      </c>
      <c r="AK395" s="95">
        <f>$AF257*'Assumptions (NG Midstream)'!G$76</f>
        <v>0.08289957439</v>
      </c>
      <c r="AL395" s="95">
        <f>$AF257*'Assumptions (NG Midstream)'!H$76</f>
        <v>0.07667230267</v>
      </c>
      <c r="AM395" s="95">
        <f>$AF257*'Assumptions (NG Midstream)'!I$76</f>
        <v>0.07093129146</v>
      </c>
      <c r="AN395" s="95">
        <f>$AF257*'Assumptions (NG Midstream)'!J$76</f>
        <v>0.06999014209</v>
      </c>
      <c r="AO395" s="95">
        <f>$AF257*'Assumptions (NG Midstream)'!K$76</f>
        <v>0.06997445626</v>
      </c>
      <c r="AP395" s="95">
        <f>$AF257*'Assumptions (NG Midstream)'!L$76</f>
        <v>0.06999014209</v>
      </c>
      <c r="AQ395" s="95">
        <f>$AF257*'Assumptions (NG Midstream)'!M$76</f>
        <v>0.06997445626</v>
      </c>
      <c r="AR395" s="95">
        <f>$AF257*'Assumptions (NG Midstream)'!N$76</f>
        <v>0.06999014209</v>
      </c>
      <c r="AS395" s="95">
        <f>$AF257*'Assumptions (NG Midstream)'!O$76</f>
        <v>0.06997445626</v>
      </c>
      <c r="AT395" s="95">
        <f>$AF257*'Assumptions (NG Midstream)'!P$76</f>
        <v>0.06999014209</v>
      </c>
      <c r="AU395" s="95">
        <f>$AF257*'Assumptions (NG Midstream)'!Q$76</f>
        <v>0.06997445626</v>
      </c>
      <c r="AV395" s="95">
        <f>$AF257*'Assumptions (NG Midstream)'!R$76</f>
        <v>0.06999014209</v>
      </c>
      <c r="AW395" s="95">
        <f>$AF257*'Assumptions (NG Midstream)'!S$76</f>
        <v>0.06997445626</v>
      </c>
      <c r="AX395" s="95">
        <f>$AF257*'Assumptions (NG Midstream)'!T$76</f>
        <v>0.06999014209</v>
      </c>
      <c r="AY395" s="95">
        <f>$AF257*'Assumptions (NG Midstream)'!U$76</f>
        <v>0.06997445626</v>
      </c>
      <c r="AZ395" s="95">
        <f>$AF257*'Assumptions (NG Midstream)'!V$76</f>
        <v>0.03499507104</v>
      </c>
    </row>
    <row r="396" ht="15.75" hidden="1" customHeight="1" outlineLevel="1">
      <c r="A396" s="189"/>
      <c r="B396" s="38"/>
      <c r="C396" s="78"/>
      <c r="D396" s="78"/>
      <c r="E396" s="78"/>
      <c r="F396" s="78"/>
      <c r="G396" s="78"/>
      <c r="H396" s="78"/>
      <c r="I396" s="78"/>
      <c r="J396" s="78"/>
      <c r="K396" s="78"/>
      <c r="L396" s="78"/>
      <c r="M396" s="78"/>
      <c r="N396" s="78"/>
      <c r="O396" s="78"/>
      <c r="P396" s="78"/>
      <c r="Q396" s="78"/>
      <c r="R396" s="78"/>
      <c r="S396" s="78"/>
      <c r="T396" s="78"/>
      <c r="U396" s="78"/>
      <c r="V396" s="78"/>
      <c r="W396" s="139"/>
      <c r="AG396" s="95">
        <f>$AG257*'Assumptions (NG Midstream)'!B$76</f>
        <v>0.06874132008</v>
      </c>
      <c r="AH396" s="95">
        <f>$AG257*'Assumptions (NG Midstream)'!C$76</f>
        <v>0.1323316239</v>
      </c>
      <c r="AI396" s="95">
        <f>$AG257*'Assumptions (NG Midstream)'!D$76</f>
        <v>0.1223962118</v>
      </c>
      <c r="AJ396" s="95">
        <f>$AG257*'Assumptions (NG Midstream)'!E$76</f>
        <v>0.1132307024</v>
      </c>
      <c r="AK396" s="95">
        <f>$AG257*'Assumptions (NG Midstream)'!F$76</f>
        <v>0.1047251098</v>
      </c>
      <c r="AL396" s="95">
        <f>$AG257*'Assumptions (NG Midstream)'!G$76</f>
        <v>0.09687943377</v>
      </c>
      <c r="AM396" s="95">
        <f>$AG257*'Assumptions (NG Midstream)'!H$76</f>
        <v>0.08960201935</v>
      </c>
      <c r="AN396" s="95">
        <f>$AG257*'Assumptions (NG Midstream)'!I$76</f>
        <v>0.08289286651</v>
      </c>
      <c r="AO396" s="95">
        <f>$AG257*'Assumptions (NG Midstream)'!J$76</f>
        <v>0.08179300539</v>
      </c>
      <c r="AP396" s="95">
        <f>$AG257*'Assumptions (NG Midstream)'!K$76</f>
        <v>0.08177467437</v>
      </c>
      <c r="AQ396" s="95">
        <f>$AG257*'Assumptions (NG Midstream)'!L$76</f>
        <v>0.08179300539</v>
      </c>
      <c r="AR396" s="95">
        <f>$AG257*'Assumptions (NG Midstream)'!M$76</f>
        <v>0.08177467437</v>
      </c>
      <c r="AS396" s="95">
        <f>$AG257*'Assumptions (NG Midstream)'!N$76</f>
        <v>0.08179300539</v>
      </c>
      <c r="AT396" s="95">
        <f>$AG257*'Assumptions (NG Midstream)'!O$76</f>
        <v>0.08177467437</v>
      </c>
      <c r="AU396" s="95">
        <f>$AG257*'Assumptions (NG Midstream)'!P$76</f>
        <v>0.08179300539</v>
      </c>
      <c r="AV396" s="95">
        <f>$AG257*'Assumptions (NG Midstream)'!Q$76</f>
        <v>0.08177467437</v>
      </c>
      <c r="AW396" s="95">
        <f>$AG257*'Assumptions (NG Midstream)'!R$76</f>
        <v>0.08179300539</v>
      </c>
      <c r="AX396" s="95">
        <f>$AG257*'Assumptions (NG Midstream)'!S$76</f>
        <v>0.08177467437</v>
      </c>
      <c r="AY396" s="95">
        <f>$AG257*'Assumptions (NG Midstream)'!T$76</f>
        <v>0.08179300539</v>
      </c>
      <c r="AZ396" s="95">
        <f>$AG257*'Assumptions (NG Midstream)'!U$76</f>
        <v>0.08177467437</v>
      </c>
      <c r="BA396" s="95">
        <f>$AG257*'Assumptions (NG Midstream)'!V$76</f>
        <v>0.0408965027</v>
      </c>
    </row>
    <row r="397" ht="15.75" hidden="1" customHeight="1" outlineLevel="1">
      <c r="A397" s="189"/>
      <c r="B397" s="38"/>
      <c r="C397" s="78"/>
      <c r="D397" s="78"/>
      <c r="E397" s="78"/>
      <c r="F397" s="78"/>
      <c r="G397" s="78"/>
      <c r="H397" s="78"/>
      <c r="I397" s="78"/>
      <c r="J397" s="78"/>
      <c r="K397" s="78"/>
      <c r="L397" s="78"/>
      <c r="M397" s="78"/>
      <c r="N397" s="78"/>
      <c r="O397" s="78"/>
      <c r="P397" s="78"/>
      <c r="Q397" s="78"/>
      <c r="R397" s="78"/>
      <c r="S397" s="78"/>
      <c r="T397" s="78"/>
      <c r="U397" s="78"/>
      <c r="V397" s="78"/>
      <c r="W397" s="139"/>
      <c r="AH397" s="95">
        <f>$AH257*'Assumptions (NG Midstream)'!B$76</f>
        <v>0.07234000713</v>
      </c>
      <c r="AI397" s="95">
        <f>$AH257*'Assumptions (NG Midstream)'!C$76</f>
        <v>0.1392593364</v>
      </c>
      <c r="AJ397" s="95">
        <f>$AH257*'Assumptions (NG Midstream)'!D$76</f>
        <v>0.128803794</v>
      </c>
      <c r="AK397" s="95">
        <f>$AH257*'Assumptions (NG Midstream)'!E$76</f>
        <v>0.1191584598</v>
      </c>
      <c r="AL397" s="95">
        <f>$AH257*'Assumptions (NG Midstream)'!F$76</f>
        <v>0.1102075895</v>
      </c>
      <c r="AM397" s="95">
        <f>$AH257*'Assumptions (NG Midstream)'!G$76</f>
        <v>0.1019511834</v>
      </c>
      <c r="AN397" s="95">
        <f>$AH257*'Assumptions (NG Midstream)'!H$76</f>
        <v>0.09429278797</v>
      </c>
      <c r="AO397" s="95">
        <f>$AH257*'Assumptions (NG Midstream)'!I$76</f>
        <v>0.08723240327</v>
      </c>
      <c r="AP397" s="95">
        <f>$AH257*'Assumptions (NG Midstream)'!J$76</f>
        <v>0.08607496315</v>
      </c>
      <c r="AQ397" s="95">
        <f>$AH257*'Assumptions (NG Midstream)'!K$76</f>
        <v>0.08605567249</v>
      </c>
      <c r="AR397" s="95">
        <f>$AH257*'Assumptions (NG Midstream)'!L$76</f>
        <v>0.08607496315</v>
      </c>
      <c r="AS397" s="95">
        <f>$AH257*'Assumptions (NG Midstream)'!M$76</f>
        <v>0.08605567249</v>
      </c>
      <c r="AT397" s="95">
        <f>$AH257*'Assumptions (NG Midstream)'!N$76</f>
        <v>0.08607496315</v>
      </c>
      <c r="AU397" s="95">
        <f>$AH257*'Assumptions (NG Midstream)'!O$76</f>
        <v>0.08605567249</v>
      </c>
      <c r="AV397" s="95">
        <f>$AH257*'Assumptions (NG Midstream)'!P$76</f>
        <v>0.08607496315</v>
      </c>
      <c r="AW397" s="95">
        <f>$AH257*'Assumptions (NG Midstream)'!Q$76</f>
        <v>0.08605567249</v>
      </c>
      <c r="AX397" s="95">
        <f>$AH257*'Assumptions (NG Midstream)'!R$76</f>
        <v>0.08607496315</v>
      </c>
      <c r="AY397" s="95">
        <f>$AH257*'Assumptions (NG Midstream)'!S$76</f>
        <v>0.08605567249</v>
      </c>
      <c r="AZ397" s="95">
        <f>$AH257*'Assumptions (NG Midstream)'!T$76</f>
        <v>0.08607496315</v>
      </c>
      <c r="BA397" s="95">
        <f>$AH257*'Assumptions (NG Midstream)'!U$76</f>
        <v>0.08605567249</v>
      </c>
      <c r="BB397" s="95">
        <f>$AH257*'Assumptions (NG Midstream)'!V$76</f>
        <v>0.04303748158</v>
      </c>
    </row>
    <row r="398" ht="15.75" hidden="1" customHeight="1" outlineLevel="1">
      <c r="A398" s="189"/>
      <c r="B398" s="38"/>
      <c r="C398" s="78"/>
      <c r="D398" s="78"/>
      <c r="E398" s="78"/>
      <c r="F398" s="78"/>
      <c r="G398" s="78"/>
      <c r="H398" s="78"/>
      <c r="I398" s="78"/>
      <c r="J398" s="78"/>
      <c r="K398" s="78"/>
      <c r="L398" s="78"/>
      <c r="M398" s="78"/>
      <c r="N398" s="78"/>
      <c r="O398" s="78"/>
      <c r="P398" s="78"/>
      <c r="Q398" s="78"/>
      <c r="R398" s="78"/>
      <c r="S398" s="78"/>
      <c r="T398" s="78"/>
      <c r="U398" s="78"/>
      <c r="V398" s="78"/>
      <c r="W398" s="139"/>
      <c r="AI398" s="95">
        <f>$AI257*'Assumptions (NG Midstream)'!B$76</f>
        <v>0.05996019665</v>
      </c>
      <c r="AJ398" s="95">
        <f>$AI257*'Assumptions (NG Midstream)'!C$76</f>
        <v>0.1154273759</v>
      </c>
      <c r="AK398" s="95">
        <f>$AI257*'Assumptions (NG Midstream)'!D$76</f>
        <v>0.1067611288</v>
      </c>
      <c r="AL398" s="95">
        <f>$AI257*'Assumptions (NG Midstream)'!E$76</f>
        <v>0.09876643591</v>
      </c>
      <c r="AM398" s="95">
        <f>$AI257*'Assumptions (NG Midstream)'!F$76</f>
        <v>0.09134736092</v>
      </c>
      <c r="AN398" s="95">
        <f>$AI257*'Assumptions (NG Midstream)'!G$76</f>
        <v>0.08450390381</v>
      </c>
      <c r="AO398" s="95">
        <f>$AI257*'Assumptions (NG Midstream)'!H$76</f>
        <v>0.07815611765</v>
      </c>
      <c r="AP398" s="95">
        <f>$AI257*'Assumptions (NG Midstream)'!I$76</f>
        <v>0.07230400246</v>
      </c>
      <c r="AQ398" s="95">
        <f>$AI257*'Assumptions (NG Midstream)'!J$76</f>
        <v>0.07134463932</v>
      </c>
      <c r="AR398" s="95">
        <f>$AI257*'Assumptions (NG Midstream)'!K$76</f>
        <v>0.07132864993</v>
      </c>
      <c r="AS398" s="95">
        <f>$AI257*'Assumptions (NG Midstream)'!L$76</f>
        <v>0.07134463932</v>
      </c>
      <c r="AT398" s="95">
        <f>$AI257*'Assumptions (NG Midstream)'!M$76</f>
        <v>0.07132864993</v>
      </c>
      <c r="AU398" s="95">
        <f>$AI257*'Assumptions (NG Midstream)'!N$76</f>
        <v>0.07134463932</v>
      </c>
      <c r="AV398" s="95">
        <f>$AI257*'Assumptions (NG Midstream)'!O$76</f>
        <v>0.07132864993</v>
      </c>
      <c r="AW398" s="95">
        <f>$AI257*'Assumptions (NG Midstream)'!P$76</f>
        <v>0.07134463932</v>
      </c>
      <c r="AX398" s="95">
        <f>$AI257*'Assumptions (NG Midstream)'!Q$76</f>
        <v>0.07132864993</v>
      </c>
      <c r="AY398" s="95">
        <f>$AI257*'Assumptions (NG Midstream)'!R$76</f>
        <v>0.07134463932</v>
      </c>
      <c r="AZ398" s="95">
        <f>$AI257*'Assumptions (NG Midstream)'!S$76</f>
        <v>0.07132864993</v>
      </c>
      <c r="BA398" s="95">
        <f>$AI257*'Assumptions (NG Midstream)'!T$76</f>
        <v>0.07134463932</v>
      </c>
      <c r="BB398" s="95">
        <f>$AI257*'Assumptions (NG Midstream)'!U$76</f>
        <v>0.07132864993</v>
      </c>
      <c r="BC398" s="95">
        <f>$AI257*'Assumptions (NG Midstream)'!V$76</f>
        <v>0.03567231966</v>
      </c>
    </row>
    <row r="399" ht="15.75" hidden="1" customHeight="1" outlineLevel="1">
      <c r="A399" s="189"/>
      <c r="B399" s="38"/>
      <c r="C399" s="78"/>
      <c r="D399" s="78"/>
      <c r="E399" s="78"/>
      <c r="F399" s="78"/>
      <c r="G399" s="78"/>
      <c r="H399" s="78"/>
      <c r="I399" s="78"/>
      <c r="J399" s="78"/>
      <c r="K399" s="78"/>
      <c r="L399" s="78"/>
      <c r="M399" s="78"/>
      <c r="N399" s="78"/>
      <c r="O399" s="78"/>
      <c r="P399" s="78"/>
      <c r="Q399" s="78"/>
      <c r="R399" s="78"/>
      <c r="S399" s="78"/>
      <c r="T399" s="78"/>
      <c r="U399" s="78"/>
      <c r="V399" s="78"/>
      <c r="W399" s="139"/>
      <c r="AJ399" s="95">
        <f>$AJ257*'Assumptions (NG Midstream)'!B$76</f>
        <v>0.06892245086</v>
      </c>
      <c r="AK399" s="95">
        <f>$AJ257*'Assumptions (NG Midstream)'!C$76</f>
        <v>0.1326803127</v>
      </c>
      <c r="AL399" s="95">
        <f>$AJ257*'Assumptions (NG Midstream)'!D$76</f>
        <v>0.1227187212</v>
      </c>
      <c r="AM399" s="95">
        <f>$AJ257*'Assumptions (NG Midstream)'!E$76</f>
        <v>0.1135290611</v>
      </c>
      <c r="AN399" s="95">
        <f>$AJ257*'Assumptions (NG Midstream)'!F$76</f>
        <v>0.1050010565</v>
      </c>
      <c r="AO399" s="95">
        <f>$AJ257*'Assumptions (NG Midstream)'!G$76</f>
        <v>0.09713470741</v>
      </c>
      <c r="AP399" s="95">
        <f>$AJ257*'Assumptions (NG Midstream)'!H$76</f>
        <v>0.08983811728</v>
      </c>
      <c r="AQ399" s="95">
        <f>$AJ257*'Assumptions (NG Midstream)'!I$76</f>
        <v>0.08311128608</v>
      </c>
      <c r="AR399" s="95">
        <f>$AJ257*'Assumptions (NG Midstream)'!J$76</f>
        <v>0.08200852686</v>
      </c>
      <c r="AS399" s="95">
        <f>$AJ257*'Assumptions (NG Midstream)'!K$76</f>
        <v>0.08199014754</v>
      </c>
      <c r="AT399" s="95">
        <f>$AJ257*'Assumptions (NG Midstream)'!L$76</f>
        <v>0.08200852686</v>
      </c>
      <c r="AU399" s="95">
        <f>$AJ257*'Assumptions (NG Midstream)'!M$76</f>
        <v>0.08199014754</v>
      </c>
      <c r="AV399" s="95">
        <f>$AJ257*'Assumptions (NG Midstream)'!N$76</f>
        <v>0.08200852686</v>
      </c>
      <c r="AW399" s="95">
        <f>$AJ257*'Assumptions (NG Midstream)'!O$76</f>
        <v>0.08199014754</v>
      </c>
      <c r="AX399" s="95">
        <f>$AJ257*'Assumptions (NG Midstream)'!P$76</f>
        <v>0.08200852686</v>
      </c>
      <c r="AY399" s="95">
        <f>$AJ257*'Assumptions (NG Midstream)'!Q$76</f>
        <v>0.08199014754</v>
      </c>
      <c r="AZ399" s="95">
        <f>$AJ257*'Assumptions (NG Midstream)'!R$76</f>
        <v>0.08200852686</v>
      </c>
      <c r="BA399" s="95">
        <f>$AJ257*'Assumptions (NG Midstream)'!S$76</f>
        <v>0.08199014754</v>
      </c>
      <c r="BB399" s="95">
        <f>$AJ257*'Assumptions (NG Midstream)'!T$76</f>
        <v>0.08200852686</v>
      </c>
      <c r="BC399" s="95">
        <f>$AJ257*'Assumptions (NG Midstream)'!U$76</f>
        <v>0.08199014754</v>
      </c>
      <c r="BD399" s="95">
        <f>$AJ257*'Assumptions (NG Midstream)'!V$76</f>
        <v>0.04100426343</v>
      </c>
    </row>
    <row r="400" ht="15.75" hidden="1" customHeight="1" outlineLevel="1">
      <c r="A400" s="189"/>
      <c r="B400" s="38"/>
      <c r="C400" s="78"/>
      <c r="D400" s="78"/>
      <c r="E400" s="78"/>
      <c r="F400" s="78"/>
      <c r="G400" s="78"/>
      <c r="H400" s="78"/>
      <c r="I400" s="78"/>
      <c r="J400" s="78"/>
      <c r="K400" s="78"/>
      <c r="L400" s="78"/>
      <c r="M400" s="78"/>
      <c r="N400" s="78"/>
      <c r="O400" s="78"/>
      <c r="P400" s="78"/>
      <c r="Q400" s="78"/>
      <c r="R400" s="78"/>
      <c r="S400" s="78"/>
      <c r="T400" s="78"/>
      <c r="U400" s="78"/>
      <c r="V400" s="78"/>
      <c r="W400" s="139"/>
      <c r="AK400" s="95">
        <f>$AK257*'Assumptions (NG Midstream)'!B$76</f>
        <v>0.06381255165</v>
      </c>
      <c r="AL400" s="95">
        <f>$AK257*'Assumptions (NG Midstream)'!C$76</f>
        <v>0.1228434161</v>
      </c>
      <c r="AM400" s="95">
        <f>$AK257*'Assumptions (NG Midstream)'!D$76</f>
        <v>0.1136203753</v>
      </c>
      <c r="AN400" s="95">
        <f>$AK257*'Assumptions (NG Midstream)'!E$76</f>
        <v>0.1051120351</v>
      </c>
      <c r="AO400" s="95">
        <f>$AK257*'Assumptions (NG Midstream)'!F$76</f>
        <v>0.09721629536</v>
      </c>
      <c r="AP400" s="95">
        <f>$AK257*'Assumptions (NG Midstream)'!G$76</f>
        <v>0.08993315613</v>
      </c>
      <c r="AQ400" s="95">
        <f>$AK257*'Assumptions (NG Midstream)'!H$76</f>
        <v>0.08317753399</v>
      </c>
      <c r="AR400" s="95">
        <f>$AK257*'Assumptions (NG Midstream)'!I$76</f>
        <v>0.07694942895</v>
      </c>
      <c r="AS400" s="95">
        <f>$AK257*'Assumptions (NG Midstream)'!J$76</f>
        <v>0.07592842813</v>
      </c>
      <c r="AT400" s="95">
        <f>$AK257*'Assumptions (NG Midstream)'!K$76</f>
        <v>0.07591141144</v>
      </c>
      <c r="AU400" s="95">
        <f>$AK257*'Assumptions (NG Midstream)'!L$76</f>
        <v>0.07592842813</v>
      </c>
      <c r="AV400" s="95">
        <f>$AK257*'Assumptions (NG Midstream)'!M$76</f>
        <v>0.07591141144</v>
      </c>
      <c r="AW400" s="95">
        <f>$AK257*'Assumptions (NG Midstream)'!N$76</f>
        <v>0.07592842813</v>
      </c>
      <c r="AX400" s="95">
        <f>$AK257*'Assumptions (NG Midstream)'!O$76</f>
        <v>0.07591141144</v>
      </c>
      <c r="AY400" s="95">
        <f>$AK257*'Assumptions (NG Midstream)'!P$76</f>
        <v>0.07592842813</v>
      </c>
      <c r="AZ400" s="95">
        <f>$AK257*'Assumptions (NG Midstream)'!Q$76</f>
        <v>0.07591141144</v>
      </c>
      <c r="BA400" s="95">
        <f>$AK257*'Assumptions (NG Midstream)'!R$76</f>
        <v>0.07592842813</v>
      </c>
      <c r="BB400" s="95">
        <f>$AK257*'Assumptions (NG Midstream)'!S$76</f>
        <v>0.07591141144</v>
      </c>
      <c r="BC400" s="95">
        <f>$AK257*'Assumptions (NG Midstream)'!T$76</f>
        <v>0.07592842813</v>
      </c>
      <c r="BD400" s="95">
        <f>$AK257*'Assumptions (NG Midstream)'!U$76</f>
        <v>0.07591141144</v>
      </c>
      <c r="BE400" s="95">
        <f>$AK257*'Assumptions (NG Midstream)'!V$76</f>
        <v>0.03796421406</v>
      </c>
    </row>
    <row r="401" ht="15.75" hidden="1" customHeight="1" outlineLevel="1">
      <c r="A401" s="189"/>
      <c r="B401" s="38"/>
      <c r="C401" s="78"/>
      <c r="D401" s="78"/>
      <c r="E401" s="78"/>
      <c r="F401" s="78"/>
      <c r="G401" s="78"/>
      <c r="H401" s="78"/>
      <c r="I401" s="78"/>
      <c r="J401" s="78"/>
      <c r="K401" s="78"/>
      <c r="L401" s="78"/>
      <c r="M401" s="78"/>
      <c r="N401" s="78"/>
      <c r="O401" s="78"/>
      <c r="P401" s="78"/>
      <c r="Q401" s="78"/>
      <c r="R401" s="78"/>
      <c r="S401" s="78"/>
      <c r="T401" s="78"/>
      <c r="U401" s="78"/>
      <c r="V401" s="78"/>
      <c r="W401" s="139"/>
      <c r="AL401" s="95">
        <f>$AL257*'Assumptions (NG Midstream)'!B$76</f>
        <v>0.06471693821</v>
      </c>
      <c r="AM401" s="95">
        <f>$AL257*'Assumptions (NG Midstream)'!C$76</f>
        <v>0.1245844205</v>
      </c>
      <c r="AN401" s="95">
        <f>$AL257*'Assumptions (NG Midstream)'!D$76</f>
        <v>0.1152306657</v>
      </c>
      <c r="AO401" s="95">
        <f>$AL257*'Assumptions (NG Midstream)'!E$76</f>
        <v>0.1066017406</v>
      </c>
      <c r="AP401" s="95">
        <f>$AL257*'Assumptions (NG Midstream)'!F$76</f>
        <v>0.09859409814</v>
      </c>
      <c r="AQ401" s="95">
        <f>$AL257*'Assumptions (NG Midstream)'!G$76</f>
        <v>0.09120773826</v>
      </c>
      <c r="AR401" s="95">
        <f>$AL257*'Assumptions (NG Midstream)'!H$76</f>
        <v>0.08435637173</v>
      </c>
      <c r="AS401" s="95">
        <f>$AL257*'Assumptions (NG Midstream)'!I$76</f>
        <v>0.07803999856</v>
      </c>
      <c r="AT401" s="95">
        <f>$AL257*'Assumptions (NG Midstream)'!J$76</f>
        <v>0.07700452755</v>
      </c>
      <c r="AU401" s="95">
        <f>$AL257*'Assumptions (NG Midstream)'!K$76</f>
        <v>0.0769872697</v>
      </c>
      <c r="AV401" s="95">
        <f>$AL257*'Assumptions (NG Midstream)'!L$76</f>
        <v>0.07700452755</v>
      </c>
      <c r="AW401" s="95">
        <f>$AL257*'Assumptions (NG Midstream)'!M$76</f>
        <v>0.0769872697</v>
      </c>
      <c r="AX401" s="95">
        <f>$AL257*'Assumptions (NG Midstream)'!N$76</f>
        <v>0.07700452755</v>
      </c>
      <c r="AY401" s="95">
        <f>$AL257*'Assumptions (NG Midstream)'!O$76</f>
        <v>0.0769872697</v>
      </c>
      <c r="AZ401" s="95">
        <f>$AL257*'Assumptions (NG Midstream)'!P$76</f>
        <v>0.07700452755</v>
      </c>
      <c r="BA401" s="95">
        <f>$AL257*'Assumptions (NG Midstream)'!Q$76</f>
        <v>0.0769872697</v>
      </c>
      <c r="BB401" s="95">
        <f>$AL257*'Assumptions (NG Midstream)'!R$76</f>
        <v>0.07700452755</v>
      </c>
      <c r="BC401" s="95">
        <f>$AL257*'Assumptions (NG Midstream)'!S$76</f>
        <v>0.0769872697</v>
      </c>
      <c r="BD401" s="95">
        <f>$AL257*'Assumptions (NG Midstream)'!T$76</f>
        <v>0.07700452755</v>
      </c>
      <c r="BE401" s="95">
        <f>$AL257*'Assumptions (NG Midstream)'!U$76</f>
        <v>0.0769872697</v>
      </c>
      <c r="BF401" s="95">
        <f>$AL257*'Assumptions (NG Midstream)'!V$76</f>
        <v>0.03850226377</v>
      </c>
    </row>
    <row r="402" ht="15.75" hidden="1" customHeight="1" outlineLevel="1">
      <c r="A402" s="189"/>
      <c r="B402" s="38"/>
      <c r="C402" s="78"/>
      <c r="D402" s="78"/>
      <c r="E402" s="78"/>
      <c r="F402" s="78"/>
      <c r="G402" s="78"/>
      <c r="H402" s="78"/>
      <c r="I402" s="78"/>
      <c r="J402" s="78"/>
      <c r="K402" s="78"/>
      <c r="L402" s="78"/>
      <c r="M402" s="78"/>
      <c r="N402" s="78"/>
      <c r="O402" s="78"/>
      <c r="P402" s="78"/>
      <c r="Q402" s="78"/>
      <c r="R402" s="78"/>
      <c r="S402" s="78"/>
      <c r="T402" s="78"/>
      <c r="U402" s="78"/>
      <c r="V402" s="78"/>
      <c r="W402" s="139"/>
      <c r="AM402" s="95">
        <f>$AM257*'Assumptions (NG Midstream)'!B$76</f>
        <v>0.0598388543</v>
      </c>
      <c r="AN402" s="95">
        <f>$AM257*'Assumptions (NG Midstream)'!C$76</f>
        <v>0.1151937838</v>
      </c>
      <c r="AO402" s="95">
        <f>$AM257*'Assumptions (NG Midstream)'!D$76</f>
        <v>0.1065450747</v>
      </c>
      <c r="AP402" s="95">
        <f>$AM257*'Assumptions (NG Midstream)'!E$76</f>
        <v>0.0985665608</v>
      </c>
      <c r="AQ402" s="95">
        <f>$AM257*'Assumptions (NG Midstream)'!F$76</f>
        <v>0.09116249989</v>
      </c>
      <c r="AR402" s="95">
        <f>$AM257*'Assumptions (NG Midstream)'!G$76</f>
        <v>0.08433289199</v>
      </c>
      <c r="AS402" s="95">
        <f>$AM257*'Assumptions (NG Midstream)'!H$76</f>
        <v>0.07799795195</v>
      </c>
      <c r="AT402" s="95">
        <f>$AM257*'Assumptions (NG Midstream)'!I$76</f>
        <v>0.07215767977</v>
      </c>
      <c r="AU402" s="95">
        <f>$AM257*'Assumptions (NG Midstream)'!J$76</f>
        <v>0.0712002581</v>
      </c>
      <c r="AV402" s="95">
        <f>$AM257*'Assumptions (NG Midstream)'!K$76</f>
        <v>0.07118430107</v>
      </c>
      <c r="AW402" s="95">
        <f>$AM257*'Assumptions (NG Midstream)'!L$76</f>
        <v>0.0712002581</v>
      </c>
      <c r="AX402" s="95">
        <f>$AM257*'Assumptions (NG Midstream)'!M$76</f>
        <v>0.07118430107</v>
      </c>
      <c r="AY402" s="95">
        <f>$AM257*'Assumptions (NG Midstream)'!N$76</f>
        <v>0.0712002581</v>
      </c>
      <c r="AZ402" s="95">
        <f>$AM257*'Assumptions (NG Midstream)'!O$76</f>
        <v>0.07118430107</v>
      </c>
      <c r="BA402" s="95">
        <f>$AM257*'Assumptions (NG Midstream)'!P$76</f>
        <v>0.0712002581</v>
      </c>
      <c r="BB402" s="95">
        <f>$AM257*'Assumptions (NG Midstream)'!Q$76</f>
        <v>0.07118430107</v>
      </c>
      <c r="BC402" s="95">
        <f>$AM257*'Assumptions (NG Midstream)'!R$76</f>
        <v>0.0712002581</v>
      </c>
      <c r="BD402" s="95">
        <f>$AM257*'Assumptions (NG Midstream)'!S$76</f>
        <v>0.07118430107</v>
      </c>
      <c r="BE402" s="95">
        <f>$AM257*'Assumptions (NG Midstream)'!T$76</f>
        <v>0.0712002581</v>
      </c>
      <c r="BF402" s="95">
        <f>$AM257*'Assumptions (NG Midstream)'!U$76</f>
        <v>0.07118430107</v>
      </c>
      <c r="BG402" s="95">
        <f>$AM257*'Assumptions (NG Midstream)'!V$76</f>
        <v>0.03560012905</v>
      </c>
    </row>
    <row r="403" ht="15.75" hidden="1" customHeight="1" outlineLevel="1">
      <c r="A403" s="189"/>
      <c r="B403" s="38"/>
      <c r="C403" s="78"/>
      <c r="D403" s="78"/>
      <c r="E403" s="78"/>
      <c r="F403" s="78"/>
      <c r="G403" s="78"/>
      <c r="H403" s="78"/>
      <c r="I403" s="78"/>
      <c r="J403" s="78"/>
      <c r="K403" s="78"/>
      <c r="L403" s="78"/>
      <c r="M403" s="78"/>
      <c r="N403" s="78"/>
      <c r="O403" s="78"/>
      <c r="P403" s="78"/>
      <c r="Q403" s="78"/>
      <c r="R403" s="78"/>
      <c r="S403" s="78"/>
      <c r="T403" s="78"/>
      <c r="U403" s="78"/>
      <c r="V403" s="78"/>
      <c r="W403" s="139"/>
      <c r="AN403" s="95">
        <f>$AN257*'Assumptions (NG Midstream)'!B$76</f>
        <v>0.06276759623</v>
      </c>
      <c r="AO403" s="95">
        <f>$AN257*'Assumptions (NG Midstream)'!C$76</f>
        <v>0.1208318072</v>
      </c>
      <c r="AP403" s="95">
        <f>$AN257*'Assumptions (NG Midstream)'!D$76</f>
        <v>0.1117597973</v>
      </c>
      <c r="AQ403" s="95">
        <f>$AN257*'Assumptions (NG Midstream)'!E$76</f>
        <v>0.1033907845</v>
      </c>
      <c r="AR403" s="95">
        <f>$AN257*'Assumptions (NG Midstream)'!F$76</f>
        <v>0.0956243406</v>
      </c>
      <c r="AS403" s="95">
        <f>$AN257*'Assumptions (NG Midstream)'!G$76</f>
        <v>0.08846046562</v>
      </c>
      <c r="AT403" s="95">
        <f>$AN257*'Assumptions (NG Midstream)'!H$76</f>
        <v>0.08181546943</v>
      </c>
      <c r="AU403" s="95">
        <f>$AN257*'Assumptions (NG Midstream)'!I$76</f>
        <v>0.07568935204</v>
      </c>
      <c r="AV403" s="95">
        <f>$AN257*'Assumptions (NG Midstream)'!J$76</f>
        <v>0.0746850705</v>
      </c>
      <c r="AW403" s="95">
        <f>$AN257*'Assumptions (NG Midstream)'!K$76</f>
        <v>0.07466833247</v>
      </c>
      <c r="AX403" s="95">
        <f>$AN257*'Assumptions (NG Midstream)'!L$76</f>
        <v>0.0746850705</v>
      </c>
      <c r="AY403" s="95">
        <f>$AN257*'Assumptions (NG Midstream)'!M$76</f>
        <v>0.07466833247</v>
      </c>
      <c r="AZ403" s="95">
        <f>$AN257*'Assumptions (NG Midstream)'!N$76</f>
        <v>0.0746850705</v>
      </c>
      <c r="BA403" s="95">
        <f>$AN257*'Assumptions (NG Midstream)'!O$76</f>
        <v>0.07466833247</v>
      </c>
      <c r="BB403" s="95">
        <f>$AN257*'Assumptions (NG Midstream)'!P$76</f>
        <v>0.0746850705</v>
      </c>
      <c r="BC403" s="95">
        <f>$AN257*'Assumptions (NG Midstream)'!Q$76</f>
        <v>0.07466833247</v>
      </c>
      <c r="BD403" s="95">
        <f>$AN257*'Assumptions (NG Midstream)'!R$76</f>
        <v>0.0746850705</v>
      </c>
      <c r="BE403" s="95">
        <f>$AN257*'Assumptions (NG Midstream)'!S$76</f>
        <v>0.07466833247</v>
      </c>
      <c r="BF403" s="95">
        <f>$AN257*'Assumptions (NG Midstream)'!T$76</f>
        <v>0.0746850705</v>
      </c>
      <c r="BG403" s="95">
        <f>$AN257*'Assumptions (NG Midstream)'!U$76</f>
        <v>0.07466833247</v>
      </c>
      <c r="BH403" s="95">
        <f>$AN257*'Assumptions (NG Midstream)'!V$76</f>
        <v>0.03734253525</v>
      </c>
    </row>
    <row r="404" ht="15.75" hidden="1" customHeight="1" outlineLevel="1">
      <c r="A404" s="189"/>
      <c r="B404" s="38"/>
      <c r="C404" s="78"/>
      <c r="D404" s="78"/>
      <c r="E404" s="78"/>
      <c r="F404" s="78"/>
      <c r="G404" s="78"/>
      <c r="H404" s="78"/>
      <c r="I404" s="78"/>
      <c r="J404" s="78"/>
      <c r="K404" s="78"/>
      <c r="L404" s="78"/>
      <c r="M404" s="78"/>
      <c r="N404" s="78"/>
      <c r="O404" s="78"/>
      <c r="P404" s="78"/>
      <c r="Q404" s="78"/>
      <c r="R404" s="78"/>
      <c r="S404" s="78"/>
      <c r="T404" s="78"/>
      <c r="U404" s="78"/>
      <c r="V404" s="78"/>
      <c r="W404" s="139"/>
      <c r="AO404" s="95">
        <f>$AO257*'Assumptions (NG Midstream)'!B$76</f>
        <v>0.05967487005</v>
      </c>
      <c r="AP404" s="95">
        <f>$AO257*'Assumptions (NG Midstream)'!C$76</f>
        <v>0.1148781032</v>
      </c>
      <c r="AQ404" s="95">
        <f>$AO257*'Assumptions (NG Midstream)'!D$76</f>
        <v>0.1062530953</v>
      </c>
      <c r="AR404" s="95">
        <f>$AO257*'Assumptions (NG Midstream)'!E$76</f>
        <v>0.09829644594</v>
      </c>
      <c r="AS404" s="95">
        <f>$AO257*'Assumptions (NG Midstream)'!F$76</f>
        <v>0.09091267535</v>
      </c>
      <c r="AT404" s="95">
        <f>$AO257*'Assumptions (NG Midstream)'!G$76</f>
        <v>0.08410178352</v>
      </c>
      <c r="AU404" s="95">
        <f>$AO257*'Assumptions (NG Midstream)'!H$76</f>
        <v>0.07778420394</v>
      </c>
      <c r="AV404" s="95">
        <f>$AO257*'Assumptions (NG Midstream)'!I$76</f>
        <v>0.07195993663</v>
      </c>
      <c r="AW404" s="95">
        <f>$AO257*'Assumptions (NG Midstream)'!J$76</f>
        <v>0.0710051387</v>
      </c>
      <c r="AX404" s="95">
        <f>$AO257*'Assumptions (NG Midstream)'!K$76</f>
        <v>0.07098922541</v>
      </c>
      <c r="AY404" s="95">
        <f>$AO257*'Assumptions (NG Midstream)'!L$76</f>
        <v>0.0710051387</v>
      </c>
      <c r="AZ404" s="95">
        <f>$AO257*'Assumptions (NG Midstream)'!M$76</f>
        <v>0.07098922541</v>
      </c>
      <c r="BA404" s="95">
        <f>$AO257*'Assumptions (NG Midstream)'!N$76</f>
        <v>0.0710051387</v>
      </c>
      <c r="BB404" s="95">
        <f>$AO257*'Assumptions (NG Midstream)'!O$76</f>
        <v>0.07098922541</v>
      </c>
      <c r="BC404" s="95">
        <f>$AO257*'Assumptions (NG Midstream)'!P$76</f>
        <v>0.0710051387</v>
      </c>
      <c r="BD404" s="95">
        <f>$AO257*'Assumptions (NG Midstream)'!Q$76</f>
        <v>0.07098922541</v>
      </c>
      <c r="BE404" s="95">
        <f>$AO257*'Assumptions (NG Midstream)'!R$76</f>
        <v>0.0710051387</v>
      </c>
      <c r="BF404" s="95">
        <f>$AO257*'Assumptions (NG Midstream)'!S$76</f>
        <v>0.07098922541</v>
      </c>
      <c r="BG404" s="95">
        <f>$AO257*'Assumptions (NG Midstream)'!T$76</f>
        <v>0.0710051387</v>
      </c>
      <c r="BH404" s="95">
        <f>$AO257*'Assumptions (NG Midstream)'!U$76</f>
        <v>0.07098922541</v>
      </c>
      <c r="BI404" s="95">
        <f>$AO257*'Assumptions (NG Midstream)'!V$76</f>
        <v>0.03550256935</v>
      </c>
    </row>
    <row r="405" ht="15.75" hidden="1" customHeight="1" outlineLevel="1">
      <c r="A405" s="189"/>
      <c r="B405" s="38"/>
      <c r="C405" s="78"/>
      <c r="D405" s="78"/>
      <c r="E405" s="78"/>
      <c r="F405" s="78"/>
      <c r="G405" s="78"/>
      <c r="H405" s="78"/>
      <c r="I405" s="78"/>
      <c r="J405" s="78"/>
      <c r="K405" s="78"/>
      <c r="L405" s="78"/>
      <c r="M405" s="78"/>
      <c r="N405" s="78"/>
      <c r="O405" s="78"/>
      <c r="P405" s="78"/>
      <c r="Q405" s="78"/>
      <c r="R405" s="78"/>
      <c r="S405" s="78"/>
      <c r="T405" s="78"/>
      <c r="U405" s="78"/>
      <c r="V405" s="78"/>
      <c r="W405" s="139"/>
      <c r="AP405" s="95">
        <f>$AP257*'Assumptions (NG Midstream)'!B$76</f>
        <v>0.06204599824</v>
      </c>
      <c r="AQ405" s="95">
        <f>$AP257*'Assumptions (NG Midstream)'!C$76</f>
        <v>0.119442683</v>
      </c>
      <c r="AR405" s="95">
        <f>$AP257*'Assumptions (NG Midstream)'!D$76</f>
        <v>0.1104749681</v>
      </c>
      <c r="AS405" s="95">
        <f>$AP257*'Assumptions (NG Midstream)'!E$76</f>
        <v>0.1022021683</v>
      </c>
      <c r="AT405" s="95">
        <f>$AP257*'Assumptions (NG Midstream)'!F$76</f>
        <v>0.09452501012</v>
      </c>
      <c r="AU405" s="95">
        <f>$AP257*'Assumptions (NG Midstream)'!G$76</f>
        <v>0.08744349352</v>
      </c>
      <c r="AV405" s="95">
        <f>$AP257*'Assumptions (NG Midstream)'!H$76</f>
        <v>0.0808748905</v>
      </c>
      <c r="AW405" s="95">
        <f>$AP257*'Assumptions (NG Midstream)'!I$76</f>
        <v>0.07481920108</v>
      </c>
      <c r="AX405" s="95">
        <f>$AP257*'Assumptions (NG Midstream)'!J$76</f>
        <v>0.0738264651</v>
      </c>
      <c r="AY405" s="95">
        <f>$AP257*'Assumptions (NG Midstream)'!K$76</f>
        <v>0.0738099195</v>
      </c>
      <c r="AZ405" s="95">
        <f>$AP257*'Assumptions (NG Midstream)'!L$76</f>
        <v>0.0738264651</v>
      </c>
      <c r="BA405" s="95">
        <f>$AP257*'Assumptions (NG Midstream)'!M$76</f>
        <v>0.0738099195</v>
      </c>
      <c r="BB405" s="95">
        <f>$AP257*'Assumptions (NG Midstream)'!N$76</f>
        <v>0.0738264651</v>
      </c>
      <c r="BC405" s="95">
        <f>$AP257*'Assumptions (NG Midstream)'!O$76</f>
        <v>0.0738099195</v>
      </c>
      <c r="BD405" s="95">
        <f>$AP257*'Assumptions (NG Midstream)'!P$76</f>
        <v>0.0738264651</v>
      </c>
      <c r="BE405" s="95">
        <f>$AP257*'Assumptions (NG Midstream)'!Q$76</f>
        <v>0.0738099195</v>
      </c>
      <c r="BF405" s="95">
        <f>$AP257*'Assumptions (NG Midstream)'!R$76</f>
        <v>0.0738264651</v>
      </c>
      <c r="BG405" s="95">
        <f>$AP257*'Assumptions (NG Midstream)'!S$76</f>
        <v>0.0738099195</v>
      </c>
      <c r="BH405" s="95">
        <f>$AP257*'Assumptions (NG Midstream)'!T$76</f>
        <v>0.0738264651</v>
      </c>
      <c r="BI405" s="95">
        <f>$AP257*'Assumptions (NG Midstream)'!U$76</f>
        <v>0.0738099195</v>
      </c>
      <c r="BJ405" s="95">
        <f>$AP257*'Assumptions (NG Midstream)'!V$76</f>
        <v>0.03691323255</v>
      </c>
    </row>
    <row r="406" ht="15.75" hidden="1" customHeight="1" outlineLevel="1">
      <c r="A406" s="189"/>
      <c r="B406" s="38"/>
      <c r="C406" s="78"/>
      <c r="D406" s="78"/>
      <c r="E406" s="78"/>
      <c r="F406" s="78"/>
      <c r="G406" s="78"/>
      <c r="H406" s="78"/>
      <c r="I406" s="78"/>
      <c r="J406" s="78"/>
      <c r="K406" s="78"/>
      <c r="L406" s="78"/>
      <c r="M406" s="78"/>
      <c r="N406" s="78"/>
      <c r="O406" s="78"/>
      <c r="P406" s="78"/>
      <c r="Q406" s="78"/>
      <c r="R406" s="78"/>
      <c r="S406" s="78"/>
      <c r="T406" s="78"/>
      <c r="U406" s="78"/>
      <c r="V406" s="78"/>
      <c r="W406" s="139"/>
      <c r="AQ406" s="95">
        <f>$AQ257*'Assumptions (NG Midstream)'!B$76</f>
        <v>0.058632919</v>
      </c>
      <c r="AR406" s="95">
        <f>$AQ257*'Assumptions (NG Midstream)'!C$76</f>
        <v>0.1128722779</v>
      </c>
      <c r="AS406" s="95">
        <f>$AQ257*'Assumptions (NG Midstream)'!D$76</f>
        <v>0.1043978667</v>
      </c>
      <c r="AT406" s="95">
        <f>$AQ257*'Assumptions (NG Midstream)'!E$76</f>
        <v>0.09658014417</v>
      </c>
      <c r="AU406" s="95">
        <f>$AQ257*'Assumptions (NG Midstream)'!F$76</f>
        <v>0.08932529766</v>
      </c>
      <c r="AV406" s="95">
        <f>$AQ257*'Assumptions (NG Midstream)'!G$76</f>
        <v>0.08263332717</v>
      </c>
      <c r="AW406" s="95">
        <f>$AQ257*'Assumptions (NG Midstream)'!H$76</f>
        <v>0.07642605548</v>
      </c>
      <c r="AX406" s="95">
        <f>$AQ257*'Assumptions (NG Midstream)'!I$76</f>
        <v>0.07070348259</v>
      </c>
      <c r="AY406" s="95">
        <f>$AQ257*'Assumptions (NG Midstream)'!J$76</f>
        <v>0.06976535588</v>
      </c>
      <c r="AZ406" s="95">
        <f>$AQ257*'Assumptions (NG Midstream)'!K$76</f>
        <v>0.06974972044</v>
      </c>
      <c r="BA406" s="95">
        <f>$AQ257*'Assumptions (NG Midstream)'!L$76</f>
        <v>0.06976535588</v>
      </c>
      <c r="BB406" s="95">
        <f>$AQ257*'Assumptions (NG Midstream)'!M$76</f>
        <v>0.06974972044</v>
      </c>
      <c r="BC406" s="95">
        <f>$AQ257*'Assumptions (NG Midstream)'!N$76</f>
        <v>0.06976535588</v>
      </c>
      <c r="BD406" s="95">
        <f>$AQ257*'Assumptions (NG Midstream)'!O$76</f>
        <v>0.06974972044</v>
      </c>
      <c r="BE406" s="95">
        <f>$AQ257*'Assumptions (NG Midstream)'!P$76</f>
        <v>0.06976535588</v>
      </c>
      <c r="BF406" s="95">
        <f>$AQ257*'Assumptions (NG Midstream)'!Q$76</f>
        <v>0.06974972044</v>
      </c>
      <c r="BG406" s="95">
        <f>$AQ257*'Assumptions (NG Midstream)'!R$76</f>
        <v>0.06976535588</v>
      </c>
      <c r="BH406" s="95">
        <f>$AQ257*'Assumptions (NG Midstream)'!S$76</f>
        <v>0.06974972044</v>
      </c>
      <c r="BI406" s="95">
        <f>$AQ257*'Assumptions (NG Midstream)'!T$76</f>
        <v>0.06976535588</v>
      </c>
      <c r="BJ406" s="95">
        <f>$AQ257*'Assumptions (NG Midstream)'!U$76</f>
        <v>0.06974972044</v>
      </c>
      <c r="BK406" s="95">
        <f>$AQ257*'Assumptions (NG Midstream)'!V$76</f>
        <v>0.03488267794</v>
      </c>
    </row>
    <row r="407" ht="15.75" hidden="1" customHeight="1" outlineLevel="1">
      <c r="A407" s="189"/>
      <c r="B407" s="38"/>
      <c r="C407" s="78"/>
      <c r="D407" s="78"/>
      <c r="E407" s="78"/>
      <c r="F407" s="78"/>
      <c r="G407" s="78"/>
      <c r="H407" s="78"/>
      <c r="I407" s="78"/>
      <c r="J407" s="78"/>
      <c r="K407" s="78"/>
      <c r="L407" s="78"/>
      <c r="M407" s="78"/>
      <c r="N407" s="78"/>
      <c r="O407" s="78"/>
      <c r="P407" s="78"/>
      <c r="Q407" s="78"/>
      <c r="R407" s="78"/>
      <c r="S407" s="78"/>
      <c r="T407" s="78"/>
      <c r="U407" s="78"/>
      <c r="V407" s="78"/>
      <c r="W407" s="139"/>
      <c r="AR407" s="95">
        <f>$AR257*'Assumptions (NG Midstream)'!B$76</f>
        <v>0.06267877027</v>
      </c>
      <c r="AS407" s="95">
        <f>$AR257*'Assumptions (NG Midstream)'!C$76</f>
        <v>0.1206608114</v>
      </c>
      <c r="AT407" s="95">
        <f>$AR257*'Assumptions (NG Midstream)'!D$76</f>
        <v>0.1116016398</v>
      </c>
      <c r="AU407" s="95">
        <f>$AR257*'Assumptions (NG Midstream)'!E$76</f>
        <v>0.1032444704</v>
      </c>
      <c r="AV407" s="95">
        <f>$AR257*'Assumptions (NG Midstream)'!F$76</f>
        <v>0.09548901721</v>
      </c>
      <c r="AW407" s="95">
        <f>$AR257*'Assumptions (NG Midstream)'!G$76</f>
        <v>0.08833528023</v>
      </c>
      <c r="AX407" s="95">
        <f>$AR257*'Assumptions (NG Midstream)'!H$76</f>
        <v>0.08169968775</v>
      </c>
      <c r="AY407" s="95">
        <f>$AR257*'Assumptions (NG Midstream)'!I$76</f>
        <v>0.07558223977</v>
      </c>
      <c r="AZ407" s="95">
        <f>$AR257*'Assumptions (NG Midstream)'!J$76</f>
        <v>0.07457937945</v>
      </c>
      <c r="BA407" s="95">
        <f>$AR257*'Assumptions (NG Midstream)'!K$76</f>
        <v>0.07456266511</v>
      </c>
      <c r="BB407" s="95">
        <f>$AR257*'Assumptions (NG Midstream)'!L$76</f>
        <v>0.07457937945</v>
      </c>
      <c r="BC407" s="95">
        <f>$AR257*'Assumptions (NG Midstream)'!M$76</f>
        <v>0.07456266511</v>
      </c>
      <c r="BD407" s="95">
        <f>$AR257*'Assumptions (NG Midstream)'!N$76</f>
        <v>0.07457937945</v>
      </c>
      <c r="BE407" s="95">
        <f>$AR257*'Assumptions (NG Midstream)'!O$76</f>
        <v>0.07456266511</v>
      </c>
      <c r="BF407" s="95">
        <f>$AR257*'Assumptions (NG Midstream)'!P$76</f>
        <v>0.07457937945</v>
      </c>
      <c r="BG407" s="95">
        <f>$AR257*'Assumptions (NG Midstream)'!Q$76</f>
        <v>0.07456266511</v>
      </c>
      <c r="BH407" s="95">
        <f>$AR257*'Assumptions (NG Midstream)'!R$76</f>
        <v>0.07457937945</v>
      </c>
      <c r="BI407" s="95">
        <f>$AR257*'Assumptions (NG Midstream)'!S$76</f>
        <v>0.07456266511</v>
      </c>
      <c r="BJ407" s="95">
        <f>$AR257*'Assumptions (NG Midstream)'!T$76</f>
        <v>0.07457937945</v>
      </c>
      <c r="BK407" s="95">
        <f>$AR257*'Assumptions (NG Midstream)'!U$76</f>
        <v>0.07456266511</v>
      </c>
      <c r="BL407" s="95">
        <f>$AR257*'Assumptions (NG Midstream)'!V$76</f>
        <v>0.03728968972</v>
      </c>
    </row>
    <row r="408" ht="15.75" hidden="1" customHeight="1" outlineLevel="1">
      <c r="A408" s="189"/>
      <c r="B408" s="38"/>
      <c r="C408" s="78"/>
      <c r="D408" s="78"/>
      <c r="E408" s="78"/>
      <c r="F408" s="78"/>
      <c r="G408" s="78"/>
      <c r="H408" s="78"/>
      <c r="I408" s="78"/>
      <c r="J408" s="78"/>
      <c r="K408" s="78"/>
      <c r="L408" s="78"/>
      <c r="M408" s="78"/>
      <c r="N408" s="78"/>
      <c r="O408" s="78"/>
      <c r="P408" s="78"/>
      <c r="Q408" s="78"/>
      <c r="R408" s="78"/>
      <c r="S408" s="78"/>
      <c r="T408" s="78"/>
      <c r="U408" s="78"/>
      <c r="V408" s="78"/>
      <c r="W408" s="139"/>
      <c r="AS408" s="95">
        <f>$AS257*'Assumptions (NG Midstream)'!B$76</f>
        <v>0.06084678389</v>
      </c>
      <c r="AT408" s="95">
        <f>$AS257*'Assumptions (NG Midstream)'!C$76</f>
        <v>0.1171341154</v>
      </c>
      <c r="AU408" s="95">
        <f>$AS257*'Assumptions (NG Midstream)'!D$76</f>
        <v>0.108339727</v>
      </c>
      <c r="AV408" s="95">
        <f>$AS257*'Assumptions (NG Midstream)'!E$76</f>
        <v>0.1002268224</v>
      </c>
      <c r="AW408" s="95">
        <f>$AS257*'Assumptions (NG Midstream)'!F$76</f>
        <v>0.09269804704</v>
      </c>
      <c r="AX408" s="95">
        <f>$AS257*'Assumptions (NG Midstream)'!G$76</f>
        <v>0.08575340077</v>
      </c>
      <c r="AY408" s="95">
        <f>$AS257*'Assumptions (NG Midstream)'!H$76</f>
        <v>0.07931175458</v>
      </c>
      <c r="AZ408" s="95">
        <f>$AS257*'Assumptions (NG Midstream)'!I$76</f>
        <v>0.07337310847</v>
      </c>
      <c r="BA408" s="95">
        <f>$AS257*'Assumptions (NG Midstream)'!J$76</f>
        <v>0.07239955993</v>
      </c>
      <c r="BB408" s="95">
        <f>$AS257*'Assumptions (NG Midstream)'!K$76</f>
        <v>0.07238333412</v>
      </c>
      <c r="BC408" s="95">
        <f>$AS257*'Assumptions (NG Midstream)'!L$76</f>
        <v>0.07239955993</v>
      </c>
      <c r="BD408" s="95">
        <f>$AS257*'Assumptions (NG Midstream)'!M$76</f>
        <v>0.07238333412</v>
      </c>
      <c r="BE408" s="95">
        <f>$AS257*'Assumptions (NG Midstream)'!N$76</f>
        <v>0.07239955993</v>
      </c>
      <c r="BF408" s="95">
        <f>$AS257*'Assumptions (NG Midstream)'!O$76</f>
        <v>0.07238333412</v>
      </c>
      <c r="BG408" s="95">
        <f>$AS257*'Assumptions (NG Midstream)'!P$76</f>
        <v>0.07239955993</v>
      </c>
      <c r="BH408" s="95">
        <f>$AS257*'Assumptions (NG Midstream)'!Q$76</f>
        <v>0.07238333412</v>
      </c>
      <c r="BI408" s="95">
        <f>$AS257*'Assumptions (NG Midstream)'!R$76</f>
        <v>0.07239955993</v>
      </c>
      <c r="BJ408" s="95">
        <f>$AS257*'Assumptions (NG Midstream)'!S$76</f>
        <v>0.07238333412</v>
      </c>
      <c r="BK408" s="95">
        <f>$AS257*'Assumptions (NG Midstream)'!T$76</f>
        <v>0.07239955993</v>
      </c>
      <c r="BL408" s="95">
        <f>$AS257*'Assumptions (NG Midstream)'!U$76</f>
        <v>0.07238333412</v>
      </c>
      <c r="BM408" s="95">
        <f>$AS257*'Assumptions (NG Midstream)'!V$76</f>
        <v>0.03619977997</v>
      </c>
    </row>
    <row r="409" ht="15.75" hidden="1" customHeight="1" outlineLevel="1">
      <c r="A409" s="189"/>
      <c r="B409" s="38"/>
      <c r="C409" s="78"/>
      <c r="D409" s="78"/>
      <c r="E409" s="78"/>
      <c r="F409" s="78"/>
      <c r="G409" s="78"/>
      <c r="H409" s="78"/>
      <c r="I409" s="78"/>
      <c r="J409" s="78"/>
      <c r="K409" s="78"/>
      <c r="L409" s="78"/>
      <c r="M409" s="78"/>
      <c r="N409" s="78"/>
      <c r="O409" s="78"/>
      <c r="P409" s="78"/>
      <c r="Q409" s="78"/>
      <c r="R409" s="78"/>
      <c r="S409" s="78"/>
      <c r="T409" s="78"/>
      <c r="U409" s="78"/>
      <c r="V409" s="78"/>
      <c r="W409" s="139"/>
      <c r="AT409" s="95">
        <f>$AT257*'Assumptions (NG Midstream)'!B$76</f>
        <v>0.06918477492</v>
      </c>
      <c r="AU409" s="95">
        <f>$AT257*'Assumptions (NG Midstream)'!C$76</f>
        <v>0.133185304</v>
      </c>
      <c r="AV409" s="95">
        <f>$AT257*'Assumptions (NG Midstream)'!D$76</f>
        <v>0.1231857979</v>
      </c>
      <c r="AW409" s="95">
        <f>$AT257*'Assumptions (NG Midstream)'!E$76</f>
        <v>0.1139611613</v>
      </c>
      <c r="AX409" s="95">
        <f>$AT257*'Assumptions (NG Midstream)'!F$76</f>
        <v>0.1054006984</v>
      </c>
      <c r="AY409" s="95">
        <f>$AT257*'Assumptions (NG Midstream)'!G$76</f>
        <v>0.09750440946</v>
      </c>
      <c r="AZ409" s="95">
        <f>$AT257*'Assumptions (NG Midstream)'!H$76</f>
        <v>0.09018004795</v>
      </c>
      <c r="BA409" s="95">
        <f>$AT257*'Assumptions (NG Midstream)'!I$76</f>
        <v>0.08342761392</v>
      </c>
      <c r="BB409" s="95">
        <f>$AT257*'Assumptions (NG Midstream)'!J$76</f>
        <v>0.08232065752</v>
      </c>
      <c r="BC409" s="95">
        <f>$AT257*'Assumptions (NG Midstream)'!K$76</f>
        <v>0.08230220825</v>
      </c>
      <c r="BD409" s="95">
        <f>$AT257*'Assumptions (NG Midstream)'!L$76</f>
        <v>0.08232065752</v>
      </c>
      <c r="BE409" s="95">
        <f>$AT257*'Assumptions (NG Midstream)'!M$76</f>
        <v>0.08230220825</v>
      </c>
      <c r="BF409" s="95">
        <f>$AT257*'Assumptions (NG Midstream)'!N$76</f>
        <v>0.08232065752</v>
      </c>
      <c r="BG409" s="95">
        <f>$AT257*'Assumptions (NG Midstream)'!O$76</f>
        <v>0.08230220825</v>
      </c>
      <c r="BH409" s="95">
        <f>$AT257*'Assumptions (NG Midstream)'!P$76</f>
        <v>0.08232065752</v>
      </c>
      <c r="BI409" s="95">
        <f>$AT257*'Assumptions (NG Midstream)'!Q$76</f>
        <v>0.08230220825</v>
      </c>
      <c r="BJ409" s="95">
        <f>$AT257*'Assumptions (NG Midstream)'!R$76</f>
        <v>0.08232065752</v>
      </c>
      <c r="BK409" s="95">
        <f>$AT257*'Assumptions (NG Midstream)'!S$76</f>
        <v>0.08230220825</v>
      </c>
      <c r="BL409" s="95">
        <f>$AT257*'Assumptions (NG Midstream)'!T$76</f>
        <v>0.08232065752</v>
      </c>
      <c r="BM409" s="95">
        <f>$AT257*'Assumptions (NG Midstream)'!U$76</f>
        <v>0.08230220825</v>
      </c>
      <c r="BN409" s="95">
        <f>$AT257*'Assumptions (NG Midstream)'!V$76</f>
        <v>0.04116032876</v>
      </c>
    </row>
    <row r="410" ht="15.75" hidden="1" customHeight="1" outlineLevel="1">
      <c r="A410" s="189"/>
      <c r="B410" s="38"/>
      <c r="C410" s="78"/>
      <c r="D410" s="78"/>
      <c r="E410" s="78"/>
      <c r="F410" s="78"/>
      <c r="G410" s="78"/>
      <c r="H410" s="78"/>
      <c r="I410" s="78"/>
      <c r="J410" s="78"/>
      <c r="K410" s="78"/>
      <c r="L410" s="78"/>
      <c r="M410" s="78"/>
      <c r="N410" s="78"/>
      <c r="O410" s="78"/>
      <c r="P410" s="78"/>
      <c r="Q410" s="78"/>
      <c r="R410" s="78"/>
      <c r="S410" s="78"/>
      <c r="T410" s="78"/>
      <c r="U410" s="78"/>
      <c r="V410" s="78"/>
      <c r="W410" s="139"/>
      <c r="AU410" s="95">
        <f>$AU257*'Assumptions (NG Midstream)'!B$76</f>
        <v>0.06377280895</v>
      </c>
      <c r="AV410" s="95">
        <f>$AU257*'Assumptions (NG Midstream)'!C$76</f>
        <v>0.1227669088</v>
      </c>
      <c r="AW410" s="95">
        <f>$AU257*'Assumptions (NG Midstream)'!D$76</f>
        <v>0.1135496121</v>
      </c>
      <c r="AX410" s="95">
        <f>$AU257*'Assumptions (NG Midstream)'!E$76</f>
        <v>0.1050465709</v>
      </c>
      <c r="AY410" s="95">
        <f>$AU257*'Assumptions (NG Midstream)'!F$76</f>
        <v>0.09715574868</v>
      </c>
      <c r="AZ410" s="95">
        <f>$AU257*'Assumptions (NG Midstream)'!G$76</f>
        <v>0.08987714541</v>
      </c>
      <c r="BA410" s="95">
        <f>$AU257*'Assumptions (NG Midstream)'!H$76</f>
        <v>0.08312573071</v>
      </c>
      <c r="BB410" s="95">
        <f>$AU257*'Assumptions (NG Midstream)'!I$76</f>
        <v>0.07690150455</v>
      </c>
      <c r="BC410" s="95">
        <f>$AU257*'Assumptions (NG Midstream)'!J$76</f>
        <v>0.07588113961</v>
      </c>
      <c r="BD410" s="95">
        <f>$AU257*'Assumptions (NG Midstream)'!K$76</f>
        <v>0.07586413353</v>
      </c>
      <c r="BE410" s="95">
        <f>$AU257*'Assumptions (NG Midstream)'!L$76</f>
        <v>0.07588113961</v>
      </c>
      <c r="BF410" s="95">
        <f>$AU257*'Assumptions (NG Midstream)'!M$76</f>
        <v>0.07586413353</v>
      </c>
      <c r="BG410" s="95">
        <f>$AU257*'Assumptions (NG Midstream)'!N$76</f>
        <v>0.07588113961</v>
      </c>
      <c r="BH410" s="95">
        <f>$AU257*'Assumptions (NG Midstream)'!O$76</f>
        <v>0.07586413353</v>
      </c>
      <c r="BI410" s="95">
        <f>$AU257*'Assumptions (NG Midstream)'!P$76</f>
        <v>0.07588113961</v>
      </c>
      <c r="BJ410" s="95">
        <f>$AU257*'Assumptions (NG Midstream)'!Q$76</f>
        <v>0.07586413353</v>
      </c>
      <c r="BK410" s="95">
        <f>$AU257*'Assumptions (NG Midstream)'!R$76</f>
        <v>0.07588113961</v>
      </c>
      <c r="BL410" s="95">
        <f>$AU257*'Assumptions (NG Midstream)'!S$76</f>
        <v>0.07586413353</v>
      </c>
      <c r="BM410" s="95">
        <f>$AU257*'Assumptions (NG Midstream)'!T$76</f>
        <v>0.07588113961</v>
      </c>
      <c r="BN410" s="95">
        <f>$AU257*'Assumptions (NG Midstream)'!U$76</f>
        <v>0.07586413353</v>
      </c>
      <c r="BO410" s="95">
        <f>$AU257*'Assumptions (NG Midstream)'!V$76</f>
        <v>0.03794056981</v>
      </c>
    </row>
    <row r="411" ht="15.75" hidden="1" customHeight="1" outlineLevel="1">
      <c r="A411" s="189"/>
      <c r="B411" s="38"/>
      <c r="C411" s="78"/>
      <c r="D411" s="78"/>
      <c r="E411" s="78"/>
      <c r="F411" s="78"/>
      <c r="G411" s="78"/>
      <c r="H411" s="78"/>
      <c r="I411" s="78"/>
      <c r="J411" s="78"/>
      <c r="K411" s="78"/>
      <c r="L411" s="78"/>
      <c r="M411" s="78"/>
      <c r="N411" s="78"/>
      <c r="O411" s="78"/>
      <c r="P411" s="78"/>
      <c r="Q411" s="78"/>
      <c r="R411" s="78"/>
      <c r="S411" s="78"/>
      <c r="T411" s="78"/>
      <c r="U411" s="78"/>
      <c r="V411" s="78"/>
      <c r="W411" s="139"/>
      <c r="AV411" s="95">
        <f>$AV257*'Assumptions (NG Midstream)'!B$76</f>
        <v>0.06032497118</v>
      </c>
      <c r="AW411" s="95">
        <f>$AV257*'Assumptions (NG Midstream)'!C$76</f>
        <v>0.1161295912</v>
      </c>
      <c r="AX411" s="95">
        <f>$AV257*'Assumptions (NG Midstream)'!D$76</f>
        <v>0.107410622</v>
      </c>
      <c r="AY411" s="95">
        <f>$AV257*'Assumptions (NG Midstream)'!E$76</f>
        <v>0.09936729253</v>
      </c>
      <c r="AZ411" s="95">
        <f>$AV257*'Assumptions (NG Midstream)'!F$76</f>
        <v>0.09190308276</v>
      </c>
      <c r="BA411" s="95">
        <f>$AV257*'Assumptions (NG Midstream)'!G$76</f>
        <v>0.08501799272</v>
      </c>
      <c r="BB411" s="95">
        <f>$AV257*'Assumptions (NG Midstream)'!H$76</f>
        <v>0.0786315891</v>
      </c>
      <c r="BC411" s="95">
        <f>$AV257*'Assumptions (NG Midstream)'!I$76</f>
        <v>0.07274387192</v>
      </c>
      <c r="BD411" s="95">
        <f>$AV257*'Assumptions (NG Midstream)'!J$76</f>
        <v>0.07177867238</v>
      </c>
      <c r="BE411" s="95">
        <f>$AV257*'Assumptions (NG Midstream)'!K$76</f>
        <v>0.07176258572</v>
      </c>
      <c r="BF411" s="95">
        <f>$AV257*'Assumptions (NG Midstream)'!L$76</f>
        <v>0.07177867238</v>
      </c>
      <c r="BG411" s="95">
        <f>$AV257*'Assumptions (NG Midstream)'!M$76</f>
        <v>0.07176258572</v>
      </c>
      <c r="BH411" s="95">
        <f>$AV257*'Assumptions (NG Midstream)'!N$76</f>
        <v>0.07177867238</v>
      </c>
      <c r="BI411" s="95">
        <f>$AV257*'Assumptions (NG Midstream)'!O$76</f>
        <v>0.07176258572</v>
      </c>
      <c r="BJ411" s="95">
        <f>$AV257*'Assumptions (NG Midstream)'!P$76</f>
        <v>0.07177867238</v>
      </c>
      <c r="BK411" s="95">
        <f>$AV257*'Assumptions (NG Midstream)'!Q$76</f>
        <v>0.07176258572</v>
      </c>
      <c r="BL411" s="95">
        <f>$AV257*'Assumptions (NG Midstream)'!R$76</f>
        <v>0.07177867238</v>
      </c>
      <c r="BM411" s="95">
        <f>$AV257*'Assumptions (NG Midstream)'!S$76</f>
        <v>0.07176258572</v>
      </c>
      <c r="BN411" s="95">
        <f>$AV257*'Assumptions (NG Midstream)'!T$76</f>
        <v>0.07177867238</v>
      </c>
      <c r="BO411" s="95">
        <f>$AV257*'Assumptions (NG Midstream)'!U$76</f>
        <v>0.07176258572</v>
      </c>
      <c r="BP411" s="95">
        <f>$AV257*'Assumptions (NG Midstream)'!V$76</f>
        <v>0.03588933619</v>
      </c>
    </row>
    <row r="412" ht="15.75" hidden="1" customHeight="1" outlineLevel="1">
      <c r="A412" s="189"/>
      <c r="B412" s="38"/>
      <c r="C412" s="78"/>
      <c r="D412" s="78"/>
      <c r="E412" s="78"/>
      <c r="F412" s="78"/>
      <c r="G412" s="78"/>
      <c r="H412" s="78"/>
      <c r="I412" s="78"/>
      <c r="J412" s="78"/>
      <c r="K412" s="78"/>
      <c r="L412" s="78"/>
      <c r="M412" s="78"/>
      <c r="N412" s="78"/>
      <c r="O412" s="78"/>
      <c r="P412" s="78"/>
      <c r="Q412" s="78"/>
      <c r="R412" s="78"/>
      <c r="S412" s="78"/>
      <c r="T412" s="78"/>
      <c r="U412" s="78"/>
      <c r="V412" s="78"/>
      <c r="W412" s="139"/>
      <c r="AW412" s="95">
        <f>$AW257*'Assumptions (NG Midstream)'!B$76</f>
        <v>0.0658101259</v>
      </c>
      <c r="AX412" s="95">
        <f>$AW257*'Assumptions (NG Midstream)'!C$76</f>
        <v>0.1266888797</v>
      </c>
      <c r="AY412" s="95">
        <f>$AW257*'Assumptions (NG Midstream)'!D$76</f>
        <v>0.1171771228</v>
      </c>
      <c r="AZ412" s="95">
        <f>$AW257*'Assumptions (NG Midstream)'!E$76</f>
        <v>0.1084024394</v>
      </c>
      <c r="BA412" s="95">
        <f>$AW257*'Assumptions (NG Midstream)'!F$76</f>
        <v>0.1002595331</v>
      </c>
      <c r="BB412" s="95">
        <f>$AW257*'Assumptions (NG Midstream)'!G$76</f>
        <v>0.0927484041</v>
      </c>
      <c r="BC412" s="95">
        <f>$AW257*'Assumptions (NG Midstream)'!H$76</f>
        <v>0.08578130543</v>
      </c>
      <c r="BD412" s="95">
        <f>$AW257*'Assumptions (NG Midstream)'!I$76</f>
        <v>0.07935823715</v>
      </c>
      <c r="BE412" s="95">
        <f>$AW257*'Assumptions (NG Midstream)'!J$76</f>
        <v>0.07830527513</v>
      </c>
      <c r="BF412" s="95">
        <f>$AW257*'Assumptions (NG Midstream)'!K$76</f>
        <v>0.07828772577</v>
      </c>
      <c r="BG412" s="95">
        <f>$AW257*'Assumptions (NG Midstream)'!L$76</f>
        <v>0.07830527513</v>
      </c>
      <c r="BH412" s="95">
        <f>$AW257*'Assumptions (NG Midstream)'!M$76</f>
        <v>0.07828772577</v>
      </c>
      <c r="BI412" s="95">
        <f>$AW257*'Assumptions (NG Midstream)'!N$76</f>
        <v>0.07830527513</v>
      </c>
      <c r="BJ412" s="95">
        <f>$AW257*'Assumptions (NG Midstream)'!O$76</f>
        <v>0.07828772577</v>
      </c>
      <c r="BK412" s="95">
        <f>$AW257*'Assumptions (NG Midstream)'!P$76</f>
        <v>0.07830527513</v>
      </c>
      <c r="BL412" s="95">
        <f>$AW257*'Assumptions (NG Midstream)'!Q$76</f>
        <v>0.07828772577</v>
      </c>
      <c r="BM412" s="95">
        <f>$AW257*'Assumptions (NG Midstream)'!R$76</f>
        <v>0.07830527513</v>
      </c>
      <c r="BN412" s="95">
        <f>$AW257*'Assumptions (NG Midstream)'!S$76</f>
        <v>0.07828772577</v>
      </c>
      <c r="BO412" s="95">
        <f>$AW257*'Assumptions (NG Midstream)'!T$76</f>
        <v>0.07830527513</v>
      </c>
      <c r="BP412" s="95">
        <f>$AW257*'Assumptions (NG Midstream)'!U$76</f>
        <v>0.07828772577</v>
      </c>
      <c r="BQ412" s="95">
        <f>$AW257*'Assumptions (NG Midstream)'!V$76</f>
        <v>0.03915263757</v>
      </c>
    </row>
    <row r="413" ht="15.75" hidden="1" customHeight="1" outlineLevel="1">
      <c r="A413" s="189"/>
      <c r="B413" s="38"/>
      <c r="C413" s="78"/>
      <c r="D413" s="78"/>
      <c r="E413" s="78"/>
      <c r="F413" s="78"/>
      <c r="G413" s="78"/>
      <c r="H413" s="78"/>
      <c r="I413" s="78"/>
      <c r="J413" s="78"/>
      <c r="K413" s="78"/>
      <c r="L413" s="78"/>
      <c r="M413" s="78"/>
      <c r="N413" s="78"/>
      <c r="O413" s="78"/>
      <c r="P413" s="78"/>
      <c r="Q413" s="78"/>
      <c r="R413" s="78"/>
      <c r="S413" s="78"/>
      <c r="T413" s="78"/>
      <c r="U413" s="78"/>
      <c r="V413" s="78"/>
      <c r="W413" s="139"/>
      <c r="AX413" s="95">
        <f>$AX257*'Assumptions (NG Midstream)'!B$76</f>
        <v>0.07002781228</v>
      </c>
      <c r="AY413" s="95">
        <f>$AX257*'Assumptions (NG Midstream)'!C$76</f>
        <v>0.1348082072</v>
      </c>
      <c r="AZ413" s="95">
        <f>$AX257*'Assumptions (NG Midstream)'!D$76</f>
        <v>0.124686854</v>
      </c>
      <c r="BA413" s="95">
        <f>$AX257*'Assumptions (NG Midstream)'!E$76</f>
        <v>0.1153498124</v>
      </c>
      <c r="BB413" s="95">
        <f>$AX257*'Assumptions (NG Midstream)'!F$76</f>
        <v>0.1066850377</v>
      </c>
      <c r="BC413" s="95">
        <f>$AX257*'Assumptions (NG Midstream)'!G$76</f>
        <v>0.0986925301</v>
      </c>
      <c r="BD413" s="95">
        <f>$AX257*'Assumptions (NG Midstream)'!H$76</f>
        <v>0.09127891905</v>
      </c>
      <c r="BE413" s="95">
        <f>$AX257*'Assumptions (NG Midstream)'!I$76</f>
        <v>0.08444420457</v>
      </c>
      <c r="BF413" s="95">
        <f>$AX257*'Assumptions (NG Midstream)'!J$76</f>
        <v>0.08332375957</v>
      </c>
      <c r="BG413" s="95">
        <f>$AX257*'Assumptions (NG Midstream)'!K$76</f>
        <v>0.08330508549</v>
      </c>
      <c r="BH413" s="95">
        <f>$AX257*'Assumptions (NG Midstream)'!L$76</f>
        <v>0.08332375957</v>
      </c>
      <c r="BI413" s="95">
        <f>$AX257*'Assumptions (NG Midstream)'!M$76</f>
        <v>0.08330508549</v>
      </c>
      <c r="BJ413" s="95">
        <f>$AX257*'Assumptions (NG Midstream)'!N$76</f>
        <v>0.08332375957</v>
      </c>
      <c r="BK413" s="95">
        <f>$AX257*'Assumptions (NG Midstream)'!O$76</f>
        <v>0.08330508549</v>
      </c>
      <c r="BL413" s="95">
        <f>$AX257*'Assumptions (NG Midstream)'!P$76</f>
        <v>0.08332375957</v>
      </c>
      <c r="BM413" s="95">
        <f>$AX257*'Assumptions (NG Midstream)'!Q$76</f>
        <v>0.08330508549</v>
      </c>
      <c r="BN413" s="95">
        <f>$AX257*'Assumptions (NG Midstream)'!R$76</f>
        <v>0.08332375957</v>
      </c>
      <c r="BO413" s="95">
        <f>$AX257*'Assumptions (NG Midstream)'!S$76</f>
        <v>0.08330508549</v>
      </c>
      <c r="BP413" s="95">
        <f>$AX257*'Assumptions (NG Midstream)'!T$76</f>
        <v>0.08332375957</v>
      </c>
      <c r="BQ413" s="95">
        <f>$AX257*'Assumptions (NG Midstream)'!U$76</f>
        <v>0.08330508549</v>
      </c>
      <c r="BR413" s="95">
        <f>$AX257*'Assumptions (NG Midstream)'!V$76</f>
        <v>0.04166187979</v>
      </c>
    </row>
    <row r="414" ht="15.75" hidden="1" customHeight="1" outlineLevel="1">
      <c r="A414" s="189"/>
      <c r="B414" s="38"/>
      <c r="C414" s="78"/>
      <c r="D414" s="78"/>
      <c r="E414" s="78"/>
      <c r="F414" s="78"/>
      <c r="G414" s="78"/>
      <c r="H414" s="78"/>
      <c r="I414" s="78"/>
      <c r="J414" s="78"/>
      <c r="K414" s="78"/>
      <c r="L414" s="78"/>
      <c r="M414" s="78"/>
      <c r="N414" s="78"/>
      <c r="O414" s="78"/>
      <c r="P414" s="78"/>
      <c r="Q414" s="78"/>
      <c r="R414" s="78"/>
      <c r="S414" s="78"/>
      <c r="T414" s="78"/>
      <c r="U414" s="78"/>
      <c r="V414" s="78"/>
      <c r="W414" s="139"/>
      <c r="AY414" s="95">
        <f>$AY257*'Assumptions (NG Midstream)'!B$76</f>
        <v>0.06211095703</v>
      </c>
      <c r="AZ414" s="95">
        <f>$AY257*'Assumptions (NG Midstream)'!C$76</f>
        <v>0.119567733</v>
      </c>
      <c r="BA414" s="95">
        <f>$AY257*'Assumptions (NG Midstream)'!D$76</f>
        <v>0.1105906294</v>
      </c>
      <c r="BB414" s="95">
        <f>$AY257*'Assumptions (NG Midstream)'!E$76</f>
        <v>0.1023091684</v>
      </c>
      <c r="BC414" s="95">
        <f>$AY257*'Assumptions (NG Midstream)'!F$76</f>
        <v>0.09462397266</v>
      </c>
      <c r="BD414" s="95">
        <f>$AY257*'Assumptions (NG Midstream)'!G$76</f>
        <v>0.0875350421</v>
      </c>
      <c r="BE414" s="95">
        <f>$AY257*'Assumptions (NG Midstream)'!H$76</f>
        <v>0.08095956212</v>
      </c>
      <c r="BF414" s="95">
        <f>$AY257*'Assumptions (NG Midstream)'!I$76</f>
        <v>0.07489753271</v>
      </c>
      <c r="BG414" s="95">
        <f>$AY257*'Assumptions (NG Midstream)'!J$76</f>
        <v>0.0739037574</v>
      </c>
      <c r="BH414" s="95">
        <f>$AY257*'Assumptions (NG Midstream)'!K$76</f>
        <v>0.07388719448</v>
      </c>
      <c r="BI414" s="95">
        <f>$AY257*'Assumptions (NG Midstream)'!L$76</f>
        <v>0.0739037574</v>
      </c>
      <c r="BJ414" s="95">
        <f>$AY257*'Assumptions (NG Midstream)'!M$76</f>
        <v>0.07388719448</v>
      </c>
      <c r="BK414" s="95">
        <f>$AY257*'Assumptions (NG Midstream)'!N$76</f>
        <v>0.0739037574</v>
      </c>
      <c r="BL414" s="95">
        <f>$AY257*'Assumptions (NG Midstream)'!O$76</f>
        <v>0.07388719448</v>
      </c>
      <c r="BM414" s="95">
        <f>$AY257*'Assumptions (NG Midstream)'!P$76</f>
        <v>0.0739037574</v>
      </c>
      <c r="BN414" s="95">
        <f>$AY257*'Assumptions (NG Midstream)'!Q$76</f>
        <v>0.07388719448</v>
      </c>
      <c r="BO414" s="95">
        <f>$AY257*'Assumptions (NG Midstream)'!R$76</f>
        <v>0.0739037574</v>
      </c>
      <c r="BP414" s="95">
        <f>$AY257*'Assumptions (NG Midstream)'!S$76</f>
        <v>0.07388719448</v>
      </c>
      <c r="BQ414" s="95">
        <f>$AY257*'Assumptions (NG Midstream)'!T$76</f>
        <v>0.0739037574</v>
      </c>
      <c r="BR414" s="95">
        <f>$AY257*'Assumptions (NG Midstream)'!U$76</f>
        <v>0.07388719448</v>
      </c>
      <c r="BS414" s="95">
        <f>$AY257*'Assumptions (NG Midstream)'!V$76</f>
        <v>0.0369518787</v>
      </c>
    </row>
    <row r="415" ht="15.75" hidden="1" customHeight="1" outlineLevel="1">
      <c r="A415" s="189"/>
      <c r="B415" s="38"/>
      <c r="C415" s="78"/>
      <c r="D415" s="78"/>
      <c r="E415" s="78"/>
      <c r="F415" s="78"/>
      <c r="G415" s="78"/>
      <c r="H415" s="78"/>
      <c r="I415" s="78"/>
      <c r="J415" s="78"/>
      <c r="K415" s="78"/>
      <c r="L415" s="78"/>
      <c r="M415" s="78"/>
      <c r="N415" s="78"/>
      <c r="O415" s="78"/>
      <c r="P415" s="78"/>
      <c r="Q415" s="78"/>
      <c r="R415" s="78"/>
      <c r="S415" s="78"/>
      <c r="T415" s="78"/>
      <c r="U415" s="78"/>
      <c r="V415" s="78"/>
      <c r="W415" s="139"/>
      <c r="AZ415" s="95">
        <f>$AZ257*'Assumptions (NG Midstream)'!B$76</f>
        <v>0.0656681824</v>
      </c>
      <c r="BA415" s="95">
        <f>$AZ257*'Assumptions (NG Midstream)'!C$76</f>
        <v>0.126415629</v>
      </c>
      <c r="BB415" s="95">
        <f>$AZ257*'Assumptions (NG Midstream)'!D$76</f>
        <v>0.1169243877</v>
      </c>
      <c r="BC415" s="95">
        <f>$AZ257*'Assumptions (NG Midstream)'!E$76</f>
        <v>0.1081686301</v>
      </c>
      <c r="BD415" s="95">
        <f>$AZ257*'Assumptions (NG Midstream)'!F$76</f>
        <v>0.100043287</v>
      </c>
      <c r="BE415" s="95">
        <f>$AZ257*'Assumptions (NG Midstream)'!G$76</f>
        <v>0.0925483584</v>
      </c>
      <c r="BF415" s="95">
        <f>$AZ257*'Assumptions (NG Midstream)'!H$76</f>
        <v>0.08559628682</v>
      </c>
      <c r="BG415" s="95">
        <f>$AZ257*'Assumptions (NG Midstream)'!I$76</f>
        <v>0.07918707222</v>
      </c>
      <c r="BH415" s="95">
        <f>$AZ257*'Assumptions (NG Midstream)'!J$76</f>
        <v>0.0781363813</v>
      </c>
      <c r="BI415" s="95">
        <f>$AZ257*'Assumptions (NG Midstream)'!K$76</f>
        <v>0.07811886979</v>
      </c>
      <c r="BJ415" s="95">
        <f>$AZ257*'Assumptions (NG Midstream)'!L$76</f>
        <v>0.0781363813</v>
      </c>
      <c r="BK415" s="95">
        <f>$AZ257*'Assumptions (NG Midstream)'!M$76</f>
        <v>0.07811886979</v>
      </c>
      <c r="BL415" s="95">
        <f>$AZ257*'Assumptions (NG Midstream)'!N$76</f>
        <v>0.0781363813</v>
      </c>
      <c r="BM415" s="95">
        <f>$AZ257*'Assumptions (NG Midstream)'!O$76</f>
        <v>0.07811886979</v>
      </c>
      <c r="BN415" s="95">
        <f>$AZ257*'Assumptions (NG Midstream)'!P$76</f>
        <v>0.0781363813</v>
      </c>
      <c r="BO415" s="95">
        <f>$AZ257*'Assumptions (NG Midstream)'!Q$76</f>
        <v>0.07811886979</v>
      </c>
      <c r="BP415" s="95">
        <f>$AZ257*'Assumptions (NG Midstream)'!R$76</f>
        <v>0.0781363813</v>
      </c>
      <c r="BQ415" s="95">
        <f>$AZ257*'Assumptions (NG Midstream)'!S$76</f>
        <v>0.07811886979</v>
      </c>
      <c r="BR415" s="95">
        <f>$AZ257*'Assumptions (NG Midstream)'!T$76</f>
        <v>0.0781363813</v>
      </c>
      <c r="BS415" s="95">
        <f>$AZ257*'Assumptions (NG Midstream)'!U$76</f>
        <v>0.07811886979</v>
      </c>
      <c r="BT415" s="95">
        <f>$AZ257*'Assumptions (NG Midstream)'!V$76</f>
        <v>0.03906819065</v>
      </c>
    </row>
    <row r="416" ht="15.75" hidden="1" customHeight="1" outlineLevel="1">
      <c r="A416" s="189"/>
      <c r="B416" s="38"/>
      <c r="C416" s="78"/>
      <c r="D416" s="78"/>
      <c r="E416" s="78"/>
      <c r="F416" s="78"/>
      <c r="G416" s="78"/>
      <c r="H416" s="78"/>
      <c r="I416" s="78"/>
      <c r="J416" s="78"/>
      <c r="K416" s="78"/>
      <c r="L416" s="78"/>
      <c r="M416" s="78"/>
      <c r="N416" s="78"/>
      <c r="O416" s="78"/>
      <c r="P416" s="78"/>
      <c r="Q416" s="78"/>
      <c r="R416" s="78"/>
      <c r="S416" s="78"/>
      <c r="T416" s="78"/>
      <c r="U416" s="78"/>
      <c r="V416" s="78"/>
      <c r="W416" s="139"/>
      <c r="BA416" s="95">
        <f>$BA257*'Assumptions (NG Midstream)'!B$76</f>
        <v>0.06567370392</v>
      </c>
      <c r="BB416" s="95">
        <f>$BA257*'Assumptions (NG Midstream)'!C$76</f>
        <v>0.1264262583</v>
      </c>
      <c r="BC416" s="95">
        <f>$BA257*'Assumptions (NG Midstream)'!D$76</f>
        <v>0.116934219</v>
      </c>
      <c r="BD416" s="95">
        <f>$BA257*'Assumptions (NG Midstream)'!E$76</f>
        <v>0.1081777251</v>
      </c>
      <c r="BE416" s="95">
        <f>$BA257*'Assumptions (NG Midstream)'!F$76</f>
        <v>0.1000516988</v>
      </c>
      <c r="BF416" s="95">
        <f>$BA257*'Assumptions (NG Midstream)'!G$76</f>
        <v>0.09255614006</v>
      </c>
      <c r="BG416" s="95">
        <f>$BA257*'Assumptions (NG Midstream)'!H$76</f>
        <v>0.08560348394</v>
      </c>
      <c r="BH416" s="95">
        <f>$BA257*'Assumptions (NG Midstream)'!I$76</f>
        <v>0.07919373043</v>
      </c>
      <c r="BI416" s="95">
        <f>$BA257*'Assumptions (NG Midstream)'!J$76</f>
        <v>0.07814295117</v>
      </c>
      <c r="BJ416" s="95">
        <f>$BA257*'Assumptions (NG Midstream)'!K$76</f>
        <v>0.07812543818</v>
      </c>
      <c r="BK416" s="95">
        <f>$BA257*'Assumptions (NG Midstream)'!L$76</f>
        <v>0.07814295117</v>
      </c>
      <c r="BL416" s="95">
        <f>$BA257*'Assumptions (NG Midstream)'!M$76</f>
        <v>0.07812543818</v>
      </c>
      <c r="BM416" s="95">
        <f>$BA257*'Assumptions (NG Midstream)'!N$76</f>
        <v>0.07814295117</v>
      </c>
      <c r="BN416" s="95">
        <f>$BA257*'Assumptions (NG Midstream)'!O$76</f>
        <v>0.07812543818</v>
      </c>
      <c r="BO416" s="95">
        <f>$BA257*'Assumptions (NG Midstream)'!P$76</f>
        <v>0.07814295117</v>
      </c>
      <c r="BP416" s="95">
        <f>$BA257*'Assumptions (NG Midstream)'!Q$76</f>
        <v>0.07812543818</v>
      </c>
      <c r="BQ416" s="95">
        <f>$BA257*'Assumptions (NG Midstream)'!R$76</f>
        <v>0.07814295117</v>
      </c>
      <c r="BR416" s="95">
        <f>$BA257*'Assumptions (NG Midstream)'!S$76</f>
        <v>0.07812543818</v>
      </c>
      <c r="BS416" s="95">
        <f>$BA257*'Assumptions (NG Midstream)'!T$76</f>
        <v>0.07814295117</v>
      </c>
      <c r="BT416" s="95">
        <f>$BA257*'Assumptions (NG Midstream)'!U$76</f>
        <v>0.07812543818</v>
      </c>
      <c r="BU416" s="95">
        <f>$BA257*'Assumptions (NG Midstream)'!V$76</f>
        <v>0.03907147559</v>
      </c>
    </row>
    <row r="417" ht="15.75" customHeight="1" collapsed="1">
      <c r="A417" s="187" t="s">
        <v>374</v>
      </c>
      <c r="B417" s="159" t="s">
        <v>351</v>
      </c>
      <c r="C417" s="190">
        <f>(1+'Assumptions (NG Midstream)'!B67)*'Assumptions (NG Midstream)'!B64</f>
        <v>17.12035586</v>
      </c>
      <c r="D417" s="190">
        <f>(1+'Assumptions (NG Midstream)'!C67)*'Assumptions (NG Midstream)'!C64</f>
        <v>16.90073823</v>
      </c>
      <c r="E417" s="190">
        <f>(1+'Assumptions (NG Midstream)'!D67)*'Assumptions (NG Midstream)'!D64</f>
        <v>16.0126708</v>
      </c>
      <c r="F417" s="190">
        <f>(1+'Assumptions (NG Midstream)'!E67)*'Assumptions (NG Midstream)'!E64</f>
        <v>17.13519476</v>
      </c>
      <c r="G417" s="190">
        <f>(1+'Assumptions (NG Midstream)'!F67)*'Assumptions (NG Midstream)'!F64</f>
        <v>18.04638208</v>
      </c>
      <c r="H417" s="190">
        <f>(1+'Assumptions (NG Midstream)'!G67)*'Assumptions (NG Midstream)'!G64</f>
        <v>20.05461085</v>
      </c>
      <c r="I417" s="190">
        <f>(1+'Assumptions (NG Midstream)'!H67)*'Assumptions (NG Midstream)'!H64</f>
        <v>20.10531473</v>
      </c>
      <c r="J417" s="190">
        <f>(1+'Assumptions (NG Midstream)'!I67)*'Assumptions (NG Midstream)'!I64</f>
        <v>26.19421851</v>
      </c>
      <c r="K417" s="190">
        <f>(1+'Assumptions (NG Midstream)'!J67)*'Assumptions (NG Midstream)'!J64</f>
        <v>23.26296612</v>
      </c>
      <c r="L417" s="190">
        <f>(1+'Assumptions (NG Midstream)'!K67)*'Assumptions (NG Midstream)'!K64</f>
        <v>21.81501251</v>
      </c>
      <c r="M417" s="190">
        <f>(1+'Assumptions (NG Midstream)'!L67)*'Assumptions (NG Midstream)'!L64</f>
        <v>23.00147298</v>
      </c>
      <c r="N417" s="190">
        <f>(1+'Assumptions (NG Midstream)'!M67)*'Assumptions (NG Midstream)'!M64</f>
        <v>24.76618651</v>
      </c>
      <c r="O417" s="190">
        <f>(1+'Assumptions (NG Midstream)'!N67)*'Assumptions (NG Midstream)'!N64</f>
        <v>25.98546505</v>
      </c>
      <c r="P417" s="190">
        <f>(1+'Assumptions (NG Midstream)'!O67)*'Assumptions (NG Midstream)'!O64</f>
        <v>25.58715561</v>
      </c>
      <c r="Q417" s="190">
        <f>(1+'Assumptions (NG Midstream)'!P67)*'Assumptions (NG Midstream)'!P64</f>
        <v>28.85954173</v>
      </c>
      <c r="R417" s="190">
        <f>(1+'Assumptions (NG Midstream)'!Q67)*'Assumptions (NG Midstream)'!Q64</f>
        <v>28.0056575</v>
      </c>
      <c r="S417" s="190">
        <f>(1+'Assumptions (NG Midstream)'!R67)*'Assumptions (NG Midstream)'!R64</f>
        <v>26.06420109</v>
      </c>
      <c r="T417" s="190">
        <f>(1+'Assumptions (NG Midstream)'!S67)*'Assumptions (NG Midstream)'!S64</f>
        <v>27.81258621</v>
      </c>
      <c r="U417" s="190">
        <f>(1+'Assumptions (NG Midstream)'!T67)*'Assumptions (NG Midstream)'!T64</f>
        <v>28.52678077</v>
      </c>
      <c r="V417" s="190">
        <f>(1+'Assumptions (NG Midstream)'!U67)*'Assumptions (NG Midstream)'!U64</f>
        <v>28.49211199</v>
      </c>
      <c r="W417" s="190">
        <f>(1+'Assumptions (NG Midstream)'!V67)*'Assumptions (NG Midstream)'!V64</f>
        <v>28.72864025</v>
      </c>
      <c r="X417" s="190">
        <f>(1+'Assumptions (NG Midstream)'!W67)*'Assumptions (NG Midstream)'!W64</f>
        <v>28.84719078</v>
      </c>
      <c r="Y417" s="190">
        <f>(1+'Assumptions (NG Midstream)'!X67)*'Assumptions (NG Midstream)'!X64</f>
        <v>28.95931603</v>
      </c>
      <c r="Z417" s="190">
        <f>(1+'Assumptions (NG Midstream)'!Y67)*'Assumptions (NG Midstream)'!Y64</f>
        <v>29.04042035</v>
      </c>
      <c r="AA417" s="190">
        <f>(1+'Assumptions (NG Midstream)'!Z67)*'Assumptions (NG Midstream)'!Z64</f>
        <v>29.18587623</v>
      </c>
      <c r="AB417" s="190">
        <f>(1+'Assumptions (NG Midstream)'!AA67)*'Assumptions (NG Midstream)'!AA64</f>
        <v>29.28740375</v>
      </c>
      <c r="AC417" s="190">
        <f>(1+'Assumptions (NG Midstream)'!AB67)*'Assumptions (NG Midstream)'!AB64</f>
        <v>29.44242003</v>
      </c>
      <c r="AD417" s="190">
        <f>(1+'Assumptions (NG Midstream)'!AC67)*'Assumptions (NG Midstream)'!AC64</f>
        <v>29.55429101</v>
      </c>
      <c r="AE417" s="190">
        <f>(1+'Assumptions (NG Midstream)'!AD67)*'Assumptions (NG Midstream)'!AD64</f>
        <v>29.64358586</v>
      </c>
      <c r="AF417" s="190">
        <f>(1+'Assumptions (NG Midstream)'!AE67)*'Assumptions (NG Midstream)'!AE64</f>
        <v>29.66468968</v>
      </c>
      <c r="AG417" s="190">
        <f>(1+'Assumptions (NG Midstream)'!AF67)*'Assumptions (NG Midstream)'!AF64</f>
        <v>29.59344346</v>
      </c>
      <c r="AH417" s="190">
        <f>(1+'Assumptions (NG Midstream)'!AG67)*'Assumptions (NG Midstream)'!AG64</f>
        <v>29.595202</v>
      </c>
      <c r="AI417" s="190">
        <f>(1+'Assumptions (NG Midstream)'!AH67)*'Assumptions (NG Midstream)'!AH64</f>
        <v>29.6493939</v>
      </c>
      <c r="AJ417" s="190">
        <f>(1+'Assumptions (NG Midstream)'!AI67)*'Assumptions (NG Midstream)'!AI64</f>
        <v>29.68628459</v>
      </c>
      <c r="AK417" s="190">
        <f>(1+'Assumptions (NG Midstream)'!AJ67)*'Assumptions (NG Midstream)'!AJ64</f>
        <v>29.74597407</v>
      </c>
      <c r="AL417" s="190">
        <f>(1+'Assumptions (NG Midstream)'!AK67)*'Assumptions (NG Midstream)'!AK64</f>
        <v>29.78108206</v>
      </c>
      <c r="AM417" s="190">
        <f>(1+'Assumptions (NG Midstream)'!AL67)*'Assumptions (NG Midstream)'!AL64</f>
        <v>29.81606126</v>
      </c>
      <c r="AN417" s="190">
        <f>(1+'Assumptions (NG Midstream)'!AM67)*'Assumptions (NG Midstream)'!AM64</f>
        <v>29.83830051</v>
      </c>
      <c r="AO417" s="190">
        <f>(1+'Assumptions (NG Midstream)'!AN67)*'Assumptions (NG Midstream)'!AN64</f>
        <v>29.86675324</v>
      </c>
      <c r="AP417" s="190">
        <f>(1+'Assumptions (NG Midstream)'!AO67)*'Assumptions (NG Midstream)'!AO64</f>
        <v>29.8848193</v>
      </c>
      <c r="AQ417" s="190">
        <f>(1+'Assumptions (NG Midstream)'!AP67)*'Assumptions (NG Midstream)'!AP64</f>
        <v>29.90611252</v>
      </c>
      <c r="AR417" s="190">
        <f>(1+'Assumptions (NG Midstream)'!AQ67)*'Assumptions (NG Midstream)'!AQ64</f>
        <v>29.92006623</v>
      </c>
      <c r="AS417" s="190">
        <f>(1+'Assumptions (NG Midstream)'!AR67)*'Assumptions (NG Midstream)'!AR64</f>
        <v>29.94454324</v>
      </c>
      <c r="AT417" s="190">
        <f>(1+'Assumptions (NG Midstream)'!AS67)*'Assumptions (NG Midstream)'!AS64</f>
        <v>29.96627535</v>
      </c>
      <c r="AU417" s="190">
        <f>(1+'Assumptions (NG Midstream)'!AT67)*'Assumptions (NG Midstream)'!AT64</f>
        <v>30.00847213</v>
      </c>
      <c r="AV417" s="190">
        <f>(1+'Assumptions (NG Midstream)'!AU67)*'Assumptions (NG Midstream)'!AU64</f>
        <v>30.03354605</v>
      </c>
      <c r="AW417" s="190">
        <f>(1+'Assumptions (NG Midstream)'!AV67)*'Assumptions (NG Midstream)'!AV64</f>
        <v>30.04708958</v>
      </c>
      <c r="AX417" s="190">
        <f>(1+'Assumptions (NG Midstream)'!AW67)*'Assumptions (NG Midstream)'!AW64</f>
        <v>30.07578314</v>
      </c>
      <c r="AY417" s="190">
        <f>(1+'Assumptions (NG Midstream)'!AX67)*'Assumptions (NG Midstream)'!AX64</f>
        <v>30.12114121</v>
      </c>
      <c r="AZ417" s="190">
        <f>(1+'Assumptions (NG Midstream)'!AY67)*'Assumptions (NG Midstream)'!AY64</f>
        <v>30.14737491</v>
      </c>
      <c r="BA417" s="190">
        <f>(1+'Assumptions (NG Midstream)'!AZ67)*'Assumptions (NG Midstream)'!AZ64</f>
        <v>30.1830507</v>
      </c>
    </row>
    <row r="418" ht="15.75" customHeight="1">
      <c r="A418" s="187" t="s">
        <v>62</v>
      </c>
      <c r="B418" s="159" t="s">
        <v>351</v>
      </c>
      <c r="C418" s="95">
        <f t="shared" ref="C418:BA418" si="10">C417-C253-C259+C260</f>
        <v>2.716033605</v>
      </c>
      <c r="D418" s="95">
        <f t="shared" si="10"/>
        <v>2.496351423</v>
      </c>
      <c r="E418" s="95">
        <f t="shared" si="10"/>
        <v>2.154060347</v>
      </c>
      <c r="F418" s="95">
        <f t="shared" si="10"/>
        <v>1.789435271</v>
      </c>
      <c r="G418" s="95">
        <f t="shared" si="10"/>
        <v>3.323012293</v>
      </c>
      <c r="H418" s="95">
        <f t="shared" si="10"/>
        <v>3.477661036</v>
      </c>
      <c r="I418" s="95">
        <f t="shared" si="10"/>
        <v>2.895204969</v>
      </c>
      <c r="J418" s="95">
        <f t="shared" si="10"/>
        <v>2.482668311</v>
      </c>
      <c r="K418" s="95">
        <f t="shared" si="10"/>
        <v>-0.5810524469</v>
      </c>
      <c r="L418" s="95">
        <f t="shared" si="10"/>
        <v>-2.635951757</v>
      </c>
      <c r="M418" s="95">
        <f t="shared" si="10"/>
        <v>2.174218276</v>
      </c>
      <c r="N418" s="95">
        <f t="shared" si="10"/>
        <v>-2.310732509</v>
      </c>
      <c r="O418" s="95">
        <f t="shared" si="10"/>
        <v>2.163910847</v>
      </c>
      <c r="P418" s="95">
        <f t="shared" si="10"/>
        <v>0.9813573054</v>
      </c>
      <c r="Q418" s="95">
        <f t="shared" si="10"/>
        <v>2.308845685</v>
      </c>
      <c r="R418" s="95">
        <f t="shared" si="10"/>
        <v>0.5249386836</v>
      </c>
      <c r="S418" s="95">
        <f t="shared" si="10"/>
        <v>0.9926006028</v>
      </c>
      <c r="T418" s="95">
        <f t="shared" si="10"/>
        <v>0.5435789911</v>
      </c>
      <c r="U418" s="95">
        <f t="shared" si="10"/>
        <v>3.581207481</v>
      </c>
      <c r="V418" s="95">
        <f t="shared" si="10"/>
        <v>2.45614905</v>
      </c>
      <c r="W418" s="95">
        <f t="shared" si="10"/>
        <v>2.853898815</v>
      </c>
      <c r="X418" s="95">
        <f t="shared" si="10"/>
        <v>2.866106393</v>
      </c>
      <c r="Y418" s="95">
        <f t="shared" si="10"/>
        <v>2.756128052</v>
      </c>
      <c r="Z418" s="95">
        <f t="shared" si="10"/>
        <v>3.223926052</v>
      </c>
      <c r="AA418" s="95">
        <f t="shared" si="10"/>
        <v>4.09384924</v>
      </c>
      <c r="AB418" s="95">
        <f t="shared" si="10"/>
        <v>4.261976845</v>
      </c>
      <c r="AC418" s="95">
        <f t="shared" si="10"/>
        <v>5.313824288</v>
      </c>
      <c r="AD418" s="95">
        <f t="shared" si="10"/>
        <v>5.552219892</v>
      </c>
      <c r="AE418" s="95">
        <f t="shared" si="10"/>
        <v>5.997981585</v>
      </c>
      <c r="AF418" s="95">
        <f t="shared" si="10"/>
        <v>6.225745511</v>
      </c>
      <c r="AG418" s="95">
        <f t="shared" si="10"/>
        <v>6.403232867</v>
      </c>
      <c r="AH418" s="95">
        <f t="shared" si="10"/>
        <v>6.652975163</v>
      </c>
      <c r="AI418" s="95">
        <f t="shared" si="10"/>
        <v>7.179629541</v>
      </c>
      <c r="AJ418" s="95">
        <f t="shared" si="10"/>
        <v>7.028742892</v>
      </c>
      <c r="AK418" s="95">
        <f t="shared" si="10"/>
        <v>7.192361204</v>
      </c>
      <c r="AL418" s="95">
        <f t="shared" si="10"/>
        <v>7.207221431</v>
      </c>
      <c r="AM418" s="95">
        <f t="shared" si="10"/>
        <v>7.273209116</v>
      </c>
      <c r="AN418" s="95">
        <f t="shared" si="10"/>
        <v>7.287354353</v>
      </c>
      <c r="AO418" s="95">
        <f t="shared" si="10"/>
        <v>7.385872098</v>
      </c>
      <c r="AP418" s="95">
        <f t="shared" si="10"/>
        <v>7.426076959</v>
      </c>
      <c r="AQ418" s="95">
        <f t="shared" si="10"/>
        <v>7.525325268</v>
      </c>
      <c r="AR418" s="95">
        <f t="shared" si="10"/>
        <v>7.515896909</v>
      </c>
      <c r="AS418" s="95">
        <f t="shared" si="10"/>
        <v>7.569695212</v>
      </c>
      <c r="AT418" s="95">
        <f t="shared" si="10"/>
        <v>7.489589439</v>
      </c>
      <c r="AU418" s="95">
        <f t="shared" si="10"/>
        <v>7.554223486</v>
      </c>
      <c r="AV418" s="95">
        <f t="shared" si="10"/>
        <v>7.611041503</v>
      </c>
      <c r="AW418" s="95">
        <f t="shared" si="10"/>
        <v>7.572296962</v>
      </c>
      <c r="AX418" s="95">
        <f t="shared" si="10"/>
        <v>7.528808762</v>
      </c>
      <c r="AY418" s="95">
        <f t="shared" si="10"/>
        <v>7.641061138</v>
      </c>
      <c r="AZ418" s="95">
        <f t="shared" si="10"/>
        <v>7.612907892</v>
      </c>
      <c r="BA418" s="95">
        <f t="shared" si="10"/>
        <v>7.627847261</v>
      </c>
    </row>
    <row r="419" ht="15.75" customHeight="1">
      <c r="A419" s="187" t="s">
        <v>375</v>
      </c>
      <c r="B419" s="159" t="s">
        <v>351</v>
      </c>
      <c r="C419" s="95"/>
      <c r="D419" s="95"/>
      <c r="E419" s="95"/>
      <c r="F419" s="95"/>
      <c r="G419" s="95"/>
      <c r="H419" s="95"/>
      <c r="I419" s="95"/>
      <c r="J419" s="95"/>
      <c r="K419" s="95"/>
      <c r="L419" s="95"/>
      <c r="M419" s="95"/>
      <c r="N419" s="95"/>
      <c r="O419" s="95"/>
      <c r="P419" s="95"/>
      <c r="Q419" s="95"/>
      <c r="R419" s="95"/>
      <c r="S419" s="95"/>
      <c r="T419" s="95"/>
      <c r="U419" s="95"/>
      <c r="V419" s="95"/>
      <c r="W419" s="95"/>
      <c r="X419" s="95"/>
      <c r="Y419" s="95"/>
      <c r="Z419" s="95"/>
      <c r="AA419" s="95"/>
      <c r="AB419" s="95"/>
      <c r="AC419" s="95"/>
      <c r="AD419" s="95"/>
      <c r="AE419" s="95"/>
      <c r="AF419" s="95"/>
      <c r="AG419" s="95"/>
      <c r="AH419" s="95"/>
      <c r="AI419" s="95"/>
      <c r="AJ419" s="95"/>
      <c r="AK419" s="95"/>
      <c r="AL419" s="95"/>
      <c r="AM419" s="95"/>
      <c r="AN419" s="95"/>
      <c r="AO419" s="95"/>
      <c r="AP419" s="95"/>
      <c r="AQ419" s="95"/>
      <c r="AR419" s="95"/>
      <c r="AS419" s="95"/>
      <c r="AT419" s="95"/>
      <c r="AU419" s="95"/>
      <c r="AV419" s="95"/>
      <c r="AW419" s="95"/>
      <c r="AX419" s="95"/>
      <c r="AY419" s="95"/>
      <c r="AZ419" s="95"/>
      <c r="BA419" s="95"/>
    </row>
    <row r="420" ht="15.75" customHeight="1">
      <c r="A420" s="189"/>
      <c r="B420" s="21"/>
      <c r="C420" s="78"/>
      <c r="D420" s="78"/>
      <c r="E420" s="78"/>
      <c r="F420" s="78"/>
      <c r="G420" s="78"/>
      <c r="H420" s="78"/>
      <c r="I420" s="78"/>
      <c r="J420" s="78"/>
      <c r="K420" s="78"/>
      <c r="L420" s="78"/>
      <c r="M420" s="78"/>
      <c r="N420" s="191"/>
      <c r="O420" s="191"/>
      <c r="P420" s="191"/>
      <c r="Q420" s="191"/>
      <c r="R420" s="191"/>
      <c r="S420" s="191"/>
      <c r="T420" s="191"/>
      <c r="U420" s="191"/>
      <c r="V420" s="191"/>
      <c r="W420" s="191"/>
      <c r="X420" s="191"/>
      <c r="Y420" s="191"/>
      <c r="Z420" s="191"/>
      <c r="AA420" s="191"/>
      <c r="AB420" s="191"/>
      <c r="AC420" s="191"/>
      <c r="AD420" s="191"/>
      <c r="AE420" s="191"/>
      <c r="AF420" s="191"/>
      <c r="AG420" s="191"/>
      <c r="AH420" s="191"/>
      <c r="AI420" s="191"/>
      <c r="AJ420" s="191"/>
      <c r="AK420" s="191"/>
      <c r="AL420" s="191"/>
      <c r="AM420" s="191"/>
      <c r="AN420" s="191"/>
      <c r="AO420" s="191"/>
      <c r="AP420" s="191"/>
      <c r="AQ420" s="191"/>
      <c r="AR420" s="191"/>
      <c r="AS420" s="191"/>
      <c r="AT420" s="191"/>
      <c r="AU420" s="191"/>
      <c r="AV420" s="191"/>
      <c r="AW420" s="191"/>
      <c r="AX420" s="191"/>
      <c r="AY420" s="191"/>
      <c r="AZ420" s="191"/>
      <c r="BA420" s="191"/>
    </row>
    <row r="421" ht="15.75" customHeight="1">
      <c r="A421" s="192" t="s">
        <v>376</v>
      </c>
      <c r="B421" s="143" t="s">
        <v>377</v>
      </c>
      <c r="C421" s="21"/>
      <c r="D421" s="38"/>
      <c r="E421" s="38"/>
      <c r="F421" s="38"/>
      <c r="G421" s="38"/>
      <c r="H421" s="38"/>
      <c r="I421" s="38"/>
      <c r="J421" s="38"/>
      <c r="K421" s="38"/>
      <c r="L421" s="38"/>
      <c r="M421" s="38"/>
      <c r="N421" s="193"/>
      <c r="O421" s="193"/>
      <c r="P421" s="193"/>
      <c r="Q421" s="193"/>
      <c r="R421" s="193"/>
      <c r="S421" s="193"/>
      <c r="T421" s="193"/>
      <c r="U421" s="193"/>
      <c r="V421" s="193"/>
      <c r="W421" s="193"/>
      <c r="X421" s="52">
        <f>'Assumptions (NG)'!W64</f>
        <v>564.1</v>
      </c>
      <c r="Y421" s="52">
        <f>'Assumptions (NG)'!X64</f>
        <v>0</v>
      </c>
      <c r="Z421" s="52">
        <f>'Assumptions (NG)'!Y64</f>
        <v>0</v>
      </c>
      <c r="AA421" s="52">
        <f>'Assumptions (NG)'!Z64</f>
        <v>73</v>
      </c>
      <c r="AB421" s="52">
        <f>'Assumptions (NG)'!AA64</f>
        <v>0</v>
      </c>
      <c r="AC421" s="52">
        <f>'Assumptions (NG)'!AB64</f>
        <v>0</v>
      </c>
      <c r="AD421" s="52">
        <f>'Assumptions (NG)'!AC64</f>
        <v>0</v>
      </c>
      <c r="AE421" s="52">
        <f>'Assumptions (NG)'!AD64</f>
        <v>0</v>
      </c>
      <c r="AF421" s="52">
        <f>'Assumptions (NG)'!AE64</f>
        <v>12</v>
      </c>
      <c r="AG421" s="52">
        <f>'Assumptions (NG)'!AF64</f>
        <v>55.2</v>
      </c>
      <c r="AH421" s="52">
        <f>'Assumptions (NG)'!AG64</f>
        <v>0</v>
      </c>
      <c r="AI421" s="52">
        <f>'Assumptions (NG)'!AH64</f>
        <v>113</v>
      </c>
      <c r="AJ421" s="52">
        <f>'Assumptions (NG)'!AI64</f>
        <v>216.5</v>
      </c>
      <c r="AK421" s="52">
        <f>'Assumptions (NG)'!AJ64</f>
        <v>207.7</v>
      </c>
      <c r="AL421" s="52">
        <f>'Assumptions (NG)'!AK64</f>
        <v>219.5</v>
      </c>
      <c r="AM421" s="52">
        <f>'Assumptions (NG)'!AL64</f>
        <v>2279.2</v>
      </c>
      <c r="AN421" s="52">
        <f>'Assumptions (NG)'!AM64</f>
        <v>3035</v>
      </c>
      <c r="AO421" s="52">
        <f>'Assumptions (NG)'!AN64</f>
        <v>6868.7</v>
      </c>
      <c r="AP421" s="52">
        <f>'Assumptions (NG)'!AO64</f>
        <v>8469.4</v>
      </c>
      <c r="AQ421" s="52">
        <f>'Assumptions (NG)'!AP64</f>
        <v>2474.3</v>
      </c>
      <c r="AR421" s="52">
        <f>'Assumptions (NG)'!AQ64</f>
        <v>1376.6</v>
      </c>
      <c r="AS421" s="52">
        <f>'Assumptions (NG)'!AR64</f>
        <v>850.5</v>
      </c>
      <c r="AT421" s="52">
        <f>'Assumptions (NG)'!AS64</f>
        <v>0</v>
      </c>
      <c r="AU421" s="52">
        <f>'Assumptions (NG)'!AT64</f>
        <v>688.1</v>
      </c>
      <c r="AV421" s="52">
        <f>'Assumptions (NG)'!AU64</f>
        <v>0</v>
      </c>
      <c r="AW421" s="52">
        <f>'Assumptions (NG)'!AV64</f>
        <v>1427.2</v>
      </c>
      <c r="AX421" s="52">
        <f>'Assumptions (NG)'!AW64</f>
        <v>2191.4</v>
      </c>
      <c r="AY421" s="52">
        <f>'Assumptions (NG)'!AX64</f>
        <v>4461.8</v>
      </c>
      <c r="AZ421" s="52">
        <f>'Assumptions (NG)'!AY64</f>
        <v>730</v>
      </c>
      <c r="BA421" s="52">
        <f>'Assumptions (NG)'!AZ64</f>
        <v>840</v>
      </c>
    </row>
    <row r="422" ht="15.75" customHeight="1">
      <c r="A422" s="192"/>
      <c r="B422" s="143" t="s">
        <v>378</v>
      </c>
      <c r="C422" s="21"/>
      <c r="D422" s="21"/>
      <c r="E422" s="21"/>
      <c r="F422" s="21"/>
      <c r="G422" s="21"/>
      <c r="H422" s="21"/>
      <c r="I422" s="21"/>
      <c r="J422" s="21"/>
      <c r="K422" s="38"/>
      <c r="L422" s="38"/>
      <c r="M422" s="38"/>
      <c r="N422" s="193"/>
      <c r="O422" s="193"/>
      <c r="P422" s="193"/>
      <c r="Q422" s="193"/>
      <c r="R422" s="193"/>
      <c r="S422" s="193"/>
      <c r="T422" s="193"/>
      <c r="U422" s="193"/>
      <c r="V422" s="193"/>
      <c r="W422" s="193"/>
      <c r="X422" s="194">
        <f>W426-X421+W438</f>
        <v>39150.6</v>
      </c>
      <c r="Y422" s="52">
        <f t="shared" ref="Y422:BA422" si="11">X422-Y421+X438</f>
        <v>40423.32658</v>
      </c>
      <c r="Z422" s="52">
        <f t="shared" si="11"/>
        <v>41131.95316</v>
      </c>
      <c r="AA422" s="52">
        <f t="shared" si="11"/>
        <v>41767.57974</v>
      </c>
      <c r="AB422" s="52">
        <f t="shared" si="11"/>
        <v>42549.20632</v>
      </c>
      <c r="AC422" s="52">
        <f t="shared" si="11"/>
        <v>43257.8329</v>
      </c>
      <c r="AD422" s="52">
        <f t="shared" si="11"/>
        <v>43966.45948</v>
      </c>
      <c r="AE422" s="52">
        <f t="shared" si="11"/>
        <v>44675.08606</v>
      </c>
      <c r="AF422" s="52">
        <f t="shared" si="11"/>
        <v>45371.71264</v>
      </c>
      <c r="AG422" s="52">
        <f t="shared" si="11"/>
        <v>46037.13922</v>
      </c>
      <c r="AH422" s="52">
        <f t="shared" si="11"/>
        <v>46800.9658</v>
      </c>
      <c r="AI422" s="52">
        <f t="shared" si="11"/>
        <v>47396.59238</v>
      </c>
      <c r="AJ422" s="52">
        <f t="shared" si="11"/>
        <v>48001.71896</v>
      </c>
      <c r="AK422" s="52">
        <f t="shared" si="11"/>
        <v>48719.14554</v>
      </c>
      <c r="AL422" s="52">
        <f t="shared" si="11"/>
        <v>49415.97212</v>
      </c>
      <c r="AM422" s="52">
        <f t="shared" si="11"/>
        <v>48064.8987</v>
      </c>
      <c r="AN422" s="52">
        <f t="shared" si="11"/>
        <v>48017.72529</v>
      </c>
      <c r="AO422" s="52">
        <f t="shared" si="11"/>
        <v>44892.65187</v>
      </c>
      <c r="AP422" s="52">
        <f t="shared" si="11"/>
        <v>44000.57845</v>
      </c>
      <c r="AQ422" s="52">
        <f t="shared" si="11"/>
        <v>50704.30503</v>
      </c>
      <c r="AR422" s="52">
        <f t="shared" si="11"/>
        <v>52510.63161</v>
      </c>
      <c r="AS422" s="52">
        <f t="shared" si="11"/>
        <v>53745.35819</v>
      </c>
      <c r="AT422" s="52">
        <f t="shared" si="11"/>
        <v>55304.48477</v>
      </c>
      <c r="AU422" s="52">
        <f t="shared" si="11"/>
        <v>55325.01135</v>
      </c>
      <c r="AV422" s="52">
        <f t="shared" si="11"/>
        <v>56721.73793</v>
      </c>
      <c r="AW422" s="52">
        <f t="shared" si="11"/>
        <v>56003.16451</v>
      </c>
      <c r="AX422" s="52">
        <f t="shared" si="11"/>
        <v>55947.59109</v>
      </c>
      <c r="AY422" s="52">
        <f t="shared" si="11"/>
        <v>54385.81767</v>
      </c>
      <c r="AZ422" s="52">
        <f t="shared" si="11"/>
        <v>58826.24425</v>
      </c>
      <c r="BA422" s="52">
        <f t="shared" si="11"/>
        <v>59424.87083</v>
      </c>
    </row>
    <row r="423" ht="15.75" customHeight="1">
      <c r="A423" s="195"/>
      <c r="B423" s="143" t="s">
        <v>379</v>
      </c>
      <c r="C423" s="172"/>
      <c r="D423" s="172"/>
      <c r="E423" s="172"/>
      <c r="F423" s="172"/>
      <c r="G423" s="172"/>
      <c r="H423" s="172"/>
      <c r="I423" s="172"/>
      <c r="J423" s="172"/>
      <c r="K423" s="172"/>
      <c r="L423" s="172"/>
      <c r="M423" s="172"/>
      <c r="N423" s="172"/>
      <c r="O423" s="172"/>
      <c r="P423" s="172"/>
      <c r="Q423" s="172"/>
      <c r="R423" s="172"/>
      <c r="S423" s="172"/>
      <c r="T423" s="196"/>
      <c r="U423" s="197"/>
      <c r="V423" s="198"/>
      <c r="W423" s="198"/>
      <c r="X423" s="52">
        <f>'Assumptions (NG)'!W189</f>
        <v>4738.8</v>
      </c>
      <c r="Y423" s="199">
        <f>'Assumptions (NG)'!X189</f>
        <v>768.2</v>
      </c>
      <c r="Z423" s="52">
        <f>'Assumptions (NG)'!Y189</f>
        <v>578</v>
      </c>
      <c r="AA423" s="52">
        <f>'Assumptions (NG)'!Z189</f>
        <v>941</v>
      </c>
      <c r="AB423" s="52">
        <f>'Assumptions (NG)'!AA189</f>
        <v>2261.4</v>
      </c>
      <c r="AC423" s="52">
        <f>'Assumptions (NG)'!AB189</f>
        <v>28.8</v>
      </c>
      <c r="AD423" s="52">
        <f>'Assumptions (NG)'!AC189</f>
        <v>28.8</v>
      </c>
      <c r="AE423" s="52">
        <f>'Assumptions (NG)'!AD189</f>
        <v>0</v>
      </c>
      <c r="AF423" s="52">
        <f>'Assumptions (NG)'!AE189</f>
        <v>0</v>
      </c>
      <c r="AG423" s="52">
        <f>'Assumptions (NG)'!AF189</f>
        <v>0</v>
      </c>
      <c r="AH423" s="52">
        <f>'Assumptions (NG)'!AG189</f>
        <v>71.2</v>
      </c>
      <c r="AI423" s="52">
        <f>'Assumptions (NG)'!AH189</f>
        <v>15.9</v>
      </c>
      <c r="AJ423" s="52">
        <f>'Assumptions (NG)'!AI189</f>
        <v>16.8</v>
      </c>
      <c r="AK423" s="52">
        <f>'Assumptions (NG)'!AJ189</f>
        <v>25</v>
      </c>
      <c r="AL423" s="52">
        <f>'Assumptions (NG)'!AK189</f>
        <v>101.7</v>
      </c>
      <c r="AM423" s="52">
        <f>'Assumptions (NG)'!AL189</f>
        <v>50.4</v>
      </c>
      <c r="AN423" s="52">
        <f>'Assumptions (NG)'!AM189</f>
        <v>0</v>
      </c>
      <c r="AO423" s="52">
        <f>'Assumptions (NG)'!AN189</f>
        <v>0</v>
      </c>
      <c r="AP423" s="52">
        <f>'Assumptions (NG)'!AO189</f>
        <v>37.1</v>
      </c>
      <c r="AQ423" s="52">
        <f>'Assumptions (NG)'!AP189</f>
        <v>0</v>
      </c>
      <c r="AR423" s="52">
        <f>'Assumptions (NG)'!AQ189</f>
        <v>126.2</v>
      </c>
      <c r="AS423" s="52">
        <f>'Assumptions (NG)'!AR189</f>
        <v>38.9</v>
      </c>
      <c r="AT423" s="52">
        <f>'Assumptions (NG)'!AS189</f>
        <v>23</v>
      </c>
      <c r="AU423" s="52">
        <f>'Assumptions (NG)'!AT189</f>
        <v>1078.7</v>
      </c>
      <c r="AV423" s="52">
        <f>'Assumptions (NG)'!AU189</f>
        <v>2127.9</v>
      </c>
      <c r="AW423" s="52">
        <f>'Assumptions (NG)'!AV189</f>
        <v>781.4</v>
      </c>
      <c r="AX423" s="52">
        <f>'Assumptions (NG)'!AW189</f>
        <v>407.8</v>
      </c>
      <c r="AY423" s="52">
        <f>'Assumptions (NG)'!AX189</f>
        <v>251</v>
      </c>
      <c r="AZ423" s="52">
        <f>'Assumptions (NG)'!AY189</f>
        <v>1175.2</v>
      </c>
      <c r="BA423" s="52">
        <f>'Assumptions (NG)'!AZ189</f>
        <v>6653.2</v>
      </c>
      <c r="BB423" s="148"/>
    </row>
    <row r="424" ht="15.75" customHeight="1">
      <c r="A424" s="195"/>
      <c r="B424" s="143" t="s">
        <v>380</v>
      </c>
      <c r="C424" s="172"/>
      <c r="D424" s="172"/>
      <c r="E424" s="172"/>
      <c r="F424" s="172"/>
      <c r="G424" s="172"/>
      <c r="H424" s="172"/>
      <c r="I424" s="172"/>
      <c r="J424" s="172"/>
      <c r="K424" s="172"/>
      <c r="L424" s="172"/>
      <c r="M424" s="172"/>
      <c r="N424" s="172"/>
      <c r="O424" s="172"/>
      <c r="P424" s="172"/>
      <c r="Q424" s="172"/>
      <c r="R424" s="172"/>
      <c r="S424" s="172"/>
      <c r="T424" s="196"/>
      <c r="U424" s="197"/>
      <c r="V424" s="198"/>
      <c r="W424" s="198"/>
      <c r="X424" s="200">
        <f>W427-X423+W439</f>
        <v>30992.3</v>
      </c>
      <c r="Y424" s="148">
        <f t="shared" ref="Y424:BA424" si="12">X424-Y423+X439</f>
        <v>34696.37799</v>
      </c>
      <c r="Z424" s="148">
        <f t="shared" si="12"/>
        <v>34620.05598</v>
      </c>
      <c r="AA424" s="148">
        <f t="shared" si="12"/>
        <v>33990.53396</v>
      </c>
      <c r="AB424" s="148">
        <f t="shared" si="12"/>
        <v>32403.61195</v>
      </c>
      <c r="AC424" s="148">
        <f t="shared" si="12"/>
        <v>34369.68994</v>
      </c>
      <c r="AD424" s="148">
        <f t="shared" si="12"/>
        <v>34340.88994</v>
      </c>
      <c r="AE424" s="148">
        <f t="shared" si="12"/>
        <v>34340.88994</v>
      </c>
      <c r="AF424" s="148">
        <f t="shared" si="12"/>
        <v>34340.88994</v>
      </c>
      <c r="AG424" s="148">
        <f t="shared" si="12"/>
        <v>34340.88994</v>
      </c>
      <c r="AH424" s="148">
        <f t="shared" si="12"/>
        <v>34269.68994</v>
      </c>
      <c r="AI424" s="148">
        <f t="shared" si="12"/>
        <v>34253.78994</v>
      </c>
      <c r="AJ424" s="148">
        <f t="shared" si="12"/>
        <v>34236.98994</v>
      </c>
      <c r="AK424" s="148">
        <f t="shared" si="12"/>
        <v>34211.98994</v>
      </c>
      <c r="AL424" s="148">
        <f t="shared" si="12"/>
        <v>34110.28994</v>
      </c>
      <c r="AM424" s="148">
        <f t="shared" si="12"/>
        <v>34059.88994</v>
      </c>
      <c r="AN424" s="148">
        <f t="shared" si="12"/>
        <v>34059.88994</v>
      </c>
      <c r="AO424" s="148">
        <f t="shared" si="12"/>
        <v>34059.88994</v>
      </c>
      <c r="AP424" s="148">
        <f t="shared" si="12"/>
        <v>34022.78994</v>
      </c>
      <c r="AQ424" s="148">
        <f t="shared" si="12"/>
        <v>34022.78994</v>
      </c>
      <c r="AR424" s="148">
        <f t="shared" si="12"/>
        <v>33896.58994</v>
      </c>
      <c r="AS424" s="148">
        <f t="shared" si="12"/>
        <v>33857.68994</v>
      </c>
      <c r="AT424" s="148">
        <f t="shared" si="12"/>
        <v>33834.68994</v>
      </c>
      <c r="AU424" s="148">
        <f t="shared" si="12"/>
        <v>32755.98994</v>
      </c>
      <c r="AV424" s="148">
        <f t="shared" si="12"/>
        <v>30628.08994</v>
      </c>
      <c r="AW424" s="148">
        <f t="shared" si="12"/>
        <v>29846.68994</v>
      </c>
      <c r="AX424" s="148">
        <f t="shared" si="12"/>
        <v>29438.88994</v>
      </c>
      <c r="AY424" s="148">
        <f t="shared" si="12"/>
        <v>29187.88994</v>
      </c>
      <c r="AZ424" s="148">
        <f t="shared" si="12"/>
        <v>28012.68994</v>
      </c>
      <c r="BA424" s="148">
        <f t="shared" si="12"/>
        <v>21359.48994</v>
      </c>
      <c r="BB424" s="148"/>
    </row>
    <row r="425" ht="15.75" customHeight="1">
      <c r="A425" s="201" t="s">
        <v>381</v>
      </c>
      <c r="B425" s="202" t="s">
        <v>149</v>
      </c>
      <c r="C425" s="153">
        <f t="shared" ref="C425:BA425" si="13">sum(C426:C427)</f>
        <v>29157.8</v>
      </c>
      <c r="D425" s="153">
        <f t="shared" si="13"/>
        <v>36585.7</v>
      </c>
      <c r="E425" s="153">
        <f t="shared" si="13"/>
        <v>46860.8</v>
      </c>
      <c r="F425" s="153">
        <f t="shared" si="13"/>
        <v>57734.9</v>
      </c>
      <c r="G425" s="153">
        <f t="shared" si="13"/>
        <v>60620.8</v>
      </c>
      <c r="H425" s="153">
        <f t="shared" si="13"/>
        <v>61999.5</v>
      </c>
      <c r="I425" s="153">
        <f t="shared" si="13"/>
        <v>62933.5</v>
      </c>
      <c r="J425" s="153">
        <f t="shared" si="13"/>
        <v>63553.5</v>
      </c>
      <c r="K425" s="153">
        <f t="shared" si="13"/>
        <v>64195.6</v>
      </c>
      <c r="L425" s="153">
        <f t="shared" si="13"/>
        <v>64421.9</v>
      </c>
      <c r="M425" s="153">
        <f t="shared" si="13"/>
        <v>66247</v>
      </c>
      <c r="N425" s="153">
        <f t="shared" si="13"/>
        <v>68337.9</v>
      </c>
      <c r="O425" s="153">
        <f t="shared" si="13"/>
        <v>72709.2</v>
      </c>
      <c r="P425" s="153">
        <f t="shared" si="13"/>
        <v>73449</v>
      </c>
      <c r="Q425" s="153">
        <f t="shared" si="13"/>
        <v>74273.5</v>
      </c>
      <c r="R425" s="153">
        <f t="shared" si="13"/>
        <v>73966</v>
      </c>
      <c r="S425" s="153">
        <f t="shared" si="13"/>
        <v>73845.1</v>
      </c>
      <c r="T425" s="153">
        <f t="shared" si="13"/>
        <v>73972.4</v>
      </c>
      <c r="U425" s="153">
        <f t="shared" si="13"/>
        <v>75445.8</v>
      </c>
      <c r="V425" s="153">
        <f t="shared" si="13"/>
        <v>75445.8</v>
      </c>
      <c r="W425" s="153">
        <f t="shared" si="13"/>
        <v>75445.8</v>
      </c>
      <c r="X425" s="148">
        <f t="shared" si="13"/>
        <v>75887.90457</v>
      </c>
      <c r="Y425" s="148">
        <f t="shared" si="13"/>
        <v>76330.00914</v>
      </c>
      <c r="Z425" s="148">
        <f t="shared" si="13"/>
        <v>76772.1137</v>
      </c>
      <c r="AA425" s="148">
        <f t="shared" si="13"/>
        <v>77214.21827</v>
      </c>
      <c r="AB425" s="148">
        <f t="shared" si="13"/>
        <v>77656.32284</v>
      </c>
      <c r="AC425" s="148">
        <f t="shared" si="13"/>
        <v>78098.42741</v>
      </c>
      <c r="AD425" s="148">
        <f t="shared" si="13"/>
        <v>78540.53198</v>
      </c>
      <c r="AE425" s="148">
        <f t="shared" si="13"/>
        <v>78982.63655</v>
      </c>
      <c r="AF425" s="148">
        <f t="shared" si="13"/>
        <v>79424.74111</v>
      </c>
      <c r="AG425" s="148">
        <f t="shared" si="13"/>
        <v>79866.84568</v>
      </c>
      <c r="AH425" s="148">
        <f t="shared" si="13"/>
        <v>80308.95025</v>
      </c>
      <c r="AI425" s="148">
        <f t="shared" si="13"/>
        <v>80751.05482</v>
      </c>
      <c r="AJ425" s="148">
        <f t="shared" si="13"/>
        <v>81193.15939</v>
      </c>
      <c r="AK425" s="148">
        <f t="shared" si="13"/>
        <v>81635.26396</v>
      </c>
      <c r="AL425" s="148">
        <f t="shared" si="13"/>
        <v>82077.36852</v>
      </c>
      <c r="AM425" s="148">
        <f t="shared" si="13"/>
        <v>82519.47309</v>
      </c>
      <c r="AN425" s="148">
        <f t="shared" si="13"/>
        <v>82961.57766</v>
      </c>
      <c r="AO425" s="148">
        <f t="shared" si="13"/>
        <v>83403.68223</v>
      </c>
      <c r="AP425" s="148">
        <f t="shared" si="13"/>
        <v>83845.7868</v>
      </c>
      <c r="AQ425" s="148">
        <f t="shared" si="13"/>
        <v>84287.89137</v>
      </c>
      <c r="AR425" s="148">
        <f t="shared" si="13"/>
        <v>84729.99593</v>
      </c>
      <c r="AS425" s="148">
        <f t="shared" si="13"/>
        <v>85172.1005</v>
      </c>
      <c r="AT425" s="148">
        <f t="shared" si="13"/>
        <v>85614.20507</v>
      </c>
      <c r="AU425" s="148">
        <f t="shared" si="13"/>
        <v>86056.30964</v>
      </c>
      <c r="AV425" s="148">
        <f t="shared" si="13"/>
        <v>86498.41421</v>
      </c>
      <c r="AW425" s="148">
        <f t="shared" si="13"/>
        <v>86940.51878</v>
      </c>
      <c r="AX425" s="148">
        <f t="shared" si="13"/>
        <v>87382.62334</v>
      </c>
      <c r="AY425" s="148">
        <f t="shared" si="13"/>
        <v>87824.72791</v>
      </c>
      <c r="AZ425" s="148">
        <f t="shared" si="13"/>
        <v>88266.83248</v>
      </c>
      <c r="BA425" s="148">
        <f t="shared" si="13"/>
        <v>88708.93705</v>
      </c>
    </row>
    <row r="426" ht="15.75" customHeight="1">
      <c r="A426" s="201" t="s">
        <v>382</v>
      </c>
      <c r="B426" s="202" t="s">
        <v>149</v>
      </c>
      <c r="C426" s="152">
        <v>3740.2</v>
      </c>
      <c r="D426" s="152">
        <v>6775.2</v>
      </c>
      <c r="E426" s="152">
        <v>13643.9</v>
      </c>
      <c r="F426" s="152">
        <v>22113.3</v>
      </c>
      <c r="G426" s="152">
        <v>24587.6</v>
      </c>
      <c r="H426" s="152">
        <v>25964.2</v>
      </c>
      <c r="I426" s="152">
        <v>26814.7</v>
      </c>
      <c r="J426" s="152">
        <v>26814.7</v>
      </c>
      <c r="K426" s="152">
        <v>27502.8</v>
      </c>
      <c r="L426" s="152">
        <v>27502.8</v>
      </c>
      <c r="M426" s="152">
        <v>28930.0</v>
      </c>
      <c r="N426" s="152">
        <v>31121.4</v>
      </c>
      <c r="O426" s="152">
        <v>35583.2</v>
      </c>
      <c r="P426" s="152">
        <v>36313.2</v>
      </c>
      <c r="Q426" s="152">
        <v>37153.2</v>
      </c>
      <c r="R426" s="152">
        <v>37153.2</v>
      </c>
      <c r="S426" s="152">
        <v>37153.2</v>
      </c>
      <c r="T426" s="152">
        <v>37153.2</v>
      </c>
      <c r="U426" s="152">
        <v>39714.7</v>
      </c>
      <c r="V426" s="153">
        <f t="shared" ref="V426:W426" si="14">U426+V438</f>
        <v>39714.7</v>
      </c>
      <c r="W426" s="153">
        <f t="shared" si="14"/>
        <v>39714.7</v>
      </c>
      <c r="X426" s="164">
        <f t="shared" ref="X426:AZ426" si="15">W426+($BA$426-$W$426)/($BA$2-$W$2)</f>
        <v>40423.32658</v>
      </c>
      <c r="Y426" s="164">
        <f t="shared" si="15"/>
        <v>41131.95316</v>
      </c>
      <c r="Z426" s="164">
        <f t="shared" si="15"/>
        <v>41840.57974</v>
      </c>
      <c r="AA426" s="164">
        <f t="shared" si="15"/>
        <v>42549.20632</v>
      </c>
      <c r="AB426" s="164">
        <f t="shared" si="15"/>
        <v>43257.8329</v>
      </c>
      <c r="AC426" s="164">
        <f t="shared" si="15"/>
        <v>43966.45948</v>
      </c>
      <c r="AD426" s="164">
        <f t="shared" si="15"/>
        <v>44675.08606</v>
      </c>
      <c r="AE426" s="164">
        <f t="shared" si="15"/>
        <v>45383.71264</v>
      </c>
      <c r="AF426" s="164">
        <f t="shared" si="15"/>
        <v>46092.33922</v>
      </c>
      <c r="AG426" s="164">
        <f t="shared" si="15"/>
        <v>46800.9658</v>
      </c>
      <c r="AH426" s="164">
        <f t="shared" si="15"/>
        <v>47509.59238</v>
      </c>
      <c r="AI426" s="164">
        <f t="shared" si="15"/>
        <v>48218.21896</v>
      </c>
      <c r="AJ426" s="164">
        <f t="shared" si="15"/>
        <v>48926.84554</v>
      </c>
      <c r="AK426" s="164">
        <f t="shared" si="15"/>
        <v>49635.47212</v>
      </c>
      <c r="AL426" s="164">
        <f t="shared" si="15"/>
        <v>50344.0987</v>
      </c>
      <c r="AM426" s="164">
        <f t="shared" si="15"/>
        <v>51052.72529</v>
      </c>
      <c r="AN426" s="164">
        <f t="shared" si="15"/>
        <v>51761.35187</v>
      </c>
      <c r="AO426" s="164">
        <f t="shared" si="15"/>
        <v>52469.97845</v>
      </c>
      <c r="AP426" s="164">
        <f t="shared" si="15"/>
        <v>53178.60503</v>
      </c>
      <c r="AQ426" s="164">
        <f t="shared" si="15"/>
        <v>53887.23161</v>
      </c>
      <c r="AR426" s="164">
        <f t="shared" si="15"/>
        <v>54595.85819</v>
      </c>
      <c r="AS426" s="164">
        <f t="shared" si="15"/>
        <v>55304.48477</v>
      </c>
      <c r="AT426" s="164">
        <f t="shared" si="15"/>
        <v>56013.11135</v>
      </c>
      <c r="AU426" s="164">
        <f t="shared" si="15"/>
        <v>56721.73793</v>
      </c>
      <c r="AV426" s="164">
        <f t="shared" si="15"/>
        <v>57430.36451</v>
      </c>
      <c r="AW426" s="164">
        <f t="shared" si="15"/>
        <v>58138.99109</v>
      </c>
      <c r="AX426" s="164">
        <f t="shared" si="15"/>
        <v>58847.61767</v>
      </c>
      <c r="AY426" s="164">
        <f t="shared" si="15"/>
        <v>59556.24425</v>
      </c>
      <c r="AZ426" s="164">
        <f t="shared" si="15"/>
        <v>60264.87083</v>
      </c>
      <c r="BA426" s="155">
        <f>Inputs!$H$5</f>
        <v>60973.49741</v>
      </c>
    </row>
    <row r="427" ht="15.75" customHeight="1">
      <c r="A427" s="201" t="s">
        <v>383</v>
      </c>
      <c r="B427" s="202" t="s">
        <v>149</v>
      </c>
      <c r="C427" s="152">
        <v>25417.6</v>
      </c>
      <c r="D427" s="152">
        <v>29810.5</v>
      </c>
      <c r="E427" s="152">
        <v>33216.9</v>
      </c>
      <c r="F427" s="152">
        <v>35621.6</v>
      </c>
      <c r="G427" s="152">
        <v>36033.2</v>
      </c>
      <c r="H427" s="152">
        <v>36035.3</v>
      </c>
      <c r="I427" s="152">
        <v>36118.8</v>
      </c>
      <c r="J427" s="152">
        <v>36738.8</v>
      </c>
      <c r="K427" s="152">
        <v>36692.8</v>
      </c>
      <c r="L427" s="152">
        <v>36919.1</v>
      </c>
      <c r="M427" s="152">
        <v>37317.0</v>
      </c>
      <c r="N427" s="152">
        <v>37216.5</v>
      </c>
      <c r="O427" s="152">
        <v>37126.0</v>
      </c>
      <c r="P427" s="152">
        <v>37135.8</v>
      </c>
      <c r="Q427" s="152">
        <v>37120.3</v>
      </c>
      <c r="R427" s="152">
        <v>36812.8</v>
      </c>
      <c r="S427" s="152">
        <v>36691.9</v>
      </c>
      <c r="T427" s="152">
        <v>36819.2</v>
      </c>
      <c r="U427" s="152">
        <v>35731.1</v>
      </c>
      <c r="V427" s="153">
        <f t="shared" ref="V427:W427" si="16">U427+V439</f>
        <v>35731.1</v>
      </c>
      <c r="W427" s="153">
        <f t="shared" si="16"/>
        <v>35731.1</v>
      </c>
      <c r="X427" s="164">
        <f t="shared" ref="X427:AZ427" si="17">W427+($BA$427-$W$427)/($BA$2-$W$2)</f>
        <v>35464.57799</v>
      </c>
      <c r="Y427" s="164">
        <f t="shared" si="17"/>
        <v>35198.05598</v>
      </c>
      <c r="Z427" s="164">
        <f t="shared" si="17"/>
        <v>34931.53396</v>
      </c>
      <c r="AA427" s="164">
        <f t="shared" si="17"/>
        <v>34665.01195</v>
      </c>
      <c r="AB427" s="164">
        <f t="shared" si="17"/>
        <v>34398.48994</v>
      </c>
      <c r="AC427" s="164">
        <f t="shared" si="17"/>
        <v>34131.96793</v>
      </c>
      <c r="AD427" s="164">
        <f t="shared" si="17"/>
        <v>33865.44592</v>
      </c>
      <c r="AE427" s="164">
        <f t="shared" si="17"/>
        <v>33598.9239</v>
      </c>
      <c r="AF427" s="164">
        <f t="shared" si="17"/>
        <v>33332.40189</v>
      </c>
      <c r="AG427" s="164">
        <f t="shared" si="17"/>
        <v>33065.87988</v>
      </c>
      <c r="AH427" s="164">
        <f t="shared" si="17"/>
        <v>32799.35787</v>
      </c>
      <c r="AI427" s="164">
        <f t="shared" si="17"/>
        <v>32532.83586</v>
      </c>
      <c r="AJ427" s="164">
        <f t="shared" si="17"/>
        <v>32266.31384</v>
      </c>
      <c r="AK427" s="164">
        <f t="shared" si="17"/>
        <v>31999.79183</v>
      </c>
      <c r="AL427" s="164">
        <f t="shared" si="17"/>
        <v>31733.26982</v>
      </c>
      <c r="AM427" s="164">
        <f t="shared" si="17"/>
        <v>31466.74781</v>
      </c>
      <c r="AN427" s="164">
        <f t="shared" si="17"/>
        <v>31200.2258</v>
      </c>
      <c r="AO427" s="164">
        <f t="shared" si="17"/>
        <v>30933.70378</v>
      </c>
      <c r="AP427" s="164">
        <f t="shared" si="17"/>
        <v>30667.18177</v>
      </c>
      <c r="AQ427" s="164">
        <f t="shared" si="17"/>
        <v>30400.65976</v>
      </c>
      <c r="AR427" s="164">
        <f t="shared" si="17"/>
        <v>30134.13775</v>
      </c>
      <c r="AS427" s="164">
        <f t="shared" si="17"/>
        <v>29867.61574</v>
      </c>
      <c r="AT427" s="164">
        <f t="shared" si="17"/>
        <v>29601.09372</v>
      </c>
      <c r="AU427" s="164">
        <f t="shared" si="17"/>
        <v>29334.57171</v>
      </c>
      <c r="AV427" s="164">
        <f t="shared" si="17"/>
        <v>29068.0497</v>
      </c>
      <c r="AW427" s="164">
        <f t="shared" si="17"/>
        <v>28801.52769</v>
      </c>
      <c r="AX427" s="164">
        <f t="shared" si="17"/>
        <v>28535.00568</v>
      </c>
      <c r="AY427" s="164">
        <f t="shared" si="17"/>
        <v>28268.48366</v>
      </c>
      <c r="AZ427" s="164">
        <f t="shared" si="17"/>
        <v>28001.96165</v>
      </c>
      <c r="BA427" s="155">
        <f>Inputs!$H$6</f>
        <v>27735.43964</v>
      </c>
    </row>
    <row r="428" ht="15.75" customHeight="1">
      <c r="A428" s="195" t="s">
        <v>384</v>
      </c>
      <c r="B428" s="166" t="s">
        <v>150</v>
      </c>
      <c r="C428" s="203">
        <f t="shared" ref="C428:W428" si="18">sum(C429:C430)</f>
        <v>20.372323</v>
      </c>
      <c r="D428" s="203">
        <f t="shared" si="18"/>
        <v>34.395079</v>
      </c>
      <c r="E428" s="203">
        <f t="shared" si="18"/>
        <v>48.293375</v>
      </c>
      <c r="F428" s="203">
        <f t="shared" si="18"/>
        <v>29.867957</v>
      </c>
      <c r="G428" s="203">
        <f t="shared" si="18"/>
        <v>40.374236</v>
      </c>
      <c r="H428" s="203">
        <f t="shared" si="18"/>
        <v>48.105276</v>
      </c>
      <c r="I428" s="203">
        <f t="shared" si="18"/>
        <v>58.001567</v>
      </c>
      <c r="J428" s="203">
        <f t="shared" si="18"/>
        <v>71.788932</v>
      </c>
      <c r="K428" s="203">
        <f t="shared" si="18"/>
        <v>66.772318</v>
      </c>
      <c r="L428" s="203">
        <f t="shared" si="18"/>
        <v>90.43153</v>
      </c>
      <c r="M428" s="203">
        <f t="shared" si="18"/>
        <v>114.415254</v>
      </c>
      <c r="N428" s="203">
        <f t="shared" si="18"/>
        <v>131.54118</v>
      </c>
      <c r="O428" s="203">
        <f t="shared" si="18"/>
        <v>178.502541</v>
      </c>
      <c r="P428" s="203">
        <f t="shared" si="18"/>
        <v>163.526402</v>
      </c>
      <c r="Q428" s="203">
        <f t="shared" si="18"/>
        <v>168.180687</v>
      </c>
      <c r="R428" s="203">
        <f t="shared" si="18"/>
        <v>213.848298</v>
      </c>
      <c r="S428" s="203">
        <f t="shared" si="18"/>
        <v>227.697292</v>
      </c>
      <c r="T428" s="203">
        <f t="shared" si="18"/>
        <v>217.87913</v>
      </c>
      <c r="U428" s="203">
        <f t="shared" si="18"/>
        <v>238.752588</v>
      </c>
      <c r="V428" s="203">
        <f t="shared" si="18"/>
        <v>238.752588</v>
      </c>
      <c r="W428" s="203">
        <f t="shared" si="18"/>
        <v>238.752588</v>
      </c>
      <c r="X428" s="148">
        <f t="shared" ref="X428:BA428" si="19">sum(X$429:X$430)</f>
        <v>240.8301718</v>
      </c>
      <c r="Y428" s="148">
        <f t="shared" si="19"/>
        <v>242.9077555</v>
      </c>
      <c r="Z428" s="148">
        <f t="shared" si="19"/>
        <v>244.9853393</v>
      </c>
      <c r="AA428" s="148">
        <f t="shared" si="19"/>
        <v>247.0629231</v>
      </c>
      <c r="AB428" s="148">
        <f t="shared" si="19"/>
        <v>249.1405068</v>
      </c>
      <c r="AC428" s="148">
        <f t="shared" si="19"/>
        <v>251.2180906</v>
      </c>
      <c r="AD428" s="148">
        <f t="shared" si="19"/>
        <v>253.2956744</v>
      </c>
      <c r="AE428" s="148">
        <f t="shared" si="19"/>
        <v>255.3732581</v>
      </c>
      <c r="AF428" s="148">
        <f t="shared" si="19"/>
        <v>257.4508419</v>
      </c>
      <c r="AG428" s="148">
        <f t="shared" si="19"/>
        <v>259.5284256</v>
      </c>
      <c r="AH428" s="148">
        <f t="shared" si="19"/>
        <v>261.6060094</v>
      </c>
      <c r="AI428" s="148">
        <f t="shared" si="19"/>
        <v>263.6835932</v>
      </c>
      <c r="AJ428" s="148">
        <f t="shared" si="19"/>
        <v>265.7611769</v>
      </c>
      <c r="AK428" s="148">
        <f t="shared" si="19"/>
        <v>267.8387607</v>
      </c>
      <c r="AL428" s="148">
        <f t="shared" si="19"/>
        <v>269.9163445</v>
      </c>
      <c r="AM428" s="148">
        <f t="shared" si="19"/>
        <v>271.9939282</v>
      </c>
      <c r="AN428" s="148">
        <f t="shared" si="19"/>
        <v>274.071512</v>
      </c>
      <c r="AO428" s="148">
        <f t="shared" si="19"/>
        <v>276.1490958</v>
      </c>
      <c r="AP428" s="148">
        <f t="shared" si="19"/>
        <v>278.2266795</v>
      </c>
      <c r="AQ428" s="148">
        <f t="shared" si="19"/>
        <v>280.3042633</v>
      </c>
      <c r="AR428" s="148">
        <f t="shared" si="19"/>
        <v>282.3818471</v>
      </c>
      <c r="AS428" s="148">
        <f t="shared" si="19"/>
        <v>284.4594308</v>
      </c>
      <c r="AT428" s="148">
        <f t="shared" si="19"/>
        <v>286.5370146</v>
      </c>
      <c r="AU428" s="148">
        <f t="shared" si="19"/>
        <v>288.6145984</v>
      </c>
      <c r="AV428" s="148">
        <f t="shared" si="19"/>
        <v>290.6921821</v>
      </c>
      <c r="AW428" s="148">
        <f t="shared" si="19"/>
        <v>292.7697659</v>
      </c>
      <c r="AX428" s="148">
        <f t="shared" si="19"/>
        <v>294.8473497</v>
      </c>
      <c r="AY428" s="148">
        <f t="shared" si="19"/>
        <v>296.9249334</v>
      </c>
      <c r="AZ428" s="148">
        <f t="shared" si="19"/>
        <v>299.0025172</v>
      </c>
      <c r="BA428" s="148">
        <f t="shared" si="19"/>
        <v>301.0801009</v>
      </c>
    </row>
    <row r="429" ht="15.75" customHeight="1">
      <c r="A429" s="204" t="s">
        <v>385</v>
      </c>
      <c r="B429" s="202" t="s">
        <v>150</v>
      </c>
      <c r="C429" s="205">
        <v>11.4674532</v>
      </c>
      <c r="D429" s="205">
        <v>20.7727632</v>
      </c>
      <c r="E429" s="205">
        <v>41.8321974</v>
      </c>
      <c r="F429" s="205">
        <v>26.8811613</v>
      </c>
      <c r="G429" s="205">
        <v>36.3368124</v>
      </c>
      <c r="H429" s="205">
        <v>43.2947484</v>
      </c>
      <c r="I429" s="205">
        <v>52.2014103</v>
      </c>
      <c r="J429" s="205">
        <v>64.6100388</v>
      </c>
      <c r="K429" s="205">
        <v>60.0950862</v>
      </c>
      <c r="L429" s="205">
        <v>81.388377</v>
      </c>
      <c r="M429" s="205">
        <v>102.9737286</v>
      </c>
      <c r="N429" s="205">
        <v>118.387062</v>
      </c>
      <c r="O429" s="205">
        <v>160.6522869</v>
      </c>
      <c r="P429" s="205">
        <v>147.1737618</v>
      </c>
      <c r="Q429" s="205">
        <v>151.3626183</v>
      </c>
      <c r="R429" s="205">
        <v>182.25873792</v>
      </c>
      <c r="S429" s="205">
        <v>179.0041176</v>
      </c>
      <c r="T429" s="205">
        <v>165.98563632</v>
      </c>
      <c r="U429" s="205">
        <v>191.3454246</v>
      </c>
      <c r="V429" s="206">
        <f t="shared" ref="V429:W429" si="20">U429</f>
        <v>191.3454246</v>
      </c>
      <c r="W429" s="206">
        <f t="shared" si="20"/>
        <v>191.3454246</v>
      </c>
      <c r="X429" s="164">
        <f t="shared" ref="X429:AZ429" si="21">W429+($BA$429-$W$429)/($BA$2-$W$2)</f>
        <v>194.5222184</v>
      </c>
      <c r="Y429" s="148">
        <f t="shared" si="21"/>
        <v>197.6990123</v>
      </c>
      <c r="Z429" s="148">
        <f t="shared" si="21"/>
        <v>200.8758061</v>
      </c>
      <c r="AA429" s="148">
        <f t="shared" si="21"/>
        <v>204.0526</v>
      </c>
      <c r="AB429" s="148">
        <f t="shared" si="21"/>
        <v>207.2293938</v>
      </c>
      <c r="AC429" s="148">
        <f t="shared" si="21"/>
        <v>210.4061877</v>
      </c>
      <c r="AD429" s="148">
        <f t="shared" si="21"/>
        <v>213.5829815</v>
      </c>
      <c r="AE429" s="148">
        <f t="shared" si="21"/>
        <v>216.7597754</v>
      </c>
      <c r="AF429" s="148">
        <f t="shared" si="21"/>
        <v>219.9365692</v>
      </c>
      <c r="AG429" s="148">
        <f t="shared" si="21"/>
        <v>223.1133631</v>
      </c>
      <c r="AH429" s="148">
        <f t="shared" si="21"/>
        <v>226.2901569</v>
      </c>
      <c r="AI429" s="148">
        <f t="shared" si="21"/>
        <v>229.4669508</v>
      </c>
      <c r="AJ429" s="148">
        <f t="shared" si="21"/>
        <v>232.6437446</v>
      </c>
      <c r="AK429" s="148">
        <f t="shared" si="21"/>
        <v>235.8205385</v>
      </c>
      <c r="AL429" s="148">
        <f t="shared" si="21"/>
        <v>238.9973323</v>
      </c>
      <c r="AM429" s="148">
        <f t="shared" si="21"/>
        <v>242.1741262</v>
      </c>
      <c r="AN429" s="148">
        <f t="shared" si="21"/>
        <v>245.35092</v>
      </c>
      <c r="AO429" s="148">
        <f t="shared" si="21"/>
        <v>248.5277139</v>
      </c>
      <c r="AP429" s="148">
        <f t="shared" si="21"/>
        <v>251.7045077</v>
      </c>
      <c r="AQ429" s="148">
        <f t="shared" si="21"/>
        <v>254.8813015</v>
      </c>
      <c r="AR429" s="148">
        <f t="shared" si="21"/>
        <v>258.0580954</v>
      </c>
      <c r="AS429" s="148">
        <f t="shared" si="21"/>
        <v>261.2348892</v>
      </c>
      <c r="AT429" s="148">
        <f t="shared" si="21"/>
        <v>264.4116831</v>
      </c>
      <c r="AU429" s="148">
        <f t="shared" si="21"/>
        <v>267.5884769</v>
      </c>
      <c r="AV429" s="148">
        <f t="shared" si="21"/>
        <v>270.7652708</v>
      </c>
      <c r="AW429" s="148">
        <f t="shared" si="21"/>
        <v>273.9420646</v>
      </c>
      <c r="AX429" s="148">
        <f t="shared" si="21"/>
        <v>277.1188585</v>
      </c>
      <c r="AY429" s="148">
        <f t="shared" si="21"/>
        <v>280.2956523</v>
      </c>
      <c r="AZ429" s="148">
        <f t="shared" si="21"/>
        <v>283.4724462</v>
      </c>
      <c r="BA429" s="155">
        <f>Inputs!$I$5</f>
        <v>286.64924</v>
      </c>
    </row>
    <row r="430" ht="15.75" customHeight="1">
      <c r="A430" s="204" t="s">
        <v>386</v>
      </c>
      <c r="B430" s="202" t="s">
        <v>150</v>
      </c>
      <c r="C430" s="205">
        <v>8.9048698</v>
      </c>
      <c r="D430" s="205">
        <v>13.6223158</v>
      </c>
      <c r="E430" s="205">
        <v>6.4611776</v>
      </c>
      <c r="F430" s="205">
        <v>2.9867957</v>
      </c>
      <c r="G430" s="205">
        <v>4.0374236</v>
      </c>
      <c r="H430" s="205">
        <v>4.8105276</v>
      </c>
      <c r="I430" s="205">
        <v>5.8001567</v>
      </c>
      <c r="J430" s="205">
        <v>7.1788932</v>
      </c>
      <c r="K430" s="205">
        <v>6.6772318</v>
      </c>
      <c r="L430" s="205">
        <v>9.043153</v>
      </c>
      <c r="M430" s="205">
        <v>11.4415254</v>
      </c>
      <c r="N430" s="205">
        <v>13.154118</v>
      </c>
      <c r="O430" s="205">
        <v>17.8502541</v>
      </c>
      <c r="P430" s="205">
        <v>16.3526402</v>
      </c>
      <c r="Q430" s="205">
        <v>16.8180687</v>
      </c>
      <c r="R430" s="205">
        <v>31.58956008</v>
      </c>
      <c r="S430" s="205">
        <v>48.6931744</v>
      </c>
      <c r="T430" s="205">
        <v>51.89349368</v>
      </c>
      <c r="U430" s="205">
        <v>47.4071634</v>
      </c>
      <c r="V430" s="206">
        <f t="shared" ref="V430:W430" si="22">U430</f>
        <v>47.4071634</v>
      </c>
      <c r="W430" s="206">
        <f t="shared" si="22"/>
        <v>47.4071634</v>
      </c>
      <c r="X430" s="164">
        <f t="shared" ref="X430:AZ430" si="23">W430+($BA$430-$W$430)/($BA$2-$W$2)</f>
        <v>46.30795332</v>
      </c>
      <c r="Y430" s="148">
        <f t="shared" si="23"/>
        <v>45.20874324</v>
      </c>
      <c r="Z430" s="148">
        <f t="shared" si="23"/>
        <v>44.10953315</v>
      </c>
      <c r="AA430" s="148">
        <f t="shared" si="23"/>
        <v>43.01032307</v>
      </c>
      <c r="AB430" s="148">
        <f t="shared" si="23"/>
        <v>41.91111299</v>
      </c>
      <c r="AC430" s="148">
        <f t="shared" si="23"/>
        <v>40.81190291</v>
      </c>
      <c r="AD430" s="148">
        <f t="shared" si="23"/>
        <v>39.71269282</v>
      </c>
      <c r="AE430" s="148">
        <f t="shared" si="23"/>
        <v>38.61348274</v>
      </c>
      <c r="AF430" s="148">
        <f t="shared" si="23"/>
        <v>37.51427266</v>
      </c>
      <c r="AG430" s="148">
        <f t="shared" si="23"/>
        <v>36.41506258</v>
      </c>
      <c r="AH430" s="148">
        <f t="shared" si="23"/>
        <v>35.31585249</v>
      </c>
      <c r="AI430" s="148">
        <f t="shared" si="23"/>
        <v>34.21664241</v>
      </c>
      <c r="AJ430" s="148">
        <f t="shared" si="23"/>
        <v>33.11743233</v>
      </c>
      <c r="AK430" s="148">
        <f t="shared" si="23"/>
        <v>32.01822225</v>
      </c>
      <c r="AL430" s="148">
        <f t="shared" si="23"/>
        <v>30.91901216</v>
      </c>
      <c r="AM430" s="148">
        <f t="shared" si="23"/>
        <v>29.81980208</v>
      </c>
      <c r="AN430" s="148">
        <f t="shared" si="23"/>
        <v>28.720592</v>
      </c>
      <c r="AO430" s="148">
        <f t="shared" si="23"/>
        <v>27.62138192</v>
      </c>
      <c r="AP430" s="148">
        <f t="shared" si="23"/>
        <v>26.52217184</v>
      </c>
      <c r="AQ430" s="148">
        <f t="shared" si="23"/>
        <v>25.42296175</v>
      </c>
      <c r="AR430" s="148">
        <f t="shared" si="23"/>
        <v>24.32375167</v>
      </c>
      <c r="AS430" s="148">
        <f t="shared" si="23"/>
        <v>23.22454159</v>
      </c>
      <c r="AT430" s="148">
        <f t="shared" si="23"/>
        <v>22.12533151</v>
      </c>
      <c r="AU430" s="148">
        <f t="shared" si="23"/>
        <v>21.02612142</v>
      </c>
      <c r="AV430" s="148">
        <f t="shared" si="23"/>
        <v>19.92691134</v>
      </c>
      <c r="AW430" s="148">
        <f t="shared" si="23"/>
        <v>18.82770126</v>
      </c>
      <c r="AX430" s="148">
        <f t="shared" si="23"/>
        <v>17.72849118</v>
      </c>
      <c r="AY430" s="148">
        <f t="shared" si="23"/>
        <v>16.62928109</v>
      </c>
      <c r="AZ430" s="148">
        <f t="shared" si="23"/>
        <v>15.53007101</v>
      </c>
      <c r="BA430" s="155">
        <f>Inputs!$I$6</f>
        <v>14.43086093</v>
      </c>
    </row>
    <row r="431" ht="15.75" customHeight="1">
      <c r="A431" s="207" t="s">
        <v>387</v>
      </c>
      <c r="B431" s="150" t="s">
        <v>388</v>
      </c>
      <c r="C431" s="208">
        <f t="shared" ref="C431:AZ431" si="24">C428/(C425*0.00876)</f>
        <v>0.07975936622</v>
      </c>
      <c r="D431" s="208">
        <f t="shared" si="24"/>
        <v>0.1073200426</v>
      </c>
      <c r="E431" s="208">
        <f t="shared" si="24"/>
        <v>0.1176450754</v>
      </c>
      <c r="F431" s="208">
        <f t="shared" si="24"/>
        <v>0.05905585932</v>
      </c>
      <c r="G431" s="208">
        <f t="shared" si="24"/>
        <v>0.07602887211</v>
      </c>
      <c r="H431" s="208">
        <f t="shared" si="24"/>
        <v>0.08857280886</v>
      </c>
      <c r="I431" s="208">
        <f t="shared" si="24"/>
        <v>0.1052092041</v>
      </c>
      <c r="J431" s="208">
        <f t="shared" si="24"/>
        <v>0.128947793</v>
      </c>
      <c r="K431" s="208">
        <f t="shared" si="24"/>
        <v>0.1187372769</v>
      </c>
      <c r="L431" s="208">
        <f t="shared" si="24"/>
        <v>0.1602441719</v>
      </c>
      <c r="M431" s="208">
        <f t="shared" si="24"/>
        <v>0.1971576382</v>
      </c>
      <c r="N431" s="208">
        <f t="shared" si="24"/>
        <v>0.2197333608</v>
      </c>
      <c r="O431" s="208">
        <f t="shared" si="24"/>
        <v>0.2802534259</v>
      </c>
      <c r="P431" s="208">
        <f t="shared" si="24"/>
        <v>0.2541545493</v>
      </c>
      <c r="Q431" s="208">
        <f t="shared" si="24"/>
        <v>0.2584866549</v>
      </c>
      <c r="R431" s="208">
        <f t="shared" si="24"/>
        <v>0.3300422649</v>
      </c>
      <c r="S431" s="208">
        <f t="shared" si="24"/>
        <v>0.3519914192</v>
      </c>
      <c r="T431" s="208">
        <f t="shared" si="24"/>
        <v>0.3362341468</v>
      </c>
      <c r="U431" s="208">
        <f t="shared" si="24"/>
        <v>0.36125088</v>
      </c>
      <c r="V431" s="208">
        <f t="shared" si="24"/>
        <v>0.36125088</v>
      </c>
      <c r="W431" s="208">
        <f t="shared" si="24"/>
        <v>0.36125088</v>
      </c>
      <c r="X431" s="208">
        <f t="shared" si="24"/>
        <v>0.362271549</v>
      </c>
      <c r="Y431" s="208">
        <f t="shared" si="24"/>
        <v>0.3632803946</v>
      </c>
      <c r="Z431" s="208">
        <f t="shared" si="24"/>
        <v>0.3642776209</v>
      </c>
      <c r="AA431" s="208">
        <f t="shared" si="24"/>
        <v>0.3652634276</v>
      </c>
      <c r="AB431" s="208">
        <f t="shared" si="24"/>
        <v>0.3662380098</v>
      </c>
      <c r="AC431" s="208">
        <f t="shared" si="24"/>
        <v>0.367201558</v>
      </c>
      <c r="AD431" s="208">
        <f t="shared" si="24"/>
        <v>0.3681542586</v>
      </c>
      <c r="AE431" s="208">
        <f t="shared" si="24"/>
        <v>0.3690962937</v>
      </c>
      <c r="AF431" s="208">
        <f t="shared" si="24"/>
        <v>0.3700278414</v>
      </c>
      <c r="AG431" s="208">
        <f t="shared" si="24"/>
        <v>0.370949076</v>
      </c>
      <c r="AH431" s="208">
        <f t="shared" si="24"/>
        <v>0.3718601677</v>
      </c>
      <c r="AI431" s="208">
        <f t="shared" si="24"/>
        <v>0.372761283</v>
      </c>
      <c r="AJ431" s="208">
        <f t="shared" si="24"/>
        <v>0.3736525851</v>
      </c>
      <c r="AK431" s="208">
        <f t="shared" si="24"/>
        <v>0.3745342333</v>
      </c>
      <c r="AL431" s="208">
        <f t="shared" si="24"/>
        <v>0.3754063836</v>
      </c>
      <c r="AM431" s="208">
        <f t="shared" si="24"/>
        <v>0.3762691886</v>
      </c>
      <c r="AN431" s="208">
        <f t="shared" si="24"/>
        <v>0.3771227979</v>
      </c>
      <c r="AO431" s="208">
        <f t="shared" si="24"/>
        <v>0.3779673575</v>
      </c>
      <c r="AP431" s="208">
        <f t="shared" si="24"/>
        <v>0.3788030107</v>
      </c>
      <c r="AQ431" s="208">
        <f t="shared" si="24"/>
        <v>0.3796298977</v>
      </c>
      <c r="AR431" s="208">
        <f t="shared" si="24"/>
        <v>0.3804481555</v>
      </c>
      <c r="AS431" s="208">
        <f t="shared" si="24"/>
        <v>0.3812579187</v>
      </c>
      <c r="AT431" s="208">
        <f t="shared" si="24"/>
        <v>0.3820593187</v>
      </c>
      <c r="AU431" s="208">
        <f t="shared" si="24"/>
        <v>0.3828524846</v>
      </c>
      <c r="AV431" s="208">
        <f t="shared" si="24"/>
        <v>0.3836375425</v>
      </c>
      <c r="AW431" s="208">
        <f t="shared" si="24"/>
        <v>0.3844146161</v>
      </c>
      <c r="AX431" s="208">
        <f t="shared" si="24"/>
        <v>0.3851838267</v>
      </c>
      <c r="AY431" s="208">
        <f t="shared" si="24"/>
        <v>0.385945293</v>
      </c>
      <c r="AZ431" s="208">
        <f t="shared" si="24"/>
        <v>0.3866991313</v>
      </c>
      <c r="BA431" s="208">
        <f>if(BA425&gt;0, BA428/(BA425*0.00876), 0)</f>
        <v>0.3874454557</v>
      </c>
    </row>
    <row r="432" ht="15.75" customHeight="1">
      <c r="A432" s="209" t="s">
        <v>31</v>
      </c>
      <c r="B432" s="159" t="s">
        <v>351</v>
      </c>
      <c r="C432" s="160">
        <f>(C426*'Assumptions (NG)'!B25+C427*'Assumptions (NG)'!B28+if(C426&gt;0,C426*8760*(C429*10^6/(8760*C426)),0)*'Assumptions (NG)'!B26+if(C427&gt;0,C427*8760*(C430*10^6/(8760*C427)),0)*'Assumptions (NG)'!B29)/10^9</f>
        <v>0.2440988995</v>
      </c>
      <c r="D432" s="160">
        <f>(D426*'Assumptions (NG)'!C25+D427*'Assumptions (NG)'!C28+if(D426&gt;0,D426*8760*(D429*10^6/(8760*D426)),0)*'Assumptions (NG)'!C26+if(D427&gt;0,D427*8760*(D430*10^6/(8760*D427)),0)*'Assumptions (NG)'!C29)/10^9</f>
        <v>0.3393407271</v>
      </c>
      <c r="E432" s="160">
        <f>(E426*'Assumptions (NG)'!D25+E427*'Assumptions (NG)'!D28+if(E426&gt;0,E426*8760*(E429*10^6/(8760*E426)),0)*'Assumptions (NG)'!D26+if(E427&gt;0,E427*8760*(E430*10^6/(8760*E427)),0)*'Assumptions (NG)'!D29)/10^9</f>
        <v>0.3808758428</v>
      </c>
      <c r="F432" s="160">
        <f>(F426*'Assumptions (NG)'!E25+F427*'Assumptions (NG)'!E28+if(F426&gt;0,F426*8760*(F429*10^6/(8760*F426)),0)*'Assumptions (NG)'!E26+if(F427&gt;0,F427*8760*(F430*10^6/(8760*F427)),0)*'Assumptions (NG)'!E29)/10^9</f>
        <v>0.404968662</v>
      </c>
      <c r="G432" s="160">
        <f>(G426*'Assumptions (NG)'!F25+G427*'Assumptions (NG)'!F28+if(G426&gt;0,G426*8760*(G429*10^6/(8760*G426)),0)*'Assumptions (NG)'!F26+if(G427&gt;0,G427*8760*(G430*10^6/(8760*G427)),0)*'Assumptions (NG)'!F29)/10^9</f>
        <v>0.446398864</v>
      </c>
      <c r="H432" s="160">
        <f>(H426*'Assumptions (NG)'!G25+H427*'Assumptions (NG)'!G28+if(H426&gt;0,H426*8760*(H429*10^6/(8760*H426)),0)*'Assumptions (NG)'!G26+if(H427&gt;0,H427*8760*(H430*10^6/(8760*H427)),0)*'Assumptions (NG)'!G29)/10^9</f>
        <v>0.4797105999</v>
      </c>
      <c r="I432" s="160">
        <f>(I426*'Assumptions (NG)'!H25+I427*'Assumptions (NG)'!H28+if(I426&gt;0,I426*8760*(I429*10^6/(8760*I426)),0)*'Assumptions (NG)'!H26+if(I427&gt;0,I427*8760*(I430*10^6/(8760*I427)),0)*'Assumptions (NG)'!H29)/10^9</f>
        <v>0.5219587784</v>
      </c>
      <c r="J432" s="160">
        <f>(J426*'Assumptions (NG)'!I25+J427*'Assumptions (NG)'!I28+if(J426&gt;0,J426*8760*(J429*10^6/(8760*J426)),0)*'Assumptions (NG)'!I26+if(J427&gt;0,J427*8760*(J430*10^6/(8760*J427)),0)*'Assumptions (NG)'!I29)/10^9</f>
        <v>0.5840076954</v>
      </c>
      <c r="K432" s="160">
        <f>(K426*'Assumptions (NG)'!J25+K427*'Assumptions (NG)'!J28+if(K426&gt;0,K426*8760*(K429*10^6/(8760*K426)),0)*'Assumptions (NG)'!J26+if(K427&gt;0,K427*8760*(K430*10^6/(8760*K427)),0)*'Assumptions (NG)'!J29)/10^9</f>
        <v>0.5908092357</v>
      </c>
      <c r="L432" s="160">
        <f>(L426*'Assumptions (NG)'!K25+L427*'Assumptions (NG)'!K28+if(L426&gt;0,L426*8760*(L429*10^6/(8760*L426)),0)*'Assumptions (NG)'!K26+if(L427&gt;0,L427*8760*(L430*10^6/(8760*L427)),0)*'Assumptions (NG)'!K29)/10^9</f>
        <v>0.6723720557</v>
      </c>
      <c r="M432" s="160">
        <f>(M426*'Assumptions (NG)'!L25+M427*'Assumptions (NG)'!L28+if(M426&gt;0,M426*8760*(M429*10^6/(8760*M426)),0)*'Assumptions (NG)'!L26+if(M427&gt;0,M427*8760*(M430*10^6/(8760*M427)),0)*'Assumptions (NG)'!L29)/10^9</f>
        <v>0.7584109215</v>
      </c>
      <c r="N432" s="160">
        <f>(N426*'Assumptions (NG)'!M25+N427*'Assumptions (NG)'!M28+if(N426&gt;0,N426*8760*(N429*10^6/(8760*N426)),0)*'Assumptions (NG)'!M26+if(N427&gt;0,N427*8760*(N430*10^6/(8760*N427)),0)*'Assumptions (NG)'!M29)/10^9</f>
        <v>0.8334175318</v>
      </c>
      <c r="O432" s="160">
        <f>(O426*'Assumptions (NG)'!N25+O427*'Assumptions (NG)'!N28+if(O426&gt;0,O426*8760*(O429*10^6/(8760*O426)),0)*'Assumptions (NG)'!N26+if(O427&gt;0,O427*8760*(O430*10^6/(8760*O427)),0)*'Assumptions (NG)'!N29)/10^9</f>
        <v>1.011362002</v>
      </c>
      <c r="P432" s="160">
        <f>(P426*'Assumptions (NG)'!O25+P427*'Assumptions (NG)'!O28+if(P426&gt;0,P426*8760*(P429*10^6/(8760*P426)),0)*'Assumptions (NG)'!O26+if(P427&gt;0,P427*8760*(P430*10^6/(8760*P427)),0)*'Assumptions (NG)'!O29)/10^9</f>
        <v>0.9860195211</v>
      </c>
      <c r="Q432" s="160">
        <f>(Q426*'Assumptions (NG)'!P25+Q427*'Assumptions (NG)'!P28+if(Q426&gt;0,Q426*8760*(Q429*10^6/(8760*Q426)),0)*'Assumptions (NG)'!P26+if(Q427&gt;0,Q427*8760*(Q430*10^6/(8760*Q427)),0)*'Assumptions (NG)'!P29)/10^9</f>
        <v>1.01588515</v>
      </c>
      <c r="R432" s="160">
        <f>(R426*'Assumptions (NG)'!Q25+R427*'Assumptions (NG)'!Q28+if(R426&gt;0,R426*8760*(R429*10^6/(8760*R426)),0)*'Assumptions (NG)'!Q26+if(R427&gt;0,R427*8760*(R430*10^6/(8760*R427)),0)*'Assumptions (NG)'!Q29)/10^9</f>
        <v>1.255097554</v>
      </c>
      <c r="S432" s="160">
        <f>(S426*'Assumptions (NG)'!R25+S427*'Assumptions (NG)'!R28+if(S426&gt;0,S426*8760*(S429*10^6/(8760*S426)),0)*'Assumptions (NG)'!R26+if(S427&gt;0,S427*8760*(S430*10^6/(8760*S427)),0)*'Assumptions (NG)'!R29)/10^9</f>
        <v>1.441098948</v>
      </c>
      <c r="T432" s="160">
        <f>(T426*'Assumptions (NG)'!S25+T427*'Assumptions (NG)'!S28+if(T426&gt;0,T426*8760*(T429*10^6/(8760*T426)),0)*'Assumptions (NG)'!S26+if(T427&gt;0,T427*8760*(T430*10^6/(8760*T427)),0)*'Assumptions (NG)'!S29)/10^9</f>
        <v>1.430801939</v>
      </c>
      <c r="U432" s="160">
        <f>(U426*'Assumptions (NG)'!T25+U427*'Assumptions (NG)'!T28+if(U426&gt;0,U426*8760*(U429*10^6/(8760*U426)),0)*'Assumptions (NG)'!T26+if(U427&gt;0,U427*8760*(U430*10^6/(8760*U427)),0)*'Assumptions (NG)'!T29)/10^9</f>
        <v>1.503919044</v>
      </c>
      <c r="V432" s="160">
        <f>(V426*'Assumptions (NG)'!U25+V427*'Assumptions (NG)'!U28+if(V426&gt;0,V426*8760*(V429*10^6/(8760*V426)),0)*'Assumptions (NG)'!U26+if(V427&gt;0,V427*8760*(V430*10^6/(8760*V427)),0)*'Assumptions (NG)'!U29)/10^9</f>
        <v>1.519155765</v>
      </c>
      <c r="W432" s="160">
        <f>(W426*'Assumptions (NG)'!V25+W427*'Assumptions (NG)'!V28+if(W426&gt;0,W426*8760*(W429*10^6/(8760*W426)),0)*'Assumptions (NG)'!V26+if(W427&gt;0,W427*8760*(W430*10^6/(8760*W427)),0)*'Assumptions (NG)'!V29)/10^9</f>
        <v>1.545580321</v>
      </c>
      <c r="X432" s="160">
        <f>(X426*'Assumptions (NG)'!W25+X427*'Assumptions (NG)'!W28+if(X426&gt;0,X426*8760*(X429*10^6/(8760*X426)),0)*'Assumptions (NG)'!W26+if(X427&gt;0,X427*8760*(X430*10^6/(8760*X427)),0)*'Assumptions (NG)'!W29)/10^9</f>
        <v>1.572322875</v>
      </c>
      <c r="Y432" s="160">
        <f>(Y426*'Assumptions (NG)'!X25+Y427*'Assumptions (NG)'!X28+if(Y426&gt;0,Y426*8760*(Y429*10^6/(8760*Y426)),0)*'Assumptions (NG)'!X26+if(Y427&gt;0,Y427*8760*(Y430*10^6/(8760*Y427)),0)*'Assumptions (NG)'!X29)/10^9</f>
        <v>1.599528132</v>
      </c>
      <c r="Z432" s="160">
        <f>(Z426*'Assumptions (NG)'!Y25+Z427*'Assumptions (NG)'!Y28+if(Z426&gt;0,Z426*8760*(Z429*10^6/(8760*Z426)),0)*'Assumptions (NG)'!Y26+if(Z427&gt;0,Z427*8760*(Z430*10^6/(8760*Z427)),0)*'Assumptions (NG)'!Y29)/10^9</f>
        <v>1.627204097</v>
      </c>
      <c r="AA432" s="160">
        <f>(AA426*'Assumptions (NG)'!Z25+AA427*'Assumptions (NG)'!Z28+if(AA426&gt;0,AA426*8760*(AA429*10^6/(8760*AA426)),0)*'Assumptions (NG)'!Z26+if(AA427&gt;0,AA427*8760*(AA430*10^6/(8760*AA427)),0)*'Assumptions (NG)'!Z29)/10^9</f>
        <v>1.655358915</v>
      </c>
      <c r="AB432" s="160">
        <f>(AB426*'Assumptions (NG)'!AA25+AB427*'Assumptions (NG)'!AA28+if(AB426&gt;0,AB426*8760*(AB429*10^6/(8760*AB426)),0)*'Assumptions (NG)'!AA26+if(AB427&gt;0,AB427*8760*(AB430*10^6/(8760*AB427)),0)*'Assumptions (NG)'!AA29)/10^9</f>
        <v>1.684000869</v>
      </c>
      <c r="AC432" s="160">
        <f>(AC426*'Assumptions (NG)'!AB25+AC427*'Assumptions (NG)'!AB28+if(AC426&gt;0,AC426*8760*(AC429*10^6/(8760*AC426)),0)*'Assumptions (NG)'!AB26+if(AC427&gt;0,AC427*8760*(AC430*10^6/(8760*AC427)),0)*'Assumptions (NG)'!AB29)/10^9</f>
        <v>1.713138389</v>
      </c>
      <c r="AD432" s="160">
        <f>(AD426*'Assumptions (NG)'!AC25+AD427*'Assumptions (NG)'!AC28+if(AD426&gt;0,AD426*8760*(AD429*10^6/(8760*AD426)),0)*'Assumptions (NG)'!AC26+if(AD427&gt;0,AD427*8760*(AD430*10^6/(8760*AD427)),0)*'Assumptions (NG)'!AC29)/10^9</f>
        <v>1.742780048</v>
      </c>
      <c r="AE432" s="160">
        <f>(AE426*'Assumptions (NG)'!AD25+AE427*'Assumptions (NG)'!AD28+if(AE426&gt;0,AE426*8760*(AE429*10^6/(8760*AE426)),0)*'Assumptions (NG)'!AD26+if(AE427&gt;0,AE427*8760*(AE430*10^6/(8760*AE427)),0)*'Assumptions (NG)'!AD29)/10^9</f>
        <v>1.772934569</v>
      </c>
      <c r="AF432" s="160">
        <f>(AF426*'Assumptions (NG)'!AE25+AF427*'Assumptions (NG)'!AE28+if(AF426&gt;0,AF426*8760*(AF429*10^6/(8760*AF426)),0)*'Assumptions (NG)'!AE26+if(AF427&gt;0,AF427*8760*(AF430*10^6/(8760*AF427)),0)*'Assumptions (NG)'!AE29)/10^9</f>
        <v>1.803610825</v>
      </c>
      <c r="AG432" s="160">
        <f>(AG426*'Assumptions (NG)'!AF25+AG427*'Assumptions (NG)'!AF28+if(AG426&gt;0,AG426*8760*(AG429*10^6/(8760*AG426)),0)*'Assumptions (NG)'!AF26+if(AG427&gt;0,AG427*8760*(AG430*10^6/(8760*AG427)),0)*'Assumptions (NG)'!AF29)/10^9</f>
        <v>1.834817843</v>
      </c>
      <c r="AH432" s="160">
        <f>(AH426*'Assumptions (NG)'!AG25+AH427*'Assumptions (NG)'!AG28+if(AH426&gt;0,AH426*8760*(AH429*10^6/(8760*AH426)),0)*'Assumptions (NG)'!AG26+if(AH427&gt;0,AH427*8760*(AH430*10^6/(8760*AH427)),0)*'Assumptions (NG)'!AG29)/10^9</f>
        <v>1.866564807</v>
      </c>
      <c r="AI432" s="160">
        <f>(AI426*'Assumptions (NG)'!AH25+AI427*'Assumptions (NG)'!AH28+if(AI426&gt;0,AI426*8760*(AI429*10^6/(8760*AI426)),0)*'Assumptions (NG)'!AH26+if(AI427&gt;0,AI427*8760*(AI430*10^6/(8760*AI427)),0)*'Assumptions (NG)'!AH29)/10^9</f>
        <v>1.898861057</v>
      </c>
      <c r="AJ432" s="160">
        <f>(AJ426*'Assumptions (NG)'!AI25+AJ427*'Assumptions (NG)'!AI28+if(AJ426&gt;0,AJ426*8760*(AJ429*10^6/(8760*AJ426)),0)*'Assumptions (NG)'!AI26+if(AJ427&gt;0,AJ427*8760*(AJ430*10^6/(8760*AJ427)),0)*'Assumptions (NG)'!AI29)/10^9</f>
        <v>1.931716097</v>
      </c>
      <c r="AK432" s="160">
        <f>(AK426*'Assumptions (NG)'!AJ25+AK427*'Assumptions (NG)'!AJ28+if(AK426&gt;0,AK426*8760*(AK429*10^6/(8760*AK426)),0)*'Assumptions (NG)'!AJ26+if(AK427&gt;0,AK427*8760*(AK430*10^6/(8760*AK427)),0)*'Assumptions (NG)'!AJ29)/10^9</f>
        <v>1.965139596</v>
      </c>
      <c r="AL432" s="160">
        <f>(AL426*'Assumptions (NG)'!AK25+AL427*'Assumptions (NG)'!AK28+if(AL426&gt;0,AL426*8760*(AL429*10^6/(8760*AL426)),0)*'Assumptions (NG)'!AK26+if(AL427&gt;0,AL427*8760*(AL430*10^6/(8760*AL427)),0)*'Assumptions (NG)'!AK29)/10^9</f>
        <v>1.999141388</v>
      </c>
      <c r="AM432" s="160">
        <f>(AM426*'Assumptions (NG)'!AL25+AM427*'Assumptions (NG)'!AL28+if(AM426&gt;0,AM426*8760*(AM429*10^6/(8760*AM426)),0)*'Assumptions (NG)'!AL26+if(AM427&gt;0,AM427*8760*(AM430*10^6/(8760*AM427)),0)*'Assumptions (NG)'!AL29)/10^9</f>
        <v>2.033731479</v>
      </c>
      <c r="AN432" s="160">
        <f>(AN426*'Assumptions (NG)'!AM25+AN427*'Assumptions (NG)'!AM28+if(AN426&gt;0,AN426*8760*(AN429*10^6/(8760*AN426)),0)*'Assumptions (NG)'!AM26+if(AN427&gt;0,AN427*8760*(AN430*10^6/(8760*AN427)),0)*'Assumptions (NG)'!AM29)/10^9</f>
        <v>2.068920047</v>
      </c>
      <c r="AO432" s="160">
        <f>(AO426*'Assumptions (NG)'!AN25+AO427*'Assumptions (NG)'!AN28+if(AO426&gt;0,AO426*8760*(AO429*10^6/(8760*AO426)),0)*'Assumptions (NG)'!AN26+if(AO427&gt;0,AO427*8760*(AO430*10^6/(8760*AO427)),0)*'Assumptions (NG)'!AN29)/10^9</f>
        <v>2.104717447</v>
      </c>
      <c r="AP432" s="160">
        <f>(AP426*'Assumptions (NG)'!AO25+AP427*'Assumptions (NG)'!AO28+if(AP426&gt;0,AP426*8760*(AP429*10^6/(8760*AP426)),0)*'Assumptions (NG)'!AO26+if(AP427&gt;0,AP427*8760*(AP430*10^6/(8760*AP427)),0)*'Assumptions (NG)'!AO29)/10^9</f>
        <v>2.141134213</v>
      </c>
      <c r="AQ432" s="160">
        <f>(AQ426*'Assumptions (NG)'!AP25+AQ427*'Assumptions (NG)'!AP28+if(AQ426&gt;0,AQ426*8760*(AQ429*10^6/(8760*AQ426)),0)*'Assumptions (NG)'!AP26+if(AQ427&gt;0,AQ427*8760*(AQ430*10^6/(8760*AQ427)),0)*'Assumptions (NG)'!AP29)/10^9</f>
        <v>2.17818106</v>
      </c>
      <c r="AR432" s="160">
        <f>(AR426*'Assumptions (NG)'!AQ25+AR427*'Assumptions (NG)'!AQ28+if(AR426&gt;0,AR426*8760*(AR429*10^6/(8760*AR426)),0)*'Assumptions (NG)'!AQ26+if(AR427&gt;0,AR427*8760*(AR430*10^6/(8760*AR427)),0)*'Assumptions (NG)'!AQ29)/10^9</f>
        <v>2.21586889</v>
      </c>
      <c r="AS432" s="160">
        <f>(AS426*'Assumptions (NG)'!AR25+AS427*'Assumptions (NG)'!AR28+if(AS426&gt;0,AS426*8760*(AS429*10^6/(8760*AS426)),0)*'Assumptions (NG)'!AR26+if(AS427&gt;0,AS427*8760*(AS430*10^6/(8760*AS427)),0)*'Assumptions (NG)'!AR29)/10^9</f>
        <v>2.254208793</v>
      </c>
      <c r="AT432" s="160">
        <f>(AT426*'Assumptions (NG)'!AS25+AT427*'Assumptions (NG)'!AS28+if(AT426&gt;0,AT426*8760*(AT429*10^6/(8760*AT426)),0)*'Assumptions (NG)'!AS26+if(AT427&gt;0,AT427*8760*(AT430*10^6/(8760*AT427)),0)*'Assumptions (NG)'!AS29)/10^9</f>
        <v>2.29321205</v>
      </c>
      <c r="AU432" s="160">
        <f>(AU426*'Assumptions (NG)'!AT25+AU427*'Assumptions (NG)'!AT28+if(AU426&gt;0,AU426*8760*(AU429*10^6/(8760*AU426)),0)*'Assumptions (NG)'!AT26+if(AU427&gt;0,AU427*8760*(AU430*10^6/(8760*AU427)),0)*'Assumptions (NG)'!AT29)/10^9</f>
        <v>2.332890139</v>
      </c>
      <c r="AV432" s="160">
        <f>(AV426*'Assumptions (NG)'!AU25+AV427*'Assumptions (NG)'!AU28+if(AV426&gt;0,AV426*8760*(AV429*10^6/(8760*AV426)),0)*'Assumptions (NG)'!AU26+if(AV427&gt;0,AV427*8760*(AV430*10^6/(8760*AV427)),0)*'Assumptions (NG)'!AU29)/10^9</f>
        <v>2.373254735</v>
      </c>
      <c r="AW432" s="160">
        <f>(AW426*'Assumptions (NG)'!AV25+AW427*'Assumptions (NG)'!AV28+if(AW426&gt;0,AW426*8760*(AW429*10^6/(8760*AW426)),0)*'Assumptions (NG)'!AV26+if(AW427&gt;0,AW427*8760*(AW430*10^6/(8760*AW427)),0)*'Assumptions (NG)'!AV29)/10^9</f>
        <v>2.414317716</v>
      </c>
      <c r="AX432" s="160">
        <f>(AX426*'Assumptions (NG)'!AW25+AX427*'Assumptions (NG)'!AW28+if(AX426&gt;0,AX426*8760*(AX429*10^6/(8760*AX426)),0)*'Assumptions (NG)'!AW26+if(AX427&gt;0,AX427*8760*(AX430*10^6/(8760*AX427)),0)*'Assumptions (NG)'!AW29)/10^9</f>
        <v>2.456091165</v>
      </c>
      <c r="AY432" s="160">
        <f>(AY426*'Assumptions (NG)'!AX25+AY427*'Assumptions (NG)'!AX28+if(AY426&gt;0,AY426*8760*(AY429*10^6/(8760*AY426)),0)*'Assumptions (NG)'!AX26+if(AY427&gt;0,AY427*8760*(AY430*10^6/(8760*AY427)),0)*'Assumptions (NG)'!AX29)/10^9</f>
        <v>2.498587373</v>
      </c>
      <c r="AZ432" s="160">
        <f>(AZ426*'Assumptions (NG)'!AY25+AZ427*'Assumptions (NG)'!AY28+if(AZ426&gt;0,AZ426*8760*(AZ429*10^6/(8760*AZ426)),0)*'Assumptions (NG)'!AY26+if(AZ427&gt;0,AZ427*8760*(AZ430*10^6/(8760*AZ427)),0)*'Assumptions (NG)'!AY29)/10^9</f>
        <v>2.541818846</v>
      </c>
      <c r="BA432" s="160">
        <f>(BA426*'Assumptions (NG)'!AZ25+BA427*'Assumptions (NG)'!AZ28+if(BA426&gt;0,BA426*8760*(BA429*10^6/(8760*BA426)),0)*'Assumptions (NG)'!AZ26+if(BA427&gt;0,BA427*8760*(BA430*10^6/(8760*BA427)),0)*'Assumptions (NG)'!AZ29)/10^9</f>
        <v>2.585798304</v>
      </c>
    </row>
    <row r="433" ht="15.75" customHeight="1">
      <c r="A433" s="207" t="s">
        <v>389</v>
      </c>
      <c r="B433" s="150" t="s">
        <v>390</v>
      </c>
      <c r="C433" s="210">
        <f t="shared" ref="C433:AZ433" si="25">1000*C434/C428</f>
        <v>9.349465862</v>
      </c>
      <c r="D433" s="210">
        <f t="shared" si="25"/>
        <v>9.182999817</v>
      </c>
      <c r="E433" s="210">
        <f t="shared" si="25"/>
        <v>8.119519034</v>
      </c>
      <c r="F433" s="210">
        <f t="shared" si="25"/>
        <v>7.9825</v>
      </c>
      <c r="G433" s="210">
        <f t="shared" si="25"/>
        <v>7.9825</v>
      </c>
      <c r="H433" s="210">
        <f t="shared" si="25"/>
        <v>7.9825</v>
      </c>
      <c r="I433" s="210">
        <f t="shared" si="25"/>
        <v>7.9825</v>
      </c>
      <c r="J433" s="210">
        <f t="shared" si="25"/>
        <v>7.9825</v>
      </c>
      <c r="K433" s="210">
        <f t="shared" si="25"/>
        <v>8.0354</v>
      </c>
      <c r="L433" s="210">
        <f t="shared" si="25"/>
        <v>8.0005</v>
      </c>
      <c r="M433" s="210">
        <f t="shared" si="25"/>
        <v>8.0161</v>
      </c>
      <c r="N433" s="210">
        <f t="shared" si="25"/>
        <v>7.9996</v>
      </c>
      <c r="O433" s="210">
        <f t="shared" si="25"/>
        <v>8.0034</v>
      </c>
      <c r="P433" s="210">
        <f t="shared" si="25"/>
        <v>8.0374</v>
      </c>
      <c r="Q433" s="210">
        <f t="shared" si="25"/>
        <v>8.03</v>
      </c>
      <c r="R433" s="210">
        <f t="shared" si="25"/>
        <v>8.193732956</v>
      </c>
      <c r="S433" s="210">
        <f t="shared" si="25"/>
        <v>8.413735397</v>
      </c>
      <c r="T433" s="210">
        <f t="shared" si="25"/>
        <v>8.487423741</v>
      </c>
      <c r="U433" s="210">
        <f t="shared" si="25"/>
        <v>8.180738445</v>
      </c>
      <c r="V433" s="210">
        <f t="shared" si="25"/>
        <v>8.012503109</v>
      </c>
      <c r="W433" s="210">
        <f t="shared" si="25"/>
        <v>7.844267774</v>
      </c>
      <c r="X433" s="210">
        <f t="shared" si="25"/>
        <v>7.656968583</v>
      </c>
      <c r="Y433" s="210">
        <f t="shared" si="25"/>
        <v>7.471420682</v>
      </c>
      <c r="Z433" s="210">
        <f t="shared" si="25"/>
        <v>7.287579515</v>
      </c>
      <c r="AA433" s="210">
        <f t="shared" si="25"/>
        <v>7.105402026</v>
      </c>
      <c r="AB433" s="210">
        <f t="shared" si="25"/>
        <v>6.924846594</v>
      </c>
      <c r="AC433" s="210">
        <f t="shared" si="25"/>
        <v>6.745872977</v>
      </c>
      <c r="AD433" s="210">
        <f t="shared" si="25"/>
        <v>6.56844225</v>
      </c>
      <c r="AE433" s="210">
        <f t="shared" si="25"/>
        <v>6.555329627</v>
      </c>
      <c r="AF433" s="210">
        <f t="shared" si="25"/>
        <v>6.542428636</v>
      </c>
      <c r="AG433" s="210">
        <f t="shared" si="25"/>
        <v>6.529734197</v>
      </c>
      <c r="AH433" s="210">
        <f t="shared" si="25"/>
        <v>6.517241387</v>
      </c>
      <c r="AI433" s="210">
        <f t="shared" si="25"/>
        <v>6.504945441</v>
      </c>
      <c r="AJ433" s="210">
        <f t="shared" si="25"/>
        <v>6.492841742</v>
      </c>
      <c r="AK433" s="210">
        <f t="shared" si="25"/>
        <v>6.480925816</v>
      </c>
      <c r="AL433" s="210">
        <f t="shared" si="25"/>
        <v>6.469193326</v>
      </c>
      <c r="AM433" s="210">
        <f t="shared" si="25"/>
        <v>6.457640071</v>
      </c>
      <c r="AN433" s="210">
        <f t="shared" si="25"/>
        <v>6.446261973</v>
      </c>
      <c r="AO433" s="210">
        <f t="shared" si="25"/>
        <v>6.435055079</v>
      </c>
      <c r="AP433" s="210">
        <f t="shared" si="25"/>
        <v>6.424015554</v>
      </c>
      <c r="AQ433" s="210">
        <f t="shared" si="25"/>
        <v>6.413139677</v>
      </c>
      <c r="AR433" s="210">
        <f t="shared" si="25"/>
        <v>6.402423835</v>
      </c>
      <c r="AS433" s="210">
        <f t="shared" si="25"/>
        <v>6.391864522</v>
      </c>
      <c r="AT433" s="210">
        <f t="shared" si="25"/>
        <v>6.381458333</v>
      </c>
      <c r="AU433" s="210">
        <f t="shared" si="25"/>
        <v>6.371201961</v>
      </c>
      <c r="AV433" s="210">
        <f t="shared" si="25"/>
        <v>6.361092195</v>
      </c>
      <c r="AW433" s="210">
        <f t="shared" si="25"/>
        <v>6.351125912</v>
      </c>
      <c r="AX433" s="210">
        <f t="shared" si="25"/>
        <v>6.341300081</v>
      </c>
      <c r="AY433" s="210">
        <f t="shared" si="25"/>
        <v>6.331611752</v>
      </c>
      <c r="AZ433" s="210">
        <f t="shared" si="25"/>
        <v>6.322058059</v>
      </c>
      <c r="BA433" s="210">
        <f>if(BA428&gt;0,1000*BA434/BA428,0)</f>
        <v>6.312636216</v>
      </c>
    </row>
    <row r="434" ht="15.75" customHeight="1">
      <c r="A434" s="207" t="s">
        <v>391</v>
      </c>
      <c r="B434" s="150" t="s">
        <v>392</v>
      </c>
      <c r="C434" s="211">
        <f>(C429*10^6*'Assumptions (NG)'!B32+C430*10^6*'Assumptions (NG)'!B33)/10^9</f>
        <v>0.1904703384</v>
      </c>
      <c r="D434" s="211">
        <f>(D429*10^6*'Assumptions (NG)'!C32+D430*10^6*'Assumptions (NG)'!C33)/10^9</f>
        <v>0.3158500042</v>
      </c>
      <c r="E434" s="211">
        <f>(E429*10^6*'Assumptions (NG)'!D32+E430*10^6*'Assumptions (NG)'!D33)/10^9</f>
        <v>0.3921189775</v>
      </c>
      <c r="F434" s="211">
        <f>(F429*10^6*'Assumptions (NG)'!E32+F430*10^6*'Assumptions (NG)'!E33)/10^9</f>
        <v>0.2384209668</v>
      </c>
      <c r="G434" s="211">
        <f>(G429*10^6*'Assumptions (NG)'!F32+G430*10^6*'Assumptions (NG)'!F33)/10^9</f>
        <v>0.3222873389</v>
      </c>
      <c r="H434" s="211">
        <f>(H429*10^6*'Assumptions (NG)'!G32+H430*10^6*'Assumptions (NG)'!G33)/10^9</f>
        <v>0.3840003657</v>
      </c>
      <c r="I434" s="211">
        <f>(I429*10^6*'Assumptions (NG)'!H32+I430*10^6*'Assumptions (NG)'!H33)/10^9</f>
        <v>0.4629975086</v>
      </c>
      <c r="J434" s="211">
        <f>(J429*10^6*'Assumptions (NG)'!I32+J430*10^6*'Assumptions (NG)'!I33)/10^9</f>
        <v>0.5730551497</v>
      </c>
      <c r="K434" s="211">
        <f>(K429*10^6*'Assumptions (NG)'!J32+K430*10^6*'Assumptions (NG)'!J33)/10^9</f>
        <v>0.5365422841</v>
      </c>
      <c r="L434" s="211">
        <f>(L429*10^6*'Assumptions (NG)'!K32+L430*10^6*'Assumptions (NG)'!K33)/10^9</f>
        <v>0.7234974558</v>
      </c>
      <c r="M434" s="211">
        <f>(M429*10^6*'Assumptions (NG)'!L32+M430*10^6*'Assumptions (NG)'!L33)/10^9</f>
        <v>0.9171641176</v>
      </c>
      <c r="N434" s="211">
        <f>(N429*10^6*'Assumptions (NG)'!M32+N430*10^6*'Assumptions (NG)'!M33)/10^9</f>
        <v>1.052276824</v>
      </c>
      <c r="O434" s="211">
        <f>(O429*10^6*'Assumptions (NG)'!N32+O430*10^6*'Assumptions (NG)'!N33)/10^9</f>
        <v>1.428627237</v>
      </c>
      <c r="P434" s="211">
        <f>(P429*10^6*'Assumptions (NG)'!O32+P430*10^6*'Assumptions (NG)'!O33)/10^9</f>
        <v>1.314327103</v>
      </c>
      <c r="Q434" s="211">
        <f>(Q429*10^6*'Assumptions (NG)'!P32+Q430*10^6*'Assumptions (NG)'!P33)/10^9</f>
        <v>1.350490917</v>
      </c>
      <c r="R434" s="211">
        <f>(R429*10^6*'Assumptions (NG)'!Q32+R430*10^6*'Assumptions (NG)'!Q33)/10^9</f>
        <v>1.752215847</v>
      </c>
      <c r="S434" s="211">
        <f>(S429*10^6*'Assumptions (NG)'!R32+S430*10^6*'Assumptions (NG)'!R33)/10^9</f>
        <v>1.915784766</v>
      </c>
      <c r="T434" s="211">
        <f>(T429*10^6*'Assumptions (NG)'!S32+T430*10^6*'Assumptions (NG)'!S33)/10^9</f>
        <v>1.849232501</v>
      </c>
      <c r="U434" s="211">
        <f>(U429*10^6*'Assumptions (NG)'!T32+U430*10^6*'Assumptions (NG)'!T33)/10^9</f>
        <v>1.953172475</v>
      </c>
      <c r="V434" s="211">
        <f>(V429*10^6*'Assumptions (NG)'!U32+V430*10^6*'Assumptions (NG)'!U33)/10^9</f>
        <v>1.913005854</v>
      </c>
      <c r="W434" s="211">
        <f>(W429*10^6*'Assumptions (NG)'!V32+W430*10^6*'Assumptions (NG)'!V33)/10^9</f>
        <v>1.872839232</v>
      </c>
      <c r="X434" s="211">
        <f>(X429*10^6*'Assumptions (NG)'!W32+X430*10^6*'Assumptions (NG)'!W33)/10^9</f>
        <v>1.844029059</v>
      </c>
      <c r="Y434" s="211">
        <f>(Y429*10^6*'Assumptions (NG)'!X32+Y430*10^6*'Assumptions (NG)'!X33)/10^9</f>
        <v>1.814866029</v>
      </c>
      <c r="Z434" s="211">
        <f>(Z429*10^6*'Assumptions (NG)'!Y32+Z430*10^6*'Assumptions (NG)'!Y33)/10^9</f>
        <v>1.78535014</v>
      </c>
      <c r="AA434" s="211">
        <f>(AA429*10^6*'Assumptions (NG)'!Z32+AA430*10^6*'Assumptions (NG)'!Z33)/10^9</f>
        <v>1.755481394</v>
      </c>
      <c r="AB434" s="211">
        <f>(AB429*10^6*'Assumptions (NG)'!AA32+AB430*10^6*'Assumptions (NG)'!AA33)/10^9</f>
        <v>1.72525979</v>
      </c>
      <c r="AC434" s="211">
        <f>(AC429*10^6*'Assumptions (NG)'!AB32+AC430*10^6*'Assumptions (NG)'!AB33)/10^9</f>
        <v>1.694685329</v>
      </c>
      <c r="AD434" s="211">
        <f>(AD429*10^6*'Assumptions (NG)'!AC32+AD430*10^6*'Assumptions (NG)'!AC33)/10^9</f>
        <v>1.663758009</v>
      </c>
      <c r="AE434" s="211">
        <f>(AE429*10^6*'Assumptions (NG)'!AD32+AE430*10^6*'Assumptions (NG)'!AD33)/10^9</f>
        <v>1.674055885</v>
      </c>
      <c r="AF434" s="211">
        <f>(AF429*10^6*'Assumptions (NG)'!AE32+AF430*10^6*'Assumptions (NG)'!AE33)/10^9</f>
        <v>1.68435376</v>
      </c>
      <c r="AG434" s="211">
        <f>(AG429*10^6*'Assumptions (NG)'!AF32+AG430*10^6*'Assumptions (NG)'!AF33)/10^9</f>
        <v>1.694651636</v>
      </c>
      <c r="AH434" s="211">
        <f>(AH429*10^6*'Assumptions (NG)'!AG32+AH430*10^6*'Assumptions (NG)'!AG33)/10^9</f>
        <v>1.704949512</v>
      </c>
      <c r="AI434" s="211">
        <f>(AI429*10^6*'Assumptions (NG)'!AH32+AI430*10^6*'Assumptions (NG)'!AH33)/10^9</f>
        <v>1.715247387</v>
      </c>
      <c r="AJ434" s="211">
        <f>(AJ429*10^6*'Assumptions (NG)'!AI32+AJ430*10^6*'Assumptions (NG)'!AI33)/10^9</f>
        <v>1.725545263</v>
      </c>
      <c r="AK434" s="211">
        <f>(AK429*10^6*'Assumptions (NG)'!AJ32+AK430*10^6*'Assumptions (NG)'!AJ33)/10^9</f>
        <v>1.735843139</v>
      </c>
      <c r="AL434" s="211">
        <f>(AL429*10^6*'Assumptions (NG)'!AK32+AL430*10^6*'Assumptions (NG)'!AK33)/10^9</f>
        <v>1.746141014</v>
      </c>
      <c r="AM434" s="211">
        <f>(AM429*10^6*'Assumptions (NG)'!AL32+AM430*10^6*'Assumptions (NG)'!AL33)/10^9</f>
        <v>1.75643889</v>
      </c>
      <c r="AN434" s="211">
        <f>(AN429*10^6*'Assumptions (NG)'!AM32+AN430*10^6*'Assumptions (NG)'!AM33)/10^9</f>
        <v>1.766736766</v>
      </c>
      <c r="AO434" s="211">
        <f>(AO429*10^6*'Assumptions (NG)'!AN32+AO430*10^6*'Assumptions (NG)'!AN33)/10^9</f>
        <v>1.777034641</v>
      </c>
      <c r="AP434" s="211">
        <f>(AP429*10^6*'Assumptions (NG)'!AO32+AP430*10^6*'Assumptions (NG)'!AO33)/10^9</f>
        <v>1.787332517</v>
      </c>
      <c r="AQ434" s="211">
        <f>(AQ429*10^6*'Assumptions (NG)'!AP32+AQ430*10^6*'Assumptions (NG)'!AP33)/10^9</f>
        <v>1.797630393</v>
      </c>
      <c r="AR434" s="211">
        <f>(AR429*10^6*'Assumptions (NG)'!AQ32+AR430*10^6*'Assumptions (NG)'!AQ33)/10^9</f>
        <v>1.807928268</v>
      </c>
      <c r="AS434" s="211">
        <f>(AS429*10^6*'Assumptions (NG)'!AR32+AS430*10^6*'Assumptions (NG)'!AR33)/10^9</f>
        <v>1.818226144</v>
      </c>
      <c r="AT434" s="211">
        <f>(AT429*10^6*'Assumptions (NG)'!AS32+AT430*10^6*'Assumptions (NG)'!AS33)/10^9</f>
        <v>1.82852402</v>
      </c>
      <c r="AU434" s="211">
        <f>(AU429*10^6*'Assumptions (NG)'!AT32+AU430*10^6*'Assumptions (NG)'!AT33)/10^9</f>
        <v>1.838821895</v>
      </c>
      <c r="AV434" s="211">
        <f>(AV429*10^6*'Assumptions (NG)'!AU32+AV430*10^6*'Assumptions (NG)'!AU33)/10^9</f>
        <v>1.849119771</v>
      </c>
      <c r="AW434" s="211">
        <f>(AW429*10^6*'Assumptions (NG)'!AV32+AW430*10^6*'Assumptions (NG)'!AV33)/10^9</f>
        <v>1.859417646</v>
      </c>
      <c r="AX434" s="211">
        <f>(AX429*10^6*'Assumptions (NG)'!AW32+AX430*10^6*'Assumptions (NG)'!AW33)/10^9</f>
        <v>1.869715522</v>
      </c>
      <c r="AY434" s="211">
        <f>(AY429*10^6*'Assumptions (NG)'!AX32+AY430*10^6*'Assumptions (NG)'!AX33)/10^9</f>
        <v>1.880013398</v>
      </c>
      <c r="AZ434" s="211">
        <f>(AZ429*10^6*'Assumptions (NG)'!AY32+AZ430*10^6*'Assumptions (NG)'!AY33)/10^9</f>
        <v>1.890311273</v>
      </c>
      <c r="BA434" s="211">
        <f>(BA429*10^6*'Assumptions (NG)'!AZ32+BA430*10^6*'Assumptions (NG)'!AZ33)/10^9</f>
        <v>1.900609149</v>
      </c>
    </row>
    <row r="435" ht="15.75" customHeight="1">
      <c r="A435" s="209" t="s">
        <v>34</v>
      </c>
      <c r="B435" s="159" t="s">
        <v>351</v>
      </c>
      <c r="C435" s="212">
        <f>C434*'Assumptions (NG)'!B58</f>
        <v>0.8342600822</v>
      </c>
      <c r="D435" s="212">
        <f>D434*'Assumptions (NG)'!C58</f>
        <v>1.456068519</v>
      </c>
      <c r="E435" s="212">
        <f>E434*'Assumptions (NG)'!D58</f>
        <v>1.442997837</v>
      </c>
      <c r="F435" s="212">
        <f>F434*'Assumptions (NG)'!E58</f>
        <v>1.328004785</v>
      </c>
      <c r="G435" s="212">
        <f>G434*'Assumptions (NG)'!F58</f>
        <v>1.96917564</v>
      </c>
      <c r="H435" s="212">
        <f>H434*'Assumptions (NG)'!G58</f>
        <v>3.252483097</v>
      </c>
      <c r="I435" s="212">
        <f>I434*'Assumptions (NG)'!H58</f>
        <v>3.291912286</v>
      </c>
      <c r="J435" s="212">
        <f>J434*'Assumptions (NG)'!I58</f>
        <v>4.189033144</v>
      </c>
      <c r="K435" s="212">
        <f>K434*'Assumptions (NG)'!J58</f>
        <v>4.96838155</v>
      </c>
      <c r="L435" s="212">
        <f>L434*'Assumptions (NG)'!K58</f>
        <v>3.566842457</v>
      </c>
      <c r="M435" s="212">
        <f>M434*'Assumptions (NG)'!L58</f>
        <v>4.8334549</v>
      </c>
      <c r="N435" s="212">
        <f>N434*'Assumptions (NG)'!M58</f>
        <v>5.145633667</v>
      </c>
      <c r="O435" s="212">
        <f>O434*'Assumptions (NG)'!N58</f>
        <v>5.057340418</v>
      </c>
      <c r="P435" s="212">
        <f>P434*'Assumptions (NG)'!O58</f>
        <v>5.901328694</v>
      </c>
      <c r="Q435" s="212">
        <f>Q434*'Assumptions (NG)'!P58</f>
        <v>7.009047857</v>
      </c>
      <c r="R435" s="212">
        <f>R434*'Assumptions (NG)'!Q58</f>
        <v>5.922489562</v>
      </c>
      <c r="S435" s="212">
        <f>S434*'Assumptions (NG)'!R58</f>
        <v>5.728196449</v>
      </c>
      <c r="T435" s="212">
        <f>T434*'Assumptions (NG)'!S58</f>
        <v>6.509298402</v>
      </c>
      <c r="U435" s="212">
        <f>U434*'Assumptions (NG)'!T58</f>
        <v>7.168142985</v>
      </c>
      <c r="V435" s="212">
        <f>V434*'Assumptions (NG)'!U58</f>
        <v>6.484144819</v>
      </c>
      <c r="W435" s="212">
        <f>W434*'Assumptions (NG)'!V58</f>
        <v>6.593397938</v>
      </c>
      <c r="X435" s="212">
        <f>X434*'Assumptions (NG)'!W58</f>
        <v>6.388428456</v>
      </c>
      <c r="Y435" s="212">
        <f>Y425*8760*('Assumptions (NG)'!X17*'Assumptions (NG)'!X20*'Assumptions (NG)'!X35+'Assumptions (NG)'!X18*'Assumptions (NG)'!X22*'Assumptions (NG)'!X36)/10^9</f>
        <v>5.778221799</v>
      </c>
      <c r="Z435" s="212">
        <f>Z425*8760*('Assumptions (NG)'!Y17*'Assumptions (NG)'!Y20*'Assumptions (NG)'!Y35+'Assumptions (NG)'!Y18*'Assumptions (NG)'!Y22*'Assumptions (NG)'!Y36)/10^9</f>
        <v>5.987028441</v>
      </c>
      <c r="AA435" s="212">
        <f>AA425*8760*('Assumptions (NG)'!Z17*'Assumptions (NG)'!Z20*'Assumptions (NG)'!Z35+'Assumptions (NG)'!Z18*'Assumptions (NG)'!Z22*'Assumptions (NG)'!Z36)/10^9</f>
        <v>6.27859588</v>
      </c>
      <c r="AB435" s="212">
        <f>AB425*8760*('Assumptions (NG)'!AA17*'Assumptions (NG)'!AA20*'Assumptions (NG)'!AA35+'Assumptions (NG)'!AA18*'Assumptions (NG)'!AA22*'Assumptions (NG)'!AA36)/10^9</f>
        <v>6.560807126</v>
      </c>
      <c r="AC435" s="212">
        <f>AC425*8760*('Assumptions (NG)'!AB17*'Assumptions (NG)'!AB20*'Assumptions (NG)'!AB35+'Assumptions (NG)'!AB18*'Assumptions (NG)'!AB22*'Assumptions (NG)'!AB36)/10^9</f>
        <v>6.576192716</v>
      </c>
      <c r="AD435" s="212">
        <f>AD425*8760*('Assumptions (NG)'!AC17*'Assumptions (NG)'!AC20*'Assumptions (NG)'!AC35+'Assumptions (NG)'!AC18*'Assumptions (NG)'!AC22*'Assumptions (NG)'!AC36)/10^9</f>
        <v>6.493058896</v>
      </c>
      <c r="AE435" s="212">
        <f>AE425*8760*('Assumptions (NG)'!AD17*'Assumptions (NG)'!AD20*'Assumptions (NG)'!AD35+'Assumptions (NG)'!AD18*'Assumptions (NG)'!AD22*'Assumptions (NG)'!AD36)/10^9</f>
        <v>6.678476849</v>
      </c>
      <c r="AF435" s="212">
        <f>AF425*8760*('Assumptions (NG)'!AE17*'Assumptions (NG)'!AE20*'Assumptions (NG)'!AE35+'Assumptions (NG)'!AE18*'Assumptions (NG)'!AE22*'Assumptions (NG)'!AE36)/10^9</f>
        <v>6.731814405</v>
      </c>
      <c r="AG435" s="212">
        <f>AG425*8760*('Assumptions (NG)'!AF17*'Assumptions (NG)'!AF20*'Assumptions (NG)'!AF35+'Assumptions (NG)'!AF18*'Assumptions (NG)'!AF22*'Assumptions (NG)'!AF36)/10^9</f>
        <v>6.857221151</v>
      </c>
      <c r="AH435" s="212">
        <f>AH425*8760*('Assumptions (NG)'!AG17*'Assumptions (NG)'!AG20*'Assumptions (NG)'!AG35+'Assumptions (NG)'!AG18*'Assumptions (NG)'!AG22*'Assumptions (NG)'!AG36)/10^9</f>
        <v>6.906136068</v>
      </c>
      <c r="AI435" s="212">
        <f>AI425*8760*('Assumptions (NG)'!AH17*'Assumptions (NG)'!AH20*'Assumptions (NG)'!AH35+'Assumptions (NG)'!AH18*'Assumptions (NG)'!AH22*'Assumptions (NG)'!AH36)/10^9</f>
        <v>7.222782529</v>
      </c>
      <c r="AJ435" s="212">
        <f>AJ425*8760*('Assumptions (NG)'!AI17*'Assumptions (NG)'!AI20*'Assumptions (NG)'!AI35+'Assumptions (NG)'!AI18*'Assumptions (NG)'!AI22*'Assumptions (NG)'!AI36)/10^9</f>
        <v>7.38359018</v>
      </c>
      <c r="AK435" s="212">
        <f>AK425*8760*('Assumptions (NG)'!AJ17*'Assumptions (NG)'!AJ20*'Assumptions (NG)'!AJ35+'Assumptions (NG)'!AJ18*'Assumptions (NG)'!AJ22*'Assumptions (NG)'!AJ36)/10^9</f>
        <v>7.522479832</v>
      </c>
      <c r="AL435" s="212">
        <f>AL425*8760*('Assumptions (NG)'!AK17*'Assumptions (NG)'!AK20*'Assumptions (NG)'!AK35+'Assumptions (NG)'!AK18*'Assumptions (NG)'!AK22*'Assumptions (NG)'!AK36)/10^9</f>
        <v>7.656791713</v>
      </c>
      <c r="AM435" s="212">
        <f>AM425*8760*('Assumptions (NG)'!AL17*'Assumptions (NG)'!AL20*'Assumptions (NG)'!AL35+'Assumptions (NG)'!AL18*'Assumptions (NG)'!AL22*'Assumptions (NG)'!AL36)/10^9</f>
        <v>7.856889506</v>
      </c>
      <c r="AN435" s="212">
        <f>AN425*8760*('Assumptions (NG)'!AM17*'Assumptions (NG)'!AM20*'Assumptions (NG)'!AM35+'Assumptions (NG)'!AM18*'Assumptions (NG)'!AM22*'Assumptions (NG)'!AM36)/10^9</f>
        <v>7.948782286</v>
      </c>
      <c r="AO435" s="212">
        <f>AO425*8760*('Assumptions (NG)'!AN17*'Assumptions (NG)'!AN20*'Assumptions (NG)'!AN35+'Assumptions (NG)'!AN18*'Assumptions (NG)'!AN22*'Assumptions (NG)'!AN36)/10^9</f>
        <v>8.022568428</v>
      </c>
      <c r="AP435" s="212">
        <f>AP425*8760*('Assumptions (NG)'!AO17*'Assumptions (NG)'!AO20*'Assumptions (NG)'!AO35+'Assumptions (NG)'!AO18*'Assumptions (NG)'!AO22*'Assumptions (NG)'!AO36)/10^9</f>
        <v>8.130871918</v>
      </c>
      <c r="AQ435" s="212">
        <f>AQ425*8760*('Assumptions (NG)'!AP17*'Assumptions (NG)'!AP20*'Assumptions (NG)'!AP35+'Assumptions (NG)'!AP18*'Assumptions (NG)'!AP22*'Assumptions (NG)'!AP36)/10^9</f>
        <v>8.332268496</v>
      </c>
      <c r="AR435" s="212">
        <f>AR425*8760*('Assumptions (NG)'!AQ17*'Assumptions (NG)'!AQ20*'Assumptions (NG)'!AQ35+'Assumptions (NG)'!AQ18*'Assumptions (NG)'!AQ22*'Assumptions (NG)'!AQ36)/10^9</f>
        <v>8.375185978</v>
      </c>
      <c r="AS435" s="212">
        <f>AS425*8760*('Assumptions (NG)'!AR17*'Assumptions (NG)'!AR20*'Assumptions (NG)'!AR35+'Assumptions (NG)'!AR18*'Assumptions (NG)'!AR22*'Assumptions (NG)'!AR36)/10^9</f>
        <v>8.532669543</v>
      </c>
      <c r="AT435" s="212">
        <f>AT425*8760*('Assumptions (NG)'!AS17*'Assumptions (NG)'!AS20*'Assumptions (NG)'!AS35+'Assumptions (NG)'!AS18*'Assumptions (NG)'!AS22*'Assumptions (NG)'!AS36)/10^9</f>
        <v>8.727023451</v>
      </c>
      <c r="AU435" s="212">
        <f>AU425*8760*('Assumptions (NG)'!AT17*'Assumptions (NG)'!AT20*'Assumptions (NG)'!AT35+'Assumptions (NG)'!AT18*'Assumptions (NG)'!AT22*'Assumptions (NG)'!AT36)/10^9</f>
        <v>8.976509603</v>
      </c>
      <c r="AV435" s="212">
        <f>AV425*8760*('Assumptions (NG)'!AU17*'Assumptions (NG)'!AU20*'Assumptions (NG)'!AU35+'Assumptions (NG)'!AU18*'Assumptions (NG)'!AU22*'Assumptions (NG)'!AU36)/10^9</f>
        <v>9.195920099</v>
      </c>
      <c r="AW435" s="212">
        <f>AW425*8760*('Assumptions (NG)'!AV17*'Assumptions (NG)'!AV20*'Assumptions (NG)'!AV35+'Assumptions (NG)'!AV18*'Assumptions (NG)'!AV22*'Assumptions (NG)'!AV36)/10^9</f>
        <v>9.385668582</v>
      </c>
      <c r="AX435" s="212">
        <f>AX425*8760*('Assumptions (NG)'!AW17*'Assumptions (NG)'!AW20*'Assumptions (NG)'!AW35+'Assumptions (NG)'!AW18*'Assumptions (NG)'!AW22*'Assumptions (NG)'!AW36)/10^9</f>
        <v>9.61691855</v>
      </c>
      <c r="AY435" s="212">
        <f>AY425*8760*('Assumptions (NG)'!AX17*'Assumptions (NG)'!AX20*'Assumptions (NG)'!AX35+'Assumptions (NG)'!AX18*'Assumptions (NG)'!AX22*'Assumptions (NG)'!AX36)/10^9</f>
        <v>9.984804205</v>
      </c>
      <c r="AZ435" s="212">
        <f>AZ425*8760*('Assumptions (NG)'!AY17*'Assumptions (NG)'!AY20*'Assumptions (NG)'!AY35+'Assumptions (NG)'!AY18*'Assumptions (NG)'!AY22*'Assumptions (NG)'!AY36)/10^9</f>
        <v>10.25807063</v>
      </c>
      <c r="BA435" s="212">
        <f>BA425*8760*('Assumptions (NG)'!AZ17*'Assumptions (NG)'!AZ20*'Assumptions (NG)'!AZ35+'Assumptions (NG)'!AZ18*'Assumptions (NG)'!AZ22*'Assumptions (NG)'!AZ36)/10^9</f>
        <v>10.52774966</v>
      </c>
    </row>
    <row r="436" ht="15.75" customHeight="1">
      <c r="A436" s="209" t="s">
        <v>36</v>
      </c>
      <c r="B436" s="159" t="s">
        <v>351</v>
      </c>
      <c r="C436" s="160">
        <f>C428*'Assumptions (NG)'!B53/10^3</f>
        <v>1.363654036</v>
      </c>
      <c r="D436" s="160">
        <f>D428*'Assumptions (NG)'!C53/10^3</f>
        <v>2.358219483</v>
      </c>
      <c r="E436" s="160">
        <f>E428*'Assumptions (NG)'!D53/10^3</f>
        <v>2.993590412</v>
      </c>
      <c r="F436" s="160">
        <f>F428*'Assumptions (NG)'!E53/10^3</f>
        <v>2.250547573</v>
      </c>
      <c r="G436" s="160">
        <f>G428*'Assumptions (NG)'!F53/10^3</f>
        <v>3.196335403</v>
      </c>
      <c r="H436" s="160">
        <f>H428*'Assumptions (NG)'!G53/10^3</f>
        <v>4.61103021</v>
      </c>
      <c r="I436" s="160">
        <f>I428*'Assumptions (NG)'!H53/10^3</f>
        <v>5.001921734</v>
      </c>
      <c r="J436" s="160">
        <f>J428*'Assumptions (NG)'!I53/10^3</f>
        <v>6.292421931</v>
      </c>
      <c r="K436" s="160">
        <f>K428*'Assumptions (NG)'!J53/10^3</f>
        <v>6.773263748</v>
      </c>
      <c r="L436" s="160">
        <f>L428*'Assumptions (NG)'!K53/10^3</f>
        <v>6.404822155</v>
      </c>
      <c r="M436" s="160">
        <f>M428*'Assumptions (NG)'!L53/10^3</f>
        <v>8.378503194</v>
      </c>
      <c r="N436" s="160">
        <f>N428*'Assumptions (NG)'!M53/10^3</f>
        <v>9.279217382</v>
      </c>
      <c r="O436" s="160">
        <f>O428*'Assumptions (NG)'!N53/10^3</f>
        <v>10.8882623</v>
      </c>
      <c r="P436" s="160">
        <f>P428*'Assumptions (NG)'!O53/10^3</f>
        <v>11.07307584</v>
      </c>
      <c r="Q436" s="160">
        <f>Q428*'Assumptions (NG)'!P53/10^3</f>
        <v>12.22056371</v>
      </c>
      <c r="R436" s="160">
        <f>R428*'Assumptions (NG)'!Q53/10^3</f>
        <v>12.80237052</v>
      </c>
      <c r="S436" s="160">
        <f>S428*'Assumptions (NG)'!R53/10^3</f>
        <v>14.5885655</v>
      </c>
      <c r="T436" s="160">
        <f>T428*'Assumptions (NG)'!S53/10^3</f>
        <v>13.62616079</v>
      </c>
      <c r="U436" s="160">
        <f>U428*'Assumptions (NG)'!T53/10^3</f>
        <v>15.32791615</v>
      </c>
      <c r="V436" s="160">
        <f>V428*'Assumptions (NG)'!U53/10^3</f>
        <v>15.54040595</v>
      </c>
      <c r="W436" s="160">
        <f>W428*'Assumptions (NG)'!V53/10^3</f>
        <v>16.20969631</v>
      </c>
      <c r="X436" s="160">
        <f>X428*'Assumptions (NG)'!W53/10^3</f>
        <v>16.47476578</v>
      </c>
      <c r="Y436" s="160">
        <f>Y428*'Assumptions (NG)'!X53/10^3</f>
        <v>16.77031258</v>
      </c>
      <c r="Z436" s="160">
        <f>Z428*'Assumptions (NG)'!Y53/10^3</f>
        <v>17.18962417</v>
      </c>
      <c r="AA436" s="160">
        <f>AA428*'Assumptions (NG)'!Z53/10^3</f>
        <v>17.66488535</v>
      </c>
      <c r="AB436" s="160">
        <f>AB428*'Assumptions (NG)'!AA53/10^3</f>
        <v>18.31596049</v>
      </c>
      <c r="AC436" s="160">
        <f>AC428*'Assumptions (NG)'!AB53/10^3</f>
        <v>18.76690078</v>
      </c>
      <c r="AD436" s="160">
        <f>AD428*'Assumptions (NG)'!AC53/10^3</f>
        <v>19.29393932</v>
      </c>
      <c r="AE436" s="160">
        <f>AE428*'Assumptions (NG)'!AD53/10^3</f>
        <v>19.79384844</v>
      </c>
      <c r="AF436" s="160">
        <f>AF428*'Assumptions (NG)'!AE53/10^3</f>
        <v>20.32240483</v>
      </c>
      <c r="AG436" s="160">
        <f>AG428*'Assumptions (NG)'!AF53/10^3</f>
        <v>20.86472549</v>
      </c>
      <c r="AH436" s="160">
        <f>AH428*'Assumptions (NG)'!AG53/10^3</f>
        <v>21.45148872</v>
      </c>
      <c r="AI436" s="160">
        <f>AI428*'Assumptions (NG)'!AH53/10^3</f>
        <v>21.96171866</v>
      </c>
      <c r="AJ436" s="160">
        <f>AJ428*'Assumptions (NG)'!AI53/10^3</f>
        <v>22.47068687</v>
      </c>
      <c r="AK436" s="160">
        <f>AK428*'Assumptions (NG)'!AJ53/10^3</f>
        <v>22.99196489</v>
      </c>
      <c r="AL436" s="160">
        <f>AL428*'Assumptions (NG)'!AK53/10^3</f>
        <v>23.55897334</v>
      </c>
      <c r="AM436" s="160">
        <f>AM428*'Assumptions (NG)'!AL53/10^3</f>
        <v>24.23236338</v>
      </c>
      <c r="AN436" s="160">
        <f>AN428*'Assumptions (NG)'!AM53/10^3</f>
        <v>24.89805666</v>
      </c>
      <c r="AO436" s="160">
        <f>AO428*'Assumptions (NG)'!AN53/10^3</f>
        <v>25.65007286</v>
      </c>
      <c r="AP436" s="160">
        <f>AP428*'Assumptions (NG)'!AO53/10^3</f>
        <v>26.42051121</v>
      </c>
      <c r="AQ436" s="160">
        <f>AQ428*'Assumptions (NG)'!AP53/10^3</f>
        <v>27.16093652</v>
      </c>
      <c r="AR436" s="160">
        <f>AR428*'Assumptions (NG)'!AQ53/10^3</f>
        <v>27.89732723</v>
      </c>
      <c r="AS436" s="160">
        <f>AS428*'Assumptions (NG)'!AR53/10^3</f>
        <v>28.63793044</v>
      </c>
      <c r="AT436" s="160">
        <f>AT428*'Assumptions (NG)'!AS53/10^3</f>
        <v>29.41870085</v>
      </c>
      <c r="AU436" s="160">
        <f>AU428*'Assumptions (NG)'!AT53/10^3</f>
        <v>30.24627308</v>
      </c>
      <c r="AV436" s="160">
        <f>AV428*'Assumptions (NG)'!AU53/10^3</f>
        <v>31.09857813</v>
      </c>
      <c r="AW436" s="160">
        <f>AW428*'Assumptions (NG)'!AV53/10^3</f>
        <v>31.90586757</v>
      </c>
      <c r="AX436" s="160">
        <f>AX428*'Assumptions (NG)'!AW53/10^3</f>
        <v>32.83851153</v>
      </c>
      <c r="AY436" s="160">
        <f>AY428*'Assumptions (NG)'!AX53/10^3</f>
        <v>34.26196319</v>
      </c>
      <c r="AZ436" s="160">
        <f>AZ428*'Assumptions (NG)'!AY53/10^3</f>
        <v>35.42073519</v>
      </c>
      <c r="BA436" s="160">
        <f>BA428*'Assumptions (NG)'!AZ53/10^3</f>
        <v>36.39438497</v>
      </c>
    </row>
    <row r="437" ht="15.75" customHeight="1">
      <c r="A437" s="209" t="s">
        <v>38</v>
      </c>
      <c r="B437" s="159" t="s">
        <v>351</v>
      </c>
      <c r="C437" s="160">
        <f>C425*'Assumptions (NG)'!B55*'Assumptions (NG)'!B56*365/10^9</f>
        <v>0</v>
      </c>
      <c r="D437" s="160">
        <f>D425*'Assumptions (NG)'!C55*'Assumptions (NG)'!C56*365/10^9</f>
        <v>0</v>
      </c>
      <c r="E437" s="160">
        <f>E425*'Assumptions (NG)'!D55*'Assumptions (NG)'!D56*365/10^9</f>
        <v>0</v>
      </c>
      <c r="F437" s="160">
        <f>F425*'Assumptions (NG)'!E55*'Assumptions (NG)'!E56*365/10^9</f>
        <v>0</v>
      </c>
      <c r="G437" s="160">
        <f>G425*'Assumptions (NG)'!F55*'Assumptions (NG)'!F56*365/10^9</f>
        <v>0</v>
      </c>
      <c r="H437" s="160">
        <f>H425*'Assumptions (NG)'!G55*'Assumptions (NG)'!G56*365/10^9</f>
        <v>0</v>
      </c>
      <c r="I437" s="160">
        <f>I425*'Assumptions (NG)'!H55*'Assumptions (NG)'!H56*365/10^9</f>
        <v>0</v>
      </c>
      <c r="J437" s="160">
        <f>J425*'Assumptions (NG)'!I55*'Assumptions (NG)'!I56*365/10^9</f>
        <v>2.163654389</v>
      </c>
      <c r="K437" s="160">
        <f>K425*'Assumptions (NG)'!J55*'Assumptions (NG)'!J56*365/10^9</f>
        <v>2.221349314</v>
      </c>
      <c r="L437" s="160">
        <f>L425*'Assumptions (NG)'!K55*'Assumptions (NG)'!K56*365/10^9</f>
        <v>2.579801646</v>
      </c>
      <c r="M437" s="160">
        <f>M425*'Assumptions (NG)'!L55*'Assumptions (NG)'!L56*365/10^9</f>
        <v>1.852271585</v>
      </c>
      <c r="N437" s="160">
        <f>N425*'Assumptions (NG)'!M55*'Assumptions (NG)'!M56*365/10^9</f>
        <v>1.975583505</v>
      </c>
      <c r="O437" s="160">
        <f>O425*'Assumptions (NG)'!N55*'Assumptions (NG)'!N56*365/10^9</f>
        <v>2.024837773</v>
      </c>
      <c r="P437" s="160">
        <f>P425*'Assumptions (NG)'!O55*'Assumptions (NG)'!O56*365/10^9</f>
        <v>1.768688333</v>
      </c>
      <c r="Q437" s="160">
        <f>Q425*'Assumptions (NG)'!P55*'Assumptions (NG)'!P56*365/10^9</f>
        <v>1.985480084</v>
      </c>
      <c r="R437" s="160">
        <f>R425*'Assumptions (NG)'!Q55*'Assumptions (NG)'!Q56*365/10^9</f>
        <v>2.121770968</v>
      </c>
      <c r="S437" s="160">
        <f>S425*'Assumptions (NG)'!R55*'Assumptions (NG)'!R56*365/10^9</f>
        <v>1.745249527</v>
      </c>
      <c r="T437" s="160">
        <f>T425*'Assumptions (NG)'!S55*'Assumptions (NG)'!S56*365/10^9</f>
        <v>1.871008177</v>
      </c>
      <c r="U437" s="160">
        <f>U425*'Assumptions (NG)'!T55*'Assumptions (NG)'!T56*365/10^9</f>
        <v>1.8627055</v>
      </c>
      <c r="V437" s="160">
        <f>V425*'Assumptions (NG)'!U55*'Assumptions (NG)'!U56*365/10^9</f>
        <v>1.912147316</v>
      </c>
      <c r="W437" s="160">
        <f>W425*'Assumptions (NG)'!V55*'Assumptions (NG)'!V56*365/10^9</f>
        <v>1.938655277</v>
      </c>
      <c r="X437" s="160">
        <f>X425*'Assumptions (NG)'!W55*'Assumptions (NG)'!W56*365/10^9</f>
        <v>1.964805874</v>
      </c>
      <c r="Y437" s="160">
        <f>Y425*'Assumptions (NG)'!X55*'Assumptions (NG)'!X56*365/10^9</f>
        <v>1.994499004</v>
      </c>
      <c r="Z437" s="160">
        <f>Z425*'Assumptions (NG)'!Y55*'Assumptions (NG)'!Y56*365/10^9</f>
        <v>2.038771326</v>
      </c>
      <c r="AA437" s="160">
        <f>AA425*'Assumptions (NG)'!Z55*'Assumptions (NG)'!Z56*365/10^9</f>
        <v>2.08948501</v>
      </c>
      <c r="AB437" s="160">
        <f>AB425*'Assumptions (NG)'!AA55*'Assumptions (NG)'!AA56*365/10^9</f>
        <v>2.16073203</v>
      </c>
      <c r="AC437" s="160">
        <f>AC425*'Assumptions (NG)'!AB55*'Assumptions (NG)'!AB56*365/10^9</f>
        <v>2.208119991</v>
      </c>
      <c r="AD437" s="160">
        <f>AD425*'Assumptions (NG)'!AC55*'Assumptions (NG)'!AC56*365/10^9</f>
        <v>2.264256936</v>
      </c>
      <c r="AE437" s="160">
        <f>AE425*'Assumptions (NG)'!AD55*'Assumptions (NG)'!AD56*365/10^9</f>
        <v>2.316995463</v>
      </c>
      <c r="AF437" s="160">
        <f>AF425*'Assumptions (NG)'!AE55*'Assumptions (NG)'!AE56*365/10^9</f>
        <v>2.372877526</v>
      </c>
      <c r="AG437" s="160">
        <f>AG425*'Assumptions (NG)'!AF55*'Assumptions (NG)'!AF56*365/10^9</f>
        <v>2.430149595</v>
      </c>
      <c r="AH437" s="160">
        <f>AH425*'Assumptions (NG)'!AG55*'Assumptions (NG)'!AG56*365/10^9</f>
        <v>2.49236936</v>
      </c>
      <c r="AI437" s="160">
        <f>AI425*'Assumptions (NG)'!AH55*'Assumptions (NG)'!AH56*365/10^9</f>
        <v>2.545482718</v>
      </c>
      <c r="AJ437" s="160">
        <f>AJ425*'Assumptions (NG)'!AI55*'Assumptions (NG)'!AI56*365/10^9</f>
        <v>2.598262251</v>
      </c>
      <c r="AK437" s="160">
        <f>AK425*'Assumptions (NG)'!AJ55*'Assumptions (NG)'!AJ56*365/10^9</f>
        <v>2.65227893</v>
      </c>
      <c r="AL437" s="160">
        <f>AL425*'Assumptions (NG)'!AK55*'Assumptions (NG)'!AK56*365/10^9</f>
        <v>2.711373421</v>
      </c>
      <c r="AM437" s="160">
        <f>AM425*'Assumptions (NG)'!AL55*'Assumptions (NG)'!AL56*365/10^9</f>
        <v>2.782478024</v>
      </c>
      <c r="AN437" s="160">
        <f>AN425*'Assumptions (NG)'!AM55*'Assumptions (NG)'!AM56*365/10^9</f>
        <v>2.852445075</v>
      </c>
      <c r="AO437" s="160">
        <f>AO425*'Assumptions (NG)'!AN55*'Assumptions (NG)'!AN56*365/10^9</f>
        <v>2.932033552</v>
      </c>
      <c r="AP437" s="160">
        <f>AP425*'Assumptions (NG)'!AO55*'Assumptions (NG)'!AO56*365/10^9</f>
        <v>3.013439117</v>
      </c>
      <c r="AQ437" s="160">
        <f>AQ425*'Assumptions (NG)'!AP55*'Assumptions (NG)'!AP56*365/10^9</f>
        <v>3.091142026</v>
      </c>
      <c r="AR437" s="160">
        <f>AR425*'Assumptions (NG)'!AQ55*'Assumptions (NG)'!AQ56*365/10^9</f>
        <v>3.168120857</v>
      </c>
      <c r="AS437" s="160">
        <f>AS425*'Assumptions (NG)'!AR55*'Assumptions (NG)'!AR56*365/10^9</f>
        <v>3.245318939</v>
      </c>
      <c r="AT437" s="160">
        <f>AT425*'Assumptions (NG)'!AS55*'Assumptions (NG)'!AS56*365/10^9</f>
        <v>3.326804805</v>
      </c>
      <c r="AU437" s="160">
        <f>AU425*'Assumptions (NG)'!AT55*'Assumptions (NG)'!AT56*365/10^9</f>
        <v>3.413304443</v>
      </c>
      <c r="AV437" s="160">
        <f>AV425*'Assumptions (NG)'!AU55*'Assumptions (NG)'!AU56*365/10^9</f>
        <v>3.502305769</v>
      </c>
      <c r="AW437" s="160">
        <f>AW425*'Assumptions (NG)'!AV55*'Assumptions (NG)'!AV56*365/10^9</f>
        <v>3.585958781</v>
      </c>
      <c r="AX437" s="160">
        <f>AX425*'Assumptions (NG)'!AW55*'Assumptions (NG)'!AW56*365/10^9</f>
        <v>3.683409867</v>
      </c>
      <c r="AY437" s="160">
        <f>AY425*'Assumptions (NG)'!AX55*'Assumptions (NG)'!AX56*365/10^9</f>
        <v>3.835492365</v>
      </c>
      <c r="AZ437" s="160">
        <f>AZ425*'Assumptions (NG)'!AY55*'Assumptions (NG)'!AY56*365/10^9</f>
        <v>3.957482488</v>
      </c>
      <c r="BA437" s="160">
        <f>BA425*'Assumptions (NG)'!AZ55*'Assumptions (NG)'!AZ56*365/10^9</f>
        <v>4.058433556</v>
      </c>
    </row>
    <row r="438" ht="15.75" customHeight="1">
      <c r="A438" s="207" t="s">
        <v>393</v>
      </c>
      <c r="B438" s="150" t="s">
        <v>149</v>
      </c>
      <c r="C438" s="213">
        <f t="array" ref="C438:V438">transpose('Assumptions (NG)'!V136:V155)</f>
        <v>2279.2</v>
      </c>
      <c r="D438" s="172">
        <v>3035.0</v>
      </c>
      <c r="E438" s="172">
        <v>6868.7</v>
      </c>
      <c r="F438" s="172">
        <v>8469.4</v>
      </c>
      <c r="G438" s="172">
        <v>2474.3</v>
      </c>
      <c r="H438" s="172">
        <v>1376.6</v>
      </c>
      <c r="I438" s="172">
        <v>850.5</v>
      </c>
      <c r="J438" s="172">
        <v>0.0</v>
      </c>
      <c r="K438" s="172">
        <v>688.1</v>
      </c>
      <c r="L438" s="172">
        <v>0.0</v>
      </c>
      <c r="M438" s="172">
        <v>1427.2</v>
      </c>
      <c r="N438" s="172">
        <v>2191.4</v>
      </c>
      <c r="O438" s="172">
        <v>4461.8</v>
      </c>
      <c r="P438" s="172">
        <v>730.0</v>
      </c>
      <c r="Q438" s="172">
        <v>840.0</v>
      </c>
      <c r="R438" s="172">
        <v>0.0</v>
      </c>
      <c r="S438" s="172">
        <v>0.0</v>
      </c>
      <c r="T438" s="172">
        <v>0.0</v>
      </c>
      <c r="U438" s="172">
        <v>2561.5</v>
      </c>
      <c r="V438" s="172">
        <v>0.0</v>
      </c>
      <c r="W438" s="171">
        <v>0.0</v>
      </c>
      <c r="X438" s="148">
        <f t="shared" ref="X438:BA438" si="26">if(X426&gt;X422,X426-X422,0)</f>
        <v>1272.72658</v>
      </c>
      <c r="Y438" s="148">
        <f t="shared" si="26"/>
        <v>708.6265803</v>
      </c>
      <c r="Z438" s="148">
        <f t="shared" si="26"/>
        <v>708.6265803</v>
      </c>
      <c r="AA438" s="148">
        <f t="shared" si="26"/>
        <v>781.6265803</v>
      </c>
      <c r="AB438" s="148">
        <f t="shared" si="26"/>
        <v>708.6265803</v>
      </c>
      <c r="AC438" s="148">
        <f t="shared" si="26"/>
        <v>708.6265803</v>
      </c>
      <c r="AD438" s="148">
        <f t="shared" si="26"/>
        <v>708.6265803</v>
      </c>
      <c r="AE438" s="148">
        <f t="shared" si="26"/>
        <v>708.6265803</v>
      </c>
      <c r="AF438" s="148">
        <f t="shared" si="26"/>
        <v>720.6265803</v>
      </c>
      <c r="AG438" s="148">
        <f t="shared" si="26"/>
        <v>763.8265803</v>
      </c>
      <c r="AH438" s="148">
        <f t="shared" si="26"/>
        <v>708.6265803</v>
      </c>
      <c r="AI438" s="148">
        <f t="shared" si="26"/>
        <v>821.6265803</v>
      </c>
      <c r="AJ438" s="148">
        <f t="shared" si="26"/>
        <v>925.1265803</v>
      </c>
      <c r="AK438" s="148">
        <f t="shared" si="26"/>
        <v>916.3265803</v>
      </c>
      <c r="AL438" s="148">
        <f t="shared" si="26"/>
        <v>928.1265803</v>
      </c>
      <c r="AM438" s="148">
        <f t="shared" si="26"/>
        <v>2987.82658</v>
      </c>
      <c r="AN438" s="148">
        <f t="shared" si="26"/>
        <v>3743.62658</v>
      </c>
      <c r="AO438" s="148">
        <f t="shared" si="26"/>
        <v>7577.32658</v>
      </c>
      <c r="AP438" s="148">
        <f t="shared" si="26"/>
        <v>9178.02658</v>
      </c>
      <c r="AQ438" s="148">
        <f t="shared" si="26"/>
        <v>3182.92658</v>
      </c>
      <c r="AR438" s="148">
        <f t="shared" si="26"/>
        <v>2085.22658</v>
      </c>
      <c r="AS438" s="148">
        <f t="shared" si="26"/>
        <v>1559.12658</v>
      </c>
      <c r="AT438" s="148">
        <f t="shared" si="26"/>
        <v>708.6265803</v>
      </c>
      <c r="AU438" s="148">
        <f t="shared" si="26"/>
        <v>1396.72658</v>
      </c>
      <c r="AV438" s="148">
        <f t="shared" si="26"/>
        <v>708.6265803</v>
      </c>
      <c r="AW438" s="148">
        <f t="shared" si="26"/>
        <v>2135.82658</v>
      </c>
      <c r="AX438" s="148">
        <f t="shared" si="26"/>
        <v>2900.02658</v>
      </c>
      <c r="AY438" s="148">
        <f t="shared" si="26"/>
        <v>5170.42658</v>
      </c>
      <c r="AZ438" s="148">
        <f t="shared" si="26"/>
        <v>1438.62658</v>
      </c>
      <c r="BA438" s="148">
        <f t="shared" si="26"/>
        <v>1548.62658</v>
      </c>
    </row>
    <row r="439" ht="15.75" customHeight="1">
      <c r="A439" s="207" t="s">
        <v>394</v>
      </c>
      <c r="B439" s="150" t="s">
        <v>149</v>
      </c>
      <c r="C439" s="213">
        <f t="array" ref="C439:V439">transpose('Assumptions (NG)'!V261:V280)</f>
        <v>6653.2</v>
      </c>
      <c r="D439" s="172">
        <v>4389.0</v>
      </c>
      <c r="E439" s="172">
        <v>3692.2</v>
      </c>
      <c r="F439" s="172">
        <v>2409.7</v>
      </c>
      <c r="G439" s="172">
        <v>434.1</v>
      </c>
      <c r="H439" s="172">
        <v>85.5</v>
      </c>
      <c r="I439" s="172">
        <v>83.5</v>
      </c>
      <c r="J439" s="172">
        <v>738.3</v>
      </c>
      <c r="K439" s="172">
        <v>0.0</v>
      </c>
      <c r="L439" s="172">
        <v>226.3</v>
      </c>
      <c r="M439" s="172">
        <v>397.9</v>
      </c>
      <c r="N439" s="172">
        <v>0.0</v>
      </c>
      <c r="O439" s="172">
        <v>747.2</v>
      </c>
      <c r="P439" s="172">
        <v>57.3</v>
      </c>
      <c r="Q439" s="172">
        <v>2.0</v>
      </c>
      <c r="R439" s="172">
        <v>7.2</v>
      </c>
      <c r="S439" s="172">
        <v>0.0</v>
      </c>
      <c r="T439" s="172">
        <v>127.3</v>
      </c>
      <c r="U439" s="172">
        <v>7.2</v>
      </c>
      <c r="V439" s="172">
        <v>0.0</v>
      </c>
      <c r="W439" s="171">
        <v>0.0</v>
      </c>
      <c r="X439" s="148">
        <f t="shared" ref="X439:BA439" si="27">if(X427&gt;X424,X427-X424,0)</f>
        <v>4472.277988</v>
      </c>
      <c r="Y439" s="148">
        <f t="shared" si="27"/>
        <v>501.677988</v>
      </c>
      <c r="Z439" s="148">
        <f t="shared" si="27"/>
        <v>311.477988</v>
      </c>
      <c r="AA439" s="148">
        <f t="shared" si="27"/>
        <v>674.477988</v>
      </c>
      <c r="AB439" s="148">
        <f t="shared" si="27"/>
        <v>1994.877988</v>
      </c>
      <c r="AC439" s="148">
        <f t="shared" si="27"/>
        <v>0</v>
      </c>
      <c r="AD439" s="148">
        <f t="shared" si="27"/>
        <v>0</v>
      </c>
      <c r="AE439" s="148">
        <f t="shared" si="27"/>
        <v>0</v>
      </c>
      <c r="AF439" s="148">
        <f t="shared" si="27"/>
        <v>0</v>
      </c>
      <c r="AG439" s="148">
        <f t="shared" si="27"/>
        <v>0</v>
      </c>
      <c r="AH439" s="148">
        <f t="shared" si="27"/>
        <v>0</v>
      </c>
      <c r="AI439" s="148">
        <f t="shared" si="27"/>
        <v>0</v>
      </c>
      <c r="AJ439" s="148">
        <f t="shared" si="27"/>
        <v>0</v>
      </c>
      <c r="AK439" s="148">
        <f t="shared" si="27"/>
        <v>0</v>
      </c>
      <c r="AL439" s="148">
        <f t="shared" si="27"/>
        <v>0</v>
      </c>
      <c r="AM439" s="148">
        <f t="shared" si="27"/>
        <v>0</v>
      </c>
      <c r="AN439" s="148">
        <f t="shared" si="27"/>
        <v>0</v>
      </c>
      <c r="AO439" s="148">
        <f t="shared" si="27"/>
        <v>0</v>
      </c>
      <c r="AP439" s="148">
        <f t="shared" si="27"/>
        <v>0</v>
      </c>
      <c r="AQ439" s="148">
        <f t="shared" si="27"/>
        <v>0</v>
      </c>
      <c r="AR439" s="148">
        <f t="shared" si="27"/>
        <v>0</v>
      </c>
      <c r="AS439" s="148">
        <f t="shared" si="27"/>
        <v>0</v>
      </c>
      <c r="AT439" s="148">
        <f t="shared" si="27"/>
        <v>0</v>
      </c>
      <c r="AU439" s="148">
        <f t="shared" si="27"/>
        <v>0</v>
      </c>
      <c r="AV439" s="148">
        <f t="shared" si="27"/>
        <v>0</v>
      </c>
      <c r="AW439" s="148">
        <f t="shared" si="27"/>
        <v>0</v>
      </c>
      <c r="AX439" s="148">
        <f t="shared" si="27"/>
        <v>0</v>
      </c>
      <c r="AY439" s="148">
        <f t="shared" si="27"/>
        <v>0</v>
      </c>
      <c r="AZ439" s="148">
        <f t="shared" si="27"/>
        <v>0</v>
      </c>
      <c r="BA439" s="148">
        <f t="shared" si="27"/>
        <v>6375.9497</v>
      </c>
    </row>
    <row r="440" ht="15.75" customHeight="1">
      <c r="A440" s="209" t="s">
        <v>48</v>
      </c>
      <c r="B440" s="159" t="s">
        <v>150</v>
      </c>
      <c r="C440" s="174"/>
      <c r="D440" s="174"/>
      <c r="E440" s="174"/>
      <c r="F440" s="174"/>
      <c r="G440" s="174"/>
      <c r="H440" s="174"/>
      <c r="I440" s="174"/>
      <c r="J440" s="174"/>
      <c r="K440" s="174"/>
      <c r="L440" s="174"/>
      <c r="M440" s="174"/>
      <c r="N440" s="174"/>
      <c r="O440" s="174"/>
      <c r="P440" s="174"/>
      <c r="Q440" s="174"/>
      <c r="R440" s="174"/>
      <c r="S440" s="174"/>
      <c r="T440" s="174"/>
      <c r="U440" s="174"/>
      <c r="V440" s="174"/>
      <c r="W440" s="175"/>
      <c r="X440" s="175">
        <f>IF(W438='Assumptions (NG)'!$V$14,Model!X428-(Model!X425*0.00876*('Assumptions (NG)'!V17*'Assumptions (NG)'!V21+'Assumptions (NG)'!V18*'Assumptions (NG)'!V23)),0)</f>
        <v>0</v>
      </c>
      <c r="Y440" s="175">
        <f>IF(X438='Assumptions (NG)'!$V$14,Model!Y428-(Model!Y425*0.00876*('Assumptions (NG)'!W17*'Assumptions (NG)'!W21+'Assumptions (NG)'!W18*'Assumptions (NG)'!W23)),0)</f>
        <v>0</v>
      </c>
      <c r="Z440" s="175">
        <f>IF(Y438='Assumptions (NG)'!$V$14,Model!Z428-(Model!Z425*0.00876*('Assumptions (NG)'!X17*'Assumptions (NG)'!X21+'Assumptions (NG)'!X18*'Assumptions (NG)'!X23)),0)</f>
        <v>0</v>
      </c>
      <c r="AA440" s="175">
        <f>IF(Z438='Assumptions (NG)'!$V$14,Model!AA428-(Model!AA425*0.00876*('Assumptions (NG)'!Y17*'Assumptions (NG)'!Y21+'Assumptions (NG)'!Y18*'Assumptions (NG)'!Y23)),0)</f>
        <v>0</v>
      </c>
      <c r="AB440" s="175">
        <f>IF(AA438='Assumptions (NG)'!$V$14,Model!AB428-(Model!AB425*0.00876*('Assumptions (NG)'!Z17*'Assumptions (NG)'!Z21+'Assumptions (NG)'!Z18*'Assumptions (NG)'!Z23)),0)</f>
        <v>0</v>
      </c>
      <c r="AC440" s="175">
        <f>IF(AB438='Assumptions (NG)'!$V$14,Model!AC428-(Model!AC425*0.00876*('Assumptions (NG)'!AA17*'Assumptions (NG)'!AA21+'Assumptions (NG)'!AA18*'Assumptions (NG)'!AA23)),0)</f>
        <v>0</v>
      </c>
      <c r="AD440" s="175">
        <f>IF(AC438='Assumptions (NG)'!$V$14,Model!AD428-(Model!AD425*0.00876*('Assumptions (NG)'!AB17*'Assumptions (NG)'!AB21+'Assumptions (NG)'!AB18*'Assumptions (NG)'!AB23)),0)</f>
        <v>0</v>
      </c>
      <c r="AE440" s="175">
        <f>IF(AD438='Assumptions (NG)'!$V$14,Model!AE428-(Model!AE425*0.00876*('Assumptions (NG)'!AC17*'Assumptions (NG)'!AC21+'Assumptions (NG)'!AC18*'Assumptions (NG)'!AC23)),0)</f>
        <v>0</v>
      </c>
      <c r="AF440" s="175">
        <f>IF(AE438='Assumptions (NG)'!$V$14,Model!AF428-(Model!AF425*0.00876*('Assumptions (NG)'!AD17*'Assumptions (NG)'!AD21+'Assumptions (NG)'!AD18*'Assumptions (NG)'!AD23)),0)</f>
        <v>0</v>
      </c>
      <c r="AG440" s="175">
        <f>IF(AF438='Assumptions (NG)'!$V$14,Model!AG428-(Model!AG425*0.00876*('Assumptions (NG)'!AE17*'Assumptions (NG)'!AE21+'Assumptions (NG)'!AE18*'Assumptions (NG)'!AE23)),0)</f>
        <v>0</v>
      </c>
      <c r="AH440" s="175">
        <f>IF(AG438='Assumptions (NG)'!$V$14,Model!AH428-(Model!AH425*0.00876*('Assumptions (NG)'!AF17*'Assumptions (NG)'!AF21+'Assumptions (NG)'!AF18*'Assumptions (NG)'!AF23)),0)</f>
        <v>0</v>
      </c>
      <c r="AI440" s="175">
        <f>IF(AH438='Assumptions (NG)'!$V$14,Model!AI428-(Model!AI425*0.00876*('Assumptions (NG)'!AG17*'Assumptions (NG)'!AG21+'Assumptions (NG)'!AG18*'Assumptions (NG)'!AG23)),0)</f>
        <v>0</v>
      </c>
      <c r="AJ440" s="175">
        <f>IF(AI438='Assumptions (NG)'!$V$14,Model!AJ428-(Model!AJ425*0.00876*('Assumptions (NG)'!AH17*'Assumptions (NG)'!AH21+'Assumptions (NG)'!AH18*'Assumptions (NG)'!AH23)),0)</f>
        <v>0</v>
      </c>
      <c r="AK440" s="175">
        <f>IF(AJ438='Assumptions (NG)'!$V$14,Model!AK428-(Model!AK425*0.00876*('Assumptions (NG)'!AI17*'Assumptions (NG)'!AI21+'Assumptions (NG)'!AI18*'Assumptions (NG)'!AI23)),0)</f>
        <v>0</v>
      </c>
      <c r="AL440" s="175">
        <f>IF(AK438='Assumptions (NG)'!$V$14,Model!AL428-(Model!AL425*0.00876*('Assumptions (NG)'!AJ17*'Assumptions (NG)'!AJ21+'Assumptions (NG)'!AJ18*'Assumptions (NG)'!AJ23)),0)</f>
        <v>0</v>
      </c>
      <c r="AM440" s="175">
        <f>IF(AL438='Assumptions (NG)'!$V$14,Model!AM428-(Model!AM425*0.00876*('Assumptions (NG)'!AK17*'Assumptions (NG)'!AK21+'Assumptions (NG)'!AK18*'Assumptions (NG)'!AK23)),0)</f>
        <v>0</v>
      </c>
      <c r="AN440" s="175">
        <f>IF(AM438='Assumptions (NG)'!$V$14,Model!AN428-(Model!AN425*0.00876*('Assumptions (NG)'!AL17*'Assumptions (NG)'!AL21+'Assumptions (NG)'!AL18*'Assumptions (NG)'!AL23)),0)</f>
        <v>0</v>
      </c>
      <c r="AO440" s="175">
        <f>IF(AN438='Assumptions (NG)'!$V$14,Model!AO428-(Model!AO425*0.00876*('Assumptions (NG)'!AM17*'Assumptions (NG)'!AM21+'Assumptions (NG)'!AM18*'Assumptions (NG)'!AM23)),0)</f>
        <v>0</v>
      </c>
      <c r="AP440" s="175">
        <f>IF(AO438='Assumptions (NG)'!$V$14,Model!AP428-(Model!AP425*0.00876*('Assumptions (NG)'!AN17*'Assumptions (NG)'!AN21+'Assumptions (NG)'!AN18*'Assumptions (NG)'!AN23)),0)</f>
        <v>0</v>
      </c>
      <c r="AQ440" s="175">
        <f>IF(AP438='Assumptions (NG)'!$V$14,Model!AQ428-(Model!AQ425*0.00876*('Assumptions (NG)'!AO17*'Assumptions (NG)'!AO21+'Assumptions (NG)'!AO18*'Assumptions (NG)'!AO23)),0)</f>
        <v>0</v>
      </c>
      <c r="AR440" s="175">
        <f>IF(AQ438='Assumptions (NG)'!$V$14,Model!AR428-(Model!AR425*0.00876*('Assumptions (NG)'!AP17*'Assumptions (NG)'!AP21+'Assumptions (NG)'!AP18*'Assumptions (NG)'!AP23)),0)</f>
        <v>0</v>
      </c>
      <c r="AS440" s="175">
        <f>IF(AR438='Assumptions (NG)'!$V$14,Model!AS428-(Model!AS425*0.00876*('Assumptions (NG)'!AQ17*'Assumptions (NG)'!AQ21+'Assumptions (NG)'!AQ18*'Assumptions (NG)'!AQ23)),0)</f>
        <v>0</v>
      </c>
      <c r="AT440" s="175">
        <f>IF(AS438='Assumptions (NG)'!$V$14,Model!AT428-(Model!AT425*0.00876*('Assumptions (NG)'!AR17*'Assumptions (NG)'!AR21+'Assumptions (NG)'!AR18*'Assumptions (NG)'!AR23)),0)</f>
        <v>0</v>
      </c>
      <c r="AU440" s="175">
        <f>IF(AT438='Assumptions (NG)'!$V$14,Model!AU428-(Model!AU425*0.00876*('Assumptions (NG)'!AS17*'Assumptions (NG)'!AS21+'Assumptions (NG)'!AS18*'Assumptions (NG)'!AS23)),0)</f>
        <v>0</v>
      </c>
      <c r="AV440" s="175">
        <f>IF(AU438='Assumptions (NG)'!$V$14,Model!AV428-(Model!AV425*0.00876*('Assumptions (NG)'!AT17*'Assumptions (NG)'!AT21+'Assumptions (NG)'!AT18*'Assumptions (NG)'!AT23)),0)</f>
        <v>0</v>
      </c>
      <c r="AW440" s="175">
        <f>IF(AV438='Assumptions (NG)'!$V$14,Model!AW428-(Model!AW425*0.00876*('Assumptions (NG)'!AU17*'Assumptions (NG)'!AU21+'Assumptions (NG)'!AU18*'Assumptions (NG)'!AU23)),0)</f>
        <v>0</v>
      </c>
      <c r="AX440" s="175">
        <f>IF(AW438='Assumptions (NG)'!$V$14,Model!AX428-(Model!AX425*0.00876*('Assumptions (NG)'!AV17*'Assumptions (NG)'!AV21+'Assumptions (NG)'!AV18*'Assumptions (NG)'!AV23)),0)</f>
        <v>0</v>
      </c>
      <c r="AY440" s="175">
        <f>IF(AX438='Assumptions (NG)'!$V$14,Model!AY428-(Model!AY425*0.00876*('Assumptions (NG)'!AW17*'Assumptions (NG)'!AW21+'Assumptions (NG)'!AW18*'Assumptions (NG)'!AW23)),0)</f>
        <v>0</v>
      </c>
      <c r="AZ440" s="175">
        <f>IF(AY438='Assumptions (NG)'!$V$14,Model!AZ428-(Model!AZ425*0.00876*('Assumptions (NG)'!AX17*'Assumptions (NG)'!AX21+'Assumptions (NG)'!AX18*'Assumptions (NG)'!AX23)),0)</f>
        <v>0</v>
      </c>
      <c r="BA440" s="175">
        <f>IF(AZ438='Assumptions (NG)'!$V$14,Model!BA428-(Model!BA425*0.00876*('Assumptions (NG)'!AY17*'Assumptions (NG)'!AY21+'Assumptions (NG)'!AY18*'Assumptions (NG)'!AY23)),0)</f>
        <v>0</v>
      </c>
    </row>
    <row r="441" ht="15.75" customHeight="1">
      <c r="A441" s="207" t="s">
        <v>358</v>
      </c>
      <c r="B441" s="150" t="s">
        <v>351</v>
      </c>
      <c r="C441" s="176">
        <f t="shared" ref="C441:BA441" si="28">SUM(C442:C492)</f>
        <v>6.41762781</v>
      </c>
      <c r="D441" s="176">
        <f t="shared" si="28"/>
        <v>5.644794547</v>
      </c>
      <c r="E441" s="176">
        <f t="shared" si="28"/>
        <v>3.651704863</v>
      </c>
      <c r="F441" s="176">
        <f t="shared" si="28"/>
        <v>1.311776321</v>
      </c>
      <c r="G441" s="176">
        <f t="shared" si="28"/>
        <v>0.7200759081</v>
      </c>
      <c r="H441" s="176">
        <f t="shared" si="28"/>
        <v>0.5373980229</v>
      </c>
      <c r="I441" s="176">
        <f t="shared" si="28"/>
        <v>0.3470411678</v>
      </c>
      <c r="J441" s="176">
        <f t="shared" si="28"/>
        <v>0.7137073148</v>
      </c>
      <c r="K441" s="176">
        <f t="shared" si="28"/>
        <v>1.171966745</v>
      </c>
      <c r="L441" s="176">
        <f t="shared" si="28"/>
        <v>2.675107924</v>
      </c>
      <c r="M441" s="176">
        <f t="shared" si="28"/>
        <v>2.445623208</v>
      </c>
      <c r="N441" s="176">
        <f t="shared" si="28"/>
        <v>2.065497225</v>
      </c>
      <c r="O441" s="176">
        <f t="shared" si="28"/>
        <v>0.521191937</v>
      </c>
      <c r="P441" s="176">
        <f t="shared" si="28"/>
        <v>0.276200441</v>
      </c>
      <c r="Q441" s="176">
        <f t="shared" si="28"/>
        <v>0.02730099426</v>
      </c>
      <c r="R441" s="176">
        <f t="shared" si="28"/>
        <v>0.9049419415</v>
      </c>
      <c r="S441" s="176">
        <f t="shared" si="28"/>
        <v>0.9196095674</v>
      </c>
      <c r="T441" s="176">
        <f t="shared" si="28"/>
        <v>0.8829598767</v>
      </c>
      <c r="U441" s="176">
        <f t="shared" si="28"/>
        <v>1.436686602</v>
      </c>
      <c r="V441" s="176">
        <f t="shared" si="28"/>
        <v>1.822943714</v>
      </c>
      <c r="W441" s="176">
        <f t="shared" si="28"/>
        <v>2.191530883</v>
      </c>
      <c r="X441" s="176">
        <f t="shared" si="28"/>
        <v>1.172181394</v>
      </c>
      <c r="Y441" s="176">
        <f t="shared" si="28"/>
        <v>1.547560425</v>
      </c>
      <c r="Z441" s="176">
        <f t="shared" si="28"/>
        <v>1.503448198</v>
      </c>
      <c r="AA441" s="176">
        <f t="shared" si="28"/>
        <v>1.338771022</v>
      </c>
      <c r="AB441" s="176">
        <f t="shared" si="28"/>
        <v>0.8664288176</v>
      </c>
      <c r="AC441" s="176">
        <f t="shared" si="28"/>
        <v>0.8886538057</v>
      </c>
      <c r="AD441" s="176">
        <f t="shared" si="28"/>
        <v>0.9297343875</v>
      </c>
      <c r="AE441" s="176">
        <f t="shared" si="28"/>
        <v>0.9482307441</v>
      </c>
      <c r="AF441" s="176">
        <f t="shared" si="28"/>
        <v>1.011633626</v>
      </c>
      <c r="AG441" s="176">
        <f t="shared" si="28"/>
        <v>1.104303766</v>
      </c>
      <c r="AH441" s="176">
        <f t="shared" si="28"/>
        <v>1.221544222</v>
      </c>
      <c r="AI441" s="176">
        <f t="shared" si="28"/>
        <v>1.2956689</v>
      </c>
      <c r="AJ441" s="176">
        <f t="shared" si="28"/>
        <v>2.305618066</v>
      </c>
      <c r="AK441" s="176">
        <f t="shared" si="28"/>
        <v>3.727308834</v>
      </c>
      <c r="AL441" s="176">
        <f t="shared" si="28"/>
        <v>7.101468635</v>
      </c>
      <c r="AM441" s="176">
        <f t="shared" si="28"/>
        <v>10.37607157</v>
      </c>
      <c r="AN441" s="176">
        <f t="shared" si="28"/>
        <v>10.29303704</v>
      </c>
      <c r="AO441" s="176">
        <f t="shared" si="28"/>
        <v>7.606134531</v>
      </c>
      <c r="AP441" s="176">
        <f t="shared" si="28"/>
        <v>3.666180342</v>
      </c>
      <c r="AQ441" s="176">
        <f t="shared" si="28"/>
        <v>2.384009108</v>
      </c>
      <c r="AR441" s="176">
        <f t="shared" si="28"/>
        <v>2.046862773</v>
      </c>
      <c r="AS441" s="176">
        <f t="shared" si="28"/>
        <v>1.603070074</v>
      </c>
      <c r="AT441" s="176">
        <f t="shared" si="28"/>
        <v>2.464185266</v>
      </c>
      <c r="AU441" s="176">
        <f t="shared" si="28"/>
        <v>3.404023254</v>
      </c>
      <c r="AV441" s="176">
        <f t="shared" si="28"/>
        <v>6.168284858</v>
      </c>
      <c r="AW441" s="176">
        <f t="shared" si="28"/>
        <v>5.861254529</v>
      </c>
      <c r="AX441" s="176">
        <f t="shared" si="28"/>
        <v>7.588227005</v>
      </c>
      <c r="AY441" s="176">
        <f t="shared" si="28"/>
        <v>4.424149221</v>
      </c>
      <c r="AZ441" s="176">
        <f t="shared" si="28"/>
        <v>0</v>
      </c>
      <c r="BA441" s="176">
        <f t="shared" si="28"/>
        <v>0</v>
      </c>
    </row>
    <row r="442" ht="15.75" hidden="1" customHeight="1" outlineLevel="1">
      <c r="A442" s="209"/>
      <c r="B442" s="38"/>
      <c r="C442" s="177"/>
      <c r="D442" s="214"/>
      <c r="E442" s="176"/>
      <c r="F442" s="176"/>
      <c r="G442" s="176"/>
      <c r="H442" s="176"/>
      <c r="I442" s="176"/>
      <c r="J442" s="176"/>
      <c r="K442" s="176"/>
      <c r="L442" s="176"/>
      <c r="M442" s="176"/>
      <c r="N442" s="176"/>
      <c r="O442" s="176"/>
      <c r="P442" s="176"/>
      <c r="Q442" s="176"/>
      <c r="R442" s="176"/>
      <c r="S442" s="176"/>
      <c r="T442" s="176"/>
      <c r="U442" s="176"/>
      <c r="V442" s="176"/>
      <c r="W442" s="160"/>
      <c r="X442" s="160"/>
      <c r="Y442" s="160"/>
      <c r="Z442" s="160"/>
      <c r="AA442" s="160"/>
      <c r="AB442" s="160"/>
      <c r="AC442" s="160"/>
      <c r="AD442" s="160"/>
      <c r="AE442" s="160"/>
      <c r="AF442" s="160"/>
      <c r="AG442" s="160"/>
      <c r="AH442" s="160"/>
      <c r="AI442" s="160"/>
      <c r="AJ442" s="160"/>
      <c r="AK442" s="160"/>
      <c r="AL442" s="160"/>
      <c r="AM442" s="160"/>
      <c r="AN442" s="160"/>
      <c r="AO442" s="160"/>
      <c r="AP442" s="160"/>
      <c r="AQ442" s="160"/>
      <c r="AR442" s="160"/>
      <c r="AS442" s="160"/>
      <c r="AT442" s="160"/>
      <c r="AU442" s="160"/>
      <c r="AV442" s="160"/>
      <c r="AW442" s="160"/>
      <c r="AX442" s="160"/>
      <c r="AY442" s="160"/>
      <c r="AZ442" s="160"/>
      <c r="BA442" s="160"/>
    </row>
    <row r="443" ht="15.75" hidden="1" customHeight="1" outlineLevel="1">
      <c r="A443" s="209"/>
      <c r="B443" s="38"/>
      <c r="C443" s="177">
        <f>IF(D$438&gt;0,('Assumptions (NG)'!$V$16*Model!D$438*'Assumptions (NG)'!B$2)/10^9,0)+if(D$439&gt;0,('Assumptions (NG)'!$V$16*Model!D$439*'Assumptions (NG)'!B$3)/10^9,0)</f>
        <v>1.481732297</v>
      </c>
      <c r="D443" s="177"/>
      <c r="E443" s="177"/>
      <c r="F443" s="177"/>
      <c r="G443" s="177"/>
      <c r="H443" s="177"/>
      <c r="I443" s="177"/>
      <c r="J443" s="177"/>
      <c r="K443" s="177"/>
      <c r="L443" s="177"/>
      <c r="M443" s="160"/>
      <c r="N443" s="160"/>
      <c r="O443" s="160"/>
      <c r="P443" s="160"/>
      <c r="Q443" s="160"/>
      <c r="R443" s="160"/>
      <c r="S443" s="160"/>
      <c r="T443" s="160"/>
      <c r="U443" s="160"/>
      <c r="V443" s="160"/>
      <c r="W443" s="160"/>
      <c r="X443" s="160"/>
      <c r="Y443" s="160"/>
      <c r="Z443" s="160"/>
      <c r="AA443" s="160"/>
      <c r="AB443" s="160"/>
      <c r="AC443" s="160"/>
      <c r="AD443" s="160"/>
      <c r="AE443" s="160"/>
      <c r="AF443" s="160"/>
      <c r="AG443" s="160"/>
      <c r="AH443" s="160"/>
      <c r="AI443" s="160"/>
      <c r="AJ443" s="160"/>
      <c r="AK443" s="160"/>
      <c r="AL443" s="160"/>
      <c r="AM443" s="160"/>
      <c r="AN443" s="160"/>
      <c r="AO443" s="160"/>
      <c r="AP443" s="160"/>
      <c r="AQ443" s="160"/>
      <c r="AR443" s="160"/>
      <c r="AS443" s="160"/>
      <c r="AT443" s="160"/>
      <c r="AU443" s="160"/>
      <c r="AV443" s="160"/>
      <c r="AW443" s="160"/>
      <c r="AX443" s="160"/>
      <c r="AY443" s="160"/>
      <c r="AZ443" s="160"/>
      <c r="BA443" s="160"/>
    </row>
    <row r="444" ht="15.75" hidden="1" customHeight="1" outlineLevel="1">
      <c r="A444" s="209"/>
      <c r="B444" s="38"/>
      <c r="C444" s="177">
        <f>IF(E$438&gt;0,('Assumptions (NG)'!$V$16*Model!E$438*'Assumptions (NG)'!B$2)/10^9,0)+if(E$439&gt;0,('Assumptions (NG)'!$V$16*Model!E$439*'Assumptions (NG)'!B$3)/10^9,0)</f>
        <v>2.362726205</v>
      </c>
      <c r="D444" s="177">
        <f>IF(E$438&gt;0,('Assumptions (NG)'!$V$16*Model!E$438*'Assumptions (NG)'!C$2)/10^9,0)+if(E$439&gt;0,('Assumptions (NG)'!$V$16*Model!E$439*'Assumptions (NG)'!C$3)/10^9,0)</f>
        <v>2.362726205</v>
      </c>
      <c r="E444" s="177"/>
      <c r="F444" s="177"/>
      <c r="G444" s="177"/>
      <c r="H444" s="177"/>
      <c r="I444" s="177"/>
      <c r="J444" s="177"/>
      <c r="K444" s="177"/>
      <c r="L444" s="177"/>
      <c r="M444" s="160"/>
      <c r="N444" s="160"/>
      <c r="O444" s="160"/>
      <c r="P444" s="160"/>
      <c r="Q444" s="160"/>
      <c r="R444" s="160"/>
      <c r="S444" s="160"/>
      <c r="T444" s="160"/>
      <c r="U444" s="160"/>
      <c r="V444" s="160"/>
      <c r="W444" s="160"/>
      <c r="X444" s="160"/>
      <c r="Y444" s="160"/>
      <c r="Z444" s="160"/>
      <c r="AA444" s="160"/>
      <c r="AB444" s="160"/>
      <c r="AC444" s="160"/>
      <c r="AD444" s="160"/>
      <c r="AE444" s="160"/>
      <c r="AF444" s="160"/>
      <c r="AG444" s="160"/>
      <c r="AH444" s="160"/>
      <c r="AI444" s="160"/>
      <c r="AJ444" s="160"/>
      <c r="AK444" s="160"/>
      <c r="AL444" s="160"/>
      <c r="AM444" s="160"/>
      <c r="AN444" s="160"/>
      <c r="AO444" s="160"/>
      <c r="AP444" s="160"/>
      <c r="AQ444" s="160"/>
      <c r="AR444" s="160"/>
      <c r="AS444" s="160"/>
      <c r="AT444" s="160"/>
      <c r="AU444" s="160"/>
      <c r="AV444" s="160"/>
      <c r="AW444" s="160"/>
      <c r="AX444" s="160"/>
      <c r="AY444" s="160"/>
      <c r="AZ444" s="160"/>
      <c r="BA444" s="160"/>
    </row>
    <row r="445" ht="15.75" hidden="1" customHeight="1" outlineLevel="1">
      <c r="A445" s="209"/>
      <c r="B445" s="38"/>
      <c r="C445" s="177">
        <f>IF(F$438&gt;0,('Assumptions (NG)'!$V$16*Model!F$438*'Assumptions (NG)'!B$2)/10^9,0)+if(F$439&gt;0,('Assumptions (NG)'!$V$16*Model!F$439*'Assumptions (NG)'!B$3)/10^9,0)</f>
        <v>2.573169308</v>
      </c>
      <c r="D445" s="177">
        <f>IF(F$438&gt;0,('Assumptions (NG)'!$V$16*Model!F$438*'Assumptions (NG)'!C$2)/10^9,0)+if(F$439&gt;0,('Assumptions (NG)'!$V$16*Model!F$439*'Assumptions (NG)'!C$3)/10^9,0)</f>
        <v>2.573169308</v>
      </c>
      <c r="E445" s="177">
        <f>IF(F$438&gt;0,('Assumptions (NG)'!$V$16*Model!F$438*'Assumptions (NG)'!D$2)/10^9,0)+if(F$439&gt;0,('Assumptions (NG)'!$V$16*Model!F$439*'Assumptions (NG)'!D$3)/10^9,0)</f>
        <v>2.573169308</v>
      </c>
      <c r="F445" s="177"/>
      <c r="G445" s="177"/>
      <c r="H445" s="177"/>
      <c r="I445" s="177"/>
      <c r="J445" s="177"/>
      <c r="K445" s="177"/>
      <c r="L445" s="177"/>
      <c r="M445" s="160"/>
      <c r="N445" s="160"/>
      <c r="O445" s="160"/>
      <c r="P445" s="160"/>
      <c r="Q445" s="160"/>
      <c r="R445" s="160"/>
      <c r="S445" s="160"/>
      <c r="T445" s="160"/>
      <c r="U445" s="160"/>
      <c r="V445" s="160"/>
      <c r="W445" s="160"/>
      <c r="X445" s="160"/>
      <c r="Y445" s="160"/>
      <c r="Z445" s="160"/>
      <c r="AA445" s="160"/>
      <c r="AB445" s="160"/>
      <c r="AC445" s="160"/>
      <c r="AD445" s="160"/>
      <c r="AE445" s="160"/>
      <c r="AF445" s="160"/>
      <c r="AG445" s="160"/>
      <c r="AH445" s="160"/>
      <c r="AI445" s="160"/>
      <c r="AJ445" s="160"/>
      <c r="AK445" s="160"/>
      <c r="AL445" s="160"/>
      <c r="AM445" s="160"/>
      <c r="AN445" s="160"/>
      <c r="AO445" s="160"/>
      <c r="AP445" s="160"/>
      <c r="AQ445" s="160"/>
      <c r="AR445" s="160"/>
      <c r="AS445" s="160"/>
      <c r="AT445" s="160"/>
      <c r="AU445" s="160"/>
      <c r="AV445" s="160"/>
      <c r="AW445" s="160"/>
      <c r="AX445" s="160"/>
      <c r="AY445" s="160"/>
      <c r="AZ445" s="160"/>
      <c r="BA445" s="160"/>
    </row>
    <row r="446" ht="15.75" hidden="1" customHeight="1" outlineLevel="1">
      <c r="A446" s="209"/>
      <c r="B446" s="38"/>
      <c r="C446" s="177"/>
      <c r="D446" s="177">
        <f>IF(G$438&gt;0,('Assumptions (NG)'!$V$16*Model!G$438*'Assumptions (NG)'!C$2)/10^9,0)+if(G$439&gt;0,('Assumptions (NG)'!$V$16*Model!G$439*'Assumptions (NG)'!C$3)/10^9,0)</f>
        <v>0.7088990342</v>
      </c>
      <c r="E446" s="177">
        <f>IF(G$438&gt;0,('Assumptions (NG)'!$V$16*Model!G$438*'Assumptions (NG)'!D$2)/10^9,0)+if(G$439&gt;0,('Assumptions (NG)'!$V$16*Model!G$439*'Assumptions (NG)'!D$3)/10^9,0)</f>
        <v>0.7088990342</v>
      </c>
      <c r="F446" s="177">
        <f>IF(G$438&gt;0,('Assumptions (NG)'!$V$16*Model!G$438*'Assumptions (NG)'!E$2)/10^9,0)+if(G$439&gt;0,('Assumptions (NG)'!$V$16*Model!G$439*'Assumptions (NG)'!E$3)/10^9,0)</f>
        <v>0.7088990342</v>
      </c>
      <c r="G446" s="177"/>
      <c r="H446" s="177"/>
      <c r="I446" s="177"/>
      <c r="J446" s="177"/>
      <c r="K446" s="177"/>
      <c r="L446" s="177"/>
      <c r="M446" s="160"/>
      <c r="N446" s="160"/>
      <c r="O446" s="160"/>
      <c r="P446" s="160"/>
      <c r="Q446" s="160"/>
      <c r="R446" s="160"/>
      <c r="S446" s="160"/>
      <c r="T446" s="160"/>
      <c r="U446" s="160"/>
      <c r="V446" s="160"/>
      <c r="W446" s="160"/>
      <c r="X446" s="160"/>
      <c r="Y446" s="160"/>
      <c r="Z446" s="160"/>
      <c r="AA446" s="160"/>
      <c r="AB446" s="160"/>
      <c r="AC446" s="160"/>
      <c r="AD446" s="160"/>
      <c r="AE446" s="160"/>
      <c r="AF446" s="160"/>
      <c r="AG446" s="160"/>
      <c r="AH446" s="160"/>
      <c r="AI446" s="160"/>
      <c r="AJ446" s="160"/>
      <c r="AK446" s="160"/>
      <c r="AL446" s="160"/>
      <c r="AM446" s="160"/>
      <c r="AN446" s="160"/>
      <c r="AO446" s="160"/>
      <c r="AP446" s="160"/>
      <c r="AQ446" s="160"/>
      <c r="AR446" s="160"/>
      <c r="AS446" s="160"/>
      <c r="AT446" s="160"/>
      <c r="AU446" s="160"/>
      <c r="AV446" s="160"/>
      <c r="AW446" s="160"/>
      <c r="AX446" s="160"/>
      <c r="AY446" s="160"/>
      <c r="AZ446" s="160"/>
      <c r="BA446" s="160"/>
    </row>
    <row r="447" ht="15.75" hidden="1" customHeight="1" outlineLevel="1">
      <c r="A447" s="209"/>
      <c r="B447" s="38"/>
      <c r="C447" s="177"/>
      <c r="D447" s="177"/>
      <c r="E447" s="177">
        <f>IF(H$438&gt;0,('Assumptions (NG)'!$V$16*Model!H$438*'Assumptions (NG)'!D$2)/10^9,0)+if(H$439&gt;0,('Assumptions (NG)'!$V$16*Model!H$439*'Assumptions (NG)'!D$3)/10^9,0)</f>
        <v>0.3696365203</v>
      </c>
      <c r="F447" s="177">
        <f>IF(H$438&gt;0,('Assumptions (NG)'!$V$16*Model!H$438*'Assumptions (NG)'!E$2)/10^9,0)+if(H$439&gt;0,('Assumptions (NG)'!$V$16*Model!H$439*'Assumptions (NG)'!E$3)/10^9,0)</f>
        <v>0.3696365203</v>
      </c>
      <c r="G447" s="177">
        <f>IF(H$438&gt;0,('Assumptions (NG)'!$V$16*Model!H$438*'Assumptions (NG)'!F$2)/10^9,0)+if(H$439&gt;0,('Assumptions (NG)'!$V$16*Model!H$439*'Assumptions (NG)'!F$3)/10^9,0)</f>
        <v>0.3696365203</v>
      </c>
      <c r="H447" s="177"/>
      <c r="I447" s="177"/>
      <c r="J447" s="177"/>
      <c r="K447" s="177"/>
      <c r="L447" s="177"/>
      <c r="M447" s="160"/>
      <c r="N447" s="160"/>
      <c r="O447" s="160"/>
      <c r="P447" s="160"/>
      <c r="Q447" s="160"/>
      <c r="R447" s="160"/>
      <c r="S447" s="160"/>
      <c r="T447" s="160"/>
      <c r="U447" s="160"/>
      <c r="V447" s="160"/>
      <c r="W447" s="160"/>
      <c r="X447" s="160"/>
      <c r="Y447" s="160"/>
      <c r="Z447" s="160"/>
      <c r="AA447" s="160"/>
      <c r="AB447" s="160"/>
      <c r="AC447" s="160"/>
      <c r="AD447" s="160"/>
      <c r="AE447" s="160"/>
      <c r="AF447" s="160"/>
      <c r="AG447" s="160"/>
      <c r="AH447" s="160"/>
      <c r="AI447" s="160"/>
      <c r="AJ447" s="160"/>
      <c r="AK447" s="160"/>
      <c r="AL447" s="160"/>
      <c r="AM447" s="160"/>
      <c r="AN447" s="160"/>
      <c r="AO447" s="160"/>
      <c r="AP447" s="160"/>
      <c r="AQ447" s="160"/>
      <c r="AR447" s="160"/>
      <c r="AS447" s="160"/>
      <c r="AT447" s="160"/>
      <c r="AU447" s="160"/>
      <c r="AV447" s="160"/>
      <c r="AW447" s="160"/>
      <c r="AX447" s="160"/>
      <c r="AY447" s="160"/>
      <c r="AZ447" s="160"/>
      <c r="BA447" s="160"/>
    </row>
    <row r="448" ht="15.75" hidden="1" customHeight="1" outlineLevel="1">
      <c r="A448" s="209"/>
      <c r="B448" s="38"/>
      <c r="C448" s="177"/>
      <c r="D448" s="177"/>
      <c r="E448" s="177"/>
      <c r="F448" s="177">
        <f>IF(I$438&gt;0,('Assumptions (NG)'!$V$16*Model!I$438*'Assumptions (NG)'!E$2)/10^9,0)+if(I$439&gt;0,('Assumptions (NG)'!$V$16*Model!I$439*'Assumptions (NG)'!E$3)/10^9,0)</f>
        <v>0.2332407664</v>
      </c>
      <c r="G448" s="177">
        <f>IF(I$438&gt;0,('Assumptions (NG)'!$V$16*Model!I$438*'Assumptions (NG)'!F$2)/10^9,0)+if(I$439&gt;0,('Assumptions (NG)'!$V$16*Model!I$439*'Assumptions (NG)'!F$3)/10^9,0)</f>
        <v>0.2332407664</v>
      </c>
      <c r="H448" s="177">
        <f>IF(I$438&gt;0,('Assumptions (NG)'!$V$16*Model!I$438*'Assumptions (NG)'!G$2)/10^9,0)+if(I$439&gt;0,('Assumptions (NG)'!$V$16*Model!I$439*'Assumptions (NG)'!G$3)/10^9,0)</f>
        <v>0.2372037216</v>
      </c>
      <c r="I448" s="177"/>
      <c r="J448" s="177"/>
      <c r="K448" s="177"/>
      <c r="L448" s="177"/>
      <c r="M448" s="160"/>
      <c r="N448" s="160"/>
      <c r="O448" s="160"/>
      <c r="P448" s="160"/>
      <c r="Q448" s="160"/>
      <c r="R448" s="160"/>
      <c r="S448" s="160"/>
      <c r="T448" s="160"/>
      <c r="U448" s="160"/>
      <c r="V448" s="160"/>
      <c r="W448" s="160"/>
      <c r="X448" s="160"/>
      <c r="Y448" s="160"/>
      <c r="Z448" s="160"/>
      <c r="AA448" s="160"/>
      <c r="AB448" s="160"/>
      <c r="AC448" s="160"/>
      <c r="AD448" s="160"/>
      <c r="AE448" s="160"/>
      <c r="AF448" s="160"/>
      <c r="AG448" s="160"/>
      <c r="AH448" s="160"/>
      <c r="AI448" s="160"/>
      <c r="AJ448" s="160"/>
      <c r="AK448" s="160"/>
      <c r="AL448" s="160"/>
      <c r="AM448" s="160"/>
      <c r="AN448" s="160"/>
      <c r="AO448" s="160"/>
      <c r="AP448" s="160"/>
      <c r="AQ448" s="160"/>
      <c r="AR448" s="160"/>
      <c r="AS448" s="160"/>
      <c r="AT448" s="160"/>
      <c r="AU448" s="160"/>
      <c r="AV448" s="160"/>
      <c r="AW448" s="160"/>
      <c r="AX448" s="160"/>
      <c r="AY448" s="160"/>
      <c r="AZ448" s="160"/>
      <c r="BA448" s="160"/>
    </row>
    <row r="449" ht="15.75" hidden="1" customHeight="1" outlineLevel="1">
      <c r="A449" s="209"/>
      <c r="B449" s="38"/>
      <c r="C449" s="177"/>
      <c r="D449" s="177"/>
      <c r="E449" s="177"/>
      <c r="F449" s="177"/>
      <c r="G449" s="177">
        <f>IF(J$438&gt;0,('Assumptions (NG)'!$V$16*Model!J$438*'Assumptions (NG)'!F$2)/10^9,0)+if(J$439&gt;0,('Assumptions (NG)'!$V$16*Model!J$439*'Assumptions (NG)'!F$3)/10^9,0)</f>
        <v>0.1171986214</v>
      </c>
      <c r="H449" s="177">
        <f>IF(J$438&gt;0,('Assumptions (NG)'!$V$16*Model!J$438*'Assumptions (NG)'!G$2)/10^9,0)+if(J$439&gt;0,('Assumptions (NG)'!$V$16*Model!J$439*'Assumptions (NG)'!G$3)/10^9,0)</f>
        <v>0.1191899237</v>
      </c>
      <c r="I449" s="177">
        <f>IF(J$438&gt;0,('Assumptions (NG)'!$V$16*Model!J$438*'Assumptions (NG)'!H$2)/10^9,0)+if(J$439&gt;0,('Assumptions (NG)'!$V$16*Model!J$439*'Assumptions (NG)'!H$3)/10^9,0)</f>
        <v>0.1228404981</v>
      </c>
      <c r="J449" s="177"/>
      <c r="K449" s="177"/>
      <c r="L449" s="177"/>
      <c r="M449" s="160"/>
      <c r="N449" s="160"/>
      <c r="O449" s="160"/>
      <c r="P449" s="160"/>
      <c r="Q449" s="160"/>
      <c r="R449" s="160"/>
      <c r="S449" s="160"/>
      <c r="T449" s="160"/>
      <c r="U449" s="160"/>
      <c r="V449" s="160"/>
      <c r="W449" s="160"/>
      <c r="X449" s="160"/>
      <c r="Y449" s="160"/>
      <c r="Z449" s="160"/>
      <c r="AA449" s="160"/>
      <c r="AB449" s="160"/>
      <c r="AC449" s="160"/>
      <c r="AD449" s="160"/>
      <c r="AE449" s="160"/>
      <c r="AF449" s="160"/>
      <c r="AG449" s="160"/>
      <c r="AH449" s="160"/>
      <c r="AI449" s="160"/>
      <c r="AJ449" s="160"/>
      <c r="AK449" s="160"/>
      <c r="AL449" s="160"/>
      <c r="AM449" s="160"/>
      <c r="AN449" s="160"/>
      <c r="AO449" s="160"/>
      <c r="AP449" s="160"/>
      <c r="AQ449" s="160"/>
      <c r="AR449" s="160"/>
      <c r="AS449" s="160"/>
      <c r="AT449" s="160"/>
      <c r="AU449" s="160"/>
      <c r="AV449" s="160"/>
      <c r="AW449" s="160"/>
      <c r="AX449" s="160"/>
      <c r="AY449" s="160"/>
      <c r="AZ449" s="160"/>
      <c r="BA449" s="160"/>
    </row>
    <row r="450" ht="15.75" hidden="1" customHeight="1" outlineLevel="1">
      <c r="A450" s="209"/>
      <c r="B450" s="38"/>
      <c r="C450" s="177"/>
      <c r="D450" s="177"/>
      <c r="E450" s="177"/>
      <c r="F450" s="177"/>
      <c r="G450" s="177"/>
      <c r="H450" s="177">
        <f>IF(K$438&gt;0,('Assumptions (NG)'!$V$16*Model!K$438*'Assumptions (NG)'!G$2)/10^9,0)+if(K$439&gt;0,('Assumptions (NG)'!$V$16*Model!K$439*'Assumptions (NG)'!G$3)/10^9,0)</f>
        <v>0.1810043777</v>
      </c>
      <c r="I450" s="177">
        <f>IF(K$438&gt;0,('Assumptions (NG)'!$V$16*Model!K$438*'Assumptions (NG)'!H$2)/10^9,0)+if(K$439&gt;0,('Assumptions (NG)'!$V$16*Model!K$439*'Assumptions (NG)'!H$3)/10^9,0)</f>
        <v>0.1865482185</v>
      </c>
      <c r="J450" s="177">
        <f>IF(K$438&gt;0,('Assumptions (NG)'!$V$16*Model!K$438*'Assumptions (NG)'!I$2)/10^9,0)+if(K$439&gt;0,('Assumptions (NG)'!$V$16*Model!K$439*'Assumptions (NG)'!I$3)/10^9,0)</f>
        <v>0.1965679389</v>
      </c>
      <c r="K450" s="177"/>
      <c r="L450" s="177"/>
      <c r="M450" s="160"/>
      <c r="N450" s="160"/>
      <c r="O450" s="160"/>
      <c r="P450" s="160"/>
      <c r="Q450" s="160"/>
      <c r="R450" s="160"/>
      <c r="S450" s="160"/>
      <c r="T450" s="160"/>
      <c r="U450" s="160"/>
      <c r="V450" s="160"/>
      <c r="W450" s="160"/>
      <c r="X450" s="160"/>
      <c r="Y450" s="160"/>
      <c r="Z450" s="160"/>
      <c r="AA450" s="160"/>
      <c r="AB450" s="160"/>
      <c r="AC450" s="160"/>
      <c r="AD450" s="160"/>
      <c r="AE450" s="160"/>
      <c r="AF450" s="160"/>
      <c r="AG450" s="160"/>
      <c r="AH450" s="160"/>
      <c r="AI450" s="160"/>
      <c r="AJ450" s="160"/>
      <c r="AK450" s="160"/>
      <c r="AL450" s="160"/>
      <c r="AM450" s="160"/>
      <c r="AN450" s="160"/>
      <c r="AO450" s="160"/>
      <c r="AP450" s="160"/>
      <c r="AQ450" s="160"/>
      <c r="AR450" s="160"/>
      <c r="AS450" s="160"/>
      <c r="AT450" s="160"/>
      <c r="AU450" s="160"/>
      <c r="AV450" s="160"/>
      <c r="AW450" s="160"/>
      <c r="AX450" s="160"/>
      <c r="AY450" s="160"/>
      <c r="AZ450" s="160"/>
      <c r="BA450" s="160"/>
    </row>
    <row r="451" ht="15.75" hidden="1" customHeight="1" outlineLevel="1">
      <c r="A451" s="209"/>
      <c r="B451" s="38"/>
      <c r="C451" s="177"/>
      <c r="D451" s="177"/>
      <c r="E451" s="177"/>
      <c r="F451" s="177"/>
      <c r="G451" s="177"/>
      <c r="H451" s="177"/>
      <c r="I451" s="177">
        <f>IF(L$438&gt;0,('Assumptions (NG)'!$V$16*Model!L$438*'Assumptions (NG)'!H$2)/10^9,0)+if(L$439&gt;0,('Assumptions (NG)'!$V$16*Model!L$439*'Assumptions (NG)'!H$3)/10^9,0)</f>
        <v>0.0376524512</v>
      </c>
      <c r="J451" s="177">
        <f>IF(L$438&gt;0,('Assumptions (NG)'!$V$16*Model!L$438*'Assumptions (NG)'!I$2)/10^9,0)+if(L$439&gt;0,('Assumptions (NG)'!$V$16*Model!L$439*'Assumptions (NG)'!I$3)/10^9,0)</f>
        <v>0.03967480788</v>
      </c>
      <c r="K451" s="177">
        <f>IF(L$438&gt;0,('Assumptions (NG)'!$V$16*Model!L$438*'Assumptions (NG)'!J$2)/10^9,0)+if(L$439&gt;0,('Assumptions (NG)'!$V$16*Model!L$439*'Assumptions (NG)'!J$3)/10^9,0)</f>
        <v>0.04067488268</v>
      </c>
      <c r="L451" s="177"/>
      <c r="M451" s="160"/>
      <c r="N451" s="160"/>
      <c r="O451" s="160"/>
      <c r="P451" s="160"/>
      <c r="Q451" s="160"/>
      <c r="R451" s="160"/>
      <c r="S451" s="160"/>
      <c r="T451" s="160"/>
      <c r="U451" s="160"/>
      <c r="V451" s="160"/>
      <c r="W451" s="160"/>
      <c r="X451" s="160"/>
      <c r="Y451" s="160"/>
      <c r="Z451" s="160"/>
      <c r="AA451" s="160"/>
      <c r="AB451" s="160"/>
      <c r="AC451" s="160"/>
      <c r="AD451" s="160"/>
      <c r="AE451" s="160"/>
      <c r="AF451" s="160"/>
      <c r="AG451" s="160"/>
      <c r="AH451" s="160"/>
      <c r="AI451" s="160"/>
      <c r="AJ451" s="160"/>
      <c r="AK451" s="160"/>
      <c r="AL451" s="160"/>
      <c r="AM451" s="160"/>
      <c r="AN451" s="160"/>
      <c r="AO451" s="160"/>
      <c r="AP451" s="160"/>
      <c r="AQ451" s="160"/>
      <c r="AR451" s="160"/>
      <c r="AS451" s="160"/>
      <c r="AT451" s="160"/>
      <c r="AU451" s="160"/>
      <c r="AV451" s="160"/>
      <c r="AW451" s="160"/>
      <c r="AX451" s="160"/>
      <c r="AY451" s="160"/>
      <c r="AZ451" s="160"/>
      <c r="BA451" s="160"/>
    </row>
    <row r="452" ht="15.75" hidden="1" customHeight="1" outlineLevel="1">
      <c r="A452" s="209"/>
      <c r="B452" s="38"/>
      <c r="C452" s="177"/>
      <c r="D452" s="177"/>
      <c r="E452" s="177"/>
      <c r="F452" s="177"/>
      <c r="G452" s="177"/>
      <c r="H452" s="177"/>
      <c r="I452" s="177"/>
      <c r="J452" s="177">
        <f>IF(M$438&gt;0,('Assumptions (NG)'!$V$16*Model!M$438*'Assumptions (NG)'!I$2)/10^9,0)+if(M$439&gt;0,('Assumptions (NG)'!$V$16*Model!M$439*'Assumptions (NG)'!I$3)/10^9,0)</f>
        <v>0.477464568</v>
      </c>
      <c r="K452" s="177">
        <f>IF(M$438&gt;0,('Assumptions (NG)'!$V$16*Model!M$438*'Assumptions (NG)'!J$2)/10^9,0)+if(M$439&gt;0,('Assumptions (NG)'!$V$16*Model!M$439*'Assumptions (NG)'!J$3)/10^9,0)</f>
        <v>0.4894999201</v>
      </c>
      <c r="L452" s="177">
        <f>IF(M$438&gt;0,('Assumptions (NG)'!$V$16*Model!M$438*'Assumptions (NG)'!K$2)/10^9,0)+if(M$439&gt;0,('Assumptions (NG)'!$V$16*Model!M$439*'Assumptions (NG)'!K$3)/10^9,0)</f>
        <v>0.5090613131</v>
      </c>
      <c r="M452" s="160"/>
      <c r="N452" s="160"/>
      <c r="O452" s="160"/>
      <c r="P452" s="160"/>
      <c r="Q452" s="160"/>
      <c r="R452" s="160"/>
      <c r="S452" s="160"/>
      <c r="T452" s="160"/>
      <c r="U452" s="160"/>
      <c r="V452" s="160"/>
      <c r="W452" s="160"/>
      <c r="X452" s="160"/>
      <c r="Y452" s="160"/>
      <c r="Z452" s="160"/>
      <c r="AA452" s="160"/>
      <c r="AB452" s="160"/>
      <c r="AC452" s="160"/>
      <c r="AD452" s="160"/>
      <c r="AE452" s="160"/>
      <c r="AF452" s="160"/>
      <c r="AG452" s="160"/>
      <c r="AH452" s="160"/>
      <c r="AI452" s="160"/>
      <c r="AJ452" s="160"/>
      <c r="AK452" s="160"/>
      <c r="AL452" s="160"/>
      <c r="AM452" s="160"/>
      <c r="AN452" s="160"/>
      <c r="AO452" s="160"/>
      <c r="AP452" s="160"/>
      <c r="AQ452" s="160"/>
      <c r="AR452" s="160"/>
      <c r="AS452" s="160"/>
      <c r="AT452" s="160"/>
      <c r="AU452" s="160"/>
      <c r="AV452" s="160"/>
      <c r="AW452" s="160"/>
      <c r="AX452" s="160"/>
      <c r="AY452" s="160"/>
      <c r="AZ452" s="160"/>
      <c r="BA452" s="160"/>
    </row>
    <row r="453" ht="15.75" hidden="1" customHeight="1" outlineLevel="1">
      <c r="A453" s="209"/>
      <c r="B453" s="38"/>
      <c r="C453" s="160"/>
      <c r="D453" s="160"/>
      <c r="E453" s="160"/>
      <c r="F453" s="160"/>
      <c r="G453" s="160"/>
      <c r="H453" s="160"/>
      <c r="I453" s="160"/>
      <c r="J453" s="160"/>
      <c r="K453" s="177">
        <f>IF(N$438&gt;0,('Assumptions (NG)'!$V$16*Model!N$438*'Assumptions (NG)'!J$2)/10^9,0)+if(N$439&gt;0,('Assumptions (NG)'!$V$16*Model!N$439*'Assumptions (NG)'!J$3)/10^9,0)</f>
        <v>0.641791942</v>
      </c>
      <c r="L453" s="177">
        <f>IF(N$438&gt;0,('Assumptions (NG)'!$V$16*Model!N$438*'Assumptions (NG)'!K$2)/10^9,0)+if(N$439&gt;0,('Assumptions (NG)'!$V$16*Model!N$439*'Assumptions (NG)'!K$3)/10^9,0)</f>
        <v>0.6674392278</v>
      </c>
      <c r="M453" s="177">
        <f>IF(N$438&gt;0,('Assumptions (NG)'!$V$16*Model!N$438*'Assumptions (NG)'!L$2)/10^9,0)+if(N$439&gt;0,('Assumptions (NG)'!$V$16*Model!N$439*'Assumptions (NG)'!L$3)/10^9,0)</f>
        <v>0.6803836394</v>
      </c>
      <c r="N453" s="160"/>
      <c r="O453" s="160"/>
      <c r="P453" s="160"/>
      <c r="Q453" s="160"/>
      <c r="R453" s="160"/>
      <c r="S453" s="160"/>
      <c r="T453" s="160"/>
      <c r="U453" s="160"/>
      <c r="V453" s="160"/>
      <c r="W453" s="160"/>
      <c r="X453" s="160"/>
      <c r="Y453" s="160"/>
      <c r="Z453" s="160"/>
      <c r="AA453" s="160"/>
      <c r="AB453" s="160"/>
      <c r="AC453" s="160"/>
      <c r="AD453" s="160"/>
      <c r="AE453" s="160"/>
      <c r="AF453" s="160"/>
      <c r="AG453" s="160"/>
      <c r="AH453" s="160"/>
      <c r="AI453" s="160"/>
      <c r="AJ453" s="160"/>
      <c r="AK453" s="160"/>
      <c r="AL453" s="160"/>
      <c r="AM453" s="160"/>
      <c r="AN453" s="160"/>
      <c r="AO453" s="160"/>
      <c r="AP453" s="160"/>
      <c r="AQ453" s="160"/>
      <c r="AR453" s="160"/>
      <c r="AS453" s="160"/>
      <c r="AT453" s="160"/>
      <c r="AU453" s="160"/>
      <c r="AV453" s="160"/>
      <c r="AW453" s="160"/>
      <c r="AX453" s="160"/>
      <c r="AY453" s="160"/>
      <c r="AZ453" s="160"/>
      <c r="BA453" s="160"/>
    </row>
    <row r="454" ht="15.75" hidden="1" customHeight="1" outlineLevel="1">
      <c r="A454" s="209"/>
      <c r="B454" s="38"/>
      <c r="C454" s="160"/>
      <c r="D454" s="160"/>
      <c r="E454" s="160"/>
      <c r="F454" s="160"/>
      <c r="G454" s="160"/>
      <c r="H454" s="160"/>
      <c r="I454" s="160"/>
      <c r="J454" s="160"/>
      <c r="K454" s="160"/>
      <c r="L454" s="177">
        <f>IF(O$438&gt;0,('Assumptions (NG)'!$V$16*Model!O$438*'Assumptions (NG)'!K$2)/10^9,0)+if(O$439&gt;0,('Assumptions (NG)'!$V$16*Model!O$439*'Assumptions (NG)'!K$3)/10^9,0)</f>
        <v>1.498607383</v>
      </c>
      <c r="M454" s="177">
        <f>IF(O$438&gt;0,('Assumptions (NG)'!$V$16*Model!O$438*'Assumptions (NG)'!L$2)/10^9,0)+if(O$439&gt;0,('Assumptions (NG)'!$V$16*Model!O$439*'Assumptions (NG)'!L$3)/10^9,0)</f>
        <v>1.527671588</v>
      </c>
      <c r="N454" s="177">
        <f>IF(O$438&gt;0,('Assumptions (NG)'!$V$16*Model!O$438*'Assumptions (NG)'!M$2)/10^9,0)+if(O$439&gt;0,('Assumptions (NG)'!$V$16*Model!O$439*'Assumptions (NG)'!M$3)/10^9,0)</f>
        <v>1.557128703</v>
      </c>
      <c r="O454" s="160"/>
      <c r="P454" s="160"/>
      <c r="Q454" s="160"/>
      <c r="R454" s="160"/>
      <c r="S454" s="160"/>
      <c r="T454" s="160"/>
      <c r="U454" s="160"/>
      <c r="V454" s="160"/>
      <c r="W454" s="160"/>
      <c r="X454" s="160"/>
      <c r="Y454" s="160"/>
      <c r="Z454" s="160"/>
      <c r="AA454" s="160"/>
      <c r="AB454" s="160"/>
      <c r="AC454" s="160"/>
      <c r="AD454" s="160"/>
      <c r="AE454" s="160"/>
      <c r="AF454" s="160"/>
      <c r="AG454" s="160"/>
      <c r="AH454" s="160"/>
      <c r="AI454" s="160"/>
      <c r="AJ454" s="160"/>
      <c r="AK454" s="160"/>
      <c r="AL454" s="160"/>
      <c r="AM454" s="160"/>
      <c r="AN454" s="160"/>
      <c r="AO454" s="160"/>
      <c r="AP454" s="160"/>
      <c r="AQ454" s="160"/>
      <c r="AR454" s="160"/>
      <c r="AS454" s="160"/>
      <c r="AT454" s="160"/>
      <c r="AU454" s="160"/>
      <c r="AV454" s="160"/>
      <c r="AW454" s="160"/>
      <c r="AX454" s="160"/>
      <c r="AY454" s="160"/>
      <c r="AZ454" s="160"/>
      <c r="BA454" s="160"/>
    </row>
    <row r="455" ht="15.75" hidden="1" customHeight="1" outlineLevel="1">
      <c r="A455" s="209"/>
      <c r="B455" s="38"/>
      <c r="C455" s="160"/>
      <c r="D455" s="160"/>
      <c r="E455" s="160"/>
      <c r="F455" s="160"/>
      <c r="G455" s="160"/>
      <c r="H455" s="160"/>
      <c r="I455" s="160"/>
      <c r="J455" s="177"/>
      <c r="K455" s="177"/>
      <c r="L455" s="177"/>
      <c r="M455" s="177">
        <f>IF(P$438&gt;0,('Assumptions (NG)'!$V$16*Model!P$438*'Assumptions (NG)'!L$2)/10^9,0)+if(P$439&gt;0,('Assumptions (NG)'!$V$16*Model!P$439*'Assumptions (NG)'!L$3)/10^9,0)</f>
        <v>0.2375679803</v>
      </c>
      <c r="N455" s="177">
        <f>IF(P$438&gt;0,('Assumptions (NG)'!$V$16*Model!P$438*'Assumptions (NG)'!M$2)/10^9,0)+if(P$439&gt;0,('Assumptions (NG)'!$V$16*Model!P$439*'Assumptions (NG)'!M$3)/10^9,0)</f>
        <v>0.2421488518</v>
      </c>
      <c r="O455" s="215">
        <f>IF(P$438&gt;0,('Assumptions (NG)'!$V$16*Model!P$438*'Assumptions (NG)'!N$2)/10^9,0)+if(P$439&gt;0,('Assumptions (NG)'!$V$16*Model!P$439*'Assumptions (NG)'!N$3)/10^9,0)</f>
        <v>0.2475759527</v>
      </c>
      <c r="P455" s="177"/>
      <c r="Q455" s="160"/>
      <c r="R455" s="177"/>
      <c r="S455" s="177"/>
      <c r="T455" s="177"/>
      <c r="U455" s="177"/>
      <c r="V455" s="177"/>
      <c r="W455" s="160"/>
      <c r="X455" s="160"/>
      <c r="Y455" s="160"/>
      <c r="Z455" s="160"/>
      <c r="AA455" s="160"/>
      <c r="AB455" s="160"/>
      <c r="AC455" s="160"/>
      <c r="AD455" s="160"/>
      <c r="AE455" s="160"/>
      <c r="AF455" s="160"/>
      <c r="AG455" s="160"/>
      <c r="AH455" s="160"/>
      <c r="AI455" s="160"/>
      <c r="AJ455" s="160"/>
      <c r="AK455" s="160"/>
      <c r="AL455" s="160"/>
      <c r="AM455" s="160"/>
      <c r="AN455" s="160"/>
      <c r="AO455" s="160"/>
      <c r="AP455" s="160"/>
      <c r="AQ455" s="160"/>
      <c r="AR455" s="160"/>
      <c r="AS455" s="160"/>
      <c r="AT455" s="160"/>
      <c r="AU455" s="160"/>
      <c r="AV455" s="160"/>
      <c r="AW455" s="160"/>
      <c r="AX455" s="160"/>
      <c r="AY455" s="160"/>
      <c r="AZ455" s="160"/>
      <c r="BA455" s="160"/>
    </row>
    <row r="456" ht="15.75" hidden="1" customHeight="1" outlineLevel="1">
      <c r="A456" s="209"/>
      <c r="B456" s="38"/>
      <c r="C456" s="160"/>
      <c r="D456" s="160"/>
      <c r="E456" s="160"/>
      <c r="F456" s="160"/>
      <c r="G456" s="160"/>
      <c r="H456" s="160"/>
      <c r="I456" s="160"/>
      <c r="J456" s="160"/>
      <c r="K456" s="177"/>
      <c r="L456" s="177"/>
      <c r="M456" s="177"/>
      <c r="N456" s="177">
        <f>IF(Q$438&gt;0,('Assumptions (NG)'!$V$16*Model!Q$438*'Assumptions (NG)'!M$2)/10^9,0)+if(Q$439&gt;0,('Assumptions (NG)'!$V$16*Model!Q$439*'Assumptions (NG)'!M$3)/10^9,0)</f>
        <v>0.2662196708</v>
      </c>
      <c r="O456" s="215">
        <f>IF(Q$438&gt;0,('Assumptions (NG)'!$V$16*Model!Q$438*'Assumptions (NG)'!N$2)/10^9,0)+if(Q$439&gt;0,('Assumptions (NG)'!$V$16*Model!Q$439*'Assumptions (NG)'!N$3)/10^9,0)</f>
        <v>0.272186253</v>
      </c>
      <c r="P456" s="215">
        <f>IF(Q$438&gt;0,('Assumptions (NG)'!$V$16*Model!Q$438*'Assumptions (NG)'!O$2)/10^9,0)+if(Q$439&gt;0,('Assumptions (NG)'!$V$16*Model!Q$439*'Assumptions (NG)'!O$3)/10^9,0)</f>
        <v>0.2747572052</v>
      </c>
      <c r="Q456" s="160"/>
      <c r="R456" s="177"/>
      <c r="S456" s="177"/>
      <c r="T456" s="177"/>
      <c r="U456" s="177"/>
      <c r="V456" s="177"/>
      <c r="W456" s="160"/>
      <c r="X456" s="160"/>
      <c r="Y456" s="160"/>
      <c r="Z456" s="160"/>
      <c r="AA456" s="160"/>
      <c r="AB456" s="160"/>
      <c r="AC456" s="160"/>
      <c r="AD456" s="160"/>
      <c r="AE456" s="160"/>
      <c r="AF456" s="160"/>
      <c r="AG456" s="160"/>
      <c r="AH456" s="160"/>
      <c r="AI456" s="160"/>
      <c r="AJ456" s="160"/>
      <c r="AK456" s="160"/>
      <c r="AL456" s="160"/>
      <c r="AM456" s="160"/>
      <c r="AN456" s="160"/>
      <c r="AO456" s="160"/>
      <c r="AP456" s="160"/>
      <c r="AQ456" s="160"/>
      <c r="AR456" s="160"/>
      <c r="AS456" s="160"/>
      <c r="AT456" s="160"/>
      <c r="AU456" s="160"/>
      <c r="AV456" s="160"/>
      <c r="AW456" s="160"/>
      <c r="AX456" s="160"/>
      <c r="AY456" s="160"/>
      <c r="AZ456" s="160"/>
      <c r="BA456" s="160"/>
    </row>
    <row r="457" ht="15.75" hidden="1" customHeight="1" outlineLevel="1">
      <c r="A457" s="209"/>
      <c r="B457" s="38"/>
      <c r="C457" s="160"/>
      <c r="D457" s="160"/>
      <c r="E457" s="160"/>
      <c r="F457" s="160"/>
      <c r="G457" s="160"/>
      <c r="H457" s="160"/>
      <c r="I457" s="160"/>
      <c r="J457" s="160"/>
      <c r="K457" s="160"/>
      <c r="L457" s="178"/>
      <c r="M457" s="178"/>
      <c r="N457" s="178"/>
      <c r="O457" s="215">
        <f>IF(R$438&gt;0,('Assumptions (NG)'!$V$16*Model!R$438*'Assumptions (NG)'!N$2)/10^9,0)+if(R$439&gt;0,('Assumptions (NG)'!$V$16*Model!R$439*'Assumptions (NG)'!N$3)/10^9,0)</f>
        <v>0.00142973124</v>
      </c>
      <c r="P457" s="215">
        <f>IF(R$438&gt;0,('Assumptions (NG)'!$V$16*Model!R$438*'Assumptions (NG)'!O$2)/10^9,0)+if(R$439&gt;0,('Assumptions (NG)'!$V$16*Model!R$439*'Assumptions (NG)'!O$3)/10^9,0)</f>
        <v>0.001443235856</v>
      </c>
      <c r="Q457" s="215">
        <f>IF(R$438&gt;0,('Assumptions (NG)'!$V$16*Model!R$438*'Assumptions (NG)'!P$2)/10^9,0)+if(R$439&gt;0,('Assumptions (NG)'!$V$16*Model!R$439*'Assumptions (NG)'!P$3)/10^9,0)</f>
        <v>0.001461465864</v>
      </c>
      <c r="R457" s="177"/>
      <c r="S457" s="177"/>
      <c r="T457" s="177"/>
      <c r="U457" s="177"/>
      <c r="V457" s="177"/>
      <c r="W457" s="160"/>
      <c r="X457" s="160"/>
      <c r="Y457" s="160"/>
      <c r="Z457" s="160"/>
      <c r="AA457" s="160"/>
      <c r="AB457" s="160"/>
      <c r="AC457" s="160"/>
      <c r="AD457" s="160"/>
      <c r="AE457" s="160"/>
      <c r="AF457" s="160"/>
      <c r="AG457" s="160"/>
      <c r="AH457" s="160"/>
      <c r="AI457" s="160"/>
      <c r="AJ457" s="160"/>
      <c r="AK457" s="160"/>
      <c r="AL457" s="160"/>
      <c r="AM457" s="160"/>
      <c r="AN457" s="160"/>
      <c r="AO457" s="160"/>
      <c r="AP457" s="160"/>
      <c r="AQ457" s="160"/>
      <c r="AR457" s="160"/>
      <c r="AS457" s="160"/>
      <c r="AT457" s="160"/>
      <c r="AU457" s="160"/>
      <c r="AV457" s="160"/>
      <c r="AW457" s="160"/>
      <c r="AX457" s="160"/>
      <c r="AY457" s="160"/>
      <c r="AZ457" s="160"/>
      <c r="BA457" s="160"/>
    </row>
    <row r="458" ht="15.75" hidden="1" customHeight="1" outlineLevel="1">
      <c r="A458" s="209"/>
      <c r="B458" s="38"/>
      <c r="C458" s="160"/>
      <c r="D458" s="160"/>
      <c r="E458" s="160"/>
      <c r="F458" s="160"/>
      <c r="G458" s="160"/>
      <c r="H458" s="160"/>
      <c r="I458" s="160"/>
      <c r="J458" s="160"/>
      <c r="K458" s="160"/>
      <c r="L458" s="160"/>
      <c r="M458" s="160"/>
      <c r="N458" s="160"/>
      <c r="O458" s="160"/>
      <c r="P458" s="215">
        <f>IF(S$438&gt;0,('Assumptions (NG)'!$V$16*Model!S$438*'Assumptions (NG)'!O$2)/10^9,0)+if(S$439&gt;0,('Assumptions (NG)'!$V$16*Model!S$439*'Assumptions (NG)'!O$3)/10^9,0)</f>
        <v>0</v>
      </c>
      <c r="Q458" s="215">
        <f>IF(S$438&gt;0,('Assumptions (NG)'!$V$16*Model!S$438*'Assumptions (NG)'!P$2)/10^9,0)+if(S$439&gt;0,('Assumptions (NG)'!$V$16*Model!S$439*'Assumptions (NG)'!P$3)/10^9,0)</f>
        <v>0</v>
      </c>
      <c r="R458" s="215">
        <f>IF(S$438&gt;0,('Assumptions (NG)'!$V$16*Model!S$438*'Assumptions (NG)'!Q$2)/10^9,0)+if(S$439&gt;0,('Assumptions (NG)'!$V$16*Model!S$439*'Assumptions (NG)'!Q$3)/10^9,0)</f>
        <v>0</v>
      </c>
      <c r="S458" s="160"/>
      <c r="T458" s="160"/>
      <c r="U458" s="160"/>
      <c r="V458" s="160"/>
      <c r="W458" s="160"/>
      <c r="X458" s="160"/>
      <c r="Y458" s="160"/>
      <c r="Z458" s="160"/>
      <c r="AA458" s="160"/>
      <c r="AB458" s="160"/>
      <c r="AC458" s="160"/>
      <c r="AD458" s="160"/>
      <c r="AE458" s="160"/>
      <c r="AF458" s="160"/>
      <c r="AG458" s="160"/>
      <c r="AH458" s="160"/>
      <c r="AI458" s="160"/>
      <c r="AJ458" s="160"/>
      <c r="AK458" s="160"/>
      <c r="AL458" s="160"/>
      <c r="AM458" s="160"/>
      <c r="AN458" s="160"/>
      <c r="AO458" s="160"/>
      <c r="AP458" s="160"/>
      <c r="AQ458" s="160"/>
      <c r="AR458" s="160"/>
      <c r="AS458" s="160"/>
      <c r="AT458" s="160"/>
      <c r="AU458" s="160"/>
      <c r="AV458" s="160"/>
      <c r="AW458" s="160"/>
      <c r="AX458" s="160"/>
      <c r="AY458" s="160"/>
      <c r="AZ458" s="160"/>
      <c r="BA458" s="160"/>
    </row>
    <row r="459" ht="15.75" hidden="1" customHeight="1" outlineLevel="1">
      <c r="A459" s="209"/>
      <c r="B459" s="38"/>
      <c r="C459" s="160"/>
      <c r="D459" s="160"/>
      <c r="E459" s="160"/>
      <c r="F459" s="160"/>
      <c r="G459" s="160"/>
      <c r="H459" s="160"/>
      <c r="I459" s="160"/>
      <c r="J459" s="160"/>
      <c r="K459" s="160"/>
      <c r="L459" s="160"/>
      <c r="M459" s="160"/>
      <c r="N459" s="160"/>
      <c r="O459" s="160"/>
      <c r="P459" s="160"/>
      <c r="Q459" s="215">
        <f>IF(T$438&gt;0,('Assumptions (NG)'!$V$16*Model!T$438*'Assumptions (NG)'!P$2)/10^9,0)+if(T$439&gt;0,('Assumptions (NG)'!$V$16*Model!T$439*'Assumptions (NG)'!P$3)/10^9,0)</f>
        <v>0.0258395284</v>
      </c>
      <c r="R459" s="215">
        <f>IF(T$438&gt;0,('Assumptions (NG)'!$V$16*Model!T$438*'Assumptions (NG)'!Q$2)/10^9,0)+if(T$439&gt;0,('Assumptions (NG)'!$V$16*Model!T$439*'Assumptions (NG)'!Q$3)/10^9,0)</f>
        <v>0.02673926159</v>
      </c>
      <c r="S459" s="215">
        <f>IF(T$438&gt;0,('Assumptions (NG)'!$V$16*Model!T$438*'Assumptions (NG)'!R$2)/10^9,0)+if(T$439&gt;0,('Assumptions (NG)'!$V$16*Model!T$439*'Assumptions (NG)'!R$3)/10^9,0)</f>
        <v>0.0271726612</v>
      </c>
      <c r="T459" s="160"/>
      <c r="U459" s="160"/>
      <c r="V459" s="160"/>
      <c r="W459" s="160"/>
      <c r="X459" s="160"/>
      <c r="Y459" s="160"/>
      <c r="Z459" s="160"/>
      <c r="AA459" s="160"/>
      <c r="AB459" s="160"/>
      <c r="AC459" s="160"/>
      <c r="AD459" s="160"/>
      <c r="AE459" s="160"/>
      <c r="AF459" s="160"/>
      <c r="AG459" s="160"/>
      <c r="AH459" s="160"/>
      <c r="AI459" s="160"/>
      <c r="AJ459" s="160"/>
      <c r="AK459" s="160"/>
      <c r="AL459" s="160"/>
      <c r="AM459" s="160"/>
      <c r="AN459" s="160"/>
      <c r="AO459" s="160"/>
      <c r="AP459" s="160"/>
      <c r="AQ459" s="160"/>
      <c r="AR459" s="160"/>
      <c r="AS459" s="160"/>
      <c r="AT459" s="160"/>
      <c r="AU459" s="160"/>
      <c r="AV459" s="160"/>
      <c r="AW459" s="160"/>
      <c r="AX459" s="160"/>
      <c r="AY459" s="160"/>
      <c r="AZ459" s="160"/>
      <c r="BA459" s="160"/>
    </row>
    <row r="460" ht="15.75" hidden="1" customHeight="1" outlineLevel="1">
      <c r="A460" s="209"/>
      <c r="B460" s="38"/>
      <c r="C460" s="160"/>
      <c r="D460" s="160"/>
      <c r="E460" s="160"/>
      <c r="F460" s="160"/>
      <c r="G460" s="160"/>
      <c r="H460" s="160"/>
      <c r="I460" s="160"/>
      <c r="J460" s="160"/>
      <c r="K460" s="160"/>
      <c r="L460" s="160"/>
      <c r="M460" s="160"/>
      <c r="N460" s="160"/>
      <c r="O460" s="177"/>
      <c r="P460" s="177"/>
      <c r="Q460" s="177"/>
      <c r="R460" s="215">
        <f>IF(U$438&gt;0,('Assumptions (NG)'!$V$16*Model!U$438*'Assumptions (NG)'!Q$2)/10^9,0)+if(U$439&gt;0,('Assumptions (NG)'!$V$16*Model!U$439*'Assumptions (NG)'!Q$3)/10^9,0)</f>
        <v>0.8782026799</v>
      </c>
      <c r="S460" s="215">
        <f>IF(U$438&gt;0,('Assumptions (NG)'!$V$16*Model!U$438*'Assumptions (NG)'!R$2)/10^9,0)+if(U$439&gt;0,('Assumptions (NG)'!$V$16*Model!U$439*'Assumptions (NG)'!R$3)/10^9,0)</f>
        <v>0.8924369062</v>
      </c>
      <c r="T460" s="215">
        <f>IF(U$438&gt;0,('Assumptions (NG)'!$V$16*Model!U$438*'Assumptions (NG)'!S$2)/10^9,0)+if(U$439&gt;0,('Assumptions (NG)'!$V$16*Model!U$439*'Assumptions (NG)'!S$3)/10^9,0)</f>
        <v>0.8829598767</v>
      </c>
      <c r="U460" s="160"/>
      <c r="V460" s="160"/>
      <c r="W460" s="160"/>
      <c r="X460" s="160"/>
      <c r="Y460" s="160"/>
      <c r="Z460" s="160"/>
      <c r="AA460" s="160"/>
      <c r="AB460" s="160"/>
      <c r="AC460" s="160"/>
      <c r="AD460" s="160"/>
      <c r="AE460" s="160"/>
      <c r="AF460" s="160"/>
      <c r="AG460" s="160"/>
      <c r="AH460" s="160"/>
      <c r="AI460" s="160"/>
      <c r="AJ460" s="160"/>
      <c r="AK460" s="160"/>
      <c r="AL460" s="160"/>
      <c r="AM460" s="160"/>
      <c r="AN460" s="160"/>
      <c r="AO460" s="160"/>
      <c r="AP460" s="160"/>
      <c r="AQ460" s="160"/>
      <c r="AR460" s="160"/>
      <c r="AS460" s="160"/>
      <c r="AT460" s="160"/>
      <c r="AU460" s="160"/>
      <c r="AV460" s="160"/>
      <c r="AW460" s="160"/>
      <c r="AX460" s="160"/>
      <c r="AY460" s="160"/>
      <c r="AZ460" s="160"/>
      <c r="BA460" s="160"/>
    </row>
    <row r="461" ht="15.75" hidden="1" customHeight="1" outlineLevel="1">
      <c r="A461" s="209"/>
      <c r="B461" s="38"/>
      <c r="C461" s="160"/>
      <c r="D461" s="160"/>
      <c r="E461" s="160"/>
      <c r="F461" s="160"/>
      <c r="G461" s="160"/>
      <c r="H461" s="160"/>
      <c r="I461" s="160"/>
      <c r="J461" s="160"/>
      <c r="K461" s="160"/>
      <c r="L461" s="160"/>
      <c r="M461" s="160"/>
      <c r="N461" s="160"/>
      <c r="O461" s="160"/>
      <c r="P461" s="160"/>
      <c r="Q461" s="160"/>
      <c r="R461" s="160"/>
      <c r="S461" s="215">
        <f>IF(V$438&gt;0,('Assumptions (NG)'!$V$16*Model!V$438*'Assumptions (NG)'!R$2)/10^9,0)+if(V$439&gt;0,('Assumptions (NG)'!$V$16*Model!V$439*'Assumptions (NG)'!R$3)/10^9,0)</f>
        <v>0</v>
      </c>
      <c r="T461" s="215">
        <f>IF(V$438&gt;0,('Assumptions (NG)'!$V$16*Model!V$438*'Assumptions (NG)'!S$2)/10^9,0)+if(V$439&gt;0,('Assumptions (NG)'!$V$16*Model!V$439*'Assumptions (NG)'!S$3)/10^9,0)</f>
        <v>0</v>
      </c>
      <c r="U461" s="215">
        <f>IF(V$438&gt;0,('Assumptions (NG)'!$V$16*Model!V$438*'Assumptions (NG)'!T$2)/10^9,0)+if(V$439&gt;0,('Assumptions (NG)'!$V$16*Model!V$439*'Assumptions (NG)'!T$3)/10^9,0)</f>
        <v>0</v>
      </c>
      <c r="V461" s="160"/>
      <c r="W461" s="160"/>
      <c r="X461" s="160"/>
      <c r="Y461" s="160"/>
      <c r="Z461" s="160"/>
      <c r="AA461" s="160"/>
      <c r="AB461" s="160"/>
      <c r="AC461" s="160"/>
      <c r="AD461" s="160"/>
      <c r="AE461" s="160"/>
      <c r="AF461" s="160"/>
      <c r="AG461" s="160"/>
      <c r="AH461" s="160"/>
      <c r="AI461" s="160"/>
      <c r="AJ461" s="160"/>
      <c r="AK461" s="160"/>
      <c r="AL461" s="160"/>
      <c r="AM461" s="160"/>
      <c r="AN461" s="160"/>
      <c r="AO461" s="160"/>
      <c r="AP461" s="160"/>
      <c r="AQ461" s="160"/>
      <c r="AR461" s="160"/>
      <c r="AS461" s="160"/>
      <c r="AT461" s="160"/>
      <c r="AU461" s="160"/>
      <c r="AV461" s="160"/>
      <c r="AW461" s="160"/>
      <c r="AX461" s="160"/>
      <c r="AY461" s="160"/>
      <c r="AZ461" s="160"/>
      <c r="BA461" s="160"/>
    </row>
    <row r="462" ht="15.75" hidden="1" customHeight="1" outlineLevel="1">
      <c r="A462" s="209"/>
      <c r="B462" s="38"/>
      <c r="C462" s="174"/>
      <c r="D462" s="174"/>
      <c r="E462" s="174"/>
      <c r="F462" s="174"/>
      <c r="G462" s="174"/>
      <c r="H462" s="174"/>
      <c r="I462" s="174"/>
      <c r="J462" s="174"/>
      <c r="K462" s="174"/>
      <c r="L462" s="174"/>
      <c r="M462" s="174"/>
      <c r="N462" s="174"/>
      <c r="O462" s="174"/>
      <c r="P462" s="174"/>
      <c r="Q462" s="174"/>
      <c r="R462" s="174"/>
      <c r="S462" s="174"/>
      <c r="T462" s="215">
        <f>IF(W$438&gt;0,('Assumptions (NG)'!$V$16*Model!W$438*'Assumptions (NG)'!S$2)/10^9,0)+if(W$439&gt;0,('Assumptions (NG)'!$V$16*Model!W$439*'Assumptions (NG)'!S$3)/10^9,0)</f>
        <v>0</v>
      </c>
      <c r="U462" s="215">
        <f>IF(W$438&gt;0,('Assumptions (NG)'!$V$16*Model!W$438*'Assumptions (NG)'!T$2)/10^9,0)+if(W$439&gt;0,('Assumptions (NG)'!$V$16*Model!W$439*'Assumptions (NG)'!T$3)/10^9,0)</f>
        <v>0</v>
      </c>
      <c r="V462" s="215">
        <f>IF(W$438&gt;0,('Assumptions (NG)'!$V$16*Model!W$438*'Assumptions (NG)'!U$2)/10^9,0)+if(W$439&gt;0,('Assumptions (NG)'!$V$16*Model!W$439*'Assumptions (NG)'!U$3)/10^9,0)</f>
        <v>0</v>
      </c>
      <c r="W462" s="160"/>
      <c r="X462" s="160"/>
      <c r="Y462" s="160"/>
      <c r="Z462" s="160"/>
      <c r="AA462" s="160"/>
      <c r="AB462" s="160"/>
      <c r="AC462" s="160"/>
      <c r="AD462" s="160"/>
      <c r="AE462" s="160"/>
      <c r="AF462" s="160"/>
      <c r="AG462" s="160"/>
      <c r="AH462" s="160"/>
      <c r="AI462" s="160"/>
      <c r="AJ462" s="160"/>
      <c r="AK462" s="160"/>
      <c r="AL462" s="160"/>
      <c r="AM462" s="160"/>
      <c r="AN462" s="160"/>
      <c r="AO462" s="160"/>
      <c r="AP462" s="160"/>
      <c r="AQ462" s="160"/>
      <c r="AR462" s="160"/>
      <c r="AS462" s="160"/>
      <c r="AT462" s="160"/>
      <c r="AU462" s="160"/>
      <c r="AV462" s="160"/>
      <c r="AW462" s="160"/>
      <c r="AX462" s="160"/>
      <c r="AY462" s="160"/>
      <c r="AZ462" s="160"/>
      <c r="BA462" s="160"/>
    </row>
    <row r="463" ht="15.75" hidden="1" customHeight="1" outlineLevel="1">
      <c r="A463" s="209"/>
      <c r="B463" s="38"/>
      <c r="C463" s="174"/>
      <c r="D463" s="174"/>
      <c r="E463" s="174"/>
      <c r="F463" s="174"/>
      <c r="G463" s="174"/>
      <c r="H463" s="174"/>
      <c r="I463" s="174"/>
      <c r="J463" s="174"/>
      <c r="K463" s="174"/>
      <c r="L463" s="174"/>
      <c r="M463" s="174"/>
      <c r="N463" s="174"/>
      <c r="O463" s="174"/>
      <c r="P463" s="174"/>
      <c r="Q463" s="174"/>
      <c r="R463" s="174"/>
      <c r="S463" s="174"/>
      <c r="T463" s="174"/>
      <c r="U463" s="215">
        <f>IF(X$438&gt;0,('Assumptions (NG)'!$V$16*Model!X$438*'Assumptions (NG)'!T$2)/10^9,0)+if(X$439&gt;0,('Assumptions (NG)'!$V$16*Model!X$439*'Assumptions (NG)'!T$3)/10^9,0)</f>
        <v>1.436686602</v>
      </c>
      <c r="V463" s="215">
        <f>IF(X$438&gt;0,('Assumptions (NG)'!$V$16*Model!X$438*'Assumptions (NG)'!U$2)/10^9,0)+if(X$439&gt;0,('Assumptions (NG)'!$V$16*Model!X$439*'Assumptions (NG)'!U$3)/10^9,0)</f>
        <v>1.454833884</v>
      </c>
      <c r="W463" s="215">
        <f>IF(X$438&gt;0,('Assumptions (NG)'!$V$16*Model!X$438*'Assumptions (NG)'!V$2)/10^9,0)+if(X$439&gt;0,('Assumptions (NG)'!$V$16*Model!X$439*'Assumptions (NG)'!V$3)/10^9,0)</f>
        <v>1.483776694</v>
      </c>
      <c r="X463" s="160"/>
      <c r="Y463" s="160"/>
      <c r="Z463" s="160"/>
      <c r="AA463" s="160"/>
      <c r="AB463" s="160"/>
      <c r="AC463" s="160"/>
      <c r="AD463" s="160"/>
      <c r="AE463" s="160"/>
      <c r="AF463" s="160"/>
      <c r="AG463" s="160"/>
      <c r="AH463" s="160"/>
      <c r="AI463" s="160"/>
      <c r="AJ463" s="160"/>
      <c r="AK463" s="160"/>
      <c r="AL463" s="160"/>
      <c r="AM463" s="160"/>
      <c r="AN463" s="160"/>
      <c r="AO463" s="160"/>
      <c r="AP463" s="160"/>
      <c r="AQ463" s="160"/>
      <c r="AR463" s="160"/>
      <c r="AS463" s="160"/>
      <c r="AT463" s="160"/>
      <c r="AU463" s="160"/>
      <c r="AV463" s="160"/>
      <c r="AW463" s="160"/>
      <c r="AX463" s="160"/>
      <c r="AY463" s="160"/>
      <c r="AZ463" s="160"/>
      <c r="BA463" s="160"/>
    </row>
    <row r="464" ht="15.75" hidden="1" customHeight="1" outlineLevel="1">
      <c r="A464" s="209"/>
      <c r="B464" s="38"/>
      <c r="C464" s="174"/>
      <c r="D464" s="174"/>
      <c r="E464" s="174"/>
      <c r="F464" s="174"/>
      <c r="G464" s="174"/>
      <c r="H464" s="174"/>
      <c r="I464" s="174"/>
      <c r="J464" s="174"/>
      <c r="K464" s="174"/>
      <c r="L464" s="174"/>
      <c r="M464" s="174"/>
      <c r="N464" s="174"/>
      <c r="O464" s="174"/>
      <c r="P464" s="174"/>
      <c r="Q464" s="174"/>
      <c r="R464" s="174"/>
      <c r="S464" s="174"/>
      <c r="T464" s="174"/>
      <c r="U464" s="174"/>
      <c r="V464" s="215">
        <f>IF(Y$438&gt;0,('Assumptions (NG)'!$V$16*Model!Y$438*'Assumptions (NG)'!U$2)/10^9,0)+if(Y$439&gt;0,('Assumptions (NG)'!$V$16*Model!Y$439*'Assumptions (NG)'!U$3)/10^9,0)</f>
        <v>0.3681098299</v>
      </c>
      <c r="W464" s="215">
        <f>IF(Y$438&gt;0,('Assumptions (NG)'!$V$16*Model!Y$438*'Assumptions (NG)'!V$2)/10^9,0)+if(Y$439&gt;0,('Assumptions (NG)'!$V$16*Model!Y$439*'Assumptions (NG)'!V$3)/10^9,0)</f>
        <v>0.3754330943</v>
      </c>
      <c r="X464" s="215">
        <f>IF(Y$438&gt;0,('Assumptions (NG)'!$V$16*Model!Y$438*'Assumptions (NG)'!W$2)/10^9,0)+if(Y$439&gt;0,('Assumptions (NG)'!$V$16*Model!Y$439*'Assumptions (NG)'!W$3)/10^9,0)</f>
        <v>0.3829020494</v>
      </c>
      <c r="Y464" s="160"/>
      <c r="Z464" s="160"/>
      <c r="AA464" s="160"/>
      <c r="AB464" s="160"/>
      <c r="AC464" s="160"/>
      <c r="AD464" s="160"/>
      <c r="AE464" s="160"/>
      <c r="AF464" s="160"/>
      <c r="AG464" s="160"/>
      <c r="AH464" s="160"/>
      <c r="AI464" s="160"/>
      <c r="AJ464" s="160"/>
      <c r="AK464" s="160"/>
      <c r="AL464" s="160"/>
      <c r="AM464" s="160"/>
      <c r="AN464" s="160"/>
      <c r="AO464" s="160"/>
      <c r="AP464" s="160"/>
      <c r="AQ464" s="160"/>
      <c r="AR464" s="160"/>
      <c r="AS464" s="160"/>
      <c r="AT464" s="160"/>
      <c r="AU464" s="160"/>
      <c r="AV464" s="160"/>
      <c r="AW464" s="160"/>
      <c r="AX464" s="160"/>
      <c r="AY464" s="160"/>
      <c r="AZ464" s="160"/>
      <c r="BA464" s="160"/>
    </row>
    <row r="465" ht="15.75" hidden="1" customHeight="1" outlineLevel="1">
      <c r="A465" s="209"/>
      <c r="B465" s="38"/>
      <c r="C465" s="174"/>
      <c r="D465" s="174"/>
      <c r="E465" s="174"/>
      <c r="F465" s="174"/>
      <c r="G465" s="174"/>
      <c r="H465" s="174"/>
      <c r="I465" s="174"/>
      <c r="J465" s="174"/>
      <c r="K465" s="174"/>
      <c r="L465" s="174"/>
      <c r="M465" s="174"/>
      <c r="N465" s="174"/>
      <c r="O465" s="174"/>
      <c r="P465" s="174"/>
      <c r="Q465" s="174"/>
      <c r="R465" s="174"/>
      <c r="S465" s="174"/>
      <c r="T465" s="174"/>
      <c r="U465" s="174"/>
      <c r="V465" s="174"/>
      <c r="W465" s="215">
        <f>IF(Z$438&gt;0,('Assumptions (NG)'!$V$16*Model!Z$438*'Assumptions (NG)'!V$2)/10^9,0)+if(Z$439&gt;0,('Assumptions (NG)'!$V$16*Model!Z$439*'Assumptions (NG)'!V$3)/10^9,0)</f>
        <v>0.3323210943</v>
      </c>
      <c r="X465" s="215">
        <f>IF(Z$438&gt;0,('Assumptions (NG)'!$V$16*Model!Z$438*'Assumptions (NG)'!W$2)/10^9,0)+if(Z$439&gt;0,('Assumptions (NG)'!$V$16*Model!Z$439*'Assumptions (NG)'!W$3)/10^9,0)</f>
        <v>0.338932369</v>
      </c>
      <c r="Y465" s="215">
        <f>IF(Z$438&gt;0,('Assumptions (NG)'!$V$16*Model!Z$438*'Assumptions (NG)'!X$2)/10^9,0)+if(Z$439&gt;0,('Assumptions (NG)'!$V$16*Model!Z$439*'Assumptions (NG)'!X$3)/10^9,0)</f>
        <v>0.34567517</v>
      </c>
      <c r="Z465" s="160"/>
      <c r="AA465" s="160"/>
      <c r="AB465" s="160"/>
      <c r="AC465" s="160"/>
      <c r="AD465" s="160"/>
      <c r="AE465" s="160"/>
      <c r="AF465" s="160"/>
      <c r="AG465" s="160"/>
      <c r="AH465" s="160"/>
      <c r="AI465" s="160"/>
      <c r="AJ465" s="160"/>
      <c r="AK465" s="160"/>
      <c r="AL465" s="160"/>
      <c r="AM465" s="160"/>
      <c r="AN465" s="160"/>
      <c r="AO465" s="160"/>
      <c r="AP465" s="160"/>
      <c r="AQ465" s="160"/>
      <c r="AR465" s="160"/>
      <c r="AS465" s="160"/>
      <c r="AT465" s="160"/>
      <c r="AU465" s="160"/>
      <c r="AV465" s="160"/>
      <c r="AW465" s="160"/>
      <c r="AX465" s="160"/>
      <c r="AY465" s="160"/>
      <c r="AZ465" s="160"/>
      <c r="BA465" s="160"/>
    </row>
    <row r="466" ht="15.75" hidden="1" customHeight="1" outlineLevel="1">
      <c r="A466" s="209"/>
      <c r="B466" s="38"/>
      <c r="C466" s="174"/>
      <c r="D466" s="174"/>
      <c r="E466" s="174"/>
      <c r="F466" s="174"/>
      <c r="G466" s="174"/>
      <c r="H466" s="174"/>
      <c r="I466" s="174"/>
      <c r="J466" s="174"/>
      <c r="K466" s="174"/>
      <c r="L466" s="174"/>
      <c r="M466" s="174"/>
      <c r="N466" s="174"/>
      <c r="O466" s="174"/>
      <c r="P466" s="174"/>
      <c r="Q466" s="174"/>
      <c r="R466" s="174"/>
      <c r="S466" s="174"/>
      <c r="T466" s="174"/>
      <c r="U466" s="174"/>
      <c r="V466" s="174"/>
      <c r="W466" s="160"/>
      <c r="X466" s="215">
        <f>IF(AA$438&gt;0,('Assumptions (NG)'!$V$16*Model!AA$438*'Assumptions (NG)'!W$2)/10^9,0)+if(AA$439&gt;0,('Assumptions (NG)'!$V$16*Model!AA$439*'Assumptions (NG)'!W$3)/10^9,0)</f>
        <v>0.4503469754</v>
      </c>
      <c r="Y466" s="215">
        <f>IF(AA$438&gt;0,('Assumptions (NG)'!$V$16*Model!AA$438*'Assumptions (NG)'!X$2)/10^9,0)+if(AA$439&gt;0,('Assumptions (NG)'!$V$16*Model!AA$439*'Assumptions (NG)'!X$3)/10^9,0)</f>
        <v>0.459306285</v>
      </c>
      <c r="Z466" s="215">
        <f>IF(AA$438&gt;0,('Assumptions (NG)'!$V$16*Model!AA$438*'Assumptions (NG)'!Y$2)/10^9,0)+if(AA$439&gt;0,('Assumptions (NG)'!$V$16*Model!AA$439*'Assumptions (NG)'!Y$3)/10^9,0)</f>
        <v>0.4684438333</v>
      </c>
      <c r="AA466" s="160"/>
      <c r="AB466" s="160"/>
      <c r="AC466" s="160"/>
      <c r="AD466" s="160"/>
      <c r="AE466" s="160"/>
      <c r="AF466" s="160"/>
      <c r="AG466" s="160"/>
      <c r="AH466" s="160"/>
      <c r="AI466" s="160"/>
      <c r="AJ466" s="160"/>
      <c r="AK466" s="160"/>
      <c r="AL466" s="160"/>
      <c r="AM466" s="160"/>
      <c r="AN466" s="160"/>
      <c r="AO466" s="160"/>
      <c r="AP466" s="160"/>
      <c r="AQ466" s="160"/>
      <c r="AR466" s="160"/>
      <c r="AS466" s="160"/>
      <c r="AT466" s="160"/>
      <c r="AU466" s="160"/>
      <c r="AV466" s="160"/>
      <c r="AW466" s="160"/>
      <c r="AX466" s="160"/>
      <c r="AY466" s="160"/>
      <c r="AZ466" s="160"/>
      <c r="BA466" s="160"/>
    </row>
    <row r="467" ht="15.75" hidden="1" customHeight="1" outlineLevel="1">
      <c r="A467" s="209"/>
      <c r="B467" s="38"/>
      <c r="C467" s="174"/>
      <c r="D467" s="174"/>
      <c r="E467" s="174"/>
      <c r="F467" s="174"/>
      <c r="G467" s="174"/>
      <c r="H467" s="174"/>
      <c r="I467" s="174"/>
      <c r="J467" s="174"/>
      <c r="K467" s="174"/>
      <c r="L467" s="174"/>
      <c r="M467" s="174"/>
      <c r="N467" s="174"/>
      <c r="O467" s="174"/>
      <c r="P467" s="174"/>
      <c r="Q467" s="174"/>
      <c r="R467" s="174"/>
      <c r="S467" s="174"/>
      <c r="T467" s="174"/>
      <c r="U467" s="174"/>
      <c r="V467" s="174"/>
      <c r="W467" s="160"/>
      <c r="X467" s="160"/>
      <c r="Y467" s="215">
        <f>IF(AB$438&gt;0,('Assumptions (NG)'!$V$16*Model!AB$438*'Assumptions (NG)'!X$2)/10^9,0)+if(AB$439&gt;0,('Assumptions (NG)'!$V$16*Model!AB$439*'Assumptions (NG)'!X$3)/10^9,0)</f>
        <v>0.7425789698</v>
      </c>
      <c r="Z467" s="215">
        <f>IF(AB$438&gt;0,('Assumptions (NG)'!$V$16*Model!AB$438*'Assumptions (NG)'!Y$2)/10^9,0)+if(AB$439&gt;0,('Assumptions (NG)'!$V$16*Model!AB$439*'Assumptions (NG)'!Y$3)/10^9,0)</f>
        <v>0.7573520121</v>
      </c>
      <c r="AA467" s="215">
        <f>IF(AB$438&gt;0,('Assumptions (NG)'!$V$16*Model!AB$438*'Assumptions (NG)'!Z$2)/10^9,0)+if(AB$439&gt;0,('Assumptions (NG)'!$V$16*Model!AB$439*'Assumptions (NG)'!Z$3)/10^9,0)</f>
        <v>0.7724189528</v>
      </c>
      <c r="AB467" s="160"/>
      <c r="AC467" s="160"/>
      <c r="AD467" s="160"/>
      <c r="AE467" s="160"/>
      <c r="AF467" s="160"/>
      <c r="AG467" s="160"/>
      <c r="AH467" s="160"/>
      <c r="AI467" s="160"/>
      <c r="AJ467" s="160"/>
      <c r="AK467" s="160"/>
      <c r="AL467" s="160"/>
      <c r="AM467" s="160"/>
      <c r="AN467" s="160"/>
      <c r="AO467" s="160"/>
      <c r="AP467" s="160"/>
      <c r="AQ467" s="160"/>
      <c r="AR467" s="160"/>
      <c r="AS467" s="160"/>
      <c r="AT467" s="160"/>
      <c r="AU467" s="160"/>
      <c r="AV467" s="160"/>
      <c r="AW467" s="160"/>
      <c r="AX467" s="160"/>
      <c r="AY467" s="160"/>
      <c r="AZ467" s="160"/>
      <c r="BA467" s="160"/>
    </row>
    <row r="468" ht="15.75" hidden="1" customHeight="1" outlineLevel="1">
      <c r="A468" s="209"/>
      <c r="B468" s="38"/>
      <c r="C468" s="174"/>
      <c r="D468" s="174"/>
      <c r="E468" s="174"/>
      <c r="F468" s="174"/>
      <c r="G468" s="174"/>
      <c r="H468" s="174"/>
      <c r="I468" s="174"/>
      <c r="J468" s="174"/>
      <c r="K468" s="174"/>
      <c r="L468" s="174"/>
      <c r="M468" s="174"/>
      <c r="N468" s="174"/>
      <c r="O468" s="174"/>
      <c r="P468" s="174"/>
      <c r="Q468" s="174"/>
      <c r="R468" s="174"/>
      <c r="S468" s="174"/>
      <c r="T468" s="174"/>
      <c r="U468" s="174"/>
      <c r="V468" s="174"/>
      <c r="W468" s="160"/>
      <c r="X468" s="160"/>
      <c r="Y468" s="160"/>
      <c r="Z468" s="215">
        <f>IF(AC$438&gt;0,('Assumptions (NG)'!$V$16*Model!AC$438*'Assumptions (NG)'!Y$2)/10^9,0)+if(AC$439&gt;0,('Assumptions (NG)'!$V$16*Model!AC$439*'Assumptions (NG)'!Y$3)/10^9,0)</f>
        <v>0.2776523528</v>
      </c>
      <c r="AA468" s="215">
        <f>IF(AC$438&gt;0,('Assumptions (NG)'!$V$16*Model!AC$438*'Assumptions (NG)'!Z$2)/10^9,0)+if(AC$439&gt;0,('Assumptions (NG)'!$V$16*Model!AC$439*'Assumptions (NG)'!Z$3)/10^9,0)</f>
        <v>0.2831760346</v>
      </c>
      <c r="AB468" s="215">
        <f>IF(AC$438&gt;0,('Assumptions (NG)'!$V$16*Model!AC$438*'Assumptions (NG)'!AA$2)/10^9,0)+if(AC$439&gt;0,('Assumptions (NG)'!$V$16*Model!AC$439*'Assumptions (NG)'!AA$3)/10^9,0)</f>
        <v>0.2888096059</v>
      </c>
      <c r="AC468" s="160"/>
      <c r="AD468" s="160"/>
      <c r="AE468" s="160"/>
      <c r="AF468" s="160"/>
      <c r="AG468" s="160"/>
      <c r="AH468" s="160"/>
      <c r="AI468" s="160"/>
      <c r="AJ468" s="160"/>
      <c r="AK468" s="160"/>
      <c r="AL468" s="160"/>
      <c r="AM468" s="160"/>
      <c r="AN468" s="160"/>
      <c r="AO468" s="160"/>
      <c r="AP468" s="160"/>
      <c r="AQ468" s="160"/>
      <c r="AR468" s="160"/>
      <c r="AS468" s="160"/>
      <c r="AT468" s="160"/>
      <c r="AU468" s="160"/>
      <c r="AV468" s="160"/>
      <c r="AW468" s="160"/>
      <c r="AX468" s="160"/>
      <c r="AY468" s="160"/>
      <c r="AZ468" s="160"/>
      <c r="BA468" s="160"/>
    </row>
    <row r="469" ht="15.75" hidden="1" customHeight="1" outlineLevel="1">
      <c r="A469" s="209"/>
      <c r="B469" s="38"/>
      <c r="C469" s="174"/>
      <c r="D469" s="174"/>
      <c r="E469" s="174"/>
      <c r="F469" s="174"/>
      <c r="G469" s="174"/>
      <c r="H469" s="174"/>
      <c r="I469" s="174"/>
      <c r="J469" s="174"/>
      <c r="K469" s="174"/>
      <c r="L469" s="174"/>
      <c r="M469" s="174"/>
      <c r="N469" s="174"/>
      <c r="O469" s="174"/>
      <c r="P469" s="174"/>
      <c r="Q469" s="174"/>
      <c r="R469" s="174"/>
      <c r="S469" s="174"/>
      <c r="T469" s="174"/>
      <c r="U469" s="174"/>
      <c r="V469" s="174"/>
      <c r="W469" s="160"/>
      <c r="X469" s="160"/>
      <c r="Y469" s="160"/>
      <c r="Z469" s="160"/>
      <c r="AA469" s="215">
        <f>IF(AD$438&gt;0,('Assumptions (NG)'!$V$16*Model!AD$438*'Assumptions (NG)'!Z$2)/10^9,0)+if(AD$439&gt;0,('Assumptions (NG)'!$V$16*Model!AD$439*'Assumptions (NG)'!Z$3)/10^9,0)</f>
        <v>0.2831760346</v>
      </c>
      <c r="AB469" s="215">
        <f>IF(AD$438&gt;0,('Assumptions (NG)'!$V$16*Model!AD$438*'Assumptions (NG)'!AA$2)/10^9,0)+if(AD$439&gt;0,('Assumptions (NG)'!$V$16*Model!AD$439*'Assumptions (NG)'!AA$3)/10^9,0)</f>
        <v>0.2888096059</v>
      </c>
      <c r="AC469" s="215">
        <f>IF(AD$438&gt;0,('Assumptions (NG)'!$V$16*Model!AD$438*'Assumptions (NG)'!AB$2)/10^9,0)+if(AD$439&gt;0,('Assumptions (NG)'!$V$16*Model!AD$439*'Assumptions (NG)'!AB$3)/10^9,0)</f>
        <v>0.2945552527</v>
      </c>
      <c r="AD469" s="160"/>
      <c r="AE469" s="160"/>
      <c r="AF469" s="160"/>
      <c r="AG469" s="160"/>
      <c r="AH469" s="160"/>
      <c r="AI469" s="160"/>
      <c r="AJ469" s="160"/>
      <c r="AK469" s="160"/>
      <c r="AL469" s="160"/>
      <c r="AM469" s="160"/>
      <c r="AN469" s="160"/>
      <c r="AO469" s="160"/>
      <c r="AP469" s="160"/>
      <c r="AQ469" s="160"/>
      <c r="AR469" s="160"/>
      <c r="AS469" s="160"/>
      <c r="AT469" s="160"/>
      <c r="AU469" s="160"/>
      <c r="AV469" s="160"/>
      <c r="AW469" s="160"/>
      <c r="AX469" s="160"/>
      <c r="AY469" s="160"/>
      <c r="AZ469" s="160"/>
      <c r="BA469" s="160"/>
      <c r="BB469" s="160"/>
    </row>
    <row r="470" ht="15.75" hidden="1" customHeight="1" outlineLevel="1">
      <c r="A470" s="209"/>
      <c r="B470" s="38"/>
      <c r="C470" s="174"/>
      <c r="D470" s="174"/>
      <c r="E470" s="174"/>
      <c r="F470" s="174"/>
      <c r="G470" s="174"/>
      <c r="H470" s="174"/>
      <c r="I470" s="174"/>
      <c r="J470" s="174"/>
      <c r="K470" s="174"/>
      <c r="L470" s="174"/>
      <c r="M470" s="174"/>
      <c r="N470" s="174"/>
      <c r="O470" s="174"/>
      <c r="P470" s="174"/>
      <c r="Q470" s="174"/>
      <c r="R470" s="174"/>
      <c r="S470" s="174"/>
      <c r="T470" s="174"/>
      <c r="U470" s="174"/>
      <c r="V470" s="174"/>
      <c r="W470" s="160"/>
      <c r="X470" s="160"/>
      <c r="Y470" s="160"/>
      <c r="Z470" s="160"/>
      <c r="AA470" s="160"/>
      <c r="AB470" s="215">
        <f>IF(AE$438&gt;0,('Assumptions (NG)'!$V$16*Model!AE$438*'Assumptions (NG)'!AA$2)/10^9,0)+if(AE$439&gt;0,('Assumptions (NG)'!$V$16*Model!AE$439*'Assumptions (NG)'!AA$3)/10^9,0)</f>
        <v>0.2888096059</v>
      </c>
      <c r="AC470" s="215">
        <f>IF(AE$438&gt;0,('Assumptions (NG)'!$V$16*Model!AE$438*'Assumptions (NG)'!AB$2)/10^9,0)+if(AE$439&gt;0,('Assumptions (NG)'!$V$16*Model!AE$439*'Assumptions (NG)'!AB$3)/10^9,0)</f>
        <v>0.2945552527</v>
      </c>
      <c r="AD470" s="215">
        <f>IF(AE$438&gt;0,('Assumptions (NG)'!$V$16*Model!AE$438*'Assumptions (NG)'!AC$2)/10^9,0)+if(AE$439&gt;0,('Assumptions (NG)'!$V$16*Model!AE$439*'Assumptions (NG)'!AC$3)/10^9,0)</f>
        <v>0.3004152049</v>
      </c>
      <c r="AE470" s="160"/>
      <c r="AF470" s="160"/>
      <c r="AG470" s="160"/>
      <c r="AH470" s="160"/>
      <c r="AI470" s="160"/>
      <c r="AJ470" s="160"/>
      <c r="AK470" s="160"/>
      <c r="AL470" s="160"/>
      <c r="AM470" s="160"/>
      <c r="AN470" s="160"/>
      <c r="AO470" s="160"/>
      <c r="AP470" s="160"/>
      <c r="AQ470" s="160"/>
      <c r="AR470" s="160"/>
      <c r="AS470" s="160"/>
      <c r="AT470" s="160"/>
      <c r="AU470" s="160"/>
      <c r="AV470" s="160"/>
      <c r="AW470" s="160"/>
      <c r="AX470" s="160"/>
      <c r="AY470" s="160"/>
      <c r="AZ470" s="160"/>
      <c r="BA470" s="160"/>
      <c r="BB470" s="160"/>
      <c r="BC470" s="160"/>
    </row>
    <row r="471" ht="15.75" hidden="1" customHeight="1" outlineLevel="1">
      <c r="A471" s="209"/>
      <c r="B471" s="38"/>
      <c r="C471" s="174"/>
      <c r="D471" s="174"/>
      <c r="E471" s="174"/>
      <c r="F471" s="174"/>
      <c r="G471" s="174"/>
      <c r="H471" s="174"/>
      <c r="I471" s="174"/>
      <c r="J471" s="174"/>
      <c r="K471" s="174"/>
      <c r="L471" s="174"/>
      <c r="M471" s="174"/>
      <c r="N471" s="174"/>
      <c r="O471" s="174"/>
      <c r="P471" s="174"/>
      <c r="Q471" s="174"/>
      <c r="R471" s="174"/>
      <c r="S471" s="174"/>
      <c r="T471" s="174"/>
      <c r="U471" s="174"/>
      <c r="V471" s="174"/>
      <c r="W471" s="160"/>
      <c r="X471" s="160"/>
      <c r="Y471" s="160"/>
      <c r="Z471" s="160"/>
      <c r="AA471" s="160"/>
      <c r="AB471" s="160"/>
      <c r="AC471" s="215">
        <f>IF(AF$438&gt;0,('Assumptions (NG)'!$V$16*Model!AF$438*'Assumptions (NG)'!AB$2)/10^9,0)+if(AF$439&gt;0,('Assumptions (NG)'!$V$16*Model!AF$439*'Assumptions (NG)'!AB$3)/10^9,0)</f>
        <v>0.2995433002</v>
      </c>
      <c r="AD471" s="215">
        <f>IF(AF$438&gt;0,('Assumptions (NG)'!$V$16*Model!AF$438*'Assumptions (NG)'!AC$2)/10^9,0)+if(AF$439&gt;0,('Assumptions (NG)'!$V$16*Model!AF$439*'Assumptions (NG)'!AC$3)/10^9,0)</f>
        <v>0.3055024857</v>
      </c>
      <c r="AE471" s="215">
        <f>IF(AF$438&gt;0,('Assumptions (NG)'!$V$16*Model!AF$438*'Assumptions (NG)'!AD$2)/10^9,0)+if(AF$439&gt;0,('Assumptions (NG)'!$V$16*Model!AF$439*'Assumptions (NG)'!AD$3)/10^9,0)</f>
        <v>0.3115802247</v>
      </c>
      <c r="AF471" s="160"/>
      <c r="AG471" s="160"/>
      <c r="AH471" s="160"/>
      <c r="AI471" s="160"/>
      <c r="AJ471" s="160"/>
      <c r="AK471" s="160"/>
      <c r="AL471" s="160"/>
      <c r="AM471" s="160"/>
      <c r="AN471" s="160"/>
      <c r="AO471" s="160"/>
      <c r="AP471" s="160"/>
      <c r="AQ471" s="160"/>
      <c r="AR471" s="160"/>
      <c r="AS471" s="160"/>
      <c r="AT471" s="160"/>
      <c r="AU471" s="160"/>
      <c r="AV471" s="160"/>
      <c r="AW471" s="160"/>
      <c r="AX471" s="160"/>
      <c r="AY471" s="160"/>
      <c r="AZ471" s="160"/>
      <c r="BA471" s="160"/>
      <c r="BB471" s="160"/>
      <c r="BC471" s="160"/>
      <c r="BD471" s="160"/>
    </row>
    <row r="472" ht="15.75" hidden="1" customHeight="1" outlineLevel="1">
      <c r="A472" s="209"/>
      <c r="B472" s="38"/>
      <c r="C472" s="174"/>
      <c r="D472" s="174"/>
      <c r="E472" s="174"/>
      <c r="F472" s="174"/>
      <c r="G472" s="174"/>
      <c r="H472" s="174"/>
      <c r="I472" s="174"/>
      <c r="J472" s="174"/>
      <c r="K472" s="174"/>
      <c r="L472" s="174"/>
      <c r="M472" s="174"/>
      <c r="N472" s="174"/>
      <c r="O472" s="174"/>
      <c r="P472" s="174"/>
      <c r="Q472" s="174"/>
      <c r="R472" s="174"/>
      <c r="S472" s="174"/>
      <c r="T472" s="174"/>
      <c r="U472" s="174"/>
      <c r="V472" s="174"/>
      <c r="W472" s="160"/>
      <c r="X472" s="160"/>
      <c r="Y472" s="160"/>
      <c r="Z472" s="160"/>
      <c r="AA472" s="160"/>
      <c r="AB472" s="160"/>
      <c r="AC472" s="160"/>
      <c r="AD472" s="215">
        <f>IF(AG$438&gt;0,('Assumptions (NG)'!$V$16*Model!AG$438*'Assumptions (NG)'!AC$2)/10^9,0)+if(AG$439&gt;0,('Assumptions (NG)'!$V$16*Model!AG$439*'Assumptions (NG)'!AC$3)/10^9,0)</f>
        <v>0.3238166969</v>
      </c>
      <c r="AE472" s="215">
        <f>IF(AG$438&gt;0,('Assumptions (NG)'!$V$16*Model!AG$438*'Assumptions (NG)'!AD$2)/10^9,0)+if(AG$439&gt;0,('Assumptions (NG)'!$V$16*Model!AG$439*'Assumptions (NG)'!AD$3)/10^9,0)</f>
        <v>0.3302587832</v>
      </c>
      <c r="AF472" s="215">
        <f>IF(AG$438&gt;0,('Assumptions (NG)'!$V$16*Model!AG$438*'Assumptions (NG)'!AE$2)/10^9,0)+if(AG$439&gt;0,('Assumptions (NG)'!$V$16*Model!AG$439*'Assumptions (NG)'!AE$3)/10^9,0)</f>
        <v>0.3368290298</v>
      </c>
      <c r="AG472" s="160"/>
      <c r="AH472" s="160"/>
      <c r="AI472" s="160"/>
      <c r="AJ472" s="160"/>
      <c r="AK472" s="160"/>
      <c r="AL472" s="160"/>
      <c r="AM472" s="160"/>
      <c r="AN472" s="160"/>
      <c r="AO472" s="160"/>
      <c r="AP472" s="160"/>
      <c r="AQ472" s="160"/>
      <c r="AR472" s="160"/>
      <c r="AS472" s="160"/>
      <c r="AT472" s="160"/>
      <c r="AU472" s="160"/>
      <c r="AV472" s="160"/>
      <c r="AW472" s="160"/>
      <c r="AX472" s="160"/>
      <c r="AY472" s="160"/>
      <c r="AZ472" s="160"/>
      <c r="BA472" s="160"/>
      <c r="BB472" s="160"/>
      <c r="BC472" s="160"/>
      <c r="BD472" s="160"/>
      <c r="BE472" s="160"/>
    </row>
    <row r="473" ht="15.75" hidden="1" customHeight="1" outlineLevel="1">
      <c r="A473" s="209"/>
      <c r="B473" s="38"/>
      <c r="C473" s="174"/>
      <c r="D473" s="174"/>
      <c r="E473" s="174"/>
      <c r="F473" s="174"/>
      <c r="G473" s="174"/>
      <c r="H473" s="174"/>
      <c r="I473" s="174"/>
      <c r="J473" s="174"/>
      <c r="K473" s="174"/>
      <c r="L473" s="174"/>
      <c r="M473" s="174"/>
      <c r="N473" s="174"/>
      <c r="O473" s="174"/>
      <c r="P473" s="174"/>
      <c r="Q473" s="174"/>
      <c r="R473" s="174"/>
      <c r="S473" s="174"/>
      <c r="T473" s="174"/>
      <c r="U473" s="174"/>
      <c r="V473" s="174"/>
      <c r="W473" s="160"/>
      <c r="X473" s="160"/>
      <c r="Y473" s="160"/>
      <c r="Z473" s="160"/>
      <c r="AA473" s="160"/>
      <c r="AB473" s="160"/>
      <c r="AC473" s="160"/>
      <c r="AD473" s="160"/>
      <c r="AE473" s="215">
        <f>IF(AH$438&gt;0,('Assumptions (NG)'!$V$16*Model!AH$438*'Assumptions (NG)'!AD$2)/10^9,0)+if(AH$439&gt;0,('Assumptions (NG)'!$V$16*Model!AH$439*'Assumptions (NG)'!AD$3)/10^9,0)</f>
        <v>0.3063917363</v>
      </c>
      <c r="AF473" s="215">
        <f>IF(AH$438&gt;0,('Assumptions (NG)'!$V$16*Model!AH$438*'Assumptions (NG)'!AE$2)/10^9,0)+if(AH$439&gt;0,('Assumptions (NG)'!$V$16*Model!AH$439*'Assumptions (NG)'!AE$3)/10^9,0)</f>
        <v>0.3124871662</v>
      </c>
      <c r="AG473" s="215">
        <f>IF(AH$438&gt;0,('Assumptions (NG)'!$V$16*Model!AH$438*'Assumptions (NG)'!AF$2)/10^9,0)+if(AH$439&gt;0,('Assumptions (NG)'!$V$16*Model!AH$439*'Assumptions (NG)'!AF$3)/10^9,0)</f>
        <v>0.31870386</v>
      </c>
      <c r="AH473" s="160"/>
      <c r="AI473" s="160"/>
      <c r="AJ473" s="160"/>
      <c r="AK473" s="160"/>
      <c r="AL473" s="160"/>
      <c r="AM473" s="160"/>
      <c r="AN473" s="160"/>
      <c r="AO473" s="160"/>
      <c r="AP473" s="160"/>
      <c r="AQ473" s="160"/>
      <c r="AR473" s="160"/>
      <c r="AS473" s="160"/>
      <c r="AT473" s="160"/>
      <c r="AU473" s="160"/>
      <c r="AV473" s="160"/>
      <c r="AW473" s="160"/>
      <c r="AX473" s="160"/>
      <c r="AY473" s="160"/>
      <c r="AZ473" s="160"/>
      <c r="BA473" s="160"/>
      <c r="BB473" s="160"/>
      <c r="BC473" s="160"/>
      <c r="BD473" s="160"/>
      <c r="BE473" s="160"/>
      <c r="BF473" s="160"/>
    </row>
    <row r="474" ht="15.75" hidden="1" customHeight="1" outlineLevel="1">
      <c r="A474" s="209"/>
      <c r="B474" s="38"/>
      <c r="C474" s="174"/>
      <c r="D474" s="174"/>
      <c r="E474" s="174"/>
      <c r="F474" s="174"/>
      <c r="G474" s="174"/>
      <c r="H474" s="174"/>
      <c r="I474" s="174"/>
      <c r="J474" s="174"/>
      <c r="K474" s="174"/>
      <c r="L474" s="174"/>
      <c r="M474" s="174"/>
      <c r="N474" s="174"/>
      <c r="O474" s="174"/>
      <c r="P474" s="174"/>
      <c r="Q474" s="174"/>
      <c r="R474" s="174"/>
      <c r="S474" s="174"/>
      <c r="T474" s="174"/>
      <c r="U474" s="174"/>
      <c r="V474" s="174"/>
      <c r="W474" s="160"/>
      <c r="X474" s="160"/>
      <c r="Y474" s="160"/>
      <c r="Z474" s="160"/>
      <c r="AA474" s="160"/>
      <c r="AB474" s="160"/>
      <c r="AC474" s="160"/>
      <c r="AD474" s="160"/>
      <c r="AE474" s="160"/>
      <c r="AF474" s="215">
        <f>IF(AI$438&gt;0,('Assumptions (NG)'!$V$16*Model!AI$438*'Assumptions (NG)'!AE$2)/10^9,0)+if(AI$439&gt;0,('Assumptions (NG)'!$V$16*Model!AI$439*'Assumptions (NG)'!AE$3)/10^9,0)</f>
        <v>0.3623174305</v>
      </c>
      <c r="AG474" s="215">
        <f>IF(AI$438&gt;0,('Assumptions (NG)'!$V$16*Model!AI$438*'Assumptions (NG)'!AF$2)/10^9,0)+if(AI$439&gt;0,('Assumptions (NG)'!$V$16*Model!AI$439*'Assumptions (NG)'!AF$3)/10^9,0)</f>
        <v>0.3695254594</v>
      </c>
      <c r="AH474" s="215">
        <f>IF(AI$438&gt;0,('Assumptions (NG)'!$V$16*Model!AI$438*'Assumptions (NG)'!AG$2)/10^9,0)+if(AI$439&gt;0,('Assumptions (NG)'!$V$16*Model!AI$439*'Assumptions (NG)'!AG$3)/10^9,0)</f>
        <v>0.3768768867</v>
      </c>
      <c r="AI474" s="160"/>
      <c r="AJ474" s="160"/>
      <c r="AK474" s="160"/>
      <c r="AL474" s="160"/>
      <c r="AM474" s="160"/>
      <c r="AN474" s="160"/>
      <c r="AO474" s="160"/>
      <c r="AP474" s="160"/>
      <c r="AQ474" s="160"/>
      <c r="AR474" s="160"/>
      <c r="AS474" s="160"/>
      <c r="AT474" s="160"/>
      <c r="AU474" s="160"/>
      <c r="AV474" s="160"/>
      <c r="AW474" s="160"/>
      <c r="AX474" s="160"/>
      <c r="AY474" s="160"/>
      <c r="AZ474" s="160"/>
      <c r="BA474" s="160"/>
      <c r="BB474" s="160"/>
      <c r="BC474" s="160"/>
      <c r="BD474" s="160"/>
      <c r="BE474" s="160"/>
      <c r="BF474" s="160"/>
      <c r="BG474" s="160"/>
    </row>
    <row r="475" ht="15.75" hidden="1" customHeight="1" outlineLevel="1">
      <c r="A475" s="209"/>
      <c r="B475" s="38"/>
      <c r="C475" s="174"/>
      <c r="D475" s="174"/>
      <c r="E475" s="174"/>
      <c r="F475" s="174"/>
      <c r="G475" s="174"/>
      <c r="H475" s="174"/>
      <c r="I475" s="174"/>
      <c r="J475" s="174"/>
      <c r="K475" s="174"/>
      <c r="L475" s="174"/>
      <c r="M475" s="174"/>
      <c r="N475" s="174"/>
      <c r="O475" s="174"/>
      <c r="P475" s="174"/>
      <c r="Q475" s="174"/>
      <c r="R475" s="174"/>
      <c r="S475" s="174"/>
      <c r="T475" s="174"/>
      <c r="U475" s="174"/>
      <c r="V475" s="174"/>
      <c r="W475" s="160"/>
      <c r="X475" s="160"/>
      <c r="Y475" s="160"/>
      <c r="Z475" s="160"/>
      <c r="AA475" s="160"/>
      <c r="AB475" s="160"/>
      <c r="AC475" s="160"/>
      <c r="AD475" s="160"/>
      <c r="AE475" s="160"/>
      <c r="AF475" s="160"/>
      <c r="AG475" s="215">
        <f>IF(AJ$438&gt;0,('Assumptions (NG)'!$V$16*Model!AJ$438*'Assumptions (NG)'!AF$2)/10^9,0)+if(AJ$439&gt;0,('Assumptions (NG)'!$V$16*Model!AJ$439*'Assumptions (NG)'!AF$3)/10^9,0)</f>
        <v>0.4160744465</v>
      </c>
      <c r="AH475" s="215">
        <f>IF(AJ$438&gt;0,('Assumptions (NG)'!$V$16*Model!AJ$438*'Assumptions (NG)'!AG$2)/10^9,0)+if(AJ$439&gt;0,('Assumptions (NG)'!$V$16*Model!AJ$439*'Assumptions (NG)'!AG$3)/10^9,0)</f>
        <v>0.4243519303</v>
      </c>
      <c r="AI475" s="215">
        <f>IF(AJ$438&gt;0,('Assumptions (NG)'!$V$16*Model!AJ$438*'Assumptions (NG)'!AH$2)/10^9,0)+if(AJ$439&gt;0,('Assumptions (NG)'!$V$16*Model!AJ$439*'Assumptions (NG)'!AH$3)/10^9,0)</f>
        <v>0.4327940883</v>
      </c>
      <c r="AJ475" s="177"/>
      <c r="AK475" s="160"/>
      <c r="AL475" s="177"/>
      <c r="AM475" s="177"/>
      <c r="AN475" s="177"/>
      <c r="AO475" s="177"/>
      <c r="AP475" s="177"/>
      <c r="AQ475" s="177"/>
      <c r="AR475" s="177"/>
      <c r="AS475" s="177"/>
      <c r="AT475" s="177"/>
      <c r="AU475" s="177"/>
      <c r="AV475" s="177"/>
      <c r="AW475" s="177"/>
      <c r="AX475" s="177"/>
      <c r="AY475" s="177"/>
      <c r="AZ475" s="177"/>
      <c r="BA475" s="177"/>
      <c r="BB475" s="177"/>
      <c r="BC475" s="177"/>
      <c r="BD475" s="177"/>
      <c r="BE475" s="177"/>
      <c r="BF475" s="177"/>
      <c r="BG475" s="177"/>
      <c r="BH475" s="177"/>
    </row>
    <row r="476" ht="15.75" hidden="1" customHeight="1" outlineLevel="1">
      <c r="A476" s="209"/>
      <c r="B476" s="38"/>
      <c r="C476" s="174"/>
      <c r="D476" s="174"/>
      <c r="E476" s="174"/>
      <c r="F476" s="174"/>
      <c r="G476" s="174"/>
      <c r="H476" s="174"/>
      <c r="I476" s="174"/>
      <c r="J476" s="174"/>
      <c r="K476" s="174"/>
      <c r="L476" s="174"/>
      <c r="M476" s="174"/>
      <c r="N476" s="174"/>
      <c r="O476" s="174"/>
      <c r="P476" s="174"/>
      <c r="Q476" s="174"/>
      <c r="R476" s="174"/>
      <c r="S476" s="174"/>
      <c r="T476" s="174"/>
      <c r="U476" s="174"/>
      <c r="V476" s="174"/>
      <c r="W476" s="160"/>
      <c r="X476" s="160"/>
      <c r="Y476" s="160"/>
      <c r="Z476" s="160"/>
      <c r="AA476" s="160"/>
      <c r="AB476" s="160"/>
      <c r="AC476" s="160"/>
      <c r="AD476" s="160"/>
      <c r="AE476" s="160"/>
      <c r="AF476" s="160"/>
      <c r="AG476" s="160"/>
      <c r="AH476" s="215">
        <f>IF(AK$438&gt;0,('Assumptions (NG)'!$V$16*Model!AK$438*'Assumptions (NG)'!AG$2)/10^9,0)+if(AK$439&gt;0,('Assumptions (NG)'!$V$16*Model!AK$439*'Assumptions (NG)'!AG$3)/10^9,0)</f>
        <v>0.4203154049</v>
      </c>
      <c r="AI476" s="215">
        <f>IF(AK$438&gt;0,('Assumptions (NG)'!$V$16*Model!AK$438*'Assumptions (NG)'!AH$2)/10^9,0)+if(AK$439&gt;0,('Assumptions (NG)'!$V$16*Model!AK$439*'Assumptions (NG)'!AH$3)/10^9,0)</f>
        <v>0.4286772593</v>
      </c>
      <c r="AJ476" s="215">
        <f>IF(AK$438&gt;0,('Assumptions (NG)'!$V$16*Model!AK$438*'Assumptions (NG)'!AI$2)/10^9,0)+if(AK$439&gt;0,('Assumptions (NG)'!$V$16*Model!AK$439*'Assumptions (NG)'!AI$3)/10^9,0)</f>
        <v>0.4372054665</v>
      </c>
      <c r="AK476" s="160"/>
      <c r="AL476" s="177"/>
      <c r="AM476" s="177"/>
      <c r="AN476" s="177"/>
      <c r="AO476" s="177"/>
      <c r="AP476" s="177"/>
      <c r="AQ476" s="177"/>
      <c r="AR476" s="177"/>
      <c r="AS476" s="177"/>
      <c r="AT476" s="177"/>
      <c r="AU476" s="177"/>
      <c r="AV476" s="177"/>
      <c r="AW476" s="177"/>
      <c r="AX476" s="177"/>
      <c r="AY476" s="177"/>
      <c r="AZ476" s="177"/>
      <c r="BA476" s="177"/>
      <c r="BB476" s="177"/>
      <c r="BC476" s="177"/>
      <c r="BD476" s="177"/>
      <c r="BE476" s="177"/>
      <c r="BF476" s="177"/>
      <c r="BG476" s="177"/>
      <c r="BH476" s="177"/>
      <c r="BI476" s="177"/>
    </row>
    <row r="477" ht="15.75" hidden="1" customHeight="1" outlineLevel="1">
      <c r="A477" s="209"/>
      <c r="B477" s="38"/>
      <c r="C477" s="174"/>
      <c r="D477" s="174"/>
      <c r="E477" s="174"/>
      <c r="F477" s="174"/>
      <c r="G477" s="174"/>
      <c r="H477" s="174"/>
      <c r="I477" s="174"/>
      <c r="J477" s="174"/>
      <c r="K477" s="174"/>
      <c r="L477" s="174"/>
      <c r="M477" s="174"/>
      <c r="N477" s="174"/>
      <c r="O477" s="174"/>
      <c r="P477" s="174"/>
      <c r="Q477" s="174"/>
      <c r="R477" s="174"/>
      <c r="S477" s="174"/>
      <c r="T477" s="174"/>
      <c r="U477" s="174"/>
      <c r="V477" s="174"/>
      <c r="W477" s="160"/>
      <c r="X477" s="160"/>
      <c r="Y477" s="160"/>
      <c r="Z477" s="160"/>
      <c r="AA477" s="160"/>
      <c r="AB477" s="160"/>
      <c r="AC477" s="160"/>
      <c r="AD477" s="160"/>
      <c r="AE477" s="160"/>
      <c r="AF477" s="160"/>
      <c r="AG477" s="160"/>
      <c r="AH477" s="160"/>
      <c r="AI477" s="215">
        <f>IF(AL$438&gt;0,('Assumptions (NG)'!$V$16*Model!AL$438*'Assumptions (NG)'!AH$2)/10^9,0)+if(AL$439&gt;0,('Assumptions (NG)'!$V$16*Model!AL$439*'Assumptions (NG)'!AH$3)/10^9,0)</f>
        <v>0.4341975528</v>
      </c>
      <c r="AJ477" s="215">
        <f>IF(AL$438&gt;0,('Assumptions (NG)'!$V$16*Model!AL$438*'Assumptions (NG)'!AI$2)/10^9,0)+if(AL$439&gt;0,('Assumptions (NG)'!$V$16*Model!AL$439*'Assumptions (NG)'!AI$3)/10^9,0)</f>
        <v>0.442835582</v>
      </c>
      <c r="AK477" s="215">
        <f>IF(AL$438&gt;0,('Assumptions (NG)'!$V$16*Model!AL$438*'Assumptions (NG)'!AJ$2)/10^9,0)+if(AL$439&gt;0,('Assumptions (NG)'!$V$16*Model!AL$439*'Assumptions (NG)'!AJ$3)/10^9,0)</f>
        <v>0.4516454582</v>
      </c>
      <c r="AL477" s="177"/>
      <c r="AM477" s="177"/>
      <c r="AN477" s="177"/>
      <c r="AO477" s="177"/>
      <c r="AP477" s="177"/>
      <c r="AQ477" s="177"/>
      <c r="AR477" s="177"/>
      <c r="AS477" s="177"/>
      <c r="AT477" s="177"/>
      <c r="AU477" s="177"/>
      <c r="AV477" s="177"/>
      <c r="AW477" s="177"/>
      <c r="AX477" s="177"/>
      <c r="AY477" s="177"/>
      <c r="AZ477" s="177"/>
      <c r="BA477" s="177"/>
      <c r="BB477" s="177"/>
      <c r="BC477" s="177"/>
      <c r="BD477" s="177"/>
      <c r="BE477" s="177"/>
      <c r="BF477" s="177"/>
      <c r="BG477" s="177"/>
      <c r="BH477" s="177"/>
      <c r="BI477" s="177"/>
      <c r="BJ477" s="177"/>
    </row>
    <row r="478" ht="15.75" hidden="1" customHeight="1" outlineLevel="1">
      <c r="A478" s="209"/>
      <c r="B478" s="38"/>
      <c r="C478" s="174"/>
      <c r="D478" s="174"/>
      <c r="E478" s="174"/>
      <c r="F478" s="174"/>
      <c r="G478" s="174"/>
      <c r="H478" s="174"/>
      <c r="I478" s="174"/>
      <c r="J478" s="174"/>
      <c r="K478" s="174"/>
      <c r="L478" s="174"/>
      <c r="M478" s="174"/>
      <c r="N478" s="174"/>
      <c r="O478" s="174"/>
      <c r="P478" s="174"/>
      <c r="Q478" s="174"/>
      <c r="R478" s="174"/>
      <c r="S478" s="174"/>
      <c r="T478" s="174"/>
      <c r="U478" s="174"/>
      <c r="V478" s="174"/>
      <c r="W478" s="160"/>
      <c r="X478" s="160"/>
      <c r="Y478" s="160"/>
      <c r="Z478" s="160"/>
      <c r="AA478" s="160"/>
      <c r="AB478" s="160"/>
      <c r="AC478" s="160"/>
      <c r="AD478" s="160"/>
      <c r="AE478" s="160"/>
      <c r="AF478" s="160"/>
      <c r="AG478" s="160"/>
      <c r="AH478" s="160"/>
      <c r="AI478" s="160"/>
      <c r="AJ478" s="215">
        <f>IF(AM$438&gt;0,('Assumptions (NG)'!$V$16*Model!AM$438*'Assumptions (NG)'!AI$2)/10^9,0)+if(AM$439&gt;0,('Assumptions (NG)'!$V$16*Model!AM$439*'Assumptions (NG)'!AI$3)/10^9,0)</f>
        <v>1.425577018</v>
      </c>
      <c r="AK478" s="215">
        <f>IF(AM$438&gt;0,('Assumptions (NG)'!$V$16*Model!AM$438*'Assumptions (NG)'!AJ$2)/10^9,0)+if(AM$439&gt;0,('Assumptions (NG)'!$V$16*Model!AM$439*'Assumptions (NG)'!AJ$3)/10^9,0)</f>
        <v>1.453937785</v>
      </c>
      <c r="AL478" s="215">
        <f>IF(AM$438&gt;0,('Assumptions (NG)'!$V$16*Model!AM$438*'Assumptions (NG)'!AK$2)/10^9,0)+if(AM$439&gt;0,('Assumptions (NG)'!$V$16*Model!AM$439*'Assumptions (NG)'!AK$3)/10^9,0)</f>
        <v>1.482862769</v>
      </c>
      <c r="AM478" s="160"/>
      <c r="AN478" s="160"/>
      <c r="AO478" s="160"/>
      <c r="AP478" s="160"/>
      <c r="AQ478" s="160"/>
      <c r="AR478" s="160"/>
      <c r="AS478" s="160"/>
      <c r="AT478" s="160"/>
      <c r="AU478" s="160"/>
      <c r="AV478" s="160"/>
      <c r="AW478" s="160"/>
      <c r="AX478" s="160"/>
      <c r="AY478" s="160"/>
      <c r="AZ478" s="160"/>
      <c r="BA478" s="160"/>
      <c r="BB478" s="160"/>
      <c r="BC478" s="160"/>
      <c r="BD478" s="160"/>
      <c r="BE478" s="160"/>
      <c r="BF478" s="160"/>
      <c r="BG478" s="160"/>
      <c r="BH478" s="160"/>
      <c r="BI478" s="160"/>
      <c r="BJ478" s="160"/>
      <c r="BK478" s="160"/>
    </row>
    <row r="479" ht="15.75" hidden="1" customHeight="1" outlineLevel="1">
      <c r="A479" s="209"/>
      <c r="B479" s="38"/>
      <c r="C479" s="174"/>
      <c r="D479" s="174"/>
      <c r="E479" s="174"/>
      <c r="F479" s="174"/>
      <c r="G479" s="174"/>
      <c r="H479" s="174"/>
      <c r="I479" s="174"/>
      <c r="J479" s="174"/>
      <c r="K479" s="174"/>
      <c r="L479" s="174"/>
      <c r="M479" s="174"/>
      <c r="N479" s="174"/>
      <c r="O479" s="174"/>
      <c r="P479" s="174"/>
      <c r="Q479" s="174"/>
      <c r="R479" s="174"/>
      <c r="S479" s="174"/>
      <c r="T479" s="174"/>
      <c r="U479" s="174"/>
      <c r="V479" s="174"/>
      <c r="W479" s="160"/>
      <c r="X479" s="160"/>
      <c r="Y479" s="160"/>
      <c r="Z479" s="160"/>
      <c r="AA479" s="160"/>
      <c r="AB479" s="160"/>
      <c r="AC479" s="160"/>
      <c r="AD479" s="160"/>
      <c r="AE479" s="160"/>
      <c r="AF479" s="160"/>
      <c r="AG479" s="160"/>
      <c r="AH479" s="160"/>
      <c r="AI479" s="160"/>
      <c r="AJ479" s="160"/>
      <c r="AK479" s="215">
        <f>IF(AN$438&gt;0,('Assumptions (NG)'!$V$16*Model!AN$438*'Assumptions (NG)'!AJ$2)/10^9,0)+if(AN$439&gt;0,('Assumptions (NG)'!$V$16*Model!AN$439*'Assumptions (NG)'!AJ$3)/10^9,0)</f>
        <v>1.82172559</v>
      </c>
      <c r="AL479" s="215">
        <f>IF(AN$438&gt;0,('Assumptions (NG)'!$V$16*Model!AN$438*'Assumptions (NG)'!AK$2)/10^9,0)+if(AN$439&gt;0,('Assumptions (NG)'!$V$16*Model!AN$439*'Assumptions (NG)'!AK$3)/10^9,0)</f>
        <v>1.857967431</v>
      </c>
      <c r="AM479" s="215">
        <f>IF(AN$438&gt;0,('Assumptions (NG)'!$V$16*Model!AN$438*'Assumptions (NG)'!AL$2)/10^9,0)+if(AN$439&gt;0,('Assumptions (NG)'!$V$16*Model!AN$439*'Assumptions (NG)'!AL$3)/10^9,0)</f>
        <v>1.894930276</v>
      </c>
      <c r="AN479" s="160"/>
      <c r="AO479" s="160"/>
      <c r="AP479" s="160"/>
      <c r="AQ479" s="160"/>
      <c r="AR479" s="160"/>
      <c r="AS479" s="160"/>
      <c r="AT479" s="160"/>
      <c r="AU479" s="160"/>
      <c r="AV479" s="160"/>
      <c r="AW479" s="160"/>
      <c r="AX479" s="160"/>
      <c r="AY479" s="160"/>
      <c r="AZ479" s="160"/>
      <c r="BA479" s="160"/>
      <c r="BB479" s="160"/>
      <c r="BC479" s="160"/>
      <c r="BD479" s="160"/>
      <c r="BE479" s="160"/>
      <c r="BF479" s="160"/>
      <c r="BG479" s="160"/>
      <c r="BH479" s="160"/>
      <c r="BI479" s="160"/>
      <c r="BJ479" s="160"/>
      <c r="BK479" s="160"/>
      <c r="BL479" s="160"/>
    </row>
    <row r="480" ht="15.75" hidden="1" customHeight="1" outlineLevel="1">
      <c r="A480" s="209"/>
      <c r="B480" s="38"/>
      <c r="C480" s="174"/>
      <c r="D480" s="174"/>
      <c r="E480" s="174"/>
      <c r="F480" s="174"/>
      <c r="G480" s="174"/>
      <c r="H480" s="174"/>
      <c r="I480" s="174"/>
      <c r="J480" s="174"/>
      <c r="K480" s="174"/>
      <c r="L480" s="174"/>
      <c r="M480" s="174"/>
      <c r="N480" s="174"/>
      <c r="O480" s="174"/>
      <c r="P480" s="174"/>
      <c r="Q480" s="174"/>
      <c r="R480" s="174"/>
      <c r="S480" s="174"/>
      <c r="T480" s="174"/>
      <c r="U480" s="174"/>
      <c r="V480" s="174"/>
      <c r="W480" s="160"/>
      <c r="X480" s="160"/>
      <c r="Y480" s="160"/>
      <c r="Z480" s="160"/>
      <c r="AA480" s="160"/>
      <c r="AB480" s="160"/>
      <c r="AC480" s="160"/>
      <c r="AD480" s="160"/>
      <c r="AE480" s="160"/>
      <c r="AF480" s="160"/>
      <c r="AG480" s="160"/>
      <c r="AH480" s="160"/>
      <c r="AI480" s="160"/>
      <c r="AJ480" s="160"/>
      <c r="AK480" s="160"/>
      <c r="AL480" s="215">
        <f>IF(AO$438&gt;0,('Assumptions (NG)'!$V$16*Model!AO$438*'Assumptions (NG)'!AK$2)/10^9,0)+if(AO$439&gt;0,('Assumptions (NG)'!$V$16*Model!AO$439*'Assumptions (NG)'!AK$3)/10^9,0)</f>
        <v>3.760638434</v>
      </c>
      <c r="AM480" s="215">
        <f>IF(AO$438&gt;0,('Assumptions (NG)'!$V$16*Model!AO$438*'Assumptions (NG)'!AL$2)/10^9,0)+if(AO$439&gt;0,('Assumptions (NG)'!$V$16*Model!AO$439*'Assumptions (NG)'!AL$3)/10^9,0)</f>
        <v>3.835453468</v>
      </c>
      <c r="AN480" s="215">
        <f>IF(AO$438&gt;0,('Assumptions (NG)'!$V$16*Model!AO$438*'Assumptions (NG)'!AM$2)/10^9,0)+if(AO$439&gt;0,('Assumptions (NG)'!$V$16*Model!AO$439*'Assumptions (NG)'!AM$3)/10^9,0)</f>
        <v>3.91175689</v>
      </c>
      <c r="AO480" s="160"/>
      <c r="AP480" s="160"/>
      <c r="AQ480" s="160"/>
      <c r="AR480" s="160"/>
      <c r="AS480" s="160"/>
      <c r="AT480" s="160"/>
      <c r="AU480" s="160"/>
      <c r="AV480" s="160"/>
      <c r="AW480" s="160"/>
      <c r="AX480" s="160"/>
      <c r="AY480" s="160"/>
      <c r="AZ480" s="160"/>
      <c r="BA480" s="160"/>
      <c r="BB480" s="160"/>
      <c r="BC480" s="160"/>
      <c r="BD480" s="160"/>
      <c r="BE480" s="160"/>
      <c r="BF480" s="160"/>
      <c r="BG480" s="160"/>
      <c r="BH480" s="160"/>
      <c r="BI480" s="160"/>
      <c r="BJ480" s="160"/>
      <c r="BK480" s="160"/>
      <c r="BL480" s="160"/>
      <c r="BM480" s="160"/>
    </row>
    <row r="481" ht="15.75" hidden="1" customHeight="1" outlineLevel="1">
      <c r="A481" s="209"/>
      <c r="B481" s="38"/>
      <c r="C481" s="174"/>
      <c r="D481" s="174"/>
      <c r="E481" s="174"/>
      <c r="F481" s="174"/>
      <c r="G481" s="174"/>
      <c r="H481" s="174"/>
      <c r="I481" s="174"/>
      <c r="J481" s="174"/>
      <c r="K481" s="174"/>
      <c r="L481" s="174"/>
      <c r="M481" s="174"/>
      <c r="N481" s="174"/>
      <c r="O481" s="174"/>
      <c r="P481" s="174"/>
      <c r="Q481" s="174"/>
      <c r="R481" s="174"/>
      <c r="S481" s="174"/>
      <c r="T481" s="174"/>
      <c r="U481" s="174"/>
      <c r="V481" s="174"/>
      <c r="W481" s="160"/>
      <c r="X481" s="160"/>
      <c r="Y481" s="160"/>
      <c r="Z481" s="160"/>
      <c r="AA481" s="160"/>
      <c r="AB481" s="160"/>
      <c r="AC481" s="160"/>
      <c r="AD481" s="160"/>
      <c r="AE481" s="160"/>
      <c r="AF481" s="160"/>
      <c r="AG481" s="160"/>
      <c r="AH481" s="160"/>
      <c r="AI481" s="160"/>
      <c r="AJ481" s="160"/>
      <c r="AK481" s="160"/>
      <c r="AL481" s="160"/>
      <c r="AM481" s="215">
        <f>IF(AP$438&gt;0,('Assumptions (NG)'!$V$16*Model!AP$438*'Assumptions (NG)'!AL$2)/10^9,0)+if(AP$439&gt;0,('Assumptions (NG)'!$V$16*Model!AP$439*'Assumptions (NG)'!AL$3)/10^9,0)</f>
        <v>4.64568783</v>
      </c>
      <c r="AN481" s="215">
        <f>IF(AP$438&gt;0,('Assumptions (NG)'!$V$16*Model!AP$438*'Assumptions (NG)'!AM$2)/10^9,0)+if(AP$439&gt;0,('Assumptions (NG)'!$V$16*Model!AP$439*'Assumptions (NG)'!AM$3)/10^9,0)</f>
        <v>4.738110247</v>
      </c>
      <c r="AO481" s="215">
        <f>IF(AP$438&gt;0,('Assumptions (NG)'!$V$16*Model!AP$438*'Assumptions (NG)'!AN$2)/10^9,0)+if(AP$439&gt;0,('Assumptions (NG)'!$V$16*Model!AP$439*'Assumptions (NG)'!AN$3)/10^9,0)</f>
        <v>4.832371337</v>
      </c>
      <c r="AP481" s="160"/>
      <c r="AQ481" s="160"/>
      <c r="AR481" s="160"/>
      <c r="AS481" s="160"/>
      <c r="AT481" s="160"/>
      <c r="AU481" s="160"/>
      <c r="AV481" s="160"/>
      <c r="AW481" s="160"/>
      <c r="AX481" s="160"/>
      <c r="AY481" s="160"/>
      <c r="AZ481" s="160"/>
      <c r="BA481" s="160"/>
      <c r="BB481" s="160"/>
      <c r="BC481" s="160"/>
      <c r="BD481" s="160"/>
      <c r="BE481" s="160"/>
      <c r="BF481" s="160"/>
      <c r="BG481" s="160"/>
      <c r="BH481" s="160"/>
      <c r="BI481" s="160"/>
      <c r="BJ481" s="160"/>
      <c r="BK481" s="160"/>
      <c r="BL481" s="160"/>
      <c r="BM481" s="160"/>
      <c r="BN481" s="160"/>
    </row>
    <row r="482" ht="15.75" hidden="1" customHeight="1" outlineLevel="1">
      <c r="A482" s="209"/>
      <c r="B482" s="38"/>
      <c r="C482" s="174"/>
      <c r="D482" s="174"/>
      <c r="E482" s="174"/>
      <c r="F482" s="174"/>
      <c r="G482" s="174"/>
      <c r="H482" s="174"/>
      <c r="I482" s="174"/>
      <c r="J482" s="174"/>
      <c r="K482" s="174"/>
      <c r="L482" s="174"/>
      <c r="M482" s="174"/>
      <c r="N482" s="174"/>
      <c r="O482" s="174"/>
      <c r="P482" s="174"/>
      <c r="Q482" s="174"/>
      <c r="R482" s="174"/>
      <c r="S482" s="174"/>
      <c r="T482" s="174"/>
      <c r="U482" s="174"/>
      <c r="V482" s="174"/>
      <c r="W482" s="160"/>
      <c r="X482" s="160"/>
      <c r="Y482" s="160"/>
      <c r="Z482" s="160"/>
      <c r="AA482" s="160"/>
      <c r="AB482" s="160"/>
      <c r="AC482" s="160"/>
      <c r="AD482" s="160"/>
      <c r="AE482" s="160"/>
      <c r="AF482" s="160"/>
      <c r="AG482" s="160"/>
      <c r="AH482" s="160"/>
      <c r="AI482" s="160"/>
      <c r="AJ482" s="179"/>
      <c r="AK482" s="160"/>
      <c r="AL482" s="160"/>
      <c r="AM482" s="160"/>
      <c r="AN482" s="215">
        <f>IF(AQ$438&gt;0,('Assumptions (NG)'!$V$16*Model!AQ$438*'Assumptions (NG)'!AM$2)/10^9,0)+if(AQ$439&gt;0,('Assumptions (NG)'!$V$16*Model!AQ$439*'Assumptions (NG)'!AM$3)/10^9,0)</f>
        <v>1.643169903</v>
      </c>
      <c r="AO482" s="215">
        <f>IF(AQ$438&gt;0,('Assumptions (NG)'!$V$16*Model!AQ$438*'Assumptions (NG)'!AN$2)/10^9,0)+if(AQ$439&gt;0,('Assumptions (NG)'!$V$16*Model!AQ$439*'Assumptions (NG)'!AN$3)/10^9,0)</f>
        <v>1.675859515</v>
      </c>
      <c r="AP482" s="215">
        <f>IF(AQ$438&gt;0,('Assumptions (NG)'!$V$16*Model!AQ$438*'Assumptions (NG)'!AO$2)/10^9,0)+if(AQ$439&gt;0,('Assumptions (NG)'!$V$16*Model!AQ$439*'Assumptions (NG)'!AO$3)/10^9,0)</f>
        <v>1.709199462</v>
      </c>
      <c r="AQ482" s="160"/>
      <c r="AR482" s="160"/>
      <c r="AS482" s="160"/>
      <c r="AT482" s="160"/>
      <c r="AU482" s="160"/>
      <c r="AV482" s="160"/>
      <c r="AW482" s="160"/>
      <c r="AX482" s="160"/>
      <c r="AY482" s="160"/>
      <c r="AZ482" s="160"/>
      <c r="BA482" s="160"/>
      <c r="BB482" s="160"/>
      <c r="BC482" s="160"/>
      <c r="BD482" s="160"/>
      <c r="BE482" s="160"/>
      <c r="BF482" s="160"/>
      <c r="BG482" s="160"/>
      <c r="BH482" s="160"/>
      <c r="BI482" s="160"/>
      <c r="BJ482" s="160"/>
      <c r="BK482" s="160"/>
      <c r="BL482" s="160"/>
      <c r="BM482" s="160"/>
      <c r="BN482" s="160"/>
      <c r="BO482" s="160"/>
    </row>
    <row r="483" ht="15.75" hidden="1" customHeight="1" outlineLevel="1">
      <c r="A483" s="209"/>
      <c r="B483" s="38"/>
      <c r="C483" s="174"/>
      <c r="D483" s="174"/>
      <c r="E483" s="174"/>
      <c r="F483" s="174"/>
      <c r="G483" s="174"/>
      <c r="H483" s="174"/>
      <c r="I483" s="174"/>
      <c r="J483" s="174"/>
      <c r="K483" s="174"/>
      <c r="L483" s="174"/>
      <c r="M483" s="174"/>
      <c r="N483" s="174"/>
      <c r="O483" s="174"/>
      <c r="P483" s="174"/>
      <c r="Q483" s="174"/>
      <c r="R483" s="174"/>
      <c r="S483" s="174"/>
      <c r="T483" s="174"/>
      <c r="U483" s="174"/>
      <c r="V483" s="174"/>
      <c r="W483" s="160"/>
      <c r="X483" s="160"/>
      <c r="Y483" s="160"/>
      <c r="Z483" s="160"/>
      <c r="AA483" s="160"/>
      <c r="AB483" s="160"/>
      <c r="AC483" s="160"/>
      <c r="AD483" s="160"/>
      <c r="AE483" s="160"/>
      <c r="AF483" s="160"/>
      <c r="AG483" s="160"/>
      <c r="AH483" s="160"/>
      <c r="AI483" s="160"/>
      <c r="AJ483" s="179"/>
      <c r="AK483" s="160"/>
      <c r="AL483" s="160"/>
      <c r="AM483" s="160"/>
      <c r="AN483" s="160"/>
      <c r="AO483" s="215">
        <f>IF(AR$438&gt;0,('Assumptions (NG)'!$V$16*Model!AR$438*'Assumptions (NG)'!AN$2)/10^9,0)+if(AR$439&gt;0,('Assumptions (NG)'!$V$16*Model!AR$439*'Assumptions (NG)'!AN$3)/10^9,0)</f>
        <v>1.09790368</v>
      </c>
      <c r="AP483" s="215">
        <f>IF(AR$438&gt;0,('Assumptions (NG)'!$V$16*Model!AR$438*'Assumptions (NG)'!AO$2)/10^9,0)+if(AR$439&gt;0,('Assumptions (NG)'!$V$16*Model!AR$439*'Assumptions (NG)'!AO$3)/10^9,0)</f>
        <v>1.119745636</v>
      </c>
      <c r="AQ483" s="215">
        <f>IF(AR$438&gt;0,('Assumptions (NG)'!$V$16*Model!AR$438*'Assumptions (NG)'!AP$2)/10^9,0)+if(AR$439&gt;0,('Assumptions (NG)'!$V$16*Model!AR$439*'Assumptions (NG)'!AP$3)/10^9,0)</f>
        <v>1.142022122</v>
      </c>
      <c r="AR483" s="160"/>
      <c r="AS483" s="160"/>
      <c r="AT483" s="160"/>
      <c r="AU483" s="160"/>
      <c r="AV483" s="160"/>
      <c r="AW483" s="160"/>
      <c r="AX483" s="160"/>
      <c r="AY483" s="160"/>
      <c r="AZ483" s="160"/>
      <c r="BA483" s="160"/>
      <c r="BB483" s="160"/>
      <c r="BC483" s="160"/>
      <c r="BD483" s="160"/>
      <c r="BE483" s="160"/>
      <c r="BF483" s="160"/>
      <c r="BG483" s="160"/>
      <c r="BH483" s="160"/>
      <c r="BI483" s="160"/>
      <c r="BJ483" s="160"/>
      <c r="BK483" s="160"/>
      <c r="BL483" s="160"/>
      <c r="BM483" s="160"/>
      <c r="BN483" s="160"/>
      <c r="BO483" s="160"/>
      <c r="BP483" s="160"/>
    </row>
    <row r="484" ht="15.75" hidden="1" customHeight="1" outlineLevel="1">
      <c r="A484" s="209"/>
      <c r="B484" s="38"/>
      <c r="C484" s="174"/>
      <c r="D484" s="174"/>
      <c r="E484" s="174"/>
      <c r="F484" s="174"/>
      <c r="G484" s="174"/>
      <c r="H484" s="174"/>
      <c r="I484" s="174"/>
      <c r="J484" s="174"/>
      <c r="K484" s="174"/>
      <c r="L484" s="174"/>
      <c r="M484" s="174"/>
      <c r="N484" s="174"/>
      <c r="O484" s="174"/>
      <c r="P484" s="174"/>
      <c r="Q484" s="174"/>
      <c r="R484" s="174"/>
      <c r="S484" s="174"/>
      <c r="T484" s="174"/>
      <c r="U484" s="174"/>
      <c r="V484" s="174"/>
      <c r="W484" s="160"/>
      <c r="X484" s="160"/>
      <c r="Y484" s="160"/>
      <c r="Z484" s="160"/>
      <c r="AA484" s="160"/>
      <c r="AB484" s="160"/>
      <c r="AC484" s="160"/>
      <c r="AD484" s="160"/>
      <c r="AE484" s="160"/>
      <c r="AF484" s="160"/>
      <c r="AG484" s="160"/>
      <c r="AH484" s="160"/>
      <c r="AI484" s="160"/>
      <c r="AJ484" s="179"/>
      <c r="AK484" s="160"/>
      <c r="AL484" s="177"/>
      <c r="AM484" s="160"/>
      <c r="AN484" s="160"/>
      <c r="AO484" s="160"/>
      <c r="AP484" s="215">
        <f>IF(AS$438&gt;0,('Assumptions (NG)'!$V$16*Model!AS$438*'Assumptions (NG)'!AO$2)/10^9,0)+if(AS$439&gt;0,('Assumptions (NG)'!$V$16*Model!AS$439*'Assumptions (NG)'!AO$3)/10^9,0)</f>
        <v>0.837235244</v>
      </c>
      <c r="AQ484" s="215">
        <f>IF(AS$438&gt;0,('Assumptions (NG)'!$V$16*Model!AS$438*'Assumptions (NG)'!AP$2)/10^9,0)+if(AS$439&gt;0,('Assumptions (NG)'!$V$16*Model!AS$439*'Assumptions (NG)'!AP$3)/10^9,0)</f>
        <v>0.8538914007</v>
      </c>
      <c r="AR484" s="215">
        <f>IF(AS$438&gt;0,('Assumptions (NG)'!$V$16*Model!AS$438*'Assumptions (NG)'!AQ$2)/10^9,0)+if(AS$439&gt;0,('Assumptions (NG)'!$V$16*Model!AS$439*'Assumptions (NG)'!AQ$3)/10^9,0)</f>
        <v>0.8708789189</v>
      </c>
      <c r="AS484" s="160"/>
      <c r="AT484" s="160"/>
      <c r="AU484" s="160"/>
      <c r="AV484" s="160"/>
      <c r="AW484" s="160"/>
      <c r="AX484" s="160"/>
      <c r="AY484" s="160"/>
      <c r="AZ484" s="160"/>
      <c r="BA484" s="160"/>
      <c r="BB484" s="160"/>
      <c r="BC484" s="160"/>
      <c r="BD484" s="160"/>
      <c r="BE484" s="160"/>
      <c r="BF484" s="160"/>
      <c r="BG484" s="160"/>
      <c r="BH484" s="160"/>
      <c r="BI484" s="160"/>
      <c r="BJ484" s="160"/>
      <c r="BK484" s="160"/>
      <c r="BL484" s="160"/>
      <c r="BM484" s="160"/>
      <c r="BN484" s="160"/>
      <c r="BO484" s="160"/>
      <c r="BP484" s="160"/>
      <c r="BQ484" s="160"/>
      <c r="BR484" s="160"/>
    </row>
    <row r="485" ht="15.75" hidden="1" customHeight="1" outlineLevel="1">
      <c r="A485" s="209"/>
      <c r="B485" s="38"/>
      <c r="C485" s="174"/>
      <c r="D485" s="174"/>
      <c r="E485" s="174"/>
      <c r="F485" s="174"/>
      <c r="G485" s="174"/>
      <c r="H485" s="174"/>
      <c r="I485" s="174"/>
      <c r="J485" s="174"/>
      <c r="K485" s="174"/>
      <c r="L485" s="174"/>
      <c r="M485" s="174"/>
      <c r="N485" s="174"/>
      <c r="O485" s="174"/>
      <c r="P485" s="174"/>
      <c r="Q485" s="174"/>
      <c r="R485" s="174"/>
      <c r="S485" s="174"/>
      <c r="T485" s="174"/>
      <c r="U485" s="174"/>
      <c r="V485" s="174"/>
      <c r="W485" s="160"/>
      <c r="X485" s="160"/>
      <c r="Y485" s="160"/>
      <c r="Z485" s="160"/>
      <c r="AA485" s="160"/>
      <c r="AB485" s="160"/>
      <c r="AC485" s="160"/>
      <c r="AD485" s="160"/>
      <c r="AE485" s="160"/>
      <c r="AF485" s="160"/>
      <c r="AG485" s="160"/>
      <c r="AH485" s="160"/>
      <c r="AI485" s="160"/>
      <c r="AJ485" s="179"/>
      <c r="AK485" s="160"/>
      <c r="AL485" s="177"/>
      <c r="AM485" s="177"/>
      <c r="AN485" s="160"/>
      <c r="AO485" s="160"/>
      <c r="AP485" s="160"/>
      <c r="AQ485" s="215">
        <f>IF(AT$438&gt;0,('Assumptions (NG)'!$V$16*Model!AT$438*'Assumptions (NG)'!AP$2)/10^9,0)+if(AT$439&gt;0,('Assumptions (NG)'!$V$16*Model!AT$439*'Assumptions (NG)'!AP$3)/10^9,0)</f>
        <v>0.3880955856</v>
      </c>
      <c r="AR485" s="215">
        <f>IF(AT$438&gt;0,('Assumptions (NG)'!$V$16*Model!AT$438*'Assumptions (NG)'!AQ$2)/10^9,0)+if(AT$439&gt;0,('Assumptions (NG)'!$V$16*Model!AT$439*'Assumptions (NG)'!AQ$3)/10^9,0)</f>
        <v>0.3958164513</v>
      </c>
      <c r="AS485" s="215">
        <f>IF(AT$438&gt;0,('Assumptions (NG)'!$V$16*Model!AT$438*'Assumptions (NG)'!AR$2)/10^9,0)+if(AT$439&gt;0,('Assumptions (NG)'!$V$16*Model!AT$439*'Assumptions (NG)'!AR$3)/10^9,0)</f>
        <v>0.4036909178</v>
      </c>
      <c r="AT485" s="160"/>
      <c r="AU485" s="160"/>
      <c r="AV485" s="160"/>
      <c r="AW485" s="160"/>
      <c r="AX485" s="160"/>
      <c r="AY485" s="160"/>
      <c r="AZ485" s="160"/>
      <c r="BA485" s="160"/>
      <c r="BB485" s="160"/>
      <c r="BC485" s="160"/>
      <c r="BD485" s="160"/>
      <c r="BE485" s="160"/>
      <c r="BF485" s="160"/>
      <c r="BG485" s="160"/>
      <c r="BH485" s="160"/>
      <c r="BI485" s="160"/>
      <c r="BJ485" s="160"/>
      <c r="BK485" s="160"/>
      <c r="BL485" s="160"/>
      <c r="BM485" s="160"/>
      <c r="BN485" s="160"/>
      <c r="BO485" s="160"/>
      <c r="BP485" s="160"/>
      <c r="BQ485" s="160"/>
      <c r="BR485" s="160"/>
    </row>
    <row r="486" ht="15.75" hidden="1" customHeight="1" outlineLevel="1">
      <c r="A486" s="209"/>
      <c r="B486" s="38"/>
      <c r="C486" s="174"/>
      <c r="D486" s="174"/>
      <c r="E486" s="174"/>
      <c r="F486" s="174"/>
      <c r="G486" s="174"/>
      <c r="H486" s="174"/>
      <c r="I486" s="174"/>
      <c r="J486" s="174"/>
      <c r="K486" s="174"/>
      <c r="L486" s="174"/>
      <c r="M486" s="174"/>
      <c r="N486" s="174"/>
      <c r="O486" s="174"/>
      <c r="P486" s="174"/>
      <c r="Q486" s="174"/>
      <c r="R486" s="174"/>
      <c r="S486" s="174"/>
      <c r="T486" s="174"/>
      <c r="U486" s="174"/>
      <c r="V486" s="174"/>
      <c r="W486" s="160"/>
      <c r="X486" s="160"/>
      <c r="Y486" s="160"/>
      <c r="Z486" s="160"/>
      <c r="AA486" s="160"/>
      <c r="AB486" s="160"/>
      <c r="AC486" s="160"/>
      <c r="AD486" s="160"/>
      <c r="AE486" s="160"/>
      <c r="AF486" s="160"/>
      <c r="AG486" s="160"/>
      <c r="AH486" s="160"/>
      <c r="AI486" s="160"/>
      <c r="AJ486" s="179"/>
      <c r="AK486" s="160"/>
      <c r="AL486" s="177"/>
      <c r="AM486" s="177"/>
      <c r="AN486" s="177"/>
      <c r="AO486" s="160"/>
      <c r="AP486" s="160"/>
      <c r="AQ486" s="160"/>
      <c r="AR486" s="215">
        <f>IF(AU$438&gt;0,('Assumptions (NG)'!$V$16*Model!AU$438*'Assumptions (NG)'!AQ$2)/10^9,0)+if(AU$439&gt;0,('Assumptions (NG)'!$V$16*Model!AU$439*'Assumptions (NG)'!AQ$3)/10^9,0)</f>
        <v>0.7801674025</v>
      </c>
      <c r="AS486" s="215">
        <f>IF(AU$438&gt;0,('Assumptions (NG)'!$V$16*Model!AU$438*'Assumptions (NG)'!AR$2)/10^9,0)+if(AU$439&gt;0,('Assumptions (NG)'!$V$16*Model!AU$439*'Assumptions (NG)'!AR$3)/10^9,0)</f>
        <v>0.795688238</v>
      </c>
      <c r="AT486" s="215">
        <f>IF(AU$438&gt;0,('Assumptions (NG)'!$V$16*Model!AU$438*'Assumptions (NG)'!AS$2)/10^9,0)+if(AU$439&gt;0,('Assumptions (NG)'!$V$16*Model!AU$439*'Assumptions (NG)'!AS$3)/10^9,0)</f>
        <v>0.8115178487</v>
      </c>
      <c r="AU486" s="160"/>
      <c r="AV486" s="160"/>
      <c r="AW486" s="160"/>
      <c r="AX486" s="160"/>
      <c r="AY486" s="160"/>
      <c r="AZ486" s="160"/>
      <c r="BA486" s="160"/>
      <c r="BB486" s="160"/>
      <c r="BC486" s="160"/>
      <c r="BD486" s="160"/>
      <c r="BE486" s="160"/>
      <c r="BF486" s="160"/>
      <c r="BG486" s="160"/>
      <c r="BH486" s="160"/>
      <c r="BI486" s="160"/>
      <c r="BJ486" s="160"/>
      <c r="BK486" s="160"/>
      <c r="BL486" s="160"/>
      <c r="BM486" s="160"/>
      <c r="BN486" s="160"/>
      <c r="BO486" s="160"/>
      <c r="BP486" s="160"/>
      <c r="BQ486" s="160"/>
      <c r="BR486" s="160"/>
      <c r="BS486" s="160"/>
    </row>
    <row r="487" ht="15.75" hidden="1" customHeight="1" outlineLevel="1">
      <c r="A487" s="209"/>
      <c r="B487" s="38"/>
      <c r="C487" s="174"/>
      <c r="D487" s="174"/>
      <c r="E487" s="174"/>
      <c r="F487" s="174"/>
      <c r="G487" s="174"/>
      <c r="H487" s="174"/>
      <c r="I487" s="174"/>
      <c r="J487" s="174"/>
      <c r="K487" s="174"/>
      <c r="L487" s="174"/>
      <c r="M487" s="174"/>
      <c r="N487" s="174"/>
      <c r="O487" s="174"/>
      <c r="P487" s="174"/>
      <c r="Q487" s="174"/>
      <c r="R487" s="174"/>
      <c r="S487" s="174"/>
      <c r="T487" s="174"/>
      <c r="U487" s="174"/>
      <c r="V487" s="174"/>
      <c r="W487" s="160"/>
      <c r="X487" s="160"/>
      <c r="Y487" s="160"/>
      <c r="Z487" s="160"/>
      <c r="AA487" s="160"/>
      <c r="AB487" s="160"/>
      <c r="AC487" s="160"/>
      <c r="AD487" s="160"/>
      <c r="AE487" s="160"/>
      <c r="AF487" s="160"/>
      <c r="AG487" s="160"/>
      <c r="AH487" s="160"/>
      <c r="AI487" s="160"/>
      <c r="AJ487" s="179"/>
      <c r="AK487" s="160"/>
      <c r="AL487" s="177"/>
      <c r="AM487" s="177"/>
      <c r="AN487" s="177"/>
      <c r="AO487" s="160"/>
      <c r="AP487" s="160"/>
      <c r="AQ487" s="160"/>
      <c r="AR487" s="160"/>
      <c r="AS487" s="215">
        <f>IF(AV$438&gt;0,('Assumptions (NG)'!$V$16*Model!AV$438*'Assumptions (NG)'!AR$2)/10^9,0)+if(AV$439&gt;0,('Assumptions (NG)'!$V$16*Model!AV$439*'Assumptions (NG)'!AR$3)/10^9,0)</f>
        <v>0.4036909178</v>
      </c>
      <c r="AT487" s="215">
        <f>IF(AV$438&gt;0,('Assumptions (NG)'!$V$16*Model!AV$438*'Assumptions (NG)'!AS$2)/10^9,0)+if(AV$439&gt;0,('Assumptions (NG)'!$V$16*Model!AV$439*'Assumptions (NG)'!AS$3)/10^9,0)</f>
        <v>0.4117220407</v>
      </c>
      <c r="AU487" s="215">
        <f>IF(AV$438&gt;0,('Assumptions (NG)'!$V$16*Model!AV$438*'Assumptions (NG)'!AT$2)/10^9,0)+if(AV$439&gt;0,('Assumptions (NG)'!$V$16*Model!AV$439*'Assumptions (NG)'!AT$3)/10^9,0)</f>
        <v>0.4199129367</v>
      </c>
      <c r="AV487" s="160"/>
      <c r="AW487" s="160"/>
      <c r="AX487" s="160"/>
      <c r="AY487" s="160"/>
      <c r="AZ487" s="160"/>
      <c r="BA487" s="160"/>
      <c r="BB487" s="160"/>
      <c r="BC487" s="160"/>
      <c r="BD487" s="160"/>
      <c r="BE487" s="160"/>
      <c r="BF487" s="160"/>
      <c r="BG487" s="160"/>
      <c r="BH487" s="160"/>
      <c r="BI487" s="160"/>
      <c r="BJ487" s="160"/>
      <c r="BK487" s="160"/>
      <c r="BL487" s="160"/>
      <c r="BM487" s="160"/>
      <c r="BN487" s="160"/>
      <c r="BO487" s="160"/>
      <c r="BP487" s="160"/>
      <c r="BQ487" s="160"/>
      <c r="BR487" s="160"/>
      <c r="BS487" s="160"/>
      <c r="BT487" s="160"/>
    </row>
    <row r="488" ht="15.75" hidden="1" customHeight="1" outlineLevel="1">
      <c r="A488" s="209"/>
      <c r="B488" s="38"/>
      <c r="C488" s="174"/>
      <c r="D488" s="174"/>
      <c r="E488" s="174"/>
      <c r="F488" s="174"/>
      <c r="G488" s="174"/>
      <c r="H488" s="174"/>
      <c r="I488" s="174"/>
      <c r="J488" s="174"/>
      <c r="K488" s="174"/>
      <c r="L488" s="174"/>
      <c r="M488" s="174"/>
      <c r="N488" s="174"/>
      <c r="O488" s="174"/>
      <c r="P488" s="174"/>
      <c r="Q488" s="174"/>
      <c r="R488" s="174"/>
      <c r="S488" s="174"/>
      <c r="T488" s="174"/>
      <c r="U488" s="174"/>
      <c r="V488" s="174"/>
      <c r="W488" s="160"/>
      <c r="X488" s="160"/>
      <c r="Y488" s="160"/>
      <c r="Z488" s="160"/>
      <c r="AA488" s="160"/>
      <c r="AB488" s="160"/>
      <c r="AC488" s="160"/>
      <c r="AD488" s="160"/>
      <c r="AE488" s="160"/>
      <c r="AF488" s="160"/>
      <c r="AG488" s="160"/>
      <c r="AH488" s="160"/>
      <c r="AI488" s="160"/>
      <c r="AJ488" s="179"/>
      <c r="AK488" s="160"/>
      <c r="AL488" s="177"/>
      <c r="AM488" s="177"/>
      <c r="AN488" s="177"/>
      <c r="AO488" s="160"/>
      <c r="AP488" s="160"/>
      <c r="AQ488" s="160"/>
      <c r="AR488" s="160"/>
      <c r="AS488" s="160"/>
      <c r="AT488" s="215">
        <f>IF(AW$438&gt;0,('Assumptions (NG)'!$V$16*Model!AW$438*'Assumptions (NG)'!AS$2)/10^9,0)+if(AW$439&gt;0,('Assumptions (NG)'!$V$16*Model!AW$439*'Assumptions (NG)'!AS$3)/10^9,0)</f>
        <v>1.240945376</v>
      </c>
      <c r="AU488" s="215">
        <f>IF(AW$438&gt;0,('Assumptions (NG)'!$V$16*Model!AW$438*'Assumptions (NG)'!AT$2)/10^9,0)+if(AW$439&gt;0,('Assumptions (NG)'!$V$16*Model!AW$439*'Assumptions (NG)'!AT$3)/10^9,0)</f>
        <v>1.265633038</v>
      </c>
      <c r="AV488" s="215">
        <f>IF(AW$438&gt;0,('Assumptions (NG)'!$V$16*Model!AW$438*'Assumptions (NG)'!AU$2)/10^9,0)+if(AW$439&gt;0,('Assumptions (NG)'!$V$16*Model!AW$439*'Assumptions (NG)'!AU$3)/10^9,0)</f>
        <v>1.290811842</v>
      </c>
      <c r="AW488" s="160"/>
      <c r="AX488" s="160"/>
      <c r="AY488" s="160"/>
      <c r="AZ488" s="160"/>
      <c r="BA488" s="160"/>
      <c r="BB488" s="160"/>
      <c r="BC488" s="160"/>
      <c r="BD488" s="160"/>
      <c r="BE488" s="160"/>
      <c r="BF488" s="160"/>
      <c r="BG488" s="160"/>
      <c r="BH488" s="160"/>
      <c r="BI488" s="160"/>
      <c r="BJ488" s="160"/>
      <c r="BK488" s="160"/>
      <c r="BL488" s="160"/>
      <c r="BM488" s="160"/>
      <c r="BN488" s="160"/>
      <c r="BO488" s="160"/>
      <c r="BP488" s="160"/>
      <c r="BQ488" s="160"/>
      <c r="BR488" s="160"/>
      <c r="BS488" s="160"/>
      <c r="BT488" s="160"/>
      <c r="BU488" s="160"/>
    </row>
    <row r="489" ht="15.75" hidden="1" customHeight="1" outlineLevel="1">
      <c r="A489" s="209"/>
      <c r="B489" s="38"/>
      <c r="C489" s="174"/>
      <c r="D489" s="174"/>
      <c r="E489" s="174"/>
      <c r="F489" s="174"/>
      <c r="G489" s="174"/>
      <c r="H489" s="174"/>
      <c r="I489" s="174"/>
      <c r="J489" s="174"/>
      <c r="K489" s="174"/>
      <c r="L489" s="174"/>
      <c r="M489" s="174"/>
      <c r="N489" s="174"/>
      <c r="O489" s="174"/>
      <c r="P489" s="174"/>
      <c r="Q489" s="174"/>
      <c r="R489" s="174"/>
      <c r="S489" s="174"/>
      <c r="T489" s="174"/>
      <c r="U489" s="174"/>
      <c r="V489" s="174"/>
      <c r="W489" s="160"/>
      <c r="X489" s="160"/>
      <c r="Y489" s="160"/>
      <c r="Z489" s="160"/>
      <c r="AA489" s="160"/>
      <c r="AB489" s="160"/>
      <c r="AC489" s="160"/>
      <c r="AD489" s="160"/>
      <c r="AE489" s="160"/>
      <c r="AF489" s="160"/>
      <c r="AG489" s="160"/>
      <c r="AH489" s="160"/>
      <c r="AI489" s="160"/>
      <c r="AJ489" s="179"/>
      <c r="AK489" s="160"/>
      <c r="AL489" s="177"/>
      <c r="AM489" s="177"/>
      <c r="AN489" s="177"/>
      <c r="AO489" s="160"/>
      <c r="AP489" s="160"/>
      <c r="AQ489" s="160"/>
      <c r="AR489" s="160"/>
      <c r="AS489" s="160"/>
      <c r="AT489" s="160"/>
      <c r="AU489" s="215">
        <f>IF(AX$438&gt;0,('Assumptions (NG)'!$V$16*Model!AX$438*'Assumptions (NG)'!AT$2)/10^9,0)+if(AX$439&gt;0,('Assumptions (NG)'!$V$16*Model!AX$439*'Assumptions (NG)'!AT$3)/10^9,0)</f>
        <v>1.71847728</v>
      </c>
      <c r="AV489" s="215">
        <f>IF(AX$438&gt;0,('Assumptions (NG)'!$V$16*Model!AX$438*'Assumptions (NG)'!AU$2)/10^9,0)+if(AX$439&gt;0,('Assumptions (NG)'!$V$16*Model!AX$439*'Assumptions (NG)'!AU$3)/10^9,0)</f>
        <v>1.752665074</v>
      </c>
      <c r="AW489" s="215">
        <f>IF(AX$438&gt;0,('Assumptions (NG)'!$V$16*Model!AX$438*'Assumptions (NG)'!AV$2)/10^9,0)+if(AX$439&gt;0,('Assumptions (NG)'!$V$16*Model!AX$439*'Assumptions (NG)'!AV$3)/10^9,0)</f>
        <v>1.78753301</v>
      </c>
      <c r="AX489" s="160"/>
      <c r="AY489" s="160"/>
      <c r="AZ489" s="160"/>
      <c r="BA489" s="160"/>
      <c r="BB489" s="160"/>
      <c r="BC489" s="160"/>
      <c r="BD489" s="160"/>
      <c r="BE489" s="160"/>
      <c r="BF489" s="160"/>
      <c r="BG489" s="160"/>
      <c r="BH489" s="160"/>
      <c r="BI489" s="160"/>
      <c r="BJ489" s="160"/>
      <c r="BK489" s="160"/>
      <c r="BL489" s="160"/>
      <c r="BM489" s="160"/>
      <c r="BN489" s="160"/>
      <c r="BO489" s="160"/>
      <c r="BP489" s="160"/>
      <c r="BQ489" s="160"/>
      <c r="BR489" s="160"/>
      <c r="BS489" s="160"/>
      <c r="BT489" s="160"/>
      <c r="BU489" s="160"/>
      <c r="BV489" s="160"/>
    </row>
    <row r="490" ht="15.75" hidden="1" customHeight="1" outlineLevel="1">
      <c r="A490" s="209"/>
      <c r="B490" s="38"/>
      <c r="C490" s="174"/>
      <c r="D490" s="174"/>
      <c r="E490" s="174"/>
      <c r="F490" s="174"/>
      <c r="G490" s="174"/>
      <c r="H490" s="174"/>
      <c r="I490" s="174"/>
      <c r="J490" s="174"/>
      <c r="K490" s="174"/>
      <c r="L490" s="174"/>
      <c r="M490" s="174"/>
      <c r="N490" s="174"/>
      <c r="O490" s="174"/>
      <c r="P490" s="174"/>
      <c r="Q490" s="174"/>
      <c r="R490" s="174"/>
      <c r="S490" s="174"/>
      <c r="T490" s="174"/>
      <c r="U490" s="174"/>
      <c r="V490" s="174"/>
      <c r="W490" s="160"/>
      <c r="X490" s="160"/>
      <c r="Y490" s="160"/>
      <c r="Z490" s="160"/>
      <c r="AA490" s="160"/>
      <c r="AB490" s="160"/>
      <c r="AC490" s="160"/>
      <c r="AD490" s="160"/>
      <c r="AE490" s="160"/>
      <c r="AF490" s="160"/>
      <c r="AG490" s="160"/>
      <c r="AH490" s="160"/>
      <c r="AI490" s="160"/>
      <c r="AJ490" s="179"/>
      <c r="AK490" s="160"/>
      <c r="AL490" s="177"/>
      <c r="AM490" s="177"/>
      <c r="AN490" s="177"/>
      <c r="AO490" s="160"/>
      <c r="AP490" s="160"/>
      <c r="AQ490" s="160"/>
      <c r="AR490" s="160"/>
      <c r="AS490" s="160"/>
      <c r="AT490" s="160"/>
      <c r="AU490" s="160"/>
      <c r="AV490" s="215">
        <f>IF(AY$438&gt;0,('Assumptions (NG)'!$V$16*Model!AY$438*'Assumptions (NG)'!AU$2)/10^9,0)+if(AY$439&gt;0,('Assumptions (NG)'!$V$16*Model!AY$439*'Assumptions (NG)'!AU$3)/10^9,0)</f>
        <v>3.124807941</v>
      </c>
      <c r="AW490" s="215">
        <f>IF(AY$438&gt;0,('Assumptions (NG)'!$V$16*Model!AY$438*'Assumptions (NG)'!AV$2)/10^9,0)+if(AY$439&gt;0,('Assumptions (NG)'!$V$16*Model!AY$439*'Assumptions (NG)'!AV$3)/10^9,0)</f>
        <v>3.186973612</v>
      </c>
      <c r="AX490" s="215">
        <f>IF(AY$438&gt;0,('Assumptions (NG)'!$V$16*Model!AY$438*'Assumptions (NG)'!AW$2)/10^9,0)+if(AY$439&gt;0,('Assumptions (NG)'!$V$16*Model!AY$439*'Assumptions (NG)'!AW$3)/10^9,0)</f>
        <v>3.250376022</v>
      </c>
      <c r="AY490" s="160"/>
      <c r="AZ490" s="160"/>
      <c r="BA490" s="160"/>
      <c r="BB490" s="160"/>
      <c r="BC490" s="160"/>
      <c r="BD490" s="160"/>
      <c r="BE490" s="160"/>
      <c r="BF490" s="160"/>
      <c r="BG490" s="160"/>
      <c r="BH490" s="160"/>
      <c r="BI490" s="160"/>
      <c r="BJ490" s="160"/>
      <c r="BK490" s="160"/>
      <c r="BL490" s="160"/>
      <c r="BM490" s="160"/>
      <c r="BN490" s="160"/>
      <c r="BO490" s="160"/>
      <c r="BP490" s="160"/>
      <c r="BQ490" s="160"/>
      <c r="BR490" s="160"/>
      <c r="BS490" s="160"/>
      <c r="BT490" s="160"/>
      <c r="BU490" s="160"/>
      <c r="BV490" s="160"/>
      <c r="BW490" s="160"/>
    </row>
    <row r="491" ht="15.75" hidden="1" customHeight="1" outlineLevel="1">
      <c r="A491" s="209"/>
      <c r="B491" s="38"/>
      <c r="C491" s="174"/>
      <c r="D491" s="174"/>
      <c r="E491" s="174"/>
      <c r="F491" s="174"/>
      <c r="G491" s="174"/>
      <c r="H491" s="174"/>
      <c r="I491" s="174"/>
      <c r="J491" s="174"/>
      <c r="K491" s="174"/>
      <c r="L491" s="174"/>
      <c r="M491" s="174"/>
      <c r="N491" s="174"/>
      <c r="O491" s="174"/>
      <c r="P491" s="174"/>
      <c r="Q491" s="174"/>
      <c r="R491" s="174"/>
      <c r="S491" s="174"/>
      <c r="T491" s="174"/>
      <c r="U491" s="174"/>
      <c r="V491" s="174"/>
      <c r="W491" s="160"/>
      <c r="X491" s="160"/>
      <c r="Y491" s="160"/>
      <c r="Z491" s="160"/>
      <c r="AA491" s="160"/>
      <c r="AB491" s="160"/>
      <c r="AC491" s="160"/>
      <c r="AD491" s="160"/>
      <c r="AE491" s="160"/>
      <c r="AF491" s="160"/>
      <c r="AG491" s="160"/>
      <c r="AH491" s="160"/>
      <c r="AI491" s="160"/>
      <c r="AJ491" s="179"/>
      <c r="AK491" s="160"/>
      <c r="AL491" s="177"/>
      <c r="AM491" s="177"/>
      <c r="AN491" s="177"/>
      <c r="AO491" s="160"/>
      <c r="AP491" s="160"/>
      <c r="AQ491" s="160"/>
      <c r="AR491" s="160"/>
      <c r="AS491" s="160"/>
      <c r="AT491" s="160"/>
      <c r="AU491" s="160"/>
      <c r="AV491" s="160"/>
      <c r="AW491" s="215">
        <f>IF(AZ$438&gt;0,('Assumptions (NG)'!$V$16*Model!AZ$438*'Assumptions (NG)'!AV$2)/10^9,0)+if(AZ$439&gt;0,('Assumptions (NG)'!$V$16*Model!AZ$439*'Assumptions (NG)'!AV$3)/10^9,0)</f>
        <v>0.8867479071</v>
      </c>
      <c r="AX491" s="215">
        <f>IF(AZ$438&gt;0,('Assumptions (NG)'!$V$16*Model!AZ$438*'Assumptions (NG)'!AW$2)/10^9,0)+if(AZ$439&gt;0,('Assumptions (NG)'!$V$16*Model!AZ$439*'Assumptions (NG)'!AW$3)/10^9,0)</f>
        <v>0.9043890805</v>
      </c>
      <c r="AY491" s="216">
        <f>IF(AZ$438&gt;0,('Assumptions (NG)'!$V$16*Model!AZ$438*'Assumptions (NG)'!AX$2)/10^9,0)+if(AZ$439&gt;0,('Assumptions (NG)'!$V$16*Model!AZ$439*'Assumptions (NG)'!AX$3)/10^9,0)</f>
        <v>0.9223812115</v>
      </c>
      <c r="AZ491" s="160"/>
      <c r="BA491" s="160"/>
      <c r="BB491" s="160"/>
      <c r="BC491" s="160"/>
      <c r="BD491" s="160"/>
      <c r="BE491" s="160"/>
      <c r="BF491" s="160"/>
      <c r="BG491" s="160"/>
      <c r="BH491" s="160"/>
      <c r="BI491" s="160"/>
      <c r="BJ491" s="160"/>
      <c r="BK491" s="160"/>
      <c r="BL491" s="160"/>
      <c r="BM491" s="160"/>
      <c r="BN491" s="160"/>
      <c r="BO491" s="160"/>
      <c r="BP491" s="160"/>
      <c r="BQ491" s="160"/>
      <c r="BR491" s="160"/>
      <c r="BS491" s="160"/>
      <c r="BT491" s="160"/>
      <c r="BU491" s="160"/>
      <c r="BV491" s="160"/>
      <c r="BW491" s="160"/>
      <c r="BX491" s="160"/>
    </row>
    <row r="492" ht="15.75" hidden="1" customHeight="1" outlineLevel="1">
      <c r="A492" s="209"/>
      <c r="B492" s="38"/>
      <c r="C492" s="174"/>
      <c r="D492" s="174"/>
      <c r="E492" s="174"/>
      <c r="F492" s="174"/>
      <c r="G492" s="174"/>
      <c r="H492" s="174"/>
      <c r="I492" s="174"/>
      <c r="J492" s="174"/>
      <c r="K492" s="174"/>
      <c r="L492" s="174"/>
      <c r="M492" s="174"/>
      <c r="N492" s="174"/>
      <c r="O492" s="174"/>
      <c r="P492" s="174"/>
      <c r="Q492" s="174"/>
      <c r="R492" s="174"/>
      <c r="S492" s="174"/>
      <c r="T492" s="174"/>
      <c r="U492" s="174"/>
      <c r="V492" s="174"/>
      <c r="W492" s="160"/>
      <c r="X492" s="160"/>
      <c r="Y492" s="160"/>
      <c r="Z492" s="160"/>
      <c r="AA492" s="160"/>
      <c r="AB492" s="160"/>
      <c r="AC492" s="160"/>
      <c r="AD492" s="160"/>
      <c r="AE492" s="160"/>
      <c r="AF492" s="160"/>
      <c r="AG492" s="160"/>
      <c r="AH492" s="160"/>
      <c r="AI492" s="160"/>
      <c r="AJ492" s="179"/>
      <c r="AK492" s="160"/>
      <c r="AL492" s="177"/>
      <c r="AM492" s="177"/>
      <c r="AN492" s="177"/>
      <c r="AO492" s="160"/>
      <c r="AP492" s="160"/>
      <c r="AQ492" s="160"/>
      <c r="AR492" s="160"/>
      <c r="AS492" s="160"/>
      <c r="AT492" s="160"/>
      <c r="AU492" s="160"/>
      <c r="AV492" s="160"/>
      <c r="AW492" s="160"/>
      <c r="AX492" s="215">
        <f>IF(BA$438&gt;0,('Assumptions (NG)'!$V$16*Model!BA$438*'Assumptions (NG)'!AW$2)/10^9,0)+if(BA$439&gt;0,('Assumptions (NG)'!$V$16*Model!BA$439*'Assumptions (NG)'!AW$3)/10^9,0)</f>
        <v>3.433461903</v>
      </c>
      <c r="AY492" s="216">
        <f>IF(BA$438&gt;0,('Assumptions (NG)'!$V$16*Model!BA$438*'Assumptions (NG)'!AX$2)/10^9,0)+if(BA$439&gt;0,('Assumptions (NG)'!$V$16*Model!BA$439*'Assumptions (NG)'!AX$3)/10^9,0)</f>
        <v>3.501768009</v>
      </c>
      <c r="AZ492" s="217"/>
      <c r="BA492" s="160"/>
      <c r="BB492" s="160"/>
      <c r="BC492" s="160"/>
      <c r="BD492" s="160"/>
      <c r="BE492" s="160"/>
      <c r="BF492" s="160"/>
      <c r="BG492" s="160"/>
      <c r="BH492" s="160"/>
      <c r="BI492" s="160"/>
      <c r="BJ492" s="160"/>
      <c r="BK492" s="160"/>
      <c r="BL492" s="160"/>
      <c r="BM492" s="160"/>
      <c r="BN492" s="160"/>
      <c r="BO492" s="160"/>
      <c r="BP492" s="160"/>
      <c r="BQ492" s="160"/>
      <c r="BR492" s="160"/>
      <c r="BS492" s="160"/>
      <c r="BT492" s="160"/>
      <c r="BU492" s="160"/>
      <c r="BV492" s="160"/>
      <c r="BW492" s="160"/>
      <c r="BX492" s="160"/>
      <c r="BY492" s="160"/>
    </row>
    <row r="493" ht="15.75" customHeight="1" collapsed="1">
      <c r="A493" s="207" t="s">
        <v>52</v>
      </c>
      <c r="B493" s="150" t="s">
        <v>351</v>
      </c>
      <c r="C493" s="176">
        <f>'Assumptions (NG)'!$V$7*Model!C441</f>
        <v>4.171458077</v>
      </c>
      <c r="D493" s="176">
        <f>'Assumptions (NG)'!$V$7*Model!D441</f>
        <v>3.669116456</v>
      </c>
      <c r="E493" s="176">
        <f>'Assumptions (NG)'!$V$7*Model!E441</f>
        <v>2.373608161</v>
      </c>
      <c r="F493" s="176">
        <f>'Assumptions (NG)'!$V$7*Model!F441</f>
        <v>0.8526546086</v>
      </c>
      <c r="G493" s="176">
        <f>'Assumptions (NG)'!$V$7*Model!G441</f>
        <v>0.4680493402</v>
      </c>
      <c r="H493" s="176">
        <f>'Assumptions (NG)'!$V$7*Model!H441</f>
        <v>0.3493087149</v>
      </c>
      <c r="I493" s="176">
        <f>'Assumptions (NG)'!$V$7*Model!I441</f>
        <v>0.2255767591</v>
      </c>
      <c r="J493" s="176">
        <f>'Assumptions (NG)'!$V$7*Model!J441</f>
        <v>0.4639097546</v>
      </c>
      <c r="K493" s="176">
        <f>'Assumptions (NG)'!$V$7*Model!K441</f>
        <v>0.7617783841</v>
      </c>
      <c r="L493" s="176">
        <f>'Assumptions (NG)'!$V$7*Model!L441</f>
        <v>1.73882015</v>
      </c>
      <c r="M493" s="176">
        <f>'Assumptions (NG)'!$V$7*Model!M441</f>
        <v>1.589655085</v>
      </c>
      <c r="N493" s="176">
        <f>'Assumptions (NG)'!$V$7*Model!N441</f>
        <v>1.342573197</v>
      </c>
      <c r="O493" s="176">
        <f>'Assumptions (NG)'!$V$7*Model!O441</f>
        <v>0.338774759</v>
      </c>
      <c r="P493" s="176">
        <f>'Assumptions (NG)'!$V$7*Model!P441</f>
        <v>0.1795302867</v>
      </c>
      <c r="Q493" s="176">
        <f>'Assumptions (NG)'!$V$7*Model!Q441</f>
        <v>0.01774564627</v>
      </c>
      <c r="R493" s="176">
        <f>'Assumptions (NG)'!$V$7*Model!R441</f>
        <v>0.588212262</v>
      </c>
      <c r="S493" s="176">
        <f>'Assumptions (NG)'!$V$7*Model!S441</f>
        <v>0.5977462188</v>
      </c>
      <c r="T493" s="176">
        <f>'Assumptions (NG)'!$V$7*Model!T441</f>
        <v>0.5739239199</v>
      </c>
      <c r="U493" s="176">
        <f>'Assumptions (NG)'!$V$7*Model!U441</f>
        <v>0.933846291</v>
      </c>
      <c r="V493" s="176">
        <f>'Assumptions (NG)'!$V$7*Model!V441</f>
        <v>1.184913414</v>
      </c>
      <c r="W493" s="176">
        <f>'Assumptions (NG)'!$V$7*Model!W441</f>
        <v>1.424495074</v>
      </c>
      <c r="X493" s="176">
        <f>'Assumptions (NG)'!$V$7*Model!X441</f>
        <v>0.7619179059</v>
      </c>
      <c r="Y493" s="176">
        <f>'Assumptions (NG)'!$V$7*Model!Y441</f>
        <v>1.005914276</v>
      </c>
      <c r="Z493" s="176">
        <f>'Assumptions (NG)'!$V$7*Model!Z441</f>
        <v>0.9772413288</v>
      </c>
      <c r="AA493" s="176">
        <f>'Assumptions (NG)'!$V$7*Model!AA441</f>
        <v>0.8702011644</v>
      </c>
      <c r="AB493" s="176">
        <f>'Assumptions (NG)'!$V$7*Model!AB441</f>
        <v>0.5631787315</v>
      </c>
      <c r="AC493" s="176">
        <f>'Assumptions (NG)'!$V$7*Model!AC441</f>
        <v>0.5776249737</v>
      </c>
      <c r="AD493" s="176">
        <f>'Assumptions (NG)'!$V$7*Model!AD441</f>
        <v>0.6043273519</v>
      </c>
      <c r="AE493" s="176">
        <f>'Assumptions (NG)'!$V$7*Model!AE441</f>
        <v>0.6163499837</v>
      </c>
      <c r="AF493" s="176">
        <f>'Assumptions (NG)'!$V$7*Model!AF441</f>
        <v>0.6575618572</v>
      </c>
      <c r="AG493" s="176">
        <f>'Assumptions (NG)'!$V$7*Model!AG441</f>
        <v>0.7177974479</v>
      </c>
      <c r="AH493" s="176">
        <f>'Assumptions (NG)'!$V$7*Model!AH441</f>
        <v>0.7940037442</v>
      </c>
      <c r="AI493" s="176">
        <f>'Assumptions (NG)'!$V$7*Model!AI441</f>
        <v>0.8421847853</v>
      </c>
      <c r="AJ493" s="176">
        <f>'Assumptions (NG)'!$V$7*Model!AJ441</f>
        <v>1.498651743</v>
      </c>
      <c r="AK493" s="176">
        <f>'Assumptions (NG)'!$V$7*Model!AK441</f>
        <v>2.422750742</v>
      </c>
      <c r="AL493" s="176">
        <f>'Assumptions (NG)'!$V$7*Model!AL441</f>
        <v>4.615954612</v>
      </c>
      <c r="AM493" s="176">
        <f>'Assumptions (NG)'!$V$7*Model!AM441</f>
        <v>6.744446523</v>
      </c>
      <c r="AN493" s="176">
        <f>'Assumptions (NG)'!$V$7*Model!AN441</f>
        <v>6.690474076</v>
      </c>
      <c r="AO493" s="176">
        <f>'Assumptions (NG)'!$V$7*Model!AO441</f>
        <v>4.943987445</v>
      </c>
      <c r="AP493" s="176">
        <f>'Assumptions (NG)'!$V$7*Model!AP441</f>
        <v>2.383017223</v>
      </c>
      <c r="AQ493" s="176">
        <f>'Assumptions (NG)'!$V$7*Model!AQ441</f>
        <v>1.54960592</v>
      </c>
      <c r="AR493" s="176">
        <f>'Assumptions (NG)'!$V$7*Model!AR441</f>
        <v>1.330460802</v>
      </c>
      <c r="AS493" s="176">
        <f>'Assumptions (NG)'!$V$7*Model!AS441</f>
        <v>1.041995548</v>
      </c>
      <c r="AT493" s="176">
        <f>'Assumptions (NG)'!$V$7*Model!AT441</f>
        <v>1.601720423</v>
      </c>
      <c r="AU493" s="176">
        <f>'Assumptions (NG)'!$V$7*Model!AU441</f>
        <v>2.212615115</v>
      </c>
      <c r="AV493" s="176">
        <f>'Assumptions (NG)'!$V$7*Model!AV441</f>
        <v>4.009385157</v>
      </c>
      <c r="AW493" s="176">
        <f>'Assumptions (NG)'!$V$7*Model!AW441</f>
        <v>3.809815444</v>
      </c>
      <c r="AX493" s="176">
        <f>'Assumptions (NG)'!$V$7*Model!AX441</f>
        <v>4.932347553</v>
      </c>
      <c r="AY493" s="176">
        <f>'Assumptions (NG)'!$V$7*Model!AY441</f>
        <v>2.875696993</v>
      </c>
      <c r="AZ493" s="176">
        <f>'Assumptions (NG)'!$V$7*Model!AZ441</f>
        <v>0</v>
      </c>
      <c r="BA493" s="176">
        <f>'Assumptions (NG)'!$V$7*Model!BA441</f>
        <v>0</v>
      </c>
    </row>
    <row r="494" ht="15.75" customHeight="1">
      <c r="A494" s="207" t="s">
        <v>54</v>
      </c>
      <c r="B494" s="150" t="s">
        <v>351</v>
      </c>
      <c r="C494" s="176">
        <f>'Assumptions (NG)'!$V$8*Model!C441</f>
        <v>2.246169734</v>
      </c>
      <c r="D494" s="176">
        <f>'Assumptions (NG)'!$V$8*Model!D441</f>
        <v>1.975678092</v>
      </c>
      <c r="E494" s="176">
        <f>'Assumptions (NG)'!$V$8*Model!E441</f>
        <v>1.278096702</v>
      </c>
      <c r="F494" s="176">
        <f>'Assumptions (NG)'!$V$8*Model!F441</f>
        <v>0.4591217123</v>
      </c>
      <c r="G494" s="176">
        <f>'Assumptions (NG)'!$V$8*Model!G441</f>
        <v>0.2520265678</v>
      </c>
      <c r="H494" s="176">
        <f>'Assumptions (NG)'!$V$8*Model!H441</f>
        <v>0.188089308</v>
      </c>
      <c r="I494" s="176">
        <f>'Assumptions (NG)'!$V$8*Model!I441</f>
        <v>0.1214644087</v>
      </c>
      <c r="J494" s="176">
        <f>'Assumptions (NG)'!$V$8*Model!J441</f>
        <v>0.2497975602</v>
      </c>
      <c r="K494" s="176">
        <f>'Assumptions (NG)'!$V$8*Model!K441</f>
        <v>0.4101883607</v>
      </c>
      <c r="L494" s="176">
        <f>'Assumptions (NG)'!$V$8*Model!L441</f>
        <v>0.9362877733</v>
      </c>
      <c r="M494" s="176">
        <f>'Assumptions (NG)'!$V$8*Model!M441</f>
        <v>0.8559681227</v>
      </c>
      <c r="N494" s="176">
        <f>'Assumptions (NG)'!$V$8*Model!N441</f>
        <v>0.7229240289</v>
      </c>
      <c r="O494" s="176">
        <f>'Assumptions (NG)'!$V$8*Model!O441</f>
        <v>0.1824171779</v>
      </c>
      <c r="P494" s="176">
        <f>'Assumptions (NG)'!$V$8*Model!P441</f>
        <v>0.09667015436</v>
      </c>
      <c r="Q494" s="176">
        <f>'Assumptions (NG)'!$V$8*Model!Q441</f>
        <v>0.009555347992</v>
      </c>
      <c r="R494" s="176">
        <f>'Assumptions (NG)'!$V$8*Model!R441</f>
        <v>0.3167296795</v>
      </c>
      <c r="S494" s="176">
        <f>'Assumptions (NG)'!$V$8*Model!S441</f>
        <v>0.3218633486</v>
      </c>
      <c r="T494" s="176">
        <f>'Assumptions (NG)'!$V$8*Model!T441</f>
        <v>0.3090359569</v>
      </c>
      <c r="U494" s="176">
        <f>'Assumptions (NG)'!$V$8*Model!U441</f>
        <v>0.5028403105</v>
      </c>
      <c r="V494" s="176">
        <f>'Assumptions (NG)'!$V$8*Model!V441</f>
        <v>0.6380302998</v>
      </c>
      <c r="W494" s="176">
        <f>'Assumptions (NG)'!$V$8*Model!W441</f>
        <v>0.767035809</v>
      </c>
      <c r="X494" s="176">
        <f>'Assumptions (NG)'!$V$8*Model!X441</f>
        <v>0.4102634878</v>
      </c>
      <c r="Y494" s="176">
        <f>'Assumptions (NG)'!$V$8*Model!Y441</f>
        <v>0.5416461487</v>
      </c>
      <c r="Z494" s="176">
        <f>'Assumptions (NG)'!$V$8*Model!Z441</f>
        <v>0.5262068694</v>
      </c>
      <c r="AA494" s="176">
        <f>'Assumptions (NG)'!$V$8*Model!AA441</f>
        <v>0.4685698577</v>
      </c>
      <c r="AB494" s="176">
        <f>'Assumptions (NG)'!$V$8*Model!AB441</f>
        <v>0.3032500862</v>
      </c>
      <c r="AC494" s="176">
        <f>'Assumptions (NG)'!$V$8*Model!AC441</f>
        <v>0.311028832</v>
      </c>
      <c r="AD494" s="176">
        <f>'Assumptions (NG)'!$V$8*Model!AD441</f>
        <v>0.3254070356</v>
      </c>
      <c r="AE494" s="176">
        <f>'Assumptions (NG)'!$V$8*Model!AE441</f>
        <v>0.3318807604</v>
      </c>
      <c r="AF494" s="176">
        <f>'Assumptions (NG)'!$V$8*Model!AF441</f>
        <v>0.3540717693</v>
      </c>
      <c r="AG494" s="176">
        <f>'Assumptions (NG)'!$V$8*Model!AG441</f>
        <v>0.3865063181</v>
      </c>
      <c r="AH494" s="176">
        <f>'Assumptions (NG)'!$V$8*Model!AH441</f>
        <v>0.4275404776</v>
      </c>
      <c r="AI494" s="176">
        <f>'Assumptions (NG)'!$V$8*Model!AI441</f>
        <v>0.4534841151</v>
      </c>
      <c r="AJ494" s="176">
        <f>'Assumptions (NG)'!$V$8*Model!AJ441</f>
        <v>0.8069663232</v>
      </c>
      <c r="AK494" s="176">
        <f>'Assumptions (NG)'!$V$8*Model!AK441</f>
        <v>1.304558092</v>
      </c>
      <c r="AL494" s="176">
        <f>'Assumptions (NG)'!$V$8*Model!AL441</f>
        <v>2.485514022</v>
      </c>
      <c r="AM494" s="176">
        <f>'Assumptions (NG)'!$V$8*Model!AM441</f>
        <v>3.631625051</v>
      </c>
      <c r="AN494" s="176">
        <f>'Assumptions (NG)'!$V$8*Model!AN441</f>
        <v>3.602562964</v>
      </c>
      <c r="AO494" s="176">
        <f>'Assumptions (NG)'!$V$8*Model!AO441</f>
        <v>2.662147086</v>
      </c>
      <c r="AP494" s="176">
        <f>'Assumptions (NG)'!$V$8*Model!AP441</f>
        <v>1.28316312</v>
      </c>
      <c r="AQ494" s="176">
        <f>'Assumptions (NG)'!$V$8*Model!AQ441</f>
        <v>0.8344031879</v>
      </c>
      <c r="AR494" s="176">
        <f>'Assumptions (NG)'!$V$8*Model!AR441</f>
        <v>0.7164019705</v>
      </c>
      <c r="AS494" s="176">
        <f>'Assumptions (NG)'!$V$8*Model!AS441</f>
        <v>0.5610745257</v>
      </c>
      <c r="AT494" s="176">
        <f>'Assumptions (NG)'!$V$8*Model!AT441</f>
        <v>0.8624648429</v>
      </c>
      <c r="AU494" s="176">
        <f>'Assumptions (NG)'!$V$8*Model!AU441</f>
        <v>1.191408139</v>
      </c>
      <c r="AV494" s="176">
        <f>'Assumptions (NG)'!$V$8*Model!AV441</f>
        <v>2.1588997</v>
      </c>
      <c r="AW494" s="176">
        <f>'Assumptions (NG)'!$V$8*Model!AW441</f>
        <v>2.051439085</v>
      </c>
      <c r="AX494" s="176">
        <f>'Assumptions (NG)'!$V$8*Model!AX441</f>
        <v>2.655879452</v>
      </c>
      <c r="AY494" s="176">
        <f>'Assumptions (NG)'!$V$8*Model!AY441</f>
        <v>1.548452227</v>
      </c>
      <c r="AZ494" s="176">
        <f>'Assumptions (NG)'!$V$8*Model!AZ441</f>
        <v>0</v>
      </c>
      <c r="BA494" s="176">
        <f>'Assumptions (NG)'!$V$8*Model!BA441</f>
        <v>0</v>
      </c>
    </row>
    <row r="495" ht="15.75" customHeight="1">
      <c r="A495" s="207" t="s">
        <v>359</v>
      </c>
      <c r="B495" s="150" t="s">
        <v>351</v>
      </c>
      <c r="C495" s="177">
        <f t="array" ref="C495">SUM(IF(ISERROR(C496:C546),"",C496:C546))</f>
        <v>-0.2268341467</v>
      </c>
      <c r="D495" s="177">
        <f t="array" ref="D495">SUM(IF(ISERROR(D496:D546),"",D496:D546))</f>
        <v>-0.4997954196</v>
      </c>
      <c r="E495" s="177">
        <f t="array" ref="E495">SUM(IF(ISERROR(E496:E546),"",E496:E546))</f>
        <v>-0.9064532742</v>
      </c>
      <c r="F495" s="177">
        <f t="array" ref="F495">SUM(IF(ISERROR(F496:F546),"",F496:F546))</f>
        <v>-1.357507264</v>
      </c>
      <c r="G495" s="177">
        <f t="array" ref="G495">SUM(IF(ISERROR(G496:G546),"",G496:G546))</f>
        <v>-1.562147704</v>
      </c>
      <c r="H495" s="177">
        <f t="array" ref="H495">SUM(IF(ISERROR(H496:H546),"",H496:H546))</f>
        <v>-1.731265921</v>
      </c>
      <c r="I495" s="177">
        <f t="array" ref="I495">SUM(IF(ISERROR(I496:I546),"",I496:I546))</f>
        <v>-1.894431637</v>
      </c>
      <c r="J495" s="177">
        <f t="array" ref="J495">SUM(IF(ISERROR(J496:J546),"",J496:J546))</f>
        <v>-2.061906448</v>
      </c>
      <c r="K495" s="177">
        <f t="array" ref="K495">SUM(IF(ISERROR(K496:K546),"",K496:K546))</f>
        <v>-2.242468431</v>
      </c>
      <c r="L495" s="177">
        <f t="array" ref="L495">SUM(IF(ISERROR(L496:L546),"",L496:L546))</f>
        <v>-2.418994654</v>
      </c>
      <c r="M495" s="177">
        <f t="array" ref="M495">SUM(IF(ISERROR(M496:M546),"",M496:M546))</f>
        <v>-2.206059471</v>
      </c>
      <c r="N495" s="177">
        <f t="array" ref="N495">SUM(IF(ISERROR(N496:N546),"",N496:N546))</f>
        <v>-1.935410108</v>
      </c>
      <c r="O495" s="177">
        <f t="array" ref="O495">SUM(IF(ISERROR(O496:O546),"",O496:O546))</f>
        <v>-1.540844946</v>
      </c>
      <c r="P495" s="177">
        <f t="array" ref="P495">SUM(IF(ISERROR(P496:P546),"",P496:P546))</f>
        <v>-0.901132003</v>
      </c>
      <c r="Q495" s="177">
        <f t="array" ref="Q495">SUM(IF(ISERROR(Q496:Q546),"",Q496:Q546))</f>
        <v>-0.7941772252</v>
      </c>
      <c r="R495" s="177">
        <f t="array" ref="R495">SUM(IF(ISERROR(R496:R546),"",R496:R546))</f>
        <v>-0.7469615952</v>
      </c>
      <c r="S495" s="177">
        <f t="array" ref="S495">SUM(IF(ISERROR(S496:S546),"",S496:S546))</f>
        <v>-0.7343085526</v>
      </c>
      <c r="T495" s="177">
        <f t="array" ref="T495">SUM(IF(ISERROR(T496:T546),"",T496:T546))</f>
        <v>-0.742684383</v>
      </c>
      <c r="U495" s="177">
        <f t="array" ref="U495">SUM(IF(ISERROR(U496:U546),"",U496:U546))</f>
        <v>-0.8670007833</v>
      </c>
      <c r="V495" s="177">
        <f t="array" ref="V495">SUM(IF(ISERROR(V496:V546),"",V496:V546))</f>
        <v>-0.9148345906</v>
      </c>
      <c r="W495" s="177">
        <f t="array" ref="W495">SUM(IF(ISERROR(W496:W546),"",W496:W546))</f>
        <v>-0.832677462</v>
      </c>
      <c r="X495" s="177">
        <f t="array" ref="X495">SUM(IF(ISERROR(X496:X546),"",X496:X546))</f>
        <v>-0.9816998745</v>
      </c>
      <c r="Y495" s="177">
        <f t="array" ref="Y495">SUM(IF(ISERROR(Y496:Y546),"",Y496:Y546))</f>
        <v>-0.6597128603</v>
      </c>
      <c r="Z495" s="177">
        <f t="array" ref="Z495">SUM(IF(ISERROR(Z496:Z546),"",Z496:Z546))</f>
        <v>-0.6906840119</v>
      </c>
      <c r="AA495" s="177">
        <f t="array" ref="AA495">SUM(IF(ISERROR(AA496:AA546),"",AA496:AA546))</f>
        <v>-0.7405438902</v>
      </c>
      <c r="AB495" s="177">
        <f t="array" ref="AB495">SUM(IF(ISERROR(AB496:AB546),"",AB496:AB546))</f>
        <v>-0.9354662933</v>
      </c>
      <c r="AC495" s="177">
        <f t="array" ref="AC495">SUM(IF(ISERROR(AC496:AC546),"",AC496:AC546))</f>
        <v>-1.044663607</v>
      </c>
      <c r="AD495" s="177">
        <f t="array" ref="AD495">SUM(IF(ISERROR(AD496:AD546),"",AD496:AD546))</f>
        <v>-1.151208674</v>
      </c>
      <c r="AE495" s="177">
        <f t="array" ref="AE495">SUM(IF(ISERROR(AE496:AE546),"",AE496:AE546))</f>
        <v>-1.026637477</v>
      </c>
      <c r="AF495" s="177">
        <f t="array" ref="AF495">SUM(IF(ISERROR(AF496:AF546),"",AF496:AF546))</f>
        <v>-1.145750451</v>
      </c>
      <c r="AG495" s="177">
        <f t="array" ref="AG495">SUM(IF(ISERROR(AG496:AG546),"",AG496:AG546))</f>
        <v>-1.277209688</v>
      </c>
      <c r="AH495" s="177">
        <f t="array" ref="AH495">SUM(IF(ISERROR(AH496:AH546),"",AH496:AH546))</f>
        <v>-0.8493362545</v>
      </c>
      <c r="AI495" s="177">
        <f t="array" ref="AI495">SUM(IF(ISERROR(AI496:AI546),"",AI496:AI546))</f>
        <v>-0.8399108251</v>
      </c>
      <c r="AJ495" s="177">
        <f t="array" ref="AJ495">SUM(IF(ISERROR(AJ496:AJ546),"",AJ496:AJ546))</f>
        <v>-0.8540881768</v>
      </c>
      <c r="AK495" s="177">
        <f t="array" ref="AK495">SUM(IF(ISERROR(AK496:AK546),"",AK496:AK546))</f>
        <v>-0.8224109266</v>
      </c>
      <c r="AL495" s="177">
        <f t="array" ref="AL495">SUM(IF(ISERROR(AL496:AL546),"",AL496:AL546))</f>
        <v>-0.6565676461</v>
      </c>
      <c r="AM495" s="177">
        <f t="array" ref="AM495">SUM(IF(ISERROR(AM496:AM546),"",AM496:AM546))</f>
        <v>-0.825786183</v>
      </c>
      <c r="AN495" s="177">
        <f t="array" ref="AN495">SUM(IF(ISERROR(AN496:AN546),"",AN496:AN546))</f>
        <v>-1.061793139</v>
      </c>
      <c r="AO495" s="177">
        <f t="array" ref="AO495">SUM(IF(ISERROR(AO496:AO546),"",AO496:AO546))</f>
        <v>-1.586475245</v>
      </c>
      <c r="AP495" s="177">
        <f t="array" ref="AP495">SUM(IF(ISERROR(AP496:AP546),"",AP496:AP546))</f>
        <v>-2.271834234</v>
      </c>
      <c r="AQ495" s="177">
        <f t="array" ref="AQ495">SUM(IF(ISERROR(AQ496:AQ546),"",AQ496:AQ546))</f>
        <v>-2.579413518</v>
      </c>
      <c r="AR495" s="177">
        <f t="array" ref="AR495">SUM(IF(ISERROR(AR496:AR546),"",AR496:AR546))</f>
        <v>-2.838447302</v>
      </c>
      <c r="AS495" s="177">
        <f t="array" ref="AS495">SUM(IF(ISERROR(AS496:AS546),"",AS496:AS546))</f>
        <v>-3.064053216</v>
      </c>
      <c r="AT495" s="177">
        <f t="array" ref="AT495">SUM(IF(ISERROR(AT496:AT546),"",AT496:AT546))</f>
        <v>-3.22785394</v>
      </c>
      <c r="AU495" s="177">
        <f t="array" ref="AU495">SUM(IF(ISERROR(AU496:AU546),"",AU496:AU546))</f>
        <v>-3.457835267</v>
      </c>
      <c r="AV495" s="177">
        <f t="array" ref="AV495">SUM(IF(ISERROR(AV496:AV546),"",AV496:AV546))</f>
        <v>-3.648110662</v>
      </c>
      <c r="AW495" s="177">
        <f t="array" ref="AW495">SUM(IF(ISERROR(AW496:AW546),"",AW496:AW546))</f>
        <v>-3.683094231</v>
      </c>
      <c r="AX495" s="177">
        <f t="array" ref="AX495">SUM(IF(ISERROR(AX496:AX546),"",AX496:AX546))</f>
        <v>-3.673046915</v>
      </c>
      <c r="AY495" s="177">
        <f t="array" ref="AY495">SUM(IF(ISERROR(AY496:AY546),"",AY496:AY546))</f>
        <v>-3.298121362</v>
      </c>
      <c r="AZ495" s="177">
        <f t="array" ref="AZ495">SUM(IF(ISERROR(AZ496:AZ546),"",AZ496:AZ546))</f>
        <v>-2.323943086</v>
      </c>
      <c r="BA495" s="177">
        <f t="array" ref="BA495">SUM(IF(ISERROR(BA496:BA546),"",BA496:BA546))</f>
        <v>-2.691056211</v>
      </c>
      <c r="BB495" s="177">
        <f t="array" ref="BB495">SUM(IF(ISERROR(BB496:BB546),"",BB496:BB546))</f>
        <v>-2.574738474</v>
      </c>
      <c r="BC495" s="177">
        <f t="array" ref="BC495">SUM(IF(ISERROR(BC496:BC546),"",BC496:BC546))</f>
        <v>-2.525232558</v>
      </c>
      <c r="BD495" s="177">
        <f t="array" ref="BD495">SUM(IF(ISERROR(BD496:BD546),"",BD496:BD546))</f>
        <v>-2.602163925</v>
      </c>
      <c r="BE495" s="177">
        <f t="array" ref="BE495">SUM(IF(ISERROR(BE496:BE546),"",BE496:BE546))</f>
        <v>-2.571251851</v>
      </c>
      <c r="BF495" s="177">
        <f t="array" ref="BF495">SUM(IF(ISERROR(BF496:BF546),"",BF496:BF546))</f>
        <v>-2.647115501</v>
      </c>
      <c r="BG495" s="177">
        <f t="array" ref="BG495">SUM(IF(ISERROR(BG496:BG546),"",BG496:BG546))</f>
        <v>-2.486052055</v>
      </c>
      <c r="BH495" s="177">
        <f t="array" ref="BH495">SUM(IF(ISERROR(BH496:BH546),"",BH496:BH546))</f>
        <v>-2.17453121</v>
      </c>
      <c r="BI495" s="177">
        <f t="array" ref="BI495">SUM(IF(ISERROR(BI496:BI546),"",BI496:BI546))</f>
        <v>-1.432124385</v>
      </c>
      <c r="BJ495" s="177">
        <f t="array" ref="BJ495">SUM(IF(ISERROR(BJ496:BJ546),"",BJ496:BJ546))</f>
        <v>-1.282574794</v>
      </c>
      <c r="BK495" s="177"/>
      <c r="BL495" s="177"/>
      <c r="BM495" s="177"/>
      <c r="BN495" s="177"/>
      <c r="BO495" s="177"/>
      <c r="BP495" s="177"/>
      <c r="BQ495" s="177"/>
      <c r="BR495" s="177"/>
      <c r="BS495" s="177"/>
      <c r="BT495" s="177"/>
      <c r="BU495" s="177"/>
    </row>
    <row r="496" ht="15.75" hidden="1" customHeight="1" outlineLevel="1">
      <c r="A496" s="209"/>
      <c r="B496" s="38"/>
      <c r="C496" s="177">
        <f>IF(Model!W$1&lt;='Assumptions (NG)'!$V$12, PPMT('Assumptions (NG)'!$V$9,Model!W$1,'Assumptions (NG)'!$V$12,'Assumptions (NG)'!$V$7*(Model!$C$438*'Assumptions (NG)'!$B$2+Model!$C$439*'Assumptions (NG)'!$B$3)/10^9),0)</f>
        <v>-0.2268341467</v>
      </c>
      <c r="D496" s="177">
        <f>IF(Model!X$1&lt;='Assumptions (NG)'!$V$12, PPMT('Assumptions (NG)'!$V$9,Model!X$1,'Assumptions (NG)'!$V$12,'Assumptions (NG)'!$V$7*(Model!$C$438*'Assumptions (NG)'!$B$2+Model!$C$439*'Assumptions (NG)'!$B$3)/10^9),0)</f>
        <v>-0.2438467077</v>
      </c>
      <c r="E496" s="177">
        <f>IF(Model!Y$1&lt;='Assumptions (NG)'!$V$12, PPMT('Assumptions (NG)'!$V$9,Model!Y$1,'Assumptions (NG)'!$V$12,'Assumptions (NG)'!$V$7*(Model!$C$438*'Assumptions (NG)'!$B$2+Model!$C$439*'Assumptions (NG)'!$B$3)/10^9),0)</f>
        <v>-0.2621352108</v>
      </c>
      <c r="F496" s="177">
        <f>IF(Model!Z$1&lt;='Assumptions (NG)'!$V$12, PPMT('Assumptions (NG)'!$V$9,Model!Z$1,'Assumptions (NG)'!$V$12,'Assumptions (NG)'!$V$7*(Model!$C$438*'Assumptions (NG)'!$B$2+Model!$C$439*'Assumptions (NG)'!$B$3)/10^9),0)</f>
        <v>-0.2817953516</v>
      </c>
      <c r="G496" s="177">
        <f>IF(Model!AA$1&lt;='Assumptions (NG)'!$V$12, PPMT('Assumptions (NG)'!$V$9,Model!AA$1,'Assumptions (NG)'!$V$12,'Assumptions (NG)'!$V$7*(Model!$C$438*'Assumptions (NG)'!$B$2+Model!$C$439*'Assumptions (NG)'!$B$3)/10^9),0)</f>
        <v>-0.302930003</v>
      </c>
      <c r="H496" s="177">
        <f>IF(Model!AB$1&lt;='Assumptions (NG)'!$V$12, PPMT('Assumptions (NG)'!$V$9,Model!AB$1,'Assumptions (NG)'!$V$12,'Assumptions (NG)'!$V$7*(Model!$C$438*'Assumptions (NG)'!$B$2+Model!$C$439*'Assumptions (NG)'!$B$3)/10^9),0)</f>
        <v>-0.3256497532</v>
      </c>
      <c r="I496" s="177">
        <f>IF(Model!AC$1&lt;='Assumptions (NG)'!$V$12, PPMT('Assumptions (NG)'!$V$9,Model!AC$1,'Assumptions (NG)'!$V$12,'Assumptions (NG)'!$V$7*(Model!$C$438*'Assumptions (NG)'!$B$2+Model!$C$439*'Assumptions (NG)'!$B$3)/10^9),0)</f>
        <v>-0.3500734847</v>
      </c>
      <c r="J496" s="177">
        <f>IF(Model!AD$1&lt;='Assumptions (NG)'!$V$12, PPMT('Assumptions (NG)'!$V$9,Model!AD$1,'Assumptions (NG)'!$V$12,'Assumptions (NG)'!$V$7*(Model!$C$438*'Assumptions (NG)'!$B$2+Model!$C$439*'Assumptions (NG)'!$B$3)/10^9),0)</f>
        <v>-0.376328996</v>
      </c>
      <c r="K496" s="177">
        <f>IF(Model!AE$1&lt;='Assumptions (NG)'!$V$12, PPMT('Assumptions (NG)'!$V$9,Model!AE$1,'Assumptions (NG)'!$V$12,'Assumptions (NG)'!$V$7*(Model!$C$438*'Assumptions (NG)'!$B$2+Model!$C$439*'Assumptions (NG)'!$B$3)/10^9),0)</f>
        <v>-0.4045536707</v>
      </c>
      <c r="L496" s="177">
        <f>IF(Model!AF$1&lt;='Assumptions (NG)'!$V$12, PPMT('Assumptions (NG)'!$V$9,Model!AF$1,'Assumptions (NG)'!$V$12,'Assumptions (NG)'!$V$7*(Model!$C$438*'Assumptions (NG)'!$B$2+Model!$C$439*'Assumptions (NG)'!$B$3)/10^9),0)</f>
        <v>-0.434895196</v>
      </c>
      <c r="M496" s="177"/>
      <c r="N496" s="177"/>
      <c r="O496" s="177"/>
      <c r="P496" s="177"/>
      <c r="Q496" s="177"/>
      <c r="R496" s="177"/>
      <c r="S496" s="177"/>
      <c r="T496" s="177"/>
      <c r="U496" s="177"/>
      <c r="V496" s="177"/>
      <c r="W496" s="177"/>
      <c r="X496" s="177"/>
      <c r="Y496" s="177"/>
      <c r="Z496" s="177"/>
      <c r="AA496" s="177"/>
      <c r="AB496" s="160"/>
      <c r="AC496" s="160"/>
      <c r="AD496" s="160"/>
      <c r="AE496" s="160"/>
      <c r="AF496" s="160"/>
      <c r="AG496" s="160"/>
      <c r="AU496" s="160"/>
      <c r="AV496" s="160"/>
      <c r="AW496" s="160"/>
      <c r="AX496" s="160"/>
      <c r="AY496" s="160"/>
      <c r="AZ496" s="160"/>
      <c r="BA496" s="160"/>
    </row>
    <row r="497" ht="15.75" hidden="1" customHeight="1" outlineLevel="1">
      <c r="A497" s="209"/>
      <c r="B497" s="38"/>
      <c r="C497" s="160"/>
      <c r="D497" s="218">
        <f>IF(Model!W$1&lt;='Assumptions (NG)'!$V$12,PPMT('Assumptions (NG)'!$V$9,Model!W$1,'Assumptions (NG)'!$V$12,'Assumptions (NG)'!$V$7*Model!$D$438*AVERAGE('Assumptions (NG)'!$B$2)+ Model!$D$439*AVERAGE('Assumptions (NG)'!$B$3))/10^9,0)</f>
        <v>-0.2559487119</v>
      </c>
      <c r="E497" s="218">
        <f>IF(Model!X$1&lt;='Assumptions (NG)'!$V$12,PPMT('Assumptions (NG)'!$V$9,Model!X$1,'Assumptions (NG)'!$V$12,'Assumptions (NG)'!$V$7*Model!$D$438*AVERAGE('Assumptions (NG)'!$B$2)+ Model!$D$439*AVERAGE('Assumptions (NG)'!$B$3))/10^9,0)</f>
        <v>-0.2751448652</v>
      </c>
      <c r="F497" s="218">
        <f>IF(Model!Y$1&lt;='Assumptions (NG)'!$V$12,PPMT('Assumptions (NG)'!$V$9,Model!Y$1,'Assumptions (NG)'!$V$12,'Assumptions (NG)'!$V$7*Model!$D$438*AVERAGE('Assumptions (NG)'!$B$2)+ Model!$D$439*AVERAGE('Assumptions (NG)'!$B$3))/10^9,0)</f>
        <v>-0.2957807301</v>
      </c>
      <c r="G497" s="218">
        <f>IF(Model!Z$1&lt;='Assumptions (NG)'!$V$12,PPMT('Assumptions (NG)'!$V$9,Model!Z$1,'Assumptions (NG)'!$V$12,'Assumptions (NG)'!$V$7*Model!$D$438*AVERAGE('Assumptions (NG)'!$B$2)+ Model!$D$439*AVERAGE('Assumptions (NG)'!$B$3))/10^9,0)</f>
        <v>-0.3179642849</v>
      </c>
      <c r="H497" s="218">
        <f>IF(Model!AA$1&lt;='Assumptions (NG)'!$V$12,PPMT('Assumptions (NG)'!$V$9,Model!AA$1,'Assumptions (NG)'!$V$12,'Assumptions (NG)'!$V$7*Model!$D$438*AVERAGE('Assumptions (NG)'!$B$2)+ Model!$D$439*AVERAGE('Assumptions (NG)'!$B$3))/10^9,0)</f>
        <v>-0.3418116063</v>
      </c>
      <c r="I497" s="218">
        <f>IF(Model!AB$1&lt;='Assumptions (NG)'!$V$12,PPMT('Assumptions (NG)'!$V$9,Model!AB$1,'Assumptions (NG)'!$V$12,'Assumptions (NG)'!$V$7*Model!$D$438*AVERAGE('Assumptions (NG)'!$B$2)+ Model!$D$439*AVERAGE('Assumptions (NG)'!$B$3))/10^9,0)</f>
        <v>-0.3674474767</v>
      </c>
      <c r="J497" s="218">
        <f>IF(Model!AC$1&lt;='Assumptions (NG)'!$V$12,PPMT('Assumptions (NG)'!$V$9,Model!AC$1,'Assumptions (NG)'!$V$12,'Assumptions (NG)'!$V$7*Model!$D$438*AVERAGE('Assumptions (NG)'!$B$2)+ Model!$D$439*AVERAGE('Assumptions (NG)'!$B$3))/10^9,0)</f>
        <v>-0.3950060375</v>
      </c>
      <c r="K497" s="218">
        <f>IF(Model!AD$1&lt;='Assumptions (NG)'!$V$12,PPMT('Assumptions (NG)'!$V$9,Model!AD$1,'Assumptions (NG)'!$V$12,'Assumptions (NG)'!$V$7*Model!$D$438*AVERAGE('Assumptions (NG)'!$B$2)+ Model!$D$439*AVERAGE('Assumptions (NG)'!$B$3))/10^9,0)</f>
        <v>-0.4246314903</v>
      </c>
      <c r="L497" s="218">
        <f>IF(Model!AE$1&lt;='Assumptions (NG)'!$V$12,PPMT('Assumptions (NG)'!$V$9,Model!AE$1,'Assumptions (NG)'!$V$12,'Assumptions (NG)'!$V$7*Model!$D$438*AVERAGE('Assumptions (NG)'!$B$2)+ Model!$D$439*AVERAGE('Assumptions (NG)'!$B$3))/10^9,0)</f>
        <v>-0.4564788521</v>
      </c>
      <c r="M497" s="218">
        <f>IF(Model!AF$1&lt;='Assumptions (NG)'!$V$12,PPMT('Assumptions (NG)'!$V$9,Model!AF$1,'Assumptions (NG)'!$V$12,'Assumptions (NG)'!$V$7*Model!$D$438*AVERAGE('Assumptions (NG)'!$B$2)+ Model!$D$439*AVERAGE('Assumptions (NG)'!$B$3))/10^9,0)</f>
        <v>-0.490714766</v>
      </c>
      <c r="N497" s="218"/>
      <c r="O497" s="218"/>
      <c r="P497" s="218"/>
      <c r="Q497" s="218"/>
      <c r="R497" s="218"/>
      <c r="S497" s="177"/>
      <c r="T497" s="177"/>
      <c r="U497" s="177"/>
      <c r="V497" s="177"/>
      <c r="W497" s="177"/>
      <c r="X497" s="177"/>
      <c r="Y497" s="177"/>
      <c r="Z497" s="177"/>
      <c r="AA497" s="177"/>
      <c r="AB497" s="177"/>
      <c r="AC497" s="160"/>
      <c r="AD497" s="160"/>
      <c r="AE497" s="160"/>
      <c r="AF497" s="160"/>
      <c r="AG497" s="160"/>
      <c r="AU497" s="160"/>
      <c r="AV497" s="160"/>
      <c r="AW497" s="160"/>
      <c r="AX497" s="160"/>
      <c r="AY497" s="160"/>
      <c r="AZ497" s="160"/>
      <c r="BA497" s="160"/>
    </row>
    <row r="498" ht="15.75" hidden="1" customHeight="1" outlineLevel="1">
      <c r="A498" s="209"/>
      <c r="B498" s="38"/>
      <c r="C498" s="160"/>
      <c r="D498" s="160"/>
      <c r="E498" s="219">
        <f>IF(Model!W$1&lt;='Assumptions (NG)'!$V$12,PPMT('Assumptions (NG)'!$V$9,Model!W$1,'Assumptions (NG)'!$V$12,'Assumptions (NG)'!$V$7*Model!$E$438*AVERAGE('Assumptions (NG)'!$B$2:$C$2)+ Model!$E$439*AVERAGE('Assumptions (NG)'!$B$3:$C$3))/10^9,0)</f>
        <v>-0.3691731982</v>
      </c>
      <c r="F498" s="219">
        <f>IF(Model!X$1&lt;='Assumptions (NG)'!$V$12,PPMT('Assumptions (NG)'!$V$9,Model!X$1,'Assumptions (NG)'!$V$12,'Assumptions (NG)'!$V$7*Model!$E$438*AVERAGE('Assumptions (NG)'!$B$2:$C$2)+ Model!$E$439*AVERAGE('Assumptions (NG)'!$B$3:$C$3))/10^9,0)</f>
        <v>-0.3968611881</v>
      </c>
      <c r="G498" s="219">
        <f>IF(Model!Y$1&lt;='Assumptions (NG)'!$V$12,PPMT('Assumptions (NG)'!$V$9,Model!Y$1,'Assumptions (NG)'!$V$12,'Assumptions (NG)'!$V$7*Model!$E$438*AVERAGE('Assumptions (NG)'!$B$2:$C$2)+ Model!$E$439*AVERAGE('Assumptions (NG)'!$B$3:$C$3))/10^9,0)</f>
        <v>-0.4266257772</v>
      </c>
      <c r="H498" s="219">
        <f>IF(Model!Z$1&lt;='Assumptions (NG)'!$V$12,PPMT('Assumptions (NG)'!$V$9,Model!Z$1,'Assumptions (NG)'!$V$12,'Assumptions (NG)'!$V$7*Model!$E$438*AVERAGE('Assumptions (NG)'!$B$2:$C$2)+ Model!$E$439*AVERAGE('Assumptions (NG)'!$B$3:$C$3))/10^9,0)</f>
        <v>-0.4586227105</v>
      </c>
      <c r="I498" s="219">
        <f>IF(Model!AA$1&lt;='Assumptions (NG)'!$V$12,PPMT('Assumptions (NG)'!$V$9,Model!AA$1,'Assumptions (NG)'!$V$12,'Assumptions (NG)'!$V$7*Model!$E$438*AVERAGE('Assumptions (NG)'!$B$2:$C$2)+ Model!$E$439*AVERAGE('Assumptions (NG)'!$B$3:$C$3))/10^9,0)</f>
        <v>-0.4930194138</v>
      </c>
      <c r="J498" s="219">
        <f>IF(Model!AB$1&lt;='Assumptions (NG)'!$V$12,PPMT('Assumptions (NG)'!$V$9,Model!AB$1,'Assumptions (NG)'!$V$12,'Assumptions (NG)'!$V$7*Model!$E$438*AVERAGE('Assumptions (NG)'!$B$2:$C$2)+ Model!$E$439*AVERAGE('Assumptions (NG)'!$B$3:$C$3))/10^9,0)</f>
        <v>-0.5299958698</v>
      </c>
      <c r="K498" s="219">
        <f>IF(Model!AC$1&lt;='Assumptions (NG)'!$V$12,PPMT('Assumptions (NG)'!$V$9,Model!AC$1,'Assumptions (NG)'!$V$12,'Assumptions (NG)'!$V$7*Model!$E$438*AVERAGE('Assumptions (NG)'!$B$2:$C$2)+ Model!$E$439*AVERAGE('Assumptions (NG)'!$B$3:$C$3))/10^9,0)</f>
        <v>-0.56974556</v>
      </c>
      <c r="L498" s="219">
        <f>IF(Model!AD$1&lt;='Assumptions (NG)'!$V$12,PPMT('Assumptions (NG)'!$V$9,Model!AD$1,'Assumptions (NG)'!$V$12,'Assumptions (NG)'!$V$7*Model!$E$438*AVERAGE('Assumptions (NG)'!$B$2:$C$2)+ Model!$E$439*AVERAGE('Assumptions (NG)'!$B$3:$C$3))/10^9,0)</f>
        <v>-0.612476477</v>
      </c>
      <c r="M498" s="219">
        <f>IF(Model!AE$1&lt;='Assumptions (NG)'!$V$12,PPMT('Assumptions (NG)'!$V$9,Model!AE$1,'Assumptions (NG)'!$V$12,'Assumptions (NG)'!$V$7*Model!$E$438*AVERAGE('Assumptions (NG)'!$B$2:$C$2)+ Model!$E$439*AVERAGE('Assumptions (NG)'!$B$3:$C$3))/10^9,0)</f>
        <v>-0.6584122128</v>
      </c>
      <c r="N498" s="219">
        <f>IF(Model!AF$1&lt;='Assumptions (NG)'!$V$12,PPMT('Assumptions (NG)'!$V$9,Model!AF$1,'Assumptions (NG)'!$V$12,'Assumptions (NG)'!$V$7*Model!$E$438*AVERAGE('Assumptions (NG)'!$B$2:$C$2)+ Model!$E$439*AVERAGE('Assumptions (NG)'!$B$3:$C$3))/10^9,0)</f>
        <v>-0.7077931288</v>
      </c>
      <c r="O498" s="219"/>
      <c r="P498" s="219"/>
      <c r="Q498" s="219"/>
      <c r="R498" s="219"/>
      <c r="S498" s="219"/>
      <c r="T498" s="160"/>
      <c r="U498" s="160"/>
      <c r="V498" s="160"/>
      <c r="W498" s="160"/>
      <c r="X498" s="160"/>
      <c r="Y498" s="160"/>
      <c r="Z498" s="160"/>
      <c r="AA498" s="160"/>
      <c r="AB498" s="160"/>
      <c r="AC498" s="160"/>
      <c r="AD498" s="160"/>
      <c r="AE498" s="160"/>
      <c r="AF498" s="160"/>
      <c r="AG498" s="160"/>
      <c r="AU498" s="160"/>
      <c r="AV498" s="160"/>
      <c r="AW498" s="160"/>
      <c r="AX498" s="160"/>
      <c r="AY498" s="160"/>
      <c r="AZ498" s="160"/>
      <c r="BA498" s="160"/>
    </row>
    <row r="499" ht="15.75" hidden="1" customHeight="1" outlineLevel="1">
      <c r="A499" s="209"/>
      <c r="B499" s="38"/>
      <c r="C499" s="160"/>
      <c r="D499" s="160"/>
      <c r="E499" s="160"/>
      <c r="F499" s="219">
        <f>IF(Model!W$1&lt;='Assumptions (NG)'!$V$12,PPMT('Assumptions (NG)'!$V$9,Model!W$1,'Assumptions (NG)'!$V$12,'Assumptions (NG)'!$V$7*Model!$F$438*AVERAGE('Assumptions (NG)'!$B$2:$D$2)+ Model!$F$439*AVERAGE('Assumptions (NG)'!$B$3:$D$3))/10^9,0)</f>
        <v>-0.3830699947</v>
      </c>
      <c r="G499" s="219">
        <f>IF(Model!X$1&lt;='Assumptions (NG)'!$V$12,PPMT('Assumptions (NG)'!$V$9,Model!X$1,'Assumptions (NG)'!$V$12,'Assumptions (NG)'!$V$7*Model!$F$438*AVERAGE('Assumptions (NG)'!$B$2:$D$2)+ Model!$F$439*AVERAGE('Assumptions (NG)'!$B$3:$D$3))/10^9,0)</f>
        <v>-0.4118002443</v>
      </c>
      <c r="H499" s="219">
        <f>IF(Model!Y$1&lt;='Assumptions (NG)'!$V$12,PPMT('Assumptions (NG)'!$V$9,Model!Y$1,'Assumptions (NG)'!$V$12,'Assumptions (NG)'!$V$7*Model!$F$438*AVERAGE('Assumptions (NG)'!$B$2:$D$2)+ Model!$F$439*AVERAGE('Assumptions (NG)'!$B$3:$D$3))/10^9,0)</f>
        <v>-0.4426852626</v>
      </c>
      <c r="I499" s="219">
        <f>IF(Model!Z$1&lt;='Assumptions (NG)'!$V$12,PPMT('Assumptions (NG)'!$V$9,Model!Z$1,'Assumptions (NG)'!$V$12,'Assumptions (NG)'!$V$7*Model!$F$438*AVERAGE('Assumptions (NG)'!$B$2:$D$2)+ Model!$F$439*AVERAGE('Assumptions (NG)'!$B$3:$D$3))/10^9,0)</f>
        <v>-0.4758866573</v>
      </c>
      <c r="J499" s="219">
        <f>IF(Model!AA$1&lt;='Assumptions (NG)'!$V$12,PPMT('Assumptions (NG)'!$V$9,Model!AA$1,'Assumptions (NG)'!$V$12,'Assumptions (NG)'!$V$7*Model!$F$438*AVERAGE('Assumptions (NG)'!$B$2:$D$2)+ Model!$F$439*AVERAGE('Assumptions (NG)'!$B$3:$D$3))/10^9,0)</f>
        <v>-0.5115781566</v>
      </c>
      <c r="K499" s="219">
        <f>IF(Model!AB$1&lt;='Assumptions (NG)'!$V$12,PPMT('Assumptions (NG)'!$V$9,Model!AB$1,'Assumptions (NG)'!$V$12,'Assumptions (NG)'!$V$7*Model!$F$438*AVERAGE('Assumptions (NG)'!$B$2:$D$2)+ Model!$F$439*AVERAGE('Assumptions (NG)'!$B$3:$D$3))/10^9,0)</f>
        <v>-0.5499465183</v>
      </c>
      <c r="L499" s="219">
        <f>IF(Model!AC$1&lt;='Assumptions (NG)'!$V$12,PPMT('Assumptions (NG)'!$V$9,Model!AC$1,'Assumptions (NG)'!$V$12,'Assumptions (NG)'!$V$7*Model!$F$438*AVERAGE('Assumptions (NG)'!$B$2:$D$2)+ Model!$F$439*AVERAGE('Assumptions (NG)'!$B$3:$D$3))/10^9,0)</f>
        <v>-0.5911925072</v>
      </c>
      <c r="M499" s="219">
        <f>IF(Model!AD$1&lt;='Assumptions (NG)'!$V$12,PPMT('Assumptions (NG)'!$V$9,Model!AD$1,'Assumptions (NG)'!$V$12,'Assumptions (NG)'!$V$7*Model!$F$438*AVERAGE('Assumptions (NG)'!$B$2:$D$2)+ Model!$F$439*AVERAGE('Assumptions (NG)'!$B$3:$D$3))/10^9,0)</f>
        <v>-0.6355319453</v>
      </c>
      <c r="N499" s="219">
        <f>IF(Model!AE$1&lt;='Assumptions (NG)'!$V$12,PPMT('Assumptions (NG)'!$V$9,Model!AE$1,'Assumptions (NG)'!$V$12,'Assumptions (NG)'!$V$7*Model!$F$438*AVERAGE('Assumptions (NG)'!$B$2:$D$2)+ Model!$F$439*AVERAGE('Assumptions (NG)'!$B$3:$D$3))/10^9,0)</f>
        <v>-0.6831968412</v>
      </c>
      <c r="O499" s="219">
        <f>IF(Model!AF$1&lt;='Assumptions (NG)'!$V$12,PPMT('Assumptions (NG)'!$V$9,Model!AF$1,'Assumptions (NG)'!$V$12,'Assumptions (NG)'!$V$7*Model!$F$438*AVERAGE('Assumptions (NG)'!$B$2:$D$2)+ Model!$F$439*AVERAGE('Assumptions (NG)'!$B$3:$D$3))/10^9,0)</f>
        <v>-0.7344366042</v>
      </c>
      <c r="P499" s="219"/>
      <c r="Q499" s="219"/>
      <c r="R499" s="219"/>
      <c r="S499" s="219"/>
      <c r="T499" s="219"/>
      <c r="U499" s="160"/>
      <c r="V499" s="160"/>
      <c r="W499" s="160"/>
      <c r="X499" s="160"/>
      <c r="Y499" s="160"/>
      <c r="Z499" s="160"/>
      <c r="AA499" s="160"/>
      <c r="AB499" s="160"/>
      <c r="AC499" s="160"/>
      <c r="AD499" s="160"/>
      <c r="AE499" s="160"/>
      <c r="AF499" s="160"/>
      <c r="AG499" s="160"/>
      <c r="AU499" s="160"/>
      <c r="AV499" s="160"/>
      <c r="AW499" s="160"/>
      <c r="AX499" s="160"/>
      <c r="AY499" s="160"/>
      <c r="AZ499" s="160"/>
      <c r="BA499" s="160"/>
    </row>
    <row r="500" ht="15.75" hidden="1" customHeight="1" outlineLevel="1">
      <c r="A500" s="209"/>
      <c r="B500" s="38"/>
      <c r="C500" s="160"/>
      <c r="D500" s="160"/>
      <c r="E500" s="160"/>
      <c r="F500" s="160"/>
      <c r="G500" s="160">
        <f>IF(Model!W$1&lt;='Assumptions (NG)'!$V$12,PPMT('Assumptions (NG)'!$V$9,Model!W$1,'Assumptions (NG)'!$V$12,'Assumptions (NG)'!$V$7*Model!$G$438*AVERAGE('Assumptions (NG)'!$C$2:$E$2)+ Model!$G$439*AVERAGE('Assumptions (NG)'!$C$3:$E$3))/10^9,0)</f>
        <v>-0.1028273944</v>
      </c>
      <c r="H500" s="160">
        <f>IF(Model!X$1&lt;='Assumptions (NG)'!$V$12,PPMT('Assumptions (NG)'!$V$9,Model!X$1,'Assumptions (NG)'!$V$12,'Assumptions (NG)'!$V$7*Model!$G$438*AVERAGE('Assumptions (NG)'!$C$2:$E$2)+ Model!$G$439*AVERAGE('Assumptions (NG)'!$C$3:$E$3))/10^9,0)</f>
        <v>-0.110539449</v>
      </c>
      <c r="I500" s="160">
        <f>IF(Model!Y$1&lt;='Assumptions (NG)'!$V$12,PPMT('Assumptions (NG)'!$V$9,Model!Y$1,'Assumptions (NG)'!$V$12,'Assumptions (NG)'!$V$7*Model!$G$438*AVERAGE('Assumptions (NG)'!$C$2:$E$2)+ Model!$G$439*AVERAGE('Assumptions (NG)'!$C$3:$E$3))/10^9,0)</f>
        <v>-0.1188299076</v>
      </c>
      <c r="J500" s="160">
        <f>IF(Model!Z$1&lt;='Assumptions (NG)'!$V$12,PPMT('Assumptions (NG)'!$V$9,Model!Z$1,'Assumptions (NG)'!$V$12,'Assumptions (NG)'!$V$7*Model!$G$438*AVERAGE('Assumptions (NG)'!$C$2:$E$2)+ Model!$G$439*AVERAGE('Assumptions (NG)'!$C$3:$E$3))/10^9,0)</f>
        <v>-0.1277421507</v>
      </c>
      <c r="K500" s="160">
        <f>IF(Model!AA$1&lt;='Assumptions (NG)'!$V$12,PPMT('Assumptions (NG)'!$V$9,Model!AA$1,'Assumptions (NG)'!$V$12,'Assumptions (NG)'!$V$7*Model!$G$438*AVERAGE('Assumptions (NG)'!$C$2:$E$2)+ Model!$G$439*AVERAGE('Assumptions (NG)'!$C$3:$E$3))/10^9,0)</f>
        <v>-0.137322812</v>
      </c>
      <c r="L500" s="160">
        <f>IF(Model!AB$1&lt;='Assumptions (NG)'!$V$12,PPMT('Assumptions (NG)'!$V$9,Model!AB$1,'Assumptions (NG)'!$V$12,'Assumptions (NG)'!$V$7*Model!$G$438*AVERAGE('Assumptions (NG)'!$C$2:$E$2)+ Model!$G$439*AVERAGE('Assumptions (NG)'!$C$3:$E$3))/10^9,0)</f>
        <v>-0.1476220229</v>
      </c>
      <c r="M500" s="160">
        <f>IF(Model!AC$1&lt;='Assumptions (NG)'!$V$12,PPMT('Assumptions (NG)'!$V$9,Model!AC$1,'Assumptions (NG)'!$V$12,'Assumptions (NG)'!$V$7*Model!$G$438*AVERAGE('Assumptions (NG)'!$C$2:$E$2)+ Model!$G$439*AVERAGE('Assumptions (NG)'!$C$3:$E$3))/10^9,0)</f>
        <v>-0.1586936746</v>
      </c>
      <c r="N500" s="160">
        <f>IF(Model!AD$1&lt;='Assumptions (NG)'!$V$12,PPMT('Assumptions (NG)'!$V$9,Model!AD$1,'Assumptions (NG)'!$V$12,'Assumptions (NG)'!$V$7*Model!$G$438*AVERAGE('Assumptions (NG)'!$C$2:$E$2)+ Model!$G$439*AVERAGE('Assumptions (NG)'!$C$3:$E$3))/10^9,0)</f>
        <v>-0.1705957002</v>
      </c>
      <c r="O500" s="160">
        <f>IF(Model!AE$1&lt;='Assumptions (NG)'!$V$12,PPMT('Assumptions (NG)'!$V$9,Model!AE$1,'Assumptions (NG)'!$V$12,'Assumptions (NG)'!$V$7*Model!$G$438*AVERAGE('Assumptions (NG)'!$C$2:$E$2)+ Model!$G$439*AVERAGE('Assumptions (NG)'!$C$3:$E$3))/10^9,0)</f>
        <v>-0.1833903777</v>
      </c>
      <c r="P500" s="160">
        <f>IF(Model!AF$1&lt;='Assumptions (NG)'!$V$12,PPMT('Assumptions (NG)'!$V$9,Model!AF$1,'Assumptions (NG)'!$V$12,'Assumptions (NG)'!$V$7*Model!$G$438*AVERAGE('Assumptions (NG)'!$C$2:$E$2)+ Model!$G$439*AVERAGE('Assumptions (NG)'!$C$3:$E$3))/10^9,0)</f>
        <v>-0.1971446561</v>
      </c>
      <c r="Q500" s="160"/>
      <c r="R500" s="160"/>
      <c r="S500" s="160"/>
      <c r="T500" s="160"/>
      <c r="U500" s="160"/>
      <c r="V500" s="160"/>
      <c r="W500" s="160"/>
      <c r="X500" s="160"/>
      <c r="Y500" s="160"/>
      <c r="Z500" s="160"/>
      <c r="AA500" s="160"/>
      <c r="AB500" s="160"/>
      <c r="AC500" s="160"/>
      <c r="AD500" s="160"/>
      <c r="AE500" s="160"/>
      <c r="AF500" s="160"/>
      <c r="AG500" s="160"/>
      <c r="AU500" s="160"/>
      <c r="AV500" s="160"/>
      <c r="AW500" s="160"/>
      <c r="AX500" s="160"/>
      <c r="AY500" s="160"/>
      <c r="AZ500" s="160"/>
      <c r="BA500" s="160"/>
    </row>
    <row r="501" ht="15.75" hidden="1" customHeight="1" outlineLevel="1">
      <c r="A501" s="209"/>
      <c r="B501" s="38"/>
      <c r="C501" s="160"/>
      <c r="D501" s="160"/>
      <c r="E501" s="160"/>
      <c r="F501" s="160"/>
      <c r="G501" s="160"/>
      <c r="H501" s="160">
        <f>IF(Model!W$1&lt;='Assumptions (NG)'!$V$12,PPMT('Assumptions (NG)'!$V$9,Model!W$1,'Assumptions (NG)'!$V$12,'Assumptions (NG)'!$V$7*Model!$H$438*AVERAGE('Assumptions (NG)'!$D$2:$F$2)+ Model!$H$439*AVERAGE('Assumptions (NG)'!$D$3:$F$3))/10^9,0)</f>
        <v>-0.05195713996</v>
      </c>
      <c r="I501" s="160">
        <f>IF(Model!X$1&lt;='Assumptions (NG)'!$V$12,PPMT('Assumptions (NG)'!$V$9,Model!X$1,'Assumptions (NG)'!$V$12,'Assumptions (NG)'!$V$7*Model!$H$438*AVERAGE('Assumptions (NG)'!$D$2:$F$2)+ Model!$H$439*AVERAGE('Assumptions (NG)'!$D$3:$F$3))/10^9,0)</f>
        <v>-0.05585392545</v>
      </c>
      <c r="J501" s="160">
        <f>IF(Model!Y$1&lt;='Assumptions (NG)'!$V$12,PPMT('Assumptions (NG)'!$V$9,Model!Y$1,'Assumptions (NG)'!$V$12,'Assumptions (NG)'!$V$7*Model!$H$438*AVERAGE('Assumptions (NG)'!$D$2:$F$2)+ Model!$H$439*AVERAGE('Assumptions (NG)'!$D$3:$F$3))/10^9,0)</f>
        <v>-0.06004296986</v>
      </c>
      <c r="K501" s="160">
        <f>IF(Model!Z$1&lt;='Assumptions (NG)'!$V$12,PPMT('Assumptions (NG)'!$V$9,Model!Z$1,'Assumptions (NG)'!$V$12,'Assumptions (NG)'!$V$7*Model!$H$438*AVERAGE('Assumptions (NG)'!$D$2:$F$2)+ Model!$H$439*AVERAGE('Assumptions (NG)'!$D$3:$F$3))/10^9,0)</f>
        <v>-0.0645461926</v>
      </c>
      <c r="L501" s="160">
        <f>IF(Model!AA$1&lt;='Assumptions (NG)'!$V$12,PPMT('Assumptions (NG)'!$V$9,Model!AA$1,'Assumptions (NG)'!$V$12,'Assumptions (NG)'!$V$7*Model!$H$438*AVERAGE('Assumptions (NG)'!$D$2:$F$2)+ Model!$H$439*AVERAGE('Assumptions (NG)'!$D$3:$F$3))/10^9,0)</f>
        <v>-0.06938715705</v>
      </c>
      <c r="M501" s="160">
        <f>IF(Model!AB$1&lt;='Assumptions (NG)'!$V$12,PPMT('Assumptions (NG)'!$V$9,Model!AB$1,'Assumptions (NG)'!$V$12,'Assumptions (NG)'!$V$7*Model!$H$438*AVERAGE('Assumptions (NG)'!$D$2:$F$2)+ Model!$H$439*AVERAGE('Assumptions (NG)'!$D$3:$F$3))/10^9,0)</f>
        <v>-0.07459119383</v>
      </c>
      <c r="N501" s="160">
        <f>IF(Model!AC$1&lt;='Assumptions (NG)'!$V$12,PPMT('Assumptions (NG)'!$V$9,Model!AC$1,'Assumptions (NG)'!$V$12,'Assumptions (NG)'!$V$7*Model!$H$438*AVERAGE('Assumptions (NG)'!$D$2:$F$2)+ Model!$H$439*AVERAGE('Assumptions (NG)'!$D$3:$F$3))/10^9,0)</f>
        <v>-0.08018553336</v>
      </c>
      <c r="O501" s="160">
        <f>IF(Model!AD$1&lt;='Assumptions (NG)'!$V$12,PPMT('Assumptions (NG)'!$V$9,Model!AD$1,'Assumptions (NG)'!$V$12,'Assumptions (NG)'!$V$7*Model!$H$438*AVERAGE('Assumptions (NG)'!$D$2:$F$2)+ Model!$H$439*AVERAGE('Assumptions (NG)'!$D$3:$F$3))/10^9,0)</f>
        <v>-0.08619944836</v>
      </c>
      <c r="P501" s="160">
        <f>IF(Model!AE$1&lt;='Assumptions (NG)'!$V$12,PPMT('Assumptions (NG)'!$V$9,Model!AE$1,'Assumptions (NG)'!$V$12,'Assumptions (NG)'!$V$7*Model!$H$438*AVERAGE('Assumptions (NG)'!$D$2:$F$2)+ Model!$H$439*AVERAGE('Assumptions (NG)'!$D$3:$F$3))/10^9,0)</f>
        <v>-0.09266440699</v>
      </c>
      <c r="Q501" s="160">
        <f>IF(Model!AF$1&lt;='Assumptions (NG)'!$V$12,PPMT('Assumptions (NG)'!$V$9,Model!AF$1,'Assumptions (NG)'!$V$12,'Assumptions (NG)'!$V$7*Model!$H$438*AVERAGE('Assumptions (NG)'!$D$2:$F$2)+ Model!$H$439*AVERAGE('Assumptions (NG)'!$D$3:$F$3))/10^9,0)</f>
        <v>-0.09961423752</v>
      </c>
      <c r="R501" s="160"/>
      <c r="S501" s="160"/>
      <c r="T501" s="160"/>
      <c r="U501" s="160"/>
      <c r="V501" s="160"/>
      <c r="W501" s="160"/>
      <c r="X501" s="160"/>
      <c r="Y501" s="160"/>
      <c r="Z501" s="160"/>
      <c r="AA501" s="160"/>
      <c r="AB501" s="160"/>
      <c r="AC501" s="160"/>
      <c r="AD501" s="160"/>
      <c r="AE501" s="160"/>
      <c r="AF501" s="160"/>
      <c r="AG501" s="160"/>
      <c r="AU501" s="160"/>
      <c r="AV501" s="160"/>
      <c r="AW501" s="160"/>
      <c r="AX501" s="160"/>
      <c r="AY501" s="160"/>
      <c r="AZ501" s="160"/>
      <c r="BA501" s="160"/>
    </row>
    <row r="502" ht="15.75" hidden="1" customHeight="1" outlineLevel="1">
      <c r="A502" s="209"/>
      <c r="B502" s="38"/>
      <c r="C502" s="160"/>
      <c r="D502" s="160"/>
      <c r="E502" s="160"/>
      <c r="F502" s="160"/>
      <c r="G502" s="160"/>
      <c r="H502" s="160"/>
      <c r="I502" s="160">
        <f>IF(Model!W$1&lt;='Assumptions (NG)'!$V$12,PPMT('Assumptions (NG)'!$V$9,Model!W$1,'Assumptions (NG)'!$V$12,'Assumptions (NG)'!$V$7*Model!$I$438*AVERAGE('Assumptions (NG)'!$E$2:$G$2)+ Model!$I$439*AVERAGE('Assumptions (NG)'!$E$3:$G$3))/10^9,0)</f>
        <v>-0.03332077175</v>
      </c>
      <c r="J502" s="160">
        <f>IF(Model!X$1&lt;='Assumptions (NG)'!$V$12,PPMT('Assumptions (NG)'!$V$9,Model!X$1,'Assumptions (NG)'!$V$12,'Assumptions (NG)'!$V$7*Model!$I$438*AVERAGE('Assumptions (NG)'!$E$2:$G$2)+ Model!$I$439*AVERAGE('Assumptions (NG)'!$E$3:$G$3))/10^9,0)</f>
        <v>-0.03581982963</v>
      </c>
      <c r="K502" s="160">
        <f>IF(Model!Y$1&lt;='Assumptions (NG)'!$V$12,PPMT('Assumptions (NG)'!$V$9,Model!Y$1,'Assumptions (NG)'!$V$12,'Assumptions (NG)'!$V$7*Model!$I$438*AVERAGE('Assumptions (NG)'!$E$2:$G$2)+ Model!$I$439*AVERAGE('Assumptions (NG)'!$E$3:$G$3))/10^9,0)</f>
        <v>-0.03850631685</v>
      </c>
      <c r="L502" s="160">
        <f>IF(Model!Z$1&lt;='Assumptions (NG)'!$V$12,PPMT('Assumptions (NG)'!$V$9,Model!Z$1,'Assumptions (NG)'!$V$12,'Assumptions (NG)'!$V$7*Model!$I$438*AVERAGE('Assumptions (NG)'!$E$2:$G$2)+ Model!$I$439*AVERAGE('Assumptions (NG)'!$E$3:$G$3))/10^9,0)</f>
        <v>-0.04139429062</v>
      </c>
      <c r="M502" s="160">
        <f>IF(Model!AA$1&lt;='Assumptions (NG)'!$V$12,PPMT('Assumptions (NG)'!$V$9,Model!AA$1,'Assumptions (NG)'!$V$12,'Assumptions (NG)'!$V$7*Model!$I$438*AVERAGE('Assumptions (NG)'!$E$2:$G$2)+ Model!$I$439*AVERAGE('Assumptions (NG)'!$E$3:$G$3))/10^9,0)</f>
        <v>-0.04449886241</v>
      </c>
      <c r="N502" s="160">
        <f>IF(Model!AB$1&lt;='Assumptions (NG)'!$V$12,PPMT('Assumptions (NG)'!$V$9,Model!AB$1,'Assumptions (NG)'!$V$12,'Assumptions (NG)'!$V$7*Model!$I$438*AVERAGE('Assumptions (NG)'!$E$2:$G$2)+ Model!$I$439*AVERAGE('Assumptions (NG)'!$E$3:$G$3))/10^9,0)</f>
        <v>-0.0478362771</v>
      </c>
      <c r="O502" s="160">
        <f>IF(Model!AC$1&lt;='Assumptions (NG)'!$V$12,PPMT('Assumptions (NG)'!$V$9,Model!AC$1,'Assumptions (NG)'!$V$12,'Assumptions (NG)'!$V$7*Model!$I$438*AVERAGE('Assumptions (NG)'!$E$2:$G$2)+ Model!$I$439*AVERAGE('Assumptions (NG)'!$E$3:$G$3))/10^9,0)</f>
        <v>-0.05142399788</v>
      </c>
      <c r="P502" s="160">
        <f>IF(Model!AD$1&lt;='Assumptions (NG)'!$V$12,PPMT('Assumptions (NG)'!$V$9,Model!AD$1,'Assumptions (NG)'!$V$12,'Assumptions (NG)'!$V$7*Model!$I$438*AVERAGE('Assumptions (NG)'!$E$2:$G$2)+ Model!$I$439*AVERAGE('Assumptions (NG)'!$E$3:$G$3))/10^9,0)</f>
        <v>-0.05528079772</v>
      </c>
      <c r="Q502" s="160">
        <f>IF(Model!AE$1&lt;='Assumptions (NG)'!$V$12,PPMT('Assumptions (NG)'!$V$9,Model!AE$1,'Assumptions (NG)'!$V$12,'Assumptions (NG)'!$V$7*Model!$I$438*AVERAGE('Assumptions (NG)'!$E$2:$G$2)+ Model!$I$439*AVERAGE('Assumptions (NG)'!$E$3:$G$3))/10^9,0)</f>
        <v>-0.05942685755</v>
      </c>
      <c r="R502" s="160">
        <f>IF(Model!AF$1&lt;='Assumptions (NG)'!$V$12,PPMT('Assumptions (NG)'!$V$9,Model!AF$1,'Assumptions (NG)'!$V$12,'Assumptions (NG)'!$V$7*Model!$I$438*AVERAGE('Assumptions (NG)'!$E$2:$G$2)+ Model!$I$439*AVERAGE('Assumptions (NG)'!$E$3:$G$3))/10^9,0)</f>
        <v>-0.06388387186</v>
      </c>
      <c r="S502" s="160"/>
      <c r="T502" s="160"/>
      <c r="U502" s="160"/>
      <c r="V502" s="160"/>
      <c r="W502" s="160"/>
      <c r="X502" s="160"/>
      <c r="Y502" s="160"/>
      <c r="Z502" s="160"/>
      <c r="AA502" s="160"/>
      <c r="AB502" s="160"/>
      <c r="AC502" s="160"/>
      <c r="AD502" s="160"/>
      <c r="AE502" s="160"/>
      <c r="AF502" s="160"/>
      <c r="AG502" s="160"/>
      <c r="AU502" s="160"/>
      <c r="AV502" s="160"/>
      <c r="AW502" s="160"/>
      <c r="AX502" s="160"/>
      <c r="AY502" s="160"/>
      <c r="AZ502" s="160"/>
      <c r="BA502" s="160"/>
    </row>
    <row r="503" ht="15.75" hidden="1" customHeight="1" outlineLevel="1">
      <c r="A503" s="209"/>
      <c r="B503" s="38"/>
      <c r="C503" s="160"/>
      <c r="D503" s="160"/>
      <c r="E503" s="160"/>
      <c r="F503" s="160"/>
      <c r="G503" s="160"/>
      <c r="H503" s="160"/>
      <c r="I503" s="160"/>
      <c r="J503" s="160">
        <f>IF(Model!W$1&lt;='Assumptions (NG)'!$V$12,PPMT('Assumptions (NG)'!$V$9,Model!W$1,'Assumptions (NG)'!$V$12,'Assumptions (NG)'!$V$7*Model!$J$438*AVERAGE('Assumptions (NG)'!$F$2:$H$2)+ Model!$J$439*AVERAGE('Assumptions (NG)'!$F$3:$H$3))/10^9,0)</f>
        <v>-0.02539243807</v>
      </c>
      <c r="K503" s="160">
        <f>IF(Model!X$1&lt;='Assumptions (NG)'!$V$12,PPMT('Assumptions (NG)'!$V$9,Model!X$1,'Assumptions (NG)'!$V$12,'Assumptions (NG)'!$V$7*Model!$J$438*AVERAGE('Assumptions (NG)'!$F$2:$H$2)+ Model!$J$439*AVERAGE('Assumptions (NG)'!$F$3:$H$3))/10^9,0)</f>
        <v>-0.02729687093</v>
      </c>
      <c r="L503" s="160">
        <f>IF(Model!Y$1&lt;='Assumptions (NG)'!$V$12,PPMT('Assumptions (NG)'!$V$9,Model!Y$1,'Assumptions (NG)'!$V$12,'Assumptions (NG)'!$V$7*Model!$J$438*AVERAGE('Assumptions (NG)'!$F$2:$H$2)+ Model!$J$439*AVERAGE('Assumptions (NG)'!$F$3:$H$3))/10^9,0)</f>
        <v>-0.02934413625</v>
      </c>
      <c r="M503" s="160">
        <f>IF(Model!Z$1&lt;='Assumptions (NG)'!$V$12,PPMT('Assumptions (NG)'!$V$9,Model!Z$1,'Assumptions (NG)'!$V$12,'Assumptions (NG)'!$V$7*Model!$J$438*AVERAGE('Assumptions (NG)'!$F$2:$H$2)+ Model!$J$439*AVERAGE('Assumptions (NG)'!$F$3:$H$3))/10^9,0)</f>
        <v>-0.03154494647</v>
      </c>
      <c r="N503" s="160">
        <f>IF(Model!AA$1&lt;='Assumptions (NG)'!$V$12,PPMT('Assumptions (NG)'!$V$9,Model!AA$1,'Assumptions (NG)'!$V$12,'Assumptions (NG)'!$V$7*Model!$J$438*AVERAGE('Assumptions (NG)'!$F$2:$H$2)+ Model!$J$439*AVERAGE('Assumptions (NG)'!$F$3:$H$3))/10^9,0)</f>
        <v>-0.03391081745</v>
      </c>
      <c r="O503" s="160">
        <f>IF(Model!AB$1&lt;='Assumptions (NG)'!$V$12,PPMT('Assumptions (NG)'!$V$9,Model!AB$1,'Assumptions (NG)'!$V$12,'Assumptions (NG)'!$V$7*Model!$J$438*AVERAGE('Assumptions (NG)'!$F$2:$H$2)+ Model!$J$439*AVERAGE('Assumptions (NG)'!$F$3:$H$3))/10^9,0)</f>
        <v>-0.03645412876</v>
      </c>
      <c r="P503" s="160">
        <f>IF(Model!AC$1&lt;='Assumptions (NG)'!$V$12,PPMT('Assumptions (NG)'!$V$9,Model!AC$1,'Assumptions (NG)'!$V$12,'Assumptions (NG)'!$V$7*Model!$J$438*AVERAGE('Assumptions (NG)'!$F$2:$H$2)+ Model!$J$439*AVERAGE('Assumptions (NG)'!$F$3:$H$3))/10^9,0)</f>
        <v>-0.03918818842</v>
      </c>
      <c r="Q503" s="160">
        <f>IF(Model!AD$1&lt;='Assumptions (NG)'!$V$12,PPMT('Assumptions (NG)'!$V$9,Model!AD$1,'Assumptions (NG)'!$V$12,'Assumptions (NG)'!$V$7*Model!$J$438*AVERAGE('Assumptions (NG)'!$F$2:$H$2)+ Model!$J$439*AVERAGE('Assumptions (NG)'!$F$3:$H$3))/10^9,0)</f>
        <v>-0.04212730255</v>
      </c>
      <c r="R503" s="160">
        <f>IF(Model!AE$1&lt;='Assumptions (NG)'!$V$12,PPMT('Assumptions (NG)'!$V$9,Model!AE$1,'Assumptions (NG)'!$V$12,'Assumptions (NG)'!$V$7*Model!$J$438*AVERAGE('Assumptions (NG)'!$F$2:$H$2)+ Model!$J$439*AVERAGE('Assumptions (NG)'!$F$3:$H$3))/10^9,0)</f>
        <v>-0.04528685024</v>
      </c>
      <c r="S503" s="160">
        <f>IF(Model!AF$1&lt;='Assumptions (NG)'!$V$12,PPMT('Assumptions (NG)'!$V$9,Model!AF$1,'Assumptions (NG)'!$V$12,'Assumptions (NG)'!$V$7*Model!$J$438*AVERAGE('Assumptions (NG)'!$F$2:$H$2)+ Model!$J$439*AVERAGE('Assumptions (NG)'!$F$3:$H$3))/10^9,0)</f>
        <v>-0.04868336401</v>
      </c>
      <c r="T503" s="160"/>
      <c r="U503" s="160"/>
      <c r="V503" s="160"/>
      <c r="W503" s="160"/>
      <c r="X503" s="160"/>
      <c r="Y503" s="160"/>
      <c r="Z503" s="160"/>
      <c r="AA503" s="160"/>
      <c r="AB503" s="160"/>
      <c r="AC503" s="160"/>
      <c r="AD503" s="160"/>
      <c r="AE503" s="160"/>
      <c r="AF503" s="160"/>
      <c r="AG503" s="160"/>
      <c r="AH503" s="160"/>
      <c r="AU503" s="160"/>
      <c r="AV503" s="160"/>
      <c r="AW503" s="160"/>
      <c r="AX503" s="160"/>
      <c r="AY503" s="160"/>
      <c r="AZ503" s="160"/>
      <c r="BA503" s="160"/>
    </row>
    <row r="504" ht="15.75" hidden="1" customHeight="1" outlineLevel="1">
      <c r="A504" s="209"/>
      <c r="B504" s="38"/>
      <c r="C504" s="160"/>
      <c r="D504" s="160"/>
      <c r="E504" s="160"/>
      <c r="F504" s="160"/>
      <c r="G504" s="160"/>
      <c r="H504" s="160"/>
      <c r="I504" s="160"/>
      <c r="J504" s="160"/>
      <c r="K504" s="219">
        <f>IF(Model!W$1&lt;='Assumptions (NG)'!$V$12,PPMT('Assumptions (NG)'!$V$9,Model!W$1,'Assumptions (NG)'!$V$12,'Assumptions (NG)'!$V$7*Model!$K$438*AVERAGE('Assumptions (NG)'!$G$2:$I$2)+ Model!$K$439*AVERAGE('Assumptions (NG)'!$G$3:$I$3))/10^9,0)</f>
        <v>-0.02591899908</v>
      </c>
      <c r="L504" s="219">
        <f>IF(Model!X$1&lt;='Assumptions (NG)'!$V$12,PPMT('Assumptions (NG)'!$V$9,Model!X$1,'Assumptions (NG)'!$V$12,'Assumptions (NG)'!$V$7*Model!$K$438*AVERAGE('Assumptions (NG)'!$G$2:$I$2)+ Model!$K$439*AVERAGE('Assumptions (NG)'!$G$3:$I$3))/10^9,0)</f>
        <v>-0.02786292401</v>
      </c>
      <c r="M504" s="219">
        <f>IF(Model!Y$1&lt;='Assumptions (NG)'!$V$12,PPMT('Assumptions (NG)'!$V$9,Model!Y$1,'Assumptions (NG)'!$V$12,'Assumptions (NG)'!$V$7*Model!$K$438*AVERAGE('Assumptions (NG)'!$G$2:$I$2)+ Model!$K$439*AVERAGE('Assumptions (NG)'!$G$3:$I$3))/10^9,0)</f>
        <v>-0.02995264332</v>
      </c>
      <c r="N504" s="219">
        <f>IF(Model!Z$1&lt;='Assumptions (NG)'!$V$12,PPMT('Assumptions (NG)'!$V$9,Model!Z$1,'Assumptions (NG)'!$V$12,'Assumptions (NG)'!$V$7*Model!$K$438*AVERAGE('Assumptions (NG)'!$G$2:$I$2)+ Model!$K$439*AVERAGE('Assumptions (NG)'!$G$3:$I$3))/10^9,0)</f>
        <v>-0.03219909156</v>
      </c>
      <c r="O504" s="219">
        <f>IF(Model!AA$1&lt;='Assumptions (NG)'!$V$12,PPMT('Assumptions (NG)'!$V$9,Model!AA$1,'Assumptions (NG)'!$V$12,'Assumptions (NG)'!$V$7*Model!$K$438*AVERAGE('Assumptions (NG)'!$G$2:$I$2)+ Model!$K$439*AVERAGE('Assumptions (NG)'!$G$3:$I$3))/10^9,0)</f>
        <v>-0.03461402343</v>
      </c>
      <c r="P504" s="219">
        <f>IF(Model!AB$1&lt;='Assumptions (NG)'!$V$12,PPMT('Assumptions (NG)'!$V$9,Model!AB$1,'Assumptions (NG)'!$V$12,'Assumptions (NG)'!$V$7*Model!$K$438*AVERAGE('Assumptions (NG)'!$G$2:$I$2)+ Model!$K$439*AVERAGE('Assumptions (NG)'!$G$3:$I$3))/10^9,0)</f>
        <v>-0.03721007519</v>
      </c>
      <c r="Q504" s="219">
        <f>IF(Model!AC$1&lt;='Assumptions (NG)'!$V$12,PPMT('Assumptions (NG)'!$V$9,Model!AC$1,'Assumptions (NG)'!$V$12,'Assumptions (NG)'!$V$7*Model!$K$438*AVERAGE('Assumptions (NG)'!$G$2:$I$2)+ Model!$K$439*AVERAGE('Assumptions (NG)'!$G$3:$I$3))/10^9,0)</f>
        <v>-0.04000083083</v>
      </c>
      <c r="R504" s="219">
        <f>IF(Model!AD$1&lt;='Assumptions (NG)'!$V$12,PPMT('Assumptions (NG)'!$V$9,Model!AD$1,'Assumptions (NG)'!$V$12,'Assumptions (NG)'!$V$7*Model!$K$438*AVERAGE('Assumptions (NG)'!$G$2:$I$2)+ Model!$K$439*AVERAGE('Assumptions (NG)'!$G$3:$I$3))/10^9,0)</f>
        <v>-0.04300089314</v>
      </c>
      <c r="S504" s="219">
        <f>IF(Model!AE$1&lt;='Assumptions (NG)'!$V$12,PPMT('Assumptions (NG)'!$V$9,Model!AE$1,'Assumptions (NG)'!$V$12,'Assumptions (NG)'!$V$7*Model!$K$438*AVERAGE('Assumptions (NG)'!$G$2:$I$2)+ Model!$K$439*AVERAGE('Assumptions (NG)'!$G$3:$I$3))/10^9,0)</f>
        <v>-0.04622596013</v>
      </c>
      <c r="T504" s="219">
        <f>IF(Model!AF$1&lt;='Assumptions (NG)'!$V$12,PPMT('Assumptions (NG)'!$V$9,Model!AF$1,'Assumptions (NG)'!$V$12,'Assumptions (NG)'!$V$7*Model!$K$438*AVERAGE('Assumptions (NG)'!$G$2:$I$2)+ Model!$K$439*AVERAGE('Assumptions (NG)'!$G$3:$I$3))/10^9,0)</f>
        <v>-0.04969290714</v>
      </c>
      <c r="U504" s="219"/>
      <c r="V504" s="219"/>
      <c r="W504" s="219"/>
      <c r="X504" s="219"/>
      <c r="Y504" s="219"/>
      <c r="Z504" s="160"/>
      <c r="AA504" s="160"/>
      <c r="AB504" s="160"/>
      <c r="AC504" s="160"/>
      <c r="AD504" s="160"/>
      <c r="AE504" s="160"/>
      <c r="AF504" s="160"/>
      <c r="AG504" s="160"/>
      <c r="AH504" s="160"/>
      <c r="AI504" s="160"/>
      <c r="AU504" s="160"/>
      <c r="AV504" s="160"/>
      <c r="AW504" s="160"/>
      <c r="AX504" s="160"/>
      <c r="AY504" s="160"/>
      <c r="AZ504" s="160"/>
      <c r="BA504" s="160"/>
    </row>
    <row r="505" ht="15.75" hidden="1" customHeight="1" outlineLevel="1">
      <c r="A505" s="209"/>
      <c r="B505" s="38"/>
      <c r="C505" s="160"/>
      <c r="D505" s="160"/>
      <c r="E505" s="160"/>
      <c r="F505" s="160"/>
      <c r="G505" s="160"/>
      <c r="H505" s="160"/>
      <c r="I505" s="160"/>
      <c r="J505" s="160"/>
      <c r="K505" s="160"/>
      <c r="L505" s="220">
        <f>IF(Model!W$1&lt;='Assumptions (NG)'!$V$12,PPMT('Assumptions (NG)'!$V$9,Model!W$1,'Assumptions (NG)'!$V$12,'Assumptions (NG)'!$V$7*Model!$L$438*AVERAGE('Assumptions (NG)'!$H$2:$J$2)+ Model!$L$439*AVERAGE('Assumptions (NG)'!$H$3:$J$3))/10^9,0)</f>
        <v>-0.008341090829</v>
      </c>
      <c r="M505" s="220">
        <f>IF(Model!X$1&lt;='Assumptions (NG)'!$V$12,PPMT('Assumptions (NG)'!$V$9,Model!X$1,'Assumptions (NG)'!$V$12,'Assumptions (NG)'!$V$7*Model!$L$438*AVERAGE('Assumptions (NG)'!$H$2:$J$2)+ Model!$L$439*AVERAGE('Assumptions (NG)'!$H$3:$J$3))/10^9,0)</f>
        <v>-0.008966672641</v>
      </c>
      <c r="N505" s="220">
        <f>IF(Model!Y$1&lt;='Assumptions (NG)'!$V$12,PPMT('Assumptions (NG)'!$V$9,Model!Y$1,'Assumptions (NG)'!$V$12,'Assumptions (NG)'!$V$7*Model!$L$438*AVERAGE('Assumptions (NG)'!$H$2:$J$2)+ Model!$L$439*AVERAGE('Assumptions (NG)'!$H$3:$J$3))/10^9,0)</f>
        <v>-0.009639173089</v>
      </c>
      <c r="O505" s="220">
        <f>IF(Model!Z$1&lt;='Assumptions (NG)'!$V$12,PPMT('Assumptions (NG)'!$V$9,Model!Z$1,'Assumptions (NG)'!$V$12,'Assumptions (NG)'!$V$7*Model!$L$438*AVERAGE('Assumptions (NG)'!$H$2:$J$2)+ Model!$L$439*AVERAGE('Assumptions (NG)'!$H$3:$J$3))/10^9,0)</f>
        <v>-0.01036211107</v>
      </c>
      <c r="P505" s="220">
        <f>IF(Model!AA$1&lt;='Assumptions (NG)'!$V$12,PPMT('Assumptions (NG)'!$V$9,Model!AA$1,'Assumptions (NG)'!$V$12,'Assumptions (NG)'!$V$7*Model!$L$438*AVERAGE('Assumptions (NG)'!$H$2:$J$2)+ Model!$L$439*AVERAGE('Assumptions (NG)'!$H$3:$J$3))/10^9,0)</f>
        <v>-0.0111392694</v>
      </c>
      <c r="Q505" s="220">
        <f>IF(Model!AB$1&lt;='Assumptions (NG)'!$V$12,PPMT('Assumptions (NG)'!$V$9,Model!AB$1,'Assumptions (NG)'!$V$12,'Assumptions (NG)'!$V$7*Model!$L$438*AVERAGE('Assumptions (NG)'!$H$2:$J$2)+ Model!$L$439*AVERAGE('Assumptions (NG)'!$H$3:$J$3))/10^9,0)</f>
        <v>-0.01197471461</v>
      </c>
      <c r="R505" s="220">
        <f>IF(Model!AC$1&lt;='Assumptions (NG)'!$V$12,PPMT('Assumptions (NG)'!$V$9,Model!AC$1,'Assumptions (NG)'!$V$12,'Assumptions (NG)'!$V$7*Model!$L$438*AVERAGE('Assumptions (NG)'!$H$2:$J$2)+ Model!$L$439*AVERAGE('Assumptions (NG)'!$H$3:$J$3))/10^9,0)</f>
        <v>-0.0128728182</v>
      </c>
      <c r="S505" s="220">
        <f>IF(Model!AD$1&lt;='Assumptions (NG)'!$V$12,PPMT('Assumptions (NG)'!$V$9,Model!AD$1,'Assumptions (NG)'!$V$12,'Assumptions (NG)'!$V$7*Model!$L$438*AVERAGE('Assumptions (NG)'!$H$2:$J$2)+ Model!$L$439*AVERAGE('Assumptions (NG)'!$H$3:$J$3))/10^9,0)</f>
        <v>-0.01383827957</v>
      </c>
      <c r="T505" s="220">
        <f>IF(Model!AE$1&lt;='Assumptions (NG)'!$V$12,PPMT('Assumptions (NG)'!$V$9,Model!AE$1,'Assumptions (NG)'!$V$12,'Assumptions (NG)'!$V$7*Model!$L$438*AVERAGE('Assumptions (NG)'!$H$2:$J$2)+ Model!$L$439*AVERAGE('Assumptions (NG)'!$H$3:$J$3))/10^9,0)</f>
        <v>-0.01487615053</v>
      </c>
      <c r="U505" s="220">
        <f>IF(Model!AF$1&lt;='Assumptions (NG)'!$V$12,PPMT('Assumptions (NG)'!$V$9,Model!AF$1,'Assumptions (NG)'!$V$12,'Assumptions (NG)'!$V$7*Model!$L$438*AVERAGE('Assumptions (NG)'!$H$2:$J$2)+ Model!$L$439*AVERAGE('Assumptions (NG)'!$H$3:$J$3))/10^9,0)</f>
        <v>-0.01599186182</v>
      </c>
      <c r="V505" s="220"/>
      <c r="W505" s="220"/>
      <c r="X505" s="220"/>
      <c r="Y505" s="220"/>
      <c r="Z505" s="220"/>
      <c r="AA505" s="160"/>
      <c r="AB505" s="160"/>
      <c r="AC505" s="160"/>
      <c r="AD505" s="160"/>
      <c r="AE505" s="160"/>
      <c r="AF505" s="160"/>
      <c r="AG505" s="160"/>
      <c r="AH505" s="160"/>
      <c r="AI505" s="160"/>
      <c r="AJ505" s="160"/>
      <c r="AU505" s="160"/>
      <c r="AV505" s="160"/>
      <c r="AW505" s="160"/>
      <c r="AX505" s="160"/>
      <c r="AY505" s="160"/>
      <c r="AZ505" s="160"/>
      <c r="BA505" s="160"/>
    </row>
    <row r="506" ht="15.75" hidden="1" customHeight="1" outlineLevel="1">
      <c r="A506" s="209"/>
      <c r="B506" s="38"/>
      <c r="C506" s="160"/>
      <c r="D506" s="160"/>
      <c r="E506" s="160"/>
      <c r="F506" s="160"/>
      <c r="G506" s="160"/>
      <c r="H506" s="160"/>
      <c r="I506" s="160"/>
      <c r="J506" s="160"/>
      <c r="K506" s="160"/>
      <c r="L506" s="160"/>
      <c r="M506" s="219">
        <f>IF(Model!W$1&lt;='Assumptions (NG)'!$V$12,PPMT('Assumptions (NG)'!$V$9,Model!W$1,'Assumptions (NG)'!$V$12,'Assumptions (NG)'!$V$7*Model!$M$438*AVERAGE('Assumptions (NG)'!$I$2:$K$2)+ Model!$M$439*AVERAGE('Assumptions (NG)'!$I$3:$K$3))/10^9,0)</f>
        <v>-0.07315255414</v>
      </c>
      <c r="N506" s="219">
        <f>IF(Model!X$1&lt;='Assumptions (NG)'!$V$12,PPMT('Assumptions (NG)'!$V$9,Model!X$1,'Assumptions (NG)'!$V$12,'Assumptions (NG)'!$V$7*Model!$M$438*AVERAGE('Assumptions (NG)'!$I$2:$K$2)+ Model!$M$439*AVERAGE('Assumptions (NG)'!$I$3:$K$3))/10^9,0)</f>
        <v>-0.0786389957</v>
      </c>
      <c r="O506" s="219">
        <f>IF(Model!Y$1&lt;='Assumptions (NG)'!$V$12,PPMT('Assumptions (NG)'!$V$9,Model!Y$1,'Assumptions (NG)'!$V$12,'Assumptions (NG)'!$V$7*Model!$M$438*AVERAGE('Assumptions (NG)'!$I$2:$K$2)+ Model!$M$439*AVERAGE('Assumptions (NG)'!$I$3:$K$3))/10^9,0)</f>
        <v>-0.08453692038</v>
      </c>
      <c r="P506" s="219">
        <f>IF(Model!Z$1&lt;='Assumptions (NG)'!$V$12,PPMT('Assumptions (NG)'!$V$9,Model!Z$1,'Assumptions (NG)'!$V$12,'Assumptions (NG)'!$V$7*Model!$M$438*AVERAGE('Assumptions (NG)'!$I$2:$K$2)+ Model!$M$439*AVERAGE('Assumptions (NG)'!$I$3:$K$3))/10^9,0)</f>
        <v>-0.09087718941</v>
      </c>
      <c r="Q506" s="219">
        <f>IF(Model!AA$1&lt;='Assumptions (NG)'!$V$12,PPMT('Assumptions (NG)'!$V$9,Model!AA$1,'Assumptions (NG)'!$V$12,'Assumptions (NG)'!$V$7*Model!$M$438*AVERAGE('Assumptions (NG)'!$I$2:$K$2)+ Model!$M$439*AVERAGE('Assumptions (NG)'!$I$3:$K$3))/10^9,0)</f>
        <v>-0.09769297861</v>
      </c>
      <c r="R506" s="219">
        <f>IF(Model!AB$1&lt;='Assumptions (NG)'!$V$12,PPMT('Assumptions (NG)'!$V$9,Model!AB$1,'Assumptions (NG)'!$V$12,'Assumptions (NG)'!$V$7*Model!$M$438*AVERAGE('Assumptions (NG)'!$I$2:$K$2)+ Model!$M$439*AVERAGE('Assumptions (NG)'!$I$3:$K$3))/10^9,0)</f>
        <v>-0.105019952</v>
      </c>
      <c r="S506" s="219">
        <f>IF(Model!AC$1&lt;='Assumptions (NG)'!$V$12,PPMT('Assumptions (NG)'!$V$9,Model!AC$1,'Assumptions (NG)'!$V$12,'Assumptions (NG)'!$V$7*Model!$M$438*AVERAGE('Assumptions (NG)'!$I$2:$K$2)+ Model!$M$439*AVERAGE('Assumptions (NG)'!$I$3:$K$3))/10^9,0)</f>
        <v>-0.1128964484</v>
      </c>
      <c r="T506" s="219">
        <f>IF(Model!AD$1&lt;='Assumptions (NG)'!$V$12,PPMT('Assumptions (NG)'!$V$9,Model!AD$1,'Assumptions (NG)'!$V$12,'Assumptions (NG)'!$V$7*Model!$M$438*AVERAGE('Assumptions (NG)'!$I$2:$K$2)+ Model!$M$439*AVERAGE('Assumptions (NG)'!$I$3:$K$3))/10^9,0)</f>
        <v>-0.121363682</v>
      </c>
      <c r="U506" s="219">
        <f>IF(Model!AE$1&lt;='Assumptions (NG)'!$V$12,PPMT('Assumptions (NG)'!$V$9,Model!AE$1,'Assumptions (NG)'!$V$12,'Assumptions (NG)'!$V$7*Model!$M$438*AVERAGE('Assumptions (NG)'!$I$2:$K$2)+ Model!$M$439*AVERAGE('Assumptions (NG)'!$I$3:$K$3))/10^9,0)</f>
        <v>-0.1304659582</v>
      </c>
      <c r="V506" s="219">
        <f>IF(Model!AF$1&lt;='Assumptions (NG)'!$V$12,PPMT('Assumptions (NG)'!$V$9,Model!AF$1,'Assumptions (NG)'!$V$12,'Assumptions (NG)'!$V$7*Model!$M$438*AVERAGE('Assumptions (NG)'!$I$2:$K$2)+ Model!$M$439*AVERAGE('Assumptions (NG)'!$I$3:$K$3))/10^9,0)</f>
        <v>-0.1402509051</v>
      </c>
      <c r="W506" s="219"/>
      <c r="X506" s="219"/>
      <c r="Y506" s="219"/>
      <c r="Z506" s="219"/>
      <c r="AA506" s="219"/>
      <c r="AB506" s="160"/>
      <c r="AC506" s="160"/>
      <c r="AD506" s="160"/>
      <c r="AE506" s="160"/>
      <c r="AF506" s="160"/>
      <c r="AG506" s="160"/>
      <c r="AH506" s="160"/>
      <c r="AI506" s="160"/>
      <c r="AJ506" s="160"/>
      <c r="AK506" s="160"/>
      <c r="AU506" s="160"/>
      <c r="AV506" s="160"/>
      <c r="AW506" s="160"/>
      <c r="AX506" s="160"/>
      <c r="AY506" s="160"/>
      <c r="AZ506" s="160"/>
      <c r="BA506" s="160"/>
    </row>
    <row r="507" ht="15.75" hidden="1" customHeight="1" outlineLevel="1">
      <c r="A507" s="209"/>
      <c r="B507" s="38"/>
      <c r="C507" s="160"/>
      <c r="D507" s="160"/>
      <c r="E507" s="160"/>
      <c r="F507" s="160"/>
      <c r="G507" s="160"/>
      <c r="H507" s="160"/>
      <c r="I507" s="160"/>
      <c r="J507" s="160"/>
      <c r="K507" s="160"/>
      <c r="L507" s="160"/>
      <c r="M507" s="160"/>
      <c r="N507" s="177">
        <f>IF(Model!W$1&lt;='Assumptions (NG)'!$V$12,PPMT('Assumptions (NG)'!$V$9,Model!W$1,'Assumptions (NG)'!$V$12,'Assumptions (NG)'!$V$7*Model!$N$438*AVERAGE('Assumptions (NG)'!$J$2:$L$2)+ Model!$N$439*AVERAGE('Assumptions (NG)'!$J$3:$L$3))/10^9,0)</f>
        <v>-0.0914145492</v>
      </c>
      <c r="O507" s="177">
        <f>IF(Model!X$1&lt;='Assumptions (NG)'!$V$12,PPMT('Assumptions (NG)'!$V$9,Model!X$1,'Assumptions (NG)'!$V$12,'Assumptions (NG)'!$V$7*Model!$N$438*AVERAGE('Assumptions (NG)'!$J$2:$L$2)+ Model!$N$439*AVERAGE('Assumptions (NG)'!$J$3:$L$3))/10^9,0)</f>
        <v>-0.09827064039</v>
      </c>
      <c r="P507" s="177">
        <f>IF(Model!Y$1&lt;='Assumptions (NG)'!$V$12,PPMT('Assumptions (NG)'!$V$9,Model!Y$1,'Assumptions (NG)'!$V$12,'Assumptions (NG)'!$V$7*Model!$N$438*AVERAGE('Assumptions (NG)'!$J$2:$L$2)+ Model!$N$439*AVERAGE('Assumptions (NG)'!$J$3:$L$3))/10^9,0)</f>
        <v>-0.1056409384</v>
      </c>
      <c r="Q507" s="177">
        <f>IF(Model!Z$1&lt;='Assumptions (NG)'!$V$12,PPMT('Assumptions (NG)'!$V$9,Model!Z$1,'Assumptions (NG)'!$V$12,'Assumptions (NG)'!$V$7*Model!$N$438*AVERAGE('Assumptions (NG)'!$J$2:$L$2)+ Model!$N$439*AVERAGE('Assumptions (NG)'!$J$3:$L$3))/10^9,0)</f>
        <v>-0.1135640088</v>
      </c>
      <c r="R507" s="177">
        <f>IF(Model!AA$1&lt;='Assumptions (NG)'!$V$12,PPMT('Assumptions (NG)'!$V$9,Model!AA$1,'Assumptions (NG)'!$V$12,'Assumptions (NG)'!$V$7*Model!$N$438*AVERAGE('Assumptions (NG)'!$J$2:$L$2)+ Model!$N$439*AVERAGE('Assumptions (NG)'!$J$3:$L$3))/10^9,0)</f>
        <v>-0.1220813095</v>
      </c>
      <c r="S507" s="177">
        <f>IF(Model!AB$1&lt;='Assumptions (NG)'!$V$12,PPMT('Assumptions (NG)'!$V$9,Model!AB$1,'Assumptions (NG)'!$V$12,'Assumptions (NG)'!$V$7*Model!$N$438*AVERAGE('Assumptions (NG)'!$J$2:$L$2)+ Model!$N$439*AVERAGE('Assumptions (NG)'!$J$3:$L$3))/10^9,0)</f>
        <v>-0.1312374077</v>
      </c>
      <c r="T507" s="177">
        <f>IF(Model!AC$1&lt;='Assumptions (NG)'!$V$12,PPMT('Assumptions (NG)'!$V$9,Model!AC$1,'Assumptions (NG)'!$V$12,'Assumptions (NG)'!$V$7*Model!$N$438*AVERAGE('Assumptions (NG)'!$J$2:$L$2)+ Model!$N$439*AVERAGE('Assumptions (NG)'!$J$3:$L$3))/10^9,0)</f>
        <v>-0.1410802133</v>
      </c>
      <c r="U507" s="177">
        <f>IF(Model!AD$1&lt;='Assumptions (NG)'!$V$12,PPMT('Assumptions (NG)'!$V$9,Model!AD$1,'Assumptions (NG)'!$V$12,'Assumptions (NG)'!$V$7*Model!$N$438*AVERAGE('Assumptions (NG)'!$J$2:$L$2)+ Model!$N$439*AVERAGE('Assumptions (NG)'!$J$3:$L$3))/10^9,0)</f>
        <v>-0.1516612292</v>
      </c>
      <c r="V507" s="177">
        <f>IF(Model!AE$1&lt;='Assumptions (NG)'!$V$12,PPMT('Assumptions (NG)'!$V$9,Model!AE$1,'Assumptions (NG)'!$V$12,'Assumptions (NG)'!$V$7*Model!$N$438*AVERAGE('Assumptions (NG)'!$J$2:$L$2)+ Model!$N$439*AVERAGE('Assumptions (NG)'!$J$3:$L$3))/10^9,0)</f>
        <v>-0.1630358214</v>
      </c>
      <c r="W507" s="177">
        <f>IF(Model!AF$1&lt;='Assumptions (NG)'!$V$12,PPMT('Assumptions (NG)'!$V$9,Model!AF$1,'Assumptions (NG)'!$V$12,'Assumptions (NG)'!$V$7*Model!$N$438*AVERAGE('Assumptions (NG)'!$J$2:$L$2)+ Model!$N$439*AVERAGE('Assumptions (NG)'!$J$3:$L$3))/10^9,0)</f>
        <v>-0.175263508</v>
      </c>
      <c r="X507" s="177"/>
      <c r="Y507" s="177"/>
      <c r="Z507" s="177"/>
      <c r="AA507" s="177"/>
      <c r="AB507" s="177"/>
      <c r="AC507" s="177"/>
      <c r="AD507" s="177"/>
      <c r="AE507" s="177"/>
      <c r="AF507" s="177"/>
      <c r="AG507" s="177"/>
      <c r="AH507" s="177"/>
      <c r="AI507" s="177"/>
      <c r="AJ507" s="177"/>
      <c r="AK507" s="177"/>
      <c r="AL507" s="177"/>
      <c r="AU507" s="160"/>
      <c r="AV507" s="160"/>
      <c r="AW507" s="160"/>
      <c r="AX507" s="160"/>
      <c r="AY507" s="160"/>
      <c r="AZ507" s="160"/>
      <c r="BA507" s="160"/>
    </row>
    <row r="508" ht="15.75" hidden="1" customHeight="1" outlineLevel="1">
      <c r="A508" s="209"/>
      <c r="B508" s="38"/>
      <c r="C508" s="160"/>
      <c r="D508" s="160"/>
      <c r="E508" s="160"/>
      <c r="F508" s="160"/>
      <c r="G508" s="160"/>
      <c r="H508" s="160"/>
      <c r="I508" s="160"/>
      <c r="J508" s="160"/>
      <c r="K508" s="160"/>
      <c r="L508" s="160"/>
      <c r="M508" s="160"/>
      <c r="N508" s="160"/>
      <c r="O508" s="160">
        <f>IF(Model!W$1&lt;='Assumptions (NG)'!$V$12,PPMT('Assumptions (NG)'!$V$9,Model!W$1,'Assumptions (NG)'!$V$12,'Assumptions (NG)'!$V$7*Model!$O$438*AVERAGE('Assumptions (NG)'!$K$2:$M$2)+ Model!$O$439*AVERAGE('Assumptions (NG)'!$K$3:$M$3))/10^9,0)</f>
        <v>-0.2211566938</v>
      </c>
      <c r="P508" s="160">
        <f>IF(Model!X$1&lt;='Assumptions (NG)'!$V$12,PPMT('Assumptions (NG)'!$V$9,Model!X$1,'Assumptions (NG)'!$V$12,'Assumptions (NG)'!$V$7*Model!$O$438*AVERAGE('Assumptions (NG)'!$K$2:$M$2)+ Model!$O$439*AVERAGE('Assumptions (NG)'!$K$3:$M$3))/10^9,0)</f>
        <v>-0.2377434458</v>
      </c>
      <c r="Q508" s="160">
        <f>IF(Model!Y$1&lt;='Assumptions (NG)'!$V$12,PPMT('Assumptions (NG)'!$V$9,Model!Y$1,'Assumptions (NG)'!$V$12,'Assumptions (NG)'!$V$7*Model!$O$438*AVERAGE('Assumptions (NG)'!$K$2:$M$2)+ Model!$O$439*AVERAGE('Assumptions (NG)'!$K$3:$M$3))/10^9,0)</f>
        <v>-0.2555742043</v>
      </c>
      <c r="R508" s="160">
        <f>IF(Model!Z$1&lt;='Assumptions (NG)'!$V$12,PPMT('Assumptions (NG)'!$V$9,Model!Z$1,'Assumptions (NG)'!$V$12,'Assumptions (NG)'!$V$7*Model!$O$438*AVERAGE('Assumptions (NG)'!$K$2:$M$2)+ Model!$O$439*AVERAGE('Assumptions (NG)'!$K$3:$M$3))/10^9,0)</f>
        <v>-0.2747422696</v>
      </c>
      <c r="S508" s="160">
        <f>IF(Model!AA$1&lt;='Assumptions (NG)'!$V$12,PPMT('Assumptions (NG)'!$V$9,Model!AA$1,'Assumptions (NG)'!$V$12,'Assumptions (NG)'!$V$7*Model!$O$438*AVERAGE('Assumptions (NG)'!$K$2:$M$2)+ Model!$O$439*AVERAGE('Assumptions (NG)'!$K$3:$M$3))/10^9,0)</f>
        <v>-0.2953479398</v>
      </c>
      <c r="T508" s="160">
        <f>IF(Model!AB$1&lt;='Assumptions (NG)'!$V$12,PPMT('Assumptions (NG)'!$V$9,Model!AB$1,'Assumptions (NG)'!$V$12,'Assumptions (NG)'!$V$7*Model!$O$438*AVERAGE('Assumptions (NG)'!$K$2:$M$2)+ Model!$O$439*AVERAGE('Assumptions (NG)'!$K$3:$M$3))/10^9,0)</f>
        <v>-0.3174990353</v>
      </c>
      <c r="U508" s="160">
        <f>IF(Model!AC$1&lt;='Assumptions (NG)'!$V$12,PPMT('Assumptions (NG)'!$V$9,Model!AC$1,'Assumptions (NG)'!$V$12,'Assumptions (NG)'!$V$7*Model!$O$438*AVERAGE('Assumptions (NG)'!$K$2:$M$2)+ Model!$O$439*AVERAGE('Assumptions (NG)'!$K$3:$M$3))/10^9,0)</f>
        <v>-0.3413114629</v>
      </c>
      <c r="V508" s="160">
        <f>IF(Model!AD$1&lt;='Assumptions (NG)'!$V$12,PPMT('Assumptions (NG)'!$V$9,Model!AD$1,'Assumptions (NG)'!$V$12,'Assumptions (NG)'!$V$7*Model!$O$438*AVERAGE('Assumptions (NG)'!$K$2:$M$2)+ Model!$O$439*AVERAGE('Assumptions (NG)'!$K$3:$M$3))/10^9,0)</f>
        <v>-0.3669098227</v>
      </c>
      <c r="W508" s="160">
        <f>IF(Model!AE$1&lt;='Assumptions (NG)'!$V$12,PPMT('Assumptions (NG)'!$V$9,Model!AE$1,'Assumptions (NG)'!$V$12,'Assumptions (NG)'!$V$7*Model!$O$438*AVERAGE('Assumptions (NG)'!$K$2:$M$2)+ Model!$O$439*AVERAGE('Assumptions (NG)'!$K$3:$M$3))/10^9,0)</f>
        <v>-0.3944280594</v>
      </c>
      <c r="X508" s="160">
        <f>IF(Model!AF$1&lt;='Assumptions (NG)'!$V$12,PPMT('Assumptions (NG)'!$V$9,Model!AF$1,'Assumptions (NG)'!$V$12,'Assumptions (NG)'!$V$7*Model!$O$438*AVERAGE('Assumptions (NG)'!$K$2:$M$2)+ Model!$O$439*AVERAGE('Assumptions (NG)'!$K$3:$M$3))/10^9,0)</f>
        <v>-0.4240101638</v>
      </c>
      <c r="Y508" s="160"/>
      <c r="Z508" s="160"/>
      <c r="AA508" s="160"/>
      <c r="AB508" s="160"/>
      <c r="AC508" s="160"/>
      <c r="AD508" s="160"/>
      <c r="AE508" s="160"/>
      <c r="AF508" s="160"/>
      <c r="AG508" s="160"/>
      <c r="AH508" s="160"/>
      <c r="AI508" s="160"/>
      <c r="AJ508" s="160"/>
      <c r="AK508" s="160"/>
      <c r="AL508" s="160"/>
      <c r="AM508" s="160"/>
      <c r="AU508" s="160"/>
      <c r="AV508" s="160"/>
      <c r="AW508" s="160"/>
      <c r="AX508" s="160"/>
      <c r="AY508" s="160"/>
      <c r="AZ508" s="160"/>
      <c r="BA508" s="160"/>
    </row>
    <row r="509" ht="15.75" hidden="1" customHeight="1" outlineLevel="1">
      <c r="A509" s="209"/>
      <c r="B509" s="38"/>
      <c r="C509" s="160"/>
      <c r="D509" s="160"/>
      <c r="E509" s="160"/>
      <c r="F509" s="160"/>
      <c r="G509" s="160"/>
      <c r="H509" s="160"/>
      <c r="I509" s="160"/>
      <c r="J509" s="160"/>
      <c r="K509" s="160"/>
      <c r="L509" s="160"/>
      <c r="M509" s="160"/>
      <c r="N509" s="160"/>
      <c r="O509" s="160"/>
      <c r="P509" s="177">
        <f>IF(Model!W$1&lt;='Assumptions (NG)'!$V$12,PPMT('Assumptions (NG)'!$V$9,Model!W$1,'Assumptions (NG)'!$V$12,'Assumptions (NG)'!$V$7*Model!$P$438*AVERAGE('Assumptions (NG)'!$L$2:$N$2)+ Model!$P$439*AVERAGE('Assumptions (NG)'!$L$3:$N$3))/10^9,0)</f>
        <v>-0.03424303555</v>
      </c>
      <c r="Q509" s="177">
        <f>IF(Model!X$1&lt;='Assumptions (NG)'!$V$12,PPMT('Assumptions (NG)'!$V$9,Model!X$1,'Assumptions (NG)'!$V$12,'Assumptions (NG)'!$V$7*Model!$P$438*AVERAGE('Assumptions (NG)'!$L$2:$N$2)+ Model!$P$439*AVERAGE('Assumptions (NG)'!$L$3:$N$3))/10^9,0)</f>
        <v>-0.03681126322</v>
      </c>
      <c r="R509" s="177">
        <f>IF(Model!Y$1&lt;='Assumptions (NG)'!$V$12,PPMT('Assumptions (NG)'!$V$9,Model!Y$1,'Assumptions (NG)'!$V$12,'Assumptions (NG)'!$V$7*Model!$P$438*AVERAGE('Assumptions (NG)'!$L$2:$N$2)+ Model!$P$439*AVERAGE('Assumptions (NG)'!$L$3:$N$3))/10^9,0)</f>
        <v>-0.03957210796</v>
      </c>
      <c r="S509" s="177">
        <f>IF(Model!Z$1&lt;='Assumptions (NG)'!$V$12,PPMT('Assumptions (NG)'!$V$9,Model!Z$1,'Assumptions (NG)'!$V$12,'Assumptions (NG)'!$V$7*Model!$P$438*AVERAGE('Assumptions (NG)'!$L$2:$N$2)+ Model!$P$439*AVERAGE('Assumptions (NG)'!$L$3:$N$3))/10^9,0)</f>
        <v>-0.04254001606</v>
      </c>
      <c r="T509" s="177">
        <f>IF(Model!AA$1&lt;='Assumptions (NG)'!$V$12,PPMT('Assumptions (NG)'!$V$9,Model!AA$1,'Assumptions (NG)'!$V$12,'Assumptions (NG)'!$V$7*Model!$P$438*AVERAGE('Assumptions (NG)'!$L$2:$N$2)+ Model!$P$439*AVERAGE('Assumptions (NG)'!$L$3:$N$3))/10^9,0)</f>
        <v>-0.04573051726</v>
      </c>
      <c r="U509" s="177">
        <f>IF(Model!AB$1&lt;='Assumptions (NG)'!$V$12,PPMT('Assumptions (NG)'!$V$9,Model!AB$1,'Assumptions (NG)'!$V$12,'Assumptions (NG)'!$V$7*Model!$P$438*AVERAGE('Assumptions (NG)'!$L$2:$N$2)+ Model!$P$439*AVERAGE('Assumptions (NG)'!$L$3:$N$3))/10^9,0)</f>
        <v>-0.04916030606</v>
      </c>
      <c r="V509" s="177">
        <f>IF(Model!AC$1&lt;='Assumptions (NG)'!$V$12,PPMT('Assumptions (NG)'!$V$9,Model!AC$1,'Assumptions (NG)'!$V$12,'Assumptions (NG)'!$V$7*Model!$P$438*AVERAGE('Assumptions (NG)'!$L$2:$N$2)+ Model!$P$439*AVERAGE('Assumptions (NG)'!$L$3:$N$3))/10^9,0)</f>
        <v>-0.05284732901</v>
      </c>
      <c r="W509" s="177">
        <f>IF(Model!AD$1&lt;='Assumptions (NG)'!$V$12,PPMT('Assumptions (NG)'!$V$9,Model!AD$1,'Assumptions (NG)'!$V$12,'Assumptions (NG)'!$V$7*Model!$P$438*AVERAGE('Assumptions (NG)'!$L$2:$N$2)+ Model!$P$439*AVERAGE('Assumptions (NG)'!$L$3:$N$3))/10^9,0)</f>
        <v>-0.05681087869</v>
      </c>
      <c r="X509" s="177">
        <f>IF(Model!AE$1&lt;='Assumptions (NG)'!$V$12,PPMT('Assumptions (NG)'!$V$9,Model!AE$1,'Assumptions (NG)'!$V$12,'Assumptions (NG)'!$V$7*Model!$P$438*AVERAGE('Assumptions (NG)'!$L$2:$N$2)+ Model!$P$439*AVERAGE('Assumptions (NG)'!$L$3:$N$3))/10^9,0)</f>
        <v>-0.06107169459</v>
      </c>
      <c r="Y509" s="177">
        <f>IF(Model!AF$1&lt;='Assumptions (NG)'!$V$12,PPMT('Assumptions (NG)'!$V$9,Model!AF$1,'Assumptions (NG)'!$V$12,'Assumptions (NG)'!$V$7*Model!$P$438*AVERAGE('Assumptions (NG)'!$L$2:$N$2)+ Model!$P$439*AVERAGE('Assumptions (NG)'!$L$3:$N$3))/10^9,0)</f>
        <v>-0.06565207168</v>
      </c>
      <c r="Z509" s="177"/>
      <c r="AA509" s="177"/>
      <c r="AB509" s="177"/>
      <c r="AC509" s="177"/>
      <c r="AD509" s="177"/>
      <c r="AE509" s="177"/>
      <c r="AF509" s="177"/>
      <c r="AG509" s="177"/>
      <c r="AH509" s="177"/>
      <c r="AI509" s="177"/>
      <c r="AJ509" s="177"/>
      <c r="AK509" s="177"/>
      <c r="AL509" s="177"/>
      <c r="AM509" s="177"/>
      <c r="AN509" s="177"/>
      <c r="AU509" s="160"/>
      <c r="AV509" s="160"/>
      <c r="AW509" s="160"/>
      <c r="AX509" s="160"/>
      <c r="AY509" s="160"/>
      <c r="AZ509" s="160"/>
      <c r="BA509" s="160"/>
    </row>
    <row r="510" ht="15.75" hidden="1" customHeight="1" outlineLevel="1">
      <c r="A510" s="209"/>
      <c r="B510" s="38"/>
      <c r="C510" s="160"/>
      <c r="D510" s="160"/>
      <c r="E510" s="160"/>
      <c r="F510" s="160"/>
      <c r="G510" s="160"/>
      <c r="H510" s="160"/>
      <c r="I510" s="160"/>
      <c r="J510" s="160"/>
      <c r="K510" s="160"/>
      <c r="L510" s="160"/>
      <c r="M510" s="160"/>
      <c r="N510" s="160"/>
      <c r="O510" s="160"/>
      <c r="P510" s="179"/>
      <c r="Q510" s="177">
        <f>IF(Model!W$1&lt;='Assumptions (NG)'!$V$12,PPMT('Assumptions (NG)'!$V$9,Model!W$1,'Assumptions (NG)'!$V$12,'Assumptions (NG)'!$V$7*Model!$Q$438*AVERAGE('Assumptions (NG)'!$M$2:$O$2)+ Model!$Q$439*AVERAGE('Assumptions (NG)'!$M$3:$O$3))/10^9,0)</f>
        <v>-0.03739082725</v>
      </c>
      <c r="R510" s="177">
        <f>IF(Model!X$1&lt;='Assumptions (NG)'!$V$12,PPMT('Assumptions (NG)'!$V$9,Model!X$1,'Assumptions (NG)'!$V$12,'Assumptions (NG)'!$V$7*Model!$Q$438*AVERAGE('Assumptions (NG)'!$M$2:$O$2)+ Model!$Q$439*AVERAGE('Assumptions (NG)'!$M$3:$O$3))/10^9,0)</f>
        <v>-0.0401951393</v>
      </c>
      <c r="S510" s="177">
        <f>IF(Model!Y$1&lt;='Assumptions (NG)'!$V$12,PPMT('Assumptions (NG)'!$V$9,Model!Y$1,'Assumptions (NG)'!$V$12,'Assumptions (NG)'!$V$7*Model!$Q$438*AVERAGE('Assumptions (NG)'!$M$2:$O$2)+ Model!$Q$439*AVERAGE('Assumptions (NG)'!$M$3:$O$3))/10^9,0)</f>
        <v>-0.04320977475</v>
      </c>
      <c r="T510" s="177">
        <f>IF(Model!Z$1&lt;='Assumptions (NG)'!$V$12,PPMT('Assumptions (NG)'!$V$9,Model!Z$1,'Assumptions (NG)'!$V$12,'Assumptions (NG)'!$V$7*Model!$Q$438*AVERAGE('Assumptions (NG)'!$M$2:$O$2)+ Model!$Q$439*AVERAGE('Assumptions (NG)'!$M$3:$O$3))/10^9,0)</f>
        <v>-0.04645050785</v>
      </c>
      <c r="U510" s="177">
        <f>IF(Model!AA$1&lt;='Assumptions (NG)'!$V$12,PPMT('Assumptions (NG)'!$V$9,Model!AA$1,'Assumptions (NG)'!$V$12,'Assumptions (NG)'!$V$7*Model!$Q$438*AVERAGE('Assumptions (NG)'!$M$2:$O$2)+ Model!$Q$439*AVERAGE('Assumptions (NG)'!$M$3:$O$3))/10^9,0)</f>
        <v>-0.04993429594</v>
      </c>
      <c r="V510" s="177">
        <f>IF(Model!AB$1&lt;='Assumptions (NG)'!$V$12,PPMT('Assumptions (NG)'!$V$9,Model!AB$1,'Assumptions (NG)'!$V$12,'Assumptions (NG)'!$V$7*Model!$Q$438*AVERAGE('Assumptions (NG)'!$M$2:$O$2)+ Model!$Q$439*AVERAGE('Assumptions (NG)'!$M$3:$O$3))/10^9,0)</f>
        <v>-0.05367936814</v>
      </c>
      <c r="W510" s="177">
        <f>IF(Model!AC$1&lt;='Assumptions (NG)'!$V$12,PPMT('Assumptions (NG)'!$V$9,Model!AC$1,'Assumptions (NG)'!$V$12,'Assumptions (NG)'!$V$7*Model!$Q$438*AVERAGE('Assumptions (NG)'!$M$2:$O$2)+ Model!$Q$439*AVERAGE('Assumptions (NG)'!$M$3:$O$3))/10^9,0)</f>
        <v>-0.05770532075</v>
      </c>
      <c r="X510" s="177">
        <f>IF(Model!AD$1&lt;='Assumptions (NG)'!$V$12,PPMT('Assumptions (NG)'!$V$9,Model!AD$1,'Assumptions (NG)'!$V$12,'Assumptions (NG)'!$V$7*Model!$Q$438*AVERAGE('Assumptions (NG)'!$M$2:$O$2)+ Model!$Q$439*AVERAGE('Assumptions (NG)'!$M$3:$O$3))/10^9,0)</f>
        <v>-0.0620332198</v>
      </c>
      <c r="Y510" s="177">
        <f>IF(Model!AE$1&lt;='Assumptions (NG)'!$V$12,PPMT('Assumptions (NG)'!$V$9,Model!AE$1,'Assumptions (NG)'!$V$12,'Assumptions (NG)'!$V$7*Model!$Q$438*AVERAGE('Assumptions (NG)'!$M$2:$O$2)+ Model!$Q$439*AVERAGE('Assumptions (NG)'!$M$3:$O$3))/10^9,0)</f>
        <v>-0.06668571129</v>
      </c>
      <c r="Z510" s="177">
        <f>IF(Model!AF$1&lt;='Assumptions (NG)'!$V$12,PPMT('Assumptions (NG)'!$V$9,Model!AF$1,'Assumptions (NG)'!$V$12,'Assumptions (NG)'!$V$7*Model!$Q$438*AVERAGE('Assumptions (NG)'!$M$2:$O$2)+ Model!$Q$439*AVERAGE('Assumptions (NG)'!$M$3:$O$3))/10^9,0)</f>
        <v>-0.07168713963</v>
      </c>
      <c r="AA510" s="177"/>
      <c r="AB510" s="177"/>
      <c r="AC510" s="177"/>
      <c r="AD510" s="177"/>
      <c r="AE510" s="177"/>
      <c r="AF510" s="160"/>
      <c r="AG510" s="160"/>
      <c r="AH510" s="160"/>
      <c r="AI510" s="160"/>
      <c r="AJ510" s="160"/>
      <c r="AK510" s="160"/>
      <c r="AL510" s="160"/>
      <c r="AM510" s="160"/>
      <c r="AN510" s="160"/>
      <c r="AO510" s="160"/>
      <c r="AU510" s="160"/>
      <c r="AV510" s="160"/>
      <c r="AW510" s="160"/>
      <c r="AX510" s="160"/>
      <c r="AY510" s="160"/>
      <c r="AZ510" s="160"/>
      <c r="BA510" s="160"/>
    </row>
    <row r="511" ht="15.75" hidden="1" customHeight="1" outlineLevel="1">
      <c r="A511" s="209"/>
      <c r="B511" s="38"/>
      <c r="C511" s="160"/>
      <c r="D511" s="160"/>
      <c r="E511" s="160"/>
      <c r="F511" s="160"/>
      <c r="G511" s="160"/>
      <c r="H511" s="160"/>
      <c r="I511" s="160"/>
      <c r="J511" s="160"/>
      <c r="K511" s="160"/>
      <c r="L511" s="160"/>
      <c r="M511" s="160"/>
      <c r="N511" s="160"/>
      <c r="O511" s="160"/>
      <c r="P511" s="179"/>
      <c r="Q511" s="160"/>
      <c r="R511" s="177">
        <f>IF(Model!W$1&lt;='Assumptions (NG)'!$V$12,PPMT('Assumptions (NG)'!$V$9,Model!W$1,'Assumptions (NG)'!$V$12,'Assumptions (NG)'!$V$7*Model!$R$438*AVERAGE('Assumptions (NG)'!$N$2:$P$2)+ Model!$R$439*AVERAGE('Assumptions (NG)'!$N$3:$P$3))/10^9,0)</f>
        <v>-0.0003063834137</v>
      </c>
      <c r="S511" s="177">
        <f>IF(Model!X$1&lt;='Assumptions (NG)'!$V$12,PPMT('Assumptions (NG)'!$V$9,Model!X$1,'Assumptions (NG)'!$V$12,'Assumptions (NG)'!$V$7*Model!$R$438*AVERAGE('Assumptions (NG)'!$N$2:$P$2)+ Model!$R$439*AVERAGE('Assumptions (NG)'!$N$3:$P$3))/10^9,0)</f>
        <v>-0.0003293621697</v>
      </c>
      <c r="T511" s="177">
        <f>IF(Model!Y$1&lt;='Assumptions (NG)'!$V$12,PPMT('Assumptions (NG)'!$V$9,Model!Y$1,'Assumptions (NG)'!$V$12,'Assumptions (NG)'!$V$7*Model!$R$438*AVERAGE('Assumptions (NG)'!$N$2:$P$2)+ Model!$R$439*AVERAGE('Assumptions (NG)'!$N$3:$P$3))/10^9,0)</f>
        <v>-0.0003540643324</v>
      </c>
      <c r="U511" s="177">
        <f>IF(Model!Z$1&lt;='Assumptions (NG)'!$V$12,PPMT('Assumptions (NG)'!$V$9,Model!Z$1,'Assumptions (NG)'!$V$12,'Assumptions (NG)'!$V$7*Model!$R$438*AVERAGE('Assumptions (NG)'!$N$2:$P$2)+ Model!$R$439*AVERAGE('Assumptions (NG)'!$N$3:$P$3))/10^9,0)</f>
        <v>-0.0003806191573</v>
      </c>
      <c r="V511" s="177">
        <f>IF(Model!AA$1&lt;='Assumptions (NG)'!$V$12,PPMT('Assumptions (NG)'!$V$9,Model!AA$1,'Assumptions (NG)'!$V$12,'Assumptions (NG)'!$V$7*Model!$R$438*AVERAGE('Assumptions (NG)'!$N$2:$P$2)+ Model!$R$439*AVERAGE('Assumptions (NG)'!$N$3:$P$3))/10^9,0)</f>
        <v>-0.0004091655942</v>
      </c>
      <c r="W511" s="177">
        <f>IF(Model!AB$1&lt;='Assumptions (NG)'!$V$12,PPMT('Assumptions (NG)'!$V$9,Model!AB$1,'Assumptions (NG)'!$V$12,'Assumptions (NG)'!$V$7*Model!$R$438*AVERAGE('Assumptions (NG)'!$N$2:$P$2)+ Model!$R$439*AVERAGE('Assumptions (NG)'!$N$3:$P$3))/10^9,0)</f>
        <v>-0.0004398530137</v>
      </c>
      <c r="X511" s="177">
        <f>IF(Model!AC$1&lt;='Assumptions (NG)'!$V$12,PPMT('Assumptions (NG)'!$V$9,Model!AC$1,'Assumptions (NG)'!$V$12,'Assumptions (NG)'!$V$7*Model!$R$438*AVERAGE('Assumptions (NG)'!$N$2:$P$2)+ Model!$R$439*AVERAGE('Assumptions (NG)'!$N$3:$P$3))/10^9,0)</f>
        <v>-0.0004728419897</v>
      </c>
      <c r="Y511" s="177">
        <f>IF(Model!AD$1&lt;='Assumptions (NG)'!$V$12,PPMT('Assumptions (NG)'!$V$9,Model!AD$1,'Assumptions (NG)'!$V$12,'Assumptions (NG)'!$V$7*Model!$R$438*AVERAGE('Assumptions (NG)'!$N$2:$P$2)+ Model!$R$439*AVERAGE('Assumptions (NG)'!$N$3:$P$3))/10^9,0)</f>
        <v>-0.000508305139</v>
      </c>
      <c r="Z511" s="177">
        <f>IF(Model!AE$1&lt;='Assumptions (NG)'!$V$12,PPMT('Assumptions (NG)'!$V$9,Model!AE$1,'Assumptions (NG)'!$V$12,'Assumptions (NG)'!$V$7*Model!$R$438*AVERAGE('Assumptions (NG)'!$N$2:$P$2)+ Model!$R$439*AVERAGE('Assumptions (NG)'!$N$3:$P$3))/10^9,0)</f>
        <v>-0.0005464280244</v>
      </c>
      <c r="AA511" s="177">
        <f>IF(Model!AF$1&lt;='Assumptions (NG)'!$V$12,PPMT('Assumptions (NG)'!$V$9,Model!AF$1,'Assumptions (NG)'!$V$12,'Assumptions (NG)'!$V$7*Model!$R$438*AVERAGE('Assumptions (NG)'!$N$2:$P$2)+ Model!$R$439*AVERAGE('Assumptions (NG)'!$N$3:$P$3))/10^9,0)</f>
        <v>-0.0005874101262</v>
      </c>
      <c r="AB511" s="177"/>
      <c r="AC511" s="177"/>
      <c r="AD511" s="177"/>
      <c r="AE511" s="177"/>
      <c r="AF511" s="177"/>
      <c r="AG511" s="177"/>
      <c r="AH511" s="177"/>
      <c r="AI511" s="177"/>
      <c r="AJ511" s="177"/>
      <c r="AK511" s="177"/>
      <c r="AL511" s="177"/>
      <c r="AM511" s="177"/>
      <c r="AN511" s="177"/>
      <c r="AO511" s="177"/>
      <c r="AP511" s="177"/>
      <c r="AU511" s="160"/>
      <c r="AV511" s="160"/>
      <c r="AW511" s="160"/>
      <c r="AX511" s="160"/>
      <c r="AY511" s="160"/>
      <c r="AZ511" s="160"/>
      <c r="BA511" s="160"/>
    </row>
    <row r="512" ht="15.75" hidden="1" customHeight="1" outlineLevel="1">
      <c r="A512" s="209"/>
      <c r="B512" s="38"/>
      <c r="C512" s="160"/>
      <c r="D512" s="160"/>
      <c r="E512" s="160"/>
      <c r="F512" s="160"/>
      <c r="G512" s="160"/>
      <c r="H512" s="160"/>
      <c r="I512" s="160"/>
      <c r="J512" s="160"/>
      <c r="K512" s="160"/>
      <c r="L512" s="160"/>
      <c r="M512" s="160"/>
      <c r="N512" s="160"/>
      <c r="O512" s="160"/>
      <c r="P512" s="179"/>
      <c r="Q512" s="160"/>
      <c r="R512" s="177"/>
      <c r="S512" s="177">
        <f>IF(Model!W$1&lt;='Assumptions (NG)'!$V$12,PPMT('Assumptions (NG)'!$V$9,Model!W$1,'Assumptions (NG)'!$V$12,'Assumptions (NG)'!$V$7*Model!$S$438*AVERAGE('Assumptions (NG)'!$O$2:$Q$2)+ Model!$S$439*AVERAGE('Assumptions (NG)'!$O$3:$Q$3))/10^9,0)</f>
        <v>0</v>
      </c>
      <c r="T512" s="177">
        <f>IF(Model!X$1&lt;='Assumptions (NG)'!$V$12,PPMT('Assumptions (NG)'!$V$9,Model!X$1,'Assumptions (NG)'!$V$12,'Assumptions (NG)'!$V$7*Model!$S$438*AVERAGE('Assumptions (NG)'!$O$2:$Q$2)+ Model!$S$439*AVERAGE('Assumptions (NG)'!$O$3:$Q$3))/10^9,0)</f>
        <v>0</v>
      </c>
      <c r="U512" s="177">
        <f>IF(Model!Y$1&lt;='Assumptions (NG)'!$V$12,PPMT('Assumptions (NG)'!$V$9,Model!Y$1,'Assumptions (NG)'!$V$12,'Assumptions (NG)'!$V$7*Model!$S$438*AVERAGE('Assumptions (NG)'!$O$2:$Q$2)+ Model!$S$439*AVERAGE('Assumptions (NG)'!$O$3:$Q$3))/10^9,0)</f>
        <v>0</v>
      </c>
      <c r="V512" s="177">
        <f>IF(Model!Z$1&lt;='Assumptions (NG)'!$V$12,PPMT('Assumptions (NG)'!$V$9,Model!Z$1,'Assumptions (NG)'!$V$12,'Assumptions (NG)'!$V$7*Model!$S$438*AVERAGE('Assumptions (NG)'!$O$2:$Q$2)+ Model!$S$439*AVERAGE('Assumptions (NG)'!$O$3:$Q$3))/10^9,0)</f>
        <v>0</v>
      </c>
      <c r="W512" s="177">
        <f>IF(Model!AA$1&lt;='Assumptions (NG)'!$V$12,PPMT('Assumptions (NG)'!$V$9,Model!AA$1,'Assumptions (NG)'!$V$12,'Assumptions (NG)'!$V$7*Model!$S$438*AVERAGE('Assumptions (NG)'!$O$2:$Q$2)+ Model!$S$439*AVERAGE('Assumptions (NG)'!$O$3:$Q$3))/10^9,0)</f>
        <v>0</v>
      </c>
      <c r="X512" s="177">
        <f>IF(Model!AB$1&lt;='Assumptions (NG)'!$V$12,PPMT('Assumptions (NG)'!$V$9,Model!AB$1,'Assumptions (NG)'!$V$12,'Assumptions (NG)'!$V$7*Model!$S$438*AVERAGE('Assumptions (NG)'!$O$2:$Q$2)+ Model!$S$439*AVERAGE('Assumptions (NG)'!$O$3:$Q$3))/10^9,0)</f>
        <v>0</v>
      </c>
      <c r="Y512" s="177">
        <f>IF(Model!AC$1&lt;='Assumptions (NG)'!$V$12,PPMT('Assumptions (NG)'!$V$9,Model!AC$1,'Assumptions (NG)'!$V$12,'Assumptions (NG)'!$V$7*Model!$S$438*AVERAGE('Assumptions (NG)'!$O$2:$Q$2)+ Model!$S$439*AVERAGE('Assumptions (NG)'!$O$3:$Q$3))/10^9,0)</f>
        <v>0</v>
      </c>
      <c r="Z512" s="177">
        <f>IF(Model!AD$1&lt;='Assumptions (NG)'!$V$12,PPMT('Assumptions (NG)'!$V$9,Model!AD$1,'Assumptions (NG)'!$V$12,'Assumptions (NG)'!$V$7*Model!$S$438*AVERAGE('Assumptions (NG)'!$O$2:$Q$2)+ Model!$S$439*AVERAGE('Assumptions (NG)'!$O$3:$Q$3))/10^9,0)</f>
        <v>0</v>
      </c>
      <c r="AA512" s="177">
        <f>IF(Model!AE$1&lt;='Assumptions (NG)'!$V$12,PPMT('Assumptions (NG)'!$V$9,Model!AE$1,'Assumptions (NG)'!$V$12,'Assumptions (NG)'!$V$7*Model!$S$438*AVERAGE('Assumptions (NG)'!$O$2:$Q$2)+ Model!$S$439*AVERAGE('Assumptions (NG)'!$O$3:$Q$3))/10^9,0)</f>
        <v>0</v>
      </c>
      <c r="AB512" s="177">
        <f>IF(Model!AF$1&lt;='Assumptions (NG)'!$V$12,PPMT('Assumptions (NG)'!$V$9,Model!AF$1,'Assumptions (NG)'!$V$12,'Assumptions (NG)'!$V$7*Model!$S$438*AVERAGE('Assumptions (NG)'!$O$2:$Q$2)+ Model!$S$439*AVERAGE('Assumptions (NG)'!$O$3:$Q$3))/10^9,0)</f>
        <v>0</v>
      </c>
      <c r="AC512" s="177"/>
      <c r="AD512" s="177"/>
      <c r="AE512" s="177"/>
      <c r="AF512" s="177"/>
      <c r="AG512" s="177"/>
      <c r="AH512" s="160"/>
      <c r="AI512" s="160"/>
      <c r="AJ512" s="160"/>
      <c r="AK512" s="160"/>
      <c r="AL512" s="160"/>
      <c r="AM512" s="160"/>
      <c r="AN512" s="160"/>
      <c r="AO512" s="160"/>
      <c r="AP512" s="160"/>
      <c r="AQ512" s="160"/>
      <c r="AU512" s="160"/>
      <c r="AV512" s="160"/>
      <c r="AW512" s="160"/>
      <c r="AX512" s="160"/>
      <c r="AY512" s="160"/>
      <c r="AZ512" s="160"/>
      <c r="BA512" s="160"/>
    </row>
    <row r="513" ht="15.75" hidden="1" customHeight="1" outlineLevel="1">
      <c r="A513" s="209"/>
      <c r="B513" s="38"/>
      <c r="C513" s="160"/>
      <c r="D513" s="160"/>
      <c r="E513" s="160"/>
      <c r="F513" s="160"/>
      <c r="G513" s="160"/>
      <c r="H513" s="160"/>
      <c r="I513" s="160"/>
      <c r="J513" s="160"/>
      <c r="K513" s="160"/>
      <c r="L513" s="160"/>
      <c r="M513" s="160"/>
      <c r="N513" s="160"/>
      <c r="O513" s="160"/>
      <c r="P513" s="179"/>
      <c r="Q513" s="160"/>
      <c r="R513" s="177"/>
      <c r="S513" s="177"/>
      <c r="T513" s="177">
        <f>IF(Model!W$1&lt;='Assumptions (NG)'!$V$12,PPMT('Assumptions (NG)'!$V$9,Model!W$1,'Assumptions (NG)'!$V$12,'Assumptions (NG)'!$V$7*Model!$T$438*AVERAGE('Assumptions (NG)'!$P$2:$R$2)+ Model!$T$439*AVERAGE('Assumptions (NG)'!$P$3:$R$3))/10^9,0)</f>
        <v>-0.005637305291</v>
      </c>
      <c r="U513" s="177">
        <f>IF(Model!X$1&lt;='Assumptions (NG)'!$V$12,PPMT('Assumptions (NG)'!$V$9,Model!X$1,'Assumptions (NG)'!$V$12,'Assumptions (NG)'!$V$7*Model!$T$438*AVERAGE('Assumptions (NG)'!$P$2:$R$2)+ Model!$T$439*AVERAGE('Assumptions (NG)'!$P$3:$R$3))/10^9,0)</f>
        <v>-0.006060103188</v>
      </c>
      <c r="V513" s="177">
        <f>IF(Model!Y$1&lt;='Assumptions (NG)'!$V$12,PPMT('Assumptions (NG)'!$V$9,Model!Y$1,'Assumptions (NG)'!$V$12,'Assumptions (NG)'!$V$7*Model!$T$438*AVERAGE('Assumptions (NG)'!$P$2:$R$2)+ Model!$T$439*AVERAGE('Assumptions (NG)'!$P$3:$R$3))/10^9,0)</f>
        <v>-0.006514610927</v>
      </c>
      <c r="W513" s="177">
        <f>IF(Model!Z$1&lt;='Assumptions (NG)'!$V$12,PPMT('Assumptions (NG)'!$V$9,Model!Z$1,'Assumptions (NG)'!$V$12,'Assumptions (NG)'!$V$7*Model!$T$438*AVERAGE('Assumptions (NG)'!$P$2:$R$2)+ Model!$T$439*AVERAGE('Assumptions (NG)'!$P$3:$R$3))/10^9,0)</f>
        <v>-0.007003206746</v>
      </c>
      <c r="X513" s="177">
        <f>IF(Model!AA$1&lt;='Assumptions (NG)'!$V$12,PPMT('Assumptions (NG)'!$V$9,Model!AA$1,'Assumptions (NG)'!$V$12,'Assumptions (NG)'!$V$7*Model!$T$438*AVERAGE('Assumptions (NG)'!$P$2:$R$2)+ Model!$T$439*AVERAGE('Assumptions (NG)'!$P$3:$R$3))/10^9,0)</f>
        <v>-0.007528447252</v>
      </c>
      <c r="Y513" s="177">
        <f>IF(Model!AB$1&lt;='Assumptions (NG)'!$V$12,PPMT('Assumptions (NG)'!$V$9,Model!AB$1,'Assumptions (NG)'!$V$12,'Assumptions (NG)'!$V$7*Model!$T$438*AVERAGE('Assumptions (NG)'!$P$2:$R$2)+ Model!$T$439*AVERAGE('Assumptions (NG)'!$P$3:$R$3))/10^9,0)</f>
        <v>-0.008093080796</v>
      </c>
      <c r="Z513" s="177">
        <f>IF(Model!AC$1&lt;='Assumptions (NG)'!$V$12,PPMT('Assumptions (NG)'!$V$9,Model!AC$1,'Assumptions (NG)'!$V$12,'Assumptions (NG)'!$V$7*Model!$T$438*AVERAGE('Assumptions (NG)'!$P$2:$R$2)+ Model!$T$439*AVERAGE('Assumptions (NG)'!$P$3:$R$3))/10^9,0)</f>
        <v>-0.008700061856</v>
      </c>
      <c r="AA513" s="177">
        <f>IF(Model!AD$1&lt;='Assumptions (NG)'!$V$12,PPMT('Assumptions (NG)'!$V$9,Model!AD$1,'Assumptions (NG)'!$V$12,'Assumptions (NG)'!$V$7*Model!$T$438*AVERAGE('Assumptions (NG)'!$P$2:$R$2)+ Model!$T$439*AVERAGE('Assumptions (NG)'!$P$3:$R$3))/10^9,0)</f>
        <v>-0.009352566495</v>
      </c>
      <c r="AB513" s="177">
        <f>IF(Model!AE$1&lt;='Assumptions (NG)'!$V$12,PPMT('Assumptions (NG)'!$V$9,Model!AE$1,'Assumptions (NG)'!$V$12,'Assumptions (NG)'!$V$7*Model!$T$438*AVERAGE('Assumptions (NG)'!$P$2:$R$2)+ Model!$T$439*AVERAGE('Assumptions (NG)'!$P$3:$R$3))/10^9,0)</f>
        <v>-0.01005400898</v>
      </c>
      <c r="AC513" s="177">
        <f>IF(Model!AF$1&lt;='Assumptions (NG)'!$V$12,PPMT('Assumptions (NG)'!$V$9,Model!AF$1,'Assumptions (NG)'!$V$12,'Assumptions (NG)'!$V$7*Model!$T$438*AVERAGE('Assumptions (NG)'!$P$2:$R$2)+ Model!$T$439*AVERAGE('Assumptions (NG)'!$P$3:$R$3))/10^9,0)</f>
        <v>-0.01080805966</v>
      </c>
      <c r="AD513" s="177"/>
      <c r="AE513" s="177"/>
      <c r="AF513" s="177"/>
      <c r="AG513" s="177"/>
      <c r="AH513" s="177"/>
      <c r="AI513" s="160"/>
      <c r="AJ513" s="160"/>
      <c r="AK513" s="160"/>
      <c r="AL513" s="160"/>
      <c r="AM513" s="160"/>
      <c r="AN513" s="160"/>
      <c r="AO513" s="160"/>
      <c r="AP513" s="160"/>
      <c r="AQ513" s="160"/>
      <c r="AR513" s="160"/>
      <c r="AU513" s="160"/>
      <c r="AV513" s="160"/>
      <c r="AW513" s="160"/>
      <c r="AX513" s="160"/>
      <c r="AY513" s="160"/>
      <c r="AZ513" s="160"/>
      <c r="BA513" s="160"/>
    </row>
    <row r="514" ht="15.75" hidden="1" customHeight="1" outlineLevel="1">
      <c r="A514" s="209"/>
      <c r="B514" s="38"/>
      <c r="C514" s="160"/>
      <c r="D514" s="160"/>
      <c r="E514" s="160"/>
      <c r="F514" s="160"/>
      <c r="G514" s="160"/>
      <c r="H514" s="160"/>
      <c r="I514" s="160"/>
      <c r="J514" s="160"/>
      <c r="K514" s="160"/>
      <c r="L514" s="160"/>
      <c r="M514" s="160"/>
      <c r="N514" s="160"/>
      <c r="O514" s="160"/>
      <c r="P514" s="179"/>
      <c r="Q514" s="160"/>
      <c r="R514" s="177"/>
      <c r="S514" s="177"/>
      <c r="T514" s="177"/>
      <c r="U514" s="177">
        <f>IF(Model!W$1&lt;='Assumptions (NG)'!$V$12,PPMT('Assumptions (NG)'!$V$9,Model!W$1,'Assumptions (NG)'!$V$12,'Assumptions (NG)'!$V$7*Model!$U$438*AVERAGE('Assumptions (NG)'!$Q$2:$S$2)+ Model!$U$439*AVERAGE('Assumptions (NG)'!$Q$3:$S3))/10^9,0)</f>
        <v>-0.1220349468</v>
      </c>
      <c r="V514" s="177">
        <f>IF(Model!X$1&lt;='Assumptions (NG)'!$V$12,PPMT('Assumptions (NG)'!$V$9,Model!X$1,'Assumptions (NG)'!$V$12,'Assumptions (NG)'!$V$7*Model!$U$438*AVERAGE('Assumptions (NG)'!$Q$2:$S$2)+ Model!$U$439*AVERAGE('Assumptions (NG)'!$Q$3:$S3))/10^9,0)</f>
        <v>-0.1311875678</v>
      </c>
      <c r="W514" s="177">
        <f>IF(Model!Y$1&lt;='Assumptions (NG)'!$V$12,PPMT('Assumptions (NG)'!$V$9,Model!Y$1,'Assumptions (NG)'!$V$12,'Assumptions (NG)'!$V$7*Model!$U$438*AVERAGE('Assumptions (NG)'!$Q$2:$S$2)+ Model!$U$439*AVERAGE('Assumptions (NG)'!$Q$3:$S3))/10^9,0)</f>
        <v>-0.1410266354</v>
      </c>
      <c r="X514" s="177">
        <f>IF(Model!Z$1&lt;='Assumptions (NG)'!$V$12,PPMT('Assumptions (NG)'!$V$9,Model!Z$1,'Assumptions (NG)'!$V$12,'Assumptions (NG)'!$V$7*Model!$U$438*AVERAGE('Assumptions (NG)'!$Q$2:$S$2)+ Model!$U$439*AVERAGE('Assumptions (NG)'!$Q$3:$S3))/10^9,0)</f>
        <v>-0.151603633</v>
      </c>
      <c r="Y514" s="177">
        <f>IF(Model!AA$1&lt;='Assumptions (NG)'!$V$12,PPMT('Assumptions (NG)'!$V$9,Model!AA$1,'Assumptions (NG)'!$V$12,'Assumptions (NG)'!$V$7*Model!$U$438*AVERAGE('Assumptions (NG)'!$Q$2:$S$2)+ Model!$U$439*AVERAGE('Assumptions (NG)'!$Q$3:$S3))/10^9,0)</f>
        <v>-0.1629739055</v>
      </c>
      <c r="Z514" s="177">
        <f>IF(Model!AB$1&lt;='Assumptions (NG)'!$V$12,PPMT('Assumptions (NG)'!$V$9,Model!AB$1,'Assumptions (NG)'!$V$12,'Assumptions (NG)'!$V$7*Model!$U$438*AVERAGE('Assumptions (NG)'!$Q$2:$S$2)+ Model!$U$439*AVERAGE('Assumptions (NG)'!$Q$3:$S3))/10^9,0)</f>
        <v>-0.1751969484</v>
      </c>
      <c r="AA514" s="177">
        <f>IF(Model!AC$1&lt;='Assumptions (NG)'!$V$12,PPMT('Assumptions (NG)'!$V$9,Model!AC$1,'Assumptions (NG)'!$V$12,'Assumptions (NG)'!$V$7*Model!$U$438*AVERAGE('Assumptions (NG)'!$Q$2:$S$2)+ Model!$U$439*AVERAGE('Assumptions (NG)'!$Q$3:$S3))/10^9,0)</f>
        <v>-0.1883367195</v>
      </c>
      <c r="AB514" s="177">
        <f>IF(Model!AD$1&lt;='Assumptions (NG)'!$V$12,PPMT('Assumptions (NG)'!$V$9,Model!AD$1,'Assumptions (NG)'!$V$12,'Assumptions (NG)'!$V$7*Model!$U$438*AVERAGE('Assumptions (NG)'!$Q$2:$S$2)+ Model!$U$439*AVERAGE('Assumptions (NG)'!$Q$3:$S3))/10^9,0)</f>
        <v>-0.2024619735</v>
      </c>
      <c r="AC514" s="177">
        <f>IF(Model!AE$1&lt;='Assumptions (NG)'!$V$12,PPMT('Assumptions (NG)'!$V$9,Model!AE$1,'Assumptions (NG)'!$V$12,'Assumptions (NG)'!$V$7*Model!$U$438*AVERAGE('Assumptions (NG)'!$Q$2:$S$2)+ Model!$U$439*AVERAGE('Assumptions (NG)'!$Q$3:$S3))/10^9,0)</f>
        <v>-0.2176466215</v>
      </c>
      <c r="AD514" s="177">
        <f>IF(Model!AF$1&lt;='Assumptions (NG)'!$V$12,PPMT('Assumptions (NG)'!$V$9,Model!AF$1,'Assumptions (NG)'!$V$12,'Assumptions (NG)'!$V$7*Model!$U$438*AVERAGE('Assumptions (NG)'!$Q$2:$S$2)+ Model!$U$439*AVERAGE('Assumptions (NG)'!$Q$3:$S3))/10^9,0)</f>
        <v>-0.2339701181</v>
      </c>
      <c r="AE514" s="177"/>
      <c r="AF514" s="177"/>
      <c r="AG514" s="177"/>
      <c r="AH514" s="177"/>
      <c r="AI514" s="177"/>
      <c r="AJ514" s="160"/>
      <c r="AK514" s="160"/>
      <c r="AL514" s="160"/>
      <c r="AM514" s="160"/>
      <c r="AN514" s="160"/>
      <c r="AO514" s="160"/>
      <c r="AP514" s="160"/>
      <c r="AQ514" s="160"/>
      <c r="AR514" s="160"/>
      <c r="AS514" s="160"/>
      <c r="AU514" s="160"/>
      <c r="AV514" s="160"/>
      <c r="AW514" s="160"/>
      <c r="AX514" s="160"/>
      <c r="AY514" s="160"/>
      <c r="AZ514" s="160"/>
      <c r="BA514" s="160"/>
    </row>
    <row r="515" ht="15.75" hidden="1" customHeight="1" outlineLevel="1">
      <c r="A515" s="209"/>
      <c r="B515" s="38"/>
      <c r="C515" s="160"/>
      <c r="D515" s="160"/>
      <c r="E515" s="160"/>
      <c r="F515" s="160"/>
      <c r="G515" s="160"/>
      <c r="H515" s="160"/>
      <c r="I515" s="160"/>
      <c r="J515" s="160"/>
      <c r="K515" s="160"/>
      <c r="L515" s="160"/>
      <c r="M515" s="160"/>
      <c r="N515" s="160"/>
      <c r="O515" s="160"/>
      <c r="P515" s="179"/>
      <c r="Q515" s="160"/>
      <c r="R515" s="177"/>
      <c r="S515" s="177"/>
      <c r="T515" s="177"/>
      <c r="U515" s="160"/>
      <c r="V515" s="177">
        <f>IF(Model!W$1&lt;='Assumptions (NG)'!$V$12,PPMT('Assumptions (NG)'!$V$9,Model!W$1,'Assumptions (NG)'!$V$12,'Assumptions (NG)'!$V$7*Model!$V$438*AVERAGE('Assumptions (NG)'!$R$2:$T$2)+ Model!$V$439*AVERAGE('Assumptions (NG)'!$R$3:$T3))/10^9,0)</f>
        <v>0</v>
      </c>
      <c r="W515" s="177">
        <f>IF(Model!X$1&lt;='Assumptions (NG)'!$V$12,PPMT('Assumptions (NG)'!$V$9,Model!X$1,'Assumptions (NG)'!$V$12,'Assumptions (NG)'!$V$7*Model!$V$438*AVERAGE('Assumptions (NG)'!$R$2:$T$2)+ Model!$V$439*AVERAGE('Assumptions (NG)'!$R$3:$T3))/10^9,0)</f>
        <v>0</v>
      </c>
      <c r="X515" s="177">
        <f>IF(Model!Y$1&lt;='Assumptions (NG)'!$V$12,PPMT('Assumptions (NG)'!$V$9,Model!Y$1,'Assumptions (NG)'!$V$12,'Assumptions (NG)'!$V$7*Model!$V$438*AVERAGE('Assumptions (NG)'!$R$2:$T$2)+ Model!$V$439*AVERAGE('Assumptions (NG)'!$R$3:$T3))/10^9,0)</f>
        <v>0</v>
      </c>
      <c r="Y515" s="177">
        <f>IF(Model!Z$1&lt;='Assumptions (NG)'!$V$12,PPMT('Assumptions (NG)'!$V$9,Model!Z$1,'Assumptions (NG)'!$V$12,'Assumptions (NG)'!$V$7*Model!$V$438*AVERAGE('Assumptions (NG)'!$R$2:$T$2)+ Model!$V$439*AVERAGE('Assumptions (NG)'!$R$3:$T3))/10^9,0)</f>
        <v>0</v>
      </c>
      <c r="Z515" s="177">
        <f>IF(Model!AA$1&lt;='Assumptions (NG)'!$V$12,PPMT('Assumptions (NG)'!$V$9,Model!AA$1,'Assumptions (NG)'!$V$12,'Assumptions (NG)'!$V$7*Model!$V$438*AVERAGE('Assumptions (NG)'!$R$2:$T$2)+ Model!$V$439*AVERAGE('Assumptions (NG)'!$R$3:$T3))/10^9,0)</f>
        <v>0</v>
      </c>
      <c r="AA515" s="177">
        <f>IF(Model!AB$1&lt;='Assumptions (NG)'!$V$12,PPMT('Assumptions (NG)'!$V$9,Model!AB$1,'Assumptions (NG)'!$V$12,'Assumptions (NG)'!$V$7*Model!$V$438*AVERAGE('Assumptions (NG)'!$R$2:$T$2)+ Model!$V$439*AVERAGE('Assumptions (NG)'!$R$3:$T3))/10^9,0)</f>
        <v>0</v>
      </c>
      <c r="AB515" s="177">
        <f>IF(Model!AC$1&lt;='Assumptions (NG)'!$V$12,PPMT('Assumptions (NG)'!$V$9,Model!AC$1,'Assumptions (NG)'!$V$12,'Assumptions (NG)'!$V$7*Model!$V$438*AVERAGE('Assumptions (NG)'!$R$2:$T$2)+ Model!$V$439*AVERAGE('Assumptions (NG)'!$R$3:$T3))/10^9,0)</f>
        <v>0</v>
      </c>
      <c r="AC515" s="177">
        <f>IF(Model!AD$1&lt;='Assumptions (NG)'!$V$12,PPMT('Assumptions (NG)'!$V$9,Model!AD$1,'Assumptions (NG)'!$V$12,'Assumptions (NG)'!$V$7*Model!$V$438*AVERAGE('Assumptions (NG)'!$R$2:$T$2)+ Model!$V$439*AVERAGE('Assumptions (NG)'!$R$3:$T3))/10^9,0)</f>
        <v>0</v>
      </c>
      <c r="AD515" s="177">
        <f>IF(Model!AE$1&lt;='Assumptions (NG)'!$V$12,PPMT('Assumptions (NG)'!$V$9,Model!AE$1,'Assumptions (NG)'!$V$12,'Assumptions (NG)'!$V$7*Model!$V$438*AVERAGE('Assumptions (NG)'!$R$2:$T$2)+ Model!$V$439*AVERAGE('Assumptions (NG)'!$R$3:$T3))/10^9,0)</f>
        <v>0</v>
      </c>
      <c r="AE515" s="177">
        <f>IF(Model!AF$1&lt;='Assumptions (NG)'!$V$12,PPMT('Assumptions (NG)'!$V$9,Model!AF$1,'Assumptions (NG)'!$V$12,'Assumptions (NG)'!$V$7*Model!$V$438*AVERAGE('Assumptions (NG)'!$R$2:$T$2)+ Model!$V$439*AVERAGE('Assumptions (NG)'!$R$3:$T3))/10^9,0)</f>
        <v>0</v>
      </c>
      <c r="AF515" s="177"/>
      <c r="AG515" s="177"/>
      <c r="AH515" s="177"/>
      <c r="AI515" s="177"/>
      <c r="AJ515" s="177"/>
      <c r="AK515" s="160"/>
      <c r="AL515" s="160"/>
      <c r="AM515" s="160"/>
      <c r="AN515" s="160"/>
      <c r="AO515" s="160"/>
      <c r="AP515" s="160"/>
      <c r="AQ515" s="160"/>
      <c r="AR515" s="160"/>
      <c r="AS515" s="160"/>
      <c r="AT515" s="160"/>
      <c r="AU515" s="160"/>
      <c r="AV515" s="160"/>
      <c r="AW515" s="160"/>
      <c r="AX515" s="160"/>
      <c r="AY515" s="160"/>
      <c r="AZ515" s="160"/>
      <c r="BA515" s="160"/>
    </row>
    <row r="516" ht="15.75" hidden="1" customHeight="1" outlineLevel="1">
      <c r="A516" s="209"/>
      <c r="B516" s="38"/>
      <c r="C516" s="174"/>
      <c r="D516" s="174"/>
      <c r="E516" s="174"/>
      <c r="F516" s="174"/>
      <c r="G516" s="174"/>
      <c r="H516" s="174"/>
      <c r="I516" s="174"/>
      <c r="J516" s="174"/>
      <c r="K516" s="174"/>
      <c r="L516" s="174"/>
      <c r="M516" s="174"/>
      <c r="N516" s="174"/>
      <c r="O516" s="174"/>
      <c r="P516" s="174"/>
      <c r="Q516" s="174"/>
      <c r="R516" s="174"/>
      <c r="S516" s="174"/>
      <c r="T516" s="174"/>
      <c r="U516" s="174"/>
      <c r="V516" s="174"/>
      <c r="W516" s="177">
        <f>IF(Model!W$1&lt;='Assumptions (NG)'!$V$12,PPMT('Assumptions (NG)'!$V$9,Model!W$1,'Assumptions (NG)'!$V$12,'Assumptions (NG)'!$V$7*Model!$W$438*AVERAGE('Assumptions (NG)'!$S$2:$U$2)+ Model!$W$439*AVERAGE('Assumptions (NG)'!$S$3:$U3))/10^9,0)</f>
        <v>0</v>
      </c>
      <c r="X516" s="177">
        <f>IF(Model!X$1&lt;='Assumptions (NG)'!$V$12,PPMT('Assumptions (NG)'!$V$9,Model!X$1,'Assumptions (NG)'!$V$12,'Assumptions (NG)'!$V$7*Model!$W$438*AVERAGE('Assumptions (NG)'!$S$2:$U$2)+ Model!$W$439*AVERAGE('Assumptions (NG)'!$S$3:$U3))/10^9,0)</f>
        <v>0</v>
      </c>
      <c r="Y516" s="177">
        <f>IF(Model!Y$1&lt;='Assumptions (NG)'!$V$12,PPMT('Assumptions (NG)'!$V$9,Model!Y$1,'Assumptions (NG)'!$V$12,'Assumptions (NG)'!$V$7*Model!$W$438*AVERAGE('Assumptions (NG)'!$S$2:$U$2)+ Model!$W$439*AVERAGE('Assumptions (NG)'!$S$3:$U3))/10^9,0)</f>
        <v>0</v>
      </c>
      <c r="Z516" s="177">
        <f>IF(Model!Z$1&lt;='Assumptions (NG)'!$V$12,PPMT('Assumptions (NG)'!$V$9,Model!Z$1,'Assumptions (NG)'!$V$12,'Assumptions (NG)'!$V$7*Model!$W$438*AVERAGE('Assumptions (NG)'!$S$2:$U$2)+ Model!$W$439*AVERAGE('Assumptions (NG)'!$S$3:$U3))/10^9,0)</f>
        <v>0</v>
      </c>
      <c r="AA516" s="177">
        <f>IF(Model!AA$1&lt;='Assumptions (NG)'!$V$12,PPMT('Assumptions (NG)'!$V$9,Model!AA$1,'Assumptions (NG)'!$V$12,'Assumptions (NG)'!$V$7*Model!$W$438*AVERAGE('Assumptions (NG)'!$S$2:$U$2)+ Model!$W$439*AVERAGE('Assumptions (NG)'!$S$3:$U3))/10^9,0)</f>
        <v>0</v>
      </c>
      <c r="AB516" s="177">
        <f>IF(Model!AB$1&lt;='Assumptions (NG)'!$V$12,PPMT('Assumptions (NG)'!$V$9,Model!AB$1,'Assumptions (NG)'!$V$12,'Assumptions (NG)'!$V$7*Model!$W$438*AVERAGE('Assumptions (NG)'!$S$2:$U$2)+ Model!$W$439*AVERAGE('Assumptions (NG)'!$S$3:$U3))/10^9,0)</f>
        <v>0</v>
      </c>
      <c r="AC516" s="177">
        <f>IF(Model!AC$1&lt;='Assumptions (NG)'!$V$12,PPMT('Assumptions (NG)'!$V$9,Model!AC$1,'Assumptions (NG)'!$V$12,'Assumptions (NG)'!$V$7*Model!$W$438*AVERAGE('Assumptions (NG)'!$S$2:$U$2)+ Model!$W$439*AVERAGE('Assumptions (NG)'!$S$3:$U3))/10^9,0)</f>
        <v>0</v>
      </c>
      <c r="AD516" s="177">
        <f>IF(Model!AD$1&lt;='Assumptions (NG)'!$V$12,PPMT('Assumptions (NG)'!$V$9,Model!AD$1,'Assumptions (NG)'!$V$12,'Assumptions (NG)'!$V$7*Model!$W$438*AVERAGE('Assumptions (NG)'!$S$2:$U$2)+ Model!$W$439*AVERAGE('Assumptions (NG)'!$S$3:$U3))/10^9,0)</f>
        <v>0</v>
      </c>
      <c r="AE516" s="177">
        <f>IF(Model!AE$1&lt;='Assumptions (NG)'!$V$12,PPMT('Assumptions (NG)'!$V$9,Model!AE$1,'Assumptions (NG)'!$V$12,'Assumptions (NG)'!$V$7*Model!$W$438*AVERAGE('Assumptions (NG)'!$S$2:$U$2)+ Model!$W$439*AVERAGE('Assumptions (NG)'!$S$3:$U3))/10^9,0)</f>
        <v>0</v>
      </c>
      <c r="AF516" s="177">
        <f>IF(Model!AF$1&lt;='Assumptions (NG)'!$V$12,PPMT('Assumptions (NG)'!$V$9,Model!AF$1,'Assumptions (NG)'!$V$12,'Assumptions (NG)'!$V$7*Model!$W$438*AVERAGE('Assumptions (NG)'!$S$2:$U$2)+ Model!$W$439*AVERAGE('Assumptions (NG)'!$S$3:$U3))/10^9,0)</f>
        <v>0</v>
      </c>
      <c r="AG516" s="177"/>
      <c r="AH516" s="177"/>
      <c r="AI516" s="177"/>
      <c r="AJ516" s="177"/>
      <c r="AK516" s="177"/>
      <c r="AL516" s="176"/>
      <c r="AM516" s="176"/>
      <c r="AN516" s="176"/>
      <c r="AO516" s="176"/>
      <c r="AP516" s="176"/>
      <c r="AQ516" s="176"/>
      <c r="AR516" s="176"/>
      <c r="AS516" s="176"/>
      <c r="AT516" s="176"/>
      <c r="AU516" s="176"/>
      <c r="AV516" s="160"/>
      <c r="AW516" s="160"/>
      <c r="AX516" s="160"/>
      <c r="AY516" s="160"/>
      <c r="AZ516" s="160"/>
      <c r="BA516" s="160"/>
    </row>
    <row r="517" ht="15.75" hidden="1" customHeight="1" outlineLevel="1">
      <c r="A517" s="209"/>
      <c r="B517" s="38"/>
      <c r="C517" s="174"/>
      <c r="D517" s="174"/>
      <c r="E517" s="174"/>
      <c r="F517" s="174"/>
      <c r="G517" s="174"/>
      <c r="H517" s="174"/>
      <c r="I517" s="174"/>
      <c r="J517" s="174"/>
      <c r="K517" s="174"/>
      <c r="L517" s="174"/>
      <c r="M517" s="174"/>
      <c r="N517" s="174"/>
      <c r="O517" s="174"/>
      <c r="P517" s="174"/>
      <c r="Q517" s="174"/>
      <c r="R517" s="174"/>
      <c r="S517" s="174"/>
      <c r="T517" s="174"/>
      <c r="U517" s="174"/>
      <c r="V517" s="174"/>
      <c r="W517" s="160"/>
      <c r="X517" s="221">
        <f>IF(Model!W$1&lt;='Assumptions (NG)'!$V$12,PPMT('Assumptions (NG)'!$V$9,Model!W$1,'Assumptions (NG)'!$V$12,'Assumptions (NG)'!$V$7*Model!$X$438*AVERAGE('Assumptions (NG)'!$T$2:$V$2)+ Model!$X$439*AVERAGE('Assumptions (NG)'!$T$3:$V3))/10^9,0)</f>
        <v>-0.2749798741</v>
      </c>
      <c r="Y517" s="221">
        <f>IF(Model!X$1&lt;='Assumptions (NG)'!$V$12,PPMT('Assumptions (NG)'!$V$9,Model!X$1,'Assumptions (NG)'!$V$12,'Assumptions (NG)'!$V$7*Model!$X$438*AVERAGE('Assumptions (NG)'!$T$2:$V$2)+ Model!$X$439*AVERAGE('Assumptions (NG)'!$T$3:$V3))/10^9,0)</f>
        <v>-0.2956033646</v>
      </c>
      <c r="Z517" s="221">
        <f>IF(Model!Y$1&lt;='Assumptions (NG)'!$V$12,PPMT('Assumptions (NG)'!$V$9,Model!Y$1,'Assumptions (NG)'!$V$12,'Assumptions (NG)'!$V$7*Model!$X$438*AVERAGE('Assumptions (NG)'!$T$2:$V$2)+ Model!$X$439*AVERAGE('Assumptions (NG)'!$T$3:$V3))/10^9,0)</f>
        <v>-0.317773617</v>
      </c>
      <c r="AA517" s="221">
        <f>IF(Model!Z$1&lt;='Assumptions (NG)'!$V$12,PPMT('Assumptions (NG)'!$V$9,Model!Z$1,'Assumptions (NG)'!$V$12,'Assumptions (NG)'!$V$7*Model!$X$438*AVERAGE('Assumptions (NG)'!$T$2:$V$2)+ Model!$X$439*AVERAGE('Assumptions (NG)'!$T$3:$V3))/10^9,0)</f>
        <v>-0.3416066382</v>
      </c>
      <c r="AB517" s="221">
        <f>IF(Model!AA$1&lt;='Assumptions (NG)'!$V$12,PPMT('Assumptions (NG)'!$V$9,Model!AA$1,'Assumptions (NG)'!$V$12,'Assumptions (NG)'!$V$7*Model!$X$438*AVERAGE('Assumptions (NG)'!$T$2:$V$2)+ Model!$X$439*AVERAGE('Assumptions (NG)'!$T$3:$V3))/10^9,0)</f>
        <v>-0.3672271361</v>
      </c>
      <c r="AC517" s="221">
        <f>IF(Model!AB$1&lt;='Assumptions (NG)'!$V$12,PPMT('Assumptions (NG)'!$V$9,Model!AB$1,'Assumptions (NG)'!$V$12,'Assumptions (NG)'!$V$7*Model!$X$438*AVERAGE('Assumptions (NG)'!$T$2:$V$2)+ Model!$X$439*AVERAGE('Assumptions (NG)'!$T$3:$V3))/10^9,0)</f>
        <v>-0.3947691713</v>
      </c>
      <c r="AD517" s="221">
        <f>IF(Model!AC$1&lt;='Assumptions (NG)'!$V$12,PPMT('Assumptions (NG)'!$V$9,Model!AC$1,'Assumptions (NG)'!$V$12,'Assumptions (NG)'!$V$7*Model!$X$438*AVERAGE('Assumptions (NG)'!$T$2:$V$2)+ Model!$X$439*AVERAGE('Assumptions (NG)'!$T$3:$V3))/10^9,0)</f>
        <v>-0.4243768592</v>
      </c>
      <c r="AE517" s="221">
        <f>IF(Model!AD$1&lt;='Assumptions (NG)'!$V$12,PPMT('Assumptions (NG)'!$V$9,Model!AD$1,'Assumptions (NG)'!$V$12,'Assumptions (NG)'!$V$7*Model!$X$438*AVERAGE('Assumptions (NG)'!$T$2:$V$2)+ Model!$X$439*AVERAGE('Assumptions (NG)'!$T$3:$V3))/10^9,0)</f>
        <v>-0.4562051236</v>
      </c>
      <c r="AF517" s="221">
        <f>IF(Model!AE$1&lt;='Assumptions (NG)'!$V$12,PPMT('Assumptions (NG)'!$V$9,Model!AE$1,'Assumptions (NG)'!$V$12,'Assumptions (NG)'!$V$7*Model!$X$438*AVERAGE('Assumptions (NG)'!$T$2:$V$2)+ Model!$X$439*AVERAGE('Assumptions (NG)'!$T$3:$V3))/10^9,0)</f>
        <v>-0.4904205079</v>
      </c>
      <c r="AG517" s="221">
        <f>IF(Model!AF$1&lt;='Assumptions (NG)'!$V$12,PPMT('Assumptions (NG)'!$V$9,Model!AF$1,'Assumptions (NG)'!$V$12,'Assumptions (NG)'!$V$7*Model!$X$438*AVERAGE('Assumptions (NG)'!$T$2:$V$2)+ Model!$X$439*AVERAGE('Assumptions (NG)'!$T$3:$V3))/10^9,0)</f>
        <v>-0.527202046</v>
      </c>
      <c r="AH517" s="221"/>
      <c r="AI517" s="221"/>
      <c r="AJ517" s="221"/>
      <c r="AK517" s="221"/>
      <c r="AL517" s="221"/>
      <c r="AM517" s="219"/>
      <c r="AN517" s="219"/>
      <c r="AO517" s="219"/>
      <c r="AP517" s="219"/>
      <c r="AQ517" s="219"/>
      <c r="AR517" s="219"/>
      <c r="AS517" s="219"/>
      <c r="AT517" s="219"/>
      <c r="AU517" s="219"/>
      <c r="AV517" s="219"/>
      <c r="AW517" s="219"/>
      <c r="AX517" s="219"/>
      <c r="AY517" s="219"/>
      <c r="AZ517" s="219"/>
      <c r="BA517" s="219"/>
      <c r="BB517" s="222"/>
      <c r="BC517" s="222"/>
      <c r="BD517" s="222"/>
      <c r="BE517" s="222"/>
      <c r="BF517" s="222"/>
      <c r="BG517" s="222"/>
      <c r="BH517" s="222"/>
      <c r="BI517" s="222"/>
      <c r="BJ517" s="222"/>
      <c r="BK517" s="222"/>
      <c r="BL517" s="222"/>
      <c r="BM517" s="222"/>
      <c r="BN517" s="222"/>
      <c r="BO517" s="222"/>
    </row>
    <row r="518" ht="15.75" hidden="1" customHeight="1" outlineLevel="1">
      <c r="A518" s="209"/>
      <c r="B518" s="38"/>
      <c r="C518" s="174"/>
      <c r="D518" s="174"/>
      <c r="E518" s="174"/>
      <c r="F518" s="174"/>
      <c r="G518" s="174"/>
      <c r="H518" s="174"/>
      <c r="I518" s="174"/>
      <c r="J518" s="174"/>
      <c r="K518" s="174"/>
      <c r="L518" s="174"/>
      <c r="M518" s="174"/>
      <c r="N518" s="174"/>
      <c r="O518" s="174"/>
      <c r="P518" s="174"/>
      <c r="Q518" s="174"/>
      <c r="R518" s="174"/>
      <c r="S518" s="174"/>
      <c r="T518" s="174"/>
      <c r="U518" s="174"/>
      <c r="V518" s="174"/>
      <c r="W518" s="160"/>
      <c r="X518" s="219"/>
      <c r="Y518" s="219">
        <f>IF(Model!W$1&lt;='Assumptions (NG)'!$V$12,PPMT('Assumptions (NG)'!$V$9,Model!W$1,'Assumptions (NG)'!$V$12,'Assumptions (NG)'!$V$7*Model!$Y$438*AVERAGE('Assumptions (NG)'!$U$2:$W$2)+ Model!$Y$439*AVERAGE('Assumptions (NG)'!$U$3:$W3))/10^9,0)</f>
        <v>-0.06019642128</v>
      </c>
      <c r="Z518" s="219">
        <f>IF(Model!X$1&lt;='Assumptions (NG)'!$V$12,PPMT('Assumptions (NG)'!$V$9,Model!X$1,'Assumptions (NG)'!$V$12,'Assumptions (NG)'!$V$7*Model!$Y$438*AVERAGE('Assumptions (NG)'!$U$2:$W$2)+ Model!$Y$439*AVERAGE('Assumptions (NG)'!$U$3:$W3))/10^9,0)</f>
        <v>-0.06471115287</v>
      </c>
      <c r="AA518" s="219">
        <f>IF(Model!Y$1&lt;='Assumptions (NG)'!$V$12,PPMT('Assumptions (NG)'!$V$9,Model!Y$1,'Assumptions (NG)'!$V$12,'Assumptions (NG)'!$V$7*Model!$Y$438*AVERAGE('Assumptions (NG)'!$U$2:$W$2)+ Model!$Y$439*AVERAGE('Assumptions (NG)'!$U$3:$W3))/10^9,0)</f>
        <v>-0.06956448934</v>
      </c>
      <c r="AB518" s="219">
        <f>IF(Model!Z$1&lt;='Assumptions (NG)'!$V$12,PPMT('Assumptions (NG)'!$V$9,Model!Z$1,'Assumptions (NG)'!$V$12,'Assumptions (NG)'!$V$7*Model!$Y$438*AVERAGE('Assumptions (NG)'!$U$2:$W$2)+ Model!$Y$439*AVERAGE('Assumptions (NG)'!$U$3:$W3))/10^9,0)</f>
        <v>-0.07478182604</v>
      </c>
      <c r="AC518" s="219">
        <f>IF(Model!AA$1&lt;='Assumptions (NG)'!$V$12,PPMT('Assumptions (NG)'!$V$9,Model!AA$1,'Assumptions (NG)'!$V$12,'Assumptions (NG)'!$V$7*Model!$Y$438*AVERAGE('Assumptions (NG)'!$U$2:$W$2)+ Model!$Y$439*AVERAGE('Assumptions (NG)'!$U$3:$W3))/10^9,0)</f>
        <v>-0.08039046299</v>
      </c>
      <c r="AD518" s="219">
        <f>IF(Model!AB$1&lt;='Assumptions (NG)'!$V$12,PPMT('Assumptions (NG)'!$V$9,Model!AB$1,'Assumptions (NG)'!$V$12,'Assumptions (NG)'!$V$7*Model!$Y$438*AVERAGE('Assumptions (NG)'!$U$2:$W$2)+ Model!$Y$439*AVERAGE('Assumptions (NG)'!$U$3:$W3))/10^9,0)</f>
        <v>-0.08641974771</v>
      </c>
      <c r="AE518" s="219">
        <f>IF(Model!AC$1&lt;='Assumptions (NG)'!$V$12,PPMT('Assumptions (NG)'!$V$9,Model!AC$1,'Assumptions (NG)'!$V$12,'Assumptions (NG)'!$V$7*Model!$Y$438*AVERAGE('Assumptions (NG)'!$U$2:$W$2)+ Model!$Y$439*AVERAGE('Assumptions (NG)'!$U$3:$W3))/10^9,0)</f>
        <v>-0.09290122879</v>
      </c>
      <c r="AF518" s="219">
        <f>IF(Model!AD$1&lt;='Assumptions (NG)'!$V$12,PPMT('Assumptions (NG)'!$V$9,Model!AD$1,'Assumptions (NG)'!$V$12,'Assumptions (NG)'!$V$7*Model!$Y$438*AVERAGE('Assumptions (NG)'!$U$2:$W$2)+ Model!$Y$439*AVERAGE('Assumptions (NG)'!$U$3:$W3))/10^9,0)</f>
        <v>-0.09986882095</v>
      </c>
      <c r="AG518" s="219">
        <f>IF(Model!AE$1&lt;='Assumptions (NG)'!$V$12,PPMT('Assumptions (NG)'!$V$9,Model!AE$1,'Assumptions (NG)'!$V$12,'Assumptions (NG)'!$V$7*Model!$Y$438*AVERAGE('Assumptions (NG)'!$U$2:$W$2)+ Model!$Y$439*AVERAGE('Assumptions (NG)'!$U$3:$W3))/10^9,0)</f>
        <v>-0.1073589825</v>
      </c>
      <c r="AH518" s="219">
        <f>IF(Model!AF$1&lt;='Assumptions (NG)'!$V$12,PPMT('Assumptions (NG)'!$V$9,Model!AF$1,'Assumptions (NG)'!$V$12,'Assumptions (NG)'!$V$7*Model!$Y$438*AVERAGE('Assumptions (NG)'!$U$2:$W$2)+ Model!$Y$439*AVERAGE('Assumptions (NG)'!$U$3:$W3))/10^9,0)</f>
        <v>-0.1154109062</v>
      </c>
      <c r="AI518" s="219"/>
      <c r="AJ518" s="219"/>
      <c r="AK518" s="219"/>
      <c r="AL518" s="219"/>
      <c r="AM518" s="219"/>
      <c r="AN518" s="219"/>
      <c r="AO518" s="219"/>
      <c r="AP518" s="219"/>
      <c r="AQ518" s="219"/>
      <c r="AR518" s="219"/>
      <c r="AS518" s="219"/>
      <c r="AT518" s="219"/>
      <c r="AU518" s="219"/>
      <c r="AV518" s="219"/>
      <c r="AW518" s="219"/>
      <c r="AX518" s="219"/>
      <c r="AY518" s="219"/>
      <c r="AZ518" s="219"/>
      <c r="BA518" s="219"/>
      <c r="BB518" s="222"/>
      <c r="BC518" s="222"/>
      <c r="BD518" s="222"/>
      <c r="BE518" s="222"/>
      <c r="BF518" s="222"/>
      <c r="BG518" s="222"/>
      <c r="BH518" s="222"/>
      <c r="BI518" s="222"/>
      <c r="BJ518" s="222"/>
      <c r="BK518" s="222"/>
      <c r="BL518" s="222"/>
      <c r="BM518" s="222"/>
      <c r="BN518" s="222"/>
      <c r="BO518" s="222"/>
    </row>
    <row r="519" ht="15.75" hidden="1" customHeight="1" outlineLevel="1">
      <c r="A519" s="209"/>
      <c r="B519" s="38"/>
      <c r="C519" s="174"/>
      <c r="D519" s="174"/>
      <c r="E519" s="174"/>
      <c r="F519" s="174"/>
      <c r="G519" s="174"/>
      <c r="H519" s="174"/>
      <c r="I519" s="174"/>
      <c r="J519" s="174"/>
      <c r="K519" s="174"/>
      <c r="L519" s="174"/>
      <c r="M519" s="174"/>
      <c r="N519" s="174"/>
      <c r="O519" s="174"/>
      <c r="P519" s="174"/>
      <c r="Q519" s="174"/>
      <c r="R519" s="174"/>
      <c r="S519" s="174"/>
      <c r="T519" s="174"/>
      <c r="U519" s="174"/>
      <c r="V519" s="174"/>
      <c r="W519" s="160"/>
      <c r="X519" s="219"/>
      <c r="Y519" s="219"/>
      <c r="Z519" s="219">
        <f>IF(Model!W$1&lt;='Assumptions (NG)'!$V$12,PPMT('Assumptions (NG)'!$V$9,Model!W$1,'Assumptions (NG)'!$V$12,'Assumptions (NG)'!$V$7*Model!$Z$438*AVERAGE('Assumptions (NG)'!$V$2:$X$2)+ Model!$Z$439*AVERAGE('Assumptions (NG)'!$V$3:$X3))/10^9,0)</f>
        <v>-0.05206866416</v>
      </c>
      <c r="AA519" s="219">
        <f>IF(Model!X$1&lt;='Assumptions (NG)'!$V$12,PPMT('Assumptions (NG)'!$V$9,Model!X$1,'Assumptions (NG)'!$V$12,'Assumptions (NG)'!$V$7*Model!$Z$438*AVERAGE('Assumptions (NG)'!$V$2:$X$2)+ Model!$Z$439*AVERAGE('Assumptions (NG)'!$V$3:$X3))/10^9,0)</f>
        <v>-0.05597381397</v>
      </c>
      <c r="AB519" s="219">
        <f>IF(Model!Y$1&lt;='Assumptions (NG)'!$V$12,PPMT('Assumptions (NG)'!$V$9,Model!Y$1,'Assumptions (NG)'!$V$12,'Assumptions (NG)'!$V$7*Model!$Z$438*AVERAGE('Assumptions (NG)'!$V$2:$X$2)+ Model!$Z$439*AVERAGE('Assumptions (NG)'!$V$3:$X3))/10^9,0)</f>
        <v>-0.06017185002</v>
      </c>
      <c r="AC519" s="219">
        <f>IF(Model!Z$1&lt;='Assumptions (NG)'!$V$12,PPMT('Assumptions (NG)'!$V$9,Model!Z$1,'Assumptions (NG)'!$V$12,'Assumptions (NG)'!$V$7*Model!$Z$438*AVERAGE('Assumptions (NG)'!$V$2:$X$2)+ Model!$Z$439*AVERAGE('Assumptions (NG)'!$V$3:$X3))/10^9,0)</f>
        <v>-0.06468473877</v>
      </c>
      <c r="AD519" s="219">
        <f>IF(Model!AA$1&lt;='Assumptions (NG)'!$V$12,PPMT('Assumptions (NG)'!$V$9,Model!AA$1,'Assumptions (NG)'!$V$12,'Assumptions (NG)'!$V$7*Model!$Z$438*AVERAGE('Assumptions (NG)'!$V$2:$X$2)+ Model!$Z$439*AVERAGE('Assumptions (NG)'!$V$3:$X3))/10^9,0)</f>
        <v>-0.06953609418</v>
      </c>
      <c r="AE519" s="219">
        <f>IF(Model!AB$1&lt;='Assumptions (NG)'!$V$12,PPMT('Assumptions (NG)'!$V$9,Model!AB$1,'Assumptions (NG)'!$V$12,'Assumptions (NG)'!$V$7*Model!$Z$438*AVERAGE('Assumptions (NG)'!$V$2:$X$2)+ Model!$Z$439*AVERAGE('Assumptions (NG)'!$V$3:$X3))/10^9,0)</f>
        <v>-0.07475130124</v>
      </c>
      <c r="AF519" s="219">
        <f>IF(Model!AC$1&lt;='Assumptions (NG)'!$V$12,PPMT('Assumptions (NG)'!$V$9,Model!AC$1,'Assumptions (NG)'!$V$12,'Assumptions (NG)'!$V$7*Model!$Z$438*AVERAGE('Assumptions (NG)'!$V$2:$X$2)+ Model!$Z$439*AVERAGE('Assumptions (NG)'!$V$3:$X3))/10^9,0)</f>
        <v>-0.08035764883</v>
      </c>
      <c r="AG519" s="219">
        <f>IF(Model!AD$1&lt;='Assumptions (NG)'!$V$12,PPMT('Assumptions (NG)'!$V$9,Model!AD$1,'Assumptions (NG)'!$V$12,'Assumptions (NG)'!$V$7*Model!$Z$438*AVERAGE('Assumptions (NG)'!$V$2:$X$2)+ Model!$Z$439*AVERAGE('Assumptions (NG)'!$V$3:$X3))/10^9,0)</f>
        <v>-0.0863844725</v>
      </c>
      <c r="AH519" s="219">
        <f>IF(Model!AE$1&lt;='Assumptions (NG)'!$V$12,PPMT('Assumptions (NG)'!$V$9,Model!AE$1,'Assumptions (NG)'!$V$12,'Assumptions (NG)'!$V$7*Model!$Z$438*AVERAGE('Assumptions (NG)'!$V$2:$X$2)+ Model!$Z$439*AVERAGE('Assumptions (NG)'!$V$3:$X3))/10^9,0)</f>
        <v>-0.09286330793</v>
      </c>
      <c r="AI519" s="219">
        <f>IF(Model!AF$1&lt;='Assumptions (NG)'!$V$12,PPMT('Assumptions (NG)'!$V$9,Model!AF$1,'Assumptions (NG)'!$V$12,'Assumptions (NG)'!$V$7*Model!$Z$438*AVERAGE('Assumptions (NG)'!$V$2:$X$2)+ Model!$Z$439*AVERAGE('Assumptions (NG)'!$V$3:$X3))/10^9,0)</f>
        <v>-0.09982805603</v>
      </c>
      <c r="AJ519" s="219"/>
      <c r="AK519" s="219"/>
      <c r="AL519" s="219"/>
      <c r="AM519" s="219"/>
      <c r="AN519" s="219"/>
      <c r="AO519" s="219"/>
      <c r="AP519" s="219"/>
      <c r="AQ519" s="219"/>
      <c r="AR519" s="219"/>
      <c r="AS519" s="219"/>
      <c r="AT519" s="219"/>
      <c r="AU519" s="219"/>
      <c r="AV519" s="219"/>
      <c r="AW519" s="219"/>
      <c r="AX519" s="219"/>
      <c r="AY519" s="219"/>
      <c r="AZ519" s="219"/>
      <c r="BA519" s="219"/>
      <c r="BB519" s="222"/>
      <c r="BC519" s="222"/>
      <c r="BD519" s="222"/>
      <c r="BE519" s="222"/>
      <c r="BF519" s="222"/>
      <c r="BG519" s="222"/>
      <c r="BH519" s="222"/>
      <c r="BI519" s="222"/>
      <c r="BJ519" s="222"/>
      <c r="BK519" s="222"/>
      <c r="BL519" s="222"/>
      <c r="BM519" s="222"/>
      <c r="BN519" s="222"/>
      <c r="BO519" s="222"/>
    </row>
    <row r="520" ht="15.75" hidden="1" customHeight="1" outlineLevel="1">
      <c r="A520" s="209"/>
      <c r="B520" s="38"/>
      <c r="C520" s="174"/>
      <c r="D520" s="174"/>
      <c r="E520" s="174"/>
      <c r="F520" s="174"/>
      <c r="G520" s="174"/>
      <c r="H520" s="174"/>
      <c r="I520" s="174"/>
      <c r="J520" s="174"/>
      <c r="K520" s="174"/>
      <c r="L520" s="174"/>
      <c r="M520" s="174"/>
      <c r="N520" s="174"/>
      <c r="O520" s="174"/>
      <c r="P520" s="174"/>
      <c r="Q520" s="174"/>
      <c r="R520" s="174"/>
      <c r="S520" s="174"/>
      <c r="T520" s="174"/>
      <c r="U520" s="174"/>
      <c r="V520" s="174"/>
      <c r="W520" s="160"/>
      <c r="X520" s="219"/>
      <c r="Y520" s="219"/>
      <c r="Z520" s="219"/>
      <c r="AA520" s="219">
        <f>IF(Model!W$1&lt;='Assumptions (NG)'!$V$12,PPMT('Assumptions (NG)'!$V$9,Model!W$1,'Assumptions (NG)'!$V$12,'Assumptions (NG)'!$V$7*Model!$AA$438*AVERAGE('Assumptions (NG)'!$W$2:$Y$2)+ Model!$AA$439*AVERAGE('Assumptions (NG)'!$W$3:$Y3))/10^9,0)</f>
        <v>-0.07512225251</v>
      </c>
      <c r="AB520" s="219">
        <f>IF(Model!X$1&lt;='Assumptions (NG)'!$V$12,PPMT('Assumptions (NG)'!$V$9,Model!X$1,'Assumptions (NG)'!$V$12,'Assumptions (NG)'!$V$7*Model!$AA$438*AVERAGE('Assumptions (NG)'!$W$2:$Y$2)+ Model!$AA$439*AVERAGE('Assumptions (NG)'!$W$3:$Y3))/10^9,0)</f>
        <v>-0.08075642145</v>
      </c>
      <c r="AC520" s="219">
        <f>IF(Model!Y$1&lt;='Assumptions (NG)'!$V$12,PPMT('Assumptions (NG)'!$V$9,Model!Y$1,'Assumptions (NG)'!$V$12,'Assumptions (NG)'!$V$7*Model!$AA$438*AVERAGE('Assumptions (NG)'!$W$2:$Y$2)+ Model!$AA$439*AVERAGE('Assumptions (NG)'!$W$3:$Y3))/10^9,0)</f>
        <v>-0.08681315306</v>
      </c>
      <c r="AD520" s="219">
        <f>IF(Model!Z$1&lt;='Assumptions (NG)'!$V$12,PPMT('Assumptions (NG)'!$V$9,Model!Z$1,'Assumptions (NG)'!$V$12,'Assumptions (NG)'!$V$7*Model!$AA$438*AVERAGE('Assumptions (NG)'!$W$2:$Y$2)+ Model!$AA$439*AVERAGE('Assumptions (NG)'!$W$3:$Y3))/10^9,0)</f>
        <v>-0.09332413954</v>
      </c>
      <c r="AE520" s="219">
        <f>IF(Model!AA$1&lt;='Assumptions (NG)'!$V$12,PPMT('Assumptions (NG)'!$V$9,Model!AA$1,'Assumptions (NG)'!$V$12,'Assumptions (NG)'!$V$7*Model!$AA$438*AVERAGE('Assumptions (NG)'!$W$2:$Y$2)+ Model!$AA$439*AVERAGE('Assumptions (NG)'!$W$3:$Y3))/10^9,0)</f>
        <v>-0.10032345</v>
      </c>
      <c r="AF520" s="219">
        <f>IF(Model!AB$1&lt;='Assumptions (NG)'!$V$12,PPMT('Assumptions (NG)'!$V$9,Model!AB$1,'Assumptions (NG)'!$V$12,'Assumptions (NG)'!$V$7*Model!$AA$438*AVERAGE('Assumptions (NG)'!$W$2:$Y$2)+ Model!$AA$439*AVERAGE('Assumptions (NG)'!$W$3:$Y3))/10^9,0)</f>
        <v>-0.1078477088</v>
      </c>
      <c r="AG520" s="219">
        <f>IF(Model!AC$1&lt;='Assumptions (NG)'!$V$12,PPMT('Assumptions (NG)'!$V$9,Model!AC$1,'Assumptions (NG)'!$V$12,'Assumptions (NG)'!$V$7*Model!$AA$438*AVERAGE('Assumptions (NG)'!$W$2:$Y$2)+ Model!$AA$439*AVERAGE('Assumptions (NG)'!$W$3:$Y3))/10^9,0)</f>
        <v>-0.1159362869</v>
      </c>
      <c r="AH520" s="219">
        <f>IF(Model!AD$1&lt;='Assumptions (NG)'!$V$12,PPMT('Assumptions (NG)'!$V$9,Model!AD$1,'Assumptions (NG)'!$V$12,'Assumptions (NG)'!$V$7*Model!$AA$438*AVERAGE('Assumptions (NG)'!$W$2:$Y$2)+ Model!$AA$439*AVERAGE('Assumptions (NG)'!$W$3:$Y3))/10^9,0)</f>
        <v>-0.1246315084</v>
      </c>
      <c r="AI520" s="219">
        <f>IF(Model!AE$1&lt;='Assumptions (NG)'!$V$12,PPMT('Assumptions (NG)'!$V$9,Model!AE$1,'Assumptions (NG)'!$V$12,'Assumptions (NG)'!$V$7*Model!$AA$438*AVERAGE('Assumptions (NG)'!$W$2:$Y$2)+ Model!$AA$439*AVERAGE('Assumptions (NG)'!$W$3:$Y3))/10^9,0)</f>
        <v>-0.1339788716</v>
      </c>
      <c r="AJ520" s="219">
        <f>IF(Model!AF$1&lt;='Assumptions (NG)'!$V$12,PPMT('Assumptions (NG)'!$V$9,Model!AF$1,'Assumptions (NG)'!$V$12,'Assumptions (NG)'!$V$7*Model!$AA$438*AVERAGE('Assumptions (NG)'!$W$2:$Y$2)+ Model!$AA$439*AVERAGE('Assumptions (NG)'!$W$3:$Y3))/10^9,0)</f>
        <v>-0.1440272869</v>
      </c>
      <c r="AK520" s="219"/>
      <c r="AL520" s="219"/>
      <c r="AM520" s="219"/>
      <c r="AN520" s="219"/>
      <c r="AO520" s="219"/>
      <c r="AP520" s="219"/>
      <c r="AQ520" s="219"/>
      <c r="AR520" s="219"/>
      <c r="AS520" s="219"/>
      <c r="AT520" s="219"/>
      <c r="AU520" s="219"/>
      <c r="AV520" s="219"/>
      <c r="AW520" s="219"/>
      <c r="AX520" s="219"/>
      <c r="AY520" s="219"/>
      <c r="AZ520" s="219"/>
      <c r="BA520" s="219"/>
      <c r="BB520" s="222"/>
      <c r="BC520" s="222"/>
      <c r="BD520" s="222"/>
      <c r="BE520" s="222"/>
      <c r="BF520" s="222"/>
      <c r="BG520" s="222"/>
      <c r="BH520" s="222"/>
      <c r="BI520" s="222"/>
      <c r="BJ520" s="222"/>
      <c r="BK520" s="222"/>
      <c r="BL520" s="222"/>
      <c r="BM520" s="222"/>
      <c r="BN520" s="222"/>
      <c r="BO520" s="222"/>
    </row>
    <row r="521" ht="15.75" hidden="1" customHeight="1" outlineLevel="1">
      <c r="A521" s="209"/>
      <c r="B521" s="38"/>
      <c r="C521" s="174"/>
      <c r="D521" s="174"/>
      <c r="E521" s="174"/>
      <c r="F521" s="174"/>
      <c r="G521" s="174"/>
      <c r="H521" s="174"/>
      <c r="I521" s="174"/>
      <c r="J521" s="174"/>
      <c r="K521" s="174"/>
      <c r="L521" s="174"/>
      <c r="M521" s="174"/>
      <c r="N521" s="174"/>
      <c r="O521" s="174"/>
      <c r="P521" s="174"/>
      <c r="Q521" s="174"/>
      <c r="R521" s="174"/>
      <c r="S521" s="174"/>
      <c r="T521" s="174"/>
      <c r="U521" s="174"/>
      <c r="V521" s="174"/>
      <c r="W521" s="160"/>
      <c r="X521" s="219"/>
      <c r="Y521" s="219"/>
      <c r="Z521" s="219"/>
      <c r="AA521" s="219"/>
      <c r="AB521" s="219">
        <f>IF(Model!W$1&lt;='Assumptions (NG)'!$V$12,PPMT('Assumptions (NG)'!$V$9,Model!W$1,'Assumptions (NG)'!$V$12,'Assumptions (NG)'!$V$7*Model!$AB$438*AVERAGE('Assumptions (NG)'!$X$2:$Z$2)+ Model!$AB$439*AVERAGE('Assumptions (NG)'!$X$3:$Z3))/10^9,0)</f>
        <v>-0.1400130772</v>
      </c>
      <c r="AC521" s="219">
        <f>IF(Model!X$1&lt;='Assumptions (NG)'!$V$12,PPMT('Assumptions (NG)'!$V$9,Model!X$1,'Assumptions (NG)'!$V$12,'Assumptions (NG)'!$V$7*Model!$AB$438*AVERAGE('Assumptions (NG)'!$X$2:$Z$2)+ Model!$AB$439*AVERAGE('Assumptions (NG)'!$X$3:$Z3))/10^9,0)</f>
        <v>-0.150514058</v>
      </c>
      <c r="AD521" s="219">
        <f>IF(Model!Y$1&lt;='Assumptions (NG)'!$V$12,PPMT('Assumptions (NG)'!$V$9,Model!Y$1,'Assumptions (NG)'!$V$12,'Assumptions (NG)'!$V$7*Model!$AB$438*AVERAGE('Assumptions (NG)'!$X$2:$Z$2)+ Model!$AB$439*AVERAGE('Assumptions (NG)'!$X$3:$Z3))/10^9,0)</f>
        <v>-0.1618026123</v>
      </c>
      <c r="AE521" s="219">
        <f>IF(Model!Z$1&lt;='Assumptions (NG)'!$V$12,PPMT('Assumptions (NG)'!$V$9,Model!Z$1,'Assumptions (NG)'!$V$12,'Assumptions (NG)'!$V$7*Model!$AB$438*AVERAGE('Assumptions (NG)'!$X$2:$Z$2)+ Model!$AB$439*AVERAGE('Assumptions (NG)'!$X$3:$Z3))/10^9,0)</f>
        <v>-0.1739378082</v>
      </c>
      <c r="AF521" s="219">
        <f>IF(Model!AA$1&lt;='Assumptions (NG)'!$V$12,PPMT('Assumptions (NG)'!$V$9,Model!AA$1,'Assumptions (NG)'!$V$12,'Assumptions (NG)'!$V$7*Model!$AB$438*AVERAGE('Assumptions (NG)'!$X$2:$Z$2)+ Model!$AB$439*AVERAGE('Assumptions (NG)'!$X$3:$Z3))/10^9,0)</f>
        <v>-0.1869831438</v>
      </c>
      <c r="AG521" s="219">
        <f>IF(Model!AB$1&lt;='Assumptions (NG)'!$V$12,PPMT('Assumptions (NG)'!$V$9,Model!AB$1,'Assumptions (NG)'!$V$12,'Assumptions (NG)'!$V$7*Model!$AB$438*AVERAGE('Assumptions (NG)'!$X$2:$Z$2)+ Model!$AB$439*AVERAGE('Assumptions (NG)'!$X$3:$Z3))/10^9,0)</f>
        <v>-0.2010068796</v>
      </c>
      <c r="AH521" s="219">
        <f>IF(Model!AC$1&lt;='Assumptions (NG)'!$V$12,PPMT('Assumptions (NG)'!$V$9,Model!AC$1,'Assumptions (NG)'!$V$12,'Assumptions (NG)'!$V$7*Model!$AB$438*AVERAGE('Assumptions (NG)'!$X$2:$Z$2)+ Model!$AB$439*AVERAGE('Assumptions (NG)'!$X$3:$Z3))/10^9,0)</f>
        <v>-0.2160823956</v>
      </c>
      <c r="AI521" s="219">
        <f>IF(Model!AD$1&lt;='Assumptions (NG)'!$V$12,PPMT('Assumptions (NG)'!$V$9,Model!AD$1,'Assumptions (NG)'!$V$12,'Assumptions (NG)'!$V$7*Model!$AB$438*AVERAGE('Assumptions (NG)'!$X$2:$Z$2)+ Model!$AB$439*AVERAGE('Assumptions (NG)'!$X$3:$Z3))/10^9,0)</f>
        <v>-0.2322885753</v>
      </c>
      <c r="AJ521" s="219">
        <f>IF(Model!AE$1&lt;='Assumptions (NG)'!$V$12,PPMT('Assumptions (NG)'!$V$9,Model!AE$1,'Assumptions (NG)'!$V$12,'Assumptions (NG)'!$V$7*Model!$AB$438*AVERAGE('Assumptions (NG)'!$X$2:$Z$2)+ Model!$AB$439*AVERAGE('Assumptions (NG)'!$X$3:$Z3))/10^9,0)</f>
        <v>-0.2497102184</v>
      </c>
      <c r="AK521" s="219">
        <f>IF(Model!AF$1&lt;='Assumptions (NG)'!$V$12,PPMT('Assumptions (NG)'!$V$9,Model!AF$1,'Assumptions (NG)'!$V$12,'Assumptions (NG)'!$V$7*Model!$AB$438*AVERAGE('Assumptions (NG)'!$X$2:$Z$2)+ Model!$AB$439*AVERAGE('Assumptions (NG)'!$X$3:$Z3))/10^9,0)</f>
        <v>-0.2684384848</v>
      </c>
      <c r="AL521" s="219"/>
      <c r="AM521" s="219"/>
      <c r="AN521" s="219"/>
      <c r="AO521" s="219"/>
      <c r="AP521" s="219"/>
      <c r="AQ521" s="219"/>
      <c r="AR521" s="219"/>
      <c r="AS521" s="219"/>
      <c r="AT521" s="219"/>
      <c r="AU521" s="219"/>
      <c r="AV521" s="219"/>
      <c r="AW521" s="219"/>
      <c r="AX521" s="219"/>
      <c r="AY521" s="219"/>
      <c r="AZ521" s="219"/>
      <c r="BA521" s="219"/>
      <c r="BB521" s="222"/>
      <c r="BC521" s="222"/>
      <c r="BD521" s="222"/>
      <c r="BE521" s="222"/>
      <c r="BF521" s="222"/>
      <c r="BG521" s="222"/>
      <c r="BH521" s="222"/>
      <c r="BI521" s="222"/>
      <c r="BJ521" s="222"/>
      <c r="BK521" s="222"/>
      <c r="BL521" s="222"/>
      <c r="BM521" s="222"/>
      <c r="BN521" s="222"/>
      <c r="BO521" s="222"/>
    </row>
    <row r="522" ht="15.75" hidden="1" customHeight="1" outlineLevel="1">
      <c r="A522" s="209"/>
      <c r="B522" s="38"/>
      <c r="C522" s="174"/>
      <c r="D522" s="174"/>
      <c r="E522" s="174"/>
      <c r="F522" s="174"/>
      <c r="G522" s="174"/>
      <c r="H522" s="174"/>
      <c r="I522" s="174"/>
      <c r="J522" s="174"/>
      <c r="K522" s="174"/>
      <c r="L522" s="174"/>
      <c r="M522" s="174"/>
      <c r="N522" s="174"/>
      <c r="O522" s="174"/>
      <c r="P522" s="174"/>
      <c r="Q522" s="174"/>
      <c r="R522" s="174"/>
      <c r="S522" s="174"/>
      <c r="T522" s="174"/>
      <c r="U522" s="174"/>
      <c r="V522" s="174"/>
      <c r="W522" s="160"/>
      <c r="X522" s="219"/>
      <c r="Y522" s="219"/>
      <c r="Z522" s="219"/>
      <c r="AA522" s="219"/>
      <c r="AB522" s="219"/>
      <c r="AC522" s="219">
        <f>IF(Model!W$1&lt;='Assumptions (NG)'!$V$12,PPMT('Assumptions (NG)'!$V$9,Model!W$1,'Assumptions (NG)'!$V$12,'Assumptions (NG)'!$V$7*Model!$AC$438*AVERAGE('Assumptions (NG)'!$Y$2:$AA$2)+ Model!$AC$439*AVERAGE('Assumptions (NG)'!$Y$3:$AA3))/10^9,0)</f>
        <v>-0.0390373422</v>
      </c>
      <c r="AD522" s="219">
        <f>IF(Model!X$1&lt;='Assumptions (NG)'!$V$12,PPMT('Assumptions (NG)'!$V$9,Model!X$1,'Assumptions (NG)'!$V$12,'Assumptions (NG)'!$V$7*Model!$AC$438*AVERAGE('Assumptions (NG)'!$Y$2:$AA$2)+ Model!$AC$439*AVERAGE('Assumptions (NG)'!$Y$3:$AA3))/10^9,0)</f>
        <v>-0.04196514286</v>
      </c>
      <c r="AE522" s="219">
        <f>IF(Model!Y$1&lt;='Assumptions (NG)'!$V$12,PPMT('Assumptions (NG)'!$V$9,Model!Y$1,'Assumptions (NG)'!$V$12,'Assumptions (NG)'!$V$7*Model!$AC$438*AVERAGE('Assumptions (NG)'!$Y$2:$AA$2)+ Model!$AC$439*AVERAGE('Assumptions (NG)'!$Y$3:$AA3))/10^9,0)</f>
        <v>-0.04511252858</v>
      </c>
      <c r="AF522" s="219">
        <f>IF(Model!Z$1&lt;='Assumptions (NG)'!$V$12,PPMT('Assumptions (NG)'!$V$9,Model!Z$1,'Assumptions (NG)'!$V$12,'Assumptions (NG)'!$V$7*Model!$AC$438*AVERAGE('Assumptions (NG)'!$Y$2:$AA$2)+ Model!$AC$439*AVERAGE('Assumptions (NG)'!$Y$3:$AA3))/10^9,0)</f>
        <v>-0.04849596822</v>
      </c>
      <c r="AG522" s="219">
        <f>IF(Model!AA$1&lt;='Assumptions (NG)'!$V$12,PPMT('Assumptions (NG)'!$V$9,Model!AA$1,'Assumptions (NG)'!$V$12,'Assumptions (NG)'!$V$7*Model!$AC$438*AVERAGE('Assumptions (NG)'!$Y$2:$AA$2)+ Model!$AC$439*AVERAGE('Assumptions (NG)'!$Y$3:$AA3))/10^9,0)</f>
        <v>-0.05213316584</v>
      </c>
      <c r="AH522" s="219">
        <f>IF(Model!AB$1&lt;='Assumptions (NG)'!$V$12,PPMT('Assumptions (NG)'!$V$9,Model!AB$1,'Assumptions (NG)'!$V$12,'Assumptions (NG)'!$V$7*Model!$AC$438*AVERAGE('Assumptions (NG)'!$Y$2:$AA$2)+ Model!$AC$439*AVERAGE('Assumptions (NG)'!$Y$3:$AA3))/10^9,0)</f>
        <v>-0.05604315327</v>
      </c>
      <c r="AI522" s="219">
        <f>IF(Model!AC$1&lt;='Assumptions (NG)'!$V$12,PPMT('Assumptions (NG)'!$V$9,Model!AC$1,'Assumptions (NG)'!$V$12,'Assumptions (NG)'!$V$7*Model!$AC$438*AVERAGE('Assumptions (NG)'!$Y$2:$AA$2)+ Model!$AC$439*AVERAGE('Assumptions (NG)'!$Y$3:$AA3))/10^9,0)</f>
        <v>-0.06024638977</v>
      </c>
      <c r="AJ522" s="219">
        <f>IF(Model!AD$1&lt;='Assumptions (NG)'!$V$12,PPMT('Assumptions (NG)'!$V$9,Model!AD$1,'Assumptions (NG)'!$V$12,'Assumptions (NG)'!$V$7*Model!$AC$438*AVERAGE('Assumptions (NG)'!$Y$2:$AA$2)+ Model!$AC$439*AVERAGE('Assumptions (NG)'!$Y$3:$AA3))/10^9,0)</f>
        <v>-0.064764869</v>
      </c>
      <c r="AK522" s="219">
        <f>IF(Model!AE$1&lt;='Assumptions (NG)'!$V$12,PPMT('Assumptions (NG)'!$V$9,Model!AE$1,'Assumptions (NG)'!$V$12,'Assumptions (NG)'!$V$7*Model!$AC$438*AVERAGE('Assumptions (NG)'!$Y$2:$AA$2)+ Model!$AC$439*AVERAGE('Assumptions (NG)'!$Y$3:$AA3))/10^9,0)</f>
        <v>-0.06962223418</v>
      </c>
      <c r="AL522" s="219">
        <f>IF(Model!AF$1&lt;='Assumptions (NG)'!$V$12,PPMT('Assumptions (NG)'!$V$9,Model!AF$1,'Assumptions (NG)'!$V$12,'Assumptions (NG)'!$V$7*Model!$AC$438*AVERAGE('Assumptions (NG)'!$Y$2:$AA$2)+ Model!$AC$439*AVERAGE('Assumptions (NG)'!$Y$3:$AA3))/10^9,0)</f>
        <v>-0.07484390174</v>
      </c>
      <c r="AM522" s="219"/>
      <c r="AN522" s="219"/>
      <c r="AO522" s="219"/>
      <c r="AP522" s="219"/>
      <c r="AQ522" s="219"/>
      <c r="AR522" s="219"/>
      <c r="AS522" s="219"/>
      <c r="AT522" s="219"/>
      <c r="AU522" s="219"/>
      <c r="AV522" s="219"/>
      <c r="AW522" s="219"/>
      <c r="AX522" s="219"/>
      <c r="AY522" s="219"/>
      <c r="AZ522" s="219"/>
      <c r="BA522" s="219"/>
      <c r="BB522" s="222"/>
      <c r="BC522" s="222"/>
      <c r="BD522" s="222"/>
      <c r="BE522" s="222"/>
      <c r="BF522" s="222"/>
      <c r="BG522" s="222"/>
      <c r="BH522" s="222"/>
      <c r="BI522" s="222"/>
      <c r="BJ522" s="222"/>
      <c r="BK522" s="222"/>
      <c r="BL522" s="222"/>
      <c r="BM522" s="222"/>
      <c r="BN522" s="222"/>
      <c r="BO522" s="222"/>
    </row>
    <row r="523" ht="15.75" hidden="1" customHeight="1" outlineLevel="1">
      <c r="A523" s="209"/>
      <c r="B523" s="38"/>
      <c r="C523" s="174"/>
      <c r="D523" s="174"/>
      <c r="E523" s="174"/>
      <c r="F523" s="174"/>
      <c r="G523" s="174"/>
      <c r="H523" s="174"/>
      <c r="I523" s="174"/>
      <c r="J523" s="174"/>
      <c r="K523" s="174"/>
      <c r="L523" s="174"/>
      <c r="M523" s="174"/>
      <c r="N523" s="174"/>
      <c r="O523" s="174"/>
      <c r="P523" s="174"/>
      <c r="Q523" s="174"/>
      <c r="R523" s="174"/>
      <c r="S523" s="174"/>
      <c r="T523" s="174"/>
      <c r="U523" s="174"/>
      <c r="V523" s="174"/>
      <c r="W523" s="160"/>
      <c r="X523" s="219"/>
      <c r="Y523" s="219"/>
      <c r="Z523" s="219"/>
      <c r="AA523" s="219"/>
      <c r="AB523" s="219"/>
      <c r="AC523" s="219"/>
      <c r="AD523" s="219">
        <f>IF(Model!W$1&lt;='Assumptions (NG)'!$V$12,PPMT('Assumptions (NG)'!$V$9,Model!W$1,'Assumptions (NG)'!$V$12,'Assumptions (NG)'!$V$7*Model!$AD$438*AVERAGE('Assumptions (NG)'!$Z$2:$AB$2)+ Model!$AD$439*AVERAGE('Assumptions (NG)'!$Z$3:$AB3))/10^9,0)</f>
        <v>-0.03981396035</v>
      </c>
      <c r="AE523" s="219">
        <f>IF(Model!X$1&lt;='Assumptions (NG)'!$V$12,PPMT('Assumptions (NG)'!$V$9,Model!X$1,'Assumptions (NG)'!$V$12,'Assumptions (NG)'!$V$7*Model!$AD$438*AVERAGE('Assumptions (NG)'!$Z$2:$AB$2)+ Model!$AD$439*AVERAGE('Assumptions (NG)'!$Z$3:$AB3))/10^9,0)</f>
        <v>-0.04280000738</v>
      </c>
      <c r="AF523" s="219">
        <f>IF(Model!Y$1&lt;='Assumptions (NG)'!$V$12,PPMT('Assumptions (NG)'!$V$9,Model!Y$1,'Assumptions (NG)'!$V$12,'Assumptions (NG)'!$V$7*Model!$AD$438*AVERAGE('Assumptions (NG)'!$Z$2:$AB$2)+ Model!$AD$439*AVERAGE('Assumptions (NG)'!$Z$3:$AB3))/10^9,0)</f>
        <v>-0.04601000793</v>
      </c>
      <c r="AG523" s="219">
        <f>IF(Model!Z$1&lt;='Assumptions (NG)'!$V$12,PPMT('Assumptions (NG)'!$V$9,Model!Z$1,'Assumptions (NG)'!$V$12,'Assumptions (NG)'!$V$7*Model!$AD$438*AVERAGE('Assumptions (NG)'!$Z$2:$AB$2)+ Model!$AD$439*AVERAGE('Assumptions (NG)'!$Z$3:$AB3))/10^9,0)</f>
        <v>-0.04946075852</v>
      </c>
      <c r="AH523" s="219">
        <f>IF(Model!AA$1&lt;='Assumptions (NG)'!$V$12,PPMT('Assumptions (NG)'!$V$9,Model!AA$1,'Assumptions (NG)'!$V$12,'Assumptions (NG)'!$V$7*Model!$AD$438*AVERAGE('Assumptions (NG)'!$Z$2:$AB$2)+ Model!$AD$439*AVERAGE('Assumptions (NG)'!$Z$3:$AB3))/10^9,0)</f>
        <v>-0.05317031541</v>
      </c>
      <c r="AI523" s="219">
        <f>IF(Model!AB$1&lt;='Assumptions (NG)'!$V$12,PPMT('Assumptions (NG)'!$V$9,Model!AB$1,'Assumptions (NG)'!$V$12,'Assumptions (NG)'!$V$7*Model!$AD$438*AVERAGE('Assumptions (NG)'!$Z$2:$AB$2)+ Model!$AD$439*AVERAGE('Assumptions (NG)'!$Z$3:$AB3))/10^9,0)</f>
        <v>-0.05715808907</v>
      </c>
      <c r="AJ523" s="219">
        <f>IF(Model!AC$1&lt;='Assumptions (NG)'!$V$12,PPMT('Assumptions (NG)'!$V$9,Model!AC$1,'Assumptions (NG)'!$V$12,'Assumptions (NG)'!$V$7*Model!$AD$438*AVERAGE('Assumptions (NG)'!$Z$2:$AB$2)+ Model!$AD$439*AVERAGE('Assumptions (NG)'!$Z$3:$AB3))/10^9,0)</f>
        <v>-0.06144494575</v>
      </c>
      <c r="AK523" s="219">
        <f>IF(Model!AD$1&lt;='Assumptions (NG)'!$V$12,PPMT('Assumptions (NG)'!$V$9,Model!AD$1,'Assumptions (NG)'!$V$12,'Assumptions (NG)'!$V$7*Model!$AD$438*AVERAGE('Assumptions (NG)'!$Z$2:$AB$2)+ Model!$AD$439*AVERAGE('Assumptions (NG)'!$Z$3:$AB3))/10^9,0)</f>
        <v>-0.06605331668</v>
      </c>
      <c r="AL523" s="219">
        <f>IF(Model!AE$1&lt;='Assumptions (NG)'!$V$12,PPMT('Assumptions (NG)'!$V$9,Model!AE$1,'Assumptions (NG)'!$V$12,'Assumptions (NG)'!$V$7*Model!$AD$438*AVERAGE('Assumptions (NG)'!$Z$2:$AB$2)+ Model!$AD$439*AVERAGE('Assumptions (NG)'!$Z$3:$AB3))/10^9,0)</f>
        <v>-0.07100731543</v>
      </c>
      <c r="AM523" s="219">
        <f>IF(Model!AF$1&lt;='Assumptions (NG)'!$V$12,PPMT('Assumptions (NG)'!$V$9,Model!AF$1,'Assumptions (NG)'!$V$12,'Assumptions (NG)'!$V$7*Model!$AD$438*AVERAGE('Assumptions (NG)'!$Z$2:$AB$2)+ Model!$AD$439*AVERAGE('Assumptions (NG)'!$Z$3:$AB3))/10^9,0)</f>
        <v>-0.07633286409</v>
      </c>
      <c r="AN523" s="219"/>
      <c r="AO523" s="219"/>
      <c r="AP523" s="219"/>
      <c r="AQ523" s="219"/>
      <c r="AR523" s="219"/>
      <c r="AS523" s="219"/>
      <c r="AT523" s="219"/>
      <c r="AU523" s="219"/>
      <c r="AV523" s="219"/>
      <c r="AW523" s="219"/>
      <c r="AX523" s="219"/>
      <c r="AY523" s="219"/>
      <c r="AZ523" s="219"/>
      <c r="BA523" s="219"/>
      <c r="BB523" s="219"/>
      <c r="BC523" s="222"/>
      <c r="BD523" s="222"/>
      <c r="BE523" s="222"/>
      <c r="BF523" s="222"/>
      <c r="BG523" s="222"/>
      <c r="BH523" s="222"/>
      <c r="BI523" s="222"/>
      <c r="BJ523" s="222"/>
      <c r="BK523" s="222"/>
      <c r="BL523" s="222"/>
      <c r="BM523" s="222"/>
      <c r="BN523" s="222"/>
      <c r="BO523" s="222"/>
    </row>
    <row r="524" ht="15.75" hidden="1" customHeight="1" outlineLevel="1">
      <c r="A524" s="209"/>
      <c r="B524" s="38"/>
      <c r="C524" s="174"/>
      <c r="D524" s="174"/>
      <c r="E524" s="174"/>
      <c r="F524" s="174"/>
      <c r="G524" s="174"/>
      <c r="H524" s="174"/>
      <c r="I524" s="174"/>
      <c r="J524" s="174"/>
      <c r="K524" s="174"/>
      <c r="L524" s="174"/>
      <c r="M524" s="174"/>
      <c r="N524" s="174"/>
      <c r="O524" s="174"/>
      <c r="P524" s="174"/>
      <c r="Q524" s="174"/>
      <c r="R524" s="174"/>
      <c r="S524" s="174"/>
      <c r="T524" s="174"/>
      <c r="U524" s="174"/>
      <c r="V524" s="174"/>
      <c r="W524" s="160"/>
      <c r="X524" s="219"/>
      <c r="Y524" s="219"/>
      <c r="Z524" s="219"/>
      <c r="AA524" s="219"/>
      <c r="AB524" s="219"/>
      <c r="AC524" s="219"/>
      <c r="AD524" s="219"/>
      <c r="AE524" s="219">
        <f>IF(Model!W$1&lt;='Assumptions (NG)'!$V$12,PPMT('Assumptions (NG)'!$V$9,Model!W$1,'Assumptions (NG)'!$V$12,'Assumptions (NG)'!$V$7*Model!$AE$438*AVERAGE('Assumptions (NG)'!$AA$2:$AC$2)+ Model!$AE$439*AVERAGE('Assumptions (NG)'!$AA$3:$AC3))/10^9,0)</f>
        <v>-0.04060602873</v>
      </c>
      <c r="AF524" s="219">
        <f>IF(Model!X$1&lt;='Assumptions (NG)'!$V$12,PPMT('Assumptions (NG)'!$V$9,Model!X$1,'Assumptions (NG)'!$V$12,'Assumptions (NG)'!$V$7*Model!$AE$438*AVERAGE('Assumptions (NG)'!$AA$2:$AC$2)+ Model!$AE$439*AVERAGE('Assumptions (NG)'!$AA$3:$AC3))/10^9,0)</f>
        <v>-0.04365148088</v>
      </c>
      <c r="AG524" s="219">
        <f>IF(Model!Y$1&lt;='Assumptions (NG)'!$V$12,PPMT('Assumptions (NG)'!$V$9,Model!Y$1,'Assumptions (NG)'!$V$12,'Assumptions (NG)'!$V$7*Model!$AE$438*AVERAGE('Assumptions (NG)'!$AA$2:$AC$2)+ Model!$AE$439*AVERAGE('Assumptions (NG)'!$AA$3:$AC3))/10^9,0)</f>
        <v>-0.04692534195</v>
      </c>
      <c r="AH524" s="219">
        <f>IF(Model!Z$1&lt;='Assumptions (NG)'!$V$12,PPMT('Assumptions (NG)'!$V$9,Model!Z$1,'Assumptions (NG)'!$V$12,'Assumptions (NG)'!$V$7*Model!$AE$438*AVERAGE('Assumptions (NG)'!$AA$2:$AC$2)+ Model!$AE$439*AVERAGE('Assumptions (NG)'!$AA$3:$AC3))/10^9,0)</f>
        <v>-0.05044474259</v>
      </c>
      <c r="AI524" s="219">
        <f>IF(Model!AA$1&lt;='Assumptions (NG)'!$V$12,PPMT('Assumptions (NG)'!$V$9,Model!AA$1,'Assumptions (NG)'!$V$12,'Assumptions (NG)'!$V$7*Model!$AE$438*AVERAGE('Assumptions (NG)'!$AA$2:$AC$2)+ Model!$AE$439*AVERAGE('Assumptions (NG)'!$AA$3:$AC3))/10^9,0)</f>
        <v>-0.05422809829</v>
      </c>
      <c r="AJ524" s="219">
        <f>IF(Model!AB$1&lt;='Assumptions (NG)'!$V$12,PPMT('Assumptions (NG)'!$V$9,Model!AB$1,'Assumptions (NG)'!$V$12,'Assumptions (NG)'!$V$7*Model!$AE$438*AVERAGE('Assumptions (NG)'!$AA$2:$AC$2)+ Model!$AE$439*AVERAGE('Assumptions (NG)'!$AA$3:$AC3))/10^9,0)</f>
        <v>-0.05829520566</v>
      </c>
      <c r="AK524" s="219">
        <f>IF(Model!AC$1&lt;='Assumptions (NG)'!$V$12,PPMT('Assumptions (NG)'!$V$9,Model!AC$1,'Assumptions (NG)'!$V$12,'Assumptions (NG)'!$V$7*Model!$AE$438*AVERAGE('Assumptions (NG)'!$AA$2:$AC$2)+ Model!$AE$439*AVERAGE('Assumptions (NG)'!$AA$3:$AC3))/10^9,0)</f>
        <v>-0.06266734608</v>
      </c>
      <c r="AL524" s="219">
        <f>IF(Model!AD$1&lt;='Assumptions (NG)'!$V$12,PPMT('Assumptions (NG)'!$V$9,Model!AD$1,'Assumptions (NG)'!$V$12,'Assumptions (NG)'!$V$7*Model!$AE$438*AVERAGE('Assumptions (NG)'!$AA$2:$AC$2)+ Model!$AE$439*AVERAGE('Assumptions (NG)'!$AA$3:$AC3))/10^9,0)</f>
        <v>-0.06736739704</v>
      </c>
      <c r="AM524" s="219">
        <f>IF(Model!AE$1&lt;='Assumptions (NG)'!$V$12,PPMT('Assumptions (NG)'!$V$9,Model!AE$1,'Assumptions (NG)'!$V$12,'Assumptions (NG)'!$V$7*Model!$AE$438*AVERAGE('Assumptions (NG)'!$AA$2:$AC$2)+ Model!$AE$439*AVERAGE('Assumptions (NG)'!$AA$3:$AC3))/10^9,0)</f>
        <v>-0.07241995182</v>
      </c>
      <c r="AN524" s="219">
        <f>IF(Model!AF$1&lt;='Assumptions (NG)'!$V$12,PPMT('Assumptions (NG)'!$V$9,Model!AF$1,'Assumptions (NG)'!$V$12,'Assumptions (NG)'!$V$7*Model!$AE$438*AVERAGE('Assumptions (NG)'!$AA$2:$AC$2)+ Model!$AE$439*AVERAGE('Assumptions (NG)'!$AA$3:$AC3))/10^9,0)</f>
        <v>-0.07785144821</v>
      </c>
      <c r="AO524" s="219"/>
      <c r="AP524" s="219"/>
      <c r="AQ524" s="219"/>
      <c r="AR524" s="219"/>
      <c r="AS524" s="219"/>
      <c r="AT524" s="219"/>
      <c r="AU524" s="219"/>
      <c r="AV524" s="219"/>
      <c r="AW524" s="219"/>
      <c r="AX524" s="219"/>
      <c r="AY524" s="219"/>
      <c r="AZ524" s="219"/>
      <c r="BA524" s="219"/>
      <c r="BB524" s="219"/>
      <c r="BC524" s="219"/>
      <c r="BD524" s="222"/>
      <c r="BE524" s="222"/>
      <c r="BF524" s="222"/>
      <c r="BG524" s="222"/>
      <c r="BH524" s="222"/>
      <c r="BI524" s="222"/>
      <c r="BJ524" s="222"/>
      <c r="BK524" s="222"/>
      <c r="BL524" s="222"/>
      <c r="BM524" s="222"/>
      <c r="BN524" s="222"/>
      <c r="BO524" s="222"/>
    </row>
    <row r="525" ht="15.75" hidden="1" customHeight="1" outlineLevel="1">
      <c r="A525" s="209"/>
      <c r="B525" s="38"/>
      <c r="C525" s="174"/>
      <c r="D525" s="174"/>
      <c r="E525" s="174"/>
      <c r="F525" s="174"/>
      <c r="G525" s="174"/>
      <c r="H525" s="174"/>
      <c r="I525" s="174"/>
      <c r="J525" s="174"/>
      <c r="K525" s="174"/>
      <c r="L525" s="174"/>
      <c r="M525" s="174"/>
      <c r="N525" s="174"/>
      <c r="O525" s="174"/>
      <c r="P525" s="174"/>
      <c r="Q525" s="174"/>
      <c r="R525" s="174"/>
      <c r="S525" s="174"/>
      <c r="T525" s="174"/>
      <c r="U525" s="174"/>
      <c r="V525" s="174"/>
      <c r="W525" s="160"/>
      <c r="X525" s="219"/>
      <c r="Y525" s="219"/>
      <c r="Z525" s="219"/>
      <c r="AA525" s="219"/>
      <c r="AB525" s="219"/>
      <c r="AC525" s="219"/>
      <c r="AD525" s="219"/>
      <c r="AE525" s="219"/>
      <c r="AF525" s="219">
        <f>IF(Model!W$1&lt;='Assumptions (NG)'!$V$12,PPMT('Assumptions (NG)'!$V$9,Model!W$1,'Assumptions (NG)'!$V$12,'Assumptions (NG)'!$V$7*Model!$AF$438*AVERAGE('Assumptions (NG)'!$AB$2:$AD$2)+ Model!$AF$439*AVERAGE('Assumptions (NG)'!$AB$3:$AD3))/10^9,0)</f>
        <v>-0.04211516378</v>
      </c>
      <c r="AG525" s="219">
        <f>IF(Model!X$1&lt;='Assumptions (NG)'!$V$12,PPMT('Assumptions (NG)'!$V$9,Model!X$1,'Assumptions (NG)'!$V$12,'Assumptions (NG)'!$V$7*Model!$AF$438*AVERAGE('Assumptions (NG)'!$AB$2:$AD$2)+ Model!$AF$439*AVERAGE('Assumptions (NG)'!$AB$3:$AD3))/10^9,0)</f>
        <v>-0.04527380107</v>
      </c>
      <c r="AH525" s="219">
        <f>IF(Model!Y$1&lt;='Assumptions (NG)'!$V$12,PPMT('Assumptions (NG)'!$V$9,Model!Y$1,'Assumptions (NG)'!$V$12,'Assumptions (NG)'!$V$7*Model!$AF$438*AVERAGE('Assumptions (NG)'!$AB$2:$AD$2)+ Model!$AF$439*AVERAGE('Assumptions (NG)'!$AB$3:$AD3))/10^9,0)</f>
        <v>-0.04866933615</v>
      </c>
      <c r="AI525" s="219">
        <f>IF(Model!Z$1&lt;='Assumptions (NG)'!$V$12,PPMT('Assumptions (NG)'!$V$9,Model!Z$1,'Assumptions (NG)'!$V$12,'Assumptions (NG)'!$V$7*Model!$AF$438*AVERAGE('Assumptions (NG)'!$AB$2:$AD$2)+ Model!$AF$439*AVERAGE('Assumptions (NG)'!$AB$3:$AD3))/10^9,0)</f>
        <v>-0.05231953636</v>
      </c>
      <c r="AJ525" s="219">
        <f>IF(Model!AA$1&lt;='Assumptions (NG)'!$V$12,PPMT('Assumptions (NG)'!$V$9,Model!AA$1,'Assumptions (NG)'!$V$12,'Assumptions (NG)'!$V$7*Model!$AF$438*AVERAGE('Assumptions (NG)'!$AB$2:$AD$2)+ Model!$AF$439*AVERAGE('Assumptions (NG)'!$AB$3:$AD3))/10^9,0)</f>
        <v>-0.05624350159</v>
      </c>
      <c r="AK525" s="219">
        <f>IF(Model!AB$1&lt;='Assumptions (NG)'!$V$12,PPMT('Assumptions (NG)'!$V$9,Model!AB$1,'Assumptions (NG)'!$V$12,'Assumptions (NG)'!$V$7*Model!$AF$438*AVERAGE('Assumptions (NG)'!$AB$2:$AD$2)+ Model!$AF$439*AVERAGE('Assumptions (NG)'!$AB$3:$AD3))/10^9,0)</f>
        <v>-0.0604617642</v>
      </c>
      <c r="AL525" s="219">
        <f>IF(Model!AC$1&lt;='Assumptions (NG)'!$V$12,PPMT('Assumptions (NG)'!$V$9,Model!AC$1,'Assumptions (NG)'!$V$12,'Assumptions (NG)'!$V$7*Model!$AF$438*AVERAGE('Assumptions (NG)'!$AB$2:$AD$2)+ Model!$AF$439*AVERAGE('Assumptions (NG)'!$AB$3:$AD3))/10^9,0)</f>
        <v>-0.06499639652</v>
      </c>
      <c r="AM525" s="219">
        <f>IF(Model!AD$1&lt;='Assumptions (NG)'!$V$12,PPMT('Assumptions (NG)'!$V$9,Model!AD$1,'Assumptions (NG)'!$V$12,'Assumptions (NG)'!$V$7*Model!$AF$438*AVERAGE('Assumptions (NG)'!$AB$2:$AD$2)+ Model!$AF$439*AVERAGE('Assumptions (NG)'!$AB$3:$AD3))/10^9,0)</f>
        <v>-0.06987112626</v>
      </c>
      <c r="AN525" s="219">
        <f>IF(Model!AE$1&lt;='Assumptions (NG)'!$V$12,PPMT('Assumptions (NG)'!$V$9,Model!AE$1,'Assumptions (NG)'!$V$12,'Assumptions (NG)'!$V$7*Model!$AF$438*AVERAGE('Assumptions (NG)'!$AB$2:$AD$2)+ Model!$AF$439*AVERAGE('Assumptions (NG)'!$AB$3:$AD3))/10^9,0)</f>
        <v>-0.07511146073</v>
      </c>
      <c r="AO525" s="219">
        <f>IF(Model!AF$1&lt;='Assumptions (NG)'!$V$12,PPMT('Assumptions (NG)'!$V$9,Model!AF$1,'Assumptions (NG)'!$V$12,'Assumptions (NG)'!$V$7*Model!$AF$438*AVERAGE('Assumptions (NG)'!$AB$2:$AD$2)+ Model!$AF$439*AVERAGE('Assumptions (NG)'!$AB$3:$AD3))/10^9,0)</f>
        <v>-0.08074482028</v>
      </c>
      <c r="AP525" s="219"/>
      <c r="AQ525" s="219"/>
      <c r="AR525" s="219"/>
      <c r="AS525" s="219"/>
      <c r="AT525" s="219"/>
      <c r="AU525" s="219"/>
      <c r="AV525" s="219"/>
      <c r="AW525" s="219"/>
      <c r="AX525" s="219"/>
      <c r="AY525" s="219"/>
      <c r="AZ525" s="219"/>
      <c r="BA525" s="219"/>
      <c r="BB525" s="219"/>
      <c r="BC525" s="219"/>
      <c r="BD525" s="219"/>
      <c r="BE525" s="222"/>
      <c r="BF525" s="222"/>
      <c r="BG525" s="222"/>
      <c r="BH525" s="222"/>
      <c r="BI525" s="222"/>
      <c r="BJ525" s="222"/>
      <c r="BK525" s="222"/>
      <c r="BL525" s="222"/>
      <c r="BM525" s="222"/>
      <c r="BN525" s="222"/>
      <c r="BO525" s="222"/>
    </row>
    <row r="526" ht="15.75" hidden="1" customHeight="1" outlineLevel="1">
      <c r="A526" s="209"/>
      <c r="B526" s="38"/>
      <c r="C526" s="174"/>
      <c r="D526" s="174"/>
      <c r="E526" s="174"/>
      <c r="F526" s="174"/>
      <c r="G526" s="174"/>
      <c r="H526" s="174"/>
      <c r="I526" s="174"/>
      <c r="J526" s="174"/>
      <c r="K526" s="174"/>
      <c r="L526" s="174"/>
      <c r="M526" s="174"/>
      <c r="N526" s="174"/>
      <c r="O526" s="174"/>
      <c r="P526" s="174"/>
      <c r="Q526" s="174"/>
      <c r="R526" s="174"/>
      <c r="S526" s="174"/>
      <c r="T526" s="174"/>
      <c r="U526" s="174"/>
      <c r="V526" s="174"/>
      <c r="W526" s="160"/>
      <c r="X526" s="219"/>
      <c r="Y526" s="219"/>
      <c r="Z526" s="219"/>
      <c r="AA526" s="219"/>
      <c r="AB526" s="219"/>
      <c r="AC526" s="219"/>
      <c r="AD526" s="219"/>
      <c r="AE526" s="219"/>
      <c r="AF526" s="219"/>
      <c r="AG526" s="219">
        <f>IF(Model!W$1&lt;='Assumptions (NG)'!$V$12,PPMT('Assumptions (NG)'!$V$9,Model!W$1,'Assumptions (NG)'!$V$12,'Assumptions (NG)'!$V$7*Model!$AG$438*AVERAGE('Assumptions (NG)'!$AC$2:$AE$2)+ Model!$AG$439*AVERAGE('Assumptions (NG)'!$AC$3:$AE3))/10^9,0)</f>
        <v>-0.04552795278</v>
      </c>
      <c r="AH526" s="219">
        <f>IF(Model!X$1&lt;='Assumptions (NG)'!$V$12,PPMT('Assumptions (NG)'!$V$9,Model!X$1,'Assumptions (NG)'!$V$12,'Assumptions (NG)'!$V$7*Model!$AG$438*AVERAGE('Assumptions (NG)'!$AC$2:$AE$2)+ Model!$AG$439*AVERAGE('Assumptions (NG)'!$AC$3:$AE3))/10^9,0)</f>
        <v>-0.04894254924</v>
      </c>
      <c r="AI526" s="219">
        <f>IF(Model!Y$1&lt;='Assumptions (NG)'!$V$12,PPMT('Assumptions (NG)'!$V$9,Model!Y$1,'Assumptions (NG)'!$V$12,'Assumptions (NG)'!$V$7*Model!$AG$438*AVERAGE('Assumptions (NG)'!$AC$2:$AE$2)+ Model!$AG$439*AVERAGE('Assumptions (NG)'!$AC$3:$AE3))/10^9,0)</f>
        <v>-0.05261324043</v>
      </c>
      <c r="AJ526" s="219">
        <f>IF(Model!Z$1&lt;='Assumptions (NG)'!$V$12,PPMT('Assumptions (NG)'!$V$9,Model!Z$1,'Assumptions (NG)'!$V$12,'Assumptions (NG)'!$V$7*Model!$AG$438*AVERAGE('Assumptions (NG)'!$AC$2:$AE$2)+ Model!$AG$439*AVERAGE('Assumptions (NG)'!$AC$3:$AE3))/10^9,0)</f>
        <v>-0.05655923346</v>
      </c>
      <c r="AK526" s="219">
        <f>IF(Model!AA$1&lt;='Assumptions (NG)'!$V$12,PPMT('Assumptions (NG)'!$V$9,Model!AA$1,'Assumptions (NG)'!$V$12,'Assumptions (NG)'!$V$7*Model!$AG$438*AVERAGE('Assumptions (NG)'!$AC$2:$AE$2)+ Model!$AG$439*AVERAGE('Assumptions (NG)'!$AC$3:$AE3))/10^9,0)</f>
        <v>-0.06080117597</v>
      </c>
      <c r="AL526" s="219">
        <f>IF(Model!AB$1&lt;='Assumptions (NG)'!$V$12,PPMT('Assumptions (NG)'!$V$9,Model!AB$1,'Assumptions (NG)'!$V$12,'Assumptions (NG)'!$V$7*Model!$AG$438*AVERAGE('Assumptions (NG)'!$AC$2:$AE$2)+ Model!$AG$439*AVERAGE('Assumptions (NG)'!$AC$3:$AE3))/10^9,0)</f>
        <v>-0.06536126417</v>
      </c>
      <c r="AM526" s="219">
        <f>IF(Model!AC$1&lt;='Assumptions (NG)'!$V$12,PPMT('Assumptions (NG)'!$V$9,Model!AC$1,'Assumptions (NG)'!$V$12,'Assumptions (NG)'!$V$7*Model!$AG$438*AVERAGE('Assumptions (NG)'!$AC$2:$AE$2)+ Model!$AG$439*AVERAGE('Assumptions (NG)'!$AC$3:$AE3))/10^9,0)</f>
        <v>-0.07026335898</v>
      </c>
      <c r="AN526" s="219">
        <f>IF(Model!AD$1&lt;='Assumptions (NG)'!$V$12,PPMT('Assumptions (NG)'!$V$9,Model!AD$1,'Assumptions (NG)'!$V$12,'Assumptions (NG)'!$V$7*Model!$AG$438*AVERAGE('Assumptions (NG)'!$AC$2:$AE$2)+ Model!$AG$439*AVERAGE('Assumptions (NG)'!$AC$3:$AE3))/10^9,0)</f>
        <v>-0.0755331109</v>
      </c>
      <c r="AO526" s="219">
        <f>IF(Model!AE$1&lt;='Assumptions (NG)'!$V$12,PPMT('Assumptions (NG)'!$V$9,Model!AE$1,'Assumptions (NG)'!$V$12,'Assumptions (NG)'!$V$7*Model!$AG$438*AVERAGE('Assumptions (NG)'!$AC$2:$AE$2)+ Model!$AG$439*AVERAGE('Assumptions (NG)'!$AC$3:$AE3))/10^9,0)</f>
        <v>-0.08119809422</v>
      </c>
      <c r="AP526" s="219">
        <f>IF(Model!AF$1&lt;='Assumptions (NG)'!$V$12,PPMT('Assumptions (NG)'!$V$9,Model!AF$1,'Assumptions (NG)'!$V$12,'Assumptions (NG)'!$V$7*Model!$AG$438*AVERAGE('Assumptions (NG)'!$AC$2:$AE$2)+ Model!$AG$439*AVERAGE('Assumptions (NG)'!$AC$3:$AE3))/10^9,0)</f>
        <v>-0.08728795129</v>
      </c>
      <c r="AQ526" s="219"/>
      <c r="AR526" s="219"/>
      <c r="AS526" s="219"/>
      <c r="AT526" s="219"/>
      <c r="AU526" s="219"/>
      <c r="AV526" s="219"/>
      <c r="AW526" s="219"/>
      <c r="AX526" s="219"/>
      <c r="AY526" s="219"/>
      <c r="AZ526" s="219"/>
      <c r="BA526" s="219"/>
      <c r="BB526" s="219"/>
      <c r="BC526" s="219"/>
      <c r="BD526" s="219"/>
      <c r="BE526" s="219"/>
      <c r="BF526" s="222"/>
      <c r="BG526" s="222"/>
      <c r="BH526" s="222"/>
      <c r="BI526" s="222"/>
      <c r="BJ526" s="222"/>
      <c r="BK526" s="222"/>
      <c r="BL526" s="222"/>
      <c r="BM526" s="222"/>
      <c r="BN526" s="222"/>
      <c r="BO526" s="222"/>
    </row>
    <row r="527" ht="15.75" hidden="1" customHeight="1" outlineLevel="1">
      <c r="A527" s="209"/>
      <c r="B527" s="38"/>
      <c r="C527" s="174"/>
      <c r="D527" s="174"/>
      <c r="E527" s="174"/>
      <c r="F527" s="174"/>
      <c r="G527" s="174"/>
      <c r="H527" s="174"/>
      <c r="I527" s="174"/>
      <c r="J527" s="174"/>
      <c r="K527" s="174"/>
      <c r="L527" s="174"/>
      <c r="M527" s="174"/>
      <c r="N527" s="174"/>
      <c r="O527" s="174"/>
      <c r="P527" s="174"/>
      <c r="Q527" s="174"/>
      <c r="R527" s="174"/>
      <c r="S527" s="174"/>
      <c r="T527" s="174"/>
      <c r="U527" s="174"/>
      <c r="V527" s="174"/>
      <c r="W527" s="160"/>
      <c r="X527" s="219"/>
      <c r="Y527" s="219"/>
      <c r="Z527" s="219"/>
      <c r="AA527" s="219"/>
      <c r="AB527" s="219"/>
      <c r="AC527" s="219"/>
      <c r="AD527" s="219"/>
      <c r="AE527" s="219"/>
      <c r="AF527" s="219"/>
      <c r="AG527" s="219"/>
      <c r="AH527" s="219">
        <f>IF(Model!W$1&lt;='Assumptions (NG)'!$V$12,PPMT('Assumptions (NG)'!$V$9,Model!W$1,'Assumptions (NG)'!$V$12,'Assumptions (NG)'!$V$7*Model!$AH$438*AVERAGE('Assumptions (NG)'!$AD$2:$AF$2)+ Model!$AH$439*AVERAGE('Assumptions (NG)'!$AD$3:$AF3))/10^9,0)</f>
        <v>-0.04307803962</v>
      </c>
      <c r="AI527" s="219">
        <f>IF(Model!X$1&lt;='Assumptions (NG)'!$V$12,PPMT('Assumptions (NG)'!$V$9,Model!X$1,'Assumptions (NG)'!$V$12,'Assumptions (NG)'!$V$7*Model!$AH$438*AVERAGE('Assumptions (NG)'!$AD$2:$AF$2)+ Model!$AH$439*AVERAGE('Assumptions (NG)'!$AD$3:$AF3))/10^9,0)</f>
        <v>-0.04630889259</v>
      </c>
      <c r="AJ527" s="219">
        <f>IF(Model!Y$1&lt;='Assumptions (NG)'!$V$12,PPMT('Assumptions (NG)'!$V$9,Model!Y$1,'Assumptions (NG)'!$V$12,'Assumptions (NG)'!$V$7*Model!$AH$438*AVERAGE('Assumptions (NG)'!$AD$2:$AF$2)+ Model!$AH$439*AVERAGE('Assumptions (NG)'!$AD$3:$AF3))/10^9,0)</f>
        <v>-0.04978205953</v>
      </c>
      <c r="AK527" s="219">
        <f>IF(Model!Z$1&lt;='Assumptions (NG)'!$V$12,PPMT('Assumptions (NG)'!$V$9,Model!Z$1,'Assumptions (NG)'!$V$12,'Assumptions (NG)'!$V$7*Model!$AH$438*AVERAGE('Assumptions (NG)'!$AD$2:$AF$2)+ Model!$AH$439*AVERAGE('Assumptions (NG)'!$AD$3:$AF3))/10^9,0)</f>
        <v>-0.053515714</v>
      </c>
      <c r="AL527" s="219">
        <f>IF(Model!AA$1&lt;='Assumptions (NG)'!$V$12,PPMT('Assumptions (NG)'!$V$9,Model!AA$1,'Assumptions (NG)'!$V$12,'Assumptions (NG)'!$V$7*Model!$AH$438*AVERAGE('Assumptions (NG)'!$AD$2:$AF$2)+ Model!$AH$439*AVERAGE('Assumptions (NG)'!$AD$3:$AF3))/10^9,0)</f>
        <v>-0.05752939255</v>
      </c>
      <c r="AM527" s="219">
        <f>IF(Model!AB$1&lt;='Assumptions (NG)'!$V$12,PPMT('Assumptions (NG)'!$V$9,Model!AB$1,'Assumptions (NG)'!$V$12,'Assumptions (NG)'!$V$7*Model!$AH$438*AVERAGE('Assumptions (NG)'!$AD$2:$AF$2)+ Model!$AH$439*AVERAGE('Assumptions (NG)'!$AD$3:$AF3))/10^9,0)</f>
        <v>-0.06184409699</v>
      </c>
      <c r="AN527" s="219">
        <f>IF(Model!AC$1&lt;='Assumptions (NG)'!$V$12,PPMT('Assumptions (NG)'!$V$9,Model!AC$1,'Assumptions (NG)'!$V$12,'Assumptions (NG)'!$V$7*Model!$AH$438*AVERAGE('Assumptions (NG)'!$AD$2:$AF$2)+ Model!$AH$439*AVERAGE('Assumptions (NG)'!$AD$3:$AF3))/10^9,0)</f>
        <v>-0.06648240426</v>
      </c>
      <c r="AO527" s="219">
        <f>IF(Model!AD$1&lt;='Assumptions (NG)'!$V$12,PPMT('Assumptions (NG)'!$V$9,Model!AD$1,'Assumptions (NG)'!$V$12,'Assumptions (NG)'!$V$7*Model!$AH$438*AVERAGE('Assumptions (NG)'!$AD$2:$AF$2)+ Model!$AH$439*AVERAGE('Assumptions (NG)'!$AD$3:$AF3))/10^9,0)</f>
        <v>-0.07146858458</v>
      </c>
      <c r="AP527" s="219">
        <f>IF(Model!AE$1&lt;='Assumptions (NG)'!$V$12,PPMT('Assumptions (NG)'!$V$9,Model!AE$1,'Assumptions (NG)'!$V$12,'Assumptions (NG)'!$V$7*Model!$AH$438*AVERAGE('Assumptions (NG)'!$AD$2:$AF$2)+ Model!$AH$439*AVERAGE('Assumptions (NG)'!$AD$3:$AF3))/10^9,0)</f>
        <v>-0.07682872843</v>
      </c>
      <c r="AQ527" s="219">
        <f>IF(Model!AF$1&lt;='Assumptions (NG)'!$V$12,PPMT('Assumptions (NG)'!$V$9,Model!AF$1,'Assumptions (NG)'!$V$12,'Assumptions (NG)'!$V$7*Model!$AH$438*AVERAGE('Assumptions (NG)'!$AD$2:$AF$2)+ Model!$AH$439*AVERAGE('Assumptions (NG)'!$AD$3:$AF3))/10^9,0)</f>
        <v>-0.08259088306</v>
      </c>
      <c r="AR527" s="219"/>
      <c r="AS527" s="219"/>
      <c r="AT527" s="219"/>
      <c r="AU527" s="219"/>
      <c r="AV527" s="219"/>
      <c r="AW527" s="219"/>
      <c r="AX527" s="219"/>
      <c r="AY527" s="219"/>
      <c r="AZ527" s="219"/>
      <c r="BA527" s="219"/>
      <c r="BB527" s="219"/>
      <c r="BC527" s="219"/>
      <c r="BD527" s="219"/>
      <c r="BE527" s="219"/>
      <c r="BF527" s="219"/>
      <c r="BG527" s="222"/>
      <c r="BH527" s="222"/>
      <c r="BI527" s="222"/>
      <c r="BJ527" s="222"/>
      <c r="BK527" s="222"/>
      <c r="BL527" s="222"/>
      <c r="BM527" s="222"/>
      <c r="BN527" s="222"/>
      <c r="BO527" s="222"/>
    </row>
    <row r="528" ht="15.75" hidden="1" customHeight="1" outlineLevel="1">
      <c r="A528" s="209"/>
      <c r="B528" s="38"/>
      <c r="C528" s="174"/>
      <c r="D528" s="174"/>
      <c r="E528" s="174"/>
      <c r="F528" s="174"/>
      <c r="G528" s="174"/>
      <c r="H528" s="174"/>
      <c r="I528" s="174"/>
      <c r="J528" s="174"/>
      <c r="K528" s="174"/>
      <c r="L528" s="174"/>
      <c r="M528" s="174"/>
      <c r="N528" s="174"/>
      <c r="O528" s="174"/>
      <c r="P528" s="174"/>
      <c r="Q528" s="174"/>
      <c r="R528" s="174"/>
      <c r="S528" s="174"/>
      <c r="T528" s="174"/>
      <c r="U528" s="174"/>
      <c r="V528" s="174"/>
      <c r="W528" s="160"/>
      <c r="X528" s="219"/>
      <c r="Y528" s="219"/>
      <c r="Z528" s="219"/>
      <c r="AA528" s="219"/>
      <c r="AB528" s="219"/>
      <c r="AC528" s="219"/>
      <c r="AD528" s="219"/>
      <c r="AE528" s="219"/>
      <c r="AF528" s="219"/>
      <c r="AG528" s="219"/>
      <c r="AH528" s="219"/>
      <c r="AI528" s="219">
        <f>IF(Model!W$1&lt;='Assumptions (NG)'!$V$12,PPMT('Assumptions (NG)'!$V$9,Model!W$1,'Assumptions (NG)'!$V$12,'Assumptions (NG)'!$V$7*Model!$AI$438*AVERAGE('Assumptions (NG)'!$AE$2:$AG$2)+ Model!$AI$439*AVERAGE('Assumptions (NG)'!$AE$3:$AG3))/10^9,0)</f>
        <v>-0.05094107568</v>
      </c>
      <c r="AJ528" s="219">
        <f>IF(Model!X$1&lt;='Assumptions (NG)'!$V$12,PPMT('Assumptions (NG)'!$V$9,Model!X$1,'Assumptions (NG)'!$V$12,'Assumptions (NG)'!$V$7*Model!$AI$438*AVERAGE('Assumptions (NG)'!$AE$2:$AG$2)+ Model!$AI$439*AVERAGE('Assumptions (NG)'!$AE$3:$AG3))/10^9,0)</f>
        <v>-0.05476165636</v>
      </c>
      <c r="AK528" s="219">
        <f>IF(Model!Y$1&lt;='Assumptions (NG)'!$V$12,PPMT('Assumptions (NG)'!$V$9,Model!Y$1,'Assumptions (NG)'!$V$12,'Assumptions (NG)'!$V$7*Model!$AI$438*AVERAGE('Assumptions (NG)'!$AE$2:$AG$2)+ Model!$AI$439*AVERAGE('Assumptions (NG)'!$AE$3:$AG3))/10^9,0)</f>
        <v>-0.05886878058</v>
      </c>
      <c r="AL528" s="219">
        <f>IF(Model!Z$1&lt;='Assumptions (NG)'!$V$12,PPMT('Assumptions (NG)'!$V$9,Model!Z$1,'Assumptions (NG)'!$V$12,'Assumptions (NG)'!$V$7*Model!$AI$438*AVERAGE('Assumptions (NG)'!$AE$2:$AG$2)+ Model!$AI$439*AVERAGE('Assumptions (NG)'!$AE$3:$AG3))/10^9,0)</f>
        <v>-0.06328393913</v>
      </c>
      <c r="AM528" s="219">
        <f>IF(Model!AA$1&lt;='Assumptions (NG)'!$V$12,PPMT('Assumptions (NG)'!$V$9,Model!AA$1,'Assumptions (NG)'!$V$12,'Assumptions (NG)'!$V$7*Model!$AI$438*AVERAGE('Assumptions (NG)'!$AE$2:$AG$2)+ Model!$AI$439*AVERAGE('Assumptions (NG)'!$AE$3:$AG3))/10^9,0)</f>
        <v>-0.06803023456</v>
      </c>
      <c r="AN528" s="219">
        <f>IF(Model!AB$1&lt;='Assumptions (NG)'!$V$12,PPMT('Assumptions (NG)'!$V$9,Model!AB$1,'Assumptions (NG)'!$V$12,'Assumptions (NG)'!$V$7*Model!$AI$438*AVERAGE('Assumptions (NG)'!$AE$2:$AG$2)+ Model!$AI$439*AVERAGE('Assumptions (NG)'!$AE$3:$AG3))/10^9,0)</f>
        <v>-0.07313250215</v>
      </c>
      <c r="AO528" s="219">
        <f>IF(Model!AC$1&lt;='Assumptions (NG)'!$V$12,PPMT('Assumptions (NG)'!$V$9,Model!AC$1,'Assumptions (NG)'!$V$12,'Assumptions (NG)'!$V$7*Model!$AI$438*AVERAGE('Assumptions (NG)'!$AE$2:$AG$2)+ Model!$AI$439*AVERAGE('Assumptions (NG)'!$AE$3:$AG3))/10^9,0)</f>
        <v>-0.07861743982</v>
      </c>
      <c r="AP528" s="219">
        <f>IF(Model!AD$1&lt;='Assumptions (NG)'!$V$12,PPMT('Assumptions (NG)'!$V$9,Model!AD$1,'Assumptions (NG)'!$V$12,'Assumptions (NG)'!$V$7*Model!$AI$438*AVERAGE('Assumptions (NG)'!$AE$2:$AG$2)+ Model!$AI$439*AVERAGE('Assumptions (NG)'!$AE$3:$AG3))/10^9,0)</f>
        <v>-0.0845137478</v>
      </c>
      <c r="AQ528" s="219">
        <f>IF(Model!AE$1&lt;='Assumptions (NG)'!$V$12,PPMT('Assumptions (NG)'!$V$9,Model!AE$1,'Assumptions (NG)'!$V$12,'Assumptions (NG)'!$V$7*Model!$AI$438*AVERAGE('Assumptions (NG)'!$AE$2:$AG$2)+ Model!$AI$439*AVERAGE('Assumptions (NG)'!$AE$3:$AG3))/10^9,0)</f>
        <v>-0.09085227889</v>
      </c>
      <c r="AR528" s="219">
        <f>IF(Model!AF$1&lt;='Assumptions (NG)'!$V$12,PPMT('Assumptions (NG)'!$V$9,Model!AF$1,'Assumptions (NG)'!$V$12,'Assumptions (NG)'!$V$7*Model!$AI$438*AVERAGE('Assumptions (NG)'!$AE$2:$AG$2)+ Model!$AI$439*AVERAGE('Assumptions (NG)'!$AE$3:$AG3))/10^9,0)</f>
        <v>-0.0976661998</v>
      </c>
      <c r="AS528" s="219"/>
      <c r="AT528" s="219"/>
      <c r="AU528" s="219"/>
      <c r="AV528" s="219"/>
      <c r="AW528" s="219"/>
      <c r="AX528" s="219"/>
      <c r="AY528" s="219"/>
      <c r="AZ528" s="219"/>
      <c r="BA528" s="219"/>
      <c r="BB528" s="219"/>
      <c r="BC528" s="219"/>
      <c r="BD528" s="219"/>
      <c r="BE528" s="219"/>
      <c r="BF528" s="219"/>
      <c r="BG528" s="219"/>
      <c r="BH528" s="222"/>
      <c r="BI528" s="222"/>
      <c r="BJ528" s="222"/>
      <c r="BK528" s="222"/>
      <c r="BL528" s="222"/>
      <c r="BM528" s="222"/>
      <c r="BN528" s="222"/>
      <c r="BO528" s="222"/>
    </row>
    <row r="529" ht="15.75" hidden="1" customHeight="1" outlineLevel="1">
      <c r="A529" s="209"/>
      <c r="B529" s="38"/>
      <c r="C529" s="174"/>
      <c r="D529" s="174"/>
      <c r="E529" s="174"/>
      <c r="F529" s="174"/>
      <c r="G529" s="174"/>
      <c r="H529" s="174"/>
      <c r="I529" s="174"/>
      <c r="J529" s="174"/>
      <c r="K529" s="174"/>
      <c r="L529" s="174"/>
      <c r="M529" s="174"/>
      <c r="N529" s="174"/>
      <c r="O529" s="174"/>
      <c r="P529" s="174"/>
      <c r="Q529" s="174"/>
      <c r="R529" s="174"/>
      <c r="S529" s="174"/>
      <c r="T529" s="174"/>
      <c r="U529" s="174"/>
      <c r="V529" s="174"/>
      <c r="W529" s="160"/>
      <c r="X529" s="219"/>
      <c r="Y529" s="219"/>
      <c r="Z529" s="219"/>
      <c r="AA529" s="219"/>
      <c r="AB529" s="219"/>
      <c r="AC529" s="219"/>
      <c r="AD529" s="219"/>
      <c r="AE529" s="219"/>
      <c r="AF529" s="219"/>
      <c r="AG529" s="219"/>
      <c r="AH529" s="219"/>
      <c r="AI529" s="219"/>
      <c r="AJ529" s="219">
        <f>IF(Model!W$1&lt;='Assumptions (NG)'!$V$12,PPMT('Assumptions (NG)'!$V$9,Model!W$1,'Assumptions (NG)'!$V$12,'Assumptions (NG)'!$V$7*Model!$AJ$438*AVERAGE('Assumptions (NG)'!$AF$2:$AH$2)+ Model!$AJ$439*AVERAGE('Assumptions (NG)'!$AF$3:$AH3))/10^9,0)</f>
        <v>-0.05849920011</v>
      </c>
      <c r="AK529" s="219">
        <f>IF(Model!X$1&lt;='Assumptions (NG)'!$V$12,PPMT('Assumptions (NG)'!$V$9,Model!X$1,'Assumptions (NG)'!$V$12,'Assumptions (NG)'!$V$7*Model!$AJ$438*AVERAGE('Assumptions (NG)'!$AF$2:$AH$2)+ Model!$AJ$439*AVERAGE('Assumptions (NG)'!$AF$3:$AH3))/10^9,0)</f>
        <v>-0.06288664012</v>
      </c>
      <c r="AL529" s="219">
        <f>IF(Model!Y$1&lt;='Assumptions (NG)'!$V$12,PPMT('Assumptions (NG)'!$V$9,Model!Y$1,'Assumptions (NG)'!$V$12,'Assumptions (NG)'!$V$7*Model!$AJ$438*AVERAGE('Assumptions (NG)'!$AF$2:$AH$2)+ Model!$AJ$439*AVERAGE('Assumptions (NG)'!$AF$3:$AH3))/10^9,0)</f>
        <v>-0.06760313812</v>
      </c>
      <c r="AM529" s="219">
        <f>IF(Model!Z$1&lt;='Assumptions (NG)'!$V$12,PPMT('Assumptions (NG)'!$V$9,Model!Z$1,'Assumptions (NG)'!$V$12,'Assumptions (NG)'!$V$7*Model!$AJ$438*AVERAGE('Assumptions (NG)'!$AF$2:$AH$2)+ Model!$AJ$439*AVERAGE('Assumptions (NG)'!$AF$3:$AH3))/10^9,0)</f>
        <v>-0.07267337348</v>
      </c>
      <c r="AN529" s="219">
        <f>IF(Model!AA$1&lt;='Assumptions (NG)'!$V$12,PPMT('Assumptions (NG)'!$V$9,Model!AA$1,'Assumptions (NG)'!$V$12,'Assumptions (NG)'!$V$7*Model!$AJ$438*AVERAGE('Assumptions (NG)'!$AF$2:$AH$2)+ Model!$AJ$439*AVERAGE('Assumptions (NG)'!$AF$3:$AH3))/10^9,0)</f>
        <v>-0.0781238765</v>
      </c>
      <c r="AO529" s="219">
        <f>IF(Model!AB$1&lt;='Assumptions (NG)'!$V$12,PPMT('Assumptions (NG)'!$V$9,Model!AB$1,'Assumptions (NG)'!$V$12,'Assumptions (NG)'!$V$7*Model!$AJ$438*AVERAGE('Assumptions (NG)'!$AF$2:$AH$2)+ Model!$AJ$439*AVERAGE('Assumptions (NG)'!$AF$3:$AH3))/10^9,0)</f>
        <v>-0.08398316723</v>
      </c>
      <c r="AP529" s="219">
        <f>IF(Model!AC$1&lt;='Assumptions (NG)'!$V$12,PPMT('Assumptions (NG)'!$V$9,Model!AC$1,'Assumptions (NG)'!$V$12,'Assumptions (NG)'!$V$7*Model!$AJ$438*AVERAGE('Assumptions (NG)'!$AF$2:$AH$2)+ Model!$AJ$439*AVERAGE('Assumptions (NG)'!$AF$3:$AH3))/10^9,0)</f>
        <v>-0.09028190477</v>
      </c>
      <c r="AQ529" s="219">
        <f>IF(Model!AD$1&lt;='Assumptions (NG)'!$V$12,PPMT('Assumptions (NG)'!$V$9,Model!AD$1,'Assumptions (NG)'!$V$12,'Assumptions (NG)'!$V$7*Model!$AJ$438*AVERAGE('Assumptions (NG)'!$AF$2:$AH$2)+ Model!$AJ$439*AVERAGE('Assumptions (NG)'!$AF$3:$AH3))/10^9,0)</f>
        <v>-0.09705304763</v>
      </c>
      <c r="AR529" s="219">
        <f>IF(Model!AE$1&lt;='Assumptions (NG)'!$V$12,PPMT('Assumptions (NG)'!$V$9,Model!AE$1,'Assumptions (NG)'!$V$12,'Assumptions (NG)'!$V$7*Model!$AJ$438*AVERAGE('Assumptions (NG)'!$AF$2:$AH$2)+ Model!$AJ$439*AVERAGE('Assumptions (NG)'!$AF$3:$AH3))/10^9,0)</f>
        <v>-0.1043320262</v>
      </c>
      <c r="AS529" s="219">
        <f>IF(Model!AF$1&lt;='Assumptions (NG)'!$V$12,PPMT('Assumptions (NG)'!$V$9,Model!AF$1,'Assumptions (NG)'!$V$12,'Assumptions (NG)'!$V$7*Model!$AJ$438*AVERAGE('Assumptions (NG)'!$AF$2:$AH$2)+ Model!$AJ$439*AVERAGE('Assumptions (NG)'!$AF$3:$AH3))/10^9,0)</f>
        <v>-0.1121569282</v>
      </c>
      <c r="AT529" s="219"/>
      <c r="AU529" s="219"/>
      <c r="AV529" s="219"/>
      <c r="AW529" s="219"/>
      <c r="AX529" s="219"/>
      <c r="AY529" s="219"/>
      <c r="AZ529" s="219"/>
      <c r="BA529" s="219"/>
      <c r="BB529" s="219"/>
      <c r="BC529" s="219"/>
      <c r="BD529" s="219"/>
      <c r="BE529" s="219"/>
      <c r="BF529" s="219"/>
      <c r="BG529" s="219"/>
      <c r="BH529" s="219"/>
      <c r="BI529" s="222"/>
      <c r="BJ529" s="222"/>
      <c r="BK529" s="222"/>
      <c r="BL529" s="222"/>
      <c r="BM529" s="222"/>
      <c r="BN529" s="222"/>
      <c r="BO529" s="222"/>
    </row>
    <row r="530" ht="15.75" hidden="1" customHeight="1" outlineLevel="1">
      <c r="A530" s="209"/>
      <c r="B530" s="38"/>
      <c r="C530" s="174"/>
      <c r="D530" s="174"/>
      <c r="E530" s="174"/>
      <c r="F530" s="174"/>
      <c r="G530" s="174"/>
      <c r="H530" s="174"/>
      <c r="I530" s="174"/>
      <c r="J530" s="174"/>
      <c r="K530" s="174"/>
      <c r="L530" s="174"/>
      <c r="M530" s="174"/>
      <c r="N530" s="174"/>
      <c r="O530" s="174"/>
      <c r="P530" s="174"/>
      <c r="Q530" s="174"/>
      <c r="R530" s="174"/>
      <c r="S530" s="174"/>
      <c r="T530" s="174"/>
      <c r="U530" s="174"/>
      <c r="V530" s="174"/>
      <c r="W530" s="160"/>
      <c r="X530" s="219"/>
      <c r="Y530" s="219"/>
      <c r="Z530" s="219"/>
      <c r="AA530" s="219"/>
      <c r="AB530" s="219"/>
      <c r="AC530" s="219"/>
      <c r="AD530" s="219"/>
      <c r="AE530" s="219"/>
      <c r="AF530" s="219"/>
      <c r="AG530" s="219"/>
      <c r="AH530" s="219"/>
      <c r="AI530" s="219"/>
      <c r="AJ530" s="219"/>
      <c r="AK530" s="219">
        <f>IF(Model!W$1&lt;='Assumptions (NG)'!$V$12,PPMT('Assumptions (NG)'!$V$9,Model!W$1,'Assumptions (NG)'!$V$12,'Assumptions (NG)'!$V$7*Model!$AK$438*AVERAGE('Assumptions (NG)'!$AG$2:$AI$2)+ Model!$AK$439*AVERAGE('Assumptions (NG)'!$AG$3:$AI3))/10^9,0)</f>
        <v>-0.05909547001</v>
      </c>
      <c r="AL530" s="219">
        <f>IF(Model!X$1&lt;='Assumptions (NG)'!$V$12,PPMT('Assumptions (NG)'!$V$9,Model!X$1,'Assumptions (NG)'!$V$12,'Assumptions (NG)'!$V$7*Model!$AK$438*AVERAGE('Assumptions (NG)'!$AG$2:$AI$2)+ Model!$AK$439*AVERAGE('Assumptions (NG)'!$AG$3:$AI3))/10^9,0)</f>
        <v>-0.06352763027</v>
      </c>
      <c r="AM530" s="219">
        <f>IF(Model!Y$1&lt;='Assumptions (NG)'!$V$12,PPMT('Assumptions (NG)'!$V$9,Model!Y$1,'Assumptions (NG)'!$V$12,'Assumptions (NG)'!$V$7*Model!$AK$438*AVERAGE('Assumptions (NG)'!$AG$2:$AI$2)+ Model!$AK$439*AVERAGE('Assumptions (NG)'!$AG$3:$AI3))/10^9,0)</f>
        <v>-0.06829220254</v>
      </c>
      <c r="AN530" s="219">
        <f>IF(Model!Z$1&lt;='Assumptions (NG)'!$V$12,PPMT('Assumptions (NG)'!$V$9,Model!Z$1,'Assumptions (NG)'!$V$12,'Assumptions (NG)'!$V$7*Model!$AK$438*AVERAGE('Assumptions (NG)'!$AG$2:$AI$2)+ Model!$AK$439*AVERAGE('Assumptions (NG)'!$AG$3:$AI3))/10^9,0)</f>
        <v>-0.07341411773</v>
      </c>
      <c r="AO530" s="219">
        <f>IF(Model!AA$1&lt;='Assumptions (NG)'!$V$12,PPMT('Assumptions (NG)'!$V$9,Model!AA$1,'Assumptions (NG)'!$V$12,'Assumptions (NG)'!$V$7*Model!$AK$438*AVERAGE('Assumptions (NG)'!$AG$2:$AI$2)+ Model!$AK$439*AVERAGE('Assumptions (NG)'!$AG$3:$AI3))/10^9,0)</f>
        <v>-0.07892017656</v>
      </c>
      <c r="AP530" s="219">
        <f>IF(Model!AB$1&lt;='Assumptions (NG)'!$V$12,PPMT('Assumptions (NG)'!$V$9,Model!AB$1,'Assumptions (NG)'!$V$12,'Assumptions (NG)'!$V$7*Model!$AK$438*AVERAGE('Assumptions (NG)'!$AG$2:$AI$2)+ Model!$AK$439*AVERAGE('Assumptions (NG)'!$AG$3:$AI3))/10^9,0)</f>
        <v>-0.0848391898</v>
      </c>
      <c r="AQ530" s="219">
        <f>IF(Model!AC$1&lt;='Assumptions (NG)'!$V$12,PPMT('Assumptions (NG)'!$V$9,Model!AC$1,'Assumptions (NG)'!$V$12,'Assumptions (NG)'!$V$7*Model!$AK$438*AVERAGE('Assumptions (NG)'!$AG$2:$AI$2)+ Model!$AK$439*AVERAGE('Assumptions (NG)'!$AG$3:$AI3))/10^9,0)</f>
        <v>-0.09120212903</v>
      </c>
      <c r="AR530" s="219">
        <f>IF(Model!AD$1&lt;='Assumptions (NG)'!$V$12,PPMT('Assumptions (NG)'!$V$9,Model!AD$1,'Assumptions (NG)'!$V$12,'Assumptions (NG)'!$V$7*Model!$AK$438*AVERAGE('Assumptions (NG)'!$AG$2:$AI$2)+ Model!$AK$439*AVERAGE('Assumptions (NG)'!$AG$3:$AI3))/10^9,0)</f>
        <v>-0.09804228871</v>
      </c>
      <c r="AS530" s="219">
        <f>IF(Model!AE$1&lt;='Assumptions (NG)'!$V$12,PPMT('Assumptions (NG)'!$V$9,Model!AE$1,'Assumptions (NG)'!$V$12,'Assumptions (NG)'!$V$7*Model!$AK$438*AVERAGE('Assumptions (NG)'!$AG$2:$AI$2)+ Model!$AK$439*AVERAGE('Assumptions (NG)'!$AG$3:$AI3))/10^9,0)</f>
        <v>-0.1053954604</v>
      </c>
      <c r="AT530" s="219">
        <f>IF(Model!AF$1&lt;='Assumptions (NG)'!$V$12,PPMT('Assumptions (NG)'!$V$9,Model!AF$1,'Assumptions (NG)'!$V$12,'Assumptions (NG)'!$V$7*Model!$AK$438*AVERAGE('Assumptions (NG)'!$AG$2:$AI$2)+ Model!$AK$439*AVERAGE('Assumptions (NG)'!$AG$3:$AI3))/10^9,0)</f>
        <v>-0.1133001199</v>
      </c>
      <c r="AU530" s="219"/>
      <c r="AV530" s="219"/>
      <c r="AW530" s="219"/>
      <c r="AX530" s="219"/>
      <c r="AY530" s="219"/>
      <c r="AZ530" s="219"/>
      <c r="BA530" s="219"/>
      <c r="BB530" s="219"/>
      <c r="BC530" s="219"/>
      <c r="BD530" s="219"/>
      <c r="BE530" s="219"/>
      <c r="BF530" s="219"/>
      <c r="BG530" s="219"/>
      <c r="BH530" s="219"/>
      <c r="BI530" s="219"/>
      <c r="BJ530" s="222"/>
      <c r="BK530" s="222"/>
      <c r="BL530" s="222"/>
      <c r="BM530" s="222"/>
      <c r="BN530" s="222"/>
      <c r="BO530" s="222"/>
    </row>
    <row r="531" ht="15.75" hidden="1" customHeight="1" outlineLevel="1">
      <c r="A531" s="209"/>
      <c r="B531" s="38"/>
      <c r="C531" s="174"/>
      <c r="D531" s="174"/>
      <c r="E531" s="174"/>
      <c r="F531" s="174"/>
      <c r="G531" s="174"/>
      <c r="H531" s="174"/>
      <c r="I531" s="174"/>
      <c r="J531" s="174"/>
      <c r="K531" s="174"/>
      <c r="L531" s="174"/>
      <c r="M531" s="174"/>
      <c r="N531" s="174"/>
      <c r="O531" s="174"/>
      <c r="P531" s="174"/>
      <c r="Q531" s="174"/>
      <c r="R531" s="174"/>
      <c r="S531" s="174"/>
      <c r="T531" s="174"/>
      <c r="U531" s="174"/>
      <c r="V531" s="174"/>
      <c r="W531" s="160"/>
      <c r="X531" s="219"/>
      <c r="Y531" s="219"/>
      <c r="Z531" s="219"/>
      <c r="AA531" s="219"/>
      <c r="AB531" s="219"/>
      <c r="AC531" s="219"/>
      <c r="AD531" s="219"/>
      <c r="AE531" s="219"/>
      <c r="AF531" s="219"/>
      <c r="AG531" s="219"/>
      <c r="AH531" s="219"/>
      <c r="AI531" s="219"/>
      <c r="AJ531" s="219"/>
      <c r="AK531" s="219"/>
      <c r="AL531" s="219">
        <f>IF(Model!W$1&lt;='Assumptions (NG)'!$V$12,PPMT('Assumptions (NG)'!$V$9,Model!W$1,'Assumptions (NG)'!$V$12,'Assumptions (NG)'!$V$7*Model!$AL$438*AVERAGE('Assumptions (NG)'!$AH$2:$AJ$2)+ Model!$AL$439*AVERAGE('Assumptions (NG)'!$AH$3:$AJ3))/10^9,0)</f>
        <v>-0.06104727108</v>
      </c>
      <c r="AM531" s="219">
        <f>IF(Model!X$1&lt;='Assumptions (NG)'!$V$12,PPMT('Assumptions (NG)'!$V$9,Model!X$1,'Assumptions (NG)'!$V$12,'Assumptions (NG)'!$V$7*Model!$AL$438*AVERAGE('Assumptions (NG)'!$AH$2:$AJ$2)+ Model!$AL$439*AVERAGE('Assumptions (NG)'!$AH$3:$AJ3))/10^9,0)</f>
        <v>-0.06562581642</v>
      </c>
      <c r="AN531" s="219">
        <f>IF(Model!Y$1&lt;='Assumptions (NG)'!$V$12,PPMT('Assumptions (NG)'!$V$9,Model!Y$1,'Assumptions (NG)'!$V$12,'Assumptions (NG)'!$V$7*Model!$AL$438*AVERAGE('Assumptions (NG)'!$AH$2:$AJ$2)+ Model!$AL$439*AVERAGE('Assumptions (NG)'!$AH$3:$AJ3))/10^9,0)</f>
        <v>-0.07054775265</v>
      </c>
      <c r="AO531" s="219">
        <f>IF(Model!Z$1&lt;='Assumptions (NG)'!$V$12,PPMT('Assumptions (NG)'!$V$9,Model!Z$1,'Assumptions (NG)'!$V$12,'Assumptions (NG)'!$V$7*Model!$AL$438*AVERAGE('Assumptions (NG)'!$AH$2:$AJ$2)+ Model!$AL$439*AVERAGE('Assumptions (NG)'!$AH$3:$AJ3))/10^9,0)</f>
        <v>-0.0758388341</v>
      </c>
      <c r="AP531" s="219">
        <f>IF(Model!AA$1&lt;='Assumptions (NG)'!$V$12,PPMT('Assumptions (NG)'!$V$9,Model!AA$1,'Assumptions (NG)'!$V$12,'Assumptions (NG)'!$V$7*Model!$AL$438*AVERAGE('Assumptions (NG)'!$AH$2:$AJ$2)+ Model!$AL$439*AVERAGE('Assumptions (NG)'!$AH$3:$AJ3))/10^9,0)</f>
        <v>-0.08152674665</v>
      </c>
      <c r="AQ531" s="219">
        <f>IF(Model!AB$1&lt;='Assumptions (NG)'!$V$12,PPMT('Assumptions (NG)'!$V$9,Model!AB$1,'Assumptions (NG)'!$V$12,'Assumptions (NG)'!$V$7*Model!$AL$438*AVERAGE('Assumptions (NG)'!$AH$2:$AJ$2)+ Model!$AL$439*AVERAGE('Assumptions (NG)'!$AH$3:$AJ3))/10^9,0)</f>
        <v>-0.08764125265</v>
      </c>
      <c r="AR531" s="219">
        <f>IF(Model!AC$1&lt;='Assumptions (NG)'!$V$12,PPMT('Assumptions (NG)'!$V$9,Model!AC$1,'Assumptions (NG)'!$V$12,'Assumptions (NG)'!$V$7*Model!$AL$438*AVERAGE('Assumptions (NG)'!$AH$2:$AJ$2)+ Model!$AL$439*AVERAGE('Assumptions (NG)'!$AH$3:$AJ3))/10^9,0)</f>
        <v>-0.0942143466</v>
      </c>
      <c r="AS531" s="219">
        <f>IF(Model!AD$1&lt;='Assumptions (NG)'!$V$12,PPMT('Assumptions (NG)'!$V$9,Model!AD$1,'Assumptions (NG)'!$V$12,'Assumptions (NG)'!$V$7*Model!$AL$438*AVERAGE('Assumptions (NG)'!$AH$2:$AJ$2)+ Model!$AL$439*AVERAGE('Assumptions (NG)'!$AH$3:$AJ3))/10^9,0)</f>
        <v>-0.1012804226</v>
      </c>
      <c r="AT531" s="219">
        <f>IF(Model!AE$1&lt;='Assumptions (NG)'!$V$12,PPMT('Assumptions (NG)'!$V$9,Model!AE$1,'Assumptions (NG)'!$V$12,'Assumptions (NG)'!$V$7*Model!$AL$438*AVERAGE('Assumptions (NG)'!$AH$2:$AJ$2)+ Model!$AL$439*AVERAGE('Assumptions (NG)'!$AH$3:$AJ3))/10^9,0)</f>
        <v>-0.1088764543</v>
      </c>
      <c r="AU531" s="219">
        <f>IF(Model!AF$1&lt;='Assumptions (NG)'!$V$12,PPMT('Assumptions (NG)'!$V$9,Model!AF$1,'Assumptions (NG)'!$V$12,'Assumptions (NG)'!$V$7*Model!$AL$438*AVERAGE('Assumptions (NG)'!$AH$2:$AJ$2)+ Model!$AL$439*AVERAGE('Assumptions (NG)'!$AH$3:$AJ3))/10^9,0)</f>
        <v>-0.1170421884</v>
      </c>
      <c r="AV531" s="219"/>
      <c r="AW531" s="219"/>
      <c r="AX531" s="219"/>
      <c r="AY531" s="219"/>
      <c r="AZ531" s="219"/>
      <c r="BA531" s="219"/>
      <c r="BB531" s="219"/>
      <c r="BC531" s="219"/>
      <c r="BD531" s="219"/>
      <c r="BE531" s="219"/>
      <c r="BF531" s="219"/>
      <c r="BG531" s="219"/>
      <c r="BH531" s="219"/>
      <c r="BI531" s="219"/>
      <c r="BJ531" s="219"/>
      <c r="BK531" s="222"/>
      <c r="BL531" s="222"/>
      <c r="BM531" s="222"/>
      <c r="BN531" s="222"/>
      <c r="BO531" s="222"/>
    </row>
    <row r="532" ht="15.75" hidden="1" customHeight="1" outlineLevel="1">
      <c r="A532" s="209"/>
      <c r="B532" s="38"/>
      <c r="C532" s="174"/>
      <c r="D532" s="174"/>
      <c r="E532" s="174"/>
      <c r="F532" s="174"/>
      <c r="G532" s="174"/>
      <c r="H532" s="174"/>
      <c r="I532" s="174"/>
      <c r="J532" s="174"/>
      <c r="K532" s="174"/>
      <c r="L532" s="174"/>
      <c r="M532" s="174"/>
      <c r="N532" s="174"/>
      <c r="O532" s="174"/>
      <c r="P532" s="174"/>
      <c r="Q532" s="174"/>
      <c r="R532" s="174"/>
      <c r="S532" s="174"/>
      <c r="T532" s="174"/>
      <c r="U532" s="174"/>
      <c r="V532" s="174"/>
      <c r="W532" s="160"/>
      <c r="X532" s="219"/>
      <c r="Y532" s="219"/>
      <c r="Z532" s="219"/>
      <c r="AA532" s="219"/>
      <c r="AB532" s="219"/>
      <c r="AC532" s="219"/>
      <c r="AD532" s="219"/>
      <c r="AE532" s="219"/>
      <c r="AF532" s="219"/>
      <c r="AG532" s="219"/>
      <c r="AH532" s="219"/>
      <c r="AI532" s="219"/>
      <c r="AJ532" s="219"/>
      <c r="AK532" s="219"/>
      <c r="AL532" s="219"/>
      <c r="AM532" s="219">
        <f>IF(Model!W$1&lt;='Assumptions (NG)'!$V$12,PPMT('Assumptions (NG)'!$V$9,Model!W$1,'Assumptions (NG)'!$V$12,'Assumptions (NG)'!$V$7*Model!$AM$438*AVERAGE('Assumptions (NG)'!$AI$2:$AK$2)+ Model!$AM$439*AVERAGE('Assumptions (NG)'!$AI$3:$AK3))/10^9,0)</f>
        <v>-0.2004331579</v>
      </c>
      <c r="AN532" s="219">
        <f>IF(Model!X$1&lt;='Assumptions (NG)'!$V$12,PPMT('Assumptions (NG)'!$V$9,Model!X$1,'Assumptions (NG)'!$V$12,'Assumptions (NG)'!$V$7*Model!$AM$438*AVERAGE('Assumptions (NG)'!$AI$2:$AK$2)+ Model!$AM$439*AVERAGE('Assumptions (NG)'!$AI$3:$AK3))/10^9,0)</f>
        <v>-0.2154656447</v>
      </c>
      <c r="AO532" s="219">
        <f>IF(Model!Y$1&lt;='Assumptions (NG)'!$V$12,PPMT('Assumptions (NG)'!$V$9,Model!Y$1,'Assumptions (NG)'!$V$12,'Assumptions (NG)'!$V$7*Model!$AM$438*AVERAGE('Assumptions (NG)'!$AI$2:$AK$2)+ Model!$AM$439*AVERAGE('Assumptions (NG)'!$AI$3:$AK3))/10^9,0)</f>
        <v>-0.2316255681</v>
      </c>
      <c r="AP532" s="219">
        <f>IF(Model!Z$1&lt;='Assumptions (NG)'!$V$12,PPMT('Assumptions (NG)'!$V$9,Model!Z$1,'Assumptions (NG)'!$V$12,'Assumptions (NG)'!$V$7*Model!$AM$438*AVERAGE('Assumptions (NG)'!$AI$2:$AK$2)+ Model!$AM$439*AVERAGE('Assumptions (NG)'!$AI$3:$AK3))/10^9,0)</f>
        <v>-0.2489974857</v>
      </c>
      <c r="AQ532" s="219">
        <f>IF(Model!AA$1&lt;='Assumptions (NG)'!$V$12,PPMT('Assumptions (NG)'!$V$9,Model!AA$1,'Assumptions (NG)'!$V$12,'Assumptions (NG)'!$V$7*Model!$AM$438*AVERAGE('Assumptions (NG)'!$AI$2:$AK$2)+ Model!$AM$439*AVERAGE('Assumptions (NG)'!$AI$3:$AK3))/10^9,0)</f>
        <v>-0.2676722971</v>
      </c>
      <c r="AR532" s="219">
        <f>IF(Model!AB$1&lt;='Assumptions (NG)'!$V$12,PPMT('Assumptions (NG)'!$V$9,Model!AB$1,'Assumptions (NG)'!$V$12,'Assumptions (NG)'!$V$7*Model!$AM$438*AVERAGE('Assumptions (NG)'!$AI$2:$AK$2)+ Model!$AM$439*AVERAGE('Assumptions (NG)'!$AI$3:$AK3))/10^9,0)</f>
        <v>-0.2877477194</v>
      </c>
      <c r="AS532" s="219">
        <f>IF(Model!AC$1&lt;='Assumptions (NG)'!$V$12,PPMT('Assumptions (NG)'!$V$9,Model!AC$1,'Assumptions (NG)'!$V$12,'Assumptions (NG)'!$V$7*Model!$AM$438*AVERAGE('Assumptions (NG)'!$AI$2:$AK$2)+ Model!$AM$439*AVERAGE('Assumptions (NG)'!$AI$3:$AK3))/10^9,0)</f>
        <v>-0.3093287984</v>
      </c>
      <c r="AT532" s="219">
        <f>IF(Model!AD$1&lt;='Assumptions (NG)'!$V$12,PPMT('Assumptions (NG)'!$V$9,Model!AD$1,'Assumptions (NG)'!$V$12,'Assumptions (NG)'!$V$7*Model!$AM$438*AVERAGE('Assumptions (NG)'!$AI$2:$AK$2)+ Model!$AM$439*AVERAGE('Assumptions (NG)'!$AI$3:$AK3))/10^9,0)</f>
        <v>-0.3325284583</v>
      </c>
      <c r="AU532" s="219">
        <f>IF(Model!AE$1&lt;='Assumptions (NG)'!$V$12,PPMT('Assumptions (NG)'!$V$9,Model!AE$1,'Assumptions (NG)'!$V$12,'Assumptions (NG)'!$V$7*Model!$AM$438*AVERAGE('Assumptions (NG)'!$AI$2:$AK$2)+ Model!$AM$439*AVERAGE('Assumptions (NG)'!$AI$3:$AK3))/10^9,0)</f>
        <v>-0.3574680926</v>
      </c>
      <c r="AV532" s="219">
        <f>IF(Model!AF$1&lt;='Assumptions (NG)'!$V$12,PPMT('Assumptions (NG)'!$V$9,Model!AF$1,'Assumptions (NG)'!$V$12,'Assumptions (NG)'!$V$7*Model!$AM$438*AVERAGE('Assumptions (NG)'!$AI$2:$AK$2)+ Model!$AM$439*AVERAGE('Assumptions (NG)'!$AI$3:$AK3))/10^9,0)</f>
        <v>-0.3842781996</v>
      </c>
      <c r="AW532" s="219"/>
      <c r="AX532" s="219"/>
      <c r="AY532" s="219"/>
      <c r="AZ532" s="219"/>
      <c r="BA532" s="219"/>
      <c r="BB532" s="219"/>
      <c r="BC532" s="219"/>
      <c r="BD532" s="219"/>
      <c r="BE532" s="219"/>
      <c r="BF532" s="219"/>
      <c r="BG532" s="219"/>
      <c r="BH532" s="219"/>
      <c r="BI532" s="219"/>
      <c r="BJ532" s="219"/>
      <c r="BK532" s="219"/>
      <c r="BL532" s="222"/>
      <c r="BM532" s="222"/>
      <c r="BN532" s="222"/>
      <c r="BO532" s="222"/>
    </row>
    <row r="533" ht="15.75" hidden="1" customHeight="1" outlineLevel="1">
      <c r="A533" s="209"/>
      <c r="B533" s="38"/>
      <c r="C533" s="174"/>
      <c r="D533" s="174"/>
      <c r="E533" s="174"/>
      <c r="F533" s="174"/>
      <c r="G533" s="174"/>
      <c r="H533" s="174"/>
      <c r="I533" s="174"/>
      <c r="J533" s="174"/>
      <c r="K533" s="174"/>
      <c r="L533" s="174"/>
      <c r="M533" s="174"/>
      <c r="N533" s="174"/>
      <c r="O533" s="174"/>
      <c r="P533" s="174"/>
      <c r="Q533" s="174"/>
      <c r="R533" s="174"/>
      <c r="S533" s="174"/>
      <c r="T533" s="174"/>
      <c r="U533" s="174"/>
      <c r="V533" s="174"/>
      <c r="W533" s="160"/>
      <c r="X533" s="219"/>
      <c r="Y533" s="219"/>
      <c r="Z533" s="219"/>
      <c r="AA533" s="219"/>
      <c r="AB533" s="219"/>
      <c r="AC533" s="219"/>
      <c r="AD533" s="219"/>
      <c r="AE533" s="219"/>
      <c r="AF533" s="219"/>
      <c r="AG533" s="219"/>
      <c r="AH533" s="219"/>
      <c r="AI533" s="219"/>
      <c r="AJ533" s="219"/>
      <c r="AK533" s="219"/>
      <c r="AL533" s="219"/>
      <c r="AM533" s="219"/>
      <c r="AN533" s="219">
        <f>IF(Model!W$1&lt;='Assumptions (NG)'!$V$12,PPMT('Assumptions (NG)'!$V$9,Model!W$1,'Assumptions (NG)'!$V$12,'Assumptions (NG)'!$V$7*Model!$AN$438*AVERAGE('Assumptions (NG)'!$AJ$2:$AL$2)+ Model!$AN$439*AVERAGE('Assumptions (NG)'!$AJ$3:$AL3))/10^9,0)</f>
        <v>-0.2561308216</v>
      </c>
      <c r="AO533" s="219">
        <f>IF(Model!X$1&lt;='Assumptions (NG)'!$V$12,PPMT('Assumptions (NG)'!$V$9,Model!X$1,'Assumptions (NG)'!$V$12,'Assumptions (NG)'!$V$7*Model!$AN$438*AVERAGE('Assumptions (NG)'!$AJ$2:$AL$2)+ Model!$AN$439*AVERAGE('Assumptions (NG)'!$AJ$3:$AL3))/10^9,0)</f>
        <v>-0.2753406332</v>
      </c>
      <c r="AP533" s="219">
        <f>IF(Model!Y$1&lt;='Assumptions (NG)'!$V$12,PPMT('Assumptions (NG)'!$V$9,Model!Y$1,'Assumptions (NG)'!$V$12,'Assumptions (NG)'!$V$7*Model!$AN$438*AVERAGE('Assumptions (NG)'!$AJ$2:$AL$2)+ Model!$AN$439*AVERAGE('Assumptions (NG)'!$AJ$3:$AL3))/10^9,0)</f>
        <v>-0.2959911807</v>
      </c>
      <c r="AQ533" s="219">
        <f>IF(Model!Z$1&lt;='Assumptions (NG)'!$V$12,PPMT('Assumptions (NG)'!$V$9,Model!Z$1,'Assumptions (NG)'!$V$12,'Assumptions (NG)'!$V$7*Model!$AN$438*AVERAGE('Assumptions (NG)'!$AJ$2:$AL$2)+ Model!$AN$439*AVERAGE('Assumptions (NG)'!$AJ$3:$AL3))/10^9,0)</f>
        <v>-0.3181905193</v>
      </c>
      <c r="AR533" s="219">
        <f>IF(Model!AA$1&lt;='Assumptions (NG)'!$V$12,PPMT('Assumptions (NG)'!$V$9,Model!AA$1,'Assumptions (NG)'!$V$12,'Assumptions (NG)'!$V$7*Model!$AN$438*AVERAGE('Assumptions (NG)'!$AJ$2:$AL$2)+ Model!$AN$439*AVERAGE('Assumptions (NG)'!$AJ$3:$AL3))/10^9,0)</f>
        <v>-0.3420548082</v>
      </c>
      <c r="AS533" s="219">
        <f>IF(Model!AB$1&lt;='Assumptions (NG)'!$V$12,PPMT('Assumptions (NG)'!$V$9,Model!AB$1,'Assumptions (NG)'!$V$12,'Assumptions (NG)'!$V$7*Model!$AN$438*AVERAGE('Assumptions (NG)'!$AJ$2:$AL$2)+ Model!$AN$439*AVERAGE('Assumptions (NG)'!$AJ$3:$AL3))/10^9,0)</f>
        <v>-0.3677089188</v>
      </c>
      <c r="AT533" s="219">
        <f>IF(Model!AC$1&lt;='Assumptions (NG)'!$V$12,PPMT('Assumptions (NG)'!$V$9,Model!AC$1,'Assumptions (NG)'!$V$12,'Assumptions (NG)'!$V$7*Model!$AN$438*AVERAGE('Assumptions (NG)'!$AJ$2:$AL$2)+ Model!$AN$439*AVERAGE('Assumptions (NG)'!$AJ$3:$AL3))/10^9,0)</f>
        <v>-0.3952870877</v>
      </c>
      <c r="AU533" s="219">
        <f>IF(Model!AD$1&lt;='Assumptions (NG)'!$V$12,PPMT('Assumptions (NG)'!$V$9,Model!AD$1,'Assumptions (NG)'!$V$12,'Assumptions (NG)'!$V$7*Model!$AN$438*AVERAGE('Assumptions (NG)'!$AJ$2:$AL$2)+ Model!$AN$439*AVERAGE('Assumptions (NG)'!$AJ$3:$AL3))/10^9,0)</f>
        <v>-0.4249336193</v>
      </c>
      <c r="AV533" s="219">
        <f>IF(Model!AE$1&lt;='Assumptions (NG)'!$V$12,PPMT('Assumptions (NG)'!$V$9,Model!AE$1,'Assumptions (NG)'!$V$12,'Assumptions (NG)'!$V$7*Model!$AN$438*AVERAGE('Assumptions (NG)'!$AJ$2:$AL$2)+ Model!$AN$439*AVERAGE('Assumptions (NG)'!$AJ$3:$AL3))/10^9,0)</f>
        <v>-0.4568036408</v>
      </c>
      <c r="AW533" s="219">
        <f>IF(Model!AF$1&lt;='Assumptions (NG)'!$V$12,PPMT('Assumptions (NG)'!$V$9,Model!AF$1,'Assumptions (NG)'!$V$12,'Assumptions (NG)'!$V$7*Model!$AN$438*AVERAGE('Assumptions (NG)'!$AJ$2:$AL$2)+ Model!$AN$439*AVERAGE('Assumptions (NG)'!$AJ$3:$AL3))/10^9,0)</f>
        <v>-0.4910639138</v>
      </c>
      <c r="AX533" s="219"/>
      <c r="AY533" s="219"/>
      <c r="AZ533" s="219"/>
      <c r="BA533" s="219"/>
      <c r="BB533" s="219"/>
      <c r="BC533" s="219"/>
      <c r="BD533" s="219"/>
      <c r="BE533" s="219"/>
      <c r="BF533" s="219"/>
      <c r="BG533" s="219"/>
      <c r="BH533" s="219"/>
      <c r="BI533" s="219"/>
      <c r="BJ533" s="219"/>
      <c r="BK533" s="219"/>
      <c r="BL533" s="219"/>
      <c r="BM533" s="222"/>
      <c r="BN533" s="222"/>
      <c r="BO533" s="222"/>
    </row>
    <row r="534" ht="15.75" hidden="1" customHeight="1" outlineLevel="1">
      <c r="A534" s="209"/>
      <c r="B534" s="38"/>
      <c r="C534" s="174"/>
      <c r="D534" s="174"/>
      <c r="E534" s="174"/>
      <c r="F534" s="174"/>
      <c r="G534" s="174"/>
      <c r="H534" s="174"/>
      <c r="I534" s="174"/>
      <c r="J534" s="174"/>
      <c r="K534" s="174"/>
      <c r="L534" s="174"/>
      <c r="M534" s="174"/>
      <c r="N534" s="174"/>
      <c r="O534" s="174"/>
      <c r="P534" s="174"/>
      <c r="Q534" s="174"/>
      <c r="R534" s="174"/>
      <c r="S534" s="174"/>
      <c r="T534" s="174"/>
      <c r="U534" s="174"/>
      <c r="V534" s="174"/>
      <c r="W534" s="160"/>
      <c r="X534" s="219"/>
      <c r="Y534" s="219"/>
      <c r="Z534" s="219"/>
      <c r="AA534" s="219"/>
      <c r="AB534" s="219"/>
      <c r="AC534" s="219"/>
      <c r="AD534" s="219"/>
      <c r="AE534" s="219"/>
      <c r="AF534" s="219"/>
      <c r="AG534" s="219"/>
      <c r="AH534" s="219"/>
      <c r="AI534" s="219"/>
      <c r="AJ534" s="219"/>
      <c r="AK534" s="219"/>
      <c r="AL534" s="219"/>
      <c r="AM534" s="219"/>
      <c r="AN534" s="219"/>
      <c r="AO534" s="219">
        <f>IF(Model!W$1&lt;='Assumptions (NG)'!$V$12,PPMT('Assumptions (NG)'!$V$9,Model!W$1,'Assumptions (NG)'!$V$12,'Assumptions (NG)'!$V$7*Model!$AO$438*AVERAGE('Assumptions (NG)'!$AK$2:$AM$2)+ Model!$AO$439*AVERAGE('Assumptions (NG)'!$AK$3:$AM3))/10^9,0)</f>
        <v>-0.528737927</v>
      </c>
      <c r="AP534" s="219">
        <f>IF(Model!X$1&lt;='Assumptions (NG)'!$V$12,PPMT('Assumptions (NG)'!$V$9,Model!X$1,'Assumptions (NG)'!$V$12,'Assumptions (NG)'!$V$7*Model!$AO$438*AVERAGE('Assumptions (NG)'!$AK$2:$AM$2)+ Model!$AO$439*AVERAGE('Assumptions (NG)'!$AK$3:$AM3))/10^9,0)</f>
        <v>-0.5683932715</v>
      </c>
      <c r="AQ534" s="219">
        <f>IF(Model!Y$1&lt;='Assumptions (NG)'!$V$12,PPMT('Assumptions (NG)'!$V$9,Model!Y$1,'Assumptions (NG)'!$V$12,'Assumptions (NG)'!$V$7*Model!$AO$438*AVERAGE('Assumptions (NG)'!$AK$2:$AM$2)+ Model!$AO$439*AVERAGE('Assumptions (NG)'!$AK$3:$AM3))/10^9,0)</f>
        <v>-0.6110227669</v>
      </c>
      <c r="AR534" s="219">
        <f>IF(Model!Z$1&lt;='Assumptions (NG)'!$V$12,PPMT('Assumptions (NG)'!$V$9,Model!Z$1,'Assumptions (NG)'!$V$12,'Assumptions (NG)'!$V$7*Model!$AO$438*AVERAGE('Assumptions (NG)'!$AK$2:$AM$2)+ Model!$AO$439*AVERAGE('Assumptions (NG)'!$AK$3:$AM3))/10^9,0)</f>
        <v>-0.6568494744</v>
      </c>
      <c r="AS534" s="219">
        <f>IF(Model!AA$1&lt;='Assumptions (NG)'!$V$12,PPMT('Assumptions (NG)'!$V$9,Model!AA$1,'Assumptions (NG)'!$V$12,'Assumptions (NG)'!$V$7*Model!$AO$438*AVERAGE('Assumptions (NG)'!$AK$2:$AM$2)+ Model!$AO$439*AVERAGE('Assumptions (NG)'!$AK$3:$AM3))/10^9,0)</f>
        <v>-0.706113185</v>
      </c>
      <c r="AT534" s="219">
        <f>IF(Model!AB$1&lt;='Assumptions (NG)'!$V$12,PPMT('Assumptions (NG)'!$V$9,Model!AB$1,'Assumptions (NG)'!$V$12,'Assumptions (NG)'!$V$7*Model!$AO$438*AVERAGE('Assumptions (NG)'!$AK$2:$AM$2)+ Model!$AO$439*AVERAGE('Assumptions (NG)'!$AK$3:$AM3))/10^9,0)</f>
        <v>-0.7590716738</v>
      </c>
      <c r="AU534" s="219">
        <f>IF(Model!AC$1&lt;='Assumptions (NG)'!$V$12,PPMT('Assumptions (NG)'!$V$9,Model!AC$1,'Assumptions (NG)'!$V$12,'Assumptions (NG)'!$V$7*Model!$AO$438*AVERAGE('Assumptions (NG)'!$AK$2:$AM$2)+ Model!$AO$439*AVERAGE('Assumptions (NG)'!$AK$3:$AM3))/10^9,0)</f>
        <v>-0.8160020494</v>
      </c>
      <c r="AV534" s="219">
        <f>IF(Model!AD$1&lt;='Assumptions (NG)'!$V$12,PPMT('Assumptions (NG)'!$V$9,Model!AD$1,'Assumptions (NG)'!$V$12,'Assumptions (NG)'!$V$7*Model!$AO$438*AVERAGE('Assumptions (NG)'!$AK$2:$AM$2)+ Model!$AO$439*AVERAGE('Assumptions (NG)'!$AK$3:$AM3))/10^9,0)</f>
        <v>-0.8772022031</v>
      </c>
      <c r="AW534" s="219">
        <f>IF(Model!AE$1&lt;='Assumptions (NG)'!$V$12,PPMT('Assumptions (NG)'!$V$9,Model!AE$1,'Assumptions (NG)'!$V$12,'Assumptions (NG)'!$V$7*Model!$AO$438*AVERAGE('Assumptions (NG)'!$AK$2:$AM$2)+ Model!$AO$439*AVERAGE('Assumptions (NG)'!$AK$3:$AM3))/10^9,0)</f>
        <v>-0.9429923683</v>
      </c>
      <c r="AX534" s="219">
        <f>IF(Model!AF$1&lt;='Assumptions (NG)'!$V$12,PPMT('Assumptions (NG)'!$V$9,Model!AF$1,'Assumptions (NG)'!$V$12,'Assumptions (NG)'!$V$7*Model!$AO$438*AVERAGE('Assumptions (NG)'!$AK$2:$AM$2)+ Model!$AO$439*AVERAGE('Assumptions (NG)'!$AK$3:$AM3))/10^9,0)</f>
        <v>-1.013716796</v>
      </c>
      <c r="AY534" s="219"/>
      <c r="AZ534" s="219"/>
      <c r="BA534" s="219"/>
      <c r="BB534" s="219"/>
      <c r="BC534" s="219"/>
      <c r="BD534" s="219"/>
      <c r="BE534" s="219"/>
      <c r="BF534" s="219"/>
      <c r="BG534" s="219"/>
      <c r="BH534" s="219"/>
      <c r="BI534" s="219"/>
      <c r="BJ534" s="219"/>
      <c r="BK534" s="219"/>
      <c r="BL534" s="219"/>
      <c r="BM534" s="219"/>
      <c r="BN534" s="222"/>
      <c r="BO534" s="222"/>
    </row>
    <row r="535" ht="15.75" hidden="1" customHeight="1" outlineLevel="1">
      <c r="A535" s="209"/>
      <c r="B535" s="38"/>
      <c r="C535" s="174"/>
      <c r="D535" s="174"/>
      <c r="E535" s="174"/>
      <c r="F535" s="174"/>
      <c r="G535" s="174"/>
      <c r="H535" s="174"/>
      <c r="I535" s="174"/>
      <c r="J535" s="174"/>
      <c r="K535" s="174"/>
      <c r="L535" s="174"/>
      <c r="M535" s="174"/>
      <c r="N535" s="174"/>
      <c r="O535" s="174"/>
      <c r="P535" s="174"/>
      <c r="Q535" s="174"/>
      <c r="R535" s="174"/>
      <c r="S535" s="174"/>
      <c r="T535" s="174"/>
      <c r="U535" s="174"/>
      <c r="V535" s="174"/>
      <c r="W535" s="160"/>
      <c r="X535" s="219"/>
      <c r="Y535" s="219"/>
      <c r="Z535" s="219"/>
      <c r="AA535" s="219"/>
      <c r="AB535" s="219"/>
      <c r="AC535" s="219"/>
      <c r="AD535" s="219"/>
      <c r="AE535" s="219"/>
      <c r="AF535" s="219"/>
      <c r="AG535" s="219"/>
      <c r="AH535" s="219"/>
      <c r="AI535" s="219"/>
      <c r="AJ535" s="219"/>
      <c r="AK535" s="219"/>
      <c r="AL535" s="219"/>
      <c r="AM535" s="219"/>
      <c r="AN535" s="219"/>
      <c r="AO535" s="219"/>
      <c r="AP535" s="219">
        <f>IF(Model!W$1&lt;='Assumptions (NG)'!$V$12,PPMT('Assumptions (NG)'!$V$9,Model!W$1,'Assumptions (NG)'!$V$12,'Assumptions (NG)'!$V$7*Model!$AP$438*AVERAGE('Assumptions (NG)'!$AL$2:$AN$2)+ Model!$AP$439*AVERAGE('Assumptions (NG)'!$AL$3:$AN3))/10^9,0)</f>
        <v>-0.6531740276</v>
      </c>
      <c r="AQ535" s="219">
        <f>IF(Model!X$1&lt;='Assumptions (NG)'!$V$12,PPMT('Assumptions (NG)'!$V$9,Model!X$1,'Assumptions (NG)'!$V$12,'Assumptions (NG)'!$V$7*Model!$AP$438*AVERAGE('Assumptions (NG)'!$AL$2:$AN$2)+ Model!$AP$439*AVERAGE('Assumptions (NG)'!$AL$3:$AN3))/10^9,0)</f>
        <v>-0.7021620797</v>
      </c>
      <c r="AR535" s="219">
        <f>IF(Model!Y$1&lt;='Assumptions (NG)'!$V$12,PPMT('Assumptions (NG)'!$V$9,Model!Y$1,'Assumptions (NG)'!$V$12,'Assumptions (NG)'!$V$7*Model!$AP$438*AVERAGE('Assumptions (NG)'!$AL$2:$AN$2)+ Model!$AP$439*AVERAGE('Assumptions (NG)'!$AL$3:$AN3))/10^9,0)</f>
        <v>-0.7548242357</v>
      </c>
      <c r="AS535" s="219">
        <f>IF(Model!Z$1&lt;='Assumptions (NG)'!$V$12,PPMT('Assumptions (NG)'!$V$9,Model!Z$1,'Assumptions (NG)'!$V$12,'Assumptions (NG)'!$V$7*Model!$AP$438*AVERAGE('Assumptions (NG)'!$AL$2:$AN$2)+ Model!$AP$439*AVERAGE('Assumptions (NG)'!$AL$3:$AN3))/10^9,0)</f>
        <v>-0.8114360533</v>
      </c>
      <c r="AT535" s="219">
        <f>IF(Model!AA$1&lt;='Assumptions (NG)'!$V$12,PPMT('Assumptions (NG)'!$V$9,Model!AA$1,'Assumptions (NG)'!$V$12,'Assumptions (NG)'!$V$7*Model!$AP$438*AVERAGE('Assumptions (NG)'!$AL$2:$AN$2)+ Model!$AP$439*AVERAGE('Assumptions (NG)'!$AL$3:$AN3))/10^9,0)</f>
        <v>-0.8722937573</v>
      </c>
      <c r="AU535" s="219">
        <f>IF(Model!AB$1&lt;='Assumptions (NG)'!$V$12,PPMT('Assumptions (NG)'!$V$9,Model!AB$1,'Assumptions (NG)'!$V$12,'Assumptions (NG)'!$V$7*Model!$AP$438*AVERAGE('Assumptions (NG)'!$AL$2:$AN$2)+ Model!$AP$439*AVERAGE('Assumptions (NG)'!$AL$3:$AN3))/10^9,0)</f>
        <v>-0.9377157891</v>
      </c>
      <c r="AV535" s="219">
        <f>IF(Model!AC$1&lt;='Assumptions (NG)'!$V$12,PPMT('Assumptions (NG)'!$V$9,Model!AC$1,'Assumptions (NG)'!$V$12,'Assumptions (NG)'!$V$7*Model!$AP$438*AVERAGE('Assumptions (NG)'!$AL$2:$AN$2)+ Model!$AP$439*AVERAGE('Assumptions (NG)'!$AL$3:$AN3))/10^9,0)</f>
        <v>-1.008044473</v>
      </c>
      <c r="AW535" s="219">
        <f>IF(Model!AD$1&lt;='Assumptions (NG)'!$V$12,PPMT('Assumptions (NG)'!$V$9,Model!AD$1,'Assumptions (NG)'!$V$12,'Assumptions (NG)'!$V$7*Model!$AP$438*AVERAGE('Assumptions (NG)'!$AL$2:$AN$2)+ Model!$AP$439*AVERAGE('Assumptions (NG)'!$AL$3:$AN3))/10^9,0)</f>
        <v>-1.083647809</v>
      </c>
      <c r="AX535" s="219">
        <f>IF(Model!AE$1&lt;='Assumptions (NG)'!$V$12,PPMT('Assumptions (NG)'!$V$9,Model!AE$1,'Assumptions (NG)'!$V$12,'Assumptions (NG)'!$V$7*Model!$AP$438*AVERAGE('Assumptions (NG)'!$AL$2:$AN$2)+ Model!$AP$439*AVERAGE('Assumptions (NG)'!$AL$3:$AN3))/10^9,0)</f>
        <v>-1.164921394</v>
      </c>
      <c r="AY535" s="219">
        <f>IF(Model!AF$1&lt;='Assumptions (NG)'!$V$12,PPMT('Assumptions (NG)'!$V$9,Model!AF$1,'Assumptions (NG)'!$V$12,'Assumptions (NG)'!$V$7*Model!$AP$438*AVERAGE('Assumptions (NG)'!$AL$2:$AN$2)+ Model!$AP$439*AVERAGE('Assumptions (NG)'!$AL$3:$AN3))/10^9,0)</f>
        <v>-1.252290499</v>
      </c>
      <c r="AZ535" s="219"/>
      <c r="BA535" s="219"/>
      <c r="BB535" s="219"/>
      <c r="BC535" s="219"/>
      <c r="BD535" s="219"/>
      <c r="BE535" s="219"/>
      <c r="BF535" s="219"/>
      <c r="BG535" s="219"/>
      <c r="BH535" s="219"/>
      <c r="BI535" s="219"/>
      <c r="BJ535" s="219"/>
      <c r="BK535" s="219"/>
      <c r="BL535" s="219"/>
      <c r="BM535" s="219"/>
      <c r="BN535" s="219"/>
      <c r="BO535" s="222"/>
    </row>
    <row r="536" ht="15.75" hidden="1" customHeight="1" outlineLevel="1">
      <c r="A536" s="209"/>
      <c r="B536" s="38"/>
      <c r="C536" s="174"/>
      <c r="D536" s="174"/>
      <c r="E536" s="174"/>
      <c r="F536" s="174"/>
      <c r="G536" s="174"/>
      <c r="H536" s="174"/>
      <c r="I536" s="174"/>
      <c r="J536" s="174"/>
      <c r="K536" s="174"/>
      <c r="L536" s="174"/>
      <c r="M536" s="174"/>
      <c r="N536" s="174"/>
      <c r="O536" s="174"/>
      <c r="P536" s="174"/>
      <c r="Q536" s="174"/>
      <c r="R536" s="174"/>
      <c r="S536" s="174"/>
      <c r="T536" s="174"/>
      <c r="U536" s="174"/>
      <c r="V536" s="174"/>
      <c r="W536" s="160"/>
      <c r="X536" s="219"/>
      <c r="Y536" s="219"/>
      <c r="Z536" s="219"/>
      <c r="AA536" s="219"/>
      <c r="AB536" s="219"/>
      <c r="AC536" s="219"/>
      <c r="AD536" s="219"/>
      <c r="AE536" s="219"/>
      <c r="AF536" s="219"/>
      <c r="AG536" s="219"/>
      <c r="AH536" s="219"/>
      <c r="AI536" s="219"/>
      <c r="AJ536" s="219"/>
      <c r="AK536" s="219"/>
      <c r="AL536" s="219"/>
      <c r="AM536" s="219"/>
      <c r="AN536" s="219"/>
      <c r="AO536" s="219"/>
      <c r="AP536" s="219"/>
      <c r="AQ536" s="219">
        <f>IF(Model!W$1&lt;='Assumptions (NG)'!$V$12,PPMT('Assumptions (NG)'!$V$9,Model!W$1,'Assumptions (NG)'!$V$12,'Assumptions (NG)'!$V$7*Model!$AQ$438*AVERAGE('Assumptions (NG)'!$AM$2:$AO$2)+ Model!$AQ$439*AVERAGE('Assumptions (NG)'!$AM$3:$AO3))/10^9,0)</f>
        <v>-0.2310262641</v>
      </c>
      <c r="AR536" s="219">
        <f>IF(Model!X$1&lt;='Assumptions (NG)'!$V$12,PPMT('Assumptions (NG)'!$V$9,Model!X$1,'Assumptions (NG)'!$V$12,'Assumptions (NG)'!$V$7*Model!$AQ$438*AVERAGE('Assumptions (NG)'!$AM$2:$AO$2)+ Model!$AQ$439*AVERAGE('Assumptions (NG)'!$AM$3:$AO3))/10^9,0)</f>
        <v>-0.2483532339</v>
      </c>
      <c r="AS536" s="219">
        <f>IF(Model!Y$1&lt;='Assumptions (NG)'!$V$12,PPMT('Assumptions (NG)'!$V$9,Model!Y$1,'Assumptions (NG)'!$V$12,'Assumptions (NG)'!$V$7*Model!$AQ$438*AVERAGE('Assumptions (NG)'!$AM$2:$AO$2)+ Model!$AQ$439*AVERAGE('Assumptions (NG)'!$AM$3:$AO3))/10^9,0)</f>
        <v>-0.2669797264</v>
      </c>
      <c r="AT536" s="219">
        <f>IF(Model!Z$1&lt;='Assumptions (NG)'!$V$12,PPMT('Assumptions (NG)'!$V$9,Model!Z$1,'Assumptions (NG)'!$V$12,'Assumptions (NG)'!$V$7*Model!$AQ$438*AVERAGE('Assumptions (NG)'!$AM$2:$AO$2)+ Model!$AQ$439*AVERAGE('Assumptions (NG)'!$AM$3:$AO3))/10^9,0)</f>
        <v>-0.2870032059</v>
      </c>
      <c r="AU536" s="219">
        <f>IF(Model!AA$1&lt;='Assumptions (NG)'!$V$12,PPMT('Assumptions (NG)'!$V$9,Model!AA$1,'Assumptions (NG)'!$V$12,'Assumptions (NG)'!$V$7*Model!$AQ$438*AVERAGE('Assumptions (NG)'!$AM$2:$AO$2)+ Model!$AQ$439*AVERAGE('Assumptions (NG)'!$AM$3:$AO3))/10^9,0)</f>
        <v>-0.3085284464</v>
      </c>
      <c r="AV536" s="219">
        <f>IF(Model!AB$1&lt;='Assumptions (NG)'!$V$12,PPMT('Assumptions (NG)'!$V$9,Model!AB$1,'Assumptions (NG)'!$V$12,'Assumptions (NG)'!$V$7*Model!$AQ$438*AVERAGE('Assumptions (NG)'!$AM$2:$AO$2)+ Model!$AQ$439*AVERAGE('Assumptions (NG)'!$AM$3:$AO3))/10^9,0)</f>
        <v>-0.3316680798</v>
      </c>
      <c r="AW536" s="219">
        <f>IF(Model!AC$1&lt;='Assumptions (NG)'!$V$12,PPMT('Assumptions (NG)'!$V$9,Model!AC$1,'Assumptions (NG)'!$V$12,'Assumptions (NG)'!$V$7*Model!$AQ$438*AVERAGE('Assumptions (NG)'!$AM$2:$AO$2)+ Model!$AQ$439*AVERAGE('Assumptions (NG)'!$AM$3:$AO3))/10^9,0)</f>
        <v>-0.3565431858</v>
      </c>
      <c r="AX536" s="219">
        <f>IF(Model!AD$1&lt;='Assumptions (NG)'!$V$12,PPMT('Assumptions (NG)'!$V$9,Model!AD$1,'Assumptions (NG)'!$V$12,'Assumptions (NG)'!$V$7*Model!$AQ$438*AVERAGE('Assumptions (NG)'!$AM$2:$AO$2)+ Model!$AQ$439*AVERAGE('Assumptions (NG)'!$AM$3:$AO3))/10^9,0)</f>
        <v>-0.3832839248</v>
      </c>
      <c r="AY536" s="219">
        <f>IF(Model!AE$1&lt;='Assumptions (NG)'!$V$12,PPMT('Assumptions (NG)'!$V$9,Model!AE$1,'Assumptions (NG)'!$V$12,'Assumptions (NG)'!$V$7*Model!$AQ$438*AVERAGE('Assumptions (NG)'!$AM$2:$AO$2)+ Model!$AQ$439*AVERAGE('Assumptions (NG)'!$AM$3:$AO3))/10^9,0)</f>
        <v>-0.4120302191</v>
      </c>
      <c r="AZ536" s="219">
        <f>IF(Model!AF$1&lt;='Assumptions (NG)'!$V$12,PPMT('Assumptions (NG)'!$V$9,Model!AF$1,'Assumptions (NG)'!$V$12,'Assumptions (NG)'!$V$7*Model!$AQ$438*AVERAGE('Assumptions (NG)'!$AM$2:$AO$2)+ Model!$AQ$439*AVERAGE('Assumptions (NG)'!$AM$3:$AO3))/10^9,0)</f>
        <v>-0.4429324856</v>
      </c>
      <c r="BA536" s="219"/>
      <c r="BB536" s="219"/>
      <c r="BC536" s="219"/>
      <c r="BD536" s="219"/>
      <c r="BE536" s="219"/>
      <c r="BF536" s="219"/>
      <c r="BG536" s="219"/>
      <c r="BH536" s="219"/>
      <c r="BI536" s="219"/>
      <c r="BJ536" s="219"/>
      <c r="BK536" s="219"/>
      <c r="BL536" s="219"/>
      <c r="BM536" s="219"/>
      <c r="BN536" s="219"/>
      <c r="BO536" s="219"/>
    </row>
    <row r="537" ht="15.75" hidden="1" customHeight="1" outlineLevel="1">
      <c r="A537" s="209"/>
      <c r="B537" s="38"/>
      <c r="C537" s="174"/>
      <c r="D537" s="174"/>
      <c r="E537" s="174"/>
      <c r="F537" s="174"/>
      <c r="G537" s="174"/>
      <c r="H537" s="174"/>
      <c r="I537" s="174"/>
      <c r="J537" s="174"/>
      <c r="K537" s="174"/>
      <c r="L537" s="174"/>
      <c r="M537" s="174"/>
      <c r="N537" s="174"/>
      <c r="O537" s="174"/>
      <c r="P537" s="174"/>
      <c r="Q537" s="174"/>
      <c r="R537" s="174"/>
      <c r="S537" s="174"/>
      <c r="T537" s="174"/>
      <c r="U537" s="174"/>
      <c r="V537" s="174"/>
      <c r="W537" s="160"/>
      <c r="X537" s="219"/>
      <c r="Y537" s="219"/>
      <c r="Z537" s="219"/>
      <c r="AA537" s="219"/>
      <c r="AB537" s="219"/>
      <c r="AC537" s="219"/>
      <c r="AD537" s="219"/>
      <c r="AE537" s="219"/>
      <c r="AF537" s="219"/>
      <c r="AG537" s="219"/>
      <c r="AH537" s="219"/>
      <c r="AI537" s="219"/>
      <c r="AJ537" s="219"/>
      <c r="AK537" s="219"/>
      <c r="AL537" s="219"/>
      <c r="AM537" s="219"/>
      <c r="AN537" s="219"/>
      <c r="AO537" s="219"/>
      <c r="AP537" s="219"/>
      <c r="AQ537" s="219"/>
      <c r="AR537" s="219">
        <f>IF(Model!W$1&lt;='Assumptions (NG)'!$V$12,PPMT('Assumptions (NG)'!$V$9,Model!W$1,'Assumptions (NG)'!$V$12,'Assumptions (NG)'!$V$7*Model!$AR$438*AVERAGE('Assumptions (NG)'!$AN$2:$AP$2)+ Model!$AR$439*AVERAGE('Assumptions (NG)'!$AN$3:$AP3))/10^9,0)</f>
        <v>-0.1543629694</v>
      </c>
      <c r="AS537" s="219">
        <f>IF(Model!X$1&lt;='Assumptions (NG)'!$V$12,PPMT('Assumptions (NG)'!$V$9,Model!X$1,'Assumptions (NG)'!$V$12,'Assumptions (NG)'!$V$7*Model!$AR$438*AVERAGE('Assumptions (NG)'!$AN$2:$AP$2)+ Model!$AR$439*AVERAGE('Assumptions (NG)'!$AN$3:$AP3))/10^9,0)</f>
        <v>-0.1659401922</v>
      </c>
      <c r="AT537" s="219">
        <f>IF(Model!Y$1&lt;='Assumptions (NG)'!$V$12,PPMT('Assumptions (NG)'!$V$9,Model!Y$1,'Assumptions (NG)'!$V$12,'Assumptions (NG)'!$V$7*Model!$AR$438*AVERAGE('Assumptions (NG)'!$AN$2:$AP$2)+ Model!$AR$439*AVERAGE('Assumptions (NG)'!$AN$3:$AP3))/10^9,0)</f>
        <v>-0.1783857066</v>
      </c>
      <c r="AU537" s="219">
        <f>IF(Model!Z$1&lt;='Assumptions (NG)'!$V$12,PPMT('Assumptions (NG)'!$V$9,Model!Z$1,'Assumptions (NG)'!$V$12,'Assumptions (NG)'!$V$7*Model!$AR$438*AVERAGE('Assumptions (NG)'!$AN$2:$AP$2)+ Model!$AR$439*AVERAGE('Assumptions (NG)'!$AN$3:$AP3))/10^9,0)</f>
        <v>-0.1917646346</v>
      </c>
      <c r="AV537" s="219">
        <f>IF(Model!AA$1&lt;='Assumptions (NG)'!$V$12,PPMT('Assumptions (NG)'!$V$9,Model!AA$1,'Assumptions (NG)'!$V$12,'Assumptions (NG)'!$V$7*Model!$AR$438*AVERAGE('Assumptions (NG)'!$AN$2:$AP$2)+ Model!$AR$439*AVERAGE('Assumptions (NG)'!$AN$3:$AP3))/10^9,0)</f>
        <v>-0.2061469821</v>
      </c>
      <c r="AW537" s="219">
        <f>IF(Model!AB$1&lt;='Assumptions (NG)'!$V$12,PPMT('Assumptions (NG)'!$V$9,Model!AB$1,'Assumptions (NG)'!$V$12,'Assumptions (NG)'!$V$7*Model!$AR$438*AVERAGE('Assumptions (NG)'!$AN$2:$AP$2)+ Model!$AR$439*AVERAGE('Assumptions (NG)'!$AN$3:$AP3))/10^9,0)</f>
        <v>-0.2216080058</v>
      </c>
      <c r="AX537" s="219">
        <f>IF(Model!AC$1&lt;='Assumptions (NG)'!$V$12,PPMT('Assumptions (NG)'!$V$9,Model!AC$1,'Assumptions (NG)'!$V$12,'Assumptions (NG)'!$V$7*Model!$AR$438*AVERAGE('Assumptions (NG)'!$AN$2:$AP$2)+ Model!$AR$439*AVERAGE('Assumptions (NG)'!$AN$3:$AP3))/10^9,0)</f>
        <v>-0.2382286062</v>
      </c>
      <c r="AY537" s="219">
        <f>IF(Model!AD$1&lt;='Assumptions (NG)'!$V$12,PPMT('Assumptions (NG)'!$V$9,Model!AD$1,'Assumptions (NG)'!$V$12,'Assumptions (NG)'!$V$7*Model!$AR$438*AVERAGE('Assumptions (NG)'!$AN$2:$AP$2)+ Model!$AR$439*AVERAGE('Assumptions (NG)'!$AN$3:$AP3))/10^9,0)</f>
        <v>-0.2560957517</v>
      </c>
      <c r="AZ537" s="219">
        <f>IF(Model!AE$1&lt;='Assumptions (NG)'!$V$12,PPMT('Assumptions (NG)'!$V$9,Model!AE$1,'Assumptions (NG)'!$V$12,'Assumptions (NG)'!$V$7*Model!$AR$438*AVERAGE('Assumptions (NG)'!$AN$2:$AP$2)+ Model!$AR$439*AVERAGE('Assumptions (NG)'!$AN$3:$AP3))/10^9,0)</f>
        <v>-0.2753029331</v>
      </c>
      <c r="BA537" s="219">
        <f>IF(Model!AF$1&lt;='Assumptions (NG)'!$V$12,PPMT('Assumptions (NG)'!$V$9,Model!AF$1,'Assumptions (NG)'!$V$12,'Assumptions (NG)'!$V$7*Model!$AR$438*AVERAGE('Assumptions (NG)'!$AN$2:$AP$2)+ Model!$AR$439*AVERAGE('Assumptions (NG)'!$AN$3:$AP3))/10^9,0)</f>
        <v>-0.2959506531</v>
      </c>
      <c r="BB537" s="219"/>
      <c r="BC537" s="219"/>
      <c r="BD537" s="219"/>
      <c r="BE537" s="219"/>
      <c r="BF537" s="219"/>
      <c r="BG537" s="219"/>
      <c r="BH537" s="219"/>
      <c r="BI537" s="219"/>
      <c r="BJ537" s="219"/>
      <c r="BK537" s="219"/>
      <c r="BL537" s="219"/>
      <c r="BM537" s="219"/>
      <c r="BN537" s="219"/>
      <c r="BO537" s="219"/>
      <c r="BP537" s="160"/>
    </row>
    <row r="538" ht="15.75" hidden="1" customHeight="1" outlineLevel="1">
      <c r="A538" s="209"/>
      <c r="B538" s="38"/>
      <c r="C538" s="174"/>
      <c r="D538" s="174"/>
      <c r="E538" s="174"/>
      <c r="F538" s="174"/>
      <c r="G538" s="174"/>
      <c r="H538" s="174"/>
      <c r="I538" s="174"/>
      <c r="J538" s="174"/>
      <c r="K538" s="174"/>
      <c r="L538" s="174"/>
      <c r="M538" s="174"/>
      <c r="N538" s="174"/>
      <c r="O538" s="174"/>
      <c r="P538" s="174"/>
      <c r="Q538" s="174"/>
      <c r="R538" s="174"/>
      <c r="S538" s="174"/>
      <c r="T538" s="174"/>
      <c r="U538" s="174"/>
      <c r="V538" s="174"/>
      <c r="W538" s="160"/>
      <c r="X538" s="219"/>
      <c r="Y538" s="219"/>
      <c r="Z538" s="219"/>
      <c r="AA538" s="219"/>
      <c r="AB538" s="219"/>
      <c r="AC538" s="219"/>
      <c r="AD538" s="219"/>
      <c r="AE538" s="219"/>
      <c r="AF538" s="219"/>
      <c r="AG538" s="219"/>
      <c r="AH538" s="219"/>
      <c r="AI538" s="219"/>
      <c r="AJ538" s="219"/>
      <c r="AK538" s="219"/>
      <c r="AL538" s="219"/>
      <c r="AM538" s="219"/>
      <c r="AN538" s="219"/>
      <c r="AO538" s="219"/>
      <c r="AP538" s="219"/>
      <c r="AQ538" s="219"/>
      <c r="AR538" s="219"/>
      <c r="AS538" s="219">
        <f>IF(Model!W$1&lt;='Assumptions (NG)'!$V$12,PPMT('Assumptions (NG)'!$V$9,Model!W$1,'Assumptions (NG)'!$V$12,'Assumptions (NG)'!$V$7*Model!$AS$438*AVERAGE('Assumptions (NG)'!$AO$2:$AQ$2)+ Model!$AS$439*AVERAGE('Assumptions (NG)'!$AO$3:$AQ3))/10^9,0)</f>
        <v>-0.1177135306</v>
      </c>
      <c r="AT538" s="219">
        <f>IF(Model!X$1&lt;='Assumptions (NG)'!$V$12,PPMT('Assumptions (NG)'!$V$9,Model!X$1,'Assumptions (NG)'!$V$12,'Assumptions (NG)'!$V$7*Model!$AS$438*AVERAGE('Assumptions (NG)'!$AO$2:$AQ$2)+ Model!$AS$439*AVERAGE('Assumptions (NG)'!$AO$3:$AQ3))/10^9,0)</f>
        <v>-0.1265420454</v>
      </c>
      <c r="AU538" s="219">
        <f>IF(Model!Y$1&lt;='Assumptions (NG)'!$V$12,PPMT('Assumptions (NG)'!$V$9,Model!Y$1,'Assumptions (NG)'!$V$12,'Assumptions (NG)'!$V$7*Model!$AS$438*AVERAGE('Assumptions (NG)'!$AO$2:$AQ$2)+ Model!$AS$439*AVERAGE('Assumptions (NG)'!$AO$3:$AQ3))/10^9,0)</f>
        <v>-0.1360326988</v>
      </c>
      <c r="AV538" s="219">
        <f>IF(Model!Z$1&lt;='Assumptions (NG)'!$V$12,PPMT('Assumptions (NG)'!$V$9,Model!Z$1,'Assumptions (NG)'!$V$12,'Assumptions (NG)'!$V$7*Model!$AS$438*AVERAGE('Assumptions (NG)'!$AO$2:$AQ$2)+ Model!$AS$439*AVERAGE('Assumptions (NG)'!$AO$3:$AQ3))/10^9,0)</f>
        <v>-0.1462351512</v>
      </c>
      <c r="AW538" s="219">
        <f>IF(Model!AA$1&lt;='Assumptions (NG)'!$V$12,PPMT('Assumptions (NG)'!$V$9,Model!AA$1,'Assumptions (NG)'!$V$12,'Assumptions (NG)'!$V$7*Model!$AS$438*AVERAGE('Assumptions (NG)'!$AO$2:$AQ$2)+ Model!$AS$439*AVERAGE('Assumptions (NG)'!$AO$3:$AQ3))/10^9,0)</f>
        <v>-0.1572027875</v>
      </c>
      <c r="AX538" s="219">
        <f>IF(Model!AB$1&lt;='Assumptions (NG)'!$V$12,PPMT('Assumptions (NG)'!$V$9,Model!AB$1,'Assumptions (NG)'!$V$12,'Assumptions (NG)'!$V$7*Model!$AS$438*AVERAGE('Assumptions (NG)'!$AO$2:$AQ$2)+ Model!$AS$439*AVERAGE('Assumptions (NG)'!$AO$3:$AQ3))/10^9,0)</f>
        <v>-0.1689929966</v>
      </c>
      <c r="AY538" s="219">
        <f>IF(Model!AC$1&lt;='Assumptions (NG)'!$V$12,PPMT('Assumptions (NG)'!$V$9,Model!AC$1,'Assumptions (NG)'!$V$12,'Assumptions (NG)'!$V$7*Model!$AS$438*AVERAGE('Assumptions (NG)'!$AO$2:$AQ$2)+ Model!$AS$439*AVERAGE('Assumptions (NG)'!$AO$3:$AQ3))/10^9,0)</f>
        <v>-0.1816674713</v>
      </c>
      <c r="AZ538" s="219">
        <f>IF(Model!AD$1&lt;='Assumptions (NG)'!$V$12,PPMT('Assumptions (NG)'!$V$9,Model!AD$1,'Assumptions (NG)'!$V$12,'Assumptions (NG)'!$V$7*Model!$AS$438*AVERAGE('Assumptions (NG)'!$AO$2:$AQ$2)+ Model!$AS$439*AVERAGE('Assumptions (NG)'!$AO$3:$AQ3))/10^9,0)</f>
        <v>-0.1952925317</v>
      </c>
      <c r="BA538" s="219">
        <f>IF(Model!AE$1&lt;='Assumptions (NG)'!$V$12,PPMT('Assumptions (NG)'!$V$9,Model!AE$1,'Assumptions (NG)'!$V$12,'Assumptions (NG)'!$V$7*Model!$AS$438*AVERAGE('Assumptions (NG)'!$AO$2:$AQ$2)+ Model!$AS$439*AVERAGE('Assumptions (NG)'!$AO$3:$AQ3))/10^9,0)</f>
        <v>-0.2099394715</v>
      </c>
      <c r="BB538" s="219">
        <f>IF(Model!AF$1&lt;='Assumptions (NG)'!$V$12,PPMT('Assumptions (NG)'!$V$9,Model!AF$1,'Assumptions (NG)'!$V$12,'Assumptions (NG)'!$V$7*Model!$AS$438*AVERAGE('Assumptions (NG)'!$AO$2:$AQ$2)+ Model!$AS$439*AVERAGE('Assumptions (NG)'!$AO$3:$AQ3))/10^9,0)</f>
        <v>-0.2256849319</v>
      </c>
      <c r="BC538" s="219"/>
      <c r="BD538" s="219"/>
      <c r="BE538" s="219"/>
      <c r="BF538" s="219"/>
      <c r="BG538" s="219"/>
      <c r="BH538" s="219"/>
      <c r="BI538" s="219"/>
      <c r="BJ538" s="219"/>
      <c r="BK538" s="219"/>
      <c r="BL538" s="219"/>
      <c r="BM538" s="219"/>
      <c r="BN538" s="219"/>
      <c r="BO538" s="219"/>
      <c r="BP538" s="160"/>
      <c r="BQ538" s="160"/>
      <c r="BR538" s="160"/>
    </row>
    <row r="539" ht="15.75" hidden="1" customHeight="1" outlineLevel="1">
      <c r="A539" s="209"/>
      <c r="B539" s="38"/>
      <c r="C539" s="174"/>
      <c r="D539" s="174"/>
      <c r="E539" s="174"/>
      <c r="F539" s="174"/>
      <c r="G539" s="174"/>
      <c r="H539" s="174"/>
      <c r="I539" s="174"/>
      <c r="J539" s="174"/>
      <c r="K539" s="174"/>
      <c r="L539" s="174"/>
      <c r="M539" s="174"/>
      <c r="N539" s="174"/>
      <c r="O539" s="174"/>
      <c r="P539" s="174"/>
      <c r="Q539" s="174"/>
      <c r="R539" s="174"/>
      <c r="S539" s="174"/>
      <c r="T539" s="174"/>
      <c r="U539" s="174"/>
      <c r="V539" s="174"/>
      <c r="W539" s="160"/>
      <c r="X539" s="219"/>
      <c r="Y539" s="219"/>
      <c r="Z539" s="219"/>
      <c r="AA539" s="219"/>
      <c r="AB539" s="219"/>
      <c r="AC539" s="219"/>
      <c r="AD539" s="219"/>
      <c r="AE539" s="219"/>
      <c r="AF539" s="219"/>
      <c r="AG539" s="219"/>
      <c r="AH539" s="219"/>
      <c r="AI539" s="219"/>
      <c r="AJ539" s="219"/>
      <c r="AK539" s="219"/>
      <c r="AL539" s="219"/>
      <c r="AM539" s="219"/>
      <c r="AN539" s="219"/>
      <c r="AO539" s="219"/>
      <c r="AP539" s="219"/>
      <c r="AQ539" s="219"/>
      <c r="AR539" s="219"/>
      <c r="AS539" s="219"/>
      <c r="AT539" s="219">
        <f>IF(Model!W$1&lt;='Assumptions (NG)'!$V$12,PPMT('Assumptions (NG)'!$V$9,Model!W$1,'Assumptions (NG)'!$V$12,'Assumptions (NG)'!$V$7*Model!$AT$438*AVERAGE('Assumptions (NG)'!$AP$2:$AR$2)+ Model!$AT$439*AVERAGE('Assumptions (NG)'!$AP$3:$AR3))/10^9,0)</f>
        <v>-0.05456543057</v>
      </c>
      <c r="AU539" s="219">
        <f>IF(Model!X$1&lt;='Assumptions (NG)'!$V$12,PPMT('Assumptions (NG)'!$V$9,Model!X$1,'Assumptions (NG)'!$V$12,'Assumptions (NG)'!$V$7*Model!$AT$438*AVERAGE('Assumptions (NG)'!$AP$2:$AR$2)+ Model!$AT$439*AVERAGE('Assumptions (NG)'!$AP$3:$AR3))/10^9,0)</f>
        <v>-0.05865783787</v>
      </c>
      <c r="AV539" s="219">
        <f>IF(Model!Y$1&lt;='Assumptions (NG)'!$V$12,PPMT('Assumptions (NG)'!$V$9,Model!Y$1,'Assumptions (NG)'!$V$12,'Assumptions (NG)'!$V$7*Model!$AT$438*AVERAGE('Assumptions (NG)'!$AP$2:$AR$2)+ Model!$AT$439*AVERAGE('Assumptions (NG)'!$AP$3:$AR3))/10^9,0)</f>
        <v>-0.06305717571</v>
      </c>
      <c r="AW539" s="219">
        <f>IF(Model!Z$1&lt;='Assumptions (NG)'!$V$12,PPMT('Assumptions (NG)'!$V$9,Model!Z$1,'Assumptions (NG)'!$V$12,'Assumptions (NG)'!$V$7*Model!$AT$438*AVERAGE('Assumptions (NG)'!$AP$2:$AR$2)+ Model!$AT$439*AVERAGE('Assumptions (NG)'!$AP$3:$AR3))/10^9,0)</f>
        <v>-0.06778646389</v>
      </c>
      <c r="AX539" s="219">
        <f>IF(Model!AA$1&lt;='Assumptions (NG)'!$V$12,PPMT('Assumptions (NG)'!$V$9,Model!AA$1,'Assumptions (NG)'!$V$12,'Assumptions (NG)'!$V$7*Model!$AT$438*AVERAGE('Assumptions (NG)'!$AP$2:$AR$2)+ Model!$AT$439*AVERAGE('Assumptions (NG)'!$AP$3:$AR3))/10^9,0)</f>
        <v>-0.07287044868</v>
      </c>
      <c r="AY539" s="219">
        <f>IF(Model!AB$1&lt;='Assumptions (NG)'!$V$12,PPMT('Assumptions (NG)'!$V$9,Model!AB$1,'Assumptions (NG)'!$V$12,'Assumptions (NG)'!$V$7*Model!$AT$438*AVERAGE('Assumptions (NG)'!$AP$2:$AR$2)+ Model!$AT$439*AVERAGE('Assumptions (NG)'!$AP$3:$AR3))/10^9,0)</f>
        <v>-0.07833573233</v>
      </c>
      <c r="AZ539" s="219">
        <f>IF(Model!AC$1&lt;='Assumptions (NG)'!$V$12,PPMT('Assumptions (NG)'!$V$9,Model!AC$1,'Assumptions (NG)'!$V$12,'Assumptions (NG)'!$V$7*Model!$AT$438*AVERAGE('Assumptions (NG)'!$AP$2:$AR$2)+ Model!$AT$439*AVERAGE('Assumptions (NG)'!$AP$3:$AR3))/10^9,0)</f>
        <v>-0.08421091225</v>
      </c>
      <c r="BA539" s="219">
        <f>IF(Model!AD$1&lt;='Assumptions (NG)'!$V$12,PPMT('Assumptions (NG)'!$V$9,Model!AD$1,'Assumptions (NG)'!$V$12,'Assumptions (NG)'!$V$7*Model!$AT$438*AVERAGE('Assumptions (NG)'!$AP$2:$AR$2)+ Model!$AT$439*AVERAGE('Assumptions (NG)'!$AP$3:$AR3))/10^9,0)</f>
        <v>-0.09052673067</v>
      </c>
      <c r="BB539" s="219">
        <f>IF(Model!AE$1&lt;='Assumptions (NG)'!$V$12,PPMT('Assumptions (NG)'!$V$9,Model!AE$1,'Assumptions (NG)'!$V$12,'Assumptions (NG)'!$V$7*Model!$AT$438*AVERAGE('Assumptions (NG)'!$AP$2:$AR$2)+ Model!$AT$439*AVERAGE('Assumptions (NG)'!$AP$3:$AR3))/10^9,0)</f>
        <v>-0.09731623547</v>
      </c>
      <c r="BC539" s="219">
        <f>IF(Model!AF$1&lt;='Assumptions (NG)'!$V$12,PPMT('Assumptions (NG)'!$V$9,Model!AF$1,'Assumptions (NG)'!$V$12,'Assumptions (NG)'!$V$7*Model!$AT$438*AVERAGE('Assumptions (NG)'!$AP$2:$AR$2)+ Model!$AT$439*AVERAGE('Assumptions (NG)'!$AP$3:$AR3))/10^9,0)</f>
        <v>-0.1046149531</v>
      </c>
      <c r="BD539" s="219"/>
      <c r="BE539" s="219"/>
      <c r="BF539" s="219"/>
      <c r="BG539" s="219"/>
      <c r="BH539" s="219"/>
      <c r="BI539" s="219"/>
      <c r="BJ539" s="219"/>
      <c r="BK539" s="219"/>
      <c r="BL539" s="219"/>
      <c r="BM539" s="219"/>
      <c r="BN539" s="219"/>
      <c r="BO539" s="219"/>
      <c r="BP539" s="160"/>
      <c r="BQ539" s="160"/>
      <c r="BR539" s="160"/>
    </row>
    <row r="540" ht="15.75" hidden="1" customHeight="1" outlineLevel="1">
      <c r="A540" s="209"/>
      <c r="B540" s="38"/>
      <c r="C540" s="174"/>
      <c r="D540" s="174"/>
      <c r="E540" s="174"/>
      <c r="F540" s="174"/>
      <c r="G540" s="174"/>
      <c r="H540" s="174"/>
      <c r="I540" s="174"/>
      <c r="J540" s="174"/>
      <c r="K540" s="174"/>
      <c r="L540" s="174"/>
      <c r="M540" s="174"/>
      <c r="N540" s="174"/>
      <c r="O540" s="174"/>
      <c r="P540" s="174"/>
      <c r="Q540" s="174"/>
      <c r="R540" s="174"/>
      <c r="S540" s="174"/>
      <c r="T540" s="174"/>
      <c r="U540" s="174"/>
      <c r="V540" s="174"/>
      <c r="W540" s="160"/>
      <c r="X540" s="219"/>
      <c r="Y540" s="219"/>
      <c r="Z540" s="219"/>
      <c r="AA540" s="219"/>
      <c r="AB540" s="219"/>
      <c r="AC540" s="219"/>
      <c r="AD540" s="219"/>
      <c r="AE540" s="219"/>
      <c r="AF540" s="219"/>
      <c r="AG540" s="219"/>
      <c r="AH540" s="219"/>
      <c r="AI540" s="219"/>
      <c r="AJ540" s="219"/>
      <c r="AK540" s="219"/>
      <c r="AL540" s="219"/>
      <c r="AM540" s="219"/>
      <c r="AN540" s="219"/>
      <c r="AO540" s="219"/>
      <c r="AP540" s="219"/>
      <c r="AQ540" s="219"/>
      <c r="AR540" s="219"/>
      <c r="AS540" s="219"/>
      <c r="AT540" s="219"/>
      <c r="AU540" s="219">
        <f>IF(Model!W$1&lt;='Assumptions (NG)'!$V$12,PPMT('Assumptions (NG)'!$V$9,Model!W$1,'Assumptions (NG)'!$V$12,'Assumptions (NG)'!$V$7*Model!$AU$438*AVERAGE('Assumptions (NG)'!$AQ$2:$AS$2)+ Model!$AU$439*AVERAGE('Assumptions (NG)'!$AQ$3:$AS3))/10^9,0)</f>
        <v>-0.109689911</v>
      </c>
      <c r="AV540" s="219">
        <f>IF(Model!X$1&lt;='Assumptions (NG)'!$V$12,PPMT('Assumptions (NG)'!$V$9,Model!X$1,'Assumptions (NG)'!$V$12,'Assumptions (NG)'!$V$7*Model!$AU$438*AVERAGE('Assumptions (NG)'!$AQ$2:$AS$2)+ Model!$AU$439*AVERAGE('Assumptions (NG)'!$AQ$3:$AS3))/10^9,0)</f>
        <v>-0.1179166543</v>
      </c>
      <c r="AW540" s="219">
        <f>IF(Model!Y$1&lt;='Assumptions (NG)'!$V$12,PPMT('Assumptions (NG)'!$V$9,Model!Y$1,'Assumptions (NG)'!$V$12,'Assumptions (NG)'!$V$7*Model!$AU$438*AVERAGE('Assumptions (NG)'!$AQ$2:$AS$2)+ Model!$AU$439*AVERAGE('Assumptions (NG)'!$AQ$3:$AS3))/10^9,0)</f>
        <v>-0.1267604034</v>
      </c>
      <c r="AX540" s="219">
        <f>IF(Model!Z$1&lt;='Assumptions (NG)'!$V$12,PPMT('Assumptions (NG)'!$V$9,Model!Z$1,'Assumptions (NG)'!$V$12,'Assumptions (NG)'!$V$7*Model!$AU$438*AVERAGE('Assumptions (NG)'!$AQ$2:$AS$2)+ Model!$AU$439*AVERAGE('Assumptions (NG)'!$AQ$3:$AS3))/10^9,0)</f>
        <v>-0.1362674336</v>
      </c>
      <c r="AY540" s="219">
        <f>IF(Model!AA$1&lt;='Assumptions (NG)'!$V$12,PPMT('Assumptions (NG)'!$V$9,Model!AA$1,'Assumptions (NG)'!$V$12,'Assumptions (NG)'!$V$7*Model!$AU$438*AVERAGE('Assumptions (NG)'!$AQ$2:$AS$2)+ Model!$AU$439*AVERAGE('Assumptions (NG)'!$AQ$3:$AS3))/10^9,0)</f>
        <v>-0.1464874911</v>
      </c>
      <c r="AZ540" s="219">
        <f>IF(Model!AB$1&lt;='Assumptions (NG)'!$V$12,PPMT('Assumptions (NG)'!$V$9,Model!AB$1,'Assumptions (NG)'!$V$12,'Assumptions (NG)'!$V$7*Model!$AU$438*AVERAGE('Assumptions (NG)'!$AQ$2:$AS$2)+ Model!$AU$439*AVERAGE('Assumptions (NG)'!$AQ$3:$AS3))/10^9,0)</f>
        <v>-0.157474053</v>
      </c>
      <c r="BA540" s="219">
        <f>IF(Model!AC$1&lt;='Assumptions (NG)'!$V$12,PPMT('Assumptions (NG)'!$V$9,Model!AC$1,'Assumptions (NG)'!$V$12,'Assumptions (NG)'!$V$7*Model!$AU$438*AVERAGE('Assumptions (NG)'!$AQ$2:$AS$2)+ Model!$AU$439*AVERAGE('Assumptions (NG)'!$AQ$3:$AS3))/10^9,0)</f>
        <v>-0.169284607</v>
      </c>
      <c r="BB540" s="219">
        <f>IF(Model!AD$1&lt;='Assumptions (NG)'!$V$12,PPMT('Assumptions (NG)'!$V$9,Model!AD$1,'Assumptions (NG)'!$V$12,'Assumptions (NG)'!$V$7*Model!$AU$438*AVERAGE('Assumptions (NG)'!$AQ$2:$AS$2)+ Model!$AU$439*AVERAGE('Assumptions (NG)'!$AQ$3:$AS3))/10^9,0)</f>
        <v>-0.1819809525</v>
      </c>
      <c r="BC540" s="219">
        <f>IF(Model!AE$1&lt;='Assumptions (NG)'!$V$12,PPMT('Assumptions (NG)'!$V$9,Model!AE$1,'Assumptions (NG)'!$V$12,'Assumptions (NG)'!$V$7*Model!$AU$438*AVERAGE('Assumptions (NG)'!$AQ$2:$AS$2)+ Model!$AU$439*AVERAGE('Assumptions (NG)'!$AQ$3:$AS3))/10^9,0)</f>
        <v>-0.1956295239</v>
      </c>
      <c r="BD540" s="219">
        <f>IF(Model!AF$1&lt;='Assumptions (NG)'!$V$12,PPMT('Assumptions (NG)'!$V$9,Model!AF$1,'Assumptions (NG)'!$V$12,'Assumptions (NG)'!$V$7*Model!$AU$438*AVERAGE('Assumptions (NG)'!$AQ$2:$AS$2)+ Model!$AU$439*AVERAGE('Assumptions (NG)'!$AQ$3:$AS3))/10^9,0)</f>
        <v>-0.2103017382</v>
      </c>
      <c r="BE540" s="219"/>
      <c r="BF540" s="219"/>
      <c r="BG540" s="219"/>
      <c r="BH540" s="219"/>
      <c r="BI540" s="219"/>
      <c r="BJ540" s="219"/>
      <c r="BK540" s="219"/>
      <c r="BL540" s="219"/>
      <c r="BM540" s="219"/>
      <c r="BN540" s="219"/>
      <c r="BO540" s="219"/>
      <c r="BP540" s="160"/>
      <c r="BQ540" s="160"/>
      <c r="BR540" s="160"/>
      <c r="BS540" s="160"/>
    </row>
    <row r="541" ht="15.75" hidden="1" customHeight="1" outlineLevel="1">
      <c r="A541" s="209"/>
      <c r="B541" s="38"/>
      <c r="C541" s="174"/>
      <c r="D541" s="174"/>
      <c r="E541" s="174"/>
      <c r="F541" s="174"/>
      <c r="G541" s="174"/>
      <c r="H541" s="174"/>
      <c r="I541" s="174"/>
      <c r="J541" s="174"/>
      <c r="K541" s="174"/>
      <c r="L541" s="174"/>
      <c r="M541" s="174"/>
      <c r="N541" s="174"/>
      <c r="O541" s="174"/>
      <c r="P541" s="174"/>
      <c r="Q541" s="174"/>
      <c r="R541" s="174"/>
      <c r="S541" s="174"/>
      <c r="T541" s="174"/>
      <c r="U541" s="174"/>
      <c r="V541" s="174"/>
      <c r="W541" s="160"/>
      <c r="X541" s="219"/>
      <c r="Y541" s="219"/>
      <c r="Z541" s="219"/>
      <c r="AA541" s="219"/>
      <c r="AB541" s="219"/>
      <c r="AC541" s="219"/>
      <c r="AD541" s="219"/>
      <c r="AE541" s="219"/>
      <c r="AF541" s="219"/>
      <c r="AG541" s="219"/>
      <c r="AH541" s="219"/>
      <c r="AI541" s="219"/>
      <c r="AJ541" s="219"/>
      <c r="AK541" s="219"/>
      <c r="AL541" s="219"/>
      <c r="AM541" s="219"/>
      <c r="AN541" s="219"/>
      <c r="AO541" s="219"/>
      <c r="AP541" s="219"/>
      <c r="AQ541" s="219"/>
      <c r="AR541" s="219"/>
      <c r="AS541" s="219"/>
      <c r="AT541" s="219"/>
      <c r="AU541" s="219"/>
      <c r="AV541" s="219">
        <f>IF(Model!W$1&lt;='Assumptions (NG)'!$V$12,PPMT('Assumptions (NG)'!$V$9,Model!W$1,'Assumptions (NG)'!$V$12,'Assumptions (NG)'!$V$7*Model!$AV$438*AVERAGE('Assumptions (NG)'!$AR$2:$AT$2)+ Model!$AV$439*AVERAGE('Assumptions (NG)'!$AR$3:$AT3))/10^9,0)</f>
        <v>-0.05675810178</v>
      </c>
      <c r="AW541" s="219">
        <f>IF(Model!X$1&lt;='Assumptions (NG)'!$V$12,PPMT('Assumptions (NG)'!$V$9,Model!X$1,'Assumptions (NG)'!$V$12,'Assumptions (NG)'!$V$7*Model!$AV$438*AVERAGE('Assumptions (NG)'!$AR$2:$AT$2)+ Model!$AV$439*AVERAGE('Assumptions (NG)'!$AR$3:$AT3))/10^9,0)</f>
        <v>-0.06101495941</v>
      </c>
      <c r="AX541" s="219">
        <f>IF(Model!Y$1&lt;='Assumptions (NG)'!$V$12,PPMT('Assumptions (NG)'!$V$9,Model!Y$1,'Assumptions (NG)'!$V$12,'Assumptions (NG)'!$V$7*Model!$AV$438*AVERAGE('Assumptions (NG)'!$AR$2:$AT$2)+ Model!$AV$439*AVERAGE('Assumptions (NG)'!$AR$3:$AT3))/10^9,0)</f>
        <v>-0.06559108136</v>
      </c>
      <c r="AY541" s="219">
        <f>IF(Model!Z$1&lt;='Assumptions (NG)'!$V$12,PPMT('Assumptions (NG)'!$V$9,Model!Z$1,'Assumptions (NG)'!$V$12,'Assumptions (NG)'!$V$7*Model!$AV$438*AVERAGE('Assumptions (NG)'!$AR$2:$AT$2)+ Model!$AV$439*AVERAGE('Assumptions (NG)'!$AR$3:$AT3))/10^9,0)</f>
        <v>-0.07051041247</v>
      </c>
      <c r="AZ541" s="219">
        <f>IF(Model!AA$1&lt;='Assumptions (NG)'!$V$12,PPMT('Assumptions (NG)'!$V$9,Model!AA$1,'Assumptions (NG)'!$V$12,'Assumptions (NG)'!$V$7*Model!$AV$438*AVERAGE('Assumptions (NG)'!$AR$2:$AT$2)+ Model!$AV$439*AVERAGE('Assumptions (NG)'!$AR$3:$AT3))/10^9,0)</f>
        <v>-0.0757986934</v>
      </c>
      <c r="BA541" s="219">
        <f>IF(Model!AB$1&lt;='Assumptions (NG)'!$V$12,PPMT('Assumptions (NG)'!$V$9,Model!AB$1,'Assumptions (NG)'!$V$12,'Assumptions (NG)'!$V$7*Model!$AV$438*AVERAGE('Assumptions (NG)'!$AR$2:$AT$2)+ Model!$AV$439*AVERAGE('Assumptions (NG)'!$AR$3:$AT3))/10^9,0)</f>
        <v>-0.08148359541</v>
      </c>
      <c r="BB541" s="219">
        <f>IF(Model!AC$1&lt;='Assumptions (NG)'!$V$12,PPMT('Assumptions (NG)'!$V$9,Model!AC$1,'Assumptions (NG)'!$V$12,'Assumptions (NG)'!$V$7*Model!$AV$438*AVERAGE('Assumptions (NG)'!$AR$2:$AT$2)+ Model!$AV$439*AVERAGE('Assumptions (NG)'!$AR$3:$AT3))/10^9,0)</f>
        <v>-0.08759486506</v>
      </c>
      <c r="BC541" s="219">
        <f>IF(Model!AD$1&lt;='Assumptions (NG)'!$V$12,PPMT('Assumptions (NG)'!$V$9,Model!AD$1,'Assumptions (NG)'!$V$12,'Assumptions (NG)'!$V$7*Model!$AV$438*AVERAGE('Assumptions (NG)'!$AR$2:$AT$2)+ Model!$AV$439*AVERAGE('Assumptions (NG)'!$AR$3:$AT3))/10^9,0)</f>
        <v>-0.09416447994</v>
      </c>
      <c r="BD541" s="219">
        <f>IF(Model!AE$1&lt;='Assumptions (NG)'!$V$12,PPMT('Assumptions (NG)'!$V$9,Model!AE$1,'Assumptions (NG)'!$V$12,'Assumptions (NG)'!$V$7*Model!$AV$438*AVERAGE('Assumptions (NG)'!$AR$2:$AT$2)+ Model!$AV$439*AVERAGE('Assumptions (NG)'!$AR$3:$AT3))/10^9,0)</f>
        <v>-0.1012268159</v>
      </c>
      <c r="BE541" s="219">
        <f>IF(Model!AF$1&lt;='Assumptions (NG)'!$V$12,PPMT('Assumptions (NG)'!$V$9,Model!AF$1,'Assumptions (NG)'!$V$12,'Assumptions (NG)'!$V$7*Model!$AV$438*AVERAGE('Assumptions (NG)'!$AR$2:$AT$2)+ Model!$AV$439*AVERAGE('Assumptions (NG)'!$AR$3:$AT3))/10^9,0)</f>
        <v>-0.1088188271</v>
      </c>
      <c r="BF541" s="219"/>
      <c r="BG541" s="219"/>
      <c r="BH541" s="219"/>
      <c r="BI541" s="219"/>
      <c r="BJ541" s="219"/>
      <c r="BK541" s="219"/>
      <c r="BL541" s="219"/>
      <c r="BM541" s="219"/>
      <c r="BN541" s="219"/>
      <c r="BO541" s="219"/>
      <c r="BP541" s="160"/>
      <c r="BQ541" s="160"/>
      <c r="BR541" s="160"/>
      <c r="BS541" s="160"/>
      <c r="BT541" s="160"/>
    </row>
    <row r="542" ht="15.75" hidden="1" customHeight="1" outlineLevel="1">
      <c r="A542" s="209"/>
      <c r="B542" s="38"/>
      <c r="C542" s="174"/>
      <c r="D542" s="174"/>
      <c r="E542" s="174"/>
      <c r="F542" s="174"/>
      <c r="G542" s="174"/>
      <c r="H542" s="174"/>
      <c r="I542" s="174"/>
      <c r="J542" s="174"/>
      <c r="K542" s="174"/>
      <c r="L542" s="174"/>
      <c r="M542" s="174"/>
      <c r="N542" s="174"/>
      <c r="O542" s="174"/>
      <c r="P542" s="174"/>
      <c r="Q542" s="174"/>
      <c r="R542" s="174"/>
      <c r="S542" s="174"/>
      <c r="T542" s="174"/>
      <c r="U542" s="174"/>
      <c r="V542" s="174"/>
      <c r="W542" s="160"/>
      <c r="X542" s="219"/>
      <c r="Y542" s="219"/>
      <c r="Z542" s="219"/>
      <c r="AA542" s="219"/>
      <c r="AB542" s="219"/>
      <c r="AC542" s="219"/>
      <c r="AD542" s="219"/>
      <c r="AE542" s="219"/>
      <c r="AF542" s="219"/>
      <c r="AG542" s="219"/>
      <c r="AH542" s="219"/>
      <c r="AI542" s="219"/>
      <c r="AJ542" s="219"/>
      <c r="AK542" s="219"/>
      <c r="AL542" s="219"/>
      <c r="AM542" s="219"/>
      <c r="AN542" s="219"/>
      <c r="AO542" s="219"/>
      <c r="AP542" s="219"/>
      <c r="AQ542" s="219"/>
      <c r="AR542" s="219"/>
      <c r="AS542" s="219"/>
      <c r="AT542" s="219"/>
      <c r="AU542" s="219"/>
      <c r="AV542" s="219"/>
      <c r="AW542" s="219">
        <f>IF(Model!W$1&lt;='Assumptions (NG)'!$V$12,PPMT('Assumptions (NG)'!$V$9,Model!W$1,'Assumptions (NG)'!$V$12,'Assumptions (NG)'!$V$7*Model!$AW$438*AVERAGE('Assumptions (NG)'!$AS$2:$AU$2)+ Model!$AW$439*AVERAGE('Assumptions (NG)'!$AS$3:$AU3))/10^9,0)</f>
        <v>-0.1744743338</v>
      </c>
      <c r="AX542" s="219">
        <f>IF(Model!X$1&lt;='Assumptions (NG)'!$V$12,PPMT('Assumptions (NG)'!$V$9,Model!X$1,'Assumptions (NG)'!$V$12,'Assumptions (NG)'!$V$7*Model!$AW$438*AVERAGE('Assumptions (NG)'!$AS$2:$AU$2)+ Model!$AW$439*AVERAGE('Assumptions (NG)'!$AS$3:$AU3))/10^9,0)</f>
        <v>-0.1875599089</v>
      </c>
      <c r="AY542" s="219">
        <f>IF(Model!Y$1&lt;='Assumptions (NG)'!$V$12,PPMT('Assumptions (NG)'!$V$9,Model!Y$1,'Assumptions (NG)'!$V$12,'Assumptions (NG)'!$V$7*Model!$AW$438*AVERAGE('Assumptions (NG)'!$AS$2:$AU$2)+ Model!$AW$439*AVERAGE('Assumptions (NG)'!$AS$3:$AU3))/10^9,0)</f>
        <v>-0.2016269021</v>
      </c>
      <c r="AZ542" s="219">
        <f>IF(Model!Z$1&lt;='Assumptions (NG)'!$V$12,PPMT('Assumptions (NG)'!$V$9,Model!Z$1,'Assumptions (NG)'!$V$12,'Assumptions (NG)'!$V$7*Model!$AW$438*AVERAGE('Assumptions (NG)'!$AS$2:$AU$2)+ Model!$AW$439*AVERAGE('Assumptions (NG)'!$AS$3:$AU3))/10^9,0)</f>
        <v>-0.2167489197</v>
      </c>
      <c r="BA542" s="219">
        <f>IF(Model!AA$1&lt;='Assumptions (NG)'!$V$12,PPMT('Assumptions (NG)'!$V$9,Model!AA$1,'Assumptions (NG)'!$V$12,'Assumptions (NG)'!$V$7*Model!$AW$438*AVERAGE('Assumptions (NG)'!$AS$2:$AU$2)+ Model!$AW$439*AVERAGE('Assumptions (NG)'!$AS$3:$AU3))/10^9,0)</f>
        <v>-0.2330050887</v>
      </c>
      <c r="BB542" s="219">
        <f>IF(Model!AB$1&lt;='Assumptions (NG)'!$V$12,PPMT('Assumptions (NG)'!$V$9,Model!AB$1,'Assumptions (NG)'!$V$12,'Assumptions (NG)'!$V$7*Model!$AW$438*AVERAGE('Assumptions (NG)'!$AS$2:$AU$2)+ Model!$AW$439*AVERAGE('Assumptions (NG)'!$AS$3:$AU3))/10^9,0)</f>
        <v>-0.2504804703</v>
      </c>
      <c r="BC542" s="219">
        <f>IF(Model!AC$1&lt;='Assumptions (NG)'!$V$12,PPMT('Assumptions (NG)'!$V$9,Model!AC$1,'Assumptions (NG)'!$V$12,'Assumptions (NG)'!$V$7*Model!$AW$438*AVERAGE('Assumptions (NG)'!$AS$2:$AU$2)+ Model!$AW$439*AVERAGE('Assumptions (NG)'!$AS$3:$AU3))/10^9,0)</f>
        <v>-0.2692665056</v>
      </c>
      <c r="BD542" s="219">
        <f>IF(Model!AD$1&lt;='Assumptions (NG)'!$V$12,PPMT('Assumptions (NG)'!$V$9,Model!AD$1,'Assumptions (NG)'!$V$12,'Assumptions (NG)'!$V$7*Model!$AW$438*AVERAGE('Assumptions (NG)'!$AS$2:$AU$2)+ Model!$AW$439*AVERAGE('Assumptions (NG)'!$AS$3:$AU3))/10^9,0)</f>
        <v>-0.2894614935</v>
      </c>
      <c r="BE542" s="219">
        <f>IF(Model!AE$1&lt;='Assumptions (NG)'!$V$12,PPMT('Assumptions (NG)'!$V$9,Model!AE$1,'Assumptions (NG)'!$V$12,'Assumptions (NG)'!$V$7*Model!$AW$438*AVERAGE('Assumptions (NG)'!$AS$2:$AU$2)+ Model!$AW$439*AVERAGE('Assumptions (NG)'!$AS$3:$AU3))/10^9,0)</f>
        <v>-0.3111711055</v>
      </c>
      <c r="BF542" s="219">
        <f>IF(Model!AF$1&lt;='Assumptions (NG)'!$V$12,PPMT('Assumptions (NG)'!$V$9,Model!AF$1,'Assumptions (NG)'!$V$12,'Assumptions (NG)'!$V$7*Model!$AW$438*AVERAGE('Assumptions (NG)'!$AS$2:$AU$2)+ Model!$AW$439*AVERAGE('Assumptions (NG)'!$AS$3:$AU3))/10^9,0)</f>
        <v>-0.3345089385</v>
      </c>
      <c r="BG542" s="219"/>
      <c r="BH542" s="219"/>
      <c r="BI542" s="219"/>
      <c r="BJ542" s="219"/>
      <c r="BK542" s="219"/>
      <c r="BL542" s="219"/>
      <c r="BM542" s="219"/>
      <c r="BN542" s="219"/>
      <c r="BO542" s="219"/>
      <c r="BP542" s="160"/>
      <c r="BQ542" s="160"/>
      <c r="BR542" s="160"/>
      <c r="BS542" s="160"/>
      <c r="BT542" s="160"/>
      <c r="BU542" s="160"/>
    </row>
    <row r="543" ht="15.75" hidden="1" customHeight="1" outlineLevel="1">
      <c r="A543" s="209"/>
      <c r="B543" s="38"/>
      <c r="C543" s="174"/>
      <c r="D543" s="174"/>
      <c r="E543" s="174"/>
      <c r="F543" s="174"/>
      <c r="G543" s="174"/>
      <c r="H543" s="174"/>
      <c r="I543" s="174"/>
      <c r="J543" s="174"/>
      <c r="K543" s="174"/>
      <c r="L543" s="174"/>
      <c r="M543" s="174"/>
      <c r="N543" s="174"/>
      <c r="O543" s="174"/>
      <c r="P543" s="174"/>
      <c r="Q543" s="174"/>
      <c r="R543" s="174"/>
      <c r="S543" s="174"/>
      <c r="T543" s="174"/>
      <c r="U543" s="174"/>
      <c r="V543" s="174"/>
      <c r="W543" s="160"/>
      <c r="X543" s="219"/>
      <c r="Y543" s="219"/>
      <c r="Z543" s="219"/>
      <c r="AA543" s="219"/>
      <c r="AB543" s="219"/>
      <c r="AC543" s="219"/>
      <c r="AD543" s="219"/>
      <c r="AE543" s="219"/>
      <c r="AF543" s="219"/>
      <c r="AG543" s="219"/>
      <c r="AH543" s="219"/>
      <c r="AI543" s="219"/>
      <c r="AJ543" s="219"/>
      <c r="AK543" s="219"/>
      <c r="AL543" s="219"/>
      <c r="AM543" s="219"/>
      <c r="AN543" s="219"/>
      <c r="AO543" s="219"/>
      <c r="AP543" s="219"/>
      <c r="AQ543" s="219"/>
      <c r="AR543" s="219"/>
      <c r="AS543" s="219"/>
      <c r="AT543" s="219"/>
      <c r="AU543" s="219"/>
      <c r="AV543" s="219"/>
      <c r="AW543" s="219"/>
      <c r="AX543" s="219">
        <f>IF(Model!W$1&lt;='Assumptions (NG)'!$V$12,PPMT('Assumptions (NG)'!$V$9,Model!W$1,'Assumptions (NG)'!$V$12,'Assumptions (NG)'!$V$7*Model!$AX$438*AVERAGE('Assumptions (NG)'!$AT$2:$AV$2)+ Model!$AX$439*AVERAGE('Assumptions (NG)'!$AT$3:$AV3))/10^9,0)</f>
        <v>-0.2416143243</v>
      </c>
      <c r="AY543" s="219">
        <f>IF(Model!X$1&lt;='Assumptions (NG)'!$V$12,PPMT('Assumptions (NG)'!$V$9,Model!X$1,'Assumptions (NG)'!$V$12,'Assumptions (NG)'!$V$7*Model!$AX$438*AVERAGE('Assumptions (NG)'!$AT$2:$AV$2)+ Model!$AX$439*AVERAGE('Assumptions (NG)'!$AT$3:$AV3))/10^9,0)</f>
        <v>-0.2597353986</v>
      </c>
      <c r="AZ543" s="219">
        <f>IF(Model!Y$1&lt;='Assumptions (NG)'!$V$12,PPMT('Assumptions (NG)'!$V$9,Model!Y$1,'Assumptions (NG)'!$V$12,'Assumptions (NG)'!$V$7*Model!$AX$438*AVERAGE('Assumptions (NG)'!$AT$2:$AV$2)+ Model!$AX$439*AVERAGE('Assumptions (NG)'!$AT$3:$AV3))/10^9,0)</f>
        <v>-0.2792155535</v>
      </c>
      <c r="BA543" s="219">
        <f>IF(Model!Z$1&lt;='Assumptions (NG)'!$V$12,PPMT('Assumptions (NG)'!$V$9,Model!Z$1,'Assumptions (NG)'!$V$12,'Assumptions (NG)'!$V$7*Model!$AX$438*AVERAGE('Assumptions (NG)'!$AT$2:$AV$2)+ Model!$AX$439*AVERAGE('Assumptions (NG)'!$AT$3:$AV3))/10^9,0)</f>
        <v>-0.3001567201</v>
      </c>
      <c r="BB543" s="219">
        <f>IF(Model!AA$1&lt;='Assumptions (NG)'!$V$12,PPMT('Assumptions (NG)'!$V$9,Model!AA$1,'Assumptions (NG)'!$V$12,'Assumptions (NG)'!$V$7*Model!$AX$438*AVERAGE('Assumptions (NG)'!$AT$2:$AV$2)+ Model!$AX$439*AVERAGE('Assumptions (NG)'!$AT$3:$AV3))/10^9,0)</f>
        <v>-0.3226684741</v>
      </c>
      <c r="BC543" s="219">
        <f>IF(Model!AB$1&lt;='Assumptions (NG)'!$V$12,PPMT('Assumptions (NG)'!$V$9,Model!AB$1,'Assumptions (NG)'!$V$12,'Assumptions (NG)'!$V$7*Model!$AX$438*AVERAGE('Assumptions (NG)'!$AT$2:$AV$2)+ Model!$AX$439*AVERAGE('Assumptions (NG)'!$AT$3:$AV3))/10^9,0)</f>
        <v>-0.3468686096</v>
      </c>
      <c r="BD543" s="219">
        <f>IF(Model!AC$1&lt;='Assumptions (NG)'!$V$12,PPMT('Assumptions (NG)'!$V$9,Model!AC$1,'Assumptions (NG)'!$V$12,'Assumptions (NG)'!$V$7*Model!$AX$438*AVERAGE('Assumptions (NG)'!$AT$2:$AV$2)+ Model!$AX$439*AVERAGE('Assumptions (NG)'!$AT$3:$AV3))/10^9,0)</f>
        <v>-0.3728837553</v>
      </c>
      <c r="BE543" s="219">
        <f>IF(Model!AD$1&lt;='Assumptions (NG)'!$V$12,PPMT('Assumptions (NG)'!$V$9,Model!AD$1,'Assumptions (NG)'!$V$12,'Assumptions (NG)'!$V$7*Model!$AX$438*AVERAGE('Assumptions (NG)'!$AT$2:$AV$2)+ Model!$AX$439*AVERAGE('Assumptions (NG)'!$AT$3:$AV3))/10^9,0)</f>
        <v>-0.400850037</v>
      </c>
      <c r="BF543" s="219">
        <f>IF(Model!AE$1&lt;='Assumptions (NG)'!$V$12,PPMT('Assumptions (NG)'!$V$9,Model!AE$1,'Assumptions (NG)'!$V$12,'Assumptions (NG)'!$V$7*Model!$AX$438*AVERAGE('Assumptions (NG)'!$AT$2:$AV$2)+ Model!$AX$439*AVERAGE('Assumptions (NG)'!$AT$3:$AV3))/10^9,0)</f>
        <v>-0.4309137898</v>
      </c>
      <c r="BG543" s="219">
        <f>IF(Model!AF$1&lt;='Assumptions (NG)'!$V$12,PPMT('Assumptions (NG)'!$V$9,Model!AF$1,'Assumptions (NG)'!$V$12,'Assumptions (NG)'!$V$7*Model!$AX$438*AVERAGE('Assumptions (NG)'!$AT$2:$AV$2)+ Model!$AX$439*AVERAGE('Assumptions (NG)'!$AT$3:$AV3))/10^9,0)</f>
        <v>-0.463232324</v>
      </c>
      <c r="BH543" s="219"/>
      <c r="BI543" s="219"/>
      <c r="BJ543" s="219"/>
      <c r="BK543" s="219"/>
      <c r="BL543" s="219"/>
      <c r="BM543" s="219"/>
      <c r="BN543" s="219"/>
      <c r="BO543" s="219"/>
      <c r="BP543" s="160"/>
      <c r="BQ543" s="160"/>
      <c r="BR543" s="160"/>
      <c r="BS543" s="160"/>
      <c r="BT543" s="160"/>
      <c r="BU543" s="160"/>
      <c r="BV543" s="160"/>
    </row>
    <row r="544" ht="15.75" hidden="1" customHeight="1" outlineLevel="1">
      <c r="A544" s="209"/>
      <c r="B544" s="38"/>
      <c r="C544" s="174"/>
      <c r="D544" s="174"/>
      <c r="E544" s="174"/>
      <c r="F544" s="174"/>
      <c r="G544" s="174"/>
      <c r="H544" s="174"/>
      <c r="I544" s="174"/>
      <c r="J544" s="174"/>
      <c r="K544" s="174"/>
      <c r="L544" s="174"/>
      <c r="M544" s="174"/>
      <c r="N544" s="174"/>
      <c r="O544" s="174"/>
      <c r="P544" s="174"/>
      <c r="Q544" s="174"/>
      <c r="R544" s="174"/>
      <c r="S544" s="174"/>
      <c r="T544" s="174"/>
      <c r="U544" s="174"/>
      <c r="V544" s="174"/>
      <c r="W544" s="160"/>
      <c r="X544" s="219"/>
      <c r="Y544" s="219"/>
      <c r="Z544" s="219"/>
      <c r="AA544" s="219"/>
      <c r="AB544" s="219"/>
      <c r="AC544" s="219"/>
      <c r="AD544" s="219"/>
      <c r="AE544" s="219"/>
      <c r="AF544" s="219"/>
      <c r="AG544" s="219"/>
      <c r="AH544" s="219"/>
      <c r="AI544" s="219"/>
      <c r="AJ544" s="219"/>
      <c r="AK544" s="219"/>
      <c r="AL544" s="219"/>
      <c r="AM544" s="219"/>
      <c r="AN544" s="219"/>
      <c r="AO544" s="219"/>
      <c r="AP544" s="219"/>
      <c r="AQ544" s="219"/>
      <c r="AR544" s="219"/>
      <c r="AS544" s="219"/>
      <c r="AT544" s="219"/>
      <c r="AU544" s="219"/>
      <c r="AV544" s="219"/>
      <c r="AW544" s="219"/>
      <c r="AX544" s="219"/>
      <c r="AY544" s="219">
        <f>IF(Model!W$1&lt;='Assumptions (NG)'!$V$12,PPMT('Assumptions (NG)'!$V$9,Model!W$1,'Assumptions (NG)'!$V$12,'Assumptions (NG)'!$V$7*Model!$AY$438*AVERAGE('Assumptions (NG)'!$AU$2:$AW$2)+ Model!$AY$439*AVERAGE('Assumptions (NG)'!$AU$3:$AW3))/10^9,0)</f>
        <v>-0.4393414846</v>
      </c>
      <c r="AZ544" s="219">
        <f>IF(Model!X$1&lt;='Assumptions (NG)'!$V$12,PPMT('Assumptions (NG)'!$V$9,Model!X$1,'Assumptions (NG)'!$V$12,'Assumptions (NG)'!$V$7*Model!$AY$438*AVERAGE('Assumptions (NG)'!$AU$2:$AW$2)+ Model!$AY$439*AVERAGE('Assumptions (NG)'!$AU$3:$AW3))/10^9,0)</f>
        <v>-0.472292096</v>
      </c>
      <c r="BA544" s="219">
        <f>IF(Model!Y$1&lt;='Assumptions (NG)'!$V$12,PPMT('Assumptions (NG)'!$V$9,Model!Y$1,'Assumptions (NG)'!$V$12,'Assumptions (NG)'!$V$7*Model!$AY$438*AVERAGE('Assumptions (NG)'!$AU$2:$AW$2)+ Model!$AY$439*AVERAGE('Assumptions (NG)'!$AU$3:$AW3))/10^9,0)</f>
        <v>-0.5077140032</v>
      </c>
      <c r="BB544" s="219">
        <f>IF(Model!Z$1&lt;='Assumptions (NG)'!$V$12,PPMT('Assumptions (NG)'!$V$9,Model!Z$1,'Assumptions (NG)'!$V$12,'Assumptions (NG)'!$V$7*Model!$AY$438*AVERAGE('Assumptions (NG)'!$AU$2:$AW$2)+ Model!$AY$439*AVERAGE('Assumptions (NG)'!$AU$3:$AW3))/10^9,0)</f>
        <v>-0.5457925534</v>
      </c>
      <c r="BC544" s="219">
        <f>IF(Model!AA$1&lt;='Assumptions (NG)'!$V$12,PPMT('Assumptions (NG)'!$V$9,Model!AA$1,'Assumptions (NG)'!$V$12,'Assumptions (NG)'!$V$7*Model!$AY$438*AVERAGE('Assumptions (NG)'!$AU$2:$AW$2)+ Model!$AY$439*AVERAGE('Assumptions (NG)'!$AU$3:$AW3))/10^9,0)</f>
        <v>-0.5867269949</v>
      </c>
      <c r="BD544" s="219">
        <f>IF(Model!AB$1&lt;='Assumptions (NG)'!$V$12,PPMT('Assumptions (NG)'!$V$9,Model!AB$1,'Assumptions (NG)'!$V$12,'Assumptions (NG)'!$V$7*Model!$AY$438*AVERAGE('Assumptions (NG)'!$AU$2:$AW$2)+ Model!$AY$439*AVERAGE('Assumptions (NG)'!$AU$3:$AW3))/10^9,0)</f>
        <v>-0.6307315195</v>
      </c>
      <c r="BE544" s="219">
        <f>IF(Model!AC$1&lt;='Assumptions (NG)'!$V$12,PPMT('Assumptions (NG)'!$V$9,Model!AC$1,'Assumptions (NG)'!$V$12,'Assumptions (NG)'!$V$7*Model!$AY$438*AVERAGE('Assumptions (NG)'!$AU$2:$AW$2)+ Model!$AY$439*AVERAGE('Assumptions (NG)'!$AU$3:$AW3))/10^9,0)</f>
        <v>-0.6780363835</v>
      </c>
      <c r="BF544" s="219">
        <f>IF(Model!AD$1&lt;='Assumptions (NG)'!$V$12,PPMT('Assumptions (NG)'!$V$9,Model!AD$1,'Assumptions (NG)'!$V$12,'Assumptions (NG)'!$V$7*Model!$AY$438*AVERAGE('Assumptions (NG)'!$AU$2:$AW$2)+ Model!$AY$439*AVERAGE('Assumptions (NG)'!$AU$3:$AW3))/10^9,0)</f>
        <v>-0.7288891123</v>
      </c>
      <c r="BG544" s="219">
        <f>IF(Model!AE$1&lt;='Assumptions (NG)'!$V$12,PPMT('Assumptions (NG)'!$V$9,Model!AE$1,'Assumptions (NG)'!$V$12,'Assumptions (NG)'!$V$7*Model!$AY$438*AVERAGE('Assumptions (NG)'!$AU$2:$AW$2)+ Model!$AY$439*AVERAGE('Assumptions (NG)'!$AU$3:$AW3))/10^9,0)</f>
        <v>-0.7835557957</v>
      </c>
      <c r="BH544" s="219">
        <f>IF(Model!AF$1&lt;='Assumptions (NG)'!$V$12,PPMT('Assumptions (NG)'!$V$9,Model!AF$1,'Assumptions (NG)'!$V$12,'Assumptions (NG)'!$V$7*Model!$AY$438*AVERAGE('Assumptions (NG)'!$AU$2:$AW$2)+ Model!$AY$439*AVERAGE('Assumptions (NG)'!$AU$3:$AW3))/10^9,0)</f>
        <v>-0.8423224804</v>
      </c>
      <c r="BI544" s="219"/>
      <c r="BJ544" s="219"/>
      <c r="BK544" s="219"/>
      <c r="BL544" s="219"/>
      <c r="BM544" s="219"/>
      <c r="BN544" s="219"/>
      <c r="BO544" s="219"/>
      <c r="BP544" s="160"/>
      <c r="BQ544" s="160"/>
      <c r="BR544" s="160"/>
      <c r="BS544" s="160"/>
      <c r="BT544" s="160"/>
      <c r="BU544" s="160"/>
      <c r="BV544" s="160"/>
      <c r="BW544" s="160"/>
    </row>
    <row r="545" ht="15.75" hidden="1" customHeight="1" outlineLevel="1">
      <c r="A545" s="209"/>
      <c r="B545" s="38"/>
      <c r="C545" s="174"/>
      <c r="D545" s="174"/>
      <c r="E545" s="174"/>
      <c r="F545" s="174"/>
      <c r="G545" s="174"/>
      <c r="H545" s="174"/>
      <c r="I545" s="174"/>
      <c r="J545" s="174"/>
      <c r="K545" s="174"/>
      <c r="L545" s="174"/>
      <c r="M545" s="174"/>
      <c r="N545" s="174"/>
      <c r="O545" s="174"/>
      <c r="P545" s="174"/>
      <c r="Q545" s="174"/>
      <c r="R545" s="174"/>
      <c r="S545" s="174"/>
      <c r="T545" s="174"/>
      <c r="U545" s="174"/>
      <c r="V545" s="174"/>
      <c r="W545" s="160"/>
      <c r="X545" s="219"/>
      <c r="Y545" s="219"/>
      <c r="Z545" s="219"/>
      <c r="AA545" s="219"/>
      <c r="AB545" s="219"/>
      <c r="AC545" s="219"/>
      <c r="AD545" s="219"/>
      <c r="AE545" s="219"/>
      <c r="AF545" s="219"/>
      <c r="AG545" s="219"/>
      <c r="AH545" s="219"/>
      <c r="AI545" s="219"/>
      <c r="AJ545" s="219"/>
      <c r="AK545" s="219"/>
      <c r="AL545" s="219"/>
      <c r="AM545" s="219"/>
      <c r="AN545" s="219"/>
      <c r="AO545" s="219"/>
      <c r="AP545" s="219"/>
      <c r="AQ545" s="219"/>
      <c r="AR545" s="219"/>
      <c r="AS545" s="219"/>
      <c r="AT545" s="219"/>
      <c r="AU545" s="219"/>
      <c r="AV545" s="219"/>
      <c r="AW545" s="219"/>
      <c r="AX545" s="219"/>
      <c r="AY545" s="219"/>
      <c r="AZ545" s="219">
        <f>IF(Model!W$1&lt;='Assumptions (NG)'!$V$12,PPMT('Assumptions (NG)'!$V$9,Model!W$1,'Assumptions (NG)'!$V$12,'Assumptions (NG)'!$V$7*Model!$AZ$438*AVERAGE('Assumptions (NG)'!$AV$2:$AX$2)+ Model!$AZ$439*AVERAGE('Assumptions (NG)'!$AV$3:$AX3))/10^9,0)</f>
        <v>-0.1246749078</v>
      </c>
      <c r="BA545" s="219">
        <f>IF(Model!X$1&lt;='Assumptions (NG)'!$V$12,PPMT('Assumptions (NG)'!$V$9,Model!X$1,'Assumptions (NG)'!$V$12,'Assumptions (NG)'!$V$7*Model!$AZ$438*AVERAGE('Assumptions (NG)'!$AV$2:$AX$2)+ Model!$AZ$439*AVERAGE('Assumptions (NG)'!$AV$3:$AX3))/10^9,0)</f>
        <v>-0.1340255259</v>
      </c>
      <c r="BB545" s="219">
        <f>IF(Model!Y$1&lt;='Assumptions (NG)'!$V$12,PPMT('Assumptions (NG)'!$V$9,Model!Y$1,'Assumptions (NG)'!$V$12,'Assumptions (NG)'!$V$7*Model!$AZ$438*AVERAGE('Assumptions (NG)'!$AV$2:$AX$2)+ Model!$AZ$439*AVERAGE('Assumptions (NG)'!$AV$3:$AX3))/10^9,0)</f>
        <v>-0.1440774403</v>
      </c>
      <c r="BC545" s="219">
        <f>IF(Model!Z$1&lt;='Assumptions (NG)'!$V$12,PPMT('Assumptions (NG)'!$V$9,Model!Z$1,'Assumptions (NG)'!$V$12,'Assumptions (NG)'!$V$7*Model!$AZ$438*AVERAGE('Assumptions (NG)'!$AV$2:$AX$2)+ Model!$AZ$439*AVERAGE('Assumptions (NG)'!$AV$3:$AX3))/10^9,0)</f>
        <v>-0.1548832484</v>
      </c>
      <c r="BD545" s="219">
        <f>IF(Model!AA$1&lt;='Assumptions (NG)'!$V$12,PPMT('Assumptions (NG)'!$V$9,Model!AA$1,'Assumptions (NG)'!$V$12,'Assumptions (NG)'!$V$7*Model!$AZ$438*AVERAGE('Assumptions (NG)'!$AV$2:$AX$2)+ Model!$AZ$439*AVERAGE('Assumptions (NG)'!$AV$3:$AX3))/10^9,0)</f>
        <v>-0.166499492</v>
      </c>
      <c r="BE545" s="219">
        <f>IF(Model!AB$1&lt;='Assumptions (NG)'!$V$12,PPMT('Assumptions (NG)'!$V$9,Model!AB$1,'Assumptions (NG)'!$V$12,'Assumptions (NG)'!$V$7*Model!$AZ$438*AVERAGE('Assumptions (NG)'!$AV$2:$AX$2)+ Model!$AZ$439*AVERAGE('Assumptions (NG)'!$AV$3:$AX3))/10^9,0)</f>
        <v>-0.1789869539</v>
      </c>
      <c r="BF545" s="219">
        <f>IF(Model!AC$1&lt;='Assumptions (NG)'!$V$12,PPMT('Assumptions (NG)'!$V$9,Model!AC$1,'Assumptions (NG)'!$V$12,'Assumptions (NG)'!$V$7*Model!$AZ$438*AVERAGE('Assumptions (NG)'!$AV$2:$AX$2)+ Model!$AZ$439*AVERAGE('Assumptions (NG)'!$AV$3:$AX3))/10^9,0)</f>
        <v>-0.1924109754</v>
      </c>
      <c r="BG545" s="219">
        <f>IF(Model!AD$1&lt;='Assumptions (NG)'!$V$12,PPMT('Assumptions (NG)'!$V$9,Model!AD$1,'Assumptions (NG)'!$V$12,'Assumptions (NG)'!$V$7*Model!$AZ$438*AVERAGE('Assumptions (NG)'!$AV$2:$AX$2)+ Model!$AZ$439*AVERAGE('Assumptions (NG)'!$AV$3:$AX3))/10^9,0)</f>
        <v>-0.2068417986</v>
      </c>
      <c r="BH545" s="219">
        <f>IF(Model!AE$1&lt;='Assumptions (NG)'!$V$12,PPMT('Assumptions (NG)'!$V$9,Model!AE$1,'Assumptions (NG)'!$V$12,'Assumptions (NG)'!$V$7*Model!$AZ$438*AVERAGE('Assumptions (NG)'!$AV$2:$AX$2)+ Model!$AZ$439*AVERAGE('Assumptions (NG)'!$AV$3:$AX3))/10^9,0)</f>
        <v>-0.2223549335</v>
      </c>
      <c r="BI545" s="219">
        <f>IF(Model!AF$1&lt;='Assumptions (NG)'!$V$12,PPMT('Assumptions (NG)'!$V$9,Model!AF$1,'Assumptions (NG)'!$V$12,'Assumptions (NG)'!$V$7*Model!$AZ$438*AVERAGE('Assumptions (NG)'!$AV$2:$AX$2)+ Model!$AZ$439*AVERAGE('Assumptions (NG)'!$AV$3:$AX3))/10^9,0)</f>
        <v>-0.2390315535</v>
      </c>
      <c r="BJ545" s="219"/>
      <c r="BK545" s="219"/>
      <c r="BL545" s="219"/>
      <c r="BM545" s="219"/>
      <c r="BN545" s="219"/>
      <c r="BO545" s="219"/>
      <c r="BP545" s="160"/>
      <c r="BQ545" s="160"/>
      <c r="BR545" s="160"/>
      <c r="BS545" s="160"/>
      <c r="BT545" s="160"/>
      <c r="BU545" s="160"/>
      <c r="BV545" s="160"/>
      <c r="BW545" s="160"/>
      <c r="BX545" s="160"/>
    </row>
    <row r="546" ht="15.75" hidden="1" customHeight="1" outlineLevel="1">
      <c r="A546" s="209"/>
      <c r="B546" s="38"/>
      <c r="C546" s="174"/>
      <c r="D546" s="174"/>
      <c r="E546" s="174"/>
      <c r="F546" s="174"/>
      <c r="G546" s="174"/>
      <c r="H546" s="174"/>
      <c r="I546" s="174"/>
      <c r="J546" s="174"/>
      <c r="K546" s="174"/>
      <c r="L546" s="174"/>
      <c r="M546" s="174"/>
      <c r="N546" s="174"/>
      <c r="O546" s="174"/>
      <c r="P546" s="174"/>
      <c r="Q546" s="174"/>
      <c r="R546" s="174"/>
      <c r="S546" s="174"/>
      <c r="T546" s="174"/>
      <c r="U546" s="174"/>
      <c r="V546" s="174"/>
      <c r="W546" s="160"/>
      <c r="X546" s="219"/>
      <c r="Y546" s="219"/>
      <c r="Z546" s="219"/>
      <c r="AA546" s="219"/>
      <c r="AB546" s="219"/>
      <c r="AC546" s="219"/>
      <c r="AD546" s="219"/>
      <c r="AE546" s="219"/>
      <c r="AF546" s="219"/>
      <c r="AG546" s="219"/>
      <c r="AH546" s="219"/>
      <c r="AI546" s="219"/>
      <c r="AJ546" s="219"/>
      <c r="AK546" s="219"/>
      <c r="AL546" s="219"/>
      <c r="AM546" s="219"/>
      <c r="AN546" s="219"/>
      <c r="AO546" s="219"/>
      <c r="AP546" s="219"/>
      <c r="AQ546" s="219"/>
      <c r="AR546" s="219"/>
      <c r="AS546" s="219"/>
      <c r="AT546" s="219"/>
      <c r="AU546" s="219"/>
      <c r="AV546" s="219"/>
      <c r="AW546" s="219"/>
      <c r="AX546" s="219"/>
      <c r="AY546" s="219"/>
      <c r="AZ546" s="219"/>
      <c r="BA546" s="219">
        <f>IF(Model!W$1&lt;='Assumptions (NG)'!$V$12,PPMT('Assumptions (NG)'!$V$9,Model!W$1,'Assumptions (NG)'!$V$12,'Assumptions (NG)'!$V$7*Model!$BA$438*AVERAGE('Assumptions (NG)'!$AW$2:$AY$2)+ Model!$BA$439*AVERAGE('Assumptions (NG)'!$AW$3:$AY3))/10^9,0)</f>
        <v>-0.6689698151</v>
      </c>
      <c r="BB546" s="219">
        <f>IF(Model!X$1&lt;='Assumptions (NG)'!$V$12,PPMT('Assumptions (NG)'!$V$9,Model!X$1,'Assumptions (NG)'!$V$12,'Assumptions (NG)'!$V$7*Model!$BA$438*AVERAGE('Assumptions (NG)'!$AW$2:$AY$2)+ Model!$BA$439*AVERAGE('Assumptions (NG)'!$AW$3:$AY3))/10^9,0)</f>
        <v>-0.7191425512</v>
      </c>
      <c r="BC546" s="219">
        <f>IF(Model!Y$1&lt;='Assumptions (NG)'!$V$12,PPMT('Assumptions (NG)'!$V$9,Model!Y$1,'Assumptions (NG)'!$V$12,'Assumptions (NG)'!$V$7*Model!$BA$438*AVERAGE('Assumptions (NG)'!$AW$2:$AY$2)+ Model!$BA$439*AVERAGE('Assumptions (NG)'!$AW$3:$AY3))/10^9,0)</f>
        <v>-0.7730782426</v>
      </c>
      <c r="BD546" s="219">
        <f>IF(Model!Z$1&lt;='Assumptions (NG)'!$V$12,PPMT('Assumptions (NG)'!$V$9,Model!Z$1,'Assumptions (NG)'!$V$12,'Assumptions (NG)'!$V$7*Model!$BA$438*AVERAGE('Assumptions (NG)'!$AW$2:$AY$2)+ Model!$BA$439*AVERAGE('Assumptions (NG)'!$AW$3:$AY3))/10^9,0)</f>
        <v>-0.8310591108</v>
      </c>
      <c r="BE546" s="219">
        <f>IF(Model!AA$1&lt;='Assumptions (NG)'!$V$12,PPMT('Assumptions (NG)'!$V$9,Model!AA$1,'Assumptions (NG)'!$V$12,'Assumptions (NG)'!$V$7*Model!$BA$438*AVERAGE('Assumptions (NG)'!$AW$2:$AY$2)+ Model!$BA$439*AVERAGE('Assumptions (NG)'!$AW$3:$AY3))/10^9,0)</f>
        <v>-0.8933885441</v>
      </c>
      <c r="BF546" s="219">
        <f>IF(Model!AB$1&lt;='Assumptions (NG)'!$V$12,PPMT('Assumptions (NG)'!$V$9,Model!AB$1,'Assumptions (NG)'!$V$12,'Assumptions (NG)'!$V$7*Model!$BA$438*AVERAGE('Assumptions (NG)'!$AW$2:$AY$2)+ Model!$BA$439*AVERAGE('Assumptions (NG)'!$AW$3:$AY3))/10^9,0)</f>
        <v>-0.9603926849</v>
      </c>
      <c r="BG546" s="219">
        <f>IF(Model!AC$1&lt;='Assumptions (NG)'!$V$12,PPMT('Assumptions (NG)'!$V$9,Model!AC$1,'Assumptions (NG)'!$V$12,'Assumptions (NG)'!$V$7*Model!$BA$438*AVERAGE('Assumptions (NG)'!$AW$2:$AY$2)+ Model!$BA$439*AVERAGE('Assumptions (NG)'!$AW$3:$AY3))/10^9,0)</f>
        <v>-1.032422136</v>
      </c>
      <c r="BH546" s="219">
        <f>IF(Model!AD$1&lt;='Assumptions (NG)'!$V$12,PPMT('Assumptions (NG)'!$V$9,Model!AD$1,'Assumptions (NG)'!$V$12,'Assumptions (NG)'!$V$7*Model!$BA$438*AVERAGE('Assumptions (NG)'!$AW$2:$AY$2)+ Model!$BA$439*AVERAGE('Assumptions (NG)'!$AW$3:$AY3))/10^9,0)</f>
        <v>-1.109853796</v>
      </c>
      <c r="BI546" s="219">
        <f>IF(Model!AE$1&lt;='Assumptions (NG)'!$V$12,PPMT('Assumptions (NG)'!$V$9,Model!AE$1,'Assumptions (NG)'!$V$12,'Assumptions (NG)'!$V$7*Model!$BA$438*AVERAGE('Assumptions (NG)'!$AW$2:$AY$2)+ Model!$BA$439*AVERAGE('Assumptions (NG)'!$AW$3:$AY3))/10^9,0)</f>
        <v>-1.193092831</v>
      </c>
      <c r="BJ546" s="219">
        <f>IF(Model!AF$1&lt;='Assumptions (NG)'!$V$12,PPMT('Assumptions (NG)'!$V$9,Model!AF$1,'Assumptions (NG)'!$V$12,'Assumptions (NG)'!$V$7*Model!$BA$438*AVERAGE('Assumptions (NG)'!$AW$2:$AY$2)+ Model!$BA$439*AVERAGE('Assumptions (NG)'!$AW$3:$AY3))/10^9,0)</f>
        <v>-1.282574794</v>
      </c>
      <c r="BK546" s="219"/>
      <c r="BL546" s="219"/>
      <c r="BM546" s="219"/>
      <c r="BN546" s="219"/>
      <c r="BO546" s="219"/>
      <c r="BP546" s="160"/>
      <c r="BQ546" s="160"/>
      <c r="BR546" s="160"/>
      <c r="BS546" s="160"/>
      <c r="BT546" s="160"/>
      <c r="BU546" s="160"/>
      <c r="BV546" s="160"/>
      <c r="BW546" s="160"/>
      <c r="BX546" s="160"/>
      <c r="BY546" s="160"/>
    </row>
    <row r="547" ht="15.75" customHeight="1" collapsed="1">
      <c r="A547" s="207" t="s">
        <v>360</v>
      </c>
      <c r="B547" s="150" t="s">
        <v>351</v>
      </c>
      <c r="C547" s="177">
        <f t="array" ref="C547">SUM(IF(ISERROR(C548:C598),"",C548:C598))</f>
        <v>-0.240678189</v>
      </c>
      <c r="D547" s="177">
        <f t="array" ref="D547">SUM(IF(ISERROR(D548:D598),"",D548:D598))</f>
        <v>-0.4403689765</v>
      </c>
      <c r="E547" s="177">
        <f t="array" ref="E547">SUM(IF(ISERROR(E548:E598),"",E548:E598))</f>
        <v>-0.7523113037</v>
      </c>
      <c r="F547" s="177">
        <f t="array" ref="F547">SUM(IF(ISERROR(F548:F598),"",F548:F598))</f>
        <v>-1.068085025</v>
      </c>
      <c r="G547" s="177">
        <f t="array" ref="G547">SUM(IF(ISERROR(G548:G598),"",G548:G598))</f>
        <v>-1.080066845</v>
      </c>
      <c r="H547" s="177">
        <f t="array" ref="H547">SUM(IF(ISERROR(H548:H598),"",H548:H598))</f>
        <v>-1.028225953</v>
      </c>
      <c r="I547" s="177">
        <f t="array" ref="I547">SUM(IF(ISERROR(I548:I598),"",I548:I598))</f>
        <v>-0.9448666244</v>
      </c>
      <c r="J547" s="177">
        <f t="array" ref="J547">SUM(IF(ISERROR(J548:J598),"",J548:J598))</f>
        <v>-0.8334654002</v>
      </c>
      <c r="K547" s="177">
        <f t="array" ref="K547">SUM(IF(ISERROR(K548:K598),"",K548:K598))</f>
        <v>-0.7211462318</v>
      </c>
      <c r="L547" s="177">
        <f t="array" ref="L547">SUM(IF(ISERROR(L548:L598),"",L548:L598))</f>
        <v>-0.8988164705</v>
      </c>
      <c r="M547" s="177">
        <f t="array" ref="M547">SUM(IF(ISERROR(M548:M598),"",M548:M598))</f>
        <v>-0.7801905366</v>
      </c>
      <c r="N547" s="177">
        <f t="array" ref="N547">SUM(IF(ISERROR(N548:N598),"",N548:N598))</f>
        <v>-0.6906689107</v>
      </c>
      <c r="O547" s="177">
        <f t="array" ref="O547">SUM(IF(ISERROR(O548:O598),"",O548:O598))</f>
        <v>-0.7624250639</v>
      </c>
      <c r="P547" s="177">
        <f t="array" ref="P547">SUM(IF(ISERROR(P548:P598),"",P548:P598))</f>
        <v>-0.6568788155</v>
      </c>
      <c r="Q547" s="177">
        <f t="array" ref="Q547">SUM(IF(ISERROR(Q548:Q598),"",Q548:Q598))</f>
        <v>-0.597262811</v>
      </c>
      <c r="R547" s="177">
        <f t="array" ref="R547">SUM(IF(ISERROR(R548:R598),"",R548:R598))</f>
        <v>-0.5030741736</v>
      </c>
      <c r="S547" s="177">
        <f t="array" ref="S547">SUM(IF(ISERROR(S548:S598),"",S548:S598))</f>
        <v>-0.4094549861</v>
      </c>
      <c r="T547" s="177">
        <f t="array" ref="T547">SUM(IF(ISERROR(T548:T598),"",T548:T598))</f>
        <v>-0.3176999485</v>
      </c>
      <c r="U547" s="177">
        <f t="array" ref="U547">SUM(IF(ISERROR(U548:U598),"",U548:U598))</f>
        <v>-0.3465232762</v>
      </c>
      <c r="V547" s="177">
        <f t="array" ref="V547">SUM(IF(ISERROR(V548:V598),"",V548:V598))</f>
        <v>-0.2841244189</v>
      </c>
      <c r="W547" s="176">
        <f>IF($N$438&gt;0,IPMT('Assumptions (NG)'!$V$9,AF$1,10,'Assumptions (NG)'!$V$7*Model!$N$438*('Assumptions (NG)'!$M$17*AVERAGE('Assumptions (NG)'!$J$2:$L$2)+'Assumptions (NG)'!$M$18*AVERAGE('Assumptions (NG)'!$J$3:$L$3))/10^9,0))+IF($O$438&gt;0,IPMT('Assumptions (NG)'!$V$9,AE$1,10,'Assumptions (NG)'!$V$7*Model!$O$438*('Assumptions (NG)'!$N$17*AVERAGE('Assumptions (NG)'!$K$2:$M$2)+'Assumptions (NG)'!$N$18*AVERAGE('Assumptions (NG)'!$K$3:$M$3))/10^9,0))+IF($P$438&gt;0,IPMT('Assumptions (NG)'!$V$9,AD$1,10,'Assumptions (NG)'!$V$7*Model!$P$438*('Assumptions (NG)'!$O$17*AVERAGE('Assumptions (NG)'!$L$2:$N$2)+'Assumptions (NG)'!$O$18*AVERAGE('Assumptions (NG)'!$L$3:$N$3))/10^9,0))+IF($Q$438&gt;0,IPMT('Assumptions (NG)'!$V$9,AC$1,10,'Assumptions (NG)'!$V$7*Model!$Q$438*('Assumptions (NG)'!$P$17*AVERAGE('Assumptions (NG)'!$M$2:$O$2)+'Assumptions (NG)'!$P$18*AVERAGE('Assumptions (NG)'!$M$3:$O$3))/10^9,0))+IF($R$438&gt;0,IPMT('Assumptions (NG)'!$V$9,AB$1,10,'Assumptions (NG)'!$V$7*Model!$R$438*('Assumptions (NG)'!$Q$17*AVERAGE('Assumptions (NG)'!$N$2:$P$2)+'Assumptions (NG)'!$Q$18*AVERAGE('Assumptions (NG)'!$N$3:$P$3))/10^9,0))+IF($S$438&gt;0,IPMT('Assumptions (NG)'!$V$9,AA$1,10,'Assumptions (NG)'!$V$7*Model!$S$438*('Assumptions (NG)'!$R$17*AVERAGE('Assumptions (NG)'!$O$2:$Q$2)+'Assumptions (NG)'!$R$18*AVERAGE('Assumptions (NG)'!$O$3:$Q$3))/10^9,0))+IF($T$438&gt;0,IPMT('Assumptions (NG)'!$V$9,Z$1,10,'Assumptions (NG)'!$V$7*Model!$T$438*('Assumptions (NG)'!$S$17*AVERAGE('Assumptions (NG)'!$P$2:$R$2)+'Assumptions (NG)'!$S$18*AVERAGE('Assumptions (NG)'!$P$3:$R$3))/10^9,0))+IF($U$438&gt;0,IPMT('Assumptions (NG)'!$V$9,Y$1,10,'Assumptions (NG)'!$V$7*Model!$U$438*('Assumptions (NG)'!$T$17*AVERAGE('Assumptions (NG)'!$Q$2:$S$2)+'Assumptions (NG)'!$T$18*AVERAGE('Assumptions (NG)'!$Q$3:$S$3))/10^9,0))+IF($V$438&gt;0,IPMT('Assumptions (NG)'!$V$9,X$1,10,'Assumptions (NG)'!$V$7*Model!$V$438*('Assumptions (NG)'!$U$17*AVERAGE('Assumptions (NG)'!$R$2:$T$2)+'Assumptions (NG)'!$U$18*AVERAGE('Assumptions (NG)'!$R$3:$T$3))/10^9,0))</f>
        <v>-0.1729047846</v>
      </c>
      <c r="X547" s="176">
        <f>IF($O$438&gt;0,IPMT('Assumptions (NG)'!$V$9,AF$1,10,'Assumptions (NG)'!$V$7*Model!$O$438*('Assumptions (NG)'!$N$17*AVERAGE('Assumptions (NG)'!$K$2:$M$2)+'Assumptions (NG)'!$N$18*AVERAGE('Assumptions (NG)'!$K$3:$M$3))/10^9,0))+IF($P$438&gt;0,IPMT('Assumptions (NG)'!$V$9,AE$1,10,'Assumptions (NG)'!$V$7*Model!$P$438*('Assumptions (NG)'!$O$17*AVERAGE('Assumptions (NG)'!$L$2:$N$2)+'Assumptions (NG)'!$O$18*AVERAGE('Assumptions (NG)'!$L$3:$N$3))/10^9,0))+IF($Q$438&gt;0,IPMT('Assumptions (NG)'!$V$9,AD$1,10,'Assumptions (NG)'!$V$7*Model!$Q$438*('Assumptions (NG)'!$P$17*AVERAGE('Assumptions (NG)'!$M$2:$O$2)+'Assumptions (NG)'!$P$18*AVERAGE('Assumptions (NG)'!$M$3:$O$3))/10^9,0))+IF($R$438&gt;0,IPMT('Assumptions (NG)'!$V$9,AC$1,10,'Assumptions (NG)'!$V$7*Model!$R$438*('Assumptions (NG)'!$Q$17*AVERAGE('Assumptions (NG)'!$N$2:$P$2)+'Assumptions (NG)'!$Q$18*AVERAGE('Assumptions (NG)'!$N$3:$P$3))/10^9,0))+IF($S$438&gt;0,IPMT('Assumptions (NG)'!$V$9,AB$1,10,'Assumptions (NG)'!$V$7*Model!$S$438*('Assumptions (NG)'!$R$17*AVERAGE('Assumptions (NG)'!$O$2:$Q$2)+'Assumptions (NG)'!$R$18*AVERAGE('Assumptions (NG)'!$O$3:$Q$3))/10^9,0))+IF($T$438&gt;0,IPMT('Assumptions (NG)'!$V$9,AA$1,10,'Assumptions (NG)'!$V$7*Model!$T$438*('Assumptions (NG)'!$S$17*AVERAGE('Assumptions (NG)'!$P$2:$R$2)+'Assumptions (NG)'!$S$18*AVERAGE('Assumptions (NG)'!$P$3:$R$3))/10^9,0))+IF($U$438&gt;0,IPMT('Assumptions (NG)'!$V$9,Z$1,10,'Assumptions (NG)'!$V$7*Model!$U$438*('Assumptions (NG)'!$T$17*AVERAGE('Assumptions (NG)'!$Q$2:$S$2)+'Assumptions (NG)'!$T$18*AVERAGE('Assumptions (NG)'!$Q$3:$S$3))/10^9,0))+IF($V$438&gt;0,IPMT('Assumptions (NG)'!$V$9,Y$1,10,'Assumptions (NG)'!$V$7*Model!$V$438*('Assumptions (NG)'!$U$17*AVERAGE('Assumptions (NG)'!$R$2:$T$2)+'Assumptions (NG)'!$U$18*AVERAGE('Assumptions (NG)'!$R$3:$T$3))/10^9,0))</f>
        <v>-0.1254479025</v>
      </c>
      <c r="Y547" s="176">
        <f>IF($P$438&gt;0,IPMT('Assumptions (NG)'!$V$9,AF$1,10,'Assumptions (NG)'!$V$7*Model!$P$438*('Assumptions (NG)'!$O$17*AVERAGE('Assumptions (NG)'!$L$2:$N$2)+'Assumptions (NG)'!$O$18*AVERAGE('Assumptions (NG)'!$L$3:$N$3))/10^9,0))+IF($Q$438&gt;0,IPMT('Assumptions (NG)'!$V$9,AE$1,10,'Assumptions (NG)'!$V$7*Model!$Q$438*('Assumptions (NG)'!$P$17*AVERAGE('Assumptions (NG)'!$M$2:$O$2)+'Assumptions (NG)'!$P$18*AVERAGE('Assumptions (NG)'!$M$3:$O$3))/10^9,0))+IF($R$438&gt;0,IPMT('Assumptions (NG)'!$V$9,AD$1,10,'Assumptions (NG)'!$V$7*Model!$R$438*('Assumptions (NG)'!$Q$17*AVERAGE('Assumptions (NG)'!$N$2:$P$2)+'Assumptions (NG)'!$Q$18*AVERAGE('Assumptions (NG)'!$N$3:$P$3))/10^9,0))+IF($S$438&gt;0,IPMT('Assumptions (NG)'!$V$9,AC$1,10,'Assumptions (NG)'!$V$7*Model!$S$438*('Assumptions (NG)'!$R$17*AVERAGE('Assumptions (NG)'!$O$2:$Q$2)+'Assumptions (NG)'!$R$18*AVERAGE('Assumptions (NG)'!$O$3:$Q$3))/10^9,0))+IF($T$438&gt;0,IPMT('Assumptions (NG)'!$V$9,AB$1,10,'Assumptions (NG)'!$V$7*Model!$T$438*('Assumptions (NG)'!$S$17*AVERAGE('Assumptions (NG)'!$P$2:$R$2)+'Assumptions (NG)'!$S$18*AVERAGE('Assumptions (NG)'!$P$3:$R$3))/10^9,0))+IF($U$438&gt;0,IPMT('Assumptions (NG)'!$V$9,AA$1,10,'Assumptions (NG)'!$V$7*Model!$U$438*('Assumptions (NG)'!$T$17*AVERAGE('Assumptions (NG)'!$Q$2:$S$2)+'Assumptions (NG)'!$T$18*AVERAGE('Assumptions (NG)'!$Q$3:$S$3))/10^9,0))+IF($V$438&gt;0,IPMT('Assumptions (NG)'!$V$9,Z$1,10,'Assumptions (NG)'!$V$7*Model!$V$438*('Assumptions (NG)'!$U$17*AVERAGE('Assumptions (NG)'!$R$2:$T$2)+'Assumptions (NG)'!$U$18*AVERAGE('Assumptions (NG)'!$R$3:$T$3))/10^9,0))</f>
        <v>-0.08603898424</v>
      </c>
      <c r="Z547" s="176">
        <f>IF($Q$438&gt;0,IPMT('Assumptions (NG)'!$V$9,AF$1,10,'Assumptions (NG)'!$V$7*Model!$Q$438*('Assumptions (NG)'!$P$17*AVERAGE('Assumptions (NG)'!$M$2:$O$2)+'Assumptions (NG)'!$P$18*AVERAGE('Assumptions (NG)'!$M$3:$O$3))/10^9,0))+IF($R$438&gt;0,IPMT('Assumptions (NG)'!$V$9,AE$1,10,'Assumptions (NG)'!$V$7*Model!$R$438*('Assumptions (NG)'!$Q$17*AVERAGE('Assumptions (NG)'!$N$2:$P$2)+'Assumptions (NG)'!$Q$18*AVERAGE('Assumptions (NG)'!$N$3:$P$3))/10^9,0))+IF($S$438&gt;0,IPMT('Assumptions (NG)'!$V$9,AD$1,10,'Assumptions (NG)'!$V$7*Model!$S$438*('Assumptions (NG)'!$R$17*AVERAGE('Assumptions (NG)'!$O$2:$Q$2)+'Assumptions (NG)'!$R$18*AVERAGE('Assumptions (NG)'!$O$3:$Q$3))/10^9,0))+IF($T$438&gt;0,IPMT('Assumptions (NG)'!$V$9,AC$1,10,'Assumptions (NG)'!$V$7*Model!$T$438*('Assumptions (NG)'!$S$17*AVERAGE('Assumptions (NG)'!$P$2:$R$2)+'Assumptions (NG)'!$S$18*AVERAGE('Assumptions (NG)'!$P$3:$R$3))/10^9,0))+IF($U$438&gt;0,IPMT('Assumptions (NG)'!$V$9,AB$1,10,'Assumptions (NG)'!$V$7*Model!$U$438*('Assumptions (NG)'!$T$17*AVERAGE('Assumptions (NG)'!$Q$2:$S$2)+'Assumptions (NG)'!$T$18*AVERAGE('Assumptions (NG)'!$Q$3:$S$3))/10^9,0))+IF($V$438&gt;0,IPMT('Assumptions (NG)'!$V$9,AA$1,10,'Assumptions (NG)'!$V$7*Model!$V$438*('Assumptions (NG)'!$U$17*AVERAGE('Assumptions (NG)'!$R$2:$T$2)+'Assumptions (NG)'!$U$18*AVERAGE('Assumptions (NG)'!$R$3:$T$3))/10^9,0))</f>
        <v>-0.06797106116</v>
      </c>
      <c r="AA547" s="176">
        <f>IF($R$438&gt;0,IPMT('Assumptions (NG)'!$V$9,AF$1,10,'Assumptions (NG)'!$V$7*Model!$R$438*('Assumptions (NG)'!$Q$17*AVERAGE('Assumptions (NG)'!$N$2:$P$2)+'Assumptions (NG)'!$Q$18*AVERAGE('Assumptions (NG)'!$N$3:$P$3))/10^9,0))+IF($S$438&gt;0,IPMT('Assumptions (NG)'!$V$9,AE$1,10,'Assumptions (NG)'!$V$7*Model!$S$438*('Assumptions (NG)'!$R$17*AVERAGE('Assumptions (NG)'!$O$2:$Q$2)+'Assumptions (NG)'!$R$18*AVERAGE('Assumptions (NG)'!$O$3:$Q$3))/10^9,0))+IF($T$438&gt;0,IPMT('Assumptions (NG)'!$V$9,AD$1,10,'Assumptions (NG)'!$V$7*Model!$T$438*('Assumptions (NG)'!$S$17*AVERAGE('Assumptions (NG)'!$P$2:$R$2)+'Assumptions (NG)'!$S$18*AVERAGE('Assumptions (NG)'!$P$3:$R$3))/10^9,0))+IF($U$438&gt;0,IPMT('Assumptions (NG)'!$V$9,AC$1,10,'Assumptions (NG)'!$V$7*Model!$U$438*('Assumptions (NG)'!$T$17*AVERAGE('Assumptions (NG)'!$Q$2:$S$2)+'Assumptions (NG)'!$T$18*AVERAGE('Assumptions (NG)'!$Q$3:$S$3))/10^9,0))+IF($V$438&gt;0,IPMT('Assumptions (NG)'!$V$9,AB$1,10,'Assumptions (NG)'!$V$7*Model!$V$438*('Assumptions (NG)'!$U$17*AVERAGE('Assumptions (NG)'!$R$2:$T$2)+'Assumptions (NG)'!$U$18*AVERAGE('Assumptions (NG)'!$R$3:$T$3))/10^9,0))</f>
        <v>-0.05260225156</v>
      </c>
      <c r="AB547" s="176">
        <f>IF($S$438&gt;0,IPMT('Assumptions (NG)'!$V$9,AF$1,10,'Assumptions (NG)'!$V$7*Model!$S$438*('Assumptions (NG)'!$R$17*AVERAGE('Assumptions (NG)'!$O$2:$Q$2)+'Assumptions (NG)'!$R$18*AVERAGE('Assumptions (NG)'!$O$3:$Q$3))/10^9,0))+IF($T$438&gt;0,IPMT('Assumptions (NG)'!$V$9,AE$1,10,'Assumptions (NG)'!$V$7*Model!$T$438*('Assumptions (NG)'!$S$17*AVERAGE('Assumptions (NG)'!$P$2:$R$2)+'Assumptions (NG)'!$S$18*AVERAGE('Assumptions (NG)'!$P$3:$R$3))/10^9,0))+IF($U$438&gt;0,IPMT('Assumptions (NG)'!$V$9,AD$1,10,'Assumptions (NG)'!$V$7*Model!$U$438*('Assumptions (NG)'!$T$17*AVERAGE('Assumptions (NG)'!$Q$2:$S$2)+'Assumptions (NG)'!$T$18*AVERAGE('Assumptions (NG)'!$Q$3:$S$3))/10^9,0))+IF($V$438&gt;0,IPMT('Assumptions (NG)'!$V$9,AC$1,10,'Assumptions (NG)'!$V$7*Model!$V$438*('Assumptions (NG)'!$U$17*AVERAGE('Assumptions (NG)'!$R$2:$T$2)+'Assumptions (NG)'!$U$18*AVERAGE('Assumptions (NG)'!$R$3:$T$3))/10^9,0))</f>
        <v>-0.04084209723</v>
      </c>
      <c r="AC547" s="176">
        <f>IF($T$438&gt;0,IPMT('Assumptions (NG)'!$V$9,AF$1,10,'Assumptions (NG)'!$V$7*Model!$T$438*('Assumptions (NG)'!$S$17*AVERAGE('Assumptions (NG)'!$P$2:$R$2)+'Assumptions (NG)'!$S$18*AVERAGE('Assumptions (NG)'!$P$3:$R$3))/10^9,0))+IF($U$438&gt;0,IPMT('Assumptions (NG)'!$V$9,AE$1,10,'Assumptions (NG)'!$V$7*Model!$U$438*('Assumptions (NG)'!$T$17*AVERAGE('Assumptions (NG)'!$Q$2:$S$2)+'Assumptions (NG)'!$T$18*AVERAGE('Assumptions (NG)'!$Q$3:$S$3))/10^9,0))+IF($V$438&gt;0,IPMT('Assumptions (NG)'!$V$9,AD$1,10,'Assumptions (NG)'!$V$7*Model!$V$438*('Assumptions (NG)'!$U$17*AVERAGE('Assumptions (NG)'!$R$2:$T$2)+'Assumptions (NG)'!$U$18*AVERAGE('Assumptions (NG)'!$R$3:$T$3))/10^9,0))</f>
        <v>-0.02819993133</v>
      </c>
      <c r="AD547" s="176">
        <f>IF($U$438&gt;0,IPMT('Assumptions (NG)'!$V$9,AF$1,10,'Assumptions (NG)'!$V$7*Model!$U$438*('Assumptions (NG)'!$T$17*AVERAGE('Assumptions (NG)'!$Q$2:$S$2)+'Assumptions (NG)'!$T$18*AVERAGE('Assumptions (NG)'!$Q$3:$S$3))/10^9,0))+IF($V$438&gt;0,IPMT('Assumptions (NG)'!$V$9,AE$1,10,'Assumptions (NG)'!$V$7*Model!$V$438*('Assumptions (NG)'!$U$17*AVERAGE('Assumptions (NG)'!$R$2:$T$2)+'Assumptions (NG)'!$U$18*AVERAGE('Assumptions (NG)'!$R$3:$T$3))/10^9,0))</f>
        <v>-0.01460960298</v>
      </c>
      <c r="AE547" s="176" t="b">
        <f>IF($V$438&gt;0,IPMT('Assumptions (NG)'!$V$9,AF$1,10,'Assumptions (NG)'!$V$7*Model!$V$438*('Assumptions (NG)'!$U$17*AVERAGE('Assumptions (NG)'!$R$2:$T$2)+'Assumptions (NG)'!$U$18*AVERAGE('Assumptions (NG)'!$R$3:$T$3))/10^9,0))</f>
        <v>0</v>
      </c>
      <c r="AF547" s="177">
        <f t="array" ref="AF547">SUM(IF(ISERROR(AF548:AF598),"",AF548:AF598))</f>
        <v>-0.3288368312</v>
      </c>
      <c r="AG547" s="177">
        <f t="array" ref="AG547">SUM(IF(ISERROR(AG548:AG598),"",AG548:AG598))</f>
        <v>-0.3108845142</v>
      </c>
      <c r="AH547" s="177">
        <f t="array" ref="AH547">SUM(IF(ISERROR(AH548:AH598),"",AH548:AH598))</f>
        <v>-0.2819487472</v>
      </c>
      <c r="AI547" s="177">
        <f t="array" ref="AI547">SUM(IF(ISERROR(AI548:AI598),"",AI548:AI598))</f>
        <v>-0.2836010245</v>
      </c>
      <c r="AJ547" s="177">
        <f t="array" ref="AJ547">SUM(IF(ISERROR(AJ548:AJ598),"",AJ548:AJ598))</f>
        <v>-0.2935225188</v>
      </c>
      <c r="AK547" s="177">
        <f t="array" ref="AK547">SUM(IF(ISERROR(AK548:AK598),"",AK548:AK598))</f>
        <v>-0.3030005534</v>
      </c>
      <c r="AL547" s="177">
        <f t="array" ref="AL547">SUM(IF(ISERROR(AL548:AL598),"",AL548:AL598))</f>
        <v>-0.3159130469</v>
      </c>
      <c r="AM547" s="177">
        <f t="array" ref="AM547">SUM(IF(ISERROR(AM548:AM598),"",AM548:AM598))</f>
        <v>-0.4843889349</v>
      </c>
      <c r="AN547" s="177">
        <f t="array" ref="AN547">SUM(IF(ISERROR(AN548:AN598),"",AN548:AN598))</f>
        <v>-0.6996493533</v>
      </c>
      <c r="AO547" s="177">
        <f t="array" ref="AO547">SUM(IF(ISERROR(AO548:AO598),"",AO548:AO598))</f>
        <v>-1.186861355</v>
      </c>
      <c r="AP547" s="177">
        <f t="array" ref="AP547">SUM(IF(ISERROR(AP548:AP598),"",AP548:AP598))</f>
        <v>-1.760913971</v>
      </c>
      <c r="AQ547" s="177">
        <f t="array" ref="AQ547">SUM(IF(ISERROR(AQ548:AQ598),"",AQ548:AQ598))</f>
        <v>-1.835652561</v>
      </c>
      <c r="AR547" s="177">
        <f t="array" ref="AR547">SUM(IF(ISERROR(AR548:AR598),"",AR548:AR598))</f>
        <v>-1.80598053</v>
      </c>
      <c r="AS547" s="177">
        <f t="array" ref="AS547">SUM(IF(ISERROR(AS548:AS598),"",AS548:AS598))</f>
        <v>-1.717994753</v>
      </c>
      <c r="AT547" s="177">
        <f t="array" ref="AT547">SUM(IF(ISERROR(AT548:AT598),"",AT548:AT598))</f>
        <v>-1.546086406</v>
      </c>
      <c r="AU547" s="177">
        <f t="array" ref="AU547">SUM(IF(ISERROR(AU548:AU598),"",AU548:AU598))</f>
        <v>-1.420381818</v>
      </c>
      <c r="AV547" s="177">
        <f t="array" ref="AV547">SUM(IF(ISERROR(AV548:AV598),"",AV548:AV598))</f>
        <v>-1.221266311</v>
      </c>
      <c r="AW547" s="177">
        <f t="array" ref="AW547">SUM(IF(ISERROR(AW548:AW598),"",AW548:AW598))</f>
        <v>-1.132780786</v>
      </c>
      <c r="AX547" s="177">
        <f t="array" ref="AX547">SUM(IF(ISERROR(AX548:AX598),"",AX548:AX598))</f>
        <v>-1.112909143</v>
      </c>
      <c r="AY547" s="177">
        <f t="array" ref="AY547">SUM(IF(ISERROR(AY548:AY598),"",AY548:AY598))</f>
        <v>-1.303585806</v>
      </c>
      <c r="AZ547" s="177">
        <f t="array" ref="AZ547">SUM(IF(ISERROR(AZ548:AZ598),"",AZ548:AZ598))</f>
        <v>-1.188510716</v>
      </c>
      <c r="BA547" s="177">
        <f t="array" ref="BA547">SUM(IF(ISERROR(BA548:BA598),"",BA548:BA598))</f>
        <v>-1.526414802</v>
      </c>
      <c r="BB547" s="177">
        <f t="array" ref="BB547">SUM(IF(ISERROR(BB548:BB598),"",BB548:BB598))</f>
        <v>-1.338553003</v>
      </c>
      <c r="BC547" s="177">
        <f t="array" ref="BC547">SUM(IF(ISERROR(BC548:BC598),"",BC548:BC598))</f>
        <v>-1.160462591</v>
      </c>
      <c r="BD547" s="177">
        <f t="array" ref="BD547">SUM(IF(ISERROR(BD548:BD598),"",BD548:BD598))</f>
        <v>-0.9872112452</v>
      </c>
      <c r="BE547" s="177">
        <f t="array" ref="BE547">SUM(IF(ISERROR(BE548:BE598),"",BE548:BE598))</f>
        <v>-0.8094006293</v>
      </c>
      <c r="BF547" s="177">
        <f t="array" ref="BF547">SUM(IF(ISERROR(BF548:BF598),"",BF548:BF598))</f>
        <v>-0.6352097948</v>
      </c>
      <c r="BG547" s="177">
        <f t="array" ref="BG547">SUM(IF(ISERROR(BG548:BG598),"",BG548:BG598))</f>
        <v>-0.4567281657</v>
      </c>
      <c r="BH547" s="177">
        <f t="array" ref="BH547">SUM(IF(ISERROR(BH548:BH598),"",BH548:BH598))</f>
        <v>-0.2918301976</v>
      </c>
      <c r="BI547" s="177">
        <f t="array" ref="BI547">SUM(IF(ISERROR(BI548:BI598),"",BI548:BI598))</f>
        <v>-0.151912988</v>
      </c>
      <c r="BJ547" s="177">
        <f t="array" ref="BJ547">SUM(IF(ISERROR(BJ548:BJ598),"",BJ548:BJ598))</f>
        <v>-0.06941423763</v>
      </c>
    </row>
    <row r="548" ht="15.75" hidden="1" customHeight="1" outlineLevel="1">
      <c r="A548" s="209"/>
      <c r="B548" s="38"/>
      <c r="C548" s="177">
        <f>IF(and($C$438&gt;0,Model!W$1&lt;='Assumptions (NG)'!$V$12),IPMT('Assumptions (NG)'!$V$9,Model!W$1,'Assumptions (NG)'!$V$12,'Assumptions (NG)'!$V$7*(Model!$C$438*'Assumptions (NG)'!$B$2)/10^9),0)+IF(and($C$439&gt;0,Model!W$1&lt;='Assumptions (NG)'!$V$12),IPMT('Assumptions (NG)'!$V$9,Model!W$1,'Assumptions (NG)'!$V$12,'Assumptions (NG)'!$V$7*(Model!$C$439*'Assumptions (NG)'!$B$3)/10^9),0)</f>
        <v>-0.240678189</v>
      </c>
      <c r="D548" s="177">
        <f>IF(and($C$438&gt;0,Model!X$1&lt;='Assumptions (NG)'!$V$12),IPMT('Assumptions (NG)'!$V$9,Model!X$1,'Assumptions (NG)'!$V$12,'Assumptions (NG)'!$V$7*(Model!$C$438*'Assumptions (NG)'!$B$2)/10^9),0)+IF(and($C$439&gt;0,Model!X$1&lt;='Assumptions (NG)'!$V$12),IPMT('Assumptions (NG)'!$V$9,Model!X$1,'Assumptions (NG)'!$V$12,'Assumptions (NG)'!$V$7*(Model!$C$439*'Assumptions (NG)'!$B$3)/10^9),0)</f>
        <v>-0.223665628</v>
      </c>
      <c r="E548" s="177">
        <f>IF(and($C$438&gt;0,Model!Y$1&lt;='Assumptions (NG)'!$V$12),IPMT('Assumptions (NG)'!$V$9,Model!Y$1,'Assumptions (NG)'!$V$12,'Assumptions (NG)'!$V$7*(Model!$C$438*'Assumptions (NG)'!$B$2)/10^9),0)+IF(and($C$439&gt;0,Model!Y$1&lt;='Assumptions (NG)'!$V$12),IPMT('Assumptions (NG)'!$V$9,Model!Y$1,'Assumptions (NG)'!$V$12,'Assumptions (NG)'!$V$7*(Model!$C$439*'Assumptions (NG)'!$B$3)/10^9),0)</f>
        <v>-0.2053771249</v>
      </c>
      <c r="F548" s="177">
        <f>IF(and($C$438&gt;0,Model!Z$1&lt;='Assumptions (NG)'!$V$12),IPMT('Assumptions (NG)'!$V$9,Model!Z$1,'Assumptions (NG)'!$V$12,'Assumptions (NG)'!$V$7*(Model!$C$438*'Assumptions (NG)'!$B$2)/10^9),0)+IF(and($C$439&gt;0,Model!Z$1&lt;='Assumptions (NG)'!$V$12),IPMT('Assumptions (NG)'!$V$9,Model!Z$1,'Assumptions (NG)'!$V$12,'Assumptions (NG)'!$V$7*(Model!$C$439*'Assumptions (NG)'!$B$3)/10^9),0)</f>
        <v>-0.1857169841</v>
      </c>
      <c r="G548" s="177">
        <f>IF(and($C$438&gt;0,Model!AA$1&lt;='Assumptions (NG)'!$V$12),IPMT('Assumptions (NG)'!$V$9,Model!AA$1,'Assumptions (NG)'!$V$12,'Assumptions (NG)'!$V$7*(Model!$C$438*'Assumptions (NG)'!$B$2)/10^9),0)+IF(and($C$439&gt;0,Model!AA$1&lt;='Assumptions (NG)'!$V$12),IPMT('Assumptions (NG)'!$V$9,Model!AA$1,'Assumptions (NG)'!$V$12,'Assumptions (NG)'!$V$7*(Model!$C$439*'Assumptions (NG)'!$B$3)/10^9),0)</f>
        <v>-0.1645823328</v>
      </c>
      <c r="H548" s="177">
        <f>IF(and($C$438&gt;0,Model!AB$1&lt;='Assumptions (NG)'!$V$12),IPMT('Assumptions (NG)'!$V$9,Model!AB$1,'Assumptions (NG)'!$V$12,'Assumptions (NG)'!$V$7*(Model!$C$438*'Assumptions (NG)'!$B$2)/10^9),0)+IF(and($C$439&gt;0,Model!AB$1&lt;='Assumptions (NG)'!$V$12),IPMT('Assumptions (NG)'!$V$9,Model!AB$1,'Assumptions (NG)'!$V$12,'Assumptions (NG)'!$V$7*(Model!$C$439*'Assumptions (NG)'!$B$3)/10^9),0)</f>
        <v>-0.1418625825</v>
      </c>
      <c r="I548" s="177">
        <f>IF(and($C$438&gt;0,Model!AC$1&lt;='Assumptions (NG)'!$V$12),IPMT('Assumptions (NG)'!$V$9,Model!AC$1,'Assumptions (NG)'!$V$12,'Assumptions (NG)'!$V$7*(Model!$C$438*'Assumptions (NG)'!$B$2)/10^9),0)+IF(and($C$439&gt;0,Model!AC$1&lt;='Assumptions (NG)'!$V$12),IPMT('Assumptions (NG)'!$V$9,Model!AC$1,'Assumptions (NG)'!$V$12,'Assumptions (NG)'!$V$7*(Model!$C$439*'Assumptions (NG)'!$B$3)/10^9),0)</f>
        <v>-0.1174388511</v>
      </c>
      <c r="J548" s="177">
        <f>IF(and($C$438&gt;0,Model!AD$1&lt;='Assumptions (NG)'!$V$12),IPMT('Assumptions (NG)'!$V$9,Model!AD$1,'Assumptions (NG)'!$V$12,'Assumptions (NG)'!$V$7*(Model!$C$438*'Assumptions (NG)'!$B$2)/10^9),0)+IF(and($C$439&gt;0,Model!AD$1&lt;='Assumptions (NG)'!$V$12),IPMT('Assumptions (NG)'!$V$9,Model!AD$1,'Assumptions (NG)'!$V$12,'Assumptions (NG)'!$V$7*(Model!$C$439*'Assumptions (NG)'!$B$3)/10^9),0)</f>
        <v>-0.09118333971</v>
      </c>
      <c r="K548" s="177">
        <f>IF(and($C$438&gt;0,Model!AE$1&lt;='Assumptions (NG)'!$V$12),IPMT('Assumptions (NG)'!$V$9,Model!AE$1,'Assumptions (NG)'!$V$12,'Assumptions (NG)'!$V$7*(Model!$C$438*'Assumptions (NG)'!$B$2)/10^9),0)+IF(and($C$439&gt;0,Model!AE$1&lt;='Assumptions (NG)'!$V$12),IPMT('Assumptions (NG)'!$V$9,Model!AE$1,'Assumptions (NG)'!$V$12,'Assumptions (NG)'!$V$7*(Model!$C$439*'Assumptions (NG)'!$B$3)/10^9),0)</f>
        <v>-0.06295866501</v>
      </c>
      <c r="L548" s="177">
        <f>IF(and($C$438&gt;0,Model!AF$1&lt;='Assumptions (NG)'!$V$12),IPMT('Assumptions (NG)'!$V$9,Model!AF$1,'Assumptions (NG)'!$V$12,'Assumptions (NG)'!$V$7*(Model!$C$438*'Assumptions (NG)'!$B$2)/10^9),0)+IF(and($C$439&gt;0,Model!AF$1&lt;='Assumptions (NG)'!$V$12),IPMT('Assumptions (NG)'!$V$9,Model!AF$1,'Assumptions (NG)'!$V$12,'Assumptions (NG)'!$V$7*(Model!$C$439*'Assumptions (NG)'!$B$3)/10^9),0)</f>
        <v>-0.0326171397</v>
      </c>
      <c r="M548" s="177"/>
      <c r="N548" s="177"/>
      <c r="O548" s="177"/>
      <c r="P548" s="177"/>
      <c r="Q548" s="177"/>
      <c r="R548" s="177"/>
      <c r="S548" s="177"/>
      <c r="T548" s="177"/>
      <c r="U548" s="177"/>
      <c r="V548" s="177"/>
      <c r="W548" s="177"/>
      <c r="X548" s="177"/>
      <c r="Y548" s="177"/>
      <c r="Z548" s="177"/>
      <c r="AA548" s="177"/>
      <c r="AB548" s="160"/>
      <c r="AC548" s="160"/>
      <c r="AD548" s="160"/>
      <c r="AE548" s="160"/>
      <c r="AF548" s="160"/>
      <c r="AG548" s="160"/>
      <c r="AU548" s="160"/>
      <c r="AV548" s="160"/>
      <c r="AW548" s="160"/>
      <c r="AX548" s="160"/>
      <c r="AY548" s="160"/>
      <c r="AZ548" s="160"/>
      <c r="BA548" s="160"/>
    </row>
    <row r="549" ht="15.75" hidden="1" customHeight="1" outlineLevel="1">
      <c r="A549" s="209"/>
      <c r="B549" s="38"/>
      <c r="C549" s="160"/>
      <c r="D549" s="177">
        <f>IF(and($D$438&gt;0,Model!W$1&lt;='Assumptions (NG)'!$V$12),IPMT('Assumptions (NG)'!$V$9,Model!W$1,'Assumptions (NG)'!$V$12,'Assumptions (NG)'!$V$7*(Model!$D$438*'Assumptions (NG)'!$B$2)/10^9),0)+IF(and($D$439&gt;0,Model!W$1&lt;='Assumptions (NG)'!$V$12),IPMT('Assumptions (NG)'!$V$9,Model!W$1,'Assumptions (NG)'!$V$12,'Assumptions (NG)'!$V$7*(Model!$D$439*'Assumptions (NG)'!$B$3)/10^9),0)</f>
        <v>-0.2167033484</v>
      </c>
      <c r="E549" s="177">
        <f>IF(and($D$438&gt;0,Model!X$1&lt;='Assumptions (NG)'!$V$12),IPMT('Assumptions (NG)'!$V$9,Model!X$1,'Assumptions (NG)'!$V$12,'Assumptions (NG)'!$V$7*(Model!$D$438*'Assumptions (NG)'!$B$2)/10^9),0)+IF(and($D$439&gt;0,Model!X$1&lt;='Assumptions (NG)'!$V$12),IPMT('Assumptions (NG)'!$V$9,Model!X$1,'Assumptions (NG)'!$V$12,'Assumptions (NG)'!$V$7*(Model!$D$439*'Assumptions (NG)'!$B$3)/10^9),0)</f>
        <v>-0.2013854713</v>
      </c>
      <c r="F549" s="177">
        <f>IF(and($D$438&gt;0,Model!Y$1&lt;='Assumptions (NG)'!$V$12),IPMT('Assumptions (NG)'!$V$9,Model!Y$1,'Assumptions (NG)'!$V$12,'Assumptions (NG)'!$V$7*(Model!$D$438*'Assumptions (NG)'!$B$2)/10^9),0)+IF(and($D$439&gt;0,Model!Y$1&lt;='Assumptions (NG)'!$V$12),IPMT('Assumptions (NG)'!$V$9,Model!Y$1,'Assumptions (NG)'!$V$12,'Assumptions (NG)'!$V$7*(Model!$D$439*'Assumptions (NG)'!$B$3)/10^9),0)</f>
        <v>-0.1849187533</v>
      </c>
      <c r="G549" s="177">
        <f>IF(and($D$438&gt;0,Model!Z$1&lt;='Assumptions (NG)'!$V$12),IPMT('Assumptions (NG)'!$V$9,Model!Z$1,'Assumptions (NG)'!$V$12,'Assumptions (NG)'!$V$7*(Model!$D$438*'Assumptions (NG)'!$B$2)/10^9),0)+IF(and($D$439&gt;0,Model!Z$1&lt;='Assumptions (NG)'!$V$12),IPMT('Assumptions (NG)'!$V$9,Model!Z$1,'Assumptions (NG)'!$V$12,'Assumptions (NG)'!$V$7*(Model!$D$439*'Assumptions (NG)'!$B$3)/10^9),0)</f>
        <v>-0.1672170315</v>
      </c>
      <c r="H549" s="177">
        <f>IF(and($D$438&gt;0,Model!AA$1&lt;='Assumptions (NG)'!$V$12),IPMT('Assumptions (NG)'!$V$9,Model!AA$1,'Assumptions (NG)'!$V$12,'Assumptions (NG)'!$V$7*(Model!$D$438*'Assumptions (NG)'!$B$2)/10^9),0)+IF(and($D$439&gt;0,Model!AA$1&lt;='Assumptions (NG)'!$V$12),IPMT('Assumptions (NG)'!$V$9,Model!AA$1,'Assumptions (NG)'!$V$12,'Assumptions (NG)'!$V$7*(Model!$D$439*'Assumptions (NG)'!$B$3)/10^9),0)</f>
        <v>-0.1481876806</v>
      </c>
      <c r="I549" s="177">
        <f>IF(and($D$438&gt;0,Model!AB$1&lt;='Assumptions (NG)'!$V$12),IPMT('Assumptions (NG)'!$V$9,Model!AB$1,'Assumptions (NG)'!$V$12,'Assumptions (NG)'!$V$7*(Model!$D$438*'Assumptions (NG)'!$B$2)/10^9),0)+IF(and($D$439&gt;0,Model!AB$1&lt;='Assumptions (NG)'!$V$12),IPMT('Assumptions (NG)'!$V$9,Model!AB$1,'Assumptions (NG)'!$V$12,'Assumptions (NG)'!$V$7*(Model!$D$439*'Assumptions (NG)'!$B$3)/10^9),0)</f>
        <v>-0.1277311284</v>
      </c>
      <c r="J549" s="177">
        <f>IF(and($D$438&gt;0,Model!AC$1&lt;='Assumptions (NG)'!$V$12),IPMT('Assumptions (NG)'!$V$9,Model!AC$1,'Assumptions (NG)'!$V$12,'Assumptions (NG)'!$V$7*(Model!$D$438*'Assumptions (NG)'!$B$2)/10^9),0)+IF(and($D$439&gt;0,Model!AC$1&lt;='Assumptions (NG)'!$V$12),IPMT('Assumptions (NG)'!$V$9,Model!AC$1,'Assumptions (NG)'!$V$12,'Assumptions (NG)'!$V$7*(Model!$D$439*'Assumptions (NG)'!$B$3)/10^9),0)</f>
        <v>-0.1057403347</v>
      </c>
      <c r="K549" s="177">
        <f>IF(and($D$438&gt;0,Model!AD$1&lt;='Assumptions (NG)'!$V$12),IPMT('Assumptions (NG)'!$V$9,Model!AD$1,'Assumptions (NG)'!$V$12,'Assumptions (NG)'!$V$7*(Model!$D$438*'Assumptions (NG)'!$B$2)/10^9),0)+IF(and($D$439&gt;0,Model!AD$1&lt;='Assumptions (NG)'!$V$12),IPMT('Assumptions (NG)'!$V$9,Model!AD$1,'Assumptions (NG)'!$V$12,'Assumptions (NG)'!$V$7*(Model!$D$439*'Assumptions (NG)'!$B$3)/10^9),0)</f>
        <v>-0.0821002315</v>
      </c>
      <c r="L549" s="177">
        <f>IF(and($D$438&gt;0,Model!AE$1&lt;='Assumptions (NG)'!$V$12),IPMT('Assumptions (NG)'!$V$9,Model!AE$1,'Assumptions (NG)'!$V$12,'Assumptions (NG)'!$V$7*(Model!$D$438*'Assumptions (NG)'!$B$2)/10^9),0)+IF(and($D$439&gt;0,Model!AE$1&lt;='Assumptions (NG)'!$V$12),IPMT('Assumptions (NG)'!$V$9,Model!AE$1,'Assumptions (NG)'!$V$12,'Assumptions (NG)'!$V$7*(Model!$D$439*'Assumptions (NG)'!$B$3)/10^9),0)</f>
        <v>-0.05668712057</v>
      </c>
      <c r="M549" s="177">
        <f>IF(and($D$438&gt;0,Model!AF$1&lt;='Assumptions (NG)'!$V$12),IPMT('Assumptions (NG)'!$V$9,Model!AF$1,'Assumptions (NG)'!$V$12,'Assumptions (NG)'!$V$7*(Model!$D$438*'Assumptions (NG)'!$B$2)/10^9),0)+IF(and($D$439&gt;0,Model!AF$1&lt;='Assumptions (NG)'!$V$12),IPMT('Assumptions (NG)'!$V$9,Model!AF$1,'Assumptions (NG)'!$V$12,'Assumptions (NG)'!$V$7*(Model!$D$439*'Assumptions (NG)'!$B$3)/10^9),0)</f>
        <v>-0.02936802632</v>
      </c>
      <c r="N549" s="177"/>
      <c r="O549" s="177"/>
      <c r="P549" s="177"/>
      <c r="Q549" s="177"/>
      <c r="R549" s="177"/>
      <c r="S549" s="177"/>
      <c r="T549" s="177"/>
      <c r="U549" s="177"/>
      <c r="V549" s="177"/>
      <c r="W549" s="177"/>
      <c r="X549" s="177"/>
      <c r="Y549" s="177"/>
      <c r="Z549" s="177"/>
      <c r="AA549" s="177"/>
      <c r="AB549" s="177"/>
      <c r="AC549" s="160"/>
      <c r="AD549" s="160"/>
      <c r="AE549" s="160"/>
      <c r="AF549" s="160"/>
      <c r="AG549" s="160"/>
      <c r="AU549" s="160"/>
      <c r="AV549" s="160"/>
      <c r="AW549" s="160"/>
      <c r="AX549" s="160"/>
      <c r="AY549" s="160"/>
      <c r="AZ549" s="160"/>
      <c r="BA549" s="160"/>
    </row>
    <row r="550" ht="15.75" hidden="1" customHeight="1" outlineLevel="1">
      <c r="A550" s="209"/>
      <c r="B550" s="38"/>
      <c r="C550" s="160"/>
      <c r="D550" s="160"/>
      <c r="E550" s="177">
        <f>IF(and($E$438&gt;0,Model!W$1&lt;='Assumptions (NG)'!$V$12),IPMT('Assumptions (NG)'!$V$9,Model!W$1,'Assumptions (NG)'!$V$12,'Assumptions (NG)'!$V$7*(Model!$E$438*AVERAGE('Assumptions (NG)'!$B$2:$C$2))/10^9),0)+IF(and($E$439&gt;0,Model!X$1&lt;='Assumptions (NG)'!$V$12),IPMT('Assumptions (NG)'!$V$9,Model!W$1,'Assumptions (NG)'!$V$12,'Assumptions (NG)'!$V$7*(Model!$E$439*average('Assumptions (NG)'!$B$3:$C$3))/10^9),0)</f>
        <v>-0.3455487074</v>
      </c>
      <c r="F550" s="177">
        <f>IF(and($E$438&gt;0,Model!X$1&lt;='Assumptions (NG)'!$V$12),IPMT('Assumptions (NG)'!$V$9,Model!X$1,'Assumptions (NG)'!$V$12,'Assumptions (NG)'!$V$7*(Model!$E$438*AVERAGE('Assumptions (NG)'!$B$2:$C$2))/10^9),0)+IF(and($E$439&gt;0,Model!Y$1&lt;='Assumptions (NG)'!$V$12),IPMT('Assumptions (NG)'!$V$9,Model!X$1,'Assumptions (NG)'!$V$12,'Assumptions (NG)'!$V$7*(Model!$E$439*average('Assumptions (NG)'!$B$3:$C$3))/10^9),0)</f>
        <v>-0.3211232766</v>
      </c>
      <c r="G550" s="177">
        <f>IF(and($E$438&gt;0,Model!Y$1&lt;='Assumptions (NG)'!$V$12),IPMT('Assumptions (NG)'!$V$9,Model!Y$1,'Assumptions (NG)'!$V$12,'Assumptions (NG)'!$V$7*(Model!$E$438*AVERAGE('Assumptions (NG)'!$B$2:$C$2))/10^9),0)+IF(and($E$439&gt;0,Model!Z$1&lt;='Assumptions (NG)'!$V$12),IPMT('Assumptions (NG)'!$V$9,Model!Y$1,'Assumptions (NG)'!$V$12,'Assumptions (NG)'!$V$7*(Model!$E$439*average('Assumptions (NG)'!$B$3:$C$3))/10^9),0)</f>
        <v>-0.2948659384</v>
      </c>
      <c r="H550" s="177">
        <f>IF(and($E$438&gt;0,Model!Z$1&lt;='Assumptions (NG)'!$V$12),IPMT('Assumptions (NG)'!$V$9,Model!Z$1,'Assumptions (NG)'!$V$12,'Assumptions (NG)'!$V$7*(Model!$E$438*AVERAGE('Assumptions (NG)'!$B$2:$C$2))/10^9),0)+IF(and($E$439&gt;0,Model!AA$1&lt;='Assumptions (NG)'!$V$12),IPMT('Assumptions (NG)'!$V$9,Model!Z$1,'Assumptions (NG)'!$V$12,'Assumptions (NG)'!$V$7*(Model!$E$439*average('Assumptions (NG)'!$B$3:$C$3))/10^9),0)</f>
        <v>-0.2666392999</v>
      </c>
      <c r="I550" s="177">
        <f>IF(and($E$438&gt;0,Model!AA$1&lt;='Assumptions (NG)'!$V$12),IPMT('Assumptions (NG)'!$V$9,Model!AA$1,'Assumptions (NG)'!$V$12,'Assumptions (NG)'!$V$7*(Model!$E$438*AVERAGE('Assumptions (NG)'!$B$2:$C$2))/10^9),0)+IF(and($E$439&gt;0,Model!AB$1&lt;='Assumptions (NG)'!$V$12),IPMT('Assumptions (NG)'!$V$9,Model!AA$1,'Assumptions (NG)'!$V$12,'Assumptions (NG)'!$V$7*(Model!$E$439*average('Assumptions (NG)'!$B$3:$C$3))/10^9),0)</f>
        <v>-0.2362956635</v>
      </c>
      <c r="J550" s="177">
        <f>IF(and($E$438&gt;0,Model!AB$1&lt;='Assumptions (NG)'!$V$12),IPMT('Assumptions (NG)'!$V$9,Model!AB$1,'Assumptions (NG)'!$V$12,'Assumptions (NG)'!$V$7*(Model!$E$438*AVERAGE('Assumptions (NG)'!$B$2:$C$2))/10^9),0)+IF(and($E$439&gt;0,Model!AC$1&lt;='Assumptions (NG)'!$V$12),IPMT('Assumptions (NG)'!$V$9,Model!AB$1,'Assumptions (NG)'!$V$12,'Assumptions (NG)'!$V$7*(Model!$E$439*average('Assumptions (NG)'!$B$3:$C$3))/10^9),0)</f>
        <v>-0.2036762543</v>
      </c>
      <c r="K550" s="177">
        <f>IF(and($E$438&gt;0,Model!AC$1&lt;='Assumptions (NG)'!$V$12),IPMT('Assumptions (NG)'!$V$9,Model!AC$1,'Assumptions (NG)'!$V$12,'Assumptions (NG)'!$V$7*(Model!$E$438*AVERAGE('Assumptions (NG)'!$B$2:$C$2))/10^9),0)+IF(and($E$439&gt;0,Model!AD$1&lt;='Assumptions (NG)'!$V$12),IPMT('Assumptions (NG)'!$V$9,Model!AC$1,'Assumptions (NG)'!$V$12,'Assumptions (NG)'!$V$7*(Model!$E$439*average('Assumptions (NG)'!$B$3:$C$3))/10^9),0)</f>
        <v>-0.1686103895</v>
      </c>
      <c r="L550" s="177">
        <f>IF(and($E$438&gt;0,Model!AD$1&lt;='Assumptions (NG)'!$V$12),IPMT('Assumptions (NG)'!$V$9,Model!AD$1,'Assumptions (NG)'!$V$12,'Assumptions (NG)'!$V$7*(Model!$E$438*AVERAGE('Assumptions (NG)'!$B$2:$C$2))/10^9),0)+IF(and($E$439&gt;0,Model!AE$1&lt;='Assumptions (NG)'!$V$12),IPMT('Assumptions (NG)'!$V$9,Model!AD$1,'Assumptions (NG)'!$V$12,'Assumptions (NG)'!$V$7*(Model!$E$439*average('Assumptions (NG)'!$B$3:$C$3))/10^9),0)</f>
        <v>-0.1309145848</v>
      </c>
      <c r="M550" s="177">
        <f>IF(and($E$438&gt;0,Model!AE$1&lt;='Assumptions (NG)'!$V$12),IPMT('Assumptions (NG)'!$V$9,Model!AE$1,'Assumptions (NG)'!$V$12,'Assumptions (NG)'!$V$7*(Model!$E$438*AVERAGE('Assumptions (NG)'!$B$2:$C$2))/10^9),0)+IF(and($E$439&gt;0,Model!AF$1&lt;='Assumptions (NG)'!$V$12),IPMT('Assumptions (NG)'!$V$9,Model!AE$1,'Assumptions (NG)'!$V$12,'Assumptions (NG)'!$V$7*(Model!$E$439*average('Assumptions (NG)'!$B$3:$C$3))/10^9),0)</f>
        <v>-0.0903915947</v>
      </c>
      <c r="N550" s="177">
        <f>IF(and($E$438&gt;0,Model!AF$1&lt;='Assumptions (NG)'!$V$12),IPMT('Assumptions (NG)'!$V$9,Model!AF$1,'Assumptions (NG)'!$V$12,'Assumptions (NG)'!$V$7*(Model!$E$438*AVERAGE('Assumptions (NG)'!$B$2:$C$2))/10^9),0)+IF(and($E$439&gt;0,Model!AG$1&lt;='Assumptions (NG)'!$V$12),IPMT('Assumptions (NG)'!$V$9,Model!AF$1,'Assumptions (NG)'!$V$12,'Assumptions (NG)'!$V$7*(Model!$E$439*average('Assumptions (NG)'!$B$3:$C$3))/10^9),0)</f>
        <v>-0.03521275817</v>
      </c>
      <c r="O550" s="177"/>
      <c r="P550" s="177"/>
      <c r="Q550" s="177"/>
      <c r="R550" s="177"/>
      <c r="S550" s="177"/>
      <c r="T550" s="160"/>
      <c r="U550" s="160"/>
      <c r="V550" s="160"/>
      <c r="W550" s="160"/>
      <c r="X550" s="160"/>
      <c r="Y550" s="160"/>
      <c r="Z550" s="160"/>
      <c r="AA550" s="160"/>
      <c r="AB550" s="160"/>
      <c r="AC550" s="160"/>
      <c r="AD550" s="160"/>
      <c r="AE550" s="160"/>
      <c r="AF550" s="160"/>
      <c r="AG550" s="160"/>
      <c r="AU550" s="160"/>
      <c r="AV550" s="160"/>
      <c r="AW550" s="160"/>
      <c r="AX550" s="160"/>
      <c r="AY550" s="160"/>
      <c r="AZ550" s="160"/>
      <c r="BA550" s="160"/>
    </row>
    <row r="551" ht="15.75" hidden="1" customHeight="1" outlineLevel="1">
      <c r="A551" s="209"/>
      <c r="B551" s="38"/>
      <c r="C551" s="160"/>
      <c r="D551" s="160"/>
      <c r="E551" s="160"/>
      <c r="F551" s="223">
        <f>IF(AND($F$438&gt;0,Model!W$1&lt;='Assumptions (NG)'!$V$12),IPMT('Assumptions (NG)'!$V$9,Model!W$1,'Assumptions (NG)'!$V$12,'Assumptions (NG)'!$V$7*(Model!$F$438*AVERAGE('Assumptions (NG)'!$B$2:$D$2))/10^9),0)+IF(AND($F$439&gt;0,Model!W$1&lt;='Assumptions (NG)'!$V$12),IPMT('Assumptions (NG)'!$V$9,Model!W$1,'Assumptions (NG)'!$V$12,'Assumptions (NG)'!$V$7*(Model!$F$439*AVERAGE('Assumptions (NG)'!$B$3:$D$3))/10^9),0)</f>
        <v>-0.3763260113</v>
      </c>
      <c r="G551" s="223">
        <f>IF(AND($F$438&gt;0,Model!X$1&lt;='Assumptions (NG)'!$V$12),IPMT('Assumptions (NG)'!$V$9,Model!X$1,'Assumptions (NG)'!$V$12,'Assumptions (NG)'!$V$7*(Model!$F$438*AVERAGE('Assumptions (NG)'!$B$2:$D$2))/10^9),0)+IF(AND($F$439&gt;0,Model!X$1&lt;='Assumptions (NG)'!$V$12),IPMT('Assumptions (NG)'!$V$9,Model!X$1,'Assumptions (NG)'!$V$12,'Assumptions (NG)'!$V$7*(Model!$F$439*AVERAGE('Assumptions (NG)'!$B$3:$D$3))/10^9),0)</f>
        <v>-0.3497250582</v>
      </c>
      <c r="H551" s="223">
        <f>IF(AND($F$438&gt;0,Model!Y$1&lt;='Assumptions (NG)'!$V$12),IPMT('Assumptions (NG)'!$V$9,Model!Y$1,'Assumptions (NG)'!$V$12,'Assumptions (NG)'!$V$7*(Model!$F$438*AVERAGE('Assumptions (NG)'!$B$2:$D$2))/10^9),0)+IF(AND($F$439&gt;0,Model!Y$1&lt;='Assumptions (NG)'!$V$12),IPMT('Assumptions (NG)'!$V$9,Model!Y$1,'Assumptions (NG)'!$V$12,'Assumptions (NG)'!$V$7*(Model!$F$439*AVERAGE('Assumptions (NG)'!$B$3:$D$3))/10^9),0)</f>
        <v>-0.3211290336</v>
      </c>
      <c r="I551" s="223">
        <f>IF(AND($F$438&gt;0,Model!Z$1&lt;='Assumptions (NG)'!$V$12),IPMT('Assumptions (NG)'!$V$9,Model!Z$1,'Assumptions (NG)'!$V$12,'Assumptions (NG)'!$V$7*(Model!$F$438*AVERAGE('Assumptions (NG)'!$B$2:$D$2))/10^9),0)+IF(AND($F$439&gt;0,Model!Z$1&lt;='Assumptions (NG)'!$V$12),IPMT('Assumptions (NG)'!$V$9,Model!Z$1,'Assumptions (NG)'!$V$12,'Assumptions (NG)'!$V$7*(Model!$F$439*AVERAGE('Assumptions (NG)'!$B$3:$D$3))/10^9),0)</f>
        <v>-0.2903883071</v>
      </c>
      <c r="J551" s="223">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-0.2573420262</v>
      </c>
      <c r="K551" s="223">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-0.2218172742</v>
      </c>
      <c r="L551" s="223">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-0.1836281658</v>
      </c>
      <c r="M551" s="223">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-0.1425748742</v>
      </c>
      <c r="N551" s="223">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-0.09844258583</v>
      </c>
      <c r="O551" s="223">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-0.05100037579</v>
      </c>
      <c r="P551" s="223"/>
      <c r="Q551" s="223"/>
      <c r="R551" s="223"/>
      <c r="S551" s="223"/>
      <c r="T551" s="223"/>
      <c r="U551" s="160"/>
      <c r="V551" s="160"/>
      <c r="W551" s="160"/>
      <c r="X551" s="160"/>
      <c r="Y551" s="160"/>
      <c r="Z551" s="160"/>
      <c r="AA551" s="160"/>
      <c r="AB551" s="160"/>
      <c r="AC551" s="160"/>
      <c r="AD551" s="160"/>
      <c r="AE551" s="160"/>
      <c r="AF551" s="160"/>
      <c r="AG551" s="160"/>
      <c r="AU551" s="160"/>
      <c r="AV551" s="160"/>
      <c r="AW551" s="160"/>
      <c r="AX551" s="160"/>
      <c r="AY551" s="160"/>
      <c r="AZ551" s="160"/>
      <c r="BA551" s="160"/>
    </row>
    <row r="552" ht="15.75" hidden="1" customHeight="1" outlineLevel="1">
      <c r="A552" s="209"/>
      <c r="B552" s="38"/>
      <c r="C552" s="160"/>
      <c r="D552" s="160"/>
      <c r="E552" s="160"/>
      <c r="F552" s="160"/>
      <c r="G552" s="223">
        <f>IF(AND($G$438&gt;0,Model!W$1&lt;='Assumptions (NG)'!$V$12),IPMT('Assumptions (NG)'!$V$9,Model!W$1,'Assumptions (NG)'!$V$12,'Assumptions (NG)'!$V$7*(Model!$G$438*AVERAGE('Assumptions (NG)'!$C$2:$E$2))/10^9),0)+IF(AND($G$439&gt;0,Model!W$1&lt;='Assumptions (NG)'!$V$12),IPMT('Assumptions (NG)'!$V$9,Model!W$1,'Assumptions (NG)'!$V$12,'Assumptions (NG)'!$V$7*(Model!$G$439*AVERAGE('Assumptions (NG)'!$C$3:$E$3))/10^9),0)</f>
        <v>-0.1036764838</v>
      </c>
      <c r="H552" s="223">
        <f>IF(AND($G$438&gt;0,Model!X$1&lt;='Assumptions (NG)'!$V$12),IPMT('Assumptions (NG)'!$V$9,Model!X$1,'Assumptions (NG)'!$V$12,'Assumptions (NG)'!$V$7*(Model!$G$438*AVERAGE('Assumptions (NG)'!$C$2:$E$2))/10^9),0)+IF(AND($G$439&gt;0,Model!X$1&lt;='Assumptions (NG)'!$V$12),IPMT('Assumptions (NG)'!$V$9,Model!X$1,'Assumptions (NG)'!$V$12,'Assumptions (NG)'!$V$7*(Model!$G$439*AVERAGE('Assumptions (NG)'!$C$3:$E$3))/10^9),0)</f>
        <v>-0.09634801534</v>
      </c>
      <c r="I552" s="223">
        <f>IF(AND($G$438&gt;0,Model!Y$1&lt;='Assumptions (NG)'!$V$12),IPMT('Assumptions (NG)'!$V$9,Model!Y$1,'Assumptions (NG)'!$V$12,'Assumptions (NG)'!$V$7*(Model!$G$438*AVERAGE('Assumptions (NG)'!$C$2:$E$2))/10^9),0)+IF(AND($G$439&gt;0,Model!Y$1&lt;='Assumptions (NG)'!$V$12),IPMT('Assumptions (NG)'!$V$9,Model!Y$1,'Assumptions (NG)'!$V$12,'Assumptions (NG)'!$V$7*(Model!$G$439*AVERAGE('Assumptions (NG)'!$C$3:$E$3))/10^9),0)</f>
        <v>-0.08846991181</v>
      </c>
      <c r="J552" s="223">
        <f>IF(AND($G$438&gt;0,Model!Z$1&lt;='Assumptions (NG)'!$V$12),IPMT('Assumptions (NG)'!$V$9,Model!Z$1,'Assumptions (NG)'!$V$12,'Assumptions (NG)'!$V$7*(Model!$G$438*AVERAGE('Assumptions (NG)'!$C$2:$E$2))/10^9),0)+IF(AND($G$439&gt;0,Model!Z$1&lt;='Assumptions (NG)'!$V$12),IPMT('Assumptions (NG)'!$V$9,Model!Z$1,'Assumptions (NG)'!$V$12,'Assumptions (NG)'!$V$7*(Model!$G$439*AVERAGE('Assumptions (NG)'!$C$3:$E$3))/10^9),0)</f>
        <v>-0.08000095051</v>
      </c>
      <c r="K552" s="223">
        <f>IF(AND($G$438&gt;0,Model!AA$1&lt;='Assumptions (NG)'!$V$12),IPMT('Assumptions (NG)'!$V$9,Model!AA$1,'Assumptions (NG)'!$V$12,'Assumptions (NG)'!$V$7*(Model!$G$438*AVERAGE('Assumptions (NG)'!$C$2:$E$2))/10^9),0)+IF(AND($G$439&gt;0,Model!AA$1&lt;='Assumptions (NG)'!$V$12),IPMT('Assumptions (NG)'!$V$9,Model!AA$1,'Assumptions (NG)'!$V$12,'Assumptions (NG)'!$V$7*(Model!$G$439*AVERAGE('Assumptions (NG)'!$C$3:$E$3))/10^9),0)</f>
        <v>-0.07089681711</v>
      </c>
      <c r="L552" s="223">
        <f>IF(AND($G$438&gt;0,Model!AB$1&lt;='Assumptions (NG)'!$V$12),IPMT('Assumptions (NG)'!$V$9,Model!AB$1,'Assumptions (NG)'!$V$12,'Assumptions (NG)'!$V$7*(Model!$G$438*AVERAGE('Assumptions (NG)'!$C$2:$E$2))/10^9),0)+IF(AND($G$439&gt;0,Model!AB$1&lt;='Assumptions (NG)'!$V$12),IPMT('Assumptions (NG)'!$V$9,Model!AB$1,'Assumptions (NG)'!$V$12,'Assumptions (NG)'!$V$7*(Model!$G$439*AVERAGE('Assumptions (NG)'!$C$3:$E$3))/10^9),0)</f>
        <v>-0.0611098737</v>
      </c>
      <c r="M552" s="223">
        <f>IF(AND($G$438&gt;0,Model!AC$1&lt;='Assumptions (NG)'!$V$12),IPMT('Assumptions (NG)'!$V$9,Model!AC$1,'Assumptions (NG)'!$V$12,'Assumptions (NG)'!$V$7*(Model!$G$438*AVERAGE('Assumptions (NG)'!$C$2:$E$2))/10^9),0)+IF(AND($G$439&gt;0,Model!AC$1&lt;='Assumptions (NG)'!$V$12),IPMT('Assumptions (NG)'!$V$9,Model!AC$1,'Assumptions (NG)'!$V$12,'Assumptions (NG)'!$V$7*(Model!$G$439*AVERAGE('Assumptions (NG)'!$C$3:$E$3))/10^9),0)</f>
        <v>-0.05058890954</v>
      </c>
      <c r="N552" s="223">
        <f>IF(AND($G$438&gt;0,Model!AD$1&lt;='Assumptions (NG)'!$V$12),IPMT('Assumptions (NG)'!$V$9,Model!AD$1,'Assumptions (NG)'!$V$12,'Assumptions (NG)'!$V$7*(Model!$G$438*AVERAGE('Assumptions (NG)'!$C$2:$E$2))/10^9),0)+IF(AND($G$439&gt;0,Model!AD$1&lt;='Assumptions (NG)'!$V$12),IPMT('Assumptions (NG)'!$V$9,Model!AD$1,'Assumptions (NG)'!$V$12,'Assumptions (NG)'!$V$7*(Model!$G$439*AVERAGE('Assumptions (NG)'!$C$3:$E$3))/10^9),0)</f>
        <v>-0.03927887307</v>
      </c>
      <c r="O552" s="219">
        <f>IF(AND($G$438&gt;0,Model!AE$1&lt;='Assumptions (NG)'!$V$12),IPMT('Assumptions (NG)'!$V$9,Model!AE$1,'Assumptions (NG)'!$V$12,'Assumptions (NG)'!$V$7*(Model!$G$438*AVERAGE('Assumptions (NG)'!$C$2:$E$2))/10^9),0)+IF(AND($G$439&gt;0,Model!AE$1&lt;='Assumptions (NG)'!$V$12),IPMT('Assumptions (NG)'!$V$9,Model!AE$1,'Assumptions (NG)'!$V$12,'Assumptions (NG)'!$V$7*(Model!$G$439*AVERAGE('Assumptions (NG)'!$C$3:$E$3))/10^9),0)</f>
        <v>-0.02712058386</v>
      </c>
      <c r="P552" s="219">
        <f>IF(AND($G$438&gt;0,Model!AF$1&lt;='Assumptions (NG)'!$V$12),IPMT('Assumptions (NG)'!$V$9,Model!AF$1,'Assumptions (NG)'!$V$12,'Assumptions (NG)'!$V$7*(Model!$G$438*AVERAGE('Assumptions (NG)'!$C$2:$E$2))/10^9),0)+IF(AND($G$439&gt;0,Model!AF$1&lt;='Assumptions (NG)'!$V$12),IPMT('Assumptions (NG)'!$V$9,Model!AF$1,'Assumptions (NG)'!$V$12,'Assumptions (NG)'!$V$7*(Model!$G$439*AVERAGE('Assumptions (NG)'!$C$3:$E$3))/10^9),0)</f>
        <v>-0.01405042297</v>
      </c>
      <c r="Q552" s="219"/>
      <c r="R552" s="219"/>
      <c r="S552" s="219"/>
      <c r="T552" s="219"/>
      <c r="U552" s="219"/>
      <c r="V552" s="160"/>
      <c r="W552" s="160"/>
      <c r="X552" s="160"/>
      <c r="Y552" s="160"/>
      <c r="Z552" s="160"/>
      <c r="AA552" s="160"/>
      <c r="AB552" s="160"/>
      <c r="AC552" s="160"/>
      <c r="AD552" s="160"/>
      <c r="AE552" s="160"/>
      <c r="AF552" s="160"/>
      <c r="AG552" s="160"/>
      <c r="AU552" s="160"/>
      <c r="AV552" s="160"/>
      <c r="AW552" s="160"/>
      <c r="AX552" s="160"/>
      <c r="AY552" s="160"/>
      <c r="AZ552" s="160"/>
      <c r="BA552" s="160"/>
    </row>
    <row r="553" ht="15.75" hidden="1" customHeight="1" outlineLevel="1">
      <c r="A553" s="209"/>
      <c r="B553" s="38"/>
      <c r="C553" s="160"/>
      <c r="D553" s="160"/>
      <c r="E553" s="160"/>
      <c r="F553" s="160"/>
      <c r="G553" s="160"/>
      <c r="H553" s="223">
        <f>IF(AND($H$438&gt;0,Model!W$1&lt;='Assumptions (NG)'!$V$12),IPMT('Assumptions (NG)'!$V$9,Model!W$1,'Assumptions (NG)'!$V$12,'Assumptions (NG)'!$V$7*(Model!$H$438*AVERAGE('Assumptions (NG)'!$D$2:$F$2))/10^9),0)+IF(AND($H$439&gt;0,Model!W$1&lt;='Assumptions (NG)'!$V$12),IPMT('Assumptions (NG)'!$V$9,Model!W$1,'Assumptions (NG)'!$V$12,'Assumptions (NG)'!$V$7*(Model!$H$439*AVERAGE('Assumptions (NG)'!$D$3:$F$3))/10^9),0)</f>
        <v>-0.05405934109</v>
      </c>
      <c r="I553" s="223">
        <f>IF(AND($H$438&gt;0,Model!X$1&lt;='Assumptions (NG)'!$V$12),IPMT('Assumptions (NG)'!$V$9,Model!X$1,'Assumptions (NG)'!$V$12,'Assumptions (NG)'!$V$7*(Model!$H$438*AVERAGE('Assumptions (NG)'!$D$2:$F$2))/10^9),0)+IF(AND($H$439&gt;0,Model!X$1&lt;='Assumptions (NG)'!$V$12),IPMT('Assumptions (NG)'!$V$9,Model!X$1,'Assumptions (NG)'!$V$12,'Assumptions (NG)'!$V$7*(Model!$H$439*AVERAGE('Assumptions (NG)'!$D$3:$F$3))/10^9),0)</f>
        <v>-0.05023810643</v>
      </c>
      <c r="J553" s="223">
        <f>IF(AND($H$438&gt;0,Model!Y$1&lt;='Assumptions (NG)'!$V$12),IPMT('Assumptions (NG)'!$V$9,Model!Y$1,'Assumptions (NG)'!$V$12,'Assumptions (NG)'!$V$7*(Model!$H$438*AVERAGE('Assumptions (NG)'!$D$2:$F$2))/10^9),0)+IF(AND($H$439&gt;0,Model!Y$1&lt;='Assumptions (NG)'!$V$12),IPMT('Assumptions (NG)'!$V$9,Model!Y$1,'Assumptions (NG)'!$V$12,'Assumptions (NG)'!$V$7*(Model!$H$439*AVERAGE('Assumptions (NG)'!$D$3:$F$3))/10^9),0)</f>
        <v>-0.04613027917</v>
      </c>
      <c r="K553" s="223">
        <f>IF(AND($H$438&gt;0,Model!Z$1&lt;='Assumptions (NG)'!$V$12),IPMT('Assumptions (NG)'!$V$9,Model!Z$1,'Assumptions (NG)'!$V$12,'Assumptions (NG)'!$V$7*(Model!$H$438*AVERAGE('Assumptions (NG)'!$D$2:$F$2))/10^9),0)+IF(AND($H$439&gt;0,Model!Z$1&lt;='Assumptions (NG)'!$V$12),IPMT('Assumptions (NG)'!$V$9,Model!Z$1,'Assumptions (NG)'!$V$12,'Assumptions (NG)'!$V$7*(Model!$H$439*AVERAGE('Assumptions (NG)'!$D$3:$F$3))/10^9),0)</f>
        <v>-0.04171436486</v>
      </c>
      <c r="L553" s="223">
        <f>IF(AND($H$438&gt;0,Model!AA$1&lt;='Assumptions (NG)'!$V$12),IPMT('Assumptions (NG)'!$V$9,Model!AA$1,'Assumptions (NG)'!$V$12,'Assumptions (NG)'!$V$7*(Model!$H$438*AVERAGE('Assumptions (NG)'!$D$2:$F$2))/10^9),0)+IF(AND($H$439&gt;0,Model!AA$1&lt;='Assumptions (NG)'!$V$12),IPMT('Assumptions (NG)'!$V$9,Model!AA$1,'Assumptions (NG)'!$V$12,'Assumptions (NG)'!$V$7*(Model!$H$439*AVERAGE('Assumptions (NG)'!$D$3:$F$3))/10^9),0)</f>
        <v>-0.03696725699</v>
      </c>
      <c r="M553" s="223">
        <f>IF(AND($H$438&gt;0,Model!AB$1&lt;='Assumptions (NG)'!$V$12),IPMT('Assumptions (NG)'!$V$9,Model!AB$1,'Assumptions (NG)'!$V$12,'Assumptions (NG)'!$V$7*(Model!$H$438*AVERAGE('Assumptions (NG)'!$D$2:$F$2))/10^9),0)+IF(AND($H$439&gt;0,Model!AB$1&lt;='Assumptions (NG)'!$V$12),IPMT('Assumptions (NG)'!$V$9,Model!AB$1,'Assumptions (NG)'!$V$12,'Assumptions (NG)'!$V$7*(Model!$H$439*AVERAGE('Assumptions (NG)'!$D$3:$F$3))/10^9),0)</f>
        <v>-0.03186411602</v>
      </c>
      <c r="N553" s="223">
        <f>IF(AND($H$438&gt;0,Model!AC$1&lt;='Assumptions (NG)'!$V$12),IPMT('Assumptions (NG)'!$V$9,Model!AC$1,'Assumptions (NG)'!$V$12,'Assumptions (NG)'!$V$7*(Model!$H$438*AVERAGE('Assumptions (NG)'!$D$2:$F$2))/10^9),0)+IF(AND($H$439&gt;0,Model!AC$1&lt;='Assumptions (NG)'!$V$12),IPMT('Assumptions (NG)'!$V$9,Model!AC$1,'Assumptions (NG)'!$V$12,'Assumptions (NG)'!$V$7*(Model!$H$439*AVERAGE('Assumptions (NG)'!$D$3:$F$3))/10^9),0)</f>
        <v>-0.02637823948</v>
      </c>
      <c r="O553" s="219">
        <f>IF(AND($H$438&gt;0,Model!AD$1&lt;='Assumptions (NG)'!$V$12),IPMT('Assumptions (NG)'!$V$9,Model!AD$1,'Assumptions (NG)'!$V$12,'Assumptions (NG)'!$V$7*(Model!$H$438*AVERAGE('Assumptions (NG)'!$D$2:$F$2))/10^9),0)+IF(AND($H$439&gt;0,Model!AD$1&lt;='Assumptions (NG)'!$V$12),IPMT('Assumptions (NG)'!$V$9,Model!AD$1,'Assumptions (NG)'!$V$12,'Assumptions (NG)'!$V$7*(Model!$H$439*AVERAGE('Assumptions (NG)'!$D$3:$F$3))/10^9),0)</f>
        <v>-0.02048092219</v>
      </c>
      <c r="P553" s="219">
        <f>IF(AND($H$438&gt;0,Model!AE$1&lt;='Assumptions (NG)'!$V$12),IPMT('Assumptions (NG)'!$V$9,Model!AE$1,'Assumptions (NG)'!$V$12,'Assumptions (NG)'!$V$7*(Model!$H$438*AVERAGE('Assumptions (NG)'!$D$2:$F$2))/10^9),0)+IF(AND($H$439&gt;0,Model!AE$1&lt;='Assumptions (NG)'!$V$12),IPMT('Assumptions (NG)'!$V$9,Model!AE$1,'Assumptions (NG)'!$V$12,'Assumptions (NG)'!$V$7*(Model!$H$439*AVERAGE('Assumptions (NG)'!$D$3:$F$3))/10^9),0)</f>
        <v>-0.01414130612</v>
      </c>
      <c r="Q553" s="219">
        <f>IF(AND($H$438&gt;0,Model!AF$1&lt;='Assumptions (NG)'!$V$12),IPMT('Assumptions (NG)'!$V$9,Model!AF$1,'Assumptions (NG)'!$V$12,'Assumptions (NG)'!$V$7*(Model!$H$438*AVERAGE('Assumptions (NG)'!$D$2:$F$2))/10^9),0)+IF(AND($H$439&gt;0,Model!AF$1&lt;='Assumptions (NG)'!$V$12),IPMT('Assumptions (NG)'!$V$9,Model!AF$1,'Assumptions (NG)'!$V$12,'Assumptions (NG)'!$V$7*(Model!$H$439*AVERAGE('Assumptions (NG)'!$D$3:$F$3))/10^9),0)</f>
        <v>-0.007326218831</v>
      </c>
      <c r="R553" s="219"/>
      <c r="S553" s="219"/>
      <c r="T553" s="219"/>
      <c r="U553" s="219"/>
      <c r="V553" s="219"/>
      <c r="W553" s="160"/>
      <c r="X553" s="160"/>
      <c r="Y553" s="160"/>
      <c r="Z553" s="160"/>
      <c r="AA553" s="160"/>
      <c r="AB553" s="160"/>
      <c r="AC553" s="160"/>
      <c r="AD553" s="160"/>
      <c r="AE553" s="160"/>
      <c r="AF553" s="160"/>
      <c r="AG553" s="160"/>
      <c r="AU553" s="160"/>
      <c r="AV553" s="160"/>
      <c r="AW553" s="160"/>
      <c r="AX553" s="160"/>
      <c r="AY553" s="160"/>
      <c r="AZ553" s="160"/>
      <c r="BA553" s="160"/>
    </row>
    <row r="554" ht="15.75" hidden="1" customHeight="1" outlineLevel="1">
      <c r="A554" s="209"/>
      <c r="B554" s="38"/>
      <c r="C554" s="160"/>
      <c r="D554" s="160"/>
      <c r="E554" s="160"/>
      <c r="F554" s="160"/>
      <c r="G554" s="160"/>
      <c r="H554" s="160"/>
      <c r="I554" s="223">
        <f>IF(AND($I$438&gt;0,Model!W$1&lt;='Assumptions (NG)'!$V$12),IPMT('Assumptions (NG)'!$V$9,Model!W$1,'Assumptions (NG)'!$V$12,'Assumptions (NG)'!$V$7*(Model!$I$438*AVERAGE('Assumptions (NG)'!$E$2:$G$2))/10^9),0)+IF(AND($I$439&gt;0,Model!W$1&lt;='Assumptions (NG)'!$V$12),IPMT('Assumptions (NG)'!$V$9,Model!W$1,'Assumptions (NG)'!$V$12,'Assumptions (NG)'!$V$7*(Model!$I$439*AVERAGE('Assumptions (NG)'!$E$3:$G$3))/10^9),0)</f>
        <v>-0.03430465615</v>
      </c>
      <c r="J554" s="223">
        <f>IF(AND($I$438&gt;0,Model!X$1&lt;='Assumptions (NG)'!$V$12),IPMT('Assumptions (NG)'!$V$9,Model!X$1,'Assumptions (NG)'!$V$12,'Assumptions (NG)'!$V$7*(Model!$I$438*AVERAGE('Assumptions (NG)'!$E$2:$G$2))/10^9),0)+IF(AND($I$439&gt;0,Model!X$1&lt;='Assumptions (NG)'!$V$12),IPMT('Assumptions (NG)'!$V$9,Model!X$1,'Assumptions (NG)'!$V$12,'Assumptions (NG)'!$V$7*(Model!$I$439*AVERAGE('Assumptions (NG)'!$E$3:$G$3))/10^9),0)</f>
        <v>-0.03187979972</v>
      </c>
      <c r="K554" s="223">
        <f>IF(AND($I$438&gt;0,Model!Y$1&lt;='Assumptions (NG)'!$V$12),IPMT('Assumptions (NG)'!$V$9,Model!Y$1,'Assumptions (NG)'!$V$12,'Assumptions (NG)'!$V$7*(Model!$I$438*AVERAGE('Assumptions (NG)'!$E$2:$G$2))/10^9),0)+IF(AND($I$439&gt;0,Model!Y$1&lt;='Assumptions (NG)'!$V$12),IPMT('Assumptions (NG)'!$V$9,Model!Y$1,'Assumptions (NG)'!$V$12,'Assumptions (NG)'!$V$7*(Model!$I$439*AVERAGE('Assumptions (NG)'!$E$3:$G$3))/10^9),0)</f>
        <v>-0.02927307905</v>
      </c>
      <c r="L554" s="223">
        <f>IF(AND($I$438&gt;0,Model!Z$1&lt;='Assumptions (NG)'!$V$12),IPMT('Assumptions (NG)'!$V$9,Model!Z$1,'Assumptions (NG)'!$V$12,'Assumptions (NG)'!$V$7*(Model!$I$438*AVERAGE('Assumptions (NG)'!$E$2:$G$2))/10^9),0)+IF(AND($I$439&gt;0,Model!Z$1&lt;='Assumptions (NG)'!$V$12),IPMT('Assumptions (NG)'!$V$9,Model!Z$1,'Assumptions (NG)'!$V$12,'Assumptions (NG)'!$V$7*(Model!$I$439*AVERAGE('Assumptions (NG)'!$E$3:$G$3))/10^9),0)</f>
        <v>-0.02647085433</v>
      </c>
      <c r="M554" s="223">
        <f>IF(AND($I$438&gt;0,Model!AA$1&lt;='Assumptions (NG)'!$V$12),IPMT('Assumptions (NG)'!$V$9,Model!AA$1,'Assumptions (NG)'!$V$12,'Assumptions (NG)'!$V$7*(Model!$I$438*AVERAGE('Assumptions (NG)'!$E$2:$G$2))/10^9),0)+IF(AND($I$439&gt;0,Model!AA$1&lt;='Assumptions (NG)'!$V$12),IPMT('Assumptions (NG)'!$V$9,Model!AA$1,'Assumptions (NG)'!$V$12,'Assumptions (NG)'!$V$7*(Model!$I$439*AVERAGE('Assumptions (NG)'!$E$3:$G$3))/10^9),0)</f>
        <v>-0.02345846276</v>
      </c>
      <c r="N554" s="223">
        <f>IF(AND($I$438&gt;0,Model!AB$1&lt;='Assumptions (NG)'!$V$12),IPMT('Assumptions (NG)'!$V$9,Model!AB$1,'Assumptions (NG)'!$V$12,'Assumptions (NG)'!$V$7*(Model!$I$438*AVERAGE('Assumptions (NG)'!$E$2:$G$2))/10^9),0)+IF(AND($I$439&gt;0,Model!AB$1&lt;='Assumptions (NG)'!$V$12),IPMT('Assumptions (NG)'!$V$9,Model!AB$1,'Assumptions (NG)'!$V$12,'Assumptions (NG)'!$V$7*(Model!$I$439*AVERAGE('Assumptions (NG)'!$E$3:$G$3))/10^9),0)</f>
        <v>-0.02022014182</v>
      </c>
      <c r="O554" s="223">
        <f>IF(AND($I$438&gt;0,Model!AC$1&lt;='Assumptions (NG)'!$V$12),IPMT('Assumptions (NG)'!$V$9,Model!AC$1,'Assumptions (NG)'!$V$12,'Assumptions (NG)'!$V$7*(Model!$I$438*AVERAGE('Assumptions (NG)'!$E$2:$G$2))/10^9),0)+IF(AND($I$439&gt;0,Model!AC$1&lt;='Assumptions (NG)'!$V$12),IPMT('Assumptions (NG)'!$V$9,Model!AC$1,'Assumptions (NG)'!$V$12,'Assumptions (NG)'!$V$7*(Model!$I$439*AVERAGE('Assumptions (NG)'!$E$3:$G$3))/10^9),0)</f>
        <v>-0.01673894681</v>
      </c>
      <c r="P554" s="223">
        <f>IF(AND($I$438&gt;0,Model!AD$1&lt;='Assumptions (NG)'!$V$12),IPMT('Assumptions (NG)'!$V$9,Model!AD$1,'Assumptions (NG)'!$V$12,'Assumptions (NG)'!$V$7*(Model!$I$438*AVERAGE('Assumptions (NG)'!$E$2:$G$2))/10^9),0)+IF(AND($I$439&gt;0,Model!AD$1&lt;='Assumptions (NG)'!$V$12),IPMT('Assumptions (NG)'!$V$9,Model!AD$1,'Assumptions (NG)'!$V$12,'Assumptions (NG)'!$V$7*(Model!$I$439*AVERAGE('Assumptions (NG)'!$E$3:$G$3))/10^9),0)</f>
        <v>-0.01299666217</v>
      </c>
      <c r="Q554" s="223">
        <f>IF(AND($I$438&gt;0,Model!AE$1&lt;='Assumptions (NG)'!$V$12),IPMT('Assumptions (NG)'!$V$9,Model!AE$1,'Assumptions (NG)'!$V$12,'Assumptions (NG)'!$V$7*(Model!$I$438*AVERAGE('Assumptions (NG)'!$E$2:$G$2))/10^9),0)+IF(AND($I$439&gt;0,Model!AE$1&lt;='Assumptions (NG)'!$V$12),IPMT('Assumptions (NG)'!$V$9,Model!AE$1,'Assumptions (NG)'!$V$12,'Assumptions (NG)'!$V$7*(Model!$I$439*AVERAGE('Assumptions (NG)'!$E$3:$G$3))/10^9),0)</f>
        <v>-0.008973706191</v>
      </c>
      <c r="R554" s="223">
        <f>IF(AND($I$438&gt;0,Model!AF$1&lt;='Assumptions (NG)'!$V$12),IPMT('Assumptions (NG)'!$V$9,Model!AF$1,'Assumptions (NG)'!$V$12,'Assumptions (NG)'!$V$7*(Model!$I$438*AVERAGE('Assumptions (NG)'!$E$2:$G$2))/10^9),0)+IF(AND($I$439&gt;0,Model!AF$1&lt;='Assumptions (NG)'!$V$12),IPMT('Assumptions (NG)'!$V$9,Model!AF$1,'Assumptions (NG)'!$V$12,'Assumptions (NG)'!$V$7*(Model!$I$439*AVERAGE('Assumptions (NG)'!$E$3:$G$3))/10^9),0)</f>
        <v>-0.004649028509</v>
      </c>
      <c r="S554" s="223"/>
      <c r="T554" s="223"/>
      <c r="U554" s="223"/>
      <c r="V554" s="223"/>
      <c r="W554" s="223"/>
      <c r="X554" s="160"/>
      <c r="Y554" s="160"/>
      <c r="Z554" s="160"/>
      <c r="AA554" s="160"/>
      <c r="AB554" s="160"/>
      <c r="AC554" s="160"/>
      <c r="AD554" s="160"/>
      <c r="AE554" s="160"/>
      <c r="AF554" s="160"/>
      <c r="AG554" s="160"/>
      <c r="AU554" s="160"/>
      <c r="AV554" s="160"/>
      <c r="AW554" s="160"/>
      <c r="AX554" s="160"/>
      <c r="AY554" s="160"/>
      <c r="AZ554" s="160"/>
      <c r="BA554" s="160"/>
    </row>
    <row r="555" ht="15.75" hidden="1" customHeight="1" outlineLevel="1">
      <c r="A555" s="209"/>
      <c r="B555" s="38"/>
      <c r="C555" s="160"/>
      <c r="D555" s="160"/>
      <c r="E555" s="160"/>
      <c r="F555" s="160"/>
      <c r="G555" s="160"/>
      <c r="H555" s="160"/>
      <c r="I555" s="160"/>
      <c r="J555" s="223">
        <f>IF(AND($J$438&gt;0,Model!W$1&lt;='Assumptions (NG)'!$V$12),IPMT('Assumptions (NG)'!$V$9,Model!W$1,'Assumptions (NG)'!$V$12,'Assumptions (NG)'!$V$7*(Model!$J$438*AVERAGE('Assumptions (NG)'!$F$2:$H$2))/10^9),0)+IF(AND($J$439&gt;0,Model!W$1&lt;='Assumptions (NG)'!$V$12),IPMT('Assumptions (NG)'!$V$9,Model!W$1,'Assumptions (NG)'!$V$12,'Assumptions (NG)'!$V$7*(Model!$J$439*AVERAGE('Assumptions (NG)'!$F$3:$H$3))/10^9),0)</f>
        <v>-0.01751241585</v>
      </c>
      <c r="K555" s="223">
        <f>IF(AND($J$438&gt;0,Model!X$1&lt;='Assumptions (NG)'!$V$12),IPMT('Assumptions (NG)'!$V$9,Model!X$1,'Assumptions (NG)'!$V$12,'Assumptions (NG)'!$V$7*(Model!$J$438*AVERAGE('Assumptions (NG)'!$F$2:$H$2))/10^9),0)+IF(AND($J$439&gt;0,Model!X$1&lt;='Assumptions (NG)'!$V$12),IPMT('Assumptions (NG)'!$V$9,Model!X$1,'Assumptions (NG)'!$V$12,'Assumptions (NG)'!$V$7*(Model!$J$439*AVERAGE('Assumptions (NG)'!$F$3:$H$3))/10^9),0)</f>
        <v>-0.0162745345</v>
      </c>
      <c r="L555" s="223">
        <f>IF(AND($J$438&gt;0,Model!Y$1&lt;='Assumptions (NG)'!$V$12),IPMT('Assumptions (NG)'!$V$9,Model!Y$1,'Assumptions (NG)'!$V$12,'Assumptions (NG)'!$V$7*(Model!$J$438*AVERAGE('Assumptions (NG)'!$F$2:$H$2))/10^9),0)+IF(AND($J$439&gt;0,Model!Y$1&lt;='Assumptions (NG)'!$V$12),IPMT('Assumptions (NG)'!$V$9,Model!Y$1,'Assumptions (NG)'!$V$12,'Assumptions (NG)'!$V$7*(Model!$J$439*AVERAGE('Assumptions (NG)'!$F$3:$H$3))/10^9),0)</f>
        <v>-0.01494381204</v>
      </c>
      <c r="M555" s="223">
        <f>IF(AND($J$438&gt;0,Model!Z$1&lt;='Assumptions (NG)'!$V$12),IPMT('Assumptions (NG)'!$V$9,Model!Z$1,'Assumptions (NG)'!$V$12,'Assumptions (NG)'!$V$7*(Model!$J$438*AVERAGE('Assumptions (NG)'!$F$2:$H$2))/10^9),0)+IF(AND($J$439&gt;0,Model!Z$1&lt;='Assumptions (NG)'!$V$12),IPMT('Assumptions (NG)'!$V$9,Model!Z$1,'Assumptions (NG)'!$V$12,'Assumptions (NG)'!$V$7*(Model!$J$439*AVERAGE('Assumptions (NG)'!$F$3:$H$3))/10^9),0)</f>
        <v>-0.0135132854</v>
      </c>
      <c r="N555" s="223">
        <f>IF(AND($J$438&gt;0,Model!AA$1&lt;='Assumptions (NG)'!$V$12),IPMT('Assumptions (NG)'!$V$9,Model!AA$1,'Assumptions (NG)'!$V$12,'Assumptions (NG)'!$V$7*(Model!$J$438*AVERAGE('Assumptions (NG)'!$F$2:$H$2))/10^9),0)+IF(AND($J$439&gt;0,Model!AA$1&lt;='Assumptions (NG)'!$V$12),IPMT('Assumptions (NG)'!$V$9,Model!AA$1,'Assumptions (NG)'!$V$12,'Assumptions (NG)'!$V$7*(Model!$J$439*AVERAGE('Assumptions (NG)'!$F$3:$H$3))/10^9),0)</f>
        <v>-0.01197546926</v>
      </c>
      <c r="O555" s="223">
        <f>IF(AND($J$438&gt;0,Model!AB$1&lt;='Assumptions (NG)'!$V$12),IPMT('Assumptions (NG)'!$V$9,Model!AB$1,'Assumptions (NG)'!$V$12,'Assumptions (NG)'!$V$7*(Model!$J$438*AVERAGE('Assumptions (NG)'!$F$2:$H$2))/10^9),0)+IF(AND($J$439&gt;0,Model!AB$1&lt;='Assumptions (NG)'!$V$12),IPMT('Assumptions (NG)'!$V$9,Model!AB$1,'Assumptions (NG)'!$V$12,'Assumptions (NG)'!$V$7*(Model!$J$439*AVERAGE('Assumptions (NG)'!$F$3:$H$3))/10^9),0)</f>
        <v>-0.01032231691</v>
      </c>
      <c r="P555" s="223">
        <f>IF(AND($J$438&gt;0,Model!AC$1&lt;='Assumptions (NG)'!$V$12),IPMT('Assumptions (NG)'!$V$9,Model!AC$1,'Assumptions (NG)'!$V$12,'Assumptions (NG)'!$V$7*(Model!$J$438*AVERAGE('Assumptions (NG)'!$F$2:$H$2))/10^9),0)+IF(AND($J$439&gt;0,Model!AC$1&lt;='Assumptions (NG)'!$V$12),IPMT('Assumptions (NG)'!$V$9,Model!AC$1,'Assumptions (NG)'!$V$12,'Assumptions (NG)'!$V$7*(Model!$J$439*AVERAGE('Assumptions (NG)'!$F$3:$H$3))/10^9),0)</f>
        <v>-0.008545178129</v>
      </c>
      <c r="Q555" s="223">
        <f>IF(AND($J$438&gt;0,Model!AD$1&lt;='Assumptions (NG)'!$V$12),IPMT('Assumptions (NG)'!$V$9,Model!AD$1,'Assumptions (NG)'!$V$12,'Assumptions (NG)'!$V$7*(Model!$J$438*AVERAGE('Assumptions (NG)'!$F$2:$H$2))/10^9),0)+IF(AND($J$439&gt;0,Model!AD$1&lt;='Assumptions (NG)'!$V$12),IPMT('Assumptions (NG)'!$V$9,Model!AD$1,'Assumptions (NG)'!$V$12,'Assumptions (NG)'!$V$7*(Model!$J$439*AVERAGE('Assumptions (NG)'!$F$3:$H$3))/10^9),0)</f>
        <v>-0.006634753944</v>
      </c>
      <c r="R555" s="223">
        <f>IF(AND($J$438&gt;0,Model!AE$1&lt;='Assumptions (NG)'!$V$12),IPMT('Assumptions (NG)'!$V$9,Model!AE$1,'Assumptions (NG)'!$V$12,'Assumptions (NG)'!$V$7*(Model!$J$438*AVERAGE('Assumptions (NG)'!$F$2:$H$2))/10^9),0)+IF(AND($J$439&gt;0,Model!AE$1&lt;='Assumptions (NG)'!$V$12),IPMT('Assumptions (NG)'!$V$9,Model!AE$1,'Assumptions (NG)'!$V$12,'Assumptions (NG)'!$V$7*(Model!$J$439*AVERAGE('Assumptions (NG)'!$F$3:$H$3))/10^9),0)</f>
        <v>-0.004581047944</v>
      </c>
      <c r="S555" s="223">
        <f>IF(AND($J$438&gt;0,Model!AF$1&lt;='Assumptions (NG)'!$V$12),IPMT('Assumptions (NG)'!$V$9,Model!AF$1,'Assumptions (NG)'!$V$12,'Assumptions (NG)'!$V$7*(Model!$J$438*AVERAGE('Assumptions (NG)'!$F$2:$H$2))/10^9),0)+IF(AND($J$439&gt;0,Model!AF$1&lt;='Assumptions (NG)'!$V$12),IPMT('Assumptions (NG)'!$V$9,Model!AF$1,'Assumptions (NG)'!$V$12,'Assumptions (NG)'!$V$7*(Model!$J$439*AVERAGE('Assumptions (NG)'!$F$3:$H$3))/10^9),0)</f>
        <v>-0.002373313995</v>
      </c>
      <c r="T555" s="223"/>
      <c r="U555" s="223"/>
      <c r="V555" s="223"/>
      <c r="W555" s="223"/>
      <c r="X555" s="223"/>
      <c r="Y555" s="160"/>
      <c r="Z555" s="160"/>
      <c r="AA555" s="160"/>
      <c r="AB555" s="160"/>
      <c r="AC555" s="160"/>
      <c r="AD555" s="160"/>
      <c r="AE555" s="160"/>
      <c r="AF555" s="160"/>
      <c r="AG555" s="160"/>
      <c r="AH555" s="160"/>
      <c r="AU555" s="160"/>
      <c r="AV555" s="160"/>
      <c r="AW555" s="160"/>
      <c r="AX555" s="160"/>
      <c r="AY555" s="160"/>
      <c r="AZ555" s="160"/>
      <c r="BA555" s="160"/>
    </row>
    <row r="556" ht="15.75" hidden="1" customHeight="1" outlineLevel="1">
      <c r="A556" s="209"/>
      <c r="B556" s="38"/>
      <c r="C556" s="160"/>
      <c r="D556" s="160"/>
      <c r="E556" s="160"/>
      <c r="F556" s="160"/>
      <c r="G556" s="160"/>
      <c r="H556" s="160"/>
      <c r="I556" s="160"/>
      <c r="J556" s="160"/>
      <c r="K556" s="224">
        <f>IF(and($K$438&gt;0,Model!W$1&lt;='Assumptions (NG)'!$V$12),IPMT('Assumptions (NG)'!$V$9,Model!W$1,'Assumptions (NG)'!$V$12,'Assumptions (NG)'!$V$7*(Model!$K$438*AVERAGE('Assumptions (NG)'!$G$2:$I$2))/10^9),0)+IF(and($K$439&gt;0,Model!W$1&lt;='Assumptions (NG)'!$V$12),IPMT('Assumptions (NG)'!$V$9,Model!W$1,'Assumptions (NG)'!$V$12,'Assumptions (NG)'!$V$7*(Model!$K$439*AVERAGE('Assumptions (NG)'!$G$3:$I$3))/10^9),0)</f>
        <v>-0.02750087609</v>
      </c>
      <c r="L556" s="224">
        <f>IF(and($F$438&gt;0,Model!X$1&lt;='Assumptions (NG)'!$V$12),IPMT('Assumptions (NG)'!$V$9,Model!X$1,'Assumptions (NG)'!$V$12,'Assumptions (NG)'!$V$7*(Model!$F$438*AVERAGE('Assumptions (NG)'!$B$2:$D$2))/10^9),0)+IF(and($F$439&gt;0,Model!X$1&lt;='Assumptions (NG)'!$V$12),IPMT('Assumptions (NG)'!$V$9,Model!X$1,'Assumptions (NG)'!$V$12,'Assumptions (NG)'!$V$7*(Model!$F$439*AVERAGE('Assumptions (NG)'!$B$3:$D$3))/10^9),0)</f>
        <v>-0.3497250582</v>
      </c>
      <c r="M556" s="224">
        <f>IF(and($F$438&gt;0,Model!Y$1&lt;='Assumptions (NG)'!$V$12),IPMT('Assumptions (NG)'!$V$9,Model!Y$1,'Assumptions (NG)'!$V$12,'Assumptions (NG)'!$V$7*(Model!$F$438*AVERAGE('Assumptions (NG)'!$B$2:$D$2))/10^9),0)+IF(and($F$439&gt;0,Model!Y$1&lt;='Assumptions (NG)'!$V$12),IPMT('Assumptions (NG)'!$V$9,Model!Y$1,'Assumptions (NG)'!$V$12,'Assumptions (NG)'!$V$7*(Model!$F$439*AVERAGE('Assumptions (NG)'!$B$3:$D$3))/10^9),0)</f>
        <v>-0.3211290336</v>
      </c>
      <c r="N556" s="224">
        <f>IF(and($F$438&gt;0,Model!Z$1&lt;='Assumptions (NG)'!$V$12),IPMT('Assumptions (NG)'!$V$9,Model!Z$1,'Assumptions (NG)'!$V$12,'Assumptions (NG)'!$V$7*(Model!$F$438*AVERAGE('Assumptions (NG)'!$B$2:$D$2))/10^9),0)+IF(and($F$439&gt;0,Model!Z$1&lt;='Assumptions (NG)'!$V$12),IPMT('Assumptions (NG)'!$V$9,Model!Z$1,'Assumptions (NG)'!$V$12,'Assumptions (NG)'!$V$7*(Model!$F$439*AVERAGE('Assumptions (NG)'!$B$3:$D$3))/10^9),0)</f>
        <v>-0.2903883071</v>
      </c>
      <c r="O556" s="224">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-0.2573420262</v>
      </c>
      <c r="P556" s="224">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-0.2218172742</v>
      </c>
      <c r="Q556" s="224">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-0.1836281658</v>
      </c>
      <c r="R556" s="224">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-0.1425748742</v>
      </c>
      <c r="S556" s="224">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-0.09844258583</v>
      </c>
      <c r="T556" s="224">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-0.05100037579</v>
      </c>
      <c r="U556" s="224"/>
      <c r="V556" s="224"/>
      <c r="W556" s="224"/>
      <c r="X556" s="224"/>
      <c r="Y556" s="224"/>
      <c r="Z556" s="177"/>
      <c r="AA556" s="177"/>
      <c r="AB556" s="177"/>
      <c r="AC556" s="177"/>
      <c r="AD556" s="177"/>
      <c r="AE556" s="177"/>
      <c r="AF556" s="177"/>
      <c r="AG556" s="177"/>
      <c r="AH556" s="177"/>
      <c r="AI556" s="177"/>
      <c r="AJ556" s="224"/>
      <c r="AK556" s="224"/>
      <c r="AL556" s="224"/>
      <c r="AM556" s="224"/>
      <c r="AN556" s="224"/>
      <c r="AO556" s="224"/>
      <c r="AP556" s="224"/>
      <c r="AQ556" s="224"/>
      <c r="AR556" s="224"/>
      <c r="AS556" s="224"/>
      <c r="AT556" s="224"/>
      <c r="AU556" s="177"/>
      <c r="AV556" s="177"/>
      <c r="AW556" s="177"/>
      <c r="AX556" s="177"/>
      <c r="AY556" s="177"/>
      <c r="AZ556" s="177"/>
      <c r="BA556" s="177"/>
      <c r="BB556" s="224"/>
      <c r="BC556" s="224"/>
      <c r="BD556" s="224"/>
      <c r="BE556" s="224"/>
      <c r="BF556" s="224"/>
      <c r="BG556" s="224"/>
      <c r="BH556" s="224"/>
      <c r="BI556" s="224"/>
      <c r="BJ556" s="224"/>
      <c r="BK556" s="224"/>
      <c r="BL556" s="224"/>
      <c r="BM556" s="224"/>
      <c r="BN556" s="224"/>
      <c r="BO556" s="224"/>
    </row>
    <row r="557" ht="15.75" hidden="1" customHeight="1" outlineLevel="1">
      <c r="A557" s="209"/>
      <c r="B557" s="38"/>
      <c r="C557" s="160"/>
      <c r="D557" s="160"/>
      <c r="E557" s="160"/>
      <c r="F557" s="160"/>
      <c r="G557" s="160"/>
      <c r="H557" s="160"/>
      <c r="I557" s="160"/>
      <c r="J557" s="160"/>
      <c r="L557" s="224">
        <f>IF(and($L$438&gt;0,Model!W$1&lt;='Assumptions (NG)'!$V$12),IPMT('Assumptions (NG)'!$V$9,Model!W$1,'Assumptions (NG)'!$V$12,'Assumptions (NG)'!$V$7*(Model!$L$438*AVERAGE('Assumptions (NG)'!$H$2:$J$2))/10^9),0)+IF(and($L$439&gt;0,Model!W$1&lt;='Assumptions (NG)'!$V$12),IPMT('Assumptions (NG)'!$V$9,Model!W$1,'Assumptions (NG)'!$V$12,'Assumptions (NG)'!$V$7*(Model!$L$439*AVERAGE('Assumptions (NG)'!$H$3:$J$3))/10^9),0)</f>
        <v>-0.005752604411</v>
      </c>
      <c r="M557" s="224">
        <f>IF(and($L$438&gt;0,Model!X$1&lt;='Assumptions (NG)'!$V$12),IPMT('Assumptions (NG)'!$V$9,Model!X$1,'Assumptions (NG)'!$V$12,'Assumptions (NG)'!$V$7*(Model!$L$438*AVERAGE('Assumptions (NG)'!$H$2:$J$2))/10^9),0)+IF(and($L$439&gt;0,Model!X$1&lt;='Assumptions (NG)'!$V$12),IPMT('Assumptions (NG)'!$V$9,Model!X$1,'Assumptions (NG)'!$V$12,'Assumptions (NG)'!$V$7*(Model!$L$439*AVERAGE('Assumptions (NG)'!$H$3:$J$3))/10^9),0)</f>
        <v>-0.005345976233</v>
      </c>
      <c r="N557" s="224">
        <f>IF(and($L$438&gt;0,Model!Y$1&lt;='Assumptions (NG)'!$V$12),IPMT('Assumptions (NG)'!$V$9,Model!Y$1,'Assumptions (NG)'!$V$12,'Assumptions (NG)'!$V$7*(Model!$L$438*AVERAGE('Assumptions (NG)'!$H$2:$J$2))/10^9),0)+IF(and($L$439&gt;0,Model!Y$1&lt;='Assumptions (NG)'!$V$12),IPMT('Assumptions (NG)'!$V$9,Model!Y$1,'Assumptions (NG)'!$V$12,'Assumptions (NG)'!$V$7*(Model!$L$439*AVERAGE('Assumptions (NG)'!$H$3:$J$3))/10^9),0)</f>
        <v>-0.004908850942</v>
      </c>
      <c r="O557" s="224">
        <f>IF(and($L$438&gt;0,Model!Z$1&lt;='Assumptions (NG)'!$V$12),IPMT('Assumptions (NG)'!$V$9,Model!Z$1,'Assumptions (NG)'!$V$12,'Assumptions (NG)'!$V$7*(Model!$L$438*AVERAGE('Assumptions (NG)'!$H$2:$J$2))/10^9),0)+IF(and($L$439&gt;0,Model!Z$1&lt;='Assumptions (NG)'!$V$12),IPMT('Assumptions (NG)'!$V$9,Model!Z$1,'Assumptions (NG)'!$V$12,'Assumptions (NG)'!$V$7*(Model!$L$439*AVERAGE('Assumptions (NG)'!$H$3:$J$3))/10^9),0)</f>
        <v>-0.004438941254</v>
      </c>
      <c r="P557" s="224">
        <f>IF(and($L$438&gt;0,Model!AA$1&lt;='Assumptions (NG)'!$V$12),IPMT('Assumptions (NG)'!$V$9,Model!AA$1,'Assumptions (NG)'!$V$12,'Assumptions (NG)'!$V$7*(Model!$L$438*AVERAGE('Assumptions (NG)'!$H$2:$J$2))/10^9),0)+IF(and($L$439&gt;0,Model!AA$1&lt;='Assumptions (NG)'!$V$12),IPMT('Assumptions (NG)'!$V$9,Model!AA$1,'Assumptions (NG)'!$V$12,'Assumptions (NG)'!$V$7*(Model!$L$439*AVERAGE('Assumptions (NG)'!$H$3:$J$3))/10^9),0)</f>
        <v>-0.003933788339</v>
      </c>
      <c r="Q557" s="224">
        <f>IF(and($L$438&gt;0,Model!AB$1&lt;='Assumptions (NG)'!$V$12),IPMT('Assumptions (NG)'!$V$9,Model!AB$1,'Assumptions (NG)'!$V$12,'Assumptions (NG)'!$V$7*(Model!$L$438*AVERAGE('Assumptions (NG)'!$H$2:$J$2))/10^9),0)+IF(and($L$439&gt;0,Model!AB$1&lt;='Assumptions (NG)'!$V$12),IPMT('Assumptions (NG)'!$V$9,Model!AB$1,'Assumptions (NG)'!$V$12,'Assumptions (NG)'!$V$7*(Model!$L$439*AVERAGE('Assumptions (NG)'!$H$3:$J$3))/10^9),0)</f>
        <v>-0.003390748956</v>
      </c>
      <c r="R557" s="224">
        <f>IF(and($L$438&gt;0,Model!AC$1&lt;='Assumptions (NG)'!$V$12),IPMT('Assumptions (NG)'!$V$9,Model!AC$1,'Assumptions (NG)'!$V$12,'Assumptions (NG)'!$V$7*(Model!$L$438*AVERAGE('Assumptions (NG)'!$H$2:$J$2))/10^9),0)+IF(and($L$439&gt;0,Model!AC$1&lt;='Assumptions (NG)'!$V$12),IPMT('Assumptions (NG)'!$V$9,Model!AC$1,'Assumptions (NG)'!$V$12,'Assumptions (NG)'!$V$7*(Model!$L$439*AVERAGE('Assumptions (NG)'!$H$3:$J$3))/10^9),0)</f>
        <v>-0.002806981619</v>
      </c>
      <c r="S557" s="224">
        <f>IF(and($L$438&gt;0,Model!AD$1&lt;='Assumptions (NG)'!$V$12),IPMT('Assumptions (NG)'!$V$9,Model!AD$1,'Assumptions (NG)'!$V$12,'Assumptions (NG)'!$V$7*(Model!$L$438*AVERAGE('Assumptions (NG)'!$H$2:$J$2))/10^9),0)+IF(and($L$439&gt;0,Model!AD$1&lt;='Assumptions (NG)'!$V$12),IPMT('Assumptions (NG)'!$V$9,Model!AD$1,'Assumptions (NG)'!$V$12,'Assumptions (NG)'!$V$7*(Model!$L$439*AVERAGE('Assumptions (NG)'!$H$3:$J$3))/10^9),0)</f>
        <v>-0.002179431731</v>
      </c>
      <c r="T557" s="224">
        <f>IF(and($L$438&gt;0,Model!AE$1&lt;='Assumptions (NG)'!$V$12),IPMT('Assumptions (NG)'!$V$9,Model!AE$1,'Assumptions (NG)'!$V$12,'Assumptions (NG)'!$V$7*(Model!$L$438*AVERAGE('Assumptions (NG)'!$H$2:$J$2))/10^9),0)+IF(and($L$439&gt;0,Model!AE$1&lt;='Assumptions (NG)'!$V$12),IPMT('Assumptions (NG)'!$V$9,Model!AE$1,'Assumptions (NG)'!$V$12,'Assumptions (NG)'!$V$7*(Model!$L$439*AVERAGE('Assumptions (NG)'!$H$3:$J$3))/10^9),0)</f>
        <v>-0.001504815602</v>
      </c>
      <c r="U557" s="224">
        <f>IF(and($L$438&gt;0,Model!AF$1&lt;='Assumptions (NG)'!$V$12),IPMT('Assumptions (NG)'!$V$9,Model!AF$1,'Assumptions (NG)'!$V$12,'Assumptions (NG)'!$V$7*(Model!$L$438*AVERAGE('Assumptions (NG)'!$H$2:$J$2))/10^9),0)+IF(and($L$439&gt;0,Model!AF$1&lt;='Assumptions (NG)'!$V$12),IPMT('Assumptions (NG)'!$V$9,Model!AF$1,'Assumptions (NG)'!$V$12,'Assumptions (NG)'!$V$7*(Model!$L$439*AVERAGE('Assumptions (NG)'!$H$3:$J$3))/10^9),0)</f>
        <v>-0.0007796032639</v>
      </c>
      <c r="V557" s="224"/>
      <c r="W557" s="224"/>
      <c r="X557" s="224"/>
      <c r="Y557" s="224"/>
      <c r="Z557" s="224"/>
      <c r="AA557" s="177"/>
      <c r="AB557" s="177"/>
      <c r="AC557" s="177"/>
      <c r="AD557" s="177"/>
      <c r="AE557" s="177"/>
      <c r="AF557" s="177"/>
      <c r="AG557" s="177"/>
      <c r="AH557" s="177"/>
      <c r="AI557" s="177"/>
      <c r="AJ557" s="177"/>
      <c r="AK557" s="224"/>
      <c r="AL557" s="224"/>
      <c r="AM557" s="224"/>
      <c r="AN557" s="224"/>
      <c r="AO557" s="224"/>
      <c r="AP557" s="224"/>
      <c r="AQ557" s="224"/>
      <c r="AR557" s="224"/>
      <c r="AS557" s="224"/>
      <c r="AT557" s="224"/>
      <c r="AU557" s="177"/>
      <c r="AV557" s="177"/>
      <c r="AW557" s="177"/>
      <c r="AX557" s="177"/>
      <c r="AY557" s="177"/>
      <c r="AZ557" s="177"/>
      <c r="BA557" s="177"/>
      <c r="BB557" s="224"/>
      <c r="BC557" s="224"/>
      <c r="BD557" s="224"/>
      <c r="BE557" s="224"/>
      <c r="BF557" s="224"/>
      <c r="BG557" s="224"/>
      <c r="BH557" s="224"/>
      <c r="BI557" s="224"/>
      <c r="BJ557" s="224"/>
      <c r="BK557" s="224"/>
      <c r="BL557" s="224"/>
      <c r="BM557" s="224"/>
      <c r="BN557" s="224"/>
      <c r="BO557" s="224"/>
    </row>
    <row r="558" ht="15.75" hidden="1" customHeight="1" outlineLevel="1">
      <c r="A558" s="209"/>
      <c r="B558" s="38"/>
      <c r="C558" s="160"/>
      <c r="D558" s="160"/>
      <c r="E558" s="160"/>
      <c r="F558" s="160"/>
      <c r="G558" s="160"/>
      <c r="H558" s="160"/>
      <c r="I558" s="160"/>
      <c r="J558" s="160"/>
      <c r="L558" s="177"/>
      <c r="M558" s="224">
        <f>IF(and($M$438&gt;0,Model!W$1&lt;='Assumptions (NG)'!$V$12),IPMT('Assumptions (NG)'!$V$9,Model!W$1,'Assumptions (NG)'!$V$12,'Assumptions (NG)'!$V$7*(Model!$M$438*AVERAGE('Assumptions (NG)'!$I$2:$K$2))/10^9),0)+IF(and($M$439&gt;0,Model!W$1&lt;='Assumptions (NG)'!$V$12),IPMT('Assumptions (NG)'!$V$9,Model!W$1,'Assumptions (NG)'!$V$12,'Assumptions (NG)'!$V$7*(Model!$M$439*AVERAGE('Assumptions (NG)'!$I$3:$K$3))/10^9),0)</f>
        <v>-0.07195625781</v>
      </c>
      <c r="N558" s="224">
        <f>IF(and($M$438&gt;0,Model!X$1&lt;='Assumptions (NG)'!$V$12),IPMT('Assumptions (NG)'!$V$9,Model!X$1,'Assumptions (NG)'!$V$12,'Assumptions (NG)'!$V$7*(Model!$M$438*AVERAGE('Assumptions (NG)'!$I$2:$K$2))/10^9),0)+IF(and($M$439&gt;0,Model!X$1&lt;='Assumptions (NG)'!$V$12),IPMT('Assumptions (NG)'!$V$9,Model!X$1,'Assumptions (NG)'!$V$12,'Assumptions (NG)'!$V$7*(Model!$M$439*AVERAGE('Assumptions (NG)'!$I$3:$K$3))/10^9),0)</f>
        <v>-0.06686996299</v>
      </c>
      <c r="O558" s="224">
        <f>IF(and($M$438&gt;0,Model!Y$1&lt;='Assumptions (NG)'!$V$12),IPMT('Assumptions (NG)'!$V$9,Model!Y$1,'Assumptions (NG)'!$V$12,'Assumptions (NG)'!$V$7*(Model!$M$438*AVERAGE('Assumptions (NG)'!$I$2:$K$2))/10^9),0)+IF(and($M$439&gt;0,Model!Y$1&lt;='Assumptions (NG)'!$V$12),IPMT('Assumptions (NG)'!$V$9,Model!Y$1,'Assumptions (NG)'!$V$12,'Assumptions (NG)'!$V$7*(Model!$M$439*AVERAGE('Assumptions (NG)'!$I$3:$K$3))/10^9),0)</f>
        <v>-0.06140219607</v>
      </c>
      <c r="P558" s="224">
        <f>IF(and($M$438&gt;0,Model!Z$1&lt;='Assumptions (NG)'!$V$12),IPMT('Assumptions (NG)'!$V$9,Model!Z$1,'Assumptions (NG)'!$V$12,'Assumptions (NG)'!$V$7*(Model!$M$438*AVERAGE('Assumptions (NG)'!$I$2:$K$2))/10^9),0)+IF(and($M$439&gt;0,Model!Z$1&lt;='Assumptions (NG)'!$V$12),IPMT('Assumptions (NG)'!$V$9,Model!Z$1,'Assumptions (NG)'!$V$12,'Assumptions (NG)'!$V$7*(Model!$M$439*AVERAGE('Assumptions (NG)'!$I$3:$K$3))/10^9),0)</f>
        <v>-0.05552434662</v>
      </c>
      <c r="Q558" s="224">
        <f>IF(and($M$438&gt;0,Model!AA$1&lt;='Assumptions (NG)'!$V$12),IPMT('Assumptions (NG)'!$V$9,Model!AA$1,'Assumptions (NG)'!$V$12,'Assumptions (NG)'!$V$7*(Model!$M$438*AVERAGE('Assumptions (NG)'!$I$2:$K$2))/10^9),0)+IF(and($M$439&gt;0,Model!AA$1&lt;='Assumptions (NG)'!$V$12),IPMT('Assumptions (NG)'!$V$9,Model!AA$1,'Assumptions (NG)'!$V$12,'Assumptions (NG)'!$V$7*(Model!$M$439*AVERAGE('Assumptions (NG)'!$I$3:$K$3))/10^9),0)</f>
        <v>-0.04920565846</v>
      </c>
      <c r="R558" s="224">
        <f>IF(and($M$438&gt;0,Model!AB$1&lt;='Assumptions (NG)'!$V$12),IPMT('Assumptions (NG)'!$V$9,Model!AB$1,'Assumptions (NG)'!$V$12,'Assumptions (NG)'!$V$7*(Model!$M$438*AVERAGE('Assumptions (NG)'!$I$2:$K$2))/10^9),0)+IF(and($M$439&gt;0,Model!AB$1&lt;='Assumptions (NG)'!$V$12),IPMT('Assumptions (NG)'!$V$9,Model!AB$1,'Assumptions (NG)'!$V$12,'Assumptions (NG)'!$V$7*(Model!$M$439*AVERAGE('Assumptions (NG)'!$I$3:$K$3))/10^9),0)</f>
        <v>-0.04241306869</v>
      </c>
      <c r="S558" s="224">
        <f>IF(and($M$438&gt;0,Model!AC$1&lt;='Assumptions (NG)'!$V$12),IPMT('Assumptions (NG)'!$V$9,Model!AC$1,'Assumptions (NG)'!$V$12,'Assumptions (NG)'!$V$7*(Model!$M$438*AVERAGE('Assumptions (NG)'!$I$2:$K$2))/10^9),0)+IF(and($M$439&gt;0,Model!AC$1&lt;='Assumptions (NG)'!$V$12),IPMT('Assumptions (NG)'!$V$9,Model!AC$1,'Assumptions (NG)'!$V$12,'Assumptions (NG)'!$V$7*(Model!$M$439*AVERAGE('Assumptions (NG)'!$I$3:$K$3))/10^9),0)</f>
        <v>-0.03511103469</v>
      </c>
      <c r="T558" s="224">
        <f>IF(and($M$438&gt;0,Model!AD$1&lt;='Assumptions (NG)'!$V$12),IPMT('Assumptions (NG)'!$V$9,Model!AD$1,'Assumptions (NG)'!$V$12,'Assumptions (NG)'!$V$7*(Model!$M$438*AVERAGE('Assumptions (NG)'!$I$2:$K$2))/10^9),0)+IF(and($M$439&gt;0,Model!AD$1&lt;='Assumptions (NG)'!$V$12),IPMT('Assumptions (NG)'!$V$9,Model!AD$1,'Assumptions (NG)'!$V$12,'Assumptions (NG)'!$V$7*(Model!$M$439*AVERAGE('Assumptions (NG)'!$I$3:$K$3))/10^9),0)</f>
        <v>-0.02726134814</v>
      </c>
      <c r="U558" s="224">
        <f>IF(and($M$438&gt;0,Model!AE$1&lt;='Assumptions (NG)'!$V$12),IPMT('Assumptions (NG)'!$V$9,Model!AE$1,'Assumptions (NG)'!$V$12,'Assumptions (NG)'!$V$7*(Model!$M$438*AVERAGE('Assumptions (NG)'!$I$2:$K$2))/10^9),0)+IF(and($M$439&gt;0,Model!AE$1&lt;='Assumptions (NG)'!$V$12),IPMT('Assumptions (NG)'!$V$9,Model!AE$1,'Assumptions (NG)'!$V$12,'Assumptions (NG)'!$V$7*(Model!$M$439*AVERAGE('Assumptions (NG)'!$I$3:$K$3))/10^9),0)</f>
        <v>-0.01882293509</v>
      </c>
      <c r="V558" s="224">
        <f>IF(and($M$438&gt;0,Model!AF$1&lt;='Assumptions (NG)'!$V$12),IPMT('Assumptions (NG)'!$V$9,Model!AF$1,'Assumptions (NG)'!$V$12,'Assumptions (NG)'!$V$7*(Model!$M$438*AVERAGE('Assumptions (NG)'!$I$2:$K$2))/10^9),0)+IF(and($M$439&gt;0,Model!AF$1&lt;='Assumptions (NG)'!$V$12),IPMT('Assumptions (NG)'!$V$9,Model!AF$1,'Assumptions (NG)'!$V$12,'Assumptions (NG)'!$V$7*(Model!$M$439*AVERAGE('Assumptions (NG)'!$I$3:$K$3))/10^9),0)</f>
        <v>-0.009751641073</v>
      </c>
      <c r="W558" s="224"/>
      <c r="X558" s="224"/>
      <c r="Y558" s="224"/>
      <c r="Z558" s="224"/>
      <c r="AA558" s="224"/>
      <c r="AB558" s="177"/>
      <c r="AC558" s="177"/>
      <c r="AD558" s="177"/>
      <c r="AE558" s="177"/>
      <c r="AF558" s="177"/>
      <c r="AG558" s="177"/>
      <c r="AH558" s="177"/>
      <c r="AI558" s="177"/>
      <c r="AJ558" s="177"/>
      <c r="AK558" s="177"/>
      <c r="AL558" s="224"/>
      <c r="AM558" s="224"/>
      <c r="AN558" s="224"/>
      <c r="AO558" s="224"/>
      <c r="AP558" s="224"/>
      <c r="AQ558" s="224"/>
      <c r="AR558" s="224"/>
      <c r="AS558" s="224"/>
      <c r="AT558" s="224"/>
      <c r="AU558" s="177"/>
      <c r="AV558" s="177"/>
      <c r="AW558" s="177"/>
      <c r="AX558" s="177"/>
      <c r="AY558" s="177"/>
      <c r="AZ558" s="177"/>
      <c r="BA558" s="177"/>
      <c r="BB558" s="224"/>
      <c r="BC558" s="224"/>
      <c r="BD558" s="224"/>
      <c r="BE558" s="224"/>
      <c r="BF558" s="224"/>
      <c r="BG558" s="224"/>
      <c r="BH558" s="224"/>
      <c r="BI558" s="224"/>
      <c r="BJ558" s="224"/>
      <c r="BK558" s="224"/>
      <c r="BL558" s="224"/>
      <c r="BM558" s="224"/>
      <c r="BN558" s="224"/>
      <c r="BO558" s="224"/>
    </row>
    <row r="559" ht="15.75" hidden="1" customHeight="1" outlineLevel="1">
      <c r="A559" s="209"/>
      <c r="B559" s="38"/>
      <c r="C559" s="160"/>
      <c r="D559" s="160"/>
      <c r="E559" s="160"/>
      <c r="F559" s="160"/>
      <c r="G559" s="160"/>
      <c r="H559" s="160"/>
      <c r="I559" s="160"/>
      <c r="J559" s="160"/>
      <c r="L559" s="177"/>
      <c r="M559" s="177"/>
      <c r="N559" s="224">
        <f>IF(and($N$438&gt;0,Model!W$1&lt;='Assumptions (NG)'!$V$12),IPMT('Assumptions (NG)'!$V$9,Model!W$1,'Assumptions (NG)'!$V$12,'Assumptions (NG)'!$V$7*(Model!$N$438*AVERAGE('Assumptions (NG)'!$J$2:$L$2))/10^9),0)+IF(and($N$439&gt;0,Model!W$1&lt;='Assumptions (NG)'!$V$12),IPMT('Assumptions (NG)'!$V$9,Model!W$1,'Assumptions (NG)'!$V$12,'Assumptions (NG)'!$V$7*(Model!$N$439*AVERAGE('Assumptions (NG)'!$J$3:$L$3))/10^9),0)</f>
        <v>-0.09699372195</v>
      </c>
      <c r="O559" s="224">
        <f>IF(and($N$438&gt;0,Model!X$1&lt;='Assumptions (NG)'!$V$12),IPMT('Assumptions (NG)'!$V$9,Model!X$1,'Assumptions (NG)'!$V$12,'Assumptions (NG)'!$V$7*(Model!$N$438*AVERAGE('Assumptions (NG)'!$J$2:$L$2))/10^9),0)+IF(and($N$439&gt;0,Model!X$1&lt;='Assumptions (NG)'!$V$12),IPMT('Assumptions (NG)'!$V$9,Model!X$1,'Assumptions (NG)'!$V$12,'Assumptions (NG)'!$V$7*(Model!$N$439*AVERAGE('Assumptions (NG)'!$J$3:$L$3))/10^9),0)</f>
        <v>-0.09013763076</v>
      </c>
      <c r="P559" s="224">
        <f>IF(and($N$438&gt;0,Model!Y$1&lt;='Assumptions (NG)'!$V$12),IPMT('Assumptions (NG)'!$V$9,Model!Y$1,'Assumptions (NG)'!$V$12,'Assumptions (NG)'!$V$7*(Model!$N$438*AVERAGE('Assumptions (NG)'!$J$2:$L$2))/10^9),0)+IF(and($N$439&gt;0,Model!Y$1&lt;='Assumptions (NG)'!$V$12),IPMT('Assumptions (NG)'!$V$9,Model!Y$1,'Assumptions (NG)'!$V$12,'Assumptions (NG)'!$V$7*(Model!$N$439*AVERAGE('Assumptions (NG)'!$J$3:$L$3))/10^9),0)</f>
        <v>-0.08276733273</v>
      </c>
      <c r="Q559" s="224">
        <f>IF(and($N$438&gt;0,Model!Z$1&lt;='Assumptions (NG)'!$V$12),IPMT('Assumptions (NG)'!$V$9,Model!Z$1,'Assumptions (NG)'!$V$12,'Assumptions (NG)'!$V$7*(Model!$N$438*AVERAGE('Assumptions (NG)'!$J$2:$L$2))/10^9),0)+IF(and($N$439&gt;0,Model!Z$1&lt;='Assumptions (NG)'!$V$12),IPMT('Assumptions (NG)'!$V$9,Model!Z$1,'Assumptions (NG)'!$V$12,'Assumptions (NG)'!$V$7*(Model!$N$439*AVERAGE('Assumptions (NG)'!$J$3:$L$3))/10^9),0)</f>
        <v>-0.07484426234</v>
      </c>
      <c r="R559" s="224">
        <f>IF(and($N$438&gt;0,Model!AA$1&lt;='Assumptions (NG)'!$V$12),IPMT('Assumptions (NG)'!$V$9,Model!AA$1,'Assumptions (NG)'!$V$12,'Assumptions (NG)'!$V$7*(Model!$N$438*AVERAGE('Assumptions (NG)'!$J$2:$L$2))/10^9),0)+IF(and($N$439&gt;0,Model!AA$1&lt;='Assumptions (NG)'!$V$12),IPMT('Assumptions (NG)'!$V$9,Model!AA$1,'Assumptions (NG)'!$V$12,'Assumptions (NG)'!$V$7*(Model!$N$439*AVERAGE('Assumptions (NG)'!$J$3:$L$3))/10^9),0)</f>
        <v>-0.06632696168</v>
      </c>
      <c r="S559" s="224">
        <f>IF(and($N$438&gt;0,Model!AB$1&lt;='Assumptions (NG)'!$V$12),IPMT('Assumptions (NG)'!$V$9,Model!AB$1,'Assumptions (NG)'!$V$12,'Assumptions (NG)'!$V$7*(Model!$N$438*AVERAGE('Assumptions (NG)'!$J$2:$L$2))/10^9),0)+IF(and($N$439&gt;0,Model!AB$1&lt;='Assumptions (NG)'!$V$12),IPMT('Assumptions (NG)'!$V$9,Model!AB$1,'Assumptions (NG)'!$V$12,'Assumptions (NG)'!$V$7*(Model!$N$439*AVERAGE('Assumptions (NG)'!$J$3:$L$3))/10^9),0)</f>
        <v>-0.05717086347</v>
      </c>
      <c r="T559" s="224">
        <f>IF(and($N$438&gt;0,Model!AC$1&lt;='Assumptions (NG)'!$V$12),IPMT('Assumptions (NG)'!$V$9,Model!AC$1,'Assumptions (NG)'!$V$12,'Assumptions (NG)'!$V$7*(Model!$N$438*AVERAGE('Assumptions (NG)'!$J$2:$L$2))/10^9),0)+IF(and($N$439&gt;0,Model!AC$1&lt;='Assumptions (NG)'!$V$12),IPMT('Assumptions (NG)'!$V$9,Model!AC$1,'Assumptions (NG)'!$V$12,'Assumptions (NG)'!$V$7*(Model!$N$439*AVERAGE('Assumptions (NG)'!$J$3:$L$3))/10^9),0)</f>
        <v>-0.0473280579</v>
      </c>
      <c r="U559" s="224">
        <f>IF(and($N$438&gt;0,Model!AD$1&lt;='Assumptions (NG)'!$V$12),IPMT('Assumptions (NG)'!$V$9,Model!AD$1,'Assumptions (NG)'!$V$12,'Assumptions (NG)'!$V$7*(Model!$N$438*AVERAGE('Assumptions (NG)'!$J$2:$L$2))/10^9),0)+IF(and($N$439&gt;0,Model!AD$1&lt;='Assumptions (NG)'!$V$12),IPMT('Assumptions (NG)'!$V$9,Model!AD$1,'Assumptions (NG)'!$V$12,'Assumptions (NG)'!$V$7*(Model!$N$439*AVERAGE('Assumptions (NG)'!$J$3:$L$3))/10^9),0)</f>
        <v>-0.0367470419</v>
      </c>
      <c r="V559" s="224">
        <f>IF(and($N$438&gt;0,Model!AE$1&lt;='Assumptions (NG)'!$V$12),IPMT('Assumptions (NG)'!$V$9,Model!AE$1,'Assumptions (NG)'!$V$12,'Assumptions (NG)'!$V$7*(Model!$N$438*AVERAGE('Assumptions (NG)'!$J$2:$L$2))/10^9),0)+IF(and($N$439&gt;0,Model!AE$1&lt;='Assumptions (NG)'!$V$12),IPMT('Assumptions (NG)'!$V$9,Model!AE$1,'Assumptions (NG)'!$V$12,'Assumptions (NG)'!$V$7*(Model!$N$439*AVERAGE('Assumptions (NG)'!$J$3:$L$3))/10^9),0)</f>
        <v>-0.02537244971</v>
      </c>
      <c r="W559" s="224">
        <f>IF(and($N$438&gt;0,Model!AF$1&lt;='Assumptions (NG)'!$V$12),IPMT('Assumptions (NG)'!$V$9,Model!AF$1,'Assumptions (NG)'!$V$12,'Assumptions (NG)'!$V$7*(Model!$N$438*AVERAGE('Assumptions (NG)'!$J$2:$L$2))/10^9),0)+IF(and($N$439&gt;0,Model!AF$1&lt;='Assumptions (NG)'!$V$12),IPMT('Assumptions (NG)'!$V$9,Model!AF$1,'Assumptions (NG)'!$V$12,'Assumptions (NG)'!$V$7*(Model!$N$439*AVERAGE('Assumptions (NG)'!$J$3:$L$3))/10^9),0)</f>
        <v>-0.0131447631</v>
      </c>
      <c r="X559" s="224"/>
      <c r="Y559" s="224"/>
      <c r="Z559" s="224"/>
      <c r="AA559" s="224"/>
      <c r="AB559" s="224"/>
      <c r="AC559" s="177"/>
      <c r="AD559" s="177"/>
      <c r="AE559" s="177"/>
      <c r="AF559" s="177"/>
      <c r="AG559" s="177"/>
      <c r="AH559" s="177"/>
      <c r="AI559" s="177"/>
      <c r="AJ559" s="177"/>
      <c r="AK559" s="177"/>
      <c r="AL559" s="177"/>
      <c r="AM559" s="224"/>
      <c r="AN559" s="224"/>
      <c r="AO559" s="224"/>
      <c r="AP559" s="224"/>
      <c r="AQ559" s="224"/>
      <c r="AR559" s="224"/>
      <c r="AS559" s="224"/>
      <c r="AT559" s="224"/>
      <c r="AU559" s="177"/>
      <c r="AV559" s="177"/>
      <c r="AW559" s="177"/>
      <c r="AX559" s="177"/>
      <c r="AY559" s="177"/>
      <c r="AZ559" s="177"/>
      <c r="BA559" s="177"/>
      <c r="BB559" s="224"/>
      <c r="BC559" s="224"/>
      <c r="BD559" s="224"/>
      <c r="BE559" s="224"/>
      <c r="BF559" s="224"/>
      <c r="BG559" s="224"/>
      <c r="BH559" s="224"/>
      <c r="BI559" s="224"/>
      <c r="BJ559" s="224"/>
      <c r="BK559" s="224"/>
      <c r="BL559" s="224"/>
      <c r="BM559" s="224"/>
      <c r="BN559" s="224"/>
      <c r="BO559" s="224"/>
    </row>
    <row r="560" ht="15.75" hidden="1" customHeight="1" outlineLevel="1">
      <c r="A560" s="209"/>
      <c r="B560" s="38"/>
      <c r="C560" s="160"/>
      <c r="D560" s="160"/>
      <c r="E560" s="160"/>
      <c r="F560" s="160"/>
      <c r="G560" s="160"/>
      <c r="H560" s="160"/>
      <c r="I560" s="160"/>
      <c r="J560" s="160"/>
      <c r="L560" s="177"/>
      <c r="M560" s="177"/>
      <c r="N560" s="177"/>
      <c r="O560" s="224">
        <f>IF(and($O$438&gt;0,Model!W$1&lt;='Assumptions (NG)'!$V$12),IPMT('Assumptions (NG)'!$V$9,Model!W$1,'Assumptions (NG)'!$V$12,'Assumptions (NG)'!$V$7*(Model!$O$438*AVERAGE('Assumptions (NG)'!$K$2:$M$2))/10^9),0)+IF(and($O$439&gt;0,Model!W$1&lt;='Assumptions (NG)'!$V$12),IPMT('Assumptions (NG)'!$V$9,Model!W$1,'Assumptions (NG)'!$V$12,'Assumptions (NG)'!$V$7*(Model!$O$439*AVERAGE('Assumptions (NG)'!$K$3:$M$3))/10^9),0)</f>
        <v>-0.2234411241</v>
      </c>
      <c r="P560" s="224">
        <f>IF(and($O$438&gt;0,Model!X$1&lt;='Assumptions (NG)'!$V$12),IPMT('Assumptions (NG)'!$V$9,Model!X$1,'Assumptions (NG)'!$V$12,'Assumptions (NG)'!$V$7*(Model!$O$438*AVERAGE('Assumptions (NG)'!$K$2:$M$2))/10^9),0)+IF(and($O$439&gt;0,Model!X$1&lt;='Assumptions (NG)'!$V$12),IPMT('Assumptions (NG)'!$V$9,Model!X$1,'Assumptions (NG)'!$V$12,'Assumptions (NG)'!$V$7*(Model!$O$439*AVERAGE('Assumptions (NG)'!$K$3:$M$3))/10^9),0)</f>
        <v>-0.207646981</v>
      </c>
      <c r="Q560" s="224">
        <f>IF(and($O$438&gt;0,Model!Y$1&lt;='Assumptions (NG)'!$V$12),IPMT('Assumptions (NG)'!$V$9,Model!Y$1,'Assumptions (NG)'!$V$12,'Assumptions (NG)'!$V$7*(Model!$O$438*AVERAGE('Assumptions (NG)'!$K$2:$M$2))/10^9),0)+IF(and($O$439&gt;0,Model!Y$1&lt;='Assumptions (NG)'!$V$12),IPMT('Assumptions (NG)'!$V$9,Model!Y$1,'Assumptions (NG)'!$V$12,'Assumptions (NG)'!$V$7*(Model!$O$439*AVERAGE('Assumptions (NG)'!$K$3:$M$3))/10^9),0)</f>
        <v>-0.1906682772</v>
      </c>
      <c r="R560" s="224">
        <f>IF(and($O$438&gt;0,Model!Z$1&lt;='Assumptions (NG)'!$V$12),IPMT('Assumptions (NG)'!$V$9,Model!Z$1,'Assumptions (NG)'!$V$12,'Assumptions (NG)'!$V$7*(Model!$O$438*AVERAGE('Assumptions (NG)'!$K$2:$M$2))/10^9),0)+IF(and($O$439&gt;0,Model!Z$1&lt;='Assumptions (NG)'!$V$12),IPMT('Assumptions (NG)'!$V$9,Model!Z$1,'Assumptions (NG)'!$V$12,'Assumptions (NG)'!$V$7*(Model!$O$439*AVERAGE('Assumptions (NG)'!$K$3:$M$3))/10^9),0)</f>
        <v>-0.1724161706</v>
      </c>
      <c r="S560" s="224">
        <f>IF(and($O$438&gt;0,Model!AA$1&lt;='Assumptions (NG)'!$V$12),IPMT('Assumptions (NG)'!$V$9,Model!AA$1,'Assumptions (NG)'!$V$12,'Assumptions (NG)'!$V$7*(Model!$O$438*AVERAGE('Assumptions (NG)'!$K$2:$M$2))/10^9),0)+IF(and($O$439&gt;0,Model!AA$1&lt;='Assumptions (NG)'!$V$12),IPMT('Assumptions (NG)'!$V$9,Model!AA$1,'Assumptions (NG)'!$V$12,'Assumptions (NG)'!$V$7*(Model!$O$439*AVERAGE('Assumptions (NG)'!$K$3:$M$3))/10^9),0)</f>
        <v>-0.152795156</v>
      </c>
      <c r="T560" s="224">
        <f>IF(and($O$438&gt;0,Model!AB$1&lt;='Assumptions (NG)'!$V$12),IPMT('Assumptions (NG)'!$V$9,Model!AB$1,'Assumptions (NG)'!$V$12,'Assumptions (NG)'!$V$7*(Model!$O$438*AVERAGE('Assumptions (NG)'!$K$2:$M$2))/10^9),0)+IF(and($O$439&gt;0,Model!AB$1&lt;='Assumptions (NG)'!$V$12),IPMT('Assumptions (NG)'!$V$9,Model!AB$1,'Assumptions (NG)'!$V$12,'Assumptions (NG)'!$V$7*(Model!$O$439*AVERAGE('Assumptions (NG)'!$K$3:$M$3))/10^9),0)</f>
        <v>-0.1317025653</v>
      </c>
      <c r="U560" s="224">
        <f>IF(and($O$438&gt;0,Model!AC$1&lt;='Assumptions (NG)'!$V$12),IPMT('Assumptions (NG)'!$V$9,Model!AC$1,'Assumptions (NG)'!$V$12,'Assumptions (NG)'!$V$7*(Model!$O$438*AVERAGE('Assumptions (NG)'!$K$2:$M$2))/10^9),0)+IF(and($O$439&gt;0,Model!AC$1&lt;='Assumptions (NG)'!$V$12),IPMT('Assumptions (NG)'!$V$9,Model!AC$1,'Assumptions (NG)'!$V$12,'Assumptions (NG)'!$V$7*(Model!$O$439*AVERAGE('Assumptions (NG)'!$K$3:$M$3))/10^9),0)</f>
        <v>-0.1090280303</v>
      </c>
      <c r="V560" s="224">
        <f>IF(and($O$438&gt;0,Model!AD$1&lt;='Assumptions (NG)'!$V$12),IPMT('Assumptions (NG)'!$V$9,Model!AD$1,'Assumptions (NG)'!$V$12,'Assumptions (NG)'!$V$7*(Model!$O$438*AVERAGE('Assumptions (NG)'!$K$2:$M$2))/10^9),0)+IF(and($O$439&gt;0,Model!AD$1&lt;='Assumptions (NG)'!$V$12),IPMT('Assumptions (NG)'!$V$9,Model!AD$1,'Assumptions (NG)'!$V$12,'Assumptions (NG)'!$V$7*(Model!$O$439*AVERAGE('Assumptions (NG)'!$K$3:$M$3))/10^9),0)</f>
        <v>-0.08465290521</v>
      </c>
      <c r="W560" s="224">
        <f>IF(and($O$438&gt;0,Model!AE$1&lt;='Assumptions (NG)'!$V$12),IPMT('Assumptions (NG)'!$V$9,Model!AE$1,'Assumptions (NG)'!$V$12,'Assumptions (NG)'!$V$7*(Model!$O$438*AVERAGE('Assumptions (NG)'!$K$2:$M$2))/10^9),0)+IF(and($O$439&gt;0,Model!AE$1&lt;='Assumptions (NG)'!$V$12),IPMT('Assumptions (NG)'!$V$9,Model!AE$1,'Assumptions (NG)'!$V$12,'Assumptions (NG)'!$V$7*(Model!$O$439*AVERAGE('Assumptions (NG)'!$K$3:$M$3))/10^9),0)</f>
        <v>-0.05844964571</v>
      </c>
      <c r="X560" s="224">
        <f>IF(and($O$438&gt;0,Model!AF$1&lt;='Assumptions (NG)'!$V$12),IPMT('Assumptions (NG)'!$V$9,Model!AF$1,'Assumptions (NG)'!$V$12,'Assumptions (NG)'!$V$7*(Model!$O$438*AVERAGE('Assumptions (NG)'!$K$2:$M$2))/10^9),0)+IF(and($O$439&gt;0,Model!AF$1&lt;='Assumptions (NG)'!$V$12),IPMT('Assumptions (NG)'!$V$9,Model!AF$1,'Assumptions (NG)'!$V$12,'Assumptions (NG)'!$V$7*(Model!$O$439*AVERAGE('Assumptions (NG)'!$K$3:$M$3))/10^9),0)</f>
        <v>-0.03028114176</v>
      </c>
      <c r="Y560" s="224"/>
      <c r="Z560" s="224"/>
      <c r="AA560" s="224"/>
      <c r="AB560" s="224"/>
      <c r="AC560" s="224"/>
      <c r="AD560" s="177"/>
      <c r="AE560" s="177"/>
      <c r="AF560" s="177"/>
      <c r="AG560" s="177"/>
      <c r="AH560" s="177"/>
      <c r="AI560" s="177"/>
      <c r="AJ560" s="177"/>
      <c r="AK560" s="177"/>
      <c r="AL560" s="177"/>
      <c r="AM560" s="177"/>
      <c r="AN560" s="224"/>
      <c r="AO560" s="224"/>
      <c r="AP560" s="224"/>
      <c r="AQ560" s="224"/>
      <c r="AR560" s="224"/>
      <c r="AS560" s="224"/>
      <c r="AT560" s="224"/>
      <c r="AU560" s="177"/>
      <c r="AV560" s="177"/>
      <c r="AW560" s="177"/>
      <c r="AX560" s="177"/>
      <c r="AY560" s="177"/>
      <c r="AZ560" s="177"/>
      <c r="BA560" s="177"/>
      <c r="BB560" s="224"/>
      <c r="BC560" s="224"/>
      <c r="BD560" s="224"/>
      <c r="BE560" s="224"/>
      <c r="BF560" s="224"/>
      <c r="BG560" s="224"/>
      <c r="BH560" s="224"/>
      <c r="BI560" s="224"/>
      <c r="BJ560" s="224"/>
      <c r="BK560" s="224"/>
      <c r="BL560" s="224"/>
      <c r="BM560" s="224"/>
      <c r="BN560" s="224"/>
      <c r="BO560" s="224"/>
    </row>
    <row r="561" ht="15.75" hidden="1" customHeight="1" outlineLevel="1">
      <c r="A561" s="209"/>
      <c r="B561" s="38"/>
      <c r="C561" s="160"/>
      <c r="D561" s="160"/>
      <c r="E561" s="160"/>
      <c r="F561" s="160"/>
      <c r="G561" s="160"/>
      <c r="H561" s="160"/>
      <c r="I561" s="160"/>
      <c r="J561" s="160"/>
      <c r="L561" s="177"/>
      <c r="M561" s="177"/>
      <c r="N561" s="177"/>
      <c r="O561" s="177"/>
      <c r="P561" s="224">
        <f>IF(and($P$438&gt;0,Model!W$1&lt;='Assumptions (NG)'!$V$12),IPMT('Assumptions (NG)'!$V$9,Model!W$1,'Assumptions (NG)'!$V$12,'Assumptions (NG)'!$V$7*(Model!$P$438*AVERAGE('Assumptions (NG)'!$L$2:$N$2))/10^9),0)+IF(and($P$439&gt;0,Model!W$1&lt;='Assumptions (NG)'!$V$12),IPMT('Assumptions (NG)'!$V$9,Model!W$1,'Assumptions (NG)'!$V$12,'Assumptions (NG)'!$V$7*(Model!$P$439*AVERAGE('Assumptions (NG)'!$L$3:$N$3))/10^9),0)</f>
        <v>-0.03545552326</v>
      </c>
      <c r="Q561" s="224">
        <f>IF(and($P$438&gt;0,Model!X$1&lt;='Assumptions (NG)'!$V$12),IPMT('Assumptions (NG)'!$V$9,Model!X$1,'Assumptions (NG)'!$V$12,'Assumptions (NG)'!$V$7*(Model!$P$438*AVERAGE('Assumptions (NG)'!$L$2:$N$2))/10^9),0)+IF(and($P$439&gt;0,Model!X$1&lt;='Assumptions (NG)'!$V$12),IPMT('Assumptions (NG)'!$V$9,Model!X$1,'Assumptions (NG)'!$V$12,'Assumptions (NG)'!$V$7*(Model!$P$439*AVERAGE('Assumptions (NG)'!$L$3:$N$3))/10^9),0)</f>
        <v>-0.03294931672</v>
      </c>
      <c r="R561" s="224">
        <f>IF(and($P$438&gt;0,Model!Y$1&lt;='Assumptions (NG)'!$V$12),IPMT('Assumptions (NG)'!$V$9,Model!Y$1,'Assumptions (NG)'!$V$12,'Assumptions (NG)'!$V$7*(Model!$P$438*AVERAGE('Assumptions (NG)'!$L$2:$N$2))/10^9),0)+IF(and($P$439&gt;0,Model!Y$1&lt;='Assumptions (NG)'!$V$12),IPMT('Assumptions (NG)'!$V$9,Model!Y$1,'Assumptions (NG)'!$V$12,'Assumptions (NG)'!$V$7*(Model!$P$439*AVERAGE('Assumptions (NG)'!$L$3:$N$3))/10^9),0)</f>
        <v>-0.03025514468</v>
      </c>
      <c r="S561" s="224">
        <f>IF(and($P$438&gt;0,Model!Z$1&lt;='Assumptions (NG)'!$V$12),IPMT('Assumptions (NG)'!$V$9,Model!Z$1,'Assumptions (NG)'!$V$12,'Assumptions (NG)'!$V$7*(Model!$P$438*AVERAGE('Assumptions (NG)'!$L$2:$N$2))/10^9),0)+IF(and($P$439&gt;0,Model!Z$1&lt;='Assumptions (NG)'!$V$12),IPMT('Assumptions (NG)'!$V$9,Model!Z$1,'Assumptions (NG)'!$V$12,'Assumptions (NG)'!$V$7*(Model!$P$439*AVERAGE('Assumptions (NG)'!$L$3:$N$3))/10^9),0)</f>
        <v>-0.02735890975</v>
      </c>
      <c r="T561" s="224">
        <f>IF(and($P$438&gt;0,Model!AA$1&lt;='Assumptions (NG)'!$V$12),IPMT('Assumptions (NG)'!$V$9,Model!AA$1,'Assumptions (NG)'!$V$12,'Assumptions (NG)'!$V$7*(Model!$P$438*AVERAGE('Assumptions (NG)'!$L$2:$N$2))/10^9),0)+IF(and($P$439&gt;0,Model!AA$1&lt;='Assumptions (NG)'!$V$12),IPMT('Assumptions (NG)'!$V$9,Model!AA$1,'Assumptions (NG)'!$V$12,'Assumptions (NG)'!$V$7*(Model!$P$439*AVERAGE('Assumptions (NG)'!$L$3:$N$3))/10^9),0)</f>
        <v>-0.02424545719</v>
      </c>
      <c r="U561" s="224">
        <f>IF(and($P$438&gt;0,Model!AB$1&lt;='Assumptions (NG)'!$V$12),IPMT('Assumptions (NG)'!$V$9,Model!AB$1,'Assumptions (NG)'!$V$12,'Assumptions (NG)'!$V$7*(Model!$P$438*AVERAGE('Assumptions (NG)'!$L$2:$N$2))/10^9),0)+IF(and($P$439&gt;0,Model!AB$1&lt;='Assumptions (NG)'!$V$12),IPMT('Assumptions (NG)'!$V$9,Model!AB$1,'Assumptions (NG)'!$V$12,'Assumptions (NG)'!$V$7*(Model!$P$439*AVERAGE('Assumptions (NG)'!$L$3:$N$3))/10^9),0)</f>
        <v>-0.02089849569</v>
      </c>
      <c r="V561" s="224">
        <f>IF(and($P$438&gt;0,Model!AC$1&lt;='Assumptions (NG)'!$V$12),IPMT('Assumptions (NG)'!$V$9,Model!AC$1,'Assumptions (NG)'!$V$12,'Assumptions (NG)'!$V$7*(Model!$P$438*AVERAGE('Assumptions (NG)'!$L$2:$N$2))/10^9),0)+IF(and($P$439&gt;0,Model!AC$1&lt;='Assumptions (NG)'!$V$12),IPMT('Assumptions (NG)'!$V$9,Model!AC$1,'Assumptions (NG)'!$V$12,'Assumptions (NG)'!$V$7*(Model!$P$439*AVERAGE('Assumptions (NG)'!$L$3:$N$3))/10^9),0)</f>
        <v>-0.01730051208</v>
      </c>
      <c r="W561" s="224">
        <f>IF(and($P$438&gt;0,Model!AD$1&lt;='Assumptions (NG)'!$V$12),IPMT('Assumptions (NG)'!$V$9,Model!AD$1,'Assumptions (NG)'!$V$12,'Assumptions (NG)'!$V$7*(Model!$P$438*AVERAGE('Assumptions (NG)'!$L$2:$N$2))/10^9),0)+IF(and($P$439&gt;0,Model!AD$1&lt;='Assumptions (NG)'!$V$12),IPMT('Assumptions (NG)'!$V$9,Model!AD$1,'Assumptions (NG)'!$V$12,'Assumptions (NG)'!$V$7*(Model!$P$439*AVERAGE('Assumptions (NG)'!$L$3:$N$3))/10^9),0)</f>
        <v>-0.01343267969</v>
      </c>
      <c r="X561" s="224">
        <f>IF(and($P$438&gt;0,Model!AE$1&lt;='Assumptions (NG)'!$V$12),IPMT('Assumptions (NG)'!$V$9,Model!AE$1,'Assumptions (NG)'!$V$12,'Assumptions (NG)'!$V$7*(Model!$P$438*AVERAGE('Assumptions (NG)'!$L$2:$N$2))/10^9),0)+IF(and($P$439&gt;0,Model!AE$1&lt;='Assumptions (NG)'!$V$12),IPMT('Assumptions (NG)'!$V$9,Model!AE$1,'Assumptions (NG)'!$V$12,'Assumptions (NG)'!$V$7*(Model!$P$439*AVERAGE('Assumptions (NG)'!$L$3:$N$3))/10^9),0)</f>
        <v>-0.00927475988</v>
      </c>
      <c r="Y561" s="224">
        <f>IF(and($P$438&gt;0,Model!AF$1&lt;='Assumptions (NG)'!$V$12),IPMT('Assumptions (NG)'!$V$9,Model!AF$1,'Assumptions (NG)'!$V$12,'Assumptions (NG)'!$V$7*(Model!$P$438*AVERAGE('Assumptions (NG)'!$L$2:$N$2))/10^9),0)+IF(and($P$439&gt;0,Model!AF$1&lt;='Assumptions (NG)'!$V$12),IPMT('Assumptions (NG)'!$V$9,Model!AF$1,'Assumptions (NG)'!$V$12,'Assumptions (NG)'!$V$7*(Model!$P$439*AVERAGE('Assumptions (NG)'!$L$3:$N$3))/10^9),0)</f>
        <v>-0.004804996083</v>
      </c>
      <c r="Z561" s="224"/>
      <c r="AA561" s="224"/>
      <c r="AB561" s="224"/>
      <c r="AC561" s="224"/>
      <c r="AD561" s="224"/>
      <c r="AE561" s="177"/>
      <c r="AF561" s="177"/>
      <c r="AG561" s="177"/>
      <c r="AH561" s="177"/>
      <c r="AI561" s="177"/>
      <c r="AJ561" s="177"/>
      <c r="AK561" s="177"/>
      <c r="AL561" s="177"/>
      <c r="AM561" s="177"/>
      <c r="AN561" s="177"/>
      <c r="AO561" s="224"/>
      <c r="AP561" s="224"/>
      <c r="AQ561" s="224"/>
      <c r="AR561" s="224"/>
      <c r="AS561" s="224"/>
      <c r="AT561" s="224"/>
      <c r="AU561" s="177"/>
      <c r="AV561" s="177"/>
      <c r="AW561" s="177"/>
      <c r="AX561" s="177"/>
      <c r="AY561" s="177"/>
      <c r="AZ561" s="177"/>
      <c r="BA561" s="177"/>
      <c r="BB561" s="224"/>
      <c r="BC561" s="224"/>
      <c r="BD561" s="224"/>
      <c r="BE561" s="224"/>
      <c r="BF561" s="224"/>
      <c r="BG561" s="224"/>
      <c r="BH561" s="224"/>
      <c r="BI561" s="224"/>
      <c r="BJ561" s="224"/>
      <c r="BK561" s="224"/>
      <c r="BL561" s="224"/>
      <c r="BM561" s="224"/>
      <c r="BN561" s="224"/>
      <c r="BO561" s="224"/>
    </row>
    <row r="562" ht="15.75" hidden="1" customHeight="1" outlineLevel="1">
      <c r="A562" s="209"/>
      <c r="B562" s="38"/>
      <c r="C562" s="160"/>
      <c r="D562" s="160"/>
      <c r="E562" s="160"/>
      <c r="F562" s="160"/>
      <c r="G562" s="160"/>
      <c r="H562" s="160"/>
      <c r="I562" s="160"/>
      <c r="J562" s="160"/>
      <c r="L562" s="177"/>
      <c r="M562" s="177"/>
      <c r="N562" s="177"/>
      <c r="O562" s="177"/>
      <c r="P562" s="177"/>
      <c r="Q562" s="224">
        <f>IF(and($Q$438&gt;0,Model!W$1&lt;='Assumptions (NG)'!$V$12),IPMT('Assumptions (NG)'!$V$9,Model!W$1,'Assumptions (NG)'!$V$12,'Assumptions (NG)'!$V$7*(Model!$Q$438*AVERAGE('Assumptions (NG)'!$M$2:$O$2))/10^9),0)+IF(and($Q$439&gt;0,Model!W$1&lt;='Assumptions (NG)'!$V$12),IPMT('Assumptions (NG)'!$V$9,Model!W$1,'Assumptions (NG)'!$V$12,'Assumptions (NG)'!$V$7*(Model!$Q$439*AVERAGE('Assumptions (NG)'!$M$3:$O$3))/10^9),0)</f>
        <v>-0.03964170254</v>
      </c>
      <c r="R562" s="224">
        <f>IF(and($Q$438&gt;0,Model!X$1&lt;='Assumptions (NG)'!$V$12),IPMT('Assumptions (NG)'!$V$9,Model!X$1,'Assumptions (NG)'!$V$12,'Assumptions (NG)'!$V$7*(Model!$Q$438*AVERAGE('Assumptions (NG)'!$M$2:$O$2))/10^9),0)+IF(and($Q$439&gt;0,Model!X$1&lt;='Assumptions (NG)'!$V$12),IPMT('Assumptions (NG)'!$V$9,Model!X$1,'Assumptions (NG)'!$V$12,'Assumptions (NG)'!$V$7*(Model!$Q$439*AVERAGE('Assumptions (NG)'!$M$3:$O$3))/10^9),0)</f>
        <v>-0.03683959203</v>
      </c>
      <c r="S562" s="224">
        <f>IF(and($Q$438&gt;0,Model!Y$1&lt;='Assumptions (NG)'!$V$12),IPMT('Assumptions (NG)'!$V$9,Model!Y$1,'Assumptions (NG)'!$V$12,'Assumptions (NG)'!$V$7*(Model!$Q$438*AVERAGE('Assumptions (NG)'!$M$2:$O$2))/10^9),0)+IF(and($Q$439&gt;0,Model!Y$1&lt;='Assumptions (NG)'!$V$12),IPMT('Assumptions (NG)'!$V$9,Model!Y$1,'Assumptions (NG)'!$V$12,'Assumptions (NG)'!$V$7*(Model!$Q$439*AVERAGE('Assumptions (NG)'!$M$3:$O$3))/10^9),0)</f>
        <v>-0.03382732323</v>
      </c>
      <c r="T562" s="224">
        <f>IF(and($Q$438&gt;0,Model!Z$1&lt;='Assumptions (NG)'!$V$12),IPMT('Assumptions (NG)'!$V$9,Model!Z$1,'Assumptions (NG)'!$V$12,'Assumptions (NG)'!$V$7*(Model!$Q$438*AVERAGE('Assumptions (NG)'!$M$2:$O$2))/10^9),0)+IF(and($Q$439&gt;0,Model!Z$1&lt;='Assumptions (NG)'!$V$12),IPMT('Assumptions (NG)'!$V$9,Model!Z$1,'Assumptions (NG)'!$V$12,'Assumptions (NG)'!$V$7*(Model!$Q$439*AVERAGE('Assumptions (NG)'!$M$3:$O$3))/10^9),0)</f>
        <v>-0.03058913428</v>
      </c>
      <c r="U562" s="224">
        <f>IF(and($Q$438&gt;0,Model!AA$1&lt;='Assumptions (NG)'!$V$12),IPMT('Assumptions (NG)'!$V$9,Model!AA$1,'Assumptions (NG)'!$V$12,'Assumptions (NG)'!$V$7*(Model!$Q$438*AVERAGE('Assumptions (NG)'!$M$2:$O$2))/10^9),0)+IF(and($Q$439&gt;0,Model!AA$1&lt;='Assumptions (NG)'!$V$12),IPMT('Assumptions (NG)'!$V$9,Model!AA$1,'Assumptions (NG)'!$V$12,'Assumptions (NG)'!$V$7*(Model!$Q$439*AVERAGE('Assumptions (NG)'!$M$3:$O$3))/10^9),0)</f>
        <v>-0.02710808115</v>
      </c>
      <c r="V562" s="224">
        <f>IF(and($Q$438&gt;0,Model!AB$1&lt;='Assumptions (NG)'!$V$12),IPMT('Assumptions (NG)'!$V$9,Model!AB$1,'Assumptions (NG)'!$V$12,'Assumptions (NG)'!$V$7*(Model!$Q$438*AVERAGE('Assumptions (NG)'!$M$2:$O$2))/10^9),0)+IF(and($Q$439&gt;0,Model!AB$1&lt;='Assumptions (NG)'!$V$12),IPMT('Assumptions (NG)'!$V$9,Model!AB$1,'Assumptions (NG)'!$V$12,'Assumptions (NG)'!$V$7*(Model!$Q$439*AVERAGE('Assumptions (NG)'!$M$3:$O$3))/10^9),0)</f>
        <v>-0.02336594904</v>
      </c>
      <c r="W562" s="224">
        <f>IF(and($Q$438&gt;0,Model!AC$1&lt;='Assumptions (NG)'!$V$12),IPMT('Assumptions (NG)'!$V$9,Model!AC$1,'Assumptions (NG)'!$V$12,'Assumptions (NG)'!$V$7*(Model!$Q$438*AVERAGE('Assumptions (NG)'!$M$2:$O$2))/10^9),0)+IF(and($Q$439&gt;0,Model!AC$1&lt;='Assumptions (NG)'!$V$12),IPMT('Assumptions (NG)'!$V$9,Model!AC$1,'Assumptions (NG)'!$V$12,'Assumptions (NG)'!$V$7*(Model!$Q$439*AVERAGE('Assumptions (NG)'!$M$3:$O$3))/10^9),0)</f>
        <v>-0.01934315701</v>
      </c>
      <c r="X562" s="224">
        <f>IF(and($Q$438&gt;0,Model!AD$1&lt;='Assumptions (NG)'!$V$12),IPMT('Assumptions (NG)'!$V$9,Model!AD$1,'Assumptions (NG)'!$V$12,'Assumptions (NG)'!$V$7*(Model!$Q$438*AVERAGE('Assumptions (NG)'!$M$2:$O$2))/10^9),0)+IF(and($Q$439&gt;0,Model!AD$1&lt;='Assumptions (NG)'!$V$12),IPMT('Assumptions (NG)'!$V$9,Model!AD$1,'Assumptions (NG)'!$V$12,'Assumptions (NG)'!$V$7*(Model!$Q$439*AVERAGE('Assumptions (NG)'!$M$3:$O$3))/10^9),0)</f>
        <v>-0.01501865559</v>
      </c>
      <c r="Y562" s="224">
        <f>IF(and($Q$438&gt;0,Model!AE$1&lt;='Assumptions (NG)'!$V$12),IPMT('Assumptions (NG)'!$V$9,Model!AE$1,'Assumptions (NG)'!$V$12,'Assumptions (NG)'!$V$7*(Model!$Q$438*AVERAGE('Assumptions (NG)'!$M$2:$O$2))/10^9),0)+IF(and($Q$439&gt;0,Model!AE$1&lt;='Assumptions (NG)'!$V$12),IPMT('Assumptions (NG)'!$V$9,Model!AE$1,'Assumptions (NG)'!$V$12,'Assumptions (NG)'!$V$7*(Model!$Q$439*AVERAGE('Assumptions (NG)'!$M$3:$O$3))/10^9),0)</f>
        <v>-0.01036981656</v>
      </c>
      <c r="Z562" s="224">
        <f>IF(and($Q$438&gt;0,Model!AF$1&lt;='Assumptions (NG)'!$V$12),IPMT('Assumptions (NG)'!$V$9,Model!AF$1,'Assumptions (NG)'!$V$12,'Assumptions (NG)'!$V$7*(Model!$Q$438*AVERAGE('Assumptions (NG)'!$M$2:$O$2))/10^9),0)+IF(and($Q$439&gt;0,Model!AF$1&lt;='Assumptions (NG)'!$V$12),IPMT('Assumptions (NG)'!$V$9,Model!AF$1,'Assumptions (NG)'!$V$12,'Assumptions (NG)'!$V$7*(Model!$Q$439*AVERAGE('Assumptions (NG)'!$M$3:$O$3))/10^9),0)</f>
        <v>-0.005372314604</v>
      </c>
      <c r="AA562" s="224"/>
      <c r="AB562" s="224"/>
      <c r="AC562" s="224"/>
      <c r="AD562" s="224"/>
      <c r="AE562" s="224"/>
      <c r="AF562" s="177"/>
      <c r="AG562" s="177"/>
      <c r="AH562" s="177"/>
      <c r="AI562" s="177"/>
      <c r="AJ562" s="177"/>
      <c r="AK562" s="177"/>
      <c r="AL562" s="177"/>
      <c r="AM562" s="177"/>
      <c r="AN562" s="177"/>
      <c r="AO562" s="177"/>
      <c r="AP562" s="224"/>
      <c r="AQ562" s="224"/>
      <c r="AR562" s="224"/>
      <c r="AS562" s="224"/>
      <c r="AT562" s="224"/>
      <c r="AU562" s="177"/>
      <c r="AV562" s="177"/>
      <c r="AW562" s="177"/>
      <c r="AX562" s="177"/>
      <c r="AY562" s="177"/>
      <c r="AZ562" s="177"/>
      <c r="BA562" s="177"/>
      <c r="BB562" s="224"/>
      <c r="BC562" s="224"/>
      <c r="BD562" s="224"/>
      <c r="BE562" s="224"/>
      <c r="BF562" s="224"/>
      <c r="BG562" s="224"/>
      <c r="BH562" s="224"/>
      <c r="BI562" s="224"/>
      <c r="BJ562" s="224"/>
      <c r="BK562" s="224"/>
      <c r="BL562" s="224"/>
      <c r="BM562" s="224"/>
      <c r="BN562" s="224"/>
      <c r="BO562" s="224"/>
    </row>
    <row r="563" ht="15.75" hidden="1" customHeight="1" outlineLevel="1">
      <c r="A563" s="209"/>
      <c r="B563" s="38"/>
      <c r="C563" s="160"/>
      <c r="D563" s="160"/>
      <c r="E563" s="160"/>
      <c r="F563" s="160"/>
      <c r="G563" s="160"/>
      <c r="H563" s="160"/>
      <c r="I563" s="160"/>
      <c r="J563" s="160"/>
      <c r="L563" s="177"/>
      <c r="M563" s="177"/>
      <c r="N563" s="177"/>
      <c r="O563" s="177"/>
      <c r="P563" s="177"/>
      <c r="Q563" s="177"/>
      <c r="R563" s="224">
        <f>IF(and($R$438&gt;0,Model!W$1&lt;='Assumptions (NG)'!$V$12),IPMT('Assumptions (NG)'!$V$9,Model!W$1,'Assumptions (NG)'!$V$12,'Assumptions (NG)'!$V$7*(Model!$R$438*AVERAGE('Assumptions (NG)'!$N$2:$P$2))/10^9),0)+IF(and($R$439&gt;0,Model!W$1&lt;='Assumptions (NG)'!$V$12),IPMT('Assumptions (NG)'!$V$9,Model!W$1,'Assumptions (NG)'!$V$12,'Assumptions (NG)'!$V$7*(Model!$R$439*AVERAGE('Assumptions (NG)'!$N$3:$P$3))/10^9),0)</f>
        <v>-0.0002113036068</v>
      </c>
      <c r="S563" s="224">
        <f>IF(and($R$438&gt;0,Model!X$1&lt;='Assumptions (NG)'!$V$12),IPMT('Assumptions (NG)'!$V$9,Model!X$1,'Assumptions (NG)'!$V$12,'Assumptions (NG)'!$V$7*(Model!$R$438*AVERAGE('Assumptions (NG)'!$N$2:$P$2))/10^9),0)+IF(and($R$439&gt;0,Model!X$1&lt;='Assumptions (NG)'!$V$12),IPMT('Assumptions (NG)'!$V$9,Model!X$1,'Assumptions (NG)'!$V$12,'Assumptions (NG)'!$V$7*(Model!$R$439*AVERAGE('Assumptions (NG)'!$N$3:$P$3))/10^9),0)</f>
        <v>-0.0001963674154</v>
      </c>
      <c r="T563" s="224">
        <f>IF(and($R$438&gt;0,Model!Y$1&lt;='Assumptions (NG)'!$V$12),IPMT('Assumptions (NG)'!$V$9,Model!Y$1,'Assumptions (NG)'!$V$12,'Assumptions (NG)'!$V$7*(Model!$R$438*AVERAGE('Assumptions (NG)'!$N$2:$P$2))/10^9),0)+IF(and($R$439&gt;0,Model!Y$1&lt;='Assumptions (NG)'!$V$12),IPMT('Assumptions (NG)'!$V$9,Model!Y$1,'Assumptions (NG)'!$V$12,'Assumptions (NG)'!$V$7*(Model!$R$439*AVERAGE('Assumptions (NG)'!$N$3:$P$3))/10^9),0)</f>
        <v>-0.0001803110096</v>
      </c>
      <c r="U563" s="224">
        <f>IF(and($R$438&gt;0,Model!Z$1&lt;='Assumptions (NG)'!$V$12),IPMT('Assumptions (NG)'!$V$9,Model!Z$1,'Assumptions (NG)'!$V$12,'Assumptions (NG)'!$V$7*(Model!$R$438*AVERAGE('Assumptions (NG)'!$N$2:$P$2))/10^9),0)+IF(and($R$439&gt;0,Model!Z$1&lt;='Assumptions (NG)'!$V$12),IPMT('Assumptions (NG)'!$V$9,Model!Z$1,'Assumptions (NG)'!$V$12,'Assumptions (NG)'!$V$7*(Model!$R$439*AVERAGE('Assumptions (NG)'!$N$3:$P$3))/10^9),0)</f>
        <v>-0.0001630503734</v>
      </c>
      <c r="V563" s="224">
        <f>IF(and($R$438&gt;0,Model!AA$1&lt;='Assumptions (NG)'!$V$12),IPMT('Assumptions (NG)'!$V$9,Model!AA$1,'Assumptions (NG)'!$V$12,'Assumptions (NG)'!$V$7*(Model!$R$438*AVERAGE('Assumptions (NG)'!$N$2:$P$2))/10^9),0)+IF(and($R$439&gt;0,Model!AA$1&lt;='Assumptions (NG)'!$V$12),IPMT('Assumptions (NG)'!$V$9,Model!AA$1,'Assumptions (NG)'!$V$12,'Assumptions (NG)'!$V$7*(Model!$R$439*AVERAGE('Assumptions (NG)'!$N$3:$P$3))/10^9),0)</f>
        <v>-0.0001444951895</v>
      </c>
      <c r="W563" s="224">
        <f>IF(and($R$438&gt;0,Model!AB$1&lt;='Assumptions (NG)'!$V$12),IPMT('Assumptions (NG)'!$V$9,Model!AB$1,'Assumptions (NG)'!$V$12,'Assumptions (NG)'!$V$7*(Model!$R$438*AVERAGE('Assumptions (NG)'!$N$2:$P$2))/10^9),0)+IF(and($R$439&gt;0,Model!AB$1&lt;='Assumptions (NG)'!$V$12),IPMT('Assumptions (NG)'!$V$9,Model!AB$1,'Assumptions (NG)'!$V$12,'Assumptions (NG)'!$V$7*(Model!$R$439*AVERAGE('Assumptions (NG)'!$N$3:$P$3))/10^9),0)</f>
        <v>-0.0001245483668</v>
      </c>
      <c r="X563" s="224">
        <f>IF(and($R$438&gt;0,Model!AC$1&lt;='Assumptions (NG)'!$V$12),IPMT('Assumptions (NG)'!$V$9,Model!AC$1,'Assumptions (NG)'!$V$12,'Assumptions (NG)'!$V$7*(Model!$R$438*AVERAGE('Assumptions (NG)'!$N$2:$P$2))/10^9),0)+IF(and($R$439&gt;0,Model!AC$1&lt;='Assumptions (NG)'!$V$12),IPMT('Assumptions (NG)'!$V$9,Model!AC$1,'Assumptions (NG)'!$V$12,'Assumptions (NG)'!$V$7*(Model!$R$439*AVERAGE('Assumptions (NG)'!$N$3:$P$3))/10^9),0)</f>
        <v>-0.0001031055324</v>
      </c>
      <c r="Y563" s="224">
        <f>IF(and($R$438&gt;0,Model!AD$1&lt;='Assumptions (NG)'!$V$12),IPMT('Assumptions (NG)'!$V$9,Model!AD$1,'Assumptions (NG)'!$V$12,'Assumptions (NG)'!$V$7*(Model!$R$438*AVERAGE('Assumptions (NG)'!$N$2:$P$2))/10^9),0)+IF(and($R$439&gt;0,Model!AD$1&lt;='Assumptions (NG)'!$V$12),IPMT('Assumptions (NG)'!$V$9,Model!AD$1,'Assumptions (NG)'!$V$12,'Assumptions (NG)'!$V$7*(Model!$R$439*AVERAGE('Assumptions (NG)'!$N$3:$P$3))/10^9),0)</f>
        <v>-0.00008005448537</v>
      </c>
      <c r="Z563" s="224">
        <f>IF(and($R$438&gt;0,Model!AE$1&lt;='Assumptions (NG)'!$V$12),IPMT('Assumptions (NG)'!$V$9,Model!AE$1,'Assumptions (NG)'!$V$12,'Assumptions (NG)'!$V$7*(Model!$R$438*AVERAGE('Assumptions (NG)'!$N$2:$P$2))/10^9),0)+IF(and($R$439&gt;0,Model!AE$1&lt;='Assumptions (NG)'!$V$12),IPMT('Assumptions (NG)'!$V$9,Model!AE$1,'Assumptions (NG)'!$V$12,'Assumptions (NG)'!$V$7*(Model!$R$439*AVERAGE('Assumptions (NG)'!$N$3:$P$3))/10^9),0)</f>
        <v>-0.00005527460984</v>
      </c>
      <c r="AA563" s="224">
        <f>IF(and($R$438&gt;0,Model!AF$1&lt;='Assumptions (NG)'!$V$12),IPMT('Assumptions (NG)'!$V$9,Model!AF$1,'Assumptions (NG)'!$V$12,'Assumptions (NG)'!$V$7*(Model!$R$438*AVERAGE('Assumptions (NG)'!$N$2:$P$2))/10^9),0)+IF(and($R$439&gt;0,Model!AF$1&lt;='Assumptions (NG)'!$V$12),IPMT('Assumptions (NG)'!$V$9,Model!AF$1,'Assumptions (NG)'!$V$12,'Assumptions (NG)'!$V$7*(Model!$R$439*AVERAGE('Assumptions (NG)'!$N$3:$P$3))/10^9),0)</f>
        <v>-0.00002863624365</v>
      </c>
      <c r="AB563" s="224"/>
      <c r="AC563" s="224"/>
      <c r="AD563" s="224"/>
      <c r="AE563" s="224"/>
      <c r="AF563" s="224"/>
      <c r="AG563" s="177"/>
      <c r="AH563" s="177"/>
      <c r="AI563" s="177"/>
      <c r="AJ563" s="177"/>
      <c r="AK563" s="177"/>
      <c r="AL563" s="177"/>
      <c r="AM563" s="177"/>
      <c r="AN563" s="177"/>
      <c r="AO563" s="177"/>
      <c r="AP563" s="177"/>
      <c r="AQ563" s="224"/>
      <c r="AR563" s="224"/>
      <c r="AS563" s="224"/>
      <c r="AT563" s="224"/>
      <c r="AU563" s="177"/>
      <c r="AV563" s="177"/>
      <c r="AW563" s="177"/>
      <c r="AX563" s="177"/>
      <c r="AY563" s="177"/>
      <c r="AZ563" s="177"/>
      <c r="BA563" s="177"/>
      <c r="BB563" s="224"/>
      <c r="BC563" s="224"/>
      <c r="BD563" s="224"/>
      <c r="BE563" s="224"/>
      <c r="BF563" s="224"/>
      <c r="BG563" s="224"/>
      <c r="BH563" s="224"/>
      <c r="BI563" s="224"/>
      <c r="BJ563" s="224"/>
      <c r="BK563" s="224"/>
      <c r="BL563" s="224"/>
      <c r="BM563" s="224"/>
      <c r="BN563" s="224"/>
      <c r="BO563" s="224"/>
    </row>
    <row r="564" ht="15.75" hidden="1" customHeight="1" outlineLevel="1">
      <c r="A564" s="209"/>
      <c r="B564" s="38"/>
      <c r="C564" s="160"/>
      <c r="D564" s="160"/>
      <c r="E564" s="160"/>
      <c r="F564" s="160"/>
      <c r="G564" s="160"/>
      <c r="H564" s="160"/>
      <c r="I564" s="160"/>
      <c r="J564" s="160"/>
      <c r="L564" s="177"/>
      <c r="M564" s="177"/>
      <c r="N564" s="177"/>
      <c r="O564" s="177"/>
      <c r="P564" s="177"/>
      <c r="Q564" s="177"/>
      <c r="R564" s="177"/>
      <c r="S564" s="224">
        <f>IF(and($S$438&gt;0,Model!W$1&lt;='Assumptions (NG)'!$V$12),IPMT('Assumptions (NG)'!$V$9,Model!W$1,'Assumptions (NG)'!$V$12,'Assumptions (NG)'!$V$7*(Model!$S$438*AVERAGE('Assumptions (NG)'!$O$2:$Q$2))/10^9),0)+IF(and($S$439&gt;0,Model!W$1&lt;='Assumptions (NG)'!$V$12),IPMT('Assumptions (NG)'!$V$9,Model!W$1,'Assumptions (NG)'!$V$12,'Assumptions (NG)'!$V$7*(Model!$S$439*AVERAGE('Assumptions (NG)'!$O$3:$Q$3))/10^9),0)</f>
        <v>0</v>
      </c>
      <c r="T564" s="224">
        <f>IF(and($S$438&gt;0,Model!X$1&lt;='Assumptions (NG)'!$V$12),IPMT('Assumptions (NG)'!$V$9,Model!X$1,'Assumptions (NG)'!$V$12,'Assumptions (NG)'!$V$7*(Model!$S$438*AVERAGE('Assumptions (NG)'!$O$2:$Q$2))/10^9),0)+IF(and($S$439&gt;0,Model!X$1&lt;='Assumptions (NG)'!$V$12),IPMT('Assumptions (NG)'!$V$9,Model!X$1,'Assumptions (NG)'!$V$12,'Assumptions (NG)'!$V$7*(Model!$S$439*AVERAGE('Assumptions (NG)'!$O$3:$Q$3))/10^9),0)</f>
        <v>0</v>
      </c>
      <c r="U564" s="224">
        <f>IF(and($S$438&gt;0,Model!Y$1&lt;='Assumptions (NG)'!$V$12),IPMT('Assumptions (NG)'!$V$9,Model!Y$1,'Assumptions (NG)'!$V$12,'Assumptions (NG)'!$V$7*(Model!$S$438*AVERAGE('Assumptions (NG)'!$O$2:$Q$2))/10^9),0)+IF(and($S$439&gt;0,Model!Y$1&lt;='Assumptions (NG)'!$V$12),IPMT('Assumptions (NG)'!$V$9,Model!Y$1,'Assumptions (NG)'!$V$12,'Assumptions (NG)'!$V$7*(Model!$S$439*AVERAGE('Assumptions (NG)'!$O$3:$Q$3))/10^9),0)</f>
        <v>0</v>
      </c>
      <c r="V564" s="224">
        <f>IF(and($S$438&gt;0,Model!Z$1&lt;='Assumptions (NG)'!$V$12),IPMT('Assumptions (NG)'!$V$9,Model!Z$1,'Assumptions (NG)'!$V$12,'Assumptions (NG)'!$V$7*(Model!$S$438*AVERAGE('Assumptions (NG)'!$O$2:$Q$2))/10^9),0)+IF(and($S$439&gt;0,Model!Z$1&lt;='Assumptions (NG)'!$V$12),IPMT('Assumptions (NG)'!$V$9,Model!Z$1,'Assumptions (NG)'!$V$12,'Assumptions (NG)'!$V$7*(Model!$S$439*AVERAGE('Assumptions (NG)'!$O$3:$Q$3))/10^9),0)</f>
        <v>0</v>
      </c>
      <c r="W564" s="224">
        <f>IF(and($S$438&gt;0,Model!AA$1&lt;='Assumptions (NG)'!$V$12),IPMT('Assumptions (NG)'!$V$9,Model!AA$1,'Assumptions (NG)'!$V$12,'Assumptions (NG)'!$V$7*(Model!$S$438*AVERAGE('Assumptions (NG)'!$O$2:$Q$2))/10^9),0)+IF(and($S$439&gt;0,Model!AA$1&lt;='Assumptions (NG)'!$V$12),IPMT('Assumptions (NG)'!$V$9,Model!AA$1,'Assumptions (NG)'!$V$12,'Assumptions (NG)'!$V$7*(Model!$S$439*AVERAGE('Assumptions (NG)'!$O$3:$Q$3))/10^9),0)</f>
        <v>0</v>
      </c>
      <c r="X564" s="224">
        <f>IF(and($S$438&gt;0,Model!AB$1&lt;='Assumptions (NG)'!$V$12),IPMT('Assumptions (NG)'!$V$9,Model!AB$1,'Assumptions (NG)'!$V$12,'Assumptions (NG)'!$V$7*(Model!$S$438*AVERAGE('Assumptions (NG)'!$O$2:$Q$2))/10^9),0)+IF(and($S$439&gt;0,Model!AB$1&lt;='Assumptions (NG)'!$V$12),IPMT('Assumptions (NG)'!$V$9,Model!AB$1,'Assumptions (NG)'!$V$12,'Assumptions (NG)'!$V$7*(Model!$S$439*AVERAGE('Assumptions (NG)'!$O$3:$Q$3))/10^9),0)</f>
        <v>0</v>
      </c>
      <c r="Y564" s="224">
        <f>IF(and($S$438&gt;0,Model!AC$1&lt;='Assumptions (NG)'!$V$12),IPMT('Assumptions (NG)'!$V$9,Model!AC$1,'Assumptions (NG)'!$V$12,'Assumptions (NG)'!$V$7*(Model!$S$438*AVERAGE('Assumptions (NG)'!$O$2:$Q$2))/10^9),0)+IF(and($S$439&gt;0,Model!AC$1&lt;='Assumptions (NG)'!$V$12),IPMT('Assumptions (NG)'!$V$9,Model!AC$1,'Assumptions (NG)'!$V$12,'Assumptions (NG)'!$V$7*(Model!$S$439*AVERAGE('Assumptions (NG)'!$O$3:$Q$3))/10^9),0)</f>
        <v>0</v>
      </c>
      <c r="Z564" s="224">
        <f>IF(and($S$438&gt;0,Model!AD$1&lt;='Assumptions (NG)'!$V$12),IPMT('Assumptions (NG)'!$V$9,Model!AD$1,'Assumptions (NG)'!$V$12,'Assumptions (NG)'!$V$7*(Model!$S$438*AVERAGE('Assumptions (NG)'!$O$2:$Q$2))/10^9),0)+IF(and($S$439&gt;0,Model!AD$1&lt;='Assumptions (NG)'!$V$12),IPMT('Assumptions (NG)'!$V$9,Model!AD$1,'Assumptions (NG)'!$V$12,'Assumptions (NG)'!$V$7*(Model!$S$439*AVERAGE('Assumptions (NG)'!$O$3:$Q$3))/10^9),0)</f>
        <v>0</v>
      </c>
      <c r="AA564" s="224">
        <f>IF(and($S$438&gt;0,Model!AE$1&lt;='Assumptions (NG)'!$V$12),IPMT('Assumptions (NG)'!$V$9,Model!AE$1,'Assumptions (NG)'!$V$12,'Assumptions (NG)'!$V$7*(Model!$S$438*AVERAGE('Assumptions (NG)'!$O$2:$Q$2))/10^9),0)+IF(and($S$439&gt;0,Model!AE$1&lt;='Assumptions (NG)'!$V$12),IPMT('Assumptions (NG)'!$V$9,Model!AE$1,'Assumptions (NG)'!$V$12,'Assumptions (NG)'!$V$7*(Model!$S$439*AVERAGE('Assumptions (NG)'!$O$3:$Q$3))/10^9),0)</f>
        <v>0</v>
      </c>
      <c r="AB564" s="224">
        <f>IF(and($S$438&gt;0,Model!AF$1&lt;='Assumptions (NG)'!$V$12),IPMT('Assumptions (NG)'!$V$9,Model!AF$1,'Assumptions (NG)'!$V$12,'Assumptions (NG)'!$V$7*(Model!$S$438*AVERAGE('Assumptions (NG)'!$O$2:$Q$2))/10^9),0)+IF(and($S$439&gt;0,Model!AF$1&lt;='Assumptions (NG)'!$V$12),IPMT('Assumptions (NG)'!$V$9,Model!AF$1,'Assumptions (NG)'!$V$12,'Assumptions (NG)'!$V$7*(Model!$S$439*AVERAGE('Assumptions (NG)'!$O$3:$Q$3))/10^9),0)</f>
        <v>0</v>
      </c>
      <c r="AC564" s="224"/>
      <c r="AD564" s="224"/>
      <c r="AE564" s="224"/>
      <c r="AF564" s="224"/>
      <c r="AG564" s="224"/>
      <c r="AH564" s="177"/>
      <c r="AI564" s="177"/>
      <c r="AJ564" s="177"/>
      <c r="AK564" s="177"/>
      <c r="AL564" s="177"/>
      <c r="AM564" s="177"/>
      <c r="AN564" s="177"/>
      <c r="AO564" s="177"/>
      <c r="AP564" s="177"/>
      <c r="AQ564" s="177"/>
      <c r="AR564" s="224"/>
      <c r="AS564" s="224"/>
      <c r="AT564" s="224"/>
      <c r="AU564" s="177"/>
      <c r="AV564" s="177"/>
      <c r="AW564" s="177"/>
      <c r="AX564" s="177"/>
      <c r="AY564" s="177"/>
      <c r="AZ564" s="177"/>
      <c r="BA564" s="177"/>
      <c r="BB564" s="224"/>
      <c r="BC564" s="224"/>
      <c r="BD564" s="224"/>
      <c r="BE564" s="224"/>
      <c r="BF564" s="224"/>
      <c r="BG564" s="224"/>
      <c r="BH564" s="224"/>
      <c r="BI564" s="224"/>
      <c r="BJ564" s="224"/>
      <c r="BK564" s="224"/>
      <c r="BL564" s="224"/>
      <c r="BM564" s="224"/>
      <c r="BN564" s="224"/>
      <c r="BO564" s="224"/>
    </row>
    <row r="565" ht="15.75" hidden="1" customHeight="1" outlineLevel="1">
      <c r="A565" s="209"/>
      <c r="B565" s="38"/>
      <c r="C565" s="160"/>
      <c r="D565" s="160"/>
      <c r="E565" s="160"/>
      <c r="F565" s="160"/>
      <c r="G565" s="160"/>
      <c r="H565" s="160"/>
      <c r="I565" s="160"/>
      <c r="J565" s="160"/>
      <c r="L565" s="177"/>
      <c r="M565" s="177"/>
      <c r="N565" s="177"/>
      <c r="O565" s="177"/>
      <c r="P565" s="177"/>
      <c r="Q565" s="177"/>
      <c r="R565" s="177"/>
      <c r="S565" s="177"/>
      <c r="T565" s="224">
        <f>IF(and($T$438&gt;0,Model!W$1&lt;='Assumptions (NG)'!$V$12),IPMT('Assumptions (NG)'!$V$9,Model!W$1,'Assumptions (NG)'!$V$12,'Assumptions (NG)'!$V$7*(Model!$T$438*AVERAGE('Assumptions (NG)'!$P$2:$R$2))/10^9),0)+IF(and($T$439&gt;0,Model!W$1&lt;='Assumptions (NG)'!$V$12),IPMT('Assumptions (NG)'!$V$9,Model!W$1,'Assumptions (NG)'!$V$12,'Assumptions (NG)'!$V$7*(Model!$T$439*AVERAGE('Assumptions (NG)'!$P$3:$R$3))/10^9),0)</f>
        <v>-0.003887883245</v>
      </c>
      <c r="U565" s="224">
        <f>IF(and($T$438&gt;0,Model!X$1&lt;='Assumptions (NG)'!$V$12),IPMT('Assumptions (NG)'!$V$9,Model!X$1,'Assumptions (NG)'!$V$12,'Assumptions (NG)'!$V$7*(Model!$T$438*AVERAGE('Assumptions (NG)'!$P$2:$R$2))/10^9),0)+IF(and($T$439&gt;0,Model!X$1&lt;='Assumptions (NG)'!$V$12),IPMT('Assumptions (NG)'!$V$9,Model!X$1,'Assumptions (NG)'!$V$12,'Assumptions (NG)'!$V$7*(Model!$T$439*AVERAGE('Assumptions (NG)'!$P$3:$R$3))/10^9),0)</f>
        <v>-0.003613064612</v>
      </c>
      <c r="V565" s="224">
        <f>IF(and($T$438&gt;0,Model!Y$1&lt;='Assumptions (NG)'!$V$12),IPMT('Assumptions (NG)'!$V$9,Model!Y$1,'Assumptions (NG)'!$V$12,'Assumptions (NG)'!$V$7*(Model!$T$438*AVERAGE('Assumptions (NG)'!$P$2:$R$2))/10^9),0)+IF(and($T$439&gt;0,Model!Y$1&lt;='Assumptions (NG)'!$V$12),IPMT('Assumptions (NG)'!$V$9,Model!Y$1,'Assumptions (NG)'!$V$12,'Assumptions (NG)'!$V$7*(Model!$T$439*AVERAGE('Assumptions (NG)'!$P$3:$R$3))/10^9),0)</f>
        <v>-0.003317634582</v>
      </c>
      <c r="W565" s="224">
        <f>IF(and($T$438&gt;0,Model!Z$1&lt;='Assumptions (NG)'!$V$12),IPMT('Assumptions (NG)'!$V$9,Model!Z$1,'Assumptions (NG)'!$V$12,'Assumptions (NG)'!$V$7*(Model!$T$438*AVERAGE('Assumptions (NG)'!$P$2:$R$2))/10^9),0)+IF(and($T$439&gt;0,Model!Z$1&lt;='Assumptions (NG)'!$V$12),IPMT('Assumptions (NG)'!$V$9,Model!Z$1,'Assumptions (NG)'!$V$12,'Assumptions (NG)'!$V$7*(Model!$T$439*AVERAGE('Assumptions (NG)'!$P$3:$R$3))/10^9),0)</f>
        <v>-0.003000047299</v>
      </c>
      <c r="X565" s="224">
        <f>IF(and($T$438&gt;0,Model!AA$1&lt;='Assumptions (NG)'!$V$12),IPMT('Assumptions (NG)'!$V$9,Model!AA$1,'Assumptions (NG)'!$V$12,'Assumptions (NG)'!$V$7*(Model!$T$438*AVERAGE('Assumptions (NG)'!$P$2:$R$2))/10^9),0)+IF(and($T$439&gt;0,Model!AA$1&lt;='Assumptions (NG)'!$V$12),IPMT('Assumptions (NG)'!$V$9,Model!AA$1,'Assumptions (NG)'!$V$12,'Assumptions (NG)'!$V$7*(Model!$T$439*AVERAGE('Assumptions (NG)'!$P$3:$R$3))/10^9),0)</f>
        <v>-0.00265864097</v>
      </c>
      <c r="Y565" s="224">
        <f>IF(and($T$438&gt;0,Model!AB$1&lt;='Assumptions (NG)'!$V$12),IPMT('Assumptions (NG)'!$V$9,Model!AB$1,'Assumptions (NG)'!$V$12,'Assumptions (NG)'!$V$7*(Model!$T$438*AVERAGE('Assumptions (NG)'!$P$2:$R$2))/10^9),0)+IF(and($T$439&gt;0,Model!AB$1&lt;='Assumptions (NG)'!$V$12),IPMT('Assumptions (NG)'!$V$9,Model!AB$1,'Assumptions (NG)'!$V$12,'Assumptions (NG)'!$V$7*(Model!$T$439*AVERAGE('Assumptions (NG)'!$P$3:$R$3))/10^9),0)</f>
        <v>-0.002291629167</v>
      </c>
      <c r="Z565" s="224">
        <f>IF(and($T$438&gt;0,Model!AC$1&lt;='Assumptions (NG)'!$V$12),IPMT('Assumptions (NG)'!$V$9,Model!AC$1,'Assumptions (NG)'!$V$12,'Assumptions (NG)'!$V$7*(Model!$T$438*AVERAGE('Assumptions (NG)'!$P$2:$R$2))/10^9),0)+IF(and($T$439&gt;0,Model!AC$1&lt;='Assumptions (NG)'!$V$12),IPMT('Assumptions (NG)'!$V$9,Model!AC$1,'Assumptions (NG)'!$V$12,'Assumptions (NG)'!$V$7*(Model!$T$439*AVERAGE('Assumptions (NG)'!$P$3:$R$3))/10^9),0)</f>
        <v>-0.001897091478</v>
      </c>
      <c r="AA565" s="224">
        <f>IF(and($T$438&gt;0,Model!AD$1&lt;='Assumptions (NG)'!$V$12),IPMT('Assumptions (NG)'!$V$9,Model!AD$1,'Assumptions (NG)'!$V$12,'Assumptions (NG)'!$V$7*(Model!$T$438*AVERAGE('Assumptions (NG)'!$P$2:$R$2))/10^9),0)+IF(and($T$439&gt;0,Model!AD$1&lt;='Assumptions (NG)'!$V$12),IPMT('Assumptions (NG)'!$V$9,Model!AD$1,'Assumptions (NG)'!$V$12,'Assumptions (NG)'!$V$7*(Model!$T$439*AVERAGE('Assumptions (NG)'!$P$3:$R$3))/10^9),0)</f>
        <v>-0.001472963463</v>
      </c>
      <c r="AB565" s="224">
        <f>IF(and($T$438&gt;0,Model!AE$1&lt;='Assumptions (NG)'!$V$12),IPMT('Assumptions (NG)'!$V$9,Model!AE$1,'Assumptions (NG)'!$V$12,'Assumptions (NG)'!$V$7*(Model!$T$438*AVERAGE('Assumptions (NG)'!$P$2:$R$2))/10^9),0)+IF(and($T$439&gt;0,Model!AE$1&lt;='Assumptions (NG)'!$V$12),IPMT('Assumptions (NG)'!$V$9,Model!AE$1,'Assumptions (NG)'!$V$12,'Assumptions (NG)'!$V$7*(Model!$T$439*AVERAGE('Assumptions (NG)'!$P$3:$R$3))/10^9),0)</f>
        <v>-0.001017025846</v>
      </c>
      <c r="AC565" s="224">
        <f>IF(and($T$438&gt;0,Model!AF$1&lt;='Assumptions (NG)'!$V$12),IPMT('Assumptions (NG)'!$V$9,Model!AF$1,'Assumptions (NG)'!$V$12,'Assumptions (NG)'!$V$7*(Model!$T$438*AVERAGE('Assumptions (NG)'!$P$2:$R$2))/10^9),0)+IF(and($T$439&gt;0,Model!AF$1&lt;='Assumptions (NG)'!$V$12),IPMT('Assumptions (NG)'!$V$9,Model!AF$1,'Assumptions (NG)'!$V$12,'Assumptions (NG)'!$V$7*(Model!$T$439*AVERAGE('Assumptions (NG)'!$P$3:$R$3))/10^9),0)</f>
        <v>-0.0005268929082</v>
      </c>
      <c r="AD565" s="224"/>
      <c r="AE565" s="224"/>
      <c r="AF565" s="224"/>
      <c r="AG565" s="224"/>
      <c r="AH565" s="224"/>
      <c r="AI565" s="177"/>
      <c r="AJ565" s="177"/>
      <c r="AK565" s="177"/>
      <c r="AL565" s="177"/>
      <c r="AM565" s="177"/>
      <c r="AN565" s="177"/>
      <c r="AO565" s="177"/>
      <c r="AP565" s="177"/>
      <c r="AQ565" s="177"/>
      <c r="AR565" s="177"/>
      <c r="AS565" s="224"/>
      <c r="AT565" s="224"/>
      <c r="AU565" s="177"/>
      <c r="AV565" s="177"/>
      <c r="AW565" s="177"/>
      <c r="AX565" s="177"/>
      <c r="AY565" s="177"/>
      <c r="AZ565" s="177"/>
      <c r="BA565" s="177"/>
      <c r="BB565" s="224"/>
      <c r="BC565" s="224"/>
      <c r="BD565" s="224"/>
      <c r="BE565" s="224"/>
      <c r="BF565" s="224"/>
      <c r="BG565" s="224"/>
      <c r="BH565" s="224"/>
      <c r="BI565" s="224"/>
      <c r="BJ565" s="224"/>
      <c r="BK565" s="224"/>
      <c r="BL565" s="224"/>
      <c r="BM565" s="224"/>
      <c r="BN565" s="224"/>
      <c r="BO565" s="224"/>
    </row>
    <row r="566" ht="15.75" hidden="1" customHeight="1" outlineLevel="1">
      <c r="A566" s="209"/>
      <c r="B566" s="38"/>
      <c r="C566" s="160"/>
      <c r="D566" s="160"/>
      <c r="E566" s="160"/>
      <c r="F566" s="160"/>
      <c r="G566" s="160"/>
      <c r="H566" s="160"/>
      <c r="I566" s="160"/>
      <c r="J566" s="160"/>
      <c r="L566" s="177"/>
      <c r="M566" s="177"/>
      <c r="N566" s="177"/>
      <c r="O566" s="177"/>
      <c r="P566" s="177"/>
      <c r="Q566" s="177"/>
      <c r="R566" s="177"/>
      <c r="S566" s="177"/>
      <c r="T566" s="177"/>
      <c r="U566" s="224">
        <f>IF(and($U$438&gt;0,Model!W$1&lt;='Assumptions (NG)'!$V$12),IPMT('Assumptions (NG)'!$V$9,Model!W$1,'Assumptions (NG)'!$V$12,'Assumptions (NG)'!$V$7*(Model!$U$438*AVERAGE('Assumptions (NG)'!$Q$2:$S$2))/10^9),0)+IF(and($U$439&gt;0,Model!W$1&lt;='Assumptions (NG)'!$V$12),IPMT('Assumptions (NG)'!$V$9,Model!W$1,'Assumptions (NG)'!$V$12,'Assumptions (NG)'!$V$7*(Model!$U$439*AVERAGE('Assumptions (NG)'!$Q$3:$S$3))/10^9),0)</f>
        <v>-0.1293629738</v>
      </c>
      <c r="V566" s="224">
        <f>IF(and($U$438&gt;0,Model!X$1&lt;='Assumptions (NG)'!$V$12),IPMT('Assumptions (NG)'!$V$9,Model!X$1,'Assumptions (NG)'!$V$12,'Assumptions (NG)'!$V$7*(Model!$U$438*AVERAGE('Assumptions (NG)'!$Q$2:$S$2))/10^9),0)+IF(and($U$439&gt;0,Model!X$1&lt;='Assumptions (NG)'!$V$12),IPMT('Assumptions (NG)'!$V$9,Model!X$1,'Assumptions (NG)'!$V$12,'Assumptions (NG)'!$V$7*(Model!$U$439*AVERAGE('Assumptions (NG)'!$Q$3:$S$3))/10^9),0)</f>
        <v>-0.120218832</v>
      </c>
      <c r="W566" s="224">
        <f>IF(and($U$438&gt;0,Model!Y$1&lt;='Assumptions (NG)'!$V$12),IPMT('Assumptions (NG)'!$V$9,Model!Y$1,'Assumptions (NG)'!$V$12,'Assumptions (NG)'!$V$7*(Model!$U$438*AVERAGE('Assumptions (NG)'!$Q$2:$S$2))/10^9),0)+IF(and($U$439&gt;0,Model!Y$1&lt;='Assumptions (NG)'!$V$12),IPMT('Assumptions (NG)'!$V$9,Model!Y$1,'Assumptions (NG)'!$V$12,'Assumptions (NG)'!$V$7*(Model!$U$439*AVERAGE('Assumptions (NG)'!$Q$3:$S$3))/10^9),0)</f>
        <v>-0.1103888796</v>
      </c>
      <c r="X566" s="224">
        <f>IF(and($U$438&gt;0,Model!Z$1&lt;='Assumptions (NG)'!$V$12),IPMT('Assumptions (NG)'!$V$9,Model!Z$1,'Assumptions (NG)'!$V$12,'Assumptions (NG)'!$V$7*(Model!$U$438*AVERAGE('Assumptions (NG)'!$Q$2:$S$2))/10^9),0)+IF(and($U$439&gt;0,Model!Z$1&lt;='Assumptions (NG)'!$V$12),IPMT('Assumptions (NG)'!$V$9,Model!Z$1,'Assumptions (NG)'!$V$12,'Assumptions (NG)'!$V$7*(Model!$U$439*AVERAGE('Assumptions (NG)'!$Q$3:$S$3))/10^9),0)</f>
        <v>-0.09982168078</v>
      </c>
      <c r="Y566" s="224">
        <f>IF(and($U$438&gt;0,Model!AA$1&lt;='Assumptions (NG)'!$V$12),IPMT('Assumptions (NG)'!$V$9,Model!AA$1,'Assumptions (NG)'!$V$12,'Assumptions (NG)'!$V$7*(Model!$U$438*AVERAGE('Assumptions (NG)'!$Q$2:$S$2))/10^9),0)+IF(and($U$439&gt;0,Model!AA$1&lt;='Assumptions (NG)'!$V$12),IPMT('Assumptions (NG)'!$V$9,Model!AA$1,'Assumptions (NG)'!$V$12,'Assumptions (NG)'!$V$7*(Model!$U$439*AVERAGE('Assumptions (NG)'!$Q$3:$S$3))/10^9),0)</f>
        <v>-0.08846194203</v>
      </c>
      <c r="Z566" s="224">
        <f>IF(and($U$438&gt;0,Model!AB$1&lt;='Assumptions (NG)'!$V$12),IPMT('Assumptions (NG)'!$V$9,Model!AB$1,'Assumptions (NG)'!$V$12,'Assumptions (NG)'!$V$7*(Model!$U$438*AVERAGE('Assumptions (NG)'!$Q$2:$S$2))/10^9),0)+IF(and($U$439&gt;0,Model!AB$1&lt;='Assumptions (NG)'!$V$12),IPMT('Assumptions (NG)'!$V$9,Model!AB$1,'Assumptions (NG)'!$V$12,'Assumptions (NG)'!$V$7*(Model!$U$439*AVERAGE('Assumptions (NG)'!$Q$3:$S$3))/10^9),0)</f>
        <v>-0.07625022286</v>
      </c>
      <c r="AA566" s="224">
        <f>IF(and($U$438&gt;0,Model!AC$1&lt;='Assumptions (NG)'!$V$12),IPMT('Assumptions (NG)'!$V$9,Model!AC$1,'Assumptions (NG)'!$V$12,'Assumptions (NG)'!$V$7*(Model!$U$438*AVERAGE('Assumptions (NG)'!$Q$2:$S$2))/10^9),0)+IF(and($U$439&gt;0,Model!AC$1&lt;='Assumptions (NG)'!$V$12),IPMT('Assumptions (NG)'!$V$9,Model!AC$1,'Assumptions (NG)'!$V$12,'Assumptions (NG)'!$V$7*(Model!$U$439*AVERAGE('Assumptions (NG)'!$Q$3:$S$3))/10^9),0)</f>
        <v>-0.06312262476</v>
      </c>
      <c r="AB566" s="224">
        <f>IF(and($U$438&gt;0,Model!AD$1&lt;='Assumptions (NG)'!$V$12),IPMT('Assumptions (NG)'!$V$9,Model!AD$1,'Assumptions (NG)'!$V$12,'Assumptions (NG)'!$V$7*(Model!$U$438*AVERAGE('Assumptions (NG)'!$Q$2:$S$2))/10^9),0)+IF(and($U$439&gt;0,Model!AD$1&lt;='Assumptions (NG)'!$V$12),IPMT('Assumptions (NG)'!$V$9,Model!AD$1,'Assumptions (NG)'!$V$12,'Assumptions (NG)'!$V$7*(Model!$U$439*AVERAGE('Assumptions (NG)'!$Q$3:$S$3))/10^9),0)</f>
        <v>-0.0490104568</v>
      </c>
      <c r="AC566" s="224">
        <f>IF(and($U$438&gt;0,Model!AE$1&lt;='Assumptions (NG)'!$V$12),IPMT('Assumptions (NG)'!$V$9,Model!AE$1,'Assumptions (NG)'!$V$12,'Assumptions (NG)'!$V$7*(Model!$U$438*AVERAGE('Assumptions (NG)'!$Q$2:$S$2))/10^9),0)+IF(and($U$439&gt;0,Model!AE$1&lt;='Assumptions (NG)'!$V$12),IPMT('Assumptions (NG)'!$V$9,Model!AE$1,'Assumptions (NG)'!$V$12,'Assumptions (NG)'!$V$7*(Model!$U$439*AVERAGE('Assumptions (NG)'!$Q$3:$S$3))/10^9),0)</f>
        <v>-0.03383987625</v>
      </c>
      <c r="AD566" s="224">
        <f>IF(and($U$438&gt;0,Model!AF$1&lt;='Assumptions (NG)'!$V$12),IPMT('Assumptions (NG)'!$V$9,Model!AF$1,'Assumptions (NG)'!$V$12,'Assumptions (NG)'!$V$7*(Model!$U$438*AVERAGE('Assumptions (NG)'!$Q$2:$S$2))/10^9),0)+IF(and($U$439&gt;0,Model!AF$1&lt;='Assumptions (NG)'!$V$12),IPMT('Assumptions (NG)'!$V$9,Model!AF$1,'Assumptions (NG)'!$V$12,'Assumptions (NG)'!$V$7*(Model!$U$439*AVERAGE('Assumptions (NG)'!$Q$3:$S$3))/10^9),0)</f>
        <v>-0.01753150215</v>
      </c>
      <c r="AE566" s="224"/>
      <c r="AF566" s="224"/>
      <c r="AG566" s="224"/>
      <c r="AH566" s="224"/>
      <c r="AI566" s="224"/>
      <c r="AJ566" s="177"/>
      <c r="AK566" s="177"/>
      <c r="AL566" s="177"/>
      <c r="AM566" s="177"/>
      <c r="AN566" s="177"/>
      <c r="AO566" s="177"/>
      <c r="AP566" s="177"/>
      <c r="AQ566" s="177"/>
      <c r="AR566" s="177"/>
      <c r="AS566" s="177"/>
      <c r="AT566" s="224"/>
      <c r="AU566" s="177"/>
      <c r="AV566" s="177"/>
      <c r="AW566" s="177"/>
      <c r="AX566" s="177"/>
      <c r="AY566" s="177"/>
      <c r="AZ566" s="177"/>
      <c r="BA566" s="177"/>
      <c r="BB566" s="224"/>
      <c r="BC566" s="224"/>
      <c r="BD566" s="224"/>
      <c r="BE566" s="224"/>
      <c r="BF566" s="224"/>
      <c r="BG566" s="224"/>
      <c r="BH566" s="224"/>
      <c r="BI566" s="224"/>
      <c r="BJ566" s="224"/>
      <c r="BK566" s="224"/>
      <c r="BL566" s="224"/>
      <c r="BM566" s="224"/>
      <c r="BN566" s="224"/>
      <c r="BO566" s="224"/>
    </row>
    <row r="567" ht="15.75" hidden="1" customHeight="1" outlineLevel="1">
      <c r="A567" s="209"/>
      <c r="B567" s="38"/>
      <c r="C567" s="160"/>
      <c r="D567" s="160"/>
      <c r="E567" s="160"/>
      <c r="F567" s="160"/>
      <c r="G567" s="160"/>
      <c r="H567" s="160"/>
      <c r="I567" s="160"/>
      <c r="J567" s="160"/>
      <c r="L567" s="177"/>
      <c r="M567" s="177"/>
      <c r="N567" s="177"/>
      <c r="O567" s="177"/>
      <c r="P567" s="177"/>
      <c r="Q567" s="177"/>
      <c r="R567" s="177"/>
      <c r="S567" s="177"/>
      <c r="T567" s="177"/>
      <c r="U567" s="177"/>
      <c r="V567" s="224">
        <f>IF(and($V$438&gt;0,Model!W$1&lt;='Assumptions (NG)'!$V$12),IPMT('Assumptions (NG)'!$V$9,Model!W$1,'Assumptions (NG)'!$V$12,'Assumptions (NG)'!$V$7*(Model!$V$438*AVERAGE('Assumptions (NG)'!$R$2:$T$2))/10^9),0)+IF(and($V$439&gt;0,Model!W$1&lt;='Assumptions (NG)'!$V$12),IPMT('Assumptions (NG)'!$V$9,Model!W$1,'Assumptions (NG)'!$V$12,'Assumptions (NG)'!$V$7*(Model!$V$439*AVERAGE('Assumptions (NG)'!$R$3:$T$3))/10^9),0)</f>
        <v>0</v>
      </c>
      <c r="W567" s="224">
        <f>IF(and($V$438&gt;0,Model!X$1&lt;='Assumptions (NG)'!$V$12),IPMT('Assumptions (NG)'!$V$9,Model!X$1,'Assumptions (NG)'!$V$12,'Assumptions (NG)'!$V$7*(Model!$V$438*AVERAGE('Assumptions (NG)'!$R$2:$T$2))/10^9),0)+IF(and($V$439&gt;0,Model!X$1&lt;='Assumptions (NG)'!$V$12),IPMT('Assumptions (NG)'!$V$9,Model!X$1,'Assumptions (NG)'!$V$12,'Assumptions (NG)'!$V$7*(Model!$V$439*AVERAGE('Assumptions (NG)'!$R$3:$T$3))/10^9),0)</f>
        <v>0</v>
      </c>
      <c r="X567" s="224">
        <f>IF(and($V$438&gt;0,Model!Y$1&lt;='Assumptions (NG)'!$V$12),IPMT('Assumptions (NG)'!$V$9,Model!Y$1,'Assumptions (NG)'!$V$12,'Assumptions (NG)'!$V$7*(Model!$V$438*AVERAGE('Assumptions (NG)'!$R$2:$T$2))/10^9),0)+IF(and($V$439&gt;0,Model!Y$1&lt;='Assumptions (NG)'!$V$12),IPMT('Assumptions (NG)'!$V$9,Model!Y$1,'Assumptions (NG)'!$V$12,'Assumptions (NG)'!$V$7*(Model!$V$439*AVERAGE('Assumptions (NG)'!$R$3:$T$3))/10^9),0)</f>
        <v>0</v>
      </c>
      <c r="Y567" s="224">
        <f>IF(and($V$438&gt;0,Model!Z$1&lt;='Assumptions (NG)'!$V$12),IPMT('Assumptions (NG)'!$V$9,Model!Z$1,'Assumptions (NG)'!$V$12,'Assumptions (NG)'!$V$7*(Model!$V$438*AVERAGE('Assumptions (NG)'!$R$2:$T$2))/10^9),0)+IF(and($V$439&gt;0,Model!Z$1&lt;='Assumptions (NG)'!$V$12),IPMT('Assumptions (NG)'!$V$9,Model!Z$1,'Assumptions (NG)'!$V$12,'Assumptions (NG)'!$V$7*(Model!$V$439*AVERAGE('Assumptions (NG)'!$R$3:$T$3))/10^9),0)</f>
        <v>0</v>
      </c>
      <c r="Z567" s="224">
        <f>IF(and($V$438&gt;0,Model!AA$1&lt;='Assumptions (NG)'!$V$12),IPMT('Assumptions (NG)'!$V$9,Model!AA$1,'Assumptions (NG)'!$V$12,'Assumptions (NG)'!$V$7*(Model!$V$438*AVERAGE('Assumptions (NG)'!$R$2:$T$2))/10^9),0)+IF(and($V$439&gt;0,Model!AA$1&lt;='Assumptions (NG)'!$V$12),IPMT('Assumptions (NG)'!$V$9,Model!AA$1,'Assumptions (NG)'!$V$12,'Assumptions (NG)'!$V$7*(Model!$V$439*AVERAGE('Assumptions (NG)'!$R$3:$T$3))/10^9),0)</f>
        <v>0</v>
      </c>
      <c r="AA567" s="224">
        <f>IF(and($V$438&gt;0,Model!AB$1&lt;='Assumptions (NG)'!$V$12),IPMT('Assumptions (NG)'!$V$9,Model!AB$1,'Assumptions (NG)'!$V$12,'Assumptions (NG)'!$V$7*(Model!$V$438*AVERAGE('Assumptions (NG)'!$R$2:$T$2))/10^9),0)+IF(and($V$439&gt;0,Model!AB$1&lt;='Assumptions (NG)'!$V$12),IPMT('Assumptions (NG)'!$V$9,Model!AB$1,'Assumptions (NG)'!$V$12,'Assumptions (NG)'!$V$7*(Model!$V$439*AVERAGE('Assumptions (NG)'!$R$3:$T$3))/10^9),0)</f>
        <v>0</v>
      </c>
      <c r="AB567" s="224">
        <f>IF(and($V$438&gt;0,Model!AC$1&lt;='Assumptions (NG)'!$V$12),IPMT('Assumptions (NG)'!$V$9,Model!AC$1,'Assumptions (NG)'!$V$12,'Assumptions (NG)'!$V$7*(Model!$V$438*AVERAGE('Assumptions (NG)'!$R$2:$T$2))/10^9),0)+IF(and($V$439&gt;0,Model!AC$1&lt;='Assumptions (NG)'!$V$12),IPMT('Assumptions (NG)'!$V$9,Model!AC$1,'Assumptions (NG)'!$V$12,'Assumptions (NG)'!$V$7*(Model!$V$439*AVERAGE('Assumptions (NG)'!$R$3:$T$3))/10^9),0)</f>
        <v>0</v>
      </c>
      <c r="AC567" s="224">
        <f>IF(and($V$438&gt;0,Model!AD$1&lt;='Assumptions (NG)'!$V$12),IPMT('Assumptions (NG)'!$V$9,Model!AD$1,'Assumptions (NG)'!$V$12,'Assumptions (NG)'!$V$7*(Model!$V$438*AVERAGE('Assumptions (NG)'!$R$2:$T$2))/10^9),0)+IF(and($V$439&gt;0,Model!AD$1&lt;='Assumptions (NG)'!$V$12),IPMT('Assumptions (NG)'!$V$9,Model!AD$1,'Assumptions (NG)'!$V$12,'Assumptions (NG)'!$V$7*(Model!$V$439*AVERAGE('Assumptions (NG)'!$R$3:$T$3))/10^9),0)</f>
        <v>0</v>
      </c>
      <c r="AD567" s="224">
        <f>IF(and($V$438&gt;0,Model!AE$1&lt;='Assumptions (NG)'!$V$12),IPMT('Assumptions (NG)'!$V$9,Model!AE$1,'Assumptions (NG)'!$V$12,'Assumptions (NG)'!$V$7*(Model!$V$438*AVERAGE('Assumptions (NG)'!$R$2:$T$2))/10^9),0)+IF(and($V$439&gt;0,Model!AE$1&lt;='Assumptions (NG)'!$V$12),IPMT('Assumptions (NG)'!$V$9,Model!AE$1,'Assumptions (NG)'!$V$12,'Assumptions (NG)'!$V$7*(Model!$V$439*AVERAGE('Assumptions (NG)'!$R$3:$T$3))/10^9),0)</f>
        <v>0</v>
      </c>
      <c r="AE567" s="224">
        <f>IF(and($V$438&gt;0,Model!AF$1&lt;='Assumptions (NG)'!$V$12),IPMT('Assumptions (NG)'!$V$9,Model!AF$1,'Assumptions (NG)'!$V$12,'Assumptions (NG)'!$V$7*(Model!$V$438*AVERAGE('Assumptions (NG)'!$R$2:$T$2))/10^9),0)+IF(and($V$439&gt;0,Model!AF$1&lt;='Assumptions (NG)'!$V$12),IPMT('Assumptions (NG)'!$V$9,Model!AF$1,'Assumptions (NG)'!$V$12,'Assumptions (NG)'!$V$7*(Model!$V$439*AVERAGE('Assumptions (NG)'!$R$3:$T$3))/10^9),0)</f>
        <v>0</v>
      </c>
      <c r="AF567" s="224"/>
      <c r="AG567" s="224"/>
      <c r="AH567" s="224"/>
      <c r="AI567" s="224"/>
      <c r="AJ567" s="224"/>
      <c r="AK567" s="177"/>
      <c r="AL567" s="177"/>
      <c r="AM567" s="177"/>
      <c r="AN567" s="177"/>
      <c r="AO567" s="177"/>
      <c r="AP567" s="177"/>
      <c r="AQ567" s="177"/>
      <c r="AR567" s="177"/>
      <c r="AS567" s="177"/>
      <c r="AT567" s="177"/>
      <c r="AU567" s="177"/>
      <c r="AV567" s="177"/>
      <c r="AW567" s="177"/>
      <c r="AX567" s="177"/>
      <c r="AY567" s="177"/>
      <c r="AZ567" s="177"/>
      <c r="BA567" s="177"/>
      <c r="BB567" s="224"/>
      <c r="BC567" s="224"/>
      <c r="BD567" s="224"/>
      <c r="BE567" s="224"/>
      <c r="BF567" s="224"/>
      <c r="BG567" s="224"/>
      <c r="BH567" s="224"/>
      <c r="BI567" s="224"/>
      <c r="BJ567" s="224"/>
      <c r="BK567" s="224"/>
      <c r="BL567" s="224"/>
      <c r="BM567" s="224"/>
      <c r="BN567" s="224"/>
      <c r="BO567" s="224"/>
    </row>
    <row r="568" ht="15.75" hidden="1" customHeight="1" outlineLevel="1">
      <c r="A568" s="209"/>
      <c r="B568" s="38"/>
      <c r="C568" s="174"/>
      <c r="D568" s="174"/>
      <c r="E568" s="174"/>
      <c r="F568" s="174"/>
      <c r="G568" s="174"/>
      <c r="H568" s="174"/>
      <c r="I568" s="174"/>
      <c r="J568" s="174"/>
      <c r="L568" s="225"/>
      <c r="M568" s="225"/>
      <c r="N568" s="225"/>
      <c r="O568" s="225"/>
      <c r="P568" s="225"/>
      <c r="Q568" s="225"/>
      <c r="R568" s="225"/>
      <c r="S568" s="225"/>
      <c r="T568" s="225"/>
      <c r="U568" s="225"/>
      <c r="V568" s="225"/>
      <c r="W568" s="224">
        <f>IF(and($W$438&gt;0,Model!W$1&lt;='Assumptions (NG)'!$V$12),IPMT('Assumptions (NG)'!$V$9,Model!W$1,'Assumptions (NG)'!$V$12,'Assumptions (NG)'!$V$7*(Model!$W$438*AVERAGE('Assumptions (NG)'!$S$2:$U$2))/10^9),0)+IF(and($W$439&gt;0,Model!W$1&lt;='Assumptions (NG)'!$V$12),IPMT('Assumptions (NG)'!$V$9,Model!W$1,'Assumptions (NG)'!$V$12,'Assumptions (NG)'!$V$7*(Model!$W$439*AVERAGE('Assumptions (NG)'!$S$3:$U$3))/10^9),0)</f>
        <v>0</v>
      </c>
      <c r="X568" s="224">
        <f>IF(and($W$438&gt;0,Model!X$1&lt;='Assumptions (NG)'!$V$12),IPMT('Assumptions (NG)'!$V$9,Model!X$1,'Assumptions (NG)'!$V$12,'Assumptions (NG)'!$V$7*(Model!$W$438*AVERAGE('Assumptions (NG)'!$S$2:$U$2))/10^9),0)+IF(and($W$439&gt;0,Model!X$1&lt;='Assumptions (NG)'!$V$12),IPMT('Assumptions (NG)'!$V$9,Model!X$1,'Assumptions (NG)'!$V$12,'Assumptions (NG)'!$V$7*(Model!$W$439*AVERAGE('Assumptions (NG)'!$S$3:$U$3))/10^9),0)</f>
        <v>0</v>
      </c>
      <c r="Y568" s="224">
        <f>IF(and($W$438&gt;0,Model!Y$1&lt;='Assumptions (NG)'!$V$12),IPMT('Assumptions (NG)'!$V$9,Model!Y$1,'Assumptions (NG)'!$V$12,'Assumptions (NG)'!$V$7*(Model!$W$438*AVERAGE('Assumptions (NG)'!$S$2:$U$2))/10^9),0)+IF(and($W$439&gt;0,Model!Y$1&lt;='Assumptions (NG)'!$V$12),IPMT('Assumptions (NG)'!$V$9,Model!Y$1,'Assumptions (NG)'!$V$12,'Assumptions (NG)'!$V$7*(Model!$W$439*AVERAGE('Assumptions (NG)'!$S$3:$U$3))/10^9),0)</f>
        <v>0</v>
      </c>
      <c r="Z568" s="224">
        <f>IF(and($W$438&gt;0,Model!Z$1&lt;='Assumptions (NG)'!$V$12),IPMT('Assumptions (NG)'!$V$9,Model!Z$1,'Assumptions (NG)'!$V$12,'Assumptions (NG)'!$V$7*(Model!$W$438*AVERAGE('Assumptions (NG)'!$S$2:$U$2))/10^9),0)+IF(and($W$439&gt;0,Model!Z$1&lt;='Assumptions (NG)'!$V$12),IPMT('Assumptions (NG)'!$V$9,Model!Z$1,'Assumptions (NG)'!$V$12,'Assumptions (NG)'!$V$7*(Model!$W$439*AVERAGE('Assumptions (NG)'!$S$3:$U$3))/10^9),0)</f>
        <v>0</v>
      </c>
      <c r="AA568" s="224">
        <f>IF(and($W$438&gt;0,Model!AA$1&lt;='Assumptions (NG)'!$V$12),IPMT('Assumptions (NG)'!$V$9,Model!AA$1,'Assumptions (NG)'!$V$12,'Assumptions (NG)'!$V$7*(Model!$W$438*AVERAGE('Assumptions (NG)'!$S$2:$U$2))/10^9),0)+IF(and($W$439&gt;0,Model!AA$1&lt;='Assumptions (NG)'!$V$12),IPMT('Assumptions (NG)'!$V$9,Model!AA$1,'Assumptions (NG)'!$V$12,'Assumptions (NG)'!$V$7*(Model!$W$439*AVERAGE('Assumptions (NG)'!$S$3:$U$3))/10^9),0)</f>
        <v>0</v>
      </c>
      <c r="AB568" s="224">
        <f>IF(and($W$438&gt;0,Model!AB$1&lt;='Assumptions (NG)'!$V$12),IPMT('Assumptions (NG)'!$V$9,Model!AB$1,'Assumptions (NG)'!$V$12,'Assumptions (NG)'!$V$7*(Model!$W$438*AVERAGE('Assumptions (NG)'!$S$2:$U$2))/10^9),0)+IF(and($W$439&gt;0,Model!AB$1&lt;='Assumptions (NG)'!$V$12),IPMT('Assumptions (NG)'!$V$9,Model!AB$1,'Assumptions (NG)'!$V$12,'Assumptions (NG)'!$V$7*(Model!$W$439*AVERAGE('Assumptions (NG)'!$S$3:$U$3))/10^9),0)</f>
        <v>0</v>
      </c>
      <c r="AC568" s="224">
        <f>IF(and($W$438&gt;0,Model!AC$1&lt;='Assumptions (NG)'!$V$12),IPMT('Assumptions (NG)'!$V$9,Model!AC$1,'Assumptions (NG)'!$V$12,'Assumptions (NG)'!$V$7*(Model!$W$438*AVERAGE('Assumptions (NG)'!$S$2:$U$2))/10^9),0)+IF(and($W$439&gt;0,Model!AC$1&lt;='Assumptions (NG)'!$V$12),IPMT('Assumptions (NG)'!$V$9,Model!AC$1,'Assumptions (NG)'!$V$12,'Assumptions (NG)'!$V$7*(Model!$W$439*AVERAGE('Assumptions (NG)'!$S$3:$U$3))/10^9),0)</f>
        <v>0</v>
      </c>
      <c r="AD568" s="224">
        <f>IF(and($W$438&gt;0,Model!AD$1&lt;='Assumptions (NG)'!$V$12),IPMT('Assumptions (NG)'!$V$9,Model!AD$1,'Assumptions (NG)'!$V$12,'Assumptions (NG)'!$V$7*(Model!$W$438*AVERAGE('Assumptions (NG)'!$S$2:$U$2))/10^9),0)+IF(and($W$439&gt;0,Model!AD$1&lt;='Assumptions (NG)'!$V$12),IPMT('Assumptions (NG)'!$V$9,Model!AD$1,'Assumptions (NG)'!$V$12,'Assumptions (NG)'!$V$7*(Model!$W$439*AVERAGE('Assumptions (NG)'!$S$3:$U$3))/10^9),0)</f>
        <v>0</v>
      </c>
      <c r="AE568" s="224">
        <f>IF(and($W$438&gt;0,Model!AE$1&lt;='Assumptions (NG)'!$V$12),IPMT('Assumptions (NG)'!$V$9,Model!AE$1,'Assumptions (NG)'!$V$12,'Assumptions (NG)'!$V$7*(Model!$W$438*AVERAGE('Assumptions (NG)'!$S$2:$U$2))/10^9),0)+IF(and($W$439&gt;0,Model!AE$1&lt;='Assumptions (NG)'!$V$12),IPMT('Assumptions (NG)'!$V$9,Model!AE$1,'Assumptions (NG)'!$V$12,'Assumptions (NG)'!$V$7*(Model!$W$439*AVERAGE('Assumptions (NG)'!$S$3:$U$3))/10^9),0)</f>
        <v>0</v>
      </c>
      <c r="AF568" s="224">
        <f>IF(and($W$438&gt;0,Model!AF$1&lt;='Assumptions (NG)'!$V$12),IPMT('Assumptions (NG)'!$V$9,Model!AF$1,'Assumptions (NG)'!$V$12,'Assumptions (NG)'!$V$7*(Model!$W$438*AVERAGE('Assumptions (NG)'!$S$2:$U$2))/10^9),0)+IF(and($W$439&gt;0,Model!AF$1&lt;='Assumptions (NG)'!$V$12),IPMT('Assumptions (NG)'!$V$9,Model!AF$1,'Assumptions (NG)'!$V$12,'Assumptions (NG)'!$V$7*(Model!$W$439*AVERAGE('Assumptions (NG)'!$S$3:$U$3))/10^9),0)</f>
        <v>0</v>
      </c>
      <c r="AG568" s="224"/>
      <c r="AH568" s="224"/>
      <c r="AI568" s="224"/>
      <c r="AJ568" s="224"/>
      <c r="AK568" s="224"/>
      <c r="AL568" s="177"/>
      <c r="AM568" s="177"/>
      <c r="AN568" s="177"/>
      <c r="AO568" s="177"/>
      <c r="AP568" s="177"/>
      <c r="AQ568" s="177"/>
      <c r="AR568" s="177"/>
      <c r="AS568" s="177"/>
      <c r="AT568" s="177"/>
      <c r="AU568" s="177"/>
      <c r="AV568" s="177"/>
      <c r="AW568" s="177"/>
      <c r="AX568" s="177"/>
      <c r="AY568" s="177"/>
      <c r="AZ568" s="177"/>
      <c r="BA568" s="177"/>
      <c r="BB568" s="224"/>
      <c r="BC568" s="224"/>
      <c r="BD568" s="224"/>
      <c r="BE568" s="224"/>
      <c r="BF568" s="224"/>
      <c r="BG568" s="224"/>
      <c r="BH568" s="224"/>
      <c r="BI568" s="224"/>
      <c r="BJ568" s="224"/>
      <c r="BK568" s="224"/>
      <c r="BL568" s="224"/>
      <c r="BM568" s="224"/>
      <c r="BN568" s="224"/>
      <c r="BO568" s="224"/>
    </row>
    <row r="569" ht="15.75" hidden="1" customHeight="1" outlineLevel="1">
      <c r="A569" s="209"/>
      <c r="B569" s="38"/>
      <c r="C569" s="174"/>
      <c r="D569" s="174"/>
      <c r="E569" s="174"/>
      <c r="F569" s="174"/>
      <c r="G569" s="174"/>
      <c r="H569" s="174"/>
      <c r="I569" s="174"/>
      <c r="J569" s="174"/>
      <c r="L569" s="225"/>
      <c r="M569" s="225"/>
      <c r="N569" s="225"/>
      <c r="O569" s="225"/>
      <c r="P569" s="225"/>
      <c r="Q569" s="225"/>
      <c r="R569" s="225"/>
      <c r="S569" s="225"/>
      <c r="T569" s="225"/>
      <c r="U569" s="225"/>
      <c r="V569" s="225"/>
      <c r="W569" s="177"/>
      <c r="X569" s="224">
        <f>IF(and($X$438&gt;0,Model!W$1&lt;='Assumptions (NG)'!$V$12),IPMT('Assumptions (NG)'!$V$9,Model!W$1,'Assumptions (NG)'!$V$12,'Assumptions (NG)'!$V$7*(Model!$X$438*AVERAGE('Assumptions (NG)'!$T$2:$V$2))/10^9),0)+IF(and($X$439&gt;0,Model!W$1&lt;='Assumptions (NG)'!$V$12),IPMT('Assumptions (NG)'!$V$9,Model!W$1,'Assumptions (NG)'!$V$12,'Assumptions (NG)'!$V$7*(Model!$X$439*AVERAGE('Assumptions (NG)'!$T$3:$V$3))/10^9),0)</f>
        <v>-0.2132957375</v>
      </c>
      <c r="Y569" s="224">
        <f>IF(and($X$438&gt;0,Model!X$1&lt;='Assumptions (NG)'!$V$12),IPMT('Assumptions (NG)'!$V$9,Model!X$1,'Assumptions (NG)'!$V$12,'Assumptions (NG)'!$V$7*(Model!$X$438*AVERAGE('Assumptions (NG)'!$T$2:$V$2))/10^9),0)+IF(and($X$439&gt;0,Model!X$1&lt;='Assumptions (NG)'!$V$12),IPMT('Assumptions (NG)'!$V$9,Model!X$1,'Assumptions (NG)'!$V$12,'Assumptions (NG)'!$V$7*(Model!$X$439*AVERAGE('Assumptions (NG)'!$T$3:$V$3))/10^9),0)</f>
        <v>-0.1982187305</v>
      </c>
      <c r="Z569" s="224">
        <f>IF(and($X$438&gt;0,Model!Y$1&lt;='Assumptions (NG)'!$V$12),IPMT('Assumptions (NG)'!$V$9,Model!Y$1,'Assumptions (NG)'!$V$12,'Assumptions (NG)'!$V$7*(Model!$X$438*AVERAGE('Assumptions (NG)'!$T$2:$V$2))/10^9),0)+IF(and($X$439&gt;0,Model!Y$1&lt;='Assumptions (NG)'!$V$12),IPMT('Assumptions (NG)'!$V$9,Model!Y$1,'Assumptions (NG)'!$V$12,'Assumptions (NG)'!$V$7*(Model!$X$439*AVERAGE('Assumptions (NG)'!$T$3:$V$3))/10^9),0)</f>
        <v>-0.1820109479</v>
      </c>
      <c r="AA569" s="224">
        <f>IF(and($X$438&gt;0,Model!Z$1&lt;='Assumptions (NG)'!$V$12),IPMT('Assumptions (NG)'!$V$9,Model!Z$1,'Assumptions (NG)'!$V$12,'Assumptions (NG)'!$V$7*(Model!$X$438*AVERAGE('Assumptions (NG)'!$T$2:$V$2))/10^9),0)+IF(and($X$439&gt;0,Model!Z$1&lt;='Assumptions (NG)'!$V$12),IPMT('Assumptions (NG)'!$V$9,Model!Z$1,'Assumptions (NG)'!$V$12,'Assumptions (NG)'!$V$7*(Model!$X$439*AVERAGE('Assumptions (NG)'!$T$3:$V$3))/10^9),0)</f>
        <v>-0.1645875817</v>
      </c>
      <c r="AB569" s="224">
        <f>IF(and($X$438&gt;0,Model!AA$1&lt;='Assumptions (NG)'!$V$12),IPMT('Assumptions (NG)'!$V$9,Model!AA$1,'Assumptions (NG)'!$V$12,'Assumptions (NG)'!$V$7*(Model!$X$438*AVERAGE('Assumptions (NG)'!$T$2:$V$2))/10^9),0)+IF(and($X$439&gt;0,Model!AA$1&lt;='Assumptions (NG)'!$V$12),IPMT('Assumptions (NG)'!$V$9,Model!AA$1,'Assumptions (NG)'!$V$12,'Assumptions (NG)'!$V$7*(Model!$X$439*AVERAGE('Assumptions (NG)'!$T$3:$V$3))/10^9),0)</f>
        <v>-0.145857463</v>
      </c>
      <c r="AC569" s="224">
        <f>IF(and($X$438&gt;0,Model!AB$1&lt;='Assumptions (NG)'!$V$12),IPMT('Assumptions (NG)'!$V$9,Model!AB$1,'Assumptions (NG)'!$V$12,'Assumptions (NG)'!$V$7*(Model!$X$438*AVERAGE('Assumptions (NG)'!$T$2:$V$2))/10^9),0)+IF(and($X$439&gt;0,Model!AB$1&lt;='Assumptions (NG)'!$V$12),IPMT('Assumptions (NG)'!$V$9,Model!AB$1,'Assumptions (NG)'!$V$12,'Assumptions (NG)'!$V$7*(Model!$X$439*AVERAGE('Assumptions (NG)'!$T$3:$V$3))/10^9),0)</f>
        <v>-0.1257225854</v>
      </c>
      <c r="AD569" s="224">
        <f>IF(and($X$438&gt;0,Model!AC$1&lt;='Assumptions (NG)'!$V$12),IPMT('Assumptions (NG)'!$V$9,Model!AC$1,'Assumptions (NG)'!$V$12,'Assumptions (NG)'!$V$7*(Model!$X$438*AVERAGE('Assumptions (NG)'!$T$2:$V$2))/10^9),0)+IF(and($X$439&gt;0,Model!AC$1&lt;='Assumptions (NG)'!$V$12),IPMT('Assumptions (NG)'!$V$9,Model!AC$1,'Assumptions (NG)'!$V$12,'Assumptions (NG)'!$V$7*(Model!$X$439*AVERAGE('Assumptions (NG)'!$T$3:$V$3))/10^9),0)</f>
        <v>-0.1040775919</v>
      </c>
      <c r="AE569" s="224">
        <f>IF(and($X$438&gt;0,Model!AD$1&lt;='Assumptions (NG)'!$V$12),IPMT('Assumptions (NG)'!$V$9,Model!AD$1,'Assumptions (NG)'!$V$12,'Assumptions (NG)'!$V$7*(Model!$X$438*AVERAGE('Assumptions (NG)'!$T$2:$V$2))/10^9),0)+IF(and($X$439&gt;0,Model!AD$1&lt;='Assumptions (NG)'!$V$12),IPMT('Assumptions (NG)'!$V$9,Model!AD$1,'Assumptions (NG)'!$V$12,'Assumptions (NG)'!$V$7*(Model!$X$439*AVERAGE('Assumptions (NG)'!$T$3:$V$3))/10^9),0)</f>
        <v>-0.08080922401</v>
      </c>
      <c r="AF569" s="224">
        <f>IF(and($X$438&gt;0,Model!AE$1&lt;='Assumptions (NG)'!$V$12),IPMT('Assumptions (NG)'!$V$9,Model!AE$1,'Assumptions (NG)'!$V$12,'Assumptions (NG)'!$V$7*(Model!$X$438*AVERAGE('Assumptions (NG)'!$T$2:$V$2))/10^9),0)+IF(and($X$439&gt;0,Model!AE$1&lt;='Assumptions (NG)'!$V$12),IPMT('Assumptions (NG)'!$V$9,Model!AE$1,'Assumptions (NG)'!$V$12,'Assumptions (NG)'!$V$7*(Model!$X$439*AVERAGE('Assumptions (NG)'!$T$3:$V$3))/10^9),0)</f>
        <v>-0.05579572847</v>
      </c>
      <c r="AG569" s="224">
        <f>IF(and($X$438&gt;0,Model!AF$1&lt;='Assumptions (NG)'!$V$12),IPMT('Assumptions (NG)'!$V$9,Model!AF$1,'Assumptions (NG)'!$V$12,'Assumptions (NG)'!$V$7*(Model!$X$438*AVERAGE('Assumptions (NG)'!$T$2:$V$2))/10^9),0)+IF(and($X$439&gt;0,Model!AF$1&lt;='Assumptions (NG)'!$V$12),IPMT('Assumptions (NG)'!$V$9,Model!AF$1,'Assumptions (NG)'!$V$12,'Assumptions (NG)'!$V$7*(Model!$X$439*AVERAGE('Assumptions (NG)'!$T$3:$V$3))/10^9),0)</f>
        <v>-0.02890622078</v>
      </c>
      <c r="AH569" s="224"/>
      <c r="AI569" s="224"/>
      <c r="AJ569" s="224"/>
      <c r="AK569" s="224"/>
      <c r="AL569" s="224"/>
      <c r="AM569" s="177"/>
      <c r="AN569" s="177"/>
      <c r="AO569" s="177"/>
      <c r="AP569" s="177"/>
      <c r="AQ569" s="177"/>
      <c r="AR569" s="177"/>
      <c r="AS569" s="177"/>
      <c r="AT569" s="177"/>
      <c r="AU569" s="177"/>
      <c r="AV569" s="177"/>
      <c r="AW569" s="177"/>
      <c r="AX569" s="177"/>
      <c r="AY569" s="177"/>
      <c r="AZ569" s="177"/>
      <c r="BA569" s="177"/>
      <c r="BB569" s="224"/>
      <c r="BC569" s="224"/>
      <c r="BD569" s="224"/>
      <c r="BE569" s="224"/>
      <c r="BF569" s="224"/>
      <c r="BG569" s="224"/>
      <c r="BH569" s="224"/>
      <c r="BI569" s="224"/>
      <c r="BJ569" s="224"/>
      <c r="BK569" s="224"/>
      <c r="BL569" s="224"/>
      <c r="BM569" s="224"/>
      <c r="BN569" s="224"/>
      <c r="BO569" s="224"/>
    </row>
    <row r="570" ht="15.75" hidden="1" customHeight="1" outlineLevel="1">
      <c r="A570" s="209"/>
      <c r="B570" s="38"/>
      <c r="C570" s="174"/>
      <c r="D570" s="174"/>
      <c r="E570" s="174"/>
      <c r="F570" s="174"/>
      <c r="G570" s="174"/>
      <c r="H570" s="174"/>
      <c r="I570" s="174"/>
      <c r="J570" s="174"/>
      <c r="L570" s="225"/>
      <c r="M570" s="225"/>
      <c r="N570" s="225"/>
      <c r="O570" s="225"/>
      <c r="P570" s="225"/>
      <c r="Q570" s="225"/>
      <c r="R570" s="225"/>
      <c r="S570" s="225"/>
      <c r="T570" s="225"/>
      <c r="U570" s="225"/>
      <c r="V570" s="225"/>
      <c r="W570" s="177"/>
      <c r="X570" s="177"/>
      <c r="Y570" s="224">
        <f>IF(and($Y$438&gt;0,Model!W$1&lt;='Assumptions (NG)'!$V$12),IPMT('Assumptions (NG)'!$V$9,Model!W$1,'Assumptions (NG)'!$V$12,'Assumptions (NG)'!$V$7*(Model!$Y$438*AVERAGE('Assumptions (NG)'!$U$2:$W$2))/10^9),0)+IF(and($Y$439&gt;0,Model!W$1&lt;='Assumptions (NG)'!$V$12),IPMT('Assumptions (NG)'!$V$9,Model!W$1,'Assumptions (NG)'!$V$12,'Assumptions (NG)'!$V$7*(Model!$Y$439*AVERAGE('Assumptions (NG)'!$U$3:$W$3))/10^9),0)</f>
        <v>-0.05491419246</v>
      </c>
      <c r="Z570" s="224">
        <f>IF(and($Y$438&gt;0,Model!X$1&lt;='Assumptions (NG)'!$V$12),IPMT('Assumptions (NG)'!$V$9,Model!X$1,'Assumptions (NG)'!$V$12,'Assumptions (NG)'!$V$7*(Model!$Y$438*AVERAGE('Assumptions (NG)'!$U$2:$W$2))/10^9),0)+IF(and($Y$439&gt;0,Model!X$1&lt;='Assumptions (NG)'!$V$12),IPMT('Assumptions (NG)'!$V$9,Model!X$1,'Assumptions (NG)'!$V$12,'Assumptions (NG)'!$V$7*(Model!$Y$439*AVERAGE('Assumptions (NG)'!$U$3:$W$3))/10^9),0)</f>
        <v>-0.05103253184</v>
      </c>
      <c r="AA570" s="224">
        <f>IF(and($Y$438&gt;0,Model!Y$1&lt;='Assumptions (NG)'!$V$12),IPMT('Assumptions (NG)'!$V$9,Model!Y$1,'Assumptions (NG)'!$V$12,'Assumptions (NG)'!$V$7*(Model!$Y$438*AVERAGE('Assumptions (NG)'!$U$2:$W$2))/10^9),0)+IF(and($Y$439&gt;0,Model!Y$1&lt;='Assumptions (NG)'!$V$12),IPMT('Assumptions (NG)'!$V$9,Model!Y$1,'Assumptions (NG)'!$V$12,'Assumptions (NG)'!$V$7*(Model!$Y$439*AVERAGE('Assumptions (NG)'!$U$3:$W$3))/10^9),0)</f>
        <v>-0.04685974667</v>
      </c>
      <c r="AB570" s="224">
        <f>IF(and($Y$438&gt;0,Model!Z$1&lt;='Assumptions (NG)'!$V$12),IPMT('Assumptions (NG)'!$V$9,Model!Z$1,'Assumptions (NG)'!$V$12,'Assumptions (NG)'!$V$7*(Model!$Y$438*AVERAGE('Assumptions (NG)'!$U$2:$W$2))/10^9),0)+IF(and($Y$439&gt;0,Model!Z$1&lt;='Assumptions (NG)'!$V$12),IPMT('Assumptions (NG)'!$V$9,Model!Z$1,'Assumptions (NG)'!$V$12,'Assumptions (NG)'!$V$7*(Model!$Y$439*AVERAGE('Assumptions (NG)'!$U$3:$W$3))/10^9),0)</f>
        <v>-0.04237400261</v>
      </c>
      <c r="AC570" s="224">
        <f>IF(and($Y$438&gt;0,Model!AA$1&lt;='Assumptions (NG)'!$V$12),IPMT('Assumptions (NG)'!$V$9,Model!AA$1,'Assumptions (NG)'!$V$12,'Assumptions (NG)'!$V$7*(Model!$Y$438*AVERAGE('Assumptions (NG)'!$U$2:$W$2))/10^9),0)+IF(and($Y$439&gt;0,Model!AA$1&lt;='Assumptions (NG)'!$V$12),IPMT('Assumptions (NG)'!$V$9,Model!AA$1,'Assumptions (NG)'!$V$12,'Assumptions (NG)'!$V$7*(Model!$Y$439*AVERAGE('Assumptions (NG)'!$U$3:$W$3))/10^9),0)</f>
        <v>-0.03755182775</v>
      </c>
      <c r="AD570" s="224">
        <f>IF(and($Y$438&gt;0,Model!AB$1&lt;='Assumptions (NG)'!$V$12),IPMT('Assumptions (NG)'!$V$9,Model!AB$1,'Assumptions (NG)'!$V$12,'Assumptions (NG)'!$V$7*(Model!$Y$438*AVERAGE('Assumptions (NG)'!$U$2:$W$2))/10^9),0)+IF(and($Y$439&gt;0,Model!AB$1&lt;='Assumptions (NG)'!$V$12),IPMT('Assumptions (NG)'!$V$9,Model!AB$1,'Assumptions (NG)'!$V$12,'Assumptions (NG)'!$V$7*(Model!$Y$439*AVERAGE('Assumptions (NG)'!$U$3:$W$3))/10^9),0)</f>
        <v>-0.03236798977</v>
      </c>
      <c r="AE570" s="224">
        <f>IF(and($Y$438&gt;0,Model!AC$1&lt;='Assumptions (NG)'!$V$12),IPMT('Assumptions (NG)'!$V$9,Model!AC$1,'Assumptions (NG)'!$V$12,'Assumptions (NG)'!$V$7*(Model!$Y$438*AVERAGE('Assumptions (NG)'!$U$2:$W$2))/10^9),0)+IF(and($Y$439&gt;0,Model!AC$1&lt;='Assumptions (NG)'!$V$12),IPMT('Assumptions (NG)'!$V$9,Model!AC$1,'Assumptions (NG)'!$V$12,'Assumptions (NG)'!$V$7*(Model!$Y$439*AVERAGE('Assumptions (NG)'!$U$3:$W$3))/10^9),0)</f>
        <v>-0.02679536395</v>
      </c>
      <c r="AF570" s="224">
        <f>IF(and($Y$438&gt;0,Model!AD$1&lt;='Assumptions (NG)'!$V$12),IPMT('Assumptions (NG)'!$V$9,Model!AD$1,'Assumptions (NG)'!$V$12,'Assumptions (NG)'!$V$7*(Model!$Y$438*AVERAGE('Assumptions (NG)'!$U$2:$W$2))/10^9),0)+IF(and($Y$439&gt;0,Model!AD$1&lt;='Assumptions (NG)'!$V$12),IPMT('Assumptions (NG)'!$V$9,Model!AD$1,'Assumptions (NG)'!$V$12,'Assumptions (NG)'!$V$7*(Model!$Y$439*AVERAGE('Assumptions (NG)'!$U$3:$W$3))/10^9),0)</f>
        <v>-0.02080479119</v>
      </c>
      <c r="AG570" s="224">
        <f>IF(and($Y$438&gt;0,Model!AE$1&lt;='Assumptions (NG)'!$V$12),IPMT('Assumptions (NG)'!$V$9,Model!AE$1,'Assumptions (NG)'!$V$12,'Assumptions (NG)'!$V$7*(Model!$Y$438*AVERAGE('Assumptions (NG)'!$U$2:$W$2))/10^9),0)+IF(and($Y$439&gt;0,Model!AE$1&lt;='Assumptions (NG)'!$V$12),IPMT('Assumptions (NG)'!$V$9,Model!AE$1,'Assumptions (NG)'!$V$12,'Assumptions (NG)'!$V$7*(Model!$Y$439*AVERAGE('Assumptions (NG)'!$U$3:$W$3))/10^9),0)</f>
        <v>-0.01436492547</v>
      </c>
      <c r="AH570" s="224">
        <f>IF(and($Y$438&gt;0,Model!AF$1&lt;='Assumptions (NG)'!$V$12),IPMT('Assumptions (NG)'!$V$9,Model!AF$1,'Assumptions (NG)'!$V$12,'Assumptions (NG)'!$V$7*(Model!$Y$438*AVERAGE('Assumptions (NG)'!$U$2:$W$2))/10^9),0)+IF(and($Y$439&gt;0,Model!AF$1&lt;='Assumptions (NG)'!$V$12),IPMT('Assumptions (NG)'!$V$9,Model!AF$1,'Assumptions (NG)'!$V$12,'Assumptions (NG)'!$V$7*(Model!$Y$439*AVERAGE('Assumptions (NG)'!$U$3:$W$3))/10^9),0)</f>
        <v>-0.007442069821</v>
      </c>
      <c r="AI570" s="224"/>
      <c r="AJ570" s="224"/>
      <c r="AK570" s="224"/>
      <c r="AL570" s="224"/>
      <c r="AM570" s="224"/>
      <c r="AN570" s="177"/>
      <c r="AO570" s="177"/>
      <c r="AP570" s="177"/>
      <c r="AQ570" s="177"/>
      <c r="AR570" s="177"/>
      <c r="AS570" s="177"/>
      <c r="AT570" s="177"/>
      <c r="AU570" s="177"/>
      <c r="AV570" s="177"/>
      <c r="AW570" s="177"/>
      <c r="AX570" s="177"/>
      <c r="AY570" s="177"/>
      <c r="AZ570" s="177"/>
      <c r="BA570" s="177"/>
      <c r="BB570" s="224"/>
      <c r="BC570" s="224"/>
      <c r="BD570" s="224"/>
      <c r="BE570" s="224"/>
      <c r="BF570" s="224"/>
      <c r="BG570" s="224"/>
      <c r="BH570" s="224"/>
      <c r="BI570" s="224"/>
      <c r="BJ570" s="224"/>
      <c r="BK570" s="224"/>
      <c r="BL570" s="224"/>
      <c r="BM570" s="224"/>
      <c r="BN570" s="224"/>
      <c r="BO570" s="224"/>
    </row>
    <row r="571" ht="15.75" hidden="1" customHeight="1" outlineLevel="1">
      <c r="A571" s="209"/>
      <c r="B571" s="38"/>
      <c r="C571" s="174"/>
      <c r="D571" s="174"/>
      <c r="E571" s="174"/>
      <c r="F571" s="174"/>
      <c r="G571" s="174"/>
      <c r="H571" s="174"/>
      <c r="I571" s="174"/>
      <c r="J571" s="174"/>
      <c r="L571" s="225"/>
      <c r="M571" s="225"/>
      <c r="N571" s="225"/>
      <c r="O571" s="225"/>
      <c r="P571" s="225"/>
      <c r="Q571" s="225"/>
      <c r="R571" s="225"/>
      <c r="S571" s="225"/>
      <c r="T571" s="225"/>
      <c r="U571" s="225"/>
      <c r="V571" s="225"/>
      <c r="W571" s="177"/>
      <c r="X571" s="177"/>
      <c r="Y571" s="177"/>
      <c r="Z571" s="224">
        <f>IF(and($Z$438&gt;0,Model!W$1&lt;='Assumptions (NG)'!$V$12),IPMT('Assumptions (NG)'!$V$9,Model!W$1,'Assumptions (NG)'!$V$12,'Assumptions (NG)'!$V$7*(Model!$Z$438*AVERAGE('Assumptions (NG)'!$V$2:$X$2))/10^9),0)+IF(and($Z$439&gt;0,Model!W$1&lt;='Assumptions (NG)'!$V$12),IPMT('Assumptions (NG)'!$V$9,Model!W$1,'Assumptions (NG)'!$V$12,'Assumptions (NG)'!$V$7*(Model!$Z$439*AVERAGE('Assumptions (NG)'!$V$3:$X$3))/10^9),0)</f>
        <v>-0.04957527087</v>
      </c>
      <c r="AA571" s="224">
        <f>IF(and($Z$438&gt;0,Model!X$1&lt;='Assumptions (NG)'!$V$12),IPMT('Assumptions (NG)'!$V$9,Model!X$1,'Assumptions (NG)'!$V$12,'Assumptions (NG)'!$V$7*(Model!$Z$438*AVERAGE('Assumptions (NG)'!$V$2:$X$2))/10^9),0)+IF(and($Z$439&gt;0,Model!X$1&lt;='Assumptions (NG)'!$V$12),IPMT('Assumptions (NG)'!$V$9,Model!X$1,'Assumptions (NG)'!$V$12,'Assumptions (NG)'!$V$7*(Model!$Z$439*AVERAGE('Assumptions (NG)'!$V$3:$X$3))/10^9),0)</f>
        <v>-0.04607099687</v>
      </c>
      <c r="AB571" s="224">
        <f>IF(and($Z$438&gt;0,Model!Y$1&lt;='Assumptions (NG)'!$V$12),IPMT('Assumptions (NG)'!$V$9,Model!Y$1,'Assumptions (NG)'!$V$12,'Assumptions (NG)'!$V$7*(Model!$Z$438*AVERAGE('Assumptions (NG)'!$V$2:$X$2))/10^9),0)+IF(and($Z$439&gt;0,Model!Y$1&lt;='Assumptions (NG)'!$V$12),IPMT('Assumptions (NG)'!$V$9,Model!Y$1,'Assumptions (NG)'!$V$12,'Assumptions (NG)'!$V$7*(Model!$Z$439*AVERAGE('Assumptions (NG)'!$V$3:$X$3))/10^9),0)</f>
        <v>-0.04230390233</v>
      </c>
      <c r="AC571" s="224">
        <f>IF(and($Z$438&gt;0,Model!Z$1&lt;='Assumptions (NG)'!$V$12),IPMT('Assumptions (NG)'!$V$9,Model!Z$1,'Assumptions (NG)'!$V$12,'Assumptions (NG)'!$V$7*(Model!$Z$438*AVERAGE('Assumptions (NG)'!$V$2:$X$2))/10^9),0)+IF(and($Z$439&gt;0,Model!Z$1&lt;='Assumptions (NG)'!$V$12),IPMT('Assumptions (NG)'!$V$9,Model!Z$1,'Assumptions (NG)'!$V$12,'Assumptions (NG)'!$V$7*(Model!$Z$439*AVERAGE('Assumptions (NG)'!$V$3:$X$3))/10^9),0)</f>
        <v>-0.03825427569</v>
      </c>
      <c r="AD571" s="224">
        <f>IF(and($Z$438&gt;0,Model!AA$1&lt;='Assumptions (NG)'!$V$12),IPMT('Assumptions (NG)'!$V$9,Model!AA$1,'Assumptions (NG)'!$V$12,'Assumptions (NG)'!$V$7*(Model!$Z$438*AVERAGE('Assumptions (NG)'!$V$2:$X$2))/10^9),0)+IF(and($Z$439&gt;0,Model!AA$1&lt;='Assumptions (NG)'!$V$12),IPMT('Assumptions (NG)'!$V$9,Model!AA$1,'Assumptions (NG)'!$V$12,'Assumptions (NG)'!$V$7*(Model!$Z$439*AVERAGE('Assumptions (NG)'!$V$3:$X$3))/10^9),0)</f>
        <v>-0.03390092705</v>
      </c>
      <c r="AE571" s="224">
        <f>IF(and($Z$438&gt;0,Model!AB$1&lt;='Assumptions (NG)'!$V$12),IPMT('Assumptions (NG)'!$V$9,Model!AB$1,'Assumptions (NG)'!$V$12,'Assumptions (NG)'!$V$7*(Model!$Z$438*AVERAGE('Assumptions (NG)'!$V$2:$X$2))/10^9),0)+IF(and($Z$439&gt;0,Model!AB$1&lt;='Assumptions (NG)'!$V$12),IPMT('Assumptions (NG)'!$V$9,Model!AB$1,'Assumptions (NG)'!$V$12,'Assumptions (NG)'!$V$7*(Model!$Z$439*AVERAGE('Assumptions (NG)'!$V$3:$X$3))/10^9),0)</f>
        <v>-0.02922107726</v>
      </c>
      <c r="AF571" s="224">
        <f>IF(and($Z$438&gt;0,Model!AC$1&lt;='Assumptions (NG)'!$V$12),IPMT('Assumptions (NG)'!$V$9,Model!AC$1,'Assumptions (NG)'!$V$12,'Assumptions (NG)'!$V$7*(Model!$Z$438*AVERAGE('Assumptions (NG)'!$V$2:$X$2))/10^9),0)+IF(and($Z$439&gt;0,Model!AC$1&lt;='Assumptions (NG)'!$V$12),IPMT('Assumptions (NG)'!$V$9,Model!AC$1,'Assumptions (NG)'!$V$12,'Assumptions (NG)'!$V$7*(Model!$Z$439*AVERAGE('Assumptions (NG)'!$V$3:$X$3))/10^9),0)</f>
        <v>-0.02419023874</v>
      </c>
      <c r="AG571" s="224">
        <f>IF(and($Z$438&gt;0,Model!AD$1&lt;='Assumptions (NG)'!$V$12),IPMT('Assumptions (NG)'!$V$9,Model!AD$1,'Assumptions (NG)'!$V$12,'Assumptions (NG)'!$V$7*(Model!$Z$438*AVERAGE('Assumptions (NG)'!$V$2:$X$2))/10^9),0)+IF(and($Z$439&gt;0,Model!AD$1&lt;='Assumptions (NG)'!$V$12),IPMT('Assumptions (NG)'!$V$9,Model!AD$1,'Assumptions (NG)'!$V$12,'Assumptions (NG)'!$V$7*(Model!$Z$439*AVERAGE('Assumptions (NG)'!$V$3:$X$3))/10^9),0)</f>
        <v>-0.01878208733</v>
      </c>
      <c r="AH571" s="224">
        <f>IF(and($Z$438&gt;0,Model!AE$1&lt;='Assumptions (NG)'!$V$12),IPMT('Assumptions (NG)'!$V$9,Model!AE$1,'Assumptions (NG)'!$V$12,'Assumptions (NG)'!$V$7*(Model!$Z$438*AVERAGE('Assumptions (NG)'!$V$2:$X$2))/10^9),0)+IF(and($Z$439&gt;0,Model!AE$1&lt;='Assumptions (NG)'!$V$12),IPMT('Assumptions (NG)'!$V$9,Model!AE$1,'Assumptions (NG)'!$V$12,'Assumptions (NG)'!$V$7*(Model!$Z$439*AVERAGE('Assumptions (NG)'!$V$3:$X$3))/10^9),0)</f>
        <v>-0.01296832457</v>
      </c>
      <c r="AI571" s="224">
        <f>IF(and($Z$438&gt;0,Model!AF$1&lt;='Assumptions (NG)'!$V$12),IPMT('Assumptions (NG)'!$V$9,Model!AF$1,'Assumptions (NG)'!$V$12,'Assumptions (NG)'!$V$7*(Model!$Z$438*AVERAGE('Assumptions (NG)'!$V$2:$X$2))/10^9),0)+IF(and($Z$439&gt;0,Model!AF$1&lt;='Assumptions (NG)'!$V$12),IPMT('Assumptions (NG)'!$V$9,Model!AF$1,'Assumptions (NG)'!$V$12,'Assumptions (NG)'!$V$7*(Model!$Z$439*AVERAGE('Assumptions (NG)'!$V$3:$X$3))/10^9),0)</f>
        <v>-0.006718529595</v>
      </c>
      <c r="AJ571" s="224"/>
      <c r="AK571" s="224"/>
      <c r="AL571" s="224"/>
      <c r="AM571" s="224"/>
      <c r="AN571" s="224"/>
      <c r="AO571" s="177"/>
      <c r="AP571" s="177"/>
      <c r="AQ571" s="177"/>
      <c r="AR571" s="177"/>
      <c r="AS571" s="177"/>
      <c r="AT571" s="177"/>
      <c r="AU571" s="177"/>
      <c r="AV571" s="177"/>
      <c r="AW571" s="177"/>
      <c r="AX571" s="177"/>
      <c r="AY571" s="177"/>
      <c r="AZ571" s="177"/>
      <c r="BA571" s="177"/>
      <c r="BB571" s="224"/>
      <c r="BC571" s="224"/>
      <c r="BD571" s="224"/>
      <c r="BE571" s="224"/>
      <c r="BF571" s="224"/>
      <c r="BG571" s="224"/>
      <c r="BH571" s="224"/>
      <c r="BI571" s="224"/>
      <c r="BJ571" s="224"/>
      <c r="BK571" s="224"/>
      <c r="BL571" s="224"/>
      <c r="BM571" s="224"/>
      <c r="BN571" s="224"/>
      <c r="BO571" s="224"/>
    </row>
    <row r="572" ht="15.75" hidden="1" customHeight="1" outlineLevel="1">
      <c r="A572" s="209"/>
      <c r="B572" s="38"/>
      <c r="C572" s="174"/>
      <c r="D572" s="174"/>
      <c r="E572" s="174"/>
      <c r="F572" s="174"/>
      <c r="G572" s="174"/>
      <c r="H572" s="174"/>
      <c r="I572" s="174"/>
      <c r="J572" s="174"/>
      <c r="L572" s="225"/>
      <c r="M572" s="225"/>
      <c r="N572" s="225"/>
      <c r="O572" s="225"/>
      <c r="P572" s="225"/>
      <c r="Q572" s="225"/>
      <c r="R572" s="225"/>
      <c r="S572" s="225"/>
      <c r="T572" s="225"/>
      <c r="U572" s="225"/>
      <c r="V572" s="225"/>
      <c r="W572" s="177"/>
      <c r="X572" s="177"/>
      <c r="Y572" s="177"/>
      <c r="Z572" s="177"/>
      <c r="AA572" s="224">
        <f>IF(and($AA$438&gt;0,Model!W$1&lt;='Assumptions (NG)'!$V$12),IPMT('Assumptions (NG)'!$V$9,Model!W$1,'Assumptions (NG)'!$V$12,'Assumptions (NG)'!$V$7*(Model!$AA$438*AVERAGE('Assumptions (NG)'!$W$2:$Y$2))/10^9),0)+IF(and($AA$439&gt;0,Model!W$1&lt;='Assumptions (NG)'!$V$12),IPMT('Assumptions (NG)'!$V$9,Model!W$1,'Assumptions (NG)'!$V$12,'Assumptions (NG)'!$V$7*(Model!$AA$439*AVERAGE('Assumptions (NG)'!$W$3:$Y$3))/10^9),0)</f>
        <v>-0.06718223331</v>
      </c>
      <c r="AB572" s="224">
        <f>IF(and($AA$438&gt;0,Model!X$1&lt;='Assumptions (NG)'!$V$12),IPMT('Assumptions (NG)'!$V$9,Model!X$1,'Assumptions (NG)'!$V$12,'Assumptions (NG)'!$V$7*(Model!$AA$438*AVERAGE('Assumptions (NG)'!$W$2:$Y$2))/10^9),0)+IF(and($AA$439&gt;0,Model!X$1&lt;='Assumptions (NG)'!$V$12),IPMT('Assumptions (NG)'!$V$9,Model!X$1,'Assumptions (NG)'!$V$12,'Assumptions (NG)'!$V$7*(Model!$AA$439*AVERAGE('Assumptions (NG)'!$W$3:$Y$3))/10^9),0)</f>
        <v>-0.06243339485</v>
      </c>
      <c r="AC572" s="224">
        <f>IF(and($AA$438&gt;0,Model!Y$1&lt;='Assumptions (NG)'!$V$12),IPMT('Assumptions (NG)'!$V$9,Model!Y$1,'Assumptions (NG)'!$V$12,'Assumptions (NG)'!$V$7*(Model!$AA$438*AVERAGE('Assumptions (NG)'!$W$2:$Y$2))/10^9),0)+IF(and($AA$439&gt;0,Model!Y$1&lt;='Assumptions (NG)'!$V$12),IPMT('Assumptions (NG)'!$V$9,Model!Y$1,'Assumptions (NG)'!$V$12,'Assumptions (NG)'!$V$7*(Model!$AA$439*AVERAGE('Assumptions (NG)'!$W$3:$Y$3))/10^9),0)</f>
        <v>-0.05732839349</v>
      </c>
      <c r="AD572" s="224">
        <f>IF(and($AA$438&gt;0,Model!Z$1&lt;='Assumptions (NG)'!$V$12),IPMT('Assumptions (NG)'!$V$9,Model!Z$1,'Assumptions (NG)'!$V$12,'Assumptions (NG)'!$V$7*(Model!$AA$438*AVERAGE('Assumptions (NG)'!$W$2:$Y$2))/10^9),0)+IF(and($AA$439&gt;0,Model!Z$1&lt;='Assumptions (NG)'!$V$12),IPMT('Assumptions (NG)'!$V$9,Model!Z$1,'Assumptions (NG)'!$V$12,'Assumptions (NG)'!$V$7*(Model!$AA$439*AVERAGE('Assumptions (NG)'!$W$3:$Y$3))/10^9),0)</f>
        <v>-0.05184051704</v>
      </c>
      <c r="AE572" s="224">
        <f>IF(and($AA$438&gt;0,Model!AA$1&lt;='Assumptions (NG)'!$V$12),IPMT('Assumptions (NG)'!$V$9,Model!AA$1,'Assumptions (NG)'!$V$12,'Assumptions (NG)'!$V$7*(Model!$AA$438*AVERAGE('Assumptions (NG)'!$W$2:$Y$2))/10^9),0)+IF(and($AA$439&gt;0,Model!AA$1&lt;='Assumptions (NG)'!$V$12),IPMT('Assumptions (NG)'!$V$9,Model!AA$1,'Assumptions (NG)'!$V$12,'Assumptions (NG)'!$V$7*(Model!$AA$439*AVERAGE('Assumptions (NG)'!$W$3:$Y$3))/10^9),0)</f>
        <v>-0.04594104985</v>
      </c>
      <c r="AF572" s="224">
        <f>IF(and($AA$438&gt;0,Model!AB$1&lt;='Assumptions (NG)'!$V$12),IPMT('Assumptions (NG)'!$V$9,Model!AB$1,'Assumptions (NG)'!$V$12,'Assumptions (NG)'!$V$7*(Model!$AA$438*AVERAGE('Assumptions (NG)'!$W$2:$Y$2))/10^9),0)+IF(and($AA$439&gt;0,Model!AB$1&lt;='Assumptions (NG)'!$V$12),IPMT('Assumptions (NG)'!$V$9,Model!AB$1,'Assumptions (NG)'!$V$12,'Assumptions (NG)'!$V$7*(Model!$AA$439*AVERAGE('Assumptions (NG)'!$W$3:$Y$3))/10^9),0)</f>
        <v>-0.03959912262</v>
      </c>
      <c r="AG572" s="224">
        <f>IF(and($AA$438&gt;0,Model!AC$1&lt;='Assumptions (NG)'!$V$12),IPMT('Assumptions (NG)'!$V$9,Model!AC$1,'Assumptions (NG)'!$V$12,'Assumptions (NG)'!$V$7*(Model!$AA$438*AVERAGE('Assumptions (NG)'!$W$2:$Y$2))/10^9),0)+IF(and($AA$439&gt;0,Model!AC$1&lt;='Assumptions (NG)'!$V$12),IPMT('Assumptions (NG)'!$V$9,Model!AC$1,'Assumptions (NG)'!$V$12,'Assumptions (NG)'!$V$7*(Model!$AA$439*AVERAGE('Assumptions (NG)'!$W$3:$Y$3))/10^9),0)</f>
        <v>-0.03278155085</v>
      </c>
      <c r="AH572" s="224">
        <f>IF(and($AA$438&gt;0,Model!AD$1&lt;='Assumptions (NG)'!$V$12),IPMT('Assumptions (NG)'!$V$9,Model!AD$1,'Assumptions (NG)'!$V$12,'Assumptions (NG)'!$V$7*(Model!$AA$438*AVERAGE('Assumptions (NG)'!$W$2:$Y$2))/10^9),0)+IF(and($AA$439&gt;0,Model!AD$1&lt;='Assumptions (NG)'!$V$12),IPMT('Assumptions (NG)'!$V$9,Model!AD$1,'Assumptions (NG)'!$V$12,'Assumptions (NG)'!$V$7*(Model!$AA$439*AVERAGE('Assumptions (NG)'!$W$3:$Y$3))/10^9),0)</f>
        <v>-0.0254526612</v>
      </c>
      <c r="AI572" s="224">
        <f>IF(and($AA$438&gt;0,Model!AE$1&lt;='Assumptions (NG)'!$V$12),IPMT('Assumptions (NG)'!$V$9,Model!AE$1,'Assumptions (NG)'!$V$12,'Assumptions (NG)'!$V$7*(Model!$AA$438*AVERAGE('Assumptions (NG)'!$W$2:$Y$2))/10^9),0)+IF(and($AA$439&gt;0,Model!AE$1&lt;='Assumptions (NG)'!$V$12),IPMT('Assumptions (NG)'!$V$9,Model!AE$1,'Assumptions (NG)'!$V$12,'Assumptions (NG)'!$V$7*(Model!$AA$439*AVERAGE('Assumptions (NG)'!$W$3:$Y$3))/10^9),0)</f>
        <v>-0.01757410482</v>
      </c>
      <c r="AJ572" s="224">
        <f>IF(and($AA$438&gt;0,Model!AF$1&lt;='Assumptions (NG)'!$V$12),IPMT('Assumptions (NG)'!$V$9,Model!AF$1,'Assumptions (NG)'!$V$12,'Assumptions (NG)'!$V$7*(Model!$AA$438*AVERAGE('Assumptions (NG)'!$W$2:$Y$2))/10^9),0)+IF(and($AA$439&gt;0,Model!AF$1&lt;='Assumptions (NG)'!$V$12),IPMT('Assumptions (NG)'!$V$9,Model!AF$1,'Assumptions (NG)'!$V$12,'Assumptions (NG)'!$V$7*(Model!$AA$439*AVERAGE('Assumptions (NG)'!$W$3:$Y$3))/10^9),0)</f>
        <v>-0.009104656713</v>
      </c>
      <c r="AK572" s="224"/>
      <c r="AL572" s="224"/>
      <c r="AM572" s="224"/>
      <c r="AN572" s="224"/>
      <c r="AO572" s="224"/>
      <c r="AP572" s="177"/>
      <c r="AQ572" s="177"/>
      <c r="AR572" s="177"/>
      <c r="AS572" s="177"/>
      <c r="AT572" s="177"/>
      <c r="AU572" s="177"/>
      <c r="AV572" s="177"/>
      <c r="AW572" s="177"/>
      <c r="AX572" s="177"/>
      <c r="AY572" s="177"/>
      <c r="AZ572" s="177"/>
      <c r="BA572" s="177"/>
      <c r="BB572" s="224"/>
      <c r="BC572" s="224"/>
      <c r="BD572" s="224"/>
      <c r="BE572" s="224"/>
      <c r="BF572" s="224"/>
      <c r="BG572" s="224"/>
      <c r="BH572" s="224"/>
      <c r="BI572" s="224"/>
      <c r="BJ572" s="224"/>
      <c r="BK572" s="224"/>
      <c r="BL572" s="224"/>
      <c r="BM572" s="224"/>
      <c r="BN572" s="224"/>
      <c r="BO572" s="224"/>
    </row>
    <row r="573" ht="15.75" hidden="1" customHeight="1" outlineLevel="1">
      <c r="A573" s="209"/>
      <c r="B573" s="38"/>
      <c r="C573" s="174"/>
      <c r="D573" s="174"/>
      <c r="E573" s="174"/>
      <c r="F573" s="174"/>
      <c r="G573" s="174"/>
      <c r="H573" s="174"/>
      <c r="I573" s="174"/>
      <c r="J573" s="174"/>
      <c r="L573" s="225"/>
      <c r="M573" s="225"/>
      <c r="N573" s="225"/>
      <c r="O573" s="225"/>
      <c r="P573" s="225"/>
      <c r="Q573" s="225"/>
      <c r="R573" s="225"/>
      <c r="S573" s="225"/>
      <c r="T573" s="225"/>
      <c r="U573" s="225"/>
      <c r="V573" s="225"/>
      <c r="W573" s="177"/>
      <c r="X573" s="177"/>
      <c r="Y573" s="177"/>
      <c r="Z573" s="177"/>
      <c r="AA573" s="177"/>
      <c r="AB573" s="224">
        <f>IF(and($AB$438&gt;0,Model!W$1&lt;='Assumptions (NG)'!$V$12),IPMT('Assumptions (NG)'!$V$9,Model!W$1,'Assumptions (NG)'!$V$12,'Assumptions (NG)'!$V$7*(Model!$AB$438*AVERAGE('Assumptions (NG)'!$X$2:$Z$2))/10^9),0)+IF(and($AB$439&gt;0,Model!W$1&lt;='Assumptions (NG)'!$V$12),IPMT('Assumptions (NG)'!$V$9,Model!W$1,'Assumptions (NG)'!$V$12,'Assumptions (NG)'!$V$7*(Model!$AB$439*AVERAGE('Assumptions (NG)'!$X$3:$Z$3))/10^9),0)</f>
        <v>-0.1107770593</v>
      </c>
      <c r="AC573" s="224">
        <f>IF(and($AB$438&gt;0,Model!X$1&lt;='Assumptions (NG)'!$V$12),IPMT('Assumptions (NG)'!$V$9,Model!X$1,'Assumptions (NG)'!$V$12,'Assumptions (NG)'!$V$7*(Model!$AB$438*AVERAGE('Assumptions (NG)'!$X$2:$Z$2))/10^9),0)+IF(and($AB$439&gt;0,Model!X$1&lt;='Assumptions (NG)'!$V$12),IPMT('Assumptions (NG)'!$V$9,Model!X$1,'Assumptions (NG)'!$V$12,'Assumptions (NG)'!$V$7*(Model!$AB$439*AVERAGE('Assumptions (NG)'!$X$3:$Z$3))/10^9),0)</f>
        <v>-0.1029466801</v>
      </c>
      <c r="AD573" s="224">
        <f>IF(and($AB$438&gt;0,Model!Y$1&lt;='Assumptions (NG)'!$V$12),IPMT('Assumptions (NG)'!$V$9,Model!Y$1,'Assumptions (NG)'!$V$12,'Assumptions (NG)'!$V$7*(Model!$AB$438*AVERAGE('Assumptions (NG)'!$X$2:$Z$2))/10^9),0)+IF(and($AB$439&gt;0,Model!Y$1&lt;='Assumptions (NG)'!$V$12),IPMT('Assumptions (NG)'!$V$9,Model!Y$1,'Assumptions (NG)'!$V$12,'Assumptions (NG)'!$V$7*(Model!$AB$439*AVERAGE('Assumptions (NG)'!$X$3:$Z$3))/10^9),0)</f>
        <v>-0.09452902253</v>
      </c>
      <c r="AE573" s="224">
        <f>IF(and($AB$438&gt;0,Model!Z$1&lt;='Assumptions (NG)'!$V$12),IPMT('Assumptions (NG)'!$V$9,Model!Z$1,'Assumptions (NG)'!$V$12,'Assumptions (NG)'!$V$7*(Model!$AB$438*AVERAGE('Assumptions (NG)'!$X$2:$Z$2))/10^9),0)+IF(and($AB$439&gt;0,Model!Z$1&lt;='Assumptions (NG)'!$V$12),IPMT('Assumptions (NG)'!$V$9,Model!Z$1,'Assumptions (NG)'!$V$12,'Assumptions (NG)'!$V$7*(Model!$AB$439*AVERAGE('Assumptions (NG)'!$X$3:$Z$3))/10^9),0)</f>
        <v>-0.0854800406</v>
      </c>
      <c r="AF573" s="224">
        <f>IF(and($AB$438&gt;0,Model!AA$1&lt;='Assumptions (NG)'!$V$12),IPMT('Assumptions (NG)'!$V$9,Model!AA$1,'Assumptions (NG)'!$V$12,'Assumptions (NG)'!$V$7*(Model!$AB$438*AVERAGE('Assumptions (NG)'!$X$2:$Z$2))/10^9),0)+IF(and($AB$439&gt;0,Model!AA$1&lt;='Assumptions (NG)'!$V$12),IPMT('Assumptions (NG)'!$V$9,Model!AA$1,'Assumptions (NG)'!$V$12,'Assumptions (NG)'!$V$7*(Model!$AB$439*AVERAGE('Assumptions (NG)'!$X$3:$Z$3))/10^9),0)</f>
        <v>-0.07575238502</v>
      </c>
      <c r="AG573" s="224">
        <f>IF(and($AB$438&gt;0,Model!AB$1&lt;='Assumptions (NG)'!$V$12),IPMT('Assumptions (NG)'!$V$9,Model!AB$1,'Assumptions (NG)'!$V$12,'Assumptions (NG)'!$V$7*(Model!$AB$438*AVERAGE('Assumptions (NG)'!$X$2:$Z$2))/10^9),0)+IF(and($AB$439&gt;0,Model!AB$1&lt;='Assumptions (NG)'!$V$12),IPMT('Assumptions (NG)'!$V$9,Model!AB$1,'Assumptions (NG)'!$V$12,'Assumptions (NG)'!$V$7*(Model!$AB$439*AVERAGE('Assumptions (NG)'!$X$3:$Z$3))/10^9),0)</f>
        <v>-0.06529515527</v>
      </c>
      <c r="AH573" s="224">
        <f>IF(and($AB$438&gt;0,Model!AC$1&lt;='Assumptions (NG)'!$V$12),IPMT('Assumptions (NG)'!$V$9,Model!AC$1,'Assumptions (NG)'!$V$12,'Assumptions (NG)'!$V$7*(Model!$AB$438*AVERAGE('Assumptions (NG)'!$X$2:$Z$2))/10^9),0)+IF(and($AB$439&gt;0,Model!AC$1&lt;='Assumptions (NG)'!$V$12),IPMT('Assumptions (NG)'!$V$9,Model!AC$1,'Assumptions (NG)'!$V$12,'Assumptions (NG)'!$V$7*(Model!$AB$439*AVERAGE('Assumptions (NG)'!$X$3:$Z$3))/10^9),0)</f>
        <v>-0.05405363329</v>
      </c>
      <c r="AI573" s="224">
        <f>IF(and($AB$438&gt;0,Model!AD$1&lt;='Assumptions (NG)'!$V$12),IPMT('Assumptions (NG)'!$V$9,Model!AD$1,'Assumptions (NG)'!$V$12,'Assumptions (NG)'!$V$7*(Model!$AB$438*AVERAGE('Assumptions (NG)'!$X$2:$Z$2))/10^9),0)+IF(and($AB$439&gt;0,Model!AD$1&lt;='Assumptions (NG)'!$V$12),IPMT('Assumptions (NG)'!$V$9,Model!AD$1,'Assumptions (NG)'!$V$12,'Assumptions (NG)'!$V$7*(Model!$AB$439*AVERAGE('Assumptions (NG)'!$X$3:$Z$3))/10^9),0)</f>
        <v>-0.04196899716</v>
      </c>
      <c r="AJ573" s="224">
        <f>IF(and($AB$438&gt;0,Model!AE$1&lt;='Assumptions (NG)'!$V$12),IPMT('Assumptions (NG)'!$V$9,Model!AE$1,'Assumptions (NG)'!$V$12,'Assumptions (NG)'!$V$7*(Model!$AB$438*AVERAGE('Assumptions (NG)'!$X$2:$Z$2))/10^9),0)+IF(and($AB$439&gt;0,Model!AE$1&lt;='Assumptions (NG)'!$V$12),IPMT('Assumptions (NG)'!$V$9,Model!AE$1,'Assumptions (NG)'!$V$12,'Assumptions (NG)'!$V$7*(Model!$AB$439*AVERAGE('Assumptions (NG)'!$X$3:$Z$3))/10^9),0)</f>
        <v>-0.02897801332</v>
      </c>
      <c r="AK573" s="224">
        <f>IF(and($AB$438&gt;0,Model!AF$1&lt;='Assumptions (NG)'!$V$12),IPMT('Assumptions (NG)'!$V$9,Model!AF$1,'Assumptions (NG)'!$V$12,'Assumptions (NG)'!$V$7*(Model!$AB$438*AVERAGE('Assumptions (NG)'!$X$2:$Z$2))/10^9),0)+IF(and($AB$439&gt;0,Model!AF$1&lt;='Assumptions (NG)'!$V$12),IPMT('Assumptions (NG)'!$V$9,Model!AF$1,'Assumptions (NG)'!$V$12,'Assumptions (NG)'!$V$7*(Model!$AB$439*AVERAGE('Assumptions (NG)'!$X$3:$Z$3))/10^9),0)</f>
        <v>-0.0150127057</v>
      </c>
      <c r="AL573" s="224"/>
      <c r="AM573" s="224"/>
      <c r="AN573" s="224"/>
      <c r="AO573" s="224"/>
      <c r="AP573" s="224"/>
      <c r="AQ573" s="177"/>
      <c r="AR573" s="177"/>
      <c r="AS573" s="177"/>
      <c r="AT573" s="177"/>
      <c r="AU573" s="177"/>
      <c r="AV573" s="177"/>
      <c r="AW573" s="177"/>
      <c r="AX573" s="177"/>
      <c r="AY573" s="177"/>
      <c r="AZ573" s="177"/>
      <c r="BA573" s="177"/>
      <c r="BB573" s="224"/>
      <c r="BC573" s="224"/>
      <c r="BD573" s="224"/>
      <c r="BE573" s="224"/>
      <c r="BF573" s="224"/>
      <c r="BG573" s="224"/>
      <c r="BH573" s="224"/>
      <c r="BI573" s="224"/>
      <c r="BJ573" s="224"/>
      <c r="BK573" s="224"/>
      <c r="BL573" s="224"/>
      <c r="BM573" s="224"/>
      <c r="BN573" s="224"/>
      <c r="BO573" s="224"/>
    </row>
    <row r="574" ht="15.75" hidden="1" customHeight="1" outlineLevel="1">
      <c r="A574" s="209"/>
      <c r="B574" s="38"/>
      <c r="C574" s="174"/>
      <c r="D574" s="174"/>
      <c r="E574" s="174"/>
      <c r="F574" s="174"/>
      <c r="G574" s="174"/>
      <c r="H574" s="174"/>
      <c r="I574" s="174"/>
      <c r="J574" s="174"/>
      <c r="L574" s="225"/>
      <c r="M574" s="225"/>
      <c r="N574" s="225"/>
      <c r="O574" s="225"/>
      <c r="P574" s="225"/>
      <c r="Q574" s="225"/>
      <c r="R574" s="225"/>
      <c r="S574" s="225"/>
      <c r="T574" s="225"/>
      <c r="U574" s="225"/>
      <c r="V574" s="225"/>
      <c r="W574" s="177"/>
      <c r="X574" s="177"/>
      <c r="Y574" s="177"/>
      <c r="Z574" s="177"/>
      <c r="AA574" s="177"/>
      <c r="AB574" s="177"/>
      <c r="AC574" s="224">
        <f>IF(and($AC$438&gt;0,Model!W$1&lt;='Assumptions (NG)'!$V$12),IPMT('Assumptions (NG)'!$V$9,Model!W$1,'Assumptions (NG)'!$V$12,'Assumptions (NG)'!$V$7*(Model!$AC$438*AVERAGE('Assumptions (NG)'!$Y$2:$AA$2))/10^9),0)+IF(and($AC$439&gt;0,Model!W$1&lt;='Assumptions (NG)'!$V$12),IPMT('Assumptions (NG)'!$V$9,Model!W$1,'Assumptions (NG)'!$V$12,'Assumptions (NG)'!$V$7*(Model!$AC$439*AVERAGE('Assumptions (NG)'!$Y$3:$AA$3))/10^9),0)</f>
        <v>-0.04141985217</v>
      </c>
      <c r="AD574" s="224">
        <f>IF(and($AC$438&gt;0,Model!X$1&lt;='Assumptions (NG)'!$V$12),IPMT('Assumptions (NG)'!$V$9,Model!X$1,'Assumptions (NG)'!$V$12,'Assumptions (NG)'!$V$7*(Model!$AC$438*AVERAGE('Assumptions (NG)'!$Y$2:$AA$2))/10^9),0)+IF(and($AC$439&gt;0,Model!X$1&lt;='Assumptions (NG)'!$V$12),IPMT('Assumptions (NG)'!$V$9,Model!X$1,'Assumptions (NG)'!$V$12,'Assumptions (NG)'!$V$7*(Model!$AC$439*AVERAGE('Assumptions (NG)'!$Y$3:$AA$3))/10^9),0)</f>
        <v>-0.03849205151</v>
      </c>
      <c r="AE574" s="224">
        <f>IF(and($AC$438&gt;0,Model!Y$1&lt;='Assumptions (NG)'!$V$12),IPMT('Assumptions (NG)'!$V$9,Model!Y$1,'Assumptions (NG)'!$V$12,'Assumptions (NG)'!$V$7*(Model!$AC$438*AVERAGE('Assumptions (NG)'!$Y$2:$AA$2))/10^9),0)+IF(and($AC$439&gt;0,Model!Y$1&lt;='Assumptions (NG)'!$V$12),IPMT('Assumptions (NG)'!$V$9,Model!Y$1,'Assumptions (NG)'!$V$12,'Assumptions (NG)'!$V$7*(Model!$AC$439*AVERAGE('Assumptions (NG)'!$Y$3:$AA$3))/10^9),0)</f>
        <v>-0.03534466579</v>
      </c>
      <c r="AF574" s="224">
        <f>IF(and($AC$438&gt;0,Model!Z$1&lt;='Assumptions (NG)'!$V$12),IPMT('Assumptions (NG)'!$V$9,Model!Z$1,'Assumptions (NG)'!$V$12,'Assumptions (NG)'!$V$7*(Model!$AC$438*AVERAGE('Assumptions (NG)'!$Y$2:$AA$2))/10^9),0)+IF(and($AC$439&gt;0,Model!Z$1&lt;='Assumptions (NG)'!$V$12),IPMT('Assumptions (NG)'!$V$9,Model!Z$1,'Assumptions (NG)'!$V$12,'Assumptions (NG)'!$V$7*(Model!$AC$439*AVERAGE('Assumptions (NG)'!$Y$3:$AA$3))/10^9),0)</f>
        <v>-0.03196122615</v>
      </c>
      <c r="AG574" s="224">
        <f>IF(and($AC$438&gt;0,Model!AA$1&lt;='Assumptions (NG)'!$V$12),IPMT('Assumptions (NG)'!$V$9,Model!AA$1,'Assumptions (NG)'!$V$12,'Assumptions (NG)'!$V$7*(Model!$AC$438*AVERAGE('Assumptions (NG)'!$Y$2:$AA$2))/10^9),0)+IF(and($AC$439&gt;0,Model!AA$1&lt;='Assumptions (NG)'!$V$12),IPMT('Assumptions (NG)'!$V$9,Model!AA$1,'Assumptions (NG)'!$V$12,'Assumptions (NG)'!$V$7*(Model!$AC$439*AVERAGE('Assumptions (NG)'!$Y$3:$AA$3))/10^9),0)</f>
        <v>-0.02832402853</v>
      </c>
      <c r="AH574" s="224">
        <f>IF(and($AC$438&gt;0,Model!AB$1&lt;='Assumptions (NG)'!$V$12),IPMT('Assumptions (NG)'!$V$9,Model!AB$1,'Assumptions (NG)'!$V$12,'Assumptions (NG)'!$V$7*(Model!$AC$438*AVERAGE('Assumptions (NG)'!$Y$2:$AA$2))/10^9),0)+IF(and($AC$439&gt;0,Model!AB$1&lt;='Assumptions (NG)'!$V$12),IPMT('Assumptions (NG)'!$V$9,Model!AB$1,'Assumptions (NG)'!$V$12,'Assumptions (NG)'!$V$7*(Model!$AC$439*AVERAGE('Assumptions (NG)'!$Y$3:$AA$3))/10^9),0)</f>
        <v>-0.0244140411</v>
      </c>
      <c r="AI574" s="224">
        <f>IF(and($AC$438&gt;0,Model!AC$1&lt;='Assumptions (NG)'!$V$12),IPMT('Assumptions (NG)'!$V$9,Model!AC$1,'Assumptions (NG)'!$V$12,'Assumptions (NG)'!$V$7*(Model!$AC$438*AVERAGE('Assumptions (NG)'!$Y$2:$AA$2))/10^9),0)+IF(and($AC$439&gt;0,Model!AC$1&lt;='Assumptions (NG)'!$V$12),IPMT('Assumptions (NG)'!$V$9,Model!AC$1,'Assumptions (NG)'!$V$12,'Assumptions (NG)'!$V$7*(Model!$AC$439*AVERAGE('Assumptions (NG)'!$Y$3:$AA$3))/10^9),0)</f>
        <v>-0.0202108046</v>
      </c>
      <c r="AJ574" s="224">
        <f>IF(and($AC$438&gt;0,Model!AD$1&lt;='Assumptions (NG)'!$V$12),IPMT('Assumptions (NG)'!$V$9,Model!AD$1,'Assumptions (NG)'!$V$12,'Assumptions (NG)'!$V$7*(Model!$AC$438*AVERAGE('Assumptions (NG)'!$Y$2:$AA$2))/10^9),0)+IF(and($AC$439&gt;0,Model!AD$1&lt;='Assumptions (NG)'!$V$12),IPMT('Assumptions (NG)'!$V$9,Model!AD$1,'Assumptions (NG)'!$V$12,'Assumptions (NG)'!$V$7*(Model!$AC$439*AVERAGE('Assumptions (NG)'!$Y$3:$AA$3))/10^9),0)</f>
        <v>-0.01569232537</v>
      </c>
      <c r="AK574" s="224">
        <f>IF(and($AC$438&gt;0,Model!AE$1&lt;='Assumptions (NG)'!$V$12),IPMT('Assumptions (NG)'!$V$9,Model!AE$1,'Assumptions (NG)'!$V$12,'Assumptions (NG)'!$V$7*(Model!$AC$438*AVERAGE('Assumptions (NG)'!$Y$2:$AA$2))/10^9),0)+IF(and($AC$439&gt;0,Model!AE$1&lt;='Assumptions (NG)'!$V$12),IPMT('Assumptions (NG)'!$V$9,Model!AE$1,'Assumptions (NG)'!$V$12,'Assumptions (NG)'!$V$7*(Model!$AC$439*AVERAGE('Assumptions (NG)'!$Y$3:$AA$3))/10^9),0)</f>
        <v>-0.01083496019</v>
      </c>
      <c r="AL574" s="224">
        <f>IF(and($AC$438&gt;0,Model!AF$1&lt;='Assumptions (NG)'!$V$12),IPMT('Assumptions (NG)'!$V$9,Model!AF$1,'Assumptions (NG)'!$V$12,'Assumptions (NG)'!$V$7*(Model!$AC$438*AVERAGE('Assumptions (NG)'!$Y$2:$AA$2))/10^9),0)+IF(and($AC$439&gt;0,Model!AF$1&lt;='Assumptions (NG)'!$V$12),IPMT('Assumptions (NG)'!$V$9,Model!AF$1,'Assumptions (NG)'!$V$12,'Assumptions (NG)'!$V$7*(Model!$AC$439*AVERAGE('Assumptions (NG)'!$Y$3:$AA$3))/10^9),0)</f>
        <v>-0.00561329263</v>
      </c>
      <c r="AM574" s="224"/>
      <c r="AN574" s="224"/>
      <c r="AO574" s="224"/>
      <c r="AP574" s="224"/>
      <c r="AQ574" s="224"/>
      <c r="AR574" s="177"/>
      <c r="AS574" s="177"/>
      <c r="AT574" s="177"/>
      <c r="AU574" s="177"/>
      <c r="AV574" s="177"/>
      <c r="AW574" s="177"/>
      <c r="AX574" s="177"/>
      <c r="AY574" s="177"/>
      <c r="AZ574" s="177"/>
      <c r="BA574" s="177"/>
      <c r="BB574" s="224"/>
      <c r="BC574" s="224"/>
      <c r="BD574" s="224"/>
      <c r="BE574" s="224"/>
      <c r="BF574" s="224"/>
      <c r="BG574" s="224"/>
      <c r="BH574" s="224"/>
      <c r="BI574" s="224"/>
      <c r="BJ574" s="224"/>
      <c r="BK574" s="224"/>
      <c r="BL574" s="224"/>
      <c r="BM574" s="224"/>
      <c r="BN574" s="224"/>
      <c r="BO574" s="224"/>
    </row>
    <row r="575" ht="15.75" hidden="1" customHeight="1" outlineLevel="1">
      <c r="A575" s="209"/>
      <c r="B575" s="38"/>
      <c r="C575" s="174"/>
      <c r="D575" s="174"/>
      <c r="E575" s="174"/>
      <c r="F575" s="174"/>
      <c r="G575" s="174"/>
      <c r="H575" s="174"/>
      <c r="I575" s="174"/>
      <c r="J575" s="174"/>
      <c r="L575" s="225"/>
      <c r="M575" s="225"/>
      <c r="N575" s="225"/>
      <c r="O575" s="225"/>
      <c r="P575" s="225"/>
      <c r="Q575" s="225"/>
      <c r="R575" s="225"/>
      <c r="S575" s="225"/>
      <c r="T575" s="225"/>
      <c r="U575" s="225"/>
      <c r="V575" s="225"/>
      <c r="W575" s="177"/>
      <c r="X575" s="177"/>
      <c r="Y575" s="177"/>
      <c r="Z575" s="177"/>
      <c r="AA575" s="177"/>
      <c r="AB575" s="177"/>
      <c r="AC575" s="177"/>
      <c r="AD575" s="224">
        <f>IF(and($AD$438&gt;0,Model!W$1&lt;='Assumptions (NG)'!$V$12),IPMT('Assumptions (NG)'!$V$9,Model!W$1,'Assumptions (NG)'!$V$12,'Assumptions (NG)'!$V$7*(Model!$AD$438*AVERAGE('Assumptions (NG)'!$Z$2:$AB$2))/10^9),0)+IF(and($AD$439&gt;0,Model!W$1&lt;='Assumptions (NG)'!$V$12),IPMT('Assumptions (NG)'!$V$9,Model!W$1,'Assumptions (NG)'!$V$12,'Assumptions (NG)'!$V$7*(Model!$AD$439*AVERAGE('Assumptions (NG)'!$Z$3:$AB$3))/10^9),0)</f>
        <v>-0.04224386855</v>
      </c>
      <c r="AE575" s="224">
        <f>IF(and($AD$438&gt;0,Model!X$1&lt;='Assumptions (NG)'!$V$12),IPMT('Assumptions (NG)'!$V$9,Model!X$1,'Assumptions (NG)'!$V$12,'Assumptions (NG)'!$V$7*(Model!$AD$438*AVERAGE('Assumptions (NG)'!$Z$2:$AB$2))/10^9),0)+IF(and($AD$439&gt;0,Model!X$1&lt;='Assumptions (NG)'!$V$12),IPMT('Assumptions (NG)'!$V$9,Model!X$1,'Assumptions (NG)'!$V$12,'Assumptions (NG)'!$V$7*(Model!$AD$439*AVERAGE('Assumptions (NG)'!$Z$3:$AB$3))/10^9),0)</f>
        <v>-0.03925782152</v>
      </c>
      <c r="AF575" s="224">
        <f>IF(and($AD$438&gt;0,Model!Y$1&lt;='Assumptions (NG)'!$V$12),IPMT('Assumptions (NG)'!$V$9,Model!Y$1,'Assumptions (NG)'!$V$12,'Assumptions (NG)'!$V$7*(Model!$AD$438*AVERAGE('Assumptions (NG)'!$Z$2:$AB$2))/10^9),0)+IF(and($AD$439&gt;0,Model!Y$1&lt;='Assumptions (NG)'!$V$12),IPMT('Assumptions (NG)'!$V$9,Model!Y$1,'Assumptions (NG)'!$V$12,'Assumptions (NG)'!$V$7*(Model!$AD$439*AVERAGE('Assumptions (NG)'!$Z$3:$AB$3))/10^9),0)</f>
        <v>-0.03604782097</v>
      </c>
      <c r="AG575" s="224">
        <f>IF(and($AD$438&gt;0,Model!Z$1&lt;='Assumptions (NG)'!$V$12),IPMT('Assumptions (NG)'!$V$9,Model!Z$1,'Assumptions (NG)'!$V$12,'Assumptions (NG)'!$V$7*(Model!$AD$438*AVERAGE('Assumptions (NG)'!$Z$2:$AB$2))/10^9),0)+IF(and($AD$439&gt;0,Model!Z$1&lt;='Assumptions (NG)'!$V$12),IPMT('Assumptions (NG)'!$V$9,Model!Z$1,'Assumptions (NG)'!$V$12,'Assumptions (NG)'!$V$7*(Model!$AD$439*AVERAGE('Assumptions (NG)'!$Z$3:$AB$3))/10^9),0)</f>
        <v>-0.03259707037</v>
      </c>
      <c r="AH575" s="224">
        <f>IF(and($AD$438&gt;0,Model!AA$1&lt;='Assumptions (NG)'!$V$12),IPMT('Assumptions (NG)'!$V$9,Model!AA$1,'Assumptions (NG)'!$V$12,'Assumptions (NG)'!$V$7*(Model!$AD$438*AVERAGE('Assumptions (NG)'!$Z$2:$AB$2))/10^9),0)+IF(and($AD$439&gt;0,Model!AA$1&lt;='Assumptions (NG)'!$V$12),IPMT('Assumptions (NG)'!$V$9,Model!AA$1,'Assumptions (NG)'!$V$12,'Assumptions (NG)'!$V$7*(Model!$AD$439*AVERAGE('Assumptions (NG)'!$Z$3:$AB$3))/10^9),0)</f>
        <v>-0.02888751348</v>
      </c>
      <c r="AI575" s="224">
        <f>IF(and($AD$438&gt;0,Model!AB$1&lt;='Assumptions (NG)'!$V$12),IPMT('Assumptions (NG)'!$V$9,Model!AB$1,'Assumptions (NG)'!$V$12,'Assumptions (NG)'!$V$7*(Model!$AD$438*AVERAGE('Assumptions (NG)'!$Z$2:$AB$2))/10^9),0)+IF(and($AD$439&gt;0,Model!AB$1&lt;='Assumptions (NG)'!$V$12),IPMT('Assumptions (NG)'!$V$9,Model!AB$1,'Assumptions (NG)'!$V$12,'Assumptions (NG)'!$V$7*(Model!$AD$439*AVERAGE('Assumptions (NG)'!$Z$3:$AB$3))/10^9),0)</f>
        <v>-0.02489973983</v>
      </c>
      <c r="AJ575" s="224">
        <f>IF(and($AD$438&gt;0,Model!AC$1&lt;='Assumptions (NG)'!$V$12),IPMT('Assumptions (NG)'!$V$9,Model!AC$1,'Assumptions (NG)'!$V$12,'Assumptions (NG)'!$V$7*(Model!$AD$438*AVERAGE('Assumptions (NG)'!$Z$2:$AB$2))/10^9),0)+IF(and($AD$439&gt;0,Model!AC$1&lt;='Assumptions (NG)'!$V$12),IPMT('Assumptions (NG)'!$V$9,Model!AC$1,'Assumptions (NG)'!$V$12,'Assumptions (NG)'!$V$7*(Model!$AD$439*AVERAGE('Assumptions (NG)'!$Z$3:$AB$3))/10^9),0)</f>
        <v>-0.02061288315</v>
      </c>
      <c r="AK575" s="224">
        <f>IF(and($AD$438&gt;0,Model!AD$1&lt;='Assumptions (NG)'!$V$12),IPMT('Assumptions (NG)'!$V$9,Model!AD$1,'Assumptions (NG)'!$V$12,'Assumptions (NG)'!$V$7*(Model!$AD$438*AVERAGE('Assumptions (NG)'!$Z$2:$AB$2))/10^9),0)+IF(and($AD$439&gt;0,Model!AD$1&lt;='Assumptions (NG)'!$V$12),IPMT('Assumptions (NG)'!$V$9,Model!AD$1,'Assumptions (NG)'!$V$12,'Assumptions (NG)'!$V$7*(Model!$AD$439*AVERAGE('Assumptions (NG)'!$Z$3:$AB$3))/10^9),0)</f>
        <v>-0.01600451221</v>
      </c>
      <c r="AL575" s="224">
        <f>IF(and($AD$438&gt;0,Model!AE$1&lt;='Assumptions (NG)'!$V$12),IPMT('Assumptions (NG)'!$V$9,Model!AE$1,'Assumptions (NG)'!$V$12,'Assumptions (NG)'!$V$7*(Model!$AD$438*AVERAGE('Assumptions (NG)'!$Z$2:$AB$2))/10^9),0)+IF(and($AD$439&gt;0,Model!AE$1&lt;='Assumptions (NG)'!$V$12),IPMT('Assumptions (NG)'!$V$9,Model!AE$1,'Assumptions (NG)'!$V$12,'Assumptions (NG)'!$V$7*(Model!$AD$439*AVERAGE('Assumptions (NG)'!$Z$3:$AB$3))/10^9),0)</f>
        <v>-0.01105051346</v>
      </c>
      <c r="AM575" s="224">
        <f>IF(and($AD$438&gt;0,Model!AF$1&lt;='Assumptions (NG)'!$V$12),IPMT('Assumptions (NG)'!$V$9,Model!AF$1,'Assumptions (NG)'!$V$12,'Assumptions (NG)'!$V$7*(Model!$AD$438*AVERAGE('Assumptions (NG)'!$Z$2:$AB$2))/10^9),0)+IF(and($AD$439&gt;0,Model!AF$1&lt;='Assumptions (NG)'!$V$12),IPMT('Assumptions (NG)'!$V$9,Model!AF$1,'Assumptions (NG)'!$V$12,'Assumptions (NG)'!$V$7*(Model!$AD$439*AVERAGE('Assumptions (NG)'!$Z$3:$AB$3))/10^9),0)</f>
        <v>-0.005724964807</v>
      </c>
      <c r="AN575" s="224"/>
      <c r="AO575" s="224"/>
      <c r="AP575" s="224"/>
      <c r="AQ575" s="224"/>
      <c r="AR575" s="224"/>
      <c r="AS575" s="177"/>
      <c r="AT575" s="177"/>
      <c r="AU575" s="177"/>
      <c r="AV575" s="177"/>
      <c r="AW575" s="177"/>
      <c r="AX575" s="177"/>
      <c r="AY575" s="177"/>
      <c r="AZ575" s="177"/>
      <c r="BA575" s="177"/>
      <c r="BB575" s="177"/>
      <c r="BC575" s="224"/>
      <c r="BD575" s="224"/>
      <c r="BE575" s="224"/>
      <c r="BF575" s="224"/>
      <c r="BG575" s="224"/>
      <c r="BH575" s="224"/>
      <c r="BI575" s="224"/>
      <c r="BJ575" s="224"/>
      <c r="BK575" s="224"/>
      <c r="BL575" s="224"/>
      <c r="BM575" s="224"/>
      <c r="BN575" s="224"/>
      <c r="BO575" s="224"/>
    </row>
    <row r="576" ht="15.75" hidden="1" customHeight="1" outlineLevel="1">
      <c r="A576" s="209"/>
      <c r="B576" s="38"/>
      <c r="C576" s="174"/>
      <c r="D576" s="174"/>
      <c r="E576" s="174"/>
      <c r="F576" s="174"/>
      <c r="G576" s="174"/>
      <c r="H576" s="174"/>
      <c r="I576" s="174"/>
      <c r="J576" s="174"/>
      <c r="L576" s="225"/>
      <c r="M576" s="225"/>
      <c r="N576" s="225"/>
      <c r="O576" s="225"/>
      <c r="P576" s="225"/>
      <c r="Q576" s="225"/>
      <c r="R576" s="225"/>
      <c r="S576" s="225"/>
      <c r="T576" s="225"/>
      <c r="U576" s="225"/>
      <c r="V576" s="225"/>
      <c r="W576" s="177"/>
      <c r="X576" s="177"/>
      <c r="Y576" s="177"/>
      <c r="Z576" s="177"/>
      <c r="AA576" s="177"/>
      <c r="AB576" s="177"/>
      <c r="AC576" s="177"/>
      <c r="AD576" s="177"/>
      <c r="AE576" s="177"/>
      <c r="AF576" s="177"/>
      <c r="AG576" s="177"/>
      <c r="AH576" s="177"/>
      <c r="AI576" s="177"/>
      <c r="AJ576" s="177"/>
      <c r="AK576" s="177"/>
      <c r="AL576" s="177"/>
      <c r="AM576" s="177"/>
      <c r="AN576" s="177"/>
      <c r="AO576" s="177"/>
      <c r="AP576" s="177"/>
      <c r="AQ576" s="177"/>
      <c r="AR576" s="177"/>
      <c r="AS576" s="177"/>
      <c r="AT576" s="177"/>
      <c r="AU576" s="177"/>
      <c r="AV576" s="177"/>
      <c r="AW576" s="177"/>
      <c r="AX576" s="177"/>
      <c r="AY576" s="177"/>
      <c r="AZ576" s="177"/>
      <c r="BA576" s="177"/>
      <c r="BB576" s="177"/>
      <c r="BC576" s="177"/>
      <c r="BD576" s="224"/>
      <c r="BE576" s="224"/>
      <c r="BF576" s="224"/>
      <c r="BG576" s="224"/>
      <c r="BH576" s="224"/>
      <c r="BI576" s="224"/>
      <c r="BJ576" s="224"/>
      <c r="BK576" s="224"/>
      <c r="BL576" s="224"/>
      <c r="BM576" s="224"/>
      <c r="BN576" s="224"/>
      <c r="BO576" s="224"/>
    </row>
    <row r="577" ht="15.75" hidden="1" customHeight="1" outlineLevel="1">
      <c r="A577" s="209"/>
      <c r="B577" s="38"/>
      <c r="C577" s="174"/>
      <c r="D577" s="174"/>
      <c r="E577" s="174"/>
      <c r="F577" s="174"/>
      <c r="G577" s="174"/>
      <c r="H577" s="174"/>
      <c r="I577" s="174"/>
      <c r="J577" s="174"/>
      <c r="L577" s="225"/>
      <c r="M577" s="225"/>
      <c r="N577" s="225"/>
      <c r="O577" s="225"/>
      <c r="P577" s="225"/>
      <c r="Q577" s="225"/>
      <c r="R577" s="225"/>
      <c r="S577" s="225"/>
      <c r="T577" s="225"/>
      <c r="U577" s="225"/>
      <c r="V577" s="225"/>
      <c r="W577" s="177"/>
      <c r="X577" s="177"/>
      <c r="Y577" s="177"/>
      <c r="Z577" s="177"/>
      <c r="AA577" s="177"/>
      <c r="AB577" s="177"/>
      <c r="AC577" s="177"/>
      <c r="AD577" s="177"/>
      <c r="AE577" s="224"/>
      <c r="AF577" s="224">
        <f>IF(and($AF$438&gt;0,Model!W$1&lt;='Assumptions (NG)'!$V$12),IPMT('Assumptions (NG)'!$V$9,Model!W$1,'Assumptions (NG)'!$V$12,'Assumptions (NG)'!$V$7*(Model!$AF$438*AVERAGE('Assumptions (NG)'!$AB$2:$AD$2))/10^9),0)+IF(and($AF$439&gt;0,Model!W$1&lt;='Assumptions (NG)'!$V$12),IPMT('Assumptions (NG)'!$V$9,Model!W$1,'Assumptions (NG)'!$V$12,'Assumptions (NG)'!$V$7*(Model!$AF$439*AVERAGE('Assumptions (NG)'!$AB$3:$AD$3))/10^9),0)</f>
        <v>-0.04468551802</v>
      </c>
      <c r="AG577" s="224">
        <f>IF(and($AF$438&gt;0,Model!X$1&lt;='Assumptions (NG)'!$V$12),IPMT('Assumptions (NG)'!$V$9,Model!X$1,'Assumptions (NG)'!$V$12,'Assumptions (NG)'!$V$7*(Model!$AF$438*AVERAGE('Assumptions (NG)'!$AB$2:$AD$2))/10^9),0)+IF(and($AF$439&gt;0,Model!X$1&lt;='Assumptions (NG)'!$V$12),IPMT('Assumptions (NG)'!$V$9,Model!X$1,'Assumptions (NG)'!$V$12,'Assumptions (NG)'!$V$7*(Model!$AF$439*AVERAGE('Assumptions (NG)'!$AB$3:$AD$3))/10^9),0)</f>
        <v>-0.04152688074</v>
      </c>
      <c r="AH577" s="224">
        <f>IF(and($AF$438&gt;0,Model!Y$1&lt;='Assumptions (NG)'!$V$12),IPMT('Assumptions (NG)'!$V$9,Model!Y$1,'Assumptions (NG)'!$V$12,'Assumptions (NG)'!$V$7*(Model!$AF$438*AVERAGE('Assumptions (NG)'!$AB$2:$AD$2))/10^9),0)+IF(and($AF$439&gt;0,Model!Y$1&lt;='Assumptions (NG)'!$V$12),IPMT('Assumptions (NG)'!$V$9,Model!Y$1,'Assumptions (NG)'!$V$12,'Assumptions (NG)'!$V$7*(Model!$AF$439*AVERAGE('Assumptions (NG)'!$AB$3:$AD$3))/10^9),0)</f>
        <v>-0.03813134566</v>
      </c>
      <c r="AI577" s="224">
        <f>IF(and($AF$438&gt;0,Model!Z$1&lt;='Assumptions (NG)'!$V$12),IPMT('Assumptions (NG)'!$V$9,Model!Z$1,'Assumptions (NG)'!$V$12,'Assumptions (NG)'!$V$7*(Model!$AF$438*AVERAGE('Assumptions (NG)'!$AB$2:$AD$2))/10^9),0)+IF(and($AF$439&gt;0,Model!Z$1&lt;='Assumptions (NG)'!$V$12),IPMT('Assumptions (NG)'!$V$9,Model!Z$1,'Assumptions (NG)'!$V$12,'Assumptions (NG)'!$V$7*(Model!$AF$439*AVERAGE('Assumptions (NG)'!$AB$3:$AD$3))/10^9),0)</f>
        <v>-0.03448114545</v>
      </c>
      <c r="AJ577" s="224">
        <f>IF(and($AF$438&gt;0,Model!AA$1&lt;='Assumptions (NG)'!$V$12),IPMT('Assumptions (NG)'!$V$9,Model!AA$1,'Assumptions (NG)'!$V$12,'Assumptions (NG)'!$V$7*(Model!$AF$438*AVERAGE('Assumptions (NG)'!$AB$2:$AD$2))/10^9),0)+IF(and($AF$439&gt;0,Model!AA$1&lt;='Assumptions (NG)'!$V$12),IPMT('Assumptions (NG)'!$V$9,Model!AA$1,'Assumptions (NG)'!$V$12,'Assumptions (NG)'!$V$7*(Model!$AF$439*AVERAGE('Assumptions (NG)'!$AB$3:$AD$3))/10^9),0)</f>
        <v>-0.03055718022</v>
      </c>
      <c r="AK577" s="224">
        <f>IF(and($AF$438&gt;0,Model!AB$1&lt;='Assumptions (NG)'!$V$12),IPMT('Assumptions (NG)'!$V$9,Model!AB$1,'Assumptions (NG)'!$V$12,'Assumptions (NG)'!$V$7*(Model!$AF$438*AVERAGE('Assumptions (NG)'!$AB$2:$AD$2))/10^9),0)+IF(and($AF$439&gt;0,Model!AB$1&lt;='Assumptions (NG)'!$V$12),IPMT('Assumptions (NG)'!$V$9,Model!AB$1,'Assumptions (NG)'!$V$12,'Assumptions (NG)'!$V$7*(Model!$AF$439*AVERAGE('Assumptions (NG)'!$AB$3:$AD$3))/10^9),0)</f>
        <v>-0.0263389176</v>
      </c>
      <c r="AL577" s="224">
        <f>IF(and($AF$438&gt;0,Model!AC$1&lt;='Assumptions (NG)'!$V$12),IPMT('Assumptions (NG)'!$V$9,Model!AC$1,'Assumptions (NG)'!$V$12,'Assumptions (NG)'!$V$7*(Model!$AF$438*AVERAGE('Assumptions (NG)'!$AB$2:$AD$2))/10^9),0)+IF(and($AF$439&gt;0,Model!AC$1&lt;='Assumptions (NG)'!$V$12),IPMT('Assumptions (NG)'!$V$9,Model!AC$1,'Assumptions (NG)'!$V$12,'Assumptions (NG)'!$V$7*(Model!$AF$439*AVERAGE('Assumptions (NG)'!$AB$3:$AD$3))/10^9),0)</f>
        <v>-0.02180428528</v>
      </c>
      <c r="AM577" s="224">
        <f>IF(and($AF$438&gt;0,Model!AD$1&lt;='Assumptions (NG)'!$V$12),IPMT('Assumptions (NG)'!$V$9,Model!AD$1,'Assumptions (NG)'!$V$12,'Assumptions (NG)'!$V$7*(Model!$AF$438*AVERAGE('Assumptions (NG)'!$AB$2:$AD$2))/10^9),0)+IF(and($AF$439&gt;0,Model!AD$1&lt;='Assumptions (NG)'!$V$12),IPMT('Assumptions (NG)'!$V$9,Model!AD$1,'Assumptions (NG)'!$V$12,'Assumptions (NG)'!$V$7*(Model!$AF$439*AVERAGE('Assumptions (NG)'!$AB$3:$AD$3))/10^9),0)</f>
        <v>-0.01692955555</v>
      </c>
      <c r="AN577" s="224">
        <f>IF(and($AF$438&gt;0,Model!AE$1&lt;='Assumptions (NG)'!$V$12),IPMT('Assumptions (NG)'!$V$9,Model!AE$1,'Assumptions (NG)'!$V$12,'Assumptions (NG)'!$V$7*(Model!$AF$438*AVERAGE('Assumptions (NG)'!$AB$2:$AD$2))/10^9),0)+IF(and($AF$439&gt;0,Model!AE$1&lt;='Assumptions (NG)'!$V$12),IPMT('Assumptions (NG)'!$V$9,Model!AE$1,'Assumptions (NG)'!$V$12,'Assumptions (NG)'!$V$7*(Model!$AF$439*AVERAGE('Assumptions (NG)'!$AB$3:$AD$3))/10^9),0)</f>
        <v>-0.01168922108</v>
      </c>
      <c r="AO577" s="224">
        <f>IF(and($AF$438&gt;0,Model!AF$1&lt;='Assumptions (NG)'!$V$12),IPMT('Assumptions (NG)'!$V$9,Model!AF$1,'Assumptions (NG)'!$V$12,'Assumptions (NG)'!$V$7*(Model!$AF$438*AVERAGE('Assumptions (NG)'!$AB$2:$AD$2))/10^9),0)+IF(and($AF$439&gt;0,Model!AF$1&lt;='Assumptions (NG)'!$V$12),IPMT('Assumptions (NG)'!$V$9,Model!AF$1,'Assumptions (NG)'!$V$12,'Assumptions (NG)'!$V$7*(Model!$AF$439*AVERAGE('Assumptions (NG)'!$AB$3:$AD$3))/10^9),0)</f>
        <v>-0.006055861521</v>
      </c>
      <c r="AP577" s="224"/>
      <c r="AQ577" s="224"/>
      <c r="AR577" s="224"/>
      <c r="AS577" s="224"/>
      <c r="AT577" s="224"/>
      <c r="AU577" s="177"/>
      <c r="AV577" s="177"/>
      <c r="AW577" s="177"/>
      <c r="AX577" s="177"/>
      <c r="AY577" s="177"/>
      <c r="AZ577" s="177"/>
      <c r="BA577" s="177"/>
      <c r="BB577" s="177"/>
      <c r="BC577" s="177"/>
      <c r="BD577" s="177"/>
      <c r="BE577" s="224"/>
      <c r="BF577" s="224"/>
      <c r="BG577" s="224"/>
      <c r="BH577" s="224"/>
      <c r="BI577" s="224"/>
      <c r="BJ577" s="224"/>
      <c r="BK577" s="224"/>
      <c r="BL577" s="224"/>
      <c r="BM577" s="224"/>
      <c r="BN577" s="224"/>
      <c r="BO577" s="224"/>
    </row>
    <row r="578" ht="15.75" hidden="1" customHeight="1" outlineLevel="1">
      <c r="A578" s="209"/>
      <c r="B578" s="38"/>
      <c r="C578" s="174"/>
      <c r="D578" s="174"/>
      <c r="E578" s="174"/>
      <c r="F578" s="174"/>
      <c r="G578" s="174"/>
      <c r="H578" s="174"/>
      <c r="I578" s="174"/>
      <c r="J578" s="174"/>
      <c r="L578" s="225"/>
      <c r="M578" s="225"/>
      <c r="N578" s="225"/>
      <c r="O578" s="225"/>
      <c r="P578" s="225"/>
      <c r="Q578" s="225"/>
      <c r="R578" s="225"/>
      <c r="S578" s="225"/>
      <c r="T578" s="225"/>
      <c r="U578" s="225"/>
      <c r="V578" s="225"/>
      <c r="W578" s="177"/>
      <c r="X578" s="177"/>
      <c r="Y578" s="177"/>
      <c r="Z578" s="177"/>
      <c r="AA578" s="177"/>
      <c r="AB578" s="177"/>
      <c r="AC578" s="177"/>
      <c r="AD578" s="177"/>
      <c r="AE578" s="177"/>
      <c r="AF578" s="177"/>
      <c r="AG578" s="224">
        <f>IF(and($AG$438&gt;0,Model!W$1&lt;='Assumptions (NG)'!$V$12),IPMT('Assumptions (NG)'!$V$9,Model!W$1,'Assumptions (NG)'!$V$12,'Assumptions (NG)'!$V$7*(Model!$AG$438*AVERAGE('Assumptions (NG)'!$AC$2:$AE$2))/10^9),0)+IF(and($AG$439&gt;0,Model!W$1&lt;='Assumptions (NG)'!$V$12),IPMT('Assumptions (NG)'!$V$9,Model!W$1,'Assumptions (NG)'!$V$12,'Assumptions (NG)'!$V$7*(Model!$AG$439*AVERAGE('Assumptions (NG)'!$AC$3:$AE$3))/10^9),0)</f>
        <v>-0.04830659486</v>
      </c>
      <c r="AH578" s="224">
        <f>IF(and($AG$438&gt;0,Model!X$1&lt;='Assumptions (NG)'!$V$12),IPMT('Assumptions (NG)'!$V$9,Model!X$1,'Assumptions (NG)'!$V$12,'Assumptions (NG)'!$V$7*(Model!$AG$438*AVERAGE('Assumptions (NG)'!$AC$2:$AE$2))/10^9),0)+IF(and($AG$439&gt;0,Model!X$1&lt;='Assumptions (NG)'!$V$12),IPMT('Assumptions (NG)'!$V$9,Model!X$1,'Assumptions (NG)'!$V$12,'Assumptions (NG)'!$V$7*(Model!$AG$439*AVERAGE('Assumptions (NG)'!$AC$3:$AE$3))/10^9),0)</f>
        <v>-0.0448919984</v>
      </c>
      <c r="AI578" s="224">
        <f>IF(and($AG$438&gt;0,Model!Y$1&lt;='Assumptions (NG)'!$V$12),IPMT('Assumptions (NG)'!$V$9,Model!Y$1,'Assumptions (NG)'!$V$12,'Assumptions (NG)'!$V$7*(Model!$AG$438*AVERAGE('Assumptions (NG)'!$AC$2:$AE$2))/10^9),0)+IF(and($AG$439&gt;0,Model!Y$1&lt;='Assumptions (NG)'!$V$12),IPMT('Assumptions (NG)'!$V$9,Model!Y$1,'Assumptions (NG)'!$V$12,'Assumptions (NG)'!$V$7*(Model!$AG$439*AVERAGE('Assumptions (NG)'!$AC$3:$AE$3))/10^9),0)</f>
        <v>-0.04122130721</v>
      </c>
      <c r="AJ578" s="224">
        <f>IF(and($AG$438&gt;0,Model!Z$1&lt;='Assumptions (NG)'!$V$12),IPMT('Assumptions (NG)'!$V$9,Model!Z$1,'Assumptions (NG)'!$V$12,'Assumptions (NG)'!$V$7*(Model!$AG$438*AVERAGE('Assumptions (NG)'!$AC$2:$AE$2))/10^9),0)+IF(and($AG$439&gt;0,Model!Z$1&lt;='Assumptions (NG)'!$V$12),IPMT('Assumptions (NG)'!$V$9,Model!Z$1,'Assumptions (NG)'!$V$12,'Assumptions (NG)'!$V$7*(Model!$AG$439*AVERAGE('Assumptions (NG)'!$AC$3:$AE$3))/10^9),0)</f>
        <v>-0.03727531417</v>
      </c>
      <c r="AK578" s="224">
        <f>IF(and($AG$438&gt;0,Model!AA$1&lt;='Assumptions (NG)'!$V$12),IPMT('Assumptions (NG)'!$V$9,Model!AA$1,'Assumptions (NG)'!$V$12,'Assumptions (NG)'!$V$7*(Model!$AG$438*AVERAGE('Assumptions (NG)'!$AC$2:$AE$2))/10^9),0)+IF(and($AG$439&gt;0,Model!AA$1&lt;='Assumptions (NG)'!$V$12),IPMT('Assumptions (NG)'!$V$9,Model!AA$1,'Assumptions (NG)'!$V$12,'Assumptions (NG)'!$V$7*(Model!$AG$439*AVERAGE('Assumptions (NG)'!$AC$3:$AE$3))/10^9),0)</f>
        <v>-0.03303337167</v>
      </c>
      <c r="AL578" s="224">
        <f>IF(and($AG$438&gt;0,Model!AB$1&lt;='Assumptions (NG)'!$V$12),IPMT('Assumptions (NG)'!$V$9,Model!AB$1,'Assumptions (NG)'!$V$12,'Assumptions (NG)'!$V$7*(Model!$AG$438*AVERAGE('Assumptions (NG)'!$AC$2:$AE$2))/10^9),0)+IF(and($AG$439&gt;0,Model!AB$1&lt;='Assumptions (NG)'!$V$12),IPMT('Assumptions (NG)'!$V$9,Model!AB$1,'Assumptions (NG)'!$V$12,'Assumptions (NG)'!$V$7*(Model!$AG$439*AVERAGE('Assumptions (NG)'!$AC$3:$AE$3))/10^9),0)</f>
        <v>-0.02847328347</v>
      </c>
      <c r="AM578" s="224">
        <f>IF(and($AG$438&gt;0,Model!AC$1&lt;='Assumptions (NG)'!$V$12),IPMT('Assumptions (NG)'!$V$9,Model!AC$1,'Assumptions (NG)'!$V$12,'Assumptions (NG)'!$V$7*(Model!$AG$438*AVERAGE('Assumptions (NG)'!$AC$2:$AE$2))/10^9),0)+IF(and($AG$439&gt;0,Model!AC$1&lt;='Assumptions (NG)'!$V$12),IPMT('Assumptions (NG)'!$V$9,Model!AC$1,'Assumptions (NG)'!$V$12,'Assumptions (NG)'!$V$7*(Model!$AG$439*AVERAGE('Assumptions (NG)'!$AC$3:$AE$3))/10^9),0)</f>
        <v>-0.02357118865</v>
      </c>
      <c r="AN578" s="224">
        <f>IF(and($AG$438&gt;0,Model!AD$1&lt;='Assumptions (NG)'!$V$12),IPMT('Assumptions (NG)'!$V$9,Model!AD$1,'Assumptions (NG)'!$V$12,'Assumptions (NG)'!$V$7*(Model!$AG$438*AVERAGE('Assumptions (NG)'!$AC$2:$AE$2))/10^9),0)+IF(and($AG$439&gt;0,Model!AD$1&lt;='Assumptions (NG)'!$V$12),IPMT('Assumptions (NG)'!$V$9,Model!AD$1,'Assumptions (NG)'!$V$12,'Assumptions (NG)'!$V$7*(Model!$AG$439*AVERAGE('Assumptions (NG)'!$AC$3:$AE$3))/10^9),0)</f>
        <v>-0.01830143673</v>
      </c>
      <c r="AO578" s="224">
        <f>IF(and($AG$438&gt;0,Model!AE$1&lt;='Assumptions (NG)'!$V$12),IPMT('Assumptions (NG)'!$V$9,Model!AE$1,'Assumptions (NG)'!$V$12,'Assumptions (NG)'!$V$7*(Model!$AG$438*AVERAGE('Assumptions (NG)'!$AC$2:$AE$2))/10^9),0)+IF(and($AG$439&gt;0,Model!AE$1&lt;='Assumptions (NG)'!$V$12),IPMT('Assumptions (NG)'!$V$9,Model!AE$1,'Assumptions (NG)'!$V$12,'Assumptions (NG)'!$V$7*(Model!$AG$439*AVERAGE('Assumptions (NG)'!$AC$3:$AE$3))/10^9),0)</f>
        <v>-0.01263645341</v>
      </c>
      <c r="AP578" s="224">
        <f>IF(and($AG$438&gt;0,Model!AF$1&lt;='Assumptions (NG)'!$V$12),IPMT('Assumptions (NG)'!$V$9,Model!AF$1,'Assumptions (NG)'!$V$12,'Assumptions (NG)'!$V$7*(Model!$AG$438*AVERAGE('Assumptions (NG)'!$AC$2:$AE$2))/10^9),0)+IF(and($AG$439&gt;0,Model!AF$1&lt;='Assumptions (NG)'!$V$12),IPMT('Assumptions (NG)'!$V$9,Model!AF$1,'Assumptions (NG)'!$V$12,'Assumptions (NG)'!$V$7*(Model!$AG$439*AVERAGE('Assumptions (NG)'!$AC$3:$AE$3))/10^9),0)</f>
        <v>-0.006546596347</v>
      </c>
      <c r="AQ578" s="224"/>
      <c r="AR578" s="224"/>
      <c r="AS578" s="224"/>
      <c r="AT578" s="224"/>
      <c r="AU578" s="224"/>
      <c r="AV578" s="177"/>
      <c r="AW578" s="177"/>
      <c r="AX578" s="177"/>
      <c r="AY578" s="177"/>
      <c r="AZ578" s="177"/>
      <c r="BA578" s="177"/>
      <c r="BB578" s="177"/>
      <c r="BC578" s="177"/>
      <c r="BD578" s="177"/>
      <c r="BE578" s="177"/>
      <c r="BF578" s="224"/>
      <c r="BG578" s="224"/>
      <c r="BH578" s="224"/>
      <c r="BI578" s="224"/>
      <c r="BJ578" s="224"/>
      <c r="BK578" s="224"/>
      <c r="BL578" s="224"/>
      <c r="BM578" s="224"/>
      <c r="BN578" s="224"/>
      <c r="BO578" s="224"/>
    </row>
    <row r="579" ht="15.75" hidden="1" customHeight="1" outlineLevel="1">
      <c r="A579" s="209"/>
      <c r="B579" s="38"/>
      <c r="C579" s="174"/>
      <c r="D579" s="174"/>
      <c r="E579" s="174"/>
      <c r="F579" s="174"/>
      <c r="G579" s="174"/>
      <c r="H579" s="174"/>
      <c r="I579" s="174"/>
      <c r="J579" s="174"/>
      <c r="L579" s="225"/>
      <c r="M579" s="225"/>
      <c r="N579" s="225"/>
      <c r="O579" s="225"/>
      <c r="P579" s="225"/>
      <c r="Q579" s="225"/>
      <c r="R579" s="225"/>
      <c r="S579" s="225"/>
      <c r="T579" s="225"/>
      <c r="U579" s="225"/>
      <c r="V579" s="225"/>
      <c r="W579" s="177"/>
      <c r="X579" s="177"/>
      <c r="Y579" s="177"/>
      <c r="Z579" s="177"/>
      <c r="AA579" s="177"/>
      <c r="AB579" s="177"/>
      <c r="AC579" s="177"/>
      <c r="AD579" s="177"/>
      <c r="AE579" s="177"/>
      <c r="AF579" s="177"/>
      <c r="AG579" s="177"/>
      <c r="AH579" s="224">
        <f>IF(and($AH$438&gt;0,Model!W$1&lt;='Assumptions (NG)'!$V$12),IPMT('Assumptions (NG)'!$V$9,Model!W$1,'Assumptions (NG)'!$V$12,'Assumptions (NG)'!$V$7*(Model!$AH$438*AVERAGE('Assumptions (NG)'!$AD$2:$AF$2))/10^9),0)+IF(and($AH$439&gt;0,Model!W$1&lt;='Assumptions (NG)'!$V$12),IPMT('Assumptions (NG)'!$V$9,Model!W$1,'Assumptions (NG)'!$V$12,'Assumptions (NG)'!$V$7*(Model!$AH$439*AVERAGE('Assumptions (NG)'!$AD$3:$AF$3))/10^9),0)</f>
        <v>-0.04570715967</v>
      </c>
      <c r="AI579" s="224">
        <f>IF(and($AH$438&gt;0,Model!X$1&lt;='Assumptions (NG)'!$V$12),IPMT('Assumptions (NG)'!$V$9,Model!X$1,'Assumptions (NG)'!$V$12,'Assumptions (NG)'!$V$7*(Model!$AH$438*AVERAGE('Assumptions (NG)'!$AD$2:$AF$2))/10^9),0)+IF(and($AH$439&gt;0,Model!X$1&lt;='Assumptions (NG)'!$V$12),IPMT('Assumptions (NG)'!$V$9,Model!X$1,'Assumptions (NG)'!$V$12,'Assumptions (NG)'!$V$7*(Model!$AH$439*AVERAGE('Assumptions (NG)'!$AD$3:$AF$3))/10^9),0)</f>
        <v>-0.0424763067</v>
      </c>
      <c r="AJ579" s="224">
        <f>IF(and($AH$438&gt;0,Model!Y$1&lt;='Assumptions (NG)'!$V$12),IPMT('Assumptions (NG)'!$V$9,Model!Y$1,'Assumptions (NG)'!$V$12,'Assumptions (NG)'!$V$7*(Model!$AH$438*AVERAGE('Assumptions (NG)'!$AD$2:$AF$2))/10^9),0)+IF(and($AH$439&gt;0,Model!Y$1&lt;='Assumptions (NG)'!$V$12),IPMT('Assumptions (NG)'!$V$9,Model!Y$1,'Assumptions (NG)'!$V$12,'Assumptions (NG)'!$V$7*(Model!$AH$439*AVERAGE('Assumptions (NG)'!$AD$3:$AF$3))/10^9),0)</f>
        <v>-0.03900313976</v>
      </c>
      <c r="AK579" s="224">
        <f>IF(and($AH$438&gt;0,Model!Z$1&lt;='Assumptions (NG)'!$V$12),IPMT('Assumptions (NG)'!$V$9,Model!Z$1,'Assumptions (NG)'!$V$12,'Assumptions (NG)'!$V$7*(Model!$AH$438*AVERAGE('Assumptions (NG)'!$AD$2:$AF$2))/10^9),0)+IF(and($AH$439&gt;0,Model!Z$1&lt;='Assumptions (NG)'!$V$12),IPMT('Assumptions (NG)'!$V$9,Model!Z$1,'Assumptions (NG)'!$V$12,'Assumptions (NG)'!$V$7*(Model!$AH$439*AVERAGE('Assumptions (NG)'!$AD$3:$AF$3))/10^9),0)</f>
        <v>-0.03526948529</v>
      </c>
      <c r="AL579" s="224">
        <f>IF(and($AH$438&gt;0,Model!AA$1&lt;='Assumptions (NG)'!$V$12),IPMT('Assumptions (NG)'!$V$9,Model!AA$1,'Assumptions (NG)'!$V$12,'Assumptions (NG)'!$V$7*(Model!$AH$438*AVERAGE('Assumptions (NG)'!$AD$2:$AF$2))/10^9),0)+IF(and($AH$439&gt;0,Model!AA$1&lt;='Assumptions (NG)'!$V$12),IPMT('Assumptions (NG)'!$V$9,Model!AA$1,'Assumptions (NG)'!$V$12,'Assumptions (NG)'!$V$7*(Model!$AH$439*AVERAGE('Assumptions (NG)'!$AD$3:$AF$3))/10^9),0)</f>
        <v>-0.03125580674</v>
      </c>
      <c r="AM579" s="224">
        <f>IF(and($AH$438&gt;0,Model!AB$1&lt;='Assumptions (NG)'!$V$12),IPMT('Assumptions (NG)'!$V$9,Model!AB$1,'Assumptions (NG)'!$V$12,'Assumptions (NG)'!$V$7*(Model!$AH$438*AVERAGE('Assumptions (NG)'!$AD$2:$AF$2))/10^9),0)+IF(and($AH$439&gt;0,Model!AB$1&lt;='Assumptions (NG)'!$V$12),IPMT('Assumptions (NG)'!$V$9,Model!AB$1,'Assumptions (NG)'!$V$12,'Assumptions (NG)'!$V$7*(Model!$AH$439*AVERAGE('Assumptions (NG)'!$AD$3:$AF$3))/10^9),0)</f>
        <v>-0.0269411023</v>
      </c>
      <c r="AN579" s="224">
        <f>IF(and($AH$438&gt;0,Model!AC$1&lt;='Assumptions (NG)'!$V$12),IPMT('Assumptions (NG)'!$V$9,Model!AC$1,'Assumptions (NG)'!$V$12,'Assumptions (NG)'!$V$7*(Model!$AH$438*AVERAGE('Assumptions (NG)'!$AD$2:$AF$2))/10^9),0)+IF(and($AH$439&gt;0,Model!AC$1&lt;='Assumptions (NG)'!$V$12),IPMT('Assumptions (NG)'!$V$9,Model!AC$1,'Assumptions (NG)'!$V$12,'Assumptions (NG)'!$V$7*(Model!$AH$439*AVERAGE('Assumptions (NG)'!$AD$3:$AF$3))/10^9),0)</f>
        <v>-0.02230279503</v>
      </c>
      <c r="AO579" s="224">
        <f>IF(and($AH$438&gt;0,Model!AD$1&lt;='Assumptions (NG)'!$V$12),IPMT('Assumptions (NG)'!$V$9,Model!AD$1,'Assumptions (NG)'!$V$12,'Assumptions (NG)'!$V$7*(Model!$AH$438*AVERAGE('Assumptions (NG)'!$AD$2:$AF$2))/10^9),0)+IF(and($AH$439&gt;0,Model!AD$1&lt;='Assumptions (NG)'!$V$12),IPMT('Assumptions (NG)'!$V$9,Model!AD$1,'Assumptions (NG)'!$V$12,'Assumptions (NG)'!$V$7*(Model!$AH$439*AVERAGE('Assumptions (NG)'!$AD$3:$AF$3))/10^9),0)</f>
        <v>-0.01731661471</v>
      </c>
      <c r="AP579" s="224">
        <f>IF(and($AH$438&gt;0,Model!AE$1&lt;='Assumptions (NG)'!$V$12),IPMT('Assumptions (NG)'!$V$9,Model!AE$1,'Assumptions (NG)'!$V$12,'Assumptions (NG)'!$V$7*(Model!$AH$438*AVERAGE('Assumptions (NG)'!$AD$2:$AF$2))/10^9),0)+IF(and($AH$439&gt;0,Model!AE$1&lt;='Assumptions (NG)'!$V$12),IPMT('Assumptions (NG)'!$V$9,Model!AE$1,'Assumptions (NG)'!$V$12,'Assumptions (NG)'!$V$7*(Model!$AH$439*AVERAGE('Assumptions (NG)'!$AD$3:$AF$3))/10^9),0)</f>
        <v>-0.01195647086</v>
      </c>
      <c r="AQ579" s="224">
        <f>IF(and($AH$438&gt;0,Model!AF$1&lt;='Assumptions (NG)'!$V$12),IPMT('Assumptions (NG)'!$V$9,Model!AF$1,'Assumptions (NG)'!$V$12,'Assumptions (NG)'!$V$7*(Model!$AH$438*AVERAGE('Assumptions (NG)'!$AD$2:$AF$2))/10^9),0)+IF(and($AH$439&gt;0,Model!AF$1&lt;='Assumptions (NG)'!$V$12),IPMT('Assumptions (NG)'!$V$9,Model!AF$1,'Assumptions (NG)'!$V$12,'Assumptions (NG)'!$V$7*(Model!$AH$439*AVERAGE('Assumptions (NG)'!$AD$3:$AF$3))/10^9),0)</f>
        <v>-0.006194316229</v>
      </c>
      <c r="AR579" s="224"/>
      <c r="AS579" s="224"/>
      <c r="AT579" s="224"/>
      <c r="AU579" s="224"/>
      <c r="AV579" s="224"/>
      <c r="AW579" s="177"/>
      <c r="AX579" s="177"/>
      <c r="AY579" s="177"/>
      <c r="AZ579" s="177"/>
      <c r="BA579" s="177"/>
      <c r="BB579" s="177"/>
      <c r="BC579" s="177"/>
      <c r="BD579" s="177"/>
      <c r="BE579" s="177"/>
      <c r="BF579" s="177"/>
      <c r="BG579" s="224"/>
      <c r="BH579" s="224"/>
      <c r="BI579" s="224"/>
      <c r="BJ579" s="224"/>
      <c r="BK579" s="224"/>
      <c r="BL579" s="224"/>
      <c r="BM579" s="224"/>
      <c r="BN579" s="224"/>
      <c r="BO579" s="224"/>
    </row>
    <row r="580" ht="15.75" hidden="1" customHeight="1" outlineLevel="1">
      <c r="A580" s="209"/>
      <c r="B580" s="38"/>
      <c r="C580" s="174"/>
      <c r="D580" s="174"/>
      <c r="E580" s="174"/>
      <c r="F580" s="174"/>
      <c r="G580" s="174"/>
      <c r="H580" s="174"/>
      <c r="I580" s="174"/>
      <c r="J580" s="174"/>
      <c r="L580" s="225"/>
      <c r="M580" s="225"/>
      <c r="N580" s="225"/>
      <c r="O580" s="225"/>
      <c r="P580" s="225"/>
      <c r="Q580" s="225"/>
      <c r="R580" s="225"/>
      <c r="S580" s="225"/>
      <c r="T580" s="225"/>
      <c r="U580" s="225"/>
      <c r="V580" s="225"/>
      <c r="W580" s="177"/>
      <c r="X580" s="177"/>
      <c r="Y580" s="177"/>
      <c r="Z580" s="177"/>
      <c r="AA580" s="177"/>
      <c r="AB580" s="177"/>
      <c r="AC580" s="177"/>
      <c r="AD580" s="177"/>
      <c r="AE580" s="177"/>
      <c r="AF580" s="177"/>
      <c r="AG580" s="177"/>
      <c r="AH580" s="177"/>
      <c r="AI580" s="224">
        <f>IF(and($AI$438&gt;0,Model!W$1&lt;='Assumptions (NG)'!$V$12),IPMT('Assumptions (NG)'!$V$9,Model!W$1,'Assumptions (NG)'!$V$12,'Assumptions (NG)'!$V$7*(Model!$AI$438*AVERAGE('Assumptions (NG)'!$AE$2:$AG$2))/10^9),0)+IF(and($AI$439&gt;0,Model!W$1&lt;='Assumptions (NG)'!$V$12),IPMT('Assumptions (NG)'!$V$9,Model!W$1,'Assumptions (NG)'!$V$12,'Assumptions (NG)'!$V$7*(Model!$AI$439*AVERAGE('Assumptions (NG)'!$AE$3:$AG$3))/10^9),0)</f>
        <v>-0.05405008911</v>
      </c>
      <c r="AJ580" s="224">
        <f>IF(and($AI$438&gt;0,Model!X$1&lt;='Assumptions (NG)'!$V$12),IPMT('Assumptions (NG)'!$V$9,Model!X$1,'Assumptions (NG)'!$V$12,'Assumptions (NG)'!$V$7*(Model!$AI$438*AVERAGE('Assumptions (NG)'!$AE$2:$AG$2))/10^9),0)+IF(and($AI$439&gt;0,Model!X$1&lt;='Assumptions (NG)'!$V$12),IPMT('Assumptions (NG)'!$V$9,Model!X$1,'Assumptions (NG)'!$V$12,'Assumptions (NG)'!$V$7*(Model!$AI$439*AVERAGE('Assumptions (NG)'!$AE$3:$AG$3))/10^9),0)</f>
        <v>-0.05022950843</v>
      </c>
      <c r="AK580" s="224">
        <f>IF(and($AI$438&gt;0,Model!Y$1&lt;='Assumptions (NG)'!$V$12),IPMT('Assumptions (NG)'!$V$9,Model!Y$1,'Assumptions (NG)'!$V$12,'Assumptions (NG)'!$V$7*(Model!$AI$438*AVERAGE('Assumptions (NG)'!$AE$2:$AG$2))/10^9),0)+IF(and($AI$439&gt;0,Model!Y$1&lt;='Assumptions (NG)'!$V$12),IPMT('Assumptions (NG)'!$V$9,Model!Y$1,'Assumptions (NG)'!$V$12,'Assumptions (NG)'!$V$7*(Model!$AI$439*AVERAGE('Assumptions (NG)'!$AE$3:$AG$3))/10^9),0)</f>
        <v>-0.0461223842</v>
      </c>
      <c r="AL580" s="224">
        <f>IF(and($AI$438&gt;0,Model!Z$1&lt;='Assumptions (NG)'!$V$12),IPMT('Assumptions (NG)'!$V$9,Model!Z$1,'Assumptions (NG)'!$V$12,'Assumptions (NG)'!$V$7*(Model!$AI$438*AVERAGE('Assumptions (NG)'!$AE$2:$AG$2))/10^9),0)+IF(and($AI$439&gt;0,Model!Z$1&lt;='Assumptions (NG)'!$V$12),IPMT('Assumptions (NG)'!$V$9,Model!Z$1,'Assumptions (NG)'!$V$12,'Assumptions (NG)'!$V$7*(Model!$AI$439*AVERAGE('Assumptions (NG)'!$AE$3:$AG$3))/10^9),0)</f>
        <v>-0.04170722566</v>
      </c>
      <c r="AM580" s="224">
        <f>IF(and($AI$438&gt;0,Model!AA$1&lt;='Assumptions (NG)'!$V$12),IPMT('Assumptions (NG)'!$V$9,Model!AA$1,'Assumptions (NG)'!$V$12,'Assumptions (NG)'!$V$7*(Model!$AI$438*AVERAGE('Assumptions (NG)'!$AE$2:$AG$2))/10^9),0)+IF(and($AI$439&gt;0,Model!AA$1&lt;='Assumptions (NG)'!$V$12),IPMT('Assumptions (NG)'!$V$9,Model!AA$1,'Assumptions (NG)'!$V$12,'Assumptions (NG)'!$V$7*(Model!$AI$439*AVERAGE('Assumptions (NG)'!$AE$3:$AG$3))/10^9),0)</f>
        <v>-0.03696093023</v>
      </c>
      <c r="AN580" s="224">
        <f>IF(and($AI$438&gt;0,Model!AB$1&lt;='Assumptions (NG)'!$V$12),IPMT('Assumptions (NG)'!$V$9,Model!AB$1,'Assumptions (NG)'!$V$12,'Assumptions (NG)'!$V$7*(Model!$AI$438*AVERAGE('Assumptions (NG)'!$AE$2:$AG$2))/10^9),0)+IF(and($AI$439&gt;0,Model!AB$1&lt;='Assumptions (NG)'!$V$12),IPMT('Assumptions (NG)'!$V$9,Model!AB$1,'Assumptions (NG)'!$V$12,'Assumptions (NG)'!$V$7*(Model!$AI$439*AVERAGE('Assumptions (NG)'!$AE$3:$AG$3))/10^9),0)</f>
        <v>-0.03185866263</v>
      </c>
      <c r="AO580" s="224">
        <f>IF(and($AI$438&gt;0,Model!AC$1&lt;='Assumptions (NG)'!$V$12),IPMT('Assumptions (NG)'!$V$9,Model!AC$1,'Assumptions (NG)'!$V$12,'Assumptions (NG)'!$V$7*(Model!$AI$438*AVERAGE('Assumptions (NG)'!$AE$2:$AG$2))/10^9),0)+IF(and($AI$439&gt;0,Model!AC$1&lt;='Assumptions (NG)'!$V$12),IPMT('Assumptions (NG)'!$V$9,Model!AC$1,'Assumptions (NG)'!$V$12,'Assumptions (NG)'!$V$7*(Model!$AI$439*AVERAGE('Assumptions (NG)'!$AE$3:$AG$3))/10^9),0)</f>
        <v>-0.02637372497</v>
      </c>
      <c r="AP580" s="224">
        <f>IF(and($AI$438&gt;0,Model!AD$1&lt;='Assumptions (NG)'!$V$12),IPMT('Assumptions (NG)'!$V$9,Model!AD$1,'Assumptions (NG)'!$V$12,'Assumptions (NG)'!$V$7*(Model!$AI$438*AVERAGE('Assumptions (NG)'!$AE$2:$AG$2))/10^9),0)+IF(and($AI$439&gt;0,Model!AD$1&lt;='Assumptions (NG)'!$V$12),IPMT('Assumptions (NG)'!$V$9,Model!AD$1,'Assumptions (NG)'!$V$12,'Assumptions (NG)'!$V$7*(Model!$AI$439*AVERAGE('Assumptions (NG)'!$AE$3:$AG$3))/10^9),0)</f>
        <v>-0.02047741699</v>
      </c>
      <c r="AQ580" s="224">
        <f>IF(and($AI$438&gt;0,Model!AE$1&lt;='Assumptions (NG)'!$V$12),IPMT('Assumptions (NG)'!$V$9,Model!AE$1,'Assumptions (NG)'!$V$12,'Assumptions (NG)'!$V$7*(Model!$AI$438*AVERAGE('Assumptions (NG)'!$AE$2:$AG$2))/10^9),0)+IF(and($AI$439&gt;0,Model!AE$1&lt;='Assumptions (NG)'!$V$12),IPMT('Assumptions (NG)'!$V$9,Model!AE$1,'Assumptions (NG)'!$V$12,'Assumptions (NG)'!$V$7*(Model!$AI$439*AVERAGE('Assumptions (NG)'!$AE$3:$AG$3))/10^9),0)</f>
        <v>-0.0141388859</v>
      </c>
      <c r="AR580" s="224">
        <f>IF(and($AI$438&gt;0,Model!AF$1&lt;='Assumptions (NG)'!$V$12),IPMT('Assumptions (NG)'!$V$9,Model!AF$1,'Assumptions (NG)'!$V$12,'Assumptions (NG)'!$V$7*(Model!$AI$438*AVERAGE('Assumptions (NG)'!$AE$2:$AG$2))/10^9),0)+IF(and($AI$439&gt;0,Model!AF$1&lt;='Assumptions (NG)'!$V$12),IPMT('Assumptions (NG)'!$V$9,Model!AF$1,'Assumptions (NG)'!$V$12,'Assumptions (NG)'!$V$7*(Model!$AI$439*AVERAGE('Assumptions (NG)'!$AE$3:$AG$3))/10^9),0)</f>
        <v>-0.007324964985</v>
      </c>
      <c r="AS580" s="224"/>
      <c r="AT580" s="224"/>
      <c r="AU580" s="224"/>
      <c r="AV580" s="224"/>
      <c r="AW580" s="224"/>
      <c r="AX580" s="177"/>
      <c r="AY580" s="177"/>
      <c r="AZ580" s="177"/>
      <c r="BA580" s="177"/>
      <c r="BB580" s="177"/>
      <c r="BC580" s="177"/>
      <c r="BD580" s="177"/>
      <c r="BE580" s="177"/>
      <c r="BF580" s="177"/>
      <c r="BG580" s="177"/>
      <c r="BH580" s="224"/>
      <c r="BI580" s="224"/>
      <c r="BJ580" s="224"/>
      <c r="BK580" s="224"/>
      <c r="BL580" s="224"/>
      <c r="BM580" s="224"/>
      <c r="BN580" s="224"/>
      <c r="BO580" s="224"/>
    </row>
    <row r="581" ht="15.75" hidden="1" customHeight="1" outlineLevel="1">
      <c r="A581" s="209"/>
      <c r="B581" s="38"/>
      <c r="C581" s="174"/>
      <c r="D581" s="174"/>
      <c r="E581" s="174"/>
      <c r="F581" s="174"/>
      <c r="G581" s="174"/>
      <c r="H581" s="174"/>
      <c r="I581" s="174"/>
      <c r="J581" s="174"/>
      <c r="L581" s="225"/>
      <c r="M581" s="225"/>
      <c r="N581" s="225"/>
      <c r="O581" s="225"/>
      <c r="P581" s="225"/>
      <c r="Q581" s="225"/>
      <c r="R581" s="225"/>
      <c r="S581" s="225"/>
      <c r="T581" s="225"/>
      <c r="U581" s="225"/>
      <c r="V581" s="225"/>
      <c r="W581" s="177"/>
      <c r="X581" s="177"/>
      <c r="Y581" s="177"/>
      <c r="Z581" s="177"/>
      <c r="AA581" s="177"/>
      <c r="AB581" s="177"/>
      <c r="AC581" s="177"/>
      <c r="AD581" s="177"/>
      <c r="AE581" s="177"/>
      <c r="AF581" s="177"/>
      <c r="AG581" s="177"/>
      <c r="AH581" s="177"/>
      <c r="AI581" s="177"/>
      <c r="AJ581" s="224">
        <f>IF(and($AJ$438&gt;0,Model!W$1&lt;='Assumptions (NG)'!$V$12),IPMT('Assumptions (NG)'!$V$9,Model!W$1,'Assumptions (NG)'!$V$12,'Assumptions (NG)'!$V$7*(Model!$AJ$438*AVERAGE('Assumptions (NG)'!$AF$2:$AH$2))/10^9),0)+IF(and($AJ$439&gt;0,Model!W$1&lt;='Assumptions (NG)'!$V$12),IPMT('Assumptions (NG)'!$V$9,Model!W$1,'Assumptions (NG)'!$V$12,'Assumptions (NG)'!$V$7*(Model!$AJ$439*AVERAGE('Assumptions (NG)'!$AF$3:$AH$3))/10^9),0)</f>
        <v>-0.06206949768</v>
      </c>
      <c r="AK581" s="224">
        <f>IF(and($AJ$438&gt;0,Model!X$1&lt;='Assumptions (NG)'!$V$12),IPMT('Assumptions (NG)'!$V$9,Model!X$1,'Assumptions (NG)'!$V$12,'Assumptions (NG)'!$V$7*(Model!$AJ$438*AVERAGE('Assumptions (NG)'!$AF$2:$AH$2))/10^9),0)+IF(and($AJ$439&gt;0,Model!X$1&lt;='Assumptions (NG)'!$V$12),IPMT('Assumptions (NG)'!$V$9,Model!X$1,'Assumptions (NG)'!$V$12,'Assumptions (NG)'!$V$7*(Model!$AJ$439*AVERAGE('Assumptions (NG)'!$AF$3:$AH$3))/10^9),0)</f>
        <v>-0.05768205767</v>
      </c>
      <c r="AL581" s="224">
        <f>IF(and($AJ$438&gt;0,Model!Y$1&lt;='Assumptions (NG)'!$V$12),IPMT('Assumptions (NG)'!$V$9,Model!Y$1,'Assumptions (NG)'!$V$12,'Assumptions (NG)'!$V$7*(Model!$AJ$438*AVERAGE('Assumptions (NG)'!$AF$2:$AH$2))/10^9),0)+IF(and($AJ$439&gt;0,Model!Y$1&lt;='Assumptions (NG)'!$V$12),IPMT('Assumptions (NG)'!$V$9,Model!Y$1,'Assumptions (NG)'!$V$12,'Assumptions (NG)'!$V$7*(Model!$AJ$439*AVERAGE('Assumptions (NG)'!$AF$3:$AH$3))/10^9),0)</f>
        <v>-0.05296555966</v>
      </c>
      <c r="AM581" s="224">
        <f>IF(and($AJ$438&gt;0,Model!Z$1&lt;='Assumptions (NG)'!$V$12),IPMT('Assumptions (NG)'!$V$9,Model!Z$1,'Assumptions (NG)'!$V$12,'Assumptions (NG)'!$V$7*(Model!$AJ$438*AVERAGE('Assumptions (NG)'!$AF$2:$AH$2))/10^9),0)+IF(and($AJ$439&gt;0,Model!Z$1&lt;='Assumptions (NG)'!$V$12),IPMT('Assumptions (NG)'!$V$9,Model!Z$1,'Assumptions (NG)'!$V$12,'Assumptions (NG)'!$V$7*(Model!$AJ$439*AVERAGE('Assumptions (NG)'!$AF$3:$AH$3))/10^9),0)</f>
        <v>-0.0478953243</v>
      </c>
      <c r="AN581" s="224">
        <f>IF(and($AJ$438&gt;0,Model!AA$1&lt;='Assumptions (NG)'!$V$12),IPMT('Assumptions (NG)'!$V$9,Model!AA$1,'Assumptions (NG)'!$V$12,'Assumptions (NG)'!$V$7*(Model!$AJ$438*AVERAGE('Assumptions (NG)'!$AF$2:$AH$2))/10^9),0)+IF(and($AJ$439&gt;0,Model!AA$1&lt;='Assumptions (NG)'!$V$12),IPMT('Assumptions (NG)'!$V$9,Model!AA$1,'Assumptions (NG)'!$V$12,'Assumptions (NG)'!$V$7*(Model!$AJ$439*AVERAGE('Assumptions (NG)'!$AF$3:$AH$3))/10^9),0)</f>
        <v>-0.04244482129</v>
      </c>
      <c r="AO581" s="224">
        <f>IF(and($AJ$438&gt;0,Model!AB$1&lt;='Assumptions (NG)'!$V$12),IPMT('Assumptions (NG)'!$V$9,Model!AB$1,'Assumptions (NG)'!$V$12,'Assumptions (NG)'!$V$7*(Model!$AJ$438*AVERAGE('Assumptions (NG)'!$AF$2:$AH$2))/10^9),0)+IF(and($AJ$439&gt;0,Model!AB$1&lt;='Assumptions (NG)'!$V$12),IPMT('Assumptions (NG)'!$V$9,Model!AB$1,'Assumptions (NG)'!$V$12,'Assumptions (NG)'!$V$7*(Model!$AJ$439*AVERAGE('Assumptions (NG)'!$AF$3:$AH$3))/10^9),0)</f>
        <v>-0.03658553055</v>
      </c>
      <c r="AP581" s="224">
        <f>IF(and($AJ$438&gt;0,Model!AC$1&lt;='Assumptions (NG)'!$V$12),IPMT('Assumptions (NG)'!$V$9,Model!AC$1,'Assumptions (NG)'!$V$12,'Assumptions (NG)'!$V$7*(Model!$AJ$438*AVERAGE('Assumptions (NG)'!$AF$2:$AH$2))/10^9),0)+IF(and($AJ$439&gt;0,Model!AC$1&lt;='Assumptions (NG)'!$V$12),IPMT('Assumptions (NG)'!$V$9,Model!AC$1,'Assumptions (NG)'!$V$12,'Assumptions (NG)'!$V$7*(Model!$AJ$439*AVERAGE('Assumptions (NG)'!$AF$3:$AH$3))/10^9),0)</f>
        <v>-0.03028679301</v>
      </c>
      <c r="AQ581" s="224">
        <f>IF(and($AJ$438&gt;0,Model!AD$1&lt;='Assumptions (NG)'!$V$12),IPMT('Assumptions (NG)'!$V$9,Model!AD$1,'Assumptions (NG)'!$V$12,'Assumptions (NG)'!$V$7*(Model!$AJ$438*AVERAGE('Assumptions (NG)'!$AF$2:$AH$2))/10^9),0)+IF(and($AJ$439&gt;0,Model!AD$1&lt;='Assumptions (NG)'!$V$12),IPMT('Assumptions (NG)'!$V$9,Model!AD$1,'Assumptions (NG)'!$V$12,'Assumptions (NG)'!$V$7*(Model!$AJ$439*AVERAGE('Assumptions (NG)'!$AF$3:$AH$3))/10^9),0)</f>
        <v>-0.02351565015</v>
      </c>
      <c r="AR581" s="224">
        <f>IF(and($AJ$438&gt;0,Model!AE$1&lt;='Assumptions (NG)'!$V$12),IPMT('Assumptions (NG)'!$V$9,Model!AE$1,'Assumptions (NG)'!$V$12,'Assumptions (NG)'!$V$7*(Model!$AJ$438*AVERAGE('Assumptions (NG)'!$AF$2:$AH$2))/10^9),0)+IF(and($AJ$439&gt;0,Model!AE$1&lt;='Assumptions (NG)'!$V$12),IPMT('Assumptions (NG)'!$V$9,Model!AE$1,'Assumptions (NG)'!$V$12,'Assumptions (NG)'!$V$7*(Model!$AJ$439*AVERAGE('Assumptions (NG)'!$AF$3:$AH$3))/10^9),0)</f>
        <v>-0.01623667158</v>
      </c>
      <c r="AS581" s="224">
        <f>IF(and($AJ$438&gt;0,Model!AF$1&lt;='Assumptions (NG)'!$V$12),IPMT('Assumptions (NG)'!$V$9,Model!AF$1,'Assumptions (NG)'!$V$12,'Assumptions (NG)'!$V$7*(Model!$AJ$438*AVERAGE('Assumptions (NG)'!$AF$2:$AH$2))/10^9),0)+IF(and($AJ$439&gt;0,Model!AF$1&lt;='Assumptions (NG)'!$V$12),IPMT('Assumptions (NG)'!$V$9,Model!AF$1,'Assumptions (NG)'!$V$12,'Assumptions (NG)'!$V$7*(Model!$AJ$439*AVERAGE('Assumptions (NG)'!$AF$3:$AH$3))/10^9),0)</f>
        <v>-0.008411769613</v>
      </c>
      <c r="AT581" s="224"/>
      <c r="AU581" s="224"/>
      <c r="AV581" s="224"/>
      <c r="AW581" s="224"/>
      <c r="AX581" s="224"/>
      <c r="AY581" s="177"/>
      <c r="AZ581" s="177"/>
      <c r="BA581" s="177"/>
      <c r="BB581" s="177"/>
      <c r="BC581" s="177"/>
      <c r="BD581" s="177"/>
      <c r="BE581" s="177"/>
      <c r="BF581" s="177"/>
      <c r="BG581" s="177"/>
      <c r="BH581" s="177"/>
      <c r="BI581" s="224"/>
      <c r="BJ581" s="224"/>
      <c r="BK581" s="224"/>
      <c r="BL581" s="224"/>
      <c r="BM581" s="224"/>
      <c r="BN581" s="224"/>
      <c r="BO581" s="224"/>
    </row>
    <row r="582" ht="15.75" hidden="1" customHeight="1" outlineLevel="1">
      <c r="A582" s="209"/>
      <c r="B582" s="38"/>
      <c r="C582" s="174"/>
      <c r="D582" s="174"/>
      <c r="E582" s="174"/>
      <c r="F582" s="174"/>
      <c r="G582" s="174"/>
      <c r="H582" s="174"/>
      <c r="I582" s="174"/>
      <c r="J582" s="174"/>
      <c r="L582" s="225"/>
      <c r="M582" s="225"/>
      <c r="N582" s="225"/>
      <c r="O582" s="225"/>
      <c r="P582" s="225"/>
      <c r="Q582" s="225"/>
      <c r="R582" s="225"/>
      <c r="S582" s="225"/>
      <c r="T582" s="225"/>
      <c r="U582" s="225"/>
      <c r="V582" s="225"/>
      <c r="W582" s="177"/>
      <c r="X582" s="177"/>
      <c r="Y582" s="177"/>
      <c r="Z582" s="177"/>
      <c r="AA582" s="177"/>
      <c r="AB582" s="177"/>
      <c r="AC582" s="177"/>
      <c r="AD582" s="177"/>
      <c r="AE582" s="177"/>
      <c r="AF582" s="177"/>
      <c r="AG582" s="177"/>
      <c r="AH582" s="177"/>
      <c r="AI582" s="177"/>
      <c r="AJ582" s="177"/>
      <c r="AK582" s="224">
        <f>IF(and($AK$438&gt;0,Model!W$1&lt;='Assumptions (NG)'!$V$12),IPMT('Assumptions (NG)'!$V$9,Model!W$1,'Assumptions (NG)'!$V$12,'Assumptions (NG)'!$V$7*(Model!$AK$438*AVERAGE('Assumptions (NG)'!$AG$2:$AI$2))/10^9),0)+IF(and($AK$439&gt;0,Model!W$1&lt;='Assumptions (NG)'!$V$12),IPMT('Assumptions (NG)'!$V$9,Model!W$1,'Assumptions (NG)'!$V$12,'Assumptions (NG)'!$V$7*(Model!$AK$439*AVERAGE('Assumptions (NG)'!$AG$3:$AI$3))/10^9),0)</f>
        <v>-0.06270215887</v>
      </c>
      <c r="AL582" s="224">
        <f>IF(and($AK$438&gt;0,Model!X$1&lt;='Assumptions (NG)'!$V$12),IPMT('Assumptions (NG)'!$V$9,Model!X$1,'Assumptions (NG)'!$V$12,'Assumptions (NG)'!$V$7*(Model!$AK$438*AVERAGE('Assumptions (NG)'!$AG$2:$AI$2))/10^9),0)+IF(and($AK$439&gt;0,Model!X$1&lt;='Assumptions (NG)'!$V$12),IPMT('Assumptions (NG)'!$V$9,Model!X$1,'Assumptions (NG)'!$V$12,'Assumptions (NG)'!$V$7*(Model!$AK$439*AVERAGE('Assumptions (NG)'!$AG$3:$AI$3))/10^9),0)</f>
        <v>-0.05826999862</v>
      </c>
      <c r="AM582" s="224">
        <f>IF(and($AK$438&gt;0,Model!Y$1&lt;='Assumptions (NG)'!$V$12),IPMT('Assumptions (NG)'!$V$9,Model!Y$1,'Assumptions (NG)'!$V$12,'Assumptions (NG)'!$V$7*(Model!$AK$438*AVERAGE('Assumptions (NG)'!$AG$2:$AI$2))/10^9),0)+IF(and($AK$439&gt;0,Model!Y$1&lt;='Assumptions (NG)'!$V$12),IPMT('Assumptions (NG)'!$V$9,Model!Y$1,'Assumptions (NG)'!$V$12,'Assumptions (NG)'!$V$7*(Model!$AK$439*AVERAGE('Assumptions (NG)'!$AG$3:$AI$3))/10^9),0)</f>
        <v>-0.05350542635</v>
      </c>
      <c r="AN582" s="224">
        <f>IF(and($AK$438&gt;0,Model!Z$1&lt;='Assumptions (NG)'!$V$12),IPMT('Assumptions (NG)'!$V$9,Model!Z$1,'Assumptions (NG)'!$V$12,'Assumptions (NG)'!$V$7*(Model!$AK$438*AVERAGE('Assumptions (NG)'!$AG$2:$AI$2))/10^9),0)+IF(and($AK$439&gt;0,Model!Z$1&lt;='Assumptions (NG)'!$V$12),IPMT('Assumptions (NG)'!$V$9,Model!Z$1,'Assumptions (NG)'!$V$12,'Assumptions (NG)'!$V$7*(Model!$AK$439*AVERAGE('Assumptions (NG)'!$AG$3:$AI$3))/10^9),0)</f>
        <v>-0.04838351116</v>
      </c>
      <c r="AO582" s="224">
        <f>IF(and($AK$438&gt;0,Model!AA$1&lt;='Assumptions (NG)'!$V$12),IPMT('Assumptions (NG)'!$V$9,Model!AA$1,'Assumptions (NG)'!$V$12,'Assumptions (NG)'!$V$7*(Model!$AK$438*AVERAGE('Assumptions (NG)'!$AG$2:$AI$2))/10^9),0)+IF(and($AK$439&gt;0,Model!AA$1&lt;='Assumptions (NG)'!$V$12),IPMT('Assumptions (NG)'!$V$9,Model!AA$1,'Assumptions (NG)'!$V$12,'Assumptions (NG)'!$V$7*(Model!$AK$439*AVERAGE('Assumptions (NG)'!$AG$3:$AI$3))/10^9),0)</f>
        <v>-0.04287745233</v>
      </c>
      <c r="AP582" s="224">
        <f>IF(and($AK$438&gt;0,Model!AB$1&lt;='Assumptions (NG)'!$V$12),IPMT('Assumptions (NG)'!$V$9,Model!AB$1,'Assumptions (NG)'!$V$12,'Assumptions (NG)'!$V$7*(Model!$AK$438*AVERAGE('Assumptions (NG)'!$AG$2:$AI$2))/10^9),0)+IF(and($AK$439&gt;0,Model!AB$1&lt;='Assumptions (NG)'!$V$12),IPMT('Assumptions (NG)'!$V$9,Model!AB$1,'Assumptions (NG)'!$V$12,'Assumptions (NG)'!$V$7*(Model!$AK$439*AVERAGE('Assumptions (NG)'!$AG$3:$AI$3))/10^9),0)</f>
        <v>-0.03695843908</v>
      </c>
      <c r="AQ582" s="224">
        <f>IF(and($AK$438&gt;0,Model!AC$1&lt;='Assumptions (NG)'!$V$12),IPMT('Assumptions (NG)'!$V$9,Model!AC$1,'Assumptions (NG)'!$V$12,'Assumptions (NG)'!$V$7*(Model!$AK$438*AVERAGE('Assumptions (NG)'!$AG$2:$AI$2))/10^9),0)+IF(and($AK$439&gt;0,Model!AC$1&lt;='Assumptions (NG)'!$V$12),IPMT('Assumptions (NG)'!$V$9,Model!AC$1,'Assumptions (NG)'!$V$12,'Assumptions (NG)'!$V$7*(Model!$AK$439*AVERAGE('Assumptions (NG)'!$AG$3:$AI$3))/10^9),0)</f>
        <v>-0.03059549985</v>
      </c>
      <c r="AR582" s="224">
        <f>IF(and($AK$438&gt;0,Model!AD$1&lt;='Assumptions (NG)'!$V$12),IPMT('Assumptions (NG)'!$V$9,Model!AD$1,'Assumptions (NG)'!$V$12,'Assumptions (NG)'!$V$7*(Model!$AK$438*AVERAGE('Assumptions (NG)'!$AG$2:$AI$2))/10^9),0)+IF(and($AK$439&gt;0,Model!AD$1&lt;='Assumptions (NG)'!$V$12),IPMT('Assumptions (NG)'!$V$9,Model!AD$1,'Assumptions (NG)'!$V$12,'Assumptions (NG)'!$V$7*(Model!$AK$439*AVERAGE('Assumptions (NG)'!$AG$3:$AI$3))/10^9),0)</f>
        <v>-0.02375534017</v>
      </c>
      <c r="AS582" s="224">
        <f>IF(and($AK$438&gt;0,Model!AE$1&lt;='Assumptions (NG)'!$V$12),IPMT('Assumptions (NG)'!$V$9,Model!AE$1,'Assumptions (NG)'!$V$12,'Assumptions (NG)'!$V$7*(Model!$AK$438*AVERAGE('Assumptions (NG)'!$AG$2:$AI$2))/10^9),0)+IF(and($AK$439&gt;0,Model!AE$1&lt;='Assumptions (NG)'!$V$12),IPMT('Assumptions (NG)'!$V$9,Model!AE$1,'Assumptions (NG)'!$V$12,'Assumptions (NG)'!$V$7*(Model!$AK$439*AVERAGE('Assumptions (NG)'!$AG$3:$AI$3))/10^9),0)</f>
        <v>-0.01640216852</v>
      </c>
      <c r="AT582" s="224">
        <f>IF(and($AK$438&gt;0,Model!AF$1&lt;='Assumptions (NG)'!$V$12),IPMT('Assumptions (NG)'!$V$9,Model!AF$1,'Assumptions (NG)'!$V$12,'Assumptions (NG)'!$V$7*(Model!$AK$438*AVERAGE('Assumptions (NG)'!$AG$2:$AI$2))/10^9),0)+IF(and($AK$439&gt;0,Model!AF$1&lt;='Assumptions (NG)'!$V$12),IPMT('Assumptions (NG)'!$V$9,Model!AF$1,'Assumptions (NG)'!$V$12,'Assumptions (NG)'!$V$7*(Model!$AK$439*AVERAGE('Assumptions (NG)'!$AG$3:$AI$3))/10^9),0)</f>
        <v>-0.008497508992</v>
      </c>
      <c r="AU582" s="224"/>
      <c r="AV582" s="224"/>
      <c r="AW582" s="224"/>
      <c r="AX582" s="224"/>
      <c r="AY582" s="224"/>
      <c r="AZ582" s="177"/>
      <c r="BA582" s="177"/>
      <c r="BB582" s="177"/>
      <c r="BC582" s="177"/>
      <c r="BD582" s="177"/>
      <c r="BE582" s="177"/>
      <c r="BF582" s="177"/>
      <c r="BG582" s="177"/>
      <c r="BH582" s="177"/>
      <c r="BI582" s="177"/>
      <c r="BJ582" s="224"/>
      <c r="BK582" s="224"/>
      <c r="BL582" s="224"/>
      <c r="BM582" s="224"/>
      <c r="BN582" s="224"/>
      <c r="BO582" s="224"/>
    </row>
    <row r="583" ht="15.75" hidden="1" customHeight="1" outlineLevel="1">
      <c r="A583" s="209"/>
      <c r="B583" s="38"/>
      <c r="C583" s="174"/>
      <c r="D583" s="174"/>
      <c r="E583" s="174"/>
      <c r="F583" s="174"/>
      <c r="G583" s="174"/>
      <c r="H583" s="174"/>
      <c r="I583" s="174"/>
      <c r="J583" s="174"/>
      <c r="L583" s="225"/>
      <c r="M583" s="225"/>
      <c r="N583" s="225"/>
      <c r="O583" s="225"/>
      <c r="P583" s="225"/>
      <c r="Q583" s="225"/>
      <c r="R583" s="225"/>
      <c r="S583" s="225"/>
      <c r="T583" s="225"/>
      <c r="U583" s="225"/>
      <c r="V583" s="225"/>
      <c r="W583" s="177"/>
      <c r="X583" s="177"/>
      <c r="Y583" s="177"/>
      <c r="Z583" s="177"/>
      <c r="AA583" s="177"/>
      <c r="AB583" s="177"/>
      <c r="AC583" s="177"/>
      <c r="AD583" s="177"/>
      <c r="AE583" s="177"/>
      <c r="AF583" s="177"/>
      <c r="AG583" s="177"/>
      <c r="AH583" s="177"/>
      <c r="AI583" s="177"/>
      <c r="AJ583" s="177"/>
      <c r="AK583" s="177"/>
      <c r="AL583" s="224">
        <f>IF(and($AL$438&gt;0,Model!W$1&lt;='Assumptions (NG)'!$V$12),IPMT('Assumptions (NG)'!$V$9,Model!W$1,'Assumptions (NG)'!$V$12,'Assumptions (NG)'!$V$7*(Model!$AL$438*AVERAGE('Assumptions (NG)'!$AH$2:$AJ$2))/10^9),0)+IF(and($AL$439&gt;0,Model!W$1&lt;='Assumptions (NG)'!$V$12),IPMT('Assumptions (NG)'!$V$9,Model!W$1,'Assumptions (NG)'!$V$12,'Assumptions (NG)'!$V$7*(Model!$AL$439*AVERAGE('Assumptions (NG)'!$AH$3:$AJ$3))/10^9),0)</f>
        <v>-0.0647730814</v>
      </c>
      <c r="AM583" s="224">
        <f>IF(and($AL$438&gt;0,Model!X$1&lt;='Assumptions (NG)'!$V$12),IPMT('Assumptions (NG)'!$V$9,Model!X$1,'Assumptions (NG)'!$V$12,'Assumptions (NG)'!$V$7*(Model!$AL$438*AVERAGE('Assumptions (NG)'!$AH$2:$AJ$2))/10^9),0)+IF(and($AL$439&gt;0,Model!X$1&lt;='Assumptions (NG)'!$V$12),IPMT('Assumptions (NG)'!$V$9,Model!X$1,'Assumptions (NG)'!$V$12,'Assumptions (NG)'!$V$7*(Model!$AL$439*AVERAGE('Assumptions (NG)'!$AH$3:$AJ$3))/10^9),0)</f>
        <v>-0.06019453607</v>
      </c>
      <c r="AN583" s="224">
        <f>IF(and($AL$438&gt;0,Model!Y$1&lt;='Assumptions (NG)'!$V$12),IPMT('Assumptions (NG)'!$V$9,Model!Y$1,'Assumptions (NG)'!$V$12,'Assumptions (NG)'!$V$7*(Model!$AL$438*AVERAGE('Assumptions (NG)'!$AH$2:$AJ$2))/10^9),0)+IF(and($AL$439&gt;0,Model!Y$1&lt;='Assumptions (NG)'!$V$12),IPMT('Assumptions (NG)'!$V$9,Model!Y$1,'Assumptions (NG)'!$V$12,'Assumptions (NG)'!$V$7*(Model!$AL$439*AVERAGE('Assumptions (NG)'!$AH$3:$AJ$3))/10^9),0)</f>
        <v>-0.05527259984</v>
      </c>
      <c r="AO583" s="224">
        <f>IF(and($AL$438&gt;0,Model!Z$1&lt;='Assumptions (NG)'!$V$12),IPMT('Assumptions (NG)'!$V$9,Model!Z$1,'Assumptions (NG)'!$V$12,'Assumptions (NG)'!$V$7*(Model!$AL$438*AVERAGE('Assumptions (NG)'!$AH$2:$AJ$2))/10^9),0)+IF(and($AL$439&gt;0,Model!Z$1&lt;='Assumptions (NG)'!$V$12),IPMT('Assumptions (NG)'!$V$9,Model!Z$1,'Assumptions (NG)'!$V$12,'Assumptions (NG)'!$V$7*(Model!$AL$439*AVERAGE('Assumptions (NG)'!$AH$3:$AJ$3))/10^9),0)</f>
        <v>-0.04998151839</v>
      </c>
      <c r="AP583" s="224">
        <f>IF(and($AL$438&gt;0,Model!AA$1&lt;='Assumptions (NG)'!$V$12),IPMT('Assumptions (NG)'!$V$9,Model!AA$1,'Assumptions (NG)'!$V$12,'Assumptions (NG)'!$V$7*(Model!$AL$438*AVERAGE('Assumptions (NG)'!$AH$2:$AJ$2))/10^9),0)+IF(and($AL$439&gt;0,Model!AA$1&lt;='Assumptions (NG)'!$V$12),IPMT('Assumptions (NG)'!$V$9,Model!AA$1,'Assumptions (NG)'!$V$12,'Assumptions (NG)'!$V$7*(Model!$AL$439*AVERAGE('Assumptions (NG)'!$AH$3:$AJ$3))/10^9),0)</f>
        <v>-0.04429360584</v>
      </c>
      <c r="AQ583" s="224">
        <f>IF(and($AL$438&gt;0,Model!AB$1&lt;='Assumptions (NG)'!$V$12),IPMT('Assumptions (NG)'!$V$9,Model!AB$1,'Assumptions (NG)'!$V$12,'Assumptions (NG)'!$V$7*(Model!$AL$438*AVERAGE('Assumptions (NG)'!$AH$2:$AJ$2))/10^9),0)+IF(and($AL$439&gt;0,Model!AB$1&lt;='Assumptions (NG)'!$V$12),IPMT('Assumptions (NG)'!$V$9,Model!AB$1,'Assumptions (NG)'!$V$12,'Assumptions (NG)'!$V$7*(Model!$AL$439*AVERAGE('Assumptions (NG)'!$AH$3:$AJ$3))/10^9),0)</f>
        <v>-0.03817909984</v>
      </c>
      <c r="AR583" s="224">
        <f>IF(and($AL$438&gt;0,Model!AC$1&lt;='Assumptions (NG)'!$V$12),IPMT('Assumptions (NG)'!$V$9,Model!AC$1,'Assumptions (NG)'!$V$12,'Assumptions (NG)'!$V$7*(Model!$AL$438*AVERAGE('Assumptions (NG)'!$AH$2:$AJ$2))/10^9),0)+IF(and($AL$439&gt;0,Model!AC$1&lt;='Assumptions (NG)'!$V$12),IPMT('Assumptions (NG)'!$V$9,Model!AC$1,'Assumptions (NG)'!$V$12,'Assumptions (NG)'!$V$7*(Model!$AL$439*AVERAGE('Assumptions (NG)'!$AH$3:$AJ$3))/10^9),0)</f>
        <v>-0.03160600589</v>
      </c>
      <c r="AS583" s="224">
        <f>IF(and($AL$438&gt;0,Model!AD$1&lt;='Assumptions (NG)'!$V$12),IPMT('Assumptions (NG)'!$V$9,Model!AD$1,'Assumptions (NG)'!$V$12,'Assumptions (NG)'!$V$7*(Model!$AL$438*AVERAGE('Assumptions (NG)'!$AH$2:$AJ$2))/10^9),0)+IF(and($AL$439&gt;0,Model!AD$1&lt;='Assumptions (NG)'!$V$12),IPMT('Assumptions (NG)'!$V$9,Model!AD$1,'Assumptions (NG)'!$V$12,'Assumptions (NG)'!$V$7*(Model!$AL$439*AVERAGE('Assumptions (NG)'!$AH$3:$AJ$3))/10^9),0)</f>
        <v>-0.02453992989</v>
      </c>
      <c r="AT583" s="224">
        <f>IF(and($AL$438&gt;0,Model!AE$1&lt;='Assumptions (NG)'!$V$12),IPMT('Assumptions (NG)'!$V$9,Model!AE$1,'Assumptions (NG)'!$V$12,'Assumptions (NG)'!$V$7*(Model!$AL$438*AVERAGE('Assumptions (NG)'!$AH$2:$AJ$2))/10^9),0)+IF(and($AL$439&gt;0,Model!AE$1&lt;='Assumptions (NG)'!$V$12),IPMT('Assumptions (NG)'!$V$9,Model!AE$1,'Assumptions (NG)'!$V$12,'Assumptions (NG)'!$V$7*(Model!$AL$439*AVERAGE('Assumptions (NG)'!$AH$3:$AJ$3))/10^9),0)</f>
        <v>-0.0169438982</v>
      </c>
      <c r="AU583" s="224">
        <f>IF(and($AL$438&gt;0,Model!AF$1&lt;='Assumptions (NG)'!$V$12),IPMT('Assumptions (NG)'!$V$9,Model!AF$1,'Assumptions (NG)'!$V$12,'Assumptions (NG)'!$V$7*(Model!$AL$438*AVERAGE('Assumptions (NG)'!$AH$2:$AJ$2))/10^9),0)+IF(and($AL$439&gt;0,Model!AF$1&lt;='Assumptions (NG)'!$V$12),IPMT('Assumptions (NG)'!$V$9,Model!AF$1,'Assumptions (NG)'!$V$12,'Assumptions (NG)'!$V$7*(Model!$AL$439*AVERAGE('Assumptions (NG)'!$AH$3:$AJ$3))/10^9),0)</f>
        <v>-0.008778164127</v>
      </c>
      <c r="AV583" s="224"/>
      <c r="AW583" s="224"/>
      <c r="AX583" s="224"/>
      <c r="AY583" s="224"/>
      <c r="AZ583" s="224"/>
      <c r="BA583" s="177"/>
      <c r="BB583" s="177"/>
      <c r="BC583" s="177"/>
      <c r="BD583" s="177"/>
      <c r="BE583" s="177"/>
      <c r="BF583" s="177"/>
      <c r="BG583" s="177"/>
      <c r="BH583" s="177"/>
      <c r="BI583" s="177"/>
      <c r="BJ583" s="177"/>
      <c r="BK583" s="224"/>
      <c r="BL583" s="224"/>
      <c r="BM583" s="224"/>
      <c r="BN583" s="224"/>
      <c r="BO583" s="224"/>
    </row>
    <row r="584" ht="15.75" hidden="1" customHeight="1" outlineLevel="1">
      <c r="A584" s="209"/>
      <c r="B584" s="38"/>
      <c r="C584" s="174"/>
      <c r="D584" s="174"/>
      <c r="E584" s="174"/>
      <c r="F584" s="174"/>
      <c r="G584" s="174"/>
      <c r="H584" s="174"/>
      <c r="I584" s="174"/>
      <c r="J584" s="174"/>
      <c r="L584" s="225"/>
      <c r="M584" s="225"/>
      <c r="N584" s="225"/>
      <c r="O584" s="225"/>
      <c r="P584" s="225"/>
      <c r="Q584" s="225"/>
      <c r="R584" s="225"/>
      <c r="S584" s="225"/>
      <c r="T584" s="225"/>
      <c r="U584" s="225"/>
      <c r="V584" s="225"/>
      <c r="W584" s="177"/>
      <c r="X584" s="177"/>
      <c r="Y584" s="177"/>
      <c r="Z584" s="177"/>
      <c r="AA584" s="177"/>
      <c r="AB584" s="177"/>
      <c r="AC584" s="177"/>
      <c r="AD584" s="177"/>
      <c r="AE584" s="177"/>
      <c r="AF584" s="177"/>
      <c r="AG584" s="177"/>
      <c r="AH584" s="177"/>
      <c r="AI584" s="177"/>
      <c r="AJ584" s="177"/>
      <c r="AK584" s="177"/>
      <c r="AL584" s="177"/>
      <c r="AM584" s="224">
        <f>IF(and($AM$438&gt;0,Model!W$1&lt;='Assumptions (NG)'!$V$12),IPMT('Assumptions (NG)'!$V$9,Model!W$1,'Assumptions (NG)'!$V$12,'Assumptions (NG)'!$V$7*(Model!$AM$438*AVERAGE('Assumptions (NG)'!$AI$2:$AK$2))/10^9),0)+IF(and($AM$439&gt;0,Model!W$1&lt;='Assumptions (NG)'!$V$12),IPMT('Assumptions (NG)'!$V$9,Model!W$1,'Assumptions (NG)'!$V$12,'Assumptions (NG)'!$V$7*(Model!$AM$439*AVERAGE('Assumptions (NG)'!$AI$3:$AK$3))/10^9),0)</f>
        <v>-0.2126659066</v>
      </c>
      <c r="AN584" s="224">
        <f>IF(and($AM$438&gt;0,Model!X$1&lt;='Assumptions (NG)'!$V$12),IPMT('Assumptions (NG)'!$V$9,Model!X$1,'Assumptions (NG)'!$V$12,'Assumptions (NG)'!$V$7*(Model!$AM$438*AVERAGE('Assumptions (NG)'!$AI$2:$AK$2))/10^9),0)+IF(and($AM$439&gt;0,Model!X$1&lt;='Assumptions (NG)'!$V$12),IPMT('Assumptions (NG)'!$V$9,Model!X$1,'Assumptions (NG)'!$V$12,'Assumptions (NG)'!$V$7*(Model!$AM$439*AVERAGE('Assumptions (NG)'!$AI$3:$AK$3))/10^9),0)</f>
        <v>-0.1976334198</v>
      </c>
      <c r="AO584" s="224">
        <f>IF(and($AM$438&gt;0,Model!Y$1&lt;='Assumptions (NG)'!$V$12),IPMT('Assumptions (NG)'!$V$9,Model!Y$1,'Assumptions (NG)'!$V$12,'Assumptions (NG)'!$V$7*(Model!$AM$438*AVERAGE('Assumptions (NG)'!$AI$2:$AK$2))/10^9),0)+IF(and($AM$439&gt;0,Model!Y$1&lt;='Assumptions (NG)'!$V$12),IPMT('Assumptions (NG)'!$V$9,Model!Y$1,'Assumptions (NG)'!$V$12,'Assumptions (NG)'!$V$7*(Model!$AM$439*AVERAGE('Assumptions (NG)'!$AI$3:$AK$3))/10^9),0)</f>
        <v>-0.1814734964</v>
      </c>
      <c r="AP584" s="224">
        <f>IF(and($AM$438&gt;0,Model!Z$1&lt;='Assumptions (NG)'!$V$12),IPMT('Assumptions (NG)'!$V$9,Model!Z$1,'Assumptions (NG)'!$V$12,'Assumptions (NG)'!$V$7*(Model!$AM$438*AVERAGE('Assumptions (NG)'!$AI$2:$AK$2))/10^9),0)+IF(and($AM$439&gt;0,Model!Z$1&lt;='Assumptions (NG)'!$V$12),IPMT('Assumptions (NG)'!$V$9,Model!Z$1,'Assumptions (NG)'!$V$12,'Assumptions (NG)'!$V$7*(Model!$AM$439*AVERAGE('Assumptions (NG)'!$AI$3:$AK$3))/10^9),0)</f>
        <v>-0.1641015788</v>
      </c>
      <c r="AQ584" s="224">
        <f>IF(and($AM$438&gt;0,Model!AA$1&lt;='Assumptions (NG)'!$V$12),IPMT('Assumptions (NG)'!$V$9,Model!AA$1,'Assumptions (NG)'!$V$12,'Assumptions (NG)'!$V$7*(Model!$AM$438*AVERAGE('Assumptions (NG)'!$AI$2:$AK$2))/10^9),0)+IF(and($AM$439&gt;0,Model!AA$1&lt;='Assumptions (NG)'!$V$12),IPMT('Assumptions (NG)'!$V$9,Model!AA$1,'Assumptions (NG)'!$V$12,'Assumptions (NG)'!$V$7*(Model!$AM$439*AVERAGE('Assumptions (NG)'!$AI$3:$AK$3))/10^9),0)</f>
        <v>-0.1454267674</v>
      </c>
      <c r="AR584" s="224">
        <f>IF(and($AM$438&gt;0,Model!AB$1&lt;='Assumptions (NG)'!$V$12),IPMT('Assumptions (NG)'!$V$9,Model!AB$1,'Assumptions (NG)'!$V$12,'Assumptions (NG)'!$V$7*(Model!$AM$438*AVERAGE('Assumptions (NG)'!$AI$2:$AK$2))/10^9),0)+IF(and($AM$439&gt;0,Model!AB$1&lt;='Assumptions (NG)'!$V$12),IPMT('Assumptions (NG)'!$V$9,Model!AB$1,'Assumptions (NG)'!$V$12,'Assumptions (NG)'!$V$7*(Model!$AM$439*AVERAGE('Assumptions (NG)'!$AI$3:$AK$3))/10^9),0)</f>
        <v>-0.1253513451</v>
      </c>
      <c r="AS584" s="224">
        <f>IF(and($AM$438&gt;0,Model!AC$1&lt;='Assumptions (NG)'!$V$12),IPMT('Assumptions (NG)'!$V$9,Model!AC$1,'Assumptions (NG)'!$V$12,'Assumptions (NG)'!$V$7*(Model!$AM$438*AVERAGE('Assumptions (NG)'!$AI$2:$AK$2))/10^9),0)+IF(and($AM$439&gt;0,Model!AC$1&lt;='Assumptions (NG)'!$V$12),IPMT('Assumptions (NG)'!$V$9,Model!AC$1,'Assumptions (NG)'!$V$12,'Assumptions (NG)'!$V$7*(Model!$AM$439*AVERAGE('Assumptions (NG)'!$AI$3:$AK$3))/10^9),0)</f>
        <v>-0.1037702662</v>
      </c>
      <c r="AT584" s="224">
        <f>IF(and($AM$438&gt;0,Model!AD$1&lt;='Assumptions (NG)'!$V$12),IPMT('Assumptions (NG)'!$V$9,Model!AD$1,'Assumptions (NG)'!$V$12,'Assumptions (NG)'!$V$7*(Model!$AM$438*AVERAGE('Assumptions (NG)'!$AI$2:$AK$2))/10^9),0)+IF(and($AM$439&gt;0,Model!AD$1&lt;='Assumptions (NG)'!$V$12),IPMT('Assumptions (NG)'!$V$9,Model!AD$1,'Assumptions (NG)'!$V$12,'Assumptions (NG)'!$V$7*(Model!$AM$439*AVERAGE('Assumptions (NG)'!$AI$3:$AK$3))/10^9),0)</f>
        <v>-0.08057060628</v>
      </c>
      <c r="AU584" s="224">
        <f>IF(and($AM$438&gt;0,Model!AE$1&lt;='Assumptions (NG)'!$V$12),IPMT('Assumptions (NG)'!$V$9,Model!AE$1,'Assumptions (NG)'!$V$12,'Assumptions (NG)'!$V$7*(Model!$AM$438*AVERAGE('Assumptions (NG)'!$AI$2:$AK$2))/10^9),0)+IF(and($AM$439&gt;0,Model!AE$1&lt;='Assumptions (NG)'!$V$12),IPMT('Assumptions (NG)'!$V$9,Model!AE$1,'Assumptions (NG)'!$V$12,'Assumptions (NG)'!$V$7*(Model!$AM$439*AVERAGE('Assumptions (NG)'!$AI$3:$AK$3))/10^9),0)</f>
        <v>-0.05563097192</v>
      </c>
      <c r="AV584" s="224">
        <f>IF(and($AM$438&gt;0,Model!AF$1&lt;='Assumptions (NG)'!$V$12),IPMT('Assumptions (NG)'!$V$9,Model!AF$1,'Assumptions (NG)'!$V$12,'Assumptions (NG)'!$V$7*(Model!$AM$438*AVERAGE('Assumptions (NG)'!$AI$2:$AK$2))/10^9),0)+IF(and($AM$439&gt;0,Model!AF$1&lt;='Assumptions (NG)'!$V$12),IPMT('Assumptions (NG)'!$V$9,Model!AF$1,'Assumptions (NG)'!$V$12,'Assumptions (NG)'!$V$7*(Model!$AM$439*AVERAGE('Assumptions (NG)'!$AI$3:$AK$3))/10^9),0)</f>
        <v>-0.02882086497</v>
      </c>
      <c r="AW584" s="224"/>
      <c r="AX584" s="224"/>
      <c r="AY584" s="224"/>
      <c r="AZ584" s="224"/>
      <c r="BA584" s="224"/>
      <c r="BB584" s="177"/>
      <c r="BC584" s="177"/>
      <c r="BD584" s="177"/>
      <c r="BE584" s="177"/>
      <c r="BF584" s="177"/>
      <c r="BG584" s="177"/>
      <c r="BH584" s="177"/>
      <c r="BI584" s="177"/>
      <c r="BJ584" s="177"/>
      <c r="BK584" s="177"/>
      <c r="BL584" s="224"/>
      <c r="BM584" s="224"/>
      <c r="BN584" s="224"/>
      <c r="BO584" s="224"/>
    </row>
    <row r="585" ht="15.75" hidden="1" customHeight="1" outlineLevel="1">
      <c r="A585" s="209"/>
      <c r="B585" s="38"/>
      <c r="C585" s="174"/>
      <c r="D585" s="174"/>
      <c r="E585" s="174"/>
      <c r="F585" s="174"/>
      <c r="G585" s="174"/>
      <c r="H585" s="174"/>
      <c r="I585" s="174"/>
      <c r="J585" s="174"/>
      <c r="L585" s="225"/>
      <c r="M585" s="225"/>
      <c r="N585" s="225"/>
      <c r="O585" s="225"/>
      <c r="P585" s="225"/>
      <c r="Q585" s="225"/>
      <c r="R585" s="225"/>
      <c r="S585" s="225"/>
      <c r="T585" s="225"/>
      <c r="U585" s="225"/>
      <c r="V585" s="225"/>
      <c r="W585" s="177"/>
      <c r="X585" s="177"/>
      <c r="Y585" s="177"/>
      <c r="Z585" s="177"/>
      <c r="AA585" s="177"/>
      <c r="AB585" s="177"/>
      <c r="AC585" s="177"/>
      <c r="AD585" s="177"/>
      <c r="AE585" s="177"/>
      <c r="AF585" s="177"/>
      <c r="AG585" s="177"/>
      <c r="AH585" s="177"/>
      <c r="AI585" s="177"/>
      <c r="AJ585" s="177"/>
      <c r="AK585" s="177"/>
      <c r="AL585" s="177"/>
      <c r="AM585" s="177"/>
      <c r="AN585" s="224">
        <f>IF(and($AN$438&gt;0,Model!W$1&lt;='Assumptions (NG)'!$V$12),IPMT('Assumptions (NG)'!$V$9,Model!W$1,'Assumptions (NG)'!$V$12,'Assumptions (NG)'!$V$7*(Model!$AN$438*AVERAGE('Assumptions (NG)'!$AJ$2:$AL$2))/10^9),0)+IF(and($AN$439&gt;0,Model!W$1&lt;='Assumptions (NG)'!$V$12),IPMT('Assumptions (NG)'!$V$9,Model!W$1,'Assumptions (NG)'!$V$12,'Assumptions (NG)'!$V$7*(Model!$AN$439*AVERAGE('Assumptions (NG)'!$AJ$3:$AL$3))/10^9),0)</f>
        <v>-0.2717628858</v>
      </c>
      <c r="AO585" s="224">
        <f>IF(and($AN$438&gt;0,Model!X$1&lt;='Assumptions (NG)'!$V$12),IPMT('Assumptions (NG)'!$V$9,Model!X$1,'Assumptions (NG)'!$V$12,'Assumptions (NG)'!$V$7*(Model!$AN$438*AVERAGE('Assumptions (NG)'!$AJ$2:$AL$2))/10^9),0)+IF(and($AN$439&gt;0,Model!X$1&lt;='Assumptions (NG)'!$V$12),IPMT('Assumptions (NG)'!$V$9,Model!X$1,'Assumptions (NG)'!$V$12,'Assumptions (NG)'!$V$7*(Model!$AN$439*AVERAGE('Assumptions (NG)'!$AJ$3:$AL$3))/10^9),0)</f>
        <v>-0.2525530741</v>
      </c>
      <c r="AP585" s="224">
        <f>IF(and($AN$438&gt;0,Model!Y$1&lt;='Assumptions (NG)'!$V$12),IPMT('Assumptions (NG)'!$V$9,Model!Y$1,'Assumptions (NG)'!$V$12,'Assumptions (NG)'!$V$7*(Model!$AN$438*AVERAGE('Assumptions (NG)'!$AJ$2:$AL$2))/10^9),0)+IF(and($AN$439&gt;0,Model!Y$1&lt;='Assumptions (NG)'!$V$12),IPMT('Assumptions (NG)'!$V$9,Model!Y$1,'Assumptions (NG)'!$V$12,'Assumptions (NG)'!$V$7*(Model!$AN$439*AVERAGE('Assumptions (NG)'!$AJ$3:$AL$3))/10^9),0)</f>
        <v>-0.2319025266</v>
      </c>
      <c r="AQ585" s="224">
        <f>IF(and($AN$438&gt;0,Model!Z$1&lt;='Assumptions (NG)'!$V$12),IPMT('Assumptions (NG)'!$V$9,Model!Z$1,'Assumptions (NG)'!$V$12,'Assumptions (NG)'!$V$7*(Model!$AN$438*AVERAGE('Assumptions (NG)'!$AJ$2:$AL$2))/10^9),0)+IF(and($AN$439&gt;0,Model!Z$1&lt;='Assumptions (NG)'!$V$12),IPMT('Assumptions (NG)'!$V$9,Model!Z$1,'Assumptions (NG)'!$V$12,'Assumptions (NG)'!$V$7*(Model!$AN$439*AVERAGE('Assumptions (NG)'!$AJ$3:$AL$3))/10^9),0)</f>
        <v>-0.2097031881</v>
      </c>
      <c r="AR585" s="224">
        <f>IF(and($AN$438&gt;0,Model!AA$1&lt;='Assumptions (NG)'!$V$12),IPMT('Assumptions (NG)'!$V$9,Model!AA$1,'Assumptions (NG)'!$V$12,'Assumptions (NG)'!$V$7*(Model!$AN$438*AVERAGE('Assumptions (NG)'!$AJ$2:$AL$2))/10^9),0)+IF(and($AN$439&gt;0,Model!AA$1&lt;='Assumptions (NG)'!$V$12),IPMT('Assumptions (NG)'!$V$9,Model!AA$1,'Assumptions (NG)'!$V$12,'Assumptions (NG)'!$V$7*(Model!$AN$439*AVERAGE('Assumptions (NG)'!$AJ$3:$AL$3))/10^9),0)</f>
        <v>-0.1858388991</v>
      </c>
      <c r="AS585" s="224">
        <f>IF(and($AN$438&gt;0,Model!AB$1&lt;='Assumptions (NG)'!$V$12),IPMT('Assumptions (NG)'!$V$9,Model!AB$1,'Assumptions (NG)'!$V$12,'Assumptions (NG)'!$V$7*(Model!$AN$438*AVERAGE('Assumptions (NG)'!$AJ$2:$AL$2))/10^9),0)+IF(and($AN$439&gt;0,Model!AB$1&lt;='Assumptions (NG)'!$V$12),IPMT('Assumptions (NG)'!$V$9,Model!AB$1,'Assumptions (NG)'!$V$12,'Assumptions (NG)'!$V$7*(Model!$AN$439*AVERAGE('Assumptions (NG)'!$AJ$3:$AL$3))/10^9),0)</f>
        <v>-0.1601847885</v>
      </c>
      <c r="AT585" s="224">
        <f>IF(and($AN$438&gt;0,Model!AC$1&lt;='Assumptions (NG)'!$V$12),IPMT('Assumptions (NG)'!$V$9,Model!AC$1,'Assumptions (NG)'!$V$12,'Assumptions (NG)'!$V$7*(Model!$AN$438*AVERAGE('Assumptions (NG)'!$AJ$2:$AL$2))/10^9),0)+IF(and($AN$439&gt;0,Model!AC$1&lt;='Assumptions (NG)'!$V$12),IPMT('Assumptions (NG)'!$V$9,Model!AC$1,'Assumptions (NG)'!$V$12,'Assumptions (NG)'!$V$7*(Model!$AN$439*AVERAGE('Assumptions (NG)'!$AJ$3:$AL$3))/10^9),0)</f>
        <v>-0.1326066196</v>
      </c>
      <c r="AU585" s="224">
        <f>IF(and($AN$438&gt;0,Model!AD$1&lt;='Assumptions (NG)'!$V$12),IPMT('Assumptions (NG)'!$V$9,Model!AD$1,'Assumptions (NG)'!$V$12,'Assumptions (NG)'!$V$7*(Model!$AN$438*AVERAGE('Assumptions (NG)'!$AJ$2:$AL$2))/10^9),0)+IF(and($AN$439&gt;0,Model!AD$1&lt;='Assumptions (NG)'!$V$12),IPMT('Assumptions (NG)'!$V$9,Model!AD$1,'Assumptions (NG)'!$V$12,'Assumptions (NG)'!$V$7*(Model!$AN$439*AVERAGE('Assumptions (NG)'!$AJ$3:$AL$3))/10^9),0)</f>
        <v>-0.102960088</v>
      </c>
      <c r="AV585" s="224">
        <f>IF(and($AN$438&gt;0,Model!AE$1&lt;='Assumptions (NG)'!$V$12),IPMT('Assumptions (NG)'!$V$9,Model!AE$1,'Assumptions (NG)'!$V$12,'Assumptions (NG)'!$V$7*(Model!$AN$438*AVERAGE('Assumptions (NG)'!$AJ$2:$AL$2))/10^9),0)+IF(and($AN$439&gt;0,Model!AE$1&lt;='Assumptions (NG)'!$V$12),IPMT('Assumptions (NG)'!$V$9,Model!AE$1,'Assumptions (NG)'!$V$12,'Assumptions (NG)'!$V$7*(Model!$AN$439*AVERAGE('Assumptions (NG)'!$AJ$3:$AL$3))/10^9),0)</f>
        <v>-0.07109006659</v>
      </c>
      <c r="AW585" s="224">
        <f>IF(and($AN$438&gt;0,Model!AF$1&lt;='Assumptions (NG)'!$V$12),IPMT('Assumptions (NG)'!$V$9,Model!AF$1,'Assumptions (NG)'!$V$12,'Assumptions (NG)'!$V$7*(Model!$AN$438*AVERAGE('Assumptions (NG)'!$AJ$2:$AL$2))/10^9),0)+IF(and($AN$439&gt;0,Model!AF$1&lt;='Assumptions (NG)'!$V$12),IPMT('Assumptions (NG)'!$V$9,Model!AF$1,'Assumptions (NG)'!$V$12,'Assumptions (NG)'!$V$7*(Model!$AN$439*AVERAGE('Assumptions (NG)'!$AJ$3:$AL$3))/10^9),0)</f>
        <v>-0.03682979354</v>
      </c>
      <c r="AX585" s="224"/>
      <c r="AY585" s="224"/>
      <c r="AZ585" s="224"/>
      <c r="BA585" s="224"/>
      <c r="BB585" s="224"/>
      <c r="BC585" s="177"/>
      <c r="BD585" s="177"/>
      <c r="BE585" s="177"/>
      <c r="BF585" s="177"/>
      <c r="BG585" s="177"/>
      <c r="BH585" s="177"/>
      <c r="BI585" s="177"/>
      <c r="BJ585" s="177"/>
      <c r="BK585" s="177"/>
      <c r="BL585" s="177"/>
      <c r="BM585" s="224"/>
      <c r="BN585" s="224"/>
      <c r="BO585" s="224"/>
    </row>
    <row r="586" ht="15.75" hidden="1" customHeight="1" outlineLevel="1">
      <c r="A586" s="209"/>
      <c r="B586" s="38"/>
      <c r="C586" s="174"/>
      <c r="D586" s="174"/>
      <c r="E586" s="174"/>
      <c r="F586" s="174"/>
      <c r="G586" s="174"/>
      <c r="H586" s="174"/>
      <c r="I586" s="174"/>
      <c r="J586" s="174"/>
      <c r="L586" s="225"/>
      <c r="M586" s="225"/>
      <c r="N586" s="225"/>
      <c r="O586" s="225"/>
      <c r="P586" s="225"/>
      <c r="Q586" s="225"/>
      <c r="R586" s="225"/>
      <c r="S586" s="225"/>
      <c r="T586" s="225"/>
      <c r="U586" s="225"/>
      <c r="V586" s="225"/>
      <c r="W586" s="177"/>
      <c r="X586" s="177"/>
      <c r="Y586" s="177"/>
      <c r="Z586" s="177"/>
      <c r="AA586" s="177"/>
      <c r="AB586" s="177"/>
      <c r="AC586" s="177"/>
      <c r="AD586" s="177"/>
      <c r="AE586" s="177"/>
      <c r="AF586" s="177"/>
      <c r="AG586" s="177"/>
      <c r="AH586" s="177"/>
      <c r="AI586" s="177"/>
      <c r="AJ586" s="177"/>
      <c r="AK586" s="177"/>
      <c r="AL586" s="177"/>
      <c r="AM586" s="177"/>
      <c r="AN586" s="177"/>
      <c r="AO586" s="224">
        <f>IF(and($AO$438&gt;0,Model!W$1&lt;='Assumptions (NG)'!$V$12),IPMT('Assumptions (NG)'!$V$9,Model!W$1,'Assumptions (NG)'!$V$12,'Assumptions (NG)'!$V$7*(Model!$AO$438*AVERAGE('Assumptions (NG)'!$AK$2:$AM$2))/10^9),0)+IF(and($AO$439&gt;0,Model!W$1&lt;='Assumptions (NG)'!$V$12),IPMT('Assumptions (NG)'!$V$9,Model!W$1,'Assumptions (NG)'!$V$12,'Assumptions (NG)'!$V$7*(Model!$AO$439*AVERAGE('Assumptions (NG)'!$AK$3:$AM$3))/10^9),0)</f>
        <v>-0.5610076286</v>
      </c>
      <c r="AP586" s="224">
        <f>IF(and($AO$438&gt;0,Model!X$1&lt;='Assumptions (NG)'!$V$12),IPMT('Assumptions (NG)'!$V$9,Model!X$1,'Assumptions (NG)'!$V$12,'Assumptions (NG)'!$V$7*(Model!$AO$438*AVERAGE('Assumptions (NG)'!$AK$2:$AM$2))/10^9),0)+IF(and($AO$439&gt;0,Model!X$1&lt;='Assumptions (NG)'!$V$12),IPMT('Assumptions (NG)'!$V$9,Model!X$1,'Assumptions (NG)'!$V$12,'Assumptions (NG)'!$V$7*(Model!$AO$439*AVERAGE('Assumptions (NG)'!$AK$3:$AM$3))/10^9),0)</f>
        <v>-0.5213522841</v>
      </c>
      <c r="AQ586" s="224">
        <f>IF(and($AO$438&gt;0,Model!Y$1&lt;='Assumptions (NG)'!$V$12),IPMT('Assumptions (NG)'!$V$9,Model!Y$1,'Assumptions (NG)'!$V$12,'Assumptions (NG)'!$V$7*(Model!$AO$438*AVERAGE('Assumptions (NG)'!$AK$2:$AM$2))/10^9),0)+IF(and($AO$439&gt;0,Model!Y$1&lt;='Assumptions (NG)'!$V$12),IPMT('Assumptions (NG)'!$V$9,Model!Y$1,'Assumptions (NG)'!$V$12,'Assumptions (NG)'!$V$7*(Model!$AO$439*AVERAGE('Assumptions (NG)'!$AK$3:$AM$3))/10^9),0)</f>
        <v>-0.4787227888</v>
      </c>
      <c r="AR586" s="224">
        <f>IF(and($AO$438&gt;0,Model!Z$1&lt;='Assumptions (NG)'!$V$12),IPMT('Assumptions (NG)'!$V$9,Model!Z$1,'Assumptions (NG)'!$V$12,'Assumptions (NG)'!$V$7*(Model!$AO$438*AVERAGE('Assumptions (NG)'!$AK$2:$AM$2))/10^9),0)+IF(and($AO$439&gt;0,Model!Z$1&lt;='Assumptions (NG)'!$V$12),IPMT('Assumptions (NG)'!$V$9,Model!Z$1,'Assumptions (NG)'!$V$12,'Assumptions (NG)'!$V$7*(Model!$AO$439*AVERAGE('Assumptions (NG)'!$AK$3:$AM$3))/10^9),0)</f>
        <v>-0.4328960812</v>
      </c>
      <c r="AS586" s="224">
        <f>IF(and($AO$438&gt;0,Model!AA$1&lt;='Assumptions (NG)'!$V$12),IPMT('Assumptions (NG)'!$V$9,Model!AA$1,'Assumptions (NG)'!$V$12,'Assumptions (NG)'!$V$7*(Model!$AO$438*AVERAGE('Assumptions (NG)'!$AK$2:$AM$2))/10^9),0)+IF(and($AO$439&gt;0,Model!AA$1&lt;='Assumptions (NG)'!$V$12),IPMT('Assumptions (NG)'!$V$9,Model!AA$1,'Assumptions (NG)'!$V$12,'Assumptions (NG)'!$V$7*(Model!$AO$439*AVERAGE('Assumptions (NG)'!$AK$3:$AM$3))/10^9),0)</f>
        <v>-0.3836323707</v>
      </c>
      <c r="AT586" s="224">
        <f>IF(and($AO$438&gt;0,Model!AB$1&lt;='Assumptions (NG)'!$V$12),IPMT('Assumptions (NG)'!$V$9,Model!AB$1,'Assumptions (NG)'!$V$12,'Assumptions (NG)'!$V$7*(Model!$AO$438*AVERAGE('Assumptions (NG)'!$AK$2:$AM$2))/10^9),0)+IF(and($AO$439&gt;0,Model!AB$1&lt;='Assumptions (NG)'!$V$12),IPMT('Assumptions (NG)'!$V$9,Model!AB$1,'Assumptions (NG)'!$V$12,'Assumptions (NG)'!$V$7*(Model!$AO$439*AVERAGE('Assumptions (NG)'!$AK$3:$AM$3))/10^9),0)</f>
        <v>-0.3306738818</v>
      </c>
      <c r="AU586" s="224">
        <f>IF(and($AO$438&gt;0,Model!AC$1&lt;='Assumptions (NG)'!$V$12),IPMT('Assumptions (NG)'!$V$9,Model!AC$1,'Assumptions (NG)'!$V$12,'Assumptions (NG)'!$V$7*(Model!$AO$438*AVERAGE('Assumptions (NG)'!$AK$2:$AM$2))/10^9),0)+IF(and($AO$439&gt;0,Model!AC$1&lt;='Assumptions (NG)'!$V$12),IPMT('Assumptions (NG)'!$V$9,Model!AC$1,'Assumptions (NG)'!$V$12,'Assumptions (NG)'!$V$7*(Model!$AO$439*AVERAGE('Assumptions (NG)'!$AK$3:$AM$3))/10^9),0)</f>
        <v>-0.2737435062</v>
      </c>
      <c r="AV586" s="224">
        <f>IF(and($AO$438&gt;0,Model!AD$1&lt;='Assumptions (NG)'!$V$12),IPMT('Assumptions (NG)'!$V$9,Model!AD$1,'Assumptions (NG)'!$V$12,'Assumptions (NG)'!$V$7*(Model!$AO$438*AVERAGE('Assumptions (NG)'!$AK$2:$AM$2))/10^9),0)+IF(and($AO$439&gt;0,Model!AD$1&lt;='Assumptions (NG)'!$V$12),IPMT('Assumptions (NG)'!$V$9,Model!AD$1,'Assumptions (NG)'!$V$12,'Assumptions (NG)'!$V$7*(Model!$AO$439*AVERAGE('Assumptions (NG)'!$AK$3:$AM$3))/10^9),0)</f>
        <v>-0.2125433525</v>
      </c>
      <c r="AW586" s="224">
        <f>IF(and($AO$438&gt;0,Model!AE$1&lt;='Assumptions (NG)'!$V$12),IPMT('Assumptions (NG)'!$V$9,Model!AE$1,'Assumptions (NG)'!$V$12,'Assumptions (NG)'!$V$7*(Model!$AO$438*AVERAGE('Assumptions (NG)'!$AK$2:$AM$2))/10^9),0)+IF(and($AO$439&gt;0,Model!AE$1&lt;='Assumptions (NG)'!$V$12),IPMT('Assumptions (NG)'!$V$9,Model!AE$1,'Assumptions (NG)'!$V$12,'Assumptions (NG)'!$V$7*(Model!$AO$439*AVERAGE('Assumptions (NG)'!$AK$3:$AM$3))/10^9),0)</f>
        <v>-0.1467531873</v>
      </c>
      <c r="AX586" s="224">
        <f>IF(and($AO$438&gt;0,Model!AF$1&lt;='Assumptions (NG)'!$V$12),IPMT('Assumptions (NG)'!$V$9,Model!AF$1,'Assumptions (NG)'!$V$12,'Assumptions (NG)'!$V$7*(Model!$AO$438*AVERAGE('Assumptions (NG)'!$AK$2:$AM$2))/10^9),0)+IF(and($AO$439&gt;0,Model!AF$1&lt;='Assumptions (NG)'!$V$12),IPMT('Assumptions (NG)'!$V$9,Model!AF$1,'Assumptions (NG)'!$V$12,'Assumptions (NG)'!$V$7*(Model!$AO$439*AVERAGE('Assumptions (NG)'!$AK$3:$AM$3))/10^9),0)</f>
        <v>-0.07602875969</v>
      </c>
      <c r="AY586" s="224"/>
      <c r="AZ586" s="224"/>
      <c r="BA586" s="224"/>
      <c r="BB586" s="224"/>
      <c r="BC586" s="224"/>
      <c r="BD586" s="177"/>
      <c r="BE586" s="177"/>
      <c r="BF586" s="177"/>
      <c r="BG586" s="177"/>
      <c r="BH586" s="177"/>
      <c r="BI586" s="177"/>
      <c r="BJ586" s="177"/>
      <c r="BK586" s="177"/>
      <c r="BL586" s="177"/>
      <c r="BM586" s="177"/>
      <c r="BN586" s="224"/>
      <c r="BO586" s="224"/>
    </row>
    <row r="587" ht="15.75" hidden="1" customHeight="1" outlineLevel="1">
      <c r="A587" s="209"/>
      <c r="B587" s="38"/>
      <c r="C587" s="174"/>
      <c r="D587" s="174"/>
      <c r="E587" s="174"/>
      <c r="F587" s="174"/>
      <c r="G587" s="174"/>
      <c r="H587" s="174"/>
      <c r="I587" s="174"/>
      <c r="J587" s="174"/>
      <c r="L587" s="225"/>
      <c r="M587" s="225"/>
      <c r="N587" s="225"/>
      <c r="O587" s="225"/>
      <c r="P587" s="225"/>
      <c r="Q587" s="225"/>
      <c r="R587" s="225"/>
      <c r="S587" s="225"/>
      <c r="T587" s="225"/>
      <c r="U587" s="225"/>
      <c r="V587" s="225"/>
      <c r="W587" s="177"/>
      <c r="X587" s="177"/>
      <c r="Y587" s="177"/>
      <c r="Z587" s="177"/>
      <c r="AA587" s="177"/>
      <c r="AB587" s="177"/>
      <c r="AC587" s="177"/>
      <c r="AD587" s="177"/>
      <c r="AE587" s="177"/>
      <c r="AF587" s="177"/>
      <c r="AG587" s="177"/>
      <c r="AH587" s="177"/>
      <c r="AI587" s="177"/>
      <c r="AJ587" s="177"/>
      <c r="AK587" s="177"/>
      <c r="AL587" s="177"/>
      <c r="AM587" s="177"/>
      <c r="AN587" s="177"/>
      <c r="AO587" s="177"/>
      <c r="AP587" s="224">
        <f>IF(and($AP$438&gt;0,Model!W$1&lt;='Assumptions (NG)'!$V$12),IPMT('Assumptions (NG)'!$V$9,Model!W$1,'Assumptions (NG)'!$V$12,'Assumptions (NG)'!$V$7*(Model!$AP$438*AVERAGE('Assumptions (NG)'!$AL$2:$AN$2))/10^9),0)+IF(and($AP$439&gt;0,Model!W$1&lt;='Assumptions (NG)'!$V$12),IPMT('Assumptions (NG)'!$V$9,Model!W$1,'Assumptions (NG)'!$V$12,'Assumptions (NG)'!$V$7*(Model!$AP$439*AVERAGE('Assumptions (NG)'!$AL$3:$AN$3))/10^9),0)</f>
        <v>-0.6930382589</v>
      </c>
      <c r="AQ587" s="224">
        <f>IF(and($AP$438&gt;0,Model!X$1&lt;='Assumptions (NG)'!$V$12),IPMT('Assumptions (NG)'!$V$9,Model!X$1,'Assumptions (NG)'!$V$12,'Assumptions (NG)'!$V$7*(Model!$AP$438*AVERAGE('Assumptions (NG)'!$AL$2:$AN$2))/10^9),0)+IF(and($AP$439&gt;0,Model!X$1&lt;='Assumptions (NG)'!$V$12),IPMT('Assumptions (NG)'!$V$9,Model!X$1,'Assumptions (NG)'!$V$12,'Assumptions (NG)'!$V$7*(Model!$AP$439*AVERAGE('Assumptions (NG)'!$AL$3:$AN$3))/10^9),0)</f>
        <v>-0.6440502068</v>
      </c>
      <c r="AR587" s="224">
        <f>IF(and($AP$438&gt;0,Model!Y$1&lt;='Assumptions (NG)'!$V$12),IPMT('Assumptions (NG)'!$V$9,Model!Y$1,'Assumptions (NG)'!$V$12,'Assumptions (NG)'!$V$7*(Model!$AP$438*AVERAGE('Assumptions (NG)'!$AL$2:$AN$2))/10^9),0)+IF(and($AP$439&gt;0,Model!Y$1&lt;='Assumptions (NG)'!$V$12),IPMT('Assumptions (NG)'!$V$9,Model!Y$1,'Assumptions (NG)'!$V$12,'Assumptions (NG)'!$V$7*(Model!$AP$439*AVERAGE('Assumptions (NG)'!$AL$3:$AN$3))/10^9),0)</f>
        <v>-0.5913880508</v>
      </c>
      <c r="AS587" s="224">
        <f>IF(and($AP$438&gt;0,Model!Z$1&lt;='Assumptions (NG)'!$V$12),IPMT('Assumptions (NG)'!$V$9,Model!Z$1,'Assumptions (NG)'!$V$12,'Assumptions (NG)'!$V$7*(Model!$AP$438*AVERAGE('Assumptions (NG)'!$AL$2:$AN$2))/10^9),0)+IF(and($AP$439&gt;0,Model!Z$1&lt;='Assumptions (NG)'!$V$12),IPMT('Assumptions (NG)'!$V$9,Model!Z$1,'Assumptions (NG)'!$V$12,'Assumptions (NG)'!$V$7*(Model!$AP$439*AVERAGE('Assumptions (NG)'!$AL$3:$AN$3))/10^9),0)</f>
        <v>-0.5347762332</v>
      </c>
      <c r="AT587" s="224">
        <f>IF(and($AP$438&gt;0,Model!AA$1&lt;='Assumptions (NG)'!$V$12),IPMT('Assumptions (NG)'!$V$9,Model!AA$1,'Assumptions (NG)'!$V$12,'Assumptions (NG)'!$V$7*(Model!$AP$438*AVERAGE('Assumptions (NG)'!$AL$2:$AN$2))/10^9),0)+IF(and($AP$439&gt;0,Model!AA$1&lt;='Assumptions (NG)'!$V$12),IPMT('Assumptions (NG)'!$V$9,Model!AA$1,'Assumptions (NG)'!$V$12,'Assumptions (NG)'!$V$7*(Model!$AP$439*AVERAGE('Assumptions (NG)'!$AL$3:$AN$3))/10^9),0)</f>
        <v>-0.4739185292</v>
      </c>
      <c r="AU587" s="224">
        <f>IF(and($AP$438&gt;0,Model!AB$1&lt;='Assumptions (NG)'!$V$12),IPMT('Assumptions (NG)'!$V$9,Model!AB$1,'Assumptions (NG)'!$V$12,'Assumptions (NG)'!$V$7*(Model!$AP$438*AVERAGE('Assumptions (NG)'!$AL$2:$AN$2))/10^9),0)+IF(and($AP$439&gt;0,Model!AB$1&lt;='Assumptions (NG)'!$V$12),IPMT('Assumptions (NG)'!$V$9,Model!AB$1,'Assumptions (NG)'!$V$12,'Assumptions (NG)'!$V$7*(Model!$AP$439*AVERAGE('Assumptions (NG)'!$AL$3:$AN$3))/10^9),0)</f>
        <v>-0.4084964974</v>
      </c>
      <c r="AV587" s="224">
        <f>IF(and($AP$438&gt;0,Model!AC$1&lt;='Assumptions (NG)'!$V$12),IPMT('Assumptions (NG)'!$V$9,Model!AC$1,'Assumptions (NG)'!$V$12,'Assumptions (NG)'!$V$7*(Model!$AP$438*AVERAGE('Assumptions (NG)'!$AL$2:$AN$2))/10^9),0)+IF(and($AP$439&gt;0,Model!AC$1&lt;='Assumptions (NG)'!$V$12),IPMT('Assumptions (NG)'!$V$9,Model!AC$1,'Assumptions (NG)'!$V$12,'Assumptions (NG)'!$V$7*(Model!$AP$439*AVERAGE('Assumptions (NG)'!$AL$3:$AN$3))/10^9),0)</f>
        <v>-0.3381678132</v>
      </c>
      <c r="AW587" s="224">
        <f>IF(and($AP$438&gt;0,Model!AD$1&lt;='Assumptions (NG)'!$V$12),IPMT('Assumptions (NG)'!$V$9,Model!AD$1,'Assumptions (NG)'!$V$12,'Assumptions (NG)'!$V$7*(Model!$AP$438*AVERAGE('Assumptions (NG)'!$AL$2:$AN$2))/10^9),0)+IF(and($AP$439&gt;0,Model!AD$1&lt;='Assumptions (NG)'!$V$12),IPMT('Assumptions (NG)'!$V$9,Model!AD$1,'Assumptions (NG)'!$V$12,'Assumptions (NG)'!$V$7*(Model!$AP$439*AVERAGE('Assumptions (NG)'!$AL$3:$AN$3))/10^9),0)</f>
        <v>-0.2625644777</v>
      </c>
      <c r="AX587" s="224">
        <f>IF(and($AP$438&gt;0,Model!AE$1&lt;='Assumptions (NG)'!$V$12),IPMT('Assumptions (NG)'!$V$9,Model!AE$1,'Assumptions (NG)'!$V$12,'Assumptions (NG)'!$V$7*(Model!$AP$438*AVERAGE('Assumptions (NG)'!$AL$2:$AN$2))/10^9),0)+IF(and($AP$439&gt;0,Model!AE$1&lt;='Assumptions (NG)'!$V$12),IPMT('Assumptions (NG)'!$V$9,Model!AE$1,'Assumptions (NG)'!$V$12,'Assumptions (NG)'!$V$7*(Model!$AP$439*AVERAGE('Assumptions (NG)'!$AL$3:$AN$3))/10^9),0)</f>
        <v>-0.181290892</v>
      </c>
      <c r="AY587" s="224">
        <f>IF(and($AP$438&gt;0,Model!AF$1&lt;='Assumptions (NG)'!$V$12),IPMT('Assumptions (NG)'!$V$9,Model!AF$1,'Assumptions (NG)'!$V$12,'Assumptions (NG)'!$V$7*(Model!$AP$438*AVERAGE('Assumptions (NG)'!$AL$2:$AN$2))/10^9),0)+IF(and($AP$439&gt;0,Model!AF$1&lt;='Assumptions (NG)'!$V$12),IPMT('Assumptions (NG)'!$V$9,Model!AF$1,'Assumptions (NG)'!$V$12,'Assumptions (NG)'!$V$7*(Model!$AP$439*AVERAGE('Assumptions (NG)'!$AL$3:$AN$3))/10^9),0)</f>
        <v>-0.09392178743</v>
      </c>
      <c r="AZ587" s="224"/>
      <c r="BA587" s="224"/>
      <c r="BB587" s="224"/>
      <c r="BC587" s="224"/>
      <c r="BD587" s="224"/>
      <c r="BE587" s="177"/>
      <c r="BF587" s="177"/>
      <c r="BG587" s="177"/>
      <c r="BH587" s="177"/>
      <c r="BI587" s="177"/>
      <c r="BJ587" s="177"/>
      <c r="BK587" s="177"/>
      <c r="BL587" s="177"/>
      <c r="BM587" s="177"/>
      <c r="BN587" s="177"/>
      <c r="BO587" s="224"/>
    </row>
    <row r="588" ht="15.75" hidden="1" customHeight="1" outlineLevel="1">
      <c r="A588" s="209"/>
      <c r="B588" s="38"/>
      <c r="C588" s="174"/>
      <c r="D588" s="174"/>
      <c r="E588" s="174"/>
      <c r="F588" s="174"/>
      <c r="G588" s="174"/>
      <c r="H588" s="174"/>
      <c r="I588" s="174"/>
      <c r="J588" s="174"/>
      <c r="L588" s="225"/>
      <c r="M588" s="225"/>
      <c r="N588" s="225"/>
      <c r="O588" s="225"/>
      <c r="P588" s="225"/>
      <c r="Q588" s="225"/>
      <c r="R588" s="225"/>
      <c r="S588" s="225"/>
      <c r="T588" s="225"/>
      <c r="U588" s="225"/>
      <c r="V588" s="225"/>
      <c r="W588" s="177"/>
      <c r="X588" s="177"/>
      <c r="Y588" s="177"/>
      <c r="Z588" s="177"/>
      <c r="AA588" s="177"/>
      <c r="AB588" s="177"/>
      <c r="AC588" s="177"/>
      <c r="AD588" s="177"/>
      <c r="AE588" s="177"/>
      <c r="AF588" s="177"/>
      <c r="AG588" s="177"/>
      <c r="AH588" s="177"/>
      <c r="AI588" s="177"/>
      <c r="AJ588" s="177"/>
      <c r="AK588" s="177"/>
      <c r="AL588" s="177"/>
      <c r="AM588" s="177"/>
      <c r="AN588" s="177"/>
      <c r="AO588" s="177"/>
      <c r="AP588" s="177"/>
      <c r="AQ588" s="224">
        <f>IF(and($AQ$438&gt;0,Model!W$1&lt;='Assumptions (NG)'!$V$12),IPMT('Assumptions (NG)'!$V$9,Model!W$1,'Assumptions (NG)'!$V$12,'Assumptions (NG)'!$V$7*(Model!$AQ$438*AVERAGE('Assumptions (NG)'!$AM$2:$AO$2))/10^9),0)+IF(and($AQ$439&gt;0,Model!W$1&lt;='Assumptions (NG)'!$V$12),IPMT('Assumptions (NG)'!$V$9,Model!W$1,'Assumptions (NG)'!$V$12,'Assumptions (NG)'!$V$7*(Model!$AQ$439*AVERAGE('Assumptions (NG)'!$AM$3:$AO$3))/10^9),0)</f>
        <v>-0.2451261579</v>
      </c>
      <c r="AR588" s="224">
        <f>IF(and($AQ$438&gt;0,Model!X$1&lt;='Assumptions (NG)'!$V$12),IPMT('Assumptions (NG)'!$V$9,Model!X$1,'Assumptions (NG)'!$V$12,'Assumptions (NG)'!$V$7*(Model!$AQ$438*AVERAGE('Assumptions (NG)'!$AM$2:$AO$2))/10^9),0)+IF(and($AQ$439&gt;0,Model!X$1&lt;='Assumptions (NG)'!$V$12),IPMT('Assumptions (NG)'!$V$9,Model!X$1,'Assumptions (NG)'!$V$12,'Assumptions (NG)'!$V$7*(Model!$AQ$439*AVERAGE('Assumptions (NG)'!$AM$3:$AO$3))/10^9),0)</f>
        <v>-0.2277991881</v>
      </c>
      <c r="AS588" s="224">
        <f>IF(and($AQ$438&gt;0,Model!Y$1&lt;='Assumptions (NG)'!$V$12),IPMT('Assumptions (NG)'!$V$9,Model!Y$1,'Assumptions (NG)'!$V$12,'Assumptions (NG)'!$V$7*(Model!$AQ$438*AVERAGE('Assumptions (NG)'!$AM$2:$AO$2))/10^9),0)+IF(and($AQ$439&gt;0,Model!Y$1&lt;='Assumptions (NG)'!$V$12),IPMT('Assumptions (NG)'!$V$9,Model!Y$1,'Assumptions (NG)'!$V$12,'Assumptions (NG)'!$V$7*(Model!$AQ$439*AVERAGE('Assumptions (NG)'!$AM$3:$AO$3))/10^9),0)</f>
        <v>-0.2091726955</v>
      </c>
      <c r="AT588" s="224">
        <f>IF(and($AQ$438&gt;0,Model!Z$1&lt;='Assumptions (NG)'!$V$12),IPMT('Assumptions (NG)'!$V$9,Model!Z$1,'Assumptions (NG)'!$V$12,'Assumptions (NG)'!$V$7*(Model!$AQ$438*AVERAGE('Assumptions (NG)'!$AM$2:$AO$2))/10^9),0)+IF(and($AQ$439&gt;0,Model!Z$1&lt;='Assumptions (NG)'!$V$12),IPMT('Assumptions (NG)'!$V$9,Model!Z$1,'Assumptions (NG)'!$V$12,'Assumptions (NG)'!$V$7*(Model!$AQ$439*AVERAGE('Assumptions (NG)'!$AM$3:$AO$3))/10^9),0)</f>
        <v>-0.1891492161</v>
      </c>
      <c r="AU588" s="224">
        <f>IF(and($AQ$438&gt;0,Model!AA$1&lt;='Assumptions (NG)'!$V$12),IPMT('Assumptions (NG)'!$V$9,Model!AA$1,'Assumptions (NG)'!$V$12,'Assumptions (NG)'!$V$7*(Model!$AQ$438*AVERAGE('Assumptions (NG)'!$AM$2:$AO$2))/10^9),0)+IF(and($AQ$439&gt;0,Model!AA$1&lt;='Assumptions (NG)'!$V$12),IPMT('Assumptions (NG)'!$V$9,Model!AA$1,'Assumptions (NG)'!$V$12,'Assumptions (NG)'!$V$7*(Model!$AQ$439*AVERAGE('Assumptions (NG)'!$AM$3:$AO$3))/10^9),0)</f>
        <v>-0.1676239756</v>
      </c>
      <c r="AV588" s="224">
        <f>IF(and($AQ$438&gt;0,Model!AB$1&lt;='Assumptions (NG)'!$V$12),IPMT('Assumptions (NG)'!$V$9,Model!AB$1,'Assumptions (NG)'!$V$12,'Assumptions (NG)'!$V$7*(Model!$AQ$438*AVERAGE('Assumptions (NG)'!$AM$2:$AO$2))/10^9),0)+IF(and($AQ$439&gt;0,Model!AB$1&lt;='Assumptions (NG)'!$V$12),IPMT('Assumptions (NG)'!$V$9,Model!AB$1,'Assumptions (NG)'!$V$12,'Assumptions (NG)'!$V$7*(Model!$AQ$439*AVERAGE('Assumptions (NG)'!$AM$3:$AO$3))/10^9),0)</f>
        <v>-0.1444843421</v>
      </c>
      <c r="AW588" s="224">
        <f>IF(and($AQ$438&gt;0,Model!AC$1&lt;='Assumptions (NG)'!$V$12),IPMT('Assumptions (NG)'!$V$9,Model!AC$1,'Assumptions (NG)'!$V$12,'Assumptions (NG)'!$V$7*(Model!$AQ$438*AVERAGE('Assumptions (NG)'!$AM$2:$AO$2))/10^9),0)+IF(and($AQ$439&gt;0,Model!AC$1&lt;='Assumptions (NG)'!$V$12),IPMT('Assumptions (NG)'!$V$9,Model!AC$1,'Assumptions (NG)'!$V$12,'Assumptions (NG)'!$V$7*(Model!$AQ$439*AVERAGE('Assumptions (NG)'!$AM$3:$AO$3))/10^9),0)</f>
        <v>-0.1196092361</v>
      </c>
      <c r="AX588" s="224">
        <f>IF(and($AQ$438&gt;0,Model!AD$1&lt;='Assumptions (NG)'!$V$12),IPMT('Assumptions (NG)'!$V$9,Model!AD$1,'Assumptions (NG)'!$V$12,'Assumptions (NG)'!$V$7*(Model!$AQ$438*AVERAGE('Assumptions (NG)'!$AM$2:$AO$2))/10^9),0)+IF(and($AQ$439&gt;0,Model!AD$1&lt;='Assumptions (NG)'!$V$12),IPMT('Assumptions (NG)'!$V$9,Model!AD$1,'Assumptions (NG)'!$V$12,'Assumptions (NG)'!$V$7*(Model!$AQ$439*AVERAGE('Assumptions (NG)'!$AM$3:$AO$3))/10^9),0)</f>
        <v>-0.09286849721</v>
      </c>
      <c r="AY588" s="224">
        <f>IF(and($AQ$438&gt;0,Model!AE$1&lt;='Assumptions (NG)'!$V$12),IPMT('Assumptions (NG)'!$V$9,Model!AE$1,'Assumptions (NG)'!$V$12,'Assumptions (NG)'!$V$7*(Model!$AQ$438*AVERAGE('Assumptions (NG)'!$AM$2:$AO$2))/10^9),0)+IF(and($AQ$439&gt;0,Model!AE$1&lt;='Assumptions (NG)'!$V$12),IPMT('Assumptions (NG)'!$V$9,Model!AE$1,'Assumptions (NG)'!$V$12,'Assumptions (NG)'!$V$7*(Model!$AQ$439*AVERAGE('Assumptions (NG)'!$AM$3:$AO$3))/10^9),0)</f>
        <v>-0.06412220285</v>
      </c>
      <c r="AZ588" s="224">
        <f>IF(and($AQ$438&gt;0,Model!AF$1&lt;='Assumptions (NG)'!$V$12),IPMT('Assumptions (NG)'!$V$9,Model!AF$1,'Assumptions (NG)'!$V$12,'Assumptions (NG)'!$V$7*(Model!$AQ$438*AVERAGE('Assumptions (NG)'!$AM$2:$AO$2))/10^9),0)+IF(and($AQ$439&gt;0,Model!AF$1&lt;='Assumptions (NG)'!$V$12),IPMT('Assumptions (NG)'!$V$9,Model!AF$1,'Assumptions (NG)'!$V$12,'Assumptions (NG)'!$V$7*(Model!$AQ$439*AVERAGE('Assumptions (NG)'!$AM$3:$AO$3))/10^9),0)</f>
        <v>-0.03321993642</v>
      </c>
      <c r="BA588" s="224"/>
      <c r="BB588" s="224"/>
      <c r="BC588" s="224"/>
      <c r="BD588" s="224"/>
      <c r="BE588" s="224"/>
      <c r="BF588" s="177"/>
      <c r="BG588" s="177"/>
      <c r="BH588" s="177"/>
      <c r="BI588" s="177"/>
      <c r="BJ588" s="177"/>
      <c r="BK588" s="177"/>
      <c r="BL588" s="177"/>
      <c r="BM588" s="177"/>
      <c r="BN588" s="177"/>
      <c r="BO588" s="177"/>
    </row>
    <row r="589" ht="15.75" hidden="1" customHeight="1" outlineLevel="1">
      <c r="A589" s="209"/>
      <c r="B589" s="38"/>
      <c r="C589" s="174"/>
      <c r="D589" s="174"/>
      <c r="E589" s="174"/>
      <c r="F589" s="174"/>
      <c r="G589" s="174"/>
      <c r="H589" s="174"/>
      <c r="I589" s="174"/>
      <c r="J589" s="174"/>
      <c r="L589" s="225"/>
      <c r="M589" s="225"/>
      <c r="N589" s="225"/>
      <c r="O589" s="225"/>
      <c r="P589" s="225"/>
      <c r="Q589" s="225"/>
      <c r="R589" s="225"/>
      <c r="S589" s="225"/>
      <c r="T589" s="225"/>
      <c r="U589" s="225"/>
      <c r="V589" s="225"/>
      <c r="W589" s="177"/>
      <c r="X589" s="177"/>
      <c r="Y589" s="177"/>
      <c r="Z589" s="177"/>
      <c r="AA589" s="177"/>
      <c r="AB589" s="177"/>
      <c r="AC589" s="177"/>
      <c r="AD589" s="177"/>
      <c r="AE589" s="177"/>
      <c r="AF589" s="177"/>
      <c r="AG589" s="177"/>
      <c r="AH589" s="177"/>
      <c r="AI589" s="177"/>
      <c r="AJ589" s="177"/>
      <c r="AK589" s="177"/>
      <c r="AL589" s="177"/>
      <c r="AM589" s="177"/>
      <c r="AN589" s="177"/>
      <c r="AO589" s="177"/>
      <c r="AP589" s="177"/>
      <c r="AQ589" s="177"/>
      <c r="AR589" s="224">
        <f>IF(and($AR$438&gt;0,Model!W$1&lt;='Assumptions (NG)'!$V$12),IPMT('Assumptions (NG)'!$V$9,Model!W$1,'Assumptions (NG)'!$V$12,'Assumptions (NG)'!$V$7*(Model!$AR$438*AVERAGE('Assumptions (NG)'!$AN$2:$AP$2))/10^9),0)+IF(and($AR$439&gt;0,Model!W$1&lt;='Assumptions (NG)'!$V$12),IPMT('Assumptions (NG)'!$V$9,Model!W$1,'Assumptions (NG)'!$V$12,'Assumptions (NG)'!$V$7*(Model!$AR$439*AVERAGE('Assumptions (NG)'!$AN$3:$AP$3))/10^9),0)</f>
        <v>-0.1637839826</v>
      </c>
      <c r="AS589" s="224">
        <f>IF(and($AR$438&gt;0,Model!X$1&lt;='Assumptions (NG)'!$V$12),IPMT('Assumptions (NG)'!$V$9,Model!X$1,'Assumptions (NG)'!$V$12,'Assumptions (NG)'!$V$7*(Model!$AR$438*AVERAGE('Assumptions (NG)'!$AN$2:$AP$2))/10^9),0)+IF(and($AR$439&gt;0,Model!X$1&lt;='Assumptions (NG)'!$V$12),IPMT('Assumptions (NG)'!$V$9,Model!X$1,'Assumptions (NG)'!$V$12,'Assumptions (NG)'!$V$7*(Model!$AR$439*AVERAGE('Assumptions (NG)'!$AN$3:$AP$3))/10^9),0)</f>
        <v>-0.1522067599</v>
      </c>
      <c r="AT589" s="224">
        <f>IF(and($AR$438&gt;0,Model!Y$1&lt;='Assumptions (NG)'!$V$12),IPMT('Assumptions (NG)'!$V$9,Model!Y$1,'Assumptions (NG)'!$V$12,'Assumptions (NG)'!$V$7*(Model!$AR$438*AVERAGE('Assumptions (NG)'!$AN$2:$AP$2))/10^9),0)+IF(and($AR$439&gt;0,Model!Y$1&lt;='Assumptions (NG)'!$V$12),IPMT('Assumptions (NG)'!$V$9,Model!Y$1,'Assumptions (NG)'!$V$12,'Assumptions (NG)'!$V$7*(Model!$AR$439*AVERAGE('Assumptions (NG)'!$AN$3:$AP$3))/10^9),0)</f>
        <v>-0.1397612455</v>
      </c>
      <c r="AU589" s="224">
        <f>IF(and($AR$438&gt;0,Model!Z$1&lt;='Assumptions (NG)'!$V$12),IPMT('Assumptions (NG)'!$V$9,Model!Z$1,'Assumptions (NG)'!$V$12,'Assumptions (NG)'!$V$7*(Model!$AR$438*AVERAGE('Assumptions (NG)'!$AN$2:$AP$2))/10^9),0)+IF(and($AR$439&gt;0,Model!Z$1&lt;='Assumptions (NG)'!$V$12),IPMT('Assumptions (NG)'!$V$9,Model!Z$1,'Assumptions (NG)'!$V$12,'Assumptions (NG)'!$V$7*(Model!$AR$439*AVERAGE('Assumptions (NG)'!$AN$3:$AP$3))/10^9),0)</f>
        <v>-0.1263823175</v>
      </c>
      <c r="AV589" s="224">
        <f>IF(and($AR$438&gt;0,Model!AA$1&lt;='Assumptions (NG)'!$V$12),IPMT('Assumptions (NG)'!$V$9,Model!AA$1,'Assumptions (NG)'!$V$12,'Assumptions (NG)'!$V$7*(Model!$AR$438*AVERAGE('Assumptions (NG)'!$AN$2:$AP$2))/10^9),0)+IF(and($AR$439&gt;0,Model!AA$1&lt;='Assumptions (NG)'!$V$12),IPMT('Assumptions (NG)'!$V$9,Model!AA$1,'Assumptions (NG)'!$V$12,'Assumptions (NG)'!$V$7*(Model!$AR$439*AVERAGE('Assumptions (NG)'!$AN$3:$AP$3))/10^9),0)</f>
        <v>-0.1119999699</v>
      </c>
      <c r="AW589" s="224">
        <f>IF(and($AR$438&gt;0,Model!AB$1&lt;='Assumptions (NG)'!$V$12),IPMT('Assumptions (NG)'!$V$9,Model!AB$1,'Assumptions (NG)'!$V$12,'Assumptions (NG)'!$V$7*(Model!$AR$438*AVERAGE('Assumptions (NG)'!$AN$2:$AP$2))/10^9),0)+IF(and($AR$439&gt;0,Model!AB$1&lt;='Assumptions (NG)'!$V$12),IPMT('Assumptions (NG)'!$V$9,Model!AB$1,'Assumptions (NG)'!$V$12,'Assumptions (NG)'!$V$7*(Model!$AR$439*AVERAGE('Assumptions (NG)'!$AN$3:$AP$3))/10^9),0)</f>
        <v>-0.09653894624</v>
      </c>
      <c r="AX589" s="224">
        <f>IF(and($AR$438&gt;0,Model!AC$1&lt;='Assumptions (NG)'!$V$12),IPMT('Assumptions (NG)'!$V$9,Model!AC$1,'Assumptions (NG)'!$V$12,'Assumptions (NG)'!$V$7*(Model!$AR$438*AVERAGE('Assumptions (NG)'!$AN$2:$AP$2))/10^9),0)+IF(and($AR$439&gt;0,Model!AC$1&lt;='Assumptions (NG)'!$V$12),IPMT('Assumptions (NG)'!$V$9,Model!AC$1,'Assumptions (NG)'!$V$12,'Assumptions (NG)'!$V$7*(Model!$AR$439*AVERAGE('Assumptions (NG)'!$AN$3:$AP$3))/10^9),0)</f>
        <v>-0.07991834581</v>
      </c>
      <c r="AY589" s="224">
        <f>IF(and($AR$438&gt;0,Model!AD$1&lt;='Assumptions (NG)'!$V$12),IPMT('Assumptions (NG)'!$V$9,Model!AD$1,'Assumptions (NG)'!$V$12,'Assumptions (NG)'!$V$7*(Model!$AR$438*AVERAGE('Assumptions (NG)'!$AN$2:$AP$2))/10^9),0)+IF(and($AR$439&gt;0,Model!AD$1&lt;='Assumptions (NG)'!$V$12),IPMT('Assumptions (NG)'!$V$9,Model!AD$1,'Assumptions (NG)'!$V$12,'Assumptions (NG)'!$V$7*(Model!$AR$439*AVERAGE('Assumptions (NG)'!$AN$3:$AP$3))/10^9),0)</f>
        <v>-0.06205120034</v>
      </c>
      <c r="AZ589" s="224">
        <f>IF(and($AR$438&gt;0,Model!AE$1&lt;='Assumptions (NG)'!$V$12),IPMT('Assumptions (NG)'!$V$9,Model!AE$1,'Assumptions (NG)'!$V$12,'Assumptions (NG)'!$V$7*(Model!$AR$438*AVERAGE('Assumptions (NG)'!$AN$2:$AP$2))/10^9),0)+IF(and($AR$439&gt;0,Model!AE$1&lt;='Assumptions (NG)'!$V$12),IPMT('Assumptions (NG)'!$V$9,Model!AE$1,'Assumptions (NG)'!$V$12,'Assumptions (NG)'!$V$7*(Model!$AR$439*AVERAGE('Assumptions (NG)'!$AN$3:$AP$3))/10^9),0)</f>
        <v>-0.04284401896</v>
      </c>
      <c r="BA589" s="224">
        <f>IF(and($AR$438&gt;0,Model!AF$1&lt;='Assumptions (NG)'!$V$12),IPMT('Assumptions (NG)'!$V$9,Model!AF$1,'Assumptions (NG)'!$V$12,'Assumptions (NG)'!$V$7*(Model!$AR$438*AVERAGE('Assumptions (NG)'!$AN$2:$AP$2))/10^9),0)+IF(and($AR$439&gt;0,Model!AF$1&lt;='Assumptions (NG)'!$V$12),IPMT('Assumptions (NG)'!$V$9,Model!AF$1,'Assumptions (NG)'!$V$12,'Assumptions (NG)'!$V$7*(Model!$AR$439*AVERAGE('Assumptions (NG)'!$AN$3:$AP$3))/10^9),0)</f>
        <v>-0.02219629898</v>
      </c>
      <c r="BB589" s="224"/>
      <c r="BC589" s="224"/>
      <c r="BD589" s="224"/>
      <c r="BE589" s="224"/>
      <c r="BF589" s="224"/>
      <c r="BG589" s="177"/>
      <c r="BH589" s="177"/>
      <c r="BI589" s="177"/>
      <c r="BJ589" s="177"/>
      <c r="BK589" s="177"/>
      <c r="BL589" s="177"/>
      <c r="BM589" s="177"/>
      <c r="BN589" s="177"/>
      <c r="BO589" s="177"/>
      <c r="BP589" s="160"/>
    </row>
    <row r="590" ht="15.75" hidden="1" customHeight="1" outlineLevel="1">
      <c r="A590" s="209"/>
      <c r="B590" s="38"/>
      <c r="C590" s="174"/>
      <c r="D590" s="174"/>
      <c r="E590" s="174"/>
      <c r="F590" s="174"/>
      <c r="G590" s="174"/>
      <c r="H590" s="174"/>
      <c r="I590" s="174"/>
      <c r="J590" s="174"/>
      <c r="L590" s="225"/>
      <c r="M590" s="225"/>
      <c r="N590" s="225"/>
      <c r="O590" s="225"/>
      <c r="P590" s="225"/>
      <c r="Q590" s="225"/>
      <c r="R590" s="225"/>
      <c r="S590" s="225"/>
      <c r="T590" s="225"/>
      <c r="U590" s="225"/>
      <c r="V590" s="225"/>
      <c r="W590" s="177"/>
      <c r="X590" s="177"/>
      <c r="Y590" s="177"/>
      <c r="Z590" s="177"/>
      <c r="AA590" s="177"/>
      <c r="AB590" s="177"/>
      <c r="AC590" s="177"/>
      <c r="AD590" s="177"/>
      <c r="AE590" s="177"/>
      <c r="AF590" s="177"/>
      <c r="AG590" s="177"/>
      <c r="AH590" s="177"/>
      <c r="AI590" s="177"/>
      <c r="AJ590" s="177"/>
      <c r="AK590" s="177"/>
      <c r="AL590" s="177"/>
      <c r="AM590" s="177"/>
      <c r="AN590" s="177"/>
      <c r="AO590" s="177"/>
      <c r="AP590" s="177"/>
      <c r="AQ590" s="177"/>
      <c r="AR590" s="177"/>
      <c r="AS590" s="224">
        <f>IF(and($AS$438&gt;0,Model!W$1&lt;='Assumptions (NG)'!$V$12),IPMT('Assumptions (NG)'!$V$9,Model!W$1,'Assumptions (NG)'!$V$12,'Assumptions (NG)'!$V$7*(Model!$AS$438*AVERAGE('Assumptions (NG)'!$AO$2:$AQ$2))/10^9),0)+IF(and($AS$439&gt;0,Model!W$1&lt;='Assumptions (NG)'!$V$12),IPMT('Assumptions (NG)'!$V$9,Model!W$1,'Assumptions (NG)'!$V$12,'Assumptions (NG)'!$V$7*(Model!$AS$439*AVERAGE('Assumptions (NG)'!$AO$3:$AQ$3))/10^9),0)</f>
        <v>-0.1248977712</v>
      </c>
      <c r="AT590" s="224">
        <f>IF(and($AS$438&gt;0,Model!X$1&lt;='Assumptions (NG)'!$V$12),IPMT('Assumptions (NG)'!$V$9,Model!X$1,'Assumptions (NG)'!$V$12,'Assumptions (NG)'!$V$7*(Model!$AS$438*AVERAGE('Assumptions (NG)'!$AO$2:$AQ$2))/10^9),0)+IF(and($AS$439&gt;0,Model!X$1&lt;='Assumptions (NG)'!$V$12),IPMT('Assumptions (NG)'!$V$9,Model!X$1,'Assumptions (NG)'!$V$12,'Assumptions (NG)'!$V$7*(Model!$AS$439*AVERAGE('Assumptions (NG)'!$AO$3:$AQ$3))/10^9),0)</f>
        <v>-0.1160692564</v>
      </c>
      <c r="AU590" s="224">
        <f>IF(and($AS$438&gt;0,Model!Y$1&lt;='Assumptions (NG)'!$V$12),IPMT('Assumptions (NG)'!$V$9,Model!Y$1,'Assumptions (NG)'!$V$12,'Assumptions (NG)'!$V$7*(Model!$AS$438*AVERAGE('Assumptions (NG)'!$AO$2:$AQ$2))/10^9),0)+IF(and($AS$439&gt;0,Model!Y$1&lt;='Assumptions (NG)'!$V$12),IPMT('Assumptions (NG)'!$V$9,Model!Y$1,'Assumptions (NG)'!$V$12,'Assumptions (NG)'!$V$7*(Model!$AS$439*AVERAGE('Assumptions (NG)'!$AO$3:$AQ$3))/10^9),0)</f>
        <v>-0.106578603</v>
      </c>
      <c r="AV590" s="224">
        <f>IF(and($AS$438&gt;0,Model!Z$1&lt;='Assumptions (NG)'!$V$12),IPMT('Assumptions (NG)'!$V$9,Model!Z$1,'Assumptions (NG)'!$V$12,'Assumptions (NG)'!$V$7*(Model!$AS$438*AVERAGE('Assumptions (NG)'!$AO$2:$AQ$2))/10^9),0)+IF(and($AS$439&gt;0,Model!Z$1&lt;='Assumptions (NG)'!$V$12),IPMT('Assumptions (NG)'!$V$9,Model!Z$1,'Assumptions (NG)'!$V$12,'Assumptions (NG)'!$V$7*(Model!$AS$439*AVERAGE('Assumptions (NG)'!$AO$3:$AQ$3))/10^9),0)</f>
        <v>-0.09637615063</v>
      </c>
      <c r="AW590" s="224">
        <f>IF(and($AS$438&gt;0,Model!AA$1&lt;='Assumptions (NG)'!$V$12),IPMT('Assumptions (NG)'!$V$9,Model!AA$1,'Assumptions (NG)'!$V$12,'Assumptions (NG)'!$V$7*(Model!$AS$438*AVERAGE('Assumptions (NG)'!$AO$2:$AQ$2))/10^9),0)+IF(and($AS$439&gt;0,Model!AA$1&lt;='Assumptions (NG)'!$V$12),IPMT('Assumptions (NG)'!$V$9,Model!AA$1,'Assumptions (NG)'!$V$12,'Assumptions (NG)'!$V$7*(Model!$AS$439*AVERAGE('Assumptions (NG)'!$AO$3:$AQ$3))/10^9),0)</f>
        <v>-0.08540851429</v>
      </c>
      <c r="AX590" s="224">
        <f>IF(and($AS$438&gt;0,Model!AB$1&lt;='Assumptions (NG)'!$V$12),IPMT('Assumptions (NG)'!$V$9,Model!AB$1,'Assumptions (NG)'!$V$12,'Assumptions (NG)'!$V$7*(Model!$AS$438*AVERAGE('Assumptions (NG)'!$AO$2:$AQ$2))/10^9),0)+IF(and($AS$439&gt;0,Model!AB$1&lt;='Assumptions (NG)'!$V$12),IPMT('Assumptions (NG)'!$V$9,Model!AB$1,'Assumptions (NG)'!$V$12,'Assumptions (NG)'!$V$7*(Model!$AS$439*AVERAGE('Assumptions (NG)'!$AO$3:$AQ$3))/10^9),0)</f>
        <v>-0.07361830523</v>
      </c>
      <c r="AY590" s="224">
        <f>IF(and($AS$438&gt;0,Model!AC$1&lt;='Assumptions (NG)'!$V$12),IPMT('Assumptions (NG)'!$V$9,Model!AC$1,'Assumptions (NG)'!$V$12,'Assumptions (NG)'!$V$7*(Model!$AS$438*AVERAGE('Assumptions (NG)'!$AO$2:$AQ$2))/10^9),0)+IF(and($AS$439&gt;0,Model!AC$1&lt;='Assumptions (NG)'!$V$12),IPMT('Assumptions (NG)'!$V$9,Model!AC$1,'Assumptions (NG)'!$V$12,'Assumptions (NG)'!$V$7*(Model!$AS$439*AVERAGE('Assumptions (NG)'!$AO$3:$AQ$3))/10^9),0)</f>
        <v>-0.06094383048</v>
      </c>
      <c r="AZ590" s="224">
        <f>IF(and($AS$438&gt;0,Model!AD$1&lt;='Assumptions (NG)'!$V$12),IPMT('Assumptions (NG)'!$V$9,Model!AD$1,'Assumptions (NG)'!$V$12,'Assumptions (NG)'!$V$7*(Model!$AS$438*AVERAGE('Assumptions (NG)'!$AO$2:$AQ$2))/10^9),0)+IF(and($AS$439&gt;0,Model!AD$1&lt;='Assumptions (NG)'!$V$12),IPMT('Assumptions (NG)'!$V$9,Model!AD$1,'Assumptions (NG)'!$V$12,'Assumptions (NG)'!$V$7*(Model!$AS$439*AVERAGE('Assumptions (NG)'!$AO$3:$AQ$3))/10^9),0)</f>
        <v>-0.04731877013</v>
      </c>
      <c r="BA590" s="224">
        <f>IF(and($AS$438&gt;0,Model!AE$1&lt;='Assumptions (NG)'!$V$12),IPMT('Assumptions (NG)'!$V$9,Model!AE$1,'Assumptions (NG)'!$V$12,'Assumptions (NG)'!$V$7*(Model!$AS$438*AVERAGE('Assumptions (NG)'!$AO$2:$AQ$2))/10^9),0)+IF(and($AS$439&gt;0,Model!AE$1&lt;='Assumptions (NG)'!$V$12),IPMT('Assumptions (NG)'!$V$9,Model!AE$1,'Assumptions (NG)'!$V$12,'Assumptions (NG)'!$V$7*(Model!$AS$439*AVERAGE('Assumptions (NG)'!$AO$3:$AQ$3))/10^9),0)</f>
        <v>-0.03267183026</v>
      </c>
      <c r="BB590" s="224">
        <f>IF(and($AS$438&gt;0,Model!AF$1&lt;='Assumptions (NG)'!$V$12),IPMT('Assumptions (NG)'!$V$9,Model!AF$1,'Assumptions (NG)'!$V$12,'Assumptions (NG)'!$V$7*(Model!$AS$438*AVERAGE('Assumptions (NG)'!$AO$2:$AQ$2))/10^9),0)+IF(and($AS$439&gt;0,Model!AF$1&lt;='Assumptions (NG)'!$V$12),IPMT('Assumptions (NG)'!$V$9,Model!AF$1,'Assumptions (NG)'!$V$12,'Assumptions (NG)'!$V$7*(Model!$AS$439*AVERAGE('Assumptions (NG)'!$AO$3:$AQ$3))/10^9),0)</f>
        <v>-0.01692636989</v>
      </c>
      <c r="BC590" s="224"/>
      <c r="BD590" s="224"/>
      <c r="BE590" s="224"/>
      <c r="BF590" s="224"/>
      <c r="BG590" s="224"/>
      <c r="BH590" s="177"/>
      <c r="BI590" s="177"/>
      <c r="BJ590" s="177"/>
      <c r="BK590" s="177"/>
      <c r="BL590" s="177"/>
      <c r="BM590" s="177"/>
      <c r="BN590" s="177"/>
      <c r="BO590" s="177"/>
      <c r="BP590" s="160"/>
      <c r="BQ590" s="160"/>
      <c r="BR590" s="160"/>
    </row>
    <row r="591" ht="15.75" hidden="1" customHeight="1" outlineLevel="1">
      <c r="A591" s="209"/>
      <c r="B591" s="38"/>
      <c r="C591" s="174"/>
      <c r="D591" s="174"/>
      <c r="E591" s="174"/>
      <c r="F591" s="174"/>
      <c r="G591" s="174"/>
      <c r="H591" s="174"/>
      <c r="I591" s="174"/>
      <c r="J591" s="174"/>
      <c r="L591" s="225"/>
      <c r="M591" s="225"/>
      <c r="N591" s="225"/>
      <c r="O591" s="225"/>
      <c r="P591" s="225"/>
      <c r="Q591" s="225"/>
      <c r="R591" s="225"/>
      <c r="S591" s="225"/>
      <c r="T591" s="225"/>
      <c r="U591" s="225"/>
      <c r="V591" s="225"/>
      <c r="W591" s="177"/>
      <c r="X591" s="177"/>
      <c r="Y591" s="177"/>
      <c r="Z591" s="177"/>
      <c r="AA591" s="177"/>
      <c r="AB591" s="177"/>
      <c r="AC591" s="177"/>
      <c r="AD591" s="177"/>
      <c r="AE591" s="177"/>
      <c r="AF591" s="177"/>
      <c r="AG591" s="177"/>
      <c r="AH591" s="177"/>
      <c r="AI591" s="177"/>
      <c r="AJ591" s="177"/>
      <c r="AK591" s="177"/>
      <c r="AL591" s="177"/>
      <c r="AM591" s="177"/>
      <c r="AN591" s="177"/>
      <c r="AO591" s="177"/>
      <c r="AP591" s="177"/>
      <c r="AQ591" s="177"/>
      <c r="AR591" s="177"/>
      <c r="AS591" s="177"/>
      <c r="AT591" s="224">
        <f>IF(and($AT$438&gt;0,Model!W$1&lt;='Assumptions (NG)'!$V$12),IPMT('Assumptions (NG)'!$V$9,Model!W$1,'Assumptions (NG)'!$V$12,'Assumptions (NG)'!$V$7*(Model!$AT$438*AVERAGE('Assumptions (NG)'!$AP$2:$AR$2))/10^9),0)+IF(and($AT$439&gt;0,Model!W$1&lt;='Assumptions (NG)'!$V$12),IPMT('Assumptions (NG)'!$V$9,Model!W$1,'Assumptions (NG)'!$V$12,'Assumptions (NG)'!$V$7*(Model!$AT$439*AVERAGE('Assumptions (NG)'!$AP$3:$AR$3))/10^9),0)</f>
        <v>-0.05789564404</v>
      </c>
      <c r="AU591" s="224">
        <f>IF(and($AT$438&gt;0,Model!X$1&lt;='Assumptions (NG)'!$V$12),IPMT('Assumptions (NG)'!$V$9,Model!X$1,'Assumptions (NG)'!$V$12,'Assumptions (NG)'!$V$7*(Model!$AT$438*AVERAGE('Assumptions (NG)'!$AP$2:$AR$2))/10^9),0)+IF(and($AT$439&gt;0,Model!X$1&lt;='Assumptions (NG)'!$V$12),IPMT('Assumptions (NG)'!$V$9,Model!X$1,'Assumptions (NG)'!$V$12,'Assumptions (NG)'!$V$7*(Model!$AT$439*AVERAGE('Assumptions (NG)'!$AP$3:$AR$3))/10^9),0)</f>
        <v>-0.05380323675</v>
      </c>
      <c r="AV591" s="224">
        <f>IF(and($AT$438&gt;0,Model!Y$1&lt;='Assumptions (NG)'!$V$12),IPMT('Assumptions (NG)'!$V$9,Model!Y$1,'Assumptions (NG)'!$V$12,'Assumptions (NG)'!$V$7*(Model!$AT$438*AVERAGE('Assumptions (NG)'!$AP$2:$AR$2))/10^9),0)+IF(and($AT$439&gt;0,Model!Y$1&lt;='Assumptions (NG)'!$V$12),IPMT('Assumptions (NG)'!$V$9,Model!Y$1,'Assumptions (NG)'!$V$12,'Assumptions (NG)'!$V$7*(Model!$AT$439*AVERAGE('Assumptions (NG)'!$AP$3:$AR$3))/10^9),0)</f>
        <v>-0.04940389891</v>
      </c>
      <c r="AW591" s="224">
        <f>IF(and($AT$438&gt;0,Model!Z$1&lt;='Assumptions (NG)'!$V$12),IPMT('Assumptions (NG)'!$V$9,Model!Z$1,'Assumptions (NG)'!$V$12,'Assumptions (NG)'!$V$7*(Model!$AT$438*AVERAGE('Assumptions (NG)'!$AP$2:$AR$2))/10^9),0)+IF(and($AT$439&gt;0,Model!Z$1&lt;='Assumptions (NG)'!$V$12),IPMT('Assumptions (NG)'!$V$9,Model!Z$1,'Assumptions (NG)'!$V$12,'Assumptions (NG)'!$V$7*(Model!$AT$439*AVERAGE('Assumptions (NG)'!$AP$3:$AR$3))/10^9),0)</f>
        <v>-0.04467461073</v>
      </c>
      <c r="AX591" s="224">
        <f>IF(and($AT$438&gt;0,Model!AA$1&lt;='Assumptions (NG)'!$V$12),IPMT('Assumptions (NG)'!$V$9,Model!AA$1,'Assumptions (NG)'!$V$12,'Assumptions (NG)'!$V$7*(Model!$AT$438*AVERAGE('Assumptions (NG)'!$AP$2:$AR$2))/10^9),0)+IF(and($AT$439&gt;0,Model!AA$1&lt;='Assumptions (NG)'!$V$12),IPMT('Assumptions (NG)'!$V$9,Model!AA$1,'Assumptions (NG)'!$V$12,'Assumptions (NG)'!$V$7*(Model!$AT$439*AVERAGE('Assumptions (NG)'!$AP$3:$AR$3))/10^9),0)</f>
        <v>-0.03959062594</v>
      </c>
      <c r="AY591" s="224">
        <f>IF(and($AT$438&gt;0,Model!AB$1&lt;='Assumptions (NG)'!$V$12),IPMT('Assumptions (NG)'!$V$9,Model!AB$1,'Assumptions (NG)'!$V$12,'Assumptions (NG)'!$V$7*(Model!$AT$438*AVERAGE('Assumptions (NG)'!$AP$2:$AR$2))/10^9),0)+IF(and($AT$439&gt;0,Model!AB$1&lt;='Assumptions (NG)'!$V$12),IPMT('Assumptions (NG)'!$V$9,Model!AB$1,'Assumptions (NG)'!$V$12,'Assumptions (NG)'!$V$7*(Model!$AT$439*AVERAGE('Assumptions (NG)'!$AP$3:$AR$3))/10^9),0)</f>
        <v>-0.03412534229</v>
      </c>
      <c r="AZ591" s="224">
        <f>IF(and($AT$438&gt;0,Model!AC$1&lt;='Assumptions (NG)'!$V$12),IPMT('Assumptions (NG)'!$V$9,Model!AC$1,'Assumptions (NG)'!$V$12,'Assumptions (NG)'!$V$7*(Model!$AT$438*AVERAGE('Assumptions (NG)'!$AP$2:$AR$2))/10^9),0)+IF(and($AT$439&gt;0,Model!AC$1&lt;='Assumptions (NG)'!$V$12),IPMT('Assumptions (NG)'!$V$9,Model!AC$1,'Assumptions (NG)'!$V$12,'Assumptions (NG)'!$V$7*(Model!$AT$439*AVERAGE('Assumptions (NG)'!$AP$3:$AR$3))/10^9),0)</f>
        <v>-0.02825016236</v>
      </c>
      <c r="BA591" s="224">
        <f>IF(and($AT$438&gt;0,Model!AD$1&lt;='Assumptions (NG)'!$V$12),IPMT('Assumptions (NG)'!$V$9,Model!AD$1,'Assumptions (NG)'!$V$12,'Assumptions (NG)'!$V$7*(Model!$AT$438*AVERAGE('Assumptions (NG)'!$AP$2:$AR$2))/10^9),0)+IF(and($AT$439&gt;0,Model!AD$1&lt;='Assumptions (NG)'!$V$12),IPMT('Assumptions (NG)'!$V$9,Model!AD$1,'Assumptions (NG)'!$V$12,'Assumptions (NG)'!$V$7*(Model!$AT$439*AVERAGE('Assumptions (NG)'!$AP$3:$AR$3))/10^9),0)</f>
        <v>-0.02193434395</v>
      </c>
      <c r="BB591" s="224">
        <f>IF(and($AT$438&gt;0,Model!AE$1&lt;='Assumptions (NG)'!$V$12),IPMT('Assumptions (NG)'!$V$9,Model!AE$1,'Assumptions (NG)'!$V$12,'Assumptions (NG)'!$V$7*(Model!$AT$438*AVERAGE('Assumptions (NG)'!$AP$2:$AR$2))/10^9),0)+IF(and($AT$439&gt;0,Model!AE$1&lt;='Assumptions (NG)'!$V$12),IPMT('Assumptions (NG)'!$V$9,Model!AE$1,'Assumptions (NG)'!$V$12,'Assumptions (NG)'!$V$7*(Model!$AT$439*AVERAGE('Assumptions (NG)'!$AP$3:$AR$3))/10^9),0)</f>
        <v>-0.01514483915</v>
      </c>
      <c r="BC591" s="224">
        <f>IF(and($AT$438&gt;0,Model!AF$1&lt;='Assumptions (NG)'!$V$12),IPMT('Assumptions (NG)'!$V$9,Model!AF$1,'Assumptions (NG)'!$V$12,'Assumptions (NG)'!$V$7*(Model!$AT$438*AVERAGE('Assumptions (NG)'!$AP$2:$AR$2))/10^9),0)+IF(and($AT$439&gt;0,Model!AF$1&lt;='Assumptions (NG)'!$V$12),IPMT('Assumptions (NG)'!$V$9,Model!AF$1,'Assumptions (NG)'!$V$12,'Assumptions (NG)'!$V$7*(Model!$AT$439*AVERAGE('Assumptions (NG)'!$AP$3:$AR$3))/10^9),0)</f>
        <v>-0.007846121485</v>
      </c>
      <c r="BD591" s="224"/>
      <c r="BE591" s="224"/>
      <c r="BF591" s="224"/>
      <c r="BG591" s="224"/>
      <c r="BH591" s="224"/>
      <c r="BI591" s="177"/>
      <c r="BJ591" s="177"/>
      <c r="BK591" s="177"/>
      <c r="BL591" s="177"/>
      <c r="BM591" s="177"/>
      <c r="BN591" s="177"/>
      <c r="BO591" s="177"/>
      <c r="BP591" s="160"/>
      <c r="BQ591" s="160"/>
      <c r="BR591" s="160"/>
    </row>
    <row r="592" ht="15.75" hidden="1" customHeight="1" outlineLevel="1">
      <c r="A592" s="209"/>
      <c r="B592" s="38"/>
      <c r="C592" s="174"/>
      <c r="D592" s="174"/>
      <c r="E592" s="174"/>
      <c r="F592" s="174"/>
      <c r="G592" s="174"/>
      <c r="H592" s="174"/>
      <c r="I592" s="174"/>
      <c r="J592" s="174"/>
      <c r="L592" s="225"/>
      <c r="M592" s="225"/>
      <c r="N592" s="225"/>
      <c r="O592" s="225"/>
      <c r="P592" s="225"/>
      <c r="Q592" s="225"/>
      <c r="R592" s="225"/>
      <c r="S592" s="225"/>
      <c r="T592" s="225"/>
      <c r="U592" s="225"/>
      <c r="V592" s="225"/>
      <c r="W592" s="177"/>
      <c r="X592" s="177"/>
      <c r="Y592" s="177"/>
      <c r="Z592" s="177"/>
      <c r="AA592" s="177"/>
      <c r="AB592" s="177"/>
      <c r="AC592" s="177"/>
      <c r="AD592" s="177"/>
      <c r="AE592" s="177"/>
      <c r="AF592" s="177"/>
      <c r="AG592" s="177"/>
      <c r="AH592" s="177"/>
      <c r="AI592" s="177"/>
      <c r="AJ592" s="177"/>
      <c r="AK592" s="177"/>
      <c r="AL592" s="177"/>
      <c r="AM592" s="177"/>
      <c r="AN592" s="177"/>
      <c r="AO592" s="177"/>
      <c r="AP592" s="177"/>
      <c r="AQ592" s="177"/>
      <c r="AR592" s="177"/>
      <c r="AS592" s="177"/>
      <c r="AT592" s="177"/>
      <c r="AU592" s="224">
        <f>IF(and($AU$438&gt;0,Model!W$1&lt;='Assumptions (NG)'!$V$12),IPMT('Assumptions (NG)'!$V$9,Model!W$1,'Assumptions (NG)'!$V$12,'Assumptions (NG)'!$V$7*(Model!$AU$438*AVERAGE('Assumptions (NG)'!$AQ$2:$AS$2))/10^9),0)+IF(and($AU$439&gt;0,Model!W$1&lt;='Assumptions (NG)'!$V$12),IPMT('Assumptions (NG)'!$V$9,Model!W$1,'Assumptions (NG)'!$V$12,'Assumptions (NG)'!$V$7*(Model!$AU$439*AVERAGE('Assumptions (NG)'!$AQ$3:$AS$3))/10^9),0)</f>
        <v>-0.1163844576</v>
      </c>
      <c r="AV592" s="224">
        <f>IF(and($AU$438&gt;0,Model!X$1&lt;='Assumptions (NG)'!$V$12),IPMT('Assumptions (NG)'!$V$9,Model!X$1,'Assumptions (NG)'!$V$12,'Assumptions (NG)'!$V$7*(Model!$AU$438*AVERAGE('Assumptions (NG)'!$AQ$2:$AS$2))/10^9),0)+IF(and($AU$439&gt;0,Model!X$1&lt;='Assumptions (NG)'!$V$12),IPMT('Assumptions (NG)'!$V$9,Model!X$1,'Assumptions (NG)'!$V$12,'Assumptions (NG)'!$V$7*(Model!$AU$439*AVERAGE('Assumptions (NG)'!$AQ$3:$AS$3))/10^9),0)</f>
        <v>-0.1081577143</v>
      </c>
      <c r="AW592" s="224">
        <f>IF(and($AU$438&gt;0,Model!Y$1&lt;='Assumptions (NG)'!$V$12),IPMT('Assumptions (NG)'!$V$9,Model!Y$1,'Assumptions (NG)'!$V$12,'Assumptions (NG)'!$V$7*(Model!$AU$438*AVERAGE('Assumptions (NG)'!$AQ$2:$AS$2))/10^9),0)+IF(and($AU$439&gt;0,Model!Y$1&lt;='Assumptions (NG)'!$V$12),IPMT('Assumptions (NG)'!$V$9,Model!Y$1,'Assumptions (NG)'!$V$12,'Assumptions (NG)'!$V$7*(Model!$AU$439*AVERAGE('Assumptions (NG)'!$AQ$3:$AS$3))/10^9),0)</f>
        <v>-0.0993139652</v>
      </c>
      <c r="AX592" s="224">
        <f>IF(and($AU$438&gt;0,Model!Z$1&lt;='Assumptions (NG)'!$V$12),IPMT('Assumptions (NG)'!$V$9,Model!Z$1,'Assumptions (NG)'!$V$12,'Assumptions (NG)'!$V$7*(Model!$AU$438*AVERAGE('Assumptions (NG)'!$AQ$2:$AS$2))/10^9),0)+IF(and($AU$439&gt;0,Model!Z$1&lt;='Assumptions (NG)'!$V$12),IPMT('Assumptions (NG)'!$V$9,Model!Z$1,'Assumptions (NG)'!$V$12,'Assumptions (NG)'!$V$7*(Model!$AU$439*AVERAGE('Assumptions (NG)'!$AQ$3:$AS$3))/10^9),0)</f>
        <v>-0.08980693495</v>
      </c>
      <c r="AY592" s="224">
        <f>IF(and($AU$438&gt;0,Model!AA$1&lt;='Assumptions (NG)'!$V$12),IPMT('Assumptions (NG)'!$V$9,Model!AA$1,'Assumptions (NG)'!$V$12,'Assumptions (NG)'!$V$7*(Model!$AU$438*AVERAGE('Assumptions (NG)'!$AQ$2:$AS$2))/10^9),0)+IF(and($AU$439&gt;0,Model!AA$1&lt;='Assumptions (NG)'!$V$12),IPMT('Assumptions (NG)'!$V$9,Model!AA$1,'Assumptions (NG)'!$V$12,'Assumptions (NG)'!$V$7*(Model!$AU$439*AVERAGE('Assumptions (NG)'!$AQ$3:$AS$3))/10^9),0)</f>
        <v>-0.07958687743</v>
      </c>
      <c r="AZ592" s="224">
        <f>IF(and($AU$438&gt;0,Model!AB$1&lt;='Assumptions (NG)'!$V$12),IPMT('Assumptions (NG)'!$V$9,Model!AB$1,'Assumptions (NG)'!$V$12,'Assumptions (NG)'!$V$7*(Model!$AU$438*AVERAGE('Assumptions (NG)'!$AQ$2:$AS$2))/10^9),0)+IF(and($AU$439&gt;0,Model!AB$1&lt;='Assumptions (NG)'!$V$12),IPMT('Assumptions (NG)'!$V$9,Model!AB$1,'Assumptions (NG)'!$V$12,'Assumptions (NG)'!$V$7*(Model!$AU$439*AVERAGE('Assumptions (NG)'!$AQ$3:$AS$3))/10^9),0)</f>
        <v>-0.06860031559</v>
      </c>
      <c r="BA592" s="224">
        <f>IF(and($AU$438&gt;0,Model!AC$1&lt;='Assumptions (NG)'!$V$12),IPMT('Assumptions (NG)'!$V$9,Model!AC$1,'Assumptions (NG)'!$V$12,'Assumptions (NG)'!$V$7*(Model!$AU$438*AVERAGE('Assumptions (NG)'!$AQ$2:$AS$2))/10^9),0)+IF(and($AU$439&gt;0,Model!AC$1&lt;='Assumptions (NG)'!$V$12),IPMT('Assumptions (NG)'!$V$9,Model!AC$1,'Assumptions (NG)'!$V$12,'Assumptions (NG)'!$V$7*(Model!$AU$439*AVERAGE('Assumptions (NG)'!$AQ$3:$AS$3))/10^9),0)</f>
        <v>-0.05678976162</v>
      </c>
      <c r="BB592" s="224">
        <f>IF(and($AU$438&gt;0,Model!AD$1&lt;='Assumptions (NG)'!$V$12),IPMT('Assumptions (NG)'!$V$9,Model!AD$1,'Assumptions (NG)'!$V$12,'Assumptions (NG)'!$V$7*(Model!$AU$438*AVERAGE('Assumptions (NG)'!$AQ$2:$AS$2))/10^9),0)+IF(and($AU$439&gt;0,Model!AD$1&lt;='Assumptions (NG)'!$V$12),IPMT('Assumptions (NG)'!$V$9,Model!AD$1,'Assumptions (NG)'!$V$12,'Assumptions (NG)'!$V$7*(Model!$AU$439*AVERAGE('Assumptions (NG)'!$AQ$3:$AS$3))/10^9),0)</f>
        <v>-0.04409341609</v>
      </c>
      <c r="BC592" s="224">
        <f>IF(and($AU$438&gt;0,Model!AE$1&lt;='Assumptions (NG)'!$V$12),IPMT('Assumptions (NG)'!$V$9,Model!AE$1,'Assumptions (NG)'!$V$12,'Assumptions (NG)'!$V$7*(Model!$AU$438*AVERAGE('Assumptions (NG)'!$AQ$2:$AS$2))/10^9),0)+IF(and($AU$439&gt;0,Model!AE$1&lt;='Assumptions (NG)'!$V$12),IPMT('Assumptions (NG)'!$V$9,Model!AE$1,'Assumptions (NG)'!$V$12,'Assumptions (NG)'!$V$7*(Model!$AU$439*AVERAGE('Assumptions (NG)'!$AQ$3:$AS$3))/10^9),0)</f>
        <v>-0.03044484466</v>
      </c>
      <c r="BD592" s="224">
        <f>IF(and($AU$438&gt;0,Model!AF$1&lt;='Assumptions (NG)'!$V$12),IPMT('Assumptions (NG)'!$V$9,Model!AF$1,'Assumptions (NG)'!$V$12,'Assumptions (NG)'!$V$7*(Model!$AU$438*AVERAGE('Assumptions (NG)'!$AQ$2:$AS$2))/10^9),0)+IF(and($AU$439&gt;0,Model!AF$1&lt;='Assumptions (NG)'!$V$12),IPMT('Assumptions (NG)'!$V$9,Model!AF$1,'Assumptions (NG)'!$V$12,'Assumptions (NG)'!$V$7*(Model!$AU$439*AVERAGE('Assumptions (NG)'!$AQ$3:$AS$3))/10^9),0)</f>
        <v>-0.01577263037</v>
      </c>
      <c r="BE592" s="224"/>
      <c r="BF592" s="224"/>
      <c r="BG592" s="224"/>
      <c r="BH592" s="224"/>
      <c r="BI592" s="224"/>
      <c r="BJ592" s="177"/>
      <c r="BK592" s="177"/>
      <c r="BL592" s="177"/>
      <c r="BM592" s="177"/>
      <c r="BN592" s="177"/>
      <c r="BO592" s="177"/>
      <c r="BP592" s="160"/>
      <c r="BQ592" s="160"/>
      <c r="BR592" s="160"/>
      <c r="BS592" s="160"/>
    </row>
    <row r="593" ht="15.75" hidden="1" customHeight="1" outlineLevel="1">
      <c r="A593" s="209"/>
      <c r="B593" s="38"/>
      <c r="C593" s="174"/>
      <c r="D593" s="174"/>
      <c r="E593" s="174"/>
      <c r="F593" s="174"/>
      <c r="G593" s="174"/>
      <c r="H593" s="174"/>
      <c r="I593" s="174"/>
      <c r="J593" s="174"/>
      <c r="L593" s="225"/>
      <c r="M593" s="225"/>
      <c r="N593" s="225"/>
      <c r="O593" s="225"/>
      <c r="P593" s="225"/>
      <c r="Q593" s="225"/>
      <c r="R593" s="225"/>
      <c r="S593" s="225"/>
      <c r="T593" s="225"/>
      <c r="U593" s="225"/>
      <c r="V593" s="225"/>
      <c r="W593" s="177"/>
      <c r="X593" s="177"/>
      <c r="Y593" s="177"/>
      <c r="Z593" s="177"/>
      <c r="AA593" s="177"/>
      <c r="AB593" s="177"/>
      <c r="AC593" s="177"/>
      <c r="AD593" s="177"/>
      <c r="AE593" s="177"/>
      <c r="AF593" s="177"/>
      <c r="AG593" s="177"/>
      <c r="AH593" s="177"/>
      <c r="AI593" s="177"/>
      <c r="AJ593" s="177"/>
      <c r="AK593" s="177"/>
      <c r="AL593" s="177"/>
      <c r="AM593" s="177"/>
      <c r="AN593" s="177"/>
      <c r="AO593" s="177"/>
      <c r="AP593" s="177"/>
      <c r="AQ593" s="177"/>
      <c r="AR593" s="177"/>
      <c r="AS593" s="177"/>
      <c r="AT593" s="177"/>
      <c r="AU593" s="177"/>
      <c r="AV593" s="224">
        <f>IF(and($AV$438&gt;0,Model!W$1&lt;='Assumptions (NG)'!$V$12),IPMT('Assumptions (NG)'!$V$9,Model!W$1,'Assumptions (NG)'!$V$12,'Assumptions (NG)'!$V$7*(Model!$AV$438*AVERAGE('Assumptions (NG)'!$AR$2:$AT$2))/10^9),0)+IF(and($AV$439&gt;0,Model!W$1&lt;='Assumptions (NG)'!$V$12),IPMT('Assumptions (NG)'!$V$9,Model!W$1,'Assumptions (NG)'!$V$12,'Assumptions (NG)'!$V$7*(Model!$AV$439*AVERAGE('Assumptions (NG)'!$AR$3:$AT$3))/10^9),0)</f>
        <v>-0.06022213739</v>
      </c>
      <c r="AW593" s="224">
        <f>IF(and($AV$438&gt;0,Model!X$1&lt;='Assumptions (NG)'!$V$12),IPMT('Assumptions (NG)'!$V$9,Model!X$1,'Assumptions (NG)'!$V$12,'Assumptions (NG)'!$V$7*(Model!$AV$438*AVERAGE('Assumptions (NG)'!$AR$2:$AT$2))/10^9),0)+IF(and($AV$439&gt;0,Model!X$1&lt;='Assumptions (NG)'!$V$12),IPMT('Assumptions (NG)'!$V$9,Model!X$1,'Assumptions (NG)'!$V$12,'Assumptions (NG)'!$V$7*(Model!$AV$439*AVERAGE('Assumptions (NG)'!$AR$3:$AT$3))/10^9),0)</f>
        <v>-0.05596527976</v>
      </c>
      <c r="AX593" s="224">
        <f>IF(and($AV$438&gt;0,Model!Y$1&lt;='Assumptions (NG)'!$V$12),IPMT('Assumptions (NG)'!$V$9,Model!Y$1,'Assumptions (NG)'!$V$12,'Assumptions (NG)'!$V$7*(Model!$AV$438*AVERAGE('Assumptions (NG)'!$AR$2:$AT$2))/10^9),0)+IF(and($AV$439&gt;0,Model!Y$1&lt;='Assumptions (NG)'!$V$12),IPMT('Assumptions (NG)'!$V$9,Model!Y$1,'Assumptions (NG)'!$V$12,'Assumptions (NG)'!$V$7*(Model!$AV$439*AVERAGE('Assumptions (NG)'!$AR$3:$AT$3))/10^9),0)</f>
        <v>-0.0513891578</v>
      </c>
      <c r="AY593" s="224">
        <f>IF(and($AV$438&gt;0,Model!Z$1&lt;='Assumptions (NG)'!$V$12),IPMT('Assumptions (NG)'!$V$9,Model!Z$1,'Assumptions (NG)'!$V$12,'Assumptions (NG)'!$V$7*(Model!$AV$438*AVERAGE('Assumptions (NG)'!$AR$2:$AT$2))/10^9),0)+IF(and($AV$439&gt;0,Model!Z$1&lt;='Assumptions (NG)'!$V$12),IPMT('Assumptions (NG)'!$V$9,Model!Z$1,'Assumptions (NG)'!$V$12,'Assumptions (NG)'!$V$7*(Model!$AV$439*AVERAGE('Assumptions (NG)'!$AR$3:$AT$3))/10^9),0)</f>
        <v>-0.0464698267</v>
      </c>
      <c r="AZ593" s="224">
        <f>IF(and($AV$438&gt;0,Model!AA$1&lt;='Assumptions (NG)'!$V$12),IPMT('Assumptions (NG)'!$V$9,Model!AA$1,'Assumptions (NG)'!$V$12,'Assumptions (NG)'!$V$7*(Model!$AV$438*AVERAGE('Assumptions (NG)'!$AR$2:$AT$2))/10^9),0)+IF(and($AV$439&gt;0,Model!AA$1&lt;='Assumptions (NG)'!$V$12),IPMT('Assumptions (NG)'!$V$9,Model!AA$1,'Assumptions (NG)'!$V$12,'Assumptions (NG)'!$V$7*(Model!$AV$439*AVERAGE('Assumptions (NG)'!$AR$3:$AT$3))/10^9),0)</f>
        <v>-0.04118154577</v>
      </c>
      <c r="BA593" s="224">
        <f>IF(and($AV$438&gt;0,Model!AB$1&lt;='Assumptions (NG)'!$V$12),IPMT('Assumptions (NG)'!$V$9,Model!AB$1,'Assumptions (NG)'!$V$12,'Assumptions (NG)'!$V$7*(Model!$AV$438*AVERAGE('Assumptions (NG)'!$AR$2:$AT$2))/10^9),0)+IF(and($AV$439&gt;0,Model!AB$1&lt;='Assumptions (NG)'!$V$12),IPMT('Assumptions (NG)'!$V$9,Model!AB$1,'Assumptions (NG)'!$V$12,'Assumptions (NG)'!$V$7*(Model!$AV$439*AVERAGE('Assumptions (NG)'!$AR$3:$AT$3))/10^9),0)</f>
        <v>-0.03549664376</v>
      </c>
      <c r="BB593" s="224">
        <f>IF(and($AV$438&gt;0,Model!AC$1&lt;='Assumptions (NG)'!$V$12),IPMT('Assumptions (NG)'!$V$9,Model!AC$1,'Assumptions (NG)'!$V$12,'Assumptions (NG)'!$V$7*(Model!$AV$438*AVERAGE('Assumptions (NG)'!$AR$2:$AT$2))/10^9),0)+IF(and($AV$439&gt;0,Model!AC$1&lt;='Assumptions (NG)'!$V$12),IPMT('Assumptions (NG)'!$V$9,Model!AC$1,'Assumptions (NG)'!$V$12,'Assumptions (NG)'!$V$7*(Model!$AV$439*AVERAGE('Assumptions (NG)'!$AR$3:$AT$3))/10^9),0)</f>
        <v>-0.02938537411</v>
      </c>
      <c r="BC593" s="224">
        <f>IF(and($AV$438&gt;0,Model!AD$1&lt;='Assumptions (NG)'!$V$12),IPMT('Assumptions (NG)'!$V$9,Model!AD$1,'Assumptions (NG)'!$V$12,'Assumptions (NG)'!$V$7*(Model!$AV$438*AVERAGE('Assumptions (NG)'!$AR$2:$AT$2))/10^9),0)+IF(and($AV$439&gt;0,Model!AD$1&lt;='Assumptions (NG)'!$V$12),IPMT('Assumptions (NG)'!$V$9,Model!AD$1,'Assumptions (NG)'!$V$12,'Assumptions (NG)'!$V$7*(Model!$AV$439*AVERAGE('Assumptions (NG)'!$AR$3:$AT$3))/10^9),0)</f>
        <v>-0.02281575923</v>
      </c>
      <c r="BD593" s="224">
        <f>IF(and($AV$438&gt;0,Model!AE$1&lt;='Assumptions (NG)'!$V$12),IPMT('Assumptions (NG)'!$V$9,Model!AE$1,'Assumptions (NG)'!$V$12,'Assumptions (NG)'!$V$7*(Model!$AV$438*AVERAGE('Assumptions (NG)'!$AR$2:$AT$2))/10^9),0)+IF(and($AV$439&gt;0,Model!AE$1&lt;='Assumptions (NG)'!$V$12),IPMT('Assumptions (NG)'!$V$9,Model!AE$1,'Assumptions (NG)'!$V$12,'Assumptions (NG)'!$V$7*(Model!$AV$439*AVERAGE('Assumptions (NG)'!$AR$3:$AT$3))/10^9),0)</f>
        <v>-0.01575342323</v>
      </c>
      <c r="BE593" s="224">
        <f>IF(and($AV$438&gt;0,Model!AF$1&lt;='Assumptions (NG)'!$V$12),IPMT('Assumptions (NG)'!$V$9,Model!AF$1,'Assumptions (NG)'!$V$12,'Assumptions (NG)'!$V$7*(Model!$AV$438*AVERAGE('Assumptions (NG)'!$AR$2:$AT$2))/10^9),0)+IF(and($AV$439&gt;0,Model!AF$1&lt;='Assumptions (NG)'!$V$12),IPMT('Assumptions (NG)'!$V$9,Model!AF$1,'Assumptions (NG)'!$V$12,'Assumptions (NG)'!$V$7*(Model!$AV$439*AVERAGE('Assumptions (NG)'!$AR$3:$AT$3))/10^9),0)</f>
        <v>-0.008161412035</v>
      </c>
      <c r="BF593" s="224"/>
      <c r="BG593" s="224"/>
      <c r="BH593" s="224"/>
      <c r="BI593" s="224"/>
      <c r="BJ593" s="224"/>
      <c r="BK593" s="177"/>
      <c r="BL593" s="177"/>
      <c r="BM593" s="177"/>
      <c r="BN593" s="177"/>
      <c r="BO593" s="177"/>
      <c r="BP593" s="160"/>
      <c r="BQ593" s="160"/>
      <c r="BR593" s="160"/>
      <c r="BS593" s="160"/>
      <c r="BT593" s="160"/>
    </row>
    <row r="594" ht="15.75" hidden="1" customHeight="1" outlineLevel="1">
      <c r="A594" s="209"/>
      <c r="B594" s="38"/>
      <c r="C594" s="174"/>
      <c r="D594" s="174"/>
      <c r="E594" s="174"/>
      <c r="F594" s="174"/>
      <c r="G594" s="174"/>
      <c r="H594" s="174"/>
      <c r="I594" s="174"/>
      <c r="J594" s="174"/>
      <c r="L594" s="225"/>
      <c r="M594" s="225"/>
      <c r="N594" s="225"/>
      <c r="O594" s="225"/>
      <c r="P594" s="225"/>
      <c r="Q594" s="225"/>
      <c r="R594" s="225"/>
      <c r="S594" s="225"/>
      <c r="T594" s="225"/>
      <c r="U594" s="225"/>
      <c r="V594" s="225"/>
      <c r="W594" s="177"/>
      <c r="X594" s="177"/>
      <c r="Y594" s="177"/>
      <c r="Z594" s="177"/>
      <c r="AA594" s="177"/>
      <c r="AB594" s="177"/>
      <c r="AC594" s="177"/>
      <c r="AD594" s="177"/>
      <c r="AE594" s="177"/>
      <c r="AF594" s="177"/>
      <c r="AG594" s="177"/>
      <c r="AH594" s="177"/>
      <c r="AI594" s="177"/>
      <c r="AJ594" s="177"/>
      <c r="AK594" s="177"/>
      <c r="AL594" s="177"/>
      <c r="AM594" s="177"/>
      <c r="AN594" s="177"/>
      <c r="AO594" s="177"/>
      <c r="AP594" s="177"/>
      <c r="AQ594" s="177"/>
      <c r="AR594" s="177"/>
      <c r="AS594" s="177"/>
      <c r="AT594" s="177"/>
      <c r="AU594" s="177"/>
      <c r="AV594" s="177"/>
      <c r="AW594" s="224">
        <f>IF(and($AW$438&gt;0,Model!W$1&lt;='Assumptions (NG)'!$V$12),IPMT('Assumptions (NG)'!$V$9,Model!W$1,'Assumptions (NG)'!$V$12,'Assumptions (NG)'!$V$7*(Model!$AW$438*AVERAGE('Assumptions (NG)'!$AS$2:$AU$2))/10^9),0)+IF(and($AW$439&gt;0,Model!W$1&lt;='Assumptions (NG)'!$V$12),IPMT('Assumptions (NG)'!$V$9,Model!W$1,'Assumptions (NG)'!$V$12,'Assumptions (NG)'!$V$7*(Model!$AW$439*AVERAGE('Assumptions (NG)'!$AS$3:$AU$3))/10^9),0)</f>
        <v>-0.185122775</v>
      </c>
      <c r="AX594" s="224">
        <f>IF(and($AW$438&gt;0,Model!X$1&lt;='Assumptions (NG)'!$V$12),IPMT('Assumptions (NG)'!$V$9,Model!X$1,'Assumptions (NG)'!$V$12,'Assumptions (NG)'!$V$7*(Model!$AW$438*AVERAGE('Assumptions (NG)'!$AS$2:$AU$2))/10^9),0)+IF(and($AW$439&gt;0,Model!X$1&lt;='Assumptions (NG)'!$V$12),IPMT('Assumptions (NG)'!$V$9,Model!X$1,'Assumptions (NG)'!$V$12,'Assumptions (NG)'!$V$7*(Model!$AW$439*AVERAGE('Assumptions (NG)'!$AS$3:$AU$3))/10^9),0)</f>
        <v>-0.1720372</v>
      </c>
      <c r="AY594" s="224">
        <f>IF(and($AW$438&gt;0,Model!Y$1&lt;='Assumptions (NG)'!$V$12),IPMT('Assumptions (NG)'!$V$9,Model!Y$1,'Assumptions (NG)'!$V$12,'Assumptions (NG)'!$V$7*(Model!$AW$438*AVERAGE('Assumptions (NG)'!$AS$2:$AU$2))/10^9),0)+IF(and($AW$439&gt;0,Model!Y$1&lt;='Assumptions (NG)'!$V$12),IPMT('Assumptions (NG)'!$V$9,Model!Y$1,'Assumptions (NG)'!$V$12,'Assumptions (NG)'!$V$7*(Model!$AW$439*AVERAGE('Assumptions (NG)'!$AS$3:$AU$3))/10^9),0)</f>
        <v>-0.1579702068</v>
      </c>
      <c r="AZ594" s="224">
        <f>IF(and($AW$438&gt;0,Model!Z$1&lt;='Assumptions (NG)'!$V$12),IPMT('Assumptions (NG)'!$V$9,Model!Z$1,'Assumptions (NG)'!$V$12,'Assumptions (NG)'!$V$7*(Model!$AW$438*AVERAGE('Assumptions (NG)'!$AS$2:$AU$2))/10^9),0)+IF(and($AW$439&gt;0,Model!Z$1&lt;='Assumptions (NG)'!$V$12),IPMT('Assumptions (NG)'!$V$9,Model!Z$1,'Assumptions (NG)'!$V$12,'Assumptions (NG)'!$V$7*(Model!$AW$439*AVERAGE('Assumptions (NG)'!$AS$3:$AU$3))/10^9),0)</f>
        <v>-0.1428481891</v>
      </c>
      <c r="BA594" s="224">
        <f>IF(and($AW$438&gt;0,Model!AA$1&lt;='Assumptions (NG)'!$V$12),IPMT('Assumptions (NG)'!$V$9,Model!AA$1,'Assumptions (NG)'!$V$12,'Assumptions (NG)'!$V$7*(Model!$AW$438*AVERAGE('Assumptions (NG)'!$AS$2:$AU$2))/10^9),0)+IF(and($AW$439&gt;0,Model!AA$1&lt;='Assumptions (NG)'!$V$12),IPMT('Assumptions (NG)'!$V$9,Model!AA$1,'Assumptions (NG)'!$V$12,'Assumptions (NG)'!$V$7*(Model!$AW$439*AVERAGE('Assumptions (NG)'!$AS$3:$AU$3))/10^9),0)</f>
        <v>-0.1265920202</v>
      </c>
      <c r="BB594" s="224">
        <f>IF(and($AW$438&gt;0,Model!AB$1&lt;='Assumptions (NG)'!$V$12),IPMT('Assumptions (NG)'!$V$9,Model!AB$1,'Assumptions (NG)'!$V$12,'Assumptions (NG)'!$V$7*(Model!$AW$438*AVERAGE('Assumptions (NG)'!$AS$2:$AU$2))/10^9),0)+IF(and($AW$439&gt;0,Model!AB$1&lt;='Assumptions (NG)'!$V$12),IPMT('Assumptions (NG)'!$V$9,Model!AB$1,'Assumptions (NG)'!$V$12,'Assumptions (NG)'!$V$7*(Model!$AW$439*AVERAGE('Assumptions (NG)'!$AS$3:$AU$3))/10^9),0)</f>
        <v>-0.1091166385</v>
      </c>
      <c r="BC594" s="224">
        <f>IF(and($AW$438&gt;0,Model!AC$1&lt;='Assumptions (NG)'!$V$12),IPMT('Assumptions (NG)'!$V$9,Model!AC$1,'Assumptions (NG)'!$V$12,'Assumptions (NG)'!$V$7*(Model!$AW$438*AVERAGE('Assumptions (NG)'!$AS$2:$AU$2))/10^9),0)+IF(and($AW$439&gt;0,Model!AC$1&lt;='Assumptions (NG)'!$V$12),IPMT('Assumptions (NG)'!$V$9,Model!AC$1,'Assumptions (NG)'!$V$12,'Assumptions (NG)'!$V$7*(Model!$AW$439*AVERAGE('Assumptions (NG)'!$AS$3:$AU$3))/10^9),0)</f>
        <v>-0.09033060324</v>
      </c>
      <c r="BD594" s="224">
        <f>IF(and($AW$438&gt;0,Model!AD$1&lt;='Assumptions (NG)'!$V$12),IPMT('Assumptions (NG)'!$V$9,Model!AD$1,'Assumptions (NG)'!$V$12,'Assumptions (NG)'!$V$7*(Model!$AW$438*AVERAGE('Assumptions (NG)'!$AS$2:$AU$2))/10^9),0)+IF(and($AW$439&gt;0,Model!AD$1&lt;='Assumptions (NG)'!$V$12),IPMT('Assumptions (NG)'!$V$9,Model!AD$1,'Assumptions (NG)'!$V$12,'Assumptions (NG)'!$V$7*(Model!$AW$439*AVERAGE('Assumptions (NG)'!$AS$3:$AU$3))/10^9),0)</f>
        <v>-0.07013561531</v>
      </c>
      <c r="BE594" s="224">
        <f>IF(and($AW$438&gt;0,Model!AE$1&lt;='Assumptions (NG)'!$V$12),IPMT('Assumptions (NG)'!$V$9,Model!AE$1,'Assumptions (NG)'!$V$12,'Assumptions (NG)'!$V$7*(Model!$AW$438*AVERAGE('Assumptions (NG)'!$AS$2:$AU$2))/10^9),0)+IF(and($AW$439&gt;0,Model!AE$1&lt;='Assumptions (NG)'!$V$12),IPMT('Assumptions (NG)'!$V$9,Model!AE$1,'Assumptions (NG)'!$V$12,'Assumptions (NG)'!$V$7*(Model!$AW$439*AVERAGE('Assumptions (NG)'!$AS$3:$AU$3))/10^9),0)</f>
        <v>-0.0484260033</v>
      </c>
      <c r="BF594" s="224">
        <f>IF(and($AW$438&gt;0,Model!AF$1&lt;='Assumptions (NG)'!$V$12),IPMT('Assumptions (NG)'!$V$9,Model!AF$1,'Assumptions (NG)'!$V$12,'Assumptions (NG)'!$V$7*(Model!$AW$438*AVERAGE('Assumptions (NG)'!$AS$2:$AU$2))/10^9),0)+IF(and($AW$439&gt;0,Model!AF$1&lt;='Assumptions (NG)'!$V$12),IPMT('Assumptions (NG)'!$V$9,Model!AF$1,'Assumptions (NG)'!$V$12,'Assumptions (NG)'!$V$7*(Model!$AW$439*AVERAGE('Assumptions (NG)'!$AS$3:$AU$3))/10^9),0)</f>
        <v>-0.02508817038</v>
      </c>
      <c r="BG594" s="224"/>
      <c r="BH594" s="224"/>
      <c r="BI594" s="224"/>
      <c r="BJ594" s="224"/>
      <c r="BK594" s="224"/>
      <c r="BL594" s="177"/>
      <c r="BM594" s="177"/>
      <c r="BN594" s="177"/>
      <c r="BO594" s="177"/>
      <c r="BP594" s="160"/>
      <c r="BQ594" s="160"/>
      <c r="BR594" s="160"/>
      <c r="BS594" s="160"/>
      <c r="BT594" s="160"/>
      <c r="BU594" s="160"/>
    </row>
    <row r="595" ht="15.75" hidden="1" customHeight="1" outlineLevel="1">
      <c r="A595" s="209"/>
      <c r="B595" s="38"/>
      <c r="C595" s="174"/>
      <c r="D595" s="174"/>
      <c r="E595" s="174"/>
      <c r="F595" s="174"/>
      <c r="G595" s="174"/>
      <c r="H595" s="174"/>
      <c r="I595" s="174"/>
      <c r="J595" s="174"/>
      <c r="L595" s="225"/>
      <c r="M595" s="225"/>
      <c r="N595" s="225"/>
      <c r="O595" s="225"/>
      <c r="P595" s="225"/>
      <c r="Q595" s="225"/>
      <c r="R595" s="225"/>
      <c r="S595" s="225"/>
      <c r="T595" s="225"/>
      <c r="U595" s="225"/>
      <c r="V595" s="225"/>
      <c r="W595" s="177"/>
      <c r="X595" s="177"/>
      <c r="Y595" s="177"/>
      <c r="Z595" s="177"/>
      <c r="AA595" s="177"/>
      <c r="AB595" s="177"/>
      <c r="AC595" s="177"/>
      <c r="AD595" s="177"/>
      <c r="AE595" s="177"/>
      <c r="AF595" s="177"/>
      <c r="AG595" s="177"/>
      <c r="AH595" s="177"/>
      <c r="AI595" s="177"/>
      <c r="AJ595" s="177"/>
      <c r="AK595" s="177"/>
      <c r="AL595" s="177"/>
      <c r="AM595" s="177"/>
      <c r="AN595" s="177"/>
      <c r="AO595" s="177"/>
      <c r="AP595" s="177"/>
      <c r="AQ595" s="177"/>
      <c r="AR595" s="177"/>
      <c r="AS595" s="177"/>
      <c r="AT595" s="177"/>
      <c r="AU595" s="177"/>
      <c r="AV595" s="177"/>
      <c r="AW595" s="177"/>
      <c r="AX595" s="224">
        <f>IF(and($AX$438&gt;0,Model!W$1&lt;='Assumptions (NG)'!$V$12),IPMT('Assumptions (NG)'!$V$9,Model!W$1,'Assumptions (NG)'!$V$12,'Assumptions (NG)'!$V$7*(Model!$AX$438*AVERAGE('Assumptions (NG)'!$AT$2:$AV$2))/10^9),0)+IF(and($AX$439&gt;0,Model!W$1&lt;='Assumptions (NG)'!$V$12),IPMT('Assumptions (NG)'!$V$9,Model!W$1,'Assumptions (NG)'!$V$12,'Assumptions (NG)'!$V$7*(Model!$AX$439*AVERAGE('Assumptions (NG)'!$AT$3:$AV$3))/10^9),0)</f>
        <v>-0.256360424</v>
      </c>
      <c r="AY595" s="224">
        <f>IF(and($AX$438&gt;0,Model!X$1&lt;='Assumptions (NG)'!$V$12),IPMT('Assumptions (NG)'!$V$9,Model!X$1,'Assumptions (NG)'!$V$12,'Assumptions (NG)'!$V$7*(Model!$AX$438*AVERAGE('Assumptions (NG)'!$AT$2:$AV$2))/10^9),0)+IF(and($AX$439&gt;0,Model!X$1&lt;='Assumptions (NG)'!$V$12),IPMT('Assumptions (NG)'!$V$9,Model!X$1,'Assumptions (NG)'!$V$12,'Assumptions (NG)'!$V$7*(Model!$AX$439*AVERAGE('Assumptions (NG)'!$AT$3:$AV$3))/10^9),0)</f>
        <v>-0.2382393496</v>
      </c>
      <c r="AZ595" s="224">
        <f>IF(and($AX$438&gt;0,Model!Y$1&lt;='Assumptions (NG)'!$V$12),IPMT('Assumptions (NG)'!$V$9,Model!Y$1,'Assumptions (NG)'!$V$12,'Assumptions (NG)'!$V$7*(Model!$AX$438*AVERAGE('Assumptions (NG)'!$AT$2:$AV$2))/10^9),0)+IF(and($AX$439&gt;0,Model!Y$1&lt;='Assumptions (NG)'!$V$12),IPMT('Assumptions (NG)'!$V$9,Model!Y$1,'Assumptions (NG)'!$V$12,'Assumptions (NG)'!$V$7*(Model!$AX$439*AVERAGE('Assumptions (NG)'!$AT$3:$AV$3))/10^9),0)</f>
        <v>-0.2187591947</v>
      </c>
      <c r="BA595" s="224">
        <f>IF(and($AX$438&gt;0,Model!Z$1&lt;='Assumptions (NG)'!$V$12),IPMT('Assumptions (NG)'!$V$9,Model!Z$1,'Assumptions (NG)'!$V$12,'Assumptions (NG)'!$V$7*(Model!$AX$438*AVERAGE('Assumptions (NG)'!$AT$2:$AV$2))/10^9),0)+IF(and($AX$439&gt;0,Model!Z$1&lt;='Assumptions (NG)'!$V$12),IPMT('Assumptions (NG)'!$V$9,Model!Z$1,'Assumptions (NG)'!$V$12,'Assumptions (NG)'!$V$7*(Model!$AX$439*AVERAGE('Assumptions (NG)'!$AT$3:$AV$3))/10^9),0)</f>
        <v>-0.1978180282</v>
      </c>
      <c r="BB595" s="224">
        <f>IF(and($AX$438&gt;0,Model!AA$1&lt;='Assumptions (NG)'!$V$12),IPMT('Assumptions (NG)'!$V$9,Model!AA$1,'Assumptions (NG)'!$V$12,'Assumptions (NG)'!$V$7*(Model!$AX$438*AVERAGE('Assumptions (NG)'!$AT$2:$AV$2))/10^9),0)+IF(and($AX$439&gt;0,Model!AA$1&lt;='Assumptions (NG)'!$V$12),IPMT('Assumptions (NG)'!$V$9,Model!AA$1,'Assumptions (NG)'!$V$12,'Assumptions (NG)'!$V$7*(Model!$AX$439*AVERAGE('Assumptions (NG)'!$AT$3:$AV$3))/10^9),0)</f>
        <v>-0.1753062742</v>
      </c>
      <c r="BC595" s="224">
        <f>IF(and($AX$438&gt;0,Model!AB$1&lt;='Assumptions (NG)'!$V$12),IPMT('Assumptions (NG)'!$V$9,Model!AB$1,'Assumptions (NG)'!$V$12,'Assumptions (NG)'!$V$7*(Model!$AX$438*AVERAGE('Assumptions (NG)'!$AT$2:$AV$2))/10^9),0)+IF(and($AX$439&gt;0,Model!AB$1&lt;='Assumptions (NG)'!$V$12),IPMT('Assumptions (NG)'!$V$9,Model!AB$1,'Assumptions (NG)'!$V$12,'Assumptions (NG)'!$V$7*(Model!$AX$439*AVERAGE('Assumptions (NG)'!$AT$3:$AV$3))/10^9),0)</f>
        <v>-0.1511061387</v>
      </c>
      <c r="BD595" s="224">
        <f>IF(and($AX$438&gt;0,Model!AC$1&lt;='Assumptions (NG)'!$V$12),IPMT('Assumptions (NG)'!$V$9,Model!AC$1,'Assumptions (NG)'!$V$12,'Assumptions (NG)'!$V$7*(Model!$AX$438*AVERAGE('Assumptions (NG)'!$AT$2:$AV$2))/10^9),0)+IF(and($AX$439&gt;0,Model!AC$1&lt;='Assumptions (NG)'!$V$12),IPMT('Assumptions (NG)'!$V$9,Model!AC$1,'Assumptions (NG)'!$V$12,'Assumptions (NG)'!$V$7*(Model!$AX$439*AVERAGE('Assumptions (NG)'!$AT$3:$AV$3))/10^9),0)</f>
        <v>-0.125090993</v>
      </c>
      <c r="BE595" s="224">
        <f>IF(and($AX$438&gt;0,Model!AD$1&lt;='Assumptions (NG)'!$V$12),IPMT('Assumptions (NG)'!$V$9,Model!AD$1,'Assumptions (NG)'!$V$12,'Assumptions (NG)'!$V$7*(Model!$AX$438*AVERAGE('Assumptions (NG)'!$AT$2:$AV$2))/10^9),0)+IF(and($AX$439&gt;0,Model!AD$1&lt;='Assumptions (NG)'!$V$12),IPMT('Assumptions (NG)'!$V$9,Model!AD$1,'Assumptions (NG)'!$V$12,'Assumptions (NG)'!$V$7*(Model!$AX$439*AVERAGE('Assumptions (NG)'!$AT$3:$AV$3))/10^9),0)</f>
        <v>-0.0971247113</v>
      </c>
      <c r="BF595" s="224">
        <f>IF(and($AX$438&gt;0,Model!AE$1&lt;='Assumptions (NG)'!$V$12),IPMT('Assumptions (NG)'!$V$9,Model!AE$1,'Assumptions (NG)'!$V$12,'Assumptions (NG)'!$V$7*(Model!$AX$438*AVERAGE('Assumptions (NG)'!$AT$2:$AV$2))/10^9),0)+IF(and($AX$439&gt;0,Model!AE$1&lt;='Assumptions (NG)'!$V$12),IPMT('Assumptions (NG)'!$V$9,Model!AE$1,'Assumptions (NG)'!$V$12,'Assumptions (NG)'!$V$7*(Model!$AX$439*AVERAGE('Assumptions (NG)'!$AT$3:$AV$3))/10^9),0)</f>
        <v>-0.06706095853</v>
      </c>
      <c r="BG595" s="224">
        <f>IF(and($AX$438&gt;0,Model!AF$1&lt;='Assumptions (NG)'!$V$12),IPMT('Assumptions (NG)'!$V$9,Model!AF$1,'Assumptions (NG)'!$V$12,'Assumptions (NG)'!$V$7*(Model!$AX$438*AVERAGE('Assumptions (NG)'!$AT$2:$AV$2))/10^9),0)+IF(and($AX$439&gt;0,Model!AF$1&lt;='Assumptions (NG)'!$V$12),IPMT('Assumptions (NG)'!$V$9,Model!AF$1,'Assumptions (NG)'!$V$12,'Assumptions (NG)'!$V$7*(Model!$AX$439*AVERAGE('Assumptions (NG)'!$AT$3:$AV$3))/10^9),0)</f>
        <v>-0.0347424243</v>
      </c>
      <c r="BH595" s="224"/>
      <c r="BI595" s="224"/>
      <c r="BJ595" s="224"/>
      <c r="BK595" s="224"/>
      <c r="BL595" s="224"/>
      <c r="BM595" s="177"/>
      <c r="BN595" s="177"/>
      <c r="BO595" s="177"/>
      <c r="BP595" s="160"/>
      <c r="BQ595" s="160"/>
      <c r="BR595" s="160"/>
      <c r="BS595" s="160"/>
      <c r="BT595" s="160"/>
      <c r="BU595" s="160"/>
      <c r="BV595" s="160"/>
    </row>
    <row r="596" ht="15.75" hidden="1" customHeight="1" outlineLevel="1">
      <c r="A596" s="209"/>
      <c r="B596" s="38"/>
      <c r="C596" s="174"/>
      <c r="D596" s="174"/>
      <c r="E596" s="174"/>
      <c r="F596" s="174"/>
      <c r="G596" s="174"/>
      <c r="H596" s="174"/>
      <c r="I596" s="174"/>
      <c r="J596" s="174"/>
      <c r="L596" s="225"/>
      <c r="M596" s="225"/>
      <c r="N596" s="225"/>
      <c r="O596" s="225"/>
      <c r="P596" s="225"/>
      <c r="Q596" s="225"/>
      <c r="R596" s="225"/>
      <c r="S596" s="225"/>
      <c r="T596" s="225"/>
      <c r="U596" s="225"/>
      <c r="V596" s="225"/>
      <c r="W596" s="177"/>
      <c r="X596" s="177"/>
      <c r="Y596" s="177"/>
      <c r="Z596" s="177"/>
      <c r="AA596" s="177"/>
      <c r="AB596" s="177"/>
      <c r="AC596" s="177"/>
      <c r="AD596" s="177"/>
      <c r="AE596" s="177"/>
      <c r="AF596" s="177"/>
      <c r="AG596" s="177"/>
      <c r="AH596" s="177"/>
      <c r="AI596" s="177"/>
      <c r="AJ596" s="177"/>
      <c r="AK596" s="177"/>
      <c r="AL596" s="177"/>
      <c r="AM596" s="177"/>
      <c r="AN596" s="177"/>
      <c r="AO596" s="177"/>
      <c r="AP596" s="177"/>
      <c r="AQ596" s="177"/>
      <c r="AR596" s="177"/>
      <c r="AS596" s="177"/>
      <c r="AT596" s="177"/>
      <c r="AU596" s="177"/>
      <c r="AV596" s="177"/>
      <c r="AW596" s="177"/>
      <c r="AX596" s="177"/>
      <c r="AY596" s="224">
        <f>IF(and($AY$438&gt;0,Model!W$1&lt;='Assumptions (NG)'!$V$12),IPMT('Assumptions (NG)'!$V$9,Model!W$1,'Assumptions (NG)'!$V$12,'Assumptions (NG)'!$V$7*(Model!$AY$438*AVERAGE('Assumptions (NG)'!$AU$2:$AW$2))/10^9),0)+IF(and($AY$439&gt;0,Model!W$1&lt;='Assumptions (NG)'!$V$12),IPMT('Assumptions (NG)'!$V$9,Model!W$1,'Assumptions (NG)'!$V$12,'Assumptions (NG)'!$V$7*(Model!$AY$439*AVERAGE('Assumptions (NG)'!$AU$3:$AW$3))/10^9),0)</f>
        <v>-0.4661551818</v>
      </c>
      <c r="AZ596" s="224">
        <f>IF(and($AY$438&gt;0,Model!X$1&lt;='Assumptions (NG)'!$V$12),IPMT('Assumptions (NG)'!$V$9,Model!X$1,'Assumptions (NG)'!$V$12,'Assumptions (NG)'!$V$7*(Model!$AY$438*AVERAGE('Assumptions (NG)'!$AU$2:$AW$2))/10^9),0)+IF(and($AY$439&gt;0,Model!X$1&lt;='Assumptions (NG)'!$V$12),IPMT('Assumptions (NG)'!$V$9,Model!X$1,'Assumptions (NG)'!$V$12,'Assumptions (NG)'!$V$7*(Model!$AY$439*AVERAGE('Assumptions (NG)'!$AU$3:$AW$3))/10^9),0)</f>
        <v>-0.4332045704</v>
      </c>
      <c r="BA596" s="224">
        <f>IF(and($AY$438&gt;0,Model!Y$1&lt;='Assumptions (NG)'!$V$12),IPMT('Assumptions (NG)'!$V$9,Model!Y$1,'Assumptions (NG)'!$V$12,'Assumptions (NG)'!$V$7*(Model!$AY$438*AVERAGE('Assumptions (NG)'!$AU$2:$AW$2))/10^9),0)+IF(and($AY$439&gt;0,Model!Y$1&lt;='Assumptions (NG)'!$V$12),IPMT('Assumptions (NG)'!$V$9,Model!Y$1,'Assumptions (NG)'!$V$12,'Assumptions (NG)'!$V$7*(Model!$AY$439*AVERAGE('Assumptions (NG)'!$AU$3:$AW$3))/10^9),0)</f>
        <v>-0.3977826632</v>
      </c>
      <c r="BB596" s="224">
        <f>IF(and($AY$438&gt;0,Model!Z$1&lt;='Assumptions (NG)'!$V$12),IPMT('Assumptions (NG)'!$V$9,Model!Z$1,'Assumptions (NG)'!$V$12,'Assumptions (NG)'!$V$7*(Model!$AY$438*AVERAGE('Assumptions (NG)'!$AU$2:$AW$2))/10^9),0)+IF(and($AY$439&gt;0,Model!Z$1&lt;='Assumptions (NG)'!$V$12),IPMT('Assumptions (NG)'!$V$9,Model!Z$1,'Assumptions (NG)'!$V$12,'Assumptions (NG)'!$V$7*(Model!$AY$439*AVERAGE('Assumptions (NG)'!$AU$3:$AW$3))/10^9),0)</f>
        <v>-0.359704113</v>
      </c>
      <c r="BC596" s="224">
        <f>IF(and($AY$438&gt;0,Model!AA$1&lt;='Assumptions (NG)'!$V$12),IPMT('Assumptions (NG)'!$V$9,Model!AA$1,'Assumptions (NG)'!$V$12,'Assumptions (NG)'!$V$7*(Model!$AY$438*AVERAGE('Assumptions (NG)'!$AU$2:$AW$2))/10^9),0)+IF(and($AY$439&gt;0,Model!AA$1&lt;='Assumptions (NG)'!$V$12),IPMT('Assumptions (NG)'!$V$9,Model!AA$1,'Assumptions (NG)'!$V$12,'Assumptions (NG)'!$V$7*(Model!$AY$439*AVERAGE('Assumptions (NG)'!$AU$3:$AW$3))/10^9),0)</f>
        <v>-0.3187696715</v>
      </c>
      <c r="BD596" s="224">
        <f>IF(and($AY$438&gt;0,Model!AB$1&lt;='Assumptions (NG)'!$V$12),IPMT('Assumptions (NG)'!$V$9,Model!AB$1,'Assumptions (NG)'!$V$12,'Assumptions (NG)'!$V$7*(Model!$AY$438*AVERAGE('Assumptions (NG)'!$AU$2:$AW$2))/10^9),0)+IF(and($AY$439&gt;0,Model!AB$1&lt;='Assumptions (NG)'!$V$12),IPMT('Assumptions (NG)'!$V$9,Model!AB$1,'Assumptions (NG)'!$V$12,'Assumptions (NG)'!$V$7*(Model!$AY$439*AVERAGE('Assumptions (NG)'!$AU$3:$AW$3))/10^9),0)</f>
        <v>-0.2747651469</v>
      </c>
      <c r="BE596" s="224">
        <f>IF(and($AY$438&gt;0,Model!AC$1&lt;='Assumptions (NG)'!$V$12),IPMT('Assumptions (NG)'!$V$9,Model!AC$1,'Assumptions (NG)'!$V$12,'Assumptions (NG)'!$V$7*(Model!$AY$438*AVERAGE('Assumptions (NG)'!$AU$2:$AW$2))/10^9),0)+IF(and($AY$439&gt;0,Model!AC$1&lt;='Assumptions (NG)'!$V$12),IPMT('Assumptions (NG)'!$V$9,Model!AC$1,'Assumptions (NG)'!$V$12,'Assumptions (NG)'!$V$7*(Model!$AY$439*AVERAGE('Assumptions (NG)'!$AU$3:$AW$3))/10^9),0)</f>
        <v>-0.2274602829</v>
      </c>
      <c r="BF596" s="224">
        <f>IF(and($AY$438&gt;0,Model!AD$1&lt;='Assumptions (NG)'!$V$12),IPMT('Assumptions (NG)'!$V$9,Model!AD$1,'Assumptions (NG)'!$V$12,'Assumptions (NG)'!$V$7*(Model!$AY$438*AVERAGE('Assumptions (NG)'!$AU$2:$AW$2))/10^9),0)+IF(and($AY$439&gt;0,Model!AD$1&lt;='Assumptions (NG)'!$V$12),IPMT('Assumptions (NG)'!$V$9,Model!AD$1,'Assumptions (NG)'!$V$12,'Assumptions (NG)'!$V$7*(Model!$AY$439*AVERAGE('Assumptions (NG)'!$AU$3:$AW$3))/10^9),0)</f>
        <v>-0.1766075541</v>
      </c>
      <c r="BG596" s="224">
        <f>IF(and($AY$438&gt;0,Model!AE$1&lt;='Assumptions (NG)'!$V$12),IPMT('Assumptions (NG)'!$V$9,Model!AE$1,'Assumptions (NG)'!$V$12,'Assumptions (NG)'!$V$7*(Model!$AY$438*AVERAGE('Assumptions (NG)'!$AU$2:$AW$2))/10^9),0)+IF(and($AY$439&gt;0,Model!AE$1&lt;='Assumptions (NG)'!$V$12),IPMT('Assumptions (NG)'!$V$9,Model!AE$1,'Assumptions (NG)'!$V$12,'Assumptions (NG)'!$V$7*(Model!$AY$439*AVERAGE('Assumptions (NG)'!$AU$3:$AW$3))/10^9),0)</f>
        <v>-0.1219408707</v>
      </c>
      <c r="BH596" s="224">
        <f>IF(and($AY$438&gt;0,Model!AF$1&lt;='Assumptions (NG)'!$V$12),IPMT('Assumptions (NG)'!$V$9,Model!AF$1,'Assumptions (NG)'!$V$12,'Assumptions (NG)'!$V$7*(Model!$AY$438*AVERAGE('Assumptions (NG)'!$AU$2:$AW$2))/10^9),0)+IF(and($AY$439&gt;0,Model!AF$1&lt;='Assumptions (NG)'!$V$12),IPMT('Assumptions (NG)'!$V$9,Model!AF$1,'Assumptions (NG)'!$V$12,'Assumptions (NG)'!$V$7*(Model!$AY$439*AVERAGE('Assumptions (NG)'!$AU$3:$AW$3))/10^9),0)</f>
        <v>-0.06317418603</v>
      </c>
      <c r="BI596" s="224"/>
      <c r="BJ596" s="224"/>
      <c r="BK596" s="224"/>
      <c r="BL596" s="224"/>
      <c r="BM596" s="224"/>
      <c r="BN596" s="177"/>
      <c r="BO596" s="177"/>
      <c r="BP596" s="160"/>
      <c r="BQ596" s="160"/>
      <c r="BR596" s="160"/>
      <c r="BS596" s="160"/>
      <c r="BT596" s="160"/>
      <c r="BU596" s="160"/>
      <c r="BV596" s="160"/>
      <c r="BW596" s="160"/>
    </row>
    <row r="597" ht="15.75" hidden="1" customHeight="1" outlineLevel="1">
      <c r="A597" s="209"/>
      <c r="B597" s="38"/>
      <c r="C597" s="174"/>
      <c r="D597" s="174"/>
      <c r="E597" s="174"/>
      <c r="F597" s="174"/>
      <c r="G597" s="174"/>
      <c r="H597" s="174"/>
      <c r="I597" s="174"/>
      <c r="J597" s="174"/>
      <c r="L597" s="225"/>
      <c r="M597" s="225"/>
      <c r="N597" s="225"/>
      <c r="O597" s="225"/>
      <c r="P597" s="225"/>
      <c r="Q597" s="225"/>
      <c r="R597" s="225"/>
      <c r="S597" s="225"/>
      <c r="T597" s="225"/>
      <c r="U597" s="225"/>
      <c r="V597" s="225"/>
      <c r="W597" s="177"/>
      <c r="X597" s="177"/>
      <c r="Y597" s="177"/>
      <c r="Z597" s="177"/>
      <c r="AA597" s="177"/>
      <c r="AB597" s="177"/>
      <c r="AC597" s="177"/>
      <c r="AD597" s="177"/>
      <c r="AE597" s="177"/>
      <c r="AF597" s="177"/>
      <c r="AG597" s="177"/>
      <c r="AH597" s="177"/>
      <c r="AI597" s="177"/>
      <c r="AJ597" s="177"/>
      <c r="AK597" s="177"/>
      <c r="AL597" s="177"/>
      <c r="AM597" s="177"/>
      <c r="AN597" s="177"/>
      <c r="AO597" s="177"/>
      <c r="AP597" s="177"/>
      <c r="AQ597" s="177"/>
      <c r="AR597" s="177"/>
      <c r="AS597" s="177"/>
      <c r="AT597" s="177"/>
      <c r="AU597" s="177"/>
      <c r="AV597" s="177"/>
      <c r="AW597" s="177"/>
      <c r="AX597" s="177"/>
      <c r="AY597" s="177"/>
      <c r="AZ597" s="224">
        <f>IF(and($AZ$438&gt;0,Model!W$1&lt;='Assumptions (NG)'!$V$12),IPMT('Assumptions (NG)'!$V$9,Model!W$1,'Assumptions (NG)'!$V$12,'Assumptions (NG)'!$V$7*(Model!$AZ$438*AVERAGE('Assumptions (NG)'!$AV$2:$AX$2))/10^9),0)+IF(and($AZ$439&gt;0,Model!W$1&lt;='Assumptions (NG)'!$V$12),IPMT('Assumptions (NG)'!$V$9,Model!W$1,'Assumptions (NG)'!$V$12,'Assumptions (NG)'!$V$7*(Model!$AZ$439*AVERAGE('Assumptions (NG)'!$AV$3:$AX$3))/10^9),0)</f>
        <v>-0.1322840122</v>
      </c>
      <c r="BA597" s="224">
        <f>IF(and($AZ$438&gt;0,Model!X$1&lt;='Assumptions (NG)'!$V$12),IPMT('Assumptions (NG)'!$V$9,Model!X$1,'Assumptions (NG)'!$V$12,'Assumptions (NG)'!$V$7*(Model!$AZ$438*AVERAGE('Assumptions (NG)'!$AV$2:$AX$2))/10^9),0)+IF(and($AZ$439&gt;0,Model!X$1&lt;='Assumptions (NG)'!$V$12),IPMT('Assumptions (NG)'!$V$9,Model!X$1,'Assumptions (NG)'!$V$12,'Assumptions (NG)'!$V$7*(Model!$AZ$439*AVERAGE('Assumptions (NG)'!$AV$3:$AX$3))/10^9),0)</f>
        <v>-0.1229333941</v>
      </c>
      <c r="BB597" s="224">
        <f>IF(and($AZ$438&gt;0,Model!Y$1&lt;='Assumptions (NG)'!$V$12),IPMT('Assumptions (NG)'!$V$9,Model!Y$1,'Assumptions (NG)'!$V$12,'Assumptions (NG)'!$V$7*(Model!$AZ$438*AVERAGE('Assumptions (NG)'!$AV$2:$AX$2))/10^9),0)+IF(and($AZ$439&gt;0,Model!Y$1&lt;='Assumptions (NG)'!$V$12),IPMT('Assumptions (NG)'!$V$9,Model!Y$1,'Assumptions (NG)'!$V$12,'Assumptions (NG)'!$V$7*(Model!$AZ$439*AVERAGE('Assumptions (NG)'!$AV$3:$AX$3))/10^9),0)</f>
        <v>-0.1128814797</v>
      </c>
      <c r="BC597" s="224">
        <f>IF(and($AZ$438&gt;0,Model!Z$1&lt;='Assumptions (NG)'!$V$12),IPMT('Assumptions (NG)'!$V$9,Model!Z$1,'Assumptions (NG)'!$V$12,'Assumptions (NG)'!$V$7*(Model!$AZ$438*AVERAGE('Assumptions (NG)'!$AV$2:$AX$2))/10^9),0)+IF(and($AZ$439&gt;0,Model!Z$1&lt;='Assumptions (NG)'!$V$12),IPMT('Assumptions (NG)'!$V$9,Model!Z$1,'Assumptions (NG)'!$V$12,'Assumptions (NG)'!$V$7*(Model!$AZ$439*AVERAGE('Assumptions (NG)'!$AV$3:$AX$3))/10^9),0)</f>
        <v>-0.1020756717</v>
      </c>
      <c r="BD597" s="224">
        <f>IF(and($AZ$438&gt;0,Model!AA$1&lt;='Assumptions (NG)'!$V$12),IPMT('Assumptions (NG)'!$V$9,Model!AA$1,'Assumptions (NG)'!$V$12,'Assumptions (NG)'!$V$7*(Model!$AZ$438*AVERAGE('Assumptions (NG)'!$AV$2:$AX$2))/10^9),0)+IF(and($AZ$439&gt;0,Model!AA$1&lt;='Assumptions (NG)'!$V$12),IPMT('Assumptions (NG)'!$V$9,Model!AA$1,'Assumptions (NG)'!$V$12,'Assumptions (NG)'!$V$7*(Model!$AZ$439*AVERAGE('Assumptions (NG)'!$AV$3:$AX$3))/10^9),0)</f>
        <v>-0.09045942802</v>
      </c>
      <c r="BE597" s="224">
        <f>IF(and($AZ$438&gt;0,Model!AB$1&lt;='Assumptions (NG)'!$V$12),IPMT('Assumptions (NG)'!$V$9,Model!AB$1,'Assumptions (NG)'!$V$12,'Assumptions (NG)'!$V$7*(Model!$AZ$438*AVERAGE('Assumptions (NG)'!$AV$2:$AX$2))/10^9),0)+IF(and($AZ$439&gt;0,Model!AB$1&lt;='Assumptions (NG)'!$V$12),IPMT('Assumptions (NG)'!$V$9,Model!AB$1,'Assumptions (NG)'!$V$12,'Assumptions (NG)'!$V$7*(Model!$AZ$439*AVERAGE('Assumptions (NG)'!$AV$3:$AX$3))/10^9),0)</f>
        <v>-0.07797196612</v>
      </c>
      <c r="BF597" s="224">
        <f>IF(and($AZ$438&gt;0,Model!AC$1&lt;='Assumptions (NG)'!$V$12),IPMT('Assumptions (NG)'!$V$9,Model!AC$1,'Assumptions (NG)'!$V$12,'Assumptions (NG)'!$V$7*(Model!$AZ$438*AVERAGE('Assumptions (NG)'!$AV$2:$AX$2))/10^9),0)+IF(and($AZ$439&gt;0,Model!AC$1&lt;='Assumptions (NG)'!$V$12),IPMT('Assumptions (NG)'!$V$9,Model!AC$1,'Assumptions (NG)'!$V$12,'Assumptions (NG)'!$V$7*(Model!$AZ$439*AVERAGE('Assumptions (NG)'!$AV$3:$AX$3))/10^9),0)</f>
        <v>-0.06454794458</v>
      </c>
      <c r="BG597" s="224">
        <f>IF(and($AZ$438&gt;0,Model!AD$1&lt;='Assumptions (NG)'!$V$12),IPMT('Assumptions (NG)'!$V$9,Model!AD$1,'Assumptions (NG)'!$V$12,'Assumptions (NG)'!$V$7*(Model!$AZ$438*AVERAGE('Assumptions (NG)'!$AV$2:$AX$2))/10^9),0)+IF(and($AZ$439&gt;0,Model!AD$1&lt;='Assumptions (NG)'!$V$12),IPMT('Assumptions (NG)'!$V$9,Model!AD$1,'Assumptions (NG)'!$V$12,'Assumptions (NG)'!$V$7*(Model!$AZ$439*AVERAGE('Assumptions (NG)'!$AV$3:$AX$3))/10^9),0)</f>
        <v>-0.05011712142</v>
      </c>
      <c r="BH597" s="224">
        <f>IF(and($AZ$438&gt;0,Model!AE$1&lt;='Assumptions (NG)'!$V$12),IPMT('Assumptions (NG)'!$V$9,Model!AE$1,'Assumptions (NG)'!$V$12,'Assumptions (NG)'!$V$7*(Model!$AZ$438*AVERAGE('Assumptions (NG)'!$AV$2:$AX$2))/10^9),0)+IF(and($AZ$439&gt;0,Model!AE$1&lt;='Assumptions (NG)'!$V$12),IPMT('Assumptions (NG)'!$V$9,Model!AE$1,'Assumptions (NG)'!$V$12,'Assumptions (NG)'!$V$7*(Model!$AZ$439*AVERAGE('Assumptions (NG)'!$AV$3:$AX$3))/10^9),0)</f>
        <v>-0.03460398653</v>
      </c>
      <c r="BI597" s="224">
        <f>IF(and($AZ$438&gt;0,Model!AF$1&lt;='Assumptions (NG)'!$V$12),IPMT('Assumptions (NG)'!$V$9,Model!AF$1,'Assumptions (NG)'!$V$12,'Assumptions (NG)'!$V$7*(Model!$AZ$438*AVERAGE('Assumptions (NG)'!$AV$2:$AX$2))/10^9),0)+IF(and($AZ$439&gt;0,Model!AF$1&lt;='Assumptions (NG)'!$V$12),IPMT('Assumptions (NG)'!$V$9,Model!AF$1,'Assumptions (NG)'!$V$12,'Assumptions (NG)'!$V$7*(Model!$AZ$439*AVERAGE('Assumptions (NG)'!$AV$3:$AX$3))/10^9),0)</f>
        <v>-0.01792736651</v>
      </c>
      <c r="BJ597" s="224"/>
      <c r="BK597" s="224"/>
      <c r="BL597" s="224"/>
      <c r="BM597" s="224"/>
      <c r="BN597" s="224"/>
      <c r="BO597" s="177"/>
      <c r="BP597" s="160"/>
      <c r="BQ597" s="160"/>
      <c r="BR597" s="160"/>
      <c r="BS597" s="160"/>
      <c r="BT597" s="160"/>
      <c r="BU597" s="160"/>
      <c r="BV597" s="160"/>
      <c r="BW597" s="160"/>
      <c r="BX597" s="160"/>
    </row>
    <row r="598" ht="15.75" hidden="1" customHeight="1" outlineLevel="1">
      <c r="A598" s="209"/>
      <c r="B598" s="38"/>
      <c r="C598" s="174"/>
      <c r="D598" s="174"/>
      <c r="E598" s="174"/>
      <c r="F598" s="174"/>
      <c r="G598" s="174"/>
      <c r="H598" s="174"/>
      <c r="I598" s="174"/>
      <c r="J598" s="174"/>
      <c r="L598" s="225"/>
      <c r="M598" s="225"/>
      <c r="N598" s="225"/>
      <c r="O598" s="225"/>
      <c r="P598" s="225"/>
      <c r="Q598" s="225"/>
      <c r="R598" s="225"/>
      <c r="S598" s="225"/>
      <c r="T598" s="225"/>
      <c r="U598" s="225"/>
      <c r="V598" s="225"/>
      <c r="W598" s="177"/>
      <c r="X598" s="177"/>
      <c r="Y598" s="177"/>
      <c r="Z598" s="177"/>
      <c r="AA598" s="177"/>
      <c r="AB598" s="177"/>
      <c r="AC598" s="177"/>
      <c r="AD598" s="177"/>
      <c r="AE598" s="177"/>
      <c r="AF598" s="177"/>
      <c r="AG598" s="177"/>
      <c r="AH598" s="177"/>
      <c r="AI598" s="177"/>
      <c r="AJ598" s="177"/>
      <c r="AK598" s="177"/>
      <c r="AL598" s="177"/>
      <c r="AM598" s="177"/>
      <c r="AN598" s="177"/>
      <c r="AO598" s="177"/>
      <c r="AP598" s="177"/>
      <c r="AQ598" s="177"/>
      <c r="AR598" s="177"/>
      <c r="AS598" s="177"/>
      <c r="AT598" s="177"/>
      <c r="AU598" s="177"/>
      <c r="AV598" s="177"/>
      <c r="AW598" s="177"/>
      <c r="AX598" s="177"/>
      <c r="AY598" s="177"/>
      <c r="AZ598" s="177"/>
      <c r="BA598" s="224">
        <f>IF(and($BA$438&gt;0,Model!W$1&lt;='Assumptions (NG)'!$V$12),IPMT('Assumptions (NG)'!$V$9,Model!W$1,'Assumptions (NG)'!$V$12,'Assumptions (NG)'!$V$7*(Model!$BA$438*AVERAGE('Assumptions (NG)'!$AW$2:$AY$2))/10^9),0)+IF(and($BA$439&gt;0,Model!W$1&lt;='Assumptions (NG)'!$V$12),IPMT('Assumptions (NG)'!$V$9,Model!W$1,'Assumptions (NG)'!$V$12,'Assumptions (NG)'!$V$7*(Model!$BA$439*AVERAGE('Assumptions (NG)'!$AW$3:$AY$3))/10^9),0)</f>
        <v>-0.5121998176</v>
      </c>
      <c r="BB598" s="224">
        <f>IF(and($BA$438&gt;0,Model!X$1&lt;='Assumptions (NG)'!$V$12),IPMT('Assumptions (NG)'!$V$9,Model!X$1,'Assumptions (NG)'!$V$12,'Assumptions (NG)'!$V$7*(Model!$BA$438*AVERAGE('Assumptions (NG)'!$AW$2:$AY$2))/10^9),0)+IF(and($BA$439&gt;0,Model!X$1&lt;='Assumptions (NG)'!$V$12),IPMT('Assumptions (NG)'!$V$9,Model!X$1,'Assumptions (NG)'!$V$12,'Assumptions (NG)'!$V$7*(Model!$BA$439*AVERAGE('Assumptions (NG)'!$AW$3:$AY$3))/10^9),0)</f>
        <v>-0.4759944985</v>
      </c>
      <c r="BC598" s="224">
        <f>IF(and($BA$438&gt;0,Model!Y$1&lt;='Assumptions (NG)'!$V$12),IPMT('Assumptions (NG)'!$V$9,Model!Y$1,'Assumptions (NG)'!$V$12,'Assumptions (NG)'!$V$7*(Model!$BA$438*AVERAGE('Assumptions (NG)'!$AW$2:$AY$2))/10^9),0)+IF(and($BA$439&gt;0,Model!Y$1&lt;='Assumptions (NG)'!$V$12),IPMT('Assumptions (NG)'!$V$9,Model!Y$1,'Assumptions (NG)'!$V$12,'Assumptions (NG)'!$V$7*(Model!$BA$439*AVERAGE('Assumptions (NG)'!$AW$3:$AY$3))/10^9),0)</f>
        <v>-0.4370737804</v>
      </c>
      <c r="BD598" s="224">
        <f>IF(and($BA$438&gt;0,Model!Z$1&lt;='Assumptions (NG)'!$V$12),IPMT('Assumptions (NG)'!$V$9,Model!Z$1,'Assumptions (NG)'!$V$12,'Assumptions (NG)'!$V$7*(Model!$BA$438*AVERAGE('Assumptions (NG)'!$AW$2:$AY$2))/10^9),0)+IF(and($BA$439&gt;0,Model!Z$1&lt;='Assumptions (NG)'!$V$12),IPMT('Assumptions (NG)'!$V$9,Model!Z$1,'Assumptions (NG)'!$V$12,'Assumptions (NG)'!$V$7*(Model!$BA$439*AVERAGE('Assumptions (NG)'!$AW$3:$AY$3))/10^9),0)</f>
        <v>-0.3952340085</v>
      </c>
      <c r="BE598" s="224">
        <f>IF(and($BA$438&gt;0,Model!AA$1&lt;='Assumptions (NG)'!$V$12),IPMT('Assumptions (NG)'!$V$9,Model!AA$1,'Assumptions (NG)'!$V$12,'Assumptions (NG)'!$V$7*(Model!$BA$438*AVERAGE('Assumptions (NG)'!$AW$2:$AY$2))/10^9),0)+IF(and($BA$439&gt;0,Model!AA$1&lt;='Assumptions (NG)'!$V$12),IPMT('Assumptions (NG)'!$V$9,Model!AA$1,'Assumptions (NG)'!$V$12,'Assumptions (NG)'!$V$7*(Model!$BA$439*AVERAGE('Assumptions (NG)'!$AW$3:$AY$3))/10^9),0)</f>
        <v>-0.3502562537</v>
      </c>
      <c r="BF598" s="224">
        <f>IF(and($BA$438&gt;0,Model!AB$1&lt;='Assumptions (NG)'!$V$12),IPMT('Assumptions (NG)'!$V$9,Model!AB$1,'Assumptions (NG)'!$V$12,'Assumptions (NG)'!$V$7*(Model!$BA$438*AVERAGE('Assumptions (NG)'!$AW$2:$AY$2))/10^9),0)+IF(and($BA$439&gt;0,Model!AB$1&lt;='Assumptions (NG)'!$V$12),IPMT('Assumptions (NG)'!$V$9,Model!AB$1,'Assumptions (NG)'!$V$12,'Assumptions (NG)'!$V$7*(Model!$BA$439*AVERAGE('Assumptions (NG)'!$AW$3:$AY$3))/10^9),0)</f>
        <v>-0.3019051672</v>
      </c>
      <c r="BG598" s="224">
        <f>IF(and($BA$438&gt;0,Model!AC$1&lt;='Assumptions (NG)'!$V$12),IPMT('Assumptions (NG)'!$V$9,Model!AC$1,'Assumptions (NG)'!$V$12,'Assumptions (NG)'!$V$7*(Model!$BA$438*AVERAGE('Assumptions (NG)'!$AW$2:$AY$2))/10^9),0)+IF(and($BA$439&gt;0,Model!AC$1&lt;='Assumptions (NG)'!$V$12),IPMT('Assumptions (NG)'!$V$9,Model!AC$1,'Assumptions (NG)'!$V$12,'Assumptions (NG)'!$V$7*(Model!$BA$439*AVERAGE('Assumptions (NG)'!$AW$3:$AY$3))/10^9),0)</f>
        <v>-0.2499277493</v>
      </c>
      <c r="BH598" s="224">
        <f>IF(and($BA$438&gt;0,Model!AD$1&lt;='Assumptions (NG)'!$V$12),IPMT('Assumptions (NG)'!$V$9,Model!AD$1,'Assumptions (NG)'!$V$12,'Assumptions (NG)'!$V$7*(Model!$BA$438*AVERAGE('Assumptions (NG)'!$AW$2:$AY$2))/10^9),0)+IF(and($BA$439&gt;0,Model!AD$1&lt;='Assumptions (NG)'!$V$12),IPMT('Assumptions (NG)'!$V$9,Model!AD$1,'Assumptions (NG)'!$V$12,'Assumptions (NG)'!$V$7*(Model!$BA$439*AVERAGE('Assumptions (NG)'!$AW$3:$AY$3))/10^9),0)</f>
        <v>-0.1940520251</v>
      </c>
      <c r="BI598" s="224">
        <f>IF(and($BA$438&gt;0,Model!AE$1&lt;='Assumptions (NG)'!$V$12),IPMT('Assumptions (NG)'!$V$9,Model!AE$1,'Assumptions (NG)'!$V$12,'Assumptions (NG)'!$V$7*(Model!$BA$438*AVERAGE('Assumptions (NG)'!$AW$2:$AY$2))/10^9),0)+IF(and($BA$439&gt;0,Model!AE$1&lt;='Assumptions (NG)'!$V$12),IPMT('Assumptions (NG)'!$V$9,Model!AE$1,'Assumptions (NG)'!$V$12,'Assumptions (NG)'!$V$7*(Model!$BA$439*AVERAGE('Assumptions (NG)'!$AW$3:$AY$3))/10^9),0)</f>
        <v>-0.1339856215</v>
      </c>
      <c r="BJ598" s="224">
        <f>IF(and($BA$438&gt;0,Model!AF$1&lt;='Assumptions (NG)'!$V$12),IPMT('Assumptions (NG)'!$V$9,Model!AF$1,'Assumptions (NG)'!$V$12,'Assumptions (NG)'!$V$7*(Model!$BA$438*AVERAGE('Assumptions (NG)'!$AW$2:$AY$2))/10^9),0)+IF(and($BA$439&gt;0,Model!AF$1&lt;='Assumptions (NG)'!$V$12),IPMT('Assumptions (NG)'!$V$9,Model!AF$1,'Assumptions (NG)'!$V$12,'Assumptions (NG)'!$V$7*(Model!$BA$439*AVERAGE('Assumptions (NG)'!$AW$3:$AY$3))/10^9),0)</f>
        <v>-0.06941423763</v>
      </c>
      <c r="BK598" s="224"/>
      <c r="BL598" s="224"/>
      <c r="BM598" s="224"/>
      <c r="BN598" s="224"/>
      <c r="BO598" s="224"/>
      <c r="BP598" s="160"/>
      <c r="BQ598" s="160"/>
      <c r="BR598" s="160"/>
      <c r="BS598" s="160"/>
      <c r="BT598" s="160"/>
      <c r="BU598" s="160"/>
      <c r="BV598" s="160"/>
      <c r="BW598" s="160"/>
      <c r="BX598" s="160"/>
      <c r="BY598" s="160"/>
    </row>
    <row r="599" ht="15.75" customHeight="1" collapsed="1">
      <c r="A599" s="207" t="s">
        <v>361</v>
      </c>
      <c r="B599" s="150" t="s">
        <v>351</v>
      </c>
      <c r="C599" s="160">
        <f t="shared" ref="C599:BP599" si="29">SUM(C600:C650)</f>
        <v>0.06445187751</v>
      </c>
      <c r="D599" s="160">
        <f t="shared" si="29"/>
        <v>0.2097462676</v>
      </c>
      <c r="E599" s="160">
        <f t="shared" si="29"/>
        <v>0.4814312526</v>
      </c>
      <c r="F599" s="160">
        <f t="shared" si="29"/>
        <v>0.900320439</v>
      </c>
      <c r="G599" s="160">
        <f t="shared" si="29"/>
        <v>1.149345592</v>
      </c>
      <c r="H599" s="160">
        <f t="shared" si="29"/>
        <v>1.155200428</v>
      </c>
      <c r="I599" s="160">
        <f t="shared" si="29"/>
        <v>1.113912752</v>
      </c>
      <c r="J599" s="160">
        <f t="shared" si="29"/>
        <v>1.04204751</v>
      </c>
      <c r="K599" s="160">
        <f t="shared" si="29"/>
        <v>0.2431354345</v>
      </c>
      <c r="L599" s="160">
        <f t="shared" si="29"/>
        <v>0.9720055893</v>
      </c>
      <c r="M599" s="160">
        <f t="shared" si="29"/>
        <v>1.004261149</v>
      </c>
      <c r="N599" s="160">
        <f t="shared" si="29"/>
        <v>1.122015795</v>
      </c>
      <c r="O599" s="160">
        <f t="shared" si="29"/>
        <v>1.351477181</v>
      </c>
      <c r="P599" s="160">
        <f t="shared" si="29"/>
        <v>1.506535641</v>
      </c>
      <c r="Q599" s="160">
        <f t="shared" si="29"/>
        <v>1.509851929</v>
      </c>
      <c r="R599" s="160">
        <f t="shared" si="29"/>
        <v>1.447720544</v>
      </c>
      <c r="S599" s="160">
        <f t="shared" si="29"/>
        <v>1.30566732</v>
      </c>
      <c r="T599" s="160">
        <f t="shared" si="29"/>
        <v>1.093508193</v>
      </c>
      <c r="U599" s="160">
        <f t="shared" si="29"/>
        <v>0.9078648405</v>
      </c>
      <c r="V599" s="160">
        <f t="shared" si="29"/>
        <v>0.800698154</v>
      </c>
      <c r="W599" s="160">
        <f t="shared" si="29"/>
        <v>0.7065756479</v>
      </c>
      <c r="X599" s="160">
        <f t="shared" si="29"/>
        <v>0.7038657875</v>
      </c>
      <c r="Y599" s="160">
        <f t="shared" si="29"/>
        <v>0.7565276451</v>
      </c>
      <c r="Z599" s="160">
        <f t="shared" si="29"/>
        <v>0.7795691958</v>
      </c>
      <c r="AA599" s="160">
        <f t="shared" si="29"/>
        <v>0.8108915948</v>
      </c>
      <c r="AB599" s="160">
        <f t="shared" si="29"/>
        <v>0.8283269582</v>
      </c>
      <c r="AC599" s="160">
        <f t="shared" si="29"/>
        <v>0.7913271799</v>
      </c>
      <c r="AD599" s="160">
        <f t="shared" si="29"/>
        <v>0.6837110682</v>
      </c>
      <c r="AE599" s="160">
        <f t="shared" si="29"/>
        <v>0.611015768</v>
      </c>
      <c r="AF599" s="160">
        <f t="shared" si="29"/>
        <v>0.6207632263</v>
      </c>
      <c r="AG599" s="160">
        <f t="shared" si="29"/>
        <v>0.6519381699</v>
      </c>
      <c r="AH599" s="160">
        <f t="shared" si="29"/>
        <v>0.7028665612</v>
      </c>
      <c r="AI599" s="160">
        <f t="shared" si="29"/>
        <v>0.7583260717</v>
      </c>
      <c r="AJ599" s="160">
        <f t="shared" si="29"/>
        <v>0.7614719391</v>
      </c>
      <c r="AK599" s="160">
        <f t="shared" si="29"/>
        <v>0.7699544855</v>
      </c>
      <c r="AL599" s="160">
        <f t="shared" si="29"/>
        <v>0.8435148317</v>
      </c>
      <c r="AM599" s="160">
        <f t="shared" si="29"/>
        <v>1.012376442</v>
      </c>
      <c r="AN599" s="160">
        <f t="shared" si="29"/>
        <v>1.328905503</v>
      </c>
      <c r="AO599" s="160">
        <f t="shared" si="29"/>
        <v>1.936211165</v>
      </c>
      <c r="AP599" s="160">
        <f t="shared" si="29"/>
        <v>2.855753382</v>
      </c>
      <c r="AQ599" s="160">
        <f t="shared" si="29"/>
        <v>3.406567883</v>
      </c>
      <c r="AR599" s="160">
        <f t="shared" si="29"/>
        <v>3.438126819</v>
      </c>
      <c r="AS599" s="160">
        <f t="shared" si="29"/>
        <v>3.369676001</v>
      </c>
      <c r="AT599" s="160">
        <f t="shared" si="29"/>
        <v>3.233438514</v>
      </c>
      <c r="AU599" s="160">
        <f t="shared" si="29"/>
        <v>3.141217914</v>
      </c>
      <c r="AV599" s="160">
        <f t="shared" si="29"/>
        <v>3.118964684</v>
      </c>
      <c r="AW599" s="160">
        <f t="shared" si="29"/>
        <v>3.205351094</v>
      </c>
      <c r="AX599" s="160">
        <f t="shared" si="29"/>
        <v>3.472536462</v>
      </c>
      <c r="AY599" s="160">
        <f t="shared" si="29"/>
        <v>3.967298279</v>
      </c>
      <c r="AZ599" s="160">
        <f t="shared" si="29"/>
        <v>4.300990398</v>
      </c>
      <c r="BA599" s="160">
        <f t="shared" si="29"/>
        <v>4.314409876</v>
      </c>
      <c r="BB599" s="160">
        <f t="shared" si="29"/>
        <v>4.132332358</v>
      </c>
      <c r="BC599" s="160">
        <f t="shared" si="29"/>
        <v>3.727520813</v>
      </c>
      <c r="BD599" s="160">
        <f t="shared" si="29"/>
        <v>3.179276373</v>
      </c>
      <c r="BE599" s="160">
        <f t="shared" si="29"/>
        <v>2.460171781</v>
      </c>
      <c r="BF599" s="160">
        <f t="shared" si="29"/>
        <v>1.943808479</v>
      </c>
      <c r="BG599" s="160">
        <f t="shared" si="29"/>
        <v>1.72183286</v>
      </c>
      <c r="BH599" s="160">
        <f t="shared" si="29"/>
        <v>1.56981219</v>
      </c>
      <c r="BI599" s="160">
        <f t="shared" si="29"/>
        <v>1.474572113</v>
      </c>
      <c r="BJ599" s="160">
        <f t="shared" si="29"/>
        <v>1.382023029</v>
      </c>
      <c r="BK599" s="160">
        <f t="shared" si="29"/>
        <v>1.289599716</v>
      </c>
      <c r="BL599" s="160">
        <f t="shared" si="29"/>
        <v>1.159284369</v>
      </c>
      <c r="BM599" s="160">
        <f t="shared" si="29"/>
        <v>0.926177383</v>
      </c>
      <c r="BN599" s="160">
        <f t="shared" si="29"/>
        <v>0.5424607294</v>
      </c>
      <c r="BO599" s="160">
        <f t="shared" si="29"/>
        <v>0.2250614192</v>
      </c>
      <c r="BP599" s="160">
        <f t="shared" si="29"/>
        <v>0.07726971066</v>
      </c>
      <c r="BQ599" s="160"/>
      <c r="BR599" s="160"/>
    </row>
    <row r="600" ht="15.75" hidden="1" customHeight="1" outlineLevel="1">
      <c r="A600" s="209"/>
      <c r="B600" s="38"/>
      <c r="C600" s="177">
        <f>IF($C$438&gt;0,'Assumptions (NG)'!V$13*Model!$C$438*('Assumptions (NG)'!$B$2*'Assumptions (NG)'!$B$17+'Assumptions (NG)'!$B$3*'Assumptions (NG)'!$B$18)/10^9,0)</f>
        <v>0.06445187751</v>
      </c>
      <c r="D600" s="177">
        <f>IF($C$438&gt;0,'Assumptions (NG)'!W$13*Model!$C$438*('Assumptions (NG)'!$B$2*'Assumptions (NG)'!$B$17+'Assumptions (NG)'!$B$3*'Assumptions (NG)'!$B$18)/10^9,0)</f>
        <v>0.1224585673</v>
      </c>
      <c r="E600" s="177">
        <f>IF($C$438&gt;0,'Assumptions (NG)'!X$13*Model!$C$438*('Assumptions (NG)'!$B$2*'Assumptions (NG)'!$B$17+'Assumptions (NG)'!$B$3*'Assumptions (NG)'!$B$18)/10^9,0)</f>
        <v>0.1102127105</v>
      </c>
      <c r="F600" s="177">
        <f>IF($C$438&gt;0,'Assumptions (NG)'!Y$13*Model!$C$438*('Assumptions (NG)'!$B$2*'Assumptions (NG)'!$B$17+'Assumptions (NG)'!$B$3*'Assumptions (NG)'!$B$18)/10^9,0)</f>
        <v>0.09925589137</v>
      </c>
      <c r="G600" s="177">
        <f>IF($C$438&gt;0,'Assumptions (NG)'!Z$13*Model!$C$438*('Assumptions (NG)'!$B$2*'Assumptions (NG)'!$B$17+'Assumptions (NG)'!$B$3*'Assumptions (NG)'!$B$18)/10^9,0)</f>
        <v>0.08933030223</v>
      </c>
      <c r="H600" s="177">
        <f>IF($C$438&gt;0,'Assumptions (NG)'!AA$13*Model!$C$438*('Assumptions (NG)'!$B$2*'Assumptions (NG)'!$B$17+'Assumptions (NG)'!$B$3*'Assumptions (NG)'!$B$18)/10^9,0)</f>
        <v>0.08030703938</v>
      </c>
      <c r="I600" s="177">
        <f>IF($C$438&gt;0,'Assumptions (NG)'!AB$13*Model!$C$438*('Assumptions (NG)'!$B$2*'Assumptions (NG)'!$B$17+'Assumptions (NG)'!$B$3*'Assumptions (NG)'!$B$18)/10^9,0)</f>
        <v>0.07605321546</v>
      </c>
      <c r="J600" s="177">
        <f>IF($C$438&gt;0,'Assumptions (NG)'!AC$13*Model!$C$438*('Assumptions (NG)'!$B$2*'Assumptions (NG)'!$B$17+'Assumptions (NG)'!$B$3*'Assumptions (NG)'!$B$18)/10^9,0)</f>
        <v>0.07605321546</v>
      </c>
      <c r="K600" s="226" t="s">
        <v>395</v>
      </c>
      <c r="L600" s="177">
        <f>IF($C$438&gt;0,'Assumptions (NG)'!AE$13*Model!$C$438*('Assumptions (NG)'!$B$2*'Assumptions (NG)'!$B$17+'Assumptions (NG)'!$B$3*'Assumptions (NG)'!$B$18)/10^9,0)</f>
        <v>0.07605321546</v>
      </c>
      <c r="M600" s="177">
        <f>IF($C$438&gt;0,'Assumptions (NG)'!AF$13*Model!$C$438*('Assumptions (NG)'!$B$2*'Assumptions (NG)'!$B$17+'Assumptions (NG)'!$B$3*'Assumptions (NG)'!$B$18)/10^9,0)</f>
        <v>0.07618211922</v>
      </c>
      <c r="N600" s="177">
        <f>IF($C$438&gt;0,'Assumptions (NG)'!AG$13*Model!$C$438*('Assumptions (NG)'!$B$2*'Assumptions (NG)'!$B$17+'Assumptions (NG)'!$B$3*'Assumptions (NG)'!$B$18)/10^9,0)</f>
        <v>0.07605321546</v>
      </c>
      <c r="O600" s="177">
        <f>IF($C$438&gt;0,'Assumptions (NG)'!AH$13*Model!$C$438*('Assumptions (NG)'!$B$2*'Assumptions (NG)'!$B$17+'Assumptions (NG)'!$B$3*'Assumptions (NG)'!$B$18)/10^9,0)</f>
        <v>0.07618211922</v>
      </c>
      <c r="P600" s="177">
        <f>IF($C$438&gt;0,'Assumptions (NG)'!AI$13*Model!$C$438*('Assumptions (NG)'!$B$2*'Assumptions (NG)'!$B$17+'Assumptions (NG)'!$B$3*'Assumptions (NG)'!$B$18)/10^9,0)</f>
        <v>0.07605321546</v>
      </c>
      <c r="Q600" s="177">
        <f>IF($C$438&gt;0,'Assumptions (NG)'!AJ$13*Model!$C$438*('Assumptions (NG)'!$B$2*'Assumptions (NG)'!$B$17+'Assumptions (NG)'!$B$3*'Assumptions (NG)'!$B$18)/10^9,0)</f>
        <v>0.07618211922</v>
      </c>
      <c r="R600" s="177">
        <f>IF($C$438&gt;0,'Assumptions (NG)'!AK$13*Model!$C$438*('Assumptions (NG)'!$B$2*'Assumptions (NG)'!$B$17+'Assumptions (NG)'!$B$3*'Assumptions (NG)'!$B$18)/10^9,0)</f>
        <v>0.03802660773</v>
      </c>
      <c r="S600" s="177"/>
      <c r="T600" s="177"/>
      <c r="U600" s="177"/>
      <c r="V600" s="177"/>
      <c r="W600" s="177"/>
      <c r="X600" s="177"/>
      <c r="Y600" s="177"/>
      <c r="Z600" s="177"/>
      <c r="AA600" s="177"/>
      <c r="AB600" s="160"/>
      <c r="AC600" s="160"/>
      <c r="AD600" s="160"/>
      <c r="AE600" s="160"/>
      <c r="AF600" s="160"/>
      <c r="AG600" s="160"/>
      <c r="AO600" s="160"/>
      <c r="AP600" s="160"/>
      <c r="AQ600" s="160"/>
      <c r="AR600" s="160"/>
      <c r="AS600" s="160"/>
      <c r="AT600" s="160"/>
      <c r="AU600" s="160"/>
      <c r="AV600" s="160"/>
      <c r="AW600" s="160"/>
      <c r="AX600" s="160"/>
      <c r="AY600" s="160"/>
      <c r="AZ600" s="160"/>
      <c r="BA600" s="160"/>
    </row>
    <row r="601" ht="15.75" hidden="1" customHeight="1" outlineLevel="1">
      <c r="A601" s="209"/>
      <c r="B601" s="38"/>
      <c r="C601" s="160"/>
      <c r="D601" s="177">
        <f>IF($D$438&gt;0,'Assumptions (NG)'!V$13*Model!$D$438*('Assumptions (NG)'!$B$2*'Assumptions (NG)'!$C$17+'Assumptions (NG)'!$B$3*'Assumptions (NG)'!$C$18)/10^9,0)</f>
        <v>0.0872877003</v>
      </c>
      <c r="E601" s="177">
        <f>IF($D$438&gt;0,'Assumptions (NG)'!W$13*Model!$D$438*('Assumptions (NG)'!$B$2*'Assumptions (NG)'!$C$17+'Assumptions (NG)'!$B$3*'Assumptions (NG)'!$C$18)/10^9,0)</f>
        <v>0.1658466306</v>
      </c>
      <c r="F601" s="177">
        <f>IF($D$438&gt;0,'Assumptions (NG)'!X$13*Model!$D$438*('Assumptions (NG)'!$B$2*'Assumptions (NG)'!$C$17+'Assumptions (NG)'!$B$3*'Assumptions (NG)'!$C$18)/10^9,0)</f>
        <v>0.1492619675</v>
      </c>
      <c r="G601" s="177">
        <f>IF($D$438&gt;0,'Assumptions (NG)'!Y$13*Model!$D$438*('Assumptions (NG)'!$B$2*'Assumptions (NG)'!$C$17+'Assumptions (NG)'!$B$3*'Assumptions (NG)'!$C$18)/10^9,0)</f>
        <v>0.1344230585</v>
      </c>
      <c r="H601" s="177">
        <f>IF($D$438&gt;0,'Assumptions (NG)'!Z$13*Model!$D$438*('Assumptions (NG)'!$B$2*'Assumptions (NG)'!$C$17+'Assumptions (NG)'!$B$3*'Assumptions (NG)'!$C$18)/10^9,0)</f>
        <v>0.1209807526</v>
      </c>
      <c r="I601" s="177">
        <f>IF($D$438&gt;0,'Assumptions (NG)'!AA$13*Model!$D$438*('Assumptions (NG)'!$B$2*'Assumptions (NG)'!$C$17+'Assumptions (NG)'!$B$3*'Assumptions (NG)'!$C$18)/10^9,0)</f>
        <v>0.1087604746</v>
      </c>
      <c r="J601" s="177">
        <f>IF($D$438&gt;0,'Assumptions (NG)'!AB$13*Model!$D$438*('Assumptions (NG)'!$B$2*'Assumptions (NG)'!$C$17+'Assumptions (NG)'!$B$3*'Assumptions (NG)'!$C$18)/10^9,0)</f>
        <v>0.1029994863</v>
      </c>
      <c r="K601" s="226" t="s">
        <v>396</v>
      </c>
      <c r="L601" s="177">
        <f>IF($D$438&gt;0,'Assumptions (NG)'!AD$13*Model!$D$438*('Assumptions (NG)'!$B$2*'Assumptions (NG)'!$C$17+'Assumptions (NG)'!$B$3*'Assumptions (NG)'!$C$18)/10^9,0)</f>
        <v>0.1031740617</v>
      </c>
      <c r="M601" s="177">
        <f>IF($D$438&gt;0,'Assumptions (NG)'!AE$13*Model!$D$438*('Assumptions (NG)'!$B$2*'Assumptions (NG)'!$C$17+'Assumptions (NG)'!$B$3*'Assumptions (NG)'!$C$18)/10^9,0)</f>
        <v>0.1029994863</v>
      </c>
      <c r="N601" s="177">
        <f>IF($D$438&gt;0,'Assumptions (NG)'!AF$13*Model!$D$438*('Assumptions (NG)'!$B$2*'Assumptions (NG)'!$C$17+'Assumptions (NG)'!$B$3*'Assumptions (NG)'!$C$18)/10^9,0)</f>
        <v>0.1031740617</v>
      </c>
      <c r="O601" s="177">
        <f>IF($D$438&gt;0,'Assumptions (NG)'!AG$13*Model!$D$438*('Assumptions (NG)'!$B$2*'Assumptions (NG)'!$C$17+'Assumptions (NG)'!$B$3*'Assumptions (NG)'!$C$18)/10^9,0)</f>
        <v>0.1029994863</v>
      </c>
      <c r="P601" s="177">
        <f>IF($D$438&gt;0,'Assumptions (NG)'!AH$13*Model!$D$438*('Assumptions (NG)'!$B$2*'Assumptions (NG)'!$C$17+'Assumptions (NG)'!$B$3*'Assumptions (NG)'!$C$18)/10^9,0)</f>
        <v>0.1031740617</v>
      </c>
      <c r="Q601" s="177">
        <f>IF($D$438&gt;0,'Assumptions (NG)'!AI$13*Model!$D$438*('Assumptions (NG)'!$B$2*'Assumptions (NG)'!$C$17+'Assumptions (NG)'!$B$3*'Assumptions (NG)'!$C$18)/10^9,0)</f>
        <v>0.1029994863</v>
      </c>
      <c r="R601" s="177">
        <f>IF($D$438&gt;0,'Assumptions (NG)'!AJ$13*Model!$D$438*('Assumptions (NG)'!$B$2*'Assumptions (NG)'!$C$17+'Assumptions (NG)'!$B$3*'Assumptions (NG)'!$C$18)/10^9,0)</f>
        <v>0.1031740617</v>
      </c>
      <c r="S601" s="177">
        <f>IF($D$438&gt;0,'Assumptions (NG)'!AK$13*Model!$D$438*('Assumptions (NG)'!$B$2*'Assumptions (NG)'!$C$17+'Assumptions (NG)'!$B$3*'Assumptions (NG)'!$C$18)/10^9,0)</f>
        <v>0.05149974317</v>
      </c>
      <c r="T601" s="177"/>
      <c r="U601" s="177"/>
      <c r="V601" s="177"/>
      <c r="W601" s="177"/>
      <c r="X601" s="177"/>
      <c r="Y601" s="177"/>
      <c r="Z601" s="177"/>
      <c r="AA601" s="177"/>
      <c r="AB601" s="177"/>
      <c r="AC601" s="160"/>
      <c r="AD601" s="160"/>
      <c r="AE601" s="160"/>
      <c r="AF601" s="160"/>
      <c r="AG601" s="160"/>
      <c r="AO601" s="160"/>
      <c r="AP601" s="160"/>
      <c r="AQ601" s="160"/>
      <c r="AR601" s="160"/>
      <c r="AS601" s="160"/>
      <c r="AT601" s="160"/>
      <c r="AU601" s="160"/>
      <c r="AV601" s="160"/>
      <c r="AW601" s="160"/>
      <c r="AX601" s="160"/>
      <c r="AY601" s="160"/>
      <c r="AZ601" s="160"/>
      <c r="BA601" s="160"/>
    </row>
    <row r="602" ht="15.75" hidden="1" customHeight="1" outlineLevel="1">
      <c r="A602" s="209"/>
      <c r="B602" s="38"/>
      <c r="C602" s="160"/>
      <c r="D602" s="160"/>
      <c r="E602" s="160">
        <f>IF($E$438&gt;0,'Assumptions (NG)'!V$13*Model!$E$438*(AVERAGE('Assumptions (NG)'!$B$2:$C$2)*'Assumptions (NG)'!$D$17+AVERAGE('Assumptions (NG)'!$B$3:$C$3)*'Assumptions (NG)'!$D$18)/10^9,0)</f>
        <v>0.2053719115</v>
      </c>
      <c r="F602" s="160">
        <f>IF($E$438&gt;0,'Assumptions (NG)'!W$13*Model!$E$438*(AVERAGE('Assumptions (NG)'!$B$2:$C$2)*'Assumptions (NG)'!$D$17+AVERAGE('Assumptions (NG)'!$B$3:$C$3)*'Assumptions (NG)'!$D$18)/10^9,0)</f>
        <v>0.3902066318</v>
      </c>
      <c r="G602" s="160">
        <f>IF($E$438&gt;0,'Assumptions (NG)'!X$13*Model!$E$438*(AVERAGE('Assumptions (NG)'!$B$2:$C$2)*'Assumptions (NG)'!$D$17+AVERAGE('Assumptions (NG)'!$B$3:$C$3)*'Assumptions (NG)'!$D$18)/10^9,0)</f>
        <v>0.3511859686</v>
      </c>
      <c r="H602" s="160">
        <f>IF($E$438&gt;0,'Assumptions (NG)'!Y$13*Model!$E$438*(AVERAGE('Assumptions (NG)'!$B$2:$C$2)*'Assumptions (NG)'!$D$17+AVERAGE('Assumptions (NG)'!$B$3:$C$3)*'Assumptions (NG)'!$D$18)/10^9,0)</f>
        <v>0.3162727437</v>
      </c>
      <c r="I602" s="160">
        <f>IF($E$438&gt;0,'Assumptions (NG)'!Z$13*Model!$E$438*(AVERAGE('Assumptions (NG)'!$B$2:$C$2)*'Assumptions (NG)'!$D$17+AVERAGE('Assumptions (NG)'!$B$3:$C$3)*'Assumptions (NG)'!$D$18)/10^9,0)</f>
        <v>0.2846454693</v>
      </c>
      <c r="J602" s="160">
        <f>IF($E$438&gt;0,'Assumptions (NG)'!AA$13*Model!$E$438*(AVERAGE('Assumptions (NG)'!$B$2:$C$2)*'Assumptions (NG)'!$D$17+AVERAGE('Assumptions (NG)'!$B$3:$C$3)*'Assumptions (NG)'!$D$18)/10^9,0)</f>
        <v>0.2558934017</v>
      </c>
      <c r="K602" s="226" t="s">
        <v>397</v>
      </c>
      <c r="L602" s="160">
        <f>IF($E$438&gt;0,'Assumptions (NG)'!AC$13*Model!$E$438*(AVERAGE('Assumptions (NG)'!$B$2:$C$2)*'Assumptions (NG)'!$D$17+AVERAGE('Assumptions (NG)'!$B$3:$C$3)*'Assumptions (NG)'!$D$18)/10^9,0)</f>
        <v>0.2423388555</v>
      </c>
      <c r="M602" s="160">
        <f>IF($E$438&gt;0,'Assumptions (NG)'!AD$13*Model!$E$438*(AVERAGE('Assumptions (NG)'!$B$2:$C$2)*'Assumptions (NG)'!$D$17+AVERAGE('Assumptions (NG)'!$B$3:$C$3)*'Assumptions (NG)'!$D$18)/10^9,0)</f>
        <v>0.2427495994</v>
      </c>
      <c r="N602" s="160">
        <f>IF($E$438&gt;0,'Assumptions (NG)'!AE$13*Model!$E$438*(AVERAGE('Assumptions (NG)'!$B$2:$C$2)*'Assumptions (NG)'!$D$17+AVERAGE('Assumptions (NG)'!$B$3:$C$3)*'Assumptions (NG)'!$D$18)/10^9,0)</f>
        <v>0.2423388555</v>
      </c>
      <c r="O602" s="160">
        <f>IF($E$438&gt;0,'Assumptions (NG)'!AF$13*Model!$E$438*(AVERAGE('Assumptions (NG)'!$B$2:$C$2)*'Assumptions (NG)'!$D$17+AVERAGE('Assumptions (NG)'!$B$3:$C$3)*'Assumptions (NG)'!$D$18)/10^9,0)</f>
        <v>0.2427495994</v>
      </c>
      <c r="P602" s="160">
        <f>IF($E$438&gt;0,'Assumptions (NG)'!AG$13*Model!$E$438*(AVERAGE('Assumptions (NG)'!$B$2:$C$2)*'Assumptions (NG)'!$D$17+AVERAGE('Assumptions (NG)'!$B$3:$C$3)*'Assumptions (NG)'!$D$18)/10^9,0)</f>
        <v>0.2423388555</v>
      </c>
      <c r="Q602" s="160">
        <f>IF($E$438&gt;0,'Assumptions (NG)'!AH$13*Model!$E$438*(AVERAGE('Assumptions (NG)'!$B$2:$C$2)*'Assumptions (NG)'!$D$17+AVERAGE('Assumptions (NG)'!$B$3:$C$3)*'Assumptions (NG)'!$D$18)/10^9,0)</f>
        <v>0.2427495994</v>
      </c>
      <c r="R602" s="160">
        <f>IF($E$438&gt;0,'Assumptions (NG)'!AI$13*Model!$E$438*(AVERAGE('Assumptions (NG)'!$B$2:$C$2)*'Assumptions (NG)'!$D$17+AVERAGE('Assumptions (NG)'!$B$3:$C$3)*'Assumptions (NG)'!$D$18)/10^9,0)</f>
        <v>0.2423388555</v>
      </c>
      <c r="S602" s="160">
        <f>IF($E$438&gt;0,'Assumptions (NG)'!AJ$13*Model!$E$438*(AVERAGE('Assumptions (NG)'!$B$2:$C$2)*'Assumptions (NG)'!$D$17+AVERAGE('Assumptions (NG)'!$B$3:$C$3)*'Assumptions (NG)'!$D$18)/10^9,0)</f>
        <v>0.2427495994</v>
      </c>
      <c r="T602" s="160">
        <f>IF($E$438&gt;0,'Assumptions (NG)'!AK$13*Model!$E$438*(AVERAGE('Assumptions (NG)'!$B$2:$C$2)*'Assumptions (NG)'!$D$17+AVERAGE('Assumptions (NG)'!$B$3:$C$3)*'Assumptions (NG)'!$D$18)/10^9,0)</f>
        <v>0.1211694278</v>
      </c>
      <c r="U602" s="160"/>
      <c r="V602" s="160"/>
      <c r="W602" s="160"/>
      <c r="X602" s="160"/>
      <c r="Y602" s="160"/>
      <c r="Z602" s="160"/>
      <c r="AA602" s="160"/>
      <c r="AB602" s="160"/>
      <c r="AC602" s="160"/>
      <c r="AD602" s="160"/>
      <c r="AE602" s="160"/>
      <c r="AF602" s="160"/>
      <c r="AG602" s="160"/>
      <c r="AO602" s="160"/>
      <c r="AP602" s="160"/>
      <c r="AQ602" s="160"/>
      <c r="AR602" s="160"/>
      <c r="AS602" s="160"/>
      <c r="AT602" s="160"/>
      <c r="AU602" s="160"/>
      <c r="AV602" s="160"/>
      <c r="AW602" s="160"/>
      <c r="AX602" s="160"/>
      <c r="AY602" s="160"/>
      <c r="AZ602" s="160"/>
      <c r="BA602" s="160"/>
    </row>
    <row r="603" ht="15.75" hidden="1" customHeight="1" outlineLevel="1">
      <c r="A603" s="209"/>
      <c r="B603" s="38"/>
      <c r="C603" s="160"/>
      <c r="D603" s="160"/>
      <c r="E603" s="160"/>
      <c r="F603" s="160">
        <f>IF($F$438&gt;0,'Assumptions (NG)'!V$13*Model!$F$438*('Assumptions (NG)'!$E$17*AVERAGE('Assumptions (NG)'!$B$2:$D$2)+'Assumptions (NG)'!$E$18*AVERAGE('Assumptions (NG)'!$B$3:$D$3))/10^9,0)</f>
        <v>0.2615959483</v>
      </c>
      <c r="G603" s="160">
        <f>IF($F$438&gt;0,'Assumptions (NG)'!W$13*Model!$F$438*('Assumptions (NG)'!$E$17*AVERAGE('Assumptions (NG)'!$B$2:$D$2)+'Assumptions (NG)'!$E$18*AVERAGE('Assumptions (NG)'!$B$3:$D$3))/10^9,0)</f>
        <v>0.4970323018</v>
      </c>
      <c r="H603" s="160">
        <f>IF($F$438&gt;0,'Assumptions (NG)'!X$13*Model!$F$438*('Assumptions (NG)'!$E$17*AVERAGE('Assumptions (NG)'!$B$2:$D$2)+'Assumptions (NG)'!$E$18*AVERAGE('Assumptions (NG)'!$B$3:$D$3))/10^9,0)</f>
        <v>0.4473290717</v>
      </c>
      <c r="I603" s="160">
        <f>IF($F$438&gt;0,'Assumptions (NG)'!Y$13*Model!$F$438*('Assumptions (NG)'!$E$17*AVERAGE('Assumptions (NG)'!$B$2:$D$2)+'Assumptions (NG)'!$E$18*AVERAGE('Assumptions (NG)'!$B$3:$D$3))/10^9,0)</f>
        <v>0.4028577604</v>
      </c>
      <c r="J603" s="160">
        <f>IF($F$438&gt;0,'Assumptions (NG)'!Z$13*Model!$F$438*('Assumptions (NG)'!$E$17*AVERAGE('Assumptions (NG)'!$B$2:$D$2)+'Assumptions (NG)'!$E$18*AVERAGE('Assumptions (NG)'!$B$3:$D$3))/10^9,0)</f>
        <v>0.3625719844</v>
      </c>
      <c r="K603" s="226" t="s">
        <v>398</v>
      </c>
      <c r="L603" s="160">
        <f>IF($F$438&gt;0,'Assumptions (NG)'!AB$13*Model!$F$438*('Assumptions (NG)'!$E$17*AVERAGE('Assumptions (NG)'!$B$2:$D$2)+'Assumptions (NG)'!$E$18*AVERAGE('Assumptions (NG)'!$B$3:$D$3))/10^9,0)</f>
        <v>0.308683219</v>
      </c>
      <c r="M603" s="160">
        <f>IF($F$438&gt;0,'Assumptions (NG)'!AC$13*Model!$F$438*('Assumptions (NG)'!$E$17*AVERAGE('Assumptions (NG)'!$B$2:$D$2)+'Assumptions (NG)'!$E$18*AVERAGE('Assumptions (NG)'!$B$3:$D$3))/10^9,0)</f>
        <v>0.308683219</v>
      </c>
      <c r="N603" s="160">
        <f>IF($F$438&gt;0,'Assumptions (NG)'!AD$13*Model!$F$438*('Assumptions (NG)'!$E$17*AVERAGE('Assumptions (NG)'!$B$2:$D$2)+'Assumptions (NG)'!$E$18*AVERAGE('Assumptions (NG)'!$B$3:$D$3))/10^9,0)</f>
        <v>0.3092064109</v>
      </c>
      <c r="O603" s="160">
        <f>IF($F$438&gt;0,'Assumptions (NG)'!AE$13*Model!$F$438*('Assumptions (NG)'!$E$17*AVERAGE('Assumptions (NG)'!$B$2:$D$2)+'Assumptions (NG)'!$E$18*AVERAGE('Assumptions (NG)'!$B$3:$D$3))/10^9,0)</f>
        <v>0.308683219</v>
      </c>
      <c r="P603" s="160">
        <f>IF($F$438&gt;0,'Assumptions (NG)'!AF$13*Model!$F$438*('Assumptions (NG)'!$E$17*AVERAGE('Assumptions (NG)'!$B$2:$D$2)+'Assumptions (NG)'!$E$18*AVERAGE('Assumptions (NG)'!$B$3:$D$3))/10^9,0)</f>
        <v>0.3092064109</v>
      </c>
      <c r="Q603" s="160">
        <f>IF($F$438&gt;0,'Assumptions (NG)'!AG$13*Model!$F$438*('Assumptions (NG)'!$E$17*AVERAGE('Assumptions (NG)'!$B$2:$D$2)+'Assumptions (NG)'!$E$18*AVERAGE('Assumptions (NG)'!$B$3:$D$3))/10^9,0)</f>
        <v>0.308683219</v>
      </c>
      <c r="R603" s="160">
        <f>IF($F$438&gt;0,'Assumptions (NG)'!AH$13*Model!$F$438*('Assumptions (NG)'!$E$17*AVERAGE('Assumptions (NG)'!$B$2:$D$2)+'Assumptions (NG)'!$E$18*AVERAGE('Assumptions (NG)'!$B$3:$D$3))/10^9,0)</f>
        <v>0.3092064109</v>
      </c>
      <c r="S603" s="160">
        <f>IF($F$438&gt;0,'Assumptions (NG)'!AI$13*Model!$F$438*('Assumptions (NG)'!$E$17*AVERAGE('Assumptions (NG)'!$B$2:$D$2)+'Assumptions (NG)'!$E$18*AVERAGE('Assumptions (NG)'!$B$3:$D$3))/10^9,0)</f>
        <v>0.308683219</v>
      </c>
      <c r="T603" s="160">
        <f>IF($F$438&gt;0,'Assumptions (NG)'!AJ$13*Model!$F$438*('Assumptions (NG)'!$E$17*AVERAGE('Assumptions (NG)'!$B$2:$D$2)+'Assumptions (NG)'!$E$18*AVERAGE('Assumptions (NG)'!$B$3:$D$3))/10^9,0)</f>
        <v>0.3092064109</v>
      </c>
      <c r="U603" s="160">
        <f>IF($F$438&gt;0,'Assumptions (NG)'!AK$13*Model!$F$438*('Assumptions (NG)'!$E$17*AVERAGE('Assumptions (NG)'!$B$2:$D$2)+'Assumptions (NG)'!$E$18*AVERAGE('Assumptions (NG)'!$B$3:$D$3))/10^9,0)</f>
        <v>0.1543416095</v>
      </c>
      <c r="V603" s="160"/>
      <c r="W603" s="160"/>
      <c r="X603" s="160"/>
      <c r="Y603" s="160"/>
      <c r="Z603" s="160"/>
      <c r="AA603" s="160"/>
      <c r="AB603" s="160"/>
      <c r="AC603" s="160"/>
      <c r="AD603" s="160"/>
      <c r="AE603" s="160"/>
      <c r="AF603" s="160"/>
      <c r="AG603" s="160"/>
      <c r="AO603" s="160"/>
      <c r="AP603" s="160"/>
      <c r="AQ603" s="160"/>
      <c r="AR603" s="160"/>
      <c r="AS603" s="160"/>
      <c r="AT603" s="160"/>
      <c r="AU603" s="160"/>
      <c r="AV603" s="160"/>
      <c r="AW603" s="160"/>
      <c r="AX603" s="160"/>
      <c r="AY603" s="160"/>
      <c r="AZ603" s="160"/>
      <c r="BA603" s="160"/>
    </row>
    <row r="604" ht="15.75" hidden="1" customHeight="1" outlineLevel="1">
      <c r="A604" s="209"/>
      <c r="B604" s="38"/>
      <c r="C604" s="160"/>
      <c r="D604" s="160"/>
      <c r="E604" s="160"/>
      <c r="F604" s="160"/>
      <c r="G604" s="160">
        <f>IF($G$438&gt;0,'Assumptions (NG)'!V$13*Model!$G$438*('Assumptions (NG)'!$F$17*AVERAGE('Assumptions (NG)'!$C$2:$E$2)+'Assumptions (NG)'!$F$18*AVERAGE('Assumptions (NG)'!$C$3:$E$3))/10^9,0)</f>
        <v>0.07737396087</v>
      </c>
      <c r="H604" s="160">
        <f>IF($G$438&gt;0,'Assumptions (NG)'!W$13*Model!$G$438*('Assumptions (NG)'!$F$17*AVERAGE('Assumptions (NG)'!$C$2:$E$2)+'Assumptions (NG)'!$F$18*AVERAGE('Assumptions (NG)'!$C$3:$E$3))/10^9,0)</f>
        <v>0.1470105257</v>
      </c>
      <c r="I604" s="160">
        <f>IF($G$438&gt;0,'Assumptions (NG)'!X$13*Model!$G$438*('Assumptions (NG)'!$F$17*AVERAGE('Assumptions (NG)'!$C$2:$E$2)+'Assumptions (NG)'!$F$18*AVERAGE('Assumptions (NG)'!$C$3:$E$3))/10^9,0)</f>
        <v>0.1323094731</v>
      </c>
      <c r="J604" s="160">
        <f>IF($G$438&gt;0,'Assumptions (NG)'!Y$13*Model!$G$438*('Assumptions (NG)'!$F$17*AVERAGE('Assumptions (NG)'!$C$2:$E$2)+'Assumptions (NG)'!$F$18*AVERAGE('Assumptions (NG)'!$C$3:$E$3))/10^9,0)</f>
        <v>0.1191558997</v>
      </c>
      <c r="K604" s="160">
        <f>IF($G$438&gt;0,'Assumptions (NG)'!Z$13*Model!$G$438*('Assumptions (NG)'!$F$17*AVERAGE('Assumptions (NG)'!$C$2:$E$2)+'Assumptions (NG)'!$F$18*AVERAGE('Assumptions (NG)'!$C$3:$E$3))/10^9,0)</f>
        <v>0.1072403098</v>
      </c>
      <c r="L604" s="160">
        <f>IF($G$438&gt;0,'Assumptions (NG)'!AA$13*Model!$G$438*('Assumptions (NG)'!$F$17*AVERAGE('Assumptions (NG)'!$C$2:$E$2)+'Assumptions (NG)'!$F$18*AVERAGE('Assumptions (NG)'!$C$3:$E$3))/10^9,0)</f>
        <v>0.09640795525</v>
      </c>
      <c r="M604" s="160">
        <f>IF($G$438&gt;0,'Assumptions (NG)'!AB$13*Model!$G$438*('Assumptions (NG)'!$F$17*AVERAGE('Assumptions (NG)'!$C$2:$E$2)+'Assumptions (NG)'!$F$18*AVERAGE('Assumptions (NG)'!$C$3:$E$3))/10^9,0)</f>
        <v>0.09130127383</v>
      </c>
      <c r="N604" s="160">
        <f>IF($G$438&gt;0,'Assumptions (NG)'!AC$13*Model!$G$438*('Assumptions (NG)'!$F$17*AVERAGE('Assumptions (NG)'!$C$2:$E$2)+'Assumptions (NG)'!$F$18*AVERAGE('Assumptions (NG)'!$C$3:$E$3))/10^9,0)</f>
        <v>0.09130127383</v>
      </c>
      <c r="O604" s="160">
        <f>IF($G$438&gt;0,'Assumptions (NG)'!AD$13*Model!$G$438*('Assumptions (NG)'!$F$17*AVERAGE('Assumptions (NG)'!$C$2:$E$2)+'Assumptions (NG)'!$F$18*AVERAGE('Assumptions (NG)'!$C$3:$E$3))/10^9,0)</f>
        <v>0.09145602175</v>
      </c>
      <c r="P604" s="160">
        <f>IF($G$438&gt;0,'Assumptions (NG)'!AE$13*Model!$G$438*('Assumptions (NG)'!$F$17*AVERAGE('Assumptions (NG)'!$C$2:$E$2)+'Assumptions (NG)'!$F$18*AVERAGE('Assumptions (NG)'!$C$3:$E$3))/10^9,0)</f>
        <v>0.09130127383</v>
      </c>
      <c r="Q604" s="160">
        <f>IF($G$438&gt;0,'Assumptions (NG)'!AF$13*Model!$G$438*('Assumptions (NG)'!$F$17*AVERAGE('Assumptions (NG)'!$C$2:$E$2)+'Assumptions (NG)'!$F$18*AVERAGE('Assumptions (NG)'!$C$3:$E$3))/10^9,0)</f>
        <v>0.09145602175</v>
      </c>
      <c r="R604" s="160">
        <f>IF($G$438&gt;0,'Assumptions (NG)'!AG$13*Model!$G$438*('Assumptions (NG)'!$F$17*AVERAGE('Assumptions (NG)'!$C$2:$E$2)+'Assumptions (NG)'!$F$18*AVERAGE('Assumptions (NG)'!$C$3:$E$3))/10^9,0)</f>
        <v>0.09130127383</v>
      </c>
      <c r="S604" s="160">
        <f>IF($G$438&gt;0,'Assumptions (NG)'!AH$13*Model!$G$438*('Assumptions (NG)'!$F$17*AVERAGE('Assumptions (NG)'!$C$2:$E$2)+'Assumptions (NG)'!$F$18*AVERAGE('Assumptions (NG)'!$C$3:$E$3))/10^9,0)</f>
        <v>0.09145602175</v>
      </c>
      <c r="T604" s="160">
        <f>IF($G$438&gt;0,'Assumptions (NG)'!AI$13*Model!$G$438*('Assumptions (NG)'!$F$17*AVERAGE('Assumptions (NG)'!$C$2:$E$2)+'Assumptions (NG)'!$F$18*AVERAGE('Assumptions (NG)'!$C$3:$E$3))/10^9,0)</f>
        <v>0.09130127383</v>
      </c>
      <c r="U604" s="160">
        <f>IF($G$438&gt;0,'Assumptions (NG)'!AJ$13*Model!$G$438*('Assumptions (NG)'!$F$17*AVERAGE('Assumptions (NG)'!$C$2:$E$2)+'Assumptions (NG)'!$F$18*AVERAGE('Assumptions (NG)'!$C$3:$E$3))/10^9,0)</f>
        <v>0.09145602175</v>
      </c>
      <c r="V604" s="160">
        <f>IF($G$438&gt;0,'Assumptions (NG)'!AK$13*Model!$G$438*('Assumptions (NG)'!$F$17*AVERAGE('Assumptions (NG)'!$C$2:$E$2)+'Assumptions (NG)'!$F$18*AVERAGE('Assumptions (NG)'!$C$3:$E$3))/10^9,0)</f>
        <v>0.04565063691</v>
      </c>
      <c r="W604" s="160"/>
      <c r="X604" s="160"/>
      <c r="Y604" s="160"/>
      <c r="Z604" s="160"/>
      <c r="AA604" s="160"/>
      <c r="AB604" s="160"/>
      <c r="AC604" s="160"/>
      <c r="AD604" s="160"/>
      <c r="AE604" s="160"/>
      <c r="AF604" s="160"/>
      <c r="AG604" s="160"/>
      <c r="AO604" s="160"/>
      <c r="AP604" s="160"/>
      <c r="AQ604" s="160"/>
      <c r="AR604" s="160"/>
      <c r="AS604" s="160"/>
      <c r="AT604" s="160"/>
      <c r="AU604" s="160"/>
      <c r="AV604" s="160"/>
      <c r="AW604" s="160"/>
      <c r="AX604" s="160"/>
      <c r="AY604" s="160"/>
      <c r="AZ604" s="160"/>
      <c r="BA604" s="160"/>
    </row>
    <row r="605" ht="15.75" hidden="1" customHeight="1" outlineLevel="1">
      <c r="A605" s="209"/>
      <c r="B605" s="38"/>
      <c r="C605" s="160"/>
      <c r="D605" s="160"/>
      <c r="E605" s="160"/>
      <c r="F605" s="160"/>
      <c r="G605" s="160"/>
      <c r="H605" s="160">
        <f>IF($H$438&gt;0,'Assumptions (NG)'!V$13*Model!$H$438*('Assumptions (NG)'!$G$17*AVERAGE('Assumptions (NG)'!$D$2:$F$2)+'Assumptions (NG)'!$G$18*AVERAGE('Assumptions (NG)'!$D$3:$F$3))/10^9,0)</f>
        <v>0.04330029505</v>
      </c>
      <c r="I605" s="160">
        <f>IF($H$438&gt;0,'Assumptions (NG)'!W$13*Model!$H$438*('Assumptions (NG)'!$G$17*AVERAGE('Assumptions (NG)'!$D$2:$F$2)+'Assumptions (NG)'!$G$18*AVERAGE('Assumptions (NG)'!$D$3:$F$3))/10^9,0)</f>
        <v>0.08227056059</v>
      </c>
      <c r="J605" s="160">
        <f>IF($H$438&gt;0,'Assumptions (NG)'!X$13*Model!$H$438*('Assumptions (NG)'!$G$17*AVERAGE('Assumptions (NG)'!$D$2:$F$2)+'Assumptions (NG)'!$G$18*AVERAGE('Assumptions (NG)'!$D$3:$F$3))/10^9,0)</f>
        <v>0.07404350453</v>
      </c>
      <c r="K605" s="160">
        <f>IF($H$438&gt;0,'Assumptions (NG)'!Y$13*Model!$H$438*('Assumptions (NG)'!$G$17*AVERAGE('Assumptions (NG)'!$D$2:$F$2)+'Assumptions (NG)'!$G$18*AVERAGE('Assumptions (NG)'!$D$3:$F$3))/10^9,0)</f>
        <v>0.06668245437</v>
      </c>
      <c r="L605" s="160">
        <f>IF($H$438&gt;0,'Assumptions (NG)'!Z$13*Model!$H$438*('Assumptions (NG)'!$G$17*AVERAGE('Assumptions (NG)'!$D$2:$F$2)+'Assumptions (NG)'!$G$18*AVERAGE('Assumptions (NG)'!$D$3:$F$3))/10^9,0)</f>
        <v>0.06001420894</v>
      </c>
      <c r="M605" s="160">
        <f>IF($H$438&gt;0,'Assumptions (NG)'!AA$13*Model!$H$438*('Assumptions (NG)'!$G$17*AVERAGE('Assumptions (NG)'!$D$2:$F$2)+'Assumptions (NG)'!$G$18*AVERAGE('Assumptions (NG)'!$D$3:$F$3))/10^9,0)</f>
        <v>0.05395216763</v>
      </c>
      <c r="N605" s="160">
        <f>IF($H$438&gt;0,'Assumptions (NG)'!AB$13*Model!$H$438*('Assumptions (NG)'!$G$17*AVERAGE('Assumptions (NG)'!$D$2:$F$2)+'Assumptions (NG)'!$G$18*AVERAGE('Assumptions (NG)'!$D$3:$F$3))/10^9,0)</f>
        <v>0.05109434816</v>
      </c>
      <c r="O605" s="160">
        <f>IF($H$438&gt;0,'Assumptions (NG)'!AC$13*Model!$H$438*('Assumptions (NG)'!$G$17*AVERAGE('Assumptions (NG)'!$D$2:$F$2)+'Assumptions (NG)'!$G$18*AVERAGE('Assumptions (NG)'!$D$3:$F$3))/10^9,0)</f>
        <v>0.05109434816</v>
      </c>
      <c r="P605" s="160">
        <f>IF($H$438&gt;0,'Assumptions (NG)'!AD$13*Model!$H$438*('Assumptions (NG)'!$G$17*AVERAGE('Assumptions (NG)'!$D$2:$F$2)+'Assumptions (NG)'!$G$18*AVERAGE('Assumptions (NG)'!$D$3:$F$3))/10^9,0)</f>
        <v>0.05118094875</v>
      </c>
      <c r="Q605" s="160">
        <f>IF($H$438&gt;0,'Assumptions (NG)'!AE$13*Model!$H$438*('Assumptions (NG)'!$G$17*AVERAGE('Assumptions (NG)'!$D$2:$F$2)+'Assumptions (NG)'!$G$18*AVERAGE('Assumptions (NG)'!$D$3:$F$3))/10^9,0)</f>
        <v>0.05109434816</v>
      </c>
      <c r="R605" s="160">
        <f>IF($H$438&gt;0,'Assumptions (NG)'!AF$13*Model!$H$438*('Assumptions (NG)'!$G$17*AVERAGE('Assumptions (NG)'!$D$2:$F$2)+'Assumptions (NG)'!$G$18*AVERAGE('Assumptions (NG)'!$D$3:$F$3))/10^9,0)</f>
        <v>0.05118094875</v>
      </c>
      <c r="S605" s="160">
        <f>IF($H$438&gt;0,'Assumptions (NG)'!AG$13*Model!$H$438*('Assumptions (NG)'!$G$17*AVERAGE('Assumptions (NG)'!$D$2:$F$2)+'Assumptions (NG)'!$G$18*AVERAGE('Assumptions (NG)'!$D$3:$F$3))/10^9,0)</f>
        <v>0.05109434816</v>
      </c>
      <c r="T605" s="160">
        <f>IF($H$438&gt;0,'Assumptions (NG)'!AH$13*Model!$H$438*('Assumptions (NG)'!$G$17*AVERAGE('Assumptions (NG)'!$D$2:$F$2)+'Assumptions (NG)'!$G$18*AVERAGE('Assumptions (NG)'!$D$3:$F$3))/10^9,0)</f>
        <v>0.05118094875</v>
      </c>
      <c r="U605" s="160">
        <f>IF($H$438&gt;0,'Assumptions (NG)'!AI$13*Model!$H$438*('Assumptions (NG)'!$G$17*AVERAGE('Assumptions (NG)'!$D$2:$F$2)+'Assumptions (NG)'!$G$18*AVERAGE('Assumptions (NG)'!$D$3:$F$3))/10^9,0)</f>
        <v>0.05109434816</v>
      </c>
      <c r="V605" s="160">
        <f>IF($H$438&gt;0,'Assumptions (NG)'!AJ$13*Model!$H$438*('Assumptions (NG)'!$G$17*AVERAGE('Assumptions (NG)'!$D$2:$F$2)+'Assumptions (NG)'!$G$18*AVERAGE('Assumptions (NG)'!$D$3:$F$3))/10^9,0)</f>
        <v>0.05118094875</v>
      </c>
      <c r="W605" s="160">
        <f>IF($H$438&gt;0,'Assumptions (NG)'!AK$13*Model!$H$438*('Assumptions (NG)'!$G$17*AVERAGE('Assumptions (NG)'!$D$2:$F$2)+'Assumptions (NG)'!$G$18*AVERAGE('Assumptions (NG)'!$D$3:$F$3))/10^9,0)</f>
        <v>0.02554717408</v>
      </c>
      <c r="X605" s="160"/>
      <c r="Y605" s="160"/>
      <c r="Z605" s="160"/>
      <c r="AA605" s="160"/>
      <c r="AB605" s="160"/>
      <c r="AC605" s="160"/>
      <c r="AD605" s="160"/>
      <c r="AE605" s="160"/>
      <c r="AF605" s="160"/>
      <c r="AG605" s="160"/>
      <c r="AO605" s="160"/>
      <c r="AP605" s="160"/>
      <c r="AQ605" s="160"/>
      <c r="AR605" s="160"/>
      <c r="AS605" s="160"/>
      <c r="AT605" s="160"/>
      <c r="AU605" s="160"/>
      <c r="AV605" s="160"/>
      <c r="AW605" s="160"/>
      <c r="AX605" s="160"/>
      <c r="AY605" s="160"/>
      <c r="AZ605" s="160"/>
      <c r="BA605" s="160"/>
    </row>
    <row r="606" ht="15.75" hidden="1" customHeight="1" outlineLevel="1">
      <c r="A606" s="209"/>
      <c r="B606" s="38"/>
      <c r="C606" s="160"/>
      <c r="D606" s="160"/>
      <c r="E606" s="160"/>
      <c r="F606" s="160"/>
      <c r="G606" s="160"/>
      <c r="H606" s="160"/>
      <c r="I606" s="160">
        <f>IF($I$438&gt;0,'Assumptions (NG)'!V$13*Model!$I$438*('Assumptions (NG)'!$H$17*AVERAGE('Assumptions (NG)'!$E$2:$G$2)+'Assumptions (NG)'!$H$18*AVERAGE('Assumptions (NG)'!$E$3:$G$3))/10^9,0)</f>
        <v>0.02701579893</v>
      </c>
      <c r="J606" s="160">
        <f>IF($I$438&gt;0,'Assumptions (NG)'!W$13*Model!$I$438*('Assumptions (NG)'!$H$17*AVERAGE('Assumptions (NG)'!$E$2:$G$2)+'Assumptions (NG)'!$H$18*AVERAGE('Assumptions (NG)'!$E$3:$G$3))/10^9,0)</f>
        <v>0.05133001796</v>
      </c>
      <c r="K606" s="160">
        <f>IF($I$438&gt;0,'Assumptions (NG)'!X$13*Model!$I$438*('Assumptions (NG)'!$H$17*AVERAGE('Assumptions (NG)'!$E$2:$G$2)+'Assumptions (NG)'!$H$18*AVERAGE('Assumptions (NG)'!$E$3:$G$3))/10^9,0)</f>
        <v>0.04619701616</v>
      </c>
      <c r="L606" s="160">
        <f>IF($I$438&gt;0,'Assumptions (NG)'!Y$13*Model!$I$438*('Assumptions (NG)'!$H$17*AVERAGE('Assumptions (NG)'!$E$2:$G$2)+'Assumptions (NG)'!$H$18*AVERAGE('Assumptions (NG)'!$E$3:$G$3))/10^9,0)</f>
        <v>0.04160433035</v>
      </c>
      <c r="M606" s="160">
        <f>IF($I$438&gt;0,'Assumptions (NG)'!Z$13*Model!$I$438*('Assumptions (NG)'!$H$17*AVERAGE('Assumptions (NG)'!$E$2:$G$2)+'Assumptions (NG)'!$H$18*AVERAGE('Assumptions (NG)'!$E$3:$G$3))/10^9,0)</f>
        <v>0.03744389731</v>
      </c>
      <c r="N606" s="160">
        <f>IF($I$438&gt;0,'Assumptions (NG)'!AA$13*Model!$I$438*('Assumptions (NG)'!$H$17*AVERAGE('Assumptions (NG)'!$E$2:$G$2)+'Assumptions (NG)'!$H$18*AVERAGE('Assumptions (NG)'!$E$3:$G$3))/10^9,0)</f>
        <v>0.03366168546</v>
      </c>
      <c r="O606" s="160">
        <f>IF($I$438&gt;0,'Assumptions (NG)'!AB$13*Model!$I$438*('Assumptions (NG)'!$H$17*AVERAGE('Assumptions (NG)'!$E$2:$G$2)+'Assumptions (NG)'!$H$18*AVERAGE('Assumptions (NG)'!$E$3:$G$3))/10^9,0)</f>
        <v>0.03187864273</v>
      </c>
      <c r="P606" s="160">
        <f>IF($I$438&gt;0,'Assumptions (NG)'!AC$13*Model!$I$438*('Assumptions (NG)'!$H$17*AVERAGE('Assumptions (NG)'!$E$2:$G$2)+'Assumptions (NG)'!$H$18*AVERAGE('Assumptions (NG)'!$E$3:$G$3))/10^9,0)</f>
        <v>0.03187864273</v>
      </c>
      <c r="Q606" s="160">
        <f>IF($I$438&gt;0,'Assumptions (NG)'!AD$13*Model!$I$438*('Assumptions (NG)'!$H$17*AVERAGE('Assumptions (NG)'!$E$2:$G$2)+'Assumptions (NG)'!$H$18*AVERAGE('Assumptions (NG)'!$E$3:$G$3))/10^9,0)</f>
        <v>0.03193267433</v>
      </c>
      <c r="R606" s="160">
        <f>IF($I$438&gt;0,'Assumptions (NG)'!AE$13*Model!$I$438*('Assumptions (NG)'!$H$17*AVERAGE('Assumptions (NG)'!$E$2:$G$2)+'Assumptions (NG)'!$H$18*AVERAGE('Assumptions (NG)'!$E$3:$G$3))/10^9,0)</f>
        <v>0.03187864273</v>
      </c>
      <c r="S606" s="160">
        <f>IF($I$438&gt;0,'Assumptions (NG)'!AF$13*Model!$I$438*('Assumptions (NG)'!$H$17*AVERAGE('Assumptions (NG)'!$E$2:$G$2)+'Assumptions (NG)'!$H$18*AVERAGE('Assumptions (NG)'!$E$3:$G$3))/10^9,0)</f>
        <v>0.03193267433</v>
      </c>
      <c r="T606" s="160">
        <f>IF($I$438&gt;0,'Assumptions (NG)'!AG$13*Model!$I$438*('Assumptions (NG)'!$H$17*AVERAGE('Assumptions (NG)'!$E$2:$G$2)+'Assumptions (NG)'!$H$18*AVERAGE('Assumptions (NG)'!$E$3:$G$3))/10^9,0)</f>
        <v>0.03187864273</v>
      </c>
      <c r="U606" s="160">
        <f>IF($I$438&gt;0,'Assumptions (NG)'!AH$13*Model!$I$438*('Assumptions (NG)'!$H$17*AVERAGE('Assumptions (NG)'!$E$2:$G$2)+'Assumptions (NG)'!$H$18*AVERAGE('Assumptions (NG)'!$E$3:$G$3))/10^9,0)</f>
        <v>0.03193267433</v>
      </c>
      <c r="V606" s="160">
        <f>IF($I$438&gt;0,'Assumptions (NG)'!AI$13*Model!$I$438*('Assumptions (NG)'!$H$17*AVERAGE('Assumptions (NG)'!$E$2:$G$2)+'Assumptions (NG)'!$H$18*AVERAGE('Assumptions (NG)'!$E$3:$G$3))/10^9,0)</f>
        <v>0.03187864273</v>
      </c>
      <c r="W606" s="160">
        <f>IF($I$438&gt;0,'Assumptions (NG)'!AJ$13*Model!$I$438*('Assumptions (NG)'!$H$17*AVERAGE('Assumptions (NG)'!$E$2:$G$2)+'Assumptions (NG)'!$H$18*AVERAGE('Assumptions (NG)'!$E$3:$G$3))/10^9,0)</f>
        <v>0.03193267433</v>
      </c>
      <c r="X606" s="160">
        <f>IF($I$438&gt;0,'Assumptions (NG)'!AK$13*Model!$I$438*('Assumptions (NG)'!$H$17*AVERAGE('Assumptions (NG)'!$E$2:$G$2)+'Assumptions (NG)'!$H$18*AVERAGE('Assumptions (NG)'!$E$3:$G$3))/10^9,0)</f>
        <v>0.01593932137</v>
      </c>
      <c r="Y606" s="160"/>
      <c r="Z606" s="160"/>
      <c r="AA606" s="160"/>
      <c r="AB606" s="160"/>
      <c r="AC606" s="160"/>
      <c r="AD606" s="160"/>
      <c r="AE606" s="160"/>
      <c r="AF606" s="160"/>
      <c r="AG606" s="160"/>
      <c r="AO606" s="160"/>
      <c r="AP606" s="160"/>
      <c r="AQ606" s="160"/>
      <c r="AR606" s="160"/>
      <c r="AS606" s="160"/>
      <c r="AT606" s="160"/>
      <c r="AU606" s="160"/>
      <c r="AV606" s="160"/>
      <c r="AW606" s="160"/>
      <c r="AX606" s="160"/>
      <c r="AY606" s="160"/>
      <c r="AZ606" s="160"/>
      <c r="BA606" s="160"/>
    </row>
    <row r="607" ht="15.75" hidden="1" customHeight="1" outlineLevel="1">
      <c r="A607" s="209"/>
      <c r="B607" s="38"/>
      <c r="C607" s="160"/>
      <c r="D607" s="160"/>
      <c r="E607" s="160"/>
      <c r="F607" s="160"/>
      <c r="G607" s="160"/>
      <c r="H607" s="160"/>
      <c r="I607" s="160"/>
      <c r="J607" s="160">
        <f>IF($J$438&gt;0,'Assumptions (NG)'!V$13*Model!$J$438*('Assumptions (NG)'!$I$17*AVERAGE('Assumptions (NG)'!$F$2:$H$2)+'Assumptions (NG)'!$I$18*AVERAGE('Assumptions (NG)'!$F$3:$H$3))/10^9,0)</f>
        <v>0</v>
      </c>
      <c r="K607" s="160">
        <f>IF($J$438&gt;0,'Assumptions (NG)'!W$13*Model!$J$438*('Assumptions (NG)'!$I$17*AVERAGE('Assumptions (NG)'!$F$2:$H$2)+'Assumptions (NG)'!$I$18*AVERAGE('Assumptions (NG)'!$F$3:$H$3))/10^9,0)</f>
        <v>0</v>
      </c>
      <c r="L607" s="160">
        <f>IF($J$438&gt;0,'Assumptions (NG)'!X$13*Model!$J$438*('Assumptions (NG)'!$I$17*AVERAGE('Assumptions (NG)'!$F$2:$H$2)+'Assumptions (NG)'!$I$18*AVERAGE('Assumptions (NG)'!$F$3:$H$3))/10^9,0)</f>
        <v>0</v>
      </c>
      <c r="M607" s="160">
        <f>IF($J$438&gt;0,'Assumptions (NG)'!Y$13*Model!$J$438*('Assumptions (NG)'!$I$17*AVERAGE('Assumptions (NG)'!$F$2:$H$2)+'Assumptions (NG)'!$I$18*AVERAGE('Assumptions (NG)'!$F$3:$H$3))/10^9,0)</f>
        <v>0</v>
      </c>
      <c r="N607" s="160">
        <f>IF($J$438&gt;0,'Assumptions (NG)'!Z$13*Model!$J$438*('Assumptions (NG)'!$I$17*AVERAGE('Assumptions (NG)'!$F$2:$H$2)+'Assumptions (NG)'!$I$18*AVERAGE('Assumptions (NG)'!$F$3:$H$3))/10^9,0)</f>
        <v>0</v>
      </c>
      <c r="O607" s="160">
        <f>IF($J$438&gt;0,'Assumptions (NG)'!AA$13*Model!$J$438*('Assumptions (NG)'!$I$17*AVERAGE('Assumptions (NG)'!$F$2:$H$2)+'Assumptions (NG)'!$I$18*AVERAGE('Assumptions (NG)'!$F$3:$H$3))/10^9,0)</f>
        <v>0</v>
      </c>
      <c r="P607" s="160">
        <f>IF($J$438&gt;0,'Assumptions (NG)'!AB$13*Model!$J$438*('Assumptions (NG)'!$I$17*AVERAGE('Assumptions (NG)'!$F$2:$H$2)+'Assumptions (NG)'!$I$18*AVERAGE('Assumptions (NG)'!$F$3:$H$3))/10^9,0)</f>
        <v>0</v>
      </c>
      <c r="Q607" s="160">
        <f>IF($J$438&gt;0,'Assumptions (NG)'!AC$13*Model!$J$438*('Assumptions (NG)'!$I$17*AVERAGE('Assumptions (NG)'!$F$2:$H$2)+'Assumptions (NG)'!$I$18*AVERAGE('Assumptions (NG)'!$F$3:$H$3))/10^9,0)</f>
        <v>0</v>
      </c>
      <c r="R607" s="160">
        <f>IF($J$438&gt;0,'Assumptions (NG)'!AD$13*Model!$J$438*('Assumptions (NG)'!$I$17*AVERAGE('Assumptions (NG)'!$F$2:$H$2)+'Assumptions (NG)'!$I$18*AVERAGE('Assumptions (NG)'!$F$3:$H$3))/10^9,0)</f>
        <v>0</v>
      </c>
      <c r="S607" s="160">
        <f>IF($J$438&gt;0,'Assumptions (NG)'!AE$13*Model!$J$438*('Assumptions (NG)'!$I$17*AVERAGE('Assumptions (NG)'!$F$2:$H$2)+'Assumptions (NG)'!$I$18*AVERAGE('Assumptions (NG)'!$F$3:$H$3))/10^9,0)</f>
        <v>0</v>
      </c>
      <c r="T607" s="160">
        <f>IF($J$438&gt;0,'Assumptions (NG)'!AF$13*Model!$J$438*('Assumptions (NG)'!$I$17*AVERAGE('Assumptions (NG)'!$F$2:$H$2)+'Assumptions (NG)'!$I$18*AVERAGE('Assumptions (NG)'!$F$3:$H$3))/10^9,0)</f>
        <v>0</v>
      </c>
      <c r="U607" s="160">
        <f>IF($J$438&gt;0,'Assumptions (NG)'!AG$13*Model!$J$438*('Assumptions (NG)'!$I$17*AVERAGE('Assumptions (NG)'!$F$2:$H$2)+'Assumptions (NG)'!$I$18*AVERAGE('Assumptions (NG)'!$F$3:$H$3))/10^9,0)</f>
        <v>0</v>
      </c>
      <c r="V607" s="160">
        <f>IF($J$438&gt;0,'Assumptions (NG)'!AH$13*Model!$J$438*('Assumptions (NG)'!$I$17*AVERAGE('Assumptions (NG)'!$F$2:$H$2)+'Assumptions (NG)'!$I$18*AVERAGE('Assumptions (NG)'!$F$3:$H$3))/10^9,0)</f>
        <v>0</v>
      </c>
      <c r="W607" s="160">
        <f>IF($J$438&gt;0,'Assumptions (NG)'!AI$13*Model!$J$438*('Assumptions (NG)'!$I$17*AVERAGE('Assumptions (NG)'!$F$2:$H$2)+'Assumptions (NG)'!$I$18*AVERAGE('Assumptions (NG)'!$F$3:$H$3))/10^9,0)</f>
        <v>0</v>
      </c>
      <c r="X607" s="160">
        <f>IF($J$438&gt;0,'Assumptions (NG)'!AJ$13*Model!$J$438*('Assumptions (NG)'!$I$17*AVERAGE('Assumptions (NG)'!$F$2:$H$2)+'Assumptions (NG)'!$I$18*AVERAGE('Assumptions (NG)'!$F$3:$H$3))/10^9,0)</f>
        <v>0</v>
      </c>
      <c r="Y607" s="160">
        <f>IF($J$438&gt;0,'Assumptions (NG)'!AK$13*Model!$J$438*('Assumptions (NG)'!$I$17*AVERAGE('Assumptions (NG)'!$F$2:$H$2)+'Assumptions (NG)'!$I$18*AVERAGE('Assumptions (NG)'!$F$3:$H$3))/10^9,0)</f>
        <v>0</v>
      </c>
      <c r="Z607" s="160"/>
      <c r="AA607" s="160"/>
      <c r="AB607" s="160"/>
      <c r="AC607" s="160"/>
      <c r="AD607" s="160"/>
      <c r="AE607" s="160"/>
      <c r="AF607" s="160"/>
      <c r="AG607" s="160"/>
      <c r="AH607" s="160"/>
      <c r="AO607" s="160"/>
      <c r="AP607" s="160"/>
      <c r="AQ607" s="160"/>
      <c r="AR607" s="160"/>
      <c r="AS607" s="160"/>
      <c r="AT607" s="160"/>
      <c r="AU607" s="160"/>
      <c r="AV607" s="160"/>
      <c r="AW607" s="160"/>
      <c r="AX607" s="160"/>
      <c r="AY607" s="160"/>
      <c r="AZ607" s="160"/>
      <c r="BA607" s="160"/>
    </row>
    <row r="608" ht="15.75" hidden="1" customHeight="1" outlineLevel="1">
      <c r="A608" s="209"/>
      <c r="B608" s="38"/>
      <c r="C608" s="160"/>
      <c r="D608" s="160"/>
      <c r="E608" s="160"/>
      <c r="F608" s="160"/>
      <c r="G608" s="160"/>
      <c r="H608" s="160"/>
      <c r="I608" s="160"/>
      <c r="J608" s="160"/>
      <c r="K608" s="160">
        <f>IF($K$438&gt;0,'Assumptions (NG)'!V$13*Model!$K$438*('Assumptions (NG)'!$J$17*AVERAGE('Assumptions (NG)'!$G$2:$I$2)+'Assumptions (NG)'!$J$18*AVERAGE('Assumptions (NG)'!$G$3:$I$3))/10^9,0)</f>
        <v>0.02301565422</v>
      </c>
      <c r="L608" s="160">
        <f>IF($K$438&gt;0,'Assumptions (NG)'!W$13*Model!$K$438*('Assumptions (NG)'!$J$17*AVERAGE('Assumptions (NG)'!$G$2:$I$2)+'Assumptions (NG)'!$J$18*AVERAGE('Assumptions (NG)'!$G$3:$I$3))/10^9,0)</f>
        <v>0.04372974301</v>
      </c>
      <c r="M608" s="160">
        <f>IF($K$438&gt;0,'Assumptions (NG)'!X$13*Model!$K$438*('Assumptions (NG)'!$J$17*AVERAGE('Assumptions (NG)'!$G$2:$I$2)+'Assumptions (NG)'!$J$18*AVERAGE('Assumptions (NG)'!$G$3:$I$3))/10^9,0)</f>
        <v>0.03935676871</v>
      </c>
      <c r="N608" s="160">
        <f>IF($K$438&gt;0,'Assumptions (NG)'!Y$13*Model!$K$438*('Assumptions (NG)'!$J$17*AVERAGE('Assumptions (NG)'!$G$2:$I$2)+'Assumptions (NG)'!$J$18*AVERAGE('Assumptions (NG)'!$G$3:$I$3))/10^9,0)</f>
        <v>0.03544410749</v>
      </c>
      <c r="O608" s="160">
        <f>IF($K$438&gt;0,'Assumptions (NG)'!Z$13*Model!$K$438*('Assumptions (NG)'!$J$17*AVERAGE('Assumptions (NG)'!$G$2:$I$2)+'Assumptions (NG)'!$J$18*AVERAGE('Assumptions (NG)'!$G$3:$I$3))/10^9,0)</f>
        <v>0.03189969674</v>
      </c>
      <c r="P608" s="160">
        <f>IF($K$438&gt;0,'Assumptions (NG)'!AA$13*Model!$K$438*('Assumptions (NG)'!$J$17*AVERAGE('Assumptions (NG)'!$G$2:$I$2)+'Assumptions (NG)'!$J$18*AVERAGE('Assumptions (NG)'!$G$3:$I$3))/10^9,0)</f>
        <v>0.02867750515</v>
      </c>
      <c r="Q608" s="160">
        <f>IF($K$438&gt;0,'Assumptions (NG)'!AB$13*Model!$K$438*('Assumptions (NG)'!$J$17*AVERAGE('Assumptions (NG)'!$G$2:$I$2)+'Assumptions (NG)'!$J$18*AVERAGE('Assumptions (NG)'!$G$3:$I$3))/10^9,0)</f>
        <v>0.02715847197</v>
      </c>
      <c r="R608" s="160">
        <f>IF($K$438&gt;0,'Assumptions (NG)'!AC$13*Model!$K$438*('Assumptions (NG)'!$J$17*AVERAGE('Assumptions (NG)'!$G$2:$I$2)+'Assumptions (NG)'!$J$18*AVERAGE('Assumptions (NG)'!$G$3:$I$3))/10^9,0)</f>
        <v>0.02715847197</v>
      </c>
      <c r="S608" s="160">
        <f>IF($K$438&gt;0,'Assumptions (NG)'!AD$13*Model!$K$438*('Assumptions (NG)'!$J$17*AVERAGE('Assumptions (NG)'!$G$2:$I$2)+'Assumptions (NG)'!$J$18*AVERAGE('Assumptions (NG)'!$G$3:$I$3))/10^9,0)</f>
        <v>0.02720450328</v>
      </c>
      <c r="T608" s="160">
        <f>IF($K$438&gt;0,'Assumptions (NG)'!AE$13*Model!$K$438*('Assumptions (NG)'!$J$17*AVERAGE('Assumptions (NG)'!$G$2:$I$2)+'Assumptions (NG)'!$J$18*AVERAGE('Assumptions (NG)'!$G$3:$I$3))/10^9,0)</f>
        <v>0.02715847197</v>
      </c>
      <c r="U608" s="160">
        <f>IF($K$438&gt;0,'Assumptions (NG)'!AF$13*Model!$K$438*('Assumptions (NG)'!$J$17*AVERAGE('Assumptions (NG)'!$G$2:$I$2)+'Assumptions (NG)'!$J$18*AVERAGE('Assumptions (NG)'!$G$3:$I$3))/10^9,0)</f>
        <v>0.02720450328</v>
      </c>
      <c r="V608" s="160">
        <f>IF($K$438&gt;0,'Assumptions (NG)'!AG$13*Model!$K$438*('Assumptions (NG)'!$J$17*AVERAGE('Assumptions (NG)'!$G$2:$I$2)+'Assumptions (NG)'!$J$18*AVERAGE('Assumptions (NG)'!$G$3:$I$3))/10^9,0)</f>
        <v>0.02715847197</v>
      </c>
      <c r="W608" s="160">
        <f>IF($K$438&gt;0,'Assumptions (NG)'!AH$13*Model!$K$438*('Assumptions (NG)'!$J$17*AVERAGE('Assumptions (NG)'!$G$2:$I$2)+'Assumptions (NG)'!$J$18*AVERAGE('Assumptions (NG)'!$G$3:$I$3))/10^9,0)</f>
        <v>0.02720450328</v>
      </c>
      <c r="X608" s="160">
        <f>IF($K$438&gt;0,'Assumptions (NG)'!AI$13*Model!$K$438*('Assumptions (NG)'!$J$17*AVERAGE('Assumptions (NG)'!$G$2:$I$2)+'Assumptions (NG)'!$J$18*AVERAGE('Assumptions (NG)'!$G$3:$I$3))/10^9,0)</f>
        <v>0.02715847197</v>
      </c>
      <c r="Y608" s="160">
        <f>IF($K$438&gt;0,'Assumptions (NG)'!AJ$13*Model!$K$438*('Assumptions (NG)'!$J$17*AVERAGE('Assumptions (NG)'!$G$2:$I$2)+'Assumptions (NG)'!$J$18*AVERAGE('Assumptions (NG)'!$G$3:$I$3))/10^9,0)</f>
        <v>0.02720450328</v>
      </c>
      <c r="Z608" s="160">
        <f>IF($K$438&gt;0,'Assumptions (NG)'!AK$13*Model!$K$438*('Assumptions (NG)'!$J$17*AVERAGE('Assumptions (NG)'!$G$2:$I$2)+'Assumptions (NG)'!$J$18*AVERAGE('Assumptions (NG)'!$G$3:$I$3))/10^9,0)</f>
        <v>0.01357923599</v>
      </c>
      <c r="AA608" s="160"/>
      <c r="AB608" s="160"/>
      <c r="AC608" s="160"/>
      <c r="AD608" s="160"/>
      <c r="AE608" s="160"/>
      <c r="AF608" s="160"/>
      <c r="AG608" s="160"/>
      <c r="AH608" s="160"/>
      <c r="AI608" s="160"/>
      <c r="AO608" s="160"/>
      <c r="AP608" s="160"/>
      <c r="AQ608" s="160"/>
      <c r="AR608" s="160"/>
      <c r="AS608" s="160"/>
      <c r="AT608" s="160"/>
      <c r="AU608" s="160"/>
      <c r="AV608" s="160"/>
      <c r="AW608" s="160"/>
      <c r="AX608" s="160"/>
      <c r="AY608" s="160"/>
      <c r="AZ608" s="160"/>
      <c r="BA608" s="160"/>
    </row>
    <row r="609" ht="15.75" hidden="1" customHeight="1" outlineLevel="1">
      <c r="A609" s="209"/>
      <c r="B609" s="38"/>
      <c r="C609" s="160"/>
      <c r="D609" s="160"/>
      <c r="E609" s="160"/>
      <c r="F609" s="160"/>
      <c r="G609" s="160"/>
      <c r="H609" s="160"/>
      <c r="I609" s="160"/>
      <c r="J609" s="160"/>
      <c r="K609" s="160"/>
      <c r="L609" s="160">
        <f>IF($L$438&gt;0,'Assumptions (NG)'!V$13*Model!$L$438*('Assumptions (NG)'!$K$17*AVERAGE('Assumptions (NG)'!$H$2:$J$2)+'Assumptions (NG)'!$K$18*AVERAGE('Assumptions (NG)'!$H$3:$J$3))/10^9,0)</f>
        <v>0</v>
      </c>
      <c r="M609" s="160">
        <f>IF($L$438&gt;0,'Assumptions (NG)'!W$13*Model!$L$438*('Assumptions (NG)'!$K$17*AVERAGE('Assumptions (NG)'!$H$2:$J$2)+'Assumptions (NG)'!$K$18*AVERAGE('Assumptions (NG)'!$H$3:$J$3))/10^9,0)</f>
        <v>0</v>
      </c>
      <c r="N609" s="160">
        <f>IF($L$438&gt;0,'Assumptions (NG)'!X$13*Model!$L$438*('Assumptions (NG)'!$K$17*AVERAGE('Assumptions (NG)'!$H$2:$J$2)+'Assumptions (NG)'!$K$18*AVERAGE('Assumptions (NG)'!$H$3:$J$3))/10^9,0)</f>
        <v>0</v>
      </c>
      <c r="O609" s="160">
        <f>IF($L$438&gt;0,'Assumptions (NG)'!Y$13*Model!$L$438*('Assumptions (NG)'!$K$17*AVERAGE('Assumptions (NG)'!$H$2:$J$2)+'Assumptions (NG)'!$K$18*AVERAGE('Assumptions (NG)'!$H$3:$J$3))/10^9,0)</f>
        <v>0</v>
      </c>
      <c r="P609" s="160">
        <f>IF($L$438&gt;0,'Assumptions (NG)'!Z$13*Model!$L$438*('Assumptions (NG)'!$K$17*AVERAGE('Assumptions (NG)'!$H$2:$J$2)+'Assumptions (NG)'!$K$18*AVERAGE('Assumptions (NG)'!$H$3:$J$3))/10^9,0)</f>
        <v>0</v>
      </c>
      <c r="Q609" s="160">
        <f>IF($L$438&gt;0,'Assumptions (NG)'!AA$13*Model!$L$438*('Assumptions (NG)'!$K$17*AVERAGE('Assumptions (NG)'!$H$2:$J$2)+'Assumptions (NG)'!$K$18*AVERAGE('Assumptions (NG)'!$H$3:$J$3))/10^9,0)</f>
        <v>0</v>
      </c>
      <c r="R609" s="160">
        <f>IF($L$438&gt;0,'Assumptions (NG)'!AB$13*Model!$L$438*('Assumptions (NG)'!$K$17*AVERAGE('Assumptions (NG)'!$H$2:$J$2)+'Assumptions (NG)'!$K$18*AVERAGE('Assumptions (NG)'!$H$3:$J$3))/10^9,0)</f>
        <v>0</v>
      </c>
      <c r="S609" s="160">
        <f>IF($L$438&gt;0,'Assumptions (NG)'!AC$13*Model!$L$438*('Assumptions (NG)'!$K$17*AVERAGE('Assumptions (NG)'!$H$2:$J$2)+'Assumptions (NG)'!$K$18*AVERAGE('Assumptions (NG)'!$H$3:$J$3))/10^9,0)</f>
        <v>0</v>
      </c>
      <c r="T609" s="160">
        <f>IF($L$438&gt;0,'Assumptions (NG)'!AD$13*Model!$L$438*('Assumptions (NG)'!$K$17*AVERAGE('Assumptions (NG)'!$H$2:$J$2)+'Assumptions (NG)'!$K$18*AVERAGE('Assumptions (NG)'!$H$3:$J$3))/10^9,0)</f>
        <v>0</v>
      </c>
      <c r="U609" s="160">
        <f>IF($L$438&gt;0,'Assumptions (NG)'!AE$13*Model!$L$438*('Assumptions (NG)'!$K$17*AVERAGE('Assumptions (NG)'!$H$2:$J$2)+'Assumptions (NG)'!$K$18*AVERAGE('Assumptions (NG)'!$H$3:$J$3))/10^9,0)</f>
        <v>0</v>
      </c>
      <c r="V609" s="160">
        <f>IF($L$438&gt;0,'Assumptions (NG)'!AF$13*Model!$L$438*('Assumptions (NG)'!$K$17*AVERAGE('Assumptions (NG)'!$H$2:$J$2)+'Assumptions (NG)'!$K$18*AVERAGE('Assumptions (NG)'!$H$3:$J$3))/10^9,0)</f>
        <v>0</v>
      </c>
      <c r="W609" s="160">
        <f>IF($L$438&gt;0,'Assumptions (NG)'!AG$13*Model!$L$438*('Assumptions (NG)'!$K$17*AVERAGE('Assumptions (NG)'!$H$2:$J$2)+'Assumptions (NG)'!$K$18*AVERAGE('Assumptions (NG)'!$H$3:$J$3))/10^9,0)</f>
        <v>0</v>
      </c>
      <c r="X609" s="160">
        <f>IF($L$438&gt;0,'Assumptions (NG)'!AH$13*Model!$L$438*('Assumptions (NG)'!$K$17*AVERAGE('Assumptions (NG)'!$H$2:$J$2)+'Assumptions (NG)'!$K$18*AVERAGE('Assumptions (NG)'!$H$3:$J$3))/10^9,0)</f>
        <v>0</v>
      </c>
      <c r="Y609" s="160">
        <f>IF($L$438&gt;0,'Assumptions (NG)'!AI$13*Model!$L$438*('Assumptions (NG)'!$K$17*AVERAGE('Assumptions (NG)'!$H$2:$J$2)+'Assumptions (NG)'!$K$18*AVERAGE('Assumptions (NG)'!$H$3:$J$3))/10^9,0)</f>
        <v>0</v>
      </c>
      <c r="Z609" s="160">
        <f>IF($L$438&gt;0,'Assumptions (NG)'!AJ$13*Model!$L$438*('Assumptions (NG)'!$K$17*AVERAGE('Assumptions (NG)'!$H$2:$J$2)+'Assumptions (NG)'!$K$18*AVERAGE('Assumptions (NG)'!$H$3:$J$3))/10^9,0)</f>
        <v>0</v>
      </c>
      <c r="AA609" s="160">
        <f>IF($L$438&gt;0,'Assumptions (NG)'!AK$13*Model!$L$438*('Assumptions (NG)'!$K$17*AVERAGE('Assumptions (NG)'!$H$2:$J$2)+'Assumptions (NG)'!$K$18*AVERAGE('Assumptions (NG)'!$H$3:$J$3))/10^9,0)</f>
        <v>0</v>
      </c>
      <c r="AB609" s="160"/>
      <c r="AC609" s="160"/>
      <c r="AD609" s="160"/>
      <c r="AE609" s="160"/>
      <c r="AF609" s="160"/>
      <c r="AG609" s="160"/>
      <c r="AH609" s="160"/>
      <c r="AI609" s="160"/>
      <c r="AJ609" s="160"/>
      <c r="AO609" s="160"/>
      <c r="AP609" s="160"/>
      <c r="AQ609" s="160"/>
      <c r="AR609" s="160"/>
      <c r="AS609" s="160"/>
      <c r="AT609" s="160"/>
      <c r="AU609" s="160"/>
      <c r="AV609" s="160"/>
      <c r="AW609" s="160"/>
      <c r="AX609" s="160"/>
      <c r="AY609" s="160"/>
      <c r="AZ609" s="160"/>
      <c r="BA609" s="160"/>
    </row>
    <row r="610" ht="15.75" hidden="1" customHeight="1" outlineLevel="1">
      <c r="A610" s="209"/>
      <c r="B610" s="38"/>
      <c r="C610" s="160"/>
      <c r="D610" s="160"/>
      <c r="E610" s="160"/>
      <c r="F610" s="160"/>
      <c r="G610" s="160"/>
      <c r="H610" s="160"/>
      <c r="I610" s="160"/>
      <c r="J610" s="160"/>
      <c r="K610" s="160"/>
      <c r="L610" s="160"/>
      <c r="M610" s="160">
        <f>IF($M$438&gt;0,'Assumptions (NG)'!V$13*Model!$M$438*('Assumptions (NG)'!$L$17*AVERAGE('Assumptions (NG)'!$I$2:$K$2)+'Assumptions (NG)'!$L$18*AVERAGE('Assumptions (NG)'!$I$3:$K$3))/10^9,0)</f>
        <v>0.05159261731</v>
      </c>
      <c r="N610" s="160">
        <f>IF($M$438&gt;0,'Assumptions (NG)'!W$13*Model!$M$438*('Assumptions (NG)'!$L$17*AVERAGE('Assumptions (NG)'!$I$2:$K$2)+'Assumptions (NG)'!$L$18*AVERAGE('Assumptions (NG)'!$I$3:$K$3))/10^9,0)</f>
        <v>0.09802597288</v>
      </c>
      <c r="O610" s="160">
        <f>IF($M$438&gt;0,'Assumptions (NG)'!X$13*Model!$M$438*('Assumptions (NG)'!$L$17*AVERAGE('Assumptions (NG)'!$I$2:$K$2)+'Assumptions (NG)'!$L$18*AVERAGE('Assumptions (NG)'!$I$3:$K$3))/10^9,0)</f>
        <v>0.08822337559</v>
      </c>
      <c r="P610" s="160">
        <f>IF($M$438&gt;0,'Assumptions (NG)'!Y$13*Model!$M$438*('Assumptions (NG)'!$L$17*AVERAGE('Assumptions (NG)'!$I$2:$K$2)+'Assumptions (NG)'!$L$18*AVERAGE('Assumptions (NG)'!$I$3:$K$3))/10^9,0)</f>
        <v>0.07945263065</v>
      </c>
      <c r="Q610" s="160">
        <f>IF($M$438&gt;0,'Assumptions (NG)'!Z$13*Model!$M$438*('Assumptions (NG)'!$L$17*AVERAGE('Assumptions (NG)'!$I$2:$K$2)+'Assumptions (NG)'!$L$18*AVERAGE('Assumptions (NG)'!$I$3:$K$3))/10^9,0)</f>
        <v>0.07150736759</v>
      </c>
      <c r="R610" s="160">
        <f>IF($M$438&gt;0,'Assumptions (NG)'!AA$13*Model!$M$438*('Assumptions (NG)'!$L$17*AVERAGE('Assumptions (NG)'!$I$2:$K$2)+'Assumptions (NG)'!$L$18*AVERAGE('Assumptions (NG)'!$I$3:$K$3))/10^9,0)</f>
        <v>0.06428440116</v>
      </c>
      <c r="S610" s="160">
        <f>IF($M$438&gt;0,'Assumptions (NG)'!AB$13*Model!$M$438*('Assumptions (NG)'!$L$17*AVERAGE('Assumptions (NG)'!$I$2:$K$2)+'Assumptions (NG)'!$L$18*AVERAGE('Assumptions (NG)'!$I$3:$K$3))/10^9,0)</f>
        <v>0.06087928842</v>
      </c>
      <c r="T610" s="160">
        <f>IF($M$438&gt;0,'Assumptions (NG)'!AC$13*Model!$M$438*('Assumptions (NG)'!$L$17*AVERAGE('Assumptions (NG)'!$I$2:$K$2)+'Assumptions (NG)'!$L$18*AVERAGE('Assumptions (NG)'!$I$3:$K$3))/10^9,0)</f>
        <v>0.06087928842</v>
      </c>
      <c r="U610" s="160">
        <f>IF($M$438&gt;0,'Assumptions (NG)'!AD$13*Model!$M$438*('Assumptions (NG)'!$L$17*AVERAGE('Assumptions (NG)'!$I$2:$K$2)+'Assumptions (NG)'!$L$18*AVERAGE('Assumptions (NG)'!$I$3:$K$3))/10^9,0)</f>
        <v>0.06098247366</v>
      </c>
      <c r="V610" s="160">
        <f>IF($M$438&gt;0,'Assumptions (NG)'!AE$13*Model!$M$438*('Assumptions (NG)'!$L$17*AVERAGE('Assumptions (NG)'!$I$2:$K$2)+'Assumptions (NG)'!$L$18*AVERAGE('Assumptions (NG)'!$I$3:$K$3))/10^9,0)</f>
        <v>0.06087928842</v>
      </c>
      <c r="W610" s="160">
        <f>IF($M$438&gt;0,'Assumptions (NG)'!AF$13*Model!$M$438*('Assumptions (NG)'!$L$17*AVERAGE('Assumptions (NG)'!$I$2:$K$2)+'Assumptions (NG)'!$L$18*AVERAGE('Assumptions (NG)'!$I$3:$K$3))/10^9,0)</f>
        <v>0.06098247366</v>
      </c>
      <c r="X610" s="160">
        <f>IF($M$438&gt;0,'Assumptions (NG)'!AG$13*Model!$M$438*('Assumptions (NG)'!$L$17*AVERAGE('Assumptions (NG)'!$I$2:$K$2)+'Assumptions (NG)'!$L$18*AVERAGE('Assumptions (NG)'!$I$3:$K$3))/10^9,0)</f>
        <v>0.06087928842</v>
      </c>
      <c r="Y610" s="160">
        <f>IF($M$438&gt;0,'Assumptions (NG)'!AH$13*Model!$M$438*('Assumptions (NG)'!$L$17*AVERAGE('Assumptions (NG)'!$I$2:$K$2)+'Assumptions (NG)'!$L$18*AVERAGE('Assumptions (NG)'!$I$3:$K$3))/10^9,0)</f>
        <v>0.06098247366</v>
      </c>
      <c r="Z610" s="160">
        <f>IF($M$438&gt;0,'Assumptions (NG)'!AI$13*Model!$M$438*('Assumptions (NG)'!$L$17*AVERAGE('Assumptions (NG)'!$I$2:$K$2)+'Assumptions (NG)'!$L$18*AVERAGE('Assumptions (NG)'!$I$3:$K$3))/10^9,0)</f>
        <v>0.06087928842</v>
      </c>
      <c r="AA610" s="160">
        <f>IF($M$438&gt;0,'Assumptions (NG)'!AJ$13*Model!$M$438*('Assumptions (NG)'!$L$17*AVERAGE('Assumptions (NG)'!$I$2:$K$2)+'Assumptions (NG)'!$L$18*AVERAGE('Assumptions (NG)'!$I$3:$K$3))/10^9,0)</f>
        <v>0.06098247366</v>
      </c>
      <c r="AB610" s="160">
        <f>IF($M$438&gt;0,'Assumptions (NG)'!AK$13*Model!$M$438*('Assumptions (NG)'!$L$17*AVERAGE('Assumptions (NG)'!$I$2:$K$2)+'Assumptions (NG)'!$L$18*AVERAGE('Assumptions (NG)'!$I$3:$K$3))/10^9,0)</f>
        <v>0.03043964421</v>
      </c>
      <c r="AC610" s="160"/>
      <c r="AD610" s="160"/>
      <c r="AE610" s="160"/>
      <c r="AF610" s="160"/>
      <c r="AG610" s="160"/>
      <c r="AH610" s="160"/>
      <c r="AI610" s="160"/>
      <c r="AJ610" s="160"/>
      <c r="AK610" s="160"/>
      <c r="AO610" s="160"/>
      <c r="AP610" s="160"/>
      <c r="AQ610" s="160"/>
      <c r="AR610" s="160"/>
      <c r="AS610" s="160"/>
      <c r="AT610" s="160"/>
      <c r="AU610" s="160"/>
      <c r="AV610" s="160"/>
      <c r="AW610" s="160"/>
      <c r="AX610" s="160"/>
      <c r="AY610" s="160"/>
      <c r="AZ610" s="160"/>
      <c r="BA610" s="160"/>
    </row>
    <row r="611" ht="15.75" hidden="1" customHeight="1" outlineLevel="1">
      <c r="A611" s="209"/>
      <c r="B611" s="38"/>
      <c r="C611" s="160"/>
      <c r="D611" s="160"/>
      <c r="E611" s="160"/>
      <c r="F611" s="160"/>
      <c r="G611" s="160"/>
      <c r="H611" s="160"/>
      <c r="I611" s="160"/>
      <c r="J611" s="160"/>
      <c r="K611" s="160"/>
      <c r="L611" s="160"/>
      <c r="M611" s="160"/>
      <c r="N611" s="177">
        <f>IF($N$438&gt;0,'Assumptions (NG)'!V$13*Model!$N$438*('Assumptions (NG)'!$M$17*AVERAGE('Assumptions (NG)'!$J$2:$L$2)+'Assumptions (NG)'!$M$18*AVERAGE('Assumptions (NG)'!$J$3:$L$3))/10^9,0)</f>
        <v>0.08171586308</v>
      </c>
      <c r="O611" s="177">
        <f>IF($N$438&gt;0,'Assumptions (NG)'!W$13*Model!$N$438*('Assumptions (NG)'!$M$17*AVERAGE('Assumptions (NG)'!$J$2:$L$2)+'Assumptions (NG)'!$M$18*AVERAGE('Assumptions (NG)'!$J$3:$L$3))/10^9,0)</f>
        <v>0.1552601399</v>
      </c>
      <c r="P611" s="177">
        <f>IF($N$438&gt;0,'Assumptions (NG)'!X$13*Model!$N$438*('Assumptions (NG)'!$M$17*AVERAGE('Assumptions (NG)'!$J$2:$L$2)+'Assumptions (NG)'!$M$18*AVERAGE('Assumptions (NG)'!$J$3:$L$3))/10^9,0)</f>
        <v>0.1397341259</v>
      </c>
      <c r="Q611" s="177">
        <f>IF($N$438&gt;0,'Assumptions (NG)'!Y$13*Model!$N$438*('Assumptions (NG)'!$M$17*AVERAGE('Assumptions (NG)'!$J$2:$L$2)+'Assumptions (NG)'!$M$18*AVERAGE('Assumptions (NG)'!$J$3:$L$3))/10^9,0)</f>
        <v>0.1258424291</v>
      </c>
      <c r="R611" s="177">
        <f>IF($N$438&gt;0,'Assumptions (NG)'!Z$13*Model!$N$438*('Assumptions (NG)'!$M$17*AVERAGE('Assumptions (NG)'!$J$2:$L$2)+'Assumptions (NG)'!$M$18*AVERAGE('Assumptions (NG)'!$J$3:$L$3))/10^9,0)</f>
        <v>0.1132581862</v>
      </c>
      <c r="S611" s="177">
        <f>IF($N$438&gt;0,'Assumptions (NG)'!AA$13*Model!$N$438*('Assumptions (NG)'!$M$17*AVERAGE('Assumptions (NG)'!$J$2:$L$2)+'Assumptions (NG)'!$M$18*AVERAGE('Assumptions (NG)'!$J$3:$L$3))/10^9,0)</f>
        <v>0.1018179654</v>
      </c>
      <c r="T611" s="177">
        <f>IF($N$438&gt;0,'Assumptions (NG)'!AB$13*Model!$N$438*('Assumptions (NG)'!$M$17*AVERAGE('Assumptions (NG)'!$J$2:$L$2)+'Assumptions (NG)'!$M$18*AVERAGE('Assumptions (NG)'!$J$3:$L$3))/10^9,0)</f>
        <v>0.09642471844</v>
      </c>
      <c r="U611" s="177">
        <f>IF($N$438&gt;0,'Assumptions (NG)'!AC$13*Model!$N$438*('Assumptions (NG)'!$M$17*AVERAGE('Assumptions (NG)'!$J$2:$L$2)+'Assumptions (NG)'!$M$18*AVERAGE('Assumptions (NG)'!$J$3:$L$3))/10^9,0)</f>
        <v>0.09642471844</v>
      </c>
      <c r="V611" s="177">
        <f>IF($N$438&gt;0,'Assumptions (NG)'!AD$13*Model!$N$438*('Assumptions (NG)'!$M$17*AVERAGE('Assumptions (NG)'!$J$2:$L$2)+'Assumptions (NG)'!$M$18*AVERAGE('Assumptions (NG)'!$J$3:$L$3))/10^9,0)</f>
        <v>0.09658815016</v>
      </c>
      <c r="W611" s="177">
        <f>IF($N$438&gt;0,'Assumptions (NG)'!AE$13*Model!$N$438*('Assumptions (NG)'!$M$17*AVERAGE('Assumptions (NG)'!$J$2:$L$2)+'Assumptions (NG)'!$M$18*AVERAGE('Assumptions (NG)'!$J$3:$L$3))/10^9,0)</f>
        <v>0.09642471844</v>
      </c>
      <c r="X611" s="177">
        <f>IF($N$438&gt;0,'Assumptions (NG)'!AF$13*Model!$N$438*('Assumptions (NG)'!$M$17*AVERAGE('Assumptions (NG)'!$J$2:$L$2)+'Assumptions (NG)'!$M$18*AVERAGE('Assumptions (NG)'!$J$3:$L$3))/10^9,0)</f>
        <v>0.09658815016</v>
      </c>
      <c r="Y611" s="177">
        <f>IF($N$438&gt;0,'Assumptions (NG)'!AG$13*Model!$N$438*('Assumptions (NG)'!$M$17*AVERAGE('Assumptions (NG)'!$J$2:$L$2)+'Assumptions (NG)'!$M$18*AVERAGE('Assumptions (NG)'!$J$3:$L$3))/10^9,0)</f>
        <v>0.09642471844</v>
      </c>
      <c r="Z611" s="177">
        <f>IF($N$438&gt;0,'Assumptions (NG)'!AH$13*Model!$N$438*('Assumptions (NG)'!$M$17*AVERAGE('Assumptions (NG)'!$J$2:$L$2)+'Assumptions (NG)'!$M$18*AVERAGE('Assumptions (NG)'!$J$3:$L$3))/10^9,0)</f>
        <v>0.09658815016</v>
      </c>
      <c r="AA611" s="177">
        <f>IF($N$438&gt;0,'Assumptions (NG)'!AI$13*Model!$N$438*('Assumptions (NG)'!$M$17*AVERAGE('Assumptions (NG)'!$J$2:$L$2)+'Assumptions (NG)'!$M$18*AVERAGE('Assumptions (NG)'!$J$3:$L$3))/10^9,0)</f>
        <v>0.09642471844</v>
      </c>
      <c r="AB611" s="177">
        <f>IF($N$438&gt;0,'Assumptions (NG)'!AJ$13*Model!$N$438*('Assumptions (NG)'!$M$17*AVERAGE('Assumptions (NG)'!$J$2:$L$2)+'Assumptions (NG)'!$M$18*AVERAGE('Assumptions (NG)'!$J$3:$L$3))/10^9,0)</f>
        <v>0.09658815016</v>
      </c>
      <c r="AC611" s="177">
        <f>IF($N$438&gt;0,'Assumptions (NG)'!AK$13*Model!$N$438*('Assumptions (NG)'!$M$17*AVERAGE('Assumptions (NG)'!$J$2:$L$2)+'Assumptions (NG)'!$M$18*AVERAGE('Assumptions (NG)'!$J$3:$L$3))/10^9,0)</f>
        <v>0.04821235922</v>
      </c>
      <c r="AD611" s="177"/>
      <c r="AE611" s="177"/>
      <c r="AF611" s="177"/>
      <c r="AG611" s="177"/>
      <c r="AH611" s="177"/>
      <c r="AI611" s="177"/>
      <c r="AJ611" s="177"/>
      <c r="AK611" s="177"/>
      <c r="AL611" s="177"/>
      <c r="AO611" s="160"/>
      <c r="AP611" s="160"/>
      <c r="AQ611" s="160"/>
      <c r="AR611" s="160"/>
      <c r="AS611" s="160"/>
      <c r="AT611" s="160"/>
      <c r="AU611" s="160"/>
      <c r="AV611" s="160"/>
      <c r="AW611" s="160"/>
      <c r="AX611" s="160"/>
      <c r="AY611" s="160"/>
      <c r="AZ611" s="160"/>
      <c r="BA611" s="160"/>
    </row>
    <row r="612" ht="15.75" hidden="1" customHeight="1" outlineLevel="1">
      <c r="A612" s="209"/>
      <c r="B612" s="38"/>
      <c r="C612" s="160"/>
      <c r="D612" s="160"/>
      <c r="E612" s="160"/>
      <c r="F612" s="160"/>
      <c r="G612" s="160"/>
      <c r="H612" s="160"/>
      <c r="I612" s="160"/>
      <c r="J612" s="160"/>
      <c r="K612" s="160"/>
      <c r="L612" s="160"/>
      <c r="M612" s="160"/>
      <c r="N612" s="160"/>
      <c r="O612" s="160">
        <f>IF($O$438&gt;0,'Assumptions (NG)'!V$13*Model!$O$438*('Assumptions (NG)'!$N$17*AVERAGE('Assumptions (NG)'!$K$2:$M$2)+'Assumptions (NG)'!$N$18*AVERAGE('Assumptions (NG)'!$K$3:$M$3))/10^9,0)</f>
        <v>0.1710505323</v>
      </c>
      <c r="P612" s="160">
        <f>IF($O$438&gt;0,'Assumptions (NG)'!W$13*Model!$O$438*('Assumptions (NG)'!$N$17*AVERAGE('Assumptions (NG)'!$K$2:$M$2)+'Assumptions (NG)'!$N$18*AVERAGE('Assumptions (NG)'!$K$3:$M$3))/10^9,0)</f>
        <v>0.3249960114</v>
      </c>
      <c r="Q612" s="160">
        <f>IF($O$438&gt;0,'Assumptions (NG)'!X$13*Model!$O$438*('Assumptions (NG)'!$N$17*AVERAGE('Assumptions (NG)'!$K$2:$M$2)+'Assumptions (NG)'!$N$18*AVERAGE('Assumptions (NG)'!$K$3:$M$3))/10^9,0)</f>
        <v>0.2924964102</v>
      </c>
      <c r="R612" s="160">
        <f>IF($O$438&gt;0,'Assumptions (NG)'!Y$13*Model!$O$438*('Assumptions (NG)'!$N$17*AVERAGE('Assumptions (NG)'!$K$2:$M$2)+'Assumptions (NG)'!$N$18*AVERAGE('Assumptions (NG)'!$K$3:$M$3))/10^9,0)</f>
        <v>0.2634178198</v>
      </c>
      <c r="S612" s="160">
        <f>IF($O$438&gt;0,'Assumptions (NG)'!Z$13*Model!$O$438*('Assumptions (NG)'!$N$17*AVERAGE('Assumptions (NG)'!$K$2:$M$2)+'Assumptions (NG)'!$N$18*AVERAGE('Assumptions (NG)'!$K$3:$M$3))/10^9,0)</f>
        <v>0.2370760378</v>
      </c>
      <c r="T612" s="160">
        <f>IF($O$438&gt;0,'Assumptions (NG)'!AA$13*Model!$O$438*('Assumptions (NG)'!$N$17*AVERAGE('Assumptions (NG)'!$K$2:$M$2)+'Assumptions (NG)'!$N$18*AVERAGE('Assumptions (NG)'!$K$3:$M$3))/10^9,0)</f>
        <v>0.2131289633</v>
      </c>
      <c r="U612" s="160">
        <f>IF($O$438&gt;0,'Assumptions (NG)'!AB$13*Model!$O$438*('Assumptions (NG)'!$N$17*AVERAGE('Assumptions (NG)'!$K$2:$M$2)+'Assumptions (NG)'!$N$18*AVERAGE('Assumptions (NG)'!$K$3:$M$3))/10^9,0)</f>
        <v>0.2018396281</v>
      </c>
      <c r="V612" s="160">
        <f>IF($O$438&gt;0,'Assumptions (NG)'!AC$13*Model!$O$438*('Assumptions (NG)'!$N$17*AVERAGE('Assumptions (NG)'!$K$2:$M$2)+'Assumptions (NG)'!$N$18*AVERAGE('Assumptions (NG)'!$K$3:$M$3))/10^9,0)</f>
        <v>0.2018396281</v>
      </c>
      <c r="W612" s="160">
        <f>IF($O$438&gt;0,'Assumptions (NG)'!AD$13*Model!$O$438*('Assumptions (NG)'!$N$17*AVERAGE('Assumptions (NG)'!$K$2:$M$2)+'Assumptions (NG)'!$N$18*AVERAGE('Assumptions (NG)'!$K$3:$M$3))/10^9,0)</f>
        <v>0.2021817292</v>
      </c>
      <c r="X612" s="160">
        <f>IF($O$438&gt;0,'Assumptions (NG)'!AE$13*Model!$O$438*('Assumptions (NG)'!$N$17*AVERAGE('Assumptions (NG)'!$K$2:$M$2)+'Assumptions (NG)'!$N$18*AVERAGE('Assumptions (NG)'!$K$3:$M$3))/10^9,0)</f>
        <v>0.2018396281</v>
      </c>
      <c r="Y612" s="160">
        <f>IF($O$438&gt;0,'Assumptions (NG)'!AF$13*Model!$O$438*('Assumptions (NG)'!$N$17*AVERAGE('Assumptions (NG)'!$K$2:$M$2)+'Assumptions (NG)'!$N$18*AVERAGE('Assumptions (NG)'!$K$3:$M$3))/10^9,0)</f>
        <v>0.2021817292</v>
      </c>
      <c r="Z612" s="160">
        <f>IF($O$438&gt;0,'Assumptions (NG)'!AG$13*Model!$O$438*('Assumptions (NG)'!$N$17*AVERAGE('Assumptions (NG)'!$K$2:$M$2)+'Assumptions (NG)'!$N$18*AVERAGE('Assumptions (NG)'!$K$3:$M$3))/10^9,0)</f>
        <v>0.2018396281</v>
      </c>
      <c r="AA612" s="160">
        <f>IF($O$438&gt;0,'Assumptions (NG)'!AH$13*Model!$O$438*('Assumptions (NG)'!$N$17*AVERAGE('Assumptions (NG)'!$K$2:$M$2)+'Assumptions (NG)'!$N$18*AVERAGE('Assumptions (NG)'!$K$3:$M$3))/10^9,0)</f>
        <v>0.2021817292</v>
      </c>
      <c r="AB612" s="160">
        <f>IF($O$438&gt;0,'Assumptions (NG)'!AI$13*Model!$O$438*('Assumptions (NG)'!$N$17*AVERAGE('Assumptions (NG)'!$K$2:$M$2)+'Assumptions (NG)'!$N$18*AVERAGE('Assumptions (NG)'!$K$3:$M$3))/10^9,0)</f>
        <v>0.2018396281</v>
      </c>
      <c r="AC612" s="160">
        <f>IF($O$438&gt;0,'Assumptions (NG)'!AJ$13*Model!$O$438*('Assumptions (NG)'!$N$17*AVERAGE('Assumptions (NG)'!$K$2:$M$2)+'Assumptions (NG)'!$N$18*AVERAGE('Assumptions (NG)'!$K$3:$M$3))/10^9,0)</f>
        <v>0.2021817292</v>
      </c>
      <c r="AD612" s="160">
        <f>IF($O$438&gt;0,'Assumptions (NG)'!AK$13*Model!$O$438*('Assumptions (NG)'!$N$17*AVERAGE('Assumptions (NG)'!$K$2:$M$2)+'Assumptions (NG)'!$N$18*AVERAGE('Assumptions (NG)'!$K$3:$M$3))/10^9,0)</f>
        <v>0.1009198141</v>
      </c>
      <c r="AE612" s="160"/>
      <c r="AF612" s="160"/>
      <c r="AG612" s="160"/>
      <c r="AH612" s="160"/>
      <c r="AI612" s="160"/>
      <c r="AJ612" s="160"/>
      <c r="AK612" s="160"/>
      <c r="AL612" s="160"/>
      <c r="AM612" s="160"/>
      <c r="AO612" s="160"/>
      <c r="AP612" s="160"/>
      <c r="AQ612" s="160"/>
      <c r="AR612" s="160"/>
      <c r="AS612" s="160"/>
      <c r="AT612" s="160"/>
      <c r="AU612" s="160"/>
      <c r="AV612" s="160"/>
      <c r="AW612" s="160"/>
      <c r="AX612" s="160"/>
      <c r="AY612" s="160"/>
      <c r="AZ612" s="160"/>
      <c r="BA612" s="160"/>
    </row>
    <row r="613" ht="15.75" hidden="1" customHeight="1" outlineLevel="1">
      <c r="A613" s="209"/>
      <c r="B613" s="38"/>
      <c r="C613" s="160"/>
      <c r="D613" s="160"/>
      <c r="E613" s="160"/>
      <c r="F613" s="160"/>
      <c r="G613" s="160"/>
      <c r="H613" s="160"/>
      <c r="I613" s="160"/>
      <c r="J613" s="160"/>
      <c r="K613" s="160"/>
      <c r="L613" s="160"/>
      <c r="M613" s="160"/>
      <c r="N613" s="160"/>
      <c r="O613" s="160"/>
      <c r="P613" s="177">
        <f>IF($P$438&gt;0,'Assumptions (NG)'!V$13*Model!$P$438*('Assumptions (NG)'!$O$17*AVERAGE('Assumptions (NG)'!$L$2:$N$2)+'Assumptions (NG)'!$O$18*AVERAGE('Assumptions (NG)'!$L$3:$N$3))/10^9,0)</f>
        <v>0.028541959</v>
      </c>
      <c r="Q613" s="177">
        <f>IF($P$438&gt;0,'Assumptions (NG)'!W$13*Model!$P$438*('Assumptions (NG)'!$O$17*AVERAGE('Assumptions (NG)'!$L$2:$N$2)+'Assumptions (NG)'!$O$18*AVERAGE('Assumptions (NG)'!$L$3:$N$3))/10^9,0)</f>
        <v>0.05422972209</v>
      </c>
      <c r="R613" s="177">
        <f>IF($P$438&gt;0,'Assumptions (NG)'!X$13*Model!$P$438*('Assumptions (NG)'!$O$17*AVERAGE('Assumptions (NG)'!$L$2:$N$2)+'Assumptions (NG)'!$O$18*AVERAGE('Assumptions (NG)'!$L$3:$N$3))/10^9,0)</f>
        <v>0.04880674988</v>
      </c>
      <c r="S613" s="177">
        <f>IF($P$438&gt;0,'Assumptions (NG)'!Y$13*Model!$P$438*('Assumptions (NG)'!$O$17*AVERAGE('Assumptions (NG)'!$L$2:$N$2)+'Assumptions (NG)'!$O$18*AVERAGE('Assumptions (NG)'!$L$3:$N$3))/10^9,0)</f>
        <v>0.04395461685</v>
      </c>
      <c r="T613" s="177">
        <f>IF($P$438&gt;0,'Assumptions (NG)'!Z$13*Model!$P$438*('Assumptions (NG)'!$O$17*AVERAGE('Assumptions (NG)'!$L$2:$N$2)+'Assumptions (NG)'!$O$18*AVERAGE('Assumptions (NG)'!$L$3:$N$3))/10^9,0)</f>
        <v>0.03955915517</v>
      </c>
      <c r="U613" s="177">
        <f>IF($P$438&gt;0,'Assumptions (NG)'!AA$13*Model!$P$438*('Assumptions (NG)'!$O$17*AVERAGE('Assumptions (NG)'!$L$2:$N$2)+'Assumptions (NG)'!$O$18*AVERAGE('Assumptions (NG)'!$L$3:$N$3))/10^9,0)</f>
        <v>0.03556328091</v>
      </c>
      <c r="V613" s="177">
        <f>IF($P$438&gt;0,'Assumptions (NG)'!AB$13*Model!$P$438*('Assumptions (NG)'!$O$17*AVERAGE('Assumptions (NG)'!$L$2:$N$2)+'Assumptions (NG)'!$O$18*AVERAGE('Assumptions (NG)'!$L$3:$N$3))/10^9,0)</f>
        <v>0.03367951162</v>
      </c>
      <c r="W613" s="177">
        <f>IF($P$438&gt;0,'Assumptions (NG)'!AC$13*Model!$P$438*('Assumptions (NG)'!$O$17*AVERAGE('Assumptions (NG)'!$L$2:$N$2)+'Assumptions (NG)'!$O$18*AVERAGE('Assumptions (NG)'!$L$3:$N$3))/10^9,0)</f>
        <v>0.03367951162</v>
      </c>
      <c r="X613" s="177">
        <f>IF($P$438&gt;0,'Assumptions (NG)'!AD$13*Model!$P$438*('Assumptions (NG)'!$O$17*AVERAGE('Assumptions (NG)'!$L$2:$N$2)+'Assumptions (NG)'!$O$18*AVERAGE('Assumptions (NG)'!$L$3:$N$3))/10^9,0)</f>
        <v>0.03373659553</v>
      </c>
      <c r="Y613" s="177">
        <f>IF($P$438&gt;0,'Assumptions (NG)'!AE$13*Model!$P$438*('Assumptions (NG)'!$O$17*AVERAGE('Assumptions (NG)'!$L$2:$N$2)+'Assumptions (NG)'!$O$18*AVERAGE('Assumptions (NG)'!$L$3:$N$3))/10^9,0)</f>
        <v>0.03367951162</v>
      </c>
      <c r="Z613" s="177">
        <f>IF($P$438&gt;0,'Assumptions (NG)'!AF$13*Model!$P$438*('Assumptions (NG)'!$O$17*AVERAGE('Assumptions (NG)'!$L$2:$N$2)+'Assumptions (NG)'!$O$18*AVERAGE('Assumptions (NG)'!$L$3:$N$3))/10^9,0)</f>
        <v>0.03373659553</v>
      </c>
      <c r="AA613" s="177">
        <f>IF($P$438&gt;0,'Assumptions (NG)'!AG$13*Model!$P$438*('Assumptions (NG)'!$O$17*AVERAGE('Assumptions (NG)'!$L$2:$N$2)+'Assumptions (NG)'!$O$18*AVERAGE('Assumptions (NG)'!$L$3:$N$3))/10^9,0)</f>
        <v>0.03367951162</v>
      </c>
      <c r="AB613" s="177">
        <f>IF($P$438&gt;0,'Assumptions (NG)'!AH$13*Model!$P$438*('Assumptions (NG)'!$O$17*AVERAGE('Assumptions (NG)'!$L$2:$N$2)+'Assumptions (NG)'!$O$18*AVERAGE('Assumptions (NG)'!$L$3:$N$3))/10^9,0)</f>
        <v>0.03373659553</v>
      </c>
      <c r="AC613" s="177">
        <f>IF($P$438&gt;0,'Assumptions (NG)'!AI$13*Model!$P$438*('Assumptions (NG)'!$O$17*AVERAGE('Assumptions (NG)'!$L$2:$N$2)+'Assumptions (NG)'!$O$18*AVERAGE('Assumptions (NG)'!$L$3:$N$3))/10^9,0)</f>
        <v>0.03367951162</v>
      </c>
      <c r="AD613" s="177">
        <f>IF($P$438&gt;0,'Assumptions (NG)'!AJ$13*Model!$P$438*('Assumptions (NG)'!$O$17*AVERAGE('Assumptions (NG)'!$L$2:$N$2)+'Assumptions (NG)'!$O$18*AVERAGE('Assumptions (NG)'!$L$3:$N$3))/10^9,0)</f>
        <v>0.03373659553</v>
      </c>
      <c r="AE613" s="177">
        <f>IF($P$438&gt;0,'Assumptions (NG)'!AK$13*Model!$P$438*('Assumptions (NG)'!$O$17*AVERAGE('Assumptions (NG)'!$L$2:$N$2)+'Assumptions (NG)'!$O$18*AVERAGE('Assumptions (NG)'!$L$3:$N$3))/10^9,0)</f>
        <v>0.01683975581</v>
      </c>
      <c r="AF613" s="177"/>
      <c r="AG613" s="177"/>
      <c r="AH613" s="177"/>
      <c r="AI613" s="177"/>
      <c r="AJ613" s="177"/>
      <c r="AK613" s="177"/>
      <c r="AL613" s="177"/>
      <c r="AM613" s="177"/>
      <c r="AN613" s="177"/>
      <c r="AO613" s="160"/>
      <c r="AP613" s="160"/>
      <c r="AQ613" s="160"/>
      <c r="AR613" s="160"/>
      <c r="AS613" s="160"/>
      <c r="AT613" s="160"/>
      <c r="AU613" s="160"/>
      <c r="AV613" s="160"/>
      <c r="AW613" s="160"/>
      <c r="AX613" s="160"/>
      <c r="AY613" s="160"/>
      <c r="AZ613" s="160"/>
      <c r="BA613" s="160"/>
    </row>
    <row r="614" ht="15.75" hidden="1" customHeight="1" outlineLevel="1">
      <c r="A614" s="209"/>
      <c r="B614" s="38"/>
      <c r="C614" s="160"/>
      <c r="D614" s="160"/>
      <c r="E614" s="160"/>
      <c r="F614" s="160"/>
      <c r="G614" s="160"/>
      <c r="H614" s="160"/>
      <c r="I614" s="160"/>
      <c r="J614" s="160"/>
      <c r="K614" s="160"/>
      <c r="L614" s="160"/>
      <c r="M614" s="160"/>
      <c r="N614" s="160"/>
      <c r="O614" s="160"/>
      <c r="P614" s="179"/>
      <c r="Q614" s="160">
        <f>IF($Q$438&gt;0,'Assumptions (NG)'!V$13*Model!$Q$438*('Assumptions (NG)'!$P$17*AVERAGE('Assumptions (NG)'!$M$2:$O$2)+'Assumptions (NG)'!$P$18*AVERAGE('Assumptions (NG)'!$M$3:$O$3))/10^9,0)</f>
        <v>0.03352005985</v>
      </c>
      <c r="R614" s="160">
        <f>IF($Q$438&gt;0,'Assumptions (NG)'!W$13*Model!$Q$438*('Assumptions (NG)'!$P$17*AVERAGE('Assumptions (NG)'!$M$2:$O$2)+'Assumptions (NG)'!$P$18*AVERAGE('Assumptions (NG)'!$M$3:$O$3))/10^9,0)</f>
        <v>0.06368811371</v>
      </c>
      <c r="S614" s="160">
        <f>IF($Q$438&gt;0,'Assumptions (NG)'!X$13*Model!$Q$438*('Assumptions (NG)'!$P$17*AVERAGE('Assumptions (NG)'!$M$2:$O$2)+'Assumptions (NG)'!$P$18*AVERAGE('Assumptions (NG)'!$M$3:$O$3))/10^9,0)</f>
        <v>0.05731930234</v>
      </c>
      <c r="T614" s="160">
        <f>IF($Q$438&gt;0,'Assumptions (NG)'!Y$13*Model!$Q$438*('Assumptions (NG)'!$P$17*AVERAGE('Assumptions (NG)'!$M$2:$O$2)+'Assumptions (NG)'!$P$18*AVERAGE('Assumptions (NG)'!$M$3:$O$3))/10^9,0)</f>
        <v>0.05162089216</v>
      </c>
      <c r="U614" s="160">
        <f>IF($Q$438&gt;0,'Assumptions (NG)'!Z$13*Model!$Q$438*('Assumptions (NG)'!$P$17*AVERAGE('Assumptions (NG)'!$M$2:$O$2)+'Assumptions (NG)'!$P$18*AVERAGE('Assumptions (NG)'!$M$3:$O$3))/10^9,0)</f>
        <v>0.04645880295</v>
      </c>
      <c r="V614" s="160">
        <f>IF($Q$438&gt;0,'Assumptions (NG)'!AA$13*Model!$Q$438*('Assumptions (NG)'!$P$17*AVERAGE('Assumptions (NG)'!$M$2:$O$2)+'Assumptions (NG)'!$P$18*AVERAGE('Assumptions (NG)'!$M$3:$O$3))/10^9,0)</f>
        <v>0.04176599457</v>
      </c>
      <c r="W614" s="160">
        <f>IF($Q$438&gt;0,'Assumptions (NG)'!AB$13*Model!$Q$438*('Assumptions (NG)'!$P$17*AVERAGE('Assumptions (NG)'!$M$2:$O$2)+'Assumptions (NG)'!$P$18*AVERAGE('Assumptions (NG)'!$M$3:$O$3))/10^9,0)</f>
        <v>0.03955367062</v>
      </c>
      <c r="X614" s="160">
        <f>IF($Q$438&gt;0,'Assumptions (NG)'!AC$13*Model!$Q$438*('Assumptions (NG)'!$P$17*AVERAGE('Assumptions (NG)'!$M$2:$O$2)+'Assumptions (NG)'!$P$18*AVERAGE('Assumptions (NG)'!$M$3:$O$3))/10^9,0)</f>
        <v>0.03955367062</v>
      </c>
      <c r="Y614" s="160">
        <f>IF($Q$438&gt;0,'Assumptions (NG)'!AD$13*Model!$Q$438*('Assumptions (NG)'!$P$17*AVERAGE('Assumptions (NG)'!$M$2:$O$2)+'Assumptions (NG)'!$P$18*AVERAGE('Assumptions (NG)'!$M$3:$O$3))/10^9,0)</f>
        <v>0.03962071074</v>
      </c>
      <c r="Z614" s="160">
        <f>IF($Q$438&gt;0,'Assumptions (NG)'!AE$13*Model!$Q$438*('Assumptions (NG)'!$P$17*AVERAGE('Assumptions (NG)'!$M$2:$O$2)+'Assumptions (NG)'!$P$18*AVERAGE('Assumptions (NG)'!$M$3:$O$3))/10^9,0)</f>
        <v>0.03955367062</v>
      </c>
      <c r="AA614" s="160">
        <f>IF($Q$438&gt;0,'Assumptions (NG)'!AF$13*Model!$Q$438*('Assumptions (NG)'!$P$17*AVERAGE('Assumptions (NG)'!$M$2:$O$2)+'Assumptions (NG)'!$P$18*AVERAGE('Assumptions (NG)'!$M$3:$O$3))/10^9,0)</f>
        <v>0.03962071074</v>
      </c>
      <c r="AB614" s="160">
        <f>IF($Q$438&gt;0,'Assumptions (NG)'!AG$13*Model!$Q$438*('Assumptions (NG)'!$P$17*AVERAGE('Assumptions (NG)'!$M$2:$O$2)+'Assumptions (NG)'!$P$18*AVERAGE('Assumptions (NG)'!$M$3:$O$3))/10^9,0)</f>
        <v>0.03955367062</v>
      </c>
      <c r="AC614" s="160">
        <f>IF($Q$438&gt;0,'Assumptions (NG)'!AH$13*Model!$Q$438*('Assumptions (NG)'!$P$17*AVERAGE('Assumptions (NG)'!$M$2:$O$2)+'Assumptions (NG)'!$P$18*AVERAGE('Assumptions (NG)'!$M$3:$O$3))/10^9,0)</f>
        <v>0.03962071074</v>
      </c>
      <c r="AD614" s="160">
        <f>IF($Q$438&gt;0,'Assumptions (NG)'!AI$13*Model!$Q$438*('Assumptions (NG)'!$P$17*AVERAGE('Assumptions (NG)'!$M$2:$O$2)+'Assumptions (NG)'!$P$18*AVERAGE('Assumptions (NG)'!$M$3:$O$3))/10^9,0)</f>
        <v>0.03955367062</v>
      </c>
      <c r="AE614" s="160">
        <f>IF($Q$438&gt;0,'Assumptions (NG)'!AJ$13*Model!$Q$438*('Assumptions (NG)'!$P$17*AVERAGE('Assumptions (NG)'!$M$2:$O$2)+'Assumptions (NG)'!$P$18*AVERAGE('Assumptions (NG)'!$M$3:$O$3))/10^9,0)</f>
        <v>0.03962071074</v>
      </c>
      <c r="AF614" s="160">
        <f>IF($Q$438&gt;0,'Assumptions (NG)'!AK$13*Model!$Q$438*('Assumptions (NG)'!$P$17*AVERAGE('Assumptions (NG)'!$M$2:$O$2)+'Assumptions (NG)'!$P$18*AVERAGE('Assumptions (NG)'!$M$3:$O$3))/10^9,0)</f>
        <v>0.01977683531</v>
      </c>
      <c r="AG614" s="160"/>
      <c r="AH614" s="160"/>
      <c r="AI614" s="160"/>
      <c r="AJ614" s="160"/>
      <c r="AK614" s="160"/>
      <c r="AL614" s="160"/>
      <c r="AM614" s="160"/>
      <c r="AN614" s="160"/>
      <c r="AO614" s="160"/>
      <c r="AP614" s="160"/>
      <c r="AQ614" s="160"/>
      <c r="AR614" s="160"/>
      <c r="AS614" s="160"/>
      <c r="AT614" s="160"/>
      <c r="AU614" s="160"/>
      <c r="AV614" s="160"/>
      <c r="AW614" s="160"/>
      <c r="AX614" s="160"/>
      <c r="AY614" s="160"/>
      <c r="AZ614" s="160"/>
      <c r="BA614" s="160"/>
    </row>
    <row r="615" ht="15.75" hidden="1" customHeight="1" outlineLevel="1">
      <c r="A615" s="209"/>
      <c r="B615" s="38"/>
      <c r="C615" s="160"/>
      <c r="D615" s="160"/>
      <c r="E615" s="160"/>
      <c r="F615" s="160"/>
      <c r="G615" s="160"/>
      <c r="H615" s="160"/>
      <c r="I615" s="160"/>
      <c r="J615" s="160"/>
      <c r="K615" s="160"/>
      <c r="L615" s="160"/>
      <c r="M615" s="160"/>
      <c r="N615" s="160"/>
      <c r="O615" s="160"/>
      <c r="P615" s="179"/>
      <c r="Q615" s="160"/>
      <c r="R615" s="177">
        <f>IF($R$438&gt;0,'Assumptions (NG)'!V$13*Model!$R$438*('Assumptions (NG)'!$Q$17*AVERAGE('Assumptions (NG)'!$N$2:$P$2)+'Assumptions (NG)'!$Q$18*AVERAGE('Assumptions (NG)'!$N$3:$P$3))/10^9,0)</f>
        <v>0</v>
      </c>
      <c r="S615" s="177">
        <f>IF($R$438&gt;0,'Assumptions (NG)'!W$13*Model!$R$438*('Assumptions (NG)'!$Q$17*AVERAGE('Assumptions (NG)'!$N$2:$P$2)+'Assumptions (NG)'!$Q$18*AVERAGE('Assumptions (NG)'!$N$3:$P$3))/10^9,0)</f>
        <v>0</v>
      </c>
      <c r="T615" s="177">
        <f>IF($R$438&gt;0,'Assumptions (NG)'!X$13*Model!$R$438*('Assumptions (NG)'!$Q$17*AVERAGE('Assumptions (NG)'!$N$2:$P$2)+'Assumptions (NG)'!$Q$18*AVERAGE('Assumptions (NG)'!$N$3:$P$3))/10^9,0)</f>
        <v>0</v>
      </c>
      <c r="U615" s="177">
        <f>IF($R$438&gt;0,'Assumptions (NG)'!Y$13*Model!$R$438*('Assumptions (NG)'!$Q$17*AVERAGE('Assumptions (NG)'!$N$2:$P$2)+'Assumptions (NG)'!$Q$18*AVERAGE('Assumptions (NG)'!$N$3:$P$3))/10^9,0)</f>
        <v>0</v>
      </c>
      <c r="V615" s="177">
        <f>IF($R$438&gt;0,'Assumptions (NG)'!Z$13*Model!$R$438*('Assumptions (NG)'!$Q$17*AVERAGE('Assumptions (NG)'!$N$2:$P$2)+'Assumptions (NG)'!$Q$18*AVERAGE('Assumptions (NG)'!$N$3:$P$3))/10^9,0)</f>
        <v>0</v>
      </c>
      <c r="W615" s="177">
        <f>IF($R$438&gt;0,'Assumptions (NG)'!AA$13*Model!$R$438*('Assumptions (NG)'!$Q$17*AVERAGE('Assumptions (NG)'!$N$2:$P$2)+'Assumptions (NG)'!$Q$18*AVERAGE('Assumptions (NG)'!$N$3:$P$3))/10^9,0)</f>
        <v>0</v>
      </c>
      <c r="X615" s="177">
        <f>IF($R$438&gt;0,'Assumptions (NG)'!AB$13*Model!$R$438*('Assumptions (NG)'!$Q$17*AVERAGE('Assumptions (NG)'!$N$2:$P$2)+'Assumptions (NG)'!$Q$18*AVERAGE('Assumptions (NG)'!$N$3:$P$3))/10^9,0)</f>
        <v>0</v>
      </c>
      <c r="Y615" s="177">
        <f>IF($R$438&gt;0,'Assumptions (NG)'!AC$13*Model!$R$438*('Assumptions (NG)'!$Q$17*AVERAGE('Assumptions (NG)'!$N$2:$P$2)+'Assumptions (NG)'!$Q$18*AVERAGE('Assumptions (NG)'!$N$3:$P$3))/10^9,0)</f>
        <v>0</v>
      </c>
      <c r="Z615" s="177">
        <f>IF($R$438&gt;0,'Assumptions (NG)'!AD$13*Model!$R$438*('Assumptions (NG)'!$Q$17*AVERAGE('Assumptions (NG)'!$N$2:$P$2)+'Assumptions (NG)'!$Q$18*AVERAGE('Assumptions (NG)'!$N$3:$P$3))/10^9,0)</f>
        <v>0</v>
      </c>
      <c r="AA615" s="177">
        <f>IF($R$438&gt;0,'Assumptions (NG)'!AE$13*Model!$R$438*('Assumptions (NG)'!$Q$17*AVERAGE('Assumptions (NG)'!$N$2:$P$2)+'Assumptions (NG)'!$Q$18*AVERAGE('Assumptions (NG)'!$N$3:$P$3))/10^9,0)</f>
        <v>0</v>
      </c>
      <c r="AB615" s="177">
        <f>IF($R$438&gt;0,'Assumptions (NG)'!AF$13*Model!$R$438*('Assumptions (NG)'!$Q$17*AVERAGE('Assumptions (NG)'!$N$2:$P$2)+'Assumptions (NG)'!$Q$18*AVERAGE('Assumptions (NG)'!$N$3:$P$3))/10^9,0)</f>
        <v>0</v>
      </c>
      <c r="AC615" s="177">
        <f>IF($R$438&gt;0,'Assumptions (NG)'!AG$13*Model!$R$438*('Assumptions (NG)'!$Q$17*AVERAGE('Assumptions (NG)'!$N$2:$P$2)+'Assumptions (NG)'!$Q$18*AVERAGE('Assumptions (NG)'!$N$3:$P$3))/10^9,0)</f>
        <v>0</v>
      </c>
      <c r="AD615" s="177">
        <f>IF($R$438&gt;0,'Assumptions (NG)'!AH$13*Model!$R$438*('Assumptions (NG)'!$Q$17*AVERAGE('Assumptions (NG)'!$N$2:$P$2)+'Assumptions (NG)'!$Q$18*AVERAGE('Assumptions (NG)'!$N$3:$P$3))/10^9,0)</f>
        <v>0</v>
      </c>
      <c r="AE615" s="177">
        <f>IF($R$438&gt;0,'Assumptions (NG)'!AI$13*Model!$R$438*('Assumptions (NG)'!$Q$17*AVERAGE('Assumptions (NG)'!$N$2:$P$2)+'Assumptions (NG)'!$Q$18*AVERAGE('Assumptions (NG)'!$N$3:$P$3))/10^9,0)</f>
        <v>0</v>
      </c>
      <c r="AF615" s="177">
        <f>IF($R$438&gt;0,'Assumptions (NG)'!AJ$13*Model!$R$438*('Assumptions (NG)'!$Q$17*AVERAGE('Assumptions (NG)'!$N$2:$P$2)+'Assumptions (NG)'!$Q$18*AVERAGE('Assumptions (NG)'!$N$3:$P$3))/10^9,0)</f>
        <v>0</v>
      </c>
      <c r="AG615" s="177">
        <f>IF($R$438&gt;0,'Assumptions (NG)'!AK$13*Model!$R$438*('Assumptions (NG)'!$Q$17*AVERAGE('Assumptions (NG)'!$N$2:$P$2)+'Assumptions (NG)'!$Q$18*AVERAGE('Assumptions (NG)'!$N$3:$P$3))/10^9,0)</f>
        <v>0</v>
      </c>
      <c r="AH615" s="177"/>
      <c r="AI615" s="177"/>
      <c r="AJ615" s="177"/>
      <c r="AK615" s="177"/>
      <c r="AL615" s="177"/>
      <c r="AM615" s="177"/>
      <c r="AN615" s="177"/>
      <c r="AO615" s="160"/>
      <c r="AP615" s="160"/>
      <c r="AQ615" s="160"/>
      <c r="AR615" s="160"/>
      <c r="AS615" s="160"/>
      <c r="AT615" s="160"/>
      <c r="AU615" s="160"/>
      <c r="AV615" s="160"/>
      <c r="AW615" s="160"/>
      <c r="AX615" s="160"/>
      <c r="AY615" s="160"/>
      <c r="AZ615" s="160"/>
      <c r="BA615" s="160"/>
    </row>
    <row r="616" ht="15.75" hidden="1" customHeight="1" outlineLevel="1">
      <c r="A616" s="209"/>
      <c r="B616" s="38"/>
      <c r="C616" s="160"/>
      <c r="D616" s="160"/>
      <c r="E616" s="160"/>
      <c r="F616" s="160"/>
      <c r="G616" s="160"/>
      <c r="H616" s="160"/>
      <c r="I616" s="160"/>
      <c r="J616" s="160"/>
      <c r="K616" s="160"/>
      <c r="L616" s="160"/>
      <c r="M616" s="160"/>
      <c r="N616" s="160"/>
      <c r="O616" s="160"/>
      <c r="P616" s="179"/>
      <c r="Q616" s="160"/>
      <c r="R616" s="177"/>
      <c r="S616" s="177">
        <f>IF($S$438&gt;0,'Assumptions (NG)'!V$13*Model!$S$438*('Assumptions (NG)'!$R$17*AVERAGE('Assumptions (NG)'!$O$2:$Q$2)+'Assumptions (NG)'!$R$18*AVERAGE('Assumptions (NG)'!$O$3:$Q$3))/10^9,0)</f>
        <v>0</v>
      </c>
      <c r="T616" s="177">
        <f>IF($S$438&gt;0,'Assumptions (NG)'!W$13*Model!$S$438*('Assumptions (NG)'!$R$17*AVERAGE('Assumptions (NG)'!$O$2:$Q$2)+'Assumptions (NG)'!$R$18*AVERAGE('Assumptions (NG)'!$O$3:$Q$3))/10^9,0)</f>
        <v>0</v>
      </c>
      <c r="U616" s="177">
        <f>IF($S$438&gt;0,'Assumptions (NG)'!X$13*Model!$S$438*('Assumptions (NG)'!$R$17*AVERAGE('Assumptions (NG)'!$O$2:$Q$2)+'Assumptions (NG)'!$R$18*AVERAGE('Assumptions (NG)'!$O$3:$Q$3))/10^9,0)</f>
        <v>0</v>
      </c>
      <c r="V616" s="177">
        <f>IF($S$438&gt;0,'Assumptions (NG)'!Y$13*Model!$S$438*('Assumptions (NG)'!$R$17*AVERAGE('Assumptions (NG)'!$O$2:$Q$2)+'Assumptions (NG)'!$R$18*AVERAGE('Assumptions (NG)'!$O$3:$Q$3))/10^9,0)</f>
        <v>0</v>
      </c>
      <c r="W616" s="177">
        <f>IF($S$438&gt;0,'Assumptions (NG)'!Z$13*Model!$S$438*('Assumptions (NG)'!$R$17*AVERAGE('Assumptions (NG)'!$O$2:$Q$2)+'Assumptions (NG)'!$R$18*AVERAGE('Assumptions (NG)'!$O$3:$Q$3))/10^9,0)</f>
        <v>0</v>
      </c>
      <c r="X616" s="177">
        <f>IF($S$438&gt;0,'Assumptions (NG)'!AA$13*Model!$S$438*('Assumptions (NG)'!$R$17*AVERAGE('Assumptions (NG)'!$O$2:$Q$2)+'Assumptions (NG)'!$R$18*AVERAGE('Assumptions (NG)'!$O$3:$Q$3))/10^9,0)</f>
        <v>0</v>
      </c>
      <c r="Y616" s="177">
        <f>IF($S$438&gt;0,'Assumptions (NG)'!AB$13*Model!$S$438*('Assumptions (NG)'!$R$17*AVERAGE('Assumptions (NG)'!$O$2:$Q$2)+'Assumptions (NG)'!$R$18*AVERAGE('Assumptions (NG)'!$O$3:$Q$3))/10^9,0)</f>
        <v>0</v>
      </c>
      <c r="Z616" s="177">
        <f>IF($S$438&gt;0,'Assumptions (NG)'!AC$13*Model!$S$438*('Assumptions (NG)'!$R$17*AVERAGE('Assumptions (NG)'!$O$2:$Q$2)+'Assumptions (NG)'!$R$18*AVERAGE('Assumptions (NG)'!$O$3:$Q$3))/10^9,0)</f>
        <v>0</v>
      </c>
      <c r="AA616" s="177">
        <f>IF($S$438&gt;0,'Assumptions (NG)'!AD$13*Model!$S$438*('Assumptions (NG)'!$R$17*AVERAGE('Assumptions (NG)'!$O$2:$Q$2)+'Assumptions (NG)'!$R$18*AVERAGE('Assumptions (NG)'!$O$3:$Q$3))/10^9,0)</f>
        <v>0</v>
      </c>
      <c r="AB616" s="177">
        <f>IF($S$438&gt;0,'Assumptions (NG)'!AE$13*Model!$S$438*('Assumptions (NG)'!$R$17*AVERAGE('Assumptions (NG)'!$O$2:$Q$2)+'Assumptions (NG)'!$R$18*AVERAGE('Assumptions (NG)'!$O$3:$Q$3))/10^9,0)</f>
        <v>0</v>
      </c>
      <c r="AC616" s="177">
        <f>IF($S$438&gt;0,'Assumptions (NG)'!AF$13*Model!$S$438*('Assumptions (NG)'!$R$17*AVERAGE('Assumptions (NG)'!$O$2:$Q$2)+'Assumptions (NG)'!$R$18*AVERAGE('Assumptions (NG)'!$O$3:$Q$3))/10^9,0)</f>
        <v>0</v>
      </c>
      <c r="AD616" s="177">
        <f>IF($S$438&gt;0,'Assumptions (NG)'!AG$13*Model!$S$438*('Assumptions (NG)'!$R$17*AVERAGE('Assumptions (NG)'!$O$2:$Q$2)+'Assumptions (NG)'!$R$18*AVERAGE('Assumptions (NG)'!$O$3:$Q$3))/10^9,0)</f>
        <v>0</v>
      </c>
      <c r="AE616" s="177">
        <f>IF($S$438&gt;0,'Assumptions (NG)'!AH$13*Model!$S$438*('Assumptions (NG)'!$R$17*AVERAGE('Assumptions (NG)'!$O$2:$Q$2)+'Assumptions (NG)'!$R$18*AVERAGE('Assumptions (NG)'!$O$3:$Q$3))/10^9,0)</f>
        <v>0</v>
      </c>
      <c r="AF616" s="177">
        <f>IF($S$438&gt;0,'Assumptions (NG)'!AI$13*Model!$S$438*('Assumptions (NG)'!$R$17*AVERAGE('Assumptions (NG)'!$O$2:$Q$2)+'Assumptions (NG)'!$R$18*AVERAGE('Assumptions (NG)'!$O$3:$Q$3))/10^9,0)</f>
        <v>0</v>
      </c>
      <c r="AG616" s="177">
        <f>IF($S$438&gt;0,'Assumptions (NG)'!AJ$13*Model!$S$438*('Assumptions (NG)'!$R$17*AVERAGE('Assumptions (NG)'!$O$2:$Q$2)+'Assumptions (NG)'!$R$18*AVERAGE('Assumptions (NG)'!$O$3:$Q$3))/10^9,0)</f>
        <v>0</v>
      </c>
      <c r="AH616" s="177">
        <f>IF($S$438&gt;0,'Assumptions (NG)'!AK$13*Model!$S$438*('Assumptions (NG)'!$R$17*AVERAGE('Assumptions (NG)'!$O$2:$Q$2)+'Assumptions (NG)'!$R$18*AVERAGE('Assumptions (NG)'!$O$3:$Q$3))/10^9,0)</f>
        <v>0</v>
      </c>
      <c r="AI616" s="177"/>
      <c r="AJ616" s="177"/>
      <c r="AK616" s="177"/>
      <c r="AL616" s="177"/>
      <c r="AM616" s="177"/>
      <c r="AN616" s="177"/>
      <c r="AO616" s="160"/>
      <c r="AP616" s="160"/>
      <c r="AQ616" s="160"/>
      <c r="AR616" s="160"/>
      <c r="AS616" s="160"/>
      <c r="AT616" s="160"/>
      <c r="AU616" s="160"/>
      <c r="AV616" s="160"/>
      <c r="AW616" s="160"/>
      <c r="AX616" s="160"/>
      <c r="AY616" s="160"/>
      <c r="AZ616" s="160"/>
      <c r="BA616" s="160"/>
    </row>
    <row r="617" ht="15.75" hidden="1" customHeight="1" outlineLevel="1">
      <c r="A617" s="209"/>
      <c r="B617" s="38"/>
      <c r="C617" s="160"/>
      <c r="D617" s="160"/>
      <c r="E617" s="160"/>
      <c r="F617" s="160"/>
      <c r="G617" s="160"/>
      <c r="H617" s="160"/>
      <c r="I617" s="160"/>
      <c r="J617" s="160"/>
      <c r="K617" s="160"/>
      <c r="L617" s="160"/>
      <c r="M617" s="160"/>
      <c r="N617" s="160"/>
      <c r="O617" s="160"/>
      <c r="P617" s="179"/>
      <c r="Q617" s="160"/>
      <c r="R617" s="177"/>
      <c r="S617" s="177"/>
      <c r="T617" s="160">
        <f>IF($T$438&gt;0,'Assumptions (NG)'!V$13*Model!$T$438*('Assumptions (NG)'!$S$17*AVERAGE('Assumptions (NG)'!$P$2:$R$2)+'Assumptions (NG)'!$S$18*AVERAGE('Assumptions (NG)'!$P$3:$R$3))/10^9,0)</f>
        <v>0</v>
      </c>
      <c r="U617" s="160">
        <f>IF($T$438&gt;0,'Assumptions (NG)'!W$13*Model!$T$438*('Assumptions (NG)'!$S$17*AVERAGE('Assumptions (NG)'!$P$2:$R$2)+'Assumptions (NG)'!$S$18*AVERAGE('Assumptions (NG)'!$P$3:$R$3))/10^9,0)</f>
        <v>0</v>
      </c>
      <c r="V617" s="160">
        <f>IF($T$438&gt;0,'Assumptions (NG)'!X$13*Model!$T$438*('Assumptions (NG)'!$S$17*AVERAGE('Assumptions (NG)'!$P$2:$R$2)+'Assumptions (NG)'!$S$18*AVERAGE('Assumptions (NG)'!$P$3:$R$3))/10^9,0)</f>
        <v>0</v>
      </c>
      <c r="W617" s="160">
        <f>IF($T$438&gt;0,'Assumptions (NG)'!Y$13*Model!$T$438*('Assumptions (NG)'!$S$17*AVERAGE('Assumptions (NG)'!$P$2:$R$2)+'Assumptions (NG)'!$S$18*AVERAGE('Assumptions (NG)'!$P$3:$R$3))/10^9,0)</f>
        <v>0</v>
      </c>
      <c r="X617" s="160">
        <f>IF($T$438&gt;0,'Assumptions (NG)'!Z$13*Model!$T$438*('Assumptions (NG)'!$S$17*AVERAGE('Assumptions (NG)'!$P$2:$R$2)+'Assumptions (NG)'!$S$18*AVERAGE('Assumptions (NG)'!$P$3:$R$3))/10^9,0)</f>
        <v>0</v>
      </c>
      <c r="Y617" s="160">
        <f>IF($T$438&gt;0,'Assumptions (NG)'!AA$13*Model!$T$438*('Assumptions (NG)'!$S$17*AVERAGE('Assumptions (NG)'!$P$2:$R$2)+'Assumptions (NG)'!$S$18*AVERAGE('Assumptions (NG)'!$P$3:$R$3))/10^9,0)</f>
        <v>0</v>
      </c>
      <c r="Z617" s="160">
        <f>IF($T$438&gt;0,'Assumptions (NG)'!AB$13*Model!$T$438*('Assumptions (NG)'!$S$17*AVERAGE('Assumptions (NG)'!$P$2:$R$2)+'Assumptions (NG)'!$S$18*AVERAGE('Assumptions (NG)'!$P$3:$R$3))/10^9,0)</f>
        <v>0</v>
      </c>
      <c r="AA617" s="160">
        <f>IF($T$438&gt;0,'Assumptions (NG)'!AC$13*Model!$T$438*('Assumptions (NG)'!$S$17*AVERAGE('Assumptions (NG)'!$P$2:$R$2)+'Assumptions (NG)'!$S$18*AVERAGE('Assumptions (NG)'!$P$3:$R$3))/10^9,0)</f>
        <v>0</v>
      </c>
      <c r="AB617" s="160">
        <f>IF($T$438&gt;0,'Assumptions (NG)'!AD$13*Model!$T$438*('Assumptions (NG)'!$S$17*AVERAGE('Assumptions (NG)'!$P$2:$R$2)+'Assumptions (NG)'!$S$18*AVERAGE('Assumptions (NG)'!$P$3:$R$3))/10^9,0)</f>
        <v>0</v>
      </c>
      <c r="AC617" s="160">
        <f>IF($T$438&gt;0,'Assumptions (NG)'!AE$13*Model!$T$438*('Assumptions (NG)'!$S$17*AVERAGE('Assumptions (NG)'!$P$2:$R$2)+'Assumptions (NG)'!$S$18*AVERAGE('Assumptions (NG)'!$P$3:$R$3))/10^9,0)</f>
        <v>0</v>
      </c>
      <c r="AD617" s="160">
        <f>IF($T$438&gt;0,'Assumptions (NG)'!AF$13*Model!$T$438*('Assumptions (NG)'!$S$17*AVERAGE('Assumptions (NG)'!$P$2:$R$2)+'Assumptions (NG)'!$S$18*AVERAGE('Assumptions (NG)'!$P$3:$R$3))/10^9,0)</f>
        <v>0</v>
      </c>
      <c r="AE617" s="160">
        <f>IF($T$438&gt;0,'Assumptions (NG)'!AG$13*Model!$T$438*('Assumptions (NG)'!$S$17*AVERAGE('Assumptions (NG)'!$P$2:$R$2)+'Assumptions (NG)'!$S$18*AVERAGE('Assumptions (NG)'!$P$3:$R$3))/10^9,0)</f>
        <v>0</v>
      </c>
      <c r="AF617" s="160">
        <f>IF($T$438&gt;0,'Assumptions (NG)'!AH$13*Model!$T$438*('Assumptions (NG)'!$S$17*AVERAGE('Assumptions (NG)'!$P$2:$R$2)+'Assumptions (NG)'!$S$18*AVERAGE('Assumptions (NG)'!$P$3:$R$3))/10^9,0)</f>
        <v>0</v>
      </c>
      <c r="AG617" s="160">
        <f>IF($T$438&gt;0,'Assumptions (NG)'!AI$13*Model!$T$438*('Assumptions (NG)'!$S$17*AVERAGE('Assumptions (NG)'!$P$2:$R$2)+'Assumptions (NG)'!$S$18*AVERAGE('Assumptions (NG)'!$P$3:$R$3))/10^9,0)</f>
        <v>0</v>
      </c>
      <c r="AH617" s="160">
        <f>IF($T$438&gt;0,'Assumptions (NG)'!AJ$13*Model!$T$438*('Assumptions (NG)'!$S$17*AVERAGE('Assumptions (NG)'!$P$2:$R$2)+'Assumptions (NG)'!$S$18*AVERAGE('Assumptions (NG)'!$P$3:$R$3))/10^9,0)</f>
        <v>0</v>
      </c>
      <c r="AI617" s="160">
        <f>IF($T$438&gt;0,'Assumptions (NG)'!AK$13*Model!$T$438*('Assumptions (NG)'!$S$17*AVERAGE('Assumptions (NG)'!$P$2:$R$2)+'Assumptions (NG)'!$S$18*AVERAGE('Assumptions (NG)'!$P$3:$R$3))/10^9,0)</f>
        <v>0</v>
      </c>
      <c r="AJ617" s="160"/>
      <c r="AK617" s="160"/>
      <c r="AL617" s="160"/>
      <c r="AM617" s="160"/>
      <c r="AN617" s="160"/>
      <c r="AO617" s="160"/>
      <c r="AP617" s="160"/>
      <c r="AQ617" s="160"/>
      <c r="AR617" s="160"/>
      <c r="AS617" s="160"/>
      <c r="AT617" s="160"/>
      <c r="AU617" s="160"/>
      <c r="AV617" s="160"/>
      <c r="AW617" s="160"/>
      <c r="AX617" s="160"/>
      <c r="AY617" s="160"/>
      <c r="AZ617" s="160"/>
      <c r="BA617" s="160"/>
    </row>
    <row r="618" ht="15.75" hidden="1" customHeight="1" outlineLevel="1">
      <c r="A618" s="209"/>
      <c r="B618" s="38"/>
      <c r="C618" s="160"/>
      <c r="D618" s="160"/>
      <c r="E618" s="160"/>
      <c r="F618" s="160"/>
      <c r="G618" s="160"/>
      <c r="H618" s="160"/>
      <c r="I618" s="160"/>
      <c r="J618" s="160"/>
      <c r="K618" s="160"/>
      <c r="L618" s="160"/>
      <c r="M618" s="160"/>
      <c r="N618" s="160"/>
      <c r="O618" s="160"/>
      <c r="P618" s="179"/>
      <c r="Q618" s="160"/>
      <c r="R618" s="177"/>
      <c r="S618" s="177"/>
      <c r="T618" s="177"/>
      <c r="U618" s="160">
        <f>IF($U$438&gt;0,'Assumptions (NG)'!V$13*Model!$U$438*('Assumptions (NG)'!$T$17*AVERAGE('Assumptions (NG)'!$Q$2:$S$2)+'Assumptions (NG)'!$T$18*AVERAGE('Assumptions (NG)'!$Q$3:$S$3))/10^9,0)</f>
        <v>0.1105667794</v>
      </c>
      <c r="V618" s="160">
        <f>IF($U$438&gt;0,'Assumptions (NG)'!W$13*Model!$U$438*('Assumptions (NG)'!$T$17*AVERAGE('Assumptions (NG)'!$Q$2:$S$2)+'Assumptions (NG)'!$T$18*AVERAGE('Assumptions (NG)'!$Q$3:$S$3))/10^9,0)</f>
        <v>0.2100768808</v>
      </c>
      <c r="W618" s="160">
        <f>IF($U$438&gt;0,'Assumptions (NG)'!X$13*Model!$U$438*('Assumptions (NG)'!$T$17*AVERAGE('Assumptions (NG)'!$Q$2:$S$2)+'Assumptions (NG)'!$T$18*AVERAGE('Assumptions (NG)'!$Q$3:$S$3))/10^9,0)</f>
        <v>0.1890691927</v>
      </c>
      <c r="X618" s="160">
        <f>IF($U$438&gt;0,'Assumptions (NG)'!Y$13*Model!$U$438*('Assumptions (NG)'!$T$17*AVERAGE('Assumptions (NG)'!$Q$2:$S$2)+'Assumptions (NG)'!$T$18*AVERAGE('Assumptions (NG)'!$Q$3:$S$3))/10^9,0)</f>
        <v>0.1702728402</v>
      </c>
      <c r="Y618" s="160">
        <f>IF($U$438&gt;0,'Assumptions (NG)'!Z$13*Model!$U$438*('Assumptions (NG)'!$T$17*AVERAGE('Assumptions (NG)'!$Q$2:$S$2)+'Assumptions (NG)'!$T$18*AVERAGE('Assumptions (NG)'!$Q$3:$S$3))/10^9,0)</f>
        <v>0.1532455562</v>
      </c>
      <c r="Z618" s="160">
        <f>IF($U$438&gt;0,'Assumptions (NG)'!AA$13*Model!$U$438*('Assumptions (NG)'!$T$17*AVERAGE('Assumptions (NG)'!$Q$2:$S$2)+'Assumptions (NG)'!$T$18*AVERAGE('Assumptions (NG)'!$Q$3:$S$3))/10^9,0)</f>
        <v>0.1377662071</v>
      </c>
      <c r="AA618" s="160">
        <f>IF($U$438&gt;0,'Assumptions (NG)'!AB$13*Model!$U$438*('Assumptions (NG)'!$T$17*AVERAGE('Assumptions (NG)'!$Q$2:$S$2)+'Assumptions (NG)'!$T$18*AVERAGE('Assumptions (NG)'!$Q$3:$S$3))/10^9,0)</f>
        <v>0.1304687996</v>
      </c>
      <c r="AB618" s="160">
        <f>IF($U$438&gt;0,'Assumptions (NG)'!AC$13*Model!$U$438*('Assumptions (NG)'!$T$17*AVERAGE('Assumptions (NG)'!$Q$2:$S$2)+'Assumptions (NG)'!$T$18*AVERAGE('Assumptions (NG)'!$Q$3:$S$3))/10^9,0)</f>
        <v>0.1304687996</v>
      </c>
      <c r="AC618" s="160">
        <f>IF($U$438&gt;0,'Assumptions (NG)'!AD$13*Model!$U$438*('Assumptions (NG)'!$T$17*AVERAGE('Assumptions (NG)'!$Q$2:$S$2)+'Assumptions (NG)'!$T$18*AVERAGE('Assumptions (NG)'!$Q$3:$S$3))/10^9,0)</f>
        <v>0.1306899332</v>
      </c>
      <c r="AD618" s="160">
        <f>IF($U$438&gt;0,'Assumptions (NG)'!AE$13*Model!$U$438*('Assumptions (NG)'!$T$17*AVERAGE('Assumptions (NG)'!$Q$2:$S$2)+'Assumptions (NG)'!$T$18*AVERAGE('Assumptions (NG)'!$Q$3:$S$3))/10^9,0)</f>
        <v>0.1304687996</v>
      </c>
      <c r="AE618" s="160">
        <f>IF($U$438&gt;0,'Assumptions (NG)'!AF$13*Model!$U$438*('Assumptions (NG)'!$T$17*AVERAGE('Assumptions (NG)'!$Q$2:$S$2)+'Assumptions (NG)'!$T$18*AVERAGE('Assumptions (NG)'!$Q$3:$S$3))/10^9,0)</f>
        <v>0.1306899332</v>
      </c>
      <c r="AF618" s="160">
        <f>IF($U$438&gt;0,'Assumptions (NG)'!AG$13*Model!$U$438*('Assumptions (NG)'!$T$17*AVERAGE('Assumptions (NG)'!$Q$2:$S$2)+'Assumptions (NG)'!$T$18*AVERAGE('Assumptions (NG)'!$Q$3:$S$3))/10^9,0)</f>
        <v>0.1304687996</v>
      </c>
      <c r="AG618" s="160">
        <f>IF($U$438&gt;0,'Assumptions (NG)'!AH$13*Model!$U$438*('Assumptions (NG)'!$T$17*AVERAGE('Assumptions (NG)'!$Q$2:$S$2)+'Assumptions (NG)'!$T$18*AVERAGE('Assumptions (NG)'!$Q$3:$S$3))/10^9,0)</f>
        <v>0.1306899332</v>
      </c>
      <c r="AH618" s="160">
        <f>IF($U$438&gt;0,'Assumptions (NG)'!AI$13*Model!$U$438*('Assumptions (NG)'!$T$17*AVERAGE('Assumptions (NG)'!$Q$2:$S$2)+'Assumptions (NG)'!$T$18*AVERAGE('Assumptions (NG)'!$Q$3:$S$3))/10^9,0)</f>
        <v>0.1304687996</v>
      </c>
      <c r="AI618" s="160">
        <f>IF($U$438&gt;0,'Assumptions (NG)'!AJ$13*Model!$U$438*('Assumptions (NG)'!$T$17*AVERAGE('Assumptions (NG)'!$Q$2:$S$2)+'Assumptions (NG)'!$T$18*AVERAGE('Assumptions (NG)'!$Q$3:$S$3))/10^9,0)</f>
        <v>0.1306899332</v>
      </c>
      <c r="AJ618" s="160">
        <f>IF($U$438&gt;0,'Assumptions (NG)'!AK$13*Model!$U$438*('Assumptions (NG)'!$T$17*AVERAGE('Assumptions (NG)'!$Q$2:$S$2)+'Assumptions (NG)'!$T$18*AVERAGE('Assumptions (NG)'!$Q$3:$S$3))/10^9,0)</f>
        <v>0.06523439982</v>
      </c>
      <c r="AK618" s="160"/>
      <c r="AL618" s="160"/>
      <c r="AM618" s="160"/>
      <c r="AN618" s="160"/>
      <c r="AO618" s="160"/>
      <c r="AP618" s="160"/>
      <c r="AQ618" s="160"/>
      <c r="AR618" s="160"/>
      <c r="AS618" s="160"/>
      <c r="AT618" s="160"/>
      <c r="AU618" s="160"/>
      <c r="AV618" s="160"/>
      <c r="AW618" s="160"/>
      <c r="AX618" s="160"/>
      <c r="AY618" s="160"/>
      <c r="AZ618" s="160"/>
      <c r="BA618" s="160"/>
    </row>
    <row r="619" ht="15.75" hidden="1" customHeight="1" outlineLevel="1">
      <c r="A619" s="209"/>
      <c r="B619" s="38"/>
      <c r="C619" s="160"/>
      <c r="D619" s="160"/>
      <c r="E619" s="160"/>
      <c r="F619" s="160"/>
      <c r="G619" s="160"/>
      <c r="H619" s="160"/>
      <c r="I619" s="160"/>
      <c r="J619" s="160"/>
      <c r="K619" s="160"/>
      <c r="L619" s="160"/>
      <c r="M619" s="160"/>
      <c r="N619" s="160"/>
      <c r="O619" s="160"/>
      <c r="P619" s="179"/>
      <c r="Q619" s="160"/>
      <c r="R619" s="177"/>
      <c r="S619" s="177"/>
      <c r="T619" s="177"/>
      <c r="U619" s="160"/>
      <c r="V619" s="160">
        <f>IF($V$438&gt;0,'Assumptions (NG)'!V$13*Model!$V$438*('Assumptions (NG)'!$U$17*AVERAGE('Assumptions (NG)'!$R$2:$T$2)+'Assumptions (NG)'!$U$18*AVERAGE('Assumptions (NG)'!$R$3:$T$3))/10^9,0)</f>
        <v>0</v>
      </c>
      <c r="W619" s="160">
        <f>IF($V$438&gt;0,'Assumptions (NG)'!W$13*Model!$V$438*('Assumptions (NG)'!$U$17*AVERAGE('Assumptions (NG)'!$R$2:$T$2)+'Assumptions (NG)'!$U$18*AVERAGE('Assumptions (NG)'!$R$3:$T$3))/10^9,0)</f>
        <v>0</v>
      </c>
      <c r="X619" s="160">
        <f>IF($V$438&gt;0,'Assumptions (NG)'!X$13*Model!$V$438*('Assumptions (NG)'!$U$17*AVERAGE('Assumptions (NG)'!$R$2:$T$2)+'Assumptions (NG)'!$U$18*AVERAGE('Assumptions (NG)'!$R$3:$T$3))/10^9,0)</f>
        <v>0</v>
      </c>
      <c r="Y619" s="160">
        <f>IF($V$438&gt;0,'Assumptions (NG)'!Y$13*Model!$V$438*('Assumptions (NG)'!$U$17*AVERAGE('Assumptions (NG)'!$R$2:$T$2)+'Assumptions (NG)'!$U$18*AVERAGE('Assumptions (NG)'!$R$3:$T$3))/10^9,0)</f>
        <v>0</v>
      </c>
      <c r="Z619" s="160">
        <f>IF($V$438&gt;0,'Assumptions (NG)'!Z$13*Model!$V$438*('Assumptions (NG)'!$U$17*AVERAGE('Assumptions (NG)'!$R$2:$T$2)+'Assumptions (NG)'!$U$18*AVERAGE('Assumptions (NG)'!$R$3:$T$3))/10^9,0)</f>
        <v>0</v>
      </c>
      <c r="AA619" s="160">
        <f>IF($V$438&gt;0,'Assumptions (NG)'!AA$13*Model!$V$438*('Assumptions (NG)'!$U$17*AVERAGE('Assumptions (NG)'!$R$2:$T$2)+'Assumptions (NG)'!$U$18*AVERAGE('Assumptions (NG)'!$R$3:$T$3))/10^9,0)</f>
        <v>0</v>
      </c>
      <c r="AB619" s="160">
        <f>IF($V$438&gt;0,'Assumptions (NG)'!AB$13*Model!$V$438*('Assumptions (NG)'!$U$17*AVERAGE('Assumptions (NG)'!$R$2:$T$2)+'Assumptions (NG)'!$U$18*AVERAGE('Assumptions (NG)'!$R$3:$T$3))/10^9,0)</f>
        <v>0</v>
      </c>
      <c r="AC619" s="160">
        <f>IF($V$438&gt;0,'Assumptions (NG)'!AC$13*Model!$V$438*('Assumptions (NG)'!$U$17*AVERAGE('Assumptions (NG)'!$R$2:$T$2)+'Assumptions (NG)'!$U$18*AVERAGE('Assumptions (NG)'!$R$3:$T$3))/10^9,0)</f>
        <v>0</v>
      </c>
      <c r="AD619" s="160">
        <f>IF($V$438&gt;0,'Assumptions (NG)'!AD$13*Model!$V$438*('Assumptions (NG)'!$U$17*AVERAGE('Assumptions (NG)'!$R$2:$T$2)+'Assumptions (NG)'!$U$18*AVERAGE('Assumptions (NG)'!$R$3:$T$3))/10^9,0)</f>
        <v>0</v>
      </c>
      <c r="AE619" s="160">
        <f>IF($V$438&gt;0,'Assumptions (NG)'!AE$13*Model!$V$438*('Assumptions (NG)'!$U$17*AVERAGE('Assumptions (NG)'!$R$2:$T$2)+'Assumptions (NG)'!$U$18*AVERAGE('Assumptions (NG)'!$R$3:$T$3))/10^9,0)</f>
        <v>0</v>
      </c>
      <c r="AF619" s="160">
        <f>IF($V$438&gt;0,'Assumptions (NG)'!AF$13*Model!$V$438*('Assumptions (NG)'!$U$17*AVERAGE('Assumptions (NG)'!$R$2:$T$2)+'Assumptions (NG)'!$U$18*AVERAGE('Assumptions (NG)'!$R$3:$T$3))/10^9,0)</f>
        <v>0</v>
      </c>
      <c r="AG619" s="160">
        <f>IF($V$438&gt;0,'Assumptions (NG)'!AG$13*Model!$V$438*('Assumptions (NG)'!$U$17*AVERAGE('Assumptions (NG)'!$R$2:$T$2)+'Assumptions (NG)'!$U$18*AVERAGE('Assumptions (NG)'!$R$3:$T$3))/10^9,0)</f>
        <v>0</v>
      </c>
      <c r="AH619" s="160">
        <f>IF($V$438&gt;0,'Assumptions (NG)'!AH$13*Model!$V$438*('Assumptions (NG)'!$U$17*AVERAGE('Assumptions (NG)'!$R$2:$T$2)+'Assumptions (NG)'!$U$18*AVERAGE('Assumptions (NG)'!$R$3:$T$3))/10^9,0)</f>
        <v>0</v>
      </c>
      <c r="AI619" s="160">
        <f>IF($V$438&gt;0,'Assumptions (NG)'!AI$13*Model!$V$438*('Assumptions (NG)'!$U$17*AVERAGE('Assumptions (NG)'!$R$2:$T$2)+'Assumptions (NG)'!$U$18*AVERAGE('Assumptions (NG)'!$R$3:$T$3))/10^9,0)</f>
        <v>0</v>
      </c>
      <c r="AJ619" s="160">
        <f>IF($V$438&gt;0,'Assumptions (NG)'!AJ$13*Model!$V$438*('Assumptions (NG)'!$U$17*AVERAGE('Assumptions (NG)'!$R$2:$T$2)+'Assumptions (NG)'!$U$18*AVERAGE('Assumptions (NG)'!$R$3:$T$3))/10^9,0)</f>
        <v>0</v>
      </c>
      <c r="AK619" s="160">
        <f>IF($V$438&gt;0,'Assumptions (NG)'!AK$13*Model!$V$438*('Assumptions (NG)'!$U$17*AVERAGE('Assumptions (NG)'!$R$2:$T$2)+'Assumptions (NG)'!$U$18*AVERAGE('Assumptions (NG)'!$R$3:$T$3))/10^9,0)</f>
        <v>0</v>
      </c>
      <c r="AL619" s="160"/>
      <c r="AM619" s="160"/>
      <c r="AN619" s="160"/>
      <c r="AO619" s="160"/>
      <c r="AP619" s="160"/>
      <c r="AQ619" s="160"/>
      <c r="AR619" s="160"/>
      <c r="AS619" s="160"/>
      <c r="AT619" s="160"/>
      <c r="AU619" s="160"/>
      <c r="AV619" s="160"/>
      <c r="AW619" s="160"/>
      <c r="AX619" s="160"/>
      <c r="AY619" s="160"/>
      <c r="AZ619" s="160"/>
      <c r="BA619" s="160"/>
    </row>
    <row r="620" ht="15.75" hidden="1" customHeight="1" outlineLevel="1">
      <c r="A620" s="209"/>
      <c r="B620" s="38"/>
      <c r="C620" s="174"/>
      <c r="D620" s="174"/>
      <c r="E620" s="174"/>
      <c r="F620" s="174"/>
      <c r="G620" s="174"/>
      <c r="H620" s="174"/>
      <c r="I620" s="174"/>
      <c r="J620" s="174"/>
      <c r="K620" s="174"/>
      <c r="L620" s="174"/>
      <c r="M620" s="174"/>
      <c r="N620" s="174"/>
      <c r="O620" s="174"/>
      <c r="P620" s="174"/>
      <c r="Q620" s="174"/>
      <c r="R620" s="174"/>
      <c r="S620" s="174"/>
      <c r="T620" s="174"/>
      <c r="U620" s="174"/>
      <c r="V620" s="174"/>
      <c r="W620" s="160">
        <f>IF($W$438&gt;0,'Assumptions (NG)'!V13*Model!$W$438*('Assumptions (NG)'!$V$17*AVERAGE('Assumptions (NG)'!$S$2:$U$2)+'Assumptions (NG)'!$V$18*AVERAGE('Assumptions (NG)'!$S$3:$U$3))/10^9,0)</f>
        <v>0</v>
      </c>
      <c r="X620" s="160">
        <f>IF($W$438&gt;0,'Assumptions (NG)'!W13*Model!$W$438*('Assumptions (NG)'!$V$17*AVERAGE('Assumptions (NG)'!$S$2:$U$2)+'Assumptions (NG)'!$V$18*AVERAGE('Assumptions (NG)'!$S$3:$U$3))/10^9,0)</f>
        <v>0</v>
      </c>
      <c r="Y620" s="160">
        <f>IF($W$438&gt;0,'Assumptions (NG)'!X13*Model!$W$438*('Assumptions (NG)'!$V$17*AVERAGE('Assumptions (NG)'!$S$2:$U$2)+'Assumptions (NG)'!$V$18*AVERAGE('Assumptions (NG)'!$S$3:$U$3))/10^9,0)</f>
        <v>0</v>
      </c>
      <c r="Z620" s="160">
        <f>IF($W$438&gt;0,'Assumptions (NG)'!Y13*Model!$W$438*('Assumptions (NG)'!$V$17*AVERAGE('Assumptions (NG)'!$S$2:$U$2)+'Assumptions (NG)'!$V$18*AVERAGE('Assumptions (NG)'!$S$3:$U$3))/10^9,0)</f>
        <v>0</v>
      </c>
      <c r="AA620" s="160">
        <f>IF($W$438&gt;0,'Assumptions (NG)'!Z13*Model!$W$438*('Assumptions (NG)'!$V$17*AVERAGE('Assumptions (NG)'!$S$2:$U$2)+'Assumptions (NG)'!$V$18*AVERAGE('Assumptions (NG)'!$S$3:$U$3))/10^9,0)</f>
        <v>0</v>
      </c>
      <c r="AB620" s="160">
        <f>IF($W$438&gt;0,'Assumptions (NG)'!AA13*Model!$W$438*('Assumptions (NG)'!$V$17*AVERAGE('Assumptions (NG)'!$S$2:$U$2)+'Assumptions (NG)'!$V$18*AVERAGE('Assumptions (NG)'!$S$3:$U$3))/10^9,0)</f>
        <v>0</v>
      </c>
      <c r="AC620" s="160">
        <f>IF($W$438&gt;0,'Assumptions (NG)'!AB13*Model!$W$438*('Assumptions (NG)'!$V$17*AVERAGE('Assumptions (NG)'!$S$2:$U$2)+'Assumptions (NG)'!$V$18*AVERAGE('Assumptions (NG)'!$S$3:$U$3))/10^9,0)</f>
        <v>0</v>
      </c>
      <c r="AD620" s="160">
        <f>IF($W$438&gt;0,'Assumptions (NG)'!AC13*Model!$W$438*('Assumptions (NG)'!$V$17*AVERAGE('Assumptions (NG)'!$S$2:$U$2)+'Assumptions (NG)'!$V$18*AVERAGE('Assumptions (NG)'!$S$3:$U$3))/10^9,0)</f>
        <v>0</v>
      </c>
      <c r="AE620" s="160">
        <f>IF($W$438&gt;0,'Assumptions (NG)'!AD13*Model!$W$438*('Assumptions (NG)'!$V$17*AVERAGE('Assumptions (NG)'!$S$2:$U$2)+'Assumptions (NG)'!$V$18*AVERAGE('Assumptions (NG)'!$S$3:$U$3))/10^9,0)</f>
        <v>0</v>
      </c>
      <c r="AF620" s="160">
        <f>IF($W$438&gt;0,'Assumptions (NG)'!AE13*Model!$W$438*('Assumptions (NG)'!$V$17*AVERAGE('Assumptions (NG)'!$S$2:$U$2)+'Assumptions (NG)'!$V$18*AVERAGE('Assumptions (NG)'!$S$3:$U$3))/10^9,0)</f>
        <v>0</v>
      </c>
      <c r="AG620" s="160">
        <f>IF($W$438&gt;0,'Assumptions (NG)'!AF13*Model!$W$438*('Assumptions (NG)'!$V$17*AVERAGE('Assumptions (NG)'!$S$2:$U$2)+'Assumptions (NG)'!$V$18*AVERAGE('Assumptions (NG)'!$S$3:$U$3))/10^9,0)</f>
        <v>0</v>
      </c>
      <c r="AH620" s="160">
        <f>IF($W$438&gt;0,'Assumptions (NG)'!AG13*Model!$W$438*('Assumptions (NG)'!$V$17*AVERAGE('Assumptions (NG)'!$S$2:$U$2)+'Assumptions (NG)'!$V$18*AVERAGE('Assumptions (NG)'!$S$3:$U$3))/10^9,0)</f>
        <v>0</v>
      </c>
      <c r="AI620" s="160">
        <f>IF($W$438&gt;0,'Assumptions (NG)'!AH13*Model!$W$438*('Assumptions (NG)'!$V$17*AVERAGE('Assumptions (NG)'!$S$2:$U$2)+'Assumptions (NG)'!$V$18*AVERAGE('Assumptions (NG)'!$S$3:$U$3))/10^9,0)</f>
        <v>0</v>
      </c>
      <c r="AJ620" s="160">
        <f>IF($W$438&gt;0,'Assumptions (NG)'!AI13*Model!$W$438*('Assumptions (NG)'!$V$17*AVERAGE('Assumptions (NG)'!$S$2:$U$2)+'Assumptions (NG)'!$V$18*AVERAGE('Assumptions (NG)'!$S$3:$U$3))/10^9,0)</f>
        <v>0</v>
      </c>
      <c r="AK620" s="160">
        <f>IF($W$438&gt;0,'Assumptions (NG)'!AJ13*Model!$W$438*('Assumptions (NG)'!$V$17*AVERAGE('Assumptions (NG)'!$S$2:$U$2)+'Assumptions (NG)'!$V$18*AVERAGE('Assumptions (NG)'!$S$3:$U$3))/10^9,0)</f>
        <v>0</v>
      </c>
      <c r="AL620" s="160">
        <f>IF($W$438&gt;0,'Assumptions (NG)'!AK13*Model!$W$438*('Assumptions (NG)'!$V$17*AVERAGE('Assumptions (NG)'!$S$2:$U$2)+'Assumptions (NG)'!$V$18*AVERAGE('Assumptions (NG)'!$S$3:$U$3))/10^9,0)</f>
        <v>0</v>
      </c>
      <c r="AM620" s="160"/>
      <c r="AN620" s="160"/>
      <c r="AO620" s="160"/>
      <c r="AP620" s="160"/>
      <c r="AQ620" s="160"/>
      <c r="AR620" s="160"/>
      <c r="AS620" s="160"/>
      <c r="AT620" s="160"/>
      <c r="AU620" s="160"/>
      <c r="AV620" s="160"/>
      <c r="AW620" s="160"/>
      <c r="AX620" s="160"/>
      <c r="AY620" s="160"/>
      <c r="AZ620" s="160"/>
      <c r="BA620" s="160"/>
    </row>
    <row r="621" ht="15.75" hidden="1" customHeight="1" outlineLevel="1">
      <c r="A621" s="209"/>
      <c r="B621" s="38"/>
      <c r="C621" s="174"/>
      <c r="D621" s="174"/>
      <c r="E621" s="174"/>
      <c r="F621" s="174"/>
      <c r="G621" s="174"/>
      <c r="H621" s="174"/>
      <c r="I621" s="174"/>
      <c r="J621" s="174"/>
      <c r="K621" s="174"/>
      <c r="L621" s="174"/>
      <c r="M621" s="174"/>
      <c r="N621" s="174"/>
      <c r="O621" s="174"/>
      <c r="P621" s="174"/>
      <c r="Q621" s="174"/>
      <c r="R621" s="174"/>
      <c r="S621" s="174"/>
      <c r="T621" s="174"/>
      <c r="U621" s="174"/>
      <c r="V621" s="174"/>
      <c r="W621" s="160"/>
      <c r="X621" s="176">
        <f>IF($X$438&gt;0,'Assumptions (NG)'!V13*Model!$X$438*('Assumptions (NG)'!$W$17*AVERAGE('Assumptions (NG)'!$T$2:$V$2)+'Assumptions (NG)'!$W$18*AVERAGE('Assumptions (NG)'!$T$3:$V$3))/10^9,0)</f>
        <v>0.05789782108</v>
      </c>
      <c r="Y621" s="176">
        <f>IF($X$438&gt;0,'Assumptions (NG)'!W13*Model!$X$438*('Assumptions (NG)'!$W$17*AVERAGE('Assumptions (NG)'!$T$2:$V$2)+'Assumptions (NG)'!$W$18*AVERAGE('Assumptions (NG)'!$T$3:$V$3))/10^9,0)</f>
        <v>0.11000586</v>
      </c>
      <c r="Z621" s="176">
        <f>IF($X$438&gt;0,'Assumptions (NG)'!X13*Model!$X$438*('Assumptions (NG)'!$W$17*AVERAGE('Assumptions (NG)'!$T$2:$V$2)+'Assumptions (NG)'!$W$18*AVERAGE('Assumptions (NG)'!$T$3:$V$3))/10^9,0)</f>
        <v>0.09900527404</v>
      </c>
      <c r="AA621" s="176">
        <f>IF($X$438&gt;0,'Assumptions (NG)'!Y13*Model!$X$438*('Assumptions (NG)'!$W$17*AVERAGE('Assumptions (NG)'!$T$2:$V$2)+'Assumptions (NG)'!$W$18*AVERAGE('Assumptions (NG)'!$T$3:$V$3))/10^9,0)</f>
        <v>0.08916264446</v>
      </c>
      <c r="AB621" s="176">
        <f>IF($X$438&gt;0,'Assumptions (NG)'!Z13*Model!$X$438*('Assumptions (NG)'!$W$17*AVERAGE('Assumptions (NG)'!$T$2:$V$2)+'Assumptions (NG)'!$W$18*AVERAGE('Assumptions (NG)'!$T$3:$V$3))/10^9,0)</f>
        <v>0.08024638001</v>
      </c>
      <c r="AC621" s="176">
        <f>IF($X$438&gt;0,'Assumptions (NG)'!AA13*Model!$X$438*('Assumptions (NG)'!$W$17*AVERAGE('Assumptions (NG)'!$T$2:$V$2)+'Assumptions (NG)'!$W$18*AVERAGE('Assumptions (NG)'!$T$3:$V$3))/10^9,0)</f>
        <v>0.07214068506</v>
      </c>
      <c r="AD621" s="176">
        <f>IF($X$438&gt;0,'Assumptions (NG)'!AB13*Model!$X$438*('Assumptions (NG)'!$W$17*AVERAGE('Assumptions (NG)'!$T$2:$V$2)+'Assumptions (NG)'!$W$18*AVERAGE('Assumptions (NG)'!$T$3:$V$3))/10^9,0)</f>
        <v>0.06831942887</v>
      </c>
      <c r="AE621" s="176">
        <f>IF($X$438&gt;0,'Assumptions (NG)'!AC13*Model!$X$438*('Assumptions (NG)'!$W$17*AVERAGE('Assumptions (NG)'!$T$2:$V$2)+'Assumptions (NG)'!$W$18*AVERAGE('Assumptions (NG)'!$T$3:$V$3))/10^9,0)</f>
        <v>0.06831942887</v>
      </c>
      <c r="AF621" s="176">
        <f>IF($X$438&gt;0,'Assumptions (NG)'!AD13*Model!$X$438*('Assumptions (NG)'!$W$17*AVERAGE('Assumptions (NG)'!$T$2:$V$2)+'Assumptions (NG)'!$W$18*AVERAGE('Assumptions (NG)'!$T$3:$V$3))/10^9,0)</f>
        <v>0.06843522451</v>
      </c>
      <c r="AG621" s="176">
        <f>IF($X$438&gt;0,'Assumptions (NG)'!AE13*Model!$X$438*('Assumptions (NG)'!$W$17*AVERAGE('Assumptions (NG)'!$T$2:$V$2)+'Assumptions (NG)'!$W$18*AVERAGE('Assumptions (NG)'!$T$3:$V$3))/10^9,0)</f>
        <v>0.06831942887</v>
      </c>
      <c r="AH621" s="176">
        <f>IF($X$438&gt;0,'Assumptions (NG)'!AF13*Model!$X$438*('Assumptions (NG)'!$W$17*AVERAGE('Assumptions (NG)'!$T$2:$V$2)+'Assumptions (NG)'!$W$18*AVERAGE('Assumptions (NG)'!$T$3:$V$3))/10^9,0)</f>
        <v>0.06843522451</v>
      </c>
      <c r="AI621" s="176">
        <f>IF($X$438&gt;0,'Assumptions (NG)'!AG13*Model!$X$438*('Assumptions (NG)'!$W$17*AVERAGE('Assumptions (NG)'!$T$2:$V$2)+'Assumptions (NG)'!$W$18*AVERAGE('Assumptions (NG)'!$T$3:$V$3))/10^9,0)</f>
        <v>0.06831942887</v>
      </c>
      <c r="AJ621" s="176">
        <f>IF($X$438&gt;0,'Assumptions (NG)'!AH13*Model!$X$438*('Assumptions (NG)'!$W$17*AVERAGE('Assumptions (NG)'!$T$2:$V$2)+'Assumptions (NG)'!$W$18*AVERAGE('Assumptions (NG)'!$T$3:$V$3))/10^9,0)</f>
        <v>0.06843522451</v>
      </c>
      <c r="AK621" s="176">
        <f>IF($X$438&gt;0,'Assumptions (NG)'!AI13*Model!$X$438*('Assumptions (NG)'!$W$17*AVERAGE('Assumptions (NG)'!$T$2:$V$2)+'Assumptions (NG)'!$W$18*AVERAGE('Assumptions (NG)'!$T$3:$V$3))/10^9,0)</f>
        <v>0.06831942887</v>
      </c>
      <c r="AL621" s="176">
        <f>IF($X$438&gt;0,'Assumptions (NG)'!AJ13*Model!$X$438*('Assumptions (NG)'!$W$17*AVERAGE('Assumptions (NG)'!$T$2:$V$2)+'Assumptions (NG)'!$W$18*AVERAGE('Assumptions (NG)'!$T$3:$V$3))/10^9,0)</f>
        <v>0.06843522451</v>
      </c>
      <c r="AM621" s="176">
        <f>IF($X$438&gt;0,'Assumptions (NG)'!AK13*Model!$X$438*('Assumptions (NG)'!$W$17*AVERAGE('Assumptions (NG)'!$T$2:$V$2)+'Assumptions (NG)'!$W$18*AVERAGE('Assumptions (NG)'!$T$3:$V$3))/10^9,0)</f>
        <v>0.03415971443</v>
      </c>
      <c r="AN621" s="160"/>
      <c r="AO621" s="160"/>
      <c r="AP621" s="160"/>
      <c r="AQ621" s="160"/>
      <c r="AR621" s="160"/>
      <c r="AS621" s="160"/>
      <c r="AT621" s="160"/>
      <c r="AU621" s="160"/>
      <c r="AV621" s="160"/>
      <c r="AW621" s="160"/>
      <c r="AX621" s="160"/>
      <c r="AY621" s="160"/>
      <c r="AZ621" s="160"/>
      <c r="BA621" s="160"/>
    </row>
    <row r="622" ht="15.75" hidden="1" customHeight="1" outlineLevel="1">
      <c r="A622" s="209"/>
      <c r="B622" s="38"/>
      <c r="C622" s="174"/>
      <c r="D622" s="174"/>
      <c r="E622" s="174"/>
      <c r="F622" s="174"/>
      <c r="G622" s="174"/>
      <c r="H622" s="174"/>
      <c r="I622" s="174"/>
      <c r="J622" s="174"/>
      <c r="K622" s="174"/>
      <c r="L622" s="174"/>
      <c r="M622" s="174"/>
      <c r="N622" s="174"/>
      <c r="O622" s="174"/>
      <c r="P622" s="174"/>
      <c r="Q622" s="174"/>
      <c r="R622" s="174"/>
      <c r="S622" s="174"/>
      <c r="T622" s="174"/>
      <c r="U622" s="174"/>
      <c r="V622" s="174"/>
      <c r="W622" s="160"/>
      <c r="X622" s="160"/>
      <c r="Y622" s="176">
        <f>IF($Y$438&gt;0,'Assumptions (NG)'!V13*Model!$Y$438*('Assumptions (NG)'!$X$17*AVERAGE('Assumptions (NG)'!$V$2:$W$2)+'Assumptions (NG)'!$X$18*AVERAGE('Assumptions (NG)'!$V$3:$W$3))/10^9,0)</f>
        <v>0.03318258198</v>
      </c>
      <c r="Z622" s="176">
        <f>IF($Y$438&gt;0,'Assumptions (NG)'!W13*Model!$Y$438*('Assumptions (NG)'!$X$17*AVERAGE('Assumptions (NG)'!$V$2:$W$2)+'Assumptions (NG)'!$X$18*AVERAGE('Assumptions (NG)'!$V$3:$W$3))/10^9,0)</f>
        <v>0.06304690576</v>
      </c>
      <c r="AA622" s="176">
        <f>IF($Y$438&gt;0,'Assumptions (NG)'!X13*Model!$Y$438*('Assumptions (NG)'!$X$17*AVERAGE('Assumptions (NG)'!$V$2:$W$2)+'Assumptions (NG)'!$X$18*AVERAGE('Assumptions (NG)'!$V$3:$W$3))/10^9,0)</f>
        <v>0.05674221519</v>
      </c>
      <c r="AB622" s="176">
        <f>IF($Y$438&gt;0,'Assumptions (NG)'!Y13*Model!$Y$438*('Assumptions (NG)'!$X$17*AVERAGE('Assumptions (NG)'!$V$2:$W$2)+'Assumptions (NG)'!$X$18*AVERAGE('Assumptions (NG)'!$V$3:$W$3))/10^9,0)</f>
        <v>0.05110117625</v>
      </c>
      <c r="AC622" s="176">
        <f>IF($Y$438&gt;0,'Assumptions (NG)'!Z13*Model!$Y$438*('Assumptions (NG)'!$X$17*AVERAGE('Assumptions (NG)'!$V$2:$W$2)+'Assumptions (NG)'!$X$18*AVERAGE('Assumptions (NG)'!$V$3:$W$3))/10^9,0)</f>
        <v>0.04599105862</v>
      </c>
      <c r="AD622" s="176">
        <f>IF($Y$438&gt;0,'Assumptions (NG)'!AA13*Model!$Y$438*('Assumptions (NG)'!$X$17*AVERAGE('Assumptions (NG)'!$V$2:$W$2)+'Assumptions (NG)'!$X$18*AVERAGE('Assumptions (NG)'!$V$3:$W$3))/10^9,0)</f>
        <v>0.04134549715</v>
      </c>
      <c r="AE622" s="176">
        <f>IF($Y$438&gt;0,'Assumptions (NG)'!AB13*Model!$Y$438*('Assumptions (NG)'!$X$17*AVERAGE('Assumptions (NG)'!$V$2:$W$2)+'Assumptions (NG)'!$X$18*AVERAGE('Assumptions (NG)'!$V$3:$W$3))/10^9,0)</f>
        <v>0.03915544674</v>
      </c>
      <c r="AF622" s="176">
        <f>IF($Y$438&gt;0,'Assumptions (NG)'!AC13*Model!$Y$438*('Assumptions (NG)'!$X$17*AVERAGE('Assumptions (NG)'!$V$2:$W$2)+'Assumptions (NG)'!$X$18*AVERAGE('Assumptions (NG)'!$V$3:$W$3))/10^9,0)</f>
        <v>0.03915544674</v>
      </c>
      <c r="AG622" s="176">
        <f>IF($Y$438&gt;0,'Assumptions (NG)'!AD13*Model!$Y$438*('Assumptions (NG)'!$X$17*AVERAGE('Assumptions (NG)'!$V$2:$W$2)+'Assumptions (NG)'!$X$18*AVERAGE('Assumptions (NG)'!$V$3:$W$3))/10^9,0)</f>
        <v>0.0392218119</v>
      </c>
      <c r="AH622" s="176">
        <f>IF($Y$438&gt;0,'Assumptions (NG)'!AE13*Model!$Y$438*('Assumptions (NG)'!$X$17*AVERAGE('Assumptions (NG)'!$V$2:$W$2)+'Assumptions (NG)'!$X$18*AVERAGE('Assumptions (NG)'!$V$3:$W$3))/10^9,0)</f>
        <v>0.03915544674</v>
      </c>
      <c r="AI622" s="176">
        <f>IF($Y$438&gt;0,'Assumptions (NG)'!AF13*Model!$Y$438*('Assumptions (NG)'!$X$17*AVERAGE('Assumptions (NG)'!$V$2:$W$2)+'Assumptions (NG)'!$X$18*AVERAGE('Assumptions (NG)'!$V$3:$W$3))/10^9,0)</f>
        <v>0.0392218119</v>
      </c>
      <c r="AJ622" s="176">
        <f>IF($Y$438&gt;0,'Assumptions (NG)'!AG13*Model!$Y$438*('Assumptions (NG)'!$X$17*AVERAGE('Assumptions (NG)'!$V$2:$W$2)+'Assumptions (NG)'!$X$18*AVERAGE('Assumptions (NG)'!$V$3:$W$3))/10^9,0)</f>
        <v>0.03915544674</v>
      </c>
      <c r="AK622" s="176">
        <f>IF($Y$438&gt;0,'Assumptions (NG)'!AH13*Model!$Y$438*('Assumptions (NG)'!$X$17*AVERAGE('Assumptions (NG)'!$V$2:$W$2)+'Assumptions (NG)'!$X$18*AVERAGE('Assumptions (NG)'!$V$3:$W$3))/10^9,0)</f>
        <v>0.0392218119</v>
      </c>
      <c r="AL622" s="176">
        <f>IF($Y$438&gt;0,'Assumptions (NG)'!AI13*Model!$Y$438*('Assumptions (NG)'!$X$17*AVERAGE('Assumptions (NG)'!$V$2:$W$2)+'Assumptions (NG)'!$X$18*AVERAGE('Assumptions (NG)'!$V$3:$W$3))/10^9,0)</f>
        <v>0.03915544674</v>
      </c>
      <c r="AM622" s="176">
        <f>IF($Y$438&gt;0,'Assumptions (NG)'!AJ13*Model!$Y$438*('Assumptions (NG)'!$X$17*AVERAGE('Assumptions (NG)'!$V$2:$W$2)+'Assumptions (NG)'!$X$18*AVERAGE('Assumptions (NG)'!$V$3:$W$3))/10^9,0)</f>
        <v>0.0392218119</v>
      </c>
      <c r="AN622" s="176">
        <f>IF($Y$438&gt;0,'Assumptions (NG)'!AK13*Model!$Y$438*('Assumptions (NG)'!$X$17*AVERAGE('Assumptions (NG)'!$V$2:$W$2)+'Assumptions (NG)'!$X$18*AVERAGE('Assumptions (NG)'!$V$3:$W$3))/10^9,0)</f>
        <v>0.01957772337</v>
      </c>
      <c r="AO622" s="160"/>
      <c r="AP622" s="160"/>
      <c r="AQ622" s="160"/>
      <c r="AR622" s="160"/>
      <c r="AS622" s="160"/>
      <c r="AT622" s="160"/>
      <c r="AU622" s="160"/>
      <c r="AV622" s="160"/>
      <c r="AW622" s="160"/>
      <c r="AX622" s="160"/>
      <c r="AY622" s="160"/>
      <c r="AZ622" s="160"/>
      <c r="BA622" s="160"/>
    </row>
    <row r="623" ht="15.75" hidden="1" customHeight="1" outlineLevel="1">
      <c r="A623" s="209"/>
      <c r="B623" s="38"/>
      <c r="C623" s="174"/>
      <c r="D623" s="174"/>
      <c r="E623" s="174"/>
      <c r="F623" s="174"/>
      <c r="G623" s="174"/>
      <c r="H623" s="174"/>
      <c r="I623" s="174"/>
      <c r="J623" s="174"/>
      <c r="K623" s="174"/>
      <c r="L623" s="174"/>
      <c r="M623" s="174"/>
      <c r="N623" s="174"/>
      <c r="O623" s="174"/>
      <c r="P623" s="174"/>
      <c r="Q623" s="174"/>
      <c r="R623" s="174"/>
      <c r="S623" s="174"/>
      <c r="T623" s="174"/>
      <c r="U623" s="174"/>
      <c r="V623" s="174"/>
      <c r="W623" s="160"/>
      <c r="X623" s="160"/>
      <c r="Y623" s="160"/>
      <c r="Z623" s="176">
        <f>IF($Z$438&gt;0,'Assumptions (NG)'!V13*Model!$Z$438*('Assumptions (NG)'!$Y$17*AVERAGE('Assumptions (NG)'!$V$2:$X$2)+'Assumptions (NG)'!$Y$18*AVERAGE('Assumptions (NG)'!$V$3:$X$3))/10^9,0)</f>
        <v>0.03357424009</v>
      </c>
      <c r="AA623" s="176">
        <f>IF($Z$438&gt;0,'Assumptions (NG)'!W13*Model!$Z$438*('Assumptions (NG)'!$Y$17*AVERAGE('Assumptions (NG)'!$V$2:$X$2)+'Assumptions (NG)'!$Y$18*AVERAGE('Assumptions (NG)'!$V$3:$X$3))/10^9,0)</f>
        <v>0.06379105618</v>
      </c>
      <c r="AB623" s="176">
        <f>IF($Z$438&gt;0,'Assumptions (NG)'!X13*Model!$Z$438*('Assumptions (NG)'!$Y$17*AVERAGE('Assumptions (NG)'!$V$2:$X$2)+'Assumptions (NG)'!$Y$18*AVERAGE('Assumptions (NG)'!$V$3:$X$3))/10^9,0)</f>
        <v>0.05741195056</v>
      </c>
      <c r="AC623" s="176">
        <f>IF($Z$438&gt;0,'Assumptions (NG)'!Y13*Model!$Z$438*('Assumptions (NG)'!$Y$17*AVERAGE('Assumptions (NG)'!$V$2:$X$2)+'Assumptions (NG)'!$Y$18*AVERAGE('Assumptions (NG)'!$V$3:$X$3))/10^9,0)</f>
        <v>0.05170432975</v>
      </c>
      <c r="AD623" s="176">
        <f>IF($Z$438&gt;0,'Assumptions (NG)'!Z13*Model!$Z$438*('Assumptions (NG)'!$Y$17*AVERAGE('Assumptions (NG)'!$V$2:$X$2)+'Assumptions (NG)'!$Y$18*AVERAGE('Assumptions (NG)'!$V$3:$X$3))/10^9,0)</f>
        <v>0.04653389677</v>
      </c>
      <c r="AE623" s="176">
        <f>IF($Z$438&gt;0,'Assumptions (NG)'!AA13*Model!$Z$438*('Assumptions (NG)'!$Y$17*AVERAGE('Assumptions (NG)'!$V$2:$X$2)+'Assumptions (NG)'!$Y$18*AVERAGE('Assumptions (NG)'!$V$3:$X$3))/10^9,0)</f>
        <v>0.04183350316</v>
      </c>
      <c r="AF623" s="176">
        <f>IF($Z$438&gt;0,'Assumptions (NG)'!AB13*Model!$Z$438*('Assumptions (NG)'!$Y$17*AVERAGE('Assumptions (NG)'!$V$2:$X$2)+'Assumptions (NG)'!$Y$18*AVERAGE('Assumptions (NG)'!$V$3:$X$3))/10^9,0)</f>
        <v>0.03961760331</v>
      </c>
      <c r="AG623" s="176">
        <f>IF($Z$438&gt;0,'Assumptions (NG)'!AC13*Model!$Z$438*('Assumptions (NG)'!$Y$17*AVERAGE('Assumptions (NG)'!$V$2:$X$2)+'Assumptions (NG)'!$Y$18*AVERAGE('Assumptions (NG)'!$V$3:$X$3))/10^9,0)</f>
        <v>0.03961760331</v>
      </c>
      <c r="AH623" s="176">
        <f>IF($Z$438&gt;0,'Assumptions (NG)'!AD13*Model!$Z$438*('Assumptions (NG)'!$Y$17*AVERAGE('Assumptions (NG)'!$V$2:$X$2)+'Assumptions (NG)'!$Y$18*AVERAGE('Assumptions (NG)'!$V$3:$X$3))/10^9,0)</f>
        <v>0.03968475179</v>
      </c>
      <c r="AI623" s="176">
        <f>IF($Z$438&gt;0,'Assumptions (NG)'!AE13*Model!$Z$438*('Assumptions (NG)'!$Y$17*AVERAGE('Assumptions (NG)'!$V$2:$X$2)+'Assumptions (NG)'!$Y$18*AVERAGE('Assumptions (NG)'!$V$3:$X$3))/10^9,0)</f>
        <v>0.03961760331</v>
      </c>
      <c r="AJ623" s="176">
        <f>IF($Z$438&gt;0,'Assumptions (NG)'!AF13*Model!$Z$438*('Assumptions (NG)'!$Y$17*AVERAGE('Assumptions (NG)'!$V$2:$X$2)+'Assumptions (NG)'!$Y$18*AVERAGE('Assumptions (NG)'!$V$3:$X$3))/10^9,0)</f>
        <v>0.03968475179</v>
      </c>
      <c r="AK623" s="176">
        <f>IF($Z$438&gt;0,'Assumptions (NG)'!AG13*Model!$Z$438*('Assumptions (NG)'!$Y$17*AVERAGE('Assumptions (NG)'!$V$2:$X$2)+'Assumptions (NG)'!$Y$18*AVERAGE('Assumptions (NG)'!$V$3:$X$3))/10^9,0)</f>
        <v>0.03961760331</v>
      </c>
      <c r="AL623" s="176">
        <f>IF($Z$438&gt;0,'Assumptions (NG)'!AH13*Model!$Z$438*('Assumptions (NG)'!$Y$17*AVERAGE('Assumptions (NG)'!$V$2:$X$2)+'Assumptions (NG)'!$Y$18*AVERAGE('Assumptions (NG)'!$V$3:$X$3))/10^9,0)</f>
        <v>0.03968475179</v>
      </c>
      <c r="AM623" s="176">
        <f>IF($Z$438&gt;0,'Assumptions (NG)'!AI13*Model!$Z$438*('Assumptions (NG)'!$Y$17*AVERAGE('Assumptions (NG)'!$V$2:$X$2)+'Assumptions (NG)'!$Y$18*AVERAGE('Assumptions (NG)'!$V$3:$X$3))/10^9,0)</f>
        <v>0.03961760331</v>
      </c>
      <c r="AN623" s="176">
        <f>IF($Z$438&gt;0,'Assumptions (NG)'!AJ13*Model!$Z$438*('Assumptions (NG)'!$Y$17*AVERAGE('Assumptions (NG)'!$V$2:$X$2)+'Assumptions (NG)'!$Y$18*AVERAGE('Assumptions (NG)'!$V$3:$X$3))/10^9,0)</f>
        <v>0.03968475179</v>
      </c>
      <c r="AO623" s="176">
        <f>IF($Z$438&gt;0,'Assumptions (NG)'!AK13*Model!$Z$438*('Assumptions (NG)'!$Y$17*AVERAGE('Assumptions (NG)'!$V$2:$X$2)+'Assumptions (NG)'!$Y$18*AVERAGE('Assumptions (NG)'!$V$3:$X$3))/10^9,0)</f>
        <v>0.01980880166</v>
      </c>
      <c r="AP623" s="160"/>
      <c r="AQ623" s="160"/>
      <c r="AR623" s="160"/>
      <c r="AS623" s="160"/>
      <c r="AT623" s="160"/>
      <c r="AU623" s="160"/>
      <c r="AV623" s="160"/>
      <c r="AW623" s="160"/>
      <c r="AX623" s="160"/>
      <c r="AY623" s="160"/>
      <c r="AZ623" s="160"/>
      <c r="BA623" s="160"/>
    </row>
    <row r="624" ht="15.75" hidden="1" customHeight="1" outlineLevel="1">
      <c r="A624" s="209"/>
      <c r="B624" s="38"/>
      <c r="C624" s="174"/>
      <c r="D624" s="174"/>
      <c r="E624" s="174"/>
      <c r="F624" s="174"/>
      <c r="G624" s="174"/>
      <c r="H624" s="174"/>
      <c r="I624" s="174"/>
      <c r="J624" s="174"/>
      <c r="K624" s="174"/>
      <c r="L624" s="174"/>
      <c r="M624" s="174"/>
      <c r="N624" s="174"/>
      <c r="O624" s="174"/>
      <c r="P624" s="174"/>
      <c r="Q624" s="174"/>
      <c r="R624" s="174"/>
      <c r="S624" s="174"/>
      <c r="T624" s="174"/>
      <c r="U624" s="174"/>
      <c r="V624" s="174"/>
      <c r="W624" s="160"/>
      <c r="X624" s="160"/>
      <c r="Y624" s="160"/>
      <c r="Z624" s="160"/>
      <c r="AA624" s="160">
        <f>IF($AA$438&gt;0,'Assumptions (NG)'!V13*Model!$AA$438*('Assumptions (NG)'!$Z$17*AVERAGE('Assumptions (NG)'!$W$2:$Y$2)+'Assumptions (NG)'!$Z$18*AVERAGE('Assumptions (NG)'!$W$3:$Y$3))/10^9,0)</f>
        <v>0.03783773568</v>
      </c>
      <c r="AB624" s="160">
        <f>IF($AA$438&gt;0,'Assumptions (NG)'!W13*Model!$AA$438*('Assumptions (NG)'!$Z$17*AVERAGE('Assumptions (NG)'!$W$2:$Y$2)+'Assumptions (NG)'!$Z$18*AVERAGE('Assumptions (NG)'!$W$3:$Y$3))/10^9,0)</f>
        <v>0.0718916978</v>
      </c>
      <c r="AC624" s="160">
        <f>IF($AA$438&gt;0,'Assumptions (NG)'!X13*Model!$AA$438*('Assumptions (NG)'!$Z$17*AVERAGE('Assumptions (NG)'!$W$2:$Y$2)+'Assumptions (NG)'!$Z$18*AVERAGE('Assumptions (NG)'!$W$3:$Y$3))/10^9,0)</f>
        <v>0.06470252802</v>
      </c>
      <c r="AD624" s="160">
        <f>IF($AA$438&gt;0,'Assumptions (NG)'!Y13*Model!$AA$438*('Assumptions (NG)'!$Z$17*AVERAGE('Assumptions (NG)'!$W$2:$Y$2)+'Assumptions (NG)'!$Z$18*AVERAGE('Assumptions (NG)'!$W$3:$Y$3))/10^9,0)</f>
        <v>0.05827011295</v>
      </c>
      <c r="AE624" s="160">
        <f>IF($AA$438&gt;0,'Assumptions (NG)'!Z13*Model!$AA$438*('Assumptions (NG)'!$Z$17*AVERAGE('Assumptions (NG)'!$W$2:$Y$2)+'Assumptions (NG)'!$Z$18*AVERAGE('Assumptions (NG)'!$W$3:$Y$3))/10^9,0)</f>
        <v>0.05244310165</v>
      </c>
      <c r="AF624" s="160">
        <f>IF($AA$438&gt;0,'Assumptions (NG)'!AA13*Model!$AA$438*('Assumptions (NG)'!$Z$17*AVERAGE('Assumptions (NG)'!$W$2:$Y$2)+'Assumptions (NG)'!$Z$18*AVERAGE('Assumptions (NG)'!$W$3:$Y$3))/10^9,0)</f>
        <v>0.04714581866</v>
      </c>
      <c r="AG624" s="160">
        <f>IF($AA$438&gt;0,'Assumptions (NG)'!AB13*Model!$AA$438*('Assumptions (NG)'!$Z$17*AVERAGE('Assumptions (NG)'!$W$2:$Y$2)+'Assumptions (NG)'!$Z$18*AVERAGE('Assumptions (NG)'!$W$3:$Y$3))/10^9,0)</f>
        <v>0.0446485281</v>
      </c>
      <c r="AH624" s="160">
        <f>IF($AA$438&gt;0,'Assumptions (NG)'!AC13*Model!$AA$438*('Assumptions (NG)'!$Z$17*AVERAGE('Assumptions (NG)'!$W$2:$Y$2)+'Assumptions (NG)'!$Z$18*AVERAGE('Assumptions (NG)'!$W$3:$Y$3))/10^9,0)</f>
        <v>0.0446485281</v>
      </c>
      <c r="AI624" s="160">
        <f>IF($AA$438&gt;0,'Assumptions (NG)'!AD13*Model!$AA$438*('Assumptions (NG)'!$Z$17*AVERAGE('Assumptions (NG)'!$W$2:$Y$2)+'Assumptions (NG)'!$Z$18*AVERAGE('Assumptions (NG)'!$W$3:$Y$3))/10^9,0)</f>
        <v>0.04472420358</v>
      </c>
      <c r="AJ624" s="160">
        <f>IF($AA$438&gt;0,'Assumptions (NG)'!AE13*Model!$AA$438*('Assumptions (NG)'!$Z$17*AVERAGE('Assumptions (NG)'!$W$2:$Y$2)+'Assumptions (NG)'!$Z$18*AVERAGE('Assumptions (NG)'!$W$3:$Y$3))/10^9,0)</f>
        <v>0.0446485281</v>
      </c>
      <c r="AK624" s="160">
        <f>IF($AA$438&gt;0,'Assumptions (NG)'!AF13*Model!$AA$438*('Assumptions (NG)'!$Z$17*AVERAGE('Assumptions (NG)'!$W$2:$Y$2)+'Assumptions (NG)'!$Z$18*AVERAGE('Assumptions (NG)'!$W$3:$Y$3))/10^9,0)</f>
        <v>0.04472420358</v>
      </c>
      <c r="AL624" s="160">
        <f>IF($AA$438&gt;0,'Assumptions (NG)'!AG13*Model!$AA$438*('Assumptions (NG)'!$Z$17*AVERAGE('Assumptions (NG)'!$W$2:$Y$2)+'Assumptions (NG)'!$Z$18*AVERAGE('Assumptions (NG)'!$W$3:$Y$3))/10^9,0)</f>
        <v>0.0446485281</v>
      </c>
      <c r="AM624" s="160">
        <f>IF($AA$438&gt;0,'Assumptions (NG)'!AH13*Model!$AA$438*('Assumptions (NG)'!$Z$17*AVERAGE('Assumptions (NG)'!$W$2:$Y$2)+'Assumptions (NG)'!$Z$18*AVERAGE('Assumptions (NG)'!$W$3:$Y$3))/10^9,0)</f>
        <v>0.04472420358</v>
      </c>
      <c r="AN624" s="160">
        <f>IF($AA$438&gt;0,'Assumptions (NG)'!AI13*Model!$AA$438*('Assumptions (NG)'!$Z$17*AVERAGE('Assumptions (NG)'!$W$2:$Y$2)+'Assumptions (NG)'!$Z$18*AVERAGE('Assumptions (NG)'!$W$3:$Y$3))/10^9,0)</f>
        <v>0.0446485281</v>
      </c>
      <c r="AO624" s="160">
        <f>IF($AA$438&gt;0,'Assumptions (NG)'!AJ13*Model!$AA$438*('Assumptions (NG)'!$Z$17*AVERAGE('Assumptions (NG)'!$W$2:$Y$2)+'Assumptions (NG)'!$Z$18*AVERAGE('Assumptions (NG)'!$W$3:$Y$3))/10^9,0)</f>
        <v>0.04472420358</v>
      </c>
      <c r="AP624" s="160">
        <f>IF($AA$438&gt;0,'Assumptions (NG)'!AK13*Model!$AA$438*('Assumptions (NG)'!$Z$17*AVERAGE('Assumptions (NG)'!$W$2:$Y$2)+'Assumptions (NG)'!$Z$18*AVERAGE('Assumptions (NG)'!$W$3:$Y$3))/10^9,0)</f>
        <v>0.02232426405</v>
      </c>
      <c r="AQ624" s="160"/>
      <c r="AR624" s="160"/>
      <c r="AS624" s="160"/>
      <c r="AT624" s="160"/>
      <c r="AU624" s="160"/>
      <c r="AV624" s="160"/>
      <c r="AW624" s="160"/>
      <c r="AX624" s="160"/>
      <c r="AY624" s="160"/>
      <c r="AZ624" s="160"/>
      <c r="BA624" s="160"/>
    </row>
    <row r="625" ht="15.75" hidden="1" customHeight="1" outlineLevel="1">
      <c r="A625" s="209"/>
      <c r="B625" s="38"/>
      <c r="C625" s="174"/>
      <c r="D625" s="174"/>
      <c r="E625" s="174"/>
      <c r="F625" s="174"/>
      <c r="G625" s="174"/>
      <c r="H625" s="174"/>
      <c r="I625" s="174"/>
      <c r="J625" s="174"/>
      <c r="K625" s="174"/>
      <c r="L625" s="174"/>
      <c r="M625" s="174"/>
      <c r="N625" s="174"/>
      <c r="O625" s="174"/>
      <c r="P625" s="174"/>
      <c r="Q625" s="174"/>
      <c r="R625" s="174"/>
      <c r="S625" s="174"/>
      <c r="T625" s="174"/>
      <c r="U625" s="174"/>
      <c r="V625" s="174"/>
      <c r="W625" s="160"/>
      <c r="X625" s="160"/>
      <c r="Y625" s="160"/>
      <c r="Z625" s="160"/>
      <c r="AA625" s="160"/>
      <c r="AB625" s="160">
        <f>IF($AB$438&gt;0,'Assumptions (NG)'!V13*Model!$AB$438*('Assumptions (NG)'!$AA$17*AVERAGE('Assumptions (NG)'!$X$2:$Z$2)+'Assumptions (NG)'!$AA$18*AVERAGE('Assumptions (NG)'!$X$3:$Z$3))/10^9,0)</f>
        <v>0.03504926529</v>
      </c>
      <c r="AC625" s="160">
        <f>IF($AB$438&gt;0,'Assumptions (NG)'!W13*Model!$AB$438*('Assumptions (NG)'!$AA$17*AVERAGE('Assumptions (NG)'!$X$2:$Z$2)+'Assumptions (NG)'!$AA$18*AVERAGE('Assumptions (NG)'!$X$3:$Z$3))/10^9,0)</f>
        <v>0.06659360405</v>
      </c>
      <c r="AD625" s="160">
        <f>IF($AB$438&gt;0,'Assumptions (NG)'!X13*Model!$AB$438*('Assumptions (NG)'!$AA$17*AVERAGE('Assumptions (NG)'!$X$2:$Z$2)+'Assumptions (NG)'!$AA$18*AVERAGE('Assumptions (NG)'!$X$3:$Z$3))/10^9,0)</f>
        <v>0.05993424364</v>
      </c>
      <c r="AE625" s="160">
        <f>IF($AB$438&gt;0,'Assumptions (NG)'!Y13*Model!$AB$438*('Assumptions (NG)'!$AA$17*AVERAGE('Assumptions (NG)'!$X$2:$Z$2)+'Assumptions (NG)'!$AA$18*AVERAGE('Assumptions (NG)'!$X$3:$Z$3))/10^9,0)</f>
        <v>0.05397586854</v>
      </c>
      <c r="AF625" s="160">
        <f>IF($AB$438&gt;0,'Assumptions (NG)'!Z13*Model!$AB$438*('Assumptions (NG)'!$AA$17*AVERAGE('Assumptions (NG)'!$X$2:$Z$2)+'Assumptions (NG)'!$AA$18*AVERAGE('Assumptions (NG)'!$X$3:$Z$3))/10^9,0)</f>
        <v>0.04857828169</v>
      </c>
      <c r="AG625" s="160">
        <f>IF($AB$438&gt;0,'Assumptions (NG)'!AA13*Model!$AB$438*('Assumptions (NG)'!$AA$17*AVERAGE('Assumptions (NG)'!$X$2:$Z$2)+'Assumptions (NG)'!$AA$18*AVERAGE('Assumptions (NG)'!$X$3:$Z$3))/10^9,0)</f>
        <v>0.04367138455</v>
      </c>
      <c r="AH625" s="160">
        <f>IF($AB$438&gt;0,'Assumptions (NG)'!AB13*Model!$AB$438*('Assumptions (NG)'!$AA$17*AVERAGE('Assumptions (NG)'!$X$2:$Z$2)+'Assumptions (NG)'!$AA$18*AVERAGE('Assumptions (NG)'!$X$3:$Z$3))/10^9,0)</f>
        <v>0.04135813304</v>
      </c>
      <c r="AI625" s="160">
        <f>IF($AB$438&gt;0,'Assumptions (NG)'!AC13*Model!$AB$438*('Assumptions (NG)'!$AA$17*AVERAGE('Assumptions (NG)'!$X$2:$Z$2)+'Assumptions (NG)'!$AA$18*AVERAGE('Assumptions (NG)'!$X$3:$Z$3))/10^9,0)</f>
        <v>0.04135813304</v>
      </c>
      <c r="AJ625" s="160">
        <f>IF($AB$438&gt;0,'Assumptions (NG)'!AD13*Model!$AB$438*('Assumptions (NG)'!$AA$17*AVERAGE('Assumptions (NG)'!$X$2:$Z$2)+'Assumptions (NG)'!$AA$18*AVERAGE('Assumptions (NG)'!$X$3:$Z$3))/10^9,0)</f>
        <v>0.04142823157</v>
      </c>
      <c r="AK625" s="160">
        <f>IF($AB$438&gt;0,'Assumptions (NG)'!AE13*Model!$AB$438*('Assumptions (NG)'!$AA$17*AVERAGE('Assumptions (NG)'!$X$2:$Z$2)+'Assumptions (NG)'!$AA$18*AVERAGE('Assumptions (NG)'!$X$3:$Z$3))/10^9,0)</f>
        <v>0.04135813304</v>
      </c>
      <c r="AL625" s="160">
        <f>IF($AB$438&gt;0,'Assumptions (NG)'!AF13*Model!$AB$438*('Assumptions (NG)'!$AA$17*AVERAGE('Assumptions (NG)'!$X$2:$Z$2)+'Assumptions (NG)'!$AA$18*AVERAGE('Assumptions (NG)'!$X$3:$Z$3))/10^9,0)</f>
        <v>0.04142823157</v>
      </c>
      <c r="AM625" s="160">
        <f>IF($AB$438&gt;0,'Assumptions (NG)'!AG13*Model!$AB$438*('Assumptions (NG)'!$AA$17*AVERAGE('Assumptions (NG)'!$X$2:$Z$2)+'Assumptions (NG)'!$AA$18*AVERAGE('Assumptions (NG)'!$X$3:$Z$3))/10^9,0)</f>
        <v>0.04135813304</v>
      </c>
      <c r="AN625" s="160">
        <f>IF($AB$438&gt;0,'Assumptions (NG)'!AH13*Model!$AB$438*('Assumptions (NG)'!$AA$17*AVERAGE('Assumptions (NG)'!$X$2:$Z$2)+'Assumptions (NG)'!$AA$18*AVERAGE('Assumptions (NG)'!$X$3:$Z$3))/10^9,0)</f>
        <v>0.04142823157</v>
      </c>
      <c r="AO625" s="160">
        <f>IF($AB$438&gt;0,'Assumptions (NG)'!AI13*Model!$AB$438*('Assumptions (NG)'!$AA$17*AVERAGE('Assumptions (NG)'!$X$2:$Z$2)+'Assumptions (NG)'!$AA$18*AVERAGE('Assumptions (NG)'!$X$3:$Z$3))/10^9,0)</f>
        <v>0.04135813304</v>
      </c>
      <c r="AP625" s="160">
        <f>IF($AB$438&gt;0,'Assumptions (NG)'!AJ13*Model!$AB$438*('Assumptions (NG)'!$AA$17*AVERAGE('Assumptions (NG)'!$X$2:$Z$2)+'Assumptions (NG)'!$AA$18*AVERAGE('Assumptions (NG)'!$X$3:$Z$3))/10^9,0)</f>
        <v>0.04142823157</v>
      </c>
      <c r="AQ625" s="160">
        <f>IF($AB$438&gt;0,'Assumptions (NG)'!AK13*Model!$AB$438*('Assumptions (NG)'!$AA$17*AVERAGE('Assumptions (NG)'!$X$2:$Z$2)+'Assumptions (NG)'!$AA$18*AVERAGE('Assumptions (NG)'!$X$3:$Z$3))/10^9,0)</f>
        <v>0.02067906652</v>
      </c>
      <c r="AR625" s="160"/>
      <c r="AS625" s="160"/>
      <c r="AT625" s="160"/>
      <c r="AU625" s="160"/>
      <c r="AV625" s="160"/>
      <c r="AW625" s="160"/>
      <c r="AX625" s="160"/>
      <c r="AY625" s="160"/>
      <c r="AZ625" s="160"/>
      <c r="BA625" s="160"/>
    </row>
    <row r="626" ht="15.75" hidden="1" customHeight="1" outlineLevel="1">
      <c r="A626" s="209"/>
      <c r="B626" s="38"/>
      <c r="C626" s="174"/>
      <c r="D626" s="174"/>
      <c r="E626" s="174"/>
      <c r="F626" s="174"/>
      <c r="G626" s="174"/>
      <c r="H626" s="174"/>
      <c r="I626" s="174"/>
      <c r="J626" s="174"/>
      <c r="K626" s="174"/>
      <c r="L626" s="174"/>
      <c r="M626" s="174"/>
      <c r="N626" s="174"/>
      <c r="O626" s="174"/>
      <c r="P626" s="174"/>
      <c r="Q626" s="174"/>
      <c r="R626" s="174"/>
      <c r="S626" s="174"/>
      <c r="T626" s="174"/>
      <c r="U626" s="174"/>
      <c r="V626" s="174"/>
      <c r="W626" s="160"/>
      <c r="X626" s="160"/>
      <c r="Y626" s="160"/>
      <c r="Z626" s="160"/>
      <c r="AA626" s="160"/>
      <c r="AB626" s="160"/>
      <c r="AC626" s="160">
        <f>IF($AC$438&gt;0,'Assumptions (NG)'!V13*Model!$AC$438*('Assumptions (NG)'!$AB$17*AVERAGE('Assumptions (NG)'!$Y$2:$AA$2)+'Assumptions (NG)'!$AB$18*AVERAGE('Assumptions (NG)'!$Y$3:$AA$3))/10^9,0)</f>
        <v>0.03581073041</v>
      </c>
      <c r="AD626" s="160">
        <f>IF($AC$438&gt;0,'Assumptions (NG)'!W13*Model!$AC$438*('Assumptions (NG)'!$AB$17*AVERAGE('Assumptions (NG)'!$Y$2:$AA$2)+'Assumptions (NG)'!$AB$18*AVERAGE('Assumptions (NG)'!$Y$3:$AA$3))/10^9,0)</f>
        <v>0.06804038777</v>
      </c>
      <c r="AE626" s="160">
        <f>IF($AC$438&gt;0,'Assumptions (NG)'!X13*Model!$AC$438*('Assumptions (NG)'!$AB$17*AVERAGE('Assumptions (NG)'!$Y$2:$AA$2)+'Assumptions (NG)'!$AB$18*AVERAGE('Assumptions (NG)'!$Y$3:$AA$3))/10^9,0)</f>
        <v>0.06123634899</v>
      </c>
      <c r="AF626" s="160">
        <f>IF($AC$438&gt;0,'Assumptions (NG)'!Y13*Model!$AC$438*('Assumptions (NG)'!$AB$17*AVERAGE('Assumptions (NG)'!$Y$2:$AA$2)+'Assumptions (NG)'!$AB$18*AVERAGE('Assumptions (NG)'!$Y$3:$AA$3))/10^9,0)</f>
        <v>0.05514852482</v>
      </c>
      <c r="AG626" s="160">
        <f>IF($AC$438&gt;0,'Assumptions (NG)'!Z13*Model!$AC$438*('Assumptions (NG)'!$AB$17*AVERAGE('Assumptions (NG)'!$Y$2:$AA$2)+'Assumptions (NG)'!$AB$18*AVERAGE('Assumptions (NG)'!$Y$3:$AA$3))/10^9,0)</f>
        <v>0.04963367234</v>
      </c>
      <c r="AH626" s="160">
        <f>IF($AC$438&gt;0,'Assumptions (NG)'!AA13*Model!$AC$438*('Assumptions (NG)'!$AB$17*AVERAGE('Assumptions (NG)'!$Y$2:$AA$2)+'Assumptions (NG)'!$AB$18*AVERAGE('Assumptions (NG)'!$Y$3:$AA$3))/10^9,0)</f>
        <v>0.04462017008</v>
      </c>
      <c r="AI626" s="160">
        <f>IF($AC$438&gt;0,'Assumptions (NG)'!AB13*Model!$AC$438*('Assumptions (NG)'!$AB$17*AVERAGE('Assumptions (NG)'!$Y$2:$AA$2)+'Assumptions (NG)'!$AB$18*AVERAGE('Assumptions (NG)'!$Y$3:$AA$3))/10^9,0)</f>
        <v>0.04225666188</v>
      </c>
      <c r="AJ626" s="160">
        <f>IF($AC$438&gt;0,'Assumptions (NG)'!AC13*Model!$AC$438*('Assumptions (NG)'!$AB$17*AVERAGE('Assumptions (NG)'!$Y$2:$AA$2)+'Assumptions (NG)'!$AB$18*AVERAGE('Assumptions (NG)'!$Y$3:$AA$3))/10^9,0)</f>
        <v>0.04225666188</v>
      </c>
      <c r="AK626" s="160">
        <f>IF($AC$438&gt;0,'Assumptions (NG)'!AD13*Model!$AC$438*('Assumptions (NG)'!$AB$17*AVERAGE('Assumptions (NG)'!$Y$2:$AA$2)+'Assumptions (NG)'!$AB$18*AVERAGE('Assumptions (NG)'!$Y$3:$AA$3))/10^9,0)</f>
        <v>0.04232828334</v>
      </c>
      <c r="AL626" s="160">
        <f>IF($AC$438&gt;0,'Assumptions (NG)'!AE13*Model!$AC$438*('Assumptions (NG)'!$AB$17*AVERAGE('Assumptions (NG)'!$Y$2:$AA$2)+'Assumptions (NG)'!$AB$18*AVERAGE('Assumptions (NG)'!$Y$3:$AA$3))/10^9,0)</f>
        <v>0.04225666188</v>
      </c>
      <c r="AM626" s="160">
        <f>IF($AC$438&gt;0,'Assumptions (NG)'!AF13*Model!$AC$438*('Assumptions (NG)'!$AB$17*AVERAGE('Assumptions (NG)'!$Y$2:$AA$2)+'Assumptions (NG)'!$AB$18*AVERAGE('Assumptions (NG)'!$Y$3:$AA$3))/10^9,0)</f>
        <v>0.04232828334</v>
      </c>
      <c r="AN626" s="160">
        <f>IF($AC$438&gt;0,'Assumptions (NG)'!AG13*Model!$AC$438*('Assumptions (NG)'!$AB$17*AVERAGE('Assumptions (NG)'!$Y$2:$AA$2)+'Assumptions (NG)'!$AB$18*AVERAGE('Assumptions (NG)'!$Y$3:$AA$3))/10^9,0)</f>
        <v>0.04225666188</v>
      </c>
      <c r="AO626" s="160">
        <f>IF($AC$438&gt;0,'Assumptions (NG)'!AH13*Model!$AC$438*('Assumptions (NG)'!$AB$17*AVERAGE('Assumptions (NG)'!$Y$2:$AA$2)+'Assumptions (NG)'!$AB$18*AVERAGE('Assumptions (NG)'!$Y$3:$AA$3))/10^9,0)</f>
        <v>0.04232828334</v>
      </c>
      <c r="AP626" s="160">
        <f>IF($AC$438&gt;0,'Assumptions (NG)'!AI13*Model!$AC$438*('Assumptions (NG)'!$AB$17*AVERAGE('Assumptions (NG)'!$Y$2:$AA$2)+'Assumptions (NG)'!$AB$18*AVERAGE('Assumptions (NG)'!$Y$3:$AA$3))/10^9,0)</f>
        <v>0.04225666188</v>
      </c>
      <c r="AQ626" s="160">
        <f>IF($AC$438&gt;0,'Assumptions (NG)'!AJ13*Model!$AC$438*('Assumptions (NG)'!$AB$17*AVERAGE('Assumptions (NG)'!$Y$2:$AA$2)+'Assumptions (NG)'!$AB$18*AVERAGE('Assumptions (NG)'!$Y$3:$AA$3))/10^9,0)</f>
        <v>0.04232828334</v>
      </c>
      <c r="AR626" s="160">
        <f>IF($AC$438&gt;0,'Assumptions (NG)'!AK13*Model!$AC$438*('Assumptions (NG)'!$AB$17*AVERAGE('Assumptions (NG)'!$Y$2:$AA$2)+'Assumptions (NG)'!$AB$18*AVERAGE('Assumptions (NG)'!$Y$3:$AA$3))/10^9,0)</f>
        <v>0.02112833094</v>
      </c>
      <c r="AS626" s="160"/>
      <c r="AT626" s="160"/>
      <c r="AU626" s="160"/>
      <c r="AV626" s="160"/>
      <c r="AW626" s="160"/>
      <c r="AX626" s="160"/>
      <c r="AY626" s="160"/>
      <c r="AZ626" s="160"/>
      <c r="BA626" s="160"/>
    </row>
    <row r="627" ht="15.75" hidden="1" customHeight="1" outlineLevel="1">
      <c r="A627" s="209"/>
      <c r="B627" s="38"/>
      <c r="C627" s="174"/>
      <c r="D627" s="174"/>
      <c r="E627" s="174"/>
      <c r="F627" s="174"/>
      <c r="G627" s="174"/>
      <c r="H627" s="174"/>
      <c r="I627" s="174"/>
      <c r="J627" s="174"/>
      <c r="K627" s="174"/>
      <c r="L627" s="174"/>
      <c r="M627" s="174"/>
      <c r="N627" s="174"/>
      <c r="O627" s="174"/>
      <c r="P627" s="174"/>
      <c r="Q627" s="174"/>
      <c r="R627" s="174"/>
      <c r="S627" s="174"/>
      <c r="T627" s="174"/>
      <c r="U627" s="174"/>
      <c r="V627" s="174"/>
      <c r="W627" s="160"/>
      <c r="X627" s="160"/>
      <c r="Y627" s="160"/>
      <c r="Z627" s="160"/>
      <c r="AA627" s="160"/>
      <c r="AB627" s="160"/>
      <c r="AC627" s="160"/>
      <c r="AD627" s="160">
        <f>IF($AD$438&gt;0,'Assumptions (NG)'!V13*Model!$AD$438*('Assumptions (NG)'!$AC$17*AVERAGE('Assumptions (NG)'!$Z$2:$AB$2)+'Assumptions (NG)'!$AC$18*AVERAGE('Assumptions (NG)'!$Z$3:$AB$3))/10^9,0)</f>
        <v>0.03658862124</v>
      </c>
      <c r="AE627" s="160">
        <f>IF($AD$438&gt;0,'Assumptions (NG)'!W13*Model!$AD$438*('Assumptions (NG)'!$AC$17*AVERAGE('Assumptions (NG)'!$Z$2:$AB$2)+'Assumptions (NG)'!$AC$18*AVERAGE('Assumptions (NG)'!$Z$3:$AB$3))/10^9,0)</f>
        <v>0.06951838035</v>
      </c>
      <c r="AF627" s="160">
        <f>IF($AD$438&gt;0,'Assumptions (NG)'!X13*Model!$AD$438*('Assumptions (NG)'!$AC$17*AVERAGE('Assumptions (NG)'!$Z$2:$AB$2)+'Assumptions (NG)'!$AC$18*AVERAGE('Assumptions (NG)'!$Z$3:$AB$3))/10^9,0)</f>
        <v>0.06256654231</v>
      </c>
      <c r="AG627" s="160">
        <f>IF($AD$438&gt;0,'Assumptions (NG)'!Y13*Model!$AD$438*('Assumptions (NG)'!$AC$17*AVERAGE('Assumptions (NG)'!$Z$2:$AB$2)+'Assumptions (NG)'!$AC$18*AVERAGE('Assumptions (NG)'!$Z$3:$AB$3))/10^9,0)</f>
        <v>0.0563464767</v>
      </c>
      <c r="AH627" s="160">
        <f>IF($AD$438&gt;0,'Assumptions (NG)'!Z13*Model!$AD$438*('Assumptions (NG)'!$AC$17*AVERAGE('Assumptions (NG)'!$Z$2:$AB$2)+'Assumptions (NG)'!$AC$18*AVERAGE('Assumptions (NG)'!$Z$3:$AB$3))/10^9,0)</f>
        <v>0.05071182903</v>
      </c>
      <c r="AI627" s="160">
        <f>IF($AD$438&gt;0,'Assumptions (NG)'!AA13*Model!$AD$438*('Assumptions (NG)'!$AC$17*AVERAGE('Assumptions (NG)'!$Z$2:$AB$2)+'Assumptions (NG)'!$AC$18*AVERAGE('Assumptions (NG)'!$Z$3:$AB$3))/10^9,0)</f>
        <v>0.04558942206</v>
      </c>
      <c r="AJ627" s="160">
        <f>IF($AD$438&gt;0,'Assumptions (NG)'!AB13*Model!$AD$438*('Assumptions (NG)'!$AC$17*AVERAGE('Assumptions (NG)'!$Z$2:$AB$2)+'Assumptions (NG)'!$AC$18*AVERAGE('Assumptions (NG)'!$Z$3:$AB$3))/10^9,0)</f>
        <v>0.04317457306</v>
      </c>
      <c r="AK627" s="160">
        <f>IF($AD$438&gt;0,'Assumptions (NG)'!AC13*Model!$AD$438*('Assumptions (NG)'!$AC$17*AVERAGE('Assumptions (NG)'!$Z$2:$AB$2)+'Assumptions (NG)'!$AC$18*AVERAGE('Assumptions (NG)'!$Z$3:$AB$3))/10^9,0)</f>
        <v>0.04317457306</v>
      </c>
      <c r="AL627" s="160">
        <f>IF($AD$438&gt;0,'Assumptions (NG)'!AD13*Model!$AD$438*('Assumptions (NG)'!$AC$17*AVERAGE('Assumptions (NG)'!$Z$2:$AB$2)+'Assumptions (NG)'!$AC$18*AVERAGE('Assumptions (NG)'!$Z$3:$AB$3))/10^9,0)</f>
        <v>0.0432477503</v>
      </c>
      <c r="AM627" s="160">
        <f>IF($AD$438&gt;0,'Assumptions (NG)'!AE13*Model!$AD$438*('Assumptions (NG)'!$AC$17*AVERAGE('Assumptions (NG)'!$Z$2:$AB$2)+'Assumptions (NG)'!$AC$18*AVERAGE('Assumptions (NG)'!$Z$3:$AB$3))/10^9,0)</f>
        <v>0.04317457306</v>
      </c>
      <c r="AN627" s="160">
        <f>IF($AD$438&gt;0,'Assumptions (NG)'!AF13*Model!$AD$438*('Assumptions (NG)'!$AC$17*AVERAGE('Assumptions (NG)'!$Z$2:$AB$2)+'Assumptions (NG)'!$AC$18*AVERAGE('Assumptions (NG)'!$Z$3:$AB$3))/10^9,0)</f>
        <v>0.0432477503</v>
      </c>
      <c r="AO627" s="160">
        <f>IF($AD$438&gt;0,'Assumptions (NG)'!AG13*Model!$AD$438*('Assumptions (NG)'!$AC$17*AVERAGE('Assumptions (NG)'!$Z$2:$AB$2)+'Assumptions (NG)'!$AC$18*AVERAGE('Assumptions (NG)'!$Z$3:$AB$3))/10^9,0)</f>
        <v>0.04317457306</v>
      </c>
      <c r="AP627" s="160">
        <f>IF($AD$438&gt;0,'Assumptions (NG)'!AH13*Model!$AD$438*('Assumptions (NG)'!$AC$17*AVERAGE('Assumptions (NG)'!$Z$2:$AB$2)+'Assumptions (NG)'!$AC$18*AVERAGE('Assumptions (NG)'!$Z$3:$AB$3))/10^9,0)</f>
        <v>0.0432477503</v>
      </c>
      <c r="AQ627" s="160">
        <f>IF($AD$438&gt;0,'Assumptions (NG)'!AI13*Model!$AD$438*('Assumptions (NG)'!$AC$17*AVERAGE('Assumptions (NG)'!$Z$2:$AB$2)+'Assumptions (NG)'!$AC$18*AVERAGE('Assumptions (NG)'!$Z$3:$AB$3))/10^9,0)</f>
        <v>0.04317457306</v>
      </c>
      <c r="AR627" s="160">
        <f>IF($AD$438&gt;0,'Assumptions (NG)'!AJ13*Model!$AD$438*('Assumptions (NG)'!$AC$17*AVERAGE('Assumptions (NG)'!$Z$2:$AB$2)+'Assumptions (NG)'!$AC$18*AVERAGE('Assumptions (NG)'!$Z$3:$AB$3))/10^9,0)</f>
        <v>0.0432477503</v>
      </c>
      <c r="AS627" s="160">
        <f>IF($AD$438&gt;0,'Assumptions (NG)'!AK13*Model!$AD$438*('Assumptions (NG)'!$AC$17*AVERAGE('Assumptions (NG)'!$Z$2:$AB$2)+'Assumptions (NG)'!$AC$18*AVERAGE('Assumptions (NG)'!$Z$3:$AB$3))/10^9,0)</f>
        <v>0.02158728653</v>
      </c>
      <c r="AT627" s="160"/>
      <c r="AU627" s="160"/>
      <c r="AV627" s="160"/>
      <c r="AW627" s="160"/>
      <c r="AX627" s="160"/>
      <c r="AY627" s="160"/>
      <c r="AZ627" s="160"/>
      <c r="BA627" s="160"/>
      <c r="BB627" s="160"/>
    </row>
    <row r="628" ht="15.75" hidden="1" customHeight="1" outlineLevel="1">
      <c r="A628" s="209"/>
      <c r="B628" s="38"/>
      <c r="C628" s="174"/>
      <c r="D628" s="174"/>
      <c r="E628" s="174"/>
      <c r="F628" s="174"/>
      <c r="G628" s="174"/>
      <c r="H628" s="174"/>
      <c r="I628" s="174"/>
      <c r="J628" s="174"/>
      <c r="K628" s="174"/>
      <c r="L628" s="174"/>
      <c r="M628" s="174"/>
      <c r="N628" s="174"/>
      <c r="O628" s="174"/>
      <c r="P628" s="174"/>
      <c r="Q628" s="174"/>
      <c r="R628" s="174"/>
      <c r="S628" s="174"/>
      <c r="T628" s="174"/>
      <c r="U628" s="174"/>
      <c r="V628" s="174"/>
      <c r="W628" s="160"/>
      <c r="X628" s="160"/>
      <c r="Y628" s="160"/>
      <c r="Z628" s="160"/>
      <c r="AA628" s="160"/>
      <c r="AB628" s="160"/>
      <c r="AC628" s="160"/>
      <c r="AD628" s="160"/>
      <c r="AE628" s="160">
        <f>IF($AE$438&gt;0,'Assumptions (NG)'!V13*Model!$AE$438*('Assumptions (NG)'!$AD$17*AVERAGE('Assumptions (NG)'!$AA$2:$AC$2)+'Assumptions (NG)'!$AD$18*AVERAGE('Assumptions (NG)'!$AA$3:$AC$3))/10^9,0)</f>
        <v>0.03738328996</v>
      </c>
      <c r="AF628" s="160">
        <f>IF($AE$438&gt;0,'Assumptions (NG)'!W13*Model!$AE$438*('Assumptions (NG)'!$AD$17*AVERAGE('Assumptions (NG)'!$AA$2:$AC$2)+'Assumptions (NG)'!$AD$18*AVERAGE('Assumptions (NG)'!$AA$3:$AC$3))/10^9,0)</f>
        <v>0.07102825093</v>
      </c>
      <c r="AG628" s="160">
        <f>IF($AE$438&gt;0,'Assumptions (NG)'!X13*Model!$AE$438*('Assumptions (NG)'!$AD$17*AVERAGE('Assumptions (NG)'!$AA$2:$AC$2)+'Assumptions (NG)'!$AD$18*AVERAGE('Assumptions (NG)'!$AA$3:$AC$3))/10^9,0)</f>
        <v>0.06392542583</v>
      </c>
      <c r="AH628" s="160">
        <f>IF($AE$438&gt;0,'Assumptions (NG)'!Y13*Model!$AE$438*('Assumptions (NG)'!$AD$17*AVERAGE('Assumptions (NG)'!$AA$2:$AC$2)+'Assumptions (NG)'!$AD$18*AVERAGE('Assumptions (NG)'!$AA$3:$AC$3))/10^9,0)</f>
        <v>0.05757026654</v>
      </c>
      <c r="AI628" s="160">
        <f>IF($AE$438&gt;0,'Assumptions (NG)'!Z13*Model!$AE$438*('Assumptions (NG)'!$AD$17*AVERAGE('Assumptions (NG)'!$AA$2:$AC$2)+'Assumptions (NG)'!$AD$18*AVERAGE('Assumptions (NG)'!$AA$3:$AC$3))/10^9,0)</f>
        <v>0.05181323989</v>
      </c>
      <c r="AJ628" s="160">
        <f>IF($AE$438&gt;0,'Assumptions (NG)'!AA13*Model!$AE$438*('Assumptions (NG)'!$AD$17*AVERAGE('Assumptions (NG)'!$AA$2:$AC$2)+'Assumptions (NG)'!$AD$18*AVERAGE('Assumptions (NG)'!$AA$3:$AC$3))/10^9,0)</f>
        <v>0.04657957929</v>
      </c>
      <c r="AK628" s="160">
        <f>IF($AE$438&gt;0,'Assumptions (NG)'!AB13*Model!$AE$438*('Assumptions (NG)'!$AD$17*AVERAGE('Assumptions (NG)'!$AA$2:$AC$2)+'Assumptions (NG)'!$AD$18*AVERAGE('Assumptions (NG)'!$AA$3:$AC$3))/10^9,0)</f>
        <v>0.04411228215</v>
      </c>
      <c r="AL628" s="160">
        <f>IF($AE$438&gt;0,'Assumptions (NG)'!AC13*Model!$AE$438*('Assumptions (NG)'!$AD$17*AVERAGE('Assumptions (NG)'!$AA$2:$AC$2)+'Assumptions (NG)'!$AD$18*AVERAGE('Assumptions (NG)'!$AA$3:$AC$3))/10^9,0)</f>
        <v>0.04411228215</v>
      </c>
      <c r="AM628" s="160">
        <f>IF($AE$438&gt;0,'Assumptions (NG)'!AD13*Model!$AE$438*('Assumptions (NG)'!$AD$17*AVERAGE('Assumptions (NG)'!$AA$2:$AC$2)+'Assumptions (NG)'!$AD$18*AVERAGE('Assumptions (NG)'!$AA$3:$AC$3))/10^9,0)</f>
        <v>0.04418704873</v>
      </c>
      <c r="AN628" s="160">
        <f>IF($AE$438&gt;0,'Assumptions (NG)'!AE13*Model!$AE$438*('Assumptions (NG)'!$AD$17*AVERAGE('Assumptions (NG)'!$AA$2:$AC$2)+'Assumptions (NG)'!$AD$18*AVERAGE('Assumptions (NG)'!$AA$3:$AC$3))/10^9,0)</f>
        <v>0.04411228215</v>
      </c>
      <c r="AO628" s="160">
        <f>IF($AE$438&gt;0,'Assumptions (NG)'!AF13*Model!$AE$438*('Assumptions (NG)'!$AD$17*AVERAGE('Assumptions (NG)'!$AA$2:$AC$2)+'Assumptions (NG)'!$AD$18*AVERAGE('Assumptions (NG)'!$AA$3:$AC$3))/10^9,0)</f>
        <v>0.04418704873</v>
      </c>
      <c r="AP628" s="160">
        <f>IF($AE$438&gt;0,'Assumptions (NG)'!AG13*Model!$AE$438*('Assumptions (NG)'!$AD$17*AVERAGE('Assumptions (NG)'!$AA$2:$AC$2)+'Assumptions (NG)'!$AD$18*AVERAGE('Assumptions (NG)'!$AA$3:$AC$3))/10^9,0)</f>
        <v>0.04411228215</v>
      </c>
      <c r="AQ628" s="160">
        <f>IF($AE$438&gt;0,'Assumptions (NG)'!AH13*Model!$AE$438*('Assumptions (NG)'!$AD$17*AVERAGE('Assumptions (NG)'!$AA$2:$AC$2)+'Assumptions (NG)'!$AD$18*AVERAGE('Assumptions (NG)'!$AA$3:$AC$3))/10^9,0)</f>
        <v>0.04418704873</v>
      </c>
      <c r="AR628" s="160">
        <f>IF($AE$438&gt;0,'Assumptions (NG)'!AI13*Model!$AE$438*('Assumptions (NG)'!$AD$17*AVERAGE('Assumptions (NG)'!$AA$2:$AC$2)+'Assumptions (NG)'!$AD$18*AVERAGE('Assumptions (NG)'!$AA$3:$AC$3))/10^9,0)</f>
        <v>0.04411228215</v>
      </c>
      <c r="AS628" s="160">
        <f>IF($AE$438&gt;0,'Assumptions (NG)'!AJ13*Model!$AE$438*('Assumptions (NG)'!$AD$17*AVERAGE('Assumptions (NG)'!$AA$2:$AC$2)+'Assumptions (NG)'!$AD$18*AVERAGE('Assumptions (NG)'!$AA$3:$AC$3))/10^9,0)</f>
        <v>0.04418704873</v>
      </c>
      <c r="AT628" s="160">
        <f>IF($AE$438&gt;0,'Assumptions (NG)'!AK13*Model!$AE$438*('Assumptions (NG)'!$AD$17*AVERAGE('Assumptions (NG)'!$AA$2:$AC$2)+'Assumptions (NG)'!$AD$18*AVERAGE('Assumptions (NG)'!$AA$3:$AC$3))/10^9,0)</f>
        <v>0.02205614108</v>
      </c>
      <c r="AU628" s="160"/>
      <c r="AV628" s="160"/>
      <c r="AW628" s="160"/>
      <c r="AX628" s="160"/>
      <c r="AY628" s="160"/>
      <c r="AZ628" s="160"/>
      <c r="BA628" s="160"/>
      <c r="BB628" s="160"/>
      <c r="BC628" s="160"/>
    </row>
    <row r="629" ht="15.75" hidden="1" customHeight="1" outlineLevel="1">
      <c r="A629" s="209"/>
      <c r="B629" s="38"/>
      <c r="C629" s="174"/>
      <c r="D629" s="174"/>
      <c r="E629" s="174"/>
      <c r="F629" s="174"/>
      <c r="G629" s="174"/>
      <c r="H629" s="174"/>
      <c r="I629" s="174"/>
      <c r="J629" s="174"/>
      <c r="K629" s="174"/>
      <c r="L629" s="174"/>
      <c r="M629" s="174"/>
      <c r="N629" s="174"/>
      <c r="O629" s="174"/>
      <c r="P629" s="174"/>
      <c r="Q629" s="174"/>
      <c r="R629" s="174"/>
      <c r="S629" s="174"/>
      <c r="T629" s="174"/>
      <c r="U629" s="174"/>
      <c r="V629" s="174"/>
      <c r="W629" s="160"/>
      <c r="X629" s="160"/>
      <c r="Y629" s="160"/>
      <c r="Z629" s="160"/>
      <c r="AA629" s="160"/>
      <c r="AB629" s="160"/>
      <c r="AC629" s="160"/>
      <c r="AD629" s="160"/>
      <c r="AE629" s="160"/>
      <c r="AF629" s="160">
        <f>IF($AF$438&gt;0,'Assumptions (NG)'!V13*Model!$AF$438*('Assumptions (NG)'!$AE$17*AVERAGE('Assumptions (NG)'!$AB$2:$AD$2)+'Assumptions (NG)'!$AE$18*AVERAGE('Assumptions (NG)'!$AB$3:$AD$3))/10^9,0)</f>
        <v>0.03884189837</v>
      </c>
      <c r="AG629" s="160">
        <f>IF($AF$438&gt;0,'Assumptions (NG)'!W13*Model!$AF$438*('Assumptions (NG)'!$AE$17*AVERAGE('Assumptions (NG)'!$AB$2:$AD$2)+'Assumptions (NG)'!$AE$18*AVERAGE('Assumptions (NG)'!$AB$3:$AD$3))/10^9,0)</f>
        <v>0.0737996069</v>
      </c>
      <c r="AH629" s="160">
        <f>IF($AF$438&gt;0,'Assumptions (NG)'!X13*Model!$AF$438*('Assumptions (NG)'!$AE$17*AVERAGE('Assumptions (NG)'!$AB$2:$AD$2)+'Assumptions (NG)'!$AE$18*AVERAGE('Assumptions (NG)'!$AB$3:$AD$3))/10^9,0)</f>
        <v>0.06641964621</v>
      </c>
      <c r="AI629" s="160">
        <f>IF($AF$438&gt;0,'Assumptions (NG)'!Y13*Model!$AF$438*('Assumptions (NG)'!$AE$17*AVERAGE('Assumptions (NG)'!$AB$2:$AD$2)+'Assumptions (NG)'!$AE$18*AVERAGE('Assumptions (NG)'!$AB$3:$AD$3))/10^9,0)</f>
        <v>0.05981652349</v>
      </c>
      <c r="AJ629" s="160">
        <f>IF($AF$438&gt;0,'Assumptions (NG)'!Z13*Model!$AF$438*('Assumptions (NG)'!$AE$17*AVERAGE('Assumptions (NG)'!$AB$2:$AD$2)+'Assumptions (NG)'!$AE$18*AVERAGE('Assumptions (NG)'!$AB$3:$AD$3))/10^9,0)</f>
        <v>0.05383487114</v>
      </c>
      <c r="AK629" s="160">
        <f>IF($AF$438&gt;0,'Assumptions (NG)'!AA13*Model!$AF$438*('Assumptions (NG)'!$AE$17*AVERAGE('Assumptions (NG)'!$AB$2:$AD$2)+'Assumptions (NG)'!$AE$18*AVERAGE('Assumptions (NG)'!$AB$3:$AD$3))/10^9,0)</f>
        <v>0.04839700537</v>
      </c>
      <c r="AL629" s="160">
        <f>IF($AF$438&gt;0,'Assumptions (NG)'!AB13*Model!$AF$438*('Assumptions (NG)'!$AE$17*AVERAGE('Assumptions (NG)'!$AB$2:$AD$2)+'Assumptions (NG)'!$AE$18*AVERAGE('Assumptions (NG)'!$AB$3:$AD$3))/10^9,0)</f>
        <v>0.04583344007</v>
      </c>
      <c r="AM629" s="160">
        <f>IF($AF$438&gt;0,'Assumptions (NG)'!AC13*Model!$AF$438*('Assumptions (NG)'!$AE$17*AVERAGE('Assumptions (NG)'!$AB$2:$AD$2)+'Assumptions (NG)'!$AE$18*AVERAGE('Assumptions (NG)'!$AB$3:$AD$3))/10^9,0)</f>
        <v>0.04583344007</v>
      </c>
      <c r="AN629" s="160">
        <f>IF($AF$438&gt;0,'Assumptions (NG)'!AD13*Model!$AF$438*('Assumptions (NG)'!$AE$17*AVERAGE('Assumptions (NG)'!$AB$2:$AD$2)+'Assumptions (NG)'!$AE$18*AVERAGE('Assumptions (NG)'!$AB$3:$AD$3))/10^9,0)</f>
        <v>0.04591112387</v>
      </c>
      <c r="AO629" s="160">
        <f>IF($AF$438&gt;0,'Assumptions (NG)'!AE13*Model!$AF$438*('Assumptions (NG)'!$AE$17*AVERAGE('Assumptions (NG)'!$AB$2:$AD$2)+'Assumptions (NG)'!$AE$18*AVERAGE('Assumptions (NG)'!$AB$3:$AD$3))/10^9,0)</f>
        <v>0.04583344007</v>
      </c>
      <c r="AP629" s="160">
        <f>IF($AF$438&gt;0,'Assumptions (NG)'!AF13*Model!$AF$438*('Assumptions (NG)'!$AE$17*AVERAGE('Assumptions (NG)'!$AB$2:$AD$2)+'Assumptions (NG)'!$AE$18*AVERAGE('Assumptions (NG)'!$AB$3:$AD$3))/10^9,0)</f>
        <v>0.04591112387</v>
      </c>
      <c r="AQ629" s="160">
        <f>IF($AF$438&gt;0,'Assumptions (NG)'!AG13*Model!$AF$438*('Assumptions (NG)'!$AE$17*AVERAGE('Assumptions (NG)'!$AB$2:$AD$2)+'Assumptions (NG)'!$AE$18*AVERAGE('Assumptions (NG)'!$AB$3:$AD$3))/10^9,0)</f>
        <v>0.04583344007</v>
      </c>
      <c r="AR629" s="160">
        <f>IF($AF$438&gt;0,'Assumptions (NG)'!AH13*Model!$AF$438*('Assumptions (NG)'!$AE$17*AVERAGE('Assumptions (NG)'!$AB$2:$AD$2)+'Assumptions (NG)'!$AE$18*AVERAGE('Assumptions (NG)'!$AB$3:$AD$3))/10^9,0)</f>
        <v>0.04591112387</v>
      </c>
      <c r="AS629" s="160">
        <f>IF($AF$438&gt;0,'Assumptions (NG)'!AI13*Model!$AF$438*('Assumptions (NG)'!$AE$17*AVERAGE('Assumptions (NG)'!$AB$2:$AD$2)+'Assumptions (NG)'!$AE$18*AVERAGE('Assumptions (NG)'!$AB$3:$AD$3))/10^9,0)</f>
        <v>0.04583344007</v>
      </c>
      <c r="AT629" s="160">
        <f>IF($AF$438&gt;0,'Assumptions (NG)'!AJ13*Model!$AF$438*('Assumptions (NG)'!$AE$17*AVERAGE('Assumptions (NG)'!$AB$2:$AD$2)+'Assumptions (NG)'!$AE$18*AVERAGE('Assumptions (NG)'!$AB$3:$AD$3))/10^9,0)</f>
        <v>0.04591112387</v>
      </c>
      <c r="AU629" s="160">
        <f>IF($AF$438&gt;0,'Assumptions (NG)'!AK13*Model!$AF$438*('Assumptions (NG)'!$AE$17*AVERAGE('Assumptions (NG)'!$AB$2:$AD$2)+'Assumptions (NG)'!$AE$18*AVERAGE('Assumptions (NG)'!$AB$3:$AD$3))/10^9,0)</f>
        <v>0.02291672004</v>
      </c>
      <c r="AV629" s="160"/>
      <c r="AW629" s="160"/>
      <c r="AX629" s="160"/>
      <c r="AY629" s="160"/>
      <c r="AZ629" s="160"/>
      <c r="BA629" s="160"/>
      <c r="BB629" s="160"/>
      <c r="BC629" s="160"/>
      <c r="BD629" s="160"/>
    </row>
    <row r="630" ht="15.75" hidden="1" customHeight="1" outlineLevel="1">
      <c r="A630" s="209"/>
      <c r="B630" s="38"/>
      <c r="C630" s="174"/>
      <c r="D630" s="174"/>
      <c r="E630" s="174"/>
      <c r="F630" s="174"/>
      <c r="G630" s="174"/>
      <c r="H630" s="174"/>
      <c r="I630" s="174"/>
      <c r="J630" s="174"/>
      <c r="K630" s="174"/>
      <c r="L630" s="174"/>
      <c r="M630" s="174"/>
      <c r="N630" s="174"/>
      <c r="O630" s="174"/>
      <c r="P630" s="174"/>
      <c r="Q630" s="174"/>
      <c r="R630" s="174"/>
      <c r="S630" s="174"/>
      <c r="T630" s="174"/>
      <c r="U630" s="174"/>
      <c r="V630" s="174"/>
      <c r="W630" s="160"/>
      <c r="X630" s="160"/>
      <c r="Y630" s="160"/>
      <c r="Z630" s="160"/>
      <c r="AA630" s="160"/>
      <c r="AB630" s="160"/>
      <c r="AC630" s="160"/>
      <c r="AD630" s="160"/>
      <c r="AE630" s="160"/>
      <c r="AF630" s="160"/>
      <c r="AG630" s="160">
        <f>IF($AG$438&gt;0,'Assumptions (NG)'!V13*Model!$AG$438*('Assumptions (NG)'!$AF$17*AVERAGE('Assumptions (NG)'!$AC$2:$AE$2)+'Assumptions (NG)'!$AF$18*AVERAGE('Assumptions (NG)'!$AC$3:$AE$3))/10^9,0)</f>
        <v>0.04206429816</v>
      </c>
      <c r="AH630" s="160">
        <f>IF($AG$438&gt;0,'Assumptions (NG)'!W13*Model!$AG$438*('Assumptions (NG)'!$AF$17*AVERAGE('Assumptions (NG)'!$AC$2:$AE$2)+'Assumptions (NG)'!$AF$18*AVERAGE('Assumptions (NG)'!$AC$3:$AE$3))/10^9,0)</f>
        <v>0.0799221665</v>
      </c>
      <c r="AI630" s="160">
        <f>IF($AG$438&gt;0,'Assumptions (NG)'!X13*Model!$AG$438*('Assumptions (NG)'!$AF$17*AVERAGE('Assumptions (NG)'!$AC$2:$AE$2)+'Assumptions (NG)'!$AF$18*AVERAGE('Assumptions (NG)'!$AC$3:$AE$3))/10^9,0)</f>
        <v>0.07192994985</v>
      </c>
      <c r="AJ630" s="160">
        <f>IF($AG$438&gt;0,'Assumptions (NG)'!Y13*Model!$AG$438*('Assumptions (NG)'!$AF$17*AVERAGE('Assumptions (NG)'!$AC$2:$AE$2)+'Assumptions (NG)'!$AF$18*AVERAGE('Assumptions (NG)'!$AC$3:$AE$3))/10^9,0)</f>
        <v>0.06477901917</v>
      </c>
      <c r="AK630" s="160">
        <f>IF($AG$438&gt;0,'Assumptions (NG)'!Z13*Model!$AG$438*('Assumptions (NG)'!$AF$17*AVERAGE('Assumptions (NG)'!$AC$2:$AE$2)+'Assumptions (NG)'!$AF$18*AVERAGE('Assumptions (NG)'!$AC$3:$AE$3))/10^9,0)</f>
        <v>0.05830111725</v>
      </c>
      <c r="AL630" s="160">
        <f>IF($AG$438&gt;0,'Assumptions (NG)'!AA13*Model!$AG$438*('Assumptions (NG)'!$AF$17*AVERAGE('Assumptions (NG)'!$AC$2:$AE$2)+'Assumptions (NG)'!$AF$18*AVERAGE('Assumptions (NG)'!$AC$3:$AE$3))/10^9,0)</f>
        <v>0.05241211551</v>
      </c>
      <c r="AM630" s="160">
        <f>IF($AG$438&gt;0,'Assumptions (NG)'!AB13*Model!$AG$438*('Assumptions (NG)'!$AF$17*AVERAGE('Assumptions (NG)'!$AC$2:$AE$2)+'Assumptions (NG)'!$AF$18*AVERAGE('Assumptions (NG)'!$AC$3:$AE$3))/10^9,0)</f>
        <v>0.04963587183</v>
      </c>
      <c r="AN630" s="160">
        <f>IF($AG$438&gt;0,'Assumptions (NG)'!AC13*Model!$AG$438*('Assumptions (NG)'!$AF$17*AVERAGE('Assumptions (NG)'!$AC$2:$AE$2)+'Assumptions (NG)'!$AF$18*AVERAGE('Assumptions (NG)'!$AC$3:$AE$3))/10^9,0)</f>
        <v>0.04963587183</v>
      </c>
      <c r="AO630" s="160">
        <f>IF($AG$438&gt;0,'Assumptions (NG)'!AD13*Model!$AG$438*('Assumptions (NG)'!$AF$17*AVERAGE('Assumptions (NG)'!$AC$2:$AE$2)+'Assumptions (NG)'!$AF$18*AVERAGE('Assumptions (NG)'!$AC$3:$AE$3))/10^9,0)</f>
        <v>0.04972000043</v>
      </c>
      <c r="AP630" s="160">
        <f>IF($AG$438&gt;0,'Assumptions (NG)'!AE13*Model!$AG$438*('Assumptions (NG)'!$AF$17*AVERAGE('Assumptions (NG)'!$AC$2:$AE$2)+'Assumptions (NG)'!$AF$18*AVERAGE('Assumptions (NG)'!$AC$3:$AE$3))/10^9,0)</f>
        <v>0.04963587183</v>
      </c>
      <c r="AQ630" s="160">
        <f>IF($AG$438&gt;0,'Assumptions (NG)'!AF13*Model!$AG$438*('Assumptions (NG)'!$AF$17*AVERAGE('Assumptions (NG)'!$AC$2:$AE$2)+'Assumptions (NG)'!$AF$18*AVERAGE('Assumptions (NG)'!$AC$3:$AE$3))/10^9,0)</f>
        <v>0.04972000043</v>
      </c>
      <c r="AR630" s="160">
        <f>IF($AG$438&gt;0,'Assumptions (NG)'!AG13*Model!$AG$438*('Assumptions (NG)'!$AF$17*AVERAGE('Assumptions (NG)'!$AC$2:$AE$2)+'Assumptions (NG)'!$AF$18*AVERAGE('Assumptions (NG)'!$AC$3:$AE$3))/10^9,0)</f>
        <v>0.04963587183</v>
      </c>
      <c r="AS630" s="160">
        <f>IF($AG$438&gt;0,'Assumptions (NG)'!AH13*Model!$AG$438*('Assumptions (NG)'!$AF$17*AVERAGE('Assumptions (NG)'!$AC$2:$AE$2)+'Assumptions (NG)'!$AF$18*AVERAGE('Assumptions (NG)'!$AC$3:$AE$3))/10^9,0)</f>
        <v>0.04972000043</v>
      </c>
      <c r="AT630" s="160">
        <f>IF($AG$438&gt;0,'Assumptions (NG)'!AI13*Model!$AG$438*('Assumptions (NG)'!$AF$17*AVERAGE('Assumptions (NG)'!$AC$2:$AE$2)+'Assumptions (NG)'!$AF$18*AVERAGE('Assumptions (NG)'!$AC$3:$AE$3))/10^9,0)</f>
        <v>0.04963587183</v>
      </c>
      <c r="AU630" s="160">
        <f>IF($AG$438&gt;0,'Assumptions (NG)'!AJ13*Model!$AG$438*('Assumptions (NG)'!$AF$17*AVERAGE('Assumptions (NG)'!$AC$2:$AE$2)+'Assumptions (NG)'!$AF$18*AVERAGE('Assumptions (NG)'!$AC$3:$AE$3))/10^9,0)</f>
        <v>0.04972000043</v>
      </c>
      <c r="AV630" s="160">
        <f>IF($AG$438&gt;0,'Assumptions (NG)'!AK13*Model!$AG$438*('Assumptions (NG)'!$AF$17*AVERAGE('Assumptions (NG)'!$AC$2:$AE$2)+'Assumptions (NG)'!$AF$18*AVERAGE('Assumptions (NG)'!$AC$3:$AE$3))/10^9,0)</f>
        <v>0.02481793591</v>
      </c>
      <c r="AW630" s="160"/>
      <c r="AX630" s="160"/>
      <c r="AY630" s="160"/>
      <c r="AZ630" s="160"/>
      <c r="BA630" s="160"/>
      <c r="BB630" s="160"/>
      <c r="BC630" s="160"/>
      <c r="BD630" s="160"/>
      <c r="BE630" s="160"/>
    </row>
    <row r="631" ht="15.75" hidden="1" customHeight="1" outlineLevel="1">
      <c r="A631" s="209"/>
      <c r="B631" s="38"/>
      <c r="C631" s="174"/>
      <c r="D631" s="174"/>
      <c r="E631" s="174"/>
      <c r="F631" s="174"/>
      <c r="G631" s="174"/>
      <c r="H631" s="174"/>
      <c r="I631" s="174"/>
      <c r="J631" s="174"/>
      <c r="K631" s="174"/>
      <c r="L631" s="174"/>
      <c r="M631" s="174"/>
      <c r="N631" s="174"/>
      <c r="O631" s="174"/>
      <c r="P631" s="174"/>
      <c r="Q631" s="174"/>
      <c r="R631" s="174"/>
      <c r="S631" s="174"/>
      <c r="T631" s="174"/>
      <c r="U631" s="174"/>
      <c r="V631" s="174"/>
      <c r="W631" s="160"/>
      <c r="X631" s="160"/>
      <c r="Y631" s="160"/>
      <c r="Z631" s="160"/>
      <c r="AA631" s="160"/>
      <c r="AB631" s="160"/>
      <c r="AC631" s="160"/>
      <c r="AD631" s="160"/>
      <c r="AE631" s="160"/>
      <c r="AF631" s="160"/>
      <c r="AG631" s="160"/>
      <c r="AH631" s="160">
        <f>IF($AH$438&gt;0,'Assumptions (NG)'!V13*Model!$AH$438*('Assumptions (NG)'!$AG$17*AVERAGE('Assumptions (NG)'!$AD$2:$AF$2)+'Assumptions (NG)'!$AG$18*AVERAGE('Assumptions (NG)'!$AD$3:$AF$3))/10^9,0)</f>
        <v>0.03987159895</v>
      </c>
      <c r="AI631" s="160">
        <f>IF($AH$438&gt;0,'Assumptions (NG)'!W13*Model!$AH$438*('Assumptions (NG)'!$AG$17*AVERAGE('Assumptions (NG)'!$AD$2:$AF$2)+'Assumptions (NG)'!$AG$18*AVERAGE('Assumptions (NG)'!$AD$3:$AF$3))/10^9,0)</f>
        <v>0.07575603801</v>
      </c>
      <c r="AJ631" s="160">
        <f>IF($AH$438&gt;0,'Assumptions (NG)'!X13*Model!$AH$438*('Assumptions (NG)'!$AG$17*AVERAGE('Assumptions (NG)'!$AD$2:$AF$2)+'Assumptions (NG)'!$AG$18*AVERAGE('Assumptions (NG)'!$AD$3:$AF$3))/10^9,0)</f>
        <v>0.06818043421</v>
      </c>
      <c r="AK631" s="160">
        <f>IF($AH$438&gt;0,'Assumptions (NG)'!Y13*Model!$AH$438*('Assumptions (NG)'!$AG$17*AVERAGE('Assumptions (NG)'!$AD$2:$AF$2)+'Assumptions (NG)'!$AG$18*AVERAGE('Assumptions (NG)'!$AD$3:$AF$3))/10^9,0)</f>
        <v>0.06140226238</v>
      </c>
      <c r="AL631" s="160">
        <f>IF($AH$438&gt;0,'Assumptions (NG)'!Z13*Model!$AH$438*('Assumptions (NG)'!$AG$17*AVERAGE('Assumptions (NG)'!$AD$2:$AF$2)+'Assumptions (NG)'!$AG$18*AVERAGE('Assumptions (NG)'!$AD$3:$AF$3))/10^9,0)</f>
        <v>0.05526203615</v>
      </c>
      <c r="AM631" s="160">
        <f>IF($AH$438&gt;0,'Assumptions (NG)'!AA13*Model!$AH$438*('Assumptions (NG)'!$AG$17*AVERAGE('Assumptions (NG)'!$AD$2:$AF$2)+'Assumptions (NG)'!$AG$18*AVERAGE('Assumptions (NG)'!$AD$3:$AF$3))/10^9,0)</f>
        <v>0.04968001229</v>
      </c>
      <c r="AN631" s="160">
        <f>IF($AH$438&gt;0,'Assumptions (NG)'!AB13*Model!$AH$438*('Assumptions (NG)'!$AG$17*AVERAGE('Assumptions (NG)'!$AD$2:$AF$2)+'Assumptions (NG)'!$AG$18*AVERAGE('Assumptions (NG)'!$AD$3:$AF$3))/10^9,0)</f>
        <v>0.04704848676</v>
      </c>
      <c r="AO631" s="160">
        <f>IF($AH$438&gt;0,'Assumptions (NG)'!AC13*Model!$AH$438*('Assumptions (NG)'!$AG$17*AVERAGE('Assumptions (NG)'!$AD$2:$AF$2)+'Assumptions (NG)'!$AG$18*AVERAGE('Assumptions (NG)'!$AD$3:$AF$3))/10^9,0)</f>
        <v>0.04704848676</v>
      </c>
      <c r="AP631" s="160">
        <f>IF($AH$438&gt;0,'Assumptions (NG)'!AD13*Model!$AH$438*('Assumptions (NG)'!$AG$17*AVERAGE('Assumptions (NG)'!$AD$2:$AF$2)+'Assumptions (NG)'!$AG$18*AVERAGE('Assumptions (NG)'!$AD$3:$AF$3))/10^9,0)</f>
        <v>0.04712822996</v>
      </c>
      <c r="AQ631" s="160">
        <f>IF($AH$438&gt;0,'Assumptions (NG)'!AE13*Model!$AH$438*('Assumptions (NG)'!$AG$17*AVERAGE('Assumptions (NG)'!$AD$2:$AF$2)+'Assumptions (NG)'!$AG$18*AVERAGE('Assumptions (NG)'!$AD$3:$AF$3))/10^9,0)</f>
        <v>0.04704848676</v>
      </c>
      <c r="AR631" s="160">
        <f>IF($AH$438&gt;0,'Assumptions (NG)'!AF13*Model!$AH$438*('Assumptions (NG)'!$AG$17*AVERAGE('Assumptions (NG)'!$AD$2:$AF$2)+'Assumptions (NG)'!$AG$18*AVERAGE('Assumptions (NG)'!$AD$3:$AF$3))/10^9,0)</f>
        <v>0.04712822996</v>
      </c>
      <c r="AS631" s="160">
        <f>IF($AH$438&gt;0,'Assumptions (NG)'!AG13*Model!$AH$438*('Assumptions (NG)'!$AG$17*AVERAGE('Assumptions (NG)'!$AD$2:$AF$2)+'Assumptions (NG)'!$AG$18*AVERAGE('Assumptions (NG)'!$AD$3:$AF$3))/10^9,0)</f>
        <v>0.04704848676</v>
      </c>
      <c r="AT631" s="160">
        <f>IF($AH$438&gt;0,'Assumptions (NG)'!AH13*Model!$AH$438*('Assumptions (NG)'!$AG$17*AVERAGE('Assumptions (NG)'!$AD$2:$AF$2)+'Assumptions (NG)'!$AG$18*AVERAGE('Assumptions (NG)'!$AD$3:$AF$3))/10^9,0)</f>
        <v>0.04712822996</v>
      </c>
      <c r="AU631" s="160">
        <f>IF($AH$438&gt;0,'Assumptions (NG)'!AI13*Model!$AH$438*('Assumptions (NG)'!$AG$17*AVERAGE('Assumptions (NG)'!$AD$2:$AF$2)+'Assumptions (NG)'!$AG$18*AVERAGE('Assumptions (NG)'!$AD$3:$AF$3))/10^9,0)</f>
        <v>0.04704848676</v>
      </c>
      <c r="AV631" s="160">
        <f>IF($AH$438&gt;0,'Assumptions (NG)'!AJ13*Model!$AH$438*('Assumptions (NG)'!$AG$17*AVERAGE('Assumptions (NG)'!$AD$2:$AF$2)+'Assumptions (NG)'!$AG$18*AVERAGE('Assumptions (NG)'!$AD$3:$AF$3))/10^9,0)</f>
        <v>0.04712822996</v>
      </c>
      <c r="AW631" s="160">
        <f>IF($AH$438&gt;0,'Assumptions (NG)'!AK13*Model!$AH$438*('Assumptions (NG)'!$AG$17*AVERAGE('Assumptions (NG)'!$AD$2:$AF$2)+'Assumptions (NG)'!$AG$18*AVERAGE('Assumptions (NG)'!$AD$3:$AF$3))/10^9,0)</f>
        <v>0.02352424338</v>
      </c>
      <c r="AX631" s="160"/>
      <c r="AY631" s="160"/>
      <c r="AZ631" s="160"/>
      <c r="BA631" s="160"/>
      <c r="BB631" s="160"/>
      <c r="BC631" s="160"/>
      <c r="BD631" s="160"/>
      <c r="BE631" s="160"/>
      <c r="BF631" s="160"/>
    </row>
    <row r="632" ht="15.75" hidden="1" customHeight="1" outlineLevel="1">
      <c r="A632" s="209"/>
      <c r="B632" s="38"/>
      <c r="C632" s="174"/>
      <c r="D632" s="174"/>
      <c r="E632" s="174"/>
      <c r="F632" s="174"/>
      <c r="G632" s="174"/>
      <c r="H632" s="174"/>
      <c r="I632" s="174"/>
      <c r="J632" s="174"/>
      <c r="K632" s="174"/>
      <c r="L632" s="174"/>
      <c r="M632" s="174"/>
      <c r="N632" s="174"/>
      <c r="O632" s="174"/>
      <c r="P632" s="174"/>
      <c r="Q632" s="174"/>
      <c r="R632" s="174"/>
      <c r="S632" s="174"/>
      <c r="T632" s="174"/>
      <c r="U632" s="174"/>
      <c r="V632" s="174"/>
      <c r="W632" s="160"/>
      <c r="X632" s="160"/>
      <c r="Y632" s="160"/>
      <c r="Z632" s="160"/>
      <c r="AA632" s="160"/>
      <c r="AB632" s="160"/>
      <c r="AC632" s="160"/>
      <c r="AD632" s="160"/>
      <c r="AE632" s="160"/>
      <c r="AF632" s="160"/>
      <c r="AG632" s="160"/>
      <c r="AH632" s="160"/>
      <c r="AI632" s="160">
        <f>IF($AI$438&gt;0,'Assumptions (NG)'!V13*Model!$AI$438*('Assumptions (NG)'!$AH$17*AVERAGE('Assumptions (NG)'!$AE$2:$AG$2)+'Assumptions (NG)'!$AH$18*AVERAGE('Assumptions (NG)'!$AE$3:$AG$3))/10^9,0)</f>
        <v>0.04723312258</v>
      </c>
      <c r="AJ632" s="160">
        <f>IF($AI$438&gt;0,'Assumptions (NG)'!W13*Model!$AI$438*('Assumptions (NG)'!$AH$17*AVERAGE('Assumptions (NG)'!$AE$2:$AG$2)+'Assumptions (NG)'!$AH$18*AVERAGE('Assumptions (NG)'!$AE$3:$AG$3))/10^9,0)</f>
        <v>0.08974293291</v>
      </c>
      <c r="AK632" s="160">
        <f>IF($AI$438&gt;0,'Assumptions (NG)'!X13*Model!$AI$438*('Assumptions (NG)'!$AH$17*AVERAGE('Assumptions (NG)'!$AE$2:$AG$2)+'Assumptions (NG)'!$AH$18*AVERAGE('Assumptions (NG)'!$AE$3:$AG$3))/10^9,0)</f>
        <v>0.08076863961</v>
      </c>
      <c r="AL632" s="160">
        <f>IF($AI$438&gt;0,'Assumptions (NG)'!Y13*Model!$AI$438*('Assumptions (NG)'!$AH$17*AVERAGE('Assumptions (NG)'!$AE$2:$AG$2)+'Assumptions (NG)'!$AH$18*AVERAGE('Assumptions (NG)'!$AE$3:$AG$3))/10^9,0)</f>
        <v>0.07273900878</v>
      </c>
      <c r="AM632" s="160">
        <f>IF($AI$438&gt;0,'Assumptions (NG)'!Z13*Model!$AI$438*('Assumptions (NG)'!$AH$17*AVERAGE('Assumptions (NG)'!$AE$2:$AG$2)+'Assumptions (NG)'!$AH$18*AVERAGE('Assumptions (NG)'!$AE$3:$AG$3))/10^9,0)</f>
        <v>0.0654651079</v>
      </c>
      <c r="AN632" s="160">
        <f>IF($AI$438&gt;0,'Assumptions (NG)'!AA13*Model!$AI$438*('Assumptions (NG)'!$AH$17*AVERAGE('Assumptions (NG)'!$AE$2:$AG$2)+'Assumptions (NG)'!$AH$18*AVERAGE('Assumptions (NG)'!$AE$3:$AG$3))/10^9,0)</f>
        <v>0.05885247074</v>
      </c>
      <c r="AO632" s="160">
        <f>IF($AI$438&gt;0,'Assumptions (NG)'!AB13*Model!$AI$438*('Assumptions (NG)'!$AH$17*AVERAGE('Assumptions (NG)'!$AE$2:$AG$2)+'Assumptions (NG)'!$AH$18*AVERAGE('Assumptions (NG)'!$AE$3:$AG$3))/10^9,0)</f>
        <v>0.05573508465</v>
      </c>
      <c r="AP632" s="160">
        <f>IF($AI$438&gt;0,'Assumptions (NG)'!AC13*Model!$AI$438*('Assumptions (NG)'!$AH$17*AVERAGE('Assumptions (NG)'!$AE$2:$AG$2)+'Assumptions (NG)'!$AH$18*AVERAGE('Assumptions (NG)'!$AE$3:$AG$3))/10^9,0)</f>
        <v>0.05573508465</v>
      </c>
      <c r="AQ632" s="160">
        <f>IF($AI$438&gt;0,'Assumptions (NG)'!AD13*Model!$AI$438*('Assumptions (NG)'!$AH$17*AVERAGE('Assumptions (NG)'!$AE$2:$AG$2)+'Assumptions (NG)'!$AH$18*AVERAGE('Assumptions (NG)'!$AE$3:$AG$3))/10^9,0)</f>
        <v>0.05582955089</v>
      </c>
      <c r="AR632" s="160">
        <f>IF($AI$438&gt;0,'Assumptions (NG)'!AE13*Model!$AI$438*('Assumptions (NG)'!$AH$17*AVERAGE('Assumptions (NG)'!$AE$2:$AG$2)+'Assumptions (NG)'!$AH$18*AVERAGE('Assumptions (NG)'!$AE$3:$AG$3))/10^9,0)</f>
        <v>0.05573508465</v>
      </c>
      <c r="AS632" s="160">
        <f>IF($AI$438&gt;0,'Assumptions (NG)'!AF13*Model!$AI$438*('Assumptions (NG)'!$AH$17*AVERAGE('Assumptions (NG)'!$AE$2:$AG$2)+'Assumptions (NG)'!$AH$18*AVERAGE('Assumptions (NG)'!$AE$3:$AG$3))/10^9,0)</f>
        <v>0.05582955089</v>
      </c>
      <c r="AT632" s="160">
        <f>IF($AI$438&gt;0,'Assumptions (NG)'!AG13*Model!$AI$438*('Assumptions (NG)'!$AH$17*AVERAGE('Assumptions (NG)'!$AE$2:$AG$2)+'Assumptions (NG)'!$AH$18*AVERAGE('Assumptions (NG)'!$AE$3:$AG$3))/10^9,0)</f>
        <v>0.05573508465</v>
      </c>
      <c r="AU632" s="160">
        <f>IF($AI$438&gt;0,'Assumptions (NG)'!AH13*Model!$AI$438*('Assumptions (NG)'!$AH$17*AVERAGE('Assumptions (NG)'!$AE$2:$AG$2)+'Assumptions (NG)'!$AH$18*AVERAGE('Assumptions (NG)'!$AE$3:$AG$3))/10^9,0)</f>
        <v>0.05582955089</v>
      </c>
      <c r="AV632" s="160">
        <f>IF($AI$438&gt;0,'Assumptions (NG)'!AI13*Model!$AI$438*('Assumptions (NG)'!$AH$17*AVERAGE('Assumptions (NG)'!$AE$2:$AG$2)+'Assumptions (NG)'!$AH$18*AVERAGE('Assumptions (NG)'!$AE$3:$AG$3))/10^9,0)</f>
        <v>0.05573508465</v>
      </c>
      <c r="AW632" s="160">
        <f>IF($AI$438&gt;0,'Assumptions (NG)'!AJ13*Model!$AI$438*('Assumptions (NG)'!$AH$17*AVERAGE('Assumptions (NG)'!$AE$2:$AG$2)+'Assumptions (NG)'!$AH$18*AVERAGE('Assumptions (NG)'!$AE$3:$AG$3))/10^9,0)</f>
        <v>0.05582955089</v>
      </c>
      <c r="AX632" s="160">
        <f>IF($AI$438&gt;0,'Assumptions (NG)'!AK13*Model!$AI$438*('Assumptions (NG)'!$AH$17*AVERAGE('Assumptions (NG)'!$AE$2:$AG$2)+'Assumptions (NG)'!$AH$18*AVERAGE('Assumptions (NG)'!$AE$3:$AG$3))/10^9,0)</f>
        <v>0.02786754232</v>
      </c>
      <c r="AY632" s="160"/>
      <c r="AZ632" s="160"/>
      <c r="BA632" s="160"/>
      <c r="BB632" s="160"/>
      <c r="BC632" s="160"/>
      <c r="BD632" s="160"/>
      <c r="BE632" s="160"/>
      <c r="BF632" s="160"/>
      <c r="BG632" s="160"/>
    </row>
    <row r="633" ht="15.75" hidden="1" customHeight="1" outlineLevel="1">
      <c r="A633" s="209"/>
      <c r="B633" s="38"/>
      <c r="C633" s="174"/>
      <c r="D633" s="174"/>
      <c r="E633" s="174"/>
      <c r="F633" s="174"/>
      <c r="G633" s="174"/>
      <c r="H633" s="174"/>
      <c r="I633" s="174"/>
      <c r="J633" s="174"/>
      <c r="K633" s="174"/>
      <c r="L633" s="174"/>
      <c r="M633" s="174"/>
      <c r="N633" s="174"/>
      <c r="O633" s="174"/>
      <c r="P633" s="174"/>
      <c r="Q633" s="174"/>
      <c r="R633" s="174"/>
      <c r="S633" s="174"/>
      <c r="T633" s="174"/>
      <c r="U633" s="174"/>
      <c r="V633" s="174"/>
      <c r="W633" s="160"/>
      <c r="X633" s="160"/>
      <c r="Y633" s="160"/>
      <c r="Z633" s="160"/>
      <c r="AA633" s="160"/>
      <c r="AB633" s="177"/>
      <c r="AC633" s="160"/>
      <c r="AD633" s="160"/>
      <c r="AE633" s="160"/>
      <c r="AF633" s="160"/>
      <c r="AG633" s="160"/>
      <c r="AH633" s="160"/>
      <c r="AI633" s="160"/>
      <c r="AJ633" s="177">
        <f>IF($AJ$438&gt;0,'Assumptions (NG)'!V13*Model!$AJ$438*('Assumptions (NG)'!$AI$17*AVERAGE('Assumptions (NG)'!$AF$2:$AH$2)+'Assumptions (NG)'!$AI$18*AVERAGE('Assumptions (NG)'!$AF$3:$AH$3))/10^9,0)</f>
        <v>0.05433728488</v>
      </c>
      <c r="AK633" s="177">
        <f>IF($AJ$438&gt;0,'Assumptions (NG)'!W13*Model!$AJ$438*('Assumptions (NG)'!$AI$17*AVERAGE('Assumptions (NG)'!$AF$2:$AH$2)+'Assumptions (NG)'!$AI$18*AVERAGE('Assumptions (NG)'!$AF$3:$AH$3))/10^9,0)</f>
        <v>0.1032408413</v>
      </c>
      <c r="AL633" s="177">
        <f>IF($AJ$438&gt;0,'Assumptions (NG)'!X13*Model!$AJ$438*('Assumptions (NG)'!$AI$17*AVERAGE('Assumptions (NG)'!$AF$2:$AH$2)+'Assumptions (NG)'!$AI$18*AVERAGE('Assumptions (NG)'!$AF$3:$AH$3))/10^9,0)</f>
        <v>0.09291675715</v>
      </c>
      <c r="AM633" s="177">
        <f>IF($AJ$438&gt;0,'Assumptions (NG)'!Y13*Model!$AJ$438*('Assumptions (NG)'!$AI$17*AVERAGE('Assumptions (NG)'!$AF$2:$AH$2)+'Assumptions (NG)'!$AI$18*AVERAGE('Assumptions (NG)'!$AF$3:$AH$3))/10^9,0)</f>
        <v>0.08367941872</v>
      </c>
      <c r="AN633" s="177">
        <f>IF($AJ$438&gt;0,'Assumptions (NG)'!Z13*Model!$AJ$438*('Assumptions (NG)'!$AI$17*AVERAGE('Assumptions (NG)'!$AF$2:$AH$2)+'Assumptions (NG)'!$AI$18*AVERAGE('Assumptions (NG)'!$AF$3:$AH$3))/10^9,0)</f>
        <v>0.07531147684</v>
      </c>
      <c r="AO633" s="177">
        <f>IF($AJ$438&gt;0,'Assumptions (NG)'!AA13*Model!$AJ$438*('Assumptions (NG)'!$AI$17*AVERAGE('Assumptions (NG)'!$AF$2:$AH$2)+'Assumptions (NG)'!$AI$18*AVERAGE('Assumptions (NG)'!$AF$3:$AH$3))/10^9,0)</f>
        <v>0.06770425696</v>
      </c>
      <c r="AP633" s="177">
        <f>IF($AJ$438&gt;0,'Assumptions (NG)'!AB13*Model!$AJ$438*('Assumptions (NG)'!$AI$17*AVERAGE('Assumptions (NG)'!$AF$2:$AH$2)+'Assumptions (NG)'!$AI$18*AVERAGE('Assumptions (NG)'!$AF$3:$AH$3))/10^9,0)</f>
        <v>0.06411799616</v>
      </c>
      <c r="AQ633" s="177">
        <f>IF($AJ$438&gt;0,'Assumptions (NG)'!AC13*Model!$AJ$438*('Assumptions (NG)'!$AI$17*AVERAGE('Assumptions (NG)'!$AF$2:$AH$2)+'Assumptions (NG)'!$AI$18*AVERAGE('Assumptions (NG)'!$AF$3:$AH$3))/10^9,0)</f>
        <v>0.06411799616</v>
      </c>
      <c r="AR633" s="177">
        <f>IF($AJ$438&gt;0,'Assumptions (NG)'!AD13*Model!$AJ$438*('Assumptions (NG)'!$AI$17*AVERAGE('Assumptions (NG)'!$AF$2:$AH$2)+'Assumptions (NG)'!$AI$18*AVERAGE('Assumptions (NG)'!$AF$3:$AH$3))/10^9,0)</f>
        <v>0.06422667073</v>
      </c>
      <c r="AS633" s="177">
        <f>IF($AJ$438&gt;0,'Assumptions (NG)'!AE13*Model!$AJ$438*('Assumptions (NG)'!$AI$17*AVERAGE('Assumptions (NG)'!$AF$2:$AH$2)+'Assumptions (NG)'!$AI$18*AVERAGE('Assumptions (NG)'!$AF$3:$AH$3))/10^9,0)</f>
        <v>0.06411799616</v>
      </c>
      <c r="AT633" s="177">
        <f>IF($AJ$438&gt;0,'Assumptions (NG)'!AF13*Model!$AJ$438*('Assumptions (NG)'!$AI$17*AVERAGE('Assumptions (NG)'!$AF$2:$AH$2)+'Assumptions (NG)'!$AI$18*AVERAGE('Assumptions (NG)'!$AF$3:$AH$3))/10^9,0)</f>
        <v>0.06422667073</v>
      </c>
      <c r="AU633" s="177">
        <f>IF($AJ$438&gt;0,'Assumptions (NG)'!AG13*Model!$AJ$438*('Assumptions (NG)'!$AI$17*AVERAGE('Assumptions (NG)'!$AF$2:$AH$2)+'Assumptions (NG)'!$AI$18*AVERAGE('Assumptions (NG)'!$AF$3:$AH$3))/10^9,0)</f>
        <v>0.06411799616</v>
      </c>
      <c r="AV633" s="177">
        <f>IF($AJ$438&gt;0,'Assumptions (NG)'!AH13*Model!$AJ$438*('Assumptions (NG)'!$AI$17*AVERAGE('Assumptions (NG)'!$AF$2:$AH$2)+'Assumptions (NG)'!$AI$18*AVERAGE('Assumptions (NG)'!$AF$3:$AH$3))/10^9,0)</f>
        <v>0.06422667073</v>
      </c>
      <c r="AW633" s="177">
        <f>IF($AJ$438&gt;0,'Assumptions (NG)'!AI13*Model!$AJ$438*('Assumptions (NG)'!$AI$17*AVERAGE('Assumptions (NG)'!$AF$2:$AH$2)+'Assumptions (NG)'!$AI$18*AVERAGE('Assumptions (NG)'!$AF$3:$AH$3))/10^9,0)</f>
        <v>0.06411799616</v>
      </c>
      <c r="AX633" s="177">
        <f>IF($AJ$438&gt;0,'Assumptions (NG)'!AJ13*Model!$AJ$438*('Assumptions (NG)'!$AI$17*AVERAGE('Assumptions (NG)'!$AF$2:$AH$2)+'Assumptions (NG)'!$AI$18*AVERAGE('Assumptions (NG)'!$AF$3:$AH$3))/10^9,0)</f>
        <v>0.06422667073</v>
      </c>
      <c r="AY633" s="177">
        <f>IF($AJ$438&gt;0,'Assumptions (NG)'!AK13*Model!$AJ$438*('Assumptions (NG)'!$AI$17*AVERAGE('Assumptions (NG)'!$AF$2:$AH$2)+'Assumptions (NG)'!$AI$18*AVERAGE('Assumptions (NG)'!$AF$3:$AH$3))/10^9,0)</f>
        <v>0.03205899808</v>
      </c>
      <c r="AZ633" s="177"/>
      <c r="BA633" s="177"/>
      <c r="BB633" s="177"/>
      <c r="BC633" s="177"/>
      <c r="BD633" s="177"/>
      <c r="BE633" s="177"/>
      <c r="BF633" s="177"/>
      <c r="BG633" s="177"/>
      <c r="BH633" s="177"/>
    </row>
    <row r="634" ht="15.75" hidden="1" customHeight="1" outlineLevel="1">
      <c r="A634" s="209"/>
      <c r="B634" s="38"/>
      <c r="C634" s="174"/>
      <c r="D634" s="174"/>
      <c r="E634" s="174"/>
      <c r="F634" s="174"/>
      <c r="G634" s="174"/>
      <c r="H634" s="174"/>
      <c r="I634" s="174"/>
      <c r="J634" s="174"/>
      <c r="K634" s="174"/>
      <c r="L634" s="174"/>
      <c r="M634" s="174"/>
      <c r="N634" s="174"/>
      <c r="O634" s="174"/>
      <c r="P634" s="174"/>
      <c r="Q634" s="174"/>
      <c r="R634" s="174"/>
      <c r="S634" s="174"/>
      <c r="T634" s="174"/>
      <c r="U634" s="174"/>
      <c r="V634" s="174"/>
      <c r="W634" s="160"/>
      <c r="X634" s="160"/>
      <c r="Y634" s="160"/>
      <c r="Z634" s="160"/>
      <c r="AA634" s="160"/>
      <c r="AB634" s="160"/>
      <c r="AC634" s="160"/>
      <c r="AD634" s="160"/>
      <c r="AE634" s="160"/>
      <c r="AF634" s="160"/>
      <c r="AG634" s="160"/>
      <c r="AH634" s="160"/>
      <c r="AI634" s="160"/>
      <c r="AJ634" s="179"/>
      <c r="AK634" s="160">
        <f>IF($AK$438&gt;0,'Assumptions (NG)'!V13*Model!$AK$438*('Assumptions (NG)'!$AJ$17*AVERAGE('Assumptions (NG)'!$AG$2:$AI$2)+'Assumptions (NG)'!$AJ$18*AVERAGE('Assumptions (NG)'!$AG$3:$AI$3))/10^9,0)</f>
        <v>0.05498830034</v>
      </c>
      <c r="AL634" s="160">
        <f>IF($AK$438&gt;0,'Assumptions (NG)'!W13*Model!$AK$438*('Assumptions (NG)'!$AJ$17*AVERAGE('Assumptions (NG)'!$AG$2:$AI$2)+'Assumptions (NG)'!$AJ$18*AVERAGE('Assumptions (NG)'!$AG$3:$AI$3))/10^9,0)</f>
        <v>0.1044777706</v>
      </c>
      <c r="AM634" s="160">
        <f>IF($AK$438&gt;0,'Assumptions (NG)'!X13*Model!$AK$438*('Assumptions (NG)'!$AJ$17*AVERAGE('Assumptions (NG)'!$AG$2:$AI$2)+'Assumptions (NG)'!$AJ$18*AVERAGE('Assumptions (NG)'!$AG$3:$AI$3))/10^9,0)</f>
        <v>0.09402999358</v>
      </c>
      <c r="AN634" s="160">
        <f>IF($AK$438&gt;0,'Assumptions (NG)'!Y13*Model!$AK$438*('Assumptions (NG)'!$AJ$17*AVERAGE('Assumptions (NG)'!$AG$2:$AI$2)+'Assumptions (NG)'!$AJ$18*AVERAGE('Assumptions (NG)'!$AG$3:$AI$3))/10^9,0)</f>
        <v>0.08468198252</v>
      </c>
      <c r="AO634" s="160">
        <f>IF($AK$438&gt;0,'Assumptions (NG)'!Z13*Model!$AK$438*('Assumptions (NG)'!$AJ$17*AVERAGE('Assumptions (NG)'!$AG$2:$AI$2)+'Assumptions (NG)'!$AJ$18*AVERAGE('Assumptions (NG)'!$AG$3:$AI$3))/10^9,0)</f>
        <v>0.07621378427</v>
      </c>
      <c r="AP634" s="160">
        <f>IF($AK$438&gt;0,'Assumptions (NG)'!AA13*Model!$AK$438*('Assumptions (NG)'!$AJ$17*AVERAGE('Assumptions (NG)'!$AG$2:$AI$2)+'Assumptions (NG)'!$AJ$18*AVERAGE('Assumptions (NG)'!$AG$3:$AI$3))/10^9,0)</f>
        <v>0.06851542222</v>
      </c>
      <c r="AQ634" s="160">
        <f>IF($AK$438&gt;0,'Assumptions (NG)'!AB13*Model!$AK$438*('Assumptions (NG)'!$AJ$17*AVERAGE('Assumptions (NG)'!$AG$2:$AI$2)+'Assumptions (NG)'!$AJ$18*AVERAGE('Assumptions (NG)'!$AG$3:$AI$3))/10^9,0)</f>
        <v>0.0648861944</v>
      </c>
      <c r="AR634" s="160">
        <f>IF($AK$438&gt;0,'Assumptions (NG)'!AC13*Model!$AK$438*('Assumptions (NG)'!$AJ$17*AVERAGE('Assumptions (NG)'!$AG$2:$AI$2)+'Assumptions (NG)'!$AJ$18*AVERAGE('Assumptions (NG)'!$AG$3:$AI$3))/10^9,0)</f>
        <v>0.0648861944</v>
      </c>
      <c r="AS634" s="160">
        <f>IF($AK$438&gt;0,'Assumptions (NG)'!AD13*Model!$AK$438*('Assumptions (NG)'!$AJ$17*AVERAGE('Assumptions (NG)'!$AG$2:$AI$2)+'Assumptions (NG)'!$AJ$18*AVERAGE('Assumptions (NG)'!$AG$3:$AI$3))/10^9,0)</f>
        <v>0.064996171</v>
      </c>
      <c r="AT634" s="160">
        <f>IF($AK$438&gt;0,'Assumptions (NG)'!AE13*Model!$AK$438*('Assumptions (NG)'!$AJ$17*AVERAGE('Assumptions (NG)'!$AG$2:$AI$2)+'Assumptions (NG)'!$AJ$18*AVERAGE('Assumptions (NG)'!$AG$3:$AI$3))/10^9,0)</f>
        <v>0.0648861944</v>
      </c>
      <c r="AU634" s="160">
        <f>IF($AK$438&gt;0,'Assumptions (NG)'!AF13*Model!$AK$438*('Assumptions (NG)'!$AJ$17*AVERAGE('Assumptions (NG)'!$AG$2:$AI$2)+'Assumptions (NG)'!$AJ$18*AVERAGE('Assumptions (NG)'!$AG$3:$AI$3))/10^9,0)</f>
        <v>0.064996171</v>
      </c>
      <c r="AV634" s="160">
        <f>IF($AK$438&gt;0,'Assumptions (NG)'!AG13*Model!$AK$438*('Assumptions (NG)'!$AJ$17*AVERAGE('Assumptions (NG)'!$AG$2:$AI$2)+'Assumptions (NG)'!$AJ$18*AVERAGE('Assumptions (NG)'!$AG$3:$AI$3))/10^9,0)</f>
        <v>0.0648861944</v>
      </c>
      <c r="AW634" s="160">
        <f>IF($AK$438&gt;0,'Assumptions (NG)'!AH13*Model!$AK$438*('Assumptions (NG)'!$AJ$17*AVERAGE('Assumptions (NG)'!$AG$2:$AI$2)+'Assumptions (NG)'!$AJ$18*AVERAGE('Assumptions (NG)'!$AG$3:$AI$3))/10^9,0)</f>
        <v>0.064996171</v>
      </c>
      <c r="AX634" s="160">
        <f>IF($AK$438&gt;0,'Assumptions (NG)'!AI13*Model!$AK$438*('Assumptions (NG)'!$AJ$17*AVERAGE('Assumptions (NG)'!$AG$2:$AI$2)+'Assumptions (NG)'!$AJ$18*AVERAGE('Assumptions (NG)'!$AG$3:$AI$3))/10^9,0)</f>
        <v>0.0648861944</v>
      </c>
      <c r="AY634" s="160">
        <f>IF($AK$438&gt;0,'Assumptions (NG)'!AJ13*Model!$AK$438*('Assumptions (NG)'!$AJ$17*AVERAGE('Assumptions (NG)'!$AG$2:$AI$2)+'Assumptions (NG)'!$AJ$18*AVERAGE('Assumptions (NG)'!$AG$3:$AI$3))/10^9,0)</f>
        <v>0.064996171</v>
      </c>
      <c r="AZ634" s="160">
        <f>IF($AK$438&gt;0,'Assumptions (NG)'!AK13*Model!$AK$438*('Assumptions (NG)'!$AJ$17*AVERAGE('Assumptions (NG)'!$AG$2:$AI$2)+'Assumptions (NG)'!$AJ$18*AVERAGE('Assumptions (NG)'!$AG$3:$AI$3))/10^9,0)</f>
        <v>0.0324430972</v>
      </c>
      <c r="BA634" s="177"/>
      <c r="BB634" s="177"/>
      <c r="BC634" s="177"/>
      <c r="BD634" s="177"/>
      <c r="BE634" s="177"/>
      <c r="BF634" s="177"/>
      <c r="BG634" s="177"/>
      <c r="BH634" s="177"/>
      <c r="BI634" s="177"/>
    </row>
    <row r="635" ht="15.75" hidden="1" customHeight="1" outlineLevel="1">
      <c r="A635" s="209"/>
      <c r="B635" s="38"/>
      <c r="C635" s="174"/>
      <c r="D635" s="174"/>
      <c r="E635" s="174"/>
      <c r="F635" s="174"/>
      <c r="G635" s="174"/>
      <c r="H635" s="174"/>
      <c r="I635" s="174"/>
      <c r="J635" s="174"/>
      <c r="K635" s="174"/>
      <c r="L635" s="174"/>
      <c r="M635" s="174"/>
      <c r="N635" s="174"/>
      <c r="O635" s="174"/>
      <c r="P635" s="174"/>
      <c r="Q635" s="174"/>
      <c r="R635" s="174"/>
      <c r="S635" s="174"/>
      <c r="T635" s="174"/>
      <c r="U635" s="174"/>
      <c r="V635" s="174"/>
      <c r="W635" s="160"/>
      <c r="X635" s="160"/>
      <c r="Y635" s="160"/>
      <c r="Z635" s="160"/>
      <c r="AA635" s="160"/>
      <c r="AB635" s="160"/>
      <c r="AC635" s="160"/>
      <c r="AD635" s="160"/>
      <c r="AE635" s="160"/>
      <c r="AF635" s="160"/>
      <c r="AG635" s="160"/>
      <c r="AH635" s="160"/>
      <c r="AI635" s="160"/>
      <c r="AJ635" s="179"/>
      <c r="AK635" s="160"/>
      <c r="AL635" s="177">
        <f>IF($AL$438&gt;0,'Assumptions (NG)'!V13*Model!$AL$438*('Assumptions (NG)'!$AK$17*AVERAGE('Assumptions (NG)'!$AH$2:$AJ$2)+'Assumptions (NG)'!$AK$18*AVERAGE('Assumptions (NG)'!$AH$3:$AJ$3))/10^9,0)</f>
        <v>0.05690482639</v>
      </c>
      <c r="AM635" s="177">
        <f>IF($AL$438&gt;0,'Assumptions (NG)'!W13*Model!$AL$438*('Assumptions (NG)'!$AK$17*AVERAGE('Assumptions (NG)'!$AH$2:$AJ$2)+'Assumptions (NG)'!$AK$18*AVERAGE('Assumptions (NG)'!$AH$3:$AJ$3))/10^9,0)</f>
        <v>0.1081191701</v>
      </c>
      <c r="AN635" s="177">
        <f>IF($AL$438&gt;0,'Assumptions (NG)'!X13*Model!$AL$438*('Assumptions (NG)'!$AK$17*AVERAGE('Assumptions (NG)'!$AH$2:$AJ$2)+'Assumptions (NG)'!$AK$18*AVERAGE('Assumptions (NG)'!$AH$3:$AJ$3))/10^9,0)</f>
        <v>0.09730725312</v>
      </c>
      <c r="AO635" s="177">
        <f>IF($AL$438&gt;0,'Assumptions (NG)'!Y13*Model!$AL$438*('Assumptions (NG)'!$AK$17*AVERAGE('Assumptions (NG)'!$AH$2:$AJ$2)+'Assumptions (NG)'!$AK$18*AVERAGE('Assumptions (NG)'!$AH$3:$AJ$3))/10^9,0)</f>
        <v>0.08763343264</v>
      </c>
      <c r="AP635" s="177">
        <f>IF($AL$438&gt;0,'Assumptions (NG)'!Z13*Model!$AL$438*('Assumptions (NG)'!$AK$17*AVERAGE('Assumptions (NG)'!$AH$2:$AJ$2)+'Assumptions (NG)'!$AK$18*AVERAGE('Assumptions (NG)'!$AH$3:$AJ$3))/10^9,0)</f>
        <v>0.07887008937</v>
      </c>
      <c r="AQ635" s="177">
        <f>IF($AL$438&gt;0,'Assumptions (NG)'!AA13*Model!$AL$438*('Assumptions (NG)'!$AK$17*AVERAGE('Assumptions (NG)'!$AH$2:$AJ$2)+'Assumptions (NG)'!$AK$18*AVERAGE('Assumptions (NG)'!$AH$3:$AJ$3))/10^9,0)</f>
        <v>0.07090341368</v>
      </c>
      <c r="AR635" s="177">
        <f>IF($AL$438&gt;0,'Assumptions (NG)'!AB13*Model!$AL$438*('Assumptions (NG)'!$AK$17*AVERAGE('Assumptions (NG)'!$AH$2:$AJ$2)+'Assumptions (NG)'!$AK$18*AVERAGE('Assumptions (NG)'!$AH$3:$AJ$3))/10^9,0)</f>
        <v>0.06714769514</v>
      </c>
      <c r="AS635" s="177">
        <f>IF($AL$438&gt;0,'Assumptions (NG)'!AC13*Model!$AL$438*('Assumptions (NG)'!$AK$17*AVERAGE('Assumptions (NG)'!$AH$2:$AJ$2)+'Assumptions (NG)'!$AK$18*AVERAGE('Assumptions (NG)'!$AH$3:$AJ$3))/10^9,0)</f>
        <v>0.06714769514</v>
      </c>
      <c r="AT635" s="177">
        <f>IF($AL$438&gt;0,'Assumptions (NG)'!AD13*Model!$AL$438*('Assumptions (NG)'!$AK$17*AVERAGE('Assumptions (NG)'!$AH$2:$AJ$2)+'Assumptions (NG)'!$AK$18*AVERAGE('Assumptions (NG)'!$AH$3:$AJ$3))/10^9,0)</f>
        <v>0.06726150479</v>
      </c>
      <c r="AU635" s="177">
        <f>IF($AL$438&gt;0,'Assumptions (NG)'!AE13*Model!$AL$438*('Assumptions (NG)'!$AK$17*AVERAGE('Assumptions (NG)'!$AH$2:$AJ$2)+'Assumptions (NG)'!$AK$18*AVERAGE('Assumptions (NG)'!$AH$3:$AJ$3))/10^9,0)</f>
        <v>0.06714769514</v>
      </c>
      <c r="AV635" s="177">
        <f>IF($AL$438&gt;0,'Assumptions (NG)'!AF13*Model!$AL$438*('Assumptions (NG)'!$AK$17*AVERAGE('Assumptions (NG)'!$AH$2:$AJ$2)+'Assumptions (NG)'!$AK$18*AVERAGE('Assumptions (NG)'!$AH$3:$AJ$3))/10^9,0)</f>
        <v>0.06726150479</v>
      </c>
      <c r="AW635" s="177">
        <f>IF($AL$438&gt;0,'Assumptions (NG)'!AG13*Model!$AL$438*('Assumptions (NG)'!$AK$17*AVERAGE('Assumptions (NG)'!$AH$2:$AJ$2)+'Assumptions (NG)'!$AK$18*AVERAGE('Assumptions (NG)'!$AH$3:$AJ$3))/10^9,0)</f>
        <v>0.06714769514</v>
      </c>
      <c r="AX635" s="177">
        <f>IF($AL$438&gt;0,'Assumptions (NG)'!AH13*Model!$AL$438*('Assumptions (NG)'!$AK$17*AVERAGE('Assumptions (NG)'!$AH$2:$AJ$2)+'Assumptions (NG)'!$AK$18*AVERAGE('Assumptions (NG)'!$AH$3:$AJ$3))/10^9,0)</f>
        <v>0.06726150479</v>
      </c>
      <c r="AY635" s="177">
        <f>IF($AL$438&gt;0,'Assumptions (NG)'!AI13*Model!$AL$438*('Assumptions (NG)'!$AK$17*AVERAGE('Assumptions (NG)'!$AH$2:$AJ$2)+'Assumptions (NG)'!$AK$18*AVERAGE('Assumptions (NG)'!$AH$3:$AJ$3))/10^9,0)</f>
        <v>0.06714769514</v>
      </c>
      <c r="AZ635" s="177">
        <f>IF($AL$438&gt;0,'Assumptions (NG)'!AJ13*Model!$AL$438*('Assumptions (NG)'!$AK$17*AVERAGE('Assumptions (NG)'!$AH$2:$AJ$2)+'Assumptions (NG)'!$AK$18*AVERAGE('Assumptions (NG)'!$AH$3:$AJ$3))/10^9,0)</f>
        <v>0.06726150479</v>
      </c>
      <c r="BA635" s="177">
        <f>IF($AL$438&gt;0,'Assumptions (NG)'!AK13*Model!$AL$438*('Assumptions (NG)'!$AK$17*AVERAGE('Assumptions (NG)'!$AH$2:$AJ$2)+'Assumptions (NG)'!$AK$18*AVERAGE('Assumptions (NG)'!$AH$3:$AJ$3))/10^9,0)</f>
        <v>0.03357384757</v>
      </c>
      <c r="BB635" s="177"/>
      <c r="BC635" s="177"/>
      <c r="BD635" s="177"/>
      <c r="BE635" s="177"/>
      <c r="BF635" s="177"/>
      <c r="BG635" s="177"/>
      <c r="BH635" s="177"/>
      <c r="BI635" s="177"/>
      <c r="BJ635" s="177"/>
    </row>
    <row r="636" ht="15.75" hidden="1" customHeight="1" outlineLevel="1">
      <c r="A636" s="209"/>
      <c r="B636" s="38"/>
      <c r="C636" s="174"/>
      <c r="D636" s="174"/>
      <c r="E636" s="174"/>
      <c r="F636" s="174"/>
      <c r="G636" s="174"/>
      <c r="H636" s="174"/>
      <c r="I636" s="174"/>
      <c r="J636" s="174"/>
      <c r="K636" s="174"/>
      <c r="L636" s="174"/>
      <c r="M636" s="174"/>
      <c r="N636" s="174"/>
      <c r="O636" s="174"/>
      <c r="P636" s="174"/>
      <c r="Q636" s="174"/>
      <c r="R636" s="174"/>
      <c r="S636" s="174"/>
      <c r="T636" s="174"/>
      <c r="U636" s="174"/>
      <c r="V636" s="174"/>
      <c r="W636" s="160"/>
      <c r="X636" s="160"/>
      <c r="Y636" s="160"/>
      <c r="Z636" s="160"/>
      <c r="AA636" s="160"/>
      <c r="AB636" s="160"/>
      <c r="AC636" s="160"/>
      <c r="AD636" s="160"/>
      <c r="AE636" s="160"/>
      <c r="AF636" s="160"/>
      <c r="AG636" s="160"/>
      <c r="AH636" s="160"/>
      <c r="AI636" s="160"/>
      <c r="AJ636" s="179"/>
      <c r="AK636" s="160"/>
      <c r="AL636" s="177"/>
      <c r="AM636" s="160">
        <f>IF($AM$438&gt;0,'Assumptions (NG)'!V13*Model!$AM$438*('Assumptions (NG)'!$AL$17*AVERAGE('Assumptions (NG)'!$AI$2:$AK$2)+'Assumptions (NG)'!$AL$18*AVERAGE('Assumptions (NG)'!$AI$3:$AK$3))/10^9,0)</f>
        <v>0.1871620563</v>
      </c>
      <c r="AN636" s="160">
        <f>IF($AM$438&gt;0,'Assumptions (NG)'!W13*Model!$AM$438*('Assumptions (NG)'!$AL$17*AVERAGE('Assumptions (NG)'!$AI$2:$AK$2)+'Assumptions (NG)'!$AL$18*AVERAGE('Assumptions (NG)'!$AI$3:$AK$3))/10^9,0)</f>
        <v>0.355607907</v>
      </c>
      <c r="AO636" s="160">
        <f>IF($AM$438&gt;0,'Assumptions (NG)'!X13*Model!$AM$438*('Assumptions (NG)'!$AL$17*AVERAGE('Assumptions (NG)'!$AI$2:$AK$2)+'Assumptions (NG)'!$AL$18*AVERAGE('Assumptions (NG)'!$AI$3:$AK$3))/10^9,0)</f>
        <v>0.3200471163</v>
      </c>
      <c r="AP636" s="160">
        <f>IF($AM$438&gt;0,'Assumptions (NG)'!Y13*Model!$AM$438*('Assumptions (NG)'!$AL$17*AVERAGE('Assumptions (NG)'!$AI$2:$AK$2)+'Assumptions (NG)'!$AL$18*AVERAGE('Assumptions (NG)'!$AI$3:$AK$3))/10^9,0)</f>
        <v>0.2882295668</v>
      </c>
      <c r="AQ636" s="160">
        <f>IF($AM$438&gt;0,'Assumptions (NG)'!Z13*Model!$AM$438*('Assumptions (NG)'!$AL$17*AVERAGE('Assumptions (NG)'!$AI$2:$AK$2)+'Assumptions (NG)'!$AL$18*AVERAGE('Assumptions (NG)'!$AI$3:$AK$3))/10^9,0)</f>
        <v>0.2594066101</v>
      </c>
      <c r="AR636" s="160">
        <f>IF($AM$438&gt;0,'Assumptions (NG)'!AA13*Model!$AM$438*('Assumptions (NG)'!$AL$17*AVERAGE('Assumptions (NG)'!$AI$2:$AK$2)+'Assumptions (NG)'!$AL$18*AVERAGE('Assumptions (NG)'!$AI$3:$AK$3))/10^9,0)</f>
        <v>0.2332039222</v>
      </c>
      <c r="AS636" s="160">
        <f>IF($AM$438&gt;0,'Assumptions (NG)'!AB13*Model!$AM$438*('Assumptions (NG)'!$AL$17*AVERAGE('Assumptions (NG)'!$AI$2:$AK$2)+'Assumptions (NG)'!$AL$18*AVERAGE('Assumptions (NG)'!$AI$3:$AK$3))/10^9,0)</f>
        <v>0.2208512265</v>
      </c>
      <c r="AT636" s="160">
        <f>IF($AM$438&gt;0,'Assumptions (NG)'!AC13*Model!$AM$438*('Assumptions (NG)'!$AL$17*AVERAGE('Assumptions (NG)'!$AI$2:$AK$2)+'Assumptions (NG)'!$AL$18*AVERAGE('Assumptions (NG)'!$AI$3:$AK$3))/10^9,0)</f>
        <v>0.2208512265</v>
      </c>
      <c r="AU636" s="160">
        <f>IF($AM$438&gt;0,'Assumptions (NG)'!AD13*Model!$AM$438*('Assumptions (NG)'!$AL$17*AVERAGE('Assumptions (NG)'!$AI$2:$AK$2)+'Assumptions (NG)'!$AL$18*AVERAGE('Assumptions (NG)'!$AI$3:$AK$3))/10^9,0)</f>
        <v>0.2212255506</v>
      </c>
      <c r="AV636" s="160">
        <f>IF($AM$438&gt;0,'Assumptions (NG)'!AE13*Model!$AM$438*('Assumptions (NG)'!$AL$17*AVERAGE('Assumptions (NG)'!$AI$2:$AK$2)+'Assumptions (NG)'!$AL$18*AVERAGE('Assumptions (NG)'!$AI$3:$AK$3))/10^9,0)</f>
        <v>0.2208512265</v>
      </c>
      <c r="AW636" s="160">
        <f>IF($AM$438&gt;0,'Assumptions (NG)'!AF13*Model!$AM$438*('Assumptions (NG)'!$AL$17*AVERAGE('Assumptions (NG)'!$AI$2:$AK$2)+'Assumptions (NG)'!$AL$18*AVERAGE('Assumptions (NG)'!$AI$3:$AK$3))/10^9,0)</f>
        <v>0.2212255506</v>
      </c>
      <c r="AX636" s="160">
        <f>IF($AM$438&gt;0,'Assumptions (NG)'!AG13*Model!$AM$438*('Assumptions (NG)'!$AL$17*AVERAGE('Assumptions (NG)'!$AI$2:$AK$2)+'Assumptions (NG)'!$AL$18*AVERAGE('Assumptions (NG)'!$AI$3:$AK$3))/10^9,0)</f>
        <v>0.2208512265</v>
      </c>
      <c r="AY636" s="160">
        <f>IF($AM$438&gt;0,'Assumptions (NG)'!AH13*Model!$AM$438*('Assumptions (NG)'!$AL$17*AVERAGE('Assumptions (NG)'!$AI$2:$AK$2)+'Assumptions (NG)'!$AL$18*AVERAGE('Assumptions (NG)'!$AI$3:$AK$3))/10^9,0)</f>
        <v>0.2212255506</v>
      </c>
      <c r="AZ636" s="160">
        <f>IF($AM$438&gt;0,'Assumptions (NG)'!AI13*Model!$AM$438*('Assumptions (NG)'!$AL$17*AVERAGE('Assumptions (NG)'!$AI$2:$AK$2)+'Assumptions (NG)'!$AL$18*AVERAGE('Assumptions (NG)'!$AI$3:$AK$3))/10^9,0)</f>
        <v>0.2208512265</v>
      </c>
      <c r="BA636" s="160">
        <f>IF($AM$438&gt;0,'Assumptions (NG)'!AJ13*Model!$AM$438*('Assumptions (NG)'!$AL$17*AVERAGE('Assumptions (NG)'!$AI$2:$AK$2)+'Assumptions (NG)'!$AL$18*AVERAGE('Assumptions (NG)'!$AI$3:$AK$3))/10^9,0)</f>
        <v>0.2212255506</v>
      </c>
      <c r="BB636" s="160">
        <f>IF($AM$438&gt;0,'Assumptions (NG)'!AK13*Model!$AM$438*('Assumptions (NG)'!$AL$17*AVERAGE('Assumptions (NG)'!$AI$2:$AK$2)+'Assumptions (NG)'!$AL$18*AVERAGE('Assumptions (NG)'!$AI$3:$AK$3))/10^9,0)</f>
        <v>0.1104256132</v>
      </c>
      <c r="BC636" s="160"/>
      <c r="BD636" s="160"/>
      <c r="BE636" s="160"/>
      <c r="BF636" s="160"/>
      <c r="BG636" s="160"/>
      <c r="BH636" s="160"/>
      <c r="BI636" s="160"/>
      <c r="BJ636" s="160"/>
      <c r="BK636" s="160"/>
    </row>
    <row r="637" ht="15.75" hidden="1" customHeight="1" outlineLevel="1">
      <c r="A637" s="209"/>
      <c r="B637" s="38"/>
      <c r="C637" s="174"/>
      <c r="D637" s="174"/>
      <c r="E637" s="174"/>
      <c r="F637" s="174"/>
      <c r="G637" s="174"/>
      <c r="H637" s="174"/>
      <c r="I637" s="174"/>
      <c r="J637" s="174"/>
      <c r="K637" s="174"/>
      <c r="L637" s="174"/>
      <c r="M637" s="174"/>
      <c r="N637" s="174"/>
      <c r="O637" s="174"/>
      <c r="P637" s="174"/>
      <c r="Q637" s="174"/>
      <c r="R637" s="174"/>
      <c r="S637" s="174"/>
      <c r="T637" s="174"/>
      <c r="U637" s="174"/>
      <c r="V637" s="174"/>
      <c r="W637" s="160"/>
      <c r="X637" s="160"/>
      <c r="Y637" s="160"/>
      <c r="Z637" s="160"/>
      <c r="AA637" s="160"/>
      <c r="AB637" s="160"/>
      <c r="AC637" s="160"/>
      <c r="AD637" s="160"/>
      <c r="AE637" s="160"/>
      <c r="AF637" s="160"/>
      <c r="AG637" s="160"/>
      <c r="AH637" s="160"/>
      <c r="AI637" s="160"/>
      <c r="AJ637" s="179"/>
      <c r="AK637" s="160"/>
      <c r="AL637" s="177"/>
      <c r="AM637" s="177"/>
      <c r="AN637" s="160">
        <f>IF($AN$438&gt;0,'Assumptions (NG)'!V13*Model!$AN$438*('Assumptions (NG)'!$AM$17*AVERAGE('Assumptions (NG)'!$AJ$2:$AL$2)+'Assumptions (NG)'!$AM$18*AVERAGE('Assumptions (NG)'!$AJ$3:$AL$3))/10^9,0)</f>
        <v>0.2395930006</v>
      </c>
      <c r="AO637" s="160">
        <f>IF($AN$438&gt;0,'Assumptions (NG)'!W13*Model!$AN$438*('Assumptions (NG)'!$AM$17*AVERAGE('Assumptions (NG)'!$AJ$2:$AL$2)+'Assumptions (NG)'!$AM$18*AVERAGE('Assumptions (NG)'!$AJ$3:$AL$3))/10^9,0)</f>
        <v>0.4552267012</v>
      </c>
      <c r="AP637" s="160">
        <f>IF($AN$438&gt;0,'Assumptions (NG)'!X13*Model!$AN$438*('Assumptions (NG)'!$AM$17*AVERAGE('Assumptions (NG)'!$AJ$2:$AL$2)+'Assumptions (NG)'!$AM$18*AVERAGE('Assumptions (NG)'!$AJ$3:$AL$3))/10^9,0)</f>
        <v>0.4097040311</v>
      </c>
      <c r="AQ637" s="160">
        <f>IF($AN$438&gt;0,'Assumptions (NG)'!Y13*Model!$AN$438*('Assumptions (NG)'!$AM$17*AVERAGE('Assumptions (NG)'!$AJ$2:$AL$2)+'Assumptions (NG)'!$AM$18*AVERAGE('Assumptions (NG)'!$AJ$3:$AL$3))/10^9,0)</f>
        <v>0.368973221</v>
      </c>
      <c r="AR637" s="160">
        <f>IF($AN$438&gt;0,'Assumptions (NG)'!Z13*Model!$AN$438*('Assumptions (NG)'!$AM$17*AVERAGE('Assumptions (NG)'!$AJ$2:$AL$2)+'Assumptions (NG)'!$AM$18*AVERAGE('Assumptions (NG)'!$AJ$3:$AL$3))/10^9,0)</f>
        <v>0.3320758989</v>
      </c>
      <c r="AS637" s="160">
        <f>IF($AN$438&gt;0,'Assumptions (NG)'!AA13*Model!$AN$438*('Assumptions (NG)'!$AM$17*AVERAGE('Assumptions (NG)'!$AJ$2:$AL$2)+'Assumptions (NG)'!$AM$18*AVERAGE('Assumptions (NG)'!$AJ$3:$AL$3))/10^9,0)</f>
        <v>0.2985328788</v>
      </c>
      <c r="AT637" s="160">
        <f>IF($AN$438&gt;0,'Assumptions (NG)'!AB13*Model!$AN$438*('Assumptions (NG)'!$AM$17*AVERAGE('Assumptions (NG)'!$AJ$2:$AL$2)+'Assumptions (NG)'!$AM$18*AVERAGE('Assumptions (NG)'!$AJ$3:$AL$3))/10^9,0)</f>
        <v>0.2827197408</v>
      </c>
      <c r="AU637" s="160">
        <f>IF($AN$438&gt;0,'Assumptions (NG)'!AC13*Model!$AN$438*('Assumptions (NG)'!$AM$17*AVERAGE('Assumptions (NG)'!$AJ$2:$AL$2)+'Assumptions (NG)'!$AM$18*AVERAGE('Assumptions (NG)'!$AJ$3:$AL$3))/10^9,0)</f>
        <v>0.2827197408</v>
      </c>
      <c r="AV637" s="160">
        <f>IF($AN$438&gt;0,'Assumptions (NG)'!AD13*Model!$AN$438*('Assumptions (NG)'!$AM$17*AVERAGE('Assumptions (NG)'!$AJ$2:$AL$2)+'Assumptions (NG)'!$AM$18*AVERAGE('Assumptions (NG)'!$AJ$3:$AL$3))/10^9,0)</f>
        <v>0.2831989268</v>
      </c>
      <c r="AW637" s="160">
        <f>IF($AN$438&gt;0,'Assumptions (NG)'!AE13*Model!$AN$438*('Assumptions (NG)'!$AM$17*AVERAGE('Assumptions (NG)'!$AJ$2:$AL$2)+'Assumptions (NG)'!$AM$18*AVERAGE('Assumptions (NG)'!$AJ$3:$AL$3))/10^9,0)</f>
        <v>0.2827197408</v>
      </c>
      <c r="AX637" s="160">
        <f>IF($AN$438&gt;0,'Assumptions (NG)'!AF13*Model!$AN$438*('Assumptions (NG)'!$AM$17*AVERAGE('Assumptions (NG)'!$AJ$2:$AL$2)+'Assumptions (NG)'!$AM$18*AVERAGE('Assumptions (NG)'!$AJ$3:$AL$3))/10^9,0)</f>
        <v>0.2831989268</v>
      </c>
      <c r="AY637" s="160">
        <f>IF($AN$438&gt;0,'Assumptions (NG)'!AG13*Model!$AN$438*('Assumptions (NG)'!$AM$17*AVERAGE('Assumptions (NG)'!$AJ$2:$AL$2)+'Assumptions (NG)'!$AM$18*AVERAGE('Assumptions (NG)'!$AJ$3:$AL$3))/10^9,0)</f>
        <v>0.2827197408</v>
      </c>
      <c r="AZ637" s="160">
        <f>IF($AN$438&gt;0,'Assumptions (NG)'!AH13*Model!$AN$438*('Assumptions (NG)'!$AM$17*AVERAGE('Assumptions (NG)'!$AJ$2:$AL$2)+'Assumptions (NG)'!$AM$18*AVERAGE('Assumptions (NG)'!$AJ$3:$AL$3))/10^9,0)</f>
        <v>0.2831989268</v>
      </c>
      <c r="BA637" s="160">
        <f>IF($AN$438&gt;0,'Assumptions (NG)'!AI13*Model!$AN$438*('Assumptions (NG)'!$AM$17*AVERAGE('Assumptions (NG)'!$AJ$2:$AL$2)+'Assumptions (NG)'!$AM$18*AVERAGE('Assumptions (NG)'!$AJ$3:$AL$3))/10^9,0)</f>
        <v>0.2827197408</v>
      </c>
      <c r="BB637" s="160">
        <f>IF($AN$438&gt;0,'Assumptions (NG)'!AJ13*Model!$AN$438*('Assumptions (NG)'!$AM$17*AVERAGE('Assumptions (NG)'!$AJ$2:$AL$2)+'Assumptions (NG)'!$AM$18*AVERAGE('Assumptions (NG)'!$AJ$3:$AL$3))/10^9,0)</f>
        <v>0.2831989268</v>
      </c>
      <c r="BC637" s="160">
        <f>IF($AN$438&gt;0,'Assumptions (NG)'!AK13*Model!$AN$438*('Assumptions (NG)'!$AM$17*AVERAGE('Assumptions (NG)'!$AJ$2:$AL$2)+'Assumptions (NG)'!$AM$18*AVERAGE('Assumptions (NG)'!$AJ$3:$AL$3))/10^9,0)</f>
        <v>0.1413598704</v>
      </c>
      <c r="BD637" s="160"/>
      <c r="BE637" s="160"/>
      <c r="BF637" s="160"/>
      <c r="BG637" s="160"/>
      <c r="BH637" s="160"/>
      <c r="BI637" s="160"/>
      <c r="BJ637" s="160"/>
      <c r="BK637" s="160"/>
      <c r="BL637" s="160"/>
    </row>
    <row r="638" ht="15.75" hidden="1" customHeight="1" outlineLevel="1">
      <c r="A638" s="209"/>
      <c r="B638" s="38"/>
      <c r="C638" s="174"/>
      <c r="D638" s="174"/>
      <c r="E638" s="174"/>
      <c r="F638" s="174"/>
      <c r="G638" s="174"/>
      <c r="H638" s="174"/>
      <c r="I638" s="174"/>
      <c r="J638" s="174"/>
      <c r="K638" s="174"/>
      <c r="L638" s="174"/>
      <c r="M638" s="174"/>
      <c r="N638" s="174"/>
      <c r="O638" s="174"/>
      <c r="P638" s="174"/>
      <c r="Q638" s="174"/>
      <c r="R638" s="174"/>
      <c r="S638" s="174"/>
      <c r="T638" s="174"/>
      <c r="U638" s="174"/>
      <c r="V638" s="174"/>
      <c r="W638" s="160"/>
      <c r="X638" s="160"/>
      <c r="Y638" s="160"/>
      <c r="Z638" s="160"/>
      <c r="AA638" s="160"/>
      <c r="AB638" s="160"/>
      <c r="AC638" s="160"/>
      <c r="AD638" s="160"/>
      <c r="AE638" s="160"/>
      <c r="AF638" s="160"/>
      <c r="AG638" s="160"/>
      <c r="AH638" s="160"/>
      <c r="AI638" s="160"/>
      <c r="AJ638" s="179"/>
      <c r="AK638" s="160"/>
      <c r="AL638" s="177"/>
      <c r="AM638" s="177"/>
      <c r="AN638" s="177"/>
      <c r="AO638" s="160">
        <f>IF($AO$438&gt;0,'Assumptions (NG)'!V13*Model!$AO$438*('Assumptions (NG)'!$AN$17*AVERAGE('Assumptions (NG)'!$AK$2:$AM$2)+'Assumptions (NG)'!$AN$18*AVERAGE('Assumptions (NG)'!$AK$3:$AM$3))/10^9,0)</f>
        <v>0.495467818</v>
      </c>
      <c r="AP638" s="160">
        <f>IF($AO$438&gt;0,'Assumptions (NG)'!W13*Model!$AO$438*('Assumptions (NG)'!$AN$17*AVERAGE('Assumptions (NG)'!$AK$2:$AM$2)+'Assumptions (NG)'!$AN$18*AVERAGE('Assumptions (NG)'!$AK$3:$AM$3))/10^9,0)</f>
        <v>0.9413888542</v>
      </c>
      <c r="AQ638" s="160">
        <f>IF($AO$438&gt;0,'Assumptions (NG)'!X13*Model!$AO$438*('Assumptions (NG)'!$AN$17*AVERAGE('Assumptions (NG)'!$AK$2:$AM$2)+'Assumptions (NG)'!$AN$18*AVERAGE('Assumptions (NG)'!$AK$3:$AM$3))/10^9,0)</f>
        <v>0.8472499688</v>
      </c>
      <c r="AR638" s="160">
        <f>IF($AO$438&gt;0,'Assumptions (NG)'!Y13*Model!$AO$438*('Assumptions (NG)'!$AN$17*AVERAGE('Assumptions (NG)'!$AK$2:$AM$2)+'Assumptions (NG)'!$AN$18*AVERAGE('Assumptions (NG)'!$AK$3:$AM$3))/10^9,0)</f>
        <v>0.7630204397</v>
      </c>
      <c r="AS638" s="160">
        <f>IF($AO$438&gt;0,'Assumptions (NG)'!Z13*Model!$AO$438*('Assumptions (NG)'!$AN$17*AVERAGE('Assumptions (NG)'!$AK$2:$AM$2)+'Assumptions (NG)'!$AN$18*AVERAGE('Assumptions (NG)'!$AK$3:$AM$3))/10^9,0)</f>
        <v>0.6867183957</v>
      </c>
      <c r="AT638" s="160">
        <f>IF($AO$438&gt;0,'Assumptions (NG)'!AA13*Model!$AO$438*('Assumptions (NG)'!$AN$17*AVERAGE('Assumptions (NG)'!$AK$2:$AM$2)+'Assumptions (NG)'!$AN$18*AVERAGE('Assumptions (NG)'!$AK$3:$AM$3))/10^9,0)</f>
        <v>0.6173529012</v>
      </c>
      <c r="AU638" s="160">
        <f>IF($AO$438&gt;0,'Assumptions (NG)'!AB13*Model!$AO$438*('Assumptions (NG)'!$AN$17*AVERAGE('Assumptions (NG)'!$AK$2:$AM$2)+'Assumptions (NG)'!$AN$18*AVERAGE('Assumptions (NG)'!$AK$3:$AM$3))/10^9,0)</f>
        <v>0.5846520252</v>
      </c>
      <c r="AV638" s="160">
        <f>IF($AO$438&gt;0,'Assumptions (NG)'!AC13*Model!$AO$438*('Assumptions (NG)'!$AN$17*AVERAGE('Assumptions (NG)'!$AK$2:$AM$2)+'Assumptions (NG)'!$AN$18*AVERAGE('Assumptions (NG)'!$AK$3:$AM$3))/10^9,0)</f>
        <v>0.5846520252</v>
      </c>
      <c r="AW638" s="160">
        <f>IF($AO$438&gt;0,'Assumptions (NG)'!AD13*Model!$AO$438*('Assumptions (NG)'!$AN$17*AVERAGE('Assumptions (NG)'!$AK$2:$AM$2)+'Assumptions (NG)'!$AN$18*AVERAGE('Assumptions (NG)'!$AK$3:$AM$3))/10^9,0)</f>
        <v>0.5856429609</v>
      </c>
      <c r="AX638" s="160">
        <f>IF($AO$438&gt;0,'Assumptions (NG)'!AE13*Model!$AO$438*('Assumptions (NG)'!$AN$17*AVERAGE('Assumptions (NG)'!$AK$2:$AM$2)+'Assumptions (NG)'!$AN$18*AVERAGE('Assumptions (NG)'!$AK$3:$AM$3))/10^9,0)</f>
        <v>0.5846520252</v>
      </c>
      <c r="AY638" s="160">
        <f>IF($AO$438&gt;0,'Assumptions (NG)'!AF13*Model!$AO$438*('Assumptions (NG)'!$AN$17*AVERAGE('Assumptions (NG)'!$AK$2:$AM$2)+'Assumptions (NG)'!$AN$18*AVERAGE('Assumptions (NG)'!$AK$3:$AM$3))/10^9,0)</f>
        <v>0.5856429609</v>
      </c>
      <c r="AZ638" s="160">
        <f>IF($AO$438&gt;0,'Assumptions (NG)'!AG13*Model!$AO$438*('Assumptions (NG)'!$AN$17*AVERAGE('Assumptions (NG)'!$AK$2:$AM$2)+'Assumptions (NG)'!$AN$18*AVERAGE('Assumptions (NG)'!$AK$3:$AM$3))/10^9,0)</f>
        <v>0.5846520252</v>
      </c>
      <c r="BA638" s="160">
        <f>IF($AO$438&gt;0,'Assumptions (NG)'!AH13*Model!$AO$438*('Assumptions (NG)'!$AN$17*AVERAGE('Assumptions (NG)'!$AK$2:$AM$2)+'Assumptions (NG)'!$AN$18*AVERAGE('Assumptions (NG)'!$AK$3:$AM$3))/10^9,0)</f>
        <v>0.5856429609</v>
      </c>
      <c r="BB638" s="160">
        <f>IF($AO$438&gt;0,'Assumptions (NG)'!AI13*Model!$AO$438*('Assumptions (NG)'!$AN$17*AVERAGE('Assumptions (NG)'!$AK$2:$AM$2)+'Assumptions (NG)'!$AN$18*AVERAGE('Assumptions (NG)'!$AK$3:$AM$3))/10^9,0)</f>
        <v>0.5846520252</v>
      </c>
      <c r="BC638" s="160">
        <f>IF($AO$438&gt;0,'Assumptions (NG)'!AJ13*Model!$AO$438*('Assumptions (NG)'!$AN$17*AVERAGE('Assumptions (NG)'!$AK$2:$AM$2)+'Assumptions (NG)'!$AN$18*AVERAGE('Assumptions (NG)'!$AK$3:$AM$3))/10^9,0)</f>
        <v>0.5856429609</v>
      </c>
      <c r="BD638" s="160">
        <f>IF($AO$438&gt;0,'Assumptions (NG)'!AK13*Model!$AO$438*('Assumptions (NG)'!$AN$17*AVERAGE('Assumptions (NG)'!$AK$2:$AM$2)+'Assumptions (NG)'!$AN$18*AVERAGE('Assumptions (NG)'!$AK$3:$AM$3))/10^9,0)</f>
        <v>0.2923260126</v>
      </c>
      <c r="BE638" s="160"/>
      <c r="BF638" s="160"/>
      <c r="BG638" s="160"/>
      <c r="BH638" s="160"/>
      <c r="BI638" s="160"/>
      <c r="BJ638" s="160"/>
      <c r="BK638" s="160"/>
      <c r="BL638" s="160"/>
      <c r="BM638" s="160"/>
    </row>
    <row r="639" ht="15.75" hidden="1" customHeight="1" outlineLevel="1">
      <c r="A639" s="209"/>
      <c r="B639" s="38"/>
      <c r="C639" s="174"/>
      <c r="D639" s="174"/>
      <c r="E639" s="174"/>
      <c r="F639" s="174"/>
      <c r="G639" s="174"/>
      <c r="H639" s="174"/>
      <c r="I639" s="174"/>
      <c r="J639" s="174"/>
      <c r="K639" s="174"/>
      <c r="L639" s="174"/>
      <c r="M639" s="174"/>
      <c r="N639" s="174"/>
      <c r="O639" s="174"/>
      <c r="P639" s="174"/>
      <c r="Q639" s="174"/>
      <c r="R639" s="174"/>
      <c r="S639" s="174"/>
      <c r="T639" s="174"/>
      <c r="U639" s="174"/>
      <c r="V639" s="174"/>
      <c r="W639" s="160"/>
      <c r="X639" s="160"/>
      <c r="Y639" s="160"/>
      <c r="Z639" s="160"/>
      <c r="AA639" s="160"/>
      <c r="AB639" s="160"/>
      <c r="AC639" s="160"/>
      <c r="AD639" s="160"/>
      <c r="AE639" s="160"/>
      <c r="AF639" s="160"/>
      <c r="AG639" s="160"/>
      <c r="AH639" s="160"/>
      <c r="AI639" s="160"/>
      <c r="AJ639" s="179"/>
      <c r="AK639" s="160"/>
      <c r="AL639" s="177"/>
      <c r="AM639" s="177"/>
      <c r="AN639" s="177"/>
      <c r="AO639" s="160"/>
      <c r="AP639" s="160">
        <f>IF($AP$438&gt;0,'Assumptions (NG)'!V13*Model!$AP$438*('Assumptions (NG)'!$AO$17*AVERAGE('Assumptions (NG)'!$AL$2:$AN$2)+'Assumptions (NG)'!$AO$18*AVERAGE('Assumptions (NG)'!$AL$3:$AN$3))/10^9,0)</f>
        <v>0.6131479217</v>
      </c>
      <c r="AQ639" s="160">
        <f>IF($AP$438&gt;0,'Assumptions (NG)'!W13*Model!$AP$438*('Assumptions (NG)'!$AO$17*AVERAGE('Assumptions (NG)'!$AL$2:$AN$2)+'Assumptions (NG)'!$AO$18*AVERAGE('Assumptions (NG)'!$AL$3:$AN$3))/10^9,0)</f>
        <v>1.164981051</v>
      </c>
      <c r="AR639" s="160">
        <f>IF($AP$438&gt;0,'Assumptions (NG)'!X13*Model!$AP$438*('Assumptions (NG)'!$AO$17*AVERAGE('Assumptions (NG)'!$AL$2:$AN$2)+'Assumptions (NG)'!$AO$18*AVERAGE('Assumptions (NG)'!$AL$3:$AN$3))/10^9,0)</f>
        <v>1.048482946</v>
      </c>
      <c r="AS639" s="160">
        <f>IF($AP$438&gt;0,'Assumptions (NG)'!Y13*Model!$AP$438*('Assumptions (NG)'!$AO$17*AVERAGE('Assumptions (NG)'!$AL$2:$AN$2)+'Assumptions (NG)'!$AO$18*AVERAGE('Assumptions (NG)'!$AL$3:$AN$3))/10^9,0)</f>
        <v>0.9442477995</v>
      </c>
      <c r="AT639" s="160">
        <f>IF($AP$438&gt;0,'Assumptions (NG)'!Z13*Model!$AP$438*('Assumptions (NG)'!$AO$17*AVERAGE('Assumptions (NG)'!$AL$2:$AN$2)+'Assumptions (NG)'!$AO$18*AVERAGE('Assumptions (NG)'!$AL$3:$AN$3))/10^9,0)</f>
        <v>0.8498230195</v>
      </c>
      <c r="AU639" s="160">
        <f>IF($AP$438&gt;0,'Assumptions (NG)'!AA13*Model!$AP$438*('Assumptions (NG)'!$AO$17*AVERAGE('Assumptions (NG)'!$AL$2:$AN$2)+'Assumptions (NG)'!$AO$18*AVERAGE('Assumptions (NG)'!$AL$3:$AN$3))/10^9,0)</f>
        <v>0.7639823105</v>
      </c>
      <c r="AV639" s="160">
        <f>IF($AP$438&gt;0,'Assumptions (NG)'!AB13*Model!$AP$438*('Assumptions (NG)'!$AO$17*AVERAGE('Assumptions (NG)'!$AL$2:$AN$2)+'Assumptions (NG)'!$AO$18*AVERAGE('Assumptions (NG)'!$AL$3:$AN$3))/10^9,0)</f>
        <v>0.7235145477</v>
      </c>
      <c r="AW639" s="160">
        <f>IF($AP$438&gt;0,'Assumptions (NG)'!AC13*Model!$AP$438*('Assumptions (NG)'!$AO$17*AVERAGE('Assumptions (NG)'!$AL$2:$AN$2)+'Assumptions (NG)'!$AO$18*AVERAGE('Assumptions (NG)'!$AL$3:$AN$3))/10^9,0)</f>
        <v>0.7235145477</v>
      </c>
      <c r="AX639" s="160">
        <f>IF($AP$438&gt;0,'Assumptions (NG)'!AD13*Model!$AP$438*('Assumptions (NG)'!$AO$17*AVERAGE('Assumptions (NG)'!$AL$2:$AN$2)+'Assumptions (NG)'!$AO$18*AVERAGE('Assumptions (NG)'!$AL$3:$AN$3))/10^9,0)</f>
        <v>0.7247408435</v>
      </c>
      <c r="AY639" s="160">
        <f>IF($AP$438&gt;0,'Assumptions (NG)'!AE13*Model!$AP$438*('Assumptions (NG)'!$AO$17*AVERAGE('Assumptions (NG)'!$AL$2:$AN$2)+'Assumptions (NG)'!$AO$18*AVERAGE('Assumptions (NG)'!$AL$3:$AN$3))/10^9,0)</f>
        <v>0.7235145477</v>
      </c>
      <c r="AZ639" s="160">
        <f>IF($AP$438&gt;0,'Assumptions (NG)'!AF13*Model!$AP$438*('Assumptions (NG)'!$AO$17*AVERAGE('Assumptions (NG)'!$AL$2:$AN$2)+'Assumptions (NG)'!$AO$18*AVERAGE('Assumptions (NG)'!$AL$3:$AN$3))/10^9,0)</f>
        <v>0.7247408435</v>
      </c>
      <c r="BA639" s="160">
        <f>IF($AP$438&gt;0,'Assumptions (NG)'!AG13*Model!$AP$438*('Assumptions (NG)'!$AO$17*AVERAGE('Assumptions (NG)'!$AL$2:$AN$2)+'Assumptions (NG)'!$AO$18*AVERAGE('Assumptions (NG)'!$AL$3:$AN$3))/10^9,0)</f>
        <v>0.7235145477</v>
      </c>
      <c r="BB639" s="160">
        <f>IF($AP$438&gt;0,'Assumptions (NG)'!AH13*Model!$AP$438*('Assumptions (NG)'!$AO$17*AVERAGE('Assumptions (NG)'!$AL$2:$AN$2)+'Assumptions (NG)'!$AO$18*AVERAGE('Assumptions (NG)'!$AL$3:$AN$3))/10^9,0)</f>
        <v>0.7247408435</v>
      </c>
      <c r="BC639" s="160">
        <f>IF($AP$438&gt;0,'Assumptions (NG)'!AI13*Model!$AP$438*('Assumptions (NG)'!$AO$17*AVERAGE('Assumptions (NG)'!$AL$2:$AN$2)+'Assumptions (NG)'!$AO$18*AVERAGE('Assumptions (NG)'!$AL$3:$AN$3))/10^9,0)</f>
        <v>0.7235145477</v>
      </c>
      <c r="BD639" s="160">
        <f>IF($AP$438&gt;0,'Assumptions (NG)'!AJ13*Model!$AP$438*('Assumptions (NG)'!$AO$17*AVERAGE('Assumptions (NG)'!$AL$2:$AN$2)+'Assumptions (NG)'!$AO$18*AVERAGE('Assumptions (NG)'!$AL$3:$AN$3))/10^9,0)</f>
        <v>0.7247408435</v>
      </c>
      <c r="BE639" s="160">
        <f>IF($AP$438&gt;0,'Assumptions (NG)'!AK13*Model!$AP$438*('Assumptions (NG)'!$AO$17*AVERAGE('Assumptions (NG)'!$AL$2:$AN$2)+'Assumptions (NG)'!$AO$18*AVERAGE('Assumptions (NG)'!$AL$3:$AN$3))/10^9,0)</f>
        <v>0.3617572738</v>
      </c>
      <c r="BF639" s="160"/>
      <c r="BG639" s="160"/>
      <c r="BH639" s="160"/>
      <c r="BI639" s="160"/>
      <c r="BJ639" s="160"/>
      <c r="BK639" s="160"/>
      <c r="BL639" s="160"/>
      <c r="BM639" s="160"/>
      <c r="BN639" s="160"/>
    </row>
    <row r="640" ht="15.75" hidden="1" customHeight="1" outlineLevel="1">
      <c r="A640" s="209"/>
      <c r="B640" s="38"/>
      <c r="C640" s="174"/>
      <c r="D640" s="174"/>
      <c r="E640" s="174"/>
      <c r="F640" s="174"/>
      <c r="G640" s="174"/>
      <c r="H640" s="174"/>
      <c r="I640" s="174"/>
      <c r="J640" s="174"/>
      <c r="K640" s="174"/>
      <c r="L640" s="174"/>
      <c r="M640" s="174"/>
      <c r="N640" s="174"/>
      <c r="O640" s="174"/>
      <c r="P640" s="174"/>
      <c r="Q640" s="174"/>
      <c r="R640" s="174"/>
      <c r="S640" s="174"/>
      <c r="T640" s="174"/>
      <c r="U640" s="174"/>
      <c r="V640" s="174"/>
      <c r="W640" s="160"/>
      <c r="X640" s="160"/>
      <c r="Y640" s="160"/>
      <c r="Z640" s="160"/>
      <c r="AA640" s="160"/>
      <c r="AB640" s="160"/>
      <c r="AC640" s="160"/>
      <c r="AD640" s="160"/>
      <c r="AE640" s="160"/>
      <c r="AF640" s="160"/>
      <c r="AG640" s="160"/>
      <c r="AH640" s="160"/>
      <c r="AI640" s="160"/>
      <c r="AJ640" s="179"/>
      <c r="AK640" s="160"/>
      <c r="AL640" s="177"/>
      <c r="AM640" s="177"/>
      <c r="AN640" s="177"/>
      <c r="AO640" s="160"/>
      <c r="AP640" s="160"/>
      <c r="AQ640" s="160">
        <f>IF($AQ$438&gt;0,'Assumptions (NG)'!V13*Model!$AQ$438*('Assumptions (NG)'!$AP$17*AVERAGE('Assumptions (NG)'!$AM$2:$AO$2)+'Assumptions (NG)'!$AP$18*AVERAGE('Assumptions (NG)'!$AM$3:$AO$3))/10^9,0)</f>
        <v>0.2172489779</v>
      </c>
      <c r="AR640" s="160">
        <f>IF($AQ$438&gt;0,'Assumptions (NG)'!W13*Model!$AQ$438*('Assumptions (NG)'!$AP$17*AVERAGE('Assumptions (NG)'!$AM$2:$AO$2)+'Assumptions (NG)'!$AP$18*AVERAGE('Assumptions (NG)'!$AM$3:$AO$3))/10^9,0)</f>
        <v>0.4127730581</v>
      </c>
      <c r="AS640" s="160">
        <f>IF($AQ$438&gt;0,'Assumptions (NG)'!X13*Model!$AQ$438*('Assumptions (NG)'!$AP$17*AVERAGE('Assumptions (NG)'!$AM$2:$AO$2)+'Assumptions (NG)'!$AP$18*AVERAGE('Assumptions (NG)'!$AM$3:$AO$3))/10^9,0)</f>
        <v>0.3714957523</v>
      </c>
      <c r="AT640" s="160">
        <f>IF($AQ$438&gt;0,'Assumptions (NG)'!Y13*Model!$AQ$438*('Assumptions (NG)'!$AP$17*AVERAGE('Assumptions (NG)'!$AM$2:$AO$2)+'Assumptions (NG)'!$AP$18*AVERAGE('Assumptions (NG)'!$AM$3:$AO$3))/10^9,0)</f>
        <v>0.334563426</v>
      </c>
      <c r="AU640" s="160">
        <f>IF($AQ$438&gt;0,'Assumptions (NG)'!Z13*Model!$AQ$438*('Assumptions (NG)'!$AP$17*AVERAGE('Assumptions (NG)'!$AM$2:$AO$2)+'Assumptions (NG)'!$AP$18*AVERAGE('Assumptions (NG)'!$AM$3:$AO$3))/10^9,0)</f>
        <v>0.3011070834</v>
      </c>
      <c r="AV640" s="160">
        <f>IF($AQ$438&gt;0,'Assumptions (NG)'!AA13*Model!$AQ$438*('Assumptions (NG)'!$AP$17*AVERAGE('Assumptions (NG)'!$AM$2:$AO$2)+'Assumptions (NG)'!$AP$18*AVERAGE('Assumptions (NG)'!$AM$3:$AO$3))/10^9,0)</f>
        <v>0.2706922265</v>
      </c>
      <c r="AW640" s="160">
        <f>IF($AQ$438&gt;0,'Assumptions (NG)'!AB13*Model!$AQ$438*('Assumptions (NG)'!$AP$17*AVERAGE('Assumptions (NG)'!$AM$2:$AO$2)+'Assumptions (NG)'!$AP$18*AVERAGE('Assumptions (NG)'!$AM$3:$AO$3))/10^9,0)</f>
        <v>0.256353794</v>
      </c>
      <c r="AX640" s="160">
        <f>IF($AQ$438&gt;0,'Assumptions (NG)'!AC13*Model!$AQ$438*('Assumptions (NG)'!$AP$17*AVERAGE('Assumptions (NG)'!$AM$2:$AO$2)+'Assumptions (NG)'!$AP$18*AVERAGE('Assumptions (NG)'!$AM$3:$AO$3))/10^9,0)</f>
        <v>0.256353794</v>
      </c>
      <c r="AY640" s="160">
        <f>IF($AQ$438&gt;0,'Assumptions (NG)'!AD13*Model!$AQ$438*('Assumptions (NG)'!$AP$17*AVERAGE('Assumptions (NG)'!$AM$2:$AO$2)+'Assumptions (NG)'!$AP$18*AVERAGE('Assumptions (NG)'!$AM$3:$AO$3))/10^9,0)</f>
        <v>0.2567882919</v>
      </c>
      <c r="AZ640" s="160">
        <f>IF($AQ$438&gt;0,'Assumptions (NG)'!AE13*Model!$AQ$438*('Assumptions (NG)'!$AP$17*AVERAGE('Assumptions (NG)'!$AM$2:$AO$2)+'Assumptions (NG)'!$AP$18*AVERAGE('Assumptions (NG)'!$AM$3:$AO$3))/10^9,0)</f>
        <v>0.256353794</v>
      </c>
      <c r="BA640" s="160">
        <f>IF($AQ$438&gt;0,'Assumptions (NG)'!AF13*Model!$AQ$438*('Assumptions (NG)'!$AP$17*AVERAGE('Assumptions (NG)'!$AM$2:$AO$2)+'Assumptions (NG)'!$AP$18*AVERAGE('Assumptions (NG)'!$AM$3:$AO$3))/10^9,0)</f>
        <v>0.2567882919</v>
      </c>
      <c r="BB640" s="160">
        <f>IF($AQ$438&gt;0,'Assumptions (NG)'!AG13*Model!$AQ$438*('Assumptions (NG)'!$AP$17*AVERAGE('Assumptions (NG)'!$AM$2:$AO$2)+'Assumptions (NG)'!$AP$18*AVERAGE('Assumptions (NG)'!$AM$3:$AO$3))/10^9,0)</f>
        <v>0.256353794</v>
      </c>
      <c r="BC640" s="160">
        <f>IF($AQ$438&gt;0,'Assumptions (NG)'!AH13*Model!$AQ$438*('Assumptions (NG)'!$AP$17*AVERAGE('Assumptions (NG)'!$AM$2:$AO$2)+'Assumptions (NG)'!$AP$18*AVERAGE('Assumptions (NG)'!$AM$3:$AO$3))/10^9,0)</f>
        <v>0.2567882919</v>
      </c>
      <c r="BD640" s="160">
        <f>IF($AQ$438&gt;0,'Assumptions (NG)'!AI13*Model!$AQ$438*('Assumptions (NG)'!$AP$17*AVERAGE('Assumptions (NG)'!$AM$2:$AO$2)+'Assumptions (NG)'!$AP$18*AVERAGE('Assumptions (NG)'!$AM$3:$AO$3))/10^9,0)</f>
        <v>0.256353794</v>
      </c>
      <c r="BE640" s="160">
        <f>IF($AQ$438&gt;0,'Assumptions (NG)'!AJ13*Model!$AQ$438*('Assumptions (NG)'!$AP$17*AVERAGE('Assumptions (NG)'!$AM$2:$AO$2)+'Assumptions (NG)'!$AP$18*AVERAGE('Assumptions (NG)'!$AM$3:$AO$3))/10^9,0)</f>
        <v>0.2567882919</v>
      </c>
      <c r="BF640" s="160">
        <f>IF($AQ$438&gt;0,'Assumptions (NG)'!AK13*Model!$AQ$438*('Assumptions (NG)'!$AP$17*AVERAGE('Assumptions (NG)'!$AM$2:$AO$2)+'Assumptions (NG)'!$AP$18*AVERAGE('Assumptions (NG)'!$AM$3:$AO$3))/10^9,0)</f>
        <v>0.128176897</v>
      </c>
      <c r="BG640" s="160"/>
      <c r="BH640" s="160"/>
      <c r="BI640" s="160"/>
      <c r="BJ640" s="160"/>
      <c r="BK640" s="160"/>
      <c r="BL640" s="160"/>
      <c r="BM640" s="160"/>
      <c r="BN640" s="160"/>
      <c r="BO640" s="160"/>
    </row>
    <row r="641" ht="15.75" hidden="1" customHeight="1" outlineLevel="1">
      <c r="A641" s="209"/>
      <c r="B641" s="38"/>
      <c r="C641" s="174"/>
      <c r="D641" s="174"/>
      <c r="E641" s="174"/>
      <c r="F641" s="174"/>
      <c r="G641" s="174"/>
      <c r="H641" s="174"/>
      <c r="I641" s="174"/>
      <c r="J641" s="174"/>
      <c r="K641" s="174"/>
      <c r="L641" s="174"/>
      <c r="M641" s="174"/>
      <c r="N641" s="174"/>
      <c r="O641" s="174"/>
      <c r="P641" s="174"/>
      <c r="Q641" s="174"/>
      <c r="R641" s="174"/>
      <c r="S641" s="174"/>
      <c r="T641" s="174"/>
      <c r="U641" s="174"/>
      <c r="V641" s="174"/>
      <c r="W641" s="160"/>
      <c r="X641" s="160"/>
      <c r="Y641" s="160"/>
      <c r="Z641" s="160"/>
      <c r="AA641" s="160"/>
      <c r="AB641" s="160"/>
      <c r="AC641" s="160"/>
      <c r="AD641" s="160"/>
      <c r="AE641" s="160"/>
      <c r="AF641" s="160"/>
      <c r="AG641" s="160"/>
      <c r="AH641" s="160"/>
      <c r="AI641" s="160"/>
      <c r="AJ641" s="179"/>
      <c r="AK641" s="160"/>
      <c r="AL641" s="177"/>
      <c r="AM641" s="177"/>
      <c r="AN641" s="177"/>
      <c r="AO641" s="160"/>
      <c r="AP641" s="160"/>
      <c r="AQ641" s="160"/>
      <c r="AR641" s="160">
        <f>IF($AR$438&gt;0,'Assumptions (NG)'!V13*Model!$AR$438*('Assumptions (NG)'!$AQ$17*AVERAGE('Assumptions (NG)'!$AN$2:$AP$2)+'Assumptions (NG)'!$AQ$18*AVERAGE('Assumptions (NG)'!$AN$3:$AP$3))/10^9,0)</f>
        <v>0.14541132</v>
      </c>
      <c r="AS641" s="160">
        <f>IF($AR$438&gt;0,'Assumptions (NG)'!W13*Model!$AR$438*('Assumptions (NG)'!$AQ$17*AVERAGE('Assumptions (NG)'!$AN$2:$AP$2)+'Assumptions (NG)'!$AQ$18*AVERAGE('Assumptions (NG)'!$AN$3:$AP$3))/10^9,0)</f>
        <v>0.2762815081</v>
      </c>
      <c r="AT641" s="160">
        <f>IF($AR$438&gt;0,'Assumptions (NG)'!X13*Model!$AR$438*('Assumptions (NG)'!$AQ$17*AVERAGE('Assumptions (NG)'!$AN$2:$AP$2)+'Assumptions (NG)'!$AQ$18*AVERAGE('Assumptions (NG)'!$AN$3:$AP$3))/10^9,0)</f>
        <v>0.2486533573</v>
      </c>
      <c r="AU641" s="160">
        <f>IF($AR$438&gt;0,'Assumptions (NG)'!Y13*Model!$AR$438*('Assumptions (NG)'!$AQ$17*AVERAGE('Assumptions (NG)'!$AN$2:$AP$2)+'Assumptions (NG)'!$AQ$18*AVERAGE('Assumptions (NG)'!$AN$3:$AP$3))/10^9,0)</f>
        <v>0.2239334329</v>
      </c>
      <c r="AV641" s="160">
        <f>IF($AR$438&gt;0,'Assumptions (NG)'!Z13*Model!$AR$438*('Assumptions (NG)'!$AQ$17*AVERAGE('Assumptions (NG)'!$AN$2:$AP$2)+'Assumptions (NG)'!$AQ$18*AVERAGE('Assumptions (NG)'!$AN$3:$AP$3))/10^9,0)</f>
        <v>0.2015400896</v>
      </c>
      <c r="AW641" s="160">
        <f>IF($AR$438&gt;0,'Assumptions (NG)'!AA13*Model!$AR$438*('Assumptions (NG)'!$AQ$17*AVERAGE('Assumptions (NG)'!$AN$2:$AP$2)+'Assumptions (NG)'!$AQ$18*AVERAGE('Assumptions (NG)'!$AN$3:$AP$3))/10^9,0)</f>
        <v>0.1811825048</v>
      </c>
      <c r="AX641" s="160">
        <f>IF($AR$438&gt;0,'Assumptions (NG)'!AB13*Model!$AR$438*('Assumptions (NG)'!$AQ$17*AVERAGE('Assumptions (NG)'!$AN$2:$AP$2)+'Assumptions (NG)'!$AQ$18*AVERAGE('Assumptions (NG)'!$AN$3:$AP$3))/10^9,0)</f>
        <v>0.1715853576</v>
      </c>
      <c r="AY641" s="160">
        <f>IF($AR$438&gt;0,'Assumptions (NG)'!AC13*Model!$AR$438*('Assumptions (NG)'!$AQ$17*AVERAGE('Assumptions (NG)'!$AN$2:$AP$2)+'Assumptions (NG)'!$AQ$18*AVERAGE('Assumptions (NG)'!$AN$3:$AP$3))/10^9,0)</f>
        <v>0.1715853576</v>
      </c>
      <c r="AZ641" s="160">
        <f>IF($AR$438&gt;0,'Assumptions (NG)'!AD13*Model!$AR$438*('Assumptions (NG)'!$AQ$17*AVERAGE('Assumptions (NG)'!$AN$2:$AP$2)+'Assumptions (NG)'!$AQ$18*AVERAGE('Assumptions (NG)'!$AN$3:$AP$3))/10^9,0)</f>
        <v>0.1718761803</v>
      </c>
      <c r="BA641" s="160">
        <f>IF($AR$438&gt;0,'Assumptions (NG)'!AE13*Model!$AR$438*('Assumptions (NG)'!$AQ$17*AVERAGE('Assumptions (NG)'!$AN$2:$AP$2)+'Assumptions (NG)'!$AQ$18*AVERAGE('Assumptions (NG)'!$AN$3:$AP$3))/10^9,0)</f>
        <v>0.1715853576</v>
      </c>
      <c r="BB641" s="160">
        <f>IF($AR$438&gt;0,'Assumptions (NG)'!AF13*Model!$AR$438*('Assumptions (NG)'!$AQ$17*AVERAGE('Assumptions (NG)'!$AN$2:$AP$2)+'Assumptions (NG)'!$AQ$18*AVERAGE('Assumptions (NG)'!$AN$3:$AP$3))/10^9,0)</f>
        <v>0.1718761803</v>
      </c>
      <c r="BC641" s="160">
        <f>IF($AR$438&gt;0,'Assumptions (NG)'!AG13*Model!$AR$438*('Assumptions (NG)'!$AQ$17*AVERAGE('Assumptions (NG)'!$AN$2:$AP$2)+'Assumptions (NG)'!$AQ$18*AVERAGE('Assumptions (NG)'!$AN$3:$AP$3))/10^9,0)</f>
        <v>0.1715853576</v>
      </c>
      <c r="BD641" s="160">
        <f>IF($AR$438&gt;0,'Assumptions (NG)'!AH13*Model!$AR$438*('Assumptions (NG)'!$AQ$17*AVERAGE('Assumptions (NG)'!$AN$2:$AP$2)+'Assumptions (NG)'!$AQ$18*AVERAGE('Assumptions (NG)'!$AN$3:$AP$3))/10^9,0)</f>
        <v>0.1718761803</v>
      </c>
      <c r="BE641" s="160">
        <f>IF($AR$438&gt;0,'Assumptions (NG)'!AI13*Model!$AR$438*('Assumptions (NG)'!$AQ$17*AVERAGE('Assumptions (NG)'!$AN$2:$AP$2)+'Assumptions (NG)'!$AQ$18*AVERAGE('Assumptions (NG)'!$AN$3:$AP$3))/10^9,0)</f>
        <v>0.1715853576</v>
      </c>
      <c r="BF641" s="160">
        <f>IF($AR$438&gt;0,'Assumptions (NG)'!AJ13*Model!$AR$438*('Assumptions (NG)'!$AQ$17*AVERAGE('Assumptions (NG)'!$AN$2:$AP$2)+'Assumptions (NG)'!$AQ$18*AVERAGE('Assumptions (NG)'!$AN$3:$AP$3))/10^9,0)</f>
        <v>0.1718761803</v>
      </c>
      <c r="BG641" s="160">
        <f>IF($AR$438&gt;0,'Assumptions (NG)'!AK13*Model!$AR$438*('Assumptions (NG)'!$AQ$17*AVERAGE('Assumptions (NG)'!$AN$2:$AP$2)+'Assumptions (NG)'!$AQ$18*AVERAGE('Assumptions (NG)'!$AN$3:$AP$3))/10^9,0)</f>
        <v>0.08579267882</v>
      </c>
      <c r="BH641" s="160"/>
      <c r="BI641" s="160"/>
      <c r="BJ641" s="160"/>
      <c r="BK641" s="160"/>
      <c r="BL641" s="160"/>
      <c r="BM641" s="160"/>
      <c r="BN641" s="160"/>
      <c r="BO641" s="160"/>
      <c r="BP641" s="160"/>
    </row>
    <row r="642" ht="15.75" hidden="1" customHeight="1" outlineLevel="1">
      <c r="A642" s="209"/>
      <c r="B642" s="38"/>
      <c r="C642" s="174"/>
      <c r="D642" s="174"/>
      <c r="E642" s="174"/>
      <c r="F642" s="174"/>
      <c r="G642" s="174"/>
      <c r="H642" s="174"/>
      <c r="I642" s="174"/>
      <c r="J642" s="174"/>
      <c r="K642" s="174"/>
      <c r="L642" s="174"/>
      <c r="M642" s="174"/>
      <c r="N642" s="174"/>
      <c r="O642" s="174"/>
      <c r="P642" s="174"/>
      <c r="Q642" s="174"/>
      <c r="R642" s="174"/>
      <c r="S642" s="174"/>
      <c r="T642" s="174"/>
      <c r="U642" s="174"/>
      <c r="V642" s="174"/>
      <c r="W642" s="160"/>
      <c r="X642" s="160"/>
      <c r="Y642" s="160"/>
      <c r="Z642" s="160"/>
      <c r="AA642" s="160"/>
      <c r="AB642" s="160"/>
      <c r="AC642" s="160"/>
      <c r="AD642" s="160"/>
      <c r="AE642" s="160"/>
      <c r="AF642" s="160"/>
      <c r="AG642" s="160"/>
      <c r="AH642" s="160"/>
      <c r="AI642" s="160"/>
      <c r="AJ642" s="179"/>
      <c r="AK642" s="160"/>
      <c r="AL642" s="177"/>
      <c r="AM642" s="177"/>
      <c r="AN642" s="177"/>
      <c r="AO642" s="160"/>
      <c r="AP642" s="160"/>
      <c r="AQ642" s="160"/>
      <c r="AR642" s="160"/>
      <c r="AS642" s="160">
        <f>IF($AS$438&gt;0,'Assumptions (NG)'!V13*Model!$AS$438*('Assumptions (NG)'!$AR$17*AVERAGE('Assumptions (NG)'!$AO$2:$AQ$2)+'Assumptions (NG)'!$AR$18*AVERAGE('Assumptions (NG)'!$AO$3:$AQ$3))/10^9,0)</f>
        <v>0.1110807647</v>
      </c>
      <c r="AT642" s="160">
        <f>IF($AS$438&gt;0,'Assumptions (NG)'!W13*Model!$AS$438*('Assumptions (NG)'!$AR$17*AVERAGE('Assumptions (NG)'!$AO$2:$AQ$2)+'Assumptions (NG)'!$AR$18*AVERAGE('Assumptions (NG)'!$AO$3:$AQ$3))/10^9,0)</f>
        <v>0.211053453</v>
      </c>
      <c r="AU642" s="160">
        <f>IF($AS$438&gt;0,'Assumptions (NG)'!X13*Model!$AS$438*('Assumptions (NG)'!$AR$17*AVERAGE('Assumptions (NG)'!$AO$2:$AQ$2)+'Assumptions (NG)'!$AR$18*AVERAGE('Assumptions (NG)'!$AO$3:$AQ$3))/10^9,0)</f>
        <v>0.1899481077</v>
      </c>
      <c r="AV642" s="160">
        <f>IF($AS$438&gt;0,'Assumptions (NG)'!Y13*Model!$AS$438*('Assumptions (NG)'!$AR$17*AVERAGE('Assumptions (NG)'!$AO$2:$AQ$2)+'Assumptions (NG)'!$AR$18*AVERAGE('Assumptions (NG)'!$AO$3:$AQ$3))/10^9,0)</f>
        <v>0.1710643777</v>
      </c>
      <c r="AW642" s="160">
        <f>IF($AS$438&gt;0,'Assumptions (NG)'!Z13*Model!$AS$438*('Assumptions (NG)'!$AR$17*AVERAGE('Assumptions (NG)'!$AO$2:$AQ$2)+'Assumptions (NG)'!$AR$18*AVERAGE('Assumptions (NG)'!$AO$3:$AQ$3))/10^9,0)</f>
        <v>0.1539579399</v>
      </c>
      <c r="AX642" s="160">
        <f>IF($AS$438&gt;0,'Assumptions (NG)'!AA13*Model!$AS$438*('Assumptions (NG)'!$AR$17*AVERAGE('Assumptions (NG)'!$AO$2:$AQ$2)+'Assumptions (NG)'!$AR$18*AVERAGE('Assumptions (NG)'!$AO$3:$AQ$3))/10^9,0)</f>
        <v>0.1384066328</v>
      </c>
      <c r="AY642" s="160">
        <f>IF($AS$438&gt;0,'Assumptions (NG)'!AB13*Model!$AS$438*('Assumptions (NG)'!$AR$17*AVERAGE('Assumptions (NG)'!$AO$2:$AQ$2)+'Assumptions (NG)'!$AR$18*AVERAGE('Assumptions (NG)'!$AO$3:$AQ$3))/10^9,0)</f>
        <v>0.1310753024</v>
      </c>
      <c r="AZ642" s="160">
        <f>IF($AS$438&gt;0,'Assumptions (NG)'!AC13*Model!$AS$438*('Assumptions (NG)'!$AR$17*AVERAGE('Assumptions (NG)'!$AO$2:$AQ$2)+'Assumptions (NG)'!$AR$18*AVERAGE('Assumptions (NG)'!$AO$3:$AQ$3))/10^9,0)</f>
        <v>0.1310753024</v>
      </c>
      <c r="BA642" s="160">
        <f>IF($AS$438&gt;0,'Assumptions (NG)'!AD13*Model!$AS$438*('Assumptions (NG)'!$AR$17*AVERAGE('Assumptions (NG)'!$AO$2:$AQ$2)+'Assumptions (NG)'!$AR$18*AVERAGE('Assumptions (NG)'!$AO$3:$AQ$3))/10^9,0)</f>
        <v>0.1312974639</v>
      </c>
      <c r="BB642" s="160">
        <f>IF($AS$438&gt;0,'Assumptions (NG)'!AE13*Model!$AS$438*('Assumptions (NG)'!$AR$17*AVERAGE('Assumptions (NG)'!$AO$2:$AQ$2)+'Assumptions (NG)'!$AR$18*AVERAGE('Assumptions (NG)'!$AO$3:$AQ$3))/10^9,0)</f>
        <v>0.1310753024</v>
      </c>
      <c r="BC642" s="160">
        <f>IF($AS$438&gt;0,'Assumptions (NG)'!AF13*Model!$AS$438*('Assumptions (NG)'!$AR$17*AVERAGE('Assumptions (NG)'!$AO$2:$AQ$2)+'Assumptions (NG)'!$AR$18*AVERAGE('Assumptions (NG)'!$AO$3:$AQ$3))/10^9,0)</f>
        <v>0.1312974639</v>
      </c>
      <c r="BD642" s="160">
        <f>IF($AS$438&gt;0,'Assumptions (NG)'!AG13*Model!$AS$438*('Assumptions (NG)'!$AR$17*AVERAGE('Assumptions (NG)'!$AO$2:$AQ$2)+'Assumptions (NG)'!$AR$18*AVERAGE('Assumptions (NG)'!$AO$3:$AQ$3))/10^9,0)</f>
        <v>0.1310753024</v>
      </c>
      <c r="BE642" s="160">
        <f>IF($AS$438&gt;0,'Assumptions (NG)'!AH13*Model!$AS$438*('Assumptions (NG)'!$AR$17*AVERAGE('Assumptions (NG)'!$AO$2:$AQ$2)+'Assumptions (NG)'!$AR$18*AVERAGE('Assumptions (NG)'!$AO$3:$AQ$3))/10^9,0)</f>
        <v>0.1312974639</v>
      </c>
      <c r="BF642" s="160">
        <f>IF($AS$438&gt;0,'Assumptions (NG)'!AI13*Model!$AS$438*('Assumptions (NG)'!$AR$17*AVERAGE('Assumptions (NG)'!$AO$2:$AQ$2)+'Assumptions (NG)'!$AR$18*AVERAGE('Assumptions (NG)'!$AO$3:$AQ$3))/10^9,0)</f>
        <v>0.1310753024</v>
      </c>
      <c r="BG642" s="160">
        <f>IF($AS$438&gt;0,'Assumptions (NG)'!AJ13*Model!$AS$438*('Assumptions (NG)'!$AR$17*AVERAGE('Assumptions (NG)'!$AO$2:$AQ$2)+'Assumptions (NG)'!$AR$18*AVERAGE('Assumptions (NG)'!$AO$3:$AQ$3))/10^9,0)</f>
        <v>0.1312974639</v>
      </c>
      <c r="BH642" s="160">
        <f>IF($AS$438&gt;0,'Assumptions (NG)'!AK13*Model!$AS$438*('Assumptions (NG)'!$AR$17*AVERAGE('Assumptions (NG)'!$AO$2:$AQ$2)+'Assumptions (NG)'!$AR$18*AVERAGE('Assumptions (NG)'!$AO$3:$AQ$3))/10^9,0)</f>
        <v>0.06553765118</v>
      </c>
      <c r="BI642" s="160"/>
      <c r="BJ642" s="160"/>
      <c r="BK642" s="160"/>
      <c r="BL642" s="160"/>
      <c r="BM642" s="160"/>
      <c r="BN642" s="160"/>
      <c r="BO642" s="160"/>
      <c r="BP642" s="160"/>
      <c r="BQ642" s="160"/>
      <c r="BR642" s="160"/>
    </row>
    <row r="643" ht="15.75" hidden="1" customHeight="1" outlineLevel="1">
      <c r="A643" s="209"/>
      <c r="B643" s="38"/>
      <c r="C643" s="174"/>
      <c r="D643" s="174"/>
      <c r="E643" s="174"/>
      <c r="F643" s="174"/>
      <c r="G643" s="174"/>
      <c r="H643" s="174"/>
      <c r="I643" s="174"/>
      <c r="J643" s="174"/>
      <c r="K643" s="174"/>
      <c r="L643" s="174"/>
      <c r="M643" s="174"/>
      <c r="N643" s="174"/>
      <c r="O643" s="174"/>
      <c r="P643" s="174"/>
      <c r="Q643" s="174"/>
      <c r="R643" s="174"/>
      <c r="S643" s="174"/>
      <c r="T643" s="174"/>
      <c r="U643" s="174"/>
      <c r="V643" s="174"/>
      <c r="W643" s="160"/>
      <c r="X643" s="160"/>
      <c r="Y643" s="160"/>
      <c r="Z643" s="160"/>
      <c r="AA643" s="160"/>
      <c r="AB643" s="160"/>
      <c r="AC643" s="160"/>
      <c r="AD643" s="160"/>
      <c r="AE643" s="160"/>
      <c r="AF643" s="160"/>
      <c r="AG643" s="160"/>
      <c r="AH643" s="160"/>
      <c r="AI643" s="160"/>
      <c r="AJ643" s="179"/>
      <c r="AK643" s="160"/>
      <c r="AL643" s="177"/>
      <c r="AM643" s="177"/>
      <c r="AN643" s="177"/>
      <c r="AO643" s="160"/>
      <c r="AP643" s="160"/>
      <c r="AQ643" s="160"/>
      <c r="AR643" s="160"/>
      <c r="AS643" s="160"/>
      <c r="AT643" s="160">
        <f>IF($AT$438&gt;0,'Assumptions (NG)'!V13*Model!$AT$438*('Assumptions (NG)'!$AS$17*AVERAGE('Assumptions (NG)'!$AP$2:$AR$2)+'Assumptions (NG)'!$AS$18*AVERAGE('Assumptions (NG)'!$AP$3:$AR$3))/10^9,0)</f>
        <v>0.05158056868</v>
      </c>
      <c r="AU643" s="160">
        <f>IF($AT$438&gt;0,'Assumptions (NG)'!W13*Model!$AT$438*('Assumptions (NG)'!$AS$17*AVERAGE('Assumptions (NG)'!$AP$2:$AR$2)+'Assumptions (NG)'!$AS$18*AVERAGE('Assumptions (NG)'!$AP$3:$AR$3))/10^9,0)</f>
        <v>0.0980030805</v>
      </c>
      <c r="AV643" s="160">
        <f>IF($AT$438&gt;0,'Assumptions (NG)'!X13*Model!$AT$438*('Assumptions (NG)'!$AS$17*AVERAGE('Assumptions (NG)'!$AP$2:$AR$2)+'Assumptions (NG)'!$AS$18*AVERAGE('Assumptions (NG)'!$AP$3:$AR$3))/10^9,0)</f>
        <v>0.08820277245</v>
      </c>
      <c r="AW643" s="160">
        <f>IF($AT$438&gt;0,'Assumptions (NG)'!Y13*Model!$AT$438*('Assumptions (NG)'!$AS$17*AVERAGE('Assumptions (NG)'!$AP$2:$AR$2)+'Assumptions (NG)'!$AS$18*AVERAGE('Assumptions (NG)'!$AP$3:$AR$3))/10^9,0)</f>
        <v>0.07943407577</v>
      </c>
      <c r="AX643" s="160">
        <f>IF($AT$438&gt;0,'Assumptions (NG)'!Z13*Model!$AT$438*('Assumptions (NG)'!$AS$17*AVERAGE('Assumptions (NG)'!$AP$2:$AR$2)+'Assumptions (NG)'!$AS$18*AVERAGE('Assumptions (NG)'!$AP$3:$AR$3))/10^9,0)</f>
        <v>0.07149066819</v>
      </c>
      <c r="AY643" s="160">
        <f>IF($AT$438&gt;0,'Assumptions (NG)'!AA13*Model!$AT$438*('Assumptions (NG)'!$AS$17*AVERAGE('Assumptions (NG)'!$AP$2:$AR$2)+'Assumptions (NG)'!$AS$18*AVERAGE('Assumptions (NG)'!$AP$3:$AR$3))/10^9,0)</f>
        <v>0.06426938858</v>
      </c>
      <c r="AZ643" s="160">
        <f>IF($AT$438&gt;0,'Assumptions (NG)'!AB13*Model!$AT$438*('Assumptions (NG)'!$AS$17*AVERAGE('Assumptions (NG)'!$AP$2:$AR$2)+'Assumptions (NG)'!$AS$18*AVERAGE('Assumptions (NG)'!$AP$3:$AR$3))/10^9,0)</f>
        <v>0.06086507104</v>
      </c>
      <c r="BA643" s="160">
        <f>IF($AT$438&gt;0,'Assumptions (NG)'!AC13*Model!$AT$438*('Assumptions (NG)'!$AS$17*AVERAGE('Assumptions (NG)'!$AP$2:$AR$2)+'Assumptions (NG)'!$AS$18*AVERAGE('Assumptions (NG)'!$AP$3:$AR$3))/10^9,0)</f>
        <v>0.06086507104</v>
      </c>
      <c r="BB643" s="160">
        <f>IF($AT$438&gt;0,'Assumptions (NG)'!AD13*Model!$AT$438*('Assumptions (NG)'!$AS$17*AVERAGE('Assumptions (NG)'!$AP$2:$AR$2)+'Assumptions (NG)'!$AS$18*AVERAGE('Assumptions (NG)'!$AP$3:$AR$3))/10^9,0)</f>
        <v>0.06096823218</v>
      </c>
      <c r="BC643" s="160">
        <f>IF($AT$438&gt;0,'Assumptions (NG)'!AE13*Model!$AT$438*('Assumptions (NG)'!$AS$17*AVERAGE('Assumptions (NG)'!$AP$2:$AR$2)+'Assumptions (NG)'!$AS$18*AVERAGE('Assumptions (NG)'!$AP$3:$AR$3))/10^9,0)</f>
        <v>0.06086507104</v>
      </c>
      <c r="BD643" s="160">
        <f>IF($AT$438&gt;0,'Assumptions (NG)'!AF13*Model!$AT$438*('Assumptions (NG)'!$AS$17*AVERAGE('Assumptions (NG)'!$AP$2:$AR$2)+'Assumptions (NG)'!$AS$18*AVERAGE('Assumptions (NG)'!$AP$3:$AR$3))/10^9,0)</f>
        <v>0.06096823218</v>
      </c>
      <c r="BE643" s="160">
        <f>IF($AT$438&gt;0,'Assumptions (NG)'!AG13*Model!$AT$438*('Assumptions (NG)'!$AS$17*AVERAGE('Assumptions (NG)'!$AP$2:$AR$2)+'Assumptions (NG)'!$AS$18*AVERAGE('Assumptions (NG)'!$AP$3:$AR$3))/10^9,0)</f>
        <v>0.06086507104</v>
      </c>
      <c r="BF643" s="160">
        <f>IF($AT$438&gt;0,'Assumptions (NG)'!AH13*Model!$AT$438*('Assumptions (NG)'!$AS$17*AVERAGE('Assumptions (NG)'!$AP$2:$AR$2)+'Assumptions (NG)'!$AS$18*AVERAGE('Assumptions (NG)'!$AP$3:$AR$3))/10^9,0)</f>
        <v>0.06096823218</v>
      </c>
      <c r="BG643" s="160">
        <f>IF($AT$438&gt;0,'Assumptions (NG)'!AI13*Model!$AT$438*('Assumptions (NG)'!$AS$17*AVERAGE('Assumptions (NG)'!$AP$2:$AR$2)+'Assumptions (NG)'!$AS$18*AVERAGE('Assumptions (NG)'!$AP$3:$AR$3))/10^9,0)</f>
        <v>0.06086507104</v>
      </c>
      <c r="BH643" s="160">
        <f>IF($AT$438&gt;0,'Assumptions (NG)'!AJ13*Model!$AT$438*('Assumptions (NG)'!$AS$17*AVERAGE('Assumptions (NG)'!$AP$2:$AR$2)+'Assumptions (NG)'!$AS$18*AVERAGE('Assumptions (NG)'!$AP$3:$AR$3))/10^9,0)</f>
        <v>0.06096823218</v>
      </c>
      <c r="BI643" s="160">
        <f>IF($AT$438&gt;0,'Assumptions (NG)'!AK13*Model!$AT$438*('Assumptions (NG)'!$AS$17*AVERAGE('Assumptions (NG)'!$AP$2:$AR$2)+'Assumptions (NG)'!$AS$18*AVERAGE('Assumptions (NG)'!$AP$3:$AR$3))/10^9,0)</f>
        <v>0.03043253552</v>
      </c>
      <c r="BJ643" s="160"/>
      <c r="BK643" s="160"/>
      <c r="BL643" s="160"/>
      <c r="BM643" s="160"/>
      <c r="BN643" s="160"/>
      <c r="BO643" s="160"/>
      <c r="BP643" s="160"/>
      <c r="BQ643" s="160"/>
      <c r="BR643" s="160"/>
    </row>
    <row r="644" ht="15.75" hidden="1" customHeight="1" outlineLevel="1">
      <c r="A644" s="209"/>
      <c r="B644" s="38"/>
      <c r="C644" s="174"/>
      <c r="D644" s="174"/>
      <c r="E644" s="174"/>
      <c r="F644" s="174"/>
      <c r="G644" s="174"/>
      <c r="H644" s="174"/>
      <c r="I644" s="174"/>
      <c r="J644" s="174"/>
      <c r="K644" s="174"/>
      <c r="L644" s="174"/>
      <c r="M644" s="174"/>
      <c r="N644" s="174"/>
      <c r="O644" s="174"/>
      <c r="P644" s="174"/>
      <c r="Q644" s="174"/>
      <c r="R644" s="174"/>
      <c r="S644" s="174"/>
      <c r="T644" s="174"/>
      <c r="U644" s="174"/>
      <c r="V644" s="174"/>
      <c r="W644" s="160"/>
      <c r="X644" s="160"/>
      <c r="Y644" s="160"/>
      <c r="Z644" s="160"/>
      <c r="AA644" s="160"/>
      <c r="AB644" s="160"/>
      <c r="AC644" s="160"/>
      <c r="AD644" s="160"/>
      <c r="AE644" s="160"/>
      <c r="AF644" s="160"/>
      <c r="AG644" s="160"/>
      <c r="AH644" s="160"/>
      <c r="AI644" s="160"/>
      <c r="AJ644" s="179"/>
      <c r="AK644" s="160"/>
      <c r="AL644" s="177"/>
      <c r="AM644" s="177"/>
      <c r="AN644" s="177"/>
      <c r="AO644" s="160"/>
      <c r="AP644" s="160"/>
      <c r="AQ644" s="160"/>
      <c r="AR644" s="160"/>
      <c r="AS644" s="160"/>
      <c r="AT644" s="160"/>
      <c r="AU644" s="160">
        <f>IF($AU$438&gt;0,'Assumptions (NG)'!V13*Model!$AU$438*('Assumptions (NG)'!$AT$17*AVERAGE('Assumptions (NG)'!$AQ$2:$AS$2)+'Assumptions (NG)'!$AT$18*AVERAGE('Assumptions (NG)'!$AQ$3:$AS$3))/10^9,0)</f>
        <v>0.1038699622</v>
      </c>
      <c r="AV644" s="160">
        <f>IF($AU$438&gt;0,'Assumptions (NG)'!W13*Model!$AU$438*('Assumptions (NG)'!$AT$17*AVERAGE('Assumptions (NG)'!$AQ$2:$AS$2)+'Assumptions (NG)'!$AT$18*AVERAGE('Assumptions (NG)'!$AQ$3:$AS$3))/10^9,0)</f>
        <v>0.1973529282</v>
      </c>
      <c r="AW644" s="160">
        <f>IF($AU$438&gt;0,'Assumptions (NG)'!X13*Model!$AU$438*('Assumptions (NG)'!$AT$17*AVERAGE('Assumptions (NG)'!$AQ$2:$AS$2)+'Assumptions (NG)'!$AT$18*AVERAGE('Assumptions (NG)'!$AQ$3:$AS$3))/10^9,0)</f>
        <v>0.1776176354</v>
      </c>
      <c r="AX644" s="160">
        <f>IF($AU$438&gt;0,'Assumptions (NG)'!Y13*Model!$AU$438*('Assumptions (NG)'!$AT$17*AVERAGE('Assumptions (NG)'!$AQ$2:$AS$2)+'Assumptions (NG)'!$AT$18*AVERAGE('Assumptions (NG)'!$AQ$3:$AS$3))/10^9,0)</f>
        <v>0.1599597418</v>
      </c>
      <c r="AY644" s="160">
        <f>IF($AU$438&gt;0,'Assumptions (NG)'!Z13*Model!$AU$438*('Assumptions (NG)'!$AT$17*AVERAGE('Assumptions (NG)'!$AQ$2:$AS$2)+'Assumptions (NG)'!$AT$18*AVERAGE('Assumptions (NG)'!$AQ$3:$AS$3))/10^9,0)</f>
        <v>0.1439637676</v>
      </c>
      <c r="AZ644" s="160">
        <f>IF($AU$438&gt;0,'Assumptions (NG)'!AA13*Model!$AU$438*('Assumptions (NG)'!$AT$17*AVERAGE('Assumptions (NG)'!$AQ$2:$AS$2)+'Assumptions (NG)'!$AT$18*AVERAGE('Assumptions (NG)'!$AQ$3:$AS$3))/10^9,0)</f>
        <v>0.1294219729</v>
      </c>
      <c r="BA644" s="160">
        <f>IF($AU$438&gt;0,'Assumptions (NG)'!AB13*Model!$AU$438*('Assumptions (NG)'!$AT$17*AVERAGE('Assumptions (NG)'!$AQ$2:$AS$2)+'Assumptions (NG)'!$AT$18*AVERAGE('Assumptions (NG)'!$AQ$3:$AS$3))/10^9,0)</f>
        <v>0.1225665554</v>
      </c>
      <c r="BB644" s="160">
        <f>IF($AU$438&gt;0,'Assumptions (NG)'!AC13*Model!$AU$438*('Assumptions (NG)'!$AT$17*AVERAGE('Assumptions (NG)'!$AQ$2:$AS$2)+'Assumptions (NG)'!$AT$18*AVERAGE('Assumptions (NG)'!$AQ$3:$AS$3))/10^9,0)</f>
        <v>0.1225665554</v>
      </c>
      <c r="BC644" s="160">
        <f>IF($AU$438&gt;0,'Assumptions (NG)'!AD13*Model!$AU$438*('Assumptions (NG)'!$AT$17*AVERAGE('Assumptions (NG)'!$AQ$2:$AS$2)+'Assumptions (NG)'!$AT$18*AVERAGE('Assumptions (NG)'!$AQ$3:$AS$3))/10^9,0)</f>
        <v>0.1227742953</v>
      </c>
      <c r="BD644" s="160">
        <f>IF($AU$438&gt;0,'Assumptions (NG)'!AE13*Model!$AU$438*('Assumptions (NG)'!$AT$17*AVERAGE('Assumptions (NG)'!$AQ$2:$AS$2)+'Assumptions (NG)'!$AT$18*AVERAGE('Assumptions (NG)'!$AQ$3:$AS$3))/10^9,0)</f>
        <v>0.1225665554</v>
      </c>
      <c r="BE644" s="160">
        <f>IF($AU$438&gt;0,'Assumptions (NG)'!AF13*Model!$AU$438*('Assumptions (NG)'!$AT$17*AVERAGE('Assumptions (NG)'!$AQ$2:$AS$2)+'Assumptions (NG)'!$AT$18*AVERAGE('Assumptions (NG)'!$AQ$3:$AS$3))/10^9,0)</f>
        <v>0.1227742953</v>
      </c>
      <c r="BF644" s="160">
        <f>IF($AU$438&gt;0,'Assumptions (NG)'!AG13*Model!$AU$438*('Assumptions (NG)'!$AT$17*AVERAGE('Assumptions (NG)'!$AQ$2:$AS$2)+'Assumptions (NG)'!$AT$18*AVERAGE('Assumptions (NG)'!$AQ$3:$AS$3))/10^9,0)</f>
        <v>0.1225665554</v>
      </c>
      <c r="BG644" s="160">
        <f>IF($AU$438&gt;0,'Assumptions (NG)'!AH13*Model!$AU$438*('Assumptions (NG)'!$AT$17*AVERAGE('Assumptions (NG)'!$AQ$2:$AS$2)+'Assumptions (NG)'!$AT$18*AVERAGE('Assumptions (NG)'!$AQ$3:$AS$3))/10^9,0)</f>
        <v>0.1227742953</v>
      </c>
      <c r="BH644" s="160">
        <f>IF($AU$438&gt;0,'Assumptions (NG)'!AI13*Model!$AU$438*('Assumptions (NG)'!$AT$17*AVERAGE('Assumptions (NG)'!$AQ$2:$AS$2)+'Assumptions (NG)'!$AT$18*AVERAGE('Assumptions (NG)'!$AQ$3:$AS$3))/10^9,0)</f>
        <v>0.1225665554</v>
      </c>
      <c r="BI644" s="160">
        <f>IF($AU$438&gt;0,'Assumptions (NG)'!AJ13*Model!$AU$438*('Assumptions (NG)'!$AT$17*AVERAGE('Assumptions (NG)'!$AQ$2:$AS$2)+'Assumptions (NG)'!$AT$18*AVERAGE('Assumptions (NG)'!$AQ$3:$AS$3))/10^9,0)</f>
        <v>0.1227742953</v>
      </c>
      <c r="BJ644" s="160">
        <f>IF($AU$438&gt;0,'Assumptions (NG)'!AK13*Model!$AU$438*('Assumptions (NG)'!$AT$17*AVERAGE('Assumptions (NG)'!$AQ$2:$AS$2)+'Assumptions (NG)'!$AT$18*AVERAGE('Assumptions (NG)'!$AQ$3:$AS$3))/10^9,0)</f>
        <v>0.06128327771</v>
      </c>
      <c r="BK644" s="160"/>
      <c r="BL644" s="160"/>
      <c r="BM644" s="160"/>
      <c r="BN644" s="160"/>
      <c r="BO644" s="160"/>
      <c r="BP644" s="160"/>
      <c r="BQ644" s="160"/>
      <c r="BR644" s="160"/>
      <c r="BS644" s="160"/>
    </row>
    <row r="645" ht="15.75" hidden="1" customHeight="1" outlineLevel="1">
      <c r="A645" s="209"/>
      <c r="B645" s="38"/>
      <c r="C645" s="174"/>
      <c r="D645" s="174"/>
      <c r="E645" s="174"/>
      <c r="F645" s="174"/>
      <c r="G645" s="174"/>
      <c r="H645" s="174"/>
      <c r="I645" s="174"/>
      <c r="J645" s="174"/>
      <c r="K645" s="174"/>
      <c r="L645" s="174"/>
      <c r="M645" s="174"/>
      <c r="N645" s="174"/>
      <c r="O645" s="174"/>
      <c r="P645" s="174"/>
      <c r="Q645" s="174"/>
      <c r="R645" s="174"/>
      <c r="S645" s="174"/>
      <c r="T645" s="174"/>
      <c r="U645" s="174"/>
      <c r="V645" s="174"/>
      <c r="W645" s="160"/>
      <c r="X645" s="160"/>
      <c r="Y645" s="160"/>
      <c r="Z645" s="160"/>
      <c r="AA645" s="160"/>
      <c r="AB645" s="160"/>
      <c r="AC645" s="160"/>
      <c r="AD645" s="160"/>
      <c r="AE645" s="160"/>
      <c r="AF645" s="160"/>
      <c r="AG645" s="160"/>
      <c r="AH645" s="160"/>
      <c r="AI645" s="160"/>
      <c r="AJ645" s="179"/>
      <c r="AK645" s="160"/>
      <c r="AL645" s="177"/>
      <c r="AM645" s="177"/>
      <c r="AN645" s="177"/>
      <c r="AO645" s="160"/>
      <c r="AP645" s="160"/>
      <c r="AQ645" s="160"/>
      <c r="AR645" s="160"/>
      <c r="AS645" s="160"/>
      <c r="AT645" s="160"/>
      <c r="AU645" s="160"/>
      <c r="AV645" s="160">
        <f>IF($AV$438&gt;0,'Assumptions (NG)'!V13*Model!$AV$438*('Assumptions (NG)'!$AU$17*AVERAGE('Assumptions (NG)'!$AR$2:$AT$2)+'Assumptions (NG)'!$AU$18*AVERAGE('Assumptions (NG)'!$AR$3:$AT$3))/10^9,0)</f>
        <v>0.05383994318</v>
      </c>
      <c r="AW645" s="160">
        <f>IF($AV$438&gt;0,'Assumptions (NG)'!W13*Model!$AV$438*('Assumptions (NG)'!$AU$17*AVERAGE('Assumptions (NG)'!$AR$2:$AT$2)+'Assumptions (NG)'!$AU$18*AVERAGE('Assumptions (NG)'!$AR$3:$AT$3))/10^9,0)</f>
        <v>0.102295892</v>
      </c>
      <c r="AX645" s="160">
        <f>IF($AV$438&gt;0,'Assumptions (NG)'!X13*Model!$AV$438*('Assumptions (NG)'!$AU$17*AVERAGE('Assumptions (NG)'!$AR$2:$AT$2)+'Assumptions (NG)'!$AU$18*AVERAGE('Assumptions (NG)'!$AR$3:$AT$3))/10^9,0)</f>
        <v>0.09206630284</v>
      </c>
      <c r="AY645" s="160">
        <f>IF($AV$438&gt;0,'Assumptions (NG)'!Y13*Model!$AV$438*('Assumptions (NG)'!$AU$17*AVERAGE('Assumptions (NG)'!$AR$2:$AT$2)+'Assumptions (NG)'!$AU$18*AVERAGE('Assumptions (NG)'!$AR$3:$AT$3))/10^9,0)</f>
        <v>0.0829135125</v>
      </c>
      <c r="AZ645" s="160">
        <f>IF($AV$438&gt;0,'Assumptions (NG)'!Z13*Model!$AV$438*('Assumptions (NG)'!$AU$17*AVERAGE('Assumptions (NG)'!$AR$2:$AT$2)+'Assumptions (NG)'!$AU$18*AVERAGE('Assumptions (NG)'!$AR$3:$AT$3))/10^9,0)</f>
        <v>0.07462216125</v>
      </c>
      <c r="BA645" s="160">
        <f>IF($AV$438&gt;0,'Assumptions (NG)'!AA13*Model!$AV$438*('Assumptions (NG)'!$AU$17*AVERAGE('Assumptions (NG)'!$AR$2:$AT$2)+'Assumptions (NG)'!$AU$18*AVERAGE('Assumptions (NG)'!$AR$3:$AT$3))/10^9,0)</f>
        <v>0.0670845692</v>
      </c>
      <c r="BB645" s="160">
        <f>IF($AV$438&gt;0,'Assumptions (NG)'!AB13*Model!$AV$438*('Assumptions (NG)'!$AU$17*AVERAGE('Assumptions (NG)'!$AR$2:$AT$2)+'Assumptions (NG)'!$AU$18*AVERAGE('Assumptions (NG)'!$AR$3:$AT$3))/10^9,0)</f>
        <v>0.06353113295</v>
      </c>
      <c r="BC645" s="160">
        <f>IF($AV$438&gt;0,'Assumptions (NG)'!AC13*Model!$AV$438*('Assumptions (NG)'!$AU$17*AVERAGE('Assumptions (NG)'!$AR$2:$AT$2)+'Assumptions (NG)'!$AU$18*AVERAGE('Assumptions (NG)'!$AR$3:$AT$3))/10^9,0)</f>
        <v>0.06353113295</v>
      </c>
      <c r="BD645" s="160">
        <f>IF($AV$438&gt;0,'Assumptions (NG)'!AD13*Model!$AV$438*('Assumptions (NG)'!$AU$17*AVERAGE('Assumptions (NG)'!$AR$2:$AT$2)+'Assumptions (NG)'!$AU$18*AVERAGE('Assumptions (NG)'!$AR$3:$AT$3))/10^9,0)</f>
        <v>0.06363881284</v>
      </c>
      <c r="BE645" s="160">
        <f>IF($AV$438&gt;0,'Assumptions (NG)'!AE13*Model!$AV$438*('Assumptions (NG)'!$AU$17*AVERAGE('Assumptions (NG)'!$AR$2:$AT$2)+'Assumptions (NG)'!$AU$18*AVERAGE('Assumptions (NG)'!$AR$3:$AT$3))/10^9,0)</f>
        <v>0.06353113295</v>
      </c>
      <c r="BF645" s="160">
        <f>IF($AV$438&gt;0,'Assumptions (NG)'!AF13*Model!$AV$438*('Assumptions (NG)'!$AU$17*AVERAGE('Assumptions (NG)'!$AR$2:$AT$2)+'Assumptions (NG)'!$AU$18*AVERAGE('Assumptions (NG)'!$AR$3:$AT$3))/10^9,0)</f>
        <v>0.06363881284</v>
      </c>
      <c r="BG645" s="160">
        <f>IF($AV$438&gt;0,'Assumptions (NG)'!AG13*Model!$AV$438*('Assumptions (NG)'!$AU$17*AVERAGE('Assumptions (NG)'!$AR$2:$AT$2)+'Assumptions (NG)'!$AU$18*AVERAGE('Assumptions (NG)'!$AR$3:$AT$3))/10^9,0)</f>
        <v>0.06353113295</v>
      </c>
      <c r="BH645" s="160">
        <f>IF($AV$438&gt;0,'Assumptions (NG)'!AH13*Model!$AV$438*('Assumptions (NG)'!$AU$17*AVERAGE('Assumptions (NG)'!$AR$2:$AT$2)+'Assumptions (NG)'!$AU$18*AVERAGE('Assumptions (NG)'!$AR$3:$AT$3))/10^9,0)</f>
        <v>0.06363881284</v>
      </c>
      <c r="BI645" s="160">
        <f>IF($AV$438&gt;0,'Assumptions (NG)'!AI13*Model!$AV$438*('Assumptions (NG)'!$AU$17*AVERAGE('Assumptions (NG)'!$AR$2:$AT$2)+'Assumptions (NG)'!$AU$18*AVERAGE('Assumptions (NG)'!$AR$3:$AT$3))/10^9,0)</f>
        <v>0.06353113295</v>
      </c>
      <c r="BJ645" s="160">
        <f>IF($AV$438&gt;0,'Assumptions (NG)'!AJ13*Model!$AV$438*('Assumptions (NG)'!$AU$17*AVERAGE('Assumptions (NG)'!$AR$2:$AT$2)+'Assumptions (NG)'!$AU$18*AVERAGE('Assumptions (NG)'!$AR$3:$AT$3))/10^9,0)</f>
        <v>0.06363881284</v>
      </c>
      <c r="BK645" s="160">
        <f>IF($AV$438&gt;0,'Assumptions (NG)'!AK13*Model!$AV$438*('Assumptions (NG)'!$AU$17*AVERAGE('Assumptions (NG)'!$AR$2:$AT$2)+'Assumptions (NG)'!$AU$18*AVERAGE('Assumptions (NG)'!$AR$3:$AT$3))/10^9,0)</f>
        <v>0.03176556648</v>
      </c>
      <c r="BL645" s="160"/>
      <c r="BM645" s="160"/>
      <c r="BN645" s="160"/>
      <c r="BO645" s="160"/>
      <c r="BP645" s="160"/>
      <c r="BQ645" s="160"/>
      <c r="BR645" s="160"/>
      <c r="BS645" s="160"/>
      <c r="BT645" s="160"/>
    </row>
    <row r="646" ht="15.75" hidden="1" customHeight="1" outlineLevel="1">
      <c r="A646" s="209"/>
      <c r="B646" s="38"/>
      <c r="C646" s="174"/>
      <c r="D646" s="174"/>
      <c r="E646" s="174"/>
      <c r="F646" s="174"/>
      <c r="G646" s="174"/>
      <c r="H646" s="174"/>
      <c r="I646" s="174"/>
      <c r="J646" s="174"/>
      <c r="K646" s="174"/>
      <c r="L646" s="174"/>
      <c r="M646" s="174"/>
      <c r="N646" s="174"/>
      <c r="O646" s="174"/>
      <c r="P646" s="174"/>
      <c r="Q646" s="174"/>
      <c r="R646" s="174"/>
      <c r="S646" s="174"/>
      <c r="T646" s="174"/>
      <c r="U646" s="174"/>
      <c r="V646" s="174"/>
      <c r="W646" s="160"/>
      <c r="X646" s="160"/>
      <c r="Y646" s="160"/>
      <c r="Z646" s="160"/>
      <c r="AA646" s="160"/>
      <c r="AB646" s="160"/>
      <c r="AC646" s="160"/>
      <c r="AD646" s="160"/>
      <c r="AE646" s="160"/>
      <c r="AF646" s="160"/>
      <c r="AG646" s="160"/>
      <c r="AH646" s="160"/>
      <c r="AI646" s="160"/>
      <c r="AJ646" s="179"/>
      <c r="AK646" s="160"/>
      <c r="AL646" s="177"/>
      <c r="AM646" s="177"/>
      <c r="AN646" s="177"/>
      <c r="AO646" s="160"/>
      <c r="AP646" s="160"/>
      <c r="AQ646" s="160"/>
      <c r="AR646" s="160"/>
      <c r="AS646" s="160"/>
      <c r="AT646" s="160"/>
      <c r="AU646" s="160"/>
      <c r="AV646" s="160"/>
      <c r="AW646" s="160">
        <f>IF($AW$438&gt;0,'Assumptions (NG)'!V13*Model!$AW$438*('Assumptions (NG)'!$AV$17*AVERAGE('Assumptions (NG)'!$AS$2:$AU$2)+'Assumptions (NG)'!$AV$18*AVERAGE('Assumptions (NG)'!$AS$3:$AU$3))/10^9,0)</f>
        <v>0.1657907954</v>
      </c>
      <c r="AX646" s="160">
        <f>IF($AW$438&gt;0,'Assumptions (NG)'!W13*Model!$AW$438*('Assumptions (NG)'!$AV$17*AVERAGE('Assumptions (NG)'!$AS$2:$AU$2)+'Assumptions (NG)'!$AV$18*AVERAGE('Assumptions (NG)'!$AS$3:$AU$3))/10^9,0)</f>
        <v>0.3150025114</v>
      </c>
      <c r="AY646" s="160">
        <f>IF($AW$438&gt;0,'Assumptions (NG)'!X13*Model!$AW$438*('Assumptions (NG)'!$AV$17*AVERAGE('Assumptions (NG)'!$AS$2:$AU$2)+'Assumptions (NG)'!$AV$18*AVERAGE('Assumptions (NG)'!$AS$3:$AU$3))/10^9,0)</f>
        <v>0.2835022602</v>
      </c>
      <c r="AZ646" s="160">
        <f>IF($AW$438&gt;0,'Assumptions (NG)'!Y13*Model!$AW$438*('Assumptions (NG)'!$AV$17*AVERAGE('Assumptions (NG)'!$AS$2:$AU$2)+'Assumptions (NG)'!$AV$18*AVERAGE('Assumptions (NG)'!$AS$3:$AU$3))/10^9,0)</f>
        <v>0.255317825</v>
      </c>
      <c r="BA646" s="160">
        <f>IF($AW$438&gt;0,'Assumptions (NG)'!Z13*Model!$AW$438*('Assumptions (NG)'!$AV$17*AVERAGE('Assumptions (NG)'!$AS$2:$AU$2)+'Assumptions (NG)'!$AV$18*AVERAGE('Assumptions (NG)'!$AS$3:$AU$3))/10^9,0)</f>
        <v>0.2297860425</v>
      </c>
      <c r="BB646" s="160">
        <f>IF($AW$438&gt;0,'Assumptions (NG)'!AA13*Model!$AW$438*('Assumptions (NG)'!$AV$17*AVERAGE('Assumptions (NG)'!$AS$2:$AU$2)+'Assumptions (NG)'!$AV$18*AVERAGE('Assumptions (NG)'!$AS$3:$AU$3))/10^9,0)</f>
        <v>0.2065753311</v>
      </c>
      <c r="BC646" s="160">
        <f>IF($AW$438&gt;0,'Assumptions (NG)'!AB13*Model!$AW$438*('Assumptions (NG)'!$AV$17*AVERAGE('Assumptions (NG)'!$AS$2:$AU$2)+'Assumptions (NG)'!$AV$18*AVERAGE('Assumptions (NG)'!$AS$3:$AU$3))/10^9,0)</f>
        <v>0.1956331386</v>
      </c>
      <c r="BD646" s="160">
        <f>IF($AW$438&gt;0,'Assumptions (NG)'!AC13*Model!$AW$438*('Assumptions (NG)'!$AV$17*AVERAGE('Assumptions (NG)'!$AS$2:$AU$2)+'Assumptions (NG)'!$AV$18*AVERAGE('Assumptions (NG)'!$AS$3:$AU$3))/10^9,0)</f>
        <v>0.1956331386</v>
      </c>
      <c r="BE646" s="160">
        <f>IF($AW$438&gt;0,'Assumptions (NG)'!AD13*Model!$AW$438*('Assumptions (NG)'!$AV$17*AVERAGE('Assumptions (NG)'!$AS$2:$AU$2)+'Assumptions (NG)'!$AV$18*AVERAGE('Assumptions (NG)'!$AS$3:$AU$3))/10^9,0)</f>
        <v>0.1959647202</v>
      </c>
      <c r="BF646" s="160">
        <f>IF($AW$438&gt;0,'Assumptions (NG)'!AE13*Model!$AW$438*('Assumptions (NG)'!$AV$17*AVERAGE('Assumptions (NG)'!$AS$2:$AU$2)+'Assumptions (NG)'!$AV$18*AVERAGE('Assumptions (NG)'!$AS$3:$AU$3))/10^9,0)</f>
        <v>0.1956331386</v>
      </c>
      <c r="BG646" s="160">
        <f>IF($AW$438&gt;0,'Assumptions (NG)'!AF13*Model!$AW$438*('Assumptions (NG)'!$AV$17*AVERAGE('Assumptions (NG)'!$AS$2:$AU$2)+'Assumptions (NG)'!$AV$18*AVERAGE('Assumptions (NG)'!$AS$3:$AU$3))/10^9,0)</f>
        <v>0.1959647202</v>
      </c>
      <c r="BH646" s="160">
        <f>IF($AW$438&gt;0,'Assumptions (NG)'!AG13*Model!$AW$438*('Assumptions (NG)'!$AV$17*AVERAGE('Assumptions (NG)'!$AS$2:$AU$2)+'Assumptions (NG)'!$AV$18*AVERAGE('Assumptions (NG)'!$AS$3:$AU$3))/10^9,0)</f>
        <v>0.1956331386</v>
      </c>
      <c r="BI646" s="160">
        <f>IF($AW$438&gt;0,'Assumptions (NG)'!AH13*Model!$AW$438*('Assumptions (NG)'!$AV$17*AVERAGE('Assumptions (NG)'!$AS$2:$AU$2)+'Assumptions (NG)'!$AV$18*AVERAGE('Assumptions (NG)'!$AS$3:$AU$3))/10^9,0)</f>
        <v>0.1959647202</v>
      </c>
      <c r="BJ646" s="160">
        <f>IF($AW$438&gt;0,'Assumptions (NG)'!AI13*Model!$AW$438*('Assumptions (NG)'!$AV$17*AVERAGE('Assumptions (NG)'!$AS$2:$AU$2)+'Assumptions (NG)'!$AV$18*AVERAGE('Assumptions (NG)'!$AS$3:$AU$3))/10^9,0)</f>
        <v>0.1956331386</v>
      </c>
      <c r="BK646" s="160">
        <f>IF($AW$438&gt;0,'Assumptions (NG)'!AJ13*Model!$AW$438*('Assumptions (NG)'!$AV$17*AVERAGE('Assumptions (NG)'!$AS$2:$AU$2)+'Assumptions (NG)'!$AV$18*AVERAGE('Assumptions (NG)'!$AS$3:$AU$3))/10^9,0)</f>
        <v>0.1959647202</v>
      </c>
      <c r="BL646" s="160">
        <f>IF($AW$438&gt;0,'Assumptions (NG)'!AK13*Model!$AW$438*('Assumptions (NG)'!$AV$17*AVERAGE('Assumptions (NG)'!$AS$2:$AU$2)+'Assumptions (NG)'!$AV$18*AVERAGE('Assumptions (NG)'!$AS$3:$AU$3))/10^9,0)</f>
        <v>0.09781656931</v>
      </c>
      <c r="BM646" s="160"/>
      <c r="BN646" s="160"/>
      <c r="BO646" s="160"/>
      <c r="BP646" s="160"/>
      <c r="BQ646" s="160"/>
      <c r="BR646" s="160"/>
      <c r="BS646" s="160"/>
      <c r="BT646" s="160"/>
      <c r="BU646" s="160"/>
    </row>
    <row r="647" ht="15.75" hidden="1" customHeight="1" outlineLevel="1">
      <c r="A647" s="209"/>
      <c r="B647" s="38"/>
      <c r="C647" s="174"/>
      <c r="D647" s="174"/>
      <c r="E647" s="174"/>
      <c r="F647" s="174"/>
      <c r="G647" s="174"/>
      <c r="H647" s="174"/>
      <c r="I647" s="174"/>
      <c r="J647" s="174"/>
      <c r="K647" s="174"/>
      <c r="L647" s="174"/>
      <c r="M647" s="174"/>
      <c r="N647" s="174"/>
      <c r="O647" s="174"/>
      <c r="P647" s="174"/>
      <c r="Q647" s="174"/>
      <c r="R647" s="174"/>
      <c r="S647" s="174"/>
      <c r="T647" s="174"/>
      <c r="U647" s="174"/>
      <c r="V647" s="174"/>
      <c r="W647" s="160"/>
      <c r="X647" s="160"/>
      <c r="Y647" s="160"/>
      <c r="Z647" s="160"/>
      <c r="AA647" s="160"/>
      <c r="AB647" s="160"/>
      <c r="AC647" s="160"/>
      <c r="AD647" s="160"/>
      <c r="AE647" s="160"/>
      <c r="AF647" s="160"/>
      <c r="AG647" s="160"/>
      <c r="AH647" s="160"/>
      <c r="AI647" s="160"/>
      <c r="AJ647" s="179"/>
      <c r="AK647" s="160"/>
      <c r="AL647" s="177"/>
      <c r="AM647" s="177"/>
      <c r="AN647" s="177"/>
      <c r="AO647" s="160"/>
      <c r="AP647" s="160"/>
      <c r="AQ647" s="160"/>
      <c r="AR647" s="160"/>
      <c r="AS647" s="160"/>
      <c r="AT647" s="160"/>
      <c r="AU647" s="160"/>
      <c r="AV647" s="160"/>
      <c r="AW647" s="160"/>
      <c r="AX647" s="160">
        <f>IF($AX$438&gt;0,'Assumptions (NG)'!V13*Model!$AX$438*('Assumptions (NG)'!$AW$17*AVERAGE('Assumptions (NG)'!$AT$2:$AV$2)+'Assumptions (NG)'!$AW$18*AVERAGE('Assumptions (NG)'!$AT$3:$AV$3))/10^9,0)</f>
        <v>0.2299865192</v>
      </c>
      <c r="AY647" s="160">
        <f>IF($AX$438&gt;0,'Assumptions (NG)'!W13*Model!$AX$438*('Assumptions (NG)'!$AW$17*AVERAGE('Assumptions (NG)'!$AT$2:$AV$2)+'Assumptions (NG)'!$AW$18*AVERAGE('Assumptions (NG)'!$AT$3:$AV$3))/10^9,0)</f>
        <v>0.4369743864</v>
      </c>
      <c r="AZ647" s="160">
        <f>IF($AX$438&gt;0,'Assumptions (NG)'!X13*Model!$AX$438*('Assumptions (NG)'!$AW$17*AVERAGE('Assumptions (NG)'!$AT$2:$AV$2)+'Assumptions (NG)'!$AW$18*AVERAGE('Assumptions (NG)'!$AT$3:$AV$3))/10^9,0)</f>
        <v>0.3932769478</v>
      </c>
      <c r="BA647" s="160">
        <f>IF($AX$438&gt;0,'Assumptions (NG)'!Y13*Model!$AX$438*('Assumptions (NG)'!$AW$17*AVERAGE('Assumptions (NG)'!$AT$2:$AV$2)+'Assumptions (NG)'!$AW$18*AVERAGE('Assumptions (NG)'!$AT$3:$AV$3))/10^9,0)</f>
        <v>0.3541792395</v>
      </c>
      <c r="BB647" s="160">
        <f>IF($AX$438&gt;0,'Assumptions (NG)'!Z13*Model!$AX$438*('Assumptions (NG)'!$AW$17*AVERAGE('Assumptions (NG)'!$AT$2:$AV$2)+'Assumptions (NG)'!$AW$18*AVERAGE('Assumptions (NG)'!$AT$3:$AV$3))/10^9,0)</f>
        <v>0.3187613156</v>
      </c>
      <c r="BC647" s="160">
        <f>IF($AX$438&gt;0,'Assumptions (NG)'!AA13*Model!$AX$438*('Assumptions (NG)'!$AW$17*AVERAGE('Assumptions (NG)'!$AT$2:$AV$2)+'Assumptions (NG)'!$AW$18*AVERAGE('Assumptions (NG)'!$AT$3:$AV$3))/10^9,0)</f>
        <v>0.2865632029</v>
      </c>
      <c r="BD647" s="160">
        <f>IF($AX$438&gt;0,'Assumptions (NG)'!AB13*Model!$AX$438*('Assumptions (NG)'!$AW$17*AVERAGE('Assumptions (NG)'!$AT$2:$AV$2)+'Assumptions (NG)'!$AW$18*AVERAGE('Assumptions (NG)'!$AT$3:$AV$3))/10^9,0)</f>
        <v>0.2713840926</v>
      </c>
      <c r="BE647" s="160">
        <f>IF($AX$438&gt;0,'Assumptions (NG)'!AC13*Model!$AX$438*('Assumptions (NG)'!$AW$17*AVERAGE('Assumptions (NG)'!$AT$2:$AV$2)+'Assumptions (NG)'!$AW$18*AVERAGE('Assumptions (NG)'!$AT$3:$AV$3))/10^9,0)</f>
        <v>0.2713840926</v>
      </c>
      <c r="BF647" s="160">
        <f>IF($AX$438&gt;0,'Assumptions (NG)'!AD13*Model!$AX$438*('Assumptions (NG)'!$AW$17*AVERAGE('Assumptions (NG)'!$AT$2:$AV$2)+'Assumptions (NG)'!$AW$18*AVERAGE('Assumptions (NG)'!$AT$3:$AV$3))/10^9,0)</f>
        <v>0.2718440657</v>
      </c>
      <c r="BG647" s="160">
        <f>IF($AX$438&gt;0,'Assumptions (NG)'!AE13*Model!$AX$438*('Assumptions (NG)'!$AW$17*AVERAGE('Assumptions (NG)'!$AT$2:$AV$2)+'Assumptions (NG)'!$AW$18*AVERAGE('Assumptions (NG)'!$AT$3:$AV$3))/10^9,0)</f>
        <v>0.2713840926</v>
      </c>
      <c r="BH647" s="160">
        <f>IF($AX$438&gt;0,'Assumptions (NG)'!AF13*Model!$AX$438*('Assumptions (NG)'!$AW$17*AVERAGE('Assumptions (NG)'!$AT$2:$AV$2)+'Assumptions (NG)'!$AW$18*AVERAGE('Assumptions (NG)'!$AT$3:$AV$3))/10^9,0)</f>
        <v>0.2718440657</v>
      </c>
      <c r="BI647" s="160">
        <f>IF($AX$438&gt;0,'Assumptions (NG)'!AG13*Model!$AX$438*('Assumptions (NG)'!$AW$17*AVERAGE('Assumptions (NG)'!$AT$2:$AV$2)+'Assumptions (NG)'!$AW$18*AVERAGE('Assumptions (NG)'!$AT$3:$AV$3))/10^9,0)</f>
        <v>0.2713840926</v>
      </c>
      <c r="BJ647" s="160">
        <f>IF($AX$438&gt;0,'Assumptions (NG)'!AH13*Model!$AX$438*('Assumptions (NG)'!$AW$17*AVERAGE('Assumptions (NG)'!$AT$2:$AV$2)+'Assumptions (NG)'!$AW$18*AVERAGE('Assumptions (NG)'!$AT$3:$AV$3))/10^9,0)</f>
        <v>0.2718440657</v>
      </c>
      <c r="BK647" s="160">
        <f>IF($AX$438&gt;0,'Assumptions (NG)'!AI13*Model!$AX$438*('Assumptions (NG)'!$AW$17*AVERAGE('Assumptions (NG)'!$AT$2:$AV$2)+'Assumptions (NG)'!$AW$18*AVERAGE('Assumptions (NG)'!$AT$3:$AV$3))/10^9,0)</f>
        <v>0.2713840926</v>
      </c>
      <c r="BL647" s="160">
        <f>IF($AX$438&gt;0,'Assumptions (NG)'!AJ13*Model!$AX$438*('Assumptions (NG)'!$AW$17*AVERAGE('Assumptions (NG)'!$AT$2:$AV$2)+'Assumptions (NG)'!$AW$18*AVERAGE('Assumptions (NG)'!$AT$3:$AV$3))/10^9,0)</f>
        <v>0.2718440657</v>
      </c>
      <c r="BM647" s="160">
        <f>IF($AX$438&gt;0,'Assumptions (NG)'!AK13*Model!$AX$438*('Assumptions (NG)'!$AW$17*AVERAGE('Assumptions (NG)'!$AT$2:$AV$2)+'Assumptions (NG)'!$AW$18*AVERAGE('Assumptions (NG)'!$AT$3:$AV$3))/10^9,0)</f>
        <v>0.1356920463</v>
      </c>
      <c r="BN647" s="160"/>
      <c r="BO647" s="160"/>
      <c r="BP647" s="160"/>
      <c r="BQ647" s="160"/>
      <c r="BR647" s="160"/>
      <c r="BS647" s="160"/>
      <c r="BT647" s="160"/>
      <c r="BU647" s="160"/>
      <c r="BV647" s="160"/>
    </row>
    <row r="648" ht="15.75" hidden="1" customHeight="1" outlineLevel="1">
      <c r="A648" s="209"/>
      <c r="B648" s="38"/>
      <c r="C648" s="174"/>
      <c r="D648" s="174"/>
      <c r="E648" s="174"/>
      <c r="F648" s="174"/>
      <c r="G648" s="174"/>
      <c r="H648" s="174"/>
      <c r="I648" s="174"/>
      <c r="J648" s="174"/>
      <c r="K648" s="174"/>
      <c r="L648" s="174"/>
      <c r="M648" s="174"/>
      <c r="N648" s="174"/>
      <c r="O648" s="174"/>
      <c r="P648" s="174"/>
      <c r="Q648" s="174"/>
      <c r="R648" s="174"/>
      <c r="S648" s="174"/>
      <c r="T648" s="174"/>
      <c r="U648" s="174"/>
      <c r="V648" s="174"/>
      <c r="W648" s="160"/>
      <c r="X648" s="160"/>
      <c r="Y648" s="160"/>
      <c r="Z648" s="160"/>
      <c r="AA648" s="160"/>
      <c r="AB648" s="160"/>
      <c r="AC648" s="160"/>
      <c r="AD648" s="160"/>
      <c r="AE648" s="160"/>
      <c r="AF648" s="160"/>
      <c r="AG648" s="160"/>
      <c r="AH648" s="160"/>
      <c r="AI648" s="160"/>
      <c r="AJ648" s="179"/>
      <c r="AK648" s="160"/>
      <c r="AL648" s="177"/>
      <c r="AM648" s="177"/>
      <c r="AN648" s="177"/>
      <c r="AO648" s="160"/>
      <c r="AP648" s="160"/>
      <c r="AQ648" s="160"/>
      <c r="AR648" s="160"/>
      <c r="AS648" s="160"/>
      <c r="AT648" s="160"/>
      <c r="AU648" s="160"/>
      <c r="AV648" s="160"/>
      <c r="AW648" s="160"/>
      <c r="AX648" s="160"/>
      <c r="AY648" s="160">
        <f>IF($AY$438&gt;0,'Assumptions (NG)'!V13*Model!$AY$438*('Assumptions (NG)'!$AX$17*AVERAGE('Assumptions (NG)'!$AU$2:$AW$2)+'Assumptions (NG)'!$AX$18*AVERAGE('Assumptions (NG)'!$AU$3:$AW$3))/10^9,0)</f>
        <v>0.4189203475</v>
      </c>
      <c r="AZ648" s="160">
        <f>IF($AY$438&gt;0,'Assumptions (NG)'!W13*Model!$AY$438*('Assumptions (NG)'!$AX$17*AVERAGE('Assumptions (NG)'!$AU$2:$AW$2)+'Assumptions (NG)'!$AX$18*AVERAGE('Assumptions (NG)'!$AU$3:$AW$3))/10^9,0)</f>
        <v>0.7959486602</v>
      </c>
      <c r="BA648" s="160">
        <f>IF($AY$438&gt;0,'Assumptions (NG)'!X13*Model!$AY$438*('Assumptions (NG)'!$AX$17*AVERAGE('Assumptions (NG)'!$AU$2:$AW$2)+'Assumptions (NG)'!$AX$18*AVERAGE('Assumptions (NG)'!$AU$3:$AW$3))/10^9,0)</f>
        <v>0.7163537942</v>
      </c>
      <c r="BB648" s="160">
        <f>IF($AY$438&gt;0,'Assumptions (NG)'!Y13*Model!$AY$438*('Assumptions (NG)'!$AX$17*AVERAGE('Assumptions (NG)'!$AU$2:$AW$2)+'Assumptions (NG)'!$AX$18*AVERAGE('Assumptions (NG)'!$AU$3:$AW$3))/10^9,0)</f>
        <v>0.6451373351</v>
      </c>
      <c r="BC648" s="160">
        <f>IF($AY$438&gt;0,'Assumptions (NG)'!Z13*Model!$AY$438*('Assumptions (NG)'!$AX$17*AVERAGE('Assumptions (NG)'!$AU$2:$AW$2)+'Assumptions (NG)'!$AX$18*AVERAGE('Assumptions (NG)'!$AU$3:$AW$3))/10^9,0)</f>
        <v>0.5806236016</v>
      </c>
      <c r="BD648" s="160">
        <f>IF($AY$438&gt;0,'Assumptions (NG)'!AA13*Model!$AY$438*('Assumptions (NG)'!$AX$17*AVERAGE('Assumptions (NG)'!$AU$2:$AW$2)+'Assumptions (NG)'!$AX$18*AVERAGE('Assumptions (NG)'!$AU$3:$AW$3))/10^9,0)</f>
        <v>0.521974753</v>
      </c>
      <c r="BE648" s="160">
        <f>IF($AY$438&gt;0,'Assumptions (NG)'!AB13*Model!$AY$438*('Assumptions (NG)'!$AX$17*AVERAGE('Assumptions (NG)'!$AU$2:$AW$2)+'Assumptions (NG)'!$AX$18*AVERAGE('Assumptions (NG)'!$AU$3:$AW$3))/10^9,0)</f>
        <v>0.49432601</v>
      </c>
      <c r="BF648" s="160">
        <f>IF($AY$438&gt;0,'Assumptions (NG)'!AC13*Model!$AY$438*('Assumptions (NG)'!$AX$17*AVERAGE('Assumptions (NG)'!$AU$2:$AW$2)+'Assumptions (NG)'!$AX$18*AVERAGE('Assumptions (NG)'!$AU$3:$AW$3))/10^9,0)</f>
        <v>0.49432601</v>
      </c>
      <c r="BG648" s="160">
        <f>IF($AY$438&gt;0,'Assumptions (NG)'!AD13*Model!$AY$438*('Assumptions (NG)'!$AX$17*AVERAGE('Assumptions (NG)'!$AU$2:$AW$2)+'Assumptions (NG)'!$AX$18*AVERAGE('Assumptions (NG)'!$AU$3:$AW$3))/10^9,0)</f>
        <v>0.4951638507</v>
      </c>
      <c r="BH648" s="160">
        <f>IF($AY$438&gt;0,'Assumptions (NG)'!AE13*Model!$AY$438*('Assumptions (NG)'!$AX$17*AVERAGE('Assumptions (NG)'!$AU$2:$AW$2)+'Assumptions (NG)'!$AX$18*AVERAGE('Assumptions (NG)'!$AU$3:$AW$3))/10^9,0)</f>
        <v>0.49432601</v>
      </c>
      <c r="BI648" s="160">
        <f>IF($AY$438&gt;0,'Assumptions (NG)'!AF13*Model!$AY$438*('Assumptions (NG)'!$AX$17*AVERAGE('Assumptions (NG)'!$AU$2:$AW$2)+'Assumptions (NG)'!$AX$18*AVERAGE('Assumptions (NG)'!$AU$3:$AW$3))/10^9,0)</f>
        <v>0.4951638507</v>
      </c>
      <c r="BJ648" s="160">
        <f>IF($AY$438&gt;0,'Assumptions (NG)'!AG13*Model!$AY$438*('Assumptions (NG)'!$AX$17*AVERAGE('Assumptions (NG)'!$AU$2:$AW$2)+'Assumptions (NG)'!$AX$18*AVERAGE('Assumptions (NG)'!$AU$3:$AW$3))/10^9,0)</f>
        <v>0.49432601</v>
      </c>
      <c r="BK648" s="160">
        <f>IF($AY$438&gt;0,'Assumptions (NG)'!AH13*Model!$AY$438*('Assumptions (NG)'!$AX$17*AVERAGE('Assumptions (NG)'!$AU$2:$AW$2)+'Assumptions (NG)'!$AX$18*AVERAGE('Assumptions (NG)'!$AU$3:$AW$3))/10^9,0)</f>
        <v>0.4951638507</v>
      </c>
      <c r="BL648" s="160">
        <f>IF($AY$438&gt;0,'Assumptions (NG)'!AI13*Model!$AY$438*('Assumptions (NG)'!$AX$17*AVERAGE('Assumptions (NG)'!$AU$2:$AW$2)+'Assumptions (NG)'!$AX$18*AVERAGE('Assumptions (NG)'!$AU$3:$AW$3))/10^9,0)</f>
        <v>0.49432601</v>
      </c>
      <c r="BM648" s="160">
        <f>IF($AY$438&gt;0,'Assumptions (NG)'!AJ13*Model!$AY$438*('Assumptions (NG)'!$AX$17*AVERAGE('Assumptions (NG)'!$AU$2:$AW$2)+'Assumptions (NG)'!$AX$18*AVERAGE('Assumptions (NG)'!$AU$3:$AW$3))/10^9,0)</f>
        <v>0.4951638507</v>
      </c>
      <c r="BN648" s="160">
        <f>IF($AY$438&gt;0,'Assumptions (NG)'!AK13*Model!$AY$438*('Assumptions (NG)'!$AX$17*AVERAGE('Assumptions (NG)'!$AU$2:$AW$2)+'Assumptions (NG)'!$AX$18*AVERAGE('Assumptions (NG)'!$AU$3:$AW$3))/10^9,0)</f>
        <v>0.247163005</v>
      </c>
      <c r="BO648" s="160"/>
      <c r="BP648" s="160"/>
      <c r="BQ648" s="160"/>
      <c r="BR648" s="160"/>
      <c r="BS648" s="160"/>
      <c r="BT648" s="160"/>
      <c r="BU648" s="160"/>
      <c r="BV648" s="160"/>
      <c r="BW648" s="160"/>
    </row>
    <row r="649" ht="15.75" hidden="1" customHeight="1" outlineLevel="1">
      <c r="A649" s="209"/>
      <c r="B649" s="38"/>
      <c r="C649" s="174"/>
      <c r="D649" s="174"/>
      <c r="E649" s="174"/>
      <c r="F649" s="174"/>
      <c r="G649" s="174"/>
      <c r="H649" s="174"/>
      <c r="I649" s="174"/>
      <c r="J649" s="174"/>
      <c r="K649" s="174"/>
      <c r="L649" s="174"/>
      <c r="M649" s="174"/>
      <c r="N649" s="174"/>
      <c r="O649" s="174"/>
      <c r="P649" s="174"/>
      <c r="Q649" s="174"/>
      <c r="R649" s="174"/>
      <c r="S649" s="174"/>
      <c r="T649" s="174"/>
      <c r="U649" s="174"/>
      <c r="V649" s="174"/>
      <c r="W649" s="160"/>
      <c r="X649" s="160"/>
      <c r="Y649" s="160"/>
      <c r="Z649" s="160"/>
      <c r="AA649" s="160"/>
      <c r="AB649" s="160"/>
      <c r="AC649" s="160"/>
      <c r="AD649" s="160"/>
      <c r="AE649" s="160"/>
      <c r="AF649" s="160"/>
      <c r="AG649" s="160"/>
      <c r="AH649" s="160"/>
      <c r="AI649" s="160"/>
      <c r="AJ649" s="179"/>
      <c r="AK649" s="160"/>
      <c r="AL649" s="177"/>
      <c r="AM649" s="177"/>
      <c r="AN649" s="177"/>
      <c r="AO649" s="160"/>
      <c r="AP649" s="160"/>
      <c r="AQ649" s="160"/>
      <c r="AR649" s="160"/>
      <c r="AS649" s="160"/>
      <c r="AT649" s="160"/>
      <c r="AU649" s="160"/>
      <c r="AV649" s="160"/>
      <c r="AW649" s="160"/>
      <c r="AX649" s="160"/>
      <c r="AY649" s="160"/>
      <c r="AZ649" s="160">
        <f>IF($AZ$438&gt;0,'Assumptions (NG)'!V13*Model!$AZ$438*('Assumptions (NG)'!$AY$17*AVERAGE('Assumptions (NG)'!$AV$2:$AX$2)+'Assumptions (NG)'!$AY$18*AVERAGE('Assumptions (NG)'!$AV$3:$AX$3))/10^9,0)</f>
        <v>0.1190848588</v>
      </c>
      <c r="BA649" s="160">
        <f>IF($AZ$438&gt;0,'Assumptions (NG)'!W13*Model!$AZ$438*('Assumptions (NG)'!$AY$17*AVERAGE('Assumptions (NG)'!$AV$2:$AX$2)+'Assumptions (NG)'!$AY$18*AVERAGE('Assumptions (NG)'!$AV$3:$AX$3))/10^9,0)</f>
        <v>0.2262612317</v>
      </c>
      <c r="BB649" s="160">
        <f>IF($AZ$438&gt;0,'Assumptions (NG)'!X13*Model!$AZ$438*('Assumptions (NG)'!$AY$17*AVERAGE('Assumptions (NG)'!$AV$2:$AX$2)+'Assumptions (NG)'!$AY$18*AVERAGE('Assumptions (NG)'!$AV$3:$AX$3))/10^9,0)</f>
        <v>0.2036351085</v>
      </c>
      <c r="BC649" s="160">
        <f>IF($AZ$438&gt;0,'Assumptions (NG)'!Y13*Model!$AZ$438*('Assumptions (NG)'!$AY$17*AVERAGE('Assumptions (NG)'!$AV$2:$AX$2)+'Assumptions (NG)'!$AY$18*AVERAGE('Assumptions (NG)'!$AV$3:$AX$3))/10^9,0)</f>
        <v>0.1833906825</v>
      </c>
      <c r="BD649" s="160">
        <f>IF($AZ$438&gt;0,'Assumptions (NG)'!Z13*Model!$AZ$438*('Assumptions (NG)'!$AY$17*AVERAGE('Assumptions (NG)'!$AV$2:$AX$2)+'Assumptions (NG)'!$AY$18*AVERAGE('Assumptions (NG)'!$AV$3:$AX$3))/10^9,0)</f>
        <v>0.1650516143</v>
      </c>
      <c r="BE649" s="160">
        <f>IF($AZ$438&gt;0,'Assumptions (NG)'!AA13*Model!$AZ$438*('Assumptions (NG)'!$AY$17*AVERAGE('Assumptions (NG)'!$AV$2:$AX$2)+'Assumptions (NG)'!$AY$18*AVERAGE('Assumptions (NG)'!$AV$3:$AX$3))/10^9,0)</f>
        <v>0.148379734</v>
      </c>
      <c r="BF649" s="160">
        <f>IF($AZ$438&gt;0,'Assumptions (NG)'!AB13*Model!$AZ$438*('Assumptions (NG)'!$AY$17*AVERAGE('Assumptions (NG)'!$AV$2:$AX$2)+'Assumptions (NG)'!$AY$18*AVERAGE('Assumptions (NG)'!$AV$3:$AX$3))/10^9,0)</f>
        <v>0.1405201334</v>
      </c>
      <c r="BG649" s="160">
        <f>IF($AZ$438&gt;0,'Assumptions (NG)'!AC13*Model!$AZ$438*('Assumptions (NG)'!$AY$17*AVERAGE('Assumptions (NG)'!$AV$2:$AX$2)+'Assumptions (NG)'!$AY$18*AVERAGE('Assumptions (NG)'!$AV$3:$AX$3))/10^9,0)</f>
        <v>0.1405201334</v>
      </c>
      <c r="BH649" s="160">
        <f>IF($AZ$438&gt;0,'Assumptions (NG)'!AD13*Model!$AZ$438*('Assumptions (NG)'!$AY$17*AVERAGE('Assumptions (NG)'!$AV$2:$AX$2)+'Assumptions (NG)'!$AY$18*AVERAGE('Assumptions (NG)'!$AV$3:$AX$3))/10^9,0)</f>
        <v>0.1407583031</v>
      </c>
      <c r="BI649" s="160">
        <f>IF($AZ$438&gt;0,'Assumptions (NG)'!AE13*Model!$AZ$438*('Assumptions (NG)'!$AY$17*AVERAGE('Assumptions (NG)'!$AV$2:$AX$2)+'Assumptions (NG)'!$AY$18*AVERAGE('Assumptions (NG)'!$AV$3:$AX$3))/10^9,0)</f>
        <v>0.1405201334</v>
      </c>
      <c r="BJ649" s="160">
        <f>IF($AZ$438&gt;0,'Assumptions (NG)'!AF13*Model!$AZ$438*('Assumptions (NG)'!$AY$17*AVERAGE('Assumptions (NG)'!$AV$2:$AX$2)+'Assumptions (NG)'!$AY$18*AVERAGE('Assumptions (NG)'!$AV$3:$AX$3))/10^9,0)</f>
        <v>0.1407583031</v>
      </c>
      <c r="BK649" s="160">
        <f>IF($AZ$438&gt;0,'Assumptions (NG)'!AG13*Model!$AZ$438*('Assumptions (NG)'!$AY$17*AVERAGE('Assumptions (NG)'!$AV$2:$AX$2)+'Assumptions (NG)'!$AY$18*AVERAGE('Assumptions (NG)'!$AV$3:$AX$3))/10^9,0)</f>
        <v>0.1405201334</v>
      </c>
      <c r="BL649" s="160">
        <f>IF($AZ$438&gt;0,'Assumptions (NG)'!AH13*Model!$AZ$438*('Assumptions (NG)'!$AY$17*AVERAGE('Assumptions (NG)'!$AV$2:$AX$2)+'Assumptions (NG)'!$AY$18*AVERAGE('Assumptions (NG)'!$AV$3:$AX$3))/10^9,0)</f>
        <v>0.1407583031</v>
      </c>
      <c r="BM649" s="160">
        <f>IF($AZ$438&gt;0,'Assumptions (NG)'!AI13*Model!$AZ$438*('Assumptions (NG)'!$AY$17*AVERAGE('Assumptions (NG)'!$AV$2:$AX$2)+'Assumptions (NG)'!$AY$18*AVERAGE('Assumptions (NG)'!$AV$3:$AX$3))/10^9,0)</f>
        <v>0.1405201334</v>
      </c>
      <c r="BN649" s="160">
        <f>IF($AZ$438&gt;0,'Assumptions (NG)'!AJ13*Model!$AZ$438*('Assumptions (NG)'!$AY$17*AVERAGE('Assumptions (NG)'!$AV$2:$AX$2)+'Assumptions (NG)'!$AY$18*AVERAGE('Assumptions (NG)'!$AV$3:$AX$3))/10^9,0)</f>
        <v>0.1407583031</v>
      </c>
      <c r="BO649" s="160">
        <f>IF($AZ$438&gt;0,'Assumptions (NG)'!AK13*Model!$AZ$438*('Assumptions (NG)'!$AY$17*AVERAGE('Assumptions (NG)'!$AV$2:$AX$2)+'Assumptions (NG)'!$AY$18*AVERAGE('Assumptions (NG)'!$AV$3:$AX$3))/10^9,0)</f>
        <v>0.07026006668</v>
      </c>
      <c r="BP649" s="160"/>
      <c r="BQ649" s="160"/>
      <c r="BR649" s="160"/>
      <c r="BS649" s="160"/>
      <c r="BT649" s="160"/>
      <c r="BU649" s="160"/>
      <c r="BV649" s="160"/>
      <c r="BW649" s="160"/>
      <c r="BX649" s="160"/>
    </row>
    <row r="650" ht="15.75" hidden="1" customHeight="1" outlineLevel="1">
      <c r="A650" s="209"/>
      <c r="B650" s="38"/>
      <c r="C650" s="174"/>
      <c r="D650" s="174"/>
      <c r="E650" s="174"/>
      <c r="F650" s="174"/>
      <c r="G650" s="174"/>
      <c r="H650" s="174"/>
      <c r="I650" s="174"/>
      <c r="J650" s="174"/>
      <c r="K650" s="174"/>
      <c r="L650" s="174"/>
      <c r="M650" s="174"/>
      <c r="N650" s="174"/>
      <c r="O650" s="174"/>
      <c r="P650" s="174"/>
      <c r="Q650" s="174"/>
      <c r="R650" s="174"/>
      <c r="S650" s="174"/>
      <c r="T650" s="174"/>
      <c r="U650" s="174"/>
      <c r="V650" s="174"/>
      <c r="W650" s="160"/>
      <c r="X650" s="160"/>
      <c r="Y650" s="160"/>
      <c r="Z650" s="160"/>
      <c r="AA650" s="160"/>
      <c r="AB650" s="160"/>
      <c r="AC650" s="160"/>
      <c r="AD650" s="160"/>
      <c r="AE650" s="160"/>
      <c r="AF650" s="160"/>
      <c r="AG650" s="160"/>
      <c r="AH650" s="160"/>
      <c r="AI650" s="160"/>
      <c r="AJ650" s="179"/>
      <c r="AK650" s="160"/>
      <c r="AL650" s="177"/>
      <c r="AM650" s="177"/>
      <c r="AN650" s="177"/>
      <c r="AO650" s="160"/>
      <c r="AP650" s="160"/>
      <c r="AQ650" s="160"/>
      <c r="AR650" s="160"/>
      <c r="AS650" s="160"/>
      <c r="AT650" s="160"/>
      <c r="AU650" s="160"/>
      <c r="AV650" s="160"/>
      <c r="AW650" s="160"/>
      <c r="AX650" s="160"/>
      <c r="AY650" s="160"/>
      <c r="AZ650" s="160"/>
      <c r="BA650" s="160">
        <f>IF($BA$438&gt;0,'Assumptions (NG)'!V13*Model!$BA$438*('Assumptions (NG)'!$AZ$17*AVERAGE('Assumptions (NG)'!$AW$2:$AY$2)+'Assumptions (NG)'!$AZ$18*AVERAGE('Assumptions (NG)'!$AW$3:$AY$3))/10^9,0)</f>
        <v>0.1309656113</v>
      </c>
      <c r="BB650" s="160">
        <f>IF($BA$438&gt;0,'Assumptions (NG)'!W13*Model!$BA$438*('Assumptions (NG)'!$AZ$17*AVERAGE('Assumptions (NG)'!$AW$2:$AY$2)+'Assumptions (NG)'!$AZ$18*AVERAGE('Assumptions (NG)'!$AW$3:$AY$3))/10^9,0)</f>
        <v>0.2488346615</v>
      </c>
      <c r="BC650" s="160">
        <f>IF($BA$438&gt;0,'Assumptions (NG)'!X13*Model!$BA$438*('Assumptions (NG)'!$AZ$17*AVERAGE('Assumptions (NG)'!$AW$2:$AY$2)+'Assumptions (NG)'!$AZ$18*AVERAGE('Assumptions (NG)'!$AW$3:$AY$3))/10^9,0)</f>
        <v>0.2239511953</v>
      </c>
      <c r="BD650" s="160">
        <f>IF($BA$438&gt;0,'Assumptions (NG)'!Y13*Model!$BA$438*('Assumptions (NG)'!$AZ$17*AVERAGE('Assumptions (NG)'!$AW$2:$AY$2)+'Assumptions (NG)'!$AZ$18*AVERAGE('Assumptions (NG)'!$AW$3:$AY$3))/10^9,0)</f>
        <v>0.2016870414</v>
      </c>
      <c r="BE650" s="160">
        <f>IF($BA$438&gt;0,'Assumptions (NG)'!Z13*Model!$BA$438*('Assumptions (NG)'!$AZ$17*AVERAGE('Assumptions (NG)'!$AW$2:$AY$2)+'Assumptions (NG)'!$AZ$18*AVERAGE('Assumptions (NG)'!$AW$3:$AY$3))/10^9,0)</f>
        <v>0.1815183373</v>
      </c>
      <c r="BF650" s="160">
        <f>IF($BA$438&gt;0,'Assumptions (NG)'!AA13*Model!$BA$438*('Assumptions (NG)'!$AZ$17*AVERAGE('Assumptions (NG)'!$AW$2:$AY$2)+'Assumptions (NG)'!$AZ$18*AVERAGE('Assumptions (NG)'!$AW$3:$AY$3))/10^9,0)</f>
        <v>0.1631831517</v>
      </c>
      <c r="BG650" s="160">
        <f>IF($BA$438&gt;0,'Assumptions (NG)'!AB13*Model!$BA$438*('Assumptions (NG)'!$AZ$17*AVERAGE('Assumptions (NG)'!$AW$2:$AY$2)+'Assumptions (NG)'!$AZ$18*AVERAGE('Assumptions (NG)'!$AW$3:$AY$3))/10^9,0)</f>
        <v>0.1545394213</v>
      </c>
      <c r="BH650" s="160">
        <f>IF($BA$438&gt;0,'Assumptions (NG)'!AC13*Model!$BA$438*('Assumptions (NG)'!$AZ$17*AVERAGE('Assumptions (NG)'!$AW$2:$AY$2)+'Assumptions (NG)'!$AZ$18*AVERAGE('Assumptions (NG)'!$AW$3:$AY$3))/10^9,0)</f>
        <v>0.1545394213</v>
      </c>
      <c r="BI650" s="160">
        <f>IF($BA$438&gt;0,'Assumptions (NG)'!AD13*Model!$BA$438*('Assumptions (NG)'!$AZ$17*AVERAGE('Assumptions (NG)'!$AW$2:$AY$2)+'Assumptions (NG)'!$AZ$18*AVERAGE('Assumptions (NG)'!$AW$3:$AY$3))/10^9,0)</f>
        <v>0.1548013525</v>
      </c>
      <c r="BJ650" s="160">
        <f>IF($BA$438&gt;0,'Assumptions (NG)'!AE13*Model!$BA$438*('Assumptions (NG)'!$AZ$17*AVERAGE('Assumptions (NG)'!$AW$2:$AY$2)+'Assumptions (NG)'!$AZ$18*AVERAGE('Assumptions (NG)'!$AW$3:$AY$3))/10^9,0)</f>
        <v>0.1545394213</v>
      </c>
      <c r="BK650" s="160">
        <f>IF($BA$438&gt;0,'Assumptions (NG)'!AF13*Model!$BA$438*('Assumptions (NG)'!$AZ$17*AVERAGE('Assumptions (NG)'!$AW$2:$AY$2)+'Assumptions (NG)'!$AZ$18*AVERAGE('Assumptions (NG)'!$AW$3:$AY$3))/10^9,0)</f>
        <v>0.1548013525</v>
      </c>
      <c r="BL650" s="160">
        <f>IF($BA$438&gt;0,'Assumptions (NG)'!AG13*Model!$BA$438*('Assumptions (NG)'!$AZ$17*AVERAGE('Assumptions (NG)'!$AW$2:$AY$2)+'Assumptions (NG)'!$AZ$18*AVERAGE('Assumptions (NG)'!$AW$3:$AY$3))/10^9,0)</f>
        <v>0.1545394213</v>
      </c>
      <c r="BM650" s="160">
        <f>IF($BA$438&gt;0,'Assumptions (NG)'!AH13*Model!$BA$438*('Assumptions (NG)'!$AZ$17*AVERAGE('Assumptions (NG)'!$AW$2:$AY$2)+'Assumptions (NG)'!$AZ$18*AVERAGE('Assumptions (NG)'!$AW$3:$AY$3))/10^9,0)</f>
        <v>0.1548013525</v>
      </c>
      <c r="BN650" s="160">
        <f>IF($BA$438&gt;0,'Assumptions (NG)'!AI13*Model!$BA$438*('Assumptions (NG)'!$AZ$17*AVERAGE('Assumptions (NG)'!$AW$2:$AY$2)+'Assumptions (NG)'!$AZ$18*AVERAGE('Assumptions (NG)'!$AW$3:$AY$3))/10^9,0)</f>
        <v>0.1545394213</v>
      </c>
      <c r="BO650" s="160">
        <f>IF($BA$438&gt;0,'Assumptions (NG)'!AJ13*Model!$BA$438*('Assumptions (NG)'!$AZ$17*AVERAGE('Assumptions (NG)'!$AW$2:$AY$2)+'Assumptions (NG)'!$AZ$18*AVERAGE('Assumptions (NG)'!$AW$3:$AY$3))/10^9,0)</f>
        <v>0.1548013525</v>
      </c>
      <c r="BP650" s="160">
        <f>IF($BA$438&gt;0,'Assumptions (NG)'!AK13*Model!$BA$438*('Assumptions (NG)'!$AZ$17*AVERAGE('Assumptions (NG)'!$AW$2:$AY$2)+'Assumptions (NG)'!$AZ$18*AVERAGE('Assumptions (NG)'!$AW$3:$AY$3))/10^9,0)</f>
        <v>0.07726971066</v>
      </c>
      <c r="BQ650" s="160"/>
      <c r="BR650" s="160"/>
      <c r="BS650" s="160"/>
      <c r="BT650" s="160"/>
      <c r="BU650" s="160"/>
      <c r="BV650" s="160"/>
      <c r="BW650" s="160"/>
      <c r="BX650" s="160"/>
      <c r="BY650" s="160"/>
    </row>
    <row r="651" ht="15.75" customHeight="1" collapsed="1">
      <c r="A651" s="209" t="s">
        <v>62</v>
      </c>
      <c r="B651" s="159" t="s">
        <v>351</v>
      </c>
      <c r="C651" s="160">
        <f>IF(Model!C436+Model!C437-Model!C432-Model!C435-C599+C547&gt;0,(1-'Assumptions (NG)'!B41)*(Model!C436+Model!C437-Model!C432-Model!C435-C599-C547)+C599+C495,Model!C436+Model!C437-Model!C432-Model!C435+C547+C495)</f>
        <v>-0.1822172817</v>
      </c>
      <c r="D651" s="160">
        <f>IF(Model!D436+Model!D437-Model!D432-Model!D435-D599+D547&gt;0,(1-'Assumptions (NG)'!C41)*(Model!D436+Model!D437-Model!D432-Model!D435-D599-D547)+D599+D495,Model!D436+Model!D437-Model!D432-Model!D435+D547+D495)</f>
        <v>-0.3773541593</v>
      </c>
      <c r="E651" s="160">
        <f>IF(Model!E436+Model!E437-Model!E432-Model!E435-E599+E547&gt;0,(1-'Assumptions (NG)'!D41)*(Model!E436+Model!E437-Model!E432-Model!E435-E599-E547)+E599+E495,Model!E436+Model!E437-Model!E432-Model!E435+E547+E495)</f>
        <v>-0.4890478459</v>
      </c>
      <c r="F651" s="160">
        <f>IF(Model!F436+Model!F437-Model!F432-Model!F435-F599+F547&gt;0,(1-'Assumptions (NG)'!E41)*(Model!F436+Model!F437-Model!F432-Model!F435-F599-F547)+F599+F495,Model!F436+Model!F437-Model!F432-Model!F435+F547+F495)</f>
        <v>-1.908018164</v>
      </c>
      <c r="G651" s="160">
        <f>IF(Model!G436+Model!G437-Model!G432-Model!G435-G599+G547&gt;0,(1-'Assumptions (NG)'!F41)*(Model!G436+Model!G437-Model!G432-Model!G435-G599-G547)+G599+G495,Model!G436+Model!G437-Model!G432-Model!G435+G547+G495)</f>
        <v>-1.86145365</v>
      </c>
      <c r="H651" s="160">
        <f>IF(Model!H436+Model!H437-Model!H432-Model!H435-H599+H547&gt;0,(1-'Assumptions (NG)'!G41)*(Model!H436+Model!H437-Model!H432-Model!H435-H599-H547)+H599+H495,Model!H436+Model!H437-Model!H432-Model!H435+H547+H495)</f>
        <v>-1.880655362</v>
      </c>
      <c r="I651" s="160">
        <f>IF(Model!I436+Model!I437-Model!I432-Model!I435-I599+I547&gt;0,(1-'Assumptions (NG)'!H41)*(Model!I436+Model!I437-Model!I432-Model!I435-I599-I547)+I599+I495,Model!I436+Model!I437-Model!I432-Model!I435+I547+I495)</f>
        <v>-1.651247592</v>
      </c>
      <c r="J651" s="160">
        <f>IF(Model!J436+Model!J437-Model!J432-Model!J435-J599+J547&gt;0,(1-'Assumptions (NG)'!I41)*(Model!J436+Model!J437-Model!J432-Model!J435-J599-J547)+J599+J495,Model!J436+Model!J437-Model!J432-Model!J435+J547+J495)</f>
        <v>1.238535753</v>
      </c>
      <c r="K651" s="160">
        <f>IF(Model!K436+Model!K437-Model!K432-Model!K435-K599+K547&gt;0,(1-'Assumptions (NG)'!J41)*(Model!K436+Model!K437-Model!K432-Model!K435-K599-K547)+K599+K495,Model!K436+Model!K437-Model!K432-Model!K435+K547+K495)</f>
        <v>0.5443985009</v>
      </c>
      <c r="L651" s="160">
        <f>IF(Model!L436+Model!L437-Model!L432-Model!L435-L599+L547&gt;0,(1-'Assumptions (NG)'!K41)*(Model!L436+Model!L437-Model!L432-Model!L435-L599-L547)+L599+L495,Model!L436+Model!L437-Model!L432-Model!L435+L547+L495)</f>
        <v>1.589954046</v>
      </c>
      <c r="M651" s="160">
        <f>IF(Model!M436+Model!M437-Model!M432-Model!M435-M599+M547&gt;0,(1-'Assumptions (NG)'!L41)*(Model!M436+Model!M437-Model!M432-Model!M435-M599-M547)+M599+M495,Model!M436+Model!M437-Model!M432-Model!M435+M547+M495)</f>
        <v>1.667846602</v>
      </c>
      <c r="N651" s="160">
        <f>IF(Model!N436+Model!N437-Model!N432-Model!N435-N599+N547&gt;0,(1-'Assumptions (NG)'!M41)*(Model!N436+Model!N437-Model!N432-Model!N435-N599-N547)+N599+N495,Model!N436+Model!N437-Model!N432-Model!N435+N547+N495)</f>
        <v>2.33546751</v>
      </c>
      <c r="O651" s="160">
        <f>IF(Model!O436+Model!O437-Model!O432-Model!O435-O599+O547&gt;0,(1-'Assumptions (NG)'!N41)*(Model!O436+Model!O437-Model!O432-Model!O435-O599-O547)+O599+O495,Model!O436+Model!O437-Model!O432-Model!O435+O547+O495)</f>
        <v>3.87660683</v>
      </c>
      <c r="P651" s="160">
        <f>IF(Model!P436+Model!P437-Model!P432-Model!P435-P599+P547&gt;0,(1-'Assumptions (NG)'!O41)*(Model!P436+Model!P437-Model!P432-Model!P435-P599-P547)+P599+P495,Model!P436+Model!P437-Model!P432-Model!P435+P547+P495)</f>
        <v>3.923497076</v>
      </c>
      <c r="Q651" s="160">
        <f>IF(Model!Q436+Model!Q437-Model!Q432-Model!Q435-Q599+Q547&gt;0,(1-'Assumptions (NG)'!P41)*(Model!Q436+Model!Q437-Model!Q432-Model!Q435-Q599-Q547)+Q599+Q495,Model!Q436+Model!Q437-Model!Q432-Model!Q435+Q547+Q495)</f>
        <v>4.140213791</v>
      </c>
      <c r="R651" s="160">
        <f>IF(Model!R436+Model!R437-Model!R432-Model!R435-R599+R547&gt;0,(1-'Assumptions (NG)'!Q41)*(Model!R436+Model!R437-Model!R432-Model!R435-R599-R547)+R599+R495,Model!R436+Model!R437-Model!R432-Model!R435+R547+R495)</f>
        <v>5.121999147</v>
      </c>
      <c r="S651" s="160">
        <f>IF(Model!S436+Model!S437-Model!S432-Model!S435-S599+S547&gt;0,(1-'Assumptions (NG)'!R41)*(Model!S436+Model!S437-Model!S432-Model!S435-S599-S547)+S599+S495,Model!S436+Model!S437-Model!S432-Model!S435+S547+S495)</f>
        <v>5.945758509</v>
      </c>
      <c r="T651" s="160">
        <f>IF(Model!T436+Model!T437-Model!T432-Model!T435-T599+T547&gt;0,(1-'Assumptions (NG)'!S41)*(Model!T436+Model!T437-Model!T432-Model!T435-T599-T547)+T599+T495,Model!T436+Model!T437-Model!T432-Model!T435+T547+T495)</f>
        <v>4.758643058</v>
      </c>
      <c r="U651" s="160">
        <f>IF(Model!U436+Model!U437-Model!U432-Model!U435-U599+U547&gt;0,(1-'Assumptions (NG)'!T41)*(Model!U436+Model!U437-Model!U432-Model!U435-U599-U547)+U599+U495,Model!U436+Model!U437-Model!U432-Model!U435+U547+U495)</f>
        <v>6.327066322</v>
      </c>
      <c r="V651" s="160">
        <f>IF(Model!V436+Model!V437-Model!V432-Model!V435-V599+V547&gt;0,(1-'Assumptions (NG)'!U41)*(Model!V436+Model!V437-Model!V432-Model!V435-V599-V547)+V599+V495,Model!V436+Model!V437-Model!V432-Model!V435+V547+V495)</f>
        <v>6.942679933</v>
      </c>
      <c r="W651" s="160">
        <f>IF(Model!W436+Model!W437-Model!W432-Model!W435-W599+W547&gt;0,(1-'Assumptions (NG)'!V41)*(Model!W436+Model!W437-Model!W432-Model!W435-W599-W547)+W599+W495,Model!W436+Model!W437-Model!W432-Model!W435+W547+W495)</f>
        <v>7.359703131</v>
      </c>
      <c r="X651" s="160">
        <f>IF(Model!X436+Model!X437-Model!X432-Model!X435-X599+X547&gt;0,(1-'Assumptions (NG)'!W41)*(Model!X436+Model!X437-Model!X432-Model!X435-X599-X547)+X599+X495,Model!X436+Model!X437-Model!X432-Model!X435+X547+X495)</f>
        <v>7.54348384</v>
      </c>
      <c r="Y651" s="160">
        <f>IF(Model!Y436+Model!Y437-Model!Y432-Model!Y435-Y599+Y547&gt;0,(1-'Assumptions (NG)'!X41)*(Model!Y436+Model!Y437-Model!Y432-Model!Y435-Y599-Y547)+Y599+Y495,Model!Y436+Model!Y437-Model!Y432-Model!Y435+Y547+Y495)</f>
        <v>8.562907446</v>
      </c>
      <c r="Z651" s="160">
        <f>IF(Model!Z436+Model!Z437-Model!Z432-Model!Z435-Z599+Z547&gt;0,(1-'Assumptions (NG)'!Y41)*(Model!Z436+Model!Z437-Model!Z432-Model!Z435-Z599-Z547)+Z599+Z495,Model!Z436+Model!Z437-Model!Z432-Model!Z435+Z547+Z495)</f>
        <v>8.701911393</v>
      </c>
      <c r="AA651" s="160">
        <f>IF(Model!AA436+Model!AA437-Model!AA432-Model!AA435-AA599+AA547&gt;0,(1-'Assumptions (NG)'!Z41)*(Model!AA436+Model!AA437-Model!AA432-Model!AA435-AA599-AA547)+AA599+AA495,Model!AA436+Model!AA437-Model!AA432-Model!AA435+AA547+AA495)</f>
        <v>8.80942742</v>
      </c>
      <c r="AB651" s="160">
        <f>IF(Model!AB436+Model!AB437-Model!AB432-Model!AB435-AB599+AB547&gt;0,(1-'Assumptions (NG)'!AA41)*(Model!AB436+Model!AB437-Model!AB432-Model!AB435-AB599-AB547)+AB599+AB495,Model!AB436+Model!AB437-Model!AB432-Model!AB435+AB547+AB495)</f>
        <v>8.933936401</v>
      </c>
      <c r="AC651" s="160">
        <f>IF(Model!AC436+Model!AC437-Model!AC432-Model!AC435-AC599+AC547&gt;0,(1-'Assumptions (NG)'!AB41)*(Model!AC436+Model!AC437-Model!AC432-Model!AC435-AC599-AC547)+AC599+AC495,Model!AC436+Model!AC437-Model!AC432-Model!AC435+AC547+AC495)</f>
        <v>9.165487879</v>
      </c>
      <c r="AD651" s="160">
        <f>IF(Model!AD436+Model!AD437-Model!AD432-Model!AD435-AD599+AD547&gt;0,(1-'Assumptions (NG)'!AC41)*(Model!AD436+Model!AD437-Model!AD432-Model!AD435-AD599-AD547)+AD599+AD495,Model!AD436+Model!AD437-Model!AD432-Model!AD435+AD547+AD495)</f>
        <v>9.528574514</v>
      </c>
      <c r="AE651" s="160">
        <f>IF(Model!AE436+Model!AE437-Model!AE432-Model!AE435-AE599+AE547&gt;0,(1-'Assumptions (NG)'!AD41)*(Model!AE436+Model!AE437-Model!AE432-Model!AE435-AE599-AE547)+AE599+AE495,Model!AE436+Model!AE437-Model!AE432-Model!AE435+AE547+AE495)</f>
        <v>9.8926275</v>
      </c>
      <c r="AF651" s="160">
        <f>IF(Model!AF436+Model!AF437-Model!AF432-Model!AF435-AF599+AF547&gt;0,(1-'Assumptions (NG)'!AE41)*(Model!AF436+Model!AF437-Model!AF432-Model!AF435-AF599-AF547)+AF599+AF495,Model!AF436+Model!AF437-Model!AF432-Model!AF435+AF547+AF495)</f>
        <v>10.43067805</v>
      </c>
      <c r="AG651" s="160">
        <f>IF(Model!AG436+Model!AG437-Model!AG432-Model!AG435-AG599+AG547&gt;0,(1-'Assumptions (NG)'!AF41)*(Model!AG436+Model!AG437-Model!AG432-Model!AG435-AG599-AG547)+AG599+AG495,Model!AG436+Model!AG437-Model!AG432-Model!AG435+AG547+AG495)</f>
        <v>10.64153661</v>
      </c>
      <c r="AH651" s="160">
        <f>IF(Model!AH436+Model!AH437-Model!AH432-Model!AH435-AH599+AH547&gt;0,(1-'Assumptions (NG)'!AG41)*(Model!AH436+Model!AH437-Model!AH432-Model!AH435-AH599-AH547)+AH599+AH495,Model!AH436+Model!AH437-Model!AH432-Model!AH435+AH547+AH495)</f>
        <v>11.50621942</v>
      </c>
      <c r="AI651" s="160">
        <f>IF(Model!AI436+Model!AI437-Model!AI432-Model!AI435-AI599+AI547&gt;0,(1-'Assumptions (NG)'!AH41)*(Model!AI436+Model!AI437-Model!AI432-Model!AI435-AI599-AI547)+AI599+AI495,Model!AI436+Model!AI437-Model!AI432-Model!AI435+AI547+AI495)</f>
        <v>11.69797312</v>
      </c>
      <c r="AJ651" s="160">
        <f>IF(Model!AJ436+Model!AJ437-Model!AJ432-Model!AJ435-AJ599+AJ547&gt;0,(1-'Assumptions (NG)'!AI41)*(Model!AJ436+Model!AJ437-Model!AJ432-Model!AJ435-AJ599-AJ547)+AJ599+AJ495,Model!AJ436+Model!AJ437-Model!AJ432-Model!AJ435+AJ547+AJ495)</f>
        <v>11.98308157</v>
      </c>
      <c r="AK651" s="160">
        <f>IF(Model!AK436+Model!AK437-Model!AK432-Model!AK435-AK599+AK547&gt;0,(1-'Assumptions (NG)'!AJ41)*(Model!AK436+Model!AK437-Model!AK432-Model!AK435-AK599-AK547)+AK599+AK495,Model!AK436+Model!AK437-Model!AK432-Model!AK435+AK547+AK495)</f>
        <v>12.34238322</v>
      </c>
      <c r="AL651" s="160">
        <f>IF(Model!AL436+Model!AL437-Model!AL432-Model!AL435-AL599+AL547&gt;0,(1-'Assumptions (NG)'!AK41)*(Model!AL436+Model!AL437-Model!AL432-Model!AL435-AL599-AL547)+AL599+AL495,Model!AL436+Model!AL437-Model!AL432-Model!AL435+AL547+AL495)</f>
        <v>12.89552856</v>
      </c>
      <c r="AM651" s="160">
        <f>IF(Model!AM436+Model!AM437-Model!AM432-Model!AM435-AM599+AM547&gt;0,(1-'Assumptions (NG)'!AL41)*(Model!AM436+Model!AM437-Model!AM432-Model!AM435-AM599-AM547)+AM599+AM495,Model!AM436+Model!AM437-Model!AM432-Model!AM435+AM547+AM495)</f>
        <v>13.29761426</v>
      </c>
      <c r="AN651" s="160">
        <f>IF(Model!AN436+Model!AN437-Model!AN432-Model!AN435-AN599+AN547&gt;0,(1-'Assumptions (NG)'!AM41)*(Model!AN436+Model!AN437-Model!AN432-Model!AN435-AN599-AN547)+AN599+AN495,Model!AN436+Model!AN437-Model!AN432-Model!AN435+AN547+AN495)</f>
        <v>13.77891153</v>
      </c>
      <c r="AO651" s="160">
        <f>IF(Model!AO436+Model!AO437-Model!AO432-Model!AO435-AO599+AO547&gt;0,(1-'Assumptions (NG)'!AN41)*(Model!AO436+Model!AO437-Model!AO432-Model!AO435-AO599-AO547)+AO599+AO495,Model!AO436+Model!AO437-Model!AO432-Model!AO435+AO547+AO495)</f>
        <v>14.33705779</v>
      </c>
      <c r="AP651" s="160">
        <f>IF(Model!AP436+Model!AP437-Model!AP432-Model!AP435-AP599+AP547&gt;0,(1-'Assumptions (NG)'!AO41)*(Model!AP436+Model!AP437-Model!AP432-Model!AP435-AP599-AP547)+AP599+AP495,Model!AP436+Model!AP437-Model!AP432-Model!AP435+AP547+AP495)</f>
        <v>14.85693193</v>
      </c>
      <c r="AQ651" s="160">
        <f>IF(Model!AQ436+Model!AQ437-Model!AQ432-Model!AQ435-AQ599+AQ547&gt;0,(1-'Assumptions (NG)'!AP41)*(Model!AQ436+Model!AQ437-Model!AQ432-Model!AQ435-AQ599-AQ547)+AQ599+AQ495,Model!AQ436+Model!AQ437-Model!AQ432-Model!AQ435+AQ547+AQ495)</f>
        <v>15.18201816</v>
      </c>
      <c r="AR651" s="160">
        <f>IF(Model!AR436+Model!AR437-Model!AR432-Model!AR435-AR599+AR547&gt;0,(1-'Assumptions (NG)'!AQ41)*(Model!AR436+Model!AR437-Model!AR432-Model!AR435-AR599-AR547)+AR599+AR495,Model!AR436+Model!AR437-Model!AR432-Model!AR435+AR547+AR495)</f>
        <v>15.48505459</v>
      </c>
      <c r="AS651" s="160">
        <f>IF(Model!AS436+Model!AS437-Model!AS432-Model!AS435-AS599+AS547&gt;0,(1-'Assumptions (NG)'!AR41)*(Model!AS436+Model!AS437-Model!AS432-Model!AS435-AS599-AS547)+AS599+AS495,Model!AS436+Model!AS437-Model!AS432-Model!AS435+AS547+AS495)</f>
        <v>15.66692772</v>
      </c>
      <c r="AT651" s="160">
        <f>IF(Model!AT436+Model!AT437-Model!AT432-Model!AT435-AT599+AT547&gt;0,(1-'Assumptions (NG)'!AS41)*(Model!AT436+Model!AT437-Model!AT432-Model!AT435-AT599-AT547)+AT599+AT495,Model!AT436+Model!AT437-Model!AT432-Model!AT435+AT547+AT495)</f>
        <v>15.83553983</v>
      </c>
      <c r="AU651" s="160">
        <f>IF(Model!AU436+Model!AU437-Model!AU432-Model!AU435-AU599+AU547&gt;0,(1-'Assumptions (NG)'!AT41)*(Model!AU436+Model!AU437-Model!AU432-Model!AU435-AU599-AU547)+AU599+AU495,Model!AU436+Model!AU437-Model!AU432-Model!AU435+AU547+AU495)</f>
        <v>15.98056258</v>
      </c>
      <c r="AV651" s="160">
        <f>IF(Model!AV436+Model!AV437-Model!AV432-Model!AV435-AV599+AV547&gt;0,(1-'Assumptions (NG)'!AU41)*(Model!AV436+Model!AV437-Model!AV432-Model!AV435-AV599-AV547)+AV599+AV495,Model!AV436+Model!AV437-Model!AV432-Model!AV435+AV547+AV495)</f>
        <v>16.16672247</v>
      </c>
      <c r="AW651" s="160">
        <f>IF(Model!AW436+Model!AW437-Model!AW432-Model!AW435-AW599+AW547&gt;0,(1-'Assumptions (NG)'!AV41)*(Model!AW436+Model!AW437-Model!AW432-Model!AW435-AW599-AW547)+AW599+AW495,Model!AW436+Model!AW437-Model!AW432-Model!AW435+AW547+AW495)</f>
        <v>16.60147996</v>
      </c>
      <c r="AX651" s="160">
        <f>IF(Model!AX436+Model!AX437-Model!AX432-Model!AX435-AX599+AX547&gt;0,(1-'Assumptions (NG)'!AW41)*(Model!AX436+Model!AX437-Model!AX432-Model!AX435-AX599-AX547)+AX599+AX495,Model!AX436+Model!AX437-Model!AX432-Model!AX435+AX547+AX495)</f>
        <v>17.25002419</v>
      </c>
      <c r="AY651" s="160">
        <f>IF(Model!AY436+Model!AY437-Model!AY432-Model!AY435-AY599+AY547&gt;0,(1-'Assumptions (NG)'!AX41)*(Model!AY436+Model!AY437-Model!AY432-Model!AY435-AY599-AY547)+AY599+AY495,Model!AY436+Model!AY437-Model!AY432-Model!AY435+AY547+AY495)</f>
        <v>18.7999546</v>
      </c>
      <c r="AZ651" s="160">
        <f>IF(Model!AZ436+Model!AZ437-Model!AZ432-Model!AZ435-AZ599+AZ547&gt;0,(1-'Assumptions (NG)'!AY41)*(Model!AZ436+Model!AZ437-Model!AZ432-Model!AZ435-AZ599-AZ547)+AZ599+AZ495,Model!AZ436+Model!AZ437-Model!AZ432-Model!AZ435+AZ547+AZ495)</f>
        <v>20.51506764</v>
      </c>
      <c r="BA651" s="160">
        <f>IF(Model!BA436+Model!BA437-Model!BA432-Model!BA435-BA599+BA547&gt;0,(1-'Assumptions (NG)'!AZ41)*(Model!BA436+Model!BA437-Model!BA432-Model!BA435-BA599-BA547)+BA599+BA495,Model!BA436+Model!BA437-Model!BA432-Model!BA435+BA547+BA495)</f>
        <v>21.01886129</v>
      </c>
      <c r="BB651" s="160"/>
      <c r="BC651" s="160"/>
      <c r="BD651" s="160"/>
      <c r="BE651" s="160"/>
      <c r="BF651" s="160"/>
      <c r="BG651" s="160"/>
      <c r="BH651" s="160"/>
      <c r="BI651" s="160"/>
      <c r="BJ651" s="160"/>
      <c r="BK651" s="160"/>
      <c r="BL651" s="160"/>
      <c r="BM651" s="160"/>
      <c r="BN651" s="160"/>
      <c r="BO651" s="160"/>
      <c r="BP651" s="160"/>
      <c r="BQ651" s="160"/>
      <c r="BR651" s="160"/>
      <c r="BS651" s="160"/>
      <c r="BT651" s="160"/>
      <c r="BU651" s="160"/>
      <c r="BV651" s="160"/>
      <c r="BW651" s="160"/>
      <c r="BX651" s="160"/>
      <c r="BY651" s="160"/>
    </row>
    <row r="652" ht="15.75" customHeight="1">
      <c r="A652" s="209" t="s">
        <v>64</v>
      </c>
      <c r="B652" s="159" t="s">
        <v>351</v>
      </c>
      <c r="C652" s="160">
        <f>IF(Model!C436+Model!C437-Model!C432-Model!C435-C599+C547&gt;0,'Assumptions (NG)'!B41*(Model!C436+Model!C437-Model!C432-Model!C435-C599+C547)-'Assumptions (NG)'!B42*Model!C428/10^3,-'Assumptions (NG)'!B42*Model!C428/10^3)</f>
        <v>-0.01813136747</v>
      </c>
      <c r="D652" s="160">
        <f>IF(Model!D436+Model!D437-Model!D432-Model!D435-D599+D547&gt;0,'Assumptions (NG)'!C41*(Model!D436+Model!D437-Model!D432-Model!D435-D599+D547)-'Assumptions (NG)'!C42*Model!D428/10^3,-'Assumptions (NG)'!C42*Model!D428/10^3)</f>
        <v>-0.03061162031</v>
      </c>
      <c r="E652" s="160">
        <f>IF(Model!E436+Model!E437-Model!E432-Model!E435-E599+E547&gt;0,'Assumptions (NG)'!D41*(Model!E436+Model!E437-Model!E432-Model!E435-E599+E547)-'Assumptions (NG)'!D42*Model!E428/10^3,-'Assumptions (NG)'!D42*Model!E428/10^3)</f>
        <v>-0.04298110375</v>
      </c>
      <c r="F652" s="160">
        <f>IF(Model!F436+Model!F437-Model!F432-Model!F435-F599+F547&gt;0,'Assumptions (NG)'!E41*(Model!F436+Model!F437-Model!F432-Model!F435-F599+F547)-'Assumptions (NG)'!E42*Model!F428/10^3,-'Assumptions (NG)'!E42*Model!F428/10^3)</f>
        <v>-0.02658248173</v>
      </c>
      <c r="G652" s="160">
        <f>IF(Model!G436+Model!G437-Model!G432-Model!G435-G599+G547&gt;0,'Assumptions (NG)'!F41*(Model!G436+Model!G437-Model!G432-Model!G435-G599+G547)-'Assumptions (NG)'!F42*Model!G428/10^3,-'Assumptions (NG)'!F42*Model!G428/10^3)</f>
        <v>-0.03593307004</v>
      </c>
      <c r="H652" s="160">
        <f>IF(Model!H436+Model!H437-Model!H432-Model!H435-H599+H547&gt;0,'Assumptions (NG)'!G41*(Model!H436+Model!H437-Model!H432-Model!H435-H599+H547)-'Assumptions (NG)'!G42*Model!H428/10^3,-'Assumptions (NG)'!G42*Model!H428/10^3)</f>
        <v>-0.04281369564</v>
      </c>
      <c r="I652" s="160">
        <f>IF(Model!I436+Model!I437-Model!I432-Model!I435-I599+I547&gt;0,'Assumptions (NG)'!H41*(Model!I436+Model!I437-Model!I432-Model!I435-I599+I547)-'Assumptions (NG)'!H42*Model!I428/10^3,-'Assumptions (NG)'!H42*Model!I428/10^3)</f>
        <v>-0.05162139463</v>
      </c>
      <c r="J652" s="160">
        <f>IF(Model!J436+Model!J437-Model!J432-Model!J435-J599+J547&gt;0,'Assumptions (NG)'!I41*(Model!J436+Model!J437-Model!J432-Model!J435-J599+J547)-'Assumptions (NG)'!I42*Model!J428/10^3,-'Assumptions (NG)'!I42*Model!J428/10^3)</f>
        <v>0.5687407502</v>
      </c>
      <c r="K652" s="160">
        <f>IF(Model!K436+Model!K437-Model!K432-Model!K435-K599+K547&gt;0,'Assumptions (NG)'!J41*(Model!K436+Model!K437-Model!K432-Model!K435-K599+K547)-'Assumptions (NG)'!J42*Model!K428/10^3,-'Assumptions (NG)'!J42*Model!K428/10^3)</f>
        <v>0.8054718502</v>
      </c>
      <c r="L652" s="160">
        <f>IF(Model!L436+Model!L437-Model!L432-Model!L435-L599+L547&gt;0,'Assumptions (NG)'!K41*(Model!L436+Model!L437-Model!L432-Model!L435-L599+L547)-'Assumptions (NG)'!K42*Model!L428/10^3,-'Assumptions (NG)'!K42*Model!L428/10^3)</f>
        <v>0.9256214685</v>
      </c>
      <c r="M652" s="160">
        <f>IF(Model!M436+Model!M437-Model!M432-Model!M435-M599+M547&gt;0,'Assumptions (NG)'!L41*(Model!M436+Model!M437-Model!M432-Model!M435-M599+M547)-'Assumptions (NG)'!L42*Model!M428/10^3,-'Assumptions (NG)'!L42*Model!M428/10^3)</f>
        <v>0.8972304692</v>
      </c>
      <c r="N652" s="160">
        <f>IF(Model!N436+Model!N437-Model!N432-Model!N435-N599+N547&gt;0,'Assumptions (NG)'!M41*(Model!N436+Model!N437-Model!N432-Model!N435-N599+N547)-'Assumptions (NG)'!M42*Model!N428/10^3,-'Assumptions (NG)'!M42*Model!N428/10^3)</f>
        <v>1.095001094</v>
      </c>
      <c r="O652" s="160">
        <f>IF(Model!O436+Model!O437-Model!O432-Model!O435-O599+O547&gt;0,'Assumptions (NG)'!N41*(Model!O436+Model!O437-Model!O432-Model!O435-O599+O547)-'Assumptions (NG)'!N42*Model!O428/10^3,-'Assumptions (NG)'!N42*Model!O428/10^3)</f>
        <v>1.49680613</v>
      </c>
      <c r="P652" s="160">
        <f>IF(Model!P436+Model!P437-Model!P432-Model!P435-P599+P547&gt;0,'Assumptions (NG)'!O41*(Model!P436+Model!P437-Model!P432-Model!P435-P599+P547)-'Assumptions (NG)'!O42*Model!P428/10^3,-'Assumptions (NG)'!O42*Model!P428/10^3)</f>
        <v>1.181312029</v>
      </c>
      <c r="Q652" s="160">
        <f>IF(Model!Q436+Model!Q437-Model!Q432-Model!Q435-Q599+Q547&gt;0,'Assumptions (NG)'!P41*(Model!Q436+Model!Q437-Model!Q432-Model!Q435-Q599+Q547)-'Assumptions (NG)'!P42*Model!Q428/10^3,-'Assumptions (NG)'!P42*Model!Q428/10^3)</f>
        <v>1.276217806</v>
      </c>
      <c r="R652" s="160">
        <f>IF(Model!R436+Model!R437-Model!R432-Model!R435-R599+R547&gt;0,'Assumptions (NG)'!Q41*(Model!R436+Model!R437-Model!R432-Model!R435-R599+R547)-'Assumptions (NG)'!Q42*Model!R428/10^3,-'Assumptions (NG)'!Q42*Model!R428/10^3)</f>
        <v>1.838190892</v>
      </c>
      <c r="S652" s="160">
        <f>IF(Model!S436+Model!S437-Model!S432-Model!S435-S599+S547&gt;0,'Assumptions (NG)'!R41*(Model!S436+Model!S437-Model!S432-Model!S435-S599+S547)-'Assumptions (NG)'!R42*Model!S428/10^3,-'Assumptions (NG)'!R42*Model!S428/10^3)</f>
        <v>2.404638473</v>
      </c>
      <c r="T652" s="160">
        <f>IF(Model!T436+Model!T437-Model!T432-Model!T435-T599+T547&gt;0,'Assumptions (NG)'!S41*(Model!T436+Model!T437-Model!T432-Model!T435-T599+T547)-'Assumptions (NG)'!S42*Model!T428/10^3,-'Assumptions (NG)'!S42*Model!T428/10^3)</f>
        <v>1.957138744</v>
      </c>
      <c r="U652" s="160">
        <f>IF(Model!U436+Model!U437-Model!U432-Model!U435-U599+U547&gt;0,'Assumptions (NG)'!T41*(Model!U436+Model!U437-Model!U432-Model!U435-U599+U547)-'Assumptions (NG)'!T42*Model!U428/10^3,-'Assumptions (NG)'!T42*Model!U428/10^3)</f>
        <v>1.312986212</v>
      </c>
      <c r="V652" s="160">
        <f>IF(Model!V436+Model!V437-Model!V432-Model!V435-V599+V547&gt;0,'Assumptions (NG)'!U41*(Model!V436+Model!V437-Model!V432-Model!V435-V599+V547)-'Assumptions (NG)'!U42*Model!V428/10^3,-'Assumptions (NG)'!U42*Model!V428/10^3)</f>
        <v>1.54404052</v>
      </c>
      <c r="W652" s="160">
        <f>IF(Model!W436+Model!W437-Model!W432-Model!W435-W599+W547&gt;0,'Assumptions (NG)'!V41*(Model!W436+Model!W437-Model!W432-Model!W435-W599+W547)-'Assumptions (NG)'!V42*Model!W428/10^3,-'Assumptions (NG)'!V42*Model!W428/10^3)</f>
        <v>1.704787704</v>
      </c>
      <c r="X652" s="160">
        <f>IF(Model!X436+Model!X437-Model!X432-Model!X435-X599+X547&gt;0,'Assumptions (NG)'!W41*(Model!X436+Model!X437-Model!X432-Model!X435-X599+X547)-'Assumptions (NG)'!W42*Model!X428/10^3,-'Assumptions (NG)'!W42*Model!X428/10^3)</f>
        <v>1.807793432</v>
      </c>
      <c r="Y652" s="160">
        <f>IF(Model!Y436+Model!Y437-Model!Y432-Model!Y435-Y599+Y547&gt;0,'Assumptions (NG)'!X41*(Model!Y436+Model!Y437-Model!Y432-Model!Y435-Y599+Y547)-'Assumptions (NG)'!X42*Model!Y428/10^3,-'Assumptions (NG)'!X42*Model!Y428/10^3)</f>
        <v>1.989468702</v>
      </c>
      <c r="Z652" s="160">
        <f>IF(Model!Z436+Model!Z437-Model!Z432-Model!Z435-Z599+Z547&gt;0,'Assumptions (NG)'!Y41*(Model!Z436+Model!Z437-Model!Z432-Model!Z435-Z599+Z547)-'Assumptions (NG)'!Y42*Model!Z428/10^3,-'Assumptions (NG)'!Y42*Model!Z428/10^3)</f>
        <v>2.029680177</v>
      </c>
      <c r="AA652" s="160">
        <f>IF(Model!AA436+Model!AA437-Model!AA432-Model!AA435-AA599+AA547&gt;0,'Assumptions (NG)'!Z41*(Model!AA436+Model!AA437-Model!AA432-Model!AA435-AA599+AA547)-'Assumptions (NG)'!Z42*Model!AA428/10^3,-'Assumptions (NG)'!Z42*Model!AA428/10^3)</f>
        <v>2.063040583</v>
      </c>
      <c r="AB652" s="160">
        <f>IF(Model!AB436+Model!AB437-Model!AB432-Model!AB435-AB599+AB547&gt;0,'Assumptions (NG)'!AA41*(Model!AB436+Model!AB437-Model!AB432-Model!AB435-AB599+AB547)-'Assumptions (NG)'!AA42*Model!AB428/10^3,-'Assumptions (NG)'!AA42*Model!AB428/10^3)</f>
        <v>2.141483732</v>
      </c>
      <c r="AC652" s="160">
        <f>IF(Model!AC436+Model!AC437-Model!AC432-Model!AC435-AC599+AC547&gt;0,'Assumptions (NG)'!AB41*(Model!AC436+Model!AC437-Model!AC432-Model!AC435-AC599+AC547)-'Assumptions (NG)'!AB42*Model!AC428/10^3,-'Assumptions (NG)'!AB42*Model!AC428/10^3)</f>
        <v>2.240258732</v>
      </c>
      <c r="AD652" s="160">
        <f>IF(Model!AD436+Model!AD437-Model!AD432-Model!AD435-AD599+AD547&gt;0,'Assumptions (NG)'!AC41*(Model!AD436+Model!AD437-Model!AD432-Model!AD435-AD599+AD547)-'Assumptions (NG)'!AC42*Model!AD428/10^3,-'Assumptions (NG)'!AC42*Model!AD428/10^3)</f>
        <v>2.392283761</v>
      </c>
      <c r="AE652" s="160">
        <f>IF(Model!AE436+Model!AE437-Model!AE432-Model!AE435-AE599+AE547&gt;0,'Assumptions (NG)'!AD41*(Model!AE436+Model!AE437-Model!AE432-Model!AE435-AE599+AE547)-'Assumptions (NG)'!AD42*Model!AE428/10^3,-'Assumptions (NG)'!AD42*Model!AE428/10^3)</f>
        <v>2.474091006</v>
      </c>
      <c r="AF652" s="160">
        <f>IF(Model!AF436+Model!AF437-Model!AF432-Model!AF435-AF599+AF547&gt;0,'Assumptions (NG)'!AE41*(Model!AF436+Model!AF437-Model!AF432-Model!AF435-AF599+AF547)-'Assumptions (NG)'!AE42*Model!AF428/10^3,-'Assumptions (NG)'!AE42*Model!AF428/10^3)</f>
        <v>2.500576366</v>
      </c>
      <c r="AG652" s="160">
        <f>IF(Model!AG436+Model!AG437-Model!AG432-Model!AG435-AG599+AG547&gt;0,'Assumptions (NG)'!AF41*(Model!AG436+Model!AG437-Model!AG432-Model!AG435-AG599+AG547)-'Assumptions (NG)'!AF42*Model!AG428/10^3,-'Assumptions (NG)'!AF42*Model!AG428/10^3)</f>
        <v>2.583130934</v>
      </c>
      <c r="AH652" s="160">
        <f>IF(Model!AH436+Model!AH437-Model!AH432-Model!AH435-AH599+AH547&gt;0,'Assumptions (NG)'!AG41*(Model!AH436+Model!AH437-Model!AH432-Model!AH435-AH599+AH547)-'Assumptions (NG)'!AG42*Model!AH428/10^3,-'Assumptions (NG)'!AG42*Model!AH428/10^3)</f>
        <v>2.689967787</v>
      </c>
      <c r="AI652" s="160">
        <f>IF(Model!AI436+Model!AI437-Model!AI432-Model!AI435-AI599+AI547&gt;0,'Assumptions (NG)'!AH41*(Model!AI436+Model!AI437-Model!AI432-Model!AI435-AI599+AI547)-'Assumptions (NG)'!AH42*Model!AI428/10^3,-'Assumptions (NG)'!AH42*Model!AI428/10^3)</f>
        <v>2.714903613</v>
      </c>
      <c r="AJ652" s="160">
        <f>IF(Model!AJ436+Model!AJ437-Model!AJ432-Model!AJ435-AJ599+AJ547&gt;0,'Assumptions (NG)'!AI41*(Model!AJ436+Model!AJ437-Model!AJ432-Model!AJ435-AJ599+AJ547)-'Assumptions (NG)'!AI42*Model!AJ428/10^3,-'Assumptions (NG)'!AI42*Model!AJ428/10^3)</f>
        <v>2.781154869</v>
      </c>
      <c r="AK652" s="160">
        <f>IF(Model!AK436+Model!AK437-Model!AK432-Model!AK435-AK599+AK547&gt;0,'Assumptions (NG)'!AJ41*(Model!AK436+Model!AK437-Model!AK432-Model!AK435-AK599+AK547)-'Assumptions (NG)'!AJ42*Model!AK428/10^3,-'Assumptions (NG)'!AJ42*Model!AK428/10^3)</f>
        <v>2.85349412</v>
      </c>
      <c r="AL652" s="160">
        <f>IF(Model!AL436+Model!AL437-Model!AL432-Model!AL435-AL599+AL547&gt;0,'Assumptions (NG)'!AK41*(Model!AL436+Model!AL437-Model!AL432-Model!AL435-AL599+AL547)-'Assumptions (NG)'!AK42*Model!AL428/10^3,-'Assumptions (NG)'!AK42*Model!AL428/10^3)</f>
        <v>2.922737549</v>
      </c>
      <c r="AM652" s="160">
        <f>IF(Model!AM436+Model!AM437-Model!AM432-Model!AM435-AM599+AM547&gt;0,'Assumptions (NG)'!AL41*(Model!AM436+Model!AM437-Model!AM432-Model!AM435-AM599+AM547)-'Assumptions (NG)'!AL42*Model!AM428/10^3,-'Assumptions (NG)'!AL42*Model!AM428/10^3)</f>
        <v>2.949999905</v>
      </c>
      <c r="AN652" s="160">
        <f>IF(Model!AN436+Model!AN437-Model!AN432-Model!AN435-AN599+AN547&gt;0,'Assumptions (NG)'!AM41*(Model!AN436+Model!AN437-Model!AN432-Model!AN435-AN599+AN547)-'Assumptions (NG)'!AM42*Model!AN428/10^3,-'Assumptions (NG)'!AM42*Model!AN428/10^3)</f>
        <v>2.95694092</v>
      </c>
      <c r="AO652" s="160">
        <f>IF(Model!AO436+Model!AO437-Model!AO432-Model!AO435-AO599+AO547&gt;0,'Assumptions (NG)'!AN41*(Model!AO436+Model!AO437-Model!AO432-Model!AO435-AO599+AO547)-'Assumptions (NG)'!AN42*Model!AO428/10^3,-'Assumptions (NG)'!AN42*Model!AO428/10^3)</f>
        <v>2.869297728</v>
      </c>
      <c r="AP652" s="160">
        <f>IF(Model!AP436+Model!AP437-Model!AP432-Model!AP435-AP599+AP547&gt;0,'Assumptions (NG)'!AO41*(Model!AP436+Model!AP437-Model!AP432-Model!AP435-AP599+AP547)-'Assumptions (NG)'!AO42*Model!AP428/10^3,-'Assumptions (NG)'!AO42*Model!AP428/10^3)</f>
        <v>2.694480037</v>
      </c>
      <c r="AQ652" s="160">
        <f>IF(Model!AQ436+Model!AQ437-Model!AQ432-Model!AQ435-AQ599+AQ547&gt;0,'Assumptions (NG)'!AP41*(Model!AQ436+Model!AQ437-Model!AQ432-Model!AQ435-AQ599+AQ547)-'Assumptions (NG)'!AP42*Model!AQ428/10^3,-'Assumptions (NG)'!AP42*Model!AQ428/10^3)</f>
        <v>2.674943311</v>
      </c>
      <c r="AR652" s="160">
        <f>IF(Model!AR436+Model!AR437-Model!AR432-Model!AR435-AR599+AR547&gt;0,'Assumptions (NG)'!AQ41*(Model!AR436+Model!AR437-Model!AR432-Model!AR435-AR599+AR547)-'Assumptions (NG)'!AQ42*Model!AR428/10^3,-'Assumptions (NG)'!AQ42*Model!AR428/10^3)</f>
        <v>2.818271577</v>
      </c>
      <c r="AS652" s="160">
        <f>IF(Model!AS436+Model!AS437-Model!AS432-Model!AS435-AS599+AS547&gt;0,'Assumptions (NG)'!AR41*(Model!AS436+Model!AS437-Model!AS432-Model!AS435-AS599+AS547)-'Assumptions (NG)'!AR42*Model!AS428/10^3,-'Assumptions (NG)'!AR42*Model!AS428/10^3)</f>
        <v>2.971324957</v>
      </c>
      <c r="AT652" s="160">
        <f>IF(Model!AT436+Model!AT437-Model!AT432-Model!AT435-AT599+AT547&gt;0,'Assumptions (NG)'!AS41*(Model!AT436+Model!AT437-Model!AT432-Model!AT435-AT599+AT547)-'Assumptions (NG)'!AS42*Model!AT428/10^3,-'Assumptions (NG)'!AS42*Model!AT428/10^3)</f>
        <v>3.157426834</v>
      </c>
      <c r="AU652" s="160">
        <f>IF(Model!AU436+Model!AU437-Model!AU432-Model!AU435-AU599+AU547&gt;0,'Assumptions (NG)'!AT41*(Model!AU436+Model!AU437-Model!AU432-Model!AU435-AU599+AU547)-'Assumptions (NG)'!AT42*Model!AU428/10^3,-'Assumptions (NG)'!AT42*Model!AU428/10^3)</f>
        <v>3.323473875</v>
      </c>
      <c r="AV652" s="160">
        <f>IF(Model!AV436+Model!AV437-Model!AV432-Model!AV435-AV599+AV547&gt;0,'Assumptions (NG)'!AU41*(Model!AV436+Model!AV437-Model!AV432-Model!AV435-AV599+AV547)-'Assumptions (NG)'!AU42*Model!AV428/10^3,-'Assumptions (NG)'!AU42*Model!AV428/10^3)</f>
        <v>3.501858207</v>
      </c>
      <c r="AW652" s="160">
        <f>IF(Model!AW436+Model!AW437-Model!AW432-Model!AW435-AW599+AW547&gt;0,'Assumptions (NG)'!AV41*(Model!AW436+Model!AW437-Model!AW432-Model!AW435-AW599+AW547)-'Assumptions (NG)'!AV42*Model!AW428/10^3,-'Assumptions (NG)'!AV42*Model!AW428/10^3)</f>
        <v>3.629418359</v>
      </c>
      <c r="AX652" s="160">
        <f>IF(Model!AX436+Model!AX437-Model!AX432-Model!AX435-AX599+AX547&gt;0,'Assumptions (NG)'!AW41*(Model!AX436+Model!AX437-Model!AX432-Model!AX435-AX599+AX547)-'Assumptions (NG)'!AW42*Model!AX428/10^3,-'Assumptions (NG)'!AW42*Model!AX428/10^3)</f>
        <v>3.724669009</v>
      </c>
      <c r="AY652" s="160">
        <f>IF(Model!AY436+Model!AY437-Model!AY432-Model!AY435-AY599+AY547&gt;0,'Assumptions (NG)'!AX41*(Model!AY436+Model!AY437-Model!AY432-Model!AY435-AY599+AY547)-'Assumptions (NG)'!AX42*Model!AY428/10^3,-'Assumptions (NG)'!AX42*Model!AY428/10^3)</f>
        <v>3.813313067</v>
      </c>
      <c r="AZ652" s="160">
        <f>IF(Model!AZ436+Model!AZ437-Model!AZ432-Model!AZ435-AZ599+AZ547&gt;0,'Assumptions (NG)'!AY41*(Model!AZ436+Model!AZ437-Model!AZ432-Model!AZ435-AZ599+AZ547)-'Assumptions (NG)'!AY42*Model!AZ428/10^3,-'Assumptions (NG)'!AY42*Model!AZ428/10^3)</f>
        <v>3.957498638</v>
      </c>
      <c r="BA652" s="160">
        <f>IF(Model!BA436+Model!BA437-Model!BA432-Model!BA435-BA599+BA547&gt;0,'Assumptions (NG)'!AZ41*(Model!BA436+Model!BA437-Model!BA432-Model!BA435-BA599+BA547)-'Assumptions (NG)'!AZ42*Model!BA428/10^3,-'Assumptions (NG)'!AZ42*Model!BA428/10^3)</f>
        <v>4.030806418</v>
      </c>
    </row>
    <row r="653" ht="15.75" customHeight="1">
      <c r="A653" s="207" t="s">
        <v>363</v>
      </c>
      <c r="B653" s="150" t="s">
        <v>364</v>
      </c>
      <c r="C653" s="154">
        <f>'Assumptions (NG)'!$V$40*C439/10^9+'Assumptions (NG)'!$V$39*C438/10^9</f>
        <v>0.40991376</v>
      </c>
      <c r="D653" s="154">
        <f>'Assumptions (NG)'!$V$40*D439/10^9+'Assumptions (NG)'!$V$39*D438/10^9</f>
        <v>0.5154452</v>
      </c>
      <c r="E653" s="154">
        <f>'Assumptions (NG)'!$V$40*E439/10^9+'Assumptions (NG)'!$V$39*E438/10^9</f>
        <v>1.12409896</v>
      </c>
      <c r="F653" s="154">
        <f>'Assumptions (NG)'!$V$40*F439/10^9+'Assumptions (NG)'!$V$39*F438/10^9</f>
        <v>1.37148996</v>
      </c>
      <c r="G653" s="154">
        <f>'Assumptions (NG)'!$V$40*G439/10^9+'Assumptions (NG)'!$V$39*G438/10^9</f>
        <v>0.39883988</v>
      </c>
      <c r="H653" s="154">
        <f>'Assumptions (NG)'!$V$40*H439/10^9+'Assumptions (NG)'!$V$39*H438/10^9</f>
        <v>0.2208374</v>
      </c>
      <c r="I653" s="154">
        <f>'Assumptions (NG)'!$V$40*I439/10^9+'Assumptions (NG)'!$V$39*I438/10^9</f>
        <v>0.1366478</v>
      </c>
      <c r="J653" s="154">
        <f>'Assumptions (NG)'!$V$40*J439/10^9+'Assumptions (NG)'!$V$39*J438/10^9</f>
        <v>0.00502044</v>
      </c>
      <c r="K653" s="154">
        <f>'Assumptions (NG)'!$V$40*K439/10^9+'Assumptions (NG)'!$V$39*K438/10^9</f>
        <v>0.110096</v>
      </c>
      <c r="L653" s="154">
        <f>'Assumptions (NG)'!$V$40*L439/10^9+'Assumptions (NG)'!$V$39*L438/10^9</f>
        <v>0.00153884</v>
      </c>
      <c r="M653" s="154">
        <f>'Assumptions (NG)'!$V$40*M439/10^9+'Assumptions (NG)'!$V$39*M438/10^9</f>
        <v>0.23105772</v>
      </c>
      <c r="N653" s="154">
        <f>'Assumptions (NG)'!$V$40*N439/10^9+'Assumptions (NG)'!$V$39*N438/10^9</f>
        <v>0.350624</v>
      </c>
      <c r="O653" s="154">
        <f>'Assumptions (NG)'!$V$40*O439/10^9+'Assumptions (NG)'!$V$39*O438/10^9</f>
        <v>0.71896896</v>
      </c>
      <c r="P653" s="154">
        <f>'Assumptions (NG)'!$V$40*P439/10^9+'Assumptions (NG)'!$V$39*P438/10^9</f>
        <v>0.11718964</v>
      </c>
      <c r="Q653" s="154">
        <f>'Assumptions (NG)'!$V$40*Q439/10^9+'Assumptions (NG)'!$V$39*Q438/10^9</f>
        <v>0.1344136</v>
      </c>
      <c r="R653" s="154">
        <f>'Assumptions (NG)'!$V$40*R439/10^9+'Assumptions (NG)'!$V$39*R438/10^9</f>
        <v>0.00004896</v>
      </c>
      <c r="S653" s="154">
        <f>'Assumptions (NG)'!$V$40*S439/10^9+'Assumptions (NG)'!$V$39*S438/10^9</f>
        <v>0</v>
      </c>
      <c r="T653" s="154">
        <f>'Assumptions (NG)'!$V$40*T439/10^9+'Assumptions (NG)'!$V$39*T438/10^9</f>
        <v>0.00086564</v>
      </c>
      <c r="U653" s="154">
        <f>'Assumptions (NG)'!$V$40*U439/10^9+'Assumptions (NG)'!$V$39*U438/10^9</f>
        <v>0.40988896</v>
      </c>
      <c r="V653" s="154">
        <f>'Assumptions (NG)'!$V$40*V439/10^9+'Assumptions (NG)'!$V$39*V438/10^9</f>
        <v>0</v>
      </c>
      <c r="W653" s="154">
        <f>'Assumptions (NG)'!$V$40*W439/10^9+'Assumptions (NG)'!$V$39*W438/10^9</f>
        <v>0</v>
      </c>
      <c r="X653" s="154">
        <f>'Assumptions (NG)'!$V$40*X439/10^9+'Assumptions (NG)'!$V$39*X438/10^9</f>
        <v>0.2340477432</v>
      </c>
      <c r="Y653" s="154">
        <f>'Assumptions (NG)'!$V$40*Y439/10^9+'Assumptions (NG)'!$V$39*Y438/10^9</f>
        <v>0.1167916632</v>
      </c>
      <c r="Z653" s="154">
        <f>'Assumptions (NG)'!$V$40*Z439/10^9+'Assumptions (NG)'!$V$39*Z438/10^9</f>
        <v>0.1154983032</v>
      </c>
      <c r="AA653" s="154">
        <f>'Assumptions (NG)'!$V$40*AA439/10^9+'Assumptions (NG)'!$V$39*AA438/10^9</f>
        <v>0.1296467032</v>
      </c>
      <c r="AB653" s="154">
        <f>'Assumptions (NG)'!$V$40*AB439/10^9+'Assumptions (NG)'!$V$39*AB438/10^9</f>
        <v>0.1269454232</v>
      </c>
      <c r="AC653" s="154">
        <f>'Assumptions (NG)'!$V$40*AC439/10^9+'Assumptions (NG)'!$V$39*AC438/10^9</f>
        <v>0.1133802529</v>
      </c>
      <c r="AD653" s="154">
        <f>'Assumptions (NG)'!$V$40*AD439/10^9+'Assumptions (NG)'!$V$39*AD438/10^9</f>
        <v>0.1133802529</v>
      </c>
      <c r="AE653" s="154">
        <f>'Assumptions (NG)'!$V$40*AE439/10^9+'Assumptions (NG)'!$V$39*AE438/10^9</f>
        <v>0.1133802529</v>
      </c>
      <c r="AF653" s="154">
        <f>'Assumptions (NG)'!$V$40*AF439/10^9+'Assumptions (NG)'!$V$39*AF438/10^9</f>
        <v>0.1153002529</v>
      </c>
      <c r="AG653" s="154">
        <f>'Assumptions (NG)'!$V$40*AG439/10^9+'Assumptions (NG)'!$V$39*AG438/10^9</f>
        <v>0.1222122529</v>
      </c>
      <c r="AH653" s="154">
        <f>'Assumptions (NG)'!$V$40*AH439/10^9+'Assumptions (NG)'!$V$39*AH438/10^9</f>
        <v>0.1133802529</v>
      </c>
      <c r="AI653" s="154">
        <f>'Assumptions (NG)'!$V$40*AI439/10^9+'Assumptions (NG)'!$V$39*AI438/10^9</f>
        <v>0.1314602529</v>
      </c>
      <c r="AJ653" s="154">
        <f>'Assumptions (NG)'!$V$40*AJ439/10^9+'Assumptions (NG)'!$V$39*AJ438/10^9</f>
        <v>0.1480202529</v>
      </c>
      <c r="AK653" s="154">
        <f>'Assumptions (NG)'!$V$40*AK439/10^9+'Assumptions (NG)'!$V$39*AK438/10^9</f>
        <v>0.1466122529</v>
      </c>
      <c r="AL653" s="154">
        <f>'Assumptions (NG)'!$V$40*AL439/10^9+'Assumptions (NG)'!$V$39*AL438/10^9</f>
        <v>0.1485002529</v>
      </c>
      <c r="AM653" s="154">
        <f>'Assumptions (NG)'!$V$40*AM439/10^9+'Assumptions (NG)'!$V$39*AM438/10^9</f>
        <v>0.4780522529</v>
      </c>
      <c r="AN653" s="154">
        <f>'Assumptions (NG)'!$V$40*AN439/10^9+'Assumptions (NG)'!$V$39*AN438/10^9</f>
        <v>0.5989802529</v>
      </c>
      <c r="AO653" s="154">
        <f>'Assumptions (NG)'!$V$40*AO439/10^9+'Assumptions (NG)'!$V$39*AO438/10^9</f>
        <v>1.212372253</v>
      </c>
      <c r="AP653" s="154">
        <f>'Assumptions (NG)'!$V$40*AP439/10^9+'Assumptions (NG)'!$V$39*AP438/10^9</f>
        <v>1.468484253</v>
      </c>
      <c r="AQ653" s="154">
        <f>'Assumptions (NG)'!$V$40*AQ439/10^9+'Assumptions (NG)'!$V$39*AQ438/10^9</f>
        <v>0.5092682529</v>
      </c>
      <c r="AR653" s="154">
        <f>'Assumptions (NG)'!$V$40*AR439/10^9+'Assumptions (NG)'!$V$39*AR438/10^9</f>
        <v>0.3336362529</v>
      </c>
      <c r="AS653" s="154">
        <f>'Assumptions (NG)'!$V$40*AS439/10^9+'Assumptions (NG)'!$V$39*AS438/10^9</f>
        <v>0.2494602529</v>
      </c>
      <c r="AT653" s="154">
        <f>'Assumptions (NG)'!$V$40*AT439/10^9+'Assumptions (NG)'!$V$39*AT438/10^9</f>
        <v>0.1133802529</v>
      </c>
      <c r="AU653" s="154">
        <f>'Assumptions (NG)'!$V$40*AU439/10^9+'Assumptions (NG)'!$V$39*AU438/10^9</f>
        <v>0.2234762529</v>
      </c>
      <c r="AV653" s="154">
        <f>'Assumptions (NG)'!$V$40*AV439/10^9+'Assumptions (NG)'!$V$39*AV438/10^9</f>
        <v>0.1133802529</v>
      </c>
      <c r="AW653" s="154">
        <f>'Assumptions (NG)'!$V$40*AW439/10^9+'Assumptions (NG)'!$V$39*AW438/10^9</f>
        <v>0.3417322529</v>
      </c>
      <c r="AX653" s="154">
        <f>'Assumptions (NG)'!$V$40*AX439/10^9+'Assumptions (NG)'!$V$39*AX438/10^9</f>
        <v>0.4640042529</v>
      </c>
      <c r="AY653" s="154">
        <f>'Assumptions (NG)'!$V$40*AY439/10^9+'Assumptions (NG)'!$V$39*AY438/10^9</f>
        <v>0.8272682529</v>
      </c>
      <c r="AZ653" s="154">
        <f>'Assumptions (NG)'!$V$40*AZ439/10^9+'Assumptions (NG)'!$V$39*AZ438/10^9</f>
        <v>0.2301802529</v>
      </c>
      <c r="BA653" s="154">
        <f>'Assumptions (NG)'!$V$40*BA439/10^9+'Assumptions (NG)'!$V$39*BA438/10^9</f>
        <v>0.2911367108</v>
      </c>
      <c r="BB653" s="154"/>
      <c r="BC653" s="154"/>
      <c r="BD653" s="154"/>
      <c r="BE653" s="154"/>
      <c r="BF653" s="154"/>
    </row>
    <row r="654" ht="15.75" customHeight="1">
      <c r="A654" s="207" t="s">
        <v>399</v>
      </c>
      <c r="B654" s="150" t="s">
        <v>364</v>
      </c>
      <c r="C654" s="183">
        <f>C434*10^15/'Assumptions (NG)'!$V$34*'Assumptions (NG)'!$V$38/10^6</f>
        <v>9.656484403</v>
      </c>
      <c r="D654" s="183">
        <f>D434*10^15/'Assumptions (NG)'!$V$34*'Assumptions (NG)'!$V$38/10^6</f>
        <v>16.01299533</v>
      </c>
      <c r="E654" s="183">
        <f>E434*10^15/'Assumptions (NG)'!$V$34*'Assumptions (NG)'!$V$38/10^6</f>
        <v>19.87968742</v>
      </c>
      <c r="F654" s="183">
        <f>F434*10^15/'Assumptions (NG)'!$V$34*'Assumptions (NG)'!$V$38/10^6</f>
        <v>12.08749019</v>
      </c>
      <c r="G654" s="183">
        <f>G434*10^15/'Assumptions (NG)'!$V$34*'Assumptions (NG)'!$V$38/10^6</f>
        <v>16.33935597</v>
      </c>
      <c r="H654" s="183">
        <f>H434*10^15/'Assumptions (NG)'!$V$34*'Assumptions (NG)'!$V$38/10^6</f>
        <v>19.46808922</v>
      </c>
      <c r="I654" s="183">
        <f>I434*10^15/'Assumptions (NG)'!$V$34*'Assumptions (NG)'!$V$38/10^6</f>
        <v>23.47309433</v>
      </c>
      <c r="J654" s="183">
        <f>J434*10^15/'Assumptions (NG)'!$V$34*'Assumptions (NG)'!$V$38/10^6</f>
        <v>29.0528077</v>
      </c>
      <c r="K654" s="183">
        <f>K434*10^15/'Assumptions (NG)'!$V$34*'Assumptions (NG)'!$V$38/10^6</f>
        <v>27.20167476</v>
      </c>
      <c r="L654" s="183">
        <f>L434*10^15/'Assumptions (NG)'!$V$34*'Assumptions (NG)'!$V$38/10^6</f>
        <v>36.67994689</v>
      </c>
      <c r="M654" s="183">
        <f>M434*10^15/'Assumptions (NG)'!$V$34*'Assumptions (NG)'!$V$38/10^6</f>
        <v>46.49847882</v>
      </c>
      <c r="N654" s="183">
        <f>N434*10^15/'Assumptions (NG)'!$V$34*'Assumptions (NG)'!$V$38/10^6</f>
        <v>53.34843639</v>
      </c>
      <c r="O654" s="183">
        <f>O434*10^15/'Assumptions (NG)'!$V$34*'Assumptions (NG)'!$V$38/10^6</f>
        <v>72.42868755</v>
      </c>
      <c r="P654" s="183">
        <f>P434*10^15/'Assumptions (NG)'!$V$34*'Assumptions (NG)'!$V$38/10^6</f>
        <v>66.63388788</v>
      </c>
      <c r="Q654" s="183">
        <f>Q434*10^15/'Assumptions (NG)'!$V$34*'Assumptions (NG)'!$V$38/10^6</f>
        <v>68.46732453</v>
      </c>
      <c r="R654" s="183">
        <f>R434*10^15/'Assumptions (NG)'!$V$34*'Assumptions (NG)'!$V$38/10^6</f>
        <v>88.8340155</v>
      </c>
      <c r="S654" s="183">
        <f>S434*10^15/'Assumptions (NG)'!$V$34*'Assumptions (NG)'!$V$38/10^6</f>
        <v>97.12664902</v>
      </c>
      <c r="T654" s="183">
        <f>T434*10^15/'Assumptions (NG)'!$V$34*'Assumptions (NG)'!$V$38/10^6</f>
        <v>93.75257559</v>
      </c>
      <c r="U654" s="183">
        <f>U434*10^15/'Assumptions (NG)'!$V$34*'Assumptions (NG)'!$V$38/10^6</f>
        <v>99.0221349</v>
      </c>
      <c r="V654" s="183">
        <f>V434*10^15/'Assumptions (NG)'!$V$34*'Assumptions (NG)'!$V$38/10^6</f>
        <v>96.98576347</v>
      </c>
      <c r="W654" s="183">
        <f>W434*10^15/'Assumptions (NG)'!$V$34*'Assumptions (NG)'!$V$38/10^6</f>
        <v>94.94939203</v>
      </c>
      <c r="X654" s="183">
        <f>X434*10^15/'Assumptions (NG)'!$V$34*'Assumptions (NG)'!$V$38/10^6</f>
        <v>93.48877099</v>
      </c>
      <c r="Y654" s="183">
        <f>Y434*10^15/'Assumptions (NG)'!$V$34*'Assumptions (NG)'!$V$38/10^6</f>
        <v>92.01026073</v>
      </c>
      <c r="Z654" s="183">
        <f>Z434*10^15/'Assumptions (NG)'!$V$34*'Assumptions (NG)'!$V$38/10^6</f>
        <v>90.51386125</v>
      </c>
      <c r="AA654" s="183">
        <f>AA434*10^15/'Assumptions (NG)'!$V$34*'Assumptions (NG)'!$V$38/10^6</f>
        <v>88.99957255</v>
      </c>
      <c r="AB654" s="183">
        <f>AB434*10^15/'Assumptions (NG)'!$V$34*'Assumptions (NG)'!$V$38/10^6</f>
        <v>87.46739463</v>
      </c>
      <c r="AC654" s="183">
        <f>AC434*10^15/'Assumptions (NG)'!$V$34*'Assumptions (NG)'!$V$38/10^6</f>
        <v>85.91732749</v>
      </c>
      <c r="AD654" s="183">
        <f>AD434*10^15/'Assumptions (NG)'!$V$34*'Assumptions (NG)'!$V$38/10^6</f>
        <v>84.34937114</v>
      </c>
      <c r="AE654" s="183">
        <f>AE434*10^15/'Assumptions (NG)'!$V$34*'Assumptions (NG)'!$V$38/10^6</f>
        <v>84.87145387</v>
      </c>
      <c r="AF654" s="183">
        <f>AF434*10^15/'Assumptions (NG)'!$V$34*'Assumptions (NG)'!$V$38/10^6</f>
        <v>85.39353661</v>
      </c>
      <c r="AG654" s="183">
        <f>AG434*10^15/'Assumptions (NG)'!$V$34*'Assumptions (NG)'!$V$38/10^6</f>
        <v>85.91561935</v>
      </c>
      <c r="AH654" s="183">
        <f>AH434*10^15/'Assumptions (NG)'!$V$34*'Assumptions (NG)'!$V$38/10^6</f>
        <v>86.43770209</v>
      </c>
      <c r="AI654" s="183">
        <f>AI434*10^15/'Assumptions (NG)'!$V$34*'Assumptions (NG)'!$V$38/10^6</f>
        <v>86.95978482</v>
      </c>
      <c r="AJ654" s="183">
        <f>AJ434*10^15/'Assumptions (NG)'!$V$34*'Assumptions (NG)'!$V$38/10^6</f>
        <v>87.48186756</v>
      </c>
      <c r="AK654" s="183">
        <f>AK434*10^15/'Assumptions (NG)'!$V$34*'Assumptions (NG)'!$V$38/10^6</f>
        <v>88.0039503</v>
      </c>
      <c r="AL654" s="183">
        <f>AL434*10^15/'Assumptions (NG)'!$V$34*'Assumptions (NG)'!$V$38/10^6</f>
        <v>88.52603303</v>
      </c>
      <c r="AM654" s="183">
        <f>AM434*10^15/'Assumptions (NG)'!$V$34*'Assumptions (NG)'!$V$38/10^6</f>
        <v>89.04811577</v>
      </c>
      <c r="AN654" s="183">
        <f>AN434*10^15/'Assumptions (NG)'!$V$34*'Assumptions (NG)'!$V$38/10^6</f>
        <v>89.57019851</v>
      </c>
      <c r="AO654" s="183">
        <f>AO434*10^15/'Assumptions (NG)'!$V$34*'Assumptions (NG)'!$V$38/10^6</f>
        <v>90.09228124</v>
      </c>
      <c r="AP654" s="183">
        <f>AP434*10^15/'Assumptions (NG)'!$V$34*'Assumptions (NG)'!$V$38/10^6</f>
        <v>90.61436398</v>
      </c>
      <c r="AQ654" s="183">
        <f>AQ434*10^15/'Assumptions (NG)'!$V$34*'Assumptions (NG)'!$V$38/10^6</f>
        <v>91.13644672</v>
      </c>
      <c r="AR654" s="183">
        <f>AR434*10^15/'Assumptions (NG)'!$V$34*'Assumptions (NG)'!$V$38/10^6</f>
        <v>91.65852945</v>
      </c>
      <c r="AS654" s="183">
        <f>AS434*10^15/'Assumptions (NG)'!$V$34*'Assumptions (NG)'!$V$38/10^6</f>
        <v>92.18061219</v>
      </c>
      <c r="AT654" s="183">
        <f>AT434*10^15/'Assumptions (NG)'!$V$34*'Assumptions (NG)'!$V$38/10^6</f>
        <v>92.70269493</v>
      </c>
      <c r="AU654" s="183">
        <f>AU434*10^15/'Assumptions (NG)'!$V$34*'Assumptions (NG)'!$V$38/10^6</f>
        <v>93.22477767</v>
      </c>
      <c r="AV654" s="183">
        <f>AV434*10^15/'Assumptions (NG)'!$V$34*'Assumptions (NG)'!$V$38/10^6</f>
        <v>93.7468604</v>
      </c>
      <c r="AW654" s="183">
        <f>AW434*10^15/'Assumptions (NG)'!$V$34*'Assumptions (NG)'!$V$38/10^6</f>
        <v>94.26894314</v>
      </c>
      <c r="AX654" s="183">
        <f>AX434*10^15/'Assumptions (NG)'!$V$34*'Assumptions (NG)'!$V$38/10^6</f>
        <v>94.79102588</v>
      </c>
      <c r="AY654" s="183">
        <f>AY434*10^15/'Assumptions (NG)'!$V$34*'Assumptions (NG)'!$V$38/10^6</f>
        <v>95.31310861</v>
      </c>
      <c r="AZ654" s="183">
        <f>AZ434*10^15/'Assumptions (NG)'!$V$34*'Assumptions (NG)'!$V$38/10^6</f>
        <v>95.83519135</v>
      </c>
      <c r="BA654" s="183">
        <f>BA434*10^15/'Assumptions (NG)'!$V$34*'Assumptions (NG)'!$V$38/10^6</f>
        <v>96.35727409</v>
      </c>
    </row>
    <row r="655" ht="15.75" customHeight="1">
      <c r="A655" s="227" t="s">
        <v>400</v>
      </c>
      <c r="B655" s="24"/>
      <c r="C655" s="228"/>
      <c r="D655" s="78"/>
      <c r="E655" s="78"/>
      <c r="F655" s="78"/>
      <c r="G655" s="78"/>
      <c r="H655" s="78"/>
      <c r="I655" s="78"/>
      <c r="J655" s="78"/>
      <c r="K655" s="78"/>
      <c r="L655" s="78"/>
      <c r="M655" s="78"/>
      <c r="N655" s="78"/>
      <c r="O655" s="78"/>
      <c r="P655" s="78"/>
      <c r="Q655" s="78"/>
      <c r="R655" s="78"/>
      <c r="S655" s="78"/>
      <c r="T655" s="78"/>
      <c r="U655" s="78"/>
      <c r="V655" s="78"/>
      <c r="W655" s="139"/>
    </row>
    <row r="656" ht="15.75" customHeight="1">
      <c r="A656" s="186" t="s">
        <v>401</v>
      </c>
      <c r="B656" s="150" t="s">
        <v>392</v>
      </c>
      <c r="C656" s="229">
        <f>sum('Assumptions (NG non-electricity'!B3,'Assumptions (NG non-electricity'!B6)+'Assumptions (NG non-electricity'!B7*'Assumptions (NG non-electricity'!B9</f>
        <v>1.0517265</v>
      </c>
      <c r="D656" s="229">
        <f>sum('Assumptions (NG non-electricity'!C3,'Assumptions (NG non-electricity'!C6)+'Assumptions (NG non-electricity'!C7*'Assumptions (NG non-electricity'!C9</f>
        <v>0.9403375</v>
      </c>
      <c r="E656" s="229">
        <f>sum('Assumptions (NG non-electricity'!D3,'Assumptions (NG non-electricity'!D6)+'Assumptions (NG non-electricity'!D7*'Assumptions (NG non-electricity'!D9</f>
        <v>0.9618895</v>
      </c>
      <c r="F656" s="229">
        <f>sum('Assumptions (NG non-electricity'!E3,'Assumptions (NG non-electricity'!E6)+'Assumptions (NG non-electricity'!E7*'Assumptions (NG non-electricity'!E9</f>
        <v>0.974176</v>
      </c>
      <c r="G656" s="229">
        <f>sum('Assumptions (NG non-electricity'!F3,'Assumptions (NG non-electricity'!F6)+'Assumptions (NG non-electricity'!F7*'Assumptions (NG non-electricity'!F9</f>
        <v>0.9626875</v>
      </c>
      <c r="H656" s="229">
        <f>sum('Assumptions (NG non-electricity'!G3,'Assumptions (NG non-electricity'!G6)+'Assumptions (NG non-electricity'!G7*'Assumptions (NG non-electricity'!G9</f>
        <v>0.942384</v>
      </c>
      <c r="I656" s="229">
        <f>sum('Assumptions (NG non-electricity'!H3,'Assumptions (NG non-electricity'!H6)+'Assumptions (NG non-electricity'!H7*'Assumptions (NG non-electricity'!H9</f>
        <v>0.8955475</v>
      </c>
      <c r="J656" s="229">
        <f>sum('Assumptions (NG non-electricity'!I3,'Assumptions (NG non-electricity'!I6)+'Assumptions (NG non-electricity'!I7*'Assumptions (NG non-electricity'!I9</f>
        <v>0.8957135</v>
      </c>
      <c r="K656" s="229">
        <f>sum('Assumptions (NG non-electricity'!J3,'Assumptions (NG non-electricity'!J6)+'Assumptions (NG non-electricity'!J7*'Assumptions (NG non-electricity'!J9</f>
        <v>0.9283345</v>
      </c>
      <c r="L656" s="229">
        <f>sum('Assumptions (NG non-electricity'!K3,'Assumptions (NG non-electricity'!K6)+'Assumptions (NG non-electricity'!K7*'Assumptions (NG non-electricity'!K9</f>
        <v>0.8959675</v>
      </c>
      <c r="M656" s="229">
        <f>sum('Assumptions (NG non-electricity'!L3,'Assumptions (NG non-electricity'!L6)+'Assumptions (NG non-electricity'!L7*'Assumptions (NG non-electricity'!L9</f>
        <v>1.001849</v>
      </c>
      <c r="N656" s="229">
        <f>sum('Assumptions (NG non-electricity'!M3,'Assumptions (NG non-electricity'!M6)+'Assumptions (NG non-electricity'!M7*'Assumptions (NG non-electricity'!M9</f>
        <v>0.928623</v>
      </c>
      <c r="O656" s="229">
        <f>sum('Assumptions (NG non-electricity'!N3,'Assumptions (NG non-electricity'!N6)+'Assumptions (NG non-electricity'!N7*'Assumptions (NG non-electricity'!N9</f>
        <v>0.869373</v>
      </c>
      <c r="P656" s="229">
        <f>sum('Assumptions (NG non-electricity'!O3,'Assumptions (NG non-electricity'!O6)+'Assumptions (NG non-electricity'!O7*'Assumptions (NG non-electricity'!O9</f>
        <v>0.991458</v>
      </c>
      <c r="Q656" s="229">
        <f>sum('Assumptions (NG non-electricity'!P3,'Assumptions (NG non-electricity'!P6)+'Assumptions (NG non-electricity'!P7*'Assumptions (NG non-electricity'!P9</f>
        <v>1.059023</v>
      </c>
      <c r="R656" s="229">
        <f>sum('Assumptions (NG non-electricity'!Q3,'Assumptions (NG non-electricity'!Q6)+'Assumptions (NG non-electricity'!Q7*'Assumptions (NG non-electricity'!Q9</f>
        <v>0.989421</v>
      </c>
      <c r="S656" s="229">
        <f>sum('Assumptions (NG non-electricity'!R3,'Assumptions (NG non-electricity'!R6)+'Assumptions (NG non-electricity'!R7*'Assumptions (NG non-electricity'!R9</f>
        <v>0.965443</v>
      </c>
      <c r="T656" s="229">
        <f>sum('Assumptions (NG non-electricity'!S3,'Assumptions (NG non-electricity'!S6)+'Assumptions (NG non-electricity'!S7*'Assumptions (NG non-electricity'!S9</f>
        <v>0.9745350423</v>
      </c>
      <c r="U656" s="229">
        <f>sum('Assumptions (NG non-electricity'!T3,'Assumptions (NG non-electricity'!T6)+'Assumptions (NG non-electricity'!T7*'Assumptions (NG non-electricity'!T9</f>
        <v>0.9803917841</v>
      </c>
      <c r="V656" s="229">
        <f>sum('Assumptions (NG non-electricity'!U3,'Assumptions (NG non-electricity'!U6)+'Assumptions (NG non-electricity'!U7*'Assumptions (NG non-electricity'!U9</f>
        <v>0.9862485258</v>
      </c>
      <c r="W656" s="229">
        <f>sum('Assumptions (NG non-electricity'!V3,'Assumptions (NG non-electricity'!V6)+'Assumptions (NG non-electricity'!V7*'Assumptions (NG non-electricity'!V9</f>
        <v>0.9921052675</v>
      </c>
      <c r="X656" s="229">
        <f>sum('Assumptions (NG non-electricity'!W3,'Assumptions (NG non-electricity'!W6)+'Assumptions (NG non-electricity'!W7*'Assumptions (NG non-electricity'!W9</f>
        <v>0.9979620092</v>
      </c>
      <c r="Y656" s="229">
        <f>sum('Assumptions (NG non-electricity'!X3,'Assumptions (NG non-electricity'!X6)+'Assumptions (NG non-electricity'!X7*'Assumptions (NG non-electricity'!X9</f>
        <v>1.003818751</v>
      </c>
      <c r="Z656" s="229">
        <f>sum('Assumptions (NG non-electricity'!Y3,'Assumptions (NG non-electricity'!Y6)+'Assumptions (NG non-electricity'!Y7*'Assumptions (NG non-electricity'!Y9</f>
        <v>1.009675493</v>
      </c>
      <c r="AA656" s="229">
        <f>sum('Assumptions (NG non-electricity'!Z3,'Assumptions (NG non-electricity'!Z6)+'Assumptions (NG non-electricity'!Z7*'Assumptions (NG non-electricity'!Z9</f>
        <v>1.015532234</v>
      </c>
      <c r="AB656" s="229">
        <f>sum('Assumptions (NG non-electricity'!AA3,'Assumptions (NG non-electricity'!AA6)+'Assumptions (NG non-electricity'!AA7*'Assumptions (NG non-electricity'!AA9</f>
        <v>1.021388976</v>
      </c>
      <c r="AC656" s="229">
        <f>sum('Assumptions (NG non-electricity'!AB3,'Assumptions (NG non-electricity'!AB6)+'Assumptions (NG non-electricity'!AB7*'Assumptions (NG non-electricity'!AB9</f>
        <v>1.027245718</v>
      </c>
      <c r="AD656" s="229">
        <f>sum('Assumptions (NG non-electricity'!AC3,'Assumptions (NG non-electricity'!AC6)+'Assumptions (NG non-electricity'!AC7*'Assumptions (NG non-electricity'!AC9</f>
        <v>1.033102459</v>
      </c>
      <c r="AE656" s="229">
        <f>sum('Assumptions (NG non-electricity'!AD3,'Assumptions (NG non-electricity'!AD6)+'Assumptions (NG non-electricity'!AD7*'Assumptions (NG non-electricity'!AD9</f>
        <v>1.038959201</v>
      </c>
      <c r="AF656" s="229">
        <f>sum('Assumptions (NG non-electricity'!AE3,'Assumptions (NG non-electricity'!AE6)+'Assumptions (NG non-electricity'!AE7*'Assumptions (NG non-electricity'!AE9</f>
        <v>1.044815943</v>
      </c>
      <c r="AG656" s="229">
        <f>sum('Assumptions (NG non-electricity'!AF3,'Assumptions (NG non-electricity'!AF6)+'Assumptions (NG non-electricity'!AF7*'Assumptions (NG non-electricity'!AF9</f>
        <v>1.050672685</v>
      </c>
      <c r="AH656" s="229">
        <f>sum('Assumptions (NG non-electricity'!AG3,'Assumptions (NG non-electricity'!AG6)+'Assumptions (NG non-electricity'!AG7*'Assumptions (NG non-electricity'!AG9</f>
        <v>1.056529426</v>
      </c>
      <c r="AI656" s="229">
        <f>sum('Assumptions (NG non-electricity'!AH3,'Assumptions (NG non-electricity'!AH6)+'Assumptions (NG non-electricity'!AH7*'Assumptions (NG non-electricity'!AH9</f>
        <v>1.062386168</v>
      </c>
      <c r="AJ656" s="229">
        <f>sum('Assumptions (NG non-electricity'!AI3,'Assumptions (NG non-electricity'!AI6)+'Assumptions (NG non-electricity'!AI7*'Assumptions (NG non-electricity'!AI9</f>
        <v>1.06824291</v>
      </c>
      <c r="AK656" s="229">
        <f>sum('Assumptions (NG non-electricity'!AJ3,'Assumptions (NG non-electricity'!AJ6)+'Assumptions (NG non-electricity'!AJ7*'Assumptions (NG non-electricity'!AJ9</f>
        <v>1.074099651</v>
      </c>
      <c r="AL656" s="229">
        <f>sum('Assumptions (NG non-electricity'!AK3,'Assumptions (NG non-electricity'!AK6)+'Assumptions (NG non-electricity'!AK7*'Assumptions (NG non-electricity'!AK9</f>
        <v>1.079956393</v>
      </c>
      <c r="AM656" s="229">
        <f>sum('Assumptions (NG non-electricity'!AL3,'Assumptions (NG non-electricity'!AL6)+'Assumptions (NG non-electricity'!AL7*'Assumptions (NG non-electricity'!AL9</f>
        <v>1.085813135</v>
      </c>
      <c r="AN656" s="229">
        <f>sum('Assumptions (NG non-electricity'!AM3,'Assumptions (NG non-electricity'!AM6)+'Assumptions (NG non-electricity'!AM7*'Assumptions (NG non-electricity'!AM9</f>
        <v>1.091669877</v>
      </c>
      <c r="AO656" s="229">
        <f>sum('Assumptions (NG non-electricity'!AN3,'Assumptions (NG non-electricity'!AN6)+'Assumptions (NG non-electricity'!AN7*'Assumptions (NG non-electricity'!AN9</f>
        <v>1.097526618</v>
      </c>
      <c r="AP656" s="229">
        <f>sum('Assumptions (NG non-electricity'!AO3,'Assumptions (NG non-electricity'!AO6)+'Assumptions (NG non-electricity'!AO7*'Assumptions (NG non-electricity'!AO9</f>
        <v>1.10338336</v>
      </c>
      <c r="AQ656" s="229">
        <f>sum('Assumptions (NG non-electricity'!AP3,'Assumptions (NG non-electricity'!AP6)+'Assumptions (NG non-electricity'!AP7*'Assumptions (NG non-electricity'!AP9</f>
        <v>1.109240102</v>
      </c>
      <c r="AR656" s="229">
        <f>sum('Assumptions (NG non-electricity'!AQ3,'Assumptions (NG non-electricity'!AQ6)+'Assumptions (NG non-electricity'!AQ7*'Assumptions (NG non-electricity'!AQ9</f>
        <v>1.115096843</v>
      </c>
      <c r="AS656" s="229">
        <f>sum('Assumptions (NG non-electricity'!AR3,'Assumptions (NG non-electricity'!AR6)+'Assumptions (NG non-electricity'!AR7*'Assumptions (NG non-electricity'!AR9</f>
        <v>1.120953585</v>
      </c>
      <c r="AT656" s="229">
        <f>sum('Assumptions (NG non-electricity'!AS3,'Assumptions (NG non-electricity'!AS6)+'Assumptions (NG non-electricity'!AS7*'Assumptions (NG non-electricity'!AS9</f>
        <v>1.126810327</v>
      </c>
      <c r="AU656" s="229">
        <f>sum('Assumptions (NG non-electricity'!AT3,'Assumptions (NG non-electricity'!AT6)+'Assumptions (NG non-electricity'!AT7*'Assumptions (NG non-electricity'!AT9</f>
        <v>1.132667069</v>
      </c>
      <c r="AV656" s="229">
        <f>sum('Assumptions (NG non-electricity'!AU3,'Assumptions (NG non-electricity'!AU6)+'Assumptions (NG non-electricity'!AU7*'Assumptions (NG non-electricity'!AU9</f>
        <v>1.13852381</v>
      </c>
      <c r="AW656" s="229">
        <f>sum('Assumptions (NG non-electricity'!AV3,'Assumptions (NG non-electricity'!AV6)+'Assumptions (NG non-electricity'!AV7*'Assumptions (NG non-electricity'!AV9</f>
        <v>1.144380552</v>
      </c>
      <c r="AX656" s="229">
        <f>sum('Assumptions (NG non-electricity'!AW3,'Assumptions (NG non-electricity'!AW6)+'Assumptions (NG non-electricity'!AW7*'Assumptions (NG non-electricity'!AW9</f>
        <v>1.150237294</v>
      </c>
      <c r="AY656" s="229">
        <f>sum('Assumptions (NG non-electricity'!AX3,'Assumptions (NG non-electricity'!AX6)+'Assumptions (NG non-electricity'!AX7*'Assumptions (NG non-electricity'!AX9</f>
        <v>1.156094035</v>
      </c>
      <c r="AZ656" s="229">
        <f>sum('Assumptions (NG non-electricity'!AY3,'Assumptions (NG non-electricity'!AY6)+'Assumptions (NG non-electricity'!AY7*'Assumptions (NG non-electricity'!AY9</f>
        <v>1.161950777</v>
      </c>
      <c r="BA656" s="229">
        <f>sum('Assumptions (NG non-electricity'!AZ3,'Assumptions (NG non-electricity'!AZ6)+'Assumptions (NG non-electricity'!AZ7*'Assumptions (NG non-electricity'!AZ9</f>
        <v>1.167807519</v>
      </c>
    </row>
    <row r="657" ht="15.75" customHeight="1">
      <c r="A657" s="186" t="s">
        <v>402</v>
      </c>
      <c r="B657" s="150" t="s">
        <v>392</v>
      </c>
      <c r="C657" s="229">
        <f>sum('Assumptions (NG non-electricity'!B3,'Assumptions (NG non-electricity'!B6)</f>
        <v>0.619544</v>
      </c>
      <c r="D657" s="229">
        <f>sum('Assumptions (NG non-electricity'!C3,'Assumptions (NG non-electricity'!C6)</f>
        <v>0.580233</v>
      </c>
      <c r="E657" s="229">
        <f>sum('Assumptions (NG non-electricity'!D3,'Assumptions (NG non-electricity'!D6)</f>
        <v>0.582736</v>
      </c>
      <c r="F657" s="229">
        <f>sum('Assumptions (NG non-electricity'!E3,'Assumptions (NG non-electricity'!E6)</f>
        <v>0.609071</v>
      </c>
      <c r="G657" s="229">
        <f>sum('Assumptions (NG non-electricity'!F3,'Assumptions (NG non-electricity'!F6)</f>
        <v>0.595343</v>
      </c>
      <c r="H657" s="229">
        <f>sum('Assumptions (NG non-electricity'!G3,'Assumptions (NG non-electricity'!G6)</f>
        <v>0.592389</v>
      </c>
      <c r="I657" s="229">
        <f>sum('Assumptions (NG non-electricity'!H3,'Assumptions (NG non-electricity'!H6)</f>
        <v>0.539837</v>
      </c>
      <c r="J657" s="229">
        <f>sum('Assumptions (NG non-electricity'!I3,'Assumptions (NG non-electricity'!I6)</f>
        <v>0.540938</v>
      </c>
      <c r="K657" s="229">
        <f>sum('Assumptions (NG non-electricity'!J3,'Assumptions (NG non-electricity'!J6)</f>
        <v>0.579261</v>
      </c>
      <c r="L657" s="229">
        <f>sum('Assumptions (NG non-electricity'!K3,'Assumptions (NG non-electricity'!K6)</f>
        <v>0.573638</v>
      </c>
      <c r="M657" s="229">
        <f>sum('Assumptions (NG non-electricity'!L3,'Assumptions (NG non-electricity'!L6)</f>
        <v>0.647169</v>
      </c>
      <c r="N657" s="229">
        <f>sum('Assumptions (NG non-electricity'!M3,'Assumptions (NG non-electricity'!M6)</f>
        <v>0.56529</v>
      </c>
      <c r="O657" s="229">
        <f>sum('Assumptions (NG non-electricity'!N3,'Assumptions (NG non-electricity'!N6)</f>
        <v>0.492083</v>
      </c>
      <c r="P657" s="229">
        <f>sum('Assumptions (NG non-electricity'!O3,'Assumptions (NG non-electricity'!O6)</f>
        <v>0.595788</v>
      </c>
      <c r="Q657" s="229">
        <f>sum('Assumptions (NG non-electricity'!P3,'Assumptions (NG non-electricity'!P6)</f>
        <v>0.653358</v>
      </c>
      <c r="R657" s="229">
        <f>sum('Assumptions (NG non-electricity'!Q3,'Assumptions (NG non-electricity'!Q6)</f>
        <v>0.581622</v>
      </c>
      <c r="S657" s="229">
        <f>sum('Assumptions (NG non-electricity'!R3,'Assumptions (NG non-electricity'!R6)</f>
        <v>0.555076</v>
      </c>
      <c r="T657" s="229">
        <f>sum('Assumptions (NG non-electricity'!S3,'Assumptions (NG non-electricity'!S6)</f>
        <v>0.5483600423</v>
      </c>
      <c r="U657" s="229">
        <f>sum('Assumptions (NG non-electricity'!T3,'Assumptions (NG non-electricity'!T6)</f>
        <v>0.550601528</v>
      </c>
      <c r="V657" s="229">
        <f>sum('Assumptions (NG non-electricity'!U3,'Assumptions (NG non-electricity'!U6)</f>
        <v>0.5528430136</v>
      </c>
      <c r="W657" s="229">
        <f>sum('Assumptions (NG non-electricity'!V3,'Assumptions (NG non-electricity'!V6)</f>
        <v>0.5550844992</v>
      </c>
      <c r="X657" s="229">
        <f>sum('Assumptions (NG non-electricity'!W3,'Assumptions (NG non-electricity'!W6)</f>
        <v>0.5573259849</v>
      </c>
      <c r="Y657" s="229">
        <f>sum('Assumptions (NG non-electricity'!X3,'Assumptions (NG non-electricity'!X6)</f>
        <v>0.5595674705</v>
      </c>
      <c r="Z657" s="229">
        <f>sum('Assumptions (NG non-electricity'!Y3,'Assumptions (NG non-electricity'!Y6)</f>
        <v>0.5618089561</v>
      </c>
      <c r="AA657" s="229">
        <f>sum('Assumptions (NG non-electricity'!Z3,'Assumptions (NG non-electricity'!Z6)</f>
        <v>0.5640504417</v>
      </c>
      <c r="AB657" s="229">
        <f>sum('Assumptions (NG non-electricity'!AA3,'Assumptions (NG non-electricity'!AA6)</f>
        <v>0.5662919274</v>
      </c>
      <c r="AC657" s="229">
        <f>sum('Assumptions (NG non-electricity'!AB3,'Assumptions (NG non-electricity'!AB6)</f>
        <v>0.568533413</v>
      </c>
      <c r="AD657" s="229">
        <f>sum('Assumptions (NG non-electricity'!AC3,'Assumptions (NG non-electricity'!AC6)</f>
        <v>0.5707748986</v>
      </c>
      <c r="AE657" s="229">
        <f>sum('Assumptions (NG non-electricity'!AD3,'Assumptions (NG non-electricity'!AD6)</f>
        <v>0.5730163843</v>
      </c>
      <c r="AF657" s="229">
        <f>sum('Assumptions (NG non-electricity'!AE3,'Assumptions (NG non-electricity'!AE6)</f>
        <v>0.5752578699</v>
      </c>
      <c r="AG657" s="229">
        <f>sum('Assumptions (NG non-electricity'!AF3,'Assumptions (NG non-electricity'!AF6)</f>
        <v>0.5774993555</v>
      </c>
      <c r="AH657" s="229">
        <f>sum('Assumptions (NG non-electricity'!AG3,'Assumptions (NG non-electricity'!AG6)</f>
        <v>0.5797408412</v>
      </c>
      <c r="AI657" s="229">
        <f>sum('Assumptions (NG non-electricity'!AH3,'Assumptions (NG non-electricity'!AH6)</f>
        <v>0.5819823268</v>
      </c>
      <c r="AJ657" s="229">
        <f>sum('Assumptions (NG non-electricity'!AI3,'Assumptions (NG non-electricity'!AI6)</f>
        <v>0.5842238124</v>
      </c>
      <c r="AK657" s="229">
        <f>sum('Assumptions (NG non-electricity'!AJ3,'Assumptions (NG non-electricity'!AJ6)</f>
        <v>0.586465298</v>
      </c>
      <c r="AL657" s="229">
        <f>sum('Assumptions (NG non-electricity'!AK3,'Assumptions (NG non-electricity'!AK6)</f>
        <v>0.5887067837</v>
      </c>
      <c r="AM657" s="229">
        <f>sum('Assumptions (NG non-electricity'!AL3,'Assumptions (NG non-electricity'!AL6)</f>
        <v>0.5909482693</v>
      </c>
      <c r="AN657" s="229">
        <f>sum('Assumptions (NG non-electricity'!AM3,'Assumptions (NG non-electricity'!AM6)</f>
        <v>0.5931897549</v>
      </c>
      <c r="AO657" s="229">
        <f>sum('Assumptions (NG non-electricity'!AN3,'Assumptions (NG non-electricity'!AN6)</f>
        <v>0.5954312406</v>
      </c>
      <c r="AP657" s="229">
        <f>sum('Assumptions (NG non-electricity'!AO3,'Assumptions (NG non-electricity'!AO6)</f>
        <v>0.5976727262</v>
      </c>
      <c r="AQ657" s="229">
        <f>sum('Assumptions (NG non-electricity'!AP3,'Assumptions (NG non-electricity'!AP6)</f>
        <v>0.5999142118</v>
      </c>
      <c r="AR657" s="229">
        <f>sum('Assumptions (NG non-electricity'!AQ3,'Assumptions (NG non-electricity'!AQ6)</f>
        <v>0.6021556974</v>
      </c>
      <c r="AS657" s="229">
        <f>sum('Assumptions (NG non-electricity'!AR3,'Assumptions (NG non-electricity'!AR6)</f>
        <v>0.6043971831</v>
      </c>
      <c r="AT657" s="229">
        <f>sum('Assumptions (NG non-electricity'!AS3,'Assumptions (NG non-electricity'!AS6)</f>
        <v>0.6066386687</v>
      </c>
      <c r="AU657" s="229">
        <f>sum('Assumptions (NG non-electricity'!AT3,'Assumptions (NG non-electricity'!AT6)</f>
        <v>0.6088801543</v>
      </c>
      <c r="AV657" s="229">
        <f>sum('Assumptions (NG non-electricity'!AU3,'Assumptions (NG non-electricity'!AU6)</f>
        <v>0.61112164</v>
      </c>
      <c r="AW657" s="229">
        <f>sum('Assumptions (NG non-electricity'!AV3,'Assumptions (NG non-electricity'!AV6)</f>
        <v>0.6133631256</v>
      </c>
      <c r="AX657" s="229">
        <f>sum('Assumptions (NG non-electricity'!AW3,'Assumptions (NG non-electricity'!AW6)</f>
        <v>0.6156046112</v>
      </c>
      <c r="AY657" s="229">
        <f>sum('Assumptions (NG non-electricity'!AX3,'Assumptions (NG non-electricity'!AX6)</f>
        <v>0.6178460968</v>
      </c>
      <c r="AZ657" s="229">
        <f>sum('Assumptions (NG non-electricity'!AY3,'Assumptions (NG non-electricity'!AY6)</f>
        <v>0.6200875825</v>
      </c>
      <c r="BA657" s="229">
        <f>sum('Assumptions (NG non-electricity'!AZ3,'Assumptions (NG non-electricity'!AZ6)</f>
        <v>0.6223290681</v>
      </c>
    </row>
    <row r="658" ht="15.75" customHeight="1">
      <c r="A658" s="207" t="s">
        <v>403</v>
      </c>
      <c r="B658" s="150" t="s">
        <v>351</v>
      </c>
      <c r="C658" s="230">
        <f>'Assumptions (NG non-electricity'!B43</f>
        <v>34.7</v>
      </c>
      <c r="D658" s="230">
        <f>'Assumptions (NG non-electricity'!C43</f>
        <v>39.20504076</v>
      </c>
      <c r="E658" s="230">
        <f>'Assumptions (NG non-electricity'!D43</f>
        <v>36.9720475</v>
      </c>
      <c r="F658" s="230">
        <f>'Assumptions (NG non-electricity'!E43</f>
        <v>43.75982849</v>
      </c>
      <c r="G658" s="230">
        <f>'Assumptions (NG non-electricity'!F43</f>
        <v>44.80290957</v>
      </c>
      <c r="H658" s="230">
        <f>'Assumptions (NG non-electricity'!G43</f>
        <v>51.02</v>
      </c>
      <c r="I658" s="230">
        <f>'Assumptions (NG non-electricity'!H43</f>
        <v>46.68270953</v>
      </c>
      <c r="J658" s="230">
        <f>'Assumptions (NG non-electricity'!I43</f>
        <v>47.17677467</v>
      </c>
      <c r="K658" s="230">
        <f>'Assumptions (NG non-electricity'!J43</f>
        <v>50.55980938</v>
      </c>
      <c r="L658" s="230">
        <f>'Assumptions (NG non-electricity'!K43</f>
        <v>39.1336482</v>
      </c>
      <c r="M658" s="230">
        <f>'Assumptions (NG non-electricity'!L43</f>
        <v>44.62</v>
      </c>
      <c r="N658" s="230">
        <f>'Assumptions (NG non-electricity'!M43</f>
        <v>39.34675049</v>
      </c>
      <c r="O658" s="230">
        <f>'Assumptions (NG non-electricity'!N43</f>
        <v>34.06357285</v>
      </c>
      <c r="P658" s="230">
        <f>'Assumptions (NG non-electricity'!O43</f>
        <v>38.36135609</v>
      </c>
      <c r="Q658" s="230">
        <f>'Assumptions (NG non-electricity'!P43</f>
        <v>40.59415843</v>
      </c>
      <c r="R658" s="230">
        <f>'Assumptions (NG non-electricity'!Q43</f>
        <v>33.11</v>
      </c>
      <c r="S658" s="230">
        <f>'Assumptions (NG non-electricity'!R43</f>
        <v>33.13</v>
      </c>
      <c r="T658" s="230">
        <f>'Assumptions (NG non-electricity'!S43</f>
        <v>36.8</v>
      </c>
      <c r="U658" s="230">
        <f>'Assumptions (NG non-electricity'!T43</f>
        <v>36.16761539</v>
      </c>
      <c r="V658" s="230">
        <f>'Assumptions (NG non-electricity'!U43</f>
        <v>35.85692639</v>
      </c>
      <c r="W658" s="230">
        <f>'Assumptions (NG non-electricity'!V43</f>
        <v>36.5076337</v>
      </c>
      <c r="X658" s="230">
        <f>'Assumptions (NG non-electricity'!W43</f>
        <v>36.48909433</v>
      </c>
      <c r="Y658" s="230">
        <f>'Assumptions (NG non-electricity'!X43</f>
        <v>36.85639967</v>
      </c>
      <c r="Z658" s="230">
        <f>'Assumptions (NG non-electricity'!Y43</f>
        <v>37.78715351</v>
      </c>
      <c r="AA658" s="230">
        <f>'Assumptions (NG non-electricity'!Z43</f>
        <v>38.88354017</v>
      </c>
      <c r="AB658" s="230">
        <f>'Assumptions (NG non-electricity'!AA43</f>
        <v>40.14506827</v>
      </c>
      <c r="AC658" s="230">
        <f>'Assumptions (NG non-electricity'!AB43</f>
        <v>40.74575316</v>
      </c>
      <c r="AD658" s="230">
        <f>'Assumptions (NG non-electricity'!AC43</f>
        <v>41.15522819</v>
      </c>
      <c r="AE658" s="230">
        <f>'Assumptions (NG non-electricity'!AD43</f>
        <v>41.77223881</v>
      </c>
      <c r="AF658" s="230">
        <f>'Assumptions (NG non-electricity'!AE43</f>
        <v>42.14702468</v>
      </c>
      <c r="AG658" s="230">
        <f>'Assumptions (NG non-electricity'!AF43</f>
        <v>42.58832489</v>
      </c>
      <c r="AH658" s="230">
        <f>'Assumptions (NG non-electricity'!AG43</f>
        <v>42.83324141</v>
      </c>
      <c r="AI658" s="230">
        <f>'Assumptions (NG non-electricity'!AH43</f>
        <v>43.62875724</v>
      </c>
      <c r="AJ658" s="230">
        <f>'Assumptions (NG non-electricity'!AI43</f>
        <v>44.14514729</v>
      </c>
      <c r="AK658" s="230">
        <f>'Assumptions (NG non-electricity'!AJ43</f>
        <v>44.60191273</v>
      </c>
      <c r="AL658" s="230">
        <f>'Assumptions (NG non-electricity'!AK43</f>
        <v>45.05559512</v>
      </c>
      <c r="AM658" s="230">
        <f>'Assumptions (NG non-electricity'!AL43</f>
        <v>45.63293413</v>
      </c>
      <c r="AN658" s="230">
        <f>'Assumptions (NG non-electricity'!AM43</f>
        <v>46.01313387</v>
      </c>
      <c r="AO658" s="230">
        <f>'Assumptions (NG non-electricity'!AN43</f>
        <v>46.3588709</v>
      </c>
      <c r="AP658" s="230">
        <f>'Assumptions (NG non-electricity'!AO43</f>
        <v>46.74513213</v>
      </c>
      <c r="AQ658" s="230">
        <f>'Assumptions (NG non-electricity'!AP43</f>
        <v>47.25950221</v>
      </c>
      <c r="AR658" s="230">
        <f>'Assumptions (NG non-electricity'!AQ43</f>
        <v>47.53512794</v>
      </c>
      <c r="AS658" s="230">
        <f>'Assumptions (NG non-electricity'!AR43</f>
        <v>47.99327814</v>
      </c>
      <c r="AT658" s="230">
        <f>'Assumptions (NG non-electricity'!AS43</f>
        <v>48.5160125</v>
      </c>
      <c r="AU658" s="230">
        <f>'Assumptions (NG non-electricity'!AT43</f>
        <v>49.09885153</v>
      </c>
      <c r="AV658" s="230">
        <f>'Assumptions (NG non-electricity'!AU43</f>
        <v>49.65813298</v>
      </c>
      <c r="AW658" s="230">
        <f>'Assumptions (NG non-electricity'!AV43</f>
        <v>50.14684005</v>
      </c>
      <c r="AX658" s="230">
        <f>'Assumptions (NG non-electricity'!AW43</f>
        <v>50.69050154</v>
      </c>
      <c r="AY658" s="230">
        <f>'Assumptions (NG non-electricity'!AX43</f>
        <v>51.41163096</v>
      </c>
      <c r="AZ658" s="230">
        <f>'Assumptions (NG non-electricity'!AY43</f>
        <v>52.03489086</v>
      </c>
      <c r="BA658" s="230">
        <f>'Assumptions (NG non-electricity'!AZ43</f>
        <v>52.61293763</v>
      </c>
    </row>
    <row r="659" ht="15.75" customHeight="1">
      <c r="A659" s="207" t="s">
        <v>404</v>
      </c>
      <c r="B659" s="150" t="s">
        <v>351</v>
      </c>
      <c r="C659" s="230">
        <f>'Assumptions (NG non-electricity'!B44</f>
        <v>27.09</v>
      </c>
      <c r="D659" s="230">
        <f>'Assumptions (NG non-electricity'!C44</f>
        <v>28.37614843</v>
      </c>
      <c r="E659" s="230">
        <f>'Assumptions (NG non-electricity'!D44</f>
        <v>25.68388706</v>
      </c>
      <c r="F659" s="230">
        <f>'Assumptions (NG non-electricity'!E44</f>
        <v>33.86773648</v>
      </c>
      <c r="G659" s="230">
        <f>'Assumptions (NG non-electricity'!F44</f>
        <v>35.12535196</v>
      </c>
      <c r="H659" s="230">
        <f>'Assumptions (NG non-electricity'!G44</f>
        <v>42</v>
      </c>
      <c r="I659" s="230">
        <f>'Assumptions (NG non-electricity'!H44</f>
        <v>37.39177744</v>
      </c>
      <c r="J659" s="230">
        <f>'Assumptions (NG non-electricity'!I44</f>
        <v>37.98745882</v>
      </c>
      <c r="K659" s="230">
        <f>'Assumptions (NG non-electricity'!J44</f>
        <v>42.066295</v>
      </c>
      <c r="L659" s="230">
        <f>'Assumptions (NG non-electricity'!K44</f>
        <v>28.2900723</v>
      </c>
      <c r="M659" s="230">
        <f>'Assumptions (NG non-electricity'!L44</f>
        <v>32.22</v>
      </c>
      <c r="N659" s="230">
        <f>'Assumptions (NG non-electricity'!M44</f>
        <v>28.54700414</v>
      </c>
      <c r="O659" s="230">
        <f>'Assumptions (NG non-electricity'!N44</f>
        <v>22.1772155</v>
      </c>
      <c r="P659" s="230">
        <f>'Assumptions (NG non-electricity'!O44</f>
        <v>27.35893997</v>
      </c>
      <c r="Q659" s="230">
        <f>'Assumptions (NG non-electricity'!P44</f>
        <v>30.05097115</v>
      </c>
      <c r="R659" s="230">
        <f>'Assumptions (NG non-electricity'!Q44</f>
        <v>21.83</v>
      </c>
      <c r="S659" s="230">
        <f>'Assumptions (NG non-electricity'!R44</f>
        <v>20.84</v>
      </c>
      <c r="T659" s="230">
        <f>'Assumptions (NG non-electricity'!S44</f>
        <v>23.32</v>
      </c>
      <c r="U659" s="230">
        <f>'Assumptions (NG non-electricity'!T44</f>
        <v>24.59343699</v>
      </c>
      <c r="V659" s="230">
        <f>'Assumptions (NG non-electricity'!U44</f>
        <v>24.21884741</v>
      </c>
      <c r="W659" s="230">
        <f>'Assumptions (NG non-electricity'!V44</f>
        <v>25.00338815</v>
      </c>
      <c r="X659" s="230">
        <f>'Assumptions (NG non-electricity'!W44</f>
        <v>24.98103571</v>
      </c>
      <c r="Y659" s="230">
        <f>'Assumptions (NG non-electricity'!X44</f>
        <v>25.42388613</v>
      </c>
      <c r="Z659" s="230">
        <f>'Assumptions (NG non-electricity'!Y44</f>
        <v>26.5460716</v>
      </c>
      <c r="AA659" s="230">
        <f>'Assumptions (NG non-electricity'!Z44</f>
        <v>27.86795623</v>
      </c>
      <c r="AB659" s="230">
        <f>'Assumptions (NG non-electricity'!AA44</f>
        <v>29.38894756</v>
      </c>
      <c r="AC659" s="230">
        <f>'Assumptions (NG non-electricity'!AB44</f>
        <v>30.11317757</v>
      </c>
      <c r="AD659" s="230">
        <f>'Assumptions (NG non-electricity'!AC44</f>
        <v>30.60687087</v>
      </c>
      <c r="AE659" s="230">
        <f>'Assumptions (NG non-electricity'!AD44</f>
        <v>31.35078438</v>
      </c>
      <c r="AF659" s="230">
        <f>'Assumptions (NG non-electricity'!AE44</f>
        <v>31.80265387</v>
      </c>
      <c r="AG659" s="230">
        <f>'Assumptions (NG non-electricity'!AF44</f>
        <v>32.33471795</v>
      </c>
      <c r="AH659" s="230">
        <f>'Assumptions (NG non-electricity'!AG44</f>
        <v>32.63000737</v>
      </c>
      <c r="AI659" s="230">
        <f>'Assumptions (NG non-electricity'!AH44</f>
        <v>33.58913993</v>
      </c>
      <c r="AJ659" s="230">
        <f>'Assumptions (NG non-electricity'!AI44</f>
        <v>34.21173787</v>
      </c>
      <c r="AK659" s="230">
        <f>'Assumptions (NG non-electricity'!AJ44</f>
        <v>34.76244797</v>
      </c>
      <c r="AL659" s="230">
        <f>'Assumptions (NG non-electricity'!AK44</f>
        <v>35.30944093</v>
      </c>
      <c r="AM659" s="230">
        <f>'Assumptions (NG non-electricity'!AL44</f>
        <v>36.00552341</v>
      </c>
      <c r="AN659" s="230">
        <f>'Assumptions (NG non-electricity'!AM44</f>
        <v>36.46392026</v>
      </c>
      <c r="AO659" s="230">
        <f>'Assumptions (NG non-electricity'!AN44</f>
        <v>36.88076633</v>
      </c>
      <c r="AP659" s="230">
        <f>'Assumptions (NG non-electricity'!AO44</f>
        <v>37.34647136</v>
      </c>
      <c r="AQ659" s="230">
        <f>'Assumptions (NG non-electricity'!AP44</f>
        <v>37.96663388</v>
      </c>
      <c r="AR659" s="230">
        <f>'Assumptions (NG non-electricity'!AQ44</f>
        <v>38.29894859</v>
      </c>
      <c r="AS659" s="230">
        <f>'Assumptions (NG non-electricity'!AR44</f>
        <v>38.85132825</v>
      </c>
      <c r="AT659" s="230">
        <f>'Assumptions (NG non-electricity'!AS44</f>
        <v>39.48157535</v>
      </c>
      <c r="AU659" s="230">
        <f>'Assumptions (NG non-electricity'!AT44</f>
        <v>40.18428908</v>
      </c>
      <c r="AV659" s="230">
        <f>'Assumptions (NG non-electricity'!AU44</f>
        <v>40.85860004</v>
      </c>
      <c r="AW659" s="230">
        <f>'Assumptions (NG non-electricity'!AV44</f>
        <v>41.44782134</v>
      </c>
      <c r="AX659" s="230">
        <f>'Assumptions (NG non-electricity'!AW44</f>
        <v>42.10329973</v>
      </c>
      <c r="AY659" s="230">
        <f>'Assumptions (NG non-electricity'!AX44</f>
        <v>42.97274654</v>
      </c>
      <c r="AZ659" s="230">
        <f>'Assumptions (NG non-electricity'!AY44</f>
        <v>43.72419466</v>
      </c>
      <c r="BA659" s="230">
        <f>'Assumptions (NG non-electricity'!AZ44</f>
        <v>44.42113048</v>
      </c>
    </row>
    <row r="660" ht="15.75" customHeight="1">
      <c r="A660" s="207" t="s">
        <v>358</v>
      </c>
      <c r="B660" s="150" t="s">
        <v>351</v>
      </c>
      <c r="C660" s="230">
        <f>'Assumptions (NG non-electricity'!B48</f>
        <v>5.44</v>
      </c>
      <c r="D660" s="230">
        <f>'Assumptions (NG non-electricity'!C48</f>
        <v>4.55</v>
      </c>
      <c r="E660" s="230">
        <f>'Assumptions (NG non-electricity'!D48</f>
        <v>4.89</v>
      </c>
      <c r="F660" s="230">
        <f>'Assumptions (NG non-electricity'!E48</f>
        <v>3.93</v>
      </c>
      <c r="G660" s="230">
        <f>'Assumptions (NG non-electricity'!F48</f>
        <v>5.55</v>
      </c>
      <c r="H660" s="230">
        <f>'Assumptions (NG non-electricity'!G48</f>
        <v>5.02</v>
      </c>
      <c r="I660" s="230">
        <f>'Assumptions (NG non-electricity'!H48</f>
        <v>5.16</v>
      </c>
      <c r="J660" s="230">
        <f>'Assumptions (NG non-electricity'!I48</f>
        <v>4.85</v>
      </c>
      <c r="K660" s="230">
        <f>'Assumptions (NG non-electricity'!J48</f>
        <v>5.43</v>
      </c>
      <c r="L660" s="230">
        <f>'Assumptions (NG non-electricity'!K48</f>
        <v>4.95</v>
      </c>
      <c r="M660" s="230">
        <f>'Assumptions (NG non-electricity'!L48</f>
        <v>5.67</v>
      </c>
      <c r="N660" s="230">
        <f>'Assumptions (NG non-electricity'!M48</f>
        <v>6.99</v>
      </c>
      <c r="O660" s="230">
        <f>'Assumptions (NG non-electricity'!N48</f>
        <v>7.36</v>
      </c>
      <c r="P660" s="230">
        <f>'Assumptions (NG non-electricity'!O48</f>
        <v>8</v>
      </c>
      <c r="Q660" s="230">
        <f>'Assumptions (NG non-electricity'!P48</f>
        <v>9.67</v>
      </c>
      <c r="R660" s="230">
        <f>'Assumptions (NG non-electricity'!Q48</f>
        <v>11.61</v>
      </c>
      <c r="S660" s="230">
        <f>'Assumptions (NG non-electricity'!R48</f>
        <v>13.43</v>
      </c>
      <c r="T660" s="230">
        <f>'Assumptions (NG non-electricity'!S48</f>
        <v>14.88</v>
      </c>
      <c r="U660" s="230">
        <f>'Assumptions (NG non-electricity'!T48</f>
        <v>13.87655737</v>
      </c>
      <c r="V660" s="230">
        <f>'Assumptions (NG non-electricity'!U48</f>
        <v>14.51106668</v>
      </c>
      <c r="W660" s="230">
        <f>'Assumptions (NG non-electricity'!V48</f>
        <v>15.04696062</v>
      </c>
      <c r="X660" s="230">
        <f>'Assumptions (NG non-electricity'!W48</f>
        <v>15.66740327</v>
      </c>
      <c r="Y660" s="230">
        <f>'Assumptions (NG non-electricity'!X48</f>
        <v>16.25213067</v>
      </c>
      <c r="Z660" s="230">
        <f>'Assumptions (NG non-electricity'!Y48</f>
        <v>16.77532627</v>
      </c>
      <c r="AA660" s="230">
        <f>'Assumptions (NG non-electricity'!Z48</f>
        <v>17.27760397</v>
      </c>
      <c r="AB660" s="230">
        <f>'Assumptions (NG non-electricity'!AA48</f>
        <v>17.75309107</v>
      </c>
      <c r="AC660" s="230">
        <f>'Assumptions (NG non-electricity'!AB48</f>
        <v>18.32630884</v>
      </c>
      <c r="AD660" s="230">
        <f>'Assumptions (NG non-electricity'!AC48</f>
        <v>18.93573647</v>
      </c>
      <c r="AE660" s="230">
        <f>'Assumptions (NG non-electricity'!AD48</f>
        <v>19.51819606</v>
      </c>
      <c r="AF660" s="230">
        <f>'Assumptions (NG non-electricity'!AE48</f>
        <v>20.14753819</v>
      </c>
      <c r="AG660" s="230">
        <f>'Assumptions (NG non-electricity'!AF48</f>
        <v>20.77286983</v>
      </c>
      <c r="AH660" s="230">
        <f>'Assumptions (NG non-electricity'!AG48</f>
        <v>21.44091442</v>
      </c>
      <c r="AI660" s="230">
        <f>'Assumptions (NG non-electricity'!AH48</f>
        <v>22.01468082</v>
      </c>
      <c r="AJ660" s="230">
        <f>'Assumptions (NG non-electricity'!AI48</f>
        <v>22.64524284</v>
      </c>
      <c r="AK660" s="230">
        <f>'Assumptions (NG non-electricity'!AJ48</f>
        <v>23.29387422</v>
      </c>
      <c r="AL660" s="230">
        <f>'Assumptions (NG non-electricity'!AK48</f>
        <v>23.94976264</v>
      </c>
      <c r="AM660" s="230">
        <f>'Assumptions (NG non-electricity'!AL48</f>
        <v>24.58515424</v>
      </c>
      <c r="AN660" s="230">
        <f>'Assumptions (NG non-electricity'!AM48</f>
        <v>25.26990907</v>
      </c>
      <c r="AO660" s="230">
        <f>'Assumptions (NG non-electricity'!AN48</f>
        <v>25.97007616</v>
      </c>
      <c r="AP660" s="230">
        <f>'Assumptions (NG non-electricity'!AO48</f>
        <v>26.66842296</v>
      </c>
      <c r="AQ660" s="230">
        <f>'Assumptions (NG non-electricity'!AP48</f>
        <v>27.34258087</v>
      </c>
      <c r="AR660" s="230">
        <f>'Assumptions (NG non-electricity'!AQ48</f>
        <v>28.08256674</v>
      </c>
      <c r="AS660" s="230">
        <f>'Assumptions (NG non-electricity'!AR48</f>
        <v>28.78392388</v>
      </c>
      <c r="AT660" s="230">
        <f>'Assumptions (NG non-electricity'!AS48</f>
        <v>29.47394501</v>
      </c>
      <c r="AU660" s="230">
        <f>'Assumptions (NG non-electricity'!AT48</f>
        <v>30.15183035</v>
      </c>
      <c r="AV660" s="230">
        <f>'Assumptions (NG non-electricity'!AU48</f>
        <v>30.83984104</v>
      </c>
      <c r="AW660" s="230">
        <f>'Assumptions (NG non-electricity'!AV48</f>
        <v>31.55283618</v>
      </c>
      <c r="AX660" s="230">
        <f>'Assumptions (NG non-electricity'!AW48</f>
        <v>32.25351183</v>
      </c>
      <c r="AY660" s="230">
        <f>'Assumptions (NG non-electricity'!AX48</f>
        <v>32.89926649</v>
      </c>
      <c r="AZ660" s="230">
        <f>'Assumptions (NG non-electricity'!AY48</f>
        <v>33.57697713</v>
      </c>
      <c r="BA660" s="230">
        <f>'Assumptions (NG non-electricity'!AZ48</f>
        <v>34.27169117</v>
      </c>
    </row>
    <row r="661" ht="15.75" customHeight="1">
      <c r="A661" s="207" t="s">
        <v>405</v>
      </c>
      <c r="B661" s="150" t="s">
        <v>351</v>
      </c>
      <c r="C661" s="230">
        <f>'Assumptions (NG non-electricity'!B45</f>
        <v>2.09</v>
      </c>
      <c r="D661" s="230">
        <f>'Assumptions (NG non-electricity'!C45</f>
        <v>1.82462393</v>
      </c>
      <c r="E661" s="230">
        <f>'Assumptions (NG non-electricity'!D45</f>
        <v>1.951458454</v>
      </c>
      <c r="F661" s="230">
        <f>'Assumptions (NG non-electricity'!E45</f>
        <v>1.56680539</v>
      </c>
      <c r="G661" s="230">
        <f>'Assumptions (NG non-electricity'!F45</f>
        <v>2.174284353</v>
      </c>
      <c r="H661" s="230">
        <f>'Assumptions (NG non-electricity'!G45</f>
        <v>1.58</v>
      </c>
      <c r="I661" s="230">
        <f>'Assumptions (NG non-electricity'!H45</f>
        <v>2.04604838</v>
      </c>
      <c r="J661" s="230">
        <f>'Assumptions (NG non-electricity'!I45</f>
        <v>1.937002521</v>
      </c>
      <c r="K661" s="230">
        <f>'Assumptions (NG non-electricity'!J45</f>
        <v>2.135812876</v>
      </c>
      <c r="L661" s="230">
        <f>'Assumptions (NG non-electricity'!K45</f>
        <v>1.972922135</v>
      </c>
      <c r="M661" s="230">
        <f>'Assumptions (NG non-electricity'!L45</f>
        <v>2.81</v>
      </c>
      <c r="N661" s="230">
        <f>'Assumptions (NG non-electricity'!M45</f>
        <v>2.580285779</v>
      </c>
      <c r="O661" s="230">
        <f>'Assumptions (NG non-electricity'!N45</f>
        <v>2.671065482</v>
      </c>
      <c r="P661" s="230">
        <f>'Assumptions (NG non-electricity'!O45</f>
        <v>2.817817113</v>
      </c>
      <c r="Q661" s="230">
        <f>'Assumptions (NG non-electricity'!P45</f>
        <v>3.151489825</v>
      </c>
      <c r="R661" s="230">
        <f>'Assumptions (NG non-electricity'!Q45</f>
        <v>3.26</v>
      </c>
      <c r="S661" s="230">
        <f>'Assumptions (NG non-electricity'!R45</f>
        <v>3.75</v>
      </c>
      <c r="T661" s="230">
        <f>'Assumptions (NG non-electricity'!S45</f>
        <v>4.02</v>
      </c>
      <c r="U661" s="230">
        <f>'Assumptions (NG non-electricity'!T45</f>
        <v>3.787153577</v>
      </c>
      <c r="V661" s="230">
        <f>'Assumptions (NG non-electricity'!U45</f>
        <v>3.865844377</v>
      </c>
      <c r="W661" s="230">
        <f>'Assumptions (NG non-electricity'!V45</f>
        <v>3.929669792</v>
      </c>
      <c r="X661" s="230">
        <f>'Assumptions (NG non-electricity'!W45</f>
        <v>4.000784899</v>
      </c>
      <c r="Y661" s="230">
        <f>'Assumptions (NG non-electricity'!X45</f>
        <v>4.065274272</v>
      </c>
      <c r="Z661" s="230">
        <f>'Assumptions (NG non-electricity'!Y45</f>
        <v>4.121040073</v>
      </c>
      <c r="AA661" s="230">
        <f>'Assumptions (NG non-electricity'!Z45</f>
        <v>4.172963526</v>
      </c>
      <c r="AB661" s="230">
        <f>'Assumptions (NG non-electricity'!AA45</f>
        <v>4.220744976</v>
      </c>
      <c r="AC661" s="230">
        <f>'Assumptions (NG non-electricity'!AB45</f>
        <v>4.276674298</v>
      </c>
      <c r="AD661" s="230">
        <f>'Assumptions (NG non-electricity'!AC45</f>
        <v>4.334249681</v>
      </c>
      <c r="AE661" s="230">
        <f>'Assumptions (NG non-electricity'!AD45</f>
        <v>4.387571005</v>
      </c>
      <c r="AF661" s="230">
        <f>'Assumptions (NG non-electricity'!AE45</f>
        <v>4.443424508</v>
      </c>
      <c r="AG661" s="230">
        <f>'Assumptions (NG non-electricity'!AF45</f>
        <v>4.497220128</v>
      </c>
      <c r="AH661" s="230">
        <f>'Assumptions (NG non-electricity'!AG45</f>
        <v>4.552929734</v>
      </c>
      <c r="AI661" s="230">
        <f>'Assumptions (NG non-electricity'!AH45</f>
        <v>4.599408792</v>
      </c>
      <c r="AJ661" s="230">
        <f>'Assumptions (NG non-electricity'!AI45</f>
        <v>4.649111649</v>
      </c>
      <c r="AK661" s="230">
        <f>'Assumptions (NG non-electricity'!AJ45</f>
        <v>4.698815134</v>
      </c>
      <c r="AL661" s="230">
        <f>'Assumptions (NG non-electricity'!AK45</f>
        <v>4.747686807</v>
      </c>
      <c r="AM661" s="230">
        <f>'Assumptions (NG non-electricity'!AL45</f>
        <v>4.793771283</v>
      </c>
      <c r="AN661" s="230">
        <f>'Assumptions (NG non-electricity'!AM45</f>
        <v>4.842121209</v>
      </c>
      <c r="AO661" s="230">
        <f>'Assumptions (NG non-electricity'!AN45</f>
        <v>4.890223127</v>
      </c>
      <c r="AP661" s="230">
        <f>'Assumptions (NG non-electricity'!AO45</f>
        <v>4.936925161</v>
      </c>
      <c r="AQ661" s="230">
        <f>'Assumptions (NG non-electricity'!AP45</f>
        <v>4.980863598</v>
      </c>
      <c r="AR661" s="230">
        <f>'Assumptions (NG non-electricity'!AQ45</f>
        <v>5.027862211</v>
      </c>
      <c r="AS661" s="230">
        <f>'Assumptions (NG non-electricity'!AR45</f>
        <v>5.071277977</v>
      </c>
      <c r="AT661" s="230">
        <f>'Assumptions (NG non-electricity'!AS45</f>
        <v>5.11297171</v>
      </c>
      <c r="AU661" s="230">
        <f>'Assumptions (NG non-electricity'!AT45</f>
        <v>5.152992308</v>
      </c>
      <c r="AV661" s="230">
        <f>'Assumptions (NG non-electricity'!AU45</f>
        <v>5.192701014</v>
      </c>
      <c r="AW661" s="230">
        <f>'Assumptions (NG non-electricity'!AV45</f>
        <v>5.232927724</v>
      </c>
      <c r="AX661" s="230">
        <f>'Assumptions (NG non-electricity'!AW45</f>
        <v>5.271583399</v>
      </c>
      <c r="AY661" s="230">
        <f>'Assumptions (NG non-electricity'!AX45</f>
        <v>5.306472638</v>
      </c>
      <c r="AZ661" s="230">
        <f>'Assumptions (NG non-electricity'!AY45</f>
        <v>5.342359505</v>
      </c>
      <c r="BA661" s="230">
        <f>'Assumptions (NG non-electricity'!AZ45</f>
        <v>5.378402642</v>
      </c>
    </row>
    <row r="662" ht="15.75" customHeight="1">
      <c r="A662" s="207" t="s">
        <v>360</v>
      </c>
      <c r="B662" s="150" t="s">
        <v>351</v>
      </c>
      <c r="C662" s="230">
        <f>'Assumptions (NG non-electricity'!B47</f>
        <v>1.38</v>
      </c>
      <c r="D662" s="230">
        <f>'Assumptions (NG non-electricity'!C47</f>
        <v>1.41</v>
      </c>
      <c r="E662" s="230">
        <f>'Assumptions (NG non-electricity'!D47</f>
        <v>1.44</v>
      </c>
      <c r="F662" s="230">
        <f>'Assumptions (NG non-electricity'!E47</f>
        <v>1.47</v>
      </c>
      <c r="G662" s="230">
        <f>'Assumptions (NG non-electricity'!F47</f>
        <v>1.5</v>
      </c>
      <c r="H662" s="230">
        <f>'Assumptions (NG non-electricity'!G47</f>
        <v>1.53</v>
      </c>
      <c r="I662" s="230">
        <f>'Assumptions (NG non-electricity'!H47</f>
        <v>1.518</v>
      </c>
      <c r="J662" s="230">
        <f>'Assumptions (NG non-electricity'!I47</f>
        <v>1.506</v>
      </c>
      <c r="K662" s="230">
        <f>'Assumptions (NG non-electricity'!J47</f>
        <v>1.494</v>
      </c>
      <c r="L662" s="230">
        <f>'Assumptions (NG non-electricity'!K47</f>
        <v>1.482</v>
      </c>
      <c r="M662" s="230">
        <f>'Assumptions (NG non-electricity'!L47</f>
        <v>1.47</v>
      </c>
      <c r="N662" s="230">
        <f>'Assumptions (NG non-electricity'!M47</f>
        <v>1.454</v>
      </c>
      <c r="O662" s="230">
        <f>'Assumptions (NG non-electricity'!N47</f>
        <v>1.438</v>
      </c>
      <c r="P662" s="230">
        <f>'Assumptions (NG non-electricity'!O47</f>
        <v>1.422</v>
      </c>
      <c r="Q662" s="230">
        <f>'Assumptions (NG non-electricity'!P47</f>
        <v>1.406</v>
      </c>
      <c r="R662" s="230">
        <f>'Assumptions (NG non-electricity'!Q47</f>
        <v>1.39</v>
      </c>
      <c r="S662" s="230">
        <f>'Assumptions (NG non-electricity'!R47</f>
        <v>1.52</v>
      </c>
      <c r="T662" s="230">
        <f>'Assumptions (NG non-electricity'!S47</f>
        <v>1.71</v>
      </c>
      <c r="U662" s="230">
        <f>'Assumptions (NG non-electricity'!T47</f>
        <v>1.586311009</v>
      </c>
      <c r="V662" s="230">
        <f>'Assumptions (NG non-electricity'!U47</f>
        <v>1.628288767</v>
      </c>
      <c r="W662" s="230">
        <f>'Assumptions (NG non-electricity'!V47</f>
        <v>1.667298639</v>
      </c>
      <c r="X662" s="230">
        <f>'Assumptions (NG non-electricity'!W47</f>
        <v>1.716531038</v>
      </c>
      <c r="Y662" s="230">
        <f>'Assumptions (NG non-electricity'!X47</f>
        <v>1.766925042</v>
      </c>
      <c r="Z662" s="230">
        <f>'Assumptions (NG non-electricity'!Y47</f>
        <v>1.81530268</v>
      </c>
      <c r="AA662" s="230">
        <f>'Assumptions (NG non-electricity'!Z47</f>
        <v>1.864666589</v>
      </c>
      <c r="AB662" s="230">
        <f>'Assumptions (NG non-electricity'!AA47</f>
        <v>1.914033582</v>
      </c>
      <c r="AC662" s="230">
        <f>'Assumptions (NG non-electricity'!AB47</f>
        <v>1.97695581</v>
      </c>
      <c r="AD662" s="230">
        <f>'Assumptions (NG non-electricity'!AC47</f>
        <v>2.047939378</v>
      </c>
      <c r="AE662" s="230">
        <f>'Assumptions (NG non-electricity'!AD47</f>
        <v>2.119718086</v>
      </c>
      <c r="AF662" s="230">
        <f>'Assumptions (NG non-electricity'!AE47</f>
        <v>2.201598462</v>
      </c>
      <c r="AG662" s="230">
        <f>'Assumptions (NG non-electricity'!AF47</f>
        <v>2.287405666</v>
      </c>
      <c r="AH662" s="230">
        <f>'Assumptions (NG non-electricity'!AG47</f>
        <v>2.383972952</v>
      </c>
      <c r="AI662" s="230">
        <f>'Assumptions (NG non-electricity'!AH47</f>
        <v>2.470952051</v>
      </c>
      <c r="AJ662" s="230">
        <f>'Assumptions (NG non-electricity'!AI47</f>
        <v>2.5708468</v>
      </c>
      <c r="AK662" s="230">
        <f>'Assumptions (NG non-electricity'!AJ47</f>
        <v>2.67830867</v>
      </c>
      <c r="AL662" s="230">
        <f>'Assumptions (NG non-electricity'!AK47</f>
        <v>2.791824212</v>
      </c>
      <c r="AM662" s="230">
        <f>'Assumptions (NG non-electricity'!AL47</f>
        <v>2.906444394</v>
      </c>
      <c r="AN662" s="230">
        <f>'Assumptions (NG non-electricity'!AM47</f>
        <v>3.035094907</v>
      </c>
      <c r="AO662" s="230">
        <f>'Assumptions (NG non-electricity'!AN47</f>
        <v>3.172139113</v>
      </c>
      <c r="AP662" s="230">
        <f>'Assumptions (NG non-electricity'!AO47</f>
        <v>3.314364624</v>
      </c>
      <c r="AQ662" s="230">
        <f>'Assumptions (NG non-electricity'!AP47</f>
        <v>3.456910185</v>
      </c>
      <c r="AR662" s="230">
        <f>'Assumptions (NG non-electricity'!AQ47</f>
        <v>3.619307919</v>
      </c>
      <c r="AS662" s="230">
        <f>'Assumptions (NG non-electricity'!AR47</f>
        <v>3.778959948</v>
      </c>
      <c r="AT662" s="230">
        <f>'Assumptions (NG non-electricity'!AS47</f>
        <v>3.941475187</v>
      </c>
      <c r="AU662" s="230">
        <f>'Assumptions (NG non-electricity'!AT47</f>
        <v>4.106389876</v>
      </c>
      <c r="AV662" s="230">
        <f>'Assumptions (NG non-electricity'!AU47</f>
        <v>4.27909623</v>
      </c>
      <c r="AW662" s="230">
        <f>'Assumptions (NG non-electricity'!AV47</f>
        <v>4.463738071</v>
      </c>
      <c r="AX662" s="230">
        <f>'Assumptions (NG non-electricity'!AW47</f>
        <v>4.650805852</v>
      </c>
      <c r="AY662" s="230">
        <f>'Assumptions (NG non-electricity'!AX47</f>
        <v>4.828140577</v>
      </c>
      <c r="AZ662" s="230">
        <f>'Assumptions (NG non-electricity'!AY47</f>
        <v>5.019336507</v>
      </c>
      <c r="BA662" s="230">
        <f>'Assumptions (NG non-electricity'!AZ47</f>
        <v>5.220735463</v>
      </c>
    </row>
    <row r="663" ht="15.75" customHeight="1">
      <c r="A663" s="207" t="s">
        <v>406</v>
      </c>
      <c r="B663" s="150" t="s">
        <v>351</v>
      </c>
      <c r="C663" s="230">
        <f>'Assumptions (NG non-electricity'!B46</f>
        <v>2.92</v>
      </c>
      <c r="D663" s="230">
        <f>'Assumptions (NG non-electricity'!C46</f>
        <v>3.051497498</v>
      </c>
      <c r="E663" s="230">
        <f>'Assumptions (NG non-electricity'!D46</f>
        <v>3.103888805</v>
      </c>
      <c r="F663" s="230">
        <f>'Assumptions (NG non-electricity'!E46</f>
        <v>2.945000863</v>
      </c>
      <c r="G663" s="230">
        <f>'Assumptions (NG non-electricity'!F46</f>
        <v>3.195931093</v>
      </c>
      <c r="H663" s="230">
        <f>'Assumptions (NG non-electricity'!G46</f>
        <v>3.23</v>
      </c>
      <c r="I663" s="230">
        <f>'Assumptions (NG non-electricity'!H46</f>
        <v>3.142960893</v>
      </c>
      <c r="J663" s="230">
        <f>'Assumptions (NG non-electricity'!I46</f>
        <v>3.097917518</v>
      </c>
      <c r="K663" s="230">
        <f>'Assumptions (NG non-electricity'!J46</f>
        <v>3.18003975</v>
      </c>
      <c r="L663" s="230">
        <f>'Assumptions (NG non-electricity'!K46</f>
        <v>3.112754768</v>
      </c>
      <c r="M663" s="230">
        <f>'Assumptions (NG non-electricity'!L46</f>
        <v>3.36</v>
      </c>
      <c r="N663" s="230">
        <f>'Assumptions (NG non-electricity'!M46</f>
        <v>3.363637364</v>
      </c>
      <c r="O663" s="230">
        <f>'Assumptions (NG non-electricity'!N46</f>
        <v>3.401135571</v>
      </c>
      <c r="P663" s="230">
        <f>'Assumptions (NG non-electricity'!O46</f>
        <v>3.461754001</v>
      </c>
      <c r="Q663" s="230">
        <f>'Assumptions (NG non-electricity'!P46</f>
        <v>3.599583581</v>
      </c>
      <c r="R663" s="230">
        <f>'Assumptions (NG non-electricity'!Q46</f>
        <v>3.74</v>
      </c>
      <c r="S663" s="230">
        <f>'Assumptions (NG non-electricity'!R46</f>
        <v>3.75</v>
      </c>
      <c r="T663" s="230">
        <f>'Assumptions (NG non-electricity'!S46</f>
        <v>3.98</v>
      </c>
      <c r="U663" s="230">
        <f>'Assumptions (NG non-electricity'!T46</f>
        <v>3.862156051</v>
      </c>
      <c r="V663" s="230">
        <f>'Assumptions (NG non-electricity'!U46</f>
        <v>3.894660717</v>
      </c>
      <c r="W663" s="230">
        <f>'Assumptions (NG non-electricity'!V46</f>
        <v>3.921024965</v>
      </c>
      <c r="X663" s="230">
        <f>'Assumptions (NG non-electricity'!W46</f>
        <v>3.950400353</v>
      </c>
      <c r="Y663" s="230">
        <f>'Assumptions (NG non-electricity'!X46</f>
        <v>3.977038861</v>
      </c>
      <c r="Z663" s="230">
        <f>'Assumptions (NG non-electricity'!Y46</f>
        <v>4.000073939</v>
      </c>
      <c r="AA663" s="230">
        <f>'Assumptions (NG non-electricity'!Z46</f>
        <v>4.021521866</v>
      </c>
      <c r="AB663" s="230">
        <f>'Assumptions (NG non-electricity'!AA46</f>
        <v>4.041258862</v>
      </c>
      <c r="AC663" s="230">
        <f>'Assumptions (NG non-electricity'!AB46</f>
        <v>4.064361486</v>
      </c>
      <c r="AD663" s="230">
        <f>'Assumptions (NG non-electricity'!AC46</f>
        <v>4.088144044</v>
      </c>
      <c r="AE663" s="230">
        <f>'Assumptions (NG non-electricity'!AD46</f>
        <v>4.110169387</v>
      </c>
      <c r="AF663" s="230">
        <f>'Assumptions (NG non-electricity'!AE46</f>
        <v>4.133240691</v>
      </c>
      <c r="AG663" s="230">
        <f>'Assumptions (NG non-electricity'!AF46</f>
        <v>4.155461951</v>
      </c>
      <c r="AH663" s="230">
        <f>'Assumptions (NG non-electricity'!AG46</f>
        <v>4.178473816</v>
      </c>
      <c r="AI663" s="230">
        <f>'Assumptions (NG non-electricity'!AH46</f>
        <v>4.197672836</v>
      </c>
      <c r="AJ663" s="230">
        <f>'Assumptions (NG non-electricity'!AI46</f>
        <v>4.218203505</v>
      </c>
      <c r="AK663" s="230">
        <f>'Assumptions (NG non-electricity'!AJ46</f>
        <v>4.238734433</v>
      </c>
      <c r="AL663" s="230">
        <f>'Assumptions (NG non-electricity'!AK46</f>
        <v>4.258921766</v>
      </c>
      <c r="AM663" s="230">
        <f>'Assumptions (NG non-electricity'!AL46</f>
        <v>4.277957797</v>
      </c>
      <c r="AN663" s="230">
        <f>'Assumptions (NG non-electricity'!AM46</f>
        <v>4.297929613</v>
      </c>
      <c r="AO663" s="230">
        <f>'Assumptions (NG non-electricity'!AN46</f>
        <v>4.317798985</v>
      </c>
      <c r="AP663" s="230">
        <f>'Assumptions (NG non-electricity'!AO46</f>
        <v>4.337090109</v>
      </c>
      <c r="AQ663" s="230">
        <f>'Assumptions (NG non-electricity'!AP46</f>
        <v>4.355239679</v>
      </c>
      <c r="AR663" s="230">
        <f>'Assumptions (NG non-electricity'!AQ46</f>
        <v>4.374653311</v>
      </c>
      <c r="AS663" s="230">
        <f>'Assumptions (NG non-electricity'!AR46</f>
        <v>4.392586983</v>
      </c>
      <c r="AT663" s="230">
        <f>'Assumptions (NG non-electricity'!AS46</f>
        <v>4.409809337</v>
      </c>
      <c r="AU663" s="230">
        <f>'Assumptions (NG non-electricity'!AT46</f>
        <v>4.426340573</v>
      </c>
      <c r="AV663" s="230">
        <f>'Assumptions (NG non-electricity'!AU46</f>
        <v>4.442742976</v>
      </c>
      <c r="AW663" s="230">
        <f>'Assumptions (NG non-electricity'!AV46</f>
        <v>4.45935935</v>
      </c>
      <c r="AX663" s="230">
        <f>'Assumptions (NG non-electricity'!AW46</f>
        <v>4.475326779</v>
      </c>
      <c r="AY663" s="230">
        <f>'Assumptions (NG non-electricity'!AX46</f>
        <v>4.489738413</v>
      </c>
      <c r="AZ663" s="230">
        <f>'Assumptions (NG non-electricity'!AY46</f>
        <v>4.504562136</v>
      </c>
      <c r="BA663" s="230">
        <f>'Assumptions (NG non-electricity'!AZ46</f>
        <v>4.51945041</v>
      </c>
    </row>
    <row r="664" ht="15.75" customHeight="1">
      <c r="A664" s="207" t="s">
        <v>62</v>
      </c>
      <c r="B664" s="150" t="s">
        <v>351</v>
      </c>
      <c r="C664" s="230">
        <f t="shared" ref="C664:BA664" si="30">C658-C659-C662-C663</f>
        <v>3.31</v>
      </c>
      <c r="D664" s="230">
        <f t="shared" si="30"/>
        <v>6.367394828</v>
      </c>
      <c r="E664" s="230">
        <f t="shared" si="30"/>
        <v>6.744271638</v>
      </c>
      <c r="F664" s="230">
        <f t="shared" si="30"/>
        <v>5.47709115</v>
      </c>
      <c r="G664" s="230">
        <f t="shared" si="30"/>
        <v>4.981626513</v>
      </c>
      <c r="H664" s="230">
        <f t="shared" si="30"/>
        <v>4.26</v>
      </c>
      <c r="I664" s="230">
        <f t="shared" si="30"/>
        <v>4.62997119</v>
      </c>
      <c r="J664" s="230">
        <f t="shared" si="30"/>
        <v>4.58539833</v>
      </c>
      <c r="K664" s="230">
        <f t="shared" si="30"/>
        <v>3.819474632</v>
      </c>
      <c r="L664" s="230">
        <f t="shared" si="30"/>
        <v>6.248821134</v>
      </c>
      <c r="M664" s="230">
        <f t="shared" si="30"/>
        <v>7.57</v>
      </c>
      <c r="N664" s="230">
        <f t="shared" si="30"/>
        <v>5.982108988</v>
      </c>
      <c r="O664" s="230">
        <f t="shared" si="30"/>
        <v>7.047221785</v>
      </c>
      <c r="P664" s="230">
        <f t="shared" si="30"/>
        <v>6.118662122</v>
      </c>
      <c r="Q664" s="230">
        <f t="shared" si="30"/>
        <v>5.537603693</v>
      </c>
      <c r="R664" s="230">
        <f t="shared" si="30"/>
        <v>6.15</v>
      </c>
      <c r="S664" s="230">
        <f t="shared" si="30"/>
        <v>7.02</v>
      </c>
      <c r="T664" s="230">
        <f t="shared" si="30"/>
        <v>7.79</v>
      </c>
      <c r="U664" s="230">
        <f t="shared" si="30"/>
        <v>6.125711335</v>
      </c>
      <c r="V664" s="230">
        <f t="shared" si="30"/>
        <v>6.115129486</v>
      </c>
      <c r="W664" s="230">
        <f t="shared" si="30"/>
        <v>5.915921947</v>
      </c>
      <c r="X664" s="230">
        <f t="shared" si="30"/>
        <v>5.841127222</v>
      </c>
      <c r="Y664" s="230">
        <f t="shared" si="30"/>
        <v>5.688549639</v>
      </c>
      <c r="Z664" s="230">
        <f t="shared" si="30"/>
        <v>5.425705284</v>
      </c>
      <c r="AA664" s="230">
        <f t="shared" si="30"/>
        <v>5.129395482</v>
      </c>
      <c r="AB664" s="230">
        <f t="shared" si="30"/>
        <v>4.800828265</v>
      </c>
      <c r="AC664" s="230">
        <f t="shared" si="30"/>
        <v>4.591258296</v>
      </c>
      <c r="AD664" s="230">
        <f t="shared" si="30"/>
        <v>4.412273899</v>
      </c>
      <c r="AE664" s="230">
        <f t="shared" si="30"/>
        <v>4.191566956</v>
      </c>
      <c r="AF664" s="230">
        <f t="shared" si="30"/>
        <v>4.009531656</v>
      </c>
      <c r="AG664" s="230">
        <f t="shared" si="30"/>
        <v>3.810739322</v>
      </c>
      <c r="AH664" s="230">
        <f t="shared" si="30"/>
        <v>3.640787268</v>
      </c>
      <c r="AI664" s="230">
        <f t="shared" si="30"/>
        <v>3.370992419</v>
      </c>
      <c r="AJ664" s="230">
        <f t="shared" si="30"/>
        <v>3.144359117</v>
      </c>
      <c r="AK664" s="230">
        <f t="shared" si="30"/>
        <v>2.922421654</v>
      </c>
      <c r="AL664" s="230">
        <f t="shared" si="30"/>
        <v>2.695408216</v>
      </c>
      <c r="AM664" s="230">
        <f t="shared" si="30"/>
        <v>2.44300852</v>
      </c>
      <c r="AN664" s="230">
        <f t="shared" si="30"/>
        <v>2.216189082</v>
      </c>
      <c r="AO664" s="230">
        <f t="shared" si="30"/>
        <v>1.98816647</v>
      </c>
      <c r="AP664" s="230">
        <f t="shared" si="30"/>
        <v>1.747206035</v>
      </c>
      <c r="AQ664" s="230">
        <f t="shared" si="30"/>
        <v>1.480718474</v>
      </c>
      <c r="AR664" s="230">
        <f t="shared" si="30"/>
        <v>1.242218129</v>
      </c>
      <c r="AS664" s="230">
        <f t="shared" si="30"/>
        <v>0.9704029551</v>
      </c>
      <c r="AT664" s="230">
        <f t="shared" si="30"/>
        <v>0.6831526218</v>
      </c>
      <c r="AU664" s="230">
        <f t="shared" si="30"/>
        <v>0.3818320035</v>
      </c>
      <c r="AV664" s="230">
        <f t="shared" si="30"/>
        <v>0.0776937289</v>
      </c>
      <c r="AW664" s="230">
        <f t="shared" si="30"/>
        <v>-0.2240787077</v>
      </c>
      <c r="AX664" s="230">
        <f t="shared" si="30"/>
        <v>-0.5389308196</v>
      </c>
      <c r="AY664" s="230">
        <f t="shared" si="30"/>
        <v>-0.8789945774</v>
      </c>
      <c r="AZ664" s="230">
        <f t="shared" si="30"/>
        <v>-1.213202438</v>
      </c>
      <c r="BA664" s="230">
        <f t="shared" si="30"/>
        <v>-1.54837872</v>
      </c>
    </row>
    <row r="665" ht="15.75" customHeight="1">
      <c r="A665" s="209" t="s">
        <v>64</v>
      </c>
      <c r="B665" s="159" t="s">
        <v>351</v>
      </c>
      <c r="C665" s="139"/>
      <c r="D665" s="78"/>
      <c r="E665" s="78"/>
      <c r="F665" s="78"/>
      <c r="G665" s="78"/>
      <c r="H665" s="78"/>
      <c r="I665" s="78"/>
      <c r="J665" s="78"/>
      <c r="K665" s="78"/>
      <c r="L665" s="78"/>
      <c r="M665" s="78"/>
      <c r="N665" s="78"/>
      <c r="O665" s="78"/>
      <c r="P665" s="78"/>
      <c r="Q665" s="78"/>
      <c r="R665" s="78"/>
      <c r="S665" s="78"/>
      <c r="T665" s="78"/>
      <c r="U665" s="78"/>
      <c r="V665" s="78"/>
      <c r="W665" s="139"/>
    </row>
    <row r="666" ht="15.75" customHeight="1">
      <c r="A666" s="209" t="s">
        <v>66</v>
      </c>
      <c r="B666" s="159" t="s">
        <v>407</v>
      </c>
      <c r="C666" s="231" t="s">
        <v>408</v>
      </c>
      <c r="D666" s="78"/>
      <c r="E666" s="78"/>
      <c r="F666" s="78"/>
      <c r="G666" s="78"/>
      <c r="H666" s="78"/>
      <c r="I666" s="78"/>
      <c r="J666" s="78"/>
      <c r="K666" s="78"/>
      <c r="L666" s="78"/>
      <c r="M666" s="78"/>
      <c r="N666" s="78"/>
      <c r="O666" s="78"/>
      <c r="P666" s="78"/>
      <c r="Q666" s="78"/>
      <c r="R666" s="78"/>
      <c r="S666" s="78"/>
      <c r="T666" s="78"/>
      <c r="U666" s="78"/>
      <c r="V666" s="78"/>
      <c r="W666" s="139"/>
    </row>
    <row r="667" ht="15.75" customHeight="1">
      <c r="A667" s="232" t="s">
        <v>409</v>
      </c>
      <c r="B667" s="38"/>
      <c r="C667" s="78"/>
      <c r="D667" s="78"/>
      <c r="E667" s="78"/>
      <c r="F667" s="78"/>
      <c r="G667" s="78"/>
      <c r="H667" s="78"/>
      <c r="I667" s="78"/>
      <c r="J667" s="78"/>
      <c r="K667" s="78"/>
      <c r="L667" s="78"/>
      <c r="M667" s="78"/>
      <c r="N667" s="78"/>
      <c r="O667" s="78"/>
      <c r="P667" s="78"/>
      <c r="Q667" s="78"/>
      <c r="R667" s="78"/>
      <c r="S667" s="78"/>
      <c r="T667" s="78"/>
      <c r="U667" s="78"/>
      <c r="V667" s="78"/>
      <c r="W667" s="139"/>
    </row>
    <row r="668" ht="15.75" customHeight="1">
      <c r="A668" s="233"/>
      <c r="B668" s="38"/>
      <c r="C668" s="78"/>
      <c r="D668" s="78"/>
      <c r="E668" s="78"/>
      <c r="F668" s="78"/>
      <c r="G668" s="78"/>
      <c r="H668" s="78"/>
      <c r="I668" s="78"/>
      <c r="J668" s="78"/>
      <c r="K668" s="78"/>
      <c r="L668" s="78"/>
      <c r="M668" s="78"/>
      <c r="N668" s="78"/>
      <c r="O668" s="78"/>
      <c r="P668" s="78"/>
      <c r="Q668" s="78"/>
      <c r="R668" s="78"/>
      <c r="S668" s="78"/>
      <c r="T668" s="78"/>
      <c r="U668" s="78"/>
      <c r="V668" s="78"/>
      <c r="W668" s="139"/>
    </row>
    <row r="669" ht="15.75" customHeight="1">
      <c r="A669" s="232" t="s">
        <v>410</v>
      </c>
      <c r="B669" s="21"/>
      <c r="C669" s="78"/>
      <c r="D669" s="78"/>
      <c r="E669" s="78"/>
      <c r="F669" s="78"/>
      <c r="G669" s="78"/>
      <c r="H669" s="78"/>
      <c r="I669" s="78"/>
      <c r="J669" s="78"/>
      <c r="K669" s="78"/>
      <c r="L669" s="78"/>
      <c r="M669" s="78"/>
      <c r="N669" s="78"/>
      <c r="O669" s="78"/>
      <c r="P669" s="78"/>
      <c r="Q669" s="78"/>
      <c r="R669" s="78"/>
      <c r="S669" s="78"/>
      <c r="T669" s="78"/>
      <c r="U669" s="78"/>
      <c r="V669" s="78"/>
      <c r="W669" s="139"/>
    </row>
    <row r="670" ht="15.75" customHeight="1">
      <c r="A670" s="233"/>
      <c r="B670" s="234" t="s">
        <v>411</v>
      </c>
      <c r="C670" s="21"/>
      <c r="D670" s="38"/>
      <c r="E670" s="38"/>
      <c r="F670" s="38"/>
      <c r="G670" s="38"/>
      <c r="H670" s="38"/>
      <c r="I670" s="38"/>
      <c r="J670" s="38"/>
      <c r="K670" s="38"/>
      <c r="L670" s="38"/>
      <c r="M670" s="38"/>
      <c r="N670" s="38"/>
      <c r="O670" s="38"/>
      <c r="P670" s="38"/>
      <c r="Q670" s="38"/>
      <c r="R670" s="38"/>
      <c r="S670" s="38"/>
      <c r="T670" s="38"/>
      <c r="U670" s="38"/>
      <c r="V670" s="38"/>
      <c r="W670" s="38"/>
      <c r="X670" s="235">
        <f>'Assumptions (Wind)'!W42</f>
        <v>0</v>
      </c>
      <c r="Y670" s="235">
        <f>'Assumptions (Wind)'!X42</f>
        <v>0</v>
      </c>
      <c r="Z670" s="235">
        <f>'Assumptions (Wind)'!Y42</f>
        <v>0</v>
      </c>
      <c r="AA670" s="235">
        <f>'Assumptions (Wind)'!Z42</f>
        <v>0</v>
      </c>
      <c r="AB670" s="235">
        <f>'Assumptions (Wind)'!AA42</f>
        <v>0</v>
      </c>
      <c r="AC670" s="235">
        <f>'Assumptions (Wind)'!AB42</f>
        <v>0</v>
      </c>
      <c r="AD670" s="235">
        <f>'Assumptions (Wind)'!AC42</f>
        <v>0</v>
      </c>
      <c r="AE670" s="235">
        <f>'Assumptions (Wind)'!AD42</f>
        <v>1.8</v>
      </c>
      <c r="AF670" s="235">
        <f>'Assumptions (Wind)'!AE42</f>
        <v>0</v>
      </c>
      <c r="AG670" s="235">
        <f>'Assumptions (Wind)'!AF42</f>
        <v>0</v>
      </c>
      <c r="AH670" s="235">
        <f>'Assumptions (Wind)'!AG42</f>
        <v>0</v>
      </c>
      <c r="AI670" s="235">
        <f>'Assumptions (Wind)'!AH42</f>
        <v>27</v>
      </c>
      <c r="AJ670" s="235">
        <f>'Assumptions (Wind)'!AI42</f>
        <v>0</v>
      </c>
      <c r="AK670" s="235">
        <f>'Assumptions (Wind)'!AJ42</f>
        <v>0</v>
      </c>
      <c r="AL670" s="235">
        <f>'Assumptions (Wind)'!AK42</f>
        <v>0</v>
      </c>
      <c r="AM670" s="235">
        <f>'Assumptions (Wind)'!AL42</f>
        <v>0</v>
      </c>
      <c r="AN670" s="235">
        <f>'Assumptions (Wind)'!AM42</f>
        <v>0</v>
      </c>
      <c r="AO670" s="235">
        <f>'Assumptions (Wind)'!AN42</f>
        <v>0</v>
      </c>
      <c r="AP670" s="235">
        <f>'Assumptions (Wind)'!AO42</f>
        <v>0</v>
      </c>
      <c r="AQ670" s="235">
        <f>'Assumptions (Wind)'!AP42</f>
        <v>0</v>
      </c>
      <c r="AR670" s="235">
        <f>'Assumptions (Wind)'!AQ42</f>
        <v>0</v>
      </c>
      <c r="AS670" s="235">
        <f>'Assumptions (Wind)'!AR42</f>
        <v>0</v>
      </c>
      <c r="AT670" s="235">
        <f>'Assumptions (Wind)'!AS42</f>
        <v>0</v>
      </c>
      <c r="AU670" s="235">
        <f>'Assumptions (Wind)'!AT42</f>
        <v>208</v>
      </c>
      <c r="AV670" s="235">
        <f>'Assumptions (Wind)'!AU42</f>
        <v>0</v>
      </c>
      <c r="AW670" s="235">
        <f>'Assumptions (Wind)'!AV42</f>
        <v>0</v>
      </c>
      <c r="AX670" s="235">
        <f>'Assumptions (Wind)'!AW42</f>
        <v>0</v>
      </c>
      <c r="AY670" s="235">
        <f>'Assumptions (Wind)'!AX42</f>
        <v>0</v>
      </c>
      <c r="AZ670" s="235">
        <f>'Assumptions (Wind)'!AY42</f>
        <v>155.4467634</v>
      </c>
      <c r="BA670" s="235">
        <f>'Assumptions (Wind)'!AZ42</f>
        <v>155.4467634</v>
      </c>
    </row>
    <row r="671" ht="15.75" customHeight="1">
      <c r="A671" s="236" t="s">
        <v>412</v>
      </c>
      <c r="B671" s="237" t="s">
        <v>413</v>
      </c>
      <c r="C671" s="21"/>
      <c r="D671" s="21"/>
      <c r="E671" s="21"/>
      <c r="F671" s="21"/>
      <c r="G671" s="21"/>
      <c r="H671" s="21"/>
      <c r="I671" s="21"/>
      <c r="J671" s="21"/>
      <c r="K671" s="38"/>
      <c r="L671" s="38"/>
      <c r="M671" s="38"/>
      <c r="N671" s="38"/>
      <c r="O671" s="38"/>
      <c r="P671" s="38"/>
      <c r="Q671" s="38"/>
      <c r="R671" s="38"/>
      <c r="S671" s="38"/>
      <c r="T671" s="38"/>
      <c r="U671" s="38"/>
      <c r="V671" s="38"/>
      <c r="W671" s="38"/>
      <c r="X671" s="238">
        <f>W672-'Assumptions (Wind)'!W42+W677</f>
        <v>236.8</v>
      </c>
      <c r="Y671" s="167">
        <f>X671-'Assumptions (Wind)'!X42+X677</f>
        <v>392.2467634</v>
      </c>
      <c r="Z671" s="167">
        <f>Y671-'Assumptions (Wind)'!Y42+Y677</f>
        <v>547.6935267</v>
      </c>
      <c r="AA671" s="167">
        <f>Z671-'Assumptions (Wind)'!Z42+Z677</f>
        <v>703.1402901</v>
      </c>
      <c r="AB671" s="167">
        <f>AA671-'Assumptions (Wind)'!AA42+AA677</f>
        <v>858.5870534</v>
      </c>
      <c r="AC671" s="167">
        <f>AB671-'Assumptions (Wind)'!AB42+AB677</f>
        <v>1014.033817</v>
      </c>
      <c r="AD671" s="167">
        <f>AC671-'Assumptions (Wind)'!AC42+AC677</f>
        <v>1169.48058</v>
      </c>
      <c r="AE671" s="167">
        <f>AD671-'Assumptions (Wind)'!AD42+AD677</f>
        <v>1323.127343</v>
      </c>
      <c r="AF671" s="167">
        <f>AE671-'Assumptions (Wind)'!AE42+AE677</f>
        <v>1480.374107</v>
      </c>
      <c r="AG671" s="167">
        <f>AF671-'Assumptions (Wind)'!AF42+AF677</f>
        <v>1635.82087</v>
      </c>
      <c r="AH671" s="167">
        <f>AG671-'Assumptions (Wind)'!AG42+AG677</f>
        <v>1791.267634</v>
      </c>
      <c r="AI671" s="167">
        <f>AH671-'Assumptions (Wind)'!AH42+AH677</f>
        <v>1919.714397</v>
      </c>
      <c r="AJ671" s="167">
        <f>AI671-'Assumptions (Wind)'!AI42+AI677</f>
        <v>2102.16116</v>
      </c>
      <c r="AK671" s="167">
        <f>AJ671-'Assumptions (Wind)'!AJ42+AJ677</f>
        <v>2257.607924</v>
      </c>
      <c r="AL671" s="167">
        <f>AK671-'Assumptions (Wind)'!AK42+AK677</f>
        <v>2413.054687</v>
      </c>
      <c r="AM671" s="167">
        <f>AL671-'Assumptions (Wind)'!AL42+AL677</f>
        <v>2568.50145</v>
      </c>
      <c r="AN671" s="167">
        <f>AM671-'Assumptions (Wind)'!AM42+AM677</f>
        <v>2723.948214</v>
      </c>
      <c r="AO671" s="167">
        <f>AN671-'Assumptions (Wind)'!AN42+AN677</f>
        <v>2879.394977</v>
      </c>
      <c r="AP671" s="167">
        <f>AO671-'Assumptions (Wind)'!AO42+AO677</f>
        <v>3034.84174</v>
      </c>
      <c r="AQ671" s="167">
        <f>AP671-'Assumptions (Wind)'!AP42+AP677</f>
        <v>3190.288504</v>
      </c>
      <c r="AR671" s="167">
        <f>AQ671-'Assumptions (Wind)'!AQ42+AQ677</f>
        <v>3345.735267</v>
      </c>
      <c r="AS671" s="167">
        <f>AR671-'Assumptions (Wind)'!AR42+AR677</f>
        <v>3501.18203</v>
      </c>
      <c r="AT671" s="167">
        <f>AS671-'Assumptions (Wind)'!AS42+AS677</f>
        <v>3656.628794</v>
      </c>
      <c r="AU671" s="167">
        <f>AT671-'Assumptions (Wind)'!AT42+AT677</f>
        <v>3604.075557</v>
      </c>
      <c r="AV671" s="167">
        <f>AU671-'Assumptions (Wind)'!AU42+AU677</f>
        <v>3967.52232</v>
      </c>
      <c r="AW671" s="167">
        <f>AV671-'Assumptions (Wind)'!AV42+AV677</f>
        <v>4122.969084</v>
      </c>
      <c r="AX671" s="167">
        <f>AW671-'Assumptions (Wind)'!AW42+AW677</f>
        <v>4278.415847</v>
      </c>
      <c r="AY671" s="167">
        <f>AX671-'Assumptions (Wind)'!AX42+AX677</f>
        <v>4433.862611</v>
      </c>
      <c r="AZ671" s="167">
        <f>AY671-'Assumptions (Wind)'!AY42+AY677</f>
        <v>4433.862611</v>
      </c>
      <c r="BA671" s="167">
        <f>AZ671-'Assumptions (Wind)'!AZ42+AZ677</f>
        <v>4589.309374</v>
      </c>
    </row>
    <row r="672" ht="15.75" customHeight="1">
      <c r="A672" s="239" t="s">
        <v>350</v>
      </c>
      <c r="B672" s="202" t="s">
        <v>149</v>
      </c>
      <c r="C672" s="240">
        <v>1.8</v>
      </c>
      <c r="D672" s="151">
        <v>1.8</v>
      </c>
      <c r="E672" s="151">
        <v>1.8</v>
      </c>
      <c r="F672" s="151">
        <v>1.8</v>
      </c>
      <c r="G672" s="151">
        <v>28.8</v>
      </c>
      <c r="H672" s="151">
        <v>28.8</v>
      </c>
      <c r="I672" s="151">
        <v>28.8</v>
      </c>
      <c r="J672" s="151">
        <v>28.8</v>
      </c>
      <c r="K672" s="151">
        <v>28.8</v>
      </c>
      <c r="L672" s="151">
        <v>28.8</v>
      </c>
      <c r="M672" s="151">
        <v>28.8</v>
      </c>
      <c r="N672" s="151">
        <v>28.8</v>
      </c>
      <c r="O672" s="151">
        <v>28.8</v>
      </c>
      <c r="P672" s="151">
        <v>28.8</v>
      </c>
      <c r="Q672" s="151">
        <v>28.8</v>
      </c>
      <c r="R672" s="151">
        <v>28.8</v>
      </c>
      <c r="S672" s="151">
        <v>236.8</v>
      </c>
      <c r="T672" s="151">
        <v>236.8</v>
      </c>
      <c r="U672" s="151">
        <v>236.8</v>
      </c>
      <c r="V672" s="172">
        <f t="shared" ref="V672:W672" si="31">U672+V677</f>
        <v>236.8</v>
      </c>
      <c r="W672" s="153">
        <f t="shared" si="31"/>
        <v>236.8</v>
      </c>
      <c r="X672" s="148">
        <f t="shared" ref="X672:AZ672" si="32">$W672+W$1*($BA$672-$W$672)/($BA$2-$W$2)</f>
        <v>392.2467634</v>
      </c>
      <c r="Y672" s="148">
        <f t="shared" si="32"/>
        <v>547.6935267</v>
      </c>
      <c r="Z672" s="148">
        <f t="shared" si="32"/>
        <v>703.1402901</v>
      </c>
      <c r="AA672" s="148">
        <f t="shared" si="32"/>
        <v>858.5870534</v>
      </c>
      <c r="AB672" s="148">
        <f t="shared" si="32"/>
        <v>1014.033817</v>
      </c>
      <c r="AC672" s="148">
        <f t="shared" si="32"/>
        <v>1169.48058</v>
      </c>
      <c r="AD672" s="148">
        <f t="shared" si="32"/>
        <v>1324.927343</v>
      </c>
      <c r="AE672" s="148">
        <f t="shared" si="32"/>
        <v>1480.374107</v>
      </c>
      <c r="AF672" s="148">
        <f t="shared" si="32"/>
        <v>1635.82087</v>
      </c>
      <c r="AG672" s="148">
        <f t="shared" si="32"/>
        <v>1791.267634</v>
      </c>
      <c r="AH672" s="148">
        <f t="shared" si="32"/>
        <v>1946.714397</v>
      </c>
      <c r="AI672" s="148">
        <f t="shared" si="32"/>
        <v>2102.16116</v>
      </c>
      <c r="AJ672" s="148">
        <f t="shared" si="32"/>
        <v>2257.607924</v>
      </c>
      <c r="AK672" s="148">
        <f t="shared" si="32"/>
        <v>2413.054687</v>
      </c>
      <c r="AL672" s="148">
        <f t="shared" si="32"/>
        <v>2568.50145</v>
      </c>
      <c r="AM672" s="148">
        <f t="shared" si="32"/>
        <v>2723.948214</v>
      </c>
      <c r="AN672" s="148">
        <f t="shared" si="32"/>
        <v>2879.394977</v>
      </c>
      <c r="AO672" s="148">
        <f t="shared" si="32"/>
        <v>3034.84174</v>
      </c>
      <c r="AP672" s="148">
        <f t="shared" si="32"/>
        <v>3190.288504</v>
      </c>
      <c r="AQ672" s="148">
        <f t="shared" si="32"/>
        <v>3345.735267</v>
      </c>
      <c r="AR672" s="148">
        <f t="shared" si="32"/>
        <v>3501.18203</v>
      </c>
      <c r="AS672" s="148">
        <f t="shared" si="32"/>
        <v>3656.628794</v>
      </c>
      <c r="AT672" s="148">
        <f t="shared" si="32"/>
        <v>3812.075557</v>
      </c>
      <c r="AU672" s="148">
        <f t="shared" si="32"/>
        <v>3967.52232</v>
      </c>
      <c r="AV672" s="148">
        <f t="shared" si="32"/>
        <v>4122.969084</v>
      </c>
      <c r="AW672" s="148">
        <f t="shared" si="32"/>
        <v>4278.415847</v>
      </c>
      <c r="AX672" s="148">
        <f t="shared" si="32"/>
        <v>4433.862611</v>
      </c>
      <c r="AY672" s="148">
        <f t="shared" si="32"/>
        <v>4589.309374</v>
      </c>
      <c r="AZ672" s="148">
        <f t="shared" si="32"/>
        <v>4744.756137</v>
      </c>
      <c r="BA672" s="155">
        <f>Inputs!H9</f>
        <v>4900.202901</v>
      </c>
    </row>
    <row r="673" ht="15.75" customHeight="1">
      <c r="A673" s="241" t="s">
        <v>28</v>
      </c>
      <c r="B673" s="159" t="s">
        <v>150</v>
      </c>
      <c r="C673" s="156">
        <v>0.0</v>
      </c>
      <c r="D673" s="156">
        <v>0.0</v>
      </c>
      <c r="E673" s="156">
        <v>0.004068</v>
      </c>
      <c r="F673" s="156">
        <v>0.003933</v>
      </c>
      <c r="G673" s="156">
        <v>0.003813</v>
      </c>
      <c r="H673" s="156">
        <v>0.003339</v>
      </c>
      <c r="I673" s="156">
        <v>0.054598</v>
      </c>
      <c r="J673" s="156">
        <v>0.049937</v>
      </c>
      <c r="K673" s="156">
        <v>0.050117</v>
      </c>
      <c r="L673" s="156">
        <v>0.051747</v>
      </c>
      <c r="M673" s="156">
        <v>0.04057</v>
      </c>
      <c r="N673" s="156">
        <v>0.053143</v>
      </c>
      <c r="O673" s="156">
        <v>0.047492</v>
      </c>
      <c r="P673" s="156">
        <v>0.046745</v>
      </c>
      <c r="Q673" s="156">
        <v>0.05114</v>
      </c>
      <c r="R673" s="156">
        <v>0.045841</v>
      </c>
      <c r="S673" s="156">
        <v>0.04398</v>
      </c>
      <c r="T673" s="156">
        <v>0.51407</v>
      </c>
      <c r="U673" s="156">
        <v>0.583781</v>
      </c>
      <c r="V673" s="242">
        <f>U673+(U673-T673)</f>
        <v>0.653492</v>
      </c>
      <c r="W673" s="153">
        <f>V673</f>
        <v>0.653492</v>
      </c>
      <c r="X673" s="154">
        <f t="shared" ref="X673:AZ673" si="33">W673+($BA$673-$W$673)/($BA$2-$W$2)</f>
        <v>1.192788644</v>
      </c>
      <c r="Y673" s="154">
        <f t="shared" si="33"/>
        <v>1.732085288</v>
      </c>
      <c r="Z673" s="154">
        <f t="shared" si="33"/>
        <v>2.271381931</v>
      </c>
      <c r="AA673" s="154">
        <f t="shared" si="33"/>
        <v>2.810678575</v>
      </c>
      <c r="AB673" s="154">
        <f t="shared" si="33"/>
        <v>3.349975219</v>
      </c>
      <c r="AC673" s="154">
        <f t="shared" si="33"/>
        <v>3.889271863</v>
      </c>
      <c r="AD673" s="154">
        <f t="shared" si="33"/>
        <v>4.428568506</v>
      </c>
      <c r="AE673" s="154">
        <f t="shared" si="33"/>
        <v>4.96786515</v>
      </c>
      <c r="AF673" s="154">
        <f t="shared" si="33"/>
        <v>5.507161794</v>
      </c>
      <c r="AG673" s="154">
        <f t="shared" si="33"/>
        <v>6.046458438</v>
      </c>
      <c r="AH673" s="154">
        <f t="shared" si="33"/>
        <v>6.585755081</v>
      </c>
      <c r="AI673" s="154">
        <f t="shared" si="33"/>
        <v>7.125051725</v>
      </c>
      <c r="AJ673" s="154">
        <f t="shared" si="33"/>
        <v>7.664348369</v>
      </c>
      <c r="AK673" s="154">
        <f t="shared" si="33"/>
        <v>8.203645013</v>
      </c>
      <c r="AL673" s="154">
        <f t="shared" si="33"/>
        <v>8.742941657</v>
      </c>
      <c r="AM673" s="154">
        <f t="shared" si="33"/>
        <v>9.2822383</v>
      </c>
      <c r="AN673" s="154">
        <f t="shared" si="33"/>
        <v>9.821534944</v>
      </c>
      <c r="AO673" s="154">
        <f t="shared" si="33"/>
        <v>10.36083159</v>
      </c>
      <c r="AP673" s="154">
        <f t="shared" si="33"/>
        <v>10.90012823</v>
      </c>
      <c r="AQ673" s="154">
        <f t="shared" si="33"/>
        <v>11.43942488</v>
      </c>
      <c r="AR673" s="154">
        <f t="shared" si="33"/>
        <v>11.97872152</v>
      </c>
      <c r="AS673" s="154">
        <f t="shared" si="33"/>
        <v>12.51801816</v>
      </c>
      <c r="AT673" s="154">
        <f t="shared" si="33"/>
        <v>13.05731481</v>
      </c>
      <c r="AU673" s="154">
        <f t="shared" si="33"/>
        <v>13.59661145</v>
      </c>
      <c r="AV673" s="154">
        <f t="shared" si="33"/>
        <v>14.13590809</v>
      </c>
      <c r="AW673" s="154">
        <f t="shared" si="33"/>
        <v>14.67520474</v>
      </c>
      <c r="AX673" s="154">
        <f t="shared" si="33"/>
        <v>15.21450138</v>
      </c>
      <c r="AY673" s="154">
        <f t="shared" si="33"/>
        <v>15.75379803</v>
      </c>
      <c r="AZ673" s="154">
        <f t="shared" si="33"/>
        <v>16.29309467</v>
      </c>
      <c r="BA673" s="243">
        <f>Inputs!$I$9</f>
        <v>16.83239131</v>
      </c>
    </row>
    <row r="674" ht="15.75" customHeight="1">
      <c r="A674" s="241" t="s">
        <v>414</v>
      </c>
      <c r="B674" s="159" t="s">
        <v>351</v>
      </c>
      <c r="C674" s="212">
        <f>C672*'Assumptions (Wind)'!B23/10^9</f>
        <v>0.0000547293057</v>
      </c>
      <c r="D674" s="212">
        <f>D672*'Assumptions (Wind)'!C23/10^9</f>
        <v>0.00005592974696</v>
      </c>
      <c r="E674" s="212">
        <f>E672*'Assumptions (Wind)'!D23/10^9</f>
        <v>0.0000568144143</v>
      </c>
      <c r="F674" s="212">
        <f>F672*'Assumptions (Wind)'!E23/10^9</f>
        <v>0.00005786952836</v>
      </c>
      <c r="G674" s="212">
        <f>G672*'Assumptions (Wind)'!F23/10^9</f>
        <v>0.0009508398714</v>
      </c>
      <c r="H674" s="212">
        <f>H672*'Assumptions (Wind)'!G23/10^9</f>
        <v>0.0009804576739</v>
      </c>
      <c r="I674" s="212">
        <f>I672*'Assumptions (Wind)'!H23/10^9</f>
        <v>0.001010128403</v>
      </c>
      <c r="J674" s="212">
        <f>J672*'Assumptions (Wind)'!I23/10^9</f>
        <v>0.001037263547</v>
      </c>
      <c r="K674" s="212">
        <f>K672*'Assumptions (Wind)'!J23/10^9</f>
        <v>0.001057439657</v>
      </c>
      <c r="L674" s="212">
        <f>L672*'Assumptions (Wind)'!K23/10^9</f>
        <v>0.001065500906</v>
      </c>
      <c r="M674" s="212">
        <f>M672*'Assumptions (Wind)'!L23/10^9</f>
        <v>0.001077916685</v>
      </c>
      <c r="N674" s="212">
        <f>N672*'Assumptions (Wind)'!M23/10^9</f>
        <v>0.001100433444</v>
      </c>
      <c r="O674" s="212">
        <f>O672*'Assumptions (Wind)'!N23/10^9</f>
        <v>0.001121538008</v>
      </c>
      <c r="P674" s="212">
        <f>P672*'Assumptions (Wind)'!O23/10^9</f>
        <v>0.001141220202</v>
      </c>
      <c r="Q674" s="212">
        <f>Q672*'Assumptions (Wind)'!P23/10^9</f>
        <v>0.001162336911</v>
      </c>
      <c r="R674" s="212">
        <f>R672*'Assumptions (Wind)'!Q23/10^9</f>
        <v>0.001174440809</v>
      </c>
      <c r="S674" s="212">
        <f>S672*'Assumptions (Wind)'!R23/10^9</f>
        <v>0.009756485076</v>
      </c>
      <c r="T674" s="212">
        <f>T672*'Assumptions (Wind)'!S23/10^9</f>
        <v>0.009940260172</v>
      </c>
      <c r="U674" s="212">
        <f>U672*'Assumptions (Wind)'!T23/10^9</f>
        <v>0.0101824</v>
      </c>
      <c r="V674" s="212">
        <f>V672*'Assumptions (Wind)'!U23/10^9</f>
        <v>0.01038104818</v>
      </c>
      <c r="W674" s="212">
        <f>W672*'Assumptions (Wind)'!V23/10^9</f>
        <v>0.01033744221</v>
      </c>
      <c r="X674" s="212">
        <f>X672*'Assumptions (Wind)'!W23/10^9</f>
        <v>0.01745749067</v>
      </c>
      <c r="Y674" s="212">
        <f>Y672*'Assumptions (Wind)'!X23/10^9</f>
        <v>0.02485141439</v>
      </c>
      <c r="Z674" s="212">
        <f>Z672*'Assumptions (Wind)'!Y23/10^9</f>
        <v>0.03175273264</v>
      </c>
      <c r="AA674" s="212">
        <f>AA672*'Assumptions (Wind)'!Z23/10^9</f>
        <v>0.0395288802</v>
      </c>
      <c r="AB674" s="212">
        <f>AB672*'Assumptions (Wind)'!AA23/10^9</f>
        <v>0.047596352</v>
      </c>
      <c r="AC674" s="212">
        <f>AC672*'Assumptions (Wind)'!AB23/10^9</f>
        <v>0.05459859054</v>
      </c>
      <c r="AD674" s="212">
        <f>AD672*'Assumptions (Wind)'!AC23/10^9</f>
        <v>0.06306255079</v>
      </c>
      <c r="AE674" s="212">
        <f>AE672*'Assumptions (Wind)'!AD23/10^9</f>
        <v>0.07183597718</v>
      </c>
      <c r="AF674" s="212">
        <f>AF672*'Assumptions (Wind)'!AE23/10^9</f>
        <v>0.07890452998</v>
      </c>
      <c r="AG674" s="212">
        <f>AG672*'Assumptions (Wind)'!AF23/10^9</f>
        <v>0.08808819771</v>
      </c>
      <c r="AH674" s="212">
        <f>AH672*'Assumptions (Wind)'!AG23/10^9</f>
        <v>0.09760016224</v>
      </c>
      <c r="AI674" s="212">
        <f>AI672*'Assumptions (Wind)'!AH23/10^9</f>
        <v>0.1046946163</v>
      </c>
      <c r="AJ674" s="212">
        <f>AJ672*'Assumptions (Wind)'!AI23/10^9</f>
        <v>0.1146299005</v>
      </c>
      <c r="AK674" s="212">
        <f>AK672*'Assumptions (Wind)'!AJ23/10^9</f>
        <v>0.1249129925</v>
      </c>
      <c r="AL674" s="212">
        <f>AL672*'Assumptions (Wind)'!AK23/10^9</f>
        <v>0.1319864792</v>
      </c>
      <c r="AM674" s="212">
        <f>AM672*'Assumptions (Wind)'!AL23/10^9</f>
        <v>0.1427051114</v>
      </c>
      <c r="AN674" s="212">
        <f>AN672*'Assumptions (Wind)'!AM23/10^9</f>
        <v>0.1537917285</v>
      </c>
      <c r="AO674" s="212">
        <f>AO672*'Assumptions (Wind)'!AN23/10^9</f>
        <v>0.165256609</v>
      </c>
      <c r="AP674" s="212">
        <f>AP672*'Assumptions (Wind)'!AO23/10^9</f>
        <v>0.172323528</v>
      </c>
      <c r="AQ674" s="212">
        <f>AQ672*'Assumptions (Wind)'!AP23/10^9</f>
        <v>0.1842456512</v>
      </c>
      <c r="AR674" s="212">
        <f>AR672*'Assumptions (Wind)'!AQ23/10^9</f>
        <v>0.1965673649</v>
      </c>
      <c r="AS674" s="212">
        <f>AS672*'Assumptions (Wind)'!AR23/10^9</f>
        <v>0.2034858415</v>
      </c>
      <c r="AT674" s="212">
        <f>AT672*'Assumptions (Wind)'!AS23/10^9</f>
        <v>0.216274778</v>
      </c>
      <c r="AU674" s="212">
        <f>AU672*'Assumptions (Wind)'!AT23/10^9</f>
        <v>0.2294852658</v>
      </c>
      <c r="AV674" s="212">
        <f>AV672*'Assumptions (Wind)'!AU23/10^9</f>
        <v>0.2431288857</v>
      </c>
      <c r="AW674" s="212">
        <f>AW672*'Assumptions (Wind)'!AV23/10^9</f>
        <v>0.2498684377</v>
      </c>
      <c r="AX674" s="212">
        <f>AX672*'Assumptions (Wind)'!AW23/10^9</f>
        <v>0.2639986416</v>
      </c>
      <c r="AY674" s="212">
        <f>AY672*'Assumptions (Wind)'!AX23/10^9</f>
        <v>0.2785850771</v>
      </c>
      <c r="AZ674" s="212">
        <f>AZ672*'Assumptions (Wind)'!AY23/10^9</f>
        <v>0.285003692</v>
      </c>
      <c r="BA674" s="212">
        <f>BA672*'Assumptions (Wind)'!AZ23/10^9</f>
        <v>0.3000832163</v>
      </c>
    </row>
    <row r="675" ht="15.75" customHeight="1">
      <c r="A675" s="241" t="s">
        <v>36</v>
      </c>
      <c r="B675" s="159" t="s">
        <v>351</v>
      </c>
      <c r="C675" s="212">
        <f>C673*'Assumptions (Wind)'!B36/10^3</f>
        <v>0</v>
      </c>
      <c r="D675" s="212">
        <f>D673*'Assumptions (Wind)'!C36/10^3</f>
        <v>0</v>
      </c>
      <c r="E675" s="212">
        <f>E673*'Assumptions (Wind)'!D36/10^3</f>
        <v>0.0002521655568</v>
      </c>
      <c r="F675" s="212">
        <f>F673*'Assumptions (Wind)'!E36/10^3</f>
        <v>0.0002963511567</v>
      </c>
      <c r="G675" s="212">
        <f>G673*'Assumptions (Wind)'!F36/10^3</f>
        <v>0.0003018664401</v>
      </c>
      <c r="H675" s="212">
        <f>H673*'Assumptions (Wind)'!G36/10^3</f>
        <v>0.0003200528331</v>
      </c>
      <c r="I675" s="212">
        <f>I673*'Assumptions (Wind)'!H36/10^3</f>
        <v>0.004708405945</v>
      </c>
      <c r="J675" s="212">
        <f>J673*'Assumptions (Wind)'!I36/10^3</f>
        <v>0.004377062943</v>
      </c>
      <c r="K675" s="212">
        <f>K673*'Assumptions (Wind)'!J36/10^3</f>
        <v>0.005083778269</v>
      </c>
      <c r="L675" s="212">
        <f>L673*'Assumptions (Wind)'!K36/10^3</f>
        <v>0.00366498645</v>
      </c>
      <c r="M675" s="212">
        <f>M673*'Assumptions (Wind)'!L36/10^3</f>
        <v>0.002970896473</v>
      </c>
      <c r="N675" s="212">
        <f>N673*'Assumptions (Wind)'!M36/10^3</f>
        <v>0.003748829449</v>
      </c>
      <c r="O675" s="212">
        <f>O673*'Assumptions (Wind)'!N36/10^3</f>
        <v>0.002896907518</v>
      </c>
      <c r="P675" s="212">
        <f>P673*'Assumptions (Wind)'!O36/10^3</f>
        <v>0.003165304954</v>
      </c>
      <c r="Q675" s="212">
        <f>Q673*'Assumptions (Wind)'!P36/10^3</f>
        <v>0.003716001162</v>
      </c>
      <c r="R675" s="212">
        <f>R673*'Assumptions (Wind)'!Q36/10^3</f>
        <v>0.002744344811</v>
      </c>
      <c r="S675" s="212">
        <f>S673*'Assumptions (Wind)'!R36/10^3</f>
        <v>0.0028177986</v>
      </c>
      <c r="T675" s="212">
        <f>T673*'Assumptions (Wind)'!S36/10^3</f>
        <v>0.0321499378</v>
      </c>
      <c r="U675" s="212">
        <f>U673*'Assumptions (Wind)'!T36/10^3</f>
        <v>0.0374787402</v>
      </c>
      <c r="V675" s="212">
        <f>V673*'Assumptions (Wind)'!U36/10^3</f>
        <v>0.04253579428</v>
      </c>
      <c r="W675" s="212">
        <f>W673*'Assumptions (Wind)'!V36/10^3</f>
        <v>0.04436771533</v>
      </c>
      <c r="X675" s="212">
        <f>X673*'Assumptions (Wind)'!W36/10^3</f>
        <v>0.08159655988</v>
      </c>
      <c r="Y675" s="212">
        <f>Y673*'Assumptions (Wind)'!X36/10^3</f>
        <v>0.1195828911</v>
      </c>
      <c r="Z675" s="212">
        <f>Z673*'Assumptions (Wind)'!Y36/10^3</f>
        <v>0.1593736256</v>
      </c>
      <c r="AA675" s="212">
        <f>AA673*'Assumptions (Wind)'!Z36/10^3</f>
        <v>0.2009622252</v>
      </c>
      <c r="AB675" s="212">
        <f>AB673*'Assumptions (Wind)'!AA36/10^3</f>
        <v>0.2462787547</v>
      </c>
      <c r="AC675" s="212">
        <f>AC673*'Assumptions (Wind)'!AB36/10^3</f>
        <v>0.2905426873</v>
      </c>
      <c r="AD675" s="212">
        <f>AD673*'Assumptions (Wind)'!AC36/10^3</f>
        <v>0.3373311931</v>
      </c>
      <c r="AE675" s="212">
        <f>AE673*'Assumptions (Wind)'!AD36/10^3</f>
        <v>0.3850566445</v>
      </c>
      <c r="AF675" s="212">
        <f>AF673*'Assumptions (Wind)'!AE36/10^3</f>
        <v>0.4347189957</v>
      </c>
      <c r="AG675" s="212">
        <f>AG673*'Assumptions (Wind)'!AF36/10^3</f>
        <v>0.4861035749</v>
      </c>
      <c r="AH675" s="212">
        <f>AH673*'Assumptions (Wind)'!AG36/10^3</f>
        <v>0.5400267798</v>
      </c>
      <c r="AI675" s="212">
        <f>AI673*'Assumptions (Wind)'!AH36/10^3</f>
        <v>0.5934323768</v>
      </c>
      <c r="AJ675" s="212">
        <f>AJ673*'Assumptions (Wind)'!AI36/10^3</f>
        <v>0.6480373629</v>
      </c>
      <c r="AK675" s="212">
        <f>AK673*'Assumptions (Wind)'!AJ36/10^3</f>
        <v>0.7042218892</v>
      </c>
      <c r="AL675" s="212">
        <f>AL673*'Assumptions (Wind)'!AK36/10^3</f>
        <v>0.7631058051</v>
      </c>
      <c r="AM675" s="212">
        <f>AM673*'Assumptions (Wind)'!AL36/10^3</f>
        <v>0.8269690905</v>
      </c>
      <c r="AN675" s="212">
        <f>AN673*'Assumptions (Wind)'!AM36/10^3</f>
        <v>0.8922384224</v>
      </c>
      <c r="AO675" s="212">
        <f>AO673*'Assumptions (Wind)'!AN36/10^3</f>
        <v>0.9623644951</v>
      </c>
      <c r="AP675" s="212">
        <f>AP673*'Assumptions (Wind)'!AO36/10^3</f>
        <v>1.035080319</v>
      </c>
      <c r="AQ675" s="212">
        <f>AQ673*'Assumptions (Wind)'!AP36/10^3</f>
        <v>1.108457964</v>
      </c>
      <c r="AR675" s="212">
        <f>AR673*'Assumptions (Wind)'!AQ36/10^3</f>
        <v>1.183412877</v>
      </c>
      <c r="AS675" s="212">
        <f>AS673*'Assumptions (Wind)'!AR36/10^3</f>
        <v>1.260250477</v>
      </c>
      <c r="AT675" s="212">
        <f>AT673*'Assumptions (Wind)'!AS36/10^3</f>
        <v>1.34059203</v>
      </c>
      <c r="AU675" s="212">
        <f>AU673*'Assumptions (Wind)'!AT36/10^3</f>
        <v>1.42489959</v>
      </c>
      <c r="AV675" s="212">
        <f>AV673*'Assumptions (Wind)'!AU36/10^3</f>
        <v>1.512275421</v>
      </c>
      <c r="AW675" s="212">
        <f>AW673*'Assumptions (Wind)'!AV36/10^3</f>
        <v>1.599294714</v>
      </c>
      <c r="AX675" s="212">
        <f>AX673*'Assumptions (Wind)'!AW36/10^3</f>
        <v>1.69450931</v>
      </c>
      <c r="AY675" s="212">
        <f>AY673*'Assumptions (Wind)'!AX36/10^3</f>
        <v>1.817819884</v>
      </c>
      <c r="AZ675" s="212">
        <f>AZ673*'Assumptions (Wind)'!AY36/10^3</f>
        <v>1.930128874</v>
      </c>
      <c r="BA675" s="212">
        <f>BA673*'Assumptions (Wind)'!AZ36/10^3</f>
        <v>2.034689531</v>
      </c>
    </row>
    <row r="676" ht="15.75" customHeight="1">
      <c r="A676" s="241" t="s">
        <v>38</v>
      </c>
      <c r="B676" s="159" t="s">
        <v>351</v>
      </c>
      <c r="C676" s="160">
        <f>C672*'Assumptions (Wind)'!B38*'Assumptions (Wind)'!B39*365/10^9</f>
        <v>0</v>
      </c>
      <c r="D676" s="160">
        <f>D672*'Assumptions (Wind)'!C38*'Assumptions (Wind)'!C39*365/10^9</f>
        <v>0</v>
      </c>
      <c r="E676" s="160">
        <f>E672*'Assumptions (Wind)'!D38*'Assumptions (Wind)'!D39*365/10^9</f>
        <v>0</v>
      </c>
      <c r="F676" s="160">
        <f>F672*'Assumptions (Wind)'!E38*'Assumptions (Wind)'!E39*365/10^9</f>
        <v>0</v>
      </c>
      <c r="G676" s="160">
        <f>G672*'Assumptions (Wind)'!F38*'Assumptions (Wind)'!F39*365/10^9</f>
        <v>0</v>
      </c>
      <c r="H676" s="160">
        <f>H672*'Assumptions (Wind)'!G38*'Assumptions (Wind)'!G39*365/10^9</f>
        <v>0</v>
      </c>
      <c r="I676" s="160">
        <f>I672*'Assumptions (Wind)'!H38*'Assumptions (Wind)'!H39*365/10^9</f>
        <v>0</v>
      </c>
      <c r="J676" s="160">
        <f>J672*'Assumptions (Wind)'!I38*'Assumptions (Wind)'!I39*365/10^9</f>
        <v>0.0008467824045</v>
      </c>
      <c r="K676" s="160">
        <f>K672*'Assumptions (Wind)'!J38*'Assumptions (Wind)'!J39*365/10^9</f>
        <v>0.000860666707</v>
      </c>
      <c r="L676" s="160">
        <f>L672*'Assumptions (Wind)'!K38*'Assumptions (Wind)'!K39*365/10^9</f>
        <v>0.0009960386571</v>
      </c>
      <c r="M676" s="160">
        <f>M672*'Assumptions (Wind)'!L38*'Assumptions (Wind)'!L39*365/10^9</f>
        <v>0.0006954435064</v>
      </c>
      <c r="N676" s="160">
        <f>N672*'Assumptions (Wind)'!M38*'Assumptions (Wind)'!M39*365/10^9</f>
        <v>0.0007190468208</v>
      </c>
      <c r="O676" s="160">
        <f>O672*'Assumptions (Wind)'!N38*'Assumptions (Wind)'!N39*365/10^9</f>
        <v>0.0006926666459</v>
      </c>
      <c r="P676" s="160">
        <f>P672*'Assumptions (Wind)'!O38*'Assumptions (Wind)'!O39*365/10^9</f>
        <v>0.0005989476035</v>
      </c>
      <c r="Q676" s="160">
        <f>Q672*'Assumptions (Wind)'!P38*'Assumptions (Wind)'!P39*365/10^9</f>
        <v>0.0006648980408</v>
      </c>
      <c r="R676" s="160">
        <f>R672*'Assumptions (Wind)'!Q38*'Assumptions (Wind)'!Q39*365/10^9</f>
        <v>0.0007134930998</v>
      </c>
      <c r="S676" s="160">
        <f>S672*'Assumptions (Wind)'!R38*'Assumptions (Wind)'!R39*365/10^9</f>
        <v>0.004833352439</v>
      </c>
      <c r="T676" s="160">
        <f>T672*'Assumptions (Wind)'!S38*'Assumptions (Wind)'!S39*365/10^9</f>
        <v>0.005172715517</v>
      </c>
      <c r="U676" s="160">
        <f>U672*'Assumptions (Wind)'!T38*'Assumptions (Wind)'!T39*365/10^9</f>
        <v>0.005049190392</v>
      </c>
      <c r="V676" s="160">
        <f>V672*'Assumptions (Wind)'!U38*'Assumptions (Wind)'!U39*365/10^9</f>
        <v>0.005183211116</v>
      </c>
      <c r="W676" s="160">
        <f>W672*'Assumptions (Wind)'!V38*'Assumptions (Wind)'!V39*365/10^9</f>
        <v>0.0052550656</v>
      </c>
      <c r="X676" s="160">
        <f>X672*'Assumptions (Wind)'!W38*'Assumptions (Wind)'!W39*365/10^9</f>
        <v>0.008770762994</v>
      </c>
      <c r="Y676" s="160">
        <f>Y672*'Assumptions (Wind)'!X38*'Assumptions (Wind)'!X39*365/10^9</f>
        <v>0.01235967461</v>
      </c>
      <c r="Z676" s="160">
        <f>Z672*'Assumptions (Wind)'!Y38*'Assumptions (Wind)'!Y39*365/10^9</f>
        <v>0.01612641838</v>
      </c>
      <c r="AA676" s="160">
        <f>AA672*'Assumptions (Wind)'!Z38*'Assumptions (Wind)'!Z39*365/10^9</f>
        <v>0.02006583499</v>
      </c>
      <c r="AB676" s="160">
        <f>AB672*'Assumptions (Wind)'!AA38*'Assumptions (Wind)'!AA39*365/10^9</f>
        <v>0.02436730202</v>
      </c>
      <c r="AC676" s="160">
        <f>AC672*'Assumptions (Wind)'!AB38*'Assumptions (Wind)'!AB39*365/10^9</f>
        <v>0.02855645645</v>
      </c>
      <c r="AD676" s="160">
        <f>AD672*'Assumptions (Wind)'!AC38*'Assumptions (Wind)'!AC39*365/10^9</f>
        <v>0.03298791383</v>
      </c>
      <c r="AE676" s="160">
        <f>AE672*'Assumptions (Wind)'!AD38*'Assumptions (Wind)'!AD39*365/10^9</f>
        <v>0.03750558612</v>
      </c>
      <c r="AF676" s="160">
        <f>AF672*'Assumptions (Wind)'!AE38*'Assumptions (Wind)'!AE39*365/10^9</f>
        <v>0.0422071648</v>
      </c>
      <c r="AG676" s="160">
        <f>AG672*'Assumptions (Wind)'!AF38*'Assumptions (Wind)'!AF39*365/10^9</f>
        <v>0.04707148235</v>
      </c>
      <c r="AH676" s="160">
        <f>AH672*'Assumptions (Wind)'!AG38*'Assumptions (Wind)'!AG39*365/10^9</f>
        <v>0.05217730159</v>
      </c>
      <c r="AI676" s="160">
        <f>AI672*'Assumptions (Wind)'!AH38*'Assumptions (Wind)'!AH39*365/10^9</f>
        <v>0.05722935835</v>
      </c>
      <c r="AJ676" s="160">
        <f>AJ672*'Assumptions (Wind)'!AI38*'Assumptions (Wind)'!AI39*365/10^9</f>
        <v>0.06239402224</v>
      </c>
      <c r="AK676" s="160">
        <f>AK672*'Assumptions (Wind)'!AJ38*'Assumptions (Wind)'!AJ39*365/10^9</f>
        <v>0.06770792094</v>
      </c>
      <c r="AL676" s="160">
        <f>AL672*'Assumptions (Wind)'!AK38*'Assumptions (Wind)'!AK39*365/10^9</f>
        <v>0.07327851263</v>
      </c>
      <c r="AM676" s="160">
        <f>AM672*'Assumptions (Wind)'!AL38*'Assumptions (Wind)'!AL39*365/10^9</f>
        <v>0.0793240836</v>
      </c>
      <c r="AN676" s="160">
        <f>AN672*'Assumptions (Wind)'!AM38*'Assumptions (Wind)'!AM39*365/10^9</f>
        <v>0.08550124746</v>
      </c>
      <c r="AO676" s="160">
        <f>AO672*'Assumptions (Wind)'!AN38*'Assumptions (Wind)'!AN39*365/10^9</f>
        <v>0.09214052437</v>
      </c>
      <c r="AP676" s="160">
        <f>AP672*'Assumptions (Wind)'!AO38*'Assumptions (Wind)'!AO39*365/10^9</f>
        <v>0.0990243627</v>
      </c>
      <c r="AQ676" s="160">
        <f>AQ672*'Assumptions (Wind)'!AP38*'Assumptions (Wind)'!AP39*365/10^9</f>
        <v>0.1059683726</v>
      </c>
      <c r="AR676" s="160">
        <f>AR672*'Assumptions (Wind)'!AQ38*'Assumptions (Wind)'!AQ39*365/10^9</f>
        <v>0.1130603085</v>
      </c>
      <c r="AS676" s="160">
        <f>AS672*'Assumptions (Wind)'!AR38*'Assumptions (Wind)'!AR39*365/10^9</f>
        <v>0.1203294194</v>
      </c>
      <c r="AT676" s="160">
        <f>AT672*'Assumptions (Wind)'!AS38*'Assumptions (Wind)'!AS39*365/10^9</f>
        <v>0.1279304453</v>
      </c>
      <c r="AU676" s="160">
        <f>AU672*'Assumptions (Wind)'!AT38*'Assumptions (Wind)'!AT39*365/10^9</f>
        <v>0.1359072443</v>
      </c>
      <c r="AV676" s="160">
        <f>AV672*'Assumptions (Wind)'!AU38*'Assumptions (Wind)'!AU39*365/10^9</f>
        <v>0.1441739883</v>
      </c>
      <c r="AW676" s="160">
        <f>AW672*'Assumptions (Wind)'!AV38*'Assumptions (Wind)'!AV39*365/10^9</f>
        <v>0.1524042157</v>
      </c>
      <c r="AX676" s="160">
        <f>AX672*'Assumptions (Wind)'!AW38*'Assumptions (Wind)'!AW39*365/10^9</f>
        <v>0.1614128554</v>
      </c>
      <c r="AY676" s="160">
        <f>AY672*'Assumptions (Wind)'!AX38*'Assumptions (Wind)'!AX39*365/10^9</f>
        <v>0.1730942196</v>
      </c>
      <c r="AZ676" s="160">
        <f>AZ672*'Assumptions (Wind)'!AY38*'Assumptions (Wind)'!AY39*365/10^9</f>
        <v>0.1837241624</v>
      </c>
      <c r="BA676" s="160">
        <f>BA672*'Assumptions (Wind)'!AZ38*'Assumptions (Wind)'!AZ39*365/10^9</f>
        <v>0.1936136837</v>
      </c>
    </row>
    <row r="677" ht="15.75" customHeight="1">
      <c r="A677" s="241" t="s">
        <v>46</v>
      </c>
      <c r="B677" s="159" t="s">
        <v>149</v>
      </c>
      <c r="C677" s="171">
        <f t="array" ref="C677:V677">transpose('Assumptions (Wind)'!V114:V133)</f>
        <v>1.8</v>
      </c>
      <c r="D677" s="172">
        <v>0.0</v>
      </c>
      <c r="E677" s="172">
        <v>0.0</v>
      </c>
      <c r="F677" s="172">
        <v>0.0</v>
      </c>
      <c r="G677" s="172">
        <v>27.0</v>
      </c>
      <c r="H677" s="172">
        <v>0.0</v>
      </c>
      <c r="I677" s="172">
        <v>0.0</v>
      </c>
      <c r="J677" s="172">
        <v>0.0</v>
      </c>
      <c r="K677" s="172">
        <v>0.0</v>
      </c>
      <c r="L677" s="172">
        <v>0.0</v>
      </c>
      <c r="M677" s="172">
        <v>0.0</v>
      </c>
      <c r="N677" s="172">
        <v>0.0</v>
      </c>
      <c r="O677" s="172">
        <v>0.0</v>
      </c>
      <c r="P677" s="172">
        <v>0.0</v>
      </c>
      <c r="Q677" s="172">
        <v>0.0</v>
      </c>
      <c r="R677" s="172">
        <v>0.0</v>
      </c>
      <c r="S677" s="172">
        <v>208.0</v>
      </c>
      <c r="T677" s="172">
        <v>0.0</v>
      </c>
      <c r="U677" s="172">
        <v>0.0</v>
      </c>
      <c r="V677" s="172">
        <v>0.0</v>
      </c>
      <c r="W677" s="152">
        <v>0.0</v>
      </c>
      <c r="X677" s="148">
        <f t="shared" ref="X677:BA677" si="34">if(X672&gt;X671,X672-X671,0)</f>
        <v>155.4467634</v>
      </c>
      <c r="Y677" s="148">
        <f t="shared" si="34"/>
        <v>155.4467634</v>
      </c>
      <c r="Z677" s="148">
        <f t="shared" si="34"/>
        <v>155.4467634</v>
      </c>
      <c r="AA677" s="148">
        <f t="shared" si="34"/>
        <v>155.4467634</v>
      </c>
      <c r="AB677" s="148">
        <f t="shared" si="34"/>
        <v>155.4467634</v>
      </c>
      <c r="AC677" s="148">
        <f t="shared" si="34"/>
        <v>155.4467634</v>
      </c>
      <c r="AD677" s="148">
        <f t="shared" si="34"/>
        <v>155.4467634</v>
      </c>
      <c r="AE677" s="148">
        <f t="shared" si="34"/>
        <v>157.2467634</v>
      </c>
      <c r="AF677" s="148">
        <f t="shared" si="34"/>
        <v>155.4467634</v>
      </c>
      <c r="AG677" s="148">
        <f t="shared" si="34"/>
        <v>155.4467634</v>
      </c>
      <c r="AH677" s="148">
        <f t="shared" si="34"/>
        <v>155.4467634</v>
      </c>
      <c r="AI677" s="148">
        <f t="shared" si="34"/>
        <v>182.4467634</v>
      </c>
      <c r="AJ677" s="148">
        <f t="shared" si="34"/>
        <v>155.4467634</v>
      </c>
      <c r="AK677" s="148">
        <f t="shared" si="34"/>
        <v>155.4467634</v>
      </c>
      <c r="AL677" s="148">
        <f t="shared" si="34"/>
        <v>155.4467634</v>
      </c>
      <c r="AM677" s="148">
        <f t="shared" si="34"/>
        <v>155.4467634</v>
      </c>
      <c r="AN677" s="148">
        <f t="shared" si="34"/>
        <v>155.4467634</v>
      </c>
      <c r="AO677" s="148">
        <f t="shared" si="34"/>
        <v>155.4467634</v>
      </c>
      <c r="AP677" s="148">
        <f t="shared" si="34"/>
        <v>155.4467634</v>
      </c>
      <c r="AQ677" s="148">
        <f t="shared" si="34"/>
        <v>155.4467634</v>
      </c>
      <c r="AR677" s="148">
        <f t="shared" si="34"/>
        <v>155.4467634</v>
      </c>
      <c r="AS677" s="148">
        <f t="shared" si="34"/>
        <v>155.4467634</v>
      </c>
      <c r="AT677" s="148">
        <f t="shared" si="34"/>
        <v>155.4467634</v>
      </c>
      <c r="AU677" s="148">
        <f t="shared" si="34"/>
        <v>363.4467634</v>
      </c>
      <c r="AV677" s="148">
        <f t="shared" si="34"/>
        <v>155.4467634</v>
      </c>
      <c r="AW677" s="148">
        <f t="shared" si="34"/>
        <v>155.4467634</v>
      </c>
      <c r="AX677" s="148">
        <f t="shared" si="34"/>
        <v>155.4467634</v>
      </c>
      <c r="AY677" s="148">
        <f t="shared" si="34"/>
        <v>155.4467634</v>
      </c>
      <c r="AZ677" s="148">
        <f t="shared" si="34"/>
        <v>310.8935267</v>
      </c>
      <c r="BA677" s="148">
        <f t="shared" si="34"/>
        <v>310.8935267</v>
      </c>
    </row>
    <row r="678" ht="15.75" customHeight="1">
      <c r="A678" s="241" t="s">
        <v>48</v>
      </c>
      <c r="B678" s="159" t="s">
        <v>150</v>
      </c>
      <c r="C678" s="174"/>
      <c r="D678" s="174"/>
      <c r="E678" s="174"/>
      <c r="F678" s="174"/>
      <c r="G678" s="174"/>
      <c r="H678" s="174"/>
      <c r="I678" s="174"/>
      <c r="J678" s="174"/>
      <c r="K678" s="174"/>
      <c r="L678" s="174"/>
      <c r="M678" s="174"/>
      <c r="N678" s="174"/>
      <c r="O678" s="174"/>
      <c r="P678" s="174"/>
      <c r="Q678" s="174"/>
      <c r="R678" s="174"/>
      <c r="S678" s="174"/>
      <c r="T678" s="174"/>
      <c r="U678" s="174"/>
      <c r="V678" s="174"/>
      <c r="W678" s="175"/>
      <c r="X678" s="175">
        <f>IF(W677='Assumptions (Wind)'!$V$15,Model!X673-Model!X672*'Assumptions (Wind)'!V21*0.00876,0)</f>
        <v>0</v>
      </c>
      <c r="Y678" s="175">
        <f>IF(X677='Assumptions (Wind)'!$V$15,Model!Y673-Model!Y672*'Assumptions (Wind)'!W21*0.00876,0)</f>
        <v>0</v>
      </c>
      <c r="Z678" s="175">
        <f>IF(Y677='Assumptions (Wind)'!$V$15,Model!Z673-Model!Z672*'Assumptions (Wind)'!X21*0.00876,0)</f>
        <v>0</v>
      </c>
      <c r="AA678" s="175">
        <f>IF(Z677='Assumptions (Wind)'!$V$15,Model!AA673-Model!AA672*'Assumptions (Wind)'!Y21*0.00876,0)</f>
        <v>0</v>
      </c>
      <c r="AB678" s="175">
        <f>IF(AA677='Assumptions (Wind)'!$V$15,Model!AB673-Model!AB672*'Assumptions (Wind)'!Z21*0.00876,0)</f>
        <v>0</v>
      </c>
      <c r="AC678" s="175">
        <f>IF(AB677='Assumptions (Wind)'!$V$15,Model!AC673-Model!AC672*'Assumptions (Wind)'!AA21*0.00876,0)</f>
        <v>0</v>
      </c>
      <c r="AD678" s="175">
        <f>IF(AC677='Assumptions (Wind)'!$V$15,Model!AD673-Model!AD672*'Assumptions (Wind)'!AB21*0.00876,0)</f>
        <v>0</v>
      </c>
      <c r="AE678" s="175">
        <f>IF(AD677='Assumptions (Wind)'!$V$15,Model!AE673-Model!AE672*'Assumptions (Wind)'!AC21*0.00876,0)</f>
        <v>0</v>
      </c>
      <c r="AF678" s="175">
        <f>IF(AE677='Assumptions (Wind)'!$V$15,Model!AF673-Model!AF672*'Assumptions (Wind)'!AD21*0.00876,0)</f>
        <v>0</v>
      </c>
      <c r="AG678" s="175">
        <f>IF(AF677='Assumptions (Wind)'!$V$15,Model!AG673-Model!AG672*'Assumptions (Wind)'!AE21*0.00876,0)</f>
        <v>0</v>
      </c>
      <c r="AH678" s="175">
        <f>IF(AG677='Assumptions (Wind)'!$V$15,Model!AH673-Model!AH672*'Assumptions (Wind)'!AF21*0.00876,0)</f>
        <v>0</v>
      </c>
      <c r="AI678" s="175">
        <f>IF(AH677='Assumptions (Wind)'!$V$15,Model!AI673-Model!AI672*'Assumptions (Wind)'!AG21*0.00876,0)</f>
        <v>0</v>
      </c>
      <c r="AJ678" s="175">
        <f>IF(AI677='Assumptions (Wind)'!$V$15,Model!AJ673-Model!AJ672*'Assumptions (Wind)'!AH21*0.00876,0)</f>
        <v>0</v>
      </c>
      <c r="AK678" s="175">
        <f>IF(AJ677='Assumptions (Wind)'!$V$15,Model!AK673-Model!AK672*'Assumptions (Wind)'!AI21*0.00876,0)</f>
        <v>0</v>
      </c>
      <c r="AL678" s="175">
        <f>IF(AK677='Assumptions (Wind)'!$V$15,Model!AL673-Model!AL672*'Assumptions (Wind)'!AJ21*0.00876,0)</f>
        <v>0</v>
      </c>
      <c r="AM678" s="175">
        <f>IF(AL677='Assumptions (Wind)'!$V$15,Model!AM673-Model!AM672*'Assumptions (Wind)'!AK21*0.00876,0)</f>
        <v>0</v>
      </c>
      <c r="AN678" s="175">
        <f>IF(AM677='Assumptions (Wind)'!$V$15,Model!AN673-Model!AN672*'Assumptions (Wind)'!AL21*0.00876,0)</f>
        <v>0</v>
      </c>
      <c r="AO678" s="175">
        <f>IF(AN677='Assumptions (Wind)'!$V$15,Model!AO673-Model!AO672*'Assumptions (Wind)'!AM21*0.00876,0)</f>
        <v>0</v>
      </c>
      <c r="AP678" s="175">
        <f>IF(AO677='Assumptions (Wind)'!$V$15,Model!AP673-Model!AP672*'Assumptions (Wind)'!AN21*0.00876,0)</f>
        <v>0</v>
      </c>
      <c r="AQ678" s="175">
        <f>IF(AP677='Assumptions (Wind)'!$V$15,Model!AQ673-Model!AQ672*'Assumptions (Wind)'!AO21*0.00876,0)</f>
        <v>0</v>
      </c>
      <c r="AR678" s="175">
        <f>IF(AQ677='Assumptions (Wind)'!$V$15,Model!AR673-Model!AR672*'Assumptions (Wind)'!AP21*0.00876,0)</f>
        <v>0</v>
      </c>
      <c r="AS678" s="175">
        <f>IF(AR677='Assumptions (Wind)'!$V$15,Model!AS673-Model!AS672*'Assumptions (Wind)'!AQ21*0.00876,0)</f>
        <v>0</v>
      </c>
      <c r="AT678" s="175">
        <f>IF(AS677='Assumptions (Wind)'!$V$15,Model!AT673-Model!AT672*'Assumptions (Wind)'!AR21*0.00876,0)</f>
        <v>0</v>
      </c>
      <c r="AU678" s="175">
        <f>IF(AT677='Assumptions (Wind)'!$V$15,Model!AU673-Model!AU672*'Assumptions (Wind)'!AS21*0.00876,0)</f>
        <v>0</v>
      </c>
      <c r="AV678" s="175">
        <f>IF(AU677='Assumptions (Wind)'!$V$15,Model!AV673-Model!AV672*'Assumptions (Wind)'!AT21*0.00876,0)</f>
        <v>0</v>
      </c>
      <c r="AW678" s="175">
        <f>IF(AV677='Assumptions (Wind)'!$V$15,Model!AW673-Model!AW672*'Assumptions (Wind)'!AU21*0.00876,0)</f>
        <v>0</v>
      </c>
      <c r="AX678" s="175">
        <f>IF(AW677='Assumptions (Wind)'!$V$15,Model!AX673-Model!AX672*'Assumptions (Wind)'!AV21*0.00876,0)</f>
        <v>0</v>
      </c>
      <c r="AY678" s="175">
        <f>IF(AX677='Assumptions (Wind)'!$V$15,Model!AY673-Model!AY672*'Assumptions (Wind)'!AW21*0.00876,0)</f>
        <v>0</v>
      </c>
      <c r="AZ678" s="175">
        <f>IF(AY677='Assumptions (Wind)'!$V$15,Model!AZ673-Model!AZ672*'Assumptions (Wind)'!AX21*0.00876,0)</f>
        <v>0</v>
      </c>
      <c r="BA678" s="175">
        <f>IF(AZ677='Assumptions (Wind)'!$V$15,Model!BA673-Model!BA672*'Assumptions (Wind)'!AY21*0.00876,0)</f>
        <v>0</v>
      </c>
    </row>
    <row r="679" ht="15.75" customHeight="1">
      <c r="A679" s="239" t="s">
        <v>358</v>
      </c>
      <c r="B679" s="150" t="s">
        <v>351</v>
      </c>
      <c r="C679" s="176">
        <f t="shared" ref="C679:BA679" si="35">SUM(C680:C730)</f>
        <v>0.002311358585</v>
      </c>
      <c r="D679" s="176">
        <f t="shared" si="35"/>
        <v>0</v>
      </c>
      <c r="E679" s="176">
        <f t="shared" si="35"/>
        <v>0.01651912128</v>
      </c>
      <c r="F679" s="176">
        <f t="shared" si="35"/>
        <v>0.01530177994</v>
      </c>
      <c r="G679" s="176">
        <f t="shared" si="35"/>
        <v>0</v>
      </c>
      <c r="H679" s="176">
        <f t="shared" si="35"/>
        <v>0</v>
      </c>
      <c r="I679" s="176">
        <f t="shared" si="35"/>
        <v>0</v>
      </c>
      <c r="J679" s="176">
        <f t="shared" si="35"/>
        <v>0</v>
      </c>
      <c r="K679" s="176">
        <f t="shared" si="35"/>
        <v>0</v>
      </c>
      <c r="L679" s="176">
        <f t="shared" si="35"/>
        <v>0</v>
      </c>
      <c r="M679" s="176">
        <f t="shared" si="35"/>
        <v>0</v>
      </c>
      <c r="N679" s="176">
        <f t="shared" si="35"/>
        <v>0</v>
      </c>
      <c r="O679" s="176">
        <f t="shared" si="35"/>
        <v>0</v>
      </c>
      <c r="P679" s="176">
        <f t="shared" si="35"/>
        <v>0</v>
      </c>
      <c r="Q679" s="176">
        <f t="shared" si="35"/>
        <v>0.1804850926</v>
      </c>
      <c r="R679" s="176">
        <f t="shared" si="35"/>
        <v>0.1659921864</v>
      </c>
      <c r="S679" s="176">
        <f t="shared" si="35"/>
        <v>0</v>
      </c>
      <c r="T679" s="176">
        <f t="shared" si="35"/>
        <v>0</v>
      </c>
      <c r="U679" s="176">
        <f t="shared" si="35"/>
        <v>0</v>
      </c>
      <c r="V679" s="176">
        <f t="shared" si="35"/>
        <v>0.1358960601</v>
      </c>
      <c r="W679" s="176">
        <f t="shared" si="35"/>
        <v>0.2712779447</v>
      </c>
      <c r="X679" s="176">
        <f t="shared" si="35"/>
        <v>0.2704755398</v>
      </c>
      <c r="Y679" s="176">
        <f t="shared" si="35"/>
        <v>0.2695385783</v>
      </c>
      <c r="Z679" s="176">
        <f t="shared" si="35"/>
        <v>0.2684621156</v>
      </c>
      <c r="AA679" s="176">
        <f t="shared" si="35"/>
        <v>0.2670665117</v>
      </c>
      <c r="AB679" s="176">
        <f t="shared" si="35"/>
        <v>0.2655142776</v>
      </c>
      <c r="AC679" s="176">
        <f t="shared" si="35"/>
        <v>0.2653271715</v>
      </c>
      <c r="AD679" s="176">
        <f t="shared" si="35"/>
        <v>0.2634338793</v>
      </c>
      <c r="AE679" s="176">
        <f t="shared" si="35"/>
        <v>0.2596726179</v>
      </c>
      <c r="AF679" s="176">
        <f t="shared" si="35"/>
        <v>0.2572405223</v>
      </c>
      <c r="AG679" s="176">
        <f t="shared" si="35"/>
        <v>0.2765140525</v>
      </c>
      <c r="AH679" s="176">
        <f t="shared" si="35"/>
        <v>0.2790851289</v>
      </c>
      <c r="AI679" s="176">
        <f t="shared" si="35"/>
        <v>0.2589416908</v>
      </c>
      <c r="AJ679" s="176">
        <f t="shared" si="35"/>
        <v>0.2612932094</v>
      </c>
      <c r="AK679" s="176">
        <f t="shared" si="35"/>
        <v>0.2634261688</v>
      </c>
      <c r="AL679" s="176">
        <f t="shared" si="35"/>
        <v>0.2657587923</v>
      </c>
      <c r="AM679" s="176">
        <f t="shared" si="35"/>
        <v>0.2678620696</v>
      </c>
      <c r="AN679" s="176">
        <f t="shared" si="35"/>
        <v>0.2701706589</v>
      </c>
      <c r="AO679" s="176">
        <f t="shared" si="35"/>
        <v>0.2722386043</v>
      </c>
      <c r="AP679" s="176">
        <f t="shared" si="35"/>
        <v>0.2745176448</v>
      </c>
      <c r="AQ679" s="176">
        <f t="shared" si="35"/>
        <v>0.2765442095</v>
      </c>
      <c r="AR679" s="176">
        <f t="shared" si="35"/>
        <v>0.2787877894</v>
      </c>
      <c r="AS679" s="176">
        <f t="shared" si="35"/>
        <v>0.4686103386</v>
      </c>
      <c r="AT679" s="176">
        <f t="shared" si="35"/>
        <v>0.4718646516</v>
      </c>
      <c r="AU679" s="176">
        <f t="shared" si="35"/>
        <v>0.2848922359</v>
      </c>
      <c r="AV679" s="176">
        <f t="shared" si="35"/>
        <v>0.2867835523</v>
      </c>
      <c r="AW679" s="176">
        <f t="shared" si="35"/>
        <v>0.2889072462</v>
      </c>
      <c r="AX679" s="176">
        <f t="shared" si="35"/>
        <v>0.4360986467</v>
      </c>
      <c r="AY679" s="176">
        <f t="shared" si="35"/>
        <v>0.5850377457</v>
      </c>
      <c r="AZ679" s="176">
        <f t="shared" si="35"/>
        <v>0.2942643651</v>
      </c>
      <c r="BA679" s="176">
        <f t="shared" si="35"/>
        <v>0</v>
      </c>
    </row>
    <row r="680" ht="15.75" hidden="1" customHeight="1" outlineLevel="1">
      <c r="A680" s="241"/>
      <c r="B680" s="38"/>
      <c r="C680" s="177">
        <f>IF($C$677&gt;0,2*'Assumptions (Wind)'!$V$18*Model!$C$677*'Assumptions (Wind)'!B$2/10^9,0)</f>
        <v>0.002311358585</v>
      </c>
      <c r="D680" s="160"/>
      <c r="E680" s="160"/>
      <c r="F680" s="160"/>
      <c r="G680" s="160"/>
      <c r="H680" s="160"/>
      <c r="I680" s="160"/>
      <c r="J680" s="160"/>
      <c r="K680" s="160"/>
      <c r="L680" s="160"/>
      <c r="M680" s="160"/>
      <c r="N680" s="160"/>
      <c r="O680" s="160"/>
      <c r="P680" s="160"/>
      <c r="Q680" s="160"/>
      <c r="R680" s="160"/>
      <c r="S680" s="160"/>
      <c r="T680" s="160"/>
      <c r="U680" s="160"/>
      <c r="V680" s="174"/>
      <c r="W680" s="160"/>
      <c r="X680" s="160"/>
      <c r="Y680" s="160"/>
      <c r="Z680" s="160"/>
      <c r="AA680" s="160"/>
      <c r="AB680" s="160"/>
      <c r="AC680" s="160"/>
      <c r="AD680" s="160"/>
      <c r="AE680" s="160"/>
      <c r="AF680" s="160"/>
      <c r="AG680" s="160"/>
      <c r="AH680" s="160"/>
      <c r="AI680" s="160"/>
      <c r="AJ680" s="160"/>
      <c r="AK680" s="160"/>
      <c r="AL680" s="160"/>
      <c r="AM680" s="160"/>
      <c r="AN680" s="160"/>
      <c r="AO680" s="160"/>
      <c r="AP680" s="160"/>
      <c r="AQ680" s="160"/>
      <c r="AR680" s="160"/>
      <c r="AS680" s="160"/>
      <c r="AT680" s="160"/>
      <c r="AU680" s="160"/>
      <c r="AV680" s="160"/>
      <c r="AW680" s="160"/>
      <c r="AX680" s="160"/>
      <c r="AY680" s="160"/>
      <c r="AZ680" s="160"/>
      <c r="BA680" s="160"/>
    </row>
    <row r="681" ht="15.75" hidden="1" customHeight="1" outlineLevel="1">
      <c r="A681" s="241"/>
      <c r="B681" s="38"/>
      <c r="C681" s="177">
        <f>IF($D$677&gt;0,2*'Assumptions (Wind)'!$V$18*Model!$D$677*'Assumptions (Wind)'!B$2/10^9,0)</f>
        <v>0</v>
      </c>
      <c r="D681" s="177"/>
      <c r="E681" s="177"/>
      <c r="F681" s="177"/>
      <c r="G681" s="177"/>
      <c r="H681" s="177"/>
      <c r="I681" s="177"/>
      <c r="J681" s="177"/>
      <c r="K681" s="177"/>
      <c r="L681" s="177"/>
      <c r="M681" s="160"/>
      <c r="N681" s="160"/>
      <c r="O681" s="160"/>
      <c r="P681" s="160"/>
      <c r="Q681" s="160"/>
      <c r="R681" s="160"/>
      <c r="S681" s="160"/>
      <c r="T681" s="160"/>
      <c r="U681" s="160"/>
      <c r="V681" s="174"/>
      <c r="W681" s="160"/>
      <c r="X681" s="160"/>
      <c r="Y681" s="160"/>
      <c r="Z681" s="160"/>
      <c r="AA681" s="160"/>
      <c r="AB681" s="160"/>
      <c r="AC681" s="160"/>
      <c r="AD681" s="160"/>
      <c r="AE681" s="160"/>
      <c r="AF681" s="160"/>
      <c r="AG681" s="160"/>
      <c r="AH681" s="160"/>
      <c r="AI681" s="160"/>
      <c r="AJ681" s="160"/>
      <c r="AK681" s="160"/>
      <c r="AL681" s="160"/>
      <c r="AM681" s="160"/>
      <c r="AN681" s="160"/>
      <c r="AO681" s="160"/>
      <c r="AP681" s="160"/>
      <c r="AQ681" s="160"/>
      <c r="AR681" s="160"/>
      <c r="AS681" s="160"/>
      <c r="AT681" s="160"/>
      <c r="AU681" s="160"/>
      <c r="AV681" s="160"/>
      <c r="AW681" s="160"/>
      <c r="AX681" s="160"/>
      <c r="AY681" s="160"/>
      <c r="AZ681" s="160"/>
      <c r="BA681" s="160"/>
    </row>
    <row r="682" ht="15.75" hidden="1" customHeight="1" outlineLevel="1">
      <c r="A682" s="241"/>
      <c r="B682" s="38"/>
      <c r="C682" s="177">
        <f>IF($E$677&gt;0,'Assumptions (Wind)'!$V$18*Model!$E$677*'Assumptions (Wind)'!B$2/10^9,0)</f>
        <v>0</v>
      </c>
      <c r="D682" s="177">
        <f>IF($E$677&gt;0,'Assumptions (Wind)'!$V$18*Model!$E$677*'Assumptions (Wind)'!C$2/10^9,0)</f>
        <v>0</v>
      </c>
      <c r="E682" s="177"/>
      <c r="F682" s="177"/>
      <c r="G682" s="177"/>
      <c r="H682" s="177"/>
      <c r="I682" s="177"/>
      <c r="J682" s="177"/>
      <c r="K682" s="177"/>
      <c r="L682" s="177"/>
      <c r="M682" s="160"/>
      <c r="N682" s="160"/>
      <c r="O682" s="160"/>
      <c r="P682" s="160"/>
      <c r="Q682" s="160"/>
      <c r="R682" s="160"/>
      <c r="S682" s="160"/>
      <c r="T682" s="160"/>
      <c r="U682" s="160"/>
      <c r="V682" s="174"/>
      <c r="W682" s="160"/>
      <c r="X682" s="160"/>
      <c r="Y682" s="160"/>
      <c r="Z682" s="160"/>
      <c r="AA682" s="160"/>
      <c r="AB682" s="160"/>
      <c r="AC682" s="160"/>
      <c r="AD682" s="160"/>
      <c r="AE682" s="160"/>
      <c r="AF682" s="160"/>
      <c r="AG682" s="160"/>
      <c r="AH682" s="160"/>
      <c r="AI682" s="160"/>
      <c r="AJ682" s="160"/>
      <c r="AK682" s="160"/>
      <c r="AL682" s="160"/>
      <c r="AM682" s="160"/>
      <c r="AN682" s="160"/>
      <c r="AO682" s="160"/>
      <c r="AP682" s="160"/>
      <c r="AQ682" s="160"/>
      <c r="AR682" s="160"/>
      <c r="AS682" s="160"/>
      <c r="AT682" s="160"/>
      <c r="AU682" s="160"/>
      <c r="AV682" s="160"/>
      <c r="AW682" s="160"/>
      <c r="AX682" s="160"/>
      <c r="AY682" s="160"/>
      <c r="AZ682" s="160"/>
      <c r="BA682" s="160"/>
    </row>
    <row r="683" ht="15.75" hidden="1" customHeight="1" outlineLevel="1">
      <c r="A683" s="241"/>
      <c r="B683" s="38"/>
      <c r="C683" s="177"/>
      <c r="D683" s="177">
        <f>IF($F$677&gt;0,'Assumptions (Wind)'!$V$18*Model!$F$677*'Assumptions (Wind)'!C$2/10^9,0)</f>
        <v>0</v>
      </c>
      <c r="E683" s="177">
        <f>IF($F$677&gt;0,'Assumptions (Wind)'!$V$18*Model!$F$677*'Assumptions (Wind)'!D$2/10^9,0)</f>
        <v>0</v>
      </c>
      <c r="F683" s="177"/>
      <c r="G683" s="177"/>
      <c r="H683" s="177"/>
      <c r="I683" s="177"/>
      <c r="J683" s="177"/>
      <c r="K683" s="177"/>
      <c r="L683" s="177"/>
      <c r="M683" s="160"/>
      <c r="N683" s="160"/>
      <c r="O683" s="160"/>
      <c r="P683" s="160"/>
      <c r="Q683" s="160"/>
      <c r="R683" s="160"/>
      <c r="S683" s="160"/>
      <c r="T683" s="160"/>
      <c r="U683" s="160"/>
      <c r="V683" s="174"/>
      <c r="W683" s="160"/>
      <c r="X683" s="160"/>
      <c r="Y683" s="160"/>
      <c r="Z683" s="160"/>
      <c r="AA683" s="160"/>
      <c r="AB683" s="160"/>
      <c r="AC683" s="160"/>
      <c r="AD683" s="160"/>
      <c r="AE683" s="160"/>
      <c r="AF683" s="160"/>
      <c r="AG683" s="160"/>
      <c r="AH683" s="160"/>
      <c r="AI683" s="160"/>
      <c r="AJ683" s="160"/>
      <c r="AK683" s="160"/>
      <c r="AL683" s="160"/>
      <c r="AM683" s="160"/>
      <c r="AN683" s="160"/>
      <c r="AO683" s="160"/>
      <c r="AP683" s="160"/>
      <c r="AQ683" s="160"/>
      <c r="AR683" s="160"/>
      <c r="AS683" s="160"/>
      <c r="AT683" s="160"/>
      <c r="AU683" s="160"/>
      <c r="AV683" s="160"/>
      <c r="AW683" s="160"/>
      <c r="AX683" s="160"/>
      <c r="AY683" s="160"/>
      <c r="AZ683" s="160"/>
      <c r="BA683" s="160"/>
    </row>
    <row r="684" ht="15.75" hidden="1" customHeight="1" outlineLevel="1">
      <c r="A684" s="241"/>
      <c r="B684" s="38"/>
      <c r="C684" s="177"/>
      <c r="D684" s="177"/>
      <c r="E684" s="177">
        <f>IF($G$677&gt;0,'Assumptions (Wind)'!$V$18*Model!$G$677*'Assumptions (Wind)'!D$2/10^9,0)</f>
        <v>0.01651912128</v>
      </c>
      <c r="F684" s="177">
        <f>IF($G$677&gt;0,'Assumptions (Wind)'!$V$18*Model!$G$677*'Assumptions (Wind)'!E$2/10^9,0)</f>
        <v>0.01530177994</v>
      </c>
      <c r="G684" s="177"/>
      <c r="H684" s="177"/>
      <c r="I684" s="177"/>
      <c r="J684" s="177"/>
      <c r="K684" s="177"/>
      <c r="L684" s="177"/>
      <c r="M684" s="160"/>
      <c r="N684" s="160"/>
      <c r="O684" s="160"/>
      <c r="P684" s="160"/>
      <c r="Q684" s="160"/>
      <c r="R684" s="160"/>
      <c r="S684" s="160"/>
      <c r="T684" s="160"/>
      <c r="U684" s="160"/>
      <c r="V684" s="174"/>
      <c r="W684" s="160"/>
      <c r="X684" s="160"/>
      <c r="Y684" s="160"/>
      <c r="Z684" s="160"/>
      <c r="AA684" s="160"/>
      <c r="AB684" s="160"/>
      <c r="AC684" s="160"/>
      <c r="AD684" s="160"/>
      <c r="AE684" s="160"/>
      <c r="AF684" s="160"/>
      <c r="AG684" s="160"/>
      <c r="AH684" s="160"/>
      <c r="AI684" s="160"/>
      <c r="AJ684" s="160"/>
      <c r="AK684" s="160"/>
      <c r="AL684" s="160"/>
      <c r="AM684" s="160"/>
      <c r="AN684" s="160"/>
      <c r="AO684" s="160"/>
      <c r="AP684" s="160"/>
      <c r="AQ684" s="160"/>
      <c r="AR684" s="160"/>
      <c r="AS684" s="160"/>
      <c r="AT684" s="160"/>
      <c r="AU684" s="160"/>
      <c r="AV684" s="160"/>
      <c r="AW684" s="160"/>
      <c r="AX684" s="160"/>
      <c r="AY684" s="160"/>
      <c r="AZ684" s="160"/>
      <c r="BA684" s="160"/>
    </row>
    <row r="685" ht="15.75" hidden="1" customHeight="1" outlineLevel="1">
      <c r="A685" s="241"/>
      <c r="B685" s="38"/>
      <c r="C685" s="177"/>
      <c r="D685" s="177"/>
      <c r="E685" s="177"/>
      <c r="F685" s="177">
        <f>IF($H$677&gt;0,'Assumptions (Wind)'!$V$18*Model!$H$677*'Assumptions (Wind)'!E$2/10^9,0)</f>
        <v>0</v>
      </c>
      <c r="G685" s="177">
        <f>IF($H$677&gt;0,'Assumptions (Wind)'!$V$18*Model!$H$677*'Assumptions (Wind)'!F$2/10^9,0)</f>
        <v>0</v>
      </c>
      <c r="H685" s="177"/>
      <c r="I685" s="177"/>
      <c r="J685" s="177"/>
      <c r="K685" s="177"/>
      <c r="L685" s="177"/>
      <c r="M685" s="160"/>
      <c r="N685" s="160"/>
      <c r="O685" s="160"/>
      <c r="P685" s="160"/>
      <c r="Q685" s="160"/>
      <c r="R685" s="160"/>
      <c r="S685" s="160"/>
      <c r="T685" s="160"/>
      <c r="U685" s="160"/>
      <c r="V685" s="174"/>
      <c r="W685" s="160"/>
      <c r="X685" s="160"/>
      <c r="Y685" s="160"/>
      <c r="Z685" s="160"/>
      <c r="AA685" s="160"/>
      <c r="AB685" s="160"/>
      <c r="AC685" s="160"/>
      <c r="AD685" s="160"/>
      <c r="AE685" s="160"/>
      <c r="AF685" s="160"/>
      <c r="AG685" s="160"/>
      <c r="AH685" s="160"/>
      <c r="AI685" s="160"/>
      <c r="AJ685" s="160"/>
      <c r="AK685" s="160"/>
      <c r="AL685" s="160"/>
      <c r="AM685" s="160"/>
      <c r="AN685" s="160"/>
      <c r="AO685" s="160"/>
      <c r="AP685" s="160"/>
      <c r="AQ685" s="160"/>
      <c r="AR685" s="160"/>
      <c r="AS685" s="160"/>
      <c r="AT685" s="160"/>
      <c r="AU685" s="160"/>
      <c r="AV685" s="160"/>
      <c r="AW685" s="160"/>
      <c r="AX685" s="160"/>
      <c r="AY685" s="160"/>
      <c r="AZ685" s="160"/>
      <c r="BA685" s="160"/>
    </row>
    <row r="686" ht="15.75" hidden="1" customHeight="1" outlineLevel="1">
      <c r="A686" s="241"/>
      <c r="B686" s="38"/>
      <c r="C686" s="177"/>
      <c r="D686" s="177"/>
      <c r="E686" s="177"/>
      <c r="F686" s="177"/>
      <c r="G686" s="177">
        <f>IF($I$677&gt;0,'Assumptions (Wind)'!$V$18*Model!$I$677*'Assumptions (Wind)'!F$2/10^9,0)</f>
        <v>0</v>
      </c>
      <c r="H686" s="177">
        <f>IF($I$677&gt;0,'Assumptions (Wind)'!$V$18*Model!$I$677*'Assumptions (Wind)'!G$2/10^9,0)</f>
        <v>0</v>
      </c>
      <c r="I686" s="177"/>
      <c r="J686" s="177"/>
      <c r="K686" s="177"/>
      <c r="L686" s="177"/>
      <c r="M686" s="160"/>
      <c r="N686" s="160"/>
      <c r="O686" s="160"/>
      <c r="P686" s="160"/>
      <c r="Q686" s="160"/>
      <c r="R686" s="160"/>
      <c r="S686" s="160"/>
      <c r="T686" s="160"/>
      <c r="U686" s="160"/>
      <c r="V686" s="174"/>
      <c r="W686" s="160"/>
      <c r="X686" s="160"/>
      <c r="Y686" s="160"/>
      <c r="Z686" s="160"/>
      <c r="AA686" s="160"/>
      <c r="AB686" s="160"/>
      <c r="AC686" s="160"/>
      <c r="AD686" s="160"/>
      <c r="AE686" s="160"/>
      <c r="AF686" s="160"/>
      <c r="AG686" s="160"/>
      <c r="AH686" s="160"/>
      <c r="AI686" s="160"/>
      <c r="AJ686" s="160"/>
      <c r="AK686" s="160"/>
      <c r="AL686" s="160"/>
      <c r="AM686" s="160"/>
      <c r="AN686" s="160"/>
      <c r="AO686" s="160"/>
      <c r="AP686" s="160"/>
      <c r="AQ686" s="160"/>
      <c r="AR686" s="160"/>
      <c r="AS686" s="160"/>
      <c r="AT686" s="160"/>
      <c r="AU686" s="160"/>
      <c r="AV686" s="160"/>
      <c r="AW686" s="160"/>
      <c r="AX686" s="160"/>
      <c r="AY686" s="160"/>
      <c r="AZ686" s="160"/>
      <c r="BA686" s="160"/>
    </row>
    <row r="687" ht="15.75" hidden="1" customHeight="1" outlineLevel="1">
      <c r="A687" s="241"/>
      <c r="B687" s="38"/>
      <c r="C687" s="177"/>
      <c r="D687" s="177"/>
      <c r="E687" s="177"/>
      <c r="F687" s="177"/>
      <c r="G687" s="177"/>
      <c r="H687" s="177">
        <f>IF($J$677&gt;0,'Assumptions (Wind)'!$V$18*Model!$J$677*'Assumptions (Wind)'!G$2/10^9,0)</f>
        <v>0</v>
      </c>
      <c r="I687" s="177">
        <f>IF($J$677&gt;0,'Assumptions (Wind)'!$V$18*Model!$J$677*'Assumptions (Wind)'!H$2/10^9,0)</f>
        <v>0</v>
      </c>
      <c r="J687" s="177"/>
      <c r="K687" s="177"/>
      <c r="L687" s="177"/>
      <c r="M687" s="160"/>
      <c r="N687" s="160"/>
      <c r="O687" s="160"/>
      <c r="P687" s="160"/>
      <c r="Q687" s="160"/>
      <c r="R687" s="160"/>
      <c r="S687" s="160"/>
      <c r="T687" s="160"/>
      <c r="U687" s="160"/>
      <c r="V687" s="174"/>
      <c r="W687" s="160"/>
      <c r="X687" s="160"/>
      <c r="Y687" s="160"/>
      <c r="Z687" s="160"/>
      <c r="AA687" s="160"/>
      <c r="AB687" s="160"/>
      <c r="AC687" s="160"/>
      <c r="AD687" s="160"/>
      <c r="AE687" s="160"/>
      <c r="AF687" s="160"/>
      <c r="AG687" s="160"/>
      <c r="AH687" s="160"/>
      <c r="AI687" s="160"/>
      <c r="AJ687" s="160"/>
      <c r="AK687" s="160"/>
      <c r="AL687" s="160"/>
      <c r="AM687" s="160"/>
      <c r="AN687" s="160"/>
      <c r="AO687" s="160"/>
      <c r="AP687" s="160"/>
      <c r="AQ687" s="160"/>
      <c r="AR687" s="160"/>
      <c r="AS687" s="160"/>
      <c r="AT687" s="160"/>
      <c r="AU687" s="160"/>
      <c r="AV687" s="160"/>
      <c r="AW687" s="160"/>
      <c r="AX687" s="160"/>
      <c r="AY687" s="160"/>
      <c r="AZ687" s="160"/>
      <c r="BA687" s="160"/>
    </row>
    <row r="688" ht="15.75" hidden="1" customHeight="1" outlineLevel="1">
      <c r="A688" s="241"/>
      <c r="B688" s="38"/>
      <c r="C688" s="177"/>
      <c r="D688" s="177"/>
      <c r="E688" s="177"/>
      <c r="F688" s="177"/>
      <c r="G688" s="177"/>
      <c r="H688" s="177"/>
      <c r="I688" s="177">
        <f>IF($K$677&gt;0,'Assumptions (Wind)'!$V$18*Model!$K$677*'Assumptions (Wind)'!H$2/10^9,0)</f>
        <v>0</v>
      </c>
      <c r="J688" s="177">
        <f>IF($K$677&gt;0,'Assumptions (Wind)'!$V$18*Model!$K$677*'Assumptions (Wind)'!I$2/10^9,0)</f>
        <v>0</v>
      </c>
      <c r="K688" s="177"/>
      <c r="L688" s="177"/>
      <c r="M688" s="160"/>
      <c r="N688" s="160"/>
      <c r="O688" s="160"/>
      <c r="P688" s="160"/>
      <c r="Q688" s="160"/>
      <c r="R688" s="160"/>
      <c r="S688" s="160"/>
      <c r="T688" s="160"/>
      <c r="U688" s="160"/>
      <c r="V688" s="174"/>
      <c r="W688" s="160"/>
      <c r="X688" s="160"/>
      <c r="Y688" s="160"/>
      <c r="Z688" s="160"/>
      <c r="AA688" s="160"/>
      <c r="AB688" s="160"/>
      <c r="AC688" s="160"/>
      <c r="AD688" s="160"/>
      <c r="AE688" s="160"/>
      <c r="AF688" s="160"/>
      <c r="AG688" s="160"/>
      <c r="AH688" s="160"/>
      <c r="AI688" s="160"/>
      <c r="AJ688" s="160"/>
      <c r="AK688" s="160"/>
      <c r="AL688" s="160"/>
      <c r="AM688" s="160"/>
      <c r="AN688" s="160"/>
      <c r="AO688" s="160"/>
      <c r="AP688" s="160"/>
      <c r="AQ688" s="160"/>
      <c r="AR688" s="160"/>
      <c r="AS688" s="160"/>
      <c r="AT688" s="160"/>
      <c r="AU688" s="160"/>
      <c r="AV688" s="160"/>
      <c r="AW688" s="160"/>
      <c r="AX688" s="160"/>
      <c r="AY688" s="160"/>
      <c r="AZ688" s="160"/>
      <c r="BA688" s="160"/>
    </row>
    <row r="689" ht="15.75" hidden="1" customHeight="1" outlineLevel="1">
      <c r="A689" s="241"/>
      <c r="B689" s="38"/>
      <c r="C689" s="177"/>
      <c r="D689" s="177"/>
      <c r="E689" s="177"/>
      <c r="F689" s="177"/>
      <c r="G689" s="177"/>
      <c r="H689" s="177"/>
      <c r="I689" s="177"/>
      <c r="J689" s="177">
        <f>IF($L$677&gt;0,'Assumptions (Wind)'!$V$18*Model!$L$677*'Assumptions (Wind)'!I$2/10^9,0)</f>
        <v>0</v>
      </c>
      <c r="K689" s="177">
        <f>IF($L$677&gt;0,'Assumptions (Wind)'!$V$18*Model!$L$677*'Assumptions (Wind)'!J$2/10^9,0)</f>
        <v>0</v>
      </c>
      <c r="L689" s="177"/>
      <c r="M689" s="160"/>
      <c r="N689" s="160"/>
      <c r="O689" s="160"/>
      <c r="P689" s="160"/>
      <c r="Q689" s="160"/>
      <c r="R689" s="160"/>
      <c r="S689" s="160"/>
      <c r="T689" s="160"/>
      <c r="U689" s="160"/>
      <c r="V689" s="174"/>
      <c r="W689" s="160"/>
      <c r="X689" s="160"/>
      <c r="Y689" s="160"/>
      <c r="Z689" s="160"/>
      <c r="AA689" s="160"/>
      <c r="AB689" s="160"/>
      <c r="AC689" s="160"/>
      <c r="AD689" s="160"/>
      <c r="AE689" s="160"/>
      <c r="AF689" s="160"/>
      <c r="AG689" s="160"/>
      <c r="AH689" s="160"/>
      <c r="AI689" s="160"/>
      <c r="AJ689" s="160"/>
      <c r="AK689" s="160"/>
      <c r="AL689" s="160"/>
      <c r="AM689" s="160"/>
      <c r="AN689" s="160"/>
      <c r="AO689" s="160"/>
      <c r="AP689" s="160"/>
      <c r="AQ689" s="160"/>
      <c r="AR689" s="160"/>
      <c r="AS689" s="160"/>
      <c r="AT689" s="160"/>
      <c r="AU689" s="160"/>
      <c r="AV689" s="160"/>
      <c r="AW689" s="160"/>
      <c r="AX689" s="160"/>
      <c r="AY689" s="160"/>
      <c r="AZ689" s="160"/>
      <c r="BA689" s="160"/>
    </row>
    <row r="690" ht="15.75" hidden="1" customHeight="1" outlineLevel="1">
      <c r="A690" s="241"/>
      <c r="B690" s="38"/>
      <c r="C690" s="177"/>
      <c r="D690" s="177"/>
      <c r="E690" s="177"/>
      <c r="F690" s="177"/>
      <c r="G690" s="177"/>
      <c r="H690" s="177"/>
      <c r="I690" s="177"/>
      <c r="J690" s="177"/>
      <c r="K690" s="177">
        <f>IF($M$677&gt;0,'Assumptions (Wind)'!$V$18*Model!$M$677*'Assumptions (Wind)'!J$2/10^9,0)</f>
        <v>0</v>
      </c>
      <c r="L690" s="177">
        <f>IF($M$677&gt;0,'Assumptions (Wind)'!$V$18*Model!$M$677*'Assumptions (Wind)'!K$2/10^9,0)</f>
        <v>0</v>
      </c>
      <c r="M690" s="160"/>
      <c r="N690" s="160"/>
      <c r="O690" s="160"/>
      <c r="P690" s="160"/>
      <c r="Q690" s="160"/>
      <c r="R690" s="160"/>
      <c r="S690" s="160"/>
      <c r="T690" s="160"/>
      <c r="U690" s="160"/>
      <c r="V690" s="174"/>
      <c r="W690" s="160"/>
      <c r="X690" s="160"/>
      <c r="Y690" s="160"/>
      <c r="Z690" s="160"/>
      <c r="AA690" s="160"/>
      <c r="AB690" s="160"/>
      <c r="AC690" s="160"/>
      <c r="AD690" s="160"/>
      <c r="AE690" s="160"/>
      <c r="AF690" s="160"/>
      <c r="AG690" s="160"/>
      <c r="AH690" s="160"/>
      <c r="AI690" s="160"/>
      <c r="AJ690" s="160"/>
      <c r="AK690" s="160"/>
      <c r="AL690" s="160"/>
      <c r="AM690" s="160"/>
      <c r="AN690" s="160"/>
      <c r="AO690" s="160"/>
      <c r="AP690" s="160"/>
      <c r="AQ690" s="160"/>
      <c r="AR690" s="160"/>
      <c r="AS690" s="160"/>
      <c r="AT690" s="160"/>
      <c r="AU690" s="160"/>
      <c r="AV690" s="160"/>
      <c r="AW690" s="160"/>
      <c r="AX690" s="160"/>
      <c r="AY690" s="160"/>
      <c r="AZ690" s="160"/>
      <c r="BA690" s="160"/>
    </row>
    <row r="691" ht="15.75" hidden="1" customHeight="1" outlineLevel="1">
      <c r="A691" s="241"/>
      <c r="B691" s="38"/>
      <c r="C691" s="160"/>
      <c r="D691" s="160"/>
      <c r="E691" s="160"/>
      <c r="F691" s="160"/>
      <c r="G691" s="160"/>
      <c r="H691" s="160"/>
      <c r="I691" s="160"/>
      <c r="J691" s="160"/>
      <c r="K691" s="160"/>
      <c r="L691" s="160">
        <f>IF($N$677&gt;0,'Assumptions (Wind)'!$V$18*Model!$N$677*'Assumptions (Wind)'!K$2/10^9,0)</f>
        <v>0</v>
      </c>
      <c r="M691" s="160">
        <f>IF($N$677&gt;0,'Assumptions (Wind)'!$V$18*Model!$N$677*'Assumptions (Wind)'!L$2/10^9,0)</f>
        <v>0</v>
      </c>
      <c r="N691" s="160"/>
      <c r="O691" s="160"/>
      <c r="P691" s="160"/>
      <c r="Q691" s="160"/>
      <c r="R691" s="160"/>
      <c r="S691" s="160"/>
      <c r="T691" s="160"/>
      <c r="U691" s="160"/>
      <c r="V691" s="174"/>
      <c r="W691" s="160"/>
      <c r="X691" s="160"/>
      <c r="Y691" s="160"/>
      <c r="Z691" s="160"/>
      <c r="AA691" s="160"/>
      <c r="AB691" s="160"/>
      <c r="AC691" s="160"/>
      <c r="AD691" s="160"/>
      <c r="AE691" s="160"/>
      <c r="AF691" s="160"/>
      <c r="AG691" s="160"/>
      <c r="AH691" s="160"/>
      <c r="AI691" s="160"/>
      <c r="AJ691" s="160"/>
      <c r="AK691" s="160"/>
      <c r="AL691" s="160"/>
      <c r="AM691" s="160"/>
      <c r="AN691" s="160"/>
      <c r="AO691" s="160"/>
      <c r="AP691" s="160"/>
      <c r="AQ691" s="160"/>
      <c r="AR691" s="160"/>
      <c r="AS691" s="160"/>
      <c r="AT691" s="160"/>
      <c r="AU691" s="160"/>
      <c r="AV691" s="160"/>
      <c r="AW691" s="160"/>
      <c r="AX691" s="160"/>
      <c r="AY691" s="160"/>
      <c r="AZ691" s="160"/>
      <c r="BA691" s="160"/>
    </row>
    <row r="692" ht="15.75" hidden="1" customHeight="1" outlineLevel="1">
      <c r="A692" s="241"/>
      <c r="B692" s="38"/>
      <c r="C692" s="160"/>
      <c r="D692" s="160"/>
      <c r="E692" s="160"/>
      <c r="F692" s="160"/>
      <c r="G692" s="160"/>
      <c r="H692" s="160"/>
      <c r="I692" s="160"/>
      <c r="J692" s="160"/>
      <c r="K692" s="160"/>
      <c r="L692" s="160"/>
      <c r="M692" s="160">
        <f>IF($O$677&gt;0,'Assumptions (Wind)'!$V$18*Model!$O$677*'Assumptions (Wind)'!L$2/10^9,0)</f>
        <v>0</v>
      </c>
      <c r="N692" s="160">
        <f>IF($O$677&gt;0,'Assumptions (Wind)'!$V$18*Model!$O$677*'Assumptions (Wind)'!M$2/10^9,0)</f>
        <v>0</v>
      </c>
      <c r="O692" s="160"/>
      <c r="P692" s="160"/>
      <c r="Q692" s="160"/>
      <c r="R692" s="160"/>
      <c r="S692" s="160"/>
      <c r="T692" s="160"/>
      <c r="U692" s="160"/>
      <c r="V692" s="174"/>
      <c r="W692" s="160"/>
      <c r="X692" s="160"/>
      <c r="Y692" s="160"/>
      <c r="Z692" s="160"/>
      <c r="AA692" s="160"/>
      <c r="AB692" s="160"/>
      <c r="AC692" s="160"/>
      <c r="AD692" s="160"/>
      <c r="AE692" s="160"/>
      <c r="AF692" s="160"/>
      <c r="AG692" s="160"/>
      <c r="AH692" s="160"/>
      <c r="AI692" s="160"/>
      <c r="AJ692" s="160"/>
      <c r="AK692" s="160"/>
      <c r="AL692" s="160"/>
      <c r="AM692" s="160"/>
      <c r="AN692" s="160"/>
      <c r="AO692" s="160"/>
      <c r="AP692" s="160"/>
      <c r="AQ692" s="160"/>
      <c r="AR692" s="160"/>
      <c r="AS692" s="160"/>
      <c r="AT692" s="160"/>
      <c r="AU692" s="160"/>
      <c r="AV692" s="160"/>
      <c r="AW692" s="160"/>
      <c r="AX692" s="160"/>
      <c r="AY692" s="160"/>
      <c r="AZ692" s="160"/>
      <c r="BA692" s="160"/>
    </row>
    <row r="693" ht="15.75" hidden="1" customHeight="1" outlineLevel="1">
      <c r="A693" s="241"/>
      <c r="B693" s="38"/>
      <c r="C693" s="160"/>
      <c r="D693" s="160"/>
      <c r="E693" s="160"/>
      <c r="F693" s="160"/>
      <c r="G693" s="160"/>
      <c r="H693" s="160"/>
      <c r="I693" s="160"/>
      <c r="J693" s="177"/>
      <c r="K693" s="177"/>
      <c r="L693" s="177"/>
      <c r="M693" s="177"/>
      <c r="N693" s="177">
        <f>IF($P$677&gt;0,'Assumptions (Wind)'!$V$18*Model!$P$677*'Assumptions (Wind)'!M$2/10^9,0)</f>
        <v>0</v>
      </c>
      <c r="O693" s="177">
        <f>IF($P$677&gt;0,'Assumptions (Wind)'!$V$18*Model!$P$677*'Assumptions (Wind)'!N$2/10^9,0)</f>
        <v>0</v>
      </c>
      <c r="P693" s="177"/>
      <c r="Q693" s="160"/>
      <c r="R693" s="177"/>
      <c r="S693" s="177"/>
      <c r="T693" s="177"/>
      <c r="U693" s="177"/>
      <c r="V693" s="174"/>
      <c r="W693" s="160"/>
      <c r="X693" s="160"/>
      <c r="Y693" s="160"/>
      <c r="Z693" s="160"/>
      <c r="AA693" s="160"/>
      <c r="AB693" s="160"/>
      <c r="AC693" s="160"/>
      <c r="AD693" s="160"/>
      <c r="AE693" s="160"/>
      <c r="AF693" s="160"/>
      <c r="AG693" s="160"/>
      <c r="AH693" s="160"/>
      <c r="AI693" s="160"/>
      <c r="AJ693" s="160"/>
      <c r="AK693" s="160"/>
      <c r="AL693" s="160"/>
      <c r="AM693" s="160"/>
      <c r="AN693" s="160"/>
      <c r="AO693" s="160"/>
      <c r="AP693" s="160"/>
      <c r="AQ693" s="160"/>
      <c r="AR693" s="160"/>
      <c r="AS693" s="160"/>
      <c r="AT693" s="160"/>
      <c r="AU693" s="160"/>
      <c r="AV693" s="160"/>
      <c r="AW693" s="160"/>
      <c r="AX693" s="160"/>
      <c r="AY693" s="160"/>
      <c r="AZ693" s="160"/>
      <c r="BA693" s="160"/>
    </row>
    <row r="694" ht="15.75" hidden="1" customHeight="1" outlineLevel="1">
      <c r="A694" s="241"/>
      <c r="B694" s="38"/>
      <c r="C694" s="160"/>
      <c r="D694" s="160"/>
      <c r="E694" s="160"/>
      <c r="F694" s="160"/>
      <c r="G694" s="160"/>
      <c r="H694" s="160"/>
      <c r="I694" s="160"/>
      <c r="J694" s="160"/>
      <c r="K694" s="177"/>
      <c r="L694" s="177"/>
      <c r="M694" s="177"/>
      <c r="N694" s="177"/>
      <c r="O694" s="177">
        <f>IF($Q$677&gt;0,'Assumptions (Wind)'!$V$18*Model!$Q$677*'Assumptions (Wind)'!N$2/10^9,0)</f>
        <v>0</v>
      </c>
      <c r="P694" s="177">
        <f>IF($Q$677&gt;0,'Assumptions (Wind)'!$V$18*Model!$Q$677*'Assumptions (Wind)'!O$2/10^9,0)</f>
        <v>0</v>
      </c>
      <c r="Q694" s="160"/>
      <c r="R694" s="177"/>
      <c r="S694" s="177"/>
      <c r="T694" s="177"/>
      <c r="U694" s="177"/>
      <c r="V694" s="174"/>
      <c r="W694" s="160"/>
      <c r="X694" s="160"/>
      <c r="Y694" s="160"/>
      <c r="Z694" s="160"/>
      <c r="AA694" s="160"/>
      <c r="AB694" s="160"/>
      <c r="AC694" s="160"/>
      <c r="AD694" s="160"/>
      <c r="AE694" s="160"/>
      <c r="AF694" s="160"/>
      <c r="AG694" s="160"/>
      <c r="AH694" s="160"/>
      <c r="AI694" s="160"/>
      <c r="AJ694" s="160"/>
      <c r="AK694" s="160"/>
      <c r="AL694" s="160"/>
      <c r="AM694" s="160"/>
      <c r="AN694" s="160"/>
      <c r="AO694" s="160"/>
      <c r="AP694" s="160"/>
      <c r="AQ694" s="160"/>
      <c r="AR694" s="160"/>
      <c r="AS694" s="160"/>
      <c r="AT694" s="160"/>
      <c r="AU694" s="160"/>
      <c r="AV694" s="160"/>
      <c r="AW694" s="160"/>
      <c r="AX694" s="160"/>
      <c r="AY694" s="160"/>
      <c r="AZ694" s="160"/>
      <c r="BA694" s="160"/>
    </row>
    <row r="695" ht="15.75" hidden="1" customHeight="1" outlineLevel="1">
      <c r="A695" s="241"/>
      <c r="B695" s="38"/>
      <c r="C695" s="160"/>
      <c r="D695" s="160"/>
      <c r="E695" s="160"/>
      <c r="F695" s="160"/>
      <c r="G695" s="160"/>
      <c r="H695" s="160"/>
      <c r="I695" s="160"/>
      <c r="J695" s="160"/>
      <c r="K695" s="160"/>
      <c r="L695" s="178"/>
      <c r="M695" s="178"/>
      <c r="N695" s="178"/>
      <c r="O695" s="178"/>
      <c r="P695" s="178">
        <f>IF($R$677&gt;0,'Assumptions (Wind)'!$V$18*Model!$R$677*'Assumptions (Wind)'!O$2/10^9,0)</f>
        <v>0</v>
      </c>
      <c r="Q695" s="178">
        <f>IF($R$677&gt;0,'Assumptions (Wind)'!$V$18*Model!$R$677*'Assumptions (Wind)'!P$2/10^9,0)</f>
        <v>0</v>
      </c>
      <c r="R695" s="177"/>
      <c r="S695" s="177"/>
      <c r="T695" s="177"/>
      <c r="U695" s="177"/>
      <c r="V695" s="174"/>
      <c r="W695" s="160"/>
      <c r="X695" s="160"/>
      <c r="Y695" s="160"/>
      <c r="Z695" s="160"/>
      <c r="AA695" s="160"/>
      <c r="AB695" s="160"/>
      <c r="AC695" s="160"/>
      <c r="AD695" s="160"/>
      <c r="AE695" s="160"/>
      <c r="AF695" s="160"/>
      <c r="AG695" s="160"/>
      <c r="AH695" s="160"/>
      <c r="AI695" s="160"/>
      <c r="AJ695" s="160"/>
      <c r="AK695" s="160"/>
      <c r="AL695" s="160"/>
      <c r="AM695" s="160"/>
      <c r="AN695" s="160"/>
      <c r="AO695" s="160"/>
      <c r="AP695" s="160"/>
      <c r="AQ695" s="160"/>
      <c r="AR695" s="160"/>
      <c r="AS695" s="160"/>
      <c r="AT695" s="160"/>
      <c r="AU695" s="160"/>
      <c r="AV695" s="160"/>
      <c r="AW695" s="160"/>
      <c r="AX695" s="160"/>
      <c r="AY695" s="160"/>
      <c r="AZ695" s="160"/>
      <c r="BA695" s="160"/>
    </row>
    <row r="696" ht="15.75" hidden="1" customHeight="1" outlineLevel="1">
      <c r="A696" s="241"/>
      <c r="B696" s="38"/>
      <c r="C696" s="160"/>
      <c r="D696" s="160"/>
      <c r="E696" s="160"/>
      <c r="F696" s="160"/>
      <c r="G696" s="160"/>
      <c r="H696" s="160"/>
      <c r="I696" s="160"/>
      <c r="J696" s="160"/>
      <c r="K696" s="160"/>
      <c r="L696" s="160"/>
      <c r="M696" s="160"/>
      <c r="N696" s="160"/>
      <c r="O696" s="160"/>
      <c r="P696" s="160"/>
      <c r="Q696" s="160">
        <f>IF($S$677&gt;0,'Assumptions (Wind)'!$V$18*Model!$S$677*'Assumptions (Wind)'!P$2/10^9,0)</f>
        <v>0.1804850926</v>
      </c>
      <c r="R696" s="160">
        <f>IF($S$677&gt;0,'Assumptions (Wind)'!$V$18*Model!$S$677*'Assumptions (Wind)'!Q$2/10^9,0)</f>
        <v>0.1659921864</v>
      </c>
      <c r="S696" s="160"/>
      <c r="T696" s="160"/>
      <c r="U696" s="160"/>
      <c r="V696" s="174"/>
      <c r="W696" s="160"/>
      <c r="X696" s="160"/>
      <c r="Y696" s="160"/>
      <c r="Z696" s="160"/>
      <c r="AA696" s="160"/>
      <c r="AB696" s="160"/>
      <c r="AC696" s="160"/>
      <c r="AD696" s="160"/>
      <c r="AE696" s="160"/>
      <c r="AF696" s="160"/>
      <c r="AG696" s="160"/>
      <c r="AH696" s="160"/>
      <c r="AI696" s="160"/>
      <c r="AJ696" s="160"/>
      <c r="AK696" s="160"/>
      <c r="AL696" s="160"/>
      <c r="AM696" s="160"/>
      <c r="AN696" s="160"/>
      <c r="AO696" s="160"/>
      <c r="AP696" s="160"/>
      <c r="AQ696" s="160"/>
      <c r="AR696" s="160"/>
      <c r="AS696" s="160"/>
      <c r="AT696" s="160"/>
      <c r="AU696" s="160"/>
      <c r="AV696" s="160"/>
      <c r="AW696" s="160"/>
      <c r="AX696" s="160"/>
      <c r="AY696" s="160"/>
      <c r="AZ696" s="160"/>
      <c r="BA696" s="160"/>
    </row>
    <row r="697" ht="15.75" hidden="1" customHeight="1" outlineLevel="1">
      <c r="A697" s="241"/>
      <c r="B697" s="38"/>
      <c r="C697" s="160"/>
      <c r="D697" s="160"/>
      <c r="E697" s="160"/>
      <c r="F697" s="160"/>
      <c r="G697" s="160"/>
      <c r="H697" s="160"/>
      <c r="I697" s="160"/>
      <c r="J697" s="160"/>
      <c r="K697" s="160"/>
      <c r="L697" s="160"/>
      <c r="M697" s="160"/>
      <c r="N697" s="160"/>
      <c r="O697" s="160"/>
      <c r="P697" s="160"/>
      <c r="Q697" s="160"/>
      <c r="R697" s="160">
        <f>IF($T$677&gt;0,'Assumptions (Wind)'!$V$18*Model!$T$677*'Assumptions (Wind)'!Q$2/10^9,0)</f>
        <v>0</v>
      </c>
      <c r="S697" s="160">
        <f>IF($T$677&gt;0,'Assumptions (Wind)'!$V$18*Model!$T$677*'Assumptions (Wind)'!R$2/10^9,0)</f>
        <v>0</v>
      </c>
      <c r="T697" s="160"/>
      <c r="U697" s="160"/>
      <c r="V697" s="174"/>
      <c r="W697" s="160"/>
      <c r="X697" s="160"/>
      <c r="Y697" s="160"/>
      <c r="Z697" s="160"/>
      <c r="AA697" s="160"/>
      <c r="AB697" s="160"/>
      <c r="AC697" s="160"/>
      <c r="AD697" s="160"/>
      <c r="AE697" s="160"/>
      <c r="AF697" s="160"/>
      <c r="AG697" s="160"/>
      <c r="AH697" s="160"/>
      <c r="AI697" s="160"/>
      <c r="AJ697" s="160"/>
      <c r="AK697" s="160"/>
      <c r="AL697" s="160"/>
      <c r="AM697" s="160"/>
      <c r="AN697" s="160"/>
      <c r="AO697" s="160"/>
      <c r="AP697" s="160"/>
      <c r="AQ697" s="160"/>
      <c r="AR697" s="160"/>
      <c r="AS697" s="160"/>
      <c r="AT697" s="160"/>
      <c r="AU697" s="160"/>
      <c r="AV697" s="160"/>
      <c r="AW697" s="160"/>
      <c r="AX697" s="160"/>
      <c r="AY697" s="160"/>
      <c r="AZ697" s="160"/>
      <c r="BA697" s="160"/>
    </row>
    <row r="698" ht="15.75" hidden="1" customHeight="1" outlineLevel="1">
      <c r="A698" s="241"/>
      <c r="B698" s="38"/>
      <c r="C698" s="160"/>
      <c r="D698" s="160"/>
      <c r="E698" s="160"/>
      <c r="F698" s="160"/>
      <c r="G698" s="160"/>
      <c r="H698" s="160"/>
      <c r="I698" s="160"/>
      <c r="J698" s="160"/>
      <c r="K698" s="160"/>
      <c r="L698" s="160"/>
      <c r="M698" s="160"/>
      <c r="N698" s="160"/>
      <c r="O698" s="177"/>
      <c r="P698" s="177"/>
      <c r="Q698" s="177"/>
      <c r="R698" s="177"/>
      <c r="S698" s="177">
        <f>IF($U$677&gt;0,'Assumptions (Wind)'!$V$18*Model!$U$677*'Assumptions (Wind)'!R$2/10^9,0)</f>
        <v>0</v>
      </c>
      <c r="T698" s="177">
        <f>IF($U$677&gt;0,'Assumptions (Wind)'!$V$18*Model!$U$677*'Assumptions (Wind)'!S$2/10^9,0)</f>
        <v>0</v>
      </c>
      <c r="U698" s="160"/>
      <c r="V698" s="174"/>
      <c r="W698" s="160"/>
      <c r="X698" s="160"/>
      <c r="Y698" s="160"/>
      <c r="Z698" s="160"/>
      <c r="AA698" s="160"/>
      <c r="AB698" s="160"/>
      <c r="AC698" s="160"/>
      <c r="AD698" s="160"/>
      <c r="AE698" s="160"/>
      <c r="AF698" s="160"/>
      <c r="AG698" s="160"/>
      <c r="AH698" s="160"/>
      <c r="AI698" s="160"/>
      <c r="AJ698" s="160"/>
      <c r="AK698" s="160"/>
      <c r="AL698" s="160"/>
      <c r="AM698" s="160"/>
      <c r="AN698" s="160"/>
      <c r="AO698" s="160"/>
      <c r="AP698" s="160"/>
      <c r="AQ698" s="160"/>
      <c r="AR698" s="160"/>
      <c r="AS698" s="160"/>
      <c r="AT698" s="160"/>
      <c r="AU698" s="160"/>
      <c r="AV698" s="160"/>
      <c r="AW698" s="160"/>
      <c r="AX698" s="160"/>
      <c r="AY698" s="160"/>
      <c r="AZ698" s="160"/>
      <c r="BA698" s="160"/>
    </row>
    <row r="699" ht="15.75" hidden="1" customHeight="1" outlineLevel="1">
      <c r="A699" s="241"/>
      <c r="B699" s="38"/>
      <c r="C699" s="160"/>
      <c r="D699" s="160"/>
      <c r="E699" s="160"/>
      <c r="F699" s="160"/>
      <c r="G699" s="160"/>
      <c r="H699" s="160"/>
      <c r="I699" s="160"/>
      <c r="J699" s="160"/>
      <c r="K699" s="160"/>
      <c r="L699" s="160"/>
      <c r="M699" s="160"/>
      <c r="N699" s="160"/>
      <c r="O699" s="160"/>
      <c r="P699" s="160"/>
      <c r="Q699" s="160"/>
      <c r="R699" s="160"/>
      <c r="S699" s="160"/>
      <c r="T699" s="160">
        <f>IF($V$677&gt;0,'Assumptions (Wind)'!$V$18*Model!$V$677*'Assumptions (Wind)'!S$2/10^9,0)</f>
        <v>0</v>
      </c>
      <c r="U699" s="160">
        <f>IF($V$677&gt;0,'Assumptions (Wind)'!$V$18*Model!$V$677*'Assumptions (Wind)'!T$2/10^9,0)</f>
        <v>0</v>
      </c>
      <c r="V699" s="174"/>
      <c r="W699" s="160"/>
      <c r="X699" s="160"/>
      <c r="Y699" s="160"/>
      <c r="Z699" s="160"/>
      <c r="AA699" s="160"/>
      <c r="AB699" s="160"/>
      <c r="AC699" s="160"/>
      <c r="AD699" s="160"/>
      <c r="AE699" s="160"/>
      <c r="AF699" s="160"/>
      <c r="AG699" s="160"/>
      <c r="AH699" s="160"/>
      <c r="AI699" s="160"/>
      <c r="AJ699" s="160"/>
      <c r="AK699" s="160"/>
      <c r="AL699" s="160"/>
      <c r="AM699" s="160"/>
      <c r="AN699" s="160"/>
      <c r="AO699" s="160"/>
      <c r="AP699" s="160"/>
      <c r="AQ699" s="160"/>
      <c r="AR699" s="160"/>
      <c r="AS699" s="160"/>
      <c r="AT699" s="160"/>
      <c r="AU699" s="160"/>
      <c r="AV699" s="160"/>
      <c r="AW699" s="160"/>
      <c r="AX699" s="160"/>
      <c r="AY699" s="160"/>
      <c r="AZ699" s="160"/>
      <c r="BA699" s="160"/>
    </row>
    <row r="700" ht="15.75" hidden="1" customHeight="1" outlineLevel="1">
      <c r="A700" s="241"/>
      <c r="B700" s="38"/>
      <c r="C700" s="174"/>
      <c r="D700" s="174"/>
      <c r="E700" s="174"/>
      <c r="F700" s="174"/>
      <c r="G700" s="174"/>
      <c r="H700" s="174"/>
      <c r="I700" s="174"/>
      <c r="J700" s="174"/>
      <c r="K700" s="174"/>
      <c r="L700" s="174"/>
      <c r="M700" s="174"/>
      <c r="N700" s="174"/>
      <c r="O700" s="174"/>
      <c r="P700" s="174"/>
      <c r="Q700" s="174"/>
      <c r="R700" s="174"/>
      <c r="S700" s="174"/>
      <c r="T700" s="174"/>
      <c r="U700" s="160">
        <f>IF($W$677&gt;0,'Assumptions (Wind)'!$V$18*Model!$W$677*'Assumptions (Wind)'!T$2/10^9,0)</f>
        <v>0</v>
      </c>
      <c r="V700" s="160">
        <f>IF($W$677&gt;0,'Assumptions (Wind)'!$V$18*Model!$W$677*'Assumptions (Wind)'!U$2/10^9,0)</f>
        <v>0</v>
      </c>
      <c r="W700" s="160"/>
      <c r="X700" s="160"/>
      <c r="Y700" s="160"/>
      <c r="Z700" s="160"/>
      <c r="AA700" s="160"/>
      <c r="AB700" s="160"/>
      <c r="AC700" s="160"/>
      <c r="AD700" s="160"/>
      <c r="AE700" s="160"/>
      <c r="AF700" s="160"/>
      <c r="AG700" s="160"/>
      <c r="AH700" s="160"/>
      <c r="AI700" s="160"/>
      <c r="AJ700" s="160"/>
      <c r="AK700" s="160"/>
      <c r="AL700" s="160"/>
      <c r="AM700" s="160"/>
      <c r="AN700" s="160"/>
      <c r="AO700" s="160"/>
      <c r="AP700" s="160"/>
      <c r="AQ700" s="160"/>
      <c r="AR700" s="160"/>
      <c r="AS700" s="160"/>
      <c r="AT700" s="160"/>
      <c r="AU700" s="160"/>
      <c r="AV700" s="160"/>
      <c r="AW700" s="160"/>
      <c r="AX700" s="160"/>
      <c r="AY700" s="160"/>
      <c r="AZ700" s="160"/>
    </row>
    <row r="701" ht="15.75" hidden="1" customHeight="1" outlineLevel="1">
      <c r="A701" s="241"/>
      <c r="B701" s="38"/>
      <c r="C701" s="174"/>
      <c r="D701" s="174"/>
      <c r="E701" s="174"/>
      <c r="F701" s="174"/>
      <c r="G701" s="174"/>
      <c r="H701" s="174"/>
      <c r="I701" s="174"/>
      <c r="J701" s="174"/>
      <c r="K701" s="174"/>
      <c r="L701" s="174"/>
      <c r="M701" s="174"/>
      <c r="N701" s="174"/>
      <c r="O701" s="174"/>
      <c r="P701" s="174"/>
      <c r="Q701" s="174"/>
      <c r="R701" s="174"/>
      <c r="S701" s="174"/>
      <c r="T701" s="174"/>
      <c r="U701" s="174"/>
      <c r="V701" s="160">
        <f>IF($X$677&gt;0,'Assumptions (Wind)'!$V$18*Model!$X$677*'Assumptions (Wind)'!U$2/10^9,0)</f>
        <v>0.1358960601</v>
      </c>
      <c r="W701" s="160">
        <f>IF($X$677&gt;0,'Assumptions (Wind)'!$V$18*Model!$X$677*'Assumptions (Wind)'!V$2/10^9,0)</f>
        <v>0.1356389723</v>
      </c>
      <c r="X701" s="160"/>
      <c r="Y701" s="160"/>
      <c r="Z701" s="160"/>
      <c r="AA701" s="160"/>
      <c r="AB701" s="160"/>
      <c r="AC701" s="160"/>
      <c r="AD701" s="160"/>
      <c r="AE701" s="160"/>
      <c r="AF701" s="160"/>
      <c r="AG701" s="160"/>
      <c r="AH701" s="160"/>
      <c r="AI701" s="160"/>
      <c r="AJ701" s="160"/>
      <c r="AK701" s="160"/>
      <c r="AL701" s="160"/>
      <c r="AM701" s="160"/>
      <c r="AN701" s="160"/>
      <c r="AO701" s="160"/>
      <c r="AP701" s="160"/>
      <c r="AQ701" s="160"/>
      <c r="AR701" s="160"/>
      <c r="AS701" s="160"/>
      <c r="AT701" s="160"/>
      <c r="AU701" s="160"/>
      <c r="AV701" s="160"/>
      <c r="AW701" s="160"/>
      <c r="AX701" s="160"/>
      <c r="AY701" s="160"/>
      <c r="AZ701" s="160"/>
    </row>
    <row r="702" ht="15.75" hidden="1" customHeight="1" outlineLevel="1">
      <c r="A702" s="241"/>
      <c r="B702" s="38"/>
      <c r="C702" s="174"/>
      <c r="D702" s="174"/>
      <c r="E702" s="174"/>
      <c r="F702" s="174"/>
      <c r="G702" s="174"/>
      <c r="H702" s="174"/>
      <c r="I702" s="174"/>
      <c r="J702" s="174"/>
      <c r="K702" s="174"/>
      <c r="L702" s="174"/>
      <c r="M702" s="174"/>
      <c r="N702" s="174"/>
      <c r="O702" s="174"/>
      <c r="P702" s="174"/>
      <c r="Q702" s="174"/>
      <c r="R702" s="174"/>
      <c r="S702" s="174"/>
      <c r="T702" s="174"/>
      <c r="U702" s="174"/>
      <c r="V702" s="174"/>
      <c r="W702" s="160">
        <f>IF($Y$677&gt;0,'Assumptions (Wind)'!$V$18*Model!$Y$677*'Assumptions (Wind)'!V$2/10^9,0)</f>
        <v>0.1356389723</v>
      </c>
      <c r="X702" s="160">
        <f>IF($Y$677&gt;0,'Assumptions (Wind)'!$V$18*Model!$Y$677*'Assumptions (Wind)'!W$2/10^9,0)</f>
        <v>0.1352377699</v>
      </c>
      <c r="Y702" s="160"/>
      <c r="Z702" s="160"/>
      <c r="AA702" s="160"/>
      <c r="AB702" s="160"/>
      <c r="AC702" s="160"/>
      <c r="AD702" s="160"/>
      <c r="AE702" s="160"/>
      <c r="AF702" s="160"/>
      <c r="AG702" s="160"/>
      <c r="AH702" s="160"/>
      <c r="AI702" s="160"/>
      <c r="AJ702" s="160"/>
      <c r="AK702" s="160"/>
      <c r="AL702" s="160"/>
      <c r="AM702" s="160"/>
      <c r="AN702" s="160"/>
      <c r="AO702" s="160"/>
      <c r="AP702" s="160"/>
      <c r="AQ702" s="160"/>
      <c r="AR702" s="160"/>
      <c r="AS702" s="160"/>
      <c r="AT702" s="160"/>
      <c r="AU702" s="160"/>
      <c r="AV702" s="160"/>
      <c r="AW702" s="160"/>
      <c r="AX702" s="160"/>
      <c r="AY702" s="160"/>
      <c r="AZ702" s="160"/>
    </row>
    <row r="703" ht="15.75" hidden="1" customHeight="1" outlineLevel="1">
      <c r="A703" s="241"/>
      <c r="B703" s="38"/>
      <c r="C703" s="174"/>
      <c r="D703" s="174"/>
      <c r="E703" s="174"/>
      <c r="F703" s="174"/>
      <c r="G703" s="174"/>
      <c r="H703" s="174"/>
      <c r="I703" s="174"/>
      <c r="J703" s="174"/>
      <c r="K703" s="174"/>
      <c r="L703" s="174"/>
      <c r="M703" s="174"/>
      <c r="N703" s="174"/>
      <c r="O703" s="174"/>
      <c r="P703" s="174"/>
      <c r="Q703" s="174"/>
      <c r="R703" s="174"/>
      <c r="S703" s="174"/>
      <c r="T703" s="174"/>
      <c r="U703" s="174"/>
      <c r="V703" s="174"/>
      <c r="W703" s="160"/>
      <c r="X703" s="160">
        <f>IF($Z$677&gt;0,'Assumptions (Wind)'!$V$18*Model!$Z$677*'Assumptions (Wind)'!W$2/10^9,0)</f>
        <v>0.1352377699</v>
      </c>
      <c r="Y703" s="160">
        <f>IF($Z$677&gt;0,'Assumptions (Wind)'!$V$18*Model!$Z$677*'Assumptions (Wind)'!X$2/10^9,0)</f>
        <v>0.1347692892</v>
      </c>
      <c r="Z703" s="160"/>
      <c r="AA703" s="160"/>
      <c r="AB703" s="160"/>
      <c r="AC703" s="160"/>
      <c r="AD703" s="160"/>
      <c r="AE703" s="160"/>
      <c r="AF703" s="160"/>
      <c r="AG703" s="160"/>
      <c r="AH703" s="160"/>
      <c r="AI703" s="160"/>
      <c r="AJ703" s="160"/>
      <c r="AK703" s="160"/>
      <c r="AL703" s="160"/>
      <c r="AM703" s="160"/>
      <c r="AN703" s="160"/>
      <c r="AO703" s="160"/>
      <c r="AP703" s="160"/>
      <c r="AQ703" s="160"/>
      <c r="AR703" s="160"/>
      <c r="AS703" s="160"/>
      <c r="AT703" s="160"/>
      <c r="AU703" s="160"/>
      <c r="AV703" s="160"/>
      <c r="AW703" s="160"/>
      <c r="AX703" s="160"/>
      <c r="AY703" s="160"/>
      <c r="AZ703" s="160"/>
    </row>
    <row r="704" ht="15.75" hidden="1" customHeight="1" outlineLevel="1">
      <c r="A704" s="241"/>
      <c r="B704" s="38"/>
      <c r="C704" s="174"/>
      <c r="D704" s="174"/>
      <c r="E704" s="174"/>
      <c r="F704" s="174"/>
      <c r="G704" s="174"/>
      <c r="H704" s="174"/>
      <c r="I704" s="174"/>
      <c r="J704" s="174"/>
      <c r="K704" s="174"/>
      <c r="L704" s="174"/>
      <c r="M704" s="174"/>
      <c r="N704" s="174"/>
      <c r="O704" s="174"/>
      <c r="P704" s="174"/>
      <c r="Q704" s="174"/>
      <c r="R704" s="174"/>
      <c r="S704" s="174"/>
      <c r="T704" s="174"/>
      <c r="U704" s="174"/>
      <c r="V704" s="174"/>
      <c r="W704" s="160"/>
      <c r="X704" s="160"/>
      <c r="Y704" s="160">
        <f>IF($AA$677&gt;0,'Assumptions (Wind)'!$V$18*Model!$AA$677*'Assumptions (Wind)'!X$2/10^9,0)</f>
        <v>0.1347692892</v>
      </c>
      <c r="Z704" s="160">
        <f>IF($AA$677&gt;0,'Assumptions (Wind)'!$V$18*Model!$AA$677*'Assumptions (Wind)'!Y$2/10^9,0)</f>
        <v>0.1342310578</v>
      </c>
      <c r="AA704" s="160"/>
      <c r="AB704" s="160"/>
      <c r="AC704" s="160"/>
      <c r="AD704" s="160"/>
      <c r="AE704" s="160"/>
      <c r="AF704" s="160"/>
      <c r="AG704" s="160"/>
      <c r="AH704" s="160"/>
      <c r="AI704" s="160"/>
      <c r="AJ704" s="160"/>
      <c r="AK704" s="160"/>
      <c r="AL704" s="160"/>
      <c r="AM704" s="160"/>
      <c r="AN704" s="160"/>
      <c r="AO704" s="160"/>
      <c r="AP704" s="160"/>
      <c r="AQ704" s="160"/>
      <c r="AR704" s="160"/>
      <c r="AS704" s="160"/>
      <c r="AT704" s="160"/>
      <c r="AU704" s="160"/>
      <c r="AV704" s="160"/>
      <c r="AW704" s="160"/>
      <c r="AX704" s="160"/>
      <c r="AY704" s="160"/>
      <c r="AZ704" s="160"/>
    </row>
    <row r="705" ht="15.75" hidden="1" customHeight="1" outlineLevel="1">
      <c r="A705" s="241"/>
      <c r="B705" s="38"/>
      <c r="C705" s="174"/>
      <c r="D705" s="174"/>
      <c r="E705" s="174"/>
      <c r="F705" s="174"/>
      <c r="G705" s="174"/>
      <c r="H705" s="174"/>
      <c r="I705" s="174"/>
      <c r="J705" s="174"/>
      <c r="K705" s="174"/>
      <c r="L705" s="174"/>
      <c r="M705" s="174"/>
      <c r="N705" s="174"/>
      <c r="O705" s="174"/>
      <c r="P705" s="174"/>
      <c r="Q705" s="174"/>
      <c r="R705" s="174"/>
      <c r="S705" s="174"/>
      <c r="T705" s="174"/>
      <c r="U705" s="174"/>
      <c r="V705" s="174"/>
      <c r="W705" s="160"/>
      <c r="X705" s="160"/>
      <c r="Y705" s="160"/>
      <c r="Z705" s="160">
        <f>IF($AB$677&gt;0,'Assumptions (Wind)'!$V$18*Model!$AB$677*'Assumptions (Wind)'!Y$2/10^9,0)</f>
        <v>0.1342310578</v>
      </c>
      <c r="AA705" s="160">
        <f>IF($AB$677&gt;0,'Assumptions (Wind)'!$V$18*Model!$AB$677*'Assumptions (Wind)'!Z$2/10^9,0)</f>
        <v>0.1335332559</v>
      </c>
      <c r="AB705" s="160"/>
      <c r="AC705" s="160"/>
      <c r="AD705" s="160"/>
      <c r="AE705" s="160"/>
      <c r="AF705" s="160"/>
      <c r="AG705" s="160"/>
      <c r="AH705" s="160"/>
      <c r="AI705" s="160"/>
      <c r="AJ705" s="160"/>
      <c r="AK705" s="160"/>
      <c r="AL705" s="160"/>
      <c r="AM705" s="160"/>
      <c r="AN705" s="160"/>
      <c r="AO705" s="160"/>
      <c r="AP705" s="160"/>
      <c r="AQ705" s="160"/>
      <c r="AR705" s="160"/>
      <c r="AS705" s="160"/>
      <c r="AT705" s="160"/>
      <c r="AU705" s="160"/>
      <c r="AV705" s="160"/>
      <c r="AW705" s="160"/>
      <c r="AX705" s="160"/>
      <c r="AY705" s="160"/>
      <c r="AZ705" s="160"/>
    </row>
    <row r="706" ht="15.75" hidden="1" customHeight="1" outlineLevel="1">
      <c r="A706" s="241"/>
      <c r="B706" s="38"/>
      <c r="C706" s="174"/>
      <c r="D706" s="174"/>
      <c r="E706" s="174"/>
      <c r="F706" s="174"/>
      <c r="G706" s="174"/>
      <c r="H706" s="174"/>
      <c r="I706" s="174"/>
      <c r="J706" s="174"/>
      <c r="K706" s="174"/>
      <c r="L706" s="174"/>
      <c r="M706" s="174"/>
      <c r="N706" s="174"/>
      <c r="O706" s="174"/>
      <c r="P706" s="174"/>
      <c r="Q706" s="174"/>
      <c r="R706" s="174"/>
      <c r="S706" s="174"/>
      <c r="T706" s="174"/>
      <c r="U706" s="174"/>
      <c r="V706" s="174"/>
      <c r="W706" s="160"/>
      <c r="X706" s="160"/>
      <c r="Y706" s="160"/>
      <c r="Z706" s="160"/>
      <c r="AA706" s="160">
        <f>IF($AC$677&gt;0,'Assumptions (Wind)'!$V$18*Model!$AC$677*'Assumptions (Wind)'!Z$2/10^9,0)</f>
        <v>0.1335332559</v>
      </c>
      <c r="AB706" s="160">
        <f>IF($AC$677&gt;0,'Assumptions (Wind)'!$V$18*Model!$AC$677*'Assumptions (Wind)'!AA$2/10^9,0)</f>
        <v>0.1327571388</v>
      </c>
      <c r="AC706" s="160"/>
      <c r="AD706" s="160"/>
      <c r="AE706" s="160"/>
      <c r="AF706" s="160"/>
      <c r="AG706" s="160"/>
      <c r="AH706" s="160"/>
      <c r="AI706" s="160"/>
      <c r="AJ706" s="160"/>
      <c r="AK706" s="160"/>
      <c r="AL706" s="160"/>
      <c r="AM706" s="160"/>
      <c r="AN706" s="160"/>
      <c r="AO706" s="160"/>
      <c r="AP706" s="160"/>
      <c r="AQ706" s="160"/>
      <c r="AR706" s="160"/>
      <c r="AS706" s="160"/>
      <c r="AT706" s="160"/>
      <c r="AU706" s="160"/>
      <c r="AV706" s="160"/>
      <c r="AW706" s="160"/>
      <c r="AX706" s="160"/>
      <c r="AY706" s="160"/>
      <c r="AZ706" s="160"/>
    </row>
    <row r="707" ht="15.75" hidden="1" customHeight="1" outlineLevel="1">
      <c r="A707" s="241"/>
      <c r="B707" s="38"/>
      <c r="C707" s="174"/>
      <c r="D707" s="174"/>
      <c r="E707" s="174"/>
      <c r="F707" s="174"/>
      <c r="G707" s="174"/>
      <c r="H707" s="174"/>
      <c r="I707" s="174"/>
      <c r="J707" s="174"/>
      <c r="K707" s="174"/>
      <c r="L707" s="174"/>
      <c r="M707" s="174"/>
      <c r="N707" s="174"/>
      <c r="O707" s="174"/>
      <c r="P707" s="174"/>
      <c r="Q707" s="174"/>
      <c r="R707" s="174"/>
      <c r="S707" s="174"/>
      <c r="T707" s="174"/>
      <c r="U707" s="174"/>
      <c r="V707" s="174"/>
      <c r="W707" s="160"/>
      <c r="X707" s="160"/>
      <c r="Y707" s="160"/>
      <c r="Z707" s="160"/>
      <c r="AA707" s="160"/>
      <c r="AB707" s="160">
        <f>IF($AD$677&gt;0,'Assumptions (Wind)'!$V$18*Model!$AD$677*'Assumptions (Wind)'!AA$2/10^9,0)</f>
        <v>0.1327571388</v>
      </c>
      <c r="AC707" s="160">
        <f>IF($AD$677&gt;0,'Assumptions (Wind)'!$V$18*Model!$AD$677*'Assumptions (Wind)'!AB$2/10^9,0)</f>
        <v>0.1318999164</v>
      </c>
      <c r="AD707" s="160"/>
      <c r="AE707" s="160"/>
      <c r="AF707" s="160"/>
      <c r="AG707" s="160"/>
      <c r="AH707" s="160"/>
      <c r="AI707" s="160"/>
      <c r="AJ707" s="160"/>
      <c r="AK707" s="160"/>
      <c r="AL707" s="160"/>
      <c r="AM707" s="160"/>
      <c r="AN707" s="160"/>
      <c r="AO707" s="160"/>
      <c r="AP707" s="160"/>
      <c r="AQ707" s="160"/>
      <c r="AR707" s="160"/>
      <c r="AS707" s="160"/>
      <c r="AT707" s="160"/>
      <c r="AU707" s="160"/>
      <c r="AV707" s="160"/>
      <c r="AW707" s="160"/>
      <c r="AX707" s="160"/>
      <c r="AY707" s="160"/>
      <c r="AZ707" s="160"/>
    </row>
    <row r="708" ht="15.75" hidden="1" customHeight="1" outlineLevel="1">
      <c r="A708" s="241"/>
      <c r="B708" s="38"/>
      <c r="C708" s="174"/>
      <c r="D708" s="174"/>
      <c r="E708" s="174"/>
      <c r="F708" s="174"/>
      <c r="G708" s="174"/>
      <c r="H708" s="174"/>
      <c r="I708" s="174"/>
      <c r="J708" s="174"/>
      <c r="K708" s="174"/>
      <c r="L708" s="174"/>
      <c r="M708" s="174"/>
      <c r="N708" s="174"/>
      <c r="O708" s="174"/>
      <c r="P708" s="174"/>
      <c r="Q708" s="174"/>
      <c r="R708" s="174"/>
      <c r="S708" s="174"/>
      <c r="T708" s="174"/>
      <c r="U708" s="174"/>
      <c r="V708" s="174"/>
      <c r="W708" s="160"/>
      <c r="X708" s="160"/>
      <c r="Y708" s="160"/>
      <c r="Z708" s="160"/>
      <c r="AA708" s="160"/>
      <c r="AB708" s="160"/>
      <c r="AC708" s="160">
        <f>IF($AE$677&gt;0,'Assumptions (Wind)'!$V$18*Model!$AE$677*'Assumptions (Wind)'!AB$2/10^9,0)</f>
        <v>0.1334272551</v>
      </c>
      <c r="AD708" s="160">
        <f>IF($AE$677&gt;0,'Assumptions (Wind)'!$V$18*Model!$AE$677*'Assumptions (Wind)'!AC$2/10^9,0)</f>
        <v>0.1324751597</v>
      </c>
      <c r="AE708" s="160"/>
      <c r="AF708" s="160"/>
      <c r="AG708" s="160"/>
      <c r="AH708" s="160"/>
      <c r="AI708" s="160"/>
      <c r="AJ708" s="160"/>
      <c r="AK708" s="160"/>
      <c r="AL708" s="160"/>
      <c r="AM708" s="160"/>
      <c r="AN708" s="160"/>
      <c r="AO708" s="160"/>
      <c r="AP708" s="160"/>
      <c r="AQ708" s="160"/>
      <c r="AR708" s="160"/>
      <c r="AS708" s="160"/>
      <c r="AT708" s="160"/>
      <c r="AU708" s="160"/>
      <c r="AV708" s="160"/>
      <c r="AW708" s="160"/>
      <c r="AX708" s="160"/>
      <c r="AY708" s="160"/>
      <c r="AZ708" s="160"/>
    </row>
    <row r="709" ht="15.75" hidden="1" customHeight="1" outlineLevel="1">
      <c r="A709" s="241"/>
      <c r="B709" s="38"/>
      <c r="C709" s="174"/>
      <c r="D709" s="174"/>
      <c r="E709" s="174"/>
      <c r="F709" s="174"/>
      <c r="G709" s="174"/>
      <c r="H709" s="174"/>
      <c r="I709" s="174"/>
      <c r="J709" s="174"/>
      <c r="K709" s="174"/>
      <c r="L709" s="174"/>
      <c r="M709" s="174"/>
      <c r="N709" s="174"/>
      <c r="O709" s="174"/>
      <c r="P709" s="174"/>
      <c r="Q709" s="174"/>
      <c r="R709" s="174"/>
      <c r="S709" s="174"/>
      <c r="T709" s="174"/>
      <c r="U709" s="174"/>
      <c r="V709" s="174"/>
      <c r="W709" s="160"/>
      <c r="X709" s="160"/>
      <c r="Y709" s="160"/>
      <c r="Z709" s="160"/>
      <c r="AA709" s="160"/>
      <c r="AB709" s="160"/>
      <c r="AC709" s="160"/>
      <c r="AD709" s="160">
        <f>IF($AF$677&gt;0,'Assumptions (Wind)'!$V$18*Model!$AF$677*'Assumptions (Wind)'!AC$2/10^9,0)</f>
        <v>0.1309587197</v>
      </c>
      <c r="AE709" s="160">
        <f>IF($AF$677&gt;0,'Assumptions (Wind)'!$V$18*Model!$AF$677*'Assumptions (Wind)'!AD$2/10^9,0)</f>
        <v>0.1298363089</v>
      </c>
      <c r="AF709" s="160"/>
      <c r="AG709" s="160"/>
      <c r="AH709" s="160"/>
      <c r="AI709" s="160"/>
      <c r="AJ709" s="160"/>
      <c r="AK709" s="160"/>
      <c r="AL709" s="160"/>
      <c r="AM709" s="160"/>
      <c r="AN709" s="160"/>
      <c r="AO709" s="160"/>
      <c r="AP709" s="160"/>
      <c r="AQ709" s="160"/>
      <c r="AR709" s="160"/>
      <c r="AS709" s="160"/>
      <c r="AT709" s="160"/>
      <c r="AU709" s="160"/>
      <c r="AV709" s="160"/>
      <c r="AW709" s="160"/>
      <c r="AX709" s="160"/>
      <c r="AY709" s="160"/>
      <c r="AZ709" s="160"/>
    </row>
    <row r="710" ht="15.75" hidden="1" customHeight="1" outlineLevel="1">
      <c r="A710" s="241"/>
      <c r="B710" s="38"/>
      <c r="C710" s="174"/>
      <c r="D710" s="174"/>
      <c r="E710" s="174"/>
      <c r="F710" s="174"/>
      <c r="G710" s="174"/>
      <c r="H710" s="174"/>
      <c r="I710" s="174"/>
      <c r="J710" s="174"/>
      <c r="K710" s="174"/>
      <c r="L710" s="174"/>
      <c r="M710" s="174"/>
      <c r="N710" s="174"/>
      <c r="O710" s="174"/>
      <c r="P710" s="174"/>
      <c r="Q710" s="174"/>
      <c r="R710" s="174"/>
      <c r="S710" s="174"/>
      <c r="T710" s="174"/>
      <c r="U710" s="174"/>
      <c r="V710" s="174"/>
      <c r="W710" s="160"/>
      <c r="X710" s="160"/>
      <c r="Y710" s="160"/>
      <c r="Z710" s="160"/>
      <c r="AA710" s="160"/>
      <c r="AB710" s="160"/>
      <c r="AC710" s="160"/>
      <c r="AD710" s="160"/>
      <c r="AE710" s="160">
        <f>IF($AG$677&gt;0,'Assumptions (Wind)'!$V$18*Model!$AG$677*'Assumptions (Wind)'!AD$2/10^9,0)</f>
        <v>0.1298363089</v>
      </c>
      <c r="AF710" s="160">
        <f>IF($AG$677&gt;0,'Assumptions (Wind)'!$V$18*Model!$AG$677*'Assumptions (Wind)'!AE$2/10^9,0)</f>
        <v>0.1286202611</v>
      </c>
      <c r="AG710" s="160"/>
      <c r="AH710" s="160"/>
      <c r="AI710" s="160"/>
      <c r="AJ710" s="160"/>
      <c r="AK710" s="160"/>
      <c r="AL710" s="160"/>
      <c r="AM710" s="160"/>
      <c r="AN710" s="160"/>
      <c r="AO710" s="160"/>
      <c r="AP710" s="160"/>
      <c r="AQ710" s="160"/>
      <c r="AR710" s="160"/>
      <c r="AS710" s="160"/>
      <c r="AT710" s="160"/>
      <c r="AU710" s="160"/>
      <c r="AV710" s="160"/>
      <c r="AW710" s="160"/>
      <c r="AX710" s="160"/>
      <c r="AY710" s="160"/>
      <c r="AZ710" s="160"/>
    </row>
    <row r="711" ht="15.75" hidden="1" customHeight="1" outlineLevel="1">
      <c r="A711" s="241"/>
      <c r="B711" s="38"/>
      <c r="C711" s="174"/>
      <c r="D711" s="174"/>
      <c r="E711" s="174"/>
      <c r="F711" s="174"/>
      <c r="G711" s="174"/>
      <c r="H711" s="174"/>
      <c r="I711" s="174"/>
      <c r="J711" s="174"/>
      <c r="K711" s="174"/>
      <c r="L711" s="174"/>
      <c r="M711" s="174"/>
      <c r="N711" s="174"/>
      <c r="O711" s="174"/>
      <c r="P711" s="174"/>
      <c r="Q711" s="174"/>
      <c r="R711" s="174"/>
      <c r="S711" s="174"/>
      <c r="T711" s="174"/>
      <c r="U711" s="174"/>
      <c r="V711" s="174"/>
      <c r="W711" s="160"/>
      <c r="X711" s="160"/>
      <c r="Y711" s="160"/>
      <c r="Z711" s="160"/>
      <c r="AA711" s="160"/>
      <c r="AB711" s="160"/>
      <c r="AC711" s="160"/>
      <c r="AD711" s="160"/>
      <c r="AE711" s="160"/>
      <c r="AF711" s="160">
        <f>IF($AH$677&gt;0,'Assumptions (Wind)'!$V$18*Model!$AH$677*'Assumptions (Wind)'!AE$2/10^9,0)</f>
        <v>0.1286202611</v>
      </c>
      <c r="AG711" s="160">
        <f>IF($AH$677&gt;0,'Assumptions (Wind)'!$V$18*Model!$AH$677*'Assumptions (Wind)'!AF$2/10^9,0)</f>
        <v>0.1272093458</v>
      </c>
      <c r="AH711" s="160"/>
      <c r="AI711" s="160"/>
      <c r="AJ711" s="160"/>
      <c r="AK711" s="160"/>
      <c r="AL711" s="160"/>
      <c r="AM711" s="160"/>
      <c r="AN711" s="160"/>
      <c r="AO711" s="160"/>
      <c r="AP711" s="160"/>
      <c r="AQ711" s="160"/>
      <c r="AR711" s="160"/>
      <c r="AS711" s="160"/>
      <c r="AT711" s="160"/>
      <c r="AU711" s="160"/>
      <c r="AV711" s="160"/>
      <c r="AW711" s="160"/>
      <c r="AX711" s="160"/>
      <c r="AY711" s="160"/>
      <c r="AZ711" s="160"/>
    </row>
    <row r="712" ht="15.75" hidden="1" customHeight="1" outlineLevel="1">
      <c r="A712" s="241"/>
      <c r="B712" s="38"/>
      <c r="C712" s="174"/>
      <c r="D712" s="174"/>
      <c r="E712" s="174"/>
      <c r="F712" s="174"/>
      <c r="G712" s="174"/>
      <c r="H712" s="174"/>
      <c r="I712" s="174"/>
      <c r="J712" s="174"/>
      <c r="K712" s="174"/>
      <c r="L712" s="174"/>
      <c r="M712" s="174"/>
      <c r="N712" s="174"/>
      <c r="O712" s="174"/>
      <c r="P712" s="174"/>
      <c r="Q712" s="174"/>
      <c r="R712" s="174"/>
      <c r="S712" s="174"/>
      <c r="T712" s="174"/>
      <c r="U712" s="174"/>
      <c r="V712" s="174"/>
      <c r="W712" s="160"/>
      <c r="X712" s="160"/>
      <c r="Y712" s="160"/>
      <c r="Z712" s="160"/>
      <c r="AA712" s="160"/>
      <c r="AB712" s="160"/>
      <c r="AC712" s="160"/>
      <c r="AD712" s="160"/>
      <c r="AE712" s="160"/>
      <c r="AF712" s="160"/>
      <c r="AG712" s="160">
        <f>IF($AI$677&gt;0,'Assumptions (Wind)'!$V$18*Model!$AI$677*'Assumptions (Wind)'!AF$2/10^9,0)</f>
        <v>0.1493047067</v>
      </c>
      <c r="AH712" s="160">
        <f>IF($AI$677&gt;0,'Assumptions (Wind)'!$V$18*Model!$AI$677*'Assumptions (Wind)'!AG$2/10^9,0)</f>
        <v>0.1506929682</v>
      </c>
      <c r="AI712" s="160"/>
      <c r="AJ712" s="160"/>
      <c r="AK712" s="160"/>
      <c r="AL712" s="160"/>
      <c r="AM712" s="160"/>
      <c r="AN712" s="160"/>
      <c r="AO712" s="160"/>
      <c r="AP712" s="160"/>
      <c r="AQ712" s="160"/>
      <c r="AR712" s="160"/>
      <c r="AS712" s="160"/>
      <c r="AT712" s="160"/>
      <c r="AU712" s="160"/>
      <c r="AV712" s="160"/>
      <c r="AW712" s="160"/>
      <c r="AX712" s="160"/>
      <c r="AY712" s="160"/>
      <c r="AZ712" s="160"/>
    </row>
    <row r="713" ht="15.75" hidden="1" customHeight="1" outlineLevel="1">
      <c r="A713" s="241"/>
      <c r="B713" s="38"/>
      <c r="C713" s="174"/>
      <c r="D713" s="174"/>
      <c r="E713" s="174"/>
      <c r="F713" s="174"/>
      <c r="G713" s="174"/>
      <c r="H713" s="174"/>
      <c r="I713" s="174"/>
      <c r="J713" s="174"/>
      <c r="K713" s="174"/>
      <c r="L713" s="174"/>
      <c r="M713" s="174"/>
      <c r="N713" s="174"/>
      <c r="O713" s="174"/>
      <c r="P713" s="174"/>
      <c r="Q713" s="174"/>
      <c r="R713" s="174"/>
      <c r="S713" s="174"/>
      <c r="T713" s="174"/>
      <c r="U713" s="174"/>
      <c r="V713" s="174"/>
      <c r="W713" s="160"/>
      <c r="X713" s="160"/>
      <c r="Y713" s="160"/>
      <c r="Z713" s="160"/>
      <c r="AA713" s="160"/>
      <c r="AB713" s="160"/>
      <c r="AC713" s="160"/>
      <c r="AD713" s="160"/>
      <c r="AE713" s="160"/>
      <c r="AF713" s="160"/>
      <c r="AG713" s="160"/>
      <c r="AH713" s="160">
        <f>IF($AJ$677&gt;0,'Assumptions (Wind)'!$V$18*Model!$AJ$677*'Assumptions (Wind)'!AG$2/10^9,0)</f>
        <v>0.1283921607</v>
      </c>
      <c r="AI713" s="160">
        <f>IF($AJ$677&gt;0,'Assumptions (Wind)'!$V$18*Model!$AJ$677*'Assumptions (Wind)'!AH$2/10^9,0)</f>
        <v>0.1294708454</v>
      </c>
      <c r="AJ713" s="177"/>
      <c r="AK713" s="160"/>
      <c r="AL713" s="177"/>
      <c r="AM713" s="177"/>
      <c r="AN713" s="177"/>
      <c r="AO713" s="177"/>
      <c r="AP713" s="177"/>
      <c r="AQ713" s="177"/>
      <c r="AR713" s="177"/>
      <c r="AS713" s="177"/>
      <c r="AT713" s="177"/>
      <c r="AU713" s="177"/>
      <c r="AV713" s="177"/>
      <c r="AW713" s="177"/>
      <c r="AX713" s="177"/>
      <c r="AY713" s="177"/>
      <c r="AZ713" s="177"/>
    </row>
    <row r="714" ht="15.75" hidden="1" customHeight="1" outlineLevel="1">
      <c r="A714" s="241"/>
      <c r="B714" s="38"/>
      <c r="C714" s="174"/>
      <c r="D714" s="174"/>
      <c r="E714" s="174"/>
      <c r="F714" s="174"/>
      <c r="G714" s="174"/>
      <c r="H714" s="174"/>
      <c r="I714" s="174"/>
      <c r="J714" s="174"/>
      <c r="K714" s="174"/>
      <c r="L714" s="174"/>
      <c r="M714" s="174"/>
      <c r="N714" s="174"/>
      <c r="O714" s="174"/>
      <c r="P714" s="174"/>
      <c r="Q714" s="174"/>
      <c r="R714" s="174"/>
      <c r="S714" s="174"/>
      <c r="T714" s="174"/>
      <c r="U714" s="174"/>
      <c r="V714" s="174"/>
      <c r="W714" s="160"/>
      <c r="X714" s="160"/>
      <c r="Y714" s="160"/>
      <c r="Z714" s="160"/>
      <c r="AA714" s="160"/>
      <c r="AB714" s="160"/>
      <c r="AC714" s="160"/>
      <c r="AD714" s="160"/>
      <c r="AE714" s="160"/>
      <c r="AF714" s="160"/>
      <c r="AG714" s="160"/>
      <c r="AH714" s="160"/>
      <c r="AI714" s="160">
        <f>IF($AK$677&gt;0,'Assumptions (Wind)'!$V$18*Model!$AK$677*'Assumptions (Wind)'!AH$2/10^9,0)</f>
        <v>0.1294708454</v>
      </c>
      <c r="AJ714" s="160">
        <f>IF($AK$677&gt;0,'Assumptions (Wind)'!$V$18*Model!$AK$677*'Assumptions (Wind)'!AI$2/10^9,0)</f>
        <v>0.1306466047</v>
      </c>
      <c r="AK714" s="160"/>
      <c r="AL714" s="177"/>
      <c r="AM714" s="177"/>
      <c r="AN714" s="177"/>
      <c r="AO714" s="177"/>
      <c r="AP714" s="177"/>
      <c r="AQ714" s="177"/>
      <c r="AR714" s="177"/>
      <c r="AS714" s="177"/>
      <c r="AT714" s="177"/>
      <c r="AU714" s="177"/>
      <c r="AV714" s="177"/>
      <c r="AW714" s="177"/>
      <c r="AX714" s="177"/>
      <c r="AY714" s="177"/>
      <c r="AZ714" s="177"/>
    </row>
    <row r="715" ht="15.75" hidden="1" customHeight="1" outlineLevel="1">
      <c r="A715" s="241"/>
      <c r="B715" s="38"/>
      <c r="C715" s="174"/>
      <c r="D715" s="174"/>
      <c r="E715" s="174"/>
      <c r="F715" s="174"/>
      <c r="G715" s="174"/>
      <c r="H715" s="174"/>
      <c r="I715" s="174"/>
      <c r="J715" s="174"/>
      <c r="K715" s="174"/>
      <c r="L715" s="174"/>
      <c r="M715" s="174"/>
      <c r="N715" s="174"/>
      <c r="O715" s="174"/>
      <c r="P715" s="174"/>
      <c r="Q715" s="174"/>
      <c r="R715" s="174"/>
      <c r="S715" s="174"/>
      <c r="T715" s="174"/>
      <c r="U715" s="174"/>
      <c r="V715" s="174"/>
      <c r="W715" s="160"/>
      <c r="X715" s="160"/>
      <c r="Y715" s="160"/>
      <c r="Z715" s="160"/>
      <c r="AA715" s="160"/>
      <c r="AB715" s="160"/>
      <c r="AC715" s="160"/>
      <c r="AD715" s="160"/>
      <c r="AE715" s="160"/>
      <c r="AF715" s="160"/>
      <c r="AG715" s="160"/>
      <c r="AH715" s="160"/>
      <c r="AI715" s="160"/>
      <c r="AJ715" s="160">
        <f>IF($AL$677&gt;0,'Assumptions (Wind)'!$V$18*Model!$AL$677*'Assumptions (Wind)'!AI$2/10^9,0)</f>
        <v>0.1306466047</v>
      </c>
      <c r="AK715" s="160">
        <f>IF($AL$677&gt;0,'Assumptions (Wind)'!$V$18*Model!$AL$677*'Assumptions (Wind)'!AJ$2/10^9,0)</f>
        <v>0.1317130844</v>
      </c>
      <c r="AL715" s="177"/>
      <c r="AM715" s="177"/>
      <c r="AN715" s="177"/>
      <c r="AO715" s="177"/>
      <c r="AP715" s="177"/>
      <c r="AQ715" s="177"/>
      <c r="AR715" s="177"/>
      <c r="AS715" s="177"/>
      <c r="AT715" s="177"/>
      <c r="AU715" s="177"/>
      <c r="AV715" s="177"/>
      <c r="AW715" s="177"/>
      <c r="AX715" s="177"/>
      <c r="AY715" s="177"/>
      <c r="AZ715" s="177"/>
    </row>
    <row r="716" ht="15.75" hidden="1" customHeight="1" outlineLevel="1">
      <c r="A716" s="241"/>
      <c r="B716" s="38"/>
      <c r="C716" s="174"/>
      <c r="D716" s="174"/>
      <c r="E716" s="174"/>
      <c r="F716" s="174"/>
      <c r="G716" s="174"/>
      <c r="H716" s="174"/>
      <c r="I716" s="174"/>
      <c r="J716" s="174"/>
      <c r="K716" s="174"/>
      <c r="L716" s="174"/>
      <c r="M716" s="174"/>
      <c r="N716" s="174"/>
      <c r="O716" s="174"/>
      <c r="P716" s="174"/>
      <c r="Q716" s="174"/>
      <c r="R716" s="174"/>
      <c r="S716" s="174"/>
      <c r="T716" s="174"/>
      <c r="U716" s="174"/>
      <c r="V716" s="174"/>
      <c r="W716" s="160"/>
      <c r="X716" s="160"/>
      <c r="Y716" s="160"/>
      <c r="Z716" s="160"/>
      <c r="AA716" s="160"/>
      <c r="AB716" s="160"/>
      <c r="AC716" s="160"/>
      <c r="AD716" s="160"/>
      <c r="AE716" s="160"/>
      <c r="AF716" s="160"/>
      <c r="AG716" s="160"/>
      <c r="AH716" s="160"/>
      <c r="AI716" s="160"/>
      <c r="AJ716" s="160"/>
      <c r="AK716" s="160">
        <f>IF($AM$677&gt;0,'Assumptions (Wind)'!$V$18*Model!$AM$677*'Assumptions (Wind)'!AJ$2/10^9,0)</f>
        <v>0.1317130844</v>
      </c>
      <c r="AL716" s="160">
        <f>IF($AM$677&gt;0,'Assumptions (Wind)'!$V$18*Model!$AM$677*'Assumptions (Wind)'!AK$2/10^9,0)</f>
        <v>0.1328793961</v>
      </c>
      <c r="AM716" s="160"/>
      <c r="AN716" s="160"/>
      <c r="AO716" s="160"/>
      <c r="AP716" s="160"/>
      <c r="AQ716" s="160"/>
      <c r="AR716" s="160"/>
      <c r="AS716" s="160"/>
      <c r="AT716" s="160"/>
      <c r="AU716" s="160"/>
      <c r="AV716" s="160"/>
      <c r="AW716" s="160"/>
      <c r="AX716" s="160"/>
      <c r="AY716" s="160"/>
      <c r="AZ716" s="160"/>
    </row>
    <row r="717" ht="15.75" hidden="1" customHeight="1" outlineLevel="1">
      <c r="A717" s="241"/>
      <c r="B717" s="38"/>
      <c r="C717" s="174"/>
      <c r="D717" s="174"/>
      <c r="E717" s="174"/>
      <c r="F717" s="174"/>
      <c r="G717" s="174"/>
      <c r="H717" s="174"/>
      <c r="I717" s="174"/>
      <c r="J717" s="174"/>
      <c r="K717" s="174"/>
      <c r="L717" s="174"/>
      <c r="M717" s="174"/>
      <c r="N717" s="174"/>
      <c r="O717" s="174"/>
      <c r="P717" s="174"/>
      <c r="Q717" s="174"/>
      <c r="R717" s="174"/>
      <c r="S717" s="174"/>
      <c r="T717" s="174"/>
      <c r="U717" s="174"/>
      <c r="V717" s="174"/>
      <c r="W717" s="160"/>
      <c r="X717" s="160"/>
      <c r="Y717" s="160"/>
      <c r="Z717" s="160"/>
      <c r="AA717" s="160"/>
      <c r="AB717" s="160"/>
      <c r="AC717" s="160"/>
      <c r="AD717" s="160"/>
      <c r="AE717" s="160"/>
      <c r="AF717" s="160"/>
      <c r="AG717" s="160"/>
      <c r="AH717" s="160"/>
      <c r="AI717" s="160"/>
      <c r="AJ717" s="160"/>
      <c r="AK717" s="160"/>
      <c r="AL717" s="160">
        <f>IF($AN$677&gt;0,'Assumptions (Wind)'!$V$18*Model!$AN$677*'Assumptions (Wind)'!AK$2/10^9,0)</f>
        <v>0.1328793961</v>
      </c>
      <c r="AM717" s="160">
        <f>IF($AN$677&gt;0,'Assumptions (Wind)'!$V$18*Model!$AN$677*'Assumptions (Wind)'!AL$2/10^9,0)</f>
        <v>0.1339310348</v>
      </c>
      <c r="AN717" s="160"/>
      <c r="AO717" s="160"/>
      <c r="AP717" s="160"/>
      <c r="AQ717" s="160"/>
      <c r="AR717" s="160"/>
      <c r="AS717" s="160"/>
      <c r="AT717" s="160"/>
      <c r="AU717" s="160"/>
      <c r="AV717" s="160"/>
      <c r="AW717" s="160"/>
      <c r="AX717" s="160"/>
      <c r="AY717" s="160"/>
      <c r="AZ717" s="160"/>
    </row>
    <row r="718" ht="15.75" hidden="1" customHeight="1" outlineLevel="1">
      <c r="A718" s="241"/>
      <c r="B718" s="38"/>
      <c r="C718" s="174"/>
      <c r="D718" s="174"/>
      <c r="E718" s="174"/>
      <c r="F718" s="174"/>
      <c r="G718" s="174"/>
      <c r="H718" s="174"/>
      <c r="I718" s="174"/>
      <c r="J718" s="174"/>
      <c r="K718" s="174"/>
      <c r="L718" s="174"/>
      <c r="M718" s="174"/>
      <c r="N718" s="174"/>
      <c r="O718" s="174"/>
      <c r="P718" s="174"/>
      <c r="Q718" s="174"/>
      <c r="R718" s="174"/>
      <c r="S718" s="174"/>
      <c r="T718" s="174"/>
      <c r="U718" s="174"/>
      <c r="V718" s="174"/>
      <c r="W718" s="160"/>
      <c r="X718" s="160"/>
      <c r="Y718" s="160"/>
      <c r="Z718" s="160"/>
      <c r="AA718" s="160"/>
      <c r="AB718" s="160"/>
      <c r="AC718" s="160"/>
      <c r="AD718" s="160"/>
      <c r="AE718" s="160"/>
      <c r="AF718" s="160"/>
      <c r="AG718" s="160"/>
      <c r="AH718" s="160"/>
      <c r="AI718" s="160"/>
      <c r="AJ718" s="160"/>
      <c r="AK718" s="160"/>
      <c r="AL718" s="160"/>
      <c r="AM718" s="160">
        <f>IF($AO$677&gt;0,'Assumptions (Wind)'!$V$18*Model!$AO$677*'Assumptions (Wind)'!AL$2/10^9,0)</f>
        <v>0.1339310348</v>
      </c>
      <c r="AN718" s="160">
        <f>IF($AO$677&gt;0,'Assumptions (Wind)'!$V$18*Model!$AO$677*'Assumptions (Wind)'!AM$2/10^9,0)</f>
        <v>0.1350853294</v>
      </c>
      <c r="AO718" s="160"/>
      <c r="AP718" s="160"/>
      <c r="AQ718" s="160"/>
      <c r="AR718" s="160"/>
      <c r="AS718" s="160"/>
      <c r="AT718" s="160"/>
      <c r="AU718" s="160"/>
      <c r="AV718" s="160"/>
      <c r="AW718" s="160"/>
      <c r="AX718" s="160"/>
      <c r="AY718" s="160"/>
      <c r="AZ718" s="160"/>
    </row>
    <row r="719" ht="15.75" hidden="1" customHeight="1" outlineLevel="1">
      <c r="A719" s="241"/>
      <c r="B719" s="38"/>
      <c r="C719" s="174"/>
      <c r="D719" s="174"/>
      <c r="E719" s="174"/>
      <c r="F719" s="174"/>
      <c r="G719" s="174"/>
      <c r="H719" s="174"/>
      <c r="I719" s="174"/>
      <c r="J719" s="174"/>
      <c r="K719" s="174"/>
      <c r="L719" s="174"/>
      <c r="M719" s="174"/>
      <c r="N719" s="174"/>
      <c r="O719" s="174"/>
      <c r="P719" s="174"/>
      <c r="Q719" s="174"/>
      <c r="R719" s="174"/>
      <c r="S719" s="174"/>
      <c r="T719" s="174"/>
      <c r="U719" s="174"/>
      <c r="V719" s="174"/>
      <c r="W719" s="160"/>
      <c r="X719" s="160"/>
      <c r="Y719" s="160"/>
      <c r="Z719" s="160"/>
      <c r="AA719" s="160"/>
      <c r="AB719" s="160"/>
      <c r="AC719" s="160"/>
      <c r="AD719" s="160"/>
      <c r="AE719" s="160"/>
      <c r="AF719" s="160"/>
      <c r="AG719" s="160"/>
      <c r="AH719" s="160"/>
      <c r="AI719" s="160"/>
      <c r="AJ719" s="160"/>
      <c r="AK719" s="160"/>
      <c r="AL719" s="160"/>
      <c r="AM719" s="160"/>
      <c r="AN719" s="160">
        <f>IF($AP$677&gt;0,'Assumptions (Wind)'!$V$18*Model!$AP$677*'Assumptions (Wind)'!AM$2/10^9,0)</f>
        <v>0.1350853294</v>
      </c>
      <c r="AO719" s="160">
        <f>IF($AP$677&gt;0,'Assumptions (Wind)'!$V$18*Model!$AP$677*'Assumptions (Wind)'!AN$2/10^9,0)</f>
        <v>0.1361193022</v>
      </c>
      <c r="AP719" s="160"/>
      <c r="AQ719" s="160"/>
      <c r="AR719" s="160"/>
      <c r="AS719" s="160"/>
      <c r="AT719" s="160"/>
      <c r="AU719" s="160"/>
      <c r="AV719" s="160"/>
      <c r="AW719" s="160"/>
      <c r="AX719" s="160"/>
      <c r="AY719" s="160"/>
      <c r="AZ719" s="160"/>
    </row>
    <row r="720" ht="15.75" hidden="1" customHeight="1" outlineLevel="1">
      <c r="A720" s="241"/>
      <c r="B720" s="38"/>
      <c r="C720" s="174"/>
      <c r="D720" s="174"/>
      <c r="E720" s="174"/>
      <c r="F720" s="174"/>
      <c r="G720" s="174"/>
      <c r="H720" s="174"/>
      <c r="I720" s="174"/>
      <c r="J720" s="174"/>
      <c r="K720" s="174"/>
      <c r="L720" s="174"/>
      <c r="M720" s="174"/>
      <c r="N720" s="174"/>
      <c r="O720" s="174"/>
      <c r="P720" s="174"/>
      <c r="Q720" s="174"/>
      <c r="R720" s="174"/>
      <c r="S720" s="174"/>
      <c r="T720" s="174"/>
      <c r="U720" s="174"/>
      <c r="V720" s="174"/>
      <c r="W720" s="160"/>
      <c r="X720" s="160"/>
      <c r="Y720" s="160"/>
      <c r="Z720" s="160"/>
      <c r="AA720" s="160"/>
      <c r="AB720" s="160"/>
      <c r="AC720" s="160"/>
      <c r="AD720" s="160"/>
      <c r="AE720" s="160"/>
      <c r="AF720" s="160"/>
      <c r="AG720" s="160"/>
      <c r="AH720" s="160"/>
      <c r="AI720" s="160"/>
      <c r="AJ720" s="179"/>
      <c r="AK720" s="160"/>
      <c r="AL720" s="160"/>
      <c r="AM720" s="160"/>
      <c r="AN720" s="160"/>
      <c r="AO720" s="160">
        <f>IF($AQ$677&gt;0,'Assumptions (Wind)'!$V$18*Model!$AQ$677*'Assumptions (Wind)'!AN$2/10^9,0)</f>
        <v>0.1361193022</v>
      </c>
      <c r="AP720" s="160">
        <f>IF($AQ$677&gt;0,'Assumptions (Wind)'!$V$18*Model!$AQ$677*'Assumptions (Wind)'!AO$2/10^9,0)</f>
        <v>0.1372588224</v>
      </c>
      <c r="AQ720" s="160"/>
      <c r="AR720" s="160"/>
      <c r="AS720" s="160"/>
      <c r="AT720" s="160"/>
      <c r="AU720" s="160"/>
      <c r="AV720" s="160"/>
      <c r="AW720" s="160"/>
      <c r="AX720" s="160"/>
      <c r="AY720" s="160"/>
      <c r="AZ720" s="160"/>
    </row>
    <row r="721" ht="15.75" hidden="1" customHeight="1" outlineLevel="1">
      <c r="A721" s="241"/>
      <c r="B721" s="38"/>
      <c r="C721" s="174"/>
      <c r="D721" s="174"/>
      <c r="E721" s="174"/>
      <c r="F721" s="174"/>
      <c r="G721" s="174"/>
      <c r="H721" s="174"/>
      <c r="I721" s="174"/>
      <c r="J721" s="174"/>
      <c r="K721" s="174"/>
      <c r="L721" s="174"/>
      <c r="M721" s="174"/>
      <c r="N721" s="174"/>
      <c r="O721" s="174"/>
      <c r="P721" s="174"/>
      <c r="Q721" s="174"/>
      <c r="R721" s="174"/>
      <c r="S721" s="174"/>
      <c r="T721" s="174"/>
      <c r="U721" s="174"/>
      <c r="V721" s="174"/>
      <c r="W721" s="160"/>
      <c r="X721" s="160"/>
      <c r="Y721" s="160"/>
      <c r="Z721" s="160"/>
      <c r="AA721" s="160"/>
      <c r="AB721" s="160"/>
      <c r="AC721" s="160"/>
      <c r="AD721" s="160"/>
      <c r="AE721" s="160"/>
      <c r="AF721" s="160"/>
      <c r="AG721" s="160"/>
      <c r="AH721" s="160"/>
      <c r="AI721" s="160"/>
      <c r="AJ721" s="179"/>
      <c r="AK721" s="160"/>
      <c r="AL721" s="160"/>
      <c r="AM721" s="160"/>
      <c r="AN721" s="160"/>
      <c r="AO721" s="160"/>
      <c r="AP721" s="160">
        <f>IF($AR$677&gt;0,'Assumptions (Wind)'!$V$18*Model!$AR$677*'Assumptions (Wind)'!AO$2/10^9,0)</f>
        <v>0.1372588224</v>
      </c>
      <c r="AQ721" s="160">
        <f>IF($AR$677&gt;0,'Assumptions (Wind)'!$V$18*Model!$AR$677*'Assumptions (Wind)'!AP$2/10^9,0)</f>
        <v>0.1382721048</v>
      </c>
      <c r="AR721" s="160"/>
      <c r="AS721" s="160"/>
      <c r="AT721" s="160"/>
      <c r="AU721" s="160"/>
      <c r="AV721" s="160"/>
      <c r="AW721" s="160"/>
      <c r="AX721" s="160"/>
      <c r="AY721" s="160"/>
      <c r="AZ721" s="160"/>
    </row>
    <row r="722" ht="15.75" hidden="1" customHeight="1" outlineLevel="1">
      <c r="A722" s="241"/>
      <c r="B722" s="38"/>
      <c r="C722" s="174"/>
      <c r="D722" s="174"/>
      <c r="E722" s="174"/>
      <c r="F722" s="174"/>
      <c r="G722" s="174"/>
      <c r="H722" s="174"/>
      <c r="I722" s="174"/>
      <c r="J722" s="174"/>
      <c r="K722" s="174"/>
      <c r="L722" s="174"/>
      <c r="M722" s="174"/>
      <c r="N722" s="174"/>
      <c r="O722" s="174"/>
      <c r="P722" s="174"/>
      <c r="Q722" s="174"/>
      <c r="R722" s="174"/>
      <c r="S722" s="174"/>
      <c r="T722" s="174"/>
      <c r="U722" s="174"/>
      <c r="V722" s="174"/>
      <c r="W722" s="160"/>
      <c r="X722" s="160"/>
      <c r="Y722" s="160"/>
      <c r="Z722" s="160"/>
      <c r="AA722" s="160"/>
      <c r="AB722" s="160"/>
      <c r="AC722" s="160"/>
      <c r="AD722" s="160"/>
      <c r="AE722" s="160"/>
      <c r="AF722" s="160"/>
      <c r="AG722" s="160"/>
      <c r="AH722" s="160"/>
      <c r="AI722" s="160"/>
      <c r="AJ722" s="179"/>
      <c r="AK722" s="160"/>
      <c r="AL722" s="177"/>
      <c r="AM722" s="160"/>
      <c r="AN722" s="160"/>
      <c r="AO722" s="160"/>
      <c r="AP722" s="160"/>
      <c r="AQ722" s="160">
        <f>IF($AS$677&gt;0,'Assumptions (Wind)'!$V$18*Model!$AS$677*'Assumptions (Wind)'!AP$2/10^9,0)</f>
        <v>0.1382721048</v>
      </c>
      <c r="AR722" s="160">
        <f>IF($AS$677&gt;0,'Assumptions (Wind)'!$V$18*Model!$AS$677*'Assumptions (Wind)'!AQ$2/10^9,0)</f>
        <v>0.1393938947</v>
      </c>
      <c r="AS722" s="160"/>
      <c r="AT722" s="160"/>
      <c r="AU722" s="160"/>
      <c r="AV722" s="160"/>
      <c r="AW722" s="160"/>
      <c r="AX722" s="160"/>
      <c r="AY722" s="160"/>
      <c r="AZ722" s="160"/>
    </row>
    <row r="723" ht="15.75" hidden="1" customHeight="1" outlineLevel="1">
      <c r="A723" s="241"/>
      <c r="B723" s="38"/>
      <c r="C723" s="174"/>
      <c r="D723" s="174"/>
      <c r="E723" s="174"/>
      <c r="F723" s="174"/>
      <c r="G723" s="174"/>
      <c r="H723" s="174"/>
      <c r="I723" s="174"/>
      <c r="J723" s="174"/>
      <c r="K723" s="174"/>
      <c r="L723" s="174"/>
      <c r="M723" s="174"/>
      <c r="N723" s="174"/>
      <c r="O723" s="174"/>
      <c r="P723" s="174"/>
      <c r="Q723" s="174"/>
      <c r="R723" s="174"/>
      <c r="S723" s="174"/>
      <c r="T723" s="174"/>
      <c r="U723" s="174"/>
      <c r="V723" s="174"/>
      <c r="W723" s="160"/>
      <c r="X723" s="160"/>
      <c r="Y723" s="160"/>
      <c r="Z723" s="160"/>
      <c r="AA723" s="160"/>
      <c r="AB723" s="160"/>
      <c r="AC723" s="160"/>
      <c r="AD723" s="160"/>
      <c r="AE723" s="160"/>
      <c r="AF723" s="160"/>
      <c r="AG723" s="160"/>
      <c r="AH723" s="160"/>
      <c r="AI723" s="160"/>
      <c r="AJ723" s="179"/>
      <c r="AK723" s="160"/>
      <c r="AL723" s="177"/>
      <c r="AM723" s="177"/>
      <c r="AN723" s="160"/>
      <c r="AO723" s="160"/>
      <c r="AP723" s="160"/>
      <c r="AQ723" s="160"/>
      <c r="AR723" s="160">
        <f>IF($AT$677&gt;0,'Assumptions (Wind)'!$V$18*Model!$AT$677*'Assumptions (Wind)'!AQ$2/10^9,0)</f>
        <v>0.1393938947</v>
      </c>
      <c r="AS723" s="160">
        <f>IF($AT$677&gt;0,'Assumptions (Wind)'!$V$18*Model!$AT$677*'Assumptions (Wind)'!AR$2/10^9,0)</f>
        <v>0.1403832514</v>
      </c>
      <c r="AT723" s="160"/>
      <c r="AU723" s="160"/>
      <c r="AV723" s="160"/>
      <c r="AW723" s="160"/>
      <c r="AX723" s="160"/>
      <c r="AY723" s="160"/>
      <c r="AZ723" s="160"/>
    </row>
    <row r="724" ht="15.75" hidden="1" customHeight="1" outlineLevel="1">
      <c r="A724" s="241"/>
      <c r="B724" s="38"/>
      <c r="C724" s="174"/>
      <c r="D724" s="174"/>
      <c r="E724" s="174"/>
      <c r="F724" s="174"/>
      <c r="G724" s="174"/>
      <c r="H724" s="174"/>
      <c r="I724" s="174"/>
      <c r="J724" s="174"/>
      <c r="K724" s="174"/>
      <c r="L724" s="174"/>
      <c r="M724" s="174"/>
      <c r="N724" s="174"/>
      <c r="O724" s="174"/>
      <c r="P724" s="174"/>
      <c r="Q724" s="174"/>
      <c r="R724" s="174"/>
      <c r="S724" s="174"/>
      <c r="T724" s="174"/>
      <c r="U724" s="174"/>
      <c r="V724" s="174"/>
      <c r="W724" s="160"/>
      <c r="X724" s="160"/>
      <c r="Y724" s="160"/>
      <c r="Z724" s="160"/>
      <c r="AA724" s="160"/>
      <c r="AB724" s="160"/>
      <c r="AC724" s="160"/>
      <c r="AD724" s="160"/>
      <c r="AE724" s="160"/>
      <c r="AF724" s="160"/>
      <c r="AG724" s="160"/>
      <c r="AH724" s="160"/>
      <c r="AI724" s="160"/>
      <c r="AJ724" s="179"/>
      <c r="AK724" s="160"/>
      <c r="AL724" s="177"/>
      <c r="AM724" s="177"/>
      <c r="AN724" s="177"/>
      <c r="AO724" s="160"/>
      <c r="AP724" s="160"/>
      <c r="AQ724" s="160"/>
      <c r="AR724" s="160"/>
      <c r="AS724" s="160">
        <f>IF($AU$677&gt;0,'Assumptions (Wind)'!$V$18*Model!$AU$677*'Assumptions (Wind)'!AR$2/10^9,0)</f>
        <v>0.3282270872</v>
      </c>
      <c r="AT724" s="181">
        <f>IF($AU$677&gt;0,'Assumptions (Wind)'!$V$18*Model!$AU$677*'Assumptions (Wind)'!AS$2/10^9,0)</f>
        <v>0.3305064942</v>
      </c>
      <c r="AU724" s="160"/>
      <c r="AV724" s="160"/>
      <c r="AW724" s="160"/>
      <c r="AX724" s="160"/>
      <c r="AY724" s="160"/>
      <c r="AZ724" s="160"/>
    </row>
    <row r="725" ht="15.75" hidden="1" customHeight="1" outlineLevel="1">
      <c r="A725" s="241"/>
      <c r="B725" s="38"/>
      <c r="C725" s="174"/>
      <c r="D725" s="174"/>
      <c r="E725" s="174"/>
      <c r="F725" s="174"/>
      <c r="G725" s="174"/>
      <c r="H725" s="174"/>
      <c r="I725" s="174"/>
      <c r="J725" s="174"/>
      <c r="K725" s="174"/>
      <c r="L725" s="174"/>
      <c r="M725" s="174"/>
      <c r="N725" s="174"/>
      <c r="O725" s="174"/>
      <c r="P725" s="174"/>
      <c r="Q725" s="174"/>
      <c r="R725" s="174"/>
      <c r="S725" s="174"/>
      <c r="T725" s="174"/>
      <c r="U725" s="174"/>
      <c r="V725" s="174"/>
      <c r="W725" s="160"/>
      <c r="X725" s="160"/>
      <c r="Y725" s="160"/>
      <c r="Z725" s="160"/>
      <c r="AA725" s="160"/>
      <c r="AB725" s="160"/>
      <c r="AC725" s="160"/>
      <c r="AD725" s="160"/>
      <c r="AE725" s="160"/>
      <c r="AF725" s="160"/>
      <c r="AG725" s="160"/>
      <c r="AH725" s="160"/>
      <c r="AI725" s="160"/>
      <c r="AJ725" s="179"/>
      <c r="AK725" s="160"/>
      <c r="AL725" s="177"/>
      <c r="AM725" s="177"/>
      <c r="AN725" s="177"/>
      <c r="AO725" s="160"/>
      <c r="AP725" s="160"/>
      <c r="AQ725" s="160"/>
      <c r="AR725" s="160"/>
      <c r="AS725" s="160"/>
      <c r="AT725" s="181">
        <f>IF($AV$677&gt;0,'Assumptions (Wind)'!$V$18*Model!$AV$677*'Assumptions (Wind)'!AS$2/10^9,0)</f>
        <v>0.1413581574</v>
      </c>
      <c r="AU725" s="160">
        <f>IF($AV$677&gt;0,'Assumptions (Wind)'!$V$18*Model!$AV$677*'Assumptions (Wind)'!AT$2/10^9,0)</f>
        <v>0.1424461179</v>
      </c>
      <c r="AV725" s="160"/>
      <c r="AW725" s="160"/>
      <c r="AX725" s="160"/>
      <c r="AY725" s="160"/>
      <c r="AZ725" s="160"/>
    </row>
    <row r="726" ht="15.75" hidden="1" customHeight="1" outlineLevel="1">
      <c r="A726" s="241"/>
      <c r="B726" s="38"/>
      <c r="C726" s="174"/>
      <c r="D726" s="174"/>
      <c r="E726" s="174"/>
      <c r="F726" s="174"/>
      <c r="G726" s="174"/>
      <c r="H726" s="174"/>
      <c r="I726" s="174"/>
      <c r="J726" s="174"/>
      <c r="K726" s="174"/>
      <c r="L726" s="174"/>
      <c r="M726" s="174"/>
      <c r="N726" s="174"/>
      <c r="O726" s="174"/>
      <c r="P726" s="174"/>
      <c r="Q726" s="174"/>
      <c r="R726" s="174"/>
      <c r="S726" s="174"/>
      <c r="T726" s="174"/>
      <c r="U726" s="174"/>
      <c r="V726" s="174"/>
      <c r="W726" s="160"/>
      <c r="X726" s="160"/>
      <c r="Y726" s="160"/>
      <c r="Z726" s="160"/>
      <c r="AA726" s="160"/>
      <c r="AB726" s="160"/>
      <c r="AC726" s="160"/>
      <c r="AD726" s="160"/>
      <c r="AE726" s="160"/>
      <c r="AF726" s="160"/>
      <c r="AG726" s="160"/>
      <c r="AH726" s="160"/>
      <c r="AI726" s="160"/>
      <c r="AJ726" s="179"/>
      <c r="AK726" s="160"/>
      <c r="AL726" s="177"/>
      <c r="AM726" s="177"/>
      <c r="AN726" s="177"/>
      <c r="AO726" s="160"/>
      <c r="AP726" s="160"/>
      <c r="AQ726" s="160"/>
      <c r="AR726" s="160"/>
      <c r="AS726" s="160"/>
      <c r="AT726" s="160"/>
      <c r="AU726" s="160">
        <f>IF($AW$677&gt;0,'Assumptions (Wind)'!$V$18*Model!$AW$677*'Assumptions (Wind)'!AT$2/10^9,0)</f>
        <v>0.1424461179</v>
      </c>
      <c r="AV726" s="160">
        <f>IF($AW$677&gt;0,'Assumptions (Wind)'!$V$18*Model!$AW$677*'Assumptions (Wind)'!AU$2/10^9,0)</f>
        <v>0.1433917761</v>
      </c>
      <c r="AW726" s="160"/>
      <c r="AX726" s="160"/>
      <c r="AY726" s="160"/>
      <c r="AZ726" s="160"/>
    </row>
    <row r="727" ht="15.75" hidden="1" customHeight="1" outlineLevel="1">
      <c r="A727" s="241"/>
      <c r="B727" s="38"/>
      <c r="C727" s="174"/>
      <c r="D727" s="174"/>
      <c r="E727" s="174"/>
      <c r="F727" s="174"/>
      <c r="G727" s="174"/>
      <c r="H727" s="174"/>
      <c r="I727" s="174"/>
      <c r="J727" s="174"/>
      <c r="K727" s="174"/>
      <c r="L727" s="174"/>
      <c r="M727" s="174"/>
      <c r="N727" s="174"/>
      <c r="O727" s="174"/>
      <c r="P727" s="174"/>
      <c r="Q727" s="174"/>
      <c r="R727" s="174"/>
      <c r="S727" s="174"/>
      <c r="T727" s="174"/>
      <c r="U727" s="174"/>
      <c r="V727" s="174"/>
      <c r="W727" s="160"/>
      <c r="X727" s="160"/>
      <c r="Y727" s="160"/>
      <c r="Z727" s="160"/>
      <c r="AA727" s="160"/>
      <c r="AB727" s="160"/>
      <c r="AC727" s="160"/>
      <c r="AD727" s="160"/>
      <c r="AE727" s="160"/>
      <c r="AF727" s="160"/>
      <c r="AG727" s="160"/>
      <c r="AH727" s="160"/>
      <c r="AI727" s="160"/>
      <c r="AJ727" s="179"/>
      <c r="AK727" s="160"/>
      <c r="AL727" s="177"/>
      <c r="AM727" s="177"/>
      <c r="AN727" s="177"/>
      <c r="AO727" s="160"/>
      <c r="AP727" s="160"/>
      <c r="AQ727" s="160"/>
      <c r="AR727" s="160"/>
      <c r="AS727" s="160"/>
      <c r="AT727" s="160"/>
      <c r="AU727" s="160"/>
      <c r="AV727" s="160">
        <f>IF($AX$677&gt;0,'Assumptions (Wind)'!$V$18*Model!$AX$677*'Assumptions (Wind)'!AU$2/10^9,0)</f>
        <v>0.1433917761</v>
      </c>
      <c r="AW727" s="160">
        <f>IF($AX$677&gt;0,'Assumptions (Wind)'!$V$18*Model!$AX$677*'Assumptions (Wind)'!AV$2/10^9,0)</f>
        <v>0.1444536231</v>
      </c>
      <c r="AX727" s="160"/>
      <c r="AY727" s="160"/>
      <c r="AZ727" s="160"/>
    </row>
    <row r="728" ht="15.75" hidden="1" customHeight="1" outlineLevel="1">
      <c r="A728" s="241"/>
      <c r="B728" s="38"/>
      <c r="C728" s="174"/>
      <c r="D728" s="174"/>
      <c r="E728" s="174"/>
      <c r="F728" s="174"/>
      <c r="G728" s="174"/>
      <c r="H728" s="174"/>
      <c r="I728" s="174"/>
      <c r="J728" s="174"/>
      <c r="K728" s="174"/>
      <c r="L728" s="174"/>
      <c r="M728" s="174"/>
      <c r="N728" s="174"/>
      <c r="O728" s="174"/>
      <c r="P728" s="174"/>
      <c r="Q728" s="174"/>
      <c r="R728" s="174"/>
      <c r="S728" s="174"/>
      <c r="T728" s="174"/>
      <c r="U728" s="174"/>
      <c r="V728" s="174"/>
      <c r="W728" s="160"/>
      <c r="X728" s="160"/>
      <c r="Y728" s="160"/>
      <c r="Z728" s="160"/>
      <c r="AA728" s="160"/>
      <c r="AB728" s="160"/>
      <c r="AC728" s="160"/>
      <c r="AD728" s="160"/>
      <c r="AE728" s="160"/>
      <c r="AF728" s="160"/>
      <c r="AG728" s="160"/>
      <c r="AH728" s="160"/>
      <c r="AI728" s="160"/>
      <c r="AJ728" s="179"/>
      <c r="AK728" s="160"/>
      <c r="AL728" s="177"/>
      <c r="AM728" s="177"/>
      <c r="AN728" s="177"/>
      <c r="AO728" s="160"/>
      <c r="AP728" s="160"/>
      <c r="AQ728" s="160"/>
      <c r="AR728" s="160"/>
      <c r="AS728" s="160"/>
      <c r="AT728" s="160"/>
      <c r="AU728" s="160"/>
      <c r="AV728" s="160"/>
      <c r="AW728" s="160">
        <f>IF($AY$677&gt;0,'Assumptions (Wind)'!$V$18*Model!$AY$677*'Assumptions (Wind)'!AV$2/10^9,0)</f>
        <v>0.1444536231</v>
      </c>
      <c r="AX728" s="160">
        <f>IF($AY$677&gt;0,'Assumptions (Wind)'!$V$18*Model!$AY$677*'Assumptions (Wind)'!AW$2/10^9,0)</f>
        <v>0.1453662156</v>
      </c>
      <c r="AY728" s="160"/>
      <c r="AZ728" s="160"/>
    </row>
    <row r="729" ht="15.75" hidden="1" customHeight="1" outlineLevel="1">
      <c r="A729" s="241"/>
      <c r="B729" s="38"/>
      <c r="C729" s="174"/>
      <c r="D729" s="174"/>
      <c r="E729" s="174"/>
      <c r="F729" s="174"/>
      <c r="G729" s="174"/>
      <c r="H729" s="174"/>
      <c r="I729" s="174"/>
      <c r="J729" s="174"/>
      <c r="K729" s="174"/>
      <c r="L729" s="174"/>
      <c r="M729" s="174"/>
      <c r="N729" s="174"/>
      <c r="O729" s="174"/>
      <c r="P729" s="174"/>
      <c r="Q729" s="174"/>
      <c r="R729" s="174"/>
      <c r="S729" s="174"/>
      <c r="T729" s="174"/>
      <c r="U729" s="174"/>
      <c r="V729" s="174"/>
      <c r="W729" s="160"/>
      <c r="X729" s="160"/>
      <c r="Y729" s="160"/>
      <c r="Z729" s="160"/>
      <c r="AA729" s="160"/>
      <c r="AB729" s="160"/>
      <c r="AC729" s="160"/>
      <c r="AD729" s="160"/>
      <c r="AE729" s="160"/>
      <c r="AF729" s="160"/>
      <c r="AG729" s="160"/>
      <c r="AH729" s="160"/>
      <c r="AI729" s="160"/>
      <c r="AJ729" s="179"/>
      <c r="AK729" s="160"/>
      <c r="AL729" s="177"/>
      <c r="AM729" s="177"/>
      <c r="AN729" s="177"/>
      <c r="AO729" s="160"/>
      <c r="AP729" s="160"/>
      <c r="AQ729" s="160"/>
      <c r="AR729" s="160"/>
      <c r="AS729" s="160"/>
      <c r="AT729" s="160"/>
      <c r="AU729" s="160"/>
      <c r="AV729" s="160"/>
      <c r="AW729" s="160"/>
      <c r="AX729" s="160">
        <f>IF($AZ$677&gt;0,'Assumptions (Wind)'!$V$18*Model!$AZ$677*'Assumptions (Wind)'!AW$2/10^9,0)</f>
        <v>0.2907324311</v>
      </c>
      <c r="AY729" s="160">
        <f>IF($AZ$677&gt;0,'Assumptions (Wind)'!$V$18*Model!$AZ$677*'Assumptions (Wind)'!AX$2/10^9,0)</f>
        <v>0.2925188728</v>
      </c>
      <c r="AZ729" s="160"/>
    </row>
    <row r="730" ht="15.75" hidden="1" customHeight="1" outlineLevel="1">
      <c r="A730" s="241"/>
      <c r="B730" s="38"/>
      <c r="C730" s="174"/>
      <c r="D730" s="174"/>
      <c r="E730" s="174"/>
      <c r="F730" s="174"/>
      <c r="G730" s="174"/>
      <c r="H730" s="174"/>
      <c r="I730" s="174"/>
      <c r="J730" s="174"/>
      <c r="K730" s="174"/>
      <c r="L730" s="174"/>
      <c r="M730" s="174"/>
      <c r="N730" s="174"/>
      <c r="O730" s="174"/>
      <c r="P730" s="174"/>
      <c r="Q730" s="174"/>
      <c r="R730" s="174"/>
      <c r="S730" s="174"/>
      <c r="T730" s="174"/>
      <c r="U730" s="174"/>
      <c r="V730" s="174"/>
      <c r="W730" s="160"/>
      <c r="X730" s="160"/>
      <c r="Y730" s="160"/>
      <c r="Z730" s="160"/>
      <c r="AA730" s="160"/>
      <c r="AB730" s="160"/>
      <c r="AC730" s="160"/>
      <c r="AD730" s="160"/>
      <c r="AE730" s="160"/>
      <c r="AF730" s="160"/>
      <c r="AG730" s="160"/>
      <c r="AH730" s="160"/>
      <c r="AI730" s="160"/>
      <c r="AJ730" s="179"/>
      <c r="AK730" s="160"/>
      <c r="AL730" s="177"/>
      <c r="AM730" s="177"/>
      <c r="AN730" s="177"/>
      <c r="AO730" s="160"/>
      <c r="AP730" s="160"/>
      <c r="AQ730" s="160"/>
      <c r="AR730" s="160"/>
      <c r="AS730" s="160"/>
      <c r="AT730" s="160"/>
      <c r="AU730" s="160"/>
      <c r="AV730" s="160"/>
      <c r="AW730" s="160"/>
      <c r="AX730" s="160"/>
      <c r="AY730" s="160">
        <f>IF($BA$677&gt;0,'Assumptions (Wind)'!$V$18*Model!$BA$677*'Assumptions (Wind)'!AX$2/10^9,0)</f>
        <v>0.2925188728</v>
      </c>
      <c r="AZ730" s="160">
        <f>IF($BA$677&gt;0,'Assumptions (Wind)'!$V$18*Model!$BA$677*'Assumptions (Wind)'!AY$2/10^9,0)</f>
        <v>0.2942643651</v>
      </c>
    </row>
    <row r="731" ht="15.75" customHeight="1" collapsed="1">
      <c r="A731" s="239" t="s">
        <v>52</v>
      </c>
      <c r="B731" s="150" t="s">
        <v>351</v>
      </c>
      <c r="C731" s="244">
        <f>C679*'Assumptions (Wind)'!$V$8</f>
        <v>0.001386815151</v>
      </c>
      <c r="D731" s="244">
        <f>D679*'Assumptions (Wind)'!$V$8</f>
        <v>0</v>
      </c>
      <c r="E731" s="244">
        <f>E679*'Assumptions (Wind)'!$V$8</f>
        <v>0.009911472765</v>
      </c>
      <c r="F731" s="244">
        <f>F679*'Assumptions (Wind)'!$V$8</f>
        <v>0.009181067964</v>
      </c>
      <c r="G731" s="244">
        <f>G679*'Assumptions (Wind)'!$V$8</f>
        <v>0</v>
      </c>
      <c r="H731" s="244">
        <f>H679*'Assumptions (Wind)'!$V$8</f>
        <v>0</v>
      </c>
      <c r="I731" s="244">
        <f>I679*'Assumptions (Wind)'!$V$8</f>
        <v>0</v>
      </c>
      <c r="J731" s="244">
        <f>J679*'Assumptions (Wind)'!$V$8</f>
        <v>0</v>
      </c>
      <c r="K731" s="244">
        <f>K679*'Assumptions (Wind)'!$V$8</f>
        <v>0</v>
      </c>
      <c r="L731" s="244">
        <f>L679*'Assumptions (Wind)'!$V$8</f>
        <v>0</v>
      </c>
      <c r="M731" s="244">
        <f>M679*'Assumptions (Wind)'!$V$8</f>
        <v>0</v>
      </c>
      <c r="N731" s="244">
        <f>N679*'Assumptions (Wind)'!$V$8</f>
        <v>0</v>
      </c>
      <c r="O731" s="244">
        <f>O679*'Assumptions (Wind)'!$V$8</f>
        <v>0</v>
      </c>
      <c r="P731" s="244">
        <f>P679*'Assumptions (Wind)'!$V$8</f>
        <v>0</v>
      </c>
      <c r="Q731" s="244">
        <f>Q679*'Assumptions (Wind)'!$V$8</f>
        <v>0.1082910556</v>
      </c>
      <c r="R731" s="244">
        <f>R679*'Assumptions (Wind)'!$V$8</f>
        <v>0.09959531184</v>
      </c>
      <c r="S731" s="244">
        <f>S679*'Assumptions (Wind)'!$V$8</f>
        <v>0</v>
      </c>
      <c r="T731" s="244">
        <f>T679*'Assumptions (Wind)'!$V$8</f>
        <v>0</v>
      </c>
      <c r="U731" s="244">
        <f>U679*'Assumptions (Wind)'!$V$8</f>
        <v>0</v>
      </c>
      <c r="V731" s="244">
        <f>V679*'Assumptions (Wind)'!$V$8</f>
        <v>0.08153763603</v>
      </c>
      <c r="W731" s="244">
        <f>W679*'Assumptions (Wind)'!$V$8</f>
        <v>0.1627667668</v>
      </c>
      <c r="X731" s="244">
        <f>X679*'Assumptions (Wind)'!$V$8</f>
        <v>0.1622853239</v>
      </c>
      <c r="Y731" s="244">
        <f>Y679*'Assumptions (Wind)'!$V$8</f>
        <v>0.161723147</v>
      </c>
      <c r="Z731" s="244">
        <f>Z679*'Assumptions (Wind)'!$V$8</f>
        <v>0.1610772693</v>
      </c>
      <c r="AA731" s="244">
        <f>AA679*'Assumptions (Wind)'!$V$8</f>
        <v>0.160239907</v>
      </c>
      <c r="AB731" s="244">
        <f>AB679*'Assumptions (Wind)'!$V$8</f>
        <v>0.1593085665</v>
      </c>
      <c r="AC731" s="244">
        <f>AC679*'Assumptions (Wind)'!$V$8</f>
        <v>0.1591963029</v>
      </c>
      <c r="AD731" s="244">
        <f>AD679*'Assumptions (Wind)'!$V$8</f>
        <v>0.1580603276</v>
      </c>
      <c r="AE731" s="244">
        <f>AE679*'Assumptions (Wind)'!$V$8</f>
        <v>0.1558035707</v>
      </c>
      <c r="AF731" s="244">
        <f>AF679*'Assumptions (Wind)'!$V$8</f>
        <v>0.1543443134</v>
      </c>
      <c r="AG731" s="244">
        <f>AG679*'Assumptions (Wind)'!$V$8</f>
        <v>0.1659084315</v>
      </c>
      <c r="AH731" s="244">
        <f>AH679*'Assumptions (Wind)'!$V$8</f>
        <v>0.1674510773</v>
      </c>
      <c r="AI731" s="244">
        <f>AI679*'Assumptions (Wind)'!$V$8</f>
        <v>0.1553650145</v>
      </c>
      <c r="AJ731" s="244">
        <f>AJ679*'Assumptions (Wind)'!$V$8</f>
        <v>0.1567759256</v>
      </c>
      <c r="AK731" s="244">
        <f>AK679*'Assumptions (Wind)'!$V$8</f>
        <v>0.1580557013</v>
      </c>
      <c r="AL731" s="244">
        <f>AL679*'Assumptions (Wind)'!$V$8</f>
        <v>0.1594552754</v>
      </c>
      <c r="AM731" s="244">
        <f>AM679*'Assumptions (Wind)'!$V$8</f>
        <v>0.1607172417</v>
      </c>
      <c r="AN731" s="244">
        <f>AN679*'Assumptions (Wind)'!$V$8</f>
        <v>0.1621023953</v>
      </c>
      <c r="AO731" s="244">
        <f>AO679*'Assumptions (Wind)'!$V$8</f>
        <v>0.1633431626</v>
      </c>
      <c r="AP731" s="244">
        <f>AP679*'Assumptions (Wind)'!$V$8</f>
        <v>0.1647105869</v>
      </c>
      <c r="AQ731" s="244">
        <f>AQ679*'Assumptions (Wind)'!$V$8</f>
        <v>0.1659265257</v>
      </c>
      <c r="AR731" s="244">
        <f>AR679*'Assumptions (Wind)'!$V$8</f>
        <v>0.1672726736</v>
      </c>
      <c r="AS731" s="244">
        <f>AS679*'Assumptions (Wind)'!$V$8</f>
        <v>0.2811662031</v>
      </c>
      <c r="AT731" s="244">
        <f>AT679*'Assumptions (Wind)'!$V$8</f>
        <v>0.2831187909</v>
      </c>
      <c r="AU731" s="244">
        <f>AU679*'Assumptions (Wind)'!$V$8</f>
        <v>0.1709353415</v>
      </c>
      <c r="AV731" s="244">
        <f>AV679*'Assumptions (Wind)'!$V$8</f>
        <v>0.1720701314</v>
      </c>
      <c r="AW731" s="244">
        <f>AW679*'Assumptions (Wind)'!$V$8</f>
        <v>0.1733443477</v>
      </c>
      <c r="AX731" s="244">
        <f>AX679*'Assumptions (Wind)'!$V$8</f>
        <v>0.261659188</v>
      </c>
      <c r="AY731" s="244">
        <f>AY679*'Assumptions (Wind)'!$V$8</f>
        <v>0.3510226474</v>
      </c>
      <c r="AZ731" s="244">
        <f>AZ679*'Assumptions (Wind)'!$V$8</f>
        <v>0.176558619</v>
      </c>
      <c r="BA731" s="244">
        <f>BA679*'Assumptions (Wind)'!$V$8</f>
        <v>0</v>
      </c>
    </row>
    <row r="732" ht="15.75" customHeight="1">
      <c r="A732" s="239" t="s">
        <v>54</v>
      </c>
      <c r="B732" s="150" t="s">
        <v>351</v>
      </c>
      <c r="C732" s="244">
        <f>C679*'Assumptions (Wind)'!$V$9</f>
        <v>0.000924543434</v>
      </c>
      <c r="D732" s="244">
        <f>D679*'Assumptions (Wind)'!$V$9</f>
        <v>0</v>
      </c>
      <c r="E732" s="244">
        <f>E679*'Assumptions (Wind)'!$V$9</f>
        <v>0.00660764851</v>
      </c>
      <c r="F732" s="244">
        <f>F679*'Assumptions (Wind)'!$V$9</f>
        <v>0.006120711976</v>
      </c>
      <c r="G732" s="244">
        <f>G679*'Assumptions (Wind)'!$V$9</f>
        <v>0</v>
      </c>
      <c r="H732" s="244">
        <f>H679*'Assumptions (Wind)'!$V$9</f>
        <v>0</v>
      </c>
      <c r="I732" s="244">
        <f>I679*'Assumptions (Wind)'!$V$9</f>
        <v>0</v>
      </c>
      <c r="J732" s="244">
        <f>J679*'Assumptions (Wind)'!$V$9</f>
        <v>0</v>
      </c>
      <c r="K732" s="244">
        <f>K679*'Assumptions (Wind)'!$V$9</f>
        <v>0</v>
      </c>
      <c r="L732" s="244">
        <f>L679*'Assumptions (Wind)'!$V$9</f>
        <v>0</v>
      </c>
      <c r="M732" s="244">
        <f>M679*'Assumptions (Wind)'!$V$9</f>
        <v>0</v>
      </c>
      <c r="N732" s="244">
        <f>N679*'Assumptions (Wind)'!$V$9</f>
        <v>0</v>
      </c>
      <c r="O732" s="244">
        <f>O679*'Assumptions (Wind)'!$V$9</f>
        <v>0</v>
      </c>
      <c r="P732" s="244">
        <f>P679*'Assumptions (Wind)'!$V$9</f>
        <v>0</v>
      </c>
      <c r="Q732" s="244">
        <f>Q679*'Assumptions (Wind)'!$V$9</f>
        <v>0.07219403705</v>
      </c>
      <c r="R732" s="244">
        <f>R679*'Assumptions (Wind)'!$V$9</f>
        <v>0.06639687456</v>
      </c>
      <c r="S732" s="244">
        <f>S679*'Assumptions (Wind)'!$V$9</f>
        <v>0</v>
      </c>
      <c r="T732" s="244">
        <f>T679*'Assumptions (Wind)'!$V$9</f>
        <v>0</v>
      </c>
      <c r="U732" s="244">
        <f>U679*'Assumptions (Wind)'!$V$9</f>
        <v>0</v>
      </c>
      <c r="V732" s="244">
        <f>V679*'Assumptions (Wind)'!$V$9</f>
        <v>0.05435842402</v>
      </c>
      <c r="W732" s="244">
        <f>W679*'Assumptions (Wind)'!$V$9</f>
        <v>0.1085111779</v>
      </c>
      <c r="X732" s="244">
        <f>X679*'Assumptions (Wind)'!$V$9</f>
        <v>0.1081902159</v>
      </c>
      <c r="Y732" s="244">
        <f>Y679*'Assumptions (Wind)'!$V$9</f>
        <v>0.1078154313</v>
      </c>
      <c r="Z732" s="244">
        <f>Z679*'Assumptions (Wind)'!$V$9</f>
        <v>0.1073848462</v>
      </c>
      <c r="AA732" s="244">
        <f>AA679*'Assumptions (Wind)'!$V$9</f>
        <v>0.1068266047</v>
      </c>
      <c r="AB732" s="244">
        <f>AB679*'Assumptions (Wind)'!$V$9</f>
        <v>0.106205711</v>
      </c>
      <c r="AC732" s="244">
        <f>AC679*'Assumptions (Wind)'!$V$9</f>
        <v>0.1061308686</v>
      </c>
      <c r="AD732" s="244">
        <f>AD679*'Assumptions (Wind)'!$V$9</f>
        <v>0.1053735517</v>
      </c>
      <c r="AE732" s="244">
        <f>AE679*'Assumptions (Wind)'!$V$9</f>
        <v>0.1038690471</v>
      </c>
      <c r="AF732" s="244">
        <f>AF679*'Assumptions (Wind)'!$V$9</f>
        <v>0.1028962089</v>
      </c>
      <c r="AG732" s="244">
        <f>AG679*'Assumptions (Wind)'!$V$9</f>
        <v>0.110605621</v>
      </c>
      <c r="AH732" s="244">
        <f>AH679*'Assumptions (Wind)'!$V$9</f>
        <v>0.1116340515</v>
      </c>
      <c r="AI732" s="244">
        <f>AI679*'Assumptions (Wind)'!$V$9</f>
        <v>0.1035766763</v>
      </c>
      <c r="AJ732" s="244">
        <f>AJ679*'Assumptions (Wind)'!$V$9</f>
        <v>0.1045172837</v>
      </c>
      <c r="AK732" s="244">
        <f>AK679*'Assumptions (Wind)'!$V$9</f>
        <v>0.1053704675</v>
      </c>
      <c r="AL732" s="244">
        <f>AL679*'Assumptions (Wind)'!$V$9</f>
        <v>0.1063035169</v>
      </c>
      <c r="AM732" s="244">
        <f>AM679*'Assumptions (Wind)'!$V$9</f>
        <v>0.1071448278</v>
      </c>
      <c r="AN732" s="244">
        <f>AN679*'Assumptions (Wind)'!$V$9</f>
        <v>0.1080682635</v>
      </c>
      <c r="AO732" s="244">
        <f>AO679*'Assumptions (Wind)'!$V$9</f>
        <v>0.1088954417</v>
      </c>
      <c r="AP732" s="244">
        <f>AP679*'Assumptions (Wind)'!$V$9</f>
        <v>0.1098070579</v>
      </c>
      <c r="AQ732" s="244">
        <f>AQ679*'Assumptions (Wind)'!$V$9</f>
        <v>0.1106176838</v>
      </c>
      <c r="AR732" s="244">
        <f>AR679*'Assumptions (Wind)'!$V$9</f>
        <v>0.1115151158</v>
      </c>
      <c r="AS732" s="244">
        <f>AS679*'Assumptions (Wind)'!$V$9</f>
        <v>0.1874441354</v>
      </c>
      <c r="AT732" s="244">
        <f>AT679*'Assumptions (Wind)'!$V$9</f>
        <v>0.1887458606</v>
      </c>
      <c r="AU732" s="244">
        <f>AU679*'Assumptions (Wind)'!$V$9</f>
        <v>0.1139568944</v>
      </c>
      <c r="AV732" s="244">
        <f>AV679*'Assumptions (Wind)'!$V$9</f>
        <v>0.1147134209</v>
      </c>
      <c r="AW732" s="244">
        <f>AW679*'Assumptions (Wind)'!$V$9</f>
        <v>0.1155628985</v>
      </c>
      <c r="AX732" s="244">
        <f>AX679*'Assumptions (Wind)'!$V$9</f>
        <v>0.1744394587</v>
      </c>
      <c r="AY732" s="244">
        <f>AY679*'Assumptions (Wind)'!$V$9</f>
        <v>0.2340150983</v>
      </c>
      <c r="AZ732" s="244">
        <f>AZ679*'Assumptions (Wind)'!$V$9</f>
        <v>0.117705746</v>
      </c>
      <c r="BA732" s="244">
        <f>BA679*'Assumptions (Wind)'!$V$9</f>
        <v>0</v>
      </c>
    </row>
    <row r="733" ht="15.75" customHeight="1">
      <c r="A733" s="239" t="s">
        <v>359</v>
      </c>
      <c r="B733" s="150" t="s">
        <v>351</v>
      </c>
      <c r="C733" s="177">
        <f t="array" ref="C733">SUM(IF(ISERROR(C734:C784),"",C734:C784))</f>
        <v>-0.00009573114079</v>
      </c>
      <c r="D733" s="177">
        <f t="array" ref="D733">SUM(IF(ISERROR(D734:D784),"",D734:D784))</f>
        <v>-0.0001033896321</v>
      </c>
      <c r="E733" s="177">
        <f t="array" ref="E733">SUM(IF(ISERROR(E734:E784),"",E734:E784))</f>
        <v>-0.0001116608026</v>
      </c>
      <c r="F733" s="177">
        <f t="array" ref="F733">SUM(IF(ISERROR(F734:F784),"",F734:F784))</f>
        <v>-0.0001205936668</v>
      </c>
      <c r="G733" s="177">
        <f t="array" ref="G733">SUM(IF(ISERROR(G734:G784),"",G734:G784))</f>
        <v>-0.001448189485</v>
      </c>
      <c r="H733" s="177">
        <f t="array" ref="H733">SUM(IF(ISERROR(H734:H784),"",H734:H784))</f>
        <v>-0.001564044643</v>
      </c>
      <c r="I733" s="177">
        <f t="array" ref="I733">SUM(IF(ISERROR(I734:I784),"",I734:I784))</f>
        <v>-0.001689168215</v>
      </c>
      <c r="J733" s="177">
        <f t="array" ref="J733">SUM(IF(ISERROR(J734:J784),"",J734:J784))</f>
        <v>-0.001824301672</v>
      </c>
      <c r="K733" s="177">
        <f t="array" ref="K733">SUM(IF(ISERROR(K734:K784),"",K734:K784))</f>
        <v>-0.001970245806</v>
      </c>
      <c r="L733" s="177">
        <f t="array" ref="L733">SUM(IF(ISERROR(L734:L784),"",L734:L784))</f>
        <v>-0.001936498477</v>
      </c>
      <c r="M733" s="177">
        <f t="array" ref="M733">SUM(IF(ISERROR(M734:M784),"",M734:M784))</f>
        <v>-0.002091418355</v>
      </c>
      <c r="N733" s="177">
        <f t="array" ref="N733">SUM(IF(ISERROR(N734:N784),"",N734:N784))</f>
        <v>-0.002258731823</v>
      </c>
      <c r="O733" s="177">
        <f t="array" ref="O733">SUM(IF(ISERROR(O734:O784),"",O734:O784))</f>
        <v>-0.002439430369</v>
      </c>
      <c r="P733" s="177">
        <f t="array" ref="P733">SUM(IF(ISERROR(P734:P784),"",P734:P784))</f>
        <v>-0.002634584799</v>
      </c>
      <c r="Q733" s="177">
        <f t="array" ref="Q733">SUM(IF(ISERROR(Q734:Q784),"",Q734:Q784))</f>
        <v>0</v>
      </c>
      <c r="R733" s="177">
        <f t="array" ref="R733">SUM(IF(ISERROR(R734:R784),"",R734:R784))</f>
        <v>0</v>
      </c>
      <c r="S733" s="177">
        <f t="array" ref="S733">SUM(IF(ISERROR(S734:S784),"",S734:S784))</f>
        <v>-0.01435028965</v>
      </c>
      <c r="T733" s="177">
        <f t="array" ref="T733">SUM(IF(ISERROR(T734:T784),"",T734:T784))</f>
        <v>-0.01549831282</v>
      </c>
      <c r="U733" s="177">
        <f t="array" ref="U733">SUM(IF(ISERROR(U734:U784),"",U734:U784))</f>
        <v>-0.01673817785</v>
      </c>
      <c r="V733" s="177">
        <f t="array" ref="V733">SUM(IF(ISERROR(V734:V784),"",V734:V784))</f>
        <v>-0.01807723208</v>
      </c>
      <c r="W733" s="177">
        <f t="array" ref="W733">SUM(IF(ISERROR(W734:W784),"",W734:W784))</f>
        <v>-0.01952341064</v>
      </c>
      <c r="X733" s="177">
        <f t="array" ref="X733">SUM(IF(ISERROR(X734:X784),"",X734:X784))</f>
        <v>-0.03232099018</v>
      </c>
      <c r="Y733" s="177">
        <f t="array" ref="Y733">SUM(IF(ISERROR(Y734:Y784),"",Y734:Y784))</f>
        <v>-0.04612575921</v>
      </c>
      <c r="Z733" s="177">
        <f t="array" ref="Z733">SUM(IF(ISERROR(Z734:Z784),"",Z734:Z784))</f>
        <v>-0.06099888948</v>
      </c>
      <c r="AA733" s="177">
        <f t="array" ref="AA733">SUM(IF(ISERROR(AA734:AA784),"",AA734:AA784))</f>
        <v>-0.07702017449</v>
      </c>
      <c r="AB733" s="177">
        <f t="array" ref="AB733">SUM(IF(ISERROR(AB734:AB784),"",AB734:AB784))</f>
        <v>-0.09427196864</v>
      </c>
      <c r="AC733" s="177">
        <f t="array" ref="AC733">SUM(IF(ISERROR(AC734:AC784),"",AC734:AC784))</f>
        <v>-0.08186166096</v>
      </c>
      <c r="AD733" s="177">
        <f t="array" ref="AD733">SUM(IF(ISERROR(AD734:AD784),"",AD734:AD784))</f>
        <v>-0.09937207856</v>
      </c>
      <c r="AE733" s="177">
        <f t="array" ref="AE733">SUM(IF(ISERROR(AE734:AE784),"",AE734:AE784))</f>
        <v>-0.1183349095</v>
      </c>
      <c r="AF733" s="177">
        <f t="array" ref="AF733">SUM(IF(ISERROR(AF734:AF784),"",AF734:AF784))</f>
        <v>-0.1386032307</v>
      </c>
      <c r="AG733" s="177">
        <f t="array" ref="AG733">SUM(IF(ISERROR(AG734:AG784),"",AG734:AG784))</f>
        <v>-0.1603961641</v>
      </c>
      <c r="AH733" s="177">
        <f t="array" ref="AH733">SUM(IF(ISERROR(AH734:AH784),"",AH734:AH784))</f>
        <v>-0.1595666814</v>
      </c>
      <c r="AI733" s="177">
        <f t="array" ref="AI733">SUM(IF(ISERROR(AI734:AI784),"",AI734:AI784))</f>
        <v>-0.1605360541</v>
      </c>
      <c r="AJ733" s="177">
        <f t="array" ref="AJ733">SUM(IF(ISERROR(AJ734:AJ784),"",AJ734:AJ784))</f>
        <v>-0.159915621</v>
      </c>
      <c r="AK733" s="177">
        <f t="array" ref="AK733">SUM(IF(ISERROR(AK734:AK784),"",AK734:AK784))</f>
        <v>-0.1594289449</v>
      </c>
      <c r="AL733" s="177">
        <f t="array" ref="AL733">SUM(IF(ISERROR(AL734:AL784),"",AL734:AL784))</f>
        <v>-0.1591067263</v>
      </c>
      <c r="AM733" s="177">
        <f t="array" ref="AM733">SUM(IF(ISERROR(AM734:AM784),"",AM734:AM784))</f>
        <v>-0.1589830018</v>
      </c>
      <c r="AN733" s="177">
        <f t="array" ref="AN733">SUM(IF(ISERROR(AN734:AN784),"",AN734:AN784))</f>
        <v>-0.1590872912</v>
      </c>
      <c r="AO733" s="177">
        <f t="array" ref="AO733">SUM(IF(ISERROR(AO734:AO784),"",AO734:AO784))</f>
        <v>-0.1591799312</v>
      </c>
      <c r="AP733" s="177">
        <f t="array" ref="AP733">SUM(IF(ISERROR(AP734:AP784),"",AP734:AP784))</f>
        <v>-0.159827306</v>
      </c>
      <c r="AQ733" s="177">
        <f t="array" ref="AQ733">SUM(IF(ISERROR(AQ734:AQ784),"",AQ734:AQ784))</f>
        <v>-0.1608255915</v>
      </c>
      <c r="AR733" s="177">
        <f t="array" ref="AR733">SUM(IF(ISERROR(AR734:AR784),"",AR734:AR784))</f>
        <v>-0.1622278009</v>
      </c>
      <c r="AS733" s="177">
        <f t="array" ref="AS733">SUM(IF(ISERROR(AS734:AS784),"",AS734:AS784))</f>
        <v>-0.1598812101</v>
      </c>
      <c r="AT733" s="177">
        <f t="array" ref="AT733">SUM(IF(ISERROR(AT734:AT784),"",AT734:AT784))</f>
        <v>-0.1612019158</v>
      </c>
      <c r="AU733" s="177">
        <f t="array" ref="AU733">SUM(IF(ISERROR(AU734:AU784),"",AU734:AU784))</f>
        <v>-0.1781221921</v>
      </c>
      <c r="AV733" s="177">
        <f t="array" ref="AV733">SUM(IF(ISERROR(AV734:AV784),"",AV734:AV784))</f>
        <v>-0.1806668877</v>
      </c>
      <c r="AW733" s="177">
        <f t="array" ref="AW733">SUM(IF(ISERROR(AW734:AW784),"",AW734:AW784))</f>
        <v>-0.1832997356</v>
      </c>
      <c r="AX733" s="177">
        <f t="array" ref="AX733">SUM(IF(ISERROR(AX734:AX784),"",AX734:AX784))</f>
        <v>-0.1860280337</v>
      </c>
      <c r="AY733" s="177">
        <f t="array" ref="AY733">SUM(IF(ISERROR(AY734:AY784),"",AY734:AY784))</f>
        <v>-0.1888591228</v>
      </c>
      <c r="AZ733" s="177">
        <f t="array" ref="AZ733">SUM(IF(ISERROR(AZ734:AZ784),"",AZ734:AZ784))</f>
        <v>-0.2038742837</v>
      </c>
      <c r="BA733" s="177">
        <f t="array" ref="BA733">SUM(IF(ISERROR(BA734:BA784),"",BA734:BA784))</f>
        <v>-0.2200425932</v>
      </c>
      <c r="BB733" s="177">
        <f t="array" ref="BB733">SUM(IF(ISERROR(BB734:BB784),"",BB734:BB784))</f>
        <v>-0.2130086607</v>
      </c>
      <c r="BC733" s="177">
        <f t="array" ref="BC733">SUM(IF(ISERROR(BC734:BC784),"",BC734:BC784))</f>
        <v>-0.2052211004</v>
      </c>
      <c r="BD733" s="177">
        <f t="array" ref="BD733">SUM(IF(ISERROR(BD734:BD784),"",BD734:BD784))</f>
        <v>-0.1966217615</v>
      </c>
      <c r="BE733" s="177">
        <f t="array" ref="BE733">SUM(IF(ISERROR(BE734:BE784),"",BE734:BE784))</f>
        <v>-0.1534490651</v>
      </c>
      <c r="BF733" s="177">
        <f t="array" ref="BF733">SUM(IF(ISERROR(BF734:BF784),"",BF734:BF784))</f>
        <v>-0.1403478667</v>
      </c>
      <c r="BG733" s="177">
        <f t="array" ref="BG733">SUM(IF(ISERROR(BG734:BG784),"",BG734:BG784))</f>
        <v>-0.1260167309</v>
      </c>
      <c r="BH733" s="177">
        <f t="array" ref="BH733">SUM(IF(ISERROR(BH734:BH784),"",BH734:BH784))</f>
        <v>-0.1103595977</v>
      </c>
      <c r="BI733" s="177">
        <f t="array" ref="BI733">SUM(IF(ISERROR(BI734:BI784),"",BI734:BI784))</f>
        <v>-0.09327334414</v>
      </c>
      <c r="BJ733" s="177">
        <f t="array" ref="BJ733">SUM(IF(ISERROR(BJ734:BJ784),"",BJ734:BJ784))</f>
        <v>-0.04858222551</v>
      </c>
      <c r="BK733" s="177"/>
      <c r="BL733" s="177"/>
      <c r="BM733" s="177"/>
      <c r="BN733" s="177"/>
      <c r="BO733" s="177"/>
      <c r="BP733" s="177"/>
    </row>
    <row r="734" ht="15.75" hidden="1" customHeight="1" outlineLevel="1">
      <c r="A734" s="241"/>
      <c r="B734" s="38"/>
      <c r="C734" s="177">
        <f>IF(and($C$677&gt;0,Model!W$1&lt;='Assumptions (Wind)'!$V$13),PPMT('Assumptions (Wind)'!$V$10,Model!W$1,'Assumptions (Wind)'!$V$13,'Assumptions (Wind)'!$V$8*Model!$C$677*'Assumptions (Wind)'!$B$2/10^9),0)</f>
        <v>-0.00009573114079</v>
      </c>
      <c r="D734" s="177">
        <f>IF(and($C$677&gt;0,Model!X$1&lt;='Assumptions (Wind)'!$V$13),PPMT('Assumptions (Wind)'!$V$10,Model!X$1,'Assumptions (Wind)'!$V$13,'Assumptions (Wind)'!$V$8*Model!$C$677*'Assumptions (Wind)'!$B$2/10^9),0)</f>
        <v>-0.0001033896321</v>
      </c>
      <c r="E734" s="177">
        <f>IF(and($C$677&gt;0,Model!Y$1&lt;='Assumptions (Wind)'!$V$13),PPMT('Assumptions (Wind)'!$V$10,Model!Y$1,'Assumptions (Wind)'!$V$13,'Assumptions (Wind)'!$V$8*Model!$C$677*'Assumptions (Wind)'!$B$2/10^9),0)</f>
        <v>-0.0001116608026</v>
      </c>
      <c r="F734" s="177">
        <f>IF(and($C$677&gt;0,Model!Z$1&lt;='Assumptions (Wind)'!$V$13),PPMT('Assumptions (Wind)'!$V$10,Model!Z$1,'Assumptions (Wind)'!$V$13,'Assumptions (Wind)'!$V$8*Model!$C$677*'Assumptions (Wind)'!$B$2/10^9),0)</f>
        <v>-0.0001205936668</v>
      </c>
      <c r="G734" s="177">
        <f>IF(and($C$677&gt;0,Model!AA$1&lt;='Assumptions (Wind)'!$V$13),PPMT('Assumptions (Wind)'!$V$10,Model!AA$1,'Assumptions (Wind)'!$V$13,'Assumptions (Wind)'!$V$8*Model!$C$677*'Assumptions (Wind)'!$B$2/10^9),0)</f>
        <v>-0.0001302411602</v>
      </c>
      <c r="H734" s="177">
        <f>IF(and($C$677&gt;0,Model!AB$1&lt;='Assumptions (Wind)'!$V$13),PPMT('Assumptions (Wind)'!$V$10,Model!AB$1,'Assumptions (Wind)'!$V$13,'Assumptions (Wind)'!$V$8*Model!$C$677*'Assumptions (Wind)'!$B$2/10^9),0)</f>
        <v>-0.000140660453</v>
      </c>
      <c r="I734" s="177">
        <f>IF(and($C$677&gt;0,Model!AC$1&lt;='Assumptions (Wind)'!$V$13),PPMT('Assumptions (Wind)'!$V$10,Model!AC$1,'Assumptions (Wind)'!$V$13,'Assumptions (Wind)'!$V$8*Model!$C$677*'Assumptions (Wind)'!$B$2/10^9),0)</f>
        <v>-0.0001519132892</v>
      </c>
      <c r="J734" s="177">
        <f>IF(and($C$677&gt;0,Model!AD$1&lt;='Assumptions (Wind)'!$V$13),PPMT('Assumptions (Wind)'!$V$10,Model!AD$1,'Assumptions (Wind)'!$V$13,'Assumptions (Wind)'!$V$8*Model!$C$677*'Assumptions (Wind)'!$B$2/10^9),0)</f>
        <v>-0.0001640663524</v>
      </c>
      <c r="K734" s="177">
        <f>IF(and($C$677&gt;0,Model!AE$1&lt;='Assumptions (Wind)'!$V$13),PPMT('Assumptions (Wind)'!$V$10,Model!AE$1,'Assumptions (Wind)'!$V$13,'Assumptions (Wind)'!$V$8*Model!$C$677*'Assumptions (Wind)'!$B$2/10^9),0)</f>
        <v>-0.0001771916605</v>
      </c>
      <c r="L734" s="177"/>
      <c r="M734" s="177"/>
      <c r="N734" s="177"/>
      <c r="O734" s="177"/>
      <c r="P734" s="177"/>
      <c r="Q734" s="177"/>
      <c r="R734" s="177"/>
      <c r="S734" s="177"/>
      <c r="T734" s="177"/>
      <c r="U734" s="177"/>
      <c r="V734" s="177"/>
      <c r="W734" s="177"/>
      <c r="X734" s="177"/>
      <c r="Y734" s="177"/>
      <c r="Z734" s="177"/>
      <c r="AA734" s="177"/>
      <c r="AB734" s="160"/>
      <c r="AC734" s="160"/>
      <c r="AD734" s="160"/>
      <c r="AE734" s="160"/>
      <c r="AF734" s="160"/>
      <c r="AG734" s="160"/>
      <c r="AU734" s="160"/>
      <c r="AV734" s="160"/>
      <c r="AW734" s="160"/>
      <c r="AX734" s="160"/>
      <c r="AY734" s="160"/>
      <c r="AZ734" s="160"/>
      <c r="BA734" s="160"/>
    </row>
    <row r="735" ht="15.75" hidden="1" customHeight="1" outlineLevel="1">
      <c r="A735" s="241"/>
      <c r="B735" s="38"/>
      <c r="C735" s="160"/>
      <c r="D735" s="177">
        <f>IF(and($D$677&gt;0,Model!W$1&lt;='Assumptions (Wind)'!$V$13),PPMT('Assumptions (Wind)'!$V$10,Model!W$1,'Assumptions (Wind)'!$V$13,'Assumptions (Wind)'!$V$8*Model!$D$677*'Assumptions (Wind)'!$B$2/10^9),0)</f>
        <v>0</v>
      </c>
      <c r="E735" s="177">
        <f>IF(and($D$677&gt;0,Model!X$1&lt;='Assumptions (Wind)'!$V$13),PPMT('Assumptions (Wind)'!$V$10,Model!X$1,'Assumptions (Wind)'!$V$13,'Assumptions (Wind)'!$V$8*Model!$D$677*'Assumptions (Wind)'!$B$2/10^9),0)</f>
        <v>0</v>
      </c>
      <c r="F735" s="177">
        <f>IF(and($D$677&gt;0,Model!Y$1&lt;='Assumptions (Wind)'!$V$13),PPMT('Assumptions (Wind)'!$V$10,Model!Y$1,'Assumptions (Wind)'!$V$13,'Assumptions (Wind)'!$V$8*Model!$D$677*'Assumptions (Wind)'!$B$2/10^9),0)</f>
        <v>0</v>
      </c>
      <c r="G735" s="177">
        <f>IF(and($D$677&gt;0,Model!Z$1&lt;='Assumptions (Wind)'!$V$13),PPMT('Assumptions (Wind)'!$V$10,Model!Z$1,'Assumptions (Wind)'!$V$13,'Assumptions (Wind)'!$V$8*Model!$D$677*'Assumptions (Wind)'!$B$2/10^9),0)</f>
        <v>0</v>
      </c>
      <c r="H735" s="177">
        <f>IF(and($D$677&gt;0,Model!AA$1&lt;='Assumptions (Wind)'!$V$13),PPMT('Assumptions (Wind)'!$V$10,Model!AA$1,'Assumptions (Wind)'!$V$13,'Assumptions (Wind)'!$V$8*Model!$D$677*'Assumptions (Wind)'!$B$2/10^9),0)</f>
        <v>0</v>
      </c>
      <c r="I735" s="177">
        <f>IF(and($D$677&gt;0,Model!AB$1&lt;='Assumptions (Wind)'!$V$13),PPMT('Assumptions (Wind)'!$V$10,Model!AB$1,'Assumptions (Wind)'!$V$13,'Assumptions (Wind)'!$V$8*Model!$D$677*'Assumptions (Wind)'!$B$2/10^9),0)</f>
        <v>0</v>
      </c>
      <c r="J735" s="177">
        <f>IF(and($D$677&gt;0,Model!AC$1&lt;='Assumptions (Wind)'!$V$13),PPMT('Assumptions (Wind)'!$V$10,Model!AC$1,'Assumptions (Wind)'!$V$13,'Assumptions (Wind)'!$V$8*Model!$D$677*'Assumptions (Wind)'!$B$2/10^9),0)</f>
        <v>0</v>
      </c>
      <c r="K735" s="177">
        <f>IF(and($D$677&gt;0,Model!AD$1&lt;='Assumptions (Wind)'!$V$13),PPMT('Assumptions (Wind)'!$V$10,Model!AD$1,'Assumptions (Wind)'!$V$13,'Assumptions (Wind)'!$V$8*Model!$D$677*'Assumptions (Wind)'!$B$2/10^9),0)</f>
        <v>0</v>
      </c>
      <c r="L735" s="177">
        <f>IF(and($D$677&gt;0,Model!AE$1&lt;='Assumptions (Wind)'!$V$13),PPMT('Assumptions (Wind)'!$V$10,Model!AE$1,'Assumptions (Wind)'!$V$13,'Assumptions (Wind)'!$V$8*Model!$D$677*'Assumptions (Wind)'!$B$2/10^9),0)</f>
        <v>0</v>
      </c>
      <c r="M735" s="177">
        <f>IF(and($D$677&gt;0,Model!AF$1&lt;='Assumptions (Wind)'!$V$13),PPMT('Assumptions (Wind)'!$V$10,Model!AF$1,'Assumptions (Wind)'!$V$13,'Assumptions (Wind)'!$V$8*Model!$D$677*'Assumptions (Wind)'!$B$2/10^9),0)</f>
        <v>0</v>
      </c>
      <c r="N735" s="177"/>
      <c r="O735" s="177"/>
      <c r="P735" s="177"/>
      <c r="Q735" s="177"/>
      <c r="R735" s="177"/>
      <c r="S735" s="177"/>
      <c r="T735" s="177"/>
      <c r="U735" s="177"/>
      <c r="V735" s="177"/>
      <c r="W735" s="177"/>
      <c r="X735" s="177"/>
      <c r="Y735" s="177"/>
      <c r="Z735" s="177"/>
      <c r="AA735" s="177"/>
      <c r="AB735" s="177"/>
      <c r="AC735" s="160"/>
      <c r="AD735" s="160"/>
      <c r="AE735" s="160"/>
      <c r="AF735" s="160"/>
      <c r="AG735" s="160"/>
      <c r="AU735" s="160"/>
      <c r="AV735" s="160"/>
      <c r="AW735" s="160"/>
      <c r="AX735" s="160"/>
      <c r="AY735" s="160"/>
      <c r="AZ735" s="160"/>
      <c r="BA735" s="160"/>
    </row>
    <row r="736" ht="15.75" hidden="1" customHeight="1" outlineLevel="1">
      <c r="A736" s="241"/>
      <c r="B736" s="38"/>
      <c r="C736" s="160"/>
      <c r="D736" s="160"/>
      <c r="E736" s="160">
        <f>IF(and($E$677&gt;0,Model!W$1&lt;='Assumptions (Wind)'!$V$13),PPMT('Assumptions (Wind)'!$V$10,Model!W$1,'Assumptions (Wind)'!$V$13,'Assumptions (Wind)'!$V$8*Model!$E$677*AVERAGE('Assumptions (Wind)'!$B$2:$C$2)/10^9),0)</f>
        <v>0</v>
      </c>
      <c r="F736" s="160">
        <f>IF(and($E$677&gt;0,Model!X$1&lt;='Assumptions (Wind)'!$V$13),PPMT('Assumptions (Wind)'!$V$10,Model!X$1,'Assumptions (Wind)'!$V$13,'Assumptions (Wind)'!$V$8*Model!$E$677*AVERAGE('Assumptions (Wind)'!$B$2:$C$2)/10^9),0)</f>
        <v>0</v>
      </c>
      <c r="G736" s="160">
        <f>IF(and($E$677&gt;0,Model!Y$1&lt;='Assumptions (Wind)'!$V$13),PPMT('Assumptions (Wind)'!$V$10,Model!Y$1,'Assumptions (Wind)'!$V$13,'Assumptions (Wind)'!$V$8*Model!$E$677*AVERAGE('Assumptions (Wind)'!$B$2:$C$2)/10^9),0)</f>
        <v>0</v>
      </c>
      <c r="H736" s="160">
        <f>IF(and($E$677&gt;0,Model!Z$1&lt;='Assumptions (Wind)'!$V$13),PPMT('Assumptions (Wind)'!$V$10,Model!Z$1,'Assumptions (Wind)'!$V$13,'Assumptions (Wind)'!$V$8*Model!$E$677*AVERAGE('Assumptions (Wind)'!$B$2:$C$2)/10^9),0)</f>
        <v>0</v>
      </c>
      <c r="I736" s="160">
        <f>IF(and($E$677&gt;0,Model!AA$1&lt;='Assumptions (Wind)'!$V$13),PPMT('Assumptions (Wind)'!$V$10,Model!AA$1,'Assumptions (Wind)'!$V$13,'Assumptions (Wind)'!$V$8*Model!$E$677*AVERAGE('Assumptions (Wind)'!$B$2:$C$2)/10^9),0)</f>
        <v>0</v>
      </c>
      <c r="J736" s="160">
        <f>IF(and($E$677&gt;0,Model!AB$1&lt;='Assumptions (Wind)'!$V$13),PPMT('Assumptions (Wind)'!$V$10,Model!AB$1,'Assumptions (Wind)'!$V$13,'Assumptions (Wind)'!$V$8*Model!$E$677*AVERAGE('Assumptions (Wind)'!$B$2:$C$2)/10^9),0)</f>
        <v>0</v>
      </c>
      <c r="K736" s="160">
        <f>IF(and($E$677&gt;0,Model!AC$1&lt;='Assumptions (Wind)'!$V$13),PPMT('Assumptions (Wind)'!$V$10,Model!AC$1,'Assumptions (Wind)'!$V$13,'Assumptions (Wind)'!$V$8*Model!$E$677*AVERAGE('Assumptions (Wind)'!$B$2:$C$2)/10^9),0)</f>
        <v>0</v>
      </c>
      <c r="L736" s="160">
        <f>IF(and($E$677&gt;0,Model!AD$1&lt;='Assumptions (Wind)'!$V$13),PPMT('Assumptions (Wind)'!$V$10,Model!AD$1,'Assumptions (Wind)'!$V$13,'Assumptions (Wind)'!$V$8*Model!$E$677*AVERAGE('Assumptions (Wind)'!$B$2:$C$2)/10^9),0)</f>
        <v>0</v>
      </c>
      <c r="M736" s="160">
        <f>IF(and($E$677&gt;0,Model!AE$1&lt;='Assumptions (Wind)'!$V$13),PPMT('Assumptions (Wind)'!$V$10,Model!AE$1,'Assumptions (Wind)'!$V$13,'Assumptions (Wind)'!$V$8*Model!$E$677*AVERAGE('Assumptions (Wind)'!$B$2:$C$2)/10^9),0)</f>
        <v>0</v>
      </c>
      <c r="N736" s="160">
        <f>IF(and($E$677&gt;0,Model!AF$1&lt;='Assumptions (Wind)'!$V$13),PPMT('Assumptions (Wind)'!$V$10,Model!AF$1,'Assumptions (Wind)'!$V$13,'Assumptions (Wind)'!$V$8*Model!$E$677*AVERAGE('Assumptions (Wind)'!$B$2:$C$2)/10^9),0)</f>
        <v>0</v>
      </c>
      <c r="O736" s="160"/>
      <c r="P736" s="160"/>
      <c r="Q736" s="160"/>
      <c r="R736" s="160"/>
      <c r="S736" s="160"/>
      <c r="T736" s="160"/>
      <c r="U736" s="160"/>
      <c r="V736" s="160"/>
      <c r="W736" s="160"/>
      <c r="X736" s="160"/>
      <c r="Y736" s="160"/>
      <c r="Z736" s="160"/>
      <c r="AA736" s="160"/>
      <c r="AB736" s="160"/>
      <c r="AC736" s="160"/>
      <c r="AD736" s="160"/>
      <c r="AE736" s="160"/>
      <c r="AF736" s="160"/>
      <c r="AG736" s="160"/>
      <c r="AU736" s="160"/>
      <c r="AV736" s="160"/>
      <c r="AW736" s="160"/>
      <c r="AX736" s="160"/>
      <c r="AY736" s="160"/>
      <c r="AZ736" s="160"/>
      <c r="BA736" s="160"/>
    </row>
    <row r="737" ht="15.75" hidden="1" customHeight="1" outlineLevel="1">
      <c r="A737" s="241"/>
      <c r="B737" s="38"/>
      <c r="C737" s="160"/>
      <c r="D737" s="160"/>
      <c r="E737" s="160"/>
      <c r="F737" s="160">
        <f>IF(and($F$677&gt;0,Model!W$1&lt;='Assumptions (Wind)'!$V$13),PPMT('Assumptions (Wind)'!$V$10,Model!W$1,'Assumptions (Wind)'!$V$13,'Assumptions (Wind)'!$V$8*Model!$F$677*AVERAGE('Assumptions (Wind)'!$C$2:$D$2)/10^9),0)</f>
        <v>0</v>
      </c>
      <c r="G737" s="160">
        <f>IF(and($F$677&gt;0,Model!X$1&lt;='Assumptions (Wind)'!$V$13),PPMT('Assumptions (Wind)'!$V$10,Model!X$1,'Assumptions (Wind)'!$V$13,'Assumptions (Wind)'!$V$8*Model!$F$677*AVERAGE('Assumptions (Wind)'!$C$2:$D$2)/10^9),0)</f>
        <v>0</v>
      </c>
      <c r="H737" s="160">
        <f>IF(and($F$677&gt;0,Model!Y$1&lt;='Assumptions (Wind)'!$V$13),PPMT('Assumptions (Wind)'!$V$10,Model!Y$1,'Assumptions (Wind)'!$V$13,'Assumptions (Wind)'!$V$8*Model!$F$677*AVERAGE('Assumptions (Wind)'!$C$2:$D$2)/10^9),0)</f>
        <v>0</v>
      </c>
      <c r="I737" s="160">
        <f>IF(and($F$677&gt;0,Model!Z$1&lt;='Assumptions (Wind)'!$V$13),PPMT('Assumptions (Wind)'!$V$10,Model!Z$1,'Assumptions (Wind)'!$V$13,'Assumptions (Wind)'!$V$8*Model!$F$677*AVERAGE('Assumptions (Wind)'!$C$2:$D$2)/10^9),0)</f>
        <v>0</v>
      </c>
      <c r="J737" s="160">
        <f>IF(and($F$677&gt;0,Model!AA$1&lt;='Assumptions (Wind)'!$V$13),PPMT('Assumptions (Wind)'!$V$10,Model!AA$1,'Assumptions (Wind)'!$V$13,'Assumptions (Wind)'!$V$8*Model!$F$677*AVERAGE('Assumptions (Wind)'!$C$2:$D$2)/10^9),0)</f>
        <v>0</v>
      </c>
      <c r="K737" s="160">
        <f>IF(and($F$677&gt;0,Model!AB$1&lt;='Assumptions (Wind)'!$V$13),PPMT('Assumptions (Wind)'!$V$10,Model!AB$1,'Assumptions (Wind)'!$V$13,'Assumptions (Wind)'!$V$8*Model!$F$677*AVERAGE('Assumptions (Wind)'!$C$2:$D$2)/10^9),0)</f>
        <v>0</v>
      </c>
      <c r="L737" s="160">
        <f>IF(and($F$677&gt;0,Model!AC$1&lt;='Assumptions (Wind)'!$V$13),PPMT('Assumptions (Wind)'!$V$10,Model!AC$1,'Assumptions (Wind)'!$V$13,'Assumptions (Wind)'!$V$8*Model!$F$677*AVERAGE('Assumptions (Wind)'!$C$2:$D$2)/10^9),0)</f>
        <v>0</v>
      </c>
      <c r="M737" s="160">
        <f>IF(and($F$677&gt;0,Model!AD$1&lt;='Assumptions (Wind)'!$V$13),PPMT('Assumptions (Wind)'!$V$10,Model!AD$1,'Assumptions (Wind)'!$V$13,'Assumptions (Wind)'!$V$8*Model!$F$677*AVERAGE('Assumptions (Wind)'!$C$2:$D$2)/10^9),0)</f>
        <v>0</v>
      </c>
      <c r="N737" s="160">
        <f>IF(and($F$677&gt;0,Model!AE$1&lt;='Assumptions (Wind)'!$V$13),PPMT('Assumptions (Wind)'!$V$10,Model!AE$1,'Assumptions (Wind)'!$V$13,'Assumptions (Wind)'!$V$8*Model!$F$677*AVERAGE('Assumptions (Wind)'!$C$2:$D$2)/10^9),0)</f>
        <v>0</v>
      </c>
      <c r="O737" s="160">
        <f>IF(and($F$677&gt;0,Model!AF$1&lt;='Assumptions (Wind)'!$V$13),PPMT('Assumptions (Wind)'!$V$10,Model!AF$1,'Assumptions (Wind)'!$V$13,'Assumptions (Wind)'!$V$8*Model!$F$677*AVERAGE('Assumptions (Wind)'!$C$2:$D$2)/10^9),0)</f>
        <v>0</v>
      </c>
      <c r="P737" s="160"/>
      <c r="Q737" s="160"/>
      <c r="R737" s="160"/>
      <c r="S737" s="160"/>
      <c r="T737" s="160"/>
      <c r="U737" s="160"/>
      <c r="V737" s="160"/>
      <c r="W737" s="160"/>
      <c r="X737" s="160"/>
      <c r="Y737" s="160"/>
      <c r="Z737" s="160"/>
      <c r="AA737" s="160"/>
      <c r="AB737" s="160"/>
      <c r="AC737" s="160"/>
      <c r="AD737" s="160"/>
      <c r="AE737" s="160"/>
      <c r="AF737" s="160"/>
      <c r="AG737" s="160"/>
      <c r="AU737" s="160"/>
      <c r="AV737" s="160"/>
      <c r="AW737" s="160"/>
      <c r="AX737" s="160"/>
      <c r="AY737" s="160"/>
      <c r="AZ737" s="160"/>
      <c r="BA737" s="160"/>
    </row>
    <row r="738" ht="15.75" hidden="1" customHeight="1" outlineLevel="1">
      <c r="A738" s="241"/>
      <c r="B738" s="38"/>
      <c r="C738" s="160"/>
      <c r="D738" s="160"/>
      <c r="E738" s="160"/>
      <c r="F738" s="160"/>
      <c r="G738" s="160">
        <f>IF(and($G$677&gt;0,Model!W$1&lt;='Assumptions (Wind)'!$V$13),PPMT('Assumptions (Wind)'!$V$10,Model!W$1,'Assumptions (Wind)'!$V$13,'Assumptions (Wind)'!$V$8*Model!$G$677*AVERAGE('Assumptions (Wind)'!$D$2:$E$2)/10^9),0)</f>
        <v>-0.001317948324</v>
      </c>
      <c r="H738" s="160">
        <f>IF(and($G$677&gt;0,Model!X$1&lt;='Assumptions (Wind)'!$V$13),PPMT('Assumptions (Wind)'!$V$10,Model!X$1,'Assumptions (Wind)'!$V$13,'Assumptions (Wind)'!$V$8*Model!$G$677*AVERAGE('Assumptions (Wind)'!$D$2:$E$2)/10^9),0)</f>
        <v>-0.00142338419</v>
      </c>
      <c r="I738" s="160">
        <f>IF(and($G$677&gt;0,Model!Y$1&lt;='Assumptions (Wind)'!$V$13),PPMT('Assumptions (Wind)'!$V$10,Model!Y$1,'Assumptions (Wind)'!$V$13,'Assumptions (Wind)'!$V$8*Model!$G$677*AVERAGE('Assumptions (Wind)'!$D$2:$E$2)/10^9),0)</f>
        <v>-0.001537254926</v>
      </c>
      <c r="J738" s="160">
        <f>IF(and($G$677&gt;0,Model!Z$1&lt;='Assumptions (Wind)'!$V$13),PPMT('Assumptions (Wind)'!$V$10,Model!Z$1,'Assumptions (Wind)'!$V$13,'Assumptions (Wind)'!$V$8*Model!$G$677*AVERAGE('Assumptions (Wind)'!$D$2:$E$2)/10^9),0)</f>
        <v>-0.00166023532</v>
      </c>
      <c r="K738" s="160">
        <f>IF(and($G$677&gt;0,Model!AA$1&lt;='Assumptions (Wind)'!$V$13),PPMT('Assumptions (Wind)'!$V$10,Model!AA$1,'Assumptions (Wind)'!$V$13,'Assumptions (Wind)'!$V$8*Model!$G$677*AVERAGE('Assumptions (Wind)'!$D$2:$E$2)/10^9),0)</f>
        <v>-0.001793054145</v>
      </c>
      <c r="L738" s="160">
        <f>IF(and($G$677&gt;0,Model!AB$1&lt;='Assumptions (Wind)'!$V$13),PPMT('Assumptions (Wind)'!$V$10,Model!AB$1,'Assumptions (Wind)'!$V$13,'Assumptions (Wind)'!$V$8*Model!$G$677*AVERAGE('Assumptions (Wind)'!$D$2:$E$2)/10^9),0)</f>
        <v>-0.001936498477</v>
      </c>
      <c r="M738" s="160">
        <f>IF(and($G$677&gt;0,Model!AC$1&lt;='Assumptions (Wind)'!$V$13),PPMT('Assumptions (Wind)'!$V$10,Model!AC$1,'Assumptions (Wind)'!$V$13,'Assumptions (Wind)'!$V$8*Model!$G$677*AVERAGE('Assumptions (Wind)'!$D$2:$E$2)/10^9),0)</f>
        <v>-0.002091418355</v>
      </c>
      <c r="N738" s="160">
        <f>IF(and($G$677&gt;0,Model!AD$1&lt;='Assumptions (Wind)'!$V$13),PPMT('Assumptions (Wind)'!$V$10,Model!AD$1,'Assumptions (Wind)'!$V$13,'Assumptions (Wind)'!$V$8*Model!$G$677*AVERAGE('Assumptions (Wind)'!$D$2:$E$2)/10^9),0)</f>
        <v>-0.002258731823</v>
      </c>
      <c r="O738" s="160">
        <f>IF(and($G$677&gt;0,Model!AE$1&lt;='Assumptions (Wind)'!$V$13),PPMT('Assumptions (Wind)'!$V$10,Model!AE$1,'Assumptions (Wind)'!$V$13,'Assumptions (Wind)'!$V$8*Model!$G$677*AVERAGE('Assumptions (Wind)'!$D$2:$E$2)/10^9),0)</f>
        <v>-0.002439430369</v>
      </c>
      <c r="P738" s="160">
        <f>IF(and($G$677&gt;0,Model!AF$1&lt;='Assumptions (Wind)'!$V$13),PPMT('Assumptions (Wind)'!$V$10,Model!AF$1,'Assumptions (Wind)'!$V$13,'Assumptions (Wind)'!$V$8*Model!$G$677*AVERAGE('Assumptions (Wind)'!$D$2:$E$2)/10^9),0)</f>
        <v>-0.002634584799</v>
      </c>
      <c r="Q738" s="160"/>
      <c r="R738" s="160"/>
      <c r="S738" s="160"/>
      <c r="T738" s="160"/>
      <c r="U738" s="160"/>
      <c r="V738" s="160"/>
      <c r="W738" s="160"/>
      <c r="X738" s="160"/>
      <c r="Y738" s="160"/>
      <c r="Z738" s="160"/>
      <c r="AA738" s="160"/>
      <c r="AB738" s="160"/>
      <c r="AC738" s="160"/>
      <c r="AD738" s="160"/>
      <c r="AE738" s="160"/>
      <c r="AF738" s="160"/>
      <c r="AG738" s="160"/>
      <c r="AU738" s="160"/>
      <c r="AV738" s="160"/>
      <c r="AW738" s="160"/>
      <c r="AX738" s="160"/>
      <c r="AY738" s="160"/>
      <c r="AZ738" s="160"/>
      <c r="BA738" s="160"/>
    </row>
    <row r="739" ht="15.75" hidden="1" customHeight="1" outlineLevel="1">
      <c r="A739" s="241"/>
      <c r="B739" s="38"/>
      <c r="C739" s="160"/>
      <c r="D739" s="160"/>
      <c r="E739" s="160"/>
      <c r="F739" s="160"/>
      <c r="G739" s="160"/>
      <c r="H739" s="160">
        <f>IF(and($H$677&gt;0,Model!W$1&lt;='Assumptions (Wind)'!$V$13),PPMT('Assumptions (Wind)'!$V$10,Model!W$1,'Assumptions (Wind)'!$V$13,'Assumptions (Wind)'!$V$8*Model!$H$677*AVERAGE('Assumptions (Wind)'!$E$2:$F$2)/10^9),0)</f>
        <v>0</v>
      </c>
      <c r="I739" s="160">
        <f>IF(and($H$677&gt;0,Model!X$1&lt;='Assumptions (Wind)'!$V$13),PPMT('Assumptions (Wind)'!$V$10,Model!X$1,'Assumptions (Wind)'!$V$13,'Assumptions (Wind)'!$V$8*Model!$H$677*AVERAGE('Assumptions (Wind)'!$E$2:$F$2)/10^9),0)</f>
        <v>0</v>
      </c>
      <c r="J739" s="160">
        <f>IF(and($H$677&gt;0,Model!Y$1&lt;='Assumptions (Wind)'!$V$13),PPMT('Assumptions (Wind)'!$V$10,Model!Y$1,'Assumptions (Wind)'!$V$13,'Assumptions (Wind)'!$V$8*Model!$H$677*AVERAGE('Assumptions (Wind)'!$E$2:$F$2)/10^9),0)</f>
        <v>0</v>
      </c>
      <c r="K739" s="160">
        <f>IF(and($H$677&gt;0,Model!Z$1&lt;='Assumptions (Wind)'!$V$13),PPMT('Assumptions (Wind)'!$V$10,Model!Z$1,'Assumptions (Wind)'!$V$13,'Assumptions (Wind)'!$V$8*Model!$H$677*AVERAGE('Assumptions (Wind)'!$E$2:$F$2)/10^9),0)</f>
        <v>0</v>
      </c>
      <c r="L739" s="160">
        <f>IF(and($H$677&gt;0,Model!AA$1&lt;='Assumptions (Wind)'!$V$13),PPMT('Assumptions (Wind)'!$V$10,Model!AA$1,'Assumptions (Wind)'!$V$13,'Assumptions (Wind)'!$V$8*Model!$H$677*AVERAGE('Assumptions (Wind)'!$E$2:$F$2)/10^9),0)</f>
        <v>0</v>
      </c>
      <c r="M739" s="160">
        <f>IF(and($H$677&gt;0,Model!AB$1&lt;='Assumptions (Wind)'!$V$13),PPMT('Assumptions (Wind)'!$V$10,Model!AB$1,'Assumptions (Wind)'!$V$13,'Assumptions (Wind)'!$V$8*Model!$H$677*AVERAGE('Assumptions (Wind)'!$E$2:$F$2)/10^9),0)</f>
        <v>0</v>
      </c>
      <c r="N739" s="160">
        <f>IF(and($H$677&gt;0,Model!AC$1&lt;='Assumptions (Wind)'!$V$13),PPMT('Assumptions (Wind)'!$V$10,Model!AC$1,'Assumptions (Wind)'!$V$13,'Assumptions (Wind)'!$V$8*Model!$H$677*AVERAGE('Assumptions (Wind)'!$E$2:$F$2)/10^9),0)</f>
        <v>0</v>
      </c>
      <c r="O739" s="160">
        <f>IF(and($H$677&gt;0,Model!AD$1&lt;='Assumptions (Wind)'!$V$13),PPMT('Assumptions (Wind)'!$V$10,Model!AD$1,'Assumptions (Wind)'!$V$13,'Assumptions (Wind)'!$V$8*Model!$H$677*AVERAGE('Assumptions (Wind)'!$E$2:$F$2)/10^9),0)</f>
        <v>0</v>
      </c>
      <c r="P739" s="160">
        <f>IF(and($H$677&gt;0,Model!AE$1&lt;='Assumptions (Wind)'!$V$13),PPMT('Assumptions (Wind)'!$V$10,Model!AE$1,'Assumptions (Wind)'!$V$13,'Assumptions (Wind)'!$V$8*Model!$H$677*AVERAGE('Assumptions (Wind)'!$E$2:$F$2)/10^9),0)</f>
        <v>0</v>
      </c>
      <c r="Q739" s="160">
        <f>IF(and($H$677&gt;0,Model!AF$1&lt;='Assumptions (Wind)'!$V$13),PPMT('Assumptions (Wind)'!$V$10,Model!AF$1,'Assumptions (Wind)'!$V$13,'Assumptions (Wind)'!$V$8*Model!$H$677*AVERAGE('Assumptions (Wind)'!$E$2:$F$2)/10^9),0)</f>
        <v>0</v>
      </c>
      <c r="R739" s="160"/>
      <c r="S739" s="160"/>
      <c r="T739" s="160"/>
      <c r="U739" s="160"/>
      <c r="V739" s="160"/>
      <c r="W739" s="160"/>
      <c r="X739" s="160"/>
      <c r="Y739" s="160"/>
      <c r="Z739" s="160"/>
      <c r="AA739" s="160"/>
      <c r="AB739" s="160"/>
      <c r="AC739" s="160"/>
      <c r="AD739" s="160"/>
      <c r="AE739" s="160"/>
      <c r="AF739" s="160"/>
      <c r="AG739" s="160"/>
      <c r="AU739" s="160"/>
      <c r="AV739" s="160"/>
      <c r="AW739" s="160"/>
      <c r="AX739" s="160"/>
      <c r="AY739" s="160"/>
      <c r="AZ739" s="160"/>
      <c r="BA739" s="160"/>
    </row>
    <row r="740" ht="15.75" hidden="1" customHeight="1" outlineLevel="1">
      <c r="A740" s="241"/>
      <c r="B740" s="38"/>
      <c r="C740" s="160"/>
      <c r="D740" s="160"/>
      <c r="E740" s="160"/>
      <c r="F740" s="160"/>
      <c r="G740" s="160"/>
      <c r="H740" s="160"/>
      <c r="I740" s="160">
        <f>IF(and($I$677&gt;0,Model!W$1&lt;='Assumptions (Wind)'!$V$13),PPMT('Assumptions (Wind)'!$V$10,Model!W$1,'Assumptions (Wind)'!$V$13,'Assumptions (Wind)'!$V$8*Model!$I$677*AVERAGE('Assumptions (Wind)'!$F$2:$G$2)/10^9),0)</f>
        <v>0</v>
      </c>
      <c r="J740" s="160">
        <f>IF(and($I$677&gt;0,Model!X$1&lt;='Assumptions (Wind)'!$V$13),PPMT('Assumptions (Wind)'!$V$10,Model!X$1,'Assumptions (Wind)'!$V$13,'Assumptions (Wind)'!$V$8*Model!$I$677*AVERAGE('Assumptions (Wind)'!$F$2:$G$2)/10^9),0)</f>
        <v>0</v>
      </c>
      <c r="K740" s="160">
        <f>IF(and($I$677&gt;0,Model!Y$1&lt;='Assumptions (Wind)'!$V$13),PPMT('Assumptions (Wind)'!$V$10,Model!Y$1,'Assumptions (Wind)'!$V$13,'Assumptions (Wind)'!$V$8*Model!$I$677*AVERAGE('Assumptions (Wind)'!$F$2:$G$2)/10^9),0)</f>
        <v>0</v>
      </c>
      <c r="L740" s="160">
        <f>IF(and($I$677&gt;0,Model!Z$1&lt;='Assumptions (Wind)'!$V$13),PPMT('Assumptions (Wind)'!$V$10,Model!Z$1,'Assumptions (Wind)'!$V$13,'Assumptions (Wind)'!$V$8*Model!$I$677*AVERAGE('Assumptions (Wind)'!$F$2:$G$2)/10^9),0)</f>
        <v>0</v>
      </c>
      <c r="M740" s="160">
        <f>IF(and($I$677&gt;0,Model!AA$1&lt;='Assumptions (Wind)'!$V$13),PPMT('Assumptions (Wind)'!$V$10,Model!AA$1,'Assumptions (Wind)'!$V$13,'Assumptions (Wind)'!$V$8*Model!$I$677*AVERAGE('Assumptions (Wind)'!$F$2:$G$2)/10^9),0)</f>
        <v>0</v>
      </c>
      <c r="N740" s="160">
        <f>IF(and($I$677&gt;0,Model!AB$1&lt;='Assumptions (Wind)'!$V$13),PPMT('Assumptions (Wind)'!$V$10,Model!AB$1,'Assumptions (Wind)'!$V$13,'Assumptions (Wind)'!$V$8*Model!$I$677*AVERAGE('Assumptions (Wind)'!$F$2:$G$2)/10^9),0)</f>
        <v>0</v>
      </c>
      <c r="O740" s="160">
        <f>IF(and($I$677&gt;0,Model!AC$1&lt;='Assumptions (Wind)'!$V$13),PPMT('Assumptions (Wind)'!$V$10,Model!AC$1,'Assumptions (Wind)'!$V$13,'Assumptions (Wind)'!$V$8*Model!$I$677*AVERAGE('Assumptions (Wind)'!$F$2:$G$2)/10^9),0)</f>
        <v>0</v>
      </c>
      <c r="P740" s="160">
        <f>IF(and($I$677&gt;0,Model!AD$1&lt;='Assumptions (Wind)'!$V$13),PPMT('Assumptions (Wind)'!$V$10,Model!AD$1,'Assumptions (Wind)'!$V$13,'Assumptions (Wind)'!$V$8*Model!$I$677*AVERAGE('Assumptions (Wind)'!$F$2:$G$2)/10^9),0)</f>
        <v>0</v>
      </c>
      <c r="Q740" s="160">
        <f>IF(and($I$677&gt;0,Model!AE$1&lt;='Assumptions (Wind)'!$V$13),PPMT('Assumptions (Wind)'!$V$10,Model!AE$1,'Assumptions (Wind)'!$V$13,'Assumptions (Wind)'!$V$8*Model!$I$677*AVERAGE('Assumptions (Wind)'!$F$2:$G$2)/10^9),0)</f>
        <v>0</v>
      </c>
      <c r="R740" s="160">
        <f>IF(and($I$677&gt;0,Model!AF$1&lt;='Assumptions (Wind)'!$V$13),PPMT('Assumptions (Wind)'!$V$10,Model!AF$1,'Assumptions (Wind)'!$V$13,'Assumptions (Wind)'!$V$8*Model!$I$677*AVERAGE('Assumptions (Wind)'!$F$2:$G$2)/10^9),0)</f>
        <v>0</v>
      </c>
      <c r="S740" s="160"/>
      <c r="T740" s="160"/>
      <c r="U740" s="160"/>
      <c r="V740" s="160"/>
      <c r="W740" s="160"/>
      <c r="X740" s="160"/>
      <c r="Y740" s="160"/>
      <c r="Z740" s="160"/>
      <c r="AA740" s="160"/>
      <c r="AB740" s="160"/>
      <c r="AC740" s="160"/>
      <c r="AD740" s="160"/>
      <c r="AE740" s="160"/>
      <c r="AF740" s="160"/>
      <c r="AG740" s="160"/>
      <c r="AU740" s="160"/>
      <c r="AV740" s="160"/>
      <c r="AW740" s="160"/>
      <c r="AX740" s="160"/>
      <c r="AY740" s="160"/>
      <c r="AZ740" s="160"/>
      <c r="BA740" s="160"/>
    </row>
    <row r="741" ht="15.75" hidden="1" customHeight="1" outlineLevel="1">
      <c r="A741" s="241"/>
      <c r="B741" s="38"/>
      <c r="C741" s="160"/>
      <c r="D741" s="160"/>
      <c r="E741" s="160"/>
      <c r="F741" s="160"/>
      <c r="G741" s="160"/>
      <c r="H741" s="160"/>
      <c r="I741" s="160"/>
      <c r="J741" s="160">
        <f>IF(and($J$677&gt;0,Model!W$1&lt;='Assumptions (Wind)'!$V$13),PPMT('Assumptions (Wind)'!$V$10,Model!W$1,'Assumptions (Wind)'!$V$13,'Assumptions (Wind)'!$V$8*Model!$J$677*AVERAGE('Assumptions (Wind)'!$G$2:$H$2)/10^9),0)</f>
        <v>0</v>
      </c>
      <c r="K741" s="160">
        <f>IF(and($J$677&gt;0,Model!X$1&lt;='Assumptions (Wind)'!$V$13),PPMT('Assumptions (Wind)'!$V$10,Model!X$1,'Assumptions (Wind)'!$V$13,'Assumptions (Wind)'!$V$8*Model!$J$677*AVERAGE('Assumptions (Wind)'!$G$2:$H$2)/10^9),0)</f>
        <v>0</v>
      </c>
      <c r="L741" s="160">
        <f>IF(and($J$677&gt;0,Model!Y$1&lt;='Assumptions (Wind)'!$V$13),PPMT('Assumptions (Wind)'!$V$10,Model!Y$1,'Assumptions (Wind)'!$V$13,'Assumptions (Wind)'!$V$8*Model!$J$677*AVERAGE('Assumptions (Wind)'!$G$2:$H$2)/10^9),0)</f>
        <v>0</v>
      </c>
      <c r="M741" s="160">
        <f>IF(and($J$677&gt;0,Model!Z$1&lt;='Assumptions (Wind)'!$V$13),PPMT('Assumptions (Wind)'!$V$10,Model!Z$1,'Assumptions (Wind)'!$V$13,'Assumptions (Wind)'!$V$8*Model!$J$677*AVERAGE('Assumptions (Wind)'!$G$2:$H$2)/10^9),0)</f>
        <v>0</v>
      </c>
      <c r="N741" s="160">
        <f>IF(and($J$677&gt;0,Model!AA$1&lt;='Assumptions (Wind)'!$V$13),PPMT('Assumptions (Wind)'!$V$10,Model!AA$1,'Assumptions (Wind)'!$V$13,'Assumptions (Wind)'!$V$8*Model!$J$677*AVERAGE('Assumptions (Wind)'!$G$2:$H$2)/10^9),0)</f>
        <v>0</v>
      </c>
      <c r="O741" s="160">
        <f>IF(and($J$677&gt;0,Model!AB$1&lt;='Assumptions (Wind)'!$V$13),PPMT('Assumptions (Wind)'!$V$10,Model!AB$1,'Assumptions (Wind)'!$V$13,'Assumptions (Wind)'!$V$8*Model!$J$677*AVERAGE('Assumptions (Wind)'!$G$2:$H$2)/10^9),0)</f>
        <v>0</v>
      </c>
      <c r="P741" s="160">
        <f>IF(and($J$677&gt;0,Model!AC$1&lt;='Assumptions (Wind)'!$V$13),PPMT('Assumptions (Wind)'!$V$10,Model!AC$1,'Assumptions (Wind)'!$V$13,'Assumptions (Wind)'!$V$8*Model!$J$677*AVERAGE('Assumptions (Wind)'!$G$2:$H$2)/10^9),0)</f>
        <v>0</v>
      </c>
      <c r="Q741" s="160">
        <f>IF(and($J$677&gt;0,Model!AD$1&lt;='Assumptions (Wind)'!$V$13),PPMT('Assumptions (Wind)'!$V$10,Model!AD$1,'Assumptions (Wind)'!$V$13,'Assumptions (Wind)'!$V$8*Model!$J$677*AVERAGE('Assumptions (Wind)'!$G$2:$H$2)/10^9),0)</f>
        <v>0</v>
      </c>
      <c r="R741" s="160">
        <f>IF(and($J$677&gt;0,Model!AE$1&lt;='Assumptions (Wind)'!$V$13),PPMT('Assumptions (Wind)'!$V$10,Model!AE$1,'Assumptions (Wind)'!$V$13,'Assumptions (Wind)'!$V$8*Model!$J$677*AVERAGE('Assumptions (Wind)'!$G$2:$H$2)/10^9),0)</f>
        <v>0</v>
      </c>
      <c r="S741" s="160">
        <f>IF(and($J$677&gt;0,Model!AF$1&lt;='Assumptions (Wind)'!$V$13),PPMT('Assumptions (Wind)'!$V$10,Model!AF$1,'Assumptions (Wind)'!$V$13,'Assumptions (Wind)'!$V$8*Model!$J$677*AVERAGE('Assumptions (Wind)'!$G$2:$H$2)/10^9),0)</f>
        <v>0</v>
      </c>
      <c r="T741" s="160"/>
      <c r="U741" s="160"/>
      <c r="V741" s="160"/>
      <c r="W741" s="160"/>
      <c r="X741" s="160"/>
      <c r="Y741" s="160"/>
      <c r="Z741" s="160"/>
      <c r="AA741" s="160"/>
      <c r="AB741" s="160"/>
      <c r="AC741" s="160"/>
      <c r="AD741" s="160"/>
      <c r="AE741" s="160"/>
      <c r="AF741" s="160"/>
      <c r="AG741" s="160"/>
      <c r="AH741" s="160"/>
      <c r="AU741" s="160"/>
      <c r="AV741" s="160"/>
      <c r="AW741" s="160"/>
      <c r="AX741" s="160"/>
      <c r="AY741" s="160"/>
      <c r="AZ741" s="160"/>
      <c r="BA741" s="160"/>
    </row>
    <row r="742" ht="15.75" hidden="1" customHeight="1" outlineLevel="1">
      <c r="A742" s="241"/>
      <c r="B742" s="38"/>
      <c r="C742" s="160"/>
      <c r="D742" s="160"/>
      <c r="E742" s="160"/>
      <c r="F742" s="160"/>
      <c r="G742" s="160"/>
      <c r="H742" s="160"/>
      <c r="I742" s="160"/>
      <c r="J742" s="160"/>
      <c r="K742" s="160">
        <f>IF(and($K$677&gt;0,Model!W$1&lt;='Assumptions (Wind)'!$V$13),PPMT('Assumptions (Wind)'!$V$10,Model!W$1,'Assumptions (Wind)'!$V$13,'Assumptions (Wind)'!$V$8*Model!$K$677*AVERAGE('Assumptions (Wind)'!$H$2:$I$2)/10^9),0)</f>
        <v>0</v>
      </c>
      <c r="L742" s="160">
        <f>IF(and($K$677&gt;0,Model!X$1&lt;='Assumptions (Wind)'!$V$13),PPMT('Assumptions (Wind)'!$V$10,Model!X$1,'Assumptions (Wind)'!$V$13,'Assumptions (Wind)'!$V$8*Model!$K$677*AVERAGE('Assumptions (Wind)'!$H$2:$I$2)/10^9),0)</f>
        <v>0</v>
      </c>
      <c r="M742" s="160">
        <f>IF(and($K$677&gt;0,Model!Y$1&lt;='Assumptions (Wind)'!$V$13),PPMT('Assumptions (Wind)'!$V$10,Model!Y$1,'Assumptions (Wind)'!$V$13,'Assumptions (Wind)'!$V$8*Model!$K$677*AVERAGE('Assumptions (Wind)'!$H$2:$I$2)/10^9),0)</f>
        <v>0</v>
      </c>
      <c r="N742" s="160">
        <f>IF(and($K$677&gt;0,Model!Z$1&lt;='Assumptions (Wind)'!$V$13),PPMT('Assumptions (Wind)'!$V$10,Model!Z$1,'Assumptions (Wind)'!$V$13,'Assumptions (Wind)'!$V$8*Model!$K$677*AVERAGE('Assumptions (Wind)'!$H$2:$I$2)/10^9),0)</f>
        <v>0</v>
      </c>
      <c r="O742" s="160">
        <f>IF(and($K$677&gt;0,Model!AA$1&lt;='Assumptions (Wind)'!$V$13),PPMT('Assumptions (Wind)'!$V$10,Model!AA$1,'Assumptions (Wind)'!$V$13,'Assumptions (Wind)'!$V$8*Model!$K$677*AVERAGE('Assumptions (Wind)'!$H$2:$I$2)/10^9),0)</f>
        <v>0</v>
      </c>
      <c r="P742" s="160">
        <f>IF(and($K$677&gt;0,Model!AB$1&lt;='Assumptions (Wind)'!$V$13),PPMT('Assumptions (Wind)'!$V$10,Model!AB$1,'Assumptions (Wind)'!$V$13,'Assumptions (Wind)'!$V$8*Model!$K$677*AVERAGE('Assumptions (Wind)'!$H$2:$I$2)/10^9),0)</f>
        <v>0</v>
      </c>
      <c r="Q742" s="160">
        <f>IF(and($K$677&gt;0,Model!AC$1&lt;='Assumptions (Wind)'!$V$13),PPMT('Assumptions (Wind)'!$V$10,Model!AC$1,'Assumptions (Wind)'!$V$13,'Assumptions (Wind)'!$V$8*Model!$K$677*AVERAGE('Assumptions (Wind)'!$H$2:$I$2)/10^9),0)</f>
        <v>0</v>
      </c>
      <c r="R742" s="160">
        <f>IF(and($K$677&gt;0,Model!AD$1&lt;='Assumptions (Wind)'!$V$13),PPMT('Assumptions (Wind)'!$V$10,Model!AD$1,'Assumptions (Wind)'!$V$13,'Assumptions (Wind)'!$V$8*Model!$K$677*AVERAGE('Assumptions (Wind)'!$H$2:$I$2)/10^9),0)</f>
        <v>0</v>
      </c>
      <c r="S742" s="160">
        <f>IF(and($K$677&gt;0,Model!AE$1&lt;='Assumptions (Wind)'!$V$13),PPMT('Assumptions (Wind)'!$V$10,Model!AE$1,'Assumptions (Wind)'!$V$13,'Assumptions (Wind)'!$V$8*Model!$K$677*AVERAGE('Assumptions (Wind)'!$H$2:$I$2)/10^9),0)</f>
        <v>0</v>
      </c>
      <c r="T742" s="160">
        <f>IF(and($K$677&gt;0,Model!AF$1&lt;='Assumptions (Wind)'!$V$13),PPMT('Assumptions (Wind)'!$V$10,Model!AF$1,'Assumptions (Wind)'!$V$13,'Assumptions (Wind)'!$V$8*Model!$K$677*AVERAGE('Assumptions (Wind)'!$H$2:$I$2)/10^9),0)</f>
        <v>0</v>
      </c>
      <c r="U742" s="160"/>
      <c r="V742" s="160"/>
      <c r="W742" s="160"/>
      <c r="X742" s="160"/>
      <c r="Y742" s="160"/>
      <c r="Z742" s="160"/>
      <c r="AA742" s="160"/>
      <c r="AB742" s="160"/>
      <c r="AC742" s="160"/>
      <c r="AD742" s="160"/>
      <c r="AE742" s="160"/>
      <c r="AF742" s="160"/>
      <c r="AG742" s="160"/>
      <c r="AH742" s="160"/>
      <c r="AI742" s="160"/>
      <c r="AU742" s="160"/>
      <c r="AV742" s="160"/>
      <c r="AW742" s="160"/>
      <c r="AX742" s="160"/>
      <c r="AY742" s="160"/>
      <c r="AZ742" s="160"/>
      <c r="BA742" s="160"/>
    </row>
    <row r="743" ht="15.75" hidden="1" customHeight="1" outlineLevel="1">
      <c r="A743" s="241"/>
      <c r="B743" s="38"/>
      <c r="C743" s="160"/>
      <c r="D743" s="160"/>
      <c r="E743" s="160"/>
      <c r="F743" s="160"/>
      <c r="G743" s="160"/>
      <c r="H743" s="160"/>
      <c r="I743" s="160"/>
      <c r="J743" s="160"/>
      <c r="K743" s="160"/>
      <c r="L743" s="160">
        <f>IF(and($L$677&gt;0,Model!W$1&lt;='Assumptions (Wind)'!$V$13),PPMT('Assumptions (Wind)'!$V$10,Model!W$1,'Assumptions (Wind)'!$V$13,'Assumptions (Wind)'!$V$8*Model!$L$677*AVERAGE('Assumptions (Wind)'!$I$2:$J$2)/10^9),0)</f>
        <v>0</v>
      </c>
      <c r="M743" s="160">
        <f>IF(and($L$677&gt;0,Model!X$1&lt;='Assumptions (Wind)'!$V$13),PPMT('Assumptions (Wind)'!$V$10,Model!X$1,'Assumptions (Wind)'!$V$13,'Assumptions (Wind)'!$V$8*Model!$L$677*AVERAGE('Assumptions (Wind)'!$I$2:$J$2)/10^9),0)</f>
        <v>0</v>
      </c>
      <c r="N743" s="160">
        <f>IF(and($L$677&gt;0,Model!Y$1&lt;='Assumptions (Wind)'!$V$13),PPMT('Assumptions (Wind)'!$V$10,Model!Y$1,'Assumptions (Wind)'!$V$13,'Assumptions (Wind)'!$V$8*Model!$L$677*AVERAGE('Assumptions (Wind)'!$I$2:$J$2)/10^9),0)</f>
        <v>0</v>
      </c>
      <c r="O743" s="160">
        <f>IF(and($L$677&gt;0,Model!Z$1&lt;='Assumptions (Wind)'!$V$13),PPMT('Assumptions (Wind)'!$V$10,Model!Z$1,'Assumptions (Wind)'!$V$13,'Assumptions (Wind)'!$V$8*Model!$L$677*AVERAGE('Assumptions (Wind)'!$I$2:$J$2)/10^9),0)</f>
        <v>0</v>
      </c>
      <c r="P743" s="160">
        <f>IF(and($L$677&gt;0,Model!AA$1&lt;='Assumptions (Wind)'!$V$13),PPMT('Assumptions (Wind)'!$V$10,Model!AA$1,'Assumptions (Wind)'!$V$13,'Assumptions (Wind)'!$V$8*Model!$L$677*AVERAGE('Assumptions (Wind)'!$I$2:$J$2)/10^9),0)</f>
        <v>0</v>
      </c>
      <c r="Q743" s="160">
        <f>IF(and($L$677&gt;0,Model!AB$1&lt;='Assumptions (Wind)'!$V$13),PPMT('Assumptions (Wind)'!$V$10,Model!AB$1,'Assumptions (Wind)'!$V$13,'Assumptions (Wind)'!$V$8*Model!$L$677*AVERAGE('Assumptions (Wind)'!$I$2:$J$2)/10^9),0)</f>
        <v>0</v>
      </c>
      <c r="R743" s="160">
        <f>IF(and($L$677&gt;0,Model!AC$1&lt;='Assumptions (Wind)'!$V$13),PPMT('Assumptions (Wind)'!$V$10,Model!AC$1,'Assumptions (Wind)'!$V$13,'Assumptions (Wind)'!$V$8*Model!$L$677*AVERAGE('Assumptions (Wind)'!$I$2:$J$2)/10^9),0)</f>
        <v>0</v>
      </c>
      <c r="S743" s="160">
        <f>IF(and($L$677&gt;0,Model!AD$1&lt;='Assumptions (Wind)'!$V$13),PPMT('Assumptions (Wind)'!$V$10,Model!AD$1,'Assumptions (Wind)'!$V$13,'Assumptions (Wind)'!$V$8*Model!$L$677*AVERAGE('Assumptions (Wind)'!$I$2:$J$2)/10^9),0)</f>
        <v>0</v>
      </c>
      <c r="T743" s="160">
        <f>IF(and($L$677&gt;0,Model!AE$1&lt;='Assumptions (Wind)'!$V$13),PPMT('Assumptions (Wind)'!$V$10,Model!AE$1,'Assumptions (Wind)'!$V$13,'Assumptions (Wind)'!$V$8*Model!$L$677*AVERAGE('Assumptions (Wind)'!$I$2:$J$2)/10^9),0)</f>
        <v>0</v>
      </c>
      <c r="U743" s="160">
        <f>IF(and($L$677&gt;0,Model!AF$1&lt;='Assumptions (Wind)'!$V$13),PPMT('Assumptions (Wind)'!$V$10,Model!AF$1,'Assumptions (Wind)'!$V$13,'Assumptions (Wind)'!$V$8*Model!$L$677*AVERAGE('Assumptions (Wind)'!$I$2:$J$2)/10^9),0)</f>
        <v>0</v>
      </c>
      <c r="V743" s="160"/>
      <c r="W743" s="160"/>
      <c r="X743" s="160"/>
      <c r="Y743" s="160"/>
      <c r="Z743" s="160"/>
      <c r="AA743" s="160"/>
      <c r="AB743" s="160"/>
      <c r="AC743" s="160"/>
      <c r="AD743" s="160"/>
      <c r="AE743" s="160"/>
      <c r="AF743" s="160"/>
      <c r="AG743" s="160"/>
      <c r="AH743" s="160"/>
      <c r="AI743" s="160"/>
      <c r="AJ743" s="160"/>
      <c r="AU743" s="160"/>
      <c r="AV743" s="160"/>
      <c r="AW743" s="160"/>
      <c r="AX743" s="160"/>
      <c r="AY743" s="160"/>
      <c r="AZ743" s="160"/>
      <c r="BA743" s="160"/>
    </row>
    <row r="744" ht="15.75" hidden="1" customHeight="1" outlineLevel="1">
      <c r="A744" s="241"/>
      <c r="B744" s="38"/>
      <c r="C744" s="160"/>
      <c r="D744" s="160"/>
      <c r="E744" s="160"/>
      <c r="F744" s="160"/>
      <c r="G744" s="160"/>
      <c r="H744" s="160"/>
      <c r="I744" s="160"/>
      <c r="J744" s="160"/>
      <c r="K744" s="160"/>
      <c r="L744" s="160"/>
      <c r="M744" s="160">
        <f>IF(and($M$677&gt;0,Model!W$1&lt;='Assumptions (Wind)'!$V$13),PPMT('Assumptions (Wind)'!$V$10,Model!W$1,'Assumptions (Wind)'!$V$13,'Assumptions (Wind)'!$V$8*Model!$M$677*AVERAGE('Assumptions (Wind)'!$J$2:$K$2)/10^9),0)</f>
        <v>0</v>
      </c>
      <c r="N744" s="160">
        <f>IF(and($M$677&gt;0,Model!X$1&lt;='Assumptions (Wind)'!$V$13),PPMT('Assumptions (Wind)'!$V$10,Model!X$1,'Assumptions (Wind)'!$V$13,'Assumptions (Wind)'!$V$8*Model!$M$677*AVERAGE('Assumptions (Wind)'!$J$2:$K$2)/10^9),0)</f>
        <v>0</v>
      </c>
      <c r="O744" s="160">
        <f>IF(and($M$677&gt;0,Model!Y$1&lt;='Assumptions (Wind)'!$V$13),PPMT('Assumptions (Wind)'!$V$10,Model!Y$1,'Assumptions (Wind)'!$V$13,'Assumptions (Wind)'!$V$8*Model!$M$677*AVERAGE('Assumptions (Wind)'!$J$2:$K$2)/10^9),0)</f>
        <v>0</v>
      </c>
      <c r="P744" s="160">
        <f>IF(and($M$677&gt;0,Model!Z$1&lt;='Assumptions (Wind)'!$V$13),PPMT('Assumptions (Wind)'!$V$10,Model!Z$1,'Assumptions (Wind)'!$V$13,'Assumptions (Wind)'!$V$8*Model!$M$677*AVERAGE('Assumptions (Wind)'!$J$2:$K$2)/10^9),0)</f>
        <v>0</v>
      </c>
      <c r="Q744" s="160">
        <f>IF(and($M$677&gt;0,Model!AA$1&lt;='Assumptions (Wind)'!$V$13),PPMT('Assumptions (Wind)'!$V$10,Model!AA$1,'Assumptions (Wind)'!$V$13,'Assumptions (Wind)'!$V$8*Model!$M$677*AVERAGE('Assumptions (Wind)'!$J$2:$K$2)/10^9),0)</f>
        <v>0</v>
      </c>
      <c r="R744" s="160">
        <f>IF(and($M$677&gt;0,Model!AB$1&lt;='Assumptions (Wind)'!$V$13),PPMT('Assumptions (Wind)'!$V$10,Model!AB$1,'Assumptions (Wind)'!$V$13,'Assumptions (Wind)'!$V$8*Model!$M$677*AVERAGE('Assumptions (Wind)'!$J$2:$K$2)/10^9),0)</f>
        <v>0</v>
      </c>
      <c r="S744" s="160">
        <f>IF(and($M$677&gt;0,Model!AC$1&lt;='Assumptions (Wind)'!$V$13),PPMT('Assumptions (Wind)'!$V$10,Model!AC$1,'Assumptions (Wind)'!$V$13,'Assumptions (Wind)'!$V$8*Model!$M$677*AVERAGE('Assumptions (Wind)'!$J$2:$K$2)/10^9),0)</f>
        <v>0</v>
      </c>
      <c r="T744" s="160">
        <f>IF(and($M$677&gt;0,Model!AD$1&lt;='Assumptions (Wind)'!$V$13),PPMT('Assumptions (Wind)'!$V$10,Model!AD$1,'Assumptions (Wind)'!$V$13,'Assumptions (Wind)'!$V$8*Model!$M$677*AVERAGE('Assumptions (Wind)'!$J$2:$K$2)/10^9),0)</f>
        <v>0</v>
      </c>
      <c r="U744" s="160">
        <f>IF(and($M$677&gt;0,Model!AE$1&lt;='Assumptions (Wind)'!$V$13),PPMT('Assumptions (Wind)'!$V$10,Model!AE$1,'Assumptions (Wind)'!$V$13,'Assumptions (Wind)'!$V$8*Model!$M$677*AVERAGE('Assumptions (Wind)'!$J$2:$K$2)/10^9),0)</f>
        <v>0</v>
      </c>
      <c r="V744" s="160">
        <f>IF(and($M$677&gt;0,Model!AF$1&lt;='Assumptions (Wind)'!$V$13),PPMT('Assumptions (Wind)'!$V$10,Model!AF$1,'Assumptions (Wind)'!$V$13,'Assumptions (Wind)'!$V$8*Model!$M$677*AVERAGE('Assumptions (Wind)'!$J$2:$K$2)/10^9),0)</f>
        <v>0</v>
      </c>
      <c r="W744" s="160"/>
      <c r="X744" s="160"/>
      <c r="Y744" s="160"/>
      <c r="Z744" s="160"/>
      <c r="AA744" s="160"/>
      <c r="AB744" s="160"/>
      <c r="AC744" s="160"/>
      <c r="AD744" s="160"/>
      <c r="AE744" s="160"/>
      <c r="AF744" s="160"/>
      <c r="AG744" s="160"/>
      <c r="AH744" s="160"/>
      <c r="AI744" s="160"/>
      <c r="AJ744" s="160"/>
      <c r="AK744" s="160"/>
      <c r="AU744" s="160"/>
      <c r="AV744" s="160"/>
      <c r="AW744" s="160"/>
      <c r="AX744" s="160"/>
      <c r="AY744" s="160"/>
      <c r="AZ744" s="160"/>
      <c r="BA744" s="160"/>
    </row>
    <row r="745" ht="15.75" hidden="1" customHeight="1" outlineLevel="1">
      <c r="A745" s="241"/>
      <c r="B745" s="38"/>
      <c r="C745" s="160"/>
      <c r="D745" s="160"/>
      <c r="E745" s="160"/>
      <c r="F745" s="160"/>
      <c r="G745" s="160"/>
      <c r="H745" s="160"/>
      <c r="I745" s="160"/>
      <c r="J745" s="160"/>
      <c r="K745" s="160"/>
      <c r="L745" s="160"/>
      <c r="M745" s="160"/>
      <c r="N745" s="177">
        <f>IF(and($N$677&gt;0,Model!W$1&lt;='Assumptions (Wind)'!$V$13),PPMT('Assumptions (Wind)'!$V$10,Model!W$1,'Assumptions (Wind)'!$V$13,'Assumptions (Wind)'!$V$8*Model!$N$677*AVERAGE('Assumptions (Wind)'!$K$2:$L$2)/10^9),0)</f>
        <v>0</v>
      </c>
      <c r="O745" s="177">
        <f>IF(and($N$677&gt;0,Model!X$1&lt;='Assumptions (Wind)'!$V$13),PPMT('Assumptions (Wind)'!$V$10,Model!X$1,'Assumptions (Wind)'!$V$13,'Assumptions (Wind)'!$V$8*Model!$N$677*AVERAGE('Assumptions (Wind)'!$K$2:$L$2)/10^9),0)</f>
        <v>0</v>
      </c>
      <c r="P745" s="177">
        <f>IF(and($N$677&gt;0,Model!Y$1&lt;='Assumptions (Wind)'!$V$13),PPMT('Assumptions (Wind)'!$V$10,Model!Y$1,'Assumptions (Wind)'!$V$13,'Assumptions (Wind)'!$V$8*Model!$N$677*AVERAGE('Assumptions (Wind)'!$K$2:$L$2)/10^9),0)</f>
        <v>0</v>
      </c>
      <c r="Q745" s="177">
        <f>IF(and($N$677&gt;0,Model!Z$1&lt;='Assumptions (Wind)'!$V$13),PPMT('Assumptions (Wind)'!$V$10,Model!Z$1,'Assumptions (Wind)'!$V$13,'Assumptions (Wind)'!$V$8*Model!$N$677*AVERAGE('Assumptions (Wind)'!$K$2:$L$2)/10^9),0)</f>
        <v>0</v>
      </c>
      <c r="R745" s="177">
        <f>IF(and($N$677&gt;0,Model!AA$1&lt;='Assumptions (Wind)'!$V$13),PPMT('Assumptions (Wind)'!$V$10,Model!AA$1,'Assumptions (Wind)'!$V$13,'Assumptions (Wind)'!$V$8*Model!$N$677*AVERAGE('Assumptions (Wind)'!$K$2:$L$2)/10^9),0)</f>
        <v>0</v>
      </c>
      <c r="S745" s="177">
        <f>IF(and($N$677&gt;0,Model!AB$1&lt;='Assumptions (Wind)'!$V$13),PPMT('Assumptions (Wind)'!$V$10,Model!AB$1,'Assumptions (Wind)'!$V$13,'Assumptions (Wind)'!$V$8*Model!$N$677*AVERAGE('Assumptions (Wind)'!$K$2:$L$2)/10^9),0)</f>
        <v>0</v>
      </c>
      <c r="T745" s="177">
        <f>IF(and($N$677&gt;0,Model!AC$1&lt;='Assumptions (Wind)'!$V$13),PPMT('Assumptions (Wind)'!$V$10,Model!AC$1,'Assumptions (Wind)'!$V$13,'Assumptions (Wind)'!$V$8*Model!$N$677*AVERAGE('Assumptions (Wind)'!$K$2:$L$2)/10^9),0)</f>
        <v>0</v>
      </c>
      <c r="U745" s="177">
        <f>IF(and($N$677&gt;0,Model!AD$1&lt;='Assumptions (Wind)'!$V$13),PPMT('Assumptions (Wind)'!$V$10,Model!AD$1,'Assumptions (Wind)'!$V$13,'Assumptions (Wind)'!$V$8*Model!$N$677*AVERAGE('Assumptions (Wind)'!$K$2:$L$2)/10^9),0)</f>
        <v>0</v>
      </c>
      <c r="V745" s="177">
        <f>IF(and($N$677&gt;0,Model!AE$1&lt;='Assumptions (Wind)'!$V$13),PPMT('Assumptions (Wind)'!$V$10,Model!AE$1,'Assumptions (Wind)'!$V$13,'Assumptions (Wind)'!$V$8*Model!$N$677*AVERAGE('Assumptions (Wind)'!$K$2:$L$2)/10^9),0)</f>
        <v>0</v>
      </c>
      <c r="W745" s="177">
        <f>IF(and($N$677&gt;0,Model!AF$1&lt;='Assumptions (Wind)'!$V$13),PPMT('Assumptions (Wind)'!$V$10,Model!AF$1,'Assumptions (Wind)'!$V$13,'Assumptions (Wind)'!$V$8*Model!$N$677*AVERAGE('Assumptions (Wind)'!$K$2:$L$2)/10^9),0)</f>
        <v>0</v>
      </c>
      <c r="X745" s="177"/>
      <c r="Y745" s="177"/>
      <c r="Z745" s="177"/>
      <c r="AA745" s="177"/>
      <c r="AB745" s="177"/>
      <c r="AC745" s="177"/>
      <c r="AD745" s="177"/>
      <c r="AE745" s="177"/>
      <c r="AF745" s="177"/>
      <c r="AG745" s="177"/>
      <c r="AH745" s="177"/>
      <c r="AI745" s="177"/>
      <c r="AJ745" s="177"/>
      <c r="AK745" s="177"/>
      <c r="AL745" s="177"/>
      <c r="AU745" s="160"/>
      <c r="AV745" s="160"/>
      <c r="AW745" s="160"/>
      <c r="AX745" s="160"/>
      <c r="AY745" s="160"/>
      <c r="AZ745" s="160"/>
      <c r="BA745" s="160"/>
    </row>
    <row r="746" ht="15.75" hidden="1" customHeight="1" outlineLevel="1">
      <c r="A746" s="241"/>
      <c r="B746" s="38"/>
      <c r="C746" s="160"/>
      <c r="D746" s="160"/>
      <c r="E746" s="160"/>
      <c r="F746" s="160"/>
      <c r="G746" s="160"/>
      <c r="H746" s="160"/>
      <c r="I746" s="160"/>
      <c r="J746" s="160"/>
      <c r="K746" s="160"/>
      <c r="L746" s="160"/>
      <c r="M746" s="160"/>
      <c r="N746" s="160"/>
      <c r="O746" s="160">
        <f>IF(and($O$677&gt;0,Model!W$1&lt;='Assumptions (Wind)'!$V$13),PPMT('Assumptions (Wind)'!$V$10,Model!W$1,'Assumptions (Wind)'!$V$13,'Assumptions (Wind)'!$V$8*Model!$O$677*AVERAGE('Assumptions (Wind)'!$L$2:$M$2)/10^9),0)</f>
        <v>0</v>
      </c>
      <c r="P746" s="160">
        <f>IF(and($O$677&gt;0,Model!X$1&lt;='Assumptions (Wind)'!$V$13),PPMT('Assumptions (Wind)'!$V$10,Model!X$1,'Assumptions (Wind)'!$V$13,'Assumptions (Wind)'!$V$8*Model!$O$677*AVERAGE('Assumptions (Wind)'!$L$2:$M$2)/10^9),0)</f>
        <v>0</v>
      </c>
      <c r="Q746" s="160">
        <f>IF(and($O$677&gt;0,Model!Y$1&lt;='Assumptions (Wind)'!$V$13),PPMT('Assumptions (Wind)'!$V$10,Model!Y$1,'Assumptions (Wind)'!$V$13,'Assumptions (Wind)'!$V$8*Model!$O$677*AVERAGE('Assumptions (Wind)'!$L$2:$M$2)/10^9),0)</f>
        <v>0</v>
      </c>
      <c r="R746" s="160">
        <f>IF(and($O$677&gt;0,Model!Z$1&lt;='Assumptions (Wind)'!$V$13),PPMT('Assumptions (Wind)'!$V$10,Model!Z$1,'Assumptions (Wind)'!$V$13,'Assumptions (Wind)'!$V$8*Model!$O$677*AVERAGE('Assumptions (Wind)'!$L$2:$M$2)/10^9),0)</f>
        <v>0</v>
      </c>
      <c r="S746" s="160">
        <f>IF(and($O$677&gt;0,Model!AA$1&lt;='Assumptions (Wind)'!$V$13),PPMT('Assumptions (Wind)'!$V$10,Model!AA$1,'Assumptions (Wind)'!$V$13,'Assumptions (Wind)'!$V$8*Model!$O$677*AVERAGE('Assumptions (Wind)'!$L$2:$M$2)/10^9),0)</f>
        <v>0</v>
      </c>
      <c r="T746" s="160">
        <f>IF(and($O$677&gt;0,Model!AB$1&lt;='Assumptions (Wind)'!$V$13),PPMT('Assumptions (Wind)'!$V$10,Model!AB$1,'Assumptions (Wind)'!$V$13,'Assumptions (Wind)'!$V$8*Model!$O$677*AVERAGE('Assumptions (Wind)'!$L$2:$M$2)/10^9),0)</f>
        <v>0</v>
      </c>
      <c r="U746" s="160">
        <f>IF(and($O$677&gt;0,Model!AC$1&lt;='Assumptions (Wind)'!$V$13),PPMT('Assumptions (Wind)'!$V$10,Model!AC$1,'Assumptions (Wind)'!$V$13,'Assumptions (Wind)'!$V$8*Model!$O$677*AVERAGE('Assumptions (Wind)'!$L$2:$M$2)/10^9),0)</f>
        <v>0</v>
      </c>
      <c r="V746" s="160">
        <f>IF(and($O$677&gt;0,Model!AD$1&lt;='Assumptions (Wind)'!$V$13),PPMT('Assumptions (Wind)'!$V$10,Model!AD$1,'Assumptions (Wind)'!$V$13,'Assumptions (Wind)'!$V$8*Model!$O$677*AVERAGE('Assumptions (Wind)'!$L$2:$M$2)/10^9),0)</f>
        <v>0</v>
      </c>
      <c r="W746" s="160">
        <f>IF(and($O$677&gt;0,Model!AE$1&lt;='Assumptions (Wind)'!$V$13),PPMT('Assumptions (Wind)'!$V$10,Model!AE$1,'Assumptions (Wind)'!$V$13,'Assumptions (Wind)'!$V$8*Model!$O$677*AVERAGE('Assumptions (Wind)'!$L$2:$M$2)/10^9),0)</f>
        <v>0</v>
      </c>
      <c r="X746" s="160">
        <f>IF(and($O$677&gt;0,Model!AF$1&lt;='Assumptions (Wind)'!$V$13),PPMT('Assumptions (Wind)'!$V$10,Model!AF$1,'Assumptions (Wind)'!$V$13,'Assumptions (Wind)'!$V$8*Model!$O$677*AVERAGE('Assumptions (Wind)'!$L$2:$M$2)/10^9),0)</f>
        <v>0</v>
      </c>
      <c r="Y746" s="160"/>
      <c r="Z746" s="160"/>
      <c r="AA746" s="160"/>
      <c r="AB746" s="160"/>
      <c r="AC746" s="160"/>
      <c r="AD746" s="160"/>
      <c r="AE746" s="160"/>
      <c r="AF746" s="160"/>
      <c r="AG746" s="160"/>
      <c r="AH746" s="160"/>
      <c r="AI746" s="160"/>
      <c r="AJ746" s="160"/>
      <c r="AK746" s="160"/>
      <c r="AL746" s="160"/>
      <c r="AM746" s="160"/>
      <c r="AU746" s="160"/>
      <c r="AV746" s="160"/>
      <c r="AW746" s="160"/>
      <c r="AX746" s="160"/>
      <c r="AY746" s="160"/>
      <c r="AZ746" s="160"/>
      <c r="BA746" s="160"/>
    </row>
    <row r="747" ht="15.75" hidden="1" customHeight="1" outlineLevel="1">
      <c r="A747" s="241"/>
      <c r="B747" s="38"/>
      <c r="C747" s="160"/>
      <c r="D747" s="160"/>
      <c r="E747" s="160"/>
      <c r="F747" s="160"/>
      <c r="G747" s="160"/>
      <c r="H747" s="160"/>
      <c r="I747" s="160"/>
      <c r="J747" s="160"/>
      <c r="K747" s="160"/>
      <c r="L747" s="160"/>
      <c r="M747" s="160"/>
      <c r="N747" s="160"/>
      <c r="O747" s="160"/>
      <c r="P747" s="177">
        <f>IF(and($P$677&gt;0,Model!W$1&lt;='Assumptions (Wind)'!$V$13),PPMT('Assumptions (Wind)'!$V$10,Model!W$1,'Assumptions (Wind)'!$V$13,'Assumptions (Wind)'!$V$8*Model!$P$677*AVERAGE('Assumptions (Wind)'!$M$2:$N$2)/10^9),0)</f>
        <v>0</v>
      </c>
      <c r="Q747" s="177">
        <f>IF(and($P$677&gt;0,Model!X$1&lt;='Assumptions (Wind)'!$V$13),PPMT('Assumptions (Wind)'!$V$10,Model!X$1,'Assumptions (Wind)'!$V$13,'Assumptions (Wind)'!$V$8*Model!$P$677*AVERAGE('Assumptions (Wind)'!$M$2:$N$2)/10^9),0)</f>
        <v>0</v>
      </c>
      <c r="R747" s="177">
        <f>IF(and($P$677&gt;0,Model!Y$1&lt;='Assumptions (Wind)'!$V$13),PPMT('Assumptions (Wind)'!$V$10,Model!Y$1,'Assumptions (Wind)'!$V$13,'Assumptions (Wind)'!$V$8*Model!$P$677*AVERAGE('Assumptions (Wind)'!$M$2:$N$2)/10^9),0)</f>
        <v>0</v>
      </c>
      <c r="S747" s="177">
        <f>IF(and($P$677&gt;0,Model!Z$1&lt;='Assumptions (Wind)'!$V$13),PPMT('Assumptions (Wind)'!$V$10,Model!Z$1,'Assumptions (Wind)'!$V$13,'Assumptions (Wind)'!$V$8*Model!$P$677*AVERAGE('Assumptions (Wind)'!$M$2:$N$2)/10^9),0)</f>
        <v>0</v>
      </c>
      <c r="T747" s="177">
        <f>IF(and($P$677&gt;0,Model!AA$1&lt;='Assumptions (Wind)'!$V$13),PPMT('Assumptions (Wind)'!$V$10,Model!AA$1,'Assumptions (Wind)'!$V$13,'Assumptions (Wind)'!$V$8*Model!$P$677*AVERAGE('Assumptions (Wind)'!$M$2:$N$2)/10^9),0)</f>
        <v>0</v>
      </c>
      <c r="U747" s="177">
        <f>IF(and($P$677&gt;0,Model!AB$1&lt;='Assumptions (Wind)'!$V$13),PPMT('Assumptions (Wind)'!$V$10,Model!AB$1,'Assumptions (Wind)'!$V$13,'Assumptions (Wind)'!$V$8*Model!$P$677*AVERAGE('Assumptions (Wind)'!$M$2:$N$2)/10^9),0)</f>
        <v>0</v>
      </c>
      <c r="V747" s="177">
        <f>IF(and($P$677&gt;0,Model!AC$1&lt;='Assumptions (Wind)'!$V$13),PPMT('Assumptions (Wind)'!$V$10,Model!AC$1,'Assumptions (Wind)'!$V$13,'Assumptions (Wind)'!$V$8*Model!$P$677*AVERAGE('Assumptions (Wind)'!$M$2:$N$2)/10^9),0)</f>
        <v>0</v>
      </c>
      <c r="W747" s="177">
        <f>IF(and($P$677&gt;0,Model!AD$1&lt;='Assumptions (Wind)'!$V$13),PPMT('Assumptions (Wind)'!$V$10,Model!AD$1,'Assumptions (Wind)'!$V$13,'Assumptions (Wind)'!$V$8*Model!$P$677*AVERAGE('Assumptions (Wind)'!$M$2:$N$2)/10^9),0)</f>
        <v>0</v>
      </c>
      <c r="X747" s="177">
        <f>IF(and($P$677&gt;0,Model!AE$1&lt;='Assumptions (Wind)'!$V$13),PPMT('Assumptions (Wind)'!$V$10,Model!AE$1,'Assumptions (Wind)'!$V$13,'Assumptions (Wind)'!$V$8*Model!$P$677*AVERAGE('Assumptions (Wind)'!$M$2:$N$2)/10^9),0)</f>
        <v>0</v>
      </c>
      <c r="Y747" s="177">
        <f>IF(and($P$677&gt;0,Model!AF$1&lt;='Assumptions (Wind)'!$V$13),PPMT('Assumptions (Wind)'!$V$10,Model!AF$1,'Assumptions (Wind)'!$V$13,'Assumptions (Wind)'!$V$8*Model!$P$677*AVERAGE('Assumptions (Wind)'!$M$2:$N$2)/10^9),0)</f>
        <v>0</v>
      </c>
      <c r="Z747" s="177"/>
      <c r="AA747" s="177"/>
      <c r="AB747" s="177"/>
      <c r="AC747" s="177"/>
      <c r="AD747" s="177"/>
      <c r="AE747" s="177"/>
      <c r="AF747" s="177"/>
      <c r="AG747" s="177"/>
      <c r="AH747" s="177"/>
      <c r="AI747" s="177"/>
      <c r="AJ747" s="177"/>
      <c r="AK747" s="177"/>
      <c r="AL747" s="177"/>
      <c r="AM747" s="177"/>
      <c r="AN747" s="177"/>
      <c r="AU747" s="160"/>
      <c r="AV747" s="160"/>
      <c r="AW747" s="160"/>
      <c r="AX747" s="160"/>
      <c r="AY747" s="160"/>
      <c r="AZ747" s="160"/>
      <c r="BA747" s="160"/>
    </row>
    <row r="748" ht="15.75" hidden="1" customHeight="1" outlineLevel="1">
      <c r="A748" s="241"/>
      <c r="B748" s="38"/>
      <c r="C748" s="160"/>
      <c r="D748" s="160"/>
      <c r="E748" s="160"/>
      <c r="F748" s="160"/>
      <c r="G748" s="160"/>
      <c r="H748" s="160"/>
      <c r="I748" s="160"/>
      <c r="J748" s="160"/>
      <c r="K748" s="160"/>
      <c r="L748" s="160"/>
      <c r="M748" s="160"/>
      <c r="N748" s="160"/>
      <c r="O748" s="160"/>
      <c r="P748" s="179"/>
      <c r="Q748" s="160">
        <f>IF(and($Q$677&gt;0,Model!W$1&lt;='Assumptions (Wind)'!$V$13),PPMT('Assumptions (Wind)'!$V$10,Model!W$1,'Assumptions (Wind)'!$V$13,'Assumptions (Wind)'!$V$8*Model!$Q$677*AVERAGE('Assumptions (Wind)'!$N$2:$O$2)/10^9),0)</f>
        <v>0</v>
      </c>
      <c r="R748" s="160">
        <f>IF(and($Q$677&gt;0,Model!X$1&lt;='Assumptions (Wind)'!$V$13),PPMT('Assumptions (Wind)'!$V$10,Model!X$1,'Assumptions (Wind)'!$V$13,'Assumptions (Wind)'!$V$8*Model!$Q$677*AVERAGE('Assumptions (Wind)'!$N$2:$O$2)/10^9),0)</f>
        <v>0</v>
      </c>
      <c r="S748" s="160">
        <f>IF(and($Q$677&gt;0,Model!Y$1&lt;='Assumptions (Wind)'!$V$13),PPMT('Assumptions (Wind)'!$V$10,Model!Y$1,'Assumptions (Wind)'!$V$13,'Assumptions (Wind)'!$V$8*Model!$Q$677*AVERAGE('Assumptions (Wind)'!$N$2:$O$2)/10^9),0)</f>
        <v>0</v>
      </c>
      <c r="T748" s="160">
        <f>IF(and($Q$677&gt;0,Model!Z$1&lt;='Assumptions (Wind)'!$V$13),PPMT('Assumptions (Wind)'!$V$10,Model!Z$1,'Assumptions (Wind)'!$V$13,'Assumptions (Wind)'!$V$8*Model!$Q$677*AVERAGE('Assumptions (Wind)'!$N$2:$O$2)/10^9),0)</f>
        <v>0</v>
      </c>
      <c r="U748" s="160">
        <f>IF(and($Q$677&gt;0,Model!AA$1&lt;='Assumptions (Wind)'!$V$13),PPMT('Assumptions (Wind)'!$V$10,Model!AA$1,'Assumptions (Wind)'!$V$13,'Assumptions (Wind)'!$V$8*Model!$Q$677*AVERAGE('Assumptions (Wind)'!$N$2:$O$2)/10^9),0)</f>
        <v>0</v>
      </c>
      <c r="V748" s="160">
        <f>IF(and($Q$677&gt;0,Model!AB$1&lt;='Assumptions (Wind)'!$V$13),PPMT('Assumptions (Wind)'!$V$10,Model!AB$1,'Assumptions (Wind)'!$V$13,'Assumptions (Wind)'!$V$8*Model!$Q$677*AVERAGE('Assumptions (Wind)'!$N$2:$O$2)/10^9),0)</f>
        <v>0</v>
      </c>
      <c r="W748" s="160">
        <f>IF(and($Q$677&gt;0,Model!AC$1&lt;='Assumptions (Wind)'!$V$13),PPMT('Assumptions (Wind)'!$V$10,Model!AC$1,'Assumptions (Wind)'!$V$13,'Assumptions (Wind)'!$V$8*Model!$Q$677*AVERAGE('Assumptions (Wind)'!$N$2:$O$2)/10^9),0)</f>
        <v>0</v>
      </c>
      <c r="X748" s="160">
        <f>IF(and($Q$677&gt;0,Model!AD$1&lt;='Assumptions (Wind)'!$V$13),PPMT('Assumptions (Wind)'!$V$10,Model!AD$1,'Assumptions (Wind)'!$V$13,'Assumptions (Wind)'!$V$8*Model!$Q$677*AVERAGE('Assumptions (Wind)'!$N$2:$O$2)/10^9),0)</f>
        <v>0</v>
      </c>
      <c r="Y748" s="160">
        <f>IF(and($Q$677&gt;0,Model!AE$1&lt;='Assumptions (Wind)'!$V$13),PPMT('Assumptions (Wind)'!$V$10,Model!AE$1,'Assumptions (Wind)'!$V$13,'Assumptions (Wind)'!$V$8*Model!$Q$677*AVERAGE('Assumptions (Wind)'!$N$2:$O$2)/10^9),0)</f>
        <v>0</v>
      </c>
      <c r="Z748" s="160">
        <f>IF(and($Q$677&gt;0,Model!AF$1&lt;='Assumptions (Wind)'!$V$13),PPMT('Assumptions (Wind)'!$V$10,Model!AF$1,'Assumptions (Wind)'!$V$13,'Assumptions (Wind)'!$V$8*Model!$Q$677*AVERAGE('Assumptions (Wind)'!$N$2:$O$2)/10^9),0)</f>
        <v>0</v>
      </c>
      <c r="AA748" s="160"/>
      <c r="AB748" s="160"/>
      <c r="AC748" s="160"/>
      <c r="AD748" s="160"/>
      <c r="AE748" s="160"/>
      <c r="AF748" s="160"/>
      <c r="AG748" s="160"/>
      <c r="AH748" s="160"/>
      <c r="AI748" s="160"/>
      <c r="AJ748" s="160"/>
      <c r="AK748" s="160"/>
      <c r="AL748" s="160"/>
      <c r="AM748" s="160"/>
      <c r="AN748" s="160"/>
      <c r="AO748" s="160"/>
      <c r="AU748" s="160"/>
      <c r="AV748" s="160"/>
      <c r="AW748" s="160"/>
      <c r="AX748" s="160"/>
      <c r="AY748" s="160"/>
      <c r="AZ748" s="160"/>
      <c r="BA748" s="160"/>
    </row>
    <row r="749" ht="15.75" hidden="1" customHeight="1" outlineLevel="1">
      <c r="A749" s="241"/>
      <c r="B749" s="38"/>
      <c r="C749" s="160"/>
      <c r="D749" s="160"/>
      <c r="E749" s="160"/>
      <c r="F749" s="160"/>
      <c r="G749" s="160"/>
      <c r="H749" s="160"/>
      <c r="I749" s="160"/>
      <c r="J749" s="160"/>
      <c r="K749" s="160"/>
      <c r="L749" s="160"/>
      <c r="M749" s="160"/>
      <c r="N749" s="160"/>
      <c r="O749" s="160"/>
      <c r="P749" s="179"/>
      <c r="Q749" s="160"/>
      <c r="R749" s="177">
        <f>IF(and($R$677&gt;0,Model!W$1&lt;='Assumptions (Wind)'!$V$13),PPMT('Assumptions (Wind)'!$V$10,Model!W$1,'Assumptions (Wind)'!$V$13,'Assumptions (Wind)'!$V$8*Model!$R$677*AVERAGE('Assumptions (Wind)'!$O$2:$P$2)/10^9),0)</f>
        <v>0</v>
      </c>
      <c r="S749" s="177">
        <f>IF(and($R$677&gt;0,Model!X$1&lt;='Assumptions (Wind)'!$V$13),PPMT('Assumptions (Wind)'!$V$10,Model!X$1,'Assumptions (Wind)'!$V$13,'Assumptions (Wind)'!$V$8*Model!$R$677*AVERAGE('Assumptions (Wind)'!$O$2:$P$2)/10^9),0)</f>
        <v>0</v>
      </c>
      <c r="T749" s="177">
        <f>IF(and($R$677&gt;0,Model!Y$1&lt;='Assumptions (Wind)'!$V$13),PPMT('Assumptions (Wind)'!$V$10,Model!Y$1,'Assumptions (Wind)'!$V$13,'Assumptions (Wind)'!$V$8*Model!$R$677*AVERAGE('Assumptions (Wind)'!$O$2:$P$2)/10^9),0)</f>
        <v>0</v>
      </c>
      <c r="U749" s="177">
        <f>IF(and($R$677&gt;0,Model!Z$1&lt;='Assumptions (Wind)'!$V$13),PPMT('Assumptions (Wind)'!$V$10,Model!Z$1,'Assumptions (Wind)'!$V$13,'Assumptions (Wind)'!$V$8*Model!$R$677*AVERAGE('Assumptions (Wind)'!$O$2:$P$2)/10^9),0)</f>
        <v>0</v>
      </c>
      <c r="V749" s="177">
        <f>IF(and($R$677&gt;0,Model!AA$1&lt;='Assumptions (Wind)'!$V$13),PPMT('Assumptions (Wind)'!$V$10,Model!AA$1,'Assumptions (Wind)'!$V$13,'Assumptions (Wind)'!$V$8*Model!$R$677*AVERAGE('Assumptions (Wind)'!$O$2:$P$2)/10^9),0)</f>
        <v>0</v>
      </c>
      <c r="W749" s="177">
        <f>IF(and($R$677&gt;0,Model!AB$1&lt;='Assumptions (Wind)'!$V$13),PPMT('Assumptions (Wind)'!$V$10,Model!AB$1,'Assumptions (Wind)'!$V$13,'Assumptions (Wind)'!$V$8*Model!$R$677*AVERAGE('Assumptions (Wind)'!$O$2:$P$2)/10^9),0)</f>
        <v>0</v>
      </c>
      <c r="X749" s="177">
        <f>IF(and($R$677&gt;0,Model!AC$1&lt;='Assumptions (Wind)'!$V$13),PPMT('Assumptions (Wind)'!$V$10,Model!AC$1,'Assumptions (Wind)'!$V$13,'Assumptions (Wind)'!$V$8*Model!$R$677*AVERAGE('Assumptions (Wind)'!$O$2:$P$2)/10^9),0)</f>
        <v>0</v>
      </c>
      <c r="Y749" s="177">
        <f>IF(and($R$677&gt;0,Model!AD$1&lt;='Assumptions (Wind)'!$V$13),PPMT('Assumptions (Wind)'!$V$10,Model!AD$1,'Assumptions (Wind)'!$V$13,'Assumptions (Wind)'!$V$8*Model!$R$677*AVERAGE('Assumptions (Wind)'!$O$2:$P$2)/10^9),0)</f>
        <v>0</v>
      </c>
      <c r="Z749" s="177">
        <f>IF(and($R$677&gt;0,Model!AE$1&lt;='Assumptions (Wind)'!$V$13),PPMT('Assumptions (Wind)'!$V$10,Model!AE$1,'Assumptions (Wind)'!$V$13,'Assumptions (Wind)'!$V$8*Model!$R$677*AVERAGE('Assumptions (Wind)'!$O$2:$P$2)/10^9),0)</f>
        <v>0</v>
      </c>
      <c r="AA749" s="177">
        <f>IF(and($R$677&gt;0,Model!AF$1&lt;='Assumptions (Wind)'!$V$13),PPMT('Assumptions (Wind)'!$V$10,Model!AF$1,'Assumptions (Wind)'!$V$13,'Assumptions (Wind)'!$V$8*Model!$R$677*AVERAGE('Assumptions (Wind)'!$O$2:$P$2)/10^9),0)</f>
        <v>0</v>
      </c>
      <c r="AB749" s="177"/>
      <c r="AC749" s="177"/>
      <c r="AD749" s="177"/>
      <c r="AE749" s="177"/>
      <c r="AF749" s="177"/>
      <c r="AG749" s="177"/>
      <c r="AH749" s="177"/>
      <c r="AI749" s="177"/>
      <c r="AJ749" s="177"/>
      <c r="AK749" s="177"/>
      <c r="AL749" s="177"/>
      <c r="AM749" s="177"/>
      <c r="AN749" s="177"/>
      <c r="AO749" s="177"/>
      <c r="AP749" s="177"/>
      <c r="AU749" s="160"/>
      <c r="AV749" s="160"/>
      <c r="AW749" s="160"/>
      <c r="AX749" s="160"/>
      <c r="AY749" s="160"/>
      <c r="AZ749" s="160"/>
      <c r="BA749" s="160"/>
    </row>
    <row r="750" ht="15.75" hidden="1" customHeight="1" outlineLevel="1">
      <c r="A750" s="241"/>
      <c r="B750" s="38"/>
      <c r="C750" s="160"/>
      <c r="D750" s="160"/>
      <c r="E750" s="160"/>
      <c r="F750" s="160"/>
      <c r="G750" s="160"/>
      <c r="H750" s="160"/>
      <c r="I750" s="160"/>
      <c r="J750" s="160"/>
      <c r="K750" s="160"/>
      <c r="L750" s="160"/>
      <c r="M750" s="160"/>
      <c r="N750" s="160"/>
      <c r="O750" s="160"/>
      <c r="P750" s="179"/>
      <c r="Q750" s="160"/>
      <c r="R750" s="177"/>
      <c r="S750" s="160">
        <f>IF(and($S$677&gt;0,Model!W$1&lt;='Assumptions (Wind)'!$V$13),PPMT('Assumptions (Wind)'!$V$10,Model!W$1,'Assumptions (Wind)'!$V$13,'Assumptions (Wind)'!$V$8*Model!$S$677*AVERAGE('Assumptions (Wind)'!$P$2:$Q$2)/10^9),0)</f>
        <v>-0.01435028965</v>
      </c>
      <c r="T750" s="160">
        <f>IF(and($S$677&gt;0,Model!X$1&lt;='Assumptions (Wind)'!$V$13),PPMT('Assumptions (Wind)'!$V$10,Model!X$1,'Assumptions (Wind)'!$V$13,'Assumptions (Wind)'!$V$8*Model!$S$677*AVERAGE('Assumptions (Wind)'!$P$2:$Q$2)/10^9),0)</f>
        <v>-0.01549831282</v>
      </c>
      <c r="U750" s="160">
        <f>IF(and($S$677&gt;0,Model!Y$1&lt;='Assumptions (Wind)'!$V$13),PPMT('Assumptions (Wind)'!$V$10,Model!Y$1,'Assumptions (Wind)'!$V$13,'Assumptions (Wind)'!$V$8*Model!$S$677*AVERAGE('Assumptions (Wind)'!$P$2:$Q$2)/10^9),0)</f>
        <v>-0.01673817785</v>
      </c>
      <c r="V750" s="160">
        <f>IF(and($S$677&gt;0,Model!Z$1&lt;='Assumptions (Wind)'!$V$13),PPMT('Assumptions (Wind)'!$V$10,Model!Z$1,'Assumptions (Wind)'!$V$13,'Assumptions (Wind)'!$V$8*Model!$S$677*AVERAGE('Assumptions (Wind)'!$P$2:$Q$2)/10^9),0)</f>
        <v>-0.01807723208</v>
      </c>
      <c r="W750" s="160">
        <f>IF(and($S$677&gt;0,Model!AA$1&lt;='Assumptions (Wind)'!$V$13),PPMT('Assumptions (Wind)'!$V$10,Model!AA$1,'Assumptions (Wind)'!$V$13,'Assumptions (Wind)'!$V$8*Model!$S$677*AVERAGE('Assumptions (Wind)'!$P$2:$Q$2)/10^9),0)</f>
        <v>-0.01952341064</v>
      </c>
      <c r="X750" s="160">
        <f>IF(and($S$677&gt;0,Model!AB$1&lt;='Assumptions (Wind)'!$V$13),PPMT('Assumptions (Wind)'!$V$10,Model!AB$1,'Assumptions (Wind)'!$V$13,'Assumptions (Wind)'!$V$8*Model!$S$677*AVERAGE('Assumptions (Wind)'!$P$2:$Q$2)/10^9),0)</f>
        <v>-0.02108528349</v>
      </c>
      <c r="Y750" s="160">
        <f>IF(and($S$677&gt;0,Model!AC$1&lt;='Assumptions (Wind)'!$V$13),PPMT('Assumptions (Wind)'!$V$10,Model!AC$1,'Assumptions (Wind)'!$V$13,'Assumptions (Wind)'!$V$8*Model!$S$677*AVERAGE('Assumptions (Wind)'!$P$2:$Q$2)/10^9),0)</f>
        <v>-0.02277210617</v>
      </c>
      <c r="Z750" s="160">
        <f>IF(and($S$677&gt;0,Model!AD$1&lt;='Assumptions (Wind)'!$V$13),PPMT('Assumptions (Wind)'!$V$10,Model!AD$1,'Assumptions (Wind)'!$V$13,'Assumptions (Wind)'!$V$8*Model!$S$677*AVERAGE('Assumptions (Wind)'!$P$2:$Q$2)/10^9),0)</f>
        <v>-0.02459387467</v>
      </c>
      <c r="AA750" s="160">
        <f>IF(and($S$677&gt;0,Model!AE$1&lt;='Assumptions (Wind)'!$V$13),PPMT('Assumptions (Wind)'!$V$10,Model!AE$1,'Assumptions (Wind)'!$V$13,'Assumptions (Wind)'!$V$8*Model!$S$677*AVERAGE('Assumptions (Wind)'!$P$2:$Q$2)/10^9),0)</f>
        <v>-0.02656138464</v>
      </c>
      <c r="AB750" s="160">
        <f>IF(and($S$677&gt;0,Model!AF$1&lt;='Assumptions (Wind)'!$V$13),PPMT('Assumptions (Wind)'!$V$10,Model!AF$1,'Assumptions (Wind)'!$V$13,'Assumptions (Wind)'!$V$8*Model!$S$677*AVERAGE('Assumptions (Wind)'!$P$2:$Q$2)/10^9),0)</f>
        <v>-0.02868629541</v>
      </c>
      <c r="AC750" s="160"/>
      <c r="AD750" s="160"/>
      <c r="AE750" s="160"/>
      <c r="AF750" s="160"/>
      <c r="AG750" s="160"/>
      <c r="AH750" s="160"/>
      <c r="AI750" s="160"/>
      <c r="AJ750" s="160"/>
      <c r="AK750" s="160"/>
      <c r="AL750" s="160"/>
      <c r="AM750" s="160"/>
      <c r="AN750" s="160"/>
      <c r="AO750" s="160"/>
      <c r="AP750" s="160"/>
      <c r="AQ750" s="160"/>
      <c r="AU750" s="160"/>
      <c r="AV750" s="160"/>
      <c r="AW750" s="160"/>
      <c r="AX750" s="160"/>
      <c r="AY750" s="160"/>
      <c r="AZ750" s="160"/>
      <c r="BA750" s="160"/>
    </row>
    <row r="751" ht="15.75" hidden="1" customHeight="1" outlineLevel="1">
      <c r="A751" s="241"/>
      <c r="B751" s="38"/>
      <c r="C751" s="160"/>
      <c r="D751" s="160"/>
      <c r="E751" s="160"/>
      <c r="F751" s="160"/>
      <c r="G751" s="160"/>
      <c r="H751" s="160"/>
      <c r="I751" s="160"/>
      <c r="J751" s="160"/>
      <c r="K751" s="160"/>
      <c r="L751" s="160"/>
      <c r="M751" s="160"/>
      <c r="N751" s="160"/>
      <c r="O751" s="160"/>
      <c r="P751" s="179"/>
      <c r="Q751" s="160"/>
      <c r="R751" s="177"/>
      <c r="S751" s="177"/>
      <c r="T751" s="160">
        <f>IF(and($T$677&gt;0,Model!W$1&lt;='Assumptions (Wind)'!$V$13),PPMT('Assumptions (Wind)'!$V$10,Model!W$1,'Assumptions (Wind)'!$V$13,'Assumptions (Wind)'!$V$8*Model!$T$677*AVERAGE('Assumptions (Wind)'!$Q$2:$R$2)/10^9),0)</f>
        <v>0</v>
      </c>
      <c r="U751" s="160">
        <f>IF(and($T$677&gt;0,Model!X$1&lt;='Assumptions (Wind)'!$V$13),PPMT('Assumptions (Wind)'!$V$10,Model!X$1,'Assumptions (Wind)'!$V$13,'Assumptions (Wind)'!$V$8*Model!$T$677*AVERAGE('Assumptions (Wind)'!$Q$2:$R$2)/10^9),0)</f>
        <v>0</v>
      </c>
      <c r="V751" s="160">
        <f>IF(and($T$677&gt;0,Model!Y$1&lt;='Assumptions (Wind)'!$V$13),PPMT('Assumptions (Wind)'!$V$10,Model!Y$1,'Assumptions (Wind)'!$V$13,'Assumptions (Wind)'!$V$8*Model!$T$677*AVERAGE('Assumptions (Wind)'!$Q$2:$R$2)/10^9),0)</f>
        <v>0</v>
      </c>
      <c r="W751" s="160">
        <f>IF(and($T$677&gt;0,Model!Z$1&lt;='Assumptions (Wind)'!$V$13),PPMT('Assumptions (Wind)'!$V$10,Model!Z$1,'Assumptions (Wind)'!$V$13,'Assumptions (Wind)'!$V$8*Model!$T$677*AVERAGE('Assumptions (Wind)'!$Q$2:$R$2)/10^9),0)</f>
        <v>0</v>
      </c>
      <c r="X751" s="160">
        <f>IF(and($T$677&gt;0,Model!AA$1&lt;='Assumptions (Wind)'!$V$13),PPMT('Assumptions (Wind)'!$V$10,Model!AA$1,'Assumptions (Wind)'!$V$13,'Assumptions (Wind)'!$V$8*Model!$T$677*AVERAGE('Assumptions (Wind)'!$Q$2:$R$2)/10^9),0)</f>
        <v>0</v>
      </c>
      <c r="Y751" s="160">
        <f>IF(and($T$677&gt;0,Model!AB$1&lt;='Assumptions (Wind)'!$V$13),PPMT('Assumptions (Wind)'!$V$10,Model!AB$1,'Assumptions (Wind)'!$V$13,'Assumptions (Wind)'!$V$8*Model!$T$677*AVERAGE('Assumptions (Wind)'!$Q$2:$R$2)/10^9),0)</f>
        <v>0</v>
      </c>
      <c r="Z751" s="160">
        <f>IF(and($T$677&gt;0,Model!AC$1&lt;='Assumptions (Wind)'!$V$13),PPMT('Assumptions (Wind)'!$V$10,Model!AC$1,'Assumptions (Wind)'!$V$13,'Assumptions (Wind)'!$V$8*Model!$T$677*AVERAGE('Assumptions (Wind)'!$Q$2:$R$2)/10^9),0)</f>
        <v>0</v>
      </c>
      <c r="AA751" s="160">
        <f>IF(and($T$677&gt;0,Model!AD$1&lt;='Assumptions (Wind)'!$V$13),PPMT('Assumptions (Wind)'!$V$10,Model!AD$1,'Assumptions (Wind)'!$V$13,'Assumptions (Wind)'!$V$8*Model!$T$677*AVERAGE('Assumptions (Wind)'!$Q$2:$R$2)/10^9),0)</f>
        <v>0</v>
      </c>
      <c r="AB751" s="160">
        <f>IF(and($T$677&gt;0,Model!AE$1&lt;='Assumptions (Wind)'!$V$13),PPMT('Assumptions (Wind)'!$V$10,Model!AE$1,'Assumptions (Wind)'!$V$13,'Assumptions (Wind)'!$V$8*Model!$T$677*AVERAGE('Assumptions (Wind)'!$Q$2:$R$2)/10^9),0)</f>
        <v>0</v>
      </c>
      <c r="AC751" s="160">
        <f>IF(and($T$677&gt;0,Model!AF$1&lt;='Assumptions (Wind)'!$V$13),PPMT('Assumptions (Wind)'!$V$10,Model!AF$1,'Assumptions (Wind)'!$V$13,'Assumptions (Wind)'!$V$8*Model!$T$677*AVERAGE('Assumptions (Wind)'!$Q$2:$R$2)/10^9),0)</f>
        <v>0</v>
      </c>
      <c r="AD751" s="160"/>
      <c r="AE751" s="160"/>
      <c r="AF751" s="160"/>
      <c r="AG751" s="160"/>
      <c r="AH751" s="160"/>
      <c r="AI751" s="160"/>
      <c r="AJ751" s="160"/>
      <c r="AK751" s="160"/>
      <c r="AL751" s="160"/>
      <c r="AM751" s="160"/>
      <c r="AN751" s="160"/>
      <c r="AO751" s="160"/>
      <c r="AP751" s="160"/>
      <c r="AQ751" s="160"/>
      <c r="AR751" s="160"/>
      <c r="AU751" s="160"/>
      <c r="AV751" s="160"/>
      <c r="AW751" s="160"/>
      <c r="AX751" s="160"/>
      <c r="AY751" s="160"/>
      <c r="AZ751" s="160"/>
      <c r="BA751" s="160"/>
    </row>
    <row r="752" ht="15.75" hidden="1" customHeight="1" outlineLevel="1">
      <c r="A752" s="241"/>
      <c r="B752" s="38"/>
      <c r="C752" s="160"/>
      <c r="D752" s="160"/>
      <c r="E752" s="160"/>
      <c r="F752" s="160"/>
      <c r="G752" s="160"/>
      <c r="H752" s="160"/>
      <c r="I752" s="160"/>
      <c r="J752" s="160"/>
      <c r="K752" s="160"/>
      <c r="L752" s="160"/>
      <c r="M752" s="160"/>
      <c r="N752" s="160"/>
      <c r="O752" s="160"/>
      <c r="P752" s="179"/>
      <c r="Q752" s="160"/>
      <c r="R752" s="177"/>
      <c r="S752" s="177"/>
      <c r="T752" s="177"/>
      <c r="U752" s="160">
        <f>IF(and($U$677&gt;0,Model!W$1&lt;='Assumptions (Wind)'!$V$13),PPMT('Assumptions (Wind)'!$V$10,Model!W$1,'Assumptions (Wind)'!$V$13,'Assumptions (Wind)'!$V$8*Model!$U$677*AVERAGE('Assumptions (Wind)'!$R$2:$S$2)/10^9),0)</f>
        <v>0</v>
      </c>
      <c r="V752" s="160">
        <f>IF(and($U$677&gt;0,Model!X$1&lt;='Assumptions (Wind)'!$V$13),PPMT('Assumptions (Wind)'!$V$10,Model!X$1,'Assumptions (Wind)'!$V$13,'Assumptions (Wind)'!$V$8*Model!$U$677*AVERAGE('Assumptions (Wind)'!$R$2:$S$2)/10^9),0)</f>
        <v>0</v>
      </c>
      <c r="W752" s="160">
        <f>IF(and($U$677&gt;0,Model!Y$1&lt;='Assumptions (Wind)'!$V$13),PPMT('Assumptions (Wind)'!$V$10,Model!Y$1,'Assumptions (Wind)'!$V$13,'Assumptions (Wind)'!$V$8*Model!$U$677*AVERAGE('Assumptions (Wind)'!$R$2:$S$2)/10^9),0)</f>
        <v>0</v>
      </c>
      <c r="X752" s="160">
        <f>IF(and($U$677&gt;0,Model!Z$1&lt;='Assumptions (Wind)'!$V$13),PPMT('Assumptions (Wind)'!$V$10,Model!Z$1,'Assumptions (Wind)'!$V$13,'Assumptions (Wind)'!$V$8*Model!$U$677*AVERAGE('Assumptions (Wind)'!$R$2:$S$2)/10^9),0)</f>
        <v>0</v>
      </c>
      <c r="Y752" s="160">
        <f>IF(and($U$677&gt;0,Model!AA$1&lt;='Assumptions (Wind)'!$V$13),PPMT('Assumptions (Wind)'!$V$10,Model!AA$1,'Assumptions (Wind)'!$V$13,'Assumptions (Wind)'!$V$8*Model!$U$677*AVERAGE('Assumptions (Wind)'!$R$2:$S$2)/10^9),0)</f>
        <v>0</v>
      </c>
      <c r="Z752" s="160">
        <f>IF(and($U$677&gt;0,Model!AB$1&lt;='Assumptions (Wind)'!$V$13),PPMT('Assumptions (Wind)'!$V$10,Model!AB$1,'Assumptions (Wind)'!$V$13,'Assumptions (Wind)'!$V$8*Model!$U$677*AVERAGE('Assumptions (Wind)'!$R$2:$S$2)/10^9),0)</f>
        <v>0</v>
      </c>
      <c r="AA752" s="160">
        <f>IF(and($U$677&gt;0,Model!AC$1&lt;='Assumptions (Wind)'!$V$13),PPMT('Assumptions (Wind)'!$V$10,Model!AC$1,'Assumptions (Wind)'!$V$13,'Assumptions (Wind)'!$V$8*Model!$U$677*AVERAGE('Assumptions (Wind)'!$R$2:$S$2)/10^9),0)</f>
        <v>0</v>
      </c>
      <c r="AB752" s="160">
        <f>IF(and($U$677&gt;0,Model!AD$1&lt;='Assumptions (Wind)'!$V$13),PPMT('Assumptions (Wind)'!$V$10,Model!AD$1,'Assumptions (Wind)'!$V$13,'Assumptions (Wind)'!$V$8*Model!$U$677*AVERAGE('Assumptions (Wind)'!$R$2:$S$2)/10^9),0)</f>
        <v>0</v>
      </c>
      <c r="AC752" s="160">
        <f>IF(and($U$677&gt;0,Model!AE$1&lt;='Assumptions (Wind)'!$V$13),PPMT('Assumptions (Wind)'!$V$10,Model!AE$1,'Assumptions (Wind)'!$V$13,'Assumptions (Wind)'!$V$8*Model!$U$677*AVERAGE('Assumptions (Wind)'!$R$2:$S$2)/10^9),0)</f>
        <v>0</v>
      </c>
      <c r="AD752" s="160">
        <f>IF(and($U$677&gt;0,Model!AF$1&lt;='Assumptions (Wind)'!$V$13),PPMT('Assumptions (Wind)'!$V$10,Model!AF$1,'Assumptions (Wind)'!$V$13,'Assumptions (Wind)'!$V$8*Model!$U$677*AVERAGE('Assumptions (Wind)'!$R$2:$S$2)/10^9),0)</f>
        <v>0</v>
      </c>
      <c r="AE752" s="160"/>
      <c r="AF752" s="160"/>
      <c r="AG752" s="160"/>
      <c r="AH752" s="160"/>
      <c r="AI752" s="160"/>
      <c r="AJ752" s="160"/>
      <c r="AK752" s="160"/>
      <c r="AL752" s="160"/>
      <c r="AM752" s="160"/>
      <c r="AN752" s="160"/>
      <c r="AO752" s="160"/>
      <c r="AP752" s="160"/>
      <c r="AQ752" s="160"/>
      <c r="AR752" s="160"/>
      <c r="AS752" s="160"/>
      <c r="AU752" s="160"/>
      <c r="AV752" s="160"/>
      <c r="AW752" s="160"/>
      <c r="AX752" s="160"/>
      <c r="AY752" s="160"/>
      <c r="AZ752" s="160"/>
      <c r="BA752" s="160"/>
    </row>
    <row r="753" ht="15.75" hidden="1" customHeight="1" outlineLevel="1">
      <c r="A753" s="241"/>
      <c r="B753" s="38"/>
      <c r="C753" s="160"/>
      <c r="D753" s="160"/>
      <c r="E753" s="160"/>
      <c r="F753" s="160"/>
      <c r="G753" s="160"/>
      <c r="H753" s="160"/>
      <c r="I753" s="160"/>
      <c r="J753" s="160"/>
      <c r="K753" s="160"/>
      <c r="L753" s="160"/>
      <c r="M753" s="160"/>
      <c r="N753" s="160"/>
      <c r="O753" s="160"/>
      <c r="P753" s="179"/>
      <c r="Q753" s="160"/>
      <c r="R753" s="177"/>
      <c r="S753" s="177"/>
      <c r="T753" s="177"/>
      <c r="U753" s="160"/>
      <c r="V753" s="160">
        <f>IF(and($V$677&gt;0,Model!W$1&lt;='Assumptions (Wind)'!$V$13),PPMT('Assumptions (Wind)'!$V$10,Model!W$1,'Assumptions (Wind)'!$V$13,'Assumptions (Wind)'!$V$8*Model!$V$677*AVERAGE('Assumptions (Wind)'!$S$2:$T$2)/10^9),0)</f>
        <v>0</v>
      </c>
      <c r="W753" s="160">
        <f>IF(and($V$677&gt;0,Model!X$1&lt;='Assumptions (Wind)'!$V$13),PPMT('Assumptions (Wind)'!$V$10,Model!X$1,'Assumptions (Wind)'!$V$13,'Assumptions (Wind)'!$V$8*Model!$V$677*AVERAGE('Assumptions (Wind)'!$S$2:$T$2)/10^9),0)</f>
        <v>0</v>
      </c>
      <c r="X753" s="160">
        <f>IF(and($V$677&gt;0,Model!Y$1&lt;='Assumptions (Wind)'!$V$13),PPMT('Assumptions (Wind)'!$V$10,Model!Y$1,'Assumptions (Wind)'!$V$13,'Assumptions (Wind)'!$V$8*Model!$V$677*AVERAGE('Assumptions (Wind)'!$S$2:$T$2)/10^9),0)</f>
        <v>0</v>
      </c>
      <c r="Y753" s="160">
        <f>IF(and($V$677&gt;0,Model!Z$1&lt;='Assumptions (Wind)'!$V$13),PPMT('Assumptions (Wind)'!$V$10,Model!Z$1,'Assumptions (Wind)'!$V$13,'Assumptions (Wind)'!$V$8*Model!$V$677*AVERAGE('Assumptions (Wind)'!$S$2:$T$2)/10^9),0)</f>
        <v>0</v>
      </c>
      <c r="Z753" s="160">
        <f>IF(and($V$677&gt;0,Model!AA$1&lt;='Assumptions (Wind)'!$V$13),PPMT('Assumptions (Wind)'!$V$10,Model!AA$1,'Assumptions (Wind)'!$V$13,'Assumptions (Wind)'!$V$8*Model!$V$677*AVERAGE('Assumptions (Wind)'!$S$2:$T$2)/10^9),0)</f>
        <v>0</v>
      </c>
      <c r="AA753" s="160">
        <f>IF(and($V$677&gt;0,Model!AB$1&lt;='Assumptions (Wind)'!$V$13),PPMT('Assumptions (Wind)'!$V$10,Model!AB$1,'Assumptions (Wind)'!$V$13,'Assumptions (Wind)'!$V$8*Model!$V$677*AVERAGE('Assumptions (Wind)'!$S$2:$T$2)/10^9),0)</f>
        <v>0</v>
      </c>
      <c r="AB753" s="160">
        <f>IF(and($V$677&gt;0,Model!AC$1&lt;='Assumptions (Wind)'!$V$13),PPMT('Assumptions (Wind)'!$V$10,Model!AC$1,'Assumptions (Wind)'!$V$13,'Assumptions (Wind)'!$V$8*Model!$V$677*AVERAGE('Assumptions (Wind)'!$S$2:$T$2)/10^9),0)</f>
        <v>0</v>
      </c>
      <c r="AC753" s="160">
        <f>IF(and($V$677&gt;0,Model!AD$1&lt;='Assumptions (Wind)'!$V$13),PPMT('Assumptions (Wind)'!$V$10,Model!AD$1,'Assumptions (Wind)'!$V$13,'Assumptions (Wind)'!$V$8*Model!$V$677*AVERAGE('Assumptions (Wind)'!$S$2:$T$2)/10^9),0)</f>
        <v>0</v>
      </c>
      <c r="AD753" s="160">
        <f>IF(and($V$677&gt;0,Model!AE$1&lt;='Assumptions (Wind)'!$V$13),PPMT('Assumptions (Wind)'!$V$10,Model!AE$1,'Assumptions (Wind)'!$V$13,'Assumptions (Wind)'!$V$8*Model!$V$677*AVERAGE('Assumptions (Wind)'!$S$2:$T$2)/10^9),0)</f>
        <v>0</v>
      </c>
      <c r="AE753" s="160">
        <f>IF(and($V$677&gt;0,Model!AF$1&lt;='Assumptions (Wind)'!$V$13),PPMT('Assumptions (Wind)'!$V$10,Model!AF$1,'Assumptions (Wind)'!$V$13,'Assumptions (Wind)'!$V$8*Model!$V$677*AVERAGE('Assumptions (Wind)'!$S$2:$T$2)/10^9),0)</f>
        <v>0</v>
      </c>
      <c r="AF753" s="160"/>
      <c r="AG753" s="160"/>
      <c r="AH753" s="160"/>
      <c r="AI753" s="160"/>
      <c r="AJ753" s="160"/>
      <c r="AK753" s="160"/>
      <c r="AL753" s="160"/>
      <c r="AM753" s="160"/>
      <c r="AN753" s="160"/>
      <c r="AO753" s="160"/>
      <c r="AP753" s="160"/>
      <c r="AQ753" s="160"/>
      <c r="AR753" s="160"/>
      <c r="AS753" s="160"/>
      <c r="AT753" s="160"/>
      <c r="AU753" s="160"/>
      <c r="AV753" s="160"/>
      <c r="AW753" s="160"/>
      <c r="AX753" s="160"/>
      <c r="AY753" s="160"/>
      <c r="AZ753" s="160"/>
      <c r="BA753" s="160"/>
    </row>
    <row r="754" ht="15.75" hidden="1" customHeight="1" outlineLevel="1">
      <c r="A754" s="241"/>
      <c r="B754" s="38"/>
      <c r="C754" s="174"/>
      <c r="D754" s="174"/>
      <c r="E754" s="174"/>
      <c r="F754" s="174"/>
      <c r="G754" s="174"/>
      <c r="H754" s="174"/>
      <c r="I754" s="174"/>
      <c r="J754" s="174"/>
      <c r="K754" s="174"/>
      <c r="L754" s="174"/>
      <c r="M754" s="174"/>
      <c r="N754" s="174"/>
      <c r="O754" s="174"/>
      <c r="P754" s="174"/>
      <c r="Q754" s="174"/>
      <c r="R754" s="174"/>
      <c r="S754" s="174"/>
      <c r="T754" s="174"/>
      <c r="U754" s="174"/>
      <c r="V754" s="174"/>
      <c r="W754" s="160">
        <f>IF(and($W$677&gt;0,Model!W$1&lt;='Assumptions (Wind)'!$V$13),PPMT('Assumptions (Wind)'!$V$10,Model!W1,'Assumptions (Wind)'!$V$13,'Assumptions (Wind)'!$V$8*Model!$W$677*'Assumptions (Wind)'!$V$2/10^9),0)</f>
        <v>0</v>
      </c>
      <c r="X754" s="160">
        <f>IF(and($W$677&gt;0,Model!X$1&lt;='Assumptions (Wind)'!$V$13),PPMT('Assumptions (Wind)'!$V$10,Model!X1,'Assumptions (Wind)'!$V$13,'Assumptions (Wind)'!$V$8*Model!$W$677*'Assumptions (Wind)'!$V$2/10^9),0)</f>
        <v>0</v>
      </c>
      <c r="Y754" s="160">
        <f>IF(and($W$677&gt;0,Model!Y$1&lt;='Assumptions (Wind)'!$V$13),PPMT('Assumptions (Wind)'!$V$10,Model!Y1,'Assumptions (Wind)'!$V$13,'Assumptions (Wind)'!$V$8*Model!$W$677*'Assumptions (Wind)'!$V$2/10^9),0)</f>
        <v>0</v>
      </c>
      <c r="Z754" s="160">
        <f>IF(and($W$677&gt;0,Model!Z$1&lt;='Assumptions (Wind)'!$V$13),PPMT('Assumptions (Wind)'!$V$10,Model!Z1,'Assumptions (Wind)'!$V$13,'Assumptions (Wind)'!$V$8*Model!$W$677*'Assumptions (Wind)'!$V$2/10^9),0)</f>
        <v>0</v>
      </c>
      <c r="AA754" s="160">
        <f>IF(and($W$677&gt;0,Model!AA$1&lt;='Assumptions (Wind)'!$V$13),PPMT('Assumptions (Wind)'!$V$10,Model!AA1,'Assumptions (Wind)'!$V$13,'Assumptions (Wind)'!$V$8*Model!$W$677*'Assumptions (Wind)'!$V$2/10^9),0)</f>
        <v>0</v>
      </c>
      <c r="AB754" s="160">
        <f>IF(and($W$677&gt;0,Model!AB$1&lt;='Assumptions (Wind)'!$V$13),PPMT('Assumptions (Wind)'!$V$10,Model!AB1,'Assumptions (Wind)'!$V$13,'Assumptions (Wind)'!$V$8*Model!$W$677*'Assumptions (Wind)'!$V$2/10^9),0)</f>
        <v>0</v>
      </c>
      <c r="AC754" s="160">
        <f>IF(and($W$677&gt;0,Model!AC$1&lt;='Assumptions (Wind)'!$V$13),PPMT('Assumptions (Wind)'!$V$10,Model!AC1,'Assumptions (Wind)'!$V$13,'Assumptions (Wind)'!$V$8*Model!$W$677*'Assumptions (Wind)'!$V$2/10^9),0)</f>
        <v>0</v>
      </c>
      <c r="AD754" s="160">
        <f>IF(and($W$677&gt;0,Model!AD$1&lt;='Assumptions (Wind)'!$V$13),PPMT('Assumptions (Wind)'!$V$10,Model!AD1,'Assumptions (Wind)'!$V$13,'Assumptions (Wind)'!$V$8*Model!$W$677*'Assumptions (Wind)'!$V$2/10^9),0)</f>
        <v>0</v>
      </c>
      <c r="AE754" s="160">
        <f>IF(and($W$677&gt;0,Model!AE$1&lt;='Assumptions (Wind)'!$V$13),PPMT('Assumptions (Wind)'!$V$10,Model!AE1,'Assumptions (Wind)'!$V$13,'Assumptions (Wind)'!$V$8*Model!$W$677*'Assumptions (Wind)'!$V$2/10^9),0)</f>
        <v>0</v>
      </c>
      <c r="AF754" s="160">
        <f>IF(and($W$677&gt;0,Model!AF$1&lt;='Assumptions (Wind)'!$V$13),PPMT('Assumptions (Wind)'!$V$10,Model!AF1,'Assumptions (Wind)'!$V$13,'Assumptions (Wind)'!$V$8*Model!$W$677*'Assumptions (Wind)'!$V$2/10^9),0)</f>
        <v>0</v>
      </c>
      <c r="AG754" s="160"/>
      <c r="AH754" s="160"/>
      <c r="AI754" s="160"/>
      <c r="AJ754" s="160"/>
      <c r="AK754" s="160"/>
      <c r="AL754" s="160"/>
      <c r="AM754" s="160"/>
      <c r="AN754" s="160"/>
      <c r="AO754" s="160"/>
      <c r="AP754" s="160"/>
      <c r="AQ754" s="160"/>
      <c r="AR754" s="160"/>
      <c r="AS754" s="160"/>
      <c r="AT754" s="160"/>
      <c r="AU754" s="160"/>
      <c r="AV754" s="160"/>
      <c r="AW754" s="160"/>
      <c r="AX754" s="160"/>
      <c r="AY754" s="160"/>
      <c r="AZ754" s="160"/>
      <c r="BA754" s="160"/>
    </row>
    <row r="755" ht="15.75" hidden="1" customHeight="1" outlineLevel="1">
      <c r="A755" s="241"/>
      <c r="B755" s="38"/>
      <c r="C755" s="174"/>
      <c r="D755" s="174"/>
      <c r="E755" s="174"/>
      <c r="F755" s="174"/>
      <c r="G755" s="174"/>
      <c r="H755" s="174"/>
      <c r="I755" s="174"/>
      <c r="J755" s="174"/>
      <c r="K755" s="174"/>
      <c r="L755" s="174"/>
      <c r="M755" s="174"/>
      <c r="N755" s="174"/>
      <c r="O755" s="174"/>
      <c r="P755" s="174"/>
      <c r="Q755" s="174"/>
      <c r="R755" s="174"/>
      <c r="S755" s="174"/>
      <c r="T755" s="174"/>
      <c r="U755" s="174"/>
      <c r="V755" s="174"/>
      <c r="W755" s="160"/>
      <c r="X755" s="160">
        <f>IF(and($X$677&gt;0,Model!W$1&lt;='Assumptions (Wind)'!$V$13),PPMT('Assumptions (Wind)'!$V$10,Model!W1,'Assumptions (Wind)'!$V$13,'Assumptions (Wind)'!$V$8*Model!$X$677*'Assumptions (Wind)'!$V$2/10^9),0)</f>
        <v>-0.01123570669</v>
      </c>
      <c r="Y755" s="160">
        <f>IF(and($X$677&gt;0,Model!X$1&lt;='Assumptions (Wind)'!$V$13),PPMT('Assumptions (Wind)'!$V$10,Model!X1,'Assumptions (Wind)'!$V$13,'Assumptions (Wind)'!$V$8*Model!$X$677*'Assumptions (Wind)'!$V$2/10^9),0)</f>
        <v>-0.01213456322</v>
      </c>
      <c r="Z755" s="160">
        <f>IF(and($X$677&gt;0,Model!Y$1&lt;='Assumptions (Wind)'!$V$13),PPMT('Assumptions (Wind)'!$V$10,Model!Y1,'Assumptions (Wind)'!$V$13,'Assumptions (Wind)'!$V$8*Model!$X$677*'Assumptions (Wind)'!$V$2/10^9),0)</f>
        <v>-0.01310532828</v>
      </c>
      <c r="AA755" s="160">
        <f>IF(and($X$677&gt;0,Model!Z$1&lt;='Assumptions (Wind)'!$V$13),PPMT('Assumptions (Wind)'!$V$10,Model!Z1,'Assumptions (Wind)'!$V$13,'Assumptions (Wind)'!$V$8*Model!$X$677*'Assumptions (Wind)'!$V$2/10^9),0)</f>
        <v>-0.01415375454</v>
      </c>
      <c r="AB755" s="160">
        <f>IF(and($X$677&gt;0,Model!AA$1&lt;='Assumptions (Wind)'!$V$13),PPMT('Assumptions (Wind)'!$V$10,Model!AA1,'Assumptions (Wind)'!$V$13,'Assumptions (Wind)'!$V$8*Model!$X$677*'Assumptions (Wind)'!$V$2/10^9),0)</f>
        <v>-0.01528605491</v>
      </c>
      <c r="AC755" s="160">
        <f>IF(and($X$677&gt;0,Model!AB$1&lt;='Assumptions (Wind)'!$V$13),PPMT('Assumptions (Wind)'!$V$10,Model!AB1,'Assumptions (Wind)'!$V$13,'Assumptions (Wind)'!$V$8*Model!$X$677*'Assumptions (Wind)'!$V$2/10^9),0)</f>
        <v>-0.0165089393</v>
      </c>
      <c r="AD755" s="160">
        <f>IF(and($X$677&gt;0,Model!AC$1&lt;='Assumptions (Wind)'!$V$13),PPMT('Assumptions (Wind)'!$V$10,Model!AC1,'Assumptions (Wind)'!$V$13,'Assumptions (Wind)'!$V$8*Model!$X$677*'Assumptions (Wind)'!$V$2/10^9),0)</f>
        <v>-0.01782965444</v>
      </c>
      <c r="AE755" s="160">
        <f>IF(and($X$677&gt;0,Model!AD$1&lt;='Assumptions (Wind)'!$V$13),PPMT('Assumptions (Wind)'!$V$10,Model!AD1,'Assumptions (Wind)'!$V$13,'Assumptions (Wind)'!$V$8*Model!$X$677*'Assumptions (Wind)'!$V$2/10^9),0)</f>
        <v>-0.0192560268</v>
      </c>
      <c r="AF755" s="160">
        <f>IF(and($X$677&gt;0,Model!AE$1&lt;='Assumptions (Wind)'!$V$13),PPMT('Assumptions (Wind)'!$V$10,Model!AE1,'Assumptions (Wind)'!$V$13,'Assumptions (Wind)'!$V$8*Model!$X$677*'Assumptions (Wind)'!$V$2/10^9),0)</f>
        <v>-0.02079650894</v>
      </c>
      <c r="AG755" s="160">
        <f>IF(and($X$677&gt;0,Model!AF$1&lt;='Assumptions (Wind)'!$V$13),PPMT('Assumptions (Wind)'!$V$10,Model!AF1,'Assumptions (Wind)'!$V$13,'Assumptions (Wind)'!$V$8*Model!$X$677*'Assumptions (Wind)'!$V$2/10^9),0)</f>
        <v>-0.02246022966</v>
      </c>
      <c r="AH755" s="160"/>
      <c r="AI755" s="160"/>
      <c r="AJ755" s="160"/>
      <c r="AK755" s="160"/>
      <c r="AL755" s="160"/>
      <c r="AM755" s="160"/>
      <c r="AN755" s="160"/>
      <c r="AO755" s="160"/>
      <c r="AP755" s="160"/>
      <c r="AQ755" s="160"/>
      <c r="AR755" s="160"/>
      <c r="AS755" s="160"/>
      <c r="AT755" s="160"/>
      <c r="AU755" s="160"/>
      <c r="AV755" s="160"/>
      <c r="AW755" s="160"/>
      <c r="AX755" s="160"/>
      <c r="AY755" s="160"/>
      <c r="AZ755" s="160"/>
      <c r="BA755" s="160"/>
    </row>
    <row r="756" ht="15.75" hidden="1" customHeight="1" outlineLevel="1">
      <c r="A756" s="241"/>
      <c r="B756" s="38"/>
      <c r="C756" s="174"/>
      <c r="D756" s="174"/>
      <c r="E756" s="174"/>
      <c r="F756" s="174"/>
      <c r="G756" s="174"/>
      <c r="H756" s="174"/>
      <c r="I756" s="174"/>
      <c r="J756" s="174"/>
      <c r="K756" s="174"/>
      <c r="L756" s="174"/>
      <c r="M756" s="174"/>
      <c r="N756" s="174"/>
      <c r="O756" s="174"/>
      <c r="P756" s="174"/>
      <c r="Q756" s="174"/>
      <c r="R756" s="174"/>
      <c r="S756" s="174"/>
      <c r="T756" s="174"/>
      <c r="U756" s="174"/>
      <c r="V756" s="174"/>
      <c r="W756" s="160"/>
      <c r="X756" s="160"/>
      <c r="Y756" s="160">
        <f>IF(and($Y$677&gt;0,Model!W$1&lt;='Assumptions (Wind)'!$V$13),PPMT('Assumptions (Wind)'!$V$10,Model!W1,'Assumptions (Wind)'!$V$13,'Assumptions (Wind)'!$V$8*Model!$Y$677*AVERAGE('Assumptions (Wind)'!$V$2:$W$2)/10^9),0)</f>
        <v>-0.01121908981</v>
      </c>
      <c r="Z756" s="160">
        <f>IF(and($Y$677&gt;0,Model!X$1&lt;='Assumptions (Wind)'!$V$13),PPMT('Assumptions (Wind)'!$V$10,Model!X1,'Assumptions (Wind)'!$V$13,'Assumptions (Wind)'!$V$8*Model!$Y$677*AVERAGE('Assumptions (Wind)'!$V$2:$W$2)/10^9),0)</f>
        <v>-0.01211661699</v>
      </c>
      <c r="AA756" s="160">
        <f>IF(and($Y$677&gt;0,Model!Y$1&lt;='Assumptions (Wind)'!$V$13),PPMT('Assumptions (Wind)'!$V$10,Model!Y1,'Assumptions (Wind)'!$V$13,'Assumptions (Wind)'!$V$8*Model!$Y$677*AVERAGE('Assumptions (Wind)'!$V$2:$W$2)/10^9),0)</f>
        <v>-0.01308594635</v>
      </c>
      <c r="AB756" s="160">
        <f>IF(and($Y$677&gt;0,Model!Z$1&lt;='Assumptions (Wind)'!$V$13),PPMT('Assumptions (Wind)'!$V$10,Model!Z1,'Assumptions (Wind)'!$V$13,'Assumptions (Wind)'!$V$8*Model!$Y$677*AVERAGE('Assumptions (Wind)'!$V$2:$W$2)/10^9),0)</f>
        <v>-0.01413282206</v>
      </c>
      <c r="AC756" s="160">
        <f>IF(and($Y$677&gt;0,Model!AA$1&lt;='Assumptions (Wind)'!$V$13),PPMT('Assumptions (Wind)'!$V$10,Model!AA1,'Assumptions (Wind)'!$V$13,'Assumptions (Wind)'!$V$8*Model!$Y$677*AVERAGE('Assumptions (Wind)'!$V$2:$W$2)/10^9),0)</f>
        <v>-0.01526344783</v>
      </c>
      <c r="AD756" s="160">
        <f>IF(and($Y$677&gt;0,Model!AB$1&lt;='Assumptions (Wind)'!$V$13),PPMT('Assumptions (Wind)'!$V$10,Model!AB1,'Assumptions (Wind)'!$V$13,'Assumptions (Wind)'!$V$8*Model!$Y$677*AVERAGE('Assumptions (Wind)'!$V$2:$W$2)/10^9),0)</f>
        <v>-0.01648452365</v>
      </c>
      <c r="AE756" s="160">
        <f>IF(and($Y$677&gt;0,Model!AC$1&lt;='Assumptions (Wind)'!$V$13),PPMT('Assumptions (Wind)'!$V$10,Model!AC1,'Assumptions (Wind)'!$V$13,'Assumptions (Wind)'!$V$8*Model!$Y$677*AVERAGE('Assumptions (Wind)'!$V$2:$W$2)/10^9),0)</f>
        <v>-0.01780328555</v>
      </c>
      <c r="AF756" s="160">
        <f>IF(and($Y$677&gt;0,Model!AD$1&lt;='Assumptions (Wind)'!$V$13),PPMT('Assumptions (Wind)'!$V$10,Model!AD1,'Assumptions (Wind)'!$V$13,'Assumptions (Wind)'!$V$8*Model!$Y$677*AVERAGE('Assumptions (Wind)'!$V$2:$W$2)/10^9),0)</f>
        <v>-0.01922754839</v>
      </c>
      <c r="AG756" s="160">
        <f>IF(and($Y$677&gt;0,Model!AE$1&lt;='Assumptions (Wind)'!$V$13),PPMT('Assumptions (Wind)'!$V$10,Model!AE1,'Assumptions (Wind)'!$V$13,'Assumptions (Wind)'!$V$8*Model!$Y$677*AVERAGE('Assumptions (Wind)'!$V$2:$W$2)/10^9),0)</f>
        <v>-0.02076575226</v>
      </c>
      <c r="AH756" s="160">
        <f>IF(and($Y$677&gt;0,Model!AF$1&lt;='Assumptions (Wind)'!$V$13),PPMT('Assumptions (Wind)'!$V$10,Model!AF1,'Assumptions (Wind)'!$V$13,'Assumptions (Wind)'!$V$8*Model!$Y$677*AVERAGE('Assumptions (Wind)'!$V$2:$W$2)/10^9),0)</f>
        <v>-0.02242701244</v>
      </c>
      <c r="AI756" s="160"/>
      <c r="AJ756" s="160"/>
      <c r="AK756" s="160"/>
      <c r="AL756" s="160"/>
      <c r="AM756" s="160"/>
      <c r="AN756" s="160"/>
      <c r="AO756" s="160"/>
      <c r="AP756" s="160"/>
      <c r="AQ756" s="160"/>
      <c r="AR756" s="160"/>
      <c r="AS756" s="160"/>
      <c r="AT756" s="160"/>
      <c r="AU756" s="160"/>
      <c r="AV756" s="160"/>
      <c r="AW756" s="160"/>
      <c r="AX756" s="160"/>
      <c r="AY756" s="160"/>
      <c r="AZ756" s="160"/>
      <c r="BA756" s="160"/>
    </row>
    <row r="757" ht="15.75" hidden="1" customHeight="1" outlineLevel="1">
      <c r="A757" s="241"/>
      <c r="B757" s="38"/>
      <c r="C757" s="174"/>
      <c r="D757" s="174"/>
      <c r="E757" s="174"/>
      <c r="F757" s="174"/>
      <c r="G757" s="174"/>
      <c r="H757" s="174"/>
      <c r="I757" s="174"/>
      <c r="J757" s="174"/>
      <c r="K757" s="174"/>
      <c r="L757" s="174"/>
      <c r="M757" s="174"/>
      <c r="N757" s="174"/>
      <c r="O757" s="174"/>
      <c r="P757" s="174"/>
      <c r="Q757" s="174"/>
      <c r="R757" s="174"/>
      <c r="S757" s="174"/>
      <c r="T757" s="174"/>
      <c r="U757" s="174"/>
      <c r="V757" s="174"/>
      <c r="W757" s="160"/>
      <c r="X757" s="160"/>
      <c r="Y757" s="160"/>
      <c r="Z757" s="160">
        <f>IF(and($Z$677&gt;0,Model!W$1&lt;='Assumptions (Wind)'!$V$13),PPMT('Assumptions (Wind)'!$V$10,Model!W1,'Assumptions (Wind)'!$V$13,'Assumptions (Wind)'!$V$8*Model!$Z$677*AVERAGE('Assumptions (Wind)'!$W$2:$X$2)/10^9),0)</f>
        <v>-0.01118306954</v>
      </c>
      <c r="AA757" s="160">
        <f>IF(and($Z$677&gt;0,Model!X$1&lt;='Assumptions (Wind)'!$V$13),PPMT('Assumptions (Wind)'!$V$10,Model!X1,'Assumptions (Wind)'!$V$13,'Assumptions (Wind)'!$V$8*Model!$Z$677*AVERAGE('Assumptions (Wind)'!$W$2:$X$2)/10^9),0)</f>
        <v>-0.0120777151</v>
      </c>
      <c r="AB757" s="160">
        <f>IF(and($Z$677&gt;0,Model!Y$1&lt;='Assumptions (Wind)'!$V$13),PPMT('Assumptions (Wind)'!$V$10,Model!Y1,'Assumptions (Wind)'!$V$13,'Assumptions (Wind)'!$V$8*Model!$Z$677*AVERAGE('Assumptions (Wind)'!$W$2:$X$2)/10^9),0)</f>
        <v>-0.01304393231</v>
      </c>
      <c r="AC757" s="160">
        <f>IF(and($Z$677&gt;0,Model!Z$1&lt;='Assumptions (Wind)'!$V$13),PPMT('Assumptions (Wind)'!$V$10,Model!Z1,'Assumptions (Wind)'!$V$13,'Assumptions (Wind)'!$V$8*Model!$Z$677*AVERAGE('Assumptions (Wind)'!$W$2:$X$2)/10^9),0)</f>
        <v>-0.0140874469</v>
      </c>
      <c r="AD757" s="160">
        <f>IF(and($Z$677&gt;0,Model!AA$1&lt;='Assumptions (Wind)'!$V$13),PPMT('Assumptions (Wind)'!$V$10,Model!AA1,'Assumptions (Wind)'!$V$13,'Assumptions (Wind)'!$V$8*Model!$Z$677*AVERAGE('Assumptions (Wind)'!$W$2:$X$2)/10^9),0)</f>
        <v>-0.01521444265</v>
      </c>
      <c r="AE757" s="160">
        <f>IF(and($Z$677&gt;0,Model!AB$1&lt;='Assumptions (Wind)'!$V$13),PPMT('Assumptions (Wind)'!$V$10,Model!AB1,'Assumptions (Wind)'!$V$13,'Assumptions (Wind)'!$V$8*Model!$Z$677*AVERAGE('Assumptions (Wind)'!$W$2:$X$2)/10^9),0)</f>
        <v>-0.01643159806</v>
      </c>
      <c r="AF757" s="160">
        <f>IF(and($Z$677&gt;0,Model!AC$1&lt;='Assumptions (Wind)'!$V$13),PPMT('Assumptions (Wind)'!$V$10,Model!AC1,'Assumptions (Wind)'!$V$13,'Assumptions (Wind)'!$V$8*Model!$Z$677*AVERAGE('Assumptions (Wind)'!$W$2:$X$2)/10^9),0)</f>
        <v>-0.0177461259</v>
      </c>
      <c r="AG757" s="160">
        <f>IF(and($Z$677&gt;0,Model!AD$1&lt;='Assumptions (Wind)'!$V$13),PPMT('Assumptions (Wind)'!$V$10,Model!AD1,'Assumptions (Wind)'!$V$13,'Assumptions (Wind)'!$V$8*Model!$Z$677*AVERAGE('Assumptions (Wind)'!$W$2:$X$2)/10^9),0)</f>
        <v>-0.01916581598</v>
      </c>
      <c r="AH757" s="160">
        <f>IF(and($Z$677&gt;0,Model!AE$1&lt;='Assumptions (Wind)'!$V$13),PPMT('Assumptions (Wind)'!$V$10,Model!AE1,'Assumptions (Wind)'!$V$13,'Assumptions (Wind)'!$V$8*Model!$Z$677*AVERAGE('Assumptions (Wind)'!$W$2:$X$2)/10^9),0)</f>
        <v>-0.02069908125</v>
      </c>
      <c r="AI757" s="160">
        <f>IF(and($Z$677&gt;0,Model!AF$1&lt;='Assumptions (Wind)'!$V$13),PPMT('Assumptions (Wind)'!$V$10,Model!AF1,'Assumptions (Wind)'!$V$13,'Assumptions (Wind)'!$V$8*Model!$Z$677*AVERAGE('Assumptions (Wind)'!$W$2:$X$2)/10^9),0)</f>
        <v>-0.02235500775</v>
      </c>
      <c r="AJ757" s="160"/>
      <c r="AK757" s="160"/>
      <c r="AL757" s="160"/>
      <c r="AM757" s="160"/>
      <c r="AN757" s="160"/>
      <c r="AO757" s="160"/>
      <c r="AP757" s="160"/>
      <c r="AQ757" s="160"/>
      <c r="AR757" s="160"/>
      <c r="AS757" s="160"/>
      <c r="AT757" s="160"/>
      <c r="AU757" s="160"/>
      <c r="AV757" s="160"/>
      <c r="AW757" s="160"/>
      <c r="AX757" s="160"/>
      <c r="AY757" s="160"/>
      <c r="AZ757" s="160"/>
      <c r="BA757" s="160"/>
    </row>
    <row r="758" ht="15.75" hidden="1" customHeight="1" outlineLevel="1">
      <c r="A758" s="241"/>
      <c r="B758" s="38"/>
      <c r="C758" s="174"/>
      <c r="D758" s="174"/>
      <c r="E758" s="174"/>
      <c r="F758" s="174"/>
      <c r="G758" s="174"/>
      <c r="H758" s="174"/>
      <c r="I758" s="174"/>
      <c r="J758" s="174"/>
      <c r="K758" s="174"/>
      <c r="L758" s="174"/>
      <c r="M758" s="174"/>
      <c r="N758" s="174"/>
      <c r="O758" s="174"/>
      <c r="P758" s="174"/>
      <c r="Q758" s="174"/>
      <c r="R758" s="174"/>
      <c r="S758" s="174"/>
      <c r="T758" s="174"/>
      <c r="U758" s="174"/>
      <c r="V758" s="174"/>
      <c r="W758" s="160"/>
      <c r="X758" s="160"/>
      <c r="Y758" s="160"/>
      <c r="Z758" s="160"/>
      <c r="AA758" s="160">
        <f>IF(and($AA$677&gt;0,Model!W$1&lt;='Assumptions (Wind)'!$V$13),PPMT('Assumptions (Wind)'!$V$10,Model!W1,'Assumptions (Wind)'!$V$13,'Assumptions (Wind)'!$V$8*Model!$AA$677*AVERAGE('Assumptions (Wind)'!$X$2:$Y$2)/10^9),0)</f>
        <v>-0.01114137385</v>
      </c>
      <c r="AB758" s="160">
        <f>IF(and($AA$677&gt;0,Model!X$1&lt;='Assumptions (Wind)'!$V$13),PPMT('Assumptions (Wind)'!$V$10,Model!X1,'Assumptions (Wind)'!$V$13,'Assumptions (Wind)'!$V$8*Model!$AA$677*AVERAGE('Assumptions (Wind)'!$X$2:$Y$2)/10^9),0)</f>
        <v>-0.01203268375</v>
      </c>
      <c r="AC758" s="160">
        <f>IF(and($AA$677&gt;0,Model!Y$1&lt;='Assumptions (Wind)'!$V$13),PPMT('Assumptions (Wind)'!$V$10,Model!Y1,'Assumptions (Wind)'!$V$13,'Assumptions (Wind)'!$V$8*Model!$AA$677*AVERAGE('Assumptions (Wind)'!$X$2:$Y$2)/10^9),0)</f>
        <v>-0.01299529845</v>
      </c>
      <c r="AD758" s="160">
        <f>IF(and($AA$677&gt;0,Model!Z$1&lt;='Assumptions (Wind)'!$V$13),PPMT('Assumptions (Wind)'!$V$10,Model!Z1,'Assumptions (Wind)'!$V$13,'Assumptions (Wind)'!$V$8*Model!$AA$677*AVERAGE('Assumptions (Wind)'!$X$2:$Y$2)/10^9),0)</f>
        <v>-0.01403492233</v>
      </c>
      <c r="AE758" s="160">
        <f>IF(and($AA$677&gt;0,Model!AA$1&lt;='Assumptions (Wind)'!$V$13),PPMT('Assumptions (Wind)'!$V$10,Model!AA1,'Assumptions (Wind)'!$V$13,'Assumptions (Wind)'!$V$8*Model!$AA$677*AVERAGE('Assumptions (Wind)'!$X$2:$Y$2)/10^9),0)</f>
        <v>-0.01515771612</v>
      </c>
      <c r="AF758" s="160">
        <f>IF(and($AA$677&gt;0,Model!AB$1&lt;='Assumptions (Wind)'!$V$13),PPMT('Assumptions (Wind)'!$V$10,Model!AB1,'Assumptions (Wind)'!$V$13,'Assumptions (Wind)'!$V$8*Model!$AA$677*AVERAGE('Assumptions (Wind)'!$X$2:$Y$2)/10^9),0)</f>
        <v>-0.01637033341</v>
      </c>
      <c r="AG758" s="160">
        <f>IF(and($AA$677&gt;0,Model!AC$1&lt;='Assumptions (Wind)'!$V$13),PPMT('Assumptions (Wind)'!$V$10,Model!AC1,'Assumptions (Wind)'!$V$13,'Assumptions (Wind)'!$V$8*Model!$AA$677*AVERAGE('Assumptions (Wind)'!$X$2:$Y$2)/10^9),0)</f>
        <v>-0.01767996008</v>
      </c>
      <c r="AH758" s="160">
        <f>IF(and($AA$677&gt;0,Model!AD$1&lt;='Assumptions (Wind)'!$V$13),PPMT('Assumptions (Wind)'!$V$10,Model!AD1,'Assumptions (Wind)'!$V$13,'Assumptions (Wind)'!$V$8*Model!$AA$677*AVERAGE('Assumptions (Wind)'!$X$2:$Y$2)/10^9),0)</f>
        <v>-0.01909435688</v>
      </c>
      <c r="AI758" s="160">
        <f>IF(and($AA$677&gt;0,Model!AE$1&lt;='Assumptions (Wind)'!$V$13),PPMT('Assumptions (Wind)'!$V$10,Model!AE1,'Assumptions (Wind)'!$V$13,'Assumptions (Wind)'!$V$8*Model!$AA$677*AVERAGE('Assumptions (Wind)'!$X$2:$Y$2)/10^9),0)</f>
        <v>-0.02062190543</v>
      </c>
      <c r="AJ758" s="160">
        <f>IF(and($AA$677&gt;0,Model!AF$1&lt;='Assumptions (Wind)'!$V$13),PPMT('Assumptions (Wind)'!$V$10,Model!AF1,'Assumptions (Wind)'!$V$13,'Assumptions (Wind)'!$V$8*Model!$AA$677*AVERAGE('Assumptions (Wind)'!$X$2:$Y$2)/10^9),0)</f>
        <v>-0.02227165787</v>
      </c>
      <c r="AK758" s="160"/>
      <c r="AL758" s="160"/>
      <c r="AM758" s="160"/>
      <c r="AN758" s="160"/>
      <c r="AO758" s="160"/>
      <c r="AP758" s="160"/>
      <c r="AQ758" s="160"/>
      <c r="AR758" s="160"/>
      <c r="AS758" s="160"/>
      <c r="AT758" s="160"/>
      <c r="AU758" s="160"/>
      <c r="AV758" s="160"/>
      <c r="AW758" s="160"/>
      <c r="AX758" s="160"/>
      <c r="AY758" s="160"/>
      <c r="AZ758" s="160"/>
      <c r="BA758" s="160"/>
    </row>
    <row r="759" ht="15.75" hidden="1" customHeight="1" outlineLevel="1">
      <c r="A759" s="241"/>
      <c r="B759" s="38"/>
      <c r="C759" s="174"/>
      <c r="D759" s="174"/>
      <c r="E759" s="174"/>
      <c r="F759" s="174"/>
      <c r="G759" s="174"/>
      <c r="H759" s="174"/>
      <c r="I759" s="174"/>
      <c r="J759" s="174"/>
      <c r="K759" s="174"/>
      <c r="L759" s="174"/>
      <c r="M759" s="174"/>
      <c r="N759" s="174"/>
      <c r="O759" s="174"/>
      <c r="P759" s="174"/>
      <c r="Q759" s="174"/>
      <c r="R759" s="174"/>
      <c r="S759" s="174"/>
      <c r="T759" s="174"/>
      <c r="U759" s="174"/>
      <c r="V759" s="174"/>
      <c r="W759" s="160"/>
      <c r="X759" s="160"/>
      <c r="Y759" s="160"/>
      <c r="Z759" s="160"/>
      <c r="AA759" s="160"/>
      <c r="AB759" s="160">
        <f>IF(and($AB$677&gt;0,Model!W$1&lt;='Assumptions (Wind)'!$V$13),PPMT('Assumptions (Wind)'!$V$10,Model!W1,'Assumptions (Wind)'!$V$13,'Assumptions (Wind)'!$V$8*Model!$AB$677*AVERAGE('Assumptions (Wind)'!$Y$2:$Z$2)/10^9),0)</f>
        <v>-0.0110901802</v>
      </c>
      <c r="AC759" s="160">
        <f>IF(and($AB$677&gt;0,Model!X$1&lt;='Assumptions (Wind)'!$V$13),PPMT('Assumptions (Wind)'!$V$10,Model!X1,'Assumptions (Wind)'!$V$13,'Assumptions (Wind)'!$V$8*Model!$AB$677*AVERAGE('Assumptions (Wind)'!$Y$2:$Z$2)/10^9),0)</f>
        <v>-0.01197739461</v>
      </c>
      <c r="AD759" s="160">
        <f>IF(and($AB$677&gt;0,Model!Y$1&lt;='Assumptions (Wind)'!$V$13),PPMT('Assumptions (Wind)'!$V$10,Model!Y1,'Assumptions (Wind)'!$V$13,'Assumptions (Wind)'!$V$8*Model!$AB$677*AVERAGE('Assumptions (Wind)'!$Y$2:$Z$2)/10^9),0)</f>
        <v>-0.01293558618</v>
      </c>
      <c r="AE759" s="160">
        <f>IF(and($AB$677&gt;0,Model!Z$1&lt;='Assumptions (Wind)'!$V$13),PPMT('Assumptions (Wind)'!$V$10,Model!Z1,'Assumptions (Wind)'!$V$13,'Assumptions (Wind)'!$V$8*Model!$AB$677*AVERAGE('Assumptions (Wind)'!$Y$2:$Z$2)/10^9),0)</f>
        <v>-0.01397043308</v>
      </c>
      <c r="AF759" s="160">
        <f>IF(and($AB$677&gt;0,Model!AA$1&lt;='Assumptions (Wind)'!$V$13),PPMT('Assumptions (Wind)'!$V$10,Model!AA1,'Assumptions (Wind)'!$V$13,'Assumptions (Wind)'!$V$8*Model!$AB$677*AVERAGE('Assumptions (Wind)'!$Y$2:$Z$2)/10^9),0)</f>
        <v>-0.01508806772</v>
      </c>
      <c r="AG759" s="160">
        <f>IF(and($AB$677&gt;0,Model!AB$1&lt;='Assumptions (Wind)'!$V$13),PPMT('Assumptions (Wind)'!$V$10,Model!AB1,'Assumptions (Wind)'!$V$13,'Assumptions (Wind)'!$V$8*Model!$AB$677*AVERAGE('Assumptions (Wind)'!$Y$2:$Z$2)/10^9),0)</f>
        <v>-0.01629511314</v>
      </c>
      <c r="AH759" s="160">
        <f>IF(and($AB$677&gt;0,Model!AC$1&lt;='Assumptions (Wind)'!$V$13),PPMT('Assumptions (Wind)'!$V$10,Model!AC1,'Assumptions (Wind)'!$V$13,'Assumptions (Wind)'!$V$8*Model!$AB$677*AVERAGE('Assumptions (Wind)'!$Y$2:$Z$2)/10^9),0)</f>
        <v>-0.01759872219</v>
      </c>
      <c r="AI759" s="160">
        <f>IF(and($AB$677&gt;0,Model!AD$1&lt;='Assumptions (Wind)'!$V$13),PPMT('Assumptions (Wind)'!$V$10,Model!AD1,'Assumptions (Wind)'!$V$13,'Assumptions (Wind)'!$V$8*Model!$AB$677*AVERAGE('Assumptions (Wind)'!$Y$2:$Z$2)/10^9),0)</f>
        <v>-0.01900661997</v>
      </c>
      <c r="AJ759" s="160">
        <f>IF(and($AB$677&gt;0,Model!AE$1&lt;='Assumptions (Wind)'!$V$13),PPMT('Assumptions (Wind)'!$V$10,Model!AE1,'Assumptions (Wind)'!$V$13,'Assumptions (Wind)'!$V$8*Model!$AB$677*AVERAGE('Assumptions (Wind)'!$Y$2:$Z$2)/10^9),0)</f>
        <v>-0.02052714956</v>
      </c>
      <c r="AK759" s="160">
        <f>IF(and($AB$677&gt;0,Model!AF$1&lt;='Assumptions (Wind)'!$V$13),PPMT('Assumptions (Wind)'!$V$10,Model!AF1,'Assumptions (Wind)'!$V$13,'Assumptions (Wind)'!$V$8*Model!$AB$677*AVERAGE('Assumptions (Wind)'!$Y$2:$Z$2)/10^9),0)</f>
        <v>-0.02216932153</v>
      </c>
      <c r="AL759" s="160"/>
      <c r="AM759" s="160"/>
      <c r="AN759" s="160"/>
      <c r="AO759" s="160"/>
      <c r="AP759" s="160"/>
      <c r="AQ759" s="160"/>
      <c r="AR759" s="160"/>
      <c r="AS759" s="160"/>
      <c r="AT759" s="160"/>
      <c r="AU759" s="160"/>
      <c r="AV759" s="160"/>
      <c r="AW759" s="160"/>
      <c r="AX759" s="160"/>
      <c r="AY759" s="160"/>
      <c r="AZ759" s="160"/>
      <c r="BA759" s="160"/>
    </row>
    <row r="760" ht="15.75" hidden="1" customHeight="1" outlineLevel="1">
      <c r="A760" s="241"/>
      <c r="B760" s="38"/>
      <c r="C760" s="174"/>
      <c r="D760" s="174"/>
      <c r="E760" s="174"/>
      <c r="F760" s="174"/>
      <c r="G760" s="174"/>
      <c r="H760" s="174"/>
      <c r="I760" s="174"/>
      <c r="J760" s="174"/>
      <c r="K760" s="174"/>
      <c r="L760" s="174"/>
      <c r="M760" s="174"/>
      <c r="N760" s="174"/>
      <c r="O760" s="174"/>
      <c r="P760" s="174"/>
      <c r="Q760" s="174"/>
      <c r="R760" s="174"/>
      <c r="S760" s="174"/>
      <c r="T760" s="174"/>
      <c r="U760" s="174"/>
      <c r="V760" s="174"/>
      <c r="W760" s="160"/>
      <c r="X760" s="160"/>
      <c r="Y760" s="160"/>
      <c r="Z760" s="160"/>
      <c r="AA760" s="160"/>
      <c r="AB760" s="160"/>
      <c r="AC760" s="160">
        <f>IF(and($AC$677&gt;0,Model!W$1&lt;='Assumptions (Wind)'!$V$13),PPMT('Assumptions (Wind)'!$V$10,Model!W1,'Assumptions (Wind)'!$V$13,'Assumptions (Wind)'!$V$8*Model!$AC$677*AVERAGE('Assumptions (Wind)'!$Z$2:$AA$2)/10^9),0)</f>
        <v>-0.01102913387</v>
      </c>
      <c r="AD760" s="160">
        <f>IF(and($AC$677&gt;0,Model!X$1&lt;='Assumptions (Wind)'!$V$13),PPMT('Assumptions (Wind)'!$V$10,Model!X1,'Assumptions (Wind)'!$V$13,'Assumptions (Wind)'!$V$8*Model!$AC$677*AVERAGE('Assumptions (Wind)'!$Z$2:$AA$2)/10^9),0)</f>
        <v>-0.01191146458</v>
      </c>
      <c r="AE760" s="160">
        <f>IF(and($AC$677&gt;0,Model!Y$1&lt;='Assumptions (Wind)'!$V$13),PPMT('Assumptions (Wind)'!$V$10,Model!Y1,'Assumptions (Wind)'!$V$13,'Assumptions (Wind)'!$V$8*Model!$AC$677*AVERAGE('Assumptions (Wind)'!$Z$2:$AA$2)/10^9),0)</f>
        <v>-0.01286438175</v>
      </c>
      <c r="AF760" s="160">
        <f>IF(and($AC$677&gt;0,Model!Z$1&lt;='Assumptions (Wind)'!$V$13),PPMT('Assumptions (Wind)'!$V$10,Model!Z1,'Assumptions (Wind)'!$V$13,'Assumptions (Wind)'!$V$8*Model!$AC$677*AVERAGE('Assumptions (Wind)'!$Z$2:$AA$2)/10^9),0)</f>
        <v>-0.01389353229</v>
      </c>
      <c r="AG760" s="160">
        <f>IF(and($AC$677&gt;0,Model!AA$1&lt;='Assumptions (Wind)'!$V$13),PPMT('Assumptions (Wind)'!$V$10,Model!AA1,'Assumptions (Wind)'!$V$13,'Assumptions (Wind)'!$V$8*Model!$AC$677*AVERAGE('Assumptions (Wind)'!$Z$2:$AA$2)/10^9),0)</f>
        <v>-0.01500501487</v>
      </c>
      <c r="AH760" s="160">
        <f>IF(and($AC$677&gt;0,Model!AB$1&lt;='Assumptions (Wind)'!$V$13),PPMT('Assumptions (Wind)'!$V$10,Model!AB1,'Assumptions (Wind)'!$V$13,'Assumptions (Wind)'!$V$8*Model!$AC$677*AVERAGE('Assumptions (Wind)'!$Z$2:$AA$2)/10^9),0)</f>
        <v>-0.01620541606</v>
      </c>
      <c r="AI760" s="160">
        <f>IF(and($AC$677&gt;0,Model!AC$1&lt;='Assumptions (Wind)'!$V$13),PPMT('Assumptions (Wind)'!$V$10,Model!AC1,'Assumptions (Wind)'!$V$13,'Assumptions (Wind)'!$V$8*Model!$AC$677*AVERAGE('Assumptions (Wind)'!$Z$2:$AA$2)/10^9),0)</f>
        <v>-0.01750184935</v>
      </c>
      <c r="AJ760" s="160">
        <f>IF(and($AC$677&gt;0,Model!AD$1&lt;='Assumptions (Wind)'!$V$13),PPMT('Assumptions (Wind)'!$V$10,Model!AD1,'Assumptions (Wind)'!$V$13,'Assumptions (Wind)'!$V$8*Model!$AC$677*AVERAGE('Assumptions (Wind)'!$Z$2:$AA$2)/10^9),0)</f>
        <v>-0.01890199729</v>
      </c>
      <c r="AK760" s="160">
        <f>IF(and($AC$677&gt;0,Model!AE$1&lt;='Assumptions (Wind)'!$V$13),PPMT('Assumptions (Wind)'!$V$10,Model!AE1,'Assumptions (Wind)'!$V$13,'Assumptions (Wind)'!$V$8*Model!$AC$677*AVERAGE('Assumptions (Wind)'!$Z$2:$AA$2)/10^9),0)</f>
        <v>-0.02041415708</v>
      </c>
      <c r="AL760" s="160">
        <f>IF(and($AC$677&gt;0,Model!AF$1&lt;='Assumptions (Wind)'!$V$13),PPMT('Assumptions (Wind)'!$V$10,Model!AF1,'Assumptions (Wind)'!$V$13,'Assumptions (Wind)'!$V$8*Model!$AC$677*AVERAGE('Assumptions (Wind)'!$Z$2:$AA$2)/10^9),0)</f>
        <v>-0.02204728964</v>
      </c>
      <c r="AM760" s="160"/>
      <c r="AN760" s="160"/>
      <c r="AO760" s="160"/>
      <c r="AP760" s="160"/>
      <c r="AQ760" s="160"/>
      <c r="AR760" s="160"/>
      <c r="AS760" s="160"/>
      <c r="AT760" s="160"/>
      <c r="AU760" s="160"/>
      <c r="AV760" s="160"/>
      <c r="AW760" s="160"/>
      <c r="AX760" s="160"/>
      <c r="AY760" s="160"/>
      <c r="AZ760" s="160"/>
      <c r="BA760" s="160"/>
    </row>
    <row r="761" ht="15.75" hidden="1" customHeight="1" outlineLevel="1">
      <c r="A761" s="241"/>
      <c r="B761" s="38"/>
      <c r="C761" s="174"/>
      <c r="D761" s="174"/>
      <c r="E761" s="174"/>
      <c r="F761" s="174"/>
      <c r="G761" s="174"/>
      <c r="H761" s="174"/>
      <c r="I761" s="174"/>
      <c r="J761" s="174"/>
      <c r="K761" s="174"/>
      <c r="L761" s="174"/>
      <c r="M761" s="174"/>
      <c r="N761" s="174"/>
      <c r="O761" s="174"/>
      <c r="P761" s="174"/>
      <c r="Q761" s="174"/>
      <c r="R761" s="174"/>
      <c r="S761" s="174"/>
      <c r="T761" s="174"/>
      <c r="U761" s="174"/>
      <c r="V761" s="174"/>
      <c r="W761" s="160"/>
      <c r="X761" s="160"/>
      <c r="Y761" s="160"/>
      <c r="Z761" s="160"/>
      <c r="AA761" s="160"/>
      <c r="AB761" s="160"/>
      <c r="AC761" s="160"/>
      <c r="AD761" s="160">
        <f>IF(and($AD$677&gt;0,Model!W$1&lt;='Assumptions (Wind)'!$V$13),PPMT('Assumptions (Wind)'!$V$10,Model!W1,'Assumptions (Wind)'!$V$13,'Assumptions (Wind)'!$V$8*Model!$AD$677*AVERAGE('Assumptions (Wind)'!$AA$2:$AB$2)/10^9),0)</f>
        <v>-0.01096148472</v>
      </c>
      <c r="AE761" s="160">
        <f>IF(and($AD$677&gt;0,Model!X$1&lt;='Assumptions (Wind)'!$V$13),PPMT('Assumptions (Wind)'!$V$10,Model!X1,'Assumptions (Wind)'!$V$13,'Assumptions (Wind)'!$V$8*Model!$AD$677*AVERAGE('Assumptions (Wind)'!$AA$2:$AB$2)/10^9),0)</f>
        <v>-0.0118384035</v>
      </c>
      <c r="AF761" s="160">
        <f>IF(and($AD$677&gt;0,Model!Y$1&lt;='Assumptions (Wind)'!$V$13),PPMT('Assumptions (Wind)'!$V$10,Model!Y1,'Assumptions (Wind)'!$V$13,'Assumptions (Wind)'!$V$8*Model!$AD$677*AVERAGE('Assumptions (Wind)'!$AA$2:$AB$2)/10^9),0)</f>
        <v>-0.01278547578</v>
      </c>
      <c r="AG761" s="160">
        <f>IF(and($AD$677&gt;0,Model!Z$1&lt;='Assumptions (Wind)'!$V$13),PPMT('Assumptions (Wind)'!$V$10,Model!Z1,'Assumptions (Wind)'!$V$13,'Assumptions (Wind)'!$V$8*Model!$AD$677*AVERAGE('Assumptions (Wind)'!$AA$2:$AB$2)/10^9),0)</f>
        <v>-0.01380831384</v>
      </c>
      <c r="AH761" s="160">
        <f>IF(and($AD$677&gt;0,Model!AA$1&lt;='Assumptions (Wind)'!$V$13),PPMT('Assumptions (Wind)'!$V$10,Model!AA1,'Assumptions (Wind)'!$V$13,'Assumptions (Wind)'!$V$8*Model!$AD$677*AVERAGE('Assumptions (Wind)'!$AA$2:$AB$2)/10^9),0)</f>
        <v>-0.01491297895</v>
      </c>
      <c r="AI761" s="160">
        <f>IF(and($AD$677&gt;0,Model!AB$1&lt;='Assumptions (Wind)'!$V$13),PPMT('Assumptions (Wind)'!$V$10,Model!AB1,'Assumptions (Wind)'!$V$13,'Assumptions (Wind)'!$V$8*Model!$AD$677*AVERAGE('Assumptions (Wind)'!$AA$2:$AB$2)/10^9),0)</f>
        <v>-0.01610601726</v>
      </c>
      <c r="AJ761" s="160">
        <f>IF(and($AD$677&gt;0,Model!AC$1&lt;='Assumptions (Wind)'!$V$13),PPMT('Assumptions (Wind)'!$V$10,Model!AC1,'Assumptions (Wind)'!$V$13,'Assumptions (Wind)'!$V$8*Model!$AD$677*AVERAGE('Assumptions (Wind)'!$AA$2:$AB$2)/10^9),0)</f>
        <v>-0.01739449864</v>
      </c>
      <c r="AK761" s="160">
        <f>IF(and($AD$677&gt;0,Model!AD$1&lt;='Assumptions (Wind)'!$V$13),PPMT('Assumptions (Wind)'!$V$10,Model!AD1,'Assumptions (Wind)'!$V$13,'Assumptions (Wind)'!$V$8*Model!$AD$677*AVERAGE('Assumptions (Wind)'!$AA$2:$AB$2)/10^9),0)</f>
        <v>-0.01878605854</v>
      </c>
      <c r="AL761" s="160">
        <f>IF(and($AD$677&gt;0,Model!AE$1&lt;='Assumptions (Wind)'!$V$13),PPMT('Assumptions (Wind)'!$V$10,Model!AE1,'Assumptions (Wind)'!$V$13,'Assumptions (Wind)'!$V$8*Model!$AD$677*AVERAGE('Assumptions (Wind)'!$AA$2:$AB$2)/10^9),0)</f>
        <v>-0.02028894322</v>
      </c>
      <c r="AM761" s="160">
        <f>IF(and($AD$677&gt;0,Model!AF$1&lt;='Assumptions (Wind)'!$V$13),PPMT('Assumptions (Wind)'!$V$10,Model!AF1,'Assumptions (Wind)'!$V$13,'Assumptions (Wind)'!$V$8*Model!$AD$677*AVERAGE('Assumptions (Wind)'!$AA$2:$AB$2)/10^9),0)</f>
        <v>-0.02191205868</v>
      </c>
      <c r="AN761" s="160"/>
      <c r="AO761" s="160"/>
      <c r="AP761" s="160"/>
      <c r="AQ761" s="160"/>
      <c r="AR761" s="160"/>
      <c r="AS761" s="160"/>
      <c r="AT761" s="160"/>
      <c r="AU761" s="160"/>
      <c r="AV761" s="160"/>
      <c r="AW761" s="160"/>
      <c r="AX761" s="160"/>
      <c r="AY761" s="160"/>
      <c r="AZ761" s="160"/>
      <c r="BA761" s="160"/>
      <c r="BB761" s="160"/>
    </row>
    <row r="762" ht="15.75" hidden="1" customHeight="1" outlineLevel="1">
      <c r="A762" s="241"/>
      <c r="B762" s="38"/>
      <c r="C762" s="174"/>
      <c r="D762" s="174"/>
      <c r="E762" s="174"/>
      <c r="F762" s="174"/>
      <c r="G762" s="174"/>
      <c r="H762" s="174"/>
      <c r="I762" s="174"/>
      <c r="J762" s="174"/>
      <c r="K762" s="174"/>
      <c r="L762" s="174"/>
      <c r="M762" s="174"/>
      <c r="N762" s="174"/>
      <c r="O762" s="174"/>
      <c r="P762" s="174"/>
      <c r="Q762" s="174"/>
      <c r="R762" s="174"/>
      <c r="S762" s="174"/>
      <c r="T762" s="174"/>
      <c r="U762" s="174"/>
      <c r="V762" s="174"/>
      <c r="W762" s="160"/>
      <c r="X762" s="160"/>
      <c r="Y762" s="160"/>
      <c r="Z762" s="160"/>
      <c r="AA762" s="160"/>
      <c r="AB762" s="160"/>
      <c r="AC762" s="160"/>
      <c r="AD762" s="160"/>
      <c r="AE762" s="160">
        <f>IF(and($AE$677&gt;0,Model!W$1&lt;='Assumptions (Wind)'!$V$13),PPMT('Assumptions (Wind)'!$V$10,Model!W1,'Assumptions (Wind)'!$V$13,'Assumptions (Wind)'!$V$8*Model!$AE$677*AVERAGE('Assumptions (Wind)'!$AB$2:$AC$2)/10^9),0)</f>
        <v>-0.01101306464</v>
      </c>
      <c r="AF762" s="160">
        <f>IF(and($AE$677&gt;0,Model!X$1&lt;='Assumptions (Wind)'!$V$13),PPMT('Assumptions (Wind)'!$V$10,Model!X1,'Assumptions (Wind)'!$V$13,'Assumptions (Wind)'!$V$8*Model!$AE$677*AVERAGE('Assumptions (Wind)'!$AB$2:$AC$2)/10^9),0)</f>
        <v>-0.01189410981</v>
      </c>
      <c r="AG762" s="160">
        <f>IF(and($AE$677&gt;0,Model!Y$1&lt;='Assumptions (Wind)'!$V$13),PPMT('Assumptions (Wind)'!$V$10,Model!Y1,'Assumptions (Wind)'!$V$13,'Assumptions (Wind)'!$V$8*Model!$AE$677*AVERAGE('Assumptions (Wind)'!$AB$2:$AC$2)/10^9),0)</f>
        <v>-0.0128456386</v>
      </c>
      <c r="AH762" s="160">
        <f>IF(and($AE$677&gt;0,Model!Z$1&lt;='Assumptions (Wind)'!$V$13),PPMT('Assumptions (Wind)'!$V$10,Model!Z1,'Assumptions (Wind)'!$V$13,'Assumptions (Wind)'!$V$8*Model!$AE$677*AVERAGE('Assumptions (Wind)'!$AB$2:$AC$2)/10^9),0)</f>
        <v>-0.01387328969</v>
      </c>
      <c r="AI762" s="160">
        <f>IF(and($AE$677&gt;0,Model!AA$1&lt;='Assumptions (Wind)'!$V$13),PPMT('Assumptions (Wind)'!$V$10,Model!AA1,'Assumptions (Wind)'!$V$13,'Assumptions (Wind)'!$V$8*Model!$AE$677*AVERAGE('Assumptions (Wind)'!$AB$2:$AC$2)/10^9),0)</f>
        <v>-0.01498315286</v>
      </c>
      <c r="AJ762" s="160">
        <f>IF(and($AE$677&gt;0,Model!AB$1&lt;='Assumptions (Wind)'!$V$13),PPMT('Assumptions (Wind)'!$V$10,Model!AB1,'Assumptions (Wind)'!$V$13,'Assumptions (Wind)'!$V$8*Model!$AE$677*AVERAGE('Assumptions (Wind)'!$AB$2:$AC$2)/10^9),0)</f>
        <v>-0.01618180509</v>
      </c>
      <c r="AK762" s="160">
        <f>IF(and($AE$677&gt;0,Model!AC$1&lt;='Assumptions (Wind)'!$V$13),PPMT('Assumptions (Wind)'!$V$10,Model!AC1,'Assumptions (Wind)'!$V$13,'Assumptions (Wind)'!$V$8*Model!$AE$677*AVERAGE('Assumptions (Wind)'!$AB$2:$AC$2)/10^9),0)</f>
        <v>-0.0174763495</v>
      </c>
      <c r="AL762" s="160">
        <f>IF(and($AE$677&gt;0,Model!AD$1&lt;='Assumptions (Wind)'!$V$13),PPMT('Assumptions (Wind)'!$V$10,Model!AD1,'Assumptions (Wind)'!$V$13,'Assumptions (Wind)'!$V$8*Model!$AE$677*AVERAGE('Assumptions (Wind)'!$AB$2:$AC$2)/10^9),0)</f>
        <v>-0.01887445746</v>
      </c>
      <c r="AM762" s="160">
        <f>IF(and($AE$677&gt;0,Model!AE$1&lt;='Assumptions (Wind)'!$V$13),PPMT('Assumptions (Wind)'!$V$10,Model!AE1,'Assumptions (Wind)'!$V$13,'Assumptions (Wind)'!$V$8*Model!$AE$677*AVERAGE('Assumptions (Wind)'!$AB$2:$AC$2)/10^9),0)</f>
        <v>-0.02038441405</v>
      </c>
      <c r="AN762" s="160">
        <f>IF(and($AE$677&gt;0,Model!AF$1&lt;='Assumptions (Wind)'!$V$13),PPMT('Assumptions (Wind)'!$V$10,Model!AF1,'Assumptions (Wind)'!$V$13,'Assumptions (Wind)'!$V$8*Model!$AE$677*AVERAGE('Assumptions (Wind)'!$AB$2:$AC$2)/10^9),0)</f>
        <v>-0.02201516718</v>
      </c>
      <c r="AO762" s="160"/>
      <c r="AP762" s="160"/>
      <c r="AQ762" s="160"/>
      <c r="AR762" s="160"/>
      <c r="AS762" s="160"/>
      <c r="AT762" s="160"/>
      <c r="AU762" s="160"/>
      <c r="AV762" s="160"/>
      <c r="AW762" s="160"/>
      <c r="AX762" s="160"/>
      <c r="AY762" s="160"/>
      <c r="AZ762" s="160"/>
      <c r="BA762" s="160"/>
      <c r="BB762" s="160"/>
      <c r="BC762" s="160"/>
    </row>
    <row r="763" ht="15.75" hidden="1" customHeight="1" outlineLevel="1">
      <c r="A763" s="241"/>
      <c r="B763" s="38"/>
      <c r="C763" s="174"/>
      <c r="D763" s="174"/>
      <c r="E763" s="174"/>
      <c r="F763" s="174"/>
      <c r="G763" s="174"/>
      <c r="H763" s="174"/>
      <c r="I763" s="174"/>
      <c r="J763" s="174"/>
      <c r="K763" s="174"/>
      <c r="L763" s="174"/>
      <c r="M763" s="174"/>
      <c r="N763" s="174"/>
      <c r="O763" s="174"/>
      <c r="P763" s="174"/>
      <c r="Q763" s="174"/>
      <c r="R763" s="174"/>
      <c r="S763" s="174"/>
      <c r="T763" s="174"/>
      <c r="U763" s="174"/>
      <c r="V763" s="174"/>
      <c r="W763" s="160"/>
      <c r="X763" s="160"/>
      <c r="Y763" s="160"/>
      <c r="Z763" s="160"/>
      <c r="AA763" s="160"/>
      <c r="AB763" s="160"/>
      <c r="AC763" s="160"/>
      <c r="AD763" s="160"/>
      <c r="AE763" s="160"/>
      <c r="AF763" s="160">
        <f>IF(and($AF$677&gt;0,Model!W$1&lt;='Assumptions (Wind)'!$V$13),PPMT('Assumptions (Wind)'!$V$10,Model!W1,'Assumptions (Wind)'!$V$13,'Assumptions (Wind)'!$V$8*Model!$AF$677*AVERAGE('Assumptions (Wind)'!$AC$2:$AD$2)/10^9),0)</f>
        <v>-0.01080152849</v>
      </c>
      <c r="AG763" s="160">
        <f>IF(and($AF$677&gt;0,Model!X$1&lt;='Assumptions (Wind)'!$V$13),PPMT('Assumptions (Wind)'!$V$10,Model!X1,'Assumptions (Wind)'!$V$13,'Assumptions (Wind)'!$V$8*Model!$AF$677*AVERAGE('Assumptions (Wind)'!$AC$2:$AD$2)/10^9),0)</f>
        <v>-0.01166565077</v>
      </c>
      <c r="AH763" s="160">
        <f>IF(and($AF$677&gt;0,Model!Y$1&lt;='Assumptions (Wind)'!$V$13),PPMT('Assumptions (Wind)'!$V$10,Model!Y1,'Assumptions (Wind)'!$V$13,'Assumptions (Wind)'!$V$8*Model!$AF$677*AVERAGE('Assumptions (Wind)'!$AC$2:$AD$2)/10^9),0)</f>
        <v>-0.01259890283</v>
      </c>
      <c r="AI763" s="160">
        <f>IF(and($AF$677&gt;0,Model!Z$1&lt;='Assumptions (Wind)'!$V$13),PPMT('Assumptions (Wind)'!$V$10,Model!Z1,'Assumptions (Wind)'!$V$13,'Assumptions (Wind)'!$V$8*Model!$AF$677*AVERAGE('Assumptions (Wind)'!$AC$2:$AD$2)/10^9),0)</f>
        <v>-0.01360681505</v>
      </c>
      <c r="AJ763" s="160">
        <f>IF(and($AF$677&gt;0,Model!AA$1&lt;='Assumptions (Wind)'!$V$13),PPMT('Assumptions (Wind)'!$V$10,Model!AA1,'Assumptions (Wind)'!$V$13,'Assumptions (Wind)'!$V$8*Model!$AF$677*AVERAGE('Assumptions (Wind)'!$AC$2:$AD$2)/10^9),0)</f>
        <v>-0.01469536026</v>
      </c>
      <c r="AK763" s="160">
        <f>IF(and($AF$677&gt;0,Model!AB$1&lt;='Assumptions (Wind)'!$V$13),PPMT('Assumptions (Wind)'!$V$10,Model!AB1,'Assumptions (Wind)'!$V$13,'Assumptions (Wind)'!$V$8*Model!$AF$677*AVERAGE('Assumptions (Wind)'!$AC$2:$AD$2)/10^9),0)</f>
        <v>-0.01587098908</v>
      </c>
      <c r="AL763" s="160">
        <f>IF(and($AF$677&gt;0,Model!AC$1&lt;='Assumptions (Wind)'!$V$13),PPMT('Assumptions (Wind)'!$V$10,Model!AC1,'Assumptions (Wind)'!$V$13,'Assumptions (Wind)'!$V$8*Model!$AF$677*AVERAGE('Assumptions (Wind)'!$AC$2:$AD$2)/10^9),0)</f>
        <v>-0.0171406682</v>
      </c>
      <c r="AM763" s="160">
        <f>IF(and($AF$677&gt;0,Model!AD$1&lt;='Assumptions (Wind)'!$V$13),PPMT('Assumptions (Wind)'!$V$10,Model!AD1,'Assumptions (Wind)'!$V$13,'Assumptions (Wind)'!$V$8*Model!$AF$677*AVERAGE('Assumptions (Wind)'!$AC$2:$AD$2)/10^9),0)</f>
        <v>-0.01851192166</v>
      </c>
      <c r="AN763" s="160">
        <f>IF(and($AF$677&gt;0,Model!AE$1&lt;='Assumptions (Wind)'!$V$13),PPMT('Assumptions (Wind)'!$V$10,Model!AE1,'Assumptions (Wind)'!$V$13,'Assumptions (Wind)'!$V$8*Model!$AF$677*AVERAGE('Assumptions (Wind)'!$AC$2:$AD$2)/10^9),0)</f>
        <v>-0.01999287539</v>
      </c>
      <c r="AO763" s="160">
        <f>IF(and($AF$677&gt;0,Model!AF$1&lt;='Assumptions (Wind)'!$V$13),PPMT('Assumptions (Wind)'!$V$10,Model!AF1,'Assumptions (Wind)'!$V$13,'Assumptions (Wind)'!$V$8*Model!$AF$677*AVERAGE('Assumptions (Wind)'!$AC$2:$AD$2)/10^9),0)</f>
        <v>-0.02159230542</v>
      </c>
      <c r="AP763" s="160"/>
      <c r="AQ763" s="160"/>
      <c r="AR763" s="160"/>
      <c r="AS763" s="160"/>
      <c r="AT763" s="160"/>
      <c r="AU763" s="160"/>
      <c r="AV763" s="160"/>
      <c r="AW763" s="160"/>
      <c r="AX763" s="160"/>
      <c r="AY763" s="160"/>
      <c r="AZ763" s="160"/>
      <c r="BA763" s="160"/>
      <c r="BB763" s="160"/>
      <c r="BC763" s="160"/>
      <c r="BD763" s="160"/>
    </row>
    <row r="764" ht="15.75" hidden="1" customHeight="1" outlineLevel="1">
      <c r="A764" s="241"/>
      <c r="B764" s="38"/>
      <c r="C764" s="174"/>
      <c r="D764" s="174"/>
      <c r="E764" s="174"/>
      <c r="F764" s="174"/>
      <c r="G764" s="174"/>
      <c r="H764" s="174"/>
      <c r="I764" s="174"/>
      <c r="J764" s="174"/>
      <c r="K764" s="174"/>
      <c r="L764" s="174"/>
      <c r="M764" s="174"/>
      <c r="N764" s="174"/>
      <c r="O764" s="174"/>
      <c r="P764" s="174"/>
      <c r="Q764" s="174"/>
      <c r="R764" s="174"/>
      <c r="S764" s="174"/>
      <c r="T764" s="174"/>
      <c r="U764" s="174"/>
      <c r="V764" s="174"/>
      <c r="W764" s="160"/>
      <c r="X764" s="160"/>
      <c r="Y764" s="160"/>
      <c r="Z764" s="160"/>
      <c r="AA764" s="160"/>
      <c r="AB764" s="160"/>
      <c r="AC764" s="160"/>
      <c r="AD764" s="160"/>
      <c r="AE764" s="160"/>
      <c r="AF764" s="160"/>
      <c r="AG764" s="160">
        <f>IF(and($AG$677&gt;0,Model!W$1&lt;='Assumptions (Wind)'!$V$13),PPMT('Assumptions (Wind)'!$V$10,Model!W1,'Assumptions (Wind)'!$V$13,'Assumptions (Wind)'!$V$8*Model!$AG$677*AVERAGE('Assumptions (Wind)'!$AD$2:$AE$2)/10^9),0)</f>
        <v>-0.01070467493</v>
      </c>
      <c r="AH764" s="160">
        <f>IF(and($AG$677&gt;0,Model!X$1&lt;='Assumptions (Wind)'!$V$13),PPMT('Assumptions (Wind)'!$V$10,Model!X1,'Assumptions (Wind)'!$V$13,'Assumptions (Wind)'!$V$8*Model!$AG$677*AVERAGE('Assumptions (Wind)'!$AD$2:$AE$2)/10^9),0)</f>
        <v>-0.01156104892</v>
      </c>
      <c r="AI764" s="160">
        <f>IF(and($AG$677&gt;0,Model!Y$1&lt;='Assumptions (Wind)'!$V$13),PPMT('Assumptions (Wind)'!$V$10,Model!Y1,'Assumptions (Wind)'!$V$13,'Assumptions (Wind)'!$V$8*Model!$AG$677*AVERAGE('Assumptions (Wind)'!$AD$2:$AE$2)/10^9),0)</f>
        <v>-0.01248593284</v>
      </c>
      <c r="AJ764" s="160">
        <f>IF(and($AG$677&gt;0,Model!Z$1&lt;='Assumptions (Wind)'!$V$13),PPMT('Assumptions (Wind)'!$V$10,Model!Z1,'Assumptions (Wind)'!$V$13,'Assumptions (Wind)'!$V$8*Model!$AG$677*AVERAGE('Assumptions (Wind)'!$AD$2:$AE$2)/10^9),0)</f>
        <v>-0.01348480746</v>
      </c>
      <c r="AK764" s="160">
        <f>IF(and($AG$677&gt;0,Model!AA$1&lt;='Assumptions (Wind)'!$V$13),PPMT('Assumptions (Wind)'!$V$10,Model!AA1,'Assumptions (Wind)'!$V$13,'Assumptions (Wind)'!$V$8*Model!$AG$677*AVERAGE('Assumptions (Wind)'!$AD$2:$AE$2)/10^9),0)</f>
        <v>-0.01456359206</v>
      </c>
      <c r="AL764" s="160">
        <f>IF(and($AG$677&gt;0,Model!AB$1&lt;='Assumptions (Wind)'!$V$13),PPMT('Assumptions (Wind)'!$V$10,Model!AB1,'Assumptions (Wind)'!$V$13,'Assumptions (Wind)'!$V$8*Model!$AG$677*AVERAGE('Assumptions (Wind)'!$AD$2:$AE$2)/10^9),0)</f>
        <v>-0.01572867943</v>
      </c>
      <c r="AM764" s="160">
        <f>IF(and($AG$677&gt;0,Model!AC$1&lt;='Assumptions (Wind)'!$V$13),PPMT('Assumptions (Wind)'!$V$10,Model!AC1,'Assumptions (Wind)'!$V$13,'Assumptions (Wind)'!$V$8*Model!$AG$677*AVERAGE('Assumptions (Wind)'!$AD$2:$AE$2)/10^9),0)</f>
        <v>-0.01698697378</v>
      </c>
      <c r="AN764" s="160">
        <f>IF(and($AG$677&gt;0,Model!AD$1&lt;='Assumptions (Wind)'!$V$13),PPMT('Assumptions (Wind)'!$V$10,Model!AD1,'Assumptions (Wind)'!$V$13,'Assumptions (Wind)'!$V$8*Model!$AG$677*AVERAGE('Assumptions (Wind)'!$AD$2:$AE$2)/10^9),0)</f>
        <v>-0.01834593168</v>
      </c>
      <c r="AO764" s="160">
        <f>IF(and($AG$677&gt;0,Model!AE$1&lt;='Assumptions (Wind)'!$V$13),PPMT('Assumptions (Wind)'!$V$10,Model!AE1,'Assumptions (Wind)'!$V$13,'Assumptions (Wind)'!$V$8*Model!$AG$677*AVERAGE('Assumptions (Wind)'!$AD$2:$AE$2)/10^9),0)</f>
        <v>-0.01981360622</v>
      </c>
      <c r="AP764" s="160">
        <f>IF(and($AG$677&gt;0,Model!AF$1&lt;='Assumptions (Wind)'!$V$13),PPMT('Assumptions (Wind)'!$V$10,Model!AF1,'Assumptions (Wind)'!$V$13,'Assumptions (Wind)'!$V$8*Model!$AG$677*AVERAGE('Assumptions (Wind)'!$AD$2:$AE$2)/10^9),0)</f>
        <v>-0.02139869471</v>
      </c>
      <c r="AQ764" s="160"/>
      <c r="AR764" s="160"/>
      <c r="AS764" s="160"/>
      <c r="AT764" s="160"/>
      <c r="AU764" s="160"/>
      <c r="AV764" s="160"/>
      <c r="AW764" s="160"/>
      <c r="AX764" s="160"/>
      <c r="AY764" s="160"/>
      <c r="AZ764" s="160"/>
      <c r="BA764" s="160"/>
      <c r="BB764" s="160"/>
      <c r="BC764" s="160"/>
      <c r="BD764" s="160"/>
      <c r="BE764" s="160"/>
    </row>
    <row r="765" ht="15.75" hidden="1" customHeight="1" outlineLevel="1">
      <c r="A765" s="241"/>
      <c r="B765" s="38"/>
      <c r="C765" s="174"/>
      <c r="D765" s="174"/>
      <c r="E765" s="174"/>
      <c r="F765" s="174"/>
      <c r="G765" s="174"/>
      <c r="H765" s="174"/>
      <c r="I765" s="174"/>
      <c r="J765" s="174"/>
      <c r="K765" s="174"/>
      <c r="L765" s="174"/>
      <c r="M765" s="174"/>
      <c r="N765" s="174"/>
      <c r="O765" s="174"/>
      <c r="P765" s="174"/>
      <c r="Q765" s="174"/>
      <c r="R765" s="174"/>
      <c r="S765" s="174"/>
      <c r="T765" s="174"/>
      <c r="U765" s="174"/>
      <c r="V765" s="174"/>
      <c r="W765" s="160"/>
      <c r="X765" s="160"/>
      <c r="Y765" s="160"/>
      <c r="Z765" s="160"/>
      <c r="AA765" s="160"/>
      <c r="AB765" s="160"/>
      <c r="AC765" s="160"/>
      <c r="AD765" s="160"/>
      <c r="AE765" s="160"/>
      <c r="AF765" s="160"/>
      <c r="AG765" s="160"/>
      <c r="AH765" s="160">
        <f>IF(and($AH$677&gt;0,Model!W$1&lt;='Assumptions (Wind)'!$V$13),PPMT('Assumptions (Wind)'!$V$10,Model!W1,'Assumptions (Wind)'!$V$13,'Assumptions (Wind)'!$V$8*Model!$AH$677*AVERAGE('Assumptions (Wind)'!$AE$2:$AF$2)/10^9),0)</f>
        <v>-0.01059587218</v>
      </c>
      <c r="AI765" s="160">
        <f>IF(and($AH$677&gt;0,Model!X$1&lt;='Assumptions (Wind)'!$V$13),PPMT('Assumptions (Wind)'!$V$10,Model!X1,'Assumptions (Wind)'!$V$13,'Assumptions (Wind)'!$V$8*Model!$AH$677*AVERAGE('Assumptions (Wind)'!$AE$2:$AF$2)/10^9),0)</f>
        <v>-0.01144354195</v>
      </c>
      <c r="AJ765" s="160">
        <f>IF(and($AH$677&gt;0,Model!Y$1&lt;='Assumptions (Wind)'!$V$13),PPMT('Assumptions (Wind)'!$V$10,Model!Y1,'Assumptions (Wind)'!$V$13,'Assumptions (Wind)'!$V$8*Model!$AH$677*AVERAGE('Assumptions (Wind)'!$AE$2:$AF$2)/10^9),0)</f>
        <v>-0.01235902531</v>
      </c>
      <c r="AK765" s="160">
        <f>IF(and($AH$677&gt;0,Model!Z$1&lt;='Assumptions (Wind)'!$V$13),PPMT('Assumptions (Wind)'!$V$10,Model!Z1,'Assumptions (Wind)'!$V$13,'Assumptions (Wind)'!$V$8*Model!$AH$677*AVERAGE('Assumptions (Wind)'!$AE$2:$AF$2)/10^9),0)</f>
        <v>-0.01334774733</v>
      </c>
      <c r="AL765" s="160">
        <f>IF(and($AH$677&gt;0,Model!AA$1&lt;='Assumptions (Wind)'!$V$13),PPMT('Assumptions (Wind)'!$V$10,Model!AA1,'Assumptions (Wind)'!$V$13,'Assumptions (Wind)'!$V$8*Model!$AH$677*AVERAGE('Assumptions (Wind)'!$AE$2:$AF$2)/10^9),0)</f>
        <v>-0.01441556712</v>
      </c>
      <c r="AM765" s="160">
        <f>IF(and($AH$677&gt;0,Model!AB$1&lt;='Assumptions (Wind)'!$V$13),PPMT('Assumptions (Wind)'!$V$10,Model!AB1,'Assumptions (Wind)'!$V$13,'Assumptions (Wind)'!$V$8*Model!$AH$677*AVERAGE('Assumptions (Wind)'!$AE$2:$AF$2)/10^9),0)</f>
        <v>-0.01556881249</v>
      </c>
      <c r="AN765" s="160">
        <f>IF(and($AH$677&gt;0,Model!AC$1&lt;='Assumptions (Wind)'!$V$13),PPMT('Assumptions (Wind)'!$V$10,Model!AC1,'Assumptions (Wind)'!$V$13,'Assumptions (Wind)'!$V$8*Model!$AH$677*AVERAGE('Assumptions (Wind)'!$AE$2:$AF$2)/10^9),0)</f>
        <v>-0.01681431749</v>
      </c>
      <c r="AO765" s="160">
        <f>IF(and($AH$677&gt;0,Model!AD$1&lt;='Assumptions (Wind)'!$V$13),PPMT('Assumptions (Wind)'!$V$10,Model!AD1,'Assumptions (Wind)'!$V$13,'Assumptions (Wind)'!$V$8*Model!$AH$677*AVERAGE('Assumptions (Wind)'!$AE$2:$AF$2)/10^9),0)</f>
        <v>-0.01815946289</v>
      </c>
      <c r="AP765" s="160">
        <f>IF(and($AH$677&gt;0,Model!AE$1&lt;='Assumptions (Wind)'!$V$13),PPMT('Assumptions (Wind)'!$V$10,Model!AE1,'Assumptions (Wind)'!$V$13,'Assumptions (Wind)'!$V$8*Model!$AH$677*AVERAGE('Assumptions (Wind)'!$AE$2:$AF$2)/10^9),0)</f>
        <v>-0.01961221992</v>
      </c>
      <c r="AQ765" s="160">
        <f>IF(and($AH$677&gt;0,Model!AF$1&lt;='Assumptions (Wind)'!$V$13),PPMT('Assumptions (Wind)'!$V$10,Model!AF1,'Assumptions (Wind)'!$V$13,'Assumptions (Wind)'!$V$8*Model!$AH$677*AVERAGE('Assumptions (Wind)'!$AE$2:$AF$2)/10^9),0)</f>
        <v>-0.02118119751</v>
      </c>
      <c r="AR765" s="160"/>
      <c r="AS765" s="160"/>
      <c r="AT765" s="160"/>
      <c r="AU765" s="160"/>
      <c r="AV765" s="160"/>
      <c r="AW765" s="160"/>
      <c r="AX765" s="160"/>
      <c r="AY765" s="160"/>
      <c r="AZ765" s="160"/>
      <c r="BA765" s="160"/>
      <c r="BB765" s="160"/>
      <c r="BC765" s="160"/>
      <c r="BD765" s="160"/>
      <c r="BE765" s="160"/>
      <c r="BF765" s="160"/>
    </row>
    <row r="766" ht="15.75" hidden="1" customHeight="1" outlineLevel="1">
      <c r="A766" s="241"/>
      <c r="B766" s="38"/>
      <c r="C766" s="174"/>
      <c r="D766" s="174"/>
      <c r="E766" s="174"/>
      <c r="F766" s="174"/>
      <c r="G766" s="174"/>
      <c r="H766" s="174"/>
      <c r="I766" s="174"/>
      <c r="J766" s="174"/>
      <c r="K766" s="174"/>
      <c r="L766" s="174"/>
      <c r="M766" s="174"/>
      <c r="N766" s="174"/>
      <c r="O766" s="174"/>
      <c r="P766" s="174"/>
      <c r="Q766" s="174"/>
      <c r="R766" s="174"/>
      <c r="S766" s="174"/>
      <c r="T766" s="174"/>
      <c r="U766" s="174"/>
      <c r="V766" s="174"/>
      <c r="W766" s="160"/>
      <c r="X766" s="160"/>
      <c r="Y766" s="160"/>
      <c r="Z766" s="160"/>
      <c r="AA766" s="160"/>
      <c r="AB766" s="160"/>
      <c r="AC766" s="160"/>
      <c r="AD766" s="160"/>
      <c r="AE766" s="160"/>
      <c r="AF766" s="160"/>
      <c r="AG766" s="160"/>
      <c r="AH766" s="160"/>
      <c r="AI766" s="177">
        <f>IF(and($AI$677&gt;0,Model!W$1&lt;='Assumptions (Wind)'!$V$13),PPMT('Assumptions (Wind)'!$V$10,Model!W1,'Assumptions (Wind)'!$V$13,'Assumptions (Wind)'!$V$8*Model!$AI$677*AVERAGE('Assumptions (Wind)'!$AF$2:$AG$2)/10^9),0)</f>
        <v>-0.01242521166</v>
      </c>
      <c r="AJ766" s="177">
        <f>IF(and($AI$677&gt;0,Model!X$1&lt;='Assumptions (Wind)'!$V$13),PPMT('Assumptions (Wind)'!$V$10,Model!X1,'Assumptions (Wind)'!$V$13,'Assumptions (Wind)'!$V$8*Model!$AI$677*AVERAGE('Assumptions (Wind)'!$AF$2:$AG$2)/10^9),0)</f>
        <v>-0.0134192286</v>
      </c>
      <c r="AK766" s="177">
        <f>IF(and($AI$677&gt;0,Model!Y$1&lt;='Assumptions (Wind)'!$V$13),PPMT('Assumptions (Wind)'!$V$10,Model!Y1,'Assumptions (Wind)'!$V$13,'Assumptions (Wind)'!$V$8*Model!$AI$677*AVERAGE('Assumptions (Wind)'!$AF$2:$AG$2)/10^9),0)</f>
        <v>-0.01449276689</v>
      </c>
      <c r="AL766" s="177">
        <f>IF(and($AI$677&gt;0,Model!Z$1&lt;='Assumptions (Wind)'!$V$13),PPMT('Assumptions (Wind)'!$V$10,Model!Z1,'Assumptions (Wind)'!$V$13,'Assumptions (Wind)'!$V$8*Model!$AI$677*AVERAGE('Assumptions (Wind)'!$AF$2:$AG$2)/10^9),0)</f>
        <v>-0.01565218824</v>
      </c>
      <c r="AM766" s="177">
        <f>IF(and($AI$677&gt;0,Model!AA$1&lt;='Assumptions (Wind)'!$V$13),PPMT('Assumptions (Wind)'!$V$10,Model!AA1,'Assumptions (Wind)'!$V$13,'Assumptions (Wind)'!$V$8*Model!$AI$677*AVERAGE('Assumptions (Wind)'!$AF$2:$AG$2)/10^9),0)</f>
        <v>-0.01690436329</v>
      </c>
      <c r="AN766" s="177">
        <f>IF(and($AI$677&gt;0,Model!AB$1&lt;='Assumptions (Wind)'!$V$13),PPMT('Assumptions (Wind)'!$V$10,Model!AB1,'Assumptions (Wind)'!$V$13,'Assumptions (Wind)'!$V$8*Model!$AI$677*AVERAGE('Assumptions (Wind)'!$AF$2:$AG$2)/10^9),0)</f>
        <v>-0.01825671236</v>
      </c>
      <c r="AO766" s="177">
        <f>IF(and($AI$677&gt;0,Model!AC$1&lt;='Assumptions (Wind)'!$V$13),PPMT('Assumptions (Wind)'!$V$10,Model!AC1,'Assumptions (Wind)'!$V$13,'Assumptions (Wind)'!$V$8*Model!$AI$677*AVERAGE('Assumptions (Wind)'!$AF$2:$AG$2)/10^9),0)</f>
        <v>-0.01971724935</v>
      </c>
      <c r="AP766" s="177">
        <f>IF(and($AI$677&gt;0,Model!AD$1&lt;='Assumptions (Wind)'!$V$13),PPMT('Assumptions (Wind)'!$V$10,Model!AD1,'Assumptions (Wind)'!$V$13,'Assumptions (Wind)'!$V$8*Model!$AI$677*AVERAGE('Assumptions (Wind)'!$AF$2:$AG$2)/10^9),0)</f>
        <v>-0.02129462929</v>
      </c>
      <c r="AQ766" s="177">
        <f>IF(and($AI$677&gt;0,Model!AE$1&lt;='Assumptions (Wind)'!$V$13),PPMT('Assumptions (Wind)'!$V$10,Model!AE1,'Assumptions (Wind)'!$V$13,'Assumptions (Wind)'!$V$8*Model!$AI$677*AVERAGE('Assumptions (Wind)'!$AF$2:$AG$2)/10^9),0)</f>
        <v>-0.02299819964</v>
      </c>
      <c r="AR766" s="177">
        <f>IF(and($AI$677&gt;0,Model!AF$1&lt;='Assumptions (Wind)'!$V$13),PPMT('Assumptions (Wind)'!$V$10,Model!AF1,'Assumptions (Wind)'!$V$13,'Assumptions (Wind)'!$V$8*Model!$AI$677*AVERAGE('Assumptions (Wind)'!$AF$2:$AG$2)/10^9),0)</f>
        <v>-0.02483805561</v>
      </c>
      <c r="AS766" s="177"/>
      <c r="AT766" s="177"/>
      <c r="AU766" s="177"/>
      <c r="AV766" s="177"/>
      <c r="AW766" s="177"/>
      <c r="AX766" s="160"/>
      <c r="AY766" s="160"/>
      <c r="AZ766" s="160"/>
      <c r="BA766" s="160"/>
      <c r="BB766" s="160"/>
      <c r="BC766" s="160"/>
      <c r="BD766" s="160"/>
      <c r="BE766" s="160"/>
      <c r="BF766" s="160"/>
      <c r="BG766" s="160"/>
    </row>
    <row r="767" ht="15.75" hidden="1" customHeight="1" outlineLevel="1">
      <c r="A767" s="241"/>
      <c r="B767" s="38"/>
      <c r="C767" s="174"/>
      <c r="D767" s="174"/>
      <c r="E767" s="174"/>
      <c r="F767" s="174"/>
      <c r="G767" s="174"/>
      <c r="H767" s="174"/>
      <c r="I767" s="174"/>
      <c r="J767" s="174"/>
      <c r="K767" s="174"/>
      <c r="L767" s="174"/>
      <c r="M767" s="174"/>
      <c r="N767" s="174"/>
      <c r="O767" s="174"/>
      <c r="P767" s="174"/>
      <c r="Q767" s="174"/>
      <c r="R767" s="174"/>
      <c r="S767" s="174"/>
      <c r="T767" s="174"/>
      <c r="U767" s="174"/>
      <c r="V767" s="174"/>
      <c r="W767" s="160"/>
      <c r="X767" s="160"/>
      <c r="Y767" s="160"/>
      <c r="Z767" s="160"/>
      <c r="AA767" s="160"/>
      <c r="AB767" s="160"/>
      <c r="AC767" s="160"/>
      <c r="AD767" s="160"/>
      <c r="AE767" s="160"/>
      <c r="AF767" s="160"/>
      <c r="AG767" s="160"/>
      <c r="AH767" s="160"/>
      <c r="AI767" s="160"/>
      <c r="AJ767" s="177">
        <f>IF(and($AJ$677&gt;0,Model!W$1&lt;='Assumptions (Wind)'!$V$13),PPMT('Assumptions (Wind)'!$V$10,Model!W1,'Assumptions (Wind)'!$V$13,'Assumptions (Wind)'!$V$8*Model!$AJ$677*AVERAGE('Assumptions (Wind)'!$AG$2:$AH$2)/10^9),0)</f>
        <v>-0.01068009088</v>
      </c>
      <c r="AK767" s="177">
        <f>IF(and($AJ$677&gt;0,Model!X$1&lt;='Assumptions (Wind)'!$V$13),PPMT('Assumptions (Wind)'!$V$10,Model!X1,'Assumptions (Wind)'!$V$13,'Assumptions (Wind)'!$V$8*Model!$AJ$677*AVERAGE('Assumptions (Wind)'!$AG$2:$AH$2)/10^9),0)</f>
        <v>-0.01153449815</v>
      </c>
      <c r="AL767" s="177">
        <f>IF(and($AJ$677&gt;0,Model!Y$1&lt;='Assumptions (Wind)'!$V$13),PPMT('Assumptions (Wind)'!$V$10,Model!Y1,'Assumptions (Wind)'!$V$13,'Assumptions (Wind)'!$V$8*Model!$AJ$677*AVERAGE('Assumptions (Wind)'!$AG$2:$AH$2)/10^9),0)</f>
        <v>-0.012457258</v>
      </c>
      <c r="AM767" s="177">
        <f>IF(and($AJ$677&gt;0,Model!Z$1&lt;='Assumptions (Wind)'!$V$13),PPMT('Assumptions (Wind)'!$V$10,Model!Z1,'Assumptions (Wind)'!$V$13,'Assumptions (Wind)'!$V$8*Model!$AJ$677*AVERAGE('Assumptions (Wind)'!$AG$2:$AH$2)/10^9),0)</f>
        <v>-0.01345383864</v>
      </c>
      <c r="AN767" s="177">
        <f>IF(and($AJ$677&gt;0,Model!AA$1&lt;='Assumptions (Wind)'!$V$13),PPMT('Assumptions (Wind)'!$V$10,Model!AA1,'Assumptions (Wind)'!$V$13,'Assumptions (Wind)'!$V$8*Model!$AJ$677*AVERAGE('Assumptions (Wind)'!$AG$2:$AH$2)/10^9),0)</f>
        <v>-0.01453014573</v>
      </c>
      <c r="AO767" s="177">
        <f>IF(and($AJ$677&gt;0,Model!AB$1&lt;='Assumptions (Wind)'!$V$13),PPMT('Assumptions (Wind)'!$V$10,Model!AB1,'Assumptions (Wind)'!$V$13,'Assumptions (Wind)'!$V$8*Model!$AJ$677*AVERAGE('Assumptions (Wind)'!$AG$2:$AH$2)/10^9),0)</f>
        <v>-0.01569255739</v>
      </c>
      <c r="AP767" s="177">
        <f>IF(and($AJ$677&gt;0,Model!AC$1&lt;='Assumptions (Wind)'!$V$13),PPMT('Assumptions (Wind)'!$V$10,Model!AC1,'Assumptions (Wind)'!$V$13,'Assumptions (Wind)'!$V$8*Model!$AJ$677*AVERAGE('Assumptions (Wind)'!$AG$2:$AH$2)/10^9),0)</f>
        <v>-0.01694796198</v>
      </c>
      <c r="AQ767" s="177">
        <f>IF(and($AJ$677&gt;0,Model!AD$1&lt;='Assumptions (Wind)'!$V$13),PPMT('Assumptions (Wind)'!$V$10,Model!AD1,'Assumptions (Wind)'!$V$13,'Assumptions (Wind)'!$V$8*Model!$AJ$677*AVERAGE('Assumptions (Wind)'!$AG$2:$AH$2)/10^9),0)</f>
        <v>-0.01830379894</v>
      </c>
      <c r="AR767" s="177">
        <f>IF(and($AJ$677&gt;0,Model!AE$1&lt;='Assumptions (Wind)'!$V$13),PPMT('Assumptions (Wind)'!$V$10,Model!AE1,'Assumptions (Wind)'!$V$13,'Assumptions (Wind)'!$V$8*Model!$AJ$677*AVERAGE('Assumptions (Wind)'!$AG$2:$AH$2)/10^9),0)</f>
        <v>-0.01976810286</v>
      </c>
      <c r="AS767" s="177">
        <f>IF(and($AJ$677&gt;0,Model!AF$1&lt;='Assumptions (Wind)'!$V$13),PPMT('Assumptions (Wind)'!$V$10,Model!AF1,'Assumptions (Wind)'!$V$13,'Assumptions (Wind)'!$V$8*Model!$AJ$677*AVERAGE('Assumptions (Wind)'!$AG$2:$AH$2)/10^9),0)</f>
        <v>-0.02134955108</v>
      </c>
      <c r="AT767" s="177"/>
      <c r="AU767" s="177"/>
      <c r="AV767" s="177"/>
      <c r="AW767" s="177"/>
      <c r="AX767" s="177"/>
      <c r="AY767" s="177"/>
      <c r="AZ767" s="177"/>
      <c r="BA767" s="177"/>
      <c r="BB767" s="177"/>
      <c r="BC767" s="177"/>
      <c r="BD767" s="177"/>
      <c r="BE767" s="177"/>
      <c r="BF767" s="177"/>
      <c r="BG767" s="177"/>
      <c r="BH767" s="177"/>
    </row>
    <row r="768" ht="15.75" hidden="1" customHeight="1" outlineLevel="1">
      <c r="A768" s="241"/>
      <c r="B768" s="38"/>
      <c r="C768" s="174"/>
      <c r="D768" s="174"/>
      <c r="E768" s="174"/>
      <c r="F768" s="174"/>
      <c r="G768" s="174"/>
      <c r="H768" s="174"/>
      <c r="I768" s="174"/>
      <c r="J768" s="174"/>
      <c r="K768" s="174"/>
      <c r="L768" s="174"/>
      <c r="M768" s="174"/>
      <c r="N768" s="174"/>
      <c r="O768" s="174"/>
      <c r="P768" s="174"/>
      <c r="Q768" s="174"/>
      <c r="R768" s="174"/>
      <c r="S768" s="174"/>
      <c r="T768" s="174"/>
      <c r="U768" s="174"/>
      <c r="V768" s="174"/>
      <c r="W768" s="160"/>
      <c r="X768" s="160"/>
      <c r="Y768" s="160"/>
      <c r="Z768" s="160"/>
      <c r="AA768" s="160"/>
      <c r="AB768" s="160"/>
      <c r="AC768" s="160"/>
      <c r="AD768" s="160"/>
      <c r="AE768" s="160"/>
      <c r="AF768" s="160"/>
      <c r="AG768" s="160"/>
      <c r="AH768" s="160"/>
      <c r="AI768" s="160"/>
      <c r="AJ768" s="179"/>
      <c r="AK768" s="160">
        <f>IF(and($AK$677&gt;0,Model!W$1&lt;='Assumptions (Wind)'!$V$13),PPMT('Assumptions (Wind)'!$V$10,Model!W1,'Assumptions (Wind)'!$V$13,'Assumptions (Wind)'!$V$8*Model!$AK$677*AVERAGE('Assumptions (Wind)'!$AH$2:$AI$2)/10^9),0)</f>
        <v>-0.01077346475</v>
      </c>
      <c r="AL768" s="160">
        <f>IF(and($AK$677&gt;0,Model!X$1&lt;='Assumptions (Wind)'!$V$13),PPMT('Assumptions (Wind)'!$V$10,Model!X1,'Assumptions (Wind)'!$V$13,'Assumptions (Wind)'!$V$8*Model!$AK$677*AVERAGE('Assumptions (Wind)'!$AH$2:$AI$2)/10^9),0)</f>
        <v>-0.01163534193</v>
      </c>
      <c r="AM768" s="160">
        <f>IF(and($AK$677&gt;0,Model!Y$1&lt;='Assumptions (Wind)'!$V$13),PPMT('Assumptions (Wind)'!$V$10,Model!Y1,'Assumptions (Wind)'!$V$13,'Assumptions (Wind)'!$V$8*Model!$AK$677*AVERAGE('Assumptions (Wind)'!$AH$2:$AI$2)/10^9),0)</f>
        <v>-0.01256616928</v>
      </c>
      <c r="AN768" s="160">
        <f>IF(and($AK$677&gt;0,Model!Z$1&lt;='Assumptions (Wind)'!$V$13),PPMT('Assumptions (Wind)'!$V$10,Model!Z1,'Assumptions (Wind)'!$V$13,'Assumptions (Wind)'!$V$8*Model!$AK$677*AVERAGE('Assumptions (Wind)'!$AH$2:$AI$2)/10^9),0)</f>
        <v>-0.01357146282</v>
      </c>
      <c r="AO768" s="160">
        <f>IF(and($AK$677&gt;0,Model!AA$1&lt;='Assumptions (Wind)'!$V$13),PPMT('Assumptions (Wind)'!$V$10,Model!AA1,'Assumptions (Wind)'!$V$13,'Assumptions (Wind)'!$V$8*Model!$AK$677*AVERAGE('Assumptions (Wind)'!$AH$2:$AI$2)/10^9),0)</f>
        <v>-0.01465717985</v>
      </c>
      <c r="AP768" s="160">
        <f>IF(and($AK$677&gt;0,Model!AB$1&lt;='Assumptions (Wind)'!$V$13),PPMT('Assumptions (Wind)'!$V$10,Model!AB1,'Assumptions (Wind)'!$V$13,'Assumptions (Wind)'!$V$8*Model!$AK$677*AVERAGE('Assumptions (Wind)'!$AH$2:$AI$2)/10^9),0)</f>
        <v>-0.01582975424</v>
      </c>
      <c r="AQ768" s="160">
        <f>IF(and($AK$677&gt;0,Model!AC$1&lt;='Assumptions (Wind)'!$V$13),PPMT('Assumptions (Wind)'!$V$10,Model!AC1,'Assumptions (Wind)'!$V$13,'Assumptions (Wind)'!$V$8*Model!$AK$677*AVERAGE('Assumptions (Wind)'!$AH$2:$AI$2)/10^9),0)</f>
        <v>-0.01709613458</v>
      </c>
      <c r="AR768" s="160">
        <f>IF(and($AK$677&gt;0,Model!AD$1&lt;='Assumptions (Wind)'!$V$13),PPMT('Assumptions (Wind)'!$V$10,Model!AD1,'Assumptions (Wind)'!$V$13,'Assumptions (Wind)'!$V$8*Model!$AK$677*AVERAGE('Assumptions (Wind)'!$AH$2:$AI$2)/10^9),0)</f>
        <v>-0.01846382534</v>
      </c>
      <c r="AS768" s="160">
        <f>IF(and($AK$677&gt;0,Model!AE$1&lt;='Assumptions (Wind)'!$V$13),PPMT('Assumptions (Wind)'!$V$10,Model!AE1,'Assumptions (Wind)'!$V$13,'Assumptions (Wind)'!$V$8*Model!$AK$677*AVERAGE('Assumptions (Wind)'!$AH$2:$AI$2)/10^9),0)</f>
        <v>-0.01994093137</v>
      </c>
      <c r="AT768" s="160">
        <f>IF(and($AK$677&gt;0,Model!AF$1&lt;='Assumptions (Wind)'!$V$13),PPMT('Assumptions (Wind)'!$V$10,Model!AF1,'Assumptions (Wind)'!$V$13,'Assumptions (Wind)'!$V$8*Model!$AK$677*AVERAGE('Assumptions (Wind)'!$AH$2:$AI$2)/10^9),0)</f>
        <v>-0.02153620588</v>
      </c>
      <c r="AU768" s="160"/>
      <c r="AV768" s="160"/>
      <c r="AW768" s="160"/>
      <c r="AX768" s="160"/>
      <c r="AY768" s="160"/>
      <c r="AZ768" s="160"/>
      <c r="BA768" s="160"/>
      <c r="BB768" s="160"/>
      <c r="BC768" s="160"/>
      <c r="BD768" s="160"/>
      <c r="BE768" s="160"/>
      <c r="BF768" s="160"/>
      <c r="BG768" s="160"/>
      <c r="BH768" s="160"/>
      <c r="BI768" s="160"/>
    </row>
    <row r="769" ht="15.75" hidden="1" customHeight="1" outlineLevel="1">
      <c r="A769" s="241"/>
      <c r="B769" s="38"/>
      <c r="C769" s="174"/>
      <c r="D769" s="174"/>
      <c r="E769" s="174"/>
      <c r="F769" s="174"/>
      <c r="G769" s="174"/>
      <c r="H769" s="174"/>
      <c r="I769" s="174"/>
      <c r="J769" s="174"/>
      <c r="K769" s="174"/>
      <c r="L769" s="174"/>
      <c r="M769" s="174"/>
      <c r="N769" s="174"/>
      <c r="O769" s="174"/>
      <c r="P769" s="174"/>
      <c r="Q769" s="174"/>
      <c r="R769" s="174"/>
      <c r="S769" s="174"/>
      <c r="T769" s="174"/>
      <c r="U769" s="174"/>
      <c r="V769" s="174"/>
      <c r="W769" s="160"/>
      <c r="X769" s="160"/>
      <c r="Y769" s="160"/>
      <c r="Z769" s="160"/>
      <c r="AA769" s="160"/>
      <c r="AB769" s="160"/>
      <c r="AC769" s="160"/>
      <c r="AD769" s="160"/>
      <c r="AE769" s="160"/>
      <c r="AF769" s="160"/>
      <c r="AG769" s="160"/>
      <c r="AH769" s="160"/>
      <c r="AI769" s="160"/>
      <c r="AJ769" s="179"/>
      <c r="AK769" s="160"/>
      <c r="AL769" s="177">
        <f>IF(and($AL$677&gt;0,Model!W$1&lt;='Assumptions (Wind)'!$V$13),PPMT('Assumptions (Wind)'!$V$10,Model!W1,'Assumptions (Wind)'!$V$13,'Assumptions (Wind)'!$V$8*Model!$AL$677*AVERAGE('Assumptions (Wind)'!$AI$2:$AJ$2)/10^9),0)</f>
        <v>-0.01086633312</v>
      </c>
      <c r="AM769" s="177">
        <f>IF(and($AL$677&gt;0,Model!X$1&lt;='Assumptions (Wind)'!$V$13),PPMT('Assumptions (Wind)'!$V$10,Model!X1,'Assumptions (Wind)'!$V$13,'Assumptions (Wind)'!$V$8*Model!$AL$677*AVERAGE('Assumptions (Wind)'!$AI$2:$AJ$2)/10^9),0)</f>
        <v>-0.01173563976</v>
      </c>
      <c r="AN769" s="177">
        <f>IF(and($AL$677&gt;0,Model!Y$1&lt;='Assumptions (Wind)'!$V$13),PPMT('Assumptions (Wind)'!$V$10,Model!Y1,'Assumptions (Wind)'!$V$13,'Assumptions (Wind)'!$V$8*Model!$AL$677*AVERAGE('Assumptions (Wind)'!$AI$2:$AJ$2)/10^9),0)</f>
        <v>-0.01267449095</v>
      </c>
      <c r="AO769" s="177">
        <f>IF(and($AL$677&gt;0,Model!Z$1&lt;='Assumptions (Wind)'!$V$13),PPMT('Assumptions (Wind)'!$V$10,Model!Z1,'Assumptions (Wind)'!$V$13,'Assumptions (Wind)'!$V$8*Model!$AL$677*AVERAGE('Assumptions (Wind)'!$AI$2:$AJ$2)/10^9),0)</f>
        <v>-0.01368845022</v>
      </c>
      <c r="AP769" s="177">
        <f>IF(and($AL$677&gt;0,Model!AA$1&lt;='Assumptions (Wind)'!$V$13),PPMT('Assumptions (Wind)'!$V$10,Model!AA1,'Assumptions (Wind)'!$V$13,'Assumptions (Wind)'!$V$8*Model!$AL$677*AVERAGE('Assumptions (Wind)'!$AI$2:$AJ$2)/10^9),0)</f>
        <v>-0.01478352624</v>
      </c>
      <c r="AQ769" s="177">
        <f>IF(and($AL$677&gt;0,Model!AB$1&lt;='Assumptions (Wind)'!$V$13),PPMT('Assumptions (Wind)'!$V$10,Model!AB1,'Assumptions (Wind)'!$V$13,'Assumptions (Wind)'!$V$8*Model!$AL$677*AVERAGE('Assumptions (Wind)'!$AI$2:$AJ$2)/10^9),0)</f>
        <v>-0.01596620834</v>
      </c>
      <c r="AR769" s="177">
        <f>IF(and($AL$677&gt;0,Model!AC$1&lt;='Assumptions (Wind)'!$V$13),PPMT('Assumptions (Wind)'!$V$10,Model!AC1,'Assumptions (Wind)'!$V$13,'Assumptions (Wind)'!$V$8*Model!$AL$677*AVERAGE('Assumptions (Wind)'!$AI$2:$AJ$2)/10^9),0)</f>
        <v>-0.01724350501</v>
      </c>
      <c r="AS769" s="177">
        <f>IF(and($AL$677&gt;0,Model!AD$1&lt;='Assumptions (Wind)'!$V$13),PPMT('Assumptions (Wind)'!$V$10,Model!AD1,'Assumptions (Wind)'!$V$13,'Assumptions (Wind)'!$V$8*Model!$AL$677*AVERAGE('Assumptions (Wind)'!$AI$2:$AJ$2)/10^9),0)</f>
        <v>-0.01862298541</v>
      </c>
      <c r="AT769" s="177">
        <f>IF(and($AL$677&gt;0,Model!AE$1&lt;='Assumptions (Wind)'!$V$13),PPMT('Assumptions (Wind)'!$V$10,Model!AE1,'Assumptions (Wind)'!$V$13,'Assumptions (Wind)'!$V$8*Model!$AL$677*AVERAGE('Assumptions (Wind)'!$AI$2:$AJ$2)/10^9),0)</f>
        <v>-0.02011282424</v>
      </c>
      <c r="AU769" s="177">
        <f>IF(and($AL$677&gt;0,Model!AF$1&lt;='Assumptions (Wind)'!$V$13),PPMT('Assumptions (Wind)'!$V$10,Model!AF1,'Assumptions (Wind)'!$V$13,'Assumptions (Wind)'!$V$8*Model!$AL$677*AVERAGE('Assumptions (Wind)'!$AI$2:$AJ$2)/10^9),0)</f>
        <v>-0.02172185018</v>
      </c>
      <c r="AV769" s="177"/>
      <c r="AW769" s="177"/>
      <c r="AX769" s="177"/>
      <c r="AY769" s="177"/>
      <c r="AZ769" s="177"/>
      <c r="BA769" s="177"/>
      <c r="BB769" s="177"/>
      <c r="BC769" s="177"/>
      <c r="BD769" s="177"/>
      <c r="BE769" s="177"/>
      <c r="BF769" s="177"/>
      <c r="BG769" s="177"/>
      <c r="BH769" s="177"/>
      <c r="BI769" s="177"/>
      <c r="BJ769" s="177"/>
    </row>
    <row r="770" ht="15.75" hidden="1" customHeight="1" outlineLevel="1">
      <c r="A770" s="241"/>
      <c r="B770" s="38"/>
      <c r="C770" s="174"/>
      <c r="D770" s="174"/>
      <c r="E770" s="174"/>
      <c r="F770" s="174"/>
      <c r="G770" s="174"/>
      <c r="H770" s="174"/>
      <c r="I770" s="174"/>
      <c r="J770" s="174"/>
      <c r="K770" s="174"/>
      <c r="L770" s="174"/>
      <c r="M770" s="174"/>
      <c r="N770" s="174"/>
      <c r="O770" s="174"/>
      <c r="P770" s="174"/>
      <c r="Q770" s="174"/>
      <c r="R770" s="174"/>
      <c r="S770" s="174"/>
      <c r="T770" s="174"/>
      <c r="U770" s="174"/>
      <c r="V770" s="174"/>
      <c r="W770" s="160"/>
      <c r="X770" s="160"/>
      <c r="Y770" s="160"/>
      <c r="Z770" s="160"/>
      <c r="AA770" s="160"/>
      <c r="AB770" s="160"/>
      <c r="AC770" s="160"/>
      <c r="AD770" s="160"/>
      <c r="AE770" s="160"/>
      <c r="AF770" s="160"/>
      <c r="AG770" s="160"/>
      <c r="AH770" s="160"/>
      <c r="AI770" s="160"/>
      <c r="AJ770" s="179"/>
      <c r="AK770" s="160"/>
      <c r="AL770" s="177"/>
      <c r="AM770" s="160">
        <f>IF(and($AM$677&gt;0,Model!W$1&lt;='Assumptions (Wind)'!$V$13),PPMT('Assumptions (Wind)'!$V$10,Model!W1,'Assumptions (Wind)'!$V$13,'Assumptions (Wind)'!$V$8*Model!$AM$677*AVERAGE('Assumptions (Wind)'!$AJ$2:$AK$2)/10^9),0)</f>
        <v>-0.01095881019</v>
      </c>
      <c r="AN770" s="160">
        <f>IF(and($AM$677&gt;0,Model!X$1&lt;='Assumptions (Wind)'!$V$13),PPMT('Assumptions (Wind)'!$V$10,Model!X1,'Assumptions (Wind)'!$V$13,'Assumptions (Wind)'!$V$8*Model!$AM$677*AVERAGE('Assumptions (Wind)'!$AJ$2:$AK$2)/10^9),0)</f>
        <v>-0.011835515</v>
      </c>
      <c r="AO770" s="160">
        <f>IF(and($AM$677&gt;0,Model!Y$1&lt;='Assumptions (Wind)'!$V$13),PPMT('Assumptions (Wind)'!$V$10,Model!Y1,'Assumptions (Wind)'!$V$13,'Assumptions (Wind)'!$V$8*Model!$AM$677*AVERAGE('Assumptions (Wind)'!$AJ$2:$AK$2)/10^9),0)</f>
        <v>-0.0127823562</v>
      </c>
      <c r="AP770" s="160">
        <f>IF(and($AM$677&gt;0,Model!Z$1&lt;='Assumptions (Wind)'!$V$13),PPMT('Assumptions (Wind)'!$V$10,Model!Z1,'Assumptions (Wind)'!$V$13,'Assumptions (Wind)'!$V$8*Model!$AM$677*AVERAGE('Assumptions (Wind)'!$AJ$2:$AK$2)/10^9),0)</f>
        <v>-0.0138049447</v>
      </c>
      <c r="AQ770" s="160">
        <f>IF(and($AM$677&gt;0,Model!AA$1&lt;='Assumptions (Wind)'!$V$13),PPMT('Assumptions (Wind)'!$V$10,Model!AA1,'Assumptions (Wind)'!$V$13,'Assumptions (Wind)'!$V$8*Model!$AM$677*AVERAGE('Assumptions (Wind)'!$AJ$2:$AK$2)/10^9),0)</f>
        <v>-0.01490934027</v>
      </c>
      <c r="AR770" s="160">
        <f>IF(and($AM$677&gt;0,Model!AB$1&lt;='Assumptions (Wind)'!$V$13),PPMT('Assumptions (Wind)'!$V$10,Model!AB1,'Assumptions (Wind)'!$V$13,'Assumptions (Wind)'!$V$8*Model!$AM$677*AVERAGE('Assumptions (Wind)'!$AJ$2:$AK$2)/10^9),0)</f>
        <v>-0.0161020875</v>
      </c>
      <c r="AS770" s="160">
        <f>IF(and($AM$677&gt;0,Model!AC$1&lt;='Assumptions (Wind)'!$V$13),PPMT('Assumptions (Wind)'!$V$10,Model!AC1,'Assumptions (Wind)'!$V$13,'Assumptions (Wind)'!$V$8*Model!$AM$677*AVERAGE('Assumptions (Wind)'!$AJ$2:$AK$2)/10^9),0)</f>
        <v>-0.0173902545</v>
      </c>
      <c r="AT770" s="160">
        <f>IF(and($AM$677&gt;0,Model!AD$1&lt;='Assumptions (Wind)'!$V$13),PPMT('Assumptions (Wind)'!$V$10,Model!AD1,'Assumptions (Wind)'!$V$13,'Assumptions (Wind)'!$V$8*Model!$AM$677*AVERAGE('Assumptions (Wind)'!$AJ$2:$AK$2)/10^9),0)</f>
        <v>-0.01878147485</v>
      </c>
      <c r="AU770" s="160">
        <f>IF(and($AM$677&gt;0,Model!AE$1&lt;='Assumptions (Wind)'!$V$13),PPMT('Assumptions (Wind)'!$V$10,Model!AE1,'Assumptions (Wind)'!$V$13,'Assumptions (Wind)'!$V$8*Model!$AM$677*AVERAGE('Assumptions (Wind)'!$AJ$2:$AK$2)/10^9),0)</f>
        <v>-0.02028399284</v>
      </c>
      <c r="AV770" s="160">
        <f>IF(and($AM$677&gt;0,Model!AF$1&lt;='Assumptions (Wind)'!$V$13),PPMT('Assumptions (Wind)'!$V$10,Model!AF1,'Assumptions (Wind)'!$V$13,'Assumptions (Wind)'!$V$8*Model!$AM$677*AVERAGE('Assumptions (Wind)'!$AJ$2:$AK$2)/10^9),0)</f>
        <v>-0.02190671227</v>
      </c>
      <c r="AW770" s="160"/>
      <c r="AX770" s="160"/>
      <c r="AY770" s="160"/>
      <c r="AZ770" s="160"/>
      <c r="BA770" s="160"/>
      <c r="BB770" s="160"/>
      <c r="BC770" s="160"/>
      <c r="BD770" s="160"/>
      <c r="BE770" s="160"/>
      <c r="BF770" s="160"/>
      <c r="BG770" s="160"/>
      <c r="BH770" s="160"/>
      <c r="BI770" s="160"/>
      <c r="BJ770" s="160"/>
      <c r="BK770" s="160"/>
    </row>
    <row r="771" ht="15.75" hidden="1" customHeight="1" outlineLevel="1">
      <c r="A771" s="241"/>
      <c r="B771" s="38"/>
      <c r="C771" s="174"/>
      <c r="D771" s="174"/>
      <c r="E771" s="174"/>
      <c r="F771" s="174"/>
      <c r="G771" s="174"/>
      <c r="H771" s="174"/>
      <c r="I771" s="174"/>
      <c r="J771" s="174"/>
      <c r="K771" s="174"/>
      <c r="L771" s="174"/>
      <c r="M771" s="174"/>
      <c r="N771" s="174"/>
      <c r="O771" s="174"/>
      <c r="P771" s="174"/>
      <c r="Q771" s="174"/>
      <c r="R771" s="174"/>
      <c r="S771" s="174"/>
      <c r="T771" s="174"/>
      <c r="U771" s="174"/>
      <c r="V771" s="174"/>
      <c r="W771" s="160"/>
      <c r="X771" s="160"/>
      <c r="Y771" s="160"/>
      <c r="Z771" s="160"/>
      <c r="AA771" s="160"/>
      <c r="AB771" s="160"/>
      <c r="AC771" s="160"/>
      <c r="AD771" s="160"/>
      <c r="AE771" s="160"/>
      <c r="AF771" s="160"/>
      <c r="AG771" s="160"/>
      <c r="AH771" s="160"/>
      <c r="AI771" s="160"/>
      <c r="AJ771" s="179"/>
      <c r="AK771" s="160"/>
      <c r="AL771" s="177"/>
      <c r="AM771" s="177"/>
      <c r="AN771" s="160">
        <f>IF(and($AN$677&gt;0,Model!W$1&lt;='Assumptions (Wind)'!$V$13),PPMT('Assumptions (Wind)'!$V$10,Model!W1,'Assumptions (Wind)'!$V$13,'Assumptions (Wind)'!$V$8*Model!$AN$677*AVERAGE('Assumptions (Wind)'!$AK$2:$AL$2)/10^9),0)</f>
        <v>-0.01105067258</v>
      </c>
      <c r="AO771" s="160">
        <f>IF(and($AN$677&gt;0,Model!X$1&lt;='Assumptions (Wind)'!$V$13),PPMT('Assumptions (Wind)'!$V$10,Model!X1,'Assumptions (Wind)'!$V$13,'Assumptions (Wind)'!$V$8*Model!$AN$677*AVERAGE('Assumptions (Wind)'!$AK$2:$AL$2)/10^9),0)</f>
        <v>-0.01193472638</v>
      </c>
      <c r="AP771" s="160">
        <f>IF(and($AN$677&gt;0,Model!Y$1&lt;='Assumptions (Wind)'!$V$13),PPMT('Assumptions (Wind)'!$V$10,Model!Y1,'Assumptions (Wind)'!$V$13,'Assumptions (Wind)'!$V$8*Model!$AN$677*AVERAGE('Assumptions (Wind)'!$AK$2:$AL$2)/10^9),0)</f>
        <v>-0.01288950449</v>
      </c>
      <c r="AQ771" s="160">
        <f>IF(and($AN$677&gt;0,Model!Z$1&lt;='Assumptions (Wind)'!$V$13),PPMT('Assumptions (Wind)'!$V$10,Model!Z1,'Assumptions (Wind)'!$V$13,'Assumptions (Wind)'!$V$8*Model!$AN$677*AVERAGE('Assumptions (Wind)'!$AK$2:$AL$2)/10^9),0)</f>
        <v>-0.01392066485</v>
      </c>
      <c r="AR771" s="160">
        <f>IF(and($AN$677&gt;0,Model!AA$1&lt;='Assumptions (Wind)'!$V$13),PPMT('Assumptions (Wind)'!$V$10,Model!AA1,'Assumptions (Wind)'!$V$13,'Assumptions (Wind)'!$V$8*Model!$AN$677*AVERAGE('Assumptions (Wind)'!$AK$2:$AL$2)/10^9),0)</f>
        <v>-0.01503431804</v>
      </c>
      <c r="AS771" s="160">
        <f>IF(and($AN$677&gt;0,Model!AB$1&lt;='Assumptions (Wind)'!$V$13),PPMT('Assumptions (Wind)'!$V$10,Model!AB1,'Assumptions (Wind)'!$V$13,'Assumptions (Wind)'!$V$8*Model!$AN$677*AVERAGE('Assumptions (Wind)'!$AK$2:$AL$2)/10^9),0)</f>
        <v>-0.01623706348</v>
      </c>
      <c r="AT771" s="160">
        <f>IF(and($AN$677&gt;0,Model!AC$1&lt;='Assumptions (Wind)'!$V$13),PPMT('Assumptions (Wind)'!$V$10,Model!AC1,'Assumptions (Wind)'!$V$13,'Assumptions (Wind)'!$V$8*Model!$AN$677*AVERAGE('Assumptions (Wind)'!$AK$2:$AL$2)/10^9),0)</f>
        <v>-0.01753602856</v>
      </c>
      <c r="AU771" s="160">
        <f>IF(and($AN$677&gt;0,Model!AD$1&lt;='Assumptions (Wind)'!$V$13),PPMT('Assumptions (Wind)'!$V$10,Model!AD1,'Assumptions (Wind)'!$V$13,'Assumptions (Wind)'!$V$8*Model!$AN$677*AVERAGE('Assumptions (Wind)'!$AK$2:$AL$2)/10^9),0)</f>
        <v>-0.01893891085</v>
      </c>
      <c r="AV771" s="160">
        <f>IF(and($AN$677&gt;0,Model!AE$1&lt;='Assumptions (Wind)'!$V$13),PPMT('Assumptions (Wind)'!$V$10,Model!AE1,'Assumptions (Wind)'!$V$13,'Assumptions (Wind)'!$V$8*Model!$AN$677*AVERAGE('Assumptions (Wind)'!$AK$2:$AL$2)/10^9),0)</f>
        <v>-0.02045402371</v>
      </c>
      <c r="AW771" s="160">
        <f>IF(and($AN$677&gt;0,Model!AF$1&lt;='Assumptions (Wind)'!$V$13),PPMT('Assumptions (Wind)'!$V$10,Model!AF1,'Assumptions (Wind)'!$V$13,'Assumptions (Wind)'!$V$8*Model!$AN$677*AVERAGE('Assumptions (Wind)'!$AK$2:$AL$2)/10^9),0)</f>
        <v>-0.02209034561</v>
      </c>
      <c r="AX771" s="160"/>
      <c r="AY771" s="160"/>
      <c r="AZ771" s="160"/>
      <c r="BA771" s="160"/>
      <c r="BB771" s="160"/>
      <c r="BC771" s="160"/>
      <c r="BD771" s="160"/>
      <c r="BE771" s="160"/>
      <c r="BF771" s="160"/>
      <c r="BG771" s="160"/>
      <c r="BH771" s="160"/>
      <c r="BI771" s="160"/>
      <c r="BJ771" s="160"/>
      <c r="BK771" s="160"/>
      <c r="BL771" s="160"/>
    </row>
    <row r="772" ht="15.75" hidden="1" customHeight="1" outlineLevel="1">
      <c r="A772" s="241"/>
      <c r="B772" s="38"/>
      <c r="C772" s="174"/>
      <c r="D772" s="174"/>
      <c r="E772" s="174"/>
      <c r="F772" s="174"/>
      <c r="G772" s="174"/>
      <c r="H772" s="174"/>
      <c r="I772" s="174"/>
      <c r="J772" s="174"/>
      <c r="K772" s="174"/>
      <c r="L772" s="174"/>
      <c r="M772" s="174"/>
      <c r="N772" s="174"/>
      <c r="O772" s="174"/>
      <c r="P772" s="174"/>
      <c r="Q772" s="174"/>
      <c r="R772" s="174"/>
      <c r="S772" s="174"/>
      <c r="T772" s="174"/>
      <c r="U772" s="174"/>
      <c r="V772" s="174"/>
      <c r="W772" s="160"/>
      <c r="X772" s="160"/>
      <c r="Y772" s="160"/>
      <c r="Z772" s="160"/>
      <c r="AA772" s="160"/>
      <c r="AB772" s="160"/>
      <c r="AC772" s="160"/>
      <c r="AD772" s="160"/>
      <c r="AE772" s="160"/>
      <c r="AF772" s="160"/>
      <c r="AG772" s="160"/>
      <c r="AH772" s="160"/>
      <c r="AI772" s="160"/>
      <c r="AJ772" s="179"/>
      <c r="AK772" s="160"/>
      <c r="AL772" s="177"/>
      <c r="AM772" s="177"/>
      <c r="AN772" s="177"/>
      <c r="AO772" s="160">
        <f>IF(and($AO$677&gt;0,Model!W$1&lt;='Assumptions (Wind)'!$V$13),PPMT('Assumptions (Wind)'!$V$10,Model!W1,'Assumptions (Wind)'!$V$13,'Assumptions (Wind)'!$V$8*Model!$AO$677*AVERAGE('Assumptions (Wind)'!$AL$2:$AM$2)/10^9),0)</f>
        <v>-0.01114203724</v>
      </c>
      <c r="AP772" s="160">
        <f>IF(and($AO$677&gt;0,Model!X$1&lt;='Assumptions (Wind)'!$V$13),PPMT('Assumptions (Wind)'!$V$10,Model!X1,'Assumptions (Wind)'!$V$13,'Assumptions (Wind)'!$V$8*Model!$AO$677*AVERAGE('Assumptions (Wind)'!$AL$2:$AM$2)/10^9),0)</f>
        <v>-0.01203340022</v>
      </c>
      <c r="AQ772" s="160">
        <f>IF(and($AO$677&gt;0,Model!Y$1&lt;='Assumptions (Wind)'!$V$13),PPMT('Assumptions (Wind)'!$V$10,Model!Y1,'Assumptions (Wind)'!$V$13,'Assumptions (Wind)'!$V$8*Model!$AO$677*AVERAGE('Assumptions (Wind)'!$AL$2:$AM$2)/10^9),0)</f>
        <v>-0.01299607224</v>
      </c>
      <c r="AR772" s="160">
        <f>IF(and($AO$677&gt;0,Model!Z$1&lt;='Assumptions (Wind)'!$V$13),PPMT('Assumptions (Wind)'!$V$10,Model!Z1,'Assumptions (Wind)'!$V$13,'Assumptions (Wind)'!$V$8*Model!$AO$677*AVERAGE('Assumptions (Wind)'!$AL$2:$AM$2)/10^9),0)</f>
        <v>-0.01403575802</v>
      </c>
      <c r="AS772" s="160">
        <f>IF(and($AO$677&gt;0,Model!AA$1&lt;='Assumptions (Wind)'!$V$13),PPMT('Assumptions (Wind)'!$V$10,Model!AA1,'Assumptions (Wind)'!$V$13,'Assumptions (Wind)'!$V$8*Model!$AO$677*AVERAGE('Assumptions (Wind)'!$AL$2:$AM$2)/10^9),0)</f>
        <v>-0.01515861866</v>
      </c>
      <c r="AT772" s="160">
        <f>IF(and($AO$677&gt;0,Model!AB$1&lt;='Assumptions (Wind)'!$V$13),PPMT('Assumptions (Wind)'!$V$10,Model!AB1,'Assumptions (Wind)'!$V$13,'Assumptions (Wind)'!$V$8*Model!$AO$677*AVERAGE('Assumptions (Wind)'!$AL$2:$AM$2)/10^9),0)</f>
        <v>-0.01637130816</v>
      </c>
      <c r="AU772" s="160">
        <f>IF(and($AO$677&gt;0,Model!AC$1&lt;='Assumptions (Wind)'!$V$13),PPMT('Assumptions (Wind)'!$V$10,Model!AC1,'Assumptions (Wind)'!$V$13,'Assumptions (Wind)'!$V$8*Model!$AO$677*AVERAGE('Assumptions (Wind)'!$AL$2:$AM$2)/10^9),0)</f>
        <v>-0.01768101281</v>
      </c>
      <c r="AV772" s="160">
        <f>IF(and($AO$677&gt;0,Model!AD$1&lt;='Assumptions (Wind)'!$V$13),PPMT('Assumptions (Wind)'!$V$10,Model!AD1,'Assumptions (Wind)'!$V$13,'Assumptions (Wind)'!$V$8*Model!$AO$677*AVERAGE('Assumptions (Wind)'!$AL$2:$AM$2)/10^9),0)</f>
        <v>-0.01909549383</v>
      </c>
      <c r="AW772" s="160">
        <f>IF(and($AO$677&gt;0,Model!AE$1&lt;='Assumptions (Wind)'!$V$13),PPMT('Assumptions (Wind)'!$V$10,Model!AE1,'Assumptions (Wind)'!$V$13,'Assumptions (Wind)'!$V$8*Model!$AO$677*AVERAGE('Assumptions (Wind)'!$AL$2:$AM$2)/10^9),0)</f>
        <v>-0.02062313334</v>
      </c>
      <c r="AX772" s="160">
        <f>IF(and($AO$677&gt;0,Model!AF$1&lt;='Assumptions (Wind)'!$V$13),PPMT('Assumptions (Wind)'!$V$10,Model!AF1,'Assumptions (Wind)'!$V$13,'Assumptions (Wind)'!$V$8*Model!$AO$677*AVERAGE('Assumptions (Wind)'!$AL$2:$AM$2)/10^9),0)</f>
        <v>-0.02227298401</v>
      </c>
      <c r="AY772" s="160"/>
      <c r="AZ772" s="160"/>
      <c r="BA772" s="160"/>
      <c r="BB772" s="160"/>
      <c r="BC772" s="160"/>
      <c r="BD772" s="160"/>
      <c r="BE772" s="160"/>
      <c r="BF772" s="160"/>
      <c r="BG772" s="160"/>
      <c r="BH772" s="160"/>
      <c r="BI772" s="160"/>
      <c r="BJ772" s="160"/>
      <c r="BK772" s="160"/>
      <c r="BL772" s="160"/>
      <c r="BM772" s="160"/>
    </row>
    <row r="773" ht="15.75" hidden="1" customHeight="1" outlineLevel="1">
      <c r="A773" s="241"/>
      <c r="B773" s="38"/>
      <c r="C773" s="174"/>
      <c r="D773" s="174"/>
      <c r="E773" s="174"/>
      <c r="F773" s="174"/>
      <c r="G773" s="174"/>
      <c r="H773" s="174"/>
      <c r="I773" s="174"/>
      <c r="J773" s="174"/>
      <c r="K773" s="174"/>
      <c r="L773" s="174"/>
      <c r="M773" s="174"/>
      <c r="N773" s="174"/>
      <c r="O773" s="174"/>
      <c r="P773" s="174"/>
      <c r="Q773" s="174"/>
      <c r="R773" s="174"/>
      <c r="S773" s="174"/>
      <c r="T773" s="174"/>
      <c r="U773" s="174"/>
      <c r="V773" s="174"/>
      <c r="W773" s="160"/>
      <c r="X773" s="160"/>
      <c r="Y773" s="160"/>
      <c r="Z773" s="160"/>
      <c r="AA773" s="160"/>
      <c r="AB773" s="160"/>
      <c r="AC773" s="160"/>
      <c r="AD773" s="160"/>
      <c r="AE773" s="160"/>
      <c r="AF773" s="160"/>
      <c r="AG773" s="160"/>
      <c r="AH773" s="160"/>
      <c r="AI773" s="160"/>
      <c r="AJ773" s="179"/>
      <c r="AK773" s="160"/>
      <c r="AL773" s="177"/>
      <c r="AM773" s="177"/>
      <c r="AN773" s="177"/>
      <c r="AO773" s="160"/>
      <c r="AP773" s="160">
        <f>IF(and($AP$677&gt;0,Model!W$1&lt;='Assumptions (Wind)'!$V$13),PPMT('Assumptions (Wind)'!$V$10,Model!W1,'Assumptions (Wind)'!$V$13,'Assumptions (Wind)'!$V$8*Model!$AP$677*AVERAGE('Assumptions (Wind)'!$AM$2:$AN$2)/10^9),0)</f>
        <v>-0.01123267023</v>
      </c>
      <c r="AQ773" s="160">
        <f>IF(and($AP$677&gt;0,Model!X$1&lt;='Assumptions (Wind)'!$V$13),PPMT('Assumptions (Wind)'!$V$10,Model!X1,'Assumptions (Wind)'!$V$13,'Assumptions (Wind)'!$V$8*Model!$AP$677*AVERAGE('Assumptions (Wind)'!$AM$2:$AN$2)/10^9),0)</f>
        <v>-0.01213128385</v>
      </c>
      <c r="AR773" s="160">
        <f>IF(and($AP$677&gt;0,Model!Y$1&lt;='Assumptions (Wind)'!$V$13),PPMT('Assumptions (Wind)'!$V$10,Model!Y1,'Assumptions (Wind)'!$V$13,'Assumptions (Wind)'!$V$8*Model!$AP$677*AVERAGE('Assumptions (Wind)'!$AM$2:$AN$2)/10^9),0)</f>
        <v>-0.01310178656</v>
      </c>
      <c r="AS773" s="160">
        <f>IF(and($AP$677&gt;0,Model!Z$1&lt;='Assumptions (Wind)'!$V$13),PPMT('Assumptions (Wind)'!$V$10,Model!Z1,'Assumptions (Wind)'!$V$13,'Assumptions (Wind)'!$V$8*Model!$AP$677*AVERAGE('Assumptions (Wind)'!$AM$2:$AN$2)/10^9),0)</f>
        <v>-0.01414992948</v>
      </c>
      <c r="AT773" s="160">
        <f>IF(and($AP$677&gt;0,Model!AA$1&lt;='Assumptions (Wind)'!$V$13),PPMT('Assumptions (Wind)'!$V$10,Model!AA1,'Assumptions (Wind)'!$V$13,'Assumptions (Wind)'!$V$8*Model!$AP$677*AVERAGE('Assumptions (Wind)'!$AM$2:$AN$2)/10^9),0)</f>
        <v>-0.01528192384</v>
      </c>
      <c r="AU773" s="160">
        <f>IF(and($AP$677&gt;0,Model!AB$1&lt;='Assumptions (Wind)'!$V$13),PPMT('Assumptions (Wind)'!$V$10,Model!AB1,'Assumptions (Wind)'!$V$13,'Assumptions (Wind)'!$V$8*Model!$AP$677*AVERAGE('Assumptions (Wind)'!$AM$2:$AN$2)/10^9),0)</f>
        <v>-0.01650447775</v>
      </c>
      <c r="AV773" s="160">
        <f>IF(and($AP$677&gt;0,Model!AC$1&lt;='Assumptions (Wind)'!$V$13),PPMT('Assumptions (Wind)'!$V$10,Model!AC1,'Assumptions (Wind)'!$V$13,'Assumptions (Wind)'!$V$8*Model!$AP$677*AVERAGE('Assumptions (Wind)'!$AM$2:$AN$2)/10^9),0)</f>
        <v>-0.01782483597</v>
      </c>
      <c r="AW773" s="160">
        <f>IF(and($AP$677&gt;0,Model!AD$1&lt;='Assumptions (Wind)'!$V$13),PPMT('Assumptions (Wind)'!$V$10,Model!AD1,'Assumptions (Wind)'!$V$13,'Assumptions (Wind)'!$V$8*Model!$AP$677*AVERAGE('Assumptions (Wind)'!$AM$2:$AN$2)/10^9),0)</f>
        <v>-0.01925082284</v>
      </c>
      <c r="AX773" s="160">
        <f>IF(and($AP$677&gt;0,Model!AE$1&lt;='Assumptions (Wind)'!$V$13),PPMT('Assumptions (Wind)'!$V$10,Model!AE1,'Assumptions (Wind)'!$V$13,'Assumptions (Wind)'!$V$8*Model!$AP$677*AVERAGE('Assumptions (Wind)'!$AM$2:$AN$2)/10^9),0)</f>
        <v>-0.02079088867</v>
      </c>
      <c r="AY773" s="160">
        <f>IF(and($AP$677&gt;0,Model!AF$1&lt;='Assumptions (Wind)'!$V$13),PPMT('Assumptions (Wind)'!$V$10,Model!AF1,'Assumptions (Wind)'!$V$13,'Assumptions (Wind)'!$V$8*Model!$AP$677*AVERAGE('Assumptions (Wind)'!$AM$2:$AN$2)/10^9),0)</f>
        <v>-0.02245415977</v>
      </c>
      <c r="AZ773" s="160"/>
      <c r="BA773" s="160"/>
      <c r="BB773" s="160"/>
      <c r="BC773" s="160"/>
      <c r="BD773" s="160"/>
      <c r="BE773" s="160"/>
      <c r="BF773" s="160"/>
      <c r="BG773" s="160"/>
      <c r="BH773" s="160"/>
      <c r="BI773" s="160"/>
      <c r="BJ773" s="160"/>
      <c r="BK773" s="160"/>
      <c r="BL773" s="160"/>
      <c r="BM773" s="160"/>
      <c r="BN773" s="160"/>
    </row>
    <row r="774" ht="15.75" hidden="1" customHeight="1" outlineLevel="1">
      <c r="A774" s="241"/>
      <c r="B774" s="38"/>
      <c r="C774" s="174"/>
      <c r="D774" s="174"/>
      <c r="E774" s="174"/>
      <c r="F774" s="174"/>
      <c r="G774" s="174"/>
      <c r="H774" s="174"/>
      <c r="I774" s="174"/>
      <c r="J774" s="174"/>
      <c r="K774" s="174"/>
      <c r="L774" s="174"/>
      <c r="M774" s="174"/>
      <c r="N774" s="174"/>
      <c r="O774" s="174"/>
      <c r="P774" s="174"/>
      <c r="Q774" s="174"/>
      <c r="R774" s="174"/>
      <c r="S774" s="174"/>
      <c r="T774" s="174"/>
      <c r="U774" s="174"/>
      <c r="V774" s="174"/>
      <c r="W774" s="160"/>
      <c r="X774" s="160"/>
      <c r="Y774" s="160"/>
      <c r="Z774" s="160"/>
      <c r="AA774" s="160"/>
      <c r="AB774" s="160"/>
      <c r="AC774" s="160"/>
      <c r="AD774" s="160"/>
      <c r="AE774" s="160"/>
      <c r="AF774" s="160"/>
      <c r="AG774" s="160"/>
      <c r="AH774" s="160"/>
      <c r="AI774" s="160"/>
      <c r="AJ774" s="179"/>
      <c r="AK774" s="160"/>
      <c r="AL774" s="177"/>
      <c r="AM774" s="177"/>
      <c r="AN774" s="177"/>
      <c r="AO774" s="160"/>
      <c r="AP774" s="160"/>
      <c r="AQ774" s="160">
        <f>IF(and($AQ$677&gt;0,Model!W$1&lt;='Assumptions (Wind)'!$V$13),PPMT('Assumptions (Wind)'!$V$10,Model!W1,'Assumptions (Wind)'!$V$13,'Assumptions (Wind)'!$V$8*Model!$AQ$677*AVERAGE('Assumptions (Wind)'!$AN$2:$AO$2)/10^9),0)</f>
        <v>-0.0113226913</v>
      </c>
      <c r="AR774" s="160">
        <f>IF(and($AQ$677&gt;0,Model!X$1&lt;='Assumptions (Wind)'!$V$13),PPMT('Assumptions (Wind)'!$V$10,Model!X1,'Assumptions (Wind)'!$V$13,'Assumptions (Wind)'!$V$8*Model!$AQ$677*AVERAGE('Assumptions (Wind)'!$AN$2:$AO$2)/10^9),0)</f>
        <v>-0.0122285066</v>
      </c>
      <c r="AS774" s="160">
        <f>IF(and($AQ$677&gt;0,Model!Y$1&lt;='Assumptions (Wind)'!$V$13),PPMT('Assumptions (Wind)'!$V$10,Model!Y1,'Assumptions (Wind)'!$V$13,'Assumptions (Wind)'!$V$8*Model!$AQ$677*AVERAGE('Assumptions (Wind)'!$AN$2:$AO$2)/10^9),0)</f>
        <v>-0.01320678713</v>
      </c>
      <c r="AT774" s="160">
        <f>IF(and($AQ$677&gt;0,Model!Z$1&lt;='Assumptions (Wind)'!$V$13),PPMT('Assumptions (Wind)'!$V$10,Model!Z1,'Assumptions (Wind)'!$V$13,'Assumptions (Wind)'!$V$8*Model!$AQ$677*AVERAGE('Assumptions (Wind)'!$AN$2:$AO$2)/10^9),0)</f>
        <v>-0.0142633301</v>
      </c>
      <c r="AU774" s="160">
        <f>IF(and($AQ$677&gt;0,Model!AA$1&lt;='Assumptions (Wind)'!$V$13),PPMT('Assumptions (Wind)'!$V$10,Model!AA1,'Assumptions (Wind)'!$V$13,'Assumptions (Wind)'!$V$8*Model!$AQ$677*AVERAGE('Assumptions (Wind)'!$AN$2:$AO$2)/10^9),0)</f>
        <v>-0.01540439651</v>
      </c>
      <c r="AV774" s="160">
        <f>IF(and($AQ$677&gt;0,Model!AB$1&lt;='Assumptions (Wind)'!$V$13),PPMT('Assumptions (Wind)'!$V$10,Model!AB1,'Assumptions (Wind)'!$V$13,'Assumptions (Wind)'!$V$8*Model!$AQ$677*AVERAGE('Assumptions (Wind)'!$AN$2:$AO$2)/10^9),0)</f>
        <v>-0.01663674823</v>
      </c>
      <c r="AW774" s="160">
        <f>IF(and($AQ$677&gt;0,Model!AC$1&lt;='Assumptions (Wind)'!$V$13),PPMT('Assumptions (Wind)'!$V$10,Model!AC1,'Assumptions (Wind)'!$V$13,'Assumptions (Wind)'!$V$8*Model!$AQ$677*AVERAGE('Assumptions (Wind)'!$AN$2:$AO$2)/10^9),0)</f>
        <v>-0.01796768808</v>
      </c>
      <c r="AX774" s="160">
        <f>IF(and($AQ$677&gt;0,Model!AD$1&lt;='Assumptions (Wind)'!$V$13),PPMT('Assumptions (Wind)'!$V$10,Model!AD1,'Assumptions (Wind)'!$V$13,'Assumptions (Wind)'!$V$8*Model!$AQ$677*AVERAGE('Assumptions (Wind)'!$AN$2:$AO$2)/10^9),0)</f>
        <v>-0.01940510313</v>
      </c>
      <c r="AY774" s="160">
        <f>IF(and($AQ$677&gt;0,Model!AE$1&lt;='Assumptions (Wind)'!$V$13),PPMT('Assumptions (Wind)'!$V$10,Model!AE1,'Assumptions (Wind)'!$V$13,'Assumptions (Wind)'!$V$8*Model!$AQ$677*AVERAGE('Assumptions (Wind)'!$AN$2:$AO$2)/10^9),0)</f>
        <v>-0.02095751138</v>
      </c>
      <c r="AZ774" s="160">
        <f>IF(and($AQ$677&gt;0,Model!AF$1&lt;='Assumptions (Wind)'!$V$13),PPMT('Assumptions (Wind)'!$V$10,Model!AF1,'Assumptions (Wind)'!$V$13,'Assumptions (Wind)'!$V$8*Model!$AQ$677*AVERAGE('Assumptions (Wind)'!$AN$2:$AO$2)/10^9),0)</f>
        <v>-0.02263411229</v>
      </c>
      <c r="BA774" s="160"/>
      <c r="BB774" s="160"/>
      <c r="BC774" s="160"/>
      <c r="BD774" s="160"/>
      <c r="BE774" s="160"/>
      <c r="BF774" s="160"/>
      <c r="BG774" s="160"/>
      <c r="BH774" s="160"/>
      <c r="BI774" s="160"/>
      <c r="BJ774" s="160"/>
      <c r="BK774" s="160"/>
      <c r="BL774" s="160"/>
      <c r="BM774" s="160"/>
      <c r="BN774" s="160"/>
      <c r="BO774" s="160"/>
    </row>
    <row r="775" ht="15.75" hidden="1" customHeight="1" outlineLevel="1">
      <c r="A775" s="241"/>
      <c r="B775" s="38"/>
      <c r="C775" s="174"/>
      <c r="D775" s="174"/>
      <c r="E775" s="174"/>
      <c r="F775" s="174"/>
      <c r="G775" s="174"/>
      <c r="H775" s="174"/>
      <c r="I775" s="174"/>
      <c r="J775" s="174"/>
      <c r="K775" s="174"/>
      <c r="L775" s="174"/>
      <c r="M775" s="174"/>
      <c r="N775" s="174"/>
      <c r="O775" s="174"/>
      <c r="P775" s="174"/>
      <c r="Q775" s="174"/>
      <c r="R775" s="174"/>
      <c r="S775" s="174"/>
      <c r="T775" s="174"/>
      <c r="U775" s="174"/>
      <c r="V775" s="174"/>
      <c r="W775" s="160"/>
      <c r="X775" s="160"/>
      <c r="Y775" s="160"/>
      <c r="Z775" s="160"/>
      <c r="AA775" s="160"/>
      <c r="AB775" s="160"/>
      <c r="AC775" s="160"/>
      <c r="AD775" s="160"/>
      <c r="AE775" s="160"/>
      <c r="AF775" s="160"/>
      <c r="AG775" s="160"/>
      <c r="AH775" s="160"/>
      <c r="AI775" s="160"/>
      <c r="AJ775" s="179"/>
      <c r="AK775" s="160"/>
      <c r="AL775" s="177"/>
      <c r="AM775" s="177"/>
      <c r="AN775" s="177"/>
      <c r="AO775" s="160"/>
      <c r="AP775" s="160"/>
      <c r="AQ775" s="160"/>
      <c r="AR775" s="160">
        <f>IF(and($AR$677&gt;0,Model!W$1&lt;='Assumptions (Wind)'!$V$13),PPMT('Assumptions (Wind)'!$V$10,Model!W1,'Assumptions (Wind)'!$V$13,'Assumptions (Wind)'!$V$8*Model!$AR$677*AVERAGE('Assumptions (Wind)'!$AO$2:$AP$2)/10^9),0)</f>
        <v>-0.01141185541</v>
      </c>
      <c r="AS775" s="160">
        <f>IF(and($AR$677&gt;0,Model!X$1&lt;='Assumptions (Wind)'!$V$13),PPMT('Assumptions (Wind)'!$V$10,Model!X1,'Assumptions (Wind)'!$V$13,'Assumptions (Wind)'!$V$8*Model!$AR$677*AVERAGE('Assumptions (Wind)'!$AO$2:$AP$2)/10^9),0)</f>
        <v>-0.01232480385</v>
      </c>
      <c r="AT775" s="160">
        <f>IF(and($AR$677&gt;0,Model!Y$1&lt;='Assumptions (Wind)'!$V$13),PPMT('Assumptions (Wind)'!$V$10,Model!Y1,'Assumptions (Wind)'!$V$13,'Assumptions (Wind)'!$V$8*Model!$AR$677*AVERAGE('Assumptions (Wind)'!$AO$2:$AP$2)/10^9),0)</f>
        <v>-0.01331078815</v>
      </c>
      <c r="AU775" s="160">
        <f>IF(and($AR$677&gt;0,Model!Z$1&lt;='Assumptions (Wind)'!$V$13),PPMT('Assumptions (Wind)'!$V$10,Model!Z1,'Assumptions (Wind)'!$V$13,'Assumptions (Wind)'!$V$8*Model!$AR$677*AVERAGE('Assumptions (Wind)'!$AO$2:$AP$2)/10^9),0)</f>
        <v>-0.01437565121</v>
      </c>
      <c r="AV775" s="160">
        <f>IF(and($AR$677&gt;0,Model!AA$1&lt;='Assumptions (Wind)'!$V$13),PPMT('Assumptions (Wind)'!$V$10,Model!AA1,'Assumptions (Wind)'!$V$13,'Assumptions (Wind)'!$V$8*Model!$AR$677*AVERAGE('Assumptions (Wind)'!$AO$2:$AP$2)/10^9),0)</f>
        <v>-0.0155257033</v>
      </c>
      <c r="AW775" s="160">
        <f>IF(and($AR$677&gt;0,Model!AB$1&lt;='Assumptions (Wind)'!$V$13),PPMT('Assumptions (Wind)'!$V$10,Model!AB1,'Assumptions (Wind)'!$V$13,'Assumptions (Wind)'!$V$8*Model!$AR$677*AVERAGE('Assumptions (Wind)'!$AO$2:$AP$2)/10^9),0)</f>
        <v>-0.01676775957</v>
      </c>
      <c r="AX775" s="160">
        <f>IF(and($AR$677&gt;0,Model!AC$1&lt;='Assumptions (Wind)'!$V$13),PPMT('Assumptions (Wind)'!$V$10,Model!AC1,'Assumptions (Wind)'!$V$13,'Assumptions (Wind)'!$V$8*Model!$AR$677*AVERAGE('Assumptions (Wind)'!$AO$2:$AP$2)/10^9),0)</f>
        <v>-0.01810918033</v>
      </c>
      <c r="AY775" s="160">
        <f>IF(and($AR$677&gt;0,Model!AD$1&lt;='Assumptions (Wind)'!$V$13),PPMT('Assumptions (Wind)'!$V$10,Model!AD1,'Assumptions (Wind)'!$V$13,'Assumptions (Wind)'!$V$8*Model!$AR$677*AVERAGE('Assumptions (Wind)'!$AO$2:$AP$2)/10^9),0)</f>
        <v>-0.01955791476</v>
      </c>
      <c r="AZ775" s="160">
        <f>IF(and($AR$677&gt;0,Model!AE$1&lt;='Assumptions (Wind)'!$V$13),PPMT('Assumptions (Wind)'!$V$10,Model!AE1,'Assumptions (Wind)'!$V$13,'Assumptions (Wind)'!$V$8*Model!$AR$677*AVERAGE('Assumptions (Wind)'!$AO$2:$AP$2)/10^9),0)</f>
        <v>-0.02112254794</v>
      </c>
      <c r="BA775" s="160">
        <f>IF(and($AR$677&gt;0,Model!AF$1&lt;='Assumptions (Wind)'!$V$13),PPMT('Assumptions (Wind)'!$V$10,Model!AF1,'Assumptions (Wind)'!$V$13,'Assumptions (Wind)'!$V$8*Model!$AR$677*AVERAGE('Assumptions (Wind)'!$AO$2:$AP$2)/10^9),0)</f>
        <v>-0.02281235178</v>
      </c>
      <c r="BB775" s="160"/>
      <c r="BC775" s="160"/>
      <c r="BD775" s="160"/>
      <c r="BE775" s="160"/>
      <c r="BF775" s="160"/>
      <c r="BG775" s="160"/>
      <c r="BH775" s="160"/>
      <c r="BI775" s="160"/>
      <c r="BJ775" s="160"/>
      <c r="BK775" s="160"/>
      <c r="BL775" s="160"/>
      <c r="BM775" s="160"/>
      <c r="BN775" s="160"/>
      <c r="BO775" s="160"/>
      <c r="BP775" s="160"/>
    </row>
    <row r="776" ht="15.75" hidden="1" customHeight="1" outlineLevel="1">
      <c r="A776" s="241"/>
      <c r="B776" s="38"/>
      <c r="C776" s="174"/>
      <c r="D776" s="174"/>
      <c r="E776" s="174"/>
      <c r="F776" s="174"/>
      <c r="G776" s="174"/>
      <c r="H776" s="174"/>
      <c r="I776" s="174"/>
      <c r="J776" s="174"/>
      <c r="K776" s="174"/>
      <c r="L776" s="174"/>
      <c r="M776" s="174"/>
      <c r="N776" s="174"/>
      <c r="O776" s="174"/>
      <c r="P776" s="174"/>
      <c r="Q776" s="174"/>
      <c r="R776" s="174"/>
      <c r="S776" s="174"/>
      <c r="T776" s="174"/>
      <c r="U776" s="174"/>
      <c r="V776" s="174"/>
      <c r="W776" s="160"/>
      <c r="X776" s="160"/>
      <c r="Y776" s="160"/>
      <c r="Z776" s="160"/>
      <c r="AA776" s="160"/>
      <c r="AB776" s="160"/>
      <c r="AC776" s="160"/>
      <c r="AD776" s="160"/>
      <c r="AE776" s="160"/>
      <c r="AF776" s="160"/>
      <c r="AG776" s="160"/>
      <c r="AH776" s="160"/>
      <c r="AI776" s="160"/>
      <c r="AJ776" s="179"/>
      <c r="AK776" s="160"/>
      <c r="AL776" s="177"/>
      <c r="AM776" s="177"/>
      <c r="AN776" s="177"/>
      <c r="AO776" s="160"/>
      <c r="AP776" s="160"/>
      <c r="AQ776" s="160"/>
      <c r="AR776" s="160"/>
      <c r="AS776" s="160">
        <f>IF(and($AS$677&gt;0,Model!W$1&lt;='Assumptions (Wind)'!$V$13),PPMT('Assumptions (Wind)'!$V$10,Model!W1,'Assumptions (Wind)'!$V$13,'Assumptions (Wind)'!$V$8*Model!$AS$677*AVERAGE('Assumptions (Wind)'!$AP$2:$AQ$2)/10^9),0)</f>
        <v>-0.01150028518</v>
      </c>
      <c r="AT776" s="160">
        <f>IF(and($AS$677&gt;0,Model!X$1&lt;='Assumptions (Wind)'!$V$13),PPMT('Assumptions (Wind)'!$V$10,Model!X1,'Assumptions (Wind)'!$V$13,'Assumptions (Wind)'!$V$8*Model!$AS$677*AVERAGE('Assumptions (Wind)'!$AP$2:$AQ$2)/10^9),0)</f>
        <v>-0.012420308</v>
      </c>
      <c r="AU776" s="160">
        <f>IF(and($AS$677&gt;0,Model!Y$1&lt;='Assumptions (Wind)'!$V$13),PPMT('Assumptions (Wind)'!$V$10,Model!Y1,'Assumptions (Wind)'!$V$13,'Assumptions (Wind)'!$V$8*Model!$AS$677*AVERAGE('Assumptions (Wind)'!$AP$2:$AQ$2)/10^9),0)</f>
        <v>-0.01341393264</v>
      </c>
      <c r="AV776" s="160">
        <f>IF(and($AS$677&gt;0,Model!Z$1&lt;='Assumptions (Wind)'!$V$13),PPMT('Assumptions (Wind)'!$V$10,Model!Z1,'Assumptions (Wind)'!$V$13,'Assumptions (Wind)'!$V$8*Model!$AS$677*AVERAGE('Assumptions (Wind)'!$AP$2:$AQ$2)/10^9),0)</f>
        <v>-0.01448704725</v>
      </c>
      <c r="AW776" s="160">
        <f>IF(and($AS$677&gt;0,Model!AA$1&lt;='Assumptions (Wind)'!$V$13),PPMT('Assumptions (Wind)'!$V$10,Model!AA1,'Assumptions (Wind)'!$V$13,'Assumptions (Wind)'!$V$8*Model!$AS$677*AVERAGE('Assumptions (Wind)'!$AP$2:$AQ$2)/10^9),0)</f>
        <v>-0.01564601103</v>
      </c>
      <c r="AX776" s="160">
        <f>IF(and($AS$677&gt;0,Model!AB$1&lt;='Assumptions (Wind)'!$V$13),PPMT('Assumptions (Wind)'!$V$10,Model!AB1,'Assumptions (Wind)'!$V$13,'Assumptions (Wind)'!$V$8*Model!$AS$677*AVERAGE('Assumptions (Wind)'!$AP$2:$AQ$2)/10^9),0)</f>
        <v>-0.01689769191</v>
      </c>
      <c r="AY776" s="160">
        <f>IF(and($AS$677&gt;0,Model!AC$1&lt;='Assumptions (Wind)'!$V$13),PPMT('Assumptions (Wind)'!$V$10,Model!AC1,'Assumptions (Wind)'!$V$13,'Assumptions (Wind)'!$V$8*Model!$AS$677*AVERAGE('Assumptions (Wind)'!$AP$2:$AQ$2)/10^9),0)</f>
        <v>-0.01824950726</v>
      </c>
      <c r="AZ776" s="160">
        <f>IF(and($AS$677&gt;0,Model!AD$1&lt;='Assumptions (Wind)'!$V$13),PPMT('Assumptions (Wind)'!$V$10,Model!AD1,'Assumptions (Wind)'!$V$13,'Assumptions (Wind)'!$V$8*Model!$AS$677*AVERAGE('Assumptions (Wind)'!$AP$2:$AQ$2)/10^9),0)</f>
        <v>-0.01970946784</v>
      </c>
      <c r="BA776" s="160">
        <f>IF(and($AS$677&gt;0,Model!AE$1&lt;='Assumptions (Wind)'!$V$13),PPMT('Assumptions (Wind)'!$V$10,Model!AE1,'Assumptions (Wind)'!$V$13,'Assumptions (Wind)'!$V$8*Model!$AS$677*AVERAGE('Assumptions (Wind)'!$AP$2:$AQ$2)/10^9),0)</f>
        <v>-0.02128622527</v>
      </c>
      <c r="BB776" s="160">
        <f>IF(and($AS$677&gt;0,Model!AF$1&lt;='Assumptions (Wind)'!$V$13),PPMT('Assumptions (Wind)'!$V$10,Model!AF1,'Assumptions (Wind)'!$V$13,'Assumptions (Wind)'!$V$8*Model!$AS$677*AVERAGE('Assumptions (Wind)'!$AP$2:$AQ$2)/10^9),0)</f>
        <v>-0.02298912329</v>
      </c>
      <c r="BC776" s="160"/>
      <c r="BD776" s="160"/>
      <c r="BE776" s="160"/>
      <c r="BF776" s="160"/>
      <c r="BG776" s="160"/>
      <c r="BH776" s="160"/>
      <c r="BI776" s="160"/>
      <c r="BJ776" s="160"/>
      <c r="BK776" s="160"/>
      <c r="BL776" s="160"/>
      <c r="BM776" s="160"/>
      <c r="BN776" s="160"/>
      <c r="BO776" s="160"/>
      <c r="BP776" s="160"/>
      <c r="BQ776" s="160"/>
      <c r="BR776" s="160"/>
    </row>
    <row r="777" ht="15.75" hidden="1" customHeight="1" outlineLevel="1">
      <c r="A777" s="241"/>
      <c r="B777" s="38"/>
      <c r="C777" s="174"/>
      <c r="D777" s="174"/>
      <c r="E777" s="174"/>
      <c r="F777" s="174"/>
      <c r="G777" s="174"/>
      <c r="H777" s="174"/>
      <c r="I777" s="174"/>
      <c r="J777" s="174"/>
      <c r="K777" s="174"/>
      <c r="L777" s="174"/>
      <c r="M777" s="174"/>
      <c r="N777" s="174"/>
      <c r="O777" s="174"/>
      <c r="P777" s="174"/>
      <c r="Q777" s="174"/>
      <c r="R777" s="174"/>
      <c r="S777" s="174"/>
      <c r="T777" s="174"/>
      <c r="U777" s="174"/>
      <c r="V777" s="174"/>
      <c r="W777" s="160"/>
      <c r="X777" s="160"/>
      <c r="Y777" s="160"/>
      <c r="Z777" s="160"/>
      <c r="AA777" s="160"/>
      <c r="AB777" s="160"/>
      <c r="AC777" s="160"/>
      <c r="AD777" s="160"/>
      <c r="AE777" s="160"/>
      <c r="AF777" s="160"/>
      <c r="AG777" s="160"/>
      <c r="AH777" s="160"/>
      <c r="AI777" s="160"/>
      <c r="AJ777" s="179"/>
      <c r="AK777" s="160"/>
      <c r="AL777" s="177"/>
      <c r="AM777" s="177"/>
      <c r="AN777" s="177"/>
      <c r="AO777" s="160"/>
      <c r="AP777" s="160"/>
      <c r="AQ777" s="160"/>
      <c r="AR777" s="160"/>
      <c r="AS777" s="160"/>
      <c r="AT777" s="160">
        <f>IF(and($AT$677&gt;0,Model!W$1&lt;='Assumptions (Wind)'!$V$13),PPMT('Assumptions (Wind)'!$V$10,Model!W1,'Assumptions (Wind)'!$V$13,'Assumptions (Wind)'!$V$8*Model!$AT$677*AVERAGE('Assumptions (Wind)'!$AQ$2:$AR$2)/10^9),0)</f>
        <v>-0.01158772401</v>
      </c>
      <c r="AU777" s="160">
        <f>IF(and($AT$677&gt;0,Model!X$1&lt;='Assumptions (Wind)'!$V$13),PPMT('Assumptions (Wind)'!$V$10,Model!X1,'Assumptions (Wind)'!$V$13,'Assumptions (Wind)'!$V$8*Model!$AT$677*AVERAGE('Assumptions (Wind)'!$AQ$2:$AR$2)/10^9),0)</f>
        <v>-0.01251474193</v>
      </c>
      <c r="AV777" s="160">
        <f>IF(and($AT$677&gt;0,Model!Y$1&lt;='Assumptions (Wind)'!$V$13),PPMT('Assumptions (Wind)'!$V$10,Model!Y1,'Assumptions (Wind)'!$V$13,'Assumptions (Wind)'!$V$8*Model!$AT$677*AVERAGE('Assumptions (Wind)'!$AQ$2:$AR$2)/10^9),0)</f>
        <v>-0.01351592128</v>
      </c>
      <c r="AW777" s="160">
        <f>IF(and($AT$677&gt;0,Model!Z$1&lt;='Assumptions (Wind)'!$V$13),PPMT('Assumptions (Wind)'!$V$10,Model!Z1,'Assumptions (Wind)'!$V$13,'Assumptions (Wind)'!$V$8*Model!$AT$677*AVERAGE('Assumptions (Wind)'!$AQ$2:$AR$2)/10^9),0)</f>
        <v>-0.01459719498</v>
      </c>
      <c r="AX777" s="160">
        <f>IF(and($AT$677&gt;0,Model!AA$1&lt;='Assumptions (Wind)'!$V$13),PPMT('Assumptions (Wind)'!$V$10,Model!AA1,'Assumptions (Wind)'!$V$13,'Assumptions (Wind)'!$V$8*Model!$AT$677*AVERAGE('Assumptions (Wind)'!$AQ$2:$AR$2)/10^9),0)</f>
        <v>-0.01576497058</v>
      </c>
      <c r="AY777" s="160">
        <f>IF(and($AT$677&gt;0,Model!AB$1&lt;='Assumptions (Wind)'!$V$13),PPMT('Assumptions (Wind)'!$V$10,Model!AB1,'Assumptions (Wind)'!$V$13,'Assumptions (Wind)'!$V$8*Model!$AT$677*AVERAGE('Assumptions (Wind)'!$AQ$2:$AR$2)/10^9),0)</f>
        <v>-0.01702616823</v>
      </c>
      <c r="AZ777" s="160">
        <f>IF(and($AT$677&gt;0,Model!AC$1&lt;='Assumptions (Wind)'!$V$13),PPMT('Assumptions (Wind)'!$V$10,Model!AC1,'Assumptions (Wind)'!$V$13,'Assumptions (Wind)'!$V$8*Model!$AT$677*AVERAGE('Assumptions (Wind)'!$AQ$2:$AR$2)/10^9),0)</f>
        <v>-0.01838826169</v>
      </c>
      <c r="BA777" s="160">
        <f>IF(and($AT$677&gt;0,Model!AD$1&lt;='Assumptions (Wind)'!$V$13),PPMT('Assumptions (Wind)'!$V$10,Model!AD1,'Assumptions (Wind)'!$V$13,'Assumptions (Wind)'!$V$8*Model!$AT$677*AVERAGE('Assumptions (Wind)'!$AQ$2:$AR$2)/10^9),0)</f>
        <v>-0.01985932262</v>
      </c>
      <c r="BB777" s="160">
        <f>IF(and($AT$677&gt;0,Model!AE$1&lt;='Assumptions (Wind)'!$V$13),PPMT('Assumptions (Wind)'!$V$10,Model!AE1,'Assumptions (Wind)'!$V$13,'Assumptions (Wind)'!$V$8*Model!$AT$677*AVERAGE('Assumptions (Wind)'!$AQ$2:$AR$2)/10^9),0)</f>
        <v>-0.02144806843</v>
      </c>
      <c r="BC777" s="160">
        <f>IF(and($AT$677&gt;0,Model!AF$1&lt;='Assumptions (Wind)'!$V$13),PPMT('Assumptions (Wind)'!$V$10,Model!AF1,'Assumptions (Wind)'!$V$13,'Assumptions (Wind)'!$V$8*Model!$AT$677*AVERAGE('Assumptions (Wind)'!$AQ$2:$AR$2)/10^9),0)</f>
        <v>-0.02316391391</v>
      </c>
      <c r="BD777" s="160"/>
      <c r="BE777" s="160"/>
      <c r="BF777" s="160"/>
      <c r="BG777" s="160"/>
      <c r="BH777" s="160"/>
      <c r="BI777" s="160"/>
      <c r="BJ777" s="160"/>
      <c r="BK777" s="160"/>
      <c r="BL777" s="160"/>
      <c r="BM777" s="160"/>
      <c r="BN777" s="160"/>
      <c r="BO777" s="160"/>
      <c r="BP777" s="160"/>
      <c r="BQ777" s="160"/>
      <c r="BR777" s="160"/>
    </row>
    <row r="778" ht="15.75" hidden="1" customHeight="1" outlineLevel="1">
      <c r="A778" s="241"/>
      <c r="B778" s="38"/>
      <c r="C778" s="174"/>
      <c r="D778" s="174"/>
      <c r="E778" s="174"/>
      <c r="F778" s="174"/>
      <c r="G778" s="174"/>
      <c r="H778" s="174"/>
      <c r="I778" s="174"/>
      <c r="J778" s="174"/>
      <c r="K778" s="174"/>
      <c r="L778" s="174"/>
      <c r="M778" s="174"/>
      <c r="N778" s="174"/>
      <c r="O778" s="174"/>
      <c r="P778" s="174"/>
      <c r="Q778" s="174"/>
      <c r="R778" s="174"/>
      <c r="S778" s="174"/>
      <c r="T778" s="174"/>
      <c r="U778" s="174"/>
      <c r="V778" s="174"/>
      <c r="W778" s="160"/>
      <c r="X778" s="160"/>
      <c r="Y778" s="160"/>
      <c r="Z778" s="160"/>
      <c r="AA778" s="160"/>
      <c r="AB778" s="160"/>
      <c r="AC778" s="160"/>
      <c r="AD778" s="160"/>
      <c r="AE778" s="160"/>
      <c r="AF778" s="160"/>
      <c r="AG778" s="160"/>
      <c r="AH778" s="160"/>
      <c r="AI778" s="160"/>
      <c r="AJ778" s="179"/>
      <c r="AK778" s="160"/>
      <c r="AL778" s="177"/>
      <c r="AM778" s="177"/>
      <c r="AN778" s="177"/>
      <c r="AO778" s="160"/>
      <c r="AP778" s="160"/>
      <c r="AQ778" s="160"/>
      <c r="AR778" s="160"/>
      <c r="AS778" s="160"/>
      <c r="AT778" s="160"/>
      <c r="AU778" s="160">
        <f>IF(and($AU$677&gt;0,Model!W$1&lt;='Assumptions (Wind)'!$V$13),PPMT('Assumptions (Wind)'!$V$10,Model!W1,'Assumptions (Wind)'!$V$13,'Assumptions (Wind)'!$V$8*Model!$AU$677*AVERAGE('Assumptions (Wind)'!$AR$2:$AS$2)/10^9),0)</f>
        <v>-0.02728322538</v>
      </c>
      <c r="AV778" s="160">
        <f>IF(and($AU$677&gt;0,Model!X$1&lt;='Assumptions (Wind)'!$V$13),PPMT('Assumptions (Wind)'!$V$10,Model!X1,'Assumptions (Wind)'!$V$13,'Assumptions (Wind)'!$V$8*Model!$AU$677*AVERAGE('Assumptions (Wind)'!$AR$2:$AS$2)/10^9),0)</f>
        <v>-0.02946588341</v>
      </c>
      <c r="AW778" s="160">
        <f>IF(and($AU$677&gt;0,Model!Y$1&lt;='Assumptions (Wind)'!$V$13),PPMT('Assumptions (Wind)'!$V$10,Model!Y1,'Assumptions (Wind)'!$V$13,'Assumptions (Wind)'!$V$8*Model!$AU$677*AVERAGE('Assumptions (Wind)'!$AR$2:$AS$2)/10^9),0)</f>
        <v>-0.03182315409</v>
      </c>
      <c r="AX778" s="160">
        <f>IF(and($AU$677&gt;0,Model!Z$1&lt;='Assumptions (Wind)'!$V$13),PPMT('Assumptions (Wind)'!$V$10,Model!Z1,'Assumptions (Wind)'!$V$13,'Assumptions (Wind)'!$V$8*Model!$AU$677*AVERAGE('Assumptions (Wind)'!$AR$2:$AS$2)/10^9),0)</f>
        <v>-0.03436900642</v>
      </c>
      <c r="AY778" s="160">
        <f>IF(and($AU$677&gt;0,Model!AA$1&lt;='Assumptions (Wind)'!$V$13),PPMT('Assumptions (Wind)'!$V$10,Model!AA1,'Assumptions (Wind)'!$V$13,'Assumptions (Wind)'!$V$8*Model!$AU$677*AVERAGE('Assumptions (Wind)'!$AR$2:$AS$2)/10^9),0)</f>
        <v>-0.03711852693</v>
      </c>
      <c r="AZ778" s="160">
        <f>IF(and($AU$677&gt;0,Model!AB$1&lt;='Assumptions (Wind)'!$V$13),PPMT('Assumptions (Wind)'!$V$10,Model!AB1,'Assumptions (Wind)'!$V$13,'Assumptions (Wind)'!$V$8*Model!$AU$677*AVERAGE('Assumptions (Wind)'!$AR$2:$AS$2)/10^9),0)</f>
        <v>-0.04008800908</v>
      </c>
      <c r="BA778" s="160">
        <f>IF(and($AU$677&gt;0,Model!AC$1&lt;='Assumptions (Wind)'!$V$13),PPMT('Assumptions (Wind)'!$V$10,Model!AC1,'Assumptions (Wind)'!$V$13,'Assumptions (Wind)'!$V$8*Model!$AU$677*AVERAGE('Assumptions (Wind)'!$AR$2:$AS$2)/10^9),0)</f>
        <v>-0.04329504981</v>
      </c>
      <c r="BB778" s="160">
        <f>IF(and($AU$677&gt;0,Model!AD$1&lt;='Assumptions (Wind)'!$V$13),PPMT('Assumptions (Wind)'!$V$10,Model!AD1,'Assumptions (Wind)'!$V$13,'Assumptions (Wind)'!$V$8*Model!$AU$677*AVERAGE('Assumptions (Wind)'!$AR$2:$AS$2)/10^9),0)</f>
        <v>-0.04675865379</v>
      </c>
      <c r="BC778" s="160">
        <f>IF(and($AU$677&gt;0,Model!AE$1&lt;='Assumptions (Wind)'!$V$13),PPMT('Assumptions (Wind)'!$V$10,Model!AE1,'Assumptions (Wind)'!$V$13,'Assumptions (Wind)'!$V$8*Model!$AU$677*AVERAGE('Assumptions (Wind)'!$AR$2:$AS$2)/10^9),0)</f>
        <v>-0.0504993461</v>
      </c>
      <c r="BD778" s="160">
        <f>IF(and($AU$677&gt;0,Model!AF$1&lt;='Assumptions (Wind)'!$V$13),PPMT('Assumptions (Wind)'!$V$10,Model!AF1,'Assumptions (Wind)'!$V$13,'Assumptions (Wind)'!$V$8*Model!$AU$677*AVERAGE('Assumptions (Wind)'!$AR$2:$AS$2)/10^9),0)</f>
        <v>-0.05453929379</v>
      </c>
      <c r="BE778" s="160"/>
      <c r="BF778" s="160"/>
      <c r="BG778" s="160"/>
      <c r="BH778" s="160"/>
      <c r="BI778" s="160"/>
      <c r="BJ778" s="160"/>
      <c r="BK778" s="160"/>
      <c r="BL778" s="160"/>
      <c r="BM778" s="160"/>
      <c r="BN778" s="160"/>
      <c r="BO778" s="160"/>
      <c r="BP778" s="160"/>
      <c r="BQ778" s="160"/>
      <c r="BR778" s="160"/>
      <c r="BS778" s="160"/>
    </row>
    <row r="779" ht="15.75" hidden="1" customHeight="1" outlineLevel="1">
      <c r="A779" s="241"/>
      <c r="B779" s="38"/>
      <c r="C779" s="174"/>
      <c r="D779" s="174"/>
      <c r="E779" s="174"/>
      <c r="F779" s="174"/>
      <c r="G779" s="174"/>
      <c r="H779" s="174"/>
      <c r="I779" s="174"/>
      <c r="J779" s="174"/>
      <c r="K779" s="174"/>
      <c r="L779" s="174"/>
      <c r="M779" s="174"/>
      <c r="N779" s="174"/>
      <c r="O779" s="174"/>
      <c r="P779" s="174"/>
      <c r="Q779" s="174"/>
      <c r="R779" s="174"/>
      <c r="S779" s="174"/>
      <c r="T779" s="174"/>
      <c r="U779" s="174"/>
      <c r="V779" s="174"/>
      <c r="W779" s="160"/>
      <c r="X779" s="160"/>
      <c r="Y779" s="160"/>
      <c r="Z779" s="160"/>
      <c r="AA779" s="160"/>
      <c r="AB779" s="160"/>
      <c r="AC779" s="160"/>
      <c r="AD779" s="160"/>
      <c r="AE779" s="160"/>
      <c r="AF779" s="160"/>
      <c r="AG779" s="160"/>
      <c r="AH779" s="160"/>
      <c r="AI779" s="160"/>
      <c r="AJ779" s="179"/>
      <c r="AK779" s="160"/>
      <c r="AL779" s="177"/>
      <c r="AM779" s="177"/>
      <c r="AN779" s="177"/>
      <c r="AO779" s="160"/>
      <c r="AP779" s="160"/>
      <c r="AQ779" s="160"/>
      <c r="AR779" s="160"/>
      <c r="AS779" s="160"/>
      <c r="AT779" s="160"/>
      <c r="AU779" s="160"/>
      <c r="AV779" s="160">
        <f>IF(and($AV$677&gt;0,Model!W$1&lt;='Assumptions (Wind)'!$V$13),PPMT('Assumptions (Wind)'!$V$10,Model!W1,'Assumptions (Wind)'!$V$13,'Assumptions (Wind)'!$V$8*Model!$AV$677*AVERAGE('Assumptions (Wind)'!$AS$2:$AT$2)/10^9),0)</f>
        <v>-0.01175451841</v>
      </c>
      <c r="AW779" s="160">
        <f>IF(and($AV$677&gt;0,Model!X$1&lt;='Assumptions (Wind)'!$V$13),PPMT('Assumptions (Wind)'!$V$10,Model!X1,'Assumptions (Wind)'!$V$13,'Assumptions (Wind)'!$V$8*Model!$AV$677*AVERAGE('Assumptions (Wind)'!$AS$2:$AT$2)/10^9),0)</f>
        <v>-0.01269487988</v>
      </c>
      <c r="AX779" s="160">
        <f>IF(and($AV$677&gt;0,Model!Y$1&lt;='Assumptions (Wind)'!$V$13),PPMT('Assumptions (Wind)'!$V$10,Model!Y1,'Assumptions (Wind)'!$V$13,'Assumptions (Wind)'!$V$8*Model!$AV$677*AVERAGE('Assumptions (Wind)'!$AS$2:$AT$2)/10^9),0)</f>
        <v>-0.01371047027</v>
      </c>
      <c r="AY779" s="160">
        <f>IF(and($AV$677&gt;0,Model!Z$1&lt;='Assumptions (Wind)'!$V$13),PPMT('Assumptions (Wind)'!$V$10,Model!Z1,'Assumptions (Wind)'!$V$13,'Assumptions (Wind)'!$V$8*Model!$AV$677*AVERAGE('Assumptions (Wind)'!$AS$2:$AT$2)/10^9),0)</f>
        <v>-0.0148073079</v>
      </c>
      <c r="AZ779" s="160">
        <f>IF(and($AV$677&gt;0,Model!AA$1&lt;='Assumptions (Wind)'!$V$13),PPMT('Assumptions (Wind)'!$V$10,Model!AA1,'Assumptions (Wind)'!$V$13,'Assumptions (Wind)'!$V$8*Model!$AV$677*AVERAGE('Assumptions (Wind)'!$AS$2:$AT$2)/10^9),0)</f>
        <v>-0.01599189253</v>
      </c>
      <c r="BA779" s="160">
        <f>IF(and($AV$677&gt;0,Model!AB$1&lt;='Assumptions (Wind)'!$V$13),PPMT('Assumptions (Wind)'!$V$10,Model!AB1,'Assumptions (Wind)'!$V$13,'Assumptions (Wind)'!$V$8*Model!$AV$677*AVERAGE('Assumptions (Wind)'!$AS$2:$AT$2)/10^9),0)</f>
        <v>-0.01727124393</v>
      </c>
      <c r="BB779" s="160">
        <f>IF(and($AV$677&gt;0,Model!AC$1&lt;='Assumptions (Wind)'!$V$13),PPMT('Assumptions (Wind)'!$V$10,Model!AC1,'Assumptions (Wind)'!$V$13,'Assumptions (Wind)'!$V$8*Model!$AV$677*AVERAGE('Assumptions (Wind)'!$AS$2:$AT$2)/10^9),0)</f>
        <v>-0.01865294344</v>
      </c>
      <c r="BC779" s="160">
        <f>IF(and($AV$677&gt;0,Model!AD$1&lt;='Assumptions (Wind)'!$V$13),PPMT('Assumptions (Wind)'!$V$10,Model!AD1,'Assumptions (Wind)'!$V$13,'Assumptions (Wind)'!$V$8*Model!$AV$677*AVERAGE('Assumptions (Wind)'!$AS$2:$AT$2)/10^9),0)</f>
        <v>-0.02014517892</v>
      </c>
      <c r="BD779" s="160">
        <f>IF(and($AV$677&gt;0,Model!AE$1&lt;='Assumptions (Wind)'!$V$13),PPMT('Assumptions (Wind)'!$V$10,Model!AE1,'Assumptions (Wind)'!$V$13,'Assumptions (Wind)'!$V$8*Model!$AV$677*AVERAGE('Assumptions (Wind)'!$AS$2:$AT$2)/10^9),0)</f>
        <v>-0.02175679323</v>
      </c>
      <c r="BE779" s="160">
        <f>IF(and($AV$677&gt;0,Model!AF$1&lt;='Assumptions (Wind)'!$V$13),PPMT('Assumptions (Wind)'!$V$10,Model!AF1,'Assumptions (Wind)'!$V$13,'Assumptions (Wind)'!$V$8*Model!$AV$677*AVERAGE('Assumptions (Wind)'!$AS$2:$AT$2)/10^9),0)</f>
        <v>-0.02349733669</v>
      </c>
      <c r="BF779" s="160"/>
      <c r="BG779" s="160"/>
      <c r="BH779" s="160"/>
      <c r="BI779" s="160"/>
      <c r="BJ779" s="160"/>
      <c r="BK779" s="160"/>
      <c r="BL779" s="160"/>
      <c r="BM779" s="160"/>
      <c r="BN779" s="160"/>
      <c r="BO779" s="160"/>
      <c r="BP779" s="160"/>
      <c r="BQ779" s="160"/>
      <c r="BR779" s="160"/>
      <c r="BS779" s="160"/>
      <c r="BT779" s="160"/>
    </row>
    <row r="780" ht="15.75" hidden="1" customHeight="1" outlineLevel="1">
      <c r="A780" s="241"/>
      <c r="B780" s="38"/>
      <c r="C780" s="174"/>
      <c r="D780" s="174"/>
      <c r="E780" s="174"/>
      <c r="F780" s="174"/>
      <c r="G780" s="174"/>
      <c r="H780" s="174"/>
      <c r="I780" s="174"/>
      <c r="J780" s="174"/>
      <c r="K780" s="174"/>
      <c r="L780" s="174"/>
      <c r="M780" s="174"/>
      <c r="N780" s="174"/>
      <c r="O780" s="174"/>
      <c r="P780" s="174"/>
      <c r="Q780" s="174"/>
      <c r="R780" s="174"/>
      <c r="S780" s="174"/>
      <c r="T780" s="174"/>
      <c r="U780" s="174"/>
      <c r="V780" s="174"/>
      <c r="W780" s="160"/>
      <c r="X780" s="160"/>
      <c r="Y780" s="160"/>
      <c r="Z780" s="160"/>
      <c r="AA780" s="160"/>
      <c r="AB780" s="160"/>
      <c r="AC780" s="160"/>
      <c r="AD780" s="160"/>
      <c r="AE780" s="160"/>
      <c r="AF780" s="160"/>
      <c r="AG780" s="160"/>
      <c r="AH780" s="160"/>
      <c r="AI780" s="160"/>
      <c r="AJ780" s="179"/>
      <c r="AK780" s="160"/>
      <c r="AL780" s="177"/>
      <c r="AM780" s="177"/>
      <c r="AN780" s="177"/>
      <c r="AO780" s="160"/>
      <c r="AP780" s="160"/>
      <c r="AQ780" s="160"/>
      <c r="AR780" s="160"/>
      <c r="AS780" s="160"/>
      <c r="AT780" s="160"/>
      <c r="AU780" s="160"/>
      <c r="AV780" s="160"/>
      <c r="AW780" s="160">
        <f>IF(and($AW$677&gt;0,Model!W$1&lt;='Assumptions (Wind)'!$V$13),PPMT('Assumptions (Wind)'!$V$10,Model!W1,'Assumptions (Wind)'!$V$13,'Assumptions (Wind)'!$V$8*Model!$AW$677*AVERAGE('Assumptions (Wind)'!$AT$2:$AU$2)/10^9),0)</f>
        <v>-0.01183874621</v>
      </c>
      <c r="AX780" s="160">
        <f>IF(and($AW$677&gt;0,Model!X$1&lt;='Assumptions (Wind)'!$V$13),PPMT('Assumptions (Wind)'!$V$10,Model!X1,'Assumptions (Wind)'!$V$13,'Assumptions (Wind)'!$V$8*Model!$AW$677*AVERAGE('Assumptions (Wind)'!$AT$2:$AU$2)/10^9),0)</f>
        <v>-0.0127858459</v>
      </c>
      <c r="AY780" s="160">
        <f>IF(and($AW$677&gt;0,Model!Y$1&lt;='Assumptions (Wind)'!$V$13),PPMT('Assumptions (Wind)'!$V$10,Model!Y1,'Assumptions (Wind)'!$V$13,'Assumptions (Wind)'!$V$8*Model!$AW$677*AVERAGE('Assumptions (Wind)'!$AT$2:$AU$2)/10^9),0)</f>
        <v>-0.01380871358</v>
      </c>
      <c r="AZ780" s="160">
        <f>IF(and($AW$677&gt;0,Model!Z$1&lt;='Assumptions (Wind)'!$V$13),PPMT('Assumptions (Wind)'!$V$10,Model!Z1,'Assumptions (Wind)'!$V$13,'Assumptions (Wind)'!$V$8*Model!$AW$677*AVERAGE('Assumptions (Wind)'!$AT$2:$AU$2)/10^9),0)</f>
        <v>-0.01491341066</v>
      </c>
      <c r="BA780" s="160">
        <f>IF(and($AW$677&gt;0,Model!AA$1&lt;='Assumptions (Wind)'!$V$13),PPMT('Assumptions (Wind)'!$V$10,Model!AA1,'Assumptions (Wind)'!$V$13,'Assumptions (Wind)'!$V$8*Model!$AW$677*AVERAGE('Assumptions (Wind)'!$AT$2:$AU$2)/10^9),0)</f>
        <v>-0.01610648352</v>
      </c>
      <c r="BB780" s="160">
        <f>IF(and($AW$677&gt;0,Model!AB$1&lt;='Assumptions (Wind)'!$V$13),PPMT('Assumptions (Wind)'!$V$10,Model!AB1,'Assumptions (Wind)'!$V$13,'Assumptions (Wind)'!$V$8*Model!$AW$677*AVERAGE('Assumptions (Wind)'!$AT$2:$AU$2)/10^9),0)</f>
        <v>-0.0173950022</v>
      </c>
      <c r="BC780" s="160">
        <f>IF(and($AW$677&gt;0,Model!AC$1&lt;='Assumptions (Wind)'!$V$13),PPMT('Assumptions (Wind)'!$V$10,Model!AC1,'Assumptions (Wind)'!$V$13,'Assumptions (Wind)'!$V$8*Model!$AW$677*AVERAGE('Assumptions (Wind)'!$AT$2:$AU$2)/10^9),0)</f>
        <v>-0.01878660237</v>
      </c>
      <c r="BD780" s="160">
        <f>IF(and($AW$677&gt;0,Model!AD$1&lt;='Assumptions (Wind)'!$V$13),PPMT('Assumptions (Wind)'!$V$10,Model!AD1,'Assumptions (Wind)'!$V$13,'Assumptions (Wind)'!$V$8*Model!$AW$677*AVERAGE('Assumptions (Wind)'!$AT$2:$AU$2)/10^9),0)</f>
        <v>-0.02028953056</v>
      </c>
      <c r="BE780" s="160">
        <f>IF(and($AW$677&gt;0,Model!AE$1&lt;='Assumptions (Wind)'!$V$13),PPMT('Assumptions (Wind)'!$V$10,Model!AE1,'Assumptions (Wind)'!$V$13,'Assumptions (Wind)'!$V$8*Model!$AW$677*AVERAGE('Assumptions (Wind)'!$AT$2:$AU$2)/10^9),0)</f>
        <v>-0.02191269301</v>
      </c>
      <c r="BF780" s="160">
        <f>IF(and($AW$677&gt;0,Model!AF$1&lt;='Assumptions (Wind)'!$V$13),PPMT('Assumptions (Wind)'!$V$10,Model!AF1,'Assumptions (Wind)'!$V$13,'Assumptions (Wind)'!$V$8*Model!$AW$677*AVERAGE('Assumptions (Wind)'!$AT$2:$AU$2)/10^9),0)</f>
        <v>-0.02366570845</v>
      </c>
      <c r="BG780" s="160"/>
      <c r="BH780" s="160"/>
      <c r="BI780" s="160"/>
      <c r="BJ780" s="160"/>
      <c r="BK780" s="160"/>
      <c r="BL780" s="160"/>
      <c r="BM780" s="160"/>
      <c r="BN780" s="160"/>
      <c r="BO780" s="160"/>
      <c r="BP780" s="160"/>
      <c r="BQ780" s="160"/>
      <c r="BR780" s="160"/>
      <c r="BS780" s="160"/>
      <c r="BT780" s="160"/>
      <c r="BU780" s="160"/>
    </row>
    <row r="781" ht="15.75" hidden="1" customHeight="1" outlineLevel="1">
      <c r="A781" s="241"/>
      <c r="B781" s="38"/>
      <c r="C781" s="174"/>
      <c r="D781" s="174"/>
      <c r="E781" s="174"/>
      <c r="F781" s="174"/>
      <c r="G781" s="174"/>
      <c r="H781" s="174"/>
      <c r="I781" s="174"/>
      <c r="J781" s="174"/>
      <c r="K781" s="174"/>
      <c r="L781" s="174"/>
      <c r="M781" s="174"/>
      <c r="N781" s="174"/>
      <c r="O781" s="174"/>
      <c r="P781" s="174"/>
      <c r="Q781" s="174"/>
      <c r="R781" s="174"/>
      <c r="S781" s="174"/>
      <c r="T781" s="174"/>
      <c r="U781" s="174"/>
      <c r="V781" s="174"/>
      <c r="W781" s="160"/>
      <c r="X781" s="160"/>
      <c r="Y781" s="160"/>
      <c r="Z781" s="160"/>
      <c r="AA781" s="160"/>
      <c r="AB781" s="160"/>
      <c r="AC781" s="160"/>
      <c r="AD781" s="160"/>
      <c r="AE781" s="160"/>
      <c r="AF781" s="160"/>
      <c r="AG781" s="160"/>
      <c r="AH781" s="160"/>
      <c r="AI781" s="160"/>
      <c r="AJ781" s="179"/>
      <c r="AK781" s="160"/>
      <c r="AL781" s="177"/>
      <c r="AM781" s="177"/>
      <c r="AN781" s="177"/>
      <c r="AO781" s="160"/>
      <c r="AP781" s="160"/>
      <c r="AQ781" s="160"/>
      <c r="AR781" s="160"/>
      <c r="AS781" s="160"/>
      <c r="AT781" s="160"/>
      <c r="AU781" s="160"/>
      <c r="AV781" s="160"/>
      <c r="AW781" s="160"/>
      <c r="AX781" s="160">
        <f>IF(and($AX$677&gt;0,Model!W$1&lt;='Assumptions (Wind)'!$V$13),PPMT('Assumptions (Wind)'!$V$10,Model!W1,'Assumptions (Wind)'!$V$13,'Assumptions (Wind)'!$V$8*Model!$AX$677*AVERAGE('Assumptions (Wind)'!$AU$2:$AV$2)/10^9),0)</f>
        <v>-0.01192189244</v>
      </c>
      <c r="AY781" s="160">
        <f>IF(and($AX$677&gt;0,Model!X$1&lt;='Assumptions (Wind)'!$V$13),PPMT('Assumptions (Wind)'!$V$10,Model!X1,'Assumptions (Wind)'!$V$13,'Assumptions (Wind)'!$V$8*Model!$AX$677*AVERAGE('Assumptions (Wind)'!$AU$2:$AV$2)/10^9),0)</f>
        <v>-0.01287564384</v>
      </c>
      <c r="AZ781" s="160">
        <f>IF(and($AX$677&gt;0,Model!Y$1&lt;='Assumptions (Wind)'!$V$13),PPMT('Assumptions (Wind)'!$V$10,Model!Y1,'Assumptions (Wind)'!$V$13,'Assumptions (Wind)'!$V$8*Model!$AX$677*AVERAGE('Assumptions (Wind)'!$AU$2:$AV$2)/10^9),0)</f>
        <v>-0.01390569534</v>
      </c>
      <c r="BA781" s="160">
        <f>IF(and($AX$677&gt;0,Model!Z$1&lt;='Assumptions (Wind)'!$V$13),PPMT('Assumptions (Wind)'!$V$10,Model!Z1,'Assumptions (Wind)'!$V$13,'Assumptions (Wind)'!$V$8*Model!$AX$677*AVERAGE('Assumptions (Wind)'!$AU$2:$AV$2)/10^9),0)</f>
        <v>-0.01501815097</v>
      </c>
      <c r="BB781" s="160">
        <f>IF(and($AX$677&gt;0,Model!AA$1&lt;='Assumptions (Wind)'!$V$13),PPMT('Assumptions (Wind)'!$V$10,Model!AA1,'Assumptions (Wind)'!$V$13,'Assumptions (Wind)'!$V$8*Model!$AX$677*AVERAGE('Assumptions (Wind)'!$AU$2:$AV$2)/10^9),0)</f>
        <v>-0.01621960305</v>
      </c>
      <c r="BC781" s="160">
        <f>IF(and($AX$677&gt;0,Model!AB$1&lt;='Assumptions (Wind)'!$V$13),PPMT('Assumptions (Wind)'!$V$10,Model!AB1,'Assumptions (Wind)'!$V$13,'Assumptions (Wind)'!$V$8*Model!$AX$677*AVERAGE('Assumptions (Wind)'!$AU$2:$AV$2)/10^9),0)</f>
        <v>-0.01751717129</v>
      </c>
      <c r="BD781" s="160">
        <f>IF(and($AX$677&gt;0,Model!AC$1&lt;='Assumptions (Wind)'!$V$13),PPMT('Assumptions (Wind)'!$V$10,Model!AC1,'Assumptions (Wind)'!$V$13,'Assumptions (Wind)'!$V$8*Model!$AX$677*AVERAGE('Assumptions (Wind)'!$AU$2:$AV$2)/10^9),0)</f>
        <v>-0.018918545</v>
      </c>
      <c r="BE781" s="160">
        <f>IF(and($AX$677&gt;0,Model!AD$1&lt;='Assumptions (Wind)'!$V$13),PPMT('Assumptions (Wind)'!$V$10,Model!AD1,'Assumptions (Wind)'!$V$13,'Assumptions (Wind)'!$V$8*Model!$AX$677*AVERAGE('Assumptions (Wind)'!$AU$2:$AV$2)/10^9),0)</f>
        <v>-0.02043202859</v>
      </c>
      <c r="BF781" s="160">
        <f>IF(and($AX$677&gt;0,Model!AE$1&lt;='Assumptions (Wind)'!$V$13),PPMT('Assumptions (Wind)'!$V$10,Model!AE1,'Assumptions (Wind)'!$V$13,'Assumptions (Wind)'!$V$8*Model!$AX$677*AVERAGE('Assumptions (Wind)'!$AU$2:$AV$2)/10^9),0)</f>
        <v>-0.02206659088</v>
      </c>
      <c r="BG781" s="160">
        <f>IF(and($AX$677&gt;0,Model!AF$1&lt;='Assumptions (Wind)'!$V$13),PPMT('Assumptions (Wind)'!$V$10,Model!AF1,'Assumptions (Wind)'!$V$13,'Assumptions (Wind)'!$V$8*Model!$AX$677*AVERAGE('Assumptions (Wind)'!$AU$2:$AV$2)/10^9),0)</f>
        <v>-0.02383191815</v>
      </c>
      <c r="BH781" s="160"/>
      <c r="BI781" s="160"/>
      <c r="BJ781" s="160"/>
      <c r="BK781" s="160"/>
      <c r="BL781" s="160"/>
      <c r="BM781" s="160"/>
      <c r="BN781" s="160"/>
      <c r="BO781" s="160"/>
      <c r="BP781" s="160"/>
      <c r="BQ781" s="160"/>
      <c r="BR781" s="160"/>
      <c r="BS781" s="160"/>
      <c r="BT781" s="160"/>
      <c r="BU781" s="160"/>
      <c r="BV781" s="160"/>
    </row>
    <row r="782" ht="15.75" hidden="1" customHeight="1" outlineLevel="1">
      <c r="A782" s="241"/>
      <c r="B782" s="38"/>
      <c r="C782" s="174"/>
      <c r="D782" s="174"/>
      <c r="E782" s="174"/>
      <c r="F782" s="174"/>
      <c r="G782" s="174"/>
      <c r="H782" s="174"/>
      <c r="I782" s="174"/>
      <c r="J782" s="174"/>
      <c r="K782" s="174"/>
      <c r="L782" s="174"/>
      <c r="M782" s="174"/>
      <c r="N782" s="174"/>
      <c r="O782" s="174"/>
      <c r="P782" s="174"/>
      <c r="Q782" s="174"/>
      <c r="R782" s="174"/>
      <c r="S782" s="174"/>
      <c r="T782" s="174"/>
      <c r="U782" s="174"/>
      <c r="V782" s="174"/>
      <c r="W782" s="160"/>
      <c r="X782" s="160"/>
      <c r="Y782" s="160"/>
      <c r="Z782" s="160"/>
      <c r="AA782" s="160"/>
      <c r="AB782" s="160"/>
      <c r="AC782" s="160"/>
      <c r="AD782" s="160"/>
      <c r="AE782" s="160"/>
      <c r="AF782" s="160"/>
      <c r="AG782" s="160"/>
      <c r="AH782" s="160"/>
      <c r="AI782" s="160"/>
      <c r="AJ782" s="179"/>
      <c r="AK782" s="160"/>
      <c r="AL782" s="177"/>
      <c r="AM782" s="177"/>
      <c r="AN782" s="177"/>
      <c r="AO782" s="160"/>
      <c r="AP782" s="160"/>
      <c r="AQ782" s="160"/>
      <c r="AR782" s="160"/>
      <c r="AS782" s="160"/>
      <c r="AT782" s="160"/>
      <c r="AU782" s="160"/>
      <c r="AV782" s="160"/>
      <c r="AW782" s="160"/>
      <c r="AX782" s="160"/>
      <c r="AY782" s="160">
        <f>IF(and($AY$677&gt;0,Model!W$1&lt;='Assumptions (Wind)'!$V$13),PPMT('Assumptions (Wind)'!$V$10,Model!W1,'Assumptions (Wind)'!$V$13,'Assumptions (Wind)'!$V$8*Model!$AY$677*AVERAGE('Assumptions (Wind)'!$AV$2:$AW$2)/10^9),0)</f>
        <v>-0.01200366917</v>
      </c>
      <c r="AZ782" s="160">
        <f>IF(and($AY$677&gt;0,Model!X$1&lt;='Assumptions (Wind)'!$V$13),PPMT('Assumptions (Wind)'!$V$10,Model!X1,'Assumptions (Wind)'!$V$13,'Assumptions (Wind)'!$V$8*Model!$AY$677*AVERAGE('Assumptions (Wind)'!$AV$2:$AW$2)/10^9),0)</f>
        <v>-0.0129639627</v>
      </c>
      <c r="BA782" s="160">
        <f>IF(and($AY$677&gt;0,Model!Y$1&lt;='Assumptions (Wind)'!$V$13),PPMT('Assumptions (Wind)'!$V$10,Model!Y1,'Assumptions (Wind)'!$V$13,'Assumptions (Wind)'!$V$8*Model!$AY$677*AVERAGE('Assumptions (Wind)'!$AV$2:$AW$2)/10^9),0)</f>
        <v>-0.01400107972</v>
      </c>
      <c r="BB782" s="160">
        <f>IF(and($AY$677&gt;0,Model!Z$1&lt;='Assumptions (Wind)'!$V$13),PPMT('Assumptions (Wind)'!$V$10,Model!Z1,'Assumptions (Wind)'!$V$13,'Assumptions (Wind)'!$V$8*Model!$AY$677*AVERAGE('Assumptions (Wind)'!$AV$2:$AW$2)/10^9),0)</f>
        <v>-0.01512116609</v>
      </c>
      <c r="BC782" s="160">
        <f>IF(and($AY$677&gt;0,Model!AA$1&lt;='Assumptions (Wind)'!$V$13),PPMT('Assumptions (Wind)'!$V$10,Model!AA1,'Assumptions (Wind)'!$V$13,'Assumptions (Wind)'!$V$8*Model!$AY$677*AVERAGE('Assumptions (Wind)'!$AV$2:$AW$2)/10^9),0)</f>
        <v>-0.01633085938</v>
      </c>
      <c r="BD782" s="160">
        <f>IF(and($AY$677&gt;0,Model!AB$1&lt;='Assumptions (Wind)'!$V$13),PPMT('Assumptions (Wind)'!$V$10,Model!AB1,'Assumptions (Wind)'!$V$13,'Assumptions (Wind)'!$V$8*Model!$AY$677*AVERAGE('Assumptions (Wind)'!$AV$2:$AW$2)/10^9),0)</f>
        <v>-0.01763732813</v>
      </c>
      <c r="BE782" s="160">
        <f>IF(and($AY$677&gt;0,Model!AC$1&lt;='Assumptions (Wind)'!$V$13),PPMT('Assumptions (Wind)'!$V$10,Model!AC1,'Assumptions (Wind)'!$V$13,'Assumptions (Wind)'!$V$8*Model!$AY$677*AVERAGE('Assumptions (Wind)'!$AV$2:$AW$2)/10^9),0)</f>
        <v>-0.01904831438</v>
      </c>
      <c r="BF782" s="160">
        <f>IF(and($AY$677&gt;0,Model!AD$1&lt;='Assumptions (Wind)'!$V$13),PPMT('Assumptions (Wind)'!$V$10,Model!AD1,'Assumptions (Wind)'!$V$13,'Assumptions (Wind)'!$V$8*Model!$AY$677*AVERAGE('Assumptions (Wind)'!$AV$2:$AW$2)/10^9),0)</f>
        <v>-0.02057217953</v>
      </c>
      <c r="BG782" s="160">
        <f>IF(and($AY$677&gt;0,Model!AE$1&lt;='Assumptions (Wind)'!$V$13),PPMT('Assumptions (Wind)'!$V$10,Model!AE1,'Assumptions (Wind)'!$V$13,'Assumptions (Wind)'!$V$8*Model!$AY$677*AVERAGE('Assumptions (Wind)'!$AV$2:$AW$2)/10^9),0)</f>
        <v>-0.02221795389</v>
      </c>
      <c r="BH782" s="160">
        <f>IF(and($AY$677&gt;0,Model!AF$1&lt;='Assumptions (Wind)'!$V$13),PPMT('Assumptions (Wind)'!$V$10,Model!AF1,'Assumptions (Wind)'!$V$13,'Assumptions (Wind)'!$V$8*Model!$AY$677*AVERAGE('Assumptions (Wind)'!$AV$2:$AW$2)/10^9),0)</f>
        <v>-0.02399539021</v>
      </c>
      <c r="BI782" s="160"/>
      <c r="BJ782" s="160"/>
      <c r="BK782" s="160"/>
      <c r="BL782" s="160"/>
      <c r="BM782" s="160"/>
      <c r="BN782" s="160"/>
      <c r="BO782" s="160"/>
      <c r="BP782" s="160"/>
      <c r="BQ782" s="160"/>
      <c r="BR782" s="160"/>
      <c r="BS782" s="160"/>
      <c r="BT782" s="160"/>
      <c r="BU782" s="160"/>
      <c r="BV782" s="160"/>
      <c r="BW782" s="160"/>
    </row>
    <row r="783" ht="15.75" hidden="1" customHeight="1" outlineLevel="1">
      <c r="A783" s="241"/>
      <c r="B783" s="38"/>
      <c r="C783" s="174"/>
      <c r="D783" s="174"/>
      <c r="E783" s="174"/>
      <c r="F783" s="174"/>
      <c r="G783" s="174"/>
      <c r="H783" s="174"/>
      <c r="I783" s="174"/>
      <c r="J783" s="174"/>
      <c r="K783" s="174"/>
      <c r="L783" s="174"/>
      <c r="M783" s="174"/>
      <c r="N783" s="174"/>
      <c r="O783" s="174"/>
      <c r="P783" s="174"/>
      <c r="Q783" s="174"/>
      <c r="R783" s="174"/>
      <c r="S783" s="174"/>
      <c r="T783" s="174"/>
      <c r="U783" s="174"/>
      <c r="V783" s="174"/>
      <c r="W783" s="160"/>
      <c r="X783" s="160"/>
      <c r="Y783" s="160"/>
      <c r="Z783" s="160"/>
      <c r="AA783" s="160"/>
      <c r="AB783" s="160"/>
      <c r="AC783" s="160"/>
      <c r="AD783" s="160"/>
      <c r="AE783" s="160"/>
      <c r="AF783" s="160"/>
      <c r="AG783" s="160"/>
      <c r="AH783" s="160"/>
      <c r="AI783" s="160"/>
      <c r="AJ783" s="179"/>
      <c r="AK783" s="160"/>
      <c r="AL783" s="177"/>
      <c r="AM783" s="177"/>
      <c r="AN783" s="177"/>
      <c r="AO783" s="160"/>
      <c r="AP783" s="160"/>
      <c r="AQ783" s="160"/>
      <c r="AR783" s="160"/>
      <c r="AS783" s="160"/>
      <c r="AT783" s="160"/>
      <c r="AU783" s="160"/>
      <c r="AV783" s="160"/>
      <c r="AW783" s="160"/>
      <c r="AX783" s="160"/>
      <c r="AY783" s="160"/>
      <c r="AZ783" s="160">
        <f>IF(and($AZ$677&gt;0,Model!W$1&lt;='Assumptions (Wind)'!$V$13),PPMT('Assumptions (Wind)'!$V$10,Model!W1,'Assumptions (Wind)'!$V$13,'Assumptions (Wind)'!$V$8*Model!$AZ$677*AVERAGE('Assumptions (Wind)'!$AW$2:$AX$2)/10^9),0)</f>
        <v>-0.02415692358</v>
      </c>
      <c r="BA783" s="160">
        <f>IF(and($AZ$677&gt;0,Model!X$1&lt;='Assumptions (Wind)'!$V$13),PPMT('Assumptions (Wind)'!$V$10,Model!X1,'Assumptions (Wind)'!$V$13,'Assumptions (Wind)'!$V$8*Model!$AZ$677*AVERAGE('Assumptions (Wind)'!$AW$2:$AX$2)/10^9),0)</f>
        <v>-0.02608947746</v>
      </c>
      <c r="BB783" s="160">
        <f>IF(and($AZ$677&gt;0,Model!Y$1&lt;='Assumptions (Wind)'!$V$13),PPMT('Assumptions (Wind)'!$V$10,Model!Y1,'Assumptions (Wind)'!$V$13,'Assumptions (Wind)'!$V$8*Model!$AZ$677*AVERAGE('Assumptions (Wind)'!$AW$2:$AX$2)/10^9),0)</f>
        <v>-0.02817663566</v>
      </c>
      <c r="BC783" s="160">
        <f>IF(and($AZ$677&gt;0,Model!Z$1&lt;='Assumptions (Wind)'!$V$13),PPMT('Assumptions (Wind)'!$V$10,Model!Z1,'Assumptions (Wind)'!$V$13,'Assumptions (Wind)'!$V$8*Model!$AZ$677*AVERAGE('Assumptions (Wind)'!$AW$2:$AX$2)/10^9),0)</f>
        <v>-0.03043076651</v>
      </c>
      <c r="BD783" s="160">
        <f>IF(and($AZ$677&gt;0,Model!AA$1&lt;='Assumptions (Wind)'!$V$13),PPMT('Assumptions (Wind)'!$V$10,Model!AA1,'Assumptions (Wind)'!$V$13,'Assumptions (Wind)'!$V$8*Model!$AZ$677*AVERAGE('Assumptions (Wind)'!$AW$2:$AX$2)/10^9),0)</f>
        <v>-0.03286522783</v>
      </c>
      <c r="BE783" s="160">
        <f>IF(and($AZ$677&gt;0,Model!AB$1&lt;='Assumptions (Wind)'!$V$13),PPMT('Assumptions (Wind)'!$V$10,Model!AB1,'Assumptions (Wind)'!$V$13,'Assumptions (Wind)'!$V$8*Model!$AZ$677*AVERAGE('Assumptions (Wind)'!$AW$2:$AX$2)/10^9),0)</f>
        <v>-0.03549444606</v>
      </c>
      <c r="BF783" s="160">
        <f>IF(and($AZ$677&gt;0,Model!AC$1&lt;='Assumptions (Wind)'!$V$13),PPMT('Assumptions (Wind)'!$V$10,Model!AC1,'Assumptions (Wind)'!$V$13,'Assumptions (Wind)'!$V$8*Model!$AZ$677*AVERAGE('Assumptions (Wind)'!$AW$2:$AX$2)/10^9),0)</f>
        <v>-0.03833400174</v>
      </c>
      <c r="BG783" s="160">
        <f>IF(and($AZ$677&gt;0,Model!AD$1&lt;='Assumptions (Wind)'!$V$13),PPMT('Assumptions (Wind)'!$V$10,Model!AD1,'Assumptions (Wind)'!$V$13,'Assumptions (Wind)'!$V$8*Model!$AZ$677*AVERAGE('Assumptions (Wind)'!$AW$2:$AX$2)/10^9),0)</f>
        <v>-0.04140072188</v>
      </c>
      <c r="BH783" s="160">
        <f>IF(and($AZ$677&gt;0,Model!AE$1&lt;='Assumptions (Wind)'!$V$13),PPMT('Assumptions (Wind)'!$V$10,Model!AE1,'Assumptions (Wind)'!$V$13,'Assumptions (Wind)'!$V$8*Model!$AZ$677*AVERAGE('Assumptions (Wind)'!$AW$2:$AX$2)/10^9),0)</f>
        <v>-0.04471277963</v>
      </c>
      <c r="BI783" s="160">
        <f>IF(and($AZ$677&gt;0,Model!AF$1&lt;='Assumptions (Wind)'!$V$13),PPMT('Assumptions (Wind)'!$V$10,Model!AF1,'Assumptions (Wind)'!$V$13,'Assumptions (Wind)'!$V$8*Model!$AZ$677*AVERAGE('Assumptions (Wind)'!$AW$2:$AX$2)/10^9),0)</f>
        <v>-0.048289802</v>
      </c>
      <c r="BJ783" s="160"/>
      <c r="BK783" s="160"/>
      <c r="BL783" s="160"/>
      <c r="BM783" s="160"/>
      <c r="BN783" s="160"/>
      <c r="BO783" s="160"/>
      <c r="BP783" s="160"/>
      <c r="BQ783" s="160"/>
      <c r="BR783" s="160"/>
      <c r="BS783" s="160"/>
      <c r="BT783" s="160"/>
      <c r="BU783" s="160"/>
      <c r="BV783" s="160"/>
      <c r="BW783" s="160"/>
      <c r="BX783" s="160"/>
    </row>
    <row r="784" ht="15.75" hidden="1" customHeight="1" outlineLevel="1">
      <c r="A784" s="241"/>
      <c r="B784" s="38"/>
      <c r="C784" s="174"/>
      <c r="D784" s="174"/>
      <c r="E784" s="174"/>
      <c r="F784" s="174"/>
      <c r="G784" s="174"/>
      <c r="H784" s="174"/>
      <c r="I784" s="174"/>
      <c r="J784" s="174"/>
      <c r="K784" s="174"/>
      <c r="L784" s="174"/>
      <c r="M784" s="174"/>
      <c r="N784" s="174"/>
      <c r="O784" s="174"/>
      <c r="P784" s="174"/>
      <c r="Q784" s="174"/>
      <c r="R784" s="174"/>
      <c r="S784" s="174"/>
      <c r="T784" s="174"/>
      <c r="U784" s="174"/>
      <c r="V784" s="174"/>
      <c r="W784" s="160"/>
      <c r="X784" s="160"/>
      <c r="Y784" s="160"/>
      <c r="Z784" s="160"/>
      <c r="AA784" s="160"/>
      <c r="AB784" s="160"/>
      <c r="AC784" s="160"/>
      <c r="AD784" s="160"/>
      <c r="AE784" s="160"/>
      <c r="AF784" s="160"/>
      <c r="AG784" s="160"/>
      <c r="AH784" s="160"/>
      <c r="AI784" s="160"/>
      <c r="AJ784" s="179"/>
      <c r="AK784" s="160"/>
      <c r="AL784" s="177"/>
      <c r="AM784" s="177"/>
      <c r="AN784" s="177"/>
      <c r="AO784" s="160"/>
      <c r="AP784" s="160"/>
      <c r="AQ784" s="160"/>
      <c r="AR784" s="160"/>
      <c r="AS784" s="160"/>
      <c r="AT784" s="160"/>
      <c r="AU784" s="160"/>
      <c r="AV784" s="160"/>
      <c r="AW784" s="160"/>
      <c r="AX784" s="160"/>
      <c r="AY784" s="160"/>
      <c r="AZ784" s="160"/>
      <c r="BA784" s="160">
        <f>IF(and($BA$677&gt;0,Model!W$1&lt;='Assumptions (Wind)'!$V$13),PPMT('Assumptions (Wind)'!$V$10,Model!W1,'Assumptions (Wind)'!$V$13,'Assumptions (Wind)'!$V$8*Model!$BA$677*AVERAGE('Assumptions (Wind)'!$AX$2:$AY$2)/10^9),0)</f>
        <v>-0.02430320813</v>
      </c>
      <c r="BB784" s="160">
        <f>IF(and($BA$677&gt;0,Model!X$1&lt;='Assumptions (Wind)'!$V$13),PPMT('Assumptions (Wind)'!$V$10,Model!X1,'Assumptions (Wind)'!$V$13,'Assumptions (Wind)'!$V$8*Model!$BA$677*AVERAGE('Assumptions (Wind)'!$AX$2:$AY$2)/10^9),0)</f>
        <v>-0.02624746478</v>
      </c>
      <c r="BC784" s="160">
        <f>IF(and($BA$677&gt;0,Model!Y$1&lt;='Assumptions (Wind)'!$V$13),PPMT('Assumptions (Wind)'!$V$10,Model!Y1,'Assumptions (Wind)'!$V$13,'Assumptions (Wind)'!$V$8*Model!$BA$677*AVERAGE('Assumptions (Wind)'!$AX$2:$AY$2)/10^9),0)</f>
        <v>-0.02834726197</v>
      </c>
      <c r="BD784" s="160">
        <f>IF(and($BA$677&gt;0,Model!Z$1&lt;='Assumptions (Wind)'!$V$13),PPMT('Assumptions (Wind)'!$V$10,Model!Z1,'Assumptions (Wind)'!$V$13,'Assumptions (Wind)'!$V$8*Model!$BA$677*AVERAGE('Assumptions (Wind)'!$AX$2:$AY$2)/10^9),0)</f>
        <v>-0.03061504292</v>
      </c>
      <c r="BE784" s="160">
        <f>IF(and($BA$677&gt;0,Model!AA$1&lt;='Assumptions (Wind)'!$V$13),PPMT('Assumptions (Wind)'!$V$10,Model!AA1,'Assumptions (Wind)'!$V$13,'Assumptions (Wind)'!$V$8*Model!$BA$677*AVERAGE('Assumptions (Wind)'!$AX$2:$AY$2)/10^9),0)</f>
        <v>-0.03306424636</v>
      </c>
      <c r="BF784" s="160">
        <f>IF(and($BA$677&gt;0,Model!AB$1&lt;='Assumptions (Wind)'!$V$13),PPMT('Assumptions (Wind)'!$V$10,Model!AB1,'Assumptions (Wind)'!$V$13,'Assumptions (Wind)'!$V$8*Model!$BA$677*AVERAGE('Assumptions (Wind)'!$AX$2:$AY$2)/10^9),0)</f>
        <v>-0.03570938607</v>
      </c>
      <c r="BG784" s="160">
        <f>IF(and($BA$677&gt;0,Model!AC$1&lt;='Assumptions (Wind)'!$V$13),PPMT('Assumptions (Wind)'!$V$10,Model!AC1,'Assumptions (Wind)'!$V$13,'Assumptions (Wind)'!$V$8*Model!$BA$677*AVERAGE('Assumptions (Wind)'!$AX$2:$AY$2)/10^9),0)</f>
        <v>-0.03856613695</v>
      </c>
      <c r="BH784" s="160">
        <f>IF(and($BA$677&gt;0,Model!AD$1&lt;='Assumptions (Wind)'!$V$13),PPMT('Assumptions (Wind)'!$V$10,Model!AD1,'Assumptions (Wind)'!$V$13,'Assumptions (Wind)'!$V$8*Model!$BA$677*AVERAGE('Assumptions (Wind)'!$AX$2:$AY$2)/10^9),0)</f>
        <v>-0.04165142791</v>
      </c>
      <c r="BI784" s="160">
        <f>IF(and($BA$677&gt;0,Model!AE$1&lt;='Assumptions (Wind)'!$V$13),PPMT('Assumptions (Wind)'!$V$10,Model!AE1,'Assumptions (Wind)'!$V$13,'Assumptions (Wind)'!$V$8*Model!$BA$677*AVERAGE('Assumptions (Wind)'!$AX$2:$AY$2)/10^9),0)</f>
        <v>-0.04498354214</v>
      </c>
      <c r="BJ784" s="160">
        <f>IF(and($BA$677&gt;0,Model!AF$1&lt;='Assumptions (Wind)'!$V$13),PPMT('Assumptions (Wind)'!$V$10,Model!AF1,'Assumptions (Wind)'!$V$13,'Assumptions (Wind)'!$V$8*Model!$BA$677*AVERAGE('Assumptions (Wind)'!$AX$2:$AY$2)/10^9),0)</f>
        <v>-0.04858222551</v>
      </c>
      <c r="BK784" s="160"/>
      <c r="BL784" s="160"/>
      <c r="BM784" s="160"/>
      <c r="BN784" s="160"/>
      <c r="BO784" s="160"/>
      <c r="BP784" s="160"/>
      <c r="BQ784" s="160"/>
      <c r="BR784" s="160"/>
      <c r="BS784" s="160"/>
      <c r="BT784" s="160"/>
      <c r="BU784" s="160"/>
      <c r="BV784" s="160"/>
      <c r="BW784" s="160"/>
      <c r="BX784" s="160"/>
      <c r="BY784" s="160"/>
    </row>
    <row r="785" ht="15.75" customHeight="1" collapsed="1">
      <c r="A785" s="239" t="s">
        <v>360</v>
      </c>
      <c r="B785" s="150" t="s">
        <v>351</v>
      </c>
      <c r="C785" s="177">
        <f t="array" ref="C785">SUM(IF(ISERROR(C786:C836),"",C786:C836))</f>
        <v>-0.0001109452121</v>
      </c>
      <c r="D785" s="177">
        <f t="array" ref="D785">SUM(IF(ISERROR(D786:D836),"",D786:D836))</f>
        <v>-0.0001032867208</v>
      </c>
      <c r="E785" s="177">
        <f t="array" ref="E785">SUM(IF(ISERROR(E786:E836),"",E786:E836))</f>
        <v>-0.00009501555025</v>
      </c>
      <c r="F785" s="177">
        <f t="array" ref="F785">SUM(IF(ISERROR(F786:F836),"",F786:F836))</f>
        <v>-0.00008608268604</v>
      </c>
      <c r="G785" s="177">
        <f t="array" ref="G785">SUM(IF(ISERROR(G786:G836),"",G786:G836))</f>
        <v>-0.001603838451</v>
      </c>
      <c r="H785" s="177">
        <f t="array" ref="H785">SUM(IF(ISERROR(H786:H836),"",H786:H836))</f>
        <v>-0.001487983292</v>
      </c>
      <c r="I785" s="177">
        <f t="array" ref="I785">SUM(IF(ISERROR(I786:I836),"",I786:I836))</f>
        <v>-0.001362859721</v>
      </c>
      <c r="J785" s="177">
        <f t="array" ref="J785">SUM(IF(ISERROR(J786:J836),"",J786:J836))</f>
        <v>-0.001227726264</v>
      </c>
      <c r="K785" s="177">
        <f t="array" ref="K785">SUM(IF(ISERROR(K786:K836),"",K786:K836))</f>
        <v>-0.00108178213</v>
      </c>
      <c r="L785" s="177">
        <f t="array" ref="L785">SUM(IF(ISERROR(L786:L836),"",L786:L836))</f>
        <v>-0.0009241624654</v>
      </c>
      <c r="M785" s="177">
        <f t="array" ref="M785">SUM(IF(ISERROR(M786:M836),"",M786:M836))</f>
        <v>-0.0007539332278</v>
      </c>
      <c r="N785" s="177">
        <f t="array" ref="N785">SUM(IF(ISERROR(N786:N836),"",N786:N836))</f>
        <v>-0.0005866197593</v>
      </c>
      <c r="O785" s="177">
        <f t="array" ref="O785">SUM(IF(ISERROR(O786:O836),"",O786:O836))</f>
        <v>-0.0004059212135</v>
      </c>
      <c r="P785" s="177">
        <f t="array" ref="P785">SUM(IF(ISERROR(P786:P836),"",P786:P836))</f>
        <v>-0.0002107667839</v>
      </c>
      <c r="Q785" s="177">
        <f t="array" ref="Q785">SUM(IF(ISERROR(Q786:Q836),"",Q786:Q836))</f>
        <v>0</v>
      </c>
      <c r="R785" s="177">
        <f t="array" ref="R785">SUM(IF(ISERROR(R786:R836),"",R786:R836))</f>
        <v>0</v>
      </c>
      <c r="S785" s="177">
        <f t="array" ref="S785">SUM(IF(ISERROR(S786:S836),"",S786:S836))</f>
        <v>-0.01663090939</v>
      </c>
      <c r="T785" s="177">
        <f t="array" ref="T785">SUM(IF(ISERROR(T786:T836),"",T786:T836))</f>
        <v>-0.01548288622</v>
      </c>
      <c r="U785" s="177">
        <f t="array" ref="U785">SUM(IF(ISERROR(U786:U836),"",U786:U836))</f>
        <v>-0.0142430212</v>
      </c>
      <c r="V785" s="177">
        <f t="array" ref="V785">SUM(IF(ISERROR(V786:V836),"",V786:V836))</f>
        <v>-0.01290396697</v>
      </c>
      <c r="W785" s="177">
        <f t="array" ref="W785">SUM(IF(ISERROR(W786:W836),"",W786:W836))</f>
        <v>-0.0114577884</v>
      </c>
      <c r="X785" s="177">
        <f t="array" ref="X785">SUM(IF(ISERROR(X786:X836),"",X786:X836))</f>
        <v>-0.02291725689</v>
      </c>
      <c r="Y785" s="177">
        <f t="array" ref="Y785">SUM(IF(ISERROR(Y786:Y836),"",Y786:Y836))</f>
        <v>-0.03333366131</v>
      </c>
      <c r="Z785" s="177">
        <f t="array" ref="Z785">SUM(IF(ISERROR(Z786:Z836),"",Z786:Z836))</f>
        <v>-0.04260393941</v>
      </c>
      <c r="AA785" s="177">
        <f t="array" ref="AA785">SUM(IF(ISERROR(AA786:AA836),"",AA786:AA836))</f>
        <v>-0.0506360449</v>
      </c>
      <c r="AB785" s="177">
        <f t="array" ref="AB785">SUM(IF(ISERROR(AB786:AB836),"",AB786:AB836))</f>
        <v>-0.057327118</v>
      </c>
      <c r="AC785" s="177">
        <f t="array" ref="AC785">SUM(IF(ISERROR(AC786:AC836),"",AC786:AC836))</f>
        <v>-0.06256729945</v>
      </c>
      <c r="AD785" s="177">
        <f t="array" ref="AD785">SUM(IF(ISERROR(AD786:AD836),"",AD786:AD836))</f>
        <v>-0.06872190522</v>
      </c>
      <c r="AE785" s="177">
        <f t="array" ref="AE785">SUM(IF(ISERROR(AE786:AE836),"",AE786:AE836))</f>
        <v>-0.07353545485</v>
      </c>
      <c r="AF785" s="177">
        <f t="array" ref="AF785">SUM(IF(ISERROR(AF786:AF836),"",AF786:AF836))</f>
        <v>-0.07658682346</v>
      </c>
      <c r="AG785" s="177">
        <f t="array" ref="AG785">SUM(IF(ISERROR(AG786:AG836),"",AG786:AG836))</f>
        <v>-0.07790448036</v>
      </c>
      <c r="AH785" s="177">
        <f t="array" ref="AH785">SUM(IF(ISERROR(AH786:AH836),"",AH786:AH836))</f>
        <v>-0.07735260837</v>
      </c>
      <c r="AI785" s="177">
        <f t="array" ref="AI785">SUM(IF(ISERROR(AI786:AI836),"",AI786:AI836))</f>
        <v>-0.07898716225</v>
      </c>
      <c r="AJ785" s="177">
        <f t="array" ref="AJ785">SUM(IF(ISERROR(AJ786:AJ836),"",AJ786:AJ836))</f>
        <v>-0.07852170221</v>
      </c>
      <c r="AK785" s="177">
        <f t="array" ref="AK785">SUM(IF(ISERROR(AK786:AK836),"",AK786:AK836))</f>
        <v>-0.07821409014</v>
      </c>
      <c r="AL785" s="177">
        <f t="array" ref="AL785">SUM(IF(ISERROR(AL786:AL836),"",AL786:AL836))</f>
        <v>-0.07805303962</v>
      </c>
      <c r="AM785" s="177">
        <f t="array" ref="AM785">SUM(IF(ISERROR(AM786:AM836),"",AM786:AM836))</f>
        <v>-0.07802494058</v>
      </c>
      <c r="AN785" s="177">
        <f t="array" ref="AN785">SUM(IF(ISERROR(AN786:AN836),"",AN786:AN836))</f>
        <v>-0.07811320112</v>
      </c>
      <c r="AO785" s="177">
        <f t="array" ref="AO785">SUM(IF(ISERROR(AO786:AO836),"",AO786:AO836))</f>
        <v>-0.07829900331</v>
      </c>
      <c r="AP785" s="177">
        <f t="array" ref="AP785">SUM(IF(ISERROR(AP786:AP836),"",AP786:AP836))</f>
        <v>-0.07858243113</v>
      </c>
      <c r="AQ785" s="177">
        <f t="array" ref="AQ785">SUM(IF(ISERROR(AQ786:AQ836),"",AQ786:AQ836))</f>
        <v>-0.07891839663</v>
      </c>
      <c r="AR785" s="177">
        <f t="array" ref="AR785">SUM(IF(ISERROR(AR786:AR836),"",AR786:AR836))</f>
        <v>-0.07927783381</v>
      </c>
      <c r="AS785" s="177">
        <f t="array" ref="AS785">SUM(IF(ISERROR(AS786:AS836),"",AS786:AS836))</f>
        <v>-0.07962757771</v>
      </c>
      <c r="AT785" s="177">
        <f t="array" ref="AT785">SUM(IF(ISERROR(AT786:AT836),"",AT786:AT836))</f>
        <v>-0.08026638391</v>
      </c>
      <c r="AU785" s="177">
        <f t="array" ref="AU785">SUM(IF(ISERROR(AU786:AU836),"",AU786:AU836))</f>
        <v>-0.09898944255</v>
      </c>
      <c r="AV785" s="177">
        <f t="array" ref="AV785">SUM(IF(ISERROR(AV786:AV836),"",AV786:AV836))</f>
        <v>-0.0983622724</v>
      </c>
      <c r="AW785" s="177">
        <f t="array" ref="AW785">SUM(IF(ISERROR(AW786:AW836),"",AW786:AW836))</f>
        <v>-0.0976291403</v>
      </c>
      <c r="AX785" s="177">
        <f t="array" ref="AX785">SUM(IF(ISERROR(AX786:AX836),"",AX786:AX836))</f>
        <v>-0.09678174062</v>
      </c>
      <c r="AY785" s="177">
        <f t="array" ref="AY785">SUM(IF(ISERROR(AY786:AY836),"",AY786:AY836))</f>
        <v>-0.09581085018</v>
      </c>
      <c r="AZ785" s="177">
        <f t="array" ref="AZ785">SUM(IF(ISERROR(AZ786:AZ836),"",AZ786:AZ836))</f>
        <v>-0.1086981829</v>
      </c>
      <c r="BA785" s="177">
        <f t="array" ref="BA785">SUM(IF(ISERROR(BA786:BA836),"",BA786:BA836))</f>
        <v>-0.1205538357</v>
      </c>
      <c r="BB785" s="177">
        <f t="array" ref="BB785">SUM(IF(ISERROR(BB786:BB836),"",BB786:BB836))</f>
        <v>-0.1029504282</v>
      </c>
      <c r="BC785" s="177">
        <f t="array" ref="BC785">SUM(IF(ISERROR(BC786:BC836),"",BC786:BC836))</f>
        <v>-0.08590973536</v>
      </c>
      <c r="BD785" s="177">
        <f t="array" ref="BD785">SUM(IF(ISERROR(BD786:BD836),"",BD786:BD836))</f>
        <v>-0.06949204732</v>
      </c>
      <c r="BE785" s="177">
        <f t="array" ref="BE785">SUM(IF(ISERROR(BE786:BE836),"",BE786:BE836))</f>
        <v>-0.0537623064</v>
      </c>
      <c r="BF785" s="177">
        <f t="array" ref="BF785">SUM(IF(ISERROR(BF786:BF836),"",BF786:BF836))</f>
        <v>-0.0414863812</v>
      </c>
      <c r="BG785" s="177">
        <f t="array" ref="BG785">SUM(IF(ISERROR(BG786:BG836),"",BG786:BG836))</f>
        <v>-0.03025855186</v>
      </c>
      <c r="BH785" s="177">
        <f t="array" ref="BH785">SUM(IF(ISERROR(BH786:BH836),"",BH786:BH836))</f>
        <v>-0.02017721339</v>
      </c>
      <c r="BI785" s="177">
        <f t="array" ref="BI785">SUM(IF(ISERROR(BI786:BI836),"",BI786:BI836))</f>
        <v>-0.01134844557</v>
      </c>
      <c r="BJ785" s="177">
        <f t="array" ref="BJ785">SUM(IF(ISERROR(BJ786:BJ836),"",BJ786:BJ836))</f>
        <v>-0.003886578041</v>
      </c>
    </row>
    <row r="786" ht="15.75" hidden="1" customHeight="1" outlineLevel="1">
      <c r="A786" s="241"/>
      <c r="B786" s="38"/>
      <c r="C786" s="177">
        <f>IF($C$677&gt;0,IPMT('Assumptions (Wind)'!$V$10,Model!W$1,'Assumptions (Wind)'!$V$13,'Assumptions (Wind)'!$V$8*Model!$C$677*'Assumptions (Wind)'!$B$2/10^9),0)</f>
        <v>-0.0001109452121</v>
      </c>
      <c r="D786" s="177">
        <f>IF($C$677&gt;0,IPMT('Assumptions (Wind)'!$V$10,Model!X$1,'Assumptions (Wind)'!$V$13,'Assumptions (Wind)'!$V$8*Model!$C$677*'Assumptions (Wind)'!$B$2/10^9),0)</f>
        <v>-0.0001032867208</v>
      </c>
      <c r="E786" s="177">
        <f>IF($C$677&gt;0,IPMT('Assumptions (Wind)'!$V$10,Model!Y$1,'Assumptions (Wind)'!$V$13,'Assumptions (Wind)'!$V$8*Model!$C$677*'Assumptions (Wind)'!$B$2/10^9),0)</f>
        <v>-0.00009501555025</v>
      </c>
      <c r="F786" s="177">
        <f>IF($C$677&gt;0,IPMT('Assumptions (Wind)'!$V$10,Model!Z$1,'Assumptions (Wind)'!$V$13,'Assumptions (Wind)'!$V$8*Model!$C$677*'Assumptions (Wind)'!$B$2/10^9),0)</f>
        <v>-0.00008608268604</v>
      </c>
      <c r="G786" s="177">
        <f>IF($C$677&gt;0,IPMT('Assumptions (Wind)'!$V$10,Model!AA$1,'Assumptions (Wind)'!$V$13,'Assumptions (Wind)'!$V$8*Model!$C$677*'Assumptions (Wind)'!$B$2/10^9),0)</f>
        <v>-0.00007643519269</v>
      </c>
      <c r="H786" s="177">
        <f>IF($C$677&gt;0,IPMT('Assumptions (Wind)'!$V$10,Model!AB$1,'Assumptions (Wind)'!$V$13,'Assumptions (Wind)'!$V$8*Model!$C$677*'Assumptions (Wind)'!$B$2/10^9),0)</f>
        <v>-0.00006601589988</v>
      </c>
      <c r="I786" s="177">
        <f>IF($C$677&gt;0,IPMT('Assumptions (Wind)'!$V$10,Model!AC$1,'Assumptions (Wind)'!$V$13,'Assumptions (Wind)'!$V$8*Model!$C$677*'Assumptions (Wind)'!$B$2/10^9),0)</f>
        <v>-0.00005476306364</v>
      </c>
      <c r="J786" s="177">
        <f>IF($C$677&gt;0,IPMT('Assumptions (Wind)'!$V$10,Model!AD$1,'Assumptions (Wind)'!$V$13,'Assumptions (Wind)'!$V$8*Model!$C$677*'Assumptions (Wind)'!$B$2/10^9),0)</f>
        <v>-0.0000426100005</v>
      </c>
      <c r="K786" s="177">
        <f>IF($C$677&gt;0,IPMT('Assumptions (Wind)'!$V$10,Model!AE$1,'Assumptions (Wind)'!$V$13,'Assumptions (Wind)'!$V$8*Model!$C$677*'Assumptions (Wind)'!$B$2/10^9),0)</f>
        <v>-0.00002948469232</v>
      </c>
      <c r="L786" s="177">
        <f>IF($C$677&gt;0,IPMT('Assumptions (Wind)'!$V$10,Model!AF$1,'Assumptions (Wind)'!$V$13,'Assumptions (Wind)'!$V$8*Model!$C$677*'Assumptions (Wind)'!$B$2/10^9),0)</f>
        <v>-0.00001530935947</v>
      </c>
      <c r="M786" s="177"/>
      <c r="N786" s="177"/>
      <c r="O786" s="177"/>
      <c r="P786" s="177"/>
      <c r="Q786" s="177"/>
      <c r="R786" s="177"/>
      <c r="S786" s="177"/>
      <c r="T786" s="177"/>
      <c r="U786" s="177"/>
      <c r="V786" s="177"/>
      <c r="W786" s="177"/>
      <c r="X786" s="177"/>
      <c r="Y786" s="177"/>
      <c r="Z786" s="177"/>
      <c r="AA786" s="177"/>
      <c r="AB786" s="160"/>
      <c r="AC786" s="160"/>
      <c r="AD786" s="160"/>
      <c r="AE786" s="160"/>
      <c r="AF786" s="160"/>
      <c r="AG786" s="160"/>
      <c r="AU786" s="160"/>
      <c r="AV786" s="160"/>
      <c r="AW786" s="160"/>
      <c r="AX786" s="160"/>
      <c r="AY786" s="160"/>
      <c r="AZ786" s="160"/>
      <c r="BA786" s="160"/>
    </row>
    <row r="787" ht="15.75" hidden="1" customHeight="1" outlineLevel="1">
      <c r="A787" s="241"/>
      <c r="B787" s="38"/>
      <c r="C787" s="160"/>
      <c r="D787" s="177">
        <f>IF($D$677&gt;0,IPMT('Assumptions (Wind)'!$V$10,Model!W$1,'Assumptions (Wind)'!$V$13,'Assumptions (Wind)'!$V$8*Model!$D$677*'Assumptions (Wind)'!$B$2/10^9),0)</f>
        <v>0</v>
      </c>
      <c r="E787" s="177">
        <f>IF($D$677&gt;0,IPMT('Assumptions (Wind)'!$V$10,Model!X$1,'Assumptions (Wind)'!$V$13,'Assumptions (Wind)'!$V$8*Model!$D$677*'Assumptions (Wind)'!$B$2/10^9),0)</f>
        <v>0</v>
      </c>
      <c r="F787" s="177">
        <f>IF($D$677&gt;0,IPMT('Assumptions (Wind)'!$V$10,Model!Y$1,'Assumptions (Wind)'!$V$13,'Assumptions (Wind)'!$V$8*Model!$D$677*'Assumptions (Wind)'!$B$2/10^9),0)</f>
        <v>0</v>
      </c>
      <c r="G787" s="177">
        <f>IF($D$677&gt;0,IPMT('Assumptions (Wind)'!$V$10,Model!Z$1,'Assumptions (Wind)'!$V$13,'Assumptions (Wind)'!$V$8*Model!$D$677*'Assumptions (Wind)'!$B$2/10^9),0)</f>
        <v>0</v>
      </c>
      <c r="H787" s="177">
        <f>IF($D$677&gt;0,IPMT('Assumptions (Wind)'!$V$10,Model!AA$1,'Assumptions (Wind)'!$V$13,'Assumptions (Wind)'!$V$8*Model!$D$677*'Assumptions (Wind)'!$B$2/10^9),0)</f>
        <v>0</v>
      </c>
      <c r="I787" s="177">
        <f>IF($D$677&gt;0,IPMT('Assumptions (Wind)'!$V$10,Model!AB$1,'Assumptions (Wind)'!$V$13,'Assumptions (Wind)'!$V$8*Model!$D$677*'Assumptions (Wind)'!$B$2/10^9),0)</f>
        <v>0</v>
      </c>
      <c r="J787" s="177">
        <f>IF($D$677&gt;0,IPMT('Assumptions (Wind)'!$V$10,Model!AC$1,'Assumptions (Wind)'!$V$13,'Assumptions (Wind)'!$V$8*Model!$D$677*'Assumptions (Wind)'!$B$2/10^9),0)</f>
        <v>0</v>
      </c>
      <c r="K787" s="177">
        <f>IF($D$677&gt;0,IPMT('Assumptions (Wind)'!$V$10,Model!AD$1,'Assumptions (Wind)'!$V$13,'Assumptions (Wind)'!$V$8*Model!$D$677*'Assumptions (Wind)'!$B$2/10^9),0)</f>
        <v>0</v>
      </c>
      <c r="L787" s="177">
        <f>IF($D$677&gt;0,IPMT('Assumptions (Wind)'!$V$10,Model!AE$1,'Assumptions (Wind)'!$V$13,'Assumptions (Wind)'!$V$8*Model!$D$677*'Assumptions (Wind)'!$B$2/10^9),0)</f>
        <v>0</v>
      </c>
      <c r="M787" s="177">
        <f>IF($D$677&gt;0,IPMT('Assumptions (Wind)'!$V$10,Model!AF$1,'Assumptions (Wind)'!$V$13,'Assumptions (Wind)'!$V$8*Model!$D$677*'Assumptions (Wind)'!$B$2/10^9),0)</f>
        <v>0</v>
      </c>
      <c r="N787" s="177"/>
      <c r="O787" s="177"/>
      <c r="P787" s="177"/>
      <c r="Q787" s="177"/>
      <c r="R787" s="177"/>
      <c r="S787" s="177"/>
      <c r="T787" s="177"/>
      <c r="U787" s="177"/>
      <c r="V787" s="177"/>
      <c r="W787" s="177"/>
      <c r="X787" s="177"/>
      <c r="Y787" s="177"/>
      <c r="Z787" s="177"/>
      <c r="AA787" s="177"/>
      <c r="AB787" s="177"/>
      <c r="AC787" s="160"/>
      <c r="AD787" s="160"/>
      <c r="AE787" s="160"/>
      <c r="AF787" s="160"/>
      <c r="AG787" s="160"/>
      <c r="AU787" s="160"/>
      <c r="AV787" s="160"/>
      <c r="AW787" s="160"/>
      <c r="AX787" s="160"/>
      <c r="AY787" s="160"/>
      <c r="AZ787" s="160"/>
      <c r="BA787" s="160"/>
    </row>
    <row r="788" ht="15.75" hidden="1" customHeight="1" outlineLevel="1">
      <c r="A788" s="241"/>
      <c r="B788" s="38"/>
      <c r="C788" s="160"/>
      <c r="D788" s="160"/>
      <c r="E788" s="160">
        <f>IF($E$677&gt;0,IPMT('Assumptions (Wind)'!$V$10,Model!W$1,'Assumptions (Wind)'!$V$13,'Assumptions (Wind)'!$V$8*Model!$E$677*AVERAGE('Assumptions (Wind)'!$B$2:$C$2)/10^9),0)</f>
        <v>0</v>
      </c>
      <c r="F788" s="160">
        <f>IF($E$677&gt;0,IPMT('Assumptions (Wind)'!$V$10,Model!X$1,'Assumptions (Wind)'!$V$13,'Assumptions (Wind)'!$V$8*Model!$E$677*AVERAGE('Assumptions (Wind)'!$B$2:$C$2)/10^9),0)</f>
        <v>0</v>
      </c>
      <c r="G788" s="160">
        <f>IF($E$677&gt;0,IPMT('Assumptions (Wind)'!$V$10,Model!Y$1,'Assumptions (Wind)'!$V$13,'Assumptions (Wind)'!$V$8*Model!$E$677*AVERAGE('Assumptions (Wind)'!$B$2:$C$2)/10^9),0)</f>
        <v>0</v>
      </c>
      <c r="H788" s="160">
        <f>IF($E$677&gt;0,IPMT('Assumptions (Wind)'!$V$10,Model!Z$1,'Assumptions (Wind)'!$V$13,'Assumptions (Wind)'!$V$8*Model!$E$677*AVERAGE('Assumptions (Wind)'!$B$2:$C$2)/10^9),0)</f>
        <v>0</v>
      </c>
      <c r="I788" s="160">
        <f>IF($E$677&gt;0,IPMT('Assumptions (Wind)'!$V$10,Model!AA$1,'Assumptions (Wind)'!$V$13,'Assumptions (Wind)'!$V$8*Model!$E$677*AVERAGE('Assumptions (Wind)'!$B$2:$C$2)/10^9),0)</f>
        <v>0</v>
      </c>
      <c r="J788" s="160">
        <f>IF($E$677&gt;0,IPMT('Assumptions (Wind)'!$V$10,Model!AB$1,'Assumptions (Wind)'!$V$13,'Assumptions (Wind)'!$V$8*Model!$E$677*AVERAGE('Assumptions (Wind)'!$B$2:$C$2)/10^9),0)</f>
        <v>0</v>
      </c>
      <c r="K788" s="160">
        <f>IF($E$677&gt;0,IPMT('Assumptions (Wind)'!$V$10,Model!AC$1,'Assumptions (Wind)'!$V$13,'Assumptions (Wind)'!$V$8*Model!$E$677*AVERAGE('Assumptions (Wind)'!$B$2:$C$2)/10^9),0)</f>
        <v>0</v>
      </c>
      <c r="L788" s="160">
        <f>IF($E$677&gt;0,IPMT('Assumptions (Wind)'!$V$10,Model!AD$1,'Assumptions (Wind)'!$V$13,'Assumptions (Wind)'!$V$8*Model!$E$677*AVERAGE('Assumptions (Wind)'!$B$2:$C$2)/10^9),0)</f>
        <v>0</v>
      </c>
      <c r="M788" s="160">
        <f>IF($E$677&gt;0,IPMT('Assumptions (Wind)'!$V$10,Model!AE$1,'Assumptions (Wind)'!$V$13,'Assumptions (Wind)'!$V$8*Model!$E$677*AVERAGE('Assumptions (Wind)'!$B$2:$C$2)/10^9),0)</f>
        <v>0</v>
      </c>
      <c r="N788" s="177">
        <f>IF($E$677&gt;0,IPMT('Assumptions (Wind)'!$V$10,Model!AF$1,'Assumptions (Wind)'!$V$13,'Assumptions (Wind)'!$V$8*Model!$E$677*AVERAGE('Assumptions (Wind)'!$B$2:$C$2)/10^9),0)</f>
        <v>0</v>
      </c>
      <c r="O788" s="160"/>
      <c r="P788" s="160"/>
      <c r="Q788" s="160"/>
      <c r="R788" s="160"/>
      <c r="S788" s="160"/>
      <c r="T788" s="160"/>
      <c r="U788" s="160"/>
      <c r="V788" s="160"/>
      <c r="W788" s="160"/>
      <c r="X788" s="160"/>
      <c r="Y788" s="160"/>
      <c r="Z788" s="160"/>
      <c r="AA788" s="160"/>
      <c r="AB788" s="160"/>
      <c r="AC788" s="160"/>
      <c r="AD788" s="160"/>
      <c r="AE788" s="160"/>
      <c r="AF788" s="160"/>
      <c r="AG788" s="160"/>
      <c r="AU788" s="160"/>
      <c r="AV788" s="160"/>
      <c r="AW788" s="160"/>
      <c r="AX788" s="160"/>
      <c r="AY788" s="160"/>
      <c r="AZ788" s="160"/>
      <c r="BA788" s="160"/>
    </row>
    <row r="789" ht="15.75" hidden="1" customHeight="1" outlineLevel="1">
      <c r="A789" s="241"/>
      <c r="B789" s="38"/>
      <c r="C789" s="160"/>
      <c r="D789" s="160"/>
      <c r="E789" s="160"/>
      <c r="F789" s="160">
        <f>IF($F$677&gt;0,IPMT('Assumptions (Wind)'!$V$10,Model!W$1,'Assumptions (Wind)'!$V$13,'Assumptions (Wind)'!$V$8*Model!$F$677*AVERAGE('Assumptions (Wind)'!$C$2:$D$2)/10^9),0)</f>
        <v>0</v>
      </c>
      <c r="G789" s="160">
        <f>IF($F$677&gt;0,IPMT('Assumptions (Wind)'!$V$10,Model!X$1,'Assumptions (Wind)'!$V$13,'Assumptions (Wind)'!$V$8*Model!$F$677*AVERAGE('Assumptions (Wind)'!$C$2:$D$2)/10^9),0)</f>
        <v>0</v>
      </c>
      <c r="H789" s="160">
        <f>IF($F$677&gt;0,IPMT('Assumptions (Wind)'!$V$10,Model!Y$1,'Assumptions (Wind)'!$V$13,'Assumptions (Wind)'!$V$8*Model!$F$677*AVERAGE('Assumptions (Wind)'!$C$2:$D$2)/10^9),0)</f>
        <v>0</v>
      </c>
      <c r="I789" s="160">
        <f>IF($F$677&gt;0,IPMT('Assumptions (Wind)'!$V$10,Model!Z$1,'Assumptions (Wind)'!$V$13,'Assumptions (Wind)'!$V$8*Model!$F$677*AVERAGE('Assumptions (Wind)'!$C$2:$D$2)/10^9),0)</f>
        <v>0</v>
      </c>
      <c r="J789" s="160">
        <f>IF($F$677&gt;0,IPMT('Assumptions (Wind)'!$V$10,Model!AA$1,'Assumptions (Wind)'!$V$13,'Assumptions (Wind)'!$V$8*Model!$F$677*AVERAGE('Assumptions (Wind)'!$C$2:$D$2)/10^9),0)</f>
        <v>0</v>
      </c>
      <c r="K789" s="160">
        <f>IF($F$677&gt;0,IPMT('Assumptions (Wind)'!$V$10,Model!AB$1,'Assumptions (Wind)'!$V$13,'Assumptions (Wind)'!$V$8*Model!$F$677*AVERAGE('Assumptions (Wind)'!$C$2:$D$2)/10^9),0)</f>
        <v>0</v>
      </c>
      <c r="L789" s="160">
        <f>IF($F$677&gt;0,IPMT('Assumptions (Wind)'!$V$10,Model!AC$1,'Assumptions (Wind)'!$V$13,'Assumptions (Wind)'!$V$8*Model!$F$677*AVERAGE('Assumptions (Wind)'!$C$2:$D$2)/10^9),0)</f>
        <v>0</v>
      </c>
      <c r="M789" s="160">
        <f>IF($F$677&gt;0,IPMT('Assumptions (Wind)'!$V$10,Model!AD$1,'Assumptions (Wind)'!$V$13,'Assumptions (Wind)'!$V$8*Model!$F$677*AVERAGE('Assumptions (Wind)'!$C$2:$D$2)/10^9),0)</f>
        <v>0</v>
      </c>
      <c r="N789" s="160">
        <f>IF($F$677&gt;0,IPMT('Assumptions (Wind)'!$V$10,Model!AE$1,'Assumptions (Wind)'!$V$13,'Assumptions (Wind)'!$V$8*Model!$F$677*AVERAGE('Assumptions (Wind)'!$C$2:$D$2)/10^9),0)</f>
        <v>0</v>
      </c>
      <c r="O789" s="160">
        <f>IF($F$677&gt;0,IPMT('Assumptions (Wind)'!$V$10,Model!AF$1,'Assumptions (Wind)'!$V$13,'Assumptions (Wind)'!$V$8*Model!$F$677*AVERAGE('Assumptions (Wind)'!$C$2:$D$2)/10^9),0)</f>
        <v>0</v>
      </c>
      <c r="P789" s="160"/>
      <c r="Q789" s="160"/>
      <c r="R789" s="160"/>
      <c r="S789" s="160"/>
      <c r="T789" s="160"/>
      <c r="U789" s="160"/>
      <c r="V789" s="160"/>
      <c r="W789" s="160"/>
      <c r="X789" s="160"/>
      <c r="Y789" s="160"/>
      <c r="Z789" s="160"/>
      <c r="AA789" s="160"/>
      <c r="AB789" s="160"/>
      <c r="AC789" s="160"/>
      <c r="AD789" s="160"/>
      <c r="AE789" s="160"/>
      <c r="AF789" s="160"/>
      <c r="AG789" s="160"/>
      <c r="AU789" s="160"/>
      <c r="AV789" s="160"/>
      <c r="AW789" s="160"/>
      <c r="AX789" s="160"/>
      <c r="AY789" s="160"/>
      <c r="AZ789" s="160"/>
      <c r="BA789" s="160"/>
    </row>
    <row r="790" ht="15.75" hidden="1" customHeight="1" outlineLevel="1">
      <c r="A790" s="241"/>
      <c r="B790" s="38"/>
      <c r="C790" s="160"/>
      <c r="D790" s="160"/>
      <c r="E790" s="160"/>
      <c r="F790" s="160"/>
      <c r="G790" s="160">
        <f>IF($G$677&gt;0,IPMT('Assumptions (Wind)'!$V$10,Model!W$1,'Assumptions (Wind)'!$V$13,'Assumptions (Wind)'!$V$8*Model!$G$677*AVERAGE('Assumptions (Wind)'!$D$2:$E$2)/10^9),0)</f>
        <v>-0.001527403258</v>
      </c>
      <c r="H790" s="160">
        <f>IF($G$677&gt;0,IPMT('Assumptions (Wind)'!$V$10,Model!X$1,'Assumptions (Wind)'!$V$13,'Assumptions (Wind)'!$V$8*Model!$G$677*AVERAGE('Assumptions (Wind)'!$D$2:$E$2)/10^9),0)</f>
        <v>-0.001421967392</v>
      </c>
      <c r="I790" s="160">
        <f>IF($G$677&gt;0,IPMT('Assumptions (Wind)'!$V$10,Model!Y$1,'Assumptions (Wind)'!$V$13,'Assumptions (Wind)'!$V$8*Model!$G$677*AVERAGE('Assumptions (Wind)'!$D$2:$E$2)/10^9),0)</f>
        <v>-0.001308096657</v>
      </c>
      <c r="J790" s="160">
        <f>IF($G$677&gt;0,IPMT('Assumptions (Wind)'!$V$10,Model!Z$1,'Assumptions (Wind)'!$V$13,'Assumptions (Wind)'!$V$8*Model!$G$677*AVERAGE('Assumptions (Wind)'!$D$2:$E$2)/10^9),0)</f>
        <v>-0.001185116263</v>
      </c>
      <c r="K790" s="160">
        <f>IF($G$677&gt;0,IPMT('Assumptions (Wind)'!$V$10,Model!AA$1,'Assumptions (Wind)'!$V$13,'Assumptions (Wind)'!$V$8*Model!$G$677*AVERAGE('Assumptions (Wind)'!$D$2:$E$2)/10^9),0)</f>
        <v>-0.001052297438</v>
      </c>
      <c r="L790" s="160">
        <f>IF($G$677&gt;0,IPMT('Assumptions (Wind)'!$V$10,Model!AB$1,'Assumptions (Wind)'!$V$13,'Assumptions (Wind)'!$V$8*Model!$G$677*AVERAGE('Assumptions (Wind)'!$D$2:$E$2)/10^9),0)</f>
        <v>-0.0009088531059</v>
      </c>
      <c r="M790" s="160">
        <f>IF($G$677&gt;0,IPMT('Assumptions (Wind)'!$V$10,Model!AC$1,'Assumptions (Wind)'!$V$13,'Assumptions (Wind)'!$V$8*Model!$G$677*AVERAGE('Assumptions (Wind)'!$D$2:$E$2)/10^9),0)</f>
        <v>-0.0007539332278</v>
      </c>
      <c r="N790" s="160">
        <f>IF($G$677&gt;0,IPMT('Assumptions (Wind)'!$V$10,Model!AD$1,'Assumptions (Wind)'!$V$13,'Assumptions (Wind)'!$V$8*Model!$G$677*AVERAGE('Assumptions (Wind)'!$D$2:$E$2)/10^9),0)</f>
        <v>-0.0005866197593</v>
      </c>
      <c r="O790" s="160">
        <f>IF($G$677&gt;0,IPMT('Assumptions (Wind)'!$V$10,Model!AE$1,'Assumptions (Wind)'!$V$13,'Assumptions (Wind)'!$V$8*Model!$G$677*AVERAGE('Assumptions (Wind)'!$D$2:$E$2)/10^9),0)</f>
        <v>-0.0004059212135</v>
      </c>
      <c r="P790" s="160">
        <f>IF($G$677&gt;0,IPMT('Assumptions (Wind)'!$V$10,Model!AF$1,'Assumptions (Wind)'!$V$13,'Assumptions (Wind)'!$V$8*Model!$G$677*AVERAGE('Assumptions (Wind)'!$D$2:$E$2)/10^9),0)</f>
        <v>-0.0002107667839</v>
      </c>
      <c r="Q790" s="160"/>
      <c r="R790" s="160"/>
      <c r="S790" s="160"/>
      <c r="T790" s="160"/>
      <c r="U790" s="160"/>
      <c r="V790" s="160"/>
      <c r="W790" s="160"/>
      <c r="X790" s="160"/>
      <c r="Y790" s="160"/>
      <c r="Z790" s="160"/>
      <c r="AA790" s="160"/>
      <c r="AB790" s="160"/>
      <c r="AC790" s="160"/>
      <c r="AD790" s="160"/>
      <c r="AE790" s="160"/>
      <c r="AF790" s="160"/>
      <c r="AG790" s="160"/>
      <c r="AU790" s="160"/>
      <c r="AV790" s="160"/>
      <c r="AW790" s="160"/>
      <c r="AX790" s="160"/>
      <c r="AY790" s="160"/>
      <c r="AZ790" s="160"/>
      <c r="BA790" s="160"/>
    </row>
    <row r="791" ht="15.75" hidden="1" customHeight="1" outlineLevel="1">
      <c r="A791" s="241"/>
      <c r="B791" s="38"/>
      <c r="C791" s="160"/>
      <c r="D791" s="160"/>
      <c r="E791" s="160"/>
      <c r="F791" s="160"/>
      <c r="G791" s="160"/>
      <c r="H791" s="160">
        <f>IF($H$677&gt;0,IPMT('Assumptions (Wind)'!$V$10,Model!W$1,'Assumptions (Wind)'!$V$13,'Assumptions (Wind)'!$V$8*Model!$H$677*AVERAGE('Assumptions (Wind)'!$E$2:$F$2)/10^9),0)</f>
        <v>0</v>
      </c>
      <c r="I791" s="160">
        <f>IF($H$677&gt;0,IPMT('Assumptions (Wind)'!$V$10,Model!X$1,'Assumptions (Wind)'!$V$13,'Assumptions (Wind)'!$V$8*Model!$H$677*AVERAGE('Assumptions (Wind)'!$E$2:$F$2)/10^9),0)</f>
        <v>0</v>
      </c>
      <c r="J791" s="160">
        <f>IF($H$677&gt;0,IPMT('Assumptions (Wind)'!$V$10,Model!Y$1,'Assumptions (Wind)'!$V$13,'Assumptions (Wind)'!$V$8*Model!$H$677*AVERAGE('Assumptions (Wind)'!$E$2:$F$2)/10^9),0)</f>
        <v>0</v>
      </c>
      <c r="K791" s="160">
        <f>IF($H$677&gt;0,IPMT('Assumptions (Wind)'!$V$10,Model!Z$1,'Assumptions (Wind)'!$V$13,'Assumptions (Wind)'!$V$8*Model!$H$677*AVERAGE('Assumptions (Wind)'!$E$2:$F$2)/10^9),0)</f>
        <v>0</v>
      </c>
      <c r="L791" s="160">
        <f>IF($H$677&gt;0,IPMT('Assumptions (Wind)'!$V$10,Model!AA$1,'Assumptions (Wind)'!$V$13,'Assumptions (Wind)'!$V$8*Model!$H$677*AVERAGE('Assumptions (Wind)'!$E$2:$F$2)/10^9),0)</f>
        <v>0</v>
      </c>
      <c r="M791" s="160">
        <f>IF($H$677&gt;0,IPMT('Assumptions (Wind)'!$V$10,Model!AB$1,'Assumptions (Wind)'!$V$13,'Assumptions (Wind)'!$V$8*Model!$H$677*AVERAGE('Assumptions (Wind)'!$E$2:$F$2)/10^9),0)</f>
        <v>0</v>
      </c>
      <c r="N791" s="160">
        <f>IF($H$677&gt;0,IPMT('Assumptions (Wind)'!$V$10,Model!AC$1,'Assumptions (Wind)'!$V$13,'Assumptions (Wind)'!$V$8*Model!$H$677*AVERAGE('Assumptions (Wind)'!$E$2:$F$2)/10^9),0)</f>
        <v>0</v>
      </c>
      <c r="O791" s="160">
        <f>IF($H$677&gt;0,IPMT('Assumptions (Wind)'!$V$10,Model!AD$1,'Assumptions (Wind)'!$V$13,'Assumptions (Wind)'!$V$8*Model!$H$677*AVERAGE('Assumptions (Wind)'!$E$2:$F$2)/10^9),0)</f>
        <v>0</v>
      </c>
      <c r="P791" s="160">
        <f>IF($H$677&gt;0,IPMT('Assumptions (Wind)'!$V$10,Model!AE$1,'Assumptions (Wind)'!$V$13,'Assumptions (Wind)'!$V$8*Model!$H$677*AVERAGE('Assumptions (Wind)'!$E$2:$F$2)/10^9),0)</f>
        <v>0</v>
      </c>
      <c r="Q791" s="160">
        <f>IF($H$677&gt;0,IPMT('Assumptions (Wind)'!$V$10,Model!AF$1,'Assumptions (Wind)'!$V$13,'Assumptions (Wind)'!$V$8*Model!$H$677*AVERAGE('Assumptions (Wind)'!$E$2:$F$2)/10^9),0)</f>
        <v>0</v>
      </c>
      <c r="R791" s="160"/>
      <c r="S791" s="160"/>
      <c r="T791" s="160"/>
      <c r="U791" s="160"/>
      <c r="V791" s="160"/>
      <c r="W791" s="160"/>
      <c r="X791" s="160"/>
      <c r="Y791" s="160"/>
      <c r="Z791" s="160"/>
      <c r="AA791" s="160"/>
      <c r="AB791" s="160"/>
      <c r="AC791" s="160"/>
      <c r="AD791" s="160"/>
      <c r="AE791" s="160"/>
      <c r="AF791" s="160"/>
      <c r="AG791" s="160"/>
      <c r="AU791" s="160"/>
      <c r="AV791" s="160"/>
      <c r="AW791" s="160"/>
      <c r="AX791" s="160"/>
      <c r="AY791" s="160"/>
      <c r="AZ791" s="160"/>
      <c r="BA791" s="160"/>
    </row>
    <row r="792" ht="15.75" hidden="1" customHeight="1" outlineLevel="1">
      <c r="A792" s="241"/>
      <c r="B792" s="38"/>
      <c r="C792" s="160"/>
      <c r="D792" s="160"/>
      <c r="E792" s="160"/>
      <c r="F792" s="160"/>
      <c r="G792" s="160"/>
      <c r="H792" s="160"/>
      <c r="I792" s="160">
        <f>IF($I$677&gt;0,IPMT('Assumptions (Wind)'!$V$10,Model!W$1,'Assumptions (Wind)'!$V$13,'Assumptions (Wind)'!$V$8*Model!$I$677*AVERAGE('Assumptions (Wind)'!$F$2:$G$2)/10^9),0)</f>
        <v>0</v>
      </c>
      <c r="J792" s="160">
        <f>IF($I$677&gt;0,IPMT('Assumptions (Wind)'!$V$10,Model!X$1,'Assumptions (Wind)'!$V$13,'Assumptions (Wind)'!$V$8*Model!$I$677*AVERAGE('Assumptions (Wind)'!$F$2:$G$2)/10^9),0)</f>
        <v>0</v>
      </c>
      <c r="K792" s="160">
        <f>IF($I$677&gt;0,IPMT('Assumptions (Wind)'!$V$10,Model!Y$1,'Assumptions (Wind)'!$V$13,'Assumptions (Wind)'!$V$8*Model!$I$677*AVERAGE('Assumptions (Wind)'!$F$2:$G$2)/10^9),0)</f>
        <v>0</v>
      </c>
      <c r="L792" s="160">
        <f>IF($I$677&gt;0,IPMT('Assumptions (Wind)'!$V$10,Model!Z$1,'Assumptions (Wind)'!$V$13,'Assumptions (Wind)'!$V$8*Model!$I$677*AVERAGE('Assumptions (Wind)'!$F$2:$G$2)/10^9),0)</f>
        <v>0</v>
      </c>
      <c r="M792" s="160">
        <f>IF($I$677&gt;0,IPMT('Assumptions (Wind)'!$V$10,Model!AA$1,'Assumptions (Wind)'!$V$13,'Assumptions (Wind)'!$V$8*Model!$I$677*AVERAGE('Assumptions (Wind)'!$F$2:$G$2)/10^9),0)</f>
        <v>0</v>
      </c>
      <c r="N792" s="160">
        <f>IF($I$677&gt;0,IPMT('Assumptions (Wind)'!$V$10,Model!AB$1,'Assumptions (Wind)'!$V$13,'Assumptions (Wind)'!$V$8*Model!$I$677*AVERAGE('Assumptions (Wind)'!$F$2:$G$2)/10^9),0)</f>
        <v>0</v>
      </c>
      <c r="O792" s="160">
        <f>IF($I$677&gt;0,IPMT('Assumptions (Wind)'!$V$10,Model!AC$1,'Assumptions (Wind)'!$V$13,'Assumptions (Wind)'!$V$8*Model!$I$677*AVERAGE('Assumptions (Wind)'!$F$2:$G$2)/10^9),0)</f>
        <v>0</v>
      </c>
      <c r="P792" s="160">
        <f>IF($I$677&gt;0,IPMT('Assumptions (Wind)'!$V$10,Model!AD$1,'Assumptions (Wind)'!$V$13,'Assumptions (Wind)'!$V$8*Model!$I$677*AVERAGE('Assumptions (Wind)'!$F$2:$G$2)/10^9),0)</f>
        <v>0</v>
      </c>
      <c r="Q792" s="160">
        <f>IF($I$677&gt;0,IPMT('Assumptions (Wind)'!$V$10,Model!AE$1,'Assumptions (Wind)'!$V$13,'Assumptions (Wind)'!$V$8*Model!$I$677*AVERAGE('Assumptions (Wind)'!$F$2:$G$2)/10^9),0)</f>
        <v>0</v>
      </c>
      <c r="R792" s="160">
        <f>IF($I$677&gt;0,IPMT('Assumptions (Wind)'!$V$10,Model!AF$1,'Assumptions (Wind)'!$V$13,'Assumptions (Wind)'!$V$8*Model!$I$677*AVERAGE('Assumptions (Wind)'!$F$2:$G$2)/10^9),0)</f>
        <v>0</v>
      </c>
      <c r="S792" s="160"/>
      <c r="T792" s="160"/>
      <c r="U792" s="160"/>
      <c r="V792" s="160"/>
      <c r="W792" s="160"/>
      <c r="X792" s="160"/>
      <c r="Y792" s="160"/>
      <c r="Z792" s="160"/>
      <c r="AA792" s="160"/>
      <c r="AB792" s="160"/>
      <c r="AC792" s="160"/>
      <c r="AD792" s="160"/>
      <c r="AE792" s="160"/>
      <c r="AF792" s="160"/>
      <c r="AG792" s="160"/>
      <c r="AU792" s="160"/>
      <c r="AV792" s="160"/>
      <c r="AW792" s="160"/>
      <c r="AX792" s="160"/>
      <c r="AY792" s="160"/>
      <c r="AZ792" s="160"/>
      <c r="BA792" s="160"/>
    </row>
    <row r="793" ht="15.75" hidden="1" customHeight="1" outlineLevel="1">
      <c r="A793" s="241"/>
      <c r="B793" s="38"/>
      <c r="C793" s="160"/>
      <c r="D793" s="160"/>
      <c r="E793" s="160"/>
      <c r="F793" s="160"/>
      <c r="G793" s="160"/>
      <c r="H793" s="160"/>
      <c r="I793" s="160"/>
      <c r="J793" s="160">
        <f>IF($J$677&gt;0,IPMT('Assumptions (Wind)'!$V$10,Model!W$1,'Assumptions (Wind)'!$V$13,'Assumptions (Wind)'!$V$8*Model!$J$677*AVERAGE('Assumptions (Wind)'!$G$2:$H$2)/10^9),0)</f>
        <v>0</v>
      </c>
      <c r="K793" s="160">
        <f>IF($J$677&gt;0,IPMT('Assumptions (Wind)'!$V$10,Model!X$1,'Assumptions (Wind)'!$V$13,'Assumptions (Wind)'!$V$8*Model!$J$677*AVERAGE('Assumptions (Wind)'!$G$2:$H$2)/10^9),0)</f>
        <v>0</v>
      </c>
      <c r="L793" s="160">
        <f>IF($J$677&gt;0,IPMT('Assumptions (Wind)'!$V$10,Model!Y$1,'Assumptions (Wind)'!$V$13,'Assumptions (Wind)'!$V$8*Model!$J$677*AVERAGE('Assumptions (Wind)'!$G$2:$H$2)/10^9),0)</f>
        <v>0</v>
      </c>
      <c r="M793" s="160">
        <f>IF($J$677&gt;0,IPMT('Assumptions (Wind)'!$V$10,Model!Z$1,'Assumptions (Wind)'!$V$13,'Assumptions (Wind)'!$V$8*Model!$J$677*AVERAGE('Assumptions (Wind)'!$G$2:$H$2)/10^9),0)</f>
        <v>0</v>
      </c>
      <c r="N793" s="160">
        <f>IF($J$677&gt;0,IPMT('Assumptions (Wind)'!$V$10,Model!AA$1,'Assumptions (Wind)'!$V$13,'Assumptions (Wind)'!$V$8*Model!$J$677*AVERAGE('Assumptions (Wind)'!$G$2:$H$2)/10^9),0)</f>
        <v>0</v>
      </c>
      <c r="O793" s="160">
        <f>IF($J$677&gt;0,IPMT('Assumptions (Wind)'!$V$10,Model!AB$1,'Assumptions (Wind)'!$V$13,'Assumptions (Wind)'!$V$8*Model!$J$677*AVERAGE('Assumptions (Wind)'!$G$2:$H$2)/10^9),0)</f>
        <v>0</v>
      </c>
      <c r="P793" s="160">
        <f>IF($J$677&gt;0,IPMT('Assumptions (Wind)'!$V$10,Model!AC$1,'Assumptions (Wind)'!$V$13,'Assumptions (Wind)'!$V$8*Model!$J$677*AVERAGE('Assumptions (Wind)'!$G$2:$H$2)/10^9),0)</f>
        <v>0</v>
      </c>
      <c r="Q793" s="160">
        <f>IF($J$677&gt;0,IPMT('Assumptions (Wind)'!$V$10,Model!AD$1,'Assumptions (Wind)'!$V$13,'Assumptions (Wind)'!$V$8*Model!$J$677*AVERAGE('Assumptions (Wind)'!$G$2:$H$2)/10^9),0)</f>
        <v>0</v>
      </c>
      <c r="R793" s="160">
        <f>IF($J$677&gt;0,IPMT('Assumptions (Wind)'!$V$10,Model!AE$1,'Assumptions (Wind)'!$V$13,'Assumptions (Wind)'!$V$8*Model!$J$677*AVERAGE('Assumptions (Wind)'!$G$2:$H$2)/10^9),0)</f>
        <v>0</v>
      </c>
      <c r="S793" s="160">
        <f>IF($J$677&gt;0,IPMT('Assumptions (Wind)'!$V$10,Model!AF$1,'Assumptions (Wind)'!$V$13,'Assumptions (Wind)'!$V$8*Model!$J$677*AVERAGE('Assumptions (Wind)'!$G$2:$H$2)/10^9),0)</f>
        <v>0</v>
      </c>
      <c r="T793" s="160"/>
      <c r="U793" s="160"/>
      <c r="V793" s="160"/>
      <c r="W793" s="160"/>
      <c r="X793" s="160"/>
      <c r="Y793" s="160"/>
      <c r="Z793" s="160"/>
      <c r="AA793" s="160"/>
      <c r="AB793" s="160"/>
      <c r="AC793" s="160"/>
      <c r="AD793" s="160"/>
      <c r="AE793" s="160"/>
      <c r="AF793" s="160"/>
      <c r="AG793" s="160"/>
      <c r="AH793" s="160"/>
      <c r="AU793" s="160"/>
      <c r="AV793" s="160"/>
      <c r="AW793" s="160"/>
      <c r="AX793" s="160"/>
      <c r="AY793" s="160"/>
      <c r="AZ793" s="160"/>
      <c r="BA793" s="160"/>
    </row>
    <row r="794" ht="15.75" hidden="1" customHeight="1" outlineLevel="1">
      <c r="A794" s="241"/>
      <c r="B794" s="38"/>
      <c r="C794" s="160"/>
      <c r="D794" s="160"/>
      <c r="E794" s="160"/>
      <c r="F794" s="160"/>
      <c r="G794" s="160"/>
      <c r="H794" s="160"/>
      <c r="I794" s="160"/>
      <c r="J794" s="160"/>
      <c r="K794" s="160">
        <f>IF($K$677&gt;0,IPMT('Assumptions (Wind)'!$V$10,Model!W$1,'Assumptions (Wind)'!$V$13,'Assumptions (Wind)'!$V$8*Model!$K$677*AVERAGE('Assumptions (Wind)'!$H$2:$I$2)/10^9),0)</f>
        <v>0</v>
      </c>
      <c r="L794" s="160">
        <f>IF($K$677&gt;0,IPMT('Assumptions (Wind)'!$V$10,Model!X$1,'Assumptions (Wind)'!$V$13,'Assumptions (Wind)'!$V$8*Model!$K$677*AVERAGE('Assumptions (Wind)'!$H$2:$I$2)/10^9),0)</f>
        <v>0</v>
      </c>
      <c r="M794" s="160">
        <f>IF($K$677&gt;0,IPMT('Assumptions (Wind)'!$V$10,Model!Y$1,'Assumptions (Wind)'!$V$13,'Assumptions (Wind)'!$V$8*Model!$K$677*AVERAGE('Assumptions (Wind)'!$H$2:$I$2)/10^9),0)</f>
        <v>0</v>
      </c>
      <c r="N794" s="160">
        <f>IF($K$677&gt;0,IPMT('Assumptions (Wind)'!$V$10,Model!Z$1,'Assumptions (Wind)'!$V$13,'Assumptions (Wind)'!$V$8*Model!$K$677*AVERAGE('Assumptions (Wind)'!$H$2:$I$2)/10^9),0)</f>
        <v>0</v>
      </c>
      <c r="O794" s="160">
        <f>IF($K$677&gt;0,IPMT('Assumptions (Wind)'!$V$10,Model!AA$1,'Assumptions (Wind)'!$V$13,'Assumptions (Wind)'!$V$8*Model!$K$677*AVERAGE('Assumptions (Wind)'!$H$2:$I$2)/10^9),0)</f>
        <v>0</v>
      </c>
      <c r="P794" s="160">
        <f>IF($K$677&gt;0,IPMT('Assumptions (Wind)'!$V$10,Model!AB$1,'Assumptions (Wind)'!$V$13,'Assumptions (Wind)'!$V$8*Model!$K$677*AVERAGE('Assumptions (Wind)'!$H$2:$I$2)/10^9),0)</f>
        <v>0</v>
      </c>
      <c r="Q794" s="160">
        <f>IF($K$677&gt;0,IPMT('Assumptions (Wind)'!$V$10,Model!AC$1,'Assumptions (Wind)'!$V$13,'Assumptions (Wind)'!$V$8*Model!$K$677*AVERAGE('Assumptions (Wind)'!$H$2:$I$2)/10^9),0)</f>
        <v>0</v>
      </c>
      <c r="R794" s="160">
        <f>IF($K$677&gt;0,IPMT('Assumptions (Wind)'!$V$10,Model!AD$1,'Assumptions (Wind)'!$V$13,'Assumptions (Wind)'!$V$8*Model!$K$677*AVERAGE('Assumptions (Wind)'!$H$2:$I$2)/10^9),0)</f>
        <v>0</v>
      </c>
      <c r="S794" s="160">
        <f>IF($K$677&gt;0,IPMT('Assumptions (Wind)'!$V$10,Model!AE$1,'Assumptions (Wind)'!$V$13,'Assumptions (Wind)'!$V$8*Model!$K$677*AVERAGE('Assumptions (Wind)'!$H$2:$I$2)/10^9),0)</f>
        <v>0</v>
      </c>
      <c r="T794" s="160">
        <f>IF($K$677&gt;0,IPMT('Assumptions (Wind)'!$V$10,Model!AF$1,'Assumptions (Wind)'!$V$13,'Assumptions (Wind)'!$V$8*Model!$K$677*AVERAGE('Assumptions (Wind)'!$H$2:$I$2)/10^9),0)</f>
        <v>0</v>
      </c>
      <c r="U794" s="160"/>
      <c r="V794" s="160"/>
      <c r="W794" s="160"/>
      <c r="X794" s="160"/>
      <c r="Y794" s="160"/>
      <c r="Z794" s="160"/>
      <c r="AA794" s="160"/>
      <c r="AB794" s="160"/>
      <c r="AC794" s="160"/>
      <c r="AD794" s="160"/>
      <c r="AE794" s="160"/>
      <c r="AF794" s="160"/>
      <c r="AG794" s="160"/>
      <c r="AH794" s="160"/>
      <c r="AI794" s="160"/>
      <c r="AU794" s="160"/>
      <c r="AV794" s="160"/>
      <c r="AW794" s="160"/>
      <c r="AX794" s="160"/>
      <c r="AY794" s="160"/>
      <c r="AZ794" s="160"/>
      <c r="BA794" s="160"/>
    </row>
    <row r="795" ht="15.75" hidden="1" customHeight="1" outlineLevel="1">
      <c r="A795" s="241"/>
      <c r="B795" s="38"/>
      <c r="C795" s="160"/>
      <c r="D795" s="160"/>
      <c r="E795" s="160"/>
      <c r="F795" s="160"/>
      <c r="G795" s="160"/>
      <c r="H795" s="160"/>
      <c r="I795" s="160"/>
      <c r="J795" s="160"/>
      <c r="K795" s="160"/>
      <c r="L795" s="160">
        <f>IF($L$677&gt;0,IPMT('Assumptions (Wind)'!$V$10,Model!W$1,'Assumptions (Wind)'!$V$13,'Assumptions (Wind)'!$V$8*Model!$L$677*AVERAGE('Assumptions (Wind)'!$I$2:$J$2)/10^9),0)</f>
        <v>0</v>
      </c>
      <c r="M795" s="160">
        <f>IF($L$677&gt;0,IPMT('Assumptions (Wind)'!$V$10,Model!X$1,'Assumptions (Wind)'!$V$13,'Assumptions (Wind)'!$V$8*Model!$L$677*AVERAGE('Assumptions (Wind)'!$I$2:$J$2)/10^9),0)</f>
        <v>0</v>
      </c>
      <c r="N795" s="160">
        <f>IF($L$677&gt;0,IPMT('Assumptions (Wind)'!$V$10,Model!Y$1,'Assumptions (Wind)'!$V$13,'Assumptions (Wind)'!$V$8*Model!$L$677*AVERAGE('Assumptions (Wind)'!$I$2:$J$2)/10^9),0)</f>
        <v>0</v>
      </c>
      <c r="O795" s="160">
        <f>IF($L$677&gt;0,IPMT('Assumptions (Wind)'!$V$10,Model!Z$1,'Assumptions (Wind)'!$V$13,'Assumptions (Wind)'!$V$8*Model!$L$677*AVERAGE('Assumptions (Wind)'!$I$2:$J$2)/10^9),0)</f>
        <v>0</v>
      </c>
      <c r="P795" s="160">
        <f>IF($L$677&gt;0,IPMT('Assumptions (Wind)'!$V$10,Model!AA$1,'Assumptions (Wind)'!$V$13,'Assumptions (Wind)'!$V$8*Model!$L$677*AVERAGE('Assumptions (Wind)'!$I$2:$J$2)/10^9),0)</f>
        <v>0</v>
      </c>
      <c r="Q795" s="160">
        <f>IF($L$677&gt;0,IPMT('Assumptions (Wind)'!$V$10,Model!AB$1,'Assumptions (Wind)'!$V$13,'Assumptions (Wind)'!$V$8*Model!$L$677*AVERAGE('Assumptions (Wind)'!$I$2:$J$2)/10^9),0)</f>
        <v>0</v>
      </c>
      <c r="R795" s="160">
        <f>IF($L$677&gt;0,IPMT('Assumptions (Wind)'!$V$10,Model!AC$1,'Assumptions (Wind)'!$V$13,'Assumptions (Wind)'!$V$8*Model!$L$677*AVERAGE('Assumptions (Wind)'!$I$2:$J$2)/10^9),0)</f>
        <v>0</v>
      </c>
      <c r="S795" s="160">
        <f>IF($L$677&gt;0,IPMT('Assumptions (Wind)'!$V$10,Model!AD$1,'Assumptions (Wind)'!$V$13,'Assumptions (Wind)'!$V$8*Model!$L$677*AVERAGE('Assumptions (Wind)'!$I$2:$J$2)/10^9),0)</f>
        <v>0</v>
      </c>
      <c r="T795" s="160">
        <f>IF($L$677&gt;0,IPMT('Assumptions (Wind)'!$V$10,Model!AE$1,'Assumptions (Wind)'!$V$13,'Assumptions (Wind)'!$V$8*Model!$L$677*AVERAGE('Assumptions (Wind)'!$I$2:$J$2)/10^9),0)</f>
        <v>0</v>
      </c>
      <c r="U795" s="160">
        <f>IF($L$677&gt;0,IPMT('Assumptions (Wind)'!$V$10,Model!AF$1,'Assumptions (Wind)'!$V$13,'Assumptions (Wind)'!$V$8*Model!$L$677*AVERAGE('Assumptions (Wind)'!$I$2:$J$2)/10^9),0)</f>
        <v>0</v>
      </c>
      <c r="V795" s="160"/>
      <c r="W795" s="160"/>
      <c r="X795" s="160"/>
      <c r="Y795" s="160"/>
      <c r="Z795" s="160"/>
      <c r="AA795" s="160"/>
      <c r="AB795" s="160"/>
      <c r="AC795" s="160"/>
      <c r="AD795" s="160"/>
      <c r="AE795" s="160"/>
      <c r="AF795" s="160"/>
      <c r="AG795" s="160"/>
      <c r="AH795" s="160"/>
      <c r="AI795" s="160"/>
      <c r="AJ795" s="160"/>
      <c r="AU795" s="160"/>
      <c r="AV795" s="160"/>
      <c r="AW795" s="160"/>
      <c r="AX795" s="160"/>
      <c r="AY795" s="160"/>
      <c r="AZ795" s="160"/>
      <c r="BA795" s="160"/>
    </row>
    <row r="796" ht="15.75" hidden="1" customHeight="1" outlineLevel="1">
      <c r="A796" s="241"/>
      <c r="B796" s="38"/>
      <c r="C796" s="160"/>
      <c r="D796" s="160"/>
      <c r="E796" s="160"/>
      <c r="F796" s="160"/>
      <c r="G796" s="160"/>
      <c r="H796" s="160"/>
      <c r="I796" s="160"/>
      <c r="J796" s="160"/>
      <c r="K796" s="160"/>
      <c r="L796" s="160"/>
      <c r="M796" s="160">
        <f>IF($M$677&gt;0,IPMT('Assumptions (Wind)'!$V$10,Model!W$1,'Assumptions (Wind)'!$V$13,'Assumptions (Wind)'!$V$8*Model!$M$677*AVERAGE('Assumptions (Wind)'!$J$2:$K$2)/10^9),0)</f>
        <v>0</v>
      </c>
      <c r="N796" s="160">
        <f>IF($M$677&gt;0,IPMT('Assumptions (Wind)'!$V$10,Model!X$1,'Assumptions (Wind)'!$V$13,'Assumptions (Wind)'!$V$8*Model!$M$677*AVERAGE('Assumptions (Wind)'!$J$2:$K$2)/10^9),0)</f>
        <v>0</v>
      </c>
      <c r="O796" s="160">
        <f>IF($M$677&gt;0,IPMT('Assumptions (Wind)'!$V$10,Model!Y$1,'Assumptions (Wind)'!$V$13,'Assumptions (Wind)'!$V$8*Model!$M$677*AVERAGE('Assumptions (Wind)'!$J$2:$K$2)/10^9),0)</f>
        <v>0</v>
      </c>
      <c r="P796" s="160">
        <f>IF($M$677&gt;0,IPMT('Assumptions (Wind)'!$V$10,Model!Z$1,'Assumptions (Wind)'!$V$13,'Assumptions (Wind)'!$V$8*Model!$M$677*AVERAGE('Assumptions (Wind)'!$J$2:$K$2)/10^9),0)</f>
        <v>0</v>
      </c>
      <c r="Q796" s="160">
        <f>IF($M$677&gt;0,IPMT('Assumptions (Wind)'!$V$10,Model!AA$1,'Assumptions (Wind)'!$V$13,'Assumptions (Wind)'!$V$8*Model!$M$677*AVERAGE('Assumptions (Wind)'!$J$2:$K$2)/10^9),0)</f>
        <v>0</v>
      </c>
      <c r="R796" s="160">
        <f>IF($M$677&gt;0,IPMT('Assumptions (Wind)'!$V$10,Model!AB$1,'Assumptions (Wind)'!$V$13,'Assumptions (Wind)'!$V$8*Model!$M$677*AVERAGE('Assumptions (Wind)'!$J$2:$K$2)/10^9),0)</f>
        <v>0</v>
      </c>
      <c r="S796" s="160">
        <f>IF($M$677&gt;0,IPMT('Assumptions (Wind)'!$V$10,Model!AC$1,'Assumptions (Wind)'!$V$13,'Assumptions (Wind)'!$V$8*Model!$M$677*AVERAGE('Assumptions (Wind)'!$J$2:$K$2)/10^9),0)</f>
        <v>0</v>
      </c>
      <c r="T796" s="160">
        <f>IF($M$677&gt;0,IPMT('Assumptions (Wind)'!$V$10,Model!AD$1,'Assumptions (Wind)'!$V$13,'Assumptions (Wind)'!$V$8*Model!$M$677*AVERAGE('Assumptions (Wind)'!$J$2:$K$2)/10^9),0)</f>
        <v>0</v>
      </c>
      <c r="U796" s="160">
        <f>IF($M$677&gt;0,IPMT('Assumptions (Wind)'!$V$10,Model!AE$1,'Assumptions (Wind)'!$V$13,'Assumptions (Wind)'!$V$8*Model!$M$677*AVERAGE('Assumptions (Wind)'!$J$2:$K$2)/10^9),0)</f>
        <v>0</v>
      </c>
      <c r="V796" s="160">
        <f>IF($M$677&gt;0,IPMT('Assumptions (Wind)'!$V$10,Model!AF$1,'Assumptions (Wind)'!$V$13,'Assumptions (Wind)'!$V$8*Model!$M$677*AVERAGE('Assumptions (Wind)'!$J$2:$K$2)/10^9),0)</f>
        <v>0</v>
      </c>
      <c r="W796" s="160"/>
      <c r="X796" s="160"/>
      <c r="Y796" s="160"/>
      <c r="Z796" s="160"/>
      <c r="AA796" s="160"/>
      <c r="AB796" s="160"/>
      <c r="AC796" s="160"/>
      <c r="AD796" s="160"/>
      <c r="AE796" s="160"/>
      <c r="AF796" s="160"/>
      <c r="AG796" s="160"/>
      <c r="AH796" s="160"/>
      <c r="AI796" s="160"/>
      <c r="AJ796" s="160"/>
      <c r="AK796" s="160"/>
      <c r="AU796" s="160"/>
      <c r="AV796" s="160"/>
      <c r="AW796" s="160"/>
      <c r="AX796" s="160"/>
      <c r="AY796" s="160"/>
      <c r="AZ796" s="160"/>
      <c r="BA796" s="160"/>
    </row>
    <row r="797" ht="15.75" hidden="1" customHeight="1" outlineLevel="1">
      <c r="A797" s="241"/>
      <c r="B797" s="38"/>
      <c r="C797" s="160"/>
      <c r="D797" s="160"/>
      <c r="E797" s="160"/>
      <c r="F797" s="160"/>
      <c r="G797" s="160"/>
      <c r="H797" s="160"/>
      <c r="I797" s="160"/>
      <c r="J797" s="160"/>
      <c r="K797" s="160"/>
      <c r="L797" s="160"/>
      <c r="M797" s="160"/>
      <c r="N797" s="177">
        <f>IF($N$677&gt;0,IPMT('Assumptions (Wind)'!$V$10,Model!W$1,'Assumptions (Wind)'!$V$13,'Assumptions (Wind)'!$V$8*Model!$N$677*AVERAGE('Assumptions (Wind)'!$K$2:$L$2)/10^9),0)</f>
        <v>0</v>
      </c>
      <c r="O797" s="177">
        <f>IF($N$677&gt;0,IPMT('Assumptions (Wind)'!$V$10,Model!X$1,'Assumptions (Wind)'!$V$13,'Assumptions (Wind)'!$V$8*Model!$N$677*AVERAGE('Assumptions (Wind)'!$K$2:$L$2)/10^9),0)</f>
        <v>0</v>
      </c>
      <c r="P797" s="177">
        <f>IF($N$677&gt;0,IPMT('Assumptions (Wind)'!$V$10,Model!Y$1,'Assumptions (Wind)'!$V$13,'Assumptions (Wind)'!$V$8*Model!$N$677*AVERAGE('Assumptions (Wind)'!$K$2:$L$2)/10^9),0)</f>
        <v>0</v>
      </c>
      <c r="Q797" s="177">
        <f>IF($N$677&gt;0,IPMT('Assumptions (Wind)'!$V$10,Model!Z$1,'Assumptions (Wind)'!$V$13,'Assumptions (Wind)'!$V$8*Model!$N$677*AVERAGE('Assumptions (Wind)'!$K$2:$L$2)/10^9),0)</f>
        <v>0</v>
      </c>
      <c r="R797" s="177">
        <f>IF($N$677&gt;0,IPMT('Assumptions (Wind)'!$V$10,Model!AA$1,'Assumptions (Wind)'!$V$13,'Assumptions (Wind)'!$V$8*Model!$N$677*AVERAGE('Assumptions (Wind)'!$K$2:$L$2)/10^9),0)</f>
        <v>0</v>
      </c>
      <c r="S797" s="177">
        <f>IF($N$677&gt;0,IPMT('Assumptions (Wind)'!$V$10,Model!AB$1,'Assumptions (Wind)'!$V$13,'Assumptions (Wind)'!$V$8*Model!$N$677*AVERAGE('Assumptions (Wind)'!$K$2:$L$2)/10^9),0)</f>
        <v>0</v>
      </c>
      <c r="T797" s="177">
        <f>IF($N$677&gt;0,IPMT('Assumptions (Wind)'!$V$10,Model!AC$1,'Assumptions (Wind)'!$V$13,'Assumptions (Wind)'!$V$8*Model!$N$677*AVERAGE('Assumptions (Wind)'!$K$2:$L$2)/10^9),0)</f>
        <v>0</v>
      </c>
      <c r="U797" s="177">
        <f>IF($N$677&gt;0,IPMT('Assumptions (Wind)'!$V$10,Model!AD$1,'Assumptions (Wind)'!$V$13,'Assumptions (Wind)'!$V$8*Model!$N$677*AVERAGE('Assumptions (Wind)'!$K$2:$L$2)/10^9),0)</f>
        <v>0</v>
      </c>
      <c r="V797" s="177">
        <f>IF($N$677&gt;0,IPMT('Assumptions (Wind)'!$V$10,Model!AE$1,'Assumptions (Wind)'!$V$13,'Assumptions (Wind)'!$V$8*Model!$N$677*AVERAGE('Assumptions (Wind)'!$K$2:$L$2)/10^9),0)</f>
        <v>0</v>
      </c>
      <c r="W797" s="177">
        <f>IF($N$677&gt;0,IPMT('Assumptions (Wind)'!$V$10,Model!AF$1,'Assumptions (Wind)'!$V$13,'Assumptions (Wind)'!$V$8*Model!$N$677*AVERAGE('Assumptions (Wind)'!$K$2:$L$2)/10^9),0)</f>
        <v>0</v>
      </c>
      <c r="X797" s="177"/>
      <c r="Y797" s="177"/>
      <c r="Z797" s="177"/>
      <c r="AA797" s="177"/>
      <c r="AB797" s="177"/>
      <c r="AC797" s="177"/>
      <c r="AD797" s="177"/>
      <c r="AE797" s="177"/>
      <c r="AF797" s="177"/>
      <c r="AG797" s="177"/>
      <c r="AH797" s="177"/>
      <c r="AI797" s="177"/>
      <c r="AJ797" s="177"/>
      <c r="AK797" s="177"/>
      <c r="AL797" s="177"/>
      <c r="AU797" s="160"/>
      <c r="AV797" s="160"/>
      <c r="AW797" s="160"/>
      <c r="AX797" s="160"/>
      <c r="AY797" s="160"/>
      <c r="AZ797" s="160"/>
      <c r="BA797" s="160"/>
    </row>
    <row r="798" ht="15.75" hidden="1" customHeight="1" outlineLevel="1">
      <c r="A798" s="241"/>
      <c r="B798" s="38"/>
      <c r="C798" s="160"/>
      <c r="D798" s="160"/>
      <c r="E798" s="160"/>
      <c r="F798" s="160"/>
      <c r="G798" s="160"/>
      <c r="H798" s="160"/>
      <c r="I798" s="160"/>
      <c r="J798" s="160"/>
      <c r="K798" s="160"/>
      <c r="L798" s="160"/>
      <c r="M798" s="160"/>
      <c r="N798" s="160"/>
      <c r="O798" s="160">
        <f>IF($O$677&gt;0,IPMT('Assumptions (Wind)'!$V$10,Model!W$1,'Assumptions (Wind)'!$V$13,'Assumptions (Wind)'!$V$8*Model!$O$677*AVERAGE('Assumptions (Wind)'!$L$2:$M$2)/10^9),0)</f>
        <v>0</v>
      </c>
      <c r="P798" s="160">
        <f>IF($O$677&gt;0,IPMT('Assumptions (Wind)'!$V$10,Model!X$1,'Assumptions (Wind)'!$V$13,'Assumptions (Wind)'!$V$8*Model!$O$677*AVERAGE('Assumptions (Wind)'!$L$2:$M$2)/10^9),0)</f>
        <v>0</v>
      </c>
      <c r="Q798" s="160">
        <f>IF($O$677&gt;0,IPMT('Assumptions (Wind)'!$V$10,Model!Y$1,'Assumptions (Wind)'!$V$13,'Assumptions (Wind)'!$V$8*Model!$O$677*AVERAGE('Assumptions (Wind)'!$L$2:$M$2)/10^9),0)</f>
        <v>0</v>
      </c>
      <c r="R798" s="160">
        <f>IF($O$677&gt;0,IPMT('Assumptions (Wind)'!$V$10,Model!Z$1,'Assumptions (Wind)'!$V$13,'Assumptions (Wind)'!$V$8*Model!$O$677*AVERAGE('Assumptions (Wind)'!$L$2:$M$2)/10^9),0)</f>
        <v>0</v>
      </c>
      <c r="S798" s="160">
        <f>IF($O$677&gt;0,IPMT('Assumptions (Wind)'!$V$10,Model!AA$1,'Assumptions (Wind)'!$V$13,'Assumptions (Wind)'!$V$8*Model!$O$677*AVERAGE('Assumptions (Wind)'!$L$2:$M$2)/10^9),0)</f>
        <v>0</v>
      </c>
      <c r="T798" s="160">
        <f>IF($O$677&gt;0,IPMT('Assumptions (Wind)'!$V$10,Model!AB$1,'Assumptions (Wind)'!$V$13,'Assumptions (Wind)'!$V$8*Model!$O$677*AVERAGE('Assumptions (Wind)'!$L$2:$M$2)/10^9),0)</f>
        <v>0</v>
      </c>
      <c r="U798" s="160">
        <f>IF($O$677&gt;0,IPMT('Assumptions (Wind)'!$V$10,Model!AC$1,'Assumptions (Wind)'!$V$13,'Assumptions (Wind)'!$V$8*Model!$O$677*AVERAGE('Assumptions (Wind)'!$L$2:$M$2)/10^9),0)</f>
        <v>0</v>
      </c>
      <c r="V798" s="160">
        <f>IF($O$677&gt;0,IPMT('Assumptions (Wind)'!$V$10,Model!AD$1,'Assumptions (Wind)'!$V$13,'Assumptions (Wind)'!$V$8*Model!$O$677*AVERAGE('Assumptions (Wind)'!$L$2:$M$2)/10^9),0)</f>
        <v>0</v>
      </c>
      <c r="W798" s="160">
        <f>IF($O$677&gt;0,IPMT('Assumptions (Wind)'!$V$10,Model!AE$1,'Assumptions (Wind)'!$V$13,'Assumptions (Wind)'!$V$8*Model!$O$677*AVERAGE('Assumptions (Wind)'!$L$2:$M$2)/10^9),0)</f>
        <v>0</v>
      </c>
      <c r="X798" s="160">
        <f>IF($O$677&gt;0,IPMT('Assumptions (Wind)'!$V$10,Model!AF$1,'Assumptions (Wind)'!$V$13,'Assumptions (Wind)'!$V$8*Model!$O$677*AVERAGE('Assumptions (Wind)'!$L$2:$M$2)/10^9),0)</f>
        <v>0</v>
      </c>
      <c r="Y798" s="160"/>
      <c r="Z798" s="160"/>
      <c r="AA798" s="160"/>
      <c r="AB798" s="160"/>
      <c r="AC798" s="160"/>
      <c r="AD798" s="160"/>
      <c r="AE798" s="160"/>
      <c r="AF798" s="160"/>
      <c r="AG798" s="160"/>
      <c r="AH798" s="160"/>
      <c r="AI798" s="160"/>
      <c r="AJ798" s="160"/>
      <c r="AK798" s="160"/>
      <c r="AL798" s="160"/>
      <c r="AM798" s="160"/>
      <c r="AU798" s="160"/>
      <c r="AV798" s="160"/>
      <c r="AW798" s="160"/>
      <c r="AX798" s="160"/>
      <c r="AY798" s="160"/>
      <c r="AZ798" s="160"/>
      <c r="BA798" s="160"/>
    </row>
    <row r="799" ht="15.75" hidden="1" customHeight="1" outlineLevel="1">
      <c r="A799" s="241"/>
      <c r="B799" s="38"/>
      <c r="C799" s="160"/>
      <c r="D799" s="160"/>
      <c r="E799" s="160"/>
      <c r="F799" s="160"/>
      <c r="G799" s="160"/>
      <c r="H799" s="160"/>
      <c r="I799" s="160"/>
      <c r="J799" s="160"/>
      <c r="K799" s="160"/>
      <c r="L799" s="160"/>
      <c r="M799" s="160"/>
      <c r="N799" s="160"/>
      <c r="O799" s="160"/>
      <c r="P799" s="177">
        <f>IF($P$677&gt;0,IPMT('Assumptions (Wind)'!$V$10,Model!W$1,'Assumptions (Wind)'!$V$13,'Assumptions (Wind)'!$V$8*Model!$P$677*AVERAGE('Assumptions (Wind)'!$M$2:$N$2)/10^9),0)</f>
        <v>0</v>
      </c>
      <c r="Q799" s="177">
        <f>IF($P$677&gt;0,IPMT('Assumptions (Wind)'!$V$10,Model!X$1,'Assumptions (Wind)'!$V$13,'Assumptions (Wind)'!$V$8*Model!$P$677*AVERAGE('Assumptions (Wind)'!$M$2:$N$2)/10^9),0)</f>
        <v>0</v>
      </c>
      <c r="R799" s="177">
        <f>IF($P$677&gt;0,IPMT('Assumptions (Wind)'!$V$10,Model!Y$1,'Assumptions (Wind)'!$V$13,'Assumptions (Wind)'!$V$8*Model!$P$677*AVERAGE('Assumptions (Wind)'!$M$2:$N$2)/10^9),0)</f>
        <v>0</v>
      </c>
      <c r="S799" s="177">
        <f>IF($P$677&gt;0,IPMT('Assumptions (Wind)'!$V$10,Model!Z$1,'Assumptions (Wind)'!$V$13,'Assumptions (Wind)'!$V$8*Model!$P$677*AVERAGE('Assumptions (Wind)'!$M$2:$N$2)/10^9),0)</f>
        <v>0</v>
      </c>
      <c r="T799" s="177">
        <f>IF($P$677&gt;0,IPMT('Assumptions (Wind)'!$V$10,Model!AA$1,'Assumptions (Wind)'!$V$13,'Assumptions (Wind)'!$V$8*Model!$P$677*AVERAGE('Assumptions (Wind)'!$M$2:$N$2)/10^9),0)</f>
        <v>0</v>
      </c>
      <c r="U799" s="177">
        <f>IF($P$677&gt;0,IPMT('Assumptions (Wind)'!$V$10,Model!AB$1,'Assumptions (Wind)'!$V$13,'Assumptions (Wind)'!$V$8*Model!$P$677*AVERAGE('Assumptions (Wind)'!$M$2:$N$2)/10^9),0)</f>
        <v>0</v>
      </c>
      <c r="V799" s="177">
        <f>IF($P$677&gt;0,IPMT('Assumptions (Wind)'!$V$10,Model!AC$1,'Assumptions (Wind)'!$V$13,'Assumptions (Wind)'!$V$8*Model!$P$677*AVERAGE('Assumptions (Wind)'!$M$2:$N$2)/10^9),0)</f>
        <v>0</v>
      </c>
      <c r="W799" s="177">
        <f>IF($P$677&gt;0,IPMT('Assumptions (Wind)'!$V$10,Model!AD$1,'Assumptions (Wind)'!$V$13,'Assumptions (Wind)'!$V$8*Model!$P$677*AVERAGE('Assumptions (Wind)'!$M$2:$N$2)/10^9),0)</f>
        <v>0</v>
      </c>
      <c r="X799" s="177">
        <f>IF($P$677&gt;0,IPMT('Assumptions (Wind)'!$V$10,Model!AE$1,'Assumptions (Wind)'!$V$13,'Assumptions (Wind)'!$V$8*Model!$P$677*AVERAGE('Assumptions (Wind)'!$M$2:$N$2)/10^9),0)</f>
        <v>0</v>
      </c>
      <c r="Y799" s="177">
        <f>IF($P$677&gt;0,IPMT('Assumptions (Wind)'!$V$10,Model!AF$1,'Assumptions (Wind)'!$V$13,'Assumptions (Wind)'!$V$8*Model!$P$677*AVERAGE('Assumptions (Wind)'!$M$2:$N$2)/10^9),0)</f>
        <v>0</v>
      </c>
      <c r="Z799" s="177"/>
      <c r="AA799" s="177"/>
      <c r="AB799" s="177"/>
      <c r="AC799" s="177"/>
      <c r="AD799" s="177"/>
      <c r="AE799" s="177"/>
      <c r="AF799" s="177"/>
      <c r="AG799" s="177"/>
      <c r="AH799" s="177"/>
      <c r="AI799" s="177"/>
      <c r="AJ799" s="177"/>
      <c r="AK799" s="177"/>
      <c r="AL799" s="177"/>
      <c r="AM799" s="177"/>
      <c r="AN799" s="177"/>
      <c r="AU799" s="160"/>
      <c r="AV799" s="160"/>
      <c r="AW799" s="160"/>
      <c r="AX799" s="160"/>
      <c r="AY799" s="160"/>
      <c r="AZ799" s="160"/>
      <c r="BA799" s="160"/>
    </row>
    <row r="800" ht="15.75" hidden="1" customHeight="1" outlineLevel="1">
      <c r="A800" s="241"/>
      <c r="B800" s="38"/>
      <c r="C800" s="160"/>
      <c r="D800" s="160"/>
      <c r="E800" s="160"/>
      <c r="F800" s="160"/>
      <c r="G800" s="160"/>
      <c r="H800" s="160"/>
      <c r="I800" s="160"/>
      <c r="J800" s="160"/>
      <c r="K800" s="160"/>
      <c r="L800" s="160"/>
      <c r="M800" s="160"/>
      <c r="N800" s="160"/>
      <c r="O800" s="160"/>
      <c r="P800" s="179"/>
      <c r="Q800" s="160">
        <f>IF($Q$677&gt;0,IPMT('Assumptions (Wind)'!$V$10,Model!W$1,'Assumptions (Wind)'!$V$13,'Assumptions (Wind)'!$V$8*Model!$Q$677*AVERAGE('Assumptions (Wind)'!$N$2:$O$2)/10^9),0)</f>
        <v>0</v>
      </c>
      <c r="R800" s="160">
        <f>IF($Q$677&gt;0,IPMT('Assumptions (Wind)'!$V$10,Model!X$1,'Assumptions (Wind)'!$V$13,'Assumptions (Wind)'!$V$8*Model!$Q$677*AVERAGE('Assumptions (Wind)'!$N$2:$O$2)/10^9),0)</f>
        <v>0</v>
      </c>
      <c r="S800" s="160">
        <f>IF($Q$677&gt;0,IPMT('Assumptions (Wind)'!$V$10,Model!Y$1,'Assumptions (Wind)'!$V$13,'Assumptions (Wind)'!$V$8*Model!$Q$677*AVERAGE('Assumptions (Wind)'!$N$2:$O$2)/10^9),0)</f>
        <v>0</v>
      </c>
      <c r="T800" s="160">
        <f>IF($Q$677&gt;0,IPMT('Assumptions (Wind)'!$V$10,Model!Z$1,'Assumptions (Wind)'!$V$13,'Assumptions (Wind)'!$V$8*Model!$Q$677*AVERAGE('Assumptions (Wind)'!$N$2:$O$2)/10^9),0)</f>
        <v>0</v>
      </c>
      <c r="U800" s="160">
        <f>IF($Q$677&gt;0,IPMT('Assumptions (Wind)'!$V$10,Model!AA$1,'Assumptions (Wind)'!$V$13,'Assumptions (Wind)'!$V$8*Model!$Q$677*AVERAGE('Assumptions (Wind)'!$N$2:$O$2)/10^9),0)</f>
        <v>0</v>
      </c>
      <c r="V800" s="160">
        <f>IF($Q$677&gt;0,IPMT('Assumptions (Wind)'!$V$10,Model!AB$1,'Assumptions (Wind)'!$V$13,'Assumptions (Wind)'!$V$8*Model!$Q$677*AVERAGE('Assumptions (Wind)'!$N$2:$O$2)/10^9),0)</f>
        <v>0</v>
      </c>
      <c r="W800" s="160">
        <f>IF($Q$677&gt;0,IPMT('Assumptions (Wind)'!$V$10,Model!AC$1,'Assumptions (Wind)'!$V$13,'Assumptions (Wind)'!$V$8*Model!$Q$677*AVERAGE('Assumptions (Wind)'!$N$2:$O$2)/10^9),0)</f>
        <v>0</v>
      </c>
      <c r="X800" s="160">
        <f>IF($Q$677&gt;0,IPMT('Assumptions (Wind)'!$V$10,Model!AD$1,'Assumptions (Wind)'!$V$13,'Assumptions (Wind)'!$V$8*Model!$Q$677*AVERAGE('Assumptions (Wind)'!$N$2:$O$2)/10^9),0)</f>
        <v>0</v>
      </c>
      <c r="Y800" s="160">
        <f>IF($Q$677&gt;0,IPMT('Assumptions (Wind)'!$V$10,Model!AE$1,'Assumptions (Wind)'!$V$13,'Assumptions (Wind)'!$V$8*Model!$Q$677*AVERAGE('Assumptions (Wind)'!$N$2:$O$2)/10^9),0)</f>
        <v>0</v>
      </c>
      <c r="Z800" s="160">
        <f>IF($Q$677&gt;0,IPMT('Assumptions (Wind)'!$V$10,Model!AF$1,'Assumptions (Wind)'!$V$13,'Assumptions (Wind)'!$V$8*Model!$Q$677*AVERAGE('Assumptions (Wind)'!$N$2:$O$2)/10^9),0)</f>
        <v>0</v>
      </c>
      <c r="AA800" s="160"/>
      <c r="AB800" s="160"/>
      <c r="AC800" s="160"/>
      <c r="AD800" s="160"/>
      <c r="AE800" s="160"/>
      <c r="AF800" s="160"/>
      <c r="AG800" s="160"/>
      <c r="AH800" s="160"/>
      <c r="AI800" s="160"/>
      <c r="AJ800" s="160"/>
      <c r="AK800" s="160"/>
      <c r="AL800" s="160"/>
      <c r="AM800" s="160"/>
      <c r="AN800" s="160"/>
      <c r="AO800" s="160"/>
      <c r="AU800" s="160"/>
      <c r="AV800" s="160"/>
      <c r="AW800" s="160"/>
      <c r="AX800" s="160"/>
      <c r="AY800" s="160"/>
      <c r="AZ800" s="160"/>
      <c r="BA800" s="160"/>
    </row>
    <row r="801" ht="15.75" hidden="1" customHeight="1" outlineLevel="1">
      <c r="A801" s="241"/>
      <c r="B801" s="38"/>
      <c r="C801" s="160"/>
      <c r="D801" s="160"/>
      <c r="E801" s="160"/>
      <c r="F801" s="160"/>
      <c r="G801" s="160"/>
      <c r="H801" s="160"/>
      <c r="I801" s="160"/>
      <c r="J801" s="160"/>
      <c r="K801" s="160"/>
      <c r="L801" s="160"/>
      <c r="M801" s="160"/>
      <c r="N801" s="160"/>
      <c r="O801" s="160"/>
      <c r="P801" s="179"/>
      <c r="Q801" s="160"/>
      <c r="R801" s="177">
        <f>IF($R$677&gt;0,IPMT('Assumptions (Wind)'!$V$10,Model!W$1,'Assumptions (Wind)'!$V$13,'Assumptions (Wind)'!$V$8*Model!$R$677*AVERAGE('Assumptions (Wind)'!$O$2:$P$2)/10^9),0)</f>
        <v>0</v>
      </c>
      <c r="S801" s="177">
        <f>IF($R$677&gt;0,IPMT('Assumptions (Wind)'!$V$10,Model!X$1,'Assumptions (Wind)'!$V$13,'Assumptions (Wind)'!$V$8*Model!$R$677*AVERAGE('Assumptions (Wind)'!$O$2:$P$2)/10^9),0)</f>
        <v>0</v>
      </c>
      <c r="T801" s="177">
        <f>IF($R$677&gt;0,IPMT('Assumptions (Wind)'!$V$10,Model!Y$1,'Assumptions (Wind)'!$V$13,'Assumptions (Wind)'!$V$8*Model!$R$677*AVERAGE('Assumptions (Wind)'!$O$2:$P$2)/10^9),0)</f>
        <v>0</v>
      </c>
      <c r="U801" s="177">
        <f>IF($R$677&gt;0,IPMT('Assumptions (Wind)'!$V$10,Model!Z$1,'Assumptions (Wind)'!$V$13,'Assumptions (Wind)'!$V$8*Model!$R$677*AVERAGE('Assumptions (Wind)'!$O$2:$P$2)/10^9),0)</f>
        <v>0</v>
      </c>
      <c r="V801" s="177">
        <f>IF($R$677&gt;0,IPMT('Assumptions (Wind)'!$V$10,Model!AA$1,'Assumptions (Wind)'!$V$13,'Assumptions (Wind)'!$V$8*Model!$R$677*AVERAGE('Assumptions (Wind)'!$O$2:$P$2)/10^9),0)</f>
        <v>0</v>
      </c>
      <c r="W801" s="177">
        <f>IF($R$677&gt;0,IPMT('Assumptions (Wind)'!$V$10,Model!AB$1,'Assumptions (Wind)'!$V$13,'Assumptions (Wind)'!$V$8*Model!$R$677*AVERAGE('Assumptions (Wind)'!$O$2:$P$2)/10^9),0)</f>
        <v>0</v>
      </c>
      <c r="X801" s="177">
        <f>IF($R$677&gt;0,IPMT('Assumptions (Wind)'!$V$10,Model!AC$1,'Assumptions (Wind)'!$V$13,'Assumptions (Wind)'!$V$8*Model!$R$677*AVERAGE('Assumptions (Wind)'!$O$2:$P$2)/10^9),0)</f>
        <v>0</v>
      </c>
      <c r="Y801" s="177">
        <f>IF($R$677&gt;0,IPMT('Assumptions (Wind)'!$V$10,Model!AD$1,'Assumptions (Wind)'!$V$13,'Assumptions (Wind)'!$V$8*Model!$R$677*AVERAGE('Assumptions (Wind)'!$O$2:$P$2)/10^9),0)</f>
        <v>0</v>
      </c>
      <c r="Z801" s="177">
        <f>IF($R$677&gt;0,IPMT('Assumptions (Wind)'!$V$10,Model!AE$1,'Assumptions (Wind)'!$V$13,'Assumptions (Wind)'!$V$8*Model!$R$677*AVERAGE('Assumptions (Wind)'!$O$2:$P$2)/10^9),0)</f>
        <v>0</v>
      </c>
      <c r="AA801" s="177">
        <f>IF($R$677&gt;0,IPMT('Assumptions (Wind)'!$V$10,Model!AF$1,'Assumptions (Wind)'!$V$13,'Assumptions (Wind)'!$V$8*Model!$R$677*AVERAGE('Assumptions (Wind)'!$O$2:$P$2)/10^9),0)</f>
        <v>0</v>
      </c>
      <c r="AB801" s="177"/>
      <c r="AC801" s="177"/>
      <c r="AD801" s="177"/>
      <c r="AE801" s="177"/>
      <c r="AF801" s="177"/>
      <c r="AG801" s="177"/>
      <c r="AH801" s="177"/>
      <c r="AI801" s="177"/>
      <c r="AJ801" s="177"/>
      <c r="AK801" s="177"/>
      <c r="AL801" s="177"/>
      <c r="AM801" s="177"/>
      <c r="AN801" s="177"/>
      <c r="AO801" s="177"/>
      <c r="AP801" s="177"/>
      <c r="AU801" s="160"/>
      <c r="AV801" s="160"/>
      <c r="AW801" s="160"/>
      <c r="AX801" s="160"/>
      <c r="AY801" s="160"/>
      <c r="AZ801" s="160"/>
      <c r="BA801" s="160"/>
    </row>
    <row r="802" ht="15.75" hidden="1" customHeight="1" outlineLevel="1">
      <c r="A802" s="241"/>
      <c r="B802" s="38"/>
      <c r="C802" s="160"/>
      <c r="D802" s="160"/>
      <c r="E802" s="160"/>
      <c r="F802" s="160"/>
      <c r="G802" s="160"/>
      <c r="H802" s="160"/>
      <c r="I802" s="160"/>
      <c r="J802" s="160"/>
      <c r="K802" s="160"/>
      <c r="L802" s="160"/>
      <c r="M802" s="160"/>
      <c r="N802" s="160"/>
      <c r="O802" s="160"/>
      <c r="P802" s="179"/>
      <c r="Q802" s="160"/>
      <c r="R802" s="177"/>
      <c r="S802" s="160">
        <f>IF($S$677&gt;0,IPMT('Assumptions (Wind)'!$V$10,Model!W$1,'Assumptions (Wind)'!$V$13,'Assumptions (Wind)'!$V$8*Model!$S$677*AVERAGE('Assumptions (Wind)'!$P$2:$Q$2)/10^9),0)</f>
        <v>-0.01663090939</v>
      </c>
      <c r="T802" s="160">
        <f>IF($S$677&gt;0,IPMT('Assumptions (Wind)'!$V$10,Model!X$1,'Assumptions (Wind)'!$V$13,'Assumptions (Wind)'!$V$8*Model!$S$677*AVERAGE('Assumptions (Wind)'!$P$2:$Q$2)/10^9),0)</f>
        <v>-0.01548288622</v>
      </c>
      <c r="U802" s="160">
        <f>IF($S$677&gt;0,IPMT('Assumptions (Wind)'!$V$10,Model!Y$1,'Assumptions (Wind)'!$V$13,'Assumptions (Wind)'!$V$8*Model!$S$677*AVERAGE('Assumptions (Wind)'!$P$2:$Q$2)/10^9),0)</f>
        <v>-0.0142430212</v>
      </c>
      <c r="V802" s="160">
        <f>IF($S$677&gt;0,IPMT('Assumptions (Wind)'!$V$10,Model!Z$1,'Assumptions (Wind)'!$V$13,'Assumptions (Wind)'!$V$8*Model!$S$677*AVERAGE('Assumptions (Wind)'!$P$2:$Q$2)/10^9),0)</f>
        <v>-0.01290396697</v>
      </c>
      <c r="W802" s="160">
        <f>IF($S$677&gt;0,IPMT('Assumptions (Wind)'!$V$10,Model!AA$1,'Assumptions (Wind)'!$V$13,'Assumptions (Wind)'!$V$8*Model!$S$677*AVERAGE('Assumptions (Wind)'!$P$2:$Q$2)/10^9),0)</f>
        <v>-0.0114577884</v>
      </c>
      <c r="X802" s="160">
        <f>IF($S$677&gt;0,IPMT('Assumptions (Wind)'!$V$10,Model!AB$1,'Assumptions (Wind)'!$V$13,'Assumptions (Wind)'!$V$8*Model!$S$677*AVERAGE('Assumptions (Wind)'!$P$2:$Q$2)/10^9),0)</f>
        <v>-0.009895915551</v>
      </c>
      <c r="Y802" s="160">
        <f>IF($S$677&gt;0,IPMT('Assumptions (Wind)'!$V$10,Model!AC$1,'Assumptions (Wind)'!$V$13,'Assumptions (Wind)'!$V$8*Model!$S$677*AVERAGE('Assumptions (Wind)'!$P$2:$Q$2)/10^9),0)</f>
        <v>-0.008209092871</v>
      </c>
      <c r="Z802" s="160">
        <f>IF($S$677&gt;0,IPMT('Assumptions (Wind)'!$V$10,Model!AD$1,'Assumptions (Wind)'!$V$13,'Assumptions (Wind)'!$V$8*Model!$S$677*AVERAGE('Assumptions (Wind)'!$P$2:$Q$2)/10^9),0)</f>
        <v>-0.006387324377</v>
      </c>
      <c r="AA802" s="160">
        <f>IF($S$677&gt;0,IPMT('Assumptions (Wind)'!$V$10,Model!AE$1,'Assumptions (Wind)'!$V$13,'Assumptions (Wind)'!$V$8*Model!$S$677*AVERAGE('Assumptions (Wind)'!$P$2:$Q$2)/10^9),0)</f>
        <v>-0.004419814404</v>
      </c>
      <c r="AB802" s="160">
        <f>IF($S$677&gt;0,IPMT('Assumptions (Wind)'!$V$10,Model!AF$1,'Assumptions (Wind)'!$V$13,'Assumptions (Wind)'!$V$8*Model!$S$677*AVERAGE('Assumptions (Wind)'!$P$2:$Q$2)/10^9),0)</f>
        <v>-0.002294903633</v>
      </c>
      <c r="AC802" s="160"/>
      <c r="AD802" s="160"/>
      <c r="AE802" s="160"/>
      <c r="AF802" s="160"/>
      <c r="AG802" s="160"/>
      <c r="AH802" s="160"/>
      <c r="AI802" s="160"/>
      <c r="AJ802" s="160"/>
      <c r="AK802" s="160"/>
      <c r="AL802" s="160"/>
      <c r="AM802" s="160"/>
      <c r="AN802" s="160"/>
      <c r="AO802" s="160"/>
      <c r="AP802" s="160"/>
      <c r="AQ802" s="160"/>
      <c r="AU802" s="160"/>
      <c r="AV802" s="160"/>
      <c r="AW802" s="160"/>
      <c r="AX802" s="160"/>
      <c r="AY802" s="160"/>
      <c r="AZ802" s="160"/>
      <c r="BA802" s="160"/>
    </row>
    <row r="803" ht="15.75" hidden="1" customHeight="1" outlineLevel="1">
      <c r="A803" s="241"/>
      <c r="B803" s="38"/>
      <c r="C803" s="160"/>
      <c r="D803" s="160"/>
      <c r="E803" s="160"/>
      <c r="F803" s="160"/>
      <c r="G803" s="160"/>
      <c r="H803" s="160"/>
      <c r="I803" s="160"/>
      <c r="J803" s="160"/>
      <c r="K803" s="160"/>
      <c r="L803" s="160"/>
      <c r="M803" s="160"/>
      <c r="N803" s="160"/>
      <c r="O803" s="160"/>
      <c r="P803" s="179"/>
      <c r="Q803" s="160"/>
      <c r="R803" s="177"/>
      <c r="S803" s="177"/>
      <c r="T803" s="160">
        <f>IF($T$677&gt;0,IPMT('Assumptions (Wind)'!$V$10,Model!W$1,'Assumptions (Wind)'!$V$13,'Assumptions (Wind)'!$V$8*Model!$T$677*AVERAGE('Assumptions (Wind)'!$Q$2:$R$2)/10^9),0)</f>
        <v>0</v>
      </c>
      <c r="U803" s="160">
        <f>IF($T$677&gt;0,IPMT('Assumptions (Wind)'!$V$10,Model!X$1,'Assumptions (Wind)'!$V$13,'Assumptions (Wind)'!$V$8*Model!$T$677*AVERAGE('Assumptions (Wind)'!$Q$2:$R$2)/10^9),0)</f>
        <v>0</v>
      </c>
      <c r="V803" s="160">
        <f>IF($T$677&gt;0,IPMT('Assumptions (Wind)'!$V$10,Model!Y$1,'Assumptions (Wind)'!$V$13,'Assumptions (Wind)'!$V$8*Model!$T$677*AVERAGE('Assumptions (Wind)'!$Q$2:$R$2)/10^9),0)</f>
        <v>0</v>
      </c>
      <c r="W803" s="160">
        <f>IF($T$677&gt;0,IPMT('Assumptions (Wind)'!$V$10,Model!Z$1,'Assumptions (Wind)'!$V$13,'Assumptions (Wind)'!$V$8*Model!$T$677*AVERAGE('Assumptions (Wind)'!$Q$2:$R$2)/10^9),0)</f>
        <v>0</v>
      </c>
      <c r="X803" s="160">
        <f>IF($T$677&gt;0,IPMT('Assumptions (Wind)'!$V$10,Model!AA$1,'Assumptions (Wind)'!$V$13,'Assumptions (Wind)'!$V$8*Model!$T$677*AVERAGE('Assumptions (Wind)'!$Q$2:$R$2)/10^9),0)</f>
        <v>0</v>
      </c>
      <c r="Y803" s="160">
        <f>IF($T$677&gt;0,IPMT('Assumptions (Wind)'!$V$10,Model!AB$1,'Assumptions (Wind)'!$V$13,'Assumptions (Wind)'!$V$8*Model!$T$677*AVERAGE('Assumptions (Wind)'!$Q$2:$R$2)/10^9),0)</f>
        <v>0</v>
      </c>
      <c r="Z803" s="160">
        <f>IF($T$677&gt;0,IPMT('Assumptions (Wind)'!$V$10,Model!AC$1,'Assumptions (Wind)'!$V$13,'Assumptions (Wind)'!$V$8*Model!$T$677*AVERAGE('Assumptions (Wind)'!$Q$2:$R$2)/10^9),0)</f>
        <v>0</v>
      </c>
      <c r="AA803" s="160">
        <f>IF($T$677&gt;0,IPMT('Assumptions (Wind)'!$V$10,Model!AD$1,'Assumptions (Wind)'!$V$13,'Assumptions (Wind)'!$V$8*Model!$T$677*AVERAGE('Assumptions (Wind)'!$Q$2:$R$2)/10^9),0)</f>
        <v>0</v>
      </c>
      <c r="AB803" s="160">
        <f>IF($T$677&gt;0,IPMT('Assumptions (Wind)'!$V$10,Model!AE$1,'Assumptions (Wind)'!$V$13,'Assumptions (Wind)'!$V$8*Model!$T$677*AVERAGE('Assumptions (Wind)'!$Q$2:$R$2)/10^9),0)</f>
        <v>0</v>
      </c>
      <c r="AC803" s="160">
        <f>IF($T$677&gt;0,IPMT('Assumptions (Wind)'!$V$10,Model!AF$1,'Assumptions (Wind)'!$V$13,'Assumptions (Wind)'!$V$8*Model!$T$677*AVERAGE('Assumptions (Wind)'!$Q$2:$R$2)/10^9),0)</f>
        <v>0</v>
      </c>
      <c r="AD803" s="160"/>
      <c r="AE803" s="160"/>
      <c r="AF803" s="160"/>
      <c r="AG803" s="160"/>
      <c r="AH803" s="160"/>
      <c r="AI803" s="160"/>
      <c r="AJ803" s="160"/>
      <c r="AK803" s="160"/>
      <c r="AL803" s="160"/>
      <c r="AM803" s="160"/>
      <c r="AN803" s="160"/>
      <c r="AO803" s="160"/>
      <c r="AP803" s="160"/>
      <c r="AQ803" s="160"/>
      <c r="AR803" s="160"/>
      <c r="AU803" s="160"/>
      <c r="AV803" s="160"/>
      <c r="AW803" s="160"/>
      <c r="AX803" s="160"/>
      <c r="AY803" s="160"/>
      <c r="AZ803" s="160"/>
      <c r="BA803" s="160"/>
    </row>
    <row r="804" ht="15.75" hidden="1" customHeight="1" outlineLevel="1">
      <c r="A804" s="241"/>
      <c r="B804" s="38"/>
      <c r="C804" s="160"/>
      <c r="D804" s="160"/>
      <c r="E804" s="160"/>
      <c r="F804" s="160"/>
      <c r="G804" s="160"/>
      <c r="H804" s="160"/>
      <c r="I804" s="160"/>
      <c r="J804" s="160"/>
      <c r="K804" s="160"/>
      <c r="L804" s="160"/>
      <c r="M804" s="160"/>
      <c r="N804" s="160"/>
      <c r="O804" s="160"/>
      <c r="P804" s="179"/>
      <c r="Q804" s="160"/>
      <c r="R804" s="177"/>
      <c r="S804" s="177"/>
      <c r="T804" s="177"/>
      <c r="U804" s="160">
        <f>IF($U$677&gt;0,IPMT('Assumptions (Wind)'!$V$10,Model!W$1,'Assumptions (Wind)'!$V$13,'Assumptions (Wind)'!$V$8*Model!$U$677*AVERAGE('Assumptions (Wind)'!$R$2:$S$2)/10^9),0)</f>
        <v>0</v>
      </c>
      <c r="V804" s="160">
        <f>IF($U$677&gt;0,IPMT('Assumptions (Wind)'!$V$10,Model!X$1,'Assumptions (Wind)'!$V$13,'Assumptions (Wind)'!$V$8*Model!$U$677*AVERAGE('Assumptions (Wind)'!$R$2:$S$2)/10^9),0)</f>
        <v>0</v>
      </c>
      <c r="W804" s="160">
        <f>IF($U$677&gt;0,IPMT('Assumptions (Wind)'!$V$10,Model!Y$1,'Assumptions (Wind)'!$V$13,'Assumptions (Wind)'!$V$8*Model!$U$677*AVERAGE('Assumptions (Wind)'!$R$2:$S$2)/10^9),0)</f>
        <v>0</v>
      </c>
      <c r="X804" s="160">
        <f>IF($U$677&gt;0,IPMT('Assumptions (Wind)'!$V$10,Model!Z$1,'Assumptions (Wind)'!$V$13,'Assumptions (Wind)'!$V$8*Model!$U$677*AVERAGE('Assumptions (Wind)'!$R$2:$S$2)/10^9),0)</f>
        <v>0</v>
      </c>
      <c r="Y804" s="160">
        <f>IF($U$677&gt;0,IPMT('Assumptions (Wind)'!$V$10,Model!AA$1,'Assumptions (Wind)'!$V$13,'Assumptions (Wind)'!$V$8*Model!$U$677*AVERAGE('Assumptions (Wind)'!$R$2:$S$2)/10^9),0)</f>
        <v>0</v>
      </c>
      <c r="Z804" s="160">
        <f>IF($U$677&gt;0,IPMT('Assumptions (Wind)'!$V$10,Model!AB$1,'Assumptions (Wind)'!$V$13,'Assumptions (Wind)'!$V$8*Model!$U$677*AVERAGE('Assumptions (Wind)'!$R$2:$S$2)/10^9),0)</f>
        <v>0</v>
      </c>
      <c r="AA804" s="160">
        <f>IF($U$677&gt;0,IPMT('Assumptions (Wind)'!$V$10,Model!AC$1,'Assumptions (Wind)'!$V$13,'Assumptions (Wind)'!$V$8*Model!$U$677*AVERAGE('Assumptions (Wind)'!$R$2:$S$2)/10^9),0)</f>
        <v>0</v>
      </c>
      <c r="AB804" s="160">
        <f>IF($U$677&gt;0,IPMT('Assumptions (Wind)'!$V$10,Model!AD$1,'Assumptions (Wind)'!$V$13,'Assumptions (Wind)'!$V$8*Model!$U$677*AVERAGE('Assumptions (Wind)'!$R$2:$S$2)/10^9),0)</f>
        <v>0</v>
      </c>
      <c r="AC804" s="160">
        <f>IF($U$677&gt;0,IPMT('Assumptions (Wind)'!$V$10,Model!AE$1,'Assumptions (Wind)'!$V$13,'Assumptions (Wind)'!$V$8*Model!$U$677*AVERAGE('Assumptions (Wind)'!$R$2:$S$2)/10^9),0)</f>
        <v>0</v>
      </c>
      <c r="AD804" s="160">
        <f>IF($U$677&gt;0,IPMT('Assumptions (Wind)'!$V$10,Model!AF$1,'Assumptions (Wind)'!$V$13,'Assumptions (Wind)'!$V$8*Model!$U$677*AVERAGE('Assumptions (Wind)'!$R$2:$S$2)/10^9),0)</f>
        <v>0</v>
      </c>
      <c r="AE804" s="160"/>
      <c r="AF804" s="160"/>
      <c r="AG804" s="160"/>
      <c r="AH804" s="160"/>
      <c r="AI804" s="160"/>
      <c r="AJ804" s="160"/>
      <c r="AK804" s="160"/>
      <c r="AL804" s="160"/>
      <c r="AM804" s="160"/>
      <c r="AN804" s="160"/>
      <c r="AO804" s="160"/>
      <c r="AP804" s="160"/>
      <c r="AQ804" s="160"/>
      <c r="AR804" s="160"/>
      <c r="AS804" s="160"/>
      <c r="AU804" s="160"/>
      <c r="AV804" s="160"/>
      <c r="AW804" s="160"/>
      <c r="AX804" s="160"/>
      <c r="AY804" s="160"/>
      <c r="AZ804" s="160"/>
      <c r="BA804" s="160"/>
    </row>
    <row r="805" ht="15.75" hidden="1" customHeight="1" outlineLevel="1">
      <c r="A805" s="241"/>
      <c r="B805" s="38"/>
      <c r="C805" s="160"/>
      <c r="D805" s="160"/>
      <c r="E805" s="160"/>
      <c r="F805" s="160"/>
      <c r="G805" s="160"/>
      <c r="H805" s="160"/>
      <c r="I805" s="160"/>
      <c r="J805" s="160"/>
      <c r="K805" s="160"/>
      <c r="L805" s="160"/>
      <c r="M805" s="160"/>
      <c r="N805" s="160"/>
      <c r="O805" s="160"/>
      <c r="P805" s="179"/>
      <c r="Q805" s="160"/>
      <c r="R805" s="177"/>
      <c r="S805" s="177"/>
      <c r="T805" s="177"/>
      <c r="U805" s="160"/>
      <c r="V805" s="160">
        <f>IF($V$677&gt;0,IPMT('Assumptions (Wind)'!$V$10,Model!W$1,'Assumptions (Wind)'!$V$13,'Assumptions (Wind)'!$V$8*Model!$V$677*AVERAGE('Assumptions (Wind)'!$S$2:$T$2)/10^9),0)</f>
        <v>0</v>
      </c>
      <c r="W805" s="160">
        <f>IF($V$677&gt;0,IPMT('Assumptions (Wind)'!$V$10,Model!X$1,'Assumptions (Wind)'!$V$13,'Assumptions (Wind)'!$V$8*Model!$V$677*AVERAGE('Assumptions (Wind)'!$S$2:$T$2)/10^9),0)</f>
        <v>0</v>
      </c>
      <c r="X805" s="160">
        <f>IF($V$677&gt;0,IPMT('Assumptions (Wind)'!$V$10,Model!Y$1,'Assumptions (Wind)'!$V$13,'Assumptions (Wind)'!$V$8*Model!$V$677*AVERAGE('Assumptions (Wind)'!$S$2:$T$2)/10^9),0)</f>
        <v>0</v>
      </c>
      <c r="Y805" s="160">
        <f>IF($V$677&gt;0,IPMT('Assumptions (Wind)'!$V$10,Model!Z$1,'Assumptions (Wind)'!$V$13,'Assumptions (Wind)'!$V$8*Model!$V$677*AVERAGE('Assumptions (Wind)'!$S$2:$T$2)/10^9),0)</f>
        <v>0</v>
      </c>
      <c r="Z805" s="160">
        <f>IF($V$677&gt;0,IPMT('Assumptions (Wind)'!$V$10,Model!AA$1,'Assumptions (Wind)'!$V$13,'Assumptions (Wind)'!$V$8*Model!$V$677*AVERAGE('Assumptions (Wind)'!$S$2:$T$2)/10^9),0)</f>
        <v>0</v>
      </c>
      <c r="AA805" s="160">
        <f>IF($V$677&gt;0,IPMT('Assumptions (Wind)'!$V$10,Model!AB$1,'Assumptions (Wind)'!$V$13,'Assumptions (Wind)'!$V$8*Model!$V$677*AVERAGE('Assumptions (Wind)'!$S$2:$T$2)/10^9),0)</f>
        <v>0</v>
      </c>
      <c r="AB805" s="160">
        <f>IF($V$677&gt;0,IPMT('Assumptions (Wind)'!$V$10,Model!AC$1,'Assumptions (Wind)'!$V$13,'Assumptions (Wind)'!$V$8*Model!$V$677*AVERAGE('Assumptions (Wind)'!$S$2:$T$2)/10^9),0)</f>
        <v>0</v>
      </c>
      <c r="AC805" s="160">
        <f>IF($V$677&gt;0,IPMT('Assumptions (Wind)'!$V$10,Model!AD$1,'Assumptions (Wind)'!$V$13,'Assumptions (Wind)'!$V$8*Model!$V$677*AVERAGE('Assumptions (Wind)'!$S$2:$T$2)/10^9),0)</f>
        <v>0</v>
      </c>
      <c r="AD805" s="160">
        <f>IF($V$677&gt;0,IPMT('Assumptions (Wind)'!$V$10,Model!AE$1,'Assumptions (Wind)'!$V$13,'Assumptions (Wind)'!$V$8*Model!$V$677*AVERAGE('Assumptions (Wind)'!$S$2:$T$2)/10^9),0)</f>
        <v>0</v>
      </c>
      <c r="AE805" s="160">
        <f>IF($V$677&gt;0,IPMT('Assumptions (Wind)'!$V$10,Model!AF$1,'Assumptions (Wind)'!$V$13,'Assumptions (Wind)'!$V$8*Model!$V$677*AVERAGE('Assumptions (Wind)'!$S$2:$T$2)/10^9),0)</f>
        <v>0</v>
      </c>
      <c r="AF805" s="160"/>
      <c r="AG805" s="160"/>
      <c r="AH805" s="160"/>
      <c r="AI805" s="160"/>
      <c r="AJ805" s="160"/>
      <c r="AK805" s="160"/>
      <c r="AL805" s="160"/>
      <c r="AM805" s="160"/>
      <c r="AN805" s="160"/>
      <c r="AO805" s="160"/>
      <c r="AP805" s="160"/>
      <c r="AQ805" s="160"/>
      <c r="AR805" s="160"/>
      <c r="AS805" s="160"/>
      <c r="AT805" s="160"/>
      <c r="AU805" s="160"/>
      <c r="AV805" s="160"/>
      <c r="AW805" s="160"/>
      <c r="AX805" s="160"/>
      <c r="AY805" s="160"/>
      <c r="AZ805" s="160"/>
      <c r="BA805" s="160"/>
    </row>
    <row r="806" ht="15.75" hidden="1" customHeight="1" outlineLevel="1">
      <c r="A806" s="241"/>
      <c r="B806" s="38"/>
      <c r="C806" s="174"/>
      <c r="D806" s="174"/>
      <c r="E806" s="174"/>
      <c r="F806" s="174"/>
      <c r="G806" s="174"/>
      <c r="H806" s="174"/>
      <c r="I806" s="174"/>
      <c r="J806" s="174"/>
      <c r="K806" s="174"/>
      <c r="L806" s="174"/>
      <c r="M806" s="174"/>
      <c r="N806" s="174"/>
      <c r="O806" s="174"/>
      <c r="P806" s="174"/>
      <c r="Q806" s="174"/>
      <c r="R806" s="174"/>
      <c r="S806" s="174"/>
      <c r="T806" s="174"/>
      <c r="U806" s="174"/>
      <c r="V806" s="174"/>
      <c r="W806" s="160">
        <f>IF($W$677&gt;0,IPMT('Assumptions (Wind)'!$V$10,Model!W1,'Assumptions (Wind)'!$V$13,'Assumptions (Wind)'!$V$8*Model!$W$677*'Assumptions (Wind)'!$V$2/10^9),0)</f>
        <v>0</v>
      </c>
      <c r="X806" s="160">
        <f>IF($W$677&gt;0,IPMT('Assumptions (Wind)'!$V$10,Model!X1,'Assumptions (Wind)'!$V$13,'Assumptions (Wind)'!$V$8*Model!$W$677*'Assumptions (Wind)'!$V$2/10^9),0)</f>
        <v>0</v>
      </c>
      <c r="Y806" s="160">
        <f>IF($W$677&gt;0,IPMT('Assumptions (Wind)'!$V$10,Model!Y1,'Assumptions (Wind)'!$V$13,'Assumptions (Wind)'!$V$8*Model!$W$677*'Assumptions (Wind)'!$V$2/10^9),0)</f>
        <v>0</v>
      </c>
      <c r="Z806" s="160">
        <f>IF($W$677&gt;0,IPMT('Assumptions (Wind)'!$V$10,Model!Z1,'Assumptions (Wind)'!$V$13,'Assumptions (Wind)'!$V$8*Model!$W$677*'Assumptions (Wind)'!$V$2/10^9),0)</f>
        <v>0</v>
      </c>
      <c r="AA806" s="160">
        <f>IF($W$677&gt;0,IPMT('Assumptions (Wind)'!$V$10,Model!AA1,'Assumptions (Wind)'!$V$13,'Assumptions (Wind)'!$V$8*Model!$W$677*'Assumptions (Wind)'!$V$2/10^9),0)</f>
        <v>0</v>
      </c>
      <c r="AB806" s="160">
        <f>IF($W$677&gt;0,IPMT('Assumptions (Wind)'!$V$10,Model!AB1,'Assumptions (Wind)'!$V$13,'Assumptions (Wind)'!$V$8*Model!$W$677*'Assumptions (Wind)'!$V$2/10^9),0)</f>
        <v>0</v>
      </c>
      <c r="AC806" s="160">
        <f>IF($W$677&gt;0,IPMT('Assumptions (Wind)'!$V$10,Model!AC1,'Assumptions (Wind)'!$V$13,'Assumptions (Wind)'!$V$8*Model!$W$677*'Assumptions (Wind)'!$V$2/10^9),0)</f>
        <v>0</v>
      </c>
      <c r="AD806" s="160">
        <f>IF($W$677&gt;0,IPMT('Assumptions (Wind)'!$V$10,Model!AD1,'Assumptions (Wind)'!$V$13,'Assumptions (Wind)'!$V$8*Model!$W$677*'Assumptions (Wind)'!$V$2/10^9),0)</f>
        <v>0</v>
      </c>
      <c r="AE806" s="160">
        <f>IF($W$677&gt;0,IPMT('Assumptions (Wind)'!$V$10,Model!AE1,'Assumptions (Wind)'!$V$13,'Assumptions (Wind)'!$V$8*Model!$W$677*'Assumptions (Wind)'!$V$2/10^9),0)</f>
        <v>0</v>
      </c>
      <c r="AF806" s="160">
        <f>IF($W$677&gt;0,IPMT('Assumptions (Wind)'!$V$10,Model!AF1,'Assumptions (Wind)'!$V$13,'Assumptions (Wind)'!$V$8*Model!$W$677*'Assumptions (Wind)'!$V$2/10^9),0)</f>
        <v>0</v>
      </c>
      <c r="AG806" s="160"/>
      <c r="AH806" s="160"/>
      <c r="AI806" s="160"/>
      <c r="AJ806" s="160"/>
      <c r="AK806" s="160"/>
      <c r="AL806" s="160"/>
      <c r="AM806" s="160"/>
      <c r="AN806" s="160"/>
      <c r="AO806" s="160"/>
      <c r="AP806" s="160"/>
      <c r="AQ806" s="160"/>
      <c r="AR806" s="160"/>
      <c r="AS806" s="160"/>
      <c r="AT806" s="160"/>
      <c r="AU806" s="160"/>
      <c r="AV806" s="160"/>
      <c r="AW806" s="160"/>
      <c r="AX806" s="160"/>
      <c r="AY806" s="160"/>
      <c r="AZ806" s="160"/>
      <c r="BA806" s="160"/>
    </row>
    <row r="807" ht="15.75" hidden="1" customHeight="1" outlineLevel="1">
      <c r="A807" s="241"/>
      <c r="B807" s="38"/>
      <c r="C807" s="174"/>
      <c r="D807" s="174"/>
      <c r="E807" s="174"/>
      <c r="F807" s="174"/>
      <c r="G807" s="174"/>
      <c r="H807" s="174"/>
      <c r="I807" s="174"/>
      <c r="J807" s="174"/>
      <c r="K807" s="174"/>
      <c r="L807" s="174"/>
      <c r="M807" s="174"/>
      <c r="N807" s="174"/>
      <c r="O807" s="174"/>
      <c r="P807" s="174"/>
      <c r="Q807" s="174"/>
      <c r="R807" s="174"/>
      <c r="S807" s="174"/>
      <c r="T807" s="174"/>
      <c r="U807" s="174"/>
      <c r="V807" s="174"/>
      <c r="W807" s="160"/>
      <c r="X807" s="160">
        <f>IF($X$677&gt;0,IPMT('Assumptions (Wind)'!$V$10,Model!W1,'Assumptions (Wind)'!$V$13,'Assumptions (Wind)'!$V$8*Model!$X$677*'Assumptions (Wind)'!$V$2/10^9),0)</f>
        <v>-0.01302134134</v>
      </c>
      <c r="Y807" s="160">
        <f>IF($X$677&gt;0,IPMT('Assumptions (Wind)'!$V$10,Model!X1,'Assumptions (Wind)'!$V$13,'Assumptions (Wind)'!$V$8*Model!$X$677*'Assumptions (Wind)'!$V$2/10^9),0)</f>
        <v>-0.01212248481</v>
      </c>
      <c r="Z807" s="160">
        <f>IF($X$677&gt;0,IPMT('Assumptions (Wind)'!$V$10,Model!Y1,'Assumptions (Wind)'!$V$13,'Assumptions (Wind)'!$V$8*Model!$X$677*'Assumptions (Wind)'!$V$2/10^9),0)</f>
        <v>-0.01115171975</v>
      </c>
      <c r="AA807" s="160">
        <f>IF($X$677&gt;0,IPMT('Assumptions (Wind)'!$V$10,Model!Z1,'Assumptions (Wind)'!$V$13,'Assumptions (Wind)'!$V$8*Model!$X$677*'Assumptions (Wind)'!$V$2/10^9),0)</f>
        <v>-0.01010329349</v>
      </c>
      <c r="AB807" s="160">
        <f>IF($X$677&gt;0,IPMT('Assumptions (Wind)'!$V$10,Model!AA1,'Assumptions (Wind)'!$V$13,'Assumptions (Wind)'!$V$8*Model!$X$677*'Assumptions (Wind)'!$V$2/10^9),0)</f>
        <v>-0.008970993125</v>
      </c>
      <c r="AC807" s="160">
        <f>IF($X$677&gt;0,IPMT('Assumptions (Wind)'!$V$10,Model!AB1,'Assumptions (Wind)'!$V$13,'Assumptions (Wind)'!$V$8*Model!$X$677*'Assumptions (Wind)'!$V$2/10^9),0)</f>
        <v>-0.007748108732</v>
      </c>
      <c r="AD807" s="160">
        <f>IF($X$677&gt;0,IPMT('Assumptions (Wind)'!$V$10,Model!AC1,'Assumptions (Wind)'!$V$13,'Assumptions (Wind)'!$V$8*Model!$X$677*'Assumptions (Wind)'!$V$2/10^9),0)</f>
        <v>-0.006427393588</v>
      </c>
      <c r="AE807" s="160">
        <f>IF($X$677&gt;0,IPMT('Assumptions (Wind)'!$V$10,Model!AD1,'Assumptions (Wind)'!$V$13,'Assumptions (Wind)'!$V$8*Model!$X$677*'Assumptions (Wind)'!$V$2/10^9),0)</f>
        <v>-0.005001021232</v>
      </c>
      <c r="AF807" s="160">
        <f>IF($X$677&gt;0,IPMT('Assumptions (Wind)'!$V$10,Model!AE1,'Assumptions (Wind)'!$V$13,'Assumptions (Wind)'!$V$8*Model!$X$677*'Assumptions (Wind)'!$V$2/10^9),0)</f>
        <v>-0.003460539088</v>
      </c>
      <c r="AG807" s="160">
        <f>IF($X$677&gt;0,IPMT('Assumptions (Wind)'!$V$10,Model!AF1,'Assumptions (Wind)'!$V$13,'Assumptions (Wind)'!$V$8*Model!$X$677*'Assumptions (Wind)'!$V$2/10^9),0)</f>
        <v>-0.001796818373</v>
      </c>
      <c r="AH807" s="160"/>
      <c r="AI807" s="160"/>
      <c r="AJ807" s="160"/>
      <c r="AK807" s="160"/>
      <c r="AL807" s="160"/>
      <c r="AM807" s="160"/>
      <c r="AN807" s="160"/>
      <c r="AO807" s="160"/>
      <c r="AP807" s="160"/>
      <c r="AQ807" s="160"/>
      <c r="AR807" s="160"/>
      <c r="AS807" s="160"/>
      <c r="AT807" s="160"/>
      <c r="AU807" s="160"/>
      <c r="AV807" s="160"/>
      <c r="AW807" s="160"/>
      <c r="AX807" s="160"/>
      <c r="AY807" s="160"/>
      <c r="AZ807" s="160"/>
      <c r="BA807" s="160"/>
    </row>
    <row r="808" ht="15.75" hidden="1" customHeight="1" outlineLevel="1">
      <c r="A808" s="241"/>
      <c r="B808" s="38"/>
      <c r="C808" s="174"/>
      <c r="D808" s="174"/>
      <c r="E808" s="174"/>
      <c r="F808" s="174"/>
      <c r="G808" s="174"/>
      <c r="H808" s="174"/>
      <c r="I808" s="174"/>
      <c r="J808" s="174"/>
      <c r="K808" s="174"/>
      <c r="L808" s="174"/>
      <c r="M808" s="174"/>
      <c r="N808" s="174"/>
      <c r="O808" s="174"/>
      <c r="P808" s="174"/>
      <c r="Q808" s="174"/>
      <c r="R808" s="174"/>
      <c r="S808" s="174"/>
      <c r="T808" s="174"/>
      <c r="U808" s="174"/>
      <c r="V808" s="174"/>
      <c r="W808" s="160"/>
      <c r="X808" s="160"/>
      <c r="Y808" s="160">
        <f>IF($Y$677&gt;0,IPMT('Assumptions (Wind)'!$V$10,Model!W1,'Assumptions (Wind)'!$V$13,'Assumptions (Wind)'!$V$8*Model!$Y$677*AVERAGE('Assumptions (Wind)'!$V$2:$W$2)/10^9),0)</f>
        <v>-0.01300208363</v>
      </c>
      <c r="Z808" s="160">
        <f>IF($Y$677&gt;0,IPMT('Assumptions (Wind)'!$V$10,Model!X1,'Assumptions (Wind)'!$V$13,'Assumptions (Wind)'!$V$8*Model!$Y$677*AVERAGE('Assumptions (Wind)'!$V$2:$W$2)/10^9),0)</f>
        <v>-0.01210455644</v>
      </c>
      <c r="AA808" s="160">
        <f>IF($Y$677&gt;0,IPMT('Assumptions (Wind)'!$V$10,Model!Y1,'Assumptions (Wind)'!$V$13,'Assumptions (Wind)'!$V$8*Model!$Y$677*AVERAGE('Assumptions (Wind)'!$V$2:$W$2)/10^9),0)</f>
        <v>-0.01113522708</v>
      </c>
      <c r="AB808" s="160">
        <f>IF($Y$677&gt;0,IPMT('Assumptions (Wind)'!$V$10,Model!Z1,'Assumptions (Wind)'!$V$13,'Assumptions (Wind)'!$V$8*Model!$Y$677*AVERAGE('Assumptions (Wind)'!$V$2:$W$2)/10^9),0)</f>
        <v>-0.01008835137</v>
      </c>
      <c r="AC808" s="160">
        <f>IF($Y$677&gt;0,IPMT('Assumptions (Wind)'!$V$10,Model!AA1,'Assumptions (Wind)'!$V$13,'Assumptions (Wind)'!$V$8*Model!$Y$677*AVERAGE('Assumptions (Wind)'!$V$2:$W$2)/10^9),0)</f>
        <v>-0.00895772561</v>
      </c>
      <c r="AD808" s="160">
        <f>IF($Y$677&gt;0,IPMT('Assumptions (Wind)'!$V$10,Model!AB1,'Assumptions (Wind)'!$V$13,'Assumptions (Wind)'!$V$8*Model!$Y$677*AVERAGE('Assumptions (Wind)'!$V$2:$W$2)/10^9),0)</f>
        <v>-0.007736649783</v>
      </c>
      <c r="AE808" s="160">
        <f>IF($Y$677&gt;0,IPMT('Assumptions (Wind)'!$V$10,Model!AC1,'Assumptions (Wind)'!$V$13,'Assumptions (Wind)'!$V$8*Model!$Y$677*AVERAGE('Assumptions (Wind)'!$V$2:$W$2)/10^9),0)</f>
        <v>-0.006417887891</v>
      </c>
      <c r="AF808" s="160">
        <f>IF($Y$677&gt;0,IPMT('Assumptions (Wind)'!$V$10,Model!AD1,'Assumptions (Wind)'!$V$13,'Assumptions (Wind)'!$V$8*Model!$Y$677*AVERAGE('Assumptions (Wind)'!$V$2:$W$2)/10^9),0)</f>
        <v>-0.004993625047</v>
      </c>
      <c r="AG808" s="160">
        <f>IF($Y$677&gt;0,IPMT('Assumptions (Wind)'!$V$10,Model!AE1,'Assumptions (Wind)'!$V$13,'Assumptions (Wind)'!$V$8*Model!$Y$677*AVERAGE('Assumptions (Wind)'!$V$2:$W$2)/10^9),0)</f>
        <v>-0.003455421176</v>
      </c>
      <c r="AH808" s="160">
        <f>IF($Y$677&gt;0,IPMT('Assumptions (Wind)'!$V$10,Model!AF1,'Assumptions (Wind)'!$V$13,'Assumptions (Wind)'!$V$8*Model!$Y$677*AVERAGE('Assumptions (Wind)'!$V$2:$W$2)/10^9),0)</f>
        <v>-0.001794160995</v>
      </c>
      <c r="AI808" s="160"/>
      <c r="AJ808" s="160"/>
      <c r="AK808" s="160"/>
      <c r="AL808" s="160"/>
      <c r="AM808" s="160"/>
      <c r="AN808" s="160"/>
      <c r="AO808" s="160"/>
      <c r="AP808" s="160"/>
      <c r="AQ808" s="160"/>
      <c r="AR808" s="160"/>
      <c r="AS808" s="160"/>
      <c r="AT808" s="160"/>
      <c r="AU808" s="160"/>
      <c r="AV808" s="160"/>
      <c r="AW808" s="160"/>
      <c r="AX808" s="160"/>
      <c r="AY808" s="160"/>
      <c r="AZ808" s="160"/>
      <c r="BA808" s="160"/>
    </row>
    <row r="809" ht="15.75" hidden="1" customHeight="1" outlineLevel="1">
      <c r="A809" s="241"/>
      <c r="B809" s="38"/>
      <c r="C809" s="174"/>
      <c r="D809" s="174"/>
      <c r="E809" s="174"/>
      <c r="F809" s="174"/>
      <c r="G809" s="174"/>
      <c r="H809" s="174"/>
      <c r="I809" s="174"/>
      <c r="J809" s="174"/>
      <c r="K809" s="174"/>
      <c r="L809" s="174"/>
      <c r="M809" s="174"/>
      <c r="N809" s="174"/>
      <c r="O809" s="174"/>
      <c r="P809" s="174"/>
      <c r="Q809" s="174"/>
      <c r="R809" s="174"/>
      <c r="S809" s="174"/>
      <c r="T809" s="174"/>
      <c r="U809" s="174"/>
      <c r="V809" s="174"/>
      <c r="W809" s="160"/>
      <c r="X809" s="160"/>
      <c r="Y809" s="160"/>
      <c r="Z809" s="160">
        <f>IF($Z$677&gt;0,IPMT('Assumptions (Wind)'!$V$10,Model!W1,'Assumptions (Wind)'!$V$13,'Assumptions (Wind)'!$V$8*Model!$Z$677*AVERAGE('Assumptions (Wind)'!$W$2:$X$2)/10^9),0)</f>
        <v>-0.01296033884</v>
      </c>
      <c r="AA809" s="160">
        <f>IF($Z$677&gt;0,IPMT('Assumptions (Wind)'!$V$10,Model!X1,'Assumptions (Wind)'!$V$13,'Assumptions (Wind)'!$V$8*Model!$Z$677*AVERAGE('Assumptions (Wind)'!$W$2:$X$2)/10^9),0)</f>
        <v>-0.01206569327</v>
      </c>
      <c r="AB809" s="160">
        <f>IF($Z$677&gt;0,IPMT('Assumptions (Wind)'!$V$10,Model!Y1,'Assumptions (Wind)'!$V$13,'Assumptions (Wind)'!$V$8*Model!$Z$677*AVERAGE('Assumptions (Wind)'!$W$2:$X$2)/10^9),0)</f>
        <v>-0.01109947606</v>
      </c>
      <c r="AC809" s="160">
        <f>IF($Z$677&gt;0,IPMT('Assumptions (Wind)'!$V$10,Model!Z1,'Assumptions (Wind)'!$V$13,'Assumptions (Wind)'!$V$8*Model!$Z$677*AVERAGE('Assumptions (Wind)'!$W$2:$X$2)/10^9),0)</f>
        <v>-0.01005596148</v>
      </c>
      <c r="AD809" s="160">
        <f>IF($Z$677&gt;0,IPMT('Assumptions (Wind)'!$V$10,Model!AA1,'Assumptions (Wind)'!$V$13,'Assumptions (Wind)'!$V$8*Model!$Z$677*AVERAGE('Assumptions (Wind)'!$W$2:$X$2)/10^9),0)</f>
        <v>-0.008928965728</v>
      </c>
      <c r="AE809" s="160">
        <f>IF($Z$677&gt;0,IPMT('Assumptions (Wind)'!$V$10,Model!AB1,'Assumptions (Wind)'!$V$13,'Assumptions (Wind)'!$V$8*Model!$Z$677*AVERAGE('Assumptions (Wind)'!$W$2:$X$2)/10^9),0)</f>
        <v>-0.007711810316</v>
      </c>
      <c r="AF809" s="160">
        <f>IF($Z$677&gt;0,IPMT('Assumptions (Wind)'!$V$10,Model!AC1,'Assumptions (Wind)'!$V$13,'Assumptions (Wind)'!$V$8*Model!$Z$677*AVERAGE('Assumptions (Wind)'!$W$2:$X$2)/10^9),0)</f>
        <v>-0.006397282471</v>
      </c>
      <c r="AG809" s="160">
        <f>IF($Z$677&gt;0,IPMT('Assumptions (Wind)'!$V$10,Model!AD1,'Assumptions (Wind)'!$V$13,'Assumptions (Wind)'!$V$8*Model!$Z$677*AVERAGE('Assumptions (Wind)'!$W$2:$X$2)/10^9),0)</f>
        <v>-0.004977592399</v>
      </c>
      <c r="AH809" s="160">
        <f>IF($Z$677&gt;0,IPMT('Assumptions (Wind)'!$V$10,Model!AE1,'Assumptions (Wind)'!$V$13,'Assumptions (Wind)'!$V$8*Model!$Z$677*AVERAGE('Assumptions (Wind)'!$W$2:$X$2)/10^9),0)</f>
        <v>-0.003444327121</v>
      </c>
      <c r="AI809" s="160">
        <f>IF($Z$677&gt;0,IPMT('Assumptions (Wind)'!$V$10,Model!AF1,'Assumptions (Wind)'!$V$13,'Assumptions (Wind)'!$V$8*Model!$Z$677*AVERAGE('Assumptions (Wind)'!$W$2:$X$2)/10^9),0)</f>
        <v>-0.00178840062</v>
      </c>
      <c r="AJ809" s="160"/>
      <c r="AK809" s="160"/>
      <c r="AL809" s="160"/>
      <c r="AM809" s="160"/>
      <c r="AN809" s="160"/>
      <c r="AO809" s="160"/>
      <c r="AP809" s="160"/>
      <c r="AQ809" s="160"/>
      <c r="AR809" s="160"/>
      <c r="AS809" s="160"/>
      <c r="AT809" s="160"/>
      <c r="AU809" s="160"/>
      <c r="AV809" s="160"/>
      <c r="AW809" s="160"/>
      <c r="AX809" s="160"/>
      <c r="AY809" s="160"/>
      <c r="AZ809" s="160"/>
      <c r="BA809" s="160"/>
    </row>
    <row r="810" ht="15.75" hidden="1" customHeight="1" outlineLevel="1">
      <c r="A810" s="241"/>
      <c r="B810" s="38"/>
      <c r="C810" s="174"/>
      <c r="D810" s="174"/>
      <c r="E810" s="174"/>
      <c r="F810" s="174"/>
      <c r="G810" s="174"/>
      <c r="H810" s="174"/>
      <c r="I810" s="174"/>
      <c r="J810" s="174"/>
      <c r="K810" s="174"/>
      <c r="L810" s="174"/>
      <c r="M810" s="174"/>
      <c r="N810" s="174"/>
      <c r="O810" s="174"/>
      <c r="P810" s="174"/>
      <c r="Q810" s="174"/>
      <c r="R810" s="174"/>
      <c r="S810" s="174"/>
      <c r="T810" s="174"/>
      <c r="U810" s="174"/>
      <c r="V810" s="174"/>
      <c r="W810" s="160"/>
      <c r="X810" s="160"/>
      <c r="Y810" s="160"/>
      <c r="Z810" s="160"/>
      <c r="AA810" s="160">
        <f>IF($AA$677&gt;0,IPMT('Assumptions (Wind)'!$V$10,Model!W1,'Assumptions (Wind)'!$V$13,'Assumptions (Wind)'!$V$8*Model!$AA$677*AVERAGE('Assumptions (Wind)'!$X$2:$Y$2)/10^9),0)</f>
        <v>-0.01291201665</v>
      </c>
      <c r="AB810" s="160">
        <f>IF($AA$677&gt;0,IPMT('Assumptions (Wind)'!$V$10,Model!X1,'Assumptions (Wind)'!$V$13,'Assumptions (Wind)'!$V$8*Model!$AA$677*AVERAGE('Assumptions (Wind)'!$X$2:$Y$2)/10^9),0)</f>
        <v>-0.01202070675</v>
      </c>
      <c r="AC810" s="160">
        <f>IF($AA$677&gt;0,IPMT('Assumptions (Wind)'!$V$10,Model!Y1,'Assumptions (Wind)'!$V$13,'Assumptions (Wind)'!$V$8*Model!$AA$677*AVERAGE('Assumptions (Wind)'!$X$2:$Y$2)/10^9),0)</f>
        <v>-0.01105809205</v>
      </c>
      <c r="AD810" s="160">
        <f>IF($AA$677&gt;0,IPMT('Assumptions (Wind)'!$V$10,Model!Z1,'Assumptions (Wind)'!$V$13,'Assumptions (Wind)'!$V$8*Model!$AA$677*AVERAGE('Assumptions (Wind)'!$X$2:$Y$2)/10^9),0)</f>
        <v>-0.01001846817</v>
      </c>
      <c r="AE810" s="160">
        <f>IF($AA$677&gt;0,IPMT('Assumptions (Wind)'!$V$10,Model!AA1,'Assumptions (Wind)'!$V$13,'Assumptions (Wind)'!$V$8*Model!$AA$677*AVERAGE('Assumptions (Wind)'!$X$2:$Y$2)/10^9),0)</f>
        <v>-0.008895674383</v>
      </c>
      <c r="AF810" s="160">
        <f>IF($AA$677&gt;0,IPMT('Assumptions (Wind)'!$V$10,Model!AB1,'Assumptions (Wind)'!$V$13,'Assumptions (Wind)'!$V$8*Model!$AA$677*AVERAGE('Assumptions (Wind)'!$X$2:$Y$2)/10^9),0)</f>
        <v>-0.007683057094</v>
      </c>
      <c r="AG810" s="160">
        <f>IF($AA$677&gt;0,IPMT('Assumptions (Wind)'!$V$10,Model!AC1,'Assumptions (Wind)'!$V$13,'Assumptions (Wind)'!$V$8*Model!$AA$677*AVERAGE('Assumptions (Wind)'!$X$2:$Y$2)/10^9),0)</f>
        <v>-0.006373430421</v>
      </c>
      <c r="AH810" s="160">
        <f>IF($AA$677&gt;0,IPMT('Assumptions (Wind)'!$V$10,Model!AD1,'Assumptions (Wind)'!$V$13,'Assumptions (Wind)'!$V$8*Model!$AA$677*AVERAGE('Assumptions (Wind)'!$X$2:$Y$2)/10^9),0)</f>
        <v>-0.004959033615</v>
      </c>
      <c r="AI810" s="160">
        <f>IF($AA$677&gt;0,IPMT('Assumptions (Wind)'!$V$10,Model!AE1,'Assumptions (Wind)'!$V$13,'Assumptions (Wind)'!$V$8*Model!$AA$677*AVERAGE('Assumptions (Wind)'!$X$2:$Y$2)/10^9),0)</f>
        <v>-0.003431485064</v>
      </c>
      <c r="AJ810" s="160">
        <f>IF($AA$677&gt;0,IPMT('Assumptions (Wind)'!$V$10,Model!AF1,'Assumptions (Wind)'!$V$13,'Assumptions (Wind)'!$V$8*Model!$AA$677*AVERAGE('Assumptions (Wind)'!$X$2:$Y$2)/10^9),0)</f>
        <v>-0.00178173263</v>
      </c>
      <c r="AK810" s="160"/>
      <c r="AL810" s="160"/>
      <c r="AM810" s="160"/>
      <c r="AN810" s="160"/>
      <c r="AO810" s="160"/>
      <c r="AP810" s="160"/>
      <c r="AQ810" s="160"/>
      <c r="AR810" s="160"/>
      <c r="AS810" s="160"/>
      <c r="AT810" s="160"/>
      <c r="AU810" s="160"/>
      <c r="AV810" s="160"/>
      <c r="AW810" s="160"/>
      <c r="AX810" s="160"/>
      <c r="AY810" s="160"/>
      <c r="AZ810" s="160"/>
      <c r="BA810" s="160"/>
    </row>
    <row r="811" ht="15.75" hidden="1" customHeight="1" outlineLevel="1">
      <c r="A811" s="241"/>
      <c r="B811" s="38"/>
      <c r="C811" s="174"/>
      <c r="D811" s="174"/>
      <c r="E811" s="174"/>
      <c r="F811" s="174"/>
      <c r="G811" s="174"/>
      <c r="H811" s="174"/>
      <c r="I811" s="174"/>
      <c r="J811" s="174"/>
      <c r="K811" s="174"/>
      <c r="L811" s="174"/>
      <c r="M811" s="174"/>
      <c r="N811" s="174"/>
      <c r="O811" s="174"/>
      <c r="P811" s="174"/>
      <c r="Q811" s="174"/>
      <c r="R811" s="174"/>
      <c r="S811" s="174"/>
      <c r="T811" s="174"/>
      <c r="U811" s="174"/>
      <c r="V811" s="174"/>
      <c r="W811" s="160"/>
      <c r="X811" s="160"/>
      <c r="Y811" s="160"/>
      <c r="Z811" s="160"/>
      <c r="AA811" s="160"/>
      <c r="AB811" s="160">
        <f>IF($AB$677&gt;0,IPMT('Assumptions (Wind)'!$V$10,Model!W1,'Assumptions (Wind)'!$V$13,'Assumptions (Wind)'!$V$8*Model!$AB$677*AVERAGE('Assumptions (Wind)'!$Y$2:$Z$2)/10^9),0)</f>
        <v>-0.01285268705</v>
      </c>
      <c r="AC811" s="160">
        <f>IF($AB$677&gt;0,IPMT('Assumptions (Wind)'!$V$10,Model!X1,'Assumptions (Wind)'!$V$13,'Assumptions (Wind)'!$V$8*Model!$AB$677*AVERAGE('Assumptions (Wind)'!$Y$2:$Z$2)/10^9),0)</f>
        <v>-0.01196547264</v>
      </c>
      <c r="AD811" s="160">
        <f>IF($AB$677&gt;0,IPMT('Assumptions (Wind)'!$V$10,Model!Y1,'Assumptions (Wind)'!$V$13,'Assumptions (Wind)'!$V$8*Model!$AB$677*AVERAGE('Assumptions (Wind)'!$Y$2:$Z$2)/10^9),0)</f>
        <v>-0.01100728107</v>
      </c>
      <c r="AE811" s="160">
        <f>IF($AB$677&gt;0,IPMT('Assumptions (Wind)'!$V$10,Model!Z1,'Assumptions (Wind)'!$V$13,'Assumptions (Wind)'!$V$8*Model!$AB$677*AVERAGE('Assumptions (Wind)'!$Y$2:$Z$2)/10^9),0)</f>
        <v>-0.009972434175</v>
      </c>
      <c r="AF811" s="160">
        <f>IF($AB$677&gt;0,IPMT('Assumptions (Wind)'!$V$10,Model!AA1,'Assumptions (Wind)'!$V$13,'Assumptions (Wind)'!$V$8*Model!$AB$677*AVERAGE('Assumptions (Wind)'!$Y$2:$Z$2)/10^9),0)</f>
        <v>-0.008854799529</v>
      </c>
      <c r="AG811" s="160">
        <f>IF($AB$677&gt;0,IPMT('Assumptions (Wind)'!$V$10,Model!AB1,'Assumptions (Wind)'!$V$13,'Assumptions (Wind)'!$V$8*Model!$AB$677*AVERAGE('Assumptions (Wind)'!$Y$2:$Z$2)/10^9),0)</f>
        <v>-0.007647754111</v>
      </c>
      <c r="AH811" s="160">
        <f>IF($AB$677&gt;0,IPMT('Assumptions (Wind)'!$V$10,Model!AC1,'Assumptions (Wind)'!$V$13,'Assumptions (Wind)'!$V$8*Model!$AB$677*AVERAGE('Assumptions (Wind)'!$Y$2:$Z$2)/10^9),0)</f>
        <v>-0.00634414506</v>
      </c>
      <c r="AI811" s="160">
        <f>IF($AB$677&gt;0,IPMT('Assumptions (Wind)'!$V$10,Model!AD1,'Assumptions (Wind)'!$V$13,'Assumptions (Wind)'!$V$8*Model!$AB$677*AVERAGE('Assumptions (Wind)'!$Y$2:$Z$2)/10^9),0)</f>
        <v>-0.004936247285</v>
      </c>
      <c r="AJ811" s="160">
        <f>IF($AB$677&gt;0,IPMT('Assumptions (Wind)'!$V$10,Model!AE1,'Assumptions (Wind)'!$V$13,'Assumptions (Wind)'!$V$8*Model!$AB$677*AVERAGE('Assumptions (Wind)'!$Y$2:$Z$2)/10^9),0)</f>
        <v>-0.003415717687</v>
      </c>
      <c r="AK811" s="160">
        <f>IF($AB$677&gt;0,IPMT('Assumptions (Wind)'!$V$10,Model!AF1,'Assumptions (Wind)'!$V$13,'Assumptions (Wind)'!$V$8*Model!$AB$677*AVERAGE('Assumptions (Wind)'!$Y$2:$Z$2)/10^9),0)</f>
        <v>-0.001773545722</v>
      </c>
      <c r="AL811" s="160"/>
      <c r="AM811" s="160"/>
      <c r="AN811" s="160"/>
      <c r="AO811" s="160"/>
      <c r="AP811" s="160"/>
      <c r="AQ811" s="160"/>
      <c r="AR811" s="160"/>
      <c r="AS811" s="160"/>
      <c r="AT811" s="160"/>
      <c r="AU811" s="160"/>
      <c r="AV811" s="160"/>
      <c r="AW811" s="160"/>
      <c r="AX811" s="160"/>
      <c r="AY811" s="160"/>
      <c r="AZ811" s="160"/>
      <c r="BA811" s="160"/>
    </row>
    <row r="812" ht="15.75" hidden="1" customHeight="1" outlineLevel="1">
      <c r="A812" s="241"/>
      <c r="B812" s="38"/>
      <c r="C812" s="174"/>
      <c r="D812" s="174"/>
      <c r="E812" s="174"/>
      <c r="F812" s="174"/>
      <c r="G812" s="174"/>
      <c r="H812" s="174"/>
      <c r="I812" s="174"/>
      <c r="J812" s="174"/>
      <c r="K812" s="174"/>
      <c r="L812" s="174"/>
      <c r="M812" s="174"/>
      <c r="N812" s="174"/>
      <c r="O812" s="174"/>
      <c r="P812" s="174"/>
      <c r="Q812" s="174"/>
      <c r="R812" s="174"/>
      <c r="S812" s="174"/>
      <c r="T812" s="174"/>
      <c r="U812" s="174"/>
      <c r="V812" s="174"/>
      <c r="W812" s="160"/>
      <c r="X812" s="160"/>
      <c r="Y812" s="160"/>
      <c r="Z812" s="160"/>
      <c r="AA812" s="160"/>
      <c r="AB812" s="160"/>
      <c r="AC812" s="160">
        <f>IF($AC$677&gt;0,IPMT('Assumptions (Wind)'!$V$10,Model!W1,'Assumptions (Wind)'!$V$13,'Assumptions (Wind)'!$V$8*Model!$AC$677*AVERAGE('Assumptions (Wind)'!$Z$2:$AA$2)/10^9),0)</f>
        <v>-0.01278193894</v>
      </c>
      <c r="AD812" s="160">
        <f>IF($AC$677&gt;0,IPMT('Assumptions (Wind)'!$V$10,Model!X1,'Assumptions (Wind)'!$V$13,'Assumptions (Wind)'!$V$8*Model!$AC$677*AVERAGE('Assumptions (Wind)'!$Z$2:$AA$2)/10^9),0)</f>
        <v>-0.01189960823</v>
      </c>
      <c r="AE812" s="160">
        <f>IF($AC$677&gt;0,IPMT('Assumptions (Wind)'!$V$10,Model!Y1,'Assumptions (Wind)'!$V$13,'Assumptions (Wind)'!$V$8*Model!$AC$677*AVERAGE('Assumptions (Wind)'!$Z$2:$AA$2)/10^9),0)</f>
        <v>-0.01094669107</v>
      </c>
      <c r="AF812" s="160">
        <f>IF($AC$677&gt;0,IPMT('Assumptions (Wind)'!$V$10,Model!Z1,'Assumptions (Wind)'!$V$13,'Assumptions (Wind)'!$V$8*Model!$AC$677*AVERAGE('Assumptions (Wind)'!$Z$2:$AA$2)/10^9),0)</f>
        <v>-0.009917540526</v>
      </c>
      <c r="AG812" s="160">
        <f>IF($AC$677&gt;0,IPMT('Assumptions (Wind)'!$V$10,Model!AA1,'Assumptions (Wind)'!$V$13,'Assumptions (Wind)'!$V$8*Model!$AC$677*AVERAGE('Assumptions (Wind)'!$Z$2:$AA$2)/10^9),0)</f>
        <v>-0.008806057943</v>
      </c>
      <c r="AH812" s="160">
        <f>IF($AC$677&gt;0,IPMT('Assumptions (Wind)'!$V$10,Model!AB1,'Assumptions (Wind)'!$V$13,'Assumptions (Wind)'!$V$8*Model!$AC$677*AVERAGE('Assumptions (Wind)'!$Z$2:$AA$2)/10^9),0)</f>
        <v>-0.007605656754</v>
      </c>
      <c r="AI812" s="160">
        <f>IF($AC$677&gt;0,IPMT('Assumptions (Wind)'!$V$10,Model!AC1,'Assumptions (Wind)'!$V$13,'Assumptions (Wind)'!$V$8*Model!$AC$677*AVERAGE('Assumptions (Wind)'!$Z$2:$AA$2)/10^9),0)</f>
        <v>-0.006309223469</v>
      </c>
      <c r="AJ812" s="160">
        <f>IF($AC$677&gt;0,IPMT('Assumptions (Wind)'!$V$10,Model!AD1,'Assumptions (Wind)'!$V$13,'Assumptions (Wind)'!$V$8*Model!$AC$677*AVERAGE('Assumptions (Wind)'!$Z$2:$AA$2)/10^9),0)</f>
        <v>-0.004909075521</v>
      </c>
      <c r="AK812" s="160">
        <f>IF($AC$677&gt;0,IPMT('Assumptions (Wind)'!$V$10,Model!AE1,'Assumptions (Wind)'!$V$13,'Assumptions (Wind)'!$V$8*Model!$AC$677*AVERAGE('Assumptions (Wind)'!$Z$2:$AA$2)/10^9),0)</f>
        <v>-0.003396915738</v>
      </c>
      <c r="AL812" s="160">
        <f>IF($AC$677&gt;0,IPMT('Assumptions (Wind)'!$V$10,Model!AF1,'Assumptions (Wind)'!$V$13,'Assumptions (Wind)'!$V$8*Model!$AC$677*AVERAGE('Assumptions (Wind)'!$Z$2:$AA$2)/10^9),0)</f>
        <v>-0.001763783171</v>
      </c>
      <c r="AM812" s="160"/>
      <c r="AN812" s="160"/>
      <c r="AO812" s="160"/>
      <c r="AP812" s="160"/>
      <c r="AQ812" s="160"/>
      <c r="AR812" s="160"/>
      <c r="AS812" s="160"/>
      <c r="AT812" s="160"/>
      <c r="AU812" s="160"/>
      <c r="AV812" s="160"/>
      <c r="AW812" s="160"/>
      <c r="AX812" s="160"/>
      <c r="AY812" s="160"/>
      <c r="AZ812" s="160"/>
      <c r="BA812" s="160"/>
    </row>
    <row r="813" ht="15.75" hidden="1" customHeight="1" outlineLevel="1">
      <c r="A813" s="241"/>
      <c r="B813" s="38"/>
      <c r="C813" s="174"/>
      <c r="D813" s="174"/>
      <c r="E813" s="174"/>
      <c r="F813" s="174"/>
      <c r="G813" s="174"/>
      <c r="H813" s="174"/>
      <c r="I813" s="174"/>
      <c r="J813" s="174"/>
      <c r="K813" s="174"/>
      <c r="L813" s="174"/>
      <c r="M813" s="174"/>
      <c r="N813" s="174"/>
      <c r="O813" s="174"/>
      <c r="P813" s="174"/>
      <c r="Q813" s="174"/>
      <c r="R813" s="174"/>
      <c r="S813" s="174"/>
      <c r="T813" s="174"/>
      <c r="U813" s="174"/>
      <c r="V813" s="174"/>
      <c r="W813" s="160"/>
      <c r="X813" s="160"/>
      <c r="Y813" s="160"/>
      <c r="Z813" s="160"/>
      <c r="AA813" s="160"/>
      <c r="AB813" s="160"/>
      <c r="AC813" s="160"/>
      <c r="AD813" s="160">
        <f>IF($AD$677&gt;0,IPMT('Assumptions (Wind)'!$V$10,Model!W1,'Assumptions (Wind)'!$V$13,'Assumptions (Wind)'!$V$8*Model!$AD$677*AVERAGE('Assumptions (Wind)'!$AA$2:$AB$2)/10^9),0)</f>
        <v>-0.01270353865</v>
      </c>
      <c r="AE813" s="160">
        <f>IF($AD$677&gt;0,IPMT('Assumptions (Wind)'!$V$10,Model!X1,'Assumptions (Wind)'!$V$13,'Assumptions (Wind)'!$V$8*Model!$AD$677*AVERAGE('Assumptions (Wind)'!$AA$2:$AB$2)/10^9),0)</f>
        <v>-0.01182661987</v>
      </c>
      <c r="AF813" s="160">
        <f>IF($AD$677&gt;0,IPMT('Assumptions (Wind)'!$V$10,Model!Y1,'Assumptions (Wind)'!$V$13,'Assumptions (Wind)'!$V$8*Model!$AD$677*AVERAGE('Assumptions (Wind)'!$AA$2:$AB$2)/10^9),0)</f>
        <v>-0.01087954759</v>
      </c>
      <c r="AG813" s="160">
        <f>IF($AD$677&gt;0,IPMT('Assumptions (Wind)'!$V$10,Model!Z1,'Assumptions (Wind)'!$V$13,'Assumptions (Wind)'!$V$8*Model!$AD$677*AVERAGE('Assumptions (Wind)'!$AA$2:$AB$2)/10^9),0)</f>
        <v>-0.00985670953</v>
      </c>
      <c r="AH813" s="160">
        <f>IF($AD$677&gt;0,IPMT('Assumptions (Wind)'!$V$10,Model!AA1,'Assumptions (Wind)'!$V$13,'Assumptions (Wind)'!$V$8*Model!$AD$677*AVERAGE('Assumptions (Wind)'!$AA$2:$AB$2)/10^9),0)</f>
        <v>-0.008752044423</v>
      </c>
      <c r="AI813" s="160">
        <f>IF($AD$677&gt;0,IPMT('Assumptions (Wind)'!$V$10,Model!AB1,'Assumptions (Wind)'!$V$13,'Assumptions (Wind)'!$V$8*Model!$AD$677*AVERAGE('Assumptions (Wind)'!$AA$2:$AB$2)/10^9),0)</f>
        <v>-0.007559006107</v>
      </c>
      <c r="AJ813" s="160">
        <f>IF($AD$677&gt;0,IPMT('Assumptions (Wind)'!$V$10,Model!AC1,'Assumptions (Wind)'!$V$13,'Assumptions (Wind)'!$V$8*Model!$AD$677*AVERAGE('Assumptions (Wind)'!$AA$2:$AB$2)/10^9),0)</f>
        <v>-0.006270524726</v>
      </c>
      <c r="AK813" s="160">
        <f>IF($AD$677&gt;0,IPMT('Assumptions (Wind)'!$V$10,Model!AD1,'Assumptions (Wind)'!$V$13,'Assumptions (Wind)'!$V$8*Model!$AD$677*AVERAGE('Assumptions (Wind)'!$AA$2:$AB$2)/10^9),0)</f>
        <v>-0.004878964835</v>
      </c>
      <c r="AL813" s="160">
        <f>IF($AD$677&gt;0,IPMT('Assumptions (Wind)'!$V$10,Model!AE1,'Assumptions (Wind)'!$V$13,'Assumptions (Wind)'!$V$8*Model!$AD$677*AVERAGE('Assumptions (Wind)'!$AA$2:$AB$2)/10^9),0)</f>
        <v>-0.003376080152</v>
      </c>
      <c r="AM813" s="160">
        <f>IF($AD$677&gt;0,IPMT('Assumptions (Wind)'!$V$10,Model!AF1,'Assumptions (Wind)'!$V$13,'Assumptions (Wind)'!$V$8*Model!$AD$677*AVERAGE('Assumptions (Wind)'!$AA$2:$AB$2)/10^9),0)</f>
        <v>-0.001752964694</v>
      </c>
      <c r="AN813" s="160"/>
      <c r="AO813" s="160"/>
      <c r="AP813" s="160"/>
      <c r="AQ813" s="160"/>
      <c r="AR813" s="160"/>
      <c r="AS813" s="160"/>
      <c r="AT813" s="160"/>
      <c r="AU813" s="160"/>
      <c r="AV813" s="160"/>
      <c r="AW813" s="160"/>
      <c r="AX813" s="160"/>
      <c r="AY813" s="160"/>
      <c r="AZ813" s="160"/>
      <c r="BA813" s="160"/>
      <c r="BB813" s="160"/>
    </row>
    <row r="814" ht="15.75" hidden="1" customHeight="1" outlineLevel="1">
      <c r="A814" s="241"/>
      <c r="B814" s="38"/>
      <c r="C814" s="174"/>
      <c r="D814" s="174"/>
      <c r="E814" s="174"/>
      <c r="F814" s="174"/>
      <c r="G814" s="174"/>
      <c r="H814" s="174"/>
      <c r="I814" s="174"/>
      <c r="J814" s="174"/>
      <c r="K814" s="174"/>
      <c r="L814" s="174"/>
      <c r="M814" s="174"/>
      <c r="N814" s="174"/>
      <c r="O814" s="174"/>
      <c r="P814" s="174"/>
      <c r="Q814" s="174"/>
      <c r="R814" s="174"/>
      <c r="S814" s="174"/>
      <c r="T814" s="174"/>
      <c r="U814" s="174"/>
      <c r="V814" s="174"/>
      <c r="W814" s="160"/>
      <c r="X814" s="160"/>
      <c r="Y814" s="160"/>
      <c r="Z814" s="160"/>
      <c r="AA814" s="160"/>
      <c r="AB814" s="160"/>
      <c r="AC814" s="160"/>
      <c r="AD814" s="160"/>
      <c r="AE814" s="160">
        <f>IF($AE$677&gt;0,IPMT('Assumptions (Wind)'!$V$10,Model!W1,'Assumptions (Wind)'!$V$13,'Assumptions (Wind)'!$V$8*Model!$AE$677*AVERAGE('Assumptions (Wind)'!$AB$2:$AC$2)/10^9),0)</f>
        <v>-0.01276331591</v>
      </c>
      <c r="AF814" s="160">
        <f>IF($AE$677&gt;0,IPMT('Assumptions (Wind)'!$V$10,Model!X1,'Assumptions (Wind)'!$V$13,'Assumptions (Wind)'!$V$8*Model!$AE$677*AVERAGE('Assumptions (Wind)'!$AB$2:$AC$2)/10^9),0)</f>
        <v>-0.01188227074</v>
      </c>
      <c r="AG814" s="160">
        <f>IF($AE$677&gt;0,IPMT('Assumptions (Wind)'!$V$10,Model!Y1,'Assumptions (Wind)'!$V$13,'Assumptions (Wind)'!$V$8*Model!$AE$677*AVERAGE('Assumptions (Wind)'!$AB$2:$AC$2)/10^9),0)</f>
        <v>-0.01093074195</v>
      </c>
      <c r="AH814" s="160">
        <f>IF($AE$677&gt;0,IPMT('Assumptions (Wind)'!$V$10,Model!Z1,'Assumptions (Wind)'!$V$13,'Assumptions (Wind)'!$V$8*Model!$AE$677*AVERAGE('Assumptions (Wind)'!$AB$2:$AC$2)/10^9),0)</f>
        <v>-0.009903090865</v>
      </c>
      <c r="AI814" s="160">
        <f>IF($AE$677&gt;0,IPMT('Assumptions (Wind)'!$V$10,Model!AA1,'Assumptions (Wind)'!$V$13,'Assumptions (Wind)'!$V$8*Model!$AE$677*AVERAGE('Assumptions (Wind)'!$AB$2:$AC$2)/10^9),0)</f>
        <v>-0.00879322769</v>
      </c>
      <c r="AJ814" s="160">
        <f>IF($AE$677&gt;0,IPMT('Assumptions (Wind)'!$V$10,Model!AB1,'Assumptions (Wind)'!$V$13,'Assumptions (Wind)'!$V$8*Model!$AE$677*AVERAGE('Assumptions (Wind)'!$AB$2:$AC$2)/10^9),0)</f>
        <v>-0.007594575461</v>
      </c>
      <c r="AK814" s="160">
        <f>IF($AE$677&gt;0,IPMT('Assumptions (Wind)'!$V$10,Model!AC1,'Assumptions (Wind)'!$V$13,'Assumptions (Wind)'!$V$8*Model!$AE$677*AVERAGE('Assumptions (Wind)'!$AB$2:$AC$2)/10^9),0)</f>
        <v>-0.006300031054</v>
      </c>
      <c r="AL814" s="160">
        <f>IF($AE$677&gt;0,IPMT('Assumptions (Wind)'!$V$10,Model!AD1,'Assumptions (Wind)'!$V$13,'Assumptions (Wind)'!$V$8*Model!$AE$677*AVERAGE('Assumptions (Wind)'!$AB$2:$AC$2)/10^9),0)</f>
        <v>-0.004901923095</v>
      </c>
      <c r="AM814" s="160">
        <f>IF($AE$677&gt;0,IPMT('Assumptions (Wind)'!$V$10,Model!AE1,'Assumptions (Wind)'!$V$13,'Assumptions (Wind)'!$V$8*Model!$AE$677*AVERAGE('Assumptions (Wind)'!$AB$2:$AC$2)/10^9),0)</f>
        <v>-0.003391966498</v>
      </c>
      <c r="AN814" s="160">
        <f>IF($AE$677&gt;0,IPMT('Assumptions (Wind)'!$V$10,Model!AF1,'Assumptions (Wind)'!$V$13,'Assumptions (Wind)'!$V$8*Model!$AE$677*AVERAGE('Assumptions (Wind)'!$AB$2:$AC$2)/10^9),0)</f>
        <v>-0.001761213374</v>
      </c>
      <c r="AO814" s="160"/>
      <c r="AP814" s="160"/>
      <c r="AQ814" s="160"/>
      <c r="AR814" s="160"/>
      <c r="AS814" s="160"/>
      <c r="AT814" s="160"/>
      <c r="AU814" s="160"/>
      <c r="AV814" s="160"/>
      <c r="AW814" s="160"/>
      <c r="AX814" s="160"/>
      <c r="AY814" s="160"/>
      <c r="AZ814" s="160"/>
      <c r="BA814" s="160"/>
      <c r="BB814" s="160"/>
      <c r="BC814" s="160"/>
    </row>
    <row r="815" ht="15.75" hidden="1" customHeight="1" outlineLevel="1">
      <c r="A815" s="241"/>
      <c r="B815" s="38"/>
      <c r="C815" s="174"/>
      <c r="D815" s="174"/>
      <c r="E815" s="174"/>
      <c r="F815" s="174"/>
      <c r="G815" s="174"/>
      <c r="H815" s="174"/>
      <c r="I815" s="174"/>
      <c r="J815" s="174"/>
      <c r="K815" s="174"/>
      <c r="L815" s="174"/>
      <c r="M815" s="174"/>
      <c r="N815" s="174"/>
      <c r="O815" s="174"/>
      <c r="P815" s="174"/>
      <c r="Q815" s="174"/>
      <c r="R815" s="174"/>
      <c r="S815" s="174"/>
      <c r="T815" s="174"/>
      <c r="U815" s="174"/>
      <c r="V815" s="174"/>
      <c r="W815" s="160"/>
      <c r="X815" s="160"/>
      <c r="Y815" s="160"/>
      <c r="Z815" s="160"/>
      <c r="AA815" s="160"/>
      <c r="AB815" s="160"/>
      <c r="AC815" s="160"/>
      <c r="AD815" s="160"/>
      <c r="AE815" s="160"/>
      <c r="AF815" s="160">
        <f>IF($AF$677&gt;0,IPMT('Assumptions (Wind)'!$V$10,Model!W1,'Assumptions (Wind)'!$V$13,'Assumptions (Wind)'!$V$8*Model!$AF$677*AVERAGE('Assumptions (Wind)'!$AC$2:$AD$2)/10^9),0)</f>
        <v>-0.01251816137</v>
      </c>
      <c r="AG815" s="160">
        <f>IF($AF$677&gt;0,IPMT('Assumptions (Wind)'!$V$10,Model!X1,'Assumptions (Wind)'!$V$13,'Assumptions (Wind)'!$V$8*Model!$AF$677*AVERAGE('Assumptions (Wind)'!$AC$2:$AD$2)/10^9),0)</f>
        <v>-0.01165403909</v>
      </c>
      <c r="AH815" s="160">
        <f>IF($AF$677&gt;0,IPMT('Assumptions (Wind)'!$V$10,Model!Y1,'Assumptions (Wind)'!$V$13,'Assumptions (Wind)'!$V$8*Model!$AF$677*AVERAGE('Assumptions (Wind)'!$AC$2:$AD$2)/10^9),0)</f>
        <v>-0.01072078703</v>
      </c>
      <c r="AI815" s="160">
        <f>IF($AF$677&gt;0,IPMT('Assumptions (Wind)'!$V$10,Model!Z1,'Assumptions (Wind)'!$V$13,'Assumptions (Wind)'!$V$8*Model!$AF$677*AVERAGE('Assumptions (Wind)'!$AC$2:$AD$2)/10^9),0)</f>
        <v>-0.009712874806</v>
      </c>
      <c r="AJ815" s="160">
        <f>IF($AF$677&gt;0,IPMT('Assumptions (Wind)'!$V$10,Model!AA1,'Assumptions (Wind)'!$V$13,'Assumptions (Wind)'!$V$8*Model!$AF$677*AVERAGE('Assumptions (Wind)'!$AC$2:$AD$2)/10^9),0)</f>
        <v>-0.008624329601</v>
      </c>
      <c r="AK815" s="160">
        <f>IF($AF$677&gt;0,IPMT('Assumptions (Wind)'!$V$10,Model!AB1,'Assumptions (Wind)'!$V$13,'Assumptions (Wind)'!$V$8*Model!$AF$677*AVERAGE('Assumptions (Wind)'!$AC$2:$AD$2)/10^9),0)</f>
        <v>-0.007448700781</v>
      </c>
      <c r="AL815" s="160">
        <f>IF($AF$677&gt;0,IPMT('Assumptions (Wind)'!$V$10,Model!AC1,'Assumptions (Wind)'!$V$13,'Assumptions (Wind)'!$V$8*Model!$AF$677*AVERAGE('Assumptions (Wind)'!$AC$2:$AD$2)/10^9),0)</f>
        <v>-0.006179021655</v>
      </c>
      <c r="AM815" s="160">
        <f>IF($AF$677&gt;0,IPMT('Assumptions (Wind)'!$V$10,Model!AD1,'Assumptions (Wind)'!$V$13,'Assumptions (Wind)'!$V$8*Model!$AF$677*AVERAGE('Assumptions (Wind)'!$AC$2:$AD$2)/10^9),0)</f>
        <v>-0.004807768198</v>
      </c>
      <c r="AN815" s="160">
        <f>IF($AF$677&gt;0,IPMT('Assumptions (Wind)'!$V$10,Model!AE1,'Assumptions (Wind)'!$V$13,'Assumptions (Wind)'!$V$8*Model!$AF$677*AVERAGE('Assumptions (Wind)'!$AC$2:$AD$2)/10^9),0)</f>
        <v>-0.003326814465</v>
      </c>
      <c r="AO815" s="160">
        <f>IF($AF$677&gt;0,IPMT('Assumptions (Wind)'!$V$10,Model!AF1,'Assumptions (Wind)'!$V$13,'Assumptions (Wind)'!$V$8*Model!$AF$677*AVERAGE('Assumptions (Wind)'!$AC$2:$AD$2)/10^9),0)</f>
        <v>-0.001727384434</v>
      </c>
      <c r="AP815" s="160"/>
      <c r="AQ815" s="160"/>
      <c r="AR815" s="160"/>
      <c r="AS815" s="160"/>
      <c r="AT815" s="160"/>
      <c r="AU815" s="160"/>
      <c r="AV815" s="160"/>
      <c r="AW815" s="160"/>
      <c r="AX815" s="160"/>
      <c r="AY815" s="160"/>
      <c r="AZ815" s="160"/>
      <c r="BA815" s="160"/>
      <c r="BB815" s="160"/>
      <c r="BC815" s="160"/>
      <c r="BD815" s="160"/>
    </row>
    <row r="816" ht="15.75" hidden="1" customHeight="1" outlineLevel="1">
      <c r="A816" s="241"/>
      <c r="B816" s="38"/>
      <c r="C816" s="174"/>
      <c r="D816" s="174"/>
      <c r="E816" s="174"/>
      <c r="F816" s="174"/>
      <c r="G816" s="174"/>
      <c r="H816" s="174"/>
      <c r="I816" s="174"/>
      <c r="J816" s="174"/>
      <c r="K816" s="174"/>
      <c r="L816" s="174"/>
      <c r="M816" s="174"/>
      <c r="N816" s="174"/>
      <c r="O816" s="174"/>
      <c r="P816" s="174"/>
      <c r="Q816" s="174"/>
      <c r="R816" s="174"/>
      <c r="S816" s="174"/>
      <c r="T816" s="174"/>
      <c r="U816" s="174"/>
      <c r="V816" s="174"/>
      <c r="W816" s="160"/>
      <c r="X816" s="160"/>
      <c r="Y816" s="160"/>
      <c r="Z816" s="160"/>
      <c r="AA816" s="160"/>
      <c r="AB816" s="160"/>
      <c r="AC816" s="160"/>
      <c r="AD816" s="160"/>
      <c r="AE816" s="160"/>
      <c r="AF816" s="160"/>
      <c r="AG816" s="160">
        <f>IF($AG$677&gt;0,IPMT('Assumptions (Wind)'!$V$10,Model!W1,'Assumptions (Wind)'!$V$13,'Assumptions (Wind)'!$V$8*Model!$AG$677*AVERAGE('Assumptions (Wind)'!$AD$2:$AE$2)/10^9),0)</f>
        <v>-0.01240591536</v>
      </c>
      <c r="AH816" s="160">
        <f>IF($AG$677&gt;0,IPMT('Assumptions (Wind)'!$V$10,Model!X1,'Assumptions (Wind)'!$V$13,'Assumptions (Wind)'!$V$8*Model!$AG$677*AVERAGE('Assumptions (Wind)'!$AD$2:$AE$2)/10^9),0)</f>
        <v>-0.01154954137</v>
      </c>
      <c r="AI816" s="160">
        <f>IF($AG$677&gt;0,IPMT('Assumptions (Wind)'!$V$10,Model!Y1,'Assumptions (Wind)'!$V$13,'Assumptions (Wind)'!$V$8*Model!$AG$677*AVERAGE('Assumptions (Wind)'!$AD$2:$AE$2)/10^9),0)</f>
        <v>-0.01062465745</v>
      </c>
      <c r="AJ816" s="160">
        <f>IF($AG$677&gt;0,IPMT('Assumptions (Wind)'!$V$10,Model!Z1,'Assumptions (Wind)'!$V$13,'Assumptions (Wind)'!$V$8*Model!$AG$677*AVERAGE('Assumptions (Wind)'!$AD$2:$AE$2)/10^9),0)</f>
        <v>-0.009625782828</v>
      </c>
      <c r="AK816" s="160">
        <f>IF($AG$677&gt;0,IPMT('Assumptions (Wind)'!$V$10,Model!AA1,'Assumptions (Wind)'!$V$13,'Assumptions (Wind)'!$V$8*Model!$AG$677*AVERAGE('Assumptions (Wind)'!$AD$2:$AE$2)/10^9),0)</f>
        <v>-0.00854699823</v>
      </c>
      <c r="AL816" s="160">
        <f>IF($AG$677&gt;0,IPMT('Assumptions (Wind)'!$V$10,Model!AB1,'Assumptions (Wind)'!$V$13,'Assumptions (Wind)'!$V$8*Model!$AG$677*AVERAGE('Assumptions (Wind)'!$AD$2:$AE$2)/10^9),0)</f>
        <v>-0.007381910866</v>
      </c>
      <c r="AM816" s="160">
        <f>IF($AG$677&gt;0,IPMT('Assumptions (Wind)'!$V$10,Model!AC1,'Assumptions (Wind)'!$V$13,'Assumptions (Wind)'!$V$8*Model!$AG$677*AVERAGE('Assumptions (Wind)'!$AD$2:$AE$2)/10^9),0)</f>
        <v>-0.006123616512</v>
      </c>
      <c r="AN816" s="160">
        <f>IF($AG$677&gt;0,IPMT('Assumptions (Wind)'!$V$10,Model!AD1,'Assumptions (Wind)'!$V$13,'Assumptions (Wind)'!$V$8*Model!$AG$677*AVERAGE('Assumptions (Wind)'!$AD$2:$AE$2)/10^9),0)</f>
        <v>-0.004764658609</v>
      </c>
      <c r="AO816" s="160">
        <f>IF($AG$677&gt;0,IPMT('Assumptions (Wind)'!$V$10,Model!AE1,'Assumptions (Wind)'!$V$13,'Assumptions (Wind)'!$V$8*Model!$AG$677*AVERAGE('Assumptions (Wind)'!$AD$2:$AE$2)/10^9),0)</f>
        <v>-0.003296984075</v>
      </c>
      <c r="AP816" s="160">
        <f>IF($AG$677&gt;0,IPMT('Assumptions (Wind)'!$V$10,Model!AF1,'Assumptions (Wind)'!$V$13,'Assumptions (Wind)'!$V$8*Model!$AG$677*AVERAGE('Assumptions (Wind)'!$AD$2:$AE$2)/10^9),0)</f>
        <v>-0.001711895577</v>
      </c>
      <c r="AQ816" s="160"/>
      <c r="AR816" s="160"/>
      <c r="AS816" s="160"/>
      <c r="AT816" s="160"/>
      <c r="AU816" s="160"/>
      <c r="AV816" s="160"/>
      <c r="AW816" s="160"/>
      <c r="AX816" s="160"/>
      <c r="AY816" s="160"/>
      <c r="AZ816" s="160"/>
      <c r="BA816" s="160"/>
      <c r="BB816" s="160"/>
      <c r="BC816" s="160"/>
      <c r="BD816" s="160"/>
      <c r="BE816" s="160"/>
    </row>
    <row r="817" ht="15.75" hidden="1" customHeight="1" outlineLevel="1">
      <c r="A817" s="241"/>
      <c r="B817" s="38"/>
      <c r="C817" s="174"/>
      <c r="D817" s="174"/>
      <c r="E817" s="174"/>
      <c r="F817" s="174"/>
      <c r="G817" s="174"/>
      <c r="H817" s="174"/>
      <c r="I817" s="174"/>
      <c r="J817" s="174"/>
      <c r="K817" s="174"/>
      <c r="L817" s="174"/>
      <c r="M817" s="174"/>
      <c r="N817" s="174"/>
      <c r="O817" s="174"/>
      <c r="P817" s="174"/>
      <c r="Q817" s="174"/>
      <c r="R817" s="174"/>
      <c r="S817" s="174"/>
      <c r="T817" s="174"/>
      <c r="U817" s="174"/>
      <c r="V817" s="174"/>
      <c r="W817" s="160"/>
      <c r="X817" s="160"/>
      <c r="Y817" s="160"/>
      <c r="Z817" s="160"/>
      <c r="AA817" s="160"/>
      <c r="AB817" s="160"/>
      <c r="AC817" s="160"/>
      <c r="AD817" s="160"/>
      <c r="AE817" s="160"/>
      <c r="AF817" s="160"/>
      <c r="AG817" s="160"/>
      <c r="AH817" s="160">
        <f>IF($AH$677&gt;0,IPMT('Assumptions (Wind)'!$V$10,Model!W1,'Assumptions (Wind)'!$V$13,'Assumptions (Wind)'!$V$8*Model!$AH$677*AVERAGE('Assumptions (Wind)'!$AE$2:$AF$2)/10^9),0)</f>
        <v>-0.01227982113</v>
      </c>
      <c r="AI817" s="160">
        <f>IF($AH$677&gt;0,IPMT('Assumptions (Wind)'!$V$10,Model!X1,'Assumptions (Wind)'!$V$13,'Assumptions (Wind)'!$V$8*Model!$AH$677*AVERAGE('Assumptions (Wind)'!$AE$2:$AF$2)/10^9),0)</f>
        <v>-0.01143215136</v>
      </c>
      <c r="AJ817" s="160">
        <f>IF($AH$677&gt;0,IPMT('Assumptions (Wind)'!$V$10,Model!Y1,'Assumptions (Wind)'!$V$13,'Assumptions (Wind)'!$V$8*Model!$AH$677*AVERAGE('Assumptions (Wind)'!$AE$2:$AF$2)/10^9),0)</f>
        <v>-0.010516668</v>
      </c>
      <c r="AK817" s="160">
        <f>IF($AH$677&gt;0,IPMT('Assumptions (Wind)'!$V$10,Model!Z1,'Assumptions (Wind)'!$V$13,'Assumptions (Wind)'!$V$8*Model!$AH$677*AVERAGE('Assumptions (Wind)'!$AE$2:$AF$2)/10^9),0)</f>
        <v>-0.009527945979</v>
      </c>
      <c r="AL817" s="160">
        <f>IF($AH$677&gt;0,IPMT('Assumptions (Wind)'!$V$10,Model!AA1,'Assumptions (Wind)'!$V$13,'Assumptions (Wind)'!$V$8*Model!$AH$677*AVERAGE('Assumptions (Wind)'!$AE$2:$AF$2)/10^9),0)</f>
        <v>-0.008460126192</v>
      </c>
      <c r="AM817" s="160">
        <f>IF($AH$677&gt;0,IPMT('Assumptions (Wind)'!$V$10,Model!AB1,'Assumptions (Wind)'!$V$13,'Assumptions (Wind)'!$V$8*Model!$AH$677*AVERAGE('Assumptions (Wind)'!$AE$2:$AF$2)/10^9),0)</f>
        <v>-0.007306880823</v>
      </c>
      <c r="AN817" s="160">
        <f>IF($AH$677&gt;0,IPMT('Assumptions (Wind)'!$V$10,Model!AC1,'Assumptions (Wind)'!$V$13,'Assumptions (Wind)'!$V$8*Model!$AH$677*AVERAGE('Assumptions (Wind)'!$AE$2:$AF$2)/10^9),0)</f>
        <v>-0.006061375824</v>
      </c>
      <c r="AO817" s="160">
        <f>IF($AH$677&gt;0,IPMT('Assumptions (Wind)'!$V$10,Model!AD1,'Assumptions (Wind)'!$V$13,'Assumptions (Wind)'!$V$8*Model!$AH$677*AVERAGE('Assumptions (Wind)'!$AE$2:$AF$2)/10^9),0)</f>
        <v>-0.004716230425</v>
      </c>
      <c r="AP817" s="160">
        <f>IF($AH$677&gt;0,IPMT('Assumptions (Wind)'!$V$10,Model!AE1,'Assumptions (Wind)'!$V$13,'Assumptions (Wind)'!$V$8*Model!$AH$677*AVERAGE('Assumptions (Wind)'!$AE$2:$AF$2)/10^9),0)</f>
        <v>-0.003263473394</v>
      </c>
      <c r="AQ817" s="160">
        <f>IF($AH$677&gt;0,IPMT('Assumptions (Wind)'!$V$10,Model!AF1,'Assumptions (Wind)'!$V$13,'Assumptions (Wind)'!$V$8*Model!$AH$677*AVERAGE('Assumptions (Wind)'!$AE$2:$AF$2)/10^9),0)</f>
        <v>-0.001694495801</v>
      </c>
      <c r="AR817" s="160"/>
      <c r="AS817" s="160"/>
      <c r="AT817" s="160"/>
      <c r="AU817" s="160"/>
      <c r="AV817" s="160"/>
      <c r="AW817" s="160"/>
      <c r="AX817" s="160"/>
      <c r="AY817" s="160"/>
      <c r="AZ817" s="160"/>
      <c r="BA817" s="160"/>
      <c r="BB817" s="160"/>
      <c r="BC817" s="160"/>
      <c r="BD817" s="160"/>
      <c r="BE817" s="160"/>
      <c r="BF817" s="160"/>
    </row>
    <row r="818" ht="15.75" hidden="1" customHeight="1" outlineLevel="1">
      <c r="A818" s="241"/>
      <c r="B818" s="38"/>
      <c r="C818" s="174"/>
      <c r="D818" s="174"/>
      <c r="E818" s="174"/>
      <c r="F818" s="174"/>
      <c r="G818" s="174"/>
      <c r="H818" s="174"/>
      <c r="I818" s="174"/>
      <c r="J818" s="174"/>
      <c r="K818" s="174"/>
      <c r="L818" s="174"/>
      <c r="M818" s="174"/>
      <c r="N818" s="174"/>
      <c r="O818" s="174"/>
      <c r="P818" s="174"/>
      <c r="Q818" s="174"/>
      <c r="R818" s="174"/>
      <c r="S818" s="174"/>
      <c r="T818" s="174"/>
      <c r="U818" s="174"/>
      <c r="V818" s="174"/>
      <c r="W818" s="160"/>
      <c r="X818" s="160"/>
      <c r="Y818" s="160"/>
      <c r="Z818" s="160"/>
      <c r="AA818" s="160"/>
      <c r="AB818" s="160"/>
      <c r="AC818" s="160"/>
      <c r="AD818" s="160"/>
      <c r="AE818" s="160"/>
      <c r="AF818" s="160"/>
      <c r="AG818" s="160"/>
      <c r="AH818" s="160"/>
      <c r="AI818" s="160">
        <f>IF($AI$677&gt;0,IPMT('Assumptions (Wind)'!$V$10,Model!W1,'Assumptions (Wind)'!$V$13,'Assumptions (Wind)'!$V$8*Model!$AI$677*AVERAGE('Assumptions (Wind)'!$AF$2:$AG$2)/10^9),0)</f>
        <v>-0.01439988839</v>
      </c>
      <c r="AJ818" s="160">
        <f>IF($AI$677&gt;0,IPMT('Assumptions (Wind)'!$V$10,Model!X1,'Assumptions (Wind)'!$V$13,'Assumptions (Wind)'!$V$8*Model!$AI$677*AVERAGE('Assumptions (Wind)'!$AF$2:$AG$2)/10^9),0)</f>
        <v>-0.01340587146</v>
      </c>
      <c r="AK818" s="160">
        <f>IF($AI$677&gt;0,IPMT('Assumptions (Wind)'!$V$10,Model!Y1,'Assumptions (Wind)'!$V$13,'Assumptions (Wind)'!$V$8*Model!$AI$677*AVERAGE('Assumptions (Wind)'!$AF$2:$AG$2)/10^9),0)</f>
        <v>-0.01233233317</v>
      </c>
      <c r="AL818" s="160">
        <f>IF($AI$677&gt;0,IPMT('Assumptions (Wind)'!$V$10,Model!Z1,'Assumptions (Wind)'!$V$13,'Assumptions (Wind)'!$V$8*Model!$AI$677*AVERAGE('Assumptions (Wind)'!$AF$2:$AG$2)/10^9),0)</f>
        <v>-0.01117291182</v>
      </c>
      <c r="AM818" s="160">
        <f>IF($AI$677&gt;0,IPMT('Assumptions (Wind)'!$V$10,Model!AA1,'Assumptions (Wind)'!$V$13,'Assumptions (Wind)'!$V$8*Model!$AI$677*AVERAGE('Assumptions (Wind)'!$AF$2:$AG$2)/10^9),0)</f>
        <v>-0.009920736764</v>
      </c>
      <c r="AN818" s="160">
        <f>IF($AI$677&gt;0,IPMT('Assumptions (Wind)'!$V$10,Model!AB1,'Assumptions (Wind)'!$V$13,'Assumptions (Wind)'!$V$8*Model!$AI$677*AVERAGE('Assumptions (Wind)'!$AF$2:$AG$2)/10^9),0)</f>
        <v>-0.0085683877</v>
      </c>
      <c r="AO818" s="160">
        <f>IF($AI$677&gt;0,IPMT('Assumptions (Wind)'!$V$10,Model!AC1,'Assumptions (Wind)'!$V$13,'Assumptions (Wind)'!$V$8*Model!$AI$677*AVERAGE('Assumptions (Wind)'!$AF$2:$AG$2)/10^9),0)</f>
        <v>-0.007107850711</v>
      </c>
      <c r="AP818" s="160">
        <f>IF($AI$677&gt;0,IPMT('Assumptions (Wind)'!$V$10,Model!AD1,'Assumptions (Wind)'!$V$13,'Assumptions (Wind)'!$V$8*Model!$AI$677*AVERAGE('Assumptions (Wind)'!$AF$2:$AG$2)/10^9),0)</f>
        <v>-0.005530470763</v>
      </c>
      <c r="AQ818" s="160">
        <f>IF($AI$677&gt;0,IPMT('Assumptions (Wind)'!$V$10,Model!AE1,'Assumptions (Wind)'!$V$13,'Assumptions (Wind)'!$V$8*Model!$AI$677*AVERAGE('Assumptions (Wind)'!$AF$2:$AG$2)/10^9),0)</f>
        <v>-0.00382690042</v>
      </c>
      <c r="AR818" s="160">
        <f>IF($AI$677&gt;0,IPMT('Assumptions (Wind)'!$V$10,Model!AF1,'Assumptions (Wind)'!$V$13,'Assumptions (Wind)'!$V$8*Model!$AI$677*AVERAGE('Assumptions (Wind)'!$AF$2:$AG$2)/10^9),0)</f>
        <v>-0.001987044449</v>
      </c>
      <c r="AS818" s="160"/>
      <c r="AT818" s="160"/>
      <c r="AU818" s="160"/>
      <c r="AV818" s="160"/>
      <c r="AW818" s="160"/>
      <c r="AX818" s="160"/>
      <c r="AY818" s="160"/>
      <c r="AZ818" s="160"/>
      <c r="BA818" s="160"/>
      <c r="BB818" s="160"/>
      <c r="BC818" s="160"/>
      <c r="BD818" s="160"/>
      <c r="BE818" s="160"/>
      <c r="BF818" s="160"/>
      <c r="BG818" s="160"/>
    </row>
    <row r="819" ht="15.75" hidden="1" customHeight="1" outlineLevel="1">
      <c r="A819" s="241"/>
      <c r="B819" s="38"/>
      <c r="C819" s="174"/>
      <c r="D819" s="174"/>
      <c r="E819" s="174"/>
      <c r="F819" s="174"/>
      <c r="G819" s="174"/>
      <c r="H819" s="174"/>
      <c r="I819" s="174"/>
      <c r="J819" s="174"/>
      <c r="K819" s="174"/>
      <c r="L819" s="174"/>
      <c r="M819" s="174"/>
      <c r="N819" s="174"/>
      <c r="O819" s="174"/>
      <c r="P819" s="174"/>
      <c r="Q819" s="174"/>
      <c r="R819" s="174"/>
      <c r="S819" s="174"/>
      <c r="T819" s="174"/>
      <c r="U819" s="174"/>
      <c r="V819" s="174"/>
      <c r="W819" s="160"/>
      <c r="X819" s="160"/>
      <c r="Y819" s="160"/>
      <c r="Z819" s="160"/>
      <c r="AA819" s="160"/>
      <c r="AB819" s="160"/>
      <c r="AC819" s="160"/>
      <c r="AD819" s="160"/>
      <c r="AE819" s="160"/>
      <c r="AF819" s="160"/>
      <c r="AG819" s="160"/>
      <c r="AH819" s="160"/>
      <c r="AI819" s="160"/>
      <c r="AJ819" s="177">
        <f>IF($AJ$677&gt;0,IPMT('Assumptions (Wind)'!$V$10,Model!W1,'Assumptions (Wind)'!$V$13,'Assumptions (Wind)'!$V$8*Model!$AJ$677*AVERAGE('Assumptions (Wind)'!$AG$2:$AH$2)/10^9),0)</f>
        <v>-0.01237742429</v>
      </c>
      <c r="AK819" s="177">
        <f>IF($AJ$677&gt;0,IPMT('Assumptions (Wind)'!$V$10,Model!X1,'Assumptions (Wind)'!$V$13,'Assumptions (Wind)'!$V$8*Model!$AJ$677*AVERAGE('Assumptions (Wind)'!$AG$2:$AH$2)/10^9),0)</f>
        <v>-0.01152301702</v>
      </c>
      <c r="AL819" s="177">
        <f>IF($AJ$677&gt;0,IPMT('Assumptions (Wind)'!$V$10,Model!Y1,'Assumptions (Wind)'!$V$13,'Assumptions (Wind)'!$V$8*Model!$AJ$677*AVERAGE('Assumptions (Wind)'!$AG$2:$AH$2)/10^9),0)</f>
        <v>-0.01060025717</v>
      </c>
      <c r="AM819" s="177">
        <f>IF($AJ$677&gt;0,IPMT('Assumptions (Wind)'!$V$10,Model!Z1,'Assumptions (Wind)'!$V$13,'Assumptions (Wind)'!$V$8*Model!$AJ$677*AVERAGE('Assumptions (Wind)'!$AG$2:$AH$2)/10^9),0)</f>
        <v>-0.00960367653</v>
      </c>
      <c r="AN819" s="177">
        <f>IF($AJ$677&gt;0,IPMT('Assumptions (Wind)'!$V$10,Model!AA1,'Assumptions (Wind)'!$V$13,'Assumptions (Wind)'!$V$8*Model!$AJ$677*AVERAGE('Assumptions (Wind)'!$AG$2:$AH$2)/10^9),0)</f>
        <v>-0.008527369439</v>
      </c>
      <c r="AO819" s="177">
        <f>IF($AJ$677&gt;0,IPMT('Assumptions (Wind)'!$V$10,Model!AB1,'Assumptions (Wind)'!$V$13,'Assumptions (Wind)'!$V$8*Model!$AJ$677*AVERAGE('Assumptions (Wind)'!$AG$2:$AH$2)/10^9),0)</f>
        <v>-0.00736495778</v>
      </c>
      <c r="AP819" s="177">
        <f>IF($AJ$677&gt;0,IPMT('Assumptions (Wind)'!$V$10,Model!AC1,'Assumptions (Wind)'!$V$13,'Assumptions (Wind)'!$V$8*Model!$AJ$677*AVERAGE('Assumptions (Wind)'!$AG$2:$AH$2)/10^9),0)</f>
        <v>-0.006109553189</v>
      </c>
      <c r="AQ819" s="177">
        <f>IF($AJ$677&gt;0,IPMT('Assumptions (Wind)'!$V$10,Model!AD1,'Assumptions (Wind)'!$V$13,'Assumptions (Wind)'!$V$8*Model!$AJ$677*AVERAGE('Assumptions (Wind)'!$AG$2:$AH$2)/10^9),0)</f>
        <v>-0.004753716231</v>
      </c>
      <c r="AR819" s="177">
        <f>IF($AJ$677&gt;0,IPMT('Assumptions (Wind)'!$V$10,Model!AE1,'Assumptions (Wind)'!$V$13,'Assumptions (Wind)'!$V$8*Model!$AJ$677*AVERAGE('Assumptions (Wind)'!$AG$2:$AH$2)/10^9),0)</f>
        <v>-0.003289412315</v>
      </c>
      <c r="AS819" s="177">
        <f>IF($AJ$677&gt;0,IPMT('Assumptions (Wind)'!$V$10,Model!AF1,'Assumptions (Wind)'!$V$13,'Assumptions (Wind)'!$V$8*Model!$AJ$677*AVERAGE('Assumptions (Wind)'!$AG$2:$AH$2)/10^9),0)</f>
        <v>-0.001707964087</v>
      </c>
      <c r="AT819" s="177"/>
      <c r="AU819" s="177"/>
      <c r="AV819" s="177"/>
      <c r="AW819" s="177"/>
      <c r="AX819" s="177"/>
      <c r="AY819" s="177"/>
      <c r="AZ819" s="177"/>
      <c r="BA819" s="177"/>
      <c r="BB819" s="177"/>
      <c r="BC819" s="177"/>
      <c r="BD819" s="177"/>
      <c r="BE819" s="177"/>
      <c r="BF819" s="177"/>
      <c r="BG819" s="177"/>
      <c r="BH819" s="177"/>
    </row>
    <row r="820" ht="15.75" hidden="1" customHeight="1" outlineLevel="1">
      <c r="A820" s="241"/>
      <c r="B820" s="38"/>
      <c r="C820" s="174"/>
      <c r="D820" s="174"/>
      <c r="E820" s="174"/>
      <c r="F820" s="174"/>
      <c r="G820" s="174"/>
      <c r="H820" s="174"/>
      <c r="I820" s="174"/>
      <c r="J820" s="174"/>
      <c r="K820" s="174"/>
      <c r="L820" s="174"/>
      <c r="M820" s="174"/>
      <c r="N820" s="174"/>
      <c r="O820" s="174"/>
      <c r="P820" s="174"/>
      <c r="Q820" s="174"/>
      <c r="R820" s="174"/>
      <c r="S820" s="174"/>
      <c r="T820" s="174"/>
      <c r="U820" s="174"/>
      <c r="V820" s="174"/>
      <c r="W820" s="160"/>
      <c r="X820" s="160"/>
      <c r="Y820" s="160"/>
      <c r="Z820" s="160"/>
      <c r="AA820" s="160"/>
      <c r="AB820" s="160"/>
      <c r="AC820" s="160"/>
      <c r="AD820" s="160"/>
      <c r="AE820" s="160"/>
      <c r="AF820" s="160"/>
      <c r="AG820" s="160"/>
      <c r="AH820" s="160"/>
      <c r="AI820" s="160"/>
      <c r="AJ820" s="179"/>
      <c r="AK820" s="160">
        <f>IF($AK$677&gt;0,IPMT('Assumptions (Wind)'!$V$10,Model!W1,'Assumptions (Wind)'!$V$13,'Assumptions (Wind)'!$V$8*Model!$AK$677*AVERAGE('Assumptions (Wind)'!$AH$2:$AI$2)/10^9),0)</f>
        <v>-0.0124856376</v>
      </c>
      <c r="AL820" s="160">
        <f>IF($AK$677&gt;0,IPMT('Assumptions (Wind)'!$V$10,Model!X1,'Assumptions (Wind)'!$V$13,'Assumptions (Wind)'!$V$8*Model!$AK$677*AVERAGE('Assumptions (Wind)'!$AH$2:$AI$2)/10^9),0)</f>
        <v>-0.01162376042</v>
      </c>
      <c r="AM820" s="160">
        <f>IF($AK$677&gt;0,IPMT('Assumptions (Wind)'!$V$10,Model!Y1,'Assumptions (Wind)'!$V$13,'Assumptions (Wind)'!$V$8*Model!$AK$677*AVERAGE('Assumptions (Wind)'!$AH$2:$AI$2)/10^9),0)</f>
        <v>-0.01069293307</v>
      </c>
      <c r="AN820" s="160">
        <f>IF($AK$677&gt;0,IPMT('Assumptions (Wind)'!$V$10,Model!Z1,'Assumptions (Wind)'!$V$13,'Assumptions (Wind)'!$V$8*Model!$AK$677*AVERAGE('Assumptions (Wind)'!$AH$2:$AI$2)/10^9),0)</f>
        <v>-0.009687639527</v>
      </c>
      <c r="AO820" s="160">
        <f>IF($AK$677&gt;0,IPMT('Assumptions (Wind)'!$V$10,Model!AA1,'Assumptions (Wind)'!$V$13,'Assumptions (Wind)'!$V$8*Model!$AK$677*AVERAGE('Assumptions (Wind)'!$AH$2:$AI$2)/10^9),0)</f>
        <v>-0.008601922501</v>
      </c>
      <c r="AP820" s="160">
        <f>IF($AK$677&gt;0,IPMT('Assumptions (Wind)'!$V$10,Model!AB1,'Assumptions (Wind)'!$V$13,'Assumptions (Wind)'!$V$8*Model!$AK$677*AVERAGE('Assumptions (Wind)'!$AH$2:$AI$2)/10^9),0)</f>
        <v>-0.007429348113</v>
      </c>
      <c r="AQ820" s="160">
        <f>IF($AK$677&gt;0,IPMT('Assumptions (Wind)'!$V$10,Model!AC1,'Assumptions (Wind)'!$V$13,'Assumptions (Wind)'!$V$8*Model!$AK$677*AVERAGE('Assumptions (Wind)'!$AH$2:$AI$2)/10^9),0)</f>
        <v>-0.006162967774</v>
      </c>
      <c r="AR820" s="160">
        <f>IF($AK$677&gt;0,IPMT('Assumptions (Wind)'!$V$10,Model!AD1,'Assumptions (Wind)'!$V$13,'Assumptions (Wind)'!$V$8*Model!$AK$677*AVERAGE('Assumptions (Wind)'!$AH$2:$AI$2)/10^9),0)</f>
        <v>-0.004795277008</v>
      </c>
      <c r="AS820" s="160">
        <f>IF($AK$677&gt;0,IPMT('Assumptions (Wind)'!$V$10,Model!AE1,'Assumptions (Wind)'!$V$13,'Assumptions (Wind)'!$V$8*Model!$AK$677*AVERAGE('Assumptions (Wind)'!$AH$2:$AI$2)/10^9),0)</f>
        <v>-0.00331817098</v>
      </c>
      <c r="AT820" s="160">
        <f>IF($AK$677&gt;0,IPMT('Assumptions (Wind)'!$V$10,Model!AF1,'Assumptions (Wind)'!$V$13,'Assumptions (Wind)'!$V$8*Model!$AK$677*AVERAGE('Assumptions (Wind)'!$AH$2:$AI$2)/10^9),0)</f>
        <v>-0.00172289647</v>
      </c>
      <c r="AU820" s="160"/>
      <c r="AV820" s="160"/>
      <c r="AW820" s="160"/>
      <c r="AX820" s="160"/>
      <c r="AY820" s="160"/>
      <c r="AZ820" s="160"/>
      <c r="BA820" s="160"/>
      <c r="BB820" s="160"/>
      <c r="BC820" s="160"/>
      <c r="BD820" s="160"/>
      <c r="BE820" s="160"/>
      <c r="BF820" s="160"/>
      <c r="BG820" s="160"/>
      <c r="BH820" s="160"/>
      <c r="BI820" s="160"/>
    </row>
    <row r="821" ht="15.75" hidden="1" customHeight="1" outlineLevel="1">
      <c r="A821" s="241"/>
      <c r="B821" s="38"/>
      <c r="C821" s="174"/>
      <c r="D821" s="174"/>
      <c r="E821" s="174"/>
      <c r="F821" s="174"/>
      <c r="G821" s="174"/>
      <c r="H821" s="174"/>
      <c r="I821" s="174"/>
      <c r="J821" s="174"/>
      <c r="K821" s="174"/>
      <c r="L821" s="174"/>
      <c r="M821" s="174"/>
      <c r="N821" s="174"/>
      <c r="O821" s="174"/>
      <c r="P821" s="174"/>
      <c r="Q821" s="174"/>
      <c r="R821" s="174"/>
      <c r="S821" s="174"/>
      <c r="T821" s="174"/>
      <c r="U821" s="174"/>
      <c r="V821" s="174"/>
      <c r="W821" s="160"/>
      <c r="X821" s="160"/>
      <c r="Y821" s="160"/>
      <c r="Z821" s="160"/>
      <c r="AA821" s="160"/>
      <c r="AB821" s="160"/>
      <c r="AC821" s="160"/>
      <c r="AD821" s="160"/>
      <c r="AE821" s="160"/>
      <c r="AF821" s="160"/>
      <c r="AG821" s="160"/>
      <c r="AH821" s="160"/>
      <c r="AI821" s="160"/>
      <c r="AJ821" s="179"/>
      <c r="AK821" s="160"/>
      <c r="AL821" s="177">
        <f>IF($AL$677&gt;0,IPMT('Assumptions (Wind)'!$V$10,Model!W1,'Assumptions (Wind)'!$V$13,'Assumptions (Wind)'!$V$8*Model!$AL$677*AVERAGE('Assumptions (Wind)'!$AI$2:$AJ$2)/10^9),0)</f>
        <v>-0.01259326508</v>
      </c>
      <c r="AM821" s="177">
        <f>IF($AL$677&gt;0,IPMT('Assumptions (Wind)'!$V$10,Model!X1,'Assumptions (Wind)'!$V$13,'Assumptions (Wind)'!$V$8*Model!$AL$677*AVERAGE('Assumptions (Wind)'!$AI$2:$AJ$2)/10^9),0)</f>
        <v>-0.01172395843</v>
      </c>
      <c r="AN821" s="177">
        <f>IF($AL$677&gt;0,IPMT('Assumptions (Wind)'!$V$10,Model!Y1,'Assumptions (Wind)'!$V$13,'Assumptions (Wind)'!$V$8*Model!$AL$677*AVERAGE('Assumptions (Wind)'!$AI$2:$AJ$2)/10^9),0)</f>
        <v>-0.01078510725</v>
      </c>
      <c r="AO821" s="177">
        <f>IF($AL$677&gt;0,IPMT('Assumptions (Wind)'!$V$10,Model!Z1,'Assumptions (Wind)'!$V$13,'Assumptions (Wind)'!$V$8*Model!$AL$677*AVERAGE('Assumptions (Wind)'!$AI$2:$AJ$2)/10^9),0)</f>
        <v>-0.00977114797</v>
      </c>
      <c r="AP821" s="177">
        <f>IF($AL$677&gt;0,IPMT('Assumptions (Wind)'!$V$10,Model!AA1,'Assumptions (Wind)'!$V$13,'Assumptions (Wind)'!$V$8*Model!$AL$677*AVERAGE('Assumptions (Wind)'!$AI$2:$AJ$2)/10^9),0)</f>
        <v>-0.008676071952</v>
      </c>
      <c r="AQ821" s="177">
        <f>IF($AL$677&gt;0,IPMT('Assumptions (Wind)'!$V$10,Model!AB1,'Assumptions (Wind)'!$V$13,'Assumptions (Wind)'!$V$8*Model!$AL$677*AVERAGE('Assumptions (Wind)'!$AI$2:$AJ$2)/10^9),0)</f>
        <v>-0.007493389853</v>
      </c>
      <c r="AR821" s="177">
        <f>IF($AL$677&gt;0,IPMT('Assumptions (Wind)'!$V$10,Model!AC1,'Assumptions (Wind)'!$V$13,'Assumptions (Wind)'!$V$8*Model!$AL$677*AVERAGE('Assumptions (Wind)'!$AI$2:$AJ$2)/10^9),0)</f>
        <v>-0.006216093186</v>
      </c>
      <c r="AS821" s="177">
        <f>IF($AL$677&gt;0,IPMT('Assumptions (Wind)'!$V$10,Model!AD1,'Assumptions (Wind)'!$V$13,'Assumptions (Wind)'!$V$8*Model!$AL$677*AVERAGE('Assumptions (Wind)'!$AI$2:$AJ$2)/10^9),0)</f>
        <v>-0.004836612786</v>
      </c>
      <c r="AT821" s="177">
        <f>IF($AL$677&gt;0,IPMT('Assumptions (Wind)'!$V$10,Model!AE1,'Assumptions (Wind)'!$V$13,'Assumptions (Wind)'!$V$8*Model!$AL$677*AVERAGE('Assumptions (Wind)'!$AI$2:$AJ$2)/10^9),0)</f>
        <v>-0.003346773953</v>
      </c>
      <c r="AU821" s="177">
        <f>IF($AL$677&gt;0,IPMT('Assumptions (Wind)'!$V$10,Model!AF1,'Assumptions (Wind)'!$V$13,'Assumptions (Wind)'!$V$8*Model!$AL$677*AVERAGE('Assumptions (Wind)'!$AI$2:$AJ$2)/10^9),0)</f>
        <v>-0.001737748014</v>
      </c>
      <c r="AV821" s="177"/>
      <c r="AW821" s="177"/>
      <c r="AX821" s="177"/>
      <c r="AY821" s="177"/>
      <c r="AZ821" s="177"/>
      <c r="BA821" s="177"/>
      <c r="BB821" s="177"/>
      <c r="BC821" s="177"/>
      <c r="BD821" s="177"/>
      <c r="BE821" s="177"/>
      <c r="BF821" s="177"/>
      <c r="BG821" s="177"/>
      <c r="BH821" s="177"/>
      <c r="BI821" s="177"/>
      <c r="BJ821" s="177"/>
    </row>
    <row r="822" ht="15.75" hidden="1" customHeight="1" outlineLevel="1">
      <c r="A822" s="241"/>
      <c r="B822" s="38"/>
      <c r="C822" s="174"/>
      <c r="D822" s="174"/>
      <c r="E822" s="174"/>
      <c r="F822" s="174"/>
      <c r="G822" s="174"/>
      <c r="H822" s="174"/>
      <c r="I822" s="174"/>
      <c r="J822" s="174"/>
      <c r="K822" s="174"/>
      <c r="L822" s="174"/>
      <c r="M822" s="174"/>
      <c r="N822" s="174"/>
      <c r="O822" s="174"/>
      <c r="P822" s="174"/>
      <c r="Q822" s="174"/>
      <c r="R822" s="174"/>
      <c r="S822" s="174"/>
      <c r="T822" s="174"/>
      <c r="U822" s="174"/>
      <c r="V822" s="174"/>
      <c r="W822" s="160"/>
      <c r="X822" s="160"/>
      <c r="Y822" s="160"/>
      <c r="Z822" s="160"/>
      <c r="AA822" s="160"/>
      <c r="AB822" s="160"/>
      <c r="AC822" s="160"/>
      <c r="AD822" s="160"/>
      <c r="AE822" s="160"/>
      <c r="AF822" s="160"/>
      <c r="AG822" s="160"/>
      <c r="AH822" s="160"/>
      <c r="AI822" s="160"/>
      <c r="AJ822" s="179"/>
      <c r="AK822" s="160"/>
      <c r="AL822" s="177"/>
      <c r="AM822" s="160">
        <f>IF($AM$677&gt;0,IPMT('Assumptions (Wind)'!$V$10,Model!W1,'Assumptions (Wind)'!$V$13,'Assumptions (Wind)'!$V$8*Model!$AM$677*AVERAGE('Assumptions (Wind)'!$AJ$2:$AK$2)/10^9),0)</f>
        <v>-0.01270043907</v>
      </c>
      <c r="AN822" s="160">
        <f>IF($AM$677&gt;0,IPMT('Assumptions (Wind)'!$V$10,Model!X1,'Assumptions (Wind)'!$V$13,'Assumptions (Wind)'!$V$8*Model!$AM$677*AVERAGE('Assumptions (Wind)'!$AJ$2:$AK$2)/10^9),0)</f>
        <v>-0.01182373425</v>
      </c>
      <c r="AO822" s="160">
        <f>IF($AM$677&gt;0,IPMT('Assumptions (Wind)'!$V$10,Model!Y1,'Assumptions (Wind)'!$V$13,'Assumptions (Wind)'!$V$8*Model!$AM$677*AVERAGE('Assumptions (Wind)'!$AJ$2:$AK$2)/10^9),0)</f>
        <v>-0.01087689305</v>
      </c>
      <c r="AP822" s="160">
        <f>IF($AM$677&gt;0,IPMT('Assumptions (Wind)'!$V$10,Model!Z1,'Assumptions (Wind)'!$V$13,'Assumptions (Wind)'!$V$8*Model!$AM$677*AVERAGE('Assumptions (Wind)'!$AJ$2:$AK$2)/10^9),0)</f>
        <v>-0.009854304554</v>
      </c>
      <c r="AQ822" s="160">
        <f>IF($AM$677&gt;0,IPMT('Assumptions (Wind)'!$V$10,Model!AA1,'Assumptions (Wind)'!$V$13,'Assumptions (Wind)'!$V$8*Model!$AM$677*AVERAGE('Assumptions (Wind)'!$AJ$2:$AK$2)/10^9),0)</f>
        <v>-0.008749908979</v>
      </c>
      <c r="AR822" s="160">
        <f>IF($AM$677&gt;0,IPMT('Assumptions (Wind)'!$V$10,Model!AB1,'Assumptions (Wind)'!$V$13,'Assumptions (Wind)'!$V$8*Model!$AM$677*AVERAGE('Assumptions (Wind)'!$AJ$2:$AK$2)/10^9),0)</f>
        <v>-0.007557161757</v>
      </c>
      <c r="AS822" s="160">
        <f>IF($AM$677&gt;0,IPMT('Assumptions (Wind)'!$V$10,Model!AC1,'Assumptions (Wind)'!$V$13,'Assumptions (Wind)'!$V$8*Model!$AM$677*AVERAGE('Assumptions (Wind)'!$AJ$2:$AK$2)/10^9),0)</f>
        <v>-0.006268994757</v>
      </c>
      <c r="AT822" s="160">
        <f>IF($AM$677&gt;0,IPMT('Assumptions (Wind)'!$V$10,Model!AD1,'Assumptions (Wind)'!$V$13,'Assumptions (Wind)'!$V$8*Model!$AM$677*AVERAGE('Assumptions (Wind)'!$AJ$2:$AK$2)/10^9),0)</f>
        <v>-0.004877774397</v>
      </c>
      <c r="AU822" s="160">
        <f>IF($AM$677&gt;0,IPMT('Assumptions (Wind)'!$V$10,Model!AE1,'Assumptions (Wind)'!$V$13,'Assumptions (Wind)'!$V$8*Model!$AM$677*AVERAGE('Assumptions (Wind)'!$AJ$2:$AK$2)/10^9),0)</f>
        <v>-0.003375256409</v>
      </c>
      <c r="AV822" s="160">
        <f>IF($AM$677&gt;0,IPMT('Assumptions (Wind)'!$V$10,Model!AF1,'Assumptions (Wind)'!$V$13,'Assumptions (Wind)'!$V$8*Model!$AM$677*AVERAGE('Assumptions (Wind)'!$AJ$2:$AK$2)/10^9),0)</f>
        <v>-0.001752536982</v>
      </c>
      <c r="AW822" s="160"/>
      <c r="AX822" s="160"/>
      <c r="AY822" s="160"/>
      <c r="AZ822" s="160"/>
      <c r="BA822" s="160"/>
      <c r="BB822" s="160"/>
      <c r="BC822" s="160"/>
      <c r="BD822" s="160"/>
      <c r="BE822" s="160"/>
      <c r="BF822" s="160"/>
      <c r="BG822" s="160"/>
      <c r="BH822" s="160"/>
      <c r="BI822" s="160"/>
      <c r="BJ822" s="160"/>
      <c r="BK822" s="160"/>
    </row>
    <row r="823" ht="15.75" hidden="1" customHeight="1" outlineLevel="1">
      <c r="A823" s="241"/>
      <c r="B823" s="38"/>
      <c r="C823" s="174"/>
      <c r="D823" s="174"/>
      <c r="E823" s="174"/>
      <c r="F823" s="174"/>
      <c r="G823" s="174"/>
      <c r="H823" s="174"/>
      <c r="I823" s="174"/>
      <c r="J823" s="174"/>
      <c r="K823" s="174"/>
      <c r="L823" s="174"/>
      <c r="M823" s="174"/>
      <c r="N823" s="174"/>
      <c r="O823" s="174"/>
      <c r="P823" s="174"/>
      <c r="Q823" s="174"/>
      <c r="R823" s="174"/>
      <c r="S823" s="174"/>
      <c r="T823" s="174"/>
      <c r="U823" s="174"/>
      <c r="V823" s="174"/>
      <c r="W823" s="160"/>
      <c r="X823" s="160"/>
      <c r="Y823" s="160"/>
      <c r="Z823" s="160"/>
      <c r="AA823" s="160"/>
      <c r="AB823" s="160"/>
      <c r="AC823" s="160"/>
      <c r="AD823" s="160"/>
      <c r="AE823" s="160"/>
      <c r="AF823" s="160"/>
      <c r="AG823" s="160"/>
      <c r="AH823" s="160"/>
      <c r="AI823" s="160"/>
      <c r="AJ823" s="179"/>
      <c r="AK823" s="160"/>
      <c r="AL823" s="177"/>
      <c r="AM823" s="177"/>
      <c r="AN823" s="160">
        <f>IF($AN$677&gt;0,IPMT('Assumptions (Wind)'!$V$10,Model!W1,'Assumptions (Wind)'!$V$13,'Assumptions (Wind)'!$V$8*Model!$AN$677*AVERAGE('Assumptions (Wind)'!$AK$2:$AL$2)/10^9),0)</f>
        <v>-0.01280690068</v>
      </c>
      <c r="AO823" s="160">
        <f>IF($AN$677&gt;0,IPMT('Assumptions (Wind)'!$V$10,Model!X1,'Assumptions (Wind)'!$V$13,'Assumptions (Wind)'!$V$8*Model!$AN$677*AVERAGE('Assumptions (Wind)'!$AK$2:$AL$2)/10^9),0)</f>
        <v>-0.01192284688</v>
      </c>
      <c r="AP823" s="160">
        <f>IF($AN$677&gt;0,IPMT('Assumptions (Wind)'!$V$10,Model!Y1,'Assumptions (Wind)'!$V$13,'Assumptions (Wind)'!$V$8*Model!$AN$677*AVERAGE('Assumptions (Wind)'!$AK$2:$AL$2)/10^9),0)</f>
        <v>-0.01096806877</v>
      </c>
      <c r="AQ823" s="160">
        <f>IF($AN$677&gt;0,IPMT('Assumptions (Wind)'!$V$10,Model!Z1,'Assumptions (Wind)'!$V$13,'Assumptions (Wind)'!$V$8*Model!$AN$677*AVERAGE('Assumptions (Wind)'!$AK$2:$AL$2)/10^9),0)</f>
        <v>-0.009936908408</v>
      </c>
      <c r="AR823" s="160">
        <f>IF($AN$677&gt;0,IPMT('Assumptions (Wind)'!$V$10,Model!AA1,'Assumptions (Wind)'!$V$13,'Assumptions (Wind)'!$V$8*Model!$AN$677*AVERAGE('Assumptions (Wind)'!$AK$2:$AL$2)/10^9),0)</f>
        <v>-0.00882325522</v>
      </c>
      <c r="AS823" s="160">
        <f>IF($AN$677&gt;0,IPMT('Assumptions (Wind)'!$V$10,Model!AB1,'Assumptions (Wind)'!$V$13,'Assumptions (Wind)'!$V$8*Model!$AN$677*AVERAGE('Assumptions (Wind)'!$AK$2:$AL$2)/10^9),0)</f>
        <v>-0.007620509777</v>
      </c>
      <c r="AT823" s="160">
        <f>IF($AN$677&gt;0,IPMT('Assumptions (Wind)'!$V$10,Model!AC1,'Assumptions (Wind)'!$V$13,'Assumptions (Wind)'!$V$8*Model!$AN$677*AVERAGE('Assumptions (Wind)'!$AK$2:$AL$2)/10^9),0)</f>
        <v>-0.006321544698</v>
      </c>
      <c r="AU823" s="160">
        <f>IF($AN$677&gt;0,IPMT('Assumptions (Wind)'!$V$10,Model!AD1,'Assumptions (Wind)'!$V$13,'Assumptions (Wind)'!$V$8*Model!$AN$677*AVERAGE('Assumptions (Wind)'!$AK$2:$AL$2)/10^9),0)</f>
        <v>-0.004918662413</v>
      </c>
      <c r="AV823" s="160">
        <f>IF($AN$677&gt;0,IPMT('Assumptions (Wind)'!$V$10,Model!AE1,'Assumptions (Wind)'!$V$13,'Assumptions (Wind)'!$V$8*Model!$AN$677*AVERAGE('Assumptions (Wind)'!$AK$2:$AL$2)/10^9),0)</f>
        <v>-0.003403549546</v>
      </c>
      <c r="AW823" s="160">
        <f>IF($AN$677&gt;0,IPMT('Assumptions (Wind)'!$V$10,Model!AF1,'Assumptions (Wind)'!$V$13,'Assumptions (Wind)'!$V$8*Model!$AN$677*AVERAGE('Assumptions (Wind)'!$AK$2:$AL$2)/10^9),0)</f>
        <v>-0.001767227649</v>
      </c>
      <c r="AX823" s="160"/>
      <c r="AY823" s="160"/>
      <c r="AZ823" s="160"/>
      <c r="BA823" s="160"/>
      <c r="BB823" s="160"/>
      <c r="BC823" s="160"/>
      <c r="BD823" s="160"/>
      <c r="BE823" s="160"/>
      <c r="BF823" s="160"/>
      <c r="BG823" s="160"/>
      <c r="BH823" s="160"/>
      <c r="BI823" s="160"/>
      <c r="BJ823" s="160"/>
      <c r="BK823" s="160"/>
      <c r="BL823" s="160"/>
    </row>
    <row r="824" ht="15.75" hidden="1" customHeight="1" outlineLevel="1">
      <c r="A824" s="241"/>
      <c r="B824" s="38"/>
      <c r="C824" s="174"/>
      <c r="D824" s="174"/>
      <c r="E824" s="174"/>
      <c r="F824" s="174"/>
      <c r="G824" s="174"/>
      <c r="H824" s="174"/>
      <c r="I824" s="174"/>
      <c r="J824" s="174"/>
      <c r="K824" s="174"/>
      <c r="L824" s="174"/>
      <c r="M824" s="174"/>
      <c r="N824" s="174"/>
      <c r="O824" s="174"/>
      <c r="P824" s="174"/>
      <c r="Q824" s="174"/>
      <c r="R824" s="174"/>
      <c r="S824" s="174"/>
      <c r="T824" s="174"/>
      <c r="U824" s="174"/>
      <c r="V824" s="174"/>
      <c r="W824" s="160"/>
      <c r="X824" s="160"/>
      <c r="Y824" s="160"/>
      <c r="Z824" s="160"/>
      <c r="AA824" s="160"/>
      <c r="AB824" s="160"/>
      <c r="AC824" s="160"/>
      <c r="AD824" s="160"/>
      <c r="AE824" s="160"/>
      <c r="AF824" s="160"/>
      <c r="AG824" s="160"/>
      <c r="AH824" s="160"/>
      <c r="AI824" s="160"/>
      <c r="AJ824" s="179"/>
      <c r="AK824" s="160"/>
      <c r="AL824" s="177"/>
      <c r="AM824" s="177"/>
      <c r="AN824" s="177"/>
      <c r="AO824" s="160">
        <f>IF($AO$677&gt;0,IPMT('Assumptions (Wind)'!$V$10,Model!W1,'Assumptions (Wind)'!$V$13,'Assumptions (Wind)'!$V$8*Model!$AO$677*AVERAGE('Assumptions (Wind)'!$AL$2:$AM$2)/10^9),0)</f>
        <v>-0.01291278548</v>
      </c>
      <c r="AP824" s="160">
        <f>IF($AO$677&gt;0,IPMT('Assumptions (Wind)'!$V$10,Model!X1,'Assumptions (Wind)'!$V$13,'Assumptions (Wind)'!$V$8*Model!$AO$677*AVERAGE('Assumptions (Wind)'!$AL$2:$AM$2)/10^9),0)</f>
        <v>-0.0120214225</v>
      </c>
      <c r="AQ824" s="160">
        <f>IF($AO$677&gt;0,IPMT('Assumptions (Wind)'!$V$10,Model!Y1,'Assumptions (Wind)'!$V$13,'Assumptions (Wind)'!$V$8*Model!$AO$677*AVERAGE('Assumptions (Wind)'!$AL$2:$AM$2)/10^9),0)</f>
        <v>-0.01105875048</v>
      </c>
      <c r="AR824" s="160">
        <f>IF($AO$677&gt;0,IPMT('Assumptions (Wind)'!$V$10,Model!Z1,'Assumptions (Wind)'!$V$13,'Assumptions (Wind)'!$V$8*Model!$AO$677*AVERAGE('Assumptions (Wind)'!$AL$2:$AM$2)/10^9),0)</f>
        <v>-0.01001906471</v>
      </c>
      <c r="AS824" s="160">
        <f>IF($AO$677&gt;0,IPMT('Assumptions (Wind)'!$V$10,Model!AA1,'Assumptions (Wind)'!$V$13,'Assumptions (Wind)'!$V$8*Model!$AO$677*AVERAGE('Assumptions (Wind)'!$AL$2:$AM$2)/10^9),0)</f>
        <v>-0.008896204064</v>
      </c>
      <c r="AT824" s="160">
        <f>IF($AO$677&gt;0,IPMT('Assumptions (Wind)'!$V$10,Model!AB1,'Assumptions (Wind)'!$V$13,'Assumptions (Wind)'!$V$8*Model!$AO$677*AVERAGE('Assumptions (Wind)'!$AL$2:$AM$2)/10^9),0)</f>
        <v>-0.007683514571</v>
      </c>
      <c r="AU824" s="160">
        <f>IF($AO$677&gt;0,IPMT('Assumptions (Wind)'!$V$10,Model!AC1,'Assumptions (Wind)'!$V$13,'Assumptions (Wind)'!$V$8*Model!$AO$677*AVERAGE('Assumptions (Wind)'!$AL$2:$AM$2)/10^9),0)</f>
        <v>-0.006373809919</v>
      </c>
      <c r="AV824" s="160">
        <f>IF($AO$677&gt;0,IPMT('Assumptions (Wind)'!$V$10,Model!AD1,'Assumptions (Wind)'!$V$13,'Assumptions (Wind)'!$V$8*Model!$AO$677*AVERAGE('Assumptions (Wind)'!$AL$2:$AM$2)/10^9),0)</f>
        <v>-0.004959328894</v>
      </c>
      <c r="AW824" s="160">
        <f>IF($AO$677&gt;0,IPMT('Assumptions (Wind)'!$V$10,Model!AE1,'Assumptions (Wind)'!$V$13,'Assumptions (Wind)'!$V$8*Model!$AO$677*AVERAGE('Assumptions (Wind)'!$AL$2:$AM$2)/10^9),0)</f>
        <v>-0.003431689388</v>
      </c>
      <c r="AX824" s="160">
        <f>IF($AO$677&gt;0,IPMT('Assumptions (Wind)'!$V$10,Model!AF1,'Assumptions (Wind)'!$V$13,'Assumptions (Wind)'!$V$8*Model!$AO$677*AVERAGE('Assumptions (Wind)'!$AL$2:$AM$2)/10^9),0)</f>
        <v>-0.00178183872</v>
      </c>
      <c r="AY824" s="160"/>
      <c r="AZ824" s="160"/>
      <c r="BA824" s="160"/>
      <c r="BB824" s="160"/>
      <c r="BC824" s="160"/>
      <c r="BD824" s="160"/>
      <c r="BE824" s="160"/>
      <c r="BF824" s="160"/>
      <c r="BG824" s="160"/>
      <c r="BH824" s="160"/>
      <c r="BI824" s="160"/>
      <c r="BJ824" s="160"/>
      <c r="BK824" s="160"/>
      <c r="BL824" s="160"/>
      <c r="BM824" s="160"/>
    </row>
    <row r="825" ht="15.75" hidden="1" customHeight="1" outlineLevel="1">
      <c r="A825" s="241"/>
      <c r="B825" s="38"/>
      <c r="C825" s="174"/>
      <c r="D825" s="174"/>
      <c r="E825" s="174"/>
      <c r="F825" s="174"/>
      <c r="G825" s="174"/>
      <c r="H825" s="174"/>
      <c r="I825" s="174"/>
      <c r="J825" s="174"/>
      <c r="K825" s="174"/>
      <c r="L825" s="174"/>
      <c r="M825" s="174"/>
      <c r="N825" s="174"/>
      <c r="O825" s="174"/>
      <c r="P825" s="174"/>
      <c r="Q825" s="174"/>
      <c r="R825" s="174"/>
      <c r="S825" s="174"/>
      <c r="T825" s="174"/>
      <c r="U825" s="174"/>
      <c r="V825" s="174"/>
      <c r="W825" s="160"/>
      <c r="X825" s="160"/>
      <c r="Y825" s="160"/>
      <c r="Z825" s="160"/>
      <c r="AA825" s="160"/>
      <c r="AB825" s="160"/>
      <c r="AC825" s="160"/>
      <c r="AD825" s="160"/>
      <c r="AE825" s="160"/>
      <c r="AF825" s="160"/>
      <c r="AG825" s="160"/>
      <c r="AH825" s="160"/>
      <c r="AI825" s="160"/>
      <c r="AJ825" s="179"/>
      <c r="AK825" s="160"/>
      <c r="AL825" s="177"/>
      <c r="AM825" s="177"/>
      <c r="AN825" s="177"/>
      <c r="AO825" s="160"/>
      <c r="AP825" s="160">
        <f>IF($AP$677&gt;0,IPMT('Assumptions (Wind)'!$V$10,Model!W1,'Assumptions (Wind)'!$V$13,'Assumptions (Wind)'!$V$8*Model!$AP$677*AVERAGE('Assumptions (Wind)'!$AM$2:$AN$2)/10^9),0)</f>
        <v>-0.01301782232</v>
      </c>
      <c r="AQ825" s="160">
        <f>IF($AP$677&gt;0,IPMT('Assumptions (Wind)'!$V$10,Model!X1,'Assumptions (Wind)'!$V$13,'Assumptions (Wind)'!$V$8*Model!$AP$677*AVERAGE('Assumptions (Wind)'!$AM$2:$AN$2)/10^9),0)</f>
        <v>-0.0121192087</v>
      </c>
      <c r="AR825" s="160">
        <f>IF($AP$677&gt;0,IPMT('Assumptions (Wind)'!$V$10,Model!Y1,'Assumptions (Wind)'!$V$13,'Assumptions (Wind)'!$V$8*Model!$AP$677*AVERAGE('Assumptions (Wind)'!$AM$2:$AN$2)/10^9),0)</f>
        <v>-0.01114870599</v>
      </c>
      <c r="AS825" s="160">
        <f>IF($AP$677&gt;0,IPMT('Assumptions (Wind)'!$V$10,Model!Z1,'Assumptions (Wind)'!$V$13,'Assumptions (Wind)'!$V$8*Model!$AP$677*AVERAGE('Assumptions (Wind)'!$AM$2:$AN$2)/10^9),0)</f>
        <v>-0.01010056307</v>
      </c>
      <c r="AT825" s="160">
        <f>IF($AP$677&gt;0,IPMT('Assumptions (Wind)'!$V$10,Model!AA1,'Assumptions (Wind)'!$V$13,'Assumptions (Wind)'!$V$8*Model!$AP$677*AVERAGE('Assumptions (Wind)'!$AM$2:$AN$2)/10^9),0)</f>
        <v>-0.008968568707</v>
      </c>
      <c r="AU825" s="160">
        <f>IF($AP$677&gt;0,IPMT('Assumptions (Wind)'!$V$10,Model!AB1,'Assumptions (Wind)'!$V$13,'Assumptions (Wind)'!$V$8*Model!$AP$677*AVERAGE('Assumptions (Wind)'!$AM$2:$AN$2)/10^9),0)</f>
        <v>-0.0077460148</v>
      </c>
      <c r="AV825" s="160">
        <f>IF($AP$677&gt;0,IPMT('Assumptions (Wind)'!$V$10,Model!AC1,'Assumptions (Wind)'!$V$13,'Assumptions (Wind)'!$V$8*Model!$AP$677*AVERAGE('Assumptions (Wind)'!$AM$2:$AN$2)/10^9),0)</f>
        <v>-0.00642565658</v>
      </c>
      <c r="AW825" s="160">
        <f>IF($AP$677&gt;0,IPMT('Assumptions (Wind)'!$V$10,Model!AD1,'Assumptions (Wind)'!$V$13,'Assumptions (Wind)'!$V$8*Model!$AP$677*AVERAGE('Assumptions (Wind)'!$AM$2:$AN$2)/10^9),0)</f>
        <v>-0.004999669702</v>
      </c>
      <c r="AX825" s="160">
        <f>IF($AP$677&gt;0,IPMT('Assumptions (Wind)'!$V$10,Model!AE1,'Assumptions (Wind)'!$V$13,'Assumptions (Wind)'!$V$8*Model!$AP$677*AVERAGE('Assumptions (Wind)'!$AM$2:$AN$2)/10^9),0)</f>
        <v>-0.003459603875</v>
      </c>
      <c r="AY825" s="160">
        <f>IF($AP$677&gt;0,IPMT('Assumptions (Wind)'!$V$10,Model!AF1,'Assumptions (Wind)'!$V$13,'Assumptions (Wind)'!$V$8*Model!$AP$677*AVERAGE('Assumptions (Wind)'!$AM$2:$AN$2)/10^9),0)</f>
        <v>-0.001796332781</v>
      </c>
      <c r="AZ825" s="160"/>
      <c r="BA825" s="160"/>
      <c r="BB825" s="160"/>
      <c r="BC825" s="160"/>
      <c r="BD825" s="160"/>
      <c r="BE825" s="160"/>
      <c r="BF825" s="160"/>
      <c r="BG825" s="160"/>
      <c r="BH825" s="160"/>
      <c r="BI825" s="160"/>
      <c r="BJ825" s="160"/>
      <c r="BK825" s="160"/>
      <c r="BL825" s="160"/>
      <c r="BM825" s="160"/>
      <c r="BN825" s="160"/>
    </row>
    <row r="826" ht="15.75" hidden="1" customHeight="1" outlineLevel="1">
      <c r="A826" s="241"/>
      <c r="B826" s="38"/>
      <c r="C826" s="174"/>
      <c r="D826" s="174"/>
      <c r="E826" s="174"/>
      <c r="F826" s="174"/>
      <c r="G826" s="174"/>
      <c r="H826" s="174"/>
      <c r="I826" s="174"/>
      <c r="J826" s="174"/>
      <c r="K826" s="174"/>
      <c r="L826" s="174"/>
      <c r="M826" s="174"/>
      <c r="N826" s="174"/>
      <c r="O826" s="174"/>
      <c r="P826" s="174"/>
      <c r="Q826" s="174"/>
      <c r="R826" s="174"/>
      <c r="S826" s="174"/>
      <c r="T826" s="174"/>
      <c r="U826" s="174"/>
      <c r="V826" s="174"/>
      <c r="W826" s="160"/>
      <c r="X826" s="160"/>
      <c r="Y826" s="160"/>
      <c r="Z826" s="160"/>
      <c r="AA826" s="160"/>
      <c r="AB826" s="160"/>
      <c r="AC826" s="160"/>
      <c r="AD826" s="160"/>
      <c r="AE826" s="160"/>
      <c r="AF826" s="160"/>
      <c r="AG826" s="160"/>
      <c r="AH826" s="160"/>
      <c r="AI826" s="160"/>
      <c r="AJ826" s="179"/>
      <c r="AK826" s="160"/>
      <c r="AL826" s="177"/>
      <c r="AM826" s="177"/>
      <c r="AN826" s="177"/>
      <c r="AO826" s="160"/>
      <c r="AP826" s="160"/>
      <c r="AQ826" s="160">
        <f>IF($AQ$677&gt;0,IPMT('Assumptions (Wind)'!$V$10,Model!W1,'Assumptions (Wind)'!$V$13,'Assumptions (Wind)'!$V$8*Model!$AQ$677*AVERAGE('Assumptions (Wind)'!$AN$2:$AO$2)/10^9),0)</f>
        <v>-0.01312214998</v>
      </c>
      <c r="AR826" s="160">
        <f>IF($AQ$677&gt;0,IPMT('Assumptions (Wind)'!$V$10,Model!X1,'Assumptions (Wind)'!$V$13,'Assumptions (Wind)'!$V$8*Model!$AQ$677*AVERAGE('Assumptions (Wind)'!$AN$2:$AO$2)/10^9),0)</f>
        <v>-0.01221633468</v>
      </c>
      <c r="AS826" s="160">
        <f>IF($AQ$677&gt;0,IPMT('Assumptions (Wind)'!$V$10,Model!Y1,'Assumptions (Wind)'!$V$13,'Assumptions (Wind)'!$V$8*Model!$AQ$677*AVERAGE('Assumptions (Wind)'!$AN$2:$AO$2)/10^9),0)</f>
        <v>-0.01123805415</v>
      </c>
      <c r="AT826" s="160">
        <f>IF($AQ$677&gt;0,IPMT('Assumptions (Wind)'!$V$10,Model!Z1,'Assumptions (Wind)'!$V$13,'Assumptions (Wind)'!$V$8*Model!$AQ$677*AVERAGE('Assumptions (Wind)'!$AN$2:$AO$2)/10^9),0)</f>
        <v>-0.01018151118</v>
      </c>
      <c r="AU826" s="160">
        <f>IF($AQ$677&gt;0,IPMT('Assumptions (Wind)'!$V$10,Model!AA1,'Assumptions (Wind)'!$V$13,'Assumptions (Wind)'!$V$8*Model!$AQ$677*AVERAGE('Assumptions (Wind)'!$AN$2:$AO$2)/10^9),0)</f>
        <v>-0.009040444769</v>
      </c>
      <c r="AV826" s="160">
        <f>IF($AQ$677&gt;0,IPMT('Assumptions (Wind)'!$V$10,Model!AB1,'Assumptions (Wind)'!$V$13,'Assumptions (Wind)'!$V$8*Model!$AQ$677*AVERAGE('Assumptions (Wind)'!$AN$2:$AO$2)/10^9),0)</f>
        <v>-0.007808093049</v>
      </c>
      <c r="AW826" s="160">
        <f>IF($AQ$677&gt;0,IPMT('Assumptions (Wind)'!$V$10,Model!AC1,'Assumptions (Wind)'!$V$13,'Assumptions (Wind)'!$V$8*Model!$AQ$677*AVERAGE('Assumptions (Wind)'!$AN$2:$AO$2)/10^9),0)</f>
        <v>-0.006477153191</v>
      </c>
      <c r="AX826" s="160">
        <f>IF($AQ$677&gt;0,IPMT('Assumptions (Wind)'!$V$10,Model!AD1,'Assumptions (Wind)'!$V$13,'Assumptions (Wind)'!$V$8*Model!$AQ$677*AVERAGE('Assumptions (Wind)'!$AN$2:$AO$2)/10^9),0)</f>
        <v>-0.005039738144</v>
      </c>
      <c r="AY826" s="160">
        <f>IF($AQ$677&gt;0,IPMT('Assumptions (Wind)'!$V$10,Model!AE1,'Assumptions (Wind)'!$V$13,'Assumptions (Wind)'!$V$8*Model!$AQ$677*AVERAGE('Assumptions (Wind)'!$AN$2:$AO$2)/10^9),0)</f>
        <v>-0.003487329894</v>
      </c>
      <c r="AZ826" s="160">
        <f>IF($AQ$677&gt;0,IPMT('Assumptions (Wind)'!$V$10,Model!AF1,'Assumptions (Wind)'!$V$13,'Assumptions (Wind)'!$V$8*Model!$AQ$677*AVERAGE('Assumptions (Wind)'!$AN$2:$AO$2)/10^9),0)</f>
        <v>-0.001810728983</v>
      </c>
      <c r="BA826" s="160"/>
      <c r="BB826" s="160"/>
      <c r="BC826" s="160"/>
      <c r="BD826" s="160"/>
      <c r="BE826" s="160"/>
      <c r="BF826" s="160"/>
      <c r="BG826" s="160"/>
      <c r="BH826" s="160"/>
      <c r="BI826" s="160"/>
      <c r="BJ826" s="160"/>
      <c r="BK826" s="160"/>
      <c r="BL826" s="160"/>
      <c r="BM826" s="160"/>
      <c r="BN826" s="160"/>
      <c r="BO826" s="160"/>
    </row>
    <row r="827" ht="15.75" hidden="1" customHeight="1" outlineLevel="1">
      <c r="A827" s="241"/>
      <c r="B827" s="38"/>
      <c r="C827" s="174"/>
      <c r="D827" s="174"/>
      <c r="E827" s="174"/>
      <c r="F827" s="174"/>
      <c r="G827" s="174"/>
      <c r="H827" s="174"/>
      <c r="I827" s="174"/>
      <c r="J827" s="174"/>
      <c r="K827" s="174"/>
      <c r="L827" s="174"/>
      <c r="M827" s="174"/>
      <c r="N827" s="174"/>
      <c r="O827" s="174"/>
      <c r="P827" s="174"/>
      <c r="Q827" s="174"/>
      <c r="R827" s="174"/>
      <c r="S827" s="174"/>
      <c r="T827" s="174"/>
      <c r="U827" s="174"/>
      <c r="V827" s="174"/>
      <c r="W827" s="160"/>
      <c r="X827" s="160"/>
      <c r="Y827" s="160"/>
      <c r="Z827" s="160"/>
      <c r="AA827" s="160"/>
      <c r="AB827" s="160"/>
      <c r="AC827" s="160"/>
      <c r="AD827" s="160"/>
      <c r="AE827" s="160"/>
      <c r="AF827" s="160"/>
      <c r="AG827" s="160"/>
      <c r="AH827" s="160"/>
      <c r="AI827" s="160"/>
      <c r="AJ827" s="179"/>
      <c r="AK827" s="160"/>
      <c r="AL827" s="177"/>
      <c r="AM827" s="177"/>
      <c r="AN827" s="177"/>
      <c r="AO827" s="160"/>
      <c r="AP827" s="160"/>
      <c r="AQ827" s="160"/>
      <c r="AR827" s="160">
        <f>IF($AR$677&gt;0,IPMT('Assumptions (Wind)'!$V$10,Model!W1,'Assumptions (Wind)'!$V$13,'Assumptions (Wind)'!$V$8*Model!$AR$677*AVERAGE('Assumptions (Wind)'!$AO$2:$AP$2)/10^9),0)</f>
        <v>-0.0132254845</v>
      </c>
      <c r="AS827" s="160">
        <f>IF($AR$677&gt;0,IPMT('Assumptions (Wind)'!$V$10,Model!X1,'Assumptions (Wind)'!$V$13,'Assumptions (Wind)'!$V$8*Model!$AR$677*AVERAGE('Assumptions (Wind)'!$AO$2:$AP$2)/10^9),0)</f>
        <v>-0.01231253607</v>
      </c>
      <c r="AT827" s="160">
        <f>IF($AR$677&gt;0,IPMT('Assumptions (Wind)'!$V$10,Model!Y1,'Assumptions (Wind)'!$V$13,'Assumptions (Wind)'!$V$8*Model!$AR$677*AVERAGE('Assumptions (Wind)'!$AO$2:$AP$2)/10^9),0)</f>
        <v>-0.01132655176</v>
      </c>
      <c r="AU827" s="160">
        <f>IF($AR$677&gt;0,IPMT('Assumptions (Wind)'!$V$10,Model!Z1,'Assumptions (Wind)'!$V$13,'Assumptions (Wind)'!$V$8*Model!$AR$677*AVERAGE('Assumptions (Wind)'!$AO$2:$AP$2)/10^9),0)</f>
        <v>-0.01026168871</v>
      </c>
      <c r="AV827" s="160">
        <f>IF($AR$677&gt;0,IPMT('Assumptions (Wind)'!$V$10,Model!AA1,'Assumptions (Wind)'!$V$13,'Assumptions (Wind)'!$V$8*Model!$AR$677*AVERAGE('Assumptions (Wind)'!$AO$2:$AP$2)/10^9),0)</f>
        <v>-0.009111636615</v>
      </c>
      <c r="AW827" s="160">
        <f>IF($AR$677&gt;0,IPMT('Assumptions (Wind)'!$V$10,Model!AB1,'Assumptions (Wind)'!$V$13,'Assumptions (Wind)'!$V$8*Model!$AR$677*AVERAGE('Assumptions (Wind)'!$AO$2:$AP$2)/10^9),0)</f>
        <v>-0.00786958035</v>
      </c>
      <c r="AX827" s="160">
        <f>IF($AR$677&gt;0,IPMT('Assumptions (Wind)'!$V$10,Model!AC1,'Assumptions (Wind)'!$V$13,'Assumptions (Wind)'!$V$8*Model!$AR$677*AVERAGE('Assumptions (Wind)'!$AO$2:$AP$2)/10^9),0)</f>
        <v>-0.006528159585</v>
      </c>
      <c r="AY827" s="160">
        <f>IF($AR$677&gt;0,IPMT('Assumptions (Wind)'!$V$10,Model!AD1,'Assumptions (Wind)'!$V$13,'Assumptions (Wind)'!$V$8*Model!$AR$677*AVERAGE('Assumptions (Wind)'!$AO$2:$AP$2)/10^9),0)</f>
        <v>-0.005079425158</v>
      </c>
      <c r="AZ827" s="160">
        <f>IF($AR$677&gt;0,IPMT('Assumptions (Wind)'!$V$10,Model!AE1,'Assumptions (Wind)'!$V$13,'Assumptions (Wind)'!$V$8*Model!$AR$677*AVERAGE('Assumptions (Wind)'!$AO$2:$AP$2)/10^9),0)</f>
        <v>-0.003514791977</v>
      </c>
      <c r="BA827" s="160">
        <f>IF($AR$677&gt;0,IPMT('Assumptions (Wind)'!$V$10,Model!AF1,'Assumptions (Wind)'!$V$13,'Assumptions (Wind)'!$V$8*Model!$AR$677*AVERAGE('Assumptions (Wind)'!$AO$2:$AP$2)/10^9),0)</f>
        <v>-0.001824988142</v>
      </c>
      <c r="BB827" s="160"/>
      <c r="BC827" s="160"/>
      <c r="BD827" s="160"/>
      <c r="BE827" s="160"/>
      <c r="BF827" s="160"/>
      <c r="BG827" s="160"/>
      <c r="BH827" s="160"/>
      <c r="BI827" s="160"/>
      <c r="BJ827" s="160"/>
      <c r="BK827" s="160"/>
      <c r="BL827" s="160"/>
      <c r="BM827" s="160"/>
      <c r="BN827" s="160"/>
      <c r="BO827" s="160"/>
      <c r="BP827" s="160"/>
    </row>
    <row r="828" ht="15.75" hidden="1" customHeight="1" outlineLevel="1">
      <c r="A828" s="241"/>
      <c r="B828" s="38"/>
      <c r="C828" s="174"/>
      <c r="D828" s="174"/>
      <c r="E828" s="174"/>
      <c r="F828" s="174"/>
      <c r="G828" s="174"/>
      <c r="H828" s="174"/>
      <c r="I828" s="174"/>
      <c r="J828" s="174"/>
      <c r="K828" s="174"/>
      <c r="L828" s="174"/>
      <c r="M828" s="174"/>
      <c r="N828" s="174"/>
      <c r="O828" s="174"/>
      <c r="P828" s="174"/>
      <c r="Q828" s="174"/>
      <c r="R828" s="174"/>
      <c r="S828" s="174"/>
      <c r="T828" s="174"/>
      <c r="U828" s="174"/>
      <c r="V828" s="174"/>
      <c r="W828" s="160"/>
      <c r="X828" s="160"/>
      <c r="Y828" s="160"/>
      <c r="Z828" s="160"/>
      <c r="AA828" s="160"/>
      <c r="AB828" s="160"/>
      <c r="AC828" s="160"/>
      <c r="AD828" s="160"/>
      <c r="AE828" s="160"/>
      <c r="AF828" s="160"/>
      <c r="AG828" s="160"/>
      <c r="AH828" s="160"/>
      <c r="AI828" s="160"/>
      <c r="AJ828" s="179"/>
      <c r="AK828" s="160"/>
      <c r="AL828" s="177"/>
      <c r="AM828" s="177"/>
      <c r="AN828" s="177"/>
      <c r="AO828" s="160"/>
      <c r="AP828" s="160"/>
      <c r="AQ828" s="160"/>
      <c r="AR828" s="160"/>
      <c r="AS828" s="160">
        <f>IF($AS$677&gt;0,IPMT('Assumptions (Wind)'!$V$10,Model!W1,'Assumptions (Wind)'!$V$13,'Assumptions (Wind)'!$V$8*Model!$AS$677*AVERAGE('Assumptions (Wind)'!$AP$2:$AQ$2)/10^9),0)</f>
        <v>-0.01332796797</v>
      </c>
      <c r="AT828" s="160">
        <f>IF($AS$677&gt;0,IPMT('Assumptions (Wind)'!$V$10,Model!X1,'Assumptions (Wind)'!$V$13,'Assumptions (Wind)'!$V$8*Model!$AS$677*AVERAGE('Assumptions (Wind)'!$AP$2:$AQ$2)/10^9),0)</f>
        <v>-0.01240794516</v>
      </c>
      <c r="AU828" s="160">
        <f>IF($AS$677&gt;0,IPMT('Assumptions (Wind)'!$V$10,Model!Y1,'Assumptions (Wind)'!$V$13,'Assumptions (Wind)'!$V$8*Model!$AS$677*AVERAGE('Assumptions (Wind)'!$AP$2:$AQ$2)/10^9),0)</f>
        <v>-0.01141432052</v>
      </c>
      <c r="AV828" s="160">
        <f>IF($AS$677&gt;0,IPMT('Assumptions (Wind)'!$V$10,Model!Z1,'Assumptions (Wind)'!$V$13,'Assumptions (Wind)'!$V$8*Model!$AS$677*AVERAGE('Assumptions (Wind)'!$AP$2:$AQ$2)/10^9),0)</f>
        <v>-0.01034120591</v>
      </c>
      <c r="AW828" s="160">
        <f>IF($AS$677&gt;0,IPMT('Assumptions (Wind)'!$V$10,Model!AA1,'Assumptions (Wind)'!$V$13,'Assumptions (Wind)'!$V$8*Model!$AS$677*AVERAGE('Assumptions (Wind)'!$AP$2:$AQ$2)/10^9),0)</f>
        <v>-0.009182242129</v>
      </c>
      <c r="AX828" s="160">
        <f>IF($AS$677&gt;0,IPMT('Assumptions (Wind)'!$V$10,Model!AB1,'Assumptions (Wind)'!$V$13,'Assumptions (Wind)'!$V$8*Model!$AS$677*AVERAGE('Assumptions (Wind)'!$AP$2:$AQ$2)/10^9),0)</f>
        <v>-0.007930561247</v>
      </c>
      <c r="AY828" s="160">
        <f>IF($AS$677&gt;0,IPMT('Assumptions (Wind)'!$V$10,Model!AC1,'Assumptions (Wind)'!$V$13,'Assumptions (Wind)'!$V$8*Model!$AS$677*AVERAGE('Assumptions (Wind)'!$AP$2:$AQ$2)/10^9),0)</f>
        <v>-0.006578745894</v>
      </c>
      <c r="AZ828" s="160">
        <f>IF($AS$677&gt;0,IPMT('Assumptions (Wind)'!$V$10,Model!AD1,'Assumptions (Wind)'!$V$13,'Assumptions (Wind)'!$V$8*Model!$AS$677*AVERAGE('Assumptions (Wind)'!$AP$2:$AQ$2)/10^9),0)</f>
        <v>-0.005118785313</v>
      </c>
      <c r="BA828" s="160">
        <f>IF($AS$677&gt;0,IPMT('Assumptions (Wind)'!$V$10,Model!AE1,'Assumptions (Wind)'!$V$13,'Assumptions (Wind)'!$V$8*Model!$AS$677*AVERAGE('Assumptions (Wind)'!$AP$2:$AQ$2)/10^9),0)</f>
        <v>-0.003542027885</v>
      </c>
      <c r="BB828" s="160">
        <f>IF($AS$677&gt;0,IPMT('Assumptions (Wind)'!$V$10,Model!AF1,'Assumptions (Wind)'!$V$13,'Assumptions (Wind)'!$V$8*Model!$AS$677*AVERAGE('Assumptions (Wind)'!$AP$2:$AQ$2)/10^9),0)</f>
        <v>-0.001839129864</v>
      </c>
      <c r="BC828" s="160"/>
      <c r="BD828" s="160"/>
      <c r="BE828" s="160"/>
      <c r="BF828" s="160"/>
      <c r="BG828" s="160"/>
      <c r="BH828" s="160"/>
      <c r="BI828" s="160"/>
      <c r="BJ828" s="160"/>
      <c r="BK828" s="160"/>
      <c r="BL828" s="160"/>
      <c r="BM828" s="160"/>
      <c r="BN828" s="160"/>
      <c r="BO828" s="160"/>
      <c r="BP828" s="160"/>
      <c r="BQ828" s="160"/>
      <c r="BR828" s="160"/>
    </row>
    <row r="829" ht="15.75" hidden="1" customHeight="1" outlineLevel="1">
      <c r="A829" s="241"/>
      <c r="B829" s="38"/>
      <c r="C829" s="174"/>
      <c r="D829" s="174"/>
      <c r="E829" s="174"/>
      <c r="F829" s="174"/>
      <c r="G829" s="174"/>
      <c r="H829" s="174"/>
      <c r="I829" s="174"/>
      <c r="J829" s="174"/>
      <c r="K829" s="174"/>
      <c r="L829" s="174"/>
      <c r="M829" s="174"/>
      <c r="N829" s="174"/>
      <c r="O829" s="174"/>
      <c r="P829" s="174"/>
      <c r="Q829" s="174"/>
      <c r="R829" s="174"/>
      <c r="S829" s="174"/>
      <c r="T829" s="174"/>
      <c r="U829" s="174"/>
      <c r="V829" s="174"/>
      <c r="W829" s="160"/>
      <c r="X829" s="160"/>
      <c r="Y829" s="160"/>
      <c r="Z829" s="160"/>
      <c r="AA829" s="160"/>
      <c r="AB829" s="160"/>
      <c r="AC829" s="160"/>
      <c r="AD829" s="160"/>
      <c r="AE829" s="160"/>
      <c r="AF829" s="160"/>
      <c r="AG829" s="160"/>
      <c r="AH829" s="160"/>
      <c r="AI829" s="160"/>
      <c r="AJ829" s="179"/>
      <c r="AK829" s="160"/>
      <c r="AL829" s="177"/>
      <c r="AM829" s="177"/>
      <c r="AN829" s="177"/>
      <c r="AO829" s="160"/>
      <c r="AP829" s="160"/>
      <c r="AQ829" s="160"/>
      <c r="AR829" s="160"/>
      <c r="AS829" s="160"/>
      <c r="AT829" s="181">
        <f>IF($AT$677&gt;0,IPMT('Assumptions (Wind)'!$V$10,Model!W1,'Assumptions (Wind)'!$V$13,'Assumptions (Wind)'!$V$8*Model!$AT$677*AVERAGE('Assumptions (Wind)'!$AQ$2:$AR$2)/10^9),0)</f>
        <v>-0.01342930301</v>
      </c>
      <c r="AU829" s="181">
        <f>IF($AT$677&gt;0,IPMT('Assumptions (Wind)'!$V$10,Model!X1,'Assumptions (Wind)'!$V$13,'Assumptions (Wind)'!$V$8*Model!$AT$677*AVERAGE('Assumptions (Wind)'!$AQ$2:$AR$2)/10^9),0)</f>
        <v>-0.01250228509</v>
      </c>
      <c r="AV829" s="181">
        <f>IF($AT$677&gt;0,IPMT('Assumptions (Wind)'!$V$10,Model!Y1,'Assumptions (Wind)'!$V$13,'Assumptions (Wind)'!$V$8*Model!$AT$677*AVERAGE('Assumptions (Wind)'!$AQ$2:$AR$2)/10^9),0)</f>
        <v>-0.01150110574</v>
      </c>
      <c r="AW829" s="181">
        <f>IF($AT$677&gt;0,IPMT('Assumptions (Wind)'!$V$10,Model!Z1,'Assumptions (Wind)'!$V$13,'Assumptions (Wind)'!$V$8*Model!$AT$677*AVERAGE('Assumptions (Wind)'!$AQ$2:$AR$2)/10^9),0)</f>
        <v>-0.01041983203</v>
      </c>
      <c r="AX829" s="181">
        <f>IF($AT$677&gt;0,IPMT('Assumptions (Wind)'!$V$10,Model!AA1,'Assumptions (Wind)'!$V$13,'Assumptions (Wind)'!$V$8*Model!$AT$677*AVERAGE('Assumptions (Wind)'!$AQ$2:$AR$2)/10^9),0)</f>
        <v>-0.009252056436</v>
      </c>
      <c r="AY829" s="181">
        <f>IF($AT$677&gt;0,IPMT('Assumptions (Wind)'!$V$10,Model!AB1,'Assumptions (Wind)'!$V$13,'Assumptions (Wind)'!$V$8*Model!$AT$677*AVERAGE('Assumptions (Wind)'!$AQ$2:$AR$2)/10^9),0)</f>
        <v>-0.00799085879</v>
      </c>
      <c r="AZ829" s="181">
        <f>IF($AT$677&gt;0,IPMT('Assumptions (Wind)'!$V$10,Model!AC1,'Assumptions (Wind)'!$V$13,'Assumptions (Wind)'!$V$8*Model!$AT$677*AVERAGE('Assumptions (Wind)'!$AQ$2:$AR$2)/10^9),0)</f>
        <v>-0.006628765331</v>
      </c>
      <c r="BA829" s="181">
        <f>IF($AT$677&gt;0,IPMT('Assumptions (Wind)'!$V$10,Model!AD1,'Assumptions (Wind)'!$V$13,'Assumptions (Wind)'!$V$8*Model!$AT$677*AVERAGE('Assumptions (Wind)'!$AQ$2:$AR$2)/10^9),0)</f>
        <v>-0.005157704397</v>
      </c>
      <c r="BB829" s="181">
        <f>IF($AT$677&gt;0,IPMT('Assumptions (Wind)'!$V$10,Model!AE1,'Assumptions (Wind)'!$V$13,'Assumptions (Wind)'!$V$8*Model!$AT$677*AVERAGE('Assumptions (Wind)'!$AQ$2:$AR$2)/10^9),0)</f>
        <v>-0.003568958587</v>
      </c>
      <c r="BC829" s="181">
        <f>IF($AT$677&gt;0,IPMT('Assumptions (Wind)'!$V$10,Model!AF1,'Assumptions (Wind)'!$V$13,'Assumptions (Wind)'!$V$8*Model!$AT$677*AVERAGE('Assumptions (Wind)'!$AQ$2:$AR$2)/10^9),0)</f>
        <v>-0.001853113112</v>
      </c>
      <c r="BD829" s="160"/>
      <c r="BE829" s="160"/>
      <c r="BF829" s="160"/>
      <c r="BG829" s="160"/>
      <c r="BH829" s="160"/>
      <c r="BI829" s="160"/>
      <c r="BJ829" s="160"/>
      <c r="BK829" s="160"/>
      <c r="BL829" s="160"/>
      <c r="BM829" s="160"/>
      <c r="BN829" s="160"/>
      <c r="BO829" s="160"/>
      <c r="BP829" s="160"/>
      <c r="BQ829" s="160"/>
      <c r="BR829" s="160"/>
    </row>
    <row r="830" ht="15.75" hidden="1" customHeight="1" outlineLevel="1">
      <c r="A830" s="241"/>
      <c r="B830" s="38"/>
      <c r="C830" s="174"/>
      <c r="D830" s="174"/>
      <c r="E830" s="174"/>
      <c r="F830" s="174"/>
      <c r="G830" s="174"/>
      <c r="H830" s="174"/>
      <c r="I830" s="174"/>
      <c r="J830" s="174"/>
      <c r="K830" s="174"/>
      <c r="L830" s="174"/>
      <c r="M830" s="174"/>
      <c r="N830" s="174"/>
      <c r="O830" s="174"/>
      <c r="P830" s="174"/>
      <c r="Q830" s="174"/>
      <c r="R830" s="174"/>
      <c r="S830" s="174"/>
      <c r="T830" s="174"/>
      <c r="U830" s="174"/>
      <c r="V830" s="174"/>
      <c r="W830" s="160"/>
      <c r="X830" s="160"/>
      <c r="Y830" s="160"/>
      <c r="Z830" s="160"/>
      <c r="AA830" s="160"/>
      <c r="AB830" s="160"/>
      <c r="AC830" s="160"/>
      <c r="AD830" s="160"/>
      <c r="AE830" s="160"/>
      <c r="AF830" s="160"/>
      <c r="AG830" s="160"/>
      <c r="AH830" s="160"/>
      <c r="AI830" s="160"/>
      <c r="AJ830" s="179"/>
      <c r="AK830" s="160"/>
      <c r="AL830" s="177"/>
      <c r="AM830" s="177"/>
      <c r="AN830" s="177"/>
      <c r="AO830" s="160"/>
      <c r="AP830" s="160"/>
      <c r="AQ830" s="160"/>
      <c r="AR830" s="160"/>
      <c r="AS830" s="160"/>
      <c r="AT830" s="160"/>
      <c r="AU830" s="160">
        <f>IF($AU$677&gt;0,IPMT('Assumptions (Wind)'!$V$10,Model!W1,'Assumptions (Wind)'!$V$13,'Assumptions (Wind)'!$V$8*Model!$AU$677*AVERAGE('Assumptions (Wind)'!$AR$2:$AS$2)/10^9),0)</f>
        <v>-0.0316192119</v>
      </c>
      <c r="AV830" s="160">
        <f>IF($AU$677&gt;0,IPMT('Assumptions (Wind)'!$V$10,Model!X1,'Assumptions (Wind)'!$V$13,'Assumptions (Wind)'!$V$8*Model!$AU$677*AVERAGE('Assumptions (Wind)'!$AR$2:$AS$2)/10^9),0)</f>
        <v>-0.02943655387</v>
      </c>
      <c r="AW830" s="160">
        <f>IF($AU$677&gt;0,IPMT('Assumptions (Wind)'!$V$10,Model!Y1,'Assumptions (Wind)'!$V$13,'Assumptions (Wind)'!$V$8*Model!$AU$677*AVERAGE('Assumptions (Wind)'!$AR$2:$AS$2)/10^9),0)</f>
        <v>-0.0270792832</v>
      </c>
      <c r="AX830" s="160">
        <f>IF($AU$677&gt;0,IPMT('Assumptions (Wind)'!$V$10,Model!Z1,'Assumptions (Wind)'!$V$13,'Assumptions (Wind)'!$V$8*Model!$AU$677*AVERAGE('Assumptions (Wind)'!$AR$2:$AS$2)/10^9),0)</f>
        <v>-0.02453343087</v>
      </c>
      <c r="AY830" s="160">
        <f>IF($AU$677&gt;0,IPMT('Assumptions (Wind)'!$V$10,Model!AA1,'Assumptions (Wind)'!$V$13,'Assumptions (Wind)'!$V$8*Model!$AU$677*AVERAGE('Assumptions (Wind)'!$AR$2:$AS$2)/10^9),0)</f>
        <v>-0.02178391036</v>
      </c>
      <c r="AZ830" s="160">
        <f>IF($AU$677&gt;0,IPMT('Assumptions (Wind)'!$V$10,Model!AB1,'Assumptions (Wind)'!$V$13,'Assumptions (Wind)'!$V$8*Model!$AU$677*AVERAGE('Assumptions (Wind)'!$AR$2:$AS$2)/10^9),0)</f>
        <v>-0.01881442821</v>
      </c>
      <c r="BA830" s="160">
        <f>IF($AU$677&gt;0,IPMT('Assumptions (Wind)'!$V$10,Model!AC1,'Assumptions (Wind)'!$V$13,'Assumptions (Wind)'!$V$8*Model!$AU$677*AVERAGE('Assumptions (Wind)'!$AR$2:$AS$2)/10^9),0)</f>
        <v>-0.01560738748</v>
      </c>
      <c r="BB830" s="160">
        <f>IF($AU$677&gt;0,IPMT('Assumptions (Wind)'!$V$10,Model!AD1,'Assumptions (Wind)'!$V$13,'Assumptions (Wind)'!$V$8*Model!$AU$677*AVERAGE('Assumptions (Wind)'!$AR$2:$AS$2)/10^9),0)</f>
        <v>-0.01214378349</v>
      </c>
      <c r="BC830" s="160">
        <f>IF($AU$677&gt;0,IPMT('Assumptions (Wind)'!$V$10,Model!AE1,'Assumptions (Wind)'!$V$13,'Assumptions (Wind)'!$V$8*Model!$AU$677*AVERAGE('Assumptions (Wind)'!$AR$2:$AS$2)/10^9),0)</f>
        <v>-0.008403091191</v>
      </c>
      <c r="BD830" s="160">
        <f>IF($AU$677&gt;0,IPMT('Assumptions (Wind)'!$V$10,Model!AF1,'Assumptions (Wind)'!$V$13,'Assumptions (Wind)'!$V$8*Model!$AU$677*AVERAGE('Assumptions (Wind)'!$AR$2:$AS$2)/10^9),0)</f>
        <v>-0.004363143503</v>
      </c>
      <c r="BE830" s="160"/>
      <c r="BF830" s="160"/>
      <c r="BG830" s="160"/>
      <c r="BH830" s="160"/>
      <c r="BI830" s="160"/>
      <c r="BJ830" s="160"/>
      <c r="BK830" s="160"/>
      <c r="BL830" s="160"/>
      <c r="BM830" s="160"/>
      <c r="BN830" s="160"/>
      <c r="BO830" s="160"/>
      <c r="BP830" s="160"/>
      <c r="BQ830" s="160"/>
      <c r="BR830" s="160"/>
      <c r="BS830" s="160"/>
    </row>
    <row r="831" ht="15.75" hidden="1" customHeight="1" outlineLevel="1">
      <c r="A831" s="241"/>
      <c r="B831" s="38"/>
      <c r="C831" s="174"/>
      <c r="D831" s="174"/>
      <c r="E831" s="174"/>
      <c r="F831" s="174"/>
      <c r="G831" s="174"/>
      <c r="H831" s="174"/>
      <c r="I831" s="174"/>
      <c r="J831" s="174"/>
      <c r="K831" s="174"/>
      <c r="L831" s="174"/>
      <c r="M831" s="174"/>
      <c r="N831" s="174"/>
      <c r="O831" s="174"/>
      <c r="P831" s="174"/>
      <c r="Q831" s="174"/>
      <c r="R831" s="174"/>
      <c r="S831" s="174"/>
      <c r="T831" s="174"/>
      <c r="U831" s="174"/>
      <c r="V831" s="174"/>
      <c r="W831" s="160"/>
      <c r="X831" s="160"/>
      <c r="Y831" s="160"/>
      <c r="Z831" s="160"/>
      <c r="AA831" s="160"/>
      <c r="AB831" s="160"/>
      <c r="AC831" s="160"/>
      <c r="AD831" s="160"/>
      <c r="AE831" s="160"/>
      <c r="AF831" s="160"/>
      <c r="AG831" s="160"/>
      <c r="AH831" s="160"/>
      <c r="AI831" s="160"/>
      <c r="AJ831" s="179"/>
      <c r="AK831" s="160"/>
      <c r="AL831" s="177"/>
      <c r="AM831" s="177"/>
      <c r="AN831" s="177"/>
      <c r="AO831" s="160"/>
      <c r="AP831" s="160"/>
      <c r="AQ831" s="160"/>
      <c r="AR831" s="160"/>
      <c r="AS831" s="160"/>
      <c r="AT831" s="160"/>
      <c r="AU831" s="160"/>
      <c r="AV831" s="160">
        <f>IF($AV$677&gt;0,IPMT('Assumptions (Wind)'!$V$10,Model!W1,'Assumptions (Wind)'!$V$13,'Assumptions (Wind)'!$V$8*Model!$AV$677*AVERAGE('Assumptions (Wind)'!$AS$2:$AT$2)/10^9),0)</f>
        <v>-0.01362260522</v>
      </c>
      <c r="AW831" s="160">
        <f>IF($AV$677&gt;0,IPMT('Assumptions (Wind)'!$V$10,Model!X1,'Assumptions (Wind)'!$V$13,'Assumptions (Wind)'!$V$8*Model!$AV$677*AVERAGE('Assumptions (Wind)'!$AS$2:$AT$2)/10^9),0)</f>
        <v>-0.01268224374</v>
      </c>
      <c r="AX831" s="160">
        <f>IF($AV$677&gt;0,IPMT('Assumptions (Wind)'!$V$10,Model!Y1,'Assumptions (Wind)'!$V$13,'Assumptions (Wind)'!$V$8*Model!$AV$677*AVERAGE('Assumptions (Wind)'!$AS$2:$AT$2)/10^9),0)</f>
        <v>-0.01166665335</v>
      </c>
      <c r="AY831" s="160">
        <f>IF($AV$677&gt;0,IPMT('Assumptions (Wind)'!$V$10,Model!Z1,'Assumptions (Wind)'!$V$13,'Assumptions (Wind)'!$V$8*Model!$AV$677*AVERAGE('Assumptions (Wind)'!$AS$2:$AT$2)/10^9),0)</f>
        <v>-0.01056981573</v>
      </c>
      <c r="AZ831" s="160">
        <f>IF($AV$677&gt;0,IPMT('Assumptions (Wind)'!$V$10,Model!AA1,'Assumptions (Wind)'!$V$13,'Assumptions (Wind)'!$V$8*Model!$AV$677*AVERAGE('Assumptions (Wind)'!$AS$2:$AT$2)/10^9),0)</f>
        <v>-0.0093852311</v>
      </c>
      <c r="BA831" s="160">
        <f>IF($AV$677&gt;0,IPMT('Assumptions (Wind)'!$V$10,Model!AB1,'Assumptions (Wind)'!$V$13,'Assumptions (Wind)'!$V$8*Model!$AV$677*AVERAGE('Assumptions (Wind)'!$AS$2:$AT$2)/10^9),0)</f>
        <v>-0.008105879698</v>
      </c>
      <c r="BB831" s="160">
        <f>IF($AV$677&gt;0,IPMT('Assumptions (Wind)'!$V$10,Model!AC1,'Assumptions (Wind)'!$V$13,'Assumptions (Wind)'!$V$8*Model!$AV$677*AVERAGE('Assumptions (Wind)'!$AS$2:$AT$2)/10^9),0)</f>
        <v>-0.006724180183</v>
      </c>
      <c r="BC831" s="160">
        <f>IF($AV$677&gt;0,IPMT('Assumptions (Wind)'!$V$10,Model!AD1,'Assumptions (Wind)'!$V$13,'Assumptions (Wind)'!$V$8*Model!$AV$677*AVERAGE('Assumptions (Wind)'!$AS$2:$AT$2)/10^9),0)</f>
        <v>-0.005231944708</v>
      </c>
      <c r="BD831" s="160">
        <f>IF($AV$677&gt;0,IPMT('Assumptions (Wind)'!$V$10,Model!AE1,'Assumptions (Wind)'!$V$13,'Assumptions (Wind)'!$V$8*Model!$AV$677*AVERAGE('Assumptions (Wind)'!$AS$2:$AT$2)/10^9),0)</f>
        <v>-0.003620330394</v>
      </c>
      <c r="BE831" s="160">
        <f>IF($AV$677&gt;0,IPMT('Assumptions (Wind)'!$V$10,Model!AF1,'Assumptions (Wind)'!$V$13,'Assumptions (Wind)'!$V$8*Model!$AV$677*AVERAGE('Assumptions (Wind)'!$AS$2:$AT$2)/10^9),0)</f>
        <v>-0.001879786935</v>
      </c>
      <c r="BF831" s="160"/>
      <c r="BG831" s="160"/>
      <c r="BH831" s="160"/>
      <c r="BI831" s="160"/>
      <c r="BJ831" s="160"/>
      <c r="BK831" s="160"/>
      <c r="BL831" s="160"/>
      <c r="BM831" s="160"/>
      <c r="BN831" s="160"/>
      <c r="BO831" s="160"/>
      <c r="BP831" s="160"/>
      <c r="BQ831" s="160"/>
      <c r="BR831" s="160"/>
      <c r="BS831" s="160"/>
      <c r="BT831" s="160"/>
    </row>
    <row r="832" ht="15.75" hidden="1" customHeight="1" outlineLevel="1">
      <c r="A832" s="241"/>
      <c r="B832" s="38"/>
      <c r="C832" s="174"/>
      <c r="D832" s="174"/>
      <c r="E832" s="174"/>
      <c r="F832" s="174"/>
      <c r="G832" s="174"/>
      <c r="H832" s="174"/>
      <c r="I832" s="174"/>
      <c r="J832" s="174"/>
      <c r="K832" s="174"/>
      <c r="L832" s="174"/>
      <c r="M832" s="174"/>
      <c r="N832" s="174"/>
      <c r="O832" s="174"/>
      <c r="P832" s="174"/>
      <c r="Q832" s="174"/>
      <c r="R832" s="174"/>
      <c r="S832" s="174"/>
      <c r="T832" s="174"/>
      <c r="U832" s="174"/>
      <c r="V832" s="174"/>
      <c r="W832" s="160"/>
      <c r="X832" s="160"/>
      <c r="Y832" s="160"/>
      <c r="Z832" s="160"/>
      <c r="AA832" s="160"/>
      <c r="AB832" s="160"/>
      <c r="AC832" s="160"/>
      <c r="AD832" s="160"/>
      <c r="AE832" s="160"/>
      <c r="AF832" s="160"/>
      <c r="AG832" s="160"/>
      <c r="AH832" s="160"/>
      <c r="AI832" s="160"/>
      <c r="AJ832" s="179"/>
      <c r="AK832" s="160"/>
      <c r="AL832" s="177"/>
      <c r="AM832" s="177"/>
      <c r="AN832" s="177"/>
      <c r="AO832" s="160"/>
      <c r="AP832" s="160"/>
      <c r="AQ832" s="160"/>
      <c r="AR832" s="160"/>
      <c r="AS832" s="160"/>
      <c r="AT832" s="160"/>
      <c r="AU832" s="160"/>
      <c r="AV832" s="160"/>
      <c r="AW832" s="160">
        <f>IF($AW$677&gt;0,IPMT('Assumptions (Wind)'!$V$10,Model!W1,'Assumptions (Wind)'!$V$13,'Assumptions (Wind)'!$V$8*Model!$AW$677*AVERAGE('Assumptions (Wind)'!$AT$2:$AU$2)/10^9),0)</f>
        <v>-0.01372021892</v>
      </c>
      <c r="AX832" s="160">
        <f>IF($AW$677&gt;0,IPMT('Assumptions (Wind)'!$V$10,Model!X1,'Assumptions (Wind)'!$V$13,'Assumptions (Wind)'!$V$8*Model!$AW$677*AVERAGE('Assumptions (Wind)'!$AT$2:$AU$2)/10^9),0)</f>
        <v>-0.01277311922</v>
      </c>
      <c r="AY832" s="160">
        <f>IF($AW$677&gt;0,IPMT('Assumptions (Wind)'!$V$10,Model!Y1,'Assumptions (Wind)'!$V$13,'Assumptions (Wind)'!$V$8*Model!$AW$677*AVERAGE('Assumptions (Wind)'!$AT$2:$AU$2)/10^9),0)</f>
        <v>-0.01175025155</v>
      </c>
      <c r="AZ832" s="160">
        <f>IF($AW$677&gt;0,IPMT('Assumptions (Wind)'!$V$10,Model!Z1,'Assumptions (Wind)'!$V$13,'Assumptions (Wind)'!$V$8*Model!$AW$677*AVERAGE('Assumptions (Wind)'!$AT$2:$AU$2)/10^9),0)</f>
        <v>-0.01064555446</v>
      </c>
      <c r="BA832" s="160">
        <f>IF($AW$677&gt;0,IPMT('Assumptions (Wind)'!$V$10,Model!AA1,'Assumptions (Wind)'!$V$13,'Assumptions (Wind)'!$V$8*Model!$AW$677*AVERAGE('Assumptions (Wind)'!$AT$2:$AU$2)/10^9),0)</f>
        <v>-0.009452481608</v>
      </c>
      <c r="BB832" s="160">
        <f>IF($AW$677&gt;0,IPMT('Assumptions (Wind)'!$V$10,Model!AB1,'Assumptions (Wind)'!$V$13,'Assumptions (Wind)'!$V$8*Model!$AW$677*AVERAGE('Assumptions (Wind)'!$AT$2:$AU$2)/10^9),0)</f>
        <v>-0.008163962927</v>
      </c>
      <c r="BC832" s="160">
        <f>IF($AW$677&gt;0,IPMT('Assumptions (Wind)'!$V$10,Model!AC1,'Assumptions (Wind)'!$V$13,'Assumptions (Wind)'!$V$8*Model!$AW$677*AVERAGE('Assumptions (Wind)'!$AT$2:$AU$2)/10^9),0)</f>
        <v>-0.006772362751</v>
      </c>
      <c r="BD832" s="160">
        <f>IF($AW$677&gt;0,IPMT('Assumptions (Wind)'!$V$10,Model!AD1,'Assumptions (Wind)'!$V$13,'Assumptions (Wind)'!$V$8*Model!$AW$677*AVERAGE('Assumptions (Wind)'!$AT$2:$AU$2)/10^9),0)</f>
        <v>-0.005269434562</v>
      </c>
      <c r="BE832" s="160">
        <f>IF($AW$677&gt;0,IPMT('Assumptions (Wind)'!$V$10,Model!AE1,'Assumptions (Wind)'!$V$13,'Assumptions (Wind)'!$V$8*Model!$AW$677*AVERAGE('Assumptions (Wind)'!$AT$2:$AU$2)/10^9),0)</f>
        <v>-0.003646272117</v>
      </c>
      <c r="BF832" s="160">
        <f>IF($AW$677&gt;0,IPMT('Assumptions (Wind)'!$V$10,Model!AF1,'Assumptions (Wind)'!$V$13,'Assumptions (Wind)'!$V$8*Model!$AW$677*AVERAGE('Assumptions (Wind)'!$AT$2:$AU$2)/10^9),0)</f>
        <v>-0.001893256676</v>
      </c>
      <c r="BG832" s="160"/>
      <c r="BH832" s="160"/>
      <c r="BI832" s="160"/>
      <c r="BJ832" s="160"/>
      <c r="BK832" s="160"/>
      <c r="BL832" s="160"/>
      <c r="BM832" s="160"/>
      <c r="BN832" s="160"/>
      <c r="BO832" s="160"/>
      <c r="BP832" s="160"/>
      <c r="BQ832" s="160"/>
      <c r="BR832" s="160"/>
      <c r="BS832" s="160"/>
      <c r="BT832" s="160"/>
      <c r="BU832" s="160"/>
    </row>
    <row r="833" ht="15.75" hidden="1" customHeight="1" outlineLevel="1">
      <c r="A833" s="241"/>
      <c r="B833" s="38"/>
      <c r="C833" s="174"/>
      <c r="D833" s="174"/>
      <c r="E833" s="174"/>
      <c r="F833" s="174"/>
      <c r="G833" s="174"/>
      <c r="H833" s="174"/>
      <c r="I833" s="174"/>
      <c r="J833" s="174"/>
      <c r="K833" s="174"/>
      <c r="L833" s="174"/>
      <c r="M833" s="174"/>
      <c r="N833" s="174"/>
      <c r="O833" s="174"/>
      <c r="P833" s="174"/>
      <c r="Q833" s="174"/>
      <c r="R833" s="174"/>
      <c r="S833" s="174"/>
      <c r="T833" s="174"/>
      <c r="U833" s="174"/>
      <c r="V833" s="174"/>
      <c r="W833" s="160"/>
      <c r="X833" s="160"/>
      <c r="Y833" s="160"/>
      <c r="Z833" s="160"/>
      <c r="AA833" s="160"/>
      <c r="AB833" s="160"/>
      <c r="AC833" s="160"/>
      <c r="AD833" s="160"/>
      <c r="AE833" s="160"/>
      <c r="AF833" s="160"/>
      <c r="AG833" s="160"/>
      <c r="AH833" s="160"/>
      <c r="AI833" s="160"/>
      <c r="AJ833" s="179"/>
      <c r="AK833" s="160"/>
      <c r="AL833" s="177"/>
      <c r="AM833" s="177"/>
      <c r="AN833" s="177"/>
      <c r="AO833" s="160"/>
      <c r="AP833" s="160"/>
      <c r="AQ833" s="160"/>
      <c r="AR833" s="160"/>
      <c r="AS833" s="160"/>
      <c r="AT833" s="160"/>
      <c r="AU833" s="160"/>
      <c r="AV833" s="160"/>
      <c r="AW833" s="160"/>
      <c r="AX833" s="160">
        <f>IF($AX$677&gt;0,IPMT('Assumptions (Wind)'!$V$10,Model!W1,'Assumptions (Wind)'!$V$13,'Assumptions (Wind)'!$V$8*Model!$AX$677*AVERAGE('Assumptions (Wind)'!$AU$2:$AV$2)/10^9),0)</f>
        <v>-0.01381657916</v>
      </c>
      <c r="AY833" s="160">
        <f>IF($AX$677&gt;0,IPMT('Assumptions (Wind)'!$V$10,Model!X1,'Assumptions (Wind)'!$V$13,'Assumptions (Wind)'!$V$8*Model!$AX$677*AVERAGE('Assumptions (Wind)'!$AU$2:$AV$2)/10^9),0)</f>
        <v>-0.01286282777</v>
      </c>
      <c r="AZ833" s="160">
        <f>IF($AX$677&gt;0,IPMT('Assumptions (Wind)'!$V$10,Model!Y1,'Assumptions (Wind)'!$V$13,'Assumptions (Wind)'!$V$8*Model!$AX$677*AVERAGE('Assumptions (Wind)'!$AU$2:$AV$2)/10^9),0)</f>
        <v>-0.01183277626</v>
      </c>
      <c r="BA833" s="160">
        <f>IF($AX$677&gt;0,IPMT('Assumptions (Wind)'!$V$10,Model!Z1,'Assumptions (Wind)'!$V$13,'Assumptions (Wind)'!$V$8*Model!$AX$677*AVERAGE('Assumptions (Wind)'!$AU$2:$AV$2)/10^9),0)</f>
        <v>-0.01072032063</v>
      </c>
      <c r="BB833" s="160">
        <f>IF($AX$677&gt;0,IPMT('Assumptions (Wind)'!$V$10,Model!AA1,'Assumptions (Wind)'!$V$13,'Assumptions (Wind)'!$V$8*Model!$AX$677*AVERAGE('Assumptions (Wind)'!$AU$2:$AV$2)/10^9),0)</f>
        <v>-0.009518868557</v>
      </c>
      <c r="BC833" s="160">
        <f>IF($AX$677&gt;0,IPMT('Assumptions (Wind)'!$V$10,Model!AB1,'Assumptions (Wind)'!$V$13,'Assumptions (Wind)'!$V$8*Model!$AX$677*AVERAGE('Assumptions (Wind)'!$AU$2:$AV$2)/10^9),0)</f>
        <v>-0.008221300313</v>
      </c>
      <c r="BD833" s="160">
        <f>IF($AX$677&gt;0,IPMT('Assumptions (Wind)'!$V$10,Model!AC1,'Assumptions (Wind)'!$V$13,'Assumptions (Wind)'!$V$8*Model!$AX$677*AVERAGE('Assumptions (Wind)'!$AU$2:$AV$2)/10^9),0)</f>
        <v>-0.00681992661</v>
      </c>
      <c r="BE833" s="160">
        <f>IF($AX$677&gt;0,IPMT('Assumptions (Wind)'!$V$10,Model!AD1,'Assumptions (Wind)'!$V$13,'Assumptions (Wind)'!$V$8*Model!$AX$677*AVERAGE('Assumptions (Wind)'!$AU$2:$AV$2)/10^9),0)</f>
        <v>-0.00530644301</v>
      </c>
      <c r="BF833" s="160">
        <f>IF($AX$677&gt;0,IPMT('Assumptions (Wind)'!$V$10,Model!AE1,'Assumptions (Wind)'!$V$13,'Assumptions (Wind)'!$V$8*Model!$AX$677*AVERAGE('Assumptions (Wind)'!$AU$2:$AV$2)/10^9),0)</f>
        <v>-0.003671880723</v>
      </c>
      <c r="BG833" s="160">
        <f>IF($AX$677&gt;0,IPMT('Assumptions (Wind)'!$V$10,Model!AF1,'Assumptions (Wind)'!$V$13,'Assumptions (Wind)'!$V$8*Model!$AX$677*AVERAGE('Assumptions (Wind)'!$AU$2:$AV$2)/10^9),0)</f>
        <v>-0.001906553452</v>
      </c>
      <c r="BH833" s="160"/>
      <c r="BI833" s="160"/>
      <c r="BJ833" s="160"/>
      <c r="BK833" s="160"/>
      <c r="BL833" s="160"/>
      <c r="BM833" s="160"/>
      <c r="BN833" s="160"/>
      <c r="BO833" s="160"/>
      <c r="BP833" s="160"/>
      <c r="BQ833" s="160"/>
      <c r="BR833" s="160"/>
      <c r="BS833" s="160"/>
      <c r="BT833" s="160"/>
      <c r="BU833" s="160"/>
      <c r="BV833" s="160"/>
    </row>
    <row r="834" ht="15.75" hidden="1" customHeight="1" outlineLevel="1">
      <c r="A834" s="241"/>
      <c r="B834" s="38"/>
      <c r="C834" s="174"/>
      <c r="D834" s="174"/>
      <c r="E834" s="174"/>
      <c r="F834" s="174"/>
      <c r="G834" s="174"/>
      <c r="H834" s="174"/>
      <c r="I834" s="174"/>
      <c r="J834" s="174"/>
      <c r="K834" s="174"/>
      <c r="L834" s="174"/>
      <c r="M834" s="174"/>
      <c r="N834" s="174"/>
      <c r="O834" s="174"/>
      <c r="P834" s="174"/>
      <c r="Q834" s="174"/>
      <c r="R834" s="174"/>
      <c r="S834" s="174"/>
      <c r="T834" s="174"/>
      <c r="U834" s="174"/>
      <c r="V834" s="174"/>
      <c r="W834" s="160"/>
      <c r="X834" s="160"/>
      <c r="Y834" s="160"/>
      <c r="Z834" s="160"/>
      <c r="AA834" s="160"/>
      <c r="AB834" s="160"/>
      <c r="AC834" s="160"/>
      <c r="AD834" s="160"/>
      <c r="AE834" s="160"/>
      <c r="AF834" s="160"/>
      <c r="AG834" s="160"/>
      <c r="AH834" s="160"/>
      <c r="AI834" s="160"/>
      <c r="AJ834" s="179"/>
      <c r="AK834" s="160"/>
      <c r="AL834" s="177"/>
      <c r="AM834" s="177"/>
      <c r="AN834" s="177"/>
      <c r="AO834" s="160"/>
      <c r="AP834" s="160"/>
      <c r="AQ834" s="160"/>
      <c r="AR834" s="160"/>
      <c r="AS834" s="160"/>
      <c r="AT834" s="160"/>
      <c r="AU834" s="160"/>
      <c r="AV834" s="160"/>
      <c r="AW834" s="160"/>
      <c r="AX834" s="160"/>
      <c r="AY834" s="160">
        <f>IF($AY$677&gt;0,IPMT('Assumptions (Wind)'!$V$10,Model!W1,'Assumptions (Wind)'!$V$13,'Assumptions (Wind)'!$V$8*Model!$AY$677*AVERAGE('Assumptions (Wind)'!$AV$2:$AW$2)/10^9),0)</f>
        <v>-0.01391135226</v>
      </c>
      <c r="AZ834" s="160">
        <f>IF($AY$677&gt;0,IPMT('Assumptions (Wind)'!$V$10,Model!X1,'Assumptions (Wind)'!$V$13,'Assumptions (Wind)'!$V$8*Model!$AY$677*AVERAGE('Assumptions (Wind)'!$AV$2:$AW$2)/10^9),0)</f>
        <v>-0.01295105872</v>
      </c>
      <c r="BA834" s="160">
        <f>IF($AY$677&gt;0,IPMT('Assumptions (Wind)'!$V$10,Model!Y1,'Assumptions (Wind)'!$V$13,'Assumptions (Wind)'!$V$8*Model!$AY$677*AVERAGE('Assumptions (Wind)'!$AV$2:$AW$2)/10^9),0)</f>
        <v>-0.01191394171</v>
      </c>
      <c r="BB834" s="160">
        <f>IF($AY$677&gt;0,IPMT('Assumptions (Wind)'!$V$10,Model!Z1,'Assumptions (Wind)'!$V$13,'Assumptions (Wind)'!$V$8*Model!$AY$677*AVERAGE('Assumptions (Wind)'!$AV$2:$AW$2)/10^9),0)</f>
        <v>-0.01079385533</v>
      </c>
      <c r="BC834" s="160">
        <f>IF($AY$677&gt;0,IPMT('Assumptions (Wind)'!$V$10,Model!AA1,'Assumptions (Wind)'!$V$13,'Assumptions (Wind)'!$V$8*Model!$AY$677*AVERAGE('Assumptions (Wind)'!$AV$2:$AW$2)/10^9),0)</f>
        <v>-0.009584162042</v>
      </c>
      <c r="BD834" s="160">
        <f>IF($AY$677&gt;0,IPMT('Assumptions (Wind)'!$V$10,Model!AB1,'Assumptions (Wind)'!$V$13,'Assumptions (Wind)'!$V$8*Model!$AY$677*AVERAGE('Assumptions (Wind)'!$AV$2:$AW$2)/10^9),0)</f>
        <v>-0.008277693291</v>
      </c>
      <c r="BE834" s="160">
        <f>IF($AY$677&gt;0,IPMT('Assumptions (Wind)'!$V$10,Model!AC1,'Assumptions (Wind)'!$V$13,'Assumptions (Wind)'!$V$8*Model!$AY$677*AVERAGE('Assumptions (Wind)'!$AV$2:$AW$2)/10^9),0)</f>
        <v>-0.006866707041</v>
      </c>
      <c r="BF834" s="160">
        <f>IF($AY$677&gt;0,IPMT('Assumptions (Wind)'!$V$10,Model!AD1,'Assumptions (Wind)'!$V$13,'Assumptions (Wind)'!$V$8*Model!$AY$677*AVERAGE('Assumptions (Wind)'!$AV$2:$AW$2)/10^9),0)</f>
        <v>-0.005342841891</v>
      </c>
      <c r="BG834" s="160">
        <f>IF($AY$677&gt;0,IPMT('Assumptions (Wind)'!$V$10,Model!AE1,'Assumptions (Wind)'!$V$13,'Assumptions (Wind)'!$V$8*Model!$AY$677*AVERAGE('Assumptions (Wind)'!$AV$2:$AW$2)/10^9),0)</f>
        <v>-0.003697067528</v>
      </c>
      <c r="BH834" s="160">
        <f>IF($AY$677&gt;0,IPMT('Assumptions (Wind)'!$V$10,Model!AF1,'Assumptions (Wind)'!$V$13,'Assumptions (Wind)'!$V$8*Model!$AY$677*AVERAGE('Assumptions (Wind)'!$AV$2:$AW$2)/10^9),0)</f>
        <v>-0.001919631216</v>
      </c>
      <c r="BI834" s="160"/>
      <c r="BJ834" s="160"/>
      <c r="BK834" s="160"/>
      <c r="BL834" s="160"/>
      <c r="BM834" s="160"/>
      <c r="BN834" s="160"/>
      <c r="BO834" s="160"/>
      <c r="BP834" s="160"/>
      <c r="BQ834" s="160"/>
      <c r="BR834" s="160"/>
      <c r="BS834" s="160"/>
      <c r="BT834" s="160"/>
      <c r="BU834" s="160"/>
      <c r="BV834" s="160"/>
      <c r="BW834" s="160"/>
    </row>
    <row r="835" ht="15.75" hidden="1" customHeight="1" outlineLevel="1">
      <c r="A835" s="241"/>
      <c r="B835" s="38"/>
      <c r="C835" s="174"/>
      <c r="D835" s="174"/>
      <c r="E835" s="174"/>
      <c r="F835" s="174"/>
      <c r="G835" s="174"/>
      <c r="H835" s="174"/>
      <c r="I835" s="174"/>
      <c r="J835" s="174"/>
      <c r="K835" s="174"/>
      <c r="L835" s="174"/>
      <c r="M835" s="174"/>
      <c r="N835" s="174"/>
      <c r="O835" s="174"/>
      <c r="P835" s="174"/>
      <c r="Q835" s="174"/>
      <c r="R835" s="174"/>
      <c r="S835" s="174"/>
      <c r="T835" s="174"/>
      <c r="U835" s="174"/>
      <c r="V835" s="174"/>
      <c r="W835" s="160"/>
      <c r="X835" s="160"/>
      <c r="Y835" s="160"/>
      <c r="Z835" s="160"/>
      <c r="AA835" s="160"/>
      <c r="AB835" s="160"/>
      <c r="AC835" s="160"/>
      <c r="AD835" s="160"/>
      <c r="AE835" s="160"/>
      <c r="AF835" s="160"/>
      <c r="AG835" s="160"/>
      <c r="AH835" s="160"/>
      <c r="AI835" s="160"/>
      <c r="AJ835" s="179"/>
      <c r="AK835" s="160"/>
      <c r="AL835" s="177"/>
      <c r="AM835" s="177"/>
      <c r="AN835" s="177"/>
      <c r="AO835" s="160"/>
      <c r="AP835" s="160"/>
      <c r="AQ835" s="160"/>
      <c r="AR835" s="160"/>
      <c r="AS835" s="160"/>
      <c r="AT835" s="160"/>
      <c r="AU835" s="160"/>
      <c r="AV835" s="160"/>
      <c r="AW835" s="160"/>
      <c r="AX835" s="160"/>
      <c r="AY835" s="160"/>
      <c r="AZ835" s="160">
        <f>IF($AZ$677&gt;0,IPMT('Assumptions (Wind)'!$V$10,Model!W1,'Assumptions (Wind)'!$V$13,'Assumptions (Wind)'!$V$8*Model!$AZ$677*AVERAGE('Assumptions (Wind)'!$AW$2:$AX$2)/10^9),0)</f>
        <v>-0.02799606259</v>
      </c>
      <c r="BA835" s="160">
        <f>IF($AZ$677&gt;0,IPMT('Assumptions (Wind)'!$V$10,Model!X1,'Assumptions (Wind)'!$V$13,'Assumptions (Wind)'!$V$8*Model!$AZ$677*AVERAGE('Assumptions (Wind)'!$AW$2:$AX$2)/10^9),0)</f>
        <v>-0.0260635087</v>
      </c>
      <c r="BB835" s="160">
        <f>IF($AZ$677&gt;0,IPMT('Assumptions (Wind)'!$V$10,Model!Y1,'Assumptions (Wind)'!$V$13,'Assumptions (Wind)'!$V$8*Model!$AZ$677*AVERAGE('Assumptions (Wind)'!$AW$2:$AX$2)/10^9),0)</f>
        <v>-0.02397635051</v>
      </c>
      <c r="BC835" s="160">
        <f>IF($AZ$677&gt;0,IPMT('Assumptions (Wind)'!$V$10,Model!Z1,'Assumptions (Wind)'!$V$13,'Assumptions (Wind)'!$V$8*Model!$AZ$677*AVERAGE('Assumptions (Wind)'!$AW$2:$AX$2)/10^9),0)</f>
        <v>-0.02172221965</v>
      </c>
      <c r="BD835" s="160">
        <f>IF($AZ$677&gt;0,IPMT('Assumptions (Wind)'!$V$10,Model!AA1,'Assumptions (Wind)'!$V$13,'Assumptions (Wind)'!$V$8*Model!$AZ$677*AVERAGE('Assumptions (Wind)'!$AW$2:$AX$2)/10^9),0)</f>
        <v>-0.01928775833</v>
      </c>
      <c r="BE835" s="160">
        <f>IF($AZ$677&gt;0,IPMT('Assumptions (Wind)'!$V$10,Model!AB1,'Assumptions (Wind)'!$V$13,'Assumptions (Wind)'!$V$8*Model!$AZ$677*AVERAGE('Assumptions (Wind)'!$AW$2:$AX$2)/10^9),0)</f>
        <v>-0.01665854011</v>
      </c>
      <c r="BF835" s="160">
        <f>IF($AZ$677&gt;0,IPMT('Assumptions (Wind)'!$V$10,Model!AC1,'Assumptions (Wind)'!$V$13,'Assumptions (Wind)'!$V$8*Model!$AZ$677*AVERAGE('Assumptions (Wind)'!$AW$2:$AX$2)/10^9),0)</f>
        <v>-0.01381898442</v>
      </c>
      <c r="BG835" s="160">
        <f>IF($AZ$677&gt;0,IPMT('Assumptions (Wind)'!$V$10,Model!AD1,'Assumptions (Wind)'!$V$13,'Assumptions (Wind)'!$V$8*Model!$AZ$677*AVERAGE('Assumptions (Wind)'!$AW$2:$AX$2)/10^9),0)</f>
        <v>-0.01075226428</v>
      </c>
      <c r="BH835" s="160">
        <f>IF($AZ$677&gt;0,IPMT('Assumptions (Wind)'!$V$10,Model!AE1,'Assumptions (Wind)'!$V$13,'Assumptions (Wind)'!$V$8*Model!$AZ$677*AVERAGE('Assumptions (Wind)'!$AW$2:$AX$2)/10^9),0)</f>
        <v>-0.007440206531</v>
      </c>
      <c r="BI835" s="160">
        <f>IF($AZ$677&gt;0,IPMT('Assumptions (Wind)'!$V$10,Model!AF1,'Assumptions (Wind)'!$V$13,'Assumptions (Wind)'!$V$8*Model!$AZ$677*AVERAGE('Assumptions (Wind)'!$AW$2:$AX$2)/10^9),0)</f>
        <v>-0.00386318416</v>
      </c>
      <c r="BJ835" s="160"/>
      <c r="BK835" s="160"/>
      <c r="BL835" s="160"/>
      <c r="BM835" s="160"/>
      <c r="BN835" s="160"/>
      <c r="BO835" s="160"/>
      <c r="BP835" s="160"/>
      <c r="BQ835" s="160"/>
      <c r="BR835" s="160"/>
      <c r="BS835" s="160"/>
      <c r="BT835" s="160"/>
      <c r="BU835" s="160"/>
      <c r="BV835" s="160"/>
      <c r="BW835" s="160"/>
      <c r="BX835" s="160"/>
    </row>
    <row r="836" ht="15.75" hidden="1" customHeight="1" outlineLevel="1">
      <c r="A836" s="241"/>
      <c r="B836" s="38"/>
      <c r="C836" s="174"/>
      <c r="D836" s="174"/>
      <c r="E836" s="174"/>
      <c r="F836" s="174"/>
      <c r="G836" s="174"/>
      <c r="H836" s="174"/>
      <c r="I836" s="174"/>
      <c r="J836" s="174"/>
      <c r="K836" s="174"/>
      <c r="L836" s="174"/>
      <c r="M836" s="174"/>
      <c r="N836" s="174"/>
      <c r="O836" s="174"/>
      <c r="P836" s="174"/>
      <c r="Q836" s="174"/>
      <c r="R836" s="174"/>
      <c r="S836" s="174"/>
      <c r="T836" s="174"/>
      <c r="U836" s="174"/>
      <c r="V836" s="174"/>
      <c r="W836" s="160"/>
      <c r="X836" s="160"/>
      <c r="Y836" s="160"/>
      <c r="Z836" s="160"/>
      <c r="AA836" s="160"/>
      <c r="AB836" s="160"/>
      <c r="AC836" s="160"/>
      <c r="AD836" s="160"/>
      <c r="AE836" s="160"/>
      <c r="AF836" s="160"/>
      <c r="AG836" s="160"/>
      <c r="AH836" s="160"/>
      <c r="AI836" s="160"/>
      <c r="AJ836" s="179"/>
      <c r="AK836" s="160"/>
      <c r="AL836" s="177"/>
      <c r="AM836" s="177"/>
      <c r="AN836" s="177"/>
      <c r="AO836" s="160"/>
      <c r="AP836" s="160"/>
      <c r="AQ836" s="160"/>
      <c r="AR836" s="160"/>
      <c r="AS836" s="160"/>
      <c r="AT836" s="160"/>
      <c r="AU836" s="160"/>
      <c r="AV836" s="160"/>
      <c r="AW836" s="160"/>
      <c r="AX836" s="160"/>
      <c r="AY836" s="160"/>
      <c r="AZ836" s="160"/>
      <c r="BA836" s="160">
        <f>IF($BA$677&gt;0,IPMT('Assumptions (Wind)'!$V$10,Model!W1,'Assumptions (Wind)'!$V$13,'Assumptions (Wind)'!$V$8*Model!$BA$677*AVERAGE('Assumptions (Wind)'!$AX$2:$AY$2)/10^9),0)</f>
        <v>-0.02816559542</v>
      </c>
      <c r="BB836" s="160">
        <f>IF($BA$677&gt;0,IPMT('Assumptions (Wind)'!$V$10,Model!X1,'Assumptions (Wind)'!$V$13,'Assumptions (Wind)'!$V$8*Model!$BA$677*AVERAGE('Assumptions (Wind)'!$AX$2:$AY$2)/10^9),0)</f>
        <v>-0.02622133877</v>
      </c>
      <c r="BC836" s="160">
        <f>IF($BA$677&gt;0,IPMT('Assumptions (Wind)'!$V$10,Model!Y1,'Assumptions (Wind)'!$V$13,'Assumptions (Wind)'!$V$8*Model!$BA$677*AVERAGE('Assumptions (Wind)'!$AX$2:$AY$2)/10^9),0)</f>
        <v>-0.02412154159</v>
      </c>
      <c r="BD836" s="160">
        <f>IF($BA$677&gt;0,IPMT('Assumptions (Wind)'!$V$10,Model!Z1,'Assumptions (Wind)'!$V$13,'Assumptions (Wind)'!$V$8*Model!$BA$677*AVERAGE('Assumptions (Wind)'!$AX$2:$AY$2)/10^9),0)</f>
        <v>-0.02185376063</v>
      </c>
      <c r="BE836" s="160">
        <f>IF($BA$677&gt;0,IPMT('Assumptions (Wind)'!$V$10,Model!AA1,'Assumptions (Wind)'!$V$13,'Assumptions (Wind)'!$V$8*Model!$BA$677*AVERAGE('Assumptions (Wind)'!$AX$2:$AY$2)/10^9),0)</f>
        <v>-0.01940455719</v>
      </c>
      <c r="BF836" s="160">
        <f>IF($BA$677&gt;0,IPMT('Assumptions (Wind)'!$V$10,Model!AB1,'Assumptions (Wind)'!$V$13,'Assumptions (Wind)'!$V$8*Model!$BA$677*AVERAGE('Assumptions (Wind)'!$AX$2:$AY$2)/10^9),0)</f>
        <v>-0.01675941749</v>
      </c>
      <c r="BG836" s="160">
        <f>IF($BA$677&gt;0,IPMT('Assumptions (Wind)'!$V$10,Model!AC1,'Assumptions (Wind)'!$V$13,'Assumptions (Wind)'!$V$8*Model!$BA$677*AVERAGE('Assumptions (Wind)'!$AX$2:$AY$2)/10^9),0)</f>
        <v>-0.0139026666</v>
      </c>
      <c r="BH836" s="160">
        <f>IF($BA$677&gt;0,IPMT('Assumptions (Wind)'!$V$10,Model!AD1,'Assumptions (Wind)'!$V$13,'Assumptions (Wind)'!$V$8*Model!$BA$677*AVERAGE('Assumptions (Wind)'!$AX$2:$AY$2)/10^9),0)</f>
        <v>-0.01081737564</v>
      </c>
      <c r="BI836" s="160">
        <f>IF($BA$677&gt;0,IPMT('Assumptions (Wind)'!$V$10,Model!AE1,'Assumptions (Wind)'!$V$13,'Assumptions (Wind)'!$V$8*Model!$BA$677*AVERAGE('Assumptions (Wind)'!$AX$2:$AY$2)/10^9),0)</f>
        <v>-0.007485261412</v>
      </c>
      <c r="BJ836" s="160">
        <f>IF($BA$677&gt;0,IPMT('Assumptions (Wind)'!$V$10,Model!AF1,'Assumptions (Wind)'!$V$13,'Assumptions (Wind)'!$V$8*Model!$BA$677*AVERAGE('Assumptions (Wind)'!$AX$2:$AY$2)/10^9),0)</f>
        <v>-0.003886578041</v>
      </c>
      <c r="BK836" s="160"/>
      <c r="BL836" s="160"/>
      <c r="BM836" s="160"/>
      <c r="BN836" s="160"/>
      <c r="BO836" s="160"/>
      <c r="BP836" s="160"/>
      <c r="BQ836" s="160"/>
      <c r="BR836" s="160"/>
      <c r="BS836" s="160"/>
      <c r="BT836" s="160"/>
      <c r="BU836" s="160"/>
      <c r="BV836" s="160"/>
      <c r="BW836" s="160"/>
      <c r="BX836" s="160"/>
      <c r="BY836" s="160"/>
    </row>
    <row r="837" ht="15.75" customHeight="1" collapsed="1">
      <c r="A837" s="239" t="s">
        <v>361</v>
      </c>
      <c r="B837" s="150" t="s">
        <v>351</v>
      </c>
      <c r="C837" s="176">
        <f t="shared" ref="C837:BF837" si="36">SUM(C838:C888)</f>
        <v>0.000462271717</v>
      </c>
      <c r="D837" s="176">
        <f t="shared" si="36"/>
        <v>0.0007396347472</v>
      </c>
      <c r="E837" s="176">
        <f t="shared" si="36"/>
        <v>0.0004437808483</v>
      </c>
      <c r="F837" s="176">
        <f t="shared" si="36"/>
        <v>0.000266268509</v>
      </c>
      <c r="G837" s="176">
        <f t="shared" si="36"/>
        <v>0.006630448752</v>
      </c>
      <c r="H837" s="176">
        <f t="shared" si="36"/>
        <v>0.01031582264</v>
      </c>
      <c r="I837" s="176">
        <f t="shared" si="36"/>
        <v>0.006109613033</v>
      </c>
      <c r="J837" s="176">
        <f t="shared" si="36"/>
        <v>0.00366576782</v>
      </c>
      <c r="K837" s="176">
        <f t="shared" si="36"/>
        <v>0.00366576782</v>
      </c>
      <c r="L837" s="176">
        <f t="shared" si="36"/>
        <v>0.00183288391</v>
      </c>
      <c r="M837" s="176">
        <f t="shared" si="36"/>
        <v>0</v>
      </c>
      <c r="N837" s="176">
        <f t="shared" si="36"/>
        <v>0</v>
      </c>
      <c r="O837" s="176">
        <f t="shared" si="36"/>
        <v>0</v>
      </c>
      <c r="P837" s="176">
        <f t="shared" si="36"/>
        <v>0</v>
      </c>
      <c r="Q837" s="176">
        <f t="shared" si="36"/>
        <v>0</v>
      </c>
      <c r="R837" s="176">
        <f t="shared" si="36"/>
        <v>0</v>
      </c>
      <c r="S837" s="176">
        <f t="shared" si="36"/>
        <v>0.06929545581</v>
      </c>
      <c r="T837" s="176">
        <f t="shared" si="36"/>
        <v>0.1108727293</v>
      </c>
      <c r="U837" s="176">
        <f t="shared" si="36"/>
        <v>0.06652363757</v>
      </c>
      <c r="V837" s="176">
        <f t="shared" si="36"/>
        <v>0.03991418254</v>
      </c>
      <c r="W837" s="176">
        <f t="shared" si="36"/>
        <v>0.03991418254</v>
      </c>
      <c r="X837" s="176">
        <f t="shared" si="36"/>
        <v>0.07421268021</v>
      </c>
      <c r="Y837" s="176">
        <f t="shared" si="36"/>
        <v>0.1409842907</v>
      </c>
      <c r="Z837" s="176">
        <f t="shared" si="36"/>
        <v>0.1927673347</v>
      </c>
      <c r="AA837" s="176">
        <f t="shared" si="36"/>
        <v>0.223461882</v>
      </c>
      <c r="AB837" s="176">
        <f t="shared" si="36"/>
        <v>0.253930549</v>
      </c>
      <c r="AC837" s="176">
        <f t="shared" si="36"/>
        <v>0.2685261494</v>
      </c>
      <c r="AD837" s="176">
        <f t="shared" si="36"/>
        <v>0.2672512391</v>
      </c>
      <c r="AE837" s="176">
        <f t="shared" si="36"/>
        <v>0.2663861919</v>
      </c>
      <c r="AF837" s="176">
        <f t="shared" si="36"/>
        <v>0.2650794554</v>
      </c>
      <c r="AG837" s="176">
        <f t="shared" si="36"/>
        <v>0.2627873575</v>
      </c>
      <c r="AH837" s="176">
        <f t="shared" si="36"/>
        <v>0.260403447</v>
      </c>
      <c r="AI837" s="176">
        <f t="shared" si="36"/>
        <v>0.2674084625</v>
      </c>
      <c r="AJ837" s="176">
        <f t="shared" si="36"/>
        <v>0.271824905</v>
      </c>
      <c r="AK837" s="176">
        <f t="shared" si="36"/>
        <v>0.2664067668</v>
      </c>
      <c r="AL837" s="176">
        <f t="shared" si="36"/>
        <v>0.2641376203</v>
      </c>
      <c r="AM837" s="176">
        <f t="shared" si="36"/>
        <v>0.2658174828</v>
      </c>
      <c r="AN837" s="176">
        <f t="shared" si="36"/>
        <v>0.2653559549</v>
      </c>
      <c r="AO837" s="176">
        <f t="shared" si="36"/>
        <v>0.2650266426</v>
      </c>
      <c r="AP837" s="176">
        <f t="shared" si="36"/>
        <v>0.2672414207</v>
      </c>
      <c r="AQ837" s="176">
        <f t="shared" si="36"/>
        <v>0.2694417824</v>
      </c>
      <c r="AR837" s="176">
        <f t="shared" si="36"/>
        <v>0.2716262482</v>
      </c>
      <c r="AS837" s="176">
        <f t="shared" si="36"/>
        <v>0.273793436</v>
      </c>
      <c r="AT837" s="176">
        <f t="shared" si="36"/>
        <v>0.2759417631</v>
      </c>
      <c r="AU837" s="176">
        <f t="shared" si="36"/>
        <v>0.3534429844</v>
      </c>
      <c r="AV837" s="176">
        <f t="shared" si="36"/>
        <v>0.4007476791</v>
      </c>
      <c r="AW837" s="176">
        <f t="shared" si="36"/>
        <v>0.3545498263</v>
      </c>
      <c r="AX837" s="176">
        <f t="shared" si="36"/>
        <v>0.3276376242</v>
      </c>
      <c r="AY837" s="176">
        <f t="shared" si="36"/>
        <v>0.3296508959</v>
      </c>
      <c r="AZ837" s="176">
        <f t="shared" si="36"/>
        <v>0.368224758</v>
      </c>
      <c r="BA837" s="176">
        <f t="shared" si="36"/>
        <v>0.4420779155</v>
      </c>
      <c r="BB837" s="176">
        <f t="shared" si="36"/>
        <v>0.3827661846</v>
      </c>
      <c r="BC837" s="176">
        <f t="shared" si="36"/>
        <v>0.2298200723</v>
      </c>
      <c r="BD837" s="176">
        <f t="shared" si="36"/>
        <v>0.1514816019</v>
      </c>
      <c r="BE837" s="176">
        <f t="shared" si="36"/>
        <v>0.1011927041</v>
      </c>
      <c r="BF837" s="176">
        <f t="shared" si="36"/>
        <v>0.0337987145</v>
      </c>
      <c r="BG837" s="176"/>
      <c r="BH837" s="176"/>
      <c r="BI837" s="176"/>
      <c r="BJ837" s="176"/>
    </row>
    <row r="838" ht="15.75" hidden="1" customHeight="1" outlineLevel="1">
      <c r="A838" s="241"/>
      <c r="B838" s="38"/>
      <c r="C838" s="177">
        <f>IF($C$677&gt;0,'Assumptions (Wind)'!V$14*Model!$C$677*'Assumptions (Wind)'!$B$2/10^9,0)</f>
        <v>0.000462271717</v>
      </c>
      <c r="D838" s="177">
        <f>IF($C$677&gt;0,'Assumptions (Wind)'!W$14*Model!$C$677*'Assumptions (Wind)'!$B$2/10^9,0)</f>
        <v>0.0007396347472</v>
      </c>
      <c r="E838" s="177">
        <f>IF($C$677&gt;0,'Assumptions (Wind)'!X$14*Model!$C$677*'Assumptions (Wind)'!$B$2/10^9,0)</f>
        <v>0.0004437808483</v>
      </c>
      <c r="F838" s="177">
        <f>IF($C$677&gt;0,'Assumptions (Wind)'!Y$14*Model!$C$677*'Assumptions (Wind)'!$B$2/10^9,0)</f>
        <v>0.000266268509</v>
      </c>
      <c r="G838" s="177">
        <f>IF($C$677&gt;0,'Assumptions (Wind)'!Z$14*Model!$C$677*'Assumptions (Wind)'!$B$2/10^9,0)</f>
        <v>0.000266268509</v>
      </c>
      <c r="H838" s="177">
        <f>IF($C$677&gt;0,'Assumptions (Wind)'!AA$14*Model!$C$677*'Assumptions (Wind)'!$B$2/10^9,0)</f>
        <v>0.0001331342545</v>
      </c>
      <c r="I838" s="177"/>
      <c r="J838" s="177"/>
      <c r="K838" s="177"/>
      <c r="L838" s="177"/>
      <c r="M838" s="177"/>
      <c r="N838" s="177"/>
      <c r="O838" s="177"/>
      <c r="P838" s="177"/>
      <c r="Q838" s="177"/>
      <c r="R838" s="177"/>
      <c r="S838" s="177"/>
      <c r="T838" s="177"/>
      <c r="U838" s="177"/>
      <c r="V838" s="177"/>
      <c r="W838" s="177"/>
      <c r="X838" s="177"/>
      <c r="Y838" s="177"/>
      <c r="Z838" s="177"/>
      <c r="AA838" s="177"/>
      <c r="AB838" s="176"/>
      <c r="AC838" s="176"/>
      <c r="AD838" s="176"/>
      <c r="AE838" s="176"/>
      <c r="AF838" s="176"/>
      <c r="AG838" s="176"/>
      <c r="AH838" s="176"/>
      <c r="AI838" s="176"/>
      <c r="AJ838" s="176"/>
      <c r="AK838" s="160"/>
      <c r="AL838" s="160"/>
      <c r="AM838" s="160"/>
      <c r="AN838" s="160"/>
      <c r="AO838" s="160"/>
      <c r="AP838" s="160"/>
      <c r="AQ838" s="160"/>
      <c r="AR838" s="160"/>
      <c r="AS838" s="160"/>
      <c r="AT838" s="160"/>
      <c r="AU838" s="160"/>
      <c r="AV838" s="160"/>
      <c r="AW838" s="160"/>
      <c r="AX838" s="160"/>
      <c r="AY838" s="160"/>
      <c r="AZ838" s="160"/>
      <c r="BA838" s="160"/>
    </row>
    <row r="839" ht="15.75" hidden="1" customHeight="1" outlineLevel="1">
      <c r="A839" s="241"/>
      <c r="B839" s="38"/>
      <c r="C839" s="160"/>
      <c r="D839" s="177">
        <f>IF($D$677&gt;0,'Assumptions (Wind)'!V$14*Model!$D$677*'Assumptions (Wind)'!$B$2/10^9,0)</f>
        <v>0</v>
      </c>
      <c r="E839" s="177">
        <f>IF($D$677&gt;0,'Assumptions (Wind)'!W$14*Model!$D$677*'Assumptions (Wind)'!$B$2/10^9,0)</f>
        <v>0</v>
      </c>
      <c r="F839" s="177">
        <f>IF($D$677&gt;0,'Assumptions (Wind)'!X$14*Model!$D$677*'Assumptions (Wind)'!$B$2/10^9,0)</f>
        <v>0</v>
      </c>
      <c r="G839" s="177">
        <f>IF($D$677&gt;0,'Assumptions (Wind)'!Y$14*Model!$D$677*'Assumptions (Wind)'!$B$2/10^9,0)</f>
        <v>0</v>
      </c>
      <c r="H839" s="177">
        <f>IF($D$677&gt;0,'Assumptions (Wind)'!Z$14*Model!$D$677*'Assumptions (Wind)'!$B$2/10^9,0)</f>
        <v>0</v>
      </c>
      <c r="I839" s="177">
        <f>IF($D$677&gt;0,'Assumptions (Wind)'!AA$14*Model!$D$677*'Assumptions (Wind)'!$B$2/10^9,0)</f>
        <v>0</v>
      </c>
      <c r="J839" s="177"/>
      <c r="K839" s="177"/>
      <c r="L839" s="177"/>
      <c r="M839" s="177"/>
      <c r="N839" s="177"/>
      <c r="O839" s="177"/>
      <c r="P839" s="177"/>
      <c r="Q839" s="177"/>
      <c r="R839" s="177"/>
      <c r="S839" s="177"/>
      <c r="T839" s="177"/>
      <c r="U839" s="177"/>
      <c r="V839" s="177"/>
      <c r="W839" s="177"/>
      <c r="X839" s="177"/>
      <c r="Y839" s="177"/>
      <c r="Z839" s="177"/>
      <c r="AA839" s="177"/>
      <c r="AB839" s="176"/>
      <c r="AC839" s="176"/>
      <c r="AD839" s="176"/>
      <c r="AE839" s="176"/>
      <c r="AF839" s="176"/>
      <c r="AG839" s="176"/>
      <c r="AH839" s="176"/>
      <c r="AI839" s="176"/>
      <c r="AJ839" s="176"/>
      <c r="AK839" s="160"/>
      <c r="AL839" s="160"/>
      <c r="AM839" s="160"/>
      <c r="AN839" s="160"/>
      <c r="AO839" s="160"/>
      <c r="AP839" s="160"/>
      <c r="AQ839" s="160"/>
      <c r="AR839" s="160"/>
      <c r="AS839" s="160"/>
      <c r="AT839" s="160"/>
      <c r="AU839" s="160"/>
      <c r="AV839" s="160"/>
      <c r="AW839" s="160"/>
      <c r="AX839" s="160"/>
      <c r="AY839" s="160"/>
      <c r="AZ839" s="160"/>
      <c r="BA839" s="160"/>
    </row>
    <row r="840" ht="15.75" hidden="1" customHeight="1" outlineLevel="1">
      <c r="A840" s="241"/>
      <c r="B840" s="38"/>
      <c r="C840" s="160"/>
      <c r="D840" s="160"/>
      <c r="E840" s="160">
        <f>IF($E$677&gt;0,'Assumptions (Wind)'!V$14*Model!$E$677*AVERAGE('Assumptions (Wind)'!$B$2:$C$2)/10^9,0)</f>
        <v>0</v>
      </c>
      <c r="F840" s="160">
        <f>IF($E$677&gt;0,'Assumptions (Wind)'!W$14*Model!$E$677*AVERAGE('Assumptions (Wind)'!$B$2:$C$2)/10^9,0)</f>
        <v>0</v>
      </c>
      <c r="G840" s="160">
        <f>IF($E$677&gt;0,'Assumptions (Wind)'!X$14*Model!$E$677*AVERAGE('Assumptions (Wind)'!$B$2:$C$2)/10^9,0)</f>
        <v>0</v>
      </c>
      <c r="H840" s="160">
        <f>IF($E$677&gt;0,'Assumptions (Wind)'!Y$14*Model!$E$677*AVERAGE('Assumptions (Wind)'!$B$2:$C$2)/10^9,0)</f>
        <v>0</v>
      </c>
      <c r="I840" s="160">
        <f>IF($E$677&gt;0,'Assumptions (Wind)'!Z$14*Model!$E$677*AVERAGE('Assumptions (Wind)'!$B$2:$C$2)/10^9,0)</f>
        <v>0</v>
      </c>
      <c r="J840" s="160">
        <f>IF($E$677&gt;0,'Assumptions (Wind)'!AA$14*Model!$E$677*AVERAGE('Assumptions (Wind)'!$B$2:$C$2)/10^9,0)</f>
        <v>0</v>
      </c>
      <c r="K840" s="160"/>
      <c r="L840" s="160"/>
      <c r="M840" s="160"/>
      <c r="N840" s="160"/>
      <c r="O840" s="160"/>
      <c r="P840" s="160"/>
      <c r="Q840" s="160"/>
      <c r="R840" s="160"/>
      <c r="S840" s="160"/>
      <c r="T840" s="160"/>
      <c r="U840" s="160"/>
      <c r="V840" s="160"/>
      <c r="W840" s="160"/>
      <c r="X840" s="160"/>
      <c r="Y840" s="160"/>
      <c r="Z840" s="160"/>
      <c r="AA840" s="160"/>
      <c r="AB840" s="176"/>
      <c r="AC840" s="176"/>
      <c r="AD840" s="176"/>
      <c r="AE840" s="176"/>
      <c r="AF840" s="176"/>
      <c r="AG840" s="176"/>
      <c r="AH840" s="176"/>
      <c r="AI840" s="176"/>
      <c r="AJ840" s="176"/>
      <c r="AK840" s="160"/>
      <c r="AL840" s="160"/>
      <c r="AM840" s="160"/>
      <c r="AN840" s="160"/>
      <c r="AO840" s="160"/>
      <c r="AP840" s="160"/>
      <c r="AQ840" s="160"/>
      <c r="AR840" s="160"/>
      <c r="AS840" s="160"/>
      <c r="AT840" s="160"/>
      <c r="AU840" s="160"/>
      <c r="AV840" s="160"/>
      <c r="AW840" s="160"/>
      <c r="AX840" s="160"/>
      <c r="AY840" s="160"/>
      <c r="AZ840" s="160"/>
      <c r="BA840" s="160"/>
    </row>
    <row r="841" ht="15.75" hidden="1" customHeight="1" outlineLevel="1">
      <c r="A841" s="241"/>
      <c r="B841" s="38"/>
      <c r="C841" s="160"/>
      <c r="D841" s="160"/>
      <c r="E841" s="160"/>
      <c r="F841" s="160">
        <f>IF($F$677&gt;0,'Assumptions (Wind)'!V$14*Model!$F$677*AVERAGE('Assumptions (Wind)'!$C$2:$D$2)/10^9,0)</f>
        <v>0</v>
      </c>
      <c r="G841" s="160">
        <f>IF($F$677&gt;0,'Assumptions (Wind)'!W$14*Model!$F$677*AVERAGE('Assumptions (Wind)'!$C$2:$D$2)/10^9,0)</f>
        <v>0</v>
      </c>
      <c r="H841" s="160">
        <f>IF($F$677&gt;0,'Assumptions (Wind)'!X$14*Model!$F$677*AVERAGE('Assumptions (Wind)'!$C$2:$D$2)/10^9,0)</f>
        <v>0</v>
      </c>
      <c r="I841" s="160">
        <f>IF($F$677&gt;0,'Assumptions (Wind)'!Y$14*Model!$F$677*AVERAGE('Assumptions (Wind)'!$C$2:$D$2)/10^9,0)</f>
        <v>0</v>
      </c>
      <c r="J841" s="160">
        <f>IF($F$677&gt;0,'Assumptions (Wind)'!Z$14*Model!$F$677*AVERAGE('Assumptions (Wind)'!$C$2:$D$2)/10^9,0)</f>
        <v>0</v>
      </c>
      <c r="K841" s="160">
        <f>IF($F$677&gt;0,'Assumptions (Wind)'!AA$14*Model!$F$677*AVERAGE('Assumptions (Wind)'!$C$2:$D$2)/10^9,0)</f>
        <v>0</v>
      </c>
      <c r="L841" s="160"/>
      <c r="M841" s="160"/>
      <c r="N841" s="160"/>
      <c r="O841" s="160"/>
      <c r="P841" s="160"/>
      <c r="Q841" s="160"/>
      <c r="R841" s="160"/>
      <c r="S841" s="160"/>
      <c r="T841" s="160"/>
      <c r="U841" s="160"/>
      <c r="V841" s="160"/>
      <c r="W841" s="160"/>
      <c r="X841" s="160"/>
      <c r="Y841" s="160"/>
      <c r="Z841" s="160"/>
      <c r="AA841" s="160"/>
      <c r="AB841" s="176"/>
      <c r="AC841" s="176"/>
      <c r="AD841" s="176"/>
      <c r="AE841" s="176"/>
      <c r="AF841" s="176"/>
      <c r="AG841" s="176"/>
      <c r="AH841" s="176"/>
      <c r="AI841" s="176"/>
      <c r="AJ841" s="176"/>
      <c r="AK841" s="160"/>
      <c r="AL841" s="160"/>
      <c r="AM841" s="160"/>
      <c r="AN841" s="160"/>
      <c r="AO841" s="160"/>
      <c r="AP841" s="160"/>
      <c r="AQ841" s="160"/>
      <c r="AR841" s="160"/>
      <c r="AS841" s="160"/>
      <c r="AT841" s="160"/>
      <c r="AU841" s="160"/>
      <c r="AV841" s="160"/>
      <c r="AW841" s="160"/>
      <c r="AX841" s="160"/>
      <c r="AY841" s="160"/>
      <c r="AZ841" s="160"/>
      <c r="BA841" s="160"/>
    </row>
    <row r="842" ht="15.75" hidden="1" customHeight="1" outlineLevel="1">
      <c r="A842" s="241"/>
      <c r="B842" s="38"/>
      <c r="C842" s="160"/>
      <c r="D842" s="160"/>
      <c r="E842" s="160"/>
      <c r="F842" s="160"/>
      <c r="G842" s="160">
        <f>IF($G$677&gt;0,'Assumptions (Wind)'!V$14*Model!$G$677*AVERAGE('Assumptions (Wind)'!$D$2:$E$2)/10^9,0)</f>
        <v>0.006364180243</v>
      </c>
      <c r="H842" s="160">
        <f>IF($G$677&gt;0,'Assumptions (Wind)'!W$14*Model!$G$677*AVERAGE('Assumptions (Wind)'!$D$2:$E$2)/10^9,0)</f>
        <v>0.01018268839</v>
      </c>
      <c r="I842" s="160">
        <f>IF($G$677&gt;0,'Assumptions (Wind)'!X$14*Model!$G$677*AVERAGE('Assumptions (Wind)'!$D$2:$E$2)/10^9,0)</f>
        <v>0.006109613033</v>
      </c>
      <c r="J842" s="160">
        <f>IF($G$677&gt;0,'Assumptions (Wind)'!Y$14*Model!$G$677*AVERAGE('Assumptions (Wind)'!$D$2:$E$2)/10^9,0)</f>
        <v>0.00366576782</v>
      </c>
      <c r="K842" s="160">
        <f>IF($G$677&gt;0,'Assumptions (Wind)'!Z$14*Model!$G$677*AVERAGE('Assumptions (Wind)'!$D$2:$E$2)/10^9,0)</f>
        <v>0.00366576782</v>
      </c>
      <c r="L842" s="160">
        <f>IF($G$677&gt;0,'Assumptions (Wind)'!AA$14*Model!$G$677*AVERAGE('Assumptions (Wind)'!$D$2:$E$2)/10^9,0)</f>
        <v>0.00183288391</v>
      </c>
      <c r="M842" s="160"/>
      <c r="N842" s="160"/>
      <c r="O842" s="160"/>
      <c r="P842" s="160"/>
      <c r="Q842" s="160"/>
      <c r="R842" s="160"/>
      <c r="S842" s="160"/>
      <c r="T842" s="160"/>
      <c r="U842" s="160"/>
      <c r="V842" s="160"/>
      <c r="W842" s="160"/>
      <c r="X842" s="160"/>
      <c r="Y842" s="160"/>
      <c r="Z842" s="160"/>
      <c r="AA842" s="160"/>
      <c r="AB842" s="176"/>
      <c r="AC842" s="176"/>
      <c r="AD842" s="176"/>
      <c r="AE842" s="176"/>
      <c r="AF842" s="176"/>
      <c r="AG842" s="176"/>
      <c r="AH842" s="176"/>
      <c r="AI842" s="176"/>
      <c r="AJ842" s="176"/>
      <c r="AK842" s="160"/>
      <c r="AL842" s="160"/>
      <c r="AM842" s="160"/>
      <c r="AN842" s="160"/>
      <c r="AO842" s="160"/>
      <c r="AP842" s="160"/>
      <c r="AQ842" s="160"/>
      <c r="AR842" s="160"/>
      <c r="AS842" s="160"/>
      <c r="AT842" s="160"/>
      <c r="AU842" s="160"/>
      <c r="AV842" s="160"/>
      <c r="AW842" s="160"/>
      <c r="AX842" s="160"/>
      <c r="AY842" s="160"/>
      <c r="AZ842" s="160"/>
      <c r="BA842" s="160"/>
    </row>
    <row r="843" ht="15.75" hidden="1" customHeight="1" outlineLevel="1">
      <c r="A843" s="241"/>
      <c r="B843" s="38"/>
      <c r="C843" s="160"/>
      <c r="D843" s="160"/>
      <c r="E843" s="160"/>
      <c r="F843" s="160"/>
      <c r="G843" s="160"/>
      <c r="H843" s="160">
        <f>IF($H$677&gt;0,'Assumptions (Wind)'!V$14*Model!$H$677*AVERAGE('Assumptions (Wind)'!$E$2:$F$2)/10^9,0)</f>
        <v>0</v>
      </c>
      <c r="I843" s="160">
        <f>IF($H$677&gt;0,'Assumptions (Wind)'!W$14*Model!$H$677*AVERAGE('Assumptions (Wind)'!$E$2:$F$2)/10^9,0)</f>
        <v>0</v>
      </c>
      <c r="J843" s="160">
        <f>IF($H$677&gt;0,'Assumptions (Wind)'!X$14*Model!$H$677*AVERAGE('Assumptions (Wind)'!$E$2:$F$2)/10^9,0)</f>
        <v>0</v>
      </c>
      <c r="K843" s="160">
        <f>IF($H$677&gt;0,'Assumptions (Wind)'!Y$14*Model!$H$677*AVERAGE('Assumptions (Wind)'!$E$2:$F$2)/10^9,0)</f>
        <v>0</v>
      </c>
      <c r="L843" s="160">
        <f>IF($H$677&gt;0,'Assumptions (Wind)'!Z$14*Model!$H$677*AVERAGE('Assumptions (Wind)'!$E$2:$F$2)/10^9,0)</f>
        <v>0</v>
      </c>
      <c r="M843" s="160">
        <f>IF($H$677&gt;0,'Assumptions (Wind)'!AA$14*Model!$H$677*AVERAGE('Assumptions (Wind)'!$E$2:$F$2)/10^9,0)</f>
        <v>0</v>
      </c>
      <c r="N843" s="160"/>
      <c r="O843" s="160"/>
      <c r="P843" s="160"/>
      <c r="Q843" s="160"/>
      <c r="R843" s="160"/>
      <c r="S843" s="160"/>
      <c r="T843" s="160"/>
      <c r="U843" s="160"/>
      <c r="V843" s="160"/>
      <c r="W843" s="160"/>
      <c r="X843" s="160"/>
      <c r="Y843" s="160"/>
      <c r="Z843" s="160"/>
      <c r="AA843" s="160"/>
      <c r="AB843" s="176"/>
      <c r="AC843" s="176"/>
      <c r="AD843" s="176"/>
      <c r="AE843" s="176"/>
      <c r="AF843" s="176"/>
      <c r="AG843" s="176"/>
      <c r="AH843" s="176"/>
      <c r="AI843" s="176"/>
      <c r="AJ843" s="176"/>
      <c r="AK843" s="160"/>
      <c r="AL843" s="160"/>
      <c r="AM843" s="160"/>
      <c r="AN843" s="160"/>
      <c r="AO843" s="160"/>
      <c r="AP843" s="160"/>
      <c r="AQ843" s="160"/>
      <c r="AR843" s="160"/>
      <c r="AS843" s="160"/>
      <c r="AT843" s="160"/>
      <c r="AU843" s="160"/>
      <c r="AV843" s="160"/>
      <c r="AW843" s="160"/>
      <c r="AX843" s="160"/>
      <c r="AY843" s="160"/>
      <c r="AZ843" s="160"/>
      <c r="BA843" s="160"/>
    </row>
    <row r="844" ht="15.75" hidden="1" customHeight="1" outlineLevel="1">
      <c r="A844" s="241"/>
      <c r="B844" s="38"/>
      <c r="C844" s="160"/>
      <c r="D844" s="160"/>
      <c r="E844" s="160"/>
      <c r="F844" s="160"/>
      <c r="G844" s="160"/>
      <c r="H844" s="160"/>
      <c r="I844" s="160">
        <f>IF($I$677&gt;0,'Assumptions (Wind)'!V$14*Model!$I$677*AVERAGE('Assumptions (Wind)'!$F$2:$G$2)/10^9,0)</f>
        <v>0</v>
      </c>
      <c r="J844" s="160">
        <f>IF($I$677&gt;0,'Assumptions (Wind)'!W$14*Model!$I$677*AVERAGE('Assumptions (Wind)'!$F$2:$G$2)/10^9,0)</f>
        <v>0</v>
      </c>
      <c r="K844" s="160">
        <f>IF($I$677&gt;0,'Assumptions (Wind)'!X$14*Model!$I$677*AVERAGE('Assumptions (Wind)'!$F$2:$G$2)/10^9,0)</f>
        <v>0</v>
      </c>
      <c r="L844" s="160">
        <f>IF($I$677&gt;0,'Assumptions (Wind)'!Y$14*Model!$I$677*AVERAGE('Assumptions (Wind)'!$F$2:$G$2)/10^9,0)</f>
        <v>0</v>
      </c>
      <c r="M844" s="160">
        <f>IF($I$677&gt;0,'Assumptions (Wind)'!Z$14*Model!$I$677*AVERAGE('Assumptions (Wind)'!$F$2:$G$2)/10^9,0)</f>
        <v>0</v>
      </c>
      <c r="N844" s="160">
        <f>IF($I$677&gt;0,'Assumptions (Wind)'!AA$14*Model!$I$677*AVERAGE('Assumptions (Wind)'!$F$2:$G$2)/10^9,0)</f>
        <v>0</v>
      </c>
      <c r="O844" s="160"/>
      <c r="P844" s="160"/>
      <c r="Q844" s="160"/>
      <c r="R844" s="160"/>
      <c r="S844" s="160"/>
      <c r="T844" s="160"/>
      <c r="U844" s="160"/>
      <c r="V844" s="160"/>
      <c r="W844" s="160"/>
      <c r="X844" s="160"/>
      <c r="Y844" s="160"/>
      <c r="Z844" s="160"/>
      <c r="AA844" s="160"/>
      <c r="AB844" s="176"/>
      <c r="AC844" s="176"/>
      <c r="AD844" s="176"/>
      <c r="AE844" s="176"/>
      <c r="AF844" s="176"/>
      <c r="AG844" s="176"/>
      <c r="AH844" s="176"/>
      <c r="AI844" s="176"/>
      <c r="AJ844" s="176"/>
      <c r="AK844" s="160"/>
      <c r="AL844" s="160"/>
      <c r="AM844" s="160"/>
      <c r="AN844" s="160"/>
      <c r="AO844" s="160"/>
      <c r="AP844" s="160"/>
      <c r="AQ844" s="160"/>
      <c r="AR844" s="160"/>
      <c r="AS844" s="160"/>
      <c r="AT844" s="160"/>
      <c r="AU844" s="160"/>
      <c r="AV844" s="160"/>
      <c r="AW844" s="160"/>
      <c r="AX844" s="160"/>
      <c r="AY844" s="160"/>
      <c r="AZ844" s="160"/>
      <c r="BA844" s="160"/>
    </row>
    <row r="845" ht="15.75" hidden="1" customHeight="1" outlineLevel="1">
      <c r="A845" s="241"/>
      <c r="B845" s="38"/>
      <c r="C845" s="160"/>
      <c r="D845" s="160"/>
      <c r="E845" s="160"/>
      <c r="F845" s="160"/>
      <c r="G845" s="160"/>
      <c r="H845" s="160"/>
      <c r="I845" s="160"/>
      <c r="J845" s="160">
        <f>IF($J$677&gt;0,'Assumptions (Wind)'!V$14*Model!$J$677*AVERAGE('Assumptions (Wind)'!$G$2:$H$2)/10^9,0)</f>
        <v>0</v>
      </c>
      <c r="K845" s="160">
        <f>IF($J$677&gt;0,'Assumptions (Wind)'!W$14*Model!$J$677*AVERAGE('Assumptions (Wind)'!$G$2:$H$2)/10^9,0)</f>
        <v>0</v>
      </c>
      <c r="L845" s="160">
        <f>IF($J$677&gt;0,'Assumptions (Wind)'!X$14*Model!$J$677*AVERAGE('Assumptions (Wind)'!$G$2:$H$2)/10^9,0)</f>
        <v>0</v>
      </c>
      <c r="M845" s="160">
        <f>IF($J$677&gt;0,'Assumptions (Wind)'!Y$14*Model!$J$677*AVERAGE('Assumptions (Wind)'!$G$2:$H$2)/10^9,0)</f>
        <v>0</v>
      </c>
      <c r="N845" s="160">
        <f>IF($J$677&gt;0,'Assumptions (Wind)'!Z$14*Model!$J$677*AVERAGE('Assumptions (Wind)'!$G$2:$H$2)/10^9,0)</f>
        <v>0</v>
      </c>
      <c r="O845" s="160">
        <f>IF($J$677&gt;0,'Assumptions (Wind)'!AA$14*Model!$J$677*AVERAGE('Assumptions (Wind)'!$G$2:$H$2)/10^9,0)</f>
        <v>0</v>
      </c>
      <c r="P845" s="160"/>
      <c r="Q845" s="160"/>
      <c r="R845" s="160"/>
      <c r="S845" s="160"/>
      <c r="T845" s="160"/>
      <c r="U845" s="160"/>
      <c r="V845" s="160"/>
      <c r="W845" s="160"/>
      <c r="X845" s="160"/>
      <c r="Y845" s="160"/>
      <c r="Z845" s="160"/>
      <c r="AA845" s="160"/>
      <c r="AB845" s="176"/>
      <c r="AC845" s="176"/>
      <c r="AD845" s="176"/>
      <c r="AE845" s="176"/>
      <c r="AF845" s="176"/>
      <c r="AG845" s="176"/>
      <c r="AH845" s="176"/>
      <c r="AI845" s="176"/>
      <c r="AJ845" s="176"/>
      <c r="AK845" s="160"/>
      <c r="AL845" s="160"/>
      <c r="AM845" s="160"/>
      <c r="AN845" s="160"/>
      <c r="AO845" s="160"/>
      <c r="AP845" s="160"/>
      <c r="AQ845" s="160"/>
      <c r="AR845" s="160"/>
      <c r="AS845" s="160"/>
      <c r="AT845" s="160"/>
      <c r="AU845" s="160"/>
      <c r="AV845" s="160"/>
      <c r="AW845" s="160"/>
      <c r="AX845" s="160"/>
      <c r="AY845" s="160"/>
      <c r="AZ845" s="160"/>
      <c r="BA845" s="160"/>
    </row>
    <row r="846" ht="15.75" hidden="1" customHeight="1" outlineLevel="1">
      <c r="A846" s="241"/>
      <c r="B846" s="38"/>
      <c r="C846" s="160"/>
      <c r="D846" s="160"/>
      <c r="E846" s="160"/>
      <c r="F846" s="160"/>
      <c r="G846" s="160"/>
      <c r="H846" s="160"/>
      <c r="I846" s="160"/>
      <c r="J846" s="160"/>
      <c r="K846" s="160">
        <f>IF($K$677&gt;0,'Assumptions (Wind)'!V$14*Model!$K$677*AVERAGE('Assumptions (Wind)'!$H$2:$I$2)/10^9,0)</f>
        <v>0</v>
      </c>
      <c r="L846" s="160">
        <f>IF($K$677&gt;0,'Assumptions (Wind)'!W$14*Model!$K$677*AVERAGE('Assumptions (Wind)'!$H$2:$I$2)/10^9,0)</f>
        <v>0</v>
      </c>
      <c r="M846" s="160">
        <f>IF($K$677&gt;0,'Assumptions (Wind)'!X$14*Model!$K$677*AVERAGE('Assumptions (Wind)'!$H$2:$I$2)/10^9,0)</f>
        <v>0</v>
      </c>
      <c r="N846" s="160">
        <f>IF($K$677&gt;0,'Assumptions (Wind)'!Y$14*Model!$K$677*AVERAGE('Assumptions (Wind)'!$H$2:$I$2)/10^9,0)</f>
        <v>0</v>
      </c>
      <c r="O846" s="160">
        <f>IF($K$677&gt;0,'Assumptions (Wind)'!Z$14*Model!$K$677*AVERAGE('Assumptions (Wind)'!$H$2:$I$2)/10^9,0)</f>
        <v>0</v>
      </c>
      <c r="P846" s="160">
        <f>IF($K$677&gt;0,'Assumptions (Wind)'!AA$14*Model!$K$677*AVERAGE('Assumptions (Wind)'!$H$2:$I$2)/10^9,0)</f>
        <v>0</v>
      </c>
      <c r="Q846" s="160"/>
      <c r="R846" s="160"/>
      <c r="S846" s="160"/>
      <c r="T846" s="160"/>
      <c r="U846" s="160"/>
      <c r="V846" s="160"/>
      <c r="W846" s="160"/>
      <c r="X846" s="160"/>
      <c r="Y846" s="160"/>
      <c r="Z846" s="160"/>
      <c r="AA846" s="160"/>
      <c r="AB846" s="176"/>
      <c r="AC846" s="176"/>
      <c r="AD846" s="176"/>
      <c r="AE846" s="176"/>
      <c r="AF846" s="176"/>
      <c r="AG846" s="176"/>
      <c r="AH846" s="176"/>
      <c r="AI846" s="176"/>
      <c r="AJ846" s="176"/>
      <c r="AK846" s="160"/>
      <c r="AL846" s="160"/>
      <c r="AM846" s="160"/>
      <c r="AN846" s="160"/>
      <c r="AO846" s="160"/>
      <c r="AP846" s="160"/>
      <c r="AQ846" s="160"/>
      <c r="AR846" s="160"/>
      <c r="AS846" s="160"/>
      <c r="AT846" s="160"/>
      <c r="AU846" s="160"/>
      <c r="AV846" s="160"/>
      <c r="AW846" s="160"/>
      <c r="AX846" s="160"/>
      <c r="AY846" s="160"/>
      <c r="AZ846" s="160"/>
      <c r="BA846" s="160"/>
    </row>
    <row r="847" ht="15.75" hidden="1" customHeight="1" outlineLevel="1">
      <c r="A847" s="241"/>
      <c r="B847" s="38"/>
      <c r="C847" s="160"/>
      <c r="D847" s="160"/>
      <c r="E847" s="160"/>
      <c r="F847" s="160"/>
      <c r="G847" s="160"/>
      <c r="H847" s="160"/>
      <c r="I847" s="160"/>
      <c r="J847" s="160"/>
      <c r="K847" s="160"/>
      <c r="L847" s="160">
        <f>IF($L$677&gt;0,'Assumptions (Wind)'!V$14*Model!$L$677*AVERAGE('Assumptions (Wind)'!$I$2:$J$2)/10^9,0)</f>
        <v>0</v>
      </c>
      <c r="M847" s="160">
        <f>IF($L$677&gt;0,'Assumptions (Wind)'!W$14*Model!$L$677*AVERAGE('Assumptions (Wind)'!$I$2:$J$2)/10^9,0)</f>
        <v>0</v>
      </c>
      <c r="N847" s="160">
        <f>IF($L$677&gt;0,'Assumptions (Wind)'!X$14*Model!$L$677*AVERAGE('Assumptions (Wind)'!$I$2:$J$2)/10^9,0)</f>
        <v>0</v>
      </c>
      <c r="O847" s="160">
        <f>IF($L$677&gt;0,'Assumptions (Wind)'!Y$14*Model!$L$677*AVERAGE('Assumptions (Wind)'!$I$2:$J$2)/10^9,0)</f>
        <v>0</v>
      </c>
      <c r="P847" s="160">
        <f>IF($L$677&gt;0,'Assumptions (Wind)'!Z$14*Model!$L$677*AVERAGE('Assumptions (Wind)'!$I$2:$J$2)/10^9,0)</f>
        <v>0</v>
      </c>
      <c r="Q847" s="160">
        <f>IF($L$677&gt;0,'Assumptions (Wind)'!AA$14*Model!$L$677*AVERAGE('Assumptions (Wind)'!$I$2:$J$2)/10^9,0)</f>
        <v>0</v>
      </c>
      <c r="R847" s="160"/>
      <c r="S847" s="160"/>
      <c r="T847" s="160"/>
      <c r="U847" s="160"/>
      <c r="V847" s="160"/>
      <c r="W847" s="160"/>
      <c r="X847" s="160"/>
      <c r="Y847" s="160"/>
      <c r="Z847" s="160"/>
      <c r="AA847" s="160"/>
      <c r="AB847" s="176"/>
      <c r="AC847" s="176"/>
      <c r="AD847" s="176"/>
      <c r="AE847" s="176"/>
      <c r="AF847" s="176"/>
      <c r="AG847" s="176"/>
      <c r="AH847" s="176"/>
      <c r="AI847" s="176"/>
      <c r="AJ847" s="176"/>
      <c r="AK847" s="160"/>
      <c r="AL847" s="160"/>
      <c r="AM847" s="160"/>
      <c r="AN847" s="160"/>
      <c r="AO847" s="160"/>
      <c r="AP847" s="160"/>
      <c r="AQ847" s="160"/>
      <c r="AR847" s="160"/>
      <c r="AS847" s="160"/>
      <c r="AT847" s="160"/>
      <c r="AU847" s="160"/>
      <c r="AV847" s="160"/>
      <c r="AW847" s="160"/>
      <c r="AX847" s="160"/>
      <c r="AY847" s="160"/>
      <c r="AZ847" s="160"/>
      <c r="BA847" s="160"/>
    </row>
    <row r="848" ht="15.75" hidden="1" customHeight="1" outlineLevel="1">
      <c r="A848" s="241"/>
      <c r="B848" s="38"/>
      <c r="C848" s="160"/>
      <c r="D848" s="160"/>
      <c r="E848" s="160"/>
      <c r="F848" s="160"/>
      <c r="G848" s="160"/>
      <c r="H848" s="160"/>
      <c r="I848" s="160"/>
      <c r="J848" s="160"/>
      <c r="K848" s="160"/>
      <c r="L848" s="160"/>
      <c r="M848" s="160">
        <f>IF($M$677&gt;0,'Assumptions (Wind)'!V$14*Model!$M$677*AVERAGE('Assumptions (Wind)'!$J$2:$K$2)/10^9,0)</f>
        <v>0</v>
      </c>
      <c r="N848" s="160">
        <f>IF($M$677&gt;0,'Assumptions (Wind)'!W$14*Model!$M$677*AVERAGE('Assumptions (Wind)'!$J$2:$K$2)/10^9,0)</f>
        <v>0</v>
      </c>
      <c r="O848" s="160">
        <f>IF($M$677&gt;0,'Assumptions (Wind)'!X$14*Model!$M$677*AVERAGE('Assumptions (Wind)'!$J$2:$K$2)/10^9,0)</f>
        <v>0</v>
      </c>
      <c r="P848" s="160">
        <f>IF($M$677&gt;0,'Assumptions (Wind)'!Y$14*Model!$M$677*AVERAGE('Assumptions (Wind)'!$J$2:$K$2)/10^9,0)</f>
        <v>0</v>
      </c>
      <c r="Q848" s="160">
        <f>IF($M$677&gt;0,'Assumptions (Wind)'!Z$14*Model!$M$677*AVERAGE('Assumptions (Wind)'!$J$2:$K$2)/10^9,0)</f>
        <v>0</v>
      </c>
      <c r="R848" s="160">
        <f>IF($M$677&gt;0,'Assumptions (Wind)'!AA$14*Model!$M$677*AVERAGE('Assumptions (Wind)'!$J$2:$K$2)/10^9,0)</f>
        <v>0</v>
      </c>
      <c r="S848" s="160"/>
      <c r="T848" s="160"/>
      <c r="U848" s="160"/>
      <c r="V848" s="160"/>
      <c r="W848" s="160"/>
      <c r="X848" s="160"/>
      <c r="Y848" s="160"/>
      <c r="Z848" s="160"/>
      <c r="AA848" s="160"/>
      <c r="AB848" s="176"/>
      <c r="AC848" s="176"/>
      <c r="AD848" s="176"/>
      <c r="AE848" s="176"/>
      <c r="AF848" s="176"/>
      <c r="AG848" s="176"/>
      <c r="AH848" s="176"/>
      <c r="AI848" s="176"/>
      <c r="AJ848" s="176"/>
      <c r="AK848" s="160"/>
      <c r="AL848" s="160"/>
      <c r="AM848" s="160"/>
      <c r="AN848" s="160"/>
      <c r="AO848" s="160"/>
      <c r="AP848" s="160"/>
      <c r="AQ848" s="160"/>
      <c r="AR848" s="160"/>
      <c r="AS848" s="160"/>
      <c r="AT848" s="160"/>
      <c r="AU848" s="160"/>
      <c r="AV848" s="160"/>
      <c r="AW848" s="160"/>
      <c r="AX848" s="160"/>
      <c r="AY848" s="160"/>
      <c r="AZ848" s="160"/>
      <c r="BA848" s="160"/>
    </row>
    <row r="849" ht="15.75" hidden="1" customHeight="1" outlineLevel="1">
      <c r="A849" s="241"/>
      <c r="B849" s="38"/>
      <c r="C849" s="160"/>
      <c r="D849" s="160"/>
      <c r="E849" s="160"/>
      <c r="F849" s="160"/>
      <c r="G849" s="160"/>
      <c r="H849" s="160"/>
      <c r="I849" s="160"/>
      <c r="J849" s="160"/>
      <c r="K849" s="160"/>
      <c r="L849" s="160"/>
      <c r="M849" s="160"/>
      <c r="N849" s="177">
        <f>IF($N$677&gt;0,'Assumptions (Wind)'!V$14*Model!$N$677*AVERAGE('Assumptions (Wind)'!$K$2:$L$2)/10^9,0)</f>
        <v>0</v>
      </c>
      <c r="O849" s="177">
        <f>IF($N$677&gt;0,'Assumptions (Wind)'!W$14*Model!$N$677*AVERAGE('Assumptions (Wind)'!$K$2:$L$2)/10^9,0)</f>
        <v>0</v>
      </c>
      <c r="P849" s="177">
        <f>IF($N$677&gt;0,'Assumptions (Wind)'!X$14*Model!$N$677*AVERAGE('Assumptions (Wind)'!$K$2:$L$2)/10^9,0)</f>
        <v>0</v>
      </c>
      <c r="Q849" s="177">
        <f>IF($N$677&gt;0,'Assumptions (Wind)'!Y$14*Model!$N$677*AVERAGE('Assumptions (Wind)'!$K$2:$L$2)/10^9,0)</f>
        <v>0</v>
      </c>
      <c r="R849" s="177">
        <f>IF($N$677&gt;0,'Assumptions (Wind)'!Z$14*Model!$N$677*AVERAGE('Assumptions (Wind)'!$K$2:$L$2)/10^9,0)</f>
        <v>0</v>
      </c>
      <c r="S849" s="177">
        <f>IF($N$677&gt;0,'Assumptions (Wind)'!AA$14*Model!$N$677*AVERAGE('Assumptions (Wind)'!$K$2:$L$2)/10^9,0)</f>
        <v>0</v>
      </c>
      <c r="T849" s="177"/>
      <c r="U849" s="177"/>
      <c r="V849" s="177"/>
      <c r="W849" s="177"/>
      <c r="X849" s="177"/>
      <c r="Y849" s="177"/>
      <c r="Z849" s="177"/>
      <c r="AA849" s="177"/>
      <c r="AB849" s="176"/>
      <c r="AC849" s="176"/>
      <c r="AD849" s="176"/>
      <c r="AE849" s="176"/>
      <c r="AF849" s="176"/>
      <c r="AG849" s="176"/>
      <c r="AH849" s="176"/>
      <c r="AI849" s="176"/>
      <c r="AJ849" s="176"/>
      <c r="AK849" s="160"/>
      <c r="AL849" s="160"/>
      <c r="AM849" s="160"/>
      <c r="AN849" s="160"/>
      <c r="AO849" s="160"/>
      <c r="AP849" s="160"/>
      <c r="AQ849" s="160"/>
      <c r="AR849" s="160"/>
      <c r="AS849" s="160"/>
      <c r="AT849" s="160"/>
      <c r="AU849" s="160"/>
      <c r="AV849" s="160"/>
      <c r="AW849" s="160"/>
      <c r="AX849" s="160"/>
      <c r="AY849" s="160"/>
      <c r="AZ849" s="160"/>
      <c r="BA849" s="160"/>
    </row>
    <row r="850" ht="15.75" hidden="1" customHeight="1" outlineLevel="1">
      <c r="A850" s="241"/>
      <c r="B850" s="38"/>
      <c r="C850" s="160"/>
      <c r="D850" s="160"/>
      <c r="E850" s="160"/>
      <c r="F850" s="160"/>
      <c r="G850" s="160"/>
      <c r="H850" s="160"/>
      <c r="I850" s="160"/>
      <c r="J850" s="160"/>
      <c r="K850" s="160"/>
      <c r="L850" s="160"/>
      <c r="M850" s="160"/>
      <c r="N850" s="160"/>
      <c r="O850" s="160">
        <f>IF($O$677&gt;0,'Assumptions (Wind)'!V$14*Model!$O$677*AVERAGE('Assumptions (Wind)'!$L$2:$M$2)/10^9,0)</f>
        <v>0</v>
      </c>
      <c r="P850" s="160">
        <f>IF($O$677&gt;0,'Assumptions (Wind)'!W$14*Model!$O$677*AVERAGE('Assumptions (Wind)'!$L$2:$M$2)/10^9,0)</f>
        <v>0</v>
      </c>
      <c r="Q850" s="160">
        <f>IF($O$677&gt;0,'Assumptions (Wind)'!X$14*Model!$O$677*AVERAGE('Assumptions (Wind)'!$L$2:$M$2)/10^9,0)</f>
        <v>0</v>
      </c>
      <c r="R850" s="160">
        <f>IF($O$677&gt;0,'Assumptions (Wind)'!Y$14*Model!$O$677*AVERAGE('Assumptions (Wind)'!$L$2:$M$2)/10^9,0)</f>
        <v>0</v>
      </c>
      <c r="S850" s="160">
        <f>IF($O$677&gt;0,'Assumptions (Wind)'!Z$14*Model!$O$677*AVERAGE('Assumptions (Wind)'!$L$2:$M$2)/10^9,0)</f>
        <v>0</v>
      </c>
      <c r="T850" s="160">
        <f>IF($O$677&gt;0,'Assumptions (Wind)'!AA$14*Model!$O$677*AVERAGE('Assumptions (Wind)'!$L$2:$M$2)/10^9,0)</f>
        <v>0</v>
      </c>
      <c r="U850" s="160"/>
      <c r="V850" s="160"/>
      <c r="W850" s="160"/>
      <c r="X850" s="160"/>
      <c r="Y850" s="160"/>
      <c r="Z850" s="160"/>
      <c r="AA850" s="160"/>
      <c r="AB850" s="176"/>
      <c r="AC850" s="176"/>
      <c r="AD850" s="176"/>
      <c r="AE850" s="176"/>
      <c r="AF850" s="176"/>
      <c r="AG850" s="176"/>
      <c r="AH850" s="176"/>
      <c r="AI850" s="176"/>
      <c r="AJ850" s="176"/>
      <c r="AK850" s="160"/>
      <c r="AL850" s="160"/>
      <c r="AM850" s="160"/>
      <c r="AN850" s="160"/>
      <c r="AO850" s="160"/>
      <c r="AP850" s="160"/>
      <c r="AQ850" s="160"/>
      <c r="AR850" s="160"/>
      <c r="AS850" s="160"/>
      <c r="AT850" s="160"/>
      <c r="AU850" s="160"/>
      <c r="AV850" s="160"/>
      <c r="AW850" s="160"/>
      <c r="AX850" s="160"/>
      <c r="AY850" s="160"/>
      <c r="AZ850" s="160"/>
      <c r="BA850" s="160"/>
    </row>
    <row r="851" ht="15.75" hidden="1" customHeight="1" outlineLevel="1">
      <c r="A851" s="241"/>
      <c r="B851" s="38"/>
      <c r="C851" s="160"/>
      <c r="D851" s="160"/>
      <c r="E851" s="160"/>
      <c r="F851" s="160"/>
      <c r="G851" s="160"/>
      <c r="H851" s="160"/>
      <c r="I851" s="160"/>
      <c r="J851" s="160"/>
      <c r="K851" s="160"/>
      <c r="L851" s="160"/>
      <c r="M851" s="160"/>
      <c r="N851" s="160"/>
      <c r="O851" s="160"/>
      <c r="P851" s="177">
        <f>IF($P$677&gt;0,'Assumptions (Wind)'!V$14*Model!$P$677*AVERAGE('Assumptions (Wind)'!$M$2:$N$2)/10^9,0)</f>
        <v>0</v>
      </c>
      <c r="Q851" s="177">
        <f>IF($P$677&gt;0,'Assumptions (Wind)'!W$14*Model!$P$677*AVERAGE('Assumptions (Wind)'!$M$2:$N$2)/10^9,0)</f>
        <v>0</v>
      </c>
      <c r="R851" s="177">
        <f>IF($P$677&gt;0,'Assumptions (Wind)'!X$14*Model!$P$677*AVERAGE('Assumptions (Wind)'!$M$2:$N$2)/10^9,0)</f>
        <v>0</v>
      </c>
      <c r="S851" s="177">
        <f>IF($P$677&gt;0,'Assumptions (Wind)'!Y$14*Model!$P$677*AVERAGE('Assumptions (Wind)'!$M$2:$N$2)/10^9,0)</f>
        <v>0</v>
      </c>
      <c r="T851" s="177">
        <f>IF($P$677&gt;0,'Assumptions (Wind)'!Z$14*Model!$P$677*AVERAGE('Assumptions (Wind)'!$M$2:$N$2)/10^9,0)</f>
        <v>0</v>
      </c>
      <c r="U851" s="177">
        <f>IF($P$677&gt;0,'Assumptions (Wind)'!AA$14*Model!$P$677*AVERAGE('Assumptions (Wind)'!$M$2:$N$2)/10^9,0)</f>
        <v>0</v>
      </c>
      <c r="V851" s="177"/>
      <c r="W851" s="177"/>
      <c r="X851" s="177"/>
      <c r="Y851" s="177"/>
      <c r="Z851" s="177"/>
      <c r="AA851" s="177"/>
      <c r="AB851" s="176"/>
      <c r="AC851" s="176"/>
      <c r="AD851" s="176"/>
      <c r="AE851" s="176"/>
      <c r="AF851" s="176"/>
      <c r="AG851" s="176"/>
      <c r="AH851" s="176"/>
      <c r="AI851" s="176"/>
      <c r="AJ851" s="176"/>
      <c r="AK851" s="160"/>
      <c r="AL851" s="160"/>
      <c r="AM851" s="160"/>
      <c r="AN851" s="160"/>
      <c r="AO851" s="160"/>
      <c r="AP851" s="160"/>
      <c r="AQ851" s="160"/>
      <c r="AR851" s="160"/>
      <c r="AS851" s="160"/>
      <c r="AT851" s="160"/>
      <c r="AU851" s="160"/>
      <c r="AV851" s="160"/>
      <c r="AW851" s="160"/>
      <c r="AX851" s="160"/>
      <c r="AY851" s="160"/>
      <c r="AZ851" s="160"/>
      <c r="BA851" s="160"/>
    </row>
    <row r="852" ht="15.75" hidden="1" customHeight="1" outlineLevel="1">
      <c r="A852" s="241"/>
      <c r="B852" s="38"/>
      <c r="C852" s="160"/>
      <c r="D852" s="160"/>
      <c r="E852" s="160"/>
      <c r="F852" s="160"/>
      <c r="G852" s="160"/>
      <c r="H852" s="160"/>
      <c r="I852" s="160"/>
      <c r="J852" s="160"/>
      <c r="K852" s="160"/>
      <c r="L852" s="160"/>
      <c r="M852" s="160"/>
      <c r="N852" s="160"/>
      <c r="O852" s="160"/>
      <c r="P852" s="179"/>
      <c r="Q852" s="160">
        <f>IF($Q$677&gt;0,'Assumptions (Wind)'!V$14*Model!$Q$677*AVERAGE('Assumptions (Wind)'!$N$2:$O$2)/10^9,0)</f>
        <v>0</v>
      </c>
      <c r="R852" s="160">
        <f>IF($Q$677&gt;0,'Assumptions (Wind)'!W$14*Model!$Q$677*AVERAGE('Assumptions (Wind)'!$N$2:$O$2)/10^9,0)</f>
        <v>0</v>
      </c>
      <c r="S852" s="160">
        <f>IF($Q$677&gt;0,'Assumptions (Wind)'!X$14*Model!$Q$677*AVERAGE('Assumptions (Wind)'!$N$2:$O$2)/10^9,0)</f>
        <v>0</v>
      </c>
      <c r="T852" s="160">
        <f>IF($Q$677&gt;0,'Assumptions (Wind)'!Y$14*Model!$Q$677*AVERAGE('Assumptions (Wind)'!$N$2:$O$2)/10^9,0)</f>
        <v>0</v>
      </c>
      <c r="U852" s="160">
        <f>IF($Q$677&gt;0,'Assumptions (Wind)'!Z$14*Model!$Q$677*AVERAGE('Assumptions (Wind)'!$N$2:$O$2)/10^9,0)</f>
        <v>0</v>
      </c>
      <c r="V852" s="160">
        <f>IF($Q$677&gt;0,'Assumptions (Wind)'!AA$14*Model!$Q$677*AVERAGE('Assumptions (Wind)'!$N$2:$O$2)/10^9,0)</f>
        <v>0</v>
      </c>
      <c r="W852" s="160"/>
      <c r="X852" s="160"/>
      <c r="Y852" s="160"/>
      <c r="Z852" s="160"/>
      <c r="AA852" s="160"/>
      <c r="AB852" s="176"/>
      <c r="AC852" s="176"/>
      <c r="AD852" s="176"/>
      <c r="AE852" s="176"/>
      <c r="AF852" s="176"/>
      <c r="AG852" s="176"/>
      <c r="AH852" s="176"/>
      <c r="AI852" s="176"/>
      <c r="AJ852" s="176"/>
      <c r="AK852" s="160"/>
      <c r="AL852" s="160"/>
      <c r="AM852" s="160"/>
      <c r="AN852" s="160"/>
      <c r="AO852" s="160"/>
      <c r="AP852" s="160"/>
      <c r="AQ852" s="160"/>
      <c r="AR852" s="160"/>
      <c r="AS852" s="160"/>
      <c r="AT852" s="160"/>
      <c r="AU852" s="160"/>
      <c r="AV852" s="160"/>
      <c r="AW852" s="160"/>
      <c r="AX852" s="160"/>
      <c r="AY852" s="160"/>
      <c r="AZ852" s="160"/>
      <c r="BA852" s="160"/>
    </row>
    <row r="853" ht="15.75" hidden="1" customHeight="1" outlineLevel="1">
      <c r="A853" s="241"/>
      <c r="B853" s="38"/>
      <c r="C853" s="160"/>
      <c r="D853" s="160"/>
      <c r="E853" s="160"/>
      <c r="F853" s="160"/>
      <c r="G853" s="160"/>
      <c r="H853" s="160"/>
      <c r="I853" s="160"/>
      <c r="J853" s="160"/>
      <c r="K853" s="160"/>
      <c r="L853" s="160"/>
      <c r="M853" s="160"/>
      <c r="N853" s="160"/>
      <c r="O853" s="160"/>
      <c r="P853" s="179"/>
      <c r="Q853" s="160"/>
      <c r="R853" s="177">
        <f>IF($R$677&gt;0,'Assumptions (Wind)'!V$14*Model!$R$677*AVERAGE('Assumptions (Wind)'!$O$2:$P$2)/10^9,0)</f>
        <v>0</v>
      </c>
      <c r="S853" s="177">
        <f>IF($R$677&gt;0,'Assumptions (Wind)'!W$14*Model!$R$677*AVERAGE('Assumptions (Wind)'!$O$2:$P$2)/10^9,0)</f>
        <v>0</v>
      </c>
      <c r="T853" s="177">
        <f>IF($R$677&gt;0,'Assumptions (Wind)'!X$14*Model!$R$677*AVERAGE('Assumptions (Wind)'!$O$2:$P$2)/10^9,0)</f>
        <v>0</v>
      </c>
      <c r="U853" s="177">
        <f>IF($R$677&gt;0,'Assumptions (Wind)'!Y$14*Model!$R$677*AVERAGE('Assumptions (Wind)'!$O$2:$P$2)/10^9,0)</f>
        <v>0</v>
      </c>
      <c r="V853" s="177">
        <f>IF($R$677&gt;0,'Assumptions (Wind)'!Z$14*Model!$R$677*AVERAGE('Assumptions (Wind)'!$O$2:$P$2)/10^9,0)</f>
        <v>0</v>
      </c>
      <c r="W853" s="177">
        <f>IF($R$677&gt;0,'Assumptions (Wind)'!AA$14*Model!$R$677*AVERAGE('Assumptions (Wind)'!$O$2:$P$2)/10^9,0)</f>
        <v>0</v>
      </c>
      <c r="X853" s="177"/>
      <c r="Y853" s="177"/>
      <c r="Z853" s="177"/>
      <c r="AA853" s="177"/>
      <c r="AB853" s="176"/>
      <c r="AC853" s="176"/>
      <c r="AD853" s="176"/>
      <c r="AE853" s="176"/>
      <c r="AF853" s="176"/>
      <c r="AG853" s="176"/>
      <c r="AH853" s="176"/>
      <c r="AI853" s="176"/>
      <c r="AJ853" s="176"/>
      <c r="AK853" s="160"/>
      <c r="AL853" s="160"/>
      <c r="AM853" s="160"/>
      <c r="AN853" s="160"/>
      <c r="AO853" s="160"/>
      <c r="AP853" s="160"/>
      <c r="AQ853" s="160"/>
      <c r="AR853" s="160"/>
      <c r="AS853" s="160"/>
      <c r="AT853" s="160"/>
      <c r="AU853" s="160"/>
      <c r="AV853" s="160"/>
      <c r="AW853" s="160"/>
      <c r="AX853" s="160"/>
      <c r="AY853" s="160"/>
      <c r="AZ853" s="160"/>
      <c r="BA853" s="160"/>
    </row>
    <row r="854" ht="15.75" hidden="1" customHeight="1" outlineLevel="1">
      <c r="A854" s="241"/>
      <c r="B854" s="38"/>
      <c r="C854" s="160"/>
      <c r="D854" s="160"/>
      <c r="E854" s="160"/>
      <c r="F854" s="160"/>
      <c r="G854" s="160"/>
      <c r="H854" s="160"/>
      <c r="I854" s="160"/>
      <c r="J854" s="160"/>
      <c r="K854" s="160"/>
      <c r="L854" s="160"/>
      <c r="M854" s="160"/>
      <c r="N854" s="160"/>
      <c r="O854" s="160"/>
      <c r="P854" s="179"/>
      <c r="Q854" s="160"/>
      <c r="R854" s="177"/>
      <c r="S854" s="160">
        <f>IF($S$677&gt;0,'Assumptions (Wind)'!V$14*Model!$S$677*AVERAGE('Assumptions (Wind)'!$P$2:$Q$2)/10^9,0)</f>
        <v>0.06929545581</v>
      </c>
      <c r="T854" s="160">
        <f>IF($S$677&gt;0,'Assumptions (Wind)'!W$14*Model!$S$677*AVERAGE('Assumptions (Wind)'!$P$2:$Q$2)/10^9,0)</f>
        <v>0.1108727293</v>
      </c>
      <c r="U854" s="160">
        <f>IF($S$677&gt;0,'Assumptions (Wind)'!X$14*Model!$S$677*AVERAGE('Assumptions (Wind)'!$P$2:$Q$2)/10^9,0)</f>
        <v>0.06652363757</v>
      </c>
      <c r="V854" s="160">
        <f>IF($S$677&gt;0,'Assumptions (Wind)'!Y$14*Model!$S$677*AVERAGE('Assumptions (Wind)'!$P$2:$Q$2)/10^9,0)</f>
        <v>0.03991418254</v>
      </c>
      <c r="W854" s="160">
        <f>IF($S$677&gt;0,'Assumptions (Wind)'!Z$14*Model!$S$677*AVERAGE('Assumptions (Wind)'!$P$2:$Q$2)/10^9,0)</f>
        <v>0.03991418254</v>
      </c>
      <c r="X854" s="160">
        <f>IF($S$677&gt;0,'Assumptions (Wind)'!AA$14*Model!$S$677*AVERAGE('Assumptions (Wind)'!$P$2:$Q$2)/10^9,0)</f>
        <v>0.01995709127</v>
      </c>
      <c r="Y854" s="160"/>
      <c r="Z854" s="160"/>
      <c r="AA854" s="160"/>
      <c r="AB854" s="176"/>
      <c r="AC854" s="176"/>
      <c r="AD854" s="176"/>
      <c r="AE854" s="176"/>
      <c r="AF854" s="176"/>
      <c r="AG854" s="176"/>
      <c r="AH854" s="176"/>
      <c r="AI854" s="176"/>
      <c r="AJ854" s="176"/>
      <c r="AK854" s="160"/>
      <c r="AL854" s="160"/>
      <c r="AM854" s="160"/>
      <c r="AN854" s="160"/>
      <c r="AO854" s="160"/>
      <c r="AP854" s="160"/>
      <c r="AQ854" s="160"/>
      <c r="AR854" s="160"/>
      <c r="AS854" s="160"/>
      <c r="AT854" s="160"/>
      <c r="AU854" s="160"/>
      <c r="AV854" s="160"/>
      <c r="AW854" s="160"/>
      <c r="AX854" s="160"/>
      <c r="AY854" s="160"/>
      <c r="AZ854" s="160"/>
      <c r="BA854" s="160"/>
    </row>
    <row r="855" ht="15.75" hidden="1" customHeight="1" outlineLevel="1">
      <c r="A855" s="241"/>
      <c r="B855" s="38"/>
      <c r="C855" s="160"/>
      <c r="D855" s="160"/>
      <c r="E855" s="160"/>
      <c r="F855" s="160"/>
      <c r="G855" s="160"/>
      <c r="H855" s="160"/>
      <c r="I855" s="160"/>
      <c r="J855" s="160"/>
      <c r="K855" s="160"/>
      <c r="L855" s="160"/>
      <c r="M855" s="160"/>
      <c r="N855" s="160"/>
      <c r="O855" s="160"/>
      <c r="P855" s="179"/>
      <c r="Q855" s="160"/>
      <c r="R855" s="177"/>
      <c r="S855" s="177"/>
      <c r="T855" s="160">
        <f>IF($T$677&gt;0,'Assumptions (Wind)'!V$14*Model!$T$677*AVERAGE('Assumptions (Wind)'!$Q$2:$R$2)/10^9,0)</f>
        <v>0</v>
      </c>
      <c r="U855" s="160">
        <f>IF($T$677&gt;0,'Assumptions (Wind)'!W$14*Model!$T$677*AVERAGE('Assumptions (Wind)'!$Q$2:$R$2)/10^9,0)</f>
        <v>0</v>
      </c>
      <c r="V855" s="160">
        <f>IF($T$677&gt;0,'Assumptions (Wind)'!X$14*Model!$T$677*AVERAGE('Assumptions (Wind)'!$Q$2:$R$2)/10^9,0)</f>
        <v>0</v>
      </c>
      <c r="W855" s="160">
        <f>IF($T$677&gt;0,'Assumptions (Wind)'!Y$14*Model!$T$677*AVERAGE('Assumptions (Wind)'!$Q$2:$R$2)/10^9,0)</f>
        <v>0</v>
      </c>
      <c r="X855" s="160">
        <f>IF($T$677&gt;0,'Assumptions (Wind)'!Z$14*Model!$T$677*AVERAGE('Assumptions (Wind)'!$Q$2:$R$2)/10^9,0)</f>
        <v>0</v>
      </c>
      <c r="Y855" s="160">
        <f>IF($T$677&gt;0,'Assumptions (Wind)'!AA$14*Model!$T$677*AVERAGE('Assumptions (Wind)'!$Q$2:$R$2)/10^9,0)</f>
        <v>0</v>
      </c>
      <c r="Z855" s="160"/>
      <c r="AA855" s="160"/>
      <c r="AB855" s="176"/>
      <c r="AC855" s="176"/>
      <c r="AD855" s="176"/>
      <c r="AE855" s="176"/>
      <c r="AF855" s="176"/>
      <c r="AG855" s="176"/>
      <c r="AH855" s="176"/>
      <c r="AI855" s="176"/>
      <c r="AJ855" s="176"/>
      <c r="AK855" s="160"/>
      <c r="AL855" s="160"/>
      <c r="AM855" s="160"/>
      <c r="AN855" s="160"/>
      <c r="AO855" s="160"/>
      <c r="AP855" s="160"/>
      <c r="AQ855" s="160"/>
      <c r="AR855" s="160"/>
      <c r="AS855" s="160"/>
      <c r="AT855" s="160"/>
      <c r="AU855" s="160"/>
      <c r="AV855" s="160"/>
      <c r="AW855" s="160"/>
      <c r="AX855" s="160"/>
      <c r="AY855" s="160"/>
      <c r="AZ855" s="160"/>
      <c r="BA855" s="160"/>
    </row>
    <row r="856" ht="15.75" hidden="1" customHeight="1" outlineLevel="1">
      <c r="A856" s="241"/>
      <c r="B856" s="38"/>
      <c r="C856" s="160"/>
      <c r="D856" s="160"/>
      <c r="E856" s="160"/>
      <c r="F856" s="160"/>
      <c r="G856" s="160"/>
      <c r="H856" s="160"/>
      <c r="I856" s="160"/>
      <c r="J856" s="160"/>
      <c r="K856" s="160"/>
      <c r="L856" s="160"/>
      <c r="M856" s="160"/>
      <c r="N856" s="160"/>
      <c r="O856" s="160"/>
      <c r="P856" s="179"/>
      <c r="Q856" s="160"/>
      <c r="R856" s="177"/>
      <c r="S856" s="177"/>
      <c r="T856" s="177"/>
      <c r="U856" s="160">
        <f>IF($U$677&gt;0,'Assumptions (Wind)'!V$14*Model!$U$677*AVERAGE('Assumptions (Wind)'!$R$2:$S$2)/10^9,0)</f>
        <v>0</v>
      </c>
      <c r="V856" s="160">
        <f>IF($U$677&gt;0,'Assumptions (Wind)'!W$14*Model!$U$677*AVERAGE('Assumptions (Wind)'!$R$2:$S$2)/10^9,0)</f>
        <v>0</v>
      </c>
      <c r="W856" s="160">
        <f>IF($U$677&gt;0,'Assumptions (Wind)'!X$14*Model!$U$677*AVERAGE('Assumptions (Wind)'!$R$2:$S$2)/10^9,0)</f>
        <v>0</v>
      </c>
      <c r="X856" s="160">
        <f>IF($U$677&gt;0,'Assumptions (Wind)'!Y$14*Model!$U$677*AVERAGE('Assumptions (Wind)'!$R$2:$S$2)/10^9,0)</f>
        <v>0</v>
      </c>
      <c r="Y856" s="160">
        <f>IF($U$677&gt;0,'Assumptions (Wind)'!Z$14*Model!$U$677*AVERAGE('Assumptions (Wind)'!$R$2:$S$2)/10^9,0)</f>
        <v>0</v>
      </c>
      <c r="Z856" s="160">
        <f>IF($U$677&gt;0,'Assumptions (Wind)'!AA$14*Model!$U$677*AVERAGE('Assumptions (Wind)'!$R$2:$S$2)/10^9,0)</f>
        <v>0</v>
      </c>
      <c r="AA856" s="160"/>
      <c r="AB856" s="176"/>
      <c r="AC856" s="176"/>
      <c r="AD856" s="176"/>
      <c r="AE856" s="176"/>
      <c r="AF856" s="176"/>
      <c r="AG856" s="176"/>
      <c r="AH856" s="176"/>
      <c r="AI856" s="176"/>
      <c r="AJ856" s="176"/>
      <c r="AK856" s="160"/>
      <c r="AL856" s="160"/>
      <c r="AM856" s="160"/>
      <c r="AN856" s="160"/>
      <c r="AO856" s="160"/>
      <c r="AP856" s="160"/>
      <c r="AQ856" s="160"/>
      <c r="AR856" s="160"/>
      <c r="AS856" s="160"/>
      <c r="AT856" s="160"/>
      <c r="AU856" s="160"/>
      <c r="AV856" s="160"/>
      <c r="AW856" s="160"/>
      <c r="AX856" s="160"/>
      <c r="AY856" s="160"/>
      <c r="AZ856" s="160"/>
      <c r="BA856" s="160"/>
    </row>
    <row r="857" ht="15.75" hidden="1" customHeight="1" outlineLevel="1">
      <c r="A857" s="241"/>
      <c r="B857" s="38"/>
      <c r="C857" s="160"/>
      <c r="D857" s="160"/>
      <c r="E857" s="160"/>
      <c r="F857" s="160"/>
      <c r="G857" s="160"/>
      <c r="H857" s="160"/>
      <c r="I857" s="160"/>
      <c r="J857" s="160"/>
      <c r="K857" s="160"/>
      <c r="L857" s="160"/>
      <c r="M857" s="160"/>
      <c r="N857" s="160"/>
      <c r="O857" s="160"/>
      <c r="P857" s="179"/>
      <c r="Q857" s="160"/>
      <c r="R857" s="177"/>
      <c r="S857" s="177"/>
      <c r="T857" s="177"/>
      <c r="U857" s="160"/>
      <c r="V857" s="160">
        <f>IF($V$677&gt;0,'Assumptions (Wind)'!V$14*Model!$V$677*AVERAGE('Assumptions (Wind)'!$S$2:$T$2)/10^9,0)</f>
        <v>0</v>
      </c>
      <c r="W857" s="160">
        <f>IF($V$677&gt;0,'Assumptions (Wind)'!W$14*Model!$V$677*AVERAGE('Assumptions (Wind)'!$S$2:$T$2)/10^9,0)</f>
        <v>0</v>
      </c>
      <c r="X857" s="160">
        <f>IF($V$677&gt;0,'Assumptions (Wind)'!X$14*Model!$V$677*AVERAGE('Assumptions (Wind)'!$S$2:$T$2)/10^9,0)</f>
        <v>0</v>
      </c>
      <c r="Y857" s="160">
        <f>IF($V$677&gt;0,'Assumptions (Wind)'!Y$14*Model!$V$677*AVERAGE('Assumptions (Wind)'!$S$2:$T$2)/10^9,0)</f>
        <v>0</v>
      </c>
      <c r="Z857" s="160">
        <f>IF($V$677&gt;0,'Assumptions (Wind)'!Z$14*Model!$V$677*AVERAGE('Assumptions (Wind)'!$S$2:$T$2)/10^9,0)</f>
        <v>0</v>
      </c>
      <c r="AA857" s="160">
        <f>IF($V$677&gt;0,'Assumptions (Wind)'!AA$14*Model!$V$677*AVERAGE('Assumptions (Wind)'!$S$2:$T$2)/10^9,0)</f>
        <v>0</v>
      </c>
      <c r="AB857" s="176"/>
      <c r="AC857" s="176"/>
      <c r="AD857" s="176"/>
      <c r="AE857" s="176"/>
      <c r="AF857" s="176"/>
      <c r="AG857" s="176"/>
      <c r="AH857" s="176"/>
      <c r="AI857" s="176"/>
      <c r="AJ857" s="176"/>
      <c r="AK857" s="160"/>
      <c r="AL857" s="160"/>
      <c r="AM857" s="160"/>
      <c r="AN857" s="160"/>
      <c r="AO857" s="160"/>
      <c r="AP857" s="160"/>
      <c r="AQ857" s="160"/>
      <c r="AR857" s="160"/>
      <c r="AS857" s="160"/>
      <c r="AT857" s="160"/>
      <c r="AU857" s="160"/>
      <c r="AV857" s="160"/>
      <c r="AW857" s="160"/>
      <c r="AX857" s="160"/>
      <c r="AY857" s="160"/>
      <c r="AZ857" s="160"/>
      <c r="BA857" s="160"/>
    </row>
    <row r="858" ht="15.75" hidden="1" customHeight="1" outlineLevel="1">
      <c r="A858" s="241"/>
      <c r="B858" s="38"/>
      <c r="C858" s="174"/>
      <c r="D858" s="174"/>
      <c r="E858" s="174"/>
      <c r="F858" s="174"/>
      <c r="G858" s="174"/>
      <c r="H858" s="174"/>
      <c r="I858" s="174"/>
      <c r="J858" s="174"/>
      <c r="K858" s="174"/>
      <c r="L858" s="174"/>
      <c r="M858" s="174"/>
      <c r="N858" s="174"/>
      <c r="O858" s="174"/>
      <c r="P858" s="174"/>
      <c r="Q858" s="174"/>
      <c r="R858" s="174"/>
      <c r="S858" s="174"/>
      <c r="T858" s="174"/>
      <c r="U858" s="174"/>
      <c r="V858" s="174"/>
      <c r="W858" s="160">
        <f>IF($W$677&gt;0,'Assumptions (Wind)'!V14*Model!$W$677*'Assumptions (Wind)'!$V$2/10^9,0)</f>
        <v>0</v>
      </c>
      <c r="X858" s="160">
        <f>IF($W$677&gt;0,'Assumptions (Wind)'!W14*Model!$W$677*'Assumptions (Wind)'!$V$2/10^9,0)</f>
        <v>0</v>
      </c>
      <c r="Y858" s="160">
        <f>IF($W$677&gt;0,'Assumptions (Wind)'!X14*Model!$W$677*'Assumptions (Wind)'!$V$2/10^9,0)</f>
        <v>0</v>
      </c>
      <c r="Z858" s="160">
        <f>IF($W$677&gt;0,'Assumptions (Wind)'!Y14*Model!$W$677*'Assumptions (Wind)'!$V$2/10^9,0)</f>
        <v>0</v>
      </c>
      <c r="AA858" s="160">
        <f>IF($W$677&gt;0,'Assumptions (Wind)'!Z14*Model!$W$677*'Assumptions (Wind)'!$V$2/10^9,0)</f>
        <v>0</v>
      </c>
      <c r="AB858" s="160">
        <f>IF($W$677&gt;0,'Assumptions (Wind)'!AA14*Model!$W$677*'Assumptions (Wind)'!$V$2/10^9,0)</f>
        <v>0</v>
      </c>
      <c r="AC858" s="160"/>
      <c r="AD858" s="160"/>
      <c r="AE858" s="160"/>
      <c r="AF858" s="160"/>
      <c r="AG858" s="160"/>
      <c r="AH858" s="160"/>
      <c r="AI858" s="160"/>
      <c r="AJ858" s="160"/>
      <c r="AK858" s="160"/>
      <c r="AL858" s="160"/>
      <c r="AM858" s="160"/>
      <c r="AN858" s="160"/>
      <c r="AO858" s="160"/>
      <c r="AP858" s="160"/>
      <c r="AQ858" s="160"/>
      <c r="AR858" s="160"/>
      <c r="AS858" s="160"/>
      <c r="AT858" s="160"/>
      <c r="AU858" s="160"/>
      <c r="AV858" s="160"/>
      <c r="AW858" s="160"/>
      <c r="AX858" s="160"/>
      <c r="AY858" s="160"/>
      <c r="AZ858" s="160"/>
      <c r="BA858" s="160"/>
      <c r="BB858" s="139"/>
      <c r="BC858" s="139"/>
      <c r="BD858" s="139"/>
      <c r="BE858" s="139"/>
      <c r="BF858" s="139"/>
      <c r="BG858" s="139"/>
      <c r="BH858" s="139"/>
      <c r="BI858" s="139"/>
      <c r="BJ858" s="139"/>
      <c r="BK858" s="139"/>
      <c r="BL858" s="139"/>
      <c r="BM858" s="139"/>
      <c r="BN858" s="139"/>
      <c r="BO858" s="139"/>
      <c r="BP858" s="139"/>
      <c r="BQ858" s="139"/>
      <c r="BR858" s="139"/>
      <c r="BS858" s="139"/>
      <c r="BT858" s="139"/>
      <c r="BU858" s="139"/>
    </row>
    <row r="859" ht="15.75" hidden="1" customHeight="1" outlineLevel="1">
      <c r="A859" s="241"/>
      <c r="B859" s="38"/>
      <c r="C859" s="174"/>
      <c r="D859" s="174"/>
      <c r="E859" s="174"/>
      <c r="F859" s="174"/>
      <c r="G859" s="174"/>
      <c r="H859" s="174"/>
      <c r="I859" s="174"/>
      <c r="J859" s="174"/>
      <c r="K859" s="174"/>
      <c r="L859" s="174"/>
      <c r="M859" s="174"/>
      <c r="N859" s="174"/>
      <c r="O859" s="174"/>
      <c r="P859" s="174"/>
      <c r="Q859" s="174"/>
      <c r="R859" s="174"/>
      <c r="S859" s="174"/>
      <c r="T859" s="174"/>
      <c r="U859" s="174"/>
      <c r="V859" s="174"/>
      <c r="W859" s="160"/>
      <c r="X859" s="160">
        <f>IF($X$677&gt;0,'Assumptions (Wind)'!V14*Model!$X$677*'Assumptions (Wind)'!$V$2/10^9,0)</f>
        <v>0.05425558893</v>
      </c>
      <c r="Y859" s="160">
        <f>IF($X$677&gt;0,'Assumptions (Wind)'!W14*Model!$X$677*'Assumptions (Wind)'!$V$2/10^9,0)</f>
        <v>0.08680894229</v>
      </c>
      <c r="Z859" s="160">
        <f>IF($X$677&gt;0,'Assumptions (Wind)'!X14*Model!$X$677*'Assumptions (Wind)'!$V$2/10^9,0)</f>
        <v>0.05208536538</v>
      </c>
      <c r="AA859" s="160">
        <f>IF($X$677&gt;0,'Assumptions (Wind)'!Y14*Model!$X$677*'Assumptions (Wind)'!$V$2/10^9,0)</f>
        <v>0.03125121923</v>
      </c>
      <c r="AB859" s="160">
        <f>IF($X$677&gt;0,'Assumptions (Wind)'!Z14*Model!$X$677*'Assumptions (Wind)'!$V$2/10^9,0)</f>
        <v>0.03125121923</v>
      </c>
      <c r="AC859" s="160">
        <f>IF($X$677&gt;0,'Assumptions (Wind)'!AA14*Model!$X$677*'Assumptions (Wind)'!$V$2/10^9,0)</f>
        <v>0.01562560961</v>
      </c>
      <c r="AD859" s="160"/>
      <c r="AE859" s="160"/>
      <c r="AF859" s="160"/>
      <c r="AG859" s="160"/>
      <c r="AH859" s="160"/>
      <c r="AI859" s="160"/>
      <c r="AJ859" s="160"/>
      <c r="AK859" s="160"/>
      <c r="AL859" s="160"/>
      <c r="AM859" s="160"/>
      <c r="AN859" s="160"/>
      <c r="AO859" s="160"/>
      <c r="AP859" s="160"/>
      <c r="AQ859" s="160"/>
      <c r="AR859" s="160"/>
      <c r="AS859" s="160"/>
      <c r="AT859" s="160"/>
      <c r="AU859" s="160"/>
      <c r="AV859" s="160"/>
      <c r="AW859" s="160"/>
      <c r="AX859" s="160"/>
      <c r="AY859" s="160"/>
      <c r="AZ859" s="160"/>
      <c r="BA859" s="160"/>
      <c r="BB859" s="139"/>
      <c r="BC859" s="139"/>
      <c r="BD859" s="139"/>
      <c r="BE859" s="139"/>
      <c r="BF859" s="139"/>
      <c r="BG859" s="139"/>
      <c r="BH859" s="139"/>
      <c r="BI859" s="139"/>
      <c r="BJ859" s="139"/>
      <c r="BK859" s="139"/>
      <c r="BL859" s="139"/>
      <c r="BM859" s="139"/>
      <c r="BN859" s="139"/>
      <c r="BO859" s="139"/>
      <c r="BP859" s="139"/>
      <c r="BQ859" s="139"/>
      <c r="BR859" s="139"/>
      <c r="BS859" s="139"/>
      <c r="BT859" s="139"/>
      <c r="BU859" s="139"/>
    </row>
    <row r="860" ht="15.75" hidden="1" customHeight="1" outlineLevel="1">
      <c r="A860" s="241"/>
      <c r="B860" s="38"/>
      <c r="C860" s="174"/>
      <c r="D860" s="174"/>
      <c r="E860" s="174"/>
      <c r="F860" s="174"/>
      <c r="G860" s="174"/>
      <c r="H860" s="174"/>
      <c r="I860" s="174"/>
      <c r="J860" s="174"/>
      <c r="K860" s="174"/>
      <c r="L860" s="174"/>
      <c r="M860" s="174"/>
      <c r="N860" s="174"/>
      <c r="O860" s="174"/>
      <c r="P860" s="174"/>
      <c r="Q860" s="174"/>
      <c r="R860" s="174"/>
      <c r="S860" s="174"/>
      <c r="T860" s="174"/>
      <c r="U860" s="174"/>
      <c r="V860" s="174"/>
      <c r="W860" s="160"/>
      <c r="X860" s="160"/>
      <c r="Y860" s="160">
        <f>IF($Y$677&gt;0,'Assumptions (Wind)'!V14*Model!$Y$677*AVERAGE('Assumptions (Wind)'!$V$2:$W$2)/10^9,0)</f>
        <v>0.05417534845</v>
      </c>
      <c r="Z860" s="160">
        <f>IF($Y$677&gt;0,'Assumptions (Wind)'!W14*Model!$Y$677*AVERAGE('Assumptions (Wind)'!$V$2:$W$2)/10^9,0)</f>
        <v>0.08668055752</v>
      </c>
      <c r="AA860" s="160">
        <f>IF($Y$677&gt;0,'Assumptions (Wind)'!X14*Model!$Y$677*AVERAGE('Assumptions (Wind)'!$V$2:$W$2)/10^9,0)</f>
        <v>0.05200833451</v>
      </c>
      <c r="AB860" s="160">
        <f>IF($Y$677&gt;0,'Assumptions (Wind)'!Y14*Model!$Y$677*AVERAGE('Assumptions (Wind)'!$V$2:$W$2)/10^9,0)</f>
        <v>0.03120500071</v>
      </c>
      <c r="AC860" s="160">
        <f>IF($Y$677&gt;0,'Assumptions (Wind)'!Z14*Model!$Y$677*AVERAGE('Assumptions (Wind)'!$V$2:$W$2)/10^9,0)</f>
        <v>0.03120500071</v>
      </c>
      <c r="AD860" s="160">
        <f>IF($Y$677&gt;0,'Assumptions (Wind)'!AA14*Model!$Y$677*AVERAGE('Assumptions (Wind)'!$V$2:$W$2)/10^9,0)</f>
        <v>0.01560250035</v>
      </c>
      <c r="AE860" s="160"/>
      <c r="AF860" s="160"/>
      <c r="AG860" s="160"/>
      <c r="AH860" s="160"/>
      <c r="AI860" s="160"/>
      <c r="AJ860" s="160"/>
      <c r="AK860" s="160"/>
      <c r="AL860" s="160"/>
      <c r="AM860" s="160"/>
      <c r="AN860" s="160"/>
      <c r="AO860" s="160"/>
      <c r="AP860" s="160"/>
      <c r="AQ860" s="160"/>
      <c r="AR860" s="160"/>
      <c r="AS860" s="160"/>
      <c r="AT860" s="160"/>
      <c r="AU860" s="160"/>
      <c r="AV860" s="160"/>
      <c r="AW860" s="160"/>
      <c r="AX860" s="160"/>
      <c r="AY860" s="160"/>
      <c r="AZ860" s="160"/>
      <c r="BA860" s="160"/>
      <c r="BB860" s="139"/>
      <c r="BC860" s="139"/>
      <c r="BD860" s="139"/>
      <c r="BE860" s="139"/>
      <c r="BF860" s="139"/>
      <c r="BG860" s="139"/>
      <c r="BH860" s="139"/>
      <c r="BI860" s="139"/>
      <c r="BJ860" s="139"/>
      <c r="BK860" s="139"/>
      <c r="BL860" s="139"/>
      <c r="BM860" s="139"/>
      <c r="BN860" s="139"/>
      <c r="BO860" s="139"/>
      <c r="BP860" s="139"/>
      <c r="BQ860" s="139"/>
      <c r="BR860" s="139"/>
      <c r="BS860" s="139"/>
      <c r="BT860" s="139"/>
      <c r="BU860" s="139"/>
    </row>
    <row r="861" ht="15.75" hidden="1" customHeight="1" outlineLevel="1">
      <c r="A861" s="241"/>
      <c r="B861" s="38"/>
      <c r="C861" s="174"/>
      <c r="D861" s="174"/>
      <c r="E861" s="174"/>
      <c r="F861" s="174"/>
      <c r="G861" s="174"/>
      <c r="H861" s="174"/>
      <c r="I861" s="174"/>
      <c r="J861" s="174"/>
      <c r="K861" s="174"/>
      <c r="L861" s="174"/>
      <c r="M861" s="174"/>
      <c r="N861" s="174"/>
      <c r="O861" s="174"/>
      <c r="P861" s="174"/>
      <c r="Q861" s="174"/>
      <c r="R861" s="174"/>
      <c r="S861" s="174"/>
      <c r="T861" s="174"/>
      <c r="U861" s="174"/>
      <c r="V861" s="174"/>
      <c r="W861" s="160"/>
      <c r="X861" s="160"/>
      <c r="Y861" s="160"/>
      <c r="Z861" s="160">
        <f>IF($Z$677&gt;0,'Assumptions (Wind)'!V14*Model!$Z$677*AVERAGE('Assumptions (Wind)'!$W$2:$X$2)/10^9,0)</f>
        <v>0.05400141182</v>
      </c>
      <c r="AA861" s="160">
        <f>IF($Z$677&gt;0,'Assumptions (Wind)'!W14*Model!$Z$677*AVERAGE('Assumptions (Wind)'!$W$2:$X$2)/10^9,0)</f>
        <v>0.0864022589</v>
      </c>
      <c r="AB861" s="160">
        <f>IF($Z$677&gt;0,'Assumptions (Wind)'!X14*Model!$Z$677*AVERAGE('Assumptions (Wind)'!$W$2:$X$2)/10^9,0)</f>
        <v>0.05184135534</v>
      </c>
      <c r="AC861" s="160">
        <f>IF($Z$677&gt;0,'Assumptions (Wind)'!Y14*Model!$Z$677*AVERAGE('Assumptions (Wind)'!$W$2:$X$2)/10^9,0)</f>
        <v>0.03110481321</v>
      </c>
      <c r="AD861" s="160">
        <f>IF($Z$677&gt;0,'Assumptions (Wind)'!Z14*Model!$Z$677*AVERAGE('Assumptions (Wind)'!$W$2:$X$2)/10^9,0)</f>
        <v>0.03110481321</v>
      </c>
      <c r="AE861" s="160">
        <f>IF($Z$677&gt;0,'Assumptions (Wind)'!AA14*Model!$Z$677*AVERAGE('Assumptions (Wind)'!$W$2:$X$2)/10^9,0)</f>
        <v>0.0155524066</v>
      </c>
      <c r="AF861" s="160"/>
      <c r="AG861" s="160"/>
      <c r="AH861" s="160"/>
      <c r="AI861" s="160"/>
      <c r="AJ861" s="160"/>
      <c r="AK861" s="160"/>
      <c r="AL861" s="160"/>
      <c r="AM861" s="160"/>
      <c r="AN861" s="160"/>
      <c r="AO861" s="160"/>
      <c r="AP861" s="160"/>
      <c r="AQ861" s="160"/>
      <c r="AR861" s="160"/>
      <c r="AS861" s="160"/>
      <c r="AT861" s="160"/>
      <c r="AU861" s="160"/>
      <c r="AV861" s="160"/>
      <c r="AW861" s="160"/>
      <c r="AX861" s="160"/>
      <c r="AY861" s="160"/>
      <c r="AZ861" s="160"/>
      <c r="BA861" s="160"/>
      <c r="BB861" s="139"/>
      <c r="BC861" s="139"/>
      <c r="BD861" s="139"/>
      <c r="BE861" s="139"/>
      <c r="BF861" s="139"/>
      <c r="BG861" s="139"/>
      <c r="BH861" s="139"/>
      <c r="BI861" s="139"/>
      <c r="BJ861" s="139"/>
      <c r="BK861" s="139"/>
      <c r="BL861" s="139"/>
      <c r="BM861" s="139"/>
      <c r="BN861" s="139"/>
      <c r="BO861" s="139"/>
      <c r="BP861" s="139"/>
      <c r="BQ861" s="139"/>
      <c r="BR861" s="139"/>
      <c r="BS861" s="139"/>
      <c r="BT861" s="139"/>
      <c r="BU861" s="139"/>
    </row>
    <row r="862" ht="15.75" hidden="1" customHeight="1" outlineLevel="1">
      <c r="A862" s="241"/>
      <c r="B862" s="38"/>
      <c r="C862" s="174"/>
      <c r="D862" s="174"/>
      <c r="E862" s="174"/>
      <c r="F862" s="174"/>
      <c r="G862" s="174"/>
      <c r="H862" s="174"/>
      <c r="I862" s="174"/>
      <c r="J862" s="174"/>
      <c r="K862" s="174"/>
      <c r="L862" s="174"/>
      <c r="M862" s="174"/>
      <c r="N862" s="174"/>
      <c r="O862" s="174"/>
      <c r="P862" s="174"/>
      <c r="Q862" s="174"/>
      <c r="R862" s="174"/>
      <c r="S862" s="174"/>
      <c r="T862" s="174"/>
      <c r="U862" s="174"/>
      <c r="V862" s="174"/>
      <c r="W862" s="160"/>
      <c r="X862" s="160"/>
      <c r="Y862" s="160"/>
      <c r="Z862" s="160"/>
      <c r="AA862" s="160">
        <f>IF($AA$677&gt;0,'Assumptions (Wind)'!V14*Model!$AA$677*AVERAGE('Assumptions (Wind)'!$X$2:$Y$2)/10^9,0)</f>
        <v>0.05380006939</v>
      </c>
      <c r="AB862" s="160">
        <f>IF($AA$677&gt;0,'Assumptions (Wind)'!W14*Model!$AA$677*AVERAGE('Assumptions (Wind)'!$X$2:$Y$2)/10^9,0)</f>
        <v>0.08608011102</v>
      </c>
      <c r="AC862" s="160">
        <f>IF($AA$677&gt;0,'Assumptions (Wind)'!X14*Model!$AA$677*AVERAGE('Assumptions (Wind)'!$X$2:$Y$2)/10^9,0)</f>
        <v>0.05164806661</v>
      </c>
      <c r="AD862" s="160">
        <f>IF($AA$677&gt;0,'Assumptions (Wind)'!Y14*Model!$AA$677*AVERAGE('Assumptions (Wind)'!$X$2:$Y$2)/10^9,0)</f>
        <v>0.03098883997</v>
      </c>
      <c r="AE862" s="160">
        <f>IF($AA$677&gt;0,'Assumptions (Wind)'!Z14*Model!$AA$677*AVERAGE('Assumptions (Wind)'!$X$2:$Y$2)/10^9,0)</f>
        <v>0.03098883997</v>
      </c>
      <c r="AF862" s="160">
        <f>IF($AA$677&gt;0,'Assumptions (Wind)'!AA14*Model!$AA$677*AVERAGE('Assumptions (Wind)'!$X$2:$Y$2)/10^9,0)</f>
        <v>0.01549441998</v>
      </c>
      <c r="AG862" s="160"/>
      <c r="AH862" s="160"/>
      <c r="AI862" s="160"/>
      <c r="AJ862" s="160"/>
      <c r="AK862" s="160"/>
      <c r="AL862" s="160"/>
      <c r="AM862" s="160"/>
      <c r="AN862" s="160"/>
      <c r="AO862" s="160"/>
      <c r="AP862" s="160"/>
      <c r="AQ862" s="160"/>
      <c r="AR862" s="160"/>
      <c r="AS862" s="160"/>
      <c r="AT862" s="160"/>
      <c r="AU862" s="160"/>
      <c r="AV862" s="160"/>
      <c r="AW862" s="160"/>
      <c r="AX862" s="160"/>
      <c r="AY862" s="160"/>
      <c r="AZ862" s="160"/>
      <c r="BA862" s="160"/>
      <c r="BB862" s="139"/>
      <c r="BC862" s="139"/>
      <c r="BD862" s="139"/>
      <c r="BE862" s="139"/>
      <c r="BF862" s="139"/>
      <c r="BG862" s="139"/>
      <c r="BH862" s="139"/>
      <c r="BI862" s="139"/>
      <c r="BJ862" s="139"/>
      <c r="BK862" s="139"/>
      <c r="BL862" s="139"/>
      <c r="BM862" s="139"/>
      <c r="BN862" s="139"/>
      <c r="BO862" s="139"/>
      <c r="BP862" s="139"/>
      <c r="BQ862" s="139"/>
      <c r="BR862" s="139"/>
      <c r="BS862" s="139"/>
      <c r="BT862" s="139"/>
      <c r="BU862" s="139"/>
    </row>
    <row r="863" ht="15.75" hidden="1" customHeight="1" outlineLevel="1">
      <c r="A863" s="241"/>
      <c r="B863" s="38"/>
      <c r="C863" s="174"/>
      <c r="D863" s="174"/>
      <c r="E863" s="174"/>
      <c r="F863" s="174"/>
      <c r="G863" s="174"/>
      <c r="H863" s="174"/>
      <c r="I863" s="174"/>
      <c r="J863" s="174"/>
      <c r="K863" s="174"/>
      <c r="L863" s="174"/>
      <c r="M863" s="174"/>
      <c r="N863" s="174"/>
      <c r="O863" s="174"/>
      <c r="P863" s="174"/>
      <c r="Q863" s="174"/>
      <c r="R863" s="174"/>
      <c r="S863" s="174"/>
      <c r="T863" s="174"/>
      <c r="U863" s="174"/>
      <c r="V863" s="174"/>
      <c r="W863" s="160"/>
      <c r="X863" s="160"/>
      <c r="Y863" s="160"/>
      <c r="Z863" s="160"/>
      <c r="AA863" s="160"/>
      <c r="AB863" s="160">
        <f>IF($AB$677&gt;0,'Assumptions (Wind)'!V14*Model!$AB$677*AVERAGE('Assumptions (Wind)'!$Y$2:$Z$2)/10^9,0)</f>
        <v>0.05355286273</v>
      </c>
      <c r="AC863" s="160">
        <f>IF($AB$677&gt;0,'Assumptions (Wind)'!W14*Model!$AB$677*AVERAGE('Assumptions (Wind)'!$Y$2:$Z$2)/10^9,0)</f>
        <v>0.08568458036</v>
      </c>
      <c r="AD863" s="160">
        <f>IF($AB$677&gt;0,'Assumptions (Wind)'!X14*Model!$AB$677*AVERAGE('Assumptions (Wind)'!$Y$2:$Z$2)/10^9,0)</f>
        <v>0.05141074822</v>
      </c>
      <c r="AE863" s="160">
        <f>IF($AB$677&gt;0,'Assumptions (Wind)'!Y14*Model!$AB$677*AVERAGE('Assumptions (Wind)'!$Y$2:$Z$2)/10^9,0)</f>
        <v>0.03084644893</v>
      </c>
      <c r="AF863" s="160">
        <f>IF($AB$677&gt;0,'Assumptions (Wind)'!Z14*Model!$AB$677*AVERAGE('Assumptions (Wind)'!$Y$2:$Z$2)/10^9,0)</f>
        <v>0.03084644893</v>
      </c>
      <c r="AG863" s="160">
        <f>IF($AB$677&gt;0,'Assumptions (Wind)'!AA14*Model!$AB$677*AVERAGE('Assumptions (Wind)'!$Y$2:$Z$2)/10^9,0)</f>
        <v>0.01542322447</v>
      </c>
      <c r="AH863" s="160"/>
      <c r="AI863" s="160"/>
      <c r="AJ863" s="160"/>
      <c r="AK863" s="160"/>
      <c r="AL863" s="160"/>
      <c r="AM863" s="160"/>
      <c r="AN863" s="160"/>
      <c r="AO863" s="160"/>
      <c r="AP863" s="160"/>
      <c r="AQ863" s="160"/>
      <c r="AR863" s="160"/>
      <c r="AS863" s="160"/>
      <c r="AT863" s="160"/>
      <c r="AU863" s="160"/>
      <c r="AV863" s="160"/>
      <c r="AW863" s="160"/>
      <c r="AX863" s="160"/>
      <c r="AY863" s="160"/>
      <c r="AZ863" s="160"/>
      <c r="BA863" s="160"/>
      <c r="BB863" s="139"/>
      <c r="BC863" s="139"/>
      <c r="BD863" s="139"/>
      <c r="BE863" s="139"/>
      <c r="BF863" s="139"/>
      <c r="BG863" s="139"/>
      <c r="BH863" s="139"/>
      <c r="BI863" s="139"/>
      <c r="BJ863" s="139"/>
      <c r="BK863" s="139"/>
      <c r="BL863" s="139"/>
      <c r="BM863" s="139"/>
      <c r="BN863" s="139"/>
      <c r="BO863" s="139"/>
      <c r="BP863" s="139"/>
      <c r="BQ863" s="139"/>
      <c r="BR863" s="139"/>
      <c r="BS863" s="139"/>
      <c r="BT863" s="139"/>
      <c r="BU863" s="139"/>
    </row>
    <row r="864" ht="15.75" hidden="1" customHeight="1" outlineLevel="1">
      <c r="A864" s="241"/>
      <c r="B864" s="38"/>
      <c r="C864" s="174"/>
      <c r="D864" s="174"/>
      <c r="E864" s="174"/>
      <c r="F864" s="174"/>
      <c r="G864" s="174"/>
      <c r="H864" s="174"/>
      <c r="I864" s="174"/>
      <c r="J864" s="174"/>
      <c r="K864" s="174"/>
      <c r="L864" s="174"/>
      <c r="M864" s="174"/>
      <c r="N864" s="174"/>
      <c r="O864" s="174"/>
      <c r="P864" s="174"/>
      <c r="Q864" s="174"/>
      <c r="R864" s="174"/>
      <c r="S864" s="174"/>
      <c r="T864" s="174"/>
      <c r="U864" s="174"/>
      <c r="V864" s="174"/>
      <c r="W864" s="160"/>
      <c r="X864" s="160"/>
      <c r="Y864" s="160"/>
      <c r="Z864" s="160"/>
      <c r="AA864" s="160"/>
      <c r="AB864" s="160"/>
      <c r="AC864" s="160">
        <f>IF($AC$677&gt;0,'Assumptions (Wind)'!V14*Model!$AC$677*AVERAGE('Assumptions (Wind)'!$Z$2:$AA$2)/10^9,0)</f>
        <v>0.05325807893</v>
      </c>
      <c r="AD864" s="160">
        <f>IF($AC$677&gt;0,'Assumptions (Wind)'!W14*Model!$AC$677*AVERAGE('Assumptions (Wind)'!$Z$2:$AA$2)/10^9,0)</f>
        <v>0.08521292628</v>
      </c>
      <c r="AE864" s="160">
        <f>IF($AC$677&gt;0,'Assumptions (Wind)'!X14*Model!$AC$677*AVERAGE('Assumptions (Wind)'!$Z$2:$AA$2)/10^9,0)</f>
        <v>0.05112775577</v>
      </c>
      <c r="AF864" s="160">
        <f>IF($AC$677&gt;0,'Assumptions (Wind)'!Y14*Model!$AC$677*AVERAGE('Assumptions (Wind)'!$Z$2:$AA$2)/10^9,0)</f>
        <v>0.03067665346</v>
      </c>
      <c r="AG864" s="160">
        <f>IF($AC$677&gt;0,'Assumptions (Wind)'!Z14*Model!$AC$677*AVERAGE('Assumptions (Wind)'!$Z$2:$AA$2)/10^9,0)</f>
        <v>0.03067665346</v>
      </c>
      <c r="AH864" s="160">
        <f>IF($AC$677&gt;0,'Assumptions (Wind)'!AA14*Model!$AC$677*AVERAGE('Assumptions (Wind)'!$Z$2:$AA$2)/10^9,0)</f>
        <v>0.01533832673</v>
      </c>
      <c r="AI864" s="160"/>
      <c r="AJ864" s="160"/>
      <c r="AK864" s="160"/>
      <c r="AL864" s="160"/>
      <c r="AM864" s="160"/>
      <c r="AN864" s="160"/>
      <c r="AO864" s="160"/>
      <c r="AP864" s="160"/>
      <c r="AQ864" s="160"/>
      <c r="AR864" s="160"/>
      <c r="AS864" s="160"/>
      <c r="AT864" s="160"/>
      <c r="AU864" s="160"/>
      <c r="AV864" s="160"/>
      <c r="AW864" s="160"/>
      <c r="AX864" s="160"/>
      <c r="AY864" s="160"/>
      <c r="AZ864" s="160"/>
      <c r="BA864" s="160"/>
      <c r="BB864" s="139"/>
      <c r="BC864" s="139"/>
      <c r="BD864" s="139"/>
      <c r="BE864" s="139"/>
      <c r="BF864" s="139"/>
      <c r="BG864" s="139"/>
      <c r="BH864" s="139"/>
      <c r="BI864" s="139"/>
      <c r="BJ864" s="139"/>
      <c r="BK864" s="139"/>
      <c r="BL864" s="139"/>
      <c r="BM864" s="139"/>
      <c r="BN864" s="139"/>
      <c r="BO864" s="139"/>
      <c r="BP864" s="139"/>
      <c r="BQ864" s="139"/>
      <c r="BR864" s="139"/>
      <c r="BS864" s="139"/>
      <c r="BT864" s="139"/>
      <c r="BU864" s="139"/>
    </row>
    <row r="865" ht="15.75" hidden="1" customHeight="1" outlineLevel="1">
      <c r="A865" s="241"/>
      <c r="B865" s="38"/>
      <c r="C865" s="174"/>
      <c r="D865" s="174"/>
      <c r="E865" s="174"/>
      <c r="F865" s="174"/>
      <c r="G865" s="174"/>
      <c r="H865" s="174"/>
      <c r="I865" s="174"/>
      <c r="J865" s="174"/>
      <c r="K865" s="174"/>
      <c r="L865" s="174"/>
      <c r="M865" s="174"/>
      <c r="N865" s="174"/>
      <c r="O865" s="174"/>
      <c r="P865" s="174"/>
      <c r="Q865" s="174"/>
      <c r="R865" s="174"/>
      <c r="S865" s="174"/>
      <c r="T865" s="174"/>
      <c r="U865" s="174"/>
      <c r="V865" s="174"/>
      <c r="W865" s="160"/>
      <c r="X865" s="160"/>
      <c r="Y865" s="160"/>
      <c r="Z865" s="160"/>
      <c r="AA865" s="160"/>
      <c r="AB865" s="160"/>
      <c r="AC865" s="160"/>
      <c r="AD865" s="160">
        <f>IF($AD$677&gt;0,'Assumptions (Wind)'!V14*Model!$AD$677*AVERAGE('Assumptions (Wind)'!$AA$2:$AB$2)/10^9,0)</f>
        <v>0.05293141104</v>
      </c>
      <c r="AE865" s="160">
        <f>IF($AD$677&gt;0,'Assumptions (Wind)'!W14*Model!$AD$677*AVERAGE('Assumptions (Wind)'!$AA$2:$AB$2)/10^9,0)</f>
        <v>0.08469025767</v>
      </c>
      <c r="AF865" s="160">
        <f>IF($AD$677&gt;0,'Assumptions (Wind)'!X14*Model!$AD$677*AVERAGE('Assumptions (Wind)'!$AA$2:$AB$2)/10^9,0)</f>
        <v>0.0508141546</v>
      </c>
      <c r="AG865" s="160">
        <f>IF($AD$677&gt;0,'Assumptions (Wind)'!Y14*Model!$AD$677*AVERAGE('Assumptions (Wind)'!$AA$2:$AB$2)/10^9,0)</f>
        <v>0.03048849276</v>
      </c>
      <c r="AH865" s="160">
        <f>IF($AD$677&gt;0,'Assumptions (Wind)'!Z14*Model!$AD$677*AVERAGE('Assumptions (Wind)'!$AA$2:$AB$2)/10^9,0)</f>
        <v>0.03048849276</v>
      </c>
      <c r="AI865" s="160">
        <f>IF($AD$677&gt;0,'Assumptions (Wind)'!AA14*Model!$AD$677*AVERAGE('Assumptions (Wind)'!$AA$2:$AB$2)/10^9,0)</f>
        <v>0.01524424638</v>
      </c>
      <c r="AJ865" s="160"/>
      <c r="AK865" s="160"/>
      <c r="AL865" s="160"/>
      <c r="AM865" s="160"/>
      <c r="AN865" s="160"/>
      <c r="AO865" s="160"/>
      <c r="AP865" s="160"/>
      <c r="AQ865" s="160"/>
      <c r="AR865" s="160"/>
      <c r="AS865" s="160"/>
      <c r="AT865" s="160"/>
      <c r="AU865" s="160"/>
      <c r="AV865" s="160"/>
      <c r="AW865" s="160"/>
      <c r="AX865" s="160"/>
      <c r="AY865" s="160"/>
      <c r="AZ865" s="160"/>
      <c r="BA865" s="160"/>
      <c r="BB865" s="160"/>
      <c r="BC865" s="139"/>
      <c r="BD865" s="139"/>
      <c r="BE865" s="139"/>
      <c r="BF865" s="139"/>
      <c r="BG865" s="139"/>
      <c r="BH865" s="139"/>
      <c r="BI865" s="139"/>
      <c r="BJ865" s="139"/>
      <c r="BK865" s="139"/>
      <c r="BL865" s="139"/>
      <c r="BM865" s="139"/>
      <c r="BN865" s="139"/>
      <c r="BO865" s="139"/>
      <c r="BP865" s="139"/>
      <c r="BQ865" s="139"/>
      <c r="BR865" s="139"/>
      <c r="BS865" s="139"/>
      <c r="BT865" s="139"/>
      <c r="BU865" s="139"/>
    </row>
    <row r="866" ht="15.75" hidden="1" customHeight="1" outlineLevel="1">
      <c r="A866" s="241"/>
      <c r="B866" s="38"/>
      <c r="C866" s="174"/>
      <c r="D866" s="174"/>
      <c r="E866" s="174"/>
      <c r="F866" s="174"/>
      <c r="G866" s="174"/>
      <c r="H866" s="174"/>
      <c r="I866" s="174"/>
      <c r="J866" s="174"/>
      <c r="K866" s="174"/>
      <c r="L866" s="174"/>
      <c r="M866" s="174"/>
      <c r="N866" s="174"/>
      <c r="O866" s="174"/>
      <c r="P866" s="174"/>
      <c r="Q866" s="174"/>
      <c r="R866" s="174"/>
      <c r="S866" s="174"/>
      <c r="T866" s="174"/>
      <c r="U866" s="174"/>
      <c r="V866" s="174"/>
      <c r="W866" s="160"/>
      <c r="X866" s="160"/>
      <c r="Y866" s="160"/>
      <c r="Z866" s="160"/>
      <c r="AA866" s="160"/>
      <c r="AB866" s="160"/>
      <c r="AC866" s="160"/>
      <c r="AD866" s="160"/>
      <c r="AE866" s="160">
        <f>IF($AE$677&gt;0,'Assumptions (Wind)'!V14*Model!$AE$677*AVERAGE('Assumptions (Wind)'!$AB$2:$AC$2)/10^9,0)</f>
        <v>0.05318048295</v>
      </c>
      <c r="AF866" s="160">
        <f>IF($AE$677&gt;0,'Assumptions (Wind)'!W14*Model!$AE$677*AVERAGE('Assumptions (Wind)'!$AB$2:$AC$2)/10^9,0)</f>
        <v>0.08508877273</v>
      </c>
      <c r="AG866" s="160">
        <f>IF($AE$677&gt;0,'Assumptions (Wind)'!X14*Model!$AE$677*AVERAGE('Assumptions (Wind)'!$AB$2:$AC$2)/10^9,0)</f>
        <v>0.05105326364</v>
      </c>
      <c r="AH866" s="160">
        <f>IF($AE$677&gt;0,'Assumptions (Wind)'!Y14*Model!$AE$677*AVERAGE('Assumptions (Wind)'!$AB$2:$AC$2)/10^9,0)</f>
        <v>0.03063195818</v>
      </c>
      <c r="AI866" s="160">
        <f>IF($AE$677&gt;0,'Assumptions (Wind)'!Z14*Model!$AE$677*AVERAGE('Assumptions (Wind)'!$AB$2:$AC$2)/10^9,0)</f>
        <v>0.03063195818</v>
      </c>
      <c r="AJ866" s="160">
        <f>IF($AE$677&gt;0,'Assumptions (Wind)'!AA14*Model!$AE$677*AVERAGE('Assumptions (Wind)'!$AB$2:$AC$2)/10^9,0)</f>
        <v>0.01531597909</v>
      </c>
      <c r="AK866" s="160"/>
      <c r="AL866" s="160"/>
      <c r="AM866" s="160"/>
      <c r="AN866" s="160"/>
      <c r="AO866" s="160"/>
      <c r="AP866" s="160"/>
      <c r="AQ866" s="160"/>
      <c r="AR866" s="160"/>
      <c r="AS866" s="160"/>
      <c r="AT866" s="160"/>
      <c r="AU866" s="160"/>
      <c r="AV866" s="160"/>
      <c r="AW866" s="160"/>
      <c r="AX866" s="160"/>
      <c r="AY866" s="160"/>
      <c r="AZ866" s="160"/>
      <c r="BA866" s="160"/>
      <c r="BB866" s="160"/>
      <c r="BC866" s="160"/>
      <c r="BD866" s="139"/>
      <c r="BE866" s="139"/>
      <c r="BF866" s="139"/>
      <c r="BG866" s="139"/>
      <c r="BH866" s="139"/>
      <c r="BI866" s="139"/>
      <c r="BJ866" s="139"/>
      <c r="BK866" s="139"/>
      <c r="BL866" s="139"/>
      <c r="BM866" s="139"/>
      <c r="BN866" s="139"/>
      <c r="BO866" s="139"/>
      <c r="BP866" s="139"/>
      <c r="BQ866" s="139"/>
      <c r="BR866" s="139"/>
      <c r="BS866" s="139"/>
      <c r="BT866" s="139"/>
      <c r="BU866" s="139"/>
    </row>
    <row r="867" ht="15.75" hidden="1" customHeight="1" outlineLevel="1">
      <c r="A867" s="241"/>
      <c r="B867" s="38"/>
      <c r="C867" s="174"/>
      <c r="D867" s="174"/>
      <c r="E867" s="174"/>
      <c r="F867" s="174"/>
      <c r="G867" s="174"/>
      <c r="H867" s="174"/>
      <c r="I867" s="174"/>
      <c r="J867" s="174"/>
      <c r="K867" s="174"/>
      <c r="L867" s="174"/>
      <c r="M867" s="174"/>
      <c r="N867" s="174"/>
      <c r="O867" s="174"/>
      <c r="P867" s="174"/>
      <c r="Q867" s="174"/>
      <c r="R867" s="174"/>
      <c r="S867" s="174"/>
      <c r="T867" s="174"/>
      <c r="U867" s="174"/>
      <c r="V867" s="174"/>
      <c r="W867" s="160"/>
      <c r="X867" s="160"/>
      <c r="Y867" s="160"/>
      <c r="Z867" s="160"/>
      <c r="AA867" s="160"/>
      <c r="AB867" s="160"/>
      <c r="AC867" s="160"/>
      <c r="AD867" s="160"/>
      <c r="AE867" s="160"/>
      <c r="AF867" s="160">
        <f>IF($AF$677&gt;0,'Assumptions (Wind)'!V14*Model!$AF$677*AVERAGE('Assumptions (Wind)'!$AC$2:$AD$2)/10^9,0)</f>
        <v>0.05215900572</v>
      </c>
      <c r="AG867" s="160">
        <f>IF($AF$677&gt;0,'Assumptions (Wind)'!W14*Model!$AF$677*AVERAGE('Assumptions (Wind)'!$AC$2:$AD$2)/10^9,0)</f>
        <v>0.08345440915</v>
      </c>
      <c r="AH867" s="160">
        <f>IF($AF$677&gt;0,'Assumptions (Wind)'!X14*Model!$AF$677*AVERAGE('Assumptions (Wind)'!$AC$2:$AD$2)/10^9,0)</f>
        <v>0.05007264549</v>
      </c>
      <c r="AI867" s="160">
        <f>IF($AF$677&gt;0,'Assumptions (Wind)'!Y14*Model!$AF$677*AVERAGE('Assumptions (Wind)'!$AC$2:$AD$2)/10^9,0)</f>
        <v>0.03004358729</v>
      </c>
      <c r="AJ867" s="160">
        <f>IF($AF$677&gt;0,'Assumptions (Wind)'!Z14*Model!$AF$677*AVERAGE('Assumptions (Wind)'!$AC$2:$AD$2)/10^9,0)</f>
        <v>0.03004358729</v>
      </c>
      <c r="AK867" s="160">
        <f>IF($AF$677&gt;0,'Assumptions (Wind)'!AA14*Model!$AF$677*AVERAGE('Assumptions (Wind)'!$AC$2:$AD$2)/10^9,0)</f>
        <v>0.01502179365</v>
      </c>
      <c r="AL867" s="160"/>
      <c r="AM867" s="160"/>
      <c r="AN867" s="160"/>
      <c r="AO867" s="160"/>
      <c r="AP867" s="160"/>
      <c r="AQ867" s="160"/>
      <c r="AR867" s="160"/>
      <c r="AS867" s="160"/>
      <c r="AT867" s="160"/>
      <c r="AU867" s="160"/>
      <c r="AV867" s="160"/>
      <c r="AW867" s="160"/>
      <c r="AX867" s="160"/>
      <c r="AY867" s="160"/>
      <c r="AZ867" s="160"/>
      <c r="BA867" s="160"/>
      <c r="BB867" s="160"/>
      <c r="BC867" s="160"/>
      <c r="BD867" s="160"/>
      <c r="BE867" s="139"/>
      <c r="BF867" s="139"/>
      <c r="BG867" s="139"/>
      <c r="BH867" s="139"/>
      <c r="BI867" s="139"/>
      <c r="BJ867" s="139"/>
      <c r="BK867" s="139"/>
      <c r="BL867" s="139"/>
      <c r="BM867" s="139"/>
      <c r="BN867" s="139"/>
      <c r="BO867" s="139"/>
      <c r="BP867" s="139"/>
      <c r="BQ867" s="139"/>
      <c r="BR867" s="139"/>
      <c r="BS867" s="139"/>
      <c r="BT867" s="139"/>
      <c r="BU867" s="139"/>
    </row>
    <row r="868" ht="15.75" hidden="1" customHeight="1" outlineLevel="1">
      <c r="A868" s="241"/>
      <c r="B868" s="38"/>
      <c r="C868" s="174"/>
      <c r="D868" s="174"/>
      <c r="E868" s="174"/>
      <c r="F868" s="174"/>
      <c r="G868" s="174"/>
      <c r="H868" s="174"/>
      <c r="I868" s="174"/>
      <c r="J868" s="174"/>
      <c r="K868" s="174"/>
      <c r="L868" s="174"/>
      <c r="M868" s="174"/>
      <c r="N868" s="174"/>
      <c r="O868" s="174"/>
      <c r="P868" s="174"/>
      <c r="Q868" s="174"/>
      <c r="R868" s="174"/>
      <c r="S868" s="174"/>
      <c r="T868" s="174"/>
      <c r="U868" s="174"/>
      <c r="V868" s="174"/>
      <c r="W868" s="160"/>
      <c r="X868" s="160"/>
      <c r="Y868" s="160"/>
      <c r="Z868" s="160"/>
      <c r="AA868" s="160"/>
      <c r="AB868" s="160"/>
      <c r="AC868" s="160"/>
      <c r="AD868" s="160"/>
      <c r="AE868" s="160"/>
      <c r="AF868" s="160"/>
      <c r="AG868" s="160">
        <f>IF($AG$677&gt;0,'Assumptions (Wind)'!V14*Model!$AG$677*AVERAGE('Assumptions (Wind)'!$AD$2:$AE$2)/10^9,0)</f>
        <v>0.05169131401</v>
      </c>
      <c r="AH868" s="160">
        <f>IF($AG$677&gt;0,'Assumptions (Wind)'!W14*Model!$AG$677*AVERAGE('Assumptions (Wind)'!$AD$2:$AE$2)/10^9,0)</f>
        <v>0.08270610242</v>
      </c>
      <c r="AI868" s="160">
        <f>IF($AG$677&gt;0,'Assumptions (Wind)'!X14*Model!$AG$677*AVERAGE('Assumptions (Wind)'!$AD$2:$AE$2)/10^9,0)</f>
        <v>0.04962366145</v>
      </c>
      <c r="AJ868" s="160">
        <f>IF($AG$677&gt;0,'Assumptions (Wind)'!Y14*Model!$AG$677*AVERAGE('Assumptions (Wind)'!$AD$2:$AE$2)/10^9,0)</f>
        <v>0.02977419687</v>
      </c>
      <c r="AK868" s="160">
        <f>IF($AG$677&gt;0,'Assumptions (Wind)'!Z14*Model!$AG$677*AVERAGE('Assumptions (Wind)'!$AD$2:$AE$2)/10^9,0)</f>
        <v>0.02977419687</v>
      </c>
      <c r="AL868" s="160">
        <f>IF($AG$677&gt;0,'Assumptions (Wind)'!AA14*Model!$AG$677*AVERAGE('Assumptions (Wind)'!$AD$2:$AE$2)/10^9,0)</f>
        <v>0.01488709844</v>
      </c>
      <c r="AM868" s="160"/>
      <c r="AN868" s="160"/>
      <c r="AO868" s="160"/>
      <c r="AP868" s="160"/>
      <c r="AQ868" s="160"/>
      <c r="AR868" s="160"/>
      <c r="AS868" s="160"/>
      <c r="AT868" s="160"/>
      <c r="AU868" s="160"/>
      <c r="AV868" s="160"/>
      <c r="AW868" s="160"/>
      <c r="AX868" s="160"/>
      <c r="AY868" s="160"/>
      <c r="AZ868" s="160"/>
      <c r="BA868" s="160"/>
      <c r="BB868" s="160"/>
      <c r="BC868" s="160"/>
      <c r="BD868" s="160"/>
      <c r="BE868" s="160"/>
      <c r="BF868" s="139"/>
      <c r="BG868" s="139"/>
      <c r="BH868" s="139"/>
      <c r="BI868" s="139"/>
      <c r="BJ868" s="139"/>
      <c r="BK868" s="139"/>
      <c r="BL868" s="139"/>
      <c r="BM868" s="139"/>
      <c r="BN868" s="139"/>
      <c r="BO868" s="139"/>
      <c r="BP868" s="139"/>
      <c r="BQ868" s="139"/>
      <c r="BR868" s="139"/>
      <c r="BS868" s="139"/>
      <c r="BT868" s="139"/>
      <c r="BU868" s="139"/>
    </row>
    <row r="869" ht="15.75" hidden="1" customHeight="1" outlineLevel="1">
      <c r="A869" s="241"/>
      <c r="B869" s="38"/>
      <c r="C869" s="174"/>
      <c r="D869" s="174"/>
      <c r="E869" s="174"/>
      <c r="F869" s="174"/>
      <c r="G869" s="174"/>
      <c r="H869" s="174"/>
      <c r="I869" s="174"/>
      <c r="J869" s="174"/>
      <c r="K869" s="174"/>
      <c r="L869" s="174"/>
      <c r="M869" s="174"/>
      <c r="N869" s="174"/>
      <c r="O869" s="174"/>
      <c r="P869" s="174"/>
      <c r="Q869" s="174"/>
      <c r="R869" s="174"/>
      <c r="S869" s="174"/>
      <c r="T869" s="174"/>
      <c r="U869" s="174"/>
      <c r="V869" s="174"/>
      <c r="W869" s="160"/>
      <c r="X869" s="160"/>
      <c r="Y869" s="160"/>
      <c r="Z869" s="160"/>
      <c r="AA869" s="160"/>
      <c r="AB869" s="160"/>
      <c r="AC869" s="160"/>
      <c r="AD869" s="160"/>
      <c r="AE869" s="160"/>
      <c r="AF869" s="160"/>
      <c r="AG869" s="160"/>
      <c r="AH869" s="160">
        <f>IF($AH$677&gt;0,'Assumptions (Wind)'!V14*Model!$AH$677*AVERAGE('Assumptions (Wind)'!$AE$2:$AF$2)/10^9,0)</f>
        <v>0.05116592139</v>
      </c>
      <c r="AI869" s="160">
        <f>IF($AH$677&gt;0,'Assumptions (Wind)'!W14*Model!$AH$677*AVERAGE('Assumptions (Wind)'!$AE$2:$AF$2)/10^9,0)</f>
        <v>0.08186547422</v>
      </c>
      <c r="AJ869" s="160">
        <f>IF($AH$677&gt;0,'Assumptions (Wind)'!X14*Model!$AH$677*AVERAGE('Assumptions (Wind)'!$AE$2:$AF$2)/10^9,0)</f>
        <v>0.04911928453</v>
      </c>
      <c r="AK869" s="160">
        <f>IF($AH$677&gt;0,'Assumptions (Wind)'!Y14*Model!$AH$677*AVERAGE('Assumptions (Wind)'!$AE$2:$AF$2)/10^9,0)</f>
        <v>0.02947157072</v>
      </c>
      <c r="AL869" s="160">
        <f>IF($AH$677&gt;0,'Assumptions (Wind)'!Z14*Model!$AH$677*AVERAGE('Assumptions (Wind)'!$AE$2:$AF$2)/10^9,0)</f>
        <v>0.02947157072</v>
      </c>
      <c r="AM869" s="160">
        <f>IF($AH$677&gt;0,'Assumptions (Wind)'!AA14*Model!$AH$677*AVERAGE('Assumptions (Wind)'!$AE$2:$AF$2)/10^9,0)</f>
        <v>0.01473578536</v>
      </c>
      <c r="AN869" s="160"/>
      <c r="AO869" s="160"/>
      <c r="AP869" s="160"/>
      <c r="AQ869" s="160"/>
      <c r="AR869" s="160"/>
      <c r="AS869" s="160"/>
      <c r="AT869" s="160"/>
      <c r="AU869" s="160"/>
      <c r="AV869" s="160"/>
      <c r="AW869" s="160"/>
      <c r="AX869" s="160"/>
      <c r="AY869" s="160"/>
      <c r="AZ869" s="160"/>
      <c r="BA869" s="160"/>
      <c r="BB869" s="160"/>
      <c r="BC869" s="160"/>
      <c r="BD869" s="160"/>
      <c r="BE869" s="160"/>
      <c r="BF869" s="160"/>
      <c r="BG869" s="139"/>
      <c r="BH869" s="139"/>
      <c r="BI869" s="139"/>
      <c r="BJ869" s="139"/>
      <c r="BK869" s="139"/>
      <c r="BL869" s="139"/>
      <c r="BM869" s="139"/>
      <c r="BN869" s="139"/>
      <c r="BO869" s="139"/>
      <c r="BP869" s="139"/>
      <c r="BQ869" s="139"/>
      <c r="BR869" s="139"/>
      <c r="BS869" s="139"/>
      <c r="BT869" s="139"/>
      <c r="BU869" s="139"/>
    </row>
    <row r="870" ht="15.75" hidden="1" customHeight="1" outlineLevel="1">
      <c r="A870" s="241"/>
      <c r="B870" s="38"/>
      <c r="C870" s="174"/>
      <c r="D870" s="174"/>
      <c r="E870" s="174"/>
      <c r="F870" s="174"/>
      <c r="G870" s="174"/>
      <c r="H870" s="174"/>
      <c r="I870" s="174"/>
      <c r="J870" s="174"/>
      <c r="K870" s="174"/>
      <c r="L870" s="174"/>
      <c r="M870" s="174"/>
      <c r="N870" s="174"/>
      <c r="O870" s="174"/>
      <c r="P870" s="174"/>
      <c r="Q870" s="174"/>
      <c r="R870" s="174"/>
      <c r="S870" s="174"/>
      <c r="T870" s="174"/>
      <c r="U870" s="174"/>
      <c r="V870" s="174"/>
      <c r="W870" s="160"/>
      <c r="X870" s="160"/>
      <c r="Y870" s="160"/>
      <c r="Z870" s="160"/>
      <c r="AA870" s="160"/>
      <c r="AB870" s="160"/>
      <c r="AC870" s="160"/>
      <c r="AD870" s="160"/>
      <c r="AE870" s="160"/>
      <c r="AF870" s="160"/>
      <c r="AG870" s="160"/>
      <c r="AH870" s="160"/>
      <c r="AI870" s="177">
        <f>IF($AI$677&gt;0,'Assumptions (Wind)'!V14*Model!$AI$677*AVERAGE('Assumptions (Wind)'!$AF$2:$AG$2)/10^9,0)</f>
        <v>0.05999953498</v>
      </c>
      <c r="AJ870" s="177">
        <f>IF($AI$677&gt;0,'Assumptions (Wind)'!W14*Model!$AI$677*AVERAGE('Assumptions (Wind)'!$AF$2:$AG$2)/10^9,0)</f>
        <v>0.09599925596</v>
      </c>
      <c r="AK870" s="177">
        <f>IF($AI$677&gt;0,'Assumptions (Wind)'!X14*Model!$AI$677*AVERAGE('Assumptions (Wind)'!$AF$2:$AG$2)/10^9,0)</f>
        <v>0.05759955358</v>
      </c>
      <c r="AL870" s="177">
        <f>IF($AI$677&gt;0,'Assumptions (Wind)'!Y14*Model!$AI$677*AVERAGE('Assumptions (Wind)'!$AF$2:$AG$2)/10^9,0)</f>
        <v>0.03455973215</v>
      </c>
      <c r="AM870" s="177">
        <f>IF($AI$677&gt;0,'Assumptions (Wind)'!Z14*Model!$AI$677*AVERAGE('Assumptions (Wind)'!$AF$2:$AG$2)/10^9,0)</f>
        <v>0.03455973215</v>
      </c>
      <c r="AN870" s="177">
        <f>IF($AI$677&gt;0,'Assumptions (Wind)'!AA14*Model!$AI$677*AVERAGE('Assumptions (Wind)'!$AF$2:$AG$2)/10^9,0)</f>
        <v>0.01727986607</v>
      </c>
      <c r="AO870" s="160"/>
      <c r="AP870" s="160"/>
      <c r="AQ870" s="160"/>
      <c r="AR870" s="160"/>
      <c r="AS870" s="160"/>
      <c r="AT870" s="160"/>
      <c r="AU870" s="160"/>
      <c r="AV870" s="160"/>
      <c r="AW870" s="160"/>
      <c r="AX870" s="160"/>
      <c r="AY870" s="160"/>
      <c r="AZ870" s="160"/>
      <c r="BA870" s="160"/>
      <c r="BB870" s="160"/>
      <c r="BC870" s="160"/>
      <c r="BD870" s="160"/>
      <c r="BE870" s="160"/>
      <c r="BF870" s="160"/>
      <c r="BG870" s="160"/>
      <c r="BH870" s="139"/>
      <c r="BI870" s="139"/>
      <c r="BJ870" s="139"/>
      <c r="BK870" s="139"/>
      <c r="BL870" s="139"/>
      <c r="BM870" s="139"/>
      <c r="BN870" s="139"/>
      <c r="BO870" s="139"/>
      <c r="BP870" s="139"/>
      <c r="BQ870" s="139"/>
      <c r="BR870" s="139"/>
      <c r="BS870" s="139"/>
      <c r="BT870" s="139"/>
      <c r="BU870" s="139"/>
    </row>
    <row r="871" ht="15.75" hidden="1" customHeight="1" outlineLevel="1">
      <c r="A871" s="241"/>
      <c r="B871" s="38"/>
      <c r="C871" s="174"/>
      <c r="D871" s="174"/>
      <c r="E871" s="174"/>
      <c r="F871" s="174"/>
      <c r="G871" s="174"/>
      <c r="H871" s="174"/>
      <c r="I871" s="174"/>
      <c r="J871" s="174"/>
      <c r="K871" s="174"/>
      <c r="L871" s="174"/>
      <c r="M871" s="174"/>
      <c r="N871" s="174"/>
      <c r="O871" s="174"/>
      <c r="P871" s="174"/>
      <c r="Q871" s="174"/>
      <c r="R871" s="174"/>
      <c r="S871" s="174"/>
      <c r="T871" s="174"/>
      <c r="U871" s="174"/>
      <c r="V871" s="174"/>
      <c r="W871" s="160"/>
      <c r="X871" s="160"/>
      <c r="Y871" s="160"/>
      <c r="Z871" s="160"/>
      <c r="AA871" s="160"/>
      <c r="AB871" s="177"/>
      <c r="AC871" s="160"/>
      <c r="AD871" s="160"/>
      <c r="AE871" s="160"/>
      <c r="AF871" s="160"/>
      <c r="AG871" s="160"/>
      <c r="AH871" s="160"/>
      <c r="AI871" s="160"/>
      <c r="AJ871" s="177">
        <f>IF($AJ$677&gt;0,'Assumptions (Wind)'!V14*Model!$AJ$677*AVERAGE('Assumptions (Wind)'!$AG$2:$AH$2)/10^9,0)</f>
        <v>0.05157260122</v>
      </c>
      <c r="AK871" s="177">
        <f>IF($AJ$677&gt;0,'Assumptions (Wind)'!W14*Model!$AJ$677*AVERAGE('Assumptions (Wind)'!$AG$2:$AH$2)/10^9,0)</f>
        <v>0.08251616195</v>
      </c>
      <c r="AL871" s="177">
        <f>IF($AJ$677&gt;0,'Assumptions (Wind)'!X14*Model!$AJ$677*AVERAGE('Assumptions (Wind)'!$AG$2:$AH$2)/10^9,0)</f>
        <v>0.04950969717</v>
      </c>
      <c r="AM871" s="177">
        <f>IF($AJ$677&gt;0,'Assumptions (Wind)'!Y14*Model!$AJ$677*AVERAGE('Assumptions (Wind)'!$AG$2:$AH$2)/10^9,0)</f>
        <v>0.0297058183</v>
      </c>
      <c r="AN871" s="177">
        <f>IF($AJ$677&gt;0,'Assumptions (Wind)'!Z14*Model!$AJ$677*AVERAGE('Assumptions (Wind)'!$AG$2:$AH$2)/10^9,0)</f>
        <v>0.0297058183</v>
      </c>
      <c r="AO871" s="177">
        <f>IF($AJ$677&gt;0,'Assumptions (Wind)'!AA14*Model!$AJ$677*AVERAGE('Assumptions (Wind)'!$AG$2:$AH$2)/10^9,0)</f>
        <v>0.01485290915</v>
      </c>
      <c r="AP871" s="177"/>
      <c r="AQ871" s="177"/>
      <c r="AR871" s="177"/>
      <c r="AS871" s="177"/>
      <c r="AT871" s="177"/>
      <c r="AU871" s="177"/>
      <c r="AV871" s="177"/>
      <c r="AW871" s="177"/>
      <c r="AX871" s="177"/>
      <c r="AY871" s="177"/>
      <c r="AZ871" s="177"/>
      <c r="BA871" s="177"/>
      <c r="BB871" s="177"/>
      <c r="BC871" s="177"/>
      <c r="BD871" s="177"/>
      <c r="BE871" s="177"/>
      <c r="BF871" s="177"/>
      <c r="BG871" s="177"/>
      <c r="BH871" s="177"/>
      <c r="BI871" s="139"/>
      <c r="BJ871" s="139"/>
      <c r="BK871" s="139"/>
      <c r="BL871" s="139"/>
      <c r="BM871" s="139"/>
      <c r="BN871" s="139"/>
      <c r="BO871" s="139"/>
      <c r="BP871" s="139"/>
      <c r="BQ871" s="139"/>
      <c r="BR871" s="139"/>
      <c r="BS871" s="139"/>
      <c r="BT871" s="139"/>
      <c r="BU871" s="139"/>
    </row>
    <row r="872" ht="15.75" hidden="1" customHeight="1" outlineLevel="1">
      <c r="A872" s="241"/>
      <c r="B872" s="38"/>
      <c r="C872" s="174"/>
      <c r="D872" s="174"/>
      <c r="E872" s="174"/>
      <c r="F872" s="174"/>
      <c r="G872" s="174"/>
      <c r="H872" s="174"/>
      <c r="I872" s="174"/>
      <c r="J872" s="174"/>
      <c r="K872" s="174"/>
      <c r="L872" s="174"/>
      <c r="M872" s="174"/>
      <c r="N872" s="174"/>
      <c r="O872" s="174"/>
      <c r="P872" s="174"/>
      <c r="Q872" s="174"/>
      <c r="R872" s="174"/>
      <c r="S872" s="174"/>
      <c r="T872" s="174"/>
      <c r="U872" s="174"/>
      <c r="V872" s="174"/>
      <c r="W872" s="160"/>
      <c r="X872" s="160"/>
      <c r="Y872" s="160"/>
      <c r="Z872" s="160"/>
      <c r="AA872" s="160"/>
      <c r="AB872" s="160"/>
      <c r="AC872" s="160"/>
      <c r="AD872" s="160"/>
      <c r="AE872" s="160"/>
      <c r="AF872" s="160"/>
      <c r="AG872" s="160"/>
      <c r="AH872" s="160"/>
      <c r="AI872" s="160"/>
      <c r="AJ872" s="179"/>
      <c r="AK872" s="160">
        <f>IF($AK$677&gt;0,'Assumptions (Wind)'!V14*Model!$AK$677*AVERAGE('Assumptions (Wind)'!$AH$2:$AI$2)/10^9,0)</f>
        <v>0.05202349001</v>
      </c>
      <c r="AL872" s="160">
        <f>IF($AK$677&gt;0,'Assumptions (Wind)'!W14*Model!$AK$677*AVERAGE('Assumptions (Wind)'!$AH$2:$AI$2)/10^9,0)</f>
        <v>0.08323758402</v>
      </c>
      <c r="AM872" s="160">
        <f>IF($AK$677&gt;0,'Assumptions (Wind)'!X14*Model!$AK$677*AVERAGE('Assumptions (Wind)'!$AH$2:$AI$2)/10^9,0)</f>
        <v>0.04994255041</v>
      </c>
      <c r="AN872" s="160">
        <f>IF($AK$677&gt;0,'Assumptions (Wind)'!Y14*Model!$AK$677*AVERAGE('Assumptions (Wind)'!$AH$2:$AI$2)/10^9,0)</f>
        <v>0.02996553025</v>
      </c>
      <c r="AO872" s="160">
        <f>IF($AK$677&gt;0,'Assumptions (Wind)'!Z14*Model!$AK$677*AVERAGE('Assumptions (Wind)'!$AH$2:$AI$2)/10^9,0)</f>
        <v>0.02996553025</v>
      </c>
      <c r="AP872" s="160">
        <f>IF($AK$677&gt;0,'Assumptions (Wind)'!AA14*Model!$AK$677*AVERAGE('Assumptions (Wind)'!$AH$2:$AI$2)/10^9,0)</f>
        <v>0.01498276512</v>
      </c>
      <c r="AQ872" s="177"/>
      <c r="AR872" s="177"/>
      <c r="AS872" s="177"/>
      <c r="AT872" s="177"/>
      <c r="AU872" s="177"/>
      <c r="AV872" s="177"/>
      <c r="AW872" s="177"/>
      <c r="AX872" s="177"/>
      <c r="AY872" s="177"/>
      <c r="AZ872" s="177"/>
      <c r="BA872" s="177"/>
      <c r="BB872" s="177"/>
      <c r="BC872" s="177"/>
      <c r="BD872" s="177"/>
      <c r="BE872" s="177"/>
      <c r="BF872" s="177"/>
      <c r="BG872" s="177"/>
      <c r="BH872" s="177"/>
      <c r="BI872" s="177"/>
      <c r="BJ872" s="139"/>
      <c r="BK872" s="139"/>
      <c r="BL872" s="139"/>
      <c r="BM872" s="139"/>
      <c r="BN872" s="139"/>
      <c r="BO872" s="139"/>
      <c r="BP872" s="139"/>
      <c r="BQ872" s="139"/>
      <c r="BR872" s="139"/>
      <c r="BS872" s="139"/>
      <c r="BT872" s="139"/>
      <c r="BU872" s="139"/>
    </row>
    <row r="873" ht="15.75" hidden="1" customHeight="1" outlineLevel="1">
      <c r="A873" s="241"/>
      <c r="B873" s="38"/>
      <c r="C873" s="174"/>
      <c r="D873" s="174"/>
      <c r="E873" s="174"/>
      <c r="F873" s="174"/>
      <c r="G873" s="174"/>
      <c r="H873" s="174"/>
      <c r="I873" s="174"/>
      <c r="J873" s="174"/>
      <c r="K873" s="174"/>
      <c r="L873" s="174"/>
      <c r="M873" s="174"/>
      <c r="N873" s="174"/>
      <c r="O873" s="174"/>
      <c r="P873" s="174"/>
      <c r="Q873" s="174"/>
      <c r="R873" s="174"/>
      <c r="S873" s="174"/>
      <c r="T873" s="174"/>
      <c r="U873" s="174"/>
      <c r="V873" s="174"/>
      <c r="W873" s="160"/>
      <c r="X873" s="160"/>
      <c r="Y873" s="160"/>
      <c r="Z873" s="160"/>
      <c r="AA873" s="160"/>
      <c r="AB873" s="160"/>
      <c r="AC873" s="160"/>
      <c r="AD873" s="160"/>
      <c r="AE873" s="160"/>
      <c r="AF873" s="160"/>
      <c r="AG873" s="160"/>
      <c r="AH873" s="160"/>
      <c r="AI873" s="160"/>
      <c r="AJ873" s="179"/>
      <c r="AK873" s="160"/>
      <c r="AL873" s="177">
        <f>IF($AL$677&gt;0,'Assumptions (Wind)'!V14*Model!$AL$677*AVERAGE('Assumptions (Wind)'!$AI$2:$AJ$2)/10^9,0)</f>
        <v>0.05247193782</v>
      </c>
      <c r="AM873" s="177">
        <f>IF($AL$677&gt;0,'Assumptions (Wind)'!W14*Model!$AL$677*AVERAGE('Assumptions (Wind)'!$AI$2:$AJ$2)/10^9,0)</f>
        <v>0.08395510051</v>
      </c>
      <c r="AN873" s="177">
        <f>IF($AL$677&gt;0,'Assumptions (Wind)'!X14*Model!$AL$677*AVERAGE('Assumptions (Wind)'!$AI$2:$AJ$2)/10^9,0)</f>
        <v>0.05037306031</v>
      </c>
      <c r="AO873" s="177">
        <f>IF($AL$677&gt;0,'Assumptions (Wind)'!Y14*Model!$AL$677*AVERAGE('Assumptions (Wind)'!$AI$2:$AJ$2)/10^9,0)</f>
        <v>0.03022383618</v>
      </c>
      <c r="AP873" s="177">
        <f>IF($AL$677&gt;0,'Assumptions (Wind)'!Z14*Model!$AL$677*AVERAGE('Assumptions (Wind)'!$AI$2:$AJ$2)/10^9,0)</f>
        <v>0.03022383618</v>
      </c>
      <c r="AQ873" s="177">
        <f>IF($AL$677&gt;0,'Assumptions (Wind)'!AA14*Model!$AL$677*AVERAGE('Assumptions (Wind)'!$AI$2:$AJ$2)/10^9,0)</f>
        <v>0.01511191809</v>
      </c>
      <c r="AR873" s="177"/>
      <c r="AS873" s="177"/>
      <c r="AT873" s="177"/>
      <c r="AU873" s="177"/>
      <c r="AV873" s="177"/>
      <c r="AW873" s="177"/>
      <c r="AX873" s="177"/>
      <c r="AY873" s="177"/>
      <c r="AZ873" s="177"/>
      <c r="BA873" s="177"/>
      <c r="BB873" s="177"/>
      <c r="BC873" s="177"/>
      <c r="BD873" s="177"/>
      <c r="BE873" s="177"/>
      <c r="BF873" s="177"/>
      <c r="BG873" s="177"/>
      <c r="BH873" s="177"/>
      <c r="BI873" s="177"/>
      <c r="BJ873" s="177"/>
      <c r="BK873" s="139"/>
      <c r="BL873" s="139"/>
      <c r="BM873" s="139"/>
      <c r="BN873" s="139"/>
      <c r="BO873" s="139"/>
      <c r="BP873" s="139"/>
      <c r="BQ873" s="139"/>
      <c r="BR873" s="139"/>
      <c r="BS873" s="139"/>
      <c r="BT873" s="139"/>
      <c r="BU873" s="139"/>
    </row>
    <row r="874" ht="15.75" hidden="1" customHeight="1" outlineLevel="1">
      <c r="A874" s="241"/>
      <c r="B874" s="38"/>
      <c r="C874" s="174"/>
      <c r="D874" s="174"/>
      <c r="E874" s="174"/>
      <c r="F874" s="174"/>
      <c r="G874" s="174"/>
      <c r="H874" s="174"/>
      <c r="I874" s="174"/>
      <c r="J874" s="174"/>
      <c r="K874" s="174"/>
      <c r="L874" s="174"/>
      <c r="M874" s="174"/>
      <c r="N874" s="174"/>
      <c r="O874" s="174"/>
      <c r="P874" s="174"/>
      <c r="Q874" s="174"/>
      <c r="R874" s="174"/>
      <c r="S874" s="174"/>
      <c r="T874" s="174"/>
      <c r="U874" s="174"/>
      <c r="V874" s="174"/>
      <c r="W874" s="160"/>
      <c r="X874" s="160"/>
      <c r="Y874" s="160"/>
      <c r="Z874" s="160"/>
      <c r="AA874" s="160"/>
      <c r="AB874" s="160"/>
      <c r="AC874" s="160"/>
      <c r="AD874" s="160"/>
      <c r="AE874" s="160"/>
      <c r="AF874" s="160"/>
      <c r="AG874" s="160"/>
      <c r="AH874" s="160"/>
      <c r="AI874" s="160"/>
      <c r="AJ874" s="179"/>
      <c r="AK874" s="160"/>
      <c r="AL874" s="177"/>
      <c r="AM874" s="160">
        <f>IF($AM$677&gt;0,'Assumptions (Wind)'!V14*Model!$AM$677*AVERAGE('Assumptions (Wind)'!$AJ$2:$AK$2)/10^9,0)</f>
        <v>0.05291849611</v>
      </c>
      <c r="AN874" s="160">
        <f>IF($AM$677&gt;0,'Assumptions (Wind)'!W14*Model!$AM$677*AVERAGE('Assumptions (Wind)'!$AJ$2:$AK$2)/10^9,0)</f>
        <v>0.08466959377</v>
      </c>
      <c r="AO874" s="160">
        <f>IF($AM$677&gt;0,'Assumptions (Wind)'!X14*Model!$AM$677*AVERAGE('Assumptions (Wind)'!$AJ$2:$AK$2)/10^9,0)</f>
        <v>0.05080175626</v>
      </c>
      <c r="AP874" s="160">
        <f>IF($AM$677&gt;0,'Assumptions (Wind)'!Y14*Model!$AM$677*AVERAGE('Assumptions (Wind)'!$AJ$2:$AK$2)/10^9,0)</f>
        <v>0.03048105376</v>
      </c>
      <c r="AQ874" s="160">
        <f>IF($AM$677&gt;0,'Assumptions (Wind)'!Z14*Model!$AM$677*AVERAGE('Assumptions (Wind)'!$AJ$2:$AK$2)/10^9,0)</f>
        <v>0.03048105376</v>
      </c>
      <c r="AR874" s="160">
        <f>IF($AM$677&gt;0,'Assumptions (Wind)'!AA14*Model!$AM$677*AVERAGE('Assumptions (Wind)'!$AJ$2:$AK$2)/10^9,0)</f>
        <v>0.01524052688</v>
      </c>
      <c r="AS874" s="160"/>
      <c r="AT874" s="160"/>
      <c r="AU874" s="160"/>
      <c r="AV874" s="160"/>
      <c r="AW874" s="160"/>
      <c r="AX874" s="160"/>
      <c r="AY874" s="160"/>
      <c r="AZ874" s="160"/>
      <c r="BA874" s="160"/>
      <c r="BB874" s="160"/>
      <c r="BC874" s="160"/>
      <c r="BD874" s="160"/>
      <c r="BE874" s="160"/>
      <c r="BF874" s="160"/>
      <c r="BG874" s="160"/>
      <c r="BH874" s="160"/>
      <c r="BI874" s="160"/>
      <c r="BJ874" s="160"/>
      <c r="BK874" s="160"/>
      <c r="BL874" s="139"/>
      <c r="BM874" s="139"/>
      <c r="BN874" s="139"/>
      <c r="BO874" s="139"/>
      <c r="BP874" s="139"/>
      <c r="BQ874" s="139"/>
      <c r="BR874" s="139"/>
      <c r="BS874" s="139"/>
      <c r="BT874" s="139"/>
      <c r="BU874" s="139"/>
    </row>
    <row r="875" ht="15.75" hidden="1" customHeight="1" outlineLevel="1">
      <c r="A875" s="241"/>
      <c r="B875" s="38"/>
      <c r="C875" s="174"/>
      <c r="D875" s="174"/>
      <c r="E875" s="174"/>
      <c r="F875" s="174"/>
      <c r="G875" s="174"/>
      <c r="H875" s="174"/>
      <c r="I875" s="174"/>
      <c r="J875" s="174"/>
      <c r="K875" s="174"/>
      <c r="L875" s="174"/>
      <c r="M875" s="174"/>
      <c r="N875" s="174"/>
      <c r="O875" s="174"/>
      <c r="P875" s="174"/>
      <c r="Q875" s="174"/>
      <c r="R875" s="174"/>
      <c r="S875" s="174"/>
      <c r="T875" s="174"/>
      <c r="U875" s="174"/>
      <c r="V875" s="174"/>
      <c r="W875" s="160"/>
      <c r="X875" s="160"/>
      <c r="Y875" s="160"/>
      <c r="Z875" s="160"/>
      <c r="AA875" s="160"/>
      <c r="AB875" s="160"/>
      <c r="AC875" s="160"/>
      <c r="AD875" s="160"/>
      <c r="AE875" s="160"/>
      <c r="AF875" s="160"/>
      <c r="AG875" s="160"/>
      <c r="AH875" s="160"/>
      <c r="AI875" s="160"/>
      <c r="AJ875" s="179"/>
      <c r="AK875" s="160"/>
      <c r="AL875" s="177"/>
      <c r="AM875" s="177"/>
      <c r="AN875" s="160">
        <f>IF($AN$677&gt;0,'Assumptions (Wind)'!V14*Model!$AN$677*AVERAGE('Assumptions (Wind)'!$AK$2:$AL$2)/10^9,0)</f>
        <v>0.05336208618</v>
      </c>
      <c r="AO875" s="160">
        <f>IF($AN$677&gt;0,'Assumptions (Wind)'!W14*Model!$AN$677*AVERAGE('Assumptions (Wind)'!$AK$2:$AL$2)/10^9,0)</f>
        <v>0.08537933789</v>
      </c>
      <c r="AP875" s="160">
        <f>IF($AN$677&gt;0,'Assumptions (Wind)'!X14*Model!$AN$677*AVERAGE('Assumptions (Wind)'!$AK$2:$AL$2)/10^9,0)</f>
        <v>0.05122760274</v>
      </c>
      <c r="AQ875" s="160">
        <f>IF($AN$677&gt;0,'Assumptions (Wind)'!Y14*Model!$AN$677*AVERAGE('Assumptions (Wind)'!$AK$2:$AL$2)/10^9,0)</f>
        <v>0.03073656164</v>
      </c>
      <c r="AR875" s="160">
        <f>IF($AN$677&gt;0,'Assumptions (Wind)'!Z14*Model!$AN$677*AVERAGE('Assumptions (Wind)'!$AK$2:$AL$2)/10^9,0)</f>
        <v>0.03073656164</v>
      </c>
      <c r="AS875" s="160">
        <f>IF($AN$677&gt;0,'Assumptions (Wind)'!AA14*Model!$AN$677*AVERAGE('Assumptions (Wind)'!$AK$2:$AL$2)/10^9,0)</f>
        <v>0.01536828082</v>
      </c>
      <c r="AT875" s="160"/>
      <c r="AU875" s="160"/>
      <c r="AV875" s="160"/>
      <c r="AW875" s="160"/>
      <c r="AX875" s="160"/>
      <c r="AY875" s="160"/>
      <c r="AZ875" s="160"/>
      <c r="BA875" s="160"/>
      <c r="BB875" s="160"/>
      <c r="BC875" s="160"/>
      <c r="BD875" s="160"/>
      <c r="BE875" s="160"/>
      <c r="BF875" s="160"/>
      <c r="BG875" s="160"/>
      <c r="BH875" s="160"/>
      <c r="BI875" s="160"/>
      <c r="BJ875" s="160"/>
      <c r="BK875" s="160"/>
      <c r="BL875" s="160"/>
      <c r="BM875" s="139"/>
      <c r="BN875" s="139"/>
      <c r="BO875" s="139"/>
      <c r="BP875" s="139"/>
      <c r="BQ875" s="139"/>
      <c r="BR875" s="139"/>
      <c r="BS875" s="139"/>
      <c r="BT875" s="139"/>
      <c r="BU875" s="139"/>
    </row>
    <row r="876" ht="15.75" hidden="1" customHeight="1" outlineLevel="1">
      <c r="A876" s="241"/>
      <c r="B876" s="38"/>
      <c r="C876" s="174"/>
      <c r="D876" s="174"/>
      <c r="E876" s="174"/>
      <c r="F876" s="174"/>
      <c r="G876" s="174"/>
      <c r="H876" s="174"/>
      <c r="I876" s="174"/>
      <c r="J876" s="174"/>
      <c r="K876" s="174"/>
      <c r="L876" s="174"/>
      <c r="M876" s="174"/>
      <c r="N876" s="174"/>
      <c r="O876" s="174"/>
      <c r="P876" s="174"/>
      <c r="Q876" s="174"/>
      <c r="R876" s="174"/>
      <c r="S876" s="174"/>
      <c r="T876" s="174"/>
      <c r="U876" s="174"/>
      <c r="V876" s="174"/>
      <c r="W876" s="160"/>
      <c r="X876" s="160"/>
      <c r="Y876" s="160"/>
      <c r="Z876" s="160"/>
      <c r="AA876" s="160"/>
      <c r="AB876" s="160"/>
      <c r="AC876" s="160"/>
      <c r="AD876" s="160"/>
      <c r="AE876" s="160"/>
      <c r="AF876" s="160"/>
      <c r="AG876" s="160"/>
      <c r="AH876" s="160"/>
      <c r="AI876" s="160"/>
      <c r="AJ876" s="179"/>
      <c r="AK876" s="160"/>
      <c r="AL876" s="177"/>
      <c r="AM876" s="177"/>
      <c r="AN876" s="177"/>
      <c r="AO876" s="160">
        <f>IF($AO$677&gt;0,'Assumptions (Wind)'!V14*Model!$AO$677*AVERAGE('Assumptions (Wind)'!$AL$2:$AM$2)/10^9,0)</f>
        <v>0.05380327284</v>
      </c>
      <c r="AP876" s="160">
        <f>IF($AO$677&gt;0,'Assumptions (Wind)'!W14*Model!$AO$677*AVERAGE('Assumptions (Wind)'!$AL$2:$AM$2)/10^9,0)</f>
        <v>0.08608523655</v>
      </c>
      <c r="AQ876" s="160">
        <f>IF($AO$677&gt;0,'Assumptions (Wind)'!X14*Model!$AO$677*AVERAGE('Assumptions (Wind)'!$AL$2:$AM$2)/10^9,0)</f>
        <v>0.05165114193</v>
      </c>
      <c r="AR876" s="160">
        <f>IF($AO$677&gt;0,'Assumptions (Wind)'!Y14*Model!$AO$677*AVERAGE('Assumptions (Wind)'!$AL$2:$AM$2)/10^9,0)</f>
        <v>0.03099068516</v>
      </c>
      <c r="AS876" s="160">
        <f>IF($AO$677&gt;0,'Assumptions (Wind)'!Z14*Model!$AO$677*AVERAGE('Assumptions (Wind)'!$AL$2:$AM$2)/10^9,0)</f>
        <v>0.03099068516</v>
      </c>
      <c r="AT876" s="160">
        <f>IF($AO$677&gt;0,'Assumptions (Wind)'!AA14*Model!$AO$677*AVERAGE('Assumptions (Wind)'!$AL$2:$AM$2)/10^9,0)</f>
        <v>0.01549534258</v>
      </c>
      <c r="AU876" s="160"/>
      <c r="AV876" s="160"/>
      <c r="AW876" s="160"/>
      <c r="AX876" s="160"/>
      <c r="AY876" s="160"/>
      <c r="AZ876" s="160"/>
      <c r="BA876" s="160"/>
      <c r="BB876" s="160"/>
      <c r="BC876" s="160"/>
      <c r="BD876" s="160"/>
      <c r="BE876" s="160"/>
      <c r="BF876" s="160"/>
      <c r="BG876" s="160"/>
      <c r="BH876" s="160"/>
      <c r="BI876" s="160"/>
      <c r="BJ876" s="160"/>
      <c r="BK876" s="160"/>
      <c r="BL876" s="160"/>
      <c r="BM876" s="160"/>
      <c r="BN876" s="139"/>
      <c r="BO876" s="139"/>
      <c r="BP876" s="139"/>
      <c r="BQ876" s="139"/>
      <c r="BR876" s="139"/>
      <c r="BS876" s="139"/>
      <c r="BT876" s="139"/>
      <c r="BU876" s="139"/>
    </row>
    <row r="877" ht="15.75" hidden="1" customHeight="1" outlineLevel="1">
      <c r="A877" s="241"/>
      <c r="B877" s="38"/>
      <c r="C877" s="174"/>
      <c r="D877" s="174"/>
      <c r="E877" s="174"/>
      <c r="F877" s="174"/>
      <c r="G877" s="174"/>
      <c r="H877" s="174"/>
      <c r="I877" s="174"/>
      <c r="J877" s="174"/>
      <c r="K877" s="174"/>
      <c r="L877" s="174"/>
      <c r="M877" s="174"/>
      <c r="N877" s="174"/>
      <c r="O877" s="174"/>
      <c r="P877" s="174"/>
      <c r="Q877" s="174"/>
      <c r="R877" s="174"/>
      <c r="S877" s="174"/>
      <c r="T877" s="174"/>
      <c r="U877" s="174"/>
      <c r="V877" s="174"/>
      <c r="W877" s="160"/>
      <c r="X877" s="160"/>
      <c r="Y877" s="160"/>
      <c r="Z877" s="160"/>
      <c r="AA877" s="160"/>
      <c r="AB877" s="160"/>
      <c r="AC877" s="160"/>
      <c r="AD877" s="160"/>
      <c r="AE877" s="160"/>
      <c r="AF877" s="160"/>
      <c r="AG877" s="160"/>
      <c r="AH877" s="160"/>
      <c r="AI877" s="160"/>
      <c r="AJ877" s="179"/>
      <c r="AK877" s="160"/>
      <c r="AL877" s="177"/>
      <c r="AM877" s="177"/>
      <c r="AN877" s="177"/>
      <c r="AO877" s="160"/>
      <c r="AP877" s="160">
        <f>IF($AP$677&gt;0,'Assumptions (Wind)'!V14*Model!$AP$677*AVERAGE('Assumptions (Wind)'!$AM$2:$AN$2)/10^9,0)</f>
        <v>0.05424092632</v>
      </c>
      <c r="AQ877" s="160">
        <f>IF($AP$677&gt;0,'Assumptions (Wind)'!W14*Model!$AP$677*AVERAGE('Assumptions (Wind)'!$AM$2:$AN$2)/10^9,0)</f>
        <v>0.08678548211</v>
      </c>
      <c r="AR877" s="160">
        <f>IF($AP$677&gt;0,'Assumptions (Wind)'!X14*Model!$AP$677*AVERAGE('Assumptions (Wind)'!$AM$2:$AN$2)/10^9,0)</f>
        <v>0.05207128926</v>
      </c>
      <c r="AS877" s="160">
        <f>IF($AP$677&gt;0,'Assumptions (Wind)'!Y14*Model!$AP$677*AVERAGE('Assumptions (Wind)'!$AM$2:$AN$2)/10^9,0)</f>
        <v>0.03124277356</v>
      </c>
      <c r="AT877" s="160">
        <f>IF($AP$677&gt;0,'Assumptions (Wind)'!Z14*Model!$AP$677*AVERAGE('Assumptions (Wind)'!$AM$2:$AN$2)/10^9,0)</f>
        <v>0.03124277356</v>
      </c>
      <c r="AU877" s="160">
        <f>IF($AP$677&gt;0,'Assumptions (Wind)'!AA14*Model!$AP$677*AVERAGE('Assumptions (Wind)'!$AM$2:$AN$2)/10^9,0)</f>
        <v>0.01562138678</v>
      </c>
      <c r="AV877" s="160"/>
      <c r="AW877" s="160"/>
      <c r="AX877" s="160"/>
      <c r="AY877" s="160"/>
      <c r="AZ877" s="160"/>
      <c r="BA877" s="160"/>
      <c r="BB877" s="160"/>
      <c r="BC877" s="160"/>
      <c r="BD877" s="160"/>
      <c r="BE877" s="160"/>
      <c r="BF877" s="160"/>
      <c r="BG877" s="160"/>
      <c r="BH877" s="160"/>
      <c r="BI877" s="160"/>
      <c r="BJ877" s="160"/>
      <c r="BK877" s="160"/>
      <c r="BL877" s="160"/>
      <c r="BM877" s="160"/>
      <c r="BN877" s="160"/>
      <c r="BO877" s="139"/>
      <c r="BP877" s="139"/>
      <c r="BQ877" s="139"/>
      <c r="BR877" s="139"/>
      <c r="BS877" s="139"/>
      <c r="BT877" s="139"/>
      <c r="BU877" s="139"/>
    </row>
    <row r="878" ht="15.75" hidden="1" customHeight="1" outlineLevel="1">
      <c r="A878" s="241"/>
      <c r="B878" s="38"/>
      <c r="C878" s="174"/>
      <c r="D878" s="174"/>
      <c r="E878" s="174"/>
      <c r="F878" s="174"/>
      <c r="G878" s="174"/>
      <c r="H878" s="174"/>
      <c r="I878" s="174"/>
      <c r="J878" s="174"/>
      <c r="K878" s="174"/>
      <c r="L878" s="174"/>
      <c r="M878" s="174"/>
      <c r="N878" s="174"/>
      <c r="O878" s="174"/>
      <c r="P878" s="174"/>
      <c r="Q878" s="174"/>
      <c r="R878" s="174"/>
      <c r="S878" s="174"/>
      <c r="T878" s="174"/>
      <c r="U878" s="174"/>
      <c r="V878" s="174"/>
      <c r="W878" s="160"/>
      <c r="X878" s="160"/>
      <c r="Y878" s="160"/>
      <c r="Z878" s="160"/>
      <c r="AA878" s="160"/>
      <c r="AB878" s="160"/>
      <c r="AC878" s="160"/>
      <c r="AD878" s="160"/>
      <c r="AE878" s="160"/>
      <c r="AF878" s="160"/>
      <c r="AG878" s="160"/>
      <c r="AH878" s="160"/>
      <c r="AI878" s="160"/>
      <c r="AJ878" s="179"/>
      <c r="AK878" s="160"/>
      <c r="AL878" s="177"/>
      <c r="AM878" s="177"/>
      <c r="AN878" s="177"/>
      <c r="AO878" s="160"/>
      <c r="AP878" s="160"/>
      <c r="AQ878" s="160">
        <f>IF($AQ$677&gt;0,'Assumptions (Wind)'!V14*Model!$AQ$677*AVERAGE('Assumptions (Wind)'!$AN$2:$AO$2)/10^9,0)</f>
        <v>0.05467562491</v>
      </c>
      <c r="AR878" s="160">
        <f>IF($AQ$677&gt;0,'Assumptions (Wind)'!W14*Model!$AQ$677*AVERAGE('Assumptions (Wind)'!$AN$2:$AO$2)/10^9,0)</f>
        <v>0.08748099986</v>
      </c>
      <c r="AS878" s="160">
        <f>IF($AQ$677&gt;0,'Assumptions (Wind)'!X14*Model!$AQ$677*AVERAGE('Assumptions (Wind)'!$AN$2:$AO$2)/10^9,0)</f>
        <v>0.05248859992</v>
      </c>
      <c r="AT878" s="160">
        <f>IF($AQ$677&gt;0,'Assumptions (Wind)'!Y14*Model!$AQ$677*AVERAGE('Assumptions (Wind)'!$AN$2:$AO$2)/10^9,0)</f>
        <v>0.03149315995</v>
      </c>
      <c r="AU878" s="160">
        <f>IF($AQ$677&gt;0,'Assumptions (Wind)'!Z14*Model!$AQ$677*AVERAGE('Assumptions (Wind)'!$AN$2:$AO$2)/10^9,0)</f>
        <v>0.03149315995</v>
      </c>
      <c r="AV878" s="160">
        <f>IF($AQ$677&gt;0,'Assumptions (Wind)'!AA14*Model!$AQ$677*AVERAGE('Assumptions (Wind)'!$AN$2:$AO$2)/10^9,0)</f>
        <v>0.01574657997</v>
      </c>
      <c r="AW878" s="160"/>
      <c r="AX878" s="160"/>
      <c r="AY878" s="160"/>
      <c r="AZ878" s="160"/>
      <c r="BA878" s="160"/>
      <c r="BB878" s="160"/>
      <c r="BC878" s="160"/>
      <c r="BD878" s="160"/>
      <c r="BE878" s="160"/>
      <c r="BF878" s="160"/>
      <c r="BG878" s="160"/>
      <c r="BH878" s="160"/>
      <c r="BI878" s="160"/>
      <c r="BJ878" s="160"/>
      <c r="BK878" s="160"/>
      <c r="BL878" s="160"/>
      <c r="BM878" s="160"/>
      <c r="BN878" s="160"/>
      <c r="BO878" s="160"/>
      <c r="BP878" s="139"/>
      <c r="BQ878" s="139"/>
      <c r="BR878" s="139"/>
      <c r="BS878" s="139"/>
      <c r="BT878" s="139"/>
      <c r="BU878" s="139"/>
    </row>
    <row r="879" ht="15.75" hidden="1" customHeight="1" outlineLevel="1">
      <c r="A879" s="241"/>
      <c r="B879" s="38"/>
      <c r="C879" s="174"/>
      <c r="D879" s="174"/>
      <c r="E879" s="174"/>
      <c r="F879" s="174"/>
      <c r="G879" s="174"/>
      <c r="H879" s="174"/>
      <c r="I879" s="174"/>
      <c r="J879" s="174"/>
      <c r="K879" s="174"/>
      <c r="L879" s="174"/>
      <c r="M879" s="174"/>
      <c r="N879" s="174"/>
      <c r="O879" s="174"/>
      <c r="P879" s="174"/>
      <c r="Q879" s="174"/>
      <c r="R879" s="174"/>
      <c r="S879" s="174"/>
      <c r="T879" s="174"/>
      <c r="U879" s="174"/>
      <c r="V879" s="174"/>
      <c r="W879" s="160"/>
      <c r="X879" s="160"/>
      <c r="Y879" s="160"/>
      <c r="Z879" s="160"/>
      <c r="AA879" s="160"/>
      <c r="AB879" s="160"/>
      <c r="AC879" s="160"/>
      <c r="AD879" s="160"/>
      <c r="AE879" s="160"/>
      <c r="AF879" s="160"/>
      <c r="AG879" s="160"/>
      <c r="AH879" s="160"/>
      <c r="AI879" s="160"/>
      <c r="AJ879" s="179"/>
      <c r="AK879" s="160"/>
      <c r="AL879" s="177"/>
      <c r="AM879" s="177"/>
      <c r="AN879" s="177"/>
      <c r="AO879" s="160"/>
      <c r="AP879" s="160"/>
      <c r="AQ879" s="160"/>
      <c r="AR879" s="160">
        <f>IF($AR$677&gt;0,'Assumptions (Wind)'!V14*Model!$AR$677*AVERAGE('Assumptions (Wind)'!$AO$2:$AP$2)/10^9,0)</f>
        <v>0.05510618543</v>
      </c>
      <c r="AS879" s="160">
        <f>IF($AR$677&gt;0,'Assumptions (Wind)'!W14*Model!$AR$677*AVERAGE('Assumptions (Wind)'!$AO$2:$AP$2)/10^9,0)</f>
        <v>0.0881698967</v>
      </c>
      <c r="AT879" s="160">
        <f>IF($AR$677&gt;0,'Assumptions (Wind)'!X14*Model!$AR$677*AVERAGE('Assumptions (Wind)'!$AO$2:$AP$2)/10^9,0)</f>
        <v>0.05290193802</v>
      </c>
      <c r="AU879" s="160">
        <f>IF($AR$677&gt;0,'Assumptions (Wind)'!Y14*Model!$AR$677*AVERAGE('Assumptions (Wind)'!$AO$2:$AP$2)/10^9,0)</f>
        <v>0.03174116281</v>
      </c>
      <c r="AV879" s="160">
        <f>IF($AR$677&gt;0,'Assumptions (Wind)'!Z14*Model!$AR$677*AVERAGE('Assumptions (Wind)'!$AO$2:$AP$2)/10^9,0)</f>
        <v>0.03174116281</v>
      </c>
      <c r="AW879" s="160">
        <f>IF($AR$677&gt;0,'Assumptions (Wind)'!AA14*Model!$AR$677*AVERAGE('Assumptions (Wind)'!$AO$2:$AP$2)/10^9,0)</f>
        <v>0.01587058141</v>
      </c>
      <c r="AX879" s="160"/>
      <c r="AY879" s="160"/>
      <c r="AZ879" s="160"/>
      <c r="BA879" s="160"/>
      <c r="BB879" s="160"/>
      <c r="BC879" s="160"/>
      <c r="BD879" s="160"/>
      <c r="BE879" s="160"/>
      <c r="BF879" s="160"/>
      <c r="BG879" s="160"/>
      <c r="BH879" s="160"/>
      <c r="BI879" s="160"/>
      <c r="BJ879" s="160"/>
      <c r="BK879" s="160"/>
      <c r="BL879" s="160"/>
      <c r="BM879" s="160"/>
      <c r="BN879" s="160"/>
      <c r="BO879" s="160"/>
      <c r="BP879" s="160"/>
      <c r="BQ879" s="139"/>
      <c r="BR879" s="139"/>
      <c r="BS879" s="139"/>
      <c r="BT879" s="139"/>
      <c r="BU879" s="139"/>
    </row>
    <row r="880" ht="15.75" hidden="1" customHeight="1" outlineLevel="1">
      <c r="A880" s="241"/>
      <c r="B880" s="38"/>
      <c r="C880" s="174"/>
      <c r="D880" s="174"/>
      <c r="E880" s="174"/>
      <c r="F880" s="174"/>
      <c r="G880" s="174"/>
      <c r="H880" s="174"/>
      <c r="I880" s="174"/>
      <c r="J880" s="174"/>
      <c r="K880" s="174"/>
      <c r="L880" s="174"/>
      <c r="M880" s="174"/>
      <c r="N880" s="174"/>
      <c r="O880" s="174"/>
      <c r="P880" s="174"/>
      <c r="Q880" s="174"/>
      <c r="R880" s="174"/>
      <c r="S880" s="174"/>
      <c r="T880" s="174"/>
      <c r="U880" s="174"/>
      <c r="V880" s="174"/>
      <c r="W880" s="160"/>
      <c r="X880" s="160"/>
      <c r="Y880" s="160"/>
      <c r="Z880" s="160"/>
      <c r="AA880" s="160"/>
      <c r="AB880" s="160"/>
      <c r="AC880" s="160"/>
      <c r="AD880" s="160"/>
      <c r="AE880" s="160"/>
      <c r="AF880" s="160"/>
      <c r="AG880" s="160"/>
      <c r="AH880" s="160"/>
      <c r="AI880" s="160"/>
      <c r="AJ880" s="179"/>
      <c r="AK880" s="160"/>
      <c r="AL880" s="177"/>
      <c r="AM880" s="177"/>
      <c r="AN880" s="177"/>
      <c r="AO880" s="160"/>
      <c r="AP880" s="160"/>
      <c r="AQ880" s="160"/>
      <c r="AR880" s="160"/>
      <c r="AS880" s="160">
        <f>IF($AS$677&gt;0,'Assumptions (Wind)'!V14*Model!$AS$677*AVERAGE('Assumptions (Wind)'!$AP$2:$AQ$2)/10^9,0)</f>
        <v>0.05553319989</v>
      </c>
      <c r="AT880" s="160">
        <f>IF($AS$677&gt;0,'Assumptions (Wind)'!W14*Model!$AS$677*AVERAGE('Assumptions (Wind)'!$AP$2:$AQ$2)/10^9,0)</f>
        <v>0.08885311983</v>
      </c>
      <c r="AU880" s="160">
        <f>IF($AS$677&gt;0,'Assumptions (Wind)'!X14*Model!$AS$677*AVERAGE('Assumptions (Wind)'!$AP$2:$AQ$2)/10^9,0)</f>
        <v>0.0533118719</v>
      </c>
      <c r="AV880" s="160">
        <f>IF($AS$677&gt;0,'Assumptions (Wind)'!Y14*Model!$AS$677*AVERAGE('Assumptions (Wind)'!$AP$2:$AQ$2)/10^9,0)</f>
        <v>0.03198712314</v>
      </c>
      <c r="AW880" s="160">
        <f>IF($AS$677&gt;0,'Assumptions (Wind)'!Z14*Model!$AS$677*AVERAGE('Assumptions (Wind)'!$AP$2:$AQ$2)/10^9,0)</f>
        <v>0.03198712314</v>
      </c>
      <c r="AX880" s="160">
        <f>IF($AS$677&gt;0,'Assumptions (Wind)'!AA14*Model!$AS$677*AVERAGE('Assumptions (Wind)'!$AP$2:$AQ$2)/10^9,0)</f>
        <v>0.01599356157</v>
      </c>
      <c r="AY880" s="160"/>
      <c r="AZ880" s="160"/>
      <c r="BA880" s="160"/>
      <c r="BB880" s="160"/>
      <c r="BC880" s="160"/>
      <c r="BD880" s="160"/>
      <c r="BE880" s="160"/>
      <c r="BF880" s="160"/>
      <c r="BG880" s="160"/>
      <c r="BH880" s="160"/>
      <c r="BI880" s="160"/>
      <c r="BJ880" s="160"/>
      <c r="BK880" s="160"/>
      <c r="BL880" s="160"/>
      <c r="BM880" s="160"/>
      <c r="BN880" s="160"/>
      <c r="BO880" s="160"/>
      <c r="BP880" s="160"/>
      <c r="BQ880" s="160"/>
      <c r="BR880" s="160"/>
      <c r="BS880" s="139"/>
      <c r="BT880" s="139"/>
      <c r="BU880" s="139"/>
    </row>
    <row r="881" ht="15.75" hidden="1" customHeight="1" outlineLevel="1">
      <c r="A881" s="241"/>
      <c r="B881" s="38"/>
      <c r="C881" s="174"/>
      <c r="D881" s="174"/>
      <c r="E881" s="174"/>
      <c r="F881" s="174"/>
      <c r="G881" s="174"/>
      <c r="H881" s="174"/>
      <c r="I881" s="174"/>
      <c r="J881" s="174"/>
      <c r="K881" s="174"/>
      <c r="L881" s="174"/>
      <c r="M881" s="174"/>
      <c r="N881" s="174"/>
      <c r="O881" s="174"/>
      <c r="P881" s="174"/>
      <c r="Q881" s="174"/>
      <c r="R881" s="174"/>
      <c r="S881" s="174"/>
      <c r="T881" s="174"/>
      <c r="U881" s="174"/>
      <c r="V881" s="174"/>
      <c r="W881" s="160"/>
      <c r="X881" s="160"/>
      <c r="Y881" s="160"/>
      <c r="Z881" s="160"/>
      <c r="AA881" s="160"/>
      <c r="AB881" s="160"/>
      <c r="AC881" s="160"/>
      <c r="AD881" s="160"/>
      <c r="AE881" s="160"/>
      <c r="AF881" s="160"/>
      <c r="AG881" s="160"/>
      <c r="AH881" s="160"/>
      <c r="AI881" s="160"/>
      <c r="AJ881" s="179"/>
      <c r="AK881" s="160"/>
      <c r="AL881" s="177"/>
      <c r="AM881" s="177"/>
      <c r="AN881" s="177"/>
      <c r="AO881" s="160"/>
      <c r="AP881" s="160"/>
      <c r="AQ881" s="160"/>
      <c r="AR881" s="160"/>
      <c r="AS881" s="160"/>
      <c r="AT881" s="181">
        <f>IF($AT$677&gt;0,'Assumptions (Wind)'!V14*Model!$AT$677*AVERAGE('Assumptions (Wind)'!$AQ$2:$AR$2)/10^9,0)</f>
        <v>0.05595542922</v>
      </c>
      <c r="AU881" s="181">
        <f>IF($AT$677&gt;0,'Assumptions (Wind)'!W14*Model!$AT$677*AVERAGE('Assumptions (Wind)'!$AQ$2:$AR$2)/10^9,0)</f>
        <v>0.08952868675</v>
      </c>
      <c r="AV881" s="181">
        <f>IF($AT$677&gt;0,'Assumptions (Wind)'!X14*Model!$AT$677*AVERAGE('Assumptions (Wind)'!$AQ$2:$AR$2)/10^9,0)</f>
        <v>0.05371721205</v>
      </c>
      <c r="AW881" s="181">
        <f>IF($AT$677&gt;0,'Assumptions (Wind)'!Y14*Model!$AT$677*AVERAGE('Assumptions (Wind)'!$AQ$2:$AR$2)/10^9,0)</f>
        <v>0.03223032723</v>
      </c>
      <c r="AX881" s="181">
        <f>IF($AT$677&gt;0,'Assumptions (Wind)'!Z14*Model!$AT$677*AVERAGE('Assumptions (Wind)'!$AQ$2:$AR$2)/10^9,0)</f>
        <v>0.03223032723</v>
      </c>
      <c r="AY881" s="181">
        <f>IF($AT$677&gt;0,'Assumptions (Wind)'!AA14*Model!$AT$677*AVERAGE('Assumptions (Wind)'!$AQ$2:$AR$2)/10^9,0)</f>
        <v>0.01611516361</v>
      </c>
      <c r="AZ881" s="160"/>
      <c r="BA881" s="160"/>
      <c r="BB881" s="160"/>
      <c r="BC881" s="160"/>
      <c r="BD881" s="160"/>
      <c r="BE881" s="160"/>
      <c r="BF881" s="160"/>
      <c r="BG881" s="160"/>
      <c r="BH881" s="160"/>
      <c r="BI881" s="160"/>
      <c r="BJ881" s="160"/>
      <c r="BK881" s="160"/>
      <c r="BL881" s="160"/>
      <c r="BM881" s="160"/>
      <c r="BN881" s="160"/>
      <c r="BO881" s="160"/>
      <c r="BP881" s="160"/>
      <c r="BQ881" s="160"/>
      <c r="BR881" s="160"/>
      <c r="BS881" s="139"/>
      <c r="BT881" s="139"/>
      <c r="BU881" s="139"/>
    </row>
    <row r="882" ht="15.75" hidden="1" customHeight="1" outlineLevel="1">
      <c r="A882" s="241"/>
      <c r="B882" s="38"/>
      <c r="C882" s="174"/>
      <c r="D882" s="174"/>
      <c r="E882" s="174"/>
      <c r="F882" s="174"/>
      <c r="G882" s="174"/>
      <c r="H882" s="174"/>
      <c r="I882" s="174"/>
      <c r="J882" s="174"/>
      <c r="K882" s="174"/>
      <c r="L882" s="174"/>
      <c r="M882" s="174"/>
      <c r="N882" s="174"/>
      <c r="O882" s="174"/>
      <c r="P882" s="174"/>
      <c r="Q882" s="174"/>
      <c r="R882" s="174"/>
      <c r="S882" s="174"/>
      <c r="T882" s="174"/>
      <c r="U882" s="174"/>
      <c r="V882" s="174"/>
      <c r="W882" s="160"/>
      <c r="X882" s="160"/>
      <c r="Y882" s="160"/>
      <c r="Z882" s="160"/>
      <c r="AA882" s="160"/>
      <c r="AB882" s="160"/>
      <c r="AC882" s="160"/>
      <c r="AD882" s="160"/>
      <c r="AE882" s="160"/>
      <c r="AF882" s="160"/>
      <c r="AG882" s="160"/>
      <c r="AH882" s="160"/>
      <c r="AI882" s="160"/>
      <c r="AJ882" s="179"/>
      <c r="AK882" s="160"/>
      <c r="AL882" s="177"/>
      <c r="AM882" s="177"/>
      <c r="AN882" s="177"/>
      <c r="AO882" s="160"/>
      <c r="AP882" s="160"/>
      <c r="AQ882" s="160"/>
      <c r="AR882" s="160"/>
      <c r="AS882" s="160"/>
      <c r="AT882" s="160"/>
      <c r="AU882" s="160">
        <f>IF($AU$677&gt;0,'Assumptions (Wind)'!V14*Model!$AU$677*AVERAGE('Assumptions (Wind)'!$AR$2:$AS$2)/10^9,0)</f>
        <v>0.1317467163</v>
      </c>
      <c r="AV882" s="160">
        <f>IF($AU$677&gt;0,'Assumptions (Wind)'!W14*Model!$AU$677*AVERAGE('Assumptions (Wind)'!$AR$2:$AS$2)/10^9,0)</f>
        <v>0.210794746</v>
      </c>
      <c r="AW882" s="160">
        <f>IF($AU$677&gt;0,'Assumptions (Wind)'!X14*Model!$AU$677*AVERAGE('Assumptions (Wind)'!$AR$2:$AS$2)/10^9,0)</f>
        <v>0.1264768476</v>
      </c>
      <c r="AX882" s="160">
        <f>IF($AU$677&gt;0,'Assumptions (Wind)'!Y14*Model!$AU$677*AVERAGE('Assumptions (Wind)'!$AR$2:$AS$2)/10^9,0)</f>
        <v>0.07588610857</v>
      </c>
      <c r="AY882" s="160">
        <f>IF($AU$677&gt;0,'Assumptions (Wind)'!Z14*Model!$AU$677*AVERAGE('Assumptions (Wind)'!$AR$2:$AS$2)/10^9,0)</f>
        <v>0.07588610857</v>
      </c>
      <c r="AZ882" s="160">
        <f>IF($AU$677&gt;0,'Assumptions (Wind)'!AA14*Model!$AU$677*AVERAGE('Assumptions (Wind)'!$AR$2:$AS$2)/10^9,0)</f>
        <v>0.03794305428</v>
      </c>
      <c r="BA882" s="160"/>
      <c r="BB882" s="160"/>
      <c r="BC882" s="160"/>
      <c r="BD882" s="160"/>
      <c r="BE882" s="160"/>
      <c r="BF882" s="160"/>
      <c r="BG882" s="160"/>
      <c r="BH882" s="160"/>
      <c r="BI882" s="160"/>
      <c r="BJ882" s="160"/>
      <c r="BK882" s="160"/>
      <c r="BL882" s="160"/>
      <c r="BM882" s="160"/>
      <c r="BN882" s="160"/>
      <c r="BO882" s="160"/>
      <c r="BP882" s="160"/>
      <c r="BQ882" s="160"/>
      <c r="BR882" s="160"/>
      <c r="BS882" s="160"/>
      <c r="BT882" s="139"/>
      <c r="BU882" s="139"/>
    </row>
    <row r="883" ht="15.75" hidden="1" customHeight="1" outlineLevel="1">
      <c r="A883" s="241"/>
      <c r="B883" s="38"/>
      <c r="C883" s="174"/>
      <c r="D883" s="174"/>
      <c r="E883" s="174"/>
      <c r="F883" s="174"/>
      <c r="G883" s="174"/>
      <c r="H883" s="174"/>
      <c r="I883" s="174"/>
      <c r="J883" s="174"/>
      <c r="K883" s="174"/>
      <c r="L883" s="174"/>
      <c r="M883" s="174"/>
      <c r="N883" s="174"/>
      <c r="O883" s="174"/>
      <c r="P883" s="174"/>
      <c r="Q883" s="174"/>
      <c r="R883" s="174"/>
      <c r="S883" s="174"/>
      <c r="T883" s="174"/>
      <c r="U883" s="174"/>
      <c r="V883" s="174"/>
      <c r="W883" s="160"/>
      <c r="X883" s="160"/>
      <c r="Y883" s="160"/>
      <c r="Z883" s="160"/>
      <c r="AA883" s="160"/>
      <c r="AB883" s="160"/>
      <c r="AC883" s="160"/>
      <c r="AD883" s="160"/>
      <c r="AE883" s="160"/>
      <c r="AF883" s="160"/>
      <c r="AG883" s="160"/>
      <c r="AH883" s="160"/>
      <c r="AI883" s="160"/>
      <c r="AJ883" s="179"/>
      <c r="AK883" s="160"/>
      <c r="AL883" s="177"/>
      <c r="AM883" s="177"/>
      <c r="AN883" s="177"/>
      <c r="AO883" s="160"/>
      <c r="AP883" s="160"/>
      <c r="AQ883" s="160"/>
      <c r="AR883" s="160"/>
      <c r="AS883" s="160"/>
      <c r="AT883" s="160"/>
      <c r="AU883" s="160"/>
      <c r="AV883" s="160">
        <f>IF($AV$677&gt;0,'Assumptions (Wind)'!V14*Model!$AV$677*AVERAGE('Assumptions (Wind)'!$AS$2:$AT$2)/10^9,0)</f>
        <v>0.05676085507</v>
      </c>
      <c r="AW883" s="160">
        <f>IF($AV$677&gt;0,'Assumptions (Wind)'!W14*Model!$AV$677*AVERAGE('Assumptions (Wind)'!$AS$2:$AT$2)/10^9,0)</f>
        <v>0.09081736811</v>
      </c>
      <c r="AX883" s="160">
        <f>IF($AV$677&gt;0,'Assumptions (Wind)'!X14*Model!$AV$677*AVERAGE('Assumptions (Wind)'!$AS$2:$AT$2)/10^9,0)</f>
        <v>0.05449042087</v>
      </c>
      <c r="AY883" s="160">
        <f>IF($AV$677&gt;0,'Assumptions (Wind)'!Y14*Model!$AV$677*AVERAGE('Assumptions (Wind)'!$AS$2:$AT$2)/10^9,0)</f>
        <v>0.03269425252</v>
      </c>
      <c r="AZ883" s="160">
        <f>IF($AV$677&gt;0,'Assumptions (Wind)'!Z14*Model!$AV$677*AVERAGE('Assumptions (Wind)'!$AS$2:$AT$2)/10^9,0)</f>
        <v>0.03269425252</v>
      </c>
      <c r="BA883" s="160">
        <f>IF($AV$677&gt;0,'Assumptions (Wind)'!AA14*Model!$AV$677*AVERAGE('Assumptions (Wind)'!$AS$2:$AT$2)/10^9,0)</f>
        <v>0.01634712626</v>
      </c>
      <c r="BB883" s="160"/>
      <c r="BC883" s="160"/>
      <c r="BD883" s="160"/>
      <c r="BE883" s="160"/>
      <c r="BF883" s="160"/>
      <c r="BG883" s="160"/>
      <c r="BH883" s="160"/>
      <c r="BI883" s="160"/>
      <c r="BJ883" s="160"/>
      <c r="BK883" s="160"/>
      <c r="BL883" s="160"/>
      <c r="BM883" s="160"/>
      <c r="BN883" s="160"/>
      <c r="BO883" s="160"/>
      <c r="BP883" s="160"/>
      <c r="BQ883" s="160"/>
      <c r="BR883" s="160"/>
      <c r="BS883" s="160"/>
      <c r="BT883" s="160"/>
      <c r="BU883" s="139"/>
    </row>
    <row r="884" ht="15.75" hidden="1" customHeight="1" outlineLevel="1">
      <c r="A884" s="241"/>
      <c r="B884" s="38"/>
      <c r="C884" s="174"/>
      <c r="D884" s="174"/>
      <c r="E884" s="174"/>
      <c r="F884" s="174"/>
      <c r="G884" s="174"/>
      <c r="H884" s="174"/>
      <c r="I884" s="174"/>
      <c r="J884" s="174"/>
      <c r="K884" s="174"/>
      <c r="L884" s="174"/>
      <c r="M884" s="174"/>
      <c r="N884" s="174"/>
      <c r="O884" s="174"/>
      <c r="P884" s="174"/>
      <c r="Q884" s="174"/>
      <c r="R884" s="174"/>
      <c r="S884" s="174"/>
      <c r="T884" s="174"/>
      <c r="U884" s="174"/>
      <c r="V884" s="174"/>
      <c r="W884" s="160"/>
      <c r="X884" s="160"/>
      <c r="Y884" s="160"/>
      <c r="Z884" s="160"/>
      <c r="AA884" s="160"/>
      <c r="AB884" s="160"/>
      <c r="AC884" s="160"/>
      <c r="AD884" s="160"/>
      <c r="AE884" s="160"/>
      <c r="AF884" s="160"/>
      <c r="AG884" s="160"/>
      <c r="AH884" s="160"/>
      <c r="AI884" s="160"/>
      <c r="AJ884" s="179"/>
      <c r="AK884" s="160"/>
      <c r="AL884" s="177"/>
      <c r="AM884" s="177"/>
      <c r="AN884" s="177"/>
      <c r="AO884" s="160"/>
      <c r="AP884" s="160"/>
      <c r="AQ884" s="160"/>
      <c r="AR884" s="160"/>
      <c r="AS884" s="160"/>
      <c r="AT884" s="160"/>
      <c r="AU884" s="160"/>
      <c r="AV884" s="160"/>
      <c r="AW884" s="160">
        <f>IF($AW$677&gt;0,'Assumptions (Wind)'!V14*Model!$AW$677*AVERAGE('Assumptions (Wind)'!$AT$2:$AU$2)/10^9,0)</f>
        <v>0.05716757882</v>
      </c>
      <c r="AX884" s="160">
        <f>IF($AW$677&gt;0,'Assumptions (Wind)'!W14*Model!$AW$677*AVERAGE('Assumptions (Wind)'!$AT$2:$AU$2)/10^9,0)</f>
        <v>0.09146812611</v>
      </c>
      <c r="AY884" s="160">
        <f>IF($AW$677&gt;0,'Assumptions (Wind)'!X14*Model!$AW$677*AVERAGE('Assumptions (Wind)'!$AT$2:$AU$2)/10^9,0)</f>
        <v>0.05488087567</v>
      </c>
      <c r="AZ884" s="160">
        <f>IF($AW$677&gt;0,'Assumptions (Wind)'!Y14*Model!$AW$677*AVERAGE('Assumptions (Wind)'!$AT$2:$AU$2)/10^9,0)</f>
        <v>0.0329285254</v>
      </c>
      <c r="BA884" s="160">
        <f>IF($AW$677&gt;0,'Assumptions (Wind)'!Z14*Model!$AW$677*AVERAGE('Assumptions (Wind)'!$AT$2:$AU$2)/10^9,0)</f>
        <v>0.0329285254</v>
      </c>
      <c r="BB884" s="160">
        <f>IF($AW$677&gt;0,'Assumptions (Wind)'!AA14*Model!$AW$677*AVERAGE('Assumptions (Wind)'!$AT$2:$AU$2)/10^9,0)</f>
        <v>0.0164642627</v>
      </c>
      <c r="BC884" s="160"/>
      <c r="BD884" s="160"/>
      <c r="BE884" s="160"/>
      <c r="BF884" s="160"/>
      <c r="BG884" s="160"/>
      <c r="BH884" s="160"/>
      <c r="BI884" s="160"/>
      <c r="BJ884" s="160"/>
      <c r="BK884" s="160"/>
      <c r="BL884" s="160"/>
      <c r="BM884" s="160"/>
      <c r="BN884" s="160"/>
      <c r="BO884" s="160"/>
      <c r="BP884" s="160"/>
      <c r="BQ884" s="160"/>
      <c r="BR884" s="160"/>
      <c r="BS884" s="160"/>
      <c r="BT884" s="160"/>
      <c r="BU884" s="160"/>
    </row>
    <row r="885" ht="15.75" hidden="1" customHeight="1" outlineLevel="1">
      <c r="A885" s="241"/>
      <c r="B885" s="38"/>
      <c r="C885" s="174"/>
      <c r="D885" s="174"/>
      <c r="E885" s="174"/>
      <c r="F885" s="174"/>
      <c r="G885" s="174"/>
      <c r="H885" s="174"/>
      <c r="I885" s="174"/>
      <c r="J885" s="174"/>
      <c r="K885" s="174"/>
      <c r="L885" s="174"/>
      <c r="M885" s="174"/>
      <c r="N885" s="174"/>
      <c r="O885" s="174"/>
      <c r="P885" s="174"/>
      <c r="Q885" s="174"/>
      <c r="R885" s="174"/>
      <c r="S885" s="174"/>
      <c r="T885" s="174"/>
      <c r="U885" s="174"/>
      <c r="V885" s="174"/>
      <c r="W885" s="160"/>
      <c r="X885" s="160"/>
      <c r="Y885" s="160"/>
      <c r="Z885" s="160"/>
      <c r="AA885" s="160"/>
      <c r="AB885" s="160"/>
      <c r="AC885" s="160"/>
      <c r="AD885" s="160"/>
      <c r="AE885" s="160"/>
      <c r="AF885" s="160"/>
      <c r="AG885" s="160"/>
      <c r="AH885" s="160"/>
      <c r="AI885" s="160"/>
      <c r="AJ885" s="179"/>
      <c r="AK885" s="160"/>
      <c r="AL885" s="177"/>
      <c r="AM885" s="177"/>
      <c r="AN885" s="177"/>
      <c r="AO885" s="160"/>
      <c r="AP885" s="160"/>
      <c r="AQ885" s="160"/>
      <c r="AR885" s="160"/>
      <c r="AS885" s="160"/>
      <c r="AT885" s="160"/>
      <c r="AU885" s="160"/>
      <c r="AV885" s="160"/>
      <c r="AW885" s="160"/>
      <c r="AX885" s="160">
        <f>IF($AX$677&gt;0,'Assumptions (Wind)'!V14*Model!$AX$677*AVERAGE('Assumptions (Wind)'!$AU$2:$AV$2)/10^9,0)</f>
        <v>0.05756907985</v>
      </c>
      <c r="AY885" s="160">
        <f>IF($AX$677&gt;0,'Assumptions (Wind)'!W14*Model!$AX$677*AVERAGE('Assumptions (Wind)'!$AU$2:$AV$2)/10^9,0)</f>
        <v>0.09211052776</v>
      </c>
      <c r="AZ885" s="160">
        <f>IF($AX$677&gt;0,'Assumptions (Wind)'!X14*Model!$AX$677*AVERAGE('Assumptions (Wind)'!$AU$2:$AV$2)/10^9,0)</f>
        <v>0.05526631666</v>
      </c>
      <c r="BA885" s="160">
        <f>IF($AX$677&gt;0,'Assumptions (Wind)'!Y14*Model!$AX$677*AVERAGE('Assumptions (Wind)'!$AU$2:$AV$2)/10^9,0)</f>
        <v>0.03315978999</v>
      </c>
      <c r="BB885" s="160">
        <f>IF($AX$677&gt;0,'Assumptions (Wind)'!Z14*Model!$AX$677*AVERAGE('Assumptions (Wind)'!$AU$2:$AV$2)/10^9,0)</f>
        <v>0.03315978999</v>
      </c>
      <c r="BC885" s="160">
        <f>IF($AX$677&gt;0,'Assumptions (Wind)'!AA14*Model!$AX$677*AVERAGE('Assumptions (Wind)'!$AU$2:$AV$2)/10^9,0)</f>
        <v>0.016579895</v>
      </c>
      <c r="BD885" s="160"/>
      <c r="BE885" s="160"/>
      <c r="BF885" s="160"/>
      <c r="BG885" s="160"/>
      <c r="BH885" s="160"/>
      <c r="BI885" s="160"/>
      <c r="BJ885" s="160"/>
      <c r="BK885" s="160"/>
      <c r="BL885" s="160"/>
      <c r="BM885" s="160"/>
      <c r="BN885" s="160"/>
      <c r="BO885" s="160"/>
      <c r="BP885" s="160"/>
      <c r="BQ885" s="160"/>
      <c r="BR885" s="160"/>
      <c r="BS885" s="160"/>
      <c r="BT885" s="160"/>
      <c r="BU885" s="160"/>
    </row>
    <row r="886" ht="15.75" hidden="1" customHeight="1" outlineLevel="1">
      <c r="A886" s="241"/>
      <c r="B886" s="38"/>
      <c r="C886" s="174"/>
      <c r="D886" s="174"/>
      <c r="E886" s="174"/>
      <c r="F886" s="174"/>
      <c r="G886" s="174"/>
      <c r="H886" s="174"/>
      <c r="I886" s="174"/>
      <c r="J886" s="174"/>
      <c r="K886" s="174"/>
      <c r="L886" s="174"/>
      <c r="M886" s="174"/>
      <c r="N886" s="174"/>
      <c r="O886" s="174"/>
      <c r="P886" s="174"/>
      <c r="Q886" s="174"/>
      <c r="R886" s="174"/>
      <c r="S886" s="174"/>
      <c r="T886" s="174"/>
      <c r="U886" s="174"/>
      <c r="V886" s="174"/>
      <c r="W886" s="160"/>
      <c r="X886" s="160"/>
      <c r="Y886" s="160"/>
      <c r="Z886" s="160"/>
      <c r="AA886" s="160"/>
      <c r="AB886" s="160"/>
      <c r="AC886" s="160"/>
      <c r="AD886" s="160"/>
      <c r="AE886" s="160"/>
      <c r="AF886" s="160"/>
      <c r="AG886" s="160"/>
      <c r="AH886" s="160"/>
      <c r="AI886" s="160"/>
      <c r="AJ886" s="179"/>
      <c r="AK886" s="160"/>
      <c r="AL886" s="177"/>
      <c r="AM886" s="177"/>
      <c r="AN886" s="177"/>
      <c r="AO886" s="160"/>
      <c r="AP886" s="160"/>
      <c r="AQ886" s="160"/>
      <c r="AR886" s="160"/>
      <c r="AS886" s="160"/>
      <c r="AT886" s="160"/>
      <c r="AU886" s="160"/>
      <c r="AV886" s="160"/>
      <c r="AW886" s="160"/>
      <c r="AX886" s="160"/>
      <c r="AY886" s="160">
        <f>IF($AY$677&gt;0,'Assumptions (Wind)'!V14*Model!$AY$677*AVERAGE('Assumptions (Wind)'!$AV$2:$AW$2)/10^9,0)</f>
        <v>0.05796396773</v>
      </c>
      <c r="AZ886" s="160">
        <f>IF($AY$677&gt;0,'Assumptions (Wind)'!W14*Model!$AY$677*AVERAGE('Assumptions (Wind)'!$AV$2:$AW$2)/10^9,0)</f>
        <v>0.09274234837</v>
      </c>
      <c r="BA886" s="160">
        <f>IF($AY$677&gt;0,'Assumptions (Wind)'!X14*Model!$AY$677*AVERAGE('Assumptions (Wind)'!$AV$2:$AW$2)/10^9,0)</f>
        <v>0.05564540902</v>
      </c>
      <c r="BB886" s="160">
        <f>IF($AY$677&gt;0,'Assumptions (Wind)'!Y14*Model!$AY$677*AVERAGE('Assumptions (Wind)'!$AV$2:$AW$2)/10^9,0)</f>
        <v>0.03338724541</v>
      </c>
      <c r="BC886" s="160">
        <f>IF($AY$677&gt;0,'Assumptions (Wind)'!Z14*Model!$AY$677*AVERAGE('Assumptions (Wind)'!$AV$2:$AW$2)/10^9,0)</f>
        <v>0.03338724541</v>
      </c>
      <c r="BD886" s="160">
        <f>IF($AY$677&gt;0,'Assumptions (Wind)'!AA14*Model!$AY$677*AVERAGE('Assumptions (Wind)'!$AV$2:$AW$2)/10^9,0)</f>
        <v>0.01669362271</v>
      </c>
      <c r="BE886" s="160"/>
      <c r="BF886" s="160"/>
      <c r="BG886" s="160"/>
      <c r="BH886" s="160"/>
      <c r="BI886" s="160"/>
      <c r="BJ886" s="160"/>
      <c r="BK886" s="160"/>
      <c r="BL886" s="160"/>
      <c r="BM886" s="160"/>
      <c r="BN886" s="160"/>
      <c r="BO886" s="160"/>
      <c r="BP886" s="160"/>
      <c r="BQ886" s="160"/>
      <c r="BR886" s="160"/>
      <c r="BS886" s="160"/>
      <c r="BT886" s="160"/>
      <c r="BU886" s="160"/>
    </row>
    <row r="887" ht="15.75" hidden="1" customHeight="1" outlineLevel="1">
      <c r="A887" s="241"/>
      <c r="B887" s="38"/>
      <c r="C887" s="174"/>
      <c r="D887" s="174"/>
      <c r="E887" s="174"/>
      <c r="F887" s="174"/>
      <c r="G887" s="174"/>
      <c r="H887" s="174"/>
      <c r="I887" s="174"/>
      <c r="J887" s="174"/>
      <c r="K887" s="174"/>
      <c r="L887" s="174"/>
      <c r="M887" s="174"/>
      <c r="N887" s="174"/>
      <c r="O887" s="174"/>
      <c r="P887" s="174"/>
      <c r="Q887" s="174"/>
      <c r="R887" s="174"/>
      <c r="S887" s="174"/>
      <c r="T887" s="174"/>
      <c r="U887" s="174"/>
      <c r="V887" s="174"/>
      <c r="W887" s="160"/>
      <c r="X887" s="160"/>
      <c r="Y887" s="160"/>
      <c r="Z887" s="160"/>
      <c r="AA887" s="160"/>
      <c r="AB887" s="160"/>
      <c r="AC887" s="160"/>
      <c r="AD887" s="160"/>
      <c r="AE887" s="160"/>
      <c r="AF887" s="160"/>
      <c r="AG887" s="160"/>
      <c r="AH887" s="160"/>
      <c r="AI887" s="160"/>
      <c r="AJ887" s="179"/>
      <c r="AK887" s="160"/>
      <c r="AL887" s="177"/>
      <c r="AM887" s="177"/>
      <c r="AN887" s="177"/>
      <c r="AO887" s="160"/>
      <c r="AP887" s="160"/>
      <c r="AQ887" s="160"/>
      <c r="AR887" s="160"/>
      <c r="AS887" s="160"/>
      <c r="AT887" s="160"/>
      <c r="AU887" s="160"/>
      <c r="AV887" s="160"/>
      <c r="AW887" s="160"/>
      <c r="AX887" s="160"/>
      <c r="AY887" s="160"/>
      <c r="AZ887" s="160">
        <f>IF($AZ$677&gt;0,'Assumptions (Wind)'!V14*Model!$AZ$677*AVERAGE('Assumptions (Wind)'!$AW$2:$AX$2)/10^9,0)</f>
        <v>0.1166502608</v>
      </c>
      <c r="BA887" s="160">
        <f>IF($AZ$677&gt;0,'Assumptions (Wind)'!W14*Model!$AZ$677*AVERAGE('Assumptions (Wind)'!$AW$2:$AX$2)/10^9,0)</f>
        <v>0.1866404173</v>
      </c>
      <c r="BB887" s="160">
        <f>IF($AZ$677&gt;0,'Assumptions (Wind)'!X14*Model!$AZ$677*AVERAGE('Assumptions (Wind)'!$AW$2:$AX$2)/10^9,0)</f>
        <v>0.1119842504</v>
      </c>
      <c r="BC887" s="160">
        <f>IF($AZ$677&gt;0,'Assumptions (Wind)'!Y14*Model!$AZ$677*AVERAGE('Assumptions (Wind)'!$AW$2:$AX$2)/10^9,0)</f>
        <v>0.06719055021</v>
      </c>
      <c r="BD887" s="160">
        <f>IF($AZ$677&gt;0,'Assumptions (Wind)'!Z14*Model!$AZ$677*AVERAGE('Assumptions (Wind)'!$AW$2:$AX$2)/10^9,0)</f>
        <v>0.06719055021</v>
      </c>
      <c r="BE887" s="160">
        <f>IF($AZ$677&gt;0,'Assumptions (Wind)'!AA14*Model!$AZ$677*AVERAGE('Assumptions (Wind)'!$AW$2:$AX$2)/10^9,0)</f>
        <v>0.03359527511</v>
      </c>
      <c r="BF887" s="160"/>
      <c r="BG887" s="160"/>
      <c r="BH887" s="160"/>
      <c r="BI887" s="160"/>
      <c r="BJ887" s="160"/>
      <c r="BK887" s="160"/>
      <c r="BL887" s="160"/>
      <c r="BM887" s="160"/>
      <c r="BN887" s="160"/>
      <c r="BO887" s="160"/>
      <c r="BP887" s="160"/>
      <c r="BQ887" s="160"/>
      <c r="BR887" s="160"/>
      <c r="BS887" s="160"/>
      <c r="BT887" s="160"/>
      <c r="BU887" s="160"/>
    </row>
    <row r="888" ht="15.75" hidden="1" customHeight="1" outlineLevel="1">
      <c r="A888" s="241"/>
      <c r="B888" s="38"/>
      <c r="C888" s="174"/>
      <c r="D888" s="174"/>
      <c r="E888" s="174"/>
      <c r="F888" s="174"/>
      <c r="G888" s="174"/>
      <c r="H888" s="174"/>
      <c r="I888" s="174"/>
      <c r="J888" s="174"/>
      <c r="K888" s="174"/>
      <c r="L888" s="174"/>
      <c r="M888" s="174"/>
      <c r="N888" s="174"/>
      <c r="O888" s="174"/>
      <c r="P888" s="174"/>
      <c r="Q888" s="174"/>
      <c r="R888" s="174"/>
      <c r="S888" s="174"/>
      <c r="T888" s="174"/>
      <c r="U888" s="174"/>
      <c r="V888" s="174"/>
      <c r="W888" s="160"/>
      <c r="X888" s="160"/>
      <c r="Y888" s="160"/>
      <c r="Z888" s="160"/>
      <c r="AA888" s="160"/>
      <c r="AB888" s="160"/>
      <c r="AC888" s="160"/>
      <c r="AD888" s="160"/>
      <c r="AE888" s="160"/>
      <c r="AF888" s="160"/>
      <c r="AG888" s="160"/>
      <c r="AH888" s="160"/>
      <c r="AI888" s="160"/>
      <c r="AJ888" s="179"/>
      <c r="AK888" s="160"/>
      <c r="AL888" s="177"/>
      <c r="AM888" s="177"/>
      <c r="AN888" s="177"/>
      <c r="AO888" s="160"/>
      <c r="AP888" s="160"/>
      <c r="AQ888" s="160"/>
      <c r="AR888" s="160"/>
      <c r="AS888" s="160"/>
      <c r="AT888" s="160"/>
      <c r="AU888" s="160"/>
      <c r="AV888" s="160"/>
      <c r="AW888" s="160"/>
      <c r="AX888" s="160"/>
      <c r="AY888" s="160"/>
      <c r="AZ888" s="160"/>
      <c r="BA888" s="160">
        <f>IF($BA$677&gt;0,'Assumptions (Wind)'!V14*Model!$BA$677*AVERAGE('Assumptions (Wind)'!$AX$2:$AY$2)/10^9,0)</f>
        <v>0.1173566476</v>
      </c>
      <c r="BB888" s="160">
        <f>IF($BA$677&gt;0,'Assumptions (Wind)'!W14*Model!$BA$677*AVERAGE('Assumptions (Wind)'!$AX$2:$AY$2)/10^9,0)</f>
        <v>0.1877706361</v>
      </c>
      <c r="BC888" s="160">
        <f>IF($BA$677&gt;0,'Assumptions (Wind)'!X14*Model!$BA$677*AVERAGE('Assumptions (Wind)'!$AX$2:$AY$2)/10^9,0)</f>
        <v>0.1126623817</v>
      </c>
      <c r="BD888" s="160">
        <f>IF($BA$677&gt;0,'Assumptions (Wind)'!Y14*Model!$BA$677*AVERAGE('Assumptions (Wind)'!$AX$2:$AY$2)/10^9,0)</f>
        <v>0.067597429</v>
      </c>
      <c r="BE888" s="160">
        <f>IF($BA$677&gt;0,'Assumptions (Wind)'!Z14*Model!$BA$677*AVERAGE('Assumptions (Wind)'!$AX$2:$AY$2)/10^9,0)</f>
        <v>0.067597429</v>
      </c>
      <c r="BF888" s="160">
        <f>IF($BA$677&gt;0,'Assumptions (Wind)'!AA14*Model!$BA$677*AVERAGE('Assumptions (Wind)'!$AX$2:$AY$2)/10^9,0)</f>
        <v>0.0337987145</v>
      </c>
      <c r="BG888" s="160"/>
      <c r="BH888" s="160"/>
      <c r="BI888" s="160"/>
      <c r="BJ888" s="160"/>
      <c r="BK888" s="160"/>
      <c r="BL888" s="160"/>
      <c r="BM888" s="160"/>
      <c r="BN888" s="160"/>
      <c r="BO888" s="160"/>
      <c r="BP888" s="160"/>
      <c r="BQ888" s="160"/>
      <c r="BR888" s="160"/>
      <c r="BS888" s="160"/>
      <c r="BT888" s="160"/>
      <c r="BU888" s="160"/>
    </row>
    <row r="889" ht="15.75" customHeight="1" collapsed="1">
      <c r="A889" s="241" t="s">
        <v>62</v>
      </c>
      <c r="B889" s="159" t="s">
        <v>351</v>
      </c>
      <c r="C889" s="160">
        <f>IF(Model!C675+Model!C676-Model!C674-C837+C785&gt;0,(1-'Assumptions (Wind)'!B28)*(Model!C675+Model!C676-Model!C674-C837+C785)+C837-C732+C733,Model!C675+Model!C676-Model!C674+C785-C732+C733)</f>
        <v>-0.001185949093</v>
      </c>
      <c r="D889" s="160">
        <f>IF(Model!D675+Model!D676-Model!D674-D837+D785&gt;0,(1-'Assumptions (Wind)'!C28)*(Model!D675+Model!D676-Model!D674-D837+D785)+D837-D732+D733,Model!D675+Model!D676-Model!D674+D785-D732+D733)</f>
        <v>-0.0002626060998</v>
      </c>
      <c r="E889" s="160">
        <f>IF(Model!E675+Model!E676-Model!E674-E837+E785&gt;0,(1-'Assumptions (Wind)'!D28)*(Model!E675+Model!E676-Model!E674-E837+E785)+E837-E732+E733,Model!E675+Model!E676-Model!E674+E785-E732+E733)</f>
        <v>-0.00661897372</v>
      </c>
      <c r="F889" s="160">
        <f>IF(Model!F675+Model!F676-Model!F674-F837+F785&gt;0,(1-'Assumptions (Wind)'!E28)*(Model!F675+Model!F676-Model!F674-F837+F785)+F837-F732+F733,Model!F675+Model!F676-Model!F674+F785-F732+F733)</f>
        <v>-0.006088906701</v>
      </c>
      <c r="G889" s="160">
        <f>IF(Model!G675+Model!G676-Model!G674-G837+G785&gt;0,(1-'Assumptions (Wind)'!F28)*(Model!G675+Model!G676-Model!G674-G837+G785)+G837-G732+G733,Model!G675+Model!G676-Model!G674+G785-G732+G733)</f>
        <v>-0.003701001367</v>
      </c>
      <c r="H889" s="160">
        <f>IF(Model!H675+Model!H676-Model!H674-H837+H785&gt;0,(1-'Assumptions (Wind)'!G28)*(Model!H675+Model!H676-Model!H674-H837+H785)+H837-H732+H733,Model!H675+Model!H676-Model!H674+H785-H732+H733)</f>
        <v>-0.003712432776</v>
      </c>
      <c r="I889" s="160">
        <f>IF(Model!I675+Model!I676-Model!I674-I837+I785&gt;0,(1-'Assumptions (Wind)'!H28)*(Model!I675+Model!I676-Model!I674-I837+I785)+I837-I732+I733,Model!I675+Model!I676-Model!I674+I785-I732+I733)</f>
        <v>0.0006462496056</v>
      </c>
      <c r="J889" s="160">
        <f>IF(Model!J675+Model!J676-Model!J674-J837+J785&gt;0,(1-'Assumptions (Wind)'!I28)*(Model!J675+Model!J676-Model!J674-J837+J785)+J837-J732+J733,Model!J675+Model!J676-Model!J674+J785-J732+J733)</f>
        <v>0.001134553864</v>
      </c>
      <c r="K889" s="160">
        <f>IF(Model!K675+Model!K676-Model!K674-K837+K785&gt;0,(1-'Assumptions (Wind)'!J28)*(Model!K675+Model!K676-Model!K674-K837+K785)+K837-K732+K733,Model!K675+Model!K676-Model!K674+K785-K732+K733)</f>
        <v>0.001786168005</v>
      </c>
      <c r="L889" s="160">
        <f>IF(Model!L675+Model!L676-Model!L674-L837+L785&gt;0,(1-'Assumptions (Wind)'!K28)*(Model!L675+Model!L676-Model!L674-L837+L785)+L837-L732+L733,Model!L675+Model!L676-Model!L674+L785-L732+L733)</f>
        <v>0.0004413960196</v>
      </c>
      <c r="M889" s="160">
        <f>IF(Model!M675+Model!M676-Model!M674-M837+M785&gt;0,(1-'Assumptions (Wind)'!L28)*(Model!M675+Model!M676-Model!M674-M837+M785)+M837-M732+M733,Model!M675+Model!M676-Model!M674+M785-M732+M733)</f>
        <v>-0.000898999812</v>
      </c>
      <c r="N889" s="160">
        <f>IF(Model!N675+Model!N676-Model!N674-N837+N785&gt;0,(1-'Assumptions (Wind)'!M28)*(Model!N675+Model!N676-Model!N674-N837+N785)+N837-N732+N733,Model!N675+Model!N676-Model!N674+N785-N732+N733)</f>
        <v>-0.0004511968307</v>
      </c>
      <c r="O889" s="160">
        <f>IF(Model!O675+Model!O676-Model!O674-O837+O785&gt;0,(1-'Assumptions (Wind)'!N28)*(Model!O675+Model!O676-Model!O674-O837+O785)+O837-O732+O733,Model!O675+Model!O676-Model!O674+O785-O732+O733)</f>
        <v>-0.001099055657</v>
      </c>
      <c r="P889" s="160">
        <f>IF(Model!P675+Model!P676-Model!P674-P837+P785&gt;0,(1-'Assumptions (Wind)'!O28)*(Model!P675+Model!P676-Model!P674-P837+P785)+P837-P732+P733,Model!P675+Model!P676-Model!P674+P785-P732+P733)</f>
        <v>-0.001066612178</v>
      </c>
      <c r="Q889" s="160">
        <f>IF(Model!Q675+Model!Q676-Model!Q674-Q837+Q785&gt;0,(1-'Assumptions (Wind)'!P28)*(Model!Q675+Model!Q676-Model!Q674-Q837+Q785)+Q837-Q732+Q733,Model!Q675+Model!Q676-Model!Q674+Q785-Q732+Q733)</f>
        <v>-0.07010197156</v>
      </c>
      <c r="R889" s="160">
        <f>IF(Model!R675+Model!R676-Model!R674-R837+R785&gt;0,(1-'Assumptions (Wind)'!Q28)*(Model!R675+Model!R676-Model!R674-R837+R785)+R837-R732+R733,Model!R675+Model!R676-Model!R674+R785-R732+R733)</f>
        <v>-0.06491266644</v>
      </c>
      <c r="S889" s="160">
        <f>IF(Model!S675+Model!S676-Model!S674-S837+S785&gt;0,(1-'Assumptions (Wind)'!R28)*(Model!S675+Model!S676-Model!S674-S837+S785)+S837-S732+S733,Model!S675+Model!S676-Model!S674+S785-S732+S733)</f>
        <v>-0.03308653308</v>
      </c>
      <c r="T889" s="160">
        <f>IF(Model!T675+Model!T676-Model!T674-T837+T785&gt;0,(1-'Assumptions (Wind)'!S28)*(Model!T675+Model!T676-Model!T674-T837+T785)+T837-T732+T733,Model!T675+Model!T676-Model!T674+T785-T732+T733)</f>
        <v>-0.003598805899</v>
      </c>
      <c r="U889" s="160">
        <f>IF(Model!U675+Model!U676-Model!U674-U837+U785&gt;0,(1-'Assumptions (Wind)'!T28)*(Model!U675+Model!U676-Model!U674-U837+U785)+U837-U732+U733,Model!U675+Model!U676-Model!U674+U785-U732+U733)</f>
        <v>0.001364331548</v>
      </c>
      <c r="V889" s="160">
        <f>IF(Model!V675+Model!V676-Model!V674-V837+V785&gt;0,(1-'Assumptions (Wind)'!U28)*(Model!V675+Model!V676-Model!V674-V837+V785)+V837-V732+V733,Model!V675+Model!V676-Model!V674+V785-V732+V733)</f>
        <v>-0.04800166586</v>
      </c>
      <c r="W889" s="160">
        <f>IF(Model!W675+Model!W676-Model!W674-W837+W785&gt;0,(1-'Assumptions (Wind)'!V28)*(Model!W675+Model!W676-Model!W674-W837+W785)+W837-W732+W733,Model!W675+Model!W676-Model!W674+W785-W732+W733)</f>
        <v>-0.1002070382</v>
      </c>
      <c r="X889" s="160">
        <f>IF(Model!X675+Model!X676-Model!X674-X837+X785&gt;0,(1-'Assumptions (Wind)'!W28)*(Model!X675+Model!X676-Model!X674-X837+X785)+X837-X732+X733,Model!X675+Model!X676-Model!X674+X785-X732+X733)</f>
        <v>-0.0905186308</v>
      </c>
      <c r="Y889" s="160">
        <f>IF(Model!Y675+Model!Y676-Model!Y674-Y837+Y785&gt;0,(1-'Assumptions (Wind)'!X28)*(Model!Y675+Model!Y676-Model!Y674-Y837+Y785)+Y837-Y732+Y733,Model!Y675+Model!Y676-Model!Y674+Y785-Y732+Y733)</f>
        <v>-0.08018370052</v>
      </c>
      <c r="Z889" s="160">
        <f>IF(Model!Z675+Model!Z676-Model!Z674-Z837+Z785&gt;0,(1-'Assumptions (Wind)'!Y28)*(Model!Z675+Model!Z676-Model!Z674-Z837+Z785)+Z837-Z732+Z733,Model!Z675+Model!Z676-Model!Z674+Z785-Z732+Z733)</f>
        <v>-0.06724036377</v>
      </c>
      <c r="AA889" s="160">
        <f>IF(Model!AA675+Model!AA676-Model!AA674-AA837+AA785&gt;0,(1-'Assumptions (Wind)'!Z28)*(Model!AA675+Model!AA676-Model!AA674-AA837+AA785)+AA837-AA732+AA733,Model!AA675+Model!AA676-Model!AA674+AA785-AA732+AA733)</f>
        <v>-0.05298364408</v>
      </c>
      <c r="AB889" s="160">
        <f>IF(Model!AB675+Model!AB676-Model!AB674-AB837+AB785&gt;0,(1-'Assumptions (Wind)'!AA28)*(Model!AB675+Model!AB676-Model!AB674-AB837+AB785)+AB837-AB732+AB733,Model!AB675+Model!AB676-Model!AB674+AB785-AB732+AB733)</f>
        <v>-0.03475509297</v>
      </c>
      <c r="AC889" s="160">
        <f>IF(Model!AC675+Model!AC676-Model!AC674-AC837+AC785&gt;0,(1-'Assumptions (Wind)'!AB28)*(Model!AC675+Model!AC676-Model!AC674-AC837+AC785)+AC837-AC732+AC733,Model!AC675+Model!AC676-Model!AC674+AC785-AC732+AC733)</f>
        <v>0.01394072419</v>
      </c>
      <c r="AD889" s="160">
        <f>IF(Model!AD675+Model!AD676-Model!AD674-AD837+AD785&gt;0,(1-'Assumptions (Wind)'!AC28)*(Model!AD675+Model!AD676-Model!AD674-AD837+AD785)+AD837-AD732+AD733,Model!AD675+Model!AD676-Model!AD674+AD785-AD732+AD733)</f>
        <v>0.03378902065</v>
      </c>
      <c r="AE889" s="160">
        <f>IF(Model!AE675+Model!AE676-Model!AE674-AE837+AE785&gt;0,(1-'Assumptions (Wind)'!AD28)*(Model!AE675+Model!AE676-Model!AE674-AE837+AE785)+AE837-AE732+AE733,Model!AE675+Model!AE676-Model!AE674+AE785-AE732+AE733)</f>
        <v>0.05271787456</v>
      </c>
      <c r="AF889" s="160">
        <f>IF(Model!AF675+Model!AF676-Model!AF674-AF837+AF785&gt;0,(1-'Assumptions (Wind)'!AE28)*(Model!AF675+Model!AF676-Model!AF674-AF837+AF785)+AF837-AF732+AF733,Model!AF675+Model!AF676-Model!AF674+AF785-AF732+AF733)</f>
        <v>0.06810074361</v>
      </c>
      <c r="AG889" s="160">
        <f>IF(Model!AG675+Model!AG676-Model!AG674-AG837+AG785&gt;0,(1-'Assumptions (Wind)'!AF28)*(Model!AG675+Model!AG676-Model!AG674-AG837+AG785)+AG837-AG732+AG733,Model!AG675+Model!AG676-Model!AG674+AG785-AG732+AG733)</f>
        <v>0.07425763953</v>
      </c>
      <c r="AH889" s="160">
        <f>IF(Model!AH675+Model!AH676-Model!AH674-AH837+AH785&gt;0,(1-'Assumptions (Wind)'!AG28)*(Model!AH675+Model!AH676-Model!AH674-AH837+AH785)+AH837-AH732+AH733,Model!AH675+Model!AH676-Model!AH674+AH785-AH732+AH733)</f>
        <v>0.1131125264</v>
      </c>
      <c r="AI889" s="160">
        <f>IF(Model!AI675+Model!AI676-Model!AI674-AI837+AI785&gt;0,(1-'Assumptions (Wind)'!AH28)*(Model!AI675+Model!AI676-Model!AI674-AI837+AI785)+AI837-AI732+AI733,Model!AI675+Model!AI676-Model!AI674+AI785-AI732+AI733)</f>
        <v>0.1609572125</v>
      </c>
      <c r="AJ889" s="160">
        <f>IF(Model!AJ675+Model!AJ676-Model!AJ674-AJ837+AJ785&gt;0,(1-'Assumptions (Wind)'!AI28)*(Model!AJ675+Model!AJ676-Model!AJ674-AJ837+AJ785)+AJ837-AJ732+AJ733,Model!AJ675+Model!AJ676-Model!AJ674+AJ785-AJ732+AJ733)</f>
        <v>0.2013013534</v>
      </c>
      <c r="AK889" s="160">
        <f>IF(Model!AK675+Model!AK676-Model!AK674-AK837+AK785&gt;0,(1-'Assumptions (Wind)'!AJ28)*(Model!AK675+Model!AK676-Model!AK674-AK837+AK785)+AK837-AK732+AK733,Model!AK675+Model!AK676-Model!AK674+AK785-AK732+AK733)</f>
        <v>0.2405001634</v>
      </c>
      <c r="AL889" s="160">
        <f>IF(Model!AL675+Model!AL676-Model!AL674-AL837+AL785&gt;0,(1-'Assumptions (Wind)'!AK28)*(Model!AL675+Model!AL676-Model!AL674-AL837+AL785)+AL837-AL732+AL733,Model!AL675+Model!AL676-Model!AL674+AL785-AL732+AL733)</f>
        <v>0.2848710482</v>
      </c>
      <c r="AM889" s="160">
        <f>IF(Model!AM675+Model!AM676-Model!AM674-AM837+AM785&gt;0,(1-'Assumptions (Wind)'!AL28)*(Model!AM675+Model!AM676-Model!AM674-AM837+AM785)+AM837-AM732+AM733,Model!AM675+Model!AM676-Model!AM674+AM785-AM732+AM733)</f>
        <v>0.3312887082</v>
      </c>
      <c r="AN889" s="160">
        <f>IF(Model!AN675+Model!AN676-Model!AN674-AN837+AN785&gt;0,(1-'Assumptions (Wind)'!AM28)*(Model!AN675+Model!AN676-Model!AN674-AN837+AN785)+AN837-AN732+AN733,Model!AN675+Model!AN676-Model!AN674+AN785-AN732+AN733)</f>
        <v>0.3777786406</v>
      </c>
      <c r="AO889" s="160">
        <f>IF(Model!AO675+Model!AO676-Model!AO674-AO837+AO785&gt;0,(1-'Assumptions (Wind)'!AN28)*(Model!AO675+Model!AO676-Model!AO674-AO837+AO785)+AO837-AO732+AO733,Model!AO675+Model!AO676-Model!AO674+AO785-AO732+AO733)</f>
        <v>0.4282302537</v>
      </c>
      <c r="AP889" s="160">
        <f>IF(Model!AP675+Model!AP676-Model!AP674-AP837+AP785&gt;0,(1-'Assumptions (Wind)'!AO28)*(Model!AP675+Model!AP676-Model!AP674-AP837+AP785)+AP837-AP732+AP733,Model!AP675+Model!AP676-Model!AP674+AP785-AP732+AP733)</f>
        <v>0.4842133252</v>
      </c>
      <c r="AQ889" s="160">
        <f>IF(Model!AQ675+Model!AQ676-Model!AQ674-AQ837+AQ785&gt;0,(1-'Assumptions (Wind)'!AP28)*(Model!AQ675+Model!AQ676-Model!AQ674-AQ837+AQ785)+AQ837-AQ732+AQ733,Model!AQ675+Model!AQ676-Model!AQ674+AQ785-AQ732+AQ733)</f>
        <v>0.5366367068</v>
      </c>
      <c r="AR889" s="160">
        <f>IF(Model!AR675+Model!AR676-Model!AR674-AR837+AR785&gt;0,(1-'Assumptions (Wind)'!AQ28)*(Model!AR675+Model!AR676-Model!AR674-AR837+AR785)+AR837-AR732+AR733,Model!AR675+Model!AR676-Model!AR674+AR785-AR732+AR733)</f>
        <v>0.5895947048</v>
      </c>
      <c r="AS889" s="160">
        <f>IF(Model!AS675+Model!AS676-Model!AS674-AS837+AS785&gt;0,(1-'Assumptions (Wind)'!AR28)*(Model!AS675+Model!AS676-Model!AS674-AS837+AS785)+AS837-AS732+AS733,Model!AS675+Model!AS676-Model!AS674+AS785-AS732+AS733)</f>
        <v>0.5771697931</v>
      </c>
      <c r="AT889" s="160">
        <f>IF(Model!AT675+Model!AT676-Model!AT674-AT837+AT785&gt;0,(1-'Assumptions (Wind)'!AS28)*(Model!AT675+Model!AT676-Model!AT674-AT837+AT785)+AT837-AT732+AT733,Model!AT675+Model!AT676-Model!AT674+AT785-AT732+AT733)</f>
        <v>0.6338652317</v>
      </c>
      <c r="AU889" s="160">
        <f>IF(Model!AU675+Model!AU676-Model!AU674-AU837+AU785&gt;0,(1-'Assumptions (Wind)'!AT28)*(Model!AU675+Model!AU676-Model!AU674-AU837+AU785)+AU837-AU732+AU733,Model!AU675+Model!AU676-Model!AU674+AU785-AU732+AU733)</f>
        <v>0.75568632</v>
      </c>
      <c r="AV889" s="160">
        <f>IF(Model!AV675+Model!AV676-Model!AV674-AV837+AV785&gt;0,(1-'Assumptions (Wind)'!AU28)*(Model!AV675+Model!AV676-Model!AV674-AV837+AV785)+AV837-AV732+AV733,Model!AV675+Model!AV676-Model!AV674+AV785-AV732+AV733)</f>
        <v>0.8275937229</v>
      </c>
      <c r="AW889" s="160">
        <f>IF(Model!AW675+Model!AW676-Model!AW674-AW837+AW785&gt;0,(1-'Assumptions (Wind)'!AV28)*(Model!AW675+Model!AW676-Model!AW674-AW837+AW785)+AW837-AW732+AW733,Model!AW675+Model!AW676-Model!AW674+AW785-AW732+AW733)</f>
        <v>0.884911897</v>
      </c>
      <c r="AX889" s="160">
        <f>IF(Model!AX675+Model!AX676-Model!AX674-AX837+AX785&gt;0,(1-'Assumptions (Wind)'!AW28)*(Model!AX675+Model!AX676-Model!AX674-AX837+AX785)+AX837-AX732+AX733,Model!AX675+Model!AX676-Model!AX674+AX785-AX732+AX733)</f>
        <v>0.8894984174</v>
      </c>
      <c r="AY889" s="160">
        <f>IF(Model!AY675+Model!AY676-Model!AY674-AY837+AY785&gt;0,(1-'Assumptions (Wind)'!AX28)*(Model!AY675+Model!AY676-Model!AY674-AY837+AY785)+AY837-AY732+AY733,Model!AY675+Model!AY676-Model!AY674+AY785-AY732+AY733)</f>
        <v>0.9234018264</v>
      </c>
      <c r="AZ889" s="160">
        <f>IF(Model!AZ675+Model!AZ676-Model!AZ674-AZ837+AZ785&gt;0,(1-'Assumptions (Wind)'!AY28)*(Model!AZ675+Model!AZ676-Model!AZ674-AZ837+AZ785)+AZ837-AZ732+AZ733,Model!AZ675+Model!AZ676-Model!AZ674+AZ785-AZ732+AZ733)</f>
        <v>1.114666587</v>
      </c>
      <c r="BA889" s="160">
        <f>IF(Model!BA675+Model!BA676-Model!BA674-BA837+BA785&gt;0,(1-'Assumptions (Wind)'!AZ28)*(Model!BA675+Model!BA676-Model!BA674-BA837+BA785)+BA837-BA732+BA733,Model!BA675+Model!BA676-Model!BA674+BA785-BA732+BA733)</f>
        <v>1.300850037</v>
      </c>
    </row>
    <row r="890" ht="15.75" customHeight="1">
      <c r="A890" s="241" t="s">
        <v>64</v>
      </c>
      <c r="B890" s="159" t="s">
        <v>351</v>
      </c>
      <c r="C890" s="160">
        <f>IF(Model!C675+Model!C676-Model!C674-C837+C785&gt;0,'Assumptions (Wind)'!B28*(Model!C675+Model!C676-Model!C674-C837+C785)-'Assumptions (Wind)'!B29*Model!C673/10^3,-'Assumptions (Wind)'!B29*Model!C673/10^3)</f>
        <v>0</v>
      </c>
      <c r="D890" s="160">
        <f>IF(Model!D675+Model!D676-Model!D674-D837+D785&gt;0,'Assumptions (Wind)'!C28*(Model!D675+Model!D676-Model!D674-D837+D785)-'Assumptions (Wind)'!C29*Model!D673/10^3,-'Assumptions (Wind)'!C29*Model!D673/10^3)</f>
        <v>0</v>
      </c>
      <c r="E890" s="160">
        <f>IF(Model!E675+Model!E676-Model!E674-E837+E785&gt;0,'Assumptions (Wind)'!D28*(Model!E675+Model!E676-Model!E674-E837+E785)-'Assumptions (Wind)'!D29*Model!E673/10^3,-'Assumptions (Wind)'!D29*Model!E673/10^3)</f>
        <v>-0.00004259161553</v>
      </c>
      <c r="F890" s="160">
        <f>IF(Model!F675+Model!F676-Model!F674-F837+F785&gt;0,'Assumptions (Wind)'!E28*(Model!F675+Model!F676-Model!F674-F837+F785)-'Assumptions (Wind)'!E29*Model!F673/10^3,-'Assumptions (Wind)'!E29*Model!F673/10^3)</f>
        <v>-0.00004117817696</v>
      </c>
      <c r="G890" s="160">
        <f>IF(Model!G675+Model!G676-Model!G674-G837+G785&gt;0,'Assumptions (Wind)'!F28*(Model!G675+Model!G676-Model!G674-G837+G785)-'Assumptions (Wind)'!F29*Model!G673/10^3,-'Assumptions (Wind)'!F29*Model!G673/10^3)</f>
        <v>-0.00003992178712</v>
      </c>
      <c r="H890" s="160">
        <f>IF(Model!H675+Model!H676-Model!H674-H837+H785&gt;0,'Assumptions (Wind)'!G28*(Model!H675+Model!H676-Model!H674-H837+H785)-'Assumptions (Wind)'!G29*Model!H673/10^3,-'Assumptions (Wind)'!G29*Model!H673/10^3)</f>
        <v>-0.00003555303062</v>
      </c>
      <c r="I890" s="160">
        <f>IF(Model!I675+Model!I676-Model!I674-I837+I785&gt;0,'Assumptions (Wind)'!H28*(Model!I675+Model!I676-Model!I674-I837+I785)-'Assumptions (Wind)'!H29*Model!I673/10^3,-'Assumptions (Wind)'!H29*Model!I673/10^3)</f>
        <v>-0.0005991546984</v>
      </c>
      <c r="J890" s="160">
        <f>IF(Model!J675+Model!J676-Model!J674-J837+J785&gt;0,'Assumptions (Wind)'!I28*(Model!J675+Model!J676-Model!J674-J837+J785)-'Assumptions (Wind)'!I29*Model!J673/10^3,-'Assumptions (Wind)'!I29*Model!J673/10^3)</f>
        <v>-0.0005774391978</v>
      </c>
      <c r="K890" s="160">
        <f>IF(Model!K675+Model!K676-Model!K674-K837+K785&gt;0,'Assumptions (Wind)'!J28*(Model!K675+Model!K676-Model!K674-K837+K785)-'Assumptions (Wind)'!J29*Model!K673/10^3,-'Assumptions (Wind)'!J29*Model!K673/10^3)</f>
        <v>-0.0005453190798</v>
      </c>
      <c r="L890" s="160">
        <f>IF(Model!L675+Model!L676-Model!L674-L837+L785&gt;0,'Assumptions (Wind)'!K28*(Model!L675+Model!L676-Model!L674-L837+L785)-'Assumptions (Wind)'!K29*Model!L673/10^3,-'Assumptions (Wind)'!K29*Model!L673/10^3)</f>
        <v>-0.0003444993499</v>
      </c>
      <c r="M890" s="160">
        <f>IF(Model!M675+Model!M676-Model!M674-M837+M785&gt;0,'Assumptions (Wind)'!L28*(Model!M675+Model!M676-Model!M674-M837+M785)-'Assumptions (Wind)'!L29*Model!M673/10^3,-'Assumptions (Wind)'!L29*Model!M673/10^3)</f>
        <v>0.0001322010068</v>
      </c>
      <c r="N890" s="160">
        <f>IF(Model!N675+Model!N676-Model!N674-N837+N785&gt;0,'Assumptions (Wind)'!M28*(Model!N675+Model!N676-Model!N674-N837+N785)-'Assumptions (Wind)'!M29*Model!N673/10^3,-'Assumptions (Wind)'!M29*Model!N673/10^3)</f>
        <v>0.0002925258191</v>
      </c>
      <c r="O890" s="160">
        <f>IF(Model!O675+Model!O676-Model!O674-O837+O785&gt;0,'Assumptions (Wind)'!N28*(Model!O675+Model!O676-Model!O674-O837+O785)-'Assumptions (Wind)'!N29*Model!O673/10^3,-'Assumptions (Wind)'!N29*Model!O673/10^3)</f>
        <v>0.00009973232469</v>
      </c>
      <c r="P890" s="160">
        <f>IF(Model!P675+Model!P676-Model!P674-P837+P785&gt;0,'Assumptions (Wind)'!O28*(Model!P675+Model!P676-Model!P674-P837+P785)-'Assumptions (Wind)'!O29*Model!P673/10^3,-'Assumptions (Wind)'!O29*Model!P673/10^3)</f>
        <v>0.0002262857817</v>
      </c>
      <c r="Q890" s="160">
        <f>IF(Model!Q675+Model!Q676-Model!Q674-Q837+Q785&gt;0,'Assumptions (Wind)'!P28*(Model!Q675+Model!Q676-Model!Q674-Q837+Q785)-'Assumptions (Wind)'!P29*Model!Q673/10^3,-'Assumptions (Wind)'!P29*Model!Q673/10^3)</f>
        <v>0.0004418439245</v>
      </c>
      <c r="R890" s="160">
        <f>IF(Model!R675+Model!R676-Model!R674-R837+R785&gt;0,'Assumptions (Wind)'!Q28*(Model!R675+Model!R676-Model!R674-R837+R785)-'Assumptions (Wind)'!Q29*Model!R673/10^3,-'Assumptions (Wind)'!Q29*Model!R673/10^3)</f>
        <v>0.0001641087109</v>
      </c>
      <c r="S890" s="160">
        <f>IF(Model!S675+Model!S676-Model!S674-S837+S785&gt;0,'Assumptions (Wind)'!R28*(Model!S675+Model!S676-Model!S674-S837+S785)-'Assumptions (Wind)'!R29*Model!S673/10^3,-'Assumptions (Wind)'!R29*Model!S673/10^3)</f>
        <v>-0.0006191737412</v>
      </c>
      <c r="T890" s="160">
        <f>IF(Model!T675+Model!T676-Model!T674-T837+T785&gt;0,'Assumptions (Wind)'!S28*(Model!T675+Model!T676-Model!T674-T837+T785)-'Assumptions (Wind)'!S29*Model!T673/10^3,-'Assumptions (Wind)'!S29*Model!T673/10^3)</f>
        <v>-0.007160494441</v>
      </c>
      <c r="U890" s="160">
        <f>IF(Model!U675+Model!U676-Model!U674-U837+U785&gt;0,'Assumptions (Wind)'!T28*(Model!U675+Model!U676-Model!U674-U837+U785)-'Assumptions (Wind)'!T29*Model!U673/10^3,-'Assumptions (Wind)'!T29*Model!U673/10^3)</f>
        <v>-0.008450543566</v>
      </c>
      <c r="V890" s="160">
        <f>IF(Model!V675+Model!V676-Model!V674-V837+V785&gt;0,'Assumptions (Wind)'!U28*(Model!V675+Model!V676-Model!V674-V837+V785)-'Assumptions (Wind)'!U29*Model!V673/10^3,-'Assumptions (Wind)'!U29*Model!V673/10^3)</f>
        <v>-0.009579135799</v>
      </c>
      <c r="W890" s="160">
        <f>IF(Model!W675+Model!W676-Model!W674-W837+W785&gt;0,'Assumptions (Wind)'!V28*(Model!W675+Model!W676-Model!W674-W837+W785)-'Assumptions (Wind)'!V29*Model!W673/10^3,-'Assumptions (Wind)'!V29*Model!W673/10^3)</f>
        <v>-0.0097697054</v>
      </c>
      <c r="X890" s="160">
        <f>IF(Model!X675+Model!X676-Model!X674-X837+X785&gt;0,'Assumptions (Wind)'!W28*(Model!X675+Model!X676-Model!X674-X837+X785)-'Assumptions (Wind)'!W29*Model!X673/10^3,-'Assumptions (Wind)'!W29*Model!X673/10^3)</f>
        <v>-0.01818694805</v>
      </c>
      <c r="Y890" s="160">
        <f>IF(Model!Y675+Model!Y676-Model!Y674-Y837+Y785&gt;0,'Assumptions (Wind)'!X28*(Model!Y675+Model!Y676-Model!Y674-Y837+Y785)-'Assumptions (Wind)'!X29*Model!Y673/10^3,-'Assumptions (Wind)'!X29*Model!Y673/10^3)</f>
        <v>-0.02693523329</v>
      </c>
      <c r="Z890" s="160">
        <f>IF(Model!Z675+Model!Z676-Model!Z674-Z837+Z785&gt;0,'Assumptions (Wind)'!Y28*(Model!Z675+Model!Z676-Model!Z674-Z837+Z785)-'Assumptions (Wind)'!Y29*Model!Z673/10^3,-'Assumptions (Wind)'!Y29*Model!Z673/10^3)</f>
        <v>-0.0360244014</v>
      </c>
      <c r="AA890" s="160">
        <f>IF(Model!AA675+Model!AA676-Model!AA674-AA837+AA785&gt;0,'Assumptions (Wind)'!Z28*(Model!AA675+Model!AA676-Model!AA674-AA837+AA785)-'Assumptions (Wind)'!Z29*Model!AA673/10^3,-'Assumptions (Wind)'!Z29*Model!AA673/10^3)</f>
        <v>-0.04546455322</v>
      </c>
      <c r="AB890" s="160">
        <f>IF(Model!AB675+Model!AB676-Model!AB674-AB837+AB785&gt;0,'Assumptions (Wind)'!AA28*(Model!AB675+Model!AB676-Model!AB674-AB837+AB785)-'Assumptions (Wind)'!AA29*Model!AB673/10^3,-'Assumptions (Wind)'!AA29*Model!AB673/10^3)</f>
        <v>-0.05526605651</v>
      </c>
      <c r="AC890" s="160">
        <f>IF(Model!AC675+Model!AC676-Model!AC674-AC837+AC785&gt;0,'Assumptions (Wind)'!AB28*(Model!AC675+Model!AC676-Model!AC674-AC837+AC785)-'Assumptions (Wind)'!AB29*Model!AC673/10^3,-'Assumptions (Wind)'!AB29*Model!AC673/10^3)</f>
        <v>-0.06543955267</v>
      </c>
      <c r="AD890" s="160">
        <f>IF(Model!AD675+Model!AD676-Model!AD674-AD837+AD785&gt;0,'Assumptions (Wind)'!AC28*(Model!AD675+Model!AD676-Model!AD674-AD837+AD785)-'Assumptions (Wind)'!AC29*Model!AD673/10^3,-'Assumptions (Wind)'!AC29*Model!AD673/10^3)</f>
        <v>-0.07599596349</v>
      </c>
      <c r="AE890" s="160">
        <f>IF(Model!AE675+Model!AE676-Model!AE674-AE837+AE785&gt;0,'Assumptions (Wind)'!AD28*(Model!AE675+Model!AE676-Model!AE674-AE837+AE785)-'Assumptions (Wind)'!AD29*Model!AE673/10^3,-'Assumptions (Wind)'!AD29*Model!AE673/10^3)</f>
        <v>-0.08467753069</v>
      </c>
      <c r="AF890" s="160">
        <f>IF(Model!AF675+Model!AF676-Model!AF674-AF837+AF785&gt;0,'Assumptions (Wind)'!AE28*(Model!AF675+Model!AF676-Model!AF674-AF837+AF785)-'Assumptions (Wind)'!AE29*Model!AF673/10^3,-'Assumptions (Wind)'!AE29*Model!AF673/10^3)</f>
        <v>-0.08646803617</v>
      </c>
      <c r="AG890" s="160">
        <f>IF(Model!AG675+Model!AG676-Model!AG674-AG837+AG785&gt;0,'Assumptions (Wind)'!AF28*(Model!AG675+Model!AG676-Model!AG674-AG837+AG785)-'Assumptions (Wind)'!AF29*Model!AG673/10^3,-'Assumptions (Wind)'!AF29*Model!AG673/10^3)</f>
        <v>-0.08815330001</v>
      </c>
      <c r="AH890" s="160">
        <f>IF(Model!AH675+Model!AH676-Model!AH674-AH837+AH785&gt;0,'Assumptions (Wind)'!AG28*(Model!AH675+Model!AH676-Model!AH674-AH837+AH785)-'Assumptions (Wind)'!AG29*Model!AH673/10^3,-'Assumptions (Wind)'!AG29*Model!AH673/10^3)</f>
        <v>-0.08934134481</v>
      </c>
      <c r="AI890" s="160">
        <f>IF(Model!AI675+Model!AI676-Model!AI674-AI837+AI785&gt;0,'Assumptions (Wind)'!AH28*(Model!AI675+Model!AI676-Model!AI674-AI837+AI785)-'Assumptions (Wind)'!AH29*Model!AI673/10^3,-'Assumptions (Wind)'!AH29*Model!AI673/10^3)</f>
        <v>-0.09301450239</v>
      </c>
      <c r="AJ890" s="160">
        <f>IF(Model!AJ675+Model!AJ676-Model!AJ674-AJ837+AJ785&gt;0,'Assumptions (Wind)'!AI28*(Model!AJ675+Model!AJ676-Model!AJ674-AJ837+AJ785)-'Assumptions (Wind)'!AI29*Model!AJ673/10^3,-'Assumptions (Wind)'!AI29*Model!AJ673/10^3)</f>
        <v>-0.0964788461</v>
      </c>
      <c r="AK890" s="160">
        <f>IF(Model!AK675+Model!AK676-Model!AK674-AK837+AK785&gt;0,'Assumptions (Wind)'!AJ28*(Model!AK675+Model!AK676-Model!AK674-AK837+AK785)-'Assumptions (Wind)'!AJ29*Model!AK673/10^3,-'Assumptions (Wind)'!AJ29*Model!AK673/10^3)</f>
        <v>-0.09808889546</v>
      </c>
      <c r="AL890" s="160">
        <f>IF(Model!AL675+Model!AL676-Model!AL674-AL837+AL785&gt;0,'Assumptions (Wind)'!AK28*(Model!AL675+Model!AL676-Model!AL674-AL837+AL785)-'Assumptions (Wind)'!AK29*Model!AL673/10^3,-'Assumptions (Wind)'!AK29*Model!AL673/10^3)</f>
        <v>-0.09957746859</v>
      </c>
      <c r="AM890" s="160">
        <f>IF(Model!AM675+Model!AM676-Model!AM674-AM837+AM785&gt;0,'Assumptions (Wind)'!AL28*(Model!AM675+Model!AM676-Model!AM674-AM837+AM785)-'Assumptions (Wind)'!AL29*Model!AM673/10^3,-'Assumptions (Wind)'!AL29*Model!AM673/10^3)</f>
        <v>-0.1020383511</v>
      </c>
      <c r="AN890" s="160">
        <f>IF(Model!AN675+Model!AN676-Model!AN674-AN837+AN785&gt;0,'Assumptions (Wind)'!AM28*(Model!AN675+Model!AN676-Model!AN674-AN837+AN785)-'Assumptions (Wind)'!AM29*Model!AN673/10^3,-'Assumptions (Wind)'!AM29*Model!AN673/10^3)</f>
        <v>-0.1043375164</v>
      </c>
      <c r="AO890" s="160">
        <f>IF(Model!AO675+Model!AO676-Model!AO674-AO837+AO785&gt;0,'Assumptions (Wind)'!AN28*(Model!AO675+Model!AO676-Model!AO674-AO837+AO785)-'Assumptions (Wind)'!AN29*Model!AO673/10^3,-'Assumptions (Wind)'!AN29*Model!AO673/10^3)</f>
        <v>-0.1061710761</v>
      </c>
      <c r="AP890" s="160">
        <f>IF(Model!AP675+Model!AP676-Model!AP674-AP837+AP785&gt;0,'Assumptions (Wind)'!AO28*(Model!AP675+Model!AP676-Model!AP674-AP837+AP785)-'Assumptions (Wind)'!AO29*Model!AP673/10^3,-'Assumptions (Wind)'!AO29*Model!AP673/10^3)</f>
        <v>-0.1075791663</v>
      </c>
      <c r="AQ890" s="160">
        <f>IF(Model!AQ675+Model!AQ676-Model!AQ674-AQ837+AQ785&gt;0,'Assumptions (Wind)'!AP28*(Model!AQ675+Model!AQ676-Model!AQ674-AQ837+AQ785)-'Assumptions (Wind)'!AP29*Model!AQ673/10^3,-'Assumptions (Wind)'!AP29*Model!AQ673/10^3)</f>
        <v>-0.1104170472</v>
      </c>
      <c r="AR890" s="160">
        <f>IF(Model!AR675+Model!AR676-Model!AR674-AR837+AR785&gt;0,'Assumptions (Wind)'!AQ28*(Model!AR675+Model!AR676-Model!AR674-AR837+AR785)-'Assumptions (Wind)'!AQ29*Model!AR673/10^3,-'Assumptions (Wind)'!AQ29*Model!AR673/10^3)</f>
        <v>-0.1135476099</v>
      </c>
      <c r="AS890" s="160">
        <f>IF(Model!AS675+Model!AS676-Model!AS674-AS837+AS785&gt;0,'Assumptions (Wind)'!AR28*(Model!AS675+Model!AS676-Model!AS674-AS837+AS785)-'Assumptions (Wind)'!AR29*Model!AS673/10^3,-'Assumptions (Wind)'!AR29*Model!AS673/10^3)</f>
        <v>-0.1156907865</v>
      </c>
      <c r="AT890" s="160">
        <f>IF(Model!AT675+Model!AT676-Model!AT674-AT837+AT785&gt;0,'Assumptions (Wind)'!AS28*(Model!AT675+Model!AT676-Model!AT674-AT837+AT785)-'Assumptions (Wind)'!AS29*Model!AT673/10^3,-'Assumptions (Wind)'!AS29*Model!AT673/10^3)</f>
        <v>-0.1189199731</v>
      </c>
      <c r="AU890" s="160">
        <f>IF(Model!AU675+Model!AU676-Model!AU674-AU837+AU785&gt;0,'Assumptions (Wind)'!AT28*(Model!AU675+Model!AU676-Model!AU674-AU837+AU785)-'Assumptions (Wind)'!AT29*Model!AU673/10^3,-'Assumptions (Wind)'!AT29*Model!AU673/10^3)</f>
        <v>-0.1415666141</v>
      </c>
      <c r="AV890" s="160">
        <f>IF(Model!AV675+Model!AV676-Model!AV674-AV837+AV785&gt;0,'Assumptions (Wind)'!AU28*(Model!AV675+Model!AV676-Model!AV674-AV837+AV785)-'Assumptions (Wind)'!AU29*Model!AV673/10^3,-'Assumptions (Wind)'!AU29*Model!AV673/10^3)</f>
        <v>-0.1538304029</v>
      </c>
      <c r="AW890" s="160">
        <f>IF(Model!AW675+Model!AW676-Model!AW674-AW837+AW785&gt;0,'Assumptions (Wind)'!AV28*(Model!AW675+Model!AW676-Model!AW674-AW837+AW785)-'Assumptions (Wind)'!AV29*Model!AW673/10^3,-'Assumptions (Wind)'!AV29*Model!AW673/10^3)</f>
        <v>-0.1457231034</v>
      </c>
      <c r="AX890" s="160">
        <f>IF(Model!AX675+Model!AX676-Model!AX674-AX837+AX785&gt;0,'Assumptions (Wind)'!AW28*(Model!AX675+Model!AX676-Model!AX674-AX837+AX785)-'Assumptions (Wind)'!AW29*Model!AX673/10^3,-'Assumptions (Wind)'!AW29*Model!AX673/10^3)</f>
        <v>-0.1419815946</v>
      </c>
      <c r="AY890" s="160">
        <f>IF(Model!AY675+Model!AY676-Model!AY674-AY837+AY785&gt;0,'Assumptions (Wind)'!AX28*(Model!AY675+Model!AY676-Model!AY674-AY837+AY785)-'Assumptions (Wind)'!AX29*Model!AY673/10^3,-'Assumptions (Wind)'!AX29*Model!AY673/10^3)</f>
        <v>-0.1386138265</v>
      </c>
      <c r="AZ890" s="160">
        <f>IF(Model!AZ675+Model!AZ676-Model!AZ674-AZ837+AZ785&gt;0,'Assumptions (Wind)'!AY28*(Model!AZ675+Model!AZ676-Model!AZ674-AZ837+AZ785)-'Assumptions (Wind)'!AY29*Model!AZ673/10^3,-'Assumptions (Wind)'!AY29*Model!AZ673/10^3)</f>
        <v>-0.1473600184</v>
      </c>
      <c r="BA890" s="160">
        <f>IF(Model!BA675+Model!BA676-Model!BA674-BA837+BA785&gt;0,'Assumptions (Wind)'!AZ28*(Model!BA675+Model!BA676-Model!BA674-BA837+BA785)-'Assumptions (Wind)'!AZ29*Model!BA673/10^3,-'Assumptions (Wind)'!AZ29*Model!BA673/10^3)</f>
        <v>-0.1676294259</v>
      </c>
    </row>
    <row r="891" ht="15.75" customHeight="1">
      <c r="A891" s="245" t="s">
        <v>363</v>
      </c>
      <c r="B891" s="246" t="s">
        <v>364</v>
      </c>
      <c r="C891" s="247">
        <f>'Assumptions (Wind)'!$V$27*C677/10^9</f>
        <v>0.0011142</v>
      </c>
      <c r="D891" s="247">
        <f>'Assumptions (Wind)'!$V$27*D677/10^9</f>
        <v>0</v>
      </c>
      <c r="E891" s="247">
        <f>'Assumptions (Wind)'!$V$27*E677/10^9</f>
        <v>0</v>
      </c>
      <c r="F891" s="247">
        <f>'Assumptions (Wind)'!$V$27*F677/10^9</f>
        <v>0</v>
      </c>
      <c r="G891" s="247">
        <f>'Assumptions (Wind)'!$V$27*G677/10^9</f>
        <v>0.016713</v>
      </c>
      <c r="H891" s="247">
        <f>'Assumptions (Wind)'!$V$27*H677/10^9</f>
        <v>0</v>
      </c>
      <c r="I891" s="247">
        <f>'Assumptions (Wind)'!$V$27*I677/10^9</f>
        <v>0</v>
      </c>
      <c r="J891" s="247">
        <f>'Assumptions (Wind)'!$V$27*J677/10^9</f>
        <v>0</v>
      </c>
      <c r="K891" s="247">
        <f>'Assumptions (Wind)'!$V$27*K677/1000000000</f>
        <v>0</v>
      </c>
      <c r="L891" s="247">
        <f>'Assumptions (Wind)'!$V$27*L677/1000000000</f>
        <v>0</v>
      </c>
      <c r="M891" s="247">
        <f>'Assumptions (Wind)'!$V$27*M677/1000000000</f>
        <v>0</v>
      </c>
      <c r="N891" s="247">
        <f>'Assumptions (Wind)'!$V$27*N677/1000000000</f>
        <v>0</v>
      </c>
      <c r="O891" s="247">
        <f>'Assumptions (Wind)'!$V$27*O677/1000000000</f>
        <v>0</v>
      </c>
      <c r="P891" s="247">
        <f>'Assumptions (Wind)'!$V$27*P677/1000000000</f>
        <v>0</v>
      </c>
      <c r="Q891" s="247">
        <f>'Assumptions (Wind)'!$V$27*Q677/1000000000</f>
        <v>0</v>
      </c>
      <c r="R891" s="247">
        <f>'Assumptions (Wind)'!$V$27*R677/1000000000</f>
        <v>0</v>
      </c>
      <c r="S891" s="247">
        <f>'Assumptions (Wind)'!$V$27*S677/1000000000</f>
        <v>0.128752</v>
      </c>
      <c r="T891" s="247">
        <f>'Assumptions (Wind)'!$V$27*T677/1000000000</f>
        <v>0</v>
      </c>
      <c r="U891" s="247">
        <f>'Assumptions (Wind)'!$V$27*U677/1000000000</f>
        <v>0</v>
      </c>
      <c r="V891" s="247">
        <f>'Assumptions (Wind)'!$V$27*V677/1000000000</f>
        <v>0</v>
      </c>
      <c r="W891" s="247">
        <f>'Assumptions (Wind)'!$V$27*W677/1000000000</f>
        <v>0</v>
      </c>
      <c r="X891" s="247">
        <f>'Assumptions (Wind)'!$V$27*X677/1000000000</f>
        <v>0.09622154651</v>
      </c>
      <c r="Y891" s="247">
        <f>'Assumptions (Wind)'!$V$27*Y677/1000000000</f>
        <v>0.09622154651</v>
      </c>
      <c r="Z891" s="247">
        <f>'Assumptions (Wind)'!$V$27*Z677/1000000000</f>
        <v>0.09622154651</v>
      </c>
      <c r="AA891" s="247">
        <f>'Assumptions (Wind)'!$V$27*AA677/1000000000</f>
        <v>0.09622154651</v>
      </c>
      <c r="AB891" s="247">
        <f>'Assumptions (Wind)'!$V$27*AB677/1000000000</f>
        <v>0.09622154651</v>
      </c>
      <c r="AC891" s="247">
        <f>'Assumptions (Wind)'!$V$27*AC677/1000000000</f>
        <v>0.09622154651</v>
      </c>
      <c r="AD891" s="247">
        <f>'Assumptions (Wind)'!$V$27*AD677/1000000000</f>
        <v>0.09622154651</v>
      </c>
      <c r="AE891" s="247">
        <f>'Assumptions (Wind)'!$V$27*AE677/1000000000</f>
        <v>0.09733574651</v>
      </c>
      <c r="AF891" s="247">
        <f>'Assumptions (Wind)'!$V$27*AF677/1000000000</f>
        <v>0.09622154651</v>
      </c>
      <c r="AG891" s="247">
        <f>'Assumptions (Wind)'!$V$27*AG677/1000000000</f>
        <v>0.09622154651</v>
      </c>
      <c r="AH891" s="247">
        <f>'Assumptions (Wind)'!$V$27*AH677/1000000000</f>
        <v>0.09622154651</v>
      </c>
      <c r="AI891" s="247">
        <f>'Assumptions (Wind)'!$V$27*AI677/1000000000</f>
        <v>0.1129345465</v>
      </c>
      <c r="AJ891" s="247">
        <f>'Assumptions (Wind)'!$V$27*AJ677/1000000000</f>
        <v>0.09622154651</v>
      </c>
      <c r="AK891" s="247">
        <f>'Assumptions (Wind)'!$V$27*AK677/1000000000</f>
        <v>0.09622154651</v>
      </c>
      <c r="AL891" s="247">
        <f>'Assumptions (Wind)'!$V$27*AL677/1000000000</f>
        <v>0.09622154651</v>
      </c>
      <c r="AM891" s="247">
        <f>'Assumptions (Wind)'!$V$27*AM677/1000000000</f>
        <v>0.09622154651</v>
      </c>
      <c r="AN891" s="247">
        <f>'Assumptions (Wind)'!$V$27*AN677/1000000000</f>
        <v>0.09622154651</v>
      </c>
      <c r="AO891" s="247">
        <f>'Assumptions (Wind)'!$V$27*AO677/1000000000</f>
        <v>0.09622154651</v>
      </c>
      <c r="AP891" s="247">
        <f>'Assumptions (Wind)'!$V$27*AP677/1000000000</f>
        <v>0.09622154651</v>
      </c>
      <c r="AQ891" s="247">
        <f>'Assumptions (Wind)'!$V$27*AQ677/1000000000</f>
        <v>0.09622154651</v>
      </c>
      <c r="AR891" s="247">
        <f>'Assumptions (Wind)'!$V$27*AR677/1000000000</f>
        <v>0.09622154651</v>
      </c>
      <c r="AS891" s="247">
        <f>'Assumptions (Wind)'!$V$27*AS677/1000000000</f>
        <v>0.09622154651</v>
      </c>
      <c r="AT891" s="247">
        <f>'Assumptions (Wind)'!$V$27*AT677/1000000000</f>
        <v>0.09622154651</v>
      </c>
      <c r="AU891" s="247">
        <f>'Assumptions (Wind)'!$V$27*AU677/1000000000</f>
        <v>0.2249735465</v>
      </c>
      <c r="AV891" s="247">
        <f>'Assumptions (Wind)'!$V$27*AV677/1000000000</f>
        <v>0.09622154651</v>
      </c>
      <c r="AW891" s="247">
        <f>'Assumptions (Wind)'!$V$27*AW677/1000000000</f>
        <v>0.09622154651</v>
      </c>
      <c r="AX891" s="247">
        <f>'Assumptions (Wind)'!$V$27*AX677/1000000000</f>
        <v>0.09622154651</v>
      </c>
      <c r="AY891" s="247">
        <f>'Assumptions (Wind)'!$V$27*AY677/1000000000</f>
        <v>0.09622154651</v>
      </c>
      <c r="AZ891" s="247">
        <f>'Assumptions (Wind)'!$V$27*AZ677/1000000000</f>
        <v>0.192443093</v>
      </c>
      <c r="BA891" s="247">
        <f>'Assumptions (Wind)'!$V$27*BA677/1000000000</f>
        <v>0.192443093</v>
      </c>
      <c r="BB891" s="248"/>
      <c r="BC891" s="248"/>
      <c r="BD891" s="248"/>
      <c r="BE891" s="248"/>
      <c r="BF891" s="248"/>
      <c r="BG891" s="248"/>
      <c r="BH891" s="248"/>
      <c r="BI891" s="248"/>
      <c r="BJ891" s="248"/>
      <c r="BK891" s="248"/>
      <c r="BL891" s="248"/>
      <c r="BM891" s="248"/>
      <c r="BN891" s="248"/>
      <c r="BO891" s="248"/>
      <c r="BP891" s="248"/>
      <c r="BQ891" s="248"/>
      <c r="BR891" s="248"/>
      <c r="BS891" s="248"/>
      <c r="BT891" s="248"/>
      <c r="BU891" s="248"/>
      <c r="BV891" s="248"/>
      <c r="BW891" s="248"/>
      <c r="BX891" s="248"/>
      <c r="BY891" s="248"/>
      <c r="BZ891" s="248"/>
      <c r="CA891" s="248"/>
      <c r="CB891" s="248"/>
      <c r="CC891" s="248"/>
      <c r="CD891" s="248"/>
    </row>
    <row r="892" ht="15.75" customHeight="1">
      <c r="A892" s="249" t="s">
        <v>415</v>
      </c>
      <c r="B892" s="38"/>
      <c r="C892" s="78"/>
      <c r="D892" s="78"/>
      <c r="E892" s="78"/>
      <c r="F892" s="78"/>
      <c r="G892" s="78"/>
      <c r="H892" s="78"/>
      <c r="I892" s="78"/>
      <c r="J892" s="78"/>
      <c r="K892" s="78"/>
      <c r="L892" s="78"/>
      <c r="M892" s="78"/>
      <c r="N892" s="78"/>
      <c r="O892" s="78"/>
      <c r="P892" s="78"/>
      <c r="Q892" s="78"/>
      <c r="R892" s="78"/>
      <c r="S892" s="78"/>
      <c r="T892" s="78"/>
      <c r="U892" s="78"/>
      <c r="V892" s="78"/>
      <c r="W892" s="139"/>
    </row>
    <row r="893" ht="15.75" customHeight="1">
      <c r="A893" s="250"/>
      <c r="B893" s="38"/>
      <c r="C893" s="78"/>
      <c r="D893" s="78"/>
      <c r="E893" s="78"/>
      <c r="F893" s="78"/>
      <c r="G893" s="78"/>
      <c r="H893" s="78"/>
      <c r="I893" s="78"/>
      <c r="J893" s="78"/>
      <c r="K893" s="78"/>
      <c r="L893" s="78"/>
      <c r="M893" s="78"/>
      <c r="N893" s="78"/>
      <c r="O893" s="78"/>
      <c r="P893" s="78"/>
      <c r="Q893" s="78"/>
      <c r="R893" s="78"/>
      <c r="S893" s="78"/>
      <c r="T893" s="78"/>
      <c r="U893" s="78"/>
      <c r="V893" s="78"/>
      <c r="W893" s="139"/>
    </row>
    <row r="894" ht="15.75" customHeight="1">
      <c r="A894" s="251" t="s">
        <v>416</v>
      </c>
      <c r="B894" s="65"/>
      <c r="C894" s="78"/>
      <c r="D894" s="78"/>
      <c r="E894" s="78"/>
      <c r="F894" s="78"/>
      <c r="G894" s="78"/>
      <c r="H894" s="78"/>
      <c r="I894" s="78"/>
      <c r="J894" s="78"/>
      <c r="K894" s="78"/>
      <c r="L894" s="78"/>
      <c r="M894" s="78"/>
      <c r="N894" s="78"/>
      <c r="O894" s="78"/>
      <c r="P894" s="78"/>
      <c r="Q894" s="78"/>
      <c r="R894" s="78"/>
      <c r="S894" s="78"/>
      <c r="T894" s="78"/>
      <c r="U894" s="78"/>
      <c r="V894" s="78"/>
      <c r="W894" s="139"/>
    </row>
    <row r="895" ht="15.75" customHeight="1">
      <c r="A895" s="250"/>
      <c r="B895" s="234" t="s">
        <v>411</v>
      </c>
      <c r="C895" s="21"/>
      <c r="D895" s="38"/>
      <c r="E895" s="38"/>
      <c r="F895" s="38"/>
      <c r="G895" s="38"/>
      <c r="H895" s="38"/>
      <c r="I895" s="38"/>
      <c r="J895" s="38"/>
      <c r="K895" s="38"/>
      <c r="L895" s="38"/>
      <c r="M895" s="38"/>
      <c r="N895" s="38"/>
      <c r="O895" s="38"/>
      <c r="P895" s="38"/>
      <c r="Q895" s="38"/>
      <c r="R895" s="38"/>
      <c r="S895" s="38"/>
      <c r="T895" s="38"/>
      <c r="U895" s="38"/>
      <c r="V895" s="38"/>
      <c r="W895" s="38"/>
      <c r="X895" s="252">
        <f>'Assumptions (Solar)'!W51</f>
        <v>0</v>
      </c>
      <c r="Y895" s="252">
        <f>'Assumptions (Solar)'!X51</f>
        <v>0</v>
      </c>
      <c r="Z895" s="252">
        <f>'Assumptions (Solar)'!Y51</f>
        <v>0</v>
      </c>
      <c r="AA895" s="252">
        <f>'Assumptions (Solar)'!Z51</f>
        <v>0</v>
      </c>
      <c r="AB895" s="252">
        <f>'Assumptions (Solar)'!AA51</f>
        <v>0</v>
      </c>
      <c r="AC895" s="252">
        <f>'Assumptions (Solar)'!AB51</f>
        <v>0</v>
      </c>
      <c r="AD895" s="252">
        <f>'Assumptions (Solar)'!AC51</f>
        <v>0</v>
      </c>
      <c r="AE895" s="252">
        <f>'Assumptions (Solar)'!AD51</f>
        <v>0</v>
      </c>
      <c r="AF895" s="252">
        <f>'Assumptions (Solar)'!AE51</f>
        <v>0</v>
      </c>
      <c r="AG895" s="252">
        <f>'Assumptions (Solar)'!AF51</f>
        <v>0</v>
      </c>
      <c r="AH895" s="252">
        <f>'Assumptions (Solar)'!AG51</f>
        <v>0</v>
      </c>
      <c r="AI895" s="252">
        <f>'Assumptions (Solar)'!AH51</f>
        <v>0</v>
      </c>
      <c r="AJ895" s="252">
        <f>'Assumptions (Solar)'!AI51</f>
        <v>0</v>
      </c>
      <c r="AK895" s="252">
        <f>'Assumptions (Solar)'!AJ51</f>
        <v>3.2</v>
      </c>
      <c r="AL895" s="252">
        <f>'Assumptions (Solar)'!AK51</f>
        <v>0</v>
      </c>
      <c r="AM895" s="252">
        <f>'Assumptions (Solar)'!AL51</f>
        <v>7.4</v>
      </c>
      <c r="AN895" s="252">
        <f>'Assumptions (Solar)'!AM51</f>
        <v>26.5</v>
      </c>
      <c r="AO895" s="252">
        <f>'Assumptions (Solar)'!AN51</f>
        <v>111.6</v>
      </c>
      <c r="AP895" s="252">
        <f>'Assumptions (Solar)'!AO51</f>
        <v>282.4</v>
      </c>
      <c r="AQ895" s="252">
        <f>'Assumptions (Solar)'!AP51</f>
        <v>408.4</v>
      </c>
      <c r="AR895" s="252">
        <f>'Assumptions (Solar)'!AQ51</f>
        <v>1090.3</v>
      </c>
      <c r="AS895" s="252">
        <f>'Assumptions (Solar)'!AR51</f>
        <v>1654.1</v>
      </c>
      <c r="AT895" s="252">
        <f>'Assumptions (Solar)'!AS51</f>
        <v>1461.1</v>
      </c>
      <c r="AU895" s="252">
        <f>'Assumptions (Solar)'!AT51</f>
        <v>880.2</v>
      </c>
      <c r="AV895" s="252">
        <f>'Assumptions (Solar)'!AU51</f>
        <v>0</v>
      </c>
      <c r="AW895" s="252">
        <f>'Assumptions (Solar)'!AV51</f>
        <v>0</v>
      </c>
      <c r="AX895" s="253">
        <f>'Assumptions (Solar)'!AW51</f>
        <v>1415.968292</v>
      </c>
      <c r="AY895" s="253">
        <f>'Assumptions (Solar)'!AX51</f>
        <v>1415.968292</v>
      </c>
      <c r="AZ895" s="253">
        <f>'Assumptions (Solar)'!AY51</f>
        <v>1415.968292</v>
      </c>
      <c r="BA895" s="253">
        <f>'Assumptions (Solar)'!AZ51</f>
        <v>1415.968292</v>
      </c>
    </row>
    <row r="896" ht="15.75" customHeight="1">
      <c r="A896" s="251" t="s">
        <v>417</v>
      </c>
      <c r="B896" s="237" t="s">
        <v>413</v>
      </c>
      <c r="C896" s="21"/>
      <c r="D896" s="21"/>
      <c r="E896" s="21"/>
      <c r="F896" s="21"/>
      <c r="G896" s="21"/>
      <c r="H896" s="21"/>
      <c r="I896" s="21"/>
      <c r="J896" s="21"/>
      <c r="K896" s="38"/>
      <c r="L896" s="38"/>
      <c r="M896" s="38"/>
      <c r="N896" s="38"/>
      <c r="O896" s="38"/>
      <c r="P896" s="38"/>
      <c r="Q896" s="38"/>
      <c r="R896" s="38"/>
      <c r="S896" s="38"/>
      <c r="T896" s="38"/>
      <c r="U896" s="38"/>
      <c r="V896" s="38"/>
      <c r="W896" s="38"/>
      <c r="X896" s="238">
        <f>W897-'Assumptions (Solar)'!W51+W902</f>
        <v>6805.4</v>
      </c>
      <c r="Y896" s="167">
        <f>X896-'Assumptions (Solar)'!X51+X902</f>
        <v>8221.368292</v>
      </c>
      <c r="Z896" s="167">
        <f>Y896-'Assumptions (Solar)'!Y51+Y902</f>
        <v>9637.336584</v>
      </c>
      <c r="AA896" s="167">
        <f>Z896-'Assumptions (Solar)'!Z51+Z902</f>
        <v>11053.30488</v>
      </c>
      <c r="AB896" s="167">
        <f>AA896-'Assumptions (Solar)'!AA51+AA902</f>
        <v>12469.27317</v>
      </c>
      <c r="AC896" s="167">
        <f>AB896-'Assumptions (Solar)'!AB51+AB902</f>
        <v>13885.24146</v>
      </c>
      <c r="AD896" s="167">
        <f>AC896-'Assumptions (Solar)'!AC51+AC902</f>
        <v>15301.20975</v>
      </c>
      <c r="AE896" s="167">
        <f>AD896-'Assumptions (Solar)'!AD51+AD902</f>
        <v>16717.17804</v>
      </c>
      <c r="AF896" s="167">
        <f>AE896-'Assumptions (Solar)'!AE51+AE902</f>
        <v>18133.14634</v>
      </c>
      <c r="AG896" s="167">
        <f>AF896-'Assumptions (Solar)'!AF51+AF902</f>
        <v>19549.11463</v>
      </c>
      <c r="AH896" s="167">
        <f>AG896-'Assumptions (Solar)'!AG51+AG902</f>
        <v>20965.08292</v>
      </c>
      <c r="AI896" s="167">
        <f>AH896-'Assumptions (Solar)'!AH51+AH902</f>
        <v>22381.05121</v>
      </c>
      <c r="AJ896" s="167">
        <f>AI896-'Assumptions (Solar)'!AI51+AI902</f>
        <v>23797.0195</v>
      </c>
      <c r="AK896" s="167">
        <f>AJ896-'Assumptions (Solar)'!AJ51+AJ902</f>
        <v>25209.78779</v>
      </c>
      <c r="AL896" s="167">
        <f>AK896-'Assumptions (Solar)'!AK51+AK902</f>
        <v>26628.95609</v>
      </c>
      <c r="AM896" s="167">
        <f>AL896-'Assumptions (Solar)'!AL51+AL902</f>
        <v>28037.52438</v>
      </c>
      <c r="AN896" s="167">
        <f>AM896-'Assumptions (Solar)'!AM51+AM902</f>
        <v>29434.39267</v>
      </c>
      <c r="AO896" s="167">
        <f>AN896-'Assumptions (Solar)'!AN51+AN902</f>
        <v>30765.26096</v>
      </c>
      <c r="AP896" s="167">
        <f>AO896-'Assumptions (Solar)'!AO51+AO902</f>
        <v>32010.42925</v>
      </c>
      <c r="AQ896" s="167">
        <f>AP896-'Assumptions (Solar)'!AP51+AP902</f>
        <v>33300.39755</v>
      </c>
      <c r="AR896" s="167">
        <f>AQ896-'Assumptions (Solar)'!AQ51+AQ902</f>
        <v>34034.46584</v>
      </c>
      <c r="AS896" s="167">
        <f>AR896-'Assumptions (Solar)'!AR51+AR902</f>
        <v>34886.63413</v>
      </c>
      <c r="AT896" s="167">
        <f>AS896-'Assumptions (Solar)'!AS51+AS902</f>
        <v>36495.60242</v>
      </c>
      <c r="AU896" s="167">
        <f>AT896-'Assumptions (Solar)'!AT51+AT902</f>
        <v>38492.47071</v>
      </c>
      <c r="AV896" s="167">
        <f>AU896-'Assumptions (Solar)'!AU51+AU902</f>
        <v>40788.63901</v>
      </c>
      <c r="AW896" s="167">
        <f>AV896-'Assumptions (Solar)'!AV51+AV902</f>
        <v>42204.6073</v>
      </c>
      <c r="AX896" s="167">
        <f>AW896-'Assumptions (Solar)'!AW51+AW902</f>
        <v>42204.6073</v>
      </c>
      <c r="AY896" s="167">
        <f>AX896-'Assumptions (Solar)'!AX51+AX902</f>
        <v>43620.57559</v>
      </c>
      <c r="AZ896" s="167">
        <f>AY896-'Assumptions (Solar)'!AY51+AY902</f>
        <v>45036.54388</v>
      </c>
      <c r="BA896" s="167">
        <f>AZ896-'Assumptions (Solar)'!AZ51+AZ902</f>
        <v>46452.51217</v>
      </c>
    </row>
    <row r="897" ht="15.75" customHeight="1">
      <c r="A897" s="254" t="s">
        <v>350</v>
      </c>
      <c r="B897" s="150" t="s">
        <v>149</v>
      </c>
      <c r="C897" s="151">
        <v>0.0</v>
      </c>
      <c r="D897" s="151">
        <v>0.0</v>
      </c>
      <c r="E897" s="151">
        <v>0.0</v>
      </c>
      <c r="F897" s="151">
        <v>0.0</v>
      </c>
      <c r="G897" s="151">
        <v>0.0</v>
      </c>
      <c r="H897" s="151">
        <v>0.0</v>
      </c>
      <c r="I897" s="151">
        <v>0.0</v>
      </c>
      <c r="J897" s="151">
        <v>0.0</v>
      </c>
      <c r="K897" s="151">
        <v>3.2</v>
      </c>
      <c r="L897" s="151">
        <v>3.2</v>
      </c>
      <c r="M897" s="151">
        <v>10.6</v>
      </c>
      <c r="N897" s="151">
        <v>37.1</v>
      </c>
      <c r="O897" s="151">
        <v>148.7</v>
      </c>
      <c r="P897" s="151">
        <v>431.1</v>
      </c>
      <c r="Q897" s="151">
        <v>839.5</v>
      </c>
      <c r="R897" s="151">
        <v>1929.8</v>
      </c>
      <c r="S897" s="151">
        <v>3583.9</v>
      </c>
      <c r="T897" s="151">
        <v>5045.0</v>
      </c>
      <c r="U897" s="151">
        <v>5925.2</v>
      </c>
      <c r="V897" s="172">
        <f t="shared" ref="V897:W897" si="37">U897+U902</f>
        <v>6805.4</v>
      </c>
      <c r="W897" s="172">
        <f t="shared" si="37"/>
        <v>6805.4</v>
      </c>
      <c r="X897" s="154">
        <f t="shared" ref="X897:AZ897" si="38">W897+($BA$897-$W$897)/($BA$2-$W$2)</f>
        <v>8221.368292</v>
      </c>
      <c r="Y897" s="154">
        <f t="shared" si="38"/>
        <v>9637.336584</v>
      </c>
      <c r="Z897" s="154">
        <f t="shared" si="38"/>
        <v>11053.30488</v>
      </c>
      <c r="AA897" s="154">
        <f t="shared" si="38"/>
        <v>12469.27317</v>
      </c>
      <c r="AB897" s="154">
        <f t="shared" si="38"/>
        <v>13885.24146</v>
      </c>
      <c r="AC897" s="154">
        <f t="shared" si="38"/>
        <v>15301.20975</v>
      </c>
      <c r="AD897" s="154">
        <f t="shared" si="38"/>
        <v>16717.17804</v>
      </c>
      <c r="AE897" s="154">
        <f t="shared" si="38"/>
        <v>18133.14634</v>
      </c>
      <c r="AF897" s="154">
        <f t="shared" si="38"/>
        <v>19549.11463</v>
      </c>
      <c r="AG897" s="154">
        <f t="shared" si="38"/>
        <v>20965.08292</v>
      </c>
      <c r="AH897" s="154">
        <f t="shared" si="38"/>
        <v>22381.05121</v>
      </c>
      <c r="AI897" s="154">
        <f t="shared" si="38"/>
        <v>23797.0195</v>
      </c>
      <c r="AJ897" s="154">
        <f t="shared" si="38"/>
        <v>25212.98779</v>
      </c>
      <c r="AK897" s="154">
        <f t="shared" si="38"/>
        <v>26628.95609</v>
      </c>
      <c r="AL897" s="154">
        <f t="shared" si="38"/>
        <v>28044.92438</v>
      </c>
      <c r="AM897" s="154">
        <f t="shared" si="38"/>
        <v>29460.89267</v>
      </c>
      <c r="AN897" s="154">
        <f t="shared" si="38"/>
        <v>30876.86096</v>
      </c>
      <c r="AO897" s="154">
        <f t="shared" si="38"/>
        <v>32292.82925</v>
      </c>
      <c r="AP897" s="154">
        <f t="shared" si="38"/>
        <v>33708.79755</v>
      </c>
      <c r="AQ897" s="154">
        <f t="shared" si="38"/>
        <v>35124.76584</v>
      </c>
      <c r="AR897" s="154">
        <f t="shared" si="38"/>
        <v>36540.73413</v>
      </c>
      <c r="AS897" s="154">
        <f t="shared" si="38"/>
        <v>37956.70242</v>
      </c>
      <c r="AT897" s="154">
        <f t="shared" si="38"/>
        <v>39372.67071</v>
      </c>
      <c r="AU897" s="154">
        <f t="shared" si="38"/>
        <v>40788.63901</v>
      </c>
      <c r="AV897" s="154">
        <f t="shared" si="38"/>
        <v>42204.6073</v>
      </c>
      <c r="AW897" s="154">
        <f t="shared" si="38"/>
        <v>43620.57559</v>
      </c>
      <c r="AX897" s="154">
        <f t="shared" si="38"/>
        <v>45036.54388</v>
      </c>
      <c r="AY897" s="154">
        <f t="shared" si="38"/>
        <v>46452.51217</v>
      </c>
      <c r="AZ897" s="154">
        <f t="shared" si="38"/>
        <v>47868.48047</v>
      </c>
      <c r="BA897" s="155">
        <f>Inputs!$H$8</f>
        <v>49284.44876</v>
      </c>
    </row>
    <row r="898" ht="15.75" customHeight="1">
      <c r="A898" s="255" t="s">
        <v>28</v>
      </c>
      <c r="B898" s="159" t="s">
        <v>150</v>
      </c>
      <c r="C898" s="156">
        <v>0.0</v>
      </c>
      <c r="D898" s="156">
        <v>0.0</v>
      </c>
      <c r="E898" s="156">
        <v>0.0</v>
      </c>
      <c r="F898" s="156">
        <v>0.0</v>
      </c>
      <c r="G898" s="156">
        <v>0.0</v>
      </c>
      <c r="H898" s="156">
        <v>0.0</v>
      </c>
      <c r="I898" s="156">
        <v>0.0</v>
      </c>
      <c r="J898" s="156">
        <v>0.0</v>
      </c>
      <c r="K898" s="156">
        <v>0.001801</v>
      </c>
      <c r="L898" s="156">
        <v>0.004563</v>
      </c>
      <c r="M898" s="156">
        <v>0.01134</v>
      </c>
      <c r="N898" s="156">
        <v>0.01738</v>
      </c>
      <c r="O898" s="156">
        <v>0.154595</v>
      </c>
      <c r="P898" s="156">
        <v>0.379669</v>
      </c>
      <c r="Q898" s="156">
        <v>0.880623</v>
      </c>
      <c r="R898" s="156">
        <v>1.583398</v>
      </c>
      <c r="S898" s="156">
        <v>4.4169</v>
      </c>
      <c r="T898" s="156">
        <v>7.538865</v>
      </c>
      <c r="U898" s="156">
        <v>9.467408</v>
      </c>
      <c r="V898" s="157">
        <f t="shared" ref="V898:W898" si="39">if($U$898&gt;0,(V897/$U$897)*$U$898,U$898)</f>
        <v>10.8738099</v>
      </c>
      <c r="W898" s="157">
        <f t="shared" si="39"/>
        <v>10.8738099</v>
      </c>
      <c r="X898" s="154">
        <f t="shared" ref="X898:AZ898" si="40">W898+($BA$898-$W$898)/($BA$2-$W$2)</f>
        <v>13.59686914</v>
      </c>
      <c r="Y898" s="154">
        <f t="shared" si="40"/>
        <v>16.31992839</v>
      </c>
      <c r="Z898" s="154">
        <f t="shared" si="40"/>
        <v>19.04298763</v>
      </c>
      <c r="AA898" s="154">
        <f t="shared" si="40"/>
        <v>21.76604688</v>
      </c>
      <c r="AB898" s="154">
        <f t="shared" si="40"/>
        <v>24.48910612</v>
      </c>
      <c r="AC898" s="154">
        <f t="shared" si="40"/>
        <v>27.21216536</v>
      </c>
      <c r="AD898" s="154">
        <f t="shared" si="40"/>
        <v>29.93522461</v>
      </c>
      <c r="AE898" s="154">
        <f t="shared" si="40"/>
        <v>32.65828385</v>
      </c>
      <c r="AF898" s="154">
        <f t="shared" si="40"/>
        <v>35.3813431</v>
      </c>
      <c r="AG898" s="154">
        <f t="shared" si="40"/>
        <v>38.10440234</v>
      </c>
      <c r="AH898" s="154">
        <f t="shared" si="40"/>
        <v>40.82746159</v>
      </c>
      <c r="AI898" s="154">
        <f t="shared" si="40"/>
        <v>43.55052083</v>
      </c>
      <c r="AJ898" s="154">
        <f t="shared" si="40"/>
        <v>46.27358008</v>
      </c>
      <c r="AK898" s="154">
        <f t="shared" si="40"/>
        <v>48.99663932</v>
      </c>
      <c r="AL898" s="154">
        <f t="shared" si="40"/>
        <v>51.71969857</v>
      </c>
      <c r="AM898" s="154">
        <f t="shared" si="40"/>
        <v>54.44275781</v>
      </c>
      <c r="AN898" s="154">
        <f t="shared" si="40"/>
        <v>57.16581705</v>
      </c>
      <c r="AO898" s="154">
        <f t="shared" si="40"/>
        <v>59.8888763</v>
      </c>
      <c r="AP898" s="154">
        <f t="shared" si="40"/>
        <v>62.61193554</v>
      </c>
      <c r="AQ898" s="154">
        <f t="shared" si="40"/>
        <v>65.33499479</v>
      </c>
      <c r="AR898" s="154">
        <f t="shared" si="40"/>
        <v>68.05805403</v>
      </c>
      <c r="AS898" s="154">
        <f t="shared" si="40"/>
        <v>70.78111328</v>
      </c>
      <c r="AT898" s="154">
        <f t="shared" si="40"/>
        <v>73.50417252</v>
      </c>
      <c r="AU898" s="154">
        <f t="shared" si="40"/>
        <v>76.22723177</v>
      </c>
      <c r="AV898" s="154">
        <f t="shared" si="40"/>
        <v>78.95029101</v>
      </c>
      <c r="AW898" s="154">
        <f t="shared" si="40"/>
        <v>81.67335026</v>
      </c>
      <c r="AX898" s="154">
        <f t="shared" si="40"/>
        <v>84.3964095</v>
      </c>
      <c r="AY898" s="154">
        <f t="shared" si="40"/>
        <v>87.11946874</v>
      </c>
      <c r="AZ898" s="154">
        <f t="shared" si="40"/>
        <v>89.84252799</v>
      </c>
      <c r="BA898" s="243">
        <f>Inputs!$I$8</f>
        <v>92.56558723</v>
      </c>
    </row>
    <row r="899" ht="15.75" customHeight="1">
      <c r="A899" s="255" t="s">
        <v>414</v>
      </c>
      <c r="B899" s="159" t="s">
        <v>351</v>
      </c>
      <c r="C899" s="212">
        <f>C897*('Assumptions (Solar)'!B20*'Assumptions (Solar)'!B27+'Assumptions (Solar)'!B21*'Assumptions (Solar)'!B28)/10^9</f>
        <v>0</v>
      </c>
      <c r="D899" s="212">
        <f>D897*('Assumptions (Solar)'!C20*'Assumptions (Solar)'!C27+'Assumptions (Solar)'!C21*'Assumptions (Solar)'!C28)/10^9</f>
        <v>0</v>
      </c>
      <c r="E899" s="212">
        <f>E897*('Assumptions (Solar)'!D20*'Assumptions (Solar)'!D27+'Assumptions (Solar)'!D21*'Assumptions (Solar)'!D28)/10^9</f>
        <v>0</v>
      </c>
      <c r="F899" s="212">
        <f>F897*('Assumptions (Solar)'!E20*'Assumptions (Solar)'!E27+'Assumptions (Solar)'!E21*'Assumptions (Solar)'!E28)/10^9</f>
        <v>0</v>
      </c>
      <c r="G899" s="212">
        <f>G897*('Assumptions (Solar)'!F20*'Assumptions (Solar)'!F27+'Assumptions (Solar)'!F21*'Assumptions (Solar)'!F28)/10^9</f>
        <v>0</v>
      </c>
      <c r="H899" s="212">
        <f>H897*('Assumptions (Solar)'!G20*'Assumptions (Solar)'!G27+'Assumptions (Solar)'!G21*'Assumptions (Solar)'!G28)/10^9</f>
        <v>0</v>
      </c>
      <c r="I899" s="212">
        <f>I897*('Assumptions (Solar)'!H20*'Assumptions (Solar)'!H27+'Assumptions (Solar)'!H21*'Assumptions (Solar)'!H28)/10^9</f>
        <v>0</v>
      </c>
      <c r="J899" s="212">
        <f>J897*('Assumptions (Solar)'!I20*'Assumptions (Solar)'!I27+'Assumptions (Solar)'!I21*'Assumptions (Solar)'!I28)/10^9</f>
        <v>0</v>
      </c>
      <c r="K899" s="212">
        <f>K897*('Assumptions (Solar)'!J20*'Assumptions (Solar)'!J27+'Assumptions (Solar)'!J21*'Assumptions (Solar)'!J28)/10^9</f>
        <v>0.00007633190517</v>
      </c>
      <c r="L899" s="212">
        <f>L897*('Assumptions (Solar)'!K20*'Assumptions (Solar)'!K27+'Assumptions (Solar)'!K21*'Assumptions (Solar)'!K28)/10^9</f>
        <v>0.0000744300637</v>
      </c>
      <c r="M899" s="212">
        <f>M897*('Assumptions (Solar)'!L20*'Assumptions (Solar)'!L27+'Assumptions (Solar)'!L21*'Assumptions (Solar)'!L28)/10^9</f>
        <v>0.0002413680088</v>
      </c>
      <c r="N899" s="212">
        <f>N897*('Assumptions (Solar)'!M20*'Assumptions (Solar)'!M27+'Assumptions (Solar)'!M21*'Assumptions (Solar)'!M28)/10^9</f>
        <v>0.0008345846589</v>
      </c>
      <c r="O899" s="212">
        <f>O897*('Assumptions (Solar)'!N20*'Assumptions (Solar)'!N27+'Assumptions (Solar)'!N21*'Assumptions (Solar)'!N28)/10^9</f>
        <v>0.00329914748</v>
      </c>
      <c r="P899" s="212">
        <f>P897*('Assumptions (Solar)'!O20*'Assumptions (Solar)'!O27+'Assumptions (Solar)'!O21*'Assumptions (Solar)'!O28)/10^9</f>
        <v>0.009418208451</v>
      </c>
      <c r="Q899" s="212">
        <f>Q897*('Assumptions (Solar)'!P20*'Assumptions (Solar)'!P27+'Assumptions (Solar)'!P21*'Assumptions (Solar)'!P28)/10^9</f>
        <v>0.01807663602</v>
      </c>
      <c r="R899" s="212">
        <f>R897*('Assumptions (Solar)'!Q20*'Assumptions (Solar)'!Q27+'Assumptions (Solar)'!Q21*'Assumptions (Solar)'!Q28)/10^9</f>
        <v>0.04063051973</v>
      </c>
      <c r="S899" s="212">
        <f>S897*('Assumptions (Solar)'!R20*'Assumptions (Solar)'!R27+'Assumptions (Solar)'!R21*'Assumptions (Solar)'!R28)/10^9</f>
        <v>0.07377565238</v>
      </c>
      <c r="T899" s="212">
        <f>T897*('Assumptions (Solar)'!S20*'Assumptions (Solar)'!S27+'Assumptions (Solar)'!S21*'Assumptions (Solar)'!S28)/10^9</f>
        <v>0.1025461407</v>
      </c>
      <c r="U899" s="212">
        <f>U897*('Assumptions (Solar)'!T20*'Assumptions (Solar)'!T27+'Assumptions (Solar)'!T21*'Assumptions (Solar)'!T28)/10^9</f>
        <v>0.1197672197</v>
      </c>
      <c r="V899" s="212">
        <f>V897*('Assumptions (Solar)'!U20*'Assumptions (Solar)'!U27+'Assumptions (Solar)'!U21*'Assumptions (Solar)'!U28)/10^9</f>
        <v>0.1257087369</v>
      </c>
      <c r="W899" s="212">
        <f>W897*('Assumptions (Solar)'!V20*'Assumptions (Solar)'!V27+'Assumptions (Solar)'!V21*'Assumptions (Solar)'!V28)/10^9</f>
        <v>0.1240473533</v>
      </c>
      <c r="X899" s="212">
        <f>X897*('Assumptions (Solar)'!W20*'Assumptions (Solar)'!W27+'Assumptions (Solar)'!W21*'Assumptions (Solar)'!W28)/10^9</f>
        <v>0.1328229675</v>
      </c>
      <c r="Y899" s="212">
        <f>Y897*('Assumptions (Solar)'!X20*'Assumptions (Solar)'!X27+'Assumptions (Solar)'!X21*'Assumptions (Solar)'!X28)/10^9</f>
        <v>0.1524375572</v>
      </c>
      <c r="Z899" s="212">
        <f>Z897*('Assumptions (Solar)'!Y20*'Assumptions (Solar)'!Y27+'Assumptions (Solar)'!Y21*'Assumptions (Solar)'!Y28)/10^9</f>
        <v>0.1708676443</v>
      </c>
      <c r="AA899" s="212">
        <f>AA897*('Assumptions (Solar)'!Z20*'Assumptions (Solar)'!Z27+'Assumptions (Solar)'!Z21*'Assumptions (Solar)'!Z28)/10^9</f>
        <v>0.1880317259</v>
      </c>
      <c r="AB899" s="212">
        <f>AB897*('Assumptions (Solar)'!AA20*'Assumptions (Solar)'!AA27+'Assumptions (Solar)'!AA21*'Assumptions (Solar)'!AA28)/10^9</f>
        <v>0.203851691</v>
      </c>
      <c r="AC899" s="212">
        <f>AC897*('Assumptions (Solar)'!AB20*'Assumptions (Solar)'!AB27+'Assumptions (Solar)'!AB21*'Assumptions (Solar)'!AB28)/10^9</f>
        <v>0.2181997834</v>
      </c>
      <c r="AD899" s="212">
        <f>AD897*('Assumptions (Solar)'!AC20*'Assumptions (Solar)'!AC27+'Assumptions (Solar)'!AC21*'Assumptions (Solar)'!AC28)/10^9</f>
        <v>0.2309880295</v>
      </c>
      <c r="AE899" s="212">
        <f>AE897*('Assumptions (Solar)'!AD20*'Assumptions (Solar)'!AD27+'Assumptions (Solar)'!AD21*'Assumptions (Solar)'!AD28)/10^9</f>
        <v>0.2421322652</v>
      </c>
      <c r="AF899" s="212">
        <f>AF897*('Assumptions (Solar)'!AE20*'Assumptions (Solar)'!AE27+'Assumptions (Solar)'!AE21*'Assumptions (Solar)'!AE28)/10^9</f>
        <v>0.2514801872</v>
      </c>
      <c r="AG899" s="212">
        <f>AG897*('Assumptions (Solar)'!AF20*'Assumptions (Solar)'!AF27+'Assumptions (Solar)'!AF21*'Assumptions (Solar)'!AF28)/10^9</f>
        <v>0.2589367325</v>
      </c>
      <c r="AH899" s="212">
        <f>AH897*('Assumptions (Solar)'!AG20*'Assumptions (Solar)'!AG27+'Assumptions (Solar)'!AG21*'Assumptions (Solar)'!AG28)/10^9</f>
        <v>0.2793147951</v>
      </c>
      <c r="AI899" s="212">
        <f>AI897*('Assumptions (Solar)'!AH20*'Assumptions (Solar)'!AH27+'Assumptions (Solar)'!AH21*'Assumptions (Solar)'!AH28)/10^9</f>
        <v>0.3000665094</v>
      </c>
      <c r="AJ899" s="212">
        <f>AJ897*('Assumptions (Solar)'!AI20*'Assumptions (Solar)'!AI27+'Assumptions (Solar)'!AI21*'Assumptions (Solar)'!AI28)/10^9</f>
        <v>0.3211923992</v>
      </c>
      <c r="AK899" s="212">
        <f>AK897*('Assumptions (Solar)'!AJ20*'Assumptions (Solar)'!AJ27+'Assumptions (Solar)'!AJ21*'Assumptions (Solar)'!AJ28)/10^9</f>
        <v>0.3426927435</v>
      </c>
      <c r="AL899" s="212">
        <f>AL897*('Assumptions (Solar)'!AK20*'Assumptions (Solar)'!AK27+'Assumptions (Solar)'!AK21*'Assumptions (Solar)'!AK28)/10^9</f>
        <v>0.3645675644</v>
      </c>
      <c r="AM899" s="212">
        <f>AM897*('Assumptions (Solar)'!AL20*'Assumptions (Solar)'!AL27+'Assumptions (Solar)'!AL21*'Assumptions (Solar)'!AL28)/10^9</f>
        <v>0.3868166146</v>
      </c>
      <c r="AN899" s="212">
        <f>AN897*('Assumptions (Solar)'!AM20*'Assumptions (Solar)'!AM27+'Assumptions (Solar)'!AM21*'Assumptions (Solar)'!AM28)/10^9</f>
        <v>0.4094393645</v>
      </c>
      <c r="AO899" s="212">
        <f>AO897*('Assumptions (Solar)'!AN20*'Assumptions (Solar)'!AN27+'Assumptions (Solar)'!AN21*'Assumptions (Solar)'!AN28)/10^9</f>
        <v>0.4324349886</v>
      </c>
      <c r="AP899" s="212">
        <f>AP897*('Assumptions (Solar)'!AO20*'Assumptions (Solar)'!AO27+'Assumptions (Solar)'!AO21*'Assumptions (Solar)'!AO28)/10^9</f>
        <v>0.4558023515</v>
      </c>
      <c r="AQ899" s="212">
        <f>AQ897*('Assumptions (Solar)'!AP20*'Assumptions (Solar)'!AP27+'Assumptions (Solar)'!AP21*'Assumptions (Solar)'!AP28)/10^9</f>
        <v>0.4795399938</v>
      </c>
      <c r="AR899" s="212">
        <f>AR897*('Assumptions (Solar)'!AQ20*'Assumptions (Solar)'!AQ27+'Assumptions (Solar)'!AQ21*'Assumptions (Solar)'!AQ28)/10^9</f>
        <v>0.5036461167</v>
      </c>
      <c r="AS899" s="212">
        <f>AS897*('Assumptions (Solar)'!AR20*'Assumptions (Solar)'!AR27+'Assumptions (Solar)'!AR21*'Assumptions (Solar)'!AR28)/10^9</f>
        <v>0.528118567</v>
      </c>
      <c r="AT899" s="212">
        <f>AT897*('Assumptions (Solar)'!AS20*'Assumptions (Solar)'!AS27+'Assumptions (Solar)'!AS21*'Assumptions (Solar)'!AS28)/10^9</f>
        <v>0.552954821</v>
      </c>
      <c r="AU899" s="212">
        <f>AU897*('Assumptions (Solar)'!AT20*'Assumptions (Solar)'!AT27+'Assumptions (Solar)'!AT21*'Assumptions (Solar)'!AT28)/10^9</f>
        <v>0.578151968</v>
      </c>
      <c r="AV899" s="212">
        <f>AV897*('Assumptions (Solar)'!AU20*'Assumptions (Solar)'!AU27+'Assumptions (Solar)'!AU21*'Assumptions (Solar)'!AU28)/10^9</f>
        <v>0.6037066932</v>
      </c>
      <c r="AW899" s="212">
        <f>AW897*('Assumptions (Solar)'!AV20*'Assumptions (Solar)'!AV27+'Assumptions (Solar)'!AV21*'Assumptions (Solar)'!AV28)/10^9</f>
        <v>0.6296152603</v>
      </c>
      <c r="AX899" s="212">
        <f>AX897*('Assumptions (Solar)'!AW20*'Assumptions (Solar)'!AW27+'Assumptions (Solar)'!AW21*'Assumptions (Solar)'!AW28)/10^9</f>
        <v>0.6558734929</v>
      </c>
      <c r="AY899" s="212">
        <f>AY897*('Assumptions (Solar)'!AX20*'Assumptions (Solar)'!AX27+'Assumptions (Solar)'!AX21*'Assumptions (Solar)'!AX28)/10^9</f>
        <v>0.6824767562</v>
      </c>
      <c r="AZ899" s="212">
        <f>AZ897*('Assumptions (Solar)'!AY20*'Assumptions (Solar)'!AY27+'Assumptions (Solar)'!AY21*'Assumptions (Solar)'!AY28)/10^9</f>
        <v>0.709419937</v>
      </c>
      <c r="BA899" s="212">
        <f>BA897*('Assumptions (Solar)'!AZ20*'Assumptions (Solar)'!AZ27+'Assumptions (Solar)'!AZ21*'Assumptions (Solar)'!AZ28)/10^9</f>
        <v>0.7366974239</v>
      </c>
    </row>
    <row r="900" ht="15.75" customHeight="1">
      <c r="A900" s="255" t="s">
        <v>36</v>
      </c>
      <c r="B900" s="159" t="s">
        <v>351</v>
      </c>
      <c r="C900" s="212">
        <f>C898*'Assumptions (Solar)'!B45/10^3</f>
        <v>0</v>
      </c>
      <c r="D900" s="212">
        <f>D898*'Assumptions (Solar)'!C45/10^3</f>
        <v>0</v>
      </c>
      <c r="E900" s="212">
        <f>E898*'Assumptions (Solar)'!D45/10^3</f>
        <v>0</v>
      </c>
      <c r="F900" s="212">
        <f>F898*'Assumptions (Solar)'!E45/10^3</f>
        <v>0</v>
      </c>
      <c r="G900" s="212">
        <f>G898*'Assumptions (Solar)'!F45/10^3</f>
        <v>0</v>
      </c>
      <c r="H900" s="212">
        <f>H898*'Assumptions (Solar)'!G45/10^3</f>
        <v>0</v>
      </c>
      <c r="I900" s="212">
        <f>I898*'Assumptions (Solar)'!H45/10^3</f>
        <v>0</v>
      </c>
      <c r="J900" s="212">
        <f>J898*'Assumptions (Solar)'!I45/10^3</f>
        <v>0</v>
      </c>
      <c r="K900" s="212">
        <f>K898*'Assumptions (Solar)'!J45/10^3</f>
        <v>0.0001826901982</v>
      </c>
      <c r="L900" s="212">
        <f>L898*'Assumptions (Solar)'!K45/10^3</f>
        <v>0.0003231749313</v>
      </c>
      <c r="M900" s="212">
        <f>M898*'Assumptions (Solar)'!L45/10^3</f>
        <v>0.000830415726</v>
      </c>
      <c r="N900" s="212">
        <f>N898*'Assumptions (Solar)'!M45/10^3</f>
        <v>0.001226025174</v>
      </c>
      <c r="O900" s="212">
        <f>O898*'Assumptions (Solar)'!N45/10^3</f>
        <v>0.009429954891</v>
      </c>
      <c r="P900" s="212">
        <f>P898*'Assumptions (Solar)'!O45/10^3</f>
        <v>0.02570902057</v>
      </c>
      <c r="Q900" s="212">
        <f>Q898*'Assumptions (Solar)'!P45/10^3</f>
        <v>0.06398897324</v>
      </c>
      <c r="R900" s="212">
        <f>R898*'Assumptions (Solar)'!Q45/10^3</f>
        <v>0.09479265471</v>
      </c>
      <c r="S900" s="212">
        <f>S898*'Assumptions (Solar)'!R45/10^3</f>
        <v>0.282990783</v>
      </c>
      <c r="T900" s="212">
        <f>T898*'Assumptions (Solar)'!S45/10^3</f>
        <v>0.4714806171</v>
      </c>
      <c r="U900" s="212">
        <f>U898*'Assumptions (Solar)'!T45/10^3</f>
        <v>0.6078075936</v>
      </c>
      <c r="V900" s="212">
        <f>V898*'Assumptions (Solar)'!U45/10^3</f>
        <v>0.7077762862</v>
      </c>
      <c r="W900" s="212">
        <f>W898*'Assumptions (Solar)'!V45/10^3</f>
        <v>0.73825862</v>
      </c>
      <c r="X900" s="212">
        <f>X898*'Assumptions (Solar)'!W45/10^3</f>
        <v>0.9301377515</v>
      </c>
      <c r="Y900" s="212">
        <f>Y898*'Assumptions (Solar)'!X45/10^3</f>
        <v>1.126725245</v>
      </c>
      <c r="Z900" s="212">
        <f>Z898*'Assumptions (Solar)'!Y45/10^3</f>
        <v>1.336168937</v>
      </c>
      <c r="AA900" s="212">
        <f>AA898*'Assumptions (Solar)'!Z45/10^3</f>
        <v>1.556262339</v>
      </c>
      <c r="AB900" s="212">
        <f>AB898*'Assumptions (Solar)'!AA45/10^3</f>
        <v>1.800355574</v>
      </c>
      <c r="AC900" s="212">
        <f>AC898*'Assumptions (Solar)'!AB45/10^3</f>
        <v>2.032847261</v>
      </c>
      <c r="AD900" s="212">
        <f>AD898*'Assumptions (Solar)'!AC45/10^3</f>
        <v>2.280214254</v>
      </c>
      <c r="AE900" s="212">
        <f>AE898*'Assumptions (Solar)'!AD45/10^3</f>
        <v>2.531326599</v>
      </c>
      <c r="AF900" s="212">
        <f>AF898*'Assumptions (Solar)'!AE45/10^3</f>
        <v>2.792898142</v>
      </c>
      <c r="AG900" s="212">
        <f>AG898*'Assumptions (Solar)'!AF45/10^3</f>
        <v>3.063394281</v>
      </c>
      <c r="AH900" s="212">
        <f>AH898*'Assumptions (Solar)'!AG45/10^3</f>
        <v>3.347820005</v>
      </c>
      <c r="AI900" s="212">
        <f>AI898*'Assumptions (Solar)'!AH45/10^3</f>
        <v>3.627242312</v>
      </c>
      <c r="AJ900" s="212">
        <f>AJ898*'Assumptions (Solar)'!AI45/10^3</f>
        <v>3.912532072</v>
      </c>
      <c r="AK900" s="212">
        <f>AK898*'Assumptions (Solar)'!AJ45/10^3</f>
        <v>4.205996951</v>
      </c>
      <c r="AL900" s="212">
        <f>AL898*'Assumptions (Solar)'!AK45/10^3</f>
        <v>4.51422459</v>
      </c>
      <c r="AM900" s="212">
        <f>AM898*'Assumptions (Solar)'!AL45/10^3</f>
        <v>4.850390224</v>
      </c>
      <c r="AN900" s="212">
        <f>AN898*'Assumptions (Solar)'!AM45/10^3</f>
        <v>5.193234939</v>
      </c>
      <c r="AO900" s="212">
        <f>AO898*'Assumptions (Solar)'!AN45/10^3</f>
        <v>5.562770489</v>
      </c>
      <c r="AP900" s="212">
        <f>AP898*'Assumptions (Solar)'!AO45/10^3</f>
        <v>5.945653192</v>
      </c>
      <c r="AQ900" s="212">
        <f>AQ898*'Assumptions (Solar)'!AP45/10^3</f>
        <v>6.330833592</v>
      </c>
      <c r="AR900" s="212">
        <f>AR898*'Assumptions (Solar)'!AQ45/10^3</f>
        <v>6.723653887</v>
      </c>
      <c r="AS900" s="212">
        <f>AS898*'Assumptions (Solar)'!AR45/10^3</f>
        <v>7.125882917</v>
      </c>
      <c r="AT900" s="212">
        <f>AT898*'Assumptions (Solar)'!AS45/10^3</f>
        <v>7.546659427</v>
      </c>
      <c r="AU900" s="212">
        <f>AU898*'Assumptions (Solar)'!AT45/10^3</f>
        <v>7.988472106</v>
      </c>
      <c r="AV900" s="212">
        <f>AV898*'Assumptions (Solar)'!AU45/10^3</f>
        <v>8.446191346</v>
      </c>
      <c r="AW900" s="212">
        <f>AW898*'Assumptions (Solar)'!AV45/10^3</f>
        <v>8.900711073</v>
      </c>
      <c r="AX900" s="212">
        <f>AX898*'Assumptions (Solar)'!AW45/10^3</f>
        <v>9.399618037</v>
      </c>
      <c r="AY900" s="212">
        <f>AY898*'Assumptions (Solar)'!AX45/10^3</f>
        <v>10.05265539</v>
      </c>
      <c r="AZ900" s="212">
        <f>AZ898*'Assumptions (Solar)'!AY45/10^3</f>
        <v>10.64301539</v>
      </c>
      <c r="BA900" s="212">
        <f>BA898*'Assumptions (Solar)'!AZ45/10^3</f>
        <v>11.18927357</v>
      </c>
    </row>
    <row r="901" ht="15.75" customHeight="1">
      <c r="A901" s="255" t="s">
        <v>38</v>
      </c>
      <c r="B901" s="159" t="s">
        <v>351</v>
      </c>
      <c r="C901" s="176">
        <f>C897*'Assumptions (Solar)'!B47*'Assumptions (Solar)'!B48*365/10^9</f>
        <v>0</v>
      </c>
      <c r="D901" s="176">
        <f>D897*'Assumptions (Solar)'!C47*'Assumptions (Solar)'!C48*365/10^9</f>
        <v>0</v>
      </c>
      <c r="E901" s="176">
        <f>E897*'Assumptions (Solar)'!D47*'Assumptions (Solar)'!D48*365/10^9</f>
        <v>0</v>
      </c>
      <c r="F901" s="176">
        <f>F897*'Assumptions (Solar)'!E47*'Assumptions (Solar)'!E48*365/10^9</f>
        <v>0</v>
      </c>
      <c r="G901" s="176">
        <f>G897*'Assumptions (Solar)'!F47*'Assumptions (Solar)'!F48*365/10^9</f>
        <v>0</v>
      </c>
      <c r="H901" s="176">
        <f>H897*'Assumptions (Solar)'!G47*'Assumptions (Solar)'!G48*365/10^9</f>
        <v>0</v>
      </c>
      <c r="I901" s="176">
        <f>I897*'Assumptions (Solar)'!H47*'Assumptions (Solar)'!H48*365/10^9</f>
        <v>0</v>
      </c>
      <c r="J901" s="176">
        <f>J897*'Assumptions (Solar)'!I47*'Assumptions (Solar)'!I48*365/10^9</f>
        <v>0</v>
      </c>
      <c r="K901" s="176">
        <f>K897*'Assumptions (Solar)'!J47*'Assumptions (Solar)'!J48*365/10^9</f>
        <v>0.0001384113125</v>
      </c>
      <c r="L901" s="176">
        <f>L897*'Assumptions (Solar)'!K47*'Assumptions (Solar)'!K48*365/10^9</f>
        <v>0.0001601816554</v>
      </c>
      <c r="M901" s="176">
        <f>M897*'Assumptions (Solar)'!L47*'Assumptions (Solar)'!L48*365/10^9</f>
        <v>0.0003704710931</v>
      </c>
      <c r="N901" s="176">
        <f>N897*'Assumptions (Solar)'!M47*'Assumptions (Solar)'!M48*365/10^9</f>
        <v>0.001340657016</v>
      </c>
      <c r="O901" s="176">
        <f>O897*'Assumptions (Solar)'!N47*'Assumptions (Solar)'!N48*365/10^9</f>
        <v>0.005176328731</v>
      </c>
      <c r="P901" s="176">
        <f>P897*'Assumptions (Solar)'!O47*'Assumptions (Solar)'!O48*365/10^9</f>
        <v>0.01297637715</v>
      </c>
      <c r="Q901" s="176">
        <f>Q897*'Assumptions (Solar)'!P47*'Assumptions (Solar)'!P48*365/10^9</f>
        <v>0.02805190496</v>
      </c>
      <c r="R901" s="176">
        <f>R897*'Assumptions (Solar)'!Q47*'Assumptions (Solar)'!Q48*365/10^9</f>
        <v>0.06919722598</v>
      </c>
      <c r="S901" s="176">
        <f>S897*'Assumptions (Solar)'!R47*'Assumptions (Solar)'!R48*365/10^9</f>
        <v>0.1058770281</v>
      </c>
      <c r="T901" s="176">
        <f>T897*'Assumptions (Solar)'!S47*'Assumptions (Solar)'!S48*365/10^9</f>
        <v>0.1595060497</v>
      </c>
      <c r="U901" s="176">
        <f>U897*'Assumptions (Solar)'!T47*'Assumptions (Solar)'!T48*365/10^9</f>
        <v>0.1828614487</v>
      </c>
      <c r="V901" s="176">
        <f>V897*'Assumptions (Solar)'!U47*'Assumptions (Solar)'!U48*365/10^9</f>
        <v>0.2156005924</v>
      </c>
      <c r="W901" s="176">
        <f>W897*'Assumptions (Solar)'!V47*'Assumptions (Solar)'!V48*365/10^9</f>
        <v>0.218589448</v>
      </c>
      <c r="X901" s="176">
        <f>X897*'Assumptions (Solar)'!W47*'Assumptions (Solar)'!W48*365/10^9</f>
        <v>0.2660732433</v>
      </c>
      <c r="Y901" s="176">
        <f>Y897*'Assumptions (Solar)'!X47*'Assumptions (Solar)'!X48*365/10^9</f>
        <v>0.3147788536</v>
      </c>
      <c r="Z901" s="176">
        <f>Z897*'Assumptions (Solar)'!Y47*'Assumptions (Solar)'!Y48*365/10^9</f>
        <v>0.3669164484</v>
      </c>
      <c r="AA901" s="176">
        <f>AA897*'Assumptions (Solar)'!Z47*'Assumptions (Solar)'!Z48*365/10^9</f>
        <v>0.4217869447</v>
      </c>
      <c r="AB901" s="176">
        <f>AB897*'Assumptions (Solar)'!AA47*'Assumptions (Solar)'!AA48*365/10^9</f>
        <v>0.4829337275</v>
      </c>
      <c r="AC901" s="176">
        <f>AC897*'Assumptions (Solar)'!AB47*'Assumptions (Solar)'!AB48*365/10^9</f>
        <v>0.5407744474</v>
      </c>
      <c r="AD901" s="176">
        <f>AD897*'Assumptions (Solar)'!AC47*'Assumptions (Solar)'!AC48*365/10^9</f>
        <v>0.602427584</v>
      </c>
      <c r="AE901" s="176">
        <f>AE897*'Assumptions (Solar)'!AD47*'Assumptions (Solar)'!AD48*365/10^9</f>
        <v>0.6649312373</v>
      </c>
      <c r="AF901" s="176">
        <f>AF897*'Assumptions (Solar)'!AE47*'Assumptions (Solar)'!AE48*365/10^9</f>
        <v>0.7300567511</v>
      </c>
      <c r="AG901" s="176">
        <f>AG897*'Assumptions (Solar)'!AF47*'Assumptions (Solar)'!AF48*365/10^9</f>
        <v>0.7973942023</v>
      </c>
      <c r="AH901" s="176">
        <f>AH897*'Assumptions (Solar)'!AG47*'Assumptions (Solar)'!AG48*365/10^9</f>
        <v>0.8682383175</v>
      </c>
      <c r="AI901" s="176">
        <f>AI897*'Assumptions (Solar)'!AH47*'Assumptions (Solar)'!AH48*365/10^9</f>
        <v>0.937679731</v>
      </c>
      <c r="AJ901" s="176">
        <f>AJ897*'Assumptions (Solar)'!AI47*'Assumptions (Solar)'!AI48*365/10^9</f>
        <v>1.008551011</v>
      </c>
      <c r="AK901" s="176">
        <f>AK897*'Assumptions (Solar)'!AJ47*'Assumptions (Solar)'!AJ48*365/10^9</f>
        <v>1.081447767</v>
      </c>
      <c r="AL901" s="176">
        <f>AL897*'Assumptions (Solar)'!AK47*'Assumptions (Solar)'!AK48*365/10^9</f>
        <v>1.158057695</v>
      </c>
      <c r="AM901" s="176">
        <f>AM897*'Assumptions (Solar)'!AL47*'Assumptions (Solar)'!AL48*365/10^9</f>
        <v>1.241741545</v>
      </c>
      <c r="AN901" s="176">
        <f>AN897*'Assumptions (Solar)'!AM47*'Assumptions (Solar)'!AM48*365/10^9</f>
        <v>1.327038258</v>
      </c>
      <c r="AO901" s="176">
        <f>AO897*'Assumptions (Solar)'!AN47*'Assumptions (Solar)'!AN48*365/10^9</f>
        <v>1.419056934</v>
      </c>
      <c r="AP901" s="176">
        <f>AP897*'Assumptions (Solar)'!AO47*'Assumptions (Solar)'!AO48*365/10^9</f>
        <v>1.514378554</v>
      </c>
      <c r="AQ901" s="176">
        <f>AQ897*'Assumptions (Solar)'!AP47*'Assumptions (Solar)'!AP48*365/10^9</f>
        <v>1.610190356</v>
      </c>
      <c r="AR901" s="176">
        <f>AR897*'Assumptions (Solar)'!AQ47*'Assumptions (Solar)'!AQ48*365/10^9</f>
        <v>1.707858307</v>
      </c>
      <c r="AS901" s="176">
        <f>AS897*'Assumptions (Solar)'!AR47*'Assumptions (Solar)'!AR48*365/10^9</f>
        <v>1.807833852</v>
      </c>
      <c r="AT901" s="176">
        <f>AT897*'Assumptions (Solar)'!AS47*'Assumptions (Solar)'!AS48*365/10^9</f>
        <v>1.912433661</v>
      </c>
      <c r="AU901" s="176">
        <f>AU897*'Assumptions (Solar)'!AT47*'Assumptions (Solar)'!AT48*365/10^9</f>
        <v>2.022281157</v>
      </c>
      <c r="AV901" s="176">
        <f>AV897*'Assumptions (Solar)'!AU47*'Assumptions (Solar)'!AU48*365/10^9</f>
        <v>2.136071525</v>
      </c>
      <c r="AW901" s="176">
        <f>AW897*'Assumptions (Solar)'!AV47*'Assumptions (Solar)'!AV48*365/10^9</f>
        <v>2.248974188</v>
      </c>
      <c r="AX901" s="176">
        <f>AX897*'Assumptions (Solar)'!AW47*'Assumptions (Solar)'!AW48*365/10^9</f>
        <v>2.373012559</v>
      </c>
      <c r="AY901" s="176">
        <f>AY897*'Assumptions (Solar)'!AX47*'Assumptions (Solar)'!AX48*365/10^9</f>
        <v>2.535849811</v>
      </c>
      <c r="AZ901" s="176">
        <f>AZ897*'Assumptions (Solar)'!AY47*'Assumptions (Solar)'!AY48*365/10^9</f>
        <v>2.682755626</v>
      </c>
      <c r="BA901" s="176">
        <f>BA897*'Assumptions (Solar)'!AZ47*'Assumptions (Solar)'!AZ48*365/10^9</f>
        <v>2.818454195</v>
      </c>
    </row>
    <row r="902" ht="15.75" customHeight="1">
      <c r="A902" s="255" t="s">
        <v>46</v>
      </c>
      <c r="B902" s="159" t="s">
        <v>149</v>
      </c>
      <c r="C902" s="172">
        <f t="array" ref="C902:V902">transpose('Assumptions (Solar)'!V123:V142)</f>
        <v>0</v>
      </c>
      <c r="D902" s="172">
        <v>0.0</v>
      </c>
      <c r="E902" s="172">
        <v>0.0</v>
      </c>
      <c r="F902" s="172">
        <v>0.0</v>
      </c>
      <c r="G902" s="172">
        <v>0.0</v>
      </c>
      <c r="H902" s="172">
        <v>0.0</v>
      </c>
      <c r="I902" s="172">
        <v>0.0</v>
      </c>
      <c r="J902" s="172">
        <v>0.0</v>
      </c>
      <c r="K902" s="172">
        <v>3.2</v>
      </c>
      <c r="L902" s="172">
        <v>0.0</v>
      </c>
      <c r="M902" s="172">
        <v>7.4</v>
      </c>
      <c r="N902" s="172">
        <v>26.5</v>
      </c>
      <c r="O902" s="172">
        <v>111.6</v>
      </c>
      <c r="P902" s="172">
        <v>282.4</v>
      </c>
      <c r="Q902" s="172">
        <v>408.4</v>
      </c>
      <c r="R902" s="172">
        <v>1090.3</v>
      </c>
      <c r="S902" s="172">
        <v>1654.1</v>
      </c>
      <c r="T902" s="172">
        <v>1461.1</v>
      </c>
      <c r="U902" s="172">
        <v>880.2</v>
      </c>
      <c r="V902" s="172">
        <v>0.0</v>
      </c>
      <c r="W902" s="152">
        <v>0.0</v>
      </c>
      <c r="X902" s="148">
        <f t="shared" ref="X902:BA902" si="41">if(X897&gt;X896,X897-X896,0)</f>
        <v>1415.968292</v>
      </c>
      <c r="Y902" s="148">
        <f t="shared" si="41"/>
        <v>1415.968292</v>
      </c>
      <c r="Z902" s="148">
        <f t="shared" si="41"/>
        <v>1415.968292</v>
      </c>
      <c r="AA902" s="148">
        <f t="shared" si="41"/>
        <v>1415.968292</v>
      </c>
      <c r="AB902" s="148">
        <f t="shared" si="41"/>
        <v>1415.968292</v>
      </c>
      <c r="AC902" s="148">
        <f t="shared" si="41"/>
        <v>1415.968292</v>
      </c>
      <c r="AD902" s="148">
        <f t="shared" si="41"/>
        <v>1415.968292</v>
      </c>
      <c r="AE902" s="148">
        <f t="shared" si="41"/>
        <v>1415.968292</v>
      </c>
      <c r="AF902" s="148">
        <f t="shared" si="41"/>
        <v>1415.968292</v>
      </c>
      <c r="AG902" s="148">
        <f t="shared" si="41"/>
        <v>1415.968292</v>
      </c>
      <c r="AH902" s="148">
        <f t="shared" si="41"/>
        <v>1415.968292</v>
      </c>
      <c r="AI902" s="148">
        <f t="shared" si="41"/>
        <v>1415.968292</v>
      </c>
      <c r="AJ902" s="148">
        <f t="shared" si="41"/>
        <v>1415.968292</v>
      </c>
      <c r="AK902" s="148">
        <f t="shared" si="41"/>
        <v>1419.168292</v>
      </c>
      <c r="AL902" s="148">
        <f t="shared" si="41"/>
        <v>1415.968292</v>
      </c>
      <c r="AM902" s="148">
        <f t="shared" si="41"/>
        <v>1423.368292</v>
      </c>
      <c r="AN902" s="148">
        <f t="shared" si="41"/>
        <v>1442.468292</v>
      </c>
      <c r="AO902" s="148">
        <f t="shared" si="41"/>
        <v>1527.568292</v>
      </c>
      <c r="AP902" s="148">
        <f t="shared" si="41"/>
        <v>1698.368292</v>
      </c>
      <c r="AQ902" s="148">
        <f t="shared" si="41"/>
        <v>1824.368292</v>
      </c>
      <c r="AR902" s="148">
        <f t="shared" si="41"/>
        <v>2506.268292</v>
      </c>
      <c r="AS902" s="148">
        <f t="shared" si="41"/>
        <v>3070.068292</v>
      </c>
      <c r="AT902" s="148">
        <f t="shared" si="41"/>
        <v>2877.068292</v>
      </c>
      <c r="AU902" s="148">
        <f t="shared" si="41"/>
        <v>2296.168292</v>
      </c>
      <c r="AV902" s="148">
        <f t="shared" si="41"/>
        <v>1415.968292</v>
      </c>
      <c r="AW902" s="148">
        <f t="shared" si="41"/>
        <v>1415.968292</v>
      </c>
      <c r="AX902" s="148">
        <f t="shared" si="41"/>
        <v>2831.936584</v>
      </c>
      <c r="AY902" s="148">
        <f t="shared" si="41"/>
        <v>2831.936584</v>
      </c>
      <c r="AZ902" s="148">
        <f t="shared" si="41"/>
        <v>2831.936584</v>
      </c>
      <c r="BA902" s="148">
        <f t="shared" si="41"/>
        <v>2831.936584</v>
      </c>
    </row>
    <row r="903" ht="15.75" customHeight="1">
      <c r="A903" s="255" t="s">
        <v>48</v>
      </c>
      <c r="B903" s="159" t="s">
        <v>150</v>
      </c>
      <c r="C903" s="174"/>
      <c r="D903" s="174"/>
      <c r="E903" s="174"/>
      <c r="F903" s="174"/>
      <c r="G903" s="174"/>
      <c r="H903" s="174"/>
      <c r="I903" s="174"/>
      <c r="J903" s="174"/>
      <c r="K903" s="174"/>
      <c r="L903" s="174"/>
      <c r="M903" s="174"/>
      <c r="N903" s="174"/>
      <c r="O903" s="174"/>
      <c r="P903" s="174"/>
      <c r="Q903" s="174"/>
      <c r="R903" s="174"/>
      <c r="S903" s="174"/>
      <c r="T903" s="174"/>
      <c r="U903" s="174"/>
      <c r="V903" s="174"/>
      <c r="W903" s="175"/>
      <c r="X903" s="175">
        <f>IF(W902='Assumptions (Solar)'!$V$15,Model!X898-(Model!X897*0.00876*('Assumptions (Solar)'!V20*'Assumptions (Solar)'!V23+'Assumptions (Solar)'!V21*'Assumptions (Solar)'!V25)),0)</f>
        <v>0</v>
      </c>
      <c r="Y903" s="175">
        <f>IF(X902='Assumptions (Solar)'!$V$15,Model!Y898-(Model!Y897*0.00876*('Assumptions (Solar)'!W20*'Assumptions (Solar)'!W23+'Assumptions (Solar)'!W21*'Assumptions (Solar)'!W25)),0)</f>
        <v>0</v>
      </c>
      <c r="Z903" s="175">
        <f>IF(Y902='Assumptions (Solar)'!$V$15,Model!Z898-(Model!Z897*0.00876*('Assumptions (Solar)'!X20*'Assumptions (Solar)'!X23+'Assumptions (Solar)'!X21*'Assumptions (Solar)'!X25)),0)</f>
        <v>0</v>
      </c>
      <c r="AA903" s="175">
        <f>IF(Z902='Assumptions (Solar)'!$V$15,Model!AA898-(Model!AA897*0.00876*('Assumptions (Solar)'!Y20*'Assumptions (Solar)'!Y23+'Assumptions (Solar)'!Y21*'Assumptions (Solar)'!Y25)),0)</f>
        <v>0</v>
      </c>
      <c r="AB903" s="175">
        <f>IF(AA902='Assumptions (Solar)'!$V$15,Model!AB898-(Model!AB897*0.00876*('Assumptions (Solar)'!Z20*'Assumptions (Solar)'!Z23+'Assumptions (Solar)'!Z21*'Assumptions (Solar)'!Z25)),0)</f>
        <v>0</v>
      </c>
      <c r="AC903" s="175">
        <f>IF(AB902='Assumptions (Solar)'!$V$15,Model!AC898-(Model!AC897*0.00876*('Assumptions (Solar)'!AA20*'Assumptions (Solar)'!AA23+'Assumptions (Solar)'!AA21*'Assumptions (Solar)'!AA25)),0)</f>
        <v>0</v>
      </c>
      <c r="AD903" s="175">
        <f>IF(AC902='Assumptions (Solar)'!$V$15,Model!AD898-(Model!AD897*0.00876*('Assumptions (Solar)'!AB20*'Assumptions (Solar)'!AB23+'Assumptions (Solar)'!AB21*'Assumptions (Solar)'!AB25)),0)</f>
        <v>0</v>
      </c>
      <c r="AE903" s="175">
        <f>IF(AD902='Assumptions (Solar)'!$V$15,Model!AE898-(Model!AE897*0.00876*('Assumptions (Solar)'!AC20*'Assumptions (Solar)'!AC23+'Assumptions (Solar)'!AC21*'Assumptions (Solar)'!AC25)),0)</f>
        <v>0</v>
      </c>
      <c r="AF903" s="175">
        <f>IF(AE902='Assumptions (Solar)'!$V$15,Model!AF898-(Model!AF897*0.00876*('Assumptions (Solar)'!AD20*'Assumptions (Solar)'!AD23+'Assumptions (Solar)'!AD21*'Assumptions (Solar)'!AD25)),0)</f>
        <v>0</v>
      </c>
      <c r="AG903" s="175">
        <f>IF(AF902='Assumptions (Solar)'!$V$15,Model!AG898-(Model!AG897*0.00876*('Assumptions (Solar)'!AE20*'Assumptions (Solar)'!AE23+'Assumptions (Solar)'!AE21*'Assumptions (Solar)'!AE25)),0)</f>
        <v>0</v>
      </c>
      <c r="AH903" s="175">
        <f>IF(AG902='Assumptions (Solar)'!$V$15,Model!AH898-(Model!AH897*0.00876*('Assumptions (Solar)'!AF20*'Assumptions (Solar)'!AF23+'Assumptions (Solar)'!AF21*'Assumptions (Solar)'!AF25)),0)</f>
        <v>0</v>
      </c>
      <c r="AI903" s="175">
        <f>IF(AH902='Assumptions (Solar)'!$V$15,Model!AI898-(Model!AI897*0.00876*('Assumptions (Solar)'!AG20*'Assumptions (Solar)'!AG23+'Assumptions (Solar)'!AG21*'Assumptions (Solar)'!AG25)),0)</f>
        <v>0</v>
      </c>
      <c r="AJ903" s="175">
        <f>IF(AI902='Assumptions (Solar)'!$V$15,Model!AJ898-(Model!AJ897*0.00876*('Assumptions (Solar)'!AH20*'Assumptions (Solar)'!AH23+'Assumptions (Solar)'!AH21*'Assumptions (Solar)'!AH25)),0)</f>
        <v>0</v>
      </c>
      <c r="AK903" s="175">
        <f>IF(AJ902='Assumptions (Solar)'!$V$15,Model!AK898-(Model!AK897*0.00876*('Assumptions (Solar)'!AI20*'Assumptions (Solar)'!AI23+'Assumptions (Solar)'!AI21*'Assumptions (Solar)'!AI25)),0)</f>
        <v>0</v>
      </c>
      <c r="AL903" s="175">
        <f>IF(AK902='Assumptions (Solar)'!$V$15,Model!AL898-(Model!AL897*0.00876*('Assumptions (Solar)'!AJ20*'Assumptions (Solar)'!AJ23+'Assumptions (Solar)'!AJ21*'Assumptions (Solar)'!AJ25)),0)</f>
        <v>0</v>
      </c>
      <c r="AM903" s="175">
        <f>IF(AL902='Assumptions (Solar)'!$V$15,Model!AM898-(Model!AM897*0.00876*('Assumptions (Solar)'!AK20*'Assumptions (Solar)'!AK23+'Assumptions (Solar)'!AK21*'Assumptions (Solar)'!AK25)),0)</f>
        <v>0</v>
      </c>
      <c r="AN903" s="175">
        <f>IF(AM902='Assumptions (Solar)'!$V$15,Model!AN898-(Model!AN897*0.00876*('Assumptions (Solar)'!AL20*'Assumptions (Solar)'!AL23+'Assumptions (Solar)'!AL21*'Assumptions (Solar)'!AL25)),0)</f>
        <v>0</v>
      </c>
      <c r="AO903" s="175">
        <f>IF(AN902='Assumptions (Solar)'!$V$15,Model!AO898-(Model!AO897*0.00876*('Assumptions (Solar)'!AM20*'Assumptions (Solar)'!AM23+'Assumptions (Solar)'!AM21*'Assumptions (Solar)'!AM25)),0)</f>
        <v>0</v>
      </c>
      <c r="AP903" s="175">
        <f>IF(AO902='Assumptions (Solar)'!$V$15,Model!AP898-(Model!AP897*0.00876*('Assumptions (Solar)'!AN20*'Assumptions (Solar)'!AN23+'Assumptions (Solar)'!AN21*'Assumptions (Solar)'!AN25)),0)</f>
        <v>0</v>
      </c>
      <c r="AQ903" s="175">
        <f>IF(AP902='Assumptions (Solar)'!$V$15,Model!AQ898-(Model!AQ897*0.00876*('Assumptions (Solar)'!AO20*'Assumptions (Solar)'!AO23+'Assumptions (Solar)'!AO21*'Assumptions (Solar)'!AO25)),0)</f>
        <v>0</v>
      </c>
      <c r="AR903" s="175">
        <f>IF(AQ902='Assumptions (Solar)'!$V$15,Model!AR898-(Model!AR897*0.00876*('Assumptions (Solar)'!AP20*'Assumptions (Solar)'!AP23+'Assumptions (Solar)'!AP21*'Assumptions (Solar)'!AP25)),0)</f>
        <v>0</v>
      </c>
      <c r="AS903" s="175">
        <f>IF(AR902='Assumptions (Solar)'!$V$15,Model!AS898-(Model!AS897*0.00876*('Assumptions (Solar)'!AQ20*'Assumptions (Solar)'!AQ23+'Assumptions (Solar)'!AQ21*'Assumptions (Solar)'!AQ25)),0)</f>
        <v>0</v>
      </c>
      <c r="AT903" s="175">
        <f>IF(AS902='Assumptions (Solar)'!$V$15,Model!AT898-(Model!AT897*0.00876*('Assumptions (Solar)'!AR20*'Assumptions (Solar)'!AR23+'Assumptions (Solar)'!AR21*'Assumptions (Solar)'!AR25)),0)</f>
        <v>0</v>
      </c>
      <c r="AU903" s="175">
        <f>IF(AT902='Assumptions (Solar)'!$V$15,Model!AU898-(Model!AU897*0.00876*('Assumptions (Solar)'!AS20*'Assumptions (Solar)'!AS23+'Assumptions (Solar)'!AS21*'Assumptions (Solar)'!AS25)),0)</f>
        <v>0</v>
      </c>
      <c r="AV903" s="175">
        <f>IF(AU902='Assumptions (Solar)'!$V$15,Model!AV898-(Model!AV897*0.00876*('Assumptions (Solar)'!AT20*'Assumptions (Solar)'!AT23+'Assumptions (Solar)'!AT21*'Assumptions (Solar)'!AT25)),0)</f>
        <v>0</v>
      </c>
      <c r="AW903" s="175">
        <f>IF(AV902='Assumptions (Solar)'!$V$15,Model!AW898-(Model!AW897*0.00876*('Assumptions (Solar)'!AU20*'Assumptions (Solar)'!AU23+'Assumptions (Solar)'!AU21*'Assumptions (Solar)'!AU25)),0)</f>
        <v>0</v>
      </c>
      <c r="AX903" s="175">
        <f>IF(AW902='Assumptions (Solar)'!$V$15,Model!AX898-(Model!AX897*0.00876*('Assumptions (Solar)'!AV20*'Assumptions (Solar)'!AV23+'Assumptions (Solar)'!AV21*'Assumptions (Solar)'!AV25)),0)</f>
        <v>0</v>
      </c>
      <c r="AY903" s="175">
        <f>IF(AX902='Assumptions (Solar)'!$V$15,Model!AY898-(Model!AY897*0.00876*('Assumptions (Solar)'!AW20*'Assumptions (Solar)'!AW23+'Assumptions (Solar)'!AW21*'Assumptions (Solar)'!AW25)),0)</f>
        <v>0</v>
      </c>
      <c r="AZ903" s="175">
        <f>IF(AY902='Assumptions (Solar)'!$V$15,Model!AZ898-(Model!AZ897*0.00876*('Assumptions (Solar)'!AX20*'Assumptions (Solar)'!AX23+'Assumptions (Solar)'!AX21*'Assumptions (Solar)'!AX25)),0)</f>
        <v>0</v>
      </c>
      <c r="BA903" s="175">
        <f>IF(AZ902='Assumptions (Solar)'!$V$15,Model!BA898-(Model!BA897*0.00876*('Assumptions (Solar)'!AY20*'Assumptions (Solar)'!AY23+'Assumptions (Solar)'!AY21*'Assumptions (Solar)'!AY25)),0)</f>
        <v>0</v>
      </c>
    </row>
    <row r="904" ht="15.75" customHeight="1">
      <c r="A904" s="254" t="s">
        <v>358</v>
      </c>
      <c r="B904" s="150" t="s">
        <v>351</v>
      </c>
      <c r="C904" s="176">
        <f t="shared" ref="C904:BA904" si="42">SUM(C905:C955)</f>
        <v>0</v>
      </c>
      <c r="D904" s="176">
        <f t="shared" si="42"/>
        <v>0</v>
      </c>
      <c r="E904" s="176">
        <f t="shared" si="42"/>
        <v>0</v>
      </c>
      <c r="F904" s="176">
        <f t="shared" si="42"/>
        <v>0</v>
      </c>
      <c r="G904" s="176">
        <f t="shared" si="42"/>
        <v>0</v>
      </c>
      <c r="H904" s="176">
        <f t="shared" si="42"/>
        <v>0</v>
      </c>
      <c r="I904" s="176">
        <f t="shared" si="42"/>
        <v>0</v>
      </c>
      <c r="J904" s="176">
        <f t="shared" si="42"/>
        <v>0.02321558137</v>
      </c>
      <c r="K904" s="176">
        <f t="shared" si="42"/>
        <v>0</v>
      </c>
      <c r="L904" s="176">
        <f t="shared" si="42"/>
        <v>0.05136260945</v>
      </c>
      <c r="M904" s="176">
        <f t="shared" si="42"/>
        <v>0.1497991584</v>
      </c>
      <c r="N904" s="176">
        <f t="shared" si="42"/>
        <v>0.5822926629</v>
      </c>
      <c r="O904" s="176">
        <f t="shared" si="42"/>
        <v>1.228986103</v>
      </c>
      <c r="P904" s="176">
        <f t="shared" si="42"/>
        <v>1.73036681</v>
      </c>
      <c r="Q904" s="176">
        <f t="shared" si="42"/>
        <v>4.374204204</v>
      </c>
      <c r="R904" s="176">
        <f t="shared" si="42"/>
        <v>5.967726843</v>
      </c>
      <c r="S904" s="176">
        <f t="shared" si="42"/>
        <v>4.576848234</v>
      </c>
      <c r="T904" s="176">
        <f t="shared" si="42"/>
        <v>2.603022406</v>
      </c>
      <c r="U904" s="176">
        <f t="shared" si="42"/>
        <v>0</v>
      </c>
      <c r="V904" s="176">
        <f t="shared" si="42"/>
        <v>0</v>
      </c>
      <c r="W904" s="176">
        <f t="shared" si="42"/>
        <v>2.796477395</v>
      </c>
      <c r="X904" s="176">
        <f t="shared" si="42"/>
        <v>1.953609111</v>
      </c>
      <c r="Y904" s="176">
        <f t="shared" si="42"/>
        <v>1.912175521</v>
      </c>
      <c r="Z904" s="176">
        <f t="shared" si="42"/>
        <v>1.868381732</v>
      </c>
      <c r="AA904" s="176">
        <f t="shared" si="42"/>
        <v>1.823741436</v>
      </c>
      <c r="AB904" s="176">
        <f t="shared" si="42"/>
        <v>1.775027231</v>
      </c>
      <c r="AC904" s="176">
        <f t="shared" si="42"/>
        <v>1.723718181</v>
      </c>
      <c r="AD904" s="176">
        <f t="shared" si="42"/>
        <v>1.671416478</v>
      </c>
      <c r="AE904" s="176">
        <f t="shared" si="42"/>
        <v>1.614700256</v>
      </c>
      <c r="AF904" s="176">
        <f t="shared" si="42"/>
        <v>1.555134942</v>
      </c>
      <c r="AG904" s="176">
        <f t="shared" si="42"/>
        <v>1.492630956</v>
      </c>
      <c r="AH904" s="176">
        <f t="shared" si="42"/>
        <v>1.509008724</v>
      </c>
      <c r="AI904" s="176">
        <f t="shared" si="42"/>
        <v>1.525457424</v>
      </c>
      <c r="AJ904" s="176">
        <f t="shared" si="42"/>
        <v>1.543562086</v>
      </c>
      <c r="AK904" s="176">
        <f t="shared" si="42"/>
        <v>1.556624689</v>
      </c>
      <c r="AL904" s="176">
        <f t="shared" si="42"/>
        <v>1.579472144</v>
      </c>
      <c r="AM904" s="176">
        <f t="shared" si="42"/>
        <v>1.617597306</v>
      </c>
      <c r="AN904" s="176">
        <f t="shared" si="42"/>
        <v>1.728807783</v>
      </c>
      <c r="AO904" s="176">
        <f t="shared" si="42"/>
        <v>1.94211059</v>
      </c>
      <c r="AP904" s="176">
        <f t="shared" si="42"/>
        <v>2.10773185</v>
      </c>
      <c r="AQ904" s="176">
        <f t="shared" si="42"/>
        <v>2.921364193</v>
      </c>
      <c r="AR904" s="176">
        <f t="shared" si="42"/>
        <v>3.614841104</v>
      </c>
      <c r="AS904" s="176">
        <f t="shared" si="42"/>
        <v>3.417087107</v>
      </c>
      <c r="AT904" s="176">
        <f t="shared" si="42"/>
        <v>2.75430332</v>
      </c>
      <c r="AU904" s="176">
        <f t="shared" si="42"/>
        <v>1.712899936</v>
      </c>
      <c r="AV904" s="176">
        <f t="shared" si="42"/>
        <v>1.729617106</v>
      </c>
      <c r="AW904" s="176">
        <f t="shared" si="42"/>
        <v>3.492669231</v>
      </c>
      <c r="AX904" s="176">
        <f t="shared" si="42"/>
        <v>3.52113289</v>
      </c>
      <c r="AY904" s="176">
        <f t="shared" si="42"/>
        <v>3.554433927</v>
      </c>
      <c r="AZ904" s="176">
        <f t="shared" si="42"/>
        <v>3.582539424</v>
      </c>
      <c r="BA904" s="176">
        <f t="shared" si="42"/>
        <v>0</v>
      </c>
    </row>
    <row r="905" ht="15.75" hidden="1" customHeight="1" outlineLevel="1">
      <c r="A905" s="255"/>
      <c r="B905" s="38"/>
      <c r="C905" s="177">
        <f>IF($C$902&gt;0,2*'Assumptions (Solar)'!$V$18*Model!$C$902*('Assumptions (Solar)'!B20*'Assumptions (Solar)'!B$2+'Assumptions (Solar)'!B21*'Assumptions (Solar)'!B3)/10^9,0)</f>
        <v>0</v>
      </c>
      <c r="D905" s="160"/>
      <c r="E905" s="160"/>
      <c r="F905" s="160"/>
      <c r="G905" s="160"/>
      <c r="H905" s="160"/>
      <c r="I905" s="160"/>
      <c r="J905" s="160"/>
      <c r="K905" s="160"/>
      <c r="L905" s="160"/>
      <c r="M905" s="160"/>
      <c r="N905" s="160"/>
      <c r="O905" s="160"/>
      <c r="P905" s="160"/>
      <c r="Q905" s="160"/>
      <c r="R905" s="160"/>
      <c r="S905" s="160"/>
      <c r="T905" s="160"/>
      <c r="U905" s="160"/>
      <c r="V905" s="174"/>
      <c r="W905" s="176"/>
      <c r="X905" s="176"/>
      <c r="Y905" s="176"/>
      <c r="Z905" s="160"/>
      <c r="AA905" s="160"/>
      <c r="AB905" s="160"/>
      <c r="AC905" s="160"/>
      <c r="AD905" s="160"/>
      <c r="AE905" s="160"/>
      <c r="AF905" s="160"/>
      <c r="AG905" s="160"/>
      <c r="AH905" s="160"/>
      <c r="AI905" s="160"/>
      <c r="AJ905" s="160"/>
      <c r="AK905" s="160"/>
      <c r="AL905" s="160"/>
      <c r="AM905" s="160"/>
      <c r="AN905" s="160"/>
      <c r="AO905" s="160"/>
      <c r="AP905" s="160"/>
      <c r="AQ905" s="160"/>
      <c r="AR905" s="160"/>
      <c r="AS905" s="160"/>
      <c r="AT905" s="160"/>
      <c r="AU905" s="160"/>
      <c r="AV905" s="160"/>
      <c r="AW905" s="160"/>
      <c r="AX905" s="160"/>
      <c r="AY905" s="160"/>
      <c r="AZ905" s="160"/>
      <c r="BA905" s="160"/>
    </row>
    <row r="906" ht="15.75" hidden="1" customHeight="1" outlineLevel="1">
      <c r="A906" s="255"/>
      <c r="B906" s="38"/>
      <c r="C906" s="177">
        <f>IF($D$902&gt;0,2*'Assumptions (Solar)'!$V$18*Model!$D$902*('Assumptions (Solar)'!B20*'Assumptions (Solar)'!B$2+'Assumptions (Solar)'!B21*'Assumptions (Solar)'!B3)/10^9,0)</f>
        <v>0</v>
      </c>
      <c r="D906" s="177"/>
      <c r="E906" s="177"/>
      <c r="F906" s="177"/>
      <c r="G906" s="177"/>
      <c r="H906" s="177"/>
      <c r="I906" s="177"/>
      <c r="J906" s="177"/>
      <c r="K906" s="177"/>
      <c r="L906" s="177"/>
      <c r="M906" s="160"/>
      <c r="N906" s="160"/>
      <c r="O906" s="160"/>
      <c r="P906" s="160"/>
      <c r="Q906" s="160"/>
      <c r="R906" s="160"/>
      <c r="S906" s="160"/>
      <c r="T906" s="160"/>
      <c r="U906" s="160"/>
      <c r="V906" s="174"/>
      <c r="W906" s="176"/>
      <c r="X906" s="176"/>
      <c r="Y906" s="176"/>
      <c r="Z906" s="160"/>
      <c r="AA906" s="160"/>
      <c r="AB906" s="160"/>
      <c r="AC906" s="160"/>
      <c r="AD906" s="160"/>
      <c r="AE906" s="160"/>
      <c r="AF906" s="160"/>
      <c r="AG906" s="160"/>
      <c r="AH906" s="160"/>
      <c r="AI906" s="160"/>
      <c r="AJ906" s="160"/>
      <c r="AK906" s="160"/>
      <c r="AL906" s="160"/>
      <c r="AM906" s="160"/>
      <c r="AN906" s="160"/>
      <c r="AO906" s="160"/>
      <c r="AP906" s="160"/>
      <c r="AQ906" s="160"/>
      <c r="AR906" s="160"/>
      <c r="AS906" s="160"/>
      <c r="AT906" s="160"/>
      <c r="AU906" s="160"/>
      <c r="AV906" s="160"/>
      <c r="AW906" s="160"/>
      <c r="AX906" s="160"/>
      <c r="AY906" s="160"/>
      <c r="AZ906" s="160"/>
      <c r="BA906" s="160"/>
    </row>
    <row r="907" ht="15.75" hidden="1" customHeight="1" outlineLevel="1">
      <c r="A907" s="255"/>
      <c r="B907" s="38"/>
      <c r="C907" s="177"/>
      <c r="D907" s="177">
        <f>IF($E$902&gt;0,'Assumptions (Solar)'!$V$18*Model!$E$902*('Assumptions (Solar)'!C20*'Assumptions (Solar)'!C$2+'Assumptions (Solar)'!C21*'Assumptions (Solar)'!C3)/10^9,0)</f>
        <v>0</v>
      </c>
      <c r="E907" s="177"/>
      <c r="F907" s="177"/>
      <c r="G907" s="177"/>
      <c r="H907" s="177"/>
      <c r="I907" s="177"/>
      <c r="J907" s="177"/>
      <c r="K907" s="177"/>
      <c r="L907" s="177"/>
      <c r="M907" s="160"/>
      <c r="N907" s="160"/>
      <c r="O907" s="160"/>
      <c r="P907" s="160"/>
      <c r="Q907" s="160"/>
      <c r="R907" s="160"/>
      <c r="S907" s="160"/>
      <c r="T907" s="160"/>
      <c r="U907" s="160"/>
      <c r="V907" s="174"/>
      <c r="W907" s="176"/>
      <c r="X907" s="176"/>
      <c r="Y907" s="176"/>
      <c r="Z907" s="160"/>
      <c r="AA907" s="160"/>
      <c r="AB907" s="160"/>
      <c r="AC907" s="160"/>
      <c r="AD907" s="160"/>
      <c r="AE907" s="160"/>
      <c r="AF907" s="160"/>
      <c r="AG907" s="160"/>
      <c r="AH907" s="160"/>
      <c r="AI907" s="160"/>
      <c r="AJ907" s="160"/>
      <c r="AK907" s="160"/>
      <c r="AL907" s="160"/>
      <c r="AM907" s="160"/>
      <c r="AN907" s="160"/>
      <c r="AO907" s="160"/>
      <c r="AP907" s="160"/>
      <c r="AQ907" s="160"/>
      <c r="AR907" s="160"/>
      <c r="AS907" s="160"/>
      <c r="AT907" s="160"/>
      <c r="AU907" s="160"/>
      <c r="AV907" s="160"/>
      <c r="AW907" s="160"/>
      <c r="AX907" s="160"/>
      <c r="AY907" s="160"/>
      <c r="AZ907" s="160"/>
      <c r="BA907" s="160"/>
    </row>
    <row r="908" ht="15.75" hidden="1" customHeight="1" outlineLevel="1">
      <c r="A908" s="255"/>
      <c r="B908" s="38"/>
      <c r="C908" s="177"/>
      <c r="D908" s="177"/>
      <c r="E908" s="177">
        <f>IF($F$902&gt;0,'Assumptions (Solar)'!$V$18*Model!$F$902*('Assumptions (Solar)'!D20*'Assumptions (Solar)'!D$2+'Assumptions (Solar)'!D21*'Assumptions (Solar)'!D3)/10^9,0)</f>
        <v>0</v>
      </c>
      <c r="F908" s="177"/>
      <c r="G908" s="177"/>
      <c r="H908" s="177"/>
      <c r="I908" s="177"/>
      <c r="J908" s="177"/>
      <c r="K908" s="177"/>
      <c r="L908" s="177"/>
      <c r="M908" s="160"/>
      <c r="N908" s="160"/>
      <c r="O908" s="160"/>
      <c r="P908" s="160"/>
      <c r="Q908" s="160"/>
      <c r="R908" s="160"/>
      <c r="S908" s="160"/>
      <c r="T908" s="160"/>
      <c r="U908" s="160"/>
      <c r="V908" s="174"/>
      <c r="W908" s="176"/>
      <c r="X908" s="176"/>
      <c r="Y908" s="176"/>
      <c r="Z908" s="160"/>
      <c r="AA908" s="160"/>
      <c r="AB908" s="160"/>
      <c r="AC908" s="160"/>
      <c r="AD908" s="160"/>
      <c r="AE908" s="160"/>
      <c r="AF908" s="160"/>
      <c r="AG908" s="160"/>
      <c r="AH908" s="160"/>
      <c r="AI908" s="160"/>
      <c r="AJ908" s="160"/>
      <c r="AK908" s="160"/>
      <c r="AL908" s="160"/>
      <c r="AM908" s="160"/>
      <c r="AN908" s="160"/>
      <c r="AO908" s="160"/>
      <c r="AP908" s="160"/>
      <c r="AQ908" s="160"/>
      <c r="AR908" s="160"/>
      <c r="AS908" s="160"/>
      <c r="AT908" s="160"/>
      <c r="AU908" s="160"/>
      <c r="AV908" s="160"/>
      <c r="AW908" s="160"/>
      <c r="AX908" s="160"/>
      <c r="AY908" s="160"/>
      <c r="AZ908" s="160"/>
      <c r="BA908" s="160"/>
    </row>
    <row r="909" ht="15.75" hidden="1" customHeight="1" outlineLevel="1">
      <c r="A909" s="255"/>
      <c r="B909" s="38"/>
      <c r="C909" s="177"/>
      <c r="D909" s="177"/>
      <c r="E909" s="177"/>
      <c r="F909" s="177">
        <f>IF($G$902&gt;0,'Assumptions (Solar)'!$V$18*Model!$G$902*('Assumptions (Solar)'!E20*'Assumptions (Solar)'!E$2+'Assumptions (Solar)'!E21*'Assumptions (Solar)'!E3)/10^9,0)</f>
        <v>0</v>
      </c>
      <c r="G909" s="177"/>
      <c r="H909" s="177"/>
      <c r="I909" s="177"/>
      <c r="J909" s="177"/>
      <c r="K909" s="177"/>
      <c r="L909" s="177"/>
      <c r="M909" s="160"/>
      <c r="N909" s="160"/>
      <c r="O909" s="160"/>
      <c r="P909" s="160"/>
      <c r="Q909" s="160"/>
      <c r="R909" s="160"/>
      <c r="S909" s="160"/>
      <c r="T909" s="160"/>
      <c r="U909" s="160"/>
      <c r="V909" s="174"/>
      <c r="W909" s="176"/>
      <c r="X909" s="176"/>
      <c r="Y909" s="176"/>
      <c r="Z909" s="160"/>
      <c r="AA909" s="160"/>
      <c r="AB909" s="160"/>
      <c r="AC909" s="160"/>
      <c r="AD909" s="160"/>
      <c r="AE909" s="160"/>
      <c r="AF909" s="160"/>
      <c r="AG909" s="160"/>
      <c r="AH909" s="160"/>
      <c r="AI909" s="160"/>
      <c r="AJ909" s="160"/>
      <c r="AK909" s="160"/>
      <c r="AL909" s="160"/>
      <c r="AM909" s="160"/>
      <c r="AN909" s="160"/>
      <c r="AO909" s="160"/>
      <c r="AP909" s="160"/>
      <c r="AQ909" s="160"/>
      <c r="AR909" s="160"/>
      <c r="AS909" s="160"/>
      <c r="AT909" s="160"/>
      <c r="AU909" s="160"/>
      <c r="AV909" s="160"/>
      <c r="AW909" s="160"/>
      <c r="AX909" s="160"/>
      <c r="AY909" s="160"/>
      <c r="AZ909" s="160"/>
      <c r="BA909" s="160"/>
    </row>
    <row r="910" ht="15.75" hidden="1" customHeight="1" outlineLevel="1">
      <c r="A910" s="255"/>
      <c r="B910" s="38"/>
      <c r="C910" s="177"/>
      <c r="D910" s="177"/>
      <c r="E910" s="177"/>
      <c r="F910" s="177"/>
      <c r="G910" s="177">
        <f>IF($H$902&gt;0,'Assumptions (Solar)'!$V$18*Model!$H$902*('Assumptions (Solar)'!F20*'Assumptions (Solar)'!F$2+'Assumptions (Solar)'!F21*'Assumptions (Solar)'!F3)/10^9,0)</f>
        <v>0</v>
      </c>
      <c r="H910" s="177"/>
      <c r="I910" s="177"/>
      <c r="J910" s="177"/>
      <c r="K910" s="177"/>
      <c r="L910" s="177"/>
      <c r="M910" s="160"/>
      <c r="N910" s="160"/>
      <c r="O910" s="160"/>
      <c r="P910" s="160"/>
      <c r="Q910" s="160"/>
      <c r="R910" s="160"/>
      <c r="S910" s="160"/>
      <c r="T910" s="160"/>
      <c r="U910" s="160"/>
      <c r="V910" s="174"/>
      <c r="W910" s="176"/>
      <c r="X910" s="176"/>
      <c r="Y910" s="176"/>
      <c r="Z910" s="160"/>
      <c r="AA910" s="160"/>
      <c r="AB910" s="160"/>
      <c r="AC910" s="160"/>
      <c r="AD910" s="160"/>
      <c r="AE910" s="160"/>
      <c r="AF910" s="160"/>
      <c r="AG910" s="160"/>
      <c r="AH910" s="160"/>
      <c r="AI910" s="160"/>
      <c r="AJ910" s="160"/>
      <c r="AK910" s="160"/>
      <c r="AL910" s="160"/>
      <c r="AM910" s="160"/>
      <c r="AN910" s="160"/>
      <c r="AO910" s="160"/>
      <c r="AP910" s="160"/>
      <c r="AQ910" s="160"/>
      <c r="AR910" s="160"/>
      <c r="AS910" s="160"/>
      <c r="AT910" s="160"/>
      <c r="AU910" s="160"/>
      <c r="AV910" s="160"/>
      <c r="AW910" s="160"/>
      <c r="AX910" s="160"/>
      <c r="AY910" s="160"/>
      <c r="AZ910" s="160"/>
      <c r="BA910" s="160"/>
    </row>
    <row r="911" ht="15.75" hidden="1" customHeight="1" outlineLevel="1">
      <c r="A911" s="255"/>
      <c r="B911" s="38"/>
      <c r="C911" s="177"/>
      <c r="D911" s="177"/>
      <c r="E911" s="177"/>
      <c r="F911" s="177"/>
      <c r="G911" s="177"/>
      <c r="H911" s="177">
        <f>IF($I$902&gt;0,'Assumptions (Solar)'!$V$18*Model!$I$902*('Assumptions (Solar)'!G20*'Assumptions (Solar)'!G$2+'Assumptions (Solar)'!G21*'Assumptions (Solar)'!G3)/10^9,0)</f>
        <v>0</v>
      </c>
      <c r="I911" s="177"/>
      <c r="J911" s="177"/>
      <c r="K911" s="177"/>
      <c r="L911" s="177"/>
      <c r="M911" s="160"/>
      <c r="N911" s="160"/>
      <c r="O911" s="160"/>
      <c r="P911" s="160"/>
      <c r="Q911" s="160"/>
      <c r="R911" s="160"/>
      <c r="S911" s="160"/>
      <c r="T911" s="160"/>
      <c r="U911" s="160"/>
      <c r="V911" s="174"/>
      <c r="W911" s="176"/>
      <c r="X911" s="176"/>
      <c r="Y911" s="176"/>
      <c r="Z911" s="160"/>
      <c r="AA911" s="160"/>
      <c r="AB911" s="160"/>
      <c r="AC911" s="160"/>
      <c r="AD911" s="160"/>
      <c r="AE911" s="160"/>
      <c r="AF911" s="160"/>
      <c r="AG911" s="160"/>
      <c r="AH911" s="160"/>
      <c r="AI911" s="160"/>
      <c r="AJ911" s="160"/>
      <c r="AK911" s="160"/>
      <c r="AL911" s="160"/>
      <c r="AM911" s="160"/>
      <c r="AN911" s="160"/>
      <c r="AO911" s="160"/>
      <c r="AP911" s="160"/>
      <c r="AQ911" s="160"/>
      <c r="AR911" s="160"/>
      <c r="AS911" s="160"/>
      <c r="AT911" s="160"/>
      <c r="AU911" s="160"/>
      <c r="AV911" s="160"/>
      <c r="AW911" s="160"/>
      <c r="AX911" s="160"/>
      <c r="AY911" s="160"/>
      <c r="AZ911" s="160"/>
      <c r="BA911" s="160"/>
    </row>
    <row r="912" ht="15.75" hidden="1" customHeight="1" outlineLevel="1">
      <c r="A912" s="255"/>
      <c r="B912" s="38"/>
      <c r="C912" s="177"/>
      <c r="D912" s="177"/>
      <c r="E912" s="177"/>
      <c r="F912" s="177"/>
      <c r="G912" s="177"/>
      <c r="H912" s="177"/>
      <c r="I912" s="177">
        <f>IF($J$902&gt;0,'Assumptions (Solar)'!$V$18*Model!$J$902*('Assumptions (Solar)'!H20*'Assumptions (Solar)'!H$2+'Assumptions (Solar)'!H21*'Assumptions (Solar)'!H3)/10^9,0)</f>
        <v>0</v>
      </c>
      <c r="J912" s="177"/>
      <c r="K912" s="177"/>
      <c r="L912" s="177"/>
      <c r="M912" s="160"/>
      <c r="N912" s="160"/>
      <c r="O912" s="160"/>
      <c r="P912" s="160"/>
      <c r="Q912" s="160"/>
      <c r="R912" s="160"/>
      <c r="S912" s="160"/>
      <c r="T912" s="160"/>
      <c r="U912" s="160"/>
      <c r="V912" s="174"/>
      <c r="W912" s="176"/>
      <c r="X912" s="176"/>
      <c r="Y912" s="176"/>
      <c r="Z912" s="160"/>
      <c r="AA912" s="160"/>
      <c r="AB912" s="160"/>
      <c r="AC912" s="160"/>
      <c r="AD912" s="160"/>
      <c r="AE912" s="160"/>
      <c r="AF912" s="160"/>
      <c r="AG912" s="160"/>
      <c r="AH912" s="160"/>
      <c r="AI912" s="160"/>
      <c r="AJ912" s="160"/>
      <c r="AK912" s="160"/>
      <c r="AL912" s="160"/>
      <c r="AM912" s="160"/>
      <c r="AN912" s="160"/>
      <c r="AO912" s="160"/>
      <c r="AP912" s="160"/>
      <c r="AQ912" s="160"/>
      <c r="AR912" s="160"/>
      <c r="AS912" s="160"/>
      <c r="AT912" s="160"/>
      <c r="AU912" s="160"/>
      <c r="AV912" s="160"/>
      <c r="AW912" s="160"/>
      <c r="AX912" s="160"/>
      <c r="AY912" s="160"/>
      <c r="AZ912" s="160"/>
      <c r="BA912" s="160"/>
    </row>
    <row r="913" ht="15.75" hidden="1" customHeight="1" outlineLevel="1">
      <c r="A913" s="255"/>
      <c r="B913" s="38"/>
      <c r="C913" s="177"/>
      <c r="D913" s="177"/>
      <c r="E913" s="177"/>
      <c r="F913" s="177"/>
      <c r="G913" s="177"/>
      <c r="H913" s="177"/>
      <c r="I913" s="177"/>
      <c r="J913" s="177">
        <f>IF($K$902&gt;0,'Assumptions (Solar)'!$V$18*Model!$K$902*('Assumptions (Solar)'!I20*'Assumptions (Solar)'!I$2+'Assumptions (Solar)'!I21*'Assumptions (Solar)'!I3)/10^9,0)</f>
        <v>0.02321558137</v>
      </c>
      <c r="K913" s="177"/>
      <c r="L913" s="177"/>
      <c r="M913" s="160"/>
      <c r="N913" s="160"/>
      <c r="O913" s="160"/>
      <c r="P913" s="160"/>
      <c r="Q913" s="160"/>
      <c r="R913" s="160"/>
      <c r="S913" s="160"/>
      <c r="T913" s="160"/>
      <c r="U913" s="160"/>
      <c r="V913" s="174"/>
      <c r="W913" s="176"/>
      <c r="X913" s="176"/>
      <c r="Y913" s="176"/>
      <c r="Z913" s="160"/>
      <c r="AA913" s="160"/>
      <c r="AB913" s="160"/>
      <c r="AC913" s="160"/>
      <c r="AD913" s="160"/>
      <c r="AE913" s="160"/>
      <c r="AF913" s="160"/>
      <c r="AG913" s="160"/>
      <c r="AH913" s="160"/>
      <c r="AI913" s="160"/>
      <c r="AJ913" s="160"/>
      <c r="AK913" s="160"/>
      <c r="AL913" s="160"/>
      <c r="AM913" s="160"/>
      <c r="AN913" s="160"/>
      <c r="AO913" s="160"/>
      <c r="AP913" s="160"/>
      <c r="AQ913" s="160"/>
      <c r="AR913" s="160"/>
      <c r="AS913" s="160"/>
      <c r="AT913" s="160"/>
      <c r="AU913" s="160"/>
      <c r="AV913" s="160"/>
      <c r="AW913" s="160"/>
      <c r="AX913" s="160"/>
      <c r="AY913" s="160"/>
      <c r="AZ913" s="160"/>
      <c r="BA913" s="160"/>
    </row>
    <row r="914" ht="15.75" hidden="1" customHeight="1" outlineLevel="1">
      <c r="A914" s="255"/>
      <c r="B914" s="38"/>
      <c r="C914" s="177"/>
      <c r="D914" s="177"/>
      <c r="E914" s="177"/>
      <c r="F914" s="177"/>
      <c r="G914" s="177"/>
      <c r="H914" s="177"/>
      <c r="I914" s="177"/>
      <c r="J914" s="177"/>
      <c r="K914" s="177">
        <f>IF($L$902&gt;0,'Assumptions (Solar)'!$V$18*Model!$L$902*('Assumptions (Solar)'!J20*'Assumptions (Solar)'!J$2+'Assumptions (Solar)'!J21*'Assumptions (Solar)'!J3)/10^9,0)</f>
        <v>0</v>
      </c>
      <c r="L914" s="177"/>
      <c r="M914" s="160"/>
      <c r="N914" s="160"/>
      <c r="O914" s="160"/>
      <c r="P914" s="160"/>
      <c r="Q914" s="160"/>
      <c r="R914" s="160"/>
      <c r="S914" s="160"/>
      <c r="T914" s="160"/>
      <c r="U914" s="160"/>
      <c r="V914" s="174"/>
      <c r="W914" s="176"/>
      <c r="X914" s="176"/>
      <c r="Y914" s="176"/>
      <c r="Z914" s="160"/>
      <c r="AA914" s="160"/>
      <c r="AB914" s="160"/>
      <c r="AC914" s="160"/>
      <c r="AD914" s="160"/>
      <c r="AE914" s="160"/>
      <c r="AF914" s="160"/>
      <c r="AG914" s="160"/>
      <c r="AH914" s="160"/>
      <c r="AI914" s="160"/>
      <c r="AJ914" s="160"/>
      <c r="AK914" s="160"/>
      <c r="AL914" s="160"/>
      <c r="AM914" s="160"/>
      <c r="AN914" s="160"/>
      <c r="AO914" s="160"/>
      <c r="AP914" s="160"/>
      <c r="AQ914" s="160"/>
      <c r="AR914" s="160"/>
      <c r="AS914" s="160"/>
      <c r="AT914" s="160"/>
      <c r="AU914" s="160"/>
      <c r="AV914" s="160"/>
      <c r="AW914" s="160"/>
      <c r="AX914" s="160"/>
      <c r="AY914" s="160"/>
      <c r="AZ914" s="160"/>
      <c r="BA914" s="160"/>
    </row>
    <row r="915" ht="15.75" hidden="1" customHeight="1" outlineLevel="1">
      <c r="A915" s="255"/>
      <c r="B915" s="38"/>
      <c r="C915" s="177"/>
      <c r="D915" s="177"/>
      <c r="E915" s="177"/>
      <c r="F915" s="177"/>
      <c r="G915" s="177"/>
      <c r="H915" s="177"/>
      <c r="I915" s="177"/>
      <c r="J915" s="177"/>
      <c r="K915" s="177"/>
      <c r="L915" s="177">
        <f>IF($M$902&gt;0,'Assumptions (Solar)'!$V$18*Model!$M$902*('Assumptions (Solar)'!K20*'Assumptions (Solar)'!K$2+'Assumptions (Solar)'!K21*'Assumptions (Solar)'!K3)/10^9,0)</f>
        <v>0.05136260945</v>
      </c>
      <c r="M915" s="160"/>
      <c r="N915" s="160"/>
      <c r="O915" s="160"/>
      <c r="P915" s="160"/>
      <c r="Q915" s="160"/>
      <c r="R915" s="160"/>
      <c r="S915" s="160"/>
      <c r="T915" s="160"/>
      <c r="U915" s="160"/>
      <c r="V915" s="174"/>
      <c r="W915" s="176"/>
      <c r="X915" s="176"/>
      <c r="Y915" s="176"/>
      <c r="Z915" s="160"/>
      <c r="AA915" s="160"/>
      <c r="AB915" s="160"/>
      <c r="AC915" s="160"/>
      <c r="AD915" s="160"/>
      <c r="AE915" s="160"/>
      <c r="AF915" s="160"/>
      <c r="AG915" s="160"/>
      <c r="AH915" s="160"/>
      <c r="AI915" s="160"/>
      <c r="AJ915" s="160"/>
      <c r="AK915" s="160"/>
      <c r="AL915" s="160"/>
      <c r="AM915" s="160"/>
      <c r="AN915" s="160"/>
      <c r="AO915" s="160"/>
      <c r="AP915" s="160"/>
      <c r="AQ915" s="160"/>
      <c r="AR915" s="160"/>
      <c r="AS915" s="160"/>
      <c r="AT915" s="160"/>
      <c r="AU915" s="160"/>
      <c r="AV915" s="160"/>
      <c r="AW915" s="160"/>
      <c r="AX915" s="160"/>
      <c r="AY915" s="160"/>
      <c r="AZ915" s="160"/>
      <c r="BA915" s="160"/>
    </row>
    <row r="916" ht="15.75" hidden="1" customHeight="1" outlineLevel="1">
      <c r="A916" s="255"/>
      <c r="B916" s="38"/>
      <c r="C916" s="160"/>
      <c r="D916" s="160"/>
      <c r="E916" s="160"/>
      <c r="F916" s="160"/>
      <c r="G916" s="160"/>
      <c r="H916" s="160"/>
      <c r="I916" s="160"/>
      <c r="J916" s="160"/>
      <c r="K916" s="160"/>
      <c r="L916" s="160"/>
      <c r="M916" s="160">
        <f>IF($N$902&gt;0,'Assumptions (Solar)'!$V$18*Model!$N$902*('Assumptions (Solar)'!L20*'Assumptions (Solar)'!L$2+'Assumptions (Solar)'!L21*'Assumptions (Solar)'!L3)/10^9,0)</f>
        <v>0.1497991584</v>
      </c>
      <c r="N916" s="160"/>
      <c r="O916" s="160"/>
      <c r="P916" s="160"/>
      <c r="Q916" s="160"/>
      <c r="R916" s="160"/>
      <c r="S916" s="160"/>
      <c r="T916" s="160"/>
      <c r="U916" s="160"/>
      <c r="V916" s="174"/>
      <c r="W916" s="176"/>
      <c r="X916" s="176"/>
      <c r="Y916" s="176"/>
      <c r="Z916" s="160"/>
      <c r="AA916" s="160"/>
      <c r="AB916" s="160"/>
      <c r="AC916" s="160"/>
      <c r="AD916" s="160"/>
      <c r="AE916" s="160"/>
      <c r="AF916" s="160"/>
      <c r="AG916" s="160"/>
      <c r="AH916" s="160"/>
      <c r="AI916" s="160"/>
      <c r="AJ916" s="160"/>
      <c r="AK916" s="160"/>
      <c r="AL916" s="160"/>
      <c r="AM916" s="160"/>
      <c r="AN916" s="160"/>
      <c r="AO916" s="160"/>
      <c r="AP916" s="160"/>
      <c r="AQ916" s="160"/>
      <c r="AR916" s="160"/>
      <c r="AS916" s="160"/>
      <c r="AT916" s="160"/>
      <c r="AU916" s="160"/>
      <c r="AV916" s="160"/>
      <c r="AW916" s="160"/>
      <c r="AX916" s="160"/>
      <c r="AY916" s="160"/>
      <c r="AZ916" s="160"/>
      <c r="BA916" s="160"/>
    </row>
    <row r="917" ht="15.75" hidden="1" customHeight="1" outlineLevel="1">
      <c r="A917" s="255"/>
      <c r="B917" s="38"/>
      <c r="C917" s="160"/>
      <c r="D917" s="160"/>
      <c r="E917" s="160"/>
      <c r="F917" s="160"/>
      <c r="G917" s="160"/>
      <c r="H917" s="160"/>
      <c r="I917" s="160"/>
      <c r="J917" s="160"/>
      <c r="K917" s="160"/>
      <c r="L917" s="160"/>
      <c r="M917" s="160"/>
      <c r="N917" s="160">
        <f>IF($O$902&gt;0,'Assumptions (Solar)'!$V$18*Model!$O$902*('Assumptions (Solar)'!M20*'Assumptions (Solar)'!M$2+'Assumptions (Solar)'!M21*'Assumptions (Solar)'!M3)/10^9,0)</f>
        <v>0.5822926629</v>
      </c>
      <c r="O917" s="160"/>
      <c r="P917" s="160"/>
      <c r="Q917" s="160"/>
      <c r="R917" s="160"/>
      <c r="S917" s="160"/>
      <c r="T917" s="160"/>
      <c r="U917" s="160"/>
      <c r="V917" s="174"/>
      <c r="W917" s="176"/>
      <c r="X917" s="176"/>
      <c r="Y917" s="176"/>
      <c r="Z917" s="160"/>
      <c r="AA917" s="160"/>
      <c r="AB917" s="160"/>
      <c r="AC917" s="160"/>
      <c r="AD917" s="160"/>
      <c r="AE917" s="160"/>
      <c r="AF917" s="160"/>
      <c r="AG917" s="160"/>
      <c r="AH917" s="160"/>
      <c r="AI917" s="160"/>
      <c r="AJ917" s="160"/>
      <c r="AK917" s="160"/>
      <c r="AL917" s="160"/>
      <c r="AM917" s="160"/>
      <c r="AN917" s="160"/>
      <c r="AO917" s="160"/>
      <c r="AP917" s="160"/>
      <c r="AQ917" s="160"/>
      <c r="AR917" s="160"/>
      <c r="AS917" s="160"/>
      <c r="AT917" s="160"/>
      <c r="AU917" s="160"/>
      <c r="AV917" s="160"/>
      <c r="AW917" s="160"/>
      <c r="AX917" s="160"/>
      <c r="AY917" s="160"/>
      <c r="AZ917" s="160"/>
      <c r="BA917" s="160"/>
    </row>
    <row r="918" ht="15.75" hidden="1" customHeight="1" outlineLevel="1">
      <c r="A918" s="255"/>
      <c r="B918" s="38"/>
      <c r="C918" s="160"/>
      <c r="D918" s="160"/>
      <c r="E918" s="160"/>
      <c r="F918" s="160"/>
      <c r="G918" s="160"/>
      <c r="H918" s="160"/>
      <c r="I918" s="160"/>
      <c r="J918" s="177"/>
      <c r="K918" s="177"/>
      <c r="L918" s="177"/>
      <c r="M918" s="177"/>
      <c r="N918" s="177"/>
      <c r="O918" s="177">
        <f>IF($P$902&gt;0,'Assumptions (Solar)'!$V$18*Model!$P$902*('Assumptions (Solar)'!N20*'Assumptions (Solar)'!N$2+'Assumptions (Solar)'!N21*'Assumptions (Solar)'!N3)/10^9,0)</f>
        <v>1.228986103</v>
      </c>
      <c r="P918" s="177"/>
      <c r="Q918" s="160"/>
      <c r="R918" s="177"/>
      <c r="S918" s="177"/>
      <c r="T918" s="177"/>
      <c r="U918" s="177"/>
      <c r="V918" s="174"/>
      <c r="W918" s="176"/>
      <c r="X918" s="176"/>
      <c r="Y918" s="176"/>
      <c r="Z918" s="160"/>
      <c r="AA918" s="160"/>
      <c r="AB918" s="160"/>
      <c r="AC918" s="160"/>
      <c r="AD918" s="160"/>
      <c r="AE918" s="160"/>
      <c r="AF918" s="160"/>
      <c r="AG918" s="160"/>
      <c r="AH918" s="160"/>
      <c r="AI918" s="160"/>
      <c r="AJ918" s="160"/>
      <c r="AK918" s="160"/>
      <c r="AL918" s="160"/>
      <c r="AM918" s="160"/>
      <c r="AN918" s="160"/>
      <c r="AO918" s="160"/>
      <c r="AP918" s="160"/>
      <c r="AQ918" s="160"/>
      <c r="AR918" s="160"/>
      <c r="AS918" s="160"/>
      <c r="AT918" s="160"/>
      <c r="AU918" s="160"/>
      <c r="AV918" s="160"/>
      <c r="AW918" s="160"/>
      <c r="AX918" s="160"/>
      <c r="AY918" s="160"/>
      <c r="AZ918" s="160"/>
      <c r="BA918" s="160"/>
    </row>
    <row r="919" ht="15.75" hidden="1" customHeight="1" outlineLevel="1">
      <c r="A919" s="255"/>
      <c r="B919" s="38"/>
      <c r="C919" s="160"/>
      <c r="D919" s="160"/>
      <c r="E919" s="160"/>
      <c r="F919" s="160"/>
      <c r="G919" s="160"/>
      <c r="H919" s="160"/>
      <c r="I919" s="160"/>
      <c r="J919" s="160"/>
      <c r="K919" s="177"/>
      <c r="L919" s="177"/>
      <c r="M919" s="177"/>
      <c r="N919" s="177"/>
      <c r="O919" s="177"/>
      <c r="P919" s="177">
        <f>IF($Q$902&gt;0,'Assumptions (Solar)'!$V$18*Model!$Q$902*('Assumptions (Solar)'!O20*'Assumptions (Solar)'!O$2+'Assumptions (Solar)'!O21*'Assumptions (Solar)'!O3)/10^9,0)</f>
        <v>1.73036681</v>
      </c>
      <c r="Q919" s="160"/>
      <c r="R919" s="177"/>
      <c r="S919" s="177"/>
      <c r="T919" s="177"/>
      <c r="U919" s="177"/>
      <c r="V919" s="174"/>
      <c r="W919" s="176"/>
      <c r="X919" s="176"/>
      <c r="Y919" s="176"/>
      <c r="Z919" s="160"/>
      <c r="AA919" s="160"/>
      <c r="AB919" s="160"/>
      <c r="AC919" s="160"/>
      <c r="AD919" s="160"/>
      <c r="AE919" s="160"/>
      <c r="AF919" s="160"/>
      <c r="AG919" s="160"/>
      <c r="AH919" s="160"/>
      <c r="AI919" s="160"/>
      <c r="AJ919" s="160"/>
      <c r="AK919" s="160"/>
      <c r="AL919" s="160"/>
      <c r="AM919" s="160"/>
      <c r="AN919" s="160"/>
      <c r="AO919" s="160"/>
      <c r="AP919" s="160"/>
      <c r="AQ919" s="160"/>
      <c r="AR919" s="160"/>
      <c r="AS919" s="160"/>
      <c r="AT919" s="160"/>
      <c r="AU919" s="160"/>
      <c r="AV919" s="160"/>
      <c r="AW919" s="160"/>
      <c r="AX919" s="160"/>
      <c r="AY919" s="160"/>
      <c r="AZ919" s="160"/>
      <c r="BA919" s="160"/>
    </row>
    <row r="920" ht="15.75" hidden="1" customHeight="1" outlineLevel="1">
      <c r="A920" s="255"/>
      <c r="B920" s="38"/>
      <c r="C920" s="160"/>
      <c r="D920" s="160"/>
      <c r="E920" s="160"/>
      <c r="F920" s="160"/>
      <c r="G920" s="160"/>
      <c r="H920" s="160"/>
      <c r="I920" s="160"/>
      <c r="J920" s="160"/>
      <c r="K920" s="160"/>
      <c r="L920" s="178"/>
      <c r="M920" s="178"/>
      <c r="N920" s="178"/>
      <c r="O920" s="178"/>
      <c r="P920" s="178"/>
      <c r="Q920" s="178">
        <f>IF($R$902&gt;0,'Assumptions (Solar)'!$V$18*Model!$R$902*('Assumptions (Solar)'!P20*'Assumptions (Solar)'!P$2+'Assumptions (Solar)'!P21*'Assumptions (Solar)'!P3)/10^9,0)</f>
        <v>4.374204204</v>
      </c>
      <c r="R920" s="177"/>
      <c r="S920" s="177"/>
      <c r="T920" s="177"/>
      <c r="U920" s="177"/>
      <c r="V920" s="174"/>
      <c r="W920" s="176"/>
      <c r="X920" s="176"/>
      <c r="Y920" s="176"/>
      <c r="Z920" s="160"/>
      <c r="AA920" s="160"/>
      <c r="AB920" s="160"/>
      <c r="AC920" s="160"/>
      <c r="AD920" s="160"/>
      <c r="AE920" s="160"/>
      <c r="AF920" s="160"/>
      <c r="AG920" s="160"/>
      <c r="AH920" s="160"/>
      <c r="AI920" s="160"/>
      <c r="AJ920" s="160"/>
      <c r="AK920" s="160"/>
      <c r="AL920" s="160"/>
      <c r="AM920" s="160"/>
      <c r="AN920" s="160"/>
      <c r="AO920" s="160"/>
      <c r="AP920" s="160"/>
      <c r="AQ920" s="160"/>
      <c r="AR920" s="160"/>
      <c r="AS920" s="160"/>
      <c r="AT920" s="160"/>
      <c r="AU920" s="160"/>
      <c r="AV920" s="160"/>
      <c r="AW920" s="160"/>
      <c r="AX920" s="160"/>
      <c r="AY920" s="160"/>
      <c r="AZ920" s="160"/>
      <c r="BA920" s="160"/>
    </row>
    <row r="921" ht="15.75" hidden="1" customHeight="1" outlineLevel="1">
      <c r="A921" s="255"/>
      <c r="B921" s="38"/>
      <c r="C921" s="160"/>
      <c r="D921" s="160"/>
      <c r="E921" s="160"/>
      <c r="F921" s="160"/>
      <c r="G921" s="160"/>
      <c r="H921" s="160"/>
      <c r="I921" s="160"/>
      <c r="J921" s="160"/>
      <c r="K921" s="160"/>
      <c r="L921" s="160"/>
      <c r="M921" s="160"/>
      <c r="N921" s="160"/>
      <c r="O921" s="160"/>
      <c r="P921" s="160"/>
      <c r="Q921" s="160"/>
      <c r="R921" s="160">
        <f>IF($S$902&gt;0,'Assumptions (Solar)'!$V$18*Model!$S$902*('Assumptions (Solar)'!Q20*'Assumptions (Solar)'!Q$2+'Assumptions (Solar)'!Q21*'Assumptions (Solar)'!Q3)/10^9,0)</f>
        <v>5.967726843</v>
      </c>
      <c r="S921" s="160"/>
      <c r="T921" s="160"/>
      <c r="U921" s="160"/>
      <c r="V921" s="174"/>
      <c r="W921" s="176"/>
      <c r="X921" s="176"/>
      <c r="Y921" s="176"/>
      <c r="Z921" s="160"/>
      <c r="AA921" s="160"/>
      <c r="AB921" s="160"/>
      <c r="AC921" s="160"/>
      <c r="AD921" s="160"/>
      <c r="AE921" s="160"/>
      <c r="AF921" s="160"/>
      <c r="AG921" s="160"/>
      <c r="AH921" s="160"/>
      <c r="AI921" s="160"/>
      <c r="AJ921" s="160"/>
      <c r="AK921" s="160"/>
      <c r="AL921" s="160"/>
      <c r="AM921" s="160"/>
      <c r="AN921" s="160"/>
      <c r="AO921" s="160"/>
      <c r="AP921" s="160"/>
      <c r="AQ921" s="160"/>
      <c r="AR921" s="160"/>
      <c r="AS921" s="160"/>
      <c r="AT921" s="160"/>
      <c r="AU921" s="160"/>
      <c r="AV921" s="160"/>
      <c r="AW921" s="160"/>
      <c r="AX921" s="160"/>
      <c r="AY921" s="160"/>
      <c r="AZ921" s="160"/>
      <c r="BA921" s="160"/>
    </row>
    <row r="922" ht="15.75" hidden="1" customHeight="1" outlineLevel="1">
      <c r="A922" s="255"/>
      <c r="B922" s="38"/>
      <c r="C922" s="160"/>
      <c r="D922" s="160"/>
      <c r="E922" s="160"/>
      <c r="F922" s="160"/>
      <c r="G922" s="160"/>
      <c r="H922" s="160"/>
      <c r="I922" s="160"/>
      <c r="J922" s="160"/>
      <c r="K922" s="160"/>
      <c r="L922" s="160"/>
      <c r="M922" s="160"/>
      <c r="N922" s="160"/>
      <c r="O922" s="160"/>
      <c r="P922" s="160"/>
      <c r="Q922" s="160"/>
      <c r="R922" s="160"/>
      <c r="S922" s="160">
        <f>IF($T$902&gt;0,'Assumptions (Solar)'!$V$18*Model!$T$902*('Assumptions (Solar)'!R20*'Assumptions (Solar)'!R$2+'Assumptions (Solar)'!R21*'Assumptions (Solar)'!R3)/10^9,0)</f>
        <v>4.576848234</v>
      </c>
      <c r="T922" s="160"/>
      <c r="U922" s="160"/>
      <c r="V922" s="174"/>
      <c r="W922" s="176"/>
      <c r="X922" s="176"/>
      <c r="Y922" s="176"/>
      <c r="Z922" s="160"/>
      <c r="AA922" s="160"/>
      <c r="AB922" s="160"/>
      <c r="AC922" s="160"/>
      <c r="AD922" s="160"/>
      <c r="AE922" s="160"/>
      <c r="AF922" s="160"/>
      <c r="AG922" s="160"/>
      <c r="AH922" s="160"/>
      <c r="AI922" s="160"/>
      <c r="AJ922" s="160"/>
      <c r="AK922" s="160"/>
      <c r="AL922" s="160"/>
      <c r="AM922" s="160"/>
      <c r="AN922" s="160"/>
      <c r="AO922" s="160"/>
      <c r="AP922" s="160"/>
      <c r="AQ922" s="160"/>
      <c r="AR922" s="160"/>
      <c r="AS922" s="160"/>
      <c r="AT922" s="160"/>
      <c r="AU922" s="160"/>
      <c r="AV922" s="160"/>
      <c r="AW922" s="160"/>
      <c r="AX922" s="160"/>
      <c r="AY922" s="160"/>
      <c r="AZ922" s="160"/>
      <c r="BA922" s="160"/>
    </row>
    <row r="923" ht="15.75" hidden="1" customHeight="1" outlineLevel="1">
      <c r="A923" s="255"/>
      <c r="B923" s="38"/>
      <c r="C923" s="160"/>
      <c r="D923" s="160"/>
      <c r="E923" s="160"/>
      <c r="F923" s="160"/>
      <c r="G923" s="160"/>
      <c r="H923" s="160"/>
      <c r="I923" s="160"/>
      <c r="J923" s="160"/>
      <c r="K923" s="160"/>
      <c r="L923" s="160"/>
      <c r="M923" s="160"/>
      <c r="N923" s="160"/>
      <c r="O923" s="177"/>
      <c r="P923" s="177"/>
      <c r="Q923" s="177"/>
      <c r="R923" s="177"/>
      <c r="S923" s="177"/>
      <c r="T923" s="177">
        <f>IF($U$902&gt;0,'Assumptions (Solar)'!$V$18*Model!$U$902*('Assumptions (Solar)'!S20*'Assumptions (Solar)'!S$2+'Assumptions (Solar)'!S21*'Assumptions (Solar)'!S3)/10^9,0)</f>
        <v>2.603022406</v>
      </c>
      <c r="U923" s="160"/>
      <c r="V923" s="174"/>
      <c r="W923" s="176"/>
      <c r="X923" s="176"/>
      <c r="Y923" s="176"/>
      <c r="Z923" s="160"/>
      <c r="AA923" s="160"/>
      <c r="AB923" s="160"/>
      <c r="AC923" s="160"/>
      <c r="AD923" s="160"/>
      <c r="AE923" s="160"/>
      <c r="AF923" s="160"/>
      <c r="AG923" s="160"/>
      <c r="AH923" s="160"/>
      <c r="AI923" s="160"/>
      <c r="AJ923" s="160"/>
      <c r="AK923" s="160"/>
      <c r="AL923" s="160"/>
      <c r="AM923" s="160"/>
      <c r="AN923" s="160"/>
      <c r="AO923" s="160"/>
      <c r="AP923" s="160"/>
      <c r="AQ923" s="160"/>
      <c r="AR923" s="160"/>
      <c r="AS923" s="160"/>
      <c r="AT923" s="160"/>
      <c r="AU923" s="160"/>
      <c r="AV923" s="160"/>
      <c r="AW923" s="160"/>
      <c r="AX923" s="160"/>
      <c r="AY923" s="160"/>
      <c r="AZ923" s="160"/>
      <c r="BA923" s="160"/>
    </row>
    <row r="924" ht="15.75" hidden="1" customHeight="1" outlineLevel="1">
      <c r="A924" s="255"/>
      <c r="B924" s="38"/>
      <c r="C924" s="160"/>
      <c r="D924" s="160"/>
      <c r="E924" s="160"/>
      <c r="F924" s="160"/>
      <c r="G924" s="160"/>
      <c r="H924" s="160"/>
      <c r="I924" s="160"/>
      <c r="J924" s="160"/>
      <c r="K924" s="160"/>
      <c r="L924" s="160"/>
      <c r="M924" s="160"/>
      <c r="N924" s="160"/>
      <c r="O924" s="160"/>
      <c r="P924" s="160"/>
      <c r="Q924" s="160"/>
      <c r="R924" s="160"/>
      <c r="S924" s="160"/>
      <c r="T924" s="160"/>
      <c r="U924" s="160">
        <f>IF($V$902&gt;0,'Assumptions (Solar)'!$V$18*Model!$V$902*('Assumptions (Solar)'!T20*'Assumptions (Solar)'!T$2+'Assumptions (Solar)'!T21*'Assumptions (Solar)'!T3)/10^9,0)</f>
        <v>0</v>
      </c>
      <c r="V924" s="174"/>
      <c r="W924" s="176"/>
      <c r="X924" s="176"/>
      <c r="Y924" s="176"/>
      <c r="Z924" s="160"/>
      <c r="AA924" s="160"/>
      <c r="AB924" s="160"/>
      <c r="AC924" s="160"/>
      <c r="AD924" s="160"/>
      <c r="AE924" s="160"/>
      <c r="AF924" s="160"/>
      <c r="AG924" s="160"/>
      <c r="AH924" s="160"/>
      <c r="AI924" s="160"/>
      <c r="AJ924" s="160"/>
      <c r="AK924" s="160"/>
      <c r="AL924" s="160"/>
      <c r="AM924" s="160"/>
      <c r="AN924" s="160"/>
      <c r="AO924" s="160"/>
      <c r="AP924" s="160"/>
      <c r="AQ924" s="160"/>
      <c r="AR924" s="160"/>
      <c r="AS924" s="160"/>
      <c r="AT924" s="160"/>
      <c r="AU924" s="160"/>
      <c r="AV924" s="160"/>
      <c r="AW924" s="160"/>
      <c r="AX924" s="160"/>
      <c r="AY924" s="160"/>
      <c r="AZ924" s="160"/>
      <c r="BA924" s="160"/>
    </row>
    <row r="925" ht="15.75" hidden="1" customHeight="1" outlineLevel="1">
      <c r="A925" s="255"/>
      <c r="B925" s="38"/>
      <c r="C925" s="174"/>
      <c r="D925" s="174"/>
      <c r="E925" s="174"/>
      <c r="F925" s="174"/>
      <c r="G925" s="174"/>
      <c r="H925" s="174"/>
      <c r="I925" s="174"/>
      <c r="J925" s="174"/>
      <c r="K925" s="174"/>
      <c r="L925" s="174"/>
      <c r="M925" s="174"/>
      <c r="N925" s="174"/>
      <c r="O925" s="174"/>
      <c r="P925" s="174"/>
      <c r="Q925" s="174"/>
      <c r="R925" s="174"/>
      <c r="S925" s="174"/>
      <c r="T925" s="174"/>
      <c r="U925" s="174"/>
      <c r="V925" s="160">
        <f>IF($W$902&gt;0,'Assumptions (Solar)'!$V$18*Model!$W$902*('Assumptions (Solar)'!U20*'Assumptions (Solar)'!U$2+'Assumptions (Solar)'!U21*'Assumptions (Solar)'!U3)/10^9,0)</f>
        <v>0</v>
      </c>
      <c r="W925" s="160"/>
      <c r="X925" s="160"/>
      <c r="Y925" s="160"/>
      <c r="Z925" s="160"/>
      <c r="AA925" s="160"/>
      <c r="AB925" s="160"/>
      <c r="AC925" s="160"/>
      <c r="AD925" s="160"/>
      <c r="AE925" s="160"/>
      <c r="AF925" s="160"/>
      <c r="AG925" s="160"/>
      <c r="AH925" s="160"/>
      <c r="AI925" s="160"/>
      <c r="AJ925" s="160"/>
      <c r="AK925" s="160"/>
      <c r="AL925" s="160"/>
      <c r="AM925" s="160"/>
      <c r="AN925" s="160"/>
      <c r="AO925" s="160"/>
      <c r="AP925" s="160"/>
      <c r="AQ925" s="160"/>
      <c r="AR925" s="160"/>
      <c r="AS925" s="160"/>
      <c r="AT925" s="160"/>
      <c r="AU925" s="160"/>
      <c r="AV925" s="160"/>
      <c r="AW925" s="160"/>
      <c r="AX925" s="160"/>
      <c r="AY925" s="160"/>
      <c r="AZ925" s="160"/>
    </row>
    <row r="926" ht="15.75" hidden="1" customHeight="1" outlineLevel="1">
      <c r="A926" s="255"/>
      <c r="B926" s="38"/>
      <c r="C926" s="174"/>
      <c r="D926" s="174"/>
      <c r="E926" s="174"/>
      <c r="F926" s="174"/>
      <c r="G926" s="174"/>
      <c r="H926" s="174"/>
      <c r="I926" s="174"/>
      <c r="J926" s="174"/>
      <c r="K926" s="174"/>
      <c r="L926" s="174"/>
      <c r="M926" s="174"/>
      <c r="N926" s="174"/>
      <c r="O926" s="174"/>
      <c r="P926" s="174"/>
      <c r="Q926" s="174"/>
      <c r="R926" s="174"/>
      <c r="S926" s="174"/>
      <c r="T926" s="174"/>
      <c r="U926" s="174"/>
      <c r="V926" s="174"/>
      <c r="W926" s="160">
        <f>IF($X$902&gt;0,'Assumptions (Solar)'!$V$18*Model!$X$902*('Assumptions (Solar)'!V20*'Assumptions (Solar)'!V$2+'Assumptions (Solar)'!V21*'Assumptions (Solar)'!V3)/10^9,0)</f>
        <v>2.796477395</v>
      </c>
      <c r="X926" s="160"/>
      <c r="Y926" s="160"/>
      <c r="Z926" s="160"/>
      <c r="AA926" s="160"/>
      <c r="AB926" s="160"/>
      <c r="AC926" s="160"/>
      <c r="AD926" s="160"/>
      <c r="AE926" s="160"/>
      <c r="AF926" s="160"/>
      <c r="AG926" s="160"/>
      <c r="AH926" s="160"/>
      <c r="AI926" s="160"/>
      <c r="AJ926" s="160"/>
      <c r="AK926" s="160"/>
      <c r="AL926" s="160"/>
      <c r="AM926" s="160"/>
      <c r="AN926" s="160"/>
      <c r="AO926" s="160"/>
      <c r="AP926" s="160"/>
      <c r="AQ926" s="160"/>
      <c r="AR926" s="160"/>
      <c r="AS926" s="160"/>
      <c r="AT926" s="160"/>
      <c r="AU926" s="160"/>
      <c r="AV926" s="160"/>
      <c r="AW926" s="160"/>
      <c r="AX926" s="160"/>
      <c r="AY926" s="160"/>
      <c r="AZ926" s="160"/>
    </row>
    <row r="927" ht="15.75" hidden="1" customHeight="1" outlineLevel="1">
      <c r="A927" s="255"/>
      <c r="B927" s="38"/>
      <c r="C927" s="174"/>
      <c r="D927" s="174"/>
      <c r="E927" s="174"/>
      <c r="F927" s="174"/>
      <c r="G927" s="174"/>
      <c r="H927" s="174"/>
      <c r="I927" s="174"/>
      <c r="J927" s="174"/>
      <c r="K927" s="174"/>
      <c r="L927" s="174"/>
      <c r="M927" s="174"/>
      <c r="N927" s="174"/>
      <c r="O927" s="174"/>
      <c r="P927" s="174"/>
      <c r="Q927" s="174"/>
      <c r="R927" s="174"/>
      <c r="S927" s="174"/>
      <c r="T927" s="174"/>
      <c r="U927" s="174"/>
      <c r="V927" s="174"/>
      <c r="W927" s="160"/>
      <c r="X927" s="160">
        <f>IF($Y$902&gt;0,'Assumptions (Solar)'!$V$18*Model!$Y$902*('Assumptions (Solar)'!W20*'Assumptions (Solar)'!W$2+'Assumptions (Solar)'!W21*'Assumptions (Solar)'!W3)/10^9,0)</f>
        <v>1.953609111</v>
      </c>
      <c r="Y927" s="160"/>
      <c r="Z927" s="160"/>
      <c r="AA927" s="160"/>
      <c r="AB927" s="160"/>
      <c r="AC927" s="160"/>
      <c r="AD927" s="160"/>
      <c r="AE927" s="160"/>
      <c r="AF927" s="160"/>
      <c r="AG927" s="160"/>
      <c r="AH927" s="160"/>
      <c r="AI927" s="160"/>
      <c r="AJ927" s="160"/>
      <c r="AK927" s="160"/>
      <c r="AL927" s="160"/>
      <c r="AM927" s="160"/>
      <c r="AN927" s="160"/>
      <c r="AO927" s="160"/>
      <c r="AP927" s="160"/>
      <c r="AQ927" s="160"/>
      <c r="AR927" s="160"/>
      <c r="AS927" s="160"/>
      <c r="AT927" s="160"/>
      <c r="AU927" s="160"/>
      <c r="AV927" s="160"/>
      <c r="AW927" s="160"/>
      <c r="AX927" s="160"/>
      <c r="AY927" s="160"/>
      <c r="AZ927" s="160"/>
    </row>
    <row r="928" ht="15.75" hidden="1" customHeight="1" outlineLevel="1">
      <c r="A928" s="255"/>
      <c r="B928" s="38"/>
      <c r="C928" s="174"/>
      <c r="D928" s="174"/>
      <c r="E928" s="174"/>
      <c r="F928" s="174"/>
      <c r="G928" s="174"/>
      <c r="H928" s="174"/>
      <c r="I928" s="174"/>
      <c r="J928" s="174"/>
      <c r="K928" s="174"/>
      <c r="L928" s="174"/>
      <c r="M928" s="174"/>
      <c r="N928" s="174"/>
      <c r="O928" s="174"/>
      <c r="P928" s="174"/>
      <c r="Q928" s="174"/>
      <c r="R928" s="174"/>
      <c r="S928" s="174"/>
      <c r="T928" s="174"/>
      <c r="U928" s="174"/>
      <c r="V928" s="174"/>
      <c r="W928" s="160"/>
      <c r="X928" s="160"/>
      <c r="Y928" s="160">
        <f>IF($Z$902&gt;0,'Assumptions (Solar)'!$V$18*Model!$Z$902*('Assumptions (Solar)'!X20*'Assumptions (Solar)'!X$2+'Assumptions (Solar)'!X21*'Assumptions (Solar)'!X3)/10^9,0)</f>
        <v>1.912175521</v>
      </c>
      <c r="Z928" s="160"/>
      <c r="AA928" s="160"/>
      <c r="AB928" s="160"/>
      <c r="AC928" s="160"/>
      <c r="AD928" s="160"/>
      <c r="AE928" s="160"/>
      <c r="AF928" s="160"/>
      <c r="AG928" s="160"/>
      <c r="AH928" s="160"/>
      <c r="AI928" s="160"/>
      <c r="AJ928" s="160"/>
      <c r="AK928" s="160"/>
      <c r="AL928" s="160"/>
      <c r="AM928" s="160"/>
      <c r="AN928" s="160"/>
      <c r="AO928" s="160"/>
      <c r="AP928" s="160"/>
      <c r="AQ928" s="160"/>
      <c r="AR928" s="160"/>
      <c r="AS928" s="160"/>
      <c r="AT928" s="160"/>
      <c r="AU928" s="160"/>
      <c r="AV928" s="160"/>
      <c r="AW928" s="160"/>
      <c r="AX928" s="160"/>
      <c r="AY928" s="160"/>
      <c r="AZ928" s="160"/>
    </row>
    <row r="929" ht="15.75" hidden="1" customHeight="1" outlineLevel="1">
      <c r="A929" s="255"/>
      <c r="B929" s="38"/>
      <c r="C929" s="174"/>
      <c r="D929" s="174"/>
      <c r="E929" s="174"/>
      <c r="F929" s="174"/>
      <c r="G929" s="174"/>
      <c r="H929" s="174"/>
      <c r="I929" s="174"/>
      <c r="J929" s="174"/>
      <c r="K929" s="174"/>
      <c r="L929" s="174"/>
      <c r="M929" s="174"/>
      <c r="N929" s="174"/>
      <c r="O929" s="174"/>
      <c r="P929" s="174"/>
      <c r="Q929" s="174"/>
      <c r="R929" s="174"/>
      <c r="S929" s="174"/>
      <c r="T929" s="174"/>
      <c r="U929" s="174"/>
      <c r="V929" s="174"/>
      <c r="W929" s="160"/>
      <c r="X929" s="160"/>
      <c r="Y929" s="160"/>
      <c r="Z929" s="160">
        <f>IF($AA$902&gt;0,'Assumptions (Solar)'!$V$18*Model!$AA$902*('Assumptions (Solar)'!Y20*'Assumptions (Solar)'!Y$2+'Assumptions (Solar)'!Y21*'Assumptions (Solar)'!Y3)/10^9,0)</f>
        <v>1.868381732</v>
      </c>
      <c r="AA929" s="160"/>
      <c r="AB929" s="160"/>
      <c r="AC929" s="160"/>
      <c r="AD929" s="160"/>
      <c r="AE929" s="160"/>
      <c r="AF929" s="160"/>
      <c r="AG929" s="160"/>
      <c r="AH929" s="160"/>
      <c r="AI929" s="160"/>
      <c r="AJ929" s="160"/>
      <c r="AK929" s="160"/>
      <c r="AL929" s="160"/>
      <c r="AM929" s="160"/>
      <c r="AN929" s="160"/>
      <c r="AO929" s="160"/>
      <c r="AP929" s="160"/>
      <c r="AQ929" s="160"/>
      <c r="AR929" s="160"/>
      <c r="AS929" s="160"/>
      <c r="AT929" s="160"/>
      <c r="AU929" s="160"/>
      <c r="AV929" s="160"/>
      <c r="AW929" s="160"/>
      <c r="AX929" s="160"/>
      <c r="AY929" s="160"/>
      <c r="AZ929" s="160"/>
    </row>
    <row r="930" ht="15.75" hidden="1" customHeight="1" outlineLevel="1">
      <c r="A930" s="255"/>
      <c r="B930" s="38"/>
      <c r="C930" s="174"/>
      <c r="D930" s="174"/>
      <c r="E930" s="174"/>
      <c r="F930" s="174"/>
      <c r="G930" s="174"/>
      <c r="H930" s="174"/>
      <c r="I930" s="174"/>
      <c r="J930" s="174"/>
      <c r="K930" s="174"/>
      <c r="L930" s="174"/>
      <c r="M930" s="174"/>
      <c r="N930" s="174"/>
      <c r="O930" s="174"/>
      <c r="P930" s="174"/>
      <c r="Q930" s="174"/>
      <c r="R930" s="174"/>
      <c r="S930" s="174"/>
      <c r="T930" s="174"/>
      <c r="U930" s="174"/>
      <c r="V930" s="174"/>
      <c r="W930" s="160"/>
      <c r="X930" s="160"/>
      <c r="Y930" s="160"/>
      <c r="Z930" s="160"/>
      <c r="AA930" s="160">
        <f>IF($AB$902&gt;0,'Assumptions (Solar)'!$V$18*Model!$AB$902*('Assumptions (Solar)'!Z20*'Assumptions (Solar)'!Z$2+'Assumptions (Solar)'!Z21*'Assumptions (Solar)'!Z3)/10^9,0)</f>
        <v>1.823741436</v>
      </c>
      <c r="AB930" s="160"/>
      <c r="AC930" s="160"/>
      <c r="AD930" s="160"/>
      <c r="AE930" s="160"/>
      <c r="AF930" s="160"/>
      <c r="AG930" s="160"/>
      <c r="AH930" s="160"/>
      <c r="AI930" s="160"/>
      <c r="AJ930" s="160"/>
      <c r="AK930" s="160"/>
      <c r="AL930" s="160"/>
      <c r="AM930" s="160"/>
      <c r="AN930" s="160"/>
      <c r="AO930" s="160"/>
      <c r="AP930" s="160"/>
      <c r="AQ930" s="160"/>
      <c r="AR930" s="160"/>
      <c r="AS930" s="160"/>
      <c r="AT930" s="160"/>
      <c r="AU930" s="160"/>
      <c r="AV930" s="160"/>
      <c r="AW930" s="160"/>
      <c r="AX930" s="160"/>
      <c r="AY930" s="160"/>
      <c r="AZ930" s="160"/>
    </row>
    <row r="931" ht="15.75" hidden="1" customHeight="1" outlineLevel="1">
      <c r="A931" s="255"/>
      <c r="B931" s="38"/>
      <c r="C931" s="174"/>
      <c r="D931" s="174"/>
      <c r="E931" s="174"/>
      <c r="F931" s="174"/>
      <c r="G931" s="174"/>
      <c r="H931" s="174"/>
      <c r="I931" s="174"/>
      <c r="J931" s="174"/>
      <c r="K931" s="174"/>
      <c r="L931" s="174"/>
      <c r="M931" s="174"/>
      <c r="N931" s="174"/>
      <c r="O931" s="174"/>
      <c r="P931" s="174"/>
      <c r="Q931" s="174"/>
      <c r="R931" s="174"/>
      <c r="S931" s="174"/>
      <c r="T931" s="174"/>
      <c r="U931" s="174"/>
      <c r="V931" s="174"/>
      <c r="W931" s="160"/>
      <c r="X931" s="160"/>
      <c r="Y931" s="160"/>
      <c r="Z931" s="160"/>
      <c r="AA931" s="160"/>
      <c r="AB931" s="160">
        <f>IF($AC$902&gt;0,'Assumptions (Solar)'!$V$18*Model!$AC$902*('Assumptions (Solar)'!AA20*'Assumptions (Solar)'!AA$2+'Assumptions (Solar)'!AA21*'Assumptions (Solar)'!AA3)/10^9,0)</f>
        <v>1.775027231</v>
      </c>
      <c r="AC931" s="160"/>
      <c r="AD931" s="160"/>
      <c r="AE931" s="160"/>
      <c r="AF931" s="160"/>
      <c r="AG931" s="160"/>
      <c r="AH931" s="160"/>
      <c r="AI931" s="160"/>
      <c r="AJ931" s="160"/>
      <c r="AK931" s="160"/>
      <c r="AL931" s="160"/>
      <c r="AM931" s="160"/>
      <c r="AN931" s="160"/>
      <c r="AO931" s="160"/>
      <c r="AP931" s="160"/>
      <c r="AQ931" s="160"/>
      <c r="AR931" s="160"/>
      <c r="AS931" s="160"/>
      <c r="AT931" s="160"/>
      <c r="AU931" s="160"/>
      <c r="AV931" s="160"/>
      <c r="AW931" s="160"/>
      <c r="AX931" s="160"/>
      <c r="AY931" s="160"/>
      <c r="AZ931" s="160"/>
    </row>
    <row r="932" ht="15.75" hidden="1" customHeight="1" outlineLevel="1">
      <c r="A932" s="255"/>
      <c r="B932" s="38"/>
      <c r="C932" s="174"/>
      <c r="D932" s="174"/>
      <c r="E932" s="174"/>
      <c r="F932" s="174"/>
      <c r="G932" s="174"/>
      <c r="H932" s="174"/>
      <c r="I932" s="174"/>
      <c r="J932" s="174"/>
      <c r="K932" s="174"/>
      <c r="L932" s="174"/>
      <c r="M932" s="174"/>
      <c r="N932" s="174"/>
      <c r="O932" s="174"/>
      <c r="P932" s="174"/>
      <c r="Q932" s="174"/>
      <c r="R932" s="174"/>
      <c r="S932" s="174"/>
      <c r="T932" s="174"/>
      <c r="U932" s="174"/>
      <c r="V932" s="174"/>
      <c r="W932" s="160"/>
      <c r="X932" s="160"/>
      <c r="Y932" s="160"/>
      <c r="Z932" s="160"/>
      <c r="AA932" s="160"/>
      <c r="AB932" s="160"/>
      <c r="AC932" s="160">
        <f>IF($AD$902&gt;0,'Assumptions (Solar)'!$V$18*Model!$AD$902*('Assumptions (Solar)'!AB20*'Assumptions (Solar)'!AB$2+'Assumptions (Solar)'!AB21*'Assumptions (Solar)'!AB3)/10^9,0)</f>
        <v>1.723718181</v>
      </c>
      <c r="AD932" s="160"/>
      <c r="AE932" s="160"/>
      <c r="AF932" s="160"/>
      <c r="AG932" s="160"/>
      <c r="AH932" s="160"/>
      <c r="AI932" s="160"/>
      <c r="AJ932" s="160"/>
      <c r="AK932" s="160"/>
      <c r="AL932" s="160"/>
      <c r="AM932" s="160"/>
      <c r="AN932" s="160"/>
      <c r="AO932" s="160"/>
      <c r="AP932" s="160"/>
      <c r="AQ932" s="160"/>
      <c r="AR932" s="160"/>
      <c r="AS932" s="160"/>
      <c r="AT932" s="160"/>
      <c r="AU932" s="160"/>
      <c r="AV932" s="160"/>
      <c r="AW932" s="160"/>
      <c r="AX932" s="160"/>
      <c r="AY932" s="160"/>
      <c r="AZ932" s="160"/>
    </row>
    <row r="933" ht="15.75" hidden="1" customHeight="1" outlineLevel="1">
      <c r="A933" s="255"/>
      <c r="B933" s="38"/>
      <c r="C933" s="174"/>
      <c r="D933" s="174"/>
      <c r="E933" s="174"/>
      <c r="F933" s="174"/>
      <c r="G933" s="174"/>
      <c r="H933" s="174"/>
      <c r="I933" s="174"/>
      <c r="J933" s="174"/>
      <c r="K933" s="174"/>
      <c r="L933" s="174"/>
      <c r="M933" s="174"/>
      <c r="N933" s="174"/>
      <c r="O933" s="174"/>
      <c r="P933" s="174"/>
      <c r="Q933" s="174"/>
      <c r="R933" s="174"/>
      <c r="S933" s="174"/>
      <c r="T933" s="174"/>
      <c r="U933" s="174"/>
      <c r="V933" s="174"/>
      <c r="W933" s="160"/>
      <c r="X933" s="160"/>
      <c r="Y933" s="160"/>
      <c r="Z933" s="160"/>
      <c r="AA933" s="160"/>
      <c r="AB933" s="160"/>
      <c r="AC933" s="160"/>
      <c r="AD933" s="160">
        <f>IF($AE$902&gt;0,'Assumptions (Solar)'!$V$18*Model!$AE$902*('Assumptions (Solar)'!AC20*'Assumptions (Solar)'!AC$2+'Assumptions (Solar)'!AC21*'Assumptions (Solar)'!AC3)/10^9,0)</f>
        <v>1.671416478</v>
      </c>
      <c r="AE933" s="160"/>
      <c r="AF933" s="160"/>
      <c r="AG933" s="160"/>
      <c r="AH933" s="160"/>
      <c r="AI933" s="160"/>
      <c r="AJ933" s="160"/>
      <c r="AK933" s="160"/>
      <c r="AL933" s="160"/>
      <c r="AM933" s="160"/>
      <c r="AN933" s="160"/>
      <c r="AO933" s="160"/>
      <c r="AP933" s="160"/>
      <c r="AQ933" s="160"/>
      <c r="AR933" s="160"/>
      <c r="AS933" s="160"/>
      <c r="AT933" s="160"/>
      <c r="AU933" s="160"/>
      <c r="AV933" s="160"/>
      <c r="AW933" s="160"/>
      <c r="AX933" s="160"/>
      <c r="AY933" s="160"/>
      <c r="AZ933" s="160"/>
    </row>
    <row r="934" ht="15.75" hidden="1" customHeight="1" outlineLevel="1">
      <c r="A934" s="255"/>
      <c r="B934" s="38"/>
      <c r="C934" s="174"/>
      <c r="D934" s="174"/>
      <c r="E934" s="174"/>
      <c r="F934" s="174"/>
      <c r="G934" s="174"/>
      <c r="H934" s="174"/>
      <c r="I934" s="174"/>
      <c r="J934" s="174"/>
      <c r="K934" s="174"/>
      <c r="L934" s="174"/>
      <c r="M934" s="174"/>
      <c r="N934" s="174"/>
      <c r="O934" s="174"/>
      <c r="P934" s="174"/>
      <c r="Q934" s="174"/>
      <c r="R934" s="174"/>
      <c r="S934" s="174"/>
      <c r="T934" s="174"/>
      <c r="U934" s="174"/>
      <c r="V934" s="174"/>
      <c r="W934" s="160"/>
      <c r="X934" s="160"/>
      <c r="Y934" s="160"/>
      <c r="Z934" s="160"/>
      <c r="AA934" s="160"/>
      <c r="AB934" s="160"/>
      <c r="AC934" s="160"/>
      <c r="AD934" s="160"/>
      <c r="AE934" s="160">
        <f>IF($AF$902&gt;0,'Assumptions (Solar)'!$V$18*Model!$AF$902*('Assumptions (Solar)'!AD20*'Assumptions (Solar)'!AD$2+'Assumptions (Solar)'!AD21*'Assumptions (Solar)'!AD3)/10^9,0)</f>
        <v>1.614700256</v>
      </c>
      <c r="AF934" s="160"/>
      <c r="AG934" s="160"/>
      <c r="AH934" s="160"/>
      <c r="AI934" s="160"/>
      <c r="AJ934" s="160"/>
      <c r="AK934" s="160"/>
      <c r="AL934" s="160"/>
      <c r="AM934" s="160"/>
      <c r="AN934" s="160"/>
      <c r="AO934" s="160"/>
      <c r="AP934" s="160"/>
      <c r="AQ934" s="160"/>
      <c r="AR934" s="160"/>
      <c r="AS934" s="160"/>
      <c r="AT934" s="160"/>
      <c r="AU934" s="160"/>
      <c r="AV934" s="160"/>
      <c r="AW934" s="160"/>
      <c r="AX934" s="160"/>
      <c r="AY934" s="160"/>
      <c r="AZ934" s="160"/>
    </row>
    <row r="935" ht="15.75" hidden="1" customHeight="1" outlineLevel="1">
      <c r="A935" s="255"/>
      <c r="B935" s="38"/>
      <c r="C935" s="174"/>
      <c r="D935" s="174"/>
      <c r="E935" s="174"/>
      <c r="F935" s="174"/>
      <c r="G935" s="174"/>
      <c r="H935" s="174"/>
      <c r="I935" s="174"/>
      <c r="J935" s="174"/>
      <c r="K935" s="174"/>
      <c r="L935" s="174"/>
      <c r="M935" s="174"/>
      <c r="N935" s="174"/>
      <c r="O935" s="174"/>
      <c r="P935" s="174"/>
      <c r="Q935" s="174"/>
      <c r="R935" s="174"/>
      <c r="S935" s="174"/>
      <c r="T935" s="174"/>
      <c r="U935" s="174"/>
      <c r="V935" s="174"/>
      <c r="W935" s="160"/>
      <c r="X935" s="160"/>
      <c r="Y935" s="160"/>
      <c r="Z935" s="160"/>
      <c r="AA935" s="160"/>
      <c r="AB935" s="160"/>
      <c r="AC935" s="160"/>
      <c r="AD935" s="160"/>
      <c r="AE935" s="160"/>
      <c r="AF935" s="160">
        <f>IF($AG$902&gt;0,'Assumptions (Solar)'!$V$18*Model!$AG$902*('Assumptions (Solar)'!AE20*'Assumptions (Solar)'!AE$2+'Assumptions (Solar)'!AE21*'Assumptions (Solar)'!AE3)/10^9,0)</f>
        <v>1.555134942</v>
      </c>
      <c r="AG935" s="160"/>
      <c r="AH935" s="160"/>
      <c r="AI935" s="160"/>
      <c r="AJ935" s="160"/>
      <c r="AK935" s="160"/>
      <c r="AL935" s="160"/>
      <c r="AM935" s="160"/>
      <c r="AN935" s="160"/>
      <c r="AO935" s="160"/>
      <c r="AP935" s="160"/>
      <c r="AQ935" s="160"/>
      <c r="AR935" s="160"/>
      <c r="AS935" s="160"/>
      <c r="AT935" s="160"/>
      <c r="AU935" s="160"/>
      <c r="AV935" s="160"/>
      <c r="AW935" s="160"/>
      <c r="AX935" s="160"/>
      <c r="AY935" s="160"/>
      <c r="AZ935" s="160"/>
    </row>
    <row r="936" ht="15.75" hidden="1" customHeight="1" outlineLevel="1">
      <c r="A936" s="255"/>
      <c r="B936" s="38"/>
      <c r="C936" s="174"/>
      <c r="D936" s="174"/>
      <c r="E936" s="174"/>
      <c r="F936" s="174"/>
      <c r="G936" s="174"/>
      <c r="H936" s="174"/>
      <c r="I936" s="174"/>
      <c r="J936" s="174"/>
      <c r="K936" s="174"/>
      <c r="L936" s="174"/>
      <c r="M936" s="174"/>
      <c r="N936" s="174"/>
      <c r="O936" s="174"/>
      <c r="P936" s="174"/>
      <c r="Q936" s="174"/>
      <c r="R936" s="174"/>
      <c r="S936" s="174"/>
      <c r="T936" s="174"/>
      <c r="U936" s="174"/>
      <c r="V936" s="174"/>
      <c r="W936" s="160"/>
      <c r="X936" s="160"/>
      <c r="Y936" s="160"/>
      <c r="Z936" s="160"/>
      <c r="AA936" s="160"/>
      <c r="AB936" s="160"/>
      <c r="AC936" s="160"/>
      <c r="AD936" s="160"/>
      <c r="AE936" s="160"/>
      <c r="AF936" s="160"/>
      <c r="AG936" s="160">
        <f>IF($AH$902&gt;0,'Assumptions (Solar)'!$V$18*Model!$AH$902*('Assumptions (Solar)'!AF20*'Assumptions (Solar)'!AF$2+'Assumptions (Solar)'!AF21*'Assumptions (Solar)'!AF3)/10^9,0)</f>
        <v>1.492630956</v>
      </c>
      <c r="AH936" s="160"/>
      <c r="AI936" s="160"/>
      <c r="AJ936" s="160"/>
      <c r="AK936" s="160"/>
      <c r="AL936" s="160"/>
      <c r="AM936" s="160"/>
      <c r="AN936" s="160"/>
      <c r="AO936" s="160"/>
      <c r="AP936" s="160"/>
      <c r="AQ936" s="160"/>
      <c r="AR936" s="160"/>
      <c r="AS936" s="160"/>
      <c r="AT936" s="160"/>
      <c r="AU936" s="160"/>
      <c r="AV936" s="160"/>
      <c r="AW936" s="160"/>
      <c r="AX936" s="160"/>
      <c r="AY936" s="160"/>
      <c r="AZ936" s="160"/>
    </row>
    <row r="937" ht="15.75" hidden="1" customHeight="1" outlineLevel="1">
      <c r="A937" s="255"/>
      <c r="B937" s="38"/>
      <c r="C937" s="174"/>
      <c r="D937" s="174"/>
      <c r="E937" s="174"/>
      <c r="F937" s="174"/>
      <c r="G937" s="174"/>
      <c r="H937" s="174"/>
      <c r="I937" s="174"/>
      <c r="J937" s="174"/>
      <c r="K937" s="174"/>
      <c r="L937" s="174"/>
      <c r="M937" s="174"/>
      <c r="N937" s="174"/>
      <c r="O937" s="174"/>
      <c r="P937" s="174"/>
      <c r="Q937" s="174"/>
      <c r="R937" s="174"/>
      <c r="S937" s="174"/>
      <c r="T937" s="174"/>
      <c r="U937" s="174"/>
      <c r="V937" s="174"/>
      <c r="W937" s="160"/>
      <c r="X937" s="160"/>
      <c r="Y937" s="160"/>
      <c r="Z937" s="160"/>
      <c r="AA937" s="160"/>
      <c r="AB937" s="160"/>
      <c r="AC937" s="160"/>
      <c r="AD937" s="160"/>
      <c r="AE937" s="160"/>
      <c r="AF937" s="160"/>
      <c r="AG937" s="160"/>
      <c r="AH937" s="160">
        <f>IF($AI$902&gt;0,'Assumptions (Solar)'!$V$18*Model!$AI$902*('Assumptions (Solar)'!AG20*'Assumptions (Solar)'!AG$2+'Assumptions (Solar)'!AG21*'Assumptions (Solar)'!AG3)/10^9,0)</f>
        <v>1.509008724</v>
      </c>
      <c r="AI937" s="160"/>
      <c r="AJ937" s="160"/>
      <c r="AK937" s="160"/>
      <c r="AL937" s="160"/>
      <c r="AM937" s="160"/>
      <c r="AN937" s="160"/>
      <c r="AO937" s="160"/>
      <c r="AP937" s="160"/>
      <c r="AQ937" s="160"/>
      <c r="AR937" s="160"/>
      <c r="AS937" s="160"/>
      <c r="AT937" s="160"/>
      <c r="AU937" s="160"/>
      <c r="AV937" s="160"/>
      <c r="AW937" s="160"/>
      <c r="AX937" s="160"/>
      <c r="AY937" s="160"/>
      <c r="AZ937" s="160"/>
    </row>
    <row r="938" ht="15.75" hidden="1" customHeight="1" outlineLevel="1">
      <c r="A938" s="255"/>
      <c r="B938" s="38"/>
      <c r="C938" s="174"/>
      <c r="D938" s="174"/>
      <c r="E938" s="174"/>
      <c r="F938" s="174"/>
      <c r="G938" s="174"/>
      <c r="H938" s="174"/>
      <c r="I938" s="174"/>
      <c r="J938" s="174"/>
      <c r="K938" s="174"/>
      <c r="L938" s="174"/>
      <c r="M938" s="174"/>
      <c r="N938" s="174"/>
      <c r="O938" s="174"/>
      <c r="P938" s="174"/>
      <c r="Q938" s="174"/>
      <c r="R938" s="174"/>
      <c r="S938" s="174"/>
      <c r="T938" s="174"/>
      <c r="U938" s="174"/>
      <c r="V938" s="174"/>
      <c r="W938" s="160"/>
      <c r="X938" s="160"/>
      <c r="Y938" s="160"/>
      <c r="Z938" s="160"/>
      <c r="AA938" s="160"/>
      <c r="AB938" s="160"/>
      <c r="AC938" s="160"/>
      <c r="AD938" s="160"/>
      <c r="AE938" s="160"/>
      <c r="AF938" s="160"/>
      <c r="AG938" s="160"/>
      <c r="AH938" s="160"/>
      <c r="AI938" s="160">
        <f>IF($AJ$902&gt;0,'Assumptions (Solar)'!$V$18*Model!$AJ$902*('Assumptions (Solar)'!AH20*'Assumptions (Solar)'!AH$2+'Assumptions (Solar)'!AH21*'Assumptions (Solar)'!AH3)/10^9,0)</f>
        <v>1.525457424</v>
      </c>
      <c r="AJ938" s="177"/>
      <c r="AK938" s="160"/>
      <c r="AL938" s="177"/>
      <c r="AM938" s="177"/>
      <c r="AN938" s="177"/>
      <c r="AO938" s="177"/>
      <c r="AP938" s="177"/>
      <c r="AQ938" s="177"/>
      <c r="AR938" s="177"/>
      <c r="AS938" s="177"/>
      <c r="AT938" s="177"/>
      <c r="AU938" s="177"/>
      <c r="AV938" s="177"/>
      <c r="AW938" s="177"/>
      <c r="AX938" s="177"/>
      <c r="AY938" s="177"/>
      <c r="AZ938" s="177"/>
    </row>
    <row r="939" ht="15.75" hidden="1" customHeight="1" outlineLevel="1">
      <c r="A939" s="255"/>
      <c r="B939" s="38"/>
      <c r="C939" s="174"/>
      <c r="D939" s="174"/>
      <c r="E939" s="174"/>
      <c r="F939" s="174"/>
      <c r="G939" s="174"/>
      <c r="H939" s="174"/>
      <c r="I939" s="174"/>
      <c r="J939" s="174"/>
      <c r="K939" s="174"/>
      <c r="L939" s="174"/>
      <c r="M939" s="174"/>
      <c r="N939" s="174"/>
      <c r="O939" s="174"/>
      <c r="P939" s="174"/>
      <c r="Q939" s="174"/>
      <c r="R939" s="174"/>
      <c r="S939" s="174"/>
      <c r="T939" s="174"/>
      <c r="U939" s="174"/>
      <c r="V939" s="174"/>
      <c r="W939" s="160"/>
      <c r="X939" s="160"/>
      <c r="Y939" s="160"/>
      <c r="Z939" s="160"/>
      <c r="AA939" s="160"/>
      <c r="AB939" s="160"/>
      <c r="AC939" s="160"/>
      <c r="AD939" s="160"/>
      <c r="AE939" s="160"/>
      <c r="AF939" s="160"/>
      <c r="AG939" s="160"/>
      <c r="AH939" s="160"/>
      <c r="AI939" s="160"/>
      <c r="AJ939" s="160">
        <f>IF($AK$902&gt;0,'Assumptions (Solar)'!$V$18*Model!$AK$902*('Assumptions (Solar)'!AI20*'Assumptions (Solar)'!AI$2+'Assumptions (Solar)'!AI21*'Assumptions (Solar)'!AI3)/10^9,0)</f>
        <v>1.543562086</v>
      </c>
      <c r="AK939" s="160"/>
      <c r="AL939" s="177"/>
      <c r="AM939" s="177"/>
      <c r="AN939" s="177"/>
      <c r="AO939" s="177"/>
      <c r="AP939" s="177"/>
      <c r="AQ939" s="177"/>
      <c r="AR939" s="177"/>
      <c r="AS939" s="177"/>
      <c r="AT939" s="177"/>
      <c r="AU939" s="177"/>
      <c r="AV939" s="177"/>
      <c r="AW939" s="177"/>
      <c r="AX939" s="177"/>
      <c r="AY939" s="177"/>
      <c r="AZ939" s="177"/>
    </row>
    <row r="940" ht="15.75" hidden="1" customHeight="1" outlineLevel="1">
      <c r="A940" s="255"/>
      <c r="B940" s="38"/>
      <c r="C940" s="174"/>
      <c r="D940" s="174"/>
      <c r="E940" s="174"/>
      <c r="F940" s="174"/>
      <c r="G940" s="174"/>
      <c r="H940" s="174"/>
      <c r="I940" s="174"/>
      <c r="J940" s="174"/>
      <c r="K940" s="174"/>
      <c r="L940" s="174"/>
      <c r="M940" s="174"/>
      <c r="N940" s="174"/>
      <c r="O940" s="174"/>
      <c r="P940" s="174"/>
      <c r="Q940" s="174"/>
      <c r="R940" s="174"/>
      <c r="S940" s="174"/>
      <c r="T940" s="174"/>
      <c r="U940" s="174"/>
      <c r="V940" s="174"/>
      <c r="W940" s="160"/>
      <c r="X940" s="160"/>
      <c r="Y940" s="160"/>
      <c r="Z940" s="160"/>
      <c r="AA940" s="160"/>
      <c r="AB940" s="160"/>
      <c r="AC940" s="160"/>
      <c r="AD940" s="160"/>
      <c r="AE940" s="160"/>
      <c r="AF940" s="160"/>
      <c r="AG940" s="160"/>
      <c r="AH940" s="160"/>
      <c r="AI940" s="160"/>
      <c r="AJ940" s="160"/>
      <c r="AK940" s="160">
        <f>IF($AL$902&gt;0,'Assumptions (Solar)'!$V$18*Model!$AL$902*('Assumptions (Solar)'!AJ20*'Assumptions (Solar)'!AJ$2+'Assumptions (Solar)'!AJ21*'Assumptions (Solar)'!AJ3)/10^9,0)</f>
        <v>1.556624689</v>
      </c>
      <c r="AL940" s="177"/>
      <c r="AM940" s="177"/>
      <c r="AN940" s="177"/>
      <c r="AO940" s="177"/>
      <c r="AP940" s="177"/>
      <c r="AQ940" s="177"/>
      <c r="AR940" s="177"/>
      <c r="AS940" s="177"/>
      <c r="AT940" s="177"/>
      <c r="AU940" s="177"/>
      <c r="AV940" s="177"/>
      <c r="AW940" s="177"/>
      <c r="AX940" s="177"/>
      <c r="AY940" s="177"/>
      <c r="AZ940" s="177"/>
    </row>
    <row r="941" ht="15.75" hidden="1" customHeight="1" outlineLevel="1">
      <c r="A941" s="255"/>
      <c r="B941" s="38"/>
      <c r="C941" s="174"/>
      <c r="D941" s="174"/>
      <c r="E941" s="174"/>
      <c r="F941" s="174"/>
      <c r="G941" s="174"/>
      <c r="H941" s="174"/>
      <c r="I941" s="174"/>
      <c r="J941" s="174"/>
      <c r="K941" s="174"/>
      <c r="L941" s="174"/>
      <c r="M941" s="174"/>
      <c r="N941" s="174"/>
      <c r="O941" s="174"/>
      <c r="P941" s="174"/>
      <c r="Q941" s="174"/>
      <c r="R941" s="174"/>
      <c r="S941" s="174"/>
      <c r="T941" s="174"/>
      <c r="U941" s="174"/>
      <c r="V941" s="174"/>
      <c r="W941" s="160"/>
      <c r="X941" s="160"/>
      <c r="Y941" s="160"/>
      <c r="Z941" s="160"/>
      <c r="AA941" s="160"/>
      <c r="AB941" s="160"/>
      <c r="AC941" s="160"/>
      <c r="AD941" s="160"/>
      <c r="AE941" s="160"/>
      <c r="AF941" s="160"/>
      <c r="AG941" s="160"/>
      <c r="AH941" s="160"/>
      <c r="AI941" s="160"/>
      <c r="AJ941" s="160"/>
      <c r="AK941" s="160"/>
      <c r="AL941" s="160">
        <f>IF($AM$902&gt;0,'Assumptions (Solar)'!$V$18*Model!$AM$902*('Assumptions (Solar)'!AK20*'Assumptions (Solar)'!AK$2+'Assumptions (Solar)'!AK21*'Assumptions (Solar)'!AK3)/10^9,0)</f>
        <v>1.579472144</v>
      </c>
      <c r="AM941" s="160"/>
      <c r="AN941" s="160"/>
      <c r="AO941" s="160"/>
      <c r="AP941" s="160"/>
      <c r="AQ941" s="160"/>
      <c r="AR941" s="160"/>
      <c r="AS941" s="160"/>
      <c r="AT941" s="160"/>
      <c r="AU941" s="160"/>
      <c r="AV941" s="160"/>
      <c r="AW941" s="160"/>
      <c r="AX941" s="160"/>
      <c r="AY941" s="160"/>
      <c r="AZ941" s="160"/>
    </row>
    <row r="942" ht="15.75" hidden="1" customHeight="1" outlineLevel="1">
      <c r="A942" s="255"/>
      <c r="B942" s="38"/>
      <c r="C942" s="174"/>
      <c r="D942" s="174"/>
      <c r="E942" s="174"/>
      <c r="F942" s="174"/>
      <c r="G942" s="174"/>
      <c r="H942" s="174"/>
      <c r="I942" s="174"/>
      <c r="J942" s="174"/>
      <c r="K942" s="174"/>
      <c r="L942" s="174"/>
      <c r="M942" s="174"/>
      <c r="N942" s="174"/>
      <c r="O942" s="174"/>
      <c r="P942" s="174"/>
      <c r="Q942" s="174"/>
      <c r="R942" s="174"/>
      <c r="S942" s="174"/>
      <c r="T942" s="174"/>
      <c r="U942" s="174"/>
      <c r="V942" s="174"/>
      <c r="W942" s="160"/>
      <c r="X942" s="160"/>
      <c r="Y942" s="160"/>
      <c r="Z942" s="160"/>
      <c r="AA942" s="160"/>
      <c r="AB942" s="160"/>
      <c r="AC942" s="160"/>
      <c r="AD942" s="160"/>
      <c r="AE942" s="160"/>
      <c r="AF942" s="160"/>
      <c r="AG942" s="160"/>
      <c r="AH942" s="160"/>
      <c r="AI942" s="160"/>
      <c r="AJ942" s="160"/>
      <c r="AK942" s="160"/>
      <c r="AL942" s="160"/>
      <c r="AM942" s="160">
        <f>IF($AN$902&gt;0,'Assumptions (Solar)'!$V$18*Model!$AN$902*('Assumptions (Solar)'!AL20*'Assumptions (Solar)'!AL$2+'Assumptions (Solar)'!AL21*'Assumptions (Solar)'!AL3)/10^9,0)</f>
        <v>1.617597306</v>
      </c>
      <c r="AN942" s="160"/>
      <c r="AO942" s="160"/>
      <c r="AP942" s="160"/>
      <c r="AQ942" s="160"/>
      <c r="AR942" s="160"/>
      <c r="AS942" s="160"/>
      <c r="AT942" s="160"/>
      <c r="AU942" s="160"/>
      <c r="AV942" s="160"/>
      <c r="AW942" s="160"/>
      <c r="AX942" s="160"/>
      <c r="AY942" s="160"/>
      <c r="AZ942" s="160"/>
    </row>
    <row r="943" ht="15.75" hidden="1" customHeight="1" outlineLevel="1">
      <c r="A943" s="255"/>
      <c r="B943" s="38"/>
      <c r="C943" s="174"/>
      <c r="D943" s="174"/>
      <c r="E943" s="174"/>
      <c r="F943" s="174"/>
      <c r="G943" s="174"/>
      <c r="H943" s="174"/>
      <c r="I943" s="174"/>
      <c r="J943" s="174"/>
      <c r="K943" s="174"/>
      <c r="L943" s="174"/>
      <c r="M943" s="174"/>
      <c r="N943" s="174"/>
      <c r="O943" s="174"/>
      <c r="P943" s="174"/>
      <c r="Q943" s="174"/>
      <c r="R943" s="174"/>
      <c r="S943" s="174"/>
      <c r="T943" s="174"/>
      <c r="U943" s="174"/>
      <c r="V943" s="174"/>
      <c r="W943" s="160"/>
      <c r="X943" s="160"/>
      <c r="Y943" s="160"/>
      <c r="Z943" s="160"/>
      <c r="AA943" s="160"/>
      <c r="AB943" s="160"/>
      <c r="AC943" s="160"/>
      <c r="AD943" s="160"/>
      <c r="AE943" s="160"/>
      <c r="AF943" s="160"/>
      <c r="AG943" s="160"/>
      <c r="AH943" s="160"/>
      <c r="AI943" s="160"/>
      <c r="AJ943" s="160"/>
      <c r="AK943" s="160"/>
      <c r="AL943" s="160"/>
      <c r="AM943" s="160"/>
      <c r="AN943" s="160">
        <f>IF($AO$902&gt;0,'Assumptions (Solar)'!$V$18*Model!$AO$902*('Assumptions (Solar)'!AM20*'Assumptions (Solar)'!AM$2+'Assumptions (Solar)'!AM21*'Assumptions (Solar)'!AM3)/10^9,0)</f>
        <v>1.728807783</v>
      </c>
      <c r="AO943" s="160"/>
      <c r="AP943" s="160"/>
      <c r="AQ943" s="160"/>
      <c r="AR943" s="160"/>
      <c r="AS943" s="160"/>
      <c r="AT943" s="160"/>
      <c r="AU943" s="160"/>
      <c r="AV943" s="160"/>
      <c r="AW943" s="160"/>
      <c r="AX943" s="160"/>
      <c r="AY943" s="160"/>
      <c r="AZ943" s="160"/>
    </row>
    <row r="944" ht="15.75" hidden="1" customHeight="1" outlineLevel="1">
      <c r="A944" s="255"/>
      <c r="B944" s="38"/>
      <c r="C944" s="174"/>
      <c r="D944" s="174"/>
      <c r="E944" s="174"/>
      <c r="F944" s="174"/>
      <c r="G944" s="174"/>
      <c r="H944" s="174"/>
      <c r="I944" s="174"/>
      <c r="J944" s="174"/>
      <c r="K944" s="174"/>
      <c r="L944" s="174"/>
      <c r="M944" s="174"/>
      <c r="N944" s="174"/>
      <c r="O944" s="174"/>
      <c r="P944" s="174"/>
      <c r="Q944" s="174"/>
      <c r="R944" s="174"/>
      <c r="S944" s="174"/>
      <c r="T944" s="174"/>
      <c r="U944" s="174"/>
      <c r="V944" s="174"/>
      <c r="W944" s="160"/>
      <c r="X944" s="160"/>
      <c r="Y944" s="160"/>
      <c r="Z944" s="160"/>
      <c r="AA944" s="160"/>
      <c r="AB944" s="160"/>
      <c r="AC944" s="160"/>
      <c r="AD944" s="160"/>
      <c r="AE944" s="160"/>
      <c r="AF944" s="160"/>
      <c r="AG944" s="160"/>
      <c r="AH944" s="160"/>
      <c r="AI944" s="160"/>
      <c r="AJ944" s="160"/>
      <c r="AK944" s="160"/>
      <c r="AL944" s="160"/>
      <c r="AM944" s="160"/>
      <c r="AN944" s="160"/>
      <c r="AO944" s="160">
        <f>IF($AP$902&gt;0,'Assumptions (Solar)'!$V$18*Model!$AP$902*('Assumptions (Solar)'!AN20*'Assumptions (Solar)'!AN$2+'Assumptions (Solar)'!AN21*'Assumptions (Solar)'!AN3)/10^9,0)</f>
        <v>1.94211059</v>
      </c>
      <c r="AP944" s="160"/>
      <c r="AQ944" s="160"/>
      <c r="AR944" s="160"/>
      <c r="AS944" s="160"/>
      <c r="AT944" s="160"/>
      <c r="AU944" s="160"/>
      <c r="AV944" s="160"/>
      <c r="AW944" s="160"/>
      <c r="AX944" s="160"/>
      <c r="AY944" s="160"/>
      <c r="AZ944" s="160"/>
    </row>
    <row r="945" ht="15.75" hidden="1" customHeight="1" outlineLevel="1">
      <c r="A945" s="255"/>
      <c r="B945" s="38"/>
      <c r="C945" s="174"/>
      <c r="D945" s="174"/>
      <c r="E945" s="174"/>
      <c r="F945" s="174"/>
      <c r="G945" s="174"/>
      <c r="H945" s="174"/>
      <c r="I945" s="174"/>
      <c r="J945" s="174"/>
      <c r="K945" s="174"/>
      <c r="L945" s="174"/>
      <c r="M945" s="174"/>
      <c r="N945" s="174"/>
      <c r="O945" s="174"/>
      <c r="P945" s="174"/>
      <c r="Q945" s="174"/>
      <c r="R945" s="174"/>
      <c r="S945" s="174"/>
      <c r="T945" s="174"/>
      <c r="U945" s="174"/>
      <c r="V945" s="174"/>
      <c r="W945" s="160"/>
      <c r="X945" s="160"/>
      <c r="Y945" s="160"/>
      <c r="Z945" s="160"/>
      <c r="AA945" s="160"/>
      <c r="AB945" s="160"/>
      <c r="AC945" s="160"/>
      <c r="AD945" s="160"/>
      <c r="AE945" s="160"/>
      <c r="AF945" s="160"/>
      <c r="AG945" s="160"/>
      <c r="AH945" s="160"/>
      <c r="AI945" s="160"/>
      <c r="AJ945" s="179"/>
      <c r="AK945" s="160"/>
      <c r="AL945" s="160"/>
      <c r="AM945" s="160"/>
      <c r="AN945" s="160"/>
      <c r="AO945" s="160"/>
      <c r="AP945" s="160">
        <f>IF($AQ$902&gt;0,'Assumptions (Solar)'!$V$18*Model!$AQ$902*('Assumptions (Solar)'!AO20*'Assumptions (Solar)'!AO$2+'Assumptions (Solar)'!AO21*'Assumptions (Solar)'!AO3)/10^9,0)</f>
        <v>2.10773185</v>
      </c>
      <c r="AQ945" s="160"/>
      <c r="AR945" s="160"/>
      <c r="AS945" s="160"/>
      <c r="AT945" s="160"/>
      <c r="AU945" s="160"/>
      <c r="AV945" s="160"/>
      <c r="AW945" s="160"/>
      <c r="AX945" s="160"/>
      <c r="AY945" s="160"/>
      <c r="AZ945" s="160"/>
    </row>
    <row r="946" ht="15.75" hidden="1" customHeight="1" outlineLevel="1">
      <c r="A946" s="255"/>
      <c r="B946" s="38"/>
      <c r="C946" s="174"/>
      <c r="D946" s="174"/>
      <c r="E946" s="174"/>
      <c r="F946" s="174"/>
      <c r="G946" s="174"/>
      <c r="H946" s="174"/>
      <c r="I946" s="174"/>
      <c r="J946" s="174"/>
      <c r="K946" s="174"/>
      <c r="L946" s="174"/>
      <c r="M946" s="174"/>
      <c r="N946" s="174"/>
      <c r="O946" s="174"/>
      <c r="P946" s="174"/>
      <c r="Q946" s="174"/>
      <c r="R946" s="174"/>
      <c r="S946" s="174"/>
      <c r="T946" s="174"/>
      <c r="U946" s="174"/>
      <c r="V946" s="174"/>
      <c r="W946" s="160"/>
      <c r="X946" s="160"/>
      <c r="Y946" s="160"/>
      <c r="Z946" s="160"/>
      <c r="AA946" s="160"/>
      <c r="AB946" s="160"/>
      <c r="AC946" s="160"/>
      <c r="AD946" s="160"/>
      <c r="AE946" s="160"/>
      <c r="AF946" s="160"/>
      <c r="AG946" s="160"/>
      <c r="AH946" s="160"/>
      <c r="AI946" s="160"/>
      <c r="AJ946" s="179"/>
      <c r="AK946" s="160"/>
      <c r="AL946" s="160"/>
      <c r="AM946" s="160"/>
      <c r="AN946" s="160"/>
      <c r="AO946" s="160"/>
      <c r="AP946" s="160"/>
      <c r="AQ946" s="160">
        <f>IF($AR$902&gt;0,'Assumptions (Solar)'!$V$18*Model!$AR$902*('Assumptions (Solar)'!AP20*'Assumptions (Solar)'!AP$2+'Assumptions (Solar)'!AP21*'Assumptions (Solar)'!AP3)/10^9,0)</f>
        <v>2.921364193</v>
      </c>
      <c r="AR946" s="160"/>
      <c r="AS946" s="160"/>
      <c r="AT946" s="160"/>
      <c r="AU946" s="160"/>
      <c r="AV946" s="160"/>
      <c r="AW946" s="160"/>
      <c r="AX946" s="160"/>
      <c r="AY946" s="160"/>
      <c r="AZ946" s="160"/>
    </row>
    <row r="947" ht="15.75" hidden="1" customHeight="1" outlineLevel="1">
      <c r="A947" s="255"/>
      <c r="B947" s="38"/>
      <c r="C947" s="174"/>
      <c r="D947" s="174"/>
      <c r="E947" s="174"/>
      <c r="F947" s="174"/>
      <c r="G947" s="174"/>
      <c r="H947" s="174"/>
      <c r="I947" s="174"/>
      <c r="J947" s="174"/>
      <c r="K947" s="174"/>
      <c r="L947" s="174"/>
      <c r="M947" s="174"/>
      <c r="N947" s="174"/>
      <c r="O947" s="174"/>
      <c r="P947" s="174"/>
      <c r="Q947" s="174"/>
      <c r="R947" s="174"/>
      <c r="S947" s="174"/>
      <c r="T947" s="174"/>
      <c r="U947" s="174"/>
      <c r="V947" s="174"/>
      <c r="W947" s="160"/>
      <c r="X947" s="160"/>
      <c r="Y947" s="160"/>
      <c r="Z947" s="160"/>
      <c r="AA947" s="160"/>
      <c r="AB947" s="160"/>
      <c r="AC947" s="160"/>
      <c r="AD947" s="160"/>
      <c r="AE947" s="160"/>
      <c r="AF947" s="160"/>
      <c r="AG947" s="160"/>
      <c r="AH947" s="160"/>
      <c r="AI947" s="160"/>
      <c r="AJ947" s="179"/>
      <c r="AK947" s="160"/>
      <c r="AL947" s="177"/>
      <c r="AM947" s="160"/>
      <c r="AN947" s="160"/>
      <c r="AO947" s="160"/>
      <c r="AP947" s="160"/>
      <c r="AQ947" s="160"/>
      <c r="AR947" s="160">
        <f>IF($AS$902&gt;0,'Assumptions (Solar)'!$V$18*Model!$AS$902*('Assumptions (Solar)'!AQ20*'Assumptions (Solar)'!AQ$2+'Assumptions (Solar)'!AQ21*'Assumptions (Solar)'!AQ3)/10^9,0)</f>
        <v>3.614841104</v>
      </c>
      <c r="AS947" s="160"/>
      <c r="AT947" s="160"/>
      <c r="AU947" s="160"/>
      <c r="AV947" s="160"/>
      <c r="AW947" s="160"/>
      <c r="AX947" s="160"/>
      <c r="AY947" s="160"/>
      <c r="AZ947" s="160"/>
    </row>
    <row r="948" ht="15.75" hidden="1" customHeight="1" outlineLevel="1">
      <c r="A948" s="255"/>
      <c r="B948" s="38"/>
      <c r="C948" s="174"/>
      <c r="D948" s="174"/>
      <c r="E948" s="174"/>
      <c r="F948" s="174"/>
      <c r="G948" s="174"/>
      <c r="H948" s="174"/>
      <c r="I948" s="174"/>
      <c r="J948" s="174"/>
      <c r="K948" s="174"/>
      <c r="L948" s="174"/>
      <c r="M948" s="174"/>
      <c r="N948" s="174"/>
      <c r="O948" s="174"/>
      <c r="P948" s="174"/>
      <c r="Q948" s="174"/>
      <c r="R948" s="174"/>
      <c r="S948" s="174"/>
      <c r="T948" s="174"/>
      <c r="U948" s="174"/>
      <c r="V948" s="174"/>
      <c r="W948" s="160"/>
      <c r="X948" s="160"/>
      <c r="Y948" s="160"/>
      <c r="Z948" s="160"/>
      <c r="AA948" s="160"/>
      <c r="AB948" s="160"/>
      <c r="AC948" s="160"/>
      <c r="AD948" s="160"/>
      <c r="AE948" s="160"/>
      <c r="AF948" s="160"/>
      <c r="AG948" s="160"/>
      <c r="AH948" s="160"/>
      <c r="AI948" s="160"/>
      <c r="AJ948" s="179"/>
      <c r="AK948" s="160"/>
      <c r="AL948" s="177"/>
      <c r="AM948" s="177"/>
      <c r="AN948" s="160"/>
      <c r="AO948" s="160"/>
      <c r="AP948" s="160"/>
      <c r="AQ948" s="160"/>
      <c r="AR948" s="160"/>
      <c r="AS948" s="160">
        <f>IF($AT$902&gt;0,'Assumptions (Solar)'!$V$18*Model!$AT$902*('Assumptions (Solar)'!AR20*'Assumptions (Solar)'!AR$2+'Assumptions (Solar)'!AR21*'Assumptions (Solar)'!AR3)/10^9,0)</f>
        <v>3.417087107</v>
      </c>
      <c r="AT948" s="160"/>
      <c r="AU948" s="160"/>
      <c r="AV948" s="160"/>
      <c r="AW948" s="160"/>
      <c r="AX948" s="160"/>
      <c r="AY948" s="160"/>
      <c r="AZ948" s="160"/>
    </row>
    <row r="949" ht="15.75" hidden="1" customHeight="1" outlineLevel="1">
      <c r="A949" s="255"/>
      <c r="B949" s="38"/>
      <c r="C949" s="174"/>
      <c r="D949" s="174"/>
      <c r="E949" s="174"/>
      <c r="F949" s="174"/>
      <c r="G949" s="174"/>
      <c r="H949" s="174"/>
      <c r="I949" s="174"/>
      <c r="J949" s="174"/>
      <c r="K949" s="174"/>
      <c r="L949" s="174"/>
      <c r="M949" s="174"/>
      <c r="N949" s="174"/>
      <c r="O949" s="174"/>
      <c r="P949" s="174"/>
      <c r="Q949" s="174"/>
      <c r="R949" s="174"/>
      <c r="S949" s="174"/>
      <c r="T949" s="174"/>
      <c r="U949" s="174"/>
      <c r="V949" s="174"/>
      <c r="W949" s="160"/>
      <c r="X949" s="160"/>
      <c r="Y949" s="160"/>
      <c r="Z949" s="160"/>
      <c r="AA949" s="160"/>
      <c r="AB949" s="160"/>
      <c r="AC949" s="160"/>
      <c r="AD949" s="160"/>
      <c r="AE949" s="160"/>
      <c r="AF949" s="160"/>
      <c r="AG949" s="160"/>
      <c r="AH949" s="160"/>
      <c r="AI949" s="160"/>
      <c r="AJ949" s="179"/>
      <c r="AK949" s="160"/>
      <c r="AL949" s="177"/>
      <c r="AM949" s="177"/>
      <c r="AN949" s="177"/>
      <c r="AO949" s="160"/>
      <c r="AP949" s="160"/>
      <c r="AQ949" s="160"/>
      <c r="AR949" s="160"/>
      <c r="AS949" s="160"/>
      <c r="AT949" s="160">
        <f>IF($AU$902&gt;0,'Assumptions (Solar)'!$V$18*Model!$AU$902*('Assumptions (Solar)'!AS20*'Assumptions (Solar)'!AS$2+'Assumptions (Solar)'!AS21*'Assumptions (Solar)'!AS3)/10^9,0)</f>
        <v>2.75430332</v>
      </c>
      <c r="AU949" s="160"/>
      <c r="AV949" s="160"/>
      <c r="AW949" s="160"/>
      <c r="AX949" s="160"/>
      <c r="AY949" s="160"/>
      <c r="AZ949" s="160"/>
    </row>
    <row r="950" ht="15.75" hidden="1" customHeight="1" outlineLevel="1">
      <c r="A950" s="255"/>
      <c r="B950" s="38"/>
      <c r="C950" s="174"/>
      <c r="D950" s="174"/>
      <c r="E950" s="174"/>
      <c r="F950" s="174"/>
      <c r="G950" s="174"/>
      <c r="H950" s="174"/>
      <c r="I950" s="174"/>
      <c r="J950" s="174"/>
      <c r="K950" s="174"/>
      <c r="L950" s="174"/>
      <c r="M950" s="174"/>
      <c r="N950" s="174"/>
      <c r="O950" s="174"/>
      <c r="P950" s="174"/>
      <c r="Q950" s="174"/>
      <c r="R950" s="174"/>
      <c r="S950" s="174"/>
      <c r="T950" s="174"/>
      <c r="U950" s="174"/>
      <c r="V950" s="174"/>
      <c r="W950" s="160"/>
      <c r="X950" s="160"/>
      <c r="Y950" s="160"/>
      <c r="Z950" s="160"/>
      <c r="AA950" s="160"/>
      <c r="AB950" s="160"/>
      <c r="AC950" s="160"/>
      <c r="AD950" s="160"/>
      <c r="AE950" s="160"/>
      <c r="AF950" s="160"/>
      <c r="AG950" s="160"/>
      <c r="AH950" s="160"/>
      <c r="AI950" s="160"/>
      <c r="AJ950" s="179"/>
      <c r="AK950" s="160"/>
      <c r="AL950" s="177"/>
      <c r="AM950" s="177"/>
      <c r="AN950" s="177"/>
      <c r="AO950" s="160"/>
      <c r="AP950" s="160"/>
      <c r="AQ950" s="160"/>
      <c r="AR950" s="160"/>
      <c r="AS950" s="160"/>
      <c r="AT950" s="160"/>
      <c r="AU950" s="160">
        <f>IF($AV$902&gt;0,'Assumptions (Solar)'!$V$18*Model!$AV$902*('Assumptions (Solar)'!AT20*'Assumptions (Solar)'!AT$2+'Assumptions (Solar)'!AT21*'Assumptions (Solar)'!AT3)/10^9,0)</f>
        <v>1.712899936</v>
      </c>
      <c r="AV950" s="160"/>
      <c r="AW950" s="160"/>
      <c r="AX950" s="160"/>
      <c r="AY950" s="160"/>
      <c r="AZ950" s="160"/>
    </row>
    <row r="951" ht="15.75" hidden="1" customHeight="1" outlineLevel="1">
      <c r="A951" s="255"/>
      <c r="B951" s="38"/>
      <c r="C951" s="174"/>
      <c r="D951" s="174"/>
      <c r="E951" s="174"/>
      <c r="F951" s="174"/>
      <c r="G951" s="174"/>
      <c r="H951" s="174"/>
      <c r="I951" s="174"/>
      <c r="J951" s="174"/>
      <c r="K951" s="174"/>
      <c r="L951" s="174"/>
      <c r="M951" s="174"/>
      <c r="N951" s="174"/>
      <c r="O951" s="174"/>
      <c r="P951" s="174"/>
      <c r="Q951" s="174"/>
      <c r="R951" s="174"/>
      <c r="S951" s="174"/>
      <c r="T951" s="174"/>
      <c r="U951" s="174"/>
      <c r="V951" s="174"/>
      <c r="W951" s="160"/>
      <c r="X951" s="160"/>
      <c r="Y951" s="160"/>
      <c r="Z951" s="160"/>
      <c r="AA951" s="160"/>
      <c r="AB951" s="160"/>
      <c r="AC951" s="160"/>
      <c r="AD951" s="160"/>
      <c r="AE951" s="160"/>
      <c r="AF951" s="160"/>
      <c r="AG951" s="160"/>
      <c r="AH951" s="160"/>
      <c r="AI951" s="160"/>
      <c r="AJ951" s="179"/>
      <c r="AK951" s="160"/>
      <c r="AL951" s="177"/>
      <c r="AM951" s="177"/>
      <c r="AN951" s="177"/>
      <c r="AO951" s="160"/>
      <c r="AP951" s="160"/>
      <c r="AQ951" s="160"/>
      <c r="AR951" s="160"/>
      <c r="AS951" s="160"/>
      <c r="AT951" s="160"/>
      <c r="AU951" s="160"/>
      <c r="AV951" s="160">
        <f>IF($AW$902&gt;0,'Assumptions (Solar)'!$V$18*Model!$AW$902*('Assumptions (Solar)'!AU20*'Assumptions (Solar)'!AU$2+'Assumptions (Solar)'!AU21*'Assumptions (Solar)'!AU3)/10^9,0)</f>
        <v>1.729617106</v>
      </c>
      <c r="AW951" s="160"/>
      <c r="AX951" s="160"/>
      <c r="AY951" s="160"/>
      <c r="AZ951" s="160"/>
    </row>
    <row r="952" ht="15.75" hidden="1" customHeight="1" outlineLevel="1">
      <c r="A952" s="255"/>
      <c r="B952" s="38"/>
      <c r="C952" s="174"/>
      <c r="D952" s="174"/>
      <c r="E952" s="174"/>
      <c r="F952" s="174"/>
      <c r="G952" s="174"/>
      <c r="H952" s="174"/>
      <c r="I952" s="174"/>
      <c r="J952" s="174"/>
      <c r="K952" s="174"/>
      <c r="L952" s="174"/>
      <c r="M952" s="174"/>
      <c r="N952" s="174"/>
      <c r="O952" s="174"/>
      <c r="P952" s="174"/>
      <c r="Q952" s="174"/>
      <c r="R952" s="174"/>
      <c r="S952" s="174"/>
      <c r="T952" s="174"/>
      <c r="U952" s="174"/>
      <c r="V952" s="174"/>
      <c r="W952" s="160"/>
      <c r="X952" s="160"/>
      <c r="Y952" s="160"/>
      <c r="Z952" s="160"/>
      <c r="AA952" s="160"/>
      <c r="AB952" s="160"/>
      <c r="AC952" s="160"/>
      <c r="AD952" s="160"/>
      <c r="AE952" s="160"/>
      <c r="AF952" s="160"/>
      <c r="AG952" s="160"/>
      <c r="AH952" s="160"/>
      <c r="AI952" s="160"/>
      <c r="AJ952" s="179"/>
      <c r="AK952" s="160"/>
      <c r="AL952" s="177"/>
      <c r="AM952" s="177"/>
      <c r="AN952" s="177"/>
      <c r="AO952" s="160"/>
      <c r="AP952" s="160"/>
      <c r="AQ952" s="160"/>
      <c r="AR952" s="160"/>
      <c r="AS952" s="160"/>
      <c r="AT952" s="160"/>
      <c r="AU952" s="160"/>
      <c r="AV952" s="160"/>
      <c r="AW952" s="160">
        <f>IF($AX$902&gt;0,'Assumptions (Solar)'!$V$18*Model!$AX$902*('Assumptions (Solar)'!AV20*'Assumptions (Solar)'!AV$2+'Assumptions (Solar)'!AV21*'Assumptions (Solar)'!AV3)/10^9,0)</f>
        <v>3.492669231</v>
      </c>
      <c r="AX952" s="160"/>
      <c r="AY952" s="160"/>
      <c r="AZ952" s="160"/>
    </row>
    <row r="953" ht="15.75" hidden="1" customHeight="1" outlineLevel="1">
      <c r="A953" s="255"/>
      <c r="B953" s="38"/>
      <c r="C953" s="174"/>
      <c r="D953" s="174"/>
      <c r="E953" s="174"/>
      <c r="F953" s="174"/>
      <c r="G953" s="174"/>
      <c r="H953" s="174"/>
      <c r="I953" s="174"/>
      <c r="J953" s="174"/>
      <c r="K953" s="174"/>
      <c r="L953" s="174"/>
      <c r="M953" s="174"/>
      <c r="N953" s="174"/>
      <c r="O953" s="174"/>
      <c r="P953" s="174"/>
      <c r="Q953" s="174"/>
      <c r="R953" s="174"/>
      <c r="S953" s="174"/>
      <c r="T953" s="174"/>
      <c r="U953" s="174"/>
      <c r="V953" s="174"/>
      <c r="W953" s="160"/>
      <c r="X953" s="160"/>
      <c r="Y953" s="160"/>
      <c r="Z953" s="160"/>
      <c r="AA953" s="160"/>
      <c r="AB953" s="160"/>
      <c r="AC953" s="160"/>
      <c r="AD953" s="160"/>
      <c r="AE953" s="160"/>
      <c r="AF953" s="160"/>
      <c r="AG953" s="160"/>
      <c r="AH953" s="160"/>
      <c r="AI953" s="160"/>
      <c r="AJ953" s="179"/>
      <c r="AK953" s="160"/>
      <c r="AL953" s="177"/>
      <c r="AM953" s="177"/>
      <c r="AN953" s="177"/>
      <c r="AO953" s="160"/>
      <c r="AP953" s="160"/>
      <c r="AQ953" s="160"/>
      <c r="AR953" s="160"/>
      <c r="AS953" s="160"/>
      <c r="AT953" s="160"/>
      <c r="AU953" s="160"/>
      <c r="AV953" s="160"/>
      <c r="AW953" s="160"/>
      <c r="AX953" s="160">
        <f>IF($AY$902&gt;0,'Assumptions (Solar)'!$V$18*Model!$AY$902*('Assumptions (Solar)'!AW20*'Assumptions (Solar)'!AW$2+'Assumptions (Solar)'!AW21*'Assumptions (Solar)'!AW3)/10^9,0)</f>
        <v>3.52113289</v>
      </c>
      <c r="AY953" s="160"/>
      <c r="AZ953" s="160"/>
    </row>
    <row r="954" ht="15.75" hidden="1" customHeight="1" outlineLevel="1">
      <c r="A954" s="255"/>
      <c r="B954" s="38"/>
      <c r="C954" s="174"/>
      <c r="D954" s="174"/>
      <c r="E954" s="174"/>
      <c r="F954" s="174"/>
      <c r="G954" s="174"/>
      <c r="H954" s="174"/>
      <c r="I954" s="174"/>
      <c r="J954" s="174"/>
      <c r="K954" s="174"/>
      <c r="L954" s="174"/>
      <c r="M954" s="174"/>
      <c r="N954" s="174"/>
      <c r="O954" s="174"/>
      <c r="P954" s="174"/>
      <c r="Q954" s="174"/>
      <c r="R954" s="174"/>
      <c r="S954" s="174"/>
      <c r="T954" s="174"/>
      <c r="U954" s="174"/>
      <c r="V954" s="174"/>
      <c r="W954" s="160"/>
      <c r="X954" s="160"/>
      <c r="Y954" s="160"/>
      <c r="Z954" s="160"/>
      <c r="AA954" s="160"/>
      <c r="AB954" s="160"/>
      <c r="AC954" s="160"/>
      <c r="AD954" s="160"/>
      <c r="AE954" s="160"/>
      <c r="AF954" s="160"/>
      <c r="AG954" s="160"/>
      <c r="AH954" s="160"/>
      <c r="AI954" s="160"/>
      <c r="AJ954" s="179"/>
      <c r="AK954" s="160"/>
      <c r="AL954" s="177"/>
      <c r="AM954" s="177"/>
      <c r="AN954" s="177"/>
      <c r="AO954" s="160"/>
      <c r="AP954" s="160"/>
      <c r="AQ954" s="160"/>
      <c r="AR954" s="160"/>
      <c r="AS954" s="160"/>
      <c r="AT954" s="160"/>
      <c r="AU954" s="160"/>
      <c r="AV954" s="160"/>
      <c r="AW954" s="160"/>
      <c r="AX954" s="160"/>
      <c r="AY954" s="160">
        <f>IF($AZ$902&gt;0,'Assumptions (Solar)'!$V$18*Model!$AZ$902*('Assumptions (Solar)'!AX20*'Assumptions (Solar)'!AX$2+'Assumptions (Solar)'!AX21*'Assumptions (Solar)'!AX3)/10^9,0)</f>
        <v>3.554433927</v>
      </c>
      <c r="AZ954" s="160"/>
    </row>
    <row r="955" ht="15.75" hidden="1" customHeight="1" outlineLevel="1">
      <c r="A955" s="255"/>
      <c r="B955" s="38"/>
      <c r="C955" s="174"/>
      <c r="D955" s="174"/>
      <c r="E955" s="174"/>
      <c r="F955" s="174"/>
      <c r="G955" s="174"/>
      <c r="H955" s="174"/>
      <c r="I955" s="174"/>
      <c r="J955" s="174"/>
      <c r="K955" s="174"/>
      <c r="L955" s="174"/>
      <c r="M955" s="174"/>
      <c r="N955" s="174"/>
      <c r="O955" s="174"/>
      <c r="P955" s="174"/>
      <c r="Q955" s="174"/>
      <c r="R955" s="174"/>
      <c r="S955" s="174"/>
      <c r="T955" s="174"/>
      <c r="U955" s="174"/>
      <c r="V955" s="174"/>
      <c r="W955" s="160"/>
      <c r="X955" s="160"/>
      <c r="Y955" s="160"/>
      <c r="Z955" s="160"/>
      <c r="AA955" s="160"/>
      <c r="AB955" s="160"/>
      <c r="AC955" s="160"/>
      <c r="AD955" s="160"/>
      <c r="AE955" s="160"/>
      <c r="AF955" s="160"/>
      <c r="AG955" s="160"/>
      <c r="AH955" s="160"/>
      <c r="AI955" s="160"/>
      <c r="AJ955" s="179"/>
      <c r="AK955" s="160"/>
      <c r="AL955" s="177"/>
      <c r="AM955" s="177"/>
      <c r="AN955" s="177"/>
      <c r="AO955" s="160"/>
      <c r="AP955" s="160"/>
      <c r="AQ955" s="160"/>
      <c r="AR955" s="160"/>
      <c r="AS955" s="160"/>
      <c r="AT955" s="160"/>
      <c r="AU955" s="160"/>
      <c r="AV955" s="160"/>
      <c r="AW955" s="160"/>
      <c r="AX955" s="160"/>
      <c r="AY955" s="160"/>
      <c r="AZ955" s="160">
        <f>IF($BA$902&gt;0,'Assumptions (Solar)'!$V$18*Model!$BA$902*('Assumptions (Solar)'!AY20*'Assumptions (Solar)'!AY$2+'Assumptions (Solar)'!AY21*'Assumptions (Solar)'!AY3)/10^9,0)</f>
        <v>3.582539424</v>
      </c>
    </row>
    <row r="956" ht="15.75" customHeight="1" collapsed="1">
      <c r="A956" s="254" t="s">
        <v>52</v>
      </c>
      <c r="B956" s="150" t="s">
        <v>351</v>
      </c>
      <c r="C956" s="244">
        <f>C904*'Assumptions (Solar)'!$V$8</f>
        <v>0</v>
      </c>
      <c r="D956" s="244">
        <f>D904*'Assumptions (Solar)'!$V$8</f>
        <v>0</v>
      </c>
      <c r="E956" s="244">
        <f>E904*'Assumptions (Solar)'!$V$8</f>
        <v>0</v>
      </c>
      <c r="F956" s="244">
        <f>F904*'Assumptions (Solar)'!$V$8</f>
        <v>0</v>
      </c>
      <c r="G956" s="244">
        <f>G904*'Assumptions (Solar)'!$V$8</f>
        <v>0</v>
      </c>
      <c r="H956" s="244">
        <f>H904*'Assumptions (Solar)'!$V$8</f>
        <v>0</v>
      </c>
      <c r="I956" s="244">
        <f>I904*'Assumptions (Solar)'!$V$8</f>
        <v>0</v>
      </c>
      <c r="J956" s="244">
        <f>J904*'Assumptions (Solar)'!$V$8</f>
        <v>0.01392934882</v>
      </c>
      <c r="K956" s="244">
        <f>K904*'Assumptions (Solar)'!$V$8</f>
        <v>0</v>
      </c>
      <c r="L956" s="244">
        <f>L904*'Assumptions (Solar)'!$V$8</f>
        <v>0.03081756567</v>
      </c>
      <c r="M956" s="244">
        <f>M904*'Assumptions (Solar)'!$V$8</f>
        <v>0.08987949506</v>
      </c>
      <c r="N956" s="244">
        <f>N904*'Assumptions (Solar)'!$V$8</f>
        <v>0.3493755977</v>
      </c>
      <c r="O956" s="244">
        <f>O904*'Assumptions (Solar)'!$V$8</f>
        <v>0.7373916617</v>
      </c>
      <c r="P956" s="244">
        <f>P904*'Assumptions (Solar)'!$V$8</f>
        <v>1.038220086</v>
      </c>
      <c r="Q956" s="244">
        <f>Q904*'Assumptions (Solar)'!$V$8</f>
        <v>2.624522523</v>
      </c>
      <c r="R956" s="244">
        <f>R904*'Assumptions (Solar)'!$V$8</f>
        <v>3.580636106</v>
      </c>
      <c r="S956" s="244">
        <f>S904*'Assumptions (Solar)'!$V$8</f>
        <v>2.74610894</v>
      </c>
      <c r="T956" s="244">
        <f>T904*'Assumptions (Solar)'!$V$8</f>
        <v>1.561813444</v>
      </c>
      <c r="U956" s="244">
        <f>U904*'Assumptions (Solar)'!$V$8</f>
        <v>0</v>
      </c>
      <c r="V956" s="244">
        <f>V904*'Assumptions (Solar)'!$V$8</f>
        <v>0</v>
      </c>
      <c r="W956" s="244">
        <f>W904*'Assumptions (Solar)'!$V$8</f>
        <v>1.677886437</v>
      </c>
      <c r="X956" s="244">
        <f>X904*'Assumptions (Solar)'!$V$8</f>
        <v>1.172165467</v>
      </c>
      <c r="Y956" s="244">
        <f>Y904*'Assumptions (Solar)'!$V$8</f>
        <v>1.147305312</v>
      </c>
      <c r="Z956" s="244">
        <f>Z904*'Assumptions (Solar)'!$V$8</f>
        <v>1.121029039</v>
      </c>
      <c r="AA956" s="244">
        <f>AA904*'Assumptions (Solar)'!$V$8</f>
        <v>1.094244861</v>
      </c>
      <c r="AB956" s="244">
        <f>AB904*'Assumptions (Solar)'!$V$8</f>
        <v>1.065016338</v>
      </c>
      <c r="AC956" s="244">
        <f>AC904*'Assumptions (Solar)'!$V$8</f>
        <v>1.034230909</v>
      </c>
      <c r="AD956" s="244">
        <f>AD904*'Assumptions (Solar)'!$V$8</f>
        <v>1.002849887</v>
      </c>
      <c r="AE956" s="244">
        <f>AE904*'Assumptions (Solar)'!$V$8</f>
        <v>0.9688201534</v>
      </c>
      <c r="AF956" s="244">
        <f>AF904*'Assumptions (Solar)'!$V$8</f>
        <v>0.9330809649</v>
      </c>
      <c r="AG956" s="244">
        <f>AG904*'Assumptions (Solar)'!$V$8</f>
        <v>0.8955785736</v>
      </c>
      <c r="AH956" s="244">
        <f>AH904*'Assumptions (Solar)'!$V$8</f>
        <v>0.9054052346</v>
      </c>
      <c r="AI956" s="244">
        <f>AI904*'Assumptions (Solar)'!$V$8</f>
        <v>0.9152744544</v>
      </c>
      <c r="AJ956" s="244">
        <f>AJ904*'Assumptions (Solar)'!$V$8</f>
        <v>0.9261372513</v>
      </c>
      <c r="AK956" s="244">
        <f>AK904*'Assumptions (Solar)'!$V$8</f>
        <v>0.9339748137</v>
      </c>
      <c r="AL956" s="244">
        <f>AL904*'Assumptions (Solar)'!$V$8</f>
        <v>0.9476832864</v>
      </c>
      <c r="AM956" s="244">
        <f>AM904*'Assumptions (Solar)'!$V$8</f>
        <v>0.9705583835</v>
      </c>
      <c r="AN956" s="244">
        <f>AN904*'Assumptions (Solar)'!$V$8</f>
        <v>1.03728467</v>
      </c>
      <c r="AO956" s="244">
        <f>AO904*'Assumptions (Solar)'!$V$8</f>
        <v>1.165266354</v>
      </c>
      <c r="AP956" s="244">
        <f>AP904*'Assumptions (Solar)'!$V$8</f>
        <v>1.26463911</v>
      </c>
      <c r="AQ956" s="244">
        <f>AQ904*'Assumptions (Solar)'!$V$8</f>
        <v>1.752818516</v>
      </c>
      <c r="AR956" s="244">
        <f>AR904*'Assumptions (Solar)'!$V$8</f>
        <v>2.168904662</v>
      </c>
      <c r="AS956" s="244">
        <f>AS904*'Assumptions (Solar)'!$V$8</f>
        <v>2.050252264</v>
      </c>
      <c r="AT956" s="244">
        <f>AT904*'Assumptions (Solar)'!$V$8</f>
        <v>1.652581992</v>
      </c>
      <c r="AU956" s="244">
        <f>AU904*'Assumptions (Solar)'!$V$8</f>
        <v>1.027739961</v>
      </c>
      <c r="AV956" s="244">
        <f>AV904*'Assumptions (Solar)'!$V$8</f>
        <v>1.037770263</v>
      </c>
      <c r="AW956" s="244">
        <f>AW904*'Assumptions (Solar)'!$V$8</f>
        <v>2.095601539</v>
      </c>
      <c r="AX956" s="244">
        <f>AX904*'Assumptions (Solar)'!$V$8</f>
        <v>2.112679734</v>
      </c>
      <c r="AY956" s="244">
        <f>AY904*'Assumptions (Solar)'!$V$8</f>
        <v>2.132660356</v>
      </c>
      <c r="AZ956" s="244">
        <f>AZ904*'Assumptions (Solar)'!$V$8</f>
        <v>2.149523655</v>
      </c>
      <c r="BA956" s="244">
        <f>BA904*'Assumptions (Solar)'!$V$8</f>
        <v>0</v>
      </c>
    </row>
    <row r="957" ht="15.75" customHeight="1">
      <c r="A957" s="254" t="s">
        <v>54</v>
      </c>
      <c r="B957" s="150" t="s">
        <v>351</v>
      </c>
      <c r="C957" s="244">
        <f>C904*'Assumptions (Solar)'!$V$9</f>
        <v>0</v>
      </c>
      <c r="D957" s="244">
        <f>D904*'Assumptions (Solar)'!$V$9</f>
        <v>0</v>
      </c>
      <c r="E957" s="244">
        <f>E904*'Assumptions (Solar)'!$V$9</f>
        <v>0</v>
      </c>
      <c r="F957" s="244">
        <f>F904*'Assumptions (Solar)'!$V$9</f>
        <v>0</v>
      </c>
      <c r="G957" s="244">
        <f>G904*'Assumptions (Solar)'!$V$9</f>
        <v>0</v>
      </c>
      <c r="H957" s="244">
        <f>H904*'Assumptions (Solar)'!$V$9</f>
        <v>0</v>
      </c>
      <c r="I957" s="244">
        <f>I904*'Assumptions (Solar)'!$V$9</f>
        <v>0</v>
      </c>
      <c r="J957" s="244">
        <f>J904*'Assumptions (Solar)'!$V$9</f>
        <v>0.009286232547</v>
      </c>
      <c r="K957" s="244">
        <f>K904*'Assumptions (Solar)'!$V$9</f>
        <v>0</v>
      </c>
      <c r="L957" s="244">
        <f>L904*'Assumptions (Solar)'!$V$9</f>
        <v>0.02054504378</v>
      </c>
      <c r="M957" s="244">
        <f>M904*'Assumptions (Solar)'!$V$9</f>
        <v>0.05991966338</v>
      </c>
      <c r="N957" s="244">
        <f>N904*'Assumptions (Solar)'!$V$9</f>
        <v>0.2329170651</v>
      </c>
      <c r="O957" s="244">
        <f>O904*'Assumptions (Solar)'!$V$9</f>
        <v>0.4915944411</v>
      </c>
      <c r="P957" s="244">
        <f>P904*'Assumptions (Solar)'!$V$9</f>
        <v>0.6921467239</v>
      </c>
      <c r="Q957" s="244">
        <f>Q904*'Assumptions (Solar)'!$V$9</f>
        <v>1.749681682</v>
      </c>
      <c r="R957" s="244">
        <f>R904*'Assumptions (Solar)'!$V$9</f>
        <v>2.387090737</v>
      </c>
      <c r="S957" s="244">
        <f>S904*'Assumptions (Solar)'!$V$9</f>
        <v>1.830739293</v>
      </c>
      <c r="T957" s="244">
        <f>T904*'Assumptions (Solar)'!$V$9</f>
        <v>1.041208962</v>
      </c>
      <c r="U957" s="244">
        <f>U904*'Assumptions (Solar)'!$V$9</f>
        <v>0</v>
      </c>
      <c r="V957" s="244">
        <f>V904*'Assumptions (Solar)'!$V$9</f>
        <v>0</v>
      </c>
      <c r="W957" s="244">
        <f>W904*'Assumptions (Solar)'!$V$9</f>
        <v>1.118590958</v>
      </c>
      <c r="X957" s="244">
        <f>X904*'Assumptions (Solar)'!$V$9</f>
        <v>0.7814436446</v>
      </c>
      <c r="Y957" s="244">
        <f>Y904*'Assumptions (Solar)'!$V$9</f>
        <v>0.7648702082</v>
      </c>
      <c r="Z957" s="244">
        <f>Z904*'Assumptions (Solar)'!$V$9</f>
        <v>0.7473526928</v>
      </c>
      <c r="AA957" s="244">
        <f>AA904*'Assumptions (Solar)'!$V$9</f>
        <v>0.7294965742</v>
      </c>
      <c r="AB957" s="244">
        <f>AB904*'Assumptions (Solar)'!$V$9</f>
        <v>0.7100108922</v>
      </c>
      <c r="AC957" s="244">
        <f>AC904*'Assumptions (Solar)'!$V$9</f>
        <v>0.6894872724</v>
      </c>
      <c r="AD957" s="244">
        <f>AD904*'Assumptions (Solar)'!$V$9</f>
        <v>0.6685665911</v>
      </c>
      <c r="AE957" s="244">
        <f>AE904*'Assumptions (Solar)'!$V$9</f>
        <v>0.6458801022</v>
      </c>
      <c r="AF957" s="244">
        <f>AF904*'Assumptions (Solar)'!$V$9</f>
        <v>0.6220539766</v>
      </c>
      <c r="AG957" s="244">
        <f>AG904*'Assumptions (Solar)'!$V$9</f>
        <v>0.5970523824</v>
      </c>
      <c r="AH957" s="244">
        <f>AH904*'Assumptions (Solar)'!$V$9</f>
        <v>0.6036034897</v>
      </c>
      <c r="AI957" s="244">
        <f>AI904*'Assumptions (Solar)'!$V$9</f>
        <v>0.6101829696</v>
      </c>
      <c r="AJ957" s="244">
        <f>AJ904*'Assumptions (Solar)'!$V$9</f>
        <v>0.6174248342</v>
      </c>
      <c r="AK957" s="244">
        <f>AK904*'Assumptions (Solar)'!$V$9</f>
        <v>0.6226498758</v>
      </c>
      <c r="AL957" s="244">
        <f>AL904*'Assumptions (Solar)'!$V$9</f>
        <v>0.6317888576</v>
      </c>
      <c r="AM957" s="244">
        <f>AM904*'Assumptions (Solar)'!$V$9</f>
        <v>0.6470389223</v>
      </c>
      <c r="AN957" s="244">
        <f>AN904*'Assumptions (Solar)'!$V$9</f>
        <v>0.691523113</v>
      </c>
      <c r="AO957" s="244">
        <f>AO904*'Assumptions (Solar)'!$V$9</f>
        <v>0.7768442358</v>
      </c>
      <c r="AP957" s="244">
        <f>AP904*'Assumptions (Solar)'!$V$9</f>
        <v>0.8430927401</v>
      </c>
      <c r="AQ957" s="244">
        <f>AQ904*'Assumptions (Solar)'!$V$9</f>
        <v>1.168545677</v>
      </c>
      <c r="AR957" s="244">
        <f>AR904*'Assumptions (Solar)'!$V$9</f>
        <v>1.445936442</v>
      </c>
      <c r="AS957" s="244">
        <f>AS904*'Assumptions (Solar)'!$V$9</f>
        <v>1.366834843</v>
      </c>
      <c r="AT957" s="244">
        <f>AT904*'Assumptions (Solar)'!$V$9</f>
        <v>1.101721328</v>
      </c>
      <c r="AU957" s="244">
        <f>AU904*'Assumptions (Solar)'!$V$9</f>
        <v>0.6851599742</v>
      </c>
      <c r="AV957" s="244">
        <f>AV904*'Assumptions (Solar)'!$V$9</f>
        <v>0.6918468423</v>
      </c>
      <c r="AW957" s="244">
        <f>AW904*'Assumptions (Solar)'!$V$9</f>
        <v>1.397067693</v>
      </c>
      <c r="AX957" s="244">
        <f>AX904*'Assumptions (Solar)'!$V$9</f>
        <v>1.408453156</v>
      </c>
      <c r="AY957" s="244">
        <f>AY904*'Assumptions (Solar)'!$V$9</f>
        <v>1.421773571</v>
      </c>
      <c r="AZ957" s="244">
        <f>AZ904*'Assumptions (Solar)'!$V$9</f>
        <v>1.43301577</v>
      </c>
      <c r="BA957" s="244">
        <f>BA904*'Assumptions (Solar)'!$V$9</f>
        <v>0</v>
      </c>
    </row>
    <row r="958" ht="15.75" customHeight="1">
      <c r="A958" s="254" t="s">
        <v>359</v>
      </c>
      <c r="B958" s="150" t="s">
        <v>351</v>
      </c>
      <c r="C958" s="177">
        <f t="array" ref="C958">SUM(IF(ISERROR(C959:C1009),"",C959:C1009))</f>
        <v>0</v>
      </c>
      <c r="D958" s="177">
        <f t="array" ref="D958">SUM(IF(ISERROR(D959:D1009),"",D959:D1009))</f>
        <v>0</v>
      </c>
      <c r="E958" s="177">
        <f t="array" ref="E958">SUM(IF(ISERROR(E959:E1009),"",E959:E1009))</f>
        <v>0</v>
      </c>
      <c r="F958" s="177">
        <f t="array" ref="F958">SUM(IF(ISERROR(F959:F1009),"",F959:F1009))</f>
        <v>0</v>
      </c>
      <c r="G958" s="177">
        <f t="array" ref="G958">SUM(IF(ISERROR(G959:G1009),"",G959:G1009))</f>
        <v>0</v>
      </c>
      <c r="H958" s="177">
        <f t="array" ref="H958">SUM(IF(ISERROR(H959:H1009),"",H959:H1009))</f>
        <v>0</v>
      </c>
      <c r="I958" s="177">
        <f t="array" ref="I958">SUM(IF(ISERROR(I959:I1009),"",I959:I1009))</f>
        <v>0</v>
      </c>
      <c r="J958" s="177">
        <f t="array" ref="J958">SUM(IF(ISERROR(J959:J1009),"",J959:J1009))</f>
        <v>0</v>
      </c>
      <c r="K958" s="177">
        <f t="array" ref="K958">SUM(IF(ISERROR(K959:K1009),"",K959:K1009))</f>
        <v>-0.000961535827</v>
      </c>
      <c r="L958" s="177">
        <f t="array" ref="L958">SUM(IF(ISERROR(L959:L1009),"",L959:L1009))</f>
        <v>-0.001038458693</v>
      </c>
      <c r="M958" s="177">
        <f t="array" ref="M958">SUM(IF(ISERROR(M959:M1009),"",M959:M1009))</f>
        <v>-0.00324885619</v>
      </c>
      <c r="N958" s="177">
        <f t="array" ref="N958">SUM(IF(ISERROR(N959:N1009),"",N959:N1009))</f>
        <v>-0.009713100273</v>
      </c>
      <c r="O958" s="177">
        <f t="array" ref="O958">SUM(IF(ISERROR(O959:O1009),"",O959:O1009))</f>
        <v>-0.03460736717</v>
      </c>
      <c r="P958" s="177">
        <f t="array" ref="P958">SUM(IF(ISERROR(P959:P1009),"",P959:P1009))</f>
        <v>-0.08827772592</v>
      </c>
      <c r="Q958" s="177">
        <f t="array" ref="Q958">SUM(IF(ISERROR(Q959:Q1009),"",Q959:Q1009))</f>
        <v>-0.1670077457</v>
      </c>
      <c r="R958" s="177">
        <f t="array" ref="R958">SUM(IF(ISERROR(R959:R1009),"",R959:R1009))</f>
        <v>-0.3615378131</v>
      </c>
      <c r="S958" s="177">
        <f t="array" ref="S958">SUM(IF(ISERROR(S959:S1009),"",S959:S1009))</f>
        <v>-0.6376303178</v>
      </c>
      <c r="T958" s="177">
        <f t="array" ref="T958">SUM(IF(ISERROR(T959:T1009),"",T959:T1009))</f>
        <v>-0.8782032392</v>
      </c>
      <c r="U958" s="177">
        <f t="array" ref="U958">SUM(IF(ISERROR(U959:U1009),"",U959:U1009))</f>
        <v>-1.054194798</v>
      </c>
      <c r="V958" s="177">
        <f t="array" ref="V958">SUM(IF(ISERROR(V959:V1009),"",V959:V1009))</f>
        <v>-1.138530382</v>
      </c>
      <c r="W958" s="177">
        <f t="array" ref="W958">SUM(IF(ISERROR(W959:W1009),"",W959:W1009))</f>
        <v>-1.225020086</v>
      </c>
      <c r="X958" s="177">
        <f t="array" ref="X958">SUM(IF(ISERROR(X959:X1009),"",X959:X1009))</f>
        <v>-1.425450641</v>
      </c>
      <c r="Y958" s="177">
        <f t="array" ref="Y958">SUM(IF(ISERROR(Y959:Y1009),"",Y959:Y1009))</f>
        <v>-1.568333408</v>
      </c>
      <c r="Z958" s="177">
        <f t="array" ref="Z958">SUM(IF(ISERROR(Z959:Z1009),"",Z959:Z1009))</f>
        <v>-1.663104878</v>
      </c>
      <c r="AA958" s="177">
        <f t="array" ref="AA958">SUM(IF(ISERROR(AA959:AA1009),"",AA959:AA1009))</f>
        <v>-1.718811921</v>
      </c>
      <c r="AB958" s="177">
        <f t="array" ref="AB958">SUM(IF(ISERROR(AB959:AB1009),"",AB959:AB1009))</f>
        <v>-1.540720788</v>
      </c>
      <c r="AC958" s="177">
        <f t="array" ref="AC958">SUM(IF(ISERROR(AC959:AC1009),"",AC959:AC1009))</f>
        <v>-1.203875617</v>
      </c>
      <c r="AD958" s="177">
        <f t="array" ref="AD958">SUM(IF(ISERROR(AD959:AD1009),"",AD959:AD1009))</f>
        <v>-0.9623268855</v>
      </c>
      <c r="AE958" s="177">
        <f t="array" ref="AE958">SUM(IF(ISERROR(AE959:AE1009),"",AE959:AE1009))</f>
        <v>-0.8757829924</v>
      </c>
      <c r="AF958" s="177">
        <f t="array" ref="AF958">SUM(IF(ISERROR(AF959:AF1009),"",AF959:AF1009))</f>
        <v>-1.012722792</v>
      </c>
      <c r="AG958" s="177">
        <f t="array" ref="AG958">SUM(IF(ISERROR(AG959:AG1009),"",AG959:AG1009))</f>
        <v>-1.158150717</v>
      </c>
      <c r="AH958" s="177">
        <f t="array" ref="AH958">SUM(IF(ISERROR(AH959:AH1009),"",AH959:AH1009))</f>
        <v>-1.062569547</v>
      </c>
      <c r="AI958" s="177">
        <f t="array" ref="AI958">SUM(IF(ISERROR(AI959:AI1009),"",AI959:AI1009))</f>
        <v>-1.035387551</v>
      </c>
      <c r="AJ958" s="177">
        <f t="array" ref="AJ958">SUM(IF(ISERROR(AJ959:AJ1009),"",AJ959:AJ1009))</f>
        <v>-1.010417159</v>
      </c>
      <c r="AK958" s="177">
        <f t="array" ref="AK958">SUM(IF(ISERROR(AK959:AK1009),"",AK959:AK1009))</f>
        <v>-0.9881149281</v>
      </c>
      <c r="AL958" s="177">
        <f t="array" ref="AL958">SUM(IF(ISERROR(AL959:AL1009),"",AL959:AL1009))</f>
        <v>-0.968561174</v>
      </c>
      <c r="AM958" s="177">
        <f t="array" ref="AM958">SUM(IF(ISERROR(AM959:AM1009),"",AM959:AM1009))</f>
        <v>-0.9527453203</v>
      </c>
      <c r="AN958" s="177">
        <f t="array" ref="AN958">SUM(IF(ISERROR(AN959:AN1009),"",AN959:AN1009))</f>
        <v>-0.9418311914</v>
      </c>
      <c r="AO958" s="177">
        <f t="array" ref="AO958">SUM(IF(ISERROR(AO959:AO1009),"",AO959:AO1009))</f>
        <v>-0.9393267112</v>
      </c>
      <c r="AP958" s="177">
        <f t="array" ref="AP958">SUM(IF(ISERROR(AP959:AP1009),"",AP959:AP1009))</f>
        <v>-0.9505278166</v>
      </c>
      <c r="AQ958" s="177">
        <f t="array" ref="AQ958">SUM(IF(ISERROR(AQ959:AQ1009),"",AQ959:AQ1009))</f>
        <v>-0.974810854</v>
      </c>
      <c r="AR958" s="177">
        <f t="array" ref="AR958">SUM(IF(ISERROR(AR959:AR1009),"",AR959:AR1009))</f>
        <v>-1.040324271</v>
      </c>
      <c r="AS958" s="177">
        <f t="array" ref="AS958">SUM(IF(ISERROR(AS959:AS1009),"",AS959:AS1009))</f>
        <v>-1.138336514</v>
      </c>
      <c r="AT958" s="177">
        <f t="array" ref="AT958">SUM(IF(ISERROR(AT959:AT1009),"",AT959:AT1009))</f>
        <v>-1.234528416</v>
      </c>
      <c r="AU958" s="177">
        <f t="array" ref="AU958">SUM(IF(ISERROR(AU959:AU1009),"",AU959:AU1009))</f>
        <v>-1.309345819</v>
      </c>
      <c r="AV958" s="177">
        <f t="array" ref="AV958">SUM(IF(ISERROR(AV959:AV1009),"",AV959:AV1009))</f>
        <v>-1.345848059</v>
      </c>
      <c r="AW958" s="177">
        <f t="array" ref="AW958">SUM(IF(ISERROR(AW959:AW1009),"",AW959:AW1009))</f>
        <v>-1.383919899</v>
      </c>
      <c r="AX958" s="177">
        <f t="array" ref="AX958">SUM(IF(ISERROR(AX959:AX1009),"",AX959:AX1009))</f>
        <v>-1.494649974</v>
      </c>
      <c r="AY958" s="177">
        <f t="array" ref="AY958">SUM(IF(ISERROR(AY959:AY1009),"",AY959:AY1009))</f>
        <v>-1.60547317</v>
      </c>
      <c r="AZ958" s="177">
        <f t="array" ref="AZ958">SUM(IF(ISERROR(AZ959:AZ1009),"",AZ959:AZ1009))</f>
        <v>-1.707468428</v>
      </c>
      <c r="BA958" s="177">
        <f t="array" ref="BA958">SUM(IF(ISERROR(BA959:BA1009),"",BA959:BA1009))</f>
        <v>-1.803977902</v>
      </c>
      <c r="BB958" s="177">
        <f t="array" ref="BB958">SUM(IF(ISERROR(BB959:BB1009),"",BB959:BB1009))</f>
        <v>-1.687074486</v>
      </c>
      <c r="BC958" s="177">
        <f t="array" ref="BC958">SUM(IF(ISERROR(BC959:BC1009),"",BC959:BC1009))</f>
        <v>-1.498809693</v>
      </c>
      <c r="BD958" s="177">
        <f t="array" ref="BD958">SUM(IF(ISERROR(BD959:BD1009),"",BD959:BD1009))</f>
        <v>-1.313166421</v>
      </c>
      <c r="BE958" s="177">
        <f t="array" ref="BE958">SUM(IF(ISERROR(BE959:BE1009),"",BE959:BE1009))</f>
        <v>-1.171936286</v>
      </c>
      <c r="BF958" s="177">
        <f t="array" ref="BF958">SUM(IF(ISERROR(BF959:BF1009),"",BF959:BF1009))</f>
        <v>-1.112527628</v>
      </c>
      <c r="BG958" s="177">
        <f t="array" ref="BG958">SUM(IF(ISERROR(BG959:BG1009),"",BG959:BG1009))</f>
        <v>-1.046871466</v>
      </c>
      <c r="BH958" s="177">
        <f t="array" ref="BH958">SUM(IF(ISERROR(BH959:BH1009),"",BH959:BH1009))</f>
        <v>-0.8183147575</v>
      </c>
      <c r="BI958" s="177">
        <f t="array" ref="BI958">SUM(IF(ISERROR(BI959:BI1009),"",BI959:BI1009))</f>
        <v>-0.5689283575</v>
      </c>
      <c r="BJ958" s="177">
        <f t="array" ref="BJ958">SUM(IF(ISERROR(BJ959:BJ1009),"",BJ959:BJ1009))</f>
        <v>-0.2966133437</v>
      </c>
      <c r="BK958" s="177"/>
      <c r="BL958" s="177"/>
      <c r="BM958" s="177"/>
      <c r="BN958" s="177"/>
      <c r="BO958" s="177"/>
      <c r="BP958" s="177"/>
    </row>
    <row r="959" ht="15.75" hidden="1" customHeight="1" outlineLevel="1">
      <c r="A959" s="255"/>
      <c r="B959" s="38"/>
      <c r="C959" s="177">
        <f>IF(and($S$902&gt;0,Model!W$1&lt;='Assumptions (Solar)'!$V$13),PPMT('Assumptions (Solar)'!$V$10,Model!W$1,'Assumptions (Solar)'!$V$13,'Assumptions (Solar)'!$V$8*Model!$C$902*('Assumptions (Solar)'!$B$20*'Assumptions (Solar)'!$B$2+'Assumptions (Solar)'!$B$21*'Assumptions (Solar)'!$B$3)/10^9),0)</f>
        <v>0</v>
      </c>
      <c r="D959" s="177">
        <f>IF(and($S$902&gt;0,Model!X$1&lt;='Assumptions (Solar)'!$V$13),PPMT('Assumptions (Solar)'!$V$10,Model!X$1,'Assumptions (Solar)'!$V$13,'Assumptions (Solar)'!$V$8*Model!$C$902*('Assumptions (Solar)'!$B$20*'Assumptions (Solar)'!$B$2+'Assumptions (Solar)'!$B$21*'Assumptions (Solar)'!$B$3)/10^9),0)</f>
        <v>0</v>
      </c>
      <c r="E959" s="177">
        <f>IF(and($S$902&gt;0,Model!Y$1&lt;='Assumptions (Solar)'!$V$13),PPMT('Assumptions (Solar)'!$V$10,Model!Y$1,'Assumptions (Solar)'!$V$13,'Assumptions (Solar)'!$V$8*Model!$C$902*('Assumptions (Solar)'!$B$20*'Assumptions (Solar)'!$B$2+'Assumptions (Solar)'!$B$21*'Assumptions (Solar)'!$B$3)/10^9),0)</f>
        <v>0</v>
      </c>
      <c r="F959" s="177">
        <f>IF(and($S$902&gt;0,Model!Z$1&lt;='Assumptions (Solar)'!$V$13),PPMT('Assumptions (Solar)'!$V$10,Model!Z$1,'Assumptions (Solar)'!$V$13,'Assumptions (Solar)'!$V$8*Model!$C$902*('Assumptions (Solar)'!$B$20*'Assumptions (Solar)'!$B$2+'Assumptions (Solar)'!$B$21*'Assumptions (Solar)'!$B$3)/10^9),0)</f>
        <v>0</v>
      </c>
      <c r="G959" s="177">
        <f>IF(and($S$902&gt;0,Model!AA$1&lt;='Assumptions (Solar)'!$V$13),PPMT('Assumptions (Solar)'!$V$10,Model!AA$1,'Assumptions (Solar)'!$V$13,'Assumptions (Solar)'!$V$8*Model!$C$902*('Assumptions (Solar)'!$B$20*'Assumptions (Solar)'!$B$2+'Assumptions (Solar)'!$B$21*'Assumptions (Solar)'!$B$3)/10^9),0)</f>
        <v>0</v>
      </c>
      <c r="H959" s="177">
        <f>IF(and($S$902&gt;0,Model!AB$1&lt;='Assumptions (Solar)'!$V$13),PPMT('Assumptions (Solar)'!$V$10,Model!AB$1,'Assumptions (Solar)'!$V$13,'Assumptions (Solar)'!$V$8*Model!$C$902*('Assumptions (Solar)'!$B$20*'Assumptions (Solar)'!$B$2+'Assumptions (Solar)'!$B$21*'Assumptions (Solar)'!$B$3)/10^9),0)</f>
        <v>0</v>
      </c>
      <c r="I959" s="177">
        <f>IF(and($S$902&gt;0,Model!AC$1&lt;='Assumptions (Solar)'!$V$13),PPMT('Assumptions (Solar)'!$V$10,Model!AC$1,'Assumptions (Solar)'!$V$13,'Assumptions (Solar)'!$V$8*Model!$C$902*('Assumptions (Solar)'!$B$20*'Assumptions (Solar)'!$B$2+'Assumptions (Solar)'!$B$21*'Assumptions (Solar)'!$B$3)/10^9),0)</f>
        <v>0</v>
      </c>
      <c r="J959" s="177">
        <f>IF(and($S$902&gt;0,Model!AD$1&lt;='Assumptions (Solar)'!$V$13),PPMT('Assumptions (Solar)'!$V$10,Model!AD$1,'Assumptions (Solar)'!$V$13,'Assumptions (Solar)'!$V$8*Model!$C$902*('Assumptions (Solar)'!$B$20*'Assumptions (Solar)'!$B$2+'Assumptions (Solar)'!$B$21*'Assumptions (Solar)'!$B$3)/10^9),0)</f>
        <v>0</v>
      </c>
      <c r="K959" s="177">
        <f>IF(and($S$902&gt;0,Model!AE$1&lt;='Assumptions (Solar)'!$V$13),PPMT('Assumptions (Solar)'!$V$10,Model!AE$1,'Assumptions (Solar)'!$V$13,'Assumptions (Solar)'!$V$8*Model!$C$902*('Assumptions (Solar)'!$B$20*'Assumptions (Solar)'!$B$2+'Assumptions (Solar)'!$B$21*'Assumptions (Solar)'!$B$3)/10^9),0)</f>
        <v>0</v>
      </c>
      <c r="L959" s="177">
        <f>IF(and($S$902&gt;0,Model!AF$1&lt;='Assumptions (Solar)'!$V$13),PPMT('Assumptions (Solar)'!$V$10,Model!AF$1,'Assumptions (Solar)'!$V$13,'Assumptions (Solar)'!$V$8*Model!$C$902*('Assumptions (Solar)'!$B$20*'Assumptions (Solar)'!$B$2+'Assumptions (Solar)'!$B$21*'Assumptions (Solar)'!$B$3)/10^9),0)</f>
        <v>0</v>
      </c>
      <c r="M959" s="177"/>
      <c r="N959" s="177"/>
      <c r="O959" s="177"/>
      <c r="P959" s="177"/>
      <c r="Q959" s="177"/>
      <c r="R959" s="177"/>
      <c r="S959" s="177"/>
      <c r="T959" s="177"/>
      <c r="U959" s="177"/>
      <c r="V959" s="177"/>
      <c r="W959" s="177"/>
      <c r="X959" s="177"/>
      <c r="Y959" s="177"/>
      <c r="Z959" s="177"/>
      <c r="AA959" s="177"/>
      <c r="AB959" s="160"/>
      <c r="AC959" s="160"/>
      <c r="AD959" s="160"/>
      <c r="AE959" s="160"/>
      <c r="AF959" s="160"/>
      <c r="AG959" s="160"/>
      <c r="AU959" s="160"/>
      <c r="AV959" s="160"/>
      <c r="AW959" s="160"/>
      <c r="AX959" s="160"/>
      <c r="AY959" s="160"/>
      <c r="AZ959" s="160"/>
      <c r="BA959" s="160"/>
    </row>
    <row r="960" ht="15.75" hidden="1" customHeight="1" outlineLevel="1">
      <c r="A960" s="255"/>
      <c r="B960" s="38"/>
      <c r="C960" s="160"/>
      <c r="D960" s="177">
        <f>IF(and($D$902&gt;0,Model!W$1&lt;='Assumptions (Solar)'!$V$13),PPMT('Assumptions (Solar)'!$V$10,Model!W$1,'Assumptions (Solar)'!$V$13,'Assumptions (Solar)'!$V$8*Model!$D$902*('Assumptions (Solar)'!$B$20*'Assumptions (Solar)'!$B$2+'Assumptions (Solar)'!$B$21*'Assumptions (Solar)'!$B$3)/10^9),0)</f>
        <v>0</v>
      </c>
      <c r="E960" s="177">
        <f>IF(and($D$902&gt;0,Model!X$1&lt;='Assumptions (Solar)'!$V$13),PPMT('Assumptions (Solar)'!$V$10,Model!X$1,'Assumptions (Solar)'!$V$13,'Assumptions (Solar)'!$V$8*Model!$D$902*('Assumptions (Solar)'!$B$20*'Assumptions (Solar)'!$B$2+'Assumptions (Solar)'!$B$21*'Assumptions (Solar)'!$B$3)/10^9),0)</f>
        <v>0</v>
      </c>
      <c r="F960" s="177">
        <f>IF(and($D$902&gt;0,Model!Y$1&lt;='Assumptions (Solar)'!$V$13),PPMT('Assumptions (Solar)'!$V$10,Model!Y$1,'Assumptions (Solar)'!$V$13,'Assumptions (Solar)'!$V$8*Model!$D$902*('Assumptions (Solar)'!$B$20*'Assumptions (Solar)'!$B$2+'Assumptions (Solar)'!$B$21*'Assumptions (Solar)'!$B$3)/10^9),0)</f>
        <v>0</v>
      </c>
      <c r="G960" s="177">
        <f>IF(and($D$902&gt;0,Model!Z$1&lt;='Assumptions (Solar)'!$V$13),PPMT('Assumptions (Solar)'!$V$10,Model!Z$1,'Assumptions (Solar)'!$V$13,'Assumptions (Solar)'!$V$8*Model!$D$902*('Assumptions (Solar)'!$B$20*'Assumptions (Solar)'!$B$2+'Assumptions (Solar)'!$B$21*'Assumptions (Solar)'!$B$3)/10^9),0)</f>
        <v>0</v>
      </c>
      <c r="H960" s="177">
        <f>IF(and($D$902&gt;0,Model!AA$1&lt;='Assumptions (Solar)'!$V$13),PPMT('Assumptions (Solar)'!$V$10,Model!AA$1,'Assumptions (Solar)'!$V$13,'Assumptions (Solar)'!$V$8*Model!$D$902*('Assumptions (Solar)'!$B$20*'Assumptions (Solar)'!$B$2+'Assumptions (Solar)'!$B$21*'Assumptions (Solar)'!$B$3)/10^9),0)</f>
        <v>0</v>
      </c>
      <c r="I960" s="177">
        <f>IF(and($D$902&gt;0,Model!AB$1&lt;='Assumptions (Solar)'!$V$13),PPMT('Assumptions (Solar)'!$V$10,Model!AB$1,'Assumptions (Solar)'!$V$13,'Assumptions (Solar)'!$V$8*Model!$D$902*('Assumptions (Solar)'!$B$20*'Assumptions (Solar)'!$B$2+'Assumptions (Solar)'!$B$21*'Assumptions (Solar)'!$B$3)/10^9),0)</f>
        <v>0</v>
      </c>
      <c r="J960" s="177">
        <f>IF(and($D$902&gt;0,Model!AC$1&lt;='Assumptions (Solar)'!$V$13),PPMT('Assumptions (Solar)'!$V$10,Model!AC$1,'Assumptions (Solar)'!$V$13,'Assumptions (Solar)'!$V$8*Model!$D$902*('Assumptions (Solar)'!$B$20*'Assumptions (Solar)'!$B$2+'Assumptions (Solar)'!$B$21*'Assumptions (Solar)'!$B$3)/10^9),0)</f>
        <v>0</v>
      </c>
      <c r="K960" s="177">
        <f>IF(and($D$902&gt;0,Model!AD$1&lt;='Assumptions (Solar)'!$V$13),PPMT('Assumptions (Solar)'!$V$10,Model!AD$1,'Assumptions (Solar)'!$V$13,'Assumptions (Solar)'!$V$8*Model!$D$902*('Assumptions (Solar)'!$B$20*'Assumptions (Solar)'!$B$2+'Assumptions (Solar)'!$B$21*'Assumptions (Solar)'!$B$3)/10^9),0)</f>
        <v>0</v>
      </c>
      <c r="L960" s="177">
        <f>IF(and($D$902&gt;0,Model!AE$1&lt;='Assumptions (Solar)'!$V$13),PPMT('Assumptions (Solar)'!$V$10,Model!AE$1,'Assumptions (Solar)'!$V$13,'Assumptions (Solar)'!$V$8*Model!$D$902*('Assumptions (Solar)'!$B$20*'Assumptions (Solar)'!$B$2+'Assumptions (Solar)'!$B$21*'Assumptions (Solar)'!$B$3)/10^9),0)</f>
        <v>0</v>
      </c>
      <c r="M960" s="177">
        <f>IF(and($D$902&gt;0,Model!AF$1&lt;='Assumptions (Solar)'!$V$13),PPMT('Assumptions (Solar)'!$V$10,Model!AF$1,'Assumptions (Solar)'!$V$13,'Assumptions (Solar)'!$V$8*Model!$D$902*('Assumptions (Solar)'!$B$20*'Assumptions (Solar)'!$B$2+'Assumptions (Solar)'!$B$21*'Assumptions (Solar)'!$B$3)/10^9),0)</f>
        <v>0</v>
      </c>
      <c r="N960" s="177"/>
      <c r="O960" s="177"/>
      <c r="P960" s="177"/>
      <c r="Q960" s="177"/>
      <c r="R960" s="177"/>
      <c r="S960" s="177"/>
      <c r="T960" s="177"/>
      <c r="U960" s="177"/>
      <c r="V960" s="177"/>
      <c r="W960" s="177"/>
      <c r="X960" s="177"/>
      <c r="Y960" s="177"/>
      <c r="Z960" s="177"/>
      <c r="AA960" s="177"/>
      <c r="AB960" s="177"/>
      <c r="AC960" s="160"/>
      <c r="AD960" s="160"/>
      <c r="AE960" s="160"/>
      <c r="AF960" s="160"/>
      <c r="AG960" s="160"/>
      <c r="AU960" s="160"/>
      <c r="AV960" s="160"/>
      <c r="AW960" s="160"/>
      <c r="AX960" s="160"/>
      <c r="AY960" s="160"/>
      <c r="AZ960" s="160"/>
      <c r="BA960" s="160"/>
    </row>
    <row r="961" ht="15.75" hidden="1" customHeight="1" outlineLevel="1">
      <c r="A961" s="255"/>
      <c r="B961" s="38"/>
      <c r="C961" s="160"/>
      <c r="D961" s="160"/>
      <c r="E961" s="160">
        <f>IF(and($E$902&gt;0,Model!W$1&lt;='Assumptions (Solar)'!$V$13),PPMT('Assumptions (Solar)'!$V$10,Model!W$1,'Assumptions (Solar)'!$V$13,'Assumptions (Solar)'!$V$8*Model!$E$902*('Assumptions (Solar)'!$C$20*'Assumptions (Solar)'!$C$2+'Assumptions (Solar)'!$C$21*'Assumptions (Solar)'!$C$3)/10^9),0)</f>
        <v>0</v>
      </c>
      <c r="F961" s="160">
        <f>IF(and($E$902&gt;0,Model!X$1&lt;='Assumptions (Solar)'!$V$13),PPMT('Assumptions (Solar)'!$V$10,Model!X$1,'Assumptions (Solar)'!$V$13,'Assumptions (Solar)'!$V$8*Model!$E$902*('Assumptions (Solar)'!$C$20*'Assumptions (Solar)'!$C$2+'Assumptions (Solar)'!$C$21*'Assumptions (Solar)'!$C$3)/10^9),0)</f>
        <v>0</v>
      </c>
      <c r="G961" s="160">
        <f>IF(and($E$902&gt;0,Model!Y$1&lt;='Assumptions (Solar)'!$V$13),PPMT('Assumptions (Solar)'!$V$10,Model!Y$1,'Assumptions (Solar)'!$V$13,'Assumptions (Solar)'!$V$8*Model!$E$902*('Assumptions (Solar)'!$C$20*'Assumptions (Solar)'!$C$2+'Assumptions (Solar)'!$C$21*'Assumptions (Solar)'!$C$3)/10^9),0)</f>
        <v>0</v>
      </c>
      <c r="H961" s="160">
        <f>IF(and($E$902&gt;0,Model!Z$1&lt;='Assumptions (Solar)'!$V$13),PPMT('Assumptions (Solar)'!$V$10,Model!Z$1,'Assumptions (Solar)'!$V$13,'Assumptions (Solar)'!$V$8*Model!$E$902*('Assumptions (Solar)'!$C$20*'Assumptions (Solar)'!$C$2+'Assumptions (Solar)'!$C$21*'Assumptions (Solar)'!$C$3)/10^9),0)</f>
        <v>0</v>
      </c>
      <c r="I961" s="160">
        <f>IF(and($E$902&gt;0,Model!AA$1&lt;='Assumptions (Solar)'!$V$13),PPMT('Assumptions (Solar)'!$V$10,Model!AA$1,'Assumptions (Solar)'!$V$13,'Assumptions (Solar)'!$V$8*Model!$E$902*('Assumptions (Solar)'!$C$20*'Assumptions (Solar)'!$C$2+'Assumptions (Solar)'!$C$21*'Assumptions (Solar)'!$C$3)/10^9),0)</f>
        <v>0</v>
      </c>
      <c r="J961" s="160">
        <f>IF(and($E$902&gt;0,Model!AB$1&lt;='Assumptions (Solar)'!$V$13),PPMT('Assumptions (Solar)'!$V$10,Model!AB$1,'Assumptions (Solar)'!$V$13,'Assumptions (Solar)'!$V$8*Model!$E$902*('Assumptions (Solar)'!$C$20*'Assumptions (Solar)'!$C$2+'Assumptions (Solar)'!$C$21*'Assumptions (Solar)'!$C$3)/10^9),0)</f>
        <v>0</v>
      </c>
      <c r="K961" s="160">
        <f>IF(and($E$902&gt;0,Model!AC$1&lt;='Assumptions (Solar)'!$V$13),PPMT('Assumptions (Solar)'!$V$10,Model!AC$1,'Assumptions (Solar)'!$V$13,'Assumptions (Solar)'!$V$8*Model!$E$902*('Assumptions (Solar)'!$C$20*'Assumptions (Solar)'!$C$2+'Assumptions (Solar)'!$C$21*'Assumptions (Solar)'!$C$3)/10^9),0)</f>
        <v>0</v>
      </c>
      <c r="L961" s="160">
        <f>IF(and($E$902&gt;0,Model!AD$1&lt;='Assumptions (Solar)'!$V$13),PPMT('Assumptions (Solar)'!$V$10,Model!AD$1,'Assumptions (Solar)'!$V$13,'Assumptions (Solar)'!$V$8*Model!$E$902*('Assumptions (Solar)'!$C$20*'Assumptions (Solar)'!$C$2+'Assumptions (Solar)'!$C$21*'Assumptions (Solar)'!$C$3)/10^9),0)</f>
        <v>0</v>
      </c>
      <c r="M961" s="160">
        <f>IF(and($E$902&gt;0,Model!AE$1&lt;='Assumptions (Solar)'!$V$13),PPMT('Assumptions (Solar)'!$V$10,Model!AE$1,'Assumptions (Solar)'!$V$13,'Assumptions (Solar)'!$V$8*Model!$E$902*('Assumptions (Solar)'!$C$20*'Assumptions (Solar)'!$C$2+'Assumptions (Solar)'!$C$21*'Assumptions (Solar)'!$C$3)/10^9),0)</f>
        <v>0</v>
      </c>
      <c r="N961" s="160">
        <f>IF(and($E$902&gt;0,Model!AF$1&lt;='Assumptions (Solar)'!$V$13),PPMT('Assumptions (Solar)'!$V$10,Model!AF$1,'Assumptions (Solar)'!$V$13,'Assumptions (Solar)'!$V$8*Model!$E$902*('Assumptions (Solar)'!$C$20*'Assumptions (Solar)'!$C$2+'Assumptions (Solar)'!$C$21*'Assumptions (Solar)'!$C$3)/10^9),0)</f>
        <v>0</v>
      </c>
      <c r="O961" s="160"/>
      <c r="P961" s="160"/>
      <c r="Q961" s="160"/>
      <c r="R961" s="160"/>
      <c r="S961" s="160"/>
      <c r="T961" s="160"/>
      <c r="U961" s="160"/>
      <c r="V961" s="160"/>
      <c r="W961" s="160"/>
      <c r="X961" s="160"/>
      <c r="Y961" s="160"/>
      <c r="Z961" s="160"/>
      <c r="AA961" s="160"/>
      <c r="AB961" s="160"/>
      <c r="AC961" s="160"/>
      <c r="AD961" s="160"/>
      <c r="AE961" s="160"/>
      <c r="AF961" s="160"/>
      <c r="AG961" s="160"/>
      <c r="AU961" s="160"/>
      <c r="AV961" s="160"/>
      <c r="AW961" s="160"/>
      <c r="AX961" s="160"/>
      <c r="AY961" s="160"/>
      <c r="AZ961" s="160"/>
      <c r="BA961" s="160"/>
    </row>
    <row r="962" ht="15.75" hidden="1" customHeight="1" outlineLevel="1">
      <c r="A962" s="255"/>
      <c r="B962" s="38"/>
      <c r="C962" s="160"/>
      <c r="D962" s="160"/>
      <c r="E962" s="160"/>
      <c r="F962" s="160">
        <f>IF(and($F$902&gt;0,Model!W$1&lt;='Assumptions (Solar)'!$V$13),PPMT('Assumptions (Solar)'!$V$10,Model!W$1,'Assumptions (Solar)'!$V$13,'Assumptions (Solar)'!$V$8*Model!$F$902*('Assumptions (Solar)'!$D$20*'Assumptions (Solar)'!$D$2+'Assumptions (Solar)'!$D$21*'Assumptions (Solar)'!$D$3)/10^9),0)</f>
        <v>0</v>
      </c>
      <c r="G962" s="160">
        <f>IF(and($F$902&gt;0,Model!X$1&lt;='Assumptions (Solar)'!$V$13),PPMT('Assumptions (Solar)'!$V$10,Model!X$1,'Assumptions (Solar)'!$V$13,'Assumptions (Solar)'!$V$8*Model!$F$902*('Assumptions (Solar)'!$D$20*'Assumptions (Solar)'!$D$2+'Assumptions (Solar)'!$D$21*'Assumptions (Solar)'!$D$3)/10^9),0)</f>
        <v>0</v>
      </c>
      <c r="H962" s="160">
        <f>IF(and($F$902&gt;0,Model!Y$1&lt;='Assumptions (Solar)'!$V$13),PPMT('Assumptions (Solar)'!$V$10,Model!Y$1,'Assumptions (Solar)'!$V$13,'Assumptions (Solar)'!$V$8*Model!$F$902*('Assumptions (Solar)'!$D$20*'Assumptions (Solar)'!$D$2+'Assumptions (Solar)'!$D$21*'Assumptions (Solar)'!$D$3)/10^9),0)</f>
        <v>0</v>
      </c>
      <c r="I962" s="160">
        <f>IF(and($F$902&gt;0,Model!Z$1&lt;='Assumptions (Solar)'!$V$13),PPMT('Assumptions (Solar)'!$V$10,Model!Z$1,'Assumptions (Solar)'!$V$13,'Assumptions (Solar)'!$V$8*Model!$F$902*('Assumptions (Solar)'!$D$20*'Assumptions (Solar)'!$D$2+'Assumptions (Solar)'!$D$21*'Assumptions (Solar)'!$D$3)/10^9),0)</f>
        <v>0</v>
      </c>
      <c r="J962" s="160">
        <f>IF(and($F$902&gt;0,Model!AA$1&lt;='Assumptions (Solar)'!$V$13),PPMT('Assumptions (Solar)'!$V$10,Model!AA$1,'Assumptions (Solar)'!$V$13,'Assumptions (Solar)'!$V$8*Model!$F$902*('Assumptions (Solar)'!$D$20*'Assumptions (Solar)'!$D$2+'Assumptions (Solar)'!$D$21*'Assumptions (Solar)'!$D$3)/10^9),0)</f>
        <v>0</v>
      </c>
      <c r="K962" s="160">
        <f>IF(and($F$902&gt;0,Model!AB$1&lt;='Assumptions (Solar)'!$V$13),PPMT('Assumptions (Solar)'!$V$10,Model!AB$1,'Assumptions (Solar)'!$V$13,'Assumptions (Solar)'!$V$8*Model!$F$902*('Assumptions (Solar)'!$D$20*'Assumptions (Solar)'!$D$2+'Assumptions (Solar)'!$D$21*'Assumptions (Solar)'!$D$3)/10^9),0)</f>
        <v>0</v>
      </c>
      <c r="L962" s="160">
        <f>IF(and($F$902&gt;0,Model!AC$1&lt;='Assumptions (Solar)'!$V$13),PPMT('Assumptions (Solar)'!$V$10,Model!AC$1,'Assumptions (Solar)'!$V$13,'Assumptions (Solar)'!$V$8*Model!$F$902*('Assumptions (Solar)'!$D$20*'Assumptions (Solar)'!$D$2+'Assumptions (Solar)'!$D$21*'Assumptions (Solar)'!$D$3)/10^9),0)</f>
        <v>0</v>
      </c>
      <c r="M962" s="160">
        <f>IF(and($F$902&gt;0,Model!AD$1&lt;='Assumptions (Solar)'!$V$13),PPMT('Assumptions (Solar)'!$V$10,Model!AD$1,'Assumptions (Solar)'!$V$13,'Assumptions (Solar)'!$V$8*Model!$F$902*('Assumptions (Solar)'!$D$20*'Assumptions (Solar)'!$D$2+'Assumptions (Solar)'!$D$21*'Assumptions (Solar)'!$D$3)/10^9),0)</f>
        <v>0</v>
      </c>
      <c r="N962" s="160">
        <f>IF(and($F$902&gt;0,Model!AE$1&lt;='Assumptions (Solar)'!$V$13),PPMT('Assumptions (Solar)'!$V$10,Model!AE$1,'Assumptions (Solar)'!$V$13,'Assumptions (Solar)'!$V$8*Model!$F$902*('Assumptions (Solar)'!$D$20*'Assumptions (Solar)'!$D$2+'Assumptions (Solar)'!$D$21*'Assumptions (Solar)'!$D$3)/10^9),0)</f>
        <v>0</v>
      </c>
      <c r="O962" s="160">
        <f>IF(and($F$902&gt;0,Model!AF$1&lt;='Assumptions (Solar)'!$V$13),PPMT('Assumptions (Solar)'!$V$10,Model!AF$1,'Assumptions (Solar)'!$V$13,'Assumptions (Solar)'!$V$8*Model!$F$902*('Assumptions (Solar)'!$D$20*'Assumptions (Solar)'!$D$2+'Assumptions (Solar)'!$D$21*'Assumptions (Solar)'!$D$3)/10^9),0)</f>
        <v>0</v>
      </c>
      <c r="P962" s="160"/>
      <c r="Q962" s="160"/>
      <c r="R962" s="160"/>
      <c r="S962" s="160"/>
      <c r="T962" s="160"/>
      <c r="U962" s="160"/>
      <c r="V962" s="160"/>
      <c r="W962" s="160"/>
      <c r="X962" s="160"/>
      <c r="Y962" s="160"/>
      <c r="Z962" s="160"/>
      <c r="AA962" s="160"/>
      <c r="AB962" s="160"/>
      <c r="AC962" s="160"/>
      <c r="AD962" s="160"/>
      <c r="AE962" s="160"/>
      <c r="AF962" s="160"/>
      <c r="AG962" s="160"/>
      <c r="AU962" s="160"/>
      <c r="AV962" s="160"/>
      <c r="AW962" s="160"/>
      <c r="AX962" s="160"/>
      <c r="AY962" s="160"/>
      <c r="AZ962" s="160"/>
      <c r="BA962" s="160"/>
    </row>
    <row r="963" ht="15.75" hidden="1" customHeight="1" outlineLevel="1">
      <c r="A963" s="255"/>
      <c r="B963" s="38"/>
      <c r="C963" s="160"/>
      <c r="D963" s="160"/>
      <c r="E963" s="160"/>
      <c r="F963" s="160"/>
      <c r="G963" s="160">
        <f>IF(and($G$902&gt;0,Model!W$1&lt;='Assumptions (Solar)'!$V$13),PPMT('Assumptions (Solar)'!$V$10,Model!W$1,'Assumptions (Solar)'!$V$13,'Assumptions (Solar)'!$V$8*Model!$G$902*('Assumptions (Solar)'!$E$20*'Assumptions (Solar)'!$E$2+'Assumptions (Solar)'!$E$21*'Assumptions (Solar)'!$E$3)/10^9),0)</f>
        <v>0</v>
      </c>
      <c r="H963" s="160">
        <f>IF(and($G$902&gt;0,Model!X$1&lt;='Assumptions (Solar)'!$V$13),PPMT('Assumptions (Solar)'!$V$10,Model!X$1,'Assumptions (Solar)'!$V$13,'Assumptions (Solar)'!$V$8*Model!$G$902*('Assumptions (Solar)'!$E$20*'Assumptions (Solar)'!$E$2+'Assumptions (Solar)'!$E$21*'Assumptions (Solar)'!$E$3)/10^9),0)</f>
        <v>0</v>
      </c>
      <c r="I963" s="160">
        <f>IF(and($G$902&gt;0,Model!Y$1&lt;='Assumptions (Solar)'!$V$13),PPMT('Assumptions (Solar)'!$V$10,Model!Y$1,'Assumptions (Solar)'!$V$13,'Assumptions (Solar)'!$V$8*Model!$G$902*('Assumptions (Solar)'!$E$20*'Assumptions (Solar)'!$E$2+'Assumptions (Solar)'!$E$21*'Assumptions (Solar)'!$E$3)/10^9),0)</f>
        <v>0</v>
      </c>
      <c r="J963" s="160">
        <f>IF(and($G$902&gt;0,Model!Z$1&lt;='Assumptions (Solar)'!$V$13),PPMT('Assumptions (Solar)'!$V$10,Model!Z$1,'Assumptions (Solar)'!$V$13,'Assumptions (Solar)'!$V$8*Model!$G$902*('Assumptions (Solar)'!$E$20*'Assumptions (Solar)'!$E$2+'Assumptions (Solar)'!$E$21*'Assumptions (Solar)'!$E$3)/10^9),0)</f>
        <v>0</v>
      </c>
      <c r="K963" s="160">
        <f>IF(and($G$902&gt;0,Model!AA$1&lt;='Assumptions (Solar)'!$V$13),PPMT('Assumptions (Solar)'!$V$10,Model!AA$1,'Assumptions (Solar)'!$V$13,'Assumptions (Solar)'!$V$8*Model!$G$902*('Assumptions (Solar)'!$E$20*'Assumptions (Solar)'!$E$2+'Assumptions (Solar)'!$E$21*'Assumptions (Solar)'!$E$3)/10^9),0)</f>
        <v>0</v>
      </c>
      <c r="L963" s="160">
        <f>IF(and($G$902&gt;0,Model!AB$1&lt;='Assumptions (Solar)'!$V$13),PPMT('Assumptions (Solar)'!$V$10,Model!AB$1,'Assumptions (Solar)'!$V$13,'Assumptions (Solar)'!$V$8*Model!$G$902*('Assumptions (Solar)'!$E$20*'Assumptions (Solar)'!$E$2+'Assumptions (Solar)'!$E$21*'Assumptions (Solar)'!$E$3)/10^9),0)</f>
        <v>0</v>
      </c>
      <c r="M963" s="160">
        <f>IF(and($G$902&gt;0,Model!AC$1&lt;='Assumptions (Solar)'!$V$13),PPMT('Assumptions (Solar)'!$V$10,Model!AC$1,'Assumptions (Solar)'!$V$13,'Assumptions (Solar)'!$V$8*Model!$G$902*('Assumptions (Solar)'!$E$20*'Assumptions (Solar)'!$E$2+'Assumptions (Solar)'!$E$21*'Assumptions (Solar)'!$E$3)/10^9),0)</f>
        <v>0</v>
      </c>
      <c r="N963" s="160">
        <f>IF(and($G$902&gt;0,Model!AD$1&lt;='Assumptions (Solar)'!$V$13),PPMT('Assumptions (Solar)'!$V$10,Model!AD$1,'Assumptions (Solar)'!$V$13,'Assumptions (Solar)'!$V$8*Model!$G$902*('Assumptions (Solar)'!$E$20*'Assumptions (Solar)'!$E$2+'Assumptions (Solar)'!$E$21*'Assumptions (Solar)'!$E$3)/10^9),0)</f>
        <v>0</v>
      </c>
      <c r="O963" s="160">
        <f>IF(and($G$902&gt;0,Model!AE$1&lt;='Assumptions (Solar)'!$V$13),PPMT('Assumptions (Solar)'!$V$10,Model!AE$1,'Assumptions (Solar)'!$V$13,'Assumptions (Solar)'!$V$8*Model!$G$902*('Assumptions (Solar)'!$E$20*'Assumptions (Solar)'!$E$2+'Assumptions (Solar)'!$E$21*'Assumptions (Solar)'!$E$3)/10^9),0)</f>
        <v>0</v>
      </c>
      <c r="P963" s="160">
        <f>IF(and($G$902&gt;0,Model!AF$1&lt;='Assumptions (Solar)'!$V$13),PPMT('Assumptions (Solar)'!$V$10,Model!AF$1,'Assumptions (Solar)'!$V$13,'Assumptions (Solar)'!$V$8*Model!$G$902*('Assumptions (Solar)'!$E$20*'Assumptions (Solar)'!$E$2+'Assumptions (Solar)'!$E$21*'Assumptions (Solar)'!$E$3)/10^9),0)</f>
        <v>0</v>
      </c>
      <c r="Q963" s="160"/>
      <c r="R963" s="160"/>
      <c r="S963" s="160"/>
      <c r="T963" s="160"/>
      <c r="U963" s="160"/>
      <c r="V963" s="160"/>
      <c r="W963" s="160"/>
      <c r="X963" s="160"/>
      <c r="Y963" s="160"/>
      <c r="Z963" s="160"/>
      <c r="AA963" s="160"/>
      <c r="AB963" s="160"/>
      <c r="AC963" s="160"/>
      <c r="AD963" s="160"/>
      <c r="AE963" s="160"/>
      <c r="AF963" s="160"/>
      <c r="AG963" s="160"/>
      <c r="AU963" s="160"/>
      <c r="AV963" s="160"/>
      <c r="AW963" s="160"/>
      <c r="AX963" s="160"/>
      <c r="AY963" s="160"/>
      <c r="AZ963" s="160"/>
      <c r="BA963" s="160"/>
    </row>
    <row r="964" ht="15.75" hidden="1" customHeight="1" outlineLevel="1">
      <c r="A964" s="255"/>
      <c r="B964" s="38"/>
      <c r="C964" s="160"/>
      <c r="D964" s="160"/>
      <c r="E964" s="160"/>
      <c r="F964" s="160"/>
      <c r="G964" s="160"/>
      <c r="H964" s="160">
        <f>IF(and($H$902&gt;0,Model!W$1&lt;='Assumptions (Solar)'!$V$13),PPMT('Assumptions (Solar)'!$V$10,Model!W$1,'Assumptions (Solar)'!$V$13,'Assumptions (Solar)'!$V$8*Model!$H$902*('Assumptions (Solar)'!$F$20*'Assumptions (Solar)'!$F$2+'Assumptions (Solar)'!$F$21*'Assumptions (Solar)'!$F$3)/10^9),0)</f>
        <v>0</v>
      </c>
      <c r="I964" s="160">
        <f>IF(and($H$902&gt;0,Model!X$1&lt;='Assumptions (Solar)'!$V$13),PPMT('Assumptions (Solar)'!$V$10,Model!X$1,'Assumptions (Solar)'!$V$13,'Assumptions (Solar)'!$V$8*Model!$H$902*('Assumptions (Solar)'!$F$20*'Assumptions (Solar)'!$F$2+'Assumptions (Solar)'!$F$21*'Assumptions (Solar)'!$F$3)/10^9),0)</f>
        <v>0</v>
      </c>
      <c r="J964" s="160">
        <f>IF(and($H$902&gt;0,Model!Y$1&lt;='Assumptions (Solar)'!$V$13),PPMT('Assumptions (Solar)'!$V$10,Model!Y$1,'Assumptions (Solar)'!$V$13,'Assumptions (Solar)'!$V$8*Model!$H$902*('Assumptions (Solar)'!$F$20*'Assumptions (Solar)'!$F$2+'Assumptions (Solar)'!$F$21*'Assumptions (Solar)'!$F$3)/10^9),0)</f>
        <v>0</v>
      </c>
      <c r="K964" s="160">
        <f>IF(and($H$902&gt;0,Model!Z$1&lt;='Assumptions (Solar)'!$V$13),PPMT('Assumptions (Solar)'!$V$10,Model!Z$1,'Assumptions (Solar)'!$V$13,'Assumptions (Solar)'!$V$8*Model!$H$902*('Assumptions (Solar)'!$F$20*'Assumptions (Solar)'!$F$2+'Assumptions (Solar)'!$F$21*'Assumptions (Solar)'!$F$3)/10^9),0)</f>
        <v>0</v>
      </c>
      <c r="L964" s="160">
        <f>IF(and($H$902&gt;0,Model!AA$1&lt;='Assumptions (Solar)'!$V$13),PPMT('Assumptions (Solar)'!$V$10,Model!AA$1,'Assumptions (Solar)'!$V$13,'Assumptions (Solar)'!$V$8*Model!$H$902*('Assumptions (Solar)'!$F$20*'Assumptions (Solar)'!$F$2+'Assumptions (Solar)'!$F$21*'Assumptions (Solar)'!$F$3)/10^9),0)</f>
        <v>0</v>
      </c>
      <c r="M964" s="160">
        <f>IF(and($H$902&gt;0,Model!AB$1&lt;='Assumptions (Solar)'!$V$13),PPMT('Assumptions (Solar)'!$V$10,Model!AB$1,'Assumptions (Solar)'!$V$13,'Assumptions (Solar)'!$V$8*Model!$H$902*('Assumptions (Solar)'!$F$20*'Assumptions (Solar)'!$F$2+'Assumptions (Solar)'!$F$21*'Assumptions (Solar)'!$F$3)/10^9),0)</f>
        <v>0</v>
      </c>
      <c r="N964" s="160">
        <f>IF(and($H$902&gt;0,Model!AC$1&lt;='Assumptions (Solar)'!$V$13),PPMT('Assumptions (Solar)'!$V$10,Model!AC$1,'Assumptions (Solar)'!$V$13,'Assumptions (Solar)'!$V$8*Model!$H$902*('Assumptions (Solar)'!$F$20*'Assumptions (Solar)'!$F$2+'Assumptions (Solar)'!$F$21*'Assumptions (Solar)'!$F$3)/10^9),0)</f>
        <v>0</v>
      </c>
      <c r="O964" s="160">
        <f>IF(and($H$902&gt;0,Model!AD$1&lt;='Assumptions (Solar)'!$V$13),PPMT('Assumptions (Solar)'!$V$10,Model!AD$1,'Assumptions (Solar)'!$V$13,'Assumptions (Solar)'!$V$8*Model!$H$902*('Assumptions (Solar)'!$F$20*'Assumptions (Solar)'!$F$2+'Assumptions (Solar)'!$F$21*'Assumptions (Solar)'!$F$3)/10^9),0)</f>
        <v>0</v>
      </c>
      <c r="P964" s="160">
        <f>IF(and($H$902&gt;0,Model!AE$1&lt;='Assumptions (Solar)'!$V$13),PPMT('Assumptions (Solar)'!$V$10,Model!AE$1,'Assumptions (Solar)'!$V$13,'Assumptions (Solar)'!$V$8*Model!$H$902*('Assumptions (Solar)'!$F$20*'Assumptions (Solar)'!$F$2+'Assumptions (Solar)'!$F$21*'Assumptions (Solar)'!$F$3)/10^9),0)</f>
        <v>0</v>
      </c>
      <c r="Q964" s="160">
        <f>IF(and($H$902&gt;0,Model!AF$1&lt;='Assumptions (Solar)'!$V$13),PPMT('Assumptions (Solar)'!$V$10,Model!AF$1,'Assumptions (Solar)'!$V$13,'Assumptions (Solar)'!$V$8*Model!$H$902*('Assumptions (Solar)'!$F$20*'Assumptions (Solar)'!$F$2+'Assumptions (Solar)'!$F$21*'Assumptions (Solar)'!$F$3)/10^9),0)</f>
        <v>0</v>
      </c>
      <c r="R964" s="160"/>
      <c r="S964" s="160"/>
      <c r="T964" s="160"/>
      <c r="U964" s="160"/>
      <c r="V964" s="160"/>
      <c r="W964" s="160"/>
      <c r="X964" s="160"/>
      <c r="Y964" s="160"/>
      <c r="Z964" s="160"/>
      <c r="AA964" s="160"/>
      <c r="AB964" s="160"/>
      <c r="AC964" s="160"/>
      <c r="AD964" s="160"/>
      <c r="AE964" s="160"/>
      <c r="AF964" s="160"/>
      <c r="AG964" s="160"/>
      <c r="AU964" s="160"/>
      <c r="AV964" s="160"/>
      <c r="AW964" s="160"/>
      <c r="AX964" s="160"/>
      <c r="AY964" s="160"/>
      <c r="AZ964" s="160"/>
      <c r="BA964" s="160"/>
    </row>
    <row r="965" ht="15.75" hidden="1" customHeight="1" outlineLevel="1">
      <c r="A965" s="255"/>
      <c r="B965" s="38"/>
      <c r="C965" s="160"/>
      <c r="D965" s="160"/>
      <c r="E965" s="160"/>
      <c r="F965" s="160"/>
      <c r="G965" s="160"/>
      <c r="H965" s="160"/>
      <c r="I965" s="160">
        <f>IF(and($I$902&gt;0,Model!W$1&lt;='Assumptions (Solar)'!$V$13),PPMT('Assumptions (Solar)'!$V$10,Model!W$1,'Assumptions (Solar)'!$V$13,'Assumptions (Solar)'!$V$8*Model!$I$902*('Assumptions (Solar)'!$G$20*'Assumptions (Solar)'!$G$2+'Assumptions (Solar)'!$G$21*'Assumptions (Solar)'!$G$3)/10^9),0)</f>
        <v>0</v>
      </c>
      <c r="J965" s="160">
        <f>IF(and($I$902&gt;0,Model!X$1&lt;='Assumptions (Solar)'!$V$13),PPMT('Assumptions (Solar)'!$V$10,Model!X$1,'Assumptions (Solar)'!$V$13,'Assumptions (Solar)'!$V$8*Model!$I$902*('Assumptions (Solar)'!$G$20*'Assumptions (Solar)'!$G$2+'Assumptions (Solar)'!$G$21*'Assumptions (Solar)'!$G$3)/10^9),0)</f>
        <v>0</v>
      </c>
      <c r="K965" s="160">
        <f>IF(and($I$902&gt;0,Model!Y$1&lt;='Assumptions (Solar)'!$V$13),PPMT('Assumptions (Solar)'!$V$10,Model!Y$1,'Assumptions (Solar)'!$V$13,'Assumptions (Solar)'!$V$8*Model!$I$902*('Assumptions (Solar)'!$G$20*'Assumptions (Solar)'!$G$2+'Assumptions (Solar)'!$G$21*'Assumptions (Solar)'!$G$3)/10^9),0)</f>
        <v>0</v>
      </c>
      <c r="L965" s="160">
        <f>IF(and($I$902&gt;0,Model!Z$1&lt;='Assumptions (Solar)'!$V$13),PPMT('Assumptions (Solar)'!$V$10,Model!Z$1,'Assumptions (Solar)'!$V$13,'Assumptions (Solar)'!$V$8*Model!$I$902*('Assumptions (Solar)'!$G$20*'Assumptions (Solar)'!$G$2+'Assumptions (Solar)'!$G$21*'Assumptions (Solar)'!$G$3)/10^9),0)</f>
        <v>0</v>
      </c>
      <c r="M965" s="160">
        <f>IF(and($I$902&gt;0,Model!AA$1&lt;='Assumptions (Solar)'!$V$13),PPMT('Assumptions (Solar)'!$V$10,Model!AA$1,'Assumptions (Solar)'!$V$13,'Assumptions (Solar)'!$V$8*Model!$I$902*('Assumptions (Solar)'!$G$20*'Assumptions (Solar)'!$G$2+'Assumptions (Solar)'!$G$21*'Assumptions (Solar)'!$G$3)/10^9),0)</f>
        <v>0</v>
      </c>
      <c r="N965" s="160">
        <f>IF(and($I$902&gt;0,Model!AB$1&lt;='Assumptions (Solar)'!$V$13),PPMT('Assumptions (Solar)'!$V$10,Model!AB$1,'Assumptions (Solar)'!$V$13,'Assumptions (Solar)'!$V$8*Model!$I$902*('Assumptions (Solar)'!$G$20*'Assumptions (Solar)'!$G$2+'Assumptions (Solar)'!$G$21*'Assumptions (Solar)'!$G$3)/10^9),0)</f>
        <v>0</v>
      </c>
      <c r="O965" s="160">
        <f>IF(and($I$902&gt;0,Model!AC$1&lt;='Assumptions (Solar)'!$V$13),PPMT('Assumptions (Solar)'!$V$10,Model!AC$1,'Assumptions (Solar)'!$V$13,'Assumptions (Solar)'!$V$8*Model!$I$902*('Assumptions (Solar)'!$G$20*'Assumptions (Solar)'!$G$2+'Assumptions (Solar)'!$G$21*'Assumptions (Solar)'!$G$3)/10^9),0)</f>
        <v>0</v>
      </c>
      <c r="P965" s="160">
        <f>IF(and($I$902&gt;0,Model!AD$1&lt;='Assumptions (Solar)'!$V$13),PPMT('Assumptions (Solar)'!$V$10,Model!AD$1,'Assumptions (Solar)'!$V$13,'Assumptions (Solar)'!$V$8*Model!$I$902*('Assumptions (Solar)'!$G$20*'Assumptions (Solar)'!$G$2+'Assumptions (Solar)'!$G$21*'Assumptions (Solar)'!$G$3)/10^9),0)</f>
        <v>0</v>
      </c>
      <c r="Q965" s="160">
        <f>IF(and($I$902&gt;0,Model!AE$1&lt;='Assumptions (Solar)'!$V$13),PPMT('Assumptions (Solar)'!$V$10,Model!AE$1,'Assumptions (Solar)'!$V$13,'Assumptions (Solar)'!$V$8*Model!$I$902*('Assumptions (Solar)'!$G$20*'Assumptions (Solar)'!$G$2+'Assumptions (Solar)'!$G$21*'Assumptions (Solar)'!$G$3)/10^9),0)</f>
        <v>0</v>
      </c>
      <c r="R965" s="160">
        <f>IF(and($I$902&gt;0,Model!AF$1&lt;='Assumptions (Solar)'!$V$13),PPMT('Assumptions (Solar)'!$V$10,Model!AF$1,'Assumptions (Solar)'!$V$13,'Assumptions (Solar)'!$V$8*Model!$I$902*('Assumptions (Solar)'!$G$20*'Assumptions (Solar)'!$G$2+'Assumptions (Solar)'!$G$21*'Assumptions (Solar)'!$G$3)/10^9),0)</f>
        <v>0</v>
      </c>
      <c r="S965" s="160"/>
      <c r="T965" s="160"/>
      <c r="U965" s="160"/>
      <c r="V965" s="160"/>
      <c r="W965" s="160"/>
      <c r="X965" s="160"/>
      <c r="Y965" s="160"/>
      <c r="Z965" s="160"/>
      <c r="AA965" s="160"/>
      <c r="AB965" s="160"/>
      <c r="AC965" s="160"/>
      <c r="AD965" s="160"/>
      <c r="AE965" s="160"/>
      <c r="AF965" s="160"/>
      <c r="AG965" s="160"/>
      <c r="AU965" s="160"/>
      <c r="AV965" s="160"/>
      <c r="AW965" s="160"/>
      <c r="AX965" s="160"/>
      <c r="AY965" s="160"/>
      <c r="AZ965" s="160"/>
      <c r="BA965" s="160"/>
    </row>
    <row r="966" ht="15.75" hidden="1" customHeight="1" outlineLevel="1">
      <c r="A966" s="255"/>
      <c r="B966" s="38"/>
      <c r="C966" s="160"/>
      <c r="D966" s="160"/>
      <c r="E966" s="160"/>
      <c r="F966" s="160"/>
      <c r="G966" s="160"/>
      <c r="H966" s="160"/>
      <c r="I966" s="160"/>
      <c r="J966" s="160">
        <f>IF(and($J$902&gt;0,Model!W$1&lt;='Assumptions (Solar)'!$V$13),PPMT('Assumptions (Solar)'!$V$10,Model!W$1,'Assumptions (Solar)'!$V$13,'Assumptions (Solar)'!$V$8*Model!$J$902*('Assumptions (Solar)'!$H$20*'Assumptions (Solar)'!$H$2+'Assumptions (Solar)'!$H$21*'Assumptions (Solar)'!$H$3)/10^9),0)</f>
        <v>0</v>
      </c>
      <c r="K966" s="160">
        <f>IF(and($J$902&gt;0,Model!X$1&lt;='Assumptions (Solar)'!$V$13),PPMT('Assumptions (Solar)'!$V$10,Model!X$1,'Assumptions (Solar)'!$V$13,'Assumptions (Solar)'!$V$8*Model!$J$902*('Assumptions (Solar)'!$H$20*'Assumptions (Solar)'!$H$2+'Assumptions (Solar)'!$H$21*'Assumptions (Solar)'!$H$3)/10^9),0)</f>
        <v>0</v>
      </c>
      <c r="L966" s="160">
        <f>IF(and($J$902&gt;0,Model!Y$1&lt;='Assumptions (Solar)'!$V$13),PPMT('Assumptions (Solar)'!$V$10,Model!Y$1,'Assumptions (Solar)'!$V$13,'Assumptions (Solar)'!$V$8*Model!$J$902*('Assumptions (Solar)'!$H$20*'Assumptions (Solar)'!$H$2+'Assumptions (Solar)'!$H$21*'Assumptions (Solar)'!$H$3)/10^9),0)</f>
        <v>0</v>
      </c>
      <c r="M966" s="160">
        <f>IF(and($J$902&gt;0,Model!Z$1&lt;='Assumptions (Solar)'!$V$13),PPMT('Assumptions (Solar)'!$V$10,Model!Z$1,'Assumptions (Solar)'!$V$13,'Assumptions (Solar)'!$V$8*Model!$J$902*('Assumptions (Solar)'!$H$20*'Assumptions (Solar)'!$H$2+'Assumptions (Solar)'!$H$21*'Assumptions (Solar)'!$H$3)/10^9),0)</f>
        <v>0</v>
      </c>
      <c r="N966" s="160">
        <f>IF(and($J$902&gt;0,Model!AA$1&lt;='Assumptions (Solar)'!$V$13),PPMT('Assumptions (Solar)'!$V$10,Model!AA$1,'Assumptions (Solar)'!$V$13,'Assumptions (Solar)'!$V$8*Model!$J$902*('Assumptions (Solar)'!$H$20*'Assumptions (Solar)'!$H$2+'Assumptions (Solar)'!$H$21*'Assumptions (Solar)'!$H$3)/10^9),0)</f>
        <v>0</v>
      </c>
      <c r="O966" s="160">
        <f>IF(and($J$902&gt;0,Model!AB$1&lt;='Assumptions (Solar)'!$V$13),PPMT('Assumptions (Solar)'!$V$10,Model!AB$1,'Assumptions (Solar)'!$V$13,'Assumptions (Solar)'!$V$8*Model!$J$902*('Assumptions (Solar)'!$H$20*'Assumptions (Solar)'!$H$2+'Assumptions (Solar)'!$H$21*'Assumptions (Solar)'!$H$3)/10^9),0)</f>
        <v>0</v>
      </c>
      <c r="P966" s="160">
        <f>IF(and($J$902&gt;0,Model!AC$1&lt;='Assumptions (Solar)'!$V$13),PPMT('Assumptions (Solar)'!$V$10,Model!AC$1,'Assumptions (Solar)'!$V$13,'Assumptions (Solar)'!$V$8*Model!$J$902*('Assumptions (Solar)'!$H$20*'Assumptions (Solar)'!$H$2+'Assumptions (Solar)'!$H$21*'Assumptions (Solar)'!$H$3)/10^9),0)</f>
        <v>0</v>
      </c>
      <c r="Q966" s="160">
        <f>IF(and($J$902&gt;0,Model!AD$1&lt;='Assumptions (Solar)'!$V$13),PPMT('Assumptions (Solar)'!$V$10,Model!AD$1,'Assumptions (Solar)'!$V$13,'Assumptions (Solar)'!$V$8*Model!$J$902*('Assumptions (Solar)'!$H$20*'Assumptions (Solar)'!$H$2+'Assumptions (Solar)'!$H$21*'Assumptions (Solar)'!$H$3)/10^9),0)</f>
        <v>0</v>
      </c>
      <c r="R966" s="160">
        <f>IF(and($J$902&gt;0,Model!AE$1&lt;='Assumptions (Solar)'!$V$13),PPMT('Assumptions (Solar)'!$V$10,Model!AE$1,'Assumptions (Solar)'!$V$13,'Assumptions (Solar)'!$V$8*Model!$J$902*('Assumptions (Solar)'!$H$20*'Assumptions (Solar)'!$H$2+'Assumptions (Solar)'!$H$21*'Assumptions (Solar)'!$H$3)/10^9),0)</f>
        <v>0</v>
      </c>
      <c r="S966" s="160">
        <f>IF(and($J$902&gt;0,Model!AF$1&lt;='Assumptions (Solar)'!$V$13),PPMT('Assumptions (Solar)'!$V$10,Model!AF$1,'Assumptions (Solar)'!$V$13,'Assumptions (Solar)'!$V$8*Model!$J$902*('Assumptions (Solar)'!$H$20*'Assumptions (Solar)'!$H$2+'Assumptions (Solar)'!$H$21*'Assumptions (Solar)'!$H$3)/10^9),0)</f>
        <v>0</v>
      </c>
      <c r="T966" s="160"/>
      <c r="U966" s="160"/>
      <c r="V966" s="160"/>
      <c r="W966" s="160"/>
      <c r="X966" s="160"/>
      <c r="Y966" s="160"/>
      <c r="Z966" s="160"/>
      <c r="AA966" s="160"/>
      <c r="AB966" s="160"/>
      <c r="AC966" s="160"/>
      <c r="AD966" s="160"/>
      <c r="AE966" s="160"/>
      <c r="AF966" s="160"/>
      <c r="AG966" s="160"/>
      <c r="AH966" s="160"/>
      <c r="AU966" s="160"/>
      <c r="AV966" s="160"/>
      <c r="AW966" s="160"/>
      <c r="AX966" s="160"/>
      <c r="AY966" s="160"/>
      <c r="AZ966" s="160"/>
      <c r="BA966" s="160"/>
    </row>
    <row r="967" ht="15.75" hidden="1" customHeight="1" outlineLevel="1">
      <c r="A967" s="255"/>
      <c r="B967" s="38"/>
      <c r="C967" s="160"/>
      <c r="D967" s="160"/>
      <c r="E967" s="160"/>
      <c r="F967" s="160"/>
      <c r="G967" s="160"/>
      <c r="H967" s="160"/>
      <c r="I967" s="160"/>
      <c r="J967" s="160"/>
      <c r="K967" s="160">
        <f>IF(and($K$902&gt;0,Model!W$1&lt;='Assumptions (Solar)'!$V$13),PPMT('Assumptions (Solar)'!$V$10,Model!W$1,'Assumptions (Solar)'!$V$13,'Assumptions (Solar)'!$V$8*Model!$K$902*('Assumptions (Solar)'!$I$20*'Assumptions (Solar)'!$I$2+'Assumptions (Solar)'!$I$21*'Assumptions (Solar)'!$I$3)/10^9),0)</f>
        <v>-0.000961535827</v>
      </c>
      <c r="L967" s="160">
        <f>IF(and($K$902&gt;0,Model!X$1&lt;='Assumptions (Solar)'!$V$13),PPMT('Assumptions (Solar)'!$V$10,Model!X$1,'Assumptions (Solar)'!$V$13,'Assumptions (Solar)'!$V$8*Model!$K$902*('Assumptions (Solar)'!$I$20*'Assumptions (Solar)'!$I$2+'Assumptions (Solar)'!$I$21*'Assumptions (Solar)'!$I$3)/10^9),0)</f>
        <v>-0.001038458693</v>
      </c>
      <c r="M967" s="160">
        <f>IF(and($K$902&gt;0,Model!Y$1&lt;='Assumptions (Solar)'!$V$13),PPMT('Assumptions (Solar)'!$V$10,Model!Y$1,'Assumptions (Solar)'!$V$13,'Assumptions (Solar)'!$V$8*Model!$K$902*('Assumptions (Solar)'!$I$20*'Assumptions (Solar)'!$I$2+'Assumptions (Solar)'!$I$21*'Assumptions (Solar)'!$I$3)/10^9),0)</f>
        <v>-0.001121535389</v>
      </c>
      <c r="N967" s="160">
        <f>IF(and($K$902&gt;0,Model!Z$1&lt;='Assumptions (Solar)'!$V$13),PPMT('Assumptions (Solar)'!$V$10,Model!Z$1,'Assumptions (Solar)'!$V$13,'Assumptions (Solar)'!$V$8*Model!$K$902*('Assumptions (Solar)'!$I$20*'Assumptions (Solar)'!$I$2+'Assumptions (Solar)'!$I$21*'Assumptions (Solar)'!$I$3)/10^9),0)</f>
        <v>-0.00121125822</v>
      </c>
      <c r="O967" s="160">
        <f>IF(and($K$902&gt;0,Model!AA$1&lt;='Assumptions (Solar)'!$V$13),PPMT('Assumptions (Solar)'!$V$10,Model!AA$1,'Assumptions (Solar)'!$V$13,'Assumptions (Solar)'!$V$8*Model!$K$902*('Assumptions (Solar)'!$I$20*'Assumptions (Solar)'!$I$2+'Assumptions (Solar)'!$I$21*'Assumptions (Solar)'!$I$3)/10^9),0)</f>
        <v>-0.001308158877</v>
      </c>
      <c r="P967" s="160">
        <f>IF(and($K$902&gt;0,Model!AB$1&lt;='Assumptions (Solar)'!$V$13),PPMT('Assumptions (Solar)'!$V$10,Model!AB$1,'Assumptions (Solar)'!$V$13,'Assumptions (Solar)'!$V$8*Model!$K$902*('Assumptions (Solar)'!$I$20*'Assumptions (Solar)'!$I$2+'Assumptions (Solar)'!$I$21*'Assumptions (Solar)'!$I$3)/10^9),0)</f>
        <v>-0.001412811587</v>
      </c>
      <c r="Q967" s="160">
        <f>IF(and($K$902&gt;0,Model!AC$1&lt;='Assumptions (Solar)'!$V$13),PPMT('Assumptions (Solar)'!$V$10,Model!AC$1,'Assumptions (Solar)'!$V$13,'Assumptions (Solar)'!$V$8*Model!$K$902*('Assumptions (Solar)'!$I$20*'Assumptions (Solar)'!$I$2+'Assumptions (Solar)'!$I$21*'Assumptions (Solar)'!$I$3)/10^9),0)</f>
        <v>-0.001525836514</v>
      </c>
      <c r="R967" s="160">
        <f>IF(and($K$902&gt;0,Model!AD$1&lt;='Assumptions (Solar)'!$V$13),PPMT('Assumptions (Solar)'!$V$10,Model!AD$1,'Assumptions (Solar)'!$V$13,'Assumptions (Solar)'!$V$8*Model!$K$902*('Assumptions (Solar)'!$I$20*'Assumptions (Solar)'!$I$2+'Assumptions (Solar)'!$I$21*'Assumptions (Solar)'!$I$3)/10^9),0)</f>
        <v>-0.001647903436</v>
      </c>
      <c r="S967" s="160">
        <f>IF(and($K$902&gt;0,Model!AE$1&lt;='Assumptions (Solar)'!$V$13),PPMT('Assumptions (Solar)'!$V$10,Model!AE$1,'Assumptions (Solar)'!$V$13,'Assumptions (Solar)'!$V$8*Model!$K$902*('Assumptions (Solar)'!$I$20*'Assumptions (Solar)'!$I$2+'Assumptions (Solar)'!$I$21*'Assumptions (Solar)'!$I$3)/10^9),0)</f>
        <v>-0.00177973571</v>
      </c>
      <c r="T967" s="160">
        <f>IF(and($K$902&gt;0,Model!AF$1&lt;='Assumptions (Solar)'!$V$13),PPMT('Assumptions (Solar)'!$V$10,Model!AF$1,'Assumptions (Solar)'!$V$13,'Assumptions (Solar)'!$V$8*Model!$K$902*('Assumptions (Solar)'!$I$20*'Assumptions (Solar)'!$I$2+'Assumptions (Solar)'!$I$21*'Assumptions (Solar)'!$I$3)/10^9),0)</f>
        <v>-0.001922114567</v>
      </c>
      <c r="U967" s="160"/>
      <c r="V967" s="160"/>
      <c r="W967" s="160"/>
      <c r="X967" s="160"/>
      <c r="Y967" s="160"/>
      <c r="Z967" s="160"/>
      <c r="AA967" s="160"/>
      <c r="AB967" s="160"/>
      <c r="AC967" s="160"/>
      <c r="AD967" s="160"/>
      <c r="AE967" s="160"/>
      <c r="AF967" s="160"/>
      <c r="AG967" s="160"/>
      <c r="AH967" s="160"/>
      <c r="AI967" s="160"/>
      <c r="AU967" s="160"/>
      <c r="AV967" s="160"/>
      <c r="AW967" s="160"/>
      <c r="AX967" s="160"/>
      <c r="AY967" s="160"/>
      <c r="AZ967" s="160"/>
      <c r="BA967" s="160"/>
    </row>
    <row r="968" ht="15.75" hidden="1" customHeight="1" outlineLevel="1">
      <c r="A968" s="255"/>
      <c r="B968" s="38"/>
      <c r="C968" s="160"/>
      <c r="D968" s="160"/>
      <c r="E968" s="160"/>
      <c r="F968" s="160"/>
      <c r="G968" s="160"/>
      <c r="H968" s="160"/>
      <c r="I968" s="160"/>
      <c r="J968" s="160"/>
      <c r="K968" s="160"/>
      <c r="L968" s="160">
        <f>IF(and($L$902&gt;0,Model!W$1&lt;='Assumptions (Solar)'!$V$13),PPMT('Assumptions (Solar)'!$V$10,Model!W$1,'Assumptions (Solar)'!$V$13,'Assumptions (Solar)'!$V$8*Model!$L$902*('Assumptions (Solar)'!$J$20*'Assumptions (Solar)'!$J$2+'Assumptions (Solar)'!$J$21*'Assumptions (Solar)'!$J$3)/10^9),0)</f>
        <v>0</v>
      </c>
      <c r="M968" s="160">
        <f>IF(and($L$902&gt;0,Model!X$1&lt;='Assumptions (Solar)'!$V$13),PPMT('Assumptions (Solar)'!$V$10,Model!X$1,'Assumptions (Solar)'!$V$13,'Assumptions (Solar)'!$V$8*Model!$L$902*('Assumptions (Solar)'!$J$20*'Assumptions (Solar)'!$J$2+'Assumptions (Solar)'!$J$21*'Assumptions (Solar)'!$J$3)/10^9),0)</f>
        <v>0</v>
      </c>
      <c r="N968" s="160">
        <f>IF(and($L$902&gt;0,Model!Y$1&lt;='Assumptions (Solar)'!$V$13),PPMT('Assumptions (Solar)'!$V$10,Model!Y$1,'Assumptions (Solar)'!$V$13,'Assumptions (Solar)'!$V$8*Model!$L$902*('Assumptions (Solar)'!$J$20*'Assumptions (Solar)'!$J$2+'Assumptions (Solar)'!$J$21*'Assumptions (Solar)'!$J$3)/10^9),0)</f>
        <v>0</v>
      </c>
      <c r="O968" s="160">
        <f>IF(and($L$902&gt;0,Model!Z$1&lt;='Assumptions (Solar)'!$V$13),PPMT('Assumptions (Solar)'!$V$10,Model!Z$1,'Assumptions (Solar)'!$V$13,'Assumptions (Solar)'!$V$8*Model!$L$902*('Assumptions (Solar)'!$J$20*'Assumptions (Solar)'!$J$2+'Assumptions (Solar)'!$J$21*'Assumptions (Solar)'!$J$3)/10^9),0)</f>
        <v>0</v>
      </c>
      <c r="P968" s="160">
        <f>IF(and($L$902&gt;0,Model!AA$1&lt;='Assumptions (Solar)'!$V$13),PPMT('Assumptions (Solar)'!$V$10,Model!AA$1,'Assumptions (Solar)'!$V$13,'Assumptions (Solar)'!$V$8*Model!$L$902*('Assumptions (Solar)'!$J$20*'Assumptions (Solar)'!$J$2+'Assumptions (Solar)'!$J$21*'Assumptions (Solar)'!$J$3)/10^9),0)</f>
        <v>0</v>
      </c>
      <c r="Q968" s="160">
        <f>IF(and($L$902&gt;0,Model!AB$1&lt;='Assumptions (Solar)'!$V$13),PPMT('Assumptions (Solar)'!$V$10,Model!AB$1,'Assumptions (Solar)'!$V$13,'Assumptions (Solar)'!$V$8*Model!$L$902*('Assumptions (Solar)'!$J$20*'Assumptions (Solar)'!$J$2+'Assumptions (Solar)'!$J$21*'Assumptions (Solar)'!$J$3)/10^9),0)</f>
        <v>0</v>
      </c>
      <c r="R968" s="160">
        <f>IF(and($L$902&gt;0,Model!AC$1&lt;='Assumptions (Solar)'!$V$13),PPMT('Assumptions (Solar)'!$V$10,Model!AC$1,'Assumptions (Solar)'!$V$13,'Assumptions (Solar)'!$V$8*Model!$L$902*('Assumptions (Solar)'!$J$20*'Assumptions (Solar)'!$J$2+'Assumptions (Solar)'!$J$21*'Assumptions (Solar)'!$J$3)/10^9),0)</f>
        <v>0</v>
      </c>
      <c r="S968" s="160">
        <f>IF(and($L$902&gt;0,Model!AD$1&lt;='Assumptions (Solar)'!$V$13),PPMT('Assumptions (Solar)'!$V$10,Model!AD$1,'Assumptions (Solar)'!$V$13,'Assumptions (Solar)'!$V$8*Model!$L$902*('Assumptions (Solar)'!$J$20*'Assumptions (Solar)'!$J$2+'Assumptions (Solar)'!$J$21*'Assumptions (Solar)'!$J$3)/10^9),0)</f>
        <v>0</v>
      </c>
      <c r="T968" s="160">
        <f>IF(and($L$902&gt;0,Model!AE$1&lt;='Assumptions (Solar)'!$V$13),PPMT('Assumptions (Solar)'!$V$10,Model!AE$1,'Assumptions (Solar)'!$V$13,'Assumptions (Solar)'!$V$8*Model!$L$902*('Assumptions (Solar)'!$J$20*'Assumptions (Solar)'!$J$2+'Assumptions (Solar)'!$J$21*'Assumptions (Solar)'!$J$3)/10^9),0)</f>
        <v>0</v>
      </c>
      <c r="U968" s="160">
        <f>IF(and($L$902&gt;0,Model!AF$1&lt;='Assumptions (Solar)'!$V$13),PPMT('Assumptions (Solar)'!$V$10,Model!AF$1,'Assumptions (Solar)'!$V$13,'Assumptions (Solar)'!$V$8*Model!$L$902*('Assumptions (Solar)'!$J$20*'Assumptions (Solar)'!$J$2+'Assumptions (Solar)'!$J$21*'Assumptions (Solar)'!$J$3)/10^9),0)</f>
        <v>0</v>
      </c>
      <c r="V968" s="160"/>
      <c r="W968" s="160"/>
      <c r="X968" s="160"/>
      <c r="Y968" s="160"/>
      <c r="Z968" s="160"/>
      <c r="AA968" s="160"/>
      <c r="AB968" s="160"/>
      <c r="AC968" s="160"/>
      <c r="AD968" s="160"/>
      <c r="AE968" s="160"/>
      <c r="AF968" s="160"/>
      <c r="AG968" s="160"/>
      <c r="AH968" s="160"/>
      <c r="AI968" s="160"/>
      <c r="AJ968" s="160"/>
      <c r="AU968" s="160"/>
      <c r="AV968" s="160"/>
      <c r="AW968" s="160"/>
      <c r="AX968" s="160"/>
      <c r="AY968" s="160"/>
      <c r="AZ968" s="160"/>
      <c r="BA968" s="160"/>
    </row>
    <row r="969" ht="15.75" hidden="1" customHeight="1" outlineLevel="1">
      <c r="A969" s="255"/>
      <c r="B969" s="38"/>
      <c r="C969" s="160"/>
      <c r="D969" s="160"/>
      <c r="E969" s="160"/>
      <c r="F969" s="160"/>
      <c r="G969" s="160"/>
      <c r="H969" s="160"/>
      <c r="I969" s="160"/>
      <c r="J969" s="160"/>
      <c r="K969" s="160"/>
      <c r="L969" s="160"/>
      <c r="M969" s="160">
        <f>IF(and($M$902&gt;0,Model!W$1&lt;='Assumptions (Solar)'!$V$13),PPMT('Assumptions (Solar)'!$V$10,Model!W$1,'Assumptions (Solar)'!$V$13,'Assumptions (Solar)'!$V$8*Model!$M$902*('Assumptions (Solar)'!$K$20*'Assumptions (Solar)'!$K$2+'Assumptions (Solar)'!$K$21*'Assumptions (Solar)'!$K$3)/10^9),0)</f>
        <v>-0.002127320801</v>
      </c>
      <c r="N969" s="160">
        <f>IF(and($M$902&gt;0,Model!X$1&lt;='Assumptions (Solar)'!$V$13),PPMT('Assumptions (Solar)'!$V$10,Model!X$1,'Assumptions (Solar)'!$V$13,'Assumptions (Solar)'!$V$8*Model!$M$902*('Assumptions (Solar)'!$K$20*'Assumptions (Solar)'!$K$2+'Assumptions (Solar)'!$K$21*'Assumptions (Solar)'!$K$3)/10^9),0)</f>
        <v>-0.002297506465</v>
      </c>
      <c r="O969" s="160">
        <f>IF(and($M$902&gt;0,Model!Y$1&lt;='Assumptions (Solar)'!$V$13),PPMT('Assumptions (Solar)'!$V$10,Model!Y$1,'Assumptions (Solar)'!$V$13,'Assumptions (Solar)'!$V$8*Model!$M$902*('Assumptions (Solar)'!$K$20*'Assumptions (Solar)'!$K$2+'Assumptions (Solar)'!$K$21*'Assumptions (Solar)'!$K$3)/10^9),0)</f>
        <v>-0.002481306982</v>
      </c>
      <c r="P969" s="160">
        <f>IF(and($M$902&gt;0,Model!Z$1&lt;='Assumptions (Solar)'!$V$13),PPMT('Assumptions (Solar)'!$V$10,Model!Z$1,'Assumptions (Solar)'!$V$13,'Assumptions (Solar)'!$V$8*Model!$M$902*('Assumptions (Solar)'!$K$20*'Assumptions (Solar)'!$K$2+'Assumptions (Solar)'!$K$21*'Assumptions (Solar)'!$K$3)/10^9),0)</f>
        <v>-0.002679811541</v>
      </c>
      <c r="Q969" s="160">
        <f>IF(and($M$902&gt;0,Model!AA$1&lt;='Assumptions (Solar)'!$V$13),PPMT('Assumptions (Solar)'!$V$10,Model!AA$1,'Assumptions (Solar)'!$V$13,'Assumptions (Solar)'!$V$8*Model!$M$902*('Assumptions (Solar)'!$K$20*'Assumptions (Solar)'!$K$2+'Assumptions (Solar)'!$K$21*'Assumptions (Solar)'!$K$3)/10^9),0)</f>
        <v>-0.002894196464</v>
      </c>
      <c r="R969" s="160">
        <f>IF(and($M$902&gt;0,Model!AB$1&lt;='Assumptions (Solar)'!$V$13),PPMT('Assumptions (Solar)'!$V$10,Model!AB$1,'Assumptions (Solar)'!$V$13,'Assumptions (Solar)'!$V$8*Model!$M$902*('Assumptions (Solar)'!$K$20*'Assumptions (Solar)'!$K$2+'Assumptions (Solar)'!$K$21*'Assumptions (Solar)'!$K$3)/10^9),0)</f>
        <v>-0.003125732181</v>
      </c>
      <c r="S969" s="160">
        <f>IF(and($M$902&gt;0,Model!AC$1&lt;='Assumptions (Solar)'!$V$13),PPMT('Assumptions (Solar)'!$V$10,Model!AC$1,'Assumptions (Solar)'!$V$13,'Assumptions (Solar)'!$V$8*Model!$M$902*('Assumptions (Solar)'!$K$20*'Assumptions (Solar)'!$K$2+'Assumptions (Solar)'!$K$21*'Assumptions (Solar)'!$K$3)/10^9),0)</f>
        <v>-0.003375790756</v>
      </c>
      <c r="T969" s="160">
        <f>IF(and($M$902&gt;0,Model!AD$1&lt;='Assumptions (Solar)'!$V$13),PPMT('Assumptions (Solar)'!$V$10,Model!AD$1,'Assumptions (Solar)'!$V$13,'Assumptions (Solar)'!$V$8*Model!$M$902*('Assumptions (Solar)'!$K$20*'Assumptions (Solar)'!$K$2+'Assumptions (Solar)'!$K$21*'Assumptions (Solar)'!$K$3)/10^9),0)</f>
        <v>-0.003645854016</v>
      </c>
      <c r="U969" s="160">
        <f>IF(and($M$902&gt;0,Model!AE$1&lt;='Assumptions (Solar)'!$V$13),PPMT('Assumptions (Solar)'!$V$10,Model!AE$1,'Assumptions (Solar)'!$V$13,'Assumptions (Solar)'!$V$8*Model!$M$902*('Assumptions (Solar)'!$K$20*'Assumptions (Solar)'!$K$2+'Assumptions (Solar)'!$K$21*'Assumptions (Solar)'!$K$3)/10^9),0)</f>
        <v>-0.003937522337</v>
      </c>
      <c r="V969" s="160">
        <f>IF(and($M$902&gt;0,Model!AF$1&lt;='Assumptions (Solar)'!$V$13),PPMT('Assumptions (Solar)'!$V$10,Model!AF$1,'Assumptions (Solar)'!$V$13,'Assumptions (Solar)'!$V$8*Model!$M$902*('Assumptions (Solar)'!$K$20*'Assumptions (Solar)'!$K$2+'Assumptions (Solar)'!$K$21*'Assumptions (Solar)'!$K$3)/10^9),0)</f>
        <v>-0.004252524124</v>
      </c>
      <c r="W969" s="160"/>
      <c r="X969" s="160"/>
      <c r="Y969" s="160"/>
      <c r="Z969" s="160"/>
      <c r="AA969" s="160"/>
      <c r="AB969" s="160"/>
      <c r="AC969" s="160"/>
      <c r="AD969" s="160"/>
      <c r="AE969" s="160"/>
      <c r="AF969" s="160"/>
      <c r="AG969" s="160"/>
      <c r="AH969" s="160"/>
      <c r="AI969" s="160"/>
      <c r="AJ969" s="160"/>
      <c r="AK969" s="160"/>
      <c r="AU969" s="160"/>
      <c r="AV969" s="160"/>
      <c r="AW969" s="160"/>
      <c r="AX969" s="160"/>
      <c r="AY969" s="160"/>
      <c r="AZ969" s="160"/>
      <c r="BA969" s="160"/>
    </row>
    <row r="970" ht="15.75" hidden="1" customHeight="1" outlineLevel="1">
      <c r="A970" s="255"/>
      <c r="B970" s="38"/>
      <c r="C970" s="160"/>
      <c r="D970" s="160"/>
      <c r="E970" s="160"/>
      <c r="F970" s="160"/>
      <c r="G970" s="160"/>
      <c r="H970" s="160"/>
      <c r="I970" s="160"/>
      <c r="J970" s="160"/>
      <c r="K970" s="160"/>
      <c r="L970" s="160"/>
      <c r="M970" s="160"/>
      <c r="N970" s="177">
        <f>IF(and($N$902&gt;0,Model!W$1&lt;='Assumptions (Solar)'!$V$13),PPMT('Assumptions (Solar)'!$V$10,Model!W$1,'Assumptions (Solar)'!$V$13,'Assumptions (Solar)'!$V$8*Model!$N$902*('Assumptions (Solar)'!$L$20*'Assumptions (Solar)'!$L$2+'Assumptions (Solar)'!$L$21*'Assumptions (Solar)'!$L$3)/10^9),0)</f>
        <v>-0.006204335589</v>
      </c>
      <c r="O970" s="177">
        <f>IF(and($N$902&gt;0,Model!X$1&lt;='Assumptions (Solar)'!$V$13),PPMT('Assumptions (Solar)'!$V$10,Model!X$1,'Assumptions (Solar)'!$V$13,'Assumptions (Solar)'!$V$8*Model!$N$902*('Assumptions (Solar)'!$L$20*'Assumptions (Solar)'!$L$2+'Assumptions (Solar)'!$L$21*'Assumptions (Solar)'!$L$3)/10^9),0)</f>
        <v>-0.006700682436</v>
      </c>
      <c r="P970" s="177">
        <f>IF(and($N$902&gt;0,Model!Y$1&lt;='Assumptions (Solar)'!$V$13),PPMT('Assumptions (Solar)'!$V$10,Model!Y$1,'Assumptions (Solar)'!$V$13,'Assumptions (Solar)'!$V$8*Model!$N$902*('Assumptions (Solar)'!$L$20*'Assumptions (Solar)'!$L$2+'Assumptions (Solar)'!$L$21*'Assumptions (Solar)'!$L$3)/10^9),0)</f>
        <v>-0.007236737031</v>
      </c>
      <c r="Q970" s="177">
        <f>IF(and($N$902&gt;0,Model!Z$1&lt;='Assumptions (Solar)'!$V$13),PPMT('Assumptions (Solar)'!$V$10,Model!Z$1,'Assumptions (Solar)'!$V$13,'Assumptions (Solar)'!$V$8*Model!$N$902*('Assumptions (Solar)'!$L$20*'Assumptions (Solar)'!$L$2+'Assumptions (Solar)'!$L$21*'Assumptions (Solar)'!$L$3)/10^9),0)</f>
        <v>-0.007815675993</v>
      </c>
      <c r="R970" s="177">
        <f>IF(and($N$902&gt;0,Model!AA$1&lt;='Assumptions (Solar)'!$V$13),PPMT('Assumptions (Solar)'!$V$10,Model!AA$1,'Assumptions (Solar)'!$V$13,'Assumptions (Solar)'!$V$8*Model!$N$902*('Assumptions (Solar)'!$L$20*'Assumptions (Solar)'!$L$2+'Assumptions (Solar)'!$L$21*'Assumptions (Solar)'!$L$3)/10^9),0)</f>
        <v>-0.008440930073</v>
      </c>
      <c r="S970" s="177">
        <f>IF(and($N$902&gt;0,Model!AB$1&lt;='Assumptions (Solar)'!$V$13),PPMT('Assumptions (Solar)'!$V$10,Model!AB$1,'Assumptions (Solar)'!$V$13,'Assumptions (Solar)'!$V$8*Model!$N$902*('Assumptions (Solar)'!$L$20*'Assumptions (Solar)'!$L$2+'Assumptions (Solar)'!$L$21*'Assumptions (Solar)'!$L$3)/10^9),0)</f>
        <v>-0.009116204478</v>
      </c>
      <c r="T970" s="177">
        <f>IF(and($N$902&gt;0,Model!AC$1&lt;='Assumptions (Solar)'!$V$13),PPMT('Assumptions (Solar)'!$V$10,Model!AC$1,'Assumptions (Solar)'!$V$13,'Assumptions (Solar)'!$V$8*Model!$N$902*('Assumptions (Solar)'!$L$20*'Assumptions (Solar)'!$L$2+'Assumptions (Solar)'!$L$21*'Assumptions (Solar)'!$L$3)/10^9),0)</f>
        <v>-0.009845500837</v>
      </c>
      <c r="U970" s="177">
        <f>IF(and($N$902&gt;0,Model!AD$1&lt;='Assumptions (Solar)'!$V$13),PPMT('Assumptions (Solar)'!$V$10,Model!AD$1,'Assumptions (Solar)'!$V$13,'Assumptions (Solar)'!$V$8*Model!$N$902*('Assumptions (Solar)'!$L$20*'Assumptions (Solar)'!$L$2+'Assumptions (Solar)'!$L$21*'Assumptions (Solar)'!$L$3)/10^9),0)</f>
        <v>-0.0106331409</v>
      </c>
      <c r="V970" s="177">
        <f>IF(and($N$902&gt;0,Model!AE$1&lt;='Assumptions (Solar)'!$V$13),PPMT('Assumptions (Solar)'!$V$10,Model!AE$1,'Assumptions (Solar)'!$V$13,'Assumptions (Solar)'!$V$8*Model!$N$902*('Assumptions (Solar)'!$L$20*'Assumptions (Solar)'!$L$2+'Assumptions (Solar)'!$L$21*'Assumptions (Solar)'!$L$3)/10^9),0)</f>
        <v>-0.01148379218</v>
      </c>
      <c r="W970" s="177">
        <f>IF(and($N$902&gt;0,Model!AF$1&lt;='Assumptions (Solar)'!$V$13),PPMT('Assumptions (Solar)'!$V$10,Model!AF$1,'Assumptions (Solar)'!$V$13,'Assumptions (Solar)'!$V$8*Model!$N$902*('Assumptions (Solar)'!$L$20*'Assumptions (Solar)'!$L$2+'Assumptions (Solar)'!$L$21*'Assumptions (Solar)'!$L$3)/10^9),0)</f>
        <v>-0.01240249555</v>
      </c>
      <c r="X970" s="177"/>
      <c r="Y970" s="177"/>
      <c r="Z970" s="177"/>
      <c r="AA970" s="177"/>
      <c r="AB970" s="177"/>
      <c r="AC970" s="177"/>
      <c r="AD970" s="177"/>
      <c r="AE970" s="177"/>
      <c r="AF970" s="177"/>
      <c r="AG970" s="177"/>
      <c r="AH970" s="177"/>
      <c r="AI970" s="177"/>
      <c r="AJ970" s="177"/>
      <c r="AK970" s="177"/>
      <c r="AL970" s="177"/>
      <c r="AU970" s="160"/>
      <c r="AV970" s="160"/>
      <c r="AW970" s="160"/>
      <c r="AX970" s="160"/>
      <c r="AY970" s="160"/>
      <c r="AZ970" s="160"/>
      <c r="BA970" s="160"/>
    </row>
    <row r="971" ht="15.75" hidden="1" customHeight="1" outlineLevel="1">
      <c r="A971" s="255"/>
      <c r="B971" s="38"/>
      <c r="C971" s="160"/>
      <c r="D971" s="160"/>
      <c r="E971" s="160"/>
      <c r="F971" s="160"/>
      <c r="G971" s="160"/>
      <c r="H971" s="160"/>
      <c r="I971" s="160"/>
      <c r="J971" s="160"/>
      <c r="K971" s="160"/>
      <c r="L971" s="160"/>
      <c r="M971" s="160"/>
      <c r="N971" s="160"/>
      <c r="O971" s="160">
        <f>IF(and($O$902&gt;0,Model!W$1&lt;='Assumptions (Solar)'!$V$13),PPMT('Assumptions (Solar)'!$V$10,Model!W$1,'Assumptions (Solar)'!$V$13,'Assumptions (Solar)'!$V$8*Model!$O$902*('Assumptions (Solar)'!$M$20*'Assumptions (Solar)'!$M$2+'Assumptions (Solar)'!$M$21*'Assumptions (Solar)'!$M$3)/10^9),0)</f>
        <v>-0.02411721887</v>
      </c>
      <c r="P971" s="160">
        <f>IF(and($O$902&gt;0,Model!X$1&lt;='Assumptions (Solar)'!$V$13),PPMT('Assumptions (Solar)'!$V$10,Model!X$1,'Assumptions (Solar)'!$V$13,'Assumptions (Solar)'!$V$8*Model!$O$902*('Assumptions (Solar)'!$M$20*'Assumptions (Solar)'!$M$2+'Assumptions (Solar)'!$M$21*'Assumptions (Solar)'!$M$3)/10^9),0)</f>
        <v>-0.02604659638</v>
      </c>
      <c r="Q971" s="160">
        <f>IF(and($O$902&gt;0,Model!Y$1&lt;='Assumptions (Solar)'!$V$13),PPMT('Assumptions (Solar)'!$V$10,Model!Y$1,'Assumptions (Solar)'!$V$13,'Assumptions (Solar)'!$V$8*Model!$O$902*('Assumptions (Solar)'!$M$20*'Assumptions (Solar)'!$M$2+'Assumptions (Solar)'!$M$21*'Assumptions (Solar)'!$M$3)/10^9),0)</f>
        <v>-0.02813032409</v>
      </c>
      <c r="R971" s="160">
        <f>IF(and($O$902&gt;0,Model!Z$1&lt;='Assumptions (Solar)'!$V$13),PPMT('Assumptions (Solar)'!$V$10,Model!Z$1,'Assumptions (Solar)'!$V$13,'Assumptions (Solar)'!$V$8*Model!$O$902*('Assumptions (Solar)'!$M$20*'Assumptions (Solar)'!$M$2+'Assumptions (Solar)'!$M$21*'Assumptions (Solar)'!$M$3)/10^9),0)</f>
        <v>-0.03038075002</v>
      </c>
      <c r="S971" s="160">
        <f>IF(and($O$902&gt;0,Model!AA$1&lt;='Assumptions (Solar)'!$V$13),PPMT('Assumptions (Solar)'!$V$10,Model!AA$1,'Assumptions (Solar)'!$V$13,'Assumptions (Solar)'!$V$8*Model!$O$902*('Assumptions (Solar)'!$M$20*'Assumptions (Solar)'!$M$2+'Assumptions (Solar)'!$M$21*'Assumptions (Solar)'!$M$3)/10^9),0)</f>
        <v>-0.03281121002</v>
      </c>
      <c r="T971" s="160">
        <f>IF(and($O$902&gt;0,Model!AB$1&lt;='Assumptions (Solar)'!$V$13),PPMT('Assumptions (Solar)'!$V$10,Model!AB$1,'Assumptions (Solar)'!$V$13,'Assumptions (Solar)'!$V$8*Model!$O$902*('Assumptions (Solar)'!$M$20*'Assumptions (Solar)'!$M$2+'Assumptions (Solar)'!$M$21*'Assumptions (Solar)'!$M$3)/10^9),0)</f>
        <v>-0.03543610683</v>
      </c>
      <c r="U971" s="160">
        <f>IF(and($O$902&gt;0,Model!AC$1&lt;='Assumptions (Solar)'!$V$13),PPMT('Assumptions (Solar)'!$V$10,Model!AC$1,'Assumptions (Solar)'!$V$13,'Assumptions (Solar)'!$V$8*Model!$O$902*('Assumptions (Solar)'!$M$20*'Assumptions (Solar)'!$M$2+'Assumptions (Solar)'!$M$21*'Assumptions (Solar)'!$M$3)/10^9),0)</f>
        <v>-0.03827099537</v>
      </c>
      <c r="V971" s="160">
        <f>IF(and($O$902&gt;0,Model!AD$1&lt;='Assumptions (Solar)'!$V$13),PPMT('Assumptions (Solar)'!$V$10,Model!AD$1,'Assumptions (Solar)'!$V$13,'Assumptions (Solar)'!$V$8*Model!$O$902*('Assumptions (Solar)'!$M$20*'Assumptions (Solar)'!$M$2+'Assumptions (Solar)'!$M$21*'Assumptions (Solar)'!$M$3)/10^9),0)</f>
        <v>-0.041332675</v>
      </c>
      <c r="W971" s="160">
        <f>IF(and($O$902&gt;0,Model!AE$1&lt;='Assumptions (Solar)'!$V$13),PPMT('Assumptions (Solar)'!$V$10,Model!AE$1,'Assumptions (Solar)'!$V$13,'Assumptions (Solar)'!$V$8*Model!$O$902*('Assumptions (Solar)'!$M$20*'Assumptions (Solar)'!$M$2+'Assumptions (Solar)'!$M$21*'Assumptions (Solar)'!$M$3)/10^9),0)</f>
        <v>-0.044639289</v>
      </c>
      <c r="X971" s="160">
        <f>IF(and($O$902&gt;0,Model!AF$1&lt;='Assumptions (Solar)'!$V$13),PPMT('Assumptions (Solar)'!$V$10,Model!AF$1,'Assumptions (Solar)'!$V$13,'Assumptions (Solar)'!$V$8*Model!$O$902*('Assumptions (Solar)'!$M$20*'Assumptions (Solar)'!$M$2+'Assumptions (Solar)'!$M$21*'Assumptions (Solar)'!$M$3)/10^9),0)</f>
        <v>-0.04821043212</v>
      </c>
      <c r="Y971" s="160"/>
      <c r="Z971" s="160"/>
      <c r="AA971" s="160"/>
      <c r="AB971" s="160"/>
      <c r="AC971" s="160"/>
      <c r="AD971" s="160"/>
      <c r="AE971" s="160"/>
      <c r="AF971" s="160"/>
      <c r="AG971" s="160"/>
      <c r="AH971" s="160"/>
      <c r="AI971" s="160"/>
      <c r="AJ971" s="160"/>
      <c r="AK971" s="160"/>
      <c r="AL971" s="160"/>
      <c r="AM971" s="160"/>
      <c r="AU971" s="160"/>
      <c r="AV971" s="160"/>
      <c r="AW971" s="160"/>
      <c r="AX971" s="160"/>
      <c r="AY971" s="160"/>
      <c r="AZ971" s="160"/>
      <c r="BA971" s="160"/>
    </row>
    <row r="972" ht="15.75" hidden="1" customHeight="1" outlineLevel="1">
      <c r="A972" s="255"/>
      <c r="B972" s="38"/>
      <c r="C972" s="160"/>
      <c r="D972" s="160"/>
      <c r="E972" s="160"/>
      <c r="F972" s="160"/>
      <c r="G972" s="160"/>
      <c r="H972" s="160"/>
      <c r="I972" s="160"/>
      <c r="J972" s="160"/>
      <c r="K972" s="160"/>
      <c r="L972" s="160"/>
      <c r="M972" s="160"/>
      <c r="N972" s="160"/>
      <c r="O972" s="160"/>
      <c r="P972" s="177">
        <f>IF(and($P$902&gt;0,Model!W$1&lt;='Assumptions (Solar)'!$V$13),PPMT('Assumptions (Solar)'!$V$10,Model!W$1,'Assumptions (Solar)'!$V$13,'Assumptions (Solar)'!$V$8*Model!$P$902*('Assumptions (Solar)'!$N$20*'Assumptions (Solar)'!$N$2+'Assumptions (Solar)'!$N$21*'Assumptions (Solar)'!$N$3)/10^9),0)</f>
        <v>-0.05090176937</v>
      </c>
      <c r="Q972" s="177">
        <f>IF(and($P$902&gt;0,Model!X$1&lt;='Assumptions (Solar)'!$V$13),PPMT('Assumptions (Solar)'!$V$10,Model!X$1,'Assumptions (Solar)'!$V$13,'Assumptions (Solar)'!$V$8*Model!$P$902*('Assumptions (Solar)'!$N$20*'Assumptions (Solar)'!$N$2+'Assumptions (Solar)'!$N$21*'Assumptions (Solar)'!$N$3)/10^9),0)</f>
        <v>-0.05497391092</v>
      </c>
      <c r="R972" s="177">
        <f>IF(and($P$902&gt;0,Model!Y$1&lt;='Assumptions (Solar)'!$V$13),PPMT('Assumptions (Solar)'!$V$10,Model!Y$1,'Assumptions (Solar)'!$V$13,'Assumptions (Solar)'!$V$8*Model!$P$902*('Assumptions (Solar)'!$N$20*'Assumptions (Solar)'!$N$2+'Assumptions (Solar)'!$N$21*'Assumptions (Solar)'!$N$3)/10^9),0)</f>
        <v>-0.0593718238</v>
      </c>
      <c r="S972" s="177">
        <f>IF(and($P$902&gt;0,Model!Z$1&lt;='Assumptions (Solar)'!$V$13),PPMT('Assumptions (Solar)'!$V$10,Model!Z$1,'Assumptions (Solar)'!$V$13,'Assumptions (Solar)'!$V$8*Model!$P$902*('Assumptions (Solar)'!$N$20*'Assumptions (Solar)'!$N$2+'Assumptions (Solar)'!$N$21*'Assumptions (Solar)'!$N$3)/10^9),0)</f>
        <v>-0.0641215697</v>
      </c>
      <c r="T972" s="177">
        <f>IF(and($P$902&gt;0,Model!AA$1&lt;='Assumptions (Solar)'!$V$13),PPMT('Assumptions (Solar)'!$V$10,Model!AA$1,'Assumptions (Solar)'!$V$13,'Assumptions (Solar)'!$V$8*Model!$P$902*('Assumptions (Solar)'!$N$20*'Assumptions (Solar)'!$N$2+'Assumptions (Solar)'!$N$21*'Assumptions (Solar)'!$N$3)/10^9),0)</f>
        <v>-0.06925129528</v>
      </c>
      <c r="U972" s="177">
        <f>IF(and($P$902&gt;0,Model!AB$1&lt;='Assumptions (Solar)'!$V$13),PPMT('Assumptions (Solar)'!$V$10,Model!AB$1,'Assumptions (Solar)'!$V$13,'Assumptions (Solar)'!$V$8*Model!$P$902*('Assumptions (Solar)'!$N$20*'Assumptions (Solar)'!$N$2+'Assumptions (Solar)'!$N$21*'Assumptions (Solar)'!$N$3)/10^9),0)</f>
        <v>-0.0747913989</v>
      </c>
      <c r="V972" s="177">
        <f>IF(and($P$902&gt;0,Model!AC$1&lt;='Assumptions (Solar)'!$V$13),PPMT('Assumptions (Solar)'!$V$10,Model!AC$1,'Assumptions (Solar)'!$V$13,'Assumptions (Solar)'!$V$8*Model!$P$902*('Assumptions (Solar)'!$N$20*'Assumptions (Solar)'!$N$2+'Assumptions (Solar)'!$N$21*'Assumptions (Solar)'!$N$3)/10^9),0)</f>
        <v>-0.08077471081</v>
      </c>
      <c r="W972" s="177">
        <f>IF(and($P$902&gt;0,Model!AD$1&lt;='Assumptions (Solar)'!$V$13),PPMT('Assumptions (Solar)'!$V$10,Model!AD$1,'Assumptions (Solar)'!$V$13,'Assumptions (Solar)'!$V$8*Model!$P$902*('Assumptions (Solar)'!$N$20*'Assumptions (Solar)'!$N$2+'Assumptions (Solar)'!$N$21*'Assumptions (Solar)'!$N$3)/10^9),0)</f>
        <v>-0.08723668768</v>
      </c>
      <c r="X972" s="177">
        <f>IF(and($P$902&gt;0,Model!AE$1&lt;='Assumptions (Solar)'!$V$13),PPMT('Assumptions (Solar)'!$V$10,Model!AE$1,'Assumptions (Solar)'!$V$13,'Assumptions (Solar)'!$V$8*Model!$P$902*('Assumptions (Solar)'!$N$20*'Assumptions (Solar)'!$N$2+'Assumptions (Solar)'!$N$21*'Assumptions (Solar)'!$N$3)/10^9),0)</f>
        <v>-0.09421562269</v>
      </c>
      <c r="Y972" s="177">
        <f>IF(and($P$902&gt;0,Model!AF$1&lt;='Assumptions (Solar)'!$V$13),PPMT('Assumptions (Solar)'!$V$10,Model!AF$1,'Assumptions (Solar)'!$V$13,'Assumptions (Solar)'!$V$8*Model!$P$902*('Assumptions (Solar)'!$N$20*'Assumptions (Solar)'!$N$2+'Assumptions (Solar)'!$N$21*'Assumptions (Solar)'!$N$3)/10^9),0)</f>
        <v>-0.1017528725</v>
      </c>
      <c r="Z972" s="177"/>
      <c r="AA972" s="177"/>
      <c r="AB972" s="177"/>
      <c r="AC972" s="177"/>
      <c r="AD972" s="177"/>
      <c r="AE972" s="177"/>
      <c r="AF972" s="177"/>
      <c r="AG972" s="177"/>
      <c r="AH972" s="177"/>
      <c r="AI972" s="177"/>
      <c r="AJ972" s="177"/>
      <c r="AK972" s="177"/>
      <c r="AL972" s="177"/>
      <c r="AM972" s="177"/>
      <c r="AN972" s="177"/>
      <c r="AU972" s="160"/>
      <c r="AV972" s="160"/>
      <c r="AW972" s="160"/>
      <c r="AX972" s="160"/>
      <c r="AY972" s="160"/>
      <c r="AZ972" s="160"/>
      <c r="BA972" s="160"/>
    </row>
    <row r="973" ht="15.75" hidden="1" customHeight="1" outlineLevel="1">
      <c r="A973" s="255"/>
      <c r="B973" s="38"/>
      <c r="C973" s="160"/>
      <c r="D973" s="160"/>
      <c r="E973" s="160"/>
      <c r="F973" s="160"/>
      <c r="G973" s="160"/>
      <c r="H973" s="160"/>
      <c r="I973" s="160"/>
      <c r="J973" s="160"/>
      <c r="K973" s="160"/>
      <c r="L973" s="160"/>
      <c r="M973" s="160"/>
      <c r="N973" s="160"/>
      <c r="O973" s="160"/>
      <c r="P973" s="179"/>
      <c r="Q973" s="160">
        <f>IF(and($Q$902&gt;0,Model!W$1&lt;='Assumptions (Solar)'!$V$13),PPMT('Assumptions (Solar)'!$V$10,Model!W$1,'Assumptions (Solar)'!$V$13,'Assumptions (Solar)'!$V$8*Model!$Q$902*('Assumptions (Solar)'!$O$20*'Assumptions (Solar)'!$O$2+'Assumptions (Solar)'!$O$21*'Assumptions (Solar)'!$O$3)/10^9),0)</f>
        <v>-0.07166780168</v>
      </c>
      <c r="R973" s="160">
        <f>IF(and($Q$902&gt;0,Model!X$1&lt;='Assumptions (Solar)'!$V$13),PPMT('Assumptions (Solar)'!$V$10,Model!X$1,'Assumptions (Solar)'!$V$13,'Assumptions (Solar)'!$V$8*Model!$Q$902*('Assumptions (Solar)'!$O$20*'Assumptions (Solar)'!$O$2+'Assumptions (Solar)'!$O$21*'Assumptions (Solar)'!$O$3)/10^9),0)</f>
        <v>-0.07740122582</v>
      </c>
      <c r="S973" s="160">
        <f>IF(and($Q$902&gt;0,Model!Y$1&lt;='Assumptions (Solar)'!$V$13),PPMT('Assumptions (Solar)'!$V$10,Model!Y$1,'Assumptions (Solar)'!$V$13,'Assumptions (Solar)'!$V$8*Model!$Q$902*('Assumptions (Solar)'!$O$20*'Assumptions (Solar)'!$O$2+'Assumptions (Solar)'!$O$21*'Assumptions (Solar)'!$O$3)/10^9),0)</f>
        <v>-0.08359332388</v>
      </c>
      <c r="T973" s="160">
        <f>IF(and($Q$902&gt;0,Model!Z$1&lt;='Assumptions (Solar)'!$V$13),PPMT('Assumptions (Solar)'!$V$10,Model!Z$1,'Assumptions (Solar)'!$V$13,'Assumptions (Solar)'!$V$8*Model!$Q$902*('Assumptions (Solar)'!$O$20*'Assumptions (Solar)'!$O$2+'Assumptions (Solar)'!$O$21*'Assumptions (Solar)'!$O$3)/10^9),0)</f>
        <v>-0.0902807898</v>
      </c>
      <c r="U973" s="160">
        <f>IF(and($Q$902&gt;0,Model!AA$1&lt;='Assumptions (Solar)'!$V$13),PPMT('Assumptions (Solar)'!$V$10,Model!AA$1,'Assumptions (Solar)'!$V$13,'Assumptions (Solar)'!$V$8*Model!$Q$902*('Assumptions (Solar)'!$O$20*'Assumptions (Solar)'!$O$2+'Assumptions (Solar)'!$O$21*'Assumptions (Solar)'!$O$3)/10^9),0)</f>
        <v>-0.09750325298</v>
      </c>
      <c r="V973" s="160">
        <f>IF(and($Q$902&gt;0,Model!AB$1&lt;='Assumptions (Solar)'!$V$13),PPMT('Assumptions (Solar)'!$V$10,Model!AB$1,'Assumptions (Solar)'!$V$13,'Assumptions (Solar)'!$V$8*Model!$Q$902*('Assumptions (Solar)'!$O$20*'Assumptions (Solar)'!$O$2+'Assumptions (Solar)'!$O$21*'Assumptions (Solar)'!$O$3)/10^9),0)</f>
        <v>-0.1053035132</v>
      </c>
      <c r="W973" s="160">
        <f>IF(and($Q$902&gt;0,Model!AC$1&lt;='Assumptions (Solar)'!$V$13),PPMT('Assumptions (Solar)'!$V$10,Model!AC$1,'Assumptions (Solar)'!$V$13,'Assumptions (Solar)'!$V$8*Model!$Q$902*('Assumptions (Solar)'!$O$20*'Assumptions (Solar)'!$O$2+'Assumptions (Solar)'!$O$21*'Assumptions (Solar)'!$O$3)/10^9),0)</f>
        <v>-0.1137277943</v>
      </c>
      <c r="X973" s="160">
        <f>IF(and($Q$902&gt;0,Model!AD$1&lt;='Assumptions (Solar)'!$V$13),PPMT('Assumptions (Solar)'!$V$10,Model!AD$1,'Assumptions (Solar)'!$V$13,'Assumptions (Solar)'!$V$8*Model!$Q$902*('Assumptions (Solar)'!$O$20*'Assumptions (Solar)'!$O$2+'Assumptions (Solar)'!$O$21*'Assumptions (Solar)'!$O$3)/10^9),0)</f>
        <v>-0.1228260178</v>
      </c>
      <c r="Y973" s="160">
        <f>IF(and($Q$902&gt;0,Model!AE$1&lt;='Assumptions (Solar)'!$V$13),PPMT('Assumptions (Solar)'!$V$10,Model!AE$1,'Assumptions (Solar)'!$V$13,'Assumptions (Solar)'!$V$8*Model!$Q$902*('Assumptions (Solar)'!$O$20*'Assumptions (Solar)'!$O$2+'Assumptions (Solar)'!$O$21*'Assumptions (Solar)'!$O$3)/10^9),0)</f>
        <v>-0.1326520992</v>
      </c>
      <c r="Z973" s="160">
        <f>IF(and($Q$902&gt;0,Model!AF$1&lt;='Assumptions (Solar)'!$V$13),PPMT('Assumptions (Solar)'!$V$10,Model!AF$1,'Assumptions (Solar)'!$V$13,'Assumptions (Solar)'!$V$8*Model!$Q$902*('Assumptions (Solar)'!$O$20*'Assumptions (Solar)'!$O$2+'Assumptions (Solar)'!$O$21*'Assumptions (Solar)'!$O$3)/10^9),0)</f>
        <v>-0.1432642672</v>
      </c>
      <c r="AA973" s="160"/>
      <c r="AB973" s="160"/>
      <c r="AC973" s="160"/>
      <c r="AD973" s="160"/>
      <c r="AE973" s="160"/>
      <c r="AF973" s="160"/>
      <c r="AG973" s="160"/>
      <c r="AH973" s="160"/>
      <c r="AI973" s="160"/>
      <c r="AJ973" s="160"/>
      <c r="AK973" s="160"/>
      <c r="AL973" s="160"/>
      <c r="AM973" s="160"/>
      <c r="AN973" s="160"/>
      <c r="AO973" s="160"/>
      <c r="AU973" s="160"/>
      <c r="AV973" s="160"/>
      <c r="AW973" s="160"/>
      <c r="AX973" s="160"/>
      <c r="AY973" s="160"/>
      <c r="AZ973" s="160"/>
      <c r="BA973" s="160"/>
    </row>
    <row r="974" ht="15.75" hidden="1" customHeight="1" outlineLevel="1">
      <c r="A974" s="255"/>
      <c r="B974" s="38"/>
      <c r="C974" s="160"/>
      <c r="D974" s="160"/>
      <c r="E974" s="160"/>
      <c r="F974" s="160"/>
      <c r="G974" s="160"/>
      <c r="H974" s="160"/>
      <c r="I974" s="160"/>
      <c r="J974" s="160"/>
      <c r="K974" s="160"/>
      <c r="L974" s="160"/>
      <c r="M974" s="160"/>
      <c r="N974" s="160"/>
      <c r="O974" s="160"/>
      <c r="P974" s="179"/>
      <c r="Q974" s="160"/>
      <c r="R974" s="177">
        <f>IF(and($R$902&gt;0,Model!W$1&lt;='Assumptions (Solar)'!$V$13),PPMT('Assumptions (Solar)'!$V$10,Model!W$1,'Assumptions (Solar)'!$V$13,'Assumptions (Solar)'!$V$8*Model!$R$902*('Assumptions (Solar)'!$P$20*'Assumptions (Solar)'!$P$2+'Assumptions (Solar)'!$P$21*'Assumptions (Solar)'!$P$3)/10^9),0)</f>
        <v>-0.1811694478</v>
      </c>
      <c r="S974" s="177">
        <f>IF(and($R$902&gt;0,Model!X$1&lt;='Assumptions (Solar)'!$V$13),PPMT('Assumptions (Solar)'!$V$10,Model!X$1,'Assumptions (Solar)'!$V$13,'Assumptions (Solar)'!$V$8*Model!$R$902*('Assumptions (Solar)'!$P$20*'Assumptions (Solar)'!$P$2+'Assumptions (Solar)'!$P$21*'Assumptions (Solar)'!$P$3)/10^9),0)</f>
        <v>-0.1956630036</v>
      </c>
      <c r="T974" s="177">
        <f>IF(and($R$902&gt;0,Model!Y$1&lt;='Assumptions (Solar)'!$V$13),PPMT('Assumptions (Solar)'!$V$10,Model!Y$1,'Assumptions (Solar)'!$V$13,'Assumptions (Solar)'!$V$8*Model!$R$902*('Assumptions (Solar)'!$P$20*'Assumptions (Solar)'!$P$2+'Assumptions (Solar)'!$P$21*'Assumptions (Solar)'!$P$3)/10^9),0)</f>
        <v>-0.2113160439</v>
      </c>
      <c r="U974" s="177">
        <f>IF(and($R$902&gt;0,Model!Z$1&lt;='Assumptions (Solar)'!$V$13),PPMT('Assumptions (Solar)'!$V$10,Model!Z$1,'Assumptions (Solar)'!$V$13,'Assumptions (Solar)'!$V$8*Model!$R$902*('Assumptions (Solar)'!$P$20*'Assumptions (Solar)'!$P$2+'Assumptions (Solar)'!$P$21*'Assumptions (Solar)'!$P$3)/10^9),0)</f>
        <v>-0.2282213274</v>
      </c>
      <c r="V974" s="177">
        <f>IF(and($R$902&gt;0,Model!AA$1&lt;='Assumptions (Solar)'!$V$13),PPMT('Assumptions (Solar)'!$V$10,Model!AA$1,'Assumptions (Solar)'!$V$13,'Assumptions (Solar)'!$V$8*Model!$R$902*('Assumptions (Solar)'!$P$20*'Assumptions (Solar)'!$P$2+'Assumptions (Solar)'!$P$21*'Assumptions (Solar)'!$P$3)/10^9),0)</f>
        <v>-0.2464790336</v>
      </c>
      <c r="W974" s="177">
        <f>IF(and($R$902&gt;0,Model!AB$1&lt;='Assumptions (Solar)'!$V$13),PPMT('Assumptions (Solar)'!$V$10,Model!AB$1,'Assumptions (Solar)'!$V$13,'Assumptions (Solar)'!$V$8*Model!$R$902*('Assumptions (Solar)'!$P$20*'Assumptions (Solar)'!$P$2+'Assumptions (Solar)'!$P$21*'Assumptions (Solar)'!$P$3)/10^9),0)</f>
        <v>-0.2661973563</v>
      </c>
      <c r="X974" s="177">
        <f>IF(and($R$902&gt;0,Model!AC$1&lt;='Assumptions (Solar)'!$V$13),PPMT('Assumptions (Solar)'!$V$10,Model!AC$1,'Assumptions (Solar)'!$V$13,'Assumptions (Solar)'!$V$8*Model!$R$902*('Assumptions (Solar)'!$P$20*'Assumptions (Solar)'!$P$2+'Assumptions (Solar)'!$P$21*'Assumptions (Solar)'!$P$3)/10^9),0)</f>
        <v>-0.2874931448</v>
      </c>
      <c r="Y974" s="177">
        <f>IF(and($R$902&gt;0,Model!AD$1&lt;='Assumptions (Solar)'!$V$13),PPMT('Assumptions (Solar)'!$V$10,Model!AD$1,'Assumptions (Solar)'!$V$13,'Assumptions (Solar)'!$V$8*Model!$R$902*('Assumptions (Solar)'!$P$20*'Assumptions (Solar)'!$P$2+'Assumptions (Solar)'!$P$21*'Assumptions (Solar)'!$P$3)/10^9),0)</f>
        <v>-0.3104925964</v>
      </c>
      <c r="Z974" s="177">
        <f>IF(and($R$902&gt;0,Model!AE$1&lt;='Assumptions (Solar)'!$V$13),PPMT('Assumptions (Solar)'!$V$10,Model!AE$1,'Assumptions (Solar)'!$V$13,'Assumptions (Solar)'!$V$8*Model!$R$902*('Assumptions (Solar)'!$P$20*'Assumptions (Solar)'!$P$2+'Assumptions (Solar)'!$P$21*'Assumptions (Solar)'!$P$3)/10^9),0)</f>
        <v>-0.3353320041</v>
      </c>
      <c r="AA974" s="177">
        <f>IF(and($R$902&gt;0,Model!AF$1&lt;='Assumptions (Solar)'!$V$13),PPMT('Assumptions (Solar)'!$V$10,Model!AF$1,'Assumptions (Solar)'!$V$13,'Assumptions (Solar)'!$V$8*Model!$R$902*('Assumptions (Solar)'!$P$20*'Assumptions (Solar)'!$P$2+'Assumptions (Solar)'!$P$21*'Assumptions (Solar)'!$P$3)/10^9),0)</f>
        <v>-0.3621585645</v>
      </c>
      <c r="AB974" s="177"/>
      <c r="AC974" s="177"/>
      <c r="AD974" s="177"/>
      <c r="AE974" s="177"/>
      <c r="AF974" s="177"/>
      <c r="AG974" s="177"/>
      <c r="AH974" s="177"/>
      <c r="AI974" s="177"/>
      <c r="AJ974" s="177"/>
      <c r="AK974" s="177"/>
      <c r="AL974" s="177"/>
      <c r="AM974" s="177"/>
      <c r="AN974" s="177"/>
      <c r="AO974" s="177"/>
      <c r="AP974" s="177"/>
      <c r="AU974" s="160"/>
      <c r="AV974" s="160"/>
      <c r="AW974" s="160"/>
      <c r="AX974" s="160"/>
      <c r="AY974" s="160"/>
      <c r="AZ974" s="160"/>
      <c r="BA974" s="160"/>
    </row>
    <row r="975" ht="15.75" hidden="1" customHeight="1" outlineLevel="1">
      <c r="A975" s="255"/>
      <c r="B975" s="38"/>
      <c r="C975" s="160"/>
      <c r="D975" s="160"/>
      <c r="E975" s="160"/>
      <c r="F975" s="160"/>
      <c r="G975" s="160"/>
      <c r="H975" s="160"/>
      <c r="I975" s="160"/>
      <c r="J975" s="160"/>
      <c r="K975" s="160"/>
      <c r="L975" s="160"/>
      <c r="M975" s="160"/>
      <c r="N975" s="160"/>
      <c r="O975" s="160"/>
      <c r="P975" s="179"/>
      <c r="Q975" s="160"/>
      <c r="R975" s="177"/>
      <c r="S975" s="160">
        <f>IF(and($S$902&gt;0,Model!W$1&lt;='Assumptions (Solar)'!$V$13),PPMT('Assumptions (Solar)'!$V$10,Model!W$1,'Assumptions (Solar)'!$V$13,'Assumptions (Solar)'!$V$8*Model!$S$902*('Assumptions (Solar)'!$Q$20*'Assumptions (Solar)'!$Q$2+'Assumptions (Solar)'!$Q$21*'Assumptions (Solar)'!$Q$3)/10^9),0)</f>
        <v>-0.2471694796</v>
      </c>
      <c r="T975" s="160">
        <f>IF(and($S$902&gt;0,Model!X$1&lt;='Assumptions (Solar)'!$V$13),PPMT('Assumptions (Solar)'!$V$10,Model!X$1,'Assumptions (Solar)'!$V$13,'Assumptions (Solar)'!$V$8*Model!$S$902*('Assumptions (Solar)'!$Q$20*'Assumptions (Solar)'!$Q$2+'Assumptions (Solar)'!$Q$21*'Assumptions (Solar)'!$Q$3)/10^9),0)</f>
        <v>-0.266943038</v>
      </c>
      <c r="U975" s="160">
        <f>IF(and($S$902&gt;0,Model!Y$1&lt;='Assumptions (Solar)'!$V$13),PPMT('Assumptions (Solar)'!$V$10,Model!Y$1,'Assumptions (Solar)'!$V$13,'Assumptions (Solar)'!$V$8*Model!$S$902*('Assumptions (Solar)'!$Q$20*'Assumptions (Solar)'!$Q$2+'Assumptions (Solar)'!$Q$21*'Assumptions (Solar)'!$Q$3)/10^9),0)</f>
        <v>-0.288298481</v>
      </c>
      <c r="V975" s="160">
        <f>IF(and($S$902&gt;0,Model!Z$1&lt;='Assumptions (Solar)'!$V$13),PPMT('Assumptions (Solar)'!$V$10,Model!Z$1,'Assumptions (Solar)'!$V$13,'Assumptions (Solar)'!$V$8*Model!$S$902*('Assumptions (Solar)'!$Q$20*'Assumptions (Solar)'!$Q$2+'Assumptions (Solar)'!$Q$21*'Assumptions (Solar)'!$Q$3)/10^9),0)</f>
        <v>-0.3113623595</v>
      </c>
      <c r="W975" s="160">
        <f>IF(and($S$902&gt;0,Model!AA$1&lt;='Assumptions (Solar)'!$V$13),PPMT('Assumptions (Solar)'!$V$10,Model!AA$1,'Assumptions (Solar)'!$V$13,'Assumptions (Solar)'!$V$8*Model!$S$902*('Assumptions (Solar)'!$Q$20*'Assumptions (Solar)'!$Q$2+'Assumptions (Solar)'!$Q$21*'Assumptions (Solar)'!$Q$3)/10^9),0)</f>
        <v>-0.3362713482</v>
      </c>
      <c r="X975" s="160">
        <f>IF(and($S$902&gt;0,Model!AB$1&lt;='Assumptions (Solar)'!$V$13),PPMT('Assumptions (Solar)'!$V$10,Model!AB$1,'Assumptions (Solar)'!$V$13,'Assumptions (Solar)'!$V$8*Model!$S$902*('Assumptions (Solar)'!$Q$20*'Assumptions (Solar)'!$Q$2+'Assumptions (Solar)'!$Q$21*'Assumptions (Solar)'!$Q$3)/10^9),0)</f>
        <v>-0.3631730561</v>
      </c>
      <c r="Y975" s="160">
        <f>IF(and($S$902&gt;0,Model!AC$1&lt;='Assumptions (Solar)'!$V$13),PPMT('Assumptions (Solar)'!$V$10,Model!AC$1,'Assumptions (Solar)'!$V$13,'Assumptions (Solar)'!$V$8*Model!$S$902*('Assumptions (Solar)'!$Q$20*'Assumptions (Solar)'!$Q$2+'Assumptions (Solar)'!$Q$21*'Assumptions (Solar)'!$Q$3)/10^9),0)</f>
        <v>-0.3922269006</v>
      </c>
      <c r="Z975" s="160">
        <f>IF(and($S$902&gt;0,Model!AD$1&lt;='Assumptions (Solar)'!$V$13),PPMT('Assumptions (Solar)'!$V$10,Model!AD$1,'Assumptions (Solar)'!$V$13,'Assumptions (Solar)'!$V$8*Model!$S$902*('Assumptions (Solar)'!$Q$20*'Assumptions (Solar)'!$Q$2+'Assumptions (Solar)'!$Q$21*'Assumptions (Solar)'!$Q$3)/10^9),0)</f>
        <v>-0.4236050526</v>
      </c>
      <c r="AA975" s="160">
        <f>IF(and($S$902&gt;0,Model!AE$1&lt;='Assumptions (Solar)'!$V$13),PPMT('Assumptions (Solar)'!$V$10,Model!AE$1,'Assumptions (Solar)'!$V$13,'Assumptions (Solar)'!$V$8*Model!$S$902*('Assumptions (Solar)'!$Q$20*'Assumptions (Solar)'!$Q$2+'Assumptions (Solar)'!$Q$21*'Assumptions (Solar)'!$Q$3)/10^9),0)</f>
        <v>-0.4574934568</v>
      </c>
      <c r="AB975" s="160">
        <f>IF(and($S$902&gt;0,Model!AF$1&lt;='Assumptions (Solar)'!$V$13),PPMT('Assumptions (Solar)'!$V$10,Model!AF$1,'Assumptions (Solar)'!$V$13,'Assumptions (Solar)'!$V$8*Model!$S$902*('Assumptions (Solar)'!$Q$20*'Assumptions (Solar)'!$Q$2+'Assumptions (Solar)'!$Q$21*'Assumptions (Solar)'!$Q$3)/10^9),0)</f>
        <v>-0.4940929334</v>
      </c>
      <c r="AC975" s="160"/>
      <c r="AD975" s="160"/>
      <c r="AE975" s="160"/>
      <c r="AF975" s="160"/>
      <c r="AG975" s="160"/>
      <c r="AH975" s="160"/>
      <c r="AI975" s="160"/>
      <c r="AJ975" s="160"/>
      <c r="AK975" s="160"/>
      <c r="AL975" s="160"/>
      <c r="AM975" s="160"/>
      <c r="AN975" s="160"/>
      <c r="AO975" s="160"/>
      <c r="AP975" s="160"/>
      <c r="AQ975" s="160"/>
      <c r="AU975" s="160"/>
      <c r="AV975" s="160"/>
      <c r="AW975" s="160"/>
      <c r="AX975" s="160"/>
      <c r="AY975" s="160"/>
      <c r="AZ975" s="160"/>
      <c r="BA975" s="160"/>
    </row>
    <row r="976" ht="15.75" hidden="1" customHeight="1" outlineLevel="1">
      <c r="A976" s="255"/>
      <c r="B976" s="38"/>
      <c r="C976" s="160"/>
      <c r="D976" s="160"/>
      <c r="E976" s="160"/>
      <c r="F976" s="160"/>
      <c r="G976" s="160"/>
      <c r="H976" s="160"/>
      <c r="I976" s="160"/>
      <c r="J976" s="160"/>
      <c r="K976" s="160"/>
      <c r="L976" s="160"/>
      <c r="M976" s="160"/>
      <c r="N976" s="160"/>
      <c r="O976" s="160"/>
      <c r="P976" s="179"/>
      <c r="Q976" s="160"/>
      <c r="R976" s="177"/>
      <c r="S976" s="177"/>
      <c r="T976" s="160">
        <f>IF(and($T$902&gt;0,Model!W$1&lt;='Assumptions (Solar)'!$V$13),PPMT('Assumptions (Solar)'!$V$10,Model!W$1,'Assumptions (Solar)'!$V$13,'Assumptions (Solar)'!$V$8*Model!$T$902*('Assumptions (Solar)'!$R$20*'Assumptions (Solar)'!$R$2+'Assumptions (Solar)'!$R$21*'Assumptions (Solar)'!$R$3)/10^9),0)</f>
        <v>-0.189562496</v>
      </c>
      <c r="U976" s="160">
        <f>IF(and($T$902&gt;0,Model!X$1&lt;='Assumptions (Solar)'!$V$13),PPMT('Assumptions (Solar)'!$V$10,Model!X$1,'Assumptions (Solar)'!$V$13,'Assumptions (Solar)'!$V$8*Model!$T$902*('Assumptions (Solar)'!$R$20*'Assumptions (Solar)'!$R$2+'Assumptions (Solar)'!$R$21*'Assumptions (Solar)'!$R$3)/10^9),0)</f>
        <v>-0.2047274957</v>
      </c>
      <c r="V976" s="160">
        <f>IF(and($T$902&gt;0,Model!Y$1&lt;='Assumptions (Solar)'!$V$13),PPMT('Assumptions (Solar)'!$V$10,Model!Y$1,'Assumptions (Solar)'!$V$13,'Assumptions (Solar)'!$V$8*Model!$T$902*('Assumptions (Solar)'!$R$20*'Assumptions (Solar)'!$R$2+'Assumptions (Solar)'!$R$21*'Assumptions (Solar)'!$R$3)/10^9),0)</f>
        <v>-0.2211056954</v>
      </c>
      <c r="W976" s="160">
        <f>IF(and($T$902&gt;0,Model!Z$1&lt;='Assumptions (Solar)'!$V$13),PPMT('Assumptions (Solar)'!$V$10,Model!Z$1,'Assumptions (Solar)'!$V$13,'Assumptions (Solar)'!$V$8*Model!$T$902*('Assumptions (Solar)'!$R$20*'Assumptions (Solar)'!$R$2+'Assumptions (Solar)'!$R$21*'Assumptions (Solar)'!$R$3)/10^9),0)</f>
        <v>-0.238794151</v>
      </c>
      <c r="X976" s="160">
        <f>IF(and($T$902&gt;0,Model!AA$1&lt;='Assumptions (Solar)'!$V$13),PPMT('Assumptions (Solar)'!$V$10,Model!AA$1,'Assumptions (Solar)'!$V$13,'Assumptions (Solar)'!$V$8*Model!$T$902*('Assumptions (Solar)'!$R$20*'Assumptions (Solar)'!$R$2+'Assumptions (Solar)'!$R$21*'Assumptions (Solar)'!$R$3)/10^9),0)</f>
        <v>-0.2578976831</v>
      </c>
      <c r="Y976" s="160">
        <f>IF(and($T$902&gt;0,Model!AB$1&lt;='Assumptions (Solar)'!$V$13),PPMT('Assumptions (Solar)'!$V$10,Model!AB$1,'Assumptions (Solar)'!$V$13,'Assumptions (Solar)'!$V$8*Model!$T$902*('Assumptions (Solar)'!$R$20*'Assumptions (Solar)'!$R$2+'Assumptions (Solar)'!$R$21*'Assumptions (Solar)'!$R$3)/10^9),0)</f>
        <v>-0.2785294977</v>
      </c>
      <c r="Z976" s="160">
        <f>IF(and($T$902&gt;0,Model!AC$1&lt;='Assumptions (Solar)'!$V$13),PPMT('Assumptions (Solar)'!$V$10,Model!AC$1,'Assumptions (Solar)'!$V$13,'Assumptions (Solar)'!$V$8*Model!$T$902*('Assumptions (Solar)'!$R$20*'Assumptions (Solar)'!$R$2+'Assumptions (Solar)'!$R$21*'Assumptions (Solar)'!$R$3)/10^9),0)</f>
        <v>-0.3008118576</v>
      </c>
      <c r="AA976" s="160">
        <f>IF(and($T$902&gt;0,Model!AD$1&lt;='Assumptions (Solar)'!$V$13),PPMT('Assumptions (Solar)'!$V$10,Model!AD$1,'Assumptions (Solar)'!$V$13,'Assumptions (Solar)'!$V$8*Model!$T$902*('Assumptions (Solar)'!$R$20*'Assumptions (Solar)'!$R$2+'Assumptions (Solar)'!$R$21*'Assumptions (Solar)'!$R$3)/10^9),0)</f>
        <v>-0.3248768062</v>
      </c>
      <c r="AB976" s="160">
        <f>IF(and($T$902&gt;0,Model!AE$1&lt;='Assumptions (Solar)'!$V$13),PPMT('Assumptions (Solar)'!$V$10,Model!AE$1,'Assumptions (Solar)'!$V$13,'Assumptions (Solar)'!$V$8*Model!$T$902*('Assumptions (Solar)'!$R$20*'Assumptions (Solar)'!$R$2+'Assumptions (Solar)'!$R$21*'Assumptions (Solar)'!$R$3)/10^9),0)</f>
        <v>-0.3508669507</v>
      </c>
      <c r="AC976" s="160">
        <f>IF(and($T$902&gt;0,Model!AF$1&lt;='Assumptions (Solar)'!$V$13),PPMT('Assumptions (Solar)'!$V$10,Model!AF$1,'Assumptions (Solar)'!$V$13,'Assumptions (Solar)'!$V$8*Model!$T$902*('Assumptions (Solar)'!$R$20*'Assumptions (Solar)'!$R$2+'Assumptions (Solar)'!$R$21*'Assumptions (Solar)'!$R$3)/10^9),0)</f>
        <v>-0.3789363067</v>
      </c>
      <c r="AD976" s="160"/>
      <c r="AE976" s="160"/>
      <c r="AF976" s="160"/>
      <c r="AG976" s="160"/>
      <c r="AH976" s="160"/>
      <c r="AI976" s="160"/>
      <c r="AJ976" s="160"/>
      <c r="AK976" s="160"/>
      <c r="AL976" s="160"/>
      <c r="AM976" s="160"/>
      <c r="AN976" s="160"/>
      <c r="AO976" s="160"/>
      <c r="AP976" s="160"/>
      <c r="AQ976" s="160"/>
      <c r="AR976" s="160"/>
      <c r="AU976" s="160"/>
      <c r="AV976" s="160"/>
      <c r="AW976" s="160"/>
      <c r="AX976" s="160"/>
      <c r="AY976" s="160"/>
      <c r="AZ976" s="160"/>
      <c r="BA976" s="160"/>
    </row>
    <row r="977" ht="15.75" hidden="1" customHeight="1" outlineLevel="1">
      <c r="A977" s="255"/>
      <c r="B977" s="38"/>
      <c r="C977" s="160"/>
      <c r="D977" s="160"/>
      <c r="E977" s="160"/>
      <c r="F977" s="160"/>
      <c r="G977" s="160"/>
      <c r="H977" s="160"/>
      <c r="I977" s="160"/>
      <c r="J977" s="160"/>
      <c r="K977" s="160"/>
      <c r="L977" s="160"/>
      <c r="M977" s="160"/>
      <c r="N977" s="160"/>
      <c r="O977" s="160"/>
      <c r="P977" s="179"/>
      <c r="Q977" s="160"/>
      <c r="R977" s="177"/>
      <c r="S977" s="177"/>
      <c r="T977" s="177"/>
      <c r="U977" s="160">
        <f>IF(and($U$902&gt;0,Model!W$1&lt;='Assumptions (Solar)'!$V$13),PPMT('Assumptions (Solar)'!$V$10,Model!W$1,'Assumptions (Solar)'!$V$13,'Assumptions (Solar)'!$V$8*Model!$U$902*('Assumptions (Solar)'!$S$20*'Assumptions (Solar)'!$S$2+'Assumptions (Solar)'!$S$21*'Assumptions (Solar)'!$S$3)/10^9),0)</f>
        <v>-0.1078111835</v>
      </c>
      <c r="V977" s="160">
        <f>IF(and($U$902&gt;0,Model!X$1&lt;='Assumptions (Solar)'!$V$13),PPMT('Assumptions (Solar)'!$V$10,Model!X$1,'Assumptions (Solar)'!$V$13,'Assumptions (Solar)'!$V$8*Model!$U$902*('Assumptions (Solar)'!$S$20*'Assumptions (Solar)'!$S$2+'Assumptions (Solar)'!$S$21*'Assumptions (Solar)'!$S$3)/10^9),0)</f>
        <v>-0.1164360781</v>
      </c>
      <c r="W977" s="160">
        <f>IF(and($U$902&gt;0,Model!Y$1&lt;='Assumptions (Solar)'!$V$13),PPMT('Assumptions (Solar)'!$V$10,Model!Y$1,'Assumptions (Solar)'!$V$13,'Assumptions (Solar)'!$V$8*Model!$U$902*('Assumptions (Solar)'!$S$20*'Assumptions (Solar)'!$S$2+'Assumptions (Solar)'!$S$21*'Assumptions (Solar)'!$S$3)/10^9),0)</f>
        <v>-0.1257509644</v>
      </c>
      <c r="X977" s="160">
        <f>IF(and($U$902&gt;0,Model!Z$1&lt;='Assumptions (Solar)'!$V$13),PPMT('Assumptions (Solar)'!$V$10,Model!Z$1,'Assumptions (Solar)'!$V$13,'Assumptions (Solar)'!$V$8*Model!$U$902*('Assumptions (Solar)'!$S$20*'Assumptions (Solar)'!$S$2+'Assumptions (Solar)'!$S$21*'Assumptions (Solar)'!$S$3)/10^9),0)</f>
        <v>-0.1358110415</v>
      </c>
      <c r="Y977" s="160">
        <f>IF(and($U$902&gt;0,Model!AA$1&lt;='Assumptions (Solar)'!$V$13),PPMT('Assumptions (Solar)'!$V$10,Model!AA$1,'Assumptions (Solar)'!$V$13,'Assumptions (Solar)'!$V$8*Model!$U$902*('Assumptions (Solar)'!$S$20*'Assumptions (Solar)'!$S$2+'Assumptions (Solar)'!$S$21*'Assumptions (Solar)'!$S$3)/10^9),0)</f>
        <v>-0.1466759248</v>
      </c>
      <c r="Z977" s="160">
        <f>IF(and($U$902&gt;0,Model!AB$1&lt;='Assumptions (Solar)'!$V$13),PPMT('Assumptions (Solar)'!$V$10,Model!AB$1,'Assumptions (Solar)'!$V$13,'Assumptions (Solar)'!$V$8*Model!$U$902*('Assumptions (Solar)'!$S$20*'Assumptions (Solar)'!$S$2+'Assumptions (Solar)'!$S$21*'Assumptions (Solar)'!$S$3)/10^9),0)</f>
        <v>-0.1584099988</v>
      </c>
      <c r="AA977" s="160">
        <f>IF(and($U$902&gt;0,Model!AC$1&lt;='Assumptions (Solar)'!$V$13),PPMT('Assumptions (Solar)'!$V$10,Model!AC$1,'Assumptions (Solar)'!$V$13,'Assumptions (Solar)'!$V$8*Model!$U$902*('Assumptions (Solar)'!$S$20*'Assumptions (Solar)'!$S$2+'Assumptions (Solar)'!$S$21*'Assumptions (Solar)'!$S$3)/10^9),0)</f>
        <v>-0.1710827987</v>
      </c>
      <c r="AB977" s="160">
        <f>IF(and($U$902&gt;0,Model!AD$1&lt;='Assumptions (Solar)'!$V$13),PPMT('Assumptions (Solar)'!$V$10,Model!AD$1,'Assumptions (Solar)'!$V$13,'Assumptions (Solar)'!$V$8*Model!$U$902*('Assumptions (Solar)'!$S$20*'Assumptions (Solar)'!$S$2+'Assumptions (Solar)'!$S$21*'Assumptions (Solar)'!$S$3)/10^9),0)</f>
        <v>-0.1847694226</v>
      </c>
      <c r="AC977" s="160">
        <f>IF(and($U$902&gt;0,Model!AE$1&lt;='Assumptions (Solar)'!$V$13),PPMT('Assumptions (Solar)'!$V$10,Model!AE$1,'Assumptions (Solar)'!$V$13,'Assumptions (Solar)'!$V$8*Model!$U$902*('Assumptions (Solar)'!$S$20*'Assumptions (Solar)'!$S$2+'Assumptions (Solar)'!$S$21*'Assumptions (Solar)'!$S$3)/10^9),0)</f>
        <v>-0.1995509765</v>
      </c>
      <c r="AD977" s="160">
        <f>IF(and($U$902&gt;0,Model!AF$1&lt;='Assumptions (Solar)'!$V$13),PPMT('Assumptions (Solar)'!$V$10,Model!AF$1,'Assumptions (Solar)'!$V$13,'Assumptions (Solar)'!$V$8*Model!$U$902*('Assumptions (Solar)'!$S$20*'Assumptions (Solar)'!$S$2+'Assumptions (Solar)'!$S$21*'Assumptions (Solar)'!$S$3)/10^9),0)</f>
        <v>-0.2155150546</v>
      </c>
      <c r="AE977" s="160"/>
      <c r="AF977" s="160"/>
      <c r="AG977" s="160"/>
      <c r="AH977" s="160"/>
      <c r="AI977" s="160"/>
      <c r="AJ977" s="160"/>
      <c r="AK977" s="160"/>
      <c r="AL977" s="160"/>
      <c r="AM977" s="160"/>
      <c r="AN977" s="160"/>
      <c r="AO977" s="160"/>
      <c r="AP977" s="160"/>
      <c r="AQ977" s="160"/>
      <c r="AR977" s="160"/>
      <c r="AS977" s="160"/>
      <c r="AU977" s="160"/>
      <c r="AV977" s="160"/>
      <c r="AW977" s="160"/>
      <c r="AX977" s="160"/>
      <c r="AY977" s="160"/>
      <c r="AZ977" s="160"/>
      <c r="BA977" s="160"/>
    </row>
    <row r="978" ht="15.75" hidden="1" customHeight="1" outlineLevel="1">
      <c r="A978" s="255"/>
      <c r="B978" s="38"/>
      <c r="C978" s="160"/>
      <c r="D978" s="160"/>
      <c r="E978" s="160"/>
      <c r="F978" s="160"/>
      <c r="G978" s="160"/>
      <c r="H978" s="160"/>
      <c r="I978" s="160"/>
      <c r="J978" s="160"/>
      <c r="K978" s="160"/>
      <c r="L978" s="160"/>
      <c r="M978" s="160"/>
      <c r="N978" s="160"/>
      <c r="O978" s="160"/>
      <c r="P978" s="179"/>
      <c r="Q978" s="160"/>
      <c r="R978" s="177"/>
      <c r="S978" s="177"/>
      <c r="T978" s="177"/>
      <c r="U978" s="160"/>
      <c r="V978" s="160">
        <f>IF(and($V$902&gt;0,Model!W$1&lt;='Assumptions (Solar)'!$V$13),PPMT('Assumptions (Solar)'!$V$10,Model!W$1,'Assumptions (Solar)'!$V$13,'Assumptions (Solar)'!$V$8*Model!$V$902*('Assumptions (Solar)'!$T$20*'Assumptions (Solar)'!$T$2+'Assumptions (Solar)'!$T$21*'Assumptions (Solar)'!$T$3)/10^9),0)</f>
        <v>0</v>
      </c>
      <c r="W978" s="160">
        <f>IF(and($V$902&gt;0,Model!X$1&lt;='Assumptions (Solar)'!$V$13),PPMT('Assumptions (Solar)'!$V$10,Model!X$1,'Assumptions (Solar)'!$V$13,'Assumptions (Solar)'!$V$8*Model!$V$902*('Assumptions (Solar)'!$T$20*'Assumptions (Solar)'!$T$2+'Assumptions (Solar)'!$T$21*'Assumptions (Solar)'!$T$3)/10^9),0)</f>
        <v>0</v>
      </c>
      <c r="X978" s="160">
        <f>IF(and($V$902&gt;0,Model!Y$1&lt;='Assumptions (Solar)'!$V$13),PPMT('Assumptions (Solar)'!$V$10,Model!Y$1,'Assumptions (Solar)'!$V$13,'Assumptions (Solar)'!$V$8*Model!$V$902*('Assumptions (Solar)'!$T$20*'Assumptions (Solar)'!$T$2+'Assumptions (Solar)'!$T$21*'Assumptions (Solar)'!$T$3)/10^9),0)</f>
        <v>0</v>
      </c>
      <c r="Y978" s="160">
        <f>IF(and($V$902&gt;0,Model!Z$1&lt;='Assumptions (Solar)'!$V$13),PPMT('Assumptions (Solar)'!$V$10,Model!Z$1,'Assumptions (Solar)'!$V$13,'Assumptions (Solar)'!$V$8*Model!$V$902*('Assumptions (Solar)'!$T$20*'Assumptions (Solar)'!$T$2+'Assumptions (Solar)'!$T$21*'Assumptions (Solar)'!$T$3)/10^9),0)</f>
        <v>0</v>
      </c>
      <c r="Z978" s="160">
        <f>IF(and($V$902&gt;0,Model!AA$1&lt;='Assumptions (Solar)'!$V$13),PPMT('Assumptions (Solar)'!$V$10,Model!AA$1,'Assumptions (Solar)'!$V$13,'Assumptions (Solar)'!$V$8*Model!$V$902*('Assumptions (Solar)'!$T$20*'Assumptions (Solar)'!$T$2+'Assumptions (Solar)'!$T$21*'Assumptions (Solar)'!$T$3)/10^9),0)</f>
        <v>0</v>
      </c>
      <c r="AA978" s="160">
        <f>IF(and($V$902&gt;0,Model!AB$1&lt;='Assumptions (Solar)'!$V$13),PPMT('Assumptions (Solar)'!$V$10,Model!AB$1,'Assumptions (Solar)'!$V$13,'Assumptions (Solar)'!$V$8*Model!$V$902*('Assumptions (Solar)'!$T$20*'Assumptions (Solar)'!$T$2+'Assumptions (Solar)'!$T$21*'Assumptions (Solar)'!$T$3)/10^9),0)</f>
        <v>0</v>
      </c>
      <c r="AB978" s="160">
        <f>IF(and($V$902&gt;0,Model!AC$1&lt;='Assumptions (Solar)'!$V$13),PPMT('Assumptions (Solar)'!$V$10,Model!AC$1,'Assumptions (Solar)'!$V$13,'Assumptions (Solar)'!$V$8*Model!$V$902*('Assumptions (Solar)'!$T$20*'Assumptions (Solar)'!$T$2+'Assumptions (Solar)'!$T$21*'Assumptions (Solar)'!$T$3)/10^9),0)</f>
        <v>0</v>
      </c>
      <c r="AC978" s="160">
        <f>IF(and($V$902&gt;0,Model!AD$1&lt;='Assumptions (Solar)'!$V$13),PPMT('Assumptions (Solar)'!$V$10,Model!AD$1,'Assumptions (Solar)'!$V$13,'Assumptions (Solar)'!$V$8*Model!$V$902*('Assumptions (Solar)'!$T$20*'Assumptions (Solar)'!$T$2+'Assumptions (Solar)'!$T$21*'Assumptions (Solar)'!$T$3)/10^9),0)</f>
        <v>0</v>
      </c>
      <c r="AD978" s="160">
        <f>IF(and($V$902&gt;0,Model!AE$1&lt;='Assumptions (Solar)'!$V$13),PPMT('Assumptions (Solar)'!$V$10,Model!AE$1,'Assumptions (Solar)'!$V$13,'Assumptions (Solar)'!$V$8*Model!$V$902*('Assumptions (Solar)'!$T$20*'Assumptions (Solar)'!$T$2+'Assumptions (Solar)'!$T$21*'Assumptions (Solar)'!$T$3)/10^9),0)</f>
        <v>0</v>
      </c>
      <c r="AE978" s="160">
        <f>IF(and($V$902&gt;0,Model!AF$1&lt;='Assumptions (Solar)'!$V$13),PPMT('Assumptions (Solar)'!$V$10,Model!AF$1,'Assumptions (Solar)'!$V$13,'Assumptions (Solar)'!$V$8*Model!$V$902*('Assumptions (Solar)'!$T$20*'Assumptions (Solar)'!$T$2+'Assumptions (Solar)'!$T$21*'Assumptions (Solar)'!$T$3)/10^9),0)</f>
        <v>0</v>
      </c>
      <c r="AF978" s="160"/>
      <c r="AG978" s="160"/>
      <c r="AH978" s="160"/>
      <c r="AI978" s="160"/>
      <c r="AJ978" s="160"/>
      <c r="AK978" s="160"/>
      <c r="AL978" s="160"/>
      <c r="AM978" s="160"/>
      <c r="AN978" s="160"/>
      <c r="AO978" s="160"/>
      <c r="AP978" s="160"/>
      <c r="AQ978" s="160"/>
      <c r="AR978" s="160"/>
      <c r="AS978" s="160"/>
      <c r="AT978" s="160"/>
      <c r="AU978" s="160"/>
      <c r="AV978" s="160"/>
      <c r="AW978" s="160"/>
      <c r="AX978" s="160"/>
      <c r="AY978" s="160"/>
      <c r="AZ978" s="160"/>
      <c r="BA978" s="160"/>
    </row>
    <row r="979" ht="15.75" hidden="1" customHeight="1" outlineLevel="1">
      <c r="A979" s="255"/>
      <c r="B979" s="38"/>
      <c r="C979" s="174"/>
      <c r="D979" s="174"/>
      <c r="E979" s="174"/>
      <c r="F979" s="174"/>
      <c r="G979" s="174"/>
      <c r="H979" s="174"/>
      <c r="I979" s="174"/>
      <c r="J979" s="174"/>
      <c r="K979" s="174"/>
      <c r="L979" s="174"/>
      <c r="M979" s="174"/>
      <c r="N979" s="174"/>
      <c r="O979" s="174"/>
      <c r="P979" s="174"/>
      <c r="Q979" s="174"/>
      <c r="R979" s="174"/>
      <c r="S979" s="174"/>
      <c r="T979" s="174"/>
      <c r="U979" s="174"/>
      <c r="V979" s="174"/>
      <c r="W979" s="160">
        <f>IF(and($W$902&gt;0,Model!W$1&lt;='Assumptions (Solar)'!$V$13),PPMT('Assumptions (Solar)'!$V$10,Model!W$1,'Assumptions (Solar)'!$V$13,'Assumptions (Solar)'!$V$8*Model!$W$902*('Assumptions (Solar)'!$U$20*'Assumptions (Solar)'!$U$2+'Assumptions (Solar)'!$U$21*'Assumptions (Solar)'!$U$3)/10^9),0)</f>
        <v>0</v>
      </c>
      <c r="X979" s="160">
        <f>IF(and($W$902&gt;0,Model!X$1&lt;='Assumptions (Solar)'!$V$13),PPMT('Assumptions (Solar)'!$V$10,Model!X$1,'Assumptions (Solar)'!$V$13,'Assumptions (Solar)'!$V$8*Model!$W$902*('Assumptions (Solar)'!$U$20*'Assumptions (Solar)'!$U$2+'Assumptions (Solar)'!$U$21*'Assumptions (Solar)'!$U$3)/10^9),0)</f>
        <v>0</v>
      </c>
      <c r="Y979" s="160">
        <f>IF(and($W$902&gt;0,Model!Y$1&lt;='Assumptions (Solar)'!$V$13),PPMT('Assumptions (Solar)'!$V$10,Model!Y$1,'Assumptions (Solar)'!$V$13,'Assumptions (Solar)'!$V$8*Model!$W$902*('Assumptions (Solar)'!$U$20*'Assumptions (Solar)'!$U$2+'Assumptions (Solar)'!$U$21*'Assumptions (Solar)'!$U$3)/10^9),0)</f>
        <v>0</v>
      </c>
      <c r="Z979" s="160">
        <f>IF(and($W$902&gt;0,Model!Z$1&lt;='Assumptions (Solar)'!$V$13),PPMT('Assumptions (Solar)'!$V$10,Model!Z$1,'Assumptions (Solar)'!$V$13,'Assumptions (Solar)'!$V$8*Model!$W$902*('Assumptions (Solar)'!$U$20*'Assumptions (Solar)'!$U$2+'Assumptions (Solar)'!$U$21*'Assumptions (Solar)'!$U$3)/10^9),0)</f>
        <v>0</v>
      </c>
      <c r="AA979" s="160">
        <f>IF(and($W$902&gt;0,Model!AA$1&lt;='Assumptions (Solar)'!$V$13),PPMT('Assumptions (Solar)'!$V$10,Model!AA$1,'Assumptions (Solar)'!$V$13,'Assumptions (Solar)'!$V$8*Model!$W$902*('Assumptions (Solar)'!$U$20*'Assumptions (Solar)'!$U$2+'Assumptions (Solar)'!$U$21*'Assumptions (Solar)'!$U$3)/10^9),0)</f>
        <v>0</v>
      </c>
      <c r="AB979" s="160">
        <f>IF(and($W$902&gt;0,Model!AB$1&lt;='Assumptions (Solar)'!$V$13),PPMT('Assumptions (Solar)'!$V$10,Model!AB$1,'Assumptions (Solar)'!$V$13,'Assumptions (Solar)'!$V$8*Model!$W$902*('Assumptions (Solar)'!$U$20*'Assumptions (Solar)'!$U$2+'Assumptions (Solar)'!$U$21*'Assumptions (Solar)'!$U$3)/10^9),0)</f>
        <v>0</v>
      </c>
      <c r="AC979" s="160">
        <f>IF(and($W$902&gt;0,Model!AC$1&lt;='Assumptions (Solar)'!$V$13),PPMT('Assumptions (Solar)'!$V$10,Model!AC$1,'Assumptions (Solar)'!$V$13,'Assumptions (Solar)'!$V$8*Model!$W$902*('Assumptions (Solar)'!$U$20*'Assumptions (Solar)'!$U$2+'Assumptions (Solar)'!$U$21*'Assumptions (Solar)'!$U$3)/10^9),0)</f>
        <v>0</v>
      </c>
      <c r="AD979" s="160">
        <f>IF(and($W$902&gt;0,Model!AD$1&lt;='Assumptions (Solar)'!$V$13),PPMT('Assumptions (Solar)'!$V$10,Model!AD$1,'Assumptions (Solar)'!$V$13,'Assumptions (Solar)'!$V$8*Model!$W$902*('Assumptions (Solar)'!$U$20*'Assumptions (Solar)'!$U$2+'Assumptions (Solar)'!$U$21*'Assumptions (Solar)'!$U$3)/10^9),0)</f>
        <v>0</v>
      </c>
      <c r="AE979" s="160">
        <f>IF(and($W$902&gt;0,Model!AE$1&lt;='Assumptions (Solar)'!$V$13),PPMT('Assumptions (Solar)'!$V$10,Model!AE$1,'Assumptions (Solar)'!$V$13,'Assumptions (Solar)'!$V$8*Model!$W$902*('Assumptions (Solar)'!$U$20*'Assumptions (Solar)'!$U$2+'Assumptions (Solar)'!$U$21*'Assumptions (Solar)'!$U$3)/10^9),0)</f>
        <v>0</v>
      </c>
      <c r="AF979" s="160">
        <f>IF(and($W$902&gt;0,Model!AF$1&lt;='Assumptions (Solar)'!$V$13),PPMT('Assumptions (Solar)'!$V$10,Model!AF$1,'Assumptions (Solar)'!$V$13,'Assumptions (Solar)'!$V$8*Model!$W$902*('Assumptions (Solar)'!$U$20*'Assumptions (Solar)'!$U$2+'Assumptions (Solar)'!$U$21*'Assumptions (Solar)'!$U$3)/10^9),0)</f>
        <v>0</v>
      </c>
      <c r="AG979" s="160"/>
      <c r="AH979" s="160"/>
      <c r="AI979" s="160"/>
      <c r="AJ979" s="160"/>
      <c r="AK979" s="160"/>
      <c r="AL979" s="160"/>
      <c r="AM979" s="160"/>
      <c r="AN979" s="160"/>
      <c r="AO979" s="160"/>
      <c r="AP979" s="160"/>
      <c r="AQ979" s="160"/>
      <c r="AR979" s="160"/>
      <c r="AS979" s="160"/>
      <c r="AT979" s="160"/>
      <c r="AU979" s="160"/>
      <c r="AV979" s="160"/>
      <c r="AW979" s="160"/>
      <c r="AX979" s="160"/>
      <c r="AY979" s="160"/>
      <c r="AZ979" s="160"/>
      <c r="BA979" s="160"/>
    </row>
    <row r="980" ht="15.75" hidden="1" customHeight="1" outlineLevel="1">
      <c r="A980" s="255"/>
      <c r="B980" s="38"/>
      <c r="C980" s="174"/>
      <c r="D980" s="174"/>
      <c r="E980" s="174"/>
      <c r="F980" s="174"/>
      <c r="G980" s="174"/>
      <c r="H980" s="174"/>
      <c r="I980" s="174"/>
      <c r="J980" s="174"/>
      <c r="K980" s="174"/>
      <c r="L980" s="174"/>
      <c r="M980" s="174"/>
      <c r="N980" s="174"/>
      <c r="O980" s="174"/>
      <c r="P980" s="174"/>
      <c r="Q980" s="174"/>
      <c r="R980" s="174"/>
      <c r="S980" s="174"/>
      <c r="T980" s="174"/>
      <c r="U980" s="174"/>
      <c r="V980" s="174"/>
      <c r="W980" s="160"/>
      <c r="X980" s="160">
        <f>IF(and($X$902&gt;0,Model!W$1&lt;='Assumptions (Solar)'!$V$13),PPMT('Assumptions (Solar)'!$V$10,Model!W$1,'Assumptions (Solar)'!$V$13,'Assumptions (Solar)'!$V$8*Model!$X$902*('Assumptions (Solar)'!$V$20*'Assumptions (Solar)'!$V$2+'Assumptions (Solar)'!$V$21*'Assumptions (Solar)'!$V$3)/10^9),0)</f>
        <v>-0.1158236428</v>
      </c>
      <c r="Y980" s="160">
        <f>IF(and($X$902&gt;0,Model!X$1&lt;='Assumptions (Solar)'!$V$13),PPMT('Assumptions (Solar)'!$V$10,Model!X$1,'Assumptions (Solar)'!$V$13,'Assumptions (Solar)'!$V$8*Model!$X$902*('Assumptions (Solar)'!$V$20*'Assumptions (Solar)'!$V$2+'Assumptions (Solar)'!$V$21*'Assumptions (Solar)'!$V$3)/10^9),0)</f>
        <v>-0.1250895343</v>
      </c>
      <c r="Z980" s="160">
        <f>IF(and($X$902&gt;0,Model!Y$1&lt;='Assumptions (Solar)'!$V$13),PPMT('Assumptions (Solar)'!$V$10,Model!Y$1,'Assumptions (Solar)'!$V$13,'Assumptions (Solar)'!$V$8*Model!$X$902*('Assumptions (Solar)'!$V$20*'Assumptions (Solar)'!$V$2+'Assumptions (Solar)'!$V$21*'Assumptions (Solar)'!$V$3)/10^9),0)</f>
        <v>-0.135096697</v>
      </c>
      <c r="AA980" s="160">
        <f>IF(and($X$902&gt;0,Model!Z$1&lt;='Assumptions (Solar)'!$V$13),PPMT('Assumptions (Solar)'!$V$10,Model!Z$1,'Assumptions (Solar)'!$V$13,'Assumptions (Solar)'!$V$8*Model!$X$902*('Assumptions (Solar)'!$V$20*'Assumptions (Solar)'!$V$2+'Assumptions (Solar)'!$V$21*'Assumptions (Solar)'!$V$3)/10^9),0)</f>
        <v>-0.1459044328</v>
      </c>
      <c r="AB980" s="160">
        <f>IF(and($X$902&gt;0,Model!AA$1&lt;='Assumptions (Solar)'!$V$13),PPMT('Assumptions (Solar)'!$V$10,Model!AA$1,'Assumptions (Solar)'!$V$13,'Assumptions (Solar)'!$V$8*Model!$X$902*('Assumptions (Solar)'!$V$20*'Assumptions (Solar)'!$V$2+'Assumptions (Solar)'!$V$21*'Assumptions (Solar)'!$V$3)/10^9),0)</f>
        <v>-0.1575767874</v>
      </c>
      <c r="AC980" s="160">
        <f>IF(and($X$902&gt;0,Model!AB$1&lt;='Assumptions (Solar)'!$V$13),PPMT('Assumptions (Solar)'!$V$10,Model!AB$1,'Assumptions (Solar)'!$V$13,'Assumptions (Solar)'!$V$8*Model!$X$902*('Assumptions (Solar)'!$V$20*'Assumptions (Solar)'!$V$2+'Assumptions (Solar)'!$V$21*'Assumptions (Solar)'!$V$3)/10^9),0)</f>
        <v>-0.1701829304</v>
      </c>
      <c r="AD980" s="160">
        <f>IF(and($X$902&gt;0,Model!AC$1&lt;='Assumptions (Solar)'!$V$13),PPMT('Assumptions (Solar)'!$V$10,Model!AC$1,'Assumptions (Solar)'!$V$13,'Assumptions (Solar)'!$V$8*Model!$X$902*('Assumptions (Solar)'!$V$20*'Assumptions (Solar)'!$V$2+'Assumptions (Solar)'!$V$21*'Assumptions (Solar)'!$V$3)/10^9),0)</f>
        <v>-0.1837975648</v>
      </c>
      <c r="AE980" s="160">
        <f>IF(and($X$902&gt;0,Model!AD$1&lt;='Assumptions (Solar)'!$V$13),PPMT('Assumptions (Solar)'!$V$10,Model!AD$1,'Assumptions (Solar)'!$V$13,'Assumptions (Solar)'!$V$8*Model!$X$902*('Assumptions (Solar)'!$V$20*'Assumptions (Solar)'!$V$2+'Assumptions (Solar)'!$V$21*'Assumptions (Solar)'!$V$3)/10^9),0)</f>
        <v>-0.19850137</v>
      </c>
      <c r="AF980" s="160">
        <f>IF(and($X$902&gt;0,Model!AE$1&lt;='Assumptions (Solar)'!$V$13),PPMT('Assumptions (Solar)'!$V$10,Model!AE$1,'Assumptions (Solar)'!$V$13,'Assumptions (Solar)'!$V$8*Model!$X$902*('Assumptions (Solar)'!$V$20*'Assumptions (Solar)'!$V$2+'Assumptions (Solar)'!$V$21*'Assumptions (Solar)'!$V$3)/10^9),0)</f>
        <v>-0.2143814796</v>
      </c>
      <c r="AG980" s="160">
        <f>IF(and($X$902&gt;0,Model!AF$1&lt;='Assumptions (Solar)'!$V$13),PPMT('Assumptions (Solar)'!$V$10,Model!AF$1,'Assumptions (Solar)'!$V$13,'Assumptions (Solar)'!$V$8*Model!$X$902*('Assumptions (Solar)'!$V$20*'Assumptions (Solar)'!$V$2+'Assumptions (Solar)'!$V$21*'Assumptions (Solar)'!$V$3)/10^9),0)</f>
        <v>-0.231531998</v>
      </c>
      <c r="AH980" s="160"/>
      <c r="AI980" s="160"/>
      <c r="AJ980" s="160"/>
      <c r="AK980" s="160"/>
      <c r="AL980" s="160"/>
      <c r="AM980" s="160"/>
      <c r="AN980" s="160"/>
      <c r="AO980" s="160"/>
      <c r="AP980" s="160"/>
      <c r="AQ980" s="160"/>
      <c r="AR980" s="160"/>
      <c r="AS980" s="160"/>
      <c r="AT980" s="160"/>
      <c r="AU980" s="160"/>
      <c r="AV980" s="160"/>
      <c r="AW980" s="160"/>
      <c r="AX980" s="160"/>
      <c r="AY980" s="160"/>
      <c r="AZ980" s="160"/>
      <c r="BA980" s="160"/>
    </row>
    <row r="981" ht="15.75" hidden="1" customHeight="1" outlineLevel="1">
      <c r="A981" s="255"/>
      <c r="B981" s="38"/>
      <c r="C981" s="174"/>
      <c r="D981" s="174"/>
      <c r="E981" s="174"/>
      <c r="F981" s="174"/>
      <c r="G981" s="174"/>
      <c r="H981" s="174"/>
      <c r="I981" s="174"/>
      <c r="J981" s="174"/>
      <c r="K981" s="174"/>
      <c r="L981" s="174"/>
      <c r="M981" s="174"/>
      <c r="N981" s="174"/>
      <c r="O981" s="174"/>
      <c r="P981" s="174"/>
      <c r="Q981" s="174"/>
      <c r="R981" s="174"/>
      <c r="S981" s="174"/>
      <c r="T981" s="174"/>
      <c r="U981" s="174"/>
      <c r="V981" s="174"/>
      <c r="W981" s="160"/>
      <c r="X981" s="160"/>
      <c r="Y981" s="160">
        <f>IF(and($Y$902&gt;0,Model!W$1&lt;='Assumptions (Solar)'!$V$13),PPMT('Assumptions (Solar)'!$V$10,Model!W$1,'Assumptions (Solar)'!$V$13,'Assumptions (Solar)'!$V$8*Model!$Y$902*('Assumptions (Solar)'!$W$20*'Assumptions (Solar)'!$W$2+'Assumptions (Solar)'!$W$21*'Assumptions (Solar)'!$W$3)/10^9),0)</f>
        <v>-0.08091398285</v>
      </c>
      <c r="Z981" s="160">
        <f>IF(and($Y$902&gt;0,Model!X$1&lt;='Assumptions (Solar)'!$V$13),PPMT('Assumptions (Solar)'!$V$10,Model!X$1,'Assumptions (Solar)'!$V$13,'Assumptions (Solar)'!$V$8*Model!$Y$902*('Assumptions (Solar)'!$W$20*'Assumptions (Solar)'!$W$2+'Assumptions (Solar)'!$W$21*'Assumptions (Solar)'!$W$3)/10^9),0)</f>
        <v>-0.08738710147</v>
      </c>
      <c r="AA981" s="160">
        <f>IF(and($Y$902&gt;0,Model!Y$1&lt;='Assumptions (Solar)'!$V$13),PPMT('Assumptions (Solar)'!$V$10,Model!Y$1,'Assumptions (Solar)'!$V$13,'Assumptions (Solar)'!$V$8*Model!$Y$902*('Assumptions (Solar)'!$W$20*'Assumptions (Solar)'!$W$2+'Assumptions (Solar)'!$W$21*'Assumptions (Solar)'!$W$3)/10^9),0)</f>
        <v>-0.09437806959</v>
      </c>
      <c r="AB981" s="160">
        <f>IF(and($Y$902&gt;0,Model!Z$1&lt;='Assumptions (Solar)'!$V$13),PPMT('Assumptions (Solar)'!$V$10,Model!Z$1,'Assumptions (Solar)'!$V$13,'Assumptions (Solar)'!$V$8*Model!$Y$902*('Assumptions (Solar)'!$W$20*'Assumptions (Solar)'!$W$2+'Assumptions (Solar)'!$W$21*'Assumptions (Solar)'!$W$3)/10^9),0)</f>
        <v>-0.1019283152</v>
      </c>
      <c r="AC981" s="160">
        <f>IF(and($Y$902&gt;0,Model!AA$1&lt;='Assumptions (Solar)'!$V$13),PPMT('Assumptions (Solar)'!$V$10,Model!AA$1,'Assumptions (Solar)'!$V$13,'Assumptions (Solar)'!$V$8*Model!$Y$902*('Assumptions (Solar)'!$W$20*'Assumptions (Solar)'!$W$2+'Assumptions (Solar)'!$W$21*'Assumptions (Solar)'!$W$3)/10^9),0)</f>
        <v>-0.1100825804</v>
      </c>
      <c r="AD981" s="160">
        <f>IF(and($Y$902&gt;0,Model!AB$1&lt;='Assumptions (Solar)'!$V$13),PPMT('Assumptions (Solar)'!$V$10,Model!AB$1,'Assumptions (Solar)'!$V$13,'Assumptions (Solar)'!$V$8*Model!$Y$902*('Assumptions (Solar)'!$W$20*'Assumptions (Solar)'!$W$2+'Assumptions (Solar)'!$W$21*'Assumptions (Solar)'!$W$3)/10^9),0)</f>
        <v>-0.1188891868</v>
      </c>
      <c r="AE981" s="160">
        <f>IF(and($Y$902&gt;0,Model!AC$1&lt;='Assumptions (Solar)'!$V$13),PPMT('Assumptions (Solar)'!$V$10,Model!AC$1,'Assumptions (Solar)'!$V$13,'Assumptions (Solar)'!$V$8*Model!$Y$902*('Assumptions (Solar)'!$W$20*'Assumptions (Solar)'!$W$2+'Assumptions (Solar)'!$W$21*'Assumptions (Solar)'!$W$3)/10^9),0)</f>
        <v>-0.1284003217</v>
      </c>
      <c r="AF981" s="160">
        <f>IF(and($Y$902&gt;0,Model!AD$1&lt;='Assumptions (Solar)'!$V$13),PPMT('Assumptions (Solar)'!$V$10,Model!AD$1,'Assumptions (Solar)'!$V$13,'Assumptions (Solar)'!$V$8*Model!$Y$902*('Assumptions (Solar)'!$W$20*'Assumptions (Solar)'!$W$2+'Assumptions (Solar)'!$W$21*'Assumptions (Solar)'!$W$3)/10^9),0)</f>
        <v>-0.1386723475</v>
      </c>
      <c r="AG981" s="160">
        <f>IF(and($Y$902&gt;0,Model!AE$1&lt;='Assumptions (Solar)'!$V$13),PPMT('Assumptions (Solar)'!$V$10,Model!AE$1,'Assumptions (Solar)'!$V$13,'Assumptions (Solar)'!$V$8*Model!$Y$902*('Assumptions (Solar)'!$W$20*'Assumptions (Solar)'!$W$2+'Assumptions (Solar)'!$W$21*'Assumptions (Solar)'!$W$3)/10^9),0)</f>
        <v>-0.1497661353</v>
      </c>
      <c r="AH981" s="160">
        <f>IF(and($Y$902&gt;0,Model!AF$1&lt;='Assumptions (Solar)'!$V$13),PPMT('Assumptions (Solar)'!$V$10,Model!AF$1,'Assumptions (Solar)'!$V$13,'Assumptions (Solar)'!$V$8*Model!$Y$902*('Assumptions (Solar)'!$W$20*'Assumptions (Solar)'!$W$2+'Assumptions (Solar)'!$W$21*'Assumptions (Solar)'!$W$3)/10^9),0)</f>
        <v>-0.1617474261</v>
      </c>
      <c r="AI981" s="160"/>
      <c r="AJ981" s="160"/>
      <c r="AK981" s="160"/>
      <c r="AL981" s="160"/>
      <c r="AM981" s="160"/>
      <c r="AN981" s="160"/>
      <c r="AO981" s="160"/>
      <c r="AP981" s="160"/>
      <c r="AQ981" s="160"/>
      <c r="AR981" s="160"/>
      <c r="AS981" s="160"/>
      <c r="AT981" s="160"/>
      <c r="AU981" s="160"/>
      <c r="AV981" s="160"/>
      <c r="AW981" s="160"/>
      <c r="AX981" s="160"/>
      <c r="AY981" s="160"/>
      <c r="AZ981" s="160"/>
      <c r="BA981" s="160"/>
    </row>
    <row r="982" ht="15.75" hidden="1" customHeight="1" outlineLevel="1">
      <c r="A982" s="255"/>
      <c r="B982" s="38"/>
      <c r="C982" s="174"/>
      <c r="D982" s="174"/>
      <c r="E982" s="174"/>
      <c r="F982" s="174"/>
      <c r="G982" s="174"/>
      <c r="H982" s="174"/>
      <c r="I982" s="174"/>
      <c r="J982" s="174"/>
      <c r="K982" s="174"/>
      <c r="L982" s="174"/>
      <c r="M982" s="174"/>
      <c r="N982" s="174"/>
      <c r="O982" s="174"/>
      <c r="P982" s="174"/>
      <c r="Q982" s="174"/>
      <c r="R982" s="174"/>
      <c r="S982" s="174"/>
      <c r="T982" s="174"/>
      <c r="U982" s="174"/>
      <c r="V982" s="174"/>
      <c r="W982" s="160"/>
      <c r="X982" s="160"/>
      <c r="Y982" s="160"/>
      <c r="Z982" s="160">
        <f>IF(and($Z$902&gt;0,Model!W$1&lt;='Assumptions (Solar)'!$V$13),PPMT('Assumptions (Solar)'!$V$10,Model!W$1,'Assumptions (Solar)'!$V$13,'Assumptions (Solar)'!$V$8*Model!$Z$902*('Assumptions (Solar)'!$X$20*'Assumptions (Solar)'!$X$2+'Assumptions (Solar)'!$X$21*'Assumptions (Solar)'!$X$3)/10^9),0)</f>
        <v>-0.07919789909</v>
      </c>
      <c r="AA982" s="160">
        <f>IF(and($Z$902&gt;0,Model!X$1&lt;='Assumptions (Solar)'!$V$13),PPMT('Assumptions (Solar)'!$V$10,Model!X$1,'Assumptions (Solar)'!$V$13,'Assumptions (Solar)'!$V$8*Model!$Z$902*('Assumptions (Solar)'!$X$20*'Assumptions (Solar)'!$X$2+'Assumptions (Solar)'!$X$21*'Assumptions (Solar)'!$X$3)/10^9),0)</f>
        <v>-0.08553373102</v>
      </c>
      <c r="AB982" s="160">
        <f>IF(and($Z$902&gt;0,Model!Y$1&lt;='Assumptions (Solar)'!$V$13),PPMT('Assumptions (Solar)'!$V$10,Model!Y$1,'Assumptions (Solar)'!$V$13,'Assumptions (Solar)'!$V$8*Model!$Z$902*('Assumptions (Solar)'!$X$20*'Assumptions (Solar)'!$X$2+'Assumptions (Solar)'!$X$21*'Assumptions (Solar)'!$X$3)/10^9),0)</f>
        <v>-0.0923764295</v>
      </c>
      <c r="AC982" s="160">
        <f>IF(and($Z$902&gt;0,Model!Z$1&lt;='Assumptions (Solar)'!$V$13),PPMT('Assumptions (Solar)'!$V$10,Model!Z$1,'Assumptions (Solar)'!$V$13,'Assumptions (Solar)'!$V$8*Model!$Z$902*('Assumptions (Solar)'!$X$20*'Assumptions (Solar)'!$X$2+'Assumptions (Solar)'!$X$21*'Assumptions (Solar)'!$X$3)/10^9),0)</f>
        <v>-0.09976654386</v>
      </c>
      <c r="AD982" s="160">
        <f>IF(and($Z$902&gt;0,Model!AA$1&lt;='Assumptions (Solar)'!$V$13),PPMT('Assumptions (Solar)'!$V$10,Model!AA$1,'Assumptions (Solar)'!$V$13,'Assumptions (Solar)'!$V$8*Model!$Z$902*('Assumptions (Solar)'!$X$20*'Assumptions (Solar)'!$X$2+'Assumptions (Solar)'!$X$21*'Assumptions (Solar)'!$X$3)/10^9),0)</f>
        <v>-0.1077478674</v>
      </c>
      <c r="AE982" s="160">
        <f>IF(and($Z$902&gt;0,Model!AB$1&lt;='Assumptions (Solar)'!$V$13),PPMT('Assumptions (Solar)'!$V$10,Model!AB$1,'Assumptions (Solar)'!$V$13,'Assumptions (Solar)'!$V$8*Model!$Z$902*('Assumptions (Solar)'!$X$20*'Assumptions (Solar)'!$X$2+'Assumptions (Solar)'!$X$21*'Assumptions (Solar)'!$X$3)/10^9),0)</f>
        <v>-0.1163676968</v>
      </c>
      <c r="AF982" s="160">
        <f>IF(and($Z$902&gt;0,Model!AC$1&lt;='Assumptions (Solar)'!$V$13),PPMT('Assumptions (Solar)'!$V$10,Model!AC$1,'Assumptions (Solar)'!$V$13,'Assumptions (Solar)'!$V$8*Model!$Z$902*('Assumptions (Solar)'!$X$20*'Assumptions (Solar)'!$X$2+'Assumptions (Solar)'!$X$21*'Assumptions (Solar)'!$X$3)/10^9),0)</f>
        <v>-0.1256771125</v>
      </c>
      <c r="AG982" s="160">
        <f>IF(and($Z$902&gt;0,Model!AD$1&lt;='Assumptions (Solar)'!$V$13),PPMT('Assumptions (Solar)'!$V$10,Model!AD$1,'Assumptions (Solar)'!$V$13,'Assumptions (Solar)'!$V$8*Model!$Z$902*('Assumptions (Solar)'!$X$20*'Assumptions (Solar)'!$X$2+'Assumptions (Solar)'!$X$21*'Assumptions (Solar)'!$X$3)/10^9),0)</f>
        <v>-0.1357312815</v>
      </c>
      <c r="AH982" s="160">
        <f>IF(and($Z$902&gt;0,Model!AE$1&lt;='Assumptions (Solar)'!$V$13),PPMT('Assumptions (Solar)'!$V$10,Model!AE$1,'Assumptions (Solar)'!$V$13,'Assumptions (Solar)'!$V$8*Model!$Z$902*('Assumptions (Solar)'!$X$20*'Assumptions (Solar)'!$X$2+'Assumptions (Solar)'!$X$21*'Assumptions (Solar)'!$X$3)/10^9),0)</f>
        <v>-0.146589784</v>
      </c>
      <c r="AI982" s="160">
        <f>IF(and($Z$902&gt;0,Model!AF$1&lt;='Assumptions (Solar)'!$V$13),PPMT('Assumptions (Solar)'!$V$10,Model!AF$1,'Assumptions (Solar)'!$V$13,'Assumptions (Solar)'!$V$8*Model!$Z$902*('Assumptions (Solar)'!$X$20*'Assumptions (Solar)'!$X$2+'Assumptions (Solar)'!$X$21*'Assumptions (Solar)'!$X$3)/10^9),0)</f>
        <v>-0.1583169667</v>
      </c>
      <c r="AJ982" s="160"/>
      <c r="AK982" s="160"/>
      <c r="AL982" s="160"/>
      <c r="AM982" s="160"/>
      <c r="AN982" s="160"/>
      <c r="AO982" s="160"/>
      <c r="AP982" s="160"/>
      <c r="AQ982" s="160"/>
      <c r="AR982" s="160"/>
      <c r="AS982" s="160"/>
      <c r="AT982" s="160"/>
      <c r="AU982" s="160"/>
      <c r="AV982" s="160"/>
      <c r="AW982" s="160"/>
      <c r="AX982" s="160"/>
      <c r="AY982" s="160"/>
      <c r="AZ982" s="160"/>
      <c r="BA982" s="160"/>
    </row>
    <row r="983" ht="15.75" hidden="1" customHeight="1" outlineLevel="1">
      <c r="A983" s="255"/>
      <c r="B983" s="38"/>
      <c r="C983" s="174"/>
      <c r="D983" s="174"/>
      <c r="E983" s="174"/>
      <c r="F983" s="174"/>
      <c r="G983" s="174"/>
      <c r="H983" s="174"/>
      <c r="I983" s="174"/>
      <c r="J983" s="174"/>
      <c r="K983" s="174"/>
      <c r="L983" s="174"/>
      <c r="M983" s="174"/>
      <c r="N983" s="174"/>
      <c r="O983" s="174"/>
      <c r="P983" s="174"/>
      <c r="Q983" s="174"/>
      <c r="R983" s="174"/>
      <c r="S983" s="174"/>
      <c r="T983" s="174"/>
      <c r="U983" s="174"/>
      <c r="V983" s="174"/>
      <c r="W983" s="160"/>
      <c r="X983" s="160"/>
      <c r="Y983" s="160"/>
      <c r="Z983" s="160"/>
      <c r="AA983" s="160">
        <f>IF(and($AA$902&gt;0,Model!W$1&lt;='Assumptions (Solar)'!$V$13),PPMT('Assumptions (Solar)'!$V$10,Model!W$1,'Assumptions (Solar)'!$V$13,'Assumptions (Solar)'!$V$8*Model!$AA$902*('Assumptions (Solar)'!$Y$20*'Assumptions (Solar)'!$Y$2+'Assumptions (Solar)'!$Y$21*'Assumptions (Solar)'!$Y$3)/10^9),0)</f>
        <v>-0.07738406139</v>
      </c>
      <c r="AB983" s="160">
        <f>IF(and($AA$902&gt;0,Model!X$1&lt;='Assumptions (Solar)'!$V$13),PPMT('Assumptions (Solar)'!$V$10,Model!X$1,'Assumptions (Solar)'!$V$13,'Assumptions (Solar)'!$V$8*Model!$AA$902*('Assumptions (Solar)'!$Y$20*'Assumptions (Solar)'!$Y$2+'Assumptions (Solar)'!$Y$21*'Assumptions (Solar)'!$Y$3)/10^9),0)</f>
        <v>-0.08357478631</v>
      </c>
      <c r="AC983" s="160">
        <f>IF(and($AA$902&gt;0,Model!Y$1&lt;='Assumptions (Solar)'!$V$13),PPMT('Assumptions (Solar)'!$V$10,Model!Y$1,'Assumptions (Solar)'!$V$13,'Assumptions (Solar)'!$V$8*Model!$AA$902*('Assumptions (Solar)'!$Y$20*'Assumptions (Solar)'!$Y$2+'Assumptions (Solar)'!$Y$21*'Assumptions (Solar)'!$Y$3)/10^9),0)</f>
        <v>-0.09026076921</v>
      </c>
      <c r="AD983" s="160">
        <f>IF(and($AA$902&gt;0,Model!Z$1&lt;='Assumptions (Solar)'!$V$13),PPMT('Assumptions (Solar)'!$V$10,Model!Z$1,'Assumptions (Solar)'!$V$13,'Assumptions (Solar)'!$V$8*Model!$AA$902*('Assumptions (Solar)'!$Y$20*'Assumptions (Solar)'!$Y$2+'Assumptions (Solar)'!$Y$21*'Assumptions (Solar)'!$Y$3)/10^9),0)</f>
        <v>-0.09748163075</v>
      </c>
      <c r="AE983" s="160">
        <f>IF(and($AA$902&gt;0,Model!AA$1&lt;='Assumptions (Solar)'!$V$13),PPMT('Assumptions (Solar)'!$V$10,Model!AA$1,'Assumptions (Solar)'!$V$13,'Assumptions (Solar)'!$V$8*Model!$AA$902*('Assumptions (Solar)'!$Y$20*'Assumptions (Solar)'!$Y$2+'Assumptions (Solar)'!$Y$21*'Assumptions (Solar)'!$Y$3)/10^9),0)</f>
        <v>-0.1052801612</v>
      </c>
      <c r="AF983" s="160">
        <f>IF(and($AA$902&gt;0,Model!AB$1&lt;='Assumptions (Solar)'!$V$13),PPMT('Assumptions (Solar)'!$V$10,Model!AB$1,'Assumptions (Solar)'!$V$13,'Assumptions (Solar)'!$V$8*Model!$AA$902*('Assumptions (Solar)'!$Y$20*'Assumptions (Solar)'!$Y$2+'Assumptions (Solar)'!$Y$21*'Assumptions (Solar)'!$Y$3)/10^9),0)</f>
        <v>-0.1137025741</v>
      </c>
      <c r="AG983" s="160">
        <f>IF(and($AA$902&gt;0,Model!AC$1&lt;='Assumptions (Solar)'!$V$13),PPMT('Assumptions (Solar)'!$V$10,Model!AC$1,'Assumptions (Solar)'!$V$13,'Assumptions (Solar)'!$V$8*Model!$AA$902*('Assumptions (Solar)'!$Y$20*'Assumptions (Solar)'!$Y$2+'Assumptions (Solar)'!$Y$21*'Assumptions (Solar)'!$Y$3)/10^9),0)</f>
        <v>-0.12279878</v>
      </c>
      <c r="AH983" s="160">
        <f>IF(and($AA$902&gt;0,Model!AD$1&lt;='Assumptions (Solar)'!$V$13),PPMT('Assumptions (Solar)'!$V$10,Model!AD$1,'Assumptions (Solar)'!$V$13,'Assumptions (Solar)'!$V$8*Model!$AA$902*('Assumptions (Solar)'!$Y$20*'Assumptions (Solar)'!$Y$2+'Assumptions (Solar)'!$Y$21*'Assumptions (Solar)'!$Y$3)/10^9),0)</f>
        <v>-0.1326226824</v>
      </c>
      <c r="AI983" s="160">
        <f>IF(and($AA$902&gt;0,Model!AE$1&lt;='Assumptions (Solar)'!$V$13),PPMT('Assumptions (Solar)'!$V$10,Model!AE$1,'Assumptions (Solar)'!$V$13,'Assumptions (Solar)'!$V$8*Model!$AA$902*('Assumptions (Solar)'!$Y$20*'Assumptions (Solar)'!$Y$2+'Assumptions (Solar)'!$Y$21*'Assumptions (Solar)'!$Y$3)/10^9),0)</f>
        <v>-0.143232497</v>
      </c>
      <c r="AJ983" s="160">
        <f>IF(and($AA$902&gt;0,Model!AF$1&lt;='Assumptions (Solar)'!$V$13),PPMT('Assumptions (Solar)'!$V$10,Model!AF$1,'Assumptions (Solar)'!$V$13,'Assumptions (Solar)'!$V$8*Model!$AA$902*('Assumptions (Solar)'!$Y$20*'Assumptions (Solar)'!$Y$2+'Assumptions (Solar)'!$Y$21*'Assumptions (Solar)'!$Y$3)/10^9),0)</f>
        <v>-0.1546910968</v>
      </c>
      <c r="AK983" s="160"/>
      <c r="AL983" s="160"/>
      <c r="AM983" s="160"/>
      <c r="AN983" s="160"/>
      <c r="AO983" s="160"/>
      <c r="AP983" s="160"/>
      <c r="AQ983" s="160"/>
      <c r="AR983" s="160"/>
      <c r="AS983" s="160"/>
      <c r="AT983" s="160"/>
      <c r="AU983" s="160"/>
      <c r="AV983" s="160"/>
      <c r="AW983" s="160"/>
      <c r="AX983" s="160"/>
      <c r="AY983" s="160"/>
      <c r="AZ983" s="160"/>
      <c r="BA983" s="160"/>
    </row>
    <row r="984" ht="15.75" hidden="1" customHeight="1" outlineLevel="1">
      <c r="A984" s="255"/>
      <c r="B984" s="38"/>
      <c r="C984" s="174"/>
      <c r="D984" s="174"/>
      <c r="E984" s="174"/>
      <c r="F984" s="174"/>
      <c r="G984" s="174"/>
      <c r="H984" s="174"/>
      <c r="I984" s="174"/>
      <c r="J984" s="174"/>
      <c r="K984" s="174"/>
      <c r="L984" s="174"/>
      <c r="M984" s="174"/>
      <c r="N984" s="174"/>
      <c r="O984" s="174"/>
      <c r="P984" s="174"/>
      <c r="Q984" s="174"/>
      <c r="R984" s="174"/>
      <c r="S984" s="174"/>
      <c r="T984" s="174"/>
      <c r="U984" s="174"/>
      <c r="V984" s="174"/>
      <c r="W984" s="160"/>
      <c r="X984" s="160"/>
      <c r="Y984" s="160"/>
      <c r="Z984" s="160"/>
      <c r="AA984" s="160"/>
      <c r="AB984" s="160">
        <f>IF(and($AB$902&gt;0,Model!W$1&lt;='Assumptions (Solar)'!$V$13),PPMT('Assumptions (Solar)'!$V$10,Model!W$1,'Assumptions (Solar)'!$V$13,'Assumptions (Solar)'!$V$8*Model!$AB$902*('Assumptions (Solar)'!$Z$20*'Assumptions (Solar)'!$Z$2+'Assumptions (Solar)'!$Z$21*'Assumptions (Solar)'!$Z$3)/10^9),0)</f>
        <v>-0.07553516329</v>
      </c>
      <c r="AC984" s="160">
        <f>IF(and($AB$902&gt;0,Model!X$1&lt;='Assumptions (Solar)'!$V$13),PPMT('Assumptions (Solar)'!$V$10,Model!X$1,'Assumptions (Solar)'!$V$13,'Assumptions (Solar)'!$V$8*Model!$AB$902*('Assumptions (Solar)'!$Z$20*'Assumptions (Solar)'!$Z$2+'Assumptions (Solar)'!$Z$21*'Assumptions (Solar)'!$Z$3)/10^9),0)</f>
        <v>-0.08157797635</v>
      </c>
      <c r="AD984" s="160">
        <f>IF(and($AB$902&gt;0,Model!Y$1&lt;='Assumptions (Solar)'!$V$13),PPMT('Assumptions (Solar)'!$V$10,Model!Y$1,'Assumptions (Solar)'!$V$13,'Assumptions (Solar)'!$V$8*Model!$AB$902*('Assumptions (Solar)'!$Z$20*'Assumptions (Solar)'!$Z$2+'Assumptions (Solar)'!$Z$21*'Assumptions (Solar)'!$Z$3)/10^9),0)</f>
        <v>-0.08810421446</v>
      </c>
      <c r="AE984" s="160">
        <f>IF(and($AB$902&gt;0,Model!Z$1&lt;='Assumptions (Solar)'!$V$13),PPMT('Assumptions (Solar)'!$V$10,Model!Z$1,'Assumptions (Solar)'!$V$13,'Assumptions (Solar)'!$V$8*Model!$AB$902*('Assumptions (Solar)'!$Z$20*'Assumptions (Solar)'!$Z$2+'Assumptions (Solar)'!$Z$21*'Assumptions (Solar)'!$Z$3)/10^9),0)</f>
        <v>-0.09515255162</v>
      </c>
      <c r="AF984" s="160">
        <f>IF(and($AB$902&gt;0,Model!AA$1&lt;='Assumptions (Solar)'!$V$13),PPMT('Assumptions (Solar)'!$V$10,Model!AA$1,'Assumptions (Solar)'!$V$13,'Assumptions (Solar)'!$V$8*Model!$AB$902*('Assumptions (Solar)'!$Z$20*'Assumptions (Solar)'!$Z$2+'Assumptions (Solar)'!$Z$21*'Assumptions (Solar)'!$Z$3)/10^9),0)</f>
        <v>-0.1027647557</v>
      </c>
      <c r="AG984" s="160">
        <f>IF(and($AB$902&gt;0,Model!AB$1&lt;='Assumptions (Solar)'!$V$13),PPMT('Assumptions (Solar)'!$V$10,Model!AB$1,'Assumptions (Solar)'!$V$13,'Assumptions (Solar)'!$V$8*Model!$AB$902*('Assumptions (Solar)'!$Z$20*'Assumptions (Solar)'!$Z$2+'Assumptions (Solar)'!$Z$21*'Assumptions (Solar)'!$Z$3)/10^9),0)</f>
        <v>-0.1109859362</v>
      </c>
      <c r="AH984" s="160">
        <f>IF(and($AB$902&gt;0,Model!AC$1&lt;='Assumptions (Solar)'!$V$13),PPMT('Assumptions (Solar)'!$V$10,Model!AC$1,'Assumptions (Solar)'!$V$13,'Assumptions (Solar)'!$V$8*Model!$AB$902*('Assumptions (Solar)'!$Z$20*'Assumptions (Solar)'!$Z$2+'Assumptions (Solar)'!$Z$21*'Assumptions (Solar)'!$Z$3)/10^9),0)</f>
        <v>-0.1198648111</v>
      </c>
      <c r="AI984" s="160">
        <f>IF(and($AB$902&gt;0,Model!AD$1&lt;='Assumptions (Solar)'!$V$13),PPMT('Assumptions (Solar)'!$V$10,Model!AD$1,'Assumptions (Solar)'!$V$13,'Assumptions (Solar)'!$V$8*Model!$AB$902*('Assumptions (Solar)'!$Z$20*'Assumptions (Solar)'!$Z$2+'Assumptions (Solar)'!$Z$21*'Assumptions (Solar)'!$Z$3)/10^9),0)</f>
        <v>-0.129453996</v>
      </c>
      <c r="AJ984" s="160">
        <f>IF(and($AB$902&gt;0,Model!AE$1&lt;='Assumptions (Solar)'!$V$13),PPMT('Assumptions (Solar)'!$V$10,Model!AE$1,'Assumptions (Solar)'!$V$13,'Assumptions (Solar)'!$V$8*Model!$AB$902*('Assumptions (Solar)'!$Z$20*'Assumptions (Solar)'!$Z$2+'Assumptions (Solar)'!$Z$21*'Assumptions (Solar)'!$Z$3)/10^9),0)</f>
        <v>-0.1398103157</v>
      </c>
      <c r="AK984" s="160">
        <f>IF(and($AB$902&gt;0,Model!AF$1&lt;='Assumptions (Solar)'!$V$13),PPMT('Assumptions (Solar)'!$V$10,Model!AF$1,'Assumptions (Solar)'!$V$13,'Assumptions (Solar)'!$V$8*Model!$AB$902*('Assumptions (Solar)'!$Z$20*'Assumptions (Solar)'!$Z$2+'Assumptions (Solar)'!$Z$21*'Assumptions (Solar)'!$Z$3)/10^9),0)</f>
        <v>-0.1509951409</v>
      </c>
      <c r="AL984" s="160"/>
      <c r="AM984" s="160"/>
      <c r="AN984" s="160"/>
      <c r="AO984" s="160"/>
      <c r="AP984" s="160"/>
      <c r="AQ984" s="160"/>
      <c r="AR984" s="160"/>
      <c r="AS984" s="160"/>
      <c r="AT984" s="160"/>
      <c r="AU984" s="160"/>
      <c r="AV984" s="160"/>
      <c r="AW984" s="160"/>
      <c r="AX984" s="160"/>
      <c r="AY984" s="160"/>
      <c r="AZ984" s="160"/>
      <c r="BA984" s="160"/>
      <c r="BB984" s="160"/>
    </row>
    <row r="985" ht="15.75" hidden="1" customHeight="1" outlineLevel="1">
      <c r="A985" s="255"/>
      <c r="B985" s="38"/>
      <c r="C985" s="174"/>
      <c r="D985" s="174"/>
      <c r="E985" s="174"/>
      <c r="F985" s="174"/>
      <c r="G985" s="174"/>
      <c r="H985" s="174"/>
      <c r="I985" s="174"/>
      <c r="J985" s="174"/>
      <c r="K985" s="174"/>
      <c r="L985" s="174"/>
      <c r="M985" s="174"/>
      <c r="N985" s="174"/>
      <c r="O985" s="174"/>
      <c r="P985" s="174"/>
      <c r="Q985" s="174"/>
      <c r="R985" s="174"/>
      <c r="S985" s="174"/>
      <c r="T985" s="174"/>
      <c r="U985" s="174"/>
      <c r="V985" s="174"/>
      <c r="W985" s="160"/>
      <c r="X985" s="160"/>
      <c r="Y985" s="160"/>
      <c r="Z985" s="160"/>
      <c r="AA985" s="160"/>
      <c r="AB985" s="160"/>
      <c r="AC985" s="160">
        <f>IF(and($AC$902&gt;0,Model!W$1&lt;='Assumptions (Solar)'!$V$13),PPMT('Assumptions (Solar)'!$V$10,Model!W$1,'Assumptions (Solar)'!$V$13,'Assumptions (Solar)'!$V$8*Model!$AC$902*('Assumptions (Solar)'!$AA$20*'Assumptions (Solar)'!$AA$2+'Assumptions (Solar)'!$AA$21*'Assumptions (Solar)'!$AA$3)/10^9),0)</f>
        <v>-0.07351753329</v>
      </c>
      <c r="AD985" s="160">
        <f>IF(and($AC$902&gt;0,Model!X$1&lt;='Assumptions (Solar)'!$V$13),PPMT('Assumptions (Solar)'!$V$10,Model!X$1,'Assumptions (Solar)'!$V$13,'Assumptions (Solar)'!$V$8*Model!$AC$902*('Assumptions (Solar)'!$AA$20*'Assumptions (Solar)'!$AA$2+'Assumptions (Solar)'!$AA$21*'Assumptions (Solar)'!$AA$3)/10^9),0)</f>
        <v>-0.07939893595</v>
      </c>
      <c r="AE985" s="160">
        <f>IF(and($AC$902&gt;0,Model!Y$1&lt;='Assumptions (Solar)'!$V$13),PPMT('Assumptions (Solar)'!$V$10,Model!Y$1,'Assumptions (Solar)'!$V$13,'Assumptions (Solar)'!$V$8*Model!$AC$902*('Assumptions (Solar)'!$AA$20*'Assumptions (Solar)'!$AA$2+'Assumptions (Solar)'!$AA$21*'Assumptions (Solar)'!$AA$3)/10^9),0)</f>
        <v>-0.08575085083</v>
      </c>
      <c r="AF985" s="160">
        <f>IF(and($AC$902&gt;0,Model!Z$1&lt;='Assumptions (Solar)'!$V$13),PPMT('Assumptions (Solar)'!$V$10,Model!Z$1,'Assumptions (Solar)'!$V$13,'Assumptions (Solar)'!$V$8*Model!$AC$902*('Assumptions (Solar)'!$AA$20*'Assumptions (Solar)'!$AA$2+'Assumptions (Solar)'!$AA$21*'Assumptions (Solar)'!$AA$3)/10^9),0)</f>
        <v>-0.0926109189</v>
      </c>
      <c r="AG985" s="160">
        <f>IF(and($AC$902&gt;0,Model!AA$1&lt;='Assumptions (Solar)'!$V$13),PPMT('Assumptions (Solar)'!$V$10,Model!AA$1,'Assumptions (Solar)'!$V$13,'Assumptions (Solar)'!$V$8*Model!$AC$902*('Assumptions (Solar)'!$AA$20*'Assumptions (Solar)'!$AA$2+'Assumptions (Solar)'!$AA$21*'Assumptions (Solar)'!$AA$3)/10^9),0)</f>
        <v>-0.1000197924</v>
      </c>
      <c r="AH985" s="160">
        <f>IF(and($AC$902&gt;0,Model!AB$1&lt;='Assumptions (Solar)'!$V$13),PPMT('Assumptions (Solar)'!$V$10,Model!AB$1,'Assumptions (Solar)'!$V$13,'Assumptions (Solar)'!$V$8*Model!$AC$902*('Assumptions (Solar)'!$AA$20*'Assumptions (Solar)'!$AA$2+'Assumptions (Solar)'!$AA$21*'Assumptions (Solar)'!$AA$3)/10^9),0)</f>
        <v>-0.1080213758</v>
      </c>
      <c r="AI985" s="160">
        <f>IF(and($AC$902&gt;0,Model!AC$1&lt;='Assumptions (Solar)'!$V$13),PPMT('Assumptions (Solar)'!$V$10,Model!AC$1,'Assumptions (Solar)'!$V$13,'Assumptions (Solar)'!$V$8*Model!$AC$902*('Assumptions (Solar)'!$AA$20*'Assumptions (Solar)'!$AA$2+'Assumptions (Solar)'!$AA$21*'Assumptions (Solar)'!$AA$3)/10^9),0)</f>
        <v>-0.1166630859</v>
      </c>
      <c r="AJ985" s="160">
        <f>IF(and($AC$902&gt;0,Model!AD$1&lt;='Assumptions (Solar)'!$V$13),PPMT('Assumptions (Solar)'!$V$10,Model!AD$1,'Assumptions (Solar)'!$V$13,'Assumptions (Solar)'!$V$8*Model!$AC$902*('Assumptions (Solar)'!$AA$20*'Assumptions (Solar)'!$AA$2+'Assumptions (Solar)'!$AA$21*'Assumptions (Solar)'!$AA$3)/10^9),0)</f>
        <v>-0.1259961327</v>
      </c>
      <c r="AK985" s="160">
        <f>IF(and($AC$902&gt;0,Model!AE$1&lt;='Assumptions (Solar)'!$V$13),PPMT('Assumptions (Solar)'!$V$10,Model!AE$1,'Assumptions (Solar)'!$V$13,'Assumptions (Solar)'!$V$8*Model!$AC$902*('Assumptions (Solar)'!$AA$20*'Assumptions (Solar)'!$AA$2+'Assumptions (Solar)'!$AA$21*'Assumptions (Solar)'!$AA$3)/10^9),0)</f>
        <v>-0.1360758234</v>
      </c>
      <c r="AL985" s="160">
        <f>IF(and($AC$902&gt;0,Model!AF$1&lt;='Assumptions (Solar)'!$V$13),PPMT('Assumptions (Solar)'!$V$10,Model!AF$1,'Assumptions (Solar)'!$V$13,'Assumptions (Solar)'!$V$8*Model!$AC$902*('Assumptions (Solar)'!$AA$20*'Assumptions (Solar)'!$AA$2+'Assumptions (Solar)'!$AA$21*'Assumptions (Solar)'!$AA$3)/10^9),0)</f>
        <v>-0.1469618892</v>
      </c>
      <c r="AM985" s="160"/>
      <c r="AN985" s="160"/>
      <c r="AO985" s="160"/>
      <c r="AP985" s="160"/>
      <c r="AQ985" s="160"/>
      <c r="AR985" s="160"/>
      <c r="AS985" s="160"/>
      <c r="AT985" s="160"/>
      <c r="AU985" s="160"/>
      <c r="AV985" s="160"/>
      <c r="AW985" s="160"/>
      <c r="AX985" s="160"/>
      <c r="AY985" s="160"/>
      <c r="AZ985" s="160"/>
      <c r="BA985" s="160"/>
    </row>
    <row r="986" ht="15.75" hidden="1" customHeight="1" outlineLevel="1">
      <c r="A986" s="255"/>
      <c r="B986" s="38"/>
      <c r="C986" s="174"/>
      <c r="D986" s="174"/>
      <c r="E986" s="174"/>
      <c r="F986" s="174"/>
      <c r="G986" s="174"/>
      <c r="H986" s="174"/>
      <c r="I986" s="174"/>
      <c r="J986" s="174"/>
      <c r="K986" s="174"/>
      <c r="L986" s="174"/>
      <c r="M986" s="174"/>
      <c r="N986" s="174"/>
      <c r="O986" s="174"/>
      <c r="P986" s="174"/>
      <c r="Q986" s="174"/>
      <c r="R986" s="174"/>
      <c r="S986" s="174"/>
      <c r="T986" s="174"/>
      <c r="U986" s="174"/>
      <c r="V986" s="174"/>
      <c r="W986" s="160"/>
      <c r="X986" s="160"/>
      <c r="Y986" s="160"/>
      <c r="Z986" s="160"/>
      <c r="AA986" s="160"/>
      <c r="AB986" s="160"/>
      <c r="AC986" s="160"/>
      <c r="AD986" s="160">
        <f>IF(and($AD$902&gt;0,Model!W$1&lt;='Assumptions (Solar)'!$V$13),PPMT('Assumptions (Solar)'!$V$10,Model!W$1,'Assumptions (Solar)'!$V$13,'Assumptions (Solar)'!$V$8*Model!$AD$902*('Assumptions (Solar)'!$AB$20*'Assumptions (Solar)'!$AB$2+'Assumptions (Solar)'!$AB$21*'Assumptions (Solar)'!$AB$3)/10^9),0)</f>
        <v>-0.07139243082</v>
      </c>
      <c r="AE986" s="160">
        <f>IF(and($AD$902&gt;0,Model!X$1&lt;='Assumptions (Solar)'!$V$13),PPMT('Assumptions (Solar)'!$V$10,Model!X$1,'Assumptions (Solar)'!$V$13,'Assumptions (Solar)'!$V$8*Model!$AD$902*('Assumptions (Solar)'!$AB$20*'Assumptions (Solar)'!$AB$2+'Assumptions (Solar)'!$AB$21*'Assumptions (Solar)'!$AB$3)/10^9),0)</f>
        <v>-0.07710382528</v>
      </c>
      <c r="AF986" s="160">
        <f>IF(and($AD$902&gt;0,Model!Y$1&lt;='Assumptions (Solar)'!$V$13),PPMT('Assumptions (Solar)'!$V$10,Model!Y$1,'Assumptions (Solar)'!$V$13,'Assumptions (Solar)'!$V$8*Model!$AD$902*('Assumptions (Solar)'!$AB$20*'Assumptions (Solar)'!$AB$2+'Assumptions (Solar)'!$AB$21*'Assumptions (Solar)'!$AB$3)/10^9),0)</f>
        <v>-0.08327213131</v>
      </c>
      <c r="AG986" s="160">
        <f>IF(and($AD$902&gt;0,Model!Z$1&lt;='Assumptions (Solar)'!$V$13),PPMT('Assumptions (Solar)'!$V$10,Model!Z$1,'Assumptions (Solar)'!$V$13,'Assumptions (Solar)'!$V$8*Model!$AD$902*('Assumptions (Solar)'!$AB$20*'Assumptions (Solar)'!$AB$2+'Assumptions (Solar)'!$AB$21*'Assumptions (Solar)'!$AB$3)/10^9),0)</f>
        <v>-0.08993390181</v>
      </c>
      <c r="AH986" s="160">
        <f>IF(and($AD$902&gt;0,Model!AA$1&lt;='Assumptions (Solar)'!$V$13),PPMT('Assumptions (Solar)'!$V$10,Model!AA$1,'Assumptions (Solar)'!$V$13,'Assumptions (Solar)'!$V$8*Model!$AD$902*('Assumptions (Solar)'!$AB$20*'Assumptions (Solar)'!$AB$2+'Assumptions (Solar)'!$AB$21*'Assumptions (Solar)'!$AB$3)/10^9),0)</f>
        <v>-0.09712861395</v>
      </c>
      <c r="AI986" s="160">
        <f>IF(and($AD$902&gt;0,Model!AB$1&lt;='Assumptions (Solar)'!$V$13),PPMT('Assumptions (Solar)'!$V$10,Model!AB$1,'Assumptions (Solar)'!$V$13,'Assumptions (Solar)'!$V$8*Model!$AD$902*('Assumptions (Solar)'!$AB$20*'Assumptions (Solar)'!$AB$2+'Assumptions (Solar)'!$AB$21*'Assumptions (Solar)'!$AB$3)/10^9),0)</f>
        <v>-0.1048989031</v>
      </c>
      <c r="AJ986" s="160">
        <f>IF(and($AD$902&gt;0,Model!AC$1&lt;='Assumptions (Solar)'!$V$13),PPMT('Assumptions (Solar)'!$V$10,Model!AC$1,'Assumptions (Solar)'!$V$13,'Assumptions (Solar)'!$V$8*Model!$AD$902*('Assumptions (Solar)'!$AB$20*'Assumptions (Solar)'!$AB$2+'Assumptions (Solar)'!$AB$21*'Assumptions (Solar)'!$AB$3)/10^9),0)</f>
        <v>-0.1132908153</v>
      </c>
      <c r="AK986" s="160">
        <f>IF(and($AD$902&gt;0,Model!AD$1&lt;='Assumptions (Solar)'!$V$13),PPMT('Assumptions (Solar)'!$V$10,Model!AD$1,'Assumptions (Solar)'!$V$13,'Assumptions (Solar)'!$V$8*Model!$AD$902*('Assumptions (Solar)'!$AB$20*'Assumptions (Solar)'!$AB$2+'Assumptions (Solar)'!$AB$21*'Assumptions (Solar)'!$AB$3)/10^9),0)</f>
        <v>-0.1223540805</v>
      </c>
      <c r="AL986" s="160">
        <f>IF(and($AD$902&gt;0,Model!AE$1&lt;='Assumptions (Solar)'!$V$13),PPMT('Assumptions (Solar)'!$V$10,Model!AE$1,'Assumptions (Solar)'!$V$13,'Assumptions (Solar)'!$V$8*Model!$AD$902*('Assumptions (Solar)'!$AB$20*'Assumptions (Solar)'!$AB$2+'Assumptions (Solar)'!$AB$21*'Assumptions (Solar)'!$AB$3)/10^9),0)</f>
        <v>-0.132142407</v>
      </c>
      <c r="AM986" s="160">
        <f>IF(and($AD$902&gt;0,Model!AF$1&lt;='Assumptions (Solar)'!$V$13),PPMT('Assumptions (Solar)'!$V$10,Model!AF$1,'Assumptions (Solar)'!$V$13,'Assumptions (Solar)'!$V$8*Model!$AD$902*('Assumptions (Solar)'!$AB$20*'Assumptions (Solar)'!$AB$2+'Assumptions (Solar)'!$AB$21*'Assumptions (Solar)'!$AB$3)/10^9),0)</f>
        <v>-0.1427137995</v>
      </c>
      <c r="AN986" s="160"/>
      <c r="AO986" s="160"/>
      <c r="AP986" s="160"/>
      <c r="AQ986" s="160"/>
      <c r="AR986" s="160"/>
      <c r="AS986" s="160"/>
      <c r="AT986" s="160"/>
      <c r="AU986" s="160"/>
      <c r="AV986" s="160"/>
      <c r="AW986" s="160"/>
      <c r="AX986" s="160"/>
      <c r="AY986" s="160"/>
      <c r="AZ986" s="160"/>
      <c r="BA986" s="160"/>
      <c r="BB986" s="160"/>
    </row>
    <row r="987" ht="15.75" hidden="1" customHeight="1" outlineLevel="1">
      <c r="A987" s="255"/>
      <c r="B987" s="38"/>
      <c r="C987" s="174"/>
      <c r="D987" s="174"/>
      <c r="E987" s="174"/>
      <c r="F987" s="174"/>
      <c r="G987" s="174"/>
      <c r="H987" s="174"/>
      <c r="I987" s="174"/>
      <c r="J987" s="174"/>
      <c r="K987" s="174"/>
      <c r="L987" s="174"/>
      <c r="M987" s="174"/>
      <c r="N987" s="174"/>
      <c r="O987" s="174"/>
      <c r="P987" s="174"/>
      <c r="Q987" s="174"/>
      <c r="R987" s="174"/>
      <c r="S987" s="174"/>
      <c r="T987" s="174"/>
      <c r="U987" s="174"/>
      <c r="V987" s="174"/>
      <c r="W987" s="160"/>
      <c r="X987" s="160"/>
      <c r="Y987" s="160"/>
      <c r="Z987" s="160"/>
      <c r="AA987" s="160"/>
      <c r="AB987" s="160"/>
      <c r="AC987" s="160"/>
      <c r="AD987" s="160"/>
      <c r="AE987" s="160">
        <f>IF(and($AE$902&gt;0,Model!W$1&lt;='Assumptions (Solar)'!$V$13),PPMT('Assumptions (Solar)'!$V$10,Model!W$1,'Assumptions (Solar)'!$V$13,'Assumptions (Solar)'!$V$8*Model!$AE$902*('Assumptions (Solar)'!$AC$20*'Assumptions (Solar)'!$AC$2+'Assumptions (Solar)'!$AC$21*'Assumptions (Solar)'!$AC$3)/10^9),0)</f>
        <v>-0.06922621491</v>
      </c>
      <c r="AF987" s="160">
        <f>IF(and($AE$902&gt;0,Model!X$1&lt;='Assumptions (Solar)'!$V$13),PPMT('Assumptions (Solar)'!$V$10,Model!X$1,'Assumptions (Solar)'!$V$13,'Assumptions (Solar)'!$V$8*Model!$AE$902*('Assumptions (Solar)'!$AC$20*'Assumptions (Solar)'!$AC$2+'Assumptions (Solar)'!$AC$21*'Assumptions (Solar)'!$AC$3)/10^9),0)</f>
        <v>-0.07476431211</v>
      </c>
      <c r="AG987" s="160">
        <f>IF(and($AE$902&gt;0,Model!Y$1&lt;='Assumptions (Solar)'!$V$13),PPMT('Assumptions (Solar)'!$V$10,Model!Y$1,'Assumptions (Solar)'!$V$13,'Assumptions (Solar)'!$V$8*Model!$AE$902*('Assumptions (Solar)'!$AC$20*'Assumptions (Solar)'!$AC$2+'Assumptions (Solar)'!$AC$21*'Assumptions (Solar)'!$AC$3)/10^9),0)</f>
        <v>-0.08074545707</v>
      </c>
      <c r="AH987" s="160">
        <f>IF(and($AE$902&gt;0,Model!Z$1&lt;='Assumptions (Solar)'!$V$13),PPMT('Assumptions (Solar)'!$V$10,Model!Z$1,'Assumptions (Solar)'!$V$13,'Assumptions (Solar)'!$V$8*Model!$AE$902*('Assumptions (Solar)'!$AC$20*'Assumptions (Solar)'!$AC$2+'Assumptions (Solar)'!$AC$21*'Assumptions (Solar)'!$AC$3)/10^9),0)</f>
        <v>-0.08720509364</v>
      </c>
      <c r="AI987" s="160">
        <f>IF(and($AE$902&gt;0,Model!AA$1&lt;='Assumptions (Solar)'!$V$13),PPMT('Assumptions (Solar)'!$V$10,Model!AA$1,'Assumptions (Solar)'!$V$13,'Assumptions (Solar)'!$V$8*Model!$AE$902*('Assumptions (Solar)'!$AC$20*'Assumptions (Solar)'!$AC$2+'Assumptions (Solar)'!$AC$21*'Assumptions (Solar)'!$AC$3)/10^9),0)</f>
        <v>-0.09418150113</v>
      </c>
      <c r="AJ987" s="160">
        <f>IF(and($AE$902&gt;0,Model!AB$1&lt;='Assumptions (Solar)'!$V$13),PPMT('Assumptions (Solar)'!$V$10,Model!AB$1,'Assumptions (Solar)'!$V$13,'Assumptions (Solar)'!$V$8*Model!$AE$902*('Assumptions (Solar)'!$AC$20*'Assumptions (Solar)'!$AC$2+'Assumptions (Solar)'!$AC$21*'Assumptions (Solar)'!$AC$3)/10^9),0)</f>
        <v>-0.1017160212</v>
      </c>
      <c r="AK987" s="160">
        <f>IF(and($AE$902&gt;0,Model!AC$1&lt;='Assumptions (Solar)'!$V$13),PPMT('Assumptions (Solar)'!$V$10,Model!AC$1,'Assumptions (Solar)'!$V$13,'Assumptions (Solar)'!$V$8*Model!$AE$902*('Assumptions (Solar)'!$AC$20*'Assumptions (Solar)'!$AC$2+'Assumptions (Solar)'!$AC$21*'Assumptions (Solar)'!$AC$3)/10^9),0)</f>
        <v>-0.1098533029</v>
      </c>
      <c r="AL987" s="160">
        <f>IF(and($AE$902&gt;0,Model!AD$1&lt;='Assumptions (Solar)'!$V$13),PPMT('Assumptions (Solar)'!$V$10,Model!AD$1,'Assumptions (Solar)'!$V$13,'Assumptions (Solar)'!$V$8*Model!$AE$902*('Assumptions (Solar)'!$AC$20*'Assumptions (Solar)'!$AC$2+'Assumptions (Solar)'!$AC$21*'Assumptions (Solar)'!$AC$3)/10^9),0)</f>
        <v>-0.1186415672</v>
      </c>
      <c r="AM987" s="160">
        <f>IF(and($AE$902&gt;0,Model!AE$1&lt;='Assumptions (Solar)'!$V$13),PPMT('Assumptions (Solar)'!$V$10,Model!AE$1,'Assumptions (Solar)'!$V$13,'Assumptions (Solar)'!$V$8*Model!$AE$902*('Assumptions (Solar)'!$AC$20*'Assumptions (Solar)'!$AC$2+'Assumptions (Solar)'!$AC$21*'Assumptions (Solar)'!$AC$3)/10^9),0)</f>
        <v>-0.1281328925</v>
      </c>
      <c r="AN987" s="160">
        <f>IF(and($AE$902&gt;0,Model!AF$1&lt;='Assumptions (Solar)'!$V$13),PPMT('Assumptions (Solar)'!$V$10,Model!AF$1,'Assumptions (Solar)'!$V$13,'Assumptions (Solar)'!$V$8*Model!$AE$902*('Assumptions (Solar)'!$AC$20*'Assumptions (Solar)'!$AC$2+'Assumptions (Solar)'!$AC$21*'Assumptions (Solar)'!$AC$3)/10^9),0)</f>
        <v>-0.1383835239</v>
      </c>
      <c r="AO987" s="160"/>
      <c r="AP987" s="160"/>
      <c r="AQ987" s="160"/>
      <c r="AR987" s="160"/>
      <c r="AS987" s="160"/>
      <c r="AT987" s="160"/>
      <c r="AU987" s="160"/>
      <c r="AV987" s="160"/>
      <c r="AW987" s="160"/>
      <c r="AX987" s="160"/>
      <c r="AY987" s="160"/>
      <c r="AZ987" s="160"/>
      <c r="BA987" s="160"/>
      <c r="BB987" s="160"/>
      <c r="BC987" s="160"/>
    </row>
    <row r="988" ht="15.75" hidden="1" customHeight="1" outlineLevel="1">
      <c r="A988" s="255"/>
      <c r="B988" s="38"/>
      <c r="C988" s="174"/>
      <c r="D988" s="174"/>
      <c r="E988" s="174"/>
      <c r="F988" s="174"/>
      <c r="G988" s="174"/>
      <c r="H988" s="174"/>
      <c r="I988" s="174"/>
      <c r="J988" s="174"/>
      <c r="K988" s="174"/>
      <c r="L988" s="174"/>
      <c r="M988" s="174"/>
      <c r="N988" s="174"/>
      <c r="O988" s="174"/>
      <c r="P988" s="174"/>
      <c r="Q988" s="174"/>
      <c r="R988" s="174"/>
      <c r="S988" s="174"/>
      <c r="T988" s="174"/>
      <c r="U988" s="174"/>
      <c r="V988" s="174"/>
      <c r="W988" s="160"/>
      <c r="X988" s="160"/>
      <c r="Y988" s="160"/>
      <c r="Z988" s="160"/>
      <c r="AA988" s="160"/>
      <c r="AB988" s="160"/>
      <c r="AC988" s="160"/>
      <c r="AD988" s="160"/>
      <c r="AE988" s="160"/>
      <c r="AF988" s="160">
        <f>IF(and($AF$902&gt;0,Model!W$1&lt;='Assumptions (Solar)'!$V$13),PPMT('Assumptions (Solar)'!$V$10,Model!W$1,'Assumptions (Solar)'!$V$13,'Assumptions (Solar)'!$V$8*Model!$AF$902*('Assumptions (Solar)'!$AD$20*'Assumptions (Solar)'!$AD$2+'Assumptions (Solar)'!$AD$21*'Assumptions (Solar)'!$AD$3)/10^9),0)</f>
        <v>-0.06687715983</v>
      </c>
      <c r="AG988" s="160">
        <f>IF(and($AF$902&gt;0,Model!X$1&lt;='Assumptions (Solar)'!$V$13),PPMT('Assumptions (Solar)'!$V$10,Model!X$1,'Assumptions (Solar)'!$V$13,'Assumptions (Solar)'!$V$8*Model!$AF$902*('Assumptions (Solar)'!$AD$20*'Assumptions (Solar)'!$AD$2+'Assumptions (Solar)'!$AD$21*'Assumptions (Solar)'!$AD$3)/10^9),0)</f>
        <v>-0.07222733261</v>
      </c>
      <c r="AH988" s="160">
        <f>IF(and($AF$902&gt;0,Model!Y$1&lt;='Assumptions (Solar)'!$V$13),PPMT('Assumptions (Solar)'!$V$10,Model!Y$1,'Assumptions (Solar)'!$V$13,'Assumptions (Solar)'!$V$8*Model!$AF$902*('Assumptions (Solar)'!$AD$20*'Assumptions (Solar)'!$AD$2+'Assumptions (Solar)'!$AD$21*'Assumptions (Solar)'!$AD$3)/10^9),0)</f>
        <v>-0.07800551922</v>
      </c>
      <c r="AI988" s="160">
        <f>IF(and($AF$902&gt;0,Model!Z$1&lt;='Assumptions (Solar)'!$V$13),PPMT('Assumptions (Solar)'!$V$10,Model!Z$1,'Assumptions (Solar)'!$V$13,'Assumptions (Solar)'!$V$8*Model!$AF$902*('Assumptions (Solar)'!$AD$20*'Assumptions (Solar)'!$AD$2+'Assumptions (Solar)'!$AD$21*'Assumptions (Solar)'!$AD$3)/10^9),0)</f>
        <v>-0.08424596076</v>
      </c>
      <c r="AJ988" s="160">
        <f>IF(and($AF$902&gt;0,Model!AA$1&lt;='Assumptions (Solar)'!$V$13),PPMT('Assumptions (Solar)'!$V$10,Model!AA$1,'Assumptions (Solar)'!$V$13,'Assumptions (Solar)'!$V$8*Model!$AF$902*('Assumptions (Solar)'!$AD$20*'Assumptions (Solar)'!$AD$2+'Assumptions (Solar)'!$AD$21*'Assumptions (Solar)'!$AD$3)/10^9),0)</f>
        <v>-0.09098563762</v>
      </c>
      <c r="AK988" s="160">
        <f>IF(and($AF$902&gt;0,Model!AB$1&lt;='Assumptions (Solar)'!$V$13),PPMT('Assumptions (Solar)'!$V$10,Model!AB$1,'Assumptions (Solar)'!$V$13,'Assumptions (Solar)'!$V$8*Model!$AF$902*('Assumptions (Solar)'!$AD$20*'Assumptions (Solar)'!$AD$2+'Assumptions (Solar)'!$AD$21*'Assumptions (Solar)'!$AD$3)/10^9),0)</f>
        <v>-0.09826448863</v>
      </c>
      <c r="AL988" s="160">
        <f>IF(and($AF$902&gt;0,Model!AC$1&lt;='Assumptions (Solar)'!$V$13),PPMT('Assumptions (Solar)'!$V$10,Model!AC$1,'Assumptions (Solar)'!$V$13,'Assumptions (Solar)'!$V$8*Model!$AF$902*('Assumptions (Solar)'!$AD$20*'Assumptions (Solar)'!$AD$2+'Assumptions (Solar)'!$AD$21*'Assumptions (Solar)'!$AD$3)/10^9),0)</f>
        <v>-0.1061256477</v>
      </c>
      <c r="AM988" s="160">
        <f>IF(and($AF$902&gt;0,Model!AD$1&lt;='Assumptions (Solar)'!$V$13),PPMT('Assumptions (Solar)'!$V$10,Model!AD$1,'Assumptions (Solar)'!$V$13,'Assumptions (Solar)'!$V$8*Model!$AF$902*('Assumptions (Solar)'!$AD$20*'Assumptions (Solar)'!$AD$2+'Assumptions (Solar)'!$AD$21*'Assumptions (Solar)'!$AD$3)/10^9),0)</f>
        <v>-0.1146156995</v>
      </c>
      <c r="AN988" s="160">
        <f>IF(and($AF$902&gt;0,Model!AE$1&lt;='Assumptions (Solar)'!$V$13),PPMT('Assumptions (Solar)'!$V$10,Model!AE$1,'Assumptions (Solar)'!$V$13,'Assumptions (Solar)'!$V$8*Model!$AF$902*('Assumptions (Solar)'!$AD$20*'Assumptions (Solar)'!$AD$2+'Assumptions (Solar)'!$AD$21*'Assumptions (Solar)'!$AD$3)/10^9),0)</f>
        <v>-0.1237849555</v>
      </c>
      <c r="AO988" s="160">
        <f>IF(and($AF$902&gt;0,Model!AF$1&lt;='Assumptions (Solar)'!$V$13),PPMT('Assumptions (Solar)'!$V$10,Model!AF$1,'Assumptions (Solar)'!$V$13,'Assumptions (Solar)'!$V$8*Model!$AF$902*('Assumptions (Solar)'!$AD$20*'Assumptions (Solar)'!$AD$2+'Assumptions (Solar)'!$AD$21*'Assumptions (Solar)'!$AD$3)/10^9),0)</f>
        <v>-0.1336877519</v>
      </c>
      <c r="AP988" s="160"/>
      <c r="AQ988" s="160"/>
      <c r="AR988" s="160"/>
      <c r="AS988" s="160"/>
      <c r="AT988" s="160"/>
      <c r="AU988" s="160"/>
      <c r="AV988" s="160"/>
      <c r="AW988" s="160"/>
      <c r="AX988" s="160"/>
      <c r="AY988" s="160"/>
      <c r="AZ988" s="160"/>
      <c r="BA988" s="160"/>
      <c r="BB988" s="160"/>
      <c r="BC988" s="160"/>
      <c r="BD988" s="160"/>
    </row>
    <row r="989" ht="15.75" hidden="1" customHeight="1" outlineLevel="1">
      <c r="A989" s="255"/>
      <c r="B989" s="38"/>
      <c r="C989" s="174"/>
      <c r="D989" s="174"/>
      <c r="E989" s="174"/>
      <c r="F989" s="174"/>
      <c r="G989" s="174"/>
      <c r="H989" s="174"/>
      <c r="I989" s="174"/>
      <c r="J989" s="174"/>
      <c r="K989" s="174"/>
      <c r="L989" s="174"/>
      <c r="M989" s="174"/>
      <c r="N989" s="174"/>
      <c r="O989" s="174"/>
      <c r="P989" s="174"/>
      <c r="Q989" s="174"/>
      <c r="R989" s="174"/>
      <c r="S989" s="174"/>
      <c r="T989" s="174"/>
      <c r="U989" s="174"/>
      <c r="V989" s="174"/>
      <c r="W989" s="160"/>
      <c r="X989" s="160"/>
      <c r="Y989" s="160"/>
      <c r="Z989" s="160"/>
      <c r="AA989" s="160"/>
      <c r="AB989" s="160"/>
      <c r="AC989" s="160"/>
      <c r="AD989" s="160"/>
      <c r="AE989" s="160"/>
      <c r="AF989" s="160"/>
      <c r="AG989" s="160">
        <f>IF(and($AG$902&gt;0,Model!W$1&lt;='Assumptions (Solar)'!$V$13),PPMT('Assumptions (Solar)'!$V$10,Model!W$1,'Assumptions (Solar)'!$V$13,'Assumptions (Solar)'!$V$8*Model!$AG$902*('Assumptions (Solar)'!$AE$20*'Assumptions (Solar)'!$AE$2+'Assumptions (Solar)'!$AE$21*'Assumptions (Solar)'!$AE$3)/10^9),0)</f>
        <v>-0.06441010192</v>
      </c>
      <c r="AH989" s="160">
        <f>IF(and($AG$902&gt;0,Model!X$1&lt;='Assumptions (Solar)'!$V$13),PPMT('Assumptions (Solar)'!$V$10,Model!X$1,'Assumptions (Solar)'!$V$13,'Assumptions (Solar)'!$V$8*Model!$AG$902*('Assumptions (Solar)'!$AE$20*'Assumptions (Solar)'!$AE$2+'Assumptions (Solar)'!$AE$21*'Assumptions (Solar)'!$AE$3)/10^9),0)</f>
        <v>-0.06956291008</v>
      </c>
      <c r="AI989" s="160">
        <f>IF(and($AG$902&gt;0,Model!Y$1&lt;='Assumptions (Solar)'!$V$13),PPMT('Assumptions (Solar)'!$V$10,Model!Y$1,'Assumptions (Solar)'!$V$13,'Assumptions (Solar)'!$V$8*Model!$AG$902*('Assumptions (Solar)'!$AE$20*'Assumptions (Solar)'!$AE$2+'Assumptions (Solar)'!$AE$21*'Assumptions (Solar)'!$AE$3)/10^9),0)</f>
        <v>-0.07512794288</v>
      </c>
      <c r="AJ989" s="160">
        <f>IF(and($AG$902&gt;0,Model!Z$1&lt;='Assumptions (Solar)'!$V$13),PPMT('Assumptions (Solar)'!$V$10,Model!Z$1,'Assumptions (Solar)'!$V$13,'Assumptions (Solar)'!$V$8*Model!$AG$902*('Assumptions (Solar)'!$AE$20*'Assumptions (Solar)'!$AE$2+'Assumptions (Solar)'!$AE$21*'Assumptions (Solar)'!$AE$3)/10^9),0)</f>
        <v>-0.08113817831</v>
      </c>
      <c r="AK989" s="160">
        <f>IF(and($AG$902&gt;0,Model!AA$1&lt;='Assumptions (Solar)'!$V$13),PPMT('Assumptions (Solar)'!$V$10,Model!AA$1,'Assumptions (Solar)'!$V$13,'Assumptions (Solar)'!$V$8*Model!$AG$902*('Assumptions (Solar)'!$AE$20*'Assumptions (Solar)'!$AE$2+'Assumptions (Solar)'!$AE$21*'Assumptions (Solar)'!$AE$3)/10^9),0)</f>
        <v>-0.08762923258</v>
      </c>
      <c r="AL989" s="160">
        <f>IF(and($AG$902&gt;0,Model!AB$1&lt;='Assumptions (Solar)'!$V$13),PPMT('Assumptions (Solar)'!$V$10,Model!AB$1,'Assumptions (Solar)'!$V$13,'Assumptions (Solar)'!$V$8*Model!$AG$902*('Assumptions (Solar)'!$AE$20*'Assumptions (Solar)'!$AE$2+'Assumptions (Solar)'!$AE$21*'Assumptions (Solar)'!$AE$3)/10^9),0)</f>
        <v>-0.09463957118</v>
      </c>
      <c r="AM989" s="160">
        <f>IF(and($AG$902&gt;0,Model!AC$1&lt;='Assumptions (Solar)'!$V$13),PPMT('Assumptions (Solar)'!$V$10,Model!AC$1,'Assumptions (Solar)'!$V$13,'Assumptions (Solar)'!$V$8*Model!$AG$902*('Assumptions (Solar)'!$AE$20*'Assumptions (Solar)'!$AE$2+'Assumptions (Solar)'!$AE$21*'Assumptions (Solar)'!$AE$3)/10^9),0)</f>
        <v>-0.1022107369</v>
      </c>
      <c r="AN989" s="160">
        <f>IF(and($AG$902&gt;0,Model!AD$1&lt;='Assumptions (Solar)'!$V$13),PPMT('Assumptions (Solar)'!$V$10,Model!AD$1,'Assumptions (Solar)'!$V$13,'Assumptions (Solar)'!$V$8*Model!$AG$902*('Assumptions (Solar)'!$AE$20*'Assumptions (Solar)'!$AE$2+'Assumptions (Solar)'!$AE$21*'Assumptions (Solar)'!$AE$3)/10^9),0)</f>
        <v>-0.1103875958</v>
      </c>
      <c r="AO989" s="160">
        <f>IF(and($AG$902&gt;0,Model!AE$1&lt;='Assumptions (Solar)'!$V$13),PPMT('Assumptions (Solar)'!$V$10,Model!AE$1,'Assumptions (Solar)'!$V$13,'Assumptions (Solar)'!$V$8*Model!$AG$902*('Assumptions (Solar)'!$AE$20*'Assumptions (Solar)'!$AE$2+'Assumptions (Solar)'!$AE$21*'Assumptions (Solar)'!$AE$3)/10^9),0)</f>
        <v>-0.1192186035</v>
      </c>
      <c r="AP989" s="160">
        <f>IF(and($AG$902&gt;0,Model!AF$1&lt;='Assumptions (Solar)'!$V$13),PPMT('Assumptions (Solar)'!$V$10,Model!AF$1,'Assumptions (Solar)'!$V$13,'Assumptions (Solar)'!$V$8*Model!$AG$902*('Assumptions (Solar)'!$AE$20*'Assumptions (Solar)'!$AE$2+'Assumptions (Solar)'!$AE$21*'Assumptions (Solar)'!$AE$3)/10^9),0)</f>
        <v>-0.1287560918</v>
      </c>
      <c r="AQ989" s="160"/>
      <c r="AR989" s="160"/>
      <c r="AS989" s="160"/>
      <c r="AT989" s="160"/>
      <c r="AU989" s="160"/>
      <c r="AV989" s="160"/>
      <c r="AW989" s="160"/>
      <c r="AX989" s="160"/>
      <c r="AY989" s="160"/>
      <c r="AZ989" s="160"/>
      <c r="BA989" s="160"/>
      <c r="BB989" s="160"/>
      <c r="BC989" s="160"/>
      <c r="BD989" s="160"/>
      <c r="BE989" s="160"/>
    </row>
    <row r="990" ht="15.75" hidden="1" customHeight="1" outlineLevel="1">
      <c r="A990" s="255"/>
      <c r="B990" s="38"/>
      <c r="C990" s="174"/>
      <c r="D990" s="174"/>
      <c r="E990" s="174"/>
      <c r="F990" s="174"/>
      <c r="G990" s="174"/>
      <c r="H990" s="174"/>
      <c r="I990" s="174"/>
      <c r="J990" s="174"/>
      <c r="K990" s="174"/>
      <c r="L990" s="174"/>
      <c r="M990" s="174"/>
      <c r="N990" s="174"/>
      <c r="O990" s="174"/>
      <c r="P990" s="174"/>
      <c r="Q990" s="174"/>
      <c r="R990" s="174"/>
      <c r="S990" s="174"/>
      <c r="T990" s="174"/>
      <c r="U990" s="174"/>
      <c r="V990" s="174"/>
      <c r="W990" s="160"/>
      <c r="X990" s="160"/>
      <c r="Y990" s="160"/>
      <c r="Z990" s="160"/>
      <c r="AA990" s="160"/>
      <c r="AB990" s="160"/>
      <c r="AC990" s="160"/>
      <c r="AD990" s="160"/>
      <c r="AE990" s="160"/>
      <c r="AF990" s="160"/>
      <c r="AG990" s="160"/>
      <c r="AH990" s="160">
        <f>IF(and($AH$902&gt;0,Model!W$1&lt;='Assumptions (Solar)'!$V$13),PPMT('Assumptions (Solar)'!$V$10,Model!W$1,'Assumptions (Solar)'!$V$13,'Assumptions (Solar)'!$V$8*Model!$AH$902*('Assumptions (Solar)'!$AF$20*'Assumptions (Solar)'!$AF$2+'Assumptions (Solar)'!$AF$21*'Assumptions (Solar)'!$AF$3)/10^9),0)</f>
        <v>-0.06182133102</v>
      </c>
      <c r="AI990" s="160">
        <f>IF(and($AH$902&gt;0,Model!X$1&lt;='Assumptions (Solar)'!$V$13),PPMT('Assumptions (Solar)'!$V$10,Model!X$1,'Assumptions (Solar)'!$V$13,'Assumptions (Solar)'!$V$8*Model!$AH$902*('Assumptions (Solar)'!$AF$20*'Assumptions (Solar)'!$AF$2+'Assumptions (Solar)'!$AF$21*'Assumptions (Solar)'!$AF$3)/10^9),0)</f>
        <v>-0.0667670375</v>
      </c>
      <c r="AJ990" s="160">
        <f>IF(and($AH$902&gt;0,Model!Y$1&lt;='Assumptions (Solar)'!$V$13),PPMT('Assumptions (Solar)'!$V$10,Model!Y$1,'Assumptions (Solar)'!$V$13,'Assumptions (Solar)'!$V$8*Model!$AH$902*('Assumptions (Solar)'!$AF$20*'Assumptions (Solar)'!$AF$2+'Assumptions (Solar)'!$AF$21*'Assumptions (Solar)'!$AF$3)/10^9),0)</f>
        <v>-0.07210840051</v>
      </c>
      <c r="AK990" s="160">
        <f>IF(and($AH$902&gt;0,Model!Z$1&lt;='Assumptions (Solar)'!$V$13),PPMT('Assumptions (Solar)'!$V$10,Model!Z$1,'Assumptions (Solar)'!$V$13,'Assumptions (Solar)'!$V$8*Model!$AH$902*('Assumptions (Solar)'!$AF$20*'Assumptions (Solar)'!$AF$2+'Assumptions (Solar)'!$AF$21*'Assumptions (Solar)'!$AF$3)/10^9),0)</f>
        <v>-0.07787707255</v>
      </c>
      <c r="AL990" s="160">
        <f>IF(and($AH$902&gt;0,Model!AA$1&lt;='Assumptions (Solar)'!$V$13),PPMT('Assumptions (Solar)'!$V$10,Model!AA$1,'Assumptions (Solar)'!$V$13,'Assumptions (Solar)'!$V$8*Model!$AH$902*('Assumptions (Solar)'!$AF$20*'Assumptions (Solar)'!$AF$2+'Assumptions (Solar)'!$AF$21*'Assumptions (Solar)'!$AF$3)/10^9),0)</f>
        <v>-0.08410723835</v>
      </c>
      <c r="AM990" s="160">
        <f>IF(and($AH$902&gt;0,Model!AB$1&lt;='Assumptions (Solar)'!$V$13),PPMT('Assumptions (Solar)'!$V$10,Model!AB$1,'Assumptions (Solar)'!$V$13,'Assumptions (Solar)'!$V$8*Model!$AH$902*('Assumptions (Solar)'!$AF$20*'Assumptions (Solar)'!$AF$2+'Assumptions (Solar)'!$AF$21*'Assumptions (Solar)'!$AF$3)/10^9),0)</f>
        <v>-0.09083581742</v>
      </c>
      <c r="AN990" s="160">
        <f>IF(and($AH$902&gt;0,Model!AC$1&lt;='Assumptions (Solar)'!$V$13),PPMT('Assumptions (Solar)'!$V$10,Model!AC$1,'Assumptions (Solar)'!$V$13,'Assumptions (Solar)'!$V$8*Model!$AH$902*('Assumptions (Solar)'!$AF$20*'Assumptions (Solar)'!$AF$2+'Assumptions (Solar)'!$AF$21*'Assumptions (Solar)'!$AF$3)/10^9),0)</f>
        <v>-0.09810268281</v>
      </c>
      <c r="AO990" s="160">
        <f>IF(and($AH$902&gt;0,Model!AD$1&lt;='Assumptions (Solar)'!$V$13),PPMT('Assumptions (Solar)'!$V$10,Model!AD$1,'Assumptions (Solar)'!$V$13,'Assumptions (Solar)'!$V$8*Model!$AH$902*('Assumptions (Solar)'!$AF$20*'Assumptions (Solar)'!$AF$2+'Assumptions (Solar)'!$AF$21*'Assumptions (Solar)'!$AF$3)/10^9),0)</f>
        <v>-0.1059508974</v>
      </c>
      <c r="AP990" s="160">
        <f>IF(and($AH$902&gt;0,Model!AE$1&lt;='Assumptions (Solar)'!$V$13),PPMT('Assumptions (Solar)'!$V$10,Model!AE$1,'Assumptions (Solar)'!$V$13,'Assumptions (Solar)'!$V$8*Model!$AH$902*('Assumptions (Solar)'!$AF$20*'Assumptions (Solar)'!$AF$2+'Assumptions (Solar)'!$AF$21*'Assumptions (Solar)'!$AF$3)/10^9),0)</f>
        <v>-0.1144269692</v>
      </c>
      <c r="AQ990" s="160">
        <f>IF(and($AH$902&gt;0,Model!AF$1&lt;='Assumptions (Solar)'!$V$13),PPMT('Assumptions (Solar)'!$V$10,Model!AF$1,'Assumptions (Solar)'!$V$13,'Assumptions (Solar)'!$V$8*Model!$AH$902*('Assumptions (Solar)'!$AF$20*'Assumptions (Solar)'!$AF$2+'Assumptions (Solar)'!$AF$21*'Assumptions (Solar)'!$AF$3)/10^9),0)</f>
        <v>-0.1235811268</v>
      </c>
      <c r="AR990" s="160"/>
      <c r="AS990" s="160"/>
      <c r="AT990" s="160"/>
      <c r="AU990" s="160"/>
      <c r="AV990" s="160"/>
      <c r="AW990" s="160"/>
      <c r="AX990" s="160"/>
      <c r="AY990" s="160"/>
      <c r="AZ990" s="160"/>
      <c r="BA990" s="160"/>
      <c r="BB990" s="160"/>
      <c r="BC990" s="160"/>
      <c r="BD990" s="160"/>
      <c r="BE990" s="160"/>
      <c r="BF990" s="160"/>
    </row>
    <row r="991" ht="15.75" hidden="1" customHeight="1" outlineLevel="1">
      <c r="A991" s="255"/>
      <c r="B991" s="38"/>
      <c r="C991" s="174"/>
      <c r="D991" s="174"/>
      <c r="E991" s="174"/>
      <c r="F991" s="174"/>
      <c r="G991" s="174"/>
      <c r="H991" s="174"/>
      <c r="I991" s="174"/>
      <c r="J991" s="174"/>
      <c r="K991" s="174"/>
      <c r="L991" s="174"/>
      <c r="M991" s="174"/>
      <c r="N991" s="174"/>
      <c r="O991" s="174"/>
      <c r="P991" s="174"/>
      <c r="Q991" s="174"/>
      <c r="R991" s="174"/>
      <c r="S991" s="174"/>
      <c r="T991" s="174"/>
      <c r="U991" s="174"/>
      <c r="V991" s="174"/>
      <c r="W991" s="160"/>
      <c r="X991" s="160"/>
      <c r="Y991" s="160"/>
      <c r="Z991" s="160"/>
      <c r="AA991" s="160"/>
      <c r="AB991" s="160"/>
      <c r="AC991" s="160"/>
      <c r="AD991" s="160"/>
      <c r="AE991" s="160"/>
      <c r="AF991" s="160"/>
      <c r="AG991" s="160"/>
      <c r="AH991" s="160"/>
      <c r="AI991" s="160">
        <f>IF(and($AI$902&gt;0,Model!W$1&lt;='Assumptions (Solar)'!$V$13),PPMT('Assumptions (Solar)'!$V$10,Model!W$1,'Assumptions (Solar)'!$V$13,'Assumptions (Solar)'!$V$8*Model!$AI$902*('Assumptions (Solar)'!$AG$20*'Assumptions (Solar)'!$AG$2+'Assumptions (Solar)'!$AG$21*'Assumptions (Solar)'!$AG$3)/10^9),0)</f>
        <v>-0.0624996604</v>
      </c>
      <c r="AJ991" s="160">
        <f>IF(and($AI$902&gt;0,Model!X$1&lt;='Assumptions (Solar)'!$V$13),PPMT('Assumptions (Solar)'!$V$10,Model!X$1,'Assumptions (Solar)'!$V$13,'Assumptions (Solar)'!$V$8*Model!$AI$902*('Assumptions (Solar)'!$AG$20*'Assumptions (Solar)'!$AG$2+'Assumptions (Solar)'!$AG$21*'Assumptions (Solar)'!$AG$3)/10^9),0)</f>
        <v>-0.06749963324</v>
      </c>
      <c r="AK991" s="160">
        <f>IF(and($AI$902&gt;0,Model!Y$1&lt;='Assumptions (Solar)'!$V$13),PPMT('Assumptions (Solar)'!$V$10,Model!Y$1,'Assumptions (Solar)'!$V$13,'Assumptions (Solar)'!$V$8*Model!$AI$902*('Assumptions (Solar)'!$AG$20*'Assumptions (Solar)'!$AG$2+'Assumptions (Solar)'!$AG$21*'Assumptions (Solar)'!$AG$3)/10^9),0)</f>
        <v>-0.0728996039</v>
      </c>
      <c r="AL991" s="160">
        <f>IF(and($AI$902&gt;0,Model!Z$1&lt;='Assumptions (Solar)'!$V$13),PPMT('Assumptions (Solar)'!$V$10,Model!Z$1,'Assumptions (Solar)'!$V$13,'Assumptions (Solar)'!$V$8*Model!$AI$902*('Assumptions (Solar)'!$AG$20*'Assumptions (Solar)'!$AG$2+'Assumptions (Solar)'!$AG$21*'Assumptions (Solar)'!$AG$3)/10^9),0)</f>
        <v>-0.07873157221</v>
      </c>
      <c r="AM991" s="160">
        <f>IF(and($AI$902&gt;0,Model!AA$1&lt;='Assumptions (Solar)'!$V$13),PPMT('Assumptions (Solar)'!$V$10,Model!AA$1,'Assumptions (Solar)'!$V$13,'Assumptions (Solar)'!$V$8*Model!$AI$902*('Assumptions (Solar)'!$AG$20*'Assumptions (Solar)'!$AG$2+'Assumptions (Solar)'!$AG$21*'Assumptions (Solar)'!$AG$3)/10^9),0)</f>
        <v>-0.08503009798</v>
      </c>
      <c r="AN991" s="160">
        <f>IF(and($AI$902&gt;0,Model!AB$1&lt;='Assumptions (Solar)'!$V$13),PPMT('Assumptions (Solar)'!$V$10,Model!AB$1,'Assumptions (Solar)'!$V$13,'Assumptions (Solar)'!$V$8*Model!$AI$902*('Assumptions (Solar)'!$AG$20*'Assumptions (Solar)'!$AG$2+'Assumptions (Solar)'!$AG$21*'Assumptions (Solar)'!$AG$3)/10^9),0)</f>
        <v>-0.09183250582</v>
      </c>
      <c r="AO991" s="160">
        <f>IF(and($AI$902&gt;0,Model!AC$1&lt;='Assumptions (Solar)'!$V$13),PPMT('Assumptions (Solar)'!$V$10,Model!AC$1,'Assumptions (Solar)'!$V$13,'Assumptions (Solar)'!$V$8*Model!$AI$902*('Assumptions (Solar)'!$AG$20*'Assumptions (Solar)'!$AG$2+'Assumptions (Solar)'!$AG$21*'Assumptions (Solar)'!$AG$3)/10^9),0)</f>
        <v>-0.09917910629</v>
      </c>
      <c r="AP991" s="160">
        <f>IF(and($AI$902&gt;0,Model!AD$1&lt;='Assumptions (Solar)'!$V$13),PPMT('Assumptions (Solar)'!$V$10,Model!AD$1,'Assumptions (Solar)'!$V$13,'Assumptions (Solar)'!$V$8*Model!$AI$902*('Assumptions (Solar)'!$AG$20*'Assumptions (Solar)'!$AG$2+'Assumptions (Solar)'!$AG$21*'Assumptions (Solar)'!$AG$3)/10^9),0)</f>
        <v>-0.1071134348</v>
      </c>
      <c r="AQ991" s="160">
        <f>IF(and($AI$902&gt;0,Model!AE$1&lt;='Assumptions (Solar)'!$V$13),PPMT('Assumptions (Solar)'!$V$10,Model!AE$1,'Assumptions (Solar)'!$V$13,'Assumptions (Solar)'!$V$8*Model!$AI$902*('Assumptions (Solar)'!$AG$20*'Assumptions (Solar)'!$AG$2+'Assumptions (Solar)'!$AG$21*'Assumptions (Solar)'!$AG$3)/10^9),0)</f>
        <v>-0.1156825096</v>
      </c>
      <c r="AR991" s="160">
        <f>IF(and($AI$902&gt;0,Model!AF$1&lt;='Assumptions (Solar)'!$V$13),PPMT('Assumptions (Solar)'!$V$10,Model!AF$1,'Assumptions (Solar)'!$V$13,'Assumptions (Solar)'!$V$8*Model!$AI$902*('Assumptions (Solar)'!$AG$20*'Assumptions (Solar)'!$AG$2+'Assumptions (Solar)'!$AG$21*'Assumptions (Solar)'!$AG$3)/10^9),0)</f>
        <v>-0.1249371103</v>
      </c>
      <c r="AS991" s="160"/>
      <c r="AT991" s="160"/>
      <c r="AU991" s="160"/>
      <c r="AV991" s="160"/>
      <c r="AW991" s="160"/>
      <c r="AX991" s="160"/>
      <c r="AY991" s="160"/>
      <c r="AZ991" s="160"/>
      <c r="BA991" s="160"/>
      <c r="BB991" s="160"/>
      <c r="BC991" s="160"/>
      <c r="BD991" s="160"/>
      <c r="BE991" s="160"/>
      <c r="BF991" s="160"/>
      <c r="BG991" s="160"/>
    </row>
    <row r="992" ht="15.75" hidden="1" customHeight="1" outlineLevel="1">
      <c r="A992" s="255"/>
      <c r="B992" s="38"/>
      <c r="C992" s="174"/>
      <c r="D992" s="174"/>
      <c r="E992" s="174"/>
      <c r="F992" s="174"/>
      <c r="G992" s="174"/>
      <c r="H992" s="174"/>
      <c r="I992" s="174"/>
      <c r="J992" s="174"/>
      <c r="K992" s="174"/>
      <c r="L992" s="174"/>
      <c r="M992" s="174"/>
      <c r="N992" s="174"/>
      <c r="O992" s="174"/>
      <c r="P992" s="174"/>
      <c r="Q992" s="174"/>
      <c r="R992" s="174"/>
      <c r="S992" s="174"/>
      <c r="T992" s="174"/>
      <c r="U992" s="174"/>
      <c r="V992" s="174"/>
      <c r="W992" s="160"/>
      <c r="X992" s="160"/>
      <c r="Y992" s="160"/>
      <c r="Z992" s="160"/>
      <c r="AA992" s="160"/>
      <c r="AB992" s="160"/>
      <c r="AC992" s="160"/>
      <c r="AD992" s="160"/>
      <c r="AE992" s="160"/>
      <c r="AF992" s="160"/>
      <c r="AG992" s="160"/>
      <c r="AH992" s="160"/>
      <c r="AI992" s="160"/>
      <c r="AJ992" s="177">
        <f>IF(and($AJ$902&gt;0,Model!W$1&lt;='Assumptions (Solar)'!$V$13),PPMT('Assumptions (Solar)'!$V$10,Model!W$1,'Assumptions (Solar)'!$V$13,'Assumptions (Solar)'!$V$8*Model!$AJ$902*('Assumptions (Solar)'!$AH$20*'Assumptions (Solar)'!$AH$2+'Assumptions (Solar)'!$AH$21*'Assumptions (Solar)'!$AH$3)/10^9),0)</f>
        <v>-0.0631809276</v>
      </c>
      <c r="AK992" s="177">
        <f>IF(and($AJ$902&gt;0,Model!X$1&lt;='Assumptions (Solar)'!$V$13),PPMT('Assumptions (Solar)'!$V$10,Model!X$1,'Assumptions (Solar)'!$V$13,'Assumptions (Solar)'!$V$8*Model!$AJ$902*('Assumptions (Solar)'!$AH$20*'Assumptions (Solar)'!$AH$2+'Assumptions (Solar)'!$AH$21*'Assumptions (Solar)'!$AH$3)/10^9),0)</f>
        <v>-0.06823540181</v>
      </c>
      <c r="AL992" s="177">
        <f>IF(and($AJ$902&gt;0,Model!Y$1&lt;='Assumptions (Solar)'!$V$13),PPMT('Assumptions (Solar)'!$V$10,Model!Y$1,'Assumptions (Solar)'!$V$13,'Assumptions (Solar)'!$V$8*Model!$AJ$902*('Assumptions (Solar)'!$AH$20*'Assumptions (Solar)'!$AH$2+'Assumptions (Solar)'!$AH$21*'Assumptions (Solar)'!$AH$3)/10^9),0)</f>
        <v>-0.07369423396</v>
      </c>
      <c r="AM992" s="177">
        <f>IF(and($AJ$902&gt;0,Model!Z$1&lt;='Assumptions (Solar)'!$V$13),PPMT('Assumptions (Solar)'!$V$10,Model!Z$1,'Assumptions (Solar)'!$V$13,'Assumptions (Solar)'!$V$8*Model!$AJ$902*('Assumptions (Solar)'!$AH$20*'Assumptions (Solar)'!$AH$2+'Assumptions (Solar)'!$AH$21*'Assumptions (Solar)'!$AH$3)/10^9),0)</f>
        <v>-0.07958977267</v>
      </c>
      <c r="AN992" s="177">
        <f>IF(and($AJ$902&gt;0,Model!AA$1&lt;='Assumptions (Solar)'!$V$13),PPMT('Assumptions (Solar)'!$V$10,Model!AA$1,'Assumptions (Solar)'!$V$13,'Assumptions (Solar)'!$V$8*Model!$AJ$902*('Assumptions (Solar)'!$AH$20*'Assumptions (Solar)'!$AH$2+'Assumptions (Solar)'!$AH$21*'Assumptions (Solar)'!$AH$3)/10^9),0)</f>
        <v>-0.08595695449</v>
      </c>
      <c r="AO992" s="177">
        <f>IF(and($AJ$902&gt;0,Model!AB$1&lt;='Assumptions (Solar)'!$V$13),PPMT('Assumptions (Solar)'!$V$10,Model!AB$1,'Assumptions (Solar)'!$V$13,'Assumptions (Solar)'!$V$8*Model!$AJ$902*('Assumptions (Solar)'!$AH$20*'Assumptions (Solar)'!$AH$2+'Assumptions (Solar)'!$AH$21*'Assumptions (Solar)'!$AH$3)/10^9),0)</f>
        <v>-0.09283351085</v>
      </c>
      <c r="AP992" s="177">
        <f>IF(and($AJ$902&gt;0,Model!AC$1&lt;='Assumptions (Solar)'!$V$13),PPMT('Assumptions (Solar)'!$V$10,Model!AC$1,'Assumptions (Solar)'!$V$13,'Assumptions (Solar)'!$V$8*Model!$AJ$902*('Assumptions (Solar)'!$AH$20*'Assumptions (Solar)'!$AH$2+'Assumptions (Solar)'!$AH$21*'Assumptions (Solar)'!$AH$3)/10^9),0)</f>
        <v>-0.1002601917</v>
      </c>
      <c r="AQ992" s="177">
        <f>IF(and($AJ$902&gt;0,Model!AD$1&lt;='Assumptions (Solar)'!$V$13),PPMT('Assumptions (Solar)'!$V$10,Model!AD$1,'Assumptions (Solar)'!$V$13,'Assumptions (Solar)'!$V$8*Model!$AJ$902*('Assumptions (Solar)'!$AH$20*'Assumptions (Solar)'!$AH$2+'Assumptions (Solar)'!$AH$21*'Assumptions (Solar)'!$AH$3)/10^9),0)</f>
        <v>-0.1082810071</v>
      </c>
      <c r="AR992" s="177">
        <f>IF(and($AJ$902&gt;0,Model!AE$1&lt;='Assumptions (Solar)'!$V$13),PPMT('Assumptions (Solar)'!$V$10,Model!AE$1,'Assumptions (Solar)'!$V$13,'Assumptions (Solar)'!$V$8*Model!$AJ$902*('Assumptions (Solar)'!$AH$20*'Assumptions (Solar)'!$AH$2+'Assumptions (Solar)'!$AH$21*'Assumptions (Solar)'!$AH$3)/10^9),0)</f>
        <v>-0.1169434876</v>
      </c>
      <c r="AS992" s="177">
        <f>IF(and($AJ$902&gt;0,Model!AF$1&lt;='Assumptions (Solar)'!$V$13),PPMT('Assumptions (Solar)'!$V$10,Model!AF$1,'Assumptions (Solar)'!$V$13,'Assumptions (Solar)'!$V$8*Model!$AJ$902*('Assumptions (Solar)'!$AH$20*'Assumptions (Solar)'!$AH$2+'Assumptions (Solar)'!$AH$21*'Assumptions (Solar)'!$AH$3)/10^9),0)</f>
        <v>-0.1262989666</v>
      </c>
      <c r="AT992" s="177"/>
      <c r="AU992" s="177"/>
      <c r="AV992" s="177"/>
      <c r="AW992" s="177"/>
      <c r="AX992" s="177"/>
      <c r="AY992" s="177"/>
      <c r="AZ992" s="177"/>
      <c r="BA992" s="177"/>
      <c r="BB992" s="177"/>
      <c r="BC992" s="177"/>
      <c r="BD992" s="177"/>
      <c r="BE992" s="177"/>
      <c r="BF992" s="177"/>
      <c r="BG992" s="177"/>
      <c r="BH992" s="177"/>
    </row>
    <row r="993" ht="15.75" hidden="1" customHeight="1" outlineLevel="1">
      <c r="A993" s="255"/>
      <c r="B993" s="38"/>
      <c r="C993" s="174"/>
      <c r="D993" s="174"/>
      <c r="E993" s="174"/>
      <c r="F993" s="174"/>
      <c r="G993" s="174"/>
      <c r="H993" s="174"/>
      <c r="I993" s="174"/>
      <c r="J993" s="174"/>
      <c r="K993" s="174"/>
      <c r="L993" s="174"/>
      <c r="M993" s="174"/>
      <c r="N993" s="174"/>
      <c r="O993" s="174"/>
      <c r="P993" s="174"/>
      <c r="Q993" s="174"/>
      <c r="R993" s="174"/>
      <c r="S993" s="174"/>
      <c r="T993" s="174"/>
      <c r="U993" s="174"/>
      <c r="V993" s="174"/>
      <c r="W993" s="160"/>
      <c r="X993" s="160"/>
      <c r="Y993" s="160"/>
      <c r="Z993" s="160"/>
      <c r="AA993" s="160"/>
      <c r="AB993" s="160"/>
      <c r="AC993" s="160"/>
      <c r="AD993" s="160"/>
      <c r="AE993" s="160"/>
      <c r="AF993" s="160"/>
      <c r="AG993" s="160"/>
      <c r="AH993" s="160"/>
      <c r="AI993" s="160"/>
      <c r="AJ993" s="179"/>
      <c r="AK993" s="160">
        <f>IF(and($AK$902&gt;0,Model!W$1&lt;='Assumptions (Solar)'!$V$13),PPMT('Assumptions (Solar)'!$V$10,Model!W$1,'Assumptions (Solar)'!$V$13,'Assumptions (Solar)'!$V$8*Model!$AK$902*('Assumptions (Solar)'!$AI$20*'Assumptions (Solar)'!$AI$2+'Assumptions (Solar)'!$AI$21*'Assumptions (Solar)'!$AI$3)/10^9),0)</f>
        <v>-0.06393078092</v>
      </c>
      <c r="AL993" s="160">
        <f>IF(and($AK$902&gt;0,Model!X$1&lt;='Assumptions (Solar)'!$V$13),PPMT('Assumptions (Solar)'!$V$10,Model!X$1,'Assumptions (Solar)'!$V$13,'Assumptions (Solar)'!$V$8*Model!$AK$902*('Assumptions (Solar)'!$AI$20*'Assumptions (Solar)'!$AI$2+'Assumptions (Solar)'!$AI$21*'Assumptions (Solar)'!$AI$3)/10^9),0)</f>
        <v>-0.0690452434</v>
      </c>
      <c r="AM993" s="160">
        <f>IF(and($AK$902&gt;0,Model!Y$1&lt;='Assumptions (Solar)'!$V$13),PPMT('Assumptions (Solar)'!$V$10,Model!Y$1,'Assumptions (Solar)'!$V$13,'Assumptions (Solar)'!$V$8*Model!$AK$902*('Assumptions (Solar)'!$AI$20*'Assumptions (Solar)'!$AI$2+'Assumptions (Solar)'!$AI$21*'Assumptions (Solar)'!$AI$3)/10^9),0)</f>
        <v>-0.07456886287</v>
      </c>
      <c r="AN993" s="160">
        <f>IF(and($AK$902&gt;0,Model!Z$1&lt;='Assumptions (Solar)'!$V$13),PPMT('Assumptions (Solar)'!$V$10,Model!Z$1,'Assumptions (Solar)'!$V$13,'Assumptions (Solar)'!$V$8*Model!$AK$902*('Assumptions (Solar)'!$AI$20*'Assumptions (Solar)'!$AI$2+'Assumptions (Solar)'!$AI$21*'Assumptions (Solar)'!$AI$3)/10^9),0)</f>
        <v>-0.0805343719</v>
      </c>
      <c r="AO993" s="160">
        <f>IF(and($AK$902&gt;0,Model!AA$1&lt;='Assumptions (Solar)'!$V$13),PPMT('Assumptions (Solar)'!$V$10,Model!AA$1,'Assumptions (Solar)'!$V$13,'Assumptions (Solar)'!$V$8*Model!$AK$902*('Assumptions (Solar)'!$AI$20*'Assumptions (Solar)'!$AI$2+'Assumptions (Solar)'!$AI$21*'Assumptions (Solar)'!$AI$3)/10^9),0)</f>
        <v>-0.08697712165</v>
      </c>
      <c r="AP993" s="160">
        <f>IF(and($AK$902&gt;0,Model!AB$1&lt;='Assumptions (Solar)'!$V$13),PPMT('Assumptions (Solar)'!$V$10,Model!AB$1,'Assumptions (Solar)'!$V$13,'Assumptions (Solar)'!$V$8*Model!$AK$902*('Assumptions (Solar)'!$AI$20*'Assumptions (Solar)'!$AI$2+'Assumptions (Solar)'!$AI$21*'Assumptions (Solar)'!$AI$3)/10^9),0)</f>
        <v>-0.09393529138</v>
      </c>
      <c r="AQ993" s="160">
        <f>IF(and($AK$902&gt;0,Model!AC$1&lt;='Assumptions (Solar)'!$V$13),PPMT('Assumptions (Solar)'!$V$10,Model!AC$1,'Assumptions (Solar)'!$V$13,'Assumptions (Solar)'!$V$8*Model!$AK$902*('Assumptions (Solar)'!$AI$20*'Assumptions (Solar)'!$AI$2+'Assumptions (Solar)'!$AI$21*'Assumptions (Solar)'!$AI$3)/10^9),0)</f>
        <v>-0.1014501147</v>
      </c>
      <c r="AR993" s="160">
        <f>IF(and($AK$902&gt;0,Model!AD$1&lt;='Assumptions (Solar)'!$V$13),PPMT('Assumptions (Solar)'!$V$10,Model!AD$1,'Assumptions (Solar)'!$V$13,'Assumptions (Solar)'!$V$8*Model!$AK$902*('Assumptions (Solar)'!$AI$20*'Assumptions (Solar)'!$AI$2+'Assumptions (Solar)'!$AI$21*'Assumptions (Solar)'!$AI$3)/10^9),0)</f>
        <v>-0.1095661239</v>
      </c>
      <c r="AS993" s="160">
        <f>IF(and($AK$902&gt;0,Model!AE$1&lt;='Assumptions (Solar)'!$V$13),PPMT('Assumptions (Solar)'!$V$10,Model!AE$1,'Assumptions (Solar)'!$V$13,'Assumptions (Solar)'!$V$8*Model!$AK$902*('Assumptions (Solar)'!$AI$20*'Assumptions (Solar)'!$AI$2+'Assumptions (Solar)'!$AI$21*'Assumptions (Solar)'!$AI$3)/10^9),0)</f>
        <v>-0.1183314138</v>
      </c>
      <c r="AT993" s="160">
        <f>IF(and($AK$902&gt;0,Model!AF$1&lt;='Assumptions (Solar)'!$V$13),PPMT('Assumptions (Solar)'!$V$10,Model!AF$1,'Assumptions (Solar)'!$V$13,'Assumptions (Solar)'!$V$8*Model!$AK$902*('Assumptions (Solar)'!$AI$20*'Assumptions (Solar)'!$AI$2+'Assumptions (Solar)'!$AI$21*'Assumptions (Solar)'!$AI$3)/10^9),0)</f>
        <v>-0.1277979269</v>
      </c>
      <c r="AU993" s="160"/>
      <c r="AV993" s="160"/>
      <c r="AW993" s="160"/>
      <c r="AX993" s="160"/>
      <c r="AY993" s="160"/>
      <c r="AZ993" s="160"/>
      <c r="BA993" s="160"/>
      <c r="BB993" s="160"/>
      <c r="BC993" s="160"/>
      <c r="BD993" s="160"/>
      <c r="BE993" s="160"/>
      <c r="BF993" s="160"/>
      <c r="BG993" s="160"/>
      <c r="BH993" s="160"/>
      <c r="BI993" s="160"/>
    </row>
    <row r="994" ht="15.75" hidden="1" customHeight="1" outlineLevel="1">
      <c r="A994" s="255"/>
      <c r="B994" s="38"/>
      <c r="C994" s="174"/>
      <c r="D994" s="174"/>
      <c r="E994" s="174"/>
      <c r="F994" s="174"/>
      <c r="G994" s="174"/>
      <c r="H994" s="174"/>
      <c r="I994" s="174"/>
      <c r="J994" s="174"/>
      <c r="K994" s="174"/>
      <c r="L994" s="174"/>
      <c r="M994" s="174"/>
      <c r="N994" s="174"/>
      <c r="O994" s="174"/>
      <c r="P994" s="174"/>
      <c r="Q994" s="174"/>
      <c r="R994" s="174"/>
      <c r="S994" s="174"/>
      <c r="T994" s="174"/>
      <c r="U994" s="174"/>
      <c r="V994" s="174"/>
      <c r="W994" s="160"/>
      <c r="X994" s="160"/>
      <c r="Y994" s="160"/>
      <c r="Z994" s="160"/>
      <c r="AA994" s="160"/>
      <c r="AB994" s="160"/>
      <c r="AC994" s="160"/>
      <c r="AD994" s="160"/>
      <c r="AE994" s="160"/>
      <c r="AF994" s="160"/>
      <c r="AG994" s="160"/>
      <c r="AH994" s="160"/>
      <c r="AI994" s="160"/>
      <c r="AJ994" s="179"/>
      <c r="AK994" s="160"/>
      <c r="AL994" s="177">
        <f>IF(and($AL$902&gt;0,Model!W$1&lt;='Assumptions (Solar)'!$V$13),PPMT('Assumptions (Solar)'!$V$10,Model!W$1,'Assumptions (Solar)'!$V$13,'Assumptions (Solar)'!$V$8*Model!$AL$902*('Assumptions (Solar)'!$AJ$20*'Assumptions (Solar)'!$AJ$2+'Assumptions (Solar)'!$AJ$21*'Assumptions (Solar)'!$AJ$3)/10^9),0)</f>
        <v>-0.06447180384</v>
      </c>
      <c r="AM994" s="177">
        <f>IF(and($AL$902&gt;0,Model!X$1&lt;='Assumptions (Solar)'!$V$13),PPMT('Assumptions (Solar)'!$V$10,Model!X$1,'Assumptions (Solar)'!$V$13,'Assumptions (Solar)'!$V$8*Model!$AL$902*('Assumptions (Solar)'!$AJ$20*'Assumptions (Solar)'!$AJ$2+'Assumptions (Solar)'!$AJ$21*'Assumptions (Solar)'!$AJ$3)/10^9),0)</f>
        <v>-0.06962954815</v>
      </c>
      <c r="AN994" s="177">
        <f>IF(and($AL$902&gt;0,Model!Y$1&lt;='Assumptions (Solar)'!$V$13),PPMT('Assumptions (Solar)'!$V$10,Model!Y$1,'Assumptions (Solar)'!$V$13,'Assumptions (Solar)'!$V$8*Model!$AL$902*('Assumptions (Solar)'!$AJ$20*'Assumptions (Solar)'!$AJ$2+'Assumptions (Solar)'!$AJ$21*'Assumptions (Solar)'!$AJ$3)/10^9),0)</f>
        <v>-0.075199912</v>
      </c>
      <c r="AO994" s="177">
        <f>IF(and($AL$902&gt;0,Model!Z$1&lt;='Assumptions (Solar)'!$V$13),PPMT('Assumptions (Solar)'!$V$10,Model!Z$1,'Assumptions (Solar)'!$V$13,'Assumptions (Solar)'!$V$8*Model!$AL$902*('Assumptions (Solar)'!$AJ$20*'Assumptions (Solar)'!$AJ$2+'Assumptions (Solar)'!$AJ$21*'Assumptions (Solar)'!$AJ$3)/10^9),0)</f>
        <v>-0.08121590496</v>
      </c>
      <c r="AP994" s="177">
        <f>IF(and($AL$902&gt;0,Model!AA$1&lt;='Assumptions (Solar)'!$V$13),PPMT('Assumptions (Solar)'!$V$10,Model!AA$1,'Assumptions (Solar)'!$V$13,'Assumptions (Solar)'!$V$8*Model!$AL$902*('Assumptions (Solar)'!$AJ$20*'Assumptions (Solar)'!$AJ$2+'Assumptions (Solar)'!$AJ$21*'Assumptions (Solar)'!$AJ$3)/10^9),0)</f>
        <v>-0.08771317736</v>
      </c>
      <c r="AQ994" s="177">
        <f>IF(and($AL$902&gt;0,Model!AB$1&lt;='Assumptions (Solar)'!$V$13),PPMT('Assumptions (Solar)'!$V$10,Model!AB$1,'Assumptions (Solar)'!$V$13,'Assumptions (Solar)'!$V$8*Model!$AL$902*('Assumptions (Solar)'!$AJ$20*'Assumptions (Solar)'!$AJ$2+'Assumptions (Solar)'!$AJ$21*'Assumptions (Solar)'!$AJ$3)/10^9),0)</f>
        <v>-0.09473023155</v>
      </c>
      <c r="AR994" s="177">
        <f>IF(and($AL$902&gt;0,Model!AC$1&lt;='Assumptions (Solar)'!$V$13),PPMT('Assumptions (Solar)'!$V$10,Model!AC$1,'Assumptions (Solar)'!$V$13,'Assumptions (Solar)'!$V$8*Model!$AL$902*('Assumptions (Solar)'!$AJ$20*'Assumptions (Solar)'!$AJ$2+'Assumptions (Solar)'!$AJ$21*'Assumptions (Solar)'!$AJ$3)/10^9),0)</f>
        <v>-0.1023086501</v>
      </c>
      <c r="AS994" s="177">
        <f>IF(and($AL$902&gt;0,Model!AD$1&lt;='Assumptions (Solar)'!$V$13),PPMT('Assumptions (Solar)'!$V$10,Model!AD$1,'Assumptions (Solar)'!$V$13,'Assumptions (Solar)'!$V$8*Model!$AL$902*('Assumptions (Solar)'!$AJ$20*'Assumptions (Solar)'!$AJ$2+'Assumptions (Solar)'!$AJ$21*'Assumptions (Solar)'!$AJ$3)/10^9),0)</f>
        <v>-0.1104933421</v>
      </c>
      <c r="AT994" s="177">
        <f>IF(and($AL$902&gt;0,Model!AE$1&lt;='Assumptions (Solar)'!$V$13),PPMT('Assumptions (Solar)'!$V$10,Model!AE$1,'Assumptions (Solar)'!$V$13,'Assumptions (Solar)'!$V$8*Model!$AL$902*('Assumptions (Solar)'!$AJ$20*'Assumptions (Solar)'!$AJ$2+'Assumptions (Solar)'!$AJ$21*'Assumptions (Solar)'!$AJ$3)/10^9),0)</f>
        <v>-0.1193328094</v>
      </c>
      <c r="AU994" s="177">
        <f>IF(and($AL$902&gt;0,Model!AF$1&lt;='Assumptions (Solar)'!$V$13),PPMT('Assumptions (Solar)'!$V$10,Model!AF$1,'Assumptions (Solar)'!$V$13,'Assumptions (Solar)'!$V$8*Model!$AL$902*('Assumptions (Solar)'!$AJ$20*'Assumptions (Solar)'!$AJ$2+'Assumptions (Solar)'!$AJ$21*'Assumptions (Solar)'!$AJ$3)/10^9),0)</f>
        <v>-0.1288794342</v>
      </c>
      <c r="AV994" s="177"/>
      <c r="AW994" s="177"/>
      <c r="AX994" s="177"/>
      <c r="AY994" s="177"/>
      <c r="AZ994" s="177"/>
      <c r="BA994" s="177"/>
      <c r="BB994" s="177"/>
      <c r="BC994" s="177"/>
      <c r="BD994" s="177"/>
      <c r="BE994" s="177"/>
      <c r="BF994" s="177"/>
      <c r="BG994" s="177"/>
      <c r="BH994" s="177"/>
      <c r="BI994" s="177"/>
      <c r="BJ994" s="177"/>
    </row>
    <row r="995" ht="15.75" hidden="1" customHeight="1" outlineLevel="1">
      <c r="A995" s="255"/>
      <c r="B995" s="38"/>
      <c r="C995" s="174"/>
      <c r="D995" s="174"/>
      <c r="E995" s="174"/>
      <c r="F995" s="174"/>
      <c r="G995" s="174"/>
      <c r="H995" s="174"/>
      <c r="I995" s="174"/>
      <c r="J995" s="174"/>
      <c r="K995" s="174"/>
      <c r="L995" s="174"/>
      <c r="M995" s="174"/>
      <c r="N995" s="174"/>
      <c r="O995" s="174"/>
      <c r="P995" s="174"/>
      <c r="Q995" s="174"/>
      <c r="R995" s="174"/>
      <c r="S995" s="174"/>
      <c r="T995" s="174"/>
      <c r="U995" s="174"/>
      <c r="V995" s="174"/>
      <c r="W995" s="160"/>
      <c r="X995" s="160"/>
      <c r="Y995" s="160"/>
      <c r="Z995" s="160"/>
      <c r="AA995" s="160"/>
      <c r="AB995" s="160"/>
      <c r="AC995" s="160"/>
      <c r="AD995" s="160"/>
      <c r="AE995" s="160"/>
      <c r="AF995" s="160"/>
      <c r="AG995" s="160"/>
      <c r="AH995" s="160"/>
      <c r="AI995" s="160"/>
      <c r="AJ995" s="179"/>
      <c r="AK995" s="160"/>
      <c r="AL995" s="177"/>
      <c r="AM995" s="160">
        <f>IF(and($AM$902&gt;0,Model!W$1&lt;='Assumptions (Solar)'!$V$13),PPMT('Assumptions (Solar)'!$V$10,Model!W$1,'Assumptions (Solar)'!$V$13,'Assumptions (Solar)'!$V$8*Model!$AM$902*('Assumptions (Solar)'!$AK$20*'Assumptions (Solar)'!$AK$2+'Assumptions (Solar)'!$AK$21*'Assumptions (Solar)'!$AK$3)/10^9),0)</f>
        <v>-0.06541809271</v>
      </c>
      <c r="AN995" s="160">
        <f>IF(and($AM$902&gt;0,Model!X$1&lt;='Assumptions (Solar)'!$V$13),PPMT('Assumptions (Solar)'!$V$10,Model!X$1,'Assumptions (Solar)'!$V$13,'Assumptions (Solar)'!$V$8*Model!$AM$902*('Assumptions (Solar)'!$AK$20*'Assumptions (Solar)'!$AK$2+'Assumptions (Solar)'!$AK$21*'Assumptions (Solar)'!$AK$3)/10^9),0)</f>
        <v>-0.07065154012</v>
      </c>
      <c r="AO995" s="160">
        <f>IF(and($AM$902&gt;0,Model!Y$1&lt;='Assumptions (Solar)'!$V$13),PPMT('Assumptions (Solar)'!$V$10,Model!Y$1,'Assumptions (Solar)'!$V$13,'Assumptions (Solar)'!$V$8*Model!$AM$902*('Assumptions (Solar)'!$AK$20*'Assumptions (Solar)'!$AK$2+'Assumptions (Solar)'!$AK$21*'Assumptions (Solar)'!$AK$3)/10^9),0)</f>
        <v>-0.07630366333</v>
      </c>
      <c r="AP995" s="160">
        <f>IF(and($AM$902&gt;0,Model!Z$1&lt;='Assumptions (Solar)'!$V$13),PPMT('Assumptions (Solar)'!$V$10,Model!Z$1,'Assumptions (Solar)'!$V$13,'Assumptions (Solar)'!$V$8*Model!$AM$902*('Assumptions (Solar)'!$AK$20*'Assumptions (Solar)'!$AK$2+'Assumptions (Solar)'!$AK$21*'Assumptions (Solar)'!$AK$3)/10^9),0)</f>
        <v>-0.0824079564</v>
      </c>
      <c r="AQ995" s="160">
        <f>IF(and($AM$902&gt;0,Model!AA$1&lt;='Assumptions (Solar)'!$V$13),PPMT('Assumptions (Solar)'!$V$10,Model!AA$1,'Assumptions (Solar)'!$V$13,'Assumptions (Solar)'!$V$8*Model!$AM$902*('Assumptions (Solar)'!$AK$20*'Assumptions (Solar)'!$AK$2+'Assumptions (Solar)'!$AK$21*'Assumptions (Solar)'!$AK$3)/10^9),0)</f>
        <v>-0.08900059291</v>
      </c>
      <c r="AR995" s="160">
        <f>IF(and($AM$902&gt;0,Model!AB$1&lt;='Assumptions (Solar)'!$V$13),PPMT('Assumptions (Solar)'!$V$10,Model!AB$1,'Assumptions (Solar)'!$V$13,'Assumptions (Solar)'!$V$8*Model!$AM$902*('Assumptions (Solar)'!$AK$20*'Assumptions (Solar)'!$AK$2+'Assumptions (Solar)'!$AK$21*'Assumptions (Solar)'!$AK$3)/10^9),0)</f>
        <v>-0.09612064035</v>
      </c>
      <c r="AS995" s="160">
        <f>IF(and($AM$902&gt;0,Model!AC$1&lt;='Assumptions (Solar)'!$V$13),PPMT('Assumptions (Solar)'!$V$10,Model!AC$1,'Assumptions (Solar)'!$V$13,'Assumptions (Solar)'!$V$8*Model!$AM$902*('Assumptions (Solar)'!$AK$20*'Assumptions (Solar)'!$AK$2+'Assumptions (Solar)'!$AK$21*'Assumptions (Solar)'!$AK$3)/10^9),0)</f>
        <v>-0.1038102916</v>
      </c>
      <c r="AT995" s="160">
        <f>IF(and($AM$902&gt;0,Model!AD$1&lt;='Assumptions (Solar)'!$V$13),PPMT('Assumptions (Solar)'!$V$10,Model!AD$1,'Assumptions (Solar)'!$V$13,'Assumptions (Solar)'!$V$8*Model!$AM$902*('Assumptions (Solar)'!$AK$20*'Assumptions (Solar)'!$AK$2+'Assumptions (Solar)'!$AK$21*'Assumptions (Solar)'!$AK$3)/10^9),0)</f>
        <v>-0.1121151149</v>
      </c>
      <c r="AU995" s="160">
        <f>IF(and($AM$902&gt;0,Model!AE$1&lt;='Assumptions (Solar)'!$V$13),PPMT('Assumptions (Solar)'!$V$10,Model!AE$1,'Assumptions (Solar)'!$V$13,'Assumptions (Solar)'!$V$8*Model!$AM$902*('Assumptions (Solar)'!$AK$20*'Assumptions (Solar)'!$AK$2+'Assumptions (Solar)'!$AK$21*'Assumptions (Solar)'!$AK$3)/10^9),0)</f>
        <v>-0.1210843241</v>
      </c>
      <c r="AV995" s="160">
        <f>IF(and($AM$902&gt;0,Model!AF$1&lt;='Assumptions (Solar)'!$V$13),PPMT('Assumptions (Solar)'!$V$10,Model!AF$1,'Assumptions (Solar)'!$V$13,'Assumptions (Solar)'!$V$8*Model!$AM$902*('Assumptions (Solar)'!$AK$20*'Assumptions (Solar)'!$AK$2+'Assumptions (Solar)'!$AK$21*'Assumptions (Solar)'!$AK$3)/10^9),0)</f>
        <v>-0.13077107</v>
      </c>
      <c r="AW995" s="160"/>
      <c r="AX995" s="160"/>
      <c r="AY995" s="160"/>
      <c r="AZ995" s="160"/>
      <c r="BA995" s="160"/>
      <c r="BB995" s="160"/>
      <c r="BC995" s="160"/>
      <c r="BD995" s="160"/>
      <c r="BE995" s="160"/>
      <c r="BF995" s="160"/>
      <c r="BG995" s="160"/>
      <c r="BH995" s="160"/>
      <c r="BI995" s="160"/>
      <c r="BJ995" s="160"/>
      <c r="BK995" s="160"/>
    </row>
    <row r="996" ht="15.75" hidden="1" customHeight="1" outlineLevel="1">
      <c r="A996" s="255"/>
      <c r="B996" s="38"/>
      <c r="C996" s="174"/>
      <c r="D996" s="174"/>
      <c r="E996" s="174"/>
      <c r="F996" s="174"/>
      <c r="G996" s="174"/>
      <c r="H996" s="174"/>
      <c r="I996" s="174"/>
      <c r="J996" s="174"/>
      <c r="K996" s="174"/>
      <c r="L996" s="174"/>
      <c r="M996" s="174"/>
      <c r="N996" s="174"/>
      <c r="O996" s="174"/>
      <c r="P996" s="174"/>
      <c r="Q996" s="174"/>
      <c r="R996" s="174"/>
      <c r="S996" s="174"/>
      <c r="T996" s="174"/>
      <c r="U996" s="174"/>
      <c r="V996" s="174"/>
      <c r="W996" s="160"/>
      <c r="X996" s="160"/>
      <c r="Y996" s="160"/>
      <c r="Z996" s="160"/>
      <c r="AA996" s="160"/>
      <c r="AB996" s="160"/>
      <c r="AC996" s="160"/>
      <c r="AD996" s="160"/>
      <c r="AE996" s="160"/>
      <c r="AF996" s="160"/>
      <c r="AG996" s="160"/>
      <c r="AH996" s="160"/>
      <c r="AI996" s="160"/>
      <c r="AJ996" s="179"/>
      <c r="AK996" s="160"/>
      <c r="AL996" s="177"/>
      <c r="AM996" s="177"/>
      <c r="AN996" s="160">
        <f>IF(and($AN$902&gt;0,Model!W$1&lt;='Assumptions (Solar)'!$V$13),PPMT('Assumptions (Solar)'!$V$10,Model!W$1,'Assumptions (Solar)'!$V$13,'Assumptions (Solar)'!$V$8*Model!$AN$902*('Assumptions (Solar)'!$AL$20*'Assumptions (Solar)'!$AL$2+'Assumptions (Solar)'!$AL$21*'Assumptions (Solar)'!$AL$3)/10^9),0)</f>
        <v>-0.06699714896</v>
      </c>
      <c r="AO996" s="160">
        <f>IF(and($AN$902&gt;0,Model!X$1&lt;='Assumptions (Solar)'!$V$13),PPMT('Assumptions (Solar)'!$V$10,Model!X$1,'Assumptions (Solar)'!$V$13,'Assumptions (Solar)'!$V$8*Model!$AN$902*('Assumptions (Solar)'!$AL$20*'Assumptions (Solar)'!$AL$2+'Assumptions (Solar)'!$AL$21*'Assumptions (Solar)'!$AL$3)/10^9),0)</f>
        <v>-0.07235692088</v>
      </c>
      <c r="AP996" s="160">
        <f>IF(and($AN$902&gt;0,Model!Y$1&lt;='Assumptions (Solar)'!$V$13),PPMT('Assumptions (Solar)'!$V$10,Model!Y$1,'Assumptions (Solar)'!$V$13,'Assumptions (Solar)'!$V$8*Model!$AN$902*('Assumptions (Solar)'!$AL$20*'Assumptions (Solar)'!$AL$2+'Assumptions (Solar)'!$AL$21*'Assumptions (Solar)'!$AL$3)/10^9),0)</f>
        <v>-0.07814547455</v>
      </c>
      <c r="AQ996" s="160">
        <f>IF(and($AN$902&gt;0,Model!Z$1&lt;='Assumptions (Solar)'!$V$13),PPMT('Assumptions (Solar)'!$V$10,Model!Z$1,'Assumptions (Solar)'!$V$13,'Assumptions (Solar)'!$V$8*Model!$AN$902*('Assumptions (Solar)'!$AL$20*'Assumptions (Solar)'!$AL$2+'Assumptions (Solar)'!$AL$21*'Assumptions (Solar)'!$AL$3)/10^9),0)</f>
        <v>-0.08439711252</v>
      </c>
      <c r="AR996" s="160">
        <f>IF(and($AN$902&gt;0,Model!AA$1&lt;='Assumptions (Solar)'!$V$13),PPMT('Assumptions (Solar)'!$V$10,Model!AA$1,'Assumptions (Solar)'!$V$13,'Assumptions (Solar)'!$V$8*Model!$AN$902*('Assumptions (Solar)'!$AL$20*'Assumptions (Solar)'!$AL$2+'Assumptions (Solar)'!$AL$21*'Assumptions (Solar)'!$AL$3)/10^9),0)</f>
        <v>-0.09114888152</v>
      </c>
      <c r="AS996" s="160">
        <f>IF(and($AN$902&gt;0,Model!AB$1&lt;='Assumptions (Solar)'!$V$13),PPMT('Assumptions (Solar)'!$V$10,Model!AB$1,'Assumptions (Solar)'!$V$13,'Assumptions (Solar)'!$V$8*Model!$AN$902*('Assumptions (Solar)'!$AL$20*'Assumptions (Solar)'!$AL$2+'Assumptions (Solar)'!$AL$21*'Assumptions (Solar)'!$AL$3)/10^9),0)</f>
        <v>-0.09844079204</v>
      </c>
      <c r="AT996" s="160">
        <f>IF(and($AN$902&gt;0,Model!AC$1&lt;='Assumptions (Solar)'!$V$13),PPMT('Assumptions (Solar)'!$V$10,Model!AC$1,'Assumptions (Solar)'!$V$13,'Assumptions (Solar)'!$V$8*Model!$AN$902*('Assumptions (Solar)'!$AL$20*'Assumptions (Solar)'!$AL$2+'Assumptions (Solar)'!$AL$21*'Assumptions (Solar)'!$AL$3)/10^9),0)</f>
        <v>-0.1063160554</v>
      </c>
      <c r="AU996" s="160">
        <f>IF(and($AN$902&gt;0,Model!AD$1&lt;='Assumptions (Solar)'!$V$13),PPMT('Assumptions (Solar)'!$V$10,Model!AD$1,'Assumptions (Solar)'!$V$13,'Assumptions (Solar)'!$V$8*Model!$AN$902*('Assumptions (Solar)'!$AL$20*'Assumptions (Solar)'!$AL$2+'Assumptions (Solar)'!$AL$21*'Assumptions (Solar)'!$AL$3)/10^9),0)</f>
        <v>-0.1148213398</v>
      </c>
      <c r="AV996" s="160">
        <f>IF(and($AN$902&gt;0,Model!AE$1&lt;='Assumptions (Solar)'!$V$13),PPMT('Assumptions (Solar)'!$V$10,Model!AE$1,'Assumptions (Solar)'!$V$13,'Assumptions (Solar)'!$V$8*Model!$AN$902*('Assumptions (Solar)'!$AL$20*'Assumptions (Solar)'!$AL$2+'Assumptions (Solar)'!$AL$21*'Assumptions (Solar)'!$AL$3)/10^9),0)</f>
        <v>-0.124007047</v>
      </c>
      <c r="AW996" s="160">
        <f>IF(and($AN$902&gt;0,Model!AF$1&lt;='Assumptions (Solar)'!$V$13),PPMT('Assumptions (Solar)'!$V$10,Model!AF$1,'Assumptions (Solar)'!$V$13,'Assumptions (Solar)'!$V$8*Model!$AN$902*('Assumptions (Solar)'!$AL$20*'Assumptions (Solar)'!$AL$2+'Assumptions (Solar)'!$AL$21*'Assumptions (Solar)'!$AL$3)/10^9),0)</f>
        <v>-0.1339276108</v>
      </c>
      <c r="AX996" s="160"/>
      <c r="AY996" s="160"/>
      <c r="AZ996" s="160"/>
      <c r="BA996" s="160"/>
      <c r="BB996" s="160"/>
      <c r="BC996" s="160"/>
      <c r="BD996" s="160"/>
      <c r="BE996" s="160"/>
      <c r="BF996" s="160"/>
      <c r="BG996" s="160"/>
      <c r="BH996" s="160"/>
      <c r="BI996" s="160"/>
      <c r="BJ996" s="160"/>
      <c r="BK996" s="160"/>
      <c r="BL996" s="160"/>
    </row>
    <row r="997" ht="15.75" hidden="1" customHeight="1" outlineLevel="1">
      <c r="A997" s="255"/>
      <c r="B997" s="38"/>
      <c r="C997" s="174"/>
      <c r="D997" s="174"/>
      <c r="E997" s="174"/>
      <c r="F997" s="174"/>
      <c r="G997" s="174"/>
      <c r="H997" s="174"/>
      <c r="I997" s="174"/>
      <c r="J997" s="174"/>
      <c r="K997" s="174"/>
      <c r="L997" s="174"/>
      <c r="M997" s="174"/>
      <c r="N997" s="174"/>
      <c r="O997" s="174"/>
      <c r="P997" s="174"/>
      <c r="Q997" s="174"/>
      <c r="R997" s="174"/>
      <c r="S997" s="174"/>
      <c r="T997" s="174"/>
      <c r="U997" s="174"/>
      <c r="V997" s="174"/>
      <c r="W997" s="160"/>
      <c r="X997" s="160"/>
      <c r="Y997" s="160"/>
      <c r="Z997" s="160"/>
      <c r="AA997" s="160"/>
      <c r="AB997" s="160"/>
      <c r="AC997" s="160"/>
      <c r="AD997" s="160"/>
      <c r="AE997" s="160"/>
      <c r="AF997" s="160"/>
      <c r="AG997" s="160"/>
      <c r="AH997" s="160"/>
      <c r="AI997" s="160"/>
      <c r="AJ997" s="179"/>
      <c r="AK997" s="160"/>
      <c r="AL997" s="177"/>
      <c r="AM997" s="177"/>
      <c r="AN997" s="177"/>
      <c r="AO997" s="160">
        <f>IF(and($AO$902&gt;0,Model!W$1&lt;='Assumptions (Solar)'!$V$13),PPMT('Assumptions (Solar)'!$V$10,Model!W$1,'Assumptions (Solar)'!$V$13,'Assumptions (Solar)'!$V$8*Model!$AO$902*('Assumptions (Solar)'!$AM$20*'Assumptions (Solar)'!$AM$2+'Assumptions (Solar)'!$AM$21*'Assumptions (Solar)'!$AM$3)/10^9),0)</f>
        <v>-0.07160323037</v>
      </c>
      <c r="AP997" s="160">
        <f>IF(and($AO$902&gt;0,Model!X$1&lt;='Assumptions (Solar)'!$V$13),PPMT('Assumptions (Solar)'!$V$10,Model!X$1,'Assumptions (Solar)'!$V$13,'Assumptions (Solar)'!$V$8*Model!$AO$902*('Assumptions (Solar)'!$AM$20*'Assumptions (Solar)'!$AM$2+'Assumptions (Solar)'!$AM$21*'Assumptions (Solar)'!$AM$3)/10^9),0)</f>
        <v>-0.0773314888</v>
      </c>
      <c r="AQ997" s="160">
        <f>IF(and($AO$902&gt;0,Model!Y$1&lt;='Assumptions (Solar)'!$V$13),PPMT('Assumptions (Solar)'!$V$10,Model!Y$1,'Assumptions (Solar)'!$V$13,'Assumptions (Solar)'!$V$8*Model!$AO$902*('Assumptions (Solar)'!$AM$20*'Assumptions (Solar)'!$AM$2+'Assumptions (Solar)'!$AM$21*'Assumptions (Solar)'!$AM$3)/10^9),0)</f>
        <v>-0.0835180079</v>
      </c>
      <c r="AR997" s="160">
        <f>IF(and($AO$902&gt;0,Model!Z$1&lt;='Assumptions (Solar)'!$V$13),PPMT('Assumptions (Solar)'!$V$10,Model!Z$1,'Assumptions (Solar)'!$V$13,'Assumptions (Solar)'!$V$8*Model!$AO$902*('Assumptions (Solar)'!$AM$20*'Assumptions (Solar)'!$AM$2+'Assumptions (Solar)'!$AM$21*'Assumptions (Solar)'!$AM$3)/10^9),0)</f>
        <v>-0.09019944854</v>
      </c>
      <c r="AS997" s="160">
        <f>IF(and($AO$902&gt;0,Model!AA$1&lt;='Assumptions (Solar)'!$V$13),PPMT('Assumptions (Solar)'!$V$10,Model!AA$1,'Assumptions (Solar)'!$V$13,'Assumptions (Solar)'!$V$8*Model!$AO$902*('Assumptions (Solar)'!$AM$20*'Assumptions (Solar)'!$AM$2+'Assumptions (Solar)'!$AM$21*'Assumptions (Solar)'!$AM$3)/10^9),0)</f>
        <v>-0.09741540442</v>
      </c>
      <c r="AT997" s="160">
        <f>IF(and($AO$902&gt;0,Model!AB$1&lt;='Assumptions (Solar)'!$V$13),PPMT('Assumptions (Solar)'!$V$10,Model!AB$1,'Assumptions (Solar)'!$V$13,'Assumptions (Solar)'!$V$8*Model!$AO$902*('Assumptions (Solar)'!$AM$20*'Assumptions (Solar)'!$AM$2+'Assumptions (Solar)'!$AM$21*'Assumptions (Solar)'!$AM$3)/10^9),0)</f>
        <v>-0.1052086368</v>
      </c>
      <c r="AU997" s="160">
        <f>IF(and($AO$902&gt;0,Model!AC$1&lt;='Assumptions (Solar)'!$V$13),PPMT('Assumptions (Solar)'!$V$10,Model!AC$1,'Assumptions (Solar)'!$V$13,'Assumptions (Solar)'!$V$8*Model!$AO$902*('Assumptions (Solar)'!$AM$20*'Assumptions (Solar)'!$AM$2+'Assumptions (Solar)'!$AM$21*'Assumptions (Solar)'!$AM$3)/10^9),0)</f>
        <v>-0.1136253277</v>
      </c>
      <c r="AV997" s="160">
        <f>IF(and($AO$902&gt;0,Model!AD$1&lt;='Assumptions (Solar)'!$V$13),PPMT('Assumptions (Solar)'!$V$10,Model!AD$1,'Assumptions (Solar)'!$V$13,'Assumptions (Solar)'!$V$8*Model!$AO$902*('Assumptions (Solar)'!$AM$20*'Assumptions (Solar)'!$AM$2+'Assumptions (Solar)'!$AM$21*'Assumptions (Solar)'!$AM$3)/10^9),0)</f>
        <v>-0.1227153539</v>
      </c>
      <c r="AW997" s="160">
        <f>IF(and($AO$902&gt;0,Model!AE$1&lt;='Assumptions (Solar)'!$V$13),PPMT('Assumptions (Solar)'!$V$10,Model!AE$1,'Assumptions (Solar)'!$V$13,'Assumptions (Solar)'!$V$8*Model!$AO$902*('Assumptions (Solar)'!$AM$20*'Assumptions (Solar)'!$AM$2+'Assumptions (Solar)'!$AM$21*'Assumptions (Solar)'!$AM$3)/10^9),0)</f>
        <v>-0.1325325822</v>
      </c>
      <c r="AX997" s="160">
        <f>IF(and($AO$902&gt;0,Model!AF$1&lt;='Assumptions (Solar)'!$V$13),PPMT('Assumptions (Solar)'!$V$10,Model!AF$1,'Assumptions (Solar)'!$V$13,'Assumptions (Solar)'!$V$8*Model!$AO$902*('Assumptions (Solar)'!$AM$20*'Assumptions (Solar)'!$AM$2+'Assumptions (Solar)'!$AM$21*'Assumptions (Solar)'!$AM$3)/10^9),0)</f>
        <v>-0.1431351888</v>
      </c>
      <c r="AY997" s="160"/>
      <c r="AZ997" s="160"/>
      <c r="BA997" s="160"/>
      <c r="BB997" s="160"/>
      <c r="BC997" s="160"/>
      <c r="BD997" s="160"/>
      <c r="BE997" s="160"/>
      <c r="BF997" s="160"/>
      <c r="BG997" s="160"/>
      <c r="BH997" s="160"/>
      <c r="BI997" s="160"/>
      <c r="BJ997" s="160"/>
      <c r="BK997" s="160"/>
      <c r="BL997" s="160"/>
      <c r="BM997" s="160"/>
    </row>
    <row r="998" ht="15.75" hidden="1" customHeight="1" outlineLevel="1">
      <c r="A998" s="255"/>
      <c r="B998" s="38"/>
      <c r="C998" s="174"/>
      <c r="D998" s="174"/>
      <c r="E998" s="174"/>
      <c r="F998" s="174"/>
      <c r="G998" s="174"/>
      <c r="H998" s="174"/>
      <c r="I998" s="174"/>
      <c r="J998" s="174"/>
      <c r="K998" s="174"/>
      <c r="L998" s="174"/>
      <c r="M998" s="174"/>
      <c r="N998" s="174"/>
      <c r="O998" s="174"/>
      <c r="P998" s="174"/>
      <c r="Q998" s="174"/>
      <c r="R998" s="174"/>
      <c r="S998" s="174"/>
      <c r="T998" s="174"/>
      <c r="U998" s="174"/>
      <c r="V998" s="174"/>
      <c r="W998" s="160"/>
      <c r="X998" s="160"/>
      <c r="Y998" s="160"/>
      <c r="Z998" s="160"/>
      <c r="AA998" s="160"/>
      <c r="AB998" s="160"/>
      <c r="AC998" s="160"/>
      <c r="AD998" s="160"/>
      <c r="AE998" s="160"/>
      <c r="AF998" s="160"/>
      <c r="AG998" s="160"/>
      <c r="AH998" s="160"/>
      <c r="AI998" s="160"/>
      <c r="AJ998" s="179"/>
      <c r="AK998" s="160"/>
      <c r="AL998" s="177"/>
      <c r="AM998" s="177"/>
      <c r="AN998" s="177"/>
      <c r="AO998" s="160"/>
      <c r="AP998" s="160">
        <f>IF(and($AP$902&gt;0,Model!W$1&lt;='Assumptions (Solar)'!$V$13),PPMT('Assumptions (Solar)'!$V$10,Model!W$1,'Assumptions (Solar)'!$V$13,'Assumptions (Solar)'!$V$8*Model!$AP$902*('Assumptions (Solar)'!$AN$20*'Assumptions (Solar)'!$AN$2+'Assumptions (Solar)'!$AN$21*'Assumptions (Solar)'!$AN$3)/10^9),0)</f>
        <v>-0.08043774059</v>
      </c>
      <c r="AQ998" s="160">
        <f>IF(and($AP$902&gt;0,Model!X$1&lt;='Assumptions (Solar)'!$V$13),PPMT('Assumptions (Solar)'!$V$10,Model!X$1,'Assumptions (Solar)'!$V$13,'Assumptions (Solar)'!$V$8*Model!$AP$902*('Assumptions (Solar)'!$AN$20*'Assumptions (Solar)'!$AN$2+'Assumptions (Solar)'!$AN$21*'Assumptions (Solar)'!$AN$3)/10^9),0)</f>
        <v>-0.08687275984</v>
      </c>
      <c r="AR998" s="160">
        <f>IF(and($AP$902&gt;0,Model!Y$1&lt;='Assumptions (Solar)'!$V$13),PPMT('Assumptions (Solar)'!$V$10,Model!Y$1,'Assumptions (Solar)'!$V$13,'Assumptions (Solar)'!$V$8*Model!$AP$902*('Assumptions (Solar)'!$AN$20*'Assumptions (Solar)'!$AN$2+'Assumptions (Solar)'!$AN$21*'Assumptions (Solar)'!$AN$3)/10^9),0)</f>
        <v>-0.09382258063</v>
      </c>
      <c r="AS998" s="160">
        <f>IF(and($AP$902&gt;0,Model!Z$1&lt;='Assumptions (Solar)'!$V$13),PPMT('Assumptions (Solar)'!$V$10,Model!Z$1,'Assumptions (Solar)'!$V$13,'Assumptions (Solar)'!$V$8*Model!$AP$902*('Assumptions (Solar)'!$AN$20*'Assumptions (Solar)'!$AN$2+'Assumptions (Solar)'!$AN$21*'Assumptions (Solar)'!$AN$3)/10^9),0)</f>
        <v>-0.1013283871</v>
      </c>
      <c r="AT998" s="160">
        <f>IF(and($AP$902&gt;0,Model!AA$1&lt;='Assumptions (Solar)'!$V$13),PPMT('Assumptions (Solar)'!$V$10,Model!AA$1,'Assumptions (Solar)'!$V$13,'Assumptions (Solar)'!$V$8*Model!$AP$902*('Assumptions (Solar)'!$AN$20*'Assumptions (Solar)'!$AN$2+'Assumptions (Solar)'!$AN$21*'Assumptions (Solar)'!$AN$3)/10^9),0)</f>
        <v>-0.109434658</v>
      </c>
      <c r="AU998" s="160">
        <f>IF(and($AP$902&gt;0,Model!AB$1&lt;='Assumptions (Solar)'!$V$13),PPMT('Assumptions (Solar)'!$V$10,Model!AB$1,'Assumptions (Solar)'!$V$13,'Assumptions (Solar)'!$V$8*Model!$AP$902*('Assumptions (Solar)'!$AN$20*'Assumptions (Solar)'!$AN$2+'Assumptions (Solar)'!$AN$21*'Assumptions (Solar)'!$AN$3)/10^9),0)</f>
        <v>-0.1181894307</v>
      </c>
      <c r="AV998" s="160">
        <f>IF(and($AP$902&gt;0,Model!AC$1&lt;='Assumptions (Solar)'!$V$13),PPMT('Assumptions (Solar)'!$V$10,Model!AC$1,'Assumptions (Solar)'!$V$13,'Assumptions (Solar)'!$V$8*Model!$AP$902*('Assumptions (Solar)'!$AN$20*'Assumptions (Solar)'!$AN$2+'Assumptions (Solar)'!$AN$21*'Assumptions (Solar)'!$AN$3)/10^9),0)</f>
        <v>-0.1276445851</v>
      </c>
      <c r="AW998" s="160">
        <f>IF(and($AP$902&gt;0,Model!AD$1&lt;='Assumptions (Solar)'!$V$13),PPMT('Assumptions (Solar)'!$V$10,Model!AD$1,'Assumptions (Solar)'!$V$13,'Assumptions (Solar)'!$V$8*Model!$AP$902*('Assumptions (Solar)'!$AN$20*'Assumptions (Solar)'!$AN$2+'Assumptions (Solar)'!$AN$21*'Assumptions (Solar)'!$AN$3)/10^9),0)</f>
        <v>-0.137856152</v>
      </c>
      <c r="AX998" s="160">
        <f>IF(and($AP$902&gt;0,Model!AE$1&lt;='Assumptions (Solar)'!$V$13),PPMT('Assumptions (Solar)'!$V$10,Model!AE$1,'Assumptions (Solar)'!$V$13,'Assumptions (Solar)'!$V$8*Model!$AP$902*('Assumptions (Solar)'!$AN$20*'Assumptions (Solar)'!$AN$2+'Assumptions (Solar)'!$AN$21*'Assumptions (Solar)'!$AN$3)/10^9),0)</f>
        <v>-0.1488846441</v>
      </c>
      <c r="AY998" s="160">
        <f>IF(and($AP$902&gt;0,Model!AF$1&lt;='Assumptions (Solar)'!$V$13),PPMT('Assumptions (Solar)'!$V$10,Model!AF$1,'Assumptions (Solar)'!$V$13,'Assumptions (Solar)'!$V$8*Model!$AP$902*('Assumptions (Solar)'!$AN$20*'Assumptions (Solar)'!$AN$2+'Assumptions (Solar)'!$AN$21*'Assumptions (Solar)'!$AN$3)/10^9),0)</f>
        <v>-0.1607954156</v>
      </c>
      <c r="AZ998" s="160"/>
      <c r="BA998" s="160"/>
      <c r="BB998" s="160"/>
      <c r="BC998" s="160"/>
      <c r="BD998" s="160"/>
      <c r="BE998" s="160"/>
      <c r="BF998" s="160"/>
      <c r="BG998" s="160"/>
      <c r="BH998" s="160"/>
      <c r="BI998" s="160"/>
      <c r="BJ998" s="160"/>
      <c r="BK998" s="160"/>
      <c r="BL998" s="160"/>
      <c r="BM998" s="160"/>
      <c r="BN998" s="160"/>
    </row>
    <row r="999" ht="15.75" hidden="1" customHeight="1" outlineLevel="1">
      <c r="A999" s="255"/>
      <c r="B999" s="38"/>
      <c r="C999" s="174"/>
      <c r="D999" s="174"/>
      <c r="E999" s="174"/>
      <c r="F999" s="174"/>
      <c r="G999" s="174"/>
      <c r="H999" s="174"/>
      <c r="I999" s="174"/>
      <c r="J999" s="174"/>
      <c r="K999" s="174"/>
      <c r="L999" s="174"/>
      <c r="M999" s="174"/>
      <c r="N999" s="174"/>
      <c r="O999" s="174"/>
      <c r="P999" s="174"/>
      <c r="Q999" s="174"/>
      <c r="R999" s="174"/>
      <c r="S999" s="174"/>
      <c r="T999" s="174"/>
      <c r="U999" s="174"/>
      <c r="V999" s="174"/>
      <c r="W999" s="160"/>
      <c r="X999" s="160"/>
      <c r="Y999" s="160"/>
      <c r="Z999" s="160"/>
      <c r="AA999" s="160"/>
      <c r="AB999" s="160"/>
      <c r="AC999" s="160"/>
      <c r="AD999" s="160"/>
      <c r="AE999" s="160"/>
      <c r="AF999" s="160"/>
      <c r="AG999" s="160"/>
      <c r="AH999" s="160"/>
      <c r="AI999" s="160"/>
      <c r="AJ999" s="179"/>
      <c r="AK999" s="160"/>
      <c r="AL999" s="177"/>
      <c r="AM999" s="177"/>
      <c r="AN999" s="177"/>
      <c r="AO999" s="160"/>
      <c r="AP999" s="160"/>
      <c r="AQ999" s="160">
        <f>IF(and($AQ$902&gt;0,Model!W$1&lt;='Assumptions (Solar)'!$V$13),PPMT('Assumptions (Solar)'!$V$10,Model!W$1,'Assumptions (Solar)'!$V$13,'Assumptions (Solar)'!$V$8*Model!$AQ$902*('Assumptions (Solar)'!$AO$20*'Assumptions (Solar)'!$AO$2+'Assumptions (Solar)'!$AO$21*'Assumptions (Solar)'!$AO$3)/10^9),0)</f>
        <v>-0.08729739116</v>
      </c>
      <c r="AR999" s="160">
        <f>IF(and($AQ$902&gt;0,Model!X$1&lt;='Assumptions (Solar)'!$V$13),PPMT('Assumptions (Solar)'!$V$10,Model!X$1,'Assumptions (Solar)'!$V$13,'Assumptions (Solar)'!$V$8*Model!$AQ$902*('Assumptions (Solar)'!$AO$20*'Assumptions (Solar)'!$AO$2+'Assumptions (Solar)'!$AO$21*'Assumptions (Solar)'!$AO$3)/10^9),0)</f>
        <v>-0.09428118245</v>
      </c>
      <c r="AS999" s="160">
        <f>IF(and($AQ$902&gt;0,Model!Y$1&lt;='Assumptions (Solar)'!$V$13),PPMT('Assumptions (Solar)'!$V$10,Model!Y$1,'Assumptions (Solar)'!$V$13,'Assumptions (Solar)'!$V$8*Model!$AQ$902*('Assumptions (Solar)'!$AO$20*'Assumptions (Solar)'!$AO$2+'Assumptions (Solar)'!$AO$21*'Assumptions (Solar)'!$AO$3)/10^9),0)</f>
        <v>-0.1018236771</v>
      </c>
      <c r="AT999" s="160">
        <f>IF(and($AQ$902&gt;0,Model!Z$1&lt;='Assumptions (Solar)'!$V$13),PPMT('Assumptions (Solar)'!$V$10,Model!Z$1,'Assumptions (Solar)'!$V$13,'Assumptions (Solar)'!$V$8*Model!$AQ$902*('Assumptions (Solar)'!$AO$20*'Assumptions (Solar)'!$AO$2+'Assumptions (Solar)'!$AO$21*'Assumptions (Solar)'!$AO$3)/10^9),0)</f>
        <v>-0.1099695712</v>
      </c>
      <c r="AU999" s="160">
        <f>IF(and($AQ$902&gt;0,Model!AA$1&lt;='Assumptions (Solar)'!$V$13),PPMT('Assumptions (Solar)'!$V$10,Model!AA$1,'Assumptions (Solar)'!$V$13,'Assumptions (Solar)'!$V$8*Model!$AQ$902*('Assumptions (Solar)'!$AO$20*'Assumptions (Solar)'!$AO$2+'Assumptions (Solar)'!$AO$21*'Assumptions (Solar)'!$AO$3)/10^9),0)</f>
        <v>-0.1187671369</v>
      </c>
      <c r="AV999" s="160">
        <f>IF(and($AQ$902&gt;0,Model!AB$1&lt;='Assumptions (Solar)'!$V$13),PPMT('Assumptions (Solar)'!$V$10,Model!AB$1,'Assumptions (Solar)'!$V$13,'Assumptions (Solar)'!$V$8*Model!$AQ$902*('Assumptions (Solar)'!$AO$20*'Assumptions (Solar)'!$AO$2+'Assumptions (Solar)'!$AO$21*'Assumptions (Solar)'!$AO$3)/10^9),0)</f>
        <v>-0.1282685079</v>
      </c>
      <c r="AW999" s="160">
        <f>IF(and($AQ$902&gt;0,Model!AC$1&lt;='Assumptions (Solar)'!$V$13),PPMT('Assumptions (Solar)'!$V$10,Model!AC$1,'Assumptions (Solar)'!$V$13,'Assumptions (Solar)'!$V$8*Model!$AQ$902*('Assumptions (Solar)'!$AO$20*'Assumptions (Solar)'!$AO$2+'Assumptions (Solar)'!$AO$21*'Assumptions (Solar)'!$AO$3)/10^9),0)</f>
        <v>-0.1385299885</v>
      </c>
      <c r="AX999" s="160">
        <f>IF(and($AQ$902&gt;0,Model!AD$1&lt;='Assumptions (Solar)'!$V$13),PPMT('Assumptions (Solar)'!$V$10,Model!AD$1,'Assumptions (Solar)'!$V$13,'Assumptions (Solar)'!$V$8*Model!$AQ$902*('Assumptions (Solar)'!$AO$20*'Assumptions (Solar)'!$AO$2+'Assumptions (Solar)'!$AO$21*'Assumptions (Solar)'!$AO$3)/10^9),0)</f>
        <v>-0.1496123876</v>
      </c>
      <c r="AY999" s="160">
        <f>IF(and($AQ$902&gt;0,Model!AE$1&lt;='Assumptions (Solar)'!$V$13),PPMT('Assumptions (Solar)'!$V$10,Model!AE$1,'Assumptions (Solar)'!$V$13,'Assumptions (Solar)'!$V$8*Model!$AQ$902*('Assumptions (Solar)'!$AO$20*'Assumptions (Solar)'!$AO$2+'Assumptions (Solar)'!$AO$21*'Assumptions (Solar)'!$AO$3)/10^9),0)</f>
        <v>-0.1615813786</v>
      </c>
      <c r="AZ999" s="160">
        <f>IF(and($AQ$902&gt;0,Model!AF$1&lt;='Assumptions (Solar)'!$V$13),PPMT('Assumptions (Solar)'!$V$10,Model!AF$1,'Assumptions (Solar)'!$V$13,'Assumptions (Solar)'!$V$8*Model!$AQ$902*('Assumptions (Solar)'!$AO$20*'Assumptions (Solar)'!$AO$2+'Assumptions (Solar)'!$AO$21*'Assumptions (Solar)'!$AO$3)/10^9),0)</f>
        <v>-0.1745078889</v>
      </c>
      <c r="BA999" s="160"/>
      <c r="BB999" s="160"/>
      <c r="BC999" s="160"/>
      <c r="BD999" s="160"/>
      <c r="BE999" s="160"/>
      <c r="BF999" s="160"/>
      <c r="BG999" s="160"/>
      <c r="BH999" s="160"/>
      <c r="BI999" s="160"/>
      <c r="BJ999" s="160"/>
      <c r="BK999" s="160"/>
      <c r="BL999" s="160"/>
      <c r="BM999" s="160"/>
      <c r="BN999" s="160"/>
      <c r="BO999" s="160"/>
    </row>
    <row r="1000" ht="15.75" hidden="1" customHeight="1" outlineLevel="1">
      <c r="A1000" s="255"/>
      <c r="B1000" s="38"/>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60"/>
      <c r="X1000" s="160"/>
      <c r="Y1000" s="160"/>
      <c r="Z1000" s="160"/>
      <c r="AA1000" s="160"/>
      <c r="AB1000" s="160"/>
      <c r="AC1000" s="160"/>
      <c r="AD1000" s="160"/>
      <c r="AE1000" s="160"/>
      <c r="AF1000" s="160"/>
      <c r="AG1000" s="160"/>
      <c r="AH1000" s="160"/>
      <c r="AI1000" s="160"/>
      <c r="AJ1000" s="179"/>
      <c r="AK1000" s="160"/>
      <c r="AL1000" s="177"/>
      <c r="AM1000" s="177"/>
      <c r="AN1000" s="177"/>
      <c r="AO1000" s="160"/>
      <c r="AP1000" s="160"/>
      <c r="AQ1000" s="160"/>
      <c r="AR1000" s="160">
        <f>IF(and($AR$902&gt;0,Model!W$1&lt;='Assumptions (Solar)'!$V$13),PPMT('Assumptions (Solar)'!$V$10,Model!W$1,'Assumptions (Solar)'!$V$13,'Assumptions (Solar)'!$V$8*Model!$AR$902*('Assumptions (Solar)'!$AP$20*'Assumptions (Solar)'!$AP$2+'Assumptions (Solar)'!$AP$21*'Assumptions (Solar)'!$AP$3)/10^9),0)</f>
        <v>-0.1209961659</v>
      </c>
      <c r="AS1000" s="160">
        <f>IF(and($AR$902&gt;0,Model!X$1&lt;='Assumptions (Solar)'!$V$13),PPMT('Assumptions (Solar)'!$V$10,Model!X$1,'Assumptions (Solar)'!$V$13,'Assumptions (Solar)'!$V$8*Model!$AR$902*('Assumptions (Solar)'!$AP$20*'Assumptions (Solar)'!$AP$2+'Assumptions (Solar)'!$AP$21*'Assumptions (Solar)'!$AP$3)/10^9),0)</f>
        <v>-0.1306758592</v>
      </c>
      <c r="AT1000" s="160">
        <f>IF(and($AR$902&gt;0,Model!Y$1&lt;='Assumptions (Solar)'!$V$13),PPMT('Assumptions (Solar)'!$V$10,Model!Y$1,'Assumptions (Solar)'!$V$13,'Assumptions (Solar)'!$V$8*Model!$AR$902*('Assumptions (Solar)'!$AP$20*'Assumptions (Solar)'!$AP$2+'Assumptions (Solar)'!$AP$21*'Assumptions (Solar)'!$AP$3)/10^9),0)</f>
        <v>-0.1411299279</v>
      </c>
      <c r="AU1000" s="160">
        <f>IF(and($AR$902&gt;0,Model!Z$1&lt;='Assumptions (Solar)'!$V$13),PPMT('Assumptions (Solar)'!$V$10,Model!Z$1,'Assumptions (Solar)'!$V$13,'Assumptions (Solar)'!$V$8*Model!$AR$902*('Assumptions (Solar)'!$AP$20*'Assumptions (Solar)'!$AP$2+'Assumptions (Solar)'!$AP$21*'Assumptions (Solar)'!$AP$3)/10^9),0)</f>
        <v>-0.1524203222</v>
      </c>
      <c r="AV1000" s="160">
        <f>IF(and($AR$902&gt;0,Model!AA$1&lt;='Assumptions (Solar)'!$V$13),PPMT('Assumptions (Solar)'!$V$10,Model!AA$1,'Assumptions (Solar)'!$V$13,'Assumptions (Solar)'!$V$8*Model!$AR$902*('Assumptions (Solar)'!$AP$20*'Assumptions (Solar)'!$AP$2+'Assumptions (Solar)'!$AP$21*'Assumptions (Solar)'!$AP$3)/10^9),0)</f>
        <v>-0.164613948</v>
      </c>
      <c r="AW1000" s="160">
        <f>IF(and($AR$902&gt;0,Model!AB$1&lt;='Assumptions (Solar)'!$V$13),PPMT('Assumptions (Solar)'!$V$10,Model!AB$1,'Assumptions (Solar)'!$V$13,'Assumptions (Solar)'!$V$8*Model!$AR$902*('Assumptions (Solar)'!$AP$20*'Assumptions (Solar)'!$AP$2+'Assumptions (Solar)'!$AP$21*'Assumptions (Solar)'!$AP$3)/10^9),0)</f>
        <v>-0.1777830638</v>
      </c>
      <c r="AX1000" s="160">
        <f>IF(and($AR$902&gt;0,Model!AC$1&lt;='Assumptions (Solar)'!$V$13),PPMT('Assumptions (Solar)'!$V$10,Model!AC$1,'Assumptions (Solar)'!$V$13,'Assumptions (Solar)'!$V$8*Model!$AR$902*('Assumptions (Solar)'!$AP$20*'Assumptions (Solar)'!$AP$2+'Assumptions (Solar)'!$AP$21*'Assumptions (Solar)'!$AP$3)/10^9),0)</f>
        <v>-0.1920057089</v>
      </c>
      <c r="AY1000" s="160">
        <f>IF(and($AR$902&gt;0,Model!AD$1&lt;='Assumptions (Solar)'!$V$13),PPMT('Assumptions (Solar)'!$V$10,Model!AD$1,'Assumptions (Solar)'!$V$13,'Assumptions (Solar)'!$V$8*Model!$AR$902*('Assumptions (Solar)'!$AP$20*'Assumptions (Solar)'!$AP$2+'Assumptions (Solar)'!$AP$21*'Assumptions (Solar)'!$AP$3)/10^9),0)</f>
        <v>-0.2073661656</v>
      </c>
      <c r="AZ1000" s="160">
        <f>IF(and($AR$902&gt;0,Model!AE$1&lt;='Assumptions (Solar)'!$V$13),PPMT('Assumptions (Solar)'!$V$10,Model!AE$1,'Assumptions (Solar)'!$V$13,'Assumptions (Solar)'!$V$8*Model!$AR$902*('Assumptions (Solar)'!$AP$20*'Assumptions (Solar)'!$AP$2+'Assumptions (Solar)'!$AP$21*'Assumptions (Solar)'!$AP$3)/10^9),0)</f>
        <v>-0.2239554588</v>
      </c>
      <c r="BA1000" s="160">
        <f>IF(and($AR$902&gt;0,Model!AF$1&lt;='Assumptions (Solar)'!$V$13),PPMT('Assumptions (Solar)'!$V$10,Model!AF$1,'Assumptions (Solar)'!$V$13,'Assumptions (Solar)'!$V$8*Model!$AR$902*('Assumptions (Solar)'!$AP$20*'Assumptions (Solar)'!$AP$2+'Assumptions (Solar)'!$AP$21*'Assumptions (Solar)'!$AP$3)/10^9),0)</f>
        <v>-0.2418718956</v>
      </c>
      <c r="BB1000" s="160"/>
      <c r="BC1000" s="160"/>
      <c r="BD1000" s="160"/>
      <c r="BE1000" s="160"/>
      <c r="BF1000" s="160"/>
      <c r="BG1000" s="160"/>
      <c r="BH1000" s="160"/>
      <c r="BI1000" s="160"/>
      <c r="BJ1000" s="160"/>
      <c r="BK1000" s="160"/>
      <c r="BL1000" s="160"/>
      <c r="BM1000" s="160"/>
      <c r="BN1000" s="160"/>
      <c r="BO1000" s="160"/>
      <c r="BP1000" s="160"/>
    </row>
    <row r="1001" ht="15.75" hidden="1" customHeight="1" outlineLevel="1">
      <c r="A1001" s="255"/>
      <c r="B1001" s="38"/>
      <c r="C1001" s="174"/>
      <c r="D1001" s="174"/>
      <c r="E1001" s="174"/>
      <c r="F1001" s="174"/>
      <c r="G1001" s="174"/>
      <c r="H1001" s="174"/>
      <c r="I1001" s="174"/>
      <c r="J1001" s="174"/>
      <c r="K1001" s="174"/>
      <c r="L1001" s="174"/>
      <c r="M1001" s="174"/>
      <c r="N1001" s="174"/>
      <c r="O1001" s="174"/>
      <c r="P1001" s="174"/>
      <c r="Q1001" s="174"/>
      <c r="R1001" s="174"/>
      <c r="S1001" s="174"/>
      <c r="T1001" s="174"/>
      <c r="U1001" s="174"/>
      <c r="V1001" s="174"/>
      <c r="W1001" s="160"/>
      <c r="X1001" s="160"/>
      <c r="Y1001" s="160"/>
      <c r="Z1001" s="160"/>
      <c r="AA1001" s="160"/>
      <c r="AB1001" s="160"/>
      <c r="AC1001" s="160"/>
      <c r="AD1001" s="160"/>
      <c r="AE1001" s="160"/>
      <c r="AF1001" s="160"/>
      <c r="AG1001" s="160"/>
      <c r="AH1001" s="160"/>
      <c r="AI1001" s="160"/>
      <c r="AJ1001" s="179"/>
      <c r="AK1001" s="160"/>
      <c r="AL1001" s="177"/>
      <c r="AM1001" s="177"/>
      <c r="AN1001" s="177"/>
      <c r="AO1001" s="160"/>
      <c r="AP1001" s="160"/>
      <c r="AQ1001" s="160"/>
      <c r="AR1001" s="160"/>
      <c r="AS1001" s="160">
        <f>IF(and($AS$902&gt;0,Model!W$1&lt;='Assumptions (Solar)'!$V$13),PPMT('Assumptions (Solar)'!$V$10,Model!W$1,'Assumptions (Solar)'!$V$13,'Assumptions (Solar)'!$V$8*Model!$AS$902*('Assumptions (Solar)'!$AQ$20*'Assumptions (Solar)'!$AQ$2+'Assumptions (Solar)'!$AQ$21*'Assumptions (Solar)'!$AQ$3)/10^9),0)</f>
        <v>-0.1497183799</v>
      </c>
      <c r="AT1001" s="160">
        <f>IF(and($AS$902&gt;0,Model!X$1&lt;='Assumptions (Solar)'!$V$13),PPMT('Assumptions (Solar)'!$V$10,Model!X$1,'Assumptions (Solar)'!$V$13,'Assumptions (Solar)'!$V$8*Model!$AS$902*('Assumptions (Solar)'!$AQ$20*'Assumptions (Solar)'!$AQ$2+'Assumptions (Solar)'!$AQ$21*'Assumptions (Solar)'!$AQ$3)/10^9),0)</f>
        <v>-0.1616958503</v>
      </c>
      <c r="AU1001" s="160">
        <f>IF(and($AS$902&gt;0,Model!Y$1&lt;='Assumptions (Solar)'!$V$13),PPMT('Assumptions (Solar)'!$V$10,Model!Y$1,'Assumptions (Solar)'!$V$13,'Assumptions (Solar)'!$V$8*Model!$AS$902*('Assumptions (Solar)'!$AQ$20*'Assumptions (Solar)'!$AQ$2+'Assumptions (Solar)'!$AQ$21*'Assumptions (Solar)'!$AQ$3)/10^9),0)</f>
        <v>-0.1746315183</v>
      </c>
      <c r="AV1001" s="160">
        <f>IF(and($AS$902&gt;0,Model!Z$1&lt;='Assumptions (Solar)'!$V$13),PPMT('Assumptions (Solar)'!$V$10,Model!Z$1,'Assumptions (Solar)'!$V$13,'Assumptions (Solar)'!$V$8*Model!$AS$902*('Assumptions (Solar)'!$AQ$20*'Assumptions (Solar)'!$AQ$2+'Assumptions (Solar)'!$AQ$21*'Assumptions (Solar)'!$AQ$3)/10^9),0)</f>
        <v>-0.1886020397</v>
      </c>
      <c r="AW1001" s="160">
        <f>IF(and($AS$902&gt;0,Model!AA$1&lt;='Assumptions (Solar)'!$V$13),PPMT('Assumptions (Solar)'!$V$10,Model!AA$1,'Assumptions (Solar)'!$V$13,'Assumptions (Solar)'!$V$8*Model!$AS$902*('Assumptions (Solar)'!$AQ$20*'Assumptions (Solar)'!$AQ$2+'Assumptions (Solar)'!$AQ$21*'Assumptions (Solar)'!$AQ$3)/10^9),0)</f>
        <v>-0.2036902029</v>
      </c>
      <c r="AX1001" s="160">
        <f>IF(and($AS$902&gt;0,Model!AB$1&lt;='Assumptions (Solar)'!$V$13),PPMT('Assumptions (Solar)'!$V$10,Model!AB$1,'Assumptions (Solar)'!$V$13,'Assumptions (Solar)'!$V$8*Model!$AS$902*('Assumptions (Solar)'!$AQ$20*'Assumptions (Solar)'!$AQ$2+'Assumptions (Solar)'!$AQ$21*'Assumptions (Solar)'!$AQ$3)/10^9),0)</f>
        <v>-0.2199854192</v>
      </c>
      <c r="AY1001" s="160">
        <f>IF(and($AS$902&gt;0,Model!AC$1&lt;='Assumptions (Solar)'!$V$13),PPMT('Assumptions (Solar)'!$V$10,Model!AC$1,'Assumptions (Solar)'!$V$13,'Assumptions (Solar)'!$V$8*Model!$AS$902*('Assumptions (Solar)'!$AQ$20*'Assumptions (Solar)'!$AQ$2+'Assumptions (Solar)'!$AQ$21*'Assumptions (Solar)'!$AQ$3)/10^9),0)</f>
        <v>-0.2375842527</v>
      </c>
      <c r="AZ1001" s="160">
        <f>IF(and($AS$902&gt;0,Model!AD$1&lt;='Assumptions (Solar)'!$V$13),PPMT('Assumptions (Solar)'!$V$10,Model!AD$1,'Assumptions (Solar)'!$V$13,'Assumptions (Solar)'!$V$8*Model!$AS$902*('Assumptions (Solar)'!$AQ$20*'Assumptions (Solar)'!$AQ$2+'Assumptions (Solar)'!$AQ$21*'Assumptions (Solar)'!$AQ$3)/10^9),0)</f>
        <v>-0.2565909929</v>
      </c>
      <c r="BA1001" s="160">
        <f>IF(and($AS$902&gt;0,Model!AE$1&lt;='Assumptions (Solar)'!$V$13),PPMT('Assumptions (Solar)'!$V$10,Model!AE$1,'Assumptions (Solar)'!$V$13,'Assumptions (Solar)'!$V$8*Model!$AS$902*('Assumptions (Solar)'!$AQ$20*'Assumptions (Solar)'!$AQ$2+'Assumptions (Solar)'!$AQ$21*'Assumptions (Solar)'!$AQ$3)/10^9),0)</f>
        <v>-0.2771182723</v>
      </c>
      <c r="BB1001" s="160">
        <f>IF(and($AS$902&gt;0,Model!AF$1&lt;='Assumptions (Solar)'!$V$13),PPMT('Assumptions (Solar)'!$V$10,Model!AF$1,'Assumptions (Solar)'!$V$13,'Assumptions (Solar)'!$V$8*Model!$AS$902*('Assumptions (Solar)'!$AQ$20*'Assumptions (Solar)'!$AQ$2+'Assumptions (Solar)'!$AQ$21*'Assumptions (Solar)'!$AQ$3)/10^9),0)</f>
        <v>-0.2992877341</v>
      </c>
      <c r="BC1001" s="160"/>
      <c r="BD1001" s="160"/>
      <c r="BE1001" s="160"/>
      <c r="BF1001" s="160"/>
      <c r="BG1001" s="160"/>
      <c r="BH1001" s="160"/>
      <c r="BI1001" s="160"/>
      <c r="BJ1001" s="160"/>
      <c r="BK1001" s="160"/>
      <c r="BL1001" s="160"/>
      <c r="BM1001" s="160"/>
      <c r="BN1001" s="160"/>
      <c r="BO1001" s="160"/>
      <c r="BP1001" s="160"/>
      <c r="BQ1001" s="160"/>
      <c r="BR1001" s="160"/>
    </row>
    <row r="1002" ht="15.75" hidden="1" customHeight="1" outlineLevel="1">
      <c r="A1002" s="255"/>
      <c r="B1002" s="38"/>
      <c r="C1002" s="174"/>
      <c r="D1002" s="174"/>
      <c r="E1002" s="174"/>
      <c r="F1002" s="174"/>
      <c r="G1002" s="174"/>
      <c r="H1002" s="174"/>
      <c r="I1002" s="174"/>
      <c r="J1002" s="174"/>
      <c r="K1002" s="174"/>
      <c r="L1002" s="174"/>
      <c r="M1002" s="174"/>
      <c r="N1002" s="174"/>
      <c r="O1002" s="174"/>
      <c r="P1002" s="174"/>
      <c r="Q1002" s="174"/>
      <c r="R1002" s="174"/>
      <c r="S1002" s="174"/>
      <c r="T1002" s="174"/>
      <c r="U1002" s="174"/>
      <c r="V1002" s="174"/>
      <c r="W1002" s="160"/>
      <c r="X1002" s="160"/>
      <c r="Y1002" s="160"/>
      <c r="Z1002" s="160"/>
      <c r="AA1002" s="160"/>
      <c r="AB1002" s="160"/>
      <c r="AC1002" s="160"/>
      <c r="AD1002" s="160"/>
      <c r="AE1002" s="160"/>
      <c r="AF1002" s="160"/>
      <c r="AG1002" s="160"/>
      <c r="AH1002" s="160"/>
      <c r="AI1002" s="160"/>
      <c r="AJ1002" s="179"/>
      <c r="AK1002" s="160"/>
      <c r="AL1002" s="177"/>
      <c r="AM1002" s="177"/>
      <c r="AN1002" s="177"/>
      <c r="AO1002" s="160"/>
      <c r="AP1002" s="160"/>
      <c r="AQ1002" s="160"/>
      <c r="AR1002" s="160"/>
      <c r="AS1002" s="160"/>
      <c r="AT1002" s="160">
        <f>IF(and($AT$902&gt;0,Model!W$1&lt;='Assumptions (Solar)'!$V$13),PPMT('Assumptions (Solar)'!$V$10,Model!W$1,'Assumptions (Solar)'!$V$13,'Assumptions (Solar)'!$V$8*Model!$AT$902*('Assumptions (Solar)'!$AR$20*'Assumptions (Solar)'!$AR$2+'Assumptions (Solar)'!$AR$21*'Assumptions (Solar)'!$AR$3)/10^9),0)</f>
        <v>-0.1415278655</v>
      </c>
      <c r="AU1002" s="160">
        <f>IF(and($AT$902&gt;0,Model!X$1&lt;='Assumptions (Solar)'!$V$13),PPMT('Assumptions (Solar)'!$V$10,Model!X$1,'Assumptions (Solar)'!$V$13,'Assumptions (Solar)'!$V$8*Model!$AT$902*('Assumptions (Solar)'!$AR$20*'Assumptions (Solar)'!$AR$2+'Assumptions (Solar)'!$AR$21*'Assumptions (Solar)'!$AR$3)/10^9),0)</f>
        <v>-0.1528500947</v>
      </c>
      <c r="AV1002" s="160">
        <f>IF(and($AT$902&gt;0,Model!Y$1&lt;='Assumptions (Solar)'!$V$13),PPMT('Assumptions (Solar)'!$V$10,Model!Y$1,'Assumptions (Solar)'!$V$13,'Assumptions (Solar)'!$V$8*Model!$AT$902*('Assumptions (Solar)'!$AR$20*'Assumptions (Solar)'!$AR$2+'Assumptions (Solar)'!$AR$21*'Assumptions (Solar)'!$AR$3)/10^9),0)</f>
        <v>-0.1650781023</v>
      </c>
      <c r="AW1002" s="160">
        <f>IF(and($AT$902&gt;0,Model!Z$1&lt;='Assumptions (Solar)'!$V$13),PPMT('Assumptions (Solar)'!$V$10,Model!Z$1,'Assumptions (Solar)'!$V$13,'Assumptions (Solar)'!$V$8*Model!$AT$902*('Assumptions (Solar)'!$AR$20*'Assumptions (Solar)'!$AR$2+'Assumptions (Solar)'!$AR$21*'Assumptions (Solar)'!$AR$3)/10^9),0)</f>
        <v>-0.1782843505</v>
      </c>
      <c r="AX1002" s="160">
        <f>IF(and($AT$902&gt;0,Model!AA$1&lt;='Assumptions (Solar)'!$V$13),PPMT('Assumptions (Solar)'!$V$10,Model!AA$1,'Assumptions (Solar)'!$V$13,'Assumptions (Solar)'!$V$8*Model!$AT$902*('Assumptions (Solar)'!$AR$20*'Assumptions (Solar)'!$AR$2+'Assumptions (Solar)'!$AR$21*'Assumptions (Solar)'!$AR$3)/10^9),0)</f>
        <v>-0.1925470986</v>
      </c>
      <c r="AY1002" s="160">
        <f>IF(and($AT$902&gt;0,Model!AB$1&lt;='Assumptions (Solar)'!$V$13),PPMT('Assumptions (Solar)'!$V$10,Model!AB$1,'Assumptions (Solar)'!$V$13,'Assumptions (Solar)'!$V$8*Model!$AT$902*('Assumptions (Solar)'!$AR$20*'Assumptions (Solar)'!$AR$2+'Assumptions (Solar)'!$AR$21*'Assumptions (Solar)'!$AR$3)/10^9),0)</f>
        <v>-0.2079508664</v>
      </c>
      <c r="AZ1002" s="160">
        <f>IF(and($AT$902&gt;0,Model!AC$1&lt;='Assumptions (Solar)'!$V$13),PPMT('Assumptions (Solar)'!$V$10,Model!AC$1,'Assumptions (Solar)'!$V$13,'Assumptions (Solar)'!$V$8*Model!$AT$902*('Assumptions (Solar)'!$AR$20*'Assumptions (Solar)'!$AR$2+'Assumptions (Solar)'!$AR$21*'Assumptions (Solar)'!$AR$3)/10^9),0)</f>
        <v>-0.2245869358</v>
      </c>
      <c r="BA1002" s="160">
        <f>IF(and($AT$902&gt;0,Model!AD$1&lt;='Assumptions (Solar)'!$V$13),PPMT('Assumptions (Solar)'!$V$10,Model!AD$1,'Assumptions (Solar)'!$V$13,'Assumptions (Solar)'!$V$8*Model!$AT$902*('Assumptions (Solar)'!$AR$20*'Assumptions (Solar)'!$AR$2+'Assumptions (Solar)'!$AR$21*'Assumptions (Solar)'!$AR$3)/10^9),0)</f>
        <v>-0.2425538906</v>
      </c>
      <c r="BB1002" s="160">
        <f>IF(and($AT$902&gt;0,Model!AE$1&lt;='Assumptions (Solar)'!$V$13),PPMT('Assumptions (Solar)'!$V$10,Model!AE$1,'Assumptions (Solar)'!$V$13,'Assumptions (Solar)'!$V$8*Model!$AT$902*('Assumptions (Solar)'!$AR$20*'Assumptions (Solar)'!$AR$2+'Assumptions (Solar)'!$AR$21*'Assumptions (Solar)'!$AR$3)/10^9),0)</f>
        <v>-0.2619582019</v>
      </c>
      <c r="BC1002" s="160">
        <f>IF(and($AT$902&gt;0,Model!AF$1&lt;='Assumptions (Solar)'!$V$13),PPMT('Assumptions (Solar)'!$V$10,Model!AF$1,'Assumptions (Solar)'!$V$13,'Assumptions (Solar)'!$V$8*Model!$AT$902*('Assumptions (Solar)'!$AR$20*'Assumptions (Solar)'!$AR$2+'Assumptions (Solar)'!$AR$21*'Assumptions (Solar)'!$AR$3)/10^9),0)</f>
        <v>-0.282914858</v>
      </c>
      <c r="BD1002" s="160"/>
      <c r="BE1002" s="160"/>
      <c r="BF1002" s="160"/>
      <c r="BG1002" s="160"/>
      <c r="BH1002" s="160"/>
      <c r="BI1002" s="160"/>
      <c r="BJ1002" s="160"/>
      <c r="BK1002" s="160"/>
      <c r="BL1002" s="160"/>
      <c r="BM1002" s="160"/>
      <c r="BN1002" s="160"/>
      <c r="BO1002" s="160"/>
      <c r="BP1002" s="160"/>
      <c r="BQ1002" s="160"/>
      <c r="BR1002" s="160"/>
    </row>
    <row r="1003" ht="15.75" hidden="1" customHeight="1" outlineLevel="1">
      <c r="A1003" s="255"/>
      <c r="B1003" s="38"/>
      <c r="C1003" s="174"/>
      <c r="D1003" s="174"/>
      <c r="E1003" s="174"/>
      <c r="F1003" s="174"/>
      <c r="G1003" s="174"/>
      <c r="H1003" s="174"/>
      <c r="I1003" s="174"/>
      <c r="J1003" s="174"/>
      <c r="K1003" s="174"/>
      <c r="L1003" s="174"/>
      <c r="M1003" s="174"/>
      <c r="N1003" s="174"/>
      <c r="O1003" s="174"/>
      <c r="P1003" s="174"/>
      <c r="Q1003" s="174"/>
      <c r="R1003" s="174"/>
      <c r="S1003" s="174"/>
      <c r="T1003" s="174"/>
      <c r="U1003" s="174"/>
      <c r="V1003" s="174"/>
      <c r="W1003" s="160"/>
      <c r="X1003" s="160"/>
      <c r="Y1003" s="160"/>
      <c r="Z1003" s="160"/>
      <c r="AA1003" s="160"/>
      <c r="AB1003" s="160"/>
      <c r="AC1003" s="160"/>
      <c r="AD1003" s="160"/>
      <c r="AE1003" s="160"/>
      <c r="AF1003" s="160"/>
      <c r="AG1003" s="160"/>
      <c r="AH1003" s="160"/>
      <c r="AI1003" s="160"/>
      <c r="AJ1003" s="179"/>
      <c r="AK1003" s="160"/>
      <c r="AL1003" s="177"/>
      <c r="AM1003" s="177"/>
      <c r="AN1003" s="177"/>
      <c r="AO1003" s="160"/>
      <c r="AP1003" s="160"/>
      <c r="AQ1003" s="160"/>
      <c r="AR1003" s="160"/>
      <c r="AS1003" s="160"/>
      <c r="AT1003" s="160"/>
      <c r="AU1003" s="160">
        <f>IF(and($AU$902&gt;0,Model!W$1&lt;='Assumptions (Solar)'!$V$13),PPMT('Assumptions (Solar)'!$V$10,Model!W$1,'Assumptions (Solar)'!$V$13,'Assumptions (Solar)'!$V$8*Model!$AU$902*('Assumptions (Solar)'!$AS$20*'Assumptions (Solar)'!$AS$2+'Assumptions (Solar)'!$AS$21*'Assumptions (Solar)'!$AS$3)/10^9),0)</f>
        <v>-0.11407689</v>
      </c>
      <c r="AV1003" s="160">
        <f>IF(and($AU$902&gt;0,Model!X$1&lt;='Assumptions (Solar)'!$V$13),PPMT('Assumptions (Solar)'!$V$10,Model!X$1,'Assumptions (Solar)'!$V$13,'Assumptions (Solar)'!$V$8*Model!$AU$902*('Assumptions (Solar)'!$AS$20*'Assumptions (Solar)'!$AS$2+'Assumptions (Solar)'!$AS$21*'Assumptions (Solar)'!$AS$3)/10^9),0)</f>
        <v>-0.1232030412</v>
      </c>
      <c r="AW1003" s="160">
        <f>IF(and($AU$902&gt;0,Model!Y$1&lt;='Assumptions (Solar)'!$V$13),PPMT('Assumptions (Solar)'!$V$10,Model!Y$1,'Assumptions (Solar)'!$V$13,'Assumptions (Solar)'!$V$8*Model!$AU$902*('Assumptions (Solar)'!$AS$20*'Assumptions (Solar)'!$AS$2+'Assumptions (Solar)'!$AS$21*'Assumptions (Solar)'!$AS$3)/10^9),0)</f>
        <v>-0.1330592844</v>
      </c>
      <c r="AX1003" s="160">
        <f>IF(and($AU$902&gt;0,Model!Z$1&lt;='Assumptions (Solar)'!$V$13),PPMT('Assumptions (Solar)'!$V$10,Model!Z$1,'Assumptions (Solar)'!$V$13,'Assumptions (Solar)'!$V$8*Model!$AU$902*('Assumptions (Solar)'!$AS$20*'Assumptions (Solar)'!$AS$2+'Assumptions (Solar)'!$AS$21*'Assumptions (Solar)'!$AS$3)/10^9),0)</f>
        <v>-0.1437040272</v>
      </c>
      <c r="AY1003" s="160">
        <f>IF(and($AU$902&gt;0,Model!AA$1&lt;='Assumptions (Solar)'!$V$13),PPMT('Assumptions (Solar)'!$V$10,Model!AA$1,'Assumptions (Solar)'!$V$13,'Assumptions (Solar)'!$V$8*Model!$AU$902*('Assumptions (Solar)'!$AS$20*'Assumptions (Solar)'!$AS$2+'Assumptions (Solar)'!$AS$21*'Assumptions (Solar)'!$AS$3)/10^9),0)</f>
        <v>-0.1552003494</v>
      </c>
      <c r="AZ1003" s="160">
        <f>IF(and($AU$902&gt;0,Model!AB$1&lt;='Assumptions (Solar)'!$V$13),PPMT('Assumptions (Solar)'!$V$10,Model!AB$1,'Assumptions (Solar)'!$V$13,'Assumptions (Solar)'!$V$8*Model!$AU$902*('Assumptions (Solar)'!$AS$20*'Assumptions (Solar)'!$AS$2+'Assumptions (Solar)'!$AS$21*'Assumptions (Solar)'!$AS$3)/10^9),0)</f>
        <v>-0.1676163773</v>
      </c>
      <c r="BA1003" s="160">
        <f>IF(and($AU$902&gt;0,Model!AC$1&lt;='Assumptions (Solar)'!$V$13),PPMT('Assumptions (Solar)'!$V$10,Model!AC$1,'Assumptions (Solar)'!$V$13,'Assumptions (Solar)'!$V$8*Model!$AU$902*('Assumptions (Solar)'!$AS$20*'Assumptions (Solar)'!$AS$2+'Assumptions (Solar)'!$AS$21*'Assumptions (Solar)'!$AS$3)/10^9),0)</f>
        <v>-0.1810256875</v>
      </c>
      <c r="BB1003" s="160">
        <f>IF(and($AU$902&gt;0,Model!AD$1&lt;='Assumptions (Solar)'!$V$13),PPMT('Assumptions (Solar)'!$V$10,Model!AD$1,'Assumptions (Solar)'!$V$13,'Assumptions (Solar)'!$V$8*Model!$AU$902*('Assumptions (Solar)'!$AS$20*'Assumptions (Solar)'!$AS$2+'Assumptions (Solar)'!$AS$21*'Assumptions (Solar)'!$AS$3)/10^9),0)</f>
        <v>-0.1955077425</v>
      </c>
      <c r="BC1003" s="160">
        <f>IF(and($AU$902&gt;0,Model!AE$1&lt;='Assumptions (Solar)'!$V$13),PPMT('Assumptions (Solar)'!$V$10,Model!AE$1,'Assumptions (Solar)'!$V$13,'Assumptions (Solar)'!$V$8*Model!$AU$902*('Assumptions (Solar)'!$AS$20*'Assumptions (Solar)'!$AS$2+'Assumptions (Solar)'!$AS$21*'Assumptions (Solar)'!$AS$3)/10^9),0)</f>
        <v>-0.2111483619</v>
      </c>
      <c r="BD1003" s="160">
        <f>IF(and($AU$902&gt;0,Model!AF$1&lt;='Assumptions (Solar)'!$V$13),PPMT('Assumptions (Solar)'!$V$10,Model!AF$1,'Assumptions (Solar)'!$V$13,'Assumptions (Solar)'!$V$8*Model!$AU$902*('Assumptions (Solar)'!$AS$20*'Assumptions (Solar)'!$AS$2+'Assumptions (Solar)'!$AS$21*'Assumptions (Solar)'!$AS$3)/10^9),0)</f>
        <v>-0.2280402309</v>
      </c>
      <c r="BE1003" s="160"/>
      <c r="BF1003" s="160"/>
      <c r="BG1003" s="160"/>
      <c r="BH1003" s="160"/>
      <c r="BI1003" s="160"/>
      <c r="BJ1003" s="160"/>
      <c r="BK1003" s="160"/>
      <c r="BL1003" s="160"/>
      <c r="BM1003" s="160"/>
      <c r="BN1003" s="160"/>
      <c r="BO1003" s="160"/>
      <c r="BP1003" s="160"/>
      <c r="BQ1003" s="160"/>
      <c r="BR1003" s="160"/>
      <c r="BS1003" s="160"/>
    </row>
    <row r="1004" ht="15.75" hidden="1" customHeight="1" outlineLevel="1">
      <c r="A1004" s="255"/>
      <c r="B1004" s="38"/>
      <c r="C1004" s="174"/>
      <c r="D1004" s="174"/>
      <c r="E1004" s="174"/>
      <c r="F1004" s="174"/>
      <c r="G1004" s="174"/>
      <c r="H1004" s="174"/>
      <c r="I1004" s="174"/>
      <c r="J1004" s="174"/>
      <c r="K1004" s="174"/>
      <c r="L1004" s="174"/>
      <c r="M1004" s="174"/>
      <c r="N1004" s="174"/>
      <c r="O1004" s="174"/>
      <c r="P1004" s="174"/>
      <c r="Q1004" s="174"/>
      <c r="R1004" s="174"/>
      <c r="S1004" s="174"/>
      <c r="T1004" s="174"/>
      <c r="U1004" s="174"/>
      <c r="V1004" s="174"/>
      <c r="W1004" s="160"/>
      <c r="X1004" s="160"/>
      <c r="Y1004" s="160"/>
      <c r="Z1004" s="160"/>
      <c r="AA1004" s="160"/>
      <c r="AB1004" s="160"/>
      <c r="AC1004" s="160"/>
      <c r="AD1004" s="160"/>
      <c r="AE1004" s="160"/>
      <c r="AF1004" s="160"/>
      <c r="AG1004" s="160"/>
      <c r="AH1004" s="160"/>
      <c r="AI1004" s="160"/>
      <c r="AJ1004" s="179"/>
      <c r="AK1004" s="160"/>
      <c r="AL1004" s="177"/>
      <c r="AM1004" s="177"/>
      <c r="AN1004" s="177"/>
      <c r="AO1004" s="160"/>
      <c r="AP1004" s="160"/>
      <c r="AQ1004" s="160"/>
      <c r="AR1004" s="160"/>
      <c r="AS1004" s="160"/>
      <c r="AT1004" s="160"/>
      <c r="AU1004" s="160"/>
      <c r="AV1004" s="160">
        <f>IF(and($AV$902&gt;0,Model!W$1&lt;='Assumptions (Solar)'!$V$13),PPMT('Assumptions (Solar)'!$V$10,Model!W$1,'Assumptions (Solar)'!$V$13,'Assumptions (Solar)'!$V$8*Model!$AV$902*('Assumptions (Solar)'!$AT$20*'Assumptions (Solar)'!$AT$2+'Assumptions (Solar)'!$AT$21*'Assumptions (Solar)'!$AT$3)/10^9),0)</f>
        <v>-0.07094436404</v>
      </c>
      <c r="AW1004" s="160">
        <f>IF(and($AV$902&gt;0,Model!X$1&lt;='Assumptions (Solar)'!$V$13),PPMT('Assumptions (Solar)'!$V$10,Model!X$1,'Assumptions (Solar)'!$V$13,'Assumptions (Solar)'!$V$8*Model!$AV$902*('Assumptions (Solar)'!$AT$20*'Assumptions (Solar)'!$AT$2+'Assumptions (Solar)'!$AT$21*'Assumptions (Solar)'!$AT$3)/10^9),0)</f>
        <v>-0.07661991317</v>
      </c>
      <c r="AX1004" s="160">
        <f>IF(and($AV$902&gt;0,Model!Y$1&lt;='Assumptions (Solar)'!$V$13),PPMT('Assumptions (Solar)'!$V$10,Model!Y$1,'Assumptions (Solar)'!$V$13,'Assumptions (Solar)'!$V$8*Model!$AV$902*('Assumptions (Solar)'!$AT$20*'Assumptions (Solar)'!$AT$2+'Assumptions (Solar)'!$AT$21*'Assumptions (Solar)'!$AT$3)/10^9),0)</f>
        <v>-0.08274950622</v>
      </c>
      <c r="AY1004" s="160">
        <f>IF(and($AV$902&gt;0,Model!Z$1&lt;='Assumptions (Solar)'!$V$13),PPMT('Assumptions (Solar)'!$V$10,Model!Z$1,'Assumptions (Solar)'!$V$13,'Assumptions (Solar)'!$V$8*Model!$AV$902*('Assumptions (Solar)'!$AT$20*'Assumptions (Solar)'!$AT$2+'Assumptions (Solar)'!$AT$21*'Assumptions (Solar)'!$AT$3)/10^9),0)</f>
        <v>-0.08936946672</v>
      </c>
      <c r="AZ1004" s="160">
        <f>IF(and($AV$902&gt;0,Model!AA$1&lt;='Assumptions (Solar)'!$V$13),PPMT('Assumptions (Solar)'!$V$10,Model!AA$1,'Assumptions (Solar)'!$V$13,'Assumptions (Solar)'!$V$8*Model!$AV$902*('Assumptions (Solar)'!$AT$20*'Assumptions (Solar)'!$AT$2+'Assumptions (Solar)'!$AT$21*'Assumptions (Solar)'!$AT$3)/10^9),0)</f>
        <v>-0.09651902405</v>
      </c>
      <c r="BA1004" s="160">
        <f>IF(and($AV$902&gt;0,Model!AB$1&lt;='Assumptions (Solar)'!$V$13),PPMT('Assumptions (Solar)'!$V$10,Model!AB$1,'Assumptions (Solar)'!$V$13,'Assumptions (Solar)'!$V$8*Model!$AV$902*('Assumptions (Solar)'!$AT$20*'Assumptions (Solar)'!$AT$2+'Assumptions (Solar)'!$AT$21*'Assumptions (Solar)'!$AT$3)/10^9),0)</f>
        <v>-0.104240546</v>
      </c>
      <c r="BB1004" s="160">
        <f>IF(and($AV$902&gt;0,Model!AC$1&lt;='Assumptions (Solar)'!$V$13),PPMT('Assumptions (Solar)'!$V$10,Model!AC$1,'Assumptions (Solar)'!$V$13,'Assumptions (Solar)'!$V$8*Model!$AV$902*('Assumptions (Solar)'!$AT$20*'Assumptions (Solar)'!$AT$2+'Assumptions (Solar)'!$AT$21*'Assumptions (Solar)'!$AT$3)/10^9),0)</f>
        <v>-0.1125797897</v>
      </c>
      <c r="BC1004" s="160">
        <f>IF(and($AV$902&gt;0,Model!AD$1&lt;='Assumptions (Solar)'!$V$13),PPMT('Assumptions (Solar)'!$V$10,Model!AD$1,'Assumptions (Solar)'!$V$13,'Assumptions (Solar)'!$V$8*Model!$AV$902*('Assumptions (Solar)'!$AT$20*'Assumptions (Solar)'!$AT$2+'Assumptions (Solar)'!$AT$21*'Assumptions (Solar)'!$AT$3)/10^9),0)</f>
        <v>-0.1215861728</v>
      </c>
      <c r="BD1004" s="160">
        <f>IF(and($AV$902&gt;0,Model!AE$1&lt;='Assumptions (Solar)'!$V$13),PPMT('Assumptions (Solar)'!$V$10,Model!AE$1,'Assumptions (Solar)'!$V$13,'Assumptions (Solar)'!$V$8*Model!$AV$902*('Assumptions (Solar)'!$AT$20*'Assumptions (Solar)'!$AT$2+'Assumptions (Solar)'!$AT$21*'Assumptions (Solar)'!$AT$3)/10^9),0)</f>
        <v>-0.1313130667</v>
      </c>
      <c r="BE1004" s="160">
        <f>IF(and($AV$902&gt;0,Model!AF$1&lt;='Assumptions (Solar)'!$V$13),PPMT('Assumptions (Solar)'!$V$10,Model!AF$1,'Assumptions (Solar)'!$V$13,'Assumptions (Solar)'!$V$8*Model!$AV$902*('Assumptions (Solar)'!$AT$20*'Assumptions (Solar)'!$AT$2+'Assumptions (Solar)'!$AT$21*'Assumptions (Solar)'!$AT$3)/10^9),0)</f>
        <v>-0.141818112</v>
      </c>
      <c r="BF1004" s="160"/>
      <c r="BG1004" s="160"/>
      <c r="BH1004" s="160"/>
      <c r="BI1004" s="160"/>
      <c r="BJ1004" s="160"/>
      <c r="BK1004" s="160"/>
      <c r="BL1004" s="160"/>
      <c r="BM1004" s="160"/>
      <c r="BN1004" s="160"/>
      <c r="BO1004" s="160"/>
      <c r="BP1004" s="160"/>
      <c r="BQ1004" s="160"/>
      <c r="BR1004" s="160"/>
      <c r="BS1004" s="160"/>
      <c r="BT1004" s="160"/>
    </row>
    <row r="1005" ht="15.75" hidden="1" customHeight="1" outlineLevel="1">
      <c r="A1005" s="255"/>
      <c r="B1005" s="38"/>
      <c r="C1005" s="174"/>
      <c r="D1005" s="174"/>
      <c r="E1005" s="174"/>
      <c r="F1005" s="174"/>
      <c r="G1005" s="174"/>
      <c r="H1005" s="174"/>
      <c r="I1005" s="174"/>
      <c r="J1005" s="174"/>
      <c r="K1005" s="174"/>
      <c r="L1005" s="174"/>
      <c r="M1005" s="174"/>
      <c r="N1005" s="174"/>
      <c r="O1005" s="174"/>
      <c r="P1005" s="174"/>
      <c r="Q1005" s="174"/>
      <c r="R1005" s="174"/>
      <c r="S1005" s="174"/>
      <c r="T1005" s="174"/>
      <c r="U1005" s="174"/>
      <c r="V1005" s="174"/>
      <c r="W1005" s="160"/>
      <c r="X1005" s="160"/>
      <c r="Y1005" s="160"/>
      <c r="Z1005" s="160"/>
      <c r="AA1005" s="160"/>
      <c r="AB1005" s="160"/>
      <c r="AC1005" s="160"/>
      <c r="AD1005" s="160"/>
      <c r="AE1005" s="160"/>
      <c r="AF1005" s="160"/>
      <c r="AG1005" s="160"/>
      <c r="AH1005" s="160"/>
      <c r="AI1005" s="160"/>
      <c r="AJ1005" s="179"/>
      <c r="AK1005" s="160"/>
      <c r="AL1005" s="177"/>
      <c r="AM1005" s="177"/>
      <c r="AN1005" s="177"/>
      <c r="AO1005" s="160"/>
      <c r="AP1005" s="160"/>
      <c r="AQ1005" s="160"/>
      <c r="AR1005" s="160"/>
      <c r="AS1005" s="160"/>
      <c r="AT1005" s="160"/>
      <c r="AU1005" s="160"/>
      <c r="AV1005" s="160"/>
      <c r="AW1005" s="160">
        <f>IF(and($AW$902&gt;0,Model!W$1&lt;='Assumptions (Solar)'!$V$13),PPMT('Assumptions (Solar)'!$V$10,Model!W$1,'Assumptions (Solar)'!$V$13,'Assumptions (Solar)'!$V$8*Model!$AW$902*('Assumptions (Solar)'!$AU$20*'Assumptions (Solar)'!$AU$2+'Assumptions (Solar)'!$AU$21*'Assumptions (Solar)'!$AU$3)/10^9),0)</f>
        <v>-0.07163675067</v>
      </c>
      <c r="AX1005" s="160">
        <f>IF(and($AW$902&gt;0,Model!X$1&lt;='Assumptions (Solar)'!$V$13),PPMT('Assumptions (Solar)'!$V$10,Model!X$1,'Assumptions (Solar)'!$V$13,'Assumptions (Solar)'!$V$8*Model!$AW$902*('Assumptions (Solar)'!$AU$20*'Assumptions (Solar)'!$AU$2+'Assumptions (Solar)'!$AU$21*'Assumptions (Solar)'!$AU$3)/10^9),0)</f>
        <v>-0.07736769072</v>
      </c>
      <c r="AY1005" s="160">
        <f>IF(and($AW$902&gt;0,Model!Y$1&lt;='Assumptions (Solar)'!$V$13),PPMT('Assumptions (Solar)'!$V$10,Model!Y$1,'Assumptions (Solar)'!$V$13,'Assumptions (Solar)'!$V$8*Model!$AW$902*('Assumptions (Solar)'!$AU$20*'Assumptions (Solar)'!$AU$2+'Assumptions (Solar)'!$AU$21*'Assumptions (Solar)'!$AU$3)/10^9),0)</f>
        <v>-0.08355710598</v>
      </c>
      <c r="AZ1005" s="160">
        <f>IF(and($AW$902&gt;0,Model!Z$1&lt;='Assumptions (Solar)'!$V$13),PPMT('Assumptions (Solar)'!$V$10,Model!Z$1,'Assumptions (Solar)'!$V$13,'Assumptions (Solar)'!$V$8*Model!$AW$902*('Assumptions (Solar)'!$AU$20*'Assumptions (Solar)'!$AU$2+'Assumptions (Solar)'!$AU$21*'Assumptions (Solar)'!$AU$3)/10^9),0)</f>
        <v>-0.09024167446</v>
      </c>
      <c r="BA1005" s="160">
        <f>IF(and($AW$902&gt;0,Model!AA$1&lt;='Assumptions (Solar)'!$V$13),PPMT('Assumptions (Solar)'!$V$10,Model!AA$1,'Assumptions (Solar)'!$V$13,'Assumptions (Solar)'!$V$8*Model!$AW$902*('Assumptions (Solar)'!$AU$20*'Assumptions (Solar)'!$AU$2+'Assumptions (Solar)'!$AU$21*'Assumptions (Solar)'!$AU$3)/10^9),0)</f>
        <v>-0.09746100842</v>
      </c>
      <c r="BB1005" s="160">
        <f>IF(and($AW$902&gt;0,Model!AB$1&lt;='Assumptions (Solar)'!$V$13),PPMT('Assumptions (Solar)'!$V$10,Model!AB$1,'Assumptions (Solar)'!$V$13,'Assumptions (Solar)'!$V$8*Model!$AW$902*('Assumptions (Solar)'!$AU$20*'Assumptions (Solar)'!$AU$2+'Assumptions (Solar)'!$AU$21*'Assumptions (Solar)'!$AU$3)/10^9),0)</f>
        <v>-0.1052578891</v>
      </c>
      <c r="BC1005" s="160">
        <f>IF(and($AW$902&gt;0,Model!AC$1&lt;='Assumptions (Solar)'!$V$13),PPMT('Assumptions (Solar)'!$V$10,Model!AC$1,'Assumptions (Solar)'!$V$13,'Assumptions (Solar)'!$V$8*Model!$AW$902*('Assumptions (Solar)'!$AU$20*'Assumptions (Solar)'!$AU$2+'Assumptions (Solar)'!$AU$21*'Assumptions (Solar)'!$AU$3)/10^9),0)</f>
        <v>-0.1136785202</v>
      </c>
      <c r="BD1005" s="160">
        <f>IF(and($AW$902&gt;0,Model!AD$1&lt;='Assumptions (Solar)'!$V$13),PPMT('Assumptions (Solar)'!$V$10,Model!AD$1,'Assumptions (Solar)'!$V$13,'Assumptions (Solar)'!$V$8*Model!$AW$902*('Assumptions (Solar)'!$AU$20*'Assumptions (Solar)'!$AU$2+'Assumptions (Solar)'!$AU$21*'Assumptions (Solar)'!$AU$3)/10^9),0)</f>
        <v>-0.1227728018</v>
      </c>
      <c r="BE1005" s="160">
        <f>IF(and($AW$902&gt;0,Model!AE$1&lt;='Assumptions (Solar)'!$V$13),PPMT('Assumptions (Solar)'!$V$10,Model!AE$1,'Assumptions (Solar)'!$V$13,'Assumptions (Solar)'!$V$8*Model!$AW$902*('Assumptions (Solar)'!$AU$20*'Assumptions (Solar)'!$AU$2+'Assumptions (Solar)'!$AU$21*'Assumptions (Solar)'!$AU$3)/10^9),0)</f>
        <v>-0.132594626</v>
      </c>
      <c r="BF1005" s="160">
        <f>IF(and($AW$902&gt;0,Model!AF$1&lt;='Assumptions (Solar)'!$V$13),PPMT('Assumptions (Solar)'!$V$10,Model!AF$1,'Assumptions (Solar)'!$V$13,'Assumptions (Solar)'!$V$8*Model!$AW$902*('Assumptions (Solar)'!$AU$20*'Assumptions (Solar)'!$AU$2+'Assumptions (Solar)'!$AU$21*'Assumptions (Solar)'!$AU$3)/10^9),0)</f>
        <v>-0.1432021961</v>
      </c>
      <c r="BG1005" s="160"/>
      <c r="BH1005" s="160"/>
      <c r="BI1005" s="160"/>
      <c r="BJ1005" s="160"/>
      <c r="BK1005" s="160"/>
      <c r="BL1005" s="160"/>
      <c r="BM1005" s="160"/>
      <c r="BN1005" s="160"/>
      <c r="BO1005" s="160"/>
      <c r="BP1005" s="160"/>
      <c r="BQ1005" s="160"/>
      <c r="BR1005" s="160"/>
      <c r="BS1005" s="160"/>
      <c r="BT1005" s="160"/>
      <c r="BU1005" s="160"/>
    </row>
    <row r="1006" ht="15.75" hidden="1" customHeight="1" outlineLevel="1">
      <c r="A1006" s="255"/>
      <c r="B1006" s="38"/>
      <c r="C1006" s="174"/>
      <c r="D1006" s="174"/>
      <c r="E1006" s="174"/>
      <c r="F1006" s="174"/>
      <c r="G1006" s="174"/>
      <c r="H1006" s="174"/>
      <c r="I1006" s="174"/>
      <c r="J1006" s="174"/>
      <c r="K1006" s="174"/>
      <c r="L1006" s="174"/>
      <c r="M1006" s="174"/>
      <c r="N1006" s="174"/>
      <c r="O1006" s="174"/>
      <c r="P1006" s="174"/>
      <c r="Q1006" s="174"/>
      <c r="R1006" s="174"/>
      <c r="S1006" s="174"/>
      <c r="T1006" s="174"/>
      <c r="U1006" s="174"/>
      <c r="V1006" s="174"/>
      <c r="W1006" s="160"/>
      <c r="X1006" s="160"/>
      <c r="Y1006" s="160"/>
      <c r="Z1006" s="160"/>
      <c r="AA1006" s="160"/>
      <c r="AB1006" s="160"/>
      <c r="AC1006" s="160"/>
      <c r="AD1006" s="160"/>
      <c r="AE1006" s="160"/>
      <c r="AF1006" s="160"/>
      <c r="AG1006" s="160"/>
      <c r="AH1006" s="160"/>
      <c r="AI1006" s="160"/>
      <c r="AJ1006" s="179"/>
      <c r="AK1006" s="160"/>
      <c r="AL1006" s="177"/>
      <c r="AM1006" s="177"/>
      <c r="AN1006" s="177"/>
      <c r="AO1006" s="160"/>
      <c r="AP1006" s="160"/>
      <c r="AQ1006" s="160"/>
      <c r="AR1006" s="160"/>
      <c r="AS1006" s="160"/>
      <c r="AT1006" s="160"/>
      <c r="AU1006" s="160"/>
      <c r="AV1006" s="160"/>
      <c r="AW1006" s="160"/>
      <c r="AX1006" s="160">
        <f>IF(and($AX$902&gt;0,Model!W$1&lt;='Assumptions (Solar)'!$V$13),PPMT('Assumptions (Solar)'!$V$10,Model!W$1,'Assumptions (Solar)'!$V$13,'Assumptions (Solar)'!$V$8*Model!$AX$902*('Assumptions (Solar)'!$AV$20*'Assumptions (Solar)'!$AV$2+'Assumptions (Solar)'!$AV$21*'Assumptions (Solar)'!$AV$3)/10^9),0)</f>
        <v>-0.1446583027</v>
      </c>
      <c r="AY1006" s="160">
        <f>IF(and($AX$902&gt;0,Model!X$1&lt;='Assumptions (Solar)'!$V$13),PPMT('Assumptions (Solar)'!$V$10,Model!X$1,'Assumptions (Solar)'!$V$13,'Assumptions (Solar)'!$V$8*Model!$AX$902*('Assumptions (Solar)'!$AV$20*'Assumptions (Solar)'!$AV$2+'Assumptions (Solar)'!$AV$21*'Assumptions (Solar)'!$AV$3)/10^9),0)</f>
        <v>-0.156230967</v>
      </c>
      <c r="AZ1006" s="160">
        <f>IF(and($AX$902&gt;0,Model!Y$1&lt;='Assumptions (Solar)'!$V$13),PPMT('Assumptions (Solar)'!$V$10,Model!Y$1,'Assumptions (Solar)'!$V$13,'Assumptions (Solar)'!$V$8*Model!$AX$902*('Assumptions (Solar)'!$AV$20*'Assumptions (Solar)'!$AV$2+'Assumptions (Solar)'!$AV$21*'Assumptions (Solar)'!$AV$3)/10^9),0)</f>
        <v>-0.1687294443</v>
      </c>
      <c r="BA1006" s="160">
        <f>IF(and($AX$902&gt;0,Model!Z$1&lt;='Assumptions (Solar)'!$V$13),PPMT('Assumptions (Solar)'!$V$10,Model!Z$1,'Assumptions (Solar)'!$V$13,'Assumptions (Solar)'!$V$8*Model!$AX$902*('Assumptions (Solar)'!$AV$20*'Assumptions (Solar)'!$AV$2+'Assumptions (Solar)'!$AV$21*'Assumptions (Solar)'!$AV$3)/10^9),0)</f>
        <v>-0.1822277999</v>
      </c>
      <c r="BB1006" s="160">
        <f>IF(and($AX$902&gt;0,Model!AA$1&lt;='Assumptions (Solar)'!$V$13),PPMT('Assumptions (Solar)'!$V$10,Model!AA$1,'Assumptions (Solar)'!$V$13,'Assumptions (Solar)'!$V$8*Model!$AX$902*('Assumptions (Solar)'!$AV$20*'Assumptions (Solar)'!$AV$2+'Assumptions (Solar)'!$AV$21*'Assumptions (Solar)'!$AV$3)/10^9),0)</f>
        <v>-0.1968060238</v>
      </c>
      <c r="BC1006" s="160">
        <f>IF(and($AX$902&gt;0,Model!AB$1&lt;='Assumptions (Solar)'!$V$13),PPMT('Assumptions (Solar)'!$V$10,Model!AB$1,'Assumptions (Solar)'!$V$13,'Assumptions (Solar)'!$V$8*Model!$AX$902*('Assumptions (Solar)'!$AV$20*'Assumptions (Solar)'!$AV$2+'Assumptions (Solar)'!$AV$21*'Assumptions (Solar)'!$AV$3)/10^9),0)</f>
        <v>-0.2125505058</v>
      </c>
      <c r="BD1006" s="160">
        <f>IF(and($AX$902&gt;0,Model!AC$1&lt;='Assumptions (Solar)'!$V$13),PPMT('Assumptions (Solar)'!$V$10,Model!AC$1,'Assumptions (Solar)'!$V$13,'Assumptions (Solar)'!$V$8*Model!$AX$902*('Assumptions (Solar)'!$AV$20*'Assumptions (Solar)'!$AV$2+'Assumptions (Solar)'!$AV$21*'Assumptions (Solar)'!$AV$3)/10^9),0)</f>
        <v>-0.2295545462</v>
      </c>
      <c r="BE1006" s="160">
        <f>IF(and($AX$902&gt;0,Model!AD$1&lt;='Assumptions (Solar)'!$V$13),PPMT('Assumptions (Solar)'!$V$10,Model!AD$1,'Assumptions (Solar)'!$V$13,'Assumptions (Solar)'!$V$8*Model!$AX$902*('Assumptions (Solar)'!$AV$20*'Assumptions (Solar)'!$AV$2+'Assumptions (Solar)'!$AV$21*'Assumptions (Solar)'!$AV$3)/10^9),0)</f>
        <v>-0.2479189099</v>
      </c>
      <c r="BF1006" s="160">
        <f>IF(and($AX$902&gt;0,Model!AE$1&lt;='Assumptions (Solar)'!$V$13),PPMT('Assumptions (Solar)'!$V$10,Model!AE$1,'Assumptions (Solar)'!$V$13,'Assumptions (Solar)'!$V$8*Model!$AX$902*('Assumptions (Solar)'!$AV$20*'Assumptions (Solar)'!$AV$2+'Assumptions (Solar)'!$AV$21*'Assumptions (Solar)'!$AV$3)/10^9),0)</f>
        <v>-0.2677524227</v>
      </c>
      <c r="BG1006" s="160">
        <f>IF(and($AX$902&gt;0,Model!AF$1&lt;='Assumptions (Solar)'!$V$13),PPMT('Assumptions (Solar)'!$V$10,Model!AF$1,'Assumptions (Solar)'!$V$13,'Assumptions (Solar)'!$V$8*Model!$AX$902*('Assumptions (Solar)'!$AV$20*'Assumptions (Solar)'!$AV$2+'Assumptions (Solar)'!$AV$21*'Assumptions (Solar)'!$AV$3)/10^9),0)</f>
        <v>-0.2891726165</v>
      </c>
      <c r="BH1006" s="160"/>
      <c r="BI1006" s="160"/>
      <c r="BJ1006" s="160"/>
      <c r="BK1006" s="160"/>
      <c r="BL1006" s="160"/>
      <c r="BM1006" s="160"/>
      <c r="BN1006" s="160"/>
      <c r="BO1006" s="160"/>
      <c r="BP1006" s="160"/>
      <c r="BQ1006" s="160"/>
      <c r="BR1006" s="160"/>
      <c r="BS1006" s="160"/>
      <c r="BT1006" s="160"/>
      <c r="BU1006" s="160"/>
      <c r="BV1006" s="160"/>
    </row>
    <row r="1007" ht="15.75" hidden="1" customHeight="1" outlineLevel="1">
      <c r="A1007" s="255"/>
      <c r="B1007" s="38"/>
      <c r="C1007" s="174"/>
      <c r="D1007" s="174"/>
      <c r="E1007" s="174"/>
      <c r="F1007" s="174"/>
      <c r="G1007" s="174"/>
      <c r="H1007" s="174"/>
      <c r="I1007" s="174"/>
      <c r="J1007" s="174"/>
      <c r="K1007" s="174"/>
      <c r="L1007" s="174"/>
      <c r="M1007" s="174"/>
      <c r="N1007" s="174"/>
      <c r="O1007" s="174"/>
      <c r="P1007" s="174"/>
      <c r="Q1007" s="174"/>
      <c r="R1007" s="174"/>
      <c r="S1007" s="174"/>
      <c r="T1007" s="174"/>
      <c r="U1007" s="174"/>
      <c r="V1007" s="174"/>
      <c r="W1007" s="160"/>
      <c r="X1007" s="160"/>
      <c r="Y1007" s="160"/>
      <c r="Z1007" s="160"/>
      <c r="AA1007" s="160"/>
      <c r="AB1007" s="160"/>
      <c r="AC1007" s="160"/>
      <c r="AD1007" s="160"/>
      <c r="AE1007" s="160"/>
      <c r="AF1007" s="160"/>
      <c r="AG1007" s="160"/>
      <c r="AH1007" s="160"/>
      <c r="AI1007" s="160"/>
      <c r="AJ1007" s="179"/>
      <c r="AK1007" s="160"/>
      <c r="AL1007" s="177"/>
      <c r="AM1007" s="177"/>
      <c r="AN1007" s="177"/>
      <c r="AO1007" s="160"/>
      <c r="AP1007" s="160"/>
      <c r="AQ1007" s="160"/>
      <c r="AR1007" s="160"/>
      <c r="AS1007" s="160"/>
      <c r="AT1007" s="160"/>
      <c r="AU1007" s="160"/>
      <c r="AV1007" s="160"/>
      <c r="AW1007" s="160"/>
      <c r="AX1007" s="160"/>
      <c r="AY1007" s="160">
        <f>IF(and($AY$902&gt;0,Model!W$1&lt;='Assumptions (Solar)'!$V$13),PPMT('Assumptions (Solar)'!$V$10,Model!W$1,'Assumptions (Solar)'!$V$13,'Assumptions (Solar)'!$V$8*Model!$AY$902*('Assumptions (Solar)'!$AW$20*'Assumptions (Solar)'!$AW$2+'Assumptions (Solar)'!$AW$21*'Assumptions (Solar)'!$AW$3)/10^9),0)</f>
        <v>-0.1458372018</v>
      </c>
      <c r="AZ1007" s="160">
        <f>IF(and($AY$902&gt;0,Model!X$1&lt;='Assumptions (Solar)'!$V$13),PPMT('Assumptions (Solar)'!$V$10,Model!X$1,'Assumptions (Solar)'!$V$13,'Assumptions (Solar)'!$V$8*Model!$AY$902*('Assumptions (Solar)'!$AW$20*'Assumptions (Solar)'!$AW$2+'Assumptions (Solar)'!$AW$21*'Assumptions (Solar)'!$AW$3)/10^9),0)</f>
        <v>-0.157504178</v>
      </c>
      <c r="BA1007" s="160">
        <f>IF(and($AY$902&gt;0,Model!Y$1&lt;='Assumptions (Solar)'!$V$13),PPMT('Assumptions (Solar)'!$V$10,Model!Y$1,'Assumptions (Solar)'!$V$13,'Assumptions (Solar)'!$V$8*Model!$AY$902*('Assumptions (Solar)'!$AW$20*'Assumptions (Solar)'!$AW$2+'Assumptions (Solar)'!$AW$21*'Assumptions (Solar)'!$AW$3)/10^9),0)</f>
        <v>-0.1701045122</v>
      </c>
      <c r="BB1007" s="160">
        <f>IF(and($AY$902&gt;0,Model!Z$1&lt;='Assumptions (Solar)'!$V$13),PPMT('Assumptions (Solar)'!$V$10,Model!Z$1,'Assumptions (Solar)'!$V$13,'Assumptions (Solar)'!$V$8*Model!$AY$902*('Assumptions (Solar)'!$AW$20*'Assumptions (Solar)'!$AW$2+'Assumptions (Solar)'!$AW$21*'Assumptions (Solar)'!$AW$3)/10^9),0)</f>
        <v>-0.1837128732</v>
      </c>
      <c r="BC1007" s="160">
        <f>IF(and($AY$902&gt;0,Model!AA$1&lt;='Assumptions (Solar)'!$V$13),PPMT('Assumptions (Solar)'!$V$10,Model!AA$1,'Assumptions (Solar)'!$V$13,'Assumptions (Solar)'!$V$8*Model!$AY$902*('Assumptions (Solar)'!$AW$20*'Assumptions (Solar)'!$AW$2+'Assumptions (Solar)'!$AW$21*'Assumptions (Solar)'!$AW$3)/10^9),0)</f>
        <v>-0.1984099031</v>
      </c>
      <c r="BD1007" s="160">
        <f>IF(and($AY$902&gt;0,Model!AB$1&lt;='Assumptions (Solar)'!$V$13),PPMT('Assumptions (Solar)'!$V$10,Model!AB$1,'Assumptions (Solar)'!$V$13,'Assumptions (Solar)'!$V$8*Model!$AY$902*('Assumptions (Solar)'!$AW$20*'Assumptions (Solar)'!$AW$2+'Assumptions (Solar)'!$AW$21*'Assumptions (Solar)'!$AW$3)/10^9),0)</f>
        <v>-0.2142826953</v>
      </c>
      <c r="BE1007" s="160">
        <f>IF(and($AY$902&gt;0,Model!AC$1&lt;='Assumptions (Solar)'!$V$13),PPMT('Assumptions (Solar)'!$V$10,Model!AC$1,'Assumptions (Solar)'!$V$13,'Assumptions (Solar)'!$V$8*Model!$AY$902*('Assumptions (Solar)'!$AW$20*'Assumptions (Solar)'!$AW$2+'Assumptions (Solar)'!$AW$21*'Assumptions (Solar)'!$AW$3)/10^9),0)</f>
        <v>-0.2314253109</v>
      </c>
      <c r="BF1007" s="160">
        <f>IF(and($AY$902&gt;0,Model!AD$1&lt;='Assumptions (Solar)'!$V$13),PPMT('Assumptions (Solar)'!$V$10,Model!AD$1,'Assumptions (Solar)'!$V$13,'Assumptions (Solar)'!$V$8*Model!$AY$902*('Assumptions (Solar)'!$AW$20*'Assumptions (Solar)'!$AW$2+'Assumptions (Solar)'!$AW$21*'Assumptions (Solar)'!$AW$3)/10^9),0)</f>
        <v>-0.2499393358</v>
      </c>
      <c r="BG1007" s="160">
        <f>IF(and($AY$902&gt;0,Model!AE$1&lt;='Assumptions (Solar)'!$V$13),PPMT('Assumptions (Solar)'!$V$10,Model!AE$1,'Assumptions (Solar)'!$V$13,'Assumptions (Solar)'!$V$8*Model!$AY$902*('Assumptions (Solar)'!$AW$20*'Assumptions (Solar)'!$AW$2+'Assumptions (Solar)'!$AW$21*'Assumptions (Solar)'!$AW$3)/10^9),0)</f>
        <v>-0.2699344827</v>
      </c>
      <c r="BH1007" s="160">
        <f>IF(and($AY$902&gt;0,Model!AF$1&lt;='Assumptions (Solar)'!$V$13),PPMT('Assumptions (Solar)'!$V$10,Model!AF$1,'Assumptions (Solar)'!$V$13,'Assumptions (Solar)'!$V$8*Model!$AY$902*('Assumptions (Solar)'!$AW$20*'Assumptions (Solar)'!$AW$2+'Assumptions (Solar)'!$AW$21*'Assumptions (Solar)'!$AW$3)/10^9),0)</f>
        <v>-0.2915292413</v>
      </c>
      <c r="BI1007" s="160"/>
      <c r="BJ1007" s="160"/>
      <c r="BK1007" s="160"/>
      <c r="BL1007" s="160"/>
      <c r="BM1007" s="160"/>
      <c r="BN1007" s="160"/>
      <c r="BO1007" s="160"/>
      <c r="BP1007" s="160"/>
      <c r="BQ1007" s="160"/>
      <c r="BR1007" s="160"/>
      <c r="BS1007" s="160"/>
      <c r="BT1007" s="160"/>
      <c r="BU1007" s="160"/>
      <c r="BV1007" s="160"/>
      <c r="BW1007" s="160"/>
    </row>
    <row r="1008" ht="15.75" hidden="1" customHeight="1" outlineLevel="1">
      <c r="A1008" s="255"/>
      <c r="B1008" s="38"/>
      <c r="C1008" s="174"/>
      <c r="D1008" s="174"/>
      <c r="E1008" s="174"/>
      <c r="F1008" s="174"/>
      <c r="G1008" s="174"/>
      <c r="H1008" s="174"/>
      <c r="I1008" s="174"/>
      <c r="J1008" s="174"/>
      <c r="K1008" s="174"/>
      <c r="L1008" s="174"/>
      <c r="M1008" s="174"/>
      <c r="N1008" s="174"/>
      <c r="O1008" s="174"/>
      <c r="P1008" s="174"/>
      <c r="Q1008" s="174"/>
      <c r="R1008" s="174"/>
      <c r="S1008" s="174"/>
      <c r="T1008" s="174"/>
      <c r="U1008" s="174"/>
      <c r="V1008" s="174"/>
      <c r="W1008" s="160"/>
      <c r="X1008" s="160"/>
      <c r="Y1008" s="160"/>
      <c r="Z1008" s="160"/>
      <c r="AA1008" s="160"/>
      <c r="AB1008" s="160"/>
      <c r="AC1008" s="160"/>
      <c r="AD1008" s="160"/>
      <c r="AE1008" s="160"/>
      <c r="AF1008" s="160"/>
      <c r="AG1008" s="160"/>
      <c r="AH1008" s="160"/>
      <c r="AI1008" s="160"/>
      <c r="AJ1008" s="179"/>
      <c r="AK1008" s="160"/>
      <c r="AL1008" s="177"/>
      <c r="AM1008" s="177"/>
      <c r="AN1008" s="177"/>
      <c r="AO1008" s="160"/>
      <c r="AP1008" s="160"/>
      <c r="AQ1008" s="160"/>
      <c r="AR1008" s="160"/>
      <c r="AS1008" s="160"/>
      <c r="AT1008" s="160"/>
      <c r="AU1008" s="160"/>
      <c r="AV1008" s="160"/>
      <c r="AW1008" s="160"/>
      <c r="AX1008" s="160"/>
      <c r="AY1008" s="160"/>
      <c r="AZ1008" s="160">
        <f>IF(and($AZ$902&gt;0,Model!W$1&lt;='Assumptions (Solar)'!$V$13),PPMT('Assumptions (Solar)'!$V$10,Model!W$1,'Assumptions (Solar)'!$V$13,'Assumptions (Solar)'!$V$8*Model!$AZ$902*('Assumptions (Solar)'!$AX$20*'Assumptions (Solar)'!$AX$2+'Assumptions (Solar)'!$AX$21*'Assumptions (Solar)'!$AX$3)/10^9),0)</f>
        <v>-0.1472164539</v>
      </c>
      <c r="BA1008" s="160">
        <f>IF(and($AZ$902&gt;0,Model!X$1&lt;='Assumptions (Solar)'!$V$13),PPMT('Assumptions (Solar)'!$V$10,Model!X$1,'Assumptions (Solar)'!$V$13,'Assumptions (Solar)'!$V$8*Model!$AZ$902*('Assumptions (Solar)'!$AX$20*'Assumptions (Solar)'!$AX$2+'Assumptions (Solar)'!$AX$21*'Assumptions (Solar)'!$AX$3)/10^9),0)</f>
        <v>-0.1589937702</v>
      </c>
      <c r="BB1008" s="160">
        <f>IF(and($AZ$902&gt;0,Model!Y$1&lt;='Assumptions (Solar)'!$V$13),PPMT('Assumptions (Solar)'!$V$10,Model!Y$1,'Assumptions (Solar)'!$V$13,'Assumptions (Solar)'!$V$8*Model!$AZ$902*('Assumptions (Solar)'!$AX$20*'Assumptions (Solar)'!$AX$2+'Assumptions (Solar)'!$AX$21*'Assumptions (Solar)'!$AX$3)/10^9),0)</f>
        <v>-0.1717132719</v>
      </c>
      <c r="BC1008" s="160">
        <f>IF(and($AZ$902&gt;0,Model!Z$1&lt;='Assumptions (Solar)'!$V$13),PPMT('Assumptions (Solar)'!$V$10,Model!Z$1,'Assumptions (Solar)'!$V$13,'Assumptions (Solar)'!$V$8*Model!$AZ$902*('Assumptions (Solar)'!$AX$20*'Assumptions (Solar)'!$AX$2+'Assumptions (Solar)'!$AX$21*'Assumptions (Solar)'!$AX$3)/10^9),0)</f>
        <v>-0.1854503336</v>
      </c>
      <c r="BD1008" s="160">
        <f>IF(and($AZ$902&gt;0,Model!AA$1&lt;='Assumptions (Solar)'!$V$13),PPMT('Assumptions (Solar)'!$V$10,Model!AA$1,'Assumptions (Solar)'!$V$13,'Assumptions (Solar)'!$V$8*Model!$AZ$902*('Assumptions (Solar)'!$AX$20*'Assumptions (Solar)'!$AX$2+'Assumptions (Solar)'!$AX$21*'Assumptions (Solar)'!$AX$3)/10^9),0)</f>
        <v>-0.2002863603</v>
      </c>
      <c r="BE1008" s="160">
        <f>IF(and($AZ$902&gt;0,Model!AB$1&lt;='Assumptions (Solar)'!$V$13),PPMT('Assumptions (Solar)'!$V$10,Model!AB$1,'Assumptions (Solar)'!$V$13,'Assumptions (Solar)'!$V$8*Model!$AZ$902*('Assumptions (Solar)'!$AX$20*'Assumptions (Solar)'!$AX$2+'Assumptions (Solar)'!$AX$21*'Assumptions (Solar)'!$AX$3)/10^9),0)</f>
        <v>-0.2163092691</v>
      </c>
      <c r="BF1008" s="160">
        <f>IF(and($AZ$902&gt;0,Model!AC$1&lt;='Assumptions (Solar)'!$V$13),PPMT('Assumptions (Solar)'!$V$10,Model!AC$1,'Assumptions (Solar)'!$V$13,'Assumptions (Solar)'!$V$8*Model!$AZ$902*('Assumptions (Solar)'!$AX$20*'Assumptions (Solar)'!$AX$2+'Assumptions (Solar)'!$AX$21*'Assumptions (Solar)'!$AX$3)/10^9),0)</f>
        <v>-0.2336140107</v>
      </c>
      <c r="BG1008" s="160">
        <f>IF(and($AZ$902&gt;0,Model!AD$1&lt;='Assumptions (Solar)'!$V$13),PPMT('Assumptions (Solar)'!$V$10,Model!AD$1,'Assumptions (Solar)'!$V$13,'Assumptions (Solar)'!$V$8*Model!$AZ$902*('Assumptions (Solar)'!$AX$20*'Assumptions (Solar)'!$AX$2+'Assumptions (Solar)'!$AX$21*'Assumptions (Solar)'!$AX$3)/10^9),0)</f>
        <v>-0.2523031315</v>
      </c>
      <c r="BH1008" s="160">
        <f>IF(and($AZ$902&gt;0,Model!AE$1&lt;='Assumptions (Solar)'!$V$13),PPMT('Assumptions (Solar)'!$V$10,Model!AE$1,'Assumptions (Solar)'!$V$13,'Assumptions (Solar)'!$V$8*Model!$AZ$902*('Assumptions (Solar)'!$AX$20*'Assumptions (Solar)'!$AX$2+'Assumptions (Solar)'!$AX$21*'Assumptions (Solar)'!$AX$3)/10^9),0)</f>
        <v>-0.272487382</v>
      </c>
      <c r="BI1008" s="160">
        <f>IF(and($AZ$902&gt;0,Model!AF$1&lt;='Assumptions (Solar)'!$V$13),PPMT('Assumptions (Solar)'!$V$10,Model!AF$1,'Assumptions (Solar)'!$V$13,'Assumptions (Solar)'!$V$8*Model!$AZ$902*('Assumptions (Solar)'!$AX$20*'Assumptions (Solar)'!$AX$2+'Assumptions (Solar)'!$AX$21*'Assumptions (Solar)'!$AX$3)/10^9),0)</f>
        <v>-0.2942863726</v>
      </c>
      <c r="BJ1008" s="160"/>
      <c r="BK1008" s="160"/>
      <c r="BL1008" s="160"/>
      <c r="BM1008" s="160"/>
      <c r="BN1008" s="160"/>
      <c r="BO1008" s="160"/>
      <c r="BP1008" s="160"/>
      <c r="BQ1008" s="160"/>
      <c r="BR1008" s="160"/>
      <c r="BS1008" s="160"/>
      <c r="BT1008" s="160"/>
      <c r="BU1008" s="160"/>
      <c r="BV1008" s="160"/>
      <c r="BW1008" s="160"/>
      <c r="BX1008" s="160"/>
    </row>
    <row r="1009" ht="15.75" hidden="1" customHeight="1" outlineLevel="1">
      <c r="A1009" s="255"/>
      <c r="B1009" s="38"/>
      <c r="C1009" s="174"/>
      <c r="D1009" s="174"/>
      <c r="E1009" s="174"/>
      <c r="F1009" s="174"/>
      <c r="G1009" s="174"/>
      <c r="H1009" s="174"/>
      <c r="I1009" s="174"/>
      <c r="J1009" s="174"/>
      <c r="K1009" s="174"/>
      <c r="L1009" s="174"/>
      <c r="M1009" s="174"/>
      <c r="N1009" s="174"/>
      <c r="O1009" s="174"/>
      <c r="P1009" s="174"/>
      <c r="Q1009" s="174"/>
      <c r="R1009" s="174"/>
      <c r="S1009" s="174"/>
      <c r="T1009" s="174"/>
      <c r="U1009" s="174"/>
      <c r="V1009" s="174"/>
      <c r="W1009" s="160"/>
      <c r="X1009" s="160"/>
      <c r="Y1009" s="160"/>
      <c r="Z1009" s="160"/>
      <c r="AA1009" s="160"/>
      <c r="AB1009" s="160"/>
      <c r="AC1009" s="160"/>
      <c r="AD1009" s="160"/>
      <c r="AE1009" s="160"/>
      <c r="AF1009" s="160"/>
      <c r="AG1009" s="160"/>
      <c r="AH1009" s="160"/>
      <c r="AI1009" s="160"/>
      <c r="AJ1009" s="179"/>
      <c r="AK1009" s="160"/>
      <c r="AL1009" s="177"/>
      <c r="AM1009" s="177"/>
      <c r="AN1009" s="177"/>
      <c r="AO1009" s="160"/>
      <c r="AP1009" s="160"/>
      <c r="AQ1009" s="160"/>
      <c r="AR1009" s="160"/>
      <c r="AS1009" s="160"/>
      <c r="AT1009" s="160"/>
      <c r="AU1009" s="160"/>
      <c r="AV1009" s="160"/>
      <c r="AW1009" s="160"/>
      <c r="AX1009" s="160"/>
      <c r="AY1009" s="160"/>
      <c r="AZ1009" s="160"/>
      <c r="BA1009" s="160">
        <f>IF(and($BA$902&gt;0,Model!W$1&lt;='Assumptions (Solar)'!$V$13),PPMT('Assumptions (Solar)'!$V$10,Model!W$1,'Assumptions (Solar)'!$V$13,'Assumptions (Solar)'!$V$8*Model!$BA$902*('Assumptions (Solar)'!$AY$20*'Assumptions (Solar)'!$AY$2+'Assumptions (Solar)'!$AY$21*'Assumptions (Solar)'!$AY$3)/10^9),0)</f>
        <v>-0.1483805188</v>
      </c>
      <c r="BB1009" s="160">
        <f>IF(and($BA$902&gt;0,Model!X$1&lt;='Assumptions (Solar)'!$V$13),PPMT('Assumptions (Solar)'!$V$10,Model!X$1,'Assumptions (Solar)'!$V$13,'Assumptions (Solar)'!$V$8*Model!$BA$902*('Assumptions (Solar)'!$AY$20*'Assumptions (Solar)'!$AY$2+'Assumptions (Solar)'!$AY$21*'Assumptions (Solar)'!$AY$3)/10^9),0)</f>
        <v>-0.1602509603</v>
      </c>
      <c r="BC1009" s="160">
        <f>IF(and($BA$902&gt;0,Model!Y$1&lt;='Assumptions (Solar)'!$V$13),PPMT('Assumptions (Solar)'!$V$10,Model!Y$1,'Assumptions (Solar)'!$V$13,'Assumptions (Solar)'!$V$8*Model!$BA$902*('Assumptions (Solar)'!$AY$20*'Assumptions (Solar)'!$AY$2+'Assumptions (Solar)'!$AY$21*'Assumptions (Solar)'!$AY$3)/10^9),0)</f>
        <v>-0.1730710371</v>
      </c>
      <c r="BD1009" s="160">
        <f>IF(and($BA$902&gt;0,Model!Z$1&lt;='Assumptions (Solar)'!$V$13),PPMT('Assumptions (Solar)'!$V$10,Model!Z$1,'Assumptions (Solar)'!$V$13,'Assumptions (Solar)'!$V$8*Model!$BA$902*('Assumptions (Solar)'!$AY$20*'Assumptions (Solar)'!$AY$2+'Assumptions (Solar)'!$AY$21*'Assumptions (Solar)'!$AY$3)/10^9),0)</f>
        <v>-0.1869167201</v>
      </c>
      <c r="BE1009" s="160">
        <f>IF(and($BA$902&gt;0,Model!AA$1&lt;='Assumptions (Solar)'!$V$13),PPMT('Assumptions (Solar)'!$V$10,Model!AA$1,'Assumptions (Solar)'!$V$13,'Assumptions (Solar)'!$V$8*Model!$BA$902*('Assumptions (Solar)'!$AY$20*'Assumptions (Solar)'!$AY$2+'Assumptions (Solar)'!$AY$21*'Assumptions (Solar)'!$AY$3)/10^9),0)</f>
        <v>-0.2018700577</v>
      </c>
      <c r="BF1009" s="160">
        <f>IF(and($BA$902&gt;0,Model!AB$1&lt;='Assumptions (Solar)'!$V$13),PPMT('Assumptions (Solar)'!$V$10,Model!AB$1,'Assumptions (Solar)'!$V$13,'Assumptions (Solar)'!$V$8*Model!$BA$902*('Assumptions (Solar)'!$AY$20*'Assumptions (Solar)'!$AY$2+'Assumptions (Solar)'!$AY$21*'Assumptions (Solar)'!$AY$3)/10^9),0)</f>
        <v>-0.2180196623</v>
      </c>
      <c r="BG1009" s="160">
        <f>IF(and($BA$902&gt;0,Model!AC$1&lt;='Assumptions (Solar)'!$V$13),PPMT('Assumptions (Solar)'!$V$10,Model!AC$1,'Assumptions (Solar)'!$V$13,'Assumptions (Solar)'!$V$8*Model!$BA$902*('Assumptions (Solar)'!$AY$20*'Assumptions (Solar)'!$AY$2+'Assumptions (Solar)'!$AY$21*'Assumptions (Solar)'!$AY$3)/10^9),0)</f>
        <v>-0.2354612353</v>
      </c>
      <c r="BH1009" s="160">
        <f>IF(and($BA$902&gt;0,Model!AD$1&lt;='Assumptions (Solar)'!$V$13),PPMT('Assumptions (Solar)'!$V$10,Model!AD$1,'Assumptions (Solar)'!$V$13,'Assumptions (Solar)'!$V$8*Model!$BA$902*('Assumptions (Solar)'!$AY$20*'Assumptions (Solar)'!$AY$2+'Assumptions (Solar)'!$AY$21*'Assumptions (Solar)'!$AY$3)/10^9),0)</f>
        <v>-0.2542981342</v>
      </c>
      <c r="BI1009" s="160">
        <f>IF(and($BA$902&gt;0,Model!AE$1&lt;='Assumptions (Solar)'!$V$13),PPMT('Assumptions (Solar)'!$V$10,Model!AE$1,'Assumptions (Solar)'!$V$13,'Assumptions (Solar)'!$V$8*Model!$BA$902*('Assumptions (Solar)'!$AY$20*'Assumptions (Solar)'!$AY$2+'Assumptions (Solar)'!$AY$21*'Assumptions (Solar)'!$AY$3)/10^9),0)</f>
        <v>-0.2746419849</v>
      </c>
      <c r="BJ1009" s="160">
        <f>IF(and($BA$902&gt;0,Model!AF$1&lt;='Assumptions (Solar)'!$V$13),PPMT('Assumptions (Solar)'!$V$10,Model!AF$1,'Assumptions (Solar)'!$V$13,'Assumptions (Solar)'!$V$8*Model!$BA$902*('Assumptions (Solar)'!$AY$20*'Assumptions (Solar)'!$AY$2+'Assumptions (Solar)'!$AY$21*'Assumptions (Solar)'!$AY$3)/10^9),0)</f>
        <v>-0.2966133437</v>
      </c>
      <c r="BK1009" s="160"/>
      <c r="BL1009" s="160"/>
      <c r="BM1009" s="160"/>
      <c r="BN1009" s="160"/>
      <c r="BO1009" s="160"/>
      <c r="BP1009" s="160"/>
      <c r="BQ1009" s="160"/>
      <c r="BR1009" s="160"/>
      <c r="BS1009" s="160"/>
      <c r="BT1009" s="160"/>
      <c r="BU1009" s="160"/>
      <c r="BV1009" s="160"/>
      <c r="BW1009" s="160"/>
      <c r="BX1009" s="160"/>
      <c r="BY1009" s="160"/>
    </row>
    <row r="1010" ht="15.75" customHeight="1" collapsed="1">
      <c r="A1010" s="254" t="s">
        <v>360</v>
      </c>
      <c r="B1010" s="150" t="s">
        <v>351</v>
      </c>
      <c r="C1010" s="177">
        <f t="array" ref="C1010">SUM(IF(ISERROR(C1011:C1061),"",C1011:C1061))</f>
        <v>0</v>
      </c>
      <c r="D1010" s="177">
        <f t="array" ref="D1010">SUM(IF(ISERROR(D1011:D1061),"",D1011:D1061))</f>
        <v>0</v>
      </c>
      <c r="E1010" s="177">
        <f t="array" ref="E1010">SUM(IF(ISERROR(E1011:E1061),"",E1011:E1061))</f>
        <v>0</v>
      </c>
      <c r="F1010" s="177">
        <f t="array" ref="F1010">SUM(IF(ISERROR(F1011:F1061),"",F1011:F1061))</f>
        <v>0</v>
      </c>
      <c r="G1010" s="177">
        <f t="array" ref="G1010">SUM(IF(ISERROR(G1011:G1061),"",G1011:G1061))</f>
        <v>0</v>
      </c>
      <c r="H1010" s="177">
        <f t="array" ref="H1010">SUM(IF(ISERROR(H1011:H1061),"",H1011:H1061))</f>
        <v>0</v>
      </c>
      <c r="I1010" s="177">
        <f t="array" ref="I1010">SUM(IF(ISERROR(I1011:I1061),"",I1011:I1061))</f>
        <v>0</v>
      </c>
      <c r="J1010" s="177">
        <f t="array" ref="J1010">SUM(IF(ISERROR(J1011:J1061),"",J1011:J1061))</f>
        <v>0</v>
      </c>
      <c r="K1010" s="177">
        <f t="array" ref="K1010">SUM(IF(ISERROR(K1011:K1061),"",K1011:K1061))</f>
        <v>-0.001114347906</v>
      </c>
      <c r="L1010" s="177">
        <f t="array" ref="L1010">SUM(IF(ISERROR(L1011:L1061),"",L1011:L1061))</f>
        <v>-0.00103742504</v>
      </c>
      <c r="M1010" s="177">
        <f t="array" ref="M1010">SUM(IF(ISERROR(M1011:M1061),"",M1011:M1061))</f>
        <v>-0.003419753597</v>
      </c>
      <c r="N1010" s="177">
        <f t="array" ref="N1010">SUM(IF(ISERROR(N1011:N1061),"",N1011:N1061))</f>
        <v>-0.01035020471</v>
      </c>
      <c r="O1010" s="177">
        <f t="array" ref="O1010">SUM(IF(ISERROR(O1011:O1061),"",O1011:O1061))</f>
        <v>-0.0375232045</v>
      </c>
      <c r="P1010" s="177">
        <f t="array" ref="P1010">SUM(IF(ISERROR(P1011:P1061),"",P1011:P1061))</f>
        <v>-0.09374594806</v>
      </c>
      <c r="Q1010" s="177">
        <f t="array" ref="Q1010">SUM(IF(ISERROR(Q1011:Q1061),"",Q1011:Q1061))</f>
        <v>-0.1697413369</v>
      </c>
      <c r="R1010" s="177">
        <f t="array" ref="R1010">SUM(IF(ISERROR(R1011:R1061),"",R1011:R1061))</f>
        <v>-0.366342519</v>
      </c>
      <c r="S1010" s="177">
        <f t="array" ref="S1010">SUM(IF(ISERROR(S1011:S1061),"",S1011:S1061))</f>
        <v>-0.6238703824</v>
      </c>
      <c r="T1010" s="177">
        <f t="array" ref="T1010">SUM(IF(ISERROR(T1011:T1061),"",T1011:T1061))</f>
        <v>-0.7925486722</v>
      </c>
      <c r="U1010" s="177">
        <f t="array" ref="U1010">SUM(IF(ISERROR(U1011:U1061),"",U1011:U1061))</f>
        <v>-0.8472374886</v>
      </c>
      <c r="V1010" s="177">
        <f t="array" ref="V1010">SUM(IF(ISERROR(V1011:V1061),"",V1011:V1061))</f>
        <v>-0.7629019047</v>
      </c>
      <c r="W1010" s="177">
        <f t="array" ref="W1010">SUM(IF(ISERROR(W1011:W1061),"",W1011:W1061))</f>
        <v>-0.6718194742</v>
      </c>
      <c r="X1010" s="177">
        <f t="array" ref="X1010">SUM(IF(ISERROR(X1011:X1061),"",X1011:X1061))</f>
        <v>-0.7080487822</v>
      </c>
      <c r="Y1010" s="177">
        <f t="array" ref="Y1010">SUM(IF(ISERROR(Y1011:Y1061),"",Y1011:Y1061))</f>
        <v>-0.6877859683</v>
      </c>
      <c r="Z1010" s="177">
        <f t="array" ref="Z1010">SUM(IF(ISERROR(Z1011:Z1061),"",Z1011:Z1061))</f>
        <v>-0.6541037206</v>
      </c>
      <c r="AA1010" s="177">
        <f t="array" ref="AA1010">SUM(IF(ISERROR(AA1011:AA1061),"",AA1011:AA1061))</f>
        <v>-0.6107376535</v>
      </c>
      <c r="AB1010" s="177">
        <f t="array" ref="AB1010">SUM(IF(ISERROR(AB1011:AB1061),"",AB1011:AB1061))</f>
        <v>-0.5607722887</v>
      </c>
      <c r="AC1010" s="177">
        <f t="array" ref="AC1010">SUM(IF(ISERROR(AC1011:AC1061),"",AC1011:AC1061))</f>
        <v>-0.5227159327</v>
      </c>
      <c r="AD1010" s="177">
        <f t="array" ref="AD1010">SUM(IF(ISERROR(AD1011:AD1061),"",AD1011:AD1061))</f>
        <v>-0.5091443561</v>
      </c>
      <c r="AE1010" s="177">
        <f t="array" ref="AE1010">SUM(IF(ISERROR(AE1011:AE1061),"",AE1011:AE1061))</f>
        <v>-0.5123861962</v>
      </c>
      <c r="AF1010" s="177">
        <f t="array" ref="AF1010">SUM(IF(ISERROR(AF1011:AF1061),"",AF1011:AF1061))</f>
        <v>-0.5198291691</v>
      </c>
      <c r="AG1010" s="177">
        <f t="array" ref="AG1010">SUM(IF(ISERROR(AG1011:AG1061),"",AG1011:AG1061))</f>
        <v>-0.5134578229</v>
      </c>
      <c r="AH1010" s="177">
        <f t="array" ref="AH1010">SUM(IF(ISERROR(AH1011:AH1061),"",AH1011:AH1061))</f>
        <v>-0.4924520515</v>
      </c>
      <c r="AI1010" s="177">
        <f t="array" ref="AI1010">SUM(IF(ISERROR(AI1011:AI1061),"",AI1011:AI1061))</f>
        <v>-0.4798789064</v>
      </c>
      <c r="AJ1010" s="177">
        <f t="array" ref="AJ1010">SUM(IF(ISERROR(AJ1011:AJ1061),"",AJ1011:AJ1061))</f>
        <v>-0.4702698587</v>
      </c>
      <c r="AK1010" s="177">
        <f t="array" ref="AK1010">SUM(IF(ISERROR(AK1011:AK1061),"",AK1011:AK1061))</f>
        <v>-0.4635274661</v>
      </c>
      <c r="AL1010" s="177">
        <f t="array" ref="AL1010">SUM(IF(ISERROR(AL1011:AL1061),"",AL1011:AL1061))</f>
        <v>-0.4591962569</v>
      </c>
      <c r="AM1010" s="177">
        <f t="array" ref="AM1010">SUM(IF(ISERROR(AM1011:AM1061),"",AM1011:AM1061))</f>
        <v>-0.4575260259</v>
      </c>
      <c r="AN1010" s="177">
        <f t="array" ref="AN1010">SUM(IF(ISERROR(AN1011:AN1061),"",AN1011:AN1061))</f>
        <v>-0.458951071</v>
      </c>
      <c r="AO1010" s="177">
        <f t="array" ref="AO1010">SUM(IF(ISERROR(AO1011:AO1061),"",AO1011:AO1061))</f>
        <v>-0.4665873492</v>
      </c>
      <c r="AP1010" s="177">
        <f t="array" ref="AP1010">SUM(IF(ISERROR(AP1011:AP1061),"",AP1011:AP1061))</f>
        <v>-0.4846625206</v>
      </c>
      <c r="AQ1010" s="177">
        <f t="array" ref="AQ1010">SUM(IF(ISERROR(AQ1011:AQ1061),"",AQ1011:AQ1061))</f>
        <v>-0.5097914241</v>
      </c>
      <c r="AR1010" s="177">
        <f t="array" ref="AR1010">SUM(IF(ISERROR(AR1011:AR1061),"",AR1011:AR1061))</f>
        <v>-0.572032037</v>
      </c>
      <c r="AS1010" s="177">
        <f t="array" ref="AS1010">SUM(IF(ISERROR(AS1011:AS1061),"",AS1011:AS1061))</f>
        <v>-0.6623184683</v>
      </c>
      <c r="AT1010" s="177">
        <f t="array" ref="AT1010">SUM(IF(ISERROR(AT1011:AT1061),"",AT1011:AT1061))</f>
        <v>-0.7352717284</v>
      </c>
      <c r="AU1010" s="177">
        <f t="array" ref="AU1010">SUM(IF(ISERROR(AU1011:AU1061),"",AU1011:AU1061))</f>
        <v>-0.7687160144</v>
      </c>
      <c r="AV1010" s="177">
        <f t="array" ref="AV1010">SUM(IF(ISERROR(AV1011:AV1061),"",AV1011:AV1061))</f>
        <v>-0.7461875459</v>
      </c>
      <c r="AW1010" s="177">
        <f t="array" ref="AW1010">SUM(IF(ISERROR(AW1011:AW1061),"",AW1011:AW1061))</f>
        <v>-0.7215413222</v>
      </c>
      <c r="AX1010" s="177">
        <f t="array" ref="AX1010">SUM(IF(ISERROR(AX1011:AX1061),"",AX1011:AX1061))</f>
        <v>-0.7784758534</v>
      </c>
      <c r="AY1010" s="177">
        <f t="array" ref="AY1010">SUM(IF(ISERROR(AY1011:AY1061),"",AY1011:AY1061))</f>
        <v>-0.8279182342</v>
      </c>
      <c r="AZ1010" s="177">
        <f t="array" ref="AZ1010">SUM(IF(ISERROR(AZ1011:AZ1061),"",AZ1011:AZ1061))</f>
        <v>-0.8700932091</v>
      </c>
      <c r="BA1010" s="177">
        <f t="array" ref="BA1010">SUM(IF(ISERROR(BA1011:BA1061),"",BA1011:BA1061))</f>
        <v>-0.9054576272</v>
      </c>
      <c r="BB1010" s="177">
        <f t="array" ref="BB1010">SUM(IF(ISERROR(BB1011:BB1061),"",BB1011:BB1061))</f>
        <v>-0.7611393951</v>
      </c>
      <c r="BC1010" s="177">
        <f t="array" ref="BC1010">SUM(IF(ISERROR(BC1011:BC1061),"",BC1011:BC1061))</f>
        <v>-0.6261734361</v>
      </c>
      <c r="BD1010" s="177">
        <f t="array" ref="BD1010">SUM(IF(ISERROR(BD1011:BD1061),"",BD1011:BD1061))</f>
        <v>-0.5062686607</v>
      </c>
      <c r="BE1010" s="177">
        <f t="array" ref="BE1010">SUM(IF(ISERROR(BE1011:BE1061),"",BE1011:BE1061))</f>
        <v>-0.401215347</v>
      </c>
      <c r="BF1010" s="177">
        <f t="array" ref="BF1010">SUM(IF(ISERROR(BF1011:BF1061),"",BF1011:BF1061))</f>
        <v>-0.3074604442</v>
      </c>
      <c r="BG1010" s="177">
        <f t="array" ref="BG1010">SUM(IF(ISERROR(BG1011:BG1061),"",BG1011:BG1061))</f>
        <v>-0.218458234</v>
      </c>
      <c r="BH1010" s="177">
        <f t="array" ref="BH1010">SUM(IF(ISERROR(BH1011:BH1061),"",BH1011:BH1061))</f>
        <v>-0.1347085167</v>
      </c>
      <c r="BI1010" s="177">
        <f t="array" ref="BI1010">SUM(IF(ISERROR(BI1011:BI1061),"",BI1011:BI1061))</f>
        <v>-0.06924333609</v>
      </c>
      <c r="BJ1010" s="177">
        <f t="array" ref="BJ1010">SUM(IF(ISERROR(BJ1011:BJ1061),"",BJ1011:BJ1061))</f>
        <v>-0.02372906749</v>
      </c>
      <c r="BK1010" s="177"/>
      <c r="BL1010" s="177"/>
      <c r="BM1010" s="177"/>
      <c r="BN1010" s="177"/>
      <c r="BO1010" s="177"/>
    </row>
    <row r="1011" ht="15.75" hidden="1" customHeight="1" outlineLevel="1">
      <c r="A1011" s="255"/>
      <c r="B1011" s="38"/>
      <c r="C1011" s="177">
        <f>IF($C$902&gt;0,IPMT('Assumptions (Solar)'!$V$10,Model!W$1,'Assumptions (Solar)'!$V$13,'Assumptions (Solar)'!$V$8*Model!$C$902*('Assumptions (Solar)'!$B$20*'Assumptions (Solar)'!$B$2+'Assumptions (Solar)'!$B$21*'Assumptions (Solar)'!$B$3)/10^9),0)</f>
        <v>0</v>
      </c>
      <c r="D1011" s="177">
        <f>IF($C$902&gt;0,IPMT('Assumptions (Solar)'!$V$10,Model!X$1,'Assumptions (Solar)'!$V$13,'Assumptions (Solar)'!$V$8*Model!$C$902*('Assumptions (Solar)'!$B$20*'Assumptions (Solar)'!$B$2+'Assumptions (Solar)'!$B$21*'Assumptions (Solar)'!$B$3)/10^9),0)</f>
        <v>0</v>
      </c>
      <c r="E1011" s="177">
        <f>IF($C$902&gt;0,IPMT('Assumptions (Solar)'!$V$10,Model!Y$1,'Assumptions (Solar)'!$V$13,'Assumptions (Solar)'!$V$8*Model!$C$902*('Assumptions (Solar)'!$B$20*'Assumptions (Solar)'!$B$2+'Assumptions (Solar)'!$B$21*'Assumptions (Solar)'!$B$3)/10^9),0)</f>
        <v>0</v>
      </c>
      <c r="F1011" s="177">
        <f>IF($C$902&gt;0,IPMT('Assumptions (Solar)'!$V$10,Model!Z$1,'Assumptions (Solar)'!$V$13,'Assumptions (Solar)'!$V$8*Model!$C$902*('Assumptions (Solar)'!$B$20*'Assumptions (Solar)'!$B$2+'Assumptions (Solar)'!$B$21*'Assumptions (Solar)'!$B$3)/10^9),0)</f>
        <v>0</v>
      </c>
      <c r="G1011" s="177">
        <f>IF($C$902&gt;0,IPMT('Assumptions (Solar)'!$V$10,Model!AA$1,'Assumptions (Solar)'!$V$13,'Assumptions (Solar)'!$V$8*Model!$C$902*('Assumptions (Solar)'!$B$20*'Assumptions (Solar)'!$B$2+'Assumptions (Solar)'!$B$21*'Assumptions (Solar)'!$B$3)/10^9),0)</f>
        <v>0</v>
      </c>
      <c r="H1011" s="177">
        <f>IF($C$902&gt;0,IPMT('Assumptions (Solar)'!$V$10,Model!AB$1,'Assumptions (Solar)'!$V$13,'Assumptions (Solar)'!$V$8*Model!$C$902*('Assumptions (Solar)'!$B$20*'Assumptions (Solar)'!$B$2+'Assumptions (Solar)'!$B$21*'Assumptions (Solar)'!$B$3)/10^9),0)</f>
        <v>0</v>
      </c>
      <c r="I1011" s="177">
        <f>IF($C$902&gt;0,IPMT('Assumptions (Solar)'!$V$10,Model!AC$1,'Assumptions (Solar)'!$V$13,'Assumptions (Solar)'!$V$8*Model!$C$902*('Assumptions (Solar)'!$B$20*'Assumptions (Solar)'!$B$2+'Assumptions (Solar)'!$B$21*'Assumptions (Solar)'!$B$3)/10^9),0)</f>
        <v>0</v>
      </c>
      <c r="J1011" s="177">
        <f>IF($C$902&gt;0,IPMT('Assumptions (Solar)'!$V$10,Model!AD$1,'Assumptions (Solar)'!$V$13,'Assumptions (Solar)'!$V$8*Model!$C$902*('Assumptions (Solar)'!$B$20*'Assumptions (Solar)'!$B$2+'Assumptions (Solar)'!$B$21*'Assumptions (Solar)'!$B$3)/10^9),0)</f>
        <v>0</v>
      </c>
      <c r="K1011" s="177">
        <f>IF($C$902&gt;0,IPMT('Assumptions (Solar)'!$V$10,Model!AE$1,'Assumptions (Solar)'!$V$13,'Assumptions (Solar)'!$V$8*Model!$C$902*('Assumptions (Solar)'!$B$20*'Assumptions (Solar)'!$B$2+'Assumptions (Solar)'!$B$21*'Assumptions (Solar)'!$B$3)/10^9),0)</f>
        <v>0</v>
      </c>
      <c r="L1011" s="177">
        <f>IF($C$902&gt;0,IPMT('Assumptions (Solar)'!$V$10,Model!AF$1,'Assumptions (Solar)'!$V$13,'Assumptions (Solar)'!$V$8*Model!$C$902*('Assumptions (Solar)'!$B$20*'Assumptions (Solar)'!$B$2+'Assumptions (Solar)'!$B$21*'Assumptions (Solar)'!$B$3)/10^9),0)</f>
        <v>0</v>
      </c>
      <c r="M1011" s="177"/>
      <c r="N1011" s="177"/>
      <c r="O1011" s="177"/>
      <c r="P1011" s="177"/>
      <c r="Q1011" s="177"/>
      <c r="R1011" s="177"/>
      <c r="S1011" s="177"/>
      <c r="T1011" s="177"/>
      <c r="U1011" s="177"/>
      <c r="V1011" s="177"/>
      <c r="W1011" s="177"/>
      <c r="X1011" s="177"/>
      <c r="Y1011" s="177"/>
      <c r="Z1011" s="177"/>
      <c r="AA1011" s="177"/>
      <c r="AB1011" s="160"/>
      <c r="AC1011" s="160"/>
      <c r="AD1011" s="160"/>
      <c r="AE1011" s="160"/>
      <c r="AF1011" s="160"/>
      <c r="AG1011" s="160"/>
      <c r="AU1011" s="160"/>
      <c r="AV1011" s="160"/>
      <c r="AW1011" s="160"/>
      <c r="AX1011" s="160"/>
      <c r="AY1011" s="160"/>
      <c r="AZ1011" s="160"/>
      <c r="BA1011" s="160"/>
    </row>
    <row r="1012" ht="15.75" hidden="1" customHeight="1" outlineLevel="1">
      <c r="A1012" s="255"/>
      <c r="B1012" s="38"/>
      <c r="C1012" s="160"/>
      <c r="D1012" s="177">
        <f>IF($D$902&gt;0,IPMT('Assumptions (Solar)'!$V$10,Model!W$1,'Assumptions (Solar)'!$V$13,'Assumptions (Solar)'!$V$8*Model!$D$902*('Assumptions (Solar)'!$B$20*'Assumptions (Solar)'!$B$2+'Assumptions (Solar)'!$B$21*'Assumptions (Solar)'!$B$3)/10^9),0)</f>
        <v>0</v>
      </c>
      <c r="E1012" s="177">
        <f>IF($D$902&gt;0,IPMT('Assumptions (Solar)'!$V$10,Model!X$1,'Assumptions (Solar)'!$V$13,'Assumptions (Solar)'!$V$8*Model!$D$902*('Assumptions (Solar)'!$B$20*'Assumptions (Solar)'!$B$2+'Assumptions (Solar)'!$B$21*'Assumptions (Solar)'!$B$3)/10^9),0)</f>
        <v>0</v>
      </c>
      <c r="F1012" s="177">
        <f>IF($D$902&gt;0,IPMT('Assumptions (Solar)'!$V$10,Model!Y$1,'Assumptions (Solar)'!$V$13,'Assumptions (Solar)'!$V$8*Model!$D$902*('Assumptions (Solar)'!$B$20*'Assumptions (Solar)'!$B$2+'Assumptions (Solar)'!$B$21*'Assumptions (Solar)'!$B$3)/10^9),0)</f>
        <v>0</v>
      </c>
      <c r="G1012" s="177">
        <f>IF($D$902&gt;0,IPMT('Assumptions (Solar)'!$V$10,Model!Z$1,'Assumptions (Solar)'!$V$13,'Assumptions (Solar)'!$V$8*Model!$D$902*('Assumptions (Solar)'!$B$20*'Assumptions (Solar)'!$B$2+'Assumptions (Solar)'!$B$21*'Assumptions (Solar)'!$B$3)/10^9),0)</f>
        <v>0</v>
      </c>
      <c r="H1012" s="177">
        <f>IF($D$902&gt;0,IPMT('Assumptions (Solar)'!$V$10,Model!AA$1,'Assumptions (Solar)'!$V$13,'Assumptions (Solar)'!$V$8*Model!$D$902*('Assumptions (Solar)'!$B$20*'Assumptions (Solar)'!$B$2+'Assumptions (Solar)'!$B$21*'Assumptions (Solar)'!$B$3)/10^9),0)</f>
        <v>0</v>
      </c>
      <c r="I1012" s="177">
        <f>IF($D$902&gt;0,IPMT('Assumptions (Solar)'!$V$10,Model!AB$1,'Assumptions (Solar)'!$V$13,'Assumptions (Solar)'!$V$8*Model!$D$902*('Assumptions (Solar)'!$B$20*'Assumptions (Solar)'!$B$2+'Assumptions (Solar)'!$B$21*'Assumptions (Solar)'!$B$3)/10^9),0)</f>
        <v>0</v>
      </c>
      <c r="J1012" s="177">
        <f>IF($D$902&gt;0,IPMT('Assumptions (Solar)'!$V$10,Model!AC$1,'Assumptions (Solar)'!$V$13,'Assumptions (Solar)'!$V$8*Model!$D$902*('Assumptions (Solar)'!$B$20*'Assumptions (Solar)'!$B$2+'Assumptions (Solar)'!$B$21*'Assumptions (Solar)'!$B$3)/10^9),0)</f>
        <v>0</v>
      </c>
      <c r="K1012" s="177">
        <f>IF($D$902&gt;0,IPMT('Assumptions (Solar)'!$V$10,Model!AD$1,'Assumptions (Solar)'!$V$13,'Assumptions (Solar)'!$V$8*Model!$D$902*('Assumptions (Solar)'!$B$20*'Assumptions (Solar)'!$B$2+'Assumptions (Solar)'!$B$21*'Assumptions (Solar)'!$B$3)/10^9),0)</f>
        <v>0</v>
      </c>
      <c r="L1012" s="177">
        <f>IF($D$902&gt;0,IPMT('Assumptions (Solar)'!$V$10,Model!AE$1,'Assumptions (Solar)'!$V$13,'Assumptions (Solar)'!$V$8*Model!$D$902*('Assumptions (Solar)'!$B$20*'Assumptions (Solar)'!$B$2+'Assumptions (Solar)'!$B$21*'Assumptions (Solar)'!$B$3)/10^9),0)</f>
        <v>0</v>
      </c>
      <c r="M1012" s="177">
        <f>IF($D$902&gt;0,IPMT('Assumptions (Solar)'!$V$10,Model!AF$1,'Assumptions (Solar)'!$V$13,'Assumptions (Solar)'!$V$8*Model!$D$902*('Assumptions (Solar)'!$B$20*'Assumptions (Solar)'!$B$2+'Assumptions (Solar)'!$B$21*'Assumptions (Solar)'!$B$3)/10^9),0)</f>
        <v>0</v>
      </c>
      <c r="N1012" s="177"/>
      <c r="O1012" s="177"/>
      <c r="P1012" s="177"/>
      <c r="Q1012" s="177"/>
      <c r="R1012" s="177"/>
      <c r="S1012" s="177"/>
      <c r="T1012" s="177"/>
      <c r="U1012" s="177"/>
      <c r="V1012" s="177"/>
      <c r="W1012" s="177"/>
      <c r="X1012" s="177"/>
      <c r="Y1012" s="177"/>
      <c r="Z1012" s="177"/>
      <c r="AA1012" s="177"/>
      <c r="AB1012" s="177"/>
      <c r="AC1012" s="160"/>
      <c r="AD1012" s="160"/>
      <c r="AE1012" s="160"/>
      <c r="AF1012" s="160"/>
      <c r="AG1012" s="160"/>
      <c r="AU1012" s="160"/>
      <c r="AV1012" s="160"/>
      <c r="AW1012" s="160"/>
      <c r="AX1012" s="160"/>
      <c r="AY1012" s="160"/>
      <c r="AZ1012" s="160"/>
      <c r="BA1012" s="160"/>
    </row>
    <row r="1013" ht="15.75" hidden="1" customHeight="1" outlineLevel="1">
      <c r="A1013" s="255"/>
      <c r="B1013" s="38"/>
      <c r="C1013" s="160"/>
      <c r="D1013" s="160"/>
      <c r="E1013" s="160">
        <f>IF($E$902&gt;0,IPMT('Assumptions (Solar)'!$V$10,Model!W$1,'Assumptions (Solar)'!$V$13,'Assumptions (Solar)'!$V$8*Model!$E$902*('Assumptions (Solar)'!$C$20*'Assumptions (Solar)'!$C$2+'Assumptions (Solar)'!$C$21*'Assumptions (Solar)'!$C$3)/10^9),0)</f>
        <v>0</v>
      </c>
      <c r="F1013" s="160">
        <f>IF($E$902&gt;0,IPMT('Assumptions (Solar)'!$V$10,Model!X$1,'Assumptions (Solar)'!$V$13,'Assumptions (Solar)'!$V$8*Model!$E$902*('Assumptions (Solar)'!$C$20*'Assumptions (Solar)'!$C$2+'Assumptions (Solar)'!$C$21*'Assumptions (Solar)'!$C$3)/10^9),0)</f>
        <v>0</v>
      </c>
      <c r="G1013" s="160">
        <f>IF($E$902&gt;0,IPMT('Assumptions (Solar)'!$V$10,Model!Y$1,'Assumptions (Solar)'!$V$13,'Assumptions (Solar)'!$V$8*Model!$E$902*('Assumptions (Solar)'!$C$20*'Assumptions (Solar)'!$C$2+'Assumptions (Solar)'!$C$21*'Assumptions (Solar)'!$C$3)/10^9),0)</f>
        <v>0</v>
      </c>
      <c r="H1013" s="160">
        <f>IF($E$902&gt;0,IPMT('Assumptions (Solar)'!$V$10,Model!Z$1,'Assumptions (Solar)'!$V$13,'Assumptions (Solar)'!$V$8*Model!$E$902*('Assumptions (Solar)'!$C$20*'Assumptions (Solar)'!$C$2+'Assumptions (Solar)'!$C$21*'Assumptions (Solar)'!$C$3)/10^9),0)</f>
        <v>0</v>
      </c>
      <c r="I1013" s="160">
        <f>IF($E$902&gt;0,IPMT('Assumptions (Solar)'!$V$10,Model!AA$1,'Assumptions (Solar)'!$V$13,'Assumptions (Solar)'!$V$8*Model!$E$902*('Assumptions (Solar)'!$C$20*'Assumptions (Solar)'!$C$2+'Assumptions (Solar)'!$C$21*'Assumptions (Solar)'!$C$3)/10^9),0)</f>
        <v>0</v>
      </c>
      <c r="J1013" s="160">
        <f>IF($E$902&gt;0,IPMT('Assumptions (Solar)'!$V$10,Model!AB$1,'Assumptions (Solar)'!$V$13,'Assumptions (Solar)'!$V$8*Model!$E$902*('Assumptions (Solar)'!$C$20*'Assumptions (Solar)'!$C$2+'Assumptions (Solar)'!$C$21*'Assumptions (Solar)'!$C$3)/10^9),0)</f>
        <v>0</v>
      </c>
      <c r="K1013" s="160">
        <f>IF($E$902&gt;0,IPMT('Assumptions (Solar)'!$V$10,Model!AC$1,'Assumptions (Solar)'!$V$13,'Assumptions (Solar)'!$V$8*Model!$E$902*('Assumptions (Solar)'!$C$20*'Assumptions (Solar)'!$C$2+'Assumptions (Solar)'!$C$21*'Assumptions (Solar)'!$C$3)/10^9),0)</f>
        <v>0</v>
      </c>
      <c r="L1013" s="160">
        <f>IF($E$902&gt;0,IPMT('Assumptions (Solar)'!$V$10,Model!AD$1,'Assumptions (Solar)'!$V$13,'Assumptions (Solar)'!$V$8*Model!$E$902*('Assumptions (Solar)'!$C$20*'Assumptions (Solar)'!$C$2+'Assumptions (Solar)'!$C$21*'Assumptions (Solar)'!$C$3)/10^9),0)</f>
        <v>0</v>
      </c>
      <c r="M1013" s="160">
        <f>IF($E$902&gt;0,IPMT('Assumptions (Solar)'!$V$10,Model!AE$1,'Assumptions (Solar)'!$V$13,'Assumptions (Solar)'!$V$8*Model!$E$902*('Assumptions (Solar)'!$C$20*'Assumptions (Solar)'!$C$2+'Assumptions (Solar)'!$C$21*'Assumptions (Solar)'!$C$3)/10^9),0)</f>
        <v>0</v>
      </c>
      <c r="N1013" s="160">
        <f>IF($E$902&gt;0,IPMT('Assumptions (Solar)'!$V$10,Model!AF$1,'Assumptions (Solar)'!$V$13,'Assumptions (Solar)'!$V$8*Model!$E$902*('Assumptions (Solar)'!$C$20*'Assumptions (Solar)'!$C$2+'Assumptions (Solar)'!$C$21*'Assumptions (Solar)'!$C$3)/10^9),0)</f>
        <v>0</v>
      </c>
      <c r="O1013" s="160"/>
      <c r="P1013" s="160"/>
      <c r="Q1013" s="160"/>
      <c r="R1013" s="160"/>
      <c r="S1013" s="160"/>
      <c r="T1013" s="160"/>
      <c r="U1013" s="160"/>
      <c r="V1013" s="160"/>
      <c r="W1013" s="160"/>
      <c r="X1013" s="160"/>
      <c r="Y1013" s="160"/>
      <c r="Z1013" s="160"/>
      <c r="AA1013" s="160"/>
      <c r="AB1013" s="160"/>
      <c r="AC1013" s="160"/>
      <c r="AD1013" s="160"/>
      <c r="AE1013" s="160"/>
      <c r="AF1013" s="160"/>
      <c r="AG1013" s="160"/>
      <c r="AU1013" s="160"/>
      <c r="AV1013" s="160"/>
      <c r="AW1013" s="160"/>
      <c r="AX1013" s="160"/>
      <c r="AY1013" s="160"/>
      <c r="AZ1013" s="160"/>
      <c r="BA1013" s="160"/>
    </row>
    <row r="1014" ht="15.75" hidden="1" customHeight="1" outlineLevel="1">
      <c r="A1014" s="255"/>
      <c r="B1014" s="38"/>
      <c r="C1014" s="160"/>
      <c r="D1014" s="160"/>
      <c r="E1014" s="160"/>
      <c r="F1014" s="160">
        <f>IF($F$902&gt;0,IPMT('Assumptions (Solar)'!$V$10,Model!W$1,'Assumptions (Solar)'!$V$13,'Assumptions (Solar)'!$V$8*Model!$F$902*('Assumptions (Solar)'!$D$20*'Assumptions (Solar)'!$D$2+'Assumptions (Solar)'!$D$21*'Assumptions (Solar)'!$D$3)/10^9),0)</f>
        <v>0</v>
      </c>
      <c r="G1014" s="160">
        <f>IF($F$902&gt;0,IPMT('Assumptions (Solar)'!$V$10,Model!X$1,'Assumptions (Solar)'!$V$13,'Assumptions (Solar)'!$V$8*Model!$F$902*('Assumptions (Solar)'!$D$20*'Assumptions (Solar)'!$D$2+'Assumptions (Solar)'!$D$21*'Assumptions (Solar)'!$D$3)/10^9),0)</f>
        <v>0</v>
      </c>
      <c r="H1014" s="160">
        <f>IF($F$902&gt;0,IPMT('Assumptions (Solar)'!$V$10,Model!Y$1,'Assumptions (Solar)'!$V$13,'Assumptions (Solar)'!$V$8*Model!$F$902*('Assumptions (Solar)'!$D$20*'Assumptions (Solar)'!$D$2+'Assumptions (Solar)'!$D$21*'Assumptions (Solar)'!$D$3)/10^9),0)</f>
        <v>0</v>
      </c>
      <c r="I1014" s="160">
        <f>IF($F$902&gt;0,IPMT('Assumptions (Solar)'!$V$10,Model!Z$1,'Assumptions (Solar)'!$V$13,'Assumptions (Solar)'!$V$8*Model!$F$902*('Assumptions (Solar)'!$D$20*'Assumptions (Solar)'!$D$2+'Assumptions (Solar)'!$D$21*'Assumptions (Solar)'!$D$3)/10^9),0)</f>
        <v>0</v>
      </c>
      <c r="J1014" s="160">
        <f>IF($F$902&gt;0,IPMT('Assumptions (Solar)'!$V$10,Model!AA$1,'Assumptions (Solar)'!$V$13,'Assumptions (Solar)'!$V$8*Model!$F$902*('Assumptions (Solar)'!$D$20*'Assumptions (Solar)'!$D$2+'Assumptions (Solar)'!$D$21*'Assumptions (Solar)'!$D$3)/10^9),0)</f>
        <v>0</v>
      </c>
      <c r="K1014" s="160">
        <f>IF($F$902&gt;0,IPMT('Assumptions (Solar)'!$V$10,Model!AB$1,'Assumptions (Solar)'!$V$13,'Assumptions (Solar)'!$V$8*Model!$F$902*('Assumptions (Solar)'!$D$20*'Assumptions (Solar)'!$D$2+'Assumptions (Solar)'!$D$21*'Assumptions (Solar)'!$D$3)/10^9),0)</f>
        <v>0</v>
      </c>
      <c r="L1014" s="160">
        <f>IF($F$902&gt;0,IPMT('Assumptions (Solar)'!$V$10,Model!AC$1,'Assumptions (Solar)'!$V$13,'Assumptions (Solar)'!$V$8*Model!$F$902*('Assumptions (Solar)'!$D$20*'Assumptions (Solar)'!$D$2+'Assumptions (Solar)'!$D$21*'Assumptions (Solar)'!$D$3)/10^9),0)</f>
        <v>0</v>
      </c>
      <c r="M1014" s="160">
        <f>IF($F$902&gt;0,IPMT('Assumptions (Solar)'!$V$10,Model!AD$1,'Assumptions (Solar)'!$V$13,'Assumptions (Solar)'!$V$8*Model!$F$902*('Assumptions (Solar)'!$D$20*'Assumptions (Solar)'!$D$2+'Assumptions (Solar)'!$D$21*'Assumptions (Solar)'!$D$3)/10^9),0)</f>
        <v>0</v>
      </c>
      <c r="N1014" s="160">
        <f>IF($F$902&gt;0,IPMT('Assumptions (Solar)'!$V$10,Model!AE$1,'Assumptions (Solar)'!$V$13,'Assumptions (Solar)'!$V$8*Model!$F$902*('Assumptions (Solar)'!$D$20*'Assumptions (Solar)'!$D$2+'Assumptions (Solar)'!$D$21*'Assumptions (Solar)'!$D$3)/10^9),0)</f>
        <v>0</v>
      </c>
      <c r="O1014" s="160">
        <f>IF($F$902&gt;0,IPMT('Assumptions (Solar)'!$V$10,Model!AF$1,'Assumptions (Solar)'!$V$13,'Assumptions (Solar)'!$V$8*Model!$F$902*('Assumptions (Solar)'!$D$20*'Assumptions (Solar)'!$D$2+'Assumptions (Solar)'!$D$21*'Assumptions (Solar)'!$D$3)/10^9),0)</f>
        <v>0</v>
      </c>
      <c r="P1014" s="160"/>
      <c r="Q1014" s="160"/>
      <c r="R1014" s="160"/>
      <c r="S1014" s="160"/>
      <c r="T1014" s="160"/>
      <c r="U1014" s="160"/>
      <c r="V1014" s="160"/>
      <c r="W1014" s="160"/>
      <c r="X1014" s="160"/>
      <c r="Y1014" s="160"/>
      <c r="Z1014" s="160"/>
      <c r="AA1014" s="160"/>
      <c r="AB1014" s="160"/>
      <c r="AC1014" s="160"/>
      <c r="AD1014" s="160"/>
      <c r="AE1014" s="160"/>
      <c r="AF1014" s="160"/>
      <c r="AG1014" s="160"/>
      <c r="AU1014" s="160"/>
      <c r="AV1014" s="160"/>
      <c r="AW1014" s="160"/>
      <c r="AX1014" s="160"/>
      <c r="AY1014" s="160"/>
      <c r="AZ1014" s="160"/>
      <c r="BA1014" s="160"/>
    </row>
    <row r="1015" ht="15.75" hidden="1" customHeight="1" outlineLevel="1">
      <c r="A1015" s="255"/>
      <c r="B1015" s="38"/>
      <c r="C1015" s="160"/>
      <c r="D1015" s="160"/>
      <c r="E1015" s="160"/>
      <c r="F1015" s="160"/>
      <c r="G1015" s="160">
        <f>IF($G$902&gt;0,IPMT('Assumptions (Solar)'!$V$10,Model!W$1,'Assumptions (Solar)'!$V$13,'Assumptions (Solar)'!$V$8*Model!$G$902*('Assumptions (Solar)'!$E$20*'Assumptions (Solar)'!$E$2+'Assumptions (Solar)'!$E$21*'Assumptions (Solar)'!$E$3)/10^9),0)</f>
        <v>0</v>
      </c>
      <c r="H1015" s="160">
        <f>IF($G$902&gt;0,IPMT('Assumptions (Solar)'!$V$10,Model!X$1,'Assumptions (Solar)'!$V$13,'Assumptions (Solar)'!$V$8*Model!$G$902*('Assumptions (Solar)'!$E$20*'Assumptions (Solar)'!$E$2+'Assumptions (Solar)'!$E$21*'Assumptions (Solar)'!$E$3)/10^9),0)</f>
        <v>0</v>
      </c>
      <c r="I1015" s="160">
        <f>IF($G$902&gt;0,IPMT('Assumptions (Solar)'!$V$10,Model!Y$1,'Assumptions (Solar)'!$V$13,'Assumptions (Solar)'!$V$8*Model!$G$902*('Assumptions (Solar)'!$E$20*'Assumptions (Solar)'!$E$2+'Assumptions (Solar)'!$E$21*'Assumptions (Solar)'!$E$3)/10^9),0)</f>
        <v>0</v>
      </c>
      <c r="J1015" s="160">
        <f>IF($G$902&gt;0,IPMT('Assumptions (Solar)'!$V$10,Model!Z$1,'Assumptions (Solar)'!$V$13,'Assumptions (Solar)'!$V$8*Model!$G$902*('Assumptions (Solar)'!$E$20*'Assumptions (Solar)'!$E$2+'Assumptions (Solar)'!$E$21*'Assumptions (Solar)'!$E$3)/10^9),0)</f>
        <v>0</v>
      </c>
      <c r="K1015" s="160">
        <f>IF($G$902&gt;0,IPMT('Assumptions (Solar)'!$V$10,Model!AA$1,'Assumptions (Solar)'!$V$13,'Assumptions (Solar)'!$V$8*Model!$G$902*('Assumptions (Solar)'!$E$20*'Assumptions (Solar)'!$E$2+'Assumptions (Solar)'!$E$21*'Assumptions (Solar)'!$E$3)/10^9),0)</f>
        <v>0</v>
      </c>
      <c r="L1015" s="160">
        <f>IF($G$902&gt;0,IPMT('Assumptions (Solar)'!$V$10,Model!AB$1,'Assumptions (Solar)'!$V$13,'Assumptions (Solar)'!$V$8*Model!$G$902*('Assumptions (Solar)'!$E$20*'Assumptions (Solar)'!$E$2+'Assumptions (Solar)'!$E$21*'Assumptions (Solar)'!$E$3)/10^9),0)</f>
        <v>0</v>
      </c>
      <c r="M1015" s="160">
        <f>IF($G$902&gt;0,IPMT('Assumptions (Solar)'!$V$10,Model!AC$1,'Assumptions (Solar)'!$V$13,'Assumptions (Solar)'!$V$8*Model!$G$902*('Assumptions (Solar)'!$E$20*'Assumptions (Solar)'!$E$2+'Assumptions (Solar)'!$E$21*'Assumptions (Solar)'!$E$3)/10^9),0)</f>
        <v>0</v>
      </c>
      <c r="N1015" s="160">
        <f>IF($G$902&gt;0,IPMT('Assumptions (Solar)'!$V$10,Model!AD$1,'Assumptions (Solar)'!$V$13,'Assumptions (Solar)'!$V$8*Model!$G$902*('Assumptions (Solar)'!$E$20*'Assumptions (Solar)'!$E$2+'Assumptions (Solar)'!$E$21*'Assumptions (Solar)'!$E$3)/10^9),0)</f>
        <v>0</v>
      </c>
      <c r="O1015" s="160">
        <f>IF($G$902&gt;0,IPMT('Assumptions (Solar)'!$V$10,Model!AE$1,'Assumptions (Solar)'!$V$13,'Assumptions (Solar)'!$V$8*Model!$G$902*('Assumptions (Solar)'!$E$20*'Assumptions (Solar)'!$E$2+'Assumptions (Solar)'!$E$21*'Assumptions (Solar)'!$E$3)/10^9),0)</f>
        <v>0</v>
      </c>
      <c r="P1015" s="160">
        <f>IF($G$902&gt;0,IPMT('Assumptions (Solar)'!$V$10,Model!AF$1,'Assumptions (Solar)'!$V$13,'Assumptions (Solar)'!$V$8*Model!$G$902*('Assumptions (Solar)'!$E$20*'Assumptions (Solar)'!$E$2+'Assumptions (Solar)'!$E$21*'Assumptions (Solar)'!$E$3)/10^9),0)</f>
        <v>0</v>
      </c>
      <c r="Q1015" s="160"/>
      <c r="R1015" s="160"/>
      <c r="S1015" s="160"/>
      <c r="T1015" s="160"/>
      <c r="U1015" s="160"/>
      <c r="V1015" s="160"/>
      <c r="W1015" s="160"/>
      <c r="X1015" s="160"/>
      <c r="Y1015" s="160"/>
      <c r="Z1015" s="160"/>
      <c r="AA1015" s="160"/>
      <c r="AB1015" s="160"/>
      <c r="AC1015" s="160"/>
      <c r="AD1015" s="160"/>
      <c r="AE1015" s="160"/>
      <c r="AF1015" s="160"/>
      <c r="AG1015" s="160"/>
      <c r="AU1015" s="160"/>
      <c r="AV1015" s="160"/>
      <c r="AW1015" s="160"/>
      <c r="AX1015" s="160"/>
      <c r="AY1015" s="160"/>
      <c r="AZ1015" s="160"/>
      <c r="BA1015" s="160"/>
    </row>
    <row r="1016" ht="15.75" hidden="1" customHeight="1" outlineLevel="1">
      <c r="A1016" s="255"/>
      <c r="B1016" s="38"/>
      <c r="C1016" s="160"/>
      <c r="D1016" s="160"/>
      <c r="E1016" s="160"/>
      <c r="F1016" s="160"/>
      <c r="G1016" s="160"/>
      <c r="H1016" s="160">
        <f>IF($H$902&gt;0,IPMT('Assumptions (Solar)'!$V$10,Model!W$1,'Assumptions (Solar)'!$V$13,'Assumptions (Solar)'!$V$8*Model!$H$902*('Assumptions (Solar)'!$F$20*'Assumptions (Solar)'!$F$2+'Assumptions (Solar)'!$F$21*'Assumptions (Solar)'!$F$3)/10^9),0)</f>
        <v>0</v>
      </c>
      <c r="I1016" s="160">
        <f>IF($H$902&gt;0,IPMT('Assumptions (Solar)'!$V$10,Model!X$1,'Assumptions (Solar)'!$V$13,'Assumptions (Solar)'!$V$8*Model!$H$902*('Assumptions (Solar)'!$F$20*'Assumptions (Solar)'!$F$2+'Assumptions (Solar)'!$F$21*'Assumptions (Solar)'!$F$3)/10^9),0)</f>
        <v>0</v>
      </c>
      <c r="J1016" s="160">
        <f>IF($H$902&gt;0,IPMT('Assumptions (Solar)'!$V$10,Model!Y$1,'Assumptions (Solar)'!$V$13,'Assumptions (Solar)'!$V$8*Model!$H$902*('Assumptions (Solar)'!$F$20*'Assumptions (Solar)'!$F$2+'Assumptions (Solar)'!$F$21*'Assumptions (Solar)'!$F$3)/10^9),0)</f>
        <v>0</v>
      </c>
      <c r="K1016" s="160">
        <f>IF($H$902&gt;0,IPMT('Assumptions (Solar)'!$V$10,Model!Z$1,'Assumptions (Solar)'!$V$13,'Assumptions (Solar)'!$V$8*Model!$H$902*('Assumptions (Solar)'!$F$20*'Assumptions (Solar)'!$F$2+'Assumptions (Solar)'!$F$21*'Assumptions (Solar)'!$F$3)/10^9),0)</f>
        <v>0</v>
      </c>
      <c r="L1016" s="160">
        <f>IF($H$902&gt;0,IPMT('Assumptions (Solar)'!$V$10,Model!AA$1,'Assumptions (Solar)'!$V$13,'Assumptions (Solar)'!$V$8*Model!$H$902*('Assumptions (Solar)'!$F$20*'Assumptions (Solar)'!$F$2+'Assumptions (Solar)'!$F$21*'Assumptions (Solar)'!$F$3)/10^9),0)</f>
        <v>0</v>
      </c>
      <c r="M1016" s="160">
        <f>IF($H$902&gt;0,IPMT('Assumptions (Solar)'!$V$10,Model!AB$1,'Assumptions (Solar)'!$V$13,'Assumptions (Solar)'!$V$8*Model!$H$902*('Assumptions (Solar)'!$F$20*'Assumptions (Solar)'!$F$2+'Assumptions (Solar)'!$F$21*'Assumptions (Solar)'!$F$3)/10^9),0)</f>
        <v>0</v>
      </c>
      <c r="N1016" s="160">
        <f>IF($H$902&gt;0,IPMT('Assumptions (Solar)'!$V$10,Model!AC$1,'Assumptions (Solar)'!$V$13,'Assumptions (Solar)'!$V$8*Model!$H$902*('Assumptions (Solar)'!$F$20*'Assumptions (Solar)'!$F$2+'Assumptions (Solar)'!$F$21*'Assumptions (Solar)'!$F$3)/10^9),0)</f>
        <v>0</v>
      </c>
      <c r="O1016" s="160">
        <f>IF($H$902&gt;0,IPMT('Assumptions (Solar)'!$V$10,Model!AD$1,'Assumptions (Solar)'!$V$13,'Assumptions (Solar)'!$V$8*Model!$H$902*('Assumptions (Solar)'!$F$20*'Assumptions (Solar)'!$F$2+'Assumptions (Solar)'!$F$21*'Assumptions (Solar)'!$F$3)/10^9),0)</f>
        <v>0</v>
      </c>
      <c r="P1016" s="160">
        <f>IF($H$902&gt;0,IPMT('Assumptions (Solar)'!$V$10,Model!AE$1,'Assumptions (Solar)'!$V$13,'Assumptions (Solar)'!$V$8*Model!$H$902*('Assumptions (Solar)'!$F$20*'Assumptions (Solar)'!$F$2+'Assumptions (Solar)'!$F$21*'Assumptions (Solar)'!$F$3)/10^9),0)</f>
        <v>0</v>
      </c>
      <c r="Q1016" s="160">
        <f>IF($H$902&gt;0,IPMT('Assumptions (Solar)'!$V$10,Model!AF$1,'Assumptions (Solar)'!$V$13,'Assumptions (Solar)'!$V$8*Model!$H$902*('Assumptions (Solar)'!$F$20*'Assumptions (Solar)'!$F$2+'Assumptions (Solar)'!$F$21*'Assumptions (Solar)'!$F$3)/10^9),0)</f>
        <v>0</v>
      </c>
      <c r="R1016" s="160"/>
      <c r="S1016" s="160"/>
      <c r="T1016" s="160"/>
      <c r="U1016" s="160"/>
      <c r="V1016" s="160"/>
      <c r="W1016" s="160"/>
      <c r="X1016" s="160"/>
      <c r="Y1016" s="160"/>
      <c r="Z1016" s="160"/>
      <c r="AA1016" s="160"/>
      <c r="AB1016" s="160"/>
      <c r="AC1016" s="160"/>
      <c r="AD1016" s="160"/>
      <c r="AE1016" s="160"/>
      <c r="AF1016" s="160"/>
      <c r="AG1016" s="160"/>
      <c r="AU1016" s="160"/>
      <c r="AV1016" s="160"/>
      <c r="AW1016" s="160"/>
      <c r="AX1016" s="160"/>
      <c r="AY1016" s="160"/>
      <c r="AZ1016" s="160"/>
      <c r="BA1016" s="160"/>
    </row>
    <row r="1017" ht="15.75" hidden="1" customHeight="1" outlineLevel="1">
      <c r="A1017" s="255"/>
      <c r="B1017" s="38"/>
      <c r="C1017" s="160"/>
      <c r="D1017" s="160"/>
      <c r="E1017" s="160"/>
      <c r="F1017" s="160"/>
      <c r="G1017" s="160"/>
      <c r="H1017" s="160"/>
      <c r="I1017" s="160">
        <f>IF($I$902&gt;0,IPMT('Assumptions (Solar)'!$V$10,Model!W$1,'Assumptions (Solar)'!$V$13,'Assumptions (Solar)'!$V$8*Model!$I$902*('Assumptions (Solar)'!$G$20*'Assumptions (Solar)'!$G$2+'Assumptions (Solar)'!$G$21*'Assumptions (Solar)'!$G$3)/10^9),0)</f>
        <v>0</v>
      </c>
      <c r="J1017" s="160">
        <f>IF($I$902&gt;0,IPMT('Assumptions (Solar)'!$V$10,Model!X$1,'Assumptions (Solar)'!$V$13,'Assumptions (Solar)'!$V$8*Model!$I$902*('Assumptions (Solar)'!$G$20*'Assumptions (Solar)'!$G$2+'Assumptions (Solar)'!$G$21*'Assumptions (Solar)'!$G$3)/10^9),0)</f>
        <v>0</v>
      </c>
      <c r="K1017" s="160">
        <f>IF($I$902&gt;0,IPMT('Assumptions (Solar)'!$V$10,Model!Y$1,'Assumptions (Solar)'!$V$13,'Assumptions (Solar)'!$V$8*Model!$I$902*('Assumptions (Solar)'!$G$20*'Assumptions (Solar)'!$G$2+'Assumptions (Solar)'!$G$21*'Assumptions (Solar)'!$G$3)/10^9),0)</f>
        <v>0</v>
      </c>
      <c r="L1017" s="160">
        <f>IF($I$902&gt;0,IPMT('Assumptions (Solar)'!$V$10,Model!Z$1,'Assumptions (Solar)'!$V$13,'Assumptions (Solar)'!$V$8*Model!$I$902*('Assumptions (Solar)'!$G$20*'Assumptions (Solar)'!$G$2+'Assumptions (Solar)'!$G$21*'Assumptions (Solar)'!$G$3)/10^9),0)</f>
        <v>0</v>
      </c>
      <c r="M1017" s="160">
        <f>IF($I$902&gt;0,IPMT('Assumptions (Solar)'!$V$10,Model!AA$1,'Assumptions (Solar)'!$V$13,'Assumptions (Solar)'!$V$8*Model!$I$902*('Assumptions (Solar)'!$G$20*'Assumptions (Solar)'!$G$2+'Assumptions (Solar)'!$G$21*'Assumptions (Solar)'!$G$3)/10^9),0)</f>
        <v>0</v>
      </c>
      <c r="N1017" s="160">
        <f>IF($I$902&gt;0,IPMT('Assumptions (Solar)'!$V$10,Model!AB$1,'Assumptions (Solar)'!$V$13,'Assumptions (Solar)'!$V$8*Model!$I$902*('Assumptions (Solar)'!$G$20*'Assumptions (Solar)'!$G$2+'Assumptions (Solar)'!$G$21*'Assumptions (Solar)'!$G$3)/10^9),0)</f>
        <v>0</v>
      </c>
      <c r="O1017" s="160">
        <f>IF($I$902&gt;0,IPMT('Assumptions (Solar)'!$V$10,Model!AC$1,'Assumptions (Solar)'!$V$13,'Assumptions (Solar)'!$V$8*Model!$I$902*('Assumptions (Solar)'!$G$20*'Assumptions (Solar)'!$G$2+'Assumptions (Solar)'!$G$21*'Assumptions (Solar)'!$G$3)/10^9),0)</f>
        <v>0</v>
      </c>
      <c r="P1017" s="160">
        <f>IF($I$902&gt;0,IPMT('Assumptions (Solar)'!$V$10,Model!AD$1,'Assumptions (Solar)'!$V$13,'Assumptions (Solar)'!$V$8*Model!$I$902*('Assumptions (Solar)'!$G$20*'Assumptions (Solar)'!$G$2+'Assumptions (Solar)'!$G$21*'Assumptions (Solar)'!$G$3)/10^9),0)</f>
        <v>0</v>
      </c>
      <c r="Q1017" s="160">
        <f>IF($I$902&gt;0,IPMT('Assumptions (Solar)'!$V$10,Model!AE$1,'Assumptions (Solar)'!$V$13,'Assumptions (Solar)'!$V$8*Model!$I$902*('Assumptions (Solar)'!$G$20*'Assumptions (Solar)'!$G$2+'Assumptions (Solar)'!$G$21*'Assumptions (Solar)'!$G$3)/10^9),0)</f>
        <v>0</v>
      </c>
      <c r="R1017" s="160">
        <f>IF($I$902&gt;0,IPMT('Assumptions (Solar)'!$V$10,Model!AF$1,'Assumptions (Solar)'!$V$13,'Assumptions (Solar)'!$V$8*Model!$I$902*('Assumptions (Solar)'!$G$20*'Assumptions (Solar)'!$G$2+'Assumptions (Solar)'!$G$21*'Assumptions (Solar)'!$G$3)/10^9),0)</f>
        <v>0</v>
      </c>
      <c r="S1017" s="160"/>
      <c r="T1017" s="160"/>
      <c r="U1017" s="160"/>
      <c r="V1017" s="160"/>
      <c r="W1017" s="160"/>
      <c r="X1017" s="160"/>
      <c r="Y1017" s="160"/>
      <c r="Z1017" s="160"/>
      <c r="AA1017" s="160"/>
      <c r="AB1017" s="160"/>
      <c r="AC1017" s="160"/>
      <c r="AD1017" s="160"/>
      <c r="AE1017" s="160"/>
      <c r="AF1017" s="160"/>
      <c r="AG1017" s="160"/>
      <c r="AU1017" s="160"/>
      <c r="AV1017" s="160"/>
      <c r="AW1017" s="160"/>
      <c r="AX1017" s="160"/>
      <c r="AY1017" s="160"/>
      <c r="AZ1017" s="160"/>
      <c r="BA1017" s="160"/>
    </row>
    <row r="1018" ht="15.75" hidden="1" customHeight="1" outlineLevel="1">
      <c r="A1018" s="255"/>
      <c r="B1018" s="38"/>
      <c r="C1018" s="160"/>
      <c r="D1018" s="160"/>
      <c r="E1018" s="160"/>
      <c r="F1018" s="160"/>
      <c r="G1018" s="160"/>
      <c r="H1018" s="160"/>
      <c r="I1018" s="160"/>
      <c r="J1018" s="160">
        <f>IF($J$902&gt;0,IPMT('Assumptions (Solar)'!$V$10,Model!W$1,'Assumptions (Solar)'!$V$13,'Assumptions (Solar)'!$V$8*Model!$J$902*('Assumptions (Solar)'!$H$20*'Assumptions (Solar)'!$H$2+'Assumptions (Solar)'!$H$21*'Assumptions (Solar)'!$H$3)/10^9),0)</f>
        <v>0</v>
      </c>
      <c r="K1018" s="160">
        <f>IF($J$902&gt;0,IPMT('Assumptions (Solar)'!$V$10,Model!X$1,'Assumptions (Solar)'!$V$13,'Assumptions (Solar)'!$V$8*Model!$J$902*('Assumptions (Solar)'!$H$20*'Assumptions (Solar)'!$H$2+'Assumptions (Solar)'!$H$21*'Assumptions (Solar)'!$H$3)/10^9),0)</f>
        <v>0</v>
      </c>
      <c r="L1018" s="160">
        <f>IF($J$902&gt;0,IPMT('Assumptions (Solar)'!$V$10,Model!Y$1,'Assumptions (Solar)'!$V$13,'Assumptions (Solar)'!$V$8*Model!$J$902*('Assumptions (Solar)'!$H$20*'Assumptions (Solar)'!$H$2+'Assumptions (Solar)'!$H$21*'Assumptions (Solar)'!$H$3)/10^9),0)</f>
        <v>0</v>
      </c>
      <c r="M1018" s="160">
        <f>IF($J$902&gt;0,IPMT('Assumptions (Solar)'!$V$10,Model!Z$1,'Assumptions (Solar)'!$V$13,'Assumptions (Solar)'!$V$8*Model!$J$902*('Assumptions (Solar)'!$H$20*'Assumptions (Solar)'!$H$2+'Assumptions (Solar)'!$H$21*'Assumptions (Solar)'!$H$3)/10^9),0)</f>
        <v>0</v>
      </c>
      <c r="N1018" s="160">
        <f>IF($J$902&gt;0,IPMT('Assumptions (Solar)'!$V$10,Model!AA$1,'Assumptions (Solar)'!$V$13,'Assumptions (Solar)'!$V$8*Model!$J$902*('Assumptions (Solar)'!$H$20*'Assumptions (Solar)'!$H$2+'Assumptions (Solar)'!$H$21*'Assumptions (Solar)'!$H$3)/10^9),0)</f>
        <v>0</v>
      </c>
      <c r="O1018" s="160">
        <f>IF($J$902&gt;0,IPMT('Assumptions (Solar)'!$V$10,Model!AB$1,'Assumptions (Solar)'!$V$13,'Assumptions (Solar)'!$V$8*Model!$J$902*('Assumptions (Solar)'!$H$20*'Assumptions (Solar)'!$H$2+'Assumptions (Solar)'!$H$21*'Assumptions (Solar)'!$H$3)/10^9),0)</f>
        <v>0</v>
      </c>
      <c r="P1018" s="160">
        <f>IF($J$902&gt;0,IPMT('Assumptions (Solar)'!$V$10,Model!AC$1,'Assumptions (Solar)'!$V$13,'Assumptions (Solar)'!$V$8*Model!$J$902*('Assumptions (Solar)'!$H$20*'Assumptions (Solar)'!$H$2+'Assumptions (Solar)'!$H$21*'Assumptions (Solar)'!$H$3)/10^9),0)</f>
        <v>0</v>
      </c>
      <c r="Q1018" s="160">
        <f>IF($J$902&gt;0,IPMT('Assumptions (Solar)'!$V$10,Model!AD$1,'Assumptions (Solar)'!$V$13,'Assumptions (Solar)'!$V$8*Model!$J$902*('Assumptions (Solar)'!$H$20*'Assumptions (Solar)'!$H$2+'Assumptions (Solar)'!$H$21*'Assumptions (Solar)'!$H$3)/10^9),0)</f>
        <v>0</v>
      </c>
      <c r="R1018" s="160">
        <f>IF($J$902&gt;0,IPMT('Assumptions (Solar)'!$V$10,Model!AE$1,'Assumptions (Solar)'!$V$13,'Assumptions (Solar)'!$V$8*Model!$J$902*('Assumptions (Solar)'!$H$20*'Assumptions (Solar)'!$H$2+'Assumptions (Solar)'!$H$21*'Assumptions (Solar)'!$H$3)/10^9),0)</f>
        <v>0</v>
      </c>
      <c r="S1018" s="160">
        <f>IF($J$902&gt;0,IPMT('Assumptions (Solar)'!$V$10,Model!AF$1,'Assumptions (Solar)'!$V$13,'Assumptions (Solar)'!$V$8*Model!$J$902*('Assumptions (Solar)'!$H$20*'Assumptions (Solar)'!$H$2+'Assumptions (Solar)'!$H$21*'Assumptions (Solar)'!$H$3)/10^9),0)</f>
        <v>0</v>
      </c>
      <c r="T1018" s="160"/>
      <c r="U1018" s="160"/>
      <c r="V1018" s="160"/>
      <c r="W1018" s="160"/>
      <c r="X1018" s="160"/>
      <c r="Y1018" s="160"/>
      <c r="Z1018" s="160"/>
      <c r="AA1018" s="160"/>
      <c r="AB1018" s="160"/>
      <c r="AC1018" s="160"/>
      <c r="AD1018" s="160"/>
      <c r="AE1018" s="160"/>
      <c r="AF1018" s="160"/>
      <c r="AG1018" s="160"/>
      <c r="AH1018" s="160"/>
      <c r="AU1018" s="160"/>
      <c r="AV1018" s="160"/>
      <c r="AW1018" s="160"/>
      <c r="AX1018" s="160"/>
      <c r="AY1018" s="160"/>
      <c r="AZ1018" s="160"/>
      <c r="BA1018" s="160"/>
    </row>
    <row r="1019" ht="15.75" hidden="1" customHeight="1" outlineLevel="1">
      <c r="A1019" s="255"/>
      <c r="B1019" s="38"/>
      <c r="C1019" s="160"/>
      <c r="D1019" s="160"/>
      <c r="E1019" s="160"/>
      <c r="F1019" s="160"/>
      <c r="G1019" s="160"/>
      <c r="H1019" s="160"/>
      <c r="I1019" s="160"/>
      <c r="J1019" s="160"/>
      <c r="K1019" s="160">
        <f>IF($K$902&gt;0,IPMT('Assumptions (Solar)'!$V$10,Model!W$1,'Assumptions (Solar)'!$V$13,'Assumptions (Solar)'!$V$8*Model!$K$902*('Assumptions (Solar)'!$I$20*'Assumptions (Solar)'!$I$2+'Assumptions (Solar)'!$I$21*'Assumptions (Solar)'!$I$3)/10^9),0)</f>
        <v>-0.001114347906</v>
      </c>
      <c r="L1019" s="160">
        <f>IF($K$902&gt;0,IPMT('Assumptions (Solar)'!$V$10,Model!X$1,'Assumptions (Solar)'!$V$13,'Assumptions (Solar)'!$V$8*Model!$K$902*('Assumptions (Solar)'!$I$20*'Assumptions (Solar)'!$I$2+'Assumptions (Solar)'!$I$21*'Assumptions (Solar)'!$I$3)/10^9),0)</f>
        <v>-0.00103742504</v>
      </c>
      <c r="M1019" s="160">
        <f>IF($K$902&gt;0,IPMT('Assumptions (Solar)'!$V$10,Model!Y$1,'Assumptions (Solar)'!$V$13,'Assumptions (Solar)'!$V$8*Model!$K$902*('Assumptions (Solar)'!$I$20*'Assumptions (Solar)'!$I$2+'Assumptions (Solar)'!$I$21*'Assumptions (Solar)'!$I$3)/10^9),0)</f>
        <v>-0.0009543483441</v>
      </c>
      <c r="N1019" s="160">
        <f>IF($K$902&gt;0,IPMT('Assumptions (Solar)'!$V$10,Model!Z$1,'Assumptions (Solar)'!$V$13,'Assumptions (Solar)'!$V$8*Model!$K$902*('Assumptions (Solar)'!$I$20*'Assumptions (Solar)'!$I$2+'Assumptions (Solar)'!$I$21*'Assumptions (Solar)'!$I$3)/10^9),0)</f>
        <v>-0.000864625513</v>
      </c>
      <c r="O1019" s="160">
        <f>IF($K$902&gt;0,IPMT('Assumptions (Solar)'!$V$10,Model!AA$1,'Assumptions (Solar)'!$V$13,'Assumptions (Solar)'!$V$8*Model!$K$902*('Assumptions (Solar)'!$I$20*'Assumptions (Solar)'!$I$2+'Assumptions (Solar)'!$I$21*'Assumptions (Solar)'!$I$3)/10^9),0)</f>
        <v>-0.0007677248554</v>
      </c>
      <c r="P1019" s="160">
        <f>IF($K$902&gt;0,IPMT('Assumptions (Solar)'!$V$10,Model!AB$1,'Assumptions (Solar)'!$V$13,'Assumptions (Solar)'!$V$8*Model!$K$902*('Assumptions (Solar)'!$I$20*'Assumptions (Solar)'!$I$2+'Assumptions (Solar)'!$I$21*'Assumptions (Solar)'!$I$3)/10^9),0)</f>
        <v>-0.0006630721452</v>
      </c>
      <c r="Q1019" s="160">
        <f>IF($K$902&gt;0,IPMT('Assumptions (Solar)'!$V$10,Model!AC$1,'Assumptions (Solar)'!$V$13,'Assumptions (Solar)'!$V$8*Model!$K$902*('Assumptions (Solar)'!$I$20*'Assumptions (Solar)'!$I$2+'Assumptions (Solar)'!$I$21*'Assumptions (Solar)'!$I$3)/10^9),0)</f>
        <v>-0.0005500472182</v>
      </c>
      <c r="R1019" s="160">
        <f>IF($K$902&gt;0,IPMT('Assumptions (Solar)'!$V$10,Model!AD$1,'Assumptions (Solar)'!$V$13,'Assumptions (Solar)'!$V$8*Model!$K$902*('Assumptions (Solar)'!$I$20*'Assumptions (Solar)'!$I$2+'Assumptions (Solar)'!$I$21*'Assumptions (Solar)'!$I$3)/10^9),0)</f>
        <v>-0.0004279802971</v>
      </c>
      <c r="S1019" s="160">
        <f>IF($K$902&gt;0,IPMT('Assumptions (Solar)'!$V$10,Model!AE$1,'Assumptions (Solar)'!$V$13,'Assumptions (Solar)'!$V$8*Model!$K$902*('Assumptions (Solar)'!$I$20*'Assumptions (Solar)'!$I$2+'Assumptions (Solar)'!$I$21*'Assumptions (Solar)'!$I$3)/10^9),0)</f>
        <v>-0.0002961480222</v>
      </c>
      <c r="T1019" s="160">
        <f>IF($K$902&gt;0,IPMT('Assumptions (Solar)'!$V$10,Model!AF$1,'Assumptions (Solar)'!$V$13,'Assumptions (Solar)'!$V$8*Model!$K$902*('Assumptions (Solar)'!$I$20*'Assumptions (Solar)'!$I$2+'Assumptions (Solar)'!$I$21*'Assumptions (Solar)'!$I$3)/10^9),0)</f>
        <v>-0.0001537691654</v>
      </c>
      <c r="U1019" s="160"/>
      <c r="V1019" s="160"/>
      <c r="W1019" s="160"/>
      <c r="X1019" s="160"/>
      <c r="Y1019" s="160"/>
      <c r="Z1019" s="160"/>
      <c r="AA1019" s="160"/>
      <c r="AB1019" s="160"/>
      <c r="AC1019" s="160"/>
      <c r="AD1019" s="160"/>
      <c r="AE1019" s="160"/>
      <c r="AF1019" s="160"/>
      <c r="AG1019" s="160"/>
      <c r="AH1019" s="160"/>
      <c r="AI1019" s="160"/>
      <c r="AU1019" s="160"/>
      <c r="AV1019" s="160"/>
      <c r="AW1019" s="160"/>
      <c r="AX1019" s="160"/>
      <c r="AY1019" s="160"/>
      <c r="AZ1019" s="160"/>
      <c r="BA1019" s="160"/>
    </row>
    <row r="1020" ht="15.75" hidden="1" customHeight="1" outlineLevel="1">
      <c r="A1020" s="255"/>
      <c r="B1020" s="38"/>
      <c r="C1020" s="160"/>
      <c r="D1020" s="160"/>
      <c r="E1020" s="160"/>
      <c r="F1020" s="160"/>
      <c r="G1020" s="160"/>
      <c r="H1020" s="160"/>
      <c r="I1020" s="160"/>
      <c r="J1020" s="160"/>
      <c r="K1020" s="160"/>
      <c r="L1020" s="160">
        <f>IF($L$902&gt;0,IPMT('Assumptions (Solar)'!$V$10,Model!W$1,'Assumptions (Solar)'!$V$13,'Assumptions (Solar)'!$V$8*Model!$L$902*('Assumptions (Solar)'!$J$20*'Assumptions (Solar)'!$J$2+'Assumptions (Solar)'!$J$21*'Assumptions (Solar)'!$J$3)/10^9),0)</f>
        <v>0</v>
      </c>
      <c r="M1020" s="160">
        <f>IF($L$902&gt;0,IPMT('Assumptions (Solar)'!$V$10,Model!X$1,'Assumptions (Solar)'!$V$13,'Assumptions (Solar)'!$V$8*Model!$L$902*('Assumptions (Solar)'!$J$20*'Assumptions (Solar)'!$J$2+'Assumptions (Solar)'!$J$21*'Assumptions (Solar)'!$J$3)/10^9),0)</f>
        <v>0</v>
      </c>
      <c r="N1020" s="160">
        <f>IF($L$902&gt;0,IPMT('Assumptions (Solar)'!$V$10,Model!Y$1,'Assumptions (Solar)'!$V$13,'Assumptions (Solar)'!$V$8*Model!$L$902*('Assumptions (Solar)'!$J$20*'Assumptions (Solar)'!$J$2+'Assumptions (Solar)'!$J$21*'Assumptions (Solar)'!$J$3)/10^9),0)</f>
        <v>0</v>
      </c>
      <c r="O1020" s="160">
        <f>IF($L$902&gt;0,IPMT('Assumptions (Solar)'!$V$10,Model!Z$1,'Assumptions (Solar)'!$V$13,'Assumptions (Solar)'!$V$8*Model!$L$902*('Assumptions (Solar)'!$J$20*'Assumptions (Solar)'!$J$2+'Assumptions (Solar)'!$J$21*'Assumptions (Solar)'!$J$3)/10^9),0)</f>
        <v>0</v>
      </c>
      <c r="P1020" s="160">
        <f>IF($L$902&gt;0,IPMT('Assumptions (Solar)'!$V$10,Model!AA$1,'Assumptions (Solar)'!$V$13,'Assumptions (Solar)'!$V$8*Model!$L$902*('Assumptions (Solar)'!$J$20*'Assumptions (Solar)'!$J$2+'Assumptions (Solar)'!$J$21*'Assumptions (Solar)'!$J$3)/10^9),0)</f>
        <v>0</v>
      </c>
      <c r="Q1020" s="160">
        <f>IF($L$902&gt;0,IPMT('Assumptions (Solar)'!$V$10,Model!AB$1,'Assumptions (Solar)'!$V$13,'Assumptions (Solar)'!$V$8*Model!$L$902*('Assumptions (Solar)'!$J$20*'Assumptions (Solar)'!$J$2+'Assumptions (Solar)'!$J$21*'Assumptions (Solar)'!$J$3)/10^9),0)</f>
        <v>0</v>
      </c>
      <c r="R1020" s="160">
        <f>IF($L$902&gt;0,IPMT('Assumptions (Solar)'!$V$10,Model!AC$1,'Assumptions (Solar)'!$V$13,'Assumptions (Solar)'!$V$8*Model!$L$902*('Assumptions (Solar)'!$J$20*'Assumptions (Solar)'!$J$2+'Assumptions (Solar)'!$J$21*'Assumptions (Solar)'!$J$3)/10^9),0)</f>
        <v>0</v>
      </c>
      <c r="S1020" s="160">
        <f>IF($L$902&gt;0,IPMT('Assumptions (Solar)'!$V$10,Model!AD$1,'Assumptions (Solar)'!$V$13,'Assumptions (Solar)'!$V$8*Model!$L$902*('Assumptions (Solar)'!$J$20*'Assumptions (Solar)'!$J$2+'Assumptions (Solar)'!$J$21*'Assumptions (Solar)'!$J$3)/10^9),0)</f>
        <v>0</v>
      </c>
      <c r="T1020" s="160">
        <f>IF($L$902&gt;0,IPMT('Assumptions (Solar)'!$V$10,Model!AE$1,'Assumptions (Solar)'!$V$13,'Assumptions (Solar)'!$V$8*Model!$L$902*('Assumptions (Solar)'!$J$20*'Assumptions (Solar)'!$J$2+'Assumptions (Solar)'!$J$21*'Assumptions (Solar)'!$J$3)/10^9),0)</f>
        <v>0</v>
      </c>
      <c r="U1020" s="160">
        <f>IF($L$902&gt;0,IPMT('Assumptions (Solar)'!$V$10,Model!AF$1,'Assumptions (Solar)'!$V$13,'Assumptions (Solar)'!$V$8*Model!$L$902*('Assumptions (Solar)'!$J$20*'Assumptions (Solar)'!$J$2+'Assumptions (Solar)'!$J$21*'Assumptions (Solar)'!$J$3)/10^9),0)</f>
        <v>0</v>
      </c>
      <c r="V1020" s="160"/>
      <c r="W1020" s="160"/>
      <c r="X1020" s="160"/>
      <c r="Y1020" s="160"/>
      <c r="Z1020" s="160"/>
      <c r="AA1020" s="160"/>
      <c r="AB1020" s="160"/>
      <c r="AC1020" s="160"/>
      <c r="AD1020" s="160"/>
      <c r="AE1020" s="160"/>
      <c r="AF1020" s="160"/>
      <c r="AG1020" s="160"/>
      <c r="AH1020" s="160"/>
      <c r="AI1020" s="160"/>
      <c r="AJ1020" s="160"/>
      <c r="AU1020" s="160"/>
      <c r="AV1020" s="160"/>
      <c r="AW1020" s="160"/>
      <c r="AX1020" s="160"/>
      <c r="AY1020" s="160"/>
      <c r="AZ1020" s="160"/>
      <c r="BA1020" s="160"/>
    </row>
    <row r="1021" ht="15.75" hidden="1" customHeight="1" outlineLevel="1">
      <c r="A1021" s="255"/>
      <c r="B1021" s="38"/>
      <c r="C1021" s="160"/>
      <c r="D1021" s="160"/>
      <c r="E1021" s="160"/>
      <c r="F1021" s="160"/>
      <c r="G1021" s="160"/>
      <c r="H1021" s="160"/>
      <c r="I1021" s="160"/>
      <c r="J1021" s="160"/>
      <c r="K1021" s="160"/>
      <c r="L1021" s="160"/>
      <c r="M1021" s="160">
        <f>IF($M$902&gt;0,IPMT('Assumptions (Solar)'!$V$10,Model!W$1,'Assumptions (Solar)'!$V$13,'Assumptions (Solar)'!$V$8*Model!$M$902*('Assumptions (Solar)'!$K$20*'Assumptions (Solar)'!$K$2+'Assumptions (Solar)'!$K$21*'Assumptions (Solar)'!$K$3)/10^9),0)</f>
        <v>-0.002465405253</v>
      </c>
      <c r="N1021" s="160">
        <f>IF($M$902&gt;0,IPMT('Assumptions (Solar)'!$V$10,Model!X$1,'Assumptions (Solar)'!$V$13,'Assumptions (Solar)'!$V$8*Model!$M$902*('Assumptions (Solar)'!$K$20*'Assumptions (Solar)'!$K$2+'Assumptions (Solar)'!$K$21*'Assumptions (Solar)'!$K$3)/10^9),0)</f>
        <v>-0.002295219589</v>
      </c>
      <c r="O1021" s="160">
        <f>IF($M$902&gt;0,IPMT('Assumptions (Solar)'!$V$10,Model!Y$1,'Assumptions (Solar)'!$V$13,'Assumptions (Solar)'!$V$8*Model!$M$902*('Assumptions (Solar)'!$K$20*'Assumptions (Solar)'!$K$2+'Assumptions (Solar)'!$K$21*'Assumptions (Solar)'!$K$3)/10^9),0)</f>
        <v>-0.002111419072</v>
      </c>
      <c r="P1021" s="160">
        <f>IF($M$902&gt;0,IPMT('Assumptions (Solar)'!$V$10,Model!Z$1,'Assumptions (Solar)'!$V$13,'Assumptions (Solar)'!$V$8*Model!$M$902*('Assumptions (Solar)'!$K$20*'Assumptions (Solar)'!$K$2+'Assumptions (Solar)'!$K$21*'Assumptions (Solar)'!$K$3)/10^9),0)</f>
        <v>-0.001912914514</v>
      </c>
      <c r="Q1021" s="160">
        <f>IF($M$902&gt;0,IPMT('Assumptions (Solar)'!$V$10,Model!AA$1,'Assumptions (Solar)'!$V$13,'Assumptions (Solar)'!$V$8*Model!$M$902*('Assumptions (Solar)'!$K$20*'Assumptions (Solar)'!$K$2+'Assumptions (Solar)'!$K$21*'Assumptions (Solar)'!$K$3)/10^9),0)</f>
        <v>-0.00169852959</v>
      </c>
      <c r="R1021" s="160">
        <f>IF($M$902&gt;0,IPMT('Assumptions (Solar)'!$V$10,Model!AB$1,'Assumptions (Solar)'!$V$13,'Assumptions (Solar)'!$V$8*Model!$M$902*('Assumptions (Solar)'!$K$20*'Assumptions (Solar)'!$K$2+'Assumptions (Solar)'!$K$21*'Assumptions (Solar)'!$K$3)/10^9),0)</f>
        <v>-0.001466993873</v>
      </c>
      <c r="S1021" s="160">
        <f>IF($M$902&gt;0,IPMT('Assumptions (Solar)'!$V$10,Model!AC$1,'Assumptions (Solar)'!$V$13,'Assumptions (Solar)'!$V$8*Model!$M$902*('Assumptions (Solar)'!$K$20*'Assumptions (Solar)'!$K$2+'Assumptions (Solar)'!$K$21*'Assumptions (Solar)'!$K$3)/10^9),0)</f>
        <v>-0.001216935299</v>
      </c>
      <c r="T1021" s="160">
        <f>IF($M$902&gt;0,IPMT('Assumptions (Solar)'!$V$10,Model!AD$1,'Assumptions (Solar)'!$V$13,'Assumptions (Solar)'!$V$8*Model!$M$902*('Assumptions (Solar)'!$K$20*'Assumptions (Solar)'!$K$2+'Assumptions (Solar)'!$K$21*'Assumptions (Solar)'!$K$3)/10^9),0)</f>
        <v>-0.0009468720382</v>
      </c>
      <c r="U1021" s="160">
        <f>IF($M$902&gt;0,IPMT('Assumptions (Solar)'!$V$10,Model!AE$1,'Assumptions (Solar)'!$V$13,'Assumptions (Solar)'!$V$8*Model!$M$902*('Assumptions (Solar)'!$K$20*'Assumptions (Solar)'!$K$2+'Assumptions (Solar)'!$K$21*'Assumptions (Solar)'!$K$3)/10^9),0)</f>
        <v>-0.0006552037169</v>
      </c>
      <c r="V1021" s="160">
        <f>IF($M$902&gt;0,IPMT('Assumptions (Solar)'!$V$10,Model!AF$1,'Assumptions (Solar)'!$V$13,'Assumptions (Solar)'!$V$8*Model!$M$902*('Assumptions (Solar)'!$K$20*'Assumptions (Solar)'!$K$2+'Assumptions (Solar)'!$K$21*'Assumptions (Solar)'!$K$3)/10^9),0)</f>
        <v>-0.00034020193</v>
      </c>
      <c r="W1021" s="160"/>
      <c r="X1021" s="160"/>
      <c r="Y1021" s="160"/>
      <c r="Z1021" s="160"/>
      <c r="AA1021" s="160"/>
      <c r="AB1021" s="160"/>
      <c r="AC1021" s="160"/>
      <c r="AD1021" s="160"/>
      <c r="AE1021" s="160"/>
      <c r="AF1021" s="160"/>
      <c r="AG1021" s="160"/>
      <c r="AH1021" s="160"/>
      <c r="AI1021" s="160"/>
      <c r="AJ1021" s="160"/>
      <c r="AK1021" s="160"/>
      <c r="AU1021" s="160"/>
      <c r="AV1021" s="160"/>
      <c r="AW1021" s="160"/>
      <c r="AX1021" s="160"/>
      <c r="AY1021" s="160"/>
      <c r="AZ1021" s="160"/>
      <c r="BA1021" s="160"/>
    </row>
    <row r="1022" ht="15.75" hidden="1" customHeight="1" outlineLevel="1">
      <c r="A1022" s="255"/>
      <c r="B1022" s="38"/>
      <c r="C1022" s="160"/>
      <c r="D1022" s="160"/>
      <c r="E1022" s="160"/>
      <c r="F1022" s="160"/>
      <c r="G1022" s="160"/>
      <c r="H1022" s="160"/>
      <c r="I1022" s="160"/>
      <c r="J1022" s="160"/>
      <c r="K1022" s="160"/>
      <c r="L1022" s="160"/>
      <c r="M1022" s="160"/>
      <c r="N1022" s="177">
        <f>IF($N$902&gt;0,IPMT('Assumptions (Solar)'!$V$10,Model!W$1,'Assumptions (Solar)'!$V$13,'Assumptions (Solar)'!$V$8*Model!$N$902*('Assumptions (Solar)'!$L$20*'Assumptions (Solar)'!$L$2+'Assumptions (Solar)'!$L$21*'Assumptions (Solar)'!$L$3)/10^9),0)</f>
        <v>-0.007190359605</v>
      </c>
      <c r="O1022" s="177">
        <f>IF($N$902&gt;0,IPMT('Assumptions (Solar)'!$V$10,Model!X$1,'Assumptions (Solar)'!$V$13,'Assumptions (Solar)'!$V$8*Model!$N$902*('Assumptions (Solar)'!$L$20*'Assumptions (Solar)'!$L$2+'Assumptions (Solar)'!$L$21*'Assumptions (Solar)'!$L$3)/10^9),0)</f>
        <v>-0.006694012758</v>
      </c>
      <c r="P1022" s="177">
        <f>IF($N$902&gt;0,IPMT('Assumptions (Solar)'!$V$10,Model!Y$1,'Assumptions (Solar)'!$V$13,'Assumptions (Solar)'!$V$8*Model!$N$902*('Assumptions (Solar)'!$L$20*'Assumptions (Solar)'!$L$2+'Assumptions (Solar)'!$L$21*'Assumptions (Solar)'!$L$3)/10^9),0)</f>
        <v>-0.006157958163</v>
      </c>
      <c r="Q1022" s="177">
        <f>IF($N$902&gt;0,IPMT('Assumptions (Solar)'!$V$10,Model!Z$1,'Assumptions (Solar)'!$V$13,'Assumptions (Solar)'!$V$8*Model!$N$902*('Assumptions (Solar)'!$L$20*'Assumptions (Solar)'!$L$2+'Assumptions (Solar)'!$L$21*'Assumptions (Solar)'!$L$3)/10^9),0)</f>
        <v>-0.005579019201</v>
      </c>
      <c r="R1022" s="177">
        <f>IF($N$902&gt;0,IPMT('Assumptions (Solar)'!$V$10,Model!AA$1,'Assumptions (Solar)'!$V$13,'Assumptions (Solar)'!$V$8*Model!$N$902*('Assumptions (Solar)'!$L$20*'Assumptions (Solar)'!$L$2+'Assumptions (Solar)'!$L$21*'Assumptions (Solar)'!$L$3)/10^9),0)</f>
        <v>-0.004953765121</v>
      </c>
      <c r="S1022" s="177">
        <f>IF($N$902&gt;0,IPMT('Assumptions (Solar)'!$V$10,Model!AB$1,'Assumptions (Solar)'!$V$13,'Assumptions (Solar)'!$V$8*Model!$N$902*('Assumptions (Solar)'!$L$20*'Assumptions (Solar)'!$L$2+'Assumptions (Solar)'!$L$21*'Assumptions (Solar)'!$L$3)/10^9),0)</f>
        <v>-0.004278490716</v>
      </c>
      <c r="T1022" s="177">
        <f>IF($N$902&gt;0,IPMT('Assumptions (Solar)'!$V$10,Model!AC$1,'Assumptions (Solar)'!$V$13,'Assumptions (Solar)'!$V$8*Model!$N$902*('Assumptions (Solar)'!$L$20*'Assumptions (Solar)'!$L$2+'Assumptions (Solar)'!$L$21*'Assumptions (Solar)'!$L$3)/10^9),0)</f>
        <v>-0.003549194357</v>
      </c>
      <c r="U1022" s="177">
        <f>IF($N$902&gt;0,IPMT('Assumptions (Solar)'!$V$10,Model!AD$1,'Assumptions (Solar)'!$V$13,'Assumptions (Solar)'!$V$8*Model!$N$902*('Assumptions (Solar)'!$L$20*'Assumptions (Solar)'!$L$2+'Assumptions (Solar)'!$L$21*'Assumptions (Solar)'!$L$3)/10^9),0)</f>
        <v>-0.00276155429</v>
      </c>
      <c r="V1022" s="177">
        <f>IF($N$902&gt;0,IPMT('Assumptions (Solar)'!$V$10,Model!AE$1,'Assumptions (Solar)'!$V$13,'Assumptions (Solar)'!$V$8*Model!$N$902*('Assumptions (Solar)'!$L$20*'Assumptions (Solar)'!$L$2+'Assumptions (Solar)'!$L$21*'Assumptions (Solar)'!$L$3)/10^9),0)</f>
        <v>-0.001910903018</v>
      </c>
      <c r="W1022" s="177">
        <f>IF($N$902&gt;0,IPMT('Assumptions (Solar)'!$V$10,Model!AF$1,'Assumptions (Solar)'!$V$13,'Assumptions (Solar)'!$V$8*Model!$N$902*('Assumptions (Solar)'!$L$20*'Assumptions (Solar)'!$L$2+'Assumptions (Solar)'!$L$21*'Assumptions (Solar)'!$L$3)/10^9),0)</f>
        <v>-0.000992199644</v>
      </c>
      <c r="X1022" s="177"/>
      <c r="Y1022" s="177"/>
      <c r="Z1022" s="177"/>
      <c r="AA1022" s="177"/>
      <c r="AB1022" s="177"/>
      <c r="AC1022" s="177"/>
      <c r="AD1022" s="177"/>
      <c r="AE1022" s="177"/>
      <c r="AF1022" s="177"/>
      <c r="AG1022" s="177"/>
      <c r="AH1022" s="177"/>
      <c r="AI1022" s="177"/>
      <c r="AJ1022" s="177"/>
      <c r="AK1022" s="177"/>
      <c r="AL1022" s="177"/>
      <c r="AU1022" s="160"/>
      <c r="AV1022" s="160"/>
      <c r="AW1022" s="160"/>
      <c r="AX1022" s="160"/>
      <c r="AY1022" s="160"/>
      <c r="AZ1022" s="160"/>
      <c r="BA1022" s="160"/>
    </row>
    <row r="1023" ht="15.75" hidden="1" customHeight="1" outlineLevel="1">
      <c r="A1023" s="255"/>
      <c r="B1023" s="38"/>
      <c r="C1023" s="160"/>
      <c r="D1023" s="160"/>
      <c r="E1023" s="160"/>
      <c r="F1023" s="160"/>
      <c r="G1023" s="160"/>
      <c r="H1023" s="160"/>
      <c r="I1023" s="160"/>
      <c r="J1023" s="160"/>
      <c r="K1023" s="160"/>
      <c r="L1023" s="160"/>
      <c r="M1023" s="160"/>
      <c r="N1023" s="160"/>
      <c r="O1023" s="160">
        <f>IF($O$902&gt;0,IPMT('Assumptions (Solar)'!$V$10,Model!W$1,'Assumptions (Solar)'!$V$13,'Assumptions (Solar)'!$V$8*Model!$O$902*('Assumptions (Solar)'!$M$20*'Assumptions (Solar)'!$M$2+'Assumptions (Solar)'!$M$21*'Assumptions (Solar)'!$M$3)/10^9),0)</f>
        <v>-0.02795004782</v>
      </c>
      <c r="P1023" s="160">
        <f>IF($O$902&gt;0,IPMT('Assumptions (Solar)'!$V$10,Model!X$1,'Assumptions (Solar)'!$V$13,'Assumptions (Solar)'!$V$8*Model!$O$902*('Assumptions (Solar)'!$M$20*'Assumptions (Solar)'!$M$2+'Assumptions (Solar)'!$M$21*'Assumptions (Solar)'!$M$3)/10^9),0)</f>
        <v>-0.02602067031</v>
      </c>
      <c r="Q1023" s="160">
        <f>IF($O$902&gt;0,IPMT('Assumptions (Solar)'!$V$10,Model!Y$1,'Assumptions (Solar)'!$V$13,'Assumptions (Solar)'!$V$8*Model!$O$902*('Assumptions (Solar)'!$M$20*'Assumptions (Solar)'!$M$2+'Assumptions (Solar)'!$M$21*'Assumptions (Solar)'!$M$3)/10^9),0)</f>
        <v>-0.0239369426</v>
      </c>
      <c r="R1023" s="160">
        <f>IF($O$902&gt;0,IPMT('Assumptions (Solar)'!$V$10,Model!Z$1,'Assumptions (Solar)'!$V$13,'Assumptions (Solar)'!$V$8*Model!$O$902*('Assumptions (Solar)'!$M$20*'Assumptions (Solar)'!$M$2+'Assumptions (Solar)'!$M$21*'Assumptions (Solar)'!$M$3)/10^9),0)</f>
        <v>-0.02168651667</v>
      </c>
      <c r="S1023" s="160">
        <f>IF($O$902&gt;0,IPMT('Assumptions (Solar)'!$V$10,Model!AA$1,'Assumptions (Solar)'!$V$13,'Assumptions (Solar)'!$V$8*Model!$O$902*('Assumptions (Solar)'!$M$20*'Assumptions (Solar)'!$M$2+'Assumptions (Solar)'!$M$21*'Assumptions (Solar)'!$M$3)/10^9),0)</f>
        <v>-0.01925605667</v>
      </c>
      <c r="T1023" s="160">
        <f>IF($O$902&gt;0,IPMT('Assumptions (Solar)'!$V$10,Model!AB$1,'Assumptions (Solar)'!$V$13,'Assumptions (Solar)'!$V$8*Model!$O$902*('Assumptions (Solar)'!$M$20*'Assumptions (Solar)'!$M$2+'Assumptions (Solar)'!$M$21*'Assumptions (Solar)'!$M$3)/10^9),0)</f>
        <v>-0.01663115987</v>
      </c>
      <c r="U1023" s="160">
        <f>IF($O$902&gt;0,IPMT('Assumptions (Solar)'!$V$10,Model!AC$1,'Assumptions (Solar)'!$V$13,'Assumptions (Solar)'!$V$8*Model!$O$902*('Assumptions (Solar)'!$M$20*'Assumptions (Solar)'!$M$2+'Assumptions (Solar)'!$M$21*'Assumptions (Solar)'!$M$3)/10^9),0)</f>
        <v>-0.01379627132</v>
      </c>
      <c r="V1023" s="160">
        <f>IF($O$902&gt;0,IPMT('Assumptions (Solar)'!$V$10,Model!AD$1,'Assumptions (Solar)'!$V$13,'Assumptions (Solar)'!$V$8*Model!$O$902*('Assumptions (Solar)'!$M$20*'Assumptions (Solar)'!$M$2+'Assumptions (Solar)'!$M$21*'Assumptions (Solar)'!$M$3)/10^9),0)</f>
        <v>-0.01073459169</v>
      </c>
      <c r="W1023" s="160">
        <f>IF($O$902&gt;0,IPMT('Assumptions (Solar)'!$V$10,Model!AE$1,'Assumptions (Solar)'!$V$13,'Assumptions (Solar)'!$V$8*Model!$O$902*('Assumptions (Solar)'!$M$20*'Assumptions (Solar)'!$M$2+'Assumptions (Solar)'!$M$21*'Assumptions (Solar)'!$M$3)/10^9),0)</f>
        <v>-0.00742797769</v>
      </c>
      <c r="X1023" s="160">
        <f>IF($O$902&gt;0,IPMT('Assumptions (Solar)'!$V$10,Model!AF$1,'Assumptions (Solar)'!$V$13,'Assumptions (Solar)'!$V$8*Model!$O$902*('Assumptions (Solar)'!$M$20*'Assumptions (Solar)'!$M$2+'Assumptions (Solar)'!$M$21*'Assumptions (Solar)'!$M$3)/10^9),0)</f>
        <v>-0.00385683457</v>
      </c>
      <c r="Y1023" s="160"/>
      <c r="Z1023" s="160"/>
      <c r="AA1023" s="160"/>
      <c r="AB1023" s="160"/>
      <c r="AC1023" s="160"/>
      <c r="AD1023" s="160"/>
      <c r="AE1023" s="160"/>
      <c r="AF1023" s="160"/>
      <c r="AG1023" s="160"/>
      <c r="AH1023" s="160"/>
      <c r="AI1023" s="160"/>
      <c r="AJ1023" s="160"/>
      <c r="AK1023" s="160"/>
      <c r="AL1023" s="160"/>
      <c r="AM1023" s="160"/>
      <c r="AU1023" s="160"/>
      <c r="AV1023" s="160"/>
      <c r="AW1023" s="160"/>
      <c r="AX1023" s="160"/>
      <c r="AY1023" s="160"/>
      <c r="AZ1023" s="160"/>
      <c r="BA1023" s="160"/>
    </row>
    <row r="1024" ht="15.75" hidden="1" customHeight="1" outlineLevel="1">
      <c r="A1024" s="255"/>
      <c r="B1024" s="38"/>
      <c r="C1024" s="160"/>
      <c r="D1024" s="160"/>
      <c r="E1024" s="160"/>
      <c r="F1024" s="160"/>
      <c r="G1024" s="160"/>
      <c r="H1024" s="160"/>
      <c r="I1024" s="160"/>
      <c r="J1024" s="160"/>
      <c r="K1024" s="160"/>
      <c r="L1024" s="160"/>
      <c r="M1024" s="160"/>
      <c r="N1024" s="160"/>
      <c r="O1024" s="160"/>
      <c r="P1024" s="177">
        <f>IF($P$902&gt;0,IPMT('Assumptions (Solar)'!$V$10,Model!W$1,'Assumptions (Solar)'!$V$13,'Assumptions (Solar)'!$V$8*Model!$P$902*('Assumptions (Solar)'!$N$20*'Assumptions (Solar)'!$N$2+'Assumptions (Solar)'!$N$21*'Assumptions (Solar)'!$N$3)/10^9),0)</f>
        <v>-0.05899133293</v>
      </c>
      <c r="Q1024" s="177">
        <f>IF($P$902&gt;0,IPMT('Assumptions (Solar)'!$V$10,Model!X$1,'Assumptions (Solar)'!$V$13,'Assumptions (Solar)'!$V$8*Model!$P$902*('Assumptions (Solar)'!$N$20*'Assumptions (Solar)'!$N$2+'Assumptions (Solar)'!$N$21*'Assumptions (Solar)'!$N$3)/10^9),0)</f>
        <v>-0.05491919138</v>
      </c>
      <c r="R1024" s="177">
        <f>IF($P$902&gt;0,IPMT('Assumptions (Solar)'!$V$10,Model!Y$1,'Assumptions (Solar)'!$V$13,'Assumptions (Solar)'!$V$8*Model!$P$902*('Assumptions (Solar)'!$N$20*'Assumptions (Solar)'!$N$2+'Assumptions (Solar)'!$N$21*'Assumptions (Solar)'!$N$3)/10^9),0)</f>
        <v>-0.05052127851</v>
      </c>
      <c r="S1024" s="177">
        <f>IF($P$902&gt;0,IPMT('Assumptions (Solar)'!$V$10,Model!Z$1,'Assumptions (Solar)'!$V$13,'Assumptions (Solar)'!$V$8*Model!$P$902*('Assumptions (Solar)'!$N$20*'Assumptions (Solar)'!$N$2+'Assumptions (Solar)'!$N$21*'Assumptions (Solar)'!$N$3)/10^9),0)</f>
        <v>-0.04577153261</v>
      </c>
      <c r="T1024" s="177">
        <f>IF($P$902&gt;0,IPMT('Assumptions (Solar)'!$V$10,Model!AA$1,'Assumptions (Solar)'!$V$13,'Assumptions (Solar)'!$V$8*Model!$P$902*('Assumptions (Solar)'!$N$20*'Assumptions (Solar)'!$N$2+'Assumptions (Solar)'!$N$21*'Assumptions (Solar)'!$N$3)/10^9),0)</f>
        <v>-0.04064180703</v>
      </c>
      <c r="U1024" s="177">
        <f>IF($P$902&gt;0,IPMT('Assumptions (Solar)'!$V$10,Model!AB$1,'Assumptions (Solar)'!$V$13,'Assumptions (Solar)'!$V$8*Model!$P$902*('Assumptions (Solar)'!$N$20*'Assumptions (Solar)'!$N$2+'Assumptions (Solar)'!$N$21*'Assumptions (Solar)'!$N$3)/10^9),0)</f>
        <v>-0.03510170341</v>
      </c>
      <c r="V1024" s="177">
        <f>IF($P$902&gt;0,IPMT('Assumptions (Solar)'!$V$10,Model!AC$1,'Assumptions (Solar)'!$V$13,'Assumptions (Solar)'!$V$8*Model!$P$902*('Assumptions (Solar)'!$N$20*'Assumptions (Solar)'!$N$2+'Assumptions (Solar)'!$N$21*'Assumptions (Solar)'!$N$3)/10^9),0)</f>
        <v>-0.0291183915</v>
      </c>
      <c r="W1024" s="177">
        <f>IF($P$902&gt;0,IPMT('Assumptions (Solar)'!$V$10,Model!AD$1,'Assumptions (Solar)'!$V$13,'Assumptions (Solar)'!$V$8*Model!$P$902*('Assumptions (Solar)'!$N$20*'Assumptions (Solar)'!$N$2+'Assumptions (Solar)'!$N$21*'Assumptions (Solar)'!$N$3)/10^9),0)</f>
        <v>-0.02265641463</v>
      </c>
      <c r="X1024" s="177">
        <f>IF($P$902&gt;0,IPMT('Assumptions (Solar)'!$V$10,Model!AE$1,'Assumptions (Solar)'!$V$13,'Assumptions (Solar)'!$V$8*Model!$P$902*('Assumptions (Solar)'!$N$20*'Assumptions (Solar)'!$N$2+'Assumptions (Solar)'!$N$21*'Assumptions (Solar)'!$N$3)/10^9),0)</f>
        <v>-0.01567747962</v>
      </c>
      <c r="Y1024" s="177">
        <f>IF($P$902&gt;0,IPMT('Assumptions (Solar)'!$V$10,Model!AF$1,'Assumptions (Solar)'!$V$13,'Assumptions (Solar)'!$V$8*Model!$P$902*('Assumptions (Solar)'!$N$20*'Assumptions (Solar)'!$N$2+'Assumptions (Solar)'!$N$21*'Assumptions (Solar)'!$N$3)/10^9),0)</f>
        <v>-0.008140229801</v>
      </c>
      <c r="Z1024" s="177"/>
      <c r="AA1024" s="177"/>
      <c r="AB1024" s="177"/>
      <c r="AC1024" s="177"/>
      <c r="AD1024" s="177"/>
      <c r="AE1024" s="177"/>
      <c r="AF1024" s="177"/>
      <c r="AG1024" s="177"/>
      <c r="AH1024" s="177"/>
      <c r="AI1024" s="177"/>
      <c r="AJ1024" s="177"/>
      <c r="AK1024" s="177"/>
      <c r="AL1024" s="177"/>
      <c r="AM1024" s="177"/>
      <c r="AN1024" s="177"/>
      <c r="AU1024" s="160"/>
      <c r="AV1024" s="160"/>
      <c r="AW1024" s="160"/>
      <c r="AX1024" s="160"/>
      <c r="AY1024" s="160"/>
      <c r="AZ1024" s="160"/>
      <c r="BA1024" s="160"/>
    </row>
    <row r="1025" ht="15.75" hidden="1" customHeight="1" outlineLevel="1">
      <c r="A1025" s="255"/>
      <c r="B1025" s="38"/>
      <c r="C1025" s="160"/>
      <c r="D1025" s="160"/>
      <c r="E1025" s="160"/>
      <c r="F1025" s="160"/>
      <c r="G1025" s="160"/>
      <c r="H1025" s="160"/>
      <c r="I1025" s="160"/>
      <c r="J1025" s="160"/>
      <c r="K1025" s="160"/>
      <c r="L1025" s="160"/>
      <c r="M1025" s="160"/>
      <c r="N1025" s="160"/>
      <c r="O1025" s="160"/>
      <c r="P1025" s="179"/>
      <c r="Q1025" s="160">
        <f>IF($Q$902&gt;0,IPMT('Assumptions (Solar)'!$V$10,Model!W$1,'Assumptions (Solar)'!$V$13,'Assumptions (Solar)'!$V$8*Model!$Q$902*('Assumptions (Solar)'!$O$20*'Assumptions (Solar)'!$O$2+'Assumptions (Solar)'!$O$21*'Assumptions (Solar)'!$O$3)/10^9),0)</f>
        <v>-0.08305760687</v>
      </c>
      <c r="R1025" s="160">
        <f>IF($Q$902&gt;0,IPMT('Assumptions (Solar)'!$V$10,Model!X$1,'Assumptions (Solar)'!$V$13,'Assumptions (Solar)'!$V$8*Model!$Q$902*('Assumptions (Solar)'!$O$20*'Assumptions (Solar)'!$O$2+'Assumptions (Solar)'!$O$21*'Assumptions (Solar)'!$O$3)/10^9),0)</f>
        <v>-0.07732418274</v>
      </c>
      <c r="S1025" s="160">
        <f>IF($Q$902&gt;0,IPMT('Assumptions (Solar)'!$V$10,Model!Y$1,'Assumptions (Solar)'!$V$13,'Assumptions (Solar)'!$V$8*Model!$Q$902*('Assumptions (Solar)'!$O$20*'Assumptions (Solar)'!$O$2+'Assumptions (Solar)'!$O$21*'Assumptions (Solar)'!$O$3)/10^9),0)</f>
        <v>-0.07113208467</v>
      </c>
      <c r="T1025" s="160">
        <f>IF($Q$902&gt;0,IPMT('Assumptions (Solar)'!$V$10,Model!Z$1,'Assumptions (Solar)'!$V$13,'Assumptions (Solar)'!$V$8*Model!$Q$902*('Assumptions (Solar)'!$O$20*'Assumptions (Solar)'!$O$2+'Assumptions (Solar)'!$O$21*'Assumptions (Solar)'!$O$3)/10^9),0)</f>
        <v>-0.06444461876</v>
      </c>
      <c r="U1025" s="160">
        <f>IF($Q$902&gt;0,IPMT('Assumptions (Solar)'!$V$10,Model!AA$1,'Assumptions (Solar)'!$V$13,'Assumptions (Solar)'!$V$8*Model!$Q$902*('Assumptions (Solar)'!$O$20*'Assumptions (Solar)'!$O$2+'Assumptions (Solar)'!$O$21*'Assumptions (Solar)'!$O$3)/10^9),0)</f>
        <v>-0.05722215558</v>
      </c>
      <c r="V1025" s="160">
        <f>IF($Q$902&gt;0,IPMT('Assumptions (Solar)'!$V$10,Model!AB$1,'Assumptions (Solar)'!$V$13,'Assumptions (Solar)'!$V$8*Model!$Q$902*('Assumptions (Solar)'!$O$20*'Assumptions (Solar)'!$O$2+'Assumptions (Solar)'!$O$21*'Assumptions (Solar)'!$O$3)/10^9),0)</f>
        <v>-0.04942189534</v>
      </c>
      <c r="W1025" s="160">
        <f>IF($Q$902&gt;0,IPMT('Assumptions (Solar)'!$V$10,Model!AC$1,'Assumptions (Solar)'!$V$13,'Assumptions (Solar)'!$V$8*Model!$Q$902*('Assumptions (Solar)'!$O$20*'Assumptions (Solar)'!$O$2+'Assumptions (Solar)'!$O$21*'Assumptions (Solar)'!$O$3)/10^9),0)</f>
        <v>-0.04099761428</v>
      </c>
      <c r="X1025" s="160">
        <f>IF($Q$902&gt;0,IPMT('Assumptions (Solar)'!$V$10,Model!AD$1,'Assumptions (Solar)'!$V$13,'Assumptions (Solar)'!$V$8*Model!$Q$902*('Assumptions (Solar)'!$O$20*'Assumptions (Solar)'!$O$2+'Assumptions (Solar)'!$O$21*'Assumptions (Solar)'!$O$3)/10^9),0)</f>
        <v>-0.03189939074</v>
      </c>
      <c r="Y1025" s="160">
        <f>IF($Q$902&gt;0,IPMT('Assumptions (Solar)'!$V$10,Model!AE$1,'Assumptions (Solar)'!$V$13,'Assumptions (Solar)'!$V$8*Model!$Q$902*('Assumptions (Solar)'!$O$20*'Assumptions (Solar)'!$O$2+'Assumptions (Solar)'!$O$21*'Assumptions (Solar)'!$O$3)/10^9),0)</f>
        <v>-0.02207330931</v>
      </c>
      <c r="Z1025" s="160">
        <f>IF($Q$902&gt;0,IPMT('Assumptions (Solar)'!$V$10,Model!AF$1,'Assumptions (Solar)'!$V$13,'Assumptions (Solar)'!$V$8*Model!$Q$902*('Assumptions (Solar)'!$O$20*'Assumptions (Solar)'!$O$2+'Assumptions (Solar)'!$O$21*'Assumptions (Solar)'!$O$3)/10^9),0)</f>
        <v>-0.01146114137</v>
      </c>
      <c r="AA1025" s="160"/>
      <c r="AB1025" s="160"/>
      <c r="AC1025" s="160"/>
      <c r="AD1025" s="160"/>
      <c r="AE1025" s="160"/>
      <c r="AF1025" s="160"/>
      <c r="AG1025" s="160"/>
      <c r="AH1025" s="160"/>
      <c r="AI1025" s="160"/>
      <c r="AJ1025" s="160"/>
      <c r="AK1025" s="160"/>
      <c r="AL1025" s="160"/>
      <c r="AM1025" s="160"/>
      <c r="AN1025" s="160"/>
      <c r="AO1025" s="160"/>
      <c r="AU1025" s="160"/>
      <c r="AV1025" s="160"/>
      <c r="AW1025" s="160"/>
      <c r="AX1025" s="160"/>
      <c r="AY1025" s="160"/>
      <c r="AZ1025" s="160"/>
      <c r="BA1025" s="160"/>
    </row>
    <row r="1026" ht="15.75" hidden="1" customHeight="1" outlineLevel="1">
      <c r="A1026" s="255"/>
      <c r="B1026" s="38"/>
      <c r="C1026" s="160"/>
      <c r="D1026" s="160"/>
      <c r="E1026" s="160"/>
      <c r="F1026" s="160"/>
      <c r="G1026" s="160"/>
      <c r="H1026" s="160"/>
      <c r="I1026" s="160"/>
      <c r="J1026" s="160"/>
      <c r="K1026" s="160"/>
      <c r="L1026" s="160"/>
      <c r="M1026" s="160"/>
      <c r="N1026" s="160"/>
      <c r="O1026" s="160"/>
      <c r="P1026" s="179"/>
      <c r="Q1026" s="160"/>
      <c r="R1026" s="177">
        <f>IF($R$902&gt;0,IPMT('Assumptions (Solar)'!$V$10,Model!W$1,'Assumptions (Solar)'!$V$13,'Assumptions (Solar)'!$V$8*Model!$R$902*('Assumptions (Solar)'!$P$20*'Assumptions (Solar)'!$P$2+'Assumptions (Solar)'!$P$21*'Assumptions (Solar)'!$P$3)/10^9),0)</f>
        <v>-0.2099618018</v>
      </c>
      <c r="S1026" s="177">
        <f>IF($R$902&gt;0,IPMT('Assumptions (Solar)'!$V$10,Model!X$1,'Assumptions (Solar)'!$V$13,'Assumptions (Solar)'!$V$8*Model!$R$902*('Assumptions (Solar)'!$P$20*'Assumptions (Solar)'!$P$2+'Assumptions (Solar)'!$P$21*'Assumptions (Solar)'!$P$3)/10^9),0)</f>
        <v>-0.195468246</v>
      </c>
      <c r="T1026" s="177">
        <f>IF($R$902&gt;0,IPMT('Assumptions (Solar)'!$V$10,Model!Y$1,'Assumptions (Solar)'!$V$13,'Assumptions (Solar)'!$V$8*Model!$R$902*('Assumptions (Solar)'!$P$20*'Assumptions (Solar)'!$P$2+'Assumptions (Solar)'!$P$21*'Assumptions (Solar)'!$P$3)/10^9),0)</f>
        <v>-0.1798152057</v>
      </c>
      <c r="U1026" s="177">
        <f>IF($R$902&gt;0,IPMT('Assumptions (Solar)'!$V$10,Model!Z$1,'Assumptions (Solar)'!$V$13,'Assumptions (Solar)'!$V$8*Model!$R$902*('Assumptions (Solar)'!$P$20*'Assumptions (Solar)'!$P$2+'Assumptions (Solar)'!$P$21*'Assumptions (Solar)'!$P$3)/10^9),0)</f>
        <v>-0.1629099222</v>
      </c>
      <c r="V1026" s="177">
        <f>IF($R$902&gt;0,IPMT('Assumptions (Solar)'!$V$10,Model!AA$1,'Assumptions (Solar)'!$V$13,'Assumptions (Solar)'!$V$8*Model!$R$902*('Assumptions (Solar)'!$P$20*'Assumptions (Solar)'!$P$2+'Assumptions (Solar)'!$P$21*'Assumptions (Solar)'!$P$3)/10^9),0)</f>
        <v>-0.144652216</v>
      </c>
      <c r="W1026" s="177">
        <f>IF($R$902&gt;0,IPMT('Assumptions (Solar)'!$V$10,Model!AB$1,'Assumptions (Solar)'!$V$13,'Assumptions (Solar)'!$V$8*Model!$R$902*('Assumptions (Solar)'!$P$20*'Assumptions (Solar)'!$P$2+'Assumptions (Solar)'!$P$21*'Assumptions (Solar)'!$P$3)/10^9),0)</f>
        <v>-0.1249338933</v>
      </c>
      <c r="X1026" s="177">
        <f>IF($R$902&gt;0,IPMT('Assumptions (Solar)'!$V$10,Model!AC$1,'Assumptions (Solar)'!$V$13,'Assumptions (Solar)'!$V$8*Model!$R$902*('Assumptions (Solar)'!$P$20*'Assumptions (Solar)'!$P$2+'Assumptions (Solar)'!$P$21*'Assumptions (Solar)'!$P$3)/10^9),0)</f>
        <v>-0.1036381048</v>
      </c>
      <c r="Y1026" s="177">
        <f>IF($R$902&gt;0,IPMT('Assumptions (Solar)'!$V$10,Model!AD$1,'Assumptions (Solar)'!$V$13,'Assumptions (Solar)'!$V$8*Model!$R$902*('Assumptions (Solar)'!$P$20*'Assumptions (Solar)'!$P$2+'Assumptions (Solar)'!$P$21*'Assumptions (Solar)'!$P$3)/10^9),0)</f>
        <v>-0.0806386532</v>
      </c>
      <c r="Z1026" s="177">
        <f>IF($R$902&gt;0,IPMT('Assumptions (Solar)'!$V$10,Model!AE$1,'Assumptions (Solar)'!$V$13,'Assumptions (Solar)'!$V$8*Model!$R$902*('Assumptions (Solar)'!$P$20*'Assumptions (Solar)'!$P$2+'Assumptions (Solar)'!$P$21*'Assumptions (Solar)'!$P$3)/10^9),0)</f>
        <v>-0.05579924549</v>
      </c>
      <c r="AA1026" s="177">
        <f>IF($R$902&gt;0,IPMT('Assumptions (Solar)'!$V$10,Model!AF$1,'Assumptions (Solar)'!$V$13,'Assumptions (Solar)'!$V$8*Model!$R$902*('Assumptions (Solar)'!$P$20*'Assumptions (Solar)'!$P$2+'Assumptions (Solar)'!$P$21*'Assumptions (Solar)'!$P$3)/10^9),0)</f>
        <v>-0.02897268516</v>
      </c>
      <c r="AB1026" s="177"/>
      <c r="AC1026" s="177"/>
      <c r="AD1026" s="177"/>
      <c r="AE1026" s="177"/>
      <c r="AF1026" s="177"/>
      <c r="AG1026" s="177"/>
      <c r="AH1026" s="177"/>
      <c r="AI1026" s="177"/>
      <c r="AJ1026" s="177"/>
      <c r="AK1026" s="177"/>
      <c r="AL1026" s="177"/>
      <c r="AM1026" s="177"/>
      <c r="AN1026" s="177"/>
      <c r="AO1026" s="177"/>
      <c r="AP1026" s="177"/>
      <c r="AU1026" s="160"/>
      <c r="AV1026" s="160"/>
      <c r="AW1026" s="160"/>
      <c r="AX1026" s="160"/>
      <c r="AY1026" s="160"/>
      <c r="AZ1026" s="160"/>
      <c r="BA1026" s="160"/>
    </row>
    <row r="1027" ht="15.75" hidden="1" customHeight="1" outlineLevel="1">
      <c r="A1027" s="255"/>
      <c r="B1027" s="38"/>
      <c r="C1027" s="160"/>
      <c r="D1027" s="160"/>
      <c r="E1027" s="160"/>
      <c r="F1027" s="160"/>
      <c r="G1027" s="160"/>
      <c r="H1027" s="160"/>
      <c r="I1027" s="160"/>
      <c r="J1027" s="160"/>
      <c r="K1027" s="160"/>
      <c r="L1027" s="160"/>
      <c r="M1027" s="160"/>
      <c r="N1027" s="160"/>
      <c r="O1027" s="160"/>
      <c r="P1027" s="179"/>
      <c r="Q1027" s="160"/>
      <c r="R1027" s="177"/>
      <c r="S1027" s="160">
        <f>IF($S$902&gt;0,IPMT('Assumptions (Solar)'!$V$10,Model!W$1,'Assumptions (Solar)'!$V$13,'Assumptions (Solar)'!$V$8*Model!$S$902*('Assumptions (Solar)'!$Q$20*'Assumptions (Solar)'!$Q$2+'Assumptions (Solar)'!$Q$21*'Assumptions (Solar)'!$Q$3)/10^9),0)</f>
        <v>-0.2864508885</v>
      </c>
      <c r="T1027" s="160">
        <f>IF($S$902&gt;0,IPMT('Assumptions (Solar)'!$V$10,Model!X$1,'Assumptions (Solar)'!$V$13,'Assumptions (Solar)'!$V$8*Model!$S$902*('Assumptions (Solar)'!$Q$20*'Assumptions (Solar)'!$Q$2+'Assumptions (Solar)'!$Q$21*'Assumptions (Solar)'!$Q$3)/10^9),0)</f>
        <v>-0.2666773301</v>
      </c>
      <c r="U1027" s="160">
        <f>IF($S$902&gt;0,IPMT('Assumptions (Solar)'!$V$10,Model!Y$1,'Assumptions (Solar)'!$V$13,'Assumptions (Solar)'!$V$8*Model!$S$902*('Assumptions (Solar)'!$Q$20*'Assumptions (Solar)'!$Q$2+'Assumptions (Solar)'!$Q$21*'Assumptions (Solar)'!$Q$3)/10^9),0)</f>
        <v>-0.2453218871</v>
      </c>
      <c r="V1027" s="160">
        <f>IF($S$902&gt;0,IPMT('Assumptions (Solar)'!$V$10,Model!Z$1,'Assumptions (Solar)'!$V$13,'Assumptions (Solar)'!$V$8*Model!$S$902*('Assumptions (Solar)'!$Q$20*'Assumptions (Solar)'!$Q$2+'Assumptions (Solar)'!$Q$21*'Assumptions (Solar)'!$Q$3)/10^9),0)</f>
        <v>-0.2222580086</v>
      </c>
      <c r="W1027" s="160">
        <f>IF($S$902&gt;0,IPMT('Assumptions (Solar)'!$V$10,Model!AA$1,'Assumptions (Solar)'!$V$13,'Assumptions (Solar)'!$V$8*Model!$S$902*('Assumptions (Solar)'!$Q$20*'Assumptions (Solar)'!$Q$2+'Assumptions (Solar)'!$Q$21*'Assumptions (Solar)'!$Q$3)/10^9),0)</f>
        <v>-0.1973490198</v>
      </c>
      <c r="X1027" s="160">
        <f>IF($S$902&gt;0,IPMT('Assumptions (Solar)'!$V$10,Model!AB$1,'Assumptions (Solar)'!$V$13,'Assumptions (Solar)'!$V$8*Model!$S$902*('Assumptions (Solar)'!$Q$20*'Assumptions (Solar)'!$Q$2+'Assumptions (Solar)'!$Q$21*'Assumptions (Solar)'!$Q$3)/10^9),0)</f>
        <v>-0.170447312</v>
      </c>
      <c r="Y1027" s="160">
        <f>IF($S$902&gt;0,IPMT('Assumptions (Solar)'!$V$10,Model!AC$1,'Assumptions (Solar)'!$V$13,'Assumptions (Solar)'!$V$8*Model!$S$902*('Assumptions (Solar)'!$Q$20*'Assumptions (Solar)'!$Q$2+'Assumptions (Solar)'!$Q$21*'Assumptions (Solar)'!$Q$3)/10^9),0)</f>
        <v>-0.1413934675</v>
      </c>
      <c r="Z1027" s="160">
        <f>IF($S$902&gt;0,IPMT('Assumptions (Solar)'!$V$10,Model!AD$1,'Assumptions (Solar)'!$V$13,'Assumptions (Solar)'!$V$8*Model!$S$902*('Assumptions (Solar)'!$Q$20*'Assumptions (Solar)'!$Q$2+'Assumptions (Solar)'!$Q$21*'Assumptions (Solar)'!$Q$3)/10^9),0)</f>
        <v>-0.1100153154</v>
      </c>
      <c r="AA1027" s="160">
        <f>IF($S$902&gt;0,IPMT('Assumptions (Solar)'!$V$10,Model!AE$1,'Assumptions (Solar)'!$V$13,'Assumptions (Solar)'!$V$8*Model!$S$902*('Assumptions (Solar)'!$Q$20*'Assumptions (Solar)'!$Q$2+'Assumptions (Solar)'!$Q$21*'Assumptions (Solar)'!$Q$3)/10^9),0)</f>
        <v>-0.07612691122</v>
      </c>
      <c r="AB1027" s="160">
        <f>IF($S$902&gt;0,IPMT('Assumptions (Solar)'!$V$10,Model!AF$1,'Assumptions (Solar)'!$V$13,'Assumptions (Solar)'!$V$8*Model!$S$902*('Assumptions (Solar)'!$Q$20*'Assumptions (Solar)'!$Q$2+'Assumptions (Solar)'!$Q$21*'Assumptions (Solar)'!$Q$3)/10^9),0)</f>
        <v>-0.03952743467</v>
      </c>
      <c r="AC1027" s="160"/>
      <c r="AD1027" s="160"/>
      <c r="AE1027" s="160"/>
      <c r="AF1027" s="160"/>
      <c r="AG1027" s="160"/>
      <c r="AH1027" s="160"/>
      <c r="AI1027" s="160"/>
      <c r="AJ1027" s="160"/>
      <c r="AK1027" s="160"/>
      <c r="AL1027" s="160"/>
      <c r="AM1027" s="160"/>
      <c r="AN1027" s="160"/>
      <c r="AO1027" s="160"/>
      <c r="AP1027" s="160"/>
      <c r="AQ1027" s="160"/>
      <c r="AU1027" s="160"/>
      <c r="AV1027" s="160"/>
      <c r="AW1027" s="160"/>
      <c r="AX1027" s="160"/>
      <c r="AY1027" s="160"/>
      <c r="AZ1027" s="160"/>
      <c r="BA1027" s="160"/>
    </row>
    <row r="1028" ht="15.75" hidden="1" customHeight="1" outlineLevel="1">
      <c r="A1028" s="255"/>
      <c r="B1028" s="38"/>
      <c r="C1028" s="160"/>
      <c r="D1028" s="160"/>
      <c r="E1028" s="160"/>
      <c r="F1028" s="160"/>
      <c r="G1028" s="160"/>
      <c r="H1028" s="160"/>
      <c r="I1028" s="160"/>
      <c r="J1028" s="160"/>
      <c r="K1028" s="160"/>
      <c r="L1028" s="160"/>
      <c r="M1028" s="160"/>
      <c r="N1028" s="160"/>
      <c r="O1028" s="160"/>
      <c r="P1028" s="179"/>
      <c r="Q1028" s="160"/>
      <c r="R1028" s="177"/>
      <c r="S1028" s="177"/>
      <c r="T1028" s="160">
        <f>IF($T$902&gt;0,IPMT('Assumptions (Solar)'!$V$10,Model!W$1,'Assumptions (Solar)'!$V$13,'Assumptions (Solar)'!$V$8*Model!$T$902*('Assumptions (Solar)'!$R$20*'Assumptions (Solar)'!$R$2+'Assumptions (Solar)'!$R$21*'Assumptions (Solar)'!$R$3)/10^9),0)</f>
        <v>-0.2196887152</v>
      </c>
      <c r="U1028" s="160">
        <f>IF($T$902&gt;0,IPMT('Assumptions (Solar)'!$V$10,Model!X$1,'Assumptions (Solar)'!$V$13,'Assumptions (Solar)'!$V$8*Model!$T$902*('Assumptions (Solar)'!$R$20*'Assumptions (Solar)'!$R$2+'Assumptions (Solar)'!$R$21*'Assumptions (Solar)'!$R$3)/10^9),0)</f>
        <v>-0.2045237155</v>
      </c>
      <c r="V1028" s="160">
        <f>IF($T$902&gt;0,IPMT('Assumptions (Solar)'!$V$10,Model!Y$1,'Assumptions (Solar)'!$V$13,'Assumptions (Solar)'!$V$8*Model!$T$902*('Assumptions (Solar)'!$R$20*'Assumptions (Solar)'!$R$2+'Assumptions (Solar)'!$R$21*'Assumptions (Solar)'!$R$3)/10^9),0)</f>
        <v>-0.1881455159</v>
      </c>
      <c r="W1028" s="160">
        <f>IF($T$902&gt;0,IPMT('Assumptions (Solar)'!$V$10,Model!Z$1,'Assumptions (Solar)'!$V$13,'Assumptions (Solar)'!$V$8*Model!$T$902*('Assumptions (Solar)'!$R$20*'Assumptions (Solar)'!$R$2+'Assumptions (Solar)'!$R$21*'Assumptions (Solar)'!$R$3)/10^9),0)</f>
        <v>-0.1704570602</v>
      </c>
      <c r="X1028" s="160">
        <f>IF($T$902&gt;0,IPMT('Assumptions (Solar)'!$V$10,Model!AA$1,'Assumptions (Solar)'!$V$13,'Assumptions (Solar)'!$V$8*Model!$T$902*('Assumptions (Solar)'!$R$20*'Assumptions (Solar)'!$R$2+'Assumptions (Solar)'!$R$21*'Assumptions (Solar)'!$R$3)/10^9),0)</f>
        <v>-0.1513535282</v>
      </c>
      <c r="Y1028" s="160">
        <f>IF($T$902&gt;0,IPMT('Assumptions (Solar)'!$V$10,Model!AB$1,'Assumptions (Solar)'!$V$13,'Assumptions (Solar)'!$V$8*Model!$T$902*('Assumptions (Solar)'!$R$20*'Assumptions (Solar)'!$R$2+'Assumptions (Solar)'!$R$21*'Assumptions (Solar)'!$R$3)/10^9),0)</f>
        <v>-0.1307217135</v>
      </c>
      <c r="Z1028" s="160">
        <f>IF($T$902&gt;0,IPMT('Assumptions (Solar)'!$V$10,Model!AC$1,'Assumptions (Solar)'!$V$13,'Assumptions (Solar)'!$V$8*Model!$T$902*('Assumptions (Solar)'!$R$20*'Assumptions (Solar)'!$R$2+'Assumptions (Solar)'!$R$21*'Assumptions (Solar)'!$R$3)/10^9),0)</f>
        <v>-0.1084393537</v>
      </c>
      <c r="AA1028" s="160">
        <f>IF($T$902&gt;0,IPMT('Assumptions (Solar)'!$V$10,Model!AD$1,'Assumptions (Solar)'!$V$13,'Assumptions (Solar)'!$V$8*Model!$T$902*('Assumptions (Solar)'!$R$20*'Assumptions (Solar)'!$R$2+'Assumptions (Solar)'!$R$21*'Assumptions (Solar)'!$R$3)/10^9),0)</f>
        <v>-0.08437440508</v>
      </c>
      <c r="AB1028" s="160">
        <f>IF($T$902&gt;0,IPMT('Assumptions (Solar)'!$V$10,Model!AE$1,'Assumptions (Solar)'!$V$13,'Assumptions (Solar)'!$V$8*Model!$T$902*('Assumptions (Solar)'!$R$20*'Assumptions (Solar)'!$R$2+'Assumptions (Solar)'!$R$21*'Assumptions (Solar)'!$R$3)/10^9),0)</f>
        <v>-0.05838426059</v>
      </c>
      <c r="AC1028" s="160">
        <f>IF($T$902&gt;0,IPMT('Assumptions (Solar)'!$V$10,Model!AF$1,'Assumptions (Solar)'!$V$13,'Assumptions (Solar)'!$V$8*Model!$T$902*('Assumptions (Solar)'!$R$20*'Assumptions (Solar)'!$R$2+'Assumptions (Solar)'!$R$21*'Assumptions (Solar)'!$R$3)/10^9),0)</f>
        <v>-0.03031490454</v>
      </c>
      <c r="AD1028" s="160"/>
      <c r="AE1028" s="160"/>
      <c r="AF1028" s="160"/>
      <c r="AG1028" s="160"/>
      <c r="AH1028" s="160"/>
      <c r="AI1028" s="160"/>
      <c r="AJ1028" s="160"/>
      <c r="AK1028" s="160"/>
      <c r="AL1028" s="160"/>
      <c r="AM1028" s="160"/>
      <c r="AN1028" s="160"/>
      <c r="AO1028" s="160"/>
      <c r="AP1028" s="160"/>
      <c r="AQ1028" s="160"/>
      <c r="AR1028" s="160"/>
      <c r="AU1028" s="160"/>
      <c r="AV1028" s="160"/>
      <c r="AW1028" s="160"/>
      <c r="AX1028" s="160"/>
      <c r="AY1028" s="160"/>
      <c r="AZ1028" s="160"/>
      <c r="BA1028" s="160"/>
    </row>
    <row r="1029" ht="15.75" hidden="1" customHeight="1" outlineLevel="1">
      <c r="A1029" s="255"/>
      <c r="B1029" s="38"/>
      <c r="C1029" s="160"/>
      <c r="D1029" s="160"/>
      <c r="E1029" s="160"/>
      <c r="F1029" s="160"/>
      <c r="G1029" s="160"/>
      <c r="H1029" s="160"/>
      <c r="I1029" s="160"/>
      <c r="J1029" s="160"/>
      <c r="K1029" s="160"/>
      <c r="L1029" s="160"/>
      <c r="M1029" s="160"/>
      <c r="N1029" s="160"/>
      <c r="O1029" s="160"/>
      <c r="P1029" s="179"/>
      <c r="Q1029" s="160"/>
      <c r="R1029" s="177"/>
      <c r="S1029" s="177"/>
      <c r="T1029" s="177"/>
      <c r="U1029" s="160">
        <f>IF($U$902&gt;0,IPMT('Assumptions (Solar)'!$V$10,Model!W$1,'Assumptions (Solar)'!$V$13,'Assumptions (Solar)'!$V$8*Model!$U$902*('Assumptions (Solar)'!$S$20*'Assumptions (Solar)'!$S$2+'Assumptions (Solar)'!$S$21*'Assumptions (Solar)'!$S$3)/10^9),0)</f>
        <v>-0.1249450755</v>
      </c>
      <c r="V1029" s="160">
        <f>IF($U$902&gt;0,IPMT('Assumptions (Solar)'!$V$10,Model!X$1,'Assumptions (Solar)'!$V$13,'Assumptions (Solar)'!$V$8*Model!$U$902*('Assumptions (Solar)'!$S$20*'Assumptions (Solar)'!$S$2+'Assumptions (Solar)'!$S$21*'Assumptions (Solar)'!$S$3)/10^9),0)</f>
        <v>-0.1163201808</v>
      </c>
      <c r="W1029" s="160">
        <f>IF($U$902&gt;0,IPMT('Assumptions (Solar)'!$V$10,Model!Y$1,'Assumptions (Solar)'!$V$13,'Assumptions (Solar)'!$V$8*Model!$U$902*('Assumptions (Solar)'!$S$20*'Assumptions (Solar)'!$S$2+'Assumptions (Solar)'!$S$21*'Assumptions (Solar)'!$S$3)/10^9),0)</f>
        <v>-0.1070052946</v>
      </c>
      <c r="X1029" s="160">
        <f>IF($U$902&gt;0,IPMT('Assumptions (Solar)'!$V$10,Model!Z$1,'Assumptions (Solar)'!$V$13,'Assumptions (Solar)'!$V$8*Model!$U$902*('Assumptions (Solar)'!$S$20*'Assumptions (Solar)'!$S$2+'Assumptions (Solar)'!$S$21*'Assumptions (Solar)'!$S$3)/10^9),0)</f>
        <v>-0.09694521741</v>
      </c>
      <c r="Y1029" s="160">
        <f>IF($U$902&gt;0,IPMT('Assumptions (Solar)'!$V$10,Model!AA$1,'Assumptions (Solar)'!$V$13,'Assumptions (Solar)'!$V$8*Model!$U$902*('Assumptions (Solar)'!$S$20*'Assumptions (Solar)'!$S$2+'Assumptions (Solar)'!$S$21*'Assumptions (Solar)'!$S$3)/10^9),0)</f>
        <v>-0.08608033409</v>
      </c>
      <c r="Z1029" s="160">
        <f>IF($U$902&gt;0,IPMT('Assumptions (Solar)'!$V$10,Model!AB$1,'Assumptions (Solar)'!$V$13,'Assumptions (Solar)'!$V$8*Model!$U$902*('Assumptions (Solar)'!$S$20*'Assumptions (Solar)'!$S$2+'Assumptions (Solar)'!$S$21*'Assumptions (Solar)'!$S$3)/10^9),0)</f>
        <v>-0.0743462601</v>
      </c>
      <c r="AA1029" s="160">
        <f>IF($U$902&gt;0,IPMT('Assumptions (Solar)'!$V$10,Model!AC$1,'Assumptions (Solar)'!$V$13,'Assumptions (Solar)'!$V$8*Model!$U$902*('Assumptions (Solar)'!$S$20*'Assumptions (Solar)'!$S$2+'Assumptions (Solar)'!$S$21*'Assumptions (Solar)'!$S$3)/10^9),0)</f>
        <v>-0.06167346019</v>
      </c>
      <c r="AB1029" s="160">
        <f>IF($U$902&gt;0,IPMT('Assumptions (Solar)'!$V$10,Model!AD$1,'Assumptions (Solar)'!$V$13,'Assumptions (Solar)'!$V$8*Model!$U$902*('Assumptions (Solar)'!$S$20*'Assumptions (Solar)'!$S$2+'Assumptions (Solar)'!$S$21*'Assumptions (Solar)'!$S$3)/10^9),0)</f>
        <v>-0.04798683629</v>
      </c>
      <c r="AC1029" s="160">
        <f>IF($U$902&gt;0,IPMT('Assumptions (Solar)'!$V$10,Model!AE$1,'Assumptions (Solar)'!$V$13,'Assumptions (Solar)'!$V$8*Model!$U$902*('Assumptions (Solar)'!$S$20*'Assumptions (Solar)'!$S$2+'Assumptions (Solar)'!$S$21*'Assumptions (Solar)'!$S$3)/10^9),0)</f>
        <v>-0.03320528248</v>
      </c>
      <c r="AD1029" s="160">
        <f>IF($U$902&gt;0,IPMT('Assumptions (Solar)'!$V$10,Model!AF$1,'Assumptions (Solar)'!$V$13,'Assumptions (Solar)'!$V$8*Model!$U$902*('Assumptions (Solar)'!$S$20*'Assumptions (Solar)'!$S$2+'Assumptions (Solar)'!$S$21*'Assumptions (Solar)'!$S$3)/10^9),0)</f>
        <v>-0.01724120437</v>
      </c>
      <c r="AE1029" s="160"/>
      <c r="AF1029" s="160"/>
      <c r="AG1029" s="160"/>
      <c r="AH1029" s="160"/>
      <c r="AI1029" s="160"/>
      <c r="AJ1029" s="160"/>
      <c r="AK1029" s="160"/>
      <c r="AL1029" s="160"/>
      <c r="AM1029" s="160"/>
      <c r="AN1029" s="160"/>
      <c r="AO1029" s="160"/>
      <c r="AP1029" s="160"/>
      <c r="AQ1029" s="160"/>
      <c r="AR1029" s="160"/>
      <c r="AS1029" s="160"/>
      <c r="AU1029" s="160"/>
      <c r="AV1029" s="160"/>
      <c r="AW1029" s="160"/>
      <c r="AX1029" s="160"/>
      <c r="AY1029" s="160"/>
      <c r="AZ1029" s="160"/>
      <c r="BA1029" s="160"/>
    </row>
    <row r="1030" ht="15.75" hidden="1" customHeight="1" outlineLevel="1">
      <c r="A1030" s="255"/>
      <c r="B1030" s="38"/>
      <c r="C1030" s="160"/>
      <c r="D1030" s="160"/>
      <c r="E1030" s="160"/>
      <c r="F1030" s="160"/>
      <c r="G1030" s="160"/>
      <c r="H1030" s="160"/>
      <c r="I1030" s="160"/>
      <c r="J1030" s="160"/>
      <c r="K1030" s="160"/>
      <c r="L1030" s="160"/>
      <c r="M1030" s="160"/>
      <c r="N1030" s="160"/>
      <c r="O1030" s="160"/>
      <c r="P1030" s="179"/>
      <c r="Q1030" s="160"/>
      <c r="R1030" s="177"/>
      <c r="S1030" s="177"/>
      <c r="T1030" s="177"/>
      <c r="U1030" s="160"/>
      <c r="V1030" s="160">
        <f>IF($V$902&gt;0,IPMT('Assumptions (Solar)'!$V$10,Model!W$1,'Assumptions (Solar)'!$V$13,'Assumptions (Solar)'!$V$8*Model!$V$902*('Assumptions (Solar)'!$T$20*'Assumptions (Solar)'!$T$2+'Assumptions (Solar)'!$T$21*'Assumptions (Solar)'!$T$3)/10^9),0)</f>
        <v>0</v>
      </c>
      <c r="W1030" s="160">
        <f>IF($V$902&gt;0,IPMT('Assumptions (Solar)'!$V$10,Model!X$1,'Assumptions (Solar)'!$V$13,'Assumptions (Solar)'!$V$8*Model!$V$902*('Assumptions (Solar)'!$T$20*'Assumptions (Solar)'!$T$2+'Assumptions (Solar)'!$T$21*'Assumptions (Solar)'!$T$3)/10^9),0)</f>
        <v>0</v>
      </c>
      <c r="X1030" s="160">
        <f>IF($V$902&gt;0,IPMT('Assumptions (Solar)'!$V$10,Model!Y$1,'Assumptions (Solar)'!$V$13,'Assumptions (Solar)'!$V$8*Model!$V$902*('Assumptions (Solar)'!$T$20*'Assumptions (Solar)'!$T$2+'Assumptions (Solar)'!$T$21*'Assumptions (Solar)'!$T$3)/10^9),0)</f>
        <v>0</v>
      </c>
      <c r="Y1030" s="160">
        <f>IF($V$902&gt;0,IPMT('Assumptions (Solar)'!$V$10,Model!Z$1,'Assumptions (Solar)'!$V$13,'Assumptions (Solar)'!$V$8*Model!$V$902*('Assumptions (Solar)'!$T$20*'Assumptions (Solar)'!$T$2+'Assumptions (Solar)'!$T$21*'Assumptions (Solar)'!$T$3)/10^9),0)</f>
        <v>0</v>
      </c>
      <c r="Z1030" s="160">
        <f>IF($V$902&gt;0,IPMT('Assumptions (Solar)'!$V$10,Model!AA$1,'Assumptions (Solar)'!$V$13,'Assumptions (Solar)'!$V$8*Model!$V$902*('Assumptions (Solar)'!$T$20*'Assumptions (Solar)'!$T$2+'Assumptions (Solar)'!$T$21*'Assumptions (Solar)'!$T$3)/10^9),0)</f>
        <v>0</v>
      </c>
      <c r="AA1030" s="160">
        <f>IF($V$902&gt;0,IPMT('Assumptions (Solar)'!$V$10,Model!AB$1,'Assumptions (Solar)'!$V$13,'Assumptions (Solar)'!$V$8*Model!$V$902*('Assumptions (Solar)'!$T$20*'Assumptions (Solar)'!$T$2+'Assumptions (Solar)'!$T$21*'Assumptions (Solar)'!$T$3)/10^9),0)</f>
        <v>0</v>
      </c>
      <c r="AB1030" s="160">
        <f>IF($V$902&gt;0,IPMT('Assumptions (Solar)'!$V$10,Model!AC$1,'Assumptions (Solar)'!$V$13,'Assumptions (Solar)'!$V$8*Model!$V$902*('Assumptions (Solar)'!$T$20*'Assumptions (Solar)'!$T$2+'Assumptions (Solar)'!$T$21*'Assumptions (Solar)'!$T$3)/10^9),0)</f>
        <v>0</v>
      </c>
      <c r="AC1030" s="160">
        <f>IF($V$902&gt;0,IPMT('Assumptions (Solar)'!$V$10,Model!AD$1,'Assumptions (Solar)'!$V$13,'Assumptions (Solar)'!$V$8*Model!$V$902*('Assumptions (Solar)'!$T$20*'Assumptions (Solar)'!$T$2+'Assumptions (Solar)'!$T$21*'Assumptions (Solar)'!$T$3)/10^9),0)</f>
        <v>0</v>
      </c>
      <c r="AD1030" s="160">
        <f>IF($V$902&gt;0,IPMT('Assumptions (Solar)'!$V$10,Model!AE$1,'Assumptions (Solar)'!$V$13,'Assumptions (Solar)'!$V$8*Model!$V$902*('Assumptions (Solar)'!$T$20*'Assumptions (Solar)'!$T$2+'Assumptions (Solar)'!$T$21*'Assumptions (Solar)'!$T$3)/10^9),0)</f>
        <v>0</v>
      </c>
      <c r="AE1030" s="160">
        <f>IF($V$902&gt;0,IPMT('Assumptions (Solar)'!$V$10,Model!AF$1,'Assumptions (Solar)'!$V$13,'Assumptions (Solar)'!$V$8*Model!$V$902*('Assumptions (Solar)'!$T$20*'Assumptions (Solar)'!$T$2+'Assumptions (Solar)'!$T$21*'Assumptions (Solar)'!$T$3)/10^9),0)</f>
        <v>0</v>
      </c>
      <c r="AF1030" s="160"/>
      <c r="AG1030" s="160"/>
      <c r="AH1030" s="160"/>
      <c r="AI1030" s="160"/>
      <c r="AJ1030" s="160"/>
      <c r="AK1030" s="160"/>
      <c r="AL1030" s="160"/>
      <c r="AM1030" s="160"/>
      <c r="AN1030" s="160"/>
      <c r="AO1030" s="160"/>
      <c r="AP1030" s="160"/>
      <c r="AQ1030" s="160"/>
      <c r="AR1030" s="160"/>
      <c r="AS1030" s="160"/>
      <c r="AT1030" s="160"/>
      <c r="AU1030" s="160"/>
      <c r="AV1030" s="160"/>
      <c r="AW1030" s="160"/>
      <c r="AX1030" s="160"/>
      <c r="AY1030" s="160"/>
      <c r="AZ1030" s="160"/>
      <c r="BA1030" s="160"/>
    </row>
    <row r="1031" ht="15.75" hidden="1" customHeight="1" outlineLevel="1">
      <c r="A1031" s="255"/>
      <c r="B1031" s="38"/>
      <c r="C1031" s="174"/>
      <c r="D1031" s="174"/>
      <c r="E1031" s="174"/>
      <c r="F1031" s="174"/>
      <c r="G1031" s="174"/>
      <c r="H1031" s="174"/>
      <c r="I1031" s="174"/>
      <c r="J1031" s="174"/>
      <c r="K1031" s="174"/>
      <c r="L1031" s="174"/>
      <c r="M1031" s="174"/>
      <c r="N1031" s="174"/>
      <c r="O1031" s="174"/>
      <c r="P1031" s="174"/>
      <c r="Q1031" s="174"/>
      <c r="R1031" s="174"/>
      <c r="S1031" s="174"/>
      <c r="T1031" s="174"/>
      <c r="U1031" s="174"/>
      <c r="V1031" s="174"/>
      <c r="W1031" s="160">
        <f>IF($W$902&gt;0,IPMT('Assumptions (Solar)'!$V$10,Model!W$1,'Assumptions (Solar)'!$V$13,'Assumptions (Solar)'!$V$8*Model!$W$902*('Assumptions (Solar)'!$U$20*'Assumptions (Solar)'!$U$2+'Assumptions (Solar)'!$U$21*'Assumptions (Solar)'!$U$3)/10^9),0)</f>
        <v>0</v>
      </c>
      <c r="X1031" s="160">
        <f>IF($W$902&gt;0,IPMT('Assumptions (Solar)'!$V$10,Model!X$1,'Assumptions (Solar)'!$V$13,'Assumptions (Solar)'!$V$8*Model!$W$902*('Assumptions (Solar)'!$U$20*'Assumptions (Solar)'!$U$2+'Assumptions (Solar)'!$U$21*'Assumptions (Solar)'!$U$3)/10^9),0)</f>
        <v>0</v>
      </c>
      <c r="Y1031" s="160">
        <f>IF($W$902&gt;0,IPMT('Assumptions (Solar)'!$V$10,Model!Y$1,'Assumptions (Solar)'!$V$13,'Assumptions (Solar)'!$V$8*Model!$W$902*('Assumptions (Solar)'!$U$20*'Assumptions (Solar)'!$U$2+'Assumptions (Solar)'!$U$21*'Assumptions (Solar)'!$U$3)/10^9),0)</f>
        <v>0</v>
      </c>
      <c r="Z1031" s="160">
        <f>IF($W$902&gt;0,IPMT('Assumptions (Solar)'!$V$10,Model!Z$1,'Assumptions (Solar)'!$V$13,'Assumptions (Solar)'!$V$8*Model!$W$902*('Assumptions (Solar)'!$U$20*'Assumptions (Solar)'!$U$2+'Assumptions (Solar)'!$U$21*'Assumptions (Solar)'!$U$3)/10^9),0)</f>
        <v>0</v>
      </c>
      <c r="AA1031" s="160">
        <f>IF($W$902&gt;0,IPMT('Assumptions (Solar)'!$V$10,Model!AA$1,'Assumptions (Solar)'!$V$13,'Assumptions (Solar)'!$V$8*Model!$W$902*('Assumptions (Solar)'!$U$20*'Assumptions (Solar)'!$U$2+'Assumptions (Solar)'!$U$21*'Assumptions (Solar)'!$U$3)/10^9),0)</f>
        <v>0</v>
      </c>
      <c r="AB1031" s="160">
        <f>IF($W$902&gt;0,IPMT('Assumptions (Solar)'!$V$10,Model!AB$1,'Assumptions (Solar)'!$V$13,'Assumptions (Solar)'!$V$8*Model!$W$902*('Assumptions (Solar)'!$U$20*'Assumptions (Solar)'!$U$2+'Assumptions (Solar)'!$U$21*'Assumptions (Solar)'!$U$3)/10^9),0)</f>
        <v>0</v>
      </c>
      <c r="AC1031" s="160">
        <f>IF($W$902&gt;0,IPMT('Assumptions (Solar)'!$V$10,Model!AC$1,'Assumptions (Solar)'!$V$13,'Assumptions (Solar)'!$V$8*Model!$W$902*('Assumptions (Solar)'!$U$20*'Assumptions (Solar)'!$U$2+'Assumptions (Solar)'!$U$21*'Assumptions (Solar)'!$U$3)/10^9),0)</f>
        <v>0</v>
      </c>
      <c r="AD1031" s="160">
        <f>IF($W$902&gt;0,IPMT('Assumptions (Solar)'!$V$10,Model!AD$1,'Assumptions (Solar)'!$V$13,'Assumptions (Solar)'!$V$8*Model!$W$902*('Assumptions (Solar)'!$U$20*'Assumptions (Solar)'!$U$2+'Assumptions (Solar)'!$U$21*'Assumptions (Solar)'!$U$3)/10^9),0)</f>
        <v>0</v>
      </c>
      <c r="AE1031" s="160">
        <f>IF($W$902&gt;0,IPMT('Assumptions (Solar)'!$V$10,Model!AE$1,'Assumptions (Solar)'!$V$13,'Assumptions (Solar)'!$V$8*Model!$W$902*('Assumptions (Solar)'!$U$20*'Assumptions (Solar)'!$U$2+'Assumptions (Solar)'!$U$21*'Assumptions (Solar)'!$U$3)/10^9),0)</f>
        <v>0</v>
      </c>
      <c r="AF1031" s="160">
        <f>IF($W$902&gt;0,IPMT('Assumptions (Solar)'!$V$10,Model!AF$1,'Assumptions (Solar)'!$V$13,'Assumptions (Solar)'!$V$8*Model!$W$902*('Assumptions (Solar)'!$U$20*'Assumptions (Solar)'!$U$2+'Assumptions (Solar)'!$U$21*'Assumptions (Solar)'!$U$3)/10^9),0)</f>
        <v>0</v>
      </c>
      <c r="AG1031" s="160"/>
      <c r="AH1031" s="160"/>
      <c r="AI1031" s="160"/>
      <c r="AJ1031" s="160"/>
      <c r="AK1031" s="160"/>
      <c r="AL1031" s="160"/>
      <c r="AM1031" s="160"/>
      <c r="AN1031" s="160"/>
      <c r="AO1031" s="160"/>
      <c r="AP1031" s="160"/>
      <c r="AQ1031" s="160"/>
      <c r="AR1031" s="160"/>
      <c r="AS1031" s="160"/>
      <c r="AT1031" s="160"/>
      <c r="AU1031" s="160"/>
      <c r="AV1031" s="160"/>
      <c r="AW1031" s="160"/>
      <c r="AX1031" s="160"/>
      <c r="AY1031" s="160"/>
      <c r="AZ1031" s="160"/>
      <c r="BA1031" s="160"/>
    </row>
    <row r="1032" ht="15.75" hidden="1" customHeight="1" outlineLevel="1">
      <c r="A1032" s="255"/>
      <c r="B1032" s="38"/>
      <c r="C1032" s="174"/>
      <c r="D1032" s="174"/>
      <c r="E1032" s="174"/>
      <c r="F1032" s="174"/>
      <c r="G1032" s="174"/>
      <c r="H1032" s="174"/>
      <c r="I1032" s="174"/>
      <c r="J1032" s="174"/>
      <c r="K1032" s="174"/>
      <c r="L1032" s="174"/>
      <c r="M1032" s="174"/>
      <c r="N1032" s="174"/>
      <c r="O1032" s="174"/>
      <c r="P1032" s="174"/>
      <c r="Q1032" s="174"/>
      <c r="R1032" s="174"/>
      <c r="S1032" s="174"/>
      <c r="T1032" s="174"/>
      <c r="U1032" s="174"/>
      <c r="V1032" s="174"/>
      <c r="W1032" s="160"/>
      <c r="X1032" s="160">
        <f>IF($X$902&gt;0,IPMT('Assumptions (Solar)'!$V$10,Model!W$1,'Assumptions (Solar)'!$V$13,'Assumptions (Solar)'!$V$8*Model!$X$902*('Assumptions (Solar)'!$V$20*'Assumptions (Solar)'!$V$2+'Assumptions (Solar)'!$V$21*'Assumptions (Solar)'!$V$3)/10^9),0)</f>
        <v>-0.134230915</v>
      </c>
      <c r="Y1032" s="160">
        <f>IF($X$902&gt;0,IPMT('Assumptions (Solar)'!$V$10,Model!X$1,'Assumptions (Solar)'!$V$13,'Assumptions (Solar)'!$V$8*Model!$X$902*('Assumptions (Solar)'!$V$20*'Assumptions (Solar)'!$V$2+'Assumptions (Solar)'!$V$21*'Assumptions (Solar)'!$V$3)/10^9),0)</f>
        <v>-0.1249650235</v>
      </c>
      <c r="Z1032" s="160">
        <f>IF($X$902&gt;0,IPMT('Assumptions (Solar)'!$V$10,Model!Y$1,'Assumptions (Solar)'!$V$13,'Assumptions (Solar)'!$V$8*Model!$X$902*('Assumptions (Solar)'!$V$20*'Assumptions (Solar)'!$V$2+'Assumptions (Solar)'!$V$21*'Assumptions (Solar)'!$V$3)/10^9),0)</f>
        <v>-0.1149578608</v>
      </c>
      <c r="AA1032" s="160">
        <f>IF($X$902&gt;0,IPMT('Assumptions (Solar)'!$V$10,Model!Z$1,'Assumptions (Solar)'!$V$13,'Assumptions (Solar)'!$V$8*Model!$X$902*('Assumptions (Solar)'!$V$20*'Assumptions (Solar)'!$V$2+'Assumptions (Solar)'!$V$21*'Assumptions (Solar)'!$V$3)/10^9),0)</f>
        <v>-0.104150125</v>
      </c>
      <c r="AB1032" s="160">
        <f>IF($X$902&gt;0,IPMT('Assumptions (Solar)'!$V$10,Model!AA$1,'Assumptions (Solar)'!$V$13,'Assumptions (Solar)'!$V$8*Model!$X$902*('Assumptions (Solar)'!$V$20*'Assumptions (Solar)'!$V$2+'Assumptions (Solar)'!$V$21*'Assumptions (Solar)'!$V$3)/10^9),0)</f>
        <v>-0.09247777042</v>
      </c>
      <c r="AC1032" s="160">
        <f>IF($X$902&gt;0,IPMT('Assumptions (Solar)'!$V$10,Model!AB$1,'Assumptions (Solar)'!$V$13,'Assumptions (Solar)'!$V$8*Model!$X$902*('Assumptions (Solar)'!$V$20*'Assumptions (Solar)'!$V$2+'Assumptions (Solar)'!$V$21*'Assumptions (Solar)'!$V$3)/10^9),0)</f>
        <v>-0.07987162742</v>
      </c>
      <c r="AD1032" s="160">
        <f>IF($X$902&gt;0,IPMT('Assumptions (Solar)'!$V$10,Model!AC$1,'Assumptions (Solar)'!$V$13,'Assumptions (Solar)'!$V$8*Model!$X$902*('Assumptions (Solar)'!$V$20*'Assumptions (Solar)'!$V$2+'Assumptions (Solar)'!$V$21*'Assumptions (Solar)'!$V$3)/10^9),0)</f>
        <v>-0.06625699299</v>
      </c>
      <c r="AE1032" s="160">
        <f>IF($X$902&gt;0,IPMT('Assumptions (Solar)'!$V$10,Model!AD$1,'Assumptions (Solar)'!$V$13,'Assumptions (Solar)'!$V$8*Model!$X$902*('Assumptions (Solar)'!$V$20*'Assumptions (Solar)'!$V$2+'Assumptions (Solar)'!$V$21*'Assumptions (Solar)'!$V$3)/10^9),0)</f>
        <v>-0.05155318781</v>
      </c>
      <c r="AF1032" s="160">
        <f>IF($X$902&gt;0,IPMT('Assumptions (Solar)'!$V$10,Model!AE$1,'Assumptions (Solar)'!$V$13,'Assumptions (Solar)'!$V$8*Model!$X$902*('Assumptions (Solar)'!$V$20*'Assumptions (Solar)'!$V$2+'Assumptions (Solar)'!$V$21*'Assumptions (Solar)'!$V$3)/10^9),0)</f>
        <v>-0.03567307821</v>
      </c>
      <c r="AG1032" s="160">
        <f>IF($X$902&gt;0,IPMT('Assumptions (Solar)'!$V$10,Model!AF$1,'Assumptions (Solar)'!$V$13,'Assumptions (Solar)'!$V$8*Model!$X$902*('Assumptions (Solar)'!$V$20*'Assumptions (Solar)'!$V$2+'Assumptions (Solar)'!$V$21*'Assumptions (Solar)'!$V$3)/10^9),0)</f>
        <v>-0.01852255984</v>
      </c>
      <c r="AH1032" s="160"/>
      <c r="AI1032" s="160"/>
      <c r="AJ1032" s="160"/>
      <c r="AK1032" s="160"/>
      <c r="AL1032" s="160"/>
      <c r="AM1032" s="160"/>
      <c r="AN1032" s="160"/>
      <c r="AO1032" s="160"/>
      <c r="AP1032" s="160"/>
      <c r="AQ1032" s="160"/>
      <c r="AR1032" s="160"/>
      <c r="AS1032" s="160"/>
      <c r="AT1032" s="160"/>
      <c r="AU1032" s="160"/>
      <c r="AV1032" s="160"/>
      <c r="AW1032" s="160"/>
      <c r="AX1032" s="160"/>
      <c r="AY1032" s="160"/>
      <c r="AZ1032" s="160"/>
      <c r="BA1032" s="160"/>
    </row>
    <row r="1033" ht="15.75" hidden="1" customHeight="1" outlineLevel="1">
      <c r="A1033" s="255"/>
      <c r="B1033" s="38"/>
      <c r="C1033" s="174"/>
      <c r="D1033" s="174"/>
      <c r="E1033" s="174"/>
      <c r="F1033" s="174"/>
      <c r="G1033" s="174"/>
      <c r="H1033" s="174"/>
      <c r="I1033" s="174"/>
      <c r="J1033" s="174"/>
      <c r="K1033" s="174"/>
      <c r="L1033" s="174"/>
      <c r="M1033" s="174"/>
      <c r="N1033" s="174"/>
      <c r="O1033" s="174"/>
      <c r="P1033" s="174"/>
      <c r="Q1033" s="174"/>
      <c r="R1033" s="174"/>
      <c r="S1033" s="174"/>
      <c r="T1033" s="174"/>
      <c r="U1033" s="174"/>
      <c r="V1033" s="174"/>
      <c r="W1033" s="160"/>
      <c r="X1033" s="160"/>
      <c r="Y1033" s="160">
        <f>IF($Y$902&gt;0,IPMT('Assumptions (Solar)'!$V$10,Model!W$1,'Assumptions (Solar)'!$V$13,'Assumptions (Solar)'!$V$8*Model!$Y$902*('Assumptions (Solar)'!$W$20*'Assumptions (Solar)'!$W$2+'Assumptions (Solar)'!$W$21*'Assumptions (Solar)'!$W$3)/10^9),0)</f>
        <v>-0.09377323735</v>
      </c>
      <c r="Z1033" s="160">
        <f>IF($Y$902&gt;0,IPMT('Assumptions (Solar)'!$V$10,Model!X$1,'Assumptions (Solar)'!$V$13,'Assumptions (Solar)'!$V$8*Model!$Y$902*('Assumptions (Solar)'!$W$20*'Assumptions (Solar)'!$W$2+'Assumptions (Solar)'!$W$21*'Assumptions (Solar)'!$W$3)/10^9),0)</f>
        <v>-0.08730011872</v>
      </c>
      <c r="AA1033" s="160">
        <f>IF($Y$902&gt;0,IPMT('Assumptions (Solar)'!$V$10,Model!Y$1,'Assumptions (Solar)'!$V$13,'Assumptions (Solar)'!$V$8*Model!$Y$902*('Assumptions (Solar)'!$W$20*'Assumptions (Solar)'!$W$2+'Assumptions (Solar)'!$W$21*'Assumptions (Solar)'!$W$3)/10^9),0)</f>
        <v>-0.0803091506</v>
      </c>
      <c r="AB1033" s="160">
        <f>IF($Y$902&gt;0,IPMT('Assumptions (Solar)'!$V$10,Model!Z$1,'Assumptions (Solar)'!$V$13,'Assumptions (Solar)'!$V$8*Model!$Y$902*('Assumptions (Solar)'!$W$20*'Assumptions (Solar)'!$W$2+'Assumptions (Solar)'!$W$21*'Assumptions (Solar)'!$W$3)/10^9),0)</f>
        <v>-0.07275890504</v>
      </c>
      <c r="AC1033" s="160">
        <f>IF($Y$902&gt;0,IPMT('Assumptions (Solar)'!$V$10,Model!AA$1,'Assumptions (Solar)'!$V$13,'Assumptions (Solar)'!$V$8*Model!$Y$902*('Assumptions (Solar)'!$W$20*'Assumptions (Solar)'!$W$2+'Assumptions (Solar)'!$W$21*'Assumptions (Solar)'!$W$3)/10^9),0)</f>
        <v>-0.06460463982</v>
      </c>
      <c r="AD1033" s="160">
        <f>IF($Y$902&gt;0,IPMT('Assumptions (Solar)'!$V$10,Model!AB$1,'Assumptions (Solar)'!$V$13,'Assumptions (Solar)'!$V$8*Model!$Y$902*('Assumptions (Solar)'!$W$20*'Assumptions (Solar)'!$W$2+'Assumptions (Solar)'!$W$21*'Assumptions (Solar)'!$W$3)/10^9),0)</f>
        <v>-0.05579803339</v>
      </c>
      <c r="AE1033" s="160">
        <f>IF($Y$902&gt;0,IPMT('Assumptions (Solar)'!$V$10,Model!AC$1,'Assumptions (Solar)'!$V$13,'Assumptions (Solar)'!$V$8*Model!$Y$902*('Assumptions (Solar)'!$W$20*'Assumptions (Solar)'!$W$2+'Assumptions (Solar)'!$W$21*'Assumptions (Solar)'!$W$3)/10^9),0)</f>
        <v>-0.04628689845</v>
      </c>
      <c r="AF1033" s="160">
        <f>IF($Y$902&gt;0,IPMT('Assumptions (Solar)'!$V$10,Model!AD$1,'Assumptions (Solar)'!$V$13,'Assumptions (Solar)'!$V$8*Model!$Y$902*('Assumptions (Solar)'!$W$20*'Assumptions (Solar)'!$W$2+'Assumptions (Solar)'!$W$21*'Assumptions (Solar)'!$W$3)/10^9),0)</f>
        <v>-0.03601487271</v>
      </c>
      <c r="AG1033" s="160">
        <f>IF($Y$902&gt;0,IPMT('Assumptions (Solar)'!$V$10,Model!AE$1,'Assumptions (Solar)'!$V$13,'Assumptions (Solar)'!$V$8*Model!$Y$902*('Assumptions (Solar)'!$W$20*'Assumptions (Solar)'!$W$2+'Assumptions (Solar)'!$W$21*'Assumptions (Solar)'!$W$3)/10^9),0)</f>
        <v>-0.02492108491</v>
      </c>
      <c r="AH1033" s="160">
        <f>IF($Y$902&gt;0,IPMT('Assumptions (Solar)'!$V$10,Model!AF$1,'Assumptions (Solar)'!$V$13,'Assumptions (Solar)'!$V$8*Model!$Y$902*('Assumptions (Solar)'!$W$20*'Assumptions (Solar)'!$W$2+'Assumptions (Solar)'!$W$21*'Assumptions (Solar)'!$W$3)/10^9),0)</f>
        <v>-0.01293979409</v>
      </c>
      <c r="AI1033" s="160"/>
      <c r="AJ1033" s="160"/>
      <c r="AK1033" s="160"/>
      <c r="AL1033" s="160"/>
      <c r="AM1033" s="160"/>
      <c r="AN1033" s="160"/>
      <c r="AO1033" s="160"/>
      <c r="AP1033" s="160"/>
      <c r="AQ1033" s="160"/>
      <c r="AR1033" s="160"/>
      <c r="AS1033" s="160"/>
      <c r="AT1033" s="160"/>
      <c r="AU1033" s="160"/>
      <c r="AV1033" s="160"/>
      <c r="AW1033" s="160"/>
      <c r="AX1033" s="160"/>
      <c r="AY1033" s="160"/>
      <c r="AZ1033" s="160"/>
      <c r="BA1033" s="160"/>
    </row>
    <row r="1034" ht="15.75" hidden="1" customHeight="1" outlineLevel="1">
      <c r="A1034" s="255"/>
      <c r="B1034" s="38"/>
      <c r="C1034" s="174"/>
      <c r="D1034" s="174"/>
      <c r="E1034" s="174"/>
      <c r="F1034" s="174"/>
      <c r="G1034" s="174"/>
      <c r="H1034" s="174"/>
      <c r="I1034" s="174"/>
      <c r="J1034" s="174"/>
      <c r="K1034" s="174"/>
      <c r="L1034" s="174"/>
      <c r="M1034" s="174"/>
      <c r="N1034" s="174"/>
      <c r="O1034" s="174"/>
      <c r="P1034" s="174"/>
      <c r="Q1034" s="174"/>
      <c r="R1034" s="174"/>
      <c r="S1034" s="174"/>
      <c r="T1034" s="174"/>
      <c r="U1034" s="174"/>
      <c r="V1034" s="174"/>
      <c r="W1034" s="160"/>
      <c r="X1034" s="160"/>
      <c r="Y1034" s="160"/>
      <c r="Z1034" s="160">
        <f>IF($Z$902&gt;0,IPMT('Assumptions (Solar)'!$V$10,Model!W$1,'Assumptions (Solar)'!$V$13,'Assumptions (Solar)'!$V$8*Model!$Z$902*('Assumptions (Solar)'!$X$20*'Assumptions (Solar)'!$X$2+'Assumptions (Solar)'!$X$21*'Assumptions (Solar)'!$X$3)/10^9),0)</f>
        <v>-0.09178442499</v>
      </c>
      <c r="AA1034" s="160">
        <f>IF($Z$902&gt;0,IPMT('Assumptions (Solar)'!$V$10,Model!X$1,'Assumptions (Solar)'!$V$13,'Assumptions (Solar)'!$V$8*Model!$Z$902*('Assumptions (Solar)'!$X$20*'Assumptions (Solar)'!$X$2+'Assumptions (Solar)'!$X$21*'Assumptions (Solar)'!$X$3)/10^9),0)</f>
        <v>-0.08544859306</v>
      </c>
      <c r="AB1034" s="160">
        <f>IF($Z$902&gt;0,IPMT('Assumptions (Solar)'!$V$10,Model!Y$1,'Assumptions (Solar)'!$V$13,'Assumptions (Solar)'!$V$8*Model!$Z$902*('Assumptions (Solar)'!$X$20*'Assumptions (Solar)'!$X$2+'Assumptions (Solar)'!$X$21*'Assumptions (Solar)'!$X$3)/10^9),0)</f>
        <v>-0.07860589458</v>
      </c>
      <c r="AC1034" s="160">
        <f>IF($Z$902&gt;0,IPMT('Assumptions (Solar)'!$V$10,Model!Z$1,'Assumptions (Solar)'!$V$13,'Assumptions (Solar)'!$V$8*Model!$Z$902*('Assumptions (Solar)'!$X$20*'Assumptions (Solar)'!$X$2+'Assumptions (Solar)'!$X$21*'Assumptions (Solar)'!$X$3)/10^9),0)</f>
        <v>-0.07121578022</v>
      </c>
      <c r="AD1034" s="160">
        <f>IF($Z$902&gt;0,IPMT('Assumptions (Solar)'!$V$10,Model!AA$1,'Assumptions (Solar)'!$V$13,'Assumptions (Solar)'!$V$8*Model!$Z$902*('Assumptions (Solar)'!$X$20*'Assumptions (Solar)'!$X$2+'Assumptions (Solar)'!$X$21*'Assumptions (Solar)'!$X$3)/10^9),0)</f>
        <v>-0.06323445671</v>
      </c>
      <c r="AE1034" s="160">
        <f>IF($Z$902&gt;0,IPMT('Assumptions (Solar)'!$V$10,Model!AB$1,'Assumptions (Solar)'!$V$13,'Assumptions (Solar)'!$V$8*Model!$Z$902*('Assumptions (Solar)'!$X$20*'Assumptions (Solar)'!$X$2+'Assumptions (Solar)'!$X$21*'Assumptions (Solar)'!$X$3)/10^9),0)</f>
        <v>-0.05461462732</v>
      </c>
      <c r="AF1034" s="160">
        <f>IF($Z$902&gt;0,IPMT('Assumptions (Solar)'!$V$10,Model!AC$1,'Assumptions (Solar)'!$V$13,'Assumptions (Solar)'!$V$8*Model!$Z$902*('Assumptions (Solar)'!$X$20*'Assumptions (Solar)'!$X$2+'Assumptions (Solar)'!$X$21*'Assumptions (Solar)'!$X$3)/10^9),0)</f>
        <v>-0.04530521158</v>
      </c>
      <c r="AG1034" s="160">
        <f>IF($Z$902&gt;0,IPMT('Assumptions (Solar)'!$V$10,Model!AD$1,'Assumptions (Solar)'!$V$13,'Assumptions (Solar)'!$V$8*Model!$Z$902*('Assumptions (Solar)'!$X$20*'Assumptions (Solar)'!$X$2+'Assumptions (Solar)'!$X$21*'Assumptions (Solar)'!$X$3)/10^9),0)</f>
        <v>-0.03525104258</v>
      </c>
      <c r="AH1034" s="160">
        <f>IF($Z$902&gt;0,IPMT('Assumptions (Solar)'!$V$10,Model!AE$1,'Assumptions (Solar)'!$V$13,'Assumptions (Solar)'!$V$8*Model!$Z$902*('Assumptions (Solar)'!$X$20*'Assumptions (Solar)'!$X$2+'Assumptions (Solar)'!$X$21*'Assumptions (Solar)'!$X$3)/10^9),0)</f>
        <v>-0.02439254006</v>
      </c>
      <c r="AI1034" s="160">
        <f>IF($Z$902&gt;0,IPMT('Assumptions (Solar)'!$V$10,Model!AF$1,'Assumptions (Solar)'!$V$13,'Assumptions (Solar)'!$V$8*Model!$Z$902*('Assumptions (Solar)'!$X$20*'Assumptions (Solar)'!$X$2+'Assumptions (Solar)'!$X$21*'Assumptions (Solar)'!$X$3)/10^9),0)</f>
        <v>-0.01266535734</v>
      </c>
      <c r="AJ1034" s="160"/>
      <c r="AK1034" s="160"/>
      <c r="AL1034" s="160"/>
      <c r="AM1034" s="160"/>
      <c r="AN1034" s="160"/>
      <c r="AO1034" s="160"/>
      <c r="AP1034" s="160"/>
      <c r="AQ1034" s="160"/>
      <c r="AR1034" s="160"/>
      <c r="AS1034" s="160"/>
      <c r="AT1034" s="160"/>
      <c r="AU1034" s="160"/>
      <c r="AV1034" s="160"/>
      <c r="AW1034" s="160"/>
      <c r="AX1034" s="160"/>
      <c r="AY1034" s="160"/>
      <c r="AZ1034" s="160"/>
      <c r="BA1034" s="160"/>
    </row>
    <row r="1035" ht="15.75" hidden="1" customHeight="1" outlineLevel="1">
      <c r="A1035" s="255"/>
      <c r="B1035" s="38"/>
      <c r="C1035" s="174"/>
      <c r="D1035" s="174"/>
      <c r="E1035" s="174"/>
      <c r="F1035" s="174"/>
      <c r="G1035" s="174"/>
      <c r="H1035" s="174"/>
      <c r="I1035" s="174"/>
      <c r="J1035" s="174"/>
      <c r="K1035" s="174"/>
      <c r="L1035" s="174"/>
      <c r="M1035" s="174"/>
      <c r="N1035" s="174"/>
      <c r="O1035" s="174"/>
      <c r="P1035" s="174"/>
      <c r="Q1035" s="174"/>
      <c r="R1035" s="174"/>
      <c r="S1035" s="174"/>
      <c r="T1035" s="174"/>
      <c r="U1035" s="174"/>
      <c r="V1035" s="174"/>
      <c r="W1035" s="160"/>
      <c r="X1035" s="160"/>
      <c r="Y1035" s="160"/>
      <c r="Z1035" s="160"/>
      <c r="AA1035" s="160">
        <f>IF($AA$902&gt;0,IPMT('Assumptions (Solar)'!$V$10,Model!W$1,'Assumptions (Solar)'!$V$13,'Assumptions (Solar)'!$V$8*Model!$AA$902*('Assumptions (Solar)'!$Y$20*'Assumptions (Solar)'!$Y$2+'Assumptions (Solar)'!$Y$21*'Assumptions (Solar)'!$Y$3)/10^9),0)</f>
        <v>-0.08968232314</v>
      </c>
      <c r="AB1035" s="160">
        <f>IF($AA$902&gt;0,IPMT('Assumptions (Solar)'!$V$10,Model!X$1,'Assumptions (Solar)'!$V$13,'Assumptions (Solar)'!$V$8*Model!$AA$902*('Assumptions (Solar)'!$Y$20*'Assumptions (Solar)'!$Y$2+'Assumptions (Solar)'!$Y$21*'Assumptions (Solar)'!$Y$3)/10^9),0)</f>
        <v>-0.08349159823</v>
      </c>
      <c r="AC1035" s="160">
        <f>IF($AA$902&gt;0,IPMT('Assumptions (Solar)'!$V$10,Model!Y$1,'Assumptions (Solar)'!$V$13,'Assumptions (Solar)'!$V$8*Model!$AA$902*('Assumptions (Solar)'!$Y$20*'Assumptions (Solar)'!$Y$2+'Assumptions (Solar)'!$Y$21*'Assumptions (Solar)'!$Y$3)/10^9),0)</f>
        <v>-0.07680561532</v>
      </c>
      <c r="AD1035" s="160">
        <f>IF($AA$902&gt;0,IPMT('Assumptions (Solar)'!$V$10,Model!Z$1,'Assumptions (Solar)'!$V$13,'Assumptions (Solar)'!$V$8*Model!$AA$902*('Assumptions (Solar)'!$Y$20*'Assumptions (Solar)'!$Y$2+'Assumptions (Solar)'!$Y$21*'Assumptions (Solar)'!$Y$3)/10^9),0)</f>
        <v>-0.06958475379</v>
      </c>
      <c r="AE1035" s="160">
        <f>IF($AA$902&gt;0,IPMT('Assumptions (Solar)'!$V$10,Model!AA$1,'Assumptions (Solar)'!$V$13,'Assumptions (Solar)'!$V$8*Model!$AA$902*('Assumptions (Solar)'!$Y$20*'Assumptions (Solar)'!$Y$2+'Assumptions (Solar)'!$Y$21*'Assumptions (Solar)'!$Y$3)/10^9),0)</f>
        <v>-0.06178622333</v>
      </c>
      <c r="AF1035" s="160">
        <f>IF($AA$902&gt;0,IPMT('Assumptions (Solar)'!$V$10,Model!AB$1,'Assumptions (Solar)'!$V$13,'Assumptions (Solar)'!$V$8*Model!$AA$902*('Assumptions (Solar)'!$Y$20*'Assumptions (Solar)'!$Y$2+'Assumptions (Solar)'!$Y$21*'Assumptions (Solar)'!$Y$3)/10^9),0)</f>
        <v>-0.05336381043</v>
      </c>
      <c r="AG1035" s="160">
        <f>IF($AA$902&gt;0,IPMT('Assumptions (Solar)'!$V$10,Model!AC$1,'Assumptions (Solar)'!$V$13,'Assumptions (Solar)'!$V$8*Model!$AA$902*('Assumptions (Solar)'!$Y$20*'Assumptions (Solar)'!$Y$2+'Assumptions (Solar)'!$Y$21*'Assumptions (Solar)'!$Y$3)/10^9),0)</f>
        <v>-0.0442676045</v>
      </c>
      <c r="AH1035" s="160">
        <f>IF($AA$902&gt;0,IPMT('Assumptions (Solar)'!$V$10,Model!AD$1,'Assumptions (Solar)'!$V$13,'Assumptions (Solar)'!$V$8*Model!$AA$902*('Assumptions (Solar)'!$Y$20*'Assumptions (Solar)'!$Y$2+'Assumptions (Solar)'!$Y$21*'Assumptions (Solar)'!$Y$3)/10^9),0)</f>
        <v>-0.0344437021</v>
      </c>
      <c r="AI1035" s="160">
        <f>IF($AA$902&gt;0,IPMT('Assumptions (Solar)'!$V$10,Model!AE$1,'Assumptions (Solar)'!$V$13,'Assumptions (Solar)'!$V$8*Model!$AA$902*('Assumptions (Solar)'!$Y$20*'Assumptions (Solar)'!$Y$2+'Assumptions (Solar)'!$Y$21*'Assumptions (Solar)'!$Y$3)/10^9),0)</f>
        <v>-0.02383388751</v>
      </c>
      <c r="AJ1035" s="160">
        <f>IF($AA$902&gt;0,IPMT('Assumptions (Solar)'!$V$10,Model!AF$1,'Assumptions (Solar)'!$V$13,'Assumptions (Solar)'!$V$8*Model!$AA$902*('Assumptions (Solar)'!$Y$20*'Assumptions (Solar)'!$Y$2+'Assumptions (Solar)'!$Y$21*'Assumptions (Solar)'!$Y$3)/10^9),0)</f>
        <v>-0.01237528774</v>
      </c>
      <c r="AK1035" s="160"/>
      <c r="AL1035" s="160"/>
      <c r="AM1035" s="160"/>
      <c r="AN1035" s="160"/>
      <c r="AO1035" s="160"/>
      <c r="AP1035" s="160"/>
      <c r="AQ1035" s="160"/>
      <c r="AR1035" s="160"/>
      <c r="AS1035" s="160"/>
      <c r="AT1035" s="160"/>
      <c r="AU1035" s="160"/>
      <c r="AV1035" s="160"/>
      <c r="AW1035" s="160"/>
      <c r="AX1035" s="160"/>
      <c r="AY1035" s="160"/>
      <c r="AZ1035" s="160"/>
      <c r="BA1035" s="160"/>
    </row>
    <row r="1036" ht="15.75" hidden="1" customHeight="1" outlineLevel="1">
      <c r="A1036" s="255"/>
      <c r="B1036" s="38"/>
      <c r="C1036" s="174"/>
      <c r="D1036" s="174"/>
      <c r="E1036" s="174"/>
      <c r="F1036" s="174"/>
      <c r="G1036" s="174"/>
      <c r="H1036" s="174"/>
      <c r="I1036" s="174"/>
      <c r="J1036" s="174"/>
      <c r="K1036" s="174"/>
      <c r="L1036" s="174"/>
      <c r="M1036" s="174"/>
      <c r="N1036" s="174"/>
      <c r="O1036" s="174"/>
      <c r="P1036" s="174"/>
      <c r="Q1036" s="174"/>
      <c r="R1036" s="174"/>
      <c r="S1036" s="174"/>
      <c r="T1036" s="174"/>
      <c r="U1036" s="174"/>
      <c r="V1036" s="174"/>
      <c r="W1036" s="160"/>
      <c r="X1036" s="160"/>
      <c r="Y1036" s="160"/>
      <c r="Z1036" s="160"/>
      <c r="AA1036" s="160"/>
      <c r="AB1036" s="160">
        <f>IF($AB$902&gt;0,IPMT('Assumptions (Solar)'!$V$10,Model!W$1,'Assumptions (Solar)'!$V$13,'Assumptions (Solar)'!$V$8*Model!$AB$902*('Assumptions (Solar)'!$Z$20*'Assumptions (Solar)'!$Z$2+'Assumptions (Solar)'!$Z$21*'Assumptions (Solar)'!$Z$3)/10^9),0)</f>
        <v>-0.08753958891</v>
      </c>
      <c r="AC1036" s="160">
        <f>IF($AB$902&gt;0,IPMT('Assumptions (Solar)'!$V$10,Model!X$1,'Assumptions (Solar)'!$V$13,'Assumptions (Solar)'!$V$8*Model!$AB$902*('Assumptions (Solar)'!$Z$20*'Assumptions (Solar)'!$Z$2+'Assumptions (Solar)'!$Z$21*'Assumptions (Solar)'!$Z$3)/10^9),0)</f>
        <v>-0.08149677585</v>
      </c>
      <c r="AD1036" s="160">
        <f>IF($AB$902&gt;0,IPMT('Assumptions (Solar)'!$V$10,Model!Y$1,'Assumptions (Solar)'!$V$13,'Assumptions (Solar)'!$V$8*Model!$AB$902*('Assumptions (Solar)'!$Z$20*'Assumptions (Solar)'!$Z$2+'Assumptions (Solar)'!$Z$21*'Assumptions (Solar)'!$Z$3)/10^9),0)</f>
        <v>-0.07497053774</v>
      </c>
      <c r="AE1036" s="160">
        <f>IF($AB$902&gt;0,IPMT('Assumptions (Solar)'!$V$10,Model!Z$1,'Assumptions (Solar)'!$V$13,'Assumptions (Solar)'!$V$8*Model!$AB$902*('Assumptions (Solar)'!$Z$20*'Assumptions (Solar)'!$Z$2+'Assumptions (Solar)'!$Z$21*'Assumptions (Solar)'!$Z$3)/10^9),0)</f>
        <v>-0.06792220058</v>
      </c>
      <c r="AF1036" s="160">
        <f>IF($AB$902&gt;0,IPMT('Assumptions (Solar)'!$V$10,Model!AA$1,'Assumptions (Solar)'!$V$13,'Assumptions (Solar)'!$V$8*Model!$AB$902*('Assumptions (Solar)'!$Z$20*'Assumptions (Solar)'!$Z$2+'Assumptions (Solar)'!$Z$21*'Assumptions (Solar)'!$Z$3)/10^9),0)</f>
        <v>-0.06030999645</v>
      </c>
      <c r="AG1036" s="160">
        <f>IF($AB$902&gt;0,IPMT('Assumptions (Solar)'!$V$10,Model!AB$1,'Assumptions (Solar)'!$V$13,'Assumptions (Solar)'!$V$8*Model!$AB$902*('Assumptions (Solar)'!$Z$20*'Assumptions (Solar)'!$Z$2+'Assumptions (Solar)'!$Z$21*'Assumptions (Solar)'!$Z$3)/10^9),0)</f>
        <v>-0.05208881599</v>
      </c>
      <c r="AH1036" s="160">
        <f>IF($AB$902&gt;0,IPMT('Assumptions (Solar)'!$V$10,Model!AC$1,'Assumptions (Solar)'!$V$13,'Assumptions (Solar)'!$V$8*Model!$AB$902*('Assumptions (Solar)'!$Z$20*'Assumptions (Solar)'!$Z$2+'Assumptions (Solar)'!$Z$21*'Assumptions (Solar)'!$Z$3)/10^9),0)</f>
        <v>-0.0432099411</v>
      </c>
      <c r="AI1036" s="160">
        <f>IF($AB$902&gt;0,IPMT('Assumptions (Solar)'!$V$10,Model!AD$1,'Assumptions (Solar)'!$V$13,'Assumptions (Solar)'!$V$8*Model!$AB$902*('Assumptions (Solar)'!$Z$20*'Assumptions (Solar)'!$Z$2+'Assumptions (Solar)'!$Z$21*'Assumptions (Solar)'!$Z$3)/10^9),0)</f>
        <v>-0.03362075621</v>
      </c>
      <c r="AJ1036" s="160">
        <f>IF($AB$902&gt;0,IPMT('Assumptions (Solar)'!$V$10,Model!AE$1,'Assumptions (Solar)'!$V$13,'Assumptions (Solar)'!$V$8*Model!$AB$902*('Assumptions (Solar)'!$Z$20*'Assumptions (Solar)'!$Z$2+'Assumptions (Solar)'!$Z$21*'Assumptions (Solar)'!$Z$3)/10^9),0)</f>
        <v>-0.02326443653</v>
      </c>
      <c r="AK1036" s="160">
        <f>IF($AB$902&gt;0,IPMT('Assumptions (Solar)'!$V$10,Model!AF$1,'Assumptions (Solar)'!$V$13,'Assumptions (Solar)'!$V$8*Model!$AB$902*('Assumptions (Solar)'!$Z$20*'Assumptions (Solar)'!$Z$2+'Assumptions (Solar)'!$Z$21*'Assumptions (Solar)'!$Z$3)/10^9),0)</f>
        <v>-0.01207961127</v>
      </c>
      <c r="AL1036" s="160"/>
      <c r="AM1036" s="160"/>
      <c r="AN1036" s="160"/>
      <c r="AO1036" s="160"/>
      <c r="AP1036" s="160"/>
      <c r="AQ1036" s="160"/>
      <c r="AR1036" s="160"/>
      <c r="AS1036" s="160"/>
      <c r="AT1036" s="160"/>
      <c r="AU1036" s="160"/>
      <c r="AV1036" s="160"/>
      <c r="AW1036" s="160"/>
      <c r="AX1036" s="160"/>
      <c r="AY1036" s="160"/>
      <c r="AZ1036" s="160"/>
      <c r="BA1036" s="160"/>
      <c r="BB1036" s="160"/>
    </row>
    <row r="1037" ht="15.75" hidden="1" customHeight="1" outlineLevel="1">
      <c r="A1037" s="255"/>
      <c r="B1037" s="38"/>
      <c r="C1037" s="174"/>
      <c r="D1037" s="174"/>
      <c r="E1037" s="174"/>
      <c r="F1037" s="174"/>
      <c r="G1037" s="174"/>
      <c r="H1037" s="174"/>
      <c r="I1037" s="174"/>
      <c r="J1037" s="174"/>
      <c r="K1037" s="174"/>
      <c r="L1037" s="174"/>
      <c r="M1037" s="174"/>
      <c r="N1037" s="174"/>
      <c r="O1037" s="174"/>
      <c r="P1037" s="174"/>
      <c r="Q1037" s="174"/>
      <c r="R1037" s="174"/>
      <c r="S1037" s="174"/>
      <c r="T1037" s="174"/>
      <c r="U1037" s="174"/>
      <c r="V1037" s="174"/>
      <c r="W1037" s="160"/>
      <c r="X1037" s="160"/>
      <c r="Y1037" s="160"/>
      <c r="Z1037" s="160"/>
      <c r="AA1037" s="160"/>
      <c r="AB1037" s="160"/>
      <c r="AC1037" s="160">
        <f>IF($AC$902&gt;0,IPMT('Assumptions (Solar)'!$V$10,Model!W$1,'Assumptions (Solar)'!$V$13,'Assumptions (Solar)'!$V$8*Model!$AC$902*('Assumptions (Solar)'!$AA$20*'Assumptions (Solar)'!$AA$2+'Assumptions (Solar)'!$AA$21*'Assumptions (Solar)'!$AA$3)/10^9),0)</f>
        <v>-0.08520130707</v>
      </c>
      <c r="AD1037" s="160">
        <f>IF($AC$902&gt;0,IPMT('Assumptions (Solar)'!$V$10,Model!X$1,'Assumptions (Solar)'!$V$13,'Assumptions (Solar)'!$V$8*Model!$AC$902*('Assumptions (Solar)'!$AA$20*'Assumptions (Solar)'!$AA$2+'Assumptions (Solar)'!$AA$21*'Assumptions (Solar)'!$AA$3)/10^9),0)</f>
        <v>-0.07931990441</v>
      </c>
      <c r="AE1037" s="160">
        <f>IF($AC$902&gt;0,IPMT('Assumptions (Solar)'!$V$10,Model!Y$1,'Assumptions (Solar)'!$V$13,'Assumptions (Solar)'!$V$8*Model!$AC$902*('Assumptions (Solar)'!$AA$20*'Assumptions (Solar)'!$AA$2+'Assumptions (Solar)'!$AA$21*'Assumptions (Solar)'!$AA$3)/10^9),0)</f>
        <v>-0.07296798953</v>
      </c>
      <c r="AF1037" s="160">
        <f>IF($AC$902&gt;0,IPMT('Assumptions (Solar)'!$V$10,Model!Z$1,'Assumptions (Solar)'!$V$13,'Assumptions (Solar)'!$V$8*Model!$AC$902*('Assumptions (Solar)'!$AA$20*'Assumptions (Solar)'!$AA$2+'Assumptions (Solar)'!$AA$21*'Assumptions (Solar)'!$AA$3)/10^9),0)</f>
        <v>-0.06610792146</v>
      </c>
      <c r="AG1037" s="160">
        <f>IF($AC$902&gt;0,IPMT('Assumptions (Solar)'!$V$10,Model!AA$1,'Assumptions (Solar)'!$V$13,'Assumptions (Solar)'!$V$8*Model!$AC$902*('Assumptions (Solar)'!$AA$20*'Assumptions (Solar)'!$AA$2+'Assumptions (Solar)'!$AA$21*'Assumptions (Solar)'!$AA$3)/10^9),0)</f>
        <v>-0.05869904795</v>
      </c>
      <c r="AH1037" s="160">
        <f>IF($AC$902&gt;0,IPMT('Assumptions (Solar)'!$V$10,Model!AB$1,'Assumptions (Solar)'!$V$13,'Assumptions (Solar)'!$V$8*Model!$AC$902*('Assumptions (Solar)'!$AA$20*'Assumptions (Solar)'!$AA$2+'Assumptions (Solar)'!$AA$21*'Assumptions (Solar)'!$AA$3)/10^9),0)</f>
        <v>-0.05069746456</v>
      </c>
      <c r="AI1037" s="160">
        <f>IF($AC$902&gt;0,IPMT('Assumptions (Solar)'!$V$10,Model!AC$1,'Assumptions (Solar)'!$V$13,'Assumptions (Solar)'!$V$8*Model!$AC$902*('Assumptions (Solar)'!$AA$20*'Assumptions (Solar)'!$AA$2+'Assumptions (Solar)'!$AA$21*'Assumptions (Solar)'!$AA$3)/10^9),0)</f>
        <v>-0.04205575449</v>
      </c>
      <c r="AJ1037" s="160">
        <f>IF($AC$902&gt;0,IPMT('Assumptions (Solar)'!$V$10,Model!AD$1,'Assumptions (Solar)'!$V$13,'Assumptions (Solar)'!$V$8*Model!$AC$902*('Assumptions (Solar)'!$AA$20*'Assumptions (Solar)'!$AA$2+'Assumptions (Solar)'!$AA$21*'Assumptions (Solar)'!$AA$3)/10^9),0)</f>
        <v>-0.03272270763</v>
      </c>
      <c r="AK1037" s="160">
        <f>IF($AC$902&gt;0,IPMT('Assumptions (Solar)'!$V$10,Model!AE$1,'Assumptions (Solar)'!$V$13,'Assumptions (Solar)'!$V$8*Model!$AC$902*('Assumptions (Solar)'!$AA$20*'Assumptions (Solar)'!$AA$2+'Assumptions (Solar)'!$AA$21*'Assumptions (Solar)'!$AA$3)/10^9),0)</f>
        <v>-0.02264301701</v>
      </c>
      <c r="AL1037" s="160">
        <f>IF($AC$902&gt;0,IPMT('Assumptions (Solar)'!$V$10,Model!AF$1,'Assumptions (Solar)'!$V$13,'Assumptions (Solar)'!$V$8*Model!$AC$902*('Assumptions (Solar)'!$AA$20*'Assumptions (Solar)'!$AA$2+'Assumptions (Solar)'!$AA$21*'Assumptions (Solar)'!$AA$3)/10^9),0)</f>
        <v>-0.01175695114</v>
      </c>
      <c r="AM1037" s="160"/>
      <c r="AN1037" s="160"/>
      <c r="AO1037" s="160"/>
      <c r="AP1037" s="160"/>
      <c r="AQ1037" s="160"/>
      <c r="AR1037" s="160"/>
      <c r="AS1037" s="160"/>
      <c r="AT1037" s="160"/>
      <c r="AU1037" s="160"/>
      <c r="AV1037" s="160"/>
      <c r="AW1037" s="160"/>
      <c r="AX1037" s="160"/>
      <c r="AY1037" s="160"/>
      <c r="AZ1037" s="160"/>
      <c r="BA1037" s="160"/>
    </row>
    <row r="1038" ht="15.75" hidden="1" customHeight="1" outlineLevel="1">
      <c r="A1038" s="255"/>
      <c r="B1038" s="38"/>
      <c r="C1038" s="174"/>
      <c r="D1038" s="174"/>
      <c r="E1038" s="174"/>
      <c r="F1038" s="174"/>
      <c r="G1038" s="174"/>
      <c r="H1038" s="174"/>
      <c r="I1038" s="174"/>
      <c r="J1038" s="174"/>
      <c r="K1038" s="174"/>
      <c r="L1038" s="174"/>
      <c r="M1038" s="174"/>
      <c r="N1038" s="174"/>
      <c r="O1038" s="174"/>
      <c r="P1038" s="174"/>
      <c r="Q1038" s="174"/>
      <c r="R1038" s="174"/>
      <c r="S1038" s="174"/>
      <c r="T1038" s="174"/>
      <c r="U1038" s="174"/>
      <c r="V1038" s="174"/>
      <c r="W1038" s="160"/>
      <c r="X1038" s="160"/>
      <c r="Y1038" s="160"/>
      <c r="Z1038" s="160"/>
      <c r="AA1038" s="160"/>
      <c r="AB1038" s="160"/>
      <c r="AC1038" s="160"/>
      <c r="AD1038" s="160">
        <f>IF($AD$902&gt;0,IPMT('Assumptions (Solar)'!$V$10,Model!W$1,'Assumptions (Solar)'!$V$13,'Assumptions (Solar)'!$V$8*Model!$AD$902*('Assumptions (Solar)'!$AB$20*'Assumptions (Solar)'!$AB$2+'Assumptions (Solar)'!$AB$21*'Assumptions (Solar)'!$AB$3)/10^9),0)</f>
        <v>-0.08273847269</v>
      </c>
      <c r="AE1038" s="160">
        <f>IF($AD$902&gt;0,IPMT('Assumptions (Solar)'!$V$10,Model!X$1,'Assumptions (Solar)'!$V$13,'Assumptions (Solar)'!$V$8*Model!$AD$902*('Assumptions (Solar)'!$AB$20*'Assumptions (Solar)'!$AB$2+'Assumptions (Solar)'!$AB$21*'Assumptions (Solar)'!$AB$3)/10^9),0)</f>
        <v>-0.07702707823</v>
      </c>
      <c r="AF1038" s="160">
        <f>IF($AD$902&gt;0,IPMT('Assumptions (Solar)'!$V$10,Model!Y$1,'Assumptions (Solar)'!$V$13,'Assumptions (Solar)'!$V$8*Model!$AD$902*('Assumptions (Solar)'!$AB$20*'Assumptions (Solar)'!$AB$2+'Assumptions (Solar)'!$AB$21*'Assumptions (Solar)'!$AB$3)/10^9),0)</f>
        <v>-0.0708587722</v>
      </c>
      <c r="AG1038" s="160">
        <f>IF($AD$902&gt;0,IPMT('Assumptions (Solar)'!$V$10,Model!Z$1,'Assumptions (Solar)'!$V$13,'Assumptions (Solar)'!$V$8*Model!$AD$902*('Assumptions (Solar)'!$AB$20*'Assumptions (Solar)'!$AB$2+'Assumptions (Solar)'!$AB$21*'Assumptions (Solar)'!$AB$3)/10^9),0)</f>
        <v>-0.0641970017</v>
      </c>
      <c r="AH1038" s="160">
        <f>IF($AD$902&gt;0,IPMT('Assumptions (Solar)'!$V$10,Model!AA$1,'Assumptions (Solar)'!$V$13,'Assumptions (Solar)'!$V$8*Model!$AD$902*('Assumptions (Solar)'!$AB$20*'Assumptions (Solar)'!$AB$2+'Assumptions (Solar)'!$AB$21*'Assumptions (Solar)'!$AB$3)/10^9),0)</f>
        <v>-0.05700228955</v>
      </c>
      <c r="AI1038" s="160">
        <f>IF($AD$902&gt;0,IPMT('Assumptions (Solar)'!$V$10,Model!AB$1,'Assumptions (Solar)'!$V$13,'Assumptions (Solar)'!$V$8*Model!$AD$902*('Assumptions (Solar)'!$AB$20*'Assumptions (Solar)'!$AB$2+'Assumptions (Solar)'!$AB$21*'Assumptions (Solar)'!$AB$3)/10^9),0)</f>
        <v>-0.04923200044</v>
      </c>
      <c r="AJ1038" s="160">
        <f>IF($AD$902&gt;0,IPMT('Assumptions (Solar)'!$V$10,Model!AC$1,'Assumptions (Solar)'!$V$13,'Assumptions (Solar)'!$V$8*Model!$AD$902*('Assumptions (Solar)'!$AB$20*'Assumptions (Solar)'!$AB$2+'Assumptions (Solar)'!$AB$21*'Assumptions (Solar)'!$AB$3)/10^9),0)</f>
        <v>-0.04084008819</v>
      </c>
      <c r="AK1038" s="160">
        <f>IF($AD$902&gt;0,IPMT('Assumptions (Solar)'!$V$10,Model!AD$1,'Assumptions (Solar)'!$V$13,'Assumptions (Solar)'!$V$8*Model!$AD$902*('Assumptions (Solar)'!$AB$20*'Assumptions (Solar)'!$AB$2+'Assumptions (Solar)'!$AB$21*'Assumptions (Solar)'!$AB$3)/10^9),0)</f>
        <v>-0.03177682297</v>
      </c>
      <c r="AL1038" s="160">
        <f>IF($AD$902&gt;0,IPMT('Assumptions (Solar)'!$V$10,Model!AE$1,'Assumptions (Solar)'!$V$13,'Assumptions (Solar)'!$V$8*Model!$AD$902*('Assumptions (Solar)'!$AB$20*'Assumptions (Solar)'!$AB$2+'Assumptions (Solar)'!$AB$21*'Assumptions (Solar)'!$AB$3)/10^9),0)</f>
        <v>-0.02198849652</v>
      </c>
      <c r="AM1038" s="160">
        <f>IF($AD$902&gt;0,IPMT('Assumptions (Solar)'!$V$10,Model!AF$1,'Assumptions (Solar)'!$V$13,'Assumptions (Solar)'!$V$8*Model!$AD$902*('Assumptions (Solar)'!$AB$20*'Assumptions (Solar)'!$AB$2+'Assumptions (Solar)'!$AB$21*'Assumptions (Solar)'!$AB$3)/10^9),0)</f>
        <v>-0.01141710396</v>
      </c>
      <c r="AN1038" s="160"/>
      <c r="AO1038" s="160"/>
      <c r="AP1038" s="160"/>
      <c r="AQ1038" s="160"/>
      <c r="AR1038" s="160"/>
      <c r="AS1038" s="160"/>
      <c r="AT1038" s="160"/>
      <c r="AU1038" s="160"/>
      <c r="AV1038" s="160"/>
      <c r="AW1038" s="160"/>
      <c r="AX1038" s="160"/>
      <c r="AY1038" s="160"/>
      <c r="AZ1038" s="160"/>
      <c r="BA1038" s="160"/>
      <c r="BB1038" s="160"/>
    </row>
    <row r="1039" ht="15.75" hidden="1" customHeight="1" outlineLevel="1">
      <c r="A1039" s="255"/>
      <c r="B1039" s="38"/>
      <c r="C1039" s="174"/>
      <c r="D1039" s="174"/>
      <c r="E1039" s="174"/>
      <c r="F1039" s="174"/>
      <c r="G1039" s="174"/>
      <c r="H1039" s="174"/>
      <c r="I1039" s="174"/>
      <c r="J1039" s="174"/>
      <c r="K1039" s="174"/>
      <c r="L1039" s="174"/>
      <c r="M1039" s="174"/>
      <c r="N1039" s="174"/>
      <c r="O1039" s="174"/>
      <c r="P1039" s="174"/>
      <c r="Q1039" s="174"/>
      <c r="R1039" s="174"/>
      <c r="S1039" s="174"/>
      <c r="T1039" s="174"/>
      <c r="U1039" s="174"/>
      <c r="V1039" s="174"/>
      <c r="W1039" s="160"/>
      <c r="X1039" s="160"/>
      <c r="Y1039" s="160"/>
      <c r="Z1039" s="160"/>
      <c r="AA1039" s="160"/>
      <c r="AB1039" s="160"/>
      <c r="AC1039" s="160"/>
      <c r="AD1039" s="160"/>
      <c r="AE1039" s="160">
        <f>IF($AE$902&gt;0,IPMT('Assumptions (Solar)'!$V$10,Model!W$1,'Assumptions (Solar)'!$V$13,'Assumptions (Solar)'!$V$8*Model!$AE$902*('Assumptions (Solar)'!$AC$20*'Assumptions (Solar)'!$AC$2+'Assumptions (Solar)'!$AC$21*'Assumptions (Solar)'!$AC$3)/10^9),0)</f>
        <v>-0.08022799093</v>
      </c>
      <c r="AF1039" s="160">
        <f>IF($AE$902&gt;0,IPMT('Assumptions (Solar)'!$V$10,Model!X$1,'Assumptions (Solar)'!$V$13,'Assumptions (Solar)'!$V$8*Model!$AE$902*('Assumptions (Solar)'!$AC$20*'Assumptions (Solar)'!$AC$2+'Assumptions (Solar)'!$AC$21*'Assumptions (Solar)'!$AC$3)/10^9),0)</f>
        <v>-0.07468989374</v>
      </c>
      <c r="AG1039" s="160">
        <f>IF($AE$902&gt;0,IPMT('Assumptions (Solar)'!$V$10,Model!Y$1,'Assumptions (Solar)'!$V$13,'Assumptions (Solar)'!$V$8*Model!$AE$902*('Assumptions (Solar)'!$AC$20*'Assumptions (Solar)'!$AC$2+'Assumptions (Solar)'!$AC$21*'Assumptions (Solar)'!$AC$3)/10^9),0)</f>
        <v>-0.06870874877</v>
      </c>
      <c r="AH1039" s="160">
        <f>IF($AE$902&gt;0,IPMT('Assumptions (Solar)'!$V$10,Model!Z$1,'Assumptions (Solar)'!$V$13,'Assumptions (Solar)'!$V$8*Model!$AE$902*('Assumptions (Solar)'!$AC$20*'Assumptions (Solar)'!$AC$2+'Assumptions (Solar)'!$AC$21*'Assumptions (Solar)'!$AC$3)/10^9),0)</f>
        <v>-0.0622491122</v>
      </c>
      <c r="AI1039" s="160">
        <f>IF($AE$902&gt;0,IPMT('Assumptions (Solar)'!$V$10,Model!AA$1,'Assumptions (Solar)'!$V$13,'Assumptions (Solar)'!$V$8*Model!$AE$902*('Assumptions (Solar)'!$AC$20*'Assumptions (Solar)'!$AC$2+'Assumptions (Solar)'!$AC$21*'Assumptions (Solar)'!$AC$3)/10^9),0)</f>
        <v>-0.05527270471</v>
      </c>
      <c r="AJ1039" s="160">
        <f>IF($AE$902&gt;0,IPMT('Assumptions (Solar)'!$V$10,Model!AB$1,'Assumptions (Solar)'!$V$13,'Assumptions (Solar)'!$V$8*Model!$AE$902*('Assumptions (Solar)'!$AC$20*'Assumptions (Solar)'!$AC$2+'Assumptions (Solar)'!$AC$21*'Assumptions (Solar)'!$AC$3)/10^9),0)</f>
        <v>-0.04773818462</v>
      </c>
      <c r="AK1039" s="160">
        <f>IF($AE$902&gt;0,IPMT('Assumptions (Solar)'!$V$10,Model!AC$1,'Assumptions (Solar)'!$V$13,'Assumptions (Solar)'!$V$8*Model!$AE$902*('Assumptions (Solar)'!$AC$20*'Assumptions (Solar)'!$AC$2+'Assumptions (Solar)'!$AC$21*'Assumptions (Solar)'!$AC$3)/10^9),0)</f>
        <v>-0.03960090292</v>
      </c>
      <c r="AL1039" s="160">
        <f>IF($AE$902&gt;0,IPMT('Assumptions (Solar)'!$V$10,Model!AD$1,'Assumptions (Solar)'!$V$13,'Assumptions (Solar)'!$V$8*Model!$AE$902*('Assumptions (Solar)'!$AC$20*'Assumptions (Solar)'!$AC$2+'Assumptions (Solar)'!$AC$21*'Assumptions (Solar)'!$AC$3)/10^9),0)</f>
        <v>-0.03081263869</v>
      </c>
      <c r="AM1039" s="160">
        <f>IF($AE$902&gt;0,IPMT('Assumptions (Solar)'!$V$10,Model!AE$1,'Assumptions (Solar)'!$V$13,'Assumptions (Solar)'!$V$8*Model!$AE$902*('Assumptions (Solar)'!$AC$20*'Assumptions (Solar)'!$AC$2+'Assumptions (Solar)'!$AC$21*'Assumptions (Solar)'!$AC$3)/10^9),0)</f>
        <v>-0.02132131332</v>
      </c>
      <c r="AN1039" s="160">
        <f>IF($AE$902&gt;0,IPMT('Assumptions (Solar)'!$V$10,Model!AF$1,'Assumptions (Solar)'!$V$13,'Assumptions (Solar)'!$V$8*Model!$AE$902*('Assumptions (Solar)'!$AC$20*'Assumptions (Solar)'!$AC$2+'Assumptions (Solar)'!$AC$21*'Assumptions (Solar)'!$AC$3)/10^9),0)</f>
        <v>-0.01107068191</v>
      </c>
      <c r="AO1039" s="160"/>
      <c r="AP1039" s="160"/>
      <c r="AQ1039" s="160"/>
      <c r="AR1039" s="160"/>
      <c r="AS1039" s="160"/>
      <c r="AT1039" s="160"/>
      <c r="AU1039" s="160"/>
      <c r="AV1039" s="160"/>
      <c r="AW1039" s="160"/>
      <c r="AX1039" s="160"/>
      <c r="AY1039" s="160"/>
      <c r="AZ1039" s="160"/>
      <c r="BA1039" s="160"/>
      <c r="BB1039" s="160"/>
      <c r="BC1039" s="160"/>
    </row>
    <row r="1040" ht="15.75" hidden="1" customHeight="1" outlineLevel="1">
      <c r="A1040" s="255"/>
      <c r="B1040" s="38"/>
      <c r="C1040" s="174"/>
      <c r="D1040" s="174"/>
      <c r="E1040" s="174"/>
      <c r="F1040" s="174"/>
      <c r="G1040" s="174"/>
      <c r="H1040" s="174"/>
      <c r="I1040" s="174"/>
      <c r="J1040" s="174"/>
      <c r="K1040" s="174"/>
      <c r="L1040" s="174"/>
      <c r="M1040" s="174"/>
      <c r="N1040" s="174"/>
      <c r="O1040" s="174"/>
      <c r="P1040" s="174"/>
      <c r="Q1040" s="174"/>
      <c r="R1040" s="174"/>
      <c r="S1040" s="174"/>
      <c r="T1040" s="174"/>
      <c r="U1040" s="174"/>
      <c r="V1040" s="174"/>
      <c r="W1040" s="160"/>
      <c r="X1040" s="160"/>
      <c r="Y1040" s="160"/>
      <c r="Z1040" s="160"/>
      <c r="AA1040" s="160"/>
      <c r="AB1040" s="160"/>
      <c r="AC1040" s="160"/>
      <c r="AD1040" s="160"/>
      <c r="AE1040" s="160"/>
      <c r="AF1040" s="160">
        <f>IF($AF$902&gt;0,IPMT('Assumptions (Solar)'!$V$10,Model!W$1,'Assumptions (Solar)'!$V$13,'Assumptions (Solar)'!$V$8*Model!$AF$902*('Assumptions (Solar)'!$AD$20*'Assumptions (Solar)'!$AD$2+'Assumptions (Solar)'!$AD$21*'Assumptions (Solar)'!$AD$3)/10^9),0)</f>
        <v>-0.07750561227</v>
      </c>
      <c r="AG1040" s="160">
        <f>IF($AF$902&gt;0,IPMT('Assumptions (Solar)'!$V$10,Model!X$1,'Assumptions (Solar)'!$V$13,'Assumptions (Solar)'!$V$8*Model!$AF$902*('Assumptions (Solar)'!$AD$20*'Assumptions (Solar)'!$AD$2+'Assumptions (Solar)'!$AD$21*'Assumptions (Solar)'!$AD$3)/10^9),0)</f>
        <v>-0.07215543948</v>
      </c>
      <c r="AH1040" s="160">
        <f>IF($AF$902&gt;0,IPMT('Assumptions (Solar)'!$V$10,Model!Y$1,'Assumptions (Solar)'!$V$13,'Assumptions (Solar)'!$V$8*Model!$AF$902*('Assumptions (Solar)'!$AD$20*'Assumptions (Solar)'!$AD$2+'Assumptions (Solar)'!$AD$21*'Assumptions (Solar)'!$AD$3)/10^9),0)</f>
        <v>-0.06637725287</v>
      </c>
      <c r="AI1040" s="160">
        <f>IF($AF$902&gt;0,IPMT('Assumptions (Solar)'!$V$10,Model!Z$1,'Assumptions (Solar)'!$V$13,'Assumptions (Solar)'!$V$8*Model!$AF$902*('Assumptions (Solar)'!$AD$20*'Assumptions (Solar)'!$AD$2+'Assumptions (Solar)'!$AD$21*'Assumptions (Solar)'!$AD$3)/10^9),0)</f>
        <v>-0.06013681134</v>
      </c>
      <c r="AJ1040" s="160">
        <f>IF($AF$902&gt;0,IPMT('Assumptions (Solar)'!$V$10,Model!AA$1,'Assumptions (Solar)'!$V$13,'Assumptions (Solar)'!$V$8*Model!$AF$902*('Assumptions (Solar)'!$AD$20*'Assumptions (Solar)'!$AD$2+'Assumptions (Solar)'!$AD$21*'Assumptions (Solar)'!$AD$3)/10^9),0)</f>
        <v>-0.05339713448</v>
      </c>
      <c r="AK1040" s="160">
        <f>IF($AF$902&gt;0,IPMT('Assumptions (Solar)'!$V$10,Model!AB$1,'Assumptions (Solar)'!$V$13,'Assumptions (Solar)'!$V$8*Model!$AF$902*('Assumptions (Solar)'!$AD$20*'Assumptions (Solar)'!$AD$2+'Assumptions (Solar)'!$AD$21*'Assumptions (Solar)'!$AD$3)/10^9),0)</f>
        <v>-0.04611828347</v>
      </c>
      <c r="AL1040" s="160">
        <f>IF($AF$902&gt;0,IPMT('Assumptions (Solar)'!$V$10,Model!AC$1,'Assumptions (Solar)'!$V$13,'Assumptions (Solar)'!$V$8*Model!$AF$902*('Assumptions (Solar)'!$AD$20*'Assumptions (Solar)'!$AD$2+'Assumptions (Solar)'!$AD$21*'Assumptions (Solar)'!$AD$3)/10^9),0)</f>
        <v>-0.03825712438</v>
      </c>
      <c r="AM1040" s="160">
        <f>IF($AF$902&gt;0,IPMT('Assumptions (Solar)'!$V$10,Model!AD$1,'Assumptions (Solar)'!$V$13,'Assumptions (Solar)'!$V$8*Model!$AF$902*('Assumptions (Solar)'!$AD$20*'Assumptions (Solar)'!$AD$2+'Assumptions (Solar)'!$AD$21*'Assumptions (Solar)'!$AD$3)/10^9),0)</f>
        <v>-0.02976707256</v>
      </c>
      <c r="AN1040" s="160">
        <f>IF($AF$902&gt;0,IPMT('Assumptions (Solar)'!$V$10,Model!AE$1,'Assumptions (Solar)'!$V$13,'Assumptions (Solar)'!$V$8*Model!$AF$902*('Assumptions (Solar)'!$AD$20*'Assumptions (Solar)'!$AD$2+'Assumptions (Solar)'!$AD$21*'Assumptions (Solar)'!$AD$3)/10^9),0)</f>
        <v>-0.0205978166</v>
      </c>
      <c r="AO1040" s="160">
        <f>IF($AF$902&gt;0,IPMT('Assumptions (Solar)'!$V$10,Model!AF$1,'Assumptions (Solar)'!$V$13,'Assumptions (Solar)'!$V$8*Model!$AF$902*('Assumptions (Solar)'!$AD$20*'Assumptions (Solar)'!$AD$2+'Assumptions (Solar)'!$AD$21*'Assumptions (Solar)'!$AD$3)/10^9),0)</f>
        <v>-0.01069502016</v>
      </c>
      <c r="AP1040" s="160"/>
      <c r="AQ1040" s="160"/>
      <c r="AR1040" s="160"/>
      <c r="AS1040" s="160"/>
      <c r="AT1040" s="160"/>
      <c r="AU1040" s="160"/>
      <c r="AV1040" s="160"/>
      <c r="AW1040" s="160"/>
      <c r="AX1040" s="160"/>
      <c r="AY1040" s="160"/>
      <c r="AZ1040" s="160"/>
      <c r="BA1040" s="160"/>
      <c r="BB1040" s="160"/>
      <c r="BC1040" s="160"/>
      <c r="BD1040" s="160"/>
    </row>
    <row r="1041" ht="15.75" hidden="1" customHeight="1" outlineLevel="1">
      <c r="A1041" s="255"/>
      <c r="B1041" s="38"/>
      <c r="C1041" s="174"/>
      <c r="D1041" s="174"/>
      <c r="E1041" s="174"/>
      <c r="F1041" s="174"/>
      <c r="G1041" s="174"/>
      <c r="H1041" s="174"/>
      <c r="I1041" s="174"/>
      <c r="J1041" s="174"/>
      <c r="K1041" s="174"/>
      <c r="L1041" s="174"/>
      <c r="M1041" s="174"/>
      <c r="N1041" s="174"/>
      <c r="O1041" s="174"/>
      <c r="P1041" s="174"/>
      <c r="Q1041" s="174"/>
      <c r="R1041" s="174"/>
      <c r="S1041" s="174"/>
      <c r="T1041" s="174"/>
      <c r="U1041" s="174"/>
      <c r="V1041" s="174"/>
      <c r="W1041" s="160"/>
      <c r="X1041" s="160"/>
      <c r="Y1041" s="160"/>
      <c r="Z1041" s="160"/>
      <c r="AA1041" s="160"/>
      <c r="AB1041" s="160"/>
      <c r="AC1041" s="160"/>
      <c r="AD1041" s="160"/>
      <c r="AE1041" s="160"/>
      <c r="AF1041" s="160"/>
      <c r="AG1041" s="160">
        <f>IF($AG$902&gt;0,IPMT('Assumptions (Solar)'!$V$10,Model!W$1,'Assumptions (Solar)'!$V$13,'Assumptions (Solar)'!$V$8*Model!$AG$902*('Assumptions (Solar)'!$AE$20*'Assumptions (Solar)'!$AE$2+'Assumptions (Solar)'!$AE$21*'Assumptions (Solar)'!$AE$3)/10^9),0)</f>
        <v>-0.07464647719</v>
      </c>
      <c r="AH1041" s="160">
        <f>IF($AG$902&gt;0,IPMT('Assumptions (Solar)'!$V$10,Model!X$1,'Assumptions (Solar)'!$V$13,'Assumptions (Solar)'!$V$8*Model!$AG$902*('Assumptions (Solar)'!$AE$20*'Assumptions (Solar)'!$AE$2+'Assumptions (Solar)'!$AE$21*'Assumptions (Solar)'!$AE$3)/10^9),0)</f>
        <v>-0.06949366904</v>
      </c>
      <c r="AI1041" s="160">
        <f>IF($AG$902&gt;0,IPMT('Assumptions (Solar)'!$V$10,Model!Y$1,'Assumptions (Solar)'!$V$13,'Assumptions (Solar)'!$V$8*Model!$AG$902*('Assumptions (Solar)'!$AE$20*'Assumptions (Solar)'!$AE$2+'Assumptions (Solar)'!$AE$21*'Assumptions (Solar)'!$AE$3)/10^9),0)</f>
        <v>-0.06392863623</v>
      </c>
      <c r="AJ1041" s="160">
        <f>IF($AG$902&gt;0,IPMT('Assumptions (Solar)'!$V$10,Model!Z$1,'Assumptions (Solar)'!$V$13,'Assumptions (Solar)'!$V$8*Model!$AG$902*('Assumptions (Solar)'!$AE$20*'Assumptions (Solar)'!$AE$2+'Assumptions (Solar)'!$AE$21*'Assumptions (Solar)'!$AE$3)/10^9),0)</f>
        <v>-0.0579184008</v>
      </c>
      <c r="AK1041" s="160">
        <f>IF($AG$902&gt;0,IPMT('Assumptions (Solar)'!$V$10,Model!AA$1,'Assumptions (Solar)'!$V$13,'Assumptions (Solar)'!$V$8*Model!$AG$902*('Assumptions (Solar)'!$AE$20*'Assumptions (Solar)'!$AE$2+'Assumptions (Solar)'!$AE$21*'Assumptions (Solar)'!$AE$3)/10^9),0)</f>
        <v>-0.05142734654</v>
      </c>
      <c r="AL1041" s="160">
        <f>IF($AG$902&gt;0,IPMT('Assumptions (Solar)'!$V$10,Model!AB$1,'Assumptions (Solar)'!$V$13,'Assumptions (Solar)'!$V$8*Model!$AG$902*('Assumptions (Solar)'!$AE$20*'Assumptions (Solar)'!$AE$2+'Assumptions (Solar)'!$AE$21*'Assumptions (Solar)'!$AE$3)/10^9),0)</f>
        <v>-0.04441700793</v>
      </c>
      <c r="AM1041" s="160">
        <f>IF($AG$902&gt;0,IPMT('Assumptions (Solar)'!$V$10,Model!AC$1,'Assumptions (Solar)'!$V$13,'Assumptions (Solar)'!$V$8*Model!$AG$902*('Assumptions (Solar)'!$AE$20*'Assumptions (Solar)'!$AE$2+'Assumptions (Solar)'!$AE$21*'Assumptions (Solar)'!$AE$3)/10^9),0)</f>
        <v>-0.03684584224</v>
      </c>
      <c r="AN1041" s="160">
        <f>IF($AG$902&gt;0,IPMT('Assumptions (Solar)'!$V$10,Model!AD$1,'Assumptions (Solar)'!$V$13,'Assumptions (Solar)'!$V$8*Model!$AG$902*('Assumptions (Solar)'!$AE$20*'Assumptions (Solar)'!$AE$2+'Assumptions (Solar)'!$AE$21*'Assumptions (Solar)'!$AE$3)/10^9),0)</f>
        <v>-0.02866898329</v>
      </c>
      <c r="AO1041" s="160">
        <f>IF($AG$902&gt;0,IPMT('Assumptions (Solar)'!$V$10,Model!AE$1,'Assumptions (Solar)'!$V$13,'Assumptions (Solar)'!$V$8*Model!$AG$902*('Assumptions (Solar)'!$AE$20*'Assumptions (Solar)'!$AE$2+'Assumptions (Solar)'!$AE$21*'Assumptions (Solar)'!$AE$3)/10^9),0)</f>
        <v>-0.01983797562</v>
      </c>
      <c r="AP1041" s="160">
        <f>IF($AG$902&gt;0,IPMT('Assumptions (Solar)'!$V$10,Model!AF$1,'Assumptions (Solar)'!$V$13,'Assumptions (Solar)'!$V$8*Model!$AG$902*('Assumptions (Solar)'!$AE$20*'Assumptions (Solar)'!$AE$2+'Assumptions (Solar)'!$AE$21*'Assumptions (Solar)'!$AE$3)/10^9),0)</f>
        <v>-0.01030048734</v>
      </c>
      <c r="AQ1041" s="160"/>
      <c r="AR1041" s="160"/>
      <c r="AS1041" s="160"/>
      <c r="AT1041" s="160"/>
      <c r="AU1041" s="160"/>
      <c r="AV1041" s="160"/>
      <c r="AW1041" s="160"/>
      <c r="AX1041" s="160"/>
      <c r="AY1041" s="160"/>
      <c r="AZ1041" s="160"/>
      <c r="BA1041" s="160"/>
      <c r="BB1041" s="160"/>
      <c r="BC1041" s="160"/>
      <c r="BD1041" s="160"/>
      <c r="BE1041" s="160"/>
    </row>
    <row r="1042" ht="15.75" hidden="1" customHeight="1" outlineLevel="1">
      <c r="A1042" s="255"/>
      <c r="B1042" s="38"/>
      <c r="C1042" s="174"/>
      <c r="D1042" s="174"/>
      <c r="E1042" s="174"/>
      <c r="F1042" s="174"/>
      <c r="G1042" s="174"/>
      <c r="H1042" s="174"/>
      <c r="I1042" s="174"/>
      <c r="J1042" s="174"/>
      <c r="K1042" s="174"/>
      <c r="L1042" s="174"/>
      <c r="M1042" s="174"/>
      <c r="N1042" s="174"/>
      <c r="O1042" s="174"/>
      <c r="P1042" s="174"/>
      <c r="Q1042" s="174"/>
      <c r="R1042" s="174"/>
      <c r="S1042" s="174"/>
      <c r="T1042" s="174"/>
      <c r="U1042" s="174"/>
      <c r="V1042" s="174"/>
      <c r="W1042" s="160"/>
      <c r="X1042" s="160"/>
      <c r="Y1042" s="160"/>
      <c r="Z1042" s="160"/>
      <c r="AA1042" s="160"/>
      <c r="AB1042" s="160"/>
      <c r="AC1042" s="160"/>
      <c r="AD1042" s="160"/>
      <c r="AE1042" s="160"/>
      <c r="AF1042" s="160"/>
      <c r="AG1042" s="160"/>
      <c r="AH1042" s="160">
        <f>IF($AH$902&gt;0,IPMT('Assumptions (Solar)'!$V$10,Model!W$1,'Assumptions (Solar)'!$V$13,'Assumptions (Solar)'!$V$8*Model!$AH$902*('Assumptions (Solar)'!$AF$20*'Assumptions (Solar)'!$AF$2+'Assumptions (Solar)'!$AF$21*'Assumptions (Solar)'!$AF$3)/10^9),0)</f>
        <v>-0.07164628589</v>
      </c>
      <c r="AI1042" s="160">
        <f>IF($AH$902&gt;0,IPMT('Assumptions (Solar)'!$V$10,Model!X$1,'Assumptions (Solar)'!$V$13,'Assumptions (Solar)'!$V$8*Model!$AH$902*('Assumptions (Solar)'!$AF$20*'Assumptions (Solar)'!$AF$2+'Assumptions (Solar)'!$AF$21*'Assumptions (Solar)'!$AF$3)/10^9),0)</f>
        <v>-0.06670057941</v>
      </c>
      <c r="AJ1042" s="160">
        <f>IF($AH$902&gt;0,IPMT('Assumptions (Solar)'!$V$10,Model!Y$1,'Assumptions (Solar)'!$V$13,'Assumptions (Solar)'!$V$8*Model!$AH$902*('Assumptions (Solar)'!$AF$20*'Assumptions (Solar)'!$AF$2+'Assumptions (Solar)'!$AF$21*'Assumptions (Solar)'!$AF$3)/10^9),0)</f>
        <v>-0.06135921641</v>
      </c>
      <c r="AK1042" s="160">
        <f>IF($AH$902&gt;0,IPMT('Assumptions (Solar)'!$V$10,Model!Z$1,'Assumptions (Solar)'!$V$13,'Assumptions (Solar)'!$V$8*Model!$AH$902*('Assumptions (Solar)'!$AF$20*'Assumptions (Solar)'!$AF$2+'Assumptions (Solar)'!$AF$21*'Assumptions (Solar)'!$AF$3)/10^9),0)</f>
        <v>-0.05559054436</v>
      </c>
      <c r="AL1042" s="160">
        <f>IF($AH$902&gt;0,IPMT('Assumptions (Solar)'!$V$10,Model!AA$1,'Assumptions (Solar)'!$V$13,'Assumptions (Solar)'!$V$8*Model!$AH$902*('Assumptions (Solar)'!$AF$20*'Assumptions (Solar)'!$AF$2+'Assumptions (Solar)'!$AF$21*'Assumptions (Solar)'!$AF$3)/10^9),0)</f>
        <v>-0.04936037856</v>
      </c>
      <c r="AM1042" s="160">
        <f>IF($AH$902&gt;0,IPMT('Assumptions (Solar)'!$V$10,Model!AB$1,'Assumptions (Solar)'!$V$13,'Assumptions (Solar)'!$V$8*Model!$AH$902*('Assumptions (Solar)'!$AF$20*'Assumptions (Solar)'!$AF$2+'Assumptions (Solar)'!$AF$21*'Assumptions (Solar)'!$AF$3)/10^9),0)</f>
        <v>-0.04263179949</v>
      </c>
      <c r="AN1042" s="160">
        <f>IF($AH$902&gt;0,IPMT('Assumptions (Solar)'!$V$10,Model!AC$1,'Assumptions (Solar)'!$V$13,'Assumptions (Solar)'!$V$8*Model!$AH$902*('Assumptions (Solar)'!$AF$20*'Assumptions (Solar)'!$AF$2+'Assumptions (Solar)'!$AF$21*'Assumptions (Solar)'!$AF$3)/10^9),0)</f>
        <v>-0.0353649341</v>
      </c>
      <c r="AO1042" s="160">
        <f>IF($AH$902&gt;0,IPMT('Assumptions (Solar)'!$V$10,Model!AD$1,'Assumptions (Solar)'!$V$13,'Assumptions (Solar)'!$V$8*Model!$AH$902*('Assumptions (Solar)'!$AF$20*'Assumptions (Solar)'!$AF$2+'Assumptions (Solar)'!$AF$21*'Assumptions (Solar)'!$AF$3)/10^9),0)</f>
        <v>-0.02751671947</v>
      </c>
      <c r="AP1042" s="160">
        <f>IF($AH$902&gt;0,IPMT('Assumptions (Solar)'!$V$10,Model!AE$1,'Assumptions (Solar)'!$V$13,'Assumptions (Solar)'!$V$8*Model!$AH$902*('Assumptions (Solar)'!$AF$20*'Assumptions (Solar)'!$AF$2+'Assumptions (Solar)'!$AF$21*'Assumptions (Solar)'!$AF$3)/10^9),0)</f>
        <v>-0.01904064768</v>
      </c>
      <c r="AQ1042" s="160">
        <f>IF($AH$902&gt;0,IPMT('Assumptions (Solar)'!$V$10,Model!AF$1,'Assumptions (Solar)'!$V$13,'Assumptions (Solar)'!$V$8*Model!$AH$902*('Assumptions (Solar)'!$AF$20*'Assumptions (Solar)'!$AF$2+'Assumptions (Solar)'!$AF$21*'Assumptions (Solar)'!$AF$3)/10^9),0)</f>
        <v>-0.009886490142</v>
      </c>
      <c r="AR1042" s="160"/>
      <c r="AS1042" s="160"/>
      <c r="AT1042" s="160"/>
      <c r="AU1042" s="160"/>
      <c r="AV1042" s="160"/>
      <c r="AW1042" s="160"/>
      <c r="AX1042" s="160"/>
      <c r="AY1042" s="160"/>
      <c r="AZ1042" s="160"/>
      <c r="BA1042" s="160"/>
      <c r="BB1042" s="160"/>
      <c r="BC1042" s="160"/>
      <c r="BD1042" s="160"/>
      <c r="BE1042" s="160"/>
      <c r="BF1042" s="160"/>
    </row>
    <row r="1043" ht="15.75" hidden="1" customHeight="1" outlineLevel="1">
      <c r="A1043" s="255"/>
      <c r="B1043" s="38"/>
      <c r="C1043" s="174"/>
      <c r="D1043" s="174"/>
      <c r="E1043" s="174"/>
      <c r="F1043" s="174"/>
      <c r="G1043" s="174"/>
      <c r="H1043" s="174"/>
      <c r="I1043" s="174"/>
      <c r="J1043" s="174"/>
      <c r="K1043" s="174"/>
      <c r="L1043" s="174"/>
      <c r="M1043" s="174"/>
      <c r="N1043" s="174"/>
      <c r="O1043" s="174"/>
      <c r="P1043" s="174"/>
      <c r="Q1043" s="174"/>
      <c r="R1043" s="174"/>
      <c r="S1043" s="174"/>
      <c r="T1043" s="174"/>
      <c r="U1043" s="174"/>
      <c r="V1043" s="174"/>
      <c r="W1043" s="160"/>
      <c r="X1043" s="160"/>
      <c r="Y1043" s="160"/>
      <c r="Z1043" s="160"/>
      <c r="AA1043" s="160"/>
      <c r="AB1043" s="160"/>
      <c r="AC1043" s="160"/>
      <c r="AD1043" s="160"/>
      <c r="AE1043" s="160"/>
      <c r="AF1043" s="160"/>
      <c r="AG1043" s="160"/>
      <c r="AH1043" s="160"/>
      <c r="AI1043" s="160">
        <f>IF($AI$902&gt;0,IPMT('Assumptions (Solar)'!$V$10,Model!W$1,'Assumptions (Solar)'!$V$13,'Assumptions (Solar)'!$V$8*Model!$AI$902*('Assumptions (Solar)'!$AG$20*'Assumptions (Solar)'!$AG$2+'Assumptions (Solar)'!$AG$21*'Assumptions (Solar)'!$AG$3)/10^9),0)</f>
        <v>-0.07243241876</v>
      </c>
      <c r="AJ1043" s="160">
        <f>IF($AI$902&gt;0,IPMT('Assumptions (Solar)'!$V$10,Model!X$1,'Assumptions (Solar)'!$V$13,'Assumptions (Solar)'!$V$8*Model!$AI$902*('Assumptions (Solar)'!$AG$20*'Assumptions (Solar)'!$AG$2+'Assumptions (Solar)'!$AG$21*'Assumptions (Solar)'!$AG$3)/10^9),0)</f>
        <v>-0.06743244593</v>
      </c>
      <c r="AK1043" s="160">
        <f>IF($AI$902&gt;0,IPMT('Assumptions (Solar)'!$V$10,Model!Y$1,'Assumptions (Solar)'!$V$13,'Assumptions (Solar)'!$V$8*Model!$AI$902*('Assumptions (Solar)'!$AG$20*'Assumptions (Solar)'!$AG$2+'Assumptions (Solar)'!$AG$21*'Assumptions (Solar)'!$AG$3)/10^9),0)</f>
        <v>-0.06203247527</v>
      </c>
      <c r="AL1043" s="160">
        <f>IF($AI$902&gt;0,IPMT('Assumptions (Solar)'!$V$10,Model!Z$1,'Assumptions (Solar)'!$V$13,'Assumptions (Solar)'!$V$8*Model!$AI$902*('Assumptions (Solar)'!$AG$20*'Assumptions (Solar)'!$AG$2+'Assumptions (Solar)'!$AG$21*'Assumptions (Solar)'!$AG$3)/10^9),0)</f>
        <v>-0.05620050696</v>
      </c>
      <c r="AM1043" s="160">
        <f>IF($AI$902&gt;0,IPMT('Assumptions (Solar)'!$V$10,Model!AA$1,'Assumptions (Solar)'!$V$13,'Assumptions (Solar)'!$V$8*Model!$AI$902*('Assumptions (Solar)'!$AG$20*'Assumptions (Solar)'!$AG$2+'Assumptions (Solar)'!$AG$21*'Assumptions (Solar)'!$AG$3)/10^9),0)</f>
        <v>-0.04990198118</v>
      </c>
      <c r="AN1043" s="160">
        <f>IF($AI$902&gt;0,IPMT('Assumptions (Solar)'!$V$10,Model!AB$1,'Assumptions (Solar)'!$V$13,'Assumptions (Solar)'!$V$8*Model!$AI$902*('Assumptions (Solar)'!$AG$20*'Assumptions (Solar)'!$AG$2+'Assumptions (Solar)'!$AG$21*'Assumptions (Solar)'!$AG$3)/10^9),0)</f>
        <v>-0.04309957335</v>
      </c>
      <c r="AO1043" s="160">
        <f>IF($AI$902&gt;0,IPMT('Assumptions (Solar)'!$V$10,Model!AC$1,'Assumptions (Solar)'!$V$13,'Assumptions (Solar)'!$V$8*Model!$AI$902*('Assumptions (Solar)'!$AG$20*'Assumptions (Solar)'!$AG$2+'Assumptions (Solar)'!$AG$21*'Assumptions (Solar)'!$AG$3)/10^9),0)</f>
        <v>-0.03575297288</v>
      </c>
      <c r="AP1043" s="160">
        <f>IF($AI$902&gt;0,IPMT('Assumptions (Solar)'!$V$10,Model!AD$1,'Assumptions (Solar)'!$V$13,'Assumptions (Solar)'!$V$8*Model!$AI$902*('Assumptions (Solar)'!$AG$20*'Assumptions (Solar)'!$AG$2+'Assumptions (Solar)'!$AG$21*'Assumptions (Solar)'!$AG$3)/10^9),0)</f>
        <v>-0.02781864438</v>
      </c>
      <c r="AQ1043" s="160">
        <f>IF($AI$902&gt;0,IPMT('Assumptions (Solar)'!$V$10,Model!AE$1,'Assumptions (Solar)'!$V$13,'Assumptions (Solar)'!$V$8*Model!$AI$902*('Assumptions (Solar)'!$AG$20*'Assumptions (Solar)'!$AG$2+'Assumptions (Solar)'!$AG$21*'Assumptions (Solar)'!$AG$3)/10^9),0)</f>
        <v>-0.01924956959</v>
      </c>
      <c r="AR1043" s="160">
        <f>IF($AI$902&gt;0,IPMT('Assumptions (Solar)'!$V$10,Model!AF$1,'Assumptions (Solar)'!$V$13,'Assumptions (Solar)'!$V$8*Model!$AI$902*('Assumptions (Solar)'!$AG$20*'Assumptions (Solar)'!$AG$2+'Assumptions (Solar)'!$AG$21*'Assumptions (Solar)'!$AG$3)/10^9),0)</f>
        <v>-0.009994968827</v>
      </c>
      <c r="AS1043" s="160"/>
      <c r="AT1043" s="160"/>
      <c r="AU1043" s="160"/>
      <c r="AV1043" s="160"/>
      <c r="AW1043" s="160"/>
      <c r="AX1043" s="160"/>
      <c r="AY1043" s="160"/>
      <c r="AZ1043" s="160"/>
      <c r="BA1043" s="160"/>
      <c r="BB1043" s="160"/>
      <c r="BC1043" s="160"/>
      <c r="BD1043" s="160"/>
      <c r="BE1043" s="160"/>
      <c r="BF1043" s="160"/>
      <c r="BG1043" s="160"/>
    </row>
    <row r="1044" ht="15.75" hidden="1" customHeight="1" outlineLevel="1">
      <c r="A1044" s="255"/>
      <c r="B1044" s="38"/>
      <c r="C1044" s="174"/>
      <c r="D1044" s="174"/>
      <c r="E1044" s="174"/>
      <c r="F1044" s="174"/>
      <c r="G1044" s="174"/>
      <c r="H1044" s="174"/>
      <c r="I1044" s="174"/>
      <c r="J1044" s="174"/>
      <c r="K1044" s="174"/>
      <c r="L1044" s="174"/>
      <c r="M1044" s="174"/>
      <c r="N1044" s="174"/>
      <c r="O1044" s="174"/>
      <c r="P1044" s="174"/>
      <c r="Q1044" s="174"/>
      <c r="R1044" s="174"/>
      <c r="S1044" s="174"/>
      <c r="T1044" s="174"/>
      <c r="U1044" s="174"/>
      <c r="V1044" s="174"/>
      <c r="W1044" s="160"/>
      <c r="X1044" s="160"/>
      <c r="Y1044" s="160"/>
      <c r="Z1044" s="160"/>
      <c r="AA1044" s="160"/>
      <c r="AB1044" s="160"/>
      <c r="AC1044" s="160"/>
      <c r="AD1044" s="160"/>
      <c r="AE1044" s="160"/>
      <c r="AF1044" s="160"/>
      <c r="AG1044" s="160"/>
      <c r="AH1044" s="160"/>
      <c r="AI1044" s="160"/>
      <c r="AJ1044" s="177">
        <f>IF($AJ$902&gt;0,IPMT('Assumptions (Solar)'!$V$10,Model!W$1,'Assumptions (Solar)'!$V$13,'Assumptions (Solar)'!$V$8*Model!$AJ$902*('Assumptions (Solar)'!$AH$20*'Assumptions (Solar)'!$AH$2+'Assumptions (Solar)'!$AH$21*'Assumptions (Solar)'!$AH$3)/10^9),0)</f>
        <v>-0.07322195635</v>
      </c>
      <c r="AK1044" s="177">
        <f>IF($AJ$902&gt;0,IPMT('Assumptions (Solar)'!$V$10,Model!X$1,'Assumptions (Solar)'!$V$13,'Assumptions (Solar)'!$V$8*Model!$AJ$902*('Assumptions (Solar)'!$AH$20*'Assumptions (Solar)'!$AH$2+'Assumptions (Solar)'!$AH$21*'Assumptions (Solar)'!$AH$3)/10^9),0)</f>
        <v>-0.06816748214</v>
      </c>
      <c r="AL1044" s="177">
        <f>IF($AJ$902&gt;0,IPMT('Assumptions (Solar)'!$V$10,Model!Y$1,'Assumptions (Solar)'!$V$13,'Assumptions (Solar)'!$V$8*Model!$AJ$902*('Assumptions (Solar)'!$AH$20*'Assumptions (Solar)'!$AH$2+'Assumptions (Solar)'!$AH$21*'Assumptions (Solar)'!$AH$3)/10^9),0)</f>
        <v>-0.06270865</v>
      </c>
      <c r="AM1044" s="177">
        <f>IF($AJ$902&gt;0,IPMT('Assumptions (Solar)'!$V$10,Model!Z$1,'Assumptions (Solar)'!$V$13,'Assumptions (Solar)'!$V$8*Model!$AJ$902*('Assumptions (Solar)'!$AH$20*'Assumptions (Solar)'!$AH$2+'Assumptions (Solar)'!$AH$21*'Assumptions (Solar)'!$AH$3)/10^9),0)</f>
        <v>-0.05681311128</v>
      </c>
      <c r="AN1044" s="177">
        <f>IF($AJ$902&gt;0,IPMT('Assumptions (Solar)'!$V$10,Model!AA$1,'Assumptions (Solar)'!$V$13,'Assumptions (Solar)'!$V$8*Model!$AJ$902*('Assumptions (Solar)'!$AH$20*'Assumptions (Solar)'!$AH$2+'Assumptions (Solar)'!$AH$21*'Assumptions (Solar)'!$AH$3)/10^9),0)</f>
        <v>-0.05044592947</v>
      </c>
      <c r="AO1044" s="177">
        <f>IF($AJ$902&gt;0,IPMT('Assumptions (Solar)'!$V$10,Model!AB$1,'Assumptions (Solar)'!$V$13,'Assumptions (Solar)'!$V$8*Model!$AJ$902*('Assumptions (Solar)'!$AH$20*'Assumptions (Solar)'!$AH$2+'Assumptions (Solar)'!$AH$21*'Assumptions (Solar)'!$AH$3)/10^9),0)</f>
        <v>-0.04356937311</v>
      </c>
      <c r="AP1044" s="177">
        <f>IF($AJ$902&gt;0,IPMT('Assumptions (Solar)'!$V$10,Model!AC$1,'Assumptions (Solar)'!$V$13,'Assumptions (Solar)'!$V$8*Model!$AJ$902*('Assumptions (Solar)'!$AH$20*'Assumptions (Solar)'!$AH$2+'Assumptions (Solar)'!$AH$21*'Assumptions (Solar)'!$AH$3)/10^9),0)</f>
        <v>-0.03614269224</v>
      </c>
      <c r="AQ1044" s="177">
        <f>IF($AJ$902&gt;0,IPMT('Assumptions (Solar)'!$V$10,Model!AD$1,'Assumptions (Solar)'!$V$13,'Assumptions (Solar)'!$V$8*Model!$AJ$902*('Assumptions (Solar)'!$AH$20*'Assumptions (Solar)'!$AH$2+'Assumptions (Solar)'!$AH$21*'Assumptions (Solar)'!$AH$3)/10^9),0)</f>
        <v>-0.0281218769</v>
      </c>
      <c r="AR1044" s="177">
        <f>IF($AJ$902&gt;0,IPMT('Assumptions (Solar)'!$V$10,Model!AE$1,'Assumptions (Solar)'!$V$13,'Assumptions (Solar)'!$V$8*Model!$AJ$902*('Assumptions (Solar)'!$AH$20*'Assumptions (Solar)'!$AH$2+'Assumptions (Solar)'!$AH$21*'Assumptions (Solar)'!$AH$3)/10^9),0)</f>
        <v>-0.01945939634</v>
      </c>
      <c r="AS1044" s="177">
        <f>IF($AJ$902&gt;0,IPMT('Assumptions (Solar)'!$V$10,Model!AF$1,'Assumptions (Solar)'!$V$13,'Assumptions (Solar)'!$V$8*Model!$AJ$902*('Assumptions (Solar)'!$AH$20*'Assumptions (Solar)'!$AH$2+'Assumptions (Solar)'!$AH$21*'Assumptions (Solar)'!$AH$3)/10^9),0)</f>
        <v>-0.01010391733</v>
      </c>
      <c r="AT1044" s="177"/>
      <c r="AU1044" s="177"/>
      <c r="AV1044" s="177"/>
      <c r="AW1044" s="177"/>
      <c r="AX1044" s="177"/>
      <c r="AY1044" s="177"/>
      <c r="AZ1044" s="177"/>
      <c r="BA1044" s="177"/>
      <c r="BB1044" s="177"/>
      <c r="BC1044" s="177"/>
      <c r="BD1044" s="177"/>
      <c r="BE1044" s="177"/>
      <c r="BF1044" s="177"/>
      <c r="BG1044" s="177"/>
      <c r="BH1044" s="177"/>
    </row>
    <row r="1045" ht="15.75" hidden="1" customHeight="1" outlineLevel="1">
      <c r="A1045" s="255"/>
      <c r="B1045" s="38"/>
      <c r="C1045" s="174"/>
      <c r="D1045" s="174"/>
      <c r="E1045" s="174"/>
      <c r="F1045" s="174"/>
      <c r="G1045" s="174"/>
      <c r="H1045" s="174"/>
      <c r="I1045" s="174"/>
      <c r="J1045" s="174"/>
      <c r="K1045" s="174"/>
      <c r="L1045" s="174"/>
      <c r="M1045" s="174"/>
      <c r="N1045" s="174"/>
      <c r="O1045" s="174"/>
      <c r="P1045" s="174"/>
      <c r="Q1045" s="174"/>
      <c r="R1045" s="174"/>
      <c r="S1045" s="174"/>
      <c r="T1045" s="174"/>
      <c r="U1045" s="174"/>
      <c r="V1045" s="174"/>
      <c r="W1045" s="160"/>
      <c r="X1045" s="160"/>
      <c r="Y1045" s="160"/>
      <c r="Z1045" s="160"/>
      <c r="AA1045" s="160"/>
      <c r="AB1045" s="160"/>
      <c r="AC1045" s="160"/>
      <c r="AD1045" s="160"/>
      <c r="AE1045" s="160"/>
      <c r="AF1045" s="160"/>
      <c r="AG1045" s="160"/>
      <c r="AH1045" s="160"/>
      <c r="AI1045" s="160"/>
      <c r="AJ1045" s="179"/>
      <c r="AK1045" s="160">
        <f>IF($AK$902&gt;0,IPMT('Assumptions (Solar)'!$V$10,Model!W$1,'Assumptions (Solar)'!$V$13,'Assumptions (Solar)'!$V$8*Model!$AK$902*('Assumptions (Solar)'!$AI$20*'Assumptions (Solar)'!$AI$2+'Assumptions (Solar)'!$AI$21*'Assumptions (Solar)'!$AI$3)/10^9),0)</f>
        <v>-0.07409098011</v>
      </c>
      <c r="AL1045" s="160">
        <f>IF($AK$902&gt;0,IPMT('Assumptions (Solar)'!$V$10,Model!X$1,'Assumptions (Solar)'!$V$13,'Assumptions (Solar)'!$V$8*Model!$AK$902*('Assumptions (Solar)'!$AI$20*'Assumptions (Solar)'!$AI$2+'Assumptions (Solar)'!$AI$21*'Assumptions (Solar)'!$AI$3)/10^9),0)</f>
        <v>-0.06897651763</v>
      </c>
      <c r="AM1045" s="160">
        <f>IF($AK$902&gt;0,IPMT('Assumptions (Solar)'!$V$10,Model!Y$1,'Assumptions (Solar)'!$V$13,'Assumptions (Solar)'!$V$8*Model!$AK$902*('Assumptions (Solar)'!$AI$20*'Assumptions (Solar)'!$AI$2+'Assumptions (Solar)'!$AI$21*'Assumptions (Solar)'!$AI$3)/10^9),0)</f>
        <v>-0.06345289816</v>
      </c>
      <c r="AN1045" s="160">
        <f>IF($AK$902&gt;0,IPMT('Assumptions (Solar)'!$V$10,Model!Z$1,'Assumptions (Solar)'!$V$13,'Assumptions (Solar)'!$V$8*Model!$AK$902*('Assumptions (Solar)'!$AI$20*'Assumptions (Solar)'!$AI$2+'Assumptions (Solar)'!$AI$21*'Assumptions (Solar)'!$AI$3)/10^9),0)</f>
        <v>-0.05748738913</v>
      </c>
      <c r="AO1045" s="160">
        <f>IF($AK$902&gt;0,IPMT('Assumptions (Solar)'!$V$10,Model!AA$1,'Assumptions (Solar)'!$V$13,'Assumptions (Solar)'!$V$8*Model!$AK$902*('Assumptions (Solar)'!$AI$20*'Assumptions (Solar)'!$AI$2+'Assumptions (Solar)'!$AI$21*'Assumptions (Solar)'!$AI$3)/10^9),0)</f>
        <v>-0.05104463938</v>
      </c>
      <c r="AP1045" s="160">
        <f>IF($AK$902&gt;0,IPMT('Assumptions (Solar)'!$V$10,Model!AB$1,'Assumptions (Solar)'!$V$13,'Assumptions (Solar)'!$V$8*Model!$AK$902*('Assumptions (Solar)'!$AI$20*'Assumptions (Solar)'!$AI$2+'Assumptions (Solar)'!$AI$21*'Assumptions (Solar)'!$AI$3)/10^9),0)</f>
        <v>-0.04408646965</v>
      </c>
      <c r="AQ1045" s="160">
        <f>IF($AK$902&gt;0,IPMT('Assumptions (Solar)'!$V$10,Model!AC$1,'Assumptions (Solar)'!$V$13,'Assumptions (Solar)'!$V$8*Model!$AK$902*('Assumptions (Solar)'!$AI$20*'Assumptions (Solar)'!$AI$2+'Assumptions (Solar)'!$AI$21*'Assumptions (Solar)'!$AI$3)/10^9),0)</f>
        <v>-0.03657164634</v>
      </c>
      <c r="AR1045" s="160">
        <f>IF($AK$902&gt;0,IPMT('Assumptions (Solar)'!$V$10,Model!AD$1,'Assumptions (Solar)'!$V$13,'Assumptions (Solar)'!$V$8*Model!$AK$902*('Assumptions (Solar)'!$AI$20*'Assumptions (Solar)'!$AI$2+'Assumptions (Solar)'!$AI$21*'Assumptions (Solar)'!$AI$3)/10^9),0)</f>
        <v>-0.02845563716</v>
      </c>
      <c r="AS1045" s="160">
        <f>IF($AK$902&gt;0,IPMT('Assumptions (Solar)'!$V$10,Model!AE$1,'Assumptions (Solar)'!$V$13,'Assumptions (Solar)'!$V$8*Model!$AK$902*('Assumptions (Solar)'!$AI$20*'Assumptions (Solar)'!$AI$2+'Assumptions (Solar)'!$AI$21*'Assumptions (Solar)'!$AI$3)/10^9),0)</f>
        <v>-0.01969034725</v>
      </c>
      <c r="AT1045" s="160">
        <f>IF($AK$902&gt;0,IPMT('Assumptions (Solar)'!$V$10,Model!AF$1,'Assumptions (Solar)'!$V$13,'Assumptions (Solar)'!$V$8*Model!$AK$902*('Assumptions (Solar)'!$AI$20*'Assumptions (Solar)'!$AI$2+'Assumptions (Solar)'!$AI$21*'Assumptions (Solar)'!$AI$3)/10^9),0)</f>
        <v>-0.01022383415</v>
      </c>
      <c r="AU1045" s="160"/>
      <c r="AV1045" s="160"/>
      <c r="AW1045" s="160"/>
      <c r="AX1045" s="160"/>
      <c r="AY1045" s="160"/>
      <c r="AZ1045" s="160"/>
      <c r="BA1045" s="160"/>
      <c r="BB1045" s="160"/>
      <c r="BC1045" s="160"/>
      <c r="BD1045" s="160"/>
      <c r="BE1045" s="160"/>
      <c r="BF1045" s="160"/>
      <c r="BG1045" s="160"/>
      <c r="BH1045" s="160"/>
      <c r="BI1045" s="160"/>
    </row>
    <row r="1046" ht="15.75" hidden="1" customHeight="1" outlineLevel="1">
      <c r="A1046" s="255"/>
      <c r="B1046" s="38"/>
      <c r="C1046" s="174"/>
      <c r="D1046" s="174"/>
      <c r="E1046" s="174"/>
      <c r="F1046" s="174"/>
      <c r="G1046" s="174"/>
      <c r="H1046" s="174"/>
      <c r="I1046" s="174"/>
      <c r="J1046" s="174"/>
      <c r="K1046" s="174"/>
      <c r="L1046" s="174"/>
      <c r="M1046" s="174"/>
      <c r="N1046" s="174"/>
      <c r="O1046" s="174"/>
      <c r="P1046" s="174"/>
      <c r="Q1046" s="174"/>
      <c r="R1046" s="174"/>
      <c r="S1046" s="174"/>
      <c r="T1046" s="174"/>
      <c r="U1046" s="174"/>
      <c r="V1046" s="174"/>
      <c r="W1046" s="160"/>
      <c r="X1046" s="160"/>
      <c r="Y1046" s="160"/>
      <c r="Z1046" s="160"/>
      <c r="AA1046" s="160"/>
      <c r="AB1046" s="160"/>
      <c r="AC1046" s="160"/>
      <c r="AD1046" s="160"/>
      <c r="AE1046" s="160"/>
      <c r="AF1046" s="160"/>
      <c r="AG1046" s="160"/>
      <c r="AH1046" s="160"/>
      <c r="AI1046" s="160"/>
      <c r="AJ1046" s="179"/>
      <c r="AK1046" s="160"/>
      <c r="AL1046" s="177">
        <f>IF($AL$902&gt;0,IPMT('Assumptions (Solar)'!$V$10,Model!W$1,'Assumptions (Solar)'!$V$13,'Assumptions (Solar)'!$V$8*Model!$AL$902*('Assumptions (Solar)'!$AJ$20*'Assumptions (Solar)'!$AJ$2+'Assumptions (Solar)'!$AJ$21*'Assumptions (Solar)'!$AJ$3)/10^9),0)</f>
        <v>-0.07471798509</v>
      </c>
      <c r="AM1046" s="177">
        <f>IF($AL$902&gt;0,IPMT('Assumptions (Solar)'!$V$10,Model!X$1,'Assumptions (Solar)'!$V$13,'Assumptions (Solar)'!$V$8*Model!$AL$902*('Assumptions (Solar)'!$AJ$20*'Assumptions (Solar)'!$AJ$2+'Assumptions (Solar)'!$AJ$21*'Assumptions (Solar)'!$AJ$3)/10^9),0)</f>
        <v>-0.06956024079</v>
      </c>
      <c r="AN1046" s="177">
        <f>IF($AL$902&gt;0,IPMT('Assumptions (Solar)'!$V$10,Model!Y$1,'Assumptions (Solar)'!$V$13,'Assumptions (Solar)'!$V$8*Model!$AL$902*('Assumptions (Solar)'!$AJ$20*'Assumptions (Solar)'!$AJ$2+'Assumptions (Solar)'!$AJ$21*'Assumptions (Solar)'!$AJ$3)/10^9),0)</f>
        <v>-0.06398987693</v>
      </c>
      <c r="AO1046" s="177">
        <f>IF($AL$902&gt;0,IPMT('Assumptions (Solar)'!$V$10,Model!Z$1,'Assumptions (Solar)'!$V$13,'Assumptions (Solar)'!$V$8*Model!$AL$902*('Assumptions (Solar)'!$AJ$20*'Assumptions (Solar)'!$AJ$2+'Assumptions (Solar)'!$AJ$21*'Assumptions (Solar)'!$AJ$3)/10^9),0)</f>
        <v>-0.05797388397</v>
      </c>
      <c r="AP1046" s="177">
        <f>IF($AL$902&gt;0,IPMT('Assumptions (Solar)'!$V$10,Model!AA$1,'Assumptions (Solar)'!$V$13,'Assumptions (Solar)'!$V$8*Model!$AL$902*('Assumptions (Solar)'!$AJ$20*'Assumptions (Solar)'!$AJ$2+'Assumptions (Solar)'!$AJ$21*'Assumptions (Solar)'!$AJ$3)/10^9),0)</f>
        <v>-0.05147661158</v>
      </c>
      <c r="AQ1046" s="177">
        <f>IF($AL$902&gt;0,IPMT('Assumptions (Solar)'!$V$10,Model!AB$1,'Assumptions (Solar)'!$V$13,'Assumptions (Solar)'!$V$8*Model!$AL$902*('Assumptions (Solar)'!$AJ$20*'Assumptions (Solar)'!$AJ$2+'Assumptions (Solar)'!$AJ$21*'Assumptions (Solar)'!$AJ$3)/10^9),0)</f>
        <v>-0.04445955739</v>
      </c>
      <c r="AR1046" s="177">
        <f>IF($AL$902&gt;0,IPMT('Assumptions (Solar)'!$V$10,Model!AC$1,'Assumptions (Solar)'!$V$13,'Assumptions (Solar)'!$V$8*Model!$AL$902*('Assumptions (Solar)'!$AJ$20*'Assumptions (Solar)'!$AJ$2+'Assumptions (Solar)'!$AJ$21*'Assumptions (Solar)'!$AJ$3)/10^9),0)</f>
        <v>-0.03688113886</v>
      </c>
      <c r="AS1046" s="177">
        <f>IF($AL$902&gt;0,IPMT('Assumptions (Solar)'!$V$10,Model!AD$1,'Assumptions (Solar)'!$V$13,'Assumptions (Solar)'!$V$8*Model!$AL$902*('Assumptions (Solar)'!$AJ$20*'Assumptions (Solar)'!$AJ$2+'Assumptions (Solar)'!$AJ$21*'Assumptions (Solar)'!$AJ$3)/10^9),0)</f>
        <v>-0.02869644686</v>
      </c>
      <c r="AT1046" s="177">
        <f>IF($AL$902&gt;0,IPMT('Assumptions (Solar)'!$V$10,Model!AE$1,'Assumptions (Solar)'!$V$13,'Assumptions (Solar)'!$V$8*Model!$AL$902*('Assumptions (Solar)'!$AJ$20*'Assumptions (Solar)'!$AJ$2+'Assumptions (Solar)'!$AJ$21*'Assumptions (Solar)'!$AJ$3)/10^9),0)</f>
        <v>-0.01985697949</v>
      </c>
      <c r="AU1046" s="177">
        <f>IF($AL$902&gt;0,IPMT('Assumptions (Solar)'!$V$10,Model!AF$1,'Assumptions (Solar)'!$V$13,'Assumptions (Solar)'!$V$8*Model!$AL$902*('Assumptions (Solar)'!$AJ$20*'Assumptions (Solar)'!$AJ$2+'Assumptions (Solar)'!$AJ$21*'Assumptions (Solar)'!$AJ$3)/10^9),0)</f>
        <v>-0.01031035474</v>
      </c>
      <c r="AV1046" s="177"/>
      <c r="AW1046" s="177"/>
      <c r="AX1046" s="177"/>
      <c r="AY1046" s="177"/>
      <c r="AZ1046" s="177"/>
      <c r="BA1046" s="177"/>
      <c r="BB1046" s="177"/>
      <c r="BC1046" s="177"/>
      <c r="BD1046" s="177"/>
      <c r="BE1046" s="177"/>
      <c r="BF1046" s="177"/>
      <c r="BG1046" s="177"/>
      <c r="BH1046" s="177"/>
      <c r="BI1046" s="177"/>
      <c r="BJ1046" s="177"/>
    </row>
    <row r="1047" ht="15.75" hidden="1" customHeight="1" outlineLevel="1">
      <c r="A1047" s="255"/>
      <c r="B1047" s="38"/>
      <c r="C1047" s="174"/>
      <c r="D1047" s="174"/>
      <c r="E1047" s="174"/>
      <c r="F1047" s="174"/>
      <c r="G1047" s="174"/>
      <c r="H1047" s="174"/>
      <c r="I1047" s="174"/>
      <c r="J1047" s="174"/>
      <c r="K1047" s="174"/>
      <c r="L1047" s="174"/>
      <c r="M1047" s="174"/>
      <c r="N1047" s="174"/>
      <c r="O1047" s="174"/>
      <c r="P1047" s="174"/>
      <c r="Q1047" s="174"/>
      <c r="R1047" s="174"/>
      <c r="S1047" s="174"/>
      <c r="T1047" s="174"/>
      <c r="U1047" s="174"/>
      <c r="V1047" s="174"/>
      <c r="W1047" s="160"/>
      <c r="X1047" s="160"/>
      <c r="Y1047" s="160"/>
      <c r="Z1047" s="160"/>
      <c r="AA1047" s="160"/>
      <c r="AB1047" s="160"/>
      <c r="AC1047" s="160"/>
      <c r="AD1047" s="160"/>
      <c r="AE1047" s="160"/>
      <c r="AF1047" s="160"/>
      <c r="AG1047" s="160"/>
      <c r="AH1047" s="160"/>
      <c r="AI1047" s="160"/>
      <c r="AJ1047" s="179"/>
      <c r="AK1047" s="160"/>
      <c r="AL1047" s="177"/>
      <c r="AM1047" s="160">
        <f>IF($AM$902&gt;0,IPMT('Assumptions (Solar)'!$V$10,Model!W$1,'Assumptions (Solar)'!$V$13,'Assumptions (Solar)'!$V$8*Model!$AM$902*('Assumptions (Solar)'!$AK$20*'Assumptions (Solar)'!$AK$2+'Assumptions (Solar)'!$AK$21*'Assumptions (Solar)'!$AK$3)/10^9),0)</f>
        <v>-0.07581466291</v>
      </c>
      <c r="AN1047" s="160">
        <f>IF($AM$902&gt;0,IPMT('Assumptions (Solar)'!$V$10,Model!X$1,'Assumptions (Solar)'!$V$13,'Assumptions (Solar)'!$V$8*Model!$AM$902*('Assumptions (Solar)'!$AK$20*'Assumptions (Solar)'!$AK$2+'Assumptions (Solar)'!$AK$21*'Assumptions (Solar)'!$AK$3)/10^9),0)</f>
        <v>-0.0705812155</v>
      </c>
      <c r="AO1047" s="160">
        <f>IF($AM$902&gt;0,IPMT('Assumptions (Solar)'!$V$10,Model!Y$1,'Assumptions (Solar)'!$V$13,'Assumptions (Solar)'!$V$8*Model!$AM$902*('Assumptions (Solar)'!$AK$20*'Assumptions (Solar)'!$AK$2+'Assumptions (Solar)'!$AK$21*'Assumptions (Solar)'!$AK$3)/10^9),0)</f>
        <v>-0.06492909229</v>
      </c>
      <c r="AP1047" s="160">
        <f>IF($AM$902&gt;0,IPMT('Assumptions (Solar)'!$V$10,Model!Z$1,'Assumptions (Solar)'!$V$13,'Assumptions (Solar)'!$V$8*Model!$AM$902*('Assumptions (Solar)'!$AK$20*'Assumptions (Solar)'!$AK$2+'Assumptions (Solar)'!$AK$21*'Assumptions (Solar)'!$AK$3)/10^9),0)</f>
        <v>-0.05882479922</v>
      </c>
      <c r="AQ1047" s="160">
        <f>IF($AM$902&gt;0,IPMT('Assumptions (Solar)'!$V$10,Model!AA$1,'Assumptions (Solar)'!$V$13,'Assumptions (Solar)'!$V$8*Model!$AM$902*('Assumptions (Solar)'!$AK$20*'Assumptions (Solar)'!$AK$2+'Assumptions (Solar)'!$AK$21*'Assumptions (Solar)'!$AK$3)/10^9),0)</f>
        <v>-0.05223216271</v>
      </c>
      <c r="AR1047" s="160">
        <f>IF($AM$902&gt;0,IPMT('Assumptions (Solar)'!$V$10,Model!AB$1,'Assumptions (Solar)'!$V$13,'Assumptions (Solar)'!$V$8*Model!$AM$902*('Assumptions (Solar)'!$AK$20*'Assumptions (Solar)'!$AK$2+'Assumptions (Solar)'!$AK$21*'Assumptions (Solar)'!$AK$3)/10^9),0)</f>
        <v>-0.04511211527</v>
      </c>
      <c r="AS1047" s="160">
        <f>IF($AM$902&gt;0,IPMT('Assumptions (Solar)'!$V$10,Model!AC$1,'Assumptions (Solar)'!$V$13,'Assumptions (Solar)'!$V$8*Model!$AM$902*('Assumptions (Solar)'!$AK$20*'Assumptions (Solar)'!$AK$2+'Assumptions (Solar)'!$AK$21*'Assumptions (Solar)'!$AK$3)/10^9),0)</f>
        <v>-0.03742246405</v>
      </c>
      <c r="AT1047" s="160">
        <f>IF($AM$902&gt;0,IPMT('Assumptions (Solar)'!$V$10,Model!AD$1,'Assumptions (Solar)'!$V$13,'Assumptions (Solar)'!$V$8*Model!$AM$902*('Assumptions (Solar)'!$AK$20*'Assumptions (Solar)'!$AK$2+'Assumptions (Solar)'!$AK$21*'Assumptions (Solar)'!$AK$3)/10^9),0)</f>
        <v>-0.02911764072</v>
      </c>
      <c r="AU1047" s="160">
        <f>IF($AM$902&gt;0,IPMT('Assumptions (Solar)'!$V$10,Model!AE$1,'Assumptions (Solar)'!$V$13,'Assumptions (Solar)'!$V$8*Model!$AM$902*('Assumptions (Solar)'!$AK$20*'Assumptions (Solar)'!$AK$2+'Assumptions (Solar)'!$AK$21*'Assumptions (Solar)'!$AK$3)/10^9),0)</f>
        <v>-0.02014843153</v>
      </c>
      <c r="AV1047" s="160">
        <f>IF($AM$902&gt;0,IPMT('Assumptions (Solar)'!$V$10,Model!AF$1,'Assumptions (Solar)'!$V$13,'Assumptions (Solar)'!$V$8*Model!$AM$902*('Assumptions (Solar)'!$AK$20*'Assumptions (Solar)'!$AK$2+'Assumptions (Solar)'!$AK$21*'Assumptions (Solar)'!$AK$3)/10^9),0)</f>
        <v>-0.0104616856</v>
      </c>
      <c r="AW1047" s="160"/>
      <c r="AX1047" s="160"/>
      <c r="AY1047" s="160"/>
      <c r="AZ1047" s="160"/>
      <c r="BA1047" s="160"/>
      <c r="BB1047" s="160"/>
      <c r="BC1047" s="160"/>
      <c r="BD1047" s="160"/>
      <c r="BE1047" s="160"/>
      <c r="BF1047" s="160"/>
      <c r="BG1047" s="160"/>
      <c r="BH1047" s="160"/>
      <c r="BI1047" s="160"/>
      <c r="BJ1047" s="160"/>
      <c r="BK1047" s="160"/>
    </row>
    <row r="1048" ht="15.75" hidden="1" customHeight="1" outlineLevel="1">
      <c r="A1048" s="255"/>
      <c r="B1048" s="38"/>
      <c r="C1048" s="174"/>
      <c r="D1048" s="174"/>
      <c r="E1048" s="174"/>
      <c r="F1048" s="174"/>
      <c r="G1048" s="174"/>
      <c r="H1048" s="174"/>
      <c r="I1048" s="174"/>
      <c r="J1048" s="174"/>
      <c r="K1048" s="174"/>
      <c r="L1048" s="174"/>
      <c r="M1048" s="174"/>
      <c r="N1048" s="174"/>
      <c r="O1048" s="174"/>
      <c r="P1048" s="174"/>
      <c r="Q1048" s="174"/>
      <c r="R1048" s="174"/>
      <c r="S1048" s="174"/>
      <c r="T1048" s="174"/>
      <c r="U1048" s="174"/>
      <c r="V1048" s="174"/>
      <c r="W1048" s="160"/>
      <c r="X1048" s="160"/>
      <c r="Y1048" s="160"/>
      <c r="Z1048" s="160"/>
      <c r="AA1048" s="160"/>
      <c r="AB1048" s="160"/>
      <c r="AC1048" s="160"/>
      <c r="AD1048" s="160"/>
      <c r="AE1048" s="160"/>
      <c r="AF1048" s="160"/>
      <c r="AG1048" s="160"/>
      <c r="AH1048" s="160"/>
      <c r="AI1048" s="160"/>
      <c r="AJ1048" s="179"/>
      <c r="AK1048" s="160"/>
      <c r="AL1048" s="177"/>
      <c r="AM1048" s="177"/>
      <c r="AN1048" s="160">
        <f>IF($AN$902&gt;0,IPMT('Assumptions (Solar)'!$V$10,Model!W$1,'Assumptions (Solar)'!$V$13,'Assumptions (Solar)'!$V$8*Model!$AN$902*('Assumptions (Solar)'!$AL$20*'Assumptions (Solar)'!$AL$2+'Assumptions (Solar)'!$AL$21*'Assumptions (Solar)'!$AL$3)/10^9),0)</f>
        <v>-0.07764467068</v>
      </c>
      <c r="AO1048" s="160">
        <f>IF($AN$902&gt;0,IPMT('Assumptions (Solar)'!$V$10,Model!X$1,'Assumptions (Solar)'!$V$13,'Assumptions (Solar)'!$V$8*Model!$AN$902*('Assumptions (Solar)'!$AL$20*'Assumptions (Solar)'!$AL$2+'Assumptions (Solar)'!$AL$21*'Assumptions (Solar)'!$AL$3)/10^9),0)</f>
        <v>-0.07228489876</v>
      </c>
      <c r="AP1048" s="160">
        <f>IF($AN$902&gt;0,IPMT('Assumptions (Solar)'!$V$10,Model!Y$1,'Assumptions (Solar)'!$V$13,'Assumptions (Solar)'!$V$8*Model!$AN$902*('Assumptions (Solar)'!$AL$20*'Assumptions (Solar)'!$AL$2+'Assumptions (Solar)'!$AL$21*'Assumptions (Solar)'!$AL$3)/10^9),0)</f>
        <v>-0.06649634509</v>
      </c>
      <c r="AQ1048" s="160">
        <f>IF($AN$902&gt;0,IPMT('Assumptions (Solar)'!$V$10,Model!Z$1,'Assumptions (Solar)'!$V$13,'Assumptions (Solar)'!$V$8*Model!$AN$902*('Assumptions (Solar)'!$AL$20*'Assumptions (Solar)'!$AL$2+'Assumptions (Solar)'!$AL$21*'Assumptions (Solar)'!$AL$3)/10^9),0)</f>
        <v>-0.06024470713</v>
      </c>
      <c r="AR1048" s="160">
        <f>IF($AN$902&gt;0,IPMT('Assumptions (Solar)'!$V$10,Model!AA$1,'Assumptions (Solar)'!$V$13,'Assumptions (Solar)'!$V$8*Model!$AN$902*('Assumptions (Solar)'!$AL$20*'Assumptions (Solar)'!$AL$2+'Assumptions (Solar)'!$AL$21*'Assumptions (Solar)'!$AL$3)/10^9),0)</f>
        <v>-0.05349293813</v>
      </c>
      <c r="AS1048" s="160">
        <f>IF($AN$902&gt;0,IPMT('Assumptions (Solar)'!$V$10,Model!AB$1,'Assumptions (Solar)'!$V$13,'Assumptions (Solar)'!$V$8*Model!$AN$902*('Assumptions (Solar)'!$AL$20*'Assumptions (Solar)'!$AL$2+'Assumptions (Solar)'!$AL$21*'Assumptions (Solar)'!$AL$3)/10^9),0)</f>
        <v>-0.04620102761</v>
      </c>
      <c r="AT1048" s="160">
        <f>IF($AN$902&gt;0,IPMT('Assumptions (Solar)'!$V$10,Model!AC$1,'Assumptions (Solar)'!$V$13,'Assumptions (Solar)'!$V$8*Model!$AN$902*('Assumptions (Solar)'!$AL$20*'Assumptions (Solar)'!$AL$2+'Assumptions (Solar)'!$AL$21*'Assumptions (Solar)'!$AL$3)/10^9),0)</f>
        <v>-0.03832576424</v>
      </c>
      <c r="AU1048" s="160">
        <f>IF($AN$902&gt;0,IPMT('Assumptions (Solar)'!$V$10,Model!AD$1,'Assumptions (Solar)'!$V$13,'Assumptions (Solar)'!$V$8*Model!$AN$902*('Assumptions (Solar)'!$AL$20*'Assumptions (Solar)'!$AL$2+'Assumptions (Solar)'!$AL$21*'Assumptions (Solar)'!$AL$3)/10^9),0)</f>
        <v>-0.02982047981</v>
      </c>
      <c r="AV1048" s="160">
        <f>IF($AN$902&gt;0,IPMT('Assumptions (Solar)'!$V$10,Model!AE$1,'Assumptions (Solar)'!$V$13,'Assumptions (Solar)'!$V$8*Model!$AN$902*('Assumptions (Solar)'!$AL$20*'Assumptions (Solar)'!$AL$2+'Assumptions (Solar)'!$AL$21*'Assumptions (Solar)'!$AL$3)/10^9),0)</f>
        <v>-0.02063477262</v>
      </c>
      <c r="AW1048" s="160">
        <f>IF($AN$902&gt;0,IPMT('Assumptions (Solar)'!$V$10,Model!AF$1,'Assumptions (Solar)'!$V$13,'Assumptions (Solar)'!$V$8*Model!$AN$902*('Assumptions (Solar)'!$AL$20*'Assumptions (Solar)'!$AL$2+'Assumptions (Solar)'!$AL$21*'Assumptions (Solar)'!$AL$3)/10^9),0)</f>
        <v>-0.01071420886</v>
      </c>
      <c r="AX1048" s="160"/>
      <c r="AY1048" s="160"/>
      <c r="AZ1048" s="160"/>
      <c r="BA1048" s="160"/>
      <c r="BB1048" s="160"/>
      <c r="BC1048" s="160"/>
      <c r="BD1048" s="160"/>
      <c r="BE1048" s="160"/>
      <c r="BF1048" s="160"/>
      <c r="BG1048" s="160"/>
      <c r="BH1048" s="160"/>
      <c r="BI1048" s="160"/>
      <c r="BJ1048" s="160"/>
      <c r="BK1048" s="160"/>
      <c r="BL1048" s="160"/>
    </row>
    <row r="1049" ht="15.75" hidden="1" customHeight="1" outlineLevel="1">
      <c r="A1049" s="255"/>
      <c r="B1049" s="38"/>
      <c r="C1049" s="174"/>
      <c r="D1049" s="174"/>
      <c r="E1049" s="174"/>
      <c r="F1049" s="174"/>
      <c r="G1049" s="174"/>
      <c r="H1049" s="174"/>
      <c r="I1049" s="174"/>
      <c r="J1049" s="174"/>
      <c r="K1049" s="174"/>
      <c r="L1049" s="174"/>
      <c r="M1049" s="174"/>
      <c r="N1049" s="174"/>
      <c r="O1049" s="174"/>
      <c r="P1049" s="174"/>
      <c r="Q1049" s="174"/>
      <c r="R1049" s="174"/>
      <c r="S1049" s="174"/>
      <c r="T1049" s="174"/>
      <c r="U1049" s="174"/>
      <c r="V1049" s="174"/>
      <c r="W1049" s="160"/>
      <c r="X1049" s="160"/>
      <c r="Y1049" s="160"/>
      <c r="Z1049" s="160"/>
      <c r="AA1049" s="160"/>
      <c r="AB1049" s="160"/>
      <c r="AC1049" s="160"/>
      <c r="AD1049" s="160"/>
      <c r="AE1049" s="160"/>
      <c r="AF1049" s="160"/>
      <c r="AG1049" s="160"/>
      <c r="AH1049" s="160"/>
      <c r="AI1049" s="160"/>
      <c r="AJ1049" s="179"/>
      <c r="AK1049" s="160"/>
      <c r="AL1049" s="177"/>
      <c r="AM1049" s="177"/>
      <c r="AN1049" s="177"/>
      <c r="AO1049" s="160">
        <f>IF($AO$902&gt;0,IPMT('Assumptions (Solar)'!$V$10,Model!W$1,'Assumptions (Solar)'!$V$13,'Assumptions (Solar)'!$V$8*Model!$AO$902*('Assumptions (Solar)'!$AM$20*'Assumptions (Solar)'!$AM$2+'Assumptions (Solar)'!$AM$21*'Assumptions (Solar)'!$AM$3)/10^9),0)</f>
        <v>-0.08298277356</v>
      </c>
      <c r="AP1049" s="160">
        <f>IF($AO$902&gt;0,IPMT('Assumptions (Solar)'!$V$10,Model!X$1,'Assumptions (Solar)'!$V$13,'Assumptions (Solar)'!$V$8*Model!$AO$902*('Assumptions (Solar)'!$AM$20*'Assumptions (Solar)'!$AM$2+'Assumptions (Solar)'!$AM$21*'Assumptions (Solar)'!$AM$3)/10^9),0)</f>
        <v>-0.07725451513</v>
      </c>
      <c r="AQ1049" s="160">
        <f>IF($AO$902&gt;0,IPMT('Assumptions (Solar)'!$V$10,Model!Y$1,'Assumptions (Solar)'!$V$13,'Assumptions (Solar)'!$V$8*Model!$AO$902*('Assumptions (Solar)'!$AM$20*'Assumptions (Solar)'!$AM$2+'Assumptions (Solar)'!$AM$21*'Assumptions (Solar)'!$AM$3)/10^9),0)</f>
        <v>-0.07106799603</v>
      </c>
      <c r="AR1049" s="160">
        <f>IF($AO$902&gt;0,IPMT('Assumptions (Solar)'!$V$10,Model!Z$1,'Assumptions (Solar)'!$V$13,'Assumptions (Solar)'!$V$8*Model!$AO$902*('Assumptions (Solar)'!$AM$20*'Assumptions (Solar)'!$AM$2+'Assumptions (Solar)'!$AM$21*'Assumptions (Solar)'!$AM$3)/10^9),0)</f>
        <v>-0.06438655539</v>
      </c>
      <c r="AS1049" s="160">
        <f>IF($AO$902&gt;0,IPMT('Assumptions (Solar)'!$V$10,Model!AA$1,'Assumptions (Solar)'!$V$13,'Assumptions (Solar)'!$V$8*Model!$AO$902*('Assumptions (Solar)'!$AM$20*'Assumptions (Solar)'!$AM$2+'Assumptions (Solar)'!$AM$21*'Assumptions (Solar)'!$AM$3)/10^9),0)</f>
        <v>-0.05717059951</v>
      </c>
      <c r="AT1049" s="160">
        <f>IF($AO$902&gt;0,IPMT('Assumptions (Solar)'!$V$10,Model!AB$1,'Assumptions (Solar)'!$V$13,'Assumptions (Solar)'!$V$8*Model!$AO$902*('Assumptions (Solar)'!$AM$20*'Assumptions (Solar)'!$AM$2+'Assumptions (Solar)'!$AM$21*'Assumptions (Solar)'!$AM$3)/10^9),0)</f>
        <v>-0.04937736716</v>
      </c>
      <c r="AU1049" s="160">
        <f>IF($AO$902&gt;0,IPMT('Assumptions (Solar)'!$V$10,Model!AC$1,'Assumptions (Solar)'!$V$13,'Assumptions (Solar)'!$V$8*Model!$AO$902*('Assumptions (Solar)'!$AM$20*'Assumptions (Solar)'!$AM$2+'Assumptions (Solar)'!$AM$21*'Assumptions (Solar)'!$AM$3)/10^9),0)</f>
        <v>-0.04096067622</v>
      </c>
      <c r="AV1049" s="160">
        <f>IF($AO$902&gt;0,IPMT('Assumptions (Solar)'!$V$10,Model!AD$1,'Assumptions (Solar)'!$V$13,'Assumptions (Solar)'!$V$8*Model!$AO$902*('Assumptions (Solar)'!$AM$20*'Assumptions (Solar)'!$AM$2+'Assumptions (Solar)'!$AM$21*'Assumptions (Solar)'!$AM$3)/10^9),0)</f>
        <v>-0.03187065</v>
      </c>
      <c r="AW1049" s="160">
        <f>IF($AO$902&gt;0,IPMT('Assumptions (Solar)'!$V$10,Model!AE$1,'Assumptions (Solar)'!$V$13,'Assumptions (Solar)'!$V$8*Model!$AO$902*('Assumptions (Solar)'!$AM$20*'Assumptions (Solar)'!$AM$2+'Assumptions (Solar)'!$AM$21*'Assumptions (Solar)'!$AM$3)/10^9),0)</f>
        <v>-0.02205342169</v>
      </c>
      <c r="AX1049" s="160">
        <f>IF($AO$902&gt;0,IPMT('Assumptions (Solar)'!$V$10,Model!AF$1,'Assumptions (Solar)'!$V$13,'Assumptions (Solar)'!$V$8*Model!$AO$902*('Assumptions (Solar)'!$AM$20*'Assumptions (Solar)'!$AM$2+'Assumptions (Solar)'!$AM$21*'Assumptions (Solar)'!$AM$3)/10^9),0)</f>
        <v>-0.01145081511</v>
      </c>
      <c r="AY1049" s="160"/>
      <c r="AZ1049" s="160"/>
      <c r="BA1049" s="160"/>
      <c r="BB1049" s="160"/>
      <c r="BC1049" s="160"/>
      <c r="BD1049" s="160"/>
      <c r="BE1049" s="160"/>
      <c r="BF1049" s="160"/>
      <c r="BG1049" s="160"/>
      <c r="BH1049" s="160"/>
      <c r="BI1049" s="160"/>
      <c r="BJ1049" s="160"/>
      <c r="BK1049" s="160"/>
      <c r="BL1049" s="160"/>
      <c r="BM1049" s="160"/>
    </row>
    <row r="1050" ht="15.75" hidden="1" customHeight="1" outlineLevel="1">
      <c r="A1050" s="255"/>
      <c r="B1050" s="38"/>
      <c r="C1050" s="174"/>
      <c r="D1050" s="174"/>
      <c r="E1050" s="174"/>
      <c r="F1050" s="174"/>
      <c r="G1050" s="174"/>
      <c r="H1050" s="174"/>
      <c r="I1050" s="174"/>
      <c r="J1050" s="174"/>
      <c r="K1050" s="174"/>
      <c r="L1050" s="174"/>
      <c r="M1050" s="174"/>
      <c r="N1050" s="174"/>
      <c r="O1050" s="174"/>
      <c r="P1050" s="174"/>
      <c r="Q1050" s="174"/>
      <c r="R1050" s="174"/>
      <c r="S1050" s="174"/>
      <c r="T1050" s="174"/>
      <c r="U1050" s="174"/>
      <c r="V1050" s="174"/>
      <c r="W1050" s="160"/>
      <c r="X1050" s="160"/>
      <c r="Y1050" s="160"/>
      <c r="Z1050" s="160"/>
      <c r="AA1050" s="160"/>
      <c r="AB1050" s="160"/>
      <c r="AC1050" s="160"/>
      <c r="AD1050" s="160"/>
      <c r="AE1050" s="160"/>
      <c r="AF1050" s="160"/>
      <c r="AG1050" s="160"/>
      <c r="AH1050" s="160"/>
      <c r="AI1050" s="160"/>
      <c r="AJ1050" s="179"/>
      <c r="AK1050" s="160"/>
      <c r="AL1050" s="177"/>
      <c r="AM1050" s="177"/>
      <c r="AN1050" s="177"/>
      <c r="AO1050" s="160"/>
      <c r="AP1050" s="160">
        <f>IF($AP$902&gt;0,IPMT('Assumptions (Solar)'!$V$10,Model!W$1,'Assumptions (Solar)'!$V$13,'Assumptions (Solar)'!$V$8*Model!$AP$902*('Assumptions (Solar)'!$AN$20*'Assumptions (Solar)'!$AN$2+'Assumptions (Solar)'!$AN$21*'Assumptions (Solar)'!$AN$3)/10^9),0)</f>
        <v>-0.0932213083</v>
      </c>
      <c r="AQ1050" s="160">
        <f>IF($AP$902&gt;0,IPMT('Assumptions (Solar)'!$V$10,Model!X$1,'Assumptions (Solar)'!$V$13,'Assumptions (Solar)'!$V$8*Model!$AP$902*('Assumptions (Solar)'!$AN$20*'Assumptions (Solar)'!$AN$2+'Assumptions (Solar)'!$AN$21*'Assumptions (Solar)'!$AN$3)/10^9),0)</f>
        <v>-0.08678628905</v>
      </c>
      <c r="AR1050" s="160">
        <f>IF($AP$902&gt;0,IPMT('Assumptions (Solar)'!$V$10,Model!Y$1,'Assumptions (Solar)'!$V$13,'Assumptions (Solar)'!$V$8*Model!$AP$902*('Assumptions (Solar)'!$AN$20*'Assumptions (Solar)'!$AN$2+'Assumptions (Solar)'!$AN$21*'Assumptions (Solar)'!$AN$3)/10^9),0)</f>
        <v>-0.07983646826</v>
      </c>
      <c r="AS1050" s="160">
        <f>IF($AP$902&gt;0,IPMT('Assumptions (Solar)'!$V$10,Model!Z$1,'Assumptions (Solar)'!$V$13,'Assumptions (Solar)'!$V$8*Model!$AP$902*('Assumptions (Solar)'!$AN$20*'Assumptions (Solar)'!$AN$2+'Assumptions (Solar)'!$AN$21*'Assumptions (Solar)'!$AN$3)/10^9),0)</f>
        <v>-0.07233066181</v>
      </c>
      <c r="AT1050" s="160">
        <f>IF($AP$902&gt;0,IPMT('Assumptions (Solar)'!$V$10,Model!AA$1,'Assumptions (Solar)'!$V$13,'Assumptions (Solar)'!$V$8*Model!$AP$902*('Assumptions (Solar)'!$AN$20*'Assumptions (Solar)'!$AN$2+'Assumptions (Solar)'!$AN$21*'Assumptions (Solar)'!$AN$3)/10^9),0)</f>
        <v>-0.06422439085</v>
      </c>
      <c r="AU1050" s="160">
        <f>IF($AP$902&gt;0,IPMT('Assumptions (Solar)'!$V$10,Model!AB$1,'Assumptions (Solar)'!$V$13,'Assumptions (Solar)'!$V$8*Model!$AP$902*('Assumptions (Solar)'!$AN$20*'Assumptions (Solar)'!$AN$2+'Assumptions (Solar)'!$AN$21*'Assumptions (Solar)'!$AN$3)/10^9),0)</f>
        <v>-0.0554696182</v>
      </c>
      <c r="AV1050" s="160">
        <f>IF($AP$902&gt;0,IPMT('Assumptions (Solar)'!$V$10,Model!AC$1,'Assumptions (Solar)'!$V$13,'Assumptions (Solar)'!$V$8*Model!$AP$902*('Assumptions (Solar)'!$AN$20*'Assumptions (Solar)'!$AN$2+'Assumptions (Solar)'!$AN$21*'Assumptions (Solar)'!$AN$3)/10^9),0)</f>
        <v>-0.04601446375</v>
      </c>
      <c r="AW1050" s="160">
        <f>IF($AP$902&gt;0,IPMT('Assumptions (Solar)'!$V$10,Model!AD$1,'Assumptions (Solar)'!$V$13,'Assumptions (Solar)'!$V$8*Model!$AP$902*('Assumptions (Solar)'!$AN$20*'Assumptions (Solar)'!$AN$2+'Assumptions (Solar)'!$AN$21*'Assumptions (Solar)'!$AN$3)/10^9),0)</f>
        <v>-0.03580289694</v>
      </c>
      <c r="AX1050" s="160">
        <f>IF($AP$902&gt;0,IPMT('Assumptions (Solar)'!$V$10,Model!AE$1,'Assumptions (Solar)'!$V$13,'Assumptions (Solar)'!$V$8*Model!$AP$902*('Assumptions (Solar)'!$AN$20*'Assumptions (Solar)'!$AN$2+'Assumptions (Solar)'!$AN$21*'Assumptions (Solar)'!$AN$3)/10^9),0)</f>
        <v>-0.02477440478</v>
      </c>
      <c r="AY1050" s="160">
        <f>IF($AP$902&gt;0,IPMT('Assumptions (Solar)'!$V$10,Model!AF$1,'Assumptions (Solar)'!$V$13,'Assumptions (Solar)'!$V$8*Model!$AP$902*('Assumptions (Solar)'!$AN$20*'Assumptions (Solar)'!$AN$2+'Assumptions (Solar)'!$AN$21*'Assumptions (Solar)'!$AN$3)/10^9),0)</f>
        <v>-0.01286363325</v>
      </c>
      <c r="AZ1050" s="160"/>
      <c r="BA1050" s="160"/>
      <c r="BB1050" s="160"/>
      <c r="BC1050" s="160"/>
      <c r="BD1050" s="160"/>
      <c r="BE1050" s="160"/>
      <c r="BF1050" s="160"/>
      <c r="BG1050" s="160"/>
      <c r="BH1050" s="160"/>
      <c r="BI1050" s="160"/>
      <c r="BJ1050" s="160"/>
      <c r="BK1050" s="160"/>
      <c r="BL1050" s="160"/>
      <c r="BM1050" s="160"/>
      <c r="BN1050" s="160"/>
    </row>
    <row r="1051" ht="15.75" hidden="1" customHeight="1" outlineLevel="1">
      <c r="A1051" s="255"/>
      <c r="B1051" s="38"/>
      <c r="C1051" s="174"/>
      <c r="D1051" s="174"/>
      <c r="E1051" s="174"/>
      <c r="F1051" s="174"/>
      <c r="G1051" s="174"/>
      <c r="H1051" s="174"/>
      <c r="I1051" s="174"/>
      <c r="J1051" s="174"/>
      <c r="K1051" s="174"/>
      <c r="L1051" s="174"/>
      <c r="M1051" s="174"/>
      <c r="N1051" s="174"/>
      <c r="O1051" s="174"/>
      <c r="P1051" s="174"/>
      <c r="Q1051" s="174"/>
      <c r="R1051" s="174"/>
      <c r="S1051" s="174"/>
      <c r="T1051" s="174"/>
      <c r="U1051" s="174"/>
      <c r="V1051" s="174"/>
      <c r="W1051" s="160"/>
      <c r="X1051" s="160"/>
      <c r="Y1051" s="160"/>
      <c r="Z1051" s="160"/>
      <c r="AA1051" s="160"/>
      <c r="AB1051" s="160"/>
      <c r="AC1051" s="160"/>
      <c r="AD1051" s="160"/>
      <c r="AE1051" s="160"/>
      <c r="AF1051" s="160"/>
      <c r="AG1051" s="160"/>
      <c r="AH1051" s="160"/>
      <c r="AI1051" s="160"/>
      <c r="AJ1051" s="179"/>
      <c r="AK1051" s="160"/>
      <c r="AL1051" s="177"/>
      <c r="AM1051" s="177"/>
      <c r="AN1051" s="177"/>
      <c r="AO1051" s="160"/>
      <c r="AP1051" s="160"/>
      <c r="AQ1051" s="160">
        <f>IF($AQ$902&gt;0,IPMT('Assumptions (Solar)'!$V$10,Model!W$1,'Assumptions (Solar)'!$V$13,'Assumptions (Solar)'!$V$8*Model!$AQ$902*('Assumptions (Solar)'!$AO$20*'Assumptions (Solar)'!$AO$2+'Assumptions (Solar)'!$AO$21*'Assumptions (Solar)'!$AO$3)/10^9),0)</f>
        <v>-0.1011711288</v>
      </c>
      <c r="AR1051" s="160">
        <f>IF($AQ$902&gt;0,IPMT('Assumptions (Solar)'!$V$10,Model!X$1,'Assumptions (Solar)'!$V$13,'Assumptions (Solar)'!$V$8*Model!$AQ$902*('Assumptions (Solar)'!$AO$20*'Assumptions (Solar)'!$AO$2+'Assumptions (Solar)'!$AO$21*'Assumptions (Solar)'!$AO$3)/10^9),0)</f>
        <v>-0.09418733752</v>
      </c>
      <c r="AS1051" s="160">
        <f>IF($AQ$902&gt;0,IPMT('Assumptions (Solar)'!$V$10,Model!Y$1,'Assumptions (Solar)'!$V$13,'Assumptions (Solar)'!$V$8*Model!$AQ$902*('Assumptions (Solar)'!$AO$20*'Assumptions (Solar)'!$AO$2+'Assumptions (Solar)'!$AO$21*'Assumptions (Solar)'!$AO$3)/10^9),0)</f>
        <v>-0.08664484292</v>
      </c>
      <c r="AT1051" s="160">
        <f>IF($AQ$902&gt;0,IPMT('Assumptions (Solar)'!$V$10,Model!Z$1,'Assumptions (Solar)'!$V$13,'Assumptions (Solar)'!$V$8*Model!$AQ$902*('Assumptions (Solar)'!$AO$20*'Assumptions (Solar)'!$AO$2+'Assumptions (Solar)'!$AO$21*'Assumptions (Solar)'!$AO$3)/10^9),0)</f>
        <v>-0.07849894876</v>
      </c>
      <c r="AU1051" s="160">
        <f>IF($AQ$902&gt;0,IPMT('Assumptions (Solar)'!$V$10,Model!AA$1,'Assumptions (Solar)'!$V$13,'Assumptions (Solar)'!$V$8*Model!$AQ$902*('Assumptions (Solar)'!$AO$20*'Assumptions (Solar)'!$AO$2+'Assumptions (Solar)'!$AO$21*'Assumptions (Solar)'!$AO$3)/10^9),0)</f>
        <v>-0.06970138306</v>
      </c>
      <c r="AV1051" s="160">
        <f>IF($AQ$902&gt;0,IPMT('Assumptions (Solar)'!$V$10,Model!AB$1,'Assumptions (Solar)'!$V$13,'Assumptions (Solar)'!$V$8*Model!$AQ$902*('Assumptions (Solar)'!$AO$20*'Assumptions (Solar)'!$AO$2+'Assumptions (Solar)'!$AO$21*'Assumptions (Solar)'!$AO$3)/10^9),0)</f>
        <v>-0.06020001211</v>
      </c>
      <c r="AW1051" s="160">
        <f>IF($AQ$902&gt;0,IPMT('Assumptions (Solar)'!$V$10,Model!AC$1,'Assumptions (Solar)'!$V$13,'Assumptions (Solar)'!$V$8*Model!$AQ$902*('Assumptions (Solar)'!$AO$20*'Assumptions (Solar)'!$AO$2+'Assumptions (Solar)'!$AO$21*'Assumptions (Solar)'!$AO$3)/10^9),0)</f>
        <v>-0.04993853148</v>
      </c>
      <c r="AX1051" s="160">
        <f>IF($AQ$902&gt;0,IPMT('Assumptions (Solar)'!$V$10,Model!AD$1,'Assumptions (Solar)'!$V$13,'Assumptions (Solar)'!$V$8*Model!$AQ$902*('Assumptions (Solar)'!$AO$20*'Assumptions (Solar)'!$AO$2+'Assumptions (Solar)'!$AO$21*'Assumptions (Solar)'!$AO$3)/10^9),0)</f>
        <v>-0.0388561324</v>
      </c>
      <c r="AY1051" s="160">
        <f>IF($AQ$902&gt;0,IPMT('Assumptions (Solar)'!$V$10,Model!AE$1,'Assumptions (Solar)'!$V$13,'Assumptions (Solar)'!$V$8*Model!$AQ$902*('Assumptions (Solar)'!$AO$20*'Assumptions (Solar)'!$AO$2+'Assumptions (Solar)'!$AO$21*'Assumptions (Solar)'!$AO$3)/10^9),0)</f>
        <v>-0.0268871414</v>
      </c>
      <c r="AZ1051" s="160">
        <f>IF($AQ$902&gt;0,IPMT('Assumptions (Solar)'!$V$10,Model!AF$1,'Assumptions (Solar)'!$V$13,'Assumptions (Solar)'!$V$8*Model!$AQ$902*('Assumptions (Solar)'!$AO$20*'Assumptions (Solar)'!$AO$2+'Assumptions (Solar)'!$AO$21*'Assumptions (Solar)'!$AO$3)/10^9),0)</f>
        <v>-0.01396063111</v>
      </c>
      <c r="BA1051" s="160"/>
      <c r="BB1051" s="160"/>
      <c r="BC1051" s="160"/>
      <c r="BD1051" s="160"/>
      <c r="BE1051" s="160"/>
      <c r="BF1051" s="160"/>
      <c r="BG1051" s="160"/>
      <c r="BH1051" s="160"/>
      <c r="BI1051" s="160"/>
      <c r="BJ1051" s="160"/>
      <c r="BK1051" s="160"/>
      <c r="BL1051" s="160"/>
      <c r="BM1051" s="160"/>
      <c r="BN1051" s="160"/>
      <c r="BO1051" s="160"/>
    </row>
    <row r="1052" ht="15.75" hidden="1" customHeight="1" outlineLevel="1">
      <c r="A1052" s="255"/>
      <c r="B1052" s="38"/>
      <c r="C1052" s="174"/>
      <c r="D1052" s="174"/>
      <c r="E1052" s="174"/>
      <c r="F1052" s="174"/>
      <c r="G1052" s="174"/>
      <c r="H1052" s="174"/>
      <c r="I1052" s="174"/>
      <c r="J1052" s="174"/>
      <c r="K1052" s="174"/>
      <c r="L1052" s="174"/>
      <c r="M1052" s="174"/>
      <c r="N1052" s="174"/>
      <c r="O1052" s="174"/>
      <c r="P1052" s="174"/>
      <c r="Q1052" s="174"/>
      <c r="R1052" s="174"/>
      <c r="S1052" s="174"/>
      <c r="T1052" s="174"/>
      <c r="U1052" s="174"/>
      <c r="V1052" s="174"/>
      <c r="W1052" s="160"/>
      <c r="X1052" s="160"/>
      <c r="Y1052" s="160"/>
      <c r="Z1052" s="160"/>
      <c r="AA1052" s="160"/>
      <c r="AB1052" s="160"/>
      <c r="AC1052" s="160"/>
      <c r="AD1052" s="160"/>
      <c r="AE1052" s="160"/>
      <c r="AF1052" s="160"/>
      <c r="AG1052" s="160"/>
      <c r="AH1052" s="160"/>
      <c r="AI1052" s="160"/>
      <c r="AJ1052" s="179"/>
      <c r="AK1052" s="160"/>
      <c r="AL1052" s="177"/>
      <c r="AM1052" s="177"/>
      <c r="AN1052" s="177"/>
      <c r="AO1052" s="160"/>
      <c r="AP1052" s="160"/>
      <c r="AQ1052" s="160"/>
      <c r="AR1052" s="160">
        <f>IF($AR$902&gt;0,IPMT('Assumptions (Solar)'!$V$10,Model!W$1,'Assumptions (Solar)'!$V$13,'Assumptions (Solar)'!$V$8*Model!$AR$902*('Assumptions (Solar)'!$AP$20*'Assumptions (Solar)'!$AP$2+'Assumptions (Solar)'!$AP$21*'Assumptions (Solar)'!$AP$3)/10^9),0)</f>
        <v>-0.1402254813</v>
      </c>
      <c r="AS1052" s="160">
        <f>IF($AR$902&gt;0,IPMT('Assumptions (Solar)'!$V$10,Model!X$1,'Assumptions (Solar)'!$V$13,'Assumptions (Solar)'!$V$8*Model!$AR$902*('Assumptions (Solar)'!$AP$20*'Assumptions (Solar)'!$AP$2+'Assumptions (Solar)'!$AP$21*'Assumptions (Solar)'!$AP$3)/10^9),0)</f>
        <v>-0.130545788</v>
      </c>
      <c r="AT1052" s="160">
        <f>IF($AR$902&gt;0,IPMT('Assumptions (Solar)'!$V$10,Model!Y$1,'Assumptions (Solar)'!$V$13,'Assumptions (Solar)'!$V$8*Model!$AR$902*('Assumptions (Solar)'!$AP$20*'Assumptions (Solar)'!$AP$2+'Assumptions (Solar)'!$AP$21*'Assumptions (Solar)'!$AP$3)/10^9),0)</f>
        <v>-0.1200917193</v>
      </c>
      <c r="AU1052" s="160">
        <f>IF($AR$902&gt;0,IPMT('Assumptions (Solar)'!$V$10,Model!Z$1,'Assumptions (Solar)'!$V$13,'Assumptions (Solar)'!$V$8*Model!$AR$902*('Assumptions (Solar)'!$AP$20*'Assumptions (Solar)'!$AP$2+'Assumptions (Solar)'!$AP$21*'Assumptions (Solar)'!$AP$3)/10^9),0)</f>
        <v>-0.108801325</v>
      </c>
      <c r="AV1052" s="160">
        <f>IF($AR$902&gt;0,IPMT('Assumptions (Solar)'!$V$10,Model!AA$1,'Assumptions (Solar)'!$V$13,'Assumptions (Solar)'!$V$8*Model!$AR$902*('Assumptions (Solar)'!$AP$20*'Assumptions (Solar)'!$AP$2+'Assumptions (Solar)'!$AP$21*'Assumptions (Solar)'!$AP$3)/10^9),0)</f>
        <v>-0.09660769925</v>
      </c>
      <c r="AW1052" s="160">
        <f>IF($AR$902&gt;0,IPMT('Assumptions (Solar)'!$V$10,Model!AB$1,'Assumptions (Solar)'!$V$13,'Assumptions (Solar)'!$V$8*Model!$AR$902*('Assumptions (Solar)'!$AP$20*'Assumptions (Solar)'!$AP$2+'Assumptions (Solar)'!$AP$21*'Assumptions (Solar)'!$AP$3)/10^9),0)</f>
        <v>-0.08343858341</v>
      </c>
      <c r="AX1052" s="160">
        <f>IF($AR$902&gt;0,IPMT('Assumptions (Solar)'!$V$10,Model!AC$1,'Assumptions (Solar)'!$V$13,'Assumptions (Solar)'!$V$8*Model!$AR$902*('Assumptions (Solar)'!$AP$20*'Assumptions (Solar)'!$AP$2+'Assumptions (Solar)'!$AP$21*'Assumptions (Solar)'!$AP$3)/10^9),0)</f>
        <v>-0.06921593831</v>
      </c>
      <c r="AY1052" s="160">
        <f>IF($AR$902&gt;0,IPMT('Assumptions (Solar)'!$V$10,Model!AD$1,'Assumptions (Solar)'!$V$13,'Assumptions (Solar)'!$V$8*Model!$AR$902*('Assumptions (Solar)'!$AP$20*'Assumptions (Solar)'!$AP$2+'Assumptions (Solar)'!$AP$21*'Assumptions (Solar)'!$AP$3)/10^9),0)</f>
        <v>-0.0538554816</v>
      </c>
      <c r="AZ1052" s="160">
        <f>IF($AR$902&gt;0,IPMT('Assumptions (Solar)'!$V$10,Model!AE$1,'Assumptions (Solar)'!$V$13,'Assumptions (Solar)'!$V$8*Model!$AR$902*('Assumptions (Solar)'!$AP$20*'Assumptions (Solar)'!$AP$2+'Assumptions (Solar)'!$AP$21*'Assumptions (Solar)'!$AP$3)/10^9),0)</f>
        <v>-0.03726618835</v>
      </c>
      <c r="BA1052" s="160">
        <f>IF($AR$902&gt;0,IPMT('Assumptions (Solar)'!$V$10,Model!AF$1,'Assumptions (Solar)'!$V$13,'Assumptions (Solar)'!$V$8*Model!$AR$902*('Assumptions (Solar)'!$AP$20*'Assumptions (Solar)'!$AP$2+'Assumptions (Solar)'!$AP$21*'Assumptions (Solar)'!$AP$3)/10^9),0)</f>
        <v>-0.01934975164</v>
      </c>
      <c r="BB1052" s="160"/>
      <c r="BC1052" s="160"/>
      <c r="BD1052" s="160"/>
      <c r="BE1052" s="160"/>
      <c r="BF1052" s="160"/>
      <c r="BG1052" s="160"/>
      <c r="BH1052" s="160"/>
      <c r="BI1052" s="160"/>
      <c r="BJ1052" s="160"/>
      <c r="BK1052" s="160"/>
      <c r="BL1052" s="160"/>
      <c r="BM1052" s="160"/>
      <c r="BN1052" s="160"/>
      <c r="BO1052" s="160"/>
      <c r="BP1052" s="160"/>
    </row>
    <row r="1053" ht="15.75" hidden="1" customHeight="1" outlineLevel="1">
      <c r="A1053" s="255"/>
      <c r="B1053" s="38"/>
      <c r="C1053" s="174"/>
      <c r="D1053" s="174"/>
      <c r="E1053" s="174"/>
      <c r="F1053" s="174"/>
      <c r="G1053" s="174"/>
      <c r="H1053" s="174"/>
      <c r="I1053" s="174"/>
      <c r="J1053" s="174"/>
      <c r="K1053" s="174"/>
      <c r="L1053" s="174"/>
      <c r="M1053" s="174"/>
      <c r="N1053" s="174"/>
      <c r="O1053" s="174"/>
      <c r="P1053" s="174"/>
      <c r="Q1053" s="174"/>
      <c r="R1053" s="174"/>
      <c r="S1053" s="174"/>
      <c r="T1053" s="174"/>
      <c r="U1053" s="174"/>
      <c r="V1053" s="174"/>
      <c r="W1053" s="160"/>
      <c r="X1053" s="160"/>
      <c r="Y1053" s="160"/>
      <c r="Z1053" s="160"/>
      <c r="AA1053" s="160"/>
      <c r="AB1053" s="160"/>
      <c r="AC1053" s="160"/>
      <c r="AD1053" s="160"/>
      <c r="AE1053" s="160"/>
      <c r="AF1053" s="160"/>
      <c r="AG1053" s="160"/>
      <c r="AH1053" s="160"/>
      <c r="AI1053" s="160"/>
      <c r="AJ1053" s="179"/>
      <c r="AK1053" s="160"/>
      <c r="AL1053" s="177"/>
      <c r="AM1053" s="177"/>
      <c r="AN1053" s="177"/>
      <c r="AO1053" s="160"/>
      <c r="AP1053" s="160"/>
      <c r="AQ1053" s="160"/>
      <c r="AR1053" s="160"/>
      <c r="AS1053" s="160">
        <f>IF($AS$902&gt;0,IPMT('Assumptions (Solar)'!$V$10,Model!W$1,'Assumptions (Solar)'!$V$13,'Assumptions (Solar)'!$V$8*Model!$AS$902*('Assumptions (Solar)'!$AQ$20*'Assumptions (Solar)'!$AQ$2+'Assumptions (Solar)'!$AQ$21*'Assumptions (Solar)'!$AQ$3)/10^9),0)</f>
        <v>-0.173512373</v>
      </c>
      <c r="AT1053" s="160">
        <f>IF($AS$902&gt;0,IPMT('Assumptions (Solar)'!$V$10,Model!X$1,'Assumptions (Solar)'!$V$13,'Assumptions (Solar)'!$V$8*Model!$AS$902*('Assumptions (Solar)'!$AQ$20*'Assumptions (Solar)'!$AQ$2+'Assumptions (Solar)'!$AQ$21*'Assumptions (Solar)'!$AQ$3)/10^9),0)</f>
        <v>-0.1615349026</v>
      </c>
      <c r="AU1053" s="160">
        <f>IF($AS$902&gt;0,IPMT('Assumptions (Solar)'!$V$10,Model!Y$1,'Assumptions (Solar)'!$V$13,'Assumptions (Solar)'!$V$8*Model!$AS$902*('Assumptions (Solar)'!$AQ$20*'Assumptions (Solar)'!$AQ$2+'Assumptions (Solar)'!$AQ$21*'Assumptions (Solar)'!$AQ$3)/10^9),0)</f>
        <v>-0.1485992346</v>
      </c>
      <c r="AV1053" s="160">
        <f>IF($AS$902&gt;0,IPMT('Assumptions (Solar)'!$V$10,Model!Z$1,'Assumptions (Solar)'!$V$13,'Assumptions (Solar)'!$V$8*Model!$AS$902*('Assumptions (Solar)'!$AQ$20*'Assumptions (Solar)'!$AQ$2+'Assumptions (Solar)'!$AQ$21*'Assumptions (Solar)'!$AQ$3)/10^9),0)</f>
        <v>-0.1346287131</v>
      </c>
      <c r="AW1053" s="160">
        <f>IF($AS$902&gt;0,IPMT('Assumptions (Solar)'!$V$10,Model!AA$1,'Assumptions (Solar)'!$V$13,'Assumptions (Solar)'!$V$8*Model!$AS$902*('Assumptions (Solar)'!$AQ$20*'Assumptions (Solar)'!$AQ$2+'Assumptions (Solar)'!$AQ$21*'Assumptions (Solar)'!$AQ$3)/10^9),0)</f>
        <v>-0.1195405499</v>
      </c>
      <c r="AX1053" s="160">
        <f>IF($AS$902&gt;0,IPMT('Assumptions (Solar)'!$V$10,Model!AB$1,'Assumptions (Solar)'!$V$13,'Assumptions (Solar)'!$V$8*Model!$AS$902*('Assumptions (Solar)'!$AQ$20*'Assumptions (Solar)'!$AQ$2+'Assumptions (Solar)'!$AQ$21*'Assumptions (Solar)'!$AQ$3)/10^9),0)</f>
        <v>-0.1032453337</v>
      </c>
      <c r="AY1053" s="160">
        <f>IF($AS$902&gt;0,IPMT('Assumptions (Solar)'!$V$10,Model!AC$1,'Assumptions (Solar)'!$V$13,'Assumptions (Solar)'!$V$8*Model!$AS$902*('Assumptions (Solar)'!$AQ$20*'Assumptions (Solar)'!$AQ$2+'Assumptions (Solar)'!$AQ$21*'Assumptions (Solar)'!$AQ$3)/10^9),0)</f>
        <v>-0.08564650016</v>
      </c>
      <c r="AZ1053" s="160">
        <f>IF($AS$902&gt;0,IPMT('Assumptions (Solar)'!$V$10,Model!AD$1,'Assumptions (Solar)'!$V$13,'Assumptions (Solar)'!$V$8*Model!$AS$902*('Assumptions (Solar)'!$AQ$20*'Assumptions (Solar)'!$AQ$2+'Assumptions (Solar)'!$AQ$21*'Assumptions (Solar)'!$AQ$3)/10^9),0)</f>
        <v>-0.06663975995</v>
      </c>
      <c r="BA1053" s="160">
        <f>IF($AS$902&gt;0,IPMT('Assumptions (Solar)'!$V$10,Model!AE$1,'Assumptions (Solar)'!$V$13,'Assumptions (Solar)'!$V$8*Model!$AS$902*('Assumptions (Solar)'!$AQ$20*'Assumptions (Solar)'!$AQ$2+'Assumptions (Solar)'!$AQ$21*'Assumptions (Solar)'!$AQ$3)/10^9),0)</f>
        <v>-0.04611248052</v>
      </c>
      <c r="BB1053" s="160">
        <f>IF($AS$902&gt;0,IPMT('Assumptions (Solar)'!$V$10,Model!AF$1,'Assumptions (Solar)'!$V$13,'Assumptions (Solar)'!$V$8*Model!$AS$902*('Assumptions (Solar)'!$AQ$20*'Assumptions (Solar)'!$AQ$2+'Assumptions (Solar)'!$AQ$21*'Assumptions (Solar)'!$AQ$3)/10^9),0)</f>
        <v>-0.02394301873</v>
      </c>
      <c r="BC1053" s="160"/>
      <c r="BD1053" s="160"/>
      <c r="BE1053" s="160"/>
      <c r="BF1053" s="160"/>
      <c r="BG1053" s="160"/>
      <c r="BH1053" s="160"/>
      <c r="BI1053" s="160"/>
      <c r="BJ1053" s="160"/>
      <c r="BK1053" s="160"/>
      <c r="BL1053" s="160"/>
      <c r="BM1053" s="160"/>
      <c r="BN1053" s="160"/>
      <c r="BO1053" s="160"/>
      <c r="BP1053" s="160"/>
      <c r="BQ1053" s="160"/>
      <c r="BR1053" s="160"/>
    </row>
    <row r="1054" ht="15.75" hidden="1" customHeight="1" outlineLevel="1">
      <c r="A1054" s="255"/>
      <c r="B1054" s="38"/>
      <c r="C1054" s="174"/>
      <c r="D1054" s="174"/>
      <c r="E1054" s="174"/>
      <c r="F1054" s="174"/>
      <c r="G1054" s="174"/>
      <c r="H1054" s="174"/>
      <c r="I1054" s="174"/>
      <c r="J1054" s="174"/>
      <c r="K1054" s="174"/>
      <c r="L1054" s="174"/>
      <c r="M1054" s="174"/>
      <c r="N1054" s="174"/>
      <c r="O1054" s="174"/>
      <c r="P1054" s="174"/>
      <c r="Q1054" s="174"/>
      <c r="R1054" s="174"/>
      <c r="S1054" s="174"/>
      <c r="T1054" s="174"/>
      <c r="U1054" s="174"/>
      <c r="V1054" s="174"/>
      <c r="W1054" s="160"/>
      <c r="X1054" s="160"/>
      <c r="Y1054" s="160"/>
      <c r="Z1054" s="160"/>
      <c r="AA1054" s="160"/>
      <c r="AB1054" s="160"/>
      <c r="AC1054" s="160"/>
      <c r="AD1054" s="160"/>
      <c r="AE1054" s="160"/>
      <c r="AF1054" s="160"/>
      <c r="AG1054" s="160"/>
      <c r="AH1054" s="160"/>
      <c r="AI1054" s="160"/>
      <c r="AJ1054" s="179"/>
      <c r="AK1054" s="160"/>
      <c r="AL1054" s="177"/>
      <c r="AM1054" s="177"/>
      <c r="AN1054" s="177"/>
      <c r="AO1054" s="160"/>
      <c r="AP1054" s="160"/>
      <c r="AQ1054" s="160"/>
      <c r="AR1054" s="160"/>
      <c r="AS1054" s="160"/>
      <c r="AT1054" s="160">
        <f>IF($AT$902&gt;0,IPMT('Assumptions (Solar)'!$V$10,Model!W$1,'Assumptions (Solar)'!$V$13,'Assumptions (Solar)'!$V$8*Model!$AT$902*('Assumptions (Solar)'!$AR$20*'Assumptions (Solar)'!$AR$2+'Assumptions (Solar)'!$AR$21*'Assumptions (Solar)'!$AR$3)/10^9),0)</f>
        <v>-0.1640201811</v>
      </c>
      <c r="AU1054" s="160">
        <f>IF($AT$902&gt;0,IPMT('Assumptions (Solar)'!$V$10,Model!X$1,'Assumptions (Solar)'!$V$13,'Assumptions (Solar)'!$V$8*Model!$AT$902*('Assumptions (Solar)'!$AR$20*'Assumptions (Solar)'!$AR$2+'Assumptions (Solar)'!$AR$21*'Assumptions (Solar)'!$AR$3)/10^9),0)</f>
        <v>-0.1526979519</v>
      </c>
      <c r="AV1054" s="160">
        <f>IF($AT$902&gt;0,IPMT('Assumptions (Solar)'!$V$10,Model!Y$1,'Assumptions (Solar)'!$V$13,'Assumptions (Solar)'!$V$8*Model!$AT$902*('Assumptions (Solar)'!$AR$20*'Assumptions (Solar)'!$AR$2+'Assumptions (Solar)'!$AR$21*'Assumptions (Solar)'!$AR$3)/10^9),0)</f>
        <v>-0.1404699443</v>
      </c>
      <c r="AW1054" s="160">
        <f>IF($AT$902&gt;0,IPMT('Assumptions (Solar)'!$V$10,Model!Z$1,'Assumptions (Solar)'!$V$13,'Assumptions (Solar)'!$V$8*Model!$AT$902*('Assumptions (Solar)'!$AR$20*'Assumptions (Solar)'!$AR$2+'Assumptions (Solar)'!$AR$21*'Assumptions (Solar)'!$AR$3)/10^9),0)</f>
        <v>-0.1272636961</v>
      </c>
      <c r="AX1054" s="160">
        <f>IF($AT$902&gt;0,IPMT('Assumptions (Solar)'!$V$10,Model!AA$1,'Assumptions (Solar)'!$V$13,'Assumptions (Solar)'!$V$8*Model!$AT$902*('Assumptions (Solar)'!$AR$20*'Assumptions (Solar)'!$AR$2+'Assumptions (Solar)'!$AR$21*'Assumptions (Solar)'!$AR$3)/10^9),0)</f>
        <v>-0.1130009481</v>
      </c>
      <c r="AY1054" s="160">
        <f>IF($AT$902&gt;0,IPMT('Assumptions (Solar)'!$V$10,Model!AB$1,'Assumptions (Solar)'!$V$13,'Assumptions (Solar)'!$V$8*Model!$AT$902*('Assumptions (Solar)'!$AR$20*'Assumptions (Solar)'!$AR$2+'Assumptions (Solar)'!$AR$21*'Assumptions (Solar)'!$AR$3)/10^9),0)</f>
        <v>-0.09759718021</v>
      </c>
      <c r="AZ1054" s="160">
        <f>IF($AT$902&gt;0,IPMT('Assumptions (Solar)'!$V$10,Model!AC$1,'Assumptions (Solar)'!$V$13,'Assumptions (Solar)'!$V$8*Model!$AT$902*('Assumptions (Solar)'!$AR$20*'Assumptions (Solar)'!$AR$2+'Assumptions (Solar)'!$AR$21*'Assumptions (Solar)'!$AR$3)/10^9),0)</f>
        <v>-0.0809611109</v>
      </c>
      <c r="BA1054" s="160">
        <f>IF($AT$902&gt;0,IPMT('Assumptions (Solar)'!$V$10,Model!AD$1,'Assumptions (Solar)'!$V$13,'Assumptions (Solar)'!$V$8*Model!$AT$902*('Assumptions (Solar)'!$AR$20*'Assumptions (Solar)'!$AR$2+'Assumptions (Solar)'!$AR$21*'Assumptions (Solar)'!$AR$3)/10^9),0)</f>
        <v>-0.06299415604</v>
      </c>
      <c r="BB1054" s="160">
        <f>IF($AT$902&gt;0,IPMT('Assumptions (Solar)'!$V$10,Model!AE$1,'Assumptions (Solar)'!$V$13,'Assumptions (Solar)'!$V$8*Model!$AT$902*('Assumptions (Solar)'!$AR$20*'Assumptions (Solar)'!$AR$2+'Assumptions (Solar)'!$AR$21*'Assumptions (Solar)'!$AR$3)/10^9),0)</f>
        <v>-0.04358984479</v>
      </c>
      <c r="BC1054" s="160">
        <f>IF($AT$902&gt;0,IPMT('Assumptions (Solar)'!$V$10,Model!AF$1,'Assumptions (Solar)'!$V$13,'Assumptions (Solar)'!$V$8*Model!$AT$902*('Assumptions (Solar)'!$AR$20*'Assumptions (Solar)'!$AR$2+'Assumptions (Solar)'!$AR$21*'Assumptions (Solar)'!$AR$3)/10^9),0)</f>
        <v>-0.02263318864</v>
      </c>
      <c r="BD1054" s="160"/>
      <c r="BE1054" s="160"/>
      <c r="BF1054" s="160"/>
      <c r="BG1054" s="160"/>
      <c r="BH1054" s="160"/>
      <c r="BI1054" s="160"/>
      <c r="BJ1054" s="160"/>
      <c r="BK1054" s="160"/>
      <c r="BL1054" s="160"/>
      <c r="BM1054" s="160"/>
      <c r="BN1054" s="160"/>
      <c r="BO1054" s="160"/>
      <c r="BP1054" s="160"/>
      <c r="BQ1054" s="160"/>
      <c r="BR1054" s="160"/>
    </row>
    <row r="1055" ht="15.75" hidden="1" customHeight="1" outlineLevel="1">
      <c r="A1055" s="255"/>
      <c r="B1055" s="38"/>
      <c r="C1055" s="174"/>
      <c r="D1055" s="174"/>
      <c r="E1055" s="174"/>
      <c r="F1055" s="174"/>
      <c r="G1055" s="174"/>
      <c r="H1055" s="174"/>
      <c r="I1055" s="174"/>
      <c r="J1055" s="174"/>
      <c r="K1055" s="174"/>
      <c r="L1055" s="174"/>
      <c r="M1055" s="174"/>
      <c r="N1055" s="174"/>
      <c r="O1055" s="174"/>
      <c r="P1055" s="174"/>
      <c r="Q1055" s="174"/>
      <c r="R1055" s="174"/>
      <c r="S1055" s="174"/>
      <c r="T1055" s="174"/>
      <c r="U1055" s="174"/>
      <c r="V1055" s="174"/>
      <c r="W1055" s="160"/>
      <c r="X1055" s="160"/>
      <c r="Y1055" s="160"/>
      <c r="Z1055" s="160"/>
      <c r="AA1055" s="160"/>
      <c r="AB1055" s="160"/>
      <c r="AC1055" s="160"/>
      <c r="AD1055" s="160"/>
      <c r="AE1055" s="160"/>
      <c r="AF1055" s="160"/>
      <c r="AG1055" s="160"/>
      <c r="AH1055" s="160"/>
      <c r="AI1055" s="160"/>
      <c r="AJ1055" s="179"/>
      <c r="AK1055" s="160"/>
      <c r="AL1055" s="177"/>
      <c r="AM1055" s="177"/>
      <c r="AN1055" s="177"/>
      <c r="AO1055" s="160"/>
      <c r="AP1055" s="160"/>
      <c r="AQ1055" s="160"/>
      <c r="AR1055" s="160"/>
      <c r="AS1055" s="160"/>
      <c r="AT1055" s="160"/>
      <c r="AU1055" s="160">
        <f>IF($AU$902&gt;0,IPMT('Assumptions (Solar)'!$V$10,Model!W$1,'Assumptions (Solar)'!$V$13,'Assumptions (Solar)'!$V$8*Model!$AU$902*('Assumptions (Solar)'!$AS$20*'Assumptions (Solar)'!$AS$2+'Assumptions (Solar)'!$AS$21*'Assumptions (Solar)'!$AS$3)/10^9),0)</f>
        <v>-0.1322065594</v>
      </c>
      <c r="AV1055" s="160">
        <f>IF($AU$902&gt;0,IPMT('Assumptions (Solar)'!$V$10,Model!X$1,'Assumptions (Solar)'!$V$13,'Assumptions (Solar)'!$V$8*Model!$AU$902*('Assumptions (Solar)'!$AS$20*'Assumptions (Solar)'!$AS$2+'Assumptions (Solar)'!$AS$21*'Assumptions (Solar)'!$AS$3)/10^9),0)</f>
        <v>-0.1230804082</v>
      </c>
      <c r="AW1055" s="160">
        <f>IF($AU$902&gt;0,IPMT('Assumptions (Solar)'!$V$10,Model!Y$1,'Assumptions (Solar)'!$V$13,'Assumptions (Solar)'!$V$8*Model!$AU$902*('Assumptions (Solar)'!$AS$20*'Assumptions (Solar)'!$AS$2+'Assumptions (Solar)'!$AS$21*'Assumptions (Solar)'!$AS$3)/10^9),0)</f>
        <v>-0.1132241649</v>
      </c>
      <c r="AX1055" s="160">
        <f>IF($AU$902&gt;0,IPMT('Assumptions (Solar)'!$V$10,Model!Z$1,'Assumptions (Solar)'!$V$13,'Assumptions (Solar)'!$V$8*Model!$AU$902*('Assumptions (Solar)'!$AS$20*'Assumptions (Solar)'!$AS$2+'Assumptions (Solar)'!$AS$21*'Assumptions (Solar)'!$AS$3)/10^9),0)</f>
        <v>-0.1025794221</v>
      </c>
      <c r="AY1055" s="160">
        <f>IF($AU$902&gt;0,IPMT('Assumptions (Solar)'!$V$10,Model!AA$1,'Assumptions (Solar)'!$V$13,'Assumptions (Solar)'!$V$8*Model!$AU$902*('Assumptions (Solar)'!$AS$20*'Assumptions (Solar)'!$AS$2+'Assumptions (Solar)'!$AS$21*'Assumptions (Solar)'!$AS$3)/10^9),0)</f>
        <v>-0.09108309996</v>
      </c>
      <c r="AZ1055" s="160">
        <f>IF($AU$902&gt;0,IPMT('Assumptions (Solar)'!$V$10,Model!AB$1,'Assumptions (Solar)'!$V$13,'Assumptions (Solar)'!$V$8*Model!$AU$902*('Assumptions (Solar)'!$AS$20*'Assumptions (Solar)'!$AS$2+'Assumptions (Solar)'!$AS$21*'Assumptions (Solar)'!$AS$3)/10^9),0)</f>
        <v>-0.07866707201</v>
      </c>
      <c r="BA1055" s="160">
        <f>IF($AU$902&gt;0,IPMT('Assumptions (Solar)'!$V$10,Model!AC$1,'Assumptions (Solar)'!$V$13,'Assumptions (Solar)'!$V$8*Model!$AU$902*('Assumptions (Solar)'!$AS$20*'Assumptions (Solar)'!$AS$2+'Assumptions (Solar)'!$AS$21*'Assumptions (Solar)'!$AS$3)/10^9),0)</f>
        <v>-0.06525776182</v>
      </c>
      <c r="BB1055" s="160">
        <f>IF($AU$902&gt;0,IPMT('Assumptions (Solar)'!$V$10,Model!AD$1,'Assumptions (Solar)'!$V$13,'Assumptions (Solar)'!$V$8*Model!$AU$902*('Assumptions (Solar)'!$AS$20*'Assumptions (Solar)'!$AS$2+'Assumptions (Solar)'!$AS$21*'Assumptions (Solar)'!$AS$3)/10^9),0)</f>
        <v>-0.05077570682</v>
      </c>
      <c r="BC1055" s="160">
        <f>IF($AU$902&gt;0,IPMT('Assumptions (Solar)'!$V$10,Model!AE$1,'Assumptions (Solar)'!$V$13,'Assumptions (Solar)'!$V$8*Model!$AU$902*('Assumptions (Solar)'!$AS$20*'Assumptions (Solar)'!$AS$2+'Assumptions (Solar)'!$AS$21*'Assumptions (Solar)'!$AS$3)/10^9),0)</f>
        <v>-0.03513508742</v>
      </c>
      <c r="BD1055" s="160">
        <f>IF($AU$902&gt;0,IPMT('Assumptions (Solar)'!$V$10,Model!AF$1,'Assumptions (Solar)'!$V$13,'Assumptions (Solar)'!$V$8*Model!$AU$902*('Assumptions (Solar)'!$AS$20*'Assumptions (Solar)'!$AS$2+'Assumptions (Solar)'!$AS$21*'Assumptions (Solar)'!$AS$3)/10^9),0)</f>
        <v>-0.01824321847</v>
      </c>
      <c r="BE1055" s="160"/>
      <c r="BF1055" s="160"/>
      <c r="BG1055" s="160"/>
      <c r="BH1055" s="160"/>
      <c r="BI1055" s="160"/>
      <c r="BJ1055" s="160"/>
      <c r="BK1055" s="160"/>
      <c r="BL1055" s="160"/>
      <c r="BM1055" s="160"/>
      <c r="BN1055" s="160"/>
      <c r="BO1055" s="160"/>
      <c r="BP1055" s="160"/>
      <c r="BQ1055" s="160"/>
      <c r="BR1055" s="160"/>
      <c r="BS1055" s="160"/>
    </row>
    <row r="1056" ht="15.75" hidden="1" customHeight="1" outlineLevel="1">
      <c r="A1056" s="255"/>
      <c r="B1056" s="38"/>
      <c r="C1056" s="174"/>
      <c r="D1056" s="174"/>
      <c r="E1056" s="174"/>
      <c r="F1056" s="174"/>
      <c r="G1056" s="174"/>
      <c r="H1056" s="174"/>
      <c r="I1056" s="174"/>
      <c r="J1056" s="174"/>
      <c r="K1056" s="174"/>
      <c r="L1056" s="174"/>
      <c r="M1056" s="174"/>
      <c r="N1056" s="174"/>
      <c r="O1056" s="174"/>
      <c r="P1056" s="174"/>
      <c r="Q1056" s="174"/>
      <c r="R1056" s="174"/>
      <c r="S1056" s="174"/>
      <c r="T1056" s="174"/>
      <c r="U1056" s="174"/>
      <c r="V1056" s="174"/>
      <c r="W1056" s="160"/>
      <c r="X1056" s="160"/>
      <c r="Y1056" s="160"/>
      <c r="Z1056" s="160"/>
      <c r="AA1056" s="160"/>
      <c r="AB1056" s="160"/>
      <c r="AC1056" s="160"/>
      <c r="AD1056" s="160"/>
      <c r="AE1056" s="160"/>
      <c r="AF1056" s="160"/>
      <c r="AG1056" s="160"/>
      <c r="AH1056" s="160"/>
      <c r="AI1056" s="160"/>
      <c r="AJ1056" s="179"/>
      <c r="AK1056" s="160"/>
      <c r="AL1056" s="177"/>
      <c r="AM1056" s="177"/>
      <c r="AN1056" s="177"/>
      <c r="AO1056" s="160"/>
      <c r="AP1056" s="160"/>
      <c r="AQ1056" s="160"/>
      <c r="AR1056" s="160"/>
      <c r="AS1056" s="160"/>
      <c r="AT1056" s="160"/>
      <c r="AU1056" s="160"/>
      <c r="AV1056" s="160">
        <f>IF($AV$902&gt;0,IPMT('Assumptions (Solar)'!$V$10,Model!W$1,'Assumptions (Solar)'!$V$13,'Assumptions (Solar)'!$V$8*Model!$AV$902*('Assumptions (Solar)'!$AT$20*'Assumptions (Solar)'!$AT$2+'Assumptions (Solar)'!$AT$21*'Assumptions (Solar)'!$AT$3)/10^9),0)</f>
        <v>-0.0822191969</v>
      </c>
      <c r="AW1056" s="160">
        <f>IF($AV$902&gt;0,IPMT('Assumptions (Solar)'!$V$10,Model!X$1,'Assumptions (Solar)'!$V$13,'Assumptions (Solar)'!$V$8*Model!$AV$902*('Assumptions (Solar)'!$AT$20*'Assumptions (Solar)'!$AT$2+'Assumptions (Solar)'!$AT$21*'Assumptions (Solar)'!$AT$3)/10^9),0)</f>
        <v>-0.07654364778</v>
      </c>
      <c r="AX1056" s="160">
        <f>IF($AV$902&gt;0,IPMT('Assumptions (Solar)'!$V$10,Model!Y$1,'Assumptions (Solar)'!$V$13,'Assumptions (Solar)'!$V$8*Model!$AV$902*('Assumptions (Solar)'!$AT$20*'Assumptions (Solar)'!$AT$2+'Assumptions (Solar)'!$AT$21*'Assumptions (Solar)'!$AT$3)/10^9),0)</f>
        <v>-0.07041405473</v>
      </c>
      <c r="AY1056" s="160">
        <f>IF($AV$902&gt;0,IPMT('Assumptions (Solar)'!$V$10,Model!Z$1,'Assumptions (Solar)'!$V$13,'Assumptions (Solar)'!$V$8*Model!$AV$902*('Assumptions (Solar)'!$AT$20*'Assumptions (Solar)'!$AT$2+'Assumptions (Solar)'!$AT$21*'Assumptions (Solar)'!$AT$3)/10^9),0)</f>
        <v>-0.06379409423</v>
      </c>
      <c r="AZ1056" s="160">
        <f>IF($AV$902&gt;0,IPMT('Assumptions (Solar)'!$V$10,Model!AA$1,'Assumptions (Solar)'!$V$13,'Assumptions (Solar)'!$V$8*Model!$AV$902*('Assumptions (Solar)'!$AT$20*'Assumptions (Solar)'!$AT$2+'Assumptions (Solar)'!$AT$21*'Assumptions (Solar)'!$AT$3)/10^9),0)</f>
        <v>-0.05664453689</v>
      </c>
      <c r="BA1056" s="160">
        <f>IF($AV$902&gt;0,IPMT('Assumptions (Solar)'!$V$10,Model!AB$1,'Assumptions (Solar)'!$V$13,'Assumptions (Solar)'!$V$8*Model!$AV$902*('Assumptions (Solar)'!$AT$20*'Assumptions (Solar)'!$AT$2+'Assumptions (Solar)'!$AT$21*'Assumptions (Solar)'!$AT$3)/10^9),0)</f>
        <v>-0.04892301497</v>
      </c>
      <c r="BB1056" s="160">
        <f>IF($AV$902&gt;0,IPMT('Assumptions (Solar)'!$V$10,Model!AC$1,'Assumptions (Solar)'!$V$13,'Assumptions (Solar)'!$V$8*Model!$AV$902*('Assumptions (Solar)'!$AT$20*'Assumptions (Solar)'!$AT$2+'Assumptions (Solar)'!$AT$21*'Assumptions (Solar)'!$AT$3)/10^9),0)</f>
        <v>-0.04058377129</v>
      </c>
      <c r="BC1056" s="160">
        <f>IF($AV$902&gt;0,IPMT('Assumptions (Solar)'!$V$10,Model!AD$1,'Assumptions (Solar)'!$V$13,'Assumptions (Solar)'!$V$8*Model!$AV$902*('Assumptions (Solar)'!$AT$20*'Assumptions (Solar)'!$AT$2+'Assumptions (Solar)'!$AT$21*'Assumptions (Solar)'!$AT$3)/10^9),0)</f>
        <v>-0.03157738812</v>
      </c>
      <c r="BD1056" s="160">
        <f>IF($AV$902&gt;0,IPMT('Assumptions (Solar)'!$V$10,Model!AE$1,'Assumptions (Solar)'!$V$13,'Assumptions (Solar)'!$V$8*Model!$AV$902*('Assumptions (Solar)'!$AT$20*'Assumptions (Solar)'!$AT$2+'Assumptions (Solar)'!$AT$21*'Assumptions (Solar)'!$AT$3)/10^9),0)</f>
        <v>-0.02185049429</v>
      </c>
      <c r="BE1056" s="160">
        <f>IF($AV$902&gt;0,IPMT('Assumptions (Solar)'!$V$10,Model!AF$1,'Assumptions (Solar)'!$V$13,'Assumptions (Solar)'!$V$8*Model!$AV$902*('Assumptions (Solar)'!$AT$20*'Assumptions (Solar)'!$AT$2+'Assumptions (Solar)'!$AT$21*'Assumptions (Solar)'!$AT$3)/10^9),0)</f>
        <v>-0.01134544896</v>
      </c>
      <c r="BF1056" s="160"/>
      <c r="BG1056" s="160"/>
      <c r="BH1056" s="160"/>
      <c r="BI1056" s="160"/>
      <c r="BJ1056" s="160"/>
      <c r="BK1056" s="160"/>
      <c r="BL1056" s="160"/>
      <c r="BM1056" s="160"/>
      <c r="BN1056" s="160"/>
      <c r="BO1056" s="160"/>
      <c r="BP1056" s="160"/>
      <c r="BQ1056" s="160"/>
      <c r="BR1056" s="160"/>
      <c r="BS1056" s="160"/>
      <c r="BT1056" s="160"/>
    </row>
    <row r="1057" ht="15.75" hidden="1" customHeight="1" outlineLevel="1">
      <c r="A1057" s="255"/>
      <c r="B1057" s="38"/>
      <c r="C1057" s="174"/>
      <c r="D1057" s="174"/>
      <c r="E1057" s="174"/>
      <c r="F1057" s="174"/>
      <c r="G1057" s="174"/>
      <c r="H1057" s="174"/>
      <c r="I1057" s="174"/>
      <c r="J1057" s="174"/>
      <c r="K1057" s="174"/>
      <c r="L1057" s="174"/>
      <c r="M1057" s="174"/>
      <c r="N1057" s="174"/>
      <c r="O1057" s="174"/>
      <c r="P1057" s="174"/>
      <c r="Q1057" s="174"/>
      <c r="R1057" s="174"/>
      <c r="S1057" s="174"/>
      <c r="T1057" s="174"/>
      <c r="U1057" s="174"/>
      <c r="V1057" s="174"/>
      <c r="W1057" s="160"/>
      <c r="X1057" s="160"/>
      <c r="Y1057" s="160"/>
      <c r="Z1057" s="160"/>
      <c r="AA1057" s="160"/>
      <c r="AB1057" s="160"/>
      <c r="AC1057" s="160"/>
      <c r="AD1057" s="160"/>
      <c r="AE1057" s="160"/>
      <c r="AF1057" s="160"/>
      <c r="AG1057" s="160"/>
      <c r="AH1057" s="160"/>
      <c r="AI1057" s="160"/>
      <c r="AJ1057" s="179"/>
      <c r="AK1057" s="160"/>
      <c r="AL1057" s="177"/>
      <c r="AM1057" s="177"/>
      <c r="AN1057" s="177"/>
      <c r="AO1057" s="160"/>
      <c r="AP1057" s="160"/>
      <c r="AQ1057" s="160"/>
      <c r="AR1057" s="160"/>
      <c r="AS1057" s="160"/>
      <c r="AT1057" s="160"/>
      <c r="AU1057" s="160"/>
      <c r="AV1057" s="160"/>
      <c r="AW1057" s="160">
        <f>IF($AW$902&gt;0,IPMT('Assumptions (Solar)'!$V$10,Model!W$1,'Assumptions (Solar)'!$V$13,'Assumptions (Solar)'!$V$8*Model!$AW$902*('Assumptions (Solar)'!$AU$20*'Assumptions (Solar)'!$AU$2+'Assumptions (Solar)'!$AU$21*'Assumptions (Solar)'!$AU$3)/10^9),0)</f>
        <v>-0.08302162107</v>
      </c>
      <c r="AX1057" s="160">
        <f>IF($AW$902&gt;0,IPMT('Assumptions (Solar)'!$V$10,Model!X$1,'Assumptions (Solar)'!$V$13,'Assumptions (Solar)'!$V$8*Model!$AW$902*('Assumptions (Solar)'!$AU$20*'Assumptions (Solar)'!$AU$2+'Assumptions (Solar)'!$AU$21*'Assumptions (Solar)'!$AU$3)/10^9),0)</f>
        <v>-0.07729068102</v>
      </c>
      <c r="AY1057" s="160">
        <f>IF($AW$902&gt;0,IPMT('Assumptions (Solar)'!$V$10,Model!Y$1,'Assumptions (Solar)'!$V$13,'Assumptions (Solar)'!$V$8*Model!$AW$902*('Assumptions (Solar)'!$AU$20*'Assumptions (Solar)'!$AU$2+'Assumptions (Solar)'!$AU$21*'Assumptions (Solar)'!$AU$3)/10^9),0)</f>
        <v>-0.07110126576</v>
      </c>
      <c r="AZ1057" s="160">
        <f>IF($AW$902&gt;0,IPMT('Assumptions (Solar)'!$V$10,Model!Z$1,'Assumptions (Solar)'!$V$13,'Assumptions (Solar)'!$V$8*Model!$AW$902*('Assumptions (Solar)'!$AU$20*'Assumptions (Solar)'!$AU$2+'Assumptions (Solar)'!$AU$21*'Assumptions (Solar)'!$AU$3)/10^9),0)</f>
        <v>-0.06441669728</v>
      </c>
      <c r="BA1057" s="160">
        <f>IF($AW$902&gt;0,IPMT('Assumptions (Solar)'!$V$10,Model!AA$1,'Assumptions (Solar)'!$V$13,'Assumptions (Solar)'!$V$8*Model!$AW$902*('Assumptions (Solar)'!$AU$20*'Assumptions (Solar)'!$AU$2+'Assumptions (Solar)'!$AU$21*'Assumptions (Solar)'!$AU$3)/10^9),0)</f>
        <v>-0.05719736333</v>
      </c>
      <c r="BB1057" s="160">
        <f>IF($AW$902&gt;0,IPMT('Assumptions (Solar)'!$V$10,Model!AB$1,'Assumptions (Solar)'!$V$13,'Assumptions (Solar)'!$V$8*Model!$AW$902*('Assumptions (Solar)'!$AU$20*'Assumptions (Solar)'!$AU$2+'Assumptions (Solar)'!$AU$21*'Assumptions (Solar)'!$AU$3)/10^9),0)</f>
        <v>-0.04940048265</v>
      </c>
      <c r="BC1057" s="160">
        <f>IF($AW$902&gt;0,IPMT('Assumptions (Solar)'!$V$10,Model!AC$1,'Assumptions (Solar)'!$V$13,'Assumptions (Solar)'!$V$8*Model!$AW$902*('Assumptions (Solar)'!$AU$20*'Assumptions (Solar)'!$AU$2+'Assumptions (Solar)'!$AU$21*'Assumptions (Solar)'!$AU$3)/10^9),0)</f>
        <v>-0.04097985153</v>
      </c>
      <c r="BD1057" s="160">
        <f>IF($AW$902&gt;0,IPMT('Assumptions (Solar)'!$V$10,Model!AD$1,'Assumptions (Solar)'!$V$13,'Assumptions (Solar)'!$V$8*Model!$AW$902*('Assumptions (Solar)'!$AU$20*'Assumptions (Solar)'!$AU$2+'Assumptions (Solar)'!$AU$21*'Assumptions (Solar)'!$AU$3)/10^9),0)</f>
        <v>-0.03188556991</v>
      </c>
      <c r="BE1057" s="160">
        <f>IF($AW$902&gt;0,IPMT('Assumptions (Solar)'!$V$10,Model!AE$1,'Assumptions (Solar)'!$V$13,'Assumptions (Solar)'!$V$8*Model!$AW$902*('Assumptions (Solar)'!$AU$20*'Assumptions (Solar)'!$AU$2+'Assumptions (Solar)'!$AU$21*'Assumptions (Solar)'!$AU$3)/10^9),0)</f>
        <v>-0.02206374576</v>
      </c>
      <c r="BF1057" s="160">
        <f>IF($AW$902&gt;0,IPMT('Assumptions (Solar)'!$V$10,Model!AF$1,'Assumptions (Solar)'!$V$13,'Assumptions (Solar)'!$V$8*Model!$AW$902*('Assumptions (Solar)'!$AU$20*'Assumptions (Solar)'!$AU$2+'Assumptions (Solar)'!$AU$21*'Assumptions (Solar)'!$AU$3)/10^9),0)</f>
        <v>-0.01145617568</v>
      </c>
      <c r="BG1057" s="160"/>
      <c r="BH1057" s="160"/>
      <c r="BI1057" s="160"/>
      <c r="BJ1057" s="160"/>
      <c r="BK1057" s="160"/>
      <c r="BL1057" s="160"/>
      <c r="BM1057" s="160"/>
      <c r="BN1057" s="160"/>
      <c r="BO1057" s="160"/>
      <c r="BP1057" s="160"/>
      <c r="BQ1057" s="160"/>
      <c r="BR1057" s="160"/>
      <c r="BS1057" s="160"/>
      <c r="BT1057" s="160"/>
      <c r="BU1057" s="160"/>
    </row>
    <row r="1058" ht="15.75" hidden="1" customHeight="1" outlineLevel="1">
      <c r="A1058" s="255"/>
      <c r="B1058" s="38"/>
      <c r="C1058" s="174"/>
      <c r="D1058" s="174"/>
      <c r="E1058" s="174"/>
      <c r="F1058" s="174"/>
      <c r="G1058" s="174"/>
      <c r="H1058" s="174"/>
      <c r="I1058" s="174"/>
      <c r="J1058" s="174"/>
      <c r="K1058" s="174"/>
      <c r="L1058" s="174"/>
      <c r="M1058" s="174"/>
      <c r="N1058" s="174"/>
      <c r="O1058" s="174"/>
      <c r="P1058" s="174"/>
      <c r="Q1058" s="174"/>
      <c r="R1058" s="174"/>
      <c r="S1058" s="174"/>
      <c r="T1058" s="174"/>
      <c r="U1058" s="174"/>
      <c r="V1058" s="174"/>
      <c r="W1058" s="160"/>
      <c r="X1058" s="160"/>
      <c r="Y1058" s="160"/>
      <c r="Z1058" s="160"/>
      <c r="AA1058" s="160"/>
      <c r="AB1058" s="160"/>
      <c r="AC1058" s="160"/>
      <c r="AD1058" s="160"/>
      <c r="AE1058" s="160"/>
      <c r="AF1058" s="160"/>
      <c r="AG1058" s="160"/>
      <c r="AH1058" s="160"/>
      <c r="AI1058" s="160"/>
      <c r="AJ1058" s="179"/>
      <c r="AK1058" s="160"/>
      <c r="AL1058" s="177"/>
      <c r="AM1058" s="177"/>
      <c r="AN1058" s="177"/>
      <c r="AO1058" s="160"/>
      <c r="AP1058" s="160"/>
      <c r="AQ1058" s="160"/>
      <c r="AR1058" s="160"/>
      <c r="AS1058" s="160"/>
      <c r="AT1058" s="160"/>
      <c r="AU1058" s="160"/>
      <c r="AV1058" s="160"/>
      <c r="AW1058" s="160"/>
      <c r="AX1058" s="160">
        <f>IF($AX$902&gt;0,IPMT('Assumptions (Solar)'!$V$10,Model!W$1,'Assumptions (Solar)'!$V$13,'Assumptions (Solar)'!$V$8*Model!$AX$902*('Assumptions (Solar)'!$AV$20*'Assumptions (Solar)'!$AV$2+'Assumptions (Solar)'!$AV$21*'Assumptions (Solar)'!$AV$3)/10^9),0)</f>
        <v>-0.1676481231</v>
      </c>
      <c r="AY1058" s="160">
        <f>IF($AX$902&gt;0,IPMT('Assumptions (Solar)'!$V$10,Model!X$1,'Assumptions (Solar)'!$V$13,'Assumptions (Solar)'!$V$8*Model!$AX$902*('Assumptions (Solar)'!$AV$20*'Assumptions (Solar)'!$AV$2+'Assumptions (Solar)'!$AV$21*'Assumptions (Solar)'!$AV$3)/10^9),0)</f>
        <v>-0.1560754589</v>
      </c>
      <c r="AZ1058" s="160">
        <f>IF($AX$902&gt;0,IPMT('Assumptions (Solar)'!$V$10,Model!Y$1,'Assumptions (Solar)'!$V$13,'Assumptions (Solar)'!$V$8*Model!$AX$902*('Assumptions (Solar)'!$AV$20*'Assumptions (Solar)'!$AV$2+'Assumptions (Solar)'!$AV$21*'Assumptions (Solar)'!$AV$3)/10^9),0)</f>
        <v>-0.1435769815</v>
      </c>
      <c r="BA1058" s="160">
        <f>IF($AX$902&gt;0,IPMT('Assumptions (Solar)'!$V$10,Model!Z$1,'Assumptions (Solar)'!$V$13,'Assumptions (Solar)'!$V$8*Model!$AX$902*('Assumptions (Solar)'!$AV$20*'Assumptions (Solar)'!$AV$2+'Assumptions (Solar)'!$AV$21*'Assumptions (Solar)'!$AV$3)/10^9),0)</f>
        <v>-0.130078626</v>
      </c>
      <c r="BB1058" s="160">
        <f>IF($AX$902&gt;0,IPMT('Assumptions (Solar)'!$V$10,Model!AA$1,'Assumptions (Solar)'!$V$13,'Assumptions (Solar)'!$V$8*Model!$AX$902*('Assumptions (Solar)'!$AV$20*'Assumptions (Solar)'!$AV$2+'Assumptions (Solar)'!$AV$21*'Assumptions (Solar)'!$AV$3)/10^9),0)</f>
        <v>-0.115500402</v>
      </c>
      <c r="BC1058" s="160">
        <f>IF($AX$902&gt;0,IPMT('Assumptions (Solar)'!$V$10,Model!AB$1,'Assumptions (Solar)'!$V$13,'Assumptions (Solar)'!$V$8*Model!$AX$902*('Assumptions (Solar)'!$AV$20*'Assumptions (Solar)'!$AV$2+'Assumptions (Solar)'!$AV$21*'Assumptions (Solar)'!$AV$3)/10^9),0)</f>
        <v>-0.09975592009</v>
      </c>
      <c r="BD1058" s="160">
        <f>IF($AX$902&gt;0,IPMT('Assumptions (Solar)'!$V$10,Model!AC$1,'Assumptions (Solar)'!$V$13,'Assumptions (Solar)'!$V$8*Model!$AX$902*('Assumptions (Solar)'!$AV$20*'Assumptions (Solar)'!$AV$2+'Assumptions (Solar)'!$AV$21*'Assumptions (Solar)'!$AV$3)/10^9),0)</f>
        <v>-0.08275187963</v>
      </c>
      <c r="BE1058" s="160">
        <f>IF($AX$902&gt;0,IPMT('Assumptions (Solar)'!$V$10,Model!AD$1,'Assumptions (Solar)'!$V$13,'Assumptions (Solar)'!$V$8*Model!$AX$902*('Assumptions (Solar)'!$AV$20*'Assumptions (Solar)'!$AV$2+'Assumptions (Solar)'!$AV$21*'Assumptions (Solar)'!$AV$3)/10^9),0)</f>
        <v>-0.06438751593</v>
      </c>
      <c r="BF1058" s="160">
        <f>IF($AX$902&gt;0,IPMT('Assumptions (Solar)'!$V$10,Model!AE$1,'Assumptions (Solar)'!$V$13,'Assumptions (Solar)'!$V$8*Model!$AX$902*('Assumptions (Solar)'!$AV$20*'Assumptions (Solar)'!$AV$2+'Assumptions (Solar)'!$AV$21*'Assumptions (Solar)'!$AV$3)/10^9),0)</f>
        <v>-0.04455400314</v>
      </c>
      <c r="BG1058" s="160">
        <f>IF($AX$902&gt;0,IPMT('Assumptions (Solar)'!$V$10,Model!AF$1,'Assumptions (Solar)'!$V$13,'Assumptions (Solar)'!$V$8*Model!$AX$902*('Assumptions (Solar)'!$AV$20*'Assumptions (Solar)'!$AV$2+'Assumptions (Solar)'!$AV$21*'Assumptions (Solar)'!$AV$3)/10^9),0)</f>
        <v>-0.02313380932</v>
      </c>
      <c r="BH1058" s="160"/>
      <c r="BI1058" s="160"/>
      <c r="BJ1058" s="160"/>
      <c r="BK1058" s="160"/>
      <c r="BL1058" s="160"/>
      <c r="BM1058" s="160"/>
      <c r="BN1058" s="160"/>
      <c r="BO1058" s="160"/>
      <c r="BP1058" s="160"/>
      <c r="BQ1058" s="160"/>
      <c r="BR1058" s="160"/>
      <c r="BS1058" s="160"/>
      <c r="BT1058" s="160"/>
      <c r="BU1058" s="160"/>
      <c r="BV1058" s="160"/>
    </row>
    <row r="1059" ht="15.75" hidden="1" customHeight="1" outlineLevel="1">
      <c r="A1059" s="255"/>
      <c r="B1059" s="38"/>
      <c r="C1059" s="174"/>
      <c r="D1059" s="174"/>
      <c r="E1059" s="174"/>
      <c r="F1059" s="174"/>
      <c r="G1059" s="174"/>
      <c r="H1059" s="174"/>
      <c r="I1059" s="174"/>
      <c r="J1059" s="174"/>
      <c r="K1059" s="174"/>
      <c r="L1059" s="174"/>
      <c r="M1059" s="174"/>
      <c r="N1059" s="174"/>
      <c r="O1059" s="174"/>
      <c r="P1059" s="174"/>
      <c r="Q1059" s="174"/>
      <c r="R1059" s="174"/>
      <c r="S1059" s="174"/>
      <c r="T1059" s="174"/>
      <c r="U1059" s="174"/>
      <c r="V1059" s="174"/>
      <c r="W1059" s="160"/>
      <c r="X1059" s="160"/>
      <c r="Y1059" s="160"/>
      <c r="Z1059" s="160"/>
      <c r="AA1059" s="160"/>
      <c r="AB1059" s="160"/>
      <c r="AC1059" s="160"/>
      <c r="AD1059" s="160"/>
      <c r="AE1059" s="160"/>
      <c r="AF1059" s="160"/>
      <c r="AG1059" s="160"/>
      <c r="AH1059" s="160"/>
      <c r="AI1059" s="160"/>
      <c r="AJ1059" s="179"/>
      <c r="AK1059" s="160"/>
      <c r="AL1059" s="177"/>
      <c r="AM1059" s="177"/>
      <c r="AN1059" s="177"/>
      <c r="AO1059" s="160"/>
      <c r="AP1059" s="160"/>
      <c r="AQ1059" s="160"/>
      <c r="AR1059" s="160"/>
      <c r="AS1059" s="160"/>
      <c r="AT1059" s="160"/>
      <c r="AU1059" s="160"/>
      <c r="AV1059" s="160"/>
      <c r="AW1059" s="160"/>
      <c r="AX1059" s="160"/>
      <c r="AY1059" s="160">
        <f>IF($AY$902&gt;0,IPMT('Assumptions (Solar)'!$V$10,Model!W$1,'Assumptions (Solar)'!$V$13,'Assumptions (Solar)'!$V$8*Model!$AY$902*('Assumptions (Solar)'!$AW$20*'Assumptions (Solar)'!$AW$2+'Assumptions (Solar)'!$AW$21*'Assumptions (Solar)'!$AW$3)/10^9),0)</f>
        <v>-0.1690143787</v>
      </c>
      <c r="AZ1059" s="160">
        <f>IF($AY$902&gt;0,IPMT('Assumptions (Solar)'!$V$10,Model!X$1,'Assumptions (Solar)'!$V$13,'Assumptions (Solar)'!$V$8*Model!$AY$902*('Assumptions (Solar)'!$AW$20*'Assumptions (Solar)'!$AW$2+'Assumptions (Solar)'!$AW$21*'Assumptions (Solar)'!$AW$3)/10^9),0)</f>
        <v>-0.1573474026</v>
      </c>
      <c r="BA1059" s="160">
        <f>IF($AY$902&gt;0,IPMT('Assumptions (Solar)'!$V$10,Model!Y$1,'Assumptions (Solar)'!$V$13,'Assumptions (Solar)'!$V$8*Model!$AY$902*('Assumptions (Solar)'!$AW$20*'Assumptions (Solar)'!$AW$2+'Assumptions (Solar)'!$AW$21*'Assumptions (Solar)'!$AW$3)/10^9),0)</f>
        <v>-0.1447470684</v>
      </c>
      <c r="BB1059" s="160">
        <f>IF($AY$902&gt;0,IPMT('Assumptions (Solar)'!$V$10,Model!Z$1,'Assumptions (Solar)'!$V$13,'Assumptions (Solar)'!$V$8*Model!$AY$902*('Assumptions (Solar)'!$AW$20*'Assumptions (Solar)'!$AW$2+'Assumptions (Solar)'!$AW$21*'Assumptions (Solar)'!$AW$3)/10^9),0)</f>
        <v>-0.1311387074</v>
      </c>
      <c r="BC1059" s="160">
        <f>IF($AY$902&gt;0,IPMT('Assumptions (Solar)'!$V$10,Model!AA$1,'Assumptions (Solar)'!$V$13,'Assumptions (Solar)'!$V$8*Model!$AY$902*('Assumptions (Solar)'!$AW$20*'Assumptions (Solar)'!$AW$2+'Assumptions (Solar)'!$AW$21*'Assumptions (Solar)'!$AW$3)/10^9),0)</f>
        <v>-0.1164416775</v>
      </c>
      <c r="BD1059" s="160">
        <f>IF($AY$902&gt;0,IPMT('Assumptions (Solar)'!$V$10,Model!AB$1,'Assumptions (Solar)'!$V$13,'Assumptions (Solar)'!$V$8*Model!$AY$902*('Assumptions (Solar)'!$AW$20*'Assumptions (Solar)'!$AW$2+'Assumptions (Solar)'!$AW$21*'Assumptions (Solar)'!$AW$3)/10^9),0)</f>
        <v>-0.1005688853</v>
      </c>
      <c r="BE1059" s="160">
        <f>IF($AY$902&gt;0,IPMT('Assumptions (Solar)'!$V$10,Model!AC$1,'Assumptions (Solar)'!$V$13,'Assumptions (Solar)'!$V$8*Model!$AY$902*('Assumptions (Solar)'!$AW$20*'Assumptions (Solar)'!$AW$2+'Assumptions (Solar)'!$AW$21*'Assumptions (Solar)'!$AW$3)/10^9),0)</f>
        <v>-0.08342626965</v>
      </c>
      <c r="BF1059" s="160">
        <f>IF($AY$902&gt;0,IPMT('Assumptions (Solar)'!$V$10,Model!AD$1,'Assumptions (Solar)'!$V$13,'Assumptions (Solar)'!$V$8*Model!$AY$902*('Assumptions (Solar)'!$AW$20*'Assumptions (Solar)'!$AW$2+'Assumptions (Solar)'!$AW$21*'Assumptions (Solar)'!$AW$3)/10^9),0)</f>
        <v>-0.06491224478</v>
      </c>
      <c r="BG1059" s="160">
        <f>IF($AY$902&gt;0,IPMT('Assumptions (Solar)'!$V$10,Model!AE$1,'Assumptions (Solar)'!$V$13,'Assumptions (Solar)'!$V$8*Model!$AY$902*('Assumptions (Solar)'!$AW$20*'Assumptions (Solar)'!$AW$2+'Assumptions (Solar)'!$AW$21*'Assumptions (Solar)'!$AW$3)/10^9),0)</f>
        <v>-0.04491709791</v>
      </c>
      <c r="BH1059" s="160">
        <f>IF($AY$902&gt;0,IPMT('Assumptions (Solar)'!$V$10,Model!AF$1,'Assumptions (Solar)'!$V$13,'Assumptions (Solar)'!$V$8*Model!$AY$902*('Assumptions (Solar)'!$AW$20*'Assumptions (Solar)'!$AW$2+'Assumptions (Solar)'!$AW$21*'Assumptions (Solar)'!$AW$3)/10^9),0)</f>
        <v>-0.0233223393</v>
      </c>
      <c r="BI1059" s="160"/>
      <c r="BJ1059" s="160"/>
      <c r="BK1059" s="160"/>
      <c r="BL1059" s="160"/>
      <c r="BM1059" s="160"/>
      <c r="BN1059" s="160"/>
      <c r="BO1059" s="160"/>
      <c r="BP1059" s="160"/>
      <c r="BQ1059" s="160"/>
      <c r="BR1059" s="160"/>
      <c r="BS1059" s="160"/>
      <c r="BT1059" s="160"/>
      <c r="BU1059" s="160"/>
      <c r="BV1059" s="160"/>
      <c r="BW1059" s="160"/>
    </row>
    <row r="1060" ht="15.75" hidden="1" customHeight="1" outlineLevel="1">
      <c r="A1060" s="255"/>
      <c r="B1060" s="38"/>
      <c r="C1060" s="174"/>
      <c r="D1060" s="174"/>
      <c r="E1060" s="174"/>
      <c r="F1060" s="174"/>
      <c r="G1060" s="174"/>
      <c r="H1060" s="174"/>
      <c r="I1060" s="174"/>
      <c r="J1060" s="174"/>
      <c r="K1060" s="174"/>
      <c r="L1060" s="174"/>
      <c r="M1060" s="174"/>
      <c r="N1060" s="174"/>
      <c r="O1060" s="174"/>
      <c r="P1060" s="174"/>
      <c r="Q1060" s="174"/>
      <c r="R1060" s="174"/>
      <c r="S1060" s="174"/>
      <c r="T1060" s="174"/>
      <c r="U1060" s="174"/>
      <c r="V1060" s="174"/>
      <c r="W1060" s="160"/>
      <c r="X1060" s="160"/>
      <c r="Y1060" s="160"/>
      <c r="Z1060" s="160"/>
      <c r="AA1060" s="160"/>
      <c r="AB1060" s="160"/>
      <c r="AC1060" s="160"/>
      <c r="AD1060" s="160"/>
      <c r="AE1060" s="160"/>
      <c r="AF1060" s="160"/>
      <c r="AG1060" s="160"/>
      <c r="AH1060" s="160"/>
      <c r="AI1060" s="160"/>
      <c r="AJ1060" s="179"/>
      <c r="AK1060" s="160"/>
      <c r="AL1060" s="177"/>
      <c r="AM1060" s="177"/>
      <c r="AN1060" s="177"/>
      <c r="AO1060" s="160"/>
      <c r="AP1060" s="160"/>
      <c r="AQ1060" s="160"/>
      <c r="AR1060" s="160"/>
      <c r="AS1060" s="160"/>
      <c r="AT1060" s="160"/>
      <c r="AU1060" s="160"/>
      <c r="AV1060" s="160"/>
      <c r="AW1060" s="160"/>
      <c r="AX1060" s="160"/>
      <c r="AY1060" s="160"/>
      <c r="AZ1060" s="160">
        <f>IF($AZ$902&gt;0,IPMT('Assumptions (Solar)'!$V$10,Model!W$1,'Assumptions (Solar)'!$V$13,'Assumptions (Solar)'!$V$8*Model!$AZ$902*('Assumptions (Solar)'!$AX$20*'Assumptions (Solar)'!$AX$2+'Assumptions (Solar)'!$AX$21*'Assumptions (Solar)'!$AX$3)/10^9),0)</f>
        <v>-0.1706128285</v>
      </c>
      <c r="BA1060" s="160">
        <f>IF($AZ$902&gt;0,IPMT('Assumptions (Solar)'!$V$10,Model!X$1,'Assumptions (Solar)'!$V$13,'Assumptions (Solar)'!$V$8*Model!$AZ$902*('Assumptions (Solar)'!$AX$20*'Assumptions (Solar)'!$AX$2+'Assumptions (Solar)'!$AX$21*'Assumptions (Solar)'!$AX$3)/10^9),0)</f>
        <v>-0.1588355122</v>
      </c>
      <c r="BB1060" s="160">
        <f>IF($AZ$902&gt;0,IPMT('Assumptions (Solar)'!$V$10,Model!Y$1,'Assumptions (Solar)'!$V$13,'Assumptions (Solar)'!$V$8*Model!$AZ$902*('Assumptions (Solar)'!$AX$20*'Assumptions (Solar)'!$AX$2+'Assumptions (Solar)'!$AX$21*'Assumptions (Solar)'!$AX$3)/10^9),0)</f>
        <v>-0.1461160105</v>
      </c>
      <c r="BC1060" s="160">
        <f>IF($AZ$902&gt;0,IPMT('Assumptions (Solar)'!$V$10,Model!Z$1,'Assumptions (Solar)'!$V$13,'Assumptions (Solar)'!$V$8*Model!$AZ$902*('Assumptions (Solar)'!$AX$20*'Assumptions (Solar)'!$AX$2+'Assumptions (Solar)'!$AX$21*'Assumptions (Solar)'!$AX$3)/10^9),0)</f>
        <v>-0.1323789488</v>
      </c>
      <c r="BD1060" s="160">
        <f>IF($AZ$902&gt;0,IPMT('Assumptions (Solar)'!$V$10,Model!AA$1,'Assumptions (Solar)'!$V$13,'Assumptions (Solar)'!$V$8*Model!$AZ$902*('Assumptions (Solar)'!$AX$20*'Assumptions (Solar)'!$AX$2+'Assumptions (Solar)'!$AX$21*'Assumptions (Solar)'!$AX$3)/10^9),0)</f>
        <v>-0.1175429221</v>
      </c>
      <c r="BE1060" s="160">
        <f>IF($AZ$902&gt;0,IPMT('Assumptions (Solar)'!$V$10,Model!AB$1,'Assumptions (Solar)'!$V$13,'Assumptions (Solar)'!$V$8*Model!$AZ$902*('Assumptions (Solar)'!$AX$20*'Assumptions (Solar)'!$AX$2+'Assumptions (Solar)'!$AX$21*'Assumptions (Solar)'!$AX$3)/10^9),0)</f>
        <v>-0.1015200133</v>
      </c>
      <c r="BF1060" s="160">
        <f>IF($AZ$902&gt;0,IPMT('Assumptions (Solar)'!$V$10,Model!AC$1,'Assumptions (Solar)'!$V$13,'Assumptions (Solar)'!$V$8*Model!$AZ$902*('Assumptions (Solar)'!$AX$20*'Assumptions (Solar)'!$AX$2+'Assumptions (Solar)'!$AX$21*'Assumptions (Solar)'!$AX$3)/10^9),0)</f>
        <v>-0.08421527174</v>
      </c>
      <c r="BG1060" s="160">
        <f>IF($AZ$902&gt;0,IPMT('Assumptions (Solar)'!$V$10,Model!AD$1,'Assumptions (Solar)'!$V$13,'Assumptions (Solar)'!$V$8*Model!$AZ$902*('Assumptions (Solar)'!$AX$20*'Assumptions (Solar)'!$AX$2+'Assumptions (Solar)'!$AX$21*'Assumptions (Solar)'!$AX$3)/10^9),0)</f>
        <v>-0.06552615089</v>
      </c>
      <c r="BH1060" s="160">
        <f>IF($AZ$902&gt;0,IPMT('Assumptions (Solar)'!$V$10,Model!AE$1,'Assumptions (Solar)'!$V$13,'Assumptions (Solar)'!$V$8*Model!$AZ$902*('Assumptions (Solar)'!$AX$20*'Assumptions (Solar)'!$AX$2+'Assumptions (Solar)'!$AX$21*'Assumptions (Solar)'!$AX$3)/10^9),0)</f>
        <v>-0.04534190037</v>
      </c>
      <c r="BI1060" s="160">
        <f>IF($AZ$902&gt;0,IPMT('Assumptions (Solar)'!$V$10,Model!AF$1,'Assumptions (Solar)'!$V$13,'Assumptions (Solar)'!$V$8*Model!$AZ$902*('Assumptions (Solar)'!$AX$20*'Assumptions (Solar)'!$AX$2+'Assumptions (Solar)'!$AX$21*'Assumptions (Solar)'!$AX$3)/10^9),0)</f>
        <v>-0.02354290981</v>
      </c>
      <c r="BJ1060" s="160"/>
      <c r="BK1060" s="160"/>
      <c r="BL1060" s="160"/>
      <c r="BM1060" s="160"/>
      <c r="BN1060" s="160"/>
      <c r="BO1060" s="160"/>
      <c r="BP1060" s="160"/>
      <c r="BQ1060" s="160"/>
      <c r="BR1060" s="160"/>
      <c r="BS1060" s="160"/>
      <c r="BT1060" s="160"/>
      <c r="BU1060" s="160"/>
      <c r="BV1060" s="160"/>
      <c r="BW1060" s="160"/>
      <c r="BX1060" s="160"/>
    </row>
    <row r="1061" ht="15.75" hidden="1" customHeight="1" outlineLevel="1">
      <c r="A1061" s="255"/>
      <c r="B1061" s="38"/>
      <c r="C1061" s="174"/>
      <c r="D1061" s="174"/>
      <c r="E1061" s="174"/>
      <c r="F1061" s="174"/>
      <c r="G1061" s="174"/>
      <c r="H1061" s="174"/>
      <c r="I1061" s="174"/>
      <c r="J1061" s="174"/>
      <c r="K1061" s="174"/>
      <c r="L1061" s="174"/>
      <c r="M1061" s="174"/>
      <c r="N1061" s="174"/>
      <c r="O1061" s="174"/>
      <c r="P1061" s="174"/>
      <c r="Q1061" s="174"/>
      <c r="R1061" s="174"/>
      <c r="S1061" s="174"/>
      <c r="T1061" s="174"/>
      <c r="U1061" s="174"/>
      <c r="V1061" s="174"/>
      <c r="W1061" s="160"/>
      <c r="X1061" s="160"/>
      <c r="Y1061" s="160"/>
      <c r="Z1061" s="160"/>
      <c r="AA1061" s="160"/>
      <c r="AB1061" s="160"/>
      <c r="AC1061" s="160"/>
      <c r="AD1061" s="160"/>
      <c r="AE1061" s="160"/>
      <c r="AF1061" s="160"/>
      <c r="AG1061" s="160"/>
      <c r="AH1061" s="160"/>
      <c r="AI1061" s="160"/>
      <c r="AJ1061" s="179"/>
      <c r="AK1061" s="160"/>
      <c r="AL1061" s="177"/>
      <c r="AM1061" s="177"/>
      <c r="AN1061" s="177"/>
      <c r="AO1061" s="160"/>
      <c r="AP1061" s="160"/>
      <c r="AQ1061" s="160"/>
      <c r="AR1061" s="160"/>
      <c r="AS1061" s="160"/>
      <c r="AT1061" s="160"/>
      <c r="AU1061" s="160"/>
      <c r="AV1061" s="160"/>
      <c r="AW1061" s="160"/>
      <c r="AX1061" s="160"/>
      <c r="AY1061" s="160"/>
      <c r="AZ1061" s="160"/>
      <c r="BA1061" s="160">
        <f>IF($BA$902&gt;0,IPMT('Assumptions (Solar)'!$V$10,Model!W$1,'Assumptions (Solar)'!$V$13,'Assumptions (Solar)'!$V$8*Model!$BA$902*('Assumptions (Solar)'!$AY$20*'Assumptions (Solar)'!$AY$2+'Assumptions (Solar)'!$AY$21*'Assumptions (Solar)'!$AY$3)/10^9),0)</f>
        <v>-0.1719618924</v>
      </c>
      <c r="BB1061" s="160">
        <f>IF($BA$902&gt;0,IPMT('Assumptions (Solar)'!$V$10,Model!X$1,'Assumptions (Solar)'!$V$13,'Assumptions (Solar)'!$V$8*Model!$BA$902*('Assumptions (Solar)'!$AY$20*'Assumptions (Solar)'!$AY$2+'Assumptions (Solar)'!$AY$21*'Assumptions (Solar)'!$AY$3)/10^9),0)</f>
        <v>-0.1600914509</v>
      </c>
      <c r="BC1061" s="160">
        <f>IF($BA$902&gt;0,IPMT('Assumptions (Solar)'!$V$10,Model!Y$1,'Assumptions (Solar)'!$V$13,'Assumptions (Solar)'!$V$8*Model!$BA$902*('Assumptions (Solar)'!$AY$20*'Assumptions (Solar)'!$AY$2+'Assumptions (Solar)'!$AY$21*'Assumptions (Solar)'!$AY$3)/10^9),0)</f>
        <v>-0.147271374</v>
      </c>
      <c r="BD1061" s="160">
        <f>IF($BA$902&gt;0,IPMT('Assumptions (Solar)'!$V$10,Model!Z$1,'Assumptions (Solar)'!$V$13,'Assumptions (Solar)'!$V$8*Model!$BA$902*('Assumptions (Solar)'!$AY$20*'Assumptions (Solar)'!$AY$2+'Assumptions (Solar)'!$AY$21*'Assumptions (Solar)'!$AY$3)/10^9),0)</f>
        <v>-0.1334256911</v>
      </c>
      <c r="BE1061" s="160">
        <f>IF($BA$902&gt;0,IPMT('Assumptions (Solar)'!$V$10,Model!AA$1,'Assumptions (Solar)'!$V$13,'Assumptions (Solar)'!$V$8*Model!$BA$902*('Assumptions (Solar)'!$AY$20*'Assumptions (Solar)'!$AY$2+'Assumptions (Solar)'!$AY$21*'Assumptions (Solar)'!$AY$3)/10^9),0)</f>
        <v>-0.1184723535</v>
      </c>
      <c r="BF1061" s="160">
        <f>IF($BA$902&gt;0,IPMT('Assumptions (Solar)'!$V$10,Model!AB$1,'Assumptions (Solar)'!$V$13,'Assumptions (Solar)'!$V$8*Model!$BA$902*('Assumptions (Solar)'!$AY$20*'Assumptions (Solar)'!$AY$2+'Assumptions (Solar)'!$AY$21*'Assumptions (Solar)'!$AY$3)/10^9),0)</f>
        <v>-0.1023227488</v>
      </c>
      <c r="BG1061" s="160">
        <f>IF($BA$902&gt;0,IPMT('Assumptions (Solar)'!$V$10,Model!AC$1,'Assumptions (Solar)'!$V$13,'Assumptions (Solar)'!$V$8*Model!$BA$902*('Assumptions (Solar)'!$AY$20*'Assumptions (Solar)'!$AY$2+'Assumptions (Solar)'!$AY$21*'Assumptions (Solar)'!$AY$3)/10^9),0)</f>
        <v>-0.08488117585</v>
      </c>
      <c r="BH1061" s="160">
        <f>IF($BA$902&gt;0,IPMT('Assumptions (Solar)'!$V$10,Model!AD$1,'Assumptions (Solar)'!$V$13,'Assumptions (Solar)'!$V$8*Model!$BA$902*('Assumptions (Solar)'!$AY$20*'Assumptions (Solar)'!$AY$2+'Assumptions (Solar)'!$AY$21*'Assumptions (Solar)'!$AY$3)/10^9),0)</f>
        <v>-0.06604427702</v>
      </c>
      <c r="BI1061" s="160">
        <f>IF($BA$902&gt;0,IPMT('Assumptions (Solar)'!$V$10,Model!AE$1,'Assumptions (Solar)'!$V$13,'Assumptions (Solar)'!$V$8*Model!$BA$902*('Assumptions (Solar)'!$AY$20*'Assumptions (Solar)'!$AY$2+'Assumptions (Solar)'!$AY$21*'Assumptions (Solar)'!$AY$3)/10^9),0)</f>
        <v>-0.04570042629</v>
      </c>
      <c r="BJ1061" s="160">
        <f>IF($BA$902&gt;0,IPMT('Assumptions (Solar)'!$V$10,Model!AF$1,'Assumptions (Solar)'!$V$13,'Assumptions (Solar)'!$V$8*Model!$BA$902*('Assumptions (Solar)'!$AY$20*'Assumptions (Solar)'!$AY$2+'Assumptions (Solar)'!$AY$21*'Assumptions (Solar)'!$AY$3)/10^9),0)</f>
        <v>-0.02372906749</v>
      </c>
      <c r="BK1061" s="160"/>
      <c r="BL1061" s="160"/>
      <c r="BM1061" s="160"/>
      <c r="BN1061" s="160"/>
      <c r="BO1061" s="160"/>
      <c r="BP1061" s="160"/>
      <c r="BQ1061" s="160"/>
      <c r="BR1061" s="160"/>
      <c r="BS1061" s="160"/>
      <c r="BT1061" s="160"/>
      <c r="BU1061" s="160"/>
      <c r="BV1061" s="160"/>
      <c r="BW1061" s="160"/>
      <c r="BX1061" s="160"/>
      <c r="BY1061" s="160"/>
    </row>
    <row r="1062" ht="15.75" customHeight="1" collapsed="1">
      <c r="A1062" s="254" t="s">
        <v>361</v>
      </c>
      <c r="B1062" s="150" t="s">
        <v>351</v>
      </c>
      <c r="C1062" s="176">
        <f t="shared" ref="C1062:BF1062" si="43">SUM(C1063:C1113)</f>
        <v>0</v>
      </c>
      <c r="D1062" s="176">
        <f t="shared" si="43"/>
        <v>0</v>
      </c>
      <c r="E1062" s="176">
        <f t="shared" si="43"/>
        <v>0</v>
      </c>
      <c r="F1062" s="176">
        <f t="shared" si="43"/>
        <v>0</v>
      </c>
      <c r="G1062" s="176">
        <f t="shared" si="43"/>
        <v>0</v>
      </c>
      <c r="H1062" s="176">
        <f t="shared" si="43"/>
        <v>0</v>
      </c>
      <c r="I1062" s="176">
        <f t="shared" si="43"/>
        <v>0</v>
      </c>
      <c r="J1062" s="176">
        <f t="shared" si="43"/>
        <v>0</v>
      </c>
      <c r="K1062" s="176">
        <f t="shared" si="43"/>
        <v>0.004643116274</v>
      </c>
      <c r="L1062" s="176">
        <f t="shared" si="43"/>
        <v>0.007428986038</v>
      </c>
      <c r="M1062" s="176">
        <f t="shared" si="43"/>
        <v>0.01472991351</v>
      </c>
      <c r="N1062" s="176">
        <f t="shared" si="43"/>
        <v>0.04907030168</v>
      </c>
      <c r="O1062" s="176">
        <f t="shared" si="43"/>
        <v>0.1769303193</v>
      </c>
      <c r="P1062" s="176">
        <f t="shared" si="43"/>
        <v>0.4681465012</v>
      </c>
      <c r="Q1062" s="176">
        <f t="shared" si="43"/>
        <v>0.8743229418</v>
      </c>
      <c r="R1062" s="176">
        <f t="shared" si="43"/>
        <v>1.751819016</v>
      </c>
      <c r="S1062" s="176">
        <f t="shared" si="43"/>
        <v>3.142808887</v>
      </c>
      <c r="T1062" s="176">
        <f t="shared" si="43"/>
        <v>4.039346957</v>
      </c>
      <c r="U1062" s="176">
        <f t="shared" si="43"/>
        <v>3.90503565</v>
      </c>
      <c r="V1062" s="176">
        <f t="shared" si="43"/>
        <v>3.002781616</v>
      </c>
      <c r="W1062" s="176">
        <f t="shared" si="43"/>
        <v>1.966469513</v>
      </c>
      <c r="X1062" s="176">
        <f t="shared" si="43"/>
        <v>1.730157643</v>
      </c>
      <c r="Y1062" s="176">
        <f t="shared" si="43"/>
        <v>1.849089228</v>
      </c>
      <c r="Z1062" s="176">
        <f t="shared" si="43"/>
        <v>1.69444777</v>
      </c>
      <c r="AA1062" s="176">
        <f t="shared" si="43"/>
        <v>1.682819658</v>
      </c>
      <c r="AB1062" s="176">
        <f t="shared" si="43"/>
        <v>1.876978107</v>
      </c>
      <c r="AC1062" s="176">
        <f t="shared" si="43"/>
        <v>1.903747486</v>
      </c>
      <c r="AD1062" s="176">
        <f t="shared" si="43"/>
        <v>1.810958786</v>
      </c>
      <c r="AE1062" s="176">
        <f t="shared" si="43"/>
        <v>1.762152241</v>
      </c>
      <c r="AF1062" s="176">
        <f t="shared" si="43"/>
        <v>1.710944153</v>
      </c>
      <c r="AG1062" s="176">
        <f t="shared" si="43"/>
        <v>1.656746012</v>
      </c>
      <c r="AH1062" s="176">
        <f t="shared" si="43"/>
        <v>1.599552903</v>
      </c>
      <c r="AI1062" s="176">
        <f t="shared" si="43"/>
        <v>1.555876374</v>
      </c>
      <c r="AJ1062" s="176">
        <f t="shared" si="43"/>
        <v>1.535998024</v>
      </c>
      <c r="AK1062" s="176">
        <f t="shared" si="43"/>
        <v>1.530697834</v>
      </c>
      <c r="AL1062" s="176">
        <f t="shared" si="43"/>
        <v>1.533517294</v>
      </c>
      <c r="AM1062" s="176">
        <f t="shared" si="43"/>
        <v>1.545924293</v>
      </c>
      <c r="AN1062" s="176">
        <f t="shared" si="43"/>
        <v>1.568292438</v>
      </c>
      <c r="AO1062" s="176">
        <f t="shared" si="43"/>
        <v>1.61165921</v>
      </c>
      <c r="AP1062" s="176">
        <f t="shared" si="43"/>
        <v>1.702406822</v>
      </c>
      <c r="AQ1062" s="176">
        <f t="shared" si="43"/>
        <v>1.832916836</v>
      </c>
      <c r="AR1062" s="176">
        <f t="shared" si="43"/>
        <v>2.108115726</v>
      </c>
      <c r="AS1062" s="176">
        <f t="shared" si="43"/>
        <v>2.578552679</v>
      </c>
      <c r="AT1062" s="176">
        <f t="shared" si="43"/>
        <v>2.967189677</v>
      </c>
      <c r="AU1062" s="176">
        <f t="shared" si="43"/>
        <v>3.029595464</v>
      </c>
      <c r="AV1062" s="176">
        <f t="shared" si="43"/>
        <v>2.754413979</v>
      </c>
      <c r="AW1062" s="176">
        <f t="shared" si="43"/>
        <v>2.401226345</v>
      </c>
      <c r="AX1062" s="176">
        <f t="shared" si="43"/>
        <v>2.500047133</v>
      </c>
      <c r="AY1062" s="176">
        <f t="shared" si="43"/>
        <v>2.865413249</v>
      </c>
      <c r="AZ1062" s="176">
        <f t="shared" si="43"/>
        <v>3.063467637</v>
      </c>
      <c r="BA1062" s="176">
        <f t="shared" si="43"/>
        <v>3.230254679</v>
      </c>
      <c r="BB1062" s="176">
        <f t="shared" si="43"/>
        <v>2.736479879</v>
      </c>
      <c r="BC1062" s="176">
        <f t="shared" si="43"/>
        <v>1.704130614</v>
      </c>
      <c r="BD1062" s="176">
        <f t="shared" si="43"/>
        <v>1.024996584</v>
      </c>
      <c r="BE1062" s="176">
        <f t="shared" si="43"/>
        <v>0.6174439358</v>
      </c>
      <c r="BF1062" s="176">
        <f t="shared" si="43"/>
        <v>0.2063542708</v>
      </c>
      <c r="BG1062" s="176"/>
      <c r="BH1062" s="176"/>
      <c r="BI1062" s="176"/>
      <c r="BJ1062" s="176"/>
    </row>
    <row r="1063" ht="15.75" hidden="1" customHeight="1" outlineLevel="1">
      <c r="A1063" s="255"/>
      <c r="B1063" s="38"/>
      <c r="C1063" s="177">
        <f>IF($C$902&gt;0,'Assumptions (Solar)'!V$14*Model!$C$902*('Assumptions (Solar)'!$B$20*'Assumptions (Solar)'!$B$2+'Assumptions (Solar)'!$B$21*'Assumptions (Solar)'!$B$3)/10^9,0)</f>
        <v>0</v>
      </c>
      <c r="D1063" s="177">
        <f>IF($C$902&gt;0,'Assumptions (Solar)'!W$14*Model!$C$902*('Assumptions (Solar)'!$B$20*'Assumptions (Solar)'!$B$2+'Assumptions (Solar)'!$B$21*'Assumptions (Solar)'!$B$3)/10^9,0)</f>
        <v>0</v>
      </c>
      <c r="E1063" s="177">
        <f>IF($C$902&gt;0,'Assumptions (Solar)'!X$14*Model!$C$902*('Assumptions (Solar)'!$B$20*'Assumptions (Solar)'!$B$2+'Assumptions (Solar)'!$B$21*'Assumptions (Solar)'!$B$3)/10^9,0)</f>
        <v>0</v>
      </c>
      <c r="F1063" s="177">
        <f>IF($C$902&gt;0,'Assumptions (Solar)'!Y$14*Model!$C$902*('Assumptions (Solar)'!$B$20*'Assumptions (Solar)'!$B$2+'Assumptions (Solar)'!$B$21*'Assumptions (Solar)'!$B$3)/10^9,0)</f>
        <v>0</v>
      </c>
      <c r="G1063" s="177">
        <f>IF($C$902&gt;0,'Assumptions (Solar)'!Z$14*Model!$C$902*('Assumptions (Solar)'!$B$20*'Assumptions (Solar)'!$B$2+'Assumptions (Solar)'!$B$21*'Assumptions (Solar)'!$B$3)/10^9,0)</f>
        <v>0</v>
      </c>
      <c r="H1063" s="177">
        <f>IF($C$902&gt;0,'Assumptions (Solar)'!AA$14*Model!$C$902*('Assumptions (Solar)'!$B$20*'Assumptions (Solar)'!$B$2+'Assumptions (Solar)'!$B$21*'Assumptions (Solar)'!$B$3)/10^9,0)</f>
        <v>0</v>
      </c>
      <c r="I1063" s="177"/>
      <c r="J1063" s="177"/>
      <c r="K1063" s="177"/>
      <c r="L1063" s="177"/>
      <c r="M1063" s="177"/>
      <c r="N1063" s="177"/>
      <c r="O1063" s="177"/>
      <c r="P1063" s="177"/>
      <c r="Q1063" s="177"/>
      <c r="R1063" s="177"/>
      <c r="S1063" s="177"/>
      <c r="T1063" s="177"/>
      <c r="U1063" s="177"/>
      <c r="V1063" s="177"/>
      <c r="W1063" s="177"/>
      <c r="X1063" s="177"/>
      <c r="Y1063" s="177"/>
      <c r="Z1063" s="177"/>
      <c r="AA1063" s="177"/>
      <c r="AB1063" s="176"/>
      <c r="AC1063" s="176"/>
      <c r="AD1063" s="176"/>
      <c r="AE1063" s="160"/>
      <c r="AF1063" s="160"/>
      <c r="AG1063" s="160"/>
      <c r="AH1063" s="160"/>
      <c r="AI1063" s="160"/>
      <c r="AJ1063" s="160"/>
      <c r="AK1063" s="160"/>
      <c r="AL1063" s="160"/>
      <c r="AM1063" s="160"/>
      <c r="AN1063" s="160"/>
      <c r="AO1063" s="160"/>
      <c r="AP1063" s="160"/>
      <c r="AQ1063" s="160"/>
      <c r="AR1063" s="160"/>
      <c r="AS1063" s="160"/>
      <c r="AT1063" s="160"/>
      <c r="AU1063" s="160"/>
      <c r="AV1063" s="160"/>
      <c r="AW1063" s="160"/>
      <c r="AX1063" s="160"/>
      <c r="AY1063" s="160"/>
      <c r="AZ1063" s="160"/>
      <c r="BA1063" s="160"/>
    </row>
    <row r="1064" ht="15.75" hidden="1" customHeight="1" outlineLevel="1">
      <c r="A1064" s="255"/>
      <c r="B1064" s="38"/>
      <c r="C1064" s="160"/>
      <c r="D1064" s="177">
        <f>IF($D$902&gt;0,'Assumptions (Solar)'!V$14*Model!$D$902*('Assumptions (Solar)'!$B$20*'Assumptions (Solar)'!$B$2+'Assumptions (Solar)'!$B$21*'Assumptions (Solar)'!$B$3)/10^9,0)</f>
        <v>0</v>
      </c>
      <c r="E1064" s="177">
        <f>IF($D$902&gt;0,'Assumptions (Solar)'!W$14*Model!$D$902*('Assumptions (Solar)'!$B$20*'Assumptions (Solar)'!$B$2+'Assumptions (Solar)'!$B$21*'Assumptions (Solar)'!$B$3)/10^9,0)</f>
        <v>0</v>
      </c>
      <c r="F1064" s="177">
        <f>IF($D$902&gt;0,'Assumptions (Solar)'!X$14*Model!$D$902*('Assumptions (Solar)'!$B$20*'Assumptions (Solar)'!$B$2+'Assumptions (Solar)'!$B$21*'Assumptions (Solar)'!$B$3)/10^9,0)</f>
        <v>0</v>
      </c>
      <c r="G1064" s="177">
        <f>IF($D$902&gt;0,'Assumptions (Solar)'!Y$14*Model!$D$902*('Assumptions (Solar)'!$B$20*'Assumptions (Solar)'!$B$2+'Assumptions (Solar)'!$B$21*'Assumptions (Solar)'!$B$3)/10^9,0)</f>
        <v>0</v>
      </c>
      <c r="H1064" s="177">
        <f>IF($D$902&gt;0,'Assumptions (Solar)'!Z$14*Model!$D$902*('Assumptions (Solar)'!$B$20*'Assumptions (Solar)'!$B$2+'Assumptions (Solar)'!$B$21*'Assumptions (Solar)'!$B$3)/10^9,0)</f>
        <v>0</v>
      </c>
      <c r="I1064" s="177">
        <f>IF($D$902&gt;0,'Assumptions (Solar)'!AA$14*Model!$D$902*('Assumptions (Solar)'!$B$20*'Assumptions (Solar)'!$B$2+'Assumptions (Solar)'!$B$21*'Assumptions (Solar)'!$B$3)/10^9,0)</f>
        <v>0</v>
      </c>
      <c r="J1064" s="177"/>
      <c r="K1064" s="177"/>
      <c r="L1064" s="177"/>
      <c r="M1064" s="177"/>
      <c r="N1064" s="177"/>
      <c r="O1064" s="177"/>
      <c r="P1064" s="177"/>
      <c r="Q1064" s="177"/>
      <c r="R1064" s="177"/>
      <c r="S1064" s="177"/>
      <c r="T1064" s="177"/>
      <c r="U1064" s="177"/>
      <c r="V1064" s="177"/>
      <c r="W1064" s="177"/>
      <c r="X1064" s="177"/>
      <c r="Y1064" s="177"/>
      <c r="Z1064" s="177"/>
      <c r="AA1064" s="177"/>
      <c r="AB1064" s="176"/>
      <c r="AC1064" s="176"/>
      <c r="AD1064" s="176"/>
      <c r="AE1064" s="160"/>
      <c r="AF1064" s="160"/>
      <c r="AG1064" s="160"/>
      <c r="AH1064" s="160"/>
      <c r="AI1064" s="160"/>
      <c r="AJ1064" s="160"/>
      <c r="AK1064" s="160"/>
      <c r="AL1064" s="160"/>
      <c r="AM1064" s="160"/>
      <c r="AN1064" s="160"/>
      <c r="AO1064" s="160"/>
      <c r="AP1064" s="160"/>
      <c r="AQ1064" s="160"/>
      <c r="AR1064" s="160"/>
      <c r="AS1064" s="160"/>
      <c r="AT1064" s="160"/>
      <c r="AU1064" s="160"/>
      <c r="AV1064" s="160"/>
      <c r="AW1064" s="160"/>
      <c r="AX1064" s="160"/>
      <c r="AY1064" s="160"/>
      <c r="AZ1064" s="160"/>
      <c r="BA1064" s="160"/>
    </row>
    <row r="1065" ht="15.75" hidden="1" customHeight="1" outlineLevel="1">
      <c r="A1065" s="255"/>
      <c r="B1065" s="38"/>
      <c r="C1065" s="160"/>
      <c r="D1065" s="160"/>
      <c r="E1065" s="160">
        <f>IF($E$902&gt;0,'Assumptions (Solar)'!V$14*Model!$E$902*('Assumptions (Solar)'!$C$20*'Assumptions (Solar)'!$C$2+'Assumptions (Solar)'!$C$21*'Assumptions (Solar)'!$C$3)/10^9,0)</f>
        <v>0</v>
      </c>
      <c r="F1065" s="160">
        <f>IF($E$902&gt;0,'Assumptions (Solar)'!W$14*Model!$E$902*('Assumptions (Solar)'!$C$20*'Assumptions (Solar)'!$C$2+'Assumptions (Solar)'!$C$21*'Assumptions (Solar)'!$C$3)/10^9,0)</f>
        <v>0</v>
      </c>
      <c r="G1065" s="160">
        <f>IF($E$902&gt;0,'Assumptions (Solar)'!X$14*Model!$E$902*('Assumptions (Solar)'!$C$20*'Assumptions (Solar)'!$C$2+'Assumptions (Solar)'!$C$21*'Assumptions (Solar)'!$C$3)/10^9,0)</f>
        <v>0</v>
      </c>
      <c r="H1065" s="160">
        <f>IF($E$902&gt;0,'Assumptions (Solar)'!Y$14*Model!$E$902*('Assumptions (Solar)'!$C$20*'Assumptions (Solar)'!$C$2+'Assumptions (Solar)'!$C$21*'Assumptions (Solar)'!$C$3)/10^9,0)</f>
        <v>0</v>
      </c>
      <c r="I1065" s="160">
        <f>IF($E$902&gt;0,'Assumptions (Solar)'!Z$14*Model!$E$902*('Assumptions (Solar)'!$C$20*'Assumptions (Solar)'!$C$2+'Assumptions (Solar)'!$C$21*'Assumptions (Solar)'!$C$3)/10^9,0)</f>
        <v>0</v>
      </c>
      <c r="J1065" s="160">
        <f>IF($E$902&gt;0,'Assumptions (Solar)'!AA$14*Model!$E$902*('Assumptions (Solar)'!$C$20*'Assumptions (Solar)'!$C$2+'Assumptions (Solar)'!$C$21*'Assumptions (Solar)'!$C$3)/10^9,0)</f>
        <v>0</v>
      </c>
      <c r="K1065" s="160"/>
      <c r="L1065" s="160"/>
      <c r="M1065" s="160"/>
      <c r="N1065" s="160"/>
      <c r="O1065" s="160"/>
      <c r="P1065" s="160"/>
      <c r="Q1065" s="160"/>
      <c r="R1065" s="160"/>
      <c r="S1065" s="160"/>
      <c r="T1065" s="160"/>
      <c r="U1065" s="160"/>
      <c r="V1065" s="160"/>
      <c r="W1065" s="160"/>
      <c r="X1065" s="160"/>
      <c r="Y1065" s="160"/>
      <c r="Z1065" s="160"/>
      <c r="AA1065" s="160"/>
      <c r="AB1065" s="176"/>
      <c r="AC1065" s="176"/>
      <c r="AD1065" s="176"/>
      <c r="AE1065" s="160"/>
      <c r="AF1065" s="160"/>
      <c r="AG1065" s="160"/>
      <c r="AH1065" s="160"/>
      <c r="AI1065" s="160"/>
      <c r="AJ1065" s="160"/>
      <c r="AK1065" s="160"/>
      <c r="AL1065" s="160"/>
      <c r="AM1065" s="160"/>
      <c r="AN1065" s="160"/>
      <c r="AO1065" s="160"/>
      <c r="AP1065" s="160"/>
      <c r="AQ1065" s="160"/>
      <c r="AR1065" s="160"/>
      <c r="AS1065" s="160"/>
      <c r="AT1065" s="160"/>
      <c r="AU1065" s="160"/>
      <c r="AV1065" s="160"/>
      <c r="AW1065" s="160"/>
      <c r="AX1065" s="160"/>
      <c r="AY1065" s="160"/>
      <c r="AZ1065" s="160"/>
      <c r="BA1065" s="160"/>
    </row>
    <row r="1066" ht="15.75" hidden="1" customHeight="1" outlineLevel="1">
      <c r="A1066" s="255"/>
      <c r="B1066" s="38"/>
      <c r="C1066" s="160"/>
      <c r="D1066" s="160"/>
      <c r="E1066" s="160"/>
      <c r="F1066" s="160">
        <f>IF($F$902&gt;0,'Assumptions (Solar)'!V$14*Model!$F$902*('Assumptions (Solar)'!$D$20*'Assumptions (Solar)'!$D$2+'Assumptions (Solar)'!$D$21*'Assumptions (Solar)'!$D$3)/10^9,0)</f>
        <v>0</v>
      </c>
      <c r="G1066" s="160">
        <f>IF($F$902&gt;0,'Assumptions (Solar)'!W$14*Model!$F$902*('Assumptions (Solar)'!$D$20*'Assumptions (Solar)'!$D$2+'Assumptions (Solar)'!$D$21*'Assumptions (Solar)'!$D$3)/10^9,0)</f>
        <v>0</v>
      </c>
      <c r="H1066" s="160">
        <f>IF($F$902&gt;0,'Assumptions (Solar)'!X$14*Model!$F$902*('Assumptions (Solar)'!$D$20*'Assumptions (Solar)'!$D$2+'Assumptions (Solar)'!$D$21*'Assumptions (Solar)'!$D$3)/10^9,0)</f>
        <v>0</v>
      </c>
      <c r="I1066" s="160">
        <f>IF($F$902&gt;0,'Assumptions (Solar)'!Y$14*Model!$F$902*('Assumptions (Solar)'!$D$20*'Assumptions (Solar)'!$D$2+'Assumptions (Solar)'!$D$21*'Assumptions (Solar)'!$D$3)/10^9,0)</f>
        <v>0</v>
      </c>
      <c r="J1066" s="160">
        <f>IF($F$902&gt;0,'Assumptions (Solar)'!Z$14*Model!$F$902*('Assumptions (Solar)'!$D$20*'Assumptions (Solar)'!$D$2+'Assumptions (Solar)'!$D$21*'Assumptions (Solar)'!$D$3)/10^9,0)</f>
        <v>0</v>
      </c>
      <c r="K1066" s="160">
        <f>IF($F$902&gt;0,'Assumptions (Solar)'!AA$14*Model!$F$902*('Assumptions (Solar)'!$D$20*'Assumptions (Solar)'!$D$2+'Assumptions (Solar)'!$D$21*'Assumptions (Solar)'!$D$3)/10^9,0)</f>
        <v>0</v>
      </c>
      <c r="L1066" s="160"/>
      <c r="M1066" s="160"/>
      <c r="N1066" s="160"/>
      <c r="O1066" s="160"/>
      <c r="P1066" s="160"/>
      <c r="Q1066" s="160"/>
      <c r="R1066" s="160"/>
      <c r="S1066" s="160"/>
      <c r="T1066" s="160"/>
      <c r="U1066" s="160"/>
      <c r="V1066" s="160"/>
      <c r="W1066" s="160"/>
      <c r="X1066" s="160"/>
      <c r="Y1066" s="160"/>
      <c r="Z1066" s="160"/>
      <c r="AA1066" s="160"/>
      <c r="AB1066" s="176"/>
      <c r="AC1066" s="176"/>
      <c r="AD1066" s="176"/>
      <c r="AE1066" s="160"/>
      <c r="AF1066" s="160"/>
      <c r="AG1066" s="160"/>
      <c r="AH1066" s="160"/>
      <c r="AI1066" s="160"/>
      <c r="AJ1066" s="160"/>
      <c r="AK1066" s="160"/>
      <c r="AL1066" s="160"/>
      <c r="AM1066" s="160"/>
      <c r="AN1066" s="160"/>
      <c r="AO1066" s="160"/>
      <c r="AP1066" s="160"/>
      <c r="AQ1066" s="160"/>
      <c r="AR1066" s="160"/>
      <c r="AS1066" s="160"/>
      <c r="AT1066" s="160"/>
      <c r="AU1066" s="160"/>
      <c r="AV1066" s="160"/>
      <c r="AW1066" s="160"/>
      <c r="AX1066" s="160"/>
      <c r="AY1066" s="160"/>
      <c r="AZ1066" s="160"/>
      <c r="BA1066" s="160"/>
    </row>
    <row r="1067" ht="15.75" hidden="1" customHeight="1" outlineLevel="1">
      <c r="A1067" s="255"/>
      <c r="B1067" s="38"/>
      <c r="C1067" s="160"/>
      <c r="D1067" s="160"/>
      <c r="E1067" s="160"/>
      <c r="F1067" s="160"/>
      <c r="G1067" s="160">
        <f>IF($G$902&gt;0,'Assumptions (Solar)'!V$14*Model!$G$902*('Assumptions (Solar)'!$E$20*'Assumptions (Solar)'!$E$2+'Assumptions (Solar)'!$E$21*'Assumptions (Solar)'!$E$3)/10^9,0)</f>
        <v>0</v>
      </c>
      <c r="H1067" s="160">
        <f>IF($G$902&gt;0,'Assumptions (Solar)'!W$14*Model!$G$902*('Assumptions (Solar)'!$E$20*'Assumptions (Solar)'!$E$2+'Assumptions (Solar)'!$E$21*'Assumptions (Solar)'!$E$3)/10^9,0)</f>
        <v>0</v>
      </c>
      <c r="I1067" s="160">
        <f>IF($G$902&gt;0,'Assumptions (Solar)'!X$14*Model!$G$902*('Assumptions (Solar)'!$E$20*'Assumptions (Solar)'!$E$2+'Assumptions (Solar)'!$E$21*'Assumptions (Solar)'!$E$3)/10^9,0)</f>
        <v>0</v>
      </c>
      <c r="J1067" s="160">
        <f>IF($G$902&gt;0,'Assumptions (Solar)'!Y$14*Model!$G$902*('Assumptions (Solar)'!$E$20*'Assumptions (Solar)'!$E$2+'Assumptions (Solar)'!$E$21*'Assumptions (Solar)'!$E$3)/10^9,0)</f>
        <v>0</v>
      </c>
      <c r="K1067" s="160">
        <f>IF($G$902&gt;0,'Assumptions (Solar)'!Z$14*Model!$G$902*('Assumptions (Solar)'!$E$20*'Assumptions (Solar)'!$E$2+'Assumptions (Solar)'!$E$21*'Assumptions (Solar)'!$E$3)/10^9,0)</f>
        <v>0</v>
      </c>
      <c r="L1067" s="160">
        <f>IF($G$902&gt;0,'Assumptions (Solar)'!AA$14*Model!$G$902*('Assumptions (Solar)'!$E$20*'Assumptions (Solar)'!$E$2+'Assumptions (Solar)'!$E$21*'Assumptions (Solar)'!$E$3)/10^9,0)</f>
        <v>0</v>
      </c>
      <c r="M1067" s="160"/>
      <c r="N1067" s="160"/>
      <c r="O1067" s="160"/>
      <c r="P1067" s="160"/>
      <c r="Q1067" s="160"/>
      <c r="R1067" s="160"/>
      <c r="S1067" s="160"/>
      <c r="T1067" s="160"/>
      <c r="U1067" s="160"/>
      <c r="V1067" s="160"/>
      <c r="W1067" s="160"/>
      <c r="X1067" s="160"/>
      <c r="Y1067" s="160"/>
      <c r="Z1067" s="160"/>
      <c r="AA1067" s="160"/>
      <c r="AB1067" s="176"/>
      <c r="AC1067" s="176"/>
      <c r="AD1067" s="176"/>
      <c r="AE1067" s="160"/>
      <c r="AF1067" s="160"/>
      <c r="AG1067" s="160"/>
      <c r="AH1067" s="160"/>
      <c r="AI1067" s="160"/>
      <c r="AJ1067" s="160"/>
      <c r="AK1067" s="160"/>
      <c r="AL1067" s="160"/>
      <c r="AM1067" s="160"/>
      <c r="AN1067" s="160"/>
      <c r="AO1067" s="160"/>
      <c r="AP1067" s="160"/>
      <c r="AQ1067" s="160"/>
      <c r="AR1067" s="160"/>
      <c r="AS1067" s="160"/>
      <c r="AT1067" s="160"/>
      <c r="AU1067" s="160"/>
      <c r="AV1067" s="160"/>
      <c r="AW1067" s="160"/>
      <c r="AX1067" s="160"/>
      <c r="AY1067" s="160"/>
      <c r="AZ1067" s="160"/>
      <c r="BA1067" s="160"/>
    </row>
    <row r="1068" ht="15.75" hidden="1" customHeight="1" outlineLevel="1">
      <c r="A1068" s="255"/>
      <c r="B1068" s="38"/>
      <c r="C1068" s="160"/>
      <c r="D1068" s="160"/>
      <c r="E1068" s="160"/>
      <c r="F1068" s="160"/>
      <c r="G1068" s="160"/>
      <c r="H1068" s="160">
        <f>IF($H$902&gt;0,'Assumptions (Solar)'!V$14*Model!$H$902*('Assumptions (Solar)'!$F$20*'Assumptions (Solar)'!$F$2+'Assumptions (Solar)'!$F$21*'Assumptions (Solar)'!$F$3)/10^9,0)</f>
        <v>0</v>
      </c>
      <c r="I1068" s="160">
        <f>IF($H$902&gt;0,'Assumptions (Solar)'!W$14*Model!$H$902*('Assumptions (Solar)'!$F$20*'Assumptions (Solar)'!$F$2+'Assumptions (Solar)'!$F$21*'Assumptions (Solar)'!$F$3)/10^9,0)</f>
        <v>0</v>
      </c>
      <c r="J1068" s="160">
        <f>IF($H$902&gt;0,'Assumptions (Solar)'!X$14*Model!$H$902*('Assumptions (Solar)'!$F$20*'Assumptions (Solar)'!$F$2+'Assumptions (Solar)'!$F$21*'Assumptions (Solar)'!$F$3)/10^9,0)</f>
        <v>0</v>
      </c>
      <c r="K1068" s="160">
        <f>IF($H$902&gt;0,'Assumptions (Solar)'!Y$14*Model!$H$902*('Assumptions (Solar)'!$F$20*'Assumptions (Solar)'!$F$2+'Assumptions (Solar)'!$F$21*'Assumptions (Solar)'!$F$3)/10^9,0)</f>
        <v>0</v>
      </c>
      <c r="L1068" s="160">
        <f>IF($H$902&gt;0,'Assumptions (Solar)'!Z$14*Model!$H$902*('Assumptions (Solar)'!$F$20*'Assumptions (Solar)'!$F$2+'Assumptions (Solar)'!$F$21*'Assumptions (Solar)'!$F$3)/10^9,0)</f>
        <v>0</v>
      </c>
      <c r="M1068" s="160">
        <f>IF($H$902&gt;0,'Assumptions (Solar)'!AA$14*Model!$H$902*('Assumptions (Solar)'!$F$20*'Assumptions (Solar)'!$F$2+'Assumptions (Solar)'!$F$21*'Assumptions (Solar)'!$F$3)/10^9,0)</f>
        <v>0</v>
      </c>
      <c r="N1068" s="160"/>
      <c r="O1068" s="160"/>
      <c r="P1068" s="160"/>
      <c r="Q1068" s="160"/>
      <c r="R1068" s="160"/>
      <c r="S1068" s="160"/>
      <c r="T1068" s="160"/>
      <c r="U1068" s="160"/>
      <c r="V1068" s="160"/>
      <c r="W1068" s="160"/>
      <c r="X1068" s="160"/>
      <c r="Y1068" s="160"/>
      <c r="Z1068" s="160"/>
      <c r="AA1068" s="160"/>
      <c r="AB1068" s="176"/>
      <c r="AC1068" s="176"/>
      <c r="AD1068" s="176"/>
      <c r="AE1068" s="160"/>
      <c r="AF1068" s="160"/>
      <c r="AG1068" s="160"/>
      <c r="AH1068" s="160"/>
      <c r="AI1068" s="160"/>
      <c r="AJ1068" s="160"/>
      <c r="AK1068" s="160"/>
      <c r="AL1068" s="160"/>
      <c r="AM1068" s="160"/>
      <c r="AN1068" s="160"/>
      <c r="AO1068" s="160"/>
      <c r="AP1068" s="160"/>
      <c r="AQ1068" s="160"/>
      <c r="AR1068" s="160"/>
      <c r="AS1068" s="160"/>
      <c r="AT1068" s="160"/>
      <c r="AU1068" s="160"/>
      <c r="AV1068" s="160"/>
      <c r="AW1068" s="160"/>
      <c r="AX1068" s="160"/>
      <c r="AY1068" s="160"/>
      <c r="AZ1068" s="160"/>
      <c r="BA1068" s="160"/>
    </row>
    <row r="1069" ht="15.75" hidden="1" customHeight="1" outlineLevel="1">
      <c r="A1069" s="255"/>
      <c r="B1069" s="38"/>
      <c r="C1069" s="160"/>
      <c r="D1069" s="160"/>
      <c r="E1069" s="160"/>
      <c r="F1069" s="160"/>
      <c r="G1069" s="160"/>
      <c r="H1069" s="160"/>
      <c r="I1069" s="160">
        <f>IF($I$902&gt;0,'Assumptions (Solar)'!V$14*Model!$I$902*('Assumptions (Solar)'!$G$20*'Assumptions (Solar)'!$G$2+'Assumptions (Solar)'!$G$21*'Assumptions (Solar)'!$G$3)/10^9,0)</f>
        <v>0</v>
      </c>
      <c r="J1069" s="160">
        <f>IF($I$902&gt;0,'Assumptions (Solar)'!W$14*Model!$I$902*('Assumptions (Solar)'!$G$20*'Assumptions (Solar)'!$G$2+'Assumptions (Solar)'!$G$21*'Assumptions (Solar)'!$G$3)/10^9,0)</f>
        <v>0</v>
      </c>
      <c r="K1069" s="160">
        <f>IF($I$902&gt;0,'Assumptions (Solar)'!X$14*Model!$I$902*('Assumptions (Solar)'!$G$20*'Assumptions (Solar)'!$G$2+'Assumptions (Solar)'!$G$21*'Assumptions (Solar)'!$G$3)/10^9,0)</f>
        <v>0</v>
      </c>
      <c r="L1069" s="160">
        <f>IF($I$902&gt;0,'Assumptions (Solar)'!Y$14*Model!$I$902*('Assumptions (Solar)'!$G$20*'Assumptions (Solar)'!$G$2+'Assumptions (Solar)'!$G$21*'Assumptions (Solar)'!$G$3)/10^9,0)</f>
        <v>0</v>
      </c>
      <c r="M1069" s="160">
        <f>IF($I$902&gt;0,'Assumptions (Solar)'!Z$14*Model!$I$902*('Assumptions (Solar)'!$G$20*'Assumptions (Solar)'!$G$2+'Assumptions (Solar)'!$G$21*'Assumptions (Solar)'!$G$3)/10^9,0)</f>
        <v>0</v>
      </c>
      <c r="N1069" s="160">
        <f>IF($I$902&gt;0,'Assumptions (Solar)'!AA$14*Model!$I$902*('Assumptions (Solar)'!$G$20*'Assumptions (Solar)'!$G$2+'Assumptions (Solar)'!$G$21*'Assumptions (Solar)'!$G$3)/10^9,0)</f>
        <v>0</v>
      </c>
      <c r="O1069" s="160"/>
      <c r="P1069" s="160"/>
      <c r="Q1069" s="160"/>
      <c r="R1069" s="160"/>
      <c r="S1069" s="160"/>
      <c r="T1069" s="160"/>
      <c r="U1069" s="160"/>
      <c r="V1069" s="160"/>
      <c r="W1069" s="160"/>
      <c r="X1069" s="160"/>
      <c r="Y1069" s="160"/>
      <c r="Z1069" s="160"/>
      <c r="AA1069" s="160"/>
      <c r="AB1069" s="176"/>
      <c r="AC1069" s="176"/>
      <c r="AD1069" s="176"/>
      <c r="AE1069" s="160"/>
      <c r="AF1069" s="160"/>
      <c r="AG1069" s="160"/>
      <c r="AH1069" s="160"/>
      <c r="AI1069" s="160"/>
      <c r="AJ1069" s="160"/>
      <c r="AK1069" s="160"/>
      <c r="AL1069" s="160"/>
      <c r="AM1069" s="160"/>
      <c r="AN1069" s="160"/>
      <c r="AO1069" s="160"/>
      <c r="AP1069" s="160"/>
      <c r="AQ1069" s="160"/>
      <c r="AR1069" s="160"/>
      <c r="AS1069" s="160"/>
      <c r="AT1069" s="160"/>
      <c r="AU1069" s="160"/>
      <c r="AV1069" s="160"/>
      <c r="AW1069" s="160"/>
      <c r="AX1069" s="160"/>
      <c r="AY1069" s="160"/>
      <c r="AZ1069" s="160"/>
      <c r="BA1069" s="160"/>
    </row>
    <row r="1070" ht="15.75" hidden="1" customHeight="1" outlineLevel="1">
      <c r="A1070" s="255"/>
      <c r="B1070" s="38"/>
      <c r="C1070" s="160"/>
      <c r="D1070" s="160"/>
      <c r="E1070" s="160"/>
      <c r="F1070" s="160"/>
      <c r="G1070" s="160"/>
      <c r="H1070" s="160"/>
      <c r="I1070" s="160"/>
      <c r="J1070" s="160">
        <f>IF($J$902&gt;0,'Assumptions (Solar)'!V$14*Model!$J$902*('Assumptions (Solar)'!$H$20*'Assumptions (Solar)'!$H$2+'Assumptions (Solar)'!$H$21*'Assumptions (Solar)'!$H$3)/10^9,0)</f>
        <v>0</v>
      </c>
      <c r="K1070" s="160">
        <f>IF($J$902&gt;0,'Assumptions (Solar)'!W$14*Model!$J$902*('Assumptions (Solar)'!$H$20*'Assumptions (Solar)'!$H$2+'Assumptions (Solar)'!$H$21*'Assumptions (Solar)'!$H$3)/10^9,0)</f>
        <v>0</v>
      </c>
      <c r="L1070" s="160">
        <f>IF($J$902&gt;0,'Assumptions (Solar)'!X$14*Model!$J$902*('Assumptions (Solar)'!$H$20*'Assumptions (Solar)'!$H$2+'Assumptions (Solar)'!$H$21*'Assumptions (Solar)'!$H$3)/10^9,0)</f>
        <v>0</v>
      </c>
      <c r="M1070" s="160">
        <f>IF($J$902&gt;0,'Assumptions (Solar)'!Y$14*Model!$J$902*('Assumptions (Solar)'!$H$20*'Assumptions (Solar)'!$H$2+'Assumptions (Solar)'!$H$21*'Assumptions (Solar)'!$H$3)/10^9,0)</f>
        <v>0</v>
      </c>
      <c r="N1070" s="160">
        <f>IF($J$902&gt;0,'Assumptions (Solar)'!Z$14*Model!$J$902*('Assumptions (Solar)'!$H$20*'Assumptions (Solar)'!$H$2+'Assumptions (Solar)'!$H$21*'Assumptions (Solar)'!$H$3)/10^9,0)</f>
        <v>0</v>
      </c>
      <c r="O1070" s="160">
        <f>IF($J$902&gt;0,'Assumptions (Solar)'!AA$14*Model!$J$902*('Assumptions (Solar)'!$H$20*'Assumptions (Solar)'!$H$2+'Assumptions (Solar)'!$H$21*'Assumptions (Solar)'!$H$3)/10^9,0)</f>
        <v>0</v>
      </c>
      <c r="P1070" s="160"/>
      <c r="Q1070" s="160"/>
      <c r="R1070" s="160"/>
      <c r="S1070" s="160"/>
      <c r="T1070" s="160"/>
      <c r="U1070" s="160"/>
      <c r="V1070" s="160"/>
      <c r="W1070" s="160"/>
      <c r="X1070" s="160"/>
      <c r="Y1070" s="160"/>
      <c r="Z1070" s="160"/>
      <c r="AA1070" s="160"/>
      <c r="AB1070" s="176"/>
      <c r="AC1070" s="176"/>
      <c r="AD1070" s="176"/>
      <c r="AE1070" s="160"/>
      <c r="AF1070" s="160"/>
      <c r="AG1070" s="160"/>
      <c r="AH1070" s="160"/>
      <c r="AI1070" s="160"/>
      <c r="AJ1070" s="160"/>
      <c r="AK1070" s="160"/>
      <c r="AL1070" s="160"/>
      <c r="AM1070" s="160"/>
      <c r="AN1070" s="160"/>
      <c r="AO1070" s="160"/>
      <c r="AP1070" s="160"/>
      <c r="AQ1070" s="160"/>
      <c r="AR1070" s="160"/>
      <c r="AS1070" s="160"/>
      <c r="AT1070" s="160"/>
      <c r="AU1070" s="160"/>
      <c r="AV1070" s="160"/>
      <c r="AW1070" s="160"/>
      <c r="AX1070" s="160"/>
      <c r="AY1070" s="160"/>
      <c r="AZ1070" s="160"/>
      <c r="BA1070" s="160"/>
    </row>
    <row r="1071" ht="15.75" hidden="1" customHeight="1" outlineLevel="1">
      <c r="A1071" s="255"/>
      <c r="B1071" s="38"/>
      <c r="C1071" s="160"/>
      <c r="D1071" s="160"/>
      <c r="E1071" s="160"/>
      <c r="F1071" s="160"/>
      <c r="G1071" s="160"/>
      <c r="H1071" s="160"/>
      <c r="I1071" s="160"/>
      <c r="J1071" s="160"/>
      <c r="K1071" s="160">
        <f>IF($K$902&gt;0,'Assumptions (Solar)'!V$14*Model!$K$902*('Assumptions (Solar)'!$I$20*'Assumptions (Solar)'!$I$2+'Assumptions (Solar)'!$I$21*'Assumptions (Solar)'!$I$3)/10^9,0)</f>
        <v>0.004643116274</v>
      </c>
      <c r="L1071" s="160">
        <f>IF($K$902&gt;0,'Assumptions (Solar)'!W$14*Model!$K$902*('Assumptions (Solar)'!$I$20*'Assumptions (Solar)'!$I$2+'Assumptions (Solar)'!$I$21*'Assumptions (Solar)'!$I$3)/10^9,0)</f>
        <v>0.007428986038</v>
      </c>
      <c r="M1071" s="160">
        <f>IF($K$902&gt;0,'Assumptions (Solar)'!X$14*Model!$K$902*('Assumptions (Solar)'!$I$20*'Assumptions (Solar)'!$I$2+'Assumptions (Solar)'!$I$21*'Assumptions (Solar)'!$I$3)/10^9,0)</f>
        <v>0.004457391623</v>
      </c>
      <c r="N1071" s="160">
        <f>IF($K$902&gt;0,'Assumptions (Solar)'!Y$14*Model!$K$902*('Assumptions (Solar)'!$I$20*'Assumptions (Solar)'!$I$2+'Assumptions (Solar)'!$I$21*'Assumptions (Solar)'!$I$3)/10^9,0)</f>
        <v>0.002674434974</v>
      </c>
      <c r="O1071" s="160">
        <f>IF($K$902&gt;0,'Assumptions (Solar)'!Z$14*Model!$K$902*('Assumptions (Solar)'!$I$20*'Assumptions (Solar)'!$I$2+'Assumptions (Solar)'!$I$21*'Assumptions (Solar)'!$I$3)/10^9,0)</f>
        <v>0.002674434974</v>
      </c>
      <c r="P1071" s="160">
        <f>IF($K$902&gt;0,'Assumptions (Solar)'!AA$14*Model!$K$902*('Assumptions (Solar)'!$I$20*'Assumptions (Solar)'!$I$2+'Assumptions (Solar)'!$I$21*'Assumptions (Solar)'!$I$3)/10^9,0)</f>
        <v>0.001337217487</v>
      </c>
      <c r="Q1071" s="160"/>
      <c r="R1071" s="160"/>
      <c r="S1071" s="160"/>
      <c r="T1071" s="160"/>
      <c r="U1071" s="160"/>
      <c r="V1071" s="160"/>
      <c r="W1071" s="160"/>
      <c r="X1071" s="160"/>
      <c r="Y1071" s="160"/>
      <c r="Z1071" s="160"/>
      <c r="AA1071" s="160"/>
      <c r="AB1071" s="176"/>
      <c r="AC1071" s="176"/>
      <c r="AD1071" s="176"/>
      <c r="AE1071" s="160"/>
      <c r="AF1071" s="160"/>
      <c r="AG1071" s="160"/>
      <c r="AH1071" s="160"/>
      <c r="AI1071" s="160"/>
      <c r="AJ1071" s="160"/>
      <c r="AK1071" s="160"/>
      <c r="AL1071" s="160"/>
      <c r="AM1071" s="160"/>
      <c r="AN1071" s="160"/>
      <c r="AO1071" s="160"/>
      <c r="AP1071" s="160"/>
      <c r="AQ1071" s="160"/>
      <c r="AR1071" s="160"/>
      <c r="AS1071" s="160"/>
      <c r="AT1071" s="160"/>
      <c r="AU1071" s="160"/>
      <c r="AV1071" s="160"/>
      <c r="AW1071" s="160"/>
      <c r="AX1071" s="160"/>
      <c r="AY1071" s="160"/>
      <c r="AZ1071" s="160"/>
      <c r="BA1071" s="160"/>
    </row>
    <row r="1072" ht="15.75" hidden="1" customHeight="1" outlineLevel="1">
      <c r="A1072" s="255"/>
      <c r="B1072" s="38"/>
      <c r="C1072" s="160"/>
      <c r="D1072" s="160"/>
      <c r="E1072" s="160"/>
      <c r="F1072" s="160"/>
      <c r="G1072" s="160"/>
      <c r="H1072" s="160"/>
      <c r="I1072" s="160"/>
      <c r="J1072" s="160"/>
      <c r="K1072" s="160"/>
      <c r="L1072" s="160">
        <f>IF($L$902&gt;0,'Assumptions (Solar)'!V$14*Model!$L$902*('Assumptions (Solar)'!$J$20*'Assumptions (Solar)'!$J$2+'Assumptions (Solar)'!$J$21*'Assumptions (Solar)'!$J$3)/10^9,0)</f>
        <v>0</v>
      </c>
      <c r="M1072" s="160">
        <f>IF($L$902&gt;0,'Assumptions (Solar)'!W$14*Model!$L$902*('Assumptions (Solar)'!$J$20*'Assumptions (Solar)'!$J$2+'Assumptions (Solar)'!$J$21*'Assumptions (Solar)'!$J$3)/10^9,0)</f>
        <v>0</v>
      </c>
      <c r="N1072" s="160">
        <f>IF($L$902&gt;0,'Assumptions (Solar)'!X$14*Model!$L$902*('Assumptions (Solar)'!$J$20*'Assumptions (Solar)'!$J$2+'Assumptions (Solar)'!$J$21*'Assumptions (Solar)'!$J$3)/10^9,0)</f>
        <v>0</v>
      </c>
      <c r="O1072" s="160">
        <f>IF($L$902&gt;0,'Assumptions (Solar)'!Y$14*Model!$L$902*('Assumptions (Solar)'!$J$20*'Assumptions (Solar)'!$J$2+'Assumptions (Solar)'!$J$21*'Assumptions (Solar)'!$J$3)/10^9,0)</f>
        <v>0</v>
      </c>
      <c r="P1072" s="160">
        <f>IF($L$902&gt;0,'Assumptions (Solar)'!Z$14*Model!$L$902*('Assumptions (Solar)'!$J$20*'Assumptions (Solar)'!$J$2+'Assumptions (Solar)'!$J$21*'Assumptions (Solar)'!$J$3)/10^9,0)</f>
        <v>0</v>
      </c>
      <c r="Q1072" s="160">
        <f>IF($L$902&gt;0,'Assumptions (Solar)'!AA$14*Model!$L$902*('Assumptions (Solar)'!$J$20*'Assumptions (Solar)'!$J$2+'Assumptions (Solar)'!$J$21*'Assumptions (Solar)'!$J$3)/10^9,0)</f>
        <v>0</v>
      </c>
      <c r="R1072" s="160"/>
      <c r="S1072" s="160"/>
      <c r="T1072" s="160"/>
      <c r="U1072" s="160"/>
      <c r="V1072" s="160"/>
      <c r="W1072" s="160"/>
      <c r="X1072" s="160"/>
      <c r="Y1072" s="160"/>
      <c r="Z1072" s="160"/>
      <c r="AA1072" s="160"/>
      <c r="AB1072" s="176"/>
      <c r="AC1072" s="176"/>
      <c r="AD1072" s="176"/>
      <c r="AE1072" s="160"/>
      <c r="AF1072" s="160"/>
      <c r="AG1072" s="160"/>
      <c r="AH1072" s="160"/>
      <c r="AI1072" s="160"/>
      <c r="AJ1072" s="160"/>
      <c r="AK1072" s="160"/>
      <c r="AL1072" s="160"/>
      <c r="AM1072" s="160"/>
      <c r="AN1072" s="160"/>
      <c r="AO1072" s="160"/>
      <c r="AP1072" s="160"/>
      <c r="AQ1072" s="160"/>
      <c r="AR1072" s="160"/>
      <c r="AS1072" s="160"/>
      <c r="AT1072" s="160"/>
      <c r="AU1072" s="160"/>
      <c r="AV1072" s="160"/>
      <c r="AW1072" s="160"/>
      <c r="AX1072" s="160"/>
      <c r="AY1072" s="160"/>
      <c r="AZ1072" s="160"/>
      <c r="BA1072" s="160"/>
    </row>
    <row r="1073" ht="15.75" hidden="1" customHeight="1" outlineLevel="1">
      <c r="A1073" s="255"/>
      <c r="B1073" s="38"/>
      <c r="C1073" s="160"/>
      <c r="D1073" s="160"/>
      <c r="E1073" s="160"/>
      <c r="F1073" s="160"/>
      <c r="G1073" s="160"/>
      <c r="H1073" s="160"/>
      <c r="I1073" s="160"/>
      <c r="J1073" s="160"/>
      <c r="K1073" s="160"/>
      <c r="L1073" s="160"/>
      <c r="M1073" s="160">
        <f>IF($M$902&gt;0,'Assumptions (Solar)'!V$14*Model!$M$902*('Assumptions (Solar)'!$K$20*'Assumptions (Solar)'!$K$2+'Assumptions (Solar)'!$K$21*'Assumptions (Solar)'!$K$3)/10^9,0)</f>
        <v>0.01027252189</v>
      </c>
      <c r="N1073" s="160">
        <f>IF($M$902&gt;0,'Assumptions (Solar)'!W$14*Model!$M$902*('Assumptions (Solar)'!$K$20*'Assumptions (Solar)'!$K$2+'Assumptions (Solar)'!$K$21*'Assumptions (Solar)'!$K$3)/10^9,0)</f>
        <v>0.01643603502</v>
      </c>
      <c r="O1073" s="160">
        <f>IF($M$902&gt;0,'Assumptions (Solar)'!X$14*Model!$M$902*('Assumptions (Solar)'!$K$20*'Assumptions (Solar)'!$K$2+'Assumptions (Solar)'!$K$21*'Assumptions (Solar)'!$K$3)/10^9,0)</f>
        <v>0.009861621014</v>
      </c>
      <c r="P1073" s="160">
        <f>IF($M$902&gt;0,'Assumptions (Solar)'!Y$14*Model!$M$902*('Assumptions (Solar)'!$K$20*'Assumptions (Solar)'!$K$2+'Assumptions (Solar)'!$K$21*'Assumptions (Solar)'!$K$3)/10^9,0)</f>
        <v>0.005916972608</v>
      </c>
      <c r="Q1073" s="160">
        <f>IF($M$902&gt;0,'Assumptions (Solar)'!Z$14*Model!$M$902*('Assumptions (Solar)'!$K$20*'Assumptions (Solar)'!$K$2+'Assumptions (Solar)'!$K$21*'Assumptions (Solar)'!$K$3)/10^9,0)</f>
        <v>0.005916972608</v>
      </c>
      <c r="R1073" s="160">
        <f>IF($M$902&gt;0,'Assumptions (Solar)'!AA$14*Model!$M$902*('Assumptions (Solar)'!$K$20*'Assumptions (Solar)'!$K$2+'Assumptions (Solar)'!$K$21*'Assumptions (Solar)'!$K$3)/10^9,0)</f>
        <v>0.002958486304</v>
      </c>
      <c r="S1073" s="160"/>
      <c r="T1073" s="160"/>
      <c r="U1073" s="160"/>
      <c r="V1073" s="160"/>
      <c r="W1073" s="160"/>
      <c r="X1073" s="160"/>
      <c r="Y1073" s="160"/>
      <c r="Z1073" s="160"/>
      <c r="AA1073" s="160"/>
      <c r="AB1073" s="176"/>
      <c r="AC1073" s="176"/>
      <c r="AD1073" s="176"/>
      <c r="AE1073" s="160"/>
      <c r="AF1073" s="160"/>
      <c r="AG1073" s="160"/>
      <c r="AH1073" s="160"/>
      <c r="AI1073" s="160"/>
      <c r="AJ1073" s="160"/>
      <c r="AK1073" s="160"/>
      <c r="AL1073" s="160"/>
      <c r="AM1073" s="160"/>
      <c r="AN1073" s="160"/>
      <c r="AO1073" s="160"/>
      <c r="AP1073" s="160"/>
      <c r="AQ1073" s="160"/>
      <c r="AR1073" s="160"/>
      <c r="AS1073" s="160"/>
      <c r="AT1073" s="160"/>
      <c r="AU1073" s="160"/>
      <c r="AV1073" s="160"/>
      <c r="AW1073" s="160"/>
      <c r="AX1073" s="160"/>
      <c r="AY1073" s="160"/>
      <c r="AZ1073" s="160"/>
      <c r="BA1073" s="160"/>
    </row>
    <row r="1074" ht="15.75" hidden="1" customHeight="1" outlineLevel="1">
      <c r="A1074" s="255"/>
      <c r="B1074" s="38"/>
      <c r="C1074" s="160"/>
      <c r="D1074" s="160"/>
      <c r="E1074" s="160"/>
      <c r="F1074" s="160"/>
      <c r="G1074" s="160"/>
      <c r="H1074" s="160"/>
      <c r="I1074" s="160"/>
      <c r="J1074" s="160"/>
      <c r="K1074" s="160"/>
      <c r="L1074" s="160"/>
      <c r="M1074" s="160"/>
      <c r="N1074" s="177">
        <f>IF($N$902&gt;0,'Assumptions (Solar)'!V$14*Model!$N$902*('Assumptions (Solar)'!$L$20*'Assumptions (Solar)'!$L$2+'Assumptions (Solar)'!$L$21*'Assumptions (Solar)'!$L$3)/10^9,0)</f>
        <v>0.02995983169</v>
      </c>
      <c r="O1074" s="177">
        <f>IF($N$902&gt;0,'Assumptions (Solar)'!W$14*Model!$N$902*('Assumptions (Solar)'!$L$20*'Assumptions (Solar)'!$L$2+'Assumptions (Solar)'!$L$21*'Assumptions (Solar)'!$L$3)/10^9,0)</f>
        <v>0.0479357307</v>
      </c>
      <c r="P1074" s="177">
        <f>IF($N$902&gt;0,'Assumptions (Solar)'!X$14*Model!$N$902*('Assumptions (Solar)'!$L$20*'Assumptions (Solar)'!$L$2+'Assumptions (Solar)'!$L$21*'Assumptions (Solar)'!$L$3)/10^9,0)</f>
        <v>0.02876143842</v>
      </c>
      <c r="Q1074" s="177">
        <f>IF($N$902&gt;0,'Assumptions (Solar)'!Y$14*Model!$N$902*('Assumptions (Solar)'!$L$20*'Assumptions (Solar)'!$L$2+'Assumptions (Solar)'!$L$21*'Assumptions (Solar)'!$L$3)/10^9,0)</f>
        <v>0.01725686305</v>
      </c>
      <c r="R1074" s="177">
        <f>IF($N$902&gt;0,'Assumptions (Solar)'!Z$14*Model!$N$902*('Assumptions (Solar)'!$L$20*'Assumptions (Solar)'!$L$2+'Assumptions (Solar)'!$L$21*'Assumptions (Solar)'!$L$3)/10^9,0)</f>
        <v>0.01725686305</v>
      </c>
      <c r="S1074" s="177">
        <f>IF($N$902&gt;0,'Assumptions (Solar)'!AA$14*Model!$N$902*('Assumptions (Solar)'!$L$20*'Assumptions (Solar)'!$L$2+'Assumptions (Solar)'!$L$21*'Assumptions (Solar)'!$L$3)/10^9,0)</f>
        <v>0.008628431526</v>
      </c>
      <c r="T1074" s="177"/>
      <c r="U1074" s="177"/>
      <c r="V1074" s="177"/>
      <c r="W1074" s="177"/>
      <c r="X1074" s="177"/>
      <c r="Y1074" s="177"/>
      <c r="Z1074" s="177"/>
      <c r="AA1074" s="177"/>
      <c r="AB1074" s="176"/>
      <c r="AC1074" s="176"/>
      <c r="AD1074" s="176"/>
      <c r="AE1074" s="160"/>
      <c r="AF1074" s="160"/>
      <c r="AG1074" s="160"/>
      <c r="AH1074" s="160"/>
      <c r="AI1074" s="160"/>
      <c r="AJ1074" s="160"/>
      <c r="AK1074" s="160"/>
      <c r="AL1074" s="160"/>
      <c r="AM1074" s="160"/>
      <c r="AN1074" s="160"/>
      <c r="AO1074" s="160"/>
      <c r="AP1074" s="160"/>
      <c r="AQ1074" s="160"/>
      <c r="AR1074" s="160"/>
      <c r="AS1074" s="160"/>
      <c r="AT1074" s="160"/>
      <c r="AU1074" s="160"/>
      <c r="AV1074" s="160"/>
      <c r="AW1074" s="160"/>
      <c r="AX1074" s="160"/>
      <c r="AY1074" s="160"/>
      <c r="AZ1074" s="160"/>
      <c r="BA1074" s="160"/>
    </row>
    <row r="1075" ht="15.75" hidden="1" customHeight="1" outlineLevel="1">
      <c r="A1075" s="255"/>
      <c r="B1075" s="38"/>
      <c r="C1075" s="160"/>
      <c r="D1075" s="160"/>
      <c r="E1075" s="160"/>
      <c r="F1075" s="160"/>
      <c r="G1075" s="160"/>
      <c r="H1075" s="160"/>
      <c r="I1075" s="160"/>
      <c r="J1075" s="160"/>
      <c r="K1075" s="160"/>
      <c r="L1075" s="160"/>
      <c r="M1075" s="160"/>
      <c r="N1075" s="160"/>
      <c r="O1075" s="160">
        <f>IF($O$902&gt;0,'Assumptions (Solar)'!V$14*Model!$O$902*('Assumptions (Solar)'!$M$20*'Assumptions (Solar)'!$M$2+'Assumptions (Solar)'!$M$21*'Assumptions (Solar)'!$M$3)/10^9,0)</f>
        <v>0.1164585326</v>
      </c>
      <c r="P1075" s="160">
        <f>IF($O$902&gt;0,'Assumptions (Solar)'!W$14*Model!$O$902*('Assumptions (Solar)'!$M$20*'Assumptions (Solar)'!$M$2+'Assumptions (Solar)'!$M$21*'Assumptions (Solar)'!$M$3)/10^9,0)</f>
        <v>0.1863336521</v>
      </c>
      <c r="Q1075" s="160">
        <f>IF($O$902&gt;0,'Assumptions (Solar)'!X$14*Model!$O$902*('Assumptions (Solar)'!$M$20*'Assumptions (Solar)'!$M$2+'Assumptions (Solar)'!$M$21*'Assumptions (Solar)'!$M$3)/10^9,0)</f>
        <v>0.1118001913</v>
      </c>
      <c r="R1075" s="160">
        <f>IF($O$902&gt;0,'Assumptions (Solar)'!Y$14*Model!$O$902*('Assumptions (Solar)'!$M$20*'Assumptions (Solar)'!$M$2+'Assumptions (Solar)'!$M$21*'Assumptions (Solar)'!$M$3)/10^9,0)</f>
        <v>0.06708011476</v>
      </c>
      <c r="S1075" s="160">
        <f>IF($O$902&gt;0,'Assumptions (Solar)'!Z$14*Model!$O$902*('Assumptions (Solar)'!$M$20*'Assumptions (Solar)'!$M$2+'Assumptions (Solar)'!$M$21*'Assumptions (Solar)'!$M$3)/10^9,0)</f>
        <v>0.06708011476</v>
      </c>
      <c r="T1075" s="160">
        <f>IF($O$902&gt;0,'Assumptions (Solar)'!AA$14*Model!$O$902*('Assumptions (Solar)'!$M$20*'Assumptions (Solar)'!$M$2+'Assumptions (Solar)'!$M$21*'Assumptions (Solar)'!$M$3)/10^9,0)</f>
        <v>0.03354005738</v>
      </c>
      <c r="U1075" s="160"/>
      <c r="V1075" s="160"/>
      <c r="W1075" s="160"/>
      <c r="X1075" s="160"/>
      <c r="Y1075" s="160"/>
      <c r="Z1075" s="160"/>
      <c r="AA1075" s="160"/>
      <c r="AB1075" s="176"/>
      <c r="AC1075" s="176"/>
      <c r="AD1075" s="176"/>
      <c r="AE1075" s="160"/>
      <c r="AF1075" s="160"/>
      <c r="AG1075" s="160"/>
      <c r="AH1075" s="160"/>
      <c r="AI1075" s="160"/>
      <c r="AJ1075" s="160"/>
      <c r="AK1075" s="160"/>
      <c r="AL1075" s="160"/>
      <c r="AM1075" s="160"/>
      <c r="AN1075" s="160"/>
      <c r="AO1075" s="160"/>
      <c r="AP1075" s="160"/>
      <c r="AQ1075" s="160"/>
      <c r="AR1075" s="160"/>
      <c r="AS1075" s="160"/>
      <c r="AT1075" s="160"/>
      <c r="AU1075" s="160"/>
      <c r="AV1075" s="160"/>
      <c r="AW1075" s="160"/>
      <c r="AX1075" s="160"/>
      <c r="AY1075" s="160"/>
      <c r="AZ1075" s="160"/>
      <c r="BA1075" s="160"/>
    </row>
    <row r="1076" ht="15.75" hidden="1" customHeight="1" outlineLevel="1">
      <c r="A1076" s="255"/>
      <c r="B1076" s="38"/>
      <c r="C1076" s="160"/>
      <c r="D1076" s="160"/>
      <c r="E1076" s="160"/>
      <c r="F1076" s="160"/>
      <c r="G1076" s="160"/>
      <c r="H1076" s="160"/>
      <c r="I1076" s="160"/>
      <c r="J1076" s="160"/>
      <c r="K1076" s="160"/>
      <c r="L1076" s="160"/>
      <c r="M1076" s="160"/>
      <c r="N1076" s="160"/>
      <c r="O1076" s="160"/>
      <c r="P1076" s="177">
        <f>IF($P$902&gt;0,'Assumptions (Solar)'!V$14*Model!$P$902*('Assumptions (Solar)'!$N$20*'Assumptions (Solar)'!$N$2+'Assumptions (Solar)'!$N$21*'Assumptions (Solar)'!$N$3)/10^9,0)</f>
        <v>0.2457972206</v>
      </c>
      <c r="Q1076" s="177">
        <f>IF($P$902&gt;0,'Assumptions (Solar)'!W$14*Model!$P$902*('Assumptions (Solar)'!$N$20*'Assumptions (Solar)'!$N$2+'Assumptions (Solar)'!$N$21*'Assumptions (Solar)'!$N$3)/10^9,0)</f>
        <v>0.3932755529</v>
      </c>
      <c r="R1076" s="177">
        <f>IF($P$902&gt;0,'Assumptions (Solar)'!X$14*Model!$P$902*('Assumptions (Solar)'!$N$20*'Assumptions (Solar)'!$N$2+'Assumptions (Solar)'!$N$21*'Assumptions (Solar)'!$N$3)/10^9,0)</f>
        <v>0.2359653317</v>
      </c>
      <c r="S1076" s="177">
        <f>IF($P$902&gt;0,'Assumptions (Solar)'!Y$14*Model!$P$902*('Assumptions (Solar)'!$N$20*'Assumptions (Solar)'!$N$2+'Assumptions (Solar)'!$N$21*'Assumptions (Solar)'!$N$3)/10^9,0)</f>
        <v>0.141579199</v>
      </c>
      <c r="T1076" s="177">
        <f>IF($P$902&gt;0,'Assumptions (Solar)'!Z$14*Model!$P$902*('Assumptions (Solar)'!$N$20*'Assumptions (Solar)'!$N$2+'Assumptions (Solar)'!$N$21*'Assumptions (Solar)'!$N$3)/10^9,0)</f>
        <v>0.141579199</v>
      </c>
      <c r="U1076" s="177">
        <f>IF($P$902&gt;0,'Assumptions (Solar)'!AA$14*Model!$P$902*('Assumptions (Solar)'!$N$20*'Assumptions (Solar)'!$N$2+'Assumptions (Solar)'!$N$21*'Assumptions (Solar)'!$N$3)/10^9,0)</f>
        <v>0.07078959952</v>
      </c>
      <c r="V1076" s="177"/>
      <c r="W1076" s="177"/>
      <c r="X1076" s="177"/>
      <c r="Y1076" s="177"/>
      <c r="Z1076" s="177"/>
      <c r="AA1076" s="177"/>
      <c r="AB1076" s="176"/>
      <c r="AC1076" s="176"/>
      <c r="AD1076" s="176"/>
      <c r="AE1076" s="160"/>
      <c r="AF1076" s="160"/>
      <c r="AG1076" s="160"/>
      <c r="AH1076" s="160"/>
      <c r="AI1076" s="160"/>
      <c r="AJ1076" s="160"/>
      <c r="AK1076" s="160"/>
      <c r="AL1076" s="160"/>
      <c r="AM1076" s="160"/>
      <c r="AN1076" s="160"/>
      <c r="AO1076" s="160"/>
      <c r="AP1076" s="160"/>
      <c r="AQ1076" s="160"/>
      <c r="AR1076" s="160"/>
      <c r="AS1076" s="160"/>
      <c r="AT1076" s="160"/>
      <c r="AU1076" s="160"/>
      <c r="AV1076" s="160"/>
      <c r="AW1076" s="160"/>
      <c r="AX1076" s="160"/>
      <c r="AY1076" s="160"/>
      <c r="AZ1076" s="160"/>
      <c r="BA1076" s="160"/>
    </row>
    <row r="1077" ht="15.75" hidden="1" customHeight="1" outlineLevel="1">
      <c r="A1077" s="255"/>
      <c r="B1077" s="38"/>
      <c r="C1077" s="160"/>
      <c r="D1077" s="160"/>
      <c r="E1077" s="160"/>
      <c r="F1077" s="160"/>
      <c r="G1077" s="160"/>
      <c r="H1077" s="160"/>
      <c r="I1077" s="160"/>
      <c r="J1077" s="160"/>
      <c r="K1077" s="160"/>
      <c r="L1077" s="160"/>
      <c r="M1077" s="160"/>
      <c r="N1077" s="160"/>
      <c r="O1077" s="160"/>
      <c r="P1077" s="179"/>
      <c r="Q1077" s="160">
        <f>IF($Q$902&gt;0,'Assumptions (Solar)'!V$14*Model!$Q$902*('Assumptions (Solar)'!$O$20*'Assumptions (Solar)'!$O$2+'Assumptions (Solar)'!$O$21*'Assumptions (Solar)'!$O$3)/10^9,0)</f>
        <v>0.346073362</v>
      </c>
      <c r="R1077" s="160">
        <f>IF($Q$902&gt;0,'Assumptions (Solar)'!W$14*Model!$Q$902*('Assumptions (Solar)'!$O$20*'Assumptions (Solar)'!$O$2+'Assumptions (Solar)'!$O$21*'Assumptions (Solar)'!$O$3)/10^9,0)</f>
        <v>0.5537173791</v>
      </c>
      <c r="S1077" s="160">
        <f>IF($Q$902&gt;0,'Assumptions (Solar)'!X$14*Model!$Q$902*('Assumptions (Solar)'!$O$20*'Assumptions (Solar)'!$O$2+'Assumptions (Solar)'!$O$21*'Assumptions (Solar)'!$O$3)/10^9,0)</f>
        <v>0.3322304275</v>
      </c>
      <c r="T1077" s="160">
        <f>IF($Q$902&gt;0,'Assumptions (Solar)'!Y$14*Model!$Q$902*('Assumptions (Solar)'!$O$20*'Assumptions (Solar)'!$O$2+'Assumptions (Solar)'!$O$21*'Assumptions (Solar)'!$O$3)/10^9,0)</f>
        <v>0.1993382565</v>
      </c>
      <c r="U1077" s="160">
        <f>IF($Q$902&gt;0,'Assumptions (Solar)'!Z$14*Model!$Q$902*('Assumptions (Solar)'!$O$20*'Assumptions (Solar)'!$O$2+'Assumptions (Solar)'!$O$21*'Assumptions (Solar)'!$O$3)/10^9,0)</f>
        <v>0.1993382565</v>
      </c>
      <c r="V1077" s="160">
        <f>IF($Q$902&gt;0,'Assumptions (Solar)'!AA$14*Model!$Q$902*('Assumptions (Solar)'!$O$20*'Assumptions (Solar)'!$O$2+'Assumptions (Solar)'!$O$21*'Assumptions (Solar)'!$O$3)/10^9,0)</f>
        <v>0.09966912825</v>
      </c>
      <c r="W1077" s="160"/>
      <c r="X1077" s="160"/>
      <c r="Y1077" s="160"/>
      <c r="Z1077" s="160"/>
      <c r="AA1077" s="160"/>
      <c r="AB1077" s="176"/>
      <c r="AC1077" s="176"/>
      <c r="AD1077" s="176"/>
      <c r="AE1077" s="160"/>
      <c r="AF1077" s="160"/>
      <c r="AG1077" s="160"/>
      <c r="AH1077" s="160"/>
      <c r="AI1077" s="160"/>
      <c r="AJ1077" s="160"/>
      <c r="AK1077" s="160"/>
      <c r="AL1077" s="160"/>
      <c r="AM1077" s="160"/>
      <c r="AN1077" s="160"/>
      <c r="AO1077" s="160"/>
      <c r="AP1077" s="160"/>
      <c r="AQ1077" s="160"/>
      <c r="AR1077" s="160"/>
      <c r="AS1077" s="160"/>
      <c r="AT1077" s="160"/>
      <c r="AU1077" s="160"/>
      <c r="AV1077" s="160"/>
      <c r="AW1077" s="160"/>
      <c r="AX1077" s="160"/>
      <c r="AY1077" s="160"/>
      <c r="AZ1077" s="160"/>
      <c r="BA1077" s="160"/>
    </row>
    <row r="1078" ht="15.75" hidden="1" customHeight="1" outlineLevel="1">
      <c r="A1078" s="255"/>
      <c r="B1078" s="38"/>
      <c r="C1078" s="160"/>
      <c r="D1078" s="160"/>
      <c r="E1078" s="160"/>
      <c r="F1078" s="160"/>
      <c r="G1078" s="160"/>
      <c r="H1078" s="160"/>
      <c r="I1078" s="160"/>
      <c r="J1078" s="160"/>
      <c r="K1078" s="160"/>
      <c r="L1078" s="160"/>
      <c r="M1078" s="160"/>
      <c r="N1078" s="160"/>
      <c r="O1078" s="160"/>
      <c r="P1078" s="179"/>
      <c r="Q1078" s="160"/>
      <c r="R1078" s="177">
        <f>IF($R$902&gt;0,'Assumptions (Solar)'!V$14*Model!$R$902*('Assumptions (Solar)'!$P$20*'Assumptions (Solar)'!$P$2+'Assumptions (Solar)'!$P$21*'Assumptions (Solar)'!$P$3)/10^9,0)</f>
        <v>0.8748408409</v>
      </c>
      <c r="S1078" s="177">
        <f>IF($R$902&gt;0,'Assumptions (Solar)'!W$14*Model!$R$902*('Assumptions (Solar)'!$P$20*'Assumptions (Solar)'!$P$2+'Assumptions (Solar)'!$P$21*'Assumptions (Solar)'!$P$3)/10^9,0)</f>
        <v>1.399745345</v>
      </c>
      <c r="T1078" s="177">
        <f>IF($R$902&gt;0,'Assumptions (Solar)'!X$14*Model!$R$902*('Assumptions (Solar)'!$P$20*'Assumptions (Solar)'!$P$2+'Assumptions (Solar)'!$P$21*'Assumptions (Solar)'!$P$3)/10^9,0)</f>
        <v>0.8398472072</v>
      </c>
      <c r="U1078" s="177">
        <f>IF($R$902&gt;0,'Assumptions (Solar)'!Y$14*Model!$R$902*('Assumptions (Solar)'!$P$20*'Assumptions (Solar)'!$P$2+'Assumptions (Solar)'!$P$21*'Assumptions (Solar)'!$P$3)/10^9,0)</f>
        <v>0.5039083243</v>
      </c>
      <c r="V1078" s="177">
        <f>IF($R$902&gt;0,'Assumptions (Solar)'!Z$14*Model!$R$902*('Assumptions (Solar)'!$P$20*'Assumptions (Solar)'!$P$2+'Assumptions (Solar)'!$P$21*'Assumptions (Solar)'!$P$3)/10^9,0)</f>
        <v>0.5039083243</v>
      </c>
      <c r="W1078" s="177">
        <f>IF($R$902&gt;0,'Assumptions (Solar)'!AA$14*Model!$R$902*('Assumptions (Solar)'!$P$20*'Assumptions (Solar)'!$P$2+'Assumptions (Solar)'!$P$21*'Assumptions (Solar)'!$P$3)/10^9,0)</f>
        <v>0.2519541622</v>
      </c>
      <c r="X1078" s="177"/>
      <c r="Y1078" s="177"/>
      <c r="Z1078" s="177"/>
      <c r="AA1078" s="177"/>
      <c r="AB1078" s="176"/>
      <c r="AC1078" s="176"/>
      <c r="AD1078" s="176"/>
      <c r="AE1078" s="160"/>
      <c r="AF1078" s="160"/>
      <c r="AG1078" s="160"/>
      <c r="AH1078" s="160"/>
      <c r="AI1078" s="160"/>
      <c r="AJ1078" s="160"/>
      <c r="AK1078" s="160"/>
      <c r="AL1078" s="160"/>
      <c r="AM1078" s="160"/>
      <c r="AN1078" s="160"/>
      <c r="AO1078" s="160"/>
      <c r="AP1078" s="160"/>
      <c r="AQ1078" s="160"/>
      <c r="AR1078" s="160"/>
      <c r="AS1078" s="160"/>
      <c r="AT1078" s="160"/>
      <c r="AU1078" s="160"/>
      <c r="AV1078" s="160"/>
      <c r="AW1078" s="160"/>
      <c r="AX1078" s="160"/>
      <c r="AY1078" s="160"/>
      <c r="AZ1078" s="160"/>
      <c r="BA1078" s="160"/>
    </row>
    <row r="1079" ht="15.75" hidden="1" customHeight="1" outlineLevel="1">
      <c r="A1079" s="255"/>
      <c r="B1079" s="38"/>
      <c r="C1079" s="160"/>
      <c r="D1079" s="160"/>
      <c r="E1079" s="160"/>
      <c r="F1079" s="160"/>
      <c r="G1079" s="160"/>
      <c r="H1079" s="160"/>
      <c r="I1079" s="160"/>
      <c r="J1079" s="160"/>
      <c r="K1079" s="160"/>
      <c r="L1079" s="160"/>
      <c r="M1079" s="160"/>
      <c r="N1079" s="160"/>
      <c r="O1079" s="160"/>
      <c r="P1079" s="179"/>
      <c r="Q1079" s="160"/>
      <c r="R1079" s="177"/>
      <c r="S1079" s="160">
        <f>IF($S$902&gt;0,'Assumptions (Solar)'!V$14*Model!$S$902*('Assumptions (Solar)'!$Q$20*'Assumptions (Solar)'!$Q$2+'Assumptions (Solar)'!$Q$21*'Assumptions (Solar)'!$Q$3)/10^9,0)</f>
        <v>1.193545369</v>
      </c>
      <c r="T1079" s="160">
        <f>IF($S$902&gt;0,'Assumptions (Solar)'!W$14*Model!$S$902*('Assumptions (Solar)'!$Q$20*'Assumptions (Solar)'!$Q$2+'Assumptions (Solar)'!$Q$21*'Assumptions (Solar)'!$Q$3)/10^9,0)</f>
        <v>1.90967259</v>
      </c>
      <c r="U1079" s="160">
        <f>IF($S$902&gt;0,'Assumptions (Solar)'!X$14*Model!$S$902*('Assumptions (Solar)'!$Q$20*'Assumptions (Solar)'!$Q$2+'Assumptions (Solar)'!$Q$21*'Assumptions (Solar)'!$Q$3)/10^9,0)</f>
        <v>1.145803554</v>
      </c>
      <c r="V1079" s="160">
        <f>IF($S$902&gt;0,'Assumptions (Solar)'!Y$14*Model!$S$902*('Assumptions (Solar)'!$Q$20*'Assumptions (Solar)'!$Q$2+'Assumptions (Solar)'!$Q$21*'Assumptions (Solar)'!$Q$3)/10^9,0)</f>
        <v>0.6874821323</v>
      </c>
      <c r="W1079" s="160">
        <f>IF($S$902&gt;0,'Assumptions (Solar)'!Z$14*Model!$S$902*('Assumptions (Solar)'!$Q$20*'Assumptions (Solar)'!$Q$2+'Assumptions (Solar)'!$Q$21*'Assumptions (Solar)'!$Q$3)/10^9,0)</f>
        <v>0.6874821323</v>
      </c>
      <c r="X1079" s="160">
        <f>IF($S$902&gt;0,'Assumptions (Solar)'!AA$14*Model!$S$902*('Assumptions (Solar)'!$Q$20*'Assumptions (Solar)'!$Q$2+'Assumptions (Solar)'!$Q$21*'Assumptions (Solar)'!$Q$3)/10^9,0)</f>
        <v>0.3437410662</v>
      </c>
      <c r="Y1079" s="160"/>
      <c r="Z1079" s="160"/>
      <c r="AA1079" s="160"/>
      <c r="AB1079" s="176"/>
      <c r="AC1079" s="176"/>
      <c r="AD1079" s="176"/>
      <c r="AE1079" s="160"/>
      <c r="AF1079" s="160"/>
      <c r="AG1079" s="160"/>
      <c r="AH1079" s="160"/>
      <c r="AI1079" s="160"/>
      <c r="AJ1079" s="160"/>
      <c r="AK1079" s="160"/>
      <c r="AL1079" s="160"/>
      <c r="AM1079" s="160"/>
      <c r="AN1079" s="160"/>
      <c r="AO1079" s="160"/>
      <c r="AP1079" s="160"/>
      <c r="AQ1079" s="160"/>
      <c r="AR1079" s="160"/>
      <c r="AS1079" s="160"/>
      <c r="AT1079" s="160"/>
      <c r="AU1079" s="160"/>
      <c r="AV1079" s="160"/>
      <c r="AW1079" s="160"/>
      <c r="AX1079" s="160"/>
      <c r="AY1079" s="160"/>
      <c r="AZ1079" s="160"/>
      <c r="BA1079" s="160"/>
    </row>
    <row r="1080" ht="15.75" hidden="1" customHeight="1" outlineLevel="1">
      <c r="A1080" s="255"/>
      <c r="B1080" s="38"/>
      <c r="C1080" s="160"/>
      <c r="D1080" s="160"/>
      <c r="E1080" s="160"/>
      <c r="F1080" s="160"/>
      <c r="G1080" s="160"/>
      <c r="H1080" s="160"/>
      <c r="I1080" s="160"/>
      <c r="J1080" s="160"/>
      <c r="K1080" s="160"/>
      <c r="L1080" s="160"/>
      <c r="M1080" s="160"/>
      <c r="N1080" s="160"/>
      <c r="O1080" s="160"/>
      <c r="P1080" s="179"/>
      <c r="Q1080" s="160"/>
      <c r="R1080" s="177"/>
      <c r="S1080" s="177"/>
      <c r="T1080" s="160">
        <f>IF($T$902&gt;0,'Assumptions (Solar)'!V$14*Model!$T$902*('Assumptions (Solar)'!$R$20*'Assumptions (Solar)'!$R$2+'Assumptions (Solar)'!$R$21*'Assumptions (Solar)'!$R$3)/10^9,0)</f>
        <v>0.9153696467</v>
      </c>
      <c r="U1080" s="160">
        <f>IF($T$902&gt;0,'Assumptions (Solar)'!W$14*Model!$T$902*('Assumptions (Solar)'!$R$20*'Assumptions (Solar)'!$R$2+'Assumptions (Solar)'!$R$21*'Assumptions (Solar)'!$R$3)/10^9,0)</f>
        <v>1.464591435</v>
      </c>
      <c r="V1080" s="160">
        <f>IF($T$902&gt;0,'Assumptions (Solar)'!X$14*Model!$T$902*('Assumptions (Solar)'!$R$20*'Assumptions (Solar)'!$R$2+'Assumptions (Solar)'!$R$21*'Assumptions (Solar)'!$R$3)/10^9,0)</f>
        <v>0.8787548608</v>
      </c>
      <c r="W1080" s="160">
        <f>IF($T$902&gt;0,'Assumptions (Solar)'!Y$14*Model!$T$902*('Assumptions (Solar)'!$R$20*'Assumptions (Solar)'!$R$2+'Assumptions (Solar)'!$R$21*'Assumptions (Solar)'!$R$3)/10^9,0)</f>
        <v>0.5272529165</v>
      </c>
      <c r="X1080" s="160">
        <f>IF($T$902&gt;0,'Assumptions (Solar)'!Z$14*Model!$T$902*('Assumptions (Solar)'!$R$20*'Assumptions (Solar)'!$R$2+'Assumptions (Solar)'!$R$21*'Assumptions (Solar)'!$R$3)/10^9,0)</f>
        <v>0.5272529165</v>
      </c>
      <c r="Y1080" s="160">
        <f>IF($T$902&gt;0,'Assumptions (Solar)'!AA$14*Model!$T$902*('Assumptions (Solar)'!$R$20*'Assumptions (Solar)'!$R$2+'Assumptions (Solar)'!$R$21*'Assumptions (Solar)'!$R$3)/10^9,0)</f>
        <v>0.2636264583</v>
      </c>
      <c r="Z1080" s="160"/>
      <c r="AA1080" s="160"/>
      <c r="AB1080" s="176"/>
      <c r="AC1080" s="176"/>
      <c r="AD1080" s="176"/>
      <c r="AE1080" s="160"/>
      <c r="AF1080" s="160"/>
      <c r="AG1080" s="160"/>
      <c r="AH1080" s="160"/>
      <c r="AI1080" s="160"/>
      <c r="AJ1080" s="160"/>
      <c r="AK1080" s="160"/>
      <c r="AL1080" s="160"/>
      <c r="AM1080" s="160"/>
      <c r="AN1080" s="160"/>
      <c r="AO1080" s="160"/>
      <c r="AP1080" s="160"/>
      <c r="AQ1080" s="160"/>
      <c r="AR1080" s="160"/>
      <c r="AS1080" s="160"/>
      <c r="AT1080" s="160"/>
      <c r="AU1080" s="160"/>
      <c r="AV1080" s="160"/>
      <c r="AW1080" s="160"/>
      <c r="AX1080" s="160"/>
      <c r="AY1080" s="160"/>
      <c r="AZ1080" s="160"/>
      <c r="BA1080" s="160"/>
    </row>
    <row r="1081" ht="15.75" hidden="1" customHeight="1" outlineLevel="1">
      <c r="A1081" s="255"/>
      <c r="B1081" s="38"/>
      <c r="C1081" s="160"/>
      <c r="D1081" s="160"/>
      <c r="E1081" s="160"/>
      <c r="F1081" s="160"/>
      <c r="G1081" s="160"/>
      <c r="H1081" s="160"/>
      <c r="I1081" s="160"/>
      <c r="J1081" s="160"/>
      <c r="K1081" s="160"/>
      <c r="L1081" s="160"/>
      <c r="M1081" s="160"/>
      <c r="N1081" s="160"/>
      <c r="O1081" s="160"/>
      <c r="P1081" s="179"/>
      <c r="Q1081" s="160"/>
      <c r="R1081" s="177"/>
      <c r="S1081" s="177"/>
      <c r="T1081" s="177"/>
      <c r="U1081" s="160">
        <f>IF($U$902&gt;0,'Assumptions (Solar)'!V$14*Model!$U$902*('Assumptions (Solar)'!$S$20*'Assumptions (Solar)'!$S$2+'Assumptions (Solar)'!$S$21*'Assumptions (Solar)'!$S$3)/10^9,0)</f>
        <v>0.5206044812</v>
      </c>
      <c r="V1081" s="160">
        <f>IF($U$902&gt;0,'Assumptions (Solar)'!W$14*Model!$U$902*('Assumptions (Solar)'!$S$20*'Assumptions (Solar)'!$S$2+'Assumptions (Solar)'!$S$21*'Assumptions (Solar)'!$S$3)/10^9,0)</f>
        <v>0.8329671699</v>
      </c>
      <c r="W1081" s="160">
        <f>IF($U$902&gt;0,'Assumptions (Solar)'!X$14*Model!$U$902*('Assumptions (Solar)'!$S$20*'Assumptions (Solar)'!$S$2+'Assumptions (Solar)'!$S$21*'Assumptions (Solar)'!$S$3)/10^9,0)</f>
        <v>0.4997803019</v>
      </c>
      <c r="X1081" s="160">
        <f>IF($U$902&gt;0,'Assumptions (Solar)'!Y$14*Model!$U$902*('Assumptions (Solar)'!$S$20*'Assumptions (Solar)'!$S$2+'Assumptions (Solar)'!$S$21*'Assumptions (Solar)'!$S$3)/10^9,0)</f>
        <v>0.2998681812</v>
      </c>
      <c r="Y1081" s="160">
        <f>IF($U$902&gt;0,'Assumptions (Solar)'!Z$14*Model!$U$902*('Assumptions (Solar)'!$S$20*'Assumptions (Solar)'!$S$2+'Assumptions (Solar)'!$S$21*'Assumptions (Solar)'!$S$3)/10^9,0)</f>
        <v>0.2998681812</v>
      </c>
      <c r="Z1081" s="160">
        <f>IF($U$902&gt;0,'Assumptions (Solar)'!AA$14*Model!$U$902*('Assumptions (Solar)'!$S$20*'Assumptions (Solar)'!$S$2+'Assumptions (Solar)'!$S$21*'Assumptions (Solar)'!$S$3)/10^9,0)</f>
        <v>0.1499340906</v>
      </c>
      <c r="AA1081" s="160"/>
      <c r="AB1081" s="176"/>
      <c r="AC1081" s="176"/>
      <c r="AD1081" s="176"/>
      <c r="AE1081" s="160"/>
      <c r="AF1081" s="160"/>
      <c r="AG1081" s="160"/>
      <c r="AH1081" s="160"/>
      <c r="AI1081" s="160"/>
      <c r="AJ1081" s="160"/>
      <c r="AK1081" s="160"/>
      <c r="AL1081" s="160"/>
      <c r="AM1081" s="160"/>
      <c r="AN1081" s="160"/>
      <c r="AO1081" s="160"/>
      <c r="AP1081" s="160"/>
      <c r="AQ1081" s="160"/>
      <c r="AR1081" s="160"/>
      <c r="AS1081" s="160"/>
      <c r="AT1081" s="160"/>
      <c r="AU1081" s="160"/>
      <c r="AV1081" s="160"/>
      <c r="AW1081" s="160"/>
      <c r="AX1081" s="160"/>
      <c r="AY1081" s="160"/>
      <c r="AZ1081" s="160"/>
      <c r="BA1081" s="160"/>
    </row>
    <row r="1082" ht="15.75" hidden="1" customHeight="1" outlineLevel="1">
      <c r="A1082" s="255"/>
      <c r="B1082" s="38"/>
      <c r="C1082" s="160"/>
      <c r="D1082" s="160"/>
      <c r="E1082" s="160"/>
      <c r="F1082" s="160"/>
      <c r="G1082" s="160"/>
      <c r="H1082" s="160"/>
      <c r="I1082" s="160"/>
      <c r="J1082" s="160"/>
      <c r="K1082" s="160"/>
      <c r="L1082" s="160"/>
      <c r="M1082" s="160"/>
      <c r="N1082" s="160"/>
      <c r="O1082" s="160"/>
      <c r="P1082" s="179"/>
      <c r="Q1082" s="160"/>
      <c r="R1082" s="177"/>
      <c r="S1082" s="177"/>
      <c r="T1082" s="177"/>
      <c r="U1082" s="160"/>
      <c r="V1082" s="160">
        <f>IF($V$902&gt;0,'Assumptions (Solar)'!V$14*Model!$V$902*('Assumptions (Solar)'!$T$20*'Assumptions (Solar)'!$T$2+'Assumptions (Solar)'!$T$21*'Assumptions (Solar)'!$T$3)/10^9,0)</f>
        <v>0</v>
      </c>
      <c r="W1082" s="160">
        <f>IF($V$902&gt;0,'Assumptions (Solar)'!W$14*Model!$V$902*('Assumptions (Solar)'!$T$20*'Assumptions (Solar)'!$T$2+'Assumptions (Solar)'!$T$21*'Assumptions (Solar)'!$T$3)/10^9,0)</f>
        <v>0</v>
      </c>
      <c r="X1082" s="160">
        <f>IF($V$902&gt;0,'Assumptions (Solar)'!X$14*Model!$V$902*('Assumptions (Solar)'!$T$20*'Assumptions (Solar)'!$T$2+'Assumptions (Solar)'!$T$21*'Assumptions (Solar)'!$T$3)/10^9,0)</f>
        <v>0</v>
      </c>
      <c r="Y1082" s="160">
        <f>IF($V$902&gt;0,'Assumptions (Solar)'!Y$14*Model!$V$902*('Assumptions (Solar)'!$T$20*'Assumptions (Solar)'!$T$2+'Assumptions (Solar)'!$T$21*'Assumptions (Solar)'!$T$3)/10^9,0)</f>
        <v>0</v>
      </c>
      <c r="Z1082" s="160">
        <f>IF($V$902&gt;0,'Assumptions (Solar)'!Z$14*Model!$V$902*('Assumptions (Solar)'!$T$20*'Assumptions (Solar)'!$T$2+'Assumptions (Solar)'!$T$21*'Assumptions (Solar)'!$T$3)/10^9,0)</f>
        <v>0</v>
      </c>
      <c r="AA1082" s="160">
        <f>IF($V$902&gt;0,'Assumptions (Solar)'!AA$14*Model!$V$902*('Assumptions (Solar)'!$T$20*'Assumptions (Solar)'!$T$2+'Assumptions (Solar)'!$T$21*'Assumptions (Solar)'!$T$3)/10^9,0)</f>
        <v>0</v>
      </c>
      <c r="AB1082" s="176"/>
      <c r="AC1082" s="176"/>
      <c r="AD1082" s="176"/>
      <c r="AE1082" s="160"/>
      <c r="AF1082" s="160"/>
      <c r="AG1082" s="160"/>
      <c r="AH1082" s="160"/>
      <c r="AI1082" s="160"/>
      <c r="AJ1082" s="160"/>
      <c r="AK1082" s="160"/>
      <c r="AL1082" s="160"/>
      <c r="AM1082" s="160"/>
      <c r="AN1082" s="160"/>
      <c r="AO1082" s="160"/>
      <c r="AP1082" s="160"/>
      <c r="AQ1082" s="160"/>
      <c r="AR1082" s="160"/>
      <c r="AS1082" s="160"/>
      <c r="AT1082" s="160"/>
      <c r="AU1082" s="160"/>
      <c r="AV1082" s="160"/>
      <c r="AW1082" s="160"/>
      <c r="AX1082" s="160"/>
      <c r="AY1082" s="160"/>
      <c r="AZ1082" s="160"/>
      <c r="BA1082" s="160"/>
    </row>
    <row r="1083" ht="15.75" hidden="1" customHeight="1" outlineLevel="1">
      <c r="A1083" s="255"/>
      <c r="B1083" s="38"/>
      <c r="C1083" s="174"/>
      <c r="D1083" s="174"/>
      <c r="E1083" s="174"/>
      <c r="F1083" s="174"/>
      <c r="G1083" s="174"/>
      <c r="H1083" s="174"/>
      <c r="I1083" s="174"/>
      <c r="J1083" s="174"/>
      <c r="K1083" s="174"/>
      <c r="L1083" s="174"/>
      <c r="M1083" s="174"/>
      <c r="N1083" s="174"/>
      <c r="O1083" s="174"/>
      <c r="P1083" s="174"/>
      <c r="Q1083" s="174"/>
      <c r="R1083" s="174"/>
      <c r="S1083" s="174"/>
      <c r="T1083" s="174"/>
      <c r="U1083" s="174"/>
      <c r="V1083" s="174"/>
      <c r="W1083" s="160">
        <f>IF($W$902&gt;0,'Assumptions (Solar)'!V14*Model!$W$902*('Assumptions (Solar)'!$U$20*'Assumptions (Solar)'!$U$2+'Assumptions (Solar)'!$U$21*'Assumptions (Solar)'!$U$3)/10^9,0)</f>
        <v>0</v>
      </c>
      <c r="X1083" s="160">
        <f>IF($W$902&gt;0,'Assumptions (Solar)'!W14*Model!$W$902*('Assumptions (Solar)'!$U$20*'Assumptions (Solar)'!$U$2+'Assumptions (Solar)'!$U$21*'Assumptions (Solar)'!$U$3)/10^9,0)</f>
        <v>0</v>
      </c>
      <c r="Y1083" s="160">
        <f>IF($W$902&gt;0,'Assumptions (Solar)'!X14*Model!$W$902*('Assumptions (Solar)'!$U$20*'Assumptions (Solar)'!$U$2+'Assumptions (Solar)'!$U$21*'Assumptions (Solar)'!$U$3)/10^9,0)</f>
        <v>0</v>
      </c>
      <c r="Z1083" s="160">
        <f>IF($W$902&gt;0,'Assumptions (Solar)'!Y14*Model!$W$902*('Assumptions (Solar)'!$U$20*'Assumptions (Solar)'!$U$2+'Assumptions (Solar)'!$U$21*'Assumptions (Solar)'!$U$3)/10^9,0)</f>
        <v>0</v>
      </c>
      <c r="AA1083" s="160">
        <f>IF($W$902&gt;0,'Assumptions (Solar)'!Z14*Model!$W$902*('Assumptions (Solar)'!$U$20*'Assumptions (Solar)'!$U$2+'Assumptions (Solar)'!$U$21*'Assumptions (Solar)'!$U$3)/10^9,0)</f>
        <v>0</v>
      </c>
      <c r="AB1083" s="160">
        <f>IF($W$902&gt;0,'Assumptions (Solar)'!AA14*Model!$W$902*('Assumptions (Solar)'!$U$20*'Assumptions (Solar)'!$U$2+'Assumptions (Solar)'!$U$21*'Assumptions (Solar)'!$U$3)/10^9,0)</f>
        <v>0</v>
      </c>
      <c r="AC1083" s="160"/>
      <c r="AD1083" s="160"/>
      <c r="AE1083" s="160"/>
      <c r="AF1083" s="160"/>
      <c r="AG1083" s="160"/>
      <c r="AH1083" s="160"/>
      <c r="AI1083" s="160"/>
      <c r="AJ1083" s="160"/>
      <c r="AK1083" s="160"/>
      <c r="AL1083" s="160"/>
      <c r="AM1083" s="160"/>
      <c r="AN1083" s="160"/>
      <c r="AO1083" s="160"/>
      <c r="AP1083" s="160"/>
      <c r="AQ1083" s="160"/>
      <c r="AR1083" s="160"/>
      <c r="AS1083" s="160"/>
      <c r="AT1083" s="160"/>
      <c r="AU1083" s="160"/>
      <c r="AV1083" s="160"/>
      <c r="AW1083" s="160"/>
      <c r="AX1083" s="160"/>
      <c r="AY1083" s="160"/>
      <c r="AZ1083" s="160"/>
      <c r="BA1083" s="160"/>
      <c r="BB1083" s="139"/>
      <c r="BC1083" s="139"/>
      <c r="BD1083" s="139"/>
      <c r="BE1083" s="139"/>
      <c r="BF1083" s="139"/>
    </row>
    <row r="1084" ht="15.75" hidden="1" customHeight="1" outlineLevel="1">
      <c r="A1084" s="255"/>
      <c r="B1084" s="38"/>
      <c r="C1084" s="174"/>
      <c r="D1084" s="174"/>
      <c r="E1084" s="174"/>
      <c r="F1084" s="174"/>
      <c r="G1084" s="174"/>
      <c r="H1084" s="174"/>
      <c r="I1084" s="174"/>
      <c r="J1084" s="174"/>
      <c r="K1084" s="174"/>
      <c r="L1084" s="174"/>
      <c r="M1084" s="174"/>
      <c r="N1084" s="174"/>
      <c r="O1084" s="174"/>
      <c r="P1084" s="174"/>
      <c r="Q1084" s="174"/>
      <c r="R1084" s="174"/>
      <c r="S1084" s="174"/>
      <c r="T1084" s="174"/>
      <c r="U1084" s="174"/>
      <c r="V1084" s="174"/>
      <c r="W1084" s="160"/>
      <c r="X1084" s="160">
        <f>IF($X$902&gt;0,'Assumptions (Solar)'!V14*Model!$X$902*('Assumptions (Solar)'!$V$20*'Assumptions (Solar)'!$V$2+'Assumptions (Solar)'!$V$21*'Assumptions (Solar)'!$V$3)/10^9,0)</f>
        <v>0.559295479</v>
      </c>
      <c r="Y1084" s="160">
        <f>IF($X$902&gt;0,'Assumptions (Solar)'!W14*Model!$X$902*('Assumptions (Solar)'!$V$20*'Assumptions (Solar)'!$V$2+'Assumptions (Solar)'!$V$21*'Assumptions (Solar)'!$V$3)/10^9,0)</f>
        <v>0.8948727665</v>
      </c>
      <c r="Z1084" s="160">
        <f>IF($X$902&gt;0,'Assumptions (Solar)'!X14*Model!$X$902*('Assumptions (Solar)'!$V$20*'Assumptions (Solar)'!$V$2+'Assumptions (Solar)'!$V$21*'Assumptions (Solar)'!$V$3)/10^9,0)</f>
        <v>0.5369236599</v>
      </c>
      <c r="AA1084" s="160">
        <f>IF($X$902&gt;0,'Assumptions (Solar)'!Y14*Model!$X$902*('Assumptions (Solar)'!$V$20*'Assumptions (Solar)'!$V$2+'Assumptions (Solar)'!$V$21*'Assumptions (Solar)'!$V$3)/10^9,0)</f>
        <v>0.3221541959</v>
      </c>
      <c r="AB1084" s="160">
        <f>IF($X$902&gt;0,'Assumptions (Solar)'!Z14*Model!$X$902*('Assumptions (Solar)'!$V$20*'Assumptions (Solar)'!$V$2+'Assumptions (Solar)'!$V$21*'Assumptions (Solar)'!$V$3)/10^9,0)</f>
        <v>0.3221541959</v>
      </c>
      <c r="AC1084" s="160">
        <f>IF($X$902&gt;0,'Assumptions (Solar)'!AA14*Model!$X$902*('Assumptions (Solar)'!$V$20*'Assumptions (Solar)'!$V$2+'Assumptions (Solar)'!$V$21*'Assumptions (Solar)'!$V$3)/10^9,0)</f>
        <v>0.161077098</v>
      </c>
      <c r="AD1084" s="160"/>
      <c r="AE1084" s="160"/>
      <c r="AF1084" s="160"/>
      <c r="AG1084" s="160"/>
      <c r="AH1084" s="160"/>
      <c r="AI1084" s="160"/>
      <c r="AJ1084" s="160"/>
      <c r="AK1084" s="160"/>
      <c r="AL1084" s="160"/>
      <c r="AM1084" s="160"/>
      <c r="AN1084" s="160"/>
      <c r="AO1084" s="160"/>
      <c r="AP1084" s="160"/>
      <c r="AQ1084" s="160"/>
      <c r="AR1084" s="160"/>
      <c r="AS1084" s="160"/>
      <c r="AT1084" s="160"/>
      <c r="AU1084" s="160"/>
      <c r="AV1084" s="160"/>
      <c r="AW1084" s="160"/>
      <c r="AX1084" s="160"/>
      <c r="AY1084" s="160"/>
      <c r="AZ1084" s="160"/>
      <c r="BA1084" s="160"/>
      <c r="BB1084" s="139"/>
      <c r="BC1084" s="139"/>
      <c r="BD1084" s="139"/>
      <c r="BE1084" s="139"/>
      <c r="BF1084" s="139"/>
    </row>
    <row r="1085" ht="15.75" hidden="1" customHeight="1" outlineLevel="1">
      <c r="A1085" s="255"/>
      <c r="B1085" s="38"/>
      <c r="C1085" s="174"/>
      <c r="D1085" s="174"/>
      <c r="E1085" s="174"/>
      <c r="F1085" s="174"/>
      <c r="G1085" s="174"/>
      <c r="H1085" s="174"/>
      <c r="I1085" s="174"/>
      <c r="J1085" s="174"/>
      <c r="K1085" s="174"/>
      <c r="L1085" s="174"/>
      <c r="M1085" s="174"/>
      <c r="N1085" s="174"/>
      <c r="O1085" s="174"/>
      <c r="P1085" s="174"/>
      <c r="Q1085" s="174"/>
      <c r="R1085" s="174"/>
      <c r="S1085" s="174"/>
      <c r="T1085" s="174"/>
      <c r="U1085" s="174"/>
      <c r="V1085" s="174"/>
      <c r="W1085" s="160"/>
      <c r="X1085" s="160"/>
      <c r="Y1085" s="160">
        <f>IF($Y$902&gt;0,'Assumptions (Solar)'!V14*Model!$Y$902*('Assumptions (Solar)'!$W$20*'Assumptions (Solar)'!$W$2+'Assumptions (Solar)'!$W$21*'Assumptions (Solar)'!$W$3)/10^9,0)</f>
        <v>0.3907218223</v>
      </c>
      <c r="Z1085" s="160">
        <f>IF($Y$902&gt;0,'Assumptions (Solar)'!W14*Model!$Y$902*('Assumptions (Solar)'!$W$20*'Assumptions (Solar)'!$W$2+'Assumptions (Solar)'!$W$21*'Assumptions (Solar)'!$W$3)/10^9,0)</f>
        <v>0.6251549157</v>
      </c>
      <c r="AA1085" s="160">
        <f>IF($Y$902&gt;0,'Assumptions (Solar)'!X14*Model!$Y$902*('Assumptions (Solar)'!$W$20*'Assumptions (Solar)'!$W$2+'Assumptions (Solar)'!$W$21*'Assumptions (Solar)'!$W$3)/10^9,0)</f>
        <v>0.3750929494</v>
      </c>
      <c r="AB1085" s="160">
        <f>IF($Y$902&gt;0,'Assumptions (Solar)'!Y14*Model!$Y$902*('Assumptions (Solar)'!$W$20*'Assumptions (Solar)'!$W$2+'Assumptions (Solar)'!$W$21*'Assumptions (Solar)'!$W$3)/10^9,0)</f>
        <v>0.2250557696</v>
      </c>
      <c r="AC1085" s="160">
        <f>IF($Y$902&gt;0,'Assumptions (Solar)'!Z14*Model!$Y$902*('Assumptions (Solar)'!$W$20*'Assumptions (Solar)'!$W$2+'Assumptions (Solar)'!$W$21*'Assumptions (Solar)'!$W$3)/10^9,0)</f>
        <v>0.2250557696</v>
      </c>
      <c r="AD1085" s="160">
        <f>IF($Y$902&gt;0,'Assumptions (Solar)'!AA14*Model!$Y$902*('Assumptions (Solar)'!$W$20*'Assumptions (Solar)'!$W$2+'Assumptions (Solar)'!$W$21*'Assumptions (Solar)'!$W$3)/10^9,0)</f>
        <v>0.1125278848</v>
      </c>
      <c r="AE1085" s="160"/>
      <c r="AF1085" s="160"/>
      <c r="AG1085" s="160"/>
      <c r="AH1085" s="160"/>
      <c r="AI1085" s="160"/>
      <c r="AJ1085" s="160"/>
      <c r="AK1085" s="160"/>
      <c r="AL1085" s="160"/>
      <c r="AM1085" s="160"/>
      <c r="AN1085" s="160"/>
      <c r="AO1085" s="160"/>
      <c r="AP1085" s="160"/>
      <c r="AQ1085" s="160"/>
      <c r="AR1085" s="160"/>
      <c r="AS1085" s="160"/>
      <c r="AT1085" s="160"/>
      <c r="AU1085" s="160"/>
      <c r="AV1085" s="160"/>
      <c r="AW1085" s="160"/>
      <c r="AX1085" s="160"/>
      <c r="AY1085" s="160"/>
      <c r="AZ1085" s="160"/>
      <c r="BA1085" s="160"/>
      <c r="BB1085" s="139"/>
      <c r="BC1085" s="139"/>
      <c r="BD1085" s="139"/>
      <c r="BE1085" s="139"/>
      <c r="BF1085" s="139"/>
    </row>
    <row r="1086" ht="15.75" hidden="1" customHeight="1" outlineLevel="1">
      <c r="A1086" s="255"/>
      <c r="B1086" s="38"/>
      <c r="C1086" s="174"/>
      <c r="D1086" s="174"/>
      <c r="E1086" s="174"/>
      <c r="F1086" s="174"/>
      <c r="G1086" s="174"/>
      <c r="H1086" s="174"/>
      <c r="I1086" s="174"/>
      <c r="J1086" s="174"/>
      <c r="K1086" s="174"/>
      <c r="L1086" s="174"/>
      <c r="M1086" s="174"/>
      <c r="N1086" s="174"/>
      <c r="O1086" s="174"/>
      <c r="P1086" s="174"/>
      <c r="Q1086" s="174"/>
      <c r="R1086" s="174"/>
      <c r="S1086" s="174"/>
      <c r="T1086" s="174"/>
      <c r="U1086" s="174"/>
      <c r="V1086" s="174"/>
      <c r="W1086" s="160"/>
      <c r="X1086" s="160"/>
      <c r="Y1086" s="160"/>
      <c r="Z1086" s="160">
        <f>IF($Z$902&gt;0,'Assumptions (Solar)'!V14*Model!$Z$902*('Assumptions (Solar)'!$X$20*'Assumptions (Solar)'!$X$2+'Assumptions (Solar)'!$X$21*'Assumptions (Solar)'!$X$3)/10^9,0)</f>
        <v>0.3824351041</v>
      </c>
      <c r="AA1086" s="160">
        <f>IF($Z$902&gt;0,'Assumptions (Solar)'!W14*Model!$Z$902*('Assumptions (Solar)'!$X$20*'Assumptions (Solar)'!$X$2+'Assumptions (Solar)'!$X$21*'Assumptions (Solar)'!$X$3)/10^9,0)</f>
        <v>0.6118961666</v>
      </c>
      <c r="AB1086" s="160">
        <f>IF($Z$902&gt;0,'Assumptions (Solar)'!X14*Model!$Z$902*('Assumptions (Solar)'!$X$20*'Assumptions (Solar)'!$X$2+'Assumptions (Solar)'!$X$21*'Assumptions (Solar)'!$X$3)/10^9,0)</f>
        <v>0.3671376999</v>
      </c>
      <c r="AC1086" s="160">
        <f>IF($Z$902&gt;0,'Assumptions (Solar)'!Y14*Model!$Z$902*('Assumptions (Solar)'!$X$20*'Assumptions (Solar)'!$X$2+'Assumptions (Solar)'!$X$21*'Assumptions (Solar)'!$X$3)/10^9,0)</f>
        <v>0.22028262</v>
      </c>
      <c r="AD1086" s="160">
        <f>IF($Z$902&gt;0,'Assumptions (Solar)'!Z14*Model!$Z$902*('Assumptions (Solar)'!$X$20*'Assumptions (Solar)'!$X$2+'Assumptions (Solar)'!$X$21*'Assumptions (Solar)'!$X$3)/10^9,0)</f>
        <v>0.22028262</v>
      </c>
      <c r="AE1086" s="160">
        <f>IF($Z$902&gt;0,'Assumptions (Solar)'!AA14*Model!$Z$902*('Assumptions (Solar)'!$X$20*'Assumptions (Solar)'!$X$2+'Assumptions (Solar)'!$X$21*'Assumptions (Solar)'!$X$3)/10^9,0)</f>
        <v>0.11014131</v>
      </c>
      <c r="AF1086" s="160"/>
      <c r="AG1086" s="160"/>
      <c r="AH1086" s="160"/>
      <c r="AI1086" s="160"/>
      <c r="AJ1086" s="160"/>
      <c r="AK1086" s="160"/>
      <c r="AL1086" s="160"/>
      <c r="AM1086" s="160"/>
      <c r="AN1086" s="160"/>
      <c r="AO1086" s="160"/>
      <c r="AP1086" s="160"/>
      <c r="AQ1086" s="160"/>
      <c r="AR1086" s="160"/>
      <c r="AS1086" s="160"/>
      <c r="AT1086" s="160"/>
      <c r="AU1086" s="160"/>
      <c r="AV1086" s="160"/>
      <c r="AW1086" s="160"/>
      <c r="AX1086" s="160"/>
      <c r="AY1086" s="160"/>
      <c r="AZ1086" s="160"/>
      <c r="BA1086" s="160"/>
      <c r="BB1086" s="139"/>
      <c r="BC1086" s="139"/>
      <c r="BD1086" s="139"/>
      <c r="BE1086" s="139"/>
      <c r="BF1086" s="139"/>
    </row>
    <row r="1087" ht="15.75" hidden="1" customHeight="1" outlineLevel="1">
      <c r="A1087" s="255"/>
      <c r="B1087" s="38"/>
      <c r="C1087" s="174"/>
      <c r="D1087" s="174"/>
      <c r="E1087" s="174"/>
      <c r="F1087" s="174"/>
      <c r="G1087" s="174"/>
      <c r="H1087" s="174"/>
      <c r="I1087" s="174"/>
      <c r="J1087" s="174"/>
      <c r="K1087" s="174"/>
      <c r="L1087" s="174"/>
      <c r="M1087" s="174"/>
      <c r="N1087" s="174"/>
      <c r="O1087" s="174"/>
      <c r="P1087" s="174"/>
      <c r="Q1087" s="174"/>
      <c r="R1087" s="174"/>
      <c r="S1087" s="174"/>
      <c r="T1087" s="174"/>
      <c r="U1087" s="174"/>
      <c r="V1087" s="174"/>
      <c r="W1087" s="160"/>
      <c r="X1087" s="160"/>
      <c r="Y1087" s="160"/>
      <c r="Z1087" s="160"/>
      <c r="AA1087" s="160">
        <f>IF($AA$902&gt;0,'Assumptions (Solar)'!V14*Model!$AA$902*('Assumptions (Solar)'!$Y$20*'Assumptions (Solar)'!$Y$2+'Assumptions (Solar)'!$Y$21*'Assumptions (Solar)'!$Y$3)/10^9,0)</f>
        <v>0.3736763464</v>
      </c>
      <c r="AB1087" s="160">
        <f>IF($AA$902&gt;0,'Assumptions (Solar)'!W14*Model!$AA$902*('Assumptions (Solar)'!$Y$20*'Assumptions (Solar)'!$Y$2+'Assumptions (Solar)'!$Y$21*'Assumptions (Solar)'!$Y$3)/10^9,0)</f>
        <v>0.5978821543</v>
      </c>
      <c r="AC1087" s="160">
        <f>IF($AA$902&gt;0,'Assumptions (Solar)'!X14*Model!$AA$902*('Assumptions (Solar)'!$Y$20*'Assumptions (Solar)'!$Y$2+'Assumptions (Solar)'!$Y$21*'Assumptions (Solar)'!$Y$3)/10^9,0)</f>
        <v>0.3587292926</v>
      </c>
      <c r="AD1087" s="160">
        <f>IF($AA$902&gt;0,'Assumptions (Solar)'!Y14*Model!$AA$902*('Assumptions (Solar)'!$Y$20*'Assumptions (Solar)'!$Y$2+'Assumptions (Solar)'!$Y$21*'Assumptions (Solar)'!$Y$3)/10^9,0)</f>
        <v>0.2152375755</v>
      </c>
      <c r="AE1087" s="160">
        <f>IF($AA$902&gt;0,'Assumptions (Solar)'!Z14*Model!$AA$902*('Assumptions (Solar)'!$Y$20*'Assumptions (Solar)'!$Y$2+'Assumptions (Solar)'!$Y$21*'Assumptions (Solar)'!$Y$3)/10^9,0)</f>
        <v>0.2152375755</v>
      </c>
      <c r="AF1087" s="160">
        <f>IF($AA$902&gt;0,'Assumptions (Solar)'!AA14*Model!$AA$902*('Assumptions (Solar)'!$Y$20*'Assumptions (Solar)'!$Y$2+'Assumptions (Solar)'!$Y$21*'Assumptions (Solar)'!$Y$3)/10^9,0)</f>
        <v>0.1076187878</v>
      </c>
      <c r="AG1087" s="160"/>
      <c r="AH1087" s="160"/>
      <c r="AI1087" s="160"/>
      <c r="AJ1087" s="160"/>
      <c r="AK1087" s="160"/>
      <c r="AL1087" s="160"/>
      <c r="AM1087" s="160"/>
      <c r="AN1087" s="160"/>
      <c r="AO1087" s="160"/>
      <c r="AP1087" s="160"/>
      <c r="AQ1087" s="160"/>
      <c r="AR1087" s="160"/>
      <c r="AS1087" s="160"/>
      <c r="AT1087" s="160"/>
      <c r="AU1087" s="160"/>
      <c r="AV1087" s="160"/>
      <c r="AW1087" s="160"/>
      <c r="AX1087" s="160"/>
      <c r="AY1087" s="160"/>
      <c r="AZ1087" s="160"/>
      <c r="BA1087" s="160"/>
      <c r="BB1087" s="139"/>
      <c r="BC1087" s="139"/>
      <c r="BD1087" s="139"/>
      <c r="BE1087" s="139"/>
      <c r="BF1087" s="139"/>
    </row>
    <row r="1088" ht="15.75" hidden="1" customHeight="1" outlineLevel="1">
      <c r="A1088" s="255"/>
      <c r="B1088" s="38"/>
      <c r="C1088" s="174"/>
      <c r="D1088" s="174"/>
      <c r="E1088" s="174"/>
      <c r="F1088" s="174"/>
      <c r="G1088" s="174"/>
      <c r="H1088" s="174"/>
      <c r="I1088" s="174"/>
      <c r="J1088" s="174"/>
      <c r="K1088" s="174"/>
      <c r="L1088" s="174"/>
      <c r="M1088" s="174"/>
      <c r="N1088" s="174"/>
      <c r="O1088" s="174"/>
      <c r="P1088" s="174"/>
      <c r="Q1088" s="174"/>
      <c r="R1088" s="174"/>
      <c r="S1088" s="174"/>
      <c r="T1088" s="174"/>
      <c r="U1088" s="174"/>
      <c r="V1088" s="174"/>
      <c r="W1088" s="160"/>
      <c r="X1088" s="160"/>
      <c r="Y1088" s="160"/>
      <c r="Z1088" s="160"/>
      <c r="AA1088" s="160"/>
      <c r="AB1088" s="160">
        <f>IF($AB$902&gt;0,'Assumptions (Solar)'!V14*Model!$AB$902*('Assumptions (Solar)'!$Z$20*'Assumptions (Solar)'!$Z$2+'Assumptions (Solar)'!$Z$21*'Assumptions (Solar)'!$Z$3)/10^9,0)</f>
        <v>0.3647482871</v>
      </c>
      <c r="AC1088" s="160">
        <f>IF($AB$902&gt;0,'Assumptions (Solar)'!W14*Model!$AB$902*('Assumptions (Solar)'!$Z$20*'Assumptions (Solar)'!$Z$2+'Assumptions (Solar)'!$Z$21*'Assumptions (Solar)'!$Z$3)/10^9,0)</f>
        <v>0.5835972594</v>
      </c>
      <c r="AD1088" s="160">
        <f>IF($AB$902&gt;0,'Assumptions (Solar)'!X14*Model!$AB$902*('Assumptions (Solar)'!$Z$20*'Assumptions (Solar)'!$Z$2+'Assumptions (Solar)'!$Z$21*'Assumptions (Solar)'!$Z$3)/10^9,0)</f>
        <v>0.3501583556</v>
      </c>
      <c r="AE1088" s="160">
        <f>IF($AB$902&gt;0,'Assumptions (Solar)'!Y14*Model!$AB$902*('Assumptions (Solar)'!$Z$20*'Assumptions (Solar)'!$Z$2+'Assumptions (Solar)'!$Z$21*'Assumptions (Solar)'!$Z$3)/10^9,0)</f>
        <v>0.2100950134</v>
      </c>
      <c r="AF1088" s="160">
        <f>IF($AB$902&gt;0,'Assumptions (Solar)'!Z14*Model!$AB$902*('Assumptions (Solar)'!$Z$20*'Assumptions (Solar)'!$Z$2+'Assumptions (Solar)'!$Z$21*'Assumptions (Solar)'!$Z$3)/10^9,0)</f>
        <v>0.2100950134</v>
      </c>
      <c r="AG1088" s="160">
        <f>IF($AB$902&gt;0,'Assumptions (Solar)'!AA14*Model!$AB$902*('Assumptions (Solar)'!$Z$20*'Assumptions (Solar)'!$Z$2+'Assumptions (Solar)'!$Z$21*'Assumptions (Solar)'!$Z$3)/10^9,0)</f>
        <v>0.1050475067</v>
      </c>
      <c r="AH1088" s="160"/>
      <c r="AI1088" s="160"/>
      <c r="AJ1088" s="160"/>
      <c r="AK1088" s="160"/>
      <c r="AL1088" s="160"/>
      <c r="AM1088" s="160"/>
      <c r="AN1088" s="160"/>
      <c r="AO1088" s="160"/>
      <c r="AP1088" s="160"/>
      <c r="AQ1088" s="160"/>
      <c r="AR1088" s="160"/>
      <c r="AS1088" s="160"/>
      <c r="AT1088" s="160"/>
      <c r="AU1088" s="160"/>
      <c r="AV1088" s="160"/>
      <c r="AW1088" s="160"/>
      <c r="AX1088" s="160"/>
      <c r="AY1088" s="160"/>
      <c r="AZ1088" s="160"/>
      <c r="BA1088" s="160"/>
      <c r="BB1088" s="139"/>
      <c r="BC1088" s="139"/>
      <c r="BD1088" s="139"/>
      <c r="BE1088" s="139"/>
      <c r="BF1088" s="139"/>
    </row>
    <row r="1089" ht="15.75" hidden="1" customHeight="1" outlineLevel="1">
      <c r="A1089" s="255"/>
      <c r="B1089" s="38"/>
      <c r="C1089" s="174"/>
      <c r="D1089" s="174"/>
      <c r="E1089" s="174"/>
      <c r="F1089" s="174"/>
      <c r="G1089" s="174"/>
      <c r="H1089" s="174"/>
      <c r="I1089" s="174"/>
      <c r="J1089" s="174"/>
      <c r="K1089" s="174"/>
      <c r="L1089" s="174"/>
      <c r="M1089" s="174"/>
      <c r="N1089" s="174"/>
      <c r="O1089" s="174"/>
      <c r="P1089" s="174"/>
      <c r="Q1089" s="174"/>
      <c r="R1089" s="174"/>
      <c r="S1089" s="174"/>
      <c r="T1089" s="174"/>
      <c r="U1089" s="174"/>
      <c r="V1089" s="174"/>
      <c r="W1089" s="160"/>
      <c r="X1089" s="160"/>
      <c r="Y1089" s="160"/>
      <c r="Z1089" s="160"/>
      <c r="AA1089" s="160"/>
      <c r="AB1089" s="160"/>
      <c r="AC1089" s="160">
        <f>IF($AC$902&gt;0,'Assumptions (Solar)'!V14*Model!$AC$902*('Assumptions (Solar)'!$AA$20*'Assumptions (Solar)'!$AA$2+'Assumptions (Solar)'!$AA$21*'Assumptions (Solar)'!$AA$3)/10^9,0)</f>
        <v>0.3550054461</v>
      </c>
      <c r="AD1089" s="160">
        <f>IF($AC$902&gt;0,'Assumptions (Solar)'!W14*Model!$AC$902*('Assumptions (Solar)'!$AA$20*'Assumptions (Solar)'!$AA$2+'Assumptions (Solar)'!$AA$21*'Assumptions (Solar)'!$AA$3)/10^9,0)</f>
        <v>0.5680087138</v>
      </c>
      <c r="AE1089" s="160">
        <f>IF($AC$902&gt;0,'Assumptions (Solar)'!X14*Model!$AC$902*('Assumptions (Solar)'!$AA$20*'Assumptions (Solar)'!$AA$2+'Assumptions (Solar)'!$AA$21*'Assumptions (Solar)'!$AA$3)/10^9,0)</f>
        <v>0.3408052283</v>
      </c>
      <c r="AF1089" s="160">
        <f>IF($AC$902&gt;0,'Assumptions (Solar)'!Y14*Model!$AC$902*('Assumptions (Solar)'!$AA$20*'Assumptions (Solar)'!$AA$2+'Assumptions (Solar)'!$AA$21*'Assumptions (Solar)'!$AA$3)/10^9,0)</f>
        <v>0.204483137</v>
      </c>
      <c r="AG1089" s="160">
        <f>IF($AC$902&gt;0,'Assumptions (Solar)'!Z14*Model!$AC$902*('Assumptions (Solar)'!$AA$20*'Assumptions (Solar)'!$AA$2+'Assumptions (Solar)'!$AA$21*'Assumptions (Solar)'!$AA$3)/10^9,0)</f>
        <v>0.204483137</v>
      </c>
      <c r="AH1089" s="160">
        <f>IF($AC$902&gt;0,'Assumptions (Solar)'!AA14*Model!$AC$902*('Assumptions (Solar)'!$AA$20*'Assumptions (Solar)'!$AA$2+'Assumptions (Solar)'!$AA$21*'Assumptions (Solar)'!$AA$3)/10^9,0)</f>
        <v>0.1022415685</v>
      </c>
      <c r="AI1089" s="160"/>
      <c r="AJ1089" s="160"/>
      <c r="AK1089" s="160"/>
      <c r="AL1089" s="160"/>
      <c r="AM1089" s="160"/>
      <c r="AN1089" s="160"/>
      <c r="AO1089" s="160"/>
      <c r="AP1089" s="160"/>
      <c r="AQ1089" s="160"/>
      <c r="AR1089" s="160"/>
      <c r="AS1089" s="160"/>
      <c r="AT1089" s="160"/>
      <c r="AU1089" s="160"/>
      <c r="AV1089" s="160"/>
      <c r="AW1089" s="160"/>
      <c r="AX1089" s="160"/>
      <c r="AY1089" s="160"/>
      <c r="AZ1089" s="160"/>
      <c r="BA1089" s="160"/>
      <c r="BB1089" s="139"/>
      <c r="BC1089" s="139"/>
      <c r="BD1089" s="139"/>
      <c r="BE1089" s="139"/>
      <c r="BF1089" s="139"/>
    </row>
    <row r="1090" ht="15.75" hidden="1" customHeight="1" outlineLevel="1">
      <c r="A1090" s="255"/>
      <c r="B1090" s="38"/>
      <c r="C1090" s="174"/>
      <c r="D1090" s="174"/>
      <c r="E1090" s="174"/>
      <c r="F1090" s="174"/>
      <c r="G1090" s="174"/>
      <c r="H1090" s="174"/>
      <c r="I1090" s="174"/>
      <c r="J1090" s="174"/>
      <c r="K1090" s="174"/>
      <c r="L1090" s="174"/>
      <c r="M1090" s="174"/>
      <c r="N1090" s="174"/>
      <c r="O1090" s="174"/>
      <c r="P1090" s="174"/>
      <c r="Q1090" s="174"/>
      <c r="R1090" s="174"/>
      <c r="S1090" s="174"/>
      <c r="T1090" s="174"/>
      <c r="U1090" s="174"/>
      <c r="V1090" s="174"/>
      <c r="W1090" s="160"/>
      <c r="X1090" s="160"/>
      <c r="Y1090" s="160"/>
      <c r="Z1090" s="160"/>
      <c r="AA1090" s="160"/>
      <c r="AB1090" s="160"/>
      <c r="AC1090" s="160"/>
      <c r="AD1090" s="160">
        <f>IF($AD$902&gt;0,'Assumptions (Solar)'!V14*Model!$AD$902*('Assumptions (Solar)'!$AB$20*'Assumptions (Solar)'!$AB$2+'Assumptions (Solar)'!$AB$21*'Assumptions (Solar)'!$AB$3)/10^9,0)</f>
        <v>0.3447436362</v>
      </c>
      <c r="AE1090" s="160">
        <f>IF($AD$902&gt;0,'Assumptions (Solar)'!W14*Model!$AD$902*('Assumptions (Solar)'!$AB$20*'Assumptions (Solar)'!$AB$2+'Assumptions (Solar)'!$AB$21*'Assumptions (Solar)'!$AB$3)/10^9,0)</f>
        <v>0.5515898179</v>
      </c>
      <c r="AF1090" s="160">
        <f>IF($AD$902&gt;0,'Assumptions (Solar)'!X14*Model!$AD$902*('Assumptions (Solar)'!$AB$20*'Assumptions (Solar)'!$AB$2+'Assumptions (Solar)'!$AB$21*'Assumptions (Solar)'!$AB$3)/10^9,0)</f>
        <v>0.3309538908</v>
      </c>
      <c r="AG1090" s="160">
        <f>IF($AD$902&gt;0,'Assumptions (Solar)'!Y14*Model!$AD$902*('Assumptions (Solar)'!$AB$20*'Assumptions (Solar)'!$AB$2+'Assumptions (Solar)'!$AB$21*'Assumptions (Solar)'!$AB$3)/10^9,0)</f>
        <v>0.1985723345</v>
      </c>
      <c r="AH1090" s="160">
        <f>IF($AD$902&gt;0,'Assumptions (Solar)'!Z14*Model!$AD$902*('Assumptions (Solar)'!$AB$20*'Assumptions (Solar)'!$AB$2+'Assumptions (Solar)'!$AB$21*'Assumptions (Solar)'!$AB$3)/10^9,0)</f>
        <v>0.1985723345</v>
      </c>
      <c r="AI1090" s="160">
        <f>IF($AD$902&gt;0,'Assumptions (Solar)'!AA14*Model!$AD$902*('Assumptions (Solar)'!$AB$20*'Assumptions (Solar)'!$AB$2+'Assumptions (Solar)'!$AB$21*'Assumptions (Solar)'!$AB$3)/10^9,0)</f>
        <v>0.09928616723</v>
      </c>
      <c r="AJ1090" s="160"/>
      <c r="AK1090" s="160"/>
      <c r="AL1090" s="160"/>
      <c r="AM1090" s="160"/>
      <c r="AN1090" s="160"/>
      <c r="AO1090" s="160"/>
      <c r="AP1090" s="160"/>
      <c r="AQ1090" s="160"/>
      <c r="AR1090" s="160"/>
      <c r="AS1090" s="160"/>
      <c r="AT1090" s="160"/>
      <c r="AU1090" s="160"/>
      <c r="AV1090" s="160"/>
      <c r="AW1090" s="160"/>
      <c r="AX1090" s="160"/>
      <c r="AY1090" s="160"/>
      <c r="AZ1090" s="160"/>
      <c r="BA1090" s="160"/>
      <c r="BB1090" s="160"/>
      <c r="BC1090" s="139"/>
      <c r="BD1090" s="139"/>
      <c r="BE1090" s="139"/>
      <c r="BF1090" s="139"/>
    </row>
    <row r="1091" ht="15.75" hidden="1" customHeight="1" outlineLevel="1">
      <c r="A1091" s="255"/>
      <c r="B1091" s="38"/>
      <c r="C1091" s="174"/>
      <c r="D1091" s="174"/>
      <c r="E1091" s="174"/>
      <c r="F1091" s="174"/>
      <c r="G1091" s="174"/>
      <c r="H1091" s="174"/>
      <c r="I1091" s="174"/>
      <c r="J1091" s="174"/>
      <c r="K1091" s="174"/>
      <c r="L1091" s="174"/>
      <c r="M1091" s="174"/>
      <c r="N1091" s="174"/>
      <c r="O1091" s="174"/>
      <c r="P1091" s="174"/>
      <c r="Q1091" s="174"/>
      <c r="R1091" s="174"/>
      <c r="S1091" s="174"/>
      <c r="T1091" s="174"/>
      <c r="U1091" s="174"/>
      <c r="V1091" s="174"/>
      <c r="W1091" s="160"/>
      <c r="X1091" s="160"/>
      <c r="Y1091" s="160"/>
      <c r="Z1091" s="160"/>
      <c r="AA1091" s="160"/>
      <c r="AB1091" s="160"/>
      <c r="AC1091" s="160"/>
      <c r="AD1091" s="160"/>
      <c r="AE1091" s="160">
        <f>IF($AE$902&gt;0,'Assumptions (Solar)'!V14*Model!$AE$902*('Assumptions (Solar)'!$AC$20*'Assumptions (Solar)'!$AC$2+'Assumptions (Solar)'!$AC$21*'Assumptions (Solar)'!$AC$3)/10^9,0)</f>
        <v>0.3342832955</v>
      </c>
      <c r="AF1091" s="160">
        <f>IF($AE$902&gt;0,'Assumptions (Solar)'!W14*Model!$AE$902*('Assumptions (Solar)'!$AC$20*'Assumptions (Solar)'!$AC$2+'Assumptions (Solar)'!$AC$21*'Assumptions (Solar)'!$AC$3)/10^9,0)</f>
        <v>0.5348532729</v>
      </c>
      <c r="AG1091" s="160">
        <f>IF($AE$902&gt;0,'Assumptions (Solar)'!X14*Model!$AE$902*('Assumptions (Solar)'!$AC$20*'Assumptions (Solar)'!$AC$2+'Assumptions (Solar)'!$AC$21*'Assumptions (Solar)'!$AC$3)/10^9,0)</f>
        <v>0.3209119637</v>
      </c>
      <c r="AH1091" s="160">
        <f>IF($AE$902&gt;0,'Assumptions (Solar)'!Y14*Model!$AE$902*('Assumptions (Solar)'!$AC$20*'Assumptions (Solar)'!$AC$2+'Assumptions (Solar)'!$AC$21*'Assumptions (Solar)'!$AC$3)/10^9,0)</f>
        <v>0.1925471782</v>
      </c>
      <c r="AI1091" s="160">
        <f>IF($AE$902&gt;0,'Assumptions (Solar)'!Z14*Model!$AE$902*('Assumptions (Solar)'!$AC$20*'Assumptions (Solar)'!$AC$2+'Assumptions (Solar)'!$AC$21*'Assumptions (Solar)'!$AC$3)/10^9,0)</f>
        <v>0.1925471782</v>
      </c>
      <c r="AJ1091" s="160">
        <f>IF($AE$902&gt;0,'Assumptions (Solar)'!AA14*Model!$AE$902*('Assumptions (Solar)'!$AC$20*'Assumptions (Solar)'!$AC$2+'Assumptions (Solar)'!$AC$21*'Assumptions (Solar)'!$AC$3)/10^9,0)</f>
        <v>0.09627358912</v>
      </c>
      <c r="AK1091" s="160"/>
      <c r="AL1091" s="160"/>
      <c r="AM1091" s="160"/>
      <c r="AN1091" s="160"/>
      <c r="AO1091" s="160"/>
      <c r="AP1091" s="160"/>
      <c r="AQ1091" s="160"/>
      <c r="AR1091" s="160"/>
      <c r="AS1091" s="160"/>
      <c r="AT1091" s="160"/>
      <c r="AU1091" s="160"/>
      <c r="AV1091" s="160"/>
      <c r="AW1091" s="160"/>
      <c r="AX1091" s="160"/>
      <c r="AY1091" s="160"/>
      <c r="AZ1091" s="160"/>
      <c r="BA1091" s="160"/>
      <c r="BB1091" s="160"/>
      <c r="BC1091" s="160"/>
      <c r="BD1091" s="139"/>
      <c r="BE1091" s="139"/>
      <c r="BF1091" s="139"/>
    </row>
    <row r="1092" ht="15.75" hidden="1" customHeight="1" outlineLevel="1">
      <c r="A1092" s="255"/>
      <c r="B1092" s="38"/>
      <c r="C1092" s="174"/>
      <c r="D1092" s="174"/>
      <c r="E1092" s="174"/>
      <c r="F1092" s="174"/>
      <c r="G1092" s="174"/>
      <c r="H1092" s="174"/>
      <c r="I1092" s="174"/>
      <c r="J1092" s="174"/>
      <c r="K1092" s="174"/>
      <c r="L1092" s="174"/>
      <c r="M1092" s="174"/>
      <c r="N1092" s="174"/>
      <c r="O1092" s="174"/>
      <c r="P1092" s="174"/>
      <c r="Q1092" s="174"/>
      <c r="R1092" s="174"/>
      <c r="S1092" s="174"/>
      <c r="T1092" s="174"/>
      <c r="U1092" s="174"/>
      <c r="V1092" s="174"/>
      <c r="W1092" s="160"/>
      <c r="X1092" s="160"/>
      <c r="Y1092" s="160"/>
      <c r="Z1092" s="160"/>
      <c r="AA1092" s="160"/>
      <c r="AB1092" s="160"/>
      <c r="AC1092" s="160"/>
      <c r="AD1092" s="160"/>
      <c r="AE1092" s="160"/>
      <c r="AF1092" s="160">
        <f>IF($AF$902&gt;0,'Assumptions (Solar)'!V14*Model!$AF$902*('Assumptions (Solar)'!$AD$20*'Assumptions (Solar)'!$AD$2+'Assumptions (Solar)'!$AD$21*'Assumptions (Solar)'!$AD$3)/10^9,0)</f>
        <v>0.3229400511</v>
      </c>
      <c r="AG1092" s="160">
        <f>IF($AF$902&gt;0,'Assumptions (Solar)'!W14*Model!$AF$902*('Assumptions (Solar)'!$AD$20*'Assumptions (Solar)'!$AD$2+'Assumptions (Solar)'!$AD$21*'Assumptions (Solar)'!$AD$3)/10^9,0)</f>
        <v>0.5167040818</v>
      </c>
      <c r="AH1092" s="160">
        <f>IF($AF$902&gt;0,'Assumptions (Solar)'!X14*Model!$AF$902*('Assumptions (Solar)'!$AD$20*'Assumptions (Solar)'!$AD$2+'Assumptions (Solar)'!$AD$21*'Assumptions (Solar)'!$AD$3)/10^9,0)</f>
        <v>0.3100224491</v>
      </c>
      <c r="AI1092" s="160">
        <f>IF($AF$902&gt;0,'Assumptions (Solar)'!Y14*Model!$AF$902*('Assumptions (Solar)'!$AD$20*'Assumptions (Solar)'!$AD$2+'Assumptions (Solar)'!$AD$21*'Assumptions (Solar)'!$AD$3)/10^9,0)</f>
        <v>0.1860134694</v>
      </c>
      <c r="AJ1092" s="160">
        <f>IF($AF$902&gt;0,'Assumptions (Solar)'!Z14*Model!$AF$902*('Assumptions (Solar)'!$AD$20*'Assumptions (Solar)'!$AD$2+'Assumptions (Solar)'!$AD$21*'Assumptions (Solar)'!$AD$3)/10^9,0)</f>
        <v>0.1860134694</v>
      </c>
      <c r="AK1092" s="160">
        <f>IF($AF$902&gt;0,'Assumptions (Solar)'!AA14*Model!$AF$902*('Assumptions (Solar)'!$AD$20*'Assumptions (Solar)'!$AD$2+'Assumptions (Solar)'!$AD$21*'Assumptions (Solar)'!$AD$3)/10^9,0)</f>
        <v>0.09300673472</v>
      </c>
      <c r="AL1092" s="160"/>
      <c r="AM1092" s="160"/>
      <c r="AN1092" s="160"/>
      <c r="AO1092" s="160"/>
      <c r="AP1092" s="160"/>
      <c r="AQ1092" s="160"/>
      <c r="AR1092" s="160"/>
      <c r="AS1092" s="160"/>
      <c r="AT1092" s="160"/>
      <c r="AU1092" s="160"/>
      <c r="AV1092" s="160"/>
      <c r="AW1092" s="160"/>
      <c r="AX1092" s="160"/>
      <c r="AY1092" s="160"/>
      <c r="AZ1092" s="160"/>
      <c r="BA1092" s="160"/>
      <c r="BB1092" s="160"/>
      <c r="BC1092" s="160"/>
      <c r="BD1092" s="160"/>
      <c r="BE1092" s="139"/>
      <c r="BF1092" s="139"/>
    </row>
    <row r="1093" ht="15.75" hidden="1" customHeight="1" outlineLevel="1">
      <c r="A1093" s="255"/>
      <c r="B1093" s="38"/>
      <c r="C1093" s="174"/>
      <c r="D1093" s="174"/>
      <c r="E1093" s="174"/>
      <c r="F1093" s="174"/>
      <c r="G1093" s="174"/>
      <c r="H1093" s="174"/>
      <c r="I1093" s="174"/>
      <c r="J1093" s="174"/>
      <c r="K1093" s="174"/>
      <c r="L1093" s="174"/>
      <c r="M1093" s="174"/>
      <c r="N1093" s="174"/>
      <c r="O1093" s="174"/>
      <c r="P1093" s="174"/>
      <c r="Q1093" s="174"/>
      <c r="R1093" s="174"/>
      <c r="S1093" s="174"/>
      <c r="T1093" s="174"/>
      <c r="U1093" s="174"/>
      <c r="V1093" s="174"/>
      <c r="W1093" s="160"/>
      <c r="X1093" s="160"/>
      <c r="Y1093" s="160"/>
      <c r="Z1093" s="160"/>
      <c r="AA1093" s="160"/>
      <c r="AB1093" s="160"/>
      <c r="AC1093" s="160"/>
      <c r="AD1093" s="160"/>
      <c r="AE1093" s="160"/>
      <c r="AF1093" s="160"/>
      <c r="AG1093" s="160">
        <f>IF($AG$902&gt;0,'Assumptions (Solar)'!V14*Model!$AG$902*('Assumptions (Solar)'!$AE$20*'Assumptions (Solar)'!$AE$2+'Assumptions (Solar)'!$AE$21*'Assumptions (Solar)'!$AE$3)/10^9,0)</f>
        <v>0.3110269883</v>
      </c>
      <c r="AH1093" s="160">
        <f>IF($AG$902&gt;0,'Assumptions (Solar)'!W14*Model!$AG$902*('Assumptions (Solar)'!$AE$20*'Assumptions (Solar)'!$AE$2+'Assumptions (Solar)'!$AE$21*'Assumptions (Solar)'!$AE$3)/10^9,0)</f>
        <v>0.4976431813</v>
      </c>
      <c r="AI1093" s="160">
        <f>IF($AG$902&gt;0,'Assumptions (Solar)'!X14*Model!$AG$902*('Assumptions (Solar)'!$AE$20*'Assumptions (Solar)'!$AE$2+'Assumptions (Solar)'!$AE$21*'Assumptions (Solar)'!$AE$3)/10^9,0)</f>
        <v>0.2985859088</v>
      </c>
      <c r="AJ1093" s="160">
        <f>IF($AG$902&gt;0,'Assumptions (Solar)'!Y14*Model!$AG$902*('Assumptions (Solar)'!$AE$20*'Assumptions (Solar)'!$AE$2+'Assumptions (Solar)'!$AE$21*'Assumptions (Solar)'!$AE$3)/10^9,0)</f>
        <v>0.1791515453</v>
      </c>
      <c r="AK1093" s="160">
        <f>IF($AG$902&gt;0,'Assumptions (Solar)'!Z14*Model!$AG$902*('Assumptions (Solar)'!$AE$20*'Assumptions (Solar)'!$AE$2+'Assumptions (Solar)'!$AE$21*'Assumptions (Solar)'!$AE$3)/10^9,0)</f>
        <v>0.1791515453</v>
      </c>
      <c r="AL1093" s="160">
        <f>IF($AG$902&gt;0,'Assumptions (Solar)'!AA14*Model!$AG$902*('Assumptions (Solar)'!$AE$20*'Assumptions (Solar)'!$AE$2+'Assumptions (Solar)'!$AE$21*'Assumptions (Solar)'!$AE$3)/10^9,0)</f>
        <v>0.08957577263</v>
      </c>
      <c r="AM1093" s="160"/>
      <c r="AN1093" s="160"/>
      <c r="AO1093" s="160"/>
      <c r="AP1093" s="160"/>
      <c r="AQ1093" s="160"/>
      <c r="AR1093" s="160"/>
      <c r="AS1093" s="160"/>
      <c r="AT1093" s="160"/>
      <c r="AU1093" s="160"/>
      <c r="AV1093" s="160"/>
      <c r="AW1093" s="160"/>
      <c r="AX1093" s="160"/>
      <c r="AY1093" s="160"/>
      <c r="AZ1093" s="160"/>
      <c r="BA1093" s="160"/>
      <c r="BB1093" s="160"/>
      <c r="BC1093" s="160"/>
      <c r="BD1093" s="160"/>
      <c r="BE1093" s="160"/>
      <c r="BF1093" s="139"/>
    </row>
    <row r="1094" ht="15.75" hidden="1" customHeight="1" outlineLevel="1">
      <c r="A1094" s="255"/>
      <c r="B1094" s="38"/>
      <c r="C1094" s="174"/>
      <c r="D1094" s="174"/>
      <c r="E1094" s="174"/>
      <c r="F1094" s="174"/>
      <c r="G1094" s="174"/>
      <c r="H1094" s="174"/>
      <c r="I1094" s="174"/>
      <c r="J1094" s="174"/>
      <c r="K1094" s="174"/>
      <c r="L1094" s="174"/>
      <c r="M1094" s="174"/>
      <c r="N1094" s="174"/>
      <c r="O1094" s="174"/>
      <c r="P1094" s="174"/>
      <c r="Q1094" s="174"/>
      <c r="R1094" s="174"/>
      <c r="S1094" s="174"/>
      <c r="T1094" s="174"/>
      <c r="U1094" s="174"/>
      <c r="V1094" s="174"/>
      <c r="W1094" s="160"/>
      <c r="X1094" s="160"/>
      <c r="Y1094" s="160"/>
      <c r="Z1094" s="160"/>
      <c r="AA1094" s="160"/>
      <c r="AB1094" s="160"/>
      <c r="AC1094" s="160"/>
      <c r="AD1094" s="160"/>
      <c r="AE1094" s="160"/>
      <c r="AF1094" s="160"/>
      <c r="AG1094" s="160"/>
      <c r="AH1094" s="160">
        <f>IF($AH$902&gt;0,'Assumptions (Solar)'!V14*Model!$AH$902*('Assumptions (Solar)'!$AF$20*'Assumptions (Solar)'!$AF$2+'Assumptions (Solar)'!$AF$21*'Assumptions (Solar)'!$AF$3)/10^9,0)</f>
        <v>0.2985261912</v>
      </c>
      <c r="AI1094" s="160">
        <f>IF($AH$902&gt;0,'Assumptions (Solar)'!W14*Model!$AH$902*('Assumptions (Solar)'!$AF$20*'Assumptions (Solar)'!$AF$2+'Assumptions (Solar)'!$AF$21*'Assumptions (Solar)'!$AF$3)/10^9,0)</f>
        <v>0.4776419059</v>
      </c>
      <c r="AJ1094" s="160">
        <f>IF($AH$902&gt;0,'Assumptions (Solar)'!X14*Model!$AH$902*('Assumptions (Solar)'!$AF$20*'Assumptions (Solar)'!$AF$2+'Assumptions (Solar)'!$AF$21*'Assumptions (Solar)'!$AF$3)/10^9,0)</f>
        <v>0.2865851435</v>
      </c>
      <c r="AK1094" s="160">
        <f>IF($AH$902&gt;0,'Assumptions (Solar)'!Y14*Model!$AH$902*('Assumptions (Solar)'!$AF$20*'Assumptions (Solar)'!$AF$2+'Assumptions (Solar)'!$AF$21*'Assumptions (Solar)'!$AF$3)/10^9,0)</f>
        <v>0.1719510861</v>
      </c>
      <c r="AL1094" s="160">
        <f>IF($AH$902&gt;0,'Assumptions (Solar)'!Z14*Model!$AH$902*('Assumptions (Solar)'!$AF$20*'Assumptions (Solar)'!$AF$2+'Assumptions (Solar)'!$AF$21*'Assumptions (Solar)'!$AF$3)/10^9,0)</f>
        <v>0.1719510861</v>
      </c>
      <c r="AM1094" s="160">
        <f>IF($AH$902&gt;0,'Assumptions (Solar)'!AA14*Model!$AH$902*('Assumptions (Solar)'!$AF$20*'Assumptions (Solar)'!$AF$2+'Assumptions (Solar)'!$AF$21*'Assumptions (Solar)'!$AF$3)/10^9,0)</f>
        <v>0.08597554306</v>
      </c>
      <c r="AN1094" s="160"/>
      <c r="AO1094" s="160"/>
      <c r="AP1094" s="160"/>
      <c r="AQ1094" s="160"/>
      <c r="AR1094" s="160"/>
      <c r="AS1094" s="160"/>
      <c r="AT1094" s="160"/>
      <c r="AU1094" s="160"/>
      <c r="AV1094" s="160"/>
      <c r="AW1094" s="160"/>
      <c r="AX1094" s="160"/>
      <c r="AY1094" s="160"/>
      <c r="AZ1094" s="160"/>
      <c r="BA1094" s="160"/>
      <c r="BB1094" s="160"/>
      <c r="BC1094" s="160"/>
      <c r="BD1094" s="160"/>
      <c r="BE1094" s="160"/>
      <c r="BF1094" s="160"/>
    </row>
    <row r="1095" ht="15.75" hidden="1" customHeight="1" outlineLevel="1">
      <c r="A1095" s="255"/>
      <c r="B1095" s="38"/>
      <c r="C1095" s="174"/>
      <c r="D1095" s="174"/>
      <c r="E1095" s="174"/>
      <c r="F1095" s="174"/>
      <c r="G1095" s="174"/>
      <c r="H1095" s="174"/>
      <c r="I1095" s="174"/>
      <c r="J1095" s="174"/>
      <c r="K1095" s="174"/>
      <c r="L1095" s="174"/>
      <c r="M1095" s="174"/>
      <c r="N1095" s="174"/>
      <c r="O1095" s="174"/>
      <c r="P1095" s="174"/>
      <c r="Q1095" s="174"/>
      <c r="R1095" s="174"/>
      <c r="S1095" s="174"/>
      <c r="T1095" s="174"/>
      <c r="U1095" s="174"/>
      <c r="V1095" s="174"/>
      <c r="W1095" s="160"/>
      <c r="X1095" s="160"/>
      <c r="Y1095" s="160"/>
      <c r="Z1095" s="160"/>
      <c r="AA1095" s="160"/>
      <c r="AB1095" s="160"/>
      <c r="AC1095" s="160"/>
      <c r="AD1095" s="160"/>
      <c r="AE1095" s="160"/>
      <c r="AF1095" s="160"/>
      <c r="AG1095" s="160"/>
      <c r="AH1095" s="160"/>
      <c r="AI1095" s="177">
        <f>IF($AI$902&gt;0,'Assumptions (Solar)'!V14*Model!$AI$902*('Assumptions (Solar)'!$AG$20*'Assumptions (Solar)'!$AG$2+'Assumptions (Solar)'!$AG$21*'Assumptions (Solar)'!$AG$3)/10^9,0)</f>
        <v>0.3018017449</v>
      </c>
      <c r="AJ1095" s="177">
        <f>IF($AI$902&gt;0,'Assumptions (Solar)'!W14*Model!$AI$902*('Assumptions (Solar)'!$AG$20*'Assumptions (Solar)'!$AG$2+'Assumptions (Solar)'!$AG$21*'Assumptions (Solar)'!$AG$3)/10^9,0)</f>
        <v>0.4828827918</v>
      </c>
      <c r="AK1095" s="177">
        <f>IF($AI$902&gt;0,'Assumptions (Solar)'!X14*Model!$AI$902*('Assumptions (Solar)'!$AG$20*'Assumptions (Solar)'!$AG$2+'Assumptions (Solar)'!$AG$21*'Assumptions (Solar)'!$AG$3)/10^9,0)</f>
        <v>0.2897296751</v>
      </c>
      <c r="AL1095" s="177">
        <f>IF($AI$902&gt;0,'Assumptions (Solar)'!Y14*Model!$AI$902*('Assumptions (Solar)'!$AG$20*'Assumptions (Solar)'!$AG$2+'Assumptions (Solar)'!$AG$21*'Assumptions (Solar)'!$AG$3)/10^9,0)</f>
        <v>0.173837805</v>
      </c>
      <c r="AM1095" s="177">
        <f>IF($AI$902&gt;0,'Assumptions (Solar)'!Z14*Model!$AI$902*('Assumptions (Solar)'!$AG$20*'Assumptions (Solar)'!$AG$2+'Assumptions (Solar)'!$AG$21*'Assumptions (Solar)'!$AG$3)/10^9,0)</f>
        <v>0.173837805</v>
      </c>
      <c r="AN1095" s="177">
        <f>IF($AI$902&gt;0,'Assumptions (Solar)'!AA14*Model!$AI$902*('Assumptions (Solar)'!$AG$20*'Assumptions (Solar)'!$AG$2+'Assumptions (Solar)'!$AG$21*'Assumptions (Solar)'!$AG$3)/10^9,0)</f>
        <v>0.08691890252</v>
      </c>
      <c r="AO1095" s="160"/>
      <c r="AP1095" s="160"/>
      <c r="AQ1095" s="160"/>
      <c r="AR1095" s="160"/>
      <c r="AS1095" s="160"/>
      <c r="AT1095" s="160"/>
      <c r="AU1095" s="160"/>
      <c r="AV1095" s="160"/>
      <c r="AW1095" s="160"/>
      <c r="AX1095" s="160"/>
      <c r="AY1095" s="160"/>
      <c r="AZ1095" s="160"/>
      <c r="BA1095" s="160"/>
      <c r="BB1095" s="160"/>
      <c r="BC1095" s="160"/>
      <c r="BD1095" s="160"/>
      <c r="BE1095" s="160"/>
      <c r="BF1095" s="160"/>
    </row>
    <row r="1096" ht="15.75" hidden="1" customHeight="1" outlineLevel="1">
      <c r="A1096" s="255"/>
      <c r="B1096" s="38"/>
      <c r="C1096" s="174"/>
      <c r="D1096" s="174"/>
      <c r="E1096" s="174"/>
      <c r="F1096" s="174"/>
      <c r="G1096" s="174"/>
      <c r="H1096" s="174"/>
      <c r="I1096" s="174"/>
      <c r="J1096" s="174"/>
      <c r="K1096" s="174"/>
      <c r="L1096" s="174"/>
      <c r="M1096" s="174"/>
      <c r="N1096" s="174"/>
      <c r="O1096" s="174"/>
      <c r="P1096" s="174"/>
      <c r="Q1096" s="174"/>
      <c r="R1096" s="174"/>
      <c r="S1096" s="174"/>
      <c r="T1096" s="174"/>
      <c r="U1096" s="174"/>
      <c r="V1096" s="174"/>
      <c r="W1096" s="160"/>
      <c r="X1096" s="160"/>
      <c r="Y1096" s="160"/>
      <c r="Z1096" s="160"/>
      <c r="AA1096" s="160"/>
      <c r="AB1096" s="177"/>
      <c r="AC1096" s="160"/>
      <c r="AD1096" s="160"/>
      <c r="AE1096" s="160"/>
      <c r="AF1096" s="160"/>
      <c r="AG1096" s="160"/>
      <c r="AH1096" s="160"/>
      <c r="AI1096" s="160"/>
      <c r="AJ1096" s="177">
        <f>IF($AJ$902&gt;0,'Assumptions (Solar)'!V14*Model!$AJ$902*('Assumptions (Solar)'!$AH$20*'Assumptions (Solar)'!$AH$2+'Assumptions (Solar)'!$AH$21*'Assumptions (Solar)'!$AH$3)/10^9,0)</f>
        <v>0.3050914848</v>
      </c>
      <c r="AK1096" s="177">
        <f>IF($AJ$902&gt;0,'Assumptions (Solar)'!W14*Model!$AJ$902*('Assumptions (Solar)'!$AH$20*'Assumptions (Solar)'!$AH$2+'Assumptions (Solar)'!$AH$21*'Assumptions (Solar)'!$AH$3)/10^9,0)</f>
        <v>0.4881463757</v>
      </c>
      <c r="AL1096" s="177">
        <f>IF($AJ$902&gt;0,'Assumptions (Solar)'!X14*Model!$AJ$902*('Assumptions (Solar)'!$AH$20*'Assumptions (Solar)'!$AH$2+'Assumptions (Solar)'!$AH$21*'Assumptions (Solar)'!$AH$3)/10^9,0)</f>
        <v>0.2928878254</v>
      </c>
      <c r="AM1096" s="177">
        <f>IF($AJ$902&gt;0,'Assumptions (Solar)'!Y14*Model!$AJ$902*('Assumptions (Solar)'!$AH$20*'Assumptions (Solar)'!$AH$2+'Assumptions (Solar)'!$AH$21*'Assumptions (Solar)'!$AH$3)/10^9,0)</f>
        <v>0.1757326952</v>
      </c>
      <c r="AN1096" s="177">
        <f>IF($AJ$902&gt;0,'Assumptions (Solar)'!Z14*Model!$AJ$902*('Assumptions (Solar)'!$AH$20*'Assumptions (Solar)'!$AH$2+'Assumptions (Solar)'!$AH$21*'Assumptions (Solar)'!$AH$3)/10^9,0)</f>
        <v>0.1757326952</v>
      </c>
      <c r="AO1096" s="177">
        <f>IF($AJ$902&gt;0,'Assumptions (Solar)'!AA14*Model!$AJ$902*('Assumptions (Solar)'!$AH$20*'Assumptions (Solar)'!$AH$2+'Assumptions (Solar)'!$AH$21*'Assumptions (Solar)'!$AH$3)/10^9,0)</f>
        <v>0.08786634762</v>
      </c>
      <c r="AP1096" s="177"/>
      <c r="AQ1096" s="177"/>
      <c r="AR1096" s="177"/>
      <c r="AS1096" s="177"/>
      <c r="AT1096" s="177"/>
      <c r="AU1096" s="177"/>
      <c r="AV1096" s="177"/>
      <c r="AW1096" s="177"/>
      <c r="AX1096" s="177"/>
      <c r="AY1096" s="177"/>
      <c r="AZ1096" s="177"/>
      <c r="BA1096" s="177"/>
      <c r="BB1096" s="177"/>
      <c r="BC1096" s="177"/>
      <c r="BD1096" s="177"/>
      <c r="BE1096" s="177"/>
      <c r="BF1096" s="177"/>
    </row>
    <row r="1097" ht="15.75" hidden="1" customHeight="1" outlineLevel="1">
      <c r="A1097" s="255"/>
      <c r="B1097" s="38"/>
      <c r="C1097" s="174"/>
      <c r="D1097" s="174"/>
      <c r="E1097" s="174"/>
      <c r="F1097" s="174"/>
      <c r="G1097" s="174"/>
      <c r="H1097" s="174"/>
      <c r="I1097" s="174"/>
      <c r="J1097" s="174"/>
      <c r="K1097" s="174"/>
      <c r="L1097" s="174"/>
      <c r="M1097" s="174"/>
      <c r="N1097" s="174"/>
      <c r="O1097" s="174"/>
      <c r="P1097" s="174"/>
      <c r="Q1097" s="174"/>
      <c r="R1097" s="174"/>
      <c r="S1097" s="174"/>
      <c r="T1097" s="174"/>
      <c r="U1097" s="174"/>
      <c r="V1097" s="174"/>
      <c r="W1097" s="160"/>
      <c r="X1097" s="160"/>
      <c r="Y1097" s="160"/>
      <c r="Z1097" s="160"/>
      <c r="AA1097" s="160"/>
      <c r="AB1097" s="160"/>
      <c r="AC1097" s="160"/>
      <c r="AD1097" s="160"/>
      <c r="AE1097" s="160"/>
      <c r="AF1097" s="160"/>
      <c r="AG1097" s="160"/>
      <c r="AH1097" s="160"/>
      <c r="AI1097" s="160"/>
      <c r="AJ1097" s="179"/>
      <c r="AK1097" s="160">
        <f>IF($AK$902&gt;0,'Assumptions (Solar)'!V14*Model!$AK$902*('Assumptions (Solar)'!$AI$20*'Assumptions (Solar)'!$AI$2+'Assumptions (Solar)'!$AI$21*'Assumptions (Solar)'!$AI$3)/10^9,0)</f>
        <v>0.3087124171</v>
      </c>
      <c r="AL1097" s="160">
        <f>IF($AK$902&gt;0,'Assumptions (Solar)'!W14*Model!$AK$902*('Assumptions (Solar)'!$AI$20*'Assumptions (Solar)'!$AI$2+'Assumptions (Solar)'!$AI$21*'Assumptions (Solar)'!$AI$3)/10^9,0)</f>
        <v>0.4939398674</v>
      </c>
      <c r="AM1097" s="160">
        <f>IF($AK$902&gt;0,'Assumptions (Solar)'!X14*Model!$AK$902*('Assumptions (Solar)'!$AI$20*'Assumptions (Solar)'!$AI$2+'Assumptions (Solar)'!$AI$21*'Assumptions (Solar)'!$AI$3)/10^9,0)</f>
        <v>0.2963639204</v>
      </c>
      <c r="AN1097" s="160">
        <f>IF($AK$902&gt;0,'Assumptions (Solar)'!Y14*Model!$AK$902*('Assumptions (Solar)'!$AI$20*'Assumptions (Solar)'!$AI$2+'Assumptions (Solar)'!$AI$21*'Assumptions (Solar)'!$AI$3)/10^9,0)</f>
        <v>0.1778183523</v>
      </c>
      <c r="AO1097" s="160">
        <f>IF($AK$902&gt;0,'Assumptions (Solar)'!Z14*Model!$AK$902*('Assumptions (Solar)'!$AI$20*'Assumptions (Solar)'!$AI$2+'Assumptions (Solar)'!$AI$21*'Assumptions (Solar)'!$AI$3)/10^9,0)</f>
        <v>0.1778183523</v>
      </c>
      <c r="AP1097" s="160">
        <f>IF($AK$902&gt;0,'Assumptions (Solar)'!AA14*Model!$AK$902*('Assumptions (Solar)'!$AI$20*'Assumptions (Solar)'!$AI$2+'Assumptions (Solar)'!$AI$21*'Assumptions (Solar)'!$AI$3)/10^9,0)</f>
        <v>0.08890917613</v>
      </c>
      <c r="AQ1097" s="177"/>
      <c r="AR1097" s="177"/>
      <c r="AS1097" s="177"/>
      <c r="AT1097" s="177"/>
      <c r="AU1097" s="177"/>
      <c r="AV1097" s="177"/>
      <c r="AW1097" s="177"/>
      <c r="AX1097" s="177"/>
      <c r="AY1097" s="177"/>
      <c r="AZ1097" s="177"/>
      <c r="BA1097" s="177"/>
      <c r="BB1097" s="177"/>
      <c r="BC1097" s="177"/>
      <c r="BD1097" s="177"/>
      <c r="BE1097" s="177"/>
      <c r="BF1097" s="177"/>
    </row>
    <row r="1098" ht="15.75" hidden="1" customHeight="1" outlineLevel="1">
      <c r="A1098" s="255"/>
      <c r="B1098" s="38"/>
      <c r="C1098" s="174"/>
      <c r="D1098" s="174"/>
      <c r="E1098" s="174"/>
      <c r="F1098" s="174"/>
      <c r="G1098" s="174"/>
      <c r="H1098" s="174"/>
      <c r="I1098" s="174"/>
      <c r="J1098" s="174"/>
      <c r="K1098" s="174"/>
      <c r="L1098" s="174"/>
      <c r="M1098" s="174"/>
      <c r="N1098" s="174"/>
      <c r="O1098" s="174"/>
      <c r="P1098" s="174"/>
      <c r="Q1098" s="174"/>
      <c r="R1098" s="174"/>
      <c r="S1098" s="174"/>
      <c r="T1098" s="174"/>
      <c r="U1098" s="174"/>
      <c r="V1098" s="174"/>
      <c r="W1098" s="160"/>
      <c r="X1098" s="160"/>
      <c r="Y1098" s="160"/>
      <c r="Z1098" s="160"/>
      <c r="AA1098" s="160"/>
      <c r="AB1098" s="160"/>
      <c r="AC1098" s="160"/>
      <c r="AD1098" s="160"/>
      <c r="AE1098" s="160"/>
      <c r="AF1098" s="160"/>
      <c r="AG1098" s="160"/>
      <c r="AH1098" s="160"/>
      <c r="AI1098" s="160"/>
      <c r="AJ1098" s="179"/>
      <c r="AK1098" s="160"/>
      <c r="AL1098" s="177">
        <f>IF($AL$902&gt;0,'Assumptions (Solar)'!V14*Model!$AL$902*('Assumptions (Solar)'!$AJ$20*'Assumptions (Solar)'!$AJ$2+'Assumptions (Solar)'!$AJ$21*'Assumptions (Solar)'!$AJ$3)/10^9,0)</f>
        <v>0.3113249379</v>
      </c>
      <c r="AM1098" s="177">
        <f>IF($AL$902&gt;0,'Assumptions (Solar)'!W14*Model!$AL$902*('Assumptions (Solar)'!$AJ$20*'Assumptions (Solar)'!$AJ$2+'Assumptions (Solar)'!$AJ$21*'Assumptions (Solar)'!$AJ$3)/10^9,0)</f>
        <v>0.4981199006</v>
      </c>
      <c r="AN1098" s="177">
        <f>IF($AL$902&gt;0,'Assumptions (Solar)'!X14*Model!$AL$902*('Assumptions (Solar)'!$AJ$20*'Assumptions (Solar)'!$AJ$2+'Assumptions (Solar)'!$AJ$21*'Assumptions (Solar)'!$AJ$3)/10^9,0)</f>
        <v>0.2988719404</v>
      </c>
      <c r="AO1098" s="177">
        <f>IF($AL$902&gt;0,'Assumptions (Solar)'!Y14*Model!$AL$902*('Assumptions (Solar)'!$AJ$20*'Assumptions (Solar)'!$AJ$2+'Assumptions (Solar)'!$AJ$21*'Assumptions (Solar)'!$AJ$3)/10^9,0)</f>
        <v>0.1793231642</v>
      </c>
      <c r="AP1098" s="177">
        <f>IF($AL$902&gt;0,'Assumptions (Solar)'!Z14*Model!$AL$902*('Assumptions (Solar)'!$AJ$20*'Assumptions (Solar)'!$AJ$2+'Assumptions (Solar)'!$AJ$21*'Assumptions (Solar)'!$AJ$3)/10^9,0)</f>
        <v>0.1793231642</v>
      </c>
      <c r="AQ1098" s="177">
        <f>IF($AL$902&gt;0,'Assumptions (Solar)'!AA14*Model!$AL$902*('Assumptions (Solar)'!$AJ$20*'Assumptions (Solar)'!$AJ$2+'Assumptions (Solar)'!$AJ$21*'Assumptions (Solar)'!$AJ$3)/10^9,0)</f>
        <v>0.08966158211</v>
      </c>
      <c r="AR1098" s="177"/>
      <c r="AS1098" s="177"/>
      <c r="AT1098" s="177"/>
      <c r="AU1098" s="177"/>
      <c r="AV1098" s="177"/>
      <c r="AW1098" s="177"/>
      <c r="AX1098" s="177"/>
      <c r="AY1098" s="177"/>
      <c r="AZ1098" s="177"/>
      <c r="BA1098" s="177"/>
      <c r="BB1098" s="177"/>
      <c r="BC1098" s="177"/>
      <c r="BD1098" s="177"/>
      <c r="BE1098" s="177"/>
      <c r="BF1098" s="177"/>
    </row>
    <row r="1099" ht="15.75" hidden="1" customHeight="1" outlineLevel="1">
      <c r="A1099" s="255"/>
      <c r="B1099" s="38"/>
      <c r="C1099" s="174"/>
      <c r="D1099" s="174"/>
      <c r="E1099" s="174"/>
      <c r="F1099" s="174"/>
      <c r="G1099" s="174"/>
      <c r="H1099" s="174"/>
      <c r="I1099" s="174"/>
      <c r="J1099" s="174"/>
      <c r="K1099" s="174"/>
      <c r="L1099" s="174"/>
      <c r="M1099" s="174"/>
      <c r="N1099" s="174"/>
      <c r="O1099" s="174"/>
      <c r="P1099" s="174"/>
      <c r="Q1099" s="174"/>
      <c r="R1099" s="174"/>
      <c r="S1099" s="174"/>
      <c r="T1099" s="174"/>
      <c r="U1099" s="174"/>
      <c r="V1099" s="174"/>
      <c r="W1099" s="160"/>
      <c r="X1099" s="160"/>
      <c r="Y1099" s="160"/>
      <c r="Z1099" s="160"/>
      <c r="AA1099" s="160"/>
      <c r="AB1099" s="160"/>
      <c r="AC1099" s="160"/>
      <c r="AD1099" s="160"/>
      <c r="AE1099" s="160"/>
      <c r="AF1099" s="160"/>
      <c r="AG1099" s="160"/>
      <c r="AH1099" s="160"/>
      <c r="AI1099" s="160"/>
      <c r="AJ1099" s="179"/>
      <c r="AK1099" s="160"/>
      <c r="AL1099" s="177"/>
      <c r="AM1099" s="160">
        <f>IF($AM$902&gt;0,'Assumptions (Solar)'!V14*Model!$AM$902*('Assumptions (Solar)'!$AK$20*'Assumptions (Solar)'!$AK$2+'Assumptions (Solar)'!$AK$21*'Assumptions (Solar)'!$AK$3)/10^9,0)</f>
        <v>0.3158944288</v>
      </c>
      <c r="AN1099" s="160">
        <f>IF($AM$902&gt;0,'Assumptions (Solar)'!W14*Model!$AM$902*('Assumptions (Solar)'!$AK$20*'Assumptions (Solar)'!$AK$2+'Assumptions (Solar)'!$AK$21*'Assumptions (Solar)'!$AK$3)/10^9,0)</f>
        <v>0.5054310861</v>
      </c>
      <c r="AO1099" s="160">
        <f>IF($AM$902&gt;0,'Assumptions (Solar)'!X14*Model!$AM$902*('Assumptions (Solar)'!$AK$20*'Assumptions (Solar)'!$AK$2+'Assumptions (Solar)'!$AK$21*'Assumptions (Solar)'!$AK$3)/10^9,0)</f>
        <v>0.3032586517</v>
      </c>
      <c r="AP1099" s="160">
        <f>IF($AM$902&gt;0,'Assumptions (Solar)'!Y14*Model!$AM$902*('Assumptions (Solar)'!$AK$20*'Assumptions (Solar)'!$AK$2+'Assumptions (Solar)'!$AK$21*'Assumptions (Solar)'!$AK$3)/10^9,0)</f>
        <v>0.181955191</v>
      </c>
      <c r="AQ1099" s="160">
        <f>IF($AM$902&gt;0,'Assumptions (Solar)'!Z14*Model!$AM$902*('Assumptions (Solar)'!$AK$20*'Assumptions (Solar)'!$AK$2+'Assumptions (Solar)'!$AK$21*'Assumptions (Solar)'!$AK$3)/10^9,0)</f>
        <v>0.181955191</v>
      </c>
      <c r="AR1099" s="160">
        <f>IF($AM$902&gt;0,'Assumptions (Solar)'!AA14*Model!$AM$902*('Assumptions (Solar)'!$AK$20*'Assumptions (Solar)'!$AK$2+'Assumptions (Solar)'!$AK$21*'Assumptions (Solar)'!$AK$3)/10^9,0)</f>
        <v>0.0909775955</v>
      </c>
      <c r="AS1099" s="160"/>
      <c r="AT1099" s="160"/>
      <c r="AU1099" s="160"/>
      <c r="AV1099" s="160"/>
      <c r="AW1099" s="160"/>
      <c r="AX1099" s="160"/>
      <c r="AY1099" s="160"/>
      <c r="AZ1099" s="160"/>
      <c r="BA1099" s="160"/>
      <c r="BB1099" s="160"/>
      <c r="BC1099" s="160"/>
      <c r="BD1099" s="160"/>
      <c r="BE1099" s="160"/>
      <c r="BF1099" s="160"/>
    </row>
    <row r="1100" ht="15.75" hidden="1" customHeight="1" outlineLevel="1">
      <c r="A1100" s="255"/>
      <c r="B1100" s="38"/>
      <c r="C1100" s="174"/>
      <c r="D1100" s="174"/>
      <c r="E1100" s="174"/>
      <c r="F1100" s="174"/>
      <c r="G1100" s="174"/>
      <c r="H1100" s="174"/>
      <c r="I1100" s="174"/>
      <c r="J1100" s="174"/>
      <c r="K1100" s="174"/>
      <c r="L1100" s="174"/>
      <c r="M1100" s="174"/>
      <c r="N1100" s="174"/>
      <c r="O1100" s="174"/>
      <c r="P1100" s="174"/>
      <c r="Q1100" s="174"/>
      <c r="R1100" s="174"/>
      <c r="S1100" s="174"/>
      <c r="T1100" s="174"/>
      <c r="U1100" s="174"/>
      <c r="V1100" s="174"/>
      <c r="W1100" s="160"/>
      <c r="X1100" s="160"/>
      <c r="Y1100" s="160"/>
      <c r="Z1100" s="160"/>
      <c r="AA1100" s="160"/>
      <c r="AB1100" s="160"/>
      <c r="AC1100" s="160"/>
      <c r="AD1100" s="160"/>
      <c r="AE1100" s="160"/>
      <c r="AF1100" s="160"/>
      <c r="AG1100" s="160"/>
      <c r="AH1100" s="160"/>
      <c r="AI1100" s="160"/>
      <c r="AJ1100" s="179"/>
      <c r="AK1100" s="160"/>
      <c r="AL1100" s="177"/>
      <c r="AM1100" s="177"/>
      <c r="AN1100" s="160">
        <f>IF($AN$902&gt;0,'Assumptions (Solar)'!V14*Model!$AN$902*('Assumptions (Solar)'!$AL$20*'Assumptions (Solar)'!$AL$2+'Assumptions (Solar)'!$AL$21*'Assumptions (Solar)'!$AL$3)/10^9,0)</f>
        <v>0.3235194612</v>
      </c>
      <c r="AO1100" s="160">
        <f>IF($AN$902&gt;0,'Assumptions (Solar)'!W14*Model!$AN$902*('Assumptions (Solar)'!$AL$20*'Assumptions (Solar)'!$AL$2+'Assumptions (Solar)'!$AL$21*'Assumptions (Solar)'!$AL$3)/10^9,0)</f>
        <v>0.5176311379</v>
      </c>
      <c r="AP1100" s="160">
        <f>IF($AN$902&gt;0,'Assumptions (Solar)'!X14*Model!$AN$902*('Assumptions (Solar)'!$AL$20*'Assumptions (Solar)'!$AL$2+'Assumptions (Solar)'!$AL$21*'Assumptions (Solar)'!$AL$3)/10^9,0)</f>
        <v>0.3105786827</v>
      </c>
      <c r="AQ1100" s="160">
        <f>IF($AN$902&gt;0,'Assumptions (Solar)'!Y14*Model!$AN$902*('Assumptions (Solar)'!$AL$20*'Assumptions (Solar)'!$AL$2+'Assumptions (Solar)'!$AL$21*'Assumptions (Solar)'!$AL$3)/10^9,0)</f>
        <v>0.1863472096</v>
      </c>
      <c r="AR1100" s="160">
        <f>IF($AN$902&gt;0,'Assumptions (Solar)'!Z14*Model!$AN$902*('Assumptions (Solar)'!$AL$20*'Assumptions (Solar)'!$AL$2+'Assumptions (Solar)'!$AL$21*'Assumptions (Solar)'!$AL$3)/10^9,0)</f>
        <v>0.1863472096</v>
      </c>
      <c r="AS1100" s="160">
        <f>IF($AN$902&gt;0,'Assumptions (Solar)'!AA14*Model!$AN$902*('Assumptions (Solar)'!$AL$20*'Assumptions (Solar)'!$AL$2+'Assumptions (Solar)'!$AL$21*'Assumptions (Solar)'!$AL$3)/10^9,0)</f>
        <v>0.09317360482</v>
      </c>
      <c r="AT1100" s="160"/>
      <c r="AU1100" s="160"/>
      <c r="AV1100" s="160"/>
      <c r="AW1100" s="160"/>
      <c r="AX1100" s="160"/>
      <c r="AY1100" s="160"/>
      <c r="AZ1100" s="160"/>
      <c r="BA1100" s="160"/>
      <c r="BB1100" s="160"/>
      <c r="BC1100" s="160"/>
      <c r="BD1100" s="160"/>
      <c r="BE1100" s="160"/>
      <c r="BF1100" s="160"/>
    </row>
    <row r="1101" ht="15.75" hidden="1" customHeight="1" outlineLevel="1">
      <c r="A1101" s="255"/>
      <c r="B1101" s="38"/>
      <c r="C1101" s="174"/>
      <c r="D1101" s="174"/>
      <c r="E1101" s="174"/>
      <c r="F1101" s="174"/>
      <c r="G1101" s="174"/>
      <c r="H1101" s="174"/>
      <c r="I1101" s="174"/>
      <c r="J1101" s="174"/>
      <c r="K1101" s="174"/>
      <c r="L1101" s="174"/>
      <c r="M1101" s="174"/>
      <c r="N1101" s="174"/>
      <c r="O1101" s="174"/>
      <c r="P1101" s="174"/>
      <c r="Q1101" s="174"/>
      <c r="R1101" s="174"/>
      <c r="S1101" s="174"/>
      <c r="T1101" s="174"/>
      <c r="U1101" s="174"/>
      <c r="V1101" s="174"/>
      <c r="W1101" s="160"/>
      <c r="X1101" s="160"/>
      <c r="Y1101" s="160"/>
      <c r="Z1101" s="160"/>
      <c r="AA1101" s="160"/>
      <c r="AB1101" s="160"/>
      <c r="AC1101" s="160"/>
      <c r="AD1101" s="160"/>
      <c r="AE1101" s="160"/>
      <c r="AF1101" s="160"/>
      <c r="AG1101" s="160"/>
      <c r="AH1101" s="160"/>
      <c r="AI1101" s="160"/>
      <c r="AJ1101" s="179"/>
      <c r="AK1101" s="160"/>
      <c r="AL1101" s="177"/>
      <c r="AM1101" s="177"/>
      <c r="AN1101" s="177"/>
      <c r="AO1101" s="160">
        <f>IF($AO$902&gt;0,'Assumptions (Solar)'!V14*Model!$AO$902*('Assumptions (Solar)'!$AM$20*'Assumptions (Solar)'!$AM$2+'Assumptions (Solar)'!$AM$21*'Assumptions (Solar)'!$AM$3)/10^9,0)</f>
        <v>0.3457615565</v>
      </c>
      <c r="AP1101" s="160">
        <f>IF($AO$902&gt;0,'Assumptions (Solar)'!W14*Model!$AO$902*('Assumptions (Solar)'!$AM$20*'Assumptions (Solar)'!$AM$2+'Assumptions (Solar)'!$AM$21*'Assumptions (Solar)'!$AM$3)/10^9,0)</f>
        <v>0.5532184904</v>
      </c>
      <c r="AQ1101" s="160">
        <f>IF($AO$902&gt;0,'Assumptions (Solar)'!X14*Model!$AO$902*('Assumptions (Solar)'!$AM$20*'Assumptions (Solar)'!$AM$2+'Assumptions (Solar)'!$AM$21*'Assumptions (Solar)'!$AM$3)/10^9,0)</f>
        <v>0.3319310942</v>
      </c>
      <c r="AR1101" s="160">
        <f>IF($AO$902&gt;0,'Assumptions (Solar)'!Y14*Model!$AO$902*('Assumptions (Solar)'!$AM$20*'Assumptions (Solar)'!$AM$2+'Assumptions (Solar)'!$AM$21*'Assumptions (Solar)'!$AM$3)/10^9,0)</f>
        <v>0.1991586565</v>
      </c>
      <c r="AS1101" s="160">
        <f>IF($AO$902&gt;0,'Assumptions (Solar)'!Z14*Model!$AO$902*('Assumptions (Solar)'!$AM$20*'Assumptions (Solar)'!$AM$2+'Assumptions (Solar)'!$AM$21*'Assumptions (Solar)'!$AM$3)/10^9,0)</f>
        <v>0.1991586565</v>
      </c>
      <c r="AT1101" s="160">
        <f>IF($AO$902&gt;0,'Assumptions (Solar)'!AA14*Model!$AO$902*('Assumptions (Solar)'!$AM$20*'Assumptions (Solar)'!$AM$2+'Assumptions (Solar)'!$AM$21*'Assumptions (Solar)'!$AM$3)/10^9,0)</f>
        <v>0.09957932827</v>
      </c>
      <c r="AU1101" s="160"/>
      <c r="AV1101" s="160"/>
      <c r="AW1101" s="160"/>
      <c r="AX1101" s="160"/>
      <c r="AY1101" s="160"/>
      <c r="AZ1101" s="160"/>
      <c r="BA1101" s="160"/>
      <c r="BB1101" s="160"/>
      <c r="BC1101" s="160"/>
      <c r="BD1101" s="160"/>
      <c r="BE1101" s="160"/>
      <c r="BF1101" s="160"/>
    </row>
    <row r="1102" ht="15.75" hidden="1" customHeight="1" outlineLevel="1">
      <c r="A1102" s="255"/>
      <c r="B1102" s="38"/>
      <c r="C1102" s="174"/>
      <c r="D1102" s="174"/>
      <c r="E1102" s="174"/>
      <c r="F1102" s="174"/>
      <c r="G1102" s="174"/>
      <c r="H1102" s="174"/>
      <c r="I1102" s="174"/>
      <c r="J1102" s="174"/>
      <c r="K1102" s="174"/>
      <c r="L1102" s="174"/>
      <c r="M1102" s="174"/>
      <c r="N1102" s="174"/>
      <c r="O1102" s="174"/>
      <c r="P1102" s="174"/>
      <c r="Q1102" s="174"/>
      <c r="R1102" s="174"/>
      <c r="S1102" s="174"/>
      <c r="T1102" s="174"/>
      <c r="U1102" s="174"/>
      <c r="V1102" s="174"/>
      <c r="W1102" s="160"/>
      <c r="X1102" s="160"/>
      <c r="Y1102" s="160"/>
      <c r="Z1102" s="160"/>
      <c r="AA1102" s="160"/>
      <c r="AB1102" s="160"/>
      <c r="AC1102" s="160"/>
      <c r="AD1102" s="160"/>
      <c r="AE1102" s="160"/>
      <c r="AF1102" s="160"/>
      <c r="AG1102" s="160"/>
      <c r="AH1102" s="160"/>
      <c r="AI1102" s="160"/>
      <c r="AJ1102" s="179"/>
      <c r="AK1102" s="160"/>
      <c r="AL1102" s="177"/>
      <c r="AM1102" s="177"/>
      <c r="AN1102" s="177"/>
      <c r="AO1102" s="160"/>
      <c r="AP1102" s="160">
        <f>IF($AP$902&gt;0,'Assumptions (Solar)'!V14*Model!$AP$902*('Assumptions (Solar)'!$AN$20*'Assumptions (Solar)'!$AN$2+'Assumptions (Solar)'!$AN$21*'Assumptions (Solar)'!$AN$3)/10^9,0)</f>
        <v>0.3884221179</v>
      </c>
      <c r="AQ1102" s="160">
        <f>IF($AP$902&gt;0,'Assumptions (Solar)'!W14*Model!$AP$902*('Assumptions (Solar)'!$AN$20*'Assumptions (Solar)'!$AN$2+'Assumptions (Solar)'!$AN$21*'Assumptions (Solar)'!$AN$3)/10^9,0)</f>
        <v>0.6214753887</v>
      </c>
      <c r="AR1102" s="160">
        <f>IF($AP$902&gt;0,'Assumptions (Solar)'!X14*Model!$AP$902*('Assumptions (Solar)'!$AN$20*'Assumptions (Solar)'!$AN$2+'Assumptions (Solar)'!$AN$21*'Assumptions (Solar)'!$AN$3)/10^9,0)</f>
        <v>0.3728852332</v>
      </c>
      <c r="AS1102" s="160">
        <f>IF($AP$902&gt;0,'Assumptions (Solar)'!Y14*Model!$AP$902*('Assumptions (Solar)'!$AN$20*'Assumptions (Solar)'!$AN$2+'Assumptions (Solar)'!$AN$21*'Assumptions (Solar)'!$AN$3)/10^9,0)</f>
        <v>0.2237311399</v>
      </c>
      <c r="AT1102" s="160">
        <f>IF($AP$902&gt;0,'Assumptions (Solar)'!Z14*Model!$AP$902*('Assumptions (Solar)'!$AN$20*'Assumptions (Solar)'!$AN$2+'Assumptions (Solar)'!$AN$21*'Assumptions (Solar)'!$AN$3)/10^9,0)</f>
        <v>0.2237311399</v>
      </c>
      <c r="AU1102" s="160">
        <f>IF($AP$902&gt;0,'Assumptions (Solar)'!AA14*Model!$AP$902*('Assumptions (Solar)'!$AN$20*'Assumptions (Solar)'!$AN$2+'Assumptions (Solar)'!$AN$21*'Assumptions (Solar)'!$AN$3)/10^9,0)</f>
        <v>0.11186557</v>
      </c>
      <c r="AV1102" s="160"/>
      <c r="AW1102" s="160"/>
      <c r="AX1102" s="160"/>
      <c r="AY1102" s="160"/>
      <c r="AZ1102" s="160"/>
      <c r="BA1102" s="160"/>
      <c r="BB1102" s="160"/>
      <c r="BC1102" s="160"/>
      <c r="BD1102" s="160"/>
      <c r="BE1102" s="160"/>
      <c r="BF1102" s="160"/>
    </row>
    <row r="1103" ht="15.75" hidden="1" customHeight="1" outlineLevel="1">
      <c r="A1103" s="255"/>
      <c r="B1103" s="38"/>
      <c r="C1103" s="174"/>
      <c r="D1103" s="174"/>
      <c r="E1103" s="174"/>
      <c r="F1103" s="174"/>
      <c r="G1103" s="174"/>
      <c r="H1103" s="174"/>
      <c r="I1103" s="174"/>
      <c r="J1103" s="174"/>
      <c r="K1103" s="174"/>
      <c r="L1103" s="174"/>
      <c r="M1103" s="174"/>
      <c r="N1103" s="174"/>
      <c r="O1103" s="174"/>
      <c r="P1103" s="174"/>
      <c r="Q1103" s="174"/>
      <c r="R1103" s="174"/>
      <c r="S1103" s="174"/>
      <c r="T1103" s="174"/>
      <c r="U1103" s="174"/>
      <c r="V1103" s="174"/>
      <c r="W1103" s="160"/>
      <c r="X1103" s="160"/>
      <c r="Y1103" s="160"/>
      <c r="Z1103" s="160"/>
      <c r="AA1103" s="160"/>
      <c r="AB1103" s="160"/>
      <c r="AC1103" s="160"/>
      <c r="AD1103" s="160"/>
      <c r="AE1103" s="160"/>
      <c r="AF1103" s="160"/>
      <c r="AG1103" s="160"/>
      <c r="AH1103" s="160"/>
      <c r="AI1103" s="160"/>
      <c r="AJ1103" s="179"/>
      <c r="AK1103" s="160"/>
      <c r="AL1103" s="177"/>
      <c r="AM1103" s="177"/>
      <c r="AN1103" s="177"/>
      <c r="AO1103" s="160"/>
      <c r="AP1103" s="160"/>
      <c r="AQ1103" s="160">
        <f>IF($AQ$902&gt;0,'Assumptions (Solar)'!V14*Model!$AQ$902*('Assumptions (Solar)'!$AO$20*'Assumptions (Solar)'!$AO$2+'Assumptions (Solar)'!$AO$21*'Assumptions (Solar)'!$AO$3)/10^9,0)</f>
        <v>0.4215463701</v>
      </c>
      <c r="AR1103" s="160">
        <f>IF($AQ$902&gt;0,'Assumptions (Solar)'!W14*Model!$AQ$902*('Assumptions (Solar)'!$AO$20*'Assumptions (Solar)'!$AO$2+'Assumptions (Solar)'!$AO$21*'Assumptions (Solar)'!$AO$3)/10^9,0)</f>
        <v>0.6744741921</v>
      </c>
      <c r="AS1103" s="160">
        <f>IF($AQ$902&gt;0,'Assumptions (Solar)'!X14*Model!$AQ$902*('Assumptions (Solar)'!$AO$20*'Assumptions (Solar)'!$AO$2+'Assumptions (Solar)'!$AO$21*'Assumptions (Solar)'!$AO$3)/10^9,0)</f>
        <v>0.4046845153</v>
      </c>
      <c r="AT1103" s="160">
        <f>IF($AQ$902&gt;0,'Assumptions (Solar)'!Y14*Model!$AQ$902*('Assumptions (Solar)'!$AO$20*'Assumptions (Solar)'!$AO$2+'Assumptions (Solar)'!$AO$21*'Assumptions (Solar)'!$AO$3)/10^9,0)</f>
        <v>0.2428107092</v>
      </c>
      <c r="AU1103" s="160">
        <f>IF($AQ$902&gt;0,'Assumptions (Solar)'!Z14*Model!$AQ$902*('Assumptions (Solar)'!$AO$20*'Assumptions (Solar)'!$AO$2+'Assumptions (Solar)'!$AO$21*'Assumptions (Solar)'!$AO$3)/10^9,0)</f>
        <v>0.2428107092</v>
      </c>
      <c r="AV1103" s="160">
        <f>IF($AQ$902&gt;0,'Assumptions (Solar)'!AA14*Model!$AQ$902*('Assumptions (Solar)'!$AO$20*'Assumptions (Solar)'!$AO$2+'Assumptions (Solar)'!$AO$21*'Assumptions (Solar)'!$AO$3)/10^9,0)</f>
        <v>0.1214053546</v>
      </c>
      <c r="AW1103" s="160"/>
      <c r="AX1103" s="160"/>
      <c r="AY1103" s="160"/>
      <c r="AZ1103" s="160"/>
      <c r="BA1103" s="160"/>
      <c r="BB1103" s="160"/>
      <c r="BC1103" s="160"/>
      <c r="BD1103" s="160"/>
      <c r="BE1103" s="160"/>
      <c r="BF1103" s="160"/>
    </row>
    <row r="1104" ht="15.75" hidden="1" customHeight="1" outlineLevel="1">
      <c r="A1104" s="255"/>
      <c r="B1104" s="38"/>
      <c r="C1104" s="174"/>
      <c r="D1104" s="174"/>
      <c r="E1104" s="174"/>
      <c r="F1104" s="174"/>
      <c r="G1104" s="174"/>
      <c r="H1104" s="174"/>
      <c r="I1104" s="174"/>
      <c r="J1104" s="174"/>
      <c r="K1104" s="174"/>
      <c r="L1104" s="174"/>
      <c r="M1104" s="174"/>
      <c r="N1104" s="174"/>
      <c r="O1104" s="174"/>
      <c r="P1104" s="174"/>
      <c r="Q1104" s="174"/>
      <c r="R1104" s="174"/>
      <c r="S1104" s="174"/>
      <c r="T1104" s="174"/>
      <c r="U1104" s="174"/>
      <c r="V1104" s="174"/>
      <c r="W1104" s="160"/>
      <c r="X1104" s="160"/>
      <c r="Y1104" s="160"/>
      <c r="Z1104" s="160"/>
      <c r="AA1104" s="160"/>
      <c r="AB1104" s="160"/>
      <c r="AC1104" s="160"/>
      <c r="AD1104" s="160"/>
      <c r="AE1104" s="160"/>
      <c r="AF1104" s="160"/>
      <c r="AG1104" s="160"/>
      <c r="AH1104" s="160"/>
      <c r="AI1104" s="160"/>
      <c r="AJ1104" s="179"/>
      <c r="AK1104" s="160"/>
      <c r="AL1104" s="177"/>
      <c r="AM1104" s="177"/>
      <c r="AN1104" s="177"/>
      <c r="AO1104" s="160"/>
      <c r="AP1104" s="160"/>
      <c r="AQ1104" s="160"/>
      <c r="AR1104" s="160">
        <f>IF($AR$902&gt;0,'Assumptions (Solar)'!V14*Model!$AR$902*('Assumptions (Solar)'!$AP$20*'Assumptions (Solar)'!$AP$2+'Assumptions (Solar)'!$AP$21*'Assumptions (Solar)'!$AP$3)/10^9,0)</f>
        <v>0.5842728386</v>
      </c>
      <c r="AS1104" s="160">
        <f>IF($AR$902&gt;0,'Assumptions (Solar)'!W14*Model!$AR$902*('Assumptions (Solar)'!$AP$20*'Assumptions (Solar)'!$AP$2+'Assumptions (Solar)'!$AP$21*'Assumptions (Solar)'!$AP$3)/10^9,0)</f>
        <v>0.9348365418</v>
      </c>
      <c r="AT1104" s="160">
        <f>IF($AR$902&gt;0,'Assumptions (Solar)'!X14*Model!$AR$902*('Assumptions (Solar)'!$AP$20*'Assumptions (Solar)'!$AP$2+'Assumptions (Solar)'!$AP$21*'Assumptions (Solar)'!$AP$3)/10^9,0)</f>
        <v>0.5609019251</v>
      </c>
      <c r="AU1104" s="160">
        <f>IF($AR$902&gt;0,'Assumptions (Solar)'!Y14*Model!$AR$902*('Assumptions (Solar)'!$AP$20*'Assumptions (Solar)'!$AP$2+'Assumptions (Solar)'!$AP$21*'Assumptions (Solar)'!$AP$3)/10^9,0)</f>
        <v>0.3365411551</v>
      </c>
      <c r="AV1104" s="160">
        <f>IF($AR$902&gt;0,'Assumptions (Solar)'!Z14*Model!$AR$902*('Assumptions (Solar)'!$AP$20*'Assumptions (Solar)'!$AP$2+'Assumptions (Solar)'!$AP$21*'Assumptions (Solar)'!$AP$3)/10^9,0)</f>
        <v>0.3365411551</v>
      </c>
      <c r="AW1104" s="160">
        <f>IF($AR$902&gt;0,'Assumptions (Solar)'!AA14*Model!$AR$902*('Assumptions (Solar)'!$AP$20*'Assumptions (Solar)'!$AP$2+'Assumptions (Solar)'!$AP$21*'Assumptions (Solar)'!$AP$3)/10^9,0)</f>
        <v>0.1682705775</v>
      </c>
      <c r="AX1104" s="160"/>
      <c r="AY1104" s="160"/>
      <c r="AZ1104" s="160"/>
      <c r="BA1104" s="160"/>
      <c r="BB1104" s="160"/>
      <c r="BC1104" s="160"/>
      <c r="BD1104" s="160"/>
      <c r="BE1104" s="160"/>
      <c r="BF1104" s="160"/>
    </row>
    <row r="1105" ht="15.75" hidden="1" customHeight="1" outlineLevel="1">
      <c r="A1105" s="255"/>
      <c r="B1105" s="38"/>
      <c r="C1105" s="174"/>
      <c r="D1105" s="174"/>
      <c r="E1105" s="174"/>
      <c r="F1105" s="174"/>
      <c r="G1105" s="174"/>
      <c r="H1105" s="174"/>
      <c r="I1105" s="174"/>
      <c r="J1105" s="174"/>
      <c r="K1105" s="174"/>
      <c r="L1105" s="174"/>
      <c r="M1105" s="174"/>
      <c r="N1105" s="174"/>
      <c r="O1105" s="174"/>
      <c r="P1105" s="174"/>
      <c r="Q1105" s="174"/>
      <c r="R1105" s="174"/>
      <c r="S1105" s="174"/>
      <c r="T1105" s="174"/>
      <c r="U1105" s="174"/>
      <c r="V1105" s="174"/>
      <c r="W1105" s="160"/>
      <c r="X1105" s="160"/>
      <c r="Y1105" s="160"/>
      <c r="Z1105" s="160"/>
      <c r="AA1105" s="160"/>
      <c r="AB1105" s="160"/>
      <c r="AC1105" s="160"/>
      <c r="AD1105" s="160"/>
      <c r="AE1105" s="160"/>
      <c r="AF1105" s="160"/>
      <c r="AG1105" s="160"/>
      <c r="AH1105" s="160"/>
      <c r="AI1105" s="160"/>
      <c r="AJ1105" s="179"/>
      <c r="AK1105" s="160"/>
      <c r="AL1105" s="177"/>
      <c r="AM1105" s="177"/>
      <c r="AN1105" s="177"/>
      <c r="AO1105" s="160"/>
      <c r="AP1105" s="160"/>
      <c r="AQ1105" s="160"/>
      <c r="AR1105" s="160"/>
      <c r="AS1105" s="160">
        <f>IF($AS$902&gt;0,'Assumptions (Solar)'!V14*Model!$AS$902*('Assumptions (Solar)'!$AQ$20*'Assumptions (Solar)'!$AQ$2+'Assumptions (Solar)'!$AQ$21*'Assumptions (Solar)'!$AQ$3)/10^9,0)</f>
        <v>0.7229682208</v>
      </c>
      <c r="AT1105" s="160">
        <f>IF($AS$902&gt;0,'Assumptions (Solar)'!W14*Model!$AS$902*('Assumptions (Solar)'!$AQ$20*'Assumptions (Solar)'!$AQ$2+'Assumptions (Solar)'!$AQ$21*'Assumptions (Solar)'!$AQ$3)/10^9,0)</f>
        <v>1.156749153</v>
      </c>
      <c r="AU1105" s="160">
        <f>IF($AS$902&gt;0,'Assumptions (Solar)'!X14*Model!$AS$902*('Assumptions (Solar)'!$AQ$20*'Assumptions (Solar)'!$AQ$2+'Assumptions (Solar)'!$AQ$21*'Assumptions (Solar)'!$AQ$3)/10^9,0)</f>
        <v>0.6940494919</v>
      </c>
      <c r="AV1105" s="160">
        <f>IF($AS$902&gt;0,'Assumptions (Solar)'!Y14*Model!$AS$902*('Assumptions (Solar)'!$AQ$20*'Assumptions (Solar)'!$AQ$2+'Assumptions (Solar)'!$AQ$21*'Assumptions (Solar)'!$AQ$3)/10^9,0)</f>
        <v>0.4164296952</v>
      </c>
      <c r="AW1105" s="160">
        <f>IF($AS$902&gt;0,'Assumptions (Solar)'!Z14*Model!$AS$902*('Assumptions (Solar)'!$AQ$20*'Assumptions (Solar)'!$AQ$2+'Assumptions (Solar)'!$AQ$21*'Assumptions (Solar)'!$AQ$3)/10^9,0)</f>
        <v>0.4164296952</v>
      </c>
      <c r="AX1105" s="160">
        <f>IF($AS$902&gt;0,'Assumptions (Solar)'!AA14*Model!$AS$902*('Assumptions (Solar)'!$AQ$20*'Assumptions (Solar)'!$AQ$2+'Assumptions (Solar)'!$AQ$21*'Assumptions (Solar)'!$AQ$3)/10^9,0)</f>
        <v>0.2082148476</v>
      </c>
      <c r="AY1105" s="160"/>
      <c r="AZ1105" s="160"/>
      <c r="BA1105" s="160"/>
      <c r="BB1105" s="160"/>
      <c r="BC1105" s="160"/>
      <c r="BD1105" s="160"/>
      <c r="BE1105" s="160"/>
      <c r="BF1105" s="160"/>
    </row>
    <row r="1106" ht="15.75" hidden="1" customHeight="1" outlineLevel="1">
      <c r="A1106" s="255"/>
      <c r="B1106" s="38"/>
      <c r="C1106" s="174"/>
      <c r="D1106" s="174"/>
      <c r="E1106" s="174"/>
      <c r="F1106" s="174"/>
      <c r="G1106" s="174"/>
      <c r="H1106" s="174"/>
      <c r="I1106" s="174"/>
      <c r="J1106" s="174"/>
      <c r="K1106" s="174"/>
      <c r="L1106" s="174"/>
      <c r="M1106" s="174"/>
      <c r="N1106" s="174"/>
      <c r="O1106" s="174"/>
      <c r="P1106" s="174"/>
      <c r="Q1106" s="174"/>
      <c r="R1106" s="174"/>
      <c r="S1106" s="174"/>
      <c r="T1106" s="174"/>
      <c r="U1106" s="174"/>
      <c r="V1106" s="174"/>
      <c r="W1106" s="160"/>
      <c r="X1106" s="160"/>
      <c r="Y1106" s="160"/>
      <c r="Z1106" s="160"/>
      <c r="AA1106" s="160"/>
      <c r="AB1106" s="160"/>
      <c r="AC1106" s="160"/>
      <c r="AD1106" s="160"/>
      <c r="AE1106" s="160"/>
      <c r="AF1106" s="160"/>
      <c r="AG1106" s="160"/>
      <c r="AH1106" s="160"/>
      <c r="AI1106" s="160"/>
      <c r="AJ1106" s="179"/>
      <c r="AK1106" s="160"/>
      <c r="AL1106" s="177"/>
      <c r="AM1106" s="177"/>
      <c r="AN1106" s="177"/>
      <c r="AO1106" s="160"/>
      <c r="AP1106" s="160"/>
      <c r="AQ1106" s="160"/>
      <c r="AR1106" s="160"/>
      <c r="AS1106" s="160"/>
      <c r="AT1106" s="160">
        <f>IF($AT$902&gt;0,'Assumptions (Solar)'!V14*Model!$AT$902*('Assumptions (Solar)'!$AR$20*'Assumptions (Solar)'!$AR$2+'Assumptions (Solar)'!$AR$21*'Assumptions (Solar)'!$AR$3)/10^9,0)</f>
        <v>0.6834174214</v>
      </c>
      <c r="AU1106" s="160">
        <f>IF($AT$902&gt;0,'Assumptions (Solar)'!W14*Model!$AT$902*('Assumptions (Solar)'!$AR$20*'Assumptions (Solar)'!$AR$2+'Assumptions (Solar)'!$AR$21*'Assumptions (Solar)'!$AR$3)/10^9,0)</f>
        <v>1.093467874</v>
      </c>
      <c r="AV1106" s="160">
        <f>IF($AT$902&gt;0,'Assumptions (Solar)'!X14*Model!$AT$902*('Assumptions (Solar)'!$AR$20*'Assumptions (Solar)'!$AR$2+'Assumptions (Solar)'!$AR$21*'Assumptions (Solar)'!$AR$3)/10^9,0)</f>
        <v>0.6560807246</v>
      </c>
      <c r="AW1106" s="160">
        <f>IF($AT$902&gt;0,'Assumptions (Solar)'!Y14*Model!$AT$902*('Assumptions (Solar)'!$AR$20*'Assumptions (Solar)'!$AR$2+'Assumptions (Solar)'!$AR$21*'Assumptions (Solar)'!$AR$3)/10^9,0)</f>
        <v>0.3936484347</v>
      </c>
      <c r="AX1106" s="160">
        <f>IF($AT$902&gt;0,'Assumptions (Solar)'!Z14*Model!$AT$902*('Assumptions (Solar)'!$AR$20*'Assumptions (Solar)'!$AR$2+'Assumptions (Solar)'!$AR$21*'Assumptions (Solar)'!$AR$3)/10^9,0)</f>
        <v>0.3936484347</v>
      </c>
      <c r="AY1106" s="160">
        <f>IF($AT$902&gt;0,'Assumptions (Solar)'!AA14*Model!$AT$902*('Assumptions (Solar)'!$AR$20*'Assumptions (Solar)'!$AR$2+'Assumptions (Solar)'!$AR$21*'Assumptions (Solar)'!$AR$3)/10^9,0)</f>
        <v>0.1968242174</v>
      </c>
      <c r="AZ1106" s="160"/>
      <c r="BA1106" s="160"/>
      <c r="BB1106" s="160"/>
      <c r="BC1106" s="160"/>
      <c r="BD1106" s="160"/>
      <c r="BE1106" s="160"/>
      <c r="BF1106" s="160"/>
    </row>
    <row r="1107" ht="15.75" hidden="1" customHeight="1" outlineLevel="1">
      <c r="A1107" s="255"/>
      <c r="B1107" s="38"/>
      <c r="C1107" s="174"/>
      <c r="D1107" s="174"/>
      <c r="E1107" s="174"/>
      <c r="F1107" s="174"/>
      <c r="G1107" s="174"/>
      <c r="H1107" s="174"/>
      <c r="I1107" s="174"/>
      <c r="J1107" s="174"/>
      <c r="K1107" s="174"/>
      <c r="L1107" s="174"/>
      <c r="M1107" s="174"/>
      <c r="N1107" s="174"/>
      <c r="O1107" s="174"/>
      <c r="P1107" s="174"/>
      <c r="Q1107" s="174"/>
      <c r="R1107" s="174"/>
      <c r="S1107" s="174"/>
      <c r="T1107" s="174"/>
      <c r="U1107" s="174"/>
      <c r="V1107" s="174"/>
      <c r="W1107" s="160"/>
      <c r="X1107" s="160"/>
      <c r="Y1107" s="160"/>
      <c r="Z1107" s="160"/>
      <c r="AA1107" s="160"/>
      <c r="AB1107" s="160"/>
      <c r="AC1107" s="160"/>
      <c r="AD1107" s="160"/>
      <c r="AE1107" s="160"/>
      <c r="AF1107" s="160"/>
      <c r="AG1107" s="160"/>
      <c r="AH1107" s="160"/>
      <c r="AI1107" s="160"/>
      <c r="AJ1107" s="179"/>
      <c r="AK1107" s="160"/>
      <c r="AL1107" s="177"/>
      <c r="AM1107" s="177"/>
      <c r="AN1107" s="177"/>
      <c r="AO1107" s="160"/>
      <c r="AP1107" s="160"/>
      <c r="AQ1107" s="160"/>
      <c r="AR1107" s="160"/>
      <c r="AS1107" s="160"/>
      <c r="AT1107" s="160"/>
      <c r="AU1107" s="160">
        <f>IF($AU$902&gt;0,'Assumptions (Solar)'!V14*Model!$AU$902*('Assumptions (Solar)'!$AS$20*'Assumptions (Solar)'!$AS$2+'Assumptions (Solar)'!$AS$21*'Assumptions (Solar)'!$AS$3)/10^9,0)</f>
        <v>0.5508606641</v>
      </c>
      <c r="AV1107" s="160">
        <f>IF($AU$902&gt;0,'Assumptions (Solar)'!W14*Model!$AU$902*('Assumptions (Solar)'!$AS$20*'Assumptions (Solar)'!$AS$2+'Assumptions (Solar)'!$AS$21*'Assumptions (Solar)'!$AS$3)/10^9,0)</f>
        <v>0.8813770625</v>
      </c>
      <c r="AW1107" s="160">
        <f>IF($AU$902&gt;0,'Assumptions (Solar)'!X14*Model!$AU$902*('Assumptions (Solar)'!$AS$20*'Assumptions (Solar)'!$AS$2+'Assumptions (Solar)'!$AS$21*'Assumptions (Solar)'!$AS$3)/10^9,0)</f>
        <v>0.5288262375</v>
      </c>
      <c r="AX1107" s="160">
        <f>IF($AU$902&gt;0,'Assumptions (Solar)'!Y14*Model!$AU$902*('Assumptions (Solar)'!$AS$20*'Assumptions (Solar)'!$AS$2+'Assumptions (Solar)'!$AS$21*'Assumptions (Solar)'!$AS$3)/10^9,0)</f>
        <v>0.3172957425</v>
      </c>
      <c r="AY1107" s="160">
        <f>IF($AU$902&gt;0,'Assumptions (Solar)'!Z14*Model!$AU$902*('Assumptions (Solar)'!$AS$20*'Assumptions (Solar)'!$AS$2+'Assumptions (Solar)'!$AS$21*'Assumptions (Solar)'!$AS$3)/10^9,0)</f>
        <v>0.3172957425</v>
      </c>
      <c r="AZ1107" s="160">
        <f>IF($AU$902&gt;0,'Assumptions (Solar)'!AA14*Model!$AU$902*('Assumptions (Solar)'!$AS$20*'Assumptions (Solar)'!$AS$2+'Assumptions (Solar)'!$AS$21*'Assumptions (Solar)'!$AS$3)/10^9,0)</f>
        <v>0.1586478713</v>
      </c>
      <c r="BA1107" s="160"/>
      <c r="BB1107" s="160"/>
      <c r="BC1107" s="160"/>
      <c r="BD1107" s="160"/>
      <c r="BE1107" s="160"/>
      <c r="BF1107" s="160"/>
    </row>
    <row r="1108" ht="15.75" hidden="1" customHeight="1" outlineLevel="1">
      <c r="A1108" s="255"/>
      <c r="B1108" s="38"/>
      <c r="C1108" s="174"/>
      <c r="D1108" s="174"/>
      <c r="E1108" s="174"/>
      <c r="F1108" s="174"/>
      <c r="G1108" s="174"/>
      <c r="H1108" s="174"/>
      <c r="I1108" s="174"/>
      <c r="J1108" s="174"/>
      <c r="K1108" s="174"/>
      <c r="L1108" s="174"/>
      <c r="M1108" s="174"/>
      <c r="N1108" s="174"/>
      <c r="O1108" s="174"/>
      <c r="P1108" s="174"/>
      <c r="Q1108" s="174"/>
      <c r="R1108" s="174"/>
      <c r="S1108" s="174"/>
      <c r="T1108" s="174"/>
      <c r="U1108" s="174"/>
      <c r="V1108" s="174"/>
      <c r="W1108" s="160"/>
      <c r="X1108" s="160"/>
      <c r="Y1108" s="160"/>
      <c r="Z1108" s="160"/>
      <c r="AA1108" s="160"/>
      <c r="AB1108" s="160"/>
      <c r="AC1108" s="160"/>
      <c r="AD1108" s="160"/>
      <c r="AE1108" s="160"/>
      <c r="AF1108" s="160"/>
      <c r="AG1108" s="160"/>
      <c r="AH1108" s="160"/>
      <c r="AI1108" s="160"/>
      <c r="AJ1108" s="179"/>
      <c r="AK1108" s="160"/>
      <c r="AL1108" s="177"/>
      <c r="AM1108" s="177"/>
      <c r="AN1108" s="177"/>
      <c r="AO1108" s="160"/>
      <c r="AP1108" s="160"/>
      <c r="AQ1108" s="160"/>
      <c r="AR1108" s="160"/>
      <c r="AS1108" s="160"/>
      <c r="AT1108" s="160"/>
      <c r="AU1108" s="160"/>
      <c r="AV1108" s="160">
        <f>IF($AV$902&gt;0,'Assumptions (Solar)'!V14*Model!$AV$902*('Assumptions (Solar)'!$AT$20*'Assumptions (Solar)'!$AT$2+'Assumptions (Solar)'!$AT$21*'Assumptions (Solar)'!$AT$3)/10^9,0)</f>
        <v>0.3425799871</v>
      </c>
      <c r="AW1108" s="160">
        <f>IF($AV$902&gt;0,'Assumptions (Solar)'!W14*Model!$AV$902*('Assumptions (Solar)'!$AT$20*'Assumptions (Solar)'!$AT$2+'Assumptions (Solar)'!$AT$21*'Assumptions (Solar)'!$AT$3)/10^9,0)</f>
        <v>0.5481279794</v>
      </c>
      <c r="AX1108" s="160">
        <f>IF($AV$902&gt;0,'Assumptions (Solar)'!X14*Model!$AV$902*('Assumptions (Solar)'!$AT$20*'Assumptions (Solar)'!$AT$2+'Assumptions (Solar)'!$AT$21*'Assumptions (Solar)'!$AT$3)/10^9,0)</f>
        <v>0.3288767876</v>
      </c>
      <c r="AY1108" s="160">
        <f>IF($AV$902&gt;0,'Assumptions (Solar)'!Y14*Model!$AV$902*('Assumptions (Solar)'!$AT$20*'Assumptions (Solar)'!$AT$2+'Assumptions (Solar)'!$AT$21*'Assumptions (Solar)'!$AT$3)/10^9,0)</f>
        <v>0.1973260726</v>
      </c>
      <c r="AZ1108" s="160">
        <f>IF($AV$902&gt;0,'Assumptions (Solar)'!Z14*Model!$AV$902*('Assumptions (Solar)'!$AT$20*'Assumptions (Solar)'!$AT$2+'Assumptions (Solar)'!$AT$21*'Assumptions (Solar)'!$AT$3)/10^9,0)</f>
        <v>0.1973260726</v>
      </c>
      <c r="BA1108" s="160">
        <f>IF($AV$902&gt;0,'Assumptions (Solar)'!AA14*Model!$AV$902*('Assumptions (Solar)'!$AT$20*'Assumptions (Solar)'!$AT$2+'Assumptions (Solar)'!$AT$21*'Assumptions (Solar)'!$AT$3)/10^9,0)</f>
        <v>0.09866303629</v>
      </c>
      <c r="BB1108" s="160"/>
      <c r="BC1108" s="160"/>
      <c r="BD1108" s="160"/>
      <c r="BE1108" s="160"/>
      <c r="BF1108" s="160"/>
    </row>
    <row r="1109" ht="15.75" hidden="1" customHeight="1" outlineLevel="1">
      <c r="A1109" s="255"/>
      <c r="B1109" s="38"/>
      <c r="C1109" s="174"/>
      <c r="D1109" s="174"/>
      <c r="E1109" s="174"/>
      <c r="F1109" s="174"/>
      <c r="G1109" s="174"/>
      <c r="H1109" s="174"/>
      <c r="I1109" s="174"/>
      <c r="J1109" s="174"/>
      <c r="K1109" s="174"/>
      <c r="L1109" s="174"/>
      <c r="M1109" s="174"/>
      <c r="N1109" s="174"/>
      <c r="O1109" s="174"/>
      <c r="P1109" s="174"/>
      <c r="Q1109" s="174"/>
      <c r="R1109" s="174"/>
      <c r="S1109" s="174"/>
      <c r="T1109" s="174"/>
      <c r="U1109" s="174"/>
      <c r="V1109" s="174"/>
      <c r="W1109" s="160"/>
      <c r="X1109" s="160"/>
      <c r="Y1109" s="160"/>
      <c r="Z1109" s="160"/>
      <c r="AA1109" s="160"/>
      <c r="AB1109" s="160"/>
      <c r="AC1109" s="160"/>
      <c r="AD1109" s="160"/>
      <c r="AE1109" s="160"/>
      <c r="AF1109" s="160"/>
      <c r="AG1109" s="160"/>
      <c r="AH1109" s="160"/>
      <c r="AI1109" s="160"/>
      <c r="AJ1109" s="179"/>
      <c r="AK1109" s="160"/>
      <c r="AL1109" s="177"/>
      <c r="AM1109" s="177"/>
      <c r="AN1109" s="177"/>
      <c r="AO1109" s="160"/>
      <c r="AP1109" s="160"/>
      <c r="AQ1109" s="160"/>
      <c r="AR1109" s="160"/>
      <c r="AS1109" s="160"/>
      <c r="AT1109" s="160"/>
      <c r="AU1109" s="160"/>
      <c r="AV1109" s="160"/>
      <c r="AW1109" s="160">
        <f>IF($AW$902&gt;0,'Assumptions (Solar)'!V14*Model!$AW$902*('Assumptions (Solar)'!$AU$20*'Assumptions (Solar)'!$AU$2+'Assumptions (Solar)'!$AU$21*'Assumptions (Solar)'!$AU$3)/10^9,0)</f>
        <v>0.3459234211</v>
      </c>
      <c r="AX1109" s="160">
        <f>IF($AW$902&gt;0,'Assumptions (Solar)'!W14*Model!$AW$902*('Assumptions (Solar)'!$AU$20*'Assumptions (Solar)'!$AU$2+'Assumptions (Solar)'!$AU$21*'Assumptions (Solar)'!$AU$3)/10^9,0)</f>
        <v>0.5534774738</v>
      </c>
      <c r="AY1109" s="160">
        <f>IF($AW$902&gt;0,'Assumptions (Solar)'!X14*Model!$AW$902*('Assumptions (Solar)'!$AU$20*'Assumptions (Solar)'!$AU$2+'Assumptions (Solar)'!$AU$21*'Assumptions (Solar)'!$AU$3)/10^9,0)</f>
        <v>0.3320864843</v>
      </c>
      <c r="AZ1109" s="160">
        <f>IF($AW$902&gt;0,'Assumptions (Solar)'!Y14*Model!$AW$902*('Assumptions (Solar)'!$AU$20*'Assumptions (Solar)'!$AU$2+'Assumptions (Solar)'!$AU$21*'Assumptions (Solar)'!$AU$3)/10^9,0)</f>
        <v>0.1992518906</v>
      </c>
      <c r="BA1109" s="160">
        <f>IF($AW$902&gt;0,'Assumptions (Solar)'!Z14*Model!$AW$902*('Assumptions (Solar)'!$AU$20*'Assumptions (Solar)'!$AU$2+'Assumptions (Solar)'!$AU$21*'Assumptions (Solar)'!$AU$3)/10^9,0)</f>
        <v>0.1992518906</v>
      </c>
      <c r="BB1109" s="160">
        <f>IF($AW$902&gt;0,'Assumptions (Solar)'!AA14*Model!$AW$902*('Assumptions (Solar)'!$AU$20*'Assumptions (Solar)'!$AU$2+'Assumptions (Solar)'!$AU$21*'Assumptions (Solar)'!$AU$3)/10^9,0)</f>
        <v>0.09962594529</v>
      </c>
      <c r="BC1109" s="160"/>
      <c r="BD1109" s="160"/>
      <c r="BE1109" s="160"/>
      <c r="BF1109" s="160"/>
    </row>
    <row r="1110" ht="15.75" hidden="1" customHeight="1" outlineLevel="1">
      <c r="A1110" s="255"/>
      <c r="B1110" s="38"/>
      <c r="C1110" s="174"/>
      <c r="D1110" s="174"/>
      <c r="E1110" s="174"/>
      <c r="F1110" s="174"/>
      <c r="G1110" s="174"/>
      <c r="H1110" s="174"/>
      <c r="I1110" s="174"/>
      <c r="J1110" s="174"/>
      <c r="K1110" s="174"/>
      <c r="L1110" s="174"/>
      <c r="M1110" s="174"/>
      <c r="N1110" s="174"/>
      <c r="O1110" s="174"/>
      <c r="P1110" s="174"/>
      <c r="Q1110" s="174"/>
      <c r="R1110" s="174"/>
      <c r="S1110" s="174"/>
      <c r="T1110" s="174"/>
      <c r="U1110" s="174"/>
      <c r="V1110" s="174"/>
      <c r="W1110" s="160"/>
      <c r="X1110" s="160"/>
      <c r="Y1110" s="160"/>
      <c r="Z1110" s="160"/>
      <c r="AA1110" s="160"/>
      <c r="AB1110" s="160"/>
      <c r="AC1110" s="160"/>
      <c r="AD1110" s="160"/>
      <c r="AE1110" s="160"/>
      <c r="AF1110" s="160"/>
      <c r="AG1110" s="160"/>
      <c r="AH1110" s="160"/>
      <c r="AI1110" s="160"/>
      <c r="AJ1110" s="179"/>
      <c r="AK1110" s="160"/>
      <c r="AL1110" s="177"/>
      <c r="AM1110" s="177"/>
      <c r="AN1110" s="177"/>
      <c r="AO1110" s="160"/>
      <c r="AP1110" s="160"/>
      <c r="AQ1110" s="160"/>
      <c r="AR1110" s="160"/>
      <c r="AS1110" s="160"/>
      <c r="AT1110" s="160"/>
      <c r="AU1110" s="160"/>
      <c r="AV1110" s="160"/>
      <c r="AW1110" s="160"/>
      <c r="AX1110" s="160">
        <f>IF($AX$902&gt;0,'Assumptions (Solar)'!V14*Model!$AX$902*('Assumptions (Solar)'!$AV$20*'Assumptions (Solar)'!$AV$2+'Assumptions (Solar)'!$AV$21*'Assumptions (Solar)'!$AV$3)/10^9,0)</f>
        <v>0.6985338463</v>
      </c>
      <c r="AY1110" s="160">
        <f>IF($AX$902&gt;0,'Assumptions (Solar)'!W14*Model!$AX$902*('Assumptions (Solar)'!$AV$20*'Assumptions (Solar)'!$AV$2+'Assumptions (Solar)'!$AV$21*'Assumptions (Solar)'!$AV$3)/10^9,0)</f>
        <v>1.117654154</v>
      </c>
      <c r="AZ1110" s="160">
        <f>IF($AX$902&gt;0,'Assumptions (Solar)'!X14*Model!$AX$902*('Assumptions (Solar)'!$AV$20*'Assumptions (Solar)'!$AV$2+'Assumptions (Solar)'!$AV$21*'Assumptions (Solar)'!$AV$3)/10^9,0)</f>
        <v>0.6705924924</v>
      </c>
      <c r="BA1110" s="160">
        <f>IF($AX$902&gt;0,'Assumptions (Solar)'!Y14*Model!$AX$902*('Assumptions (Solar)'!$AV$20*'Assumptions (Solar)'!$AV$2+'Assumptions (Solar)'!$AV$21*'Assumptions (Solar)'!$AV$3)/10^9,0)</f>
        <v>0.4023554955</v>
      </c>
      <c r="BB1110" s="160">
        <f>IF($AX$902&gt;0,'Assumptions (Solar)'!Z14*Model!$AX$902*('Assumptions (Solar)'!$AV$20*'Assumptions (Solar)'!$AV$2+'Assumptions (Solar)'!$AV$21*'Assumptions (Solar)'!$AV$3)/10^9,0)</f>
        <v>0.4023554955</v>
      </c>
      <c r="BC1110" s="160">
        <f>IF($AX$902&gt;0,'Assumptions (Solar)'!AA14*Model!$AX$902*('Assumptions (Solar)'!$AV$20*'Assumptions (Solar)'!$AV$2+'Assumptions (Solar)'!$AV$21*'Assumptions (Solar)'!$AV$3)/10^9,0)</f>
        <v>0.2011777477</v>
      </c>
      <c r="BD1110" s="160"/>
      <c r="BE1110" s="160"/>
      <c r="BF1110" s="160"/>
    </row>
    <row r="1111" ht="15.75" hidden="1" customHeight="1" outlineLevel="1">
      <c r="A1111" s="255"/>
      <c r="B1111" s="38"/>
      <c r="C1111" s="174"/>
      <c r="D1111" s="174"/>
      <c r="E1111" s="174"/>
      <c r="F1111" s="174"/>
      <c r="G1111" s="174"/>
      <c r="H1111" s="174"/>
      <c r="I1111" s="174"/>
      <c r="J1111" s="174"/>
      <c r="K1111" s="174"/>
      <c r="L1111" s="174"/>
      <c r="M1111" s="174"/>
      <c r="N1111" s="174"/>
      <c r="O1111" s="174"/>
      <c r="P1111" s="174"/>
      <c r="Q1111" s="174"/>
      <c r="R1111" s="174"/>
      <c r="S1111" s="174"/>
      <c r="T1111" s="174"/>
      <c r="U1111" s="174"/>
      <c r="V1111" s="174"/>
      <c r="W1111" s="160"/>
      <c r="X1111" s="160"/>
      <c r="Y1111" s="160"/>
      <c r="Z1111" s="160"/>
      <c r="AA1111" s="160"/>
      <c r="AB1111" s="160"/>
      <c r="AC1111" s="160"/>
      <c r="AD1111" s="160"/>
      <c r="AE1111" s="160"/>
      <c r="AF1111" s="160"/>
      <c r="AG1111" s="160"/>
      <c r="AH1111" s="160"/>
      <c r="AI1111" s="160"/>
      <c r="AJ1111" s="179"/>
      <c r="AK1111" s="160"/>
      <c r="AL1111" s="177"/>
      <c r="AM1111" s="177"/>
      <c r="AN1111" s="177"/>
      <c r="AO1111" s="160"/>
      <c r="AP1111" s="160"/>
      <c r="AQ1111" s="160"/>
      <c r="AR1111" s="160"/>
      <c r="AS1111" s="160"/>
      <c r="AT1111" s="160"/>
      <c r="AU1111" s="160"/>
      <c r="AV1111" s="160"/>
      <c r="AW1111" s="160"/>
      <c r="AX1111" s="160"/>
      <c r="AY1111" s="160">
        <f>IF($AY$902&gt;0,'Assumptions (Solar)'!V14*Model!$AY$902*('Assumptions (Solar)'!$AW$20*'Assumptions (Solar)'!$AW$2+'Assumptions (Solar)'!$AW$21*'Assumptions (Solar)'!$AW$3)/10^9,0)</f>
        <v>0.7042265781</v>
      </c>
      <c r="AZ1111" s="160">
        <f>IF($AY$902&gt;0,'Assumptions (Solar)'!W14*Model!$AY$902*('Assumptions (Solar)'!$AW$20*'Assumptions (Solar)'!$AW$2+'Assumptions (Solar)'!$AW$21*'Assumptions (Solar)'!$AW$3)/10^9,0)</f>
        <v>1.126762525</v>
      </c>
      <c r="BA1111" s="160">
        <f>IF($AY$902&gt;0,'Assumptions (Solar)'!X14*Model!$AY$902*('Assumptions (Solar)'!$AW$20*'Assumptions (Solar)'!$AW$2+'Assumptions (Solar)'!$AW$21*'Assumptions (Solar)'!$AW$3)/10^9,0)</f>
        <v>0.676057515</v>
      </c>
      <c r="BB1111" s="160">
        <f>IF($AY$902&gt;0,'Assumptions (Solar)'!Y14*Model!$AY$902*('Assumptions (Solar)'!$AW$20*'Assumptions (Solar)'!$AW$2+'Assumptions (Solar)'!$AW$21*'Assumptions (Solar)'!$AW$3)/10^9,0)</f>
        <v>0.405634509</v>
      </c>
      <c r="BC1111" s="160">
        <f>IF($AY$902&gt;0,'Assumptions (Solar)'!Z14*Model!$AY$902*('Assumptions (Solar)'!$AW$20*'Assumptions (Solar)'!$AW$2+'Assumptions (Solar)'!$AW$21*'Assumptions (Solar)'!$AW$3)/10^9,0)</f>
        <v>0.405634509</v>
      </c>
      <c r="BD1111" s="160">
        <f>IF($AY$902&gt;0,'Assumptions (Solar)'!AA14*Model!$AY$902*('Assumptions (Solar)'!$AW$20*'Assumptions (Solar)'!$AW$2+'Assumptions (Solar)'!$AW$21*'Assumptions (Solar)'!$AW$3)/10^9,0)</f>
        <v>0.2028172545</v>
      </c>
      <c r="BE1111" s="160"/>
      <c r="BF1111" s="160"/>
    </row>
    <row r="1112" ht="15.75" hidden="1" customHeight="1" outlineLevel="1">
      <c r="A1112" s="255"/>
      <c r="B1112" s="38"/>
      <c r="C1112" s="174"/>
      <c r="D1112" s="174"/>
      <c r="E1112" s="174"/>
      <c r="F1112" s="174"/>
      <c r="G1112" s="174"/>
      <c r="H1112" s="174"/>
      <c r="I1112" s="174"/>
      <c r="J1112" s="174"/>
      <c r="K1112" s="174"/>
      <c r="L1112" s="174"/>
      <c r="M1112" s="174"/>
      <c r="N1112" s="174"/>
      <c r="O1112" s="174"/>
      <c r="P1112" s="174"/>
      <c r="Q1112" s="174"/>
      <c r="R1112" s="174"/>
      <c r="S1112" s="174"/>
      <c r="T1112" s="174"/>
      <c r="U1112" s="174"/>
      <c r="V1112" s="174"/>
      <c r="W1112" s="160"/>
      <c r="X1112" s="160"/>
      <c r="Y1112" s="160"/>
      <c r="Z1112" s="160"/>
      <c r="AA1112" s="160"/>
      <c r="AB1112" s="160"/>
      <c r="AC1112" s="160"/>
      <c r="AD1112" s="160"/>
      <c r="AE1112" s="160"/>
      <c r="AF1112" s="160"/>
      <c r="AG1112" s="160"/>
      <c r="AH1112" s="160"/>
      <c r="AI1112" s="160"/>
      <c r="AJ1112" s="179"/>
      <c r="AK1112" s="160"/>
      <c r="AL1112" s="177"/>
      <c r="AM1112" s="177"/>
      <c r="AN1112" s="177"/>
      <c r="AO1112" s="160"/>
      <c r="AP1112" s="160"/>
      <c r="AQ1112" s="160"/>
      <c r="AR1112" s="160"/>
      <c r="AS1112" s="160"/>
      <c r="AT1112" s="160"/>
      <c r="AU1112" s="160"/>
      <c r="AV1112" s="160"/>
      <c r="AW1112" s="160"/>
      <c r="AX1112" s="160"/>
      <c r="AY1112" s="160"/>
      <c r="AZ1112" s="160">
        <f>IF($AZ$902&gt;0,'Assumptions (Solar)'!V14*Model!$AZ$902*('Assumptions (Solar)'!$AX$20*'Assumptions (Solar)'!$AX$2+'Assumptions (Solar)'!$AX$21*'Assumptions (Solar)'!$AX$3)/10^9,0)</f>
        <v>0.7108867853</v>
      </c>
      <c r="BA1112" s="160">
        <f>IF($AZ$902&gt;0,'Assumptions (Solar)'!W14*Model!$AZ$902*('Assumptions (Solar)'!$AX$20*'Assumptions (Solar)'!$AX$2+'Assumptions (Solar)'!$AX$21*'Assumptions (Solar)'!$AX$3)/10^9,0)</f>
        <v>1.137418856</v>
      </c>
      <c r="BB1112" s="160">
        <f>IF($AZ$902&gt;0,'Assumptions (Solar)'!X14*Model!$AZ$902*('Assumptions (Solar)'!$AX$20*'Assumptions (Solar)'!$AX$2+'Assumptions (Solar)'!$AX$21*'Assumptions (Solar)'!$AX$3)/10^9,0)</f>
        <v>0.6824513139</v>
      </c>
      <c r="BC1112" s="160">
        <f>IF($AZ$902&gt;0,'Assumptions (Solar)'!Y14*Model!$AZ$902*('Assumptions (Solar)'!$AX$20*'Assumptions (Solar)'!$AX$2+'Assumptions (Solar)'!$AX$21*'Assumptions (Solar)'!$AX$3)/10^9,0)</f>
        <v>0.4094707883</v>
      </c>
      <c r="BD1112" s="160">
        <f>IF($AZ$902&gt;0,'Assumptions (Solar)'!Z14*Model!$AZ$902*('Assumptions (Solar)'!$AX$20*'Assumptions (Solar)'!$AX$2+'Assumptions (Solar)'!$AX$21*'Assumptions (Solar)'!$AX$3)/10^9,0)</f>
        <v>0.4094707883</v>
      </c>
      <c r="BE1112" s="160">
        <f>IF($AZ$902&gt;0,'Assumptions (Solar)'!AA14*Model!$AZ$902*('Assumptions (Solar)'!$AX$20*'Assumptions (Solar)'!$AX$2+'Assumptions (Solar)'!$AX$21*'Assumptions (Solar)'!$AX$3)/10^9,0)</f>
        <v>0.2047353942</v>
      </c>
      <c r="BF1112" s="160"/>
    </row>
    <row r="1113" ht="15.75" hidden="1" customHeight="1" outlineLevel="1">
      <c r="A1113" s="255"/>
      <c r="B1113" s="38"/>
      <c r="C1113" s="174"/>
      <c r="D1113" s="174"/>
      <c r="E1113" s="174"/>
      <c r="F1113" s="174"/>
      <c r="G1113" s="174"/>
      <c r="H1113" s="174"/>
      <c r="I1113" s="174"/>
      <c r="J1113" s="174"/>
      <c r="K1113" s="174"/>
      <c r="L1113" s="174"/>
      <c r="M1113" s="174"/>
      <c r="N1113" s="174"/>
      <c r="O1113" s="174"/>
      <c r="P1113" s="174"/>
      <c r="Q1113" s="174"/>
      <c r="R1113" s="174"/>
      <c r="S1113" s="174"/>
      <c r="T1113" s="174"/>
      <c r="U1113" s="174"/>
      <c r="V1113" s="174"/>
      <c r="W1113" s="160"/>
      <c r="X1113" s="160"/>
      <c r="Y1113" s="160"/>
      <c r="Z1113" s="160"/>
      <c r="AA1113" s="160"/>
      <c r="AB1113" s="160"/>
      <c r="AC1113" s="160"/>
      <c r="AD1113" s="160"/>
      <c r="AE1113" s="160"/>
      <c r="AF1113" s="160"/>
      <c r="AG1113" s="160"/>
      <c r="AH1113" s="160"/>
      <c r="AI1113" s="160"/>
      <c r="AJ1113" s="179"/>
      <c r="AK1113" s="160"/>
      <c r="AL1113" s="177"/>
      <c r="AM1113" s="177"/>
      <c r="AN1113" s="177"/>
      <c r="AO1113" s="160"/>
      <c r="AP1113" s="160"/>
      <c r="AQ1113" s="160"/>
      <c r="AR1113" s="160"/>
      <c r="AS1113" s="160"/>
      <c r="AT1113" s="160"/>
      <c r="AU1113" s="160"/>
      <c r="AV1113" s="160"/>
      <c r="AW1113" s="160"/>
      <c r="AX1113" s="160"/>
      <c r="AY1113" s="160"/>
      <c r="AZ1113" s="160"/>
      <c r="BA1113" s="160">
        <f>IF($BA$902&gt;0,'Assumptions (Solar)'!V14*Model!$BA$902*('Assumptions (Solar)'!$AY$20*'Assumptions (Solar)'!$AY$2+'Assumptions (Solar)'!$AY$21*'Assumptions (Solar)'!$AY$3)/10^9,0)</f>
        <v>0.7165078849</v>
      </c>
      <c r="BB1113" s="160">
        <f>IF($BA$902&gt;0,'Assumptions (Solar)'!W14*Model!$BA$902*('Assumptions (Solar)'!$AY$20*'Assumptions (Solar)'!$AY$2+'Assumptions (Solar)'!$AY$21*'Assumptions (Solar)'!$AY$3)/10^9,0)</f>
        <v>1.146412616</v>
      </c>
      <c r="BC1113" s="160">
        <f>IF($BA$902&gt;0,'Assumptions (Solar)'!X14*Model!$BA$902*('Assumptions (Solar)'!$AY$20*'Assumptions (Solar)'!$AY$2+'Assumptions (Solar)'!$AY$21*'Assumptions (Solar)'!$AY$3)/10^9,0)</f>
        <v>0.6878475695</v>
      </c>
      <c r="BD1113" s="160">
        <f>IF($BA$902&gt;0,'Assumptions (Solar)'!Y14*Model!$BA$902*('Assumptions (Solar)'!$AY$20*'Assumptions (Solar)'!$AY$2+'Assumptions (Solar)'!$AY$21*'Assumptions (Solar)'!$AY$3)/10^9,0)</f>
        <v>0.4127085417</v>
      </c>
      <c r="BE1113" s="160">
        <f>IF($BA$902&gt;0,'Assumptions (Solar)'!Z14*Model!$BA$902*('Assumptions (Solar)'!$AY$20*'Assumptions (Solar)'!$AY$2+'Assumptions (Solar)'!$AY$21*'Assumptions (Solar)'!$AY$3)/10^9,0)</f>
        <v>0.4127085417</v>
      </c>
      <c r="BF1113" s="160">
        <f>IF($BA$902&gt;0,'Assumptions (Solar)'!AA14*Model!$BA$902*('Assumptions (Solar)'!$AY$20*'Assumptions (Solar)'!$AY$2+'Assumptions (Solar)'!$AY$21*'Assumptions (Solar)'!$AY$3)/10^9,0)</f>
        <v>0.2063542708</v>
      </c>
    </row>
    <row r="1114" ht="15.75" customHeight="1" collapsed="1">
      <c r="A1114" s="255" t="s">
        <v>62</v>
      </c>
      <c r="B1114" s="159" t="s">
        <v>351</v>
      </c>
      <c r="C1114" s="160">
        <f>IF(Model!C900+Model!C901-Model!C899-C1062+C1010&gt;0,(1-'Assumptions (Solar)'!B33)*(Model!C900+Model!C901-Model!C899-C1062+C1010)+C1062-C957+C958,Model!C900+Model!C901-Model!C899+C1010-C957+C958)</f>
        <v>0</v>
      </c>
      <c r="D1114" s="160">
        <f>IF(Model!D900+Model!D901-Model!D899-D1062+D1010&gt;0,(1-'Assumptions (Solar)'!C33)*(Model!D900+Model!D901-Model!D899-D1062+D1010)+D1062-D957+D958,Model!D900+Model!D901-Model!D899+D1010-D957+D958)</f>
        <v>0</v>
      </c>
      <c r="E1114" s="160">
        <f>IF(Model!E900+Model!E901-Model!E899-E1062+E1010&gt;0,(1-'Assumptions (Solar)'!D33)*(Model!E900+Model!E901-Model!E899-E1062+E1010)+E1062-E957+E958,Model!E900+Model!E901-Model!E899+E1010-E957+E958)</f>
        <v>0</v>
      </c>
      <c r="F1114" s="160">
        <f>IF(Model!F900+Model!F901-Model!F899-F1062+F1010&gt;0,(1-'Assumptions (Solar)'!E33)*(Model!F900+Model!F901-Model!F899-F1062+F1010)+F1062-F957+F958,Model!F900+Model!F901-Model!F899+F1010-F957+F958)</f>
        <v>0</v>
      </c>
      <c r="G1114" s="160">
        <f>IF(Model!G900+Model!G901-Model!G899-G1062+G1010&gt;0,(1-'Assumptions (Solar)'!F33)*(Model!G900+Model!G901-Model!G899-G1062+G1010)+G1062-G957+G958,Model!G900+Model!G901-Model!G899+G1010-G957+G958)</f>
        <v>0</v>
      </c>
      <c r="H1114" s="160">
        <f>IF(Model!H900+Model!H901-Model!H899-H1062+H1010&gt;0,(1-'Assumptions (Solar)'!G33)*(Model!H900+Model!H901-Model!H899-H1062+H1010)+H1062-H957+H958,Model!H900+Model!H901-Model!H899+H1010-H957+H958)</f>
        <v>0</v>
      </c>
      <c r="I1114" s="160">
        <f>IF(Model!I900+Model!I901-Model!I899-I1062+I1010&gt;0,(1-'Assumptions (Solar)'!H33)*(Model!I900+Model!I901-Model!I899-I1062+I1010)+I1062-I957+I958,Model!I900+Model!I901-Model!I899+I1010-I957+I958)</f>
        <v>0</v>
      </c>
      <c r="J1114" s="160">
        <f>IF(Model!J900+Model!J901-Model!J899-J1062+J1010&gt;0,(1-'Assumptions (Solar)'!I33)*(Model!J900+Model!J901-Model!J899-J1062+J1010)+J1062-J957+J958,Model!J900+Model!J901-Model!J899+J1010-J957+J958)</f>
        <v>-0.009286232547</v>
      </c>
      <c r="K1114" s="160">
        <f>IF(Model!K900+Model!K901-Model!K899-K1062+K1010&gt;0,(1-'Assumptions (Solar)'!J33)*(Model!K900+Model!K901-Model!K899-K1062+K1010)+K1062-K957+K958,Model!K900+Model!K901-Model!K899+K1010-K957+K958)</f>
        <v>-0.001831114127</v>
      </c>
      <c r="L1114" s="160">
        <f>IF(Model!L900+Model!L901-Model!L899-L1062+L1010&gt;0,(1-'Assumptions (Solar)'!K33)*(Model!L900+Model!L901-Model!L899-L1062+L1010)+L1062-L957+L958,Model!L900+Model!L901-Model!L899+L1010-L957+L958)</f>
        <v>-0.02221200099</v>
      </c>
      <c r="M1114" s="160">
        <f>IF(Model!M900+Model!M901-Model!M899-M1062+M1010&gt;0,(1-'Assumptions (Solar)'!L33)*(Model!M900+Model!M901-Model!M899-M1062+M1010)+M1062-M957+M958,Model!M900+Model!M901-Model!M899+M1010-M957+M958)</f>
        <v>-0.06562875435</v>
      </c>
      <c r="N1114" s="160">
        <f>IF(Model!N900+Model!N901-Model!N899-N1062+N1010&gt;0,(1-'Assumptions (Solar)'!M33)*(Model!N900+Model!N901-Model!N899-N1062+N1010)+N1062-N957+N958,Model!N900+Model!N901-Model!N899+N1010-N957+N958)</f>
        <v>-0.2512482726</v>
      </c>
      <c r="O1114" s="160">
        <f>IF(Model!O900+Model!O901-Model!O899-O1062+O1010&gt;0,(1-'Assumptions (Solar)'!N33)*(Model!O900+Model!O901-Model!O899-O1062+O1010)+O1062-O957+O958,Model!O900+Model!O901-Model!O899+O1010-O957+O958)</f>
        <v>-0.5524178766</v>
      </c>
      <c r="P1114" s="160">
        <f>IF(Model!P900+Model!P901-Model!P899-P1062+P1010&gt;0,(1-'Assumptions (Solar)'!O33)*(Model!P900+Model!P901-Model!P899-P1062+P1010)+P1062-P957+P958,Model!P900+Model!P901-Model!P899+P1010-P957+P958)</f>
        <v>-0.8449032086</v>
      </c>
      <c r="Q1114" s="160">
        <f>IF(Model!Q900+Model!Q901-Model!Q899-Q1062+Q1010&gt;0,(1-'Assumptions (Solar)'!P33)*(Model!Q900+Model!Q901-Model!Q899-Q1062+Q1010)+Q1062-Q957+Q958,Model!Q900+Model!Q901-Model!Q899+Q1010-Q957+Q958)</f>
        <v>-2.012466522</v>
      </c>
      <c r="R1114" s="160">
        <f>IF(Model!R900+Model!R901-Model!R899-R1062+R1010&gt;0,(1-'Assumptions (Solar)'!Q33)*(Model!R900+Model!R901-Model!R899-R1062+R1010)+R1062-R957+R958,Model!R900+Model!R901-Model!R899+R1010-R957+R958)</f>
        <v>-2.991611708</v>
      </c>
      <c r="S1114" s="160">
        <f>IF(Model!S900+Model!S901-Model!S899-S1062+S1010&gt;0,(1-'Assumptions (Solar)'!R33)*(Model!S900+Model!S901-Model!S899-S1062+S1010)+S1062-S957+S958,Model!S900+Model!S901-Model!S899+S1010-S957+S958)</f>
        <v>-2.777147835</v>
      </c>
      <c r="T1114" s="160">
        <f>IF(Model!T900+Model!T901-Model!T899-T1062+T1010&gt;0,(1-'Assumptions (Solar)'!S33)*(Model!T900+Model!T901-Model!T899-T1062+T1010)+T1062-T957+T958,Model!T900+Model!T901-Model!T899+T1010-T957+T958)</f>
        <v>-2.183520348</v>
      </c>
      <c r="U1114" s="160">
        <f>IF(Model!U900+Model!U901-Model!U899-U1062+U1010&gt;0,(1-'Assumptions (Solar)'!T33)*(Model!U900+Model!U901-Model!U899-U1062+U1010)+U1062-U957+U958,Model!U900+Model!U901-Model!U899+U1010-U957+U958)</f>
        <v>-1.230530464</v>
      </c>
      <c r="V1114" s="160">
        <f>IF(Model!V900+Model!V901-Model!V899-V1062+V1010&gt;0,(1-'Assumptions (Solar)'!U33)*(Model!V900+Model!V901-Model!V899-V1062+V1010)+V1062-V957+V958,Model!V900+Model!V901-Model!V899+V1010-V957+V958)</f>
        <v>-1.103764145</v>
      </c>
      <c r="W1114" s="160">
        <f>IF(Model!W900+Model!W901-Model!W899-W1062+W1010&gt;0,(1-'Assumptions (Solar)'!V33)*(Model!W900+Model!W901-Model!W899-W1062+W1010)+W1062-W957+W958,Model!W900+Model!W901-Model!W899+W1010-W957+W958)</f>
        <v>-2.182629804</v>
      </c>
      <c r="X1114" s="160">
        <f>IF(Model!X900+Model!X901-Model!X899-X1062+X1010&gt;0,(1-'Assumptions (Solar)'!W33)*(Model!X900+Model!X901-Model!X899-X1062+X1010)+X1062-X957+X958,Model!X900+Model!X901-Model!X899+X1010-X957+X958)</f>
        <v>-1.85155504</v>
      </c>
      <c r="Y1114" s="160">
        <f>IF(Model!Y900+Model!Y901-Model!Y899-Y1062+Y1010&gt;0,(1-'Assumptions (Solar)'!X33)*(Model!Y900+Model!Y901-Model!Y899-Y1062+Y1010)+Y1062-Y957+Y958,Model!Y900+Model!Y901-Model!Y899+Y1010-Y957+Y958)</f>
        <v>-1.731923044</v>
      </c>
      <c r="Z1114" s="160">
        <f>IF(Model!Z900+Model!Z901-Model!Z899-Z1062+Z1010&gt;0,(1-'Assumptions (Solar)'!Y33)*(Model!Z900+Model!Z901-Model!Z899-Z1062+Z1010)+Z1062-Z957+Z958,Model!Z900+Model!Z901-Model!Z899+Z1010-Z957+Z958)</f>
        <v>-1.53234355</v>
      </c>
      <c r="AA1114" s="160">
        <f>IF(Model!AA900+Model!AA901-Model!AA899-AA1062+AA1010&gt;0,(1-'Assumptions (Solar)'!Z33)*(Model!AA900+Model!AA901-Model!AA899-AA1062+AA1010)+AA1062-AA957+AA958,Model!AA900+Model!AA901-Model!AA899+AA1010-AA957+AA958)</f>
        <v>-1.269028591</v>
      </c>
      <c r="AB1114" s="160">
        <f>IF(Model!AB900+Model!AB901-Model!AB899-AB1062+AB1010&gt;0,(1-'Assumptions (Solar)'!AA33)*(Model!AB900+Model!AB901-Model!AB899-AB1062+AB1010)+AB1062-AB957+AB958,Model!AB900+Model!AB901-Model!AB899+AB1010-AB957+AB958)</f>
        <v>-0.7320663587</v>
      </c>
      <c r="AC1114" s="160">
        <f>IF(Model!AC900+Model!AC901-Model!AC899-AC1062+AC1010&gt;0,(1-'Assumptions (Solar)'!AB33)*(Model!AC900+Model!AC901-Model!AC899-AC1062+AC1010)+AC1062-AC957+AC958,Model!AC900+Model!AC901-Model!AC899+AC1010-AC957+AC958)</f>
        <v>-0.06065689704</v>
      </c>
      <c r="AD1114" s="160">
        <f>IF(Model!AD900+Model!AD901-Model!AD899-AD1062+AD1010&gt;0,(1-'Assumptions (Solar)'!AC33)*(Model!AD900+Model!AD901-Model!AD899-AD1062+AD1010)+AD1062-AD957+AD958,Model!AD900+Model!AD901-Model!AD899+AD1010-AD957+AD958)</f>
        <v>0.441990336</v>
      </c>
      <c r="AE1114" s="160">
        <f>IF(Model!AE900+Model!AE901-Model!AE899-AE1062+AE1010&gt;0,(1-'Assumptions (Solar)'!AD33)*(Model!AE900+Model!AE901-Model!AE899-AE1062+AE1010)+AE1062-AE957+AE958,Model!AE900+Model!AE901-Model!AE899+AE1010-AE957+AE958)</f>
        <v>0.7773629822</v>
      </c>
      <c r="AF1114" s="160">
        <f>IF(Model!AF900+Model!AF901-Model!AF899-AF1062+AF1010&gt;0,(1-'Assumptions (Solar)'!AE33)*(Model!AF900+Model!AF901-Model!AF899-AF1062+AF1010)+AF1062-AF957+AF958,Model!AF900+Model!AF901-Model!AF899+AF1010-AF957+AF958)</f>
        <v>0.8983214777</v>
      </c>
      <c r="AG1114" s="160">
        <f>IF(Model!AG900+Model!AG901-Model!AG899-AG1062+AG1010&gt;0,(1-'Assumptions (Solar)'!AF33)*(Model!AG900+Model!AG901-Model!AG899-AG1062+AG1010)+AG1062-AG957+AG958,Model!AG900+Model!AG901-Model!AG899+AG1010-AG957+AG958)</f>
        <v>1.032544767</v>
      </c>
      <c r="AH1114" s="160">
        <f>IF(Model!AH900+Model!AH901-Model!AH899-AH1062+AH1010&gt;0,(1-'Assumptions (Solar)'!AG33)*(Model!AH900+Model!AH901-Model!AH899-AH1062+AH1010)+AH1062-AH957+AH958,Model!AH900+Model!AH901-Model!AH899+AH1010-AH957+AH958)</f>
        <v>1.390723338</v>
      </c>
      <c r="AI1114" s="160">
        <f>IF(Model!AI900+Model!AI901-Model!AI899-AI1062+AI1010&gt;0,(1-'Assumptions (Solar)'!AH33)*(Model!AI900+Model!AI901-Model!AI899-AI1062+AI1010)+AI1062-AI957+AI958,Model!AI900+Model!AI901-Model!AI899+AI1010-AI957+AI958)</f>
        <v>1.671295053</v>
      </c>
      <c r="AJ1114" s="160">
        <f>IF(Model!AJ900+Model!AJ901-Model!AJ899-AJ1062+AJ1010&gt;0,(1-'Assumptions (Solar)'!AI33)*(Model!AJ900+Model!AJ901-Model!AJ899-AJ1062+AJ1010)+AJ1062-AJ957+AJ958,Model!AJ900+Model!AJ901-Model!AJ899+AJ1010-AJ957+AJ958)</f>
        <v>1.957118044</v>
      </c>
      <c r="AK1114" s="160">
        <f>IF(Model!AK900+Model!AK901-Model!AK899-AK1062+AK1010&gt;0,(1-'Assumptions (Solar)'!AJ33)*(Model!AK900+Model!AK901-Model!AK899-AK1062+AK1010)+AK1062-AK957+AK958,Model!AK900+Model!AK901-Model!AK899+AK1010-AK957+AK958)</f>
        <v>2.250849103</v>
      </c>
      <c r="AL1114" s="160">
        <f>IF(Model!AL900+Model!AL901-Model!AL899-AL1062+AL1010&gt;0,(1-'Assumptions (Solar)'!AK33)*(Model!AL900+Model!AL901-Model!AL899-AL1062+AL1010)+AL1062-AL957+AL958,Model!AL900+Model!AL901-Model!AL899+AL1010-AL957+AL958)</f>
        <v>2.552018186</v>
      </c>
      <c r="AM1114" s="160">
        <f>IF(Model!AM900+Model!AM901-Model!AM899-AM1062+AM1010&gt;0,(1-'Assumptions (Solar)'!AL33)*(Model!AM900+Model!AM901-Model!AM899-AM1062+AM1010)+AM1062-AM957+AM958,Model!AM900+Model!AM901-Model!AM899+AM1010-AM957+AM958)</f>
        <v>2.870613271</v>
      </c>
      <c r="AN1114" s="160">
        <f>IF(Model!AN900+Model!AN901-Model!AN899-AN1062+AN1010&gt;0,(1-'Assumptions (Solar)'!AM33)*(Model!AN900+Model!AN901-Model!AN899-AN1062+AN1010)+AN1062-AN957+AN958,Model!AN900+Model!AN901-Model!AN899+AN1010-AN957+AN958)</f>
        <v>3.160974489</v>
      </c>
      <c r="AO1114" s="160">
        <f>IF(Model!AO900+Model!AO901-Model!AO899-AO1062+AO1010&gt;0,(1-'Assumptions (Solar)'!AN33)*(Model!AO900+Model!AO901-Model!AO899-AO1062+AO1010)+AO1062-AO957+AO958,Model!AO900+Model!AO901-Model!AO899+AO1010-AO957+AO958)</f>
        <v>3.427693505</v>
      </c>
      <c r="AP1114" s="160">
        <f>IF(Model!AP900+Model!AP901-Model!AP899-AP1062+AP1010&gt;0,(1-'Assumptions (Solar)'!AO33)*(Model!AP900+Model!AP901-Model!AP899-AP1062+AP1010)+AP1062-AP957+AP958,Model!AP900+Model!AP901-Model!AP899+AP1010-AP957+AP958)</f>
        <v>3.714342706</v>
      </c>
      <c r="AQ1114" s="160">
        <f>IF(Model!AQ900+Model!AQ901-Model!AQ899-AQ1062+AQ1010&gt;0,(1-'Assumptions (Solar)'!AP33)*(Model!AQ900+Model!AQ901-Model!AQ899-AQ1062+AQ1010)+AQ1062-AQ957+AQ958,Model!AQ900+Model!AQ901-Model!AQ899+AQ1010-AQ957+AQ958)</f>
        <v>3.733393103</v>
      </c>
      <c r="AR1114" s="160">
        <f>IF(Model!AR900+Model!AR901-Model!AR899-AR1062+AR1010&gt;0,(1-'Assumptions (Solar)'!AQ33)*(Model!AR900+Model!AR901-Model!AR899-AR1062+AR1010)+AR1062-AR957+AR958,Model!AR900+Model!AR901-Model!AR899+AR1010-AR957+AR958)</f>
        <v>3.767552482</v>
      </c>
      <c r="AS1114" s="160">
        <f>IF(Model!AS900+Model!AS901-Model!AS899-AS1062+AS1010&gt;0,(1-'Assumptions (Solar)'!AR33)*(Model!AS900+Model!AS901-Model!AS899-AS1062+AS1010)+AS1062-AS957+AS958,Model!AS900+Model!AS901-Model!AS899+AS1010-AS957+AS958)</f>
        <v>4.153515695</v>
      </c>
      <c r="AT1114" s="160">
        <f>IF(Model!AT900+Model!AT901-Model!AT899-AT1062+AT1010&gt;0,(1-'Assumptions (Solar)'!AS33)*(Model!AT900+Model!AT901-Model!AT899-AT1062+AT1010)+AT1062-AT957+AT958,Model!AT900+Model!AT901-Model!AT899+AT1010-AT957+AT958)</f>
        <v>4.741844653</v>
      </c>
      <c r="AU1114" s="160">
        <f>IF(Model!AU900+Model!AU901-Model!AU899-AU1062+AU1010&gt;0,(1-'Assumptions (Solar)'!AT33)*(Model!AU900+Model!AU901-Model!AU899-AU1062+AU1010)+AU1062-AU957+AU958,Model!AU900+Model!AU901-Model!AU899+AU1010-AU957+AU958)</f>
        <v>5.486178627</v>
      </c>
      <c r="AV1114" s="160">
        <f>IF(Model!AV900+Model!AV901-Model!AV899-AV1062+AV1010&gt;0,(1-'Assumptions (Solar)'!AU33)*(Model!AV900+Model!AV901-Model!AV899-AV1062+AV1010)+AV1062-AV957+AV958,Model!AV900+Model!AV901-Model!AV899+AV1010-AV957+AV958)</f>
        <v>5.834303253</v>
      </c>
      <c r="AW1114" s="160">
        <f>IF(Model!AW900+Model!AW901-Model!AW899-AW1062+AW1010&gt;0,(1-'Assumptions (Solar)'!AV33)*(Model!AW900+Model!AW901-Model!AW899-AW1062+AW1010)+AW1062-AW957+AW958,Model!AW900+Model!AW901-Model!AW899+AW1010-AW957+AW958)</f>
        <v>5.464107597</v>
      </c>
      <c r="AX1114" s="160">
        <f>IF(Model!AX900+Model!AX901-Model!AX899-AX1062+AX1010&gt;0,(1-'Assumptions (Solar)'!AW33)*(Model!AX900+Model!AX901-Model!AX899-AX1062+AX1010)+AX1062-AX957+AX958,Model!AX900+Model!AX901-Model!AX899+AX1010-AX957+AX958)</f>
        <v>5.789148955</v>
      </c>
      <c r="AY1114" s="160">
        <f>IF(Model!AY900+Model!AY901-Model!AY899-AY1062+AY1010&gt;0,(1-'Assumptions (Solar)'!AX33)*(Model!AY900+Model!AY901-Model!AY899-AY1062+AY1010)+AY1062-AY957+AY958,Model!AY900+Model!AY901-Model!AY899+AY1010-AY957+AY958)</f>
        <v>6.326197105</v>
      </c>
      <c r="AZ1114" s="160">
        <f>IF(Model!AZ900+Model!AZ901-Model!AZ899-AZ1062+AZ1010&gt;0,(1-'Assumptions (Solar)'!AY33)*(Model!AZ900+Model!AZ901-Model!AZ899-AZ1062+AZ1010)+AZ1062-AZ957+AZ958,Model!AZ900+Model!AZ901-Model!AZ899+AZ1010-AZ957+AZ958)</f>
        <v>6.782387726</v>
      </c>
      <c r="BA1114" s="160">
        <f>IF(Model!BA900+Model!BA901-Model!BA899-BA1062+BA1010&gt;0,(1-'Assumptions (Solar)'!AZ33)*(Model!BA900+Model!BA901-Model!BA899-BA1062+BA1010)+BA1062-BA957+BA958,Model!BA900+Model!BA901-Model!BA899+BA1010-BA957+BA958)</f>
        <v>8.643178026</v>
      </c>
    </row>
    <row r="1115" ht="15.75" customHeight="1">
      <c r="A1115" s="255" t="s">
        <v>64</v>
      </c>
      <c r="B1115" s="159" t="s">
        <v>351</v>
      </c>
      <c r="C1115" s="160">
        <f>IF(Model!C900+Model!C901-Model!C899-C1062+C1010&gt;0,'Assumptions (Solar)'!B33*(Model!C900+Model!C901-Model!C899-C1062+C1010)-'Assumptions (Solar)'!B34*Model!C898/10^3,-'Assumptions (Solar)'!B34*Model!C898/10^3)</f>
        <v>0</v>
      </c>
      <c r="D1115" s="160">
        <f>IF(Model!D900+Model!D901-Model!D899-D1062+D1010&gt;0,'Assumptions (Solar)'!C33*(Model!D900+Model!D901-Model!D899-D1062+D1010)-'Assumptions (Solar)'!C34*Model!D898/10^3,-'Assumptions (Solar)'!C34*Model!D898/10^3)</f>
        <v>0</v>
      </c>
      <c r="E1115" s="160">
        <f>IF(Model!E900+Model!E901-Model!E899-E1062+E1010&gt;0,'Assumptions (Solar)'!D33*(Model!E900+Model!E901-Model!E899-E1062+E1010)-'Assumptions (Solar)'!D34*Model!E898/10^3,-'Assumptions (Solar)'!D34*Model!E898/10^3)</f>
        <v>0</v>
      </c>
      <c r="F1115" s="160">
        <f>IF(Model!F900+Model!F901-Model!F899-F1062+F1010&gt;0,'Assumptions (Solar)'!E33*(Model!F900+Model!F901-Model!F899-F1062+F1010)-'Assumptions (Solar)'!E34*Model!F898/10^3,-'Assumptions (Solar)'!E34*Model!F898/10^3)</f>
        <v>0</v>
      </c>
      <c r="G1115" s="160">
        <f>IF(Model!G900+Model!G901-Model!G899-G1062+G1010&gt;0,'Assumptions (Solar)'!F33*(Model!G900+Model!G901-Model!G899-G1062+G1010)-'Assumptions (Solar)'!F34*Model!G898/10^3,-'Assumptions (Solar)'!F34*Model!G898/10^3)</f>
        <v>0</v>
      </c>
      <c r="H1115" s="160">
        <f>IF(Model!H900+Model!H901-Model!H899-H1062+H1010&gt;0,'Assumptions (Solar)'!G33*(Model!H900+Model!H901-Model!H899-H1062+H1010)-'Assumptions (Solar)'!G34*Model!H898/10^3,-'Assumptions (Solar)'!G34*Model!H898/10^3)</f>
        <v>0</v>
      </c>
      <c r="I1115" s="160">
        <f>IF(Model!I900+Model!I901-Model!I899-I1062+I1010&gt;0,'Assumptions (Solar)'!H33*(Model!I900+Model!I901-Model!I899-I1062+I1010)-'Assumptions (Solar)'!H34*Model!I898/10^3,-'Assumptions (Solar)'!H34*Model!I898/10^3)</f>
        <v>0</v>
      </c>
      <c r="J1115" s="160">
        <f>IF(Model!J900+Model!J901-Model!J899-J1062+J1010&gt;0,'Assumptions (Solar)'!I33*(Model!J900+Model!J901-Model!J899-J1062+J1010)-'Assumptions (Solar)'!I34*Model!J898/10^3,-'Assumptions (Solar)'!I34*Model!J898/10^3)</f>
        <v>0</v>
      </c>
      <c r="K1115" s="160">
        <f>IF(Model!K900+Model!K901-Model!K899-K1062+K1010&gt;0,'Assumptions (Solar)'!J33*(Model!K900+Model!K901-Model!K899-K1062+K1010)-'Assumptions (Solar)'!J34*Model!K898/10^3,-'Assumptions (Solar)'!J34*Model!K898/10^3)</f>
        <v>0</v>
      </c>
      <c r="L1115" s="160">
        <f>IF(Model!L900+Model!L901-Model!L899-L1062+L1010&gt;0,'Assumptions (Solar)'!K33*(Model!L900+Model!L901-Model!L899-L1062+L1010)-'Assumptions (Solar)'!K34*Model!L898/10^3,-'Assumptions (Solar)'!K34*Model!L898/10^3)</f>
        <v>0</v>
      </c>
      <c r="M1115" s="160">
        <f>IF(Model!M900+Model!M901-Model!M899-M1062+M1010&gt;0,'Assumptions (Solar)'!L33*(Model!M900+Model!M901-Model!M899-M1062+M1010)-'Assumptions (Solar)'!L34*Model!M898/10^3,-'Assumptions (Solar)'!L34*Model!M898/10^3)</f>
        <v>0</v>
      </c>
      <c r="N1115" s="160">
        <f>IF(Model!N900+Model!N901-Model!N899-N1062+N1010&gt;0,'Assumptions (Solar)'!M33*(Model!N900+Model!N901-Model!N899-N1062+N1010)-'Assumptions (Solar)'!M34*Model!N898/10^3,-'Assumptions (Solar)'!M34*Model!N898/10^3)</f>
        <v>0</v>
      </c>
      <c r="O1115" s="160">
        <f>IF(Model!O900+Model!O901-Model!O899-O1062+O1010&gt;0,'Assumptions (Solar)'!N33*(Model!O900+Model!O901-Model!O899-O1062+O1010)-'Assumptions (Solar)'!N34*Model!O898/10^3,-'Assumptions (Solar)'!N34*Model!O898/10^3)</f>
        <v>0</v>
      </c>
      <c r="P1115" s="160">
        <f>IF(Model!P900+Model!P901-Model!P899-P1062+P1010&gt;0,'Assumptions (Solar)'!O33*(Model!P900+Model!P901-Model!P899-P1062+P1010)-'Assumptions (Solar)'!O34*Model!P898/10^3,-'Assumptions (Solar)'!O34*Model!P898/10^3)</f>
        <v>0</v>
      </c>
      <c r="Q1115" s="160">
        <f>IF(Model!Q900+Model!Q901-Model!Q899-Q1062+Q1010&gt;0,'Assumptions (Solar)'!P33*(Model!Q900+Model!Q901-Model!Q899-Q1062+Q1010)-'Assumptions (Solar)'!P34*Model!Q898/10^3,-'Assumptions (Solar)'!P34*Model!Q898/10^3)</f>
        <v>0</v>
      </c>
      <c r="R1115" s="160">
        <f>IF(Model!R900+Model!R901-Model!R899-R1062+R1010&gt;0,'Assumptions (Solar)'!Q33*(Model!R900+Model!R901-Model!R899-R1062+R1010)-'Assumptions (Solar)'!Q34*Model!R898/10^3,-'Assumptions (Solar)'!Q34*Model!R898/10^3)</f>
        <v>0</v>
      </c>
      <c r="S1115" s="160">
        <f>IF(Model!S900+Model!S901-Model!S899-S1062+S1010&gt;0,'Assumptions (Solar)'!R33*(Model!S900+Model!S901-Model!S899-S1062+S1010)-'Assumptions (Solar)'!R34*Model!S898/10^3,-'Assumptions (Solar)'!R34*Model!S898/10^3)</f>
        <v>0</v>
      </c>
      <c r="T1115" s="160">
        <f>IF(Model!T900+Model!T901-Model!T899-T1062+T1010&gt;0,'Assumptions (Solar)'!S33*(Model!T900+Model!T901-Model!T899-T1062+T1010)-'Assumptions (Solar)'!S34*Model!T898/10^3,-'Assumptions (Solar)'!S34*Model!T898/10^3)</f>
        <v>0</v>
      </c>
      <c r="U1115" s="160">
        <f>IF(Model!U900+Model!U901-Model!U899-U1062+U1010&gt;0,'Assumptions (Solar)'!T33*(Model!U900+Model!U901-Model!U899-U1062+U1010)-'Assumptions (Solar)'!T34*Model!U898/10^3,-'Assumptions (Solar)'!T34*Model!U898/10^3)</f>
        <v>0</v>
      </c>
      <c r="V1115" s="160">
        <f>IF(Model!V900+Model!V901-Model!V899-V1062+V1010&gt;0,'Assumptions (Solar)'!U33*(Model!V900+Model!V901-Model!V899-V1062+V1010)-'Assumptions (Solar)'!U34*Model!V898/10^3,-'Assumptions (Solar)'!U34*Model!V898/10^3)</f>
        <v>0</v>
      </c>
      <c r="W1115" s="160">
        <f>IF(Model!W900+Model!W901-Model!W899-W1062+W1010&gt;0,'Assumptions (Solar)'!V33*(Model!W900+Model!W901-Model!W899-W1062+W1010)-'Assumptions (Solar)'!V34*Model!W898/10^3,-'Assumptions (Solar)'!V34*Model!W898/10^3)</f>
        <v>-0.4196203239</v>
      </c>
      <c r="X1115" s="160">
        <f>IF(Model!X900+Model!X901-Model!X899-X1062+X1010&gt;0,'Assumptions (Solar)'!W33*(Model!X900+Model!X901-Model!X899-X1062+X1010)-'Assumptions (Solar)'!W34*Model!X898/10^3,-'Assumptions (Solar)'!W34*Model!X898/10^3)</f>
        <v>-0.5351417498</v>
      </c>
      <c r="Y1115" s="160">
        <f>IF(Model!Y900+Model!Y901-Model!Y899-Y1062+Y1010&gt;0,'Assumptions (Solar)'!X33*(Model!Y900+Model!Y901-Model!Y899-Y1062+Y1010)-'Assumptions (Solar)'!X34*Model!Y898/10^3,-'Assumptions (Solar)'!X34*Model!Y898/10^3)</f>
        <v>-0.6550935194</v>
      </c>
      <c r="Z1115" s="160">
        <f>IF(Model!Z900+Model!Z901-Model!Z899-Z1062+Z1010&gt;0,'Assumptions (Solar)'!Y33*(Model!Z900+Model!Z901-Model!Z899-Z1062+Z1010)-'Assumptions (Solar)'!Y34*Model!Z898/10^3,-'Assumptions (Solar)'!Y34*Model!Z898/10^3)</f>
        <v>-0.7796061882</v>
      </c>
      <c r="AA1115" s="160">
        <f>IF(Model!AA900+Model!AA901-Model!AA899-AA1062+AA1010&gt;0,'Assumptions (Solar)'!Z33*(Model!AA900+Model!AA901-Model!AA899-AA1062+AA1010)-'Assumptions (Solar)'!Z34*Model!AA898/10^3,-'Assumptions (Solar)'!Z34*Model!AA898/10^3)</f>
        <v>-0.9088137528</v>
      </c>
      <c r="AB1115" s="160">
        <f>IF(Model!AB900+Model!AB901-Model!AB899-AB1062+AB1010&gt;0,'Assumptions (Solar)'!AA33*(Model!AB900+Model!AB901-Model!AB899-AB1062+AB1010)-'Assumptions (Solar)'!AA34*Model!AB898/10^3,-'Assumptions (Solar)'!AA34*Model!AB898/10^3)</f>
        <v>-1.042853736</v>
      </c>
      <c r="AC1115" s="160">
        <f>IF(Model!AC900+Model!AC901-Model!AC899-AC1062+AC1010&gt;0,'Assumptions (Solar)'!AB33*(Model!AC900+Model!AC901-Model!AC899-AC1062+AC1010)-'Assumptions (Solar)'!AB34*Model!AC898/10^3,-'Assumptions (Solar)'!AB34*Model!AC898/10^3)</f>
        <v>-1.181867275</v>
      </c>
      <c r="AD1115" s="160">
        <f>IF(Model!AD900+Model!AD901-Model!AD899-AD1062+AD1010&gt;0,'Assumptions (Solar)'!AC33*(Model!AD900+Model!AD901-Model!AD899-AD1062+AD1010)-'Assumptions (Solar)'!AC34*Model!AD898/10^3,-'Assumptions (Solar)'!AC34*Model!AD898/10^3)</f>
        <v>-1.25637357</v>
      </c>
      <c r="AE1115" s="160">
        <f>IF(Model!AE900+Model!AE901-Model!AE899-AE1062+AE1010&gt;0,'Assumptions (Solar)'!AD33*(Model!AE900+Model!AE901-Model!AE899-AE1062+AE1010)-'Assumptions (Solar)'!AD34*Model!AE898/10^3,-'Assumptions (Solar)'!AD34*Model!AE898/10^3)</f>
        <v>-1.332684875</v>
      </c>
      <c r="AF1115" s="160">
        <f>IF(Model!AF900+Model!AF901-Model!AF899-AF1062+AF1010&gt;0,'Assumptions (Solar)'!AE33*(Model!AF900+Model!AF901-Model!AF899-AF1062+AF1010)-'Assumptions (Solar)'!AE34*Model!AF898/10^3,-'Assumptions (Solar)'!AE34*Model!AF898/10^3)</f>
        <v>-1.411669399</v>
      </c>
      <c r="AG1115" s="160">
        <f>IF(Model!AG900+Model!AG901-Model!AG899-AG1062+AG1010&gt;0,'Assumptions (Solar)'!AF33*(Model!AG900+Model!AG901-Model!AG899-AG1062+AG1010)-'Assumptions (Solar)'!AF34*Model!AG898/10^3,-'Assumptions (Solar)'!AF34*Model!AG898/10^3)</f>
        <v>-1.489965202</v>
      </c>
      <c r="AH1115" s="160">
        <f>IF(Model!AH900+Model!AH901-Model!AH899-AH1062+AH1010&gt;0,'Assumptions (Solar)'!AG33*(Model!AH900+Model!AH901-Model!AH899-AH1062+AH1010)-'Assumptions (Solar)'!AG34*Model!AH898/10^3,-'Assumptions (Solar)'!AG34*Model!AH898/10^3)</f>
        <v>-1.569347385</v>
      </c>
      <c r="AI1115" s="160">
        <f>IF(Model!AI900+Model!AI901-Model!AI899-AI1062+AI1010&gt;0,'Assumptions (Solar)'!AH33*(Model!AI900+Model!AI901-Model!AI899-AI1062+AI1010)-'Assumptions (Solar)'!AH34*Model!AI898/10^3,-'Assumptions (Solar)'!AH34*Model!AI898/10^3)</f>
        <v>-1.660664073</v>
      </c>
      <c r="AJ1115" s="160">
        <f>IF(Model!AJ900+Model!AJ901-Model!AJ899-AJ1062+AJ1010&gt;0,'Assumptions (Solar)'!AI33*(Model!AJ900+Model!AJ901-Model!AJ899-AJ1062+AJ1010)-'Assumptions (Solar)'!AI34*Model!AJ898/10^3,-'Assumptions (Solar)'!AI34*Model!AJ898/10^3)</f>
        <v>-1.762217454</v>
      </c>
      <c r="AK1115" s="160">
        <f>IF(Model!AK900+Model!AK901-Model!AK899-AK1062+AK1010&gt;0,'Assumptions (Solar)'!AJ33*(Model!AK900+Model!AK901-Model!AK899-AK1062+AK1010)-'Assumptions (Solar)'!AJ34*Model!AK898/10^3,-'Assumptions (Solar)'!AJ34*Model!AK898/10^3)</f>
        <v>-1.871614679</v>
      </c>
      <c r="AL1115" s="160">
        <f>IF(Model!AL900+Model!AL901-Model!AL899-AL1062+AL1010&gt;0,'Assumptions (Solar)'!AK33*(Model!AL900+Model!AL901-Model!AL899-AL1062+AL1010)-'Assumptions (Solar)'!AK34*Model!AL898/10^3,-'Assumptions (Solar)'!AK34*Model!AL898/10^3)</f>
        <v>-1.985843944</v>
      </c>
      <c r="AM1115" s="160">
        <f>IF(Model!AM900+Model!AM901-Model!AM899-AM1062+AM1010&gt;0,'Assumptions (Solar)'!AL33*(Model!AM900+Model!AM901-Model!AM899-AM1062+AM1010)-'Assumptions (Solar)'!AL34*Model!AM898/10^3,-'Assumptions (Solar)'!AL34*Model!AM898/10^3)</f>
        <v>-2.101975908</v>
      </c>
      <c r="AN1115" s="160">
        <f>IF(Model!AN900+Model!AN901-Model!AN899-AN1062+AN1010&gt;0,'Assumptions (Solar)'!AM33*(Model!AN900+Model!AN901-Model!AN899-AN1062+AN1010)-'Assumptions (Solar)'!AM34*Model!AN898/10^3,-'Assumptions (Solar)'!AM34*Model!AN898/10^3)</f>
        <v>-2.225978592</v>
      </c>
      <c r="AO1115" s="160">
        <f>IF(Model!AO900+Model!AO901-Model!AO899-AO1062+AO1010&gt;0,'Assumptions (Solar)'!AN33*(Model!AO900+Model!AO901-Model!AO899-AO1062+AO1010)-'Assumptions (Solar)'!AN34*Model!AO898/10^3,-'Assumptions (Solar)'!AN34*Model!AO898/10^3)</f>
        <v>-2.355740779</v>
      </c>
      <c r="AP1115" s="160">
        <f>IF(Model!AP900+Model!AP901-Model!AP899-AP1062+AP1010&gt;0,'Assumptions (Solar)'!AO33*(Model!AP900+Model!AP901-Model!AP899-AP1062+AP1010)-'Assumptions (Solar)'!AO34*Model!AP898/10^3,-'Assumptions (Solar)'!AO34*Model!AP898/10^3)</f>
        <v>-2.501407544</v>
      </c>
      <c r="AQ1115" s="160">
        <f>IF(Model!AQ900+Model!AQ901-Model!AQ899-AQ1062+AQ1010&gt;0,'Assumptions (Solar)'!AP33*(Model!AQ900+Model!AQ901-Model!AQ899-AQ1062+AQ1010)-'Assumptions (Solar)'!AP34*Model!AQ898/10^3,-'Assumptions (Solar)'!AP34*Model!AQ898/10^3)</f>
        <v>-2.663781037</v>
      </c>
      <c r="AR1115" s="160">
        <f>IF(Model!AR900+Model!AR901-Model!AR899-AR1062+AR1010&gt;0,'Assumptions (Solar)'!AQ33*(Model!AR900+Model!AR901-Model!AR899-AR1062+AR1010)-'Assumptions (Solar)'!AQ34*Model!AR898/10^3,-'Assumptions (Solar)'!AQ34*Model!AR898/10^3)</f>
        <v>-2.87000625</v>
      </c>
      <c r="AS1115" s="160">
        <f>IF(Model!AS900+Model!AS901-Model!AS899-AS1062+AS1010&gt;0,'Assumptions (Solar)'!AR33*(Model!AS900+Model!AS901-Model!AS899-AS1062+AS1010)-'Assumptions (Solar)'!AR34*Model!AS898/10^3,-'Assumptions (Solar)'!AR34*Model!AS898/10^3)</f>
        <v>-3.12854064</v>
      </c>
      <c r="AT1115" s="160">
        <f>IF(Model!AT900+Model!AT901-Model!AT899-AT1062+AT1010&gt;0,'Assumptions (Solar)'!AS33*(Model!AT900+Model!AT901-Model!AT899-AT1062+AT1010)-'Assumptions (Solar)'!AS34*Model!AT898/10^3,-'Assumptions (Solar)'!AS34*Model!AT898/10^3)</f>
        <v>-3.369488603</v>
      </c>
      <c r="AU1115" s="160">
        <f>IF(Model!AU900+Model!AU901-Model!AU899-AU1062+AU1010&gt;0,'Assumptions (Solar)'!AT33*(Model!AU900+Model!AU901-Model!AU899-AU1062+AU1010)-'Assumptions (Solar)'!AT34*Model!AU898/10^3,-'Assumptions (Solar)'!AT34*Model!AU898/10^3)</f>
        <v>-3.536432229</v>
      </c>
      <c r="AV1115" s="160">
        <f>IF(Model!AV900+Model!AV901-Model!AV899-AV1062+AV1010&gt;0,'Assumptions (Solar)'!AU33*(Model!AV900+Model!AV901-Model!AV899-AV1062+AV1010)-'Assumptions (Solar)'!AU34*Model!AV898/10^3,-'Assumptions (Solar)'!AU34*Model!AV898/10^3)</f>
        <v>-3.625109336</v>
      </c>
      <c r="AW1115" s="160">
        <f>IF(Model!AW900+Model!AW901-Model!AW899-AW1062+AW1010&gt;0,'Assumptions (Solar)'!AV33*(Model!AW900+Model!AW901-Model!AW899-AW1062+AW1010)-'Assumptions (Solar)'!AV34*Model!AW898/10^3,-'Assumptions (Solar)'!AV34*Model!AW898/10^3)</f>
        <v>-3.706602742</v>
      </c>
      <c r="AX1115" s="160">
        <f>IF(Model!AX900+Model!AX901-Model!AX899-AX1062+AX1010&gt;0,'Assumptions (Solar)'!AW33*(Model!AX900+Model!AX901-Model!AX899-AX1062+AX1010)-'Assumptions (Solar)'!AW34*Model!AX898/10^3,-'Assumptions (Solar)'!AW34*Model!AX898/10^3)</f>
        <v>-3.897514511</v>
      </c>
      <c r="AY1115" s="160">
        <f>IF(Model!AY900+Model!AY901-Model!AY899-AY1062+AY1010&gt;0,'Assumptions (Solar)'!AX33*(Model!AY900+Model!AY901-Model!AY899-AY1062+AY1010)-'Assumptions (Solar)'!AX34*Model!AY898/10^3,-'Assumptions (Solar)'!AX34*Model!AY898/10^3)</f>
        <v>-4.111583266</v>
      </c>
      <c r="AZ1115" s="160">
        <f>IF(Model!AZ900+Model!AZ901-Model!AZ899-AZ1062+AZ1010&gt;0,'Assumptions (Solar)'!AY33*(Model!AZ900+Model!AZ901-Model!AZ899-AZ1062+AZ1010)-'Assumptions (Solar)'!AY34*Model!AZ898/10^3,-'Assumptions (Solar)'!AY34*Model!AZ898/10^3)</f>
        <v>-4.315021925</v>
      </c>
      <c r="BA1115" s="160">
        <f>IF(Model!BA900+Model!BA901-Model!BA899-BA1062+BA1010&gt;0,'Assumptions (Solar)'!AZ33*(Model!BA900+Model!BA901-Model!BA899-BA1062+BA1010)-'Assumptions (Solar)'!AZ34*Model!BA898/10^3,-'Assumptions (Solar)'!AZ34*Model!BA898/10^3)</f>
        <v>-4.531861875</v>
      </c>
    </row>
    <row r="1116" ht="15.75" customHeight="1">
      <c r="A1116" s="254" t="s">
        <v>363</v>
      </c>
      <c r="B1116" s="150" t="s">
        <v>364</v>
      </c>
      <c r="C1116" s="256">
        <f>C902*'Assumptions (Solar)'!$V$32/1000000000</f>
        <v>0</v>
      </c>
      <c r="D1116" s="256">
        <f>D902*'Assumptions (Solar)'!$V$32/1000000000</f>
        <v>0</v>
      </c>
      <c r="E1116" s="256">
        <f>E902*'Assumptions (Solar)'!$V$32/1000000000</f>
        <v>0</v>
      </c>
      <c r="F1116" s="256">
        <f>F902*'Assumptions (Solar)'!$V$32/1000000000</f>
        <v>0</v>
      </c>
      <c r="G1116" s="256">
        <f>G902*'Assumptions (Solar)'!$V$32/1000000000</f>
        <v>0</v>
      </c>
      <c r="H1116" s="256">
        <f>H902*'Assumptions (Solar)'!$V$32/1000000000</f>
        <v>0</v>
      </c>
      <c r="I1116" s="256">
        <f>I902*'Assumptions (Solar)'!$V$32/1000000000</f>
        <v>0</v>
      </c>
      <c r="J1116" s="256">
        <f>J902*'Assumptions (Solar)'!$V$32/1000000000</f>
        <v>0</v>
      </c>
      <c r="K1116" s="256">
        <f>K902*'Assumptions (Solar)'!$V$32/1000000000</f>
        <v>0.005216</v>
      </c>
      <c r="L1116" s="256">
        <f>L902*'Assumptions (Solar)'!$V$32/1000000000</f>
        <v>0</v>
      </c>
      <c r="M1116" s="256">
        <f>M902*'Assumptions (Solar)'!$V$32/1000000000</f>
        <v>0.012062</v>
      </c>
      <c r="N1116" s="256">
        <f>N902*'Assumptions (Solar)'!$V$32/1000000000</f>
        <v>0.043195</v>
      </c>
      <c r="O1116" s="256">
        <f>O902*'Assumptions (Solar)'!$V$32/1000000000</f>
        <v>0.181908</v>
      </c>
      <c r="P1116" s="256">
        <f>P902*'Assumptions (Solar)'!$V$32/1000000000</f>
        <v>0.460312</v>
      </c>
      <c r="Q1116" s="256">
        <f>Q902*'Assumptions (Solar)'!$V$32/1000000000</f>
        <v>0.665692</v>
      </c>
      <c r="R1116" s="256">
        <f>R902*'Assumptions (Solar)'!$V$32/1000000000</f>
        <v>1.777189</v>
      </c>
      <c r="S1116" s="256">
        <f>S902*'Assumptions (Solar)'!$V$32/1000000000</f>
        <v>2.696183</v>
      </c>
      <c r="T1116" s="256">
        <f>T902*'Assumptions (Solar)'!$V$32/1000000000</f>
        <v>2.381593</v>
      </c>
      <c r="U1116" s="256">
        <f>U902*'Assumptions (Solar)'!$V$32/1000000000</f>
        <v>1.434726</v>
      </c>
      <c r="V1116" s="256">
        <f>V902*'Assumptions (Solar)'!$V$32/1000000000</f>
        <v>0</v>
      </c>
      <c r="W1116" s="256">
        <f>W902*'Assumptions (Solar)'!$V$32/1000000000</f>
        <v>0</v>
      </c>
      <c r="X1116" s="256">
        <f>X902*'Assumptions (Solar)'!$V$32/1000000000</f>
        <v>2.308028316</v>
      </c>
      <c r="Y1116" s="256">
        <f>Y902*'Assumptions (Solar)'!$V$32/1000000000</f>
        <v>2.308028316</v>
      </c>
      <c r="Z1116" s="256">
        <f>Z902*'Assumptions (Solar)'!$V$32/1000000000</f>
        <v>2.308028316</v>
      </c>
      <c r="AA1116" s="256">
        <f>AA902*'Assumptions (Solar)'!$V$32/1000000000</f>
        <v>2.308028316</v>
      </c>
      <c r="AB1116" s="256">
        <f>AB902*'Assumptions (Solar)'!$V$32/1000000000</f>
        <v>2.308028316</v>
      </c>
      <c r="AC1116" s="256">
        <f>AC902*'Assumptions (Solar)'!$V$32/1000000000</f>
        <v>2.308028316</v>
      </c>
      <c r="AD1116" s="256">
        <f>AD902*'Assumptions (Solar)'!$V$32/1000000000</f>
        <v>2.308028316</v>
      </c>
      <c r="AE1116" s="256">
        <f>AE902*'Assumptions (Solar)'!$V$32/1000000000</f>
        <v>2.308028316</v>
      </c>
      <c r="AF1116" s="256">
        <f>AF902*'Assumptions (Solar)'!$V$32/1000000000</f>
        <v>2.308028316</v>
      </c>
      <c r="AG1116" s="256">
        <f>AG902*'Assumptions (Solar)'!$V$32/1000000000</f>
        <v>2.308028316</v>
      </c>
      <c r="AH1116" s="256">
        <f>AH902*'Assumptions (Solar)'!$V$32/1000000000</f>
        <v>2.308028316</v>
      </c>
      <c r="AI1116" s="256">
        <f>AI902*'Assumptions (Solar)'!$V$32/1000000000</f>
        <v>2.308028316</v>
      </c>
      <c r="AJ1116" s="256">
        <f>AJ902*'Assumptions (Solar)'!$V$32/1000000000</f>
        <v>2.308028316</v>
      </c>
      <c r="AK1116" s="256">
        <f>AK902*'Assumptions (Solar)'!$V$32/1000000000</f>
        <v>2.313244316</v>
      </c>
      <c r="AL1116" s="256">
        <f>AL902*'Assumptions (Solar)'!$V$32/1000000000</f>
        <v>2.308028316</v>
      </c>
      <c r="AM1116" s="256">
        <f>AM902*'Assumptions (Solar)'!$V$32/1000000000</f>
        <v>2.320090316</v>
      </c>
      <c r="AN1116" s="256">
        <f>AN902*'Assumptions (Solar)'!$V$32/1000000000</f>
        <v>2.351223316</v>
      </c>
      <c r="AO1116" s="256">
        <f>AO902*'Assumptions (Solar)'!$V$32/1000000000</f>
        <v>2.489936316</v>
      </c>
      <c r="AP1116" s="256">
        <f>AP902*'Assumptions (Solar)'!$V$32/1000000000</f>
        <v>2.768340316</v>
      </c>
      <c r="AQ1116" s="256">
        <f>AQ902*'Assumptions (Solar)'!$V$32/1000000000</f>
        <v>2.973720316</v>
      </c>
      <c r="AR1116" s="256">
        <f>AR902*'Assumptions (Solar)'!$V$32/1000000000</f>
        <v>4.085217316</v>
      </c>
      <c r="AS1116" s="256">
        <f>AS902*'Assumptions (Solar)'!$V$32/1000000000</f>
        <v>5.004211316</v>
      </c>
      <c r="AT1116" s="256">
        <f>AT902*'Assumptions (Solar)'!$V$32/1000000000</f>
        <v>4.689621316</v>
      </c>
      <c r="AU1116" s="256">
        <f>AU902*'Assumptions (Solar)'!$V$32/1000000000</f>
        <v>3.742754316</v>
      </c>
      <c r="AV1116" s="256">
        <f>AV902*'Assumptions (Solar)'!$V$32/1000000000</f>
        <v>2.308028316</v>
      </c>
      <c r="AW1116" s="256">
        <f>AW902*'Assumptions (Solar)'!$V$32/1000000000</f>
        <v>2.308028316</v>
      </c>
      <c r="AX1116" s="256">
        <f>AX902*'Assumptions (Solar)'!$V$32/1000000000</f>
        <v>4.616056632</v>
      </c>
      <c r="AY1116" s="256">
        <f>AY902*'Assumptions (Solar)'!$V$32/1000000000</f>
        <v>4.616056632</v>
      </c>
      <c r="AZ1116" s="256">
        <f>AZ902*'Assumptions (Solar)'!$V$32/1000000000</f>
        <v>4.616056632</v>
      </c>
      <c r="BA1116" s="256">
        <f>BA902*'Assumptions (Solar)'!$V$32/1000000000</f>
        <v>4.616056632</v>
      </c>
    </row>
    <row r="1117" ht="15.75" customHeight="1">
      <c r="A1117" s="257" t="s">
        <v>418</v>
      </c>
      <c r="B1117" s="38"/>
      <c r="C1117" s="78"/>
      <c r="D1117" s="78"/>
      <c r="E1117" s="78"/>
      <c r="F1117" s="78"/>
      <c r="G1117" s="78"/>
      <c r="H1117" s="78"/>
      <c r="I1117" s="78"/>
      <c r="J1117" s="78"/>
      <c r="K1117" s="78"/>
      <c r="L1117" s="78"/>
      <c r="M1117" s="78"/>
      <c r="N1117" s="78"/>
      <c r="O1117" s="78"/>
      <c r="P1117" s="78"/>
      <c r="Q1117" s="78"/>
      <c r="R1117" s="78"/>
      <c r="S1117" s="78"/>
      <c r="T1117" s="78"/>
      <c r="U1117" s="78"/>
      <c r="V1117" s="78"/>
      <c r="W1117" s="139"/>
    </row>
    <row r="1118" ht="15.75" customHeight="1">
      <c r="A1118" s="258"/>
      <c r="B1118" s="38"/>
      <c r="C1118" s="259"/>
      <c r="D1118" s="78"/>
      <c r="E1118" s="78"/>
      <c r="F1118" s="78"/>
      <c r="G1118" s="78"/>
      <c r="H1118" s="78"/>
      <c r="I1118" s="78"/>
      <c r="J1118" s="78"/>
      <c r="K1118" s="78"/>
      <c r="L1118" s="78"/>
      <c r="M1118" s="78"/>
      <c r="N1118" s="78"/>
      <c r="O1118" s="78"/>
      <c r="P1118" s="78"/>
      <c r="Q1118" s="78"/>
      <c r="R1118" s="78"/>
      <c r="S1118" s="78"/>
      <c r="T1118" s="78"/>
      <c r="U1118" s="78"/>
      <c r="V1118" s="78"/>
      <c r="W1118" s="139"/>
    </row>
    <row r="1119" ht="15.75" customHeight="1">
      <c r="A1119" s="257" t="s">
        <v>419</v>
      </c>
      <c r="B1119" s="21"/>
      <c r="C1119" s="78"/>
      <c r="D1119" s="78"/>
      <c r="E1119" s="78"/>
      <c r="F1119" s="78"/>
      <c r="G1119" s="78"/>
      <c r="H1119" s="78"/>
      <c r="I1119" s="78"/>
      <c r="J1119" s="78"/>
      <c r="K1119" s="78"/>
      <c r="L1119" s="78"/>
      <c r="M1119" s="78"/>
      <c r="N1119" s="78"/>
      <c r="O1119" s="78"/>
      <c r="P1119" s="78"/>
      <c r="Q1119" s="78"/>
      <c r="R1119" s="78"/>
      <c r="S1119" s="78"/>
      <c r="T1119" s="78"/>
      <c r="U1119" s="78"/>
      <c r="V1119" s="78"/>
      <c r="W1119" s="139"/>
    </row>
    <row r="1120" ht="15.75" customHeight="1">
      <c r="A1120" s="258"/>
      <c r="B1120" s="234" t="s">
        <v>411</v>
      </c>
      <c r="C1120" s="21"/>
      <c r="D1120" s="38"/>
      <c r="E1120" s="38"/>
      <c r="F1120" s="38"/>
      <c r="G1120" s="38"/>
      <c r="H1120" s="38"/>
      <c r="I1120" s="38"/>
      <c r="J1120" s="38"/>
      <c r="K1120" s="38"/>
      <c r="L1120" s="38"/>
      <c r="M1120" s="38"/>
      <c r="N1120" s="38"/>
      <c r="O1120" s="38"/>
      <c r="P1120" s="38"/>
      <c r="Q1120" s="38"/>
      <c r="R1120" s="38"/>
      <c r="S1120" s="38"/>
      <c r="T1120" s="38"/>
      <c r="U1120" s="38"/>
      <c r="V1120" s="38"/>
      <c r="W1120" s="38"/>
      <c r="X1120" s="252">
        <f>'Assumptions (Nuclear)'!W46</f>
        <v>0</v>
      </c>
      <c r="Y1120" s="252">
        <f>'Assumptions (Nuclear)'!X46</f>
        <v>0</v>
      </c>
      <c r="Z1120" s="252">
        <f>'Assumptions (Nuclear)'!Y46</f>
        <v>0</v>
      </c>
      <c r="AA1120" s="252">
        <f>'Assumptions (Nuclear)'!Z46</f>
        <v>0</v>
      </c>
      <c r="AB1120" s="252">
        <f>'Assumptions (Nuclear)'!AA46</f>
        <v>0</v>
      </c>
      <c r="AC1120" s="252">
        <f>'Assumptions (Nuclear)'!AB46</f>
        <v>0</v>
      </c>
      <c r="AD1120" s="252">
        <f>'Assumptions (Nuclear)'!AC46</f>
        <v>0</v>
      </c>
      <c r="AE1120" s="252">
        <f>'Assumptions (Nuclear)'!AD46</f>
        <v>0</v>
      </c>
      <c r="AF1120" s="252">
        <f>'Assumptions (Nuclear)'!AE46</f>
        <v>0</v>
      </c>
      <c r="AG1120" s="252">
        <f>'Assumptions (Nuclear)'!AF46</f>
        <v>0</v>
      </c>
      <c r="AH1120" s="252">
        <f>'Assumptions (Nuclear)'!AG46</f>
        <v>0</v>
      </c>
      <c r="AI1120" s="252">
        <f>'Assumptions (Nuclear)'!AH46</f>
        <v>0</v>
      </c>
      <c r="AJ1120" s="252">
        <f>'Assumptions (Nuclear)'!AI46</f>
        <v>768.6</v>
      </c>
      <c r="AK1120" s="252">
        <f>'Assumptions (Nuclear)'!AJ46</f>
        <v>0</v>
      </c>
      <c r="AL1120" s="252">
        <f>'Assumptions (Nuclear)'!AK46</f>
        <v>886.7</v>
      </c>
      <c r="AM1120" s="252">
        <f>'Assumptions (Nuclear)'!AL46</f>
        <v>2932</v>
      </c>
      <c r="AN1120" s="252">
        <f>'Assumptions (Nuclear)'!AM46</f>
        <v>3010.7</v>
      </c>
      <c r="AO1120" s="252">
        <f>'Assumptions (Nuclear)'!AN46</f>
        <v>0</v>
      </c>
      <c r="AP1120" s="252">
        <f>'Assumptions (Nuclear)'!AO46</f>
        <v>3079.8</v>
      </c>
      <c r="AQ1120" s="252">
        <f>'Assumptions (Nuclear)'!AP46</f>
        <v>0</v>
      </c>
      <c r="AR1120" s="252">
        <f>'Assumptions (Nuclear)'!AQ46</f>
        <v>864.7</v>
      </c>
      <c r="AS1120" s="252">
        <f>'Assumptions (Nuclear)'!AR46</f>
        <v>0</v>
      </c>
      <c r="AT1120" s="252">
        <f>'Assumptions (Nuclear)'!AS46</f>
        <v>3329</v>
      </c>
      <c r="AU1120" s="252">
        <f>'Assumptions (Nuclear)'!AT46</f>
        <v>1220.5</v>
      </c>
      <c r="AV1120" s="252">
        <f>'Assumptions (Nuclear)'!AU46</f>
        <v>0</v>
      </c>
      <c r="AW1120" s="252">
        <f>'Assumptions (Nuclear)'!AV46</f>
        <v>2249.9</v>
      </c>
      <c r="AX1120" s="252">
        <f>'Assumptions (Nuclear)'!AW46</f>
        <v>2645.1</v>
      </c>
      <c r="AY1120" s="252">
        <f>'Assumptions (Nuclear)'!AX46</f>
        <v>1205.1</v>
      </c>
      <c r="AZ1120" s="252">
        <f>'Assumptions (Nuclear)'!AY46</f>
        <v>2110.9</v>
      </c>
      <c r="BA1120" s="252">
        <f>'Assumptions (Nuclear)'!AZ46</f>
        <v>0</v>
      </c>
    </row>
    <row r="1121" ht="15.75" customHeight="1">
      <c r="A1121" s="260" t="s">
        <v>420</v>
      </c>
      <c r="B1121" s="237" t="s">
        <v>413</v>
      </c>
      <c r="C1121" s="21"/>
      <c r="D1121" s="21"/>
      <c r="E1121" s="21"/>
      <c r="F1121" s="21"/>
      <c r="G1121" s="21"/>
      <c r="H1121" s="21"/>
      <c r="I1121" s="21"/>
      <c r="J1121" s="21"/>
      <c r="K1121" s="38"/>
      <c r="L1121" s="38"/>
      <c r="M1121" s="38"/>
      <c r="N1121" s="38"/>
      <c r="O1121" s="38"/>
      <c r="P1121" s="38"/>
      <c r="Q1121" s="38"/>
      <c r="R1121" s="38"/>
      <c r="S1121" s="38"/>
      <c r="T1121" s="38"/>
      <c r="U1121" s="38"/>
      <c r="V1121" s="38"/>
      <c r="W1121" s="38"/>
      <c r="X1121" s="238">
        <f>W1122-'Assumptions (Nuclear)'!W46+W1129</f>
        <v>28002.8</v>
      </c>
      <c r="Y1121" s="167">
        <f>X1121-'Assumptions (Nuclear)'!X46+X1129</f>
        <v>28088.58808</v>
      </c>
      <c r="Z1121" s="167">
        <f>Y1121-'Assumptions (Nuclear)'!Y46+Y1129</f>
        <v>28174.37616</v>
      </c>
      <c r="AA1121" s="167">
        <f>Z1121-'Assumptions (Nuclear)'!Z46+Z1129</f>
        <v>28260.16425</v>
      </c>
      <c r="AB1121" s="167">
        <f>AA1121-'Assumptions (Nuclear)'!AA46+AA1129</f>
        <v>28345.95233</v>
      </c>
      <c r="AC1121" s="167">
        <f>AB1121-'Assumptions (Nuclear)'!AB46+AB1129</f>
        <v>28431.74041</v>
      </c>
      <c r="AD1121" s="167">
        <f>AC1121-'Assumptions (Nuclear)'!AC46+AC1129</f>
        <v>28517.52849</v>
      </c>
      <c r="AE1121" s="167">
        <f>AD1121-'Assumptions (Nuclear)'!AD46+AD1129</f>
        <v>28603.31658</v>
      </c>
      <c r="AF1121" s="167">
        <f>AE1121-'Assumptions (Nuclear)'!AE46+AE1129</f>
        <v>28689.10466</v>
      </c>
      <c r="AG1121" s="167">
        <f>AF1121-'Assumptions (Nuclear)'!AF46+AF1129</f>
        <v>28774.89274</v>
      </c>
      <c r="AH1121" s="167">
        <f>AG1121-'Assumptions (Nuclear)'!AG46+AG1129</f>
        <v>28860.68082</v>
      </c>
      <c r="AI1121" s="167">
        <f>AH1121-'Assumptions (Nuclear)'!AH46+AH1129</f>
        <v>28946.4689</v>
      </c>
      <c r="AJ1121" s="167">
        <f>AI1121-'Assumptions (Nuclear)'!AI46+AI1129</f>
        <v>28263.65699</v>
      </c>
      <c r="AK1121" s="167">
        <f>AJ1121-'Assumptions (Nuclear)'!AJ46+AJ1129</f>
        <v>29118.04507</v>
      </c>
      <c r="AL1121" s="167">
        <f>AK1121-'Assumptions (Nuclear)'!AK46+AK1129</f>
        <v>28317.13315</v>
      </c>
      <c r="AM1121" s="167">
        <f>AL1121-'Assumptions (Nuclear)'!AL46+AL1129</f>
        <v>26357.62123</v>
      </c>
      <c r="AN1121" s="167">
        <f>AM1121-'Assumptions (Nuclear)'!AM46+AM1129</f>
        <v>26364.70932</v>
      </c>
      <c r="AO1121" s="167">
        <f>AN1121-'Assumptions (Nuclear)'!AN46+AN1129</f>
        <v>29461.1974</v>
      </c>
      <c r="AP1121" s="167">
        <f>AO1121-'Assumptions (Nuclear)'!AO46+AO1129</f>
        <v>26467.18548</v>
      </c>
      <c r="AQ1121" s="167">
        <f>AP1121-'Assumptions (Nuclear)'!AP46+AP1129</f>
        <v>29632.77356</v>
      </c>
      <c r="AR1121" s="167">
        <f>AQ1121-'Assumptions (Nuclear)'!AQ46+AQ1129</f>
        <v>28853.86164</v>
      </c>
      <c r="AS1121" s="167">
        <f>AR1121-'Assumptions (Nuclear)'!AR46+AR1129</f>
        <v>29804.34973</v>
      </c>
      <c r="AT1121" s="167">
        <f>AS1121-'Assumptions (Nuclear)'!AS46+AS1129</f>
        <v>26561.13781</v>
      </c>
      <c r="AU1121" s="167">
        <f>AT1121-'Assumptions (Nuclear)'!AT46+AT1129</f>
        <v>28755.42589</v>
      </c>
      <c r="AV1121" s="167">
        <f>AU1121-'Assumptions (Nuclear)'!AU46+AU1129</f>
        <v>30061.71397</v>
      </c>
      <c r="AW1121" s="167">
        <f>AV1121-'Assumptions (Nuclear)'!AV46+AV1129</f>
        <v>27897.60206</v>
      </c>
      <c r="AX1121" s="167">
        <f>AW1121-'Assumptions (Nuclear)'!AW46+AW1129</f>
        <v>27588.19014</v>
      </c>
      <c r="AY1121" s="167">
        <f>AX1121-'Assumptions (Nuclear)'!AX46+AX1129</f>
        <v>29113.97822</v>
      </c>
      <c r="AZ1121" s="167">
        <f>AY1121-'Assumptions (Nuclear)'!AY46+AY1129</f>
        <v>28293.9663</v>
      </c>
      <c r="BA1121" s="167">
        <f>AZ1121-'Assumptions (Nuclear)'!AZ46+AZ1129</f>
        <v>30490.65438</v>
      </c>
    </row>
    <row r="1122" ht="15.75" customHeight="1">
      <c r="A1122" s="261" t="s">
        <v>350</v>
      </c>
      <c r="B1122" s="150" t="s">
        <v>149</v>
      </c>
      <c r="C1122" s="151">
        <v>26732.9</v>
      </c>
      <c r="D1122" s="151">
        <v>26732.9</v>
      </c>
      <c r="E1122" s="151">
        <v>26732.9</v>
      </c>
      <c r="F1122" s="151">
        <v>26732.9</v>
      </c>
      <c r="G1122" s="151">
        <v>26732.9</v>
      </c>
      <c r="H1122" s="151">
        <v>26732.9</v>
      </c>
      <c r="I1122" s="151">
        <v>26732.9</v>
      </c>
      <c r="J1122" s="151">
        <v>26732.9</v>
      </c>
      <c r="K1122" s="151">
        <v>26732.9</v>
      </c>
      <c r="L1122" s="151">
        <v>26732.9</v>
      </c>
      <c r="M1122" s="151">
        <v>26732.9</v>
      </c>
      <c r="N1122" s="151">
        <v>26732.9</v>
      </c>
      <c r="O1122" s="151">
        <v>26732.9</v>
      </c>
      <c r="P1122" s="151">
        <v>26732.9</v>
      </c>
      <c r="Q1122" s="151">
        <v>26732.9</v>
      </c>
      <c r="R1122" s="151">
        <v>26732.9</v>
      </c>
      <c r="S1122" s="151">
        <v>28002.8</v>
      </c>
      <c r="T1122" s="151">
        <v>28002.8</v>
      </c>
      <c r="U1122" s="151">
        <v>28002.8</v>
      </c>
      <c r="V1122" s="172">
        <f t="shared" ref="V1122:W1122" si="44">U1122+V1129</f>
        <v>28002.8</v>
      </c>
      <c r="W1122" s="153">
        <f t="shared" si="44"/>
        <v>28002.8</v>
      </c>
      <c r="X1122" s="154">
        <f t="shared" ref="X1122:AZ1122" si="45">W1122+($BA$1122-$W$1122)/($BA$2-$W$2)</f>
        <v>28088.58808</v>
      </c>
      <c r="Y1122" s="154">
        <f t="shared" si="45"/>
        <v>28174.37616</v>
      </c>
      <c r="Z1122" s="154">
        <f t="shared" si="45"/>
        <v>28260.16425</v>
      </c>
      <c r="AA1122" s="154">
        <f t="shared" si="45"/>
        <v>28345.95233</v>
      </c>
      <c r="AB1122" s="154">
        <f t="shared" si="45"/>
        <v>28431.74041</v>
      </c>
      <c r="AC1122" s="154">
        <f t="shared" si="45"/>
        <v>28517.52849</v>
      </c>
      <c r="AD1122" s="154">
        <f t="shared" si="45"/>
        <v>28603.31658</v>
      </c>
      <c r="AE1122" s="154">
        <f t="shared" si="45"/>
        <v>28689.10466</v>
      </c>
      <c r="AF1122" s="154">
        <f t="shared" si="45"/>
        <v>28774.89274</v>
      </c>
      <c r="AG1122" s="154">
        <f t="shared" si="45"/>
        <v>28860.68082</v>
      </c>
      <c r="AH1122" s="154">
        <f t="shared" si="45"/>
        <v>28946.4689</v>
      </c>
      <c r="AI1122" s="154">
        <f t="shared" si="45"/>
        <v>29032.25699</v>
      </c>
      <c r="AJ1122" s="154">
        <f t="shared" si="45"/>
        <v>29118.04507</v>
      </c>
      <c r="AK1122" s="154">
        <f t="shared" si="45"/>
        <v>29203.83315</v>
      </c>
      <c r="AL1122" s="154">
        <f t="shared" si="45"/>
        <v>29289.62123</v>
      </c>
      <c r="AM1122" s="154">
        <f t="shared" si="45"/>
        <v>29375.40932</v>
      </c>
      <c r="AN1122" s="154">
        <f t="shared" si="45"/>
        <v>29461.1974</v>
      </c>
      <c r="AO1122" s="154">
        <f t="shared" si="45"/>
        <v>29546.98548</v>
      </c>
      <c r="AP1122" s="154">
        <f t="shared" si="45"/>
        <v>29632.77356</v>
      </c>
      <c r="AQ1122" s="154">
        <f t="shared" si="45"/>
        <v>29718.56164</v>
      </c>
      <c r="AR1122" s="154">
        <f t="shared" si="45"/>
        <v>29804.34973</v>
      </c>
      <c r="AS1122" s="154">
        <f t="shared" si="45"/>
        <v>29890.13781</v>
      </c>
      <c r="AT1122" s="154">
        <f t="shared" si="45"/>
        <v>29975.92589</v>
      </c>
      <c r="AU1122" s="154">
        <f t="shared" si="45"/>
        <v>30061.71397</v>
      </c>
      <c r="AV1122" s="154">
        <f t="shared" si="45"/>
        <v>30147.50206</v>
      </c>
      <c r="AW1122" s="154">
        <f t="shared" si="45"/>
        <v>30233.29014</v>
      </c>
      <c r="AX1122" s="154">
        <f t="shared" si="45"/>
        <v>30319.07822</v>
      </c>
      <c r="AY1122" s="154">
        <f t="shared" si="45"/>
        <v>30404.8663</v>
      </c>
      <c r="AZ1122" s="154">
        <f t="shared" si="45"/>
        <v>30490.65438</v>
      </c>
      <c r="BA1122" s="155">
        <f>Inputs!$H$4</f>
        <v>30576.44247</v>
      </c>
    </row>
    <row r="1123" ht="15.75" customHeight="1">
      <c r="A1123" s="262" t="s">
        <v>28</v>
      </c>
      <c r="B1123" s="159" t="s">
        <v>150</v>
      </c>
      <c r="C1123" s="156">
        <v>190.375492</v>
      </c>
      <c r="D1123" s="156">
        <v>190.184168</v>
      </c>
      <c r="E1123" s="156">
        <v>193.550748</v>
      </c>
      <c r="F1123" s="156">
        <v>191.313228</v>
      </c>
      <c r="G1123" s="156">
        <v>195.519794</v>
      </c>
      <c r="H1123" s="156">
        <v>194.228729</v>
      </c>
      <c r="I1123" s="156">
        <v>189.774825</v>
      </c>
      <c r="J1123" s="156">
        <v>198.173899</v>
      </c>
      <c r="K1123" s="156">
        <v>198.649373</v>
      </c>
      <c r="L1123" s="156">
        <v>202.356744</v>
      </c>
      <c r="M1123" s="156">
        <v>201.562924</v>
      </c>
      <c r="N1123" s="156">
        <v>202.347679</v>
      </c>
      <c r="O1123" s="156">
        <v>197.711975</v>
      </c>
      <c r="P1123" s="156">
        <v>207.570944</v>
      </c>
      <c r="Q1123" s="156">
        <v>205.121633</v>
      </c>
      <c r="R1123" s="156">
        <v>207.717985</v>
      </c>
      <c r="S1123" s="156">
        <v>208.469902</v>
      </c>
      <c r="T1123" s="156">
        <v>212.261746</v>
      </c>
      <c r="U1123" s="156">
        <v>211.714773</v>
      </c>
      <c r="V1123" s="157">
        <f t="shared" ref="V1123:W1123" si="46">U1123</f>
        <v>211.714773</v>
      </c>
      <c r="W1123" s="157">
        <f t="shared" si="46"/>
        <v>211.714773</v>
      </c>
      <c r="X1123" s="154">
        <f t="shared" ref="X1123:AZ1123" si="47">W1123+($BA$1123-$W$1123)/($BA$2-$W$2)</f>
        <v>213.139519</v>
      </c>
      <c r="Y1123" s="154">
        <f t="shared" si="47"/>
        <v>214.5642651</v>
      </c>
      <c r="Z1123" s="154">
        <f t="shared" si="47"/>
        <v>215.9890111</v>
      </c>
      <c r="AA1123" s="154">
        <f t="shared" si="47"/>
        <v>217.4137572</v>
      </c>
      <c r="AB1123" s="154">
        <f t="shared" si="47"/>
        <v>218.8385032</v>
      </c>
      <c r="AC1123" s="154">
        <f t="shared" si="47"/>
        <v>220.2632492</v>
      </c>
      <c r="AD1123" s="154">
        <f t="shared" si="47"/>
        <v>221.6879953</v>
      </c>
      <c r="AE1123" s="154">
        <f t="shared" si="47"/>
        <v>223.1127413</v>
      </c>
      <c r="AF1123" s="154">
        <f t="shared" si="47"/>
        <v>224.5374874</v>
      </c>
      <c r="AG1123" s="154">
        <f t="shared" si="47"/>
        <v>225.9622334</v>
      </c>
      <c r="AH1123" s="154">
        <f t="shared" si="47"/>
        <v>227.3869794</v>
      </c>
      <c r="AI1123" s="154">
        <f t="shared" si="47"/>
        <v>228.8117255</v>
      </c>
      <c r="AJ1123" s="154">
        <f t="shared" si="47"/>
        <v>230.2364715</v>
      </c>
      <c r="AK1123" s="154">
        <f t="shared" si="47"/>
        <v>231.6612176</v>
      </c>
      <c r="AL1123" s="154">
        <f t="shared" si="47"/>
        <v>233.0859636</v>
      </c>
      <c r="AM1123" s="154">
        <f t="shared" si="47"/>
        <v>234.5107096</v>
      </c>
      <c r="AN1123" s="154">
        <f t="shared" si="47"/>
        <v>235.9354557</v>
      </c>
      <c r="AO1123" s="154">
        <f t="shared" si="47"/>
        <v>237.3602017</v>
      </c>
      <c r="AP1123" s="154">
        <f t="shared" si="47"/>
        <v>238.7849478</v>
      </c>
      <c r="AQ1123" s="154">
        <f t="shared" si="47"/>
        <v>240.2096938</v>
      </c>
      <c r="AR1123" s="154">
        <f t="shared" si="47"/>
        <v>241.6344398</v>
      </c>
      <c r="AS1123" s="154">
        <f t="shared" si="47"/>
        <v>243.0591859</v>
      </c>
      <c r="AT1123" s="154">
        <f t="shared" si="47"/>
        <v>244.4839319</v>
      </c>
      <c r="AU1123" s="154">
        <f t="shared" si="47"/>
        <v>245.908678</v>
      </c>
      <c r="AV1123" s="154">
        <f t="shared" si="47"/>
        <v>247.333424</v>
      </c>
      <c r="AW1123" s="154">
        <f t="shared" si="47"/>
        <v>248.75817</v>
      </c>
      <c r="AX1123" s="154">
        <f t="shared" si="47"/>
        <v>250.1829161</v>
      </c>
      <c r="AY1123" s="154">
        <f t="shared" si="47"/>
        <v>251.6076621</v>
      </c>
      <c r="AZ1123" s="154">
        <f t="shared" si="47"/>
        <v>253.0324082</v>
      </c>
      <c r="BA1123" s="243">
        <f>Inputs!$I$4</f>
        <v>254.4571542</v>
      </c>
    </row>
    <row r="1124" ht="15.75" customHeight="1">
      <c r="A1124" s="262" t="s">
        <v>421</v>
      </c>
      <c r="B1124" s="159" t="s">
        <v>351</v>
      </c>
      <c r="C1124" s="95">
        <f>C1123*'Assumptions (Nuclear)'!B20/10^3</f>
        <v>3.249289039</v>
      </c>
      <c r="D1124" s="95">
        <f>D1123*'Assumptions (Nuclear)'!C20/10^3</f>
        <v>3.225573612</v>
      </c>
      <c r="E1124" s="95">
        <f>E1123*'Assumptions (Nuclear)'!D20/10^3</f>
        <v>3.261990864</v>
      </c>
      <c r="F1124" s="95">
        <f>F1123*'Assumptions (Nuclear)'!E20/10^3</f>
        <v>3.203968043</v>
      </c>
      <c r="G1124" s="95">
        <f>G1123*'Assumptions (Nuclear)'!F20/10^3</f>
        <v>3.253787579</v>
      </c>
      <c r="H1124" s="95">
        <f>H1123*'Assumptions (Nuclear)'!G20/10^3</f>
        <v>3.266858029</v>
      </c>
      <c r="I1124" s="95">
        <f>I1123*'Assumptions (Nuclear)'!H20/10^3</f>
        <v>3.269599269</v>
      </c>
      <c r="J1124" s="95">
        <f>J1123*'Assumptions (Nuclear)'!I20/10^3</f>
        <v>3.576181706</v>
      </c>
      <c r="K1124" s="95">
        <f>K1123*'Assumptions (Nuclear)'!J20/10^3</f>
        <v>3.65253832</v>
      </c>
      <c r="L1124" s="95">
        <f>L1123*'Assumptions (Nuclear)'!K20/10^3</f>
        <v>3.845951591</v>
      </c>
      <c r="M1124" s="95">
        <f>M1123*'Assumptions (Nuclear)'!L20/10^3</f>
        <v>3.881026293</v>
      </c>
      <c r="N1124" s="95">
        <f>N1123*'Assumptions (Nuclear)'!M20/10^3</f>
        <v>3.946717536</v>
      </c>
      <c r="O1124" s="95">
        <f>O1123*'Assumptions (Nuclear)'!N20/10^3</f>
        <v>3.918433495</v>
      </c>
      <c r="P1124" s="95">
        <f>P1123*'Assumptions (Nuclear)'!O20/10^3</f>
        <v>4.126767698</v>
      </c>
      <c r="Q1124" s="95">
        <f>Q1123*'Assumptions (Nuclear)'!P20/10^3</f>
        <v>4.103892036</v>
      </c>
      <c r="R1124" s="95">
        <f>R1123*'Assumptions (Nuclear)'!Q20/10^3</f>
        <v>4.274362165</v>
      </c>
      <c r="S1124" s="95">
        <f>S1123*'Assumptions (Nuclear)'!R20/10^3</f>
        <v>4.332340135</v>
      </c>
      <c r="T1124" s="95">
        <f>T1123*'Assumptions (Nuclear)'!S20/10^3</f>
        <v>4.336507471</v>
      </c>
      <c r="U1124" s="95">
        <f>U1123*'Assumptions (Nuclear)'!T20/10^3</f>
        <v>4.467789433</v>
      </c>
      <c r="V1124" s="95">
        <f>V1123*'Assumptions (Nuclear)'!U20/10^3</f>
        <v>4.496076543</v>
      </c>
      <c r="W1124" s="95">
        <f>W1123*'Assumptions (Nuclear)'!V20/10^3</f>
        <v>4.557197275</v>
      </c>
      <c r="X1124" s="95">
        <f>X1123*'Assumptions (Nuclear)'!W20/10^3</f>
        <v>4.650233709</v>
      </c>
      <c r="Y1124" s="95">
        <f>Y1123*'Assumptions (Nuclear)'!X20/10^3</f>
        <v>4.744957477</v>
      </c>
      <c r="Z1124" s="95">
        <f>Z1123*'Assumptions (Nuclear)'!Y20/10^3</f>
        <v>4.841397261</v>
      </c>
      <c r="AA1124" s="95">
        <f>AA1123*'Assumptions (Nuclear)'!Z20/10^3</f>
        <v>4.939582213</v>
      </c>
      <c r="AB1124" s="95">
        <f>AB1123*'Assumptions (Nuclear)'!AA20/10^3</f>
        <v>5.039541957</v>
      </c>
      <c r="AC1124" s="95">
        <f>AC1123*'Assumptions (Nuclear)'!AB20/10^3</f>
        <v>5.141306603</v>
      </c>
      <c r="AD1124" s="95">
        <f>AD1123*'Assumptions (Nuclear)'!AC20/10^3</f>
        <v>5.244906751</v>
      </c>
      <c r="AE1124" s="95">
        <f>AE1123*'Assumptions (Nuclear)'!AD20/10^3</f>
        <v>5.350373498</v>
      </c>
      <c r="AF1124" s="95">
        <f>AF1123*'Assumptions (Nuclear)'!AE20/10^3</f>
        <v>5.45773845</v>
      </c>
      <c r="AG1124" s="95">
        <f>AG1123*'Assumptions (Nuclear)'!AF20/10^3</f>
        <v>5.567033724</v>
      </c>
      <c r="AH1124" s="95">
        <f>AH1123*'Assumptions (Nuclear)'!AG20/10^3</f>
        <v>5.678291961</v>
      </c>
      <c r="AI1124" s="95">
        <f>AI1123*'Assumptions (Nuclear)'!AH20/10^3</f>
        <v>5.791546335</v>
      </c>
      <c r="AJ1124" s="95">
        <f>AJ1123*'Assumptions (Nuclear)'!AI20/10^3</f>
        <v>5.906830555</v>
      </c>
      <c r="AK1124" s="95">
        <f>AK1123*'Assumptions (Nuclear)'!AJ20/10^3</f>
        <v>6.02417888</v>
      </c>
      <c r="AL1124" s="95">
        <f>AL1123*'Assumptions (Nuclear)'!AK20/10^3</f>
        <v>6.143626126</v>
      </c>
      <c r="AM1124" s="95">
        <f>AM1123*'Assumptions (Nuclear)'!AL20/10^3</f>
        <v>6.265207672</v>
      </c>
      <c r="AN1124" s="95">
        <f>AN1123*'Assumptions (Nuclear)'!AM20/10^3</f>
        <v>6.388959472</v>
      </c>
      <c r="AO1124" s="95">
        <f>AO1123*'Assumptions (Nuclear)'!AN20/10^3</f>
        <v>6.514918064</v>
      </c>
      <c r="AP1124" s="95">
        <f>AP1123*'Assumptions (Nuclear)'!AO20/10^3</f>
        <v>6.643120577</v>
      </c>
      <c r="AQ1124" s="95">
        <f>AQ1123*'Assumptions (Nuclear)'!AP20/10^3</f>
        <v>6.773604743</v>
      </c>
      <c r="AR1124" s="95">
        <f>AR1123*'Assumptions (Nuclear)'!AQ20/10^3</f>
        <v>6.906408904</v>
      </c>
      <c r="AS1124" s="95">
        <f>AS1123*'Assumptions (Nuclear)'!AR20/10^3</f>
        <v>7.041572023</v>
      </c>
      <c r="AT1124" s="95">
        <f>AT1123*'Assumptions (Nuclear)'!AS20/10^3</f>
        <v>7.179133694</v>
      </c>
      <c r="AU1124" s="95">
        <f>AU1123*'Assumptions (Nuclear)'!AT20/10^3</f>
        <v>7.319134151</v>
      </c>
      <c r="AV1124" s="95">
        <f>AV1123*'Assumptions (Nuclear)'!AU20/10^3</f>
        <v>7.46161428</v>
      </c>
      <c r="AW1124" s="95">
        <f>AW1123*'Assumptions (Nuclear)'!AV20/10^3</f>
        <v>7.606615626</v>
      </c>
      <c r="AX1124" s="95">
        <f>AX1123*'Assumptions (Nuclear)'!AW20/10^3</f>
        <v>7.754180406</v>
      </c>
      <c r="AY1124" s="95">
        <f>AY1123*'Assumptions (Nuclear)'!AX20/10^3</f>
        <v>7.904351521</v>
      </c>
      <c r="AZ1124" s="95">
        <f>AZ1123*'Assumptions (Nuclear)'!AY20/10^3</f>
        <v>8.05717256</v>
      </c>
      <c r="BA1124" s="95">
        <f>BA1123*'Assumptions (Nuclear)'!AZ20/10^3</f>
        <v>8.212687821</v>
      </c>
    </row>
    <row r="1125" ht="15.75" customHeight="1">
      <c r="A1125" s="261" t="s">
        <v>422</v>
      </c>
      <c r="B1125" s="150" t="s">
        <v>351</v>
      </c>
      <c r="C1125" s="95">
        <f>C1123*'Assumptions (Nuclear)'!B22/10^3</f>
        <v>0.9501704842</v>
      </c>
      <c r="D1125" s="95">
        <f>D1123*'Assumptions (Nuclear)'!C22/10^3</f>
        <v>0.9492155797</v>
      </c>
      <c r="E1125" s="95">
        <f>E1123*'Assumptions (Nuclear)'!D22/10^3</f>
        <v>0.9660182937</v>
      </c>
      <c r="F1125" s="95">
        <f>F1123*'Assumptions (Nuclear)'!E22/10^3</f>
        <v>0.9548507561</v>
      </c>
      <c r="G1125" s="95">
        <f>G1123*'Assumptions (Nuclear)'!F22/10^3</f>
        <v>0.9758458685</v>
      </c>
      <c r="H1125" s="95">
        <f>H1123*'Assumptions (Nuclear)'!G22/10^3</f>
        <v>0.9858730701</v>
      </c>
      <c r="I1125" s="95">
        <f>I1123*'Assumptions (Nuclear)'!H22/10^3</f>
        <v>0.9927688966</v>
      </c>
      <c r="J1125" s="95">
        <f>J1123*'Assumptions (Nuclear)'!I22/10^3</f>
        <v>1.092389695</v>
      </c>
      <c r="K1125" s="95">
        <f>K1123*'Assumptions (Nuclear)'!J22/10^3</f>
        <v>1.122612351</v>
      </c>
      <c r="L1125" s="95">
        <f>L1123*'Assumptions (Nuclear)'!K22/10^3</f>
        <v>1.189262619</v>
      </c>
      <c r="M1125" s="95">
        <f>M1123*'Assumptions (Nuclear)'!L22/10^3</f>
        <v>1.20757154</v>
      </c>
      <c r="N1125" s="95">
        <f>N1123*'Assumptions (Nuclear)'!M22/10^3</f>
        <v>1.235648525</v>
      </c>
      <c r="O1125" s="95">
        <f>O1123*'Assumptions (Nuclear)'!N22/10^3</f>
        <v>1.234399528</v>
      </c>
      <c r="P1125" s="95">
        <f>P1123*'Assumptions (Nuclear)'!O22/10^3</f>
        <v>1.308194251</v>
      </c>
      <c r="Q1125" s="95">
        <f>Q1123*'Assumptions (Nuclear)'!P22/10^3</f>
        <v>1.309086991</v>
      </c>
      <c r="R1125" s="95">
        <f>R1123*'Assumptions (Nuclear)'!Q22/10^3</f>
        <v>1.371816334</v>
      </c>
      <c r="S1125" s="95">
        <f>S1123*'Assumptions (Nuclear)'!R22/10^3</f>
        <v>1.399097546</v>
      </c>
      <c r="T1125" s="95">
        <f>T1123*'Assumptions (Nuclear)'!S22/10^3</f>
        <v>1.409417993</v>
      </c>
      <c r="U1125" s="95">
        <f>U1123*'Assumptions (Nuclear)'!T22/10^3</f>
        <v>1.46094269</v>
      </c>
      <c r="V1125" s="95">
        <f>V1123*'Assumptions (Nuclear)'!U22/10^3</f>
        <v>1.416868012</v>
      </c>
      <c r="W1125" s="95">
        <f>W1123*'Assumptions (Nuclear)'!V22/10^3</f>
        <v>1.38441357</v>
      </c>
      <c r="X1125" s="95">
        <f>X1123*'Assumptions (Nuclear)'!W22/10^3</f>
        <v>1.361805606</v>
      </c>
      <c r="Y1125" s="95">
        <f>Y1123*'Assumptions (Nuclear)'!X22/10^3</f>
        <v>1.339506982</v>
      </c>
      <c r="Z1125" s="95">
        <f>Z1123*'Assumptions (Nuclear)'!Y22/10^3</f>
        <v>1.317515388</v>
      </c>
      <c r="AA1125" s="95">
        <f>AA1123*'Assumptions (Nuclear)'!Z22/10^3</f>
        <v>1.295828458</v>
      </c>
      <c r="AB1125" s="95">
        <f>AB1123*'Assumptions (Nuclear)'!AA22/10^3</f>
        <v>1.274443773</v>
      </c>
      <c r="AC1125" s="95">
        <f>AC1123*'Assumptions (Nuclear)'!AB22/10^3</f>
        <v>1.253358866</v>
      </c>
      <c r="AD1125" s="95">
        <f>AD1123*'Assumptions (Nuclear)'!AC22/10^3</f>
        <v>1.258809717</v>
      </c>
      <c r="AE1125" s="95">
        <f>AE1123*'Assumptions (Nuclear)'!AD22/10^3</f>
        <v>1.264232054</v>
      </c>
      <c r="AF1125" s="95">
        <f>AF1123*'Assumptions (Nuclear)'!AE22/10^3</f>
        <v>1.269625973</v>
      </c>
      <c r="AG1125" s="95">
        <f>AG1123*'Assumptions (Nuclear)'!AF22/10^3</f>
        <v>1.27499157</v>
      </c>
      <c r="AH1125" s="95">
        <f>AH1123*'Assumptions (Nuclear)'!AG22/10^3</f>
        <v>1.280328939</v>
      </c>
      <c r="AI1125" s="95">
        <f>AI1123*'Assumptions (Nuclear)'!AH22/10^3</f>
        <v>1.285638177</v>
      </c>
      <c r="AJ1125" s="95">
        <f>AJ1123*'Assumptions (Nuclear)'!AI22/10^3</f>
        <v>1.290919377</v>
      </c>
      <c r="AK1125" s="95">
        <f>AK1123*'Assumptions (Nuclear)'!AJ22/10^3</f>
        <v>1.296172634</v>
      </c>
      <c r="AL1125" s="95">
        <f>AL1123*'Assumptions (Nuclear)'!AK22/10^3</f>
        <v>1.301398043</v>
      </c>
      <c r="AM1125" s="95">
        <f>AM1123*'Assumptions (Nuclear)'!AL22/10^3</f>
        <v>1.306595697</v>
      </c>
      <c r="AN1125" s="95">
        <f>AN1123*'Assumptions (Nuclear)'!AM22/10^3</f>
        <v>1.311765691</v>
      </c>
      <c r="AO1125" s="95">
        <f>AO1123*'Assumptions (Nuclear)'!AN22/10^3</f>
        <v>1.316908117</v>
      </c>
      <c r="AP1125" s="95">
        <f>AP1123*'Assumptions (Nuclear)'!AO22/10^3</f>
        <v>1.322023069</v>
      </c>
      <c r="AQ1125" s="95">
        <f>AQ1123*'Assumptions (Nuclear)'!AP22/10^3</f>
        <v>1.32711064</v>
      </c>
      <c r="AR1125" s="95">
        <f>AR1123*'Assumptions (Nuclear)'!AQ22/10^3</f>
        <v>1.332170922</v>
      </c>
      <c r="AS1125" s="95">
        <f>AS1123*'Assumptions (Nuclear)'!AR22/10^3</f>
        <v>1.337204008</v>
      </c>
      <c r="AT1125" s="95">
        <f>AT1123*'Assumptions (Nuclear)'!AS22/10^3</f>
        <v>1.34220999</v>
      </c>
      <c r="AU1125" s="95">
        <f>AU1123*'Assumptions (Nuclear)'!AT22/10^3</f>
        <v>1.34718896</v>
      </c>
      <c r="AV1125" s="95">
        <f>AV1123*'Assumptions (Nuclear)'!AU22/10^3</f>
        <v>1.352141009</v>
      </c>
      <c r="AW1125" s="95">
        <f>AW1123*'Assumptions (Nuclear)'!AV22/10^3</f>
        <v>1.357066228</v>
      </c>
      <c r="AX1125" s="95">
        <f>AX1123*'Assumptions (Nuclear)'!AW22/10^3</f>
        <v>1.361964709</v>
      </c>
      <c r="AY1125" s="95">
        <f>AY1123*'Assumptions (Nuclear)'!AX22/10^3</f>
        <v>1.366836543</v>
      </c>
      <c r="AZ1125" s="95">
        <f>AZ1123*'Assumptions (Nuclear)'!AY22/10^3</f>
        <v>1.371681819</v>
      </c>
      <c r="BA1125" s="95">
        <f>BA1123*'Assumptions (Nuclear)'!AZ22/10^3</f>
        <v>1.376500629</v>
      </c>
    </row>
    <row r="1126" ht="15.75" customHeight="1">
      <c r="A1126" s="262" t="s">
        <v>34</v>
      </c>
      <c r="B1126" s="159" t="s">
        <v>351</v>
      </c>
      <c r="C1126" s="95">
        <f>C1123*'Assumptions (Nuclear)'!B25/10^3</f>
        <v>1.116251755</v>
      </c>
      <c r="D1126" s="95">
        <f>D1123*'Assumptions (Nuclear)'!C25/10^3</f>
        <v>1.10241746</v>
      </c>
      <c r="E1126" s="95">
        <f>E1123*'Assumptions (Nuclear)'!D25/10^3</f>
        <v>1.10914208</v>
      </c>
      <c r="F1126" s="95">
        <f>F1123*'Assumptions (Nuclear)'!E25/10^3</f>
        <v>1.083821929</v>
      </c>
      <c r="G1126" s="95">
        <f>G1123*'Assumptions (Nuclear)'!F25/10^3</f>
        <v>1.095025597</v>
      </c>
      <c r="H1126" s="95">
        <f>H1123*'Assumptions (Nuclear)'!G25/10^3</f>
        <v>1.093876556</v>
      </c>
      <c r="I1126" s="95">
        <f>I1123*'Assumptions (Nuclear)'!H25/10^3</f>
        <v>1.089343592</v>
      </c>
      <c r="J1126" s="95">
        <f>J1123*'Assumptions (Nuclear)'!I25/10^3</f>
        <v>1.185687179</v>
      </c>
      <c r="K1126" s="95">
        <f>K1123*'Assumptions (Nuclear)'!J25/10^3</f>
        <v>1.204941789</v>
      </c>
      <c r="L1126" s="95">
        <f>L1123*'Assumptions (Nuclear)'!K25/10^3</f>
        <v>1.262487316</v>
      </c>
      <c r="M1126" s="95">
        <f>M1123*'Assumptions (Nuclear)'!L25/10^3</f>
        <v>1.26758765</v>
      </c>
      <c r="N1126" s="95">
        <f>N1123*'Assumptions (Nuclear)'!M25/10^3</f>
        <v>1.282553296</v>
      </c>
      <c r="O1126" s="95">
        <f>O1123*'Assumptions (Nuclear)'!N25/10^3</f>
        <v>1.266970744</v>
      </c>
      <c r="P1126" s="95">
        <f>P1123*'Assumptions (Nuclear)'!O25/10^3</f>
        <v>1.327548941</v>
      </c>
      <c r="Q1126" s="95">
        <f>Q1123*'Assumptions (Nuclear)'!P25/10^3</f>
        <v>1.31349941</v>
      </c>
      <c r="R1126" s="95">
        <f>R1123*'Assumptions (Nuclear)'!Q25/10^3</f>
        <v>1.361276762</v>
      </c>
      <c r="S1126" s="95">
        <f>S1123*'Assumptions (Nuclear)'!R25/10^3</f>
        <v>1.372773644</v>
      </c>
      <c r="T1126" s="95">
        <f>T1123*'Assumptions (Nuclear)'!S25/10^3</f>
        <v>1.366965644</v>
      </c>
      <c r="U1126" s="95">
        <f>U1123*'Assumptions (Nuclear)'!T25/10^3</f>
        <v>1.40139514</v>
      </c>
      <c r="V1126" s="95">
        <f>V1123*'Assumptions (Nuclear)'!U25/10^3</f>
        <v>1.403120739</v>
      </c>
      <c r="W1126" s="95">
        <f>W1123*'Assumptions (Nuclear)'!V25/10^3</f>
        <v>1.41503918</v>
      </c>
      <c r="X1126" s="95">
        <f>X1123*'Assumptions (Nuclear)'!W25/10^3</f>
        <v>1.436662328</v>
      </c>
      <c r="Y1126" s="95">
        <f>Y1123*'Assumptions (Nuclear)'!X25/10^3</f>
        <v>1.458550723</v>
      </c>
      <c r="Z1126" s="95">
        <f>Z1123*'Assumptions (Nuclear)'!Y25/10^3</f>
        <v>1.480707311</v>
      </c>
      <c r="AA1126" s="95">
        <f>AA1123*'Assumptions (Nuclear)'!Z25/10^3</f>
        <v>1.503135067</v>
      </c>
      <c r="AB1126" s="95">
        <f>AB1123*'Assumptions (Nuclear)'!AA25/10^3</f>
        <v>1.525837001</v>
      </c>
      <c r="AC1126" s="95">
        <f>AC1123*'Assumptions (Nuclear)'!AB25/10^3</f>
        <v>1.548816151</v>
      </c>
      <c r="AD1126" s="95">
        <f>AD1123*'Assumptions (Nuclear)'!AC25/10^3</f>
        <v>1.57207559</v>
      </c>
      <c r="AE1126" s="95">
        <f>AE1123*'Assumptions (Nuclear)'!AD25/10^3</f>
        <v>1.595618422</v>
      </c>
      <c r="AF1126" s="95">
        <f>AF1123*'Assumptions (Nuclear)'!AE25/10^3</f>
        <v>1.619447781</v>
      </c>
      <c r="AG1126" s="95">
        <f>AG1123*'Assumptions (Nuclear)'!AF25/10^3</f>
        <v>1.643566838</v>
      </c>
      <c r="AH1126" s="95">
        <f>AH1123*'Assumptions (Nuclear)'!AG25/10^3</f>
        <v>1.667978794</v>
      </c>
      <c r="AI1126" s="95">
        <f>AI1123*'Assumptions (Nuclear)'!AH25/10^3</f>
        <v>1.692686885</v>
      </c>
      <c r="AJ1126" s="95">
        <f>AJ1123*'Assumptions (Nuclear)'!AI25/10^3</f>
        <v>1.717694381</v>
      </c>
      <c r="AK1126" s="95">
        <f>AK1123*'Assumptions (Nuclear)'!AJ25/10^3</f>
        <v>1.743004586</v>
      </c>
      <c r="AL1126" s="95">
        <f>AL1123*'Assumptions (Nuclear)'!AK25/10^3</f>
        <v>1.768620837</v>
      </c>
      <c r="AM1126" s="95">
        <f>AM1123*'Assumptions (Nuclear)'!AL25/10^3</f>
        <v>1.794546507</v>
      </c>
      <c r="AN1126" s="95">
        <f>AN1123*'Assumptions (Nuclear)'!AM25/10^3</f>
        <v>1.820785006</v>
      </c>
      <c r="AO1126" s="95">
        <f>AO1123*'Assumptions (Nuclear)'!AN25/10^3</f>
        <v>1.847339776</v>
      </c>
      <c r="AP1126" s="95">
        <f>AP1123*'Assumptions (Nuclear)'!AO25/10^3</f>
        <v>1.874214298</v>
      </c>
      <c r="AQ1126" s="95">
        <f>AQ1123*'Assumptions (Nuclear)'!AP25/10^3</f>
        <v>1.901412088</v>
      </c>
      <c r="AR1126" s="95">
        <f>AR1123*'Assumptions (Nuclear)'!AQ25/10^3</f>
        <v>1.928936698</v>
      </c>
      <c r="AS1126" s="95">
        <f>AS1123*'Assumptions (Nuclear)'!AR25/10^3</f>
        <v>1.956791719</v>
      </c>
      <c r="AT1126" s="95">
        <f>AT1123*'Assumptions (Nuclear)'!AS25/10^3</f>
        <v>1.984980777</v>
      </c>
      <c r="AU1126" s="95">
        <f>AU1123*'Assumptions (Nuclear)'!AT25/10^3</f>
        <v>2.013507537</v>
      </c>
      <c r="AV1126" s="95">
        <f>AV1123*'Assumptions (Nuclear)'!AU25/10^3</f>
        <v>2.042375704</v>
      </c>
      <c r="AW1126" s="95">
        <f>AW1123*'Assumptions (Nuclear)'!AV25/10^3</f>
        <v>2.071589018</v>
      </c>
      <c r="AX1126" s="95">
        <f>AX1123*'Assumptions (Nuclear)'!AW25/10^3</f>
        <v>2.101151259</v>
      </c>
      <c r="AY1126" s="95">
        <f>AY1123*'Assumptions (Nuclear)'!AX25/10^3</f>
        <v>2.131066249</v>
      </c>
      <c r="AZ1126" s="95">
        <f>AZ1123*'Assumptions (Nuclear)'!AY25/10^3</f>
        <v>2.161337846</v>
      </c>
      <c r="BA1126" s="95">
        <f>BA1123*'Assumptions (Nuclear)'!AZ25/10^3</f>
        <v>2.191969951</v>
      </c>
    </row>
    <row r="1127" ht="15.75" customHeight="1">
      <c r="A1127" s="262" t="s">
        <v>36</v>
      </c>
      <c r="B1127" s="159" t="s">
        <v>351</v>
      </c>
      <c r="C1127" s="95">
        <f>C1123*'Assumptions (Nuclear)'!B37/10^3</f>
        <v>12.74308816</v>
      </c>
      <c r="D1127" s="95">
        <f>D1123*'Assumptions (Nuclear)'!C37/10^3</f>
        <v>13.03954006</v>
      </c>
      <c r="E1127" s="95">
        <f>E1123*'Assumptions (Nuclear)'!D37/10^3</f>
        <v>11.99774635</v>
      </c>
      <c r="F1127" s="95">
        <f>F1123*'Assumptions (Nuclear)'!E37/10^3</f>
        <v>14.4154326</v>
      </c>
      <c r="G1127" s="95">
        <f>G1123*'Assumptions (Nuclear)'!F37/10^3</f>
        <v>15.4788524</v>
      </c>
      <c r="H1127" s="95">
        <f>H1123*'Assumptions (Nuclear)'!G37/10^3</f>
        <v>18.61738694</v>
      </c>
      <c r="I1127" s="95">
        <f>I1123*'Assumptions (Nuclear)'!H37/10^3</f>
        <v>16.36574443</v>
      </c>
      <c r="J1127" s="95">
        <f>J1123*'Assumptions (Nuclear)'!I37/10^3</f>
        <v>17.37027914</v>
      </c>
      <c r="K1127" s="95">
        <f>K1123*'Assumptions (Nuclear)'!J37/10^3</f>
        <v>20.15063483</v>
      </c>
      <c r="L1127" s="95">
        <f>L1123*'Assumptions (Nuclear)'!K37/10^3</f>
        <v>14.33193663</v>
      </c>
      <c r="M1127" s="95">
        <f>M1123*'Assumptions (Nuclear)'!L37/10^3</f>
        <v>14.76023121</v>
      </c>
      <c r="N1127" s="95">
        <f>N1123*'Assumptions (Nuclear)'!M37/10^3</f>
        <v>14.27407068</v>
      </c>
      <c r="O1127" s="95">
        <f>O1123*'Assumptions (Nuclear)'!N37/10^3</f>
        <v>12.05999551</v>
      </c>
      <c r="P1127" s="95">
        <f>P1123*'Assumptions (Nuclear)'!O37/10^3</f>
        <v>14.05552117</v>
      </c>
      <c r="Q1127" s="95">
        <f>Q1123*'Assumptions (Nuclear)'!P37/10^3</f>
        <v>14.90481476</v>
      </c>
      <c r="R1127" s="95">
        <f>R1123*'Assumptions (Nuclear)'!Q37/10^3</f>
        <v>12.43536952</v>
      </c>
      <c r="S1127" s="95">
        <f>S1123*'Assumptions (Nuclear)'!R37/10^3</f>
        <v>13.35666662</v>
      </c>
      <c r="T1127" s="95">
        <f>T1123*'Assumptions (Nuclear)'!S37/10^3</f>
        <v>13.27484959</v>
      </c>
      <c r="U1127" s="95">
        <f>U1123*'Assumptions (Nuclear)'!T37/10^3</f>
        <v>13.59208843</v>
      </c>
      <c r="V1127" s="95">
        <f>V1123*'Assumptions (Nuclear)'!U37/10^3</f>
        <v>13.78051457</v>
      </c>
      <c r="W1127" s="95">
        <f>W1123*'Assumptions (Nuclear)'!V37/10^3</f>
        <v>14.37401036</v>
      </c>
      <c r="X1127" s="95">
        <f>X1123*'Assumptions (Nuclear)'!W37/10^3</f>
        <v>14.58049724</v>
      </c>
      <c r="Y1127" s="95">
        <f>Y1123*'Assumptions (Nuclear)'!X37/10^3</f>
        <v>14.81348253</v>
      </c>
      <c r="Z1127" s="95">
        <f>Z1123*'Assumptions (Nuclear)'!Y37/10^3</f>
        <v>15.15506984</v>
      </c>
      <c r="AA1127" s="95">
        <f>AA1123*'Assumptions (Nuclear)'!Z37/10^3</f>
        <v>15.54498363</v>
      </c>
      <c r="AB1127" s="95">
        <f>AB1123*'Assumptions (Nuclear)'!AA37/10^3</f>
        <v>16.08826052</v>
      </c>
      <c r="AC1127" s="95">
        <f>AC1123*'Assumptions (Nuclear)'!AB37/10^3</f>
        <v>16.45446207</v>
      </c>
      <c r="AD1127" s="95">
        <f>AD1123*'Assumptions (Nuclear)'!AC37/10^3</f>
        <v>16.88633152</v>
      </c>
      <c r="AE1127" s="95">
        <f>AE1123*'Assumptions (Nuclear)'!AD37/10^3</f>
        <v>17.29335256</v>
      </c>
      <c r="AF1127" s="95">
        <f>AF1123*'Assumptions (Nuclear)'!AE37/10^3</f>
        <v>17.72432238</v>
      </c>
      <c r="AG1127" s="95">
        <f>AG1123*'Assumptions (Nuclear)'!AF37/10^3</f>
        <v>18.16617952</v>
      </c>
      <c r="AH1127" s="95">
        <f>AH1123*'Assumptions (Nuclear)'!AG37/10^3</f>
        <v>18.64555495</v>
      </c>
      <c r="AI1127" s="95">
        <f>AI1123*'Assumptions (Nuclear)'!AH37/10^3</f>
        <v>19.05730531</v>
      </c>
      <c r="AJ1127" s="95">
        <f>AJ1123*'Assumptions (Nuclear)'!AI37/10^3</f>
        <v>19.46699558</v>
      </c>
      <c r="AK1127" s="95">
        <f>AK1123*'Assumptions (Nuclear)'!AJ37/10^3</f>
        <v>19.88639197</v>
      </c>
      <c r="AL1127" s="95">
        <f>AL1123*'Assumptions (Nuclear)'!AK37/10^3</f>
        <v>20.34432562</v>
      </c>
      <c r="AM1127" s="95">
        <f>AM1123*'Assumptions (Nuclear)'!AL37/10^3</f>
        <v>20.89292496</v>
      </c>
      <c r="AN1127" s="95">
        <f>AN1123*'Assumptions (Nuclear)'!AM37/10^3</f>
        <v>21.43358242</v>
      </c>
      <c r="AO1127" s="95">
        <f>AO1123*'Assumptions (Nuclear)'!AN37/10^3</f>
        <v>22.04717148</v>
      </c>
      <c r="AP1127" s="95">
        <f>AP1123*'Assumptions (Nuclear)'!AO37/10^3</f>
        <v>22.67510938</v>
      </c>
      <c r="AQ1127" s="95">
        <f>AQ1123*'Assumptions (Nuclear)'!AP37/10^3</f>
        <v>23.27585092</v>
      </c>
      <c r="AR1127" s="95">
        <f>AR1123*'Assumptions (Nuclear)'!AQ37/10^3</f>
        <v>23.87177188</v>
      </c>
      <c r="AS1127" s="95">
        <f>AS1123*'Assumptions (Nuclear)'!AR37/10^3</f>
        <v>24.46996409</v>
      </c>
      <c r="AT1127" s="95">
        <f>AT1123*'Assumptions (Nuclear)'!AS37/10^3</f>
        <v>25.10111884</v>
      </c>
      <c r="AU1127" s="95">
        <f>AU1123*'Assumptions (Nuclear)'!AT37/10^3</f>
        <v>25.77077206</v>
      </c>
      <c r="AV1127" s="95">
        <f>AV1123*'Assumptions (Nuclear)'!AU37/10^3</f>
        <v>26.46000919</v>
      </c>
      <c r="AW1127" s="95">
        <f>AW1123*'Assumptions (Nuclear)'!AV37/10^3</f>
        <v>27.10951114</v>
      </c>
      <c r="AX1127" s="95">
        <f>AX1123*'Assumptions (Nuclear)'!AW37/10^3</f>
        <v>27.86402721</v>
      </c>
      <c r="AY1127" s="95">
        <f>AY1123*'Assumptions (Nuclear)'!AX37/10^3</f>
        <v>29.03283452</v>
      </c>
      <c r="AZ1127" s="95">
        <f>AZ1123*'Assumptions (Nuclear)'!AY37/10^3</f>
        <v>29.97497817</v>
      </c>
      <c r="BA1127" s="95">
        <f>BA1123*'Assumptions (Nuclear)'!AZ37/10^3</f>
        <v>30.75863067</v>
      </c>
    </row>
    <row r="1128" ht="15.75" customHeight="1">
      <c r="A1128" s="262" t="s">
        <v>38</v>
      </c>
      <c r="B1128" s="159" t="s">
        <v>351</v>
      </c>
      <c r="C1128" s="95">
        <f>C1122*'Assumptions (Nuclear)'!B39*'Assumptions (Nuclear)'!B40*365/10^9</f>
        <v>0</v>
      </c>
      <c r="D1128" s="95">
        <f>D1122*'Assumptions (Nuclear)'!C39*'Assumptions (Nuclear)'!C40*365/10^9</f>
        <v>0</v>
      </c>
      <c r="E1128" s="95">
        <f>E1122*'Assumptions (Nuclear)'!D39*'Assumptions (Nuclear)'!D40*365/10^9</f>
        <v>0</v>
      </c>
      <c r="F1128" s="95">
        <f>F1122*'Assumptions (Nuclear)'!E39*'Assumptions (Nuclear)'!E40*365/10^9</f>
        <v>0</v>
      </c>
      <c r="G1128" s="95">
        <f>G1122*'Assumptions (Nuclear)'!F39*'Assumptions (Nuclear)'!F40*365/10^9</f>
        <v>0</v>
      </c>
      <c r="H1128" s="95">
        <f>H1122*'Assumptions (Nuclear)'!G39*'Assumptions (Nuclear)'!G40*365/10^9</f>
        <v>0</v>
      </c>
      <c r="I1128" s="95">
        <f>I1122*'Assumptions (Nuclear)'!H39*'Assumptions (Nuclear)'!H40*365/10^9</f>
        <v>0</v>
      </c>
      <c r="J1128" s="95">
        <f>J1122*'Assumptions (Nuclear)'!I39*'Assumptions (Nuclear)'!I40*365/10^9</f>
        <v>1.158323431</v>
      </c>
      <c r="K1128" s="95">
        <f>K1122*'Assumptions (Nuclear)'!J39*'Assumptions (Nuclear)'!J40*365/10^9</f>
        <v>1.177315929</v>
      </c>
      <c r="L1128" s="95">
        <f>L1122*'Assumptions (Nuclear)'!K39*'Assumptions (Nuclear)'!K40*365/10^9</f>
        <v>1.362492783</v>
      </c>
      <c r="M1128" s="95">
        <f>M1122*'Assumptions (Nuclear)'!L39*'Assumptions (Nuclear)'!L40*365/10^9</f>
        <v>0.9513052046</v>
      </c>
      <c r="N1128" s="95">
        <f>N1122*'Assumptions (Nuclear)'!M39*'Assumptions (Nuclear)'!M40*365/10^9</f>
        <v>0.9835924509</v>
      </c>
      <c r="O1128" s="95">
        <f>O1122*'Assumptions (Nuclear)'!N39*'Assumptions (Nuclear)'!N40*365/10^9</f>
        <v>0.947506705</v>
      </c>
      <c r="P1128" s="95">
        <f>P1122*'Assumptions (Nuclear)'!O39*'Assumptions (Nuclear)'!O40*365/10^9</f>
        <v>0.8193073446</v>
      </c>
      <c r="Q1128" s="95">
        <f>Q1122*'Assumptions (Nuclear)'!P39*'Assumptions (Nuclear)'!P40*365/10^9</f>
        <v>0.9095217093</v>
      </c>
      <c r="R1128" s="95">
        <f>R1122*'Assumptions (Nuclear)'!Q39*'Assumptions (Nuclear)'!Q40*365/10^9</f>
        <v>0.9759954518</v>
      </c>
      <c r="S1128" s="95">
        <f>S1122*'Assumptions (Nuclear)'!R39*'Assumptions (Nuclear)'!R40*365/10^9</f>
        <v>0.8423113547</v>
      </c>
      <c r="T1128" s="95">
        <f>T1122*'Assumptions (Nuclear)'!S39*'Assumptions (Nuclear)'!S40*365/10^9</f>
        <v>0.9014523707</v>
      </c>
      <c r="U1128" s="95">
        <f>U1122*'Assumptions (Nuclear)'!T39*'Assumptions (Nuclear)'!T40*365/10^9</f>
        <v>0.8799255699</v>
      </c>
      <c r="V1128" s="95">
        <f>V1122*'Assumptions (Nuclear)'!U39*'Assumptions (Nuclear)'!U40*365/10^9</f>
        <v>0.9032814452</v>
      </c>
      <c r="W1128" s="95">
        <f>W1122*'Assumptions (Nuclear)'!V39*'Assumptions (Nuclear)'!V40*365/10^9</f>
        <v>0.9158035712</v>
      </c>
      <c r="X1128" s="95">
        <f>X1122*'Assumptions (Nuclear)'!W39*'Assumptions (Nuclear)'!W40*365/10^9</f>
        <v>0.9255765575</v>
      </c>
      <c r="Y1128" s="95">
        <f>Y1122*'Assumptions (Nuclear)'!X39*'Assumptions (Nuclear)'!X40*365/10^9</f>
        <v>0.9369753565</v>
      </c>
      <c r="Z1128" s="95">
        <f>Z1122*'Assumptions (Nuclear)'!Y39*'Assumptions (Nuclear)'!Y40*365/10^9</f>
        <v>0.9551576341</v>
      </c>
      <c r="AA1128" s="95">
        <f>AA1122*'Assumptions (Nuclear)'!Z39*'Assumptions (Nuclear)'!Z40*365/10^9</f>
        <v>0.9762664928</v>
      </c>
      <c r="AB1128" s="95">
        <f>AB1122*'Assumptions (Nuclear)'!AA39*'Assumptions (Nuclear)'!AA40*365/10^9</f>
        <v>1.006845616</v>
      </c>
      <c r="AC1128" s="95">
        <f>AC1122*'Assumptions (Nuclear)'!AB39*'Assumptions (Nuclear)'!AB40*365/10^9</f>
        <v>1.026189615</v>
      </c>
      <c r="AD1128" s="95">
        <f>AD1122*'Assumptions (Nuclear)'!AC39*'Assumptions (Nuclear)'!AC40*365/10^9</f>
        <v>1.049502824</v>
      </c>
      <c r="AE1128" s="95">
        <f>AE1122*'Assumptions (Nuclear)'!AD39*'Assumptions (Nuclear)'!AD40*365/10^9</f>
        <v>1.071139172</v>
      </c>
      <c r="AF1128" s="95">
        <f>AF1122*'Assumptions (Nuclear)'!AE39*'Assumptions (Nuclear)'!AE40*365/10^9</f>
        <v>1.094129126</v>
      </c>
      <c r="AG1128" s="95">
        <f>AG1122*'Assumptions (Nuclear)'!AF39*'Assumptions (Nuclear)'!AF40*365/10^9</f>
        <v>1.11765663</v>
      </c>
      <c r="AH1128" s="95">
        <f>AH1122*'Assumptions (Nuclear)'!AG39*'Assumptions (Nuclear)'!AG40*365/10^9</f>
        <v>1.143350531</v>
      </c>
      <c r="AI1128" s="95">
        <f>AI1122*'Assumptions (Nuclear)'!AH39*'Assumptions (Nuclear)'!AH40*365/10^9</f>
        <v>1.164764428</v>
      </c>
      <c r="AJ1128" s="95">
        <f>AJ1122*'Assumptions (Nuclear)'!AI39*'Assumptions (Nuclear)'!AI40*365/10^9</f>
        <v>1.185935602</v>
      </c>
      <c r="AK1128" s="95">
        <f>AK1122*'Assumptions (Nuclear)'!AJ39*'Assumptions (Nuclear)'!AJ40*365/10^9</f>
        <v>1.207581922</v>
      </c>
      <c r="AL1128" s="95">
        <f>AL1122*'Assumptions (Nuclear)'!AK39*'Assumptions (Nuclear)'!AK40*365/10^9</f>
        <v>1.23144499</v>
      </c>
      <c r="AM1128" s="95">
        <f>AM1122*'Assumptions (Nuclear)'!AL39*'Assumptions (Nuclear)'!AL40*365/10^9</f>
        <v>1.260650133</v>
      </c>
      <c r="AN1128" s="95">
        <f>AN1122*'Assumptions (Nuclear)'!AM39*'Assumptions (Nuclear)'!AM40*365/10^9</f>
        <v>1.289217027</v>
      </c>
      <c r="AO1128" s="95">
        <f>AO1122*'Assumptions (Nuclear)'!AN39*'Assumptions (Nuclear)'!AN40*365/10^9</f>
        <v>1.322002389</v>
      </c>
      <c r="AP1128" s="95">
        <f>AP1122*'Assumptions (Nuclear)'!AO39*'Assumptions (Nuclear)'!AO40*365/10^9</f>
        <v>1.355466629</v>
      </c>
      <c r="AQ1128" s="95">
        <f>AQ1122*'Assumptions (Nuclear)'!AP39*'Assumptions (Nuclear)'!AP40*365/10^9</f>
        <v>1.387129178</v>
      </c>
      <c r="AR1128" s="95">
        <f>AR1122*'Assumptions (Nuclear)'!AQ39*'Assumptions (Nuclear)'!AQ40*365/10^9</f>
        <v>1.418337405</v>
      </c>
      <c r="AS1128" s="95">
        <f>AS1122*'Assumptions (Nuclear)'!AR39*'Assumptions (Nuclear)'!AR40*365/10^9</f>
        <v>1.449516937</v>
      </c>
      <c r="AT1128" s="95">
        <f>AT1122*'Assumptions (Nuclear)'!AS39*'Assumptions (Nuclear)'!AS40*365/10^9</f>
        <v>1.482482066</v>
      </c>
      <c r="AU1128" s="95">
        <f>AU1122*'Assumptions (Nuclear)'!AT39*'Assumptions (Nuclear)'!AT40*365/10^9</f>
        <v>1.517544366</v>
      </c>
      <c r="AV1128" s="95">
        <f>AV1122*'Assumptions (Nuclear)'!AU39*'Assumptions (Nuclear)'!AU40*365/10^9</f>
        <v>1.553576338</v>
      </c>
      <c r="AW1128" s="95">
        <f>AW1122*'Assumptions (Nuclear)'!AV39*'Assumptions (Nuclear)'!AV40*365/10^9</f>
        <v>1.587098307</v>
      </c>
      <c r="AX1128" s="95">
        <f>AX1122*'Assumptions (Nuclear)'!AW39*'Assumptions (Nuclear)'!AW40*365/10^9</f>
        <v>1.626583312</v>
      </c>
      <c r="AY1128" s="95">
        <f>AY1122*'Assumptions (Nuclear)'!AX39*'Assumptions (Nuclear)'!AX40*365/10^9</f>
        <v>1.689984643</v>
      </c>
      <c r="AZ1128" s="95">
        <f>AZ1122*'Assumptions (Nuclear)'!AY39*'Assumptions (Nuclear)'!AY40*365/10^9</f>
        <v>1.739897065</v>
      </c>
      <c r="BA1128" s="95">
        <f>BA1122*'Assumptions (Nuclear)'!AZ39*'Assumptions (Nuclear)'!AZ40*365/10^9</f>
        <v>1.780382717</v>
      </c>
    </row>
    <row r="1129" ht="15.75" customHeight="1">
      <c r="A1129" s="262" t="s">
        <v>46</v>
      </c>
      <c r="B1129" s="159" t="s">
        <v>149</v>
      </c>
      <c r="C1129" s="263">
        <f t="array" ref="C1129:V1129">transpose('Assumptions (Nuclear)'!V118:V137)</f>
        <v>0</v>
      </c>
      <c r="D1129" s="172">
        <v>0.0</v>
      </c>
      <c r="E1129" s="172">
        <v>0.0</v>
      </c>
      <c r="F1129" s="172">
        <v>0.0</v>
      </c>
      <c r="G1129" s="172">
        <v>0.0</v>
      </c>
      <c r="H1129" s="172">
        <v>0.0</v>
      </c>
      <c r="I1129" s="172">
        <v>0.0</v>
      </c>
      <c r="J1129" s="172">
        <v>0.0</v>
      </c>
      <c r="K1129" s="172">
        <v>0.0</v>
      </c>
      <c r="L1129" s="172">
        <v>0.0</v>
      </c>
      <c r="M1129" s="172">
        <v>0.0</v>
      </c>
      <c r="N1129" s="172">
        <v>0.0</v>
      </c>
      <c r="O1129" s="172">
        <v>0.0</v>
      </c>
      <c r="P1129" s="172">
        <v>0.0</v>
      </c>
      <c r="Q1129" s="172">
        <v>0.0</v>
      </c>
      <c r="R1129" s="172">
        <v>0.0</v>
      </c>
      <c r="S1129" s="172">
        <v>1269.9</v>
      </c>
      <c r="T1129" s="172">
        <v>0.0</v>
      </c>
      <c r="U1129" s="172">
        <v>0.0</v>
      </c>
      <c r="V1129" s="213">
        <v>0.0</v>
      </c>
      <c r="W1129" s="152">
        <v>0.0</v>
      </c>
      <c r="X1129" s="148">
        <f t="shared" ref="X1129:BA1129" si="48">if(X1122&gt;X1121,X1122-X1121,0)</f>
        <v>85.78808221</v>
      </c>
      <c r="Y1129" s="148">
        <f t="shared" si="48"/>
        <v>85.78808221</v>
      </c>
      <c r="Z1129" s="148">
        <f t="shared" si="48"/>
        <v>85.78808221</v>
      </c>
      <c r="AA1129" s="148">
        <f t="shared" si="48"/>
        <v>85.78808221</v>
      </c>
      <c r="AB1129" s="148">
        <f t="shared" si="48"/>
        <v>85.78808221</v>
      </c>
      <c r="AC1129" s="148">
        <f t="shared" si="48"/>
        <v>85.78808221</v>
      </c>
      <c r="AD1129" s="148">
        <f t="shared" si="48"/>
        <v>85.78808221</v>
      </c>
      <c r="AE1129" s="148">
        <f t="shared" si="48"/>
        <v>85.78808221</v>
      </c>
      <c r="AF1129" s="148">
        <f t="shared" si="48"/>
        <v>85.78808221</v>
      </c>
      <c r="AG1129" s="148">
        <f t="shared" si="48"/>
        <v>85.78808221</v>
      </c>
      <c r="AH1129" s="148">
        <f t="shared" si="48"/>
        <v>85.78808221</v>
      </c>
      <c r="AI1129" s="148">
        <f t="shared" si="48"/>
        <v>85.78808221</v>
      </c>
      <c r="AJ1129" s="148">
        <f t="shared" si="48"/>
        <v>854.3880822</v>
      </c>
      <c r="AK1129" s="148">
        <f t="shared" si="48"/>
        <v>85.78808221</v>
      </c>
      <c r="AL1129" s="148">
        <f t="shared" si="48"/>
        <v>972.4880822</v>
      </c>
      <c r="AM1129" s="148">
        <f t="shared" si="48"/>
        <v>3017.788082</v>
      </c>
      <c r="AN1129" s="148">
        <f t="shared" si="48"/>
        <v>3096.488082</v>
      </c>
      <c r="AO1129" s="148">
        <f t="shared" si="48"/>
        <v>85.78808221</v>
      </c>
      <c r="AP1129" s="148">
        <f t="shared" si="48"/>
        <v>3165.588082</v>
      </c>
      <c r="AQ1129" s="148">
        <f t="shared" si="48"/>
        <v>85.78808221</v>
      </c>
      <c r="AR1129" s="148">
        <f t="shared" si="48"/>
        <v>950.4880822</v>
      </c>
      <c r="AS1129" s="148">
        <f t="shared" si="48"/>
        <v>85.78808221</v>
      </c>
      <c r="AT1129" s="148">
        <f t="shared" si="48"/>
        <v>3414.788082</v>
      </c>
      <c r="AU1129" s="148">
        <f t="shared" si="48"/>
        <v>1306.288082</v>
      </c>
      <c r="AV1129" s="148">
        <f t="shared" si="48"/>
        <v>85.78808221</v>
      </c>
      <c r="AW1129" s="148">
        <f t="shared" si="48"/>
        <v>2335.688082</v>
      </c>
      <c r="AX1129" s="148">
        <f t="shared" si="48"/>
        <v>2730.888082</v>
      </c>
      <c r="AY1129" s="148">
        <f t="shared" si="48"/>
        <v>1290.888082</v>
      </c>
      <c r="AZ1129" s="148">
        <f t="shared" si="48"/>
        <v>2196.688082</v>
      </c>
      <c r="BA1129" s="148">
        <f t="shared" si="48"/>
        <v>85.78808221</v>
      </c>
    </row>
    <row r="1130" ht="15.75" customHeight="1">
      <c r="A1130" s="262" t="s">
        <v>48</v>
      </c>
      <c r="B1130" s="159" t="s">
        <v>150</v>
      </c>
      <c r="C1130" s="174"/>
      <c r="D1130" s="174"/>
      <c r="E1130" s="174"/>
      <c r="F1130" s="174"/>
      <c r="G1130" s="174"/>
      <c r="H1130" s="174"/>
      <c r="I1130" s="174"/>
      <c r="J1130" s="174"/>
      <c r="K1130" s="174"/>
      <c r="L1130" s="174"/>
      <c r="M1130" s="174"/>
      <c r="N1130" s="174"/>
      <c r="O1130" s="174"/>
      <c r="P1130" s="174"/>
      <c r="Q1130" s="174"/>
      <c r="R1130" s="174"/>
      <c r="S1130" s="174"/>
      <c r="T1130" s="174"/>
      <c r="U1130" s="174"/>
      <c r="V1130" s="174"/>
      <c r="W1130" s="175"/>
      <c r="X1130" s="175">
        <f>IF(W1129='Assumptions (Nuclear)'!$V$12,Model!X1123-Model!X1122*'Assumptions (Nuclear)'!V16*0.00876,0)</f>
        <v>0</v>
      </c>
      <c r="Y1130" s="175">
        <f>IF(X1129='Assumptions (Nuclear)'!$V$12,Model!Y1123-Model!Y1122*'Assumptions (Nuclear)'!W16*0.00876,0)</f>
        <v>0</v>
      </c>
      <c r="Z1130" s="175">
        <f>IF(Y1129='Assumptions (Nuclear)'!$V$12,Model!Z1123-Model!Z1122*'Assumptions (Nuclear)'!X16*0.00876,0)</f>
        <v>0</v>
      </c>
      <c r="AA1130" s="175">
        <f>IF(Z1129='Assumptions (Nuclear)'!$V$12,Model!AA1123-Model!AA1122*'Assumptions (Nuclear)'!Y16*0.00876,0)</f>
        <v>0</v>
      </c>
      <c r="AB1130" s="175">
        <f>IF(AA1129='Assumptions (Nuclear)'!$V$12,Model!AB1123-Model!AB1122*'Assumptions (Nuclear)'!Z16*0.00876,0)</f>
        <v>0</v>
      </c>
      <c r="AC1130" s="175">
        <f>IF(AB1129='Assumptions (Nuclear)'!$V$12,Model!AC1123-Model!AC1122*'Assumptions (Nuclear)'!AA16*0.00876,0)</f>
        <v>0</v>
      </c>
      <c r="AD1130" s="175">
        <f>IF(AC1129='Assumptions (Nuclear)'!$V$12,Model!AD1123-Model!AD1122*'Assumptions (Nuclear)'!AB16*0.00876,0)</f>
        <v>0</v>
      </c>
      <c r="AE1130" s="175">
        <f>IF(AD1129='Assumptions (Nuclear)'!$V$12,Model!AE1123-Model!AE1122*'Assumptions (Nuclear)'!AC16*0.00876,0)</f>
        <v>0</v>
      </c>
      <c r="AF1130" s="175">
        <f>IF(AE1129='Assumptions (Nuclear)'!$V$12,Model!AF1123-Model!AF1122*'Assumptions (Nuclear)'!AD16*0.00876,0)</f>
        <v>0</v>
      </c>
      <c r="AG1130" s="175">
        <f>IF(AF1129='Assumptions (Nuclear)'!$V$12,Model!AG1123-Model!AG1122*'Assumptions (Nuclear)'!AE16*0.00876,0)</f>
        <v>0</v>
      </c>
      <c r="AH1130" s="175">
        <f>IF(AG1129='Assumptions (Nuclear)'!$V$12,Model!AH1123-Model!AH1122*'Assumptions (Nuclear)'!AF16*0.00876,0)</f>
        <v>0</v>
      </c>
      <c r="AI1130" s="175">
        <f>IF(AH1129='Assumptions (Nuclear)'!$V$12,Model!AI1123-Model!AI1122*'Assumptions (Nuclear)'!AG16*0.00876,0)</f>
        <v>0</v>
      </c>
      <c r="AJ1130" s="175">
        <f>IF(AI1129='Assumptions (Nuclear)'!$V$12,Model!AJ1123-Model!AJ1122*'Assumptions (Nuclear)'!AH16*0.00876,0)</f>
        <v>0</v>
      </c>
      <c r="AK1130" s="175">
        <f>IF(AJ1129='Assumptions (Nuclear)'!$V$12,Model!AK1123-Model!AK1122*'Assumptions (Nuclear)'!AI16*0.00876,0)</f>
        <v>0</v>
      </c>
      <c r="AL1130" s="175">
        <f>IF(AK1129='Assumptions (Nuclear)'!$V$12,Model!AL1123-Model!AL1122*'Assumptions (Nuclear)'!AJ16*0.00876,0)</f>
        <v>0</v>
      </c>
      <c r="AM1130" s="175">
        <f>IF(AL1129='Assumptions (Nuclear)'!$V$12,Model!AM1123-Model!AM1122*'Assumptions (Nuclear)'!AK16*0.00876,0)</f>
        <v>0</v>
      </c>
      <c r="AN1130" s="175">
        <f>IF(AM1129='Assumptions (Nuclear)'!$V$12,Model!AN1123-Model!AN1122*'Assumptions (Nuclear)'!AL16*0.00876,0)</f>
        <v>0</v>
      </c>
      <c r="AO1130" s="175">
        <f>IF(AN1129='Assumptions (Nuclear)'!$V$12,Model!AO1123-Model!AO1122*'Assumptions (Nuclear)'!AM16*0.00876,0)</f>
        <v>0</v>
      </c>
      <c r="AP1130" s="175">
        <f>IF(AO1129='Assumptions (Nuclear)'!$V$12,Model!AP1123-Model!AP1122*'Assumptions (Nuclear)'!AN16*0.00876,0)</f>
        <v>0</v>
      </c>
      <c r="AQ1130" s="175">
        <f>IF(AP1129='Assumptions (Nuclear)'!$V$12,Model!AQ1123-Model!AQ1122*'Assumptions (Nuclear)'!AO16*0.00876,0)</f>
        <v>0</v>
      </c>
      <c r="AR1130" s="175">
        <f>IF(AQ1129='Assumptions (Nuclear)'!$V$12,Model!AR1123-Model!AR1122*'Assumptions (Nuclear)'!AP16*0.00876,0)</f>
        <v>0</v>
      </c>
      <c r="AS1130" s="175">
        <f>IF(AR1129='Assumptions (Nuclear)'!$V$12,Model!AS1123-Model!AS1122*'Assumptions (Nuclear)'!AQ16*0.00876,0)</f>
        <v>0</v>
      </c>
      <c r="AT1130" s="175">
        <f>IF(AS1129='Assumptions (Nuclear)'!$V$12,Model!AT1123-Model!AT1122*'Assumptions (Nuclear)'!AR16*0.00876,0)</f>
        <v>0</v>
      </c>
      <c r="AU1130" s="175">
        <f>IF(AT1129='Assumptions (Nuclear)'!$V$12,Model!AU1123-Model!AU1122*'Assumptions (Nuclear)'!AS16*0.00876,0)</f>
        <v>0</v>
      </c>
      <c r="AV1130" s="175">
        <f>IF(AU1129='Assumptions (Nuclear)'!$V$12,Model!AV1123-Model!AV1122*'Assumptions (Nuclear)'!AT16*0.00876,0)</f>
        <v>0</v>
      </c>
      <c r="AW1130" s="175">
        <f>IF(AV1129='Assumptions (Nuclear)'!$V$12,Model!AW1123-Model!AW1122*'Assumptions (Nuclear)'!AU16*0.00876,0)</f>
        <v>0</v>
      </c>
      <c r="AX1130" s="175">
        <f>IF(AW1129='Assumptions (Nuclear)'!$V$12,Model!AX1123-Model!AX1122*'Assumptions (Nuclear)'!AV16*0.00876,0)</f>
        <v>0</v>
      </c>
      <c r="AY1130" s="175">
        <f>IF(AX1129='Assumptions (Nuclear)'!$V$12,Model!AY1123-Model!AY1122*'Assumptions (Nuclear)'!AW16*0.00876,0)</f>
        <v>0</v>
      </c>
      <c r="AZ1130" s="175">
        <f>IF(AY1129='Assumptions (Nuclear)'!$V$12,Model!AZ1123-Model!AZ1122*'Assumptions (Nuclear)'!AX16*0.00876,0)</f>
        <v>0</v>
      </c>
      <c r="BA1130" s="175">
        <f>IF(AZ1129='Assumptions (Nuclear)'!$V$12,Model!BA1123-Model!BA1122*'Assumptions (Nuclear)'!AY16*0.00876,0)</f>
        <v>0</v>
      </c>
    </row>
    <row r="1131" ht="15.75" customHeight="1">
      <c r="A1131" s="261" t="s">
        <v>423</v>
      </c>
      <c r="B1131" s="150" t="s">
        <v>351</v>
      </c>
      <c r="C1131" s="176">
        <f t="shared" ref="C1131:BA1131" si="49">SUM(C1132:C1182)</f>
        <v>0</v>
      </c>
      <c r="D1131" s="176">
        <f t="shared" si="49"/>
        <v>0</v>
      </c>
      <c r="E1131" s="176">
        <f t="shared" si="49"/>
        <v>0</v>
      </c>
      <c r="F1131" s="176">
        <f t="shared" si="49"/>
        <v>0</v>
      </c>
      <c r="G1131" s="176">
        <f t="shared" si="49"/>
        <v>0</v>
      </c>
      <c r="H1131" s="176">
        <f t="shared" si="49"/>
        <v>0</v>
      </c>
      <c r="I1131" s="176">
        <f t="shared" si="49"/>
        <v>0</v>
      </c>
      <c r="J1131" s="176">
        <f t="shared" si="49"/>
        <v>0</v>
      </c>
      <c r="K1131" s="176">
        <f t="shared" si="49"/>
        <v>0</v>
      </c>
      <c r="L1131" s="176">
        <f t="shared" si="49"/>
        <v>0</v>
      </c>
      <c r="M1131" s="176">
        <f t="shared" si="49"/>
        <v>1.323822435</v>
      </c>
      <c r="N1131" s="176">
        <f t="shared" si="49"/>
        <v>1.351475955</v>
      </c>
      <c r="O1131" s="176">
        <f t="shared" si="49"/>
        <v>1.377395114</v>
      </c>
      <c r="P1131" s="176">
        <f t="shared" si="49"/>
        <v>1.401567419</v>
      </c>
      <c r="Q1131" s="176">
        <f t="shared" si="49"/>
        <v>1.427501496</v>
      </c>
      <c r="R1131" s="176">
        <f t="shared" si="49"/>
        <v>1.539805728</v>
      </c>
      <c r="S1131" s="176">
        <f t="shared" si="49"/>
        <v>0.1968956622</v>
      </c>
      <c r="T1131" s="176">
        <f t="shared" si="49"/>
        <v>0.3009066422</v>
      </c>
      <c r="U1131" s="176">
        <f t="shared" si="49"/>
        <v>0.4109821058</v>
      </c>
      <c r="V1131" s="176">
        <f t="shared" si="49"/>
        <v>0.5210531953</v>
      </c>
      <c r="W1131" s="176">
        <f t="shared" si="49"/>
        <v>0.6341628744</v>
      </c>
      <c r="X1131" s="176">
        <f t="shared" si="49"/>
        <v>0.6432620689</v>
      </c>
      <c r="Y1131" s="176">
        <f t="shared" si="49"/>
        <v>0.6523822517</v>
      </c>
      <c r="Z1131" s="176">
        <f t="shared" si="49"/>
        <v>0.6616134597</v>
      </c>
      <c r="AA1131" s="176">
        <f t="shared" si="49"/>
        <v>0.6710528864</v>
      </c>
      <c r="AB1131" s="176">
        <f t="shared" si="49"/>
        <v>0.6805105981</v>
      </c>
      <c r="AC1131" s="176">
        <f t="shared" si="49"/>
        <v>0.6900819275</v>
      </c>
      <c r="AD1131" s="176">
        <f t="shared" si="49"/>
        <v>1.743652886</v>
      </c>
      <c r="AE1131" s="176">
        <f t="shared" si="49"/>
        <v>1.768069156</v>
      </c>
      <c r="AF1131" s="176">
        <f t="shared" si="49"/>
        <v>3.030127924</v>
      </c>
      <c r="AG1131" s="176">
        <f t="shared" si="49"/>
        <v>7.213902209</v>
      </c>
      <c r="AH1131" s="176">
        <f t="shared" si="49"/>
        <v>11.61638091</v>
      </c>
      <c r="AI1131" s="176">
        <f t="shared" si="49"/>
        <v>11.75971547</v>
      </c>
      <c r="AJ1131" s="176">
        <f t="shared" si="49"/>
        <v>15.29556342</v>
      </c>
      <c r="AK1131" s="176">
        <f t="shared" si="49"/>
        <v>15.49693086</v>
      </c>
      <c r="AL1131" s="176">
        <f t="shared" si="49"/>
        <v>15.66238226</v>
      </c>
      <c r="AM1131" s="176">
        <f t="shared" si="49"/>
        <v>11.37537748</v>
      </c>
      <c r="AN1131" s="176">
        <f t="shared" si="49"/>
        <v>12.01277166</v>
      </c>
      <c r="AO1131" s="176">
        <f t="shared" si="49"/>
        <v>14.06695009</v>
      </c>
      <c r="AP1131" s="176">
        <f t="shared" si="49"/>
        <v>9.365866361</v>
      </c>
      <c r="AQ1131" s="176">
        <f t="shared" si="49"/>
        <v>13.06572197</v>
      </c>
      <c r="AR1131" s="176">
        <f t="shared" si="49"/>
        <v>16.11676177</v>
      </c>
      <c r="AS1131" s="176">
        <f t="shared" si="49"/>
        <v>18.27740509</v>
      </c>
      <c r="AT1131" s="176">
        <f t="shared" si="49"/>
        <v>16.48265938</v>
      </c>
      <c r="AU1131" s="176">
        <f t="shared" si="49"/>
        <v>14.63402535</v>
      </c>
      <c r="AV1131" s="176">
        <f t="shared" si="49"/>
        <v>14.67336485</v>
      </c>
      <c r="AW1131" s="176">
        <f t="shared" si="49"/>
        <v>10.8216492</v>
      </c>
      <c r="AX1131" s="176">
        <f t="shared" si="49"/>
        <v>6.207682601</v>
      </c>
      <c r="AY1131" s="176">
        <f t="shared" si="49"/>
        <v>4.011932043</v>
      </c>
      <c r="AZ1131" s="176">
        <f t="shared" si="49"/>
        <v>0.1525872524</v>
      </c>
      <c r="BA1131" s="176">
        <f t="shared" si="49"/>
        <v>0</v>
      </c>
    </row>
    <row r="1132" ht="15.75" hidden="1" customHeight="1" outlineLevel="1">
      <c r="A1132" s="262"/>
      <c r="B1132" s="38"/>
      <c r="C1132" s="177">
        <f>IF($C$1129&gt;0,6*'Assumptions (Nuclear)'!$V$14*Model!$C$1129*'Assumptions (Nuclear)'!B$2/10^9,0)</f>
        <v>0</v>
      </c>
      <c r="D1132" s="160"/>
      <c r="E1132" s="160"/>
      <c r="F1132" s="160"/>
      <c r="G1132" s="160"/>
      <c r="H1132" s="160"/>
      <c r="I1132" s="160"/>
      <c r="J1132" s="160"/>
      <c r="K1132" s="160"/>
      <c r="L1132" s="160"/>
      <c r="M1132" s="160"/>
      <c r="N1132" s="160"/>
      <c r="O1132" s="160"/>
      <c r="P1132" s="160"/>
      <c r="Q1132" s="160"/>
      <c r="R1132" s="160"/>
      <c r="S1132" s="160"/>
      <c r="T1132" s="160"/>
      <c r="U1132" s="160"/>
      <c r="V1132" s="174"/>
      <c r="W1132" s="95"/>
      <c r="X1132" s="95"/>
      <c r="Y1132" s="95"/>
      <c r="Z1132" s="95"/>
      <c r="AA1132" s="95"/>
      <c r="AB1132" s="95"/>
      <c r="AC1132" s="95"/>
      <c r="AD1132" s="95"/>
      <c r="AE1132" s="95"/>
      <c r="AF1132" s="95"/>
      <c r="AG1132" s="95"/>
      <c r="AH1132" s="95"/>
      <c r="AI1132" s="95"/>
      <c r="AJ1132" s="95"/>
      <c r="AK1132" s="95"/>
      <c r="AL1132" s="95"/>
      <c r="AM1132" s="95"/>
      <c r="AN1132" s="95"/>
      <c r="AO1132" s="95"/>
      <c r="AP1132" s="95"/>
      <c r="AQ1132" s="95"/>
      <c r="AR1132" s="95"/>
      <c r="AS1132" s="95"/>
      <c r="AT1132" s="95"/>
      <c r="AU1132" s="95"/>
      <c r="AV1132" s="95"/>
      <c r="AW1132" s="95"/>
      <c r="AX1132" s="95"/>
      <c r="AY1132" s="95"/>
      <c r="AZ1132" s="95"/>
      <c r="BA1132" s="95"/>
    </row>
    <row r="1133" ht="15.75" hidden="1" customHeight="1" outlineLevel="1">
      <c r="A1133" s="262"/>
      <c r="B1133" s="38"/>
      <c r="C1133" s="177">
        <f>IF($D$1129&gt;0,6*'Assumptions (Nuclear)'!$V$14*Model!$D$1129*'Assumptions (Nuclear)'!B$2/10^9,0)</f>
        <v>0</v>
      </c>
      <c r="D1133" s="177"/>
      <c r="E1133" s="177"/>
      <c r="F1133" s="177"/>
      <c r="G1133" s="177"/>
      <c r="H1133" s="177"/>
      <c r="I1133" s="177"/>
      <c r="J1133" s="177"/>
      <c r="K1133" s="177"/>
      <c r="L1133" s="177"/>
      <c r="M1133" s="160"/>
      <c r="N1133" s="160"/>
      <c r="O1133" s="160"/>
      <c r="P1133" s="160"/>
      <c r="Q1133" s="160"/>
      <c r="R1133" s="160"/>
      <c r="S1133" s="160"/>
      <c r="T1133" s="160"/>
      <c r="U1133" s="160"/>
      <c r="V1133" s="174"/>
      <c r="W1133" s="95"/>
      <c r="X1133" s="95"/>
      <c r="Y1133" s="95"/>
      <c r="Z1133" s="95"/>
      <c r="AA1133" s="95"/>
      <c r="AB1133" s="95"/>
      <c r="AC1133" s="95"/>
      <c r="AD1133" s="95"/>
      <c r="AE1133" s="95"/>
      <c r="AF1133" s="95"/>
      <c r="AG1133" s="95"/>
      <c r="AH1133" s="95"/>
      <c r="AI1133" s="95"/>
      <c r="AJ1133" s="95"/>
      <c r="AK1133" s="95"/>
      <c r="AL1133" s="95"/>
      <c r="AM1133" s="95"/>
      <c r="AN1133" s="95"/>
      <c r="AO1133" s="95"/>
      <c r="AP1133" s="95"/>
      <c r="AQ1133" s="95"/>
      <c r="AR1133" s="95"/>
      <c r="AS1133" s="95"/>
      <c r="AT1133" s="95"/>
      <c r="AU1133" s="95"/>
      <c r="AV1133" s="95"/>
      <c r="AW1133" s="95"/>
      <c r="AX1133" s="95"/>
      <c r="AY1133" s="95"/>
      <c r="AZ1133" s="95"/>
      <c r="BA1133" s="95"/>
    </row>
    <row r="1134" ht="15.75" hidden="1" customHeight="1" outlineLevel="1">
      <c r="A1134" s="262"/>
      <c r="B1134" s="38"/>
      <c r="C1134" s="177">
        <f>IF($E$1129&gt;0,5*'Assumptions (Nuclear)'!$V$14*Model!$E$1129*'Assumptions (Nuclear)'!B$2/10^9,0)</f>
        <v>0</v>
      </c>
      <c r="D1134" s="177">
        <f>IF($E$1129&gt;0,'Assumptions (Nuclear)'!$V$14*Model!$E$1129*'Assumptions (Nuclear)'!C$2/10^9,0)</f>
        <v>0</v>
      </c>
      <c r="E1134" s="177"/>
      <c r="F1134" s="177"/>
      <c r="G1134" s="177"/>
      <c r="H1134" s="177"/>
      <c r="I1134" s="177"/>
      <c r="J1134" s="177"/>
      <c r="K1134" s="177"/>
      <c r="L1134" s="177"/>
      <c r="M1134" s="160"/>
      <c r="N1134" s="160"/>
      <c r="O1134" s="160"/>
      <c r="P1134" s="160"/>
      <c r="Q1134" s="160"/>
      <c r="R1134" s="160"/>
      <c r="S1134" s="160"/>
      <c r="T1134" s="160"/>
      <c r="U1134" s="160"/>
      <c r="V1134" s="174"/>
      <c r="W1134" s="95"/>
      <c r="X1134" s="95"/>
      <c r="Y1134" s="95"/>
      <c r="Z1134" s="95"/>
      <c r="AA1134" s="95"/>
      <c r="AB1134" s="95"/>
      <c r="AC1134" s="95"/>
      <c r="AD1134" s="95"/>
      <c r="AE1134" s="95"/>
      <c r="AF1134" s="95"/>
      <c r="AG1134" s="95"/>
      <c r="AH1134" s="95"/>
      <c r="AI1134" s="95"/>
      <c r="AJ1134" s="95"/>
      <c r="AK1134" s="95"/>
      <c r="AL1134" s="95"/>
      <c r="AM1134" s="95"/>
      <c r="AN1134" s="95"/>
      <c r="AO1134" s="95"/>
      <c r="AP1134" s="95"/>
      <c r="AQ1134" s="95"/>
      <c r="AR1134" s="95"/>
      <c r="AS1134" s="95"/>
      <c r="AT1134" s="95"/>
      <c r="AU1134" s="95"/>
      <c r="AV1134" s="95"/>
      <c r="AW1134" s="95"/>
      <c r="AX1134" s="95"/>
      <c r="AY1134" s="95"/>
      <c r="AZ1134" s="95"/>
      <c r="BA1134" s="95"/>
    </row>
    <row r="1135" ht="15.75" hidden="1" customHeight="1" outlineLevel="1">
      <c r="A1135" s="262"/>
      <c r="B1135" s="38"/>
      <c r="C1135" s="177">
        <f>IF($F$1129&gt;0,4*'Assumptions (Nuclear)'!$V$14*Model!$F$1129*'Assumptions (Nuclear)'!B$2/10^9,0)</f>
        <v>0</v>
      </c>
      <c r="D1135" s="177">
        <f>IF($F$1129&gt;0,'Assumptions (Nuclear)'!$V$14*Model!$F$1129*'Assumptions (Nuclear)'!C$2/10^9,0)</f>
        <v>0</v>
      </c>
      <c r="E1135" s="177">
        <f>IF($F$1129&gt;0,'Assumptions (Nuclear)'!$V$14*Model!$F$1129*'Assumptions (Nuclear)'!D$2/10^9,0)</f>
        <v>0</v>
      </c>
      <c r="F1135" s="177"/>
      <c r="G1135" s="177"/>
      <c r="H1135" s="177"/>
      <c r="I1135" s="177"/>
      <c r="J1135" s="177"/>
      <c r="K1135" s="177"/>
      <c r="L1135" s="177"/>
      <c r="M1135" s="160"/>
      <c r="N1135" s="160"/>
      <c r="O1135" s="160"/>
      <c r="P1135" s="160"/>
      <c r="Q1135" s="160"/>
      <c r="R1135" s="160"/>
      <c r="S1135" s="160"/>
      <c r="T1135" s="160"/>
      <c r="U1135" s="160"/>
      <c r="V1135" s="174"/>
      <c r="W1135" s="95"/>
      <c r="X1135" s="95"/>
      <c r="Y1135" s="95"/>
      <c r="Z1135" s="95"/>
      <c r="AA1135" s="95"/>
      <c r="AB1135" s="95"/>
      <c r="AC1135" s="95"/>
      <c r="AD1135" s="95"/>
      <c r="AE1135" s="95"/>
      <c r="AF1135" s="95"/>
      <c r="AG1135" s="95"/>
      <c r="AH1135" s="95"/>
      <c r="AI1135" s="95"/>
      <c r="AJ1135" s="95"/>
      <c r="AK1135" s="95"/>
      <c r="AL1135" s="95"/>
      <c r="AM1135" s="95"/>
      <c r="AN1135" s="95"/>
      <c r="AO1135" s="95"/>
      <c r="AP1135" s="95"/>
      <c r="AQ1135" s="95"/>
      <c r="AR1135" s="95"/>
      <c r="AS1135" s="95"/>
      <c r="AT1135" s="95"/>
      <c r="AU1135" s="95"/>
      <c r="AV1135" s="95"/>
      <c r="AW1135" s="95"/>
      <c r="AX1135" s="95"/>
      <c r="AY1135" s="95"/>
      <c r="AZ1135" s="95"/>
      <c r="BA1135" s="95"/>
    </row>
    <row r="1136" ht="15.75" hidden="1" customHeight="1" outlineLevel="1">
      <c r="A1136" s="262"/>
      <c r="B1136" s="38"/>
      <c r="C1136" s="177">
        <f>IF($G$1129&gt;0,3*'Assumptions (Nuclear)'!$V$14*Model!$G$1129*'Assumptions (Nuclear)'!B$2/10^9,0)</f>
        <v>0</v>
      </c>
      <c r="D1136" s="177">
        <f>IF($G$1129&gt;0,'Assumptions (Nuclear)'!$V$14*Model!$G$1129*'Assumptions (Nuclear)'!C$2/10^9,0)</f>
        <v>0</v>
      </c>
      <c r="E1136" s="177">
        <f>IF($G$1129&gt;0,'Assumptions (Nuclear)'!$V$14*Model!$G$1129*'Assumptions (Nuclear)'!D$2/10^9,0)</f>
        <v>0</v>
      </c>
      <c r="F1136" s="177">
        <f>IF($G$1129&gt;0,'Assumptions (Nuclear)'!$V$14*Model!$G$1129*'Assumptions (Nuclear)'!E$2/10^9,0)</f>
        <v>0</v>
      </c>
      <c r="G1136" s="177"/>
      <c r="H1136" s="177"/>
      <c r="I1136" s="177"/>
      <c r="J1136" s="177"/>
      <c r="K1136" s="177"/>
      <c r="L1136" s="177"/>
      <c r="M1136" s="160"/>
      <c r="N1136" s="160"/>
      <c r="O1136" s="160"/>
      <c r="P1136" s="160"/>
      <c r="Q1136" s="160"/>
      <c r="R1136" s="160"/>
      <c r="S1136" s="160"/>
      <c r="T1136" s="160"/>
      <c r="U1136" s="160"/>
      <c r="V1136" s="174"/>
      <c r="W1136" s="95"/>
      <c r="X1136" s="95"/>
      <c r="Y1136" s="95"/>
      <c r="Z1136" s="95"/>
      <c r="AA1136" s="95"/>
      <c r="AB1136" s="95"/>
      <c r="AC1136" s="95"/>
      <c r="AD1136" s="95"/>
      <c r="AE1136" s="95"/>
      <c r="AF1136" s="95"/>
      <c r="AG1136" s="95"/>
      <c r="AH1136" s="95"/>
      <c r="AI1136" s="95"/>
      <c r="AJ1136" s="95"/>
      <c r="AK1136" s="95"/>
      <c r="AL1136" s="95"/>
      <c r="AM1136" s="95"/>
      <c r="AN1136" s="95"/>
      <c r="AO1136" s="95"/>
      <c r="AP1136" s="95"/>
      <c r="AQ1136" s="95"/>
      <c r="AR1136" s="95"/>
      <c r="AS1136" s="95"/>
      <c r="AT1136" s="95"/>
      <c r="AU1136" s="95"/>
      <c r="AV1136" s="95"/>
      <c r="AW1136" s="95"/>
      <c r="AX1136" s="95"/>
      <c r="AY1136" s="95"/>
      <c r="AZ1136" s="95"/>
      <c r="BA1136" s="95"/>
    </row>
    <row r="1137" ht="15.75" hidden="1" customHeight="1" outlineLevel="1">
      <c r="A1137" s="262"/>
      <c r="B1137" s="38"/>
      <c r="C1137" s="177">
        <f>IF($H$1129&gt;0,2*'Assumptions (Nuclear)'!$V$14*Model!$H$1129*'Assumptions (Nuclear)'!B$2/10^9,0)</f>
        <v>0</v>
      </c>
      <c r="D1137" s="177">
        <f>IF($H$1129&gt;0,'Assumptions (Nuclear)'!$V$14*Model!$H$1129*'Assumptions (Nuclear)'!C$2/10^9,0)</f>
        <v>0</v>
      </c>
      <c r="E1137" s="177">
        <f>IF($H$1129&gt;0,'Assumptions (Nuclear)'!$V$14*Model!$H$1129*'Assumptions (Nuclear)'!D$2/10^9,0)</f>
        <v>0</v>
      </c>
      <c r="F1137" s="177">
        <f>IF($H$1129&gt;0,'Assumptions (Nuclear)'!$V$14*Model!$H$1129*'Assumptions (Nuclear)'!E$2/10^9,0)</f>
        <v>0</v>
      </c>
      <c r="G1137" s="177">
        <f>IF($H$1129&gt;0,'Assumptions (Nuclear)'!$V$14*Model!$H$1129*'Assumptions (Nuclear)'!F$2/10^9,0)</f>
        <v>0</v>
      </c>
      <c r="H1137" s="177"/>
      <c r="I1137" s="177"/>
      <c r="J1137" s="177"/>
      <c r="K1137" s="177"/>
      <c r="L1137" s="177"/>
      <c r="M1137" s="160"/>
      <c r="N1137" s="160"/>
      <c r="O1137" s="160"/>
      <c r="P1137" s="160"/>
      <c r="Q1137" s="160"/>
      <c r="R1137" s="160"/>
      <c r="S1137" s="160"/>
      <c r="T1137" s="160"/>
      <c r="U1137" s="160"/>
      <c r="V1137" s="174"/>
      <c r="W1137" s="95"/>
      <c r="X1137" s="95"/>
      <c r="Y1137" s="95"/>
      <c r="Z1137" s="95"/>
      <c r="AA1137" s="95"/>
      <c r="AB1137" s="95"/>
      <c r="AC1137" s="95"/>
      <c r="AD1137" s="95"/>
      <c r="AE1137" s="95"/>
      <c r="AF1137" s="95"/>
      <c r="AG1137" s="95"/>
      <c r="AH1137" s="95"/>
      <c r="AI1137" s="95"/>
      <c r="AJ1137" s="95"/>
      <c r="AK1137" s="95"/>
      <c r="AL1137" s="95"/>
      <c r="AM1137" s="95"/>
      <c r="AN1137" s="95"/>
      <c r="AO1137" s="95"/>
      <c r="AP1137" s="95"/>
      <c r="AQ1137" s="95"/>
      <c r="AR1137" s="95"/>
      <c r="AS1137" s="95"/>
      <c r="AT1137" s="95"/>
      <c r="AU1137" s="95"/>
      <c r="AV1137" s="95"/>
      <c r="AW1137" s="95"/>
      <c r="AX1137" s="95"/>
      <c r="AY1137" s="95"/>
      <c r="AZ1137" s="95"/>
      <c r="BA1137" s="95"/>
    </row>
    <row r="1138" ht="15.75" hidden="1" customHeight="1" outlineLevel="1">
      <c r="A1138" s="262"/>
      <c r="B1138" s="38"/>
      <c r="C1138" s="177">
        <f>IF($I$1129&gt;0,'Assumptions (Nuclear)'!$V$14*Model!$I$1129*'Assumptions (Nuclear)'!B$2/10^9,0)</f>
        <v>0</v>
      </c>
      <c r="D1138" s="177">
        <f>IF($I$1129&gt;0,'Assumptions (Nuclear)'!$V$14*Model!$I$1129*'Assumptions (Nuclear)'!C$2/10^9,0)</f>
        <v>0</v>
      </c>
      <c r="E1138" s="177">
        <f>IF($I$1129&gt;0,'Assumptions (Nuclear)'!$V$14*Model!$I$1129*'Assumptions (Nuclear)'!D$2/10^9,0)</f>
        <v>0</v>
      </c>
      <c r="F1138" s="177">
        <f>IF($I$1129&gt;0,'Assumptions (Nuclear)'!$V$14*Model!$I$1129*'Assumptions (Nuclear)'!E$2/10^9,0)</f>
        <v>0</v>
      </c>
      <c r="G1138" s="177">
        <f>IF($I$1129&gt;0,'Assumptions (Nuclear)'!$V$14*Model!$I$1129*'Assumptions (Nuclear)'!F$2/10^9,0)</f>
        <v>0</v>
      </c>
      <c r="H1138" s="177">
        <f>IF($I$1129&gt;0,'Assumptions (Nuclear)'!$V$14*Model!$I$1129*'Assumptions (Nuclear)'!G$2/10^9,0)</f>
        <v>0</v>
      </c>
      <c r="I1138" s="177"/>
      <c r="J1138" s="177"/>
      <c r="K1138" s="177"/>
      <c r="L1138" s="177"/>
      <c r="M1138" s="160"/>
      <c r="N1138" s="160"/>
      <c r="O1138" s="160"/>
      <c r="P1138" s="160"/>
      <c r="Q1138" s="160"/>
      <c r="R1138" s="160"/>
      <c r="S1138" s="160"/>
      <c r="T1138" s="160"/>
      <c r="U1138" s="160"/>
      <c r="V1138" s="174"/>
      <c r="W1138" s="95"/>
      <c r="X1138" s="95"/>
      <c r="Y1138" s="95"/>
      <c r="Z1138" s="95"/>
      <c r="AA1138" s="95"/>
      <c r="AB1138" s="95"/>
      <c r="AC1138" s="95"/>
      <c r="AD1138" s="95"/>
      <c r="AE1138" s="95"/>
      <c r="AF1138" s="95"/>
      <c r="AG1138" s="95"/>
      <c r="AH1138" s="95"/>
      <c r="AI1138" s="95"/>
      <c r="AJ1138" s="95"/>
      <c r="AK1138" s="95"/>
      <c r="AL1138" s="95"/>
      <c r="AM1138" s="95"/>
      <c r="AN1138" s="95"/>
      <c r="AO1138" s="95"/>
      <c r="AP1138" s="95"/>
      <c r="AQ1138" s="95"/>
      <c r="AR1138" s="95"/>
      <c r="AS1138" s="95"/>
      <c r="AT1138" s="95"/>
      <c r="AU1138" s="95"/>
      <c r="AV1138" s="95"/>
      <c r="AW1138" s="95"/>
      <c r="AX1138" s="95"/>
      <c r="AY1138" s="95"/>
      <c r="AZ1138" s="95"/>
      <c r="BA1138" s="95"/>
    </row>
    <row r="1139" ht="15.75" hidden="1" customHeight="1" outlineLevel="1">
      <c r="A1139" s="262"/>
      <c r="B1139" s="38"/>
      <c r="C1139" s="177"/>
      <c r="D1139" s="177">
        <f>IF($J$1129&gt;0,'Assumptions (Nuclear)'!$V$14*Model!$J$1129*'Assumptions (Nuclear)'!C$2/10^9,0)</f>
        <v>0</v>
      </c>
      <c r="E1139" s="177">
        <f>IF($J$1129&gt;0,'Assumptions (Nuclear)'!$V$14*Model!$J$1129*'Assumptions (Nuclear)'!D$2/10^9,0)</f>
        <v>0</v>
      </c>
      <c r="F1139" s="177">
        <f>IF($J$1129&gt;0,'Assumptions (Nuclear)'!$V$14*Model!$J$1129*'Assumptions (Nuclear)'!E$2/10^9,0)</f>
        <v>0</v>
      </c>
      <c r="G1139" s="177">
        <f>IF($J$1129&gt;0,'Assumptions (Nuclear)'!$V$14*Model!$J$1129*'Assumptions (Nuclear)'!F$2/10^9,0)</f>
        <v>0</v>
      </c>
      <c r="H1139" s="177">
        <f>IF($J$1129&gt;0,'Assumptions (Nuclear)'!$V$14*Model!$J$1129*'Assumptions (Nuclear)'!G$2/10^9,0)</f>
        <v>0</v>
      </c>
      <c r="I1139" s="177">
        <f>IF($J$1129&gt;0,'Assumptions (Nuclear)'!$V$14*Model!$J$1129*'Assumptions (Nuclear)'!H$2/10^9,0)</f>
        <v>0</v>
      </c>
      <c r="J1139" s="177"/>
      <c r="K1139" s="177"/>
      <c r="L1139" s="177"/>
      <c r="M1139" s="160"/>
      <c r="N1139" s="160"/>
      <c r="O1139" s="160"/>
      <c r="P1139" s="160"/>
      <c r="Q1139" s="160"/>
      <c r="R1139" s="160"/>
      <c r="S1139" s="160"/>
      <c r="T1139" s="160"/>
      <c r="U1139" s="160"/>
      <c r="V1139" s="174"/>
      <c r="W1139" s="95"/>
      <c r="X1139" s="95"/>
      <c r="Y1139" s="95"/>
      <c r="Z1139" s="95"/>
      <c r="AA1139" s="95"/>
      <c r="AB1139" s="95"/>
      <c r="AC1139" s="95"/>
      <c r="AD1139" s="95"/>
      <c r="AE1139" s="95"/>
      <c r="AF1139" s="95"/>
      <c r="AG1139" s="95"/>
      <c r="AH1139" s="95"/>
      <c r="AI1139" s="95"/>
      <c r="AJ1139" s="95"/>
      <c r="AK1139" s="95"/>
      <c r="AL1139" s="95"/>
      <c r="AM1139" s="95"/>
      <c r="AN1139" s="95"/>
      <c r="AO1139" s="95"/>
      <c r="AP1139" s="95"/>
      <c r="AQ1139" s="95"/>
      <c r="AR1139" s="95"/>
      <c r="AS1139" s="95"/>
      <c r="AT1139" s="95"/>
      <c r="AU1139" s="95"/>
      <c r="AV1139" s="95"/>
      <c r="AW1139" s="95"/>
      <c r="AX1139" s="95"/>
      <c r="AY1139" s="95"/>
      <c r="AZ1139" s="95"/>
      <c r="BA1139" s="95"/>
    </row>
    <row r="1140" ht="15.75" hidden="1" customHeight="1" outlineLevel="1">
      <c r="A1140" s="262"/>
      <c r="B1140" s="38"/>
      <c r="C1140" s="177"/>
      <c r="D1140" s="177"/>
      <c r="E1140" s="177">
        <f>IF($K$1129&gt;0,'Assumptions (Nuclear)'!$V$14*Model!$K$1129*'Assumptions (Nuclear)'!D$2/10^9,0)</f>
        <v>0</v>
      </c>
      <c r="F1140" s="177">
        <f>IF($K$1129&gt;0,'Assumptions (Nuclear)'!$V$14*Model!$K$1129*'Assumptions (Nuclear)'!E$2/10^9,0)</f>
        <v>0</v>
      </c>
      <c r="G1140" s="177">
        <f>IF($K$1129&gt;0,'Assumptions (Nuclear)'!$V$14*Model!$K$1129*'Assumptions (Nuclear)'!F$2/10^9,0)</f>
        <v>0</v>
      </c>
      <c r="H1140" s="177">
        <f>IF($K$1129&gt;0,'Assumptions (Nuclear)'!$V$14*Model!$K$1129*'Assumptions (Nuclear)'!G$2/10^9,0)</f>
        <v>0</v>
      </c>
      <c r="I1140" s="177">
        <f>IF($K$1129&gt;0,'Assumptions (Nuclear)'!$V$14*Model!$K$1129*'Assumptions (Nuclear)'!H$2/10^9,0)</f>
        <v>0</v>
      </c>
      <c r="J1140" s="177">
        <f>IF($K$1129&gt;0,'Assumptions (Nuclear)'!$V$14*Model!$K$1129*'Assumptions (Nuclear)'!I$2/10^9,0)</f>
        <v>0</v>
      </c>
      <c r="K1140" s="177"/>
      <c r="L1140" s="177"/>
      <c r="M1140" s="160"/>
      <c r="N1140" s="160"/>
      <c r="O1140" s="160"/>
      <c r="P1140" s="160"/>
      <c r="Q1140" s="160"/>
      <c r="R1140" s="160"/>
      <c r="S1140" s="160"/>
      <c r="T1140" s="160"/>
      <c r="U1140" s="160"/>
      <c r="V1140" s="174"/>
      <c r="W1140" s="95"/>
      <c r="X1140" s="95"/>
      <c r="Y1140" s="95"/>
      <c r="Z1140" s="95"/>
      <c r="AA1140" s="95"/>
      <c r="AB1140" s="95"/>
      <c r="AC1140" s="95"/>
      <c r="AD1140" s="95"/>
      <c r="AE1140" s="95"/>
      <c r="AF1140" s="95"/>
      <c r="AG1140" s="95"/>
      <c r="AH1140" s="95"/>
      <c r="AI1140" s="95"/>
      <c r="AJ1140" s="95"/>
      <c r="AK1140" s="95"/>
      <c r="AL1140" s="95"/>
      <c r="AM1140" s="95"/>
      <c r="AN1140" s="95"/>
      <c r="AO1140" s="95"/>
      <c r="AP1140" s="95"/>
      <c r="AQ1140" s="95"/>
      <c r="AR1140" s="95"/>
      <c r="AS1140" s="95"/>
      <c r="AT1140" s="95"/>
      <c r="AU1140" s="95"/>
      <c r="AV1140" s="95"/>
      <c r="AW1140" s="95"/>
      <c r="AX1140" s="95"/>
      <c r="AY1140" s="95"/>
      <c r="AZ1140" s="95"/>
      <c r="BA1140" s="95"/>
    </row>
    <row r="1141" ht="15.75" hidden="1" customHeight="1" outlineLevel="1">
      <c r="A1141" s="262"/>
      <c r="B1141" s="38"/>
      <c r="C1141" s="177"/>
      <c r="D1141" s="177"/>
      <c r="E1141" s="177"/>
      <c r="F1141" s="177">
        <f>IF($L$1129&gt;0,'Assumptions (Nuclear)'!$V$14*Model!$L$1129*'Assumptions (Nuclear)'!E$2/10^9,0)</f>
        <v>0</v>
      </c>
      <c r="G1141" s="177">
        <f>IF($L$1129&gt;0,'Assumptions (Nuclear)'!$V$14*Model!$L$1129*'Assumptions (Nuclear)'!F$2/10^9,0)</f>
        <v>0</v>
      </c>
      <c r="H1141" s="177">
        <f>IF($L$1129&gt;0,'Assumptions (Nuclear)'!$V$14*Model!$L$1129*'Assumptions (Nuclear)'!G$2/10^9,0)</f>
        <v>0</v>
      </c>
      <c r="I1141" s="177">
        <f>IF($L$1129&gt;0,'Assumptions (Nuclear)'!$V$14*Model!$L$1129*'Assumptions (Nuclear)'!H$2/10^9,0)</f>
        <v>0</v>
      </c>
      <c r="J1141" s="177">
        <f>IF($L$1129&gt;0,'Assumptions (Nuclear)'!$V$14*Model!$L$1129*'Assumptions (Nuclear)'!I$2/10^9,0)</f>
        <v>0</v>
      </c>
      <c r="K1141" s="177">
        <f>IF($L$1129&gt;0,'Assumptions (Nuclear)'!$V$14*Model!$L$1129*'Assumptions (Nuclear)'!J$2/10^9,0)</f>
        <v>0</v>
      </c>
      <c r="L1141" s="177"/>
      <c r="M1141" s="160"/>
      <c r="N1141" s="160"/>
      <c r="O1141" s="160"/>
      <c r="P1141" s="160"/>
      <c r="Q1141" s="160"/>
      <c r="R1141" s="160"/>
      <c r="S1141" s="160"/>
      <c r="T1141" s="160"/>
      <c r="U1141" s="160"/>
      <c r="V1141" s="174"/>
      <c r="W1141" s="95"/>
      <c r="X1141" s="95"/>
      <c r="Y1141" s="95"/>
      <c r="Z1141" s="95"/>
      <c r="AA1141" s="95"/>
      <c r="AB1141" s="95"/>
      <c r="AC1141" s="95"/>
      <c r="AD1141" s="95"/>
      <c r="AE1141" s="95"/>
      <c r="AF1141" s="95"/>
      <c r="AG1141" s="95"/>
      <c r="AH1141" s="95"/>
      <c r="AI1141" s="95"/>
      <c r="AJ1141" s="95"/>
      <c r="AK1141" s="95"/>
      <c r="AL1141" s="95"/>
      <c r="AM1141" s="95"/>
      <c r="AN1141" s="95"/>
      <c r="AO1141" s="95"/>
      <c r="AP1141" s="95"/>
      <c r="AQ1141" s="95"/>
      <c r="AR1141" s="95"/>
      <c r="AS1141" s="95"/>
      <c r="AT1141" s="95"/>
      <c r="AU1141" s="95"/>
      <c r="AV1141" s="95"/>
      <c r="AW1141" s="95"/>
      <c r="AX1141" s="95"/>
      <c r="AY1141" s="95"/>
      <c r="AZ1141" s="95"/>
      <c r="BA1141" s="95"/>
    </row>
    <row r="1142" ht="15.75" hidden="1" customHeight="1" outlineLevel="1">
      <c r="A1142" s="262"/>
      <c r="B1142" s="38"/>
      <c r="C1142" s="177"/>
      <c r="D1142" s="177"/>
      <c r="E1142" s="177"/>
      <c r="F1142" s="177"/>
      <c r="G1142" s="177">
        <f>IF($M$1129&gt;0,'Assumptions (Nuclear)'!$V$14*Model!$M$1129*'Assumptions (Nuclear)'!F$2/10^9,0)</f>
        <v>0</v>
      </c>
      <c r="H1142" s="177">
        <f>IF($M$1129&gt;0,'Assumptions (Nuclear)'!$V$14*Model!$M$1129*'Assumptions (Nuclear)'!G$2/10^9,0)</f>
        <v>0</v>
      </c>
      <c r="I1142" s="177">
        <f>IF($M$1129&gt;0,'Assumptions (Nuclear)'!$V$14*Model!$M$1129*'Assumptions (Nuclear)'!H$2/10^9,0)</f>
        <v>0</v>
      </c>
      <c r="J1142" s="177">
        <f>IF($M$1129&gt;0,'Assumptions (Nuclear)'!$V$14*Model!$M$1129*'Assumptions (Nuclear)'!I$2/10^9,0)</f>
        <v>0</v>
      </c>
      <c r="K1142" s="177">
        <f>IF($M$1129&gt;0,'Assumptions (Nuclear)'!$V$14*Model!$M$1129*'Assumptions (Nuclear)'!J$2/10^9,0)</f>
        <v>0</v>
      </c>
      <c r="L1142" s="177">
        <f>IF($M$1129&gt;0,'Assumptions (Nuclear)'!$V$14*Model!$M$1129*'Assumptions (Nuclear)'!K$2/10^9,0)</f>
        <v>0</v>
      </c>
      <c r="M1142" s="160"/>
      <c r="N1142" s="160"/>
      <c r="O1142" s="160"/>
      <c r="P1142" s="160"/>
      <c r="Q1142" s="160"/>
      <c r="R1142" s="160"/>
      <c r="S1142" s="160"/>
      <c r="T1142" s="160"/>
      <c r="U1142" s="160"/>
      <c r="V1142" s="174"/>
      <c r="W1142" s="95"/>
      <c r="X1142" s="95"/>
      <c r="Y1142" s="95"/>
      <c r="Z1142" s="95"/>
      <c r="AA1142" s="95"/>
      <c r="AB1142" s="95"/>
      <c r="AC1142" s="95"/>
      <c r="AD1142" s="95"/>
      <c r="AE1142" s="95"/>
      <c r="AF1142" s="95"/>
      <c r="AG1142" s="95"/>
      <c r="AH1142" s="95"/>
      <c r="AI1142" s="95"/>
      <c r="AJ1142" s="95"/>
      <c r="AK1142" s="95"/>
      <c r="AL1142" s="95"/>
      <c r="AM1142" s="95"/>
      <c r="AN1142" s="95"/>
      <c r="AO1142" s="95"/>
      <c r="AP1142" s="95"/>
      <c r="AQ1142" s="95"/>
      <c r="AR1142" s="95"/>
      <c r="AS1142" s="95"/>
      <c r="AT1142" s="95"/>
      <c r="AU1142" s="95"/>
      <c r="AV1142" s="95"/>
      <c r="AW1142" s="95"/>
      <c r="AX1142" s="95"/>
      <c r="AY1142" s="95"/>
      <c r="AZ1142" s="95"/>
      <c r="BA1142" s="95"/>
    </row>
    <row r="1143" ht="15.75" hidden="1" customHeight="1" outlineLevel="1">
      <c r="A1143" s="262"/>
      <c r="B1143" s="38"/>
      <c r="C1143" s="160"/>
      <c r="D1143" s="160"/>
      <c r="E1143" s="160"/>
      <c r="F1143" s="160"/>
      <c r="G1143" s="160"/>
      <c r="H1143" s="160">
        <f>IF($N$1129&gt;0,'Assumptions (Nuclear)'!$V$14*Model!$N$1129*'Assumptions (Nuclear)'!G$2/10^9,0)</f>
        <v>0</v>
      </c>
      <c r="I1143" s="160">
        <f>IF($N$1129&gt;0,'Assumptions (Nuclear)'!$V$14*Model!$N$1129*'Assumptions (Nuclear)'!H$2/10^9,0)</f>
        <v>0</v>
      </c>
      <c r="J1143" s="160">
        <f>IF($N$1129&gt;0,'Assumptions (Nuclear)'!$V$14*Model!$N$1129*'Assumptions (Nuclear)'!I$2/10^9,0)</f>
        <v>0</v>
      </c>
      <c r="K1143" s="160">
        <f>IF($N$1129&gt;0,'Assumptions (Nuclear)'!$V$14*Model!$N$1129*'Assumptions (Nuclear)'!J$2/10^9,0)</f>
        <v>0</v>
      </c>
      <c r="L1143" s="160">
        <f>IF($N$1129&gt;0,'Assumptions (Nuclear)'!$V$14*Model!$N$1129*'Assumptions (Nuclear)'!K$2/10^9,0)</f>
        <v>0</v>
      </c>
      <c r="M1143" s="160">
        <f>IF($N$1129&gt;0,'Assumptions (Nuclear)'!$V$14*Model!$N$1129*'Assumptions (Nuclear)'!L$2/10^9,0)</f>
        <v>0</v>
      </c>
      <c r="N1143" s="160"/>
      <c r="O1143" s="160"/>
      <c r="P1143" s="160"/>
      <c r="Q1143" s="160"/>
      <c r="R1143" s="160"/>
      <c r="S1143" s="160"/>
      <c r="T1143" s="160"/>
      <c r="U1143" s="160"/>
      <c r="V1143" s="174"/>
      <c r="W1143" s="95"/>
      <c r="X1143" s="95"/>
      <c r="Y1143" s="95"/>
      <c r="Z1143" s="95"/>
      <c r="AA1143" s="95"/>
      <c r="AB1143" s="95"/>
      <c r="AC1143" s="95"/>
      <c r="AD1143" s="95"/>
      <c r="AE1143" s="95"/>
      <c r="AF1143" s="95"/>
      <c r="AG1143" s="95"/>
      <c r="AH1143" s="95"/>
      <c r="AI1143" s="95"/>
      <c r="AJ1143" s="95"/>
      <c r="AK1143" s="95"/>
      <c r="AL1143" s="95"/>
      <c r="AM1143" s="95"/>
      <c r="AN1143" s="95"/>
      <c r="AO1143" s="95"/>
      <c r="AP1143" s="95"/>
      <c r="AQ1143" s="95"/>
      <c r="AR1143" s="95"/>
      <c r="AS1143" s="95"/>
      <c r="AT1143" s="95"/>
      <c r="AU1143" s="95"/>
      <c r="AV1143" s="95"/>
      <c r="AW1143" s="95"/>
      <c r="AX1143" s="95"/>
      <c r="AY1143" s="95"/>
      <c r="AZ1143" s="95"/>
      <c r="BA1143" s="95"/>
    </row>
    <row r="1144" ht="15.75" hidden="1" customHeight="1" outlineLevel="1">
      <c r="A1144" s="262"/>
      <c r="B1144" s="38"/>
      <c r="C1144" s="160"/>
      <c r="D1144" s="160"/>
      <c r="E1144" s="160"/>
      <c r="F1144" s="160"/>
      <c r="G1144" s="160"/>
      <c r="H1144" s="160"/>
      <c r="I1144" s="160">
        <f>IF($O$1129&gt;0,'Assumptions (Nuclear)'!$V$14*Model!$O$1129*'Assumptions (Nuclear)'!H$2/10^9,0)</f>
        <v>0</v>
      </c>
      <c r="J1144" s="160">
        <f>IF($O$1129&gt;0,'Assumptions (Nuclear)'!$V$14*Model!$O$1129*'Assumptions (Nuclear)'!I$2/10^9,0)</f>
        <v>0</v>
      </c>
      <c r="K1144" s="160">
        <f>IF($O$1129&gt;0,'Assumptions (Nuclear)'!$V$14*Model!$O$1129*'Assumptions (Nuclear)'!J$2/10^9,0)</f>
        <v>0</v>
      </c>
      <c r="L1144" s="160">
        <f>IF($O$1129&gt;0,'Assumptions (Nuclear)'!$V$14*Model!$O$1129*'Assumptions (Nuclear)'!K$2/10^9,0)</f>
        <v>0</v>
      </c>
      <c r="M1144" s="160">
        <f>IF($O$1129&gt;0,'Assumptions (Nuclear)'!$V$14*Model!$O$1129*'Assumptions (Nuclear)'!L$2/10^9,0)</f>
        <v>0</v>
      </c>
      <c r="N1144" s="160">
        <f>IF($O$1129&gt;0,'Assumptions (Nuclear)'!$V$14*Model!$O$1129*'Assumptions (Nuclear)'!M$2/10^9,0)</f>
        <v>0</v>
      </c>
      <c r="O1144" s="160"/>
      <c r="P1144" s="160"/>
      <c r="Q1144" s="160"/>
      <c r="R1144" s="160"/>
      <c r="S1144" s="160"/>
      <c r="T1144" s="160"/>
      <c r="U1144" s="160"/>
      <c r="V1144" s="174"/>
      <c r="W1144" s="95"/>
      <c r="X1144" s="95"/>
      <c r="Y1144" s="95"/>
      <c r="Z1144" s="95"/>
      <c r="AA1144" s="95"/>
      <c r="AB1144" s="95"/>
      <c r="AC1144" s="95"/>
      <c r="AD1144" s="95"/>
      <c r="AE1144" s="95"/>
      <c r="AF1144" s="95"/>
      <c r="AG1144" s="95"/>
      <c r="AH1144" s="95"/>
      <c r="AI1144" s="95"/>
      <c r="AJ1144" s="95"/>
      <c r="AK1144" s="95"/>
      <c r="AL1144" s="95"/>
      <c r="AM1144" s="95"/>
      <c r="AN1144" s="95"/>
      <c r="AO1144" s="95"/>
      <c r="AP1144" s="95"/>
      <c r="AQ1144" s="95"/>
      <c r="AR1144" s="95"/>
      <c r="AS1144" s="95"/>
      <c r="AT1144" s="95"/>
      <c r="AU1144" s="95"/>
      <c r="AV1144" s="95"/>
      <c r="AW1144" s="95"/>
      <c r="AX1144" s="95"/>
      <c r="AY1144" s="95"/>
      <c r="AZ1144" s="95"/>
      <c r="BA1144" s="95"/>
    </row>
    <row r="1145" ht="15.75" hidden="1" customHeight="1" outlineLevel="1">
      <c r="A1145" s="262"/>
      <c r="B1145" s="38"/>
      <c r="C1145" s="160"/>
      <c r="D1145" s="160"/>
      <c r="E1145" s="160"/>
      <c r="F1145" s="160"/>
      <c r="G1145" s="160"/>
      <c r="H1145" s="160"/>
      <c r="I1145" s="160"/>
      <c r="J1145" s="177">
        <f>IF($P$1129&gt;0,'Assumptions (Nuclear)'!$V$14*Model!$P$1129*'Assumptions (Nuclear)'!I$2/10^9,0)</f>
        <v>0</v>
      </c>
      <c r="K1145" s="177">
        <f>IF($P$1129&gt;0,'Assumptions (Nuclear)'!$V$14*Model!$P$1129*'Assumptions (Nuclear)'!J$2/10^9,0)</f>
        <v>0</v>
      </c>
      <c r="L1145" s="177">
        <f>IF($P$1129&gt;0,'Assumptions (Nuclear)'!$V$14*Model!$P$1129*'Assumptions (Nuclear)'!K$2/10^9,0)</f>
        <v>0</v>
      </c>
      <c r="M1145" s="177">
        <f>IF($P$1129&gt;0,'Assumptions (Nuclear)'!$V$14*Model!$P$1129*'Assumptions (Nuclear)'!L$2/10^9,0)</f>
        <v>0</v>
      </c>
      <c r="N1145" s="177">
        <f>IF($P$1129&gt;0,'Assumptions (Nuclear)'!$V$14*Model!$P$1129*'Assumptions (Nuclear)'!M$2/10^9,0)</f>
        <v>0</v>
      </c>
      <c r="O1145" s="177">
        <f>IF($P$1129&gt;0,'Assumptions (Nuclear)'!$V$14*Model!$P$1129*'Assumptions (Nuclear)'!N$2/10^9,0)</f>
        <v>0</v>
      </c>
      <c r="P1145" s="177"/>
      <c r="Q1145" s="160"/>
      <c r="R1145" s="177"/>
      <c r="S1145" s="177"/>
      <c r="T1145" s="177"/>
      <c r="U1145" s="177"/>
      <c r="V1145" s="174"/>
      <c r="W1145" s="95"/>
      <c r="X1145" s="95"/>
      <c r="Y1145" s="95"/>
      <c r="Z1145" s="95"/>
      <c r="AA1145" s="95"/>
      <c r="AB1145" s="95"/>
      <c r="AC1145" s="95"/>
      <c r="AD1145" s="95"/>
      <c r="AE1145" s="95"/>
      <c r="AF1145" s="95"/>
      <c r="AG1145" s="95"/>
      <c r="AH1145" s="95"/>
      <c r="AI1145" s="95"/>
      <c r="AJ1145" s="95"/>
      <c r="AK1145" s="95"/>
      <c r="AL1145" s="95"/>
      <c r="AM1145" s="95"/>
      <c r="AN1145" s="95"/>
      <c r="AO1145" s="95"/>
      <c r="AP1145" s="95"/>
      <c r="AQ1145" s="95"/>
      <c r="AR1145" s="95"/>
      <c r="AS1145" s="95"/>
      <c r="AT1145" s="95"/>
      <c r="AU1145" s="95"/>
      <c r="AV1145" s="95"/>
      <c r="AW1145" s="95"/>
      <c r="AX1145" s="95"/>
      <c r="AY1145" s="95"/>
      <c r="AZ1145" s="95"/>
      <c r="BA1145" s="95"/>
    </row>
    <row r="1146" ht="15.75" hidden="1" customHeight="1" outlineLevel="1">
      <c r="A1146" s="262"/>
      <c r="B1146" s="38"/>
      <c r="C1146" s="160"/>
      <c r="D1146" s="160"/>
      <c r="E1146" s="160"/>
      <c r="F1146" s="160"/>
      <c r="G1146" s="160"/>
      <c r="H1146" s="160"/>
      <c r="I1146" s="160"/>
      <c r="J1146" s="160"/>
      <c r="K1146" s="177">
        <f>IF($Q$1129&gt;0,'Assumptions (Nuclear)'!$V$14*Model!$Q$1129*'Assumptions (Nuclear)'!J$2/10^9,0)</f>
        <v>0</v>
      </c>
      <c r="L1146" s="177">
        <f>IF($Q$1129&gt;0,'Assumptions (Nuclear)'!$V$14*Model!$Q$1129*'Assumptions (Nuclear)'!K$2/10^9,0)</f>
        <v>0</v>
      </c>
      <c r="M1146" s="177">
        <f>IF($Q$1129&gt;0,'Assumptions (Nuclear)'!$V$14*Model!$Q$1129*'Assumptions (Nuclear)'!L$2/10^9,0)</f>
        <v>0</v>
      </c>
      <c r="N1146" s="177">
        <f>IF($Q$1129&gt;0,'Assumptions (Nuclear)'!$V$14*Model!$Q$1129*'Assumptions (Nuclear)'!M$2/10^9,0)</f>
        <v>0</v>
      </c>
      <c r="O1146" s="177">
        <f>IF($Q$1129&gt;0,'Assumptions (Nuclear)'!$V$14*Model!$Q$1129*'Assumptions (Nuclear)'!N$2/10^9,0)</f>
        <v>0</v>
      </c>
      <c r="P1146" s="177">
        <f>IF($Q$1129&gt;0,'Assumptions (Nuclear)'!$V$14*Model!$Q$1129*'Assumptions (Nuclear)'!O$2/10^9,0)</f>
        <v>0</v>
      </c>
      <c r="Q1146" s="160"/>
      <c r="R1146" s="177"/>
      <c r="S1146" s="177"/>
      <c r="T1146" s="177"/>
      <c r="U1146" s="177"/>
      <c r="V1146" s="174"/>
      <c r="W1146" s="95"/>
      <c r="X1146" s="95"/>
      <c r="Y1146" s="95"/>
      <c r="Z1146" s="95"/>
      <c r="AA1146" s="95"/>
      <c r="AB1146" s="95"/>
      <c r="AC1146" s="95"/>
      <c r="AD1146" s="95"/>
      <c r="AE1146" s="95"/>
      <c r="AF1146" s="95"/>
      <c r="AG1146" s="95"/>
      <c r="AH1146" s="95"/>
      <c r="AI1146" s="95"/>
      <c r="AJ1146" s="95"/>
      <c r="AK1146" s="95"/>
      <c r="AL1146" s="95"/>
      <c r="AM1146" s="95"/>
      <c r="AN1146" s="95"/>
      <c r="AO1146" s="95"/>
      <c r="AP1146" s="95"/>
      <c r="AQ1146" s="95"/>
      <c r="AR1146" s="95"/>
      <c r="AS1146" s="95"/>
      <c r="AT1146" s="95"/>
      <c r="AU1146" s="95"/>
      <c r="AV1146" s="95"/>
      <c r="AW1146" s="95"/>
      <c r="AX1146" s="95"/>
      <c r="AY1146" s="95"/>
      <c r="AZ1146" s="95"/>
      <c r="BA1146" s="95"/>
    </row>
    <row r="1147" ht="15.75" hidden="1" customHeight="1" outlineLevel="1">
      <c r="A1147" s="262"/>
      <c r="B1147" s="38"/>
      <c r="C1147" s="160"/>
      <c r="D1147" s="160"/>
      <c r="E1147" s="160"/>
      <c r="F1147" s="160"/>
      <c r="G1147" s="160"/>
      <c r="H1147" s="160"/>
      <c r="I1147" s="160"/>
      <c r="J1147" s="160"/>
      <c r="K1147" s="160"/>
      <c r="L1147" s="178">
        <f>IF($R$1129&gt;0,'Assumptions (Nuclear)'!$V$14*Model!$R$1129*'Assumptions (Nuclear)'!K$2/10^9,0)</f>
        <v>0</v>
      </c>
      <c r="M1147" s="178">
        <f>IF($R$1129&gt;0,'Assumptions (Nuclear)'!$V$14*Model!$R$1129*'Assumptions (Nuclear)'!L$2/10^9,0)</f>
        <v>0</v>
      </c>
      <c r="N1147" s="178">
        <f>IF($R$1129&gt;0,'Assumptions (Nuclear)'!$V$14*Model!$R$1129*'Assumptions (Nuclear)'!M$2/10^9,0)</f>
        <v>0</v>
      </c>
      <c r="O1147" s="178">
        <f>IF($R$1129&gt;0,'Assumptions (Nuclear)'!$V$14*Model!$R$1129*'Assumptions (Nuclear)'!N$2/10^9,0)</f>
        <v>0</v>
      </c>
      <c r="P1147" s="178">
        <f>IF($R$1129&gt;0,'Assumptions (Nuclear)'!$V$14*Model!$R$1129*'Assumptions (Nuclear)'!O$2/10^9,0)</f>
        <v>0</v>
      </c>
      <c r="Q1147" s="178">
        <f>IF($R$1129&gt;0,'Assumptions (Nuclear)'!$V$14*Model!$R$1129*'Assumptions (Nuclear)'!P$2/10^9,0)</f>
        <v>0</v>
      </c>
      <c r="R1147" s="177"/>
      <c r="S1147" s="177"/>
      <c r="T1147" s="177"/>
      <c r="U1147" s="177"/>
      <c r="V1147" s="174"/>
      <c r="W1147" s="95"/>
      <c r="X1147" s="95"/>
      <c r="Y1147" s="95"/>
      <c r="Z1147" s="95"/>
      <c r="AA1147" s="95"/>
      <c r="AB1147" s="95"/>
      <c r="AC1147" s="95"/>
      <c r="AD1147" s="95"/>
      <c r="AE1147" s="95"/>
      <c r="AF1147" s="95"/>
      <c r="AG1147" s="95"/>
      <c r="AH1147" s="95"/>
      <c r="AI1147" s="95"/>
      <c r="AJ1147" s="95"/>
      <c r="AK1147" s="95"/>
      <c r="AL1147" s="95"/>
      <c r="AM1147" s="95"/>
      <c r="AN1147" s="95"/>
      <c r="AO1147" s="95"/>
      <c r="AP1147" s="95"/>
      <c r="AQ1147" s="95"/>
      <c r="AR1147" s="95"/>
      <c r="AS1147" s="95"/>
      <c r="AT1147" s="95"/>
      <c r="AU1147" s="95"/>
      <c r="AV1147" s="95"/>
      <c r="AW1147" s="95"/>
      <c r="AX1147" s="95"/>
      <c r="AY1147" s="95"/>
      <c r="AZ1147" s="95"/>
      <c r="BA1147" s="95"/>
    </row>
    <row r="1148" ht="15.75" hidden="1" customHeight="1" outlineLevel="1">
      <c r="A1148" s="262"/>
      <c r="B1148" s="38"/>
      <c r="C1148" s="160"/>
      <c r="D1148" s="160"/>
      <c r="E1148" s="160"/>
      <c r="F1148" s="160"/>
      <c r="G1148" s="160"/>
      <c r="H1148" s="160"/>
      <c r="I1148" s="160"/>
      <c r="J1148" s="160"/>
      <c r="K1148" s="160"/>
      <c r="L1148" s="160"/>
      <c r="M1148" s="160">
        <f>IF($S$1129&gt;0,'Assumptions (Nuclear)'!$V$14*Model!$S$1129*'Assumptions (Nuclear)'!L$2/10^9,0)</f>
        <v>1.323822435</v>
      </c>
      <c r="N1148" s="160">
        <f>IF($S$1129&gt;0,'Assumptions (Nuclear)'!$V$14*Model!$S$1129*'Assumptions (Nuclear)'!M$2/10^9,0)</f>
        <v>1.351475955</v>
      </c>
      <c r="O1148" s="160">
        <f>IF($S$1129&gt;0,'Assumptions (Nuclear)'!$V$14*Model!$S$1129*'Assumptions (Nuclear)'!N$2/10^9,0)</f>
        <v>1.377395114</v>
      </c>
      <c r="P1148" s="160">
        <f>IF($S$1129&gt;0,'Assumptions (Nuclear)'!$V$14*Model!$S$1129*'Assumptions (Nuclear)'!O$2/10^9,0)</f>
        <v>1.401567419</v>
      </c>
      <c r="Q1148" s="160">
        <f>IF($S$1129&gt;0,'Assumptions (Nuclear)'!$V$14*Model!$S$1129*'Assumptions (Nuclear)'!P$2/10^9,0)</f>
        <v>1.427501496</v>
      </c>
      <c r="R1148" s="160">
        <f>IF($S$1129&gt;0,'Assumptions (Nuclear)'!$V$14*Model!$S$1129*'Assumptions (Nuclear)'!Q$2/10^9,0)</f>
        <v>1.442366662</v>
      </c>
      <c r="S1148" s="160"/>
      <c r="T1148" s="160"/>
      <c r="U1148" s="160"/>
      <c r="V1148" s="174"/>
      <c r="W1148" s="95"/>
      <c r="X1148" s="95"/>
      <c r="Y1148" s="95"/>
      <c r="Z1148" s="95"/>
      <c r="AA1148" s="95"/>
      <c r="AB1148" s="95"/>
      <c r="AC1148" s="95"/>
      <c r="AD1148" s="95"/>
      <c r="AE1148" s="95"/>
      <c r="AF1148" s="95"/>
      <c r="AG1148" s="95"/>
      <c r="AH1148" s="95"/>
      <c r="AI1148" s="95"/>
      <c r="AJ1148" s="95"/>
      <c r="AK1148" s="95"/>
      <c r="AL1148" s="95"/>
      <c r="AM1148" s="95"/>
      <c r="AN1148" s="95"/>
      <c r="AO1148" s="95"/>
      <c r="AP1148" s="95"/>
      <c r="AQ1148" s="95"/>
      <c r="AR1148" s="95"/>
      <c r="AS1148" s="95"/>
      <c r="AT1148" s="95"/>
      <c r="AU1148" s="95"/>
      <c r="AV1148" s="95"/>
      <c r="AW1148" s="95"/>
      <c r="AX1148" s="95"/>
      <c r="AY1148" s="95"/>
      <c r="AZ1148" s="95"/>
      <c r="BA1148" s="95"/>
    </row>
    <row r="1149" ht="15.75" hidden="1" customHeight="1" outlineLevel="1">
      <c r="A1149" s="262"/>
      <c r="B1149" s="38"/>
      <c r="C1149" s="160"/>
      <c r="D1149" s="160"/>
      <c r="E1149" s="160"/>
      <c r="F1149" s="160"/>
      <c r="G1149" s="160"/>
      <c r="H1149" s="160"/>
      <c r="I1149" s="160"/>
      <c r="J1149" s="160"/>
      <c r="K1149" s="160"/>
      <c r="L1149" s="160"/>
      <c r="M1149" s="160"/>
      <c r="N1149" s="160">
        <f>IF($T$1129&gt;0,'Assumptions (Nuclear)'!$V$14*Model!$T$1129*'Assumptions (Nuclear)'!M$2/10^9,0)</f>
        <v>0</v>
      </c>
      <c r="O1149" s="160">
        <f>IF($T$1129&gt;0,'Assumptions (Nuclear)'!$V$14*Model!$T$1129*'Assumptions (Nuclear)'!N$2/10^9,0)</f>
        <v>0</v>
      </c>
      <c r="P1149" s="160">
        <f>IF($T$1129&gt;0,'Assumptions (Nuclear)'!$V$14*Model!$T$1129*'Assumptions (Nuclear)'!O$2/10^9,0)</f>
        <v>0</v>
      </c>
      <c r="Q1149" s="160">
        <f>IF($T$1129&gt;0,'Assumptions (Nuclear)'!$V$14*Model!$T$1129*'Assumptions (Nuclear)'!P$2/10^9,0)</f>
        <v>0</v>
      </c>
      <c r="R1149" s="160">
        <f>IF($T$1129&gt;0,'Assumptions (Nuclear)'!$V$14*Model!$T$1129*'Assumptions (Nuclear)'!Q$2/10^9,0)</f>
        <v>0</v>
      </c>
      <c r="S1149" s="160">
        <f>IF($T$1129&gt;0,'Assumptions (Nuclear)'!$V$14*Model!$T$1129*'Assumptions (Nuclear)'!R$2/10^9,0)</f>
        <v>0</v>
      </c>
      <c r="T1149" s="160"/>
      <c r="U1149" s="160"/>
      <c r="V1149" s="174"/>
      <c r="W1149" s="95"/>
      <c r="X1149" s="95"/>
      <c r="Y1149" s="95"/>
      <c r="Z1149" s="95"/>
      <c r="AA1149" s="95"/>
      <c r="AB1149" s="95"/>
      <c r="AC1149" s="95"/>
      <c r="AD1149" s="95"/>
      <c r="AE1149" s="95"/>
      <c r="AF1149" s="95"/>
      <c r="AG1149" s="95"/>
      <c r="AH1149" s="95"/>
      <c r="AI1149" s="95"/>
      <c r="AJ1149" s="95"/>
      <c r="AK1149" s="95"/>
      <c r="AL1149" s="95"/>
      <c r="AM1149" s="95"/>
      <c r="AN1149" s="95"/>
      <c r="AO1149" s="95"/>
      <c r="AP1149" s="95"/>
      <c r="AQ1149" s="95"/>
      <c r="AR1149" s="95"/>
      <c r="AS1149" s="95"/>
      <c r="AT1149" s="95"/>
      <c r="AU1149" s="95"/>
      <c r="AV1149" s="95"/>
      <c r="AW1149" s="95"/>
      <c r="AX1149" s="95"/>
      <c r="AY1149" s="95"/>
      <c r="AZ1149" s="95"/>
      <c r="BA1149" s="95"/>
    </row>
    <row r="1150" ht="15.75" hidden="1" customHeight="1" outlineLevel="1">
      <c r="A1150" s="262"/>
      <c r="B1150" s="38"/>
      <c r="C1150" s="160"/>
      <c r="D1150" s="160"/>
      <c r="E1150" s="160"/>
      <c r="F1150" s="160"/>
      <c r="G1150" s="160"/>
      <c r="H1150" s="160"/>
      <c r="I1150" s="160"/>
      <c r="J1150" s="160"/>
      <c r="K1150" s="160"/>
      <c r="L1150" s="160"/>
      <c r="M1150" s="160"/>
      <c r="N1150" s="160"/>
      <c r="O1150" s="177">
        <f>IF($U$1129&gt;0,'Assumptions (Nuclear)'!$V$14*Model!$U$1129*'Assumptions (Nuclear)'!N$2/10^9,0)</f>
        <v>0</v>
      </c>
      <c r="P1150" s="177">
        <f>IF($U$1129&gt;0,'Assumptions (Nuclear)'!$V$14*Model!$U$1129*'Assumptions (Nuclear)'!O$2/10^9,0)</f>
        <v>0</v>
      </c>
      <c r="Q1150" s="177">
        <f>IF($U$1129&gt;0,'Assumptions (Nuclear)'!$V$14*Model!$U$1129*'Assumptions (Nuclear)'!P$2/10^9,0)</f>
        <v>0</v>
      </c>
      <c r="R1150" s="177">
        <f>IF($U$1129&gt;0,'Assumptions (Nuclear)'!$V$14*Model!$U$1129*'Assumptions (Nuclear)'!Q$2/10^9,0)</f>
        <v>0</v>
      </c>
      <c r="S1150" s="177">
        <f>IF($U$1129&gt;0,'Assumptions (Nuclear)'!$V$14*Model!$U$1129*'Assumptions (Nuclear)'!R$2/10^9,0)</f>
        <v>0</v>
      </c>
      <c r="T1150" s="177">
        <f>IF($U$1129&gt;0,'Assumptions (Nuclear)'!$V$14*Model!$U$1129*'Assumptions (Nuclear)'!S$2/10^9,0)</f>
        <v>0</v>
      </c>
      <c r="U1150" s="160"/>
      <c r="V1150" s="174"/>
      <c r="W1150" s="95"/>
      <c r="X1150" s="95"/>
      <c r="Y1150" s="95"/>
      <c r="Z1150" s="95"/>
      <c r="AA1150" s="95"/>
      <c r="AB1150" s="95"/>
      <c r="AC1150" s="95"/>
      <c r="AD1150" s="95"/>
      <c r="AE1150" s="95"/>
      <c r="AF1150" s="95"/>
      <c r="AG1150" s="95"/>
      <c r="AH1150" s="95"/>
      <c r="AI1150" s="95"/>
      <c r="AJ1150" s="95"/>
      <c r="AK1150" s="95"/>
      <c r="AL1150" s="95"/>
      <c r="AM1150" s="95"/>
      <c r="AN1150" s="95"/>
      <c r="AO1150" s="95"/>
      <c r="AP1150" s="95"/>
      <c r="AQ1150" s="95"/>
      <c r="AR1150" s="95"/>
      <c r="AS1150" s="95"/>
      <c r="AT1150" s="95"/>
      <c r="AU1150" s="95"/>
      <c r="AV1150" s="95"/>
      <c r="AW1150" s="95"/>
      <c r="AX1150" s="95"/>
      <c r="AY1150" s="95"/>
      <c r="AZ1150" s="95"/>
      <c r="BA1150" s="95"/>
    </row>
    <row r="1151" ht="15.75" hidden="1" customHeight="1" outlineLevel="1">
      <c r="A1151" s="262"/>
      <c r="B1151" s="38"/>
      <c r="C1151" s="160"/>
      <c r="D1151" s="160"/>
      <c r="E1151" s="160"/>
      <c r="F1151" s="160"/>
      <c r="G1151" s="160"/>
      <c r="H1151" s="160"/>
      <c r="I1151" s="160"/>
      <c r="J1151" s="160"/>
      <c r="K1151" s="160"/>
      <c r="L1151" s="160"/>
      <c r="M1151" s="160"/>
      <c r="N1151" s="160"/>
      <c r="O1151" s="160"/>
      <c r="P1151" s="160">
        <f>IF($V$1129&gt;0,'Assumptions (Nuclear)'!$V$14*Model!$V$1129*'Assumptions (Nuclear)'!O$2/10^9,0)</f>
        <v>0</v>
      </c>
      <c r="Q1151" s="160">
        <f>IF($V$1129&gt;0,'Assumptions (Nuclear)'!$V$14*Model!$V$1129*'Assumptions (Nuclear)'!P$2/10^9,0)</f>
        <v>0</v>
      </c>
      <c r="R1151" s="160">
        <f>IF($V$1129&gt;0,'Assumptions (Nuclear)'!$V$14*Model!$V$1129*'Assumptions (Nuclear)'!Q$2/10^9,0)</f>
        <v>0</v>
      </c>
      <c r="S1151" s="160">
        <f>IF($V$1129&gt;0,'Assumptions (Nuclear)'!$V$14*Model!$V$1129*'Assumptions (Nuclear)'!R$2/10^9,0)</f>
        <v>0</v>
      </c>
      <c r="T1151" s="160">
        <f>IF($V$1129&gt;0,'Assumptions (Nuclear)'!$V$14*Model!$V$1129*'Assumptions (Nuclear)'!S$2/10^9,0)</f>
        <v>0</v>
      </c>
      <c r="U1151" s="160">
        <f>IF($V$1129&gt;0,'Assumptions (Nuclear)'!$V$14*Model!$V$1129*'Assumptions (Nuclear)'!T$2/10^9,0)</f>
        <v>0</v>
      </c>
      <c r="V1151" s="174"/>
      <c r="W1151" s="95"/>
      <c r="X1151" s="95"/>
      <c r="Y1151" s="95"/>
      <c r="Z1151" s="95"/>
      <c r="AA1151" s="95"/>
      <c r="AB1151" s="95"/>
      <c r="AC1151" s="95"/>
      <c r="AD1151" s="95"/>
      <c r="AE1151" s="95"/>
      <c r="AF1151" s="95"/>
      <c r="AG1151" s="95"/>
      <c r="AH1151" s="95"/>
      <c r="AI1151" s="95"/>
      <c r="AJ1151" s="95"/>
      <c r="AK1151" s="95"/>
      <c r="AL1151" s="95"/>
      <c r="AM1151" s="95"/>
      <c r="AN1151" s="95"/>
      <c r="AO1151" s="95"/>
      <c r="AP1151" s="95"/>
      <c r="AQ1151" s="95"/>
      <c r="AR1151" s="95"/>
      <c r="AS1151" s="95"/>
      <c r="AT1151" s="95"/>
      <c r="AU1151" s="95"/>
      <c r="AV1151" s="95"/>
      <c r="AW1151" s="95"/>
      <c r="AX1151" s="95"/>
      <c r="AY1151" s="95"/>
      <c r="AZ1151" s="95"/>
      <c r="BA1151" s="95"/>
    </row>
    <row r="1152" ht="15.75" hidden="1" customHeight="1" outlineLevel="1">
      <c r="A1152" s="262"/>
      <c r="B1152" s="38"/>
      <c r="C1152" s="174"/>
      <c r="D1152" s="174"/>
      <c r="E1152" s="174"/>
      <c r="F1152" s="174"/>
      <c r="G1152" s="174"/>
      <c r="H1152" s="174"/>
      <c r="I1152" s="174"/>
      <c r="J1152" s="174"/>
      <c r="K1152" s="174"/>
      <c r="L1152" s="174"/>
      <c r="M1152" s="174"/>
      <c r="N1152" s="174"/>
      <c r="O1152" s="174"/>
      <c r="P1152" s="174"/>
      <c r="Q1152" s="160">
        <f>IF($W$1129&gt;0,'Assumptions (Nuclear)'!$V$14*Model!$W$1129*'Assumptions (Nuclear)'!P$2/10^9,0)</f>
        <v>0</v>
      </c>
      <c r="R1152" s="160">
        <f>IF($W$1129&gt;0,'Assumptions (Nuclear)'!$V$14*Model!$W$1129*'Assumptions (Nuclear)'!Q$2/10^9,0)</f>
        <v>0</v>
      </c>
      <c r="S1152" s="160">
        <f>IF($W$1129&gt;0,'Assumptions (Nuclear)'!$V$14*Model!$W$1129*'Assumptions (Nuclear)'!R$2/10^9,0)</f>
        <v>0</v>
      </c>
      <c r="T1152" s="160">
        <f>IF($W$1129&gt;0,'Assumptions (Nuclear)'!$V$14*Model!$W$1129*'Assumptions (Nuclear)'!S$2/10^9,0)</f>
        <v>0</v>
      </c>
      <c r="U1152" s="160">
        <f>IF($W$1129&gt;0,'Assumptions (Nuclear)'!$V$14*Model!$W$1129*'Assumptions (Nuclear)'!T$2/10^9,0)</f>
        <v>0</v>
      </c>
      <c r="V1152" s="160">
        <f>IF($W$1129&gt;0,'Assumptions (Nuclear)'!$V$14*Model!$W$1129*'Assumptions (Nuclear)'!U$2/10^9,0)</f>
        <v>0</v>
      </c>
      <c r="W1152" s="160"/>
      <c r="X1152" s="160"/>
      <c r="Y1152" s="160"/>
      <c r="Z1152" s="160"/>
      <c r="AA1152" s="160"/>
      <c r="AB1152" s="160"/>
      <c r="AC1152" s="160"/>
      <c r="AD1152" s="160"/>
      <c r="AE1152" s="160"/>
      <c r="AF1152" s="160"/>
      <c r="AG1152" s="160"/>
      <c r="AH1152" s="160"/>
      <c r="AI1152" s="160"/>
      <c r="AJ1152" s="160"/>
      <c r="AK1152" s="160"/>
      <c r="AL1152" s="160"/>
      <c r="AM1152" s="160"/>
      <c r="AN1152" s="160"/>
      <c r="AO1152" s="160"/>
      <c r="AP1152" s="160"/>
      <c r="AQ1152" s="160"/>
      <c r="AR1152" s="160"/>
      <c r="AS1152" s="160"/>
      <c r="AT1152" s="160"/>
      <c r="AU1152" s="160"/>
      <c r="AV1152" s="160"/>
      <c r="AW1152" s="160"/>
      <c r="AX1152" s="160"/>
      <c r="AY1152" s="160"/>
      <c r="AZ1152" s="160"/>
      <c r="BA1152" s="160"/>
    </row>
    <row r="1153" ht="15.75" hidden="1" customHeight="1" outlineLevel="1">
      <c r="A1153" s="262"/>
      <c r="B1153" s="38"/>
      <c r="C1153" s="174"/>
      <c r="D1153" s="174"/>
      <c r="E1153" s="174"/>
      <c r="F1153" s="174"/>
      <c r="G1153" s="174"/>
      <c r="H1153" s="174"/>
      <c r="I1153" s="174"/>
      <c r="J1153" s="174"/>
      <c r="K1153" s="174"/>
      <c r="L1153" s="174"/>
      <c r="M1153" s="174"/>
      <c r="N1153" s="174"/>
      <c r="O1153" s="174"/>
      <c r="P1153" s="174"/>
      <c r="Q1153" s="174"/>
      <c r="R1153" s="160">
        <f>IF($X$1129&gt;0,'Assumptions (Nuclear)'!$V$14*Model!$X$1129*'Assumptions (Nuclear)'!Q$2/10^9,0)</f>
        <v>0.09743906588</v>
      </c>
      <c r="S1153" s="160">
        <f>IF($X$1129&gt;0,'Assumptions (Nuclear)'!$V$14*Model!$X$1129*'Assumptions (Nuclear)'!R$2/10^9,0)</f>
        <v>0.09844783112</v>
      </c>
      <c r="T1153" s="160">
        <f>IF($X$1129&gt;0,'Assumptions (Nuclear)'!$V$14*Model!$X$1129*'Assumptions (Nuclear)'!S$2/10^9,0)</f>
        <v>0.1003022141</v>
      </c>
      <c r="U1153" s="160">
        <f>IF($X$1129&gt;0,'Assumptions (Nuclear)'!$V$14*Model!$X$1129*'Assumptions (Nuclear)'!T$2/10^9,0)</f>
        <v>0.1027455265</v>
      </c>
      <c r="V1153" s="160">
        <f>IF($X$1129&gt;0,'Assumptions (Nuclear)'!$V$14*Model!$X$1129*'Assumptions (Nuclear)'!U$2/10^9,0)</f>
        <v>0.1042106391</v>
      </c>
      <c r="W1153" s="160">
        <f>IF($X$1129&gt;0,'Assumptions (Nuclear)'!$V$14*Model!$X$1129*'Assumptions (Nuclear)'!V$2/10^9,0)</f>
        <v>0.1056938124</v>
      </c>
      <c r="X1153" s="160"/>
      <c r="Y1153" s="160"/>
      <c r="Z1153" s="160"/>
      <c r="AA1153" s="160"/>
      <c r="AB1153" s="160"/>
      <c r="AC1153" s="160"/>
      <c r="AD1153" s="160"/>
      <c r="AE1153" s="160"/>
      <c r="AF1153" s="160"/>
      <c r="AG1153" s="160"/>
      <c r="AH1153" s="160"/>
      <c r="AI1153" s="160"/>
      <c r="AJ1153" s="160"/>
      <c r="AK1153" s="160"/>
      <c r="AL1153" s="160"/>
      <c r="AM1153" s="160"/>
      <c r="AN1153" s="160"/>
      <c r="AO1153" s="160"/>
      <c r="AP1153" s="160"/>
      <c r="AQ1153" s="160"/>
      <c r="AR1153" s="160"/>
      <c r="AS1153" s="160"/>
      <c r="AT1153" s="160"/>
      <c r="AU1153" s="160"/>
      <c r="AV1153" s="160"/>
      <c r="AW1153" s="160"/>
      <c r="AX1153" s="160"/>
      <c r="AY1153" s="160"/>
      <c r="AZ1153" s="160"/>
      <c r="BA1153" s="160"/>
    </row>
    <row r="1154" ht="15.75" hidden="1" customHeight="1" outlineLevel="1">
      <c r="A1154" s="262"/>
      <c r="B1154" s="38"/>
      <c r="C1154" s="174"/>
      <c r="D1154" s="174"/>
      <c r="E1154" s="174"/>
      <c r="F1154" s="174"/>
      <c r="G1154" s="174"/>
      <c r="H1154" s="174"/>
      <c r="I1154" s="174"/>
      <c r="J1154" s="174"/>
      <c r="K1154" s="174"/>
      <c r="L1154" s="174"/>
      <c r="M1154" s="174"/>
      <c r="N1154" s="174"/>
      <c r="O1154" s="174"/>
      <c r="P1154" s="174"/>
      <c r="Q1154" s="174"/>
      <c r="R1154" s="174"/>
      <c r="S1154" s="160">
        <f>IF($Y$1129&gt;0,'Assumptions (Nuclear)'!$V$14*Model!$Y$1129*'Assumptions (Nuclear)'!R$2/10^9,0)</f>
        <v>0.09844783112</v>
      </c>
      <c r="T1154" s="160">
        <f>IF($Y$1129&gt;0,'Assumptions (Nuclear)'!$V$14*Model!$Y$1129*'Assumptions (Nuclear)'!S$2/10^9,0)</f>
        <v>0.1003022141</v>
      </c>
      <c r="U1154" s="160">
        <f>IF($Y$1129&gt;0,'Assumptions (Nuclear)'!$V$14*Model!$Y$1129*'Assumptions (Nuclear)'!T$2/10^9,0)</f>
        <v>0.1027455265</v>
      </c>
      <c r="V1154" s="160">
        <f>IF($Y$1129&gt;0,'Assumptions (Nuclear)'!$V$14*Model!$Y$1129*'Assumptions (Nuclear)'!U$2/10^9,0)</f>
        <v>0.1042106391</v>
      </c>
      <c r="W1154" s="160">
        <f>IF($Y$1129&gt;0,'Assumptions (Nuclear)'!$V$14*Model!$Y$1129*'Assumptions (Nuclear)'!V$2/10^9,0)</f>
        <v>0.1056938124</v>
      </c>
      <c r="X1154" s="160">
        <f>IF($Y$1129&gt;0,'Assumptions (Nuclear)'!$V$14*Model!$Y$1129*'Assumptions (Nuclear)'!W$2/10^9,0)</f>
        <v>0.1072103448</v>
      </c>
      <c r="Y1154" s="160"/>
      <c r="Z1154" s="160"/>
      <c r="AA1154" s="160"/>
      <c r="AB1154" s="160"/>
      <c r="AC1154" s="160"/>
      <c r="AD1154" s="160"/>
      <c r="AE1154" s="160"/>
      <c r="AF1154" s="160"/>
      <c r="AG1154" s="160"/>
      <c r="AH1154" s="160"/>
      <c r="AI1154" s="160"/>
      <c r="AJ1154" s="160"/>
      <c r="AK1154" s="160"/>
      <c r="AL1154" s="160"/>
      <c r="AM1154" s="160"/>
      <c r="AN1154" s="160"/>
      <c r="AO1154" s="160"/>
      <c r="AP1154" s="160"/>
      <c r="AQ1154" s="160"/>
      <c r="AR1154" s="160"/>
      <c r="AS1154" s="160"/>
      <c r="AT1154" s="160"/>
      <c r="AU1154" s="160"/>
      <c r="AV1154" s="160"/>
      <c r="AW1154" s="160"/>
      <c r="AX1154" s="160"/>
      <c r="AY1154" s="160"/>
      <c r="AZ1154" s="160"/>
      <c r="BA1154" s="160"/>
    </row>
    <row r="1155" ht="15.75" hidden="1" customHeight="1" outlineLevel="1">
      <c r="A1155" s="262"/>
      <c r="B1155" s="38"/>
      <c r="C1155" s="174"/>
      <c r="D1155" s="174"/>
      <c r="E1155" s="174"/>
      <c r="F1155" s="174"/>
      <c r="G1155" s="174"/>
      <c r="H1155" s="174"/>
      <c r="I1155" s="174"/>
      <c r="J1155" s="174"/>
      <c r="K1155" s="174"/>
      <c r="L1155" s="174"/>
      <c r="M1155" s="174"/>
      <c r="N1155" s="174"/>
      <c r="O1155" s="174"/>
      <c r="P1155" s="174"/>
      <c r="Q1155" s="174"/>
      <c r="R1155" s="174"/>
      <c r="S1155" s="174"/>
      <c r="T1155" s="160">
        <f>IF($Z$1129&gt;0,'Assumptions (Nuclear)'!$V$14*Model!$Z$1129*'Assumptions (Nuclear)'!S$2/10^9,0)</f>
        <v>0.1003022141</v>
      </c>
      <c r="U1155" s="160">
        <f>IF($Z$1129&gt;0,'Assumptions (Nuclear)'!$V$14*Model!$Z$1129*'Assumptions (Nuclear)'!T$2/10^9,0)</f>
        <v>0.1027455265</v>
      </c>
      <c r="V1155" s="160">
        <f>IF($Z$1129&gt;0,'Assumptions (Nuclear)'!$V$14*Model!$Z$1129*'Assumptions (Nuclear)'!U$2/10^9,0)</f>
        <v>0.1042106391</v>
      </c>
      <c r="W1155" s="160">
        <f>IF($Z$1129&gt;0,'Assumptions (Nuclear)'!$V$14*Model!$Z$1129*'Assumptions (Nuclear)'!V$2/10^9,0)</f>
        <v>0.1056938124</v>
      </c>
      <c r="X1155" s="160">
        <f>IF($Z$1129&gt;0,'Assumptions (Nuclear)'!$V$14*Model!$Z$1129*'Assumptions (Nuclear)'!W$2/10^9,0)</f>
        <v>0.1072103448</v>
      </c>
      <c r="Y1155" s="160">
        <f>IF($Z$1129&gt;0,'Assumptions (Nuclear)'!$V$14*Model!$Z$1129*'Assumptions (Nuclear)'!X$2/10^9,0)</f>
        <v>0.1087303753</v>
      </c>
      <c r="Z1155" s="160"/>
      <c r="AA1155" s="160"/>
      <c r="AB1155" s="160"/>
      <c r="AC1155" s="160"/>
      <c r="AD1155" s="160"/>
      <c r="AE1155" s="160"/>
      <c r="AF1155" s="160"/>
      <c r="AG1155" s="160"/>
      <c r="AH1155" s="160"/>
      <c r="AI1155" s="160"/>
      <c r="AJ1155" s="160"/>
      <c r="AK1155" s="160"/>
      <c r="AL1155" s="160"/>
      <c r="AM1155" s="160"/>
      <c r="AN1155" s="160"/>
      <c r="AO1155" s="160"/>
      <c r="AP1155" s="160"/>
      <c r="AQ1155" s="160"/>
      <c r="AR1155" s="160"/>
      <c r="AS1155" s="160"/>
      <c r="AT1155" s="160"/>
      <c r="AU1155" s="160"/>
      <c r="AV1155" s="160"/>
      <c r="AW1155" s="160"/>
      <c r="AX1155" s="160"/>
      <c r="AY1155" s="160"/>
      <c r="AZ1155" s="160"/>
      <c r="BA1155" s="160"/>
    </row>
    <row r="1156" ht="15.75" hidden="1" customHeight="1" outlineLevel="1">
      <c r="A1156" s="262"/>
      <c r="B1156" s="38"/>
      <c r="C1156" s="174"/>
      <c r="D1156" s="174"/>
      <c r="E1156" s="174"/>
      <c r="F1156" s="174"/>
      <c r="G1156" s="174"/>
      <c r="H1156" s="174"/>
      <c r="I1156" s="174"/>
      <c r="J1156" s="174"/>
      <c r="K1156" s="174"/>
      <c r="L1156" s="174"/>
      <c r="M1156" s="174"/>
      <c r="N1156" s="174"/>
      <c r="O1156" s="174"/>
      <c r="P1156" s="174"/>
      <c r="Q1156" s="174"/>
      <c r="R1156" s="174"/>
      <c r="S1156" s="174"/>
      <c r="T1156" s="174"/>
      <c r="U1156" s="160">
        <f>IF($AA$1129&gt;0,'Assumptions (Nuclear)'!$V$14*Model!$AA$1129*'Assumptions (Nuclear)'!T$2/10^9,0)</f>
        <v>0.1027455265</v>
      </c>
      <c r="V1156" s="160">
        <f>IF($AA$1129&gt;0,'Assumptions (Nuclear)'!$V$14*Model!$AA$1129*'Assumptions (Nuclear)'!U$2/10^9,0)</f>
        <v>0.1042106391</v>
      </c>
      <c r="W1156" s="160">
        <f>IF($AA$1129&gt;0,'Assumptions (Nuclear)'!$V$14*Model!$AA$1129*'Assumptions (Nuclear)'!V$2/10^9,0)</f>
        <v>0.1056938124</v>
      </c>
      <c r="X1156" s="160">
        <f>IF($AA$1129&gt;0,'Assumptions (Nuclear)'!$V$14*Model!$AA$1129*'Assumptions (Nuclear)'!W$2/10^9,0)</f>
        <v>0.1072103448</v>
      </c>
      <c r="Y1156" s="160">
        <f>IF($AA$1129&gt;0,'Assumptions (Nuclear)'!$V$14*Model!$AA$1129*'Assumptions (Nuclear)'!X$2/10^9,0)</f>
        <v>0.1087303753</v>
      </c>
      <c r="Z1156" s="160">
        <f>IF($AA$1129&gt;0,'Assumptions (Nuclear)'!$V$14*Model!$AA$1129*'Assumptions (Nuclear)'!Y$2/10^9,0)</f>
        <v>0.11026891</v>
      </c>
      <c r="AA1156" s="160"/>
      <c r="AB1156" s="160"/>
      <c r="AC1156" s="160"/>
      <c r="AD1156" s="160"/>
      <c r="AE1156" s="160"/>
      <c r="AF1156" s="160"/>
      <c r="AG1156" s="160"/>
      <c r="AH1156" s="160"/>
      <c r="AI1156" s="160"/>
      <c r="AJ1156" s="160"/>
      <c r="AK1156" s="160"/>
      <c r="AL1156" s="160"/>
      <c r="AM1156" s="160"/>
      <c r="AN1156" s="160"/>
      <c r="AO1156" s="160"/>
      <c r="AP1156" s="160"/>
      <c r="AQ1156" s="160"/>
      <c r="AR1156" s="160"/>
      <c r="AS1156" s="160"/>
      <c r="AT1156" s="160"/>
      <c r="AU1156" s="160"/>
      <c r="AV1156" s="160"/>
      <c r="AW1156" s="160"/>
      <c r="AX1156" s="160"/>
      <c r="AY1156" s="160"/>
      <c r="AZ1156" s="160"/>
      <c r="BA1156" s="160"/>
    </row>
    <row r="1157" ht="15.75" hidden="1" customHeight="1" outlineLevel="1">
      <c r="A1157" s="262"/>
      <c r="B1157" s="38"/>
      <c r="C1157" s="174"/>
      <c r="D1157" s="174"/>
      <c r="E1157" s="174"/>
      <c r="F1157" s="174"/>
      <c r="G1157" s="174"/>
      <c r="H1157" s="174"/>
      <c r="I1157" s="174"/>
      <c r="J1157" s="174"/>
      <c r="K1157" s="174"/>
      <c r="L1157" s="174"/>
      <c r="M1157" s="174"/>
      <c r="N1157" s="174"/>
      <c r="O1157" s="174"/>
      <c r="P1157" s="174"/>
      <c r="Q1157" s="174"/>
      <c r="R1157" s="174"/>
      <c r="S1157" s="174"/>
      <c r="T1157" s="174"/>
      <c r="U1157" s="174"/>
      <c r="V1157" s="160">
        <f>IF($AB$1129&gt;0,'Assumptions (Nuclear)'!$V$14*Model!$AB$1129*'Assumptions (Nuclear)'!U$2/10^9,0)</f>
        <v>0.1042106391</v>
      </c>
      <c r="W1157" s="160">
        <f>IF($AB$1129&gt;0,'Assumptions (Nuclear)'!$V$14*Model!$AB$1129*'Assumptions (Nuclear)'!V$2/10^9,0)</f>
        <v>0.1056938124</v>
      </c>
      <c r="X1157" s="160">
        <f>IF($AB$1129&gt;0,'Assumptions (Nuclear)'!$V$14*Model!$AB$1129*'Assumptions (Nuclear)'!W$2/10^9,0)</f>
        <v>0.1072103448</v>
      </c>
      <c r="Y1157" s="160">
        <f>IF($AB$1129&gt;0,'Assumptions (Nuclear)'!$V$14*Model!$AB$1129*'Assumptions (Nuclear)'!X$2/10^9,0)</f>
        <v>0.1087303753</v>
      </c>
      <c r="Z1157" s="160">
        <f>IF($AB$1129&gt;0,'Assumptions (Nuclear)'!$V$14*Model!$AB$1129*'Assumptions (Nuclear)'!Y$2/10^9,0)</f>
        <v>0.11026891</v>
      </c>
      <c r="AA1157" s="160">
        <f>IF($AB$1129&gt;0,'Assumptions (Nuclear)'!$V$14*Model!$AB$1129*'Assumptions (Nuclear)'!Z$2/10^9,0)</f>
        <v>0.1118421477</v>
      </c>
      <c r="AB1157" s="160"/>
      <c r="AC1157" s="160"/>
      <c r="AD1157" s="160"/>
      <c r="AE1157" s="160"/>
      <c r="AF1157" s="160"/>
      <c r="AG1157" s="160"/>
      <c r="AH1157" s="160"/>
      <c r="AI1157" s="160"/>
      <c r="AJ1157" s="160"/>
      <c r="AK1157" s="160"/>
      <c r="AL1157" s="160"/>
      <c r="AM1157" s="160"/>
      <c r="AN1157" s="160"/>
      <c r="AO1157" s="160"/>
      <c r="AP1157" s="160"/>
      <c r="AQ1157" s="160"/>
      <c r="AR1157" s="160"/>
      <c r="AS1157" s="160"/>
      <c r="AT1157" s="160"/>
      <c r="AU1157" s="160"/>
      <c r="AV1157" s="160"/>
      <c r="AW1157" s="160"/>
      <c r="AX1157" s="160"/>
      <c r="AY1157" s="160"/>
      <c r="AZ1157" s="160"/>
      <c r="BA1157" s="160"/>
    </row>
    <row r="1158" ht="15.75" hidden="1" customHeight="1" outlineLevel="1">
      <c r="A1158" s="262"/>
      <c r="B1158" s="38"/>
      <c r="C1158" s="174"/>
      <c r="D1158" s="174"/>
      <c r="E1158" s="174"/>
      <c r="F1158" s="174"/>
      <c r="G1158" s="174"/>
      <c r="H1158" s="174"/>
      <c r="I1158" s="174"/>
      <c r="J1158" s="174"/>
      <c r="K1158" s="174"/>
      <c r="L1158" s="174"/>
      <c r="M1158" s="174"/>
      <c r="N1158" s="174"/>
      <c r="O1158" s="174"/>
      <c r="P1158" s="174"/>
      <c r="Q1158" s="174"/>
      <c r="R1158" s="174"/>
      <c r="S1158" s="174"/>
      <c r="T1158" s="174"/>
      <c r="U1158" s="174"/>
      <c r="V1158" s="174"/>
      <c r="W1158" s="160">
        <f>IF($AC$1129&gt;0,'Assumptions (Nuclear)'!$V$14*Model!$AC$1129*'Assumptions (Nuclear)'!V$2/10^9,0)</f>
        <v>0.1056938124</v>
      </c>
      <c r="X1158" s="160">
        <f>IF($AC$1129&gt;0,'Assumptions (Nuclear)'!$V$14*Model!$AC$1129*'Assumptions (Nuclear)'!W$2/10^9,0)</f>
        <v>0.1072103448</v>
      </c>
      <c r="Y1158" s="160">
        <f>IF($AC$1129&gt;0,'Assumptions (Nuclear)'!$V$14*Model!$AC$1129*'Assumptions (Nuclear)'!X$2/10^9,0)</f>
        <v>0.1087303753</v>
      </c>
      <c r="Z1158" s="160">
        <f>IF($AC$1129&gt;0,'Assumptions (Nuclear)'!$V$14*Model!$AC$1129*'Assumptions (Nuclear)'!Y$2/10^9,0)</f>
        <v>0.11026891</v>
      </c>
      <c r="AA1158" s="160">
        <f>IF($AC$1129&gt;0,'Assumptions (Nuclear)'!$V$14*Model!$AC$1129*'Assumptions (Nuclear)'!Z$2/10^9,0)</f>
        <v>0.1118421477</v>
      </c>
      <c r="AB1158" s="160">
        <f>IF($AC$1129&gt;0,'Assumptions (Nuclear)'!$V$14*Model!$AC$1129*'Assumptions (Nuclear)'!AA$2/10^9,0)</f>
        <v>0.113418433</v>
      </c>
      <c r="AC1158" s="160"/>
      <c r="AD1158" s="160"/>
      <c r="AE1158" s="160"/>
      <c r="AF1158" s="160"/>
      <c r="AG1158" s="160"/>
      <c r="AH1158" s="160"/>
      <c r="AI1158" s="160"/>
      <c r="AJ1158" s="160"/>
      <c r="AK1158" s="160"/>
      <c r="AL1158" s="160"/>
      <c r="AM1158" s="160"/>
      <c r="AN1158" s="160"/>
      <c r="AO1158" s="160"/>
      <c r="AP1158" s="160"/>
      <c r="AQ1158" s="160"/>
      <c r="AR1158" s="160"/>
      <c r="AS1158" s="160"/>
      <c r="AT1158" s="160"/>
      <c r="AU1158" s="160"/>
      <c r="AV1158" s="160"/>
      <c r="AW1158" s="160"/>
      <c r="AX1158" s="160"/>
      <c r="AY1158" s="160"/>
      <c r="AZ1158" s="160"/>
      <c r="BA1158" s="160"/>
    </row>
    <row r="1159" ht="15.75" hidden="1" customHeight="1" outlineLevel="1">
      <c r="A1159" s="262"/>
      <c r="B1159" s="38"/>
      <c r="C1159" s="174"/>
      <c r="D1159" s="174"/>
      <c r="E1159" s="174"/>
      <c r="F1159" s="174"/>
      <c r="G1159" s="174"/>
      <c r="H1159" s="174"/>
      <c r="I1159" s="174"/>
      <c r="J1159" s="174"/>
      <c r="K1159" s="174"/>
      <c r="L1159" s="174"/>
      <c r="M1159" s="174"/>
      <c r="N1159" s="174"/>
      <c r="O1159" s="174"/>
      <c r="P1159" s="174"/>
      <c r="Q1159" s="174"/>
      <c r="R1159" s="174"/>
      <c r="S1159" s="174"/>
      <c r="T1159" s="174"/>
      <c r="U1159" s="174"/>
      <c r="V1159" s="174"/>
      <c r="W1159" s="160"/>
      <c r="X1159" s="160">
        <f>IF($AD$1129&gt;0,'Assumptions (Nuclear)'!$V$14*Model!$AD$1129*'Assumptions (Nuclear)'!W$2/10^9,0)</f>
        <v>0.1072103448</v>
      </c>
      <c r="Y1159" s="160">
        <f>IF($AD$1129&gt;0,'Assumptions (Nuclear)'!$V$14*Model!$AD$1129*'Assumptions (Nuclear)'!X$2/10^9,0)</f>
        <v>0.1087303753</v>
      </c>
      <c r="Z1159" s="160">
        <f>IF($AD$1129&gt;0,'Assumptions (Nuclear)'!$V$14*Model!$AD$1129*'Assumptions (Nuclear)'!Y$2/10^9,0)</f>
        <v>0.11026891</v>
      </c>
      <c r="AA1159" s="160">
        <f>IF($AD$1129&gt;0,'Assumptions (Nuclear)'!$V$14*Model!$AD$1129*'Assumptions (Nuclear)'!Z$2/10^9,0)</f>
        <v>0.1118421477</v>
      </c>
      <c r="AB1159" s="160">
        <f>IF($AD$1129&gt;0,'Assumptions (Nuclear)'!$V$14*Model!$AD$1129*'Assumptions (Nuclear)'!AA$2/10^9,0)</f>
        <v>0.113418433</v>
      </c>
      <c r="AC1159" s="160">
        <f>IF($AD$1129&gt;0,'Assumptions (Nuclear)'!$V$14*Model!$AD$1129*'Assumptions (Nuclear)'!AB$2/10^9,0)</f>
        <v>0.1150136546</v>
      </c>
      <c r="AD1159" s="160"/>
      <c r="AE1159" s="160"/>
      <c r="AF1159" s="160"/>
      <c r="AG1159" s="160"/>
      <c r="AH1159" s="160"/>
      <c r="AI1159" s="160"/>
      <c r="AJ1159" s="160"/>
      <c r="AK1159" s="160"/>
      <c r="AL1159" s="160"/>
      <c r="AM1159" s="160"/>
      <c r="AN1159" s="160"/>
      <c r="AO1159" s="160"/>
      <c r="AP1159" s="160"/>
      <c r="AQ1159" s="160"/>
      <c r="AR1159" s="160"/>
      <c r="AS1159" s="160"/>
      <c r="AT1159" s="160"/>
      <c r="AU1159" s="160"/>
      <c r="AV1159" s="160"/>
      <c r="AW1159" s="160"/>
      <c r="AX1159" s="160"/>
      <c r="AY1159" s="160"/>
      <c r="AZ1159" s="160"/>
      <c r="BA1159" s="160"/>
    </row>
    <row r="1160" ht="15.75" hidden="1" customHeight="1" outlineLevel="1">
      <c r="A1160" s="262"/>
      <c r="B1160" s="38"/>
      <c r="C1160" s="174"/>
      <c r="D1160" s="174"/>
      <c r="E1160" s="174"/>
      <c r="F1160" s="174"/>
      <c r="G1160" s="174"/>
      <c r="H1160" s="174"/>
      <c r="I1160" s="174"/>
      <c r="J1160" s="174"/>
      <c r="K1160" s="174"/>
      <c r="L1160" s="174"/>
      <c r="M1160" s="174"/>
      <c r="N1160" s="174"/>
      <c r="O1160" s="174"/>
      <c r="P1160" s="174"/>
      <c r="Q1160" s="174"/>
      <c r="R1160" s="174"/>
      <c r="S1160" s="174"/>
      <c r="T1160" s="174"/>
      <c r="U1160" s="174"/>
      <c r="V1160" s="174"/>
      <c r="W1160" s="160"/>
      <c r="X1160" s="160"/>
      <c r="Y1160" s="160">
        <f>IF($AE$1129&gt;0,'Assumptions (Nuclear)'!$V$14*Model!$AE$1129*'Assumptions (Nuclear)'!X$2/10^9,0)</f>
        <v>0.1087303753</v>
      </c>
      <c r="Z1160" s="160">
        <f>IF($AE$1129&gt;0,'Assumptions (Nuclear)'!$V$14*Model!$AE$1129*'Assumptions (Nuclear)'!Y$2/10^9,0)</f>
        <v>0.11026891</v>
      </c>
      <c r="AA1160" s="160">
        <f>IF($AE$1129&gt;0,'Assumptions (Nuclear)'!$V$14*Model!$AE$1129*'Assumptions (Nuclear)'!Z$2/10^9,0)</f>
        <v>0.1118421477</v>
      </c>
      <c r="AB1160" s="160">
        <f>IF($AE$1129&gt;0,'Assumptions (Nuclear)'!$V$14*Model!$AE$1129*'Assumptions (Nuclear)'!AA$2/10^9,0)</f>
        <v>0.113418433</v>
      </c>
      <c r="AC1160" s="160">
        <f>IF($AE$1129&gt;0,'Assumptions (Nuclear)'!$V$14*Model!$AE$1129*'Assumptions (Nuclear)'!AB$2/10^9,0)</f>
        <v>0.1150136546</v>
      </c>
      <c r="AD1160" s="160">
        <f>IF($AE$1129&gt;0,'Assumptions (Nuclear)'!$V$14*Model!$AE$1129*'Assumptions (Nuclear)'!AC$2/10^9,0)</f>
        <v>0.1165598971</v>
      </c>
      <c r="AE1160" s="160"/>
      <c r="AF1160" s="160"/>
      <c r="AG1160" s="160"/>
      <c r="AH1160" s="160"/>
      <c r="AI1160" s="160"/>
      <c r="AJ1160" s="160"/>
      <c r="AK1160" s="160"/>
      <c r="AL1160" s="160"/>
      <c r="AM1160" s="160"/>
      <c r="AN1160" s="160"/>
      <c r="AO1160" s="160"/>
      <c r="AP1160" s="160"/>
      <c r="AQ1160" s="160"/>
      <c r="AR1160" s="160"/>
      <c r="AS1160" s="160"/>
      <c r="AT1160" s="160"/>
      <c r="AU1160" s="160"/>
      <c r="AV1160" s="160"/>
      <c r="AW1160" s="160"/>
      <c r="AX1160" s="160"/>
      <c r="AY1160" s="160"/>
      <c r="AZ1160" s="160"/>
      <c r="BA1160" s="160"/>
    </row>
    <row r="1161" ht="15.75" hidden="1" customHeight="1" outlineLevel="1">
      <c r="A1161" s="262"/>
      <c r="B1161" s="38"/>
      <c r="C1161" s="174"/>
      <c r="D1161" s="174"/>
      <c r="E1161" s="174"/>
      <c r="F1161" s="174"/>
      <c r="G1161" s="174"/>
      <c r="H1161" s="174"/>
      <c r="I1161" s="174"/>
      <c r="J1161" s="174"/>
      <c r="K1161" s="174"/>
      <c r="L1161" s="174"/>
      <c r="M1161" s="174"/>
      <c r="N1161" s="174"/>
      <c r="O1161" s="174"/>
      <c r="P1161" s="174"/>
      <c r="Q1161" s="174"/>
      <c r="R1161" s="174"/>
      <c r="S1161" s="174"/>
      <c r="T1161" s="174"/>
      <c r="U1161" s="174"/>
      <c r="V1161" s="174"/>
      <c r="W1161" s="160"/>
      <c r="X1161" s="160"/>
      <c r="Y1161" s="160"/>
      <c r="Z1161" s="160">
        <f>IF($AF$1129&gt;0,'Assumptions (Nuclear)'!$V$14*Model!$AF$1129*'Assumptions (Nuclear)'!Y$2/10^9,0)</f>
        <v>0.11026891</v>
      </c>
      <c r="AA1161" s="160">
        <f>IF($AF$1129&gt;0,'Assumptions (Nuclear)'!$V$14*Model!$AF$1129*'Assumptions (Nuclear)'!Z$2/10^9,0)</f>
        <v>0.1118421477</v>
      </c>
      <c r="AB1161" s="160">
        <f>IF($AF$1129&gt;0,'Assumptions (Nuclear)'!$V$14*Model!$AF$1129*'Assumptions (Nuclear)'!AA$2/10^9,0)</f>
        <v>0.113418433</v>
      </c>
      <c r="AC1161" s="160">
        <f>IF($AF$1129&gt;0,'Assumptions (Nuclear)'!$V$14*Model!$AF$1129*'Assumptions (Nuclear)'!AB$2/10^9,0)</f>
        <v>0.1150136546</v>
      </c>
      <c r="AD1161" s="160">
        <f>IF($AF$1129&gt;0,'Assumptions (Nuclear)'!$V$14*Model!$AF$1129*'Assumptions (Nuclear)'!AC$2/10^9,0)</f>
        <v>0.1165598971</v>
      </c>
      <c r="AE1161" s="160">
        <f>IF($AF$1129&gt;0,'Assumptions (Nuclear)'!$V$14*Model!$AF$1129*'Assumptions (Nuclear)'!AD$2/10^9,0)</f>
        <v>0.1181920786</v>
      </c>
      <c r="AF1161" s="160"/>
      <c r="AG1161" s="160"/>
      <c r="AH1161" s="160"/>
      <c r="AI1161" s="160"/>
      <c r="AJ1161" s="160"/>
      <c r="AK1161" s="160"/>
      <c r="AL1161" s="160"/>
      <c r="AM1161" s="160"/>
      <c r="AN1161" s="160"/>
      <c r="AO1161" s="160"/>
      <c r="AP1161" s="160"/>
      <c r="AQ1161" s="160"/>
      <c r="AR1161" s="160"/>
      <c r="AS1161" s="160"/>
      <c r="AT1161" s="160"/>
      <c r="AU1161" s="160"/>
      <c r="AV1161" s="160"/>
      <c r="AW1161" s="160"/>
      <c r="AX1161" s="160"/>
      <c r="AY1161" s="160"/>
      <c r="AZ1161" s="160"/>
      <c r="BA1161" s="160"/>
    </row>
    <row r="1162" ht="15.75" hidden="1" customHeight="1" outlineLevel="1">
      <c r="A1162" s="262"/>
      <c r="B1162" s="38"/>
      <c r="C1162" s="174"/>
      <c r="D1162" s="174"/>
      <c r="E1162" s="174"/>
      <c r="F1162" s="174"/>
      <c r="G1162" s="174"/>
      <c r="H1162" s="174"/>
      <c r="I1162" s="174"/>
      <c r="J1162" s="174"/>
      <c r="K1162" s="174"/>
      <c r="L1162" s="174"/>
      <c r="M1162" s="174"/>
      <c r="N1162" s="174"/>
      <c r="O1162" s="174"/>
      <c r="P1162" s="174"/>
      <c r="Q1162" s="174"/>
      <c r="R1162" s="174"/>
      <c r="S1162" s="174"/>
      <c r="T1162" s="174"/>
      <c r="U1162" s="174"/>
      <c r="V1162" s="174"/>
      <c r="W1162" s="160"/>
      <c r="X1162" s="160"/>
      <c r="Y1162" s="160"/>
      <c r="Z1162" s="160"/>
      <c r="AA1162" s="160">
        <f>IF($AG$1129&gt;0,'Assumptions (Nuclear)'!$V$14*Model!$AG$1129*'Assumptions (Nuclear)'!Z$2/10^9,0)</f>
        <v>0.1118421477</v>
      </c>
      <c r="AB1162" s="160">
        <f>IF($AG$1129&gt;0,'Assumptions (Nuclear)'!$V$14*Model!$AG$1129*'Assumptions (Nuclear)'!AA$2/10^9,0)</f>
        <v>0.113418433</v>
      </c>
      <c r="AC1162" s="160">
        <f>IF($AG$1129&gt;0,'Assumptions (Nuclear)'!$V$14*Model!$AG$1129*'Assumptions (Nuclear)'!AB$2/10^9,0)</f>
        <v>0.1150136546</v>
      </c>
      <c r="AD1162" s="160">
        <f>IF($AG$1129&gt;0,'Assumptions (Nuclear)'!$V$14*Model!$AG$1129*'Assumptions (Nuclear)'!AC$2/10^9,0)</f>
        <v>0.1165598971</v>
      </c>
      <c r="AE1162" s="160">
        <f>IF($AG$1129&gt;0,'Assumptions (Nuclear)'!$V$14*Model!$AG$1129*'Assumptions (Nuclear)'!AD$2/10^9,0)</f>
        <v>0.1181920786</v>
      </c>
      <c r="AF1162" s="160">
        <f>IF($AG$1129&gt;0,'Assumptions (Nuclear)'!$V$14*Model!$AG$1129*'Assumptions (Nuclear)'!AE$2/10^9,0)</f>
        <v>0.1197905301</v>
      </c>
      <c r="AG1162" s="160"/>
      <c r="AH1162" s="160"/>
      <c r="AI1162" s="160"/>
      <c r="AJ1162" s="160"/>
      <c r="AK1162" s="160"/>
      <c r="AL1162" s="160"/>
      <c r="AM1162" s="160"/>
      <c r="AN1162" s="160"/>
      <c r="AO1162" s="160"/>
      <c r="AP1162" s="160"/>
      <c r="AQ1162" s="160"/>
      <c r="AR1162" s="160"/>
      <c r="AS1162" s="160"/>
      <c r="AT1162" s="160"/>
      <c r="AU1162" s="160"/>
      <c r="AV1162" s="160"/>
      <c r="AW1162" s="160"/>
      <c r="AX1162" s="160"/>
      <c r="AY1162" s="160"/>
      <c r="AZ1162" s="160"/>
      <c r="BA1162" s="160"/>
    </row>
    <row r="1163" ht="15.75" hidden="1" customHeight="1" outlineLevel="1">
      <c r="A1163" s="262"/>
      <c r="B1163" s="38"/>
      <c r="C1163" s="174"/>
      <c r="D1163" s="174"/>
      <c r="E1163" s="174"/>
      <c r="F1163" s="174"/>
      <c r="G1163" s="174"/>
      <c r="H1163" s="174"/>
      <c r="I1163" s="174"/>
      <c r="J1163" s="174"/>
      <c r="K1163" s="174"/>
      <c r="L1163" s="174"/>
      <c r="M1163" s="174"/>
      <c r="N1163" s="174"/>
      <c r="O1163" s="174"/>
      <c r="P1163" s="174"/>
      <c r="Q1163" s="174"/>
      <c r="R1163" s="174"/>
      <c r="S1163" s="174"/>
      <c r="T1163" s="174"/>
      <c r="U1163" s="174"/>
      <c r="V1163" s="174"/>
      <c r="W1163" s="160"/>
      <c r="X1163" s="160"/>
      <c r="Y1163" s="160"/>
      <c r="Z1163" s="160"/>
      <c r="AA1163" s="160"/>
      <c r="AB1163" s="160">
        <f>IF($AH$1129&gt;0,'Assumptions (Nuclear)'!$V$14*Model!$AH$1129*'Assumptions (Nuclear)'!AA$2/10^9,0)</f>
        <v>0.113418433</v>
      </c>
      <c r="AC1163" s="160">
        <f>IF($AH$1129&gt;0,'Assumptions (Nuclear)'!$V$14*Model!$AH$1129*'Assumptions (Nuclear)'!AB$2/10^9,0)</f>
        <v>0.1150136546</v>
      </c>
      <c r="AD1163" s="160">
        <f>IF($AH$1129&gt;0,'Assumptions (Nuclear)'!$V$14*Model!$AH$1129*'Assumptions (Nuclear)'!AC$2/10^9,0)</f>
        <v>0.1165598971</v>
      </c>
      <c r="AE1163" s="160">
        <f>IF($AH$1129&gt;0,'Assumptions (Nuclear)'!$V$14*Model!$AH$1129*'Assumptions (Nuclear)'!AD$2/10^9,0)</f>
        <v>0.1181920786</v>
      </c>
      <c r="AF1163" s="160">
        <f>IF($AH$1129&gt;0,'Assumptions (Nuclear)'!$V$14*Model!$AH$1129*'Assumptions (Nuclear)'!AE$2/10^9,0)</f>
        <v>0.1197905301</v>
      </c>
      <c r="AG1163" s="160">
        <f>IF($AH$1129&gt;0,'Assumptions (Nuclear)'!$V$14*Model!$AH$1129*'Assumptions (Nuclear)'!AF$2/10^9,0)</f>
        <v>0.1212981928</v>
      </c>
      <c r="AH1163" s="160"/>
      <c r="AI1163" s="160"/>
      <c r="AJ1163" s="160"/>
      <c r="AK1163" s="160"/>
      <c r="AL1163" s="160"/>
      <c r="AM1163" s="160"/>
      <c r="AN1163" s="160"/>
      <c r="AO1163" s="160"/>
      <c r="AP1163" s="160"/>
      <c r="AQ1163" s="160"/>
      <c r="AR1163" s="160"/>
      <c r="AS1163" s="160"/>
      <c r="AT1163" s="160"/>
      <c r="AU1163" s="160"/>
      <c r="AV1163" s="160"/>
      <c r="AW1163" s="160"/>
      <c r="AX1163" s="160"/>
      <c r="AY1163" s="160"/>
      <c r="AZ1163" s="160"/>
      <c r="BA1163" s="160"/>
    </row>
    <row r="1164" ht="15.75" hidden="1" customHeight="1" outlineLevel="1">
      <c r="A1164" s="262"/>
      <c r="B1164" s="38"/>
      <c r="C1164" s="174"/>
      <c r="D1164" s="174"/>
      <c r="E1164" s="174"/>
      <c r="F1164" s="174"/>
      <c r="G1164" s="174"/>
      <c r="H1164" s="174"/>
      <c r="I1164" s="174"/>
      <c r="J1164" s="174"/>
      <c r="K1164" s="174"/>
      <c r="L1164" s="174"/>
      <c r="M1164" s="174"/>
      <c r="N1164" s="174"/>
      <c r="O1164" s="174"/>
      <c r="P1164" s="174"/>
      <c r="Q1164" s="174"/>
      <c r="R1164" s="174"/>
      <c r="S1164" s="174"/>
      <c r="T1164" s="174"/>
      <c r="U1164" s="174"/>
      <c r="V1164" s="174"/>
      <c r="W1164" s="160"/>
      <c r="X1164" s="160"/>
      <c r="Y1164" s="160"/>
      <c r="Z1164" s="160"/>
      <c r="AA1164" s="160"/>
      <c r="AB1164" s="160"/>
      <c r="AC1164" s="160">
        <f>IF($AI$1129&gt;0,'Assumptions (Nuclear)'!$V$14*Model!$AI$1129*'Assumptions (Nuclear)'!AB$2/10^9,0)</f>
        <v>0.1150136546</v>
      </c>
      <c r="AD1164" s="160">
        <f>IF($AI$1129&gt;0,'Assumptions (Nuclear)'!$V$14*Model!$AI$1129*'Assumptions (Nuclear)'!AC$2/10^9,0)</f>
        <v>0.1165598971</v>
      </c>
      <c r="AE1164" s="160">
        <f>IF($AI$1129&gt;0,'Assumptions (Nuclear)'!$V$14*Model!$AI$1129*'Assumptions (Nuclear)'!AD$2/10^9,0)</f>
        <v>0.1181920786</v>
      </c>
      <c r="AF1164" s="160">
        <f>IF($AI$1129&gt;0,'Assumptions (Nuclear)'!$V$14*Model!$AI$1129*'Assumptions (Nuclear)'!AE$2/10^9,0)</f>
        <v>0.1197905301</v>
      </c>
      <c r="AG1164" s="160">
        <f>IF($AI$1129&gt;0,'Assumptions (Nuclear)'!$V$14*Model!$AI$1129*'Assumptions (Nuclear)'!AF$2/10^9,0)</f>
        <v>0.1212981928</v>
      </c>
      <c r="AH1164" s="160">
        <f>IF($AI$1129&gt;0,'Assumptions (Nuclear)'!$V$14*Model!$AI$1129*'Assumptions (Nuclear)'!AG$2/10^9,0)</f>
        <v>0.1228374697</v>
      </c>
      <c r="AI1164" s="160"/>
      <c r="AJ1164" s="160"/>
      <c r="AK1164" s="160"/>
      <c r="AL1164" s="160"/>
      <c r="AM1164" s="160"/>
      <c r="AN1164" s="160"/>
      <c r="AO1164" s="160"/>
      <c r="AP1164" s="160"/>
      <c r="AQ1164" s="160"/>
      <c r="AR1164" s="160"/>
      <c r="AS1164" s="160"/>
      <c r="AT1164" s="160"/>
      <c r="AU1164" s="160"/>
      <c r="AV1164" s="160"/>
      <c r="AW1164" s="160"/>
      <c r="AX1164" s="160"/>
      <c r="AY1164" s="160"/>
      <c r="AZ1164" s="160"/>
      <c r="BA1164" s="160"/>
    </row>
    <row r="1165" ht="15.75" hidden="1" customHeight="1" outlineLevel="1">
      <c r="A1165" s="262"/>
      <c r="B1165" s="38"/>
      <c r="C1165" s="174"/>
      <c r="D1165" s="174"/>
      <c r="E1165" s="174"/>
      <c r="F1165" s="174"/>
      <c r="G1165" s="174"/>
      <c r="H1165" s="174"/>
      <c r="I1165" s="174"/>
      <c r="J1165" s="174"/>
      <c r="K1165" s="174"/>
      <c r="L1165" s="174"/>
      <c r="M1165" s="174"/>
      <c r="N1165" s="174"/>
      <c r="O1165" s="174"/>
      <c r="P1165" s="174"/>
      <c r="Q1165" s="174"/>
      <c r="R1165" s="174"/>
      <c r="S1165" s="174"/>
      <c r="T1165" s="174"/>
      <c r="U1165" s="174"/>
      <c r="V1165" s="174"/>
      <c r="W1165" s="160"/>
      <c r="X1165" s="160"/>
      <c r="Y1165" s="160"/>
      <c r="Z1165" s="160"/>
      <c r="AA1165" s="160"/>
      <c r="AB1165" s="160"/>
      <c r="AC1165" s="160"/>
      <c r="AD1165" s="177">
        <f>IF($AJ$1129&gt;0,'Assumptions (Nuclear)'!$V$14*Model!$AJ$1129*'Assumptions (Nuclear)'!AC$2/10^9,0)</f>
        <v>1.160853401</v>
      </c>
      <c r="AE1165" s="177">
        <f>IF($AJ$1129&gt;0,'Assumptions (Nuclear)'!$V$14*Model!$AJ$1129*'Assumptions (Nuclear)'!AD$2/10^9,0)</f>
        <v>1.177108763</v>
      </c>
      <c r="AF1165" s="177">
        <f>IF($AJ$1129&gt;0,'Assumptions (Nuclear)'!$V$14*Model!$AJ$1129*'Assumptions (Nuclear)'!AE$2/10^9,0)</f>
        <v>1.193028199</v>
      </c>
      <c r="AG1165" s="177">
        <f>IF($AJ$1129&gt;0,'Assumptions (Nuclear)'!$V$14*Model!$AJ$1129*'Assumptions (Nuclear)'!AF$2/10^9,0)</f>
        <v>1.208043444</v>
      </c>
      <c r="AH1165" s="177">
        <f>IF($AJ$1129&gt;0,'Assumptions (Nuclear)'!$V$14*Model!$AJ$1129*'Assumptions (Nuclear)'!AG$2/10^9,0)</f>
        <v>1.223373544</v>
      </c>
      <c r="AI1165" s="177">
        <f>IF($AJ$1129&gt;0,'Assumptions (Nuclear)'!$V$14*Model!$AJ$1129*'Assumptions (Nuclear)'!AH$2/10^9,0)</f>
        <v>1.238468754</v>
      </c>
      <c r="AJ1165" s="177"/>
      <c r="AK1165" s="160"/>
      <c r="AL1165" s="177"/>
      <c r="AM1165" s="177"/>
      <c r="AN1165" s="177"/>
      <c r="AO1165" s="177"/>
      <c r="AP1165" s="177"/>
      <c r="AQ1165" s="177"/>
      <c r="AR1165" s="177"/>
      <c r="AS1165" s="177"/>
      <c r="AT1165" s="177"/>
      <c r="AU1165" s="177"/>
      <c r="AV1165" s="177"/>
      <c r="AW1165" s="177"/>
      <c r="AX1165" s="177"/>
      <c r="AY1165" s="177"/>
      <c r="AZ1165" s="177"/>
      <c r="BA1165" s="177"/>
    </row>
    <row r="1166" ht="15.75" hidden="1" customHeight="1" outlineLevel="1">
      <c r="A1166" s="262"/>
      <c r="B1166" s="38"/>
      <c r="C1166" s="174"/>
      <c r="D1166" s="174"/>
      <c r="E1166" s="174"/>
      <c r="F1166" s="174"/>
      <c r="G1166" s="174"/>
      <c r="H1166" s="174"/>
      <c r="I1166" s="174"/>
      <c r="J1166" s="174"/>
      <c r="K1166" s="174"/>
      <c r="L1166" s="174"/>
      <c r="M1166" s="174"/>
      <c r="N1166" s="174"/>
      <c r="O1166" s="174"/>
      <c r="P1166" s="174"/>
      <c r="Q1166" s="174"/>
      <c r="R1166" s="174"/>
      <c r="S1166" s="174"/>
      <c r="T1166" s="174"/>
      <c r="U1166" s="174"/>
      <c r="V1166" s="174"/>
      <c r="W1166" s="160"/>
      <c r="X1166" s="160"/>
      <c r="Y1166" s="160"/>
      <c r="Z1166" s="160"/>
      <c r="AA1166" s="160"/>
      <c r="AB1166" s="160"/>
      <c r="AC1166" s="160"/>
      <c r="AD1166" s="160"/>
      <c r="AE1166" s="160">
        <f>IF($AK$1129&gt;0,'Assumptions (Nuclear)'!$V$14*Model!$AK$1129*'Assumptions (Nuclear)'!AD$2/10^9,0)</f>
        <v>0.1181920786</v>
      </c>
      <c r="AF1166" s="160">
        <f>IF($AK$1129&gt;0,'Assumptions (Nuclear)'!$V$14*Model!$AK$1129*'Assumptions (Nuclear)'!AE$2/10^9,0)</f>
        <v>0.1197905301</v>
      </c>
      <c r="AG1166" s="160">
        <f>IF($AK$1129&gt;0,'Assumptions (Nuclear)'!$V$14*Model!$AK$1129*'Assumptions (Nuclear)'!AF$2/10^9,0)</f>
        <v>0.1212981928</v>
      </c>
      <c r="AH1166" s="160">
        <f>IF($AK$1129&gt;0,'Assumptions (Nuclear)'!$V$14*Model!$AK$1129*'Assumptions (Nuclear)'!AG$2/10^9,0)</f>
        <v>0.1228374697</v>
      </c>
      <c r="AI1166" s="160">
        <f>IF($AK$1129&gt;0,'Assumptions (Nuclear)'!$V$14*Model!$AK$1129*'Assumptions (Nuclear)'!AH$2/10^9,0)</f>
        <v>0.1243531616</v>
      </c>
      <c r="AJ1166" s="160">
        <f>IF($AK$1129&gt;0,'Assumptions (Nuclear)'!$V$14*Model!$AK$1129*'Assumptions (Nuclear)'!AI$2/10^9,0)</f>
        <v>0.1258812407</v>
      </c>
      <c r="AK1166" s="160"/>
      <c r="AL1166" s="177"/>
      <c r="AM1166" s="177"/>
      <c r="AN1166" s="177"/>
      <c r="AO1166" s="177"/>
      <c r="AP1166" s="177"/>
      <c r="AQ1166" s="177"/>
      <c r="AR1166" s="177"/>
      <c r="AS1166" s="177"/>
      <c r="AT1166" s="177"/>
      <c r="AU1166" s="177"/>
      <c r="AV1166" s="177"/>
      <c r="AW1166" s="177"/>
      <c r="AX1166" s="177"/>
      <c r="AY1166" s="177"/>
      <c r="AZ1166" s="177"/>
      <c r="BA1166" s="177"/>
    </row>
    <row r="1167" ht="15.75" hidden="1" customHeight="1" outlineLevel="1">
      <c r="A1167" s="262"/>
      <c r="B1167" s="38"/>
      <c r="C1167" s="174"/>
      <c r="D1167" s="174"/>
      <c r="E1167" s="174"/>
      <c r="F1167" s="174"/>
      <c r="G1167" s="174"/>
      <c r="H1167" s="174"/>
      <c r="I1167" s="174"/>
      <c r="J1167" s="174"/>
      <c r="K1167" s="174"/>
      <c r="L1167" s="174"/>
      <c r="M1167" s="174"/>
      <c r="N1167" s="174"/>
      <c r="O1167" s="174"/>
      <c r="P1167" s="174"/>
      <c r="Q1167" s="174"/>
      <c r="R1167" s="174"/>
      <c r="S1167" s="174"/>
      <c r="T1167" s="174"/>
      <c r="U1167" s="174"/>
      <c r="V1167" s="174"/>
      <c r="W1167" s="160"/>
      <c r="X1167" s="160"/>
      <c r="Y1167" s="160"/>
      <c r="Z1167" s="160"/>
      <c r="AA1167" s="160"/>
      <c r="AB1167" s="160"/>
      <c r="AC1167" s="160"/>
      <c r="AD1167" s="160"/>
      <c r="AE1167" s="160"/>
      <c r="AF1167" s="160">
        <f>IF($AL$1129&gt;0,'Assumptions (Nuclear)'!$V$14*Model!$AL$1129*'Assumptions (Nuclear)'!AE$2/10^9,0)</f>
        <v>1.357937605</v>
      </c>
      <c r="AG1167" s="160">
        <f>IF($AL$1129&gt;0,'Assumptions (Nuclear)'!$V$14*Model!$AL$1129*'Assumptions (Nuclear)'!AF$2/10^9,0)</f>
        <v>1.37502837</v>
      </c>
      <c r="AH1167" s="160">
        <f>IF($AL$1129&gt;0,'Assumptions (Nuclear)'!$V$14*Model!$AL$1129*'Assumptions (Nuclear)'!AG$2/10^9,0)</f>
        <v>1.392477513</v>
      </c>
      <c r="AI1167" s="160">
        <f>IF($AL$1129&gt;0,'Assumptions (Nuclear)'!$V$14*Model!$AL$1129*'Assumptions (Nuclear)'!AH$2/10^9,0)</f>
        <v>1.409659297</v>
      </c>
      <c r="AJ1167" s="160">
        <f>IF($AL$1129&gt;0,'Assumptions (Nuclear)'!$V$14*Model!$AL$1129*'Assumptions (Nuclear)'!AI$2/10^9,0)</f>
        <v>1.426981502</v>
      </c>
      <c r="AK1167" s="160">
        <f>IF($AL$1129&gt;0,'Assumptions (Nuclear)'!$V$14*Model!$AL$1129*'Assumptions (Nuclear)'!AJ$2/10^9,0)</f>
        <v>1.445767839</v>
      </c>
      <c r="AL1167" s="177"/>
      <c r="AM1167" s="177"/>
      <c r="AN1167" s="177"/>
      <c r="AO1167" s="177"/>
      <c r="AP1167" s="177"/>
      <c r="AQ1167" s="177"/>
      <c r="AR1167" s="177"/>
      <c r="AS1167" s="177"/>
      <c r="AT1167" s="177"/>
      <c r="AU1167" s="177"/>
      <c r="AV1167" s="177"/>
      <c r="AW1167" s="177"/>
      <c r="AX1167" s="177"/>
      <c r="AY1167" s="177"/>
      <c r="AZ1167" s="177"/>
      <c r="BA1167" s="177"/>
    </row>
    <row r="1168" ht="15.75" hidden="1" customHeight="1" outlineLevel="1">
      <c r="A1168" s="262"/>
      <c r="B1168" s="38"/>
      <c r="C1168" s="174"/>
      <c r="D1168" s="174"/>
      <c r="E1168" s="174"/>
      <c r="F1168" s="174"/>
      <c r="G1168" s="174"/>
      <c r="H1168" s="174"/>
      <c r="I1168" s="174"/>
      <c r="J1168" s="174"/>
      <c r="K1168" s="174"/>
      <c r="L1168" s="174"/>
      <c r="M1168" s="174"/>
      <c r="N1168" s="174"/>
      <c r="O1168" s="174"/>
      <c r="P1168" s="174"/>
      <c r="Q1168" s="174"/>
      <c r="R1168" s="174"/>
      <c r="S1168" s="174"/>
      <c r="T1168" s="174"/>
      <c r="U1168" s="174"/>
      <c r="V1168" s="174"/>
      <c r="W1168" s="160"/>
      <c r="X1168" s="160"/>
      <c r="Y1168" s="160"/>
      <c r="Z1168" s="160"/>
      <c r="AA1168" s="160"/>
      <c r="AB1168" s="160"/>
      <c r="AC1168" s="160"/>
      <c r="AD1168" s="160"/>
      <c r="AE1168" s="160"/>
      <c r="AF1168" s="160"/>
      <c r="AG1168" s="160">
        <f>IF($AM$1129&gt;0,'Assumptions (Nuclear)'!$V$14*Model!$AM$1129*'Assumptions (Nuclear)'!AF$2/10^9,0)</f>
        <v>4.266935816</v>
      </c>
      <c r="AH1168" s="160">
        <f>IF($AM$1129&gt;0,'Assumptions (Nuclear)'!$V$14*Model!$AM$1129*'Assumptions (Nuclear)'!AG$2/10^9,0)</f>
        <v>4.321083332</v>
      </c>
      <c r="AI1168" s="160">
        <f>IF($AM$1129&gt;0,'Assumptions (Nuclear)'!$V$14*Model!$AM$1129*'Assumptions (Nuclear)'!AH$2/10^9,0)</f>
        <v>4.374401191</v>
      </c>
      <c r="AJ1168" s="160">
        <f>IF($AM$1129&gt;0,'Assumptions (Nuclear)'!$V$14*Model!$AM$1129*'Assumptions (Nuclear)'!AI$2/10^9,0)</f>
        <v>4.4281548</v>
      </c>
      <c r="AK1168" s="160">
        <f>IF($AM$1129&gt;0,'Assumptions (Nuclear)'!$V$14*Model!$AM$1129*'Assumptions (Nuclear)'!AJ$2/10^9,0)</f>
        <v>4.486451849</v>
      </c>
      <c r="AL1168" s="160">
        <f>IF($AM$1129&gt;0,'Assumptions (Nuclear)'!$V$14*Model!$AM$1129*'Assumptions (Nuclear)'!AK$2/10^9,0)</f>
        <v>4.543941111</v>
      </c>
      <c r="AM1168" s="160"/>
      <c r="AN1168" s="160"/>
      <c r="AO1168" s="160"/>
      <c r="AP1168" s="160"/>
      <c r="AQ1168" s="160"/>
      <c r="AR1168" s="160"/>
      <c r="AS1168" s="160"/>
      <c r="AT1168" s="160"/>
      <c r="AU1168" s="160"/>
      <c r="AV1168" s="160"/>
      <c r="AW1168" s="160"/>
      <c r="AX1168" s="160"/>
      <c r="AY1168" s="160"/>
      <c r="AZ1168" s="160"/>
      <c r="BA1168" s="160"/>
    </row>
    <row r="1169" ht="15.75" hidden="1" customHeight="1" outlineLevel="1">
      <c r="A1169" s="262"/>
      <c r="B1169" s="38"/>
      <c r="C1169" s="174"/>
      <c r="D1169" s="174"/>
      <c r="E1169" s="174"/>
      <c r="F1169" s="174"/>
      <c r="G1169" s="174"/>
      <c r="H1169" s="174"/>
      <c r="I1169" s="174"/>
      <c r="J1169" s="174"/>
      <c r="K1169" s="174"/>
      <c r="L1169" s="174"/>
      <c r="M1169" s="174"/>
      <c r="N1169" s="174"/>
      <c r="O1169" s="174"/>
      <c r="P1169" s="174"/>
      <c r="Q1169" s="174"/>
      <c r="R1169" s="174"/>
      <c r="S1169" s="174"/>
      <c r="T1169" s="174"/>
      <c r="U1169" s="174"/>
      <c r="V1169" s="174"/>
      <c r="W1169" s="160"/>
      <c r="X1169" s="160"/>
      <c r="Y1169" s="160"/>
      <c r="Z1169" s="160"/>
      <c r="AA1169" s="160"/>
      <c r="AB1169" s="160"/>
      <c r="AC1169" s="160"/>
      <c r="AD1169" s="160"/>
      <c r="AE1169" s="160"/>
      <c r="AF1169" s="160"/>
      <c r="AG1169" s="160"/>
      <c r="AH1169" s="160">
        <f>IF($AN$1129&gt;0,'Assumptions (Nuclear)'!$V$14*Model!$AN$1129*'Assumptions (Nuclear)'!AG$2/10^9,0)</f>
        <v>4.433771582</v>
      </c>
      <c r="AI1169" s="160">
        <f>IF($AN$1129&gt;0,'Assumptions (Nuclear)'!$V$14*Model!$AN$1129*'Assumptions (Nuclear)'!AH$2/10^9,0)</f>
        <v>4.488479902</v>
      </c>
      <c r="AJ1169" s="160">
        <f>IF($AN$1129&gt;0,'Assumptions (Nuclear)'!$V$14*Model!$AN$1129*'Assumptions (Nuclear)'!AI$2/10^9,0)</f>
        <v>4.543635335</v>
      </c>
      <c r="AK1169" s="160">
        <f>IF($AN$1129&gt;0,'Assumptions (Nuclear)'!$V$14*Model!$AN$1129*'Assumptions (Nuclear)'!AJ$2/10^9,0)</f>
        <v>4.603452695</v>
      </c>
      <c r="AL1169" s="160">
        <f>IF($AN$1129&gt;0,'Assumptions (Nuclear)'!$V$14*Model!$AN$1129*'Assumptions (Nuclear)'!AK$2/10^9,0)</f>
        <v>4.662441203</v>
      </c>
      <c r="AM1169" s="160">
        <f>IF($AN$1129&gt;0,'Assumptions (Nuclear)'!$V$14*Model!$AN$1129*'Assumptions (Nuclear)'!AL$2/10^9,0)</f>
        <v>4.715402675</v>
      </c>
      <c r="AN1169" s="160"/>
      <c r="AO1169" s="160"/>
      <c r="AP1169" s="160"/>
      <c r="AQ1169" s="160"/>
      <c r="AR1169" s="160"/>
      <c r="AS1169" s="160"/>
      <c r="AT1169" s="160"/>
      <c r="AU1169" s="160"/>
      <c r="AV1169" s="160"/>
      <c r="AW1169" s="160"/>
      <c r="AX1169" s="160"/>
      <c r="AY1169" s="160"/>
      <c r="AZ1169" s="160"/>
      <c r="BA1169" s="160"/>
    </row>
    <row r="1170" ht="15.75" hidden="1" customHeight="1" outlineLevel="1">
      <c r="A1170" s="262"/>
      <c r="B1170" s="38"/>
      <c r="C1170" s="174"/>
      <c r="D1170" s="174"/>
      <c r="E1170" s="174"/>
      <c r="F1170" s="174"/>
      <c r="G1170" s="174"/>
      <c r="H1170" s="174"/>
      <c r="I1170" s="174"/>
      <c r="J1170" s="174"/>
      <c r="K1170" s="174"/>
      <c r="L1170" s="174"/>
      <c r="M1170" s="174"/>
      <c r="N1170" s="174"/>
      <c r="O1170" s="174"/>
      <c r="P1170" s="174"/>
      <c r="Q1170" s="174"/>
      <c r="R1170" s="174"/>
      <c r="S1170" s="174"/>
      <c r="T1170" s="174"/>
      <c r="U1170" s="174"/>
      <c r="V1170" s="174"/>
      <c r="W1170" s="160"/>
      <c r="X1170" s="160"/>
      <c r="Y1170" s="160"/>
      <c r="Z1170" s="160"/>
      <c r="AA1170" s="160"/>
      <c r="AB1170" s="160"/>
      <c r="AC1170" s="160"/>
      <c r="AD1170" s="160"/>
      <c r="AE1170" s="160"/>
      <c r="AF1170" s="160"/>
      <c r="AG1170" s="160"/>
      <c r="AH1170" s="160"/>
      <c r="AI1170" s="160">
        <f>IF($AO$1129&gt;0,'Assumptions (Nuclear)'!$V$14*Model!$AO$1129*'Assumptions (Nuclear)'!AH$2/10^9,0)</f>
        <v>0.1243531616</v>
      </c>
      <c r="AJ1170" s="160">
        <f>IF($AO$1129&gt;0,'Assumptions (Nuclear)'!$V$14*Model!$AO$1129*'Assumptions (Nuclear)'!AI$2/10^9,0)</f>
        <v>0.1258812407</v>
      </c>
      <c r="AK1170" s="160">
        <f>IF($AO$1129&gt;0,'Assumptions (Nuclear)'!$V$14*Model!$AO$1129*'Assumptions (Nuclear)'!AJ$2/10^9,0)</f>
        <v>0.1275384784</v>
      </c>
      <c r="AL1170" s="160">
        <f>IF($AO$1129&gt;0,'Assumptions (Nuclear)'!$V$14*Model!$AO$1129*'Assumptions (Nuclear)'!AK$2/10^9,0)</f>
        <v>0.1291727527</v>
      </c>
      <c r="AM1170" s="160">
        <f>IF($AO$1129&gt;0,'Assumptions (Nuclear)'!$V$14*Model!$AO$1129*'Assumptions (Nuclear)'!AL$2/10^9,0)</f>
        <v>0.1306400482</v>
      </c>
      <c r="AN1170" s="160">
        <f>IF($AO$1129&gt;0,'Assumptions (Nuclear)'!$V$14*Model!$AO$1129*'Assumptions (Nuclear)'!AM$2/10^9,0)</f>
        <v>0.1323218295</v>
      </c>
      <c r="AO1170" s="160"/>
      <c r="AP1170" s="160"/>
      <c r="AQ1170" s="160"/>
      <c r="AR1170" s="160"/>
      <c r="AS1170" s="160"/>
      <c r="AT1170" s="160"/>
      <c r="AU1170" s="160"/>
      <c r="AV1170" s="160"/>
      <c r="AW1170" s="160"/>
      <c r="AX1170" s="160"/>
      <c r="AY1170" s="160"/>
      <c r="AZ1170" s="160"/>
      <c r="BA1170" s="160"/>
    </row>
    <row r="1171" ht="15.75" hidden="1" customHeight="1" outlineLevel="1">
      <c r="A1171" s="262"/>
      <c r="B1171" s="38"/>
      <c r="C1171" s="174"/>
      <c r="D1171" s="174"/>
      <c r="E1171" s="174"/>
      <c r="F1171" s="174"/>
      <c r="G1171" s="174"/>
      <c r="H1171" s="174"/>
      <c r="I1171" s="174"/>
      <c r="J1171" s="174"/>
      <c r="K1171" s="174"/>
      <c r="L1171" s="174"/>
      <c r="M1171" s="174"/>
      <c r="N1171" s="174"/>
      <c r="O1171" s="174"/>
      <c r="P1171" s="174"/>
      <c r="Q1171" s="174"/>
      <c r="R1171" s="174"/>
      <c r="S1171" s="174"/>
      <c r="T1171" s="174"/>
      <c r="U1171" s="174"/>
      <c r="V1171" s="174"/>
      <c r="W1171" s="160"/>
      <c r="X1171" s="160"/>
      <c r="Y1171" s="160"/>
      <c r="Z1171" s="160"/>
      <c r="AA1171" s="160"/>
      <c r="AB1171" s="160"/>
      <c r="AC1171" s="160"/>
      <c r="AD1171" s="160"/>
      <c r="AE1171" s="160"/>
      <c r="AF1171" s="160"/>
      <c r="AG1171" s="160"/>
      <c r="AH1171" s="160"/>
      <c r="AI1171" s="160"/>
      <c r="AJ1171" s="160">
        <f>IF($AP$1129&gt;0,'Assumptions (Nuclear)'!$V$14*Model!$AP$1129*'Assumptions (Nuclear)'!AI$2/10^9,0)</f>
        <v>4.645029299</v>
      </c>
      <c r="AK1171" s="160">
        <f>IF($AP$1129&gt;0,'Assumptions (Nuclear)'!$V$14*Model!$AP$1129*'Assumptions (Nuclear)'!AJ$2/10^9,0)</f>
        <v>4.70618152</v>
      </c>
      <c r="AL1171" s="160">
        <f>IF($AP$1129&gt;0,'Assumptions (Nuclear)'!$V$14*Model!$AP$1129*'Assumptions (Nuclear)'!AK$2/10^9,0)</f>
        <v>4.766486392</v>
      </c>
      <c r="AM1171" s="160">
        <f>IF($AP$1129&gt;0,'Assumptions (Nuclear)'!$V$14*Model!$AP$1129*'Assumptions (Nuclear)'!AL$2/10^9,0)</f>
        <v>4.820629731</v>
      </c>
      <c r="AN1171" s="160">
        <f>IF($AP$1129&gt;0,'Assumptions (Nuclear)'!$V$14*Model!$AP$1129*'Assumptions (Nuclear)'!AM$2/10^9,0)</f>
        <v>4.882687616</v>
      </c>
      <c r="AO1171" s="160">
        <f>IF($AP$1129&gt;0,'Assumptions (Nuclear)'!$V$14*Model!$AP$1129*'Assumptions (Nuclear)'!AN$2/10^9,0)</f>
        <v>4.943002733</v>
      </c>
      <c r="AP1171" s="160"/>
      <c r="AQ1171" s="160"/>
      <c r="AR1171" s="160"/>
      <c r="AS1171" s="160"/>
      <c r="AT1171" s="160"/>
      <c r="AU1171" s="160"/>
      <c r="AV1171" s="160"/>
      <c r="AW1171" s="160"/>
      <c r="AX1171" s="160"/>
      <c r="AY1171" s="160"/>
      <c r="AZ1171" s="160"/>
      <c r="BA1171" s="160"/>
    </row>
    <row r="1172" ht="15.75" hidden="1" customHeight="1" outlineLevel="1">
      <c r="A1172" s="262"/>
      <c r="B1172" s="38"/>
      <c r="C1172" s="174"/>
      <c r="D1172" s="174"/>
      <c r="E1172" s="174"/>
      <c r="F1172" s="174"/>
      <c r="G1172" s="174"/>
      <c r="H1172" s="174"/>
      <c r="I1172" s="174"/>
      <c r="J1172" s="174"/>
      <c r="K1172" s="174"/>
      <c r="L1172" s="174"/>
      <c r="M1172" s="174"/>
      <c r="N1172" s="174"/>
      <c r="O1172" s="174"/>
      <c r="P1172" s="174"/>
      <c r="Q1172" s="174"/>
      <c r="R1172" s="174"/>
      <c r="S1172" s="174"/>
      <c r="T1172" s="174"/>
      <c r="U1172" s="174"/>
      <c r="V1172" s="174"/>
      <c r="W1172" s="160"/>
      <c r="X1172" s="160"/>
      <c r="Y1172" s="160"/>
      <c r="Z1172" s="160"/>
      <c r="AA1172" s="160"/>
      <c r="AB1172" s="160"/>
      <c r="AC1172" s="160"/>
      <c r="AD1172" s="160"/>
      <c r="AE1172" s="160"/>
      <c r="AF1172" s="160"/>
      <c r="AG1172" s="160"/>
      <c r="AH1172" s="160"/>
      <c r="AI1172" s="160"/>
      <c r="AJ1172" s="179"/>
      <c r="AK1172" s="160">
        <f>IF($AQ$1129&gt;0,'Assumptions (Nuclear)'!$V$14*Model!$AQ$1129*'Assumptions (Nuclear)'!AJ$2/10^9,0)</f>
        <v>0.1275384784</v>
      </c>
      <c r="AL1172" s="160">
        <f>IF($AQ$1129&gt;0,'Assumptions (Nuclear)'!$V$14*Model!$AQ$1129*'Assumptions (Nuclear)'!AK$2/10^9,0)</f>
        <v>0.1291727527</v>
      </c>
      <c r="AM1172" s="160">
        <f>IF($AQ$1129&gt;0,'Assumptions (Nuclear)'!$V$14*Model!$AQ$1129*'Assumptions (Nuclear)'!AL$2/10^9,0)</f>
        <v>0.1306400482</v>
      </c>
      <c r="AN1172" s="160">
        <f>IF($AQ$1129&gt;0,'Assumptions (Nuclear)'!$V$14*Model!$AQ$1129*'Assumptions (Nuclear)'!AM$2/10^9,0)</f>
        <v>0.1323218295</v>
      </c>
      <c r="AO1172" s="160">
        <f>IF($AQ$1129&gt;0,'Assumptions (Nuclear)'!$V$14*Model!$AQ$1129*'Assumptions (Nuclear)'!AN$2/10^9,0)</f>
        <v>0.1339563815</v>
      </c>
      <c r="AP1172" s="160">
        <f>IF($AQ$1129&gt;0,'Assumptions (Nuclear)'!$V$14*Model!$AQ$1129*'Assumptions (Nuclear)'!AO$2/10^9,0)</f>
        <v>0.1355185367</v>
      </c>
      <c r="AQ1172" s="160"/>
      <c r="AR1172" s="160"/>
      <c r="AS1172" s="160"/>
      <c r="AT1172" s="160"/>
      <c r="AU1172" s="160"/>
      <c r="AV1172" s="160"/>
      <c r="AW1172" s="160"/>
      <c r="AX1172" s="160"/>
      <c r="AY1172" s="160"/>
      <c r="AZ1172" s="160"/>
      <c r="BA1172" s="160"/>
    </row>
    <row r="1173" ht="15.75" hidden="1" customHeight="1" outlineLevel="1">
      <c r="A1173" s="262"/>
      <c r="B1173" s="38"/>
      <c r="C1173" s="174"/>
      <c r="D1173" s="174"/>
      <c r="E1173" s="174"/>
      <c r="F1173" s="174"/>
      <c r="G1173" s="174"/>
      <c r="H1173" s="174"/>
      <c r="I1173" s="174"/>
      <c r="J1173" s="174"/>
      <c r="K1173" s="174"/>
      <c r="L1173" s="174"/>
      <c r="M1173" s="174"/>
      <c r="N1173" s="174"/>
      <c r="O1173" s="174"/>
      <c r="P1173" s="174"/>
      <c r="Q1173" s="174"/>
      <c r="R1173" s="174"/>
      <c r="S1173" s="174"/>
      <c r="T1173" s="174"/>
      <c r="U1173" s="174"/>
      <c r="V1173" s="174"/>
      <c r="W1173" s="160"/>
      <c r="X1173" s="160"/>
      <c r="Y1173" s="160"/>
      <c r="Z1173" s="160"/>
      <c r="AA1173" s="160"/>
      <c r="AB1173" s="160"/>
      <c r="AC1173" s="160"/>
      <c r="AD1173" s="160"/>
      <c r="AE1173" s="160"/>
      <c r="AF1173" s="160"/>
      <c r="AG1173" s="160"/>
      <c r="AH1173" s="160"/>
      <c r="AI1173" s="160"/>
      <c r="AJ1173" s="179"/>
      <c r="AK1173" s="160"/>
      <c r="AL1173" s="160">
        <f>IF($AR$1129&gt;0,'Assumptions (Nuclear)'!$V$14*Model!$AR$1129*'Assumptions (Nuclear)'!AK$2/10^9,0)</f>
        <v>1.431168046</v>
      </c>
      <c r="AM1173" s="160">
        <f>IF($AR$1129&gt;0,'Assumptions (Nuclear)'!$V$14*Model!$AR$1129*'Assumptions (Nuclear)'!AL$2/10^9,0)</f>
        <v>1.44742493</v>
      </c>
      <c r="AN1173" s="160">
        <f>IF($AR$1129&gt;0,'Assumptions (Nuclear)'!$V$14*Model!$AR$1129*'Assumptions (Nuclear)'!AM$2/10^9,0)</f>
        <v>1.466058207</v>
      </c>
      <c r="AO1173" s="160">
        <f>IF($AR$1129&gt;0,'Assumptions (Nuclear)'!$V$14*Model!$AR$1129*'Assumptions (Nuclear)'!AN$2/10^9,0)</f>
        <v>1.484168207</v>
      </c>
      <c r="AP1173" s="160">
        <f>IF($AR$1129&gt;0,'Assumptions (Nuclear)'!$V$14*Model!$AR$1129*'Assumptions (Nuclear)'!AO$2/10^9,0)</f>
        <v>1.501476087</v>
      </c>
      <c r="AQ1173" s="160">
        <f>IF($AR$1129&gt;0,'Assumptions (Nuclear)'!$V$14*Model!$AR$1129*'Assumptions (Nuclear)'!AP$2/10^9,0)</f>
        <v>1.518409761</v>
      </c>
      <c r="AR1173" s="160"/>
      <c r="AS1173" s="160"/>
      <c r="AT1173" s="160"/>
      <c r="AU1173" s="160"/>
      <c r="AV1173" s="160"/>
      <c r="AW1173" s="160"/>
      <c r="AX1173" s="160"/>
      <c r="AY1173" s="160"/>
      <c r="AZ1173" s="160"/>
      <c r="BA1173" s="160"/>
    </row>
    <row r="1174" ht="15.75" hidden="1" customHeight="1" outlineLevel="1">
      <c r="A1174" s="262"/>
      <c r="B1174" s="38"/>
      <c r="C1174" s="174"/>
      <c r="D1174" s="174"/>
      <c r="E1174" s="174"/>
      <c r="F1174" s="174"/>
      <c r="G1174" s="174"/>
      <c r="H1174" s="174"/>
      <c r="I1174" s="174"/>
      <c r="J1174" s="174"/>
      <c r="K1174" s="174"/>
      <c r="L1174" s="174"/>
      <c r="M1174" s="174"/>
      <c r="N1174" s="174"/>
      <c r="O1174" s="174"/>
      <c r="P1174" s="174"/>
      <c r="Q1174" s="174"/>
      <c r="R1174" s="174"/>
      <c r="S1174" s="174"/>
      <c r="T1174" s="174"/>
      <c r="U1174" s="174"/>
      <c r="V1174" s="174"/>
      <c r="W1174" s="160"/>
      <c r="X1174" s="160"/>
      <c r="Y1174" s="160"/>
      <c r="Z1174" s="160"/>
      <c r="AA1174" s="160"/>
      <c r="AB1174" s="160"/>
      <c r="AC1174" s="160"/>
      <c r="AD1174" s="160"/>
      <c r="AE1174" s="160"/>
      <c r="AF1174" s="160"/>
      <c r="AG1174" s="160"/>
      <c r="AH1174" s="160"/>
      <c r="AI1174" s="160"/>
      <c r="AJ1174" s="179"/>
      <c r="AK1174" s="160"/>
      <c r="AL1174" s="177"/>
      <c r="AM1174" s="160">
        <f>IF($AS$1129&gt;0,'Assumptions (Nuclear)'!$V$14*Model!$AS$1129*'Assumptions (Nuclear)'!AL$2/10^9,0)</f>
        <v>0.1306400482</v>
      </c>
      <c r="AN1174" s="160">
        <f>IF($AS$1129&gt;0,'Assumptions (Nuclear)'!$V$14*Model!$AS$1129*'Assumptions (Nuclear)'!AM$2/10^9,0)</f>
        <v>0.1323218295</v>
      </c>
      <c r="AO1174" s="160">
        <f>IF($AS$1129&gt;0,'Assumptions (Nuclear)'!$V$14*Model!$AS$1129*'Assumptions (Nuclear)'!AN$2/10^9,0)</f>
        <v>0.1339563815</v>
      </c>
      <c r="AP1174" s="160">
        <f>IF($AS$1129&gt;0,'Assumptions (Nuclear)'!$V$14*Model!$AS$1129*'Assumptions (Nuclear)'!AO$2/10^9,0)</f>
        <v>0.1355185367</v>
      </c>
      <c r="AQ1174" s="160">
        <f>IF($AS$1129&gt;0,'Assumptions (Nuclear)'!$V$14*Model!$AS$1129*'Assumptions (Nuclear)'!AP$2/10^9,0)</f>
        <v>0.1370469171</v>
      </c>
      <c r="AR1174" s="160">
        <f>IF($AS$1129&gt;0,'Assumptions (Nuclear)'!$V$14*Model!$AS$1129*'Assumptions (Nuclear)'!AQ$2/10^9,0)</f>
        <v>0.1388286336</v>
      </c>
      <c r="AS1174" s="160"/>
      <c r="AT1174" s="160"/>
      <c r="AU1174" s="160"/>
      <c r="AV1174" s="160"/>
      <c r="AW1174" s="160"/>
      <c r="AX1174" s="160"/>
      <c r="AY1174" s="160"/>
      <c r="AZ1174" s="160"/>
      <c r="BA1174" s="160"/>
    </row>
    <row r="1175" ht="15.75" hidden="1" customHeight="1" outlineLevel="1">
      <c r="A1175" s="262"/>
      <c r="B1175" s="38"/>
      <c r="C1175" s="174"/>
      <c r="D1175" s="174"/>
      <c r="E1175" s="174"/>
      <c r="F1175" s="174"/>
      <c r="G1175" s="174"/>
      <c r="H1175" s="174"/>
      <c r="I1175" s="174"/>
      <c r="J1175" s="174"/>
      <c r="K1175" s="174"/>
      <c r="L1175" s="174"/>
      <c r="M1175" s="174"/>
      <c r="N1175" s="174"/>
      <c r="O1175" s="174"/>
      <c r="P1175" s="174"/>
      <c r="Q1175" s="174"/>
      <c r="R1175" s="174"/>
      <c r="S1175" s="174"/>
      <c r="T1175" s="174"/>
      <c r="U1175" s="174"/>
      <c r="V1175" s="174"/>
      <c r="W1175" s="160"/>
      <c r="X1175" s="160"/>
      <c r="Y1175" s="160"/>
      <c r="Z1175" s="160"/>
      <c r="AA1175" s="160"/>
      <c r="AB1175" s="160"/>
      <c r="AC1175" s="160"/>
      <c r="AD1175" s="160"/>
      <c r="AE1175" s="160"/>
      <c r="AF1175" s="160"/>
      <c r="AG1175" s="160"/>
      <c r="AH1175" s="160"/>
      <c r="AI1175" s="160"/>
      <c r="AJ1175" s="179"/>
      <c r="AK1175" s="160"/>
      <c r="AL1175" s="177"/>
      <c r="AM1175" s="177"/>
      <c r="AN1175" s="160">
        <f>IF($AT$1129&gt;0,'Assumptions (Nuclear)'!$V$14*Model!$AT$1129*'Assumptions (Nuclear)'!AM$2/10^9,0)</f>
        <v>5.267060352</v>
      </c>
      <c r="AO1175" s="160">
        <f>IF($AT$1129&gt;0,'Assumptions (Nuclear)'!$V$14*Model!$AT$1129*'Assumptions (Nuclear)'!AN$2/10^9,0)</f>
        <v>5.332123569</v>
      </c>
      <c r="AP1175" s="160">
        <f>IF($AT$1129&gt;0,'Assumptions (Nuclear)'!$V$14*Model!$AT$1129*'Assumptions (Nuclear)'!AO$2/10^9,0)</f>
        <v>5.394305036</v>
      </c>
      <c r="AQ1175" s="160">
        <f>IF($AT$1129&gt;0,'Assumptions (Nuclear)'!$V$14*Model!$AT$1129*'Assumptions (Nuclear)'!AP$2/10^9,0)</f>
        <v>5.455142102</v>
      </c>
      <c r="AR1175" s="160">
        <f>IF($AT$1129&gt;0,'Assumptions (Nuclear)'!$V$14*Model!$AT$1129*'Assumptions (Nuclear)'!AQ$2/10^9,0)</f>
        <v>5.526063195</v>
      </c>
      <c r="AS1175" s="160">
        <f>IF($AT$1129&gt;0,'Assumptions (Nuclear)'!$V$14*Model!$AT$1129*'Assumptions (Nuclear)'!AR$2/10^9,0)</f>
        <v>5.590436102</v>
      </c>
      <c r="AT1175" s="160"/>
      <c r="AU1175" s="160"/>
      <c r="AV1175" s="160"/>
      <c r="AW1175" s="160"/>
      <c r="AX1175" s="160"/>
      <c r="AY1175" s="160"/>
      <c r="AZ1175" s="160"/>
      <c r="BA1175" s="160"/>
    </row>
    <row r="1176" ht="15.75" hidden="1" customHeight="1" outlineLevel="1">
      <c r="A1176" s="262"/>
      <c r="B1176" s="38"/>
      <c r="C1176" s="174"/>
      <c r="D1176" s="174"/>
      <c r="E1176" s="174"/>
      <c r="F1176" s="174"/>
      <c r="G1176" s="174"/>
      <c r="H1176" s="174"/>
      <c r="I1176" s="174"/>
      <c r="J1176" s="174"/>
      <c r="K1176" s="174"/>
      <c r="L1176" s="174"/>
      <c r="M1176" s="174"/>
      <c r="N1176" s="174"/>
      <c r="O1176" s="174"/>
      <c r="P1176" s="174"/>
      <c r="Q1176" s="174"/>
      <c r="R1176" s="174"/>
      <c r="S1176" s="174"/>
      <c r="T1176" s="174"/>
      <c r="U1176" s="174"/>
      <c r="V1176" s="174"/>
      <c r="W1176" s="160"/>
      <c r="X1176" s="160"/>
      <c r="Y1176" s="160"/>
      <c r="Z1176" s="160"/>
      <c r="AA1176" s="160"/>
      <c r="AB1176" s="160"/>
      <c r="AC1176" s="160"/>
      <c r="AD1176" s="160"/>
      <c r="AE1176" s="160"/>
      <c r="AF1176" s="160"/>
      <c r="AG1176" s="160"/>
      <c r="AH1176" s="160"/>
      <c r="AI1176" s="160"/>
      <c r="AJ1176" s="179"/>
      <c r="AK1176" s="160"/>
      <c r="AL1176" s="177"/>
      <c r="AM1176" s="177"/>
      <c r="AN1176" s="177"/>
      <c r="AO1176" s="160">
        <f>IF($AU$1129&gt;0,'Assumptions (Nuclear)'!$V$14*Model!$AU$1129*'Assumptions (Nuclear)'!AN$2/10^9,0)</f>
        <v>2.039742819</v>
      </c>
      <c r="AP1176" s="160">
        <f>IF($AU$1129&gt;0,'Assumptions (Nuclear)'!$V$14*Model!$AU$1129*'Assumptions (Nuclear)'!AO$2/10^9,0)</f>
        <v>2.063529628</v>
      </c>
      <c r="AQ1176" s="160">
        <f>IF($AU$1129&gt;0,'Assumptions (Nuclear)'!$V$14*Model!$AU$1129*'Assumptions (Nuclear)'!AP$2/10^9,0)</f>
        <v>2.086802151</v>
      </c>
      <c r="AR1176" s="160">
        <f>IF($AU$1129&gt;0,'Assumptions (Nuclear)'!$V$14*Model!$AU$1129*'Assumptions (Nuclear)'!AQ$2/10^9,0)</f>
        <v>2.113932203</v>
      </c>
      <c r="AS1176" s="160">
        <f>IF($AU$1129&gt;0,'Assumptions (Nuclear)'!$V$14*Model!$AU$1129*'Assumptions (Nuclear)'!AR$2/10^9,0)</f>
        <v>2.138557322</v>
      </c>
      <c r="AT1176" s="160">
        <f>IF($AU$1129&gt;0,'Assumptions (Nuclear)'!$V$14*Model!$AU$1129*'Assumptions (Nuclear)'!AS$2/10^9,0)</f>
        <v>2.164750339</v>
      </c>
      <c r="AU1176" s="160"/>
      <c r="AV1176" s="160"/>
      <c r="AW1176" s="160"/>
      <c r="AX1176" s="160"/>
      <c r="AY1176" s="160"/>
      <c r="AZ1176" s="160"/>
      <c r="BA1176" s="160"/>
    </row>
    <row r="1177" ht="15.75" hidden="1" customHeight="1" outlineLevel="1">
      <c r="A1177" s="262"/>
      <c r="B1177" s="38"/>
      <c r="C1177" s="174"/>
      <c r="D1177" s="174"/>
      <c r="E1177" s="174"/>
      <c r="F1177" s="174"/>
      <c r="G1177" s="174"/>
      <c r="H1177" s="174"/>
      <c r="I1177" s="174"/>
      <c r="J1177" s="174"/>
      <c r="K1177" s="174"/>
      <c r="L1177" s="174"/>
      <c r="M1177" s="174"/>
      <c r="N1177" s="174"/>
      <c r="O1177" s="174"/>
      <c r="P1177" s="174"/>
      <c r="Q1177" s="174"/>
      <c r="R1177" s="174"/>
      <c r="S1177" s="174"/>
      <c r="T1177" s="174"/>
      <c r="U1177" s="174"/>
      <c r="V1177" s="174"/>
      <c r="W1177" s="160"/>
      <c r="X1177" s="160"/>
      <c r="Y1177" s="160"/>
      <c r="Z1177" s="160"/>
      <c r="AA1177" s="160"/>
      <c r="AB1177" s="160"/>
      <c r="AC1177" s="160"/>
      <c r="AD1177" s="160"/>
      <c r="AE1177" s="160"/>
      <c r="AF1177" s="160"/>
      <c r="AG1177" s="160"/>
      <c r="AH1177" s="160"/>
      <c r="AI1177" s="160"/>
      <c r="AJ1177" s="179"/>
      <c r="AK1177" s="160"/>
      <c r="AL1177" s="177"/>
      <c r="AM1177" s="177"/>
      <c r="AN1177" s="177"/>
      <c r="AO1177" s="160"/>
      <c r="AP1177" s="160">
        <f>IF($AV$1129&gt;0,'Assumptions (Nuclear)'!$V$14*Model!$AV$1129*'Assumptions (Nuclear)'!AO$2/10^9,0)</f>
        <v>0.1355185367</v>
      </c>
      <c r="AQ1177" s="160">
        <f>IF($AV$1129&gt;0,'Assumptions (Nuclear)'!$V$14*Model!$AV$1129*'Assumptions (Nuclear)'!AP$2/10^9,0)</f>
        <v>0.1370469171</v>
      </c>
      <c r="AR1177" s="160">
        <f>IF($AV$1129&gt;0,'Assumptions (Nuclear)'!$V$14*Model!$AV$1129*'Assumptions (Nuclear)'!AQ$2/10^9,0)</f>
        <v>0.1388286336</v>
      </c>
      <c r="AS1177" s="160">
        <f>IF($AV$1129&gt;0,'Assumptions (Nuclear)'!$V$14*Model!$AV$1129*'Assumptions (Nuclear)'!AR$2/10^9,0)</f>
        <v>0.1404458433</v>
      </c>
      <c r="AT1177" s="160">
        <f>IF($AV$1129&gt;0,'Assumptions (Nuclear)'!$V$14*Model!$AV$1129*'Assumptions (Nuclear)'!AS$2/10^9,0)</f>
        <v>0.1421660219</v>
      </c>
      <c r="AU1177" s="160">
        <f>IF($AV$1129&gt;0,'Assumptions (Nuclear)'!$V$14*Model!$AV$1129*'Assumptions (Nuclear)'!AT$2/10^9,0)</f>
        <v>0.1438762357</v>
      </c>
      <c r="AV1177" s="160"/>
      <c r="AW1177" s="160"/>
      <c r="AX1177" s="160"/>
      <c r="AY1177" s="160"/>
      <c r="AZ1177" s="160"/>
      <c r="BA1177" s="160"/>
    </row>
    <row r="1178" ht="15.75" hidden="1" customHeight="1" outlineLevel="1">
      <c r="A1178" s="262"/>
      <c r="B1178" s="38"/>
      <c r="C1178" s="174"/>
      <c r="D1178" s="174"/>
      <c r="E1178" s="174"/>
      <c r="F1178" s="174"/>
      <c r="G1178" s="174"/>
      <c r="H1178" s="174"/>
      <c r="I1178" s="174"/>
      <c r="J1178" s="174"/>
      <c r="K1178" s="174"/>
      <c r="L1178" s="174"/>
      <c r="M1178" s="174"/>
      <c r="N1178" s="174"/>
      <c r="O1178" s="174"/>
      <c r="P1178" s="174"/>
      <c r="Q1178" s="174"/>
      <c r="R1178" s="174"/>
      <c r="S1178" s="174"/>
      <c r="T1178" s="174"/>
      <c r="U1178" s="174"/>
      <c r="V1178" s="174"/>
      <c r="W1178" s="160"/>
      <c r="X1178" s="160"/>
      <c r="Y1178" s="160"/>
      <c r="Z1178" s="160"/>
      <c r="AA1178" s="160"/>
      <c r="AB1178" s="160"/>
      <c r="AC1178" s="160"/>
      <c r="AD1178" s="160"/>
      <c r="AE1178" s="160"/>
      <c r="AF1178" s="160"/>
      <c r="AG1178" s="160"/>
      <c r="AH1178" s="160"/>
      <c r="AI1178" s="160"/>
      <c r="AJ1178" s="179"/>
      <c r="AK1178" s="160"/>
      <c r="AL1178" s="177"/>
      <c r="AM1178" s="177"/>
      <c r="AN1178" s="177"/>
      <c r="AO1178" s="160"/>
      <c r="AP1178" s="160"/>
      <c r="AQ1178" s="160">
        <f>IF($AW$1129&gt;0,'Assumptions (Nuclear)'!$V$14*Model!$AW$1129*'Assumptions (Nuclear)'!AP$2/10^9,0)</f>
        <v>3.731274119</v>
      </c>
      <c r="AR1178" s="160">
        <f>IF($AW$1129&gt;0,'Assumptions (Nuclear)'!$V$14*Model!$AW$1129*'Assumptions (Nuclear)'!AQ$2/10^9,0)</f>
        <v>3.779783587</v>
      </c>
      <c r="AS1178" s="160">
        <f>IF($AW$1129&gt;0,'Assumptions (Nuclear)'!$V$14*Model!$AW$1129*'Assumptions (Nuclear)'!AR$2/10^9,0)</f>
        <v>3.823814147</v>
      </c>
      <c r="AT1178" s="160">
        <f>IF($AW$1129&gt;0,'Assumptions (Nuclear)'!$V$14*Model!$AW$1129*'Assumptions (Nuclear)'!AS$2/10^9,0)</f>
        <v>3.870648165</v>
      </c>
      <c r="AU1178" s="160">
        <f>IF($AW$1129&gt;0,'Assumptions (Nuclear)'!$V$14*Model!$AW$1129*'Assumptions (Nuclear)'!AT$2/10^9,0)</f>
        <v>3.917210881</v>
      </c>
      <c r="AV1178" s="160">
        <f>IF($AW$1129&gt;0,'Assumptions (Nuclear)'!$V$14*Model!$AW$1129*'Assumptions (Nuclear)'!AU$2/10^9,0)</f>
        <v>3.966740715</v>
      </c>
      <c r="AW1178" s="160"/>
      <c r="AX1178" s="160"/>
      <c r="AY1178" s="160"/>
      <c r="AZ1178" s="160"/>
      <c r="BA1178" s="160"/>
    </row>
    <row r="1179" ht="15.75" hidden="1" customHeight="1" outlineLevel="1">
      <c r="A1179" s="262"/>
      <c r="B1179" s="38"/>
      <c r="C1179" s="174"/>
      <c r="D1179" s="174"/>
      <c r="E1179" s="174"/>
      <c r="F1179" s="174"/>
      <c r="G1179" s="174"/>
      <c r="H1179" s="174"/>
      <c r="I1179" s="174"/>
      <c r="J1179" s="174"/>
      <c r="K1179" s="174"/>
      <c r="L1179" s="174"/>
      <c r="M1179" s="174"/>
      <c r="N1179" s="174"/>
      <c r="O1179" s="174"/>
      <c r="P1179" s="174"/>
      <c r="Q1179" s="174"/>
      <c r="R1179" s="174"/>
      <c r="S1179" s="174"/>
      <c r="T1179" s="174"/>
      <c r="U1179" s="174"/>
      <c r="V1179" s="174"/>
      <c r="W1179" s="160"/>
      <c r="X1179" s="160"/>
      <c r="Y1179" s="160"/>
      <c r="Z1179" s="160"/>
      <c r="AA1179" s="160"/>
      <c r="AB1179" s="160"/>
      <c r="AC1179" s="160"/>
      <c r="AD1179" s="160"/>
      <c r="AE1179" s="160"/>
      <c r="AF1179" s="160"/>
      <c r="AG1179" s="160"/>
      <c r="AH1179" s="160"/>
      <c r="AI1179" s="160"/>
      <c r="AJ1179" s="179"/>
      <c r="AK1179" s="160"/>
      <c r="AL1179" s="177"/>
      <c r="AM1179" s="177"/>
      <c r="AN1179" s="177"/>
      <c r="AO1179" s="160"/>
      <c r="AP1179" s="160"/>
      <c r="AQ1179" s="160"/>
      <c r="AR1179" s="160">
        <f>IF($AX$1129&gt;0,'Assumptions (Nuclear)'!$V$14*Model!$AX$1129*'Assumptions (Nuclear)'!AQ$2/10^9,0)</f>
        <v>4.419325521</v>
      </c>
      <c r="AS1179" s="160">
        <f>IF($AX$1129&gt;0,'Assumptions (Nuclear)'!$V$14*Model!$AX$1129*'Assumptions (Nuclear)'!AR$2/10^9,0)</f>
        <v>4.470806082</v>
      </c>
      <c r="AT1179" s="160">
        <f>IF($AX$1129&gt;0,'Assumptions (Nuclear)'!$V$14*Model!$AX$1129*'Assumptions (Nuclear)'!AS$2/10^9,0)</f>
        <v>4.525564447</v>
      </c>
      <c r="AU1179" s="160">
        <f>IF($AX$1129&gt;0,'Assumptions (Nuclear)'!$V$14*Model!$AX$1129*'Assumptions (Nuclear)'!AT$2/10^9,0)</f>
        <v>4.580005606</v>
      </c>
      <c r="AV1179" s="160">
        <f>IF($AX$1129&gt;0,'Assumptions (Nuclear)'!$V$14*Model!$AX$1129*'Assumptions (Nuclear)'!AU$2/10^9,0)</f>
        <v>4.637915921</v>
      </c>
      <c r="AW1179" s="160">
        <f>IF($AX$1129&gt;0,'Assumptions (Nuclear)'!$V$14*Model!$AX$1129*'Assumptions (Nuclear)'!AV$2/10^9,0)</f>
        <v>4.6877427</v>
      </c>
      <c r="AX1179" s="160"/>
      <c r="AY1179" s="160"/>
      <c r="AZ1179" s="160"/>
      <c r="BA1179" s="160"/>
    </row>
    <row r="1180" ht="15.75" hidden="1" customHeight="1" outlineLevel="1">
      <c r="A1180" s="262"/>
      <c r="B1180" s="38"/>
      <c r="C1180" s="174"/>
      <c r="D1180" s="174"/>
      <c r="E1180" s="174"/>
      <c r="F1180" s="174"/>
      <c r="G1180" s="174"/>
      <c r="H1180" s="174"/>
      <c r="I1180" s="174"/>
      <c r="J1180" s="174"/>
      <c r="K1180" s="174"/>
      <c r="L1180" s="174"/>
      <c r="M1180" s="174"/>
      <c r="N1180" s="174"/>
      <c r="O1180" s="174"/>
      <c r="P1180" s="174"/>
      <c r="Q1180" s="174"/>
      <c r="R1180" s="174"/>
      <c r="S1180" s="174"/>
      <c r="T1180" s="174"/>
      <c r="U1180" s="174"/>
      <c r="V1180" s="174"/>
      <c r="W1180" s="160"/>
      <c r="X1180" s="160"/>
      <c r="Y1180" s="160"/>
      <c r="Z1180" s="160"/>
      <c r="AA1180" s="160"/>
      <c r="AB1180" s="160"/>
      <c r="AC1180" s="160"/>
      <c r="AD1180" s="160"/>
      <c r="AE1180" s="160"/>
      <c r="AF1180" s="160"/>
      <c r="AG1180" s="160"/>
      <c r="AH1180" s="160"/>
      <c r="AI1180" s="160"/>
      <c r="AJ1180" s="179"/>
      <c r="AK1180" s="160"/>
      <c r="AL1180" s="177"/>
      <c r="AM1180" s="177"/>
      <c r="AN1180" s="177"/>
      <c r="AO1180" s="160"/>
      <c r="AP1180" s="160"/>
      <c r="AQ1180" s="160"/>
      <c r="AR1180" s="160"/>
      <c r="AS1180" s="160">
        <f>IF($AY$1129&gt;0,'Assumptions (Nuclear)'!$V$14*Model!$AY$1129*'Assumptions (Nuclear)'!AR$2/10^9,0)</f>
        <v>2.113345591</v>
      </c>
      <c r="AT1180" s="160">
        <f>IF($AY$1129&gt;0,'Assumptions (Nuclear)'!$V$14*Model!$AY$1129*'Assumptions (Nuclear)'!AS$2/10^9,0)</f>
        <v>2.139229816</v>
      </c>
      <c r="AU1180" s="160">
        <f>IF($AY$1129&gt;0,'Assumptions (Nuclear)'!$V$14*Model!$AY$1129*'Assumptions (Nuclear)'!AT$2/10^9,0)</f>
        <v>2.164964098</v>
      </c>
      <c r="AV1180" s="160">
        <f>IF($AY$1129&gt;0,'Assumptions (Nuclear)'!$V$14*Model!$AY$1129*'Assumptions (Nuclear)'!AU$2/10^9,0)</f>
        <v>2.192338246</v>
      </c>
      <c r="AW1180" s="160">
        <f>IF($AY$1129&gt;0,'Assumptions (Nuclear)'!$V$14*Model!$AY$1129*'Assumptions (Nuclear)'!AV$2/10^9,0)</f>
        <v>2.215891315</v>
      </c>
      <c r="AX1180" s="160">
        <f>IF($AY$1129&gt;0,'Assumptions (Nuclear)'!$V$14*Model!$AY$1129*'Assumptions (Nuclear)'!AW$2/10^9,0)</f>
        <v>2.242543143</v>
      </c>
      <c r="AY1180" s="160"/>
      <c r="AZ1180" s="160"/>
      <c r="BA1180" s="160"/>
    </row>
    <row r="1181" ht="15.75" hidden="1" customHeight="1" outlineLevel="1">
      <c r="A1181" s="262"/>
      <c r="B1181" s="38"/>
      <c r="C1181" s="174"/>
      <c r="D1181" s="174"/>
      <c r="E1181" s="174"/>
      <c r="F1181" s="174"/>
      <c r="G1181" s="174"/>
      <c r="H1181" s="174"/>
      <c r="I1181" s="174"/>
      <c r="J1181" s="174"/>
      <c r="K1181" s="174"/>
      <c r="L1181" s="174"/>
      <c r="M1181" s="174"/>
      <c r="N1181" s="174"/>
      <c r="O1181" s="174"/>
      <c r="P1181" s="174"/>
      <c r="Q1181" s="174"/>
      <c r="R1181" s="174"/>
      <c r="S1181" s="174"/>
      <c r="T1181" s="174"/>
      <c r="U1181" s="174"/>
      <c r="V1181" s="174"/>
      <c r="W1181" s="160"/>
      <c r="X1181" s="160"/>
      <c r="Y1181" s="160"/>
      <c r="Z1181" s="160"/>
      <c r="AA1181" s="160"/>
      <c r="AB1181" s="160"/>
      <c r="AC1181" s="160"/>
      <c r="AD1181" s="160"/>
      <c r="AE1181" s="160"/>
      <c r="AF1181" s="160"/>
      <c r="AG1181" s="160"/>
      <c r="AH1181" s="160"/>
      <c r="AI1181" s="160"/>
      <c r="AJ1181" s="179"/>
      <c r="AK1181" s="160"/>
      <c r="AL1181" s="177"/>
      <c r="AM1181" s="177"/>
      <c r="AN1181" s="177"/>
      <c r="AO1181" s="160"/>
      <c r="AP1181" s="160"/>
      <c r="AQ1181" s="160"/>
      <c r="AR1181" s="160"/>
      <c r="AS1181" s="160"/>
      <c r="AT1181" s="160">
        <f>IF($AZ$1129&gt;0,'Assumptions (Nuclear)'!$V$14*Model!$AZ$1129*'Assumptions (Nuclear)'!AS$2/10^9,0)</f>
        <v>3.640300586</v>
      </c>
      <c r="AU1181" s="160">
        <f>IF($AZ$1129&gt;0,'Assumptions (Nuclear)'!$V$14*Model!$AZ$1129*'Assumptions (Nuclear)'!AT$2/10^9,0)</f>
        <v>3.684092291</v>
      </c>
      <c r="AV1181" s="160">
        <f>IF($AZ$1129&gt;0,'Assumptions (Nuclear)'!$V$14*Model!$AZ$1129*'Assumptions (Nuclear)'!AU$2/10^9,0)</f>
        <v>3.730674537</v>
      </c>
      <c r="AW1181" s="160">
        <f>IF($AZ$1129&gt;0,'Assumptions (Nuclear)'!$V$14*Model!$AZ$1129*'Assumptions (Nuclear)'!AV$2/10^9,0)</f>
        <v>3.770754498</v>
      </c>
      <c r="AX1181" s="160">
        <f>IF($AZ$1129&gt;0,'Assumptions (Nuclear)'!$V$14*Model!$AZ$1129*'Assumptions (Nuclear)'!AW$2/10^9,0)</f>
        <v>3.81610758</v>
      </c>
      <c r="AY1181" s="160">
        <f>IF($AZ$1129&gt;0,'Assumptions (Nuclear)'!$V$14*Model!$AZ$1129*'Assumptions (Nuclear)'!AX$2/10^9,0)</f>
        <v>3.861141441</v>
      </c>
      <c r="AZ1181" s="160"/>
      <c r="BA1181" s="160"/>
    </row>
    <row r="1182" ht="15.75" hidden="1" customHeight="1" outlineLevel="1">
      <c r="A1182" s="262"/>
      <c r="B1182" s="38"/>
      <c r="C1182" s="174"/>
      <c r="D1182" s="174"/>
      <c r="E1182" s="174"/>
      <c r="F1182" s="174"/>
      <c r="G1182" s="174"/>
      <c r="H1182" s="174"/>
      <c r="I1182" s="174"/>
      <c r="J1182" s="174"/>
      <c r="K1182" s="174"/>
      <c r="L1182" s="174"/>
      <c r="M1182" s="174"/>
      <c r="N1182" s="174"/>
      <c r="O1182" s="174"/>
      <c r="P1182" s="174"/>
      <c r="Q1182" s="174"/>
      <c r="R1182" s="174"/>
      <c r="S1182" s="174"/>
      <c r="T1182" s="174"/>
      <c r="U1182" s="174"/>
      <c r="V1182" s="174"/>
      <c r="W1182" s="160"/>
      <c r="X1182" s="160"/>
      <c r="Y1182" s="160"/>
      <c r="Z1182" s="160"/>
      <c r="AA1182" s="160"/>
      <c r="AB1182" s="160"/>
      <c r="AC1182" s="160"/>
      <c r="AD1182" s="160"/>
      <c r="AE1182" s="160"/>
      <c r="AF1182" s="160"/>
      <c r="AG1182" s="160"/>
      <c r="AH1182" s="160"/>
      <c r="AI1182" s="160"/>
      <c r="AJ1182" s="179"/>
      <c r="AK1182" s="160"/>
      <c r="AL1182" s="177"/>
      <c r="AM1182" s="177"/>
      <c r="AN1182" s="177"/>
      <c r="AO1182" s="160"/>
      <c r="AP1182" s="160"/>
      <c r="AQ1182" s="160"/>
      <c r="AR1182" s="160"/>
      <c r="AS1182" s="160"/>
      <c r="AT1182" s="160"/>
      <c r="AU1182" s="160">
        <f>IF($BA$1129&gt;0,'Assumptions (Nuclear)'!$V$14*Model!$BA$1129*'Assumptions (Nuclear)'!AT$2/10^9,0)</f>
        <v>0.1438762357</v>
      </c>
      <c r="AV1182" s="160">
        <f>IF($BA$1129&gt;0,'Assumptions (Nuclear)'!$V$14*Model!$BA$1129*'Assumptions (Nuclear)'!AU$2/10^9,0)</f>
        <v>0.1456954296</v>
      </c>
      <c r="AW1182" s="160">
        <f>IF($BA$1129&gt;0,'Assumptions (Nuclear)'!$V$14*Model!$BA$1129*'Assumptions (Nuclear)'!AV$2/10^9,0)</f>
        <v>0.1472606874</v>
      </c>
      <c r="AX1182" s="160">
        <f>IF($BA$1129&gt;0,'Assumptions (Nuclear)'!$V$14*Model!$BA$1129*'Assumptions (Nuclear)'!AW$2/10^9,0)</f>
        <v>0.1490318782</v>
      </c>
      <c r="AY1182" s="160">
        <f>IF($BA$1129&gt;0,'Assumptions (Nuclear)'!$V$14*Model!$BA$1129*'Assumptions (Nuclear)'!AX$2/10^9,0)</f>
        <v>0.1507906025</v>
      </c>
      <c r="AZ1182" s="160">
        <f>IF($BA$1129&gt;0,'Assumptions (Nuclear)'!$V$14*Model!$BA$1129*'Assumptions (Nuclear)'!AY$2/10^9,0)</f>
        <v>0.1525872524</v>
      </c>
      <c r="BA1182" s="160"/>
    </row>
    <row r="1183" ht="15.75" customHeight="1" collapsed="1">
      <c r="A1183" s="261" t="s">
        <v>52</v>
      </c>
      <c r="B1183" s="150" t="s">
        <v>351</v>
      </c>
      <c r="C1183" s="176">
        <f>'Assumptions (Nuclear)'!$V$5*Model!C1131</f>
        <v>0</v>
      </c>
      <c r="D1183" s="176">
        <f>'Assumptions (Nuclear)'!$V$5*Model!D1131</f>
        <v>0</v>
      </c>
      <c r="E1183" s="176">
        <f>'Assumptions (Nuclear)'!$V$5*Model!E1131</f>
        <v>0</v>
      </c>
      <c r="F1183" s="176">
        <f>'Assumptions (Nuclear)'!$V$5*Model!F1131</f>
        <v>0</v>
      </c>
      <c r="G1183" s="176">
        <f>'Assumptions (Nuclear)'!$V$5*Model!G1131</f>
        <v>0</v>
      </c>
      <c r="H1183" s="176">
        <f>'Assumptions (Nuclear)'!$V$5*Model!H1131</f>
        <v>0</v>
      </c>
      <c r="I1183" s="176">
        <f>'Assumptions (Nuclear)'!$V$5*Model!I1131</f>
        <v>0</v>
      </c>
      <c r="J1183" s="176">
        <f>'Assumptions (Nuclear)'!$V$5*Model!J1131</f>
        <v>0</v>
      </c>
      <c r="K1183" s="176">
        <f>'Assumptions (Nuclear)'!$V$5*Model!K1131</f>
        <v>0</v>
      </c>
      <c r="L1183" s="176">
        <f>'Assumptions (Nuclear)'!$V$5*Model!L1131</f>
        <v>0</v>
      </c>
      <c r="M1183" s="176">
        <f>'Assumptions (Nuclear)'!$V$5*Model!M1131</f>
        <v>0.529528974</v>
      </c>
      <c r="N1183" s="176">
        <f>'Assumptions (Nuclear)'!$V$5*Model!N1131</f>
        <v>0.5405903821</v>
      </c>
      <c r="O1183" s="176">
        <f>'Assumptions (Nuclear)'!$V$5*Model!O1131</f>
        <v>0.5509580457</v>
      </c>
      <c r="P1183" s="176">
        <f>'Assumptions (Nuclear)'!$V$5*Model!P1131</f>
        <v>0.5606269678</v>
      </c>
      <c r="Q1183" s="176">
        <f>'Assumptions (Nuclear)'!$V$5*Model!Q1131</f>
        <v>0.5710005982</v>
      </c>
      <c r="R1183" s="176">
        <f>'Assumptions (Nuclear)'!$V$5*Model!R1131</f>
        <v>0.6159222911</v>
      </c>
      <c r="S1183" s="176">
        <f>'Assumptions (Nuclear)'!$V$5*Model!S1131</f>
        <v>0.07875826489</v>
      </c>
      <c r="T1183" s="176">
        <f>'Assumptions (Nuclear)'!$V$5*Model!T1131</f>
        <v>0.1203626569</v>
      </c>
      <c r="U1183" s="176">
        <f>'Assumptions (Nuclear)'!$V$5*Model!U1131</f>
        <v>0.1643928423</v>
      </c>
      <c r="V1183" s="176">
        <f>'Assumptions (Nuclear)'!$V$5*Model!V1131</f>
        <v>0.2084212781</v>
      </c>
      <c r="W1183" s="176">
        <f>'Assumptions (Nuclear)'!$V$5*Model!W1131</f>
        <v>0.2536651498</v>
      </c>
      <c r="X1183" s="176">
        <f>'Assumptions (Nuclear)'!$V$5*Model!X1131</f>
        <v>0.2573048275</v>
      </c>
      <c r="Y1183" s="176">
        <f>'Assumptions (Nuclear)'!$V$5*Model!Y1131</f>
        <v>0.2609529007</v>
      </c>
      <c r="Z1183" s="176">
        <f>'Assumptions (Nuclear)'!$V$5*Model!Z1131</f>
        <v>0.2646453839</v>
      </c>
      <c r="AA1183" s="176">
        <f>'Assumptions (Nuclear)'!$V$5*Model!AA1131</f>
        <v>0.2684211546</v>
      </c>
      <c r="AB1183" s="176">
        <f>'Assumptions (Nuclear)'!$V$5*Model!AB1131</f>
        <v>0.2722042392</v>
      </c>
      <c r="AC1183" s="176">
        <f>'Assumptions (Nuclear)'!$V$5*Model!AC1131</f>
        <v>0.276032771</v>
      </c>
      <c r="AD1183" s="176">
        <f>'Assumptions (Nuclear)'!$V$5*Model!AD1131</f>
        <v>0.6974611544</v>
      </c>
      <c r="AE1183" s="176">
        <f>'Assumptions (Nuclear)'!$V$5*Model!AE1131</f>
        <v>0.7072276623</v>
      </c>
      <c r="AF1183" s="176">
        <f>'Assumptions (Nuclear)'!$V$5*Model!AF1131</f>
        <v>1.21205117</v>
      </c>
      <c r="AG1183" s="176">
        <f>'Assumptions (Nuclear)'!$V$5*Model!AG1131</f>
        <v>2.885560883</v>
      </c>
      <c r="AH1183" s="176">
        <f>'Assumptions (Nuclear)'!$V$5*Model!AH1131</f>
        <v>4.646552364</v>
      </c>
      <c r="AI1183" s="176">
        <f>'Assumptions (Nuclear)'!$V$5*Model!AI1131</f>
        <v>4.703886187</v>
      </c>
      <c r="AJ1183" s="176">
        <f>'Assumptions (Nuclear)'!$V$5*Model!AJ1131</f>
        <v>6.118225367</v>
      </c>
      <c r="AK1183" s="176">
        <f>'Assumptions (Nuclear)'!$V$5*Model!AK1131</f>
        <v>6.198772344</v>
      </c>
      <c r="AL1183" s="176">
        <f>'Assumptions (Nuclear)'!$V$5*Model!AL1131</f>
        <v>6.264952903</v>
      </c>
      <c r="AM1183" s="176">
        <f>'Assumptions (Nuclear)'!$V$5*Model!AM1131</f>
        <v>4.550150992</v>
      </c>
      <c r="AN1183" s="176">
        <f>'Assumptions (Nuclear)'!$V$5*Model!AN1131</f>
        <v>4.805108666</v>
      </c>
      <c r="AO1183" s="176">
        <f>'Assumptions (Nuclear)'!$V$5*Model!AO1131</f>
        <v>5.626780036</v>
      </c>
      <c r="AP1183" s="176">
        <f>'Assumptions (Nuclear)'!$V$5*Model!AP1131</f>
        <v>3.746346544</v>
      </c>
      <c r="AQ1183" s="176">
        <f>'Assumptions (Nuclear)'!$V$5*Model!AQ1131</f>
        <v>5.226288787</v>
      </c>
      <c r="AR1183" s="176">
        <f>'Assumptions (Nuclear)'!$V$5*Model!AR1131</f>
        <v>6.446704709</v>
      </c>
      <c r="AS1183" s="176">
        <f>'Assumptions (Nuclear)'!$V$5*Model!AS1131</f>
        <v>7.310962035</v>
      </c>
      <c r="AT1183" s="176">
        <f>'Assumptions (Nuclear)'!$V$5*Model!AT1131</f>
        <v>6.593063751</v>
      </c>
      <c r="AU1183" s="176">
        <f>'Assumptions (Nuclear)'!$V$5*Model!AU1131</f>
        <v>5.853610139</v>
      </c>
      <c r="AV1183" s="176">
        <f>'Assumptions (Nuclear)'!$V$5*Model!AV1131</f>
        <v>5.869345939</v>
      </c>
      <c r="AW1183" s="176">
        <f>'Assumptions (Nuclear)'!$V$5*Model!AW1131</f>
        <v>4.32865968</v>
      </c>
      <c r="AX1183" s="176">
        <f>'Assumptions (Nuclear)'!$V$5*Model!AX1131</f>
        <v>2.48307304</v>
      </c>
      <c r="AY1183" s="176">
        <f>'Assumptions (Nuclear)'!$V$5*Model!AY1131</f>
        <v>1.604772817</v>
      </c>
      <c r="AZ1183" s="176">
        <f>'Assumptions (Nuclear)'!$V$5*Model!AZ1131</f>
        <v>0.06103490097</v>
      </c>
      <c r="BA1183" s="176">
        <f>'Assumptions (Nuclear)'!$V$5*Model!BA1131</f>
        <v>0</v>
      </c>
    </row>
    <row r="1184" ht="15.75" customHeight="1">
      <c r="A1184" s="261" t="s">
        <v>54</v>
      </c>
      <c r="B1184" s="150" t="s">
        <v>351</v>
      </c>
      <c r="C1184" s="176">
        <f>'Assumptions (Nuclear)'!$V$6*Model!C1131</f>
        <v>0</v>
      </c>
      <c r="D1184" s="176">
        <f>'Assumptions (Nuclear)'!$V$6*Model!D1131</f>
        <v>0</v>
      </c>
      <c r="E1184" s="176">
        <f>'Assumptions (Nuclear)'!$V$6*Model!E1131</f>
        <v>0</v>
      </c>
      <c r="F1184" s="176">
        <f>'Assumptions (Nuclear)'!$V$6*Model!F1131</f>
        <v>0</v>
      </c>
      <c r="G1184" s="176">
        <f>'Assumptions (Nuclear)'!$V$6*Model!G1131</f>
        <v>0</v>
      </c>
      <c r="H1184" s="176">
        <f>'Assumptions (Nuclear)'!$V$6*Model!H1131</f>
        <v>0</v>
      </c>
      <c r="I1184" s="176">
        <f>'Assumptions (Nuclear)'!$V$6*Model!I1131</f>
        <v>0</v>
      </c>
      <c r="J1184" s="176">
        <f>'Assumptions (Nuclear)'!$V$6*Model!J1131</f>
        <v>0</v>
      </c>
      <c r="K1184" s="176">
        <f>'Assumptions (Nuclear)'!$V$6*Model!K1131</f>
        <v>0</v>
      </c>
      <c r="L1184" s="176">
        <f>'Assumptions (Nuclear)'!$V$6*Model!L1131</f>
        <v>0</v>
      </c>
      <c r="M1184" s="176">
        <f>'Assumptions (Nuclear)'!$V$6*Model!M1131</f>
        <v>0.794293461</v>
      </c>
      <c r="N1184" s="176">
        <f>'Assumptions (Nuclear)'!$V$6*Model!N1131</f>
        <v>0.8108855732</v>
      </c>
      <c r="O1184" s="176">
        <f>'Assumptions (Nuclear)'!$V$6*Model!O1131</f>
        <v>0.8264370686</v>
      </c>
      <c r="P1184" s="176">
        <f>'Assumptions (Nuclear)'!$V$6*Model!P1131</f>
        <v>0.8409404517</v>
      </c>
      <c r="Q1184" s="176">
        <f>'Assumptions (Nuclear)'!$V$6*Model!Q1131</f>
        <v>0.8565008973</v>
      </c>
      <c r="R1184" s="176">
        <f>'Assumptions (Nuclear)'!$V$6*Model!R1131</f>
        <v>0.9238834367</v>
      </c>
      <c r="S1184" s="176">
        <f>'Assumptions (Nuclear)'!$V$6*Model!S1131</f>
        <v>0.1181373973</v>
      </c>
      <c r="T1184" s="176">
        <f>'Assumptions (Nuclear)'!$V$6*Model!T1131</f>
        <v>0.1805439853</v>
      </c>
      <c r="U1184" s="176">
        <f>'Assumptions (Nuclear)'!$V$6*Model!U1131</f>
        <v>0.2465892635</v>
      </c>
      <c r="V1184" s="176">
        <f>'Assumptions (Nuclear)'!$V$6*Model!V1131</f>
        <v>0.3126319172</v>
      </c>
      <c r="W1184" s="176">
        <f>'Assumptions (Nuclear)'!$V$6*Model!W1131</f>
        <v>0.3804977247</v>
      </c>
      <c r="X1184" s="176">
        <f>'Assumptions (Nuclear)'!$V$6*Model!X1131</f>
        <v>0.3859572413</v>
      </c>
      <c r="Y1184" s="176">
        <f>'Assumptions (Nuclear)'!$V$6*Model!Y1131</f>
        <v>0.391429351</v>
      </c>
      <c r="Z1184" s="176">
        <f>'Assumptions (Nuclear)'!$V$6*Model!Z1131</f>
        <v>0.3969680758</v>
      </c>
      <c r="AA1184" s="176">
        <f>'Assumptions (Nuclear)'!$V$6*Model!AA1131</f>
        <v>0.4026317318</v>
      </c>
      <c r="AB1184" s="176">
        <f>'Assumptions (Nuclear)'!$V$6*Model!AB1131</f>
        <v>0.4083063588</v>
      </c>
      <c r="AC1184" s="176">
        <f>'Assumptions (Nuclear)'!$V$6*Model!AC1131</f>
        <v>0.4140491565</v>
      </c>
      <c r="AD1184" s="176">
        <f>'Assumptions (Nuclear)'!$V$6*Model!AD1131</f>
        <v>1.046191732</v>
      </c>
      <c r="AE1184" s="176">
        <f>'Assumptions (Nuclear)'!$V$6*Model!AE1131</f>
        <v>1.060841494</v>
      </c>
      <c r="AF1184" s="176">
        <f>'Assumptions (Nuclear)'!$V$6*Model!AF1131</f>
        <v>1.818076755</v>
      </c>
      <c r="AG1184" s="176">
        <f>'Assumptions (Nuclear)'!$V$6*Model!AG1131</f>
        <v>4.328341325</v>
      </c>
      <c r="AH1184" s="176">
        <f>'Assumptions (Nuclear)'!$V$6*Model!AH1131</f>
        <v>6.969828545</v>
      </c>
      <c r="AI1184" s="176">
        <f>'Assumptions (Nuclear)'!$V$6*Model!AI1131</f>
        <v>7.05582928</v>
      </c>
      <c r="AJ1184" s="176">
        <f>'Assumptions (Nuclear)'!$V$6*Model!AJ1131</f>
        <v>9.17733805</v>
      </c>
      <c r="AK1184" s="176">
        <f>'Assumptions (Nuclear)'!$V$6*Model!AK1131</f>
        <v>9.298158516</v>
      </c>
      <c r="AL1184" s="176">
        <f>'Assumptions (Nuclear)'!$V$6*Model!AL1131</f>
        <v>9.397429355</v>
      </c>
      <c r="AM1184" s="176">
        <f>'Assumptions (Nuclear)'!$V$6*Model!AM1131</f>
        <v>6.825226488</v>
      </c>
      <c r="AN1184" s="176">
        <f>'Assumptions (Nuclear)'!$V$6*Model!AN1131</f>
        <v>7.207662998</v>
      </c>
      <c r="AO1184" s="176">
        <f>'Assumptions (Nuclear)'!$V$6*Model!AO1131</f>
        <v>8.440170054</v>
      </c>
      <c r="AP1184" s="176">
        <f>'Assumptions (Nuclear)'!$V$6*Model!AP1131</f>
        <v>5.619519816</v>
      </c>
      <c r="AQ1184" s="176">
        <f>'Assumptions (Nuclear)'!$V$6*Model!AQ1131</f>
        <v>7.83943318</v>
      </c>
      <c r="AR1184" s="176">
        <f>'Assumptions (Nuclear)'!$V$6*Model!AR1131</f>
        <v>9.670057063</v>
      </c>
      <c r="AS1184" s="176">
        <f>'Assumptions (Nuclear)'!$V$6*Model!AS1131</f>
        <v>10.96644305</v>
      </c>
      <c r="AT1184" s="176">
        <f>'Assumptions (Nuclear)'!$V$6*Model!AT1131</f>
        <v>9.889595626</v>
      </c>
      <c r="AU1184" s="176">
        <f>'Assumptions (Nuclear)'!$V$6*Model!AU1131</f>
        <v>8.780415208</v>
      </c>
      <c r="AV1184" s="176">
        <f>'Assumptions (Nuclear)'!$V$6*Model!AV1131</f>
        <v>8.804018909</v>
      </c>
      <c r="AW1184" s="176">
        <f>'Assumptions (Nuclear)'!$V$6*Model!AW1131</f>
        <v>6.49298952</v>
      </c>
      <c r="AX1184" s="176">
        <f>'Assumptions (Nuclear)'!$V$6*Model!AX1131</f>
        <v>3.72460956</v>
      </c>
      <c r="AY1184" s="176">
        <f>'Assumptions (Nuclear)'!$V$6*Model!AY1131</f>
        <v>2.407159226</v>
      </c>
      <c r="AZ1184" s="176">
        <f>'Assumptions (Nuclear)'!$V$6*Model!AZ1131</f>
        <v>0.09155235146</v>
      </c>
      <c r="BA1184" s="176">
        <f>'Assumptions (Nuclear)'!$V$6*Model!BA1131</f>
        <v>0</v>
      </c>
    </row>
    <row r="1185" ht="15.75" customHeight="1">
      <c r="A1185" s="261" t="s">
        <v>359</v>
      </c>
      <c r="B1185" s="150" t="s">
        <v>351</v>
      </c>
      <c r="C1185" s="177">
        <f t="array" ref="C1185">SUM(IF(ISERROR(C1186:C1236),"",C1186:C1236))</f>
        <v>0</v>
      </c>
      <c r="D1185" s="177">
        <f t="array" ref="D1185">SUM(IF(ISERROR(D1186:D1236),"",D1186:D1236))</f>
        <v>0</v>
      </c>
      <c r="E1185" s="177">
        <f t="array" ref="E1185">SUM(IF(ISERROR(E1186:E1236),"",E1186:E1236))</f>
        <v>0</v>
      </c>
      <c r="F1185" s="177">
        <f t="array" ref="F1185">SUM(IF(ISERROR(F1186:F1236),"",F1186:F1236))</f>
        <v>0</v>
      </c>
      <c r="G1185" s="177">
        <f t="array" ref="G1185">SUM(IF(ISERROR(G1186:G1236),"",G1186:G1236))</f>
        <v>0</v>
      </c>
      <c r="H1185" s="177">
        <f t="array" ref="H1185">SUM(IF(ISERROR(H1186:H1236),"",H1186:H1236))</f>
        <v>0</v>
      </c>
      <c r="I1185" s="177">
        <f t="array" ref="I1185">SUM(IF(ISERROR(I1186:I1236),"",I1186:I1236))</f>
        <v>0</v>
      </c>
      <c r="J1185" s="177">
        <f t="array" ref="J1185">SUM(IF(ISERROR(J1186:J1236),"",J1186:J1236))</f>
        <v>0</v>
      </c>
      <c r="K1185" s="177">
        <f t="array" ref="K1185">SUM(IF(ISERROR(K1186:K1236),"",K1186:K1236))</f>
        <v>0</v>
      </c>
      <c r="L1185" s="177">
        <f t="array" ref="L1185">SUM(IF(ISERROR(L1186:L1236),"",L1186:L1236))</f>
        <v>0</v>
      </c>
      <c r="M1185" s="177">
        <f t="array" ref="M1185">SUM(IF(ISERROR(M1186:M1236),"",M1186:M1236))</f>
        <v>0</v>
      </c>
      <c r="N1185" s="177">
        <f t="array" ref="N1185">SUM(IF(ISERROR(N1186:N1236),"",N1186:N1236))</f>
        <v>0</v>
      </c>
      <c r="O1185" s="177">
        <f t="array" ref="O1185">SUM(IF(ISERROR(O1186:O1236),"",O1186:O1236))</f>
        <v>0</v>
      </c>
      <c r="P1185" s="177">
        <f t="array" ref="P1185">SUM(IF(ISERROR(P1186:P1236),"",P1186:P1236))</f>
        <v>0</v>
      </c>
      <c r="Q1185" s="177">
        <f t="array" ref="Q1185">SUM(IF(ISERROR(Q1186:Q1236),"",Q1186:Q1236))</f>
        <v>0</v>
      </c>
      <c r="R1185" s="177">
        <f t="array" ref="R1185">SUM(IF(ISERROR(R1186:R1236),"",R1186:R1236))</f>
        <v>0</v>
      </c>
      <c r="S1185" s="177">
        <f t="array" ref="S1185">SUM(IF(ISERROR(S1186:S1236),"",S1186:S1236))</f>
        <v>-0.1572299273</v>
      </c>
      <c r="T1185" s="177">
        <f t="array" ref="T1185">SUM(IF(ISERROR(T1186:T1236),"",T1186:T1236))</f>
        <v>-0.1646983488</v>
      </c>
      <c r="U1185" s="177">
        <f t="array" ref="U1185">SUM(IF(ISERROR(U1186:U1236),"",U1186:U1236))</f>
        <v>-0.1725215204</v>
      </c>
      <c r="V1185" s="177">
        <f t="array" ref="V1185">SUM(IF(ISERROR(V1186:V1236),"",V1186:V1236))</f>
        <v>-0.1807162926</v>
      </c>
      <c r="W1185" s="177">
        <f t="array" ref="W1185">SUM(IF(ISERROR(W1186:W1236),"",W1186:W1236))</f>
        <v>-0.1893003165</v>
      </c>
      <c r="X1185" s="177">
        <f t="array" ref="X1185">SUM(IF(ISERROR(X1186:X1236),"",X1186:X1236))</f>
        <v>-0.2097921105</v>
      </c>
      <c r="Y1185" s="177">
        <f t="array" ref="Y1185">SUM(IF(ISERROR(Y1186:Y1236),"",Y1186:Y1236))</f>
        <v>-0.2314418291</v>
      </c>
      <c r="Z1185" s="177">
        <f t="array" ref="Z1185">SUM(IF(ISERROR(Z1186:Z1236),"",Z1186:Z1236))</f>
        <v>-0.2543141307</v>
      </c>
      <c r="AA1185" s="177">
        <f t="array" ref="AA1185">SUM(IF(ISERROR(AA1186:AA1236),"",AA1186:AA1236))</f>
        <v>-0.2784611221</v>
      </c>
      <c r="AB1185" s="177">
        <f t="array" ref="AB1185">SUM(IF(ISERROR(AB1186:AB1236),"",AB1186:AB1236))</f>
        <v>-0.3039269166</v>
      </c>
      <c r="AC1185" s="177">
        <f t="array" ref="AC1185">SUM(IF(ISERROR(AC1186:AC1236),"",AC1186:AC1236))</f>
        <v>-0.3307762575</v>
      </c>
      <c r="AD1185" s="177">
        <f t="array" ref="AD1185">SUM(IF(ISERROR(AD1186:AD1236),"",AD1186:AD1236))</f>
        <v>-0.3590769794</v>
      </c>
      <c r="AE1185" s="177">
        <f t="array" ref="AE1185">SUM(IF(ISERROR(AE1186:AE1236),"",AE1186:AE1236))</f>
        <v>-0.3888985841</v>
      </c>
      <c r="AF1185" s="177">
        <f t="array" ref="AF1185">SUM(IF(ISERROR(AF1186:AF1236),"",AF1186:AF1236))</f>
        <v>-0.4203154321</v>
      </c>
      <c r="AG1185" s="177">
        <f t="array" ref="AG1185">SUM(IF(ISERROR(AG1186:AG1236),"",AG1186:AG1236))</f>
        <v>-0.453404429</v>
      </c>
      <c r="AH1185" s="177">
        <f t="array" ref="AH1185">SUM(IF(ISERROR(AH1186:AH1236),"",AH1186:AH1236))</f>
        <v>-0.1728553835</v>
      </c>
      <c r="AI1185" s="177">
        <f t="array" ref="AI1185">SUM(IF(ISERROR(AI1186:AI1236),"",AI1186:AI1236))</f>
        <v>-0.1945465492</v>
      </c>
      <c r="AJ1185" s="177">
        <f t="array" ref="AJ1185">SUM(IF(ISERROR(AJ1186:AJ1236),"",AJ1186:AJ1236))</f>
        <v>-0.3398009257</v>
      </c>
      <c r="AK1185" s="177">
        <f t="array" ref="AK1185">SUM(IF(ISERROR(AK1186:AK1236),"",AK1186:AK1236))</f>
        <v>-0.3697744793</v>
      </c>
      <c r="AL1185" s="177">
        <f t="array" ref="AL1185">SUM(IF(ISERROR(AL1186:AL1236),"",AL1186:AL1236))</f>
        <v>-0.5461500931</v>
      </c>
      <c r="AM1185" s="177">
        <f t="array" ref="AM1185">SUM(IF(ISERROR(AM1186:AM1236),"",AM1186:AM1236))</f>
        <v>-1.048075485</v>
      </c>
      <c r="AN1185" s="177">
        <f t="array" ref="AN1185">SUM(IF(ISERROR(AN1186:AN1236),"",AN1186:AN1236))</f>
        <v>-1.592855735</v>
      </c>
      <c r="AO1185" s="177">
        <f t="array" ref="AO1185">SUM(IF(ISERROR(AO1186:AO1236),"",AO1186:AO1236))</f>
        <v>-1.659230965</v>
      </c>
      <c r="AP1185" s="177">
        <f t="array" ref="AP1185">SUM(IF(ISERROR(AP1186:AP1236),"",AP1186:AP1236))</f>
        <v>-2.257146844</v>
      </c>
      <c r="AQ1185" s="177">
        <f t="array" ref="AQ1185">SUM(IF(ISERROR(AQ1186:AQ1236),"",AQ1186:AQ1236))</f>
        <v>-2.354717045</v>
      </c>
      <c r="AR1185" s="177">
        <f t="array" ref="AR1185">SUM(IF(ISERROR(AR1186:AR1236),"",AR1186:AR1236))</f>
        <v>-2.608805536</v>
      </c>
      <c r="AS1185" s="177">
        <f t="array" ref="AS1185">SUM(IF(ISERROR(AS1186:AS1236),"",AS1186:AS1236))</f>
        <v>-2.722739526</v>
      </c>
      <c r="AT1185" s="177">
        <f t="array" ref="AT1185">SUM(IF(ISERROR(AT1186:AT1236),"",AT1186:AT1236))</f>
        <v>-3.441568329</v>
      </c>
      <c r="AU1185" s="177">
        <f t="array" ref="AU1185">SUM(IF(ISERROR(AU1186:AU1236),"",AU1186:AU1236))</f>
        <v>-3.817210729</v>
      </c>
      <c r="AV1185" s="177">
        <f t="array" ref="AV1185">SUM(IF(ISERROR(AV1186:AV1236),"",AV1186:AV1236))</f>
        <v>-3.988029005</v>
      </c>
      <c r="AW1185" s="177">
        <f t="array" ref="AW1185">SUM(IF(ISERROR(AW1186:AW1236),"",AW1186:AW1236))</f>
        <v>-4.586900993</v>
      </c>
      <c r="AX1185" s="177">
        <f t="array" ref="AX1185">SUM(IF(ISERROR(AX1186:AX1236),"",AX1186:AX1236))</f>
        <v>-5.293796361</v>
      </c>
      <c r="AY1185" s="177">
        <f t="array" ref="AY1185">SUM(IF(ISERROR(AY1186:AY1236),"",AY1186:AY1236))</f>
        <v>-5.519261838</v>
      </c>
      <c r="AZ1185" s="177">
        <f t="array" ref="AZ1185">SUM(IF(ISERROR(AZ1186:AZ1236),"",AZ1186:AZ1236))</f>
        <v>-6.17872728</v>
      </c>
      <c r="BA1185" s="177">
        <f t="array" ref="BA1185">SUM(IF(ISERROR(BA1186:BA1236),"",BA1186:BA1236))</f>
        <v>-6.170452717</v>
      </c>
      <c r="BB1185" s="177">
        <f t="array" ref="BB1185">SUM(IF(ISERROR(BB1186:BB1236),"",BB1186:BB1236))</f>
        <v>-5.462499593</v>
      </c>
      <c r="BC1185" s="177">
        <f t="array" ref="BC1185">SUM(IF(ISERROR(BC1186:BC1236),"",BC1186:BC1236))</f>
        <v>-4.682036984</v>
      </c>
      <c r="BD1185" s="177">
        <f t="array" ref="BD1185">SUM(IF(ISERROR(BD1186:BD1236),"",BD1186:BD1236))</f>
        <v>-4.875263136</v>
      </c>
      <c r="BE1185" s="177">
        <f t="array" ref="BE1185">SUM(IF(ISERROR(BE1186:BE1236),"",BE1186:BE1236))</f>
        <v>-4.017013996</v>
      </c>
      <c r="BF1185" s="177">
        <f t="array" ref="BF1185">SUM(IF(ISERROR(BF1186:BF1236),"",BF1186:BF1236))</f>
        <v>-4.177922562</v>
      </c>
      <c r="BG1185" s="177">
        <f t="array" ref="BG1185">SUM(IF(ISERROR(BG1186:BG1236),"",BG1186:BG1236))</f>
        <v>-4.041110124</v>
      </c>
      <c r="BH1185" s="177">
        <f t="array" ref="BH1185">SUM(IF(ISERROR(BH1186:BH1236),"",BH1186:BH1236))</f>
        <v>-4.20243715</v>
      </c>
      <c r="BI1185" s="177">
        <f t="array" ref="BI1185">SUM(IF(ISERROR(BI1186:BI1236),"",BI1186:BI1236))</f>
        <v>-3.168210479</v>
      </c>
      <c r="BJ1185" s="177">
        <f t="array" ref="BJ1185">SUM(IF(ISERROR(BJ1186:BJ1236),"",BJ1186:BJ1236))</f>
        <v>-2.841028826</v>
      </c>
      <c r="BK1185" s="177">
        <f t="array" ref="BK1185">SUM(IF(ISERROR(BK1186:BK1236),"",BK1186:BK1236))</f>
        <v>-2.944231635</v>
      </c>
      <c r="BL1185" s="177">
        <f t="array" ref="BL1185">SUM(IF(ISERROR(BL1186:BL1236),"",BL1186:BL1236))</f>
        <v>-2.20925826</v>
      </c>
      <c r="BM1185" s="177">
        <f t="array" ref="BM1185">SUM(IF(ISERROR(BM1186:BM1236),"",BM1186:BM1236))</f>
        <v>-1.279033931</v>
      </c>
      <c r="BN1185" s="177">
        <f t="array" ref="BN1185">SUM(IF(ISERROR(BN1186:BN1236),"",BN1186:BN1236))</f>
        <v>-0.8446499001</v>
      </c>
      <c r="BO1185" s="177">
        <f t="array" ref="BO1185">SUM(IF(ISERROR(BO1186:BO1236),"",BO1186:BO1236))</f>
        <v>-0.03216420778</v>
      </c>
      <c r="BP1185" s="177">
        <f t="array" ref="BP1185">SUM(IF(ISERROR(BP1186:BP1236),"",BP1186:BP1236))</f>
        <v>0</v>
      </c>
      <c r="BQ1185" s="177"/>
    </row>
    <row r="1186" ht="15.75" hidden="1" customHeight="1" outlineLevel="1">
      <c r="A1186" s="262"/>
      <c r="B1186" s="38"/>
      <c r="C1186" s="177">
        <f>IF($C$1129&gt;0,PPMT('Assumptions (Nuclear)'!$V$7,Model!W$1,'Assumptions (Nuclear)'!$V$10,'Assumptions (Nuclear)'!$V$5*Model!$C$1129*'Assumptions (Nuclear)'!$B$2/10^9),0)</f>
        <v>0</v>
      </c>
      <c r="D1186" s="177">
        <f>IF($C$1129&gt;0,PPMT('Assumptions (Nuclear)'!$V$7,Model!X$1,'Assumptions (Nuclear)'!$V$10,'Assumptions (Nuclear)'!$V$5*Model!$C$1129*'Assumptions (Nuclear)'!$B$2/10^9),0)</f>
        <v>0</v>
      </c>
      <c r="E1186" s="177">
        <f>IF($C$1129&gt;0,PPMT('Assumptions (Nuclear)'!$V$7,Model!Y$1,'Assumptions (Nuclear)'!$V$10,'Assumptions (Nuclear)'!$V$5*Model!$C$1129*'Assumptions (Nuclear)'!$B$2/10^9),0)</f>
        <v>0</v>
      </c>
      <c r="F1186" s="177">
        <f>IF($C$1129&gt;0,PPMT('Assumptions (Nuclear)'!$V$7,Model!Z$1,'Assumptions (Nuclear)'!$V$10,'Assumptions (Nuclear)'!$V$5*Model!$C$1129*'Assumptions (Nuclear)'!$B$2/10^9),0)</f>
        <v>0</v>
      </c>
      <c r="G1186" s="177">
        <f>IF($C$1129&gt;0,PPMT('Assumptions (Nuclear)'!$V$7,Model!AA$1,'Assumptions (Nuclear)'!$V$10,'Assumptions (Nuclear)'!$V$5*Model!$C$1129*'Assumptions (Nuclear)'!$B$2/10^9),0)</f>
        <v>0</v>
      </c>
      <c r="H1186" s="177">
        <f>IF($C$1129&gt;0,PPMT('Assumptions (Nuclear)'!$V$7,Model!AB$1,'Assumptions (Nuclear)'!$V$10,'Assumptions (Nuclear)'!$V$5*Model!$C$1129*'Assumptions (Nuclear)'!$B$2/10^9),0)</f>
        <v>0</v>
      </c>
      <c r="I1186" s="177">
        <f>IF($C$1129&gt;0,PPMT('Assumptions (Nuclear)'!$V$7,Model!AC$1,'Assumptions (Nuclear)'!$V$10,'Assumptions (Nuclear)'!$V$5*Model!$C$1129*'Assumptions (Nuclear)'!$B$2/10^9),0)</f>
        <v>0</v>
      </c>
      <c r="J1186" s="177">
        <f>IF($C$1129&gt;0,PPMT('Assumptions (Nuclear)'!$V$7,Model!AD$1,'Assumptions (Nuclear)'!$V$10,'Assumptions (Nuclear)'!$V$5*Model!$C$1129*'Assumptions (Nuclear)'!$B$2/10^9),0)</f>
        <v>0</v>
      </c>
      <c r="K1186" s="177">
        <f>IF($C$1129&gt;0,PPMT('Assumptions (Nuclear)'!$V$7,Model!AE$1,'Assumptions (Nuclear)'!$V$10,'Assumptions (Nuclear)'!$V$5*Model!$C$1129*'Assumptions (Nuclear)'!$B$2/10^9),0)</f>
        <v>0</v>
      </c>
      <c r="L1186" s="177">
        <f>IF($C$1129&gt;0,PPMT('Assumptions (Nuclear)'!$V$7,Model!AF$1,'Assumptions (Nuclear)'!$V$10,'Assumptions (Nuclear)'!$V$5*Model!$C$1129*'Assumptions (Nuclear)'!$B$2/10^9),0)</f>
        <v>0</v>
      </c>
      <c r="M1186" s="177">
        <f>IF($C$1129&gt;0,PPMT('Assumptions (Nuclear)'!$V$7,Model!AG$1,'Assumptions (Nuclear)'!$V$10,'Assumptions (Nuclear)'!$V$5*Model!$C$1129*'Assumptions (Nuclear)'!$B$2/10^9),0)</f>
        <v>0</v>
      </c>
      <c r="N1186" s="177">
        <f>IF($C$1129&gt;0,PPMT('Assumptions (Nuclear)'!$V$7,Model!AH$1,'Assumptions (Nuclear)'!$V$10,'Assumptions (Nuclear)'!$V$5*Model!$C$1129*'Assumptions (Nuclear)'!$B$2/10^9),0)</f>
        <v>0</v>
      </c>
      <c r="O1186" s="177">
        <f>IF($C$1129&gt;0,PPMT('Assumptions (Nuclear)'!$V$7,Model!AI$1,'Assumptions (Nuclear)'!$V$10,'Assumptions (Nuclear)'!$V$5*Model!$C$1129*'Assumptions (Nuclear)'!$B$2/10^9),0)</f>
        <v>0</v>
      </c>
      <c r="P1186" s="177">
        <f>IF($C$1129&gt;0,PPMT('Assumptions (Nuclear)'!$V$7,Model!AJ$1,'Assumptions (Nuclear)'!$V$10,'Assumptions (Nuclear)'!$V$5*Model!$C$1129*'Assumptions (Nuclear)'!$B$2/10^9),0)</f>
        <v>0</v>
      </c>
      <c r="Q1186" s="177">
        <f>IF($C$1129&gt;0,PPMT('Assumptions (Nuclear)'!$V$7,Model!AK$1,'Assumptions (Nuclear)'!$V$10,'Assumptions (Nuclear)'!$V$5*Model!$C$1129*'Assumptions (Nuclear)'!$B$2/10^9),0)</f>
        <v>0</v>
      </c>
      <c r="R1186" s="177"/>
      <c r="S1186" s="177"/>
      <c r="T1186" s="177"/>
      <c r="U1186" s="177"/>
      <c r="V1186" s="177"/>
      <c r="W1186" s="177"/>
      <c r="X1186" s="177"/>
      <c r="Y1186" s="177"/>
      <c r="Z1186" s="177"/>
      <c r="AA1186" s="177"/>
      <c r="AB1186" s="160"/>
      <c r="AC1186" s="160"/>
      <c r="AD1186" s="160"/>
      <c r="AE1186" s="160"/>
      <c r="AF1186" s="160"/>
      <c r="AG1186" s="160"/>
      <c r="AU1186" s="95"/>
      <c r="AV1186" s="95"/>
      <c r="AW1186" s="95"/>
      <c r="AX1186" s="95"/>
      <c r="AY1186" s="95"/>
      <c r="AZ1186" s="95"/>
      <c r="BA1186" s="95"/>
    </row>
    <row r="1187" ht="15.75" hidden="1" customHeight="1" outlineLevel="1">
      <c r="A1187" s="262"/>
      <c r="B1187" s="38"/>
      <c r="C1187" s="160"/>
      <c r="D1187" s="177">
        <f>IF($D$1129&gt;0,PPMT('Assumptions (Nuclear)'!$V$7,Model!W$1,'Assumptions (Nuclear)'!$V$10,'Assumptions (Nuclear)'!$V$5*Model!$D$1129*'Assumptions (Nuclear)'!$B$2/10^9),0)</f>
        <v>0</v>
      </c>
      <c r="E1187" s="177">
        <f>IF($D$1129&gt;0,PPMT('Assumptions (Nuclear)'!$V$7,Model!X$1,'Assumptions (Nuclear)'!$V$10,'Assumptions (Nuclear)'!$V$5*Model!$D$1129*'Assumptions (Nuclear)'!$B$2/10^9),0)</f>
        <v>0</v>
      </c>
      <c r="F1187" s="177">
        <f>IF($D$1129&gt;0,PPMT('Assumptions (Nuclear)'!$V$7,Model!Y$1,'Assumptions (Nuclear)'!$V$10,'Assumptions (Nuclear)'!$V$5*Model!$D$1129*'Assumptions (Nuclear)'!$B$2/10^9),0)</f>
        <v>0</v>
      </c>
      <c r="G1187" s="177">
        <f>IF($D$1129&gt;0,PPMT('Assumptions (Nuclear)'!$V$7,Model!Z$1,'Assumptions (Nuclear)'!$V$10,'Assumptions (Nuclear)'!$V$5*Model!$D$1129*'Assumptions (Nuclear)'!$B$2/10^9),0)</f>
        <v>0</v>
      </c>
      <c r="H1187" s="177">
        <f>IF($D$1129&gt;0,PPMT('Assumptions (Nuclear)'!$V$7,Model!AA$1,'Assumptions (Nuclear)'!$V$10,'Assumptions (Nuclear)'!$V$5*Model!$D$1129*'Assumptions (Nuclear)'!$B$2/10^9),0)</f>
        <v>0</v>
      </c>
      <c r="I1187" s="177">
        <f>IF($D$1129&gt;0,PPMT('Assumptions (Nuclear)'!$V$7,Model!AB$1,'Assumptions (Nuclear)'!$V$10,'Assumptions (Nuclear)'!$V$5*Model!$D$1129*'Assumptions (Nuclear)'!$B$2/10^9),0)</f>
        <v>0</v>
      </c>
      <c r="J1187" s="177">
        <f>IF($D$1129&gt;0,PPMT('Assumptions (Nuclear)'!$V$7,Model!AC$1,'Assumptions (Nuclear)'!$V$10,'Assumptions (Nuclear)'!$V$5*Model!$D$1129*'Assumptions (Nuclear)'!$B$2/10^9),0)</f>
        <v>0</v>
      </c>
      <c r="K1187" s="177">
        <f>IF($D$1129&gt;0,PPMT('Assumptions (Nuclear)'!$V$7,Model!AD$1,'Assumptions (Nuclear)'!$V$10,'Assumptions (Nuclear)'!$V$5*Model!$D$1129*'Assumptions (Nuclear)'!$B$2/10^9),0)</f>
        <v>0</v>
      </c>
      <c r="L1187" s="177">
        <f>IF($D$1129&gt;0,PPMT('Assumptions (Nuclear)'!$V$7,Model!AE$1,'Assumptions (Nuclear)'!$V$10,'Assumptions (Nuclear)'!$V$5*Model!$D$1129*'Assumptions (Nuclear)'!$B$2/10^9),0)</f>
        <v>0</v>
      </c>
      <c r="M1187" s="177">
        <f>IF($D$1129&gt;0,PPMT('Assumptions (Nuclear)'!$V$7,Model!AF$1,'Assumptions (Nuclear)'!$V$10,'Assumptions (Nuclear)'!$V$5*Model!$D$1129*'Assumptions (Nuclear)'!$B$2/10^9),0)</f>
        <v>0</v>
      </c>
      <c r="N1187" s="177">
        <f>IF($D$1129&gt;0,PPMT('Assumptions (Nuclear)'!$V$7,Model!AG$1,'Assumptions (Nuclear)'!$V$10,'Assumptions (Nuclear)'!$V$5*Model!$D$1129*'Assumptions (Nuclear)'!$B$2/10^9),0)</f>
        <v>0</v>
      </c>
      <c r="O1187" s="177">
        <f>IF($D$1129&gt;0,PPMT('Assumptions (Nuclear)'!$V$7,Model!AH$1,'Assumptions (Nuclear)'!$V$10,'Assumptions (Nuclear)'!$V$5*Model!$D$1129*'Assumptions (Nuclear)'!$B$2/10^9),0)</f>
        <v>0</v>
      </c>
      <c r="P1187" s="177">
        <f>IF($D$1129&gt;0,PPMT('Assumptions (Nuclear)'!$V$7,Model!AI$1,'Assumptions (Nuclear)'!$V$10,'Assumptions (Nuclear)'!$V$5*Model!$D$1129*'Assumptions (Nuclear)'!$B$2/10^9),0)</f>
        <v>0</v>
      </c>
      <c r="Q1187" s="177">
        <f>IF($D$1129&gt;0,PPMT('Assumptions (Nuclear)'!$V$7,Model!AJ$1,'Assumptions (Nuclear)'!$V$10,'Assumptions (Nuclear)'!$V$5*Model!$D$1129*'Assumptions (Nuclear)'!$B$2/10^9),0)</f>
        <v>0</v>
      </c>
      <c r="R1187" s="177">
        <f>IF($D$1129&gt;0,PPMT('Assumptions (Nuclear)'!$V$7,Model!AK$1,'Assumptions (Nuclear)'!$V$10,'Assumptions (Nuclear)'!$V$5*Model!$D$1129*'Assumptions (Nuclear)'!$B$2/10^9),0)</f>
        <v>0</v>
      </c>
      <c r="S1187" s="177"/>
      <c r="T1187" s="177"/>
      <c r="U1187" s="177"/>
      <c r="V1187" s="177"/>
      <c r="W1187" s="177"/>
      <c r="X1187" s="177"/>
      <c r="Y1187" s="177"/>
      <c r="Z1187" s="177"/>
      <c r="AA1187" s="177"/>
      <c r="AB1187" s="177"/>
      <c r="AC1187" s="160"/>
      <c r="AD1187" s="160"/>
      <c r="AE1187" s="160"/>
      <c r="AF1187" s="160"/>
      <c r="AG1187" s="160"/>
      <c r="AU1187" s="95"/>
      <c r="AV1187" s="95"/>
      <c r="AW1187" s="95"/>
      <c r="AX1187" s="95"/>
      <c r="AY1187" s="95"/>
      <c r="AZ1187" s="95"/>
      <c r="BA1187" s="95"/>
    </row>
    <row r="1188" ht="15.75" hidden="1" customHeight="1" outlineLevel="1">
      <c r="A1188" s="262"/>
      <c r="B1188" s="38"/>
      <c r="C1188" s="160"/>
      <c r="D1188" s="160"/>
      <c r="E1188" s="160">
        <f>IF($E$1129&gt;0,PPMT('Assumptions (Nuclear)'!$V$7,Model!W$1,'Assumptions (Nuclear)'!$V$10,'Assumptions (Nuclear)'!$V$5*Model!$E$1129*AVERAGE('Assumptions (Nuclear)'!$B$2:$C$2)/10^9),0)</f>
        <v>0</v>
      </c>
      <c r="F1188" s="160">
        <f>IF($E$1129&gt;0,PPMT('Assumptions (Nuclear)'!$V$7,Model!X$1,'Assumptions (Nuclear)'!$V$10,'Assumptions (Nuclear)'!$V$5*Model!$E$1129*AVERAGE('Assumptions (Nuclear)'!$B$2:$C$2)/10^9),0)</f>
        <v>0</v>
      </c>
      <c r="G1188" s="160">
        <f>IF($E$1129&gt;0,PPMT('Assumptions (Nuclear)'!$V$7,Model!Y$1,'Assumptions (Nuclear)'!$V$10,'Assumptions (Nuclear)'!$V$5*Model!$E$1129*AVERAGE('Assumptions (Nuclear)'!$B$2:$C$2)/10^9),0)</f>
        <v>0</v>
      </c>
      <c r="H1188" s="160">
        <f>IF($E$1129&gt;0,PPMT('Assumptions (Nuclear)'!$V$7,Model!Z$1,'Assumptions (Nuclear)'!$V$10,'Assumptions (Nuclear)'!$V$5*Model!$E$1129*AVERAGE('Assumptions (Nuclear)'!$B$2:$C$2)/10^9),0)</f>
        <v>0</v>
      </c>
      <c r="I1188" s="160">
        <f>IF($E$1129&gt;0,PPMT('Assumptions (Nuclear)'!$V$7,Model!AA$1,'Assumptions (Nuclear)'!$V$10,'Assumptions (Nuclear)'!$V$5*Model!$E$1129*AVERAGE('Assumptions (Nuclear)'!$B$2:$C$2)/10^9),0)</f>
        <v>0</v>
      </c>
      <c r="J1188" s="160">
        <f>IF($E$1129&gt;0,PPMT('Assumptions (Nuclear)'!$V$7,Model!AB$1,'Assumptions (Nuclear)'!$V$10,'Assumptions (Nuclear)'!$V$5*Model!$E$1129*AVERAGE('Assumptions (Nuclear)'!$B$2:$C$2)/10^9),0)</f>
        <v>0</v>
      </c>
      <c r="K1188" s="160">
        <f>IF($E$1129&gt;0,PPMT('Assumptions (Nuclear)'!$V$7,Model!AC$1,'Assumptions (Nuclear)'!$V$10,'Assumptions (Nuclear)'!$V$5*Model!$E$1129*AVERAGE('Assumptions (Nuclear)'!$B$2:$C$2)/10^9),0)</f>
        <v>0</v>
      </c>
      <c r="L1188" s="160">
        <f>IF($E$1129&gt;0,PPMT('Assumptions (Nuclear)'!$V$7,Model!AD$1,'Assumptions (Nuclear)'!$V$10,'Assumptions (Nuclear)'!$V$5*Model!$E$1129*AVERAGE('Assumptions (Nuclear)'!$B$2:$C$2)/10^9),0)</f>
        <v>0</v>
      </c>
      <c r="M1188" s="160">
        <f>IF($E$1129&gt;0,PPMT('Assumptions (Nuclear)'!$V$7,Model!AE$1,'Assumptions (Nuclear)'!$V$10,'Assumptions (Nuclear)'!$V$5*Model!$E$1129*AVERAGE('Assumptions (Nuclear)'!$B$2:$C$2)/10^9),0)</f>
        <v>0</v>
      </c>
      <c r="N1188" s="177">
        <f>IF($E$1129&gt;0,PPMT('Assumptions (Nuclear)'!$V$7,Model!AF$1,'Assumptions (Nuclear)'!$V$10,'Assumptions (Nuclear)'!$V$5*Model!$E$1129*AVERAGE('Assumptions (Nuclear)'!$B$2:$C$2)/10^9),0)</f>
        <v>0</v>
      </c>
      <c r="O1188" s="160">
        <f>IF($E$1129&gt;0,PPMT('Assumptions (Nuclear)'!$V$7,Model!AG$1,'Assumptions (Nuclear)'!$V$10,'Assumptions (Nuclear)'!$V$5*Model!$E$1129*AVERAGE('Assumptions (Nuclear)'!$B$2:$C$2)/10^9),0)</f>
        <v>0</v>
      </c>
      <c r="P1188" s="160">
        <f>IF($E$1129&gt;0,PPMT('Assumptions (Nuclear)'!$V$7,Model!AH$1,'Assumptions (Nuclear)'!$V$10,'Assumptions (Nuclear)'!$V$5*Model!$E$1129*AVERAGE('Assumptions (Nuclear)'!$B$2:$C$2)/10^9),0)</f>
        <v>0</v>
      </c>
      <c r="Q1188" s="160">
        <f>IF($E$1129&gt;0,PPMT('Assumptions (Nuclear)'!$V$7,Model!AI$1,'Assumptions (Nuclear)'!$V$10,'Assumptions (Nuclear)'!$V$5*Model!$E$1129*AVERAGE('Assumptions (Nuclear)'!$B$2:$C$2)/10^9),0)</f>
        <v>0</v>
      </c>
      <c r="R1188" s="160">
        <f>IF($E$1129&gt;0,PPMT('Assumptions (Nuclear)'!$V$7,Model!AJ$1,'Assumptions (Nuclear)'!$V$10,'Assumptions (Nuclear)'!$V$5*Model!$E$1129*AVERAGE('Assumptions (Nuclear)'!$B$2:$C$2)/10^9),0)</f>
        <v>0</v>
      </c>
      <c r="S1188" s="160">
        <f>IF($E$1129&gt;0,PPMT('Assumptions (Nuclear)'!$V$7,Model!AK$1,'Assumptions (Nuclear)'!$V$10,'Assumptions (Nuclear)'!$V$5*Model!$E$1129*AVERAGE('Assumptions (Nuclear)'!$B$2:$C$2)/10^9),0)</f>
        <v>0</v>
      </c>
      <c r="T1188" s="160"/>
      <c r="U1188" s="160"/>
      <c r="V1188" s="160"/>
      <c r="W1188" s="160"/>
      <c r="X1188" s="160"/>
      <c r="Y1188" s="160"/>
      <c r="Z1188" s="160"/>
      <c r="AA1188" s="160"/>
      <c r="AB1188" s="160"/>
      <c r="AC1188" s="160"/>
      <c r="AD1188" s="160"/>
      <c r="AE1188" s="160"/>
      <c r="AF1188" s="160"/>
      <c r="AG1188" s="160"/>
      <c r="AU1188" s="95"/>
      <c r="AV1188" s="95"/>
      <c r="AW1188" s="95"/>
      <c r="AX1188" s="95"/>
      <c r="AY1188" s="95"/>
      <c r="AZ1188" s="95"/>
      <c r="BA1188" s="95"/>
    </row>
    <row r="1189" ht="15.75" hidden="1" customHeight="1" outlineLevel="1">
      <c r="A1189" s="262"/>
      <c r="B1189" s="38"/>
      <c r="C1189" s="160"/>
      <c r="D1189" s="160"/>
      <c r="E1189" s="160"/>
      <c r="F1189" s="160">
        <f>IF($F$1129&gt;0,PPMT('Assumptions (Nuclear)'!$V$7,Model!W$1,'Assumptions (Nuclear)'!$V$10,'Assumptions (Nuclear)'!$V$5*Model!$F$1129*AVERAGE('Assumptions (Nuclear)'!$B$2:$D$2)/10^9),0)</f>
        <v>0</v>
      </c>
      <c r="G1189" s="160">
        <f>IF($F$1129&gt;0,PPMT('Assumptions (Nuclear)'!$V$7,Model!X$1,'Assumptions (Nuclear)'!$V$10,'Assumptions (Nuclear)'!$V$5*Model!$F$1129*AVERAGE('Assumptions (Nuclear)'!$B$2:$D$2)/10^9),0)</f>
        <v>0</v>
      </c>
      <c r="H1189" s="160">
        <f>IF($F$1129&gt;0,PPMT('Assumptions (Nuclear)'!$V$7,Model!Y$1,'Assumptions (Nuclear)'!$V$10,'Assumptions (Nuclear)'!$V$5*Model!$F$1129*AVERAGE('Assumptions (Nuclear)'!$B$2:$D$2)/10^9),0)</f>
        <v>0</v>
      </c>
      <c r="I1189" s="160">
        <f>IF($F$1129&gt;0,PPMT('Assumptions (Nuclear)'!$V$7,Model!Z$1,'Assumptions (Nuclear)'!$V$10,'Assumptions (Nuclear)'!$V$5*Model!$F$1129*AVERAGE('Assumptions (Nuclear)'!$B$2:$D$2)/10^9),0)</f>
        <v>0</v>
      </c>
      <c r="J1189" s="160">
        <f>IF($F$1129&gt;0,PPMT('Assumptions (Nuclear)'!$V$7,Model!AA$1,'Assumptions (Nuclear)'!$V$10,'Assumptions (Nuclear)'!$V$5*Model!$F$1129*AVERAGE('Assumptions (Nuclear)'!$B$2:$D$2)/10^9),0)</f>
        <v>0</v>
      </c>
      <c r="K1189" s="160">
        <f>IF($F$1129&gt;0,PPMT('Assumptions (Nuclear)'!$V$7,Model!AB$1,'Assumptions (Nuclear)'!$V$10,'Assumptions (Nuclear)'!$V$5*Model!$F$1129*AVERAGE('Assumptions (Nuclear)'!$B$2:$D$2)/10^9),0)</f>
        <v>0</v>
      </c>
      <c r="L1189" s="160">
        <f>IF($F$1129&gt;0,PPMT('Assumptions (Nuclear)'!$V$7,Model!AC$1,'Assumptions (Nuclear)'!$V$10,'Assumptions (Nuclear)'!$V$5*Model!$F$1129*AVERAGE('Assumptions (Nuclear)'!$B$2:$D$2)/10^9),0)</f>
        <v>0</v>
      </c>
      <c r="M1189" s="160">
        <f>IF($F$1129&gt;0,PPMT('Assumptions (Nuclear)'!$V$7,Model!AD$1,'Assumptions (Nuclear)'!$V$10,'Assumptions (Nuclear)'!$V$5*Model!$F$1129*AVERAGE('Assumptions (Nuclear)'!$B$2:$D$2)/10^9),0)</f>
        <v>0</v>
      </c>
      <c r="N1189" s="177">
        <f>IF($F$1129&gt;0,PPMT('Assumptions (Nuclear)'!$V$7,Model!AE$1,'Assumptions (Nuclear)'!$V$10,'Assumptions (Nuclear)'!$V$5*Model!$F$1129*AVERAGE('Assumptions (Nuclear)'!$B$2:$D$2)/10^9),0)</f>
        <v>0</v>
      </c>
      <c r="O1189" s="160">
        <f>IF($F$1129&gt;0,PPMT('Assumptions (Nuclear)'!$V$7,Model!AF$1,'Assumptions (Nuclear)'!$V$10,'Assumptions (Nuclear)'!$V$5*Model!$F$1129*AVERAGE('Assumptions (Nuclear)'!$B$2:$D$2)/10^9),0)</f>
        <v>0</v>
      </c>
      <c r="P1189" s="160">
        <f>IF($F$1129&gt;0,PPMT('Assumptions (Nuclear)'!$V$7,Model!AG$1,'Assumptions (Nuclear)'!$V$10,'Assumptions (Nuclear)'!$V$5*Model!$F$1129*AVERAGE('Assumptions (Nuclear)'!$B$2:$D$2)/10^9),0)</f>
        <v>0</v>
      </c>
      <c r="Q1189" s="160">
        <f>IF($F$1129&gt;0,PPMT('Assumptions (Nuclear)'!$V$7,Model!AH$1,'Assumptions (Nuclear)'!$V$10,'Assumptions (Nuclear)'!$V$5*Model!$F$1129*AVERAGE('Assumptions (Nuclear)'!$B$2:$D$2)/10^9),0)</f>
        <v>0</v>
      </c>
      <c r="R1189" s="160">
        <f>IF($F$1129&gt;0,PPMT('Assumptions (Nuclear)'!$V$7,Model!AI$1,'Assumptions (Nuclear)'!$V$10,'Assumptions (Nuclear)'!$V$5*Model!$F$1129*AVERAGE('Assumptions (Nuclear)'!$B$2:$D$2)/10^9),0)</f>
        <v>0</v>
      </c>
      <c r="S1189" s="160">
        <f>IF($F$1129&gt;0,PPMT('Assumptions (Nuclear)'!$V$7,Model!AJ$1,'Assumptions (Nuclear)'!$V$10,'Assumptions (Nuclear)'!$V$5*Model!$F$1129*AVERAGE('Assumptions (Nuclear)'!$B$2:$D$2)/10^9),0)</f>
        <v>0</v>
      </c>
      <c r="T1189" s="160">
        <f>IF($F$1129&gt;0,PPMT('Assumptions (Nuclear)'!$V$7,Model!AK$1,'Assumptions (Nuclear)'!$V$10,'Assumptions (Nuclear)'!$V$5*Model!$F$1129*AVERAGE('Assumptions (Nuclear)'!$B$2:$D$2)/10^9),0)</f>
        <v>0</v>
      </c>
      <c r="U1189" s="160"/>
      <c r="V1189" s="160"/>
      <c r="W1189" s="160"/>
      <c r="X1189" s="160"/>
      <c r="Y1189" s="160"/>
      <c r="Z1189" s="160"/>
      <c r="AA1189" s="160"/>
      <c r="AB1189" s="160"/>
      <c r="AC1189" s="160"/>
      <c r="AD1189" s="160"/>
      <c r="AE1189" s="160"/>
      <c r="AF1189" s="160"/>
      <c r="AG1189" s="160"/>
      <c r="AU1189" s="95"/>
      <c r="AV1189" s="95"/>
      <c r="AW1189" s="95"/>
      <c r="AX1189" s="95"/>
      <c r="AY1189" s="95"/>
      <c r="AZ1189" s="95"/>
      <c r="BA1189" s="95"/>
    </row>
    <row r="1190" ht="15.75" hidden="1" customHeight="1" outlineLevel="1">
      <c r="A1190" s="262"/>
      <c r="B1190" s="38"/>
      <c r="C1190" s="160"/>
      <c r="D1190" s="160"/>
      <c r="E1190" s="160"/>
      <c r="F1190" s="160"/>
      <c r="G1190" s="160">
        <f>IF($G$1129&gt;0,PPMT('Assumptions (Nuclear)'!$V$7,Model!W$1,'Assumptions (Nuclear)'!$V$10,'Assumptions (Nuclear)'!$V$5*Model!$G$1129*AVERAGE('Assumptions (Nuclear)'!$B$2:$E$2)/10^9),0)</f>
        <v>0</v>
      </c>
      <c r="H1190" s="160">
        <f>IF($G$1129&gt;0,PPMT('Assumptions (Nuclear)'!$V$7,Model!X$1,'Assumptions (Nuclear)'!$V$10,'Assumptions (Nuclear)'!$V$5*Model!$G$1129*AVERAGE('Assumptions (Nuclear)'!$B$2:$E$2)/10^9),0)</f>
        <v>0</v>
      </c>
      <c r="I1190" s="160">
        <f>IF($G$1129&gt;0,PPMT('Assumptions (Nuclear)'!$V$7,Model!Y$1,'Assumptions (Nuclear)'!$V$10,'Assumptions (Nuclear)'!$V$5*Model!$G$1129*AVERAGE('Assumptions (Nuclear)'!$B$2:$E$2)/10^9),0)</f>
        <v>0</v>
      </c>
      <c r="J1190" s="160">
        <f>IF($G$1129&gt;0,PPMT('Assumptions (Nuclear)'!$V$7,Model!Z$1,'Assumptions (Nuclear)'!$V$10,'Assumptions (Nuclear)'!$V$5*Model!$G$1129*AVERAGE('Assumptions (Nuclear)'!$B$2:$E$2)/10^9),0)</f>
        <v>0</v>
      </c>
      <c r="K1190" s="160">
        <f>IF($G$1129&gt;0,PPMT('Assumptions (Nuclear)'!$V$7,Model!AA$1,'Assumptions (Nuclear)'!$V$10,'Assumptions (Nuclear)'!$V$5*Model!$G$1129*AVERAGE('Assumptions (Nuclear)'!$B$2:$E$2)/10^9),0)</f>
        <v>0</v>
      </c>
      <c r="L1190" s="160">
        <f>IF($G$1129&gt;0,PPMT('Assumptions (Nuclear)'!$V$7,Model!AB$1,'Assumptions (Nuclear)'!$V$10,'Assumptions (Nuclear)'!$V$5*Model!$G$1129*AVERAGE('Assumptions (Nuclear)'!$B$2:$E$2)/10^9),0)</f>
        <v>0</v>
      </c>
      <c r="M1190" s="160">
        <f>IF($G$1129&gt;0,PPMT('Assumptions (Nuclear)'!$V$7,Model!AC$1,'Assumptions (Nuclear)'!$V$10,'Assumptions (Nuclear)'!$V$5*Model!$G$1129*AVERAGE('Assumptions (Nuclear)'!$B$2:$E$2)/10^9),0)</f>
        <v>0</v>
      </c>
      <c r="N1190" s="177">
        <f>IF($G$1129&gt;0,PPMT('Assumptions (Nuclear)'!$V$7,Model!AD$1,'Assumptions (Nuclear)'!$V$10,'Assumptions (Nuclear)'!$V$5*Model!$G$1129*AVERAGE('Assumptions (Nuclear)'!$B$2:$E$2)/10^9),0)</f>
        <v>0</v>
      </c>
      <c r="O1190" s="160">
        <f>IF($G$1129&gt;0,PPMT('Assumptions (Nuclear)'!$V$7,Model!AE$1,'Assumptions (Nuclear)'!$V$10,'Assumptions (Nuclear)'!$V$5*Model!$G$1129*AVERAGE('Assumptions (Nuclear)'!$B$2:$E$2)/10^9),0)</f>
        <v>0</v>
      </c>
      <c r="P1190" s="160">
        <f>IF($G$1129&gt;0,PPMT('Assumptions (Nuclear)'!$V$7,Model!AF$1,'Assumptions (Nuclear)'!$V$10,'Assumptions (Nuclear)'!$V$5*Model!$G$1129*AVERAGE('Assumptions (Nuclear)'!$B$2:$E$2)/10^9),0)</f>
        <v>0</v>
      </c>
      <c r="Q1190" s="160">
        <f>IF($G$1129&gt;0,PPMT('Assumptions (Nuclear)'!$V$7,Model!AG$1,'Assumptions (Nuclear)'!$V$10,'Assumptions (Nuclear)'!$V$5*Model!$G$1129*AVERAGE('Assumptions (Nuclear)'!$B$2:$E$2)/10^9),0)</f>
        <v>0</v>
      </c>
      <c r="R1190" s="160">
        <f>IF($G$1129&gt;0,PPMT('Assumptions (Nuclear)'!$V$7,Model!AH$1,'Assumptions (Nuclear)'!$V$10,'Assumptions (Nuclear)'!$V$5*Model!$G$1129*AVERAGE('Assumptions (Nuclear)'!$B$2:$E$2)/10^9),0)</f>
        <v>0</v>
      </c>
      <c r="S1190" s="160">
        <f>IF($G$1129&gt;0,PPMT('Assumptions (Nuclear)'!$V$7,Model!AI$1,'Assumptions (Nuclear)'!$V$10,'Assumptions (Nuclear)'!$V$5*Model!$G$1129*AVERAGE('Assumptions (Nuclear)'!$B$2:$E$2)/10^9),0)</f>
        <v>0</v>
      </c>
      <c r="T1190" s="160">
        <f>IF($G$1129&gt;0,PPMT('Assumptions (Nuclear)'!$V$7,Model!AJ$1,'Assumptions (Nuclear)'!$V$10,'Assumptions (Nuclear)'!$V$5*Model!$G$1129*AVERAGE('Assumptions (Nuclear)'!$B$2:$E$2)/10^9),0)</f>
        <v>0</v>
      </c>
      <c r="U1190" s="160">
        <f>IF($G$1129&gt;0,PPMT('Assumptions (Nuclear)'!$V$7,Model!AK$1,'Assumptions (Nuclear)'!$V$10,'Assumptions (Nuclear)'!$V$5*Model!$G$1129*AVERAGE('Assumptions (Nuclear)'!$B$2:$E$2)/10^9),0)</f>
        <v>0</v>
      </c>
      <c r="V1190" s="160"/>
      <c r="W1190" s="160"/>
      <c r="X1190" s="160"/>
      <c r="Y1190" s="160"/>
      <c r="Z1190" s="160"/>
      <c r="AA1190" s="160"/>
      <c r="AB1190" s="160"/>
      <c r="AC1190" s="160"/>
      <c r="AD1190" s="160"/>
      <c r="AE1190" s="160"/>
      <c r="AF1190" s="160"/>
      <c r="AG1190" s="160"/>
      <c r="AU1190" s="95"/>
      <c r="AV1190" s="95"/>
      <c r="AW1190" s="95"/>
      <c r="AX1190" s="95"/>
      <c r="AY1190" s="95"/>
      <c r="AZ1190" s="95"/>
      <c r="BA1190" s="95"/>
    </row>
    <row r="1191" ht="15.75" hidden="1" customHeight="1" outlineLevel="1">
      <c r="A1191" s="262"/>
      <c r="B1191" s="38"/>
      <c r="C1191" s="160"/>
      <c r="D1191" s="160"/>
      <c r="E1191" s="160"/>
      <c r="F1191" s="160"/>
      <c r="G1191" s="160"/>
      <c r="H1191" s="160">
        <f>IF($H$1129&gt;0,PPMT('Assumptions (Nuclear)'!$V$7,Model!W$1,'Assumptions (Nuclear)'!$V$10,'Assumptions (Nuclear)'!$V$5*Model!$H$1129*AVERAGE('Assumptions (Nuclear)'!$B$2:$F$2)/10^9),0)</f>
        <v>0</v>
      </c>
      <c r="I1191" s="160">
        <f>IF($H$1129&gt;0,PPMT('Assumptions (Nuclear)'!$V$7,Model!X$1,'Assumptions (Nuclear)'!$V$10,'Assumptions (Nuclear)'!$V$5*Model!$H$1129*AVERAGE('Assumptions (Nuclear)'!$B$2:$F$2)/10^9),0)</f>
        <v>0</v>
      </c>
      <c r="J1191" s="160">
        <f>IF($H$1129&gt;0,PPMT('Assumptions (Nuclear)'!$V$7,Model!Y$1,'Assumptions (Nuclear)'!$V$10,'Assumptions (Nuclear)'!$V$5*Model!$H$1129*AVERAGE('Assumptions (Nuclear)'!$B$2:$F$2)/10^9),0)</f>
        <v>0</v>
      </c>
      <c r="K1191" s="160">
        <f>IF($H$1129&gt;0,PPMT('Assumptions (Nuclear)'!$V$7,Model!Z$1,'Assumptions (Nuclear)'!$V$10,'Assumptions (Nuclear)'!$V$5*Model!$H$1129*AVERAGE('Assumptions (Nuclear)'!$B$2:$F$2)/10^9),0)</f>
        <v>0</v>
      </c>
      <c r="L1191" s="160">
        <f>IF($H$1129&gt;0,PPMT('Assumptions (Nuclear)'!$V$7,Model!AA$1,'Assumptions (Nuclear)'!$V$10,'Assumptions (Nuclear)'!$V$5*Model!$H$1129*AVERAGE('Assumptions (Nuclear)'!$B$2:$F$2)/10^9),0)</f>
        <v>0</v>
      </c>
      <c r="M1191" s="160">
        <f>IF($H$1129&gt;0,PPMT('Assumptions (Nuclear)'!$V$7,Model!AB$1,'Assumptions (Nuclear)'!$V$10,'Assumptions (Nuclear)'!$V$5*Model!$H$1129*AVERAGE('Assumptions (Nuclear)'!$B$2:$F$2)/10^9),0)</f>
        <v>0</v>
      </c>
      <c r="N1191" s="177">
        <f>IF($H$1129&gt;0,PPMT('Assumptions (Nuclear)'!$V$7,Model!AC$1,'Assumptions (Nuclear)'!$V$10,'Assumptions (Nuclear)'!$V$5*Model!$H$1129*AVERAGE('Assumptions (Nuclear)'!$B$2:$F$2)/10^9),0)</f>
        <v>0</v>
      </c>
      <c r="O1191" s="160">
        <f>IF($H$1129&gt;0,PPMT('Assumptions (Nuclear)'!$V$7,Model!AD$1,'Assumptions (Nuclear)'!$V$10,'Assumptions (Nuclear)'!$V$5*Model!$H$1129*AVERAGE('Assumptions (Nuclear)'!$B$2:$F$2)/10^9),0)</f>
        <v>0</v>
      </c>
      <c r="P1191" s="160">
        <f>IF($H$1129&gt;0,PPMT('Assumptions (Nuclear)'!$V$7,Model!AE$1,'Assumptions (Nuclear)'!$V$10,'Assumptions (Nuclear)'!$V$5*Model!$H$1129*AVERAGE('Assumptions (Nuclear)'!$B$2:$F$2)/10^9),0)</f>
        <v>0</v>
      </c>
      <c r="Q1191" s="160">
        <f>IF($H$1129&gt;0,PPMT('Assumptions (Nuclear)'!$V$7,Model!AF$1,'Assumptions (Nuclear)'!$V$10,'Assumptions (Nuclear)'!$V$5*Model!$H$1129*AVERAGE('Assumptions (Nuclear)'!$B$2:$F$2)/10^9),0)</f>
        <v>0</v>
      </c>
      <c r="R1191" s="160">
        <f>IF($H$1129&gt;0,PPMT('Assumptions (Nuclear)'!$V$7,Model!AG$1,'Assumptions (Nuclear)'!$V$10,'Assumptions (Nuclear)'!$V$5*Model!$H$1129*AVERAGE('Assumptions (Nuclear)'!$B$2:$F$2)/10^9),0)</f>
        <v>0</v>
      </c>
      <c r="S1191" s="160">
        <f>IF($H$1129&gt;0,PPMT('Assumptions (Nuclear)'!$V$7,Model!AH$1,'Assumptions (Nuclear)'!$V$10,'Assumptions (Nuclear)'!$V$5*Model!$H$1129*AVERAGE('Assumptions (Nuclear)'!$B$2:$F$2)/10^9),0)</f>
        <v>0</v>
      </c>
      <c r="T1191" s="160">
        <f>IF($H$1129&gt;0,PPMT('Assumptions (Nuclear)'!$V$7,Model!AI$1,'Assumptions (Nuclear)'!$V$10,'Assumptions (Nuclear)'!$V$5*Model!$H$1129*AVERAGE('Assumptions (Nuclear)'!$B$2:$F$2)/10^9),0)</f>
        <v>0</v>
      </c>
      <c r="U1191" s="160">
        <f>IF($H$1129&gt;0,PPMT('Assumptions (Nuclear)'!$V$7,Model!AJ$1,'Assumptions (Nuclear)'!$V$10,'Assumptions (Nuclear)'!$V$5*Model!$H$1129*AVERAGE('Assumptions (Nuclear)'!$B$2:$F$2)/10^9),0)</f>
        <v>0</v>
      </c>
      <c r="V1191" s="160">
        <f>IF($H$1129&gt;0,PPMT('Assumptions (Nuclear)'!$V$7,Model!AK$1,'Assumptions (Nuclear)'!$V$10,'Assumptions (Nuclear)'!$V$5*Model!$H$1129*AVERAGE('Assumptions (Nuclear)'!$B$2:$F$2)/10^9),0)</f>
        <v>0</v>
      </c>
      <c r="W1191" s="160"/>
      <c r="X1191" s="160"/>
      <c r="Y1191" s="160"/>
      <c r="Z1191" s="160"/>
      <c r="AA1191" s="160"/>
      <c r="AB1191" s="160"/>
      <c r="AC1191" s="160"/>
      <c r="AD1191" s="160"/>
      <c r="AE1191" s="160"/>
      <c r="AF1191" s="160"/>
      <c r="AG1191" s="160"/>
      <c r="AU1191" s="95"/>
      <c r="AV1191" s="95"/>
      <c r="AW1191" s="95"/>
      <c r="AX1191" s="95"/>
      <c r="AY1191" s="95"/>
      <c r="AZ1191" s="95"/>
      <c r="BA1191" s="95"/>
    </row>
    <row r="1192" ht="15.75" hidden="1" customHeight="1" outlineLevel="1">
      <c r="A1192" s="262"/>
      <c r="B1192" s="38"/>
      <c r="C1192" s="160"/>
      <c r="D1192" s="160"/>
      <c r="E1192" s="160"/>
      <c r="F1192" s="160"/>
      <c r="G1192" s="160"/>
      <c r="H1192" s="160"/>
      <c r="I1192" s="160">
        <f>IF($I$1129&gt;0,PPMT('Assumptions (Nuclear)'!$V$7,Model!W$1,'Assumptions (Nuclear)'!$V$10,'Assumptions (Nuclear)'!$V$5*Model!$I$1129*AVERAGE('Assumptions (Nuclear)'!$B$2:$G$2)/10^9),0)</f>
        <v>0</v>
      </c>
      <c r="J1192" s="160">
        <f>IF($I$1129&gt;0,PPMT('Assumptions (Nuclear)'!$V$7,Model!X$1,'Assumptions (Nuclear)'!$V$10,'Assumptions (Nuclear)'!$V$5*Model!$I$1129*AVERAGE('Assumptions (Nuclear)'!$B$2:$G$2)/10^9),0)</f>
        <v>0</v>
      </c>
      <c r="K1192" s="160">
        <f>IF($I$1129&gt;0,PPMT('Assumptions (Nuclear)'!$V$7,Model!Y$1,'Assumptions (Nuclear)'!$V$10,'Assumptions (Nuclear)'!$V$5*Model!$I$1129*AVERAGE('Assumptions (Nuclear)'!$B$2:$G$2)/10^9),0)</f>
        <v>0</v>
      </c>
      <c r="L1192" s="160">
        <f>IF($I$1129&gt;0,PPMT('Assumptions (Nuclear)'!$V$7,Model!Z$1,'Assumptions (Nuclear)'!$V$10,'Assumptions (Nuclear)'!$V$5*Model!$I$1129*AVERAGE('Assumptions (Nuclear)'!$B$2:$G$2)/10^9),0)</f>
        <v>0</v>
      </c>
      <c r="M1192" s="160">
        <f>IF($I$1129&gt;0,PPMT('Assumptions (Nuclear)'!$V$7,Model!AA$1,'Assumptions (Nuclear)'!$V$10,'Assumptions (Nuclear)'!$V$5*Model!$I$1129*AVERAGE('Assumptions (Nuclear)'!$B$2:$G$2)/10^9),0)</f>
        <v>0</v>
      </c>
      <c r="N1192" s="177">
        <f>IF($I$1129&gt;0,PPMT('Assumptions (Nuclear)'!$V$7,Model!AB$1,'Assumptions (Nuclear)'!$V$10,'Assumptions (Nuclear)'!$V$5*Model!$I$1129*AVERAGE('Assumptions (Nuclear)'!$B$2:$G$2)/10^9),0)</f>
        <v>0</v>
      </c>
      <c r="O1192" s="160">
        <f>IF($I$1129&gt;0,PPMT('Assumptions (Nuclear)'!$V$7,Model!AC$1,'Assumptions (Nuclear)'!$V$10,'Assumptions (Nuclear)'!$V$5*Model!$I$1129*AVERAGE('Assumptions (Nuclear)'!$B$2:$G$2)/10^9),0)</f>
        <v>0</v>
      </c>
      <c r="P1192" s="160">
        <f>IF($I$1129&gt;0,PPMT('Assumptions (Nuclear)'!$V$7,Model!AD$1,'Assumptions (Nuclear)'!$V$10,'Assumptions (Nuclear)'!$V$5*Model!$I$1129*AVERAGE('Assumptions (Nuclear)'!$B$2:$G$2)/10^9),0)</f>
        <v>0</v>
      </c>
      <c r="Q1192" s="160">
        <f>IF($I$1129&gt;0,PPMT('Assumptions (Nuclear)'!$V$7,Model!AE$1,'Assumptions (Nuclear)'!$V$10,'Assumptions (Nuclear)'!$V$5*Model!$I$1129*AVERAGE('Assumptions (Nuclear)'!$B$2:$G$2)/10^9),0)</f>
        <v>0</v>
      </c>
      <c r="R1192" s="160">
        <f>IF($I$1129&gt;0,PPMT('Assumptions (Nuclear)'!$V$7,Model!AF$1,'Assumptions (Nuclear)'!$V$10,'Assumptions (Nuclear)'!$V$5*Model!$I$1129*AVERAGE('Assumptions (Nuclear)'!$B$2:$G$2)/10^9),0)</f>
        <v>0</v>
      </c>
      <c r="S1192" s="160">
        <f>IF($I$1129&gt;0,PPMT('Assumptions (Nuclear)'!$V$7,Model!AG$1,'Assumptions (Nuclear)'!$V$10,'Assumptions (Nuclear)'!$V$5*Model!$I$1129*AVERAGE('Assumptions (Nuclear)'!$B$2:$G$2)/10^9),0)</f>
        <v>0</v>
      </c>
      <c r="T1192" s="160">
        <f>IF($I$1129&gt;0,PPMT('Assumptions (Nuclear)'!$V$7,Model!AH$1,'Assumptions (Nuclear)'!$V$10,'Assumptions (Nuclear)'!$V$5*Model!$I$1129*AVERAGE('Assumptions (Nuclear)'!$B$2:$G$2)/10^9),0)</f>
        <v>0</v>
      </c>
      <c r="U1192" s="160">
        <f>IF($I$1129&gt;0,PPMT('Assumptions (Nuclear)'!$V$7,Model!AI$1,'Assumptions (Nuclear)'!$V$10,'Assumptions (Nuclear)'!$V$5*Model!$I$1129*AVERAGE('Assumptions (Nuclear)'!$B$2:$G$2)/10^9),0)</f>
        <v>0</v>
      </c>
      <c r="V1192" s="160">
        <f>IF($I$1129&gt;0,PPMT('Assumptions (Nuclear)'!$V$7,Model!AJ$1,'Assumptions (Nuclear)'!$V$10,'Assumptions (Nuclear)'!$V$5*Model!$I$1129*AVERAGE('Assumptions (Nuclear)'!$B$2:$G$2)/10^9),0)</f>
        <v>0</v>
      </c>
      <c r="W1192" s="160">
        <f>IF($I$1129&gt;0,PPMT('Assumptions (Nuclear)'!$V$7,Model!AK$1,'Assumptions (Nuclear)'!$V$10,'Assumptions (Nuclear)'!$V$5*Model!$I$1129*AVERAGE('Assumptions (Nuclear)'!$B$2:$G$2)/10^9),0)</f>
        <v>0</v>
      </c>
      <c r="X1192" s="160"/>
      <c r="Y1192" s="160"/>
      <c r="Z1192" s="160"/>
      <c r="AA1192" s="160"/>
      <c r="AB1192" s="160"/>
      <c r="AC1192" s="160"/>
      <c r="AD1192" s="160"/>
      <c r="AE1192" s="160"/>
      <c r="AF1192" s="160"/>
      <c r="AG1192" s="160"/>
      <c r="AU1192" s="95"/>
      <c r="AV1192" s="95"/>
      <c r="AW1192" s="95"/>
      <c r="AX1192" s="95"/>
      <c r="AY1192" s="95"/>
      <c r="AZ1192" s="95"/>
      <c r="BA1192" s="95"/>
    </row>
    <row r="1193" ht="15.75" hidden="1" customHeight="1" outlineLevel="1">
      <c r="A1193" s="262"/>
      <c r="B1193" s="38"/>
      <c r="C1193" s="160"/>
      <c r="D1193" s="160"/>
      <c r="E1193" s="160"/>
      <c r="F1193" s="160"/>
      <c r="G1193" s="160"/>
      <c r="H1193" s="160"/>
      <c r="I1193" s="160"/>
      <c r="J1193" s="160">
        <f>IF($J$1129&gt;0,PPMT('Assumptions (Nuclear)'!$V$7,Model!W$1,'Assumptions (Nuclear)'!$V$10,'Assumptions (Nuclear)'!$V$5*Model!$J$1129*AVERAGE('Assumptions (Nuclear)'!$C$2:$H$2)/10^9),0)</f>
        <v>0</v>
      </c>
      <c r="K1193" s="160">
        <f>IF($J$1129&gt;0,PPMT('Assumptions (Nuclear)'!$V$7,Model!X$1,'Assumptions (Nuclear)'!$V$10,'Assumptions (Nuclear)'!$V$5*Model!$J$1129*AVERAGE('Assumptions (Nuclear)'!$C$2:$H$2)/10^9),0)</f>
        <v>0</v>
      </c>
      <c r="L1193" s="160">
        <f>IF($J$1129&gt;0,PPMT('Assumptions (Nuclear)'!$V$7,Model!Y$1,'Assumptions (Nuclear)'!$V$10,'Assumptions (Nuclear)'!$V$5*Model!$J$1129*AVERAGE('Assumptions (Nuclear)'!$C$2:$H$2)/10^9),0)</f>
        <v>0</v>
      </c>
      <c r="M1193" s="160">
        <f>IF($J$1129&gt;0,PPMT('Assumptions (Nuclear)'!$V$7,Model!Z$1,'Assumptions (Nuclear)'!$V$10,'Assumptions (Nuclear)'!$V$5*Model!$J$1129*AVERAGE('Assumptions (Nuclear)'!$C$2:$H$2)/10^9),0)</f>
        <v>0</v>
      </c>
      <c r="N1193" s="177">
        <f>IF($J$1129&gt;0,PPMT('Assumptions (Nuclear)'!$V$7,Model!AA$1,'Assumptions (Nuclear)'!$V$10,'Assumptions (Nuclear)'!$V$5*Model!$J$1129*AVERAGE('Assumptions (Nuclear)'!$C$2:$H$2)/10^9),0)</f>
        <v>0</v>
      </c>
      <c r="O1193" s="160">
        <f>IF($J$1129&gt;0,PPMT('Assumptions (Nuclear)'!$V$7,Model!AB$1,'Assumptions (Nuclear)'!$V$10,'Assumptions (Nuclear)'!$V$5*Model!$J$1129*AVERAGE('Assumptions (Nuclear)'!$C$2:$H$2)/10^9),0)</f>
        <v>0</v>
      </c>
      <c r="P1193" s="160">
        <f>IF($J$1129&gt;0,PPMT('Assumptions (Nuclear)'!$V$7,Model!AC$1,'Assumptions (Nuclear)'!$V$10,'Assumptions (Nuclear)'!$V$5*Model!$J$1129*AVERAGE('Assumptions (Nuclear)'!$C$2:$H$2)/10^9),0)</f>
        <v>0</v>
      </c>
      <c r="Q1193" s="160">
        <f>IF($J$1129&gt;0,PPMT('Assumptions (Nuclear)'!$V$7,Model!AD$1,'Assumptions (Nuclear)'!$V$10,'Assumptions (Nuclear)'!$V$5*Model!$J$1129*AVERAGE('Assumptions (Nuclear)'!$C$2:$H$2)/10^9),0)</f>
        <v>0</v>
      </c>
      <c r="R1193" s="160">
        <f>IF($J$1129&gt;0,PPMT('Assumptions (Nuclear)'!$V$7,Model!AE$1,'Assumptions (Nuclear)'!$V$10,'Assumptions (Nuclear)'!$V$5*Model!$J$1129*AVERAGE('Assumptions (Nuclear)'!$C$2:$H$2)/10^9),0)</f>
        <v>0</v>
      </c>
      <c r="S1193" s="160">
        <f>IF($J$1129&gt;0,PPMT('Assumptions (Nuclear)'!$V$7,Model!AF$1,'Assumptions (Nuclear)'!$V$10,'Assumptions (Nuclear)'!$V$5*Model!$J$1129*AVERAGE('Assumptions (Nuclear)'!$C$2:$H$2)/10^9),0)</f>
        <v>0</v>
      </c>
      <c r="T1193" s="160">
        <f>IF($J$1129&gt;0,PPMT('Assumptions (Nuclear)'!$V$7,Model!AG$1,'Assumptions (Nuclear)'!$V$10,'Assumptions (Nuclear)'!$V$5*Model!$J$1129*AVERAGE('Assumptions (Nuclear)'!$C$2:$H$2)/10^9),0)</f>
        <v>0</v>
      </c>
      <c r="U1193" s="160">
        <f>IF($J$1129&gt;0,PPMT('Assumptions (Nuclear)'!$V$7,Model!AH$1,'Assumptions (Nuclear)'!$V$10,'Assumptions (Nuclear)'!$V$5*Model!$J$1129*AVERAGE('Assumptions (Nuclear)'!$C$2:$H$2)/10^9),0)</f>
        <v>0</v>
      </c>
      <c r="V1193" s="160">
        <f>IF($J$1129&gt;0,PPMT('Assumptions (Nuclear)'!$V$7,Model!AI$1,'Assumptions (Nuclear)'!$V$10,'Assumptions (Nuclear)'!$V$5*Model!$J$1129*AVERAGE('Assumptions (Nuclear)'!$C$2:$H$2)/10^9),0)</f>
        <v>0</v>
      </c>
      <c r="W1193" s="160">
        <f>IF($J$1129&gt;0,PPMT('Assumptions (Nuclear)'!$V$7,Model!AJ$1,'Assumptions (Nuclear)'!$V$10,'Assumptions (Nuclear)'!$V$5*Model!$J$1129*AVERAGE('Assumptions (Nuclear)'!$C$2:$H$2)/10^9),0)</f>
        <v>0</v>
      </c>
      <c r="X1193" s="160">
        <f>IF($J$1129&gt;0,PPMT('Assumptions (Nuclear)'!$V$7,Model!AK$1,'Assumptions (Nuclear)'!$V$10,'Assumptions (Nuclear)'!$V$5*Model!$J$1129*AVERAGE('Assumptions (Nuclear)'!$C$2:$H$2)/10^9),0)</f>
        <v>0</v>
      </c>
      <c r="Y1193" s="160"/>
      <c r="Z1193" s="160"/>
      <c r="AA1193" s="160"/>
      <c r="AB1193" s="160"/>
      <c r="AC1193" s="160"/>
      <c r="AD1193" s="160"/>
      <c r="AE1193" s="160"/>
      <c r="AF1193" s="160"/>
      <c r="AG1193" s="160"/>
      <c r="AH1193" s="160"/>
      <c r="AU1193" s="95"/>
      <c r="AV1193" s="95"/>
      <c r="AW1193" s="95"/>
      <c r="AX1193" s="95"/>
      <c r="AY1193" s="95"/>
      <c r="AZ1193" s="95"/>
      <c r="BA1193" s="95"/>
    </row>
    <row r="1194" ht="15.75" hidden="1" customHeight="1" outlineLevel="1">
      <c r="A1194" s="262"/>
      <c r="B1194" s="38"/>
      <c r="C1194" s="160"/>
      <c r="D1194" s="160"/>
      <c r="E1194" s="160"/>
      <c r="F1194" s="160"/>
      <c r="G1194" s="160"/>
      <c r="H1194" s="160"/>
      <c r="I1194" s="160"/>
      <c r="J1194" s="160"/>
      <c r="K1194" s="160">
        <f>IF($K$1129&gt;0,PPMT('Assumptions (Nuclear)'!$V$7,Model!W$1,'Assumptions (Nuclear)'!$V$10,'Assumptions (Nuclear)'!$V$5*Model!$K$1129*AVERAGE('Assumptions (Nuclear)'!$D$2:$I$2)/10^9),0)</f>
        <v>0</v>
      </c>
      <c r="L1194" s="160">
        <f>IF($K$1129&gt;0,PPMT('Assumptions (Nuclear)'!$V$7,Model!X$1,'Assumptions (Nuclear)'!$V$10,'Assumptions (Nuclear)'!$V$5*Model!$K$1129*AVERAGE('Assumptions (Nuclear)'!$D$2:$I$2)/10^9),0)</f>
        <v>0</v>
      </c>
      <c r="M1194" s="160">
        <f>IF($K$1129&gt;0,PPMT('Assumptions (Nuclear)'!$V$7,Model!Y$1,'Assumptions (Nuclear)'!$V$10,'Assumptions (Nuclear)'!$V$5*Model!$K$1129*AVERAGE('Assumptions (Nuclear)'!$D$2:$I$2)/10^9),0)</f>
        <v>0</v>
      </c>
      <c r="N1194" s="177">
        <f>IF($K$1129&gt;0,PPMT('Assumptions (Nuclear)'!$V$7,Model!Z$1,'Assumptions (Nuclear)'!$V$10,'Assumptions (Nuclear)'!$V$5*Model!$K$1129*AVERAGE('Assumptions (Nuclear)'!$D$2:$I$2)/10^9),0)</f>
        <v>0</v>
      </c>
      <c r="O1194" s="160">
        <f>IF($K$1129&gt;0,PPMT('Assumptions (Nuclear)'!$V$7,Model!AA$1,'Assumptions (Nuclear)'!$V$10,'Assumptions (Nuclear)'!$V$5*Model!$K$1129*AVERAGE('Assumptions (Nuclear)'!$D$2:$I$2)/10^9),0)</f>
        <v>0</v>
      </c>
      <c r="P1194" s="160">
        <f>IF($K$1129&gt;0,PPMT('Assumptions (Nuclear)'!$V$7,Model!AB$1,'Assumptions (Nuclear)'!$V$10,'Assumptions (Nuclear)'!$V$5*Model!$K$1129*AVERAGE('Assumptions (Nuclear)'!$D$2:$I$2)/10^9),0)</f>
        <v>0</v>
      </c>
      <c r="Q1194" s="160">
        <f>IF($K$1129&gt;0,PPMT('Assumptions (Nuclear)'!$V$7,Model!AC$1,'Assumptions (Nuclear)'!$V$10,'Assumptions (Nuclear)'!$V$5*Model!$K$1129*AVERAGE('Assumptions (Nuclear)'!$D$2:$I$2)/10^9),0)</f>
        <v>0</v>
      </c>
      <c r="R1194" s="160">
        <f>IF($K$1129&gt;0,PPMT('Assumptions (Nuclear)'!$V$7,Model!AD$1,'Assumptions (Nuclear)'!$V$10,'Assumptions (Nuclear)'!$V$5*Model!$K$1129*AVERAGE('Assumptions (Nuclear)'!$D$2:$I$2)/10^9),0)</f>
        <v>0</v>
      </c>
      <c r="S1194" s="160">
        <f>IF($K$1129&gt;0,PPMT('Assumptions (Nuclear)'!$V$7,Model!AE$1,'Assumptions (Nuclear)'!$V$10,'Assumptions (Nuclear)'!$V$5*Model!$K$1129*AVERAGE('Assumptions (Nuclear)'!$D$2:$I$2)/10^9),0)</f>
        <v>0</v>
      </c>
      <c r="T1194" s="160">
        <f>IF($K$1129&gt;0,PPMT('Assumptions (Nuclear)'!$V$7,Model!AF$1,'Assumptions (Nuclear)'!$V$10,'Assumptions (Nuclear)'!$V$5*Model!$K$1129*AVERAGE('Assumptions (Nuclear)'!$D$2:$I$2)/10^9),0)</f>
        <v>0</v>
      </c>
      <c r="U1194" s="160">
        <f>IF($K$1129&gt;0,PPMT('Assumptions (Nuclear)'!$V$7,Model!AG$1,'Assumptions (Nuclear)'!$V$10,'Assumptions (Nuclear)'!$V$5*Model!$K$1129*AVERAGE('Assumptions (Nuclear)'!$D$2:$I$2)/10^9),0)</f>
        <v>0</v>
      </c>
      <c r="V1194" s="160">
        <f>IF($K$1129&gt;0,PPMT('Assumptions (Nuclear)'!$V$7,Model!AH$1,'Assumptions (Nuclear)'!$V$10,'Assumptions (Nuclear)'!$V$5*Model!$K$1129*AVERAGE('Assumptions (Nuclear)'!$D$2:$I$2)/10^9),0)</f>
        <v>0</v>
      </c>
      <c r="W1194" s="160">
        <f>IF($K$1129&gt;0,PPMT('Assumptions (Nuclear)'!$V$7,Model!AI$1,'Assumptions (Nuclear)'!$V$10,'Assumptions (Nuclear)'!$V$5*Model!$K$1129*AVERAGE('Assumptions (Nuclear)'!$D$2:$I$2)/10^9),0)</f>
        <v>0</v>
      </c>
      <c r="X1194" s="160">
        <f>IF($K$1129&gt;0,PPMT('Assumptions (Nuclear)'!$V$7,Model!AJ$1,'Assumptions (Nuclear)'!$V$10,'Assumptions (Nuclear)'!$V$5*Model!$K$1129*AVERAGE('Assumptions (Nuclear)'!$D$2:$I$2)/10^9),0)</f>
        <v>0</v>
      </c>
      <c r="Y1194" s="160">
        <f>IF($K$1129&gt;0,PPMT('Assumptions (Nuclear)'!$V$7,Model!AK$1,'Assumptions (Nuclear)'!$V$10,'Assumptions (Nuclear)'!$V$5*Model!$K$1129*AVERAGE('Assumptions (Nuclear)'!$D$2:$I$2)/10^9),0)</f>
        <v>0</v>
      </c>
      <c r="Z1194" s="160"/>
      <c r="AA1194" s="160"/>
      <c r="AB1194" s="160"/>
      <c r="AC1194" s="160"/>
      <c r="AD1194" s="160"/>
      <c r="AE1194" s="160"/>
      <c r="AF1194" s="160"/>
      <c r="AG1194" s="160"/>
      <c r="AH1194" s="160"/>
      <c r="AI1194" s="160"/>
      <c r="AU1194" s="95"/>
      <c r="AV1194" s="95"/>
      <c r="AW1194" s="95"/>
      <c r="AX1194" s="95"/>
      <c r="AY1194" s="95"/>
      <c r="AZ1194" s="95"/>
      <c r="BA1194" s="95"/>
    </row>
    <row r="1195" ht="15.75" hidden="1" customHeight="1" outlineLevel="1">
      <c r="A1195" s="262"/>
      <c r="B1195" s="38"/>
      <c r="C1195" s="160"/>
      <c r="D1195" s="160"/>
      <c r="E1195" s="160"/>
      <c r="F1195" s="160"/>
      <c r="G1195" s="160"/>
      <c r="H1195" s="160"/>
      <c r="I1195" s="160"/>
      <c r="J1195" s="160"/>
      <c r="K1195" s="160"/>
      <c r="L1195" s="160">
        <f>IF($L$1129&gt;0,PPMT('Assumptions (Nuclear)'!$V$7,Model!W$1,'Assumptions (Nuclear)'!$V$10,'Assumptions (Nuclear)'!$V$5*Model!$L$1129*AVERAGE('Assumptions (Nuclear)'!$E$2:$J$2)/10^9),0)</f>
        <v>0</v>
      </c>
      <c r="M1195" s="160">
        <f>IF($L$1129&gt;0,PPMT('Assumptions (Nuclear)'!$V$7,Model!X$1,'Assumptions (Nuclear)'!$V$10,'Assumptions (Nuclear)'!$V$5*Model!$L$1129*AVERAGE('Assumptions (Nuclear)'!$E$2:$J$2)/10^9),0)</f>
        <v>0</v>
      </c>
      <c r="N1195" s="177">
        <f>IF($L$1129&gt;0,PPMT('Assumptions (Nuclear)'!$V$7,Model!Y$1,'Assumptions (Nuclear)'!$V$10,'Assumptions (Nuclear)'!$V$5*Model!$L$1129*AVERAGE('Assumptions (Nuclear)'!$E$2:$J$2)/10^9),0)</f>
        <v>0</v>
      </c>
      <c r="O1195" s="160">
        <f>IF($L$1129&gt;0,PPMT('Assumptions (Nuclear)'!$V$7,Model!Z$1,'Assumptions (Nuclear)'!$V$10,'Assumptions (Nuclear)'!$V$5*Model!$L$1129*AVERAGE('Assumptions (Nuclear)'!$E$2:$J$2)/10^9),0)</f>
        <v>0</v>
      </c>
      <c r="P1195" s="160">
        <f>IF($L$1129&gt;0,PPMT('Assumptions (Nuclear)'!$V$7,Model!AA$1,'Assumptions (Nuclear)'!$V$10,'Assumptions (Nuclear)'!$V$5*Model!$L$1129*AVERAGE('Assumptions (Nuclear)'!$E$2:$J$2)/10^9),0)</f>
        <v>0</v>
      </c>
      <c r="Q1195" s="160">
        <f>IF($L$1129&gt;0,PPMT('Assumptions (Nuclear)'!$V$7,Model!AB$1,'Assumptions (Nuclear)'!$V$10,'Assumptions (Nuclear)'!$V$5*Model!$L$1129*AVERAGE('Assumptions (Nuclear)'!$E$2:$J$2)/10^9),0)</f>
        <v>0</v>
      </c>
      <c r="R1195" s="160">
        <f>IF($L$1129&gt;0,PPMT('Assumptions (Nuclear)'!$V$7,Model!AC$1,'Assumptions (Nuclear)'!$V$10,'Assumptions (Nuclear)'!$V$5*Model!$L$1129*AVERAGE('Assumptions (Nuclear)'!$E$2:$J$2)/10^9),0)</f>
        <v>0</v>
      </c>
      <c r="S1195" s="160">
        <f>IF($L$1129&gt;0,PPMT('Assumptions (Nuclear)'!$V$7,Model!AD$1,'Assumptions (Nuclear)'!$V$10,'Assumptions (Nuclear)'!$V$5*Model!$L$1129*AVERAGE('Assumptions (Nuclear)'!$E$2:$J$2)/10^9),0)</f>
        <v>0</v>
      </c>
      <c r="T1195" s="160">
        <f>IF($L$1129&gt;0,PPMT('Assumptions (Nuclear)'!$V$7,Model!AE$1,'Assumptions (Nuclear)'!$V$10,'Assumptions (Nuclear)'!$V$5*Model!$L$1129*AVERAGE('Assumptions (Nuclear)'!$E$2:$J$2)/10^9),0)</f>
        <v>0</v>
      </c>
      <c r="U1195" s="160">
        <f>IF($L$1129&gt;0,PPMT('Assumptions (Nuclear)'!$V$7,Model!AF$1,'Assumptions (Nuclear)'!$V$10,'Assumptions (Nuclear)'!$V$5*Model!$L$1129*AVERAGE('Assumptions (Nuclear)'!$E$2:$J$2)/10^9),0)</f>
        <v>0</v>
      </c>
      <c r="V1195" s="160">
        <f>IF($L$1129&gt;0,PPMT('Assumptions (Nuclear)'!$V$7,Model!AG$1,'Assumptions (Nuclear)'!$V$10,'Assumptions (Nuclear)'!$V$5*Model!$L$1129*AVERAGE('Assumptions (Nuclear)'!$E$2:$J$2)/10^9),0)</f>
        <v>0</v>
      </c>
      <c r="W1195" s="160">
        <f>IF($L$1129&gt;0,PPMT('Assumptions (Nuclear)'!$V$7,Model!AH$1,'Assumptions (Nuclear)'!$V$10,'Assumptions (Nuclear)'!$V$5*Model!$L$1129*AVERAGE('Assumptions (Nuclear)'!$E$2:$J$2)/10^9),0)</f>
        <v>0</v>
      </c>
      <c r="X1195" s="160">
        <f>IF($L$1129&gt;0,PPMT('Assumptions (Nuclear)'!$V$7,Model!AI$1,'Assumptions (Nuclear)'!$V$10,'Assumptions (Nuclear)'!$V$5*Model!$L$1129*AVERAGE('Assumptions (Nuclear)'!$E$2:$J$2)/10^9),0)</f>
        <v>0</v>
      </c>
      <c r="Y1195" s="160">
        <f>IF($L$1129&gt;0,PPMT('Assumptions (Nuclear)'!$V$7,Model!AJ$1,'Assumptions (Nuclear)'!$V$10,'Assumptions (Nuclear)'!$V$5*Model!$L$1129*AVERAGE('Assumptions (Nuclear)'!$E$2:$J$2)/10^9),0)</f>
        <v>0</v>
      </c>
      <c r="Z1195" s="160">
        <f>IF($L$1129&gt;0,PPMT('Assumptions (Nuclear)'!$V$7,Model!AK$1,'Assumptions (Nuclear)'!$V$10,'Assumptions (Nuclear)'!$V$5*Model!$L$1129*AVERAGE('Assumptions (Nuclear)'!$E$2:$J$2)/10^9),0)</f>
        <v>0</v>
      </c>
      <c r="AA1195" s="160"/>
      <c r="AB1195" s="160"/>
      <c r="AC1195" s="160"/>
      <c r="AD1195" s="160"/>
      <c r="AE1195" s="160"/>
      <c r="AF1195" s="160"/>
      <c r="AG1195" s="160"/>
      <c r="AH1195" s="160"/>
      <c r="AI1195" s="160"/>
      <c r="AJ1195" s="160"/>
      <c r="AU1195" s="95"/>
      <c r="AV1195" s="95"/>
      <c r="AW1195" s="95"/>
      <c r="AX1195" s="95"/>
      <c r="AY1195" s="95"/>
      <c r="AZ1195" s="95"/>
      <c r="BA1195" s="95"/>
    </row>
    <row r="1196" ht="15.75" hidden="1" customHeight="1" outlineLevel="1">
      <c r="A1196" s="262"/>
      <c r="B1196" s="38"/>
      <c r="C1196" s="160"/>
      <c r="D1196" s="160"/>
      <c r="E1196" s="160"/>
      <c r="F1196" s="160"/>
      <c r="G1196" s="160"/>
      <c r="H1196" s="160"/>
      <c r="I1196" s="160"/>
      <c r="J1196" s="160"/>
      <c r="K1196" s="160"/>
      <c r="L1196" s="160"/>
      <c r="M1196" s="160">
        <f>IF($M$1129&gt;0,PPMT('Assumptions (Nuclear)'!$V$7,Model!W$1,'Assumptions (Nuclear)'!$V$10,'Assumptions (Nuclear)'!$V$5*Model!$M$1129*AVERAGE('Assumptions (Nuclear)'!$F$2:$K$2)/10^9),0)</f>
        <v>0</v>
      </c>
      <c r="N1196" s="177">
        <f>IF($M$1129&gt;0,PPMT('Assumptions (Nuclear)'!$V$7,Model!X$1,'Assumptions (Nuclear)'!$V$10,'Assumptions (Nuclear)'!$V$5*Model!$M$1129*AVERAGE('Assumptions (Nuclear)'!$F$2:$K$2)/10^9),0)</f>
        <v>0</v>
      </c>
      <c r="O1196" s="160">
        <f>IF($M$1129&gt;0,PPMT('Assumptions (Nuclear)'!$V$7,Model!Y$1,'Assumptions (Nuclear)'!$V$10,'Assumptions (Nuclear)'!$V$5*Model!$M$1129*AVERAGE('Assumptions (Nuclear)'!$F$2:$K$2)/10^9),0)</f>
        <v>0</v>
      </c>
      <c r="P1196" s="160">
        <f>IF($M$1129&gt;0,PPMT('Assumptions (Nuclear)'!$V$7,Model!Z$1,'Assumptions (Nuclear)'!$V$10,'Assumptions (Nuclear)'!$V$5*Model!$M$1129*AVERAGE('Assumptions (Nuclear)'!$F$2:$K$2)/10^9),0)</f>
        <v>0</v>
      </c>
      <c r="Q1196" s="160">
        <f>IF($M$1129&gt;0,PPMT('Assumptions (Nuclear)'!$V$7,Model!AA$1,'Assumptions (Nuclear)'!$V$10,'Assumptions (Nuclear)'!$V$5*Model!$M$1129*AVERAGE('Assumptions (Nuclear)'!$F$2:$K$2)/10^9),0)</f>
        <v>0</v>
      </c>
      <c r="R1196" s="160">
        <f>IF($M$1129&gt;0,PPMT('Assumptions (Nuclear)'!$V$7,Model!AB$1,'Assumptions (Nuclear)'!$V$10,'Assumptions (Nuclear)'!$V$5*Model!$M$1129*AVERAGE('Assumptions (Nuclear)'!$F$2:$K$2)/10^9),0)</f>
        <v>0</v>
      </c>
      <c r="S1196" s="160">
        <f>IF($M$1129&gt;0,PPMT('Assumptions (Nuclear)'!$V$7,Model!AC$1,'Assumptions (Nuclear)'!$V$10,'Assumptions (Nuclear)'!$V$5*Model!$M$1129*AVERAGE('Assumptions (Nuclear)'!$F$2:$K$2)/10^9),0)</f>
        <v>0</v>
      </c>
      <c r="T1196" s="160">
        <f>IF($M$1129&gt;0,PPMT('Assumptions (Nuclear)'!$V$7,Model!AD$1,'Assumptions (Nuclear)'!$V$10,'Assumptions (Nuclear)'!$V$5*Model!$M$1129*AVERAGE('Assumptions (Nuclear)'!$F$2:$K$2)/10^9),0)</f>
        <v>0</v>
      </c>
      <c r="U1196" s="160">
        <f>IF($M$1129&gt;0,PPMT('Assumptions (Nuclear)'!$V$7,Model!AE$1,'Assumptions (Nuclear)'!$V$10,'Assumptions (Nuclear)'!$V$5*Model!$M$1129*AVERAGE('Assumptions (Nuclear)'!$F$2:$K$2)/10^9),0)</f>
        <v>0</v>
      </c>
      <c r="V1196" s="160">
        <f>IF($M$1129&gt;0,PPMT('Assumptions (Nuclear)'!$V$7,Model!AF$1,'Assumptions (Nuclear)'!$V$10,'Assumptions (Nuclear)'!$V$5*Model!$M$1129*AVERAGE('Assumptions (Nuclear)'!$F$2:$K$2)/10^9),0)</f>
        <v>0</v>
      </c>
      <c r="W1196" s="160">
        <f>IF($M$1129&gt;0,PPMT('Assumptions (Nuclear)'!$V$7,Model!AG$1,'Assumptions (Nuclear)'!$V$10,'Assumptions (Nuclear)'!$V$5*Model!$M$1129*AVERAGE('Assumptions (Nuclear)'!$F$2:$K$2)/10^9),0)</f>
        <v>0</v>
      </c>
      <c r="X1196" s="160">
        <f>IF($M$1129&gt;0,PPMT('Assumptions (Nuclear)'!$V$7,Model!AH$1,'Assumptions (Nuclear)'!$V$10,'Assumptions (Nuclear)'!$V$5*Model!$M$1129*AVERAGE('Assumptions (Nuclear)'!$F$2:$K$2)/10^9),0)</f>
        <v>0</v>
      </c>
      <c r="Y1196" s="160">
        <f>IF($M$1129&gt;0,PPMT('Assumptions (Nuclear)'!$V$7,Model!AI$1,'Assumptions (Nuclear)'!$V$10,'Assumptions (Nuclear)'!$V$5*Model!$M$1129*AVERAGE('Assumptions (Nuclear)'!$F$2:$K$2)/10^9),0)</f>
        <v>0</v>
      </c>
      <c r="Z1196" s="160">
        <f>IF($M$1129&gt;0,PPMT('Assumptions (Nuclear)'!$V$7,Model!AJ$1,'Assumptions (Nuclear)'!$V$10,'Assumptions (Nuclear)'!$V$5*Model!$M$1129*AVERAGE('Assumptions (Nuclear)'!$F$2:$K$2)/10^9),0)</f>
        <v>0</v>
      </c>
      <c r="AA1196" s="160">
        <f>IF($M$1129&gt;0,PPMT('Assumptions (Nuclear)'!$V$7,Model!AK$1,'Assumptions (Nuclear)'!$V$10,'Assumptions (Nuclear)'!$V$5*Model!$M$1129*AVERAGE('Assumptions (Nuclear)'!$F$2:$K$2)/10^9),0)</f>
        <v>0</v>
      </c>
      <c r="AB1196" s="160"/>
      <c r="AC1196" s="160"/>
      <c r="AD1196" s="160"/>
      <c r="AE1196" s="160"/>
      <c r="AF1196" s="160"/>
      <c r="AG1196" s="160"/>
      <c r="AH1196" s="160"/>
      <c r="AI1196" s="160"/>
      <c r="AJ1196" s="160"/>
      <c r="AK1196" s="160"/>
      <c r="AU1196" s="95"/>
      <c r="AV1196" s="95"/>
      <c r="AW1196" s="95"/>
      <c r="AX1196" s="95"/>
      <c r="AY1196" s="95"/>
      <c r="AZ1196" s="95"/>
      <c r="BA1196" s="95"/>
    </row>
    <row r="1197" ht="15.75" hidden="1" customHeight="1" outlineLevel="1">
      <c r="A1197" s="262"/>
      <c r="B1197" s="38"/>
      <c r="C1197" s="160"/>
      <c r="D1197" s="160"/>
      <c r="E1197" s="160"/>
      <c r="F1197" s="160"/>
      <c r="G1197" s="160"/>
      <c r="H1197" s="160"/>
      <c r="I1197" s="160"/>
      <c r="J1197" s="160"/>
      <c r="K1197" s="160"/>
      <c r="L1197" s="160"/>
      <c r="M1197" s="160"/>
      <c r="N1197" s="177">
        <f>IF($N$1129&gt;0,PPMT('Assumptions (Nuclear)'!$V$7,Model!W$1,'Assumptions (Nuclear)'!$V$10,'Assumptions (Nuclear)'!$V$5*Model!$N$1129*AVERAGE('Assumptions (Nuclear)'!$G$2:$L$2)/10^9),0)</f>
        <v>0</v>
      </c>
      <c r="O1197" s="160">
        <f>IF($N$1129&gt;0,PPMT('Assumptions (Nuclear)'!$V$7,Model!X$1,'Assumptions (Nuclear)'!$V$10,'Assumptions (Nuclear)'!$V$5*Model!$N$1129*AVERAGE('Assumptions (Nuclear)'!$G$2:$L$2)/10^9),0)</f>
        <v>0</v>
      </c>
      <c r="P1197" s="160">
        <f>IF($N$1129&gt;0,PPMT('Assumptions (Nuclear)'!$V$7,Model!Y$1,'Assumptions (Nuclear)'!$V$10,'Assumptions (Nuclear)'!$V$5*Model!$N$1129*AVERAGE('Assumptions (Nuclear)'!$G$2:$L$2)/10^9),0)</f>
        <v>0</v>
      </c>
      <c r="Q1197" s="160">
        <f>IF($N$1129&gt;0,PPMT('Assumptions (Nuclear)'!$V$7,Model!Z$1,'Assumptions (Nuclear)'!$V$10,'Assumptions (Nuclear)'!$V$5*Model!$N$1129*AVERAGE('Assumptions (Nuclear)'!$G$2:$L$2)/10^9),0)</f>
        <v>0</v>
      </c>
      <c r="R1197" s="160">
        <f>IF($N$1129&gt;0,PPMT('Assumptions (Nuclear)'!$V$7,Model!AA$1,'Assumptions (Nuclear)'!$V$10,'Assumptions (Nuclear)'!$V$5*Model!$N$1129*AVERAGE('Assumptions (Nuclear)'!$G$2:$L$2)/10^9),0)</f>
        <v>0</v>
      </c>
      <c r="S1197" s="160">
        <f>IF($N$1129&gt;0,PPMT('Assumptions (Nuclear)'!$V$7,Model!AB$1,'Assumptions (Nuclear)'!$V$10,'Assumptions (Nuclear)'!$V$5*Model!$N$1129*AVERAGE('Assumptions (Nuclear)'!$G$2:$L$2)/10^9),0)</f>
        <v>0</v>
      </c>
      <c r="T1197" s="160">
        <f>IF($N$1129&gt;0,PPMT('Assumptions (Nuclear)'!$V$7,Model!AC$1,'Assumptions (Nuclear)'!$V$10,'Assumptions (Nuclear)'!$V$5*Model!$N$1129*AVERAGE('Assumptions (Nuclear)'!$G$2:$L$2)/10^9),0)</f>
        <v>0</v>
      </c>
      <c r="U1197" s="160">
        <f>IF($N$1129&gt;0,PPMT('Assumptions (Nuclear)'!$V$7,Model!AD$1,'Assumptions (Nuclear)'!$V$10,'Assumptions (Nuclear)'!$V$5*Model!$N$1129*AVERAGE('Assumptions (Nuclear)'!$G$2:$L$2)/10^9),0)</f>
        <v>0</v>
      </c>
      <c r="V1197" s="160">
        <f>IF($N$1129&gt;0,PPMT('Assumptions (Nuclear)'!$V$7,Model!AE$1,'Assumptions (Nuclear)'!$V$10,'Assumptions (Nuclear)'!$V$5*Model!$N$1129*AVERAGE('Assumptions (Nuclear)'!$G$2:$L$2)/10^9),0)</f>
        <v>0</v>
      </c>
      <c r="W1197" s="160">
        <f>IF($N$1129&gt;0,PPMT('Assumptions (Nuclear)'!$V$7,Model!AF$1,'Assumptions (Nuclear)'!$V$10,'Assumptions (Nuclear)'!$V$5*Model!$N$1129*AVERAGE('Assumptions (Nuclear)'!$G$2:$L$2)/10^9),0)</f>
        <v>0</v>
      </c>
      <c r="X1197" s="160">
        <f>IF($N$1129&gt;0,PPMT('Assumptions (Nuclear)'!$V$7,Model!AG$1,'Assumptions (Nuclear)'!$V$10,'Assumptions (Nuclear)'!$V$5*Model!$N$1129*AVERAGE('Assumptions (Nuclear)'!$G$2:$L$2)/10^9),0)</f>
        <v>0</v>
      </c>
      <c r="Y1197" s="160">
        <f>IF($N$1129&gt;0,PPMT('Assumptions (Nuclear)'!$V$7,Model!AH$1,'Assumptions (Nuclear)'!$V$10,'Assumptions (Nuclear)'!$V$5*Model!$N$1129*AVERAGE('Assumptions (Nuclear)'!$G$2:$L$2)/10^9),0)</f>
        <v>0</v>
      </c>
      <c r="Z1197" s="160">
        <f>IF($N$1129&gt;0,PPMT('Assumptions (Nuclear)'!$V$7,Model!AI$1,'Assumptions (Nuclear)'!$V$10,'Assumptions (Nuclear)'!$V$5*Model!$N$1129*AVERAGE('Assumptions (Nuclear)'!$G$2:$L$2)/10^9),0)</f>
        <v>0</v>
      </c>
      <c r="AA1197" s="160">
        <f>IF($N$1129&gt;0,PPMT('Assumptions (Nuclear)'!$V$7,Model!AJ$1,'Assumptions (Nuclear)'!$V$10,'Assumptions (Nuclear)'!$V$5*Model!$N$1129*AVERAGE('Assumptions (Nuclear)'!$G$2:$L$2)/10^9),0)</f>
        <v>0</v>
      </c>
      <c r="AB1197" s="160">
        <f>IF($N$1129&gt;0,PPMT('Assumptions (Nuclear)'!$V$7,Model!AK$1,'Assumptions (Nuclear)'!$V$10,'Assumptions (Nuclear)'!$V$5*Model!$N$1129*AVERAGE('Assumptions (Nuclear)'!$G$2:$L$2)/10^9),0)</f>
        <v>0</v>
      </c>
      <c r="AC1197" s="160"/>
      <c r="AD1197" s="160"/>
      <c r="AE1197" s="160"/>
      <c r="AF1197" s="160"/>
      <c r="AG1197" s="160"/>
      <c r="AH1197" s="160"/>
      <c r="AI1197" s="160"/>
      <c r="AJ1197" s="160"/>
      <c r="AK1197" s="160"/>
      <c r="AL1197" s="160"/>
      <c r="AU1197" s="95"/>
      <c r="AV1197" s="95"/>
      <c r="AW1197" s="95"/>
      <c r="AX1197" s="95"/>
      <c r="AY1197" s="95"/>
      <c r="AZ1197" s="95"/>
      <c r="BA1197" s="95"/>
    </row>
    <row r="1198" ht="15.75" hidden="1" customHeight="1" outlineLevel="1">
      <c r="A1198" s="262"/>
      <c r="B1198" s="38"/>
      <c r="C1198" s="160"/>
      <c r="D1198" s="160"/>
      <c r="E1198" s="160"/>
      <c r="F1198" s="160"/>
      <c r="G1198" s="160"/>
      <c r="H1198" s="160"/>
      <c r="I1198" s="160"/>
      <c r="J1198" s="160"/>
      <c r="K1198" s="160"/>
      <c r="L1198" s="160"/>
      <c r="M1198" s="160"/>
      <c r="N1198" s="160"/>
      <c r="O1198" s="160">
        <f>IF($O$1129&gt;0,PPMT('Assumptions (Nuclear)'!$V$7,Model!W$1,'Assumptions (Nuclear)'!$V$10,'Assumptions (Nuclear)'!$V$5*Model!$O$1129*AVERAGE('Assumptions (Nuclear)'!$H$2:$M$2)/10^9),0)</f>
        <v>0</v>
      </c>
      <c r="P1198" s="160">
        <f>IF($O$1129&gt;0,PPMT('Assumptions (Nuclear)'!$V$7,Model!X$1,'Assumptions (Nuclear)'!$V$10,'Assumptions (Nuclear)'!$V$5*Model!$O$1129*AVERAGE('Assumptions (Nuclear)'!$H$2:$M$2)/10^9),0)</f>
        <v>0</v>
      </c>
      <c r="Q1198" s="160">
        <f>IF($O$1129&gt;0,PPMT('Assumptions (Nuclear)'!$V$7,Model!Y$1,'Assumptions (Nuclear)'!$V$10,'Assumptions (Nuclear)'!$V$5*Model!$O$1129*AVERAGE('Assumptions (Nuclear)'!$H$2:$M$2)/10^9),0)</f>
        <v>0</v>
      </c>
      <c r="R1198" s="160">
        <f>IF($O$1129&gt;0,PPMT('Assumptions (Nuclear)'!$V$7,Model!Z$1,'Assumptions (Nuclear)'!$V$10,'Assumptions (Nuclear)'!$V$5*Model!$O$1129*AVERAGE('Assumptions (Nuclear)'!$H$2:$M$2)/10^9),0)</f>
        <v>0</v>
      </c>
      <c r="S1198" s="160">
        <f>IF($O$1129&gt;0,PPMT('Assumptions (Nuclear)'!$V$7,Model!AA$1,'Assumptions (Nuclear)'!$V$10,'Assumptions (Nuclear)'!$V$5*Model!$O$1129*AVERAGE('Assumptions (Nuclear)'!$H$2:$M$2)/10^9),0)</f>
        <v>0</v>
      </c>
      <c r="T1198" s="160">
        <f>IF($O$1129&gt;0,PPMT('Assumptions (Nuclear)'!$V$7,Model!AB$1,'Assumptions (Nuclear)'!$V$10,'Assumptions (Nuclear)'!$V$5*Model!$O$1129*AVERAGE('Assumptions (Nuclear)'!$H$2:$M$2)/10^9),0)</f>
        <v>0</v>
      </c>
      <c r="U1198" s="160">
        <f>IF($O$1129&gt;0,PPMT('Assumptions (Nuclear)'!$V$7,Model!AC$1,'Assumptions (Nuclear)'!$V$10,'Assumptions (Nuclear)'!$V$5*Model!$O$1129*AVERAGE('Assumptions (Nuclear)'!$H$2:$M$2)/10^9),0)</f>
        <v>0</v>
      </c>
      <c r="V1198" s="160">
        <f>IF($O$1129&gt;0,PPMT('Assumptions (Nuclear)'!$V$7,Model!AD$1,'Assumptions (Nuclear)'!$V$10,'Assumptions (Nuclear)'!$V$5*Model!$O$1129*AVERAGE('Assumptions (Nuclear)'!$H$2:$M$2)/10^9),0)</f>
        <v>0</v>
      </c>
      <c r="W1198" s="160">
        <f>IF($O$1129&gt;0,PPMT('Assumptions (Nuclear)'!$V$7,Model!AE$1,'Assumptions (Nuclear)'!$V$10,'Assumptions (Nuclear)'!$V$5*Model!$O$1129*AVERAGE('Assumptions (Nuclear)'!$H$2:$M$2)/10^9),0)</f>
        <v>0</v>
      </c>
      <c r="X1198" s="160">
        <f>IF($O$1129&gt;0,PPMT('Assumptions (Nuclear)'!$V$7,Model!AF$1,'Assumptions (Nuclear)'!$V$10,'Assumptions (Nuclear)'!$V$5*Model!$O$1129*AVERAGE('Assumptions (Nuclear)'!$H$2:$M$2)/10^9),0)</f>
        <v>0</v>
      </c>
      <c r="Y1198" s="160">
        <f>IF($O$1129&gt;0,PPMT('Assumptions (Nuclear)'!$V$7,Model!AG$1,'Assumptions (Nuclear)'!$V$10,'Assumptions (Nuclear)'!$V$5*Model!$O$1129*AVERAGE('Assumptions (Nuclear)'!$H$2:$M$2)/10^9),0)</f>
        <v>0</v>
      </c>
      <c r="Z1198" s="160">
        <f>IF($O$1129&gt;0,PPMT('Assumptions (Nuclear)'!$V$7,Model!AH$1,'Assumptions (Nuclear)'!$V$10,'Assumptions (Nuclear)'!$V$5*Model!$O$1129*AVERAGE('Assumptions (Nuclear)'!$H$2:$M$2)/10^9),0)</f>
        <v>0</v>
      </c>
      <c r="AA1198" s="160">
        <f>IF($O$1129&gt;0,PPMT('Assumptions (Nuclear)'!$V$7,Model!AI$1,'Assumptions (Nuclear)'!$V$10,'Assumptions (Nuclear)'!$V$5*Model!$O$1129*AVERAGE('Assumptions (Nuclear)'!$H$2:$M$2)/10^9),0)</f>
        <v>0</v>
      </c>
      <c r="AB1198" s="160">
        <f>IF($O$1129&gt;0,PPMT('Assumptions (Nuclear)'!$V$7,Model!AJ$1,'Assumptions (Nuclear)'!$V$10,'Assumptions (Nuclear)'!$V$5*Model!$O$1129*AVERAGE('Assumptions (Nuclear)'!$H$2:$M$2)/10^9),0)</f>
        <v>0</v>
      </c>
      <c r="AC1198" s="160">
        <f>IF($O$1129&gt;0,PPMT('Assumptions (Nuclear)'!$V$7,Model!AK$1,'Assumptions (Nuclear)'!$V$10,'Assumptions (Nuclear)'!$V$5*Model!$O$1129*AVERAGE('Assumptions (Nuclear)'!$H$2:$M$2)/10^9),0)</f>
        <v>0</v>
      </c>
      <c r="AD1198" s="160"/>
      <c r="AE1198" s="160"/>
      <c r="AF1198" s="160"/>
      <c r="AG1198" s="160"/>
      <c r="AH1198" s="160"/>
      <c r="AI1198" s="160"/>
      <c r="AJ1198" s="160"/>
      <c r="AK1198" s="160"/>
      <c r="AL1198" s="160"/>
      <c r="AM1198" s="160"/>
      <c r="AU1198" s="95"/>
      <c r="AV1198" s="95"/>
      <c r="AW1198" s="95"/>
      <c r="AX1198" s="95"/>
      <c r="AY1198" s="95"/>
      <c r="AZ1198" s="95"/>
      <c r="BA1198" s="95"/>
    </row>
    <row r="1199" ht="15.75" hidden="1" customHeight="1" outlineLevel="1">
      <c r="A1199" s="262"/>
      <c r="B1199" s="38"/>
      <c r="C1199" s="160"/>
      <c r="D1199" s="160"/>
      <c r="E1199" s="160"/>
      <c r="F1199" s="160"/>
      <c r="G1199" s="160"/>
      <c r="H1199" s="160"/>
      <c r="I1199" s="160"/>
      <c r="J1199" s="160"/>
      <c r="K1199" s="160"/>
      <c r="L1199" s="160"/>
      <c r="M1199" s="160"/>
      <c r="N1199" s="160"/>
      <c r="O1199" s="160"/>
      <c r="P1199" s="177">
        <f>IF($P$1129&gt;0,PPMT('Assumptions (Nuclear)'!$V$7,Model!W$1,'Assumptions (Nuclear)'!$V$10,'Assumptions (Nuclear)'!$V$5*Model!$P$1129*AVERAGE('Assumptions (Nuclear)'!$I$2:$N$2)/10^9),0)</f>
        <v>0</v>
      </c>
      <c r="Q1199" s="177">
        <f>IF($P$1129&gt;0,PPMT('Assumptions (Nuclear)'!$V$7,Model!X$1,'Assumptions (Nuclear)'!$V$10,'Assumptions (Nuclear)'!$V$5*Model!$P$1129*AVERAGE('Assumptions (Nuclear)'!$I$2:$N$2)/10^9),0)</f>
        <v>0</v>
      </c>
      <c r="R1199" s="177">
        <f>IF($P$1129&gt;0,PPMT('Assumptions (Nuclear)'!$V$7,Model!Y$1,'Assumptions (Nuclear)'!$V$10,'Assumptions (Nuclear)'!$V$5*Model!$P$1129*AVERAGE('Assumptions (Nuclear)'!$I$2:$N$2)/10^9),0)</f>
        <v>0</v>
      </c>
      <c r="S1199" s="177">
        <f>IF($P$1129&gt;0,PPMT('Assumptions (Nuclear)'!$V$7,Model!Z$1,'Assumptions (Nuclear)'!$V$10,'Assumptions (Nuclear)'!$V$5*Model!$P$1129*AVERAGE('Assumptions (Nuclear)'!$I$2:$N$2)/10^9),0)</f>
        <v>0</v>
      </c>
      <c r="T1199" s="177">
        <f>IF($P$1129&gt;0,PPMT('Assumptions (Nuclear)'!$V$7,Model!AA$1,'Assumptions (Nuclear)'!$V$10,'Assumptions (Nuclear)'!$V$5*Model!$P$1129*AVERAGE('Assumptions (Nuclear)'!$I$2:$N$2)/10^9),0)</f>
        <v>0</v>
      </c>
      <c r="U1199" s="177">
        <f>IF($P$1129&gt;0,PPMT('Assumptions (Nuclear)'!$V$7,Model!AB$1,'Assumptions (Nuclear)'!$V$10,'Assumptions (Nuclear)'!$V$5*Model!$P$1129*AVERAGE('Assumptions (Nuclear)'!$I$2:$N$2)/10^9),0)</f>
        <v>0</v>
      </c>
      <c r="V1199" s="177">
        <f>IF($P$1129&gt;0,PPMT('Assumptions (Nuclear)'!$V$7,Model!AC$1,'Assumptions (Nuclear)'!$V$10,'Assumptions (Nuclear)'!$V$5*Model!$P$1129*AVERAGE('Assumptions (Nuclear)'!$I$2:$N$2)/10^9),0)</f>
        <v>0</v>
      </c>
      <c r="W1199" s="177">
        <f>IF($P$1129&gt;0,PPMT('Assumptions (Nuclear)'!$V$7,Model!AD$1,'Assumptions (Nuclear)'!$V$10,'Assumptions (Nuclear)'!$V$5*Model!$P$1129*AVERAGE('Assumptions (Nuclear)'!$I$2:$N$2)/10^9),0)</f>
        <v>0</v>
      </c>
      <c r="X1199" s="177">
        <f>IF($P$1129&gt;0,PPMT('Assumptions (Nuclear)'!$V$7,Model!AE$1,'Assumptions (Nuclear)'!$V$10,'Assumptions (Nuclear)'!$V$5*Model!$P$1129*AVERAGE('Assumptions (Nuclear)'!$I$2:$N$2)/10^9),0)</f>
        <v>0</v>
      </c>
      <c r="Y1199" s="177">
        <f>IF($P$1129&gt;0,PPMT('Assumptions (Nuclear)'!$V$7,Model!AF$1,'Assumptions (Nuclear)'!$V$10,'Assumptions (Nuclear)'!$V$5*Model!$P$1129*AVERAGE('Assumptions (Nuclear)'!$I$2:$N$2)/10^9),0)</f>
        <v>0</v>
      </c>
      <c r="Z1199" s="177">
        <f>IF($P$1129&gt;0,PPMT('Assumptions (Nuclear)'!$V$7,Model!AG$1,'Assumptions (Nuclear)'!$V$10,'Assumptions (Nuclear)'!$V$5*Model!$P$1129*AVERAGE('Assumptions (Nuclear)'!$I$2:$N$2)/10^9),0)</f>
        <v>0</v>
      </c>
      <c r="AA1199" s="177">
        <f>IF($P$1129&gt;0,PPMT('Assumptions (Nuclear)'!$V$7,Model!AH$1,'Assumptions (Nuclear)'!$V$10,'Assumptions (Nuclear)'!$V$5*Model!$P$1129*AVERAGE('Assumptions (Nuclear)'!$I$2:$N$2)/10^9),0)</f>
        <v>0</v>
      </c>
      <c r="AB1199" s="177">
        <f>IF($P$1129&gt;0,PPMT('Assumptions (Nuclear)'!$V$7,Model!AI$1,'Assumptions (Nuclear)'!$V$10,'Assumptions (Nuclear)'!$V$5*Model!$P$1129*AVERAGE('Assumptions (Nuclear)'!$I$2:$N$2)/10^9),0)</f>
        <v>0</v>
      </c>
      <c r="AC1199" s="177">
        <f>IF($P$1129&gt;0,PPMT('Assumptions (Nuclear)'!$V$7,Model!AJ$1,'Assumptions (Nuclear)'!$V$10,'Assumptions (Nuclear)'!$V$5*Model!$P$1129*AVERAGE('Assumptions (Nuclear)'!$I$2:$N$2)/10^9),0)</f>
        <v>0</v>
      </c>
      <c r="AD1199" s="177">
        <f>IF($P$1129&gt;0,PPMT('Assumptions (Nuclear)'!$V$7,Model!AK$1,'Assumptions (Nuclear)'!$V$10,'Assumptions (Nuclear)'!$V$5*Model!$P$1129*AVERAGE('Assumptions (Nuclear)'!$I$2:$N$2)/10^9),0)</f>
        <v>0</v>
      </c>
      <c r="AE1199" s="177"/>
      <c r="AF1199" s="177"/>
      <c r="AG1199" s="177"/>
      <c r="AH1199" s="177"/>
      <c r="AI1199" s="177"/>
      <c r="AJ1199" s="177"/>
      <c r="AK1199" s="177"/>
      <c r="AL1199" s="177"/>
      <c r="AM1199" s="177"/>
      <c r="AN1199" s="177"/>
      <c r="AU1199" s="95"/>
      <c r="AV1199" s="95"/>
      <c r="AW1199" s="95"/>
      <c r="AX1199" s="95"/>
      <c r="AY1199" s="95"/>
      <c r="AZ1199" s="95"/>
      <c r="BA1199" s="95"/>
    </row>
    <row r="1200" ht="15.75" hidden="1" customHeight="1" outlineLevel="1">
      <c r="A1200" s="262"/>
      <c r="B1200" s="38"/>
      <c r="C1200" s="160"/>
      <c r="D1200" s="160"/>
      <c r="E1200" s="160"/>
      <c r="F1200" s="160"/>
      <c r="G1200" s="160"/>
      <c r="H1200" s="160"/>
      <c r="I1200" s="160"/>
      <c r="J1200" s="160"/>
      <c r="K1200" s="160"/>
      <c r="L1200" s="160"/>
      <c r="M1200" s="160"/>
      <c r="N1200" s="160"/>
      <c r="O1200" s="160"/>
      <c r="P1200" s="179"/>
      <c r="Q1200" s="160">
        <f>IF($Q$1129&gt;0,PPMT('Assumptions (Nuclear)'!$V$7,Model!W$1,'Assumptions (Nuclear)'!$V$10,'Assumptions (Nuclear)'!$V$5*Model!$Q$1129*AVERAGE('Assumptions (Nuclear)'!$J$2:$O$2)/10^9),0)</f>
        <v>0</v>
      </c>
      <c r="R1200" s="160">
        <f>IF($Q$1129&gt;0,PPMT('Assumptions (Nuclear)'!$V$7,Model!X$1,'Assumptions (Nuclear)'!$V$10,'Assumptions (Nuclear)'!$V$5*Model!$Q$1129*AVERAGE('Assumptions (Nuclear)'!$J$2:$O$2)/10^9),0)</f>
        <v>0</v>
      </c>
      <c r="S1200" s="160">
        <f>IF($Q$1129&gt;0,PPMT('Assumptions (Nuclear)'!$V$7,Model!Y$1,'Assumptions (Nuclear)'!$V$10,'Assumptions (Nuclear)'!$V$5*Model!$Q$1129*AVERAGE('Assumptions (Nuclear)'!$J$2:$O$2)/10^9),0)</f>
        <v>0</v>
      </c>
      <c r="T1200" s="160">
        <f>IF($Q$1129&gt;0,PPMT('Assumptions (Nuclear)'!$V$7,Model!Z$1,'Assumptions (Nuclear)'!$V$10,'Assumptions (Nuclear)'!$V$5*Model!$Q$1129*AVERAGE('Assumptions (Nuclear)'!$J$2:$O$2)/10^9),0)</f>
        <v>0</v>
      </c>
      <c r="U1200" s="160">
        <f>IF($Q$1129&gt;0,PPMT('Assumptions (Nuclear)'!$V$7,Model!AA$1,'Assumptions (Nuclear)'!$V$10,'Assumptions (Nuclear)'!$V$5*Model!$Q$1129*AVERAGE('Assumptions (Nuclear)'!$J$2:$O$2)/10^9),0)</f>
        <v>0</v>
      </c>
      <c r="V1200" s="160">
        <f>IF($Q$1129&gt;0,PPMT('Assumptions (Nuclear)'!$V$7,Model!AB$1,'Assumptions (Nuclear)'!$V$10,'Assumptions (Nuclear)'!$V$5*Model!$Q$1129*AVERAGE('Assumptions (Nuclear)'!$J$2:$O$2)/10^9),0)</f>
        <v>0</v>
      </c>
      <c r="W1200" s="160">
        <f>IF($Q$1129&gt;0,PPMT('Assumptions (Nuclear)'!$V$7,Model!AC$1,'Assumptions (Nuclear)'!$V$10,'Assumptions (Nuclear)'!$V$5*Model!$Q$1129*AVERAGE('Assumptions (Nuclear)'!$J$2:$O$2)/10^9),0)</f>
        <v>0</v>
      </c>
      <c r="X1200" s="160">
        <f>IF($Q$1129&gt;0,PPMT('Assumptions (Nuclear)'!$V$7,Model!AD$1,'Assumptions (Nuclear)'!$V$10,'Assumptions (Nuclear)'!$V$5*Model!$Q$1129*AVERAGE('Assumptions (Nuclear)'!$J$2:$O$2)/10^9),0)</f>
        <v>0</v>
      </c>
      <c r="Y1200" s="160">
        <f>IF($Q$1129&gt;0,PPMT('Assumptions (Nuclear)'!$V$7,Model!AE$1,'Assumptions (Nuclear)'!$V$10,'Assumptions (Nuclear)'!$V$5*Model!$Q$1129*AVERAGE('Assumptions (Nuclear)'!$J$2:$O$2)/10^9),0)</f>
        <v>0</v>
      </c>
      <c r="Z1200" s="160">
        <f>IF($Q$1129&gt;0,PPMT('Assumptions (Nuclear)'!$V$7,Model!AF$1,'Assumptions (Nuclear)'!$V$10,'Assumptions (Nuclear)'!$V$5*Model!$Q$1129*AVERAGE('Assumptions (Nuclear)'!$J$2:$O$2)/10^9),0)</f>
        <v>0</v>
      </c>
      <c r="AA1200" s="160">
        <f>IF($Q$1129&gt;0,PPMT('Assumptions (Nuclear)'!$V$7,Model!AG$1,'Assumptions (Nuclear)'!$V$10,'Assumptions (Nuclear)'!$V$5*Model!$Q$1129*AVERAGE('Assumptions (Nuclear)'!$J$2:$O$2)/10^9),0)</f>
        <v>0</v>
      </c>
      <c r="AB1200" s="160">
        <f>IF($Q$1129&gt;0,PPMT('Assumptions (Nuclear)'!$V$7,Model!AH$1,'Assumptions (Nuclear)'!$V$10,'Assumptions (Nuclear)'!$V$5*Model!$Q$1129*AVERAGE('Assumptions (Nuclear)'!$J$2:$O$2)/10^9),0)</f>
        <v>0</v>
      </c>
      <c r="AC1200" s="160">
        <f>IF($Q$1129&gt;0,PPMT('Assumptions (Nuclear)'!$V$7,Model!AI$1,'Assumptions (Nuclear)'!$V$10,'Assumptions (Nuclear)'!$V$5*Model!$Q$1129*AVERAGE('Assumptions (Nuclear)'!$J$2:$O$2)/10^9),0)</f>
        <v>0</v>
      </c>
      <c r="AD1200" s="160">
        <f>IF($Q$1129&gt;0,PPMT('Assumptions (Nuclear)'!$V$7,Model!AJ$1,'Assumptions (Nuclear)'!$V$10,'Assumptions (Nuclear)'!$V$5*Model!$Q$1129*AVERAGE('Assumptions (Nuclear)'!$J$2:$O$2)/10^9),0)</f>
        <v>0</v>
      </c>
      <c r="AE1200" s="160">
        <f>IF($Q$1129&gt;0,PPMT('Assumptions (Nuclear)'!$V$7,Model!AK$1,'Assumptions (Nuclear)'!$V$10,'Assumptions (Nuclear)'!$V$5*Model!$Q$1129*AVERAGE('Assumptions (Nuclear)'!$J$2:$O$2)/10^9),0)</f>
        <v>0</v>
      </c>
      <c r="AF1200" s="160"/>
      <c r="AG1200" s="160"/>
      <c r="AH1200" s="160"/>
      <c r="AI1200" s="160"/>
      <c r="AJ1200" s="160"/>
      <c r="AK1200" s="160"/>
      <c r="AL1200" s="160"/>
      <c r="AM1200" s="160"/>
      <c r="AN1200" s="160"/>
      <c r="AO1200" s="160"/>
      <c r="AU1200" s="95"/>
      <c r="AV1200" s="95"/>
      <c r="AW1200" s="95"/>
      <c r="AX1200" s="95"/>
      <c r="AY1200" s="95"/>
      <c r="AZ1200" s="95"/>
      <c r="BA1200" s="95"/>
    </row>
    <row r="1201" ht="15.75" hidden="1" customHeight="1" outlineLevel="1">
      <c r="A1201" s="262"/>
      <c r="B1201" s="38"/>
      <c r="C1201" s="160"/>
      <c r="D1201" s="160"/>
      <c r="E1201" s="160"/>
      <c r="F1201" s="160"/>
      <c r="G1201" s="160"/>
      <c r="H1201" s="160"/>
      <c r="I1201" s="160"/>
      <c r="J1201" s="160"/>
      <c r="K1201" s="160"/>
      <c r="L1201" s="160"/>
      <c r="M1201" s="160"/>
      <c r="N1201" s="160"/>
      <c r="O1201" s="160"/>
      <c r="P1201" s="179"/>
      <c r="Q1201" s="160"/>
      <c r="R1201" s="177">
        <f>IF($R$1129&gt;0,PPMT('Assumptions (Nuclear)'!$V$7,Model!W$1,'Assumptions (Nuclear)'!$V$10,'Assumptions (Nuclear)'!$V$5*Model!$R$1129*AVERAGE('Assumptions (Nuclear)'!$K$2:$P$2)/10^9),0)</f>
        <v>0</v>
      </c>
      <c r="S1201" s="177">
        <f>IF($R$1129&gt;0,PPMT('Assumptions (Nuclear)'!$V$7,Model!X$1,'Assumptions (Nuclear)'!$V$10,'Assumptions (Nuclear)'!$V$5*Model!$R$1129*AVERAGE('Assumptions (Nuclear)'!$K$2:$P$2)/10^9),0)</f>
        <v>0</v>
      </c>
      <c r="T1201" s="177">
        <f>IF($R$1129&gt;0,PPMT('Assumptions (Nuclear)'!$V$7,Model!Y$1,'Assumptions (Nuclear)'!$V$10,'Assumptions (Nuclear)'!$V$5*Model!$R$1129*AVERAGE('Assumptions (Nuclear)'!$K$2:$P$2)/10^9),0)</f>
        <v>0</v>
      </c>
      <c r="U1201" s="177">
        <f>IF($R$1129&gt;0,PPMT('Assumptions (Nuclear)'!$V$7,Model!Z$1,'Assumptions (Nuclear)'!$V$10,'Assumptions (Nuclear)'!$V$5*Model!$R$1129*AVERAGE('Assumptions (Nuclear)'!$K$2:$P$2)/10^9),0)</f>
        <v>0</v>
      </c>
      <c r="V1201" s="177">
        <f>IF($R$1129&gt;0,PPMT('Assumptions (Nuclear)'!$V$7,Model!AA$1,'Assumptions (Nuclear)'!$V$10,'Assumptions (Nuclear)'!$V$5*Model!$R$1129*AVERAGE('Assumptions (Nuclear)'!$K$2:$P$2)/10^9),0)</f>
        <v>0</v>
      </c>
      <c r="W1201" s="177">
        <f>IF($R$1129&gt;0,PPMT('Assumptions (Nuclear)'!$V$7,Model!AB$1,'Assumptions (Nuclear)'!$V$10,'Assumptions (Nuclear)'!$V$5*Model!$R$1129*AVERAGE('Assumptions (Nuclear)'!$K$2:$P$2)/10^9),0)</f>
        <v>0</v>
      </c>
      <c r="X1201" s="177">
        <f>IF($R$1129&gt;0,PPMT('Assumptions (Nuclear)'!$V$7,Model!AC$1,'Assumptions (Nuclear)'!$V$10,'Assumptions (Nuclear)'!$V$5*Model!$R$1129*AVERAGE('Assumptions (Nuclear)'!$K$2:$P$2)/10^9),0)</f>
        <v>0</v>
      </c>
      <c r="Y1201" s="177">
        <f>IF($R$1129&gt;0,PPMT('Assumptions (Nuclear)'!$V$7,Model!AD$1,'Assumptions (Nuclear)'!$V$10,'Assumptions (Nuclear)'!$V$5*Model!$R$1129*AVERAGE('Assumptions (Nuclear)'!$K$2:$P$2)/10^9),0)</f>
        <v>0</v>
      </c>
      <c r="Z1201" s="177">
        <f>IF($R$1129&gt;0,PPMT('Assumptions (Nuclear)'!$V$7,Model!AE$1,'Assumptions (Nuclear)'!$V$10,'Assumptions (Nuclear)'!$V$5*Model!$R$1129*AVERAGE('Assumptions (Nuclear)'!$K$2:$P$2)/10^9),0)</f>
        <v>0</v>
      </c>
      <c r="AA1201" s="177">
        <f>IF($R$1129&gt;0,PPMT('Assumptions (Nuclear)'!$V$7,Model!AF$1,'Assumptions (Nuclear)'!$V$10,'Assumptions (Nuclear)'!$V$5*Model!$R$1129*AVERAGE('Assumptions (Nuclear)'!$K$2:$P$2)/10^9),0)</f>
        <v>0</v>
      </c>
      <c r="AB1201" s="177">
        <f>IF($R$1129&gt;0,PPMT('Assumptions (Nuclear)'!$V$7,Model!AG$1,'Assumptions (Nuclear)'!$V$10,'Assumptions (Nuclear)'!$V$5*Model!$R$1129*AVERAGE('Assumptions (Nuclear)'!$K$2:$P$2)/10^9),0)</f>
        <v>0</v>
      </c>
      <c r="AC1201" s="177">
        <f>IF($R$1129&gt;0,PPMT('Assumptions (Nuclear)'!$V$7,Model!AH$1,'Assumptions (Nuclear)'!$V$10,'Assumptions (Nuclear)'!$V$5*Model!$R$1129*AVERAGE('Assumptions (Nuclear)'!$K$2:$P$2)/10^9),0)</f>
        <v>0</v>
      </c>
      <c r="AD1201" s="177">
        <f>IF($R$1129&gt;0,PPMT('Assumptions (Nuclear)'!$V$7,Model!AI$1,'Assumptions (Nuclear)'!$V$10,'Assumptions (Nuclear)'!$V$5*Model!$R$1129*AVERAGE('Assumptions (Nuclear)'!$K$2:$P$2)/10^9),0)</f>
        <v>0</v>
      </c>
      <c r="AE1201" s="177">
        <f>IF($R$1129&gt;0,PPMT('Assumptions (Nuclear)'!$V$7,Model!AJ$1,'Assumptions (Nuclear)'!$V$10,'Assumptions (Nuclear)'!$V$5*Model!$R$1129*AVERAGE('Assumptions (Nuclear)'!$K$2:$P$2)/10^9),0)</f>
        <v>0</v>
      </c>
      <c r="AF1201" s="177">
        <f>IF($R$1129&gt;0,PPMT('Assumptions (Nuclear)'!$V$7,Model!AK$1,'Assumptions (Nuclear)'!$V$10,'Assumptions (Nuclear)'!$V$5*Model!$R$1129*AVERAGE('Assumptions (Nuclear)'!$K$2:$P$2)/10^9),0)</f>
        <v>0</v>
      </c>
      <c r="AG1201" s="177"/>
      <c r="AH1201" s="177"/>
      <c r="AI1201" s="177"/>
      <c r="AJ1201" s="177"/>
      <c r="AK1201" s="177"/>
      <c r="AL1201" s="177"/>
      <c r="AM1201" s="177"/>
      <c r="AN1201" s="177"/>
      <c r="AO1201" s="177"/>
      <c r="AP1201" s="177"/>
      <c r="AU1201" s="95"/>
      <c r="AV1201" s="95"/>
      <c r="AW1201" s="95"/>
      <c r="AX1201" s="95"/>
      <c r="AY1201" s="95"/>
      <c r="AZ1201" s="95"/>
      <c r="BA1201" s="95"/>
    </row>
    <row r="1202" ht="15.75" hidden="1" customHeight="1" outlineLevel="1">
      <c r="A1202" s="262"/>
      <c r="B1202" s="38"/>
      <c r="C1202" s="160"/>
      <c r="D1202" s="160"/>
      <c r="E1202" s="160"/>
      <c r="F1202" s="160"/>
      <c r="G1202" s="160"/>
      <c r="H1202" s="160"/>
      <c r="I1202" s="160"/>
      <c r="J1202" s="160"/>
      <c r="K1202" s="160"/>
      <c r="L1202" s="160"/>
      <c r="M1202" s="160"/>
      <c r="N1202" s="160"/>
      <c r="O1202" s="160"/>
      <c r="P1202" s="179"/>
      <c r="Q1202" s="160"/>
      <c r="R1202" s="177"/>
      <c r="S1202" s="160">
        <f>IF($S$1129&gt;0,PPMT('Assumptions (Nuclear)'!$V$7,Model!W$1,'Assumptions (Nuclear)'!$V$10,'Assumptions (Nuclear)'!$V$5*Model!$S$1129*AVERAGE('Assumptions (Nuclear)'!$L$2:$Q$2)/10^9),0)</f>
        <v>-0.1572299273</v>
      </c>
      <c r="T1202" s="160">
        <f>IF($S$1129&gt;0,PPMT('Assumptions (Nuclear)'!$V$7,Model!X$1,'Assumptions (Nuclear)'!$V$10,'Assumptions (Nuclear)'!$V$5*Model!$S$1129*AVERAGE('Assumptions (Nuclear)'!$L$2:$Q$2)/10^9),0)</f>
        <v>-0.1646983488</v>
      </c>
      <c r="U1202" s="160">
        <f>IF($S$1129&gt;0,PPMT('Assumptions (Nuclear)'!$V$7,Model!Y$1,'Assumptions (Nuclear)'!$V$10,'Assumptions (Nuclear)'!$V$5*Model!$S$1129*AVERAGE('Assumptions (Nuclear)'!$L$2:$Q$2)/10^9),0)</f>
        <v>-0.1725215204</v>
      </c>
      <c r="V1202" s="160">
        <f>IF($S$1129&gt;0,PPMT('Assumptions (Nuclear)'!$V$7,Model!Z$1,'Assumptions (Nuclear)'!$V$10,'Assumptions (Nuclear)'!$V$5*Model!$S$1129*AVERAGE('Assumptions (Nuclear)'!$L$2:$Q$2)/10^9),0)</f>
        <v>-0.1807162926</v>
      </c>
      <c r="W1202" s="160">
        <f>IF($S$1129&gt;0,PPMT('Assumptions (Nuclear)'!$V$7,Model!AA$1,'Assumptions (Nuclear)'!$V$10,'Assumptions (Nuclear)'!$V$5*Model!$S$1129*AVERAGE('Assumptions (Nuclear)'!$L$2:$Q$2)/10^9),0)</f>
        <v>-0.1893003165</v>
      </c>
      <c r="X1202" s="160">
        <f>IF($S$1129&gt;0,PPMT('Assumptions (Nuclear)'!$V$7,Model!AB$1,'Assumptions (Nuclear)'!$V$10,'Assumptions (Nuclear)'!$V$5*Model!$S$1129*AVERAGE('Assumptions (Nuclear)'!$L$2:$Q$2)/10^9),0)</f>
        <v>-0.1982920816</v>
      </c>
      <c r="Y1202" s="160">
        <f>IF($S$1129&gt;0,PPMT('Assumptions (Nuclear)'!$V$7,Model!AC$1,'Assumptions (Nuclear)'!$V$10,'Assumptions (Nuclear)'!$V$5*Model!$S$1129*AVERAGE('Assumptions (Nuclear)'!$L$2:$Q$2)/10^9),0)</f>
        <v>-0.2077109554</v>
      </c>
      <c r="Z1202" s="160">
        <f>IF($S$1129&gt;0,PPMT('Assumptions (Nuclear)'!$V$7,Model!AD$1,'Assumptions (Nuclear)'!$V$10,'Assumptions (Nuclear)'!$V$5*Model!$S$1129*AVERAGE('Assumptions (Nuclear)'!$L$2:$Q$2)/10^9),0)</f>
        <v>-0.2175772258</v>
      </c>
      <c r="AA1202" s="160">
        <f>IF($S$1129&gt;0,PPMT('Assumptions (Nuclear)'!$V$7,Model!AE$1,'Assumptions (Nuclear)'!$V$10,'Assumptions (Nuclear)'!$V$5*Model!$S$1129*AVERAGE('Assumptions (Nuclear)'!$L$2:$Q$2)/10^9),0)</f>
        <v>-0.227912144</v>
      </c>
      <c r="AB1202" s="160">
        <f>IF($S$1129&gt;0,PPMT('Assumptions (Nuclear)'!$V$7,Model!AF$1,'Assumptions (Nuclear)'!$V$10,'Assumptions (Nuclear)'!$V$5*Model!$S$1129*AVERAGE('Assumptions (Nuclear)'!$L$2:$Q$2)/10^9),0)</f>
        <v>-0.2387379709</v>
      </c>
      <c r="AC1202" s="160">
        <f>IF($S$1129&gt;0,PPMT('Assumptions (Nuclear)'!$V$7,Model!AG$1,'Assumptions (Nuclear)'!$V$10,'Assumptions (Nuclear)'!$V$5*Model!$S$1129*AVERAGE('Assumptions (Nuclear)'!$L$2:$Q$2)/10^9),0)</f>
        <v>-0.2500780245</v>
      </c>
      <c r="AD1202" s="160">
        <f>IF($S$1129&gt;0,PPMT('Assumptions (Nuclear)'!$V$7,Model!AH$1,'Assumptions (Nuclear)'!$V$10,'Assumptions (Nuclear)'!$V$5*Model!$S$1129*AVERAGE('Assumptions (Nuclear)'!$L$2:$Q$2)/10^9),0)</f>
        <v>-0.2619567307</v>
      </c>
      <c r="AE1202" s="160">
        <f>IF($S$1129&gt;0,PPMT('Assumptions (Nuclear)'!$V$7,Model!AI$1,'Assumptions (Nuclear)'!$V$10,'Assumptions (Nuclear)'!$V$5*Model!$S$1129*AVERAGE('Assumptions (Nuclear)'!$L$2:$Q$2)/10^9),0)</f>
        <v>-0.2743996754</v>
      </c>
      <c r="AF1202" s="160">
        <f>IF($S$1129&gt;0,PPMT('Assumptions (Nuclear)'!$V$7,Model!AJ$1,'Assumptions (Nuclear)'!$V$10,'Assumptions (Nuclear)'!$V$5*Model!$S$1129*AVERAGE('Assumptions (Nuclear)'!$L$2:$Q$2)/10^9),0)</f>
        <v>-0.2874336599</v>
      </c>
      <c r="AG1202" s="160">
        <f>IF($S$1129&gt;0,PPMT('Assumptions (Nuclear)'!$V$7,Model!AK$1,'Assumptions (Nuclear)'!$V$10,'Assumptions (Nuclear)'!$V$5*Model!$S$1129*AVERAGE('Assumptions (Nuclear)'!$L$2:$Q$2)/10^9),0)</f>
        <v>-0.3010867588</v>
      </c>
      <c r="AH1202" s="160"/>
      <c r="AI1202" s="160"/>
      <c r="AJ1202" s="160"/>
      <c r="AK1202" s="160"/>
      <c r="AL1202" s="160"/>
      <c r="AM1202" s="160"/>
      <c r="AN1202" s="160"/>
      <c r="AO1202" s="160"/>
      <c r="AP1202" s="160"/>
      <c r="AQ1202" s="160"/>
      <c r="AU1202" s="95"/>
      <c r="AV1202" s="95"/>
      <c r="AW1202" s="95"/>
      <c r="AX1202" s="95"/>
      <c r="AY1202" s="95"/>
      <c r="AZ1202" s="95"/>
      <c r="BA1202" s="95"/>
    </row>
    <row r="1203" ht="15.75" hidden="1" customHeight="1" outlineLevel="1">
      <c r="A1203" s="262"/>
      <c r="B1203" s="38"/>
      <c r="C1203" s="160"/>
      <c r="D1203" s="160"/>
      <c r="E1203" s="160"/>
      <c r="F1203" s="160"/>
      <c r="G1203" s="160"/>
      <c r="H1203" s="160"/>
      <c r="I1203" s="160"/>
      <c r="J1203" s="160"/>
      <c r="K1203" s="160"/>
      <c r="L1203" s="160"/>
      <c r="M1203" s="160"/>
      <c r="N1203" s="160"/>
      <c r="O1203" s="160"/>
      <c r="P1203" s="179"/>
      <c r="Q1203" s="160"/>
      <c r="R1203" s="177"/>
      <c r="S1203" s="177"/>
      <c r="T1203" s="160">
        <f>IF($T$1129&gt;0,PPMT('Assumptions (Nuclear)'!$V$7,Model!W$1,'Assumptions (Nuclear)'!$V$10,'Assumptions (Nuclear)'!$V$5*Model!$T$1129*AVERAGE('Assumptions (Nuclear)'!$M$2:$R$2)/10^9),0)</f>
        <v>0</v>
      </c>
      <c r="U1203" s="160">
        <f>IF($T$1129&gt;0,PPMT('Assumptions (Nuclear)'!$V$7,Model!X$1,'Assumptions (Nuclear)'!$V$10,'Assumptions (Nuclear)'!$V$5*Model!$T$1129*AVERAGE('Assumptions (Nuclear)'!$M$2:$R$2)/10^9),0)</f>
        <v>0</v>
      </c>
      <c r="V1203" s="160">
        <f>IF($T$1129&gt;0,PPMT('Assumptions (Nuclear)'!$V$7,Model!Y$1,'Assumptions (Nuclear)'!$V$10,'Assumptions (Nuclear)'!$V$5*Model!$T$1129*AVERAGE('Assumptions (Nuclear)'!$M$2:$R$2)/10^9),0)</f>
        <v>0</v>
      </c>
      <c r="W1203" s="160">
        <f>IF($T$1129&gt;0,PPMT('Assumptions (Nuclear)'!$V$7,Model!Z$1,'Assumptions (Nuclear)'!$V$10,'Assumptions (Nuclear)'!$V$5*Model!$T$1129*AVERAGE('Assumptions (Nuclear)'!$M$2:$R$2)/10^9),0)</f>
        <v>0</v>
      </c>
      <c r="X1203" s="160">
        <f>IF($T$1129&gt;0,PPMT('Assumptions (Nuclear)'!$V$7,Model!AA$1,'Assumptions (Nuclear)'!$V$10,'Assumptions (Nuclear)'!$V$5*Model!$T$1129*AVERAGE('Assumptions (Nuclear)'!$M$2:$R$2)/10^9),0)</f>
        <v>0</v>
      </c>
      <c r="Y1203" s="160">
        <f>IF($T$1129&gt;0,PPMT('Assumptions (Nuclear)'!$V$7,Model!AB$1,'Assumptions (Nuclear)'!$V$10,'Assumptions (Nuclear)'!$V$5*Model!$T$1129*AVERAGE('Assumptions (Nuclear)'!$M$2:$R$2)/10^9),0)</f>
        <v>0</v>
      </c>
      <c r="Z1203" s="160">
        <f>IF($T$1129&gt;0,PPMT('Assumptions (Nuclear)'!$V$7,Model!AC$1,'Assumptions (Nuclear)'!$V$10,'Assumptions (Nuclear)'!$V$5*Model!$T$1129*AVERAGE('Assumptions (Nuclear)'!$M$2:$R$2)/10^9),0)</f>
        <v>0</v>
      </c>
      <c r="AA1203" s="160">
        <f>IF($T$1129&gt;0,PPMT('Assumptions (Nuclear)'!$V$7,Model!AD$1,'Assumptions (Nuclear)'!$V$10,'Assumptions (Nuclear)'!$V$5*Model!$T$1129*AVERAGE('Assumptions (Nuclear)'!$M$2:$R$2)/10^9),0)</f>
        <v>0</v>
      </c>
      <c r="AB1203" s="160">
        <f>IF($T$1129&gt;0,PPMT('Assumptions (Nuclear)'!$V$7,Model!AE$1,'Assumptions (Nuclear)'!$V$10,'Assumptions (Nuclear)'!$V$5*Model!$T$1129*AVERAGE('Assumptions (Nuclear)'!$M$2:$R$2)/10^9),0)</f>
        <v>0</v>
      </c>
      <c r="AC1203" s="160">
        <f>IF($T$1129&gt;0,PPMT('Assumptions (Nuclear)'!$V$7,Model!AF$1,'Assumptions (Nuclear)'!$V$10,'Assumptions (Nuclear)'!$V$5*Model!$T$1129*AVERAGE('Assumptions (Nuclear)'!$M$2:$R$2)/10^9),0)</f>
        <v>0</v>
      </c>
      <c r="AD1203" s="160">
        <f>IF($T$1129&gt;0,PPMT('Assumptions (Nuclear)'!$V$7,Model!AG$1,'Assumptions (Nuclear)'!$V$10,'Assumptions (Nuclear)'!$V$5*Model!$T$1129*AVERAGE('Assumptions (Nuclear)'!$M$2:$R$2)/10^9),0)</f>
        <v>0</v>
      </c>
      <c r="AE1203" s="160">
        <f>IF($T$1129&gt;0,PPMT('Assumptions (Nuclear)'!$V$7,Model!AH$1,'Assumptions (Nuclear)'!$V$10,'Assumptions (Nuclear)'!$V$5*Model!$T$1129*AVERAGE('Assumptions (Nuclear)'!$M$2:$R$2)/10^9),0)</f>
        <v>0</v>
      </c>
      <c r="AF1203" s="160">
        <f>IF($T$1129&gt;0,PPMT('Assumptions (Nuclear)'!$V$7,Model!AI$1,'Assumptions (Nuclear)'!$V$10,'Assumptions (Nuclear)'!$V$5*Model!$T$1129*AVERAGE('Assumptions (Nuclear)'!$M$2:$R$2)/10^9),0)</f>
        <v>0</v>
      </c>
      <c r="AG1203" s="160">
        <f>IF($T$1129&gt;0,PPMT('Assumptions (Nuclear)'!$V$7,Model!AJ$1,'Assumptions (Nuclear)'!$V$10,'Assumptions (Nuclear)'!$V$5*Model!$T$1129*AVERAGE('Assumptions (Nuclear)'!$M$2:$R$2)/10^9),0)</f>
        <v>0</v>
      </c>
      <c r="AH1203" s="160">
        <f>IF($T$1129&gt;0,PPMT('Assumptions (Nuclear)'!$V$7,Model!AK$1,'Assumptions (Nuclear)'!$V$10,'Assumptions (Nuclear)'!$V$5*Model!$T$1129*AVERAGE('Assumptions (Nuclear)'!$M$2:$R$2)/10^9),0)</f>
        <v>0</v>
      </c>
      <c r="AI1203" s="160"/>
      <c r="AJ1203" s="160"/>
      <c r="AK1203" s="160"/>
      <c r="AL1203" s="160"/>
      <c r="AM1203" s="160"/>
      <c r="AN1203" s="160"/>
      <c r="AO1203" s="160"/>
      <c r="AP1203" s="160"/>
      <c r="AQ1203" s="160"/>
      <c r="AR1203" s="160"/>
      <c r="AU1203" s="95"/>
      <c r="AV1203" s="95"/>
      <c r="AW1203" s="95"/>
      <c r="AX1203" s="95"/>
      <c r="AY1203" s="95"/>
      <c r="AZ1203" s="95"/>
      <c r="BA1203" s="95"/>
    </row>
    <row r="1204" ht="15.75" hidden="1" customHeight="1" outlineLevel="1">
      <c r="A1204" s="262"/>
      <c r="B1204" s="38"/>
      <c r="C1204" s="160"/>
      <c r="D1204" s="160"/>
      <c r="E1204" s="160"/>
      <c r="F1204" s="160"/>
      <c r="G1204" s="160"/>
      <c r="H1204" s="160"/>
      <c r="I1204" s="160"/>
      <c r="J1204" s="160"/>
      <c r="K1204" s="160"/>
      <c r="L1204" s="160"/>
      <c r="M1204" s="160"/>
      <c r="N1204" s="160"/>
      <c r="O1204" s="160"/>
      <c r="P1204" s="179"/>
      <c r="Q1204" s="160"/>
      <c r="R1204" s="177"/>
      <c r="S1204" s="177"/>
      <c r="T1204" s="177"/>
      <c r="U1204" s="160">
        <f>IF($U$1129&gt;0,PPMT('Assumptions (Nuclear)'!$V$7,Model!W$1,'Assumptions (Nuclear)'!$V$10,'Assumptions (Nuclear)'!$V$5*Model!$U$1129*AVERAGE('Assumptions (Nuclear)'!$N$2:$S$2)/10^9),0)</f>
        <v>0</v>
      </c>
      <c r="V1204" s="160">
        <f>IF($U$1129&gt;0,PPMT('Assumptions (Nuclear)'!$V$7,Model!X$1,'Assumptions (Nuclear)'!$V$10,'Assumptions (Nuclear)'!$V$5*Model!$U$1129*AVERAGE('Assumptions (Nuclear)'!$N$2:$S$2)/10^9),0)</f>
        <v>0</v>
      </c>
      <c r="W1204" s="160">
        <f>IF($U$1129&gt;0,PPMT('Assumptions (Nuclear)'!$V$7,Model!Y$1,'Assumptions (Nuclear)'!$V$10,'Assumptions (Nuclear)'!$V$5*Model!$U$1129*AVERAGE('Assumptions (Nuclear)'!$N$2:$S$2)/10^9),0)</f>
        <v>0</v>
      </c>
      <c r="X1204" s="160">
        <f>IF($U$1129&gt;0,PPMT('Assumptions (Nuclear)'!$V$7,Model!Z$1,'Assumptions (Nuclear)'!$V$10,'Assumptions (Nuclear)'!$V$5*Model!$U$1129*AVERAGE('Assumptions (Nuclear)'!$N$2:$S$2)/10^9),0)</f>
        <v>0</v>
      </c>
      <c r="Y1204" s="160">
        <f>IF($U$1129&gt;0,PPMT('Assumptions (Nuclear)'!$V$7,Model!AA$1,'Assumptions (Nuclear)'!$V$10,'Assumptions (Nuclear)'!$V$5*Model!$U$1129*AVERAGE('Assumptions (Nuclear)'!$N$2:$S$2)/10^9),0)</f>
        <v>0</v>
      </c>
      <c r="Z1204" s="160">
        <f>IF($U$1129&gt;0,PPMT('Assumptions (Nuclear)'!$V$7,Model!AB$1,'Assumptions (Nuclear)'!$V$10,'Assumptions (Nuclear)'!$V$5*Model!$U$1129*AVERAGE('Assumptions (Nuclear)'!$N$2:$S$2)/10^9),0)</f>
        <v>0</v>
      </c>
      <c r="AA1204" s="160">
        <f>IF($U$1129&gt;0,PPMT('Assumptions (Nuclear)'!$V$7,Model!AC$1,'Assumptions (Nuclear)'!$V$10,'Assumptions (Nuclear)'!$V$5*Model!$U$1129*AVERAGE('Assumptions (Nuclear)'!$N$2:$S$2)/10^9),0)</f>
        <v>0</v>
      </c>
      <c r="AB1204" s="160">
        <f>IF($U$1129&gt;0,PPMT('Assumptions (Nuclear)'!$V$7,Model!AD$1,'Assumptions (Nuclear)'!$V$10,'Assumptions (Nuclear)'!$V$5*Model!$U$1129*AVERAGE('Assumptions (Nuclear)'!$N$2:$S$2)/10^9),0)</f>
        <v>0</v>
      </c>
      <c r="AC1204" s="160">
        <f>IF($U$1129&gt;0,PPMT('Assumptions (Nuclear)'!$V$7,Model!AE$1,'Assumptions (Nuclear)'!$V$10,'Assumptions (Nuclear)'!$V$5*Model!$U$1129*AVERAGE('Assumptions (Nuclear)'!$N$2:$S$2)/10^9),0)</f>
        <v>0</v>
      </c>
      <c r="AD1204" s="160">
        <f>IF($U$1129&gt;0,PPMT('Assumptions (Nuclear)'!$V$7,Model!AF$1,'Assumptions (Nuclear)'!$V$10,'Assumptions (Nuclear)'!$V$5*Model!$U$1129*AVERAGE('Assumptions (Nuclear)'!$N$2:$S$2)/10^9),0)</f>
        <v>0</v>
      </c>
      <c r="AE1204" s="160">
        <f>IF($U$1129&gt;0,PPMT('Assumptions (Nuclear)'!$V$7,Model!AG$1,'Assumptions (Nuclear)'!$V$10,'Assumptions (Nuclear)'!$V$5*Model!$U$1129*AVERAGE('Assumptions (Nuclear)'!$N$2:$S$2)/10^9),0)</f>
        <v>0</v>
      </c>
      <c r="AF1204" s="160">
        <f>IF($U$1129&gt;0,PPMT('Assumptions (Nuclear)'!$V$7,Model!AH$1,'Assumptions (Nuclear)'!$V$10,'Assumptions (Nuclear)'!$V$5*Model!$U$1129*AVERAGE('Assumptions (Nuclear)'!$N$2:$S$2)/10^9),0)</f>
        <v>0</v>
      </c>
      <c r="AG1204" s="160">
        <f>IF($U$1129&gt;0,PPMT('Assumptions (Nuclear)'!$V$7,Model!AI$1,'Assumptions (Nuclear)'!$V$10,'Assumptions (Nuclear)'!$V$5*Model!$U$1129*AVERAGE('Assumptions (Nuclear)'!$N$2:$S$2)/10^9),0)</f>
        <v>0</v>
      </c>
      <c r="AH1204" s="160">
        <f>IF($U$1129&gt;0,PPMT('Assumptions (Nuclear)'!$V$7,Model!AJ$1,'Assumptions (Nuclear)'!$V$10,'Assumptions (Nuclear)'!$V$5*Model!$U$1129*AVERAGE('Assumptions (Nuclear)'!$N$2:$S$2)/10^9),0)</f>
        <v>0</v>
      </c>
      <c r="AI1204" s="160">
        <f>IF($U$1129&gt;0,PPMT('Assumptions (Nuclear)'!$V$7,Model!AK$1,'Assumptions (Nuclear)'!$V$10,'Assumptions (Nuclear)'!$V$5*Model!$U$1129*AVERAGE('Assumptions (Nuclear)'!$N$2:$S$2)/10^9),0)</f>
        <v>0</v>
      </c>
      <c r="AJ1204" s="160"/>
      <c r="AK1204" s="160"/>
      <c r="AL1204" s="160"/>
      <c r="AM1204" s="160"/>
      <c r="AN1204" s="160"/>
      <c r="AO1204" s="160"/>
      <c r="AP1204" s="160"/>
      <c r="AQ1204" s="160"/>
      <c r="AR1204" s="160"/>
      <c r="AS1204" s="160"/>
      <c r="AU1204" s="95"/>
      <c r="AV1204" s="95"/>
      <c r="AW1204" s="95"/>
      <c r="AX1204" s="95"/>
      <c r="AY1204" s="95"/>
      <c r="AZ1204" s="95"/>
      <c r="BA1204" s="95"/>
    </row>
    <row r="1205" ht="15.75" hidden="1" customHeight="1" outlineLevel="1">
      <c r="A1205" s="262"/>
      <c r="B1205" s="38"/>
      <c r="C1205" s="160"/>
      <c r="D1205" s="160"/>
      <c r="E1205" s="160"/>
      <c r="F1205" s="160"/>
      <c r="G1205" s="160"/>
      <c r="H1205" s="160"/>
      <c r="I1205" s="160"/>
      <c r="J1205" s="160"/>
      <c r="K1205" s="160"/>
      <c r="L1205" s="160"/>
      <c r="M1205" s="160"/>
      <c r="N1205" s="160"/>
      <c r="O1205" s="160"/>
      <c r="P1205" s="179"/>
      <c r="Q1205" s="160"/>
      <c r="R1205" s="177"/>
      <c r="S1205" s="177"/>
      <c r="T1205" s="177"/>
      <c r="U1205" s="160"/>
      <c r="V1205" s="160">
        <f>IF($V$1129&gt;0,PPMT('Assumptions (Nuclear)'!$V$7,Model!W$1,'Assumptions (Nuclear)'!$V$10,'Assumptions (Nuclear)'!$V$5*Model!$V$1129*AVERAGE('Assumptions (Nuclear)'!$O$2:$T$2)/10^9),0)</f>
        <v>0</v>
      </c>
      <c r="W1205" s="160">
        <f>IF($V$1129&gt;0,PPMT('Assumptions (Nuclear)'!$V$7,Model!X$1,'Assumptions (Nuclear)'!$V$10,'Assumptions (Nuclear)'!$V$5*Model!$V$1129*AVERAGE('Assumptions (Nuclear)'!$O$2:$T$2)/10^9),0)</f>
        <v>0</v>
      </c>
      <c r="X1205" s="160">
        <f>IF($V$1129&gt;0,PPMT('Assumptions (Nuclear)'!$V$7,Model!Y$1,'Assumptions (Nuclear)'!$V$10,'Assumptions (Nuclear)'!$V$5*Model!$V$1129*AVERAGE('Assumptions (Nuclear)'!$O$2:$T$2)/10^9),0)</f>
        <v>0</v>
      </c>
      <c r="Y1205" s="160">
        <f>IF($V$1129&gt;0,PPMT('Assumptions (Nuclear)'!$V$7,Model!Z$1,'Assumptions (Nuclear)'!$V$10,'Assumptions (Nuclear)'!$V$5*Model!$V$1129*AVERAGE('Assumptions (Nuclear)'!$O$2:$T$2)/10^9),0)</f>
        <v>0</v>
      </c>
      <c r="Z1205" s="160">
        <f>IF($V$1129&gt;0,PPMT('Assumptions (Nuclear)'!$V$7,Model!AA$1,'Assumptions (Nuclear)'!$V$10,'Assumptions (Nuclear)'!$V$5*Model!$V$1129*AVERAGE('Assumptions (Nuclear)'!$O$2:$T$2)/10^9),0)</f>
        <v>0</v>
      </c>
      <c r="AA1205" s="160">
        <f>IF($V$1129&gt;0,PPMT('Assumptions (Nuclear)'!$V$7,Model!AB$1,'Assumptions (Nuclear)'!$V$10,'Assumptions (Nuclear)'!$V$5*Model!$V$1129*AVERAGE('Assumptions (Nuclear)'!$O$2:$T$2)/10^9),0)</f>
        <v>0</v>
      </c>
      <c r="AB1205" s="160">
        <f>IF($V$1129&gt;0,PPMT('Assumptions (Nuclear)'!$V$7,Model!AC$1,'Assumptions (Nuclear)'!$V$10,'Assumptions (Nuclear)'!$V$5*Model!$V$1129*AVERAGE('Assumptions (Nuclear)'!$O$2:$T$2)/10^9),0)</f>
        <v>0</v>
      </c>
      <c r="AC1205" s="160">
        <f>IF($V$1129&gt;0,PPMT('Assumptions (Nuclear)'!$V$7,Model!AD$1,'Assumptions (Nuclear)'!$V$10,'Assumptions (Nuclear)'!$V$5*Model!$V$1129*AVERAGE('Assumptions (Nuclear)'!$O$2:$T$2)/10^9),0)</f>
        <v>0</v>
      </c>
      <c r="AD1205" s="160">
        <f>IF($V$1129&gt;0,PPMT('Assumptions (Nuclear)'!$V$7,Model!AE$1,'Assumptions (Nuclear)'!$V$10,'Assumptions (Nuclear)'!$V$5*Model!$V$1129*AVERAGE('Assumptions (Nuclear)'!$O$2:$T$2)/10^9),0)</f>
        <v>0</v>
      </c>
      <c r="AE1205" s="160">
        <f>IF($V$1129&gt;0,PPMT('Assumptions (Nuclear)'!$V$7,Model!AF$1,'Assumptions (Nuclear)'!$V$10,'Assumptions (Nuclear)'!$V$5*Model!$V$1129*AVERAGE('Assumptions (Nuclear)'!$O$2:$T$2)/10^9),0)</f>
        <v>0</v>
      </c>
      <c r="AF1205" s="160">
        <f>IF($V$1129&gt;0,PPMT('Assumptions (Nuclear)'!$V$7,Model!AG$1,'Assumptions (Nuclear)'!$V$10,'Assumptions (Nuclear)'!$V$5*Model!$V$1129*AVERAGE('Assumptions (Nuclear)'!$O$2:$T$2)/10^9),0)</f>
        <v>0</v>
      </c>
      <c r="AG1205" s="160">
        <f>IF($V$1129&gt;0,PPMT('Assumptions (Nuclear)'!$V$7,Model!AH$1,'Assumptions (Nuclear)'!$V$10,'Assumptions (Nuclear)'!$V$5*Model!$V$1129*AVERAGE('Assumptions (Nuclear)'!$O$2:$T$2)/10^9),0)</f>
        <v>0</v>
      </c>
      <c r="AH1205" s="160">
        <f>IF($V$1129&gt;0,PPMT('Assumptions (Nuclear)'!$V$7,Model!AI$1,'Assumptions (Nuclear)'!$V$10,'Assumptions (Nuclear)'!$V$5*Model!$V$1129*AVERAGE('Assumptions (Nuclear)'!$O$2:$T$2)/10^9),0)</f>
        <v>0</v>
      </c>
      <c r="AI1205" s="160">
        <f>IF($V$1129&gt;0,PPMT('Assumptions (Nuclear)'!$V$7,Model!AJ$1,'Assumptions (Nuclear)'!$V$10,'Assumptions (Nuclear)'!$V$5*Model!$V$1129*AVERAGE('Assumptions (Nuclear)'!$O$2:$T$2)/10^9),0)</f>
        <v>0</v>
      </c>
      <c r="AJ1205" s="160">
        <f>IF($V$1129&gt;0,PPMT('Assumptions (Nuclear)'!$V$7,Model!AK$1,'Assumptions (Nuclear)'!$V$10,'Assumptions (Nuclear)'!$V$5*Model!$V$1129*AVERAGE('Assumptions (Nuclear)'!$O$2:$T$2)/10^9),0)</f>
        <v>0</v>
      </c>
      <c r="AK1205" s="160"/>
      <c r="AL1205" s="160"/>
      <c r="AM1205" s="160"/>
      <c r="AN1205" s="160"/>
      <c r="AO1205" s="160"/>
      <c r="AP1205" s="160"/>
      <c r="AQ1205" s="160"/>
      <c r="AR1205" s="160"/>
      <c r="AS1205" s="160"/>
      <c r="AT1205" s="160"/>
      <c r="AU1205" s="95"/>
      <c r="AV1205" s="95"/>
      <c r="AW1205" s="95"/>
      <c r="AX1205" s="95"/>
      <c r="AY1205" s="95"/>
      <c r="AZ1205" s="95"/>
      <c r="BA1205" s="95"/>
    </row>
    <row r="1206" ht="15.75" hidden="1" customHeight="1" outlineLevel="1">
      <c r="A1206" s="262"/>
      <c r="B1206" s="38"/>
      <c r="C1206" s="174"/>
      <c r="D1206" s="174"/>
      <c r="E1206" s="174"/>
      <c r="F1206" s="174"/>
      <c r="G1206" s="174"/>
      <c r="H1206" s="174"/>
      <c r="I1206" s="174"/>
      <c r="J1206" s="174"/>
      <c r="K1206" s="174"/>
      <c r="L1206" s="174"/>
      <c r="M1206" s="174"/>
      <c r="N1206" s="174"/>
      <c r="O1206" s="174"/>
      <c r="P1206" s="174"/>
      <c r="Q1206" s="174"/>
      <c r="R1206" s="174"/>
      <c r="S1206" s="174"/>
      <c r="T1206" s="174"/>
      <c r="U1206" s="174"/>
      <c r="V1206" s="174"/>
      <c r="W1206" s="160">
        <f>IF($W$1129&gt;0,PPMT('Assumptions (Nuclear)'!$V$7,Model!W1,'Assumptions (Nuclear)'!$V$10,'Assumptions (Nuclear)'!$V$5*Model!$W$1129*average('Assumptions (Nuclear)'!$P$2:$U$2)/10^9),0)</f>
        <v>0</v>
      </c>
      <c r="X1206" s="160">
        <f>IF($W$1129&gt;0,PPMT('Assumptions (Nuclear)'!$V$7,Model!X1,'Assumptions (Nuclear)'!$V$10,'Assumptions (Nuclear)'!$V$5*Model!$W$1129*average('Assumptions (Nuclear)'!$P$2:$U$2)/10^9),0)</f>
        <v>0</v>
      </c>
      <c r="Y1206" s="160">
        <f>IF($W$1129&gt;0,PPMT('Assumptions (Nuclear)'!$V$7,Model!Y1,'Assumptions (Nuclear)'!$V$10,'Assumptions (Nuclear)'!$V$5*Model!$W$1129*average('Assumptions (Nuclear)'!$P$2:$U$2)/10^9),0)</f>
        <v>0</v>
      </c>
      <c r="Z1206" s="160">
        <f>IF($W$1129&gt;0,PPMT('Assumptions (Nuclear)'!$V$7,Model!Z1,'Assumptions (Nuclear)'!$V$10,'Assumptions (Nuclear)'!$V$5*Model!$W$1129*average('Assumptions (Nuclear)'!$P$2:$U$2)/10^9),0)</f>
        <v>0</v>
      </c>
      <c r="AA1206" s="160">
        <f>IF($W$1129&gt;0,PPMT('Assumptions (Nuclear)'!$V$7,Model!AA1,'Assumptions (Nuclear)'!$V$10,'Assumptions (Nuclear)'!$V$5*Model!$W$1129*average('Assumptions (Nuclear)'!$P$2:$U$2)/10^9),0)</f>
        <v>0</v>
      </c>
      <c r="AB1206" s="160">
        <f>IF($W$1129&gt;0,PPMT('Assumptions (Nuclear)'!$V$7,Model!AB1,'Assumptions (Nuclear)'!$V$10,'Assumptions (Nuclear)'!$V$5*Model!$W$1129*average('Assumptions (Nuclear)'!$P$2:$U$2)/10^9),0)</f>
        <v>0</v>
      </c>
      <c r="AC1206" s="160">
        <f>IF($W$1129&gt;0,PPMT('Assumptions (Nuclear)'!$V$7,Model!AC1,'Assumptions (Nuclear)'!$V$10,'Assumptions (Nuclear)'!$V$5*Model!$W$1129*average('Assumptions (Nuclear)'!$P$2:$U$2)/10^9),0)</f>
        <v>0</v>
      </c>
      <c r="AD1206" s="160">
        <f>IF($W$1129&gt;0,PPMT('Assumptions (Nuclear)'!$V$7,Model!AD1,'Assumptions (Nuclear)'!$V$10,'Assumptions (Nuclear)'!$V$5*Model!$W$1129*average('Assumptions (Nuclear)'!$P$2:$U$2)/10^9),0)</f>
        <v>0</v>
      </c>
      <c r="AE1206" s="160">
        <f>IF($W$1129&gt;0,PPMT('Assumptions (Nuclear)'!$V$7,Model!AE1,'Assumptions (Nuclear)'!$V$10,'Assumptions (Nuclear)'!$V$5*Model!$W$1129*average('Assumptions (Nuclear)'!$P$2:$U$2)/10^9),0)</f>
        <v>0</v>
      </c>
      <c r="AF1206" s="160">
        <f>IF($W$1129&gt;0,PPMT('Assumptions (Nuclear)'!$V$7,Model!AF1,'Assumptions (Nuclear)'!$V$10,'Assumptions (Nuclear)'!$V$5*Model!$W$1129*average('Assumptions (Nuclear)'!$P$2:$U$2)/10^9),0)</f>
        <v>0</v>
      </c>
      <c r="AG1206" s="160">
        <f>IF($W$1129&gt;0,PPMT('Assumptions (Nuclear)'!$V$7,Model!AG1,'Assumptions (Nuclear)'!$V$10,'Assumptions (Nuclear)'!$V$5*Model!$W$1129*average('Assumptions (Nuclear)'!$P$2:$U$2)/10^9),0)</f>
        <v>0</v>
      </c>
      <c r="AH1206" s="160">
        <f>IF($W$1129&gt;0,PPMT('Assumptions (Nuclear)'!$V$7,Model!AH1,'Assumptions (Nuclear)'!$V$10,'Assumptions (Nuclear)'!$V$5*Model!$W$1129*average('Assumptions (Nuclear)'!$P$2:$U$2)/10^9),0)</f>
        <v>0</v>
      </c>
      <c r="AI1206" s="160">
        <f>IF($W$1129&gt;0,PPMT('Assumptions (Nuclear)'!$V$7,Model!AI1,'Assumptions (Nuclear)'!$V$10,'Assumptions (Nuclear)'!$V$5*Model!$W$1129*average('Assumptions (Nuclear)'!$P$2:$U$2)/10^9),0)</f>
        <v>0</v>
      </c>
      <c r="AJ1206" s="160">
        <f>IF($W$1129&gt;0,PPMT('Assumptions (Nuclear)'!$V$7,Model!AJ1,'Assumptions (Nuclear)'!$V$10,'Assumptions (Nuclear)'!$V$5*Model!$W$1129*average('Assumptions (Nuclear)'!$P$2:$U$2)/10^9),0)</f>
        <v>0</v>
      </c>
      <c r="AK1206" s="160">
        <f>IF($W$1129&gt;0,PPMT('Assumptions (Nuclear)'!$V$7,Model!AK1,'Assumptions (Nuclear)'!$V$10,'Assumptions (Nuclear)'!$V$5*Model!$W$1129*average('Assumptions (Nuclear)'!$P$2:$U$2)/10^9),0)</f>
        <v>0</v>
      </c>
      <c r="AL1206" s="160"/>
      <c r="AM1206" s="160"/>
      <c r="AN1206" s="160"/>
      <c r="AO1206" s="160"/>
      <c r="AP1206" s="160"/>
      <c r="AQ1206" s="160"/>
      <c r="AR1206" s="160"/>
      <c r="AS1206" s="160"/>
      <c r="AT1206" s="160"/>
      <c r="AU1206" s="160"/>
      <c r="AV1206" s="160"/>
      <c r="AW1206" s="160"/>
      <c r="AX1206" s="160"/>
      <c r="AY1206" s="160"/>
      <c r="AZ1206" s="160"/>
      <c r="BA1206" s="160"/>
    </row>
    <row r="1207" ht="15.75" hidden="1" customHeight="1" outlineLevel="1">
      <c r="A1207" s="262"/>
      <c r="B1207" s="38"/>
      <c r="C1207" s="174"/>
      <c r="D1207" s="174"/>
      <c r="E1207" s="174"/>
      <c r="F1207" s="174"/>
      <c r="G1207" s="174"/>
      <c r="H1207" s="174"/>
      <c r="I1207" s="174"/>
      <c r="J1207" s="174"/>
      <c r="K1207" s="174"/>
      <c r="L1207" s="174"/>
      <c r="M1207" s="174"/>
      <c r="N1207" s="174"/>
      <c r="O1207" s="174"/>
      <c r="P1207" s="174"/>
      <c r="Q1207" s="174"/>
      <c r="R1207" s="174"/>
      <c r="S1207" s="174"/>
      <c r="T1207" s="174"/>
      <c r="U1207" s="174"/>
      <c r="V1207" s="174"/>
      <c r="W1207" s="160"/>
      <c r="X1207" s="160">
        <f>IF($X$1129&gt;0,PPMT('Assumptions (Nuclear)'!$V$7,Model!W1,'Assumptions (Nuclear)'!$V$10,'Assumptions (Nuclear)'!$V$5*Model!$X$1129*average('Assumptions (Nuclear)'!$Q$2:$V$2)/10^9),0)</f>
        <v>-0.01150002898</v>
      </c>
      <c r="Y1207" s="160">
        <f>IF($X$1129&gt;0,PPMT('Assumptions (Nuclear)'!$V$7,Model!X1,'Assumptions (Nuclear)'!$V$10,'Assumptions (Nuclear)'!$V$5*Model!$X$1129*average('Assumptions (Nuclear)'!$Q$2:$V$2)/10^9),0)</f>
        <v>-0.01204628036</v>
      </c>
      <c r="Z1207" s="160">
        <f>IF($X$1129&gt;0,PPMT('Assumptions (Nuclear)'!$V$7,Model!Y1,'Assumptions (Nuclear)'!$V$10,'Assumptions (Nuclear)'!$V$5*Model!$X$1129*average('Assumptions (Nuclear)'!$Q$2:$V$2)/10^9),0)</f>
        <v>-0.01261847868</v>
      </c>
      <c r="AA1207" s="160">
        <f>IF($X$1129&gt;0,PPMT('Assumptions (Nuclear)'!$V$7,Model!Z1,'Assumptions (Nuclear)'!$V$10,'Assumptions (Nuclear)'!$V$5*Model!$X$1129*average('Assumptions (Nuclear)'!$Q$2:$V$2)/10^9),0)</f>
        <v>-0.01321785641</v>
      </c>
      <c r="AB1207" s="160">
        <f>IF($X$1129&gt;0,PPMT('Assumptions (Nuclear)'!$V$7,Model!AA1,'Assumptions (Nuclear)'!$V$10,'Assumptions (Nuclear)'!$V$5*Model!$X$1129*average('Assumptions (Nuclear)'!$Q$2:$V$2)/10^9),0)</f>
        <v>-0.01384570459</v>
      </c>
      <c r="AC1207" s="160">
        <f>IF($X$1129&gt;0,PPMT('Assumptions (Nuclear)'!$V$7,Model!AB1,'Assumptions (Nuclear)'!$V$10,'Assumptions (Nuclear)'!$V$5*Model!$X$1129*average('Assumptions (Nuclear)'!$Q$2:$V$2)/10^9),0)</f>
        <v>-0.01450337556</v>
      </c>
      <c r="AD1207" s="160">
        <f>IF($X$1129&gt;0,PPMT('Assumptions (Nuclear)'!$V$7,Model!AC1,'Assumptions (Nuclear)'!$V$10,'Assumptions (Nuclear)'!$V$5*Model!$X$1129*average('Assumptions (Nuclear)'!$Q$2:$V$2)/10^9),0)</f>
        <v>-0.0151922859</v>
      </c>
      <c r="AE1207" s="160">
        <f>IF($X$1129&gt;0,PPMT('Assumptions (Nuclear)'!$V$7,Model!AD1,'Assumptions (Nuclear)'!$V$10,'Assumptions (Nuclear)'!$V$5*Model!$X$1129*average('Assumptions (Nuclear)'!$Q$2:$V$2)/10^9),0)</f>
        <v>-0.01591391948</v>
      </c>
      <c r="AF1207" s="160">
        <f>IF($X$1129&gt;0,PPMT('Assumptions (Nuclear)'!$V$7,Model!AE1,'Assumptions (Nuclear)'!$V$10,'Assumptions (Nuclear)'!$V$5*Model!$X$1129*average('Assumptions (Nuclear)'!$Q$2:$V$2)/10^9),0)</f>
        <v>-0.01666983066</v>
      </c>
      <c r="AG1207" s="160">
        <f>IF($X$1129&gt;0,PPMT('Assumptions (Nuclear)'!$V$7,Model!AF1,'Assumptions (Nuclear)'!$V$10,'Assumptions (Nuclear)'!$V$5*Model!$X$1129*average('Assumptions (Nuclear)'!$Q$2:$V$2)/10^9),0)</f>
        <v>-0.01746164761</v>
      </c>
      <c r="AH1207" s="160">
        <f>IF($X$1129&gt;0,PPMT('Assumptions (Nuclear)'!$V$7,Model!AG1,'Assumptions (Nuclear)'!$V$10,'Assumptions (Nuclear)'!$V$5*Model!$X$1129*average('Assumptions (Nuclear)'!$Q$2:$V$2)/10^9),0)</f>
        <v>-0.01829107587</v>
      </c>
      <c r="AI1207" s="160">
        <f>IF($X$1129&gt;0,PPMT('Assumptions (Nuclear)'!$V$7,Model!AH1,'Assumptions (Nuclear)'!$V$10,'Assumptions (Nuclear)'!$V$5*Model!$X$1129*average('Assumptions (Nuclear)'!$Q$2:$V$2)/10^9),0)</f>
        <v>-0.01915990198</v>
      </c>
      <c r="AJ1207" s="160">
        <f>IF($X$1129&gt;0,PPMT('Assumptions (Nuclear)'!$V$7,Model!AI1,'Assumptions (Nuclear)'!$V$10,'Assumptions (Nuclear)'!$V$5*Model!$X$1129*average('Assumptions (Nuclear)'!$Q$2:$V$2)/10^9),0)</f>
        <v>-0.02006999732</v>
      </c>
      <c r="AK1207" s="160">
        <f>IF($X$1129&gt;0,PPMT('Assumptions (Nuclear)'!$V$7,Model!AJ1,'Assumptions (Nuclear)'!$V$10,'Assumptions (Nuclear)'!$V$5*Model!$X$1129*average('Assumptions (Nuclear)'!$Q$2:$V$2)/10^9),0)</f>
        <v>-0.02102332219</v>
      </c>
      <c r="AL1207" s="160">
        <f>IF($X$1129&gt;0,PPMT('Assumptions (Nuclear)'!$V$7,Model!AK1,'Assumptions (Nuclear)'!$V$10,'Assumptions (Nuclear)'!$V$5*Model!$X$1129*average('Assumptions (Nuclear)'!$Q$2:$V$2)/10^9),0)</f>
        <v>-0.02202193</v>
      </c>
      <c r="AM1207" s="160"/>
      <c r="AN1207" s="160"/>
      <c r="AO1207" s="160"/>
      <c r="AP1207" s="160"/>
      <c r="AQ1207" s="160"/>
      <c r="AR1207" s="160"/>
      <c r="AS1207" s="160"/>
      <c r="AT1207" s="160"/>
      <c r="AU1207" s="160"/>
      <c r="AV1207" s="160"/>
      <c r="AW1207" s="160"/>
      <c r="AX1207" s="160"/>
      <c r="AY1207" s="160"/>
      <c r="AZ1207" s="160"/>
      <c r="BA1207" s="160"/>
    </row>
    <row r="1208" ht="15.75" hidden="1" customHeight="1" outlineLevel="1">
      <c r="A1208" s="262"/>
      <c r="B1208" s="38"/>
      <c r="C1208" s="174"/>
      <c r="D1208" s="174"/>
      <c r="E1208" s="174"/>
      <c r="F1208" s="174"/>
      <c r="G1208" s="174"/>
      <c r="H1208" s="174"/>
      <c r="I1208" s="174"/>
      <c r="J1208" s="174"/>
      <c r="K1208" s="174"/>
      <c r="L1208" s="174"/>
      <c r="M1208" s="174"/>
      <c r="N1208" s="174"/>
      <c r="O1208" s="174"/>
      <c r="P1208" s="174"/>
      <c r="Q1208" s="174"/>
      <c r="R1208" s="174"/>
      <c r="S1208" s="174"/>
      <c r="T1208" s="174"/>
      <c r="U1208" s="174"/>
      <c r="V1208" s="174"/>
      <c r="W1208" s="160"/>
      <c r="X1208" s="160"/>
      <c r="Y1208" s="160">
        <f>IF($Y$1129&gt;0,PPMT('Assumptions (Nuclear)'!$V$7,Model!W1,'Assumptions (Nuclear)'!$V$10,'Assumptions (Nuclear)'!$V$5*Model!$Y$1129*AVERAGE('Assumptions (Nuclear)'!$R$2:$W$2)/10^9),0)</f>
        <v>-0.01168459333</v>
      </c>
      <c r="Z1208" s="160">
        <f>IF($Y$1129&gt;0,PPMT('Assumptions (Nuclear)'!$V$7,Model!X1,'Assumptions (Nuclear)'!$V$10,'Assumptions (Nuclear)'!$V$5*Model!$Y$1129*AVERAGE('Assumptions (Nuclear)'!$R$2:$W$2)/10^9),0)</f>
        <v>-0.01223961152</v>
      </c>
      <c r="AA1208" s="160">
        <f>IF($Y$1129&gt;0,PPMT('Assumptions (Nuclear)'!$V$7,Model!Y1,'Assumptions (Nuclear)'!$V$10,'Assumptions (Nuclear)'!$V$5*Model!$Y$1129*AVERAGE('Assumptions (Nuclear)'!$R$2:$W$2)/10^9),0)</f>
        <v>-0.01282099306</v>
      </c>
      <c r="AB1208" s="160">
        <f>IF($Y$1129&gt;0,PPMT('Assumptions (Nuclear)'!$V$7,Model!Z1,'Assumptions (Nuclear)'!$V$10,'Assumptions (Nuclear)'!$V$5*Model!$Y$1129*AVERAGE('Assumptions (Nuclear)'!$R$2:$W$2)/10^9),0)</f>
        <v>-0.01342999023</v>
      </c>
      <c r="AC1208" s="160">
        <f>IF($Y$1129&gt;0,PPMT('Assumptions (Nuclear)'!$V$7,Model!AA1,'Assumptions (Nuclear)'!$V$10,'Assumptions (Nuclear)'!$V$5*Model!$Y$1129*AVERAGE('Assumptions (Nuclear)'!$R$2:$W$2)/10^9),0)</f>
        <v>-0.01406791477</v>
      </c>
      <c r="AD1208" s="160">
        <f>IF($Y$1129&gt;0,PPMT('Assumptions (Nuclear)'!$V$7,Model!AB1,'Assumptions (Nuclear)'!$V$10,'Assumptions (Nuclear)'!$V$5*Model!$Y$1129*AVERAGE('Assumptions (Nuclear)'!$R$2:$W$2)/10^9),0)</f>
        <v>-0.01473614072</v>
      </c>
      <c r="AE1208" s="160">
        <f>IF($Y$1129&gt;0,PPMT('Assumptions (Nuclear)'!$V$7,Model!AC1,'Assumptions (Nuclear)'!$V$10,'Assumptions (Nuclear)'!$V$5*Model!$Y$1129*AVERAGE('Assumptions (Nuclear)'!$R$2:$W$2)/10^9),0)</f>
        <v>-0.01543610741</v>
      </c>
      <c r="AF1208" s="160">
        <f>IF($Y$1129&gt;0,PPMT('Assumptions (Nuclear)'!$V$7,Model!AD1,'Assumptions (Nuclear)'!$V$10,'Assumptions (Nuclear)'!$V$5*Model!$Y$1129*AVERAGE('Assumptions (Nuclear)'!$R$2:$W$2)/10^9),0)</f>
        <v>-0.01616932251</v>
      </c>
      <c r="AG1208" s="160">
        <f>IF($Y$1129&gt;0,PPMT('Assumptions (Nuclear)'!$V$7,Model!AE1,'Assumptions (Nuclear)'!$V$10,'Assumptions (Nuclear)'!$V$5*Model!$Y$1129*AVERAGE('Assumptions (Nuclear)'!$R$2:$W$2)/10^9),0)</f>
        <v>-0.01693736533</v>
      </c>
      <c r="AH1208" s="160">
        <f>IF($Y$1129&gt;0,PPMT('Assumptions (Nuclear)'!$V$7,Model!AF1,'Assumptions (Nuclear)'!$V$10,'Assumptions (Nuclear)'!$V$5*Model!$Y$1129*AVERAGE('Assumptions (Nuclear)'!$R$2:$W$2)/10^9),0)</f>
        <v>-0.01774189018</v>
      </c>
      <c r="AI1208" s="160">
        <f>IF($Y$1129&gt;0,PPMT('Assumptions (Nuclear)'!$V$7,Model!AG1,'Assumptions (Nuclear)'!$V$10,'Assumptions (Nuclear)'!$V$5*Model!$Y$1129*AVERAGE('Assumptions (Nuclear)'!$R$2:$W$2)/10^9),0)</f>
        <v>-0.01858462996</v>
      </c>
      <c r="AJ1208" s="160">
        <f>IF($Y$1129&gt;0,PPMT('Assumptions (Nuclear)'!$V$7,Model!AH1,'Assumptions (Nuclear)'!$V$10,'Assumptions (Nuclear)'!$V$5*Model!$Y$1129*AVERAGE('Assumptions (Nuclear)'!$R$2:$W$2)/10^9),0)</f>
        <v>-0.01946739989</v>
      </c>
      <c r="AK1208" s="160">
        <f>IF($Y$1129&gt;0,PPMT('Assumptions (Nuclear)'!$V$7,Model!AI1,'Assumptions (Nuclear)'!$V$10,'Assumptions (Nuclear)'!$V$5*Model!$Y$1129*AVERAGE('Assumptions (Nuclear)'!$R$2:$W$2)/10^9),0)</f>
        <v>-0.02039210138</v>
      </c>
      <c r="AL1208" s="160">
        <f>IF($Y$1129&gt;0,PPMT('Assumptions (Nuclear)'!$V$7,Model!AJ1,'Assumptions (Nuclear)'!$V$10,'Assumptions (Nuclear)'!$V$5*Model!$Y$1129*AVERAGE('Assumptions (Nuclear)'!$R$2:$W$2)/10^9),0)</f>
        <v>-0.0213607262</v>
      </c>
      <c r="AM1208" s="160">
        <f>IF($Y$1129&gt;0,PPMT('Assumptions (Nuclear)'!$V$7,Model!AK1,'Assumptions (Nuclear)'!$V$10,'Assumptions (Nuclear)'!$V$5*Model!$Y$1129*AVERAGE('Assumptions (Nuclear)'!$R$2:$W$2)/10^9),0)</f>
        <v>-0.02237536069</v>
      </c>
      <c r="AN1208" s="160"/>
      <c r="AO1208" s="160"/>
      <c r="AP1208" s="160"/>
      <c r="AQ1208" s="160"/>
      <c r="AR1208" s="160"/>
      <c r="AS1208" s="160"/>
      <c r="AT1208" s="160"/>
      <c r="AU1208" s="160"/>
      <c r="AV1208" s="160"/>
      <c r="AW1208" s="160"/>
      <c r="AX1208" s="160"/>
      <c r="AY1208" s="160"/>
      <c r="AZ1208" s="160"/>
      <c r="BA1208" s="160"/>
    </row>
    <row r="1209" ht="15.75" hidden="1" customHeight="1" outlineLevel="1">
      <c r="A1209" s="262"/>
      <c r="B1209" s="38"/>
      <c r="C1209" s="174"/>
      <c r="D1209" s="174"/>
      <c r="E1209" s="174"/>
      <c r="F1209" s="174"/>
      <c r="G1209" s="174"/>
      <c r="H1209" s="174"/>
      <c r="I1209" s="174"/>
      <c r="J1209" s="174"/>
      <c r="K1209" s="174"/>
      <c r="L1209" s="174"/>
      <c r="M1209" s="174"/>
      <c r="N1209" s="174"/>
      <c r="O1209" s="174"/>
      <c r="P1209" s="174"/>
      <c r="Q1209" s="174"/>
      <c r="R1209" s="174"/>
      <c r="S1209" s="174"/>
      <c r="T1209" s="174"/>
      <c r="U1209" s="174"/>
      <c r="V1209" s="174"/>
      <c r="W1209" s="160"/>
      <c r="X1209" s="160"/>
      <c r="Y1209" s="160"/>
      <c r="Z1209" s="160">
        <f>IF($Z$1129&gt;0,PPMT('Assumptions (Nuclear)'!$V$7,Model!W1,'Assumptions (Nuclear)'!$V$10,'Assumptions (Nuclear)'!$V$5*Model!$Z$1129*AVERAGE('Assumptions (Nuclear)'!$S$2:$X$2)/10^9),0)</f>
        <v>-0.01187881469</v>
      </c>
      <c r="AA1209" s="160">
        <f>IF($Z$1129&gt;0,PPMT('Assumptions (Nuclear)'!$V$7,Model!X1,'Assumptions (Nuclear)'!$V$10,'Assumptions (Nuclear)'!$V$5*Model!$Z$1129*AVERAGE('Assumptions (Nuclear)'!$S$2:$X$2)/10^9),0)</f>
        <v>-0.01244305839</v>
      </c>
      <c r="AB1209" s="160">
        <f>IF($Z$1129&gt;0,PPMT('Assumptions (Nuclear)'!$V$7,Model!Y1,'Assumptions (Nuclear)'!$V$10,'Assumptions (Nuclear)'!$V$5*Model!$Z$1129*AVERAGE('Assumptions (Nuclear)'!$S$2:$X$2)/10^9),0)</f>
        <v>-0.01303410366</v>
      </c>
      <c r="AC1209" s="160">
        <f>IF($Z$1129&gt;0,PPMT('Assumptions (Nuclear)'!$V$7,Model!Z1,'Assumptions (Nuclear)'!$V$10,'Assumptions (Nuclear)'!$V$5*Model!$Z$1129*AVERAGE('Assumptions (Nuclear)'!$S$2:$X$2)/10^9),0)</f>
        <v>-0.01365322359</v>
      </c>
      <c r="AD1209" s="160">
        <f>IF($Z$1129&gt;0,PPMT('Assumptions (Nuclear)'!$V$7,Model!AA1,'Assumptions (Nuclear)'!$V$10,'Assumptions (Nuclear)'!$V$5*Model!$Z$1129*AVERAGE('Assumptions (Nuclear)'!$S$2:$X$2)/10^9),0)</f>
        <v>-0.01430175171</v>
      </c>
      <c r="AE1209" s="160">
        <f>IF($Z$1129&gt;0,PPMT('Assumptions (Nuclear)'!$V$7,Model!AB1,'Assumptions (Nuclear)'!$V$10,'Assumptions (Nuclear)'!$V$5*Model!$Z$1129*AVERAGE('Assumptions (Nuclear)'!$S$2:$X$2)/10^9),0)</f>
        <v>-0.01498108491</v>
      </c>
      <c r="AF1209" s="160">
        <f>IF($Z$1129&gt;0,PPMT('Assumptions (Nuclear)'!$V$7,Model!AC1,'Assumptions (Nuclear)'!$V$10,'Assumptions (Nuclear)'!$V$5*Model!$Z$1129*AVERAGE('Assumptions (Nuclear)'!$S$2:$X$2)/10^9),0)</f>
        <v>-0.01569268645</v>
      </c>
      <c r="AG1209" s="160">
        <f>IF($Z$1129&gt;0,PPMT('Assumptions (Nuclear)'!$V$7,Model!AD1,'Assumptions (Nuclear)'!$V$10,'Assumptions (Nuclear)'!$V$5*Model!$Z$1129*AVERAGE('Assumptions (Nuclear)'!$S$2:$X$2)/10^9),0)</f>
        <v>-0.01643808905</v>
      </c>
      <c r="AH1209" s="160">
        <f>IF($Z$1129&gt;0,PPMT('Assumptions (Nuclear)'!$V$7,Model!AE1,'Assumptions (Nuclear)'!$V$10,'Assumptions (Nuclear)'!$V$5*Model!$Z$1129*AVERAGE('Assumptions (Nuclear)'!$S$2:$X$2)/10^9),0)</f>
        <v>-0.01721889828</v>
      </c>
      <c r="AI1209" s="160">
        <f>IF($Z$1129&gt;0,PPMT('Assumptions (Nuclear)'!$V$7,Model!AF1,'Assumptions (Nuclear)'!$V$10,'Assumptions (Nuclear)'!$V$5*Model!$Z$1129*AVERAGE('Assumptions (Nuclear)'!$S$2:$X$2)/10^9),0)</f>
        <v>-0.01803679595</v>
      </c>
      <c r="AJ1209" s="160">
        <f>IF($Z$1129&gt;0,PPMT('Assumptions (Nuclear)'!$V$7,Model!AG1,'Assumptions (Nuclear)'!$V$10,'Assumptions (Nuclear)'!$V$5*Model!$Z$1129*AVERAGE('Assumptions (Nuclear)'!$S$2:$X$2)/10^9),0)</f>
        <v>-0.01889354376</v>
      </c>
      <c r="AK1209" s="160">
        <f>IF($Z$1129&gt;0,PPMT('Assumptions (Nuclear)'!$V$7,Model!AH1,'Assumptions (Nuclear)'!$V$10,'Assumptions (Nuclear)'!$V$5*Model!$Z$1129*AVERAGE('Assumptions (Nuclear)'!$S$2:$X$2)/10^9),0)</f>
        <v>-0.01979098709</v>
      </c>
      <c r="AL1209" s="160">
        <f>IF($Z$1129&gt;0,PPMT('Assumptions (Nuclear)'!$V$7,Model!AI1,'Assumptions (Nuclear)'!$V$10,'Assumptions (Nuclear)'!$V$5*Model!$Z$1129*AVERAGE('Assumptions (Nuclear)'!$S$2:$X$2)/10^9),0)</f>
        <v>-0.02073105898</v>
      </c>
      <c r="AM1209" s="160">
        <f>IF($Z$1129&gt;0,PPMT('Assumptions (Nuclear)'!$V$7,Model!AJ1,'Assumptions (Nuclear)'!$V$10,'Assumptions (Nuclear)'!$V$5*Model!$Z$1129*AVERAGE('Assumptions (Nuclear)'!$S$2:$X$2)/10^9),0)</f>
        <v>-0.02171578428</v>
      </c>
      <c r="AN1209" s="160">
        <f>IF($Z$1129&gt;0,PPMT('Assumptions (Nuclear)'!$V$7,Model!AK1,'Assumptions (Nuclear)'!$V$10,'Assumptions (Nuclear)'!$V$5*Model!$Z$1129*AVERAGE('Assumptions (Nuclear)'!$S$2:$X$2)/10^9),0)</f>
        <v>-0.02274728403</v>
      </c>
      <c r="AO1209" s="160"/>
      <c r="AP1209" s="160"/>
      <c r="AQ1209" s="160"/>
      <c r="AR1209" s="160"/>
      <c r="AS1209" s="160"/>
      <c r="AT1209" s="160"/>
      <c r="AU1209" s="160"/>
      <c r="AV1209" s="160"/>
      <c r="AW1209" s="160"/>
      <c r="AX1209" s="160"/>
      <c r="AY1209" s="160"/>
      <c r="AZ1209" s="160"/>
      <c r="BA1209" s="160"/>
    </row>
    <row r="1210" ht="15.75" hidden="1" customHeight="1" outlineLevel="1">
      <c r="A1210" s="262"/>
      <c r="B1210" s="38"/>
      <c r="C1210" s="174"/>
      <c r="D1210" s="174"/>
      <c r="E1210" s="174"/>
      <c r="F1210" s="174"/>
      <c r="G1210" s="174"/>
      <c r="H1210" s="174"/>
      <c r="I1210" s="174"/>
      <c r="J1210" s="174"/>
      <c r="K1210" s="174"/>
      <c r="L1210" s="174"/>
      <c r="M1210" s="174"/>
      <c r="N1210" s="174"/>
      <c r="O1210" s="174"/>
      <c r="P1210" s="174"/>
      <c r="Q1210" s="174"/>
      <c r="R1210" s="174"/>
      <c r="S1210" s="174"/>
      <c r="T1210" s="174"/>
      <c r="U1210" s="174"/>
      <c r="V1210" s="174"/>
      <c r="W1210" s="160"/>
      <c r="X1210" s="160"/>
      <c r="Y1210" s="160"/>
      <c r="Z1210" s="160"/>
      <c r="AA1210" s="160">
        <f>IF($AA$1129&gt;0,PPMT('Assumptions (Nuclear)'!$V$7,Model!W1,'Assumptions (Nuclear)'!$V$10,'Assumptions (Nuclear)'!$V$5*Model!$AA$1129*AVERAGE('Assumptions (Nuclear)'!$T$2:$Y$2)/10^9),0)</f>
        <v>-0.01206707017</v>
      </c>
      <c r="AB1210" s="160">
        <f>IF($AA$1129&gt;0,PPMT('Assumptions (Nuclear)'!$V$7,Model!X1,'Assumptions (Nuclear)'!$V$10,'Assumptions (Nuclear)'!$V$5*Model!$AA$1129*AVERAGE('Assumptions (Nuclear)'!$T$2:$Y$2)/10^9),0)</f>
        <v>-0.012640256</v>
      </c>
      <c r="AC1210" s="160">
        <f>IF($AA$1129&gt;0,PPMT('Assumptions (Nuclear)'!$V$7,Model!Y1,'Assumptions (Nuclear)'!$V$10,'Assumptions (Nuclear)'!$V$5*Model!$AA$1129*AVERAGE('Assumptions (Nuclear)'!$T$2:$Y$2)/10^9),0)</f>
        <v>-0.01324066816</v>
      </c>
      <c r="AD1210" s="160">
        <f>IF($AA$1129&gt;0,PPMT('Assumptions (Nuclear)'!$V$7,Model!Z1,'Assumptions (Nuclear)'!$V$10,'Assumptions (Nuclear)'!$V$5*Model!$AA$1129*AVERAGE('Assumptions (Nuclear)'!$T$2:$Y$2)/10^9),0)</f>
        <v>-0.0138695999</v>
      </c>
      <c r="AE1210" s="160">
        <f>IF($AA$1129&gt;0,PPMT('Assumptions (Nuclear)'!$V$7,Model!AA1,'Assumptions (Nuclear)'!$V$10,'Assumptions (Nuclear)'!$V$5*Model!$AA$1129*AVERAGE('Assumptions (Nuclear)'!$T$2:$Y$2)/10^9),0)</f>
        <v>-0.01452840589</v>
      </c>
      <c r="AF1210" s="160">
        <f>IF($AA$1129&gt;0,PPMT('Assumptions (Nuclear)'!$V$7,Model!AB1,'Assumptions (Nuclear)'!$V$10,'Assumptions (Nuclear)'!$V$5*Model!$AA$1129*AVERAGE('Assumptions (Nuclear)'!$T$2:$Y$2)/10^9),0)</f>
        <v>-0.01521850517</v>
      </c>
      <c r="AG1210" s="160">
        <f>IF($AA$1129&gt;0,PPMT('Assumptions (Nuclear)'!$V$7,Model!AC1,'Assumptions (Nuclear)'!$V$10,'Assumptions (Nuclear)'!$V$5*Model!$AA$1129*AVERAGE('Assumptions (Nuclear)'!$T$2:$Y$2)/10^9),0)</f>
        <v>-0.01594138417</v>
      </c>
      <c r="AH1210" s="160">
        <f>IF($AA$1129&gt;0,PPMT('Assumptions (Nuclear)'!$V$7,Model!AD1,'Assumptions (Nuclear)'!$V$10,'Assumptions (Nuclear)'!$V$5*Model!$AA$1129*AVERAGE('Assumptions (Nuclear)'!$T$2:$Y$2)/10^9),0)</f>
        <v>-0.01669859992</v>
      </c>
      <c r="AI1210" s="160">
        <f>IF($AA$1129&gt;0,PPMT('Assumptions (Nuclear)'!$V$7,Model!AE1,'Assumptions (Nuclear)'!$V$10,'Assumptions (Nuclear)'!$V$5*Model!$AA$1129*AVERAGE('Assumptions (Nuclear)'!$T$2:$Y$2)/10^9),0)</f>
        <v>-0.01749178341</v>
      </c>
      <c r="AJ1210" s="160">
        <f>IF($AA$1129&gt;0,PPMT('Assumptions (Nuclear)'!$V$7,Model!AF1,'Assumptions (Nuclear)'!$V$10,'Assumptions (Nuclear)'!$V$5*Model!$AA$1129*AVERAGE('Assumptions (Nuclear)'!$T$2:$Y$2)/10^9),0)</f>
        <v>-0.01832264312</v>
      </c>
      <c r="AK1210" s="160">
        <f>IF($AA$1129&gt;0,PPMT('Assumptions (Nuclear)'!$V$7,Model!AG1,'Assumptions (Nuclear)'!$V$10,'Assumptions (Nuclear)'!$V$5*Model!$AA$1129*AVERAGE('Assumptions (Nuclear)'!$T$2:$Y$2)/10^9),0)</f>
        <v>-0.01919296867</v>
      </c>
      <c r="AL1210" s="160">
        <f>IF($AA$1129&gt;0,PPMT('Assumptions (Nuclear)'!$V$7,Model!AH1,'Assumptions (Nuclear)'!$V$10,'Assumptions (Nuclear)'!$V$5*Model!$AA$1129*AVERAGE('Assumptions (Nuclear)'!$T$2:$Y$2)/10^9),0)</f>
        <v>-0.02010463468</v>
      </c>
      <c r="AM1210" s="160">
        <f>IF($AA$1129&gt;0,PPMT('Assumptions (Nuclear)'!$V$7,Model!AI1,'Assumptions (Nuclear)'!$V$10,'Assumptions (Nuclear)'!$V$5*Model!$AA$1129*AVERAGE('Assumptions (Nuclear)'!$T$2:$Y$2)/10^9),0)</f>
        <v>-0.02105960483</v>
      </c>
      <c r="AN1210" s="160">
        <f>IF($AA$1129&gt;0,PPMT('Assumptions (Nuclear)'!$V$7,Model!AJ1,'Assumptions (Nuclear)'!$V$10,'Assumptions (Nuclear)'!$V$5*Model!$AA$1129*AVERAGE('Assumptions (Nuclear)'!$T$2:$Y$2)/10^9),0)</f>
        <v>-0.02205993606</v>
      </c>
      <c r="AO1210" s="160">
        <f>IF($AA$1129&gt;0,PPMT('Assumptions (Nuclear)'!$V$7,Model!AK1,'Assumptions (Nuclear)'!$V$10,'Assumptions (Nuclear)'!$V$5*Model!$AA$1129*AVERAGE('Assumptions (Nuclear)'!$T$2:$Y$2)/10^9),0)</f>
        <v>-0.02310778302</v>
      </c>
      <c r="AP1210" s="160"/>
      <c r="AQ1210" s="160"/>
      <c r="AR1210" s="160"/>
      <c r="AS1210" s="160"/>
      <c r="AT1210" s="160"/>
      <c r="AU1210" s="160"/>
      <c r="AV1210" s="160"/>
      <c r="AW1210" s="160"/>
      <c r="AX1210" s="160"/>
      <c r="AY1210" s="160"/>
      <c r="AZ1210" s="160"/>
      <c r="BA1210" s="160"/>
    </row>
    <row r="1211" ht="15.75" hidden="1" customHeight="1" outlineLevel="1">
      <c r="A1211" s="262"/>
      <c r="B1211" s="38"/>
      <c r="C1211" s="174"/>
      <c r="D1211" s="174"/>
      <c r="E1211" s="174"/>
      <c r="F1211" s="174"/>
      <c r="G1211" s="174"/>
      <c r="H1211" s="174"/>
      <c r="I1211" s="174"/>
      <c r="J1211" s="174"/>
      <c r="K1211" s="174"/>
      <c r="L1211" s="174"/>
      <c r="M1211" s="174"/>
      <c r="N1211" s="174"/>
      <c r="O1211" s="174"/>
      <c r="P1211" s="174"/>
      <c r="Q1211" s="174"/>
      <c r="R1211" s="174"/>
      <c r="S1211" s="174"/>
      <c r="T1211" s="174"/>
      <c r="U1211" s="174"/>
      <c r="V1211" s="174"/>
      <c r="W1211" s="160"/>
      <c r="X1211" s="160"/>
      <c r="Y1211" s="160"/>
      <c r="Z1211" s="160"/>
      <c r="AA1211" s="160"/>
      <c r="AB1211" s="160">
        <f>IF($AB$1129&gt;0,PPMT('Assumptions (Nuclear)'!$V$7,Model!W1,'Assumptions (Nuclear)'!$V$10,'Assumptions (Nuclear)'!$V$5*Model!$AB$1129*AVERAGE('Assumptions (Nuclear)'!$U$2:$Z$2)/10^9),0)</f>
        <v>-0.01223889128</v>
      </c>
      <c r="AC1211" s="160">
        <f>IF($AB$1129&gt;0,PPMT('Assumptions (Nuclear)'!$V$7,Model!X1,'Assumptions (Nuclear)'!$V$10,'Assumptions (Nuclear)'!$V$5*Model!$AB$1129*AVERAGE('Assumptions (Nuclear)'!$U$2:$Z$2)/10^9),0)</f>
        <v>-0.01282023861</v>
      </c>
      <c r="AD1211" s="160">
        <f>IF($AB$1129&gt;0,PPMT('Assumptions (Nuclear)'!$V$7,Model!Y1,'Assumptions (Nuclear)'!$V$10,'Assumptions (Nuclear)'!$V$5*Model!$AB$1129*AVERAGE('Assumptions (Nuclear)'!$U$2:$Z$2)/10^9),0)</f>
        <v>-0.01342919995</v>
      </c>
      <c r="AE1211" s="160">
        <f>IF($AB$1129&gt;0,PPMT('Assumptions (Nuclear)'!$V$7,Model!Z1,'Assumptions (Nuclear)'!$V$10,'Assumptions (Nuclear)'!$V$5*Model!$AB$1129*AVERAGE('Assumptions (Nuclear)'!$U$2:$Z$2)/10^9),0)</f>
        <v>-0.01406708694</v>
      </c>
      <c r="AF1211" s="160">
        <f>IF($AB$1129&gt;0,PPMT('Assumptions (Nuclear)'!$V$7,Model!AA1,'Assumptions (Nuclear)'!$V$10,'Assumptions (Nuclear)'!$V$5*Model!$AB$1129*AVERAGE('Assumptions (Nuclear)'!$U$2:$Z$2)/10^9),0)</f>
        <v>-0.01473527357</v>
      </c>
      <c r="AG1211" s="160">
        <f>IF($AB$1129&gt;0,PPMT('Assumptions (Nuclear)'!$V$7,Model!AB1,'Assumptions (Nuclear)'!$V$10,'Assumptions (Nuclear)'!$V$5*Model!$AB$1129*AVERAGE('Assumptions (Nuclear)'!$U$2:$Z$2)/10^9),0)</f>
        <v>-0.01543519907</v>
      </c>
      <c r="AH1211" s="160">
        <f>IF($AB$1129&gt;0,PPMT('Assumptions (Nuclear)'!$V$7,Model!AC1,'Assumptions (Nuclear)'!$V$10,'Assumptions (Nuclear)'!$V$5*Model!$AB$1129*AVERAGE('Assumptions (Nuclear)'!$U$2:$Z$2)/10^9),0)</f>
        <v>-0.01616837103</v>
      </c>
      <c r="AI1211" s="160">
        <f>IF($AB$1129&gt;0,PPMT('Assumptions (Nuclear)'!$V$7,Model!AD1,'Assumptions (Nuclear)'!$V$10,'Assumptions (Nuclear)'!$V$5*Model!$AB$1129*AVERAGE('Assumptions (Nuclear)'!$U$2:$Z$2)/10^9),0)</f>
        <v>-0.01693636865</v>
      </c>
      <c r="AJ1211" s="160">
        <f>IF($AB$1129&gt;0,PPMT('Assumptions (Nuclear)'!$V$7,Model!AE1,'Assumptions (Nuclear)'!$V$10,'Assumptions (Nuclear)'!$V$5*Model!$AB$1129*AVERAGE('Assumptions (Nuclear)'!$U$2:$Z$2)/10^9),0)</f>
        <v>-0.01774084616</v>
      </c>
      <c r="AK1211" s="160">
        <f>IF($AB$1129&gt;0,PPMT('Assumptions (Nuclear)'!$V$7,Model!AF1,'Assumptions (Nuclear)'!$V$10,'Assumptions (Nuclear)'!$V$5*Model!$AB$1129*AVERAGE('Assumptions (Nuclear)'!$U$2:$Z$2)/10^9),0)</f>
        <v>-0.01858353635</v>
      </c>
      <c r="AL1211" s="160">
        <f>IF($AB$1129&gt;0,PPMT('Assumptions (Nuclear)'!$V$7,Model!AG1,'Assumptions (Nuclear)'!$V$10,'Assumptions (Nuclear)'!$V$5*Model!$AB$1129*AVERAGE('Assumptions (Nuclear)'!$U$2:$Z$2)/10^9),0)</f>
        <v>-0.01946625433</v>
      </c>
      <c r="AM1211" s="160">
        <f>IF($AB$1129&gt;0,PPMT('Assumptions (Nuclear)'!$V$7,Model!AH1,'Assumptions (Nuclear)'!$V$10,'Assumptions (Nuclear)'!$V$5*Model!$AB$1129*AVERAGE('Assumptions (Nuclear)'!$U$2:$Z$2)/10^9),0)</f>
        <v>-0.02039090141</v>
      </c>
      <c r="AN1211" s="160">
        <f>IF($AB$1129&gt;0,PPMT('Assumptions (Nuclear)'!$V$7,Model!AI1,'Assumptions (Nuclear)'!$V$10,'Assumptions (Nuclear)'!$V$5*Model!$AB$1129*AVERAGE('Assumptions (Nuclear)'!$U$2:$Z$2)/10^9),0)</f>
        <v>-0.02135946923</v>
      </c>
      <c r="AO1211" s="160">
        <f>IF($AB$1129&gt;0,PPMT('Assumptions (Nuclear)'!$V$7,Model!AJ1,'Assumptions (Nuclear)'!$V$10,'Assumptions (Nuclear)'!$V$5*Model!$AB$1129*AVERAGE('Assumptions (Nuclear)'!$U$2:$Z$2)/10^9),0)</f>
        <v>-0.02237404401</v>
      </c>
      <c r="AP1211" s="160">
        <f>IF($AB$1129&gt;0,PPMT('Assumptions (Nuclear)'!$V$7,Model!AK1,'Assumptions (Nuclear)'!$V$10,'Assumptions (Nuclear)'!$V$5*Model!$AB$1129*AVERAGE('Assumptions (Nuclear)'!$U$2:$Z$2)/10^9),0)</f>
        <v>-0.02343681111</v>
      </c>
      <c r="AQ1211" s="160"/>
      <c r="AR1211" s="160"/>
      <c r="AS1211" s="160"/>
      <c r="AT1211" s="160"/>
      <c r="AU1211" s="160"/>
      <c r="AV1211" s="160"/>
      <c r="AW1211" s="160"/>
      <c r="AX1211" s="160"/>
      <c r="AY1211" s="160"/>
      <c r="AZ1211" s="160"/>
      <c r="BA1211" s="160"/>
    </row>
    <row r="1212" ht="15.75" hidden="1" customHeight="1" outlineLevel="1">
      <c r="A1212" s="262"/>
      <c r="B1212" s="38"/>
      <c r="C1212" s="174"/>
      <c r="D1212" s="174"/>
      <c r="E1212" s="174"/>
      <c r="F1212" s="174"/>
      <c r="G1212" s="174"/>
      <c r="H1212" s="174"/>
      <c r="I1212" s="174"/>
      <c r="J1212" s="174"/>
      <c r="K1212" s="174"/>
      <c r="L1212" s="174"/>
      <c r="M1212" s="174"/>
      <c r="N1212" s="174"/>
      <c r="O1212" s="174"/>
      <c r="P1212" s="174"/>
      <c r="Q1212" s="174"/>
      <c r="R1212" s="174"/>
      <c r="S1212" s="174"/>
      <c r="T1212" s="174"/>
      <c r="U1212" s="174"/>
      <c r="V1212" s="174"/>
      <c r="W1212" s="160"/>
      <c r="X1212" s="160"/>
      <c r="Y1212" s="160"/>
      <c r="Z1212" s="160"/>
      <c r="AA1212" s="160"/>
      <c r="AB1212" s="160"/>
      <c r="AC1212" s="160">
        <f>IF($AC$1129&gt;0,PPMT('Assumptions (Nuclear)'!$V$7,Model!W1,'Assumptions (Nuclear)'!$V$10,'Assumptions (Nuclear)'!$V$5*Model!$AC$1129*AVERAGE('Assumptions (Nuclear)'!$V$2:$AA$2)/10^9),0)</f>
        <v>-0.01241281227</v>
      </c>
      <c r="AD1212" s="160">
        <f>IF($AC$1129&gt;0,PPMT('Assumptions (Nuclear)'!$V$7,Model!X1,'Assumptions (Nuclear)'!$V$10,'Assumptions (Nuclear)'!$V$5*Model!$AC$1129*AVERAGE('Assumptions (Nuclear)'!$V$2:$AA$2)/10^9),0)</f>
        <v>-0.01300242085</v>
      </c>
      <c r="AE1212" s="160">
        <f>IF($AC$1129&gt;0,PPMT('Assumptions (Nuclear)'!$V$7,Model!Y1,'Assumptions (Nuclear)'!$V$10,'Assumptions (Nuclear)'!$V$5*Model!$AC$1129*AVERAGE('Assumptions (Nuclear)'!$V$2:$AA$2)/10^9),0)</f>
        <v>-0.01362003584</v>
      </c>
      <c r="AF1212" s="160">
        <f>IF($AC$1129&gt;0,PPMT('Assumptions (Nuclear)'!$V$7,Model!Z1,'Assumptions (Nuclear)'!$V$10,'Assumptions (Nuclear)'!$V$5*Model!$AC$1129*AVERAGE('Assumptions (Nuclear)'!$V$2:$AA$2)/10^9),0)</f>
        <v>-0.01426698754</v>
      </c>
      <c r="AG1212" s="160">
        <f>IF($AC$1129&gt;0,PPMT('Assumptions (Nuclear)'!$V$7,Model!AA1,'Assumptions (Nuclear)'!$V$10,'Assumptions (Nuclear)'!$V$5*Model!$AC$1129*AVERAGE('Assumptions (Nuclear)'!$V$2:$AA$2)/10^9),0)</f>
        <v>-0.01494466945</v>
      </c>
      <c r="AH1212" s="160">
        <f>IF($AC$1129&gt;0,PPMT('Assumptions (Nuclear)'!$V$7,Model!AB1,'Assumptions (Nuclear)'!$V$10,'Assumptions (Nuclear)'!$V$5*Model!$AC$1129*AVERAGE('Assumptions (Nuclear)'!$V$2:$AA$2)/10^9),0)</f>
        <v>-0.01565454125</v>
      </c>
      <c r="AI1212" s="160">
        <f>IF($AC$1129&gt;0,PPMT('Assumptions (Nuclear)'!$V$7,Model!AC1,'Assumptions (Nuclear)'!$V$10,'Assumptions (Nuclear)'!$V$5*Model!$AC$1129*AVERAGE('Assumptions (Nuclear)'!$V$2:$AA$2)/10^9),0)</f>
        <v>-0.01639813196</v>
      </c>
      <c r="AJ1212" s="160">
        <f>IF($AC$1129&gt;0,PPMT('Assumptions (Nuclear)'!$V$7,Model!AD1,'Assumptions (Nuclear)'!$V$10,'Assumptions (Nuclear)'!$V$5*Model!$AC$1129*AVERAGE('Assumptions (Nuclear)'!$V$2:$AA$2)/10^9),0)</f>
        <v>-0.01717704323</v>
      </c>
      <c r="AK1212" s="160">
        <f>IF($AC$1129&gt;0,PPMT('Assumptions (Nuclear)'!$V$7,Model!AE1,'Assumptions (Nuclear)'!$V$10,'Assumptions (Nuclear)'!$V$5*Model!$AC$1129*AVERAGE('Assumptions (Nuclear)'!$V$2:$AA$2)/10^9),0)</f>
        <v>-0.01799295278</v>
      </c>
      <c r="AL1212" s="160">
        <f>IF($AC$1129&gt;0,PPMT('Assumptions (Nuclear)'!$V$7,Model!AF1,'Assumptions (Nuclear)'!$V$10,'Assumptions (Nuclear)'!$V$5*Model!$AC$1129*AVERAGE('Assumptions (Nuclear)'!$V$2:$AA$2)/10^9),0)</f>
        <v>-0.01884761804</v>
      </c>
      <c r="AM1212" s="160">
        <f>IF($AC$1129&gt;0,PPMT('Assumptions (Nuclear)'!$V$7,Model!AG1,'Assumptions (Nuclear)'!$V$10,'Assumptions (Nuclear)'!$V$5*Model!$AC$1129*AVERAGE('Assumptions (Nuclear)'!$V$2:$AA$2)/10^9),0)</f>
        <v>-0.0197428799</v>
      </c>
      <c r="AN1212" s="160">
        <f>IF($AC$1129&gt;0,PPMT('Assumptions (Nuclear)'!$V$7,Model!AH1,'Assumptions (Nuclear)'!$V$10,'Assumptions (Nuclear)'!$V$5*Model!$AC$1129*AVERAGE('Assumptions (Nuclear)'!$V$2:$AA$2)/10^9),0)</f>
        <v>-0.02068066669</v>
      </c>
      <c r="AO1212" s="160">
        <f>IF($AC$1129&gt;0,PPMT('Assumptions (Nuclear)'!$V$7,Model!AI1,'Assumptions (Nuclear)'!$V$10,'Assumptions (Nuclear)'!$V$5*Model!$AC$1129*AVERAGE('Assumptions (Nuclear)'!$V$2:$AA$2)/10^9),0)</f>
        <v>-0.02166299836</v>
      </c>
      <c r="AP1212" s="160">
        <f>IF($AC$1129&gt;0,PPMT('Assumptions (Nuclear)'!$V$7,Model!AJ1,'Assumptions (Nuclear)'!$V$10,'Assumptions (Nuclear)'!$V$5*Model!$AC$1129*AVERAGE('Assumptions (Nuclear)'!$V$2:$AA$2)/10^9),0)</f>
        <v>-0.02269199078</v>
      </c>
      <c r="AQ1212" s="160">
        <f>IF($AC$1129&gt;0,PPMT('Assumptions (Nuclear)'!$V$7,Model!AK1,'Assumptions (Nuclear)'!$V$10,'Assumptions (Nuclear)'!$V$5*Model!$AC$1129*AVERAGE('Assumptions (Nuclear)'!$V$2:$AA$2)/10^9),0)</f>
        <v>-0.02376986034</v>
      </c>
      <c r="AR1212" s="160"/>
      <c r="AS1212" s="160"/>
      <c r="AT1212" s="160"/>
      <c r="AU1212" s="160"/>
      <c r="AV1212" s="160"/>
      <c r="AW1212" s="160"/>
      <c r="AX1212" s="160"/>
      <c r="AY1212" s="160"/>
      <c r="AZ1212" s="160"/>
      <c r="BA1212" s="160"/>
    </row>
    <row r="1213" ht="15.75" hidden="1" customHeight="1" outlineLevel="1">
      <c r="A1213" s="262"/>
      <c r="B1213" s="38"/>
      <c r="C1213" s="174"/>
      <c r="D1213" s="174"/>
      <c r="E1213" s="174"/>
      <c r="F1213" s="174"/>
      <c r="G1213" s="174"/>
      <c r="H1213" s="174"/>
      <c r="I1213" s="174"/>
      <c r="J1213" s="174"/>
      <c r="K1213" s="174"/>
      <c r="L1213" s="174"/>
      <c r="M1213" s="174"/>
      <c r="N1213" s="174"/>
      <c r="O1213" s="174"/>
      <c r="P1213" s="174"/>
      <c r="Q1213" s="174"/>
      <c r="R1213" s="174"/>
      <c r="S1213" s="174"/>
      <c r="T1213" s="174"/>
      <c r="U1213" s="174"/>
      <c r="V1213" s="174"/>
      <c r="W1213" s="160"/>
      <c r="X1213" s="160"/>
      <c r="Y1213" s="160"/>
      <c r="Z1213" s="160"/>
      <c r="AA1213" s="160"/>
      <c r="AB1213" s="160"/>
      <c r="AC1213" s="160"/>
      <c r="AD1213" s="160">
        <f>IF($AD$1129&gt;0,PPMT('Assumptions (Nuclear)'!$V$7,Model!W1,'Assumptions (Nuclear)'!$V$10,'Assumptions (Nuclear)'!$V$5*Model!$AD$1129*AVERAGE('Assumptions (Nuclear)'!$W$2:$AB$2)/10^9),0)</f>
        <v>-0.01258884968</v>
      </c>
      <c r="AE1213" s="160">
        <f>IF($AD$1129&gt;0,PPMT('Assumptions (Nuclear)'!$V$7,Model!X1,'Assumptions (Nuclear)'!$V$10,'Assumptions (Nuclear)'!$V$5*Model!$AD$1129*AVERAGE('Assumptions (Nuclear)'!$W$2:$AB$2)/10^9),0)</f>
        <v>-0.01318682004</v>
      </c>
      <c r="AF1213" s="160">
        <f>IF($AD$1129&gt;0,PPMT('Assumptions (Nuclear)'!$V$7,Model!Y1,'Assumptions (Nuclear)'!$V$10,'Assumptions (Nuclear)'!$V$5*Model!$AD$1129*AVERAGE('Assumptions (Nuclear)'!$W$2:$AB$2)/10^9),0)</f>
        <v>-0.01381319399</v>
      </c>
      <c r="AG1213" s="160">
        <f>IF($AD$1129&gt;0,PPMT('Assumptions (Nuclear)'!$V$7,Model!Z1,'Assumptions (Nuclear)'!$V$10,'Assumptions (Nuclear)'!$V$5*Model!$AD$1129*AVERAGE('Assumptions (Nuclear)'!$W$2:$AB$2)/10^9),0)</f>
        <v>-0.0144693207</v>
      </c>
      <c r="AH1213" s="160">
        <f>IF($AD$1129&gt;0,PPMT('Assumptions (Nuclear)'!$V$7,Model!AA1,'Assumptions (Nuclear)'!$V$10,'Assumptions (Nuclear)'!$V$5*Model!$AD$1129*AVERAGE('Assumptions (Nuclear)'!$W$2:$AB$2)/10^9),0)</f>
        <v>-0.01515661343</v>
      </c>
      <c r="AI1213" s="160">
        <f>IF($AD$1129&gt;0,PPMT('Assumptions (Nuclear)'!$V$7,Model!AB1,'Assumptions (Nuclear)'!$V$10,'Assumptions (Nuclear)'!$V$5*Model!$AD$1129*AVERAGE('Assumptions (Nuclear)'!$W$2:$AB$2)/10^9),0)</f>
        <v>-0.01587655257</v>
      </c>
      <c r="AJ1213" s="160">
        <f>IF($AD$1129&gt;0,PPMT('Assumptions (Nuclear)'!$V$7,Model!AC1,'Assumptions (Nuclear)'!$V$10,'Assumptions (Nuclear)'!$V$5*Model!$AD$1129*AVERAGE('Assumptions (Nuclear)'!$W$2:$AB$2)/10^9),0)</f>
        <v>-0.01663068882</v>
      </c>
      <c r="AK1213" s="160">
        <f>IF($AD$1129&gt;0,PPMT('Assumptions (Nuclear)'!$V$7,Model!AD1,'Assumptions (Nuclear)'!$V$10,'Assumptions (Nuclear)'!$V$5*Model!$AD$1129*AVERAGE('Assumptions (Nuclear)'!$W$2:$AB$2)/10^9),0)</f>
        <v>-0.01742064654</v>
      </c>
      <c r="AL1213" s="160">
        <f>IF($AD$1129&gt;0,PPMT('Assumptions (Nuclear)'!$V$7,Model!AE1,'Assumptions (Nuclear)'!$V$10,'Assumptions (Nuclear)'!$V$5*Model!$AD$1129*AVERAGE('Assumptions (Nuclear)'!$W$2:$AB$2)/10^9),0)</f>
        <v>-0.01824812725</v>
      </c>
      <c r="AM1213" s="160">
        <f>IF($AD$1129&gt;0,PPMT('Assumptions (Nuclear)'!$V$7,Model!AF1,'Assumptions (Nuclear)'!$V$10,'Assumptions (Nuclear)'!$V$5*Model!$AD$1129*AVERAGE('Assumptions (Nuclear)'!$W$2:$AB$2)/10^9),0)</f>
        <v>-0.01911491329</v>
      </c>
      <c r="AN1213" s="160">
        <f>IF($AD$1129&gt;0,PPMT('Assumptions (Nuclear)'!$V$7,Model!AG1,'Assumptions (Nuclear)'!$V$10,'Assumptions (Nuclear)'!$V$5*Model!$AD$1129*AVERAGE('Assumptions (Nuclear)'!$W$2:$AB$2)/10^9),0)</f>
        <v>-0.02002287168</v>
      </c>
      <c r="AO1213" s="160">
        <f>IF($AD$1129&gt;0,PPMT('Assumptions (Nuclear)'!$V$7,Model!AH1,'Assumptions (Nuclear)'!$V$10,'Assumptions (Nuclear)'!$V$5*Model!$AD$1129*AVERAGE('Assumptions (Nuclear)'!$W$2:$AB$2)/10^9),0)</f>
        <v>-0.02097395808</v>
      </c>
      <c r="AP1213" s="160">
        <f>IF($AD$1129&gt;0,PPMT('Assumptions (Nuclear)'!$V$7,Model!AI1,'Assumptions (Nuclear)'!$V$10,'Assumptions (Nuclear)'!$V$5*Model!$AD$1129*AVERAGE('Assumptions (Nuclear)'!$W$2:$AB$2)/10^9),0)</f>
        <v>-0.02197022109</v>
      </c>
      <c r="AQ1213" s="160">
        <f>IF($AD$1129&gt;0,PPMT('Assumptions (Nuclear)'!$V$7,Model!AJ1,'Assumptions (Nuclear)'!$V$10,'Assumptions (Nuclear)'!$V$5*Model!$AD$1129*AVERAGE('Assumptions (Nuclear)'!$W$2:$AB$2)/10^9),0)</f>
        <v>-0.02301380659</v>
      </c>
      <c r="AR1213" s="160">
        <f>IF($AD$1129&gt;0,PPMT('Assumptions (Nuclear)'!$V$7,Model!AK1,'Assumptions (Nuclear)'!$V$10,'Assumptions (Nuclear)'!$V$5*Model!$AD$1129*AVERAGE('Assumptions (Nuclear)'!$W$2:$AB$2)/10^9),0)</f>
        <v>-0.0241069624</v>
      </c>
      <c r="AS1213" s="160"/>
      <c r="AT1213" s="160"/>
      <c r="AU1213" s="160"/>
      <c r="AV1213" s="160"/>
      <c r="AW1213" s="160"/>
      <c r="AX1213" s="160"/>
      <c r="AY1213" s="160"/>
      <c r="AZ1213" s="160"/>
      <c r="BA1213" s="160"/>
      <c r="BB1213" s="160"/>
    </row>
    <row r="1214" ht="15.75" hidden="1" customHeight="1" outlineLevel="1">
      <c r="A1214" s="262"/>
      <c r="B1214" s="38"/>
      <c r="C1214" s="174"/>
      <c r="D1214" s="174"/>
      <c r="E1214" s="174"/>
      <c r="F1214" s="174"/>
      <c r="G1214" s="174"/>
      <c r="H1214" s="174"/>
      <c r="I1214" s="174"/>
      <c r="J1214" s="174"/>
      <c r="K1214" s="174"/>
      <c r="L1214" s="174"/>
      <c r="M1214" s="174"/>
      <c r="N1214" s="174"/>
      <c r="O1214" s="174"/>
      <c r="P1214" s="174"/>
      <c r="Q1214" s="174"/>
      <c r="R1214" s="174"/>
      <c r="S1214" s="174"/>
      <c r="T1214" s="174"/>
      <c r="U1214" s="174"/>
      <c r="V1214" s="174"/>
      <c r="W1214" s="160"/>
      <c r="X1214" s="160"/>
      <c r="Y1214" s="160"/>
      <c r="Z1214" s="160"/>
      <c r="AA1214" s="160"/>
      <c r="AB1214" s="160"/>
      <c r="AC1214" s="160"/>
      <c r="AD1214" s="160"/>
      <c r="AE1214" s="160">
        <f>IF($AE$1129&gt;0,PPMT('Assumptions (Nuclear)'!$V$7,Model!W1,'Assumptions (Nuclear)'!$V$10,'Assumptions (Nuclear)'!$V$5*Model!$AE$1129*AVERAGE('Assumptions (Nuclear)'!$X$2:$AC$2)/10^9),0)</f>
        <v>-0.01276544826</v>
      </c>
      <c r="AF1214" s="160">
        <f>IF($AE$1129&gt;0,PPMT('Assumptions (Nuclear)'!$V$7,Model!X1,'Assumptions (Nuclear)'!$V$10,'Assumptions (Nuclear)'!$V$5*Model!$AE$1129*AVERAGE('Assumptions (Nuclear)'!$X$2:$AC$2)/10^9),0)</f>
        <v>-0.01337180705</v>
      </c>
      <c r="AG1214" s="160">
        <f>IF($AE$1129&gt;0,PPMT('Assumptions (Nuclear)'!$V$7,Model!Y1,'Assumptions (Nuclear)'!$V$10,'Assumptions (Nuclear)'!$V$5*Model!$AE$1129*AVERAGE('Assumptions (Nuclear)'!$X$2:$AC$2)/10^9),0)</f>
        <v>-0.01400696789</v>
      </c>
      <c r="AH1214" s="160">
        <f>IF($AE$1129&gt;0,PPMT('Assumptions (Nuclear)'!$V$7,Model!Z1,'Assumptions (Nuclear)'!$V$10,'Assumptions (Nuclear)'!$V$5*Model!$AE$1129*AVERAGE('Assumptions (Nuclear)'!$X$2:$AC$2)/10^9),0)</f>
        <v>-0.01467229886</v>
      </c>
      <c r="AI1214" s="160">
        <f>IF($AE$1129&gt;0,PPMT('Assumptions (Nuclear)'!$V$7,Model!AA1,'Assumptions (Nuclear)'!$V$10,'Assumptions (Nuclear)'!$V$5*Model!$AE$1129*AVERAGE('Assumptions (Nuclear)'!$X$2:$AC$2)/10^9),0)</f>
        <v>-0.01536923306</v>
      </c>
      <c r="AJ1214" s="160">
        <f>IF($AE$1129&gt;0,PPMT('Assumptions (Nuclear)'!$V$7,Model!AB1,'Assumptions (Nuclear)'!$V$10,'Assumptions (Nuclear)'!$V$5*Model!$AE$1129*AVERAGE('Assumptions (Nuclear)'!$X$2:$AC$2)/10^9),0)</f>
        <v>-0.01609927163</v>
      </c>
      <c r="AK1214" s="160">
        <f>IF($AE$1129&gt;0,PPMT('Assumptions (Nuclear)'!$V$7,Model!AC1,'Assumptions (Nuclear)'!$V$10,'Assumptions (Nuclear)'!$V$5*Model!$AE$1129*AVERAGE('Assumptions (Nuclear)'!$X$2:$AC$2)/10^9),0)</f>
        <v>-0.01686398703</v>
      </c>
      <c r="AL1214" s="160">
        <f>IF($AE$1129&gt;0,PPMT('Assumptions (Nuclear)'!$V$7,Model!AD1,'Assumptions (Nuclear)'!$V$10,'Assumptions (Nuclear)'!$V$5*Model!$AE$1129*AVERAGE('Assumptions (Nuclear)'!$X$2:$AC$2)/10^9),0)</f>
        <v>-0.01766502642</v>
      </c>
      <c r="AM1214" s="160">
        <f>IF($AE$1129&gt;0,PPMT('Assumptions (Nuclear)'!$V$7,Model!AE1,'Assumptions (Nuclear)'!$V$10,'Assumptions (Nuclear)'!$V$5*Model!$AE$1129*AVERAGE('Assumptions (Nuclear)'!$X$2:$AC$2)/10^9),0)</f>
        <v>-0.01850411517</v>
      </c>
      <c r="AN1214" s="160">
        <f>IF($AE$1129&gt;0,PPMT('Assumptions (Nuclear)'!$V$7,Model!AF1,'Assumptions (Nuclear)'!$V$10,'Assumptions (Nuclear)'!$V$5*Model!$AE$1129*AVERAGE('Assumptions (Nuclear)'!$X$2:$AC$2)/10^9),0)</f>
        <v>-0.01938306064</v>
      </c>
      <c r="AO1214" s="160">
        <f>IF($AE$1129&gt;0,PPMT('Assumptions (Nuclear)'!$V$7,Model!AG1,'Assumptions (Nuclear)'!$V$10,'Assumptions (Nuclear)'!$V$5*Model!$AE$1129*AVERAGE('Assumptions (Nuclear)'!$X$2:$AC$2)/10^9),0)</f>
        <v>-0.02030375602</v>
      </c>
      <c r="AP1214" s="160">
        <f>IF($AE$1129&gt;0,PPMT('Assumptions (Nuclear)'!$V$7,Model!AH1,'Assumptions (Nuclear)'!$V$10,'Assumptions (Nuclear)'!$V$5*Model!$AE$1129*AVERAGE('Assumptions (Nuclear)'!$X$2:$AC$2)/10^9),0)</f>
        <v>-0.02126818443</v>
      </c>
      <c r="AQ1214" s="160">
        <f>IF($AE$1129&gt;0,PPMT('Assumptions (Nuclear)'!$V$7,Model!AI1,'Assumptions (Nuclear)'!$V$10,'Assumptions (Nuclear)'!$V$5*Model!$AE$1129*AVERAGE('Assumptions (Nuclear)'!$X$2:$AC$2)/10^9),0)</f>
        <v>-0.02227842319</v>
      </c>
      <c r="AR1214" s="160">
        <f>IF($AE$1129&gt;0,PPMT('Assumptions (Nuclear)'!$V$7,Model!AJ1,'Assumptions (Nuclear)'!$V$10,'Assumptions (Nuclear)'!$V$5*Model!$AE$1129*AVERAGE('Assumptions (Nuclear)'!$X$2:$AC$2)/10^9),0)</f>
        <v>-0.0233366483</v>
      </c>
      <c r="AS1214" s="160">
        <f>IF($AE$1129&gt;0,PPMT('Assumptions (Nuclear)'!$V$7,Model!AK1,'Assumptions (Nuclear)'!$V$10,'Assumptions (Nuclear)'!$V$5*Model!$AE$1129*AVERAGE('Assumptions (Nuclear)'!$X$2:$AC$2)/10^9),0)</f>
        <v>-0.02444513909</v>
      </c>
      <c r="AT1214" s="160"/>
      <c r="AU1214" s="160"/>
      <c r="AV1214" s="160"/>
      <c r="AW1214" s="160"/>
      <c r="AX1214" s="160"/>
      <c r="AY1214" s="160"/>
      <c r="AZ1214" s="160"/>
      <c r="BA1214" s="160"/>
      <c r="BB1214" s="160"/>
      <c r="BC1214" s="160"/>
    </row>
    <row r="1215" ht="15.75" hidden="1" customHeight="1" outlineLevel="1">
      <c r="A1215" s="262"/>
      <c r="B1215" s="38"/>
      <c r="C1215" s="174"/>
      <c r="D1215" s="174"/>
      <c r="E1215" s="174"/>
      <c r="F1215" s="174"/>
      <c r="G1215" s="174"/>
      <c r="H1215" s="174"/>
      <c r="I1215" s="174"/>
      <c r="J1215" s="174"/>
      <c r="K1215" s="174"/>
      <c r="L1215" s="174"/>
      <c r="M1215" s="174"/>
      <c r="N1215" s="174"/>
      <c r="O1215" s="174"/>
      <c r="P1215" s="174"/>
      <c r="Q1215" s="174"/>
      <c r="R1215" s="174"/>
      <c r="S1215" s="174"/>
      <c r="T1215" s="174"/>
      <c r="U1215" s="174"/>
      <c r="V1215" s="174"/>
      <c r="W1215" s="160"/>
      <c r="X1215" s="160"/>
      <c r="Y1215" s="160"/>
      <c r="Z1215" s="160"/>
      <c r="AA1215" s="160"/>
      <c r="AB1215" s="160"/>
      <c r="AC1215" s="160"/>
      <c r="AD1215" s="160"/>
      <c r="AE1215" s="160"/>
      <c r="AF1215" s="160">
        <f>IF($AF$1129&gt;0,PPMT('Assumptions (Nuclear)'!$V$7,Model!W1,'Assumptions (Nuclear)'!$V$10,'Assumptions (Nuclear)'!$V$5*Model!$AF$1129*AVERAGE('Assumptions (Nuclear)'!$Y$2:$AD$2)/10^9),0)</f>
        <v>-0.01294416521</v>
      </c>
      <c r="AG1215" s="160">
        <f>IF($AF$1129&gt;0,PPMT('Assumptions (Nuclear)'!$V$7,Model!X1,'Assumptions (Nuclear)'!$V$10,'Assumptions (Nuclear)'!$V$5*Model!$AF$1129*AVERAGE('Assumptions (Nuclear)'!$Y$2:$AD$2)/10^9),0)</f>
        <v>-0.01355901305</v>
      </c>
      <c r="AH1215" s="160">
        <f>IF($AF$1129&gt;0,PPMT('Assumptions (Nuclear)'!$V$7,Model!Y1,'Assumptions (Nuclear)'!$V$10,'Assumptions (Nuclear)'!$V$5*Model!$AF$1129*AVERAGE('Assumptions (Nuclear)'!$Y$2:$AD$2)/10^9),0)</f>
        <v>-0.01420306617</v>
      </c>
      <c r="AI1215" s="160">
        <f>IF($AF$1129&gt;0,PPMT('Assumptions (Nuclear)'!$V$7,Model!Z1,'Assumptions (Nuclear)'!$V$10,'Assumptions (Nuclear)'!$V$5*Model!$AF$1129*AVERAGE('Assumptions (Nuclear)'!$Y$2:$AD$2)/10^9),0)</f>
        <v>-0.01487771182</v>
      </c>
      <c r="AJ1215" s="160">
        <f>IF($AF$1129&gt;0,PPMT('Assumptions (Nuclear)'!$V$7,Model!AA1,'Assumptions (Nuclear)'!$V$10,'Assumptions (Nuclear)'!$V$5*Model!$AF$1129*AVERAGE('Assumptions (Nuclear)'!$Y$2:$AD$2)/10^9),0)</f>
        <v>-0.01558440313</v>
      </c>
      <c r="AK1215" s="160">
        <f>IF($AF$1129&gt;0,PPMT('Assumptions (Nuclear)'!$V$7,Model!AB1,'Assumptions (Nuclear)'!$V$10,'Assumptions (Nuclear)'!$V$5*Model!$AF$1129*AVERAGE('Assumptions (Nuclear)'!$Y$2:$AD$2)/10^9),0)</f>
        <v>-0.01632466228</v>
      </c>
      <c r="AL1215" s="160">
        <f>IF($AF$1129&gt;0,PPMT('Assumptions (Nuclear)'!$V$7,Model!AC1,'Assumptions (Nuclear)'!$V$10,'Assumptions (Nuclear)'!$V$5*Model!$AF$1129*AVERAGE('Assumptions (Nuclear)'!$Y$2:$AD$2)/10^9),0)</f>
        <v>-0.01710008374</v>
      </c>
      <c r="AM1215" s="160">
        <f>IF($AF$1129&gt;0,PPMT('Assumptions (Nuclear)'!$V$7,Model!AD1,'Assumptions (Nuclear)'!$V$10,'Assumptions (Nuclear)'!$V$5*Model!$AF$1129*AVERAGE('Assumptions (Nuclear)'!$Y$2:$AD$2)/10^9),0)</f>
        <v>-0.01791233771</v>
      </c>
      <c r="AN1215" s="160">
        <f>IF($AF$1129&gt;0,PPMT('Assumptions (Nuclear)'!$V$7,Model!AE1,'Assumptions (Nuclear)'!$V$10,'Assumptions (Nuclear)'!$V$5*Model!$AF$1129*AVERAGE('Assumptions (Nuclear)'!$Y$2:$AD$2)/10^9),0)</f>
        <v>-0.01876317375</v>
      </c>
      <c r="AO1215" s="160">
        <f>IF($AF$1129&gt;0,PPMT('Assumptions (Nuclear)'!$V$7,Model!AF1,'Assumptions (Nuclear)'!$V$10,'Assumptions (Nuclear)'!$V$5*Model!$AF$1129*AVERAGE('Assumptions (Nuclear)'!$Y$2:$AD$2)/10^9),0)</f>
        <v>-0.01965442451</v>
      </c>
      <c r="AP1215" s="160">
        <f>IF($AF$1129&gt;0,PPMT('Assumptions (Nuclear)'!$V$7,Model!AG1,'Assumptions (Nuclear)'!$V$10,'Assumptions (Nuclear)'!$V$5*Model!$AF$1129*AVERAGE('Assumptions (Nuclear)'!$Y$2:$AD$2)/10^9),0)</f>
        <v>-0.02058800967</v>
      </c>
      <c r="AQ1215" s="160">
        <f>IF($AF$1129&gt;0,PPMT('Assumptions (Nuclear)'!$V$7,Model!AH1,'Assumptions (Nuclear)'!$V$10,'Assumptions (Nuclear)'!$V$5*Model!$AF$1129*AVERAGE('Assumptions (Nuclear)'!$Y$2:$AD$2)/10^9),0)</f>
        <v>-0.02156594013</v>
      </c>
      <c r="AR1215" s="160">
        <f>IF($AF$1129&gt;0,PPMT('Assumptions (Nuclear)'!$V$7,Model!AI1,'Assumptions (Nuclear)'!$V$10,'Assumptions (Nuclear)'!$V$5*Model!$AF$1129*AVERAGE('Assumptions (Nuclear)'!$Y$2:$AD$2)/10^9),0)</f>
        <v>-0.02259032229</v>
      </c>
      <c r="AS1215" s="160">
        <f>IF($AF$1129&gt;0,PPMT('Assumptions (Nuclear)'!$V$7,Model!AJ1,'Assumptions (Nuclear)'!$V$10,'Assumptions (Nuclear)'!$V$5*Model!$AF$1129*AVERAGE('Assumptions (Nuclear)'!$Y$2:$AD$2)/10^9),0)</f>
        <v>-0.0236633626</v>
      </c>
      <c r="AT1215" s="160">
        <f>IF($AF$1129&gt;0,PPMT('Assumptions (Nuclear)'!$V$7,Model!AK1,'Assumptions (Nuclear)'!$V$10,'Assumptions (Nuclear)'!$V$5*Model!$AF$1129*AVERAGE('Assumptions (Nuclear)'!$Y$2:$AD$2)/10^9),0)</f>
        <v>-0.02478737232</v>
      </c>
      <c r="AU1215" s="160"/>
      <c r="AV1215" s="160"/>
      <c r="AW1215" s="160"/>
      <c r="AX1215" s="160"/>
      <c r="AY1215" s="160"/>
      <c r="AZ1215" s="160"/>
      <c r="BA1215" s="160"/>
      <c r="BB1215" s="160"/>
      <c r="BC1215" s="160"/>
      <c r="BD1215" s="160"/>
    </row>
    <row r="1216" ht="15.75" hidden="1" customHeight="1" outlineLevel="1">
      <c r="A1216" s="262"/>
      <c r="B1216" s="38"/>
      <c r="C1216" s="174"/>
      <c r="D1216" s="174"/>
      <c r="E1216" s="174"/>
      <c r="F1216" s="174"/>
      <c r="G1216" s="174"/>
      <c r="H1216" s="174"/>
      <c r="I1216" s="174"/>
      <c r="J1216" s="174"/>
      <c r="K1216" s="174"/>
      <c r="L1216" s="174"/>
      <c r="M1216" s="174"/>
      <c r="N1216" s="174"/>
      <c r="O1216" s="174"/>
      <c r="P1216" s="174"/>
      <c r="Q1216" s="174"/>
      <c r="R1216" s="174"/>
      <c r="S1216" s="174"/>
      <c r="T1216" s="174"/>
      <c r="U1216" s="174"/>
      <c r="V1216" s="174"/>
      <c r="W1216" s="160"/>
      <c r="X1216" s="160"/>
      <c r="Y1216" s="160"/>
      <c r="Z1216" s="160"/>
      <c r="AA1216" s="160"/>
      <c r="AB1216" s="160"/>
      <c r="AC1216" s="160"/>
      <c r="AD1216" s="160"/>
      <c r="AE1216" s="160"/>
      <c r="AF1216" s="160"/>
      <c r="AG1216" s="160">
        <f>IF($AG$1129&gt;0,PPMT('Assumptions (Nuclear)'!$V$7,Model!W1,'Assumptions (Nuclear)'!$V$10,'Assumptions (Nuclear)'!$V$5*Model!$AG$1129*AVERAGE('Assumptions (Nuclear)'!$Z$2:$AE$2)/10^9),0)</f>
        <v>-0.01312401389</v>
      </c>
      <c r="AH1216" s="160">
        <f>IF($AG$1129&gt;0,PPMT('Assumptions (Nuclear)'!$V$7,Model!X1,'Assumptions (Nuclear)'!$V$10,'Assumptions (Nuclear)'!$V$5*Model!$AG$1129*AVERAGE('Assumptions (Nuclear)'!$Z$2:$AE$2)/10^9),0)</f>
        <v>-0.01374740455</v>
      </c>
      <c r="AI1216" s="160">
        <f>IF($AG$1129&gt;0,PPMT('Assumptions (Nuclear)'!$V$7,Model!Y1,'Assumptions (Nuclear)'!$V$10,'Assumptions (Nuclear)'!$V$5*Model!$AG$1129*AVERAGE('Assumptions (Nuclear)'!$Z$2:$AE$2)/10^9),0)</f>
        <v>-0.01440040626</v>
      </c>
      <c r="AJ1216" s="160">
        <f>IF($AG$1129&gt;0,PPMT('Assumptions (Nuclear)'!$V$7,Model!Z1,'Assumptions (Nuclear)'!$V$10,'Assumptions (Nuclear)'!$V$5*Model!$AG$1129*AVERAGE('Assumptions (Nuclear)'!$Z$2:$AE$2)/10^9),0)</f>
        <v>-0.01508442556</v>
      </c>
      <c r="AK1216" s="160">
        <f>IF($AG$1129&gt;0,PPMT('Assumptions (Nuclear)'!$V$7,Model!AA1,'Assumptions (Nuclear)'!$V$10,'Assumptions (Nuclear)'!$V$5*Model!$AG$1129*AVERAGE('Assumptions (Nuclear)'!$Z$2:$AE$2)/10^9),0)</f>
        <v>-0.01580093578</v>
      </c>
      <c r="AL1216" s="160">
        <f>IF($AG$1129&gt;0,PPMT('Assumptions (Nuclear)'!$V$7,Model!AB1,'Assumptions (Nuclear)'!$V$10,'Assumptions (Nuclear)'!$V$5*Model!$AG$1129*AVERAGE('Assumptions (Nuclear)'!$Z$2:$AE$2)/10^9),0)</f>
        <v>-0.01655148022</v>
      </c>
      <c r="AM1216" s="160">
        <f>IF($AG$1129&gt;0,PPMT('Assumptions (Nuclear)'!$V$7,Model!AC1,'Assumptions (Nuclear)'!$V$10,'Assumptions (Nuclear)'!$V$5*Model!$AG$1129*AVERAGE('Assumptions (Nuclear)'!$Z$2:$AE$2)/10^9),0)</f>
        <v>-0.01733767554</v>
      </c>
      <c r="AN1216" s="160">
        <f>IF($AG$1129&gt;0,PPMT('Assumptions (Nuclear)'!$V$7,Model!AD1,'Assumptions (Nuclear)'!$V$10,'Assumptions (Nuclear)'!$V$5*Model!$AG$1129*AVERAGE('Assumptions (Nuclear)'!$Z$2:$AE$2)/10^9),0)</f>
        <v>-0.01816121512</v>
      </c>
      <c r="AO1216" s="160">
        <f>IF($AG$1129&gt;0,PPMT('Assumptions (Nuclear)'!$V$7,Model!AE1,'Assumptions (Nuclear)'!$V$10,'Assumptions (Nuclear)'!$V$5*Model!$AG$1129*AVERAGE('Assumptions (Nuclear)'!$Z$2:$AE$2)/10^9),0)</f>
        <v>-0.01902387284</v>
      </c>
      <c r="AP1216" s="160">
        <f>IF($AG$1129&gt;0,PPMT('Assumptions (Nuclear)'!$V$7,Model!AF1,'Assumptions (Nuclear)'!$V$10,'Assumptions (Nuclear)'!$V$5*Model!$AG$1129*AVERAGE('Assumptions (Nuclear)'!$Z$2:$AE$2)/10^9),0)</f>
        <v>-0.0199275068</v>
      </c>
      <c r="AQ1216" s="160">
        <f>IF($AG$1129&gt;0,PPMT('Assumptions (Nuclear)'!$V$7,Model!AG1,'Assumptions (Nuclear)'!$V$10,'Assumptions (Nuclear)'!$V$5*Model!$AG$1129*AVERAGE('Assumptions (Nuclear)'!$Z$2:$AE$2)/10^9),0)</f>
        <v>-0.02087406338</v>
      </c>
      <c r="AR1216" s="160">
        <f>IF($AG$1129&gt;0,PPMT('Assumptions (Nuclear)'!$V$7,Model!AH1,'Assumptions (Nuclear)'!$V$10,'Assumptions (Nuclear)'!$V$5*Model!$AG$1129*AVERAGE('Assumptions (Nuclear)'!$Z$2:$AE$2)/10^9),0)</f>
        <v>-0.02186558139</v>
      </c>
      <c r="AS1216" s="160">
        <f>IF($AG$1129&gt;0,PPMT('Assumptions (Nuclear)'!$V$7,Model!AI1,'Assumptions (Nuclear)'!$V$10,'Assumptions (Nuclear)'!$V$5*Model!$AG$1129*AVERAGE('Assumptions (Nuclear)'!$Z$2:$AE$2)/10^9),0)</f>
        <v>-0.0229041965</v>
      </c>
      <c r="AT1216" s="160">
        <f>IF($AG$1129&gt;0,PPMT('Assumptions (Nuclear)'!$V$7,Model!AJ1,'Assumptions (Nuclear)'!$V$10,'Assumptions (Nuclear)'!$V$5*Model!$AG$1129*AVERAGE('Assumptions (Nuclear)'!$Z$2:$AE$2)/10^9),0)</f>
        <v>-0.02399214583</v>
      </c>
      <c r="AU1216" s="160">
        <f>IF($AG$1129&gt;0,PPMT('Assumptions (Nuclear)'!$V$7,Model!AK1,'Assumptions (Nuclear)'!$V$10,'Assumptions (Nuclear)'!$V$5*Model!$AG$1129*AVERAGE('Assumptions (Nuclear)'!$Z$2:$AE$2)/10^9),0)</f>
        <v>-0.02513177276</v>
      </c>
      <c r="AV1216" s="160"/>
      <c r="AW1216" s="160"/>
      <c r="AX1216" s="160"/>
      <c r="AY1216" s="160"/>
      <c r="AZ1216" s="160"/>
      <c r="BA1216" s="160"/>
      <c r="BB1216" s="160"/>
      <c r="BC1216" s="160"/>
      <c r="BD1216" s="160"/>
      <c r="BE1216" s="160"/>
    </row>
    <row r="1217" ht="15.75" hidden="1" customHeight="1" outlineLevel="1">
      <c r="A1217" s="262"/>
      <c r="B1217" s="38"/>
      <c r="C1217" s="174"/>
      <c r="D1217" s="174"/>
      <c r="E1217" s="174"/>
      <c r="F1217" s="174"/>
      <c r="G1217" s="174"/>
      <c r="H1217" s="174"/>
      <c r="I1217" s="174"/>
      <c r="J1217" s="174"/>
      <c r="K1217" s="174"/>
      <c r="L1217" s="174"/>
      <c r="M1217" s="174"/>
      <c r="N1217" s="174"/>
      <c r="O1217" s="174"/>
      <c r="P1217" s="174"/>
      <c r="Q1217" s="174"/>
      <c r="R1217" s="174"/>
      <c r="S1217" s="174"/>
      <c r="T1217" s="174"/>
      <c r="U1217" s="174"/>
      <c r="V1217" s="174"/>
      <c r="W1217" s="160"/>
      <c r="X1217" s="160"/>
      <c r="Y1217" s="160"/>
      <c r="Z1217" s="160"/>
      <c r="AA1217" s="160"/>
      <c r="AB1217" s="160"/>
      <c r="AC1217" s="160"/>
      <c r="AD1217" s="160"/>
      <c r="AE1217" s="160"/>
      <c r="AF1217" s="160"/>
      <c r="AG1217" s="160"/>
      <c r="AH1217" s="160">
        <f>IF($AH$1129&gt;0,PPMT('Assumptions (Nuclear)'!$V$7,Model!W1,'Assumptions (Nuclear)'!$V$10,'Assumptions (Nuclear)'!$V$5*Model!$AH$1129*AVERAGE('Assumptions (Nuclear)'!$AA$2:$AF$2)/10^9),0)</f>
        <v>-0.01330262396</v>
      </c>
      <c r="AI1217" s="160">
        <f>IF($AH$1129&gt;0,PPMT('Assumptions (Nuclear)'!$V$7,Model!X1,'Assumptions (Nuclear)'!$V$10,'Assumptions (Nuclear)'!$V$5*Model!$AH$1129*AVERAGE('Assumptions (Nuclear)'!$AA$2:$AF$2)/10^9),0)</f>
        <v>-0.0139344986</v>
      </c>
      <c r="AJ1217" s="160">
        <f>IF($AH$1129&gt;0,PPMT('Assumptions (Nuclear)'!$V$7,Model!Y1,'Assumptions (Nuclear)'!$V$10,'Assumptions (Nuclear)'!$V$5*Model!$AH$1129*AVERAGE('Assumptions (Nuclear)'!$AA$2:$AF$2)/10^9),0)</f>
        <v>-0.01459638728</v>
      </c>
      <c r="AK1217" s="160">
        <f>IF($AH$1129&gt;0,PPMT('Assumptions (Nuclear)'!$V$7,Model!Z1,'Assumptions (Nuclear)'!$V$10,'Assumptions (Nuclear)'!$V$5*Model!$AH$1129*AVERAGE('Assumptions (Nuclear)'!$AA$2:$AF$2)/10^9),0)</f>
        <v>-0.01528971567</v>
      </c>
      <c r="AL1217" s="160">
        <f>IF($AH$1129&gt;0,PPMT('Assumptions (Nuclear)'!$V$7,Model!AA1,'Assumptions (Nuclear)'!$V$10,'Assumptions (Nuclear)'!$V$5*Model!$AH$1129*AVERAGE('Assumptions (Nuclear)'!$AA$2:$AF$2)/10^9),0)</f>
        <v>-0.01601597717</v>
      </c>
      <c r="AM1217" s="160">
        <f>IF($AH$1129&gt;0,PPMT('Assumptions (Nuclear)'!$V$7,Model!AB1,'Assumptions (Nuclear)'!$V$10,'Assumptions (Nuclear)'!$V$5*Model!$AH$1129*AVERAGE('Assumptions (Nuclear)'!$AA$2:$AF$2)/10^9),0)</f>
        <v>-0.01677673608</v>
      </c>
      <c r="AN1217" s="160">
        <f>IF($AH$1129&gt;0,PPMT('Assumptions (Nuclear)'!$V$7,Model!AC1,'Assumptions (Nuclear)'!$V$10,'Assumptions (Nuclear)'!$V$5*Model!$AH$1129*AVERAGE('Assumptions (Nuclear)'!$AA$2:$AF$2)/10^9),0)</f>
        <v>-0.01757363105</v>
      </c>
      <c r="AO1217" s="160">
        <f>IF($AH$1129&gt;0,PPMT('Assumptions (Nuclear)'!$V$7,Model!AD1,'Assumptions (Nuclear)'!$V$10,'Assumptions (Nuclear)'!$V$5*Model!$AH$1129*AVERAGE('Assumptions (Nuclear)'!$AA$2:$AF$2)/10^9),0)</f>
        <v>-0.01840837852</v>
      </c>
      <c r="AP1217" s="160">
        <f>IF($AH$1129&gt;0,PPMT('Assumptions (Nuclear)'!$V$7,Model!AE1,'Assumptions (Nuclear)'!$V$10,'Assumptions (Nuclear)'!$V$5*Model!$AH$1129*AVERAGE('Assumptions (Nuclear)'!$AA$2:$AF$2)/10^9),0)</f>
        <v>-0.0192827765</v>
      </c>
      <c r="AQ1217" s="160">
        <f>IF($AH$1129&gt;0,PPMT('Assumptions (Nuclear)'!$V$7,Model!AF1,'Assumptions (Nuclear)'!$V$10,'Assumptions (Nuclear)'!$V$5*Model!$AH$1129*AVERAGE('Assumptions (Nuclear)'!$AA$2:$AF$2)/10^9),0)</f>
        <v>-0.02019870839</v>
      </c>
      <c r="AR1217" s="160">
        <f>IF($AH$1129&gt;0,PPMT('Assumptions (Nuclear)'!$V$7,Model!AG1,'Assumptions (Nuclear)'!$V$10,'Assumptions (Nuclear)'!$V$5*Model!$AH$1129*AVERAGE('Assumptions (Nuclear)'!$AA$2:$AF$2)/10^9),0)</f>
        <v>-0.02115814704</v>
      </c>
      <c r="AS1217" s="160">
        <f>IF($AH$1129&gt;0,PPMT('Assumptions (Nuclear)'!$V$7,Model!AH1,'Assumptions (Nuclear)'!$V$10,'Assumptions (Nuclear)'!$V$5*Model!$AH$1129*AVERAGE('Assumptions (Nuclear)'!$AA$2:$AF$2)/10^9),0)</f>
        <v>-0.02216315902</v>
      </c>
      <c r="AT1217" s="160">
        <f>IF($AH$1129&gt;0,PPMT('Assumptions (Nuclear)'!$V$7,Model!AI1,'Assumptions (Nuclear)'!$V$10,'Assumptions (Nuclear)'!$V$5*Model!$AH$1129*AVERAGE('Assumptions (Nuclear)'!$AA$2:$AF$2)/10^9),0)</f>
        <v>-0.02321590907</v>
      </c>
      <c r="AU1217" s="160">
        <f>IF($AH$1129&gt;0,PPMT('Assumptions (Nuclear)'!$V$7,Model!AJ1,'Assumptions (Nuclear)'!$V$10,'Assumptions (Nuclear)'!$V$5*Model!$AH$1129*AVERAGE('Assumptions (Nuclear)'!$AA$2:$AF$2)/10^9),0)</f>
        <v>-0.02431866475</v>
      </c>
      <c r="AV1217" s="160">
        <f>IF($AH$1129&gt;0,PPMT('Assumptions (Nuclear)'!$V$7,Model!AK1,'Assumptions (Nuclear)'!$V$10,'Assumptions (Nuclear)'!$V$5*Model!$AH$1129*AVERAGE('Assumptions (Nuclear)'!$AA$2:$AF$2)/10^9),0)</f>
        <v>-0.02547380133</v>
      </c>
      <c r="AW1217" s="160"/>
      <c r="AX1217" s="160"/>
      <c r="AY1217" s="160"/>
      <c r="AZ1217" s="160"/>
      <c r="BA1217" s="160"/>
      <c r="BB1217" s="160"/>
      <c r="BC1217" s="160"/>
      <c r="BD1217" s="160"/>
      <c r="BE1217" s="160"/>
      <c r="BF1217" s="160"/>
    </row>
    <row r="1218" ht="15.75" hidden="1" customHeight="1" outlineLevel="1">
      <c r="A1218" s="262"/>
      <c r="B1218" s="38"/>
      <c r="C1218" s="174"/>
      <c r="D1218" s="174"/>
      <c r="E1218" s="174"/>
      <c r="F1218" s="174"/>
      <c r="G1218" s="174"/>
      <c r="H1218" s="174"/>
      <c r="I1218" s="174"/>
      <c r="J1218" s="174"/>
      <c r="K1218" s="174"/>
      <c r="L1218" s="174"/>
      <c r="M1218" s="174"/>
      <c r="N1218" s="174"/>
      <c r="O1218" s="174"/>
      <c r="P1218" s="174"/>
      <c r="Q1218" s="174"/>
      <c r="R1218" s="174"/>
      <c r="S1218" s="174"/>
      <c r="T1218" s="174"/>
      <c r="U1218" s="174"/>
      <c r="V1218" s="174"/>
      <c r="W1218" s="160"/>
      <c r="X1218" s="160"/>
      <c r="Y1218" s="160"/>
      <c r="Z1218" s="160"/>
      <c r="AA1218" s="160"/>
      <c r="AB1218" s="160"/>
      <c r="AC1218" s="160"/>
      <c r="AD1218" s="160"/>
      <c r="AE1218" s="160"/>
      <c r="AF1218" s="160"/>
      <c r="AG1218" s="160"/>
      <c r="AH1218" s="160"/>
      <c r="AI1218" s="160">
        <f>IF($AI$1129&gt;0,PPMT('Assumptions (Nuclear)'!$V$7,Model!W1,'Assumptions (Nuclear)'!$V$10,'Assumptions (Nuclear)'!$V$5*Model!$AI$1129*AVERAGE('Assumptions (Nuclear)'!$AB$2:$AG$2)/10^9),0)</f>
        <v>-0.013480535</v>
      </c>
      <c r="AJ1218" s="160">
        <f>IF($AI$1129&gt;0,PPMT('Assumptions (Nuclear)'!$V$7,Model!X1,'Assumptions (Nuclear)'!$V$10,'Assumptions (Nuclear)'!$V$5*Model!$AI$1129*AVERAGE('Assumptions (Nuclear)'!$AB$2:$AG$2)/10^9),0)</f>
        <v>-0.01412086041</v>
      </c>
      <c r="AK1218" s="160">
        <f>IF($AI$1129&gt;0,PPMT('Assumptions (Nuclear)'!$V$7,Model!Y1,'Assumptions (Nuclear)'!$V$10,'Assumptions (Nuclear)'!$V$5*Model!$AI$1129*AVERAGE('Assumptions (Nuclear)'!$AB$2:$AG$2)/10^9),0)</f>
        <v>-0.01479160128</v>
      </c>
      <c r="AL1218" s="160">
        <f>IF($AI$1129&gt;0,PPMT('Assumptions (Nuclear)'!$V$7,Model!Z1,'Assumptions (Nuclear)'!$V$10,'Assumptions (Nuclear)'!$V$5*Model!$AI$1129*AVERAGE('Assumptions (Nuclear)'!$AB$2:$AG$2)/10^9),0)</f>
        <v>-0.01549420234</v>
      </c>
      <c r="AM1218" s="160">
        <f>IF($AI$1129&gt;0,PPMT('Assumptions (Nuclear)'!$V$7,Model!AA1,'Assumptions (Nuclear)'!$V$10,'Assumptions (Nuclear)'!$V$5*Model!$AI$1129*AVERAGE('Assumptions (Nuclear)'!$AB$2:$AG$2)/10^9),0)</f>
        <v>-0.01623017695</v>
      </c>
      <c r="AN1218" s="160">
        <f>IF($AI$1129&gt;0,PPMT('Assumptions (Nuclear)'!$V$7,Model!AB1,'Assumptions (Nuclear)'!$V$10,'Assumptions (Nuclear)'!$V$5*Model!$AI$1129*AVERAGE('Assumptions (Nuclear)'!$AB$2:$AG$2)/10^9),0)</f>
        <v>-0.01700111036</v>
      </c>
      <c r="AO1218" s="160">
        <f>IF($AI$1129&gt;0,PPMT('Assumptions (Nuclear)'!$V$7,Model!AC1,'Assumptions (Nuclear)'!$V$10,'Assumptions (Nuclear)'!$V$5*Model!$AI$1129*AVERAGE('Assumptions (Nuclear)'!$AB$2:$AG$2)/10^9),0)</f>
        <v>-0.0178086631</v>
      </c>
      <c r="AP1218" s="160">
        <f>IF($AI$1129&gt;0,PPMT('Assumptions (Nuclear)'!$V$7,Model!AD1,'Assumptions (Nuclear)'!$V$10,'Assumptions (Nuclear)'!$V$5*Model!$AI$1129*AVERAGE('Assumptions (Nuclear)'!$AB$2:$AG$2)/10^9),0)</f>
        <v>-0.01865457459</v>
      </c>
      <c r="AQ1218" s="160">
        <f>IF($AI$1129&gt;0,PPMT('Assumptions (Nuclear)'!$V$7,Model!AE1,'Assumptions (Nuclear)'!$V$10,'Assumptions (Nuclear)'!$V$5*Model!$AI$1129*AVERAGE('Assumptions (Nuclear)'!$AB$2:$AG$2)/10^9),0)</f>
        <v>-0.01954066689</v>
      </c>
      <c r="AR1218" s="160">
        <f>IF($AI$1129&gt;0,PPMT('Assumptions (Nuclear)'!$V$7,Model!AF1,'Assumptions (Nuclear)'!$V$10,'Assumptions (Nuclear)'!$V$5*Model!$AI$1129*AVERAGE('Assumptions (Nuclear)'!$AB$2:$AG$2)/10^9),0)</f>
        <v>-0.02046884856</v>
      </c>
      <c r="AS1218" s="160">
        <f>IF($AI$1129&gt;0,PPMT('Assumptions (Nuclear)'!$V$7,Model!AG1,'Assumptions (Nuclear)'!$V$10,'Assumptions (Nuclear)'!$V$5*Model!$AI$1129*AVERAGE('Assumptions (Nuclear)'!$AB$2:$AG$2)/10^9),0)</f>
        <v>-0.02144111887</v>
      </c>
      <c r="AT1218" s="160">
        <f>IF($AI$1129&gt;0,PPMT('Assumptions (Nuclear)'!$V$7,Model!AH1,'Assumptions (Nuclear)'!$V$10,'Assumptions (Nuclear)'!$V$5*Model!$AI$1129*AVERAGE('Assumptions (Nuclear)'!$AB$2:$AG$2)/10^9),0)</f>
        <v>-0.02245957202</v>
      </c>
      <c r="AU1218" s="160">
        <f>IF($AI$1129&gt;0,PPMT('Assumptions (Nuclear)'!$V$7,Model!AI1,'Assumptions (Nuclear)'!$V$10,'Assumptions (Nuclear)'!$V$5*Model!$AI$1129*AVERAGE('Assumptions (Nuclear)'!$AB$2:$AG$2)/10^9),0)</f>
        <v>-0.02352640169</v>
      </c>
      <c r="AV1218" s="160">
        <f>IF($AI$1129&gt;0,PPMT('Assumptions (Nuclear)'!$V$7,Model!AJ1,'Assumptions (Nuclear)'!$V$10,'Assumptions (Nuclear)'!$V$5*Model!$AI$1129*AVERAGE('Assumptions (Nuclear)'!$AB$2:$AG$2)/10^9),0)</f>
        <v>-0.02464390577</v>
      </c>
      <c r="AW1218" s="160">
        <f>IF($AI$1129&gt;0,PPMT('Assumptions (Nuclear)'!$V$7,Model!AK1,'Assumptions (Nuclear)'!$V$10,'Assumptions (Nuclear)'!$V$5*Model!$AI$1129*AVERAGE('Assumptions (Nuclear)'!$AB$2:$AG$2)/10^9),0)</f>
        <v>-0.02581449129</v>
      </c>
      <c r="AX1218" s="160"/>
      <c r="AY1218" s="160"/>
      <c r="AZ1218" s="160"/>
      <c r="BA1218" s="160"/>
      <c r="BB1218" s="160"/>
      <c r="BC1218" s="160"/>
      <c r="BD1218" s="160"/>
      <c r="BE1218" s="160"/>
      <c r="BF1218" s="160"/>
      <c r="BG1218" s="160"/>
    </row>
    <row r="1219" ht="15.75" hidden="1" customHeight="1" outlineLevel="1">
      <c r="A1219" s="262"/>
      <c r="B1219" s="38"/>
      <c r="C1219" s="174"/>
      <c r="D1219" s="174"/>
      <c r="E1219" s="174"/>
      <c r="F1219" s="174"/>
      <c r="G1219" s="174"/>
      <c r="H1219" s="174"/>
      <c r="I1219" s="174"/>
      <c r="J1219" s="174"/>
      <c r="K1219" s="174"/>
      <c r="L1219" s="174"/>
      <c r="M1219" s="174"/>
      <c r="N1219" s="174"/>
      <c r="O1219" s="174"/>
      <c r="P1219" s="174"/>
      <c r="Q1219" s="174"/>
      <c r="R1219" s="174"/>
      <c r="S1219" s="174"/>
      <c r="T1219" s="174"/>
      <c r="U1219" s="174"/>
      <c r="V1219" s="174"/>
      <c r="W1219" s="160"/>
      <c r="X1219" s="160"/>
      <c r="Y1219" s="160"/>
      <c r="Z1219" s="160"/>
      <c r="AA1219" s="160"/>
      <c r="AB1219" s="160"/>
      <c r="AC1219" s="160"/>
      <c r="AD1219" s="160"/>
      <c r="AE1219" s="160"/>
      <c r="AF1219" s="160"/>
      <c r="AG1219" s="160"/>
      <c r="AH1219" s="160"/>
      <c r="AI1219" s="160"/>
      <c r="AJ1219" s="177">
        <f>IF($AJ$1129&gt;0,PPMT('Assumptions (Nuclear)'!$V$7,Model!W1,'Assumptions (Nuclear)'!$V$10,'Assumptions (Nuclear)'!$V$5*Model!$AJ$1129*AVERAGE('Assumptions (Nuclear)'!$AC$2:$AH$2)/10^9),0)</f>
        <v>-0.1360134154</v>
      </c>
      <c r="AK1219" s="177">
        <f>IF($AJ$1129&gt;0,PPMT('Assumptions (Nuclear)'!$V$7,Model!X1,'Assumptions (Nuclear)'!$V$10,'Assumptions (Nuclear)'!$V$5*Model!$AJ$1129*AVERAGE('Assumptions (Nuclear)'!$AC$2:$AH$2)/10^9),0)</f>
        <v>-0.1424740526</v>
      </c>
      <c r="AL1219" s="177">
        <f>IF($AJ$1129&gt;0,PPMT('Assumptions (Nuclear)'!$V$7,Model!Y1,'Assumptions (Nuclear)'!$V$10,'Assumptions (Nuclear)'!$V$5*Model!$AJ$1129*AVERAGE('Assumptions (Nuclear)'!$AC$2:$AH$2)/10^9),0)</f>
        <v>-0.1492415701</v>
      </c>
      <c r="AM1219" s="177">
        <f>IF($AJ$1129&gt;0,PPMT('Assumptions (Nuclear)'!$V$7,Model!Z1,'Assumptions (Nuclear)'!$V$10,'Assumptions (Nuclear)'!$V$5*Model!$AJ$1129*AVERAGE('Assumptions (Nuclear)'!$AC$2:$AH$2)/10^9),0)</f>
        <v>-0.1563305447</v>
      </c>
      <c r="AN1219" s="177">
        <f>IF($AJ$1129&gt;0,PPMT('Assumptions (Nuclear)'!$V$7,Model!AA1,'Assumptions (Nuclear)'!$V$10,'Assumptions (Nuclear)'!$V$5*Model!$AJ$1129*AVERAGE('Assumptions (Nuclear)'!$AC$2:$AH$2)/10^9),0)</f>
        <v>-0.1637562455</v>
      </c>
      <c r="AO1219" s="177">
        <f>IF($AJ$1129&gt;0,PPMT('Assumptions (Nuclear)'!$V$7,Model!AB1,'Assumptions (Nuclear)'!$V$10,'Assumptions (Nuclear)'!$V$5*Model!$AJ$1129*AVERAGE('Assumptions (Nuclear)'!$AC$2:$AH$2)/10^9),0)</f>
        <v>-0.1715346672</v>
      </c>
      <c r="AP1219" s="177">
        <f>IF($AJ$1129&gt;0,PPMT('Assumptions (Nuclear)'!$V$7,Model!AC1,'Assumptions (Nuclear)'!$V$10,'Assumptions (Nuclear)'!$V$5*Model!$AJ$1129*AVERAGE('Assumptions (Nuclear)'!$AC$2:$AH$2)/10^9),0)</f>
        <v>-0.1796825639</v>
      </c>
      <c r="AQ1219" s="177">
        <f>IF($AJ$1129&gt;0,PPMT('Assumptions (Nuclear)'!$V$7,Model!AD1,'Assumptions (Nuclear)'!$V$10,'Assumptions (Nuclear)'!$V$5*Model!$AJ$1129*AVERAGE('Assumptions (Nuclear)'!$AC$2:$AH$2)/10^9),0)</f>
        <v>-0.1882174857</v>
      </c>
      <c r="AR1219" s="177">
        <f>IF($AJ$1129&gt;0,PPMT('Assumptions (Nuclear)'!$V$7,Model!AE1,'Assumptions (Nuclear)'!$V$10,'Assumptions (Nuclear)'!$V$5*Model!$AJ$1129*AVERAGE('Assumptions (Nuclear)'!$AC$2:$AH$2)/10^9),0)</f>
        <v>-0.1971578163</v>
      </c>
      <c r="AS1219" s="177">
        <f>IF($AJ$1129&gt;0,PPMT('Assumptions (Nuclear)'!$V$7,Model!AF1,'Assumptions (Nuclear)'!$V$10,'Assumptions (Nuclear)'!$V$5*Model!$AJ$1129*AVERAGE('Assumptions (Nuclear)'!$AC$2:$AH$2)/10^9),0)</f>
        <v>-0.2065228125</v>
      </c>
      <c r="AT1219" s="177">
        <f>IF($AJ$1129&gt;0,PPMT('Assumptions (Nuclear)'!$V$7,Model!AG1,'Assumptions (Nuclear)'!$V$10,'Assumptions (Nuclear)'!$V$5*Model!$AJ$1129*AVERAGE('Assumptions (Nuclear)'!$AC$2:$AH$2)/10^9),0)</f>
        <v>-0.2163326461</v>
      </c>
      <c r="AU1219" s="177">
        <f>IF($AJ$1129&gt;0,PPMT('Assumptions (Nuclear)'!$V$7,Model!AH1,'Assumptions (Nuclear)'!$V$10,'Assumptions (Nuclear)'!$V$5*Model!$AJ$1129*AVERAGE('Assumptions (Nuclear)'!$AC$2:$AH$2)/10^9),0)</f>
        <v>-0.2266084468</v>
      </c>
      <c r="AV1219" s="177">
        <f>IF($AJ$1129&gt;0,PPMT('Assumptions (Nuclear)'!$V$7,Model!AI1,'Assumptions (Nuclear)'!$V$10,'Assumptions (Nuclear)'!$V$5*Model!$AJ$1129*AVERAGE('Assumptions (Nuclear)'!$AC$2:$AH$2)/10^9),0)</f>
        <v>-0.237372348</v>
      </c>
      <c r="AW1219" s="177">
        <f>IF($AJ$1129&gt;0,PPMT('Assumptions (Nuclear)'!$V$7,Model!AJ1,'Assumptions (Nuclear)'!$V$10,'Assumptions (Nuclear)'!$V$5*Model!$AJ$1129*AVERAGE('Assumptions (Nuclear)'!$AC$2:$AH$2)/10^9),0)</f>
        <v>-0.2486475346</v>
      </c>
      <c r="AX1219" s="177">
        <f>IF($AJ$1129&gt;0,PPMT('Assumptions (Nuclear)'!$V$7,Model!AK1,'Assumptions (Nuclear)'!$V$10,'Assumptions (Nuclear)'!$V$5*Model!$AJ$1129*AVERAGE('Assumptions (Nuclear)'!$AC$2:$AH$2)/10^9),0)</f>
        <v>-0.2604582925</v>
      </c>
      <c r="AY1219" s="177"/>
      <c r="AZ1219" s="177"/>
      <c r="BA1219" s="177"/>
      <c r="BB1219" s="177"/>
      <c r="BC1219" s="177"/>
      <c r="BD1219" s="177"/>
      <c r="BE1219" s="177"/>
      <c r="BF1219" s="177"/>
      <c r="BG1219" s="177"/>
      <c r="BH1219" s="177"/>
    </row>
    <row r="1220" ht="15.75" hidden="1" customHeight="1" outlineLevel="1">
      <c r="A1220" s="262"/>
      <c r="B1220" s="38"/>
      <c r="C1220" s="174"/>
      <c r="D1220" s="174"/>
      <c r="E1220" s="174"/>
      <c r="F1220" s="174"/>
      <c r="G1220" s="174"/>
      <c r="H1220" s="174"/>
      <c r="I1220" s="174"/>
      <c r="J1220" s="174"/>
      <c r="K1220" s="174"/>
      <c r="L1220" s="174"/>
      <c r="M1220" s="174"/>
      <c r="N1220" s="174"/>
      <c r="O1220" s="174"/>
      <c r="P1220" s="174"/>
      <c r="Q1220" s="174"/>
      <c r="R1220" s="174"/>
      <c r="S1220" s="174"/>
      <c r="T1220" s="174"/>
      <c r="U1220" s="174"/>
      <c r="V1220" s="174"/>
      <c r="W1220" s="160"/>
      <c r="X1220" s="160"/>
      <c r="Y1220" s="160"/>
      <c r="Z1220" s="160"/>
      <c r="AA1220" s="160"/>
      <c r="AB1220" s="160"/>
      <c r="AC1220" s="160"/>
      <c r="AD1220" s="160"/>
      <c r="AE1220" s="160"/>
      <c r="AF1220" s="160"/>
      <c r="AG1220" s="160"/>
      <c r="AH1220" s="160"/>
      <c r="AI1220" s="160"/>
      <c r="AJ1220" s="179"/>
      <c r="AK1220" s="160">
        <f>IF($AK$1129&gt;0,PPMT('Assumptions (Nuclear)'!$V$7,Model!W1,'Assumptions (Nuclear)'!$V$10,'Assumptions (Nuclear)'!$V$5*Model!$AK$1129*AVERAGE('Assumptions (Nuclear)'!$AD$2:$AI$2)/10^9),0)</f>
        <v>-0.01383300961</v>
      </c>
      <c r="AL1220" s="160">
        <f>IF($AK$1129&gt;0,PPMT('Assumptions (Nuclear)'!$V$7,Model!X1,'Assumptions (Nuclear)'!$V$10,'Assumptions (Nuclear)'!$V$5*Model!$AK$1129*AVERAGE('Assumptions (Nuclear)'!$AD$2:$AI$2)/10^9),0)</f>
        <v>-0.01449007757</v>
      </c>
      <c r="AM1220" s="160">
        <f>IF($AK$1129&gt;0,PPMT('Assumptions (Nuclear)'!$V$7,Model!Y1,'Assumptions (Nuclear)'!$V$10,'Assumptions (Nuclear)'!$V$5*Model!$AK$1129*AVERAGE('Assumptions (Nuclear)'!$AD$2:$AI$2)/10^9),0)</f>
        <v>-0.01517835625</v>
      </c>
      <c r="AN1220" s="160">
        <f>IF($AK$1129&gt;0,PPMT('Assumptions (Nuclear)'!$V$7,Model!Z1,'Assumptions (Nuclear)'!$V$10,'Assumptions (Nuclear)'!$V$5*Model!$AK$1129*AVERAGE('Assumptions (Nuclear)'!$AD$2:$AI$2)/10^9),0)</f>
        <v>-0.01589932817</v>
      </c>
      <c r="AO1220" s="160">
        <f>IF($AK$1129&gt;0,PPMT('Assumptions (Nuclear)'!$V$7,Model!AA1,'Assumptions (Nuclear)'!$V$10,'Assumptions (Nuclear)'!$V$5*Model!$AK$1129*AVERAGE('Assumptions (Nuclear)'!$AD$2:$AI$2)/10^9),0)</f>
        <v>-0.01665454626</v>
      </c>
      <c r="AP1220" s="160">
        <f>IF($AK$1129&gt;0,PPMT('Assumptions (Nuclear)'!$V$7,Model!AB1,'Assumptions (Nuclear)'!$V$10,'Assumptions (Nuclear)'!$V$5*Model!$AK$1129*AVERAGE('Assumptions (Nuclear)'!$AD$2:$AI$2)/10^9),0)</f>
        <v>-0.01744563721</v>
      </c>
      <c r="AQ1220" s="160">
        <f>IF($AK$1129&gt;0,PPMT('Assumptions (Nuclear)'!$V$7,Model!AC1,'Assumptions (Nuclear)'!$V$10,'Assumptions (Nuclear)'!$V$5*Model!$AK$1129*AVERAGE('Assumptions (Nuclear)'!$AD$2:$AI$2)/10^9),0)</f>
        <v>-0.01827430498</v>
      </c>
      <c r="AR1220" s="160">
        <f>IF($AK$1129&gt;0,PPMT('Assumptions (Nuclear)'!$V$7,Model!AD1,'Assumptions (Nuclear)'!$V$10,'Assumptions (Nuclear)'!$V$5*Model!$AK$1129*AVERAGE('Assumptions (Nuclear)'!$AD$2:$AI$2)/10^9),0)</f>
        <v>-0.01914233446</v>
      </c>
      <c r="AS1220" s="160">
        <f>IF($AK$1129&gt;0,PPMT('Assumptions (Nuclear)'!$V$7,Model!AE1,'Assumptions (Nuclear)'!$V$10,'Assumptions (Nuclear)'!$V$5*Model!$AK$1129*AVERAGE('Assumptions (Nuclear)'!$AD$2:$AI$2)/10^9),0)</f>
        <v>-0.02005159535</v>
      </c>
      <c r="AT1220" s="160">
        <f>IF($AK$1129&gt;0,PPMT('Assumptions (Nuclear)'!$V$7,Model!AF1,'Assumptions (Nuclear)'!$V$10,'Assumptions (Nuclear)'!$V$5*Model!$AK$1129*AVERAGE('Assumptions (Nuclear)'!$AD$2:$AI$2)/10^9),0)</f>
        <v>-0.02100404613</v>
      </c>
      <c r="AU1220" s="160">
        <f>IF($AK$1129&gt;0,PPMT('Assumptions (Nuclear)'!$V$7,Model!AG1,'Assumptions (Nuclear)'!$V$10,'Assumptions (Nuclear)'!$V$5*Model!$AK$1129*AVERAGE('Assumptions (Nuclear)'!$AD$2:$AI$2)/10^9),0)</f>
        <v>-0.02200173832</v>
      </c>
      <c r="AV1220" s="160">
        <f>IF($AK$1129&gt;0,PPMT('Assumptions (Nuclear)'!$V$7,Model!AH1,'Assumptions (Nuclear)'!$V$10,'Assumptions (Nuclear)'!$V$5*Model!$AK$1129*AVERAGE('Assumptions (Nuclear)'!$AD$2:$AI$2)/10^9),0)</f>
        <v>-0.02304682089</v>
      </c>
      <c r="AW1220" s="160">
        <f>IF($AK$1129&gt;0,PPMT('Assumptions (Nuclear)'!$V$7,Model!AI1,'Assumptions (Nuclear)'!$V$10,'Assumptions (Nuclear)'!$V$5*Model!$AK$1129*AVERAGE('Assumptions (Nuclear)'!$AD$2:$AI$2)/10^9),0)</f>
        <v>-0.02414154488</v>
      </c>
      <c r="AX1220" s="160">
        <f>IF($AK$1129&gt;0,PPMT('Assumptions (Nuclear)'!$V$7,Model!AJ1,'Assumptions (Nuclear)'!$V$10,'Assumptions (Nuclear)'!$V$5*Model!$AK$1129*AVERAGE('Assumptions (Nuclear)'!$AD$2:$AI$2)/10^9),0)</f>
        <v>-0.02528826826</v>
      </c>
      <c r="AY1220" s="160">
        <f>IF($AK$1129&gt;0,PPMT('Assumptions (Nuclear)'!$V$7,Model!AK1,'Assumptions (Nuclear)'!$V$10,'Assumptions (Nuclear)'!$V$5*Model!$AK$1129*AVERAGE('Assumptions (Nuclear)'!$AD$2:$AI$2)/10^9),0)</f>
        <v>-0.02648946101</v>
      </c>
      <c r="AZ1220" s="160"/>
      <c r="BA1220" s="160"/>
      <c r="BB1220" s="160"/>
      <c r="BC1220" s="160"/>
      <c r="BD1220" s="160"/>
      <c r="BE1220" s="160"/>
      <c r="BF1220" s="160"/>
      <c r="BG1220" s="160"/>
      <c r="BH1220" s="160"/>
      <c r="BI1220" s="160"/>
    </row>
    <row r="1221" ht="15.75" hidden="1" customHeight="1" outlineLevel="1">
      <c r="A1221" s="262"/>
      <c r="B1221" s="38"/>
      <c r="C1221" s="174"/>
      <c r="D1221" s="174"/>
      <c r="E1221" s="174"/>
      <c r="F1221" s="174"/>
      <c r="G1221" s="174"/>
      <c r="H1221" s="174"/>
      <c r="I1221" s="174"/>
      <c r="J1221" s="174"/>
      <c r="K1221" s="174"/>
      <c r="L1221" s="174"/>
      <c r="M1221" s="174"/>
      <c r="N1221" s="174"/>
      <c r="O1221" s="174"/>
      <c r="P1221" s="174"/>
      <c r="Q1221" s="174"/>
      <c r="R1221" s="174"/>
      <c r="S1221" s="174"/>
      <c r="T1221" s="174"/>
      <c r="U1221" s="174"/>
      <c r="V1221" s="174"/>
      <c r="W1221" s="160"/>
      <c r="X1221" s="160"/>
      <c r="Y1221" s="160"/>
      <c r="Z1221" s="160"/>
      <c r="AA1221" s="160"/>
      <c r="AB1221" s="160"/>
      <c r="AC1221" s="160"/>
      <c r="AD1221" s="160"/>
      <c r="AE1221" s="160"/>
      <c r="AF1221" s="160"/>
      <c r="AG1221" s="160"/>
      <c r="AH1221" s="160"/>
      <c r="AI1221" s="160"/>
      <c r="AJ1221" s="179"/>
      <c r="AK1221" s="160"/>
      <c r="AL1221" s="177">
        <f>IF($AL$1129&gt;0,PPMT('Assumptions (Nuclear)'!$V$7,Model!W1,'Assumptions (Nuclear)'!$V$10,'Assumptions (Nuclear)'!$V$5*Model!$AL$1129*AVERAGE('Assumptions (Nuclear)'!$AE$2:$AJ$2)/10^9),0)</f>
        <v>-0.1588113261</v>
      </c>
      <c r="AM1221" s="177">
        <f>IF($AL$1129&gt;0,PPMT('Assumptions (Nuclear)'!$V$7,Model!X1,'Assumptions (Nuclear)'!$V$10,'Assumptions (Nuclear)'!$V$5*Model!$AL$1129*AVERAGE('Assumptions (Nuclear)'!$AE$2:$AJ$2)/10^9),0)</f>
        <v>-0.1663548641</v>
      </c>
      <c r="AN1221" s="177">
        <f>IF($AL$1129&gt;0,PPMT('Assumptions (Nuclear)'!$V$7,Model!Y1,'Assumptions (Nuclear)'!$V$10,'Assumptions (Nuclear)'!$V$5*Model!$AL$1129*AVERAGE('Assumptions (Nuclear)'!$AE$2:$AJ$2)/10^9),0)</f>
        <v>-0.1742567201</v>
      </c>
      <c r="AO1221" s="177">
        <f>IF($AL$1129&gt;0,PPMT('Assumptions (Nuclear)'!$V$7,Model!Z1,'Assumptions (Nuclear)'!$V$10,'Assumptions (Nuclear)'!$V$5*Model!$AL$1129*AVERAGE('Assumptions (Nuclear)'!$AE$2:$AJ$2)/10^9),0)</f>
        <v>-0.1825339144</v>
      </c>
      <c r="AP1221" s="177">
        <f>IF($AL$1129&gt;0,PPMT('Assumptions (Nuclear)'!$V$7,Model!AA1,'Assumptions (Nuclear)'!$V$10,'Assumptions (Nuclear)'!$V$5*Model!$AL$1129*AVERAGE('Assumptions (Nuclear)'!$AE$2:$AJ$2)/10^9),0)</f>
        <v>-0.1912042753</v>
      </c>
      <c r="AQ1221" s="177">
        <f>IF($AL$1129&gt;0,PPMT('Assumptions (Nuclear)'!$V$7,Model!AB1,'Assumptions (Nuclear)'!$V$10,'Assumptions (Nuclear)'!$V$5*Model!$AL$1129*AVERAGE('Assumptions (Nuclear)'!$AE$2:$AJ$2)/10^9),0)</f>
        <v>-0.2002864784</v>
      </c>
      <c r="AR1221" s="177">
        <f>IF($AL$1129&gt;0,PPMT('Assumptions (Nuclear)'!$V$7,Model!AC1,'Assumptions (Nuclear)'!$V$10,'Assumptions (Nuclear)'!$V$5*Model!$AL$1129*AVERAGE('Assumptions (Nuclear)'!$AE$2:$AJ$2)/10^9),0)</f>
        <v>-0.2098000861</v>
      </c>
      <c r="AS1221" s="177">
        <f>IF($AL$1129&gt;0,PPMT('Assumptions (Nuclear)'!$V$7,Model!AD1,'Assumptions (Nuclear)'!$V$10,'Assumptions (Nuclear)'!$V$5*Model!$AL$1129*AVERAGE('Assumptions (Nuclear)'!$AE$2:$AJ$2)/10^9),0)</f>
        <v>-0.2197655902</v>
      </c>
      <c r="AT1221" s="177">
        <f>IF($AL$1129&gt;0,PPMT('Assumptions (Nuclear)'!$V$7,Model!AE1,'Assumptions (Nuclear)'!$V$10,'Assumptions (Nuclear)'!$V$5*Model!$AL$1129*AVERAGE('Assumptions (Nuclear)'!$AE$2:$AJ$2)/10^9),0)</f>
        <v>-0.2302044557</v>
      </c>
      <c r="AU1221" s="177">
        <f>IF($AL$1129&gt;0,PPMT('Assumptions (Nuclear)'!$V$7,Model!AF1,'Assumptions (Nuclear)'!$V$10,'Assumptions (Nuclear)'!$V$5*Model!$AL$1129*AVERAGE('Assumptions (Nuclear)'!$AE$2:$AJ$2)/10^9),0)</f>
        <v>-0.2411391674</v>
      </c>
      <c r="AV1221" s="177">
        <f>IF($AL$1129&gt;0,PPMT('Assumptions (Nuclear)'!$V$7,Model!AG1,'Assumptions (Nuclear)'!$V$10,'Assumptions (Nuclear)'!$V$5*Model!$AL$1129*AVERAGE('Assumptions (Nuclear)'!$AE$2:$AJ$2)/10^9),0)</f>
        <v>-0.2525932778</v>
      </c>
      <c r="AW1221" s="177">
        <f>IF($AL$1129&gt;0,PPMT('Assumptions (Nuclear)'!$V$7,Model!AH1,'Assumptions (Nuclear)'!$V$10,'Assumptions (Nuclear)'!$V$5*Model!$AL$1129*AVERAGE('Assumptions (Nuclear)'!$AE$2:$AJ$2)/10^9),0)</f>
        <v>-0.2645914585</v>
      </c>
      <c r="AX1221" s="177">
        <f>IF($AL$1129&gt;0,PPMT('Assumptions (Nuclear)'!$V$7,Model!AI1,'Assumptions (Nuclear)'!$V$10,'Assumptions (Nuclear)'!$V$5*Model!$AL$1129*AVERAGE('Assumptions (Nuclear)'!$AE$2:$AJ$2)/10^9),0)</f>
        <v>-0.2771595528</v>
      </c>
      <c r="AY1221" s="177">
        <f>IF($AL$1129&gt;0,PPMT('Assumptions (Nuclear)'!$V$7,Model!AJ1,'Assumptions (Nuclear)'!$V$10,'Assumptions (Nuclear)'!$V$5*Model!$AL$1129*AVERAGE('Assumptions (Nuclear)'!$AE$2:$AJ$2)/10^9),0)</f>
        <v>-0.2903246315</v>
      </c>
      <c r="AZ1221" s="177">
        <f>IF($AL$1129&gt;0,PPMT('Assumptions (Nuclear)'!$V$7,Model!AK1,'Assumptions (Nuclear)'!$V$10,'Assumptions (Nuclear)'!$V$5*Model!$AL$1129*AVERAGE('Assumptions (Nuclear)'!$AE$2:$AJ$2)/10^9),0)</f>
        <v>-0.3041150515</v>
      </c>
      <c r="BA1221" s="177"/>
      <c r="BB1221" s="177"/>
      <c r="BC1221" s="177"/>
      <c r="BD1221" s="177"/>
      <c r="BE1221" s="177"/>
      <c r="BF1221" s="177"/>
      <c r="BG1221" s="177"/>
      <c r="BH1221" s="177"/>
      <c r="BI1221" s="177"/>
      <c r="BJ1221" s="177"/>
    </row>
    <row r="1222" ht="15.75" hidden="1" customHeight="1" outlineLevel="1">
      <c r="A1222" s="262"/>
      <c r="B1222" s="38"/>
      <c r="C1222" s="174"/>
      <c r="D1222" s="174"/>
      <c r="E1222" s="174"/>
      <c r="F1222" s="174"/>
      <c r="G1222" s="174"/>
      <c r="H1222" s="174"/>
      <c r="I1222" s="174"/>
      <c r="J1222" s="174"/>
      <c r="K1222" s="174"/>
      <c r="L1222" s="174"/>
      <c r="M1222" s="174"/>
      <c r="N1222" s="174"/>
      <c r="O1222" s="174"/>
      <c r="P1222" s="174"/>
      <c r="Q1222" s="174"/>
      <c r="R1222" s="174"/>
      <c r="S1222" s="174"/>
      <c r="T1222" s="174"/>
      <c r="U1222" s="174"/>
      <c r="V1222" s="174"/>
      <c r="W1222" s="160"/>
      <c r="X1222" s="160"/>
      <c r="Y1222" s="160"/>
      <c r="Z1222" s="160"/>
      <c r="AA1222" s="160"/>
      <c r="AB1222" s="160"/>
      <c r="AC1222" s="160"/>
      <c r="AD1222" s="160"/>
      <c r="AE1222" s="160"/>
      <c r="AF1222" s="160"/>
      <c r="AG1222" s="160"/>
      <c r="AH1222" s="160"/>
      <c r="AI1222" s="160"/>
      <c r="AJ1222" s="179"/>
      <c r="AK1222" s="160"/>
      <c r="AL1222" s="177"/>
      <c r="AM1222" s="160">
        <f>IF($AM$1129&gt;0,PPMT('Assumptions (Nuclear)'!$V$7,Model!W1,'Assumptions (Nuclear)'!$V$10,'Assumptions (Nuclear)'!$V$5*Model!$AM$1129*AVERAGE('Assumptions (Nuclear)'!$AF$2:$AK$2)/10^9),0)</f>
        <v>-0.4990512343</v>
      </c>
      <c r="AN1222" s="160">
        <f>IF($AM$1129&gt;0,PPMT('Assumptions (Nuclear)'!$V$7,Model!X1,'Assumptions (Nuclear)'!$V$10,'Assumptions (Nuclear)'!$V$5*Model!$AM$1129*AVERAGE('Assumptions (Nuclear)'!$AF$2:$AK$2)/10^9),0)</f>
        <v>-0.522756168</v>
      </c>
      <c r="AO1222" s="160">
        <f>IF($AM$1129&gt;0,PPMT('Assumptions (Nuclear)'!$V$7,Model!Y1,'Assumptions (Nuclear)'!$V$10,'Assumptions (Nuclear)'!$V$5*Model!$AM$1129*AVERAGE('Assumptions (Nuclear)'!$AF$2:$AK$2)/10^9),0)</f>
        <v>-0.5475870859</v>
      </c>
      <c r="AP1222" s="160">
        <f>IF($AM$1129&gt;0,PPMT('Assumptions (Nuclear)'!$V$7,Model!Z1,'Assumptions (Nuclear)'!$V$10,'Assumptions (Nuclear)'!$V$5*Model!$AM$1129*AVERAGE('Assumptions (Nuclear)'!$AF$2:$AK$2)/10^9),0)</f>
        <v>-0.5735974725</v>
      </c>
      <c r="AQ1222" s="160">
        <f>IF($AM$1129&gt;0,PPMT('Assumptions (Nuclear)'!$V$7,Model!AA1,'Assumptions (Nuclear)'!$V$10,'Assumptions (Nuclear)'!$V$5*Model!$AM$1129*AVERAGE('Assumptions (Nuclear)'!$AF$2:$AK$2)/10^9),0)</f>
        <v>-0.6008433525</v>
      </c>
      <c r="AR1222" s="160">
        <f>IF($AM$1129&gt;0,PPMT('Assumptions (Nuclear)'!$V$7,Model!AB1,'Assumptions (Nuclear)'!$V$10,'Assumptions (Nuclear)'!$V$5*Model!$AM$1129*AVERAGE('Assumptions (Nuclear)'!$AF$2:$AK$2)/10^9),0)</f>
        <v>-0.6293834117</v>
      </c>
      <c r="AS1222" s="160">
        <f>IF($AM$1129&gt;0,PPMT('Assumptions (Nuclear)'!$V$7,Model!AC1,'Assumptions (Nuclear)'!$V$10,'Assumptions (Nuclear)'!$V$5*Model!$AM$1129*AVERAGE('Assumptions (Nuclear)'!$AF$2:$AK$2)/10^9),0)</f>
        <v>-0.6592791238</v>
      </c>
      <c r="AT1222" s="160">
        <f>IF($AM$1129&gt;0,PPMT('Assumptions (Nuclear)'!$V$7,Model!AD1,'Assumptions (Nuclear)'!$V$10,'Assumptions (Nuclear)'!$V$5*Model!$AM$1129*AVERAGE('Assumptions (Nuclear)'!$AF$2:$AK$2)/10^9),0)</f>
        <v>-0.6905948822</v>
      </c>
      <c r="AU1222" s="160">
        <f>IF($AM$1129&gt;0,PPMT('Assumptions (Nuclear)'!$V$7,Model!AE1,'Assumptions (Nuclear)'!$V$10,'Assumptions (Nuclear)'!$V$5*Model!$AM$1129*AVERAGE('Assumptions (Nuclear)'!$AF$2:$AK$2)/10^9),0)</f>
        <v>-0.7233981391</v>
      </c>
      <c r="AV1222" s="160">
        <f>IF($AM$1129&gt;0,PPMT('Assumptions (Nuclear)'!$V$7,Model!AF1,'Assumptions (Nuclear)'!$V$10,'Assumptions (Nuclear)'!$V$5*Model!$AM$1129*AVERAGE('Assumptions (Nuclear)'!$AF$2:$AK$2)/10^9),0)</f>
        <v>-0.7577595507</v>
      </c>
      <c r="AW1222" s="160">
        <f>IF($AM$1129&gt;0,PPMT('Assumptions (Nuclear)'!$V$7,Model!AG1,'Assumptions (Nuclear)'!$V$10,'Assumptions (Nuclear)'!$V$5*Model!$AM$1129*AVERAGE('Assumptions (Nuclear)'!$AF$2:$AK$2)/10^9),0)</f>
        <v>-0.7937531293</v>
      </c>
      <c r="AX1222" s="160">
        <f>IF($AM$1129&gt;0,PPMT('Assumptions (Nuclear)'!$V$7,Model!AH1,'Assumptions (Nuclear)'!$V$10,'Assumptions (Nuclear)'!$V$5*Model!$AM$1129*AVERAGE('Assumptions (Nuclear)'!$AF$2:$AK$2)/10^9),0)</f>
        <v>-0.831456403</v>
      </c>
      <c r="AY1222" s="160">
        <f>IF($AM$1129&gt;0,PPMT('Assumptions (Nuclear)'!$V$7,Model!AI1,'Assumptions (Nuclear)'!$V$10,'Assumptions (Nuclear)'!$V$5*Model!$AM$1129*AVERAGE('Assumptions (Nuclear)'!$AF$2:$AK$2)/10^9),0)</f>
        <v>-0.8709505821</v>
      </c>
      <c r="AZ1222" s="160">
        <f>IF($AM$1129&gt;0,PPMT('Assumptions (Nuclear)'!$V$7,Model!AJ1,'Assumptions (Nuclear)'!$V$10,'Assumptions (Nuclear)'!$V$5*Model!$AM$1129*AVERAGE('Assumptions (Nuclear)'!$AF$2:$AK$2)/10^9),0)</f>
        <v>-0.9123207347</v>
      </c>
      <c r="BA1222" s="160">
        <f>IF($AM$1129&gt;0,PPMT('Assumptions (Nuclear)'!$V$7,Model!AK1,'Assumptions (Nuclear)'!$V$10,'Assumptions (Nuclear)'!$V$5*Model!$AM$1129*AVERAGE('Assumptions (Nuclear)'!$AF$2:$AK$2)/10^9),0)</f>
        <v>-0.9556559697</v>
      </c>
      <c r="BB1222" s="160"/>
      <c r="BC1222" s="160"/>
      <c r="BD1222" s="160"/>
      <c r="BE1222" s="160"/>
      <c r="BF1222" s="160"/>
      <c r="BG1222" s="160"/>
      <c r="BH1222" s="160"/>
      <c r="BI1222" s="160"/>
      <c r="BJ1222" s="160"/>
      <c r="BK1222" s="160"/>
    </row>
    <row r="1223" ht="15.75" hidden="1" customHeight="1" outlineLevel="1">
      <c r="A1223" s="262"/>
      <c r="B1223" s="38"/>
      <c r="C1223" s="174"/>
      <c r="D1223" s="174"/>
      <c r="E1223" s="174"/>
      <c r="F1223" s="174"/>
      <c r="G1223" s="174"/>
      <c r="H1223" s="174"/>
      <c r="I1223" s="174"/>
      <c r="J1223" s="174"/>
      <c r="K1223" s="174"/>
      <c r="L1223" s="174"/>
      <c r="M1223" s="174"/>
      <c r="N1223" s="174"/>
      <c r="O1223" s="174"/>
      <c r="P1223" s="174"/>
      <c r="Q1223" s="174"/>
      <c r="R1223" s="174"/>
      <c r="S1223" s="174"/>
      <c r="T1223" s="174"/>
      <c r="U1223" s="174"/>
      <c r="V1223" s="174"/>
      <c r="W1223" s="160"/>
      <c r="X1223" s="160"/>
      <c r="Y1223" s="160"/>
      <c r="Z1223" s="160"/>
      <c r="AA1223" s="160"/>
      <c r="AB1223" s="160"/>
      <c r="AC1223" s="160"/>
      <c r="AD1223" s="160"/>
      <c r="AE1223" s="160"/>
      <c r="AF1223" s="160"/>
      <c r="AG1223" s="160"/>
      <c r="AH1223" s="160"/>
      <c r="AI1223" s="160"/>
      <c r="AJ1223" s="179"/>
      <c r="AK1223" s="160"/>
      <c r="AL1223" s="177"/>
      <c r="AM1223" s="177"/>
      <c r="AN1223" s="160">
        <f>IF($AN$1129&gt;0,PPMT('Assumptions (Nuclear)'!$V$7,Model!W1,'Assumptions (Nuclear)'!$V$10,'Assumptions (Nuclear)'!$V$5*Model!$AN$1129*AVERAGE('Assumptions (Nuclear)'!$AG$2:$AL$2)/10^9),0)</f>
        <v>-0.5184348545</v>
      </c>
      <c r="AO1223" s="160">
        <f>IF($AN$1129&gt;0,PPMT('Assumptions (Nuclear)'!$V$7,Model!X1,'Assumptions (Nuclear)'!$V$10,'Assumptions (Nuclear)'!$V$5*Model!$AN$1129*AVERAGE('Assumptions (Nuclear)'!$AG$2:$AL$2)/10^9),0)</f>
        <v>-0.5430605101</v>
      </c>
      <c r="AP1223" s="160">
        <f>IF($AN$1129&gt;0,PPMT('Assumptions (Nuclear)'!$V$7,Model!Y1,'Assumptions (Nuclear)'!$V$10,'Assumptions (Nuclear)'!$V$5*Model!$AN$1129*AVERAGE('Assumptions (Nuclear)'!$AG$2:$AL$2)/10^9),0)</f>
        <v>-0.5688558843</v>
      </c>
      <c r="AQ1223" s="160">
        <f>IF($AN$1129&gt;0,PPMT('Assumptions (Nuclear)'!$V$7,Model!Z1,'Assumptions (Nuclear)'!$V$10,'Assumptions (Nuclear)'!$V$5*Model!$AN$1129*AVERAGE('Assumptions (Nuclear)'!$AG$2:$AL$2)/10^9),0)</f>
        <v>-0.5958765388</v>
      </c>
      <c r="AR1223" s="160">
        <f>IF($AN$1129&gt;0,PPMT('Assumptions (Nuclear)'!$V$7,Model!AA1,'Assumptions (Nuclear)'!$V$10,'Assumptions (Nuclear)'!$V$5*Model!$AN$1129*AVERAGE('Assumptions (Nuclear)'!$AG$2:$AL$2)/10^9),0)</f>
        <v>-0.6241806744</v>
      </c>
      <c r="AS1223" s="160">
        <f>IF($AN$1129&gt;0,PPMT('Assumptions (Nuclear)'!$V$7,Model!AB1,'Assumptions (Nuclear)'!$V$10,'Assumptions (Nuclear)'!$V$5*Model!$AN$1129*AVERAGE('Assumptions (Nuclear)'!$AG$2:$AL$2)/10^9),0)</f>
        <v>-0.6538292564</v>
      </c>
      <c r="AT1223" s="160">
        <f>IF($AN$1129&gt;0,PPMT('Assumptions (Nuclear)'!$V$7,Model!AC1,'Assumptions (Nuclear)'!$V$10,'Assumptions (Nuclear)'!$V$5*Model!$AN$1129*AVERAGE('Assumptions (Nuclear)'!$AG$2:$AL$2)/10^9),0)</f>
        <v>-0.6848861461</v>
      </c>
      <c r="AU1223" s="160">
        <f>IF($AN$1129&gt;0,PPMT('Assumptions (Nuclear)'!$V$7,Model!AD1,'Assumptions (Nuclear)'!$V$10,'Assumptions (Nuclear)'!$V$5*Model!$AN$1129*AVERAGE('Assumptions (Nuclear)'!$AG$2:$AL$2)/10^9),0)</f>
        <v>-0.717418238</v>
      </c>
      <c r="AV1223" s="160">
        <f>IF($AN$1129&gt;0,PPMT('Assumptions (Nuclear)'!$V$7,Model!AE1,'Assumptions (Nuclear)'!$V$10,'Assumptions (Nuclear)'!$V$5*Model!$AN$1129*AVERAGE('Assumptions (Nuclear)'!$AG$2:$AL$2)/10^9),0)</f>
        <v>-0.7514956043</v>
      </c>
      <c r="AW1223" s="160">
        <f>IF($AN$1129&gt;0,PPMT('Assumptions (Nuclear)'!$V$7,Model!AF1,'Assumptions (Nuclear)'!$V$10,'Assumptions (Nuclear)'!$V$5*Model!$AN$1129*AVERAGE('Assumptions (Nuclear)'!$AG$2:$AL$2)/10^9),0)</f>
        <v>-0.7871916455</v>
      </c>
      <c r="AX1223" s="160">
        <f>IF($AN$1129&gt;0,PPMT('Assumptions (Nuclear)'!$V$7,Model!AG1,'Assumptions (Nuclear)'!$V$10,'Assumptions (Nuclear)'!$V$5*Model!$AN$1129*AVERAGE('Assumptions (Nuclear)'!$AG$2:$AL$2)/10^9),0)</f>
        <v>-0.8245832487</v>
      </c>
      <c r="AY1223" s="160">
        <f>IF($AN$1129&gt;0,PPMT('Assumptions (Nuclear)'!$V$7,Model!AH1,'Assumptions (Nuclear)'!$V$10,'Assumptions (Nuclear)'!$V$5*Model!$AN$1129*AVERAGE('Assumptions (Nuclear)'!$AG$2:$AL$2)/10^9),0)</f>
        <v>-0.863750953</v>
      </c>
      <c r="AZ1223" s="160">
        <f>IF($AN$1129&gt;0,PPMT('Assumptions (Nuclear)'!$V$7,Model!AI1,'Assumptions (Nuclear)'!$V$10,'Assumptions (Nuclear)'!$V$5*Model!$AN$1129*AVERAGE('Assumptions (Nuclear)'!$AG$2:$AL$2)/10^9),0)</f>
        <v>-0.9047791233</v>
      </c>
      <c r="BA1223" s="160">
        <f>IF($AN$1129&gt;0,PPMT('Assumptions (Nuclear)'!$V$7,Model!AJ1,'Assumptions (Nuclear)'!$V$10,'Assumptions (Nuclear)'!$V$5*Model!$AN$1129*AVERAGE('Assumptions (Nuclear)'!$AG$2:$AL$2)/10^9),0)</f>
        <v>-0.9477561316</v>
      </c>
      <c r="BB1223" s="160">
        <f>IF($AN$1129&gt;0,PPMT('Assumptions (Nuclear)'!$V$7,Model!AK1,'Assumptions (Nuclear)'!$V$10,'Assumptions (Nuclear)'!$V$5*Model!$AN$1129*AVERAGE('Assumptions (Nuclear)'!$AG$2:$AL$2)/10^9),0)</f>
        <v>-0.9927745479</v>
      </c>
      <c r="BC1223" s="160"/>
      <c r="BD1223" s="160"/>
      <c r="BE1223" s="160"/>
      <c r="BF1223" s="160"/>
      <c r="BG1223" s="160"/>
      <c r="BH1223" s="160"/>
      <c r="BI1223" s="160"/>
      <c r="BJ1223" s="160"/>
      <c r="BK1223" s="160"/>
      <c r="BL1223" s="160"/>
    </row>
    <row r="1224" ht="15.75" hidden="1" customHeight="1" outlineLevel="1">
      <c r="A1224" s="262"/>
      <c r="B1224" s="38"/>
      <c r="C1224" s="174"/>
      <c r="D1224" s="174"/>
      <c r="E1224" s="174"/>
      <c r="F1224" s="174"/>
      <c r="G1224" s="174"/>
      <c r="H1224" s="174"/>
      <c r="I1224" s="174"/>
      <c r="J1224" s="174"/>
      <c r="K1224" s="174"/>
      <c r="L1224" s="174"/>
      <c r="M1224" s="174"/>
      <c r="N1224" s="174"/>
      <c r="O1224" s="174"/>
      <c r="P1224" s="174"/>
      <c r="Q1224" s="174"/>
      <c r="R1224" s="174"/>
      <c r="S1224" s="174"/>
      <c r="T1224" s="174"/>
      <c r="U1224" s="174"/>
      <c r="V1224" s="174"/>
      <c r="W1224" s="160"/>
      <c r="X1224" s="160"/>
      <c r="Y1224" s="160"/>
      <c r="Z1224" s="160"/>
      <c r="AA1224" s="160"/>
      <c r="AB1224" s="160"/>
      <c r="AC1224" s="160"/>
      <c r="AD1224" s="160"/>
      <c r="AE1224" s="160"/>
      <c r="AF1224" s="160"/>
      <c r="AG1224" s="160"/>
      <c r="AH1224" s="160"/>
      <c r="AI1224" s="160"/>
      <c r="AJ1224" s="179"/>
      <c r="AK1224" s="160"/>
      <c r="AL1224" s="177"/>
      <c r="AM1224" s="177"/>
      <c r="AN1224" s="177"/>
      <c r="AO1224" s="160">
        <f>IF($AO$1129&gt;0,PPMT('Assumptions (Nuclear)'!$V$7,Model!W1,'Assumptions (Nuclear)'!$V$10,'Assumptions (Nuclear)'!$V$5*Model!$AO$1129*AVERAGE('Assumptions (Nuclear)'!$AH$2:$AM$2)/10^9),0)</f>
        <v>-0.01454236243</v>
      </c>
      <c r="AP1224" s="160">
        <f>IF($AO$1129&gt;0,PPMT('Assumptions (Nuclear)'!$V$7,Model!X1,'Assumptions (Nuclear)'!$V$10,'Assumptions (Nuclear)'!$V$5*Model!$AO$1129*AVERAGE('Assumptions (Nuclear)'!$AH$2:$AM$2)/10^9),0)</f>
        <v>-0.01523312464</v>
      </c>
      <c r="AQ1224" s="160">
        <f>IF($AO$1129&gt;0,PPMT('Assumptions (Nuclear)'!$V$7,Model!Y1,'Assumptions (Nuclear)'!$V$10,'Assumptions (Nuclear)'!$V$5*Model!$AO$1129*AVERAGE('Assumptions (Nuclear)'!$AH$2:$AM$2)/10^9),0)</f>
        <v>-0.01595669806</v>
      </c>
      <c r="AR1224" s="160">
        <f>IF($AO$1129&gt;0,PPMT('Assumptions (Nuclear)'!$V$7,Model!Z1,'Assumptions (Nuclear)'!$V$10,'Assumptions (Nuclear)'!$V$5*Model!$AO$1129*AVERAGE('Assumptions (Nuclear)'!$AH$2:$AM$2)/10^9),0)</f>
        <v>-0.01671464122</v>
      </c>
      <c r="AS1224" s="160">
        <f>IF($AO$1129&gt;0,PPMT('Assumptions (Nuclear)'!$V$7,Model!AA1,'Assumptions (Nuclear)'!$V$10,'Assumptions (Nuclear)'!$V$5*Model!$AO$1129*AVERAGE('Assumptions (Nuclear)'!$AH$2:$AM$2)/10^9),0)</f>
        <v>-0.01750858668</v>
      </c>
      <c r="AT1224" s="160">
        <f>IF($AO$1129&gt;0,PPMT('Assumptions (Nuclear)'!$V$7,Model!AB1,'Assumptions (Nuclear)'!$V$10,'Assumptions (Nuclear)'!$V$5*Model!$AO$1129*AVERAGE('Assumptions (Nuclear)'!$AH$2:$AM$2)/10^9),0)</f>
        <v>-0.01834024454</v>
      </c>
      <c r="AU1224" s="160">
        <f>IF($AO$1129&gt;0,PPMT('Assumptions (Nuclear)'!$V$7,Model!AC1,'Assumptions (Nuclear)'!$V$10,'Assumptions (Nuclear)'!$V$5*Model!$AO$1129*AVERAGE('Assumptions (Nuclear)'!$AH$2:$AM$2)/10^9),0)</f>
        <v>-0.01921140616</v>
      </c>
      <c r="AV1224" s="160">
        <f>IF($AO$1129&gt;0,PPMT('Assumptions (Nuclear)'!$V$7,Model!AD1,'Assumptions (Nuclear)'!$V$10,'Assumptions (Nuclear)'!$V$5*Model!$AO$1129*AVERAGE('Assumptions (Nuclear)'!$AH$2:$AM$2)/10^9),0)</f>
        <v>-0.02012394795</v>
      </c>
      <c r="AW1224" s="160">
        <f>IF($AO$1129&gt;0,PPMT('Assumptions (Nuclear)'!$V$7,Model!AE1,'Assumptions (Nuclear)'!$V$10,'Assumptions (Nuclear)'!$V$5*Model!$AO$1129*AVERAGE('Assumptions (Nuclear)'!$AH$2:$AM$2)/10^9),0)</f>
        <v>-0.02107983548</v>
      </c>
      <c r="AX1224" s="160">
        <f>IF($AO$1129&gt;0,PPMT('Assumptions (Nuclear)'!$V$7,Model!AF1,'Assumptions (Nuclear)'!$V$10,'Assumptions (Nuclear)'!$V$5*Model!$AO$1129*AVERAGE('Assumptions (Nuclear)'!$AH$2:$AM$2)/10^9),0)</f>
        <v>-0.02208112767</v>
      </c>
      <c r="AY1224" s="160">
        <f>IF($AO$1129&gt;0,PPMT('Assumptions (Nuclear)'!$V$7,Model!AG1,'Assumptions (Nuclear)'!$V$10,'Assumptions (Nuclear)'!$V$5*Model!$AO$1129*AVERAGE('Assumptions (Nuclear)'!$AH$2:$AM$2)/10^9),0)</f>
        <v>-0.02312998123</v>
      </c>
      <c r="AZ1224" s="160">
        <f>IF($AO$1129&gt;0,PPMT('Assumptions (Nuclear)'!$V$7,Model!AH1,'Assumptions (Nuclear)'!$V$10,'Assumptions (Nuclear)'!$V$5*Model!$AO$1129*AVERAGE('Assumptions (Nuclear)'!$AH$2:$AM$2)/10^9),0)</f>
        <v>-0.02422865534</v>
      </c>
      <c r="BA1224" s="160">
        <f>IF($AO$1129&gt;0,PPMT('Assumptions (Nuclear)'!$V$7,Model!AI1,'Assumptions (Nuclear)'!$V$10,'Assumptions (Nuclear)'!$V$5*Model!$AO$1129*AVERAGE('Assumptions (Nuclear)'!$AH$2:$AM$2)/10^9),0)</f>
        <v>-0.02537951647</v>
      </c>
      <c r="BB1224" s="160">
        <f>IF($AO$1129&gt;0,PPMT('Assumptions (Nuclear)'!$V$7,Model!AJ1,'Assumptions (Nuclear)'!$V$10,'Assumptions (Nuclear)'!$V$5*Model!$AO$1129*AVERAGE('Assumptions (Nuclear)'!$AH$2:$AM$2)/10^9),0)</f>
        <v>-0.0265850435</v>
      </c>
      <c r="BC1224" s="160">
        <f>IF($AO$1129&gt;0,PPMT('Assumptions (Nuclear)'!$V$7,Model!AK1,'Assumptions (Nuclear)'!$V$10,'Assumptions (Nuclear)'!$V$5*Model!$AO$1129*AVERAGE('Assumptions (Nuclear)'!$AH$2:$AM$2)/10^9),0)</f>
        <v>-0.02784783307</v>
      </c>
      <c r="BD1224" s="160"/>
      <c r="BE1224" s="160"/>
      <c r="BF1224" s="160"/>
      <c r="BG1224" s="160"/>
      <c r="BH1224" s="160"/>
      <c r="BI1224" s="160"/>
      <c r="BJ1224" s="160"/>
      <c r="BK1224" s="160"/>
      <c r="BL1224" s="160"/>
      <c r="BM1224" s="160"/>
    </row>
    <row r="1225" ht="15.75" hidden="1" customHeight="1" outlineLevel="1">
      <c r="A1225" s="262"/>
      <c r="B1225" s="38"/>
      <c r="C1225" s="174"/>
      <c r="D1225" s="174"/>
      <c r="E1225" s="174"/>
      <c r="F1225" s="174"/>
      <c r="G1225" s="174"/>
      <c r="H1225" s="174"/>
      <c r="I1225" s="174"/>
      <c r="J1225" s="174"/>
      <c r="K1225" s="174"/>
      <c r="L1225" s="174"/>
      <c r="M1225" s="174"/>
      <c r="N1225" s="174"/>
      <c r="O1225" s="174"/>
      <c r="P1225" s="174"/>
      <c r="Q1225" s="174"/>
      <c r="R1225" s="174"/>
      <c r="S1225" s="174"/>
      <c r="T1225" s="174"/>
      <c r="U1225" s="174"/>
      <c r="V1225" s="174"/>
      <c r="W1225" s="160"/>
      <c r="X1225" s="160"/>
      <c r="Y1225" s="160"/>
      <c r="Z1225" s="160"/>
      <c r="AA1225" s="160"/>
      <c r="AB1225" s="160"/>
      <c r="AC1225" s="160"/>
      <c r="AD1225" s="160"/>
      <c r="AE1225" s="160"/>
      <c r="AF1225" s="160"/>
      <c r="AG1225" s="160"/>
      <c r="AH1225" s="160"/>
      <c r="AI1225" s="160"/>
      <c r="AJ1225" s="179"/>
      <c r="AK1225" s="160"/>
      <c r="AL1225" s="177"/>
      <c r="AM1225" s="177"/>
      <c r="AN1225" s="177"/>
      <c r="AO1225" s="160"/>
      <c r="AP1225" s="160">
        <f>IF($AP$1129&gt;0,PPMT('Assumptions (Nuclear)'!$V$7,Model!W1,'Assumptions (Nuclear)'!$V$10,'Assumptions (Nuclear)'!$V$5*Model!$AP$1129*AVERAGE('Assumptions (Nuclear)'!$AI$2:$AN$2)/10^9),0)</f>
        <v>-0.5433078107</v>
      </c>
      <c r="AQ1225" s="160">
        <f>IF($AP$1129&gt;0,PPMT('Assumptions (Nuclear)'!$V$7,Model!X1,'Assumptions (Nuclear)'!$V$10,'Assumptions (Nuclear)'!$V$5*Model!$AP$1129*AVERAGE('Assumptions (Nuclear)'!$AI$2:$AN$2)/10^9),0)</f>
        <v>-0.5691149317</v>
      </c>
      <c r="AR1225" s="160">
        <f>IF($AP$1129&gt;0,PPMT('Assumptions (Nuclear)'!$V$7,Model!Y1,'Assumptions (Nuclear)'!$V$10,'Assumptions (Nuclear)'!$V$5*Model!$AP$1129*AVERAGE('Assumptions (Nuclear)'!$AI$2:$AN$2)/10^9),0)</f>
        <v>-0.5961478909</v>
      </c>
      <c r="AS1225" s="160">
        <f>IF($AP$1129&gt;0,PPMT('Assumptions (Nuclear)'!$V$7,Model!Z1,'Assumptions (Nuclear)'!$V$10,'Assumptions (Nuclear)'!$V$5*Model!$AP$1129*AVERAGE('Assumptions (Nuclear)'!$AI$2:$AN$2)/10^9),0)</f>
        <v>-0.6244649158</v>
      </c>
      <c r="AT1225" s="160">
        <f>IF($AP$1129&gt;0,PPMT('Assumptions (Nuclear)'!$V$7,Model!AA1,'Assumptions (Nuclear)'!$V$10,'Assumptions (Nuclear)'!$V$5*Model!$AP$1129*AVERAGE('Assumptions (Nuclear)'!$AI$2:$AN$2)/10^9),0)</f>
        <v>-0.6541269993</v>
      </c>
      <c r="AU1225" s="160">
        <f>IF($AP$1129&gt;0,PPMT('Assumptions (Nuclear)'!$V$7,Model!AB1,'Assumptions (Nuclear)'!$V$10,'Assumptions (Nuclear)'!$V$5*Model!$AP$1129*AVERAGE('Assumptions (Nuclear)'!$AI$2:$AN$2)/10^9),0)</f>
        <v>-0.6851980317</v>
      </c>
      <c r="AV1225" s="160">
        <f>IF($AP$1129&gt;0,PPMT('Assumptions (Nuclear)'!$V$7,Model!AC1,'Assumptions (Nuclear)'!$V$10,'Assumptions (Nuclear)'!$V$5*Model!$AP$1129*AVERAGE('Assumptions (Nuclear)'!$AI$2:$AN$2)/10^9),0)</f>
        <v>-0.7177449382</v>
      </c>
      <c r="AW1225" s="160">
        <f>IF($AP$1129&gt;0,PPMT('Assumptions (Nuclear)'!$V$7,Model!AD1,'Assumptions (Nuclear)'!$V$10,'Assumptions (Nuclear)'!$V$5*Model!$AP$1129*AVERAGE('Assumptions (Nuclear)'!$AI$2:$AN$2)/10^9),0)</f>
        <v>-0.7518378228</v>
      </c>
      <c r="AX1225" s="160">
        <f>IF($AP$1129&gt;0,PPMT('Assumptions (Nuclear)'!$V$7,Model!AE1,'Assumptions (Nuclear)'!$V$10,'Assumptions (Nuclear)'!$V$5*Model!$AP$1129*AVERAGE('Assumptions (Nuclear)'!$AI$2:$AN$2)/10^9),0)</f>
        <v>-0.7875501194</v>
      </c>
      <c r="AY1225" s="160">
        <f>IF($AP$1129&gt;0,PPMT('Assumptions (Nuclear)'!$V$7,Model!AF1,'Assumptions (Nuclear)'!$V$10,'Assumptions (Nuclear)'!$V$5*Model!$AP$1129*AVERAGE('Assumptions (Nuclear)'!$AI$2:$AN$2)/10^9),0)</f>
        <v>-0.82495875</v>
      </c>
      <c r="AZ1225" s="160">
        <f>IF($AP$1129&gt;0,PPMT('Assumptions (Nuclear)'!$V$7,Model!AG1,'Assumptions (Nuclear)'!$V$10,'Assumptions (Nuclear)'!$V$5*Model!$AP$1129*AVERAGE('Assumptions (Nuclear)'!$AI$2:$AN$2)/10^9),0)</f>
        <v>-0.8641442907</v>
      </c>
      <c r="BA1225" s="160">
        <f>IF($AP$1129&gt;0,PPMT('Assumptions (Nuclear)'!$V$7,Model!AH1,'Assumptions (Nuclear)'!$V$10,'Assumptions (Nuclear)'!$V$5*Model!$AP$1129*AVERAGE('Assumptions (Nuclear)'!$AI$2:$AN$2)/10^9),0)</f>
        <v>-0.9051911445</v>
      </c>
      <c r="BB1225" s="160">
        <f>IF($AP$1129&gt;0,PPMT('Assumptions (Nuclear)'!$V$7,Model!AI1,'Assumptions (Nuclear)'!$V$10,'Assumptions (Nuclear)'!$V$5*Model!$AP$1129*AVERAGE('Assumptions (Nuclear)'!$AI$2:$AN$2)/10^9),0)</f>
        <v>-0.9481877238</v>
      </c>
      <c r="BC1225" s="160">
        <f>IF($AP$1129&gt;0,PPMT('Assumptions (Nuclear)'!$V$7,Model!AJ1,'Assumptions (Nuclear)'!$V$10,'Assumptions (Nuclear)'!$V$5*Model!$AP$1129*AVERAGE('Assumptions (Nuclear)'!$AI$2:$AN$2)/10^9),0)</f>
        <v>-0.9932266407</v>
      </c>
      <c r="BD1225" s="160">
        <f>IF($AP$1129&gt;0,PPMT('Assumptions (Nuclear)'!$V$7,Model!AK1,'Assumptions (Nuclear)'!$V$10,'Assumptions (Nuclear)'!$V$5*Model!$AP$1129*AVERAGE('Assumptions (Nuclear)'!$AI$2:$AN$2)/10^9),0)</f>
        <v>-1.040404906</v>
      </c>
      <c r="BE1225" s="160"/>
      <c r="BF1225" s="160"/>
      <c r="BG1225" s="160"/>
      <c r="BH1225" s="160"/>
      <c r="BI1225" s="160"/>
      <c r="BJ1225" s="160"/>
      <c r="BK1225" s="160"/>
      <c r="BL1225" s="160"/>
      <c r="BM1225" s="160"/>
      <c r="BN1225" s="160"/>
    </row>
    <row r="1226" ht="15.75" hidden="1" customHeight="1" outlineLevel="1">
      <c r="A1226" s="262"/>
      <c r="B1226" s="38"/>
      <c r="C1226" s="174"/>
      <c r="D1226" s="174"/>
      <c r="E1226" s="174"/>
      <c r="F1226" s="174"/>
      <c r="G1226" s="174"/>
      <c r="H1226" s="174"/>
      <c r="I1226" s="174"/>
      <c r="J1226" s="174"/>
      <c r="K1226" s="174"/>
      <c r="L1226" s="174"/>
      <c r="M1226" s="174"/>
      <c r="N1226" s="174"/>
      <c r="O1226" s="174"/>
      <c r="P1226" s="174"/>
      <c r="Q1226" s="174"/>
      <c r="R1226" s="174"/>
      <c r="S1226" s="174"/>
      <c r="T1226" s="174"/>
      <c r="U1226" s="174"/>
      <c r="V1226" s="174"/>
      <c r="W1226" s="160"/>
      <c r="X1226" s="160"/>
      <c r="Y1226" s="160"/>
      <c r="Z1226" s="160"/>
      <c r="AA1226" s="160"/>
      <c r="AB1226" s="160"/>
      <c r="AC1226" s="160"/>
      <c r="AD1226" s="160"/>
      <c r="AE1226" s="160"/>
      <c r="AF1226" s="160"/>
      <c r="AG1226" s="160"/>
      <c r="AH1226" s="160"/>
      <c r="AI1226" s="160"/>
      <c r="AJ1226" s="179"/>
      <c r="AK1226" s="160"/>
      <c r="AL1226" s="177"/>
      <c r="AM1226" s="177"/>
      <c r="AN1226" s="177"/>
      <c r="AO1226" s="160"/>
      <c r="AP1226" s="160"/>
      <c r="AQ1226" s="160">
        <f>IF($AQ$1129&gt;0,PPMT('Assumptions (Nuclear)'!$V$7,Model!W1,'Assumptions (Nuclear)'!$V$10,'Assumptions (Nuclear)'!$V$5*Model!$AQ$1129*AVERAGE('Assumptions (Nuclear)'!$AJ$2:$AO$2)/10^9),0)</f>
        <v>-0.01490578602</v>
      </c>
      <c r="AR1226" s="160">
        <f>IF($AQ$1129&gt;0,PPMT('Assumptions (Nuclear)'!$V$7,Model!X1,'Assumptions (Nuclear)'!$V$10,'Assumptions (Nuclear)'!$V$5*Model!$AQ$1129*AVERAGE('Assumptions (Nuclear)'!$AJ$2:$AO$2)/10^9),0)</f>
        <v>-0.01561381086</v>
      </c>
      <c r="AS1226" s="160">
        <f>IF($AQ$1129&gt;0,PPMT('Assumptions (Nuclear)'!$V$7,Model!Y1,'Assumptions (Nuclear)'!$V$10,'Assumptions (Nuclear)'!$V$5*Model!$AQ$1129*AVERAGE('Assumptions (Nuclear)'!$AJ$2:$AO$2)/10^9),0)</f>
        <v>-0.01635546687</v>
      </c>
      <c r="AT1226" s="160">
        <f>IF($AQ$1129&gt;0,PPMT('Assumptions (Nuclear)'!$V$7,Model!Z1,'Assumptions (Nuclear)'!$V$10,'Assumptions (Nuclear)'!$V$5*Model!$AQ$1129*AVERAGE('Assumptions (Nuclear)'!$AJ$2:$AO$2)/10^9),0)</f>
        <v>-0.01713235155</v>
      </c>
      <c r="AU1226" s="160">
        <f>IF($AQ$1129&gt;0,PPMT('Assumptions (Nuclear)'!$V$7,Model!AA1,'Assumptions (Nuclear)'!$V$10,'Assumptions (Nuclear)'!$V$5*Model!$AQ$1129*AVERAGE('Assumptions (Nuclear)'!$AJ$2:$AO$2)/10^9),0)</f>
        <v>-0.01794613825</v>
      </c>
      <c r="AV1226" s="160">
        <f>IF($AQ$1129&gt;0,PPMT('Assumptions (Nuclear)'!$V$7,Model!AB1,'Assumptions (Nuclear)'!$V$10,'Assumptions (Nuclear)'!$V$5*Model!$AQ$1129*AVERAGE('Assumptions (Nuclear)'!$AJ$2:$AO$2)/10^9),0)</f>
        <v>-0.01879857981</v>
      </c>
      <c r="AW1226" s="160">
        <f>IF($AQ$1129&gt;0,PPMT('Assumptions (Nuclear)'!$V$7,Model!AC1,'Assumptions (Nuclear)'!$V$10,'Assumptions (Nuclear)'!$V$5*Model!$AQ$1129*AVERAGE('Assumptions (Nuclear)'!$AJ$2:$AO$2)/10^9),0)</f>
        <v>-0.01969151235</v>
      </c>
      <c r="AX1226" s="160">
        <f>IF($AQ$1129&gt;0,PPMT('Assumptions (Nuclear)'!$V$7,Model!AD1,'Assumptions (Nuclear)'!$V$10,'Assumptions (Nuclear)'!$V$5*Model!$AQ$1129*AVERAGE('Assumptions (Nuclear)'!$AJ$2:$AO$2)/10^9),0)</f>
        <v>-0.02062685919</v>
      </c>
      <c r="AY1226" s="160">
        <f>IF($AQ$1129&gt;0,PPMT('Assumptions (Nuclear)'!$V$7,Model!AE1,'Assumptions (Nuclear)'!$V$10,'Assumptions (Nuclear)'!$V$5*Model!$AQ$1129*AVERAGE('Assumptions (Nuclear)'!$AJ$2:$AO$2)/10^9),0)</f>
        <v>-0.021606635</v>
      </c>
      <c r="AZ1226" s="160">
        <f>IF($AQ$1129&gt;0,PPMT('Assumptions (Nuclear)'!$V$7,Model!AF1,'Assumptions (Nuclear)'!$V$10,'Assumptions (Nuclear)'!$V$5*Model!$AQ$1129*AVERAGE('Assumptions (Nuclear)'!$AJ$2:$AO$2)/10^9),0)</f>
        <v>-0.02263295017</v>
      </c>
      <c r="BA1226" s="160">
        <f>IF($AQ$1129&gt;0,PPMT('Assumptions (Nuclear)'!$V$7,Model!AG1,'Assumptions (Nuclear)'!$V$10,'Assumptions (Nuclear)'!$V$5*Model!$AQ$1129*AVERAGE('Assumptions (Nuclear)'!$AJ$2:$AO$2)/10^9),0)</f>
        <v>-0.0237080153</v>
      </c>
      <c r="BB1226" s="160">
        <f>IF($AQ$1129&gt;0,PPMT('Assumptions (Nuclear)'!$V$7,Model!AH1,'Assumptions (Nuclear)'!$V$10,'Assumptions (Nuclear)'!$V$5*Model!$AQ$1129*AVERAGE('Assumptions (Nuclear)'!$AJ$2:$AO$2)/10^9),0)</f>
        <v>-0.02483414602</v>
      </c>
      <c r="BC1226" s="160">
        <f>IF($AQ$1129&gt;0,PPMT('Assumptions (Nuclear)'!$V$7,Model!AI1,'Assumptions (Nuclear)'!$V$10,'Assumptions (Nuclear)'!$V$5*Model!$AQ$1129*AVERAGE('Assumptions (Nuclear)'!$AJ$2:$AO$2)/10^9),0)</f>
        <v>-0.02601376796</v>
      </c>
      <c r="BD1226" s="160">
        <f>IF($AQ$1129&gt;0,PPMT('Assumptions (Nuclear)'!$V$7,Model!AJ1,'Assumptions (Nuclear)'!$V$10,'Assumptions (Nuclear)'!$V$5*Model!$AQ$1129*AVERAGE('Assumptions (Nuclear)'!$AJ$2:$AO$2)/10^9),0)</f>
        <v>-0.02724942194</v>
      </c>
      <c r="BE1226" s="160">
        <f>IF($AQ$1129&gt;0,PPMT('Assumptions (Nuclear)'!$V$7,Model!AK1,'Assumptions (Nuclear)'!$V$10,'Assumptions (Nuclear)'!$V$5*Model!$AQ$1129*AVERAGE('Assumptions (Nuclear)'!$AJ$2:$AO$2)/10^9),0)</f>
        <v>-0.02854376948</v>
      </c>
      <c r="BF1226" s="160"/>
      <c r="BG1226" s="160"/>
      <c r="BH1226" s="160"/>
      <c r="BI1226" s="160"/>
      <c r="BJ1226" s="160"/>
      <c r="BK1226" s="160"/>
      <c r="BL1226" s="160"/>
      <c r="BM1226" s="160"/>
      <c r="BN1226" s="160"/>
      <c r="BO1226" s="160"/>
    </row>
    <row r="1227" ht="15.75" hidden="1" customHeight="1" outlineLevel="1">
      <c r="A1227" s="262"/>
      <c r="B1227" s="38"/>
      <c r="C1227" s="174"/>
      <c r="D1227" s="174"/>
      <c r="E1227" s="174"/>
      <c r="F1227" s="174"/>
      <c r="G1227" s="174"/>
      <c r="H1227" s="174"/>
      <c r="I1227" s="174"/>
      <c r="J1227" s="174"/>
      <c r="K1227" s="174"/>
      <c r="L1227" s="174"/>
      <c r="M1227" s="174"/>
      <c r="N1227" s="174"/>
      <c r="O1227" s="174"/>
      <c r="P1227" s="174"/>
      <c r="Q1227" s="174"/>
      <c r="R1227" s="174"/>
      <c r="S1227" s="174"/>
      <c r="T1227" s="174"/>
      <c r="U1227" s="174"/>
      <c r="V1227" s="174"/>
      <c r="W1227" s="160"/>
      <c r="X1227" s="160"/>
      <c r="Y1227" s="160"/>
      <c r="Z1227" s="160"/>
      <c r="AA1227" s="160"/>
      <c r="AB1227" s="160"/>
      <c r="AC1227" s="160"/>
      <c r="AD1227" s="160"/>
      <c r="AE1227" s="160"/>
      <c r="AF1227" s="160"/>
      <c r="AG1227" s="160"/>
      <c r="AH1227" s="160"/>
      <c r="AI1227" s="160"/>
      <c r="AJ1227" s="179"/>
      <c r="AK1227" s="160"/>
      <c r="AL1227" s="177"/>
      <c r="AM1227" s="177"/>
      <c r="AN1227" s="177"/>
      <c r="AO1227" s="160"/>
      <c r="AP1227" s="160"/>
      <c r="AQ1227" s="160"/>
      <c r="AR1227" s="160">
        <f>IF($AR$1129&gt;0,PPMT('Assumptions (Nuclear)'!$V$7,Model!W1,'Assumptions (Nuclear)'!$V$10,'Assumptions (Nuclear)'!$V$5*Model!$AR$1129*AVERAGE('Assumptions (Nuclear)'!$AK$2:$AP$2)/10^9),0)</f>
        <v>-0.1671383598</v>
      </c>
      <c r="AS1227" s="160">
        <f>IF($AR$1129&gt;0,PPMT('Assumptions (Nuclear)'!$V$7,Model!X1,'Assumptions (Nuclear)'!$V$10,'Assumptions (Nuclear)'!$V$5*Model!$AR$1129*AVERAGE('Assumptions (Nuclear)'!$AK$2:$AP$2)/10^9),0)</f>
        <v>-0.1750774318</v>
      </c>
      <c r="AT1227" s="160">
        <f>IF($AR$1129&gt;0,PPMT('Assumptions (Nuclear)'!$V$7,Model!Y1,'Assumptions (Nuclear)'!$V$10,'Assumptions (Nuclear)'!$V$5*Model!$AR$1129*AVERAGE('Assumptions (Nuclear)'!$AK$2:$AP$2)/10^9),0)</f>
        <v>-0.1833936099</v>
      </c>
      <c r="AU1227" s="160">
        <f>IF($AR$1129&gt;0,PPMT('Assumptions (Nuclear)'!$V$7,Model!Z1,'Assumptions (Nuclear)'!$V$10,'Assumptions (Nuclear)'!$V$5*Model!$AR$1129*AVERAGE('Assumptions (Nuclear)'!$AK$2:$AP$2)/10^9),0)</f>
        <v>-0.1921048063</v>
      </c>
      <c r="AV1227" s="160">
        <f>IF($AR$1129&gt;0,PPMT('Assumptions (Nuclear)'!$V$7,Model!AA1,'Assumptions (Nuclear)'!$V$10,'Assumptions (Nuclear)'!$V$5*Model!$AR$1129*AVERAGE('Assumptions (Nuclear)'!$AK$2:$AP$2)/10^9),0)</f>
        <v>-0.2012297846</v>
      </c>
      <c r="AW1227" s="160">
        <f>IF($AR$1129&gt;0,PPMT('Assumptions (Nuclear)'!$V$7,Model!AB1,'Assumptions (Nuclear)'!$V$10,'Assumptions (Nuclear)'!$V$5*Model!$AR$1129*AVERAGE('Assumptions (Nuclear)'!$AK$2:$AP$2)/10^9),0)</f>
        <v>-0.2107881994</v>
      </c>
      <c r="AX1227" s="160">
        <f>IF($AR$1129&gt;0,PPMT('Assumptions (Nuclear)'!$V$7,Model!AC1,'Assumptions (Nuclear)'!$V$10,'Assumptions (Nuclear)'!$V$5*Model!$AR$1129*AVERAGE('Assumptions (Nuclear)'!$AK$2:$AP$2)/10^9),0)</f>
        <v>-0.2208006389</v>
      </c>
      <c r="AY1227" s="160">
        <f>IF($AR$1129&gt;0,PPMT('Assumptions (Nuclear)'!$V$7,Model!AD1,'Assumptions (Nuclear)'!$V$10,'Assumptions (Nuclear)'!$V$5*Model!$AR$1129*AVERAGE('Assumptions (Nuclear)'!$AK$2:$AP$2)/10^9),0)</f>
        <v>-0.2312886692</v>
      </c>
      <c r="AZ1227" s="160">
        <f>IF($AR$1129&gt;0,PPMT('Assumptions (Nuclear)'!$V$7,Model!AE1,'Assumptions (Nuclear)'!$V$10,'Assumptions (Nuclear)'!$V$5*Model!$AR$1129*AVERAGE('Assumptions (Nuclear)'!$AK$2:$AP$2)/10^9),0)</f>
        <v>-0.242274881</v>
      </c>
      <c r="BA1227" s="160">
        <f>IF($AR$1129&gt;0,PPMT('Assumptions (Nuclear)'!$V$7,Model!AF1,'Assumptions (Nuclear)'!$V$10,'Assumptions (Nuclear)'!$V$5*Model!$AR$1129*AVERAGE('Assumptions (Nuclear)'!$AK$2:$AP$2)/10^9),0)</f>
        <v>-0.2537829378</v>
      </c>
      <c r="BB1227" s="160">
        <f>IF($AR$1129&gt;0,PPMT('Assumptions (Nuclear)'!$V$7,Model!AG1,'Assumptions (Nuclear)'!$V$10,'Assumptions (Nuclear)'!$V$5*Model!$AR$1129*AVERAGE('Assumptions (Nuclear)'!$AK$2:$AP$2)/10^9),0)</f>
        <v>-0.2658376274</v>
      </c>
      <c r="BC1227" s="160">
        <f>IF($AR$1129&gt;0,PPMT('Assumptions (Nuclear)'!$V$7,Model!AH1,'Assumptions (Nuclear)'!$V$10,'Assumptions (Nuclear)'!$V$5*Model!$AR$1129*AVERAGE('Assumptions (Nuclear)'!$AK$2:$AP$2)/10^9),0)</f>
        <v>-0.2784649147</v>
      </c>
      <c r="BD1227" s="160">
        <f>IF($AR$1129&gt;0,PPMT('Assumptions (Nuclear)'!$V$7,Model!AI1,'Assumptions (Nuclear)'!$V$10,'Assumptions (Nuclear)'!$V$5*Model!$AR$1129*AVERAGE('Assumptions (Nuclear)'!$AK$2:$AP$2)/10^9),0)</f>
        <v>-0.2916919981</v>
      </c>
      <c r="BE1227" s="160">
        <f>IF($AR$1129&gt;0,PPMT('Assumptions (Nuclear)'!$V$7,Model!AJ1,'Assumptions (Nuclear)'!$V$10,'Assumptions (Nuclear)'!$V$5*Model!$AR$1129*AVERAGE('Assumptions (Nuclear)'!$AK$2:$AP$2)/10^9),0)</f>
        <v>-0.3055473681</v>
      </c>
      <c r="BF1227" s="160">
        <f>IF($AR$1129&gt;0,PPMT('Assumptions (Nuclear)'!$V$7,Model!AK1,'Assumptions (Nuclear)'!$V$10,'Assumptions (Nuclear)'!$V$5*Model!$AR$1129*AVERAGE('Assumptions (Nuclear)'!$AK$2:$AP$2)/10^9),0)</f>
        <v>-0.320060868</v>
      </c>
      <c r="BG1227" s="160"/>
      <c r="BH1227" s="160"/>
      <c r="BI1227" s="160"/>
      <c r="BJ1227" s="160"/>
      <c r="BK1227" s="160"/>
      <c r="BL1227" s="160"/>
      <c r="BM1227" s="160"/>
      <c r="BN1227" s="160"/>
      <c r="BO1227" s="160"/>
      <c r="BP1227" s="160"/>
    </row>
    <row r="1228" ht="15.75" hidden="1" customHeight="1" outlineLevel="1">
      <c r="A1228" s="262"/>
      <c r="B1228" s="38"/>
      <c r="C1228" s="174"/>
      <c r="D1228" s="174"/>
      <c r="E1228" s="174"/>
      <c r="F1228" s="174"/>
      <c r="G1228" s="174"/>
      <c r="H1228" s="174"/>
      <c r="I1228" s="174"/>
      <c r="J1228" s="174"/>
      <c r="K1228" s="174"/>
      <c r="L1228" s="174"/>
      <c r="M1228" s="174"/>
      <c r="N1228" s="174"/>
      <c r="O1228" s="174"/>
      <c r="P1228" s="174"/>
      <c r="Q1228" s="174"/>
      <c r="R1228" s="174"/>
      <c r="S1228" s="174"/>
      <c r="T1228" s="174"/>
      <c r="U1228" s="174"/>
      <c r="V1228" s="174"/>
      <c r="W1228" s="160"/>
      <c r="X1228" s="160"/>
      <c r="Y1228" s="160"/>
      <c r="Z1228" s="160"/>
      <c r="AA1228" s="160"/>
      <c r="AB1228" s="160"/>
      <c r="AC1228" s="160"/>
      <c r="AD1228" s="160"/>
      <c r="AE1228" s="160"/>
      <c r="AF1228" s="160"/>
      <c r="AG1228" s="160"/>
      <c r="AH1228" s="160"/>
      <c r="AI1228" s="160"/>
      <c r="AJ1228" s="179"/>
      <c r="AK1228" s="160"/>
      <c r="AL1228" s="177"/>
      <c r="AM1228" s="177"/>
      <c r="AN1228" s="177"/>
      <c r="AO1228" s="160"/>
      <c r="AP1228" s="160"/>
      <c r="AQ1228" s="160"/>
      <c r="AR1228" s="160"/>
      <c r="AS1228" s="160">
        <f>IF($AS$1129&gt;0,PPMT('Assumptions (Nuclear)'!$V$7,Model!W1,'Assumptions (Nuclear)'!$V$10,'Assumptions (Nuclear)'!$V$5*Model!$AS$1129*AVERAGE('Assumptions (Nuclear)'!$AL$2:$AQ$2)/10^9),0)</f>
        <v>-0.01526777039</v>
      </c>
      <c r="AT1228" s="160">
        <f>IF($AS$1129&gt;0,PPMT('Assumptions (Nuclear)'!$V$7,Model!X1,'Assumptions (Nuclear)'!$V$10,'Assumptions (Nuclear)'!$V$5*Model!$AS$1129*AVERAGE('Assumptions (Nuclear)'!$AL$2:$AQ$2)/10^9),0)</f>
        <v>-0.01599298948</v>
      </c>
      <c r="AU1228" s="160">
        <f>IF($AS$1129&gt;0,PPMT('Assumptions (Nuclear)'!$V$7,Model!Y1,'Assumptions (Nuclear)'!$V$10,'Assumptions (Nuclear)'!$V$5*Model!$AS$1129*AVERAGE('Assumptions (Nuclear)'!$AL$2:$AQ$2)/10^9),0)</f>
        <v>-0.01675265648</v>
      </c>
      <c r="AV1228" s="160">
        <f>IF($AS$1129&gt;0,PPMT('Assumptions (Nuclear)'!$V$7,Model!Z1,'Assumptions (Nuclear)'!$V$10,'Assumptions (Nuclear)'!$V$5*Model!$AS$1129*AVERAGE('Assumptions (Nuclear)'!$AL$2:$AQ$2)/10^9),0)</f>
        <v>-0.01754840766</v>
      </c>
      <c r="AW1228" s="160">
        <f>IF($AS$1129&gt;0,PPMT('Assumptions (Nuclear)'!$V$7,Model!AA1,'Assumptions (Nuclear)'!$V$10,'Assumptions (Nuclear)'!$V$5*Model!$AS$1129*AVERAGE('Assumptions (Nuclear)'!$AL$2:$AQ$2)/10^9),0)</f>
        <v>-0.01838195703</v>
      </c>
      <c r="AX1228" s="160">
        <f>IF($AS$1129&gt;0,PPMT('Assumptions (Nuclear)'!$V$7,Model!AB1,'Assumptions (Nuclear)'!$V$10,'Assumptions (Nuclear)'!$V$5*Model!$AS$1129*AVERAGE('Assumptions (Nuclear)'!$AL$2:$AQ$2)/10^9),0)</f>
        <v>-0.01925509998</v>
      </c>
      <c r="AY1228" s="160">
        <f>IF($AS$1129&gt;0,PPMT('Assumptions (Nuclear)'!$V$7,Model!AC1,'Assumptions (Nuclear)'!$V$10,'Assumptions (Nuclear)'!$V$5*Model!$AS$1129*AVERAGE('Assumptions (Nuclear)'!$AL$2:$AQ$2)/10^9),0)</f>
        <v>-0.02016971723</v>
      </c>
      <c r="AZ1228" s="160">
        <f>IF($AS$1129&gt;0,PPMT('Assumptions (Nuclear)'!$V$7,Model!AD1,'Assumptions (Nuclear)'!$V$10,'Assumptions (Nuclear)'!$V$5*Model!$AS$1129*AVERAGE('Assumptions (Nuclear)'!$AL$2:$AQ$2)/10^9),0)</f>
        <v>-0.0211277788</v>
      </c>
      <c r="BA1228" s="160">
        <f>IF($AS$1129&gt;0,PPMT('Assumptions (Nuclear)'!$V$7,Model!AE1,'Assumptions (Nuclear)'!$V$10,'Assumptions (Nuclear)'!$V$5*Model!$AS$1129*AVERAGE('Assumptions (Nuclear)'!$AL$2:$AQ$2)/10^9),0)</f>
        <v>-0.0221313483</v>
      </c>
      <c r="BB1228" s="160">
        <f>IF($AS$1129&gt;0,PPMT('Assumptions (Nuclear)'!$V$7,Model!AF1,'Assumptions (Nuclear)'!$V$10,'Assumptions (Nuclear)'!$V$5*Model!$AS$1129*AVERAGE('Assumptions (Nuclear)'!$AL$2:$AQ$2)/10^9),0)</f>
        <v>-0.02318258734</v>
      </c>
      <c r="BC1228" s="160">
        <f>IF($AS$1129&gt;0,PPMT('Assumptions (Nuclear)'!$V$7,Model!AG1,'Assumptions (Nuclear)'!$V$10,'Assumptions (Nuclear)'!$V$5*Model!$AS$1129*AVERAGE('Assumptions (Nuclear)'!$AL$2:$AQ$2)/10^9),0)</f>
        <v>-0.02428376024</v>
      </c>
      <c r="BD1228" s="160">
        <f>IF($AS$1129&gt;0,PPMT('Assumptions (Nuclear)'!$V$7,Model!AH1,'Assumptions (Nuclear)'!$V$10,'Assumptions (Nuclear)'!$V$5*Model!$AS$1129*AVERAGE('Assumptions (Nuclear)'!$AL$2:$AQ$2)/10^9),0)</f>
        <v>-0.02543723885</v>
      </c>
      <c r="BE1228" s="160">
        <f>IF($AS$1129&gt;0,PPMT('Assumptions (Nuclear)'!$V$7,Model!AI1,'Assumptions (Nuclear)'!$V$10,'Assumptions (Nuclear)'!$V$5*Model!$AS$1129*AVERAGE('Assumptions (Nuclear)'!$AL$2:$AQ$2)/10^9),0)</f>
        <v>-0.02664550769</v>
      </c>
      <c r="BF1228" s="160">
        <f>IF($AS$1129&gt;0,PPMT('Assumptions (Nuclear)'!$V$7,Model!AJ1,'Assumptions (Nuclear)'!$V$10,'Assumptions (Nuclear)'!$V$5*Model!$AS$1129*AVERAGE('Assumptions (Nuclear)'!$AL$2:$AQ$2)/10^9),0)</f>
        <v>-0.02791116931</v>
      </c>
      <c r="BG1228" s="160">
        <f>IF($AS$1129&gt;0,PPMT('Assumptions (Nuclear)'!$V$7,Model!AK1,'Assumptions (Nuclear)'!$V$10,'Assumptions (Nuclear)'!$V$5*Model!$AS$1129*AVERAGE('Assumptions (Nuclear)'!$AL$2:$AQ$2)/10^9),0)</f>
        <v>-0.02923694985</v>
      </c>
      <c r="BH1228" s="160"/>
      <c r="BI1228" s="160"/>
      <c r="BJ1228" s="160"/>
      <c r="BK1228" s="160"/>
      <c r="BL1228" s="160"/>
      <c r="BM1228" s="160"/>
      <c r="BN1228" s="160"/>
      <c r="BO1228" s="160"/>
      <c r="BP1228" s="160"/>
      <c r="BQ1228" s="160"/>
      <c r="BR1228" s="160"/>
    </row>
    <row r="1229" ht="15.75" hidden="1" customHeight="1" outlineLevel="1">
      <c r="A1229" s="262"/>
      <c r="B1229" s="38"/>
      <c r="C1229" s="174"/>
      <c r="D1229" s="174"/>
      <c r="E1229" s="174"/>
      <c r="F1229" s="174"/>
      <c r="G1229" s="174"/>
      <c r="H1229" s="174"/>
      <c r="I1229" s="174"/>
      <c r="J1229" s="174"/>
      <c r="K1229" s="174"/>
      <c r="L1229" s="174"/>
      <c r="M1229" s="174"/>
      <c r="N1229" s="174"/>
      <c r="O1229" s="174"/>
      <c r="P1229" s="174"/>
      <c r="Q1229" s="174"/>
      <c r="R1229" s="174"/>
      <c r="S1229" s="174"/>
      <c r="T1229" s="174"/>
      <c r="U1229" s="174"/>
      <c r="V1229" s="174"/>
      <c r="W1229" s="160"/>
      <c r="X1229" s="160"/>
      <c r="Y1229" s="160"/>
      <c r="Z1229" s="160"/>
      <c r="AA1229" s="160"/>
      <c r="AB1229" s="160"/>
      <c r="AC1229" s="160"/>
      <c r="AD1229" s="160"/>
      <c r="AE1229" s="160"/>
      <c r="AF1229" s="160"/>
      <c r="AG1229" s="160"/>
      <c r="AH1229" s="160"/>
      <c r="AI1229" s="160"/>
      <c r="AJ1229" s="179"/>
      <c r="AK1229" s="160"/>
      <c r="AL1229" s="177"/>
      <c r="AM1229" s="177"/>
      <c r="AN1229" s="177"/>
      <c r="AO1229" s="160"/>
      <c r="AP1229" s="160"/>
      <c r="AQ1229" s="160"/>
      <c r="AR1229" s="160"/>
      <c r="AS1229" s="160"/>
      <c r="AT1229" s="160">
        <f>IF($AT$1129&gt;0,PPMT('Assumptions (Nuclear)'!$V$7,Model!W1,'Assumptions (Nuclear)'!$V$10,'Assumptions (Nuclear)'!$V$5*Model!$AT$1129*AVERAGE('Assumptions (Nuclear)'!$AM$2:$AR$2)/10^9),0)</f>
        <v>-0.6151049591</v>
      </c>
      <c r="AU1229" s="160">
        <f>IF($AT$1129&gt;0,PPMT('Assumptions (Nuclear)'!$V$7,Model!X1,'Assumptions (Nuclear)'!$V$10,'Assumptions (Nuclear)'!$V$5*Model!$AT$1129*AVERAGE('Assumptions (Nuclear)'!$AM$2:$AR$2)/10^9),0)</f>
        <v>-0.6443224446</v>
      </c>
      <c r="AV1229" s="160">
        <f>IF($AT$1129&gt;0,PPMT('Assumptions (Nuclear)'!$V$7,Model!Y1,'Assumptions (Nuclear)'!$V$10,'Assumptions (Nuclear)'!$V$5*Model!$AT$1129*AVERAGE('Assumptions (Nuclear)'!$AM$2:$AR$2)/10^9),0)</f>
        <v>-0.6749277607</v>
      </c>
      <c r="AW1229" s="160">
        <f>IF($AT$1129&gt;0,PPMT('Assumptions (Nuclear)'!$V$7,Model!Z1,'Assumptions (Nuclear)'!$V$10,'Assumptions (Nuclear)'!$V$5*Model!$AT$1129*AVERAGE('Assumptions (Nuclear)'!$AM$2:$AR$2)/10^9),0)</f>
        <v>-0.7069868294</v>
      </c>
      <c r="AX1229" s="160">
        <f>IF($AT$1129&gt;0,PPMT('Assumptions (Nuclear)'!$V$7,Model!AA1,'Assumptions (Nuclear)'!$V$10,'Assumptions (Nuclear)'!$V$5*Model!$AT$1129*AVERAGE('Assumptions (Nuclear)'!$AM$2:$AR$2)/10^9),0)</f>
        <v>-0.7405687038</v>
      </c>
      <c r="AY1229" s="160">
        <f>IF($AT$1129&gt;0,PPMT('Assumptions (Nuclear)'!$V$7,Model!AB1,'Assumptions (Nuclear)'!$V$10,'Assumptions (Nuclear)'!$V$5*Model!$AT$1129*AVERAGE('Assumptions (Nuclear)'!$AM$2:$AR$2)/10^9),0)</f>
        <v>-0.7757457172</v>
      </c>
      <c r="AZ1229" s="160">
        <f>IF($AT$1129&gt;0,PPMT('Assumptions (Nuclear)'!$V$7,Model!AC1,'Assumptions (Nuclear)'!$V$10,'Assumptions (Nuclear)'!$V$5*Model!$AT$1129*AVERAGE('Assumptions (Nuclear)'!$AM$2:$AR$2)/10^9),0)</f>
        <v>-0.8125936387</v>
      </c>
      <c r="BA1229" s="160">
        <f>IF($AT$1129&gt;0,PPMT('Assumptions (Nuclear)'!$V$7,Model!AD1,'Assumptions (Nuclear)'!$V$10,'Assumptions (Nuclear)'!$V$5*Model!$AT$1129*AVERAGE('Assumptions (Nuclear)'!$AM$2:$AR$2)/10^9),0)</f>
        <v>-0.8511918366</v>
      </c>
      <c r="BB1229" s="160">
        <f>IF($AT$1129&gt;0,PPMT('Assumptions (Nuclear)'!$V$7,Model!AE1,'Assumptions (Nuclear)'!$V$10,'Assumptions (Nuclear)'!$V$5*Model!$AT$1129*AVERAGE('Assumptions (Nuclear)'!$AM$2:$AR$2)/10^9),0)</f>
        <v>-0.8916234488</v>
      </c>
      <c r="BC1229" s="160">
        <f>IF($AT$1129&gt;0,PPMT('Assumptions (Nuclear)'!$V$7,Model!AF1,'Assumptions (Nuclear)'!$V$10,'Assumptions (Nuclear)'!$V$5*Model!$AT$1129*AVERAGE('Assumptions (Nuclear)'!$AM$2:$AR$2)/10^9),0)</f>
        <v>-0.9339755626</v>
      </c>
      <c r="BD1229" s="160">
        <f>IF($AT$1129&gt;0,PPMT('Assumptions (Nuclear)'!$V$7,Model!AG1,'Assumptions (Nuclear)'!$V$10,'Assumptions (Nuclear)'!$V$5*Model!$AT$1129*AVERAGE('Assumptions (Nuclear)'!$AM$2:$AR$2)/10^9),0)</f>
        <v>-0.9783394019</v>
      </c>
      <c r="BE1229" s="160">
        <f>IF($AT$1129&gt;0,PPMT('Assumptions (Nuclear)'!$V$7,Model!AH1,'Assumptions (Nuclear)'!$V$10,'Assumptions (Nuclear)'!$V$5*Model!$AT$1129*AVERAGE('Assumptions (Nuclear)'!$AM$2:$AR$2)/10^9),0)</f>
        <v>-1.024810523</v>
      </c>
      <c r="BF1229" s="160">
        <f>IF($AT$1129&gt;0,PPMT('Assumptions (Nuclear)'!$V$7,Model!AI1,'Assumptions (Nuclear)'!$V$10,'Assumptions (Nuclear)'!$V$5*Model!$AT$1129*AVERAGE('Assumptions (Nuclear)'!$AM$2:$AR$2)/10^9),0)</f>
        <v>-1.073489023</v>
      </c>
      <c r="BG1229" s="160">
        <f>IF($AT$1129&gt;0,PPMT('Assumptions (Nuclear)'!$V$7,Model!AJ1,'Assumptions (Nuclear)'!$V$10,'Assumptions (Nuclear)'!$V$5*Model!$AT$1129*AVERAGE('Assumptions (Nuclear)'!$AM$2:$AR$2)/10^9),0)</f>
        <v>-1.124479752</v>
      </c>
      <c r="BH1229" s="160">
        <f>IF($AT$1129&gt;0,PPMT('Assumptions (Nuclear)'!$V$7,Model!AK1,'Assumptions (Nuclear)'!$V$10,'Assumptions (Nuclear)'!$V$5*Model!$AT$1129*AVERAGE('Assumptions (Nuclear)'!$AM$2:$AR$2)/10^9),0)</f>
        <v>-1.17789254</v>
      </c>
      <c r="BI1229" s="160"/>
      <c r="BJ1229" s="160"/>
      <c r="BK1229" s="160"/>
      <c r="BL1229" s="160"/>
      <c r="BM1229" s="160"/>
      <c r="BN1229" s="160"/>
      <c r="BO1229" s="160"/>
      <c r="BP1229" s="160"/>
      <c r="BQ1229" s="160"/>
      <c r="BR1229" s="160"/>
    </row>
    <row r="1230" ht="15.75" hidden="1" customHeight="1" outlineLevel="1">
      <c r="A1230" s="262"/>
      <c r="B1230" s="38"/>
      <c r="C1230" s="174"/>
      <c r="D1230" s="174"/>
      <c r="E1230" s="174"/>
      <c r="F1230" s="174"/>
      <c r="G1230" s="174"/>
      <c r="H1230" s="174"/>
      <c r="I1230" s="174"/>
      <c r="J1230" s="174"/>
      <c r="K1230" s="174"/>
      <c r="L1230" s="174"/>
      <c r="M1230" s="174"/>
      <c r="N1230" s="174"/>
      <c r="O1230" s="174"/>
      <c r="P1230" s="174"/>
      <c r="Q1230" s="174"/>
      <c r="R1230" s="174"/>
      <c r="S1230" s="174"/>
      <c r="T1230" s="174"/>
      <c r="U1230" s="174"/>
      <c r="V1230" s="174"/>
      <c r="W1230" s="160"/>
      <c r="X1230" s="160"/>
      <c r="Y1230" s="160"/>
      <c r="Z1230" s="160"/>
      <c r="AA1230" s="160"/>
      <c r="AB1230" s="160"/>
      <c r="AC1230" s="160"/>
      <c r="AD1230" s="160"/>
      <c r="AE1230" s="160"/>
      <c r="AF1230" s="160"/>
      <c r="AG1230" s="160"/>
      <c r="AH1230" s="160"/>
      <c r="AI1230" s="160"/>
      <c r="AJ1230" s="179"/>
      <c r="AK1230" s="160"/>
      <c r="AL1230" s="177"/>
      <c r="AM1230" s="177"/>
      <c r="AN1230" s="177"/>
      <c r="AO1230" s="160"/>
      <c r="AP1230" s="160"/>
      <c r="AQ1230" s="160"/>
      <c r="AR1230" s="160"/>
      <c r="AS1230" s="160"/>
      <c r="AT1230" s="160"/>
      <c r="AU1230" s="160">
        <f>IF($AU$1129&gt;0,PPMT('Assumptions (Nuclear)'!$V$7,Model!W1,'Assumptions (Nuclear)'!$V$10,'Assumptions (Nuclear)'!$V$5*Model!$AU$1129*AVERAGE('Assumptions (Nuclear)'!$AN$2:$AS$2)/10^9),0)</f>
        <v>-0.2381326763</v>
      </c>
      <c r="AV1230" s="160">
        <f>IF($AU$1129&gt;0,PPMT('Assumptions (Nuclear)'!$V$7,Model!X1,'Assumptions (Nuclear)'!$V$10,'Assumptions (Nuclear)'!$V$5*Model!$AU$1129*AVERAGE('Assumptions (Nuclear)'!$AN$2:$AS$2)/10^9),0)</f>
        <v>-0.2494439784</v>
      </c>
      <c r="AW1230" s="160">
        <f>IF($AU$1129&gt;0,PPMT('Assumptions (Nuclear)'!$V$7,Model!Y1,'Assumptions (Nuclear)'!$V$10,'Assumptions (Nuclear)'!$V$5*Model!$AU$1129*AVERAGE('Assumptions (Nuclear)'!$AN$2:$AS$2)/10^9),0)</f>
        <v>-0.2612925674</v>
      </c>
      <c r="AX1230" s="160">
        <f>IF($AU$1129&gt;0,PPMT('Assumptions (Nuclear)'!$V$7,Model!Z1,'Assumptions (Nuclear)'!$V$10,'Assumptions (Nuclear)'!$V$5*Model!$AU$1129*AVERAGE('Assumptions (Nuclear)'!$AN$2:$AS$2)/10^9),0)</f>
        <v>-0.2737039644</v>
      </c>
      <c r="AY1230" s="160">
        <f>IF($AU$1129&gt;0,PPMT('Assumptions (Nuclear)'!$V$7,Model!AA1,'Assumptions (Nuclear)'!$V$10,'Assumptions (Nuclear)'!$V$5*Model!$AU$1129*AVERAGE('Assumptions (Nuclear)'!$AN$2:$AS$2)/10^9),0)</f>
        <v>-0.2867049027</v>
      </c>
      <c r="AZ1230" s="160">
        <f>IF($AU$1129&gt;0,PPMT('Assumptions (Nuclear)'!$V$7,Model!AB1,'Assumptions (Nuclear)'!$V$10,'Assumptions (Nuclear)'!$V$5*Model!$AU$1129*AVERAGE('Assumptions (Nuclear)'!$AN$2:$AS$2)/10^9),0)</f>
        <v>-0.3003233855</v>
      </c>
      <c r="BA1230" s="160">
        <f>IF($AU$1129&gt;0,PPMT('Assumptions (Nuclear)'!$V$7,Model!AC1,'Assumptions (Nuclear)'!$V$10,'Assumptions (Nuclear)'!$V$5*Model!$AU$1129*AVERAGE('Assumptions (Nuclear)'!$AN$2:$AS$2)/10^9),0)</f>
        <v>-0.3145887463</v>
      </c>
      <c r="BB1230" s="160">
        <f>IF($AU$1129&gt;0,PPMT('Assumptions (Nuclear)'!$V$7,Model!AD1,'Assumptions (Nuclear)'!$V$10,'Assumptions (Nuclear)'!$V$5*Model!$AU$1129*AVERAGE('Assumptions (Nuclear)'!$AN$2:$AS$2)/10^9),0)</f>
        <v>-0.3295317118</v>
      </c>
      <c r="BC1230" s="160">
        <f>IF($AU$1129&gt;0,PPMT('Assumptions (Nuclear)'!$V$7,Model!AE1,'Assumptions (Nuclear)'!$V$10,'Assumptions (Nuclear)'!$V$5*Model!$AU$1129*AVERAGE('Assumptions (Nuclear)'!$AN$2:$AS$2)/10^9),0)</f>
        <v>-0.3451844681</v>
      </c>
      <c r="BD1230" s="160">
        <f>IF($AU$1129&gt;0,PPMT('Assumptions (Nuclear)'!$V$7,Model!AF1,'Assumptions (Nuclear)'!$V$10,'Assumptions (Nuclear)'!$V$5*Model!$AU$1129*AVERAGE('Assumptions (Nuclear)'!$AN$2:$AS$2)/10^9),0)</f>
        <v>-0.3615807303</v>
      </c>
      <c r="BE1230" s="160">
        <f>IF($AU$1129&gt;0,PPMT('Assumptions (Nuclear)'!$V$7,Model!AG1,'Assumptions (Nuclear)'!$V$10,'Assumptions (Nuclear)'!$V$5*Model!$AU$1129*AVERAGE('Assumptions (Nuclear)'!$AN$2:$AS$2)/10^9),0)</f>
        <v>-0.378755815</v>
      </c>
      <c r="BF1230" s="160">
        <f>IF($AU$1129&gt;0,PPMT('Assumptions (Nuclear)'!$V$7,Model!AH1,'Assumptions (Nuclear)'!$V$10,'Assumptions (Nuclear)'!$V$5*Model!$AU$1129*AVERAGE('Assumptions (Nuclear)'!$AN$2:$AS$2)/10^9),0)</f>
        <v>-0.3967467163</v>
      </c>
      <c r="BG1230" s="160">
        <f>IF($AU$1129&gt;0,PPMT('Assumptions (Nuclear)'!$V$7,Model!AI1,'Assumptions (Nuclear)'!$V$10,'Assumptions (Nuclear)'!$V$5*Model!$AU$1129*AVERAGE('Assumptions (Nuclear)'!$AN$2:$AS$2)/10^9),0)</f>
        <v>-0.4155921853</v>
      </c>
      <c r="BH1230" s="160">
        <f>IF($AU$1129&gt;0,PPMT('Assumptions (Nuclear)'!$V$7,Model!AJ1,'Assumptions (Nuclear)'!$V$10,'Assumptions (Nuclear)'!$V$5*Model!$AU$1129*AVERAGE('Assumptions (Nuclear)'!$AN$2:$AS$2)/10^9),0)</f>
        <v>-0.4353328141</v>
      </c>
      <c r="BI1230" s="160">
        <f>IF($AU$1129&gt;0,PPMT('Assumptions (Nuclear)'!$V$7,Model!AK1,'Assumptions (Nuclear)'!$V$10,'Assumptions (Nuclear)'!$V$5*Model!$AU$1129*AVERAGE('Assumptions (Nuclear)'!$AN$2:$AS$2)/10^9),0)</f>
        <v>-0.4560111227</v>
      </c>
      <c r="BJ1230" s="160"/>
      <c r="BK1230" s="160"/>
      <c r="BL1230" s="160"/>
      <c r="BM1230" s="160"/>
      <c r="BN1230" s="160"/>
      <c r="BO1230" s="160"/>
      <c r="BP1230" s="160"/>
      <c r="BQ1230" s="160"/>
      <c r="BR1230" s="160"/>
      <c r="BS1230" s="160"/>
    </row>
    <row r="1231" ht="15.75" hidden="1" customHeight="1" outlineLevel="1">
      <c r="A1231" s="262"/>
      <c r="B1231" s="38"/>
      <c r="C1231" s="174"/>
      <c r="D1231" s="174"/>
      <c r="E1231" s="174"/>
      <c r="F1231" s="174"/>
      <c r="G1231" s="174"/>
      <c r="H1231" s="174"/>
      <c r="I1231" s="174"/>
      <c r="J1231" s="174"/>
      <c r="K1231" s="174"/>
      <c r="L1231" s="174"/>
      <c r="M1231" s="174"/>
      <c r="N1231" s="174"/>
      <c r="O1231" s="174"/>
      <c r="P1231" s="174"/>
      <c r="Q1231" s="174"/>
      <c r="R1231" s="174"/>
      <c r="S1231" s="174"/>
      <c r="T1231" s="174"/>
      <c r="U1231" s="174"/>
      <c r="V1231" s="174"/>
      <c r="W1231" s="160"/>
      <c r="X1231" s="160"/>
      <c r="Y1231" s="160"/>
      <c r="Z1231" s="160"/>
      <c r="AA1231" s="160"/>
      <c r="AB1231" s="160"/>
      <c r="AC1231" s="160"/>
      <c r="AD1231" s="160"/>
      <c r="AE1231" s="160"/>
      <c r="AF1231" s="160"/>
      <c r="AG1231" s="160"/>
      <c r="AH1231" s="160"/>
      <c r="AI1231" s="160"/>
      <c r="AJ1231" s="179"/>
      <c r="AK1231" s="160"/>
      <c r="AL1231" s="177"/>
      <c r="AM1231" s="177"/>
      <c r="AN1231" s="177"/>
      <c r="AO1231" s="160"/>
      <c r="AP1231" s="160"/>
      <c r="AQ1231" s="160"/>
      <c r="AR1231" s="160"/>
      <c r="AS1231" s="160"/>
      <c r="AT1231" s="160"/>
      <c r="AU1231" s="160"/>
      <c r="AV1231" s="160">
        <f>IF($AV$1129&gt;0,PPMT('Assumptions (Nuclear)'!$V$7,Model!W1,'Assumptions (Nuclear)'!$V$10,'Assumptions (Nuclear)'!$V$5*Model!$AV$1129*AVERAGE('Assumptions (Nuclear)'!$AO$2:$AT$2)/10^9),0)</f>
        <v>-0.01582629897</v>
      </c>
      <c r="AW1231" s="160">
        <f>IF($AV$1129&gt;0,PPMT('Assumptions (Nuclear)'!$V$7,Model!X1,'Assumptions (Nuclear)'!$V$10,'Assumptions (Nuclear)'!$V$5*Model!$AV$1129*AVERAGE('Assumptions (Nuclear)'!$AO$2:$AT$2)/10^9),0)</f>
        <v>-0.01657804817</v>
      </c>
      <c r="AX1231" s="160">
        <f>IF($AV$1129&gt;0,PPMT('Assumptions (Nuclear)'!$V$7,Model!Y1,'Assumptions (Nuclear)'!$V$10,'Assumptions (Nuclear)'!$V$5*Model!$AV$1129*AVERAGE('Assumptions (Nuclear)'!$AO$2:$AT$2)/10^9),0)</f>
        <v>-0.01736550546</v>
      </c>
      <c r="AY1231" s="160">
        <f>IF($AV$1129&gt;0,PPMT('Assumptions (Nuclear)'!$V$7,Model!Z1,'Assumptions (Nuclear)'!$V$10,'Assumptions (Nuclear)'!$V$5*Model!$AV$1129*AVERAGE('Assumptions (Nuclear)'!$AO$2:$AT$2)/10^9),0)</f>
        <v>-0.01819036697</v>
      </c>
      <c r="AZ1231" s="160">
        <f>IF($AV$1129&gt;0,PPMT('Assumptions (Nuclear)'!$V$7,Model!AA1,'Assumptions (Nuclear)'!$V$10,'Assumptions (Nuclear)'!$V$5*Model!$AV$1129*AVERAGE('Assumptions (Nuclear)'!$AO$2:$AT$2)/10^9),0)</f>
        <v>-0.0190544094</v>
      </c>
      <c r="BA1231" s="160">
        <f>IF($AV$1129&gt;0,PPMT('Assumptions (Nuclear)'!$V$7,Model!AB1,'Assumptions (Nuclear)'!$V$10,'Assumptions (Nuclear)'!$V$5*Model!$AV$1129*AVERAGE('Assumptions (Nuclear)'!$AO$2:$AT$2)/10^9),0)</f>
        <v>-0.01995949385</v>
      </c>
      <c r="BB1231" s="160">
        <f>IF($AV$1129&gt;0,PPMT('Assumptions (Nuclear)'!$V$7,Model!AC1,'Assumptions (Nuclear)'!$V$10,'Assumptions (Nuclear)'!$V$5*Model!$AV$1129*AVERAGE('Assumptions (Nuclear)'!$AO$2:$AT$2)/10^9),0)</f>
        <v>-0.02090756981</v>
      </c>
      <c r="BC1231" s="160">
        <f>IF($AV$1129&gt;0,PPMT('Assumptions (Nuclear)'!$V$7,Model!AD1,'Assumptions (Nuclear)'!$V$10,'Assumptions (Nuclear)'!$V$5*Model!$AV$1129*AVERAGE('Assumptions (Nuclear)'!$AO$2:$AT$2)/10^9),0)</f>
        <v>-0.02190067937</v>
      </c>
      <c r="BD1231" s="160">
        <f>IF($AV$1129&gt;0,PPMT('Assumptions (Nuclear)'!$V$7,Model!AE1,'Assumptions (Nuclear)'!$V$10,'Assumptions (Nuclear)'!$V$5*Model!$AV$1129*AVERAGE('Assumptions (Nuclear)'!$AO$2:$AT$2)/10^9),0)</f>
        <v>-0.02294096164</v>
      </c>
      <c r="BE1231" s="160">
        <f>IF($AV$1129&gt;0,PPMT('Assumptions (Nuclear)'!$V$7,Model!AF1,'Assumptions (Nuclear)'!$V$10,'Assumptions (Nuclear)'!$V$5*Model!$AV$1129*AVERAGE('Assumptions (Nuclear)'!$AO$2:$AT$2)/10^9),0)</f>
        <v>-0.02403065732</v>
      </c>
      <c r="BF1231" s="160">
        <f>IF($AV$1129&gt;0,PPMT('Assumptions (Nuclear)'!$V$7,Model!AG1,'Assumptions (Nuclear)'!$V$10,'Assumptions (Nuclear)'!$V$5*Model!$AV$1129*AVERAGE('Assumptions (Nuclear)'!$AO$2:$AT$2)/10^9),0)</f>
        <v>-0.02517211354</v>
      </c>
      <c r="BG1231" s="160">
        <f>IF($AV$1129&gt;0,PPMT('Assumptions (Nuclear)'!$V$7,Model!AH1,'Assumptions (Nuclear)'!$V$10,'Assumptions (Nuclear)'!$V$5*Model!$AV$1129*AVERAGE('Assumptions (Nuclear)'!$AO$2:$AT$2)/10^9),0)</f>
        <v>-0.02636778894</v>
      </c>
      <c r="BH1231" s="160">
        <f>IF($AV$1129&gt;0,PPMT('Assumptions (Nuclear)'!$V$7,Model!AI1,'Assumptions (Nuclear)'!$V$10,'Assumptions (Nuclear)'!$V$5*Model!$AV$1129*AVERAGE('Assumptions (Nuclear)'!$AO$2:$AT$2)/10^9),0)</f>
        <v>-0.02762025891</v>
      </c>
      <c r="BI1231" s="160">
        <f>IF($AV$1129&gt;0,PPMT('Assumptions (Nuclear)'!$V$7,Model!AJ1,'Assumptions (Nuclear)'!$V$10,'Assumptions (Nuclear)'!$V$5*Model!$AV$1129*AVERAGE('Assumptions (Nuclear)'!$AO$2:$AT$2)/10^9),0)</f>
        <v>-0.02893222121</v>
      </c>
      <c r="BJ1231" s="160">
        <f>IF($AV$1129&gt;0,PPMT('Assumptions (Nuclear)'!$V$7,Model!AK1,'Assumptions (Nuclear)'!$V$10,'Assumptions (Nuclear)'!$V$5*Model!$AV$1129*AVERAGE('Assumptions (Nuclear)'!$AO$2:$AT$2)/10^9),0)</f>
        <v>-0.03030650172</v>
      </c>
      <c r="BK1231" s="160"/>
      <c r="BL1231" s="160"/>
      <c r="BM1231" s="160"/>
      <c r="BN1231" s="160"/>
      <c r="BO1231" s="160"/>
      <c r="BP1231" s="160"/>
      <c r="BQ1231" s="160"/>
      <c r="BR1231" s="160"/>
      <c r="BS1231" s="160"/>
      <c r="BT1231" s="160"/>
    </row>
    <row r="1232" ht="15.75" hidden="1" customHeight="1" outlineLevel="1">
      <c r="A1232" s="262"/>
      <c r="B1232" s="38"/>
      <c r="C1232" s="174"/>
      <c r="D1232" s="174"/>
      <c r="E1232" s="174"/>
      <c r="F1232" s="174"/>
      <c r="G1232" s="174"/>
      <c r="H1232" s="174"/>
      <c r="I1232" s="174"/>
      <c r="J1232" s="174"/>
      <c r="K1232" s="174"/>
      <c r="L1232" s="174"/>
      <c r="M1232" s="174"/>
      <c r="N1232" s="174"/>
      <c r="O1232" s="174"/>
      <c r="P1232" s="174"/>
      <c r="Q1232" s="174"/>
      <c r="R1232" s="174"/>
      <c r="S1232" s="174"/>
      <c r="T1232" s="174"/>
      <c r="U1232" s="174"/>
      <c r="V1232" s="174"/>
      <c r="W1232" s="160"/>
      <c r="X1232" s="160"/>
      <c r="Y1232" s="160"/>
      <c r="Z1232" s="160"/>
      <c r="AA1232" s="160"/>
      <c r="AB1232" s="160"/>
      <c r="AC1232" s="160"/>
      <c r="AD1232" s="160"/>
      <c r="AE1232" s="160"/>
      <c r="AF1232" s="160"/>
      <c r="AG1232" s="160"/>
      <c r="AH1232" s="160"/>
      <c r="AI1232" s="160"/>
      <c r="AJ1232" s="179"/>
      <c r="AK1232" s="160"/>
      <c r="AL1232" s="177"/>
      <c r="AM1232" s="177"/>
      <c r="AN1232" s="177"/>
      <c r="AO1232" s="160"/>
      <c r="AP1232" s="160"/>
      <c r="AQ1232" s="160"/>
      <c r="AR1232" s="160"/>
      <c r="AS1232" s="160"/>
      <c r="AT1232" s="160"/>
      <c r="AU1232" s="160"/>
      <c r="AV1232" s="160"/>
      <c r="AW1232" s="160">
        <f>IF($AW$1129&gt;0,PPMT('Assumptions (Nuclear)'!$V$7,Model!W1,'Assumptions (Nuclear)'!$V$10,'Assumptions (Nuclear)'!$V$5*Model!$AW$1129*AVERAGE('Assumptions (Nuclear)'!$AP$2:$AU$2)/10^9),0)</f>
        <v>-0.436124417</v>
      </c>
      <c r="AX1232" s="160">
        <f>IF($AW$1129&gt;0,PPMT('Assumptions (Nuclear)'!$V$7,Model!X1,'Assumptions (Nuclear)'!$V$10,'Assumptions (Nuclear)'!$V$5*Model!$AW$1129*AVERAGE('Assumptions (Nuclear)'!$AP$2:$AU$2)/10^9),0)</f>
        <v>-0.4568403268</v>
      </c>
      <c r="AY1232" s="160">
        <f>IF($AW$1129&gt;0,PPMT('Assumptions (Nuclear)'!$V$7,Model!Y1,'Assumptions (Nuclear)'!$V$10,'Assumptions (Nuclear)'!$V$5*Model!$AW$1129*AVERAGE('Assumptions (Nuclear)'!$AP$2:$AU$2)/10^9),0)</f>
        <v>-0.4785402424</v>
      </c>
      <c r="AZ1232" s="160">
        <f>IF($AW$1129&gt;0,PPMT('Assumptions (Nuclear)'!$V$7,Model!Z1,'Assumptions (Nuclear)'!$V$10,'Assumptions (Nuclear)'!$V$5*Model!$AW$1129*AVERAGE('Assumptions (Nuclear)'!$AP$2:$AU$2)/10^9),0)</f>
        <v>-0.5012709039</v>
      </c>
      <c r="BA1232" s="160">
        <f>IF($AW$1129&gt;0,PPMT('Assumptions (Nuclear)'!$V$7,Model!AA1,'Assumptions (Nuclear)'!$V$10,'Assumptions (Nuclear)'!$V$5*Model!$AW$1129*AVERAGE('Assumptions (Nuclear)'!$AP$2:$AU$2)/10^9),0)</f>
        <v>-0.5250812718</v>
      </c>
      <c r="BB1232" s="160">
        <f>IF($AW$1129&gt;0,PPMT('Assumptions (Nuclear)'!$V$7,Model!AB1,'Assumptions (Nuclear)'!$V$10,'Assumptions (Nuclear)'!$V$5*Model!$AW$1129*AVERAGE('Assumptions (Nuclear)'!$AP$2:$AU$2)/10^9),0)</f>
        <v>-0.5500226322</v>
      </c>
      <c r="BC1232" s="160">
        <f>IF($AW$1129&gt;0,PPMT('Assumptions (Nuclear)'!$V$7,Model!AC1,'Assumptions (Nuclear)'!$V$10,'Assumptions (Nuclear)'!$V$5*Model!$AW$1129*AVERAGE('Assumptions (Nuclear)'!$AP$2:$AU$2)/10^9),0)</f>
        <v>-0.5761487072</v>
      </c>
      <c r="BD1232" s="160">
        <f>IF($AW$1129&gt;0,PPMT('Assumptions (Nuclear)'!$V$7,Model!AD1,'Assumptions (Nuclear)'!$V$10,'Assumptions (Nuclear)'!$V$5*Model!$AW$1129*AVERAGE('Assumptions (Nuclear)'!$AP$2:$AU$2)/10^9),0)</f>
        <v>-0.6035157708</v>
      </c>
      <c r="BE1232" s="160">
        <f>IF($AW$1129&gt;0,PPMT('Assumptions (Nuclear)'!$V$7,Model!AE1,'Assumptions (Nuclear)'!$V$10,'Assumptions (Nuclear)'!$V$5*Model!$AW$1129*AVERAGE('Assumptions (Nuclear)'!$AP$2:$AU$2)/10^9),0)</f>
        <v>-0.63218277</v>
      </c>
      <c r="BF1232" s="160">
        <f>IF($AW$1129&gt;0,PPMT('Assumptions (Nuclear)'!$V$7,Model!AF1,'Assumptions (Nuclear)'!$V$10,'Assumptions (Nuclear)'!$V$5*Model!$AW$1129*AVERAGE('Assumptions (Nuclear)'!$AP$2:$AU$2)/10^9),0)</f>
        <v>-0.6622114515</v>
      </c>
      <c r="BG1232" s="160">
        <f>IF($AW$1129&gt;0,PPMT('Assumptions (Nuclear)'!$V$7,Model!AG1,'Assumptions (Nuclear)'!$V$10,'Assumptions (Nuclear)'!$V$5*Model!$AW$1129*AVERAGE('Assumptions (Nuclear)'!$AP$2:$AU$2)/10^9),0)</f>
        <v>-0.6936664955</v>
      </c>
      <c r="BH1232" s="160">
        <f>IF($AW$1129&gt;0,PPMT('Assumptions (Nuclear)'!$V$7,Model!AH1,'Assumptions (Nuclear)'!$V$10,'Assumptions (Nuclear)'!$V$5*Model!$AW$1129*AVERAGE('Assumptions (Nuclear)'!$AP$2:$AU$2)/10^9),0)</f>
        <v>-0.726615654</v>
      </c>
      <c r="BI1232" s="160">
        <f>IF($AW$1129&gt;0,PPMT('Assumptions (Nuclear)'!$V$7,Model!AI1,'Assumptions (Nuclear)'!$V$10,'Assumptions (Nuclear)'!$V$5*Model!$AW$1129*AVERAGE('Assumptions (Nuclear)'!$AP$2:$AU$2)/10^9),0)</f>
        <v>-0.7611298976</v>
      </c>
      <c r="BJ1232" s="160">
        <f>IF($AW$1129&gt;0,PPMT('Assumptions (Nuclear)'!$V$7,Model!AJ1,'Assumptions (Nuclear)'!$V$10,'Assumptions (Nuclear)'!$V$5*Model!$AW$1129*AVERAGE('Assumptions (Nuclear)'!$AP$2:$AU$2)/10^9),0)</f>
        <v>-0.7972835677</v>
      </c>
      <c r="BK1232" s="160">
        <f>IF($AW$1129&gt;0,PPMT('Assumptions (Nuclear)'!$V$7,Model!AK1,'Assumptions (Nuclear)'!$V$10,'Assumptions (Nuclear)'!$V$5*Model!$AW$1129*AVERAGE('Assumptions (Nuclear)'!$AP$2:$AU$2)/10^9),0)</f>
        <v>-0.8351545372</v>
      </c>
      <c r="BL1232" s="160"/>
      <c r="BM1232" s="160"/>
      <c r="BN1232" s="160"/>
      <c r="BO1232" s="160"/>
      <c r="BP1232" s="160"/>
      <c r="BQ1232" s="160"/>
      <c r="BR1232" s="160"/>
      <c r="BS1232" s="160"/>
      <c r="BT1232" s="160"/>
      <c r="BU1232" s="160"/>
    </row>
    <row r="1233" ht="15.75" hidden="1" customHeight="1" outlineLevel="1">
      <c r="A1233" s="262"/>
      <c r="B1233" s="38"/>
      <c r="C1233" s="174"/>
      <c r="D1233" s="174"/>
      <c r="E1233" s="174"/>
      <c r="F1233" s="174"/>
      <c r="G1233" s="174"/>
      <c r="H1233" s="174"/>
      <c r="I1233" s="174"/>
      <c r="J1233" s="174"/>
      <c r="K1233" s="174"/>
      <c r="L1233" s="174"/>
      <c r="M1233" s="174"/>
      <c r="N1233" s="174"/>
      <c r="O1233" s="174"/>
      <c r="P1233" s="174"/>
      <c r="Q1233" s="174"/>
      <c r="R1233" s="174"/>
      <c r="S1233" s="174"/>
      <c r="T1233" s="174"/>
      <c r="U1233" s="174"/>
      <c r="V1233" s="174"/>
      <c r="W1233" s="160"/>
      <c r="X1233" s="160"/>
      <c r="Y1233" s="160"/>
      <c r="Z1233" s="160"/>
      <c r="AA1233" s="160"/>
      <c r="AB1233" s="160"/>
      <c r="AC1233" s="160"/>
      <c r="AD1233" s="160"/>
      <c r="AE1233" s="160"/>
      <c r="AF1233" s="160"/>
      <c r="AG1233" s="160"/>
      <c r="AH1233" s="160"/>
      <c r="AI1233" s="160"/>
      <c r="AJ1233" s="179"/>
      <c r="AK1233" s="160"/>
      <c r="AL1233" s="177"/>
      <c r="AM1233" s="177"/>
      <c r="AN1233" s="177"/>
      <c r="AO1233" s="160"/>
      <c r="AP1233" s="160"/>
      <c r="AQ1233" s="160"/>
      <c r="AR1233" s="160"/>
      <c r="AS1233" s="160"/>
      <c r="AT1233" s="160"/>
      <c r="AU1233" s="160"/>
      <c r="AV1233" s="160"/>
      <c r="AW1233" s="160"/>
      <c r="AX1233" s="160">
        <f>IF($AX$1129&gt;0,PPMT('Assumptions (Nuclear)'!$V$7,Model!W1,'Assumptions (Nuclear)'!$V$10,'Assumptions (Nuclear)'!$V$5*Model!$AX$1129*AVERAGE('Assumptions (Nuclear)'!$AQ$2:$AV$2)/10^9),0)</f>
        <v>-0.5160582504</v>
      </c>
      <c r="AY1233" s="160">
        <f>IF($AX$1129&gt;0,PPMT('Assumptions (Nuclear)'!$V$7,Model!X1,'Assumptions (Nuclear)'!$V$10,'Assumptions (Nuclear)'!$V$5*Model!$AX$1129*AVERAGE('Assumptions (Nuclear)'!$AQ$2:$AV$2)/10^9),0)</f>
        <v>-0.5405710173</v>
      </c>
      <c r="AZ1233" s="160">
        <f>IF($AX$1129&gt;0,PPMT('Assumptions (Nuclear)'!$V$7,Model!Y1,'Assumptions (Nuclear)'!$V$10,'Assumptions (Nuclear)'!$V$5*Model!$AX$1129*AVERAGE('Assumptions (Nuclear)'!$AQ$2:$AV$2)/10^9),0)</f>
        <v>-0.5662481406</v>
      </c>
      <c r="BA1233" s="160">
        <f>IF($AX$1129&gt;0,PPMT('Assumptions (Nuclear)'!$V$7,Model!Z1,'Assumptions (Nuclear)'!$V$10,'Assumptions (Nuclear)'!$V$5*Model!$AX$1129*AVERAGE('Assumptions (Nuclear)'!$AQ$2:$AV$2)/10^9),0)</f>
        <v>-0.5931449273</v>
      </c>
      <c r="BB1233" s="160">
        <f>IF($AX$1129&gt;0,PPMT('Assumptions (Nuclear)'!$V$7,Model!AA1,'Assumptions (Nuclear)'!$V$10,'Assumptions (Nuclear)'!$V$5*Model!$AX$1129*AVERAGE('Assumptions (Nuclear)'!$AQ$2:$AV$2)/10^9),0)</f>
        <v>-0.6213193113</v>
      </c>
      <c r="BC1233" s="160">
        <f>IF($AX$1129&gt;0,PPMT('Assumptions (Nuclear)'!$V$7,Model!AB1,'Assumptions (Nuclear)'!$V$10,'Assumptions (Nuclear)'!$V$5*Model!$AX$1129*AVERAGE('Assumptions (Nuclear)'!$AQ$2:$AV$2)/10^9),0)</f>
        <v>-0.6508319786</v>
      </c>
      <c r="BD1233" s="160">
        <f>IF($AX$1129&gt;0,PPMT('Assumptions (Nuclear)'!$V$7,Model!AC1,'Assumptions (Nuclear)'!$V$10,'Assumptions (Nuclear)'!$V$5*Model!$AX$1129*AVERAGE('Assumptions (Nuclear)'!$AQ$2:$AV$2)/10^9),0)</f>
        <v>-0.6817464976</v>
      </c>
      <c r="BE1233" s="160">
        <f>IF($AX$1129&gt;0,PPMT('Assumptions (Nuclear)'!$V$7,Model!AD1,'Assumptions (Nuclear)'!$V$10,'Assumptions (Nuclear)'!$V$5*Model!$AX$1129*AVERAGE('Assumptions (Nuclear)'!$AQ$2:$AV$2)/10^9),0)</f>
        <v>-0.7141294562</v>
      </c>
      <c r="BF1233" s="160">
        <f>IF($AX$1129&gt;0,PPMT('Assumptions (Nuclear)'!$V$7,Model!AE1,'Assumptions (Nuclear)'!$V$10,'Assumptions (Nuclear)'!$V$5*Model!$AX$1129*AVERAGE('Assumptions (Nuclear)'!$AQ$2:$AV$2)/10^9),0)</f>
        <v>-0.7480506054</v>
      </c>
      <c r="BG1233" s="160">
        <f>IF($AX$1129&gt;0,PPMT('Assumptions (Nuclear)'!$V$7,Model!AF1,'Assumptions (Nuclear)'!$V$10,'Assumptions (Nuclear)'!$V$5*Model!$AX$1129*AVERAGE('Assumptions (Nuclear)'!$AQ$2:$AV$2)/10^9),0)</f>
        <v>-0.7835830091</v>
      </c>
      <c r="BH1233" s="160">
        <f>IF($AX$1129&gt;0,PPMT('Assumptions (Nuclear)'!$V$7,Model!AG1,'Assumptions (Nuclear)'!$V$10,'Assumptions (Nuclear)'!$V$5*Model!$AX$1129*AVERAGE('Assumptions (Nuclear)'!$AQ$2:$AV$2)/10^9),0)</f>
        <v>-0.8208032021</v>
      </c>
      <c r="BI1233" s="160">
        <f>IF($AX$1129&gt;0,PPMT('Assumptions (Nuclear)'!$V$7,Model!AH1,'Assumptions (Nuclear)'!$V$10,'Assumptions (Nuclear)'!$V$5*Model!$AX$1129*AVERAGE('Assumptions (Nuclear)'!$AQ$2:$AV$2)/10^9),0)</f>
        <v>-0.8597913542</v>
      </c>
      <c r="BJ1233" s="160">
        <f>IF($AX$1129&gt;0,PPMT('Assumptions (Nuclear)'!$V$7,Model!AI1,'Assumptions (Nuclear)'!$V$10,'Assumptions (Nuclear)'!$V$5*Model!$AX$1129*AVERAGE('Assumptions (Nuclear)'!$AQ$2:$AV$2)/10^9),0)</f>
        <v>-0.9006314435</v>
      </c>
      <c r="BK1233" s="160">
        <f>IF($AX$1129&gt;0,PPMT('Assumptions (Nuclear)'!$V$7,Model!AJ1,'Assumptions (Nuclear)'!$V$10,'Assumptions (Nuclear)'!$V$5*Model!$AX$1129*AVERAGE('Assumptions (Nuclear)'!$AQ$2:$AV$2)/10^9),0)</f>
        <v>-0.943411437</v>
      </c>
      <c r="BL1233" s="160">
        <f>IF($AX$1129&gt;0,PPMT('Assumptions (Nuclear)'!$V$7,Model!AK1,'Assumptions (Nuclear)'!$V$10,'Assumptions (Nuclear)'!$V$5*Model!$AX$1129*AVERAGE('Assumptions (Nuclear)'!$AQ$2:$AV$2)/10^9),0)</f>
        <v>-0.9882234803</v>
      </c>
      <c r="BM1233" s="160"/>
      <c r="BN1233" s="160"/>
      <c r="BO1233" s="160"/>
      <c r="BP1233" s="160"/>
      <c r="BQ1233" s="160"/>
      <c r="BR1233" s="160"/>
      <c r="BS1233" s="160"/>
      <c r="BT1233" s="160"/>
      <c r="BU1233" s="160"/>
      <c r="BV1233" s="160"/>
    </row>
    <row r="1234" ht="15.75" hidden="1" customHeight="1" outlineLevel="1">
      <c r="A1234" s="262"/>
      <c r="B1234" s="38"/>
      <c r="C1234" s="174"/>
      <c r="D1234" s="174"/>
      <c r="E1234" s="174"/>
      <c r="F1234" s="174"/>
      <c r="G1234" s="174"/>
      <c r="H1234" s="174"/>
      <c r="I1234" s="174"/>
      <c r="J1234" s="174"/>
      <c r="K1234" s="174"/>
      <c r="L1234" s="174"/>
      <c r="M1234" s="174"/>
      <c r="N1234" s="174"/>
      <c r="O1234" s="174"/>
      <c r="P1234" s="174"/>
      <c r="Q1234" s="174"/>
      <c r="R1234" s="174"/>
      <c r="S1234" s="174"/>
      <c r="T1234" s="174"/>
      <c r="U1234" s="174"/>
      <c r="V1234" s="174"/>
      <c r="W1234" s="160"/>
      <c r="X1234" s="160"/>
      <c r="Y1234" s="160"/>
      <c r="Z1234" s="160"/>
      <c r="AA1234" s="160"/>
      <c r="AB1234" s="160"/>
      <c r="AC1234" s="160"/>
      <c r="AD1234" s="160"/>
      <c r="AE1234" s="160"/>
      <c r="AF1234" s="160"/>
      <c r="AG1234" s="160"/>
      <c r="AH1234" s="160"/>
      <c r="AI1234" s="160"/>
      <c r="AJ1234" s="179"/>
      <c r="AK1234" s="160"/>
      <c r="AL1234" s="177"/>
      <c r="AM1234" s="177"/>
      <c r="AN1234" s="177"/>
      <c r="AO1234" s="160"/>
      <c r="AP1234" s="160"/>
      <c r="AQ1234" s="160"/>
      <c r="AR1234" s="160"/>
      <c r="AS1234" s="160"/>
      <c r="AT1234" s="160"/>
      <c r="AU1234" s="160"/>
      <c r="AV1234" s="160"/>
      <c r="AW1234" s="160"/>
      <c r="AX1234" s="160"/>
      <c r="AY1234" s="160">
        <f>IF($AY$1129&gt;0,PPMT('Assumptions (Nuclear)'!$V$7,Model!W1,'Assumptions (Nuclear)'!$V$10,'Assumptions (Nuclear)'!$V$5*Model!$AY$1129*AVERAGE('Assumptions (Nuclear)'!$AR$2:$AW$2)/10^9),0)</f>
        <v>-0.2468402109</v>
      </c>
      <c r="AZ1234" s="160">
        <f>IF($AY$1129&gt;0,PPMT('Assumptions (Nuclear)'!$V$7,Model!X1,'Assumptions (Nuclear)'!$V$10,'Assumptions (Nuclear)'!$V$5*Model!$AY$1129*AVERAGE('Assumptions (Nuclear)'!$AR$2:$AW$2)/10^9),0)</f>
        <v>-0.258565121</v>
      </c>
      <c r="BA1234" s="160">
        <f>IF($AY$1129&gt;0,PPMT('Assumptions (Nuclear)'!$V$7,Model!Y1,'Assumptions (Nuclear)'!$V$10,'Assumptions (Nuclear)'!$V$5*Model!$AY$1129*AVERAGE('Assumptions (Nuclear)'!$AR$2:$AW$2)/10^9),0)</f>
        <v>-0.2708469642</v>
      </c>
      <c r="BB1234" s="160">
        <f>IF($AY$1129&gt;0,PPMT('Assumptions (Nuclear)'!$V$7,Model!Z1,'Assumptions (Nuclear)'!$V$10,'Assumptions (Nuclear)'!$V$5*Model!$AY$1129*AVERAGE('Assumptions (Nuclear)'!$AR$2:$AW$2)/10^9),0)</f>
        <v>-0.283712195</v>
      </c>
      <c r="BC1234" s="160">
        <f>IF($AY$1129&gt;0,PPMT('Assumptions (Nuclear)'!$V$7,Model!AA1,'Assumptions (Nuclear)'!$V$10,'Assumptions (Nuclear)'!$V$5*Model!$AY$1129*AVERAGE('Assumptions (Nuclear)'!$AR$2:$AW$2)/10^9),0)</f>
        <v>-0.2971885243</v>
      </c>
      <c r="BD1234" s="160">
        <f>IF($AY$1129&gt;0,PPMT('Assumptions (Nuclear)'!$V$7,Model!AB1,'Assumptions (Nuclear)'!$V$10,'Assumptions (Nuclear)'!$V$5*Model!$AY$1129*AVERAGE('Assumptions (Nuclear)'!$AR$2:$AW$2)/10^9),0)</f>
        <v>-0.3113049792</v>
      </c>
      <c r="BE1234" s="160">
        <f>IF($AY$1129&gt;0,PPMT('Assumptions (Nuclear)'!$V$7,Model!AC1,'Assumptions (Nuclear)'!$V$10,'Assumptions (Nuclear)'!$V$5*Model!$AY$1129*AVERAGE('Assumptions (Nuclear)'!$AR$2:$AW$2)/10^9),0)</f>
        <v>-0.3260919657</v>
      </c>
      <c r="BF1234" s="160">
        <f>IF($AY$1129&gt;0,PPMT('Assumptions (Nuclear)'!$V$7,Model!AD1,'Assumptions (Nuclear)'!$V$10,'Assumptions (Nuclear)'!$V$5*Model!$AY$1129*AVERAGE('Assumptions (Nuclear)'!$AR$2:$AW$2)/10^9),0)</f>
        <v>-0.3415813341</v>
      </c>
      <c r="BG1234" s="160">
        <f>IF($AY$1129&gt;0,PPMT('Assumptions (Nuclear)'!$V$7,Model!AE1,'Assumptions (Nuclear)'!$V$10,'Assumptions (Nuclear)'!$V$5*Model!$AY$1129*AVERAGE('Assumptions (Nuclear)'!$AR$2:$AW$2)/10^9),0)</f>
        <v>-0.3578064474</v>
      </c>
      <c r="BH1234" s="160">
        <f>IF($AY$1129&gt;0,PPMT('Assumptions (Nuclear)'!$V$7,Model!AF1,'Assumptions (Nuclear)'!$V$10,'Assumptions (Nuclear)'!$V$5*Model!$AY$1129*AVERAGE('Assumptions (Nuclear)'!$AR$2:$AW$2)/10^9),0)</f>
        <v>-0.3748022537</v>
      </c>
      <c r="BI1234" s="160">
        <f>IF($AY$1129&gt;0,PPMT('Assumptions (Nuclear)'!$V$7,Model!AG1,'Assumptions (Nuclear)'!$V$10,'Assumptions (Nuclear)'!$V$5*Model!$AY$1129*AVERAGE('Assumptions (Nuclear)'!$AR$2:$AW$2)/10^9),0)</f>
        <v>-0.3926053607</v>
      </c>
      <c r="BJ1234" s="160">
        <f>IF($AY$1129&gt;0,PPMT('Assumptions (Nuclear)'!$V$7,Model!AH1,'Assumptions (Nuclear)'!$V$10,'Assumptions (Nuclear)'!$V$5*Model!$AY$1129*AVERAGE('Assumptions (Nuclear)'!$AR$2:$AW$2)/10^9),0)</f>
        <v>-0.4112541154</v>
      </c>
      <c r="BK1234" s="160">
        <f>IF($AY$1129&gt;0,PPMT('Assumptions (Nuclear)'!$V$7,Model!AI1,'Assumptions (Nuclear)'!$V$10,'Assumptions (Nuclear)'!$V$5*Model!$AY$1129*AVERAGE('Assumptions (Nuclear)'!$AR$2:$AW$2)/10^9),0)</f>
        <v>-0.4307886858</v>
      </c>
      <c r="BL1234" s="160">
        <f>IF($AY$1129&gt;0,PPMT('Assumptions (Nuclear)'!$V$7,Model!AJ1,'Assumptions (Nuclear)'!$V$10,'Assumptions (Nuclear)'!$V$5*Model!$AY$1129*AVERAGE('Assumptions (Nuclear)'!$AR$2:$AW$2)/10^9),0)</f>
        <v>-0.4512511484</v>
      </c>
      <c r="BM1234" s="160">
        <f>IF($AY$1129&gt;0,PPMT('Assumptions (Nuclear)'!$V$7,Model!AK1,'Assumptions (Nuclear)'!$V$10,'Assumptions (Nuclear)'!$V$5*Model!$AY$1129*AVERAGE('Assumptions (Nuclear)'!$AR$2:$AW$2)/10^9),0)</f>
        <v>-0.472685578</v>
      </c>
      <c r="BN1234" s="160"/>
      <c r="BO1234" s="160"/>
      <c r="BP1234" s="160"/>
      <c r="BQ1234" s="160"/>
      <c r="BR1234" s="160"/>
      <c r="BS1234" s="160"/>
      <c r="BT1234" s="160"/>
      <c r="BU1234" s="160"/>
      <c r="BV1234" s="160"/>
      <c r="BW1234" s="160"/>
    </row>
    <row r="1235" ht="15.75" hidden="1" customHeight="1" outlineLevel="1">
      <c r="A1235" s="262"/>
      <c r="B1235" s="38"/>
      <c r="C1235" s="174"/>
      <c r="D1235" s="174"/>
      <c r="E1235" s="174"/>
      <c r="F1235" s="174"/>
      <c r="G1235" s="174"/>
      <c r="H1235" s="174"/>
      <c r="I1235" s="174"/>
      <c r="J1235" s="174"/>
      <c r="K1235" s="174"/>
      <c r="L1235" s="174"/>
      <c r="M1235" s="174"/>
      <c r="N1235" s="174"/>
      <c r="O1235" s="174"/>
      <c r="P1235" s="174"/>
      <c r="Q1235" s="174"/>
      <c r="R1235" s="174"/>
      <c r="S1235" s="174"/>
      <c r="T1235" s="174"/>
      <c r="U1235" s="174"/>
      <c r="V1235" s="174"/>
      <c r="W1235" s="160"/>
      <c r="X1235" s="160"/>
      <c r="Y1235" s="160"/>
      <c r="Z1235" s="160"/>
      <c r="AA1235" s="160"/>
      <c r="AB1235" s="160"/>
      <c r="AC1235" s="160"/>
      <c r="AD1235" s="160"/>
      <c r="AE1235" s="160"/>
      <c r="AF1235" s="160"/>
      <c r="AG1235" s="160"/>
      <c r="AH1235" s="160"/>
      <c r="AI1235" s="160"/>
      <c r="AJ1235" s="179"/>
      <c r="AK1235" s="160"/>
      <c r="AL1235" s="177"/>
      <c r="AM1235" s="177"/>
      <c r="AN1235" s="177"/>
      <c r="AO1235" s="160"/>
      <c r="AP1235" s="160"/>
      <c r="AQ1235" s="160"/>
      <c r="AR1235" s="160"/>
      <c r="AS1235" s="160"/>
      <c r="AT1235" s="160"/>
      <c r="AU1235" s="160"/>
      <c r="AV1235" s="160"/>
      <c r="AW1235" s="160"/>
      <c r="AX1235" s="160"/>
      <c r="AY1235" s="160"/>
      <c r="AZ1235" s="160">
        <f>IF($AZ$1129&gt;0,PPMT('Assumptions (Nuclear)'!$V$7,Model!W1,'Assumptions (Nuclear)'!$V$10,'Assumptions (Nuclear)'!$V$5*Model!$AZ$1129*AVERAGE('Assumptions (Nuclear)'!$AS$2:$AX$2)/10^9),0)</f>
        <v>-0.4250482149</v>
      </c>
      <c r="BA1235" s="160">
        <f>IF($AZ$1129&gt;0,PPMT('Assumptions (Nuclear)'!$V$7,Model!X1,'Assumptions (Nuclear)'!$V$10,'Assumptions (Nuclear)'!$V$5*Model!$AZ$1129*AVERAGE('Assumptions (Nuclear)'!$AS$2:$AX$2)/10^9),0)</f>
        <v>-0.4452380051</v>
      </c>
      <c r="BB1235" s="160">
        <f>IF($AZ$1129&gt;0,PPMT('Assumptions (Nuclear)'!$V$7,Model!Y1,'Assumptions (Nuclear)'!$V$10,'Assumptions (Nuclear)'!$V$5*Model!$AZ$1129*AVERAGE('Assumptions (Nuclear)'!$AS$2:$AX$2)/10^9),0)</f>
        <v>-0.4663868103</v>
      </c>
      <c r="BC1235" s="160">
        <f>IF($AZ$1129&gt;0,PPMT('Assumptions (Nuclear)'!$V$7,Model!Z1,'Assumptions (Nuclear)'!$V$10,'Assumptions (Nuclear)'!$V$5*Model!$AZ$1129*AVERAGE('Assumptions (Nuclear)'!$AS$2:$AX$2)/10^9),0)</f>
        <v>-0.4885401838</v>
      </c>
      <c r="BD1235" s="160">
        <f>IF($AZ$1129&gt;0,PPMT('Assumptions (Nuclear)'!$V$7,Model!AA1,'Assumptions (Nuclear)'!$V$10,'Assumptions (Nuclear)'!$V$5*Model!$AZ$1129*AVERAGE('Assumptions (Nuclear)'!$AS$2:$AX$2)/10^9),0)</f>
        <v>-0.5117458425</v>
      </c>
      <c r="BE1235" s="160">
        <f>IF($AZ$1129&gt;0,PPMT('Assumptions (Nuclear)'!$V$7,Model!AB1,'Assumptions (Nuclear)'!$V$10,'Assumptions (Nuclear)'!$V$5*Model!$AZ$1129*AVERAGE('Assumptions (Nuclear)'!$AS$2:$AX$2)/10^9),0)</f>
        <v>-0.5360537701</v>
      </c>
      <c r="BF1235" s="160">
        <f>IF($AZ$1129&gt;0,PPMT('Assumptions (Nuclear)'!$V$7,Model!AC1,'Assumptions (Nuclear)'!$V$10,'Assumptions (Nuclear)'!$V$5*Model!$AZ$1129*AVERAGE('Assumptions (Nuclear)'!$AS$2:$AX$2)/10^9),0)</f>
        <v>-0.5615163241</v>
      </c>
      <c r="BG1235" s="160">
        <f>IF($AZ$1129&gt;0,PPMT('Assumptions (Nuclear)'!$V$7,Model!AD1,'Assumptions (Nuclear)'!$V$10,'Assumptions (Nuclear)'!$V$5*Model!$AZ$1129*AVERAGE('Assumptions (Nuclear)'!$AS$2:$AX$2)/10^9),0)</f>
        <v>-0.5881883495</v>
      </c>
      <c r="BH1235" s="160">
        <f>IF($AZ$1129&gt;0,PPMT('Assumptions (Nuclear)'!$V$7,Model!AE1,'Assumptions (Nuclear)'!$V$10,'Assumptions (Nuclear)'!$V$5*Model!$AZ$1129*AVERAGE('Assumptions (Nuclear)'!$AS$2:$AX$2)/10^9),0)</f>
        <v>-0.6161272961</v>
      </c>
      <c r="BI1235" s="160">
        <f>IF($AZ$1129&gt;0,PPMT('Assumptions (Nuclear)'!$V$7,Model!AF1,'Assumptions (Nuclear)'!$V$10,'Assumptions (Nuclear)'!$V$5*Model!$AZ$1129*AVERAGE('Assumptions (Nuclear)'!$AS$2:$AX$2)/10^9),0)</f>
        <v>-0.6453933427</v>
      </c>
      <c r="BJ1235" s="160">
        <f>IF($AZ$1129&gt;0,PPMT('Assumptions (Nuclear)'!$V$7,Model!AG1,'Assumptions (Nuclear)'!$V$10,'Assumptions (Nuclear)'!$V$5*Model!$AZ$1129*AVERAGE('Assumptions (Nuclear)'!$AS$2:$AX$2)/10^9),0)</f>
        <v>-0.6760495265</v>
      </c>
      <c r="BK1235" s="160">
        <f>IF($AZ$1129&gt;0,PPMT('Assumptions (Nuclear)'!$V$7,Model!AH1,'Assumptions (Nuclear)'!$V$10,'Assumptions (Nuclear)'!$V$5*Model!$AZ$1129*AVERAGE('Assumptions (Nuclear)'!$AS$2:$AX$2)/10^9),0)</f>
        <v>-0.708161879</v>
      </c>
      <c r="BL1235" s="160">
        <f>IF($AZ$1129&gt;0,PPMT('Assumptions (Nuclear)'!$V$7,Model!AI1,'Assumptions (Nuclear)'!$V$10,'Assumptions (Nuclear)'!$V$5*Model!$AZ$1129*AVERAGE('Assumptions (Nuclear)'!$AS$2:$AX$2)/10^9),0)</f>
        <v>-0.7417995682</v>
      </c>
      <c r="BM1235" s="160">
        <f>IF($AZ$1129&gt;0,PPMT('Assumptions (Nuclear)'!$V$7,Model!AJ1,'Assumptions (Nuclear)'!$V$10,'Assumptions (Nuclear)'!$V$5*Model!$AZ$1129*AVERAGE('Assumptions (Nuclear)'!$AS$2:$AX$2)/10^9),0)</f>
        <v>-0.7770350477</v>
      </c>
      <c r="BN1235" s="160">
        <f>IF($AZ$1129&gt;0,PPMT('Assumptions (Nuclear)'!$V$7,Model!AK1,'Assumptions (Nuclear)'!$V$10,'Assumptions (Nuclear)'!$V$5*Model!$AZ$1129*AVERAGE('Assumptions (Nuclear)'!$AS$2:$AX$2)/10^9),0)</f>
        <v>-0.8139442125</v>
      </c>
      <c r="BO1235" s="160"/>
      <c r="BP1235" s="160"/>
      <c r="BQ1235" s="160"/>
      <c r="BR1235" s="160"/>
      <c r="BS1235" s="160"/>
      <c r="BT1235" s="160"/>
      <c r="BU1235" s="160"/>
      <c r="BV1235" s="160"/>
      <c r="BW1235" s="160"/>
      <c r="BX1235" s="160"/>
    </row>
    <row r="1236" ht="15.75" hidden="1" customHeight="1" outlineLevel="1">
      <c r="A1236" s="262"/>
      <c r="B1236" s="38"/>
      <c r="C1236" s="174"/>
      <c r="D1236" s="174"/>
      <c r="E1236" s="174"/>
      <c r="F1236" s="174"/>
      <c r="G1236" s="174"/>
      <c r="H1236" s="174"/>
      <c r="I1236" s="174"/>
      <c r="J1236" s="174"/>
      <c r="K1236" s="174"/>
      <c r="L1236" s="174"/>
      <c r="M1236" s="174"/>
      <c r="N1236" s="174"/>
      <c r="O1236" s="174"/>
      <c r="P1236" s="174"/>
      <c r="Q1236" s="174"/>
      <c r="R1236" s="174"/>
      <c r="S1236" s="174"/>
      <c r="T1236" s="174"/>
      <c r="U1236" s="174"/>
      <c r="V1236" s="174"/>
      <c r="W1236" s="160"/>
      <c r="X1236" s="160"/>
      <c r="Y1236" s="160"/>
      <c r="Z1236" s="160"/>
      <c r="AA1236" s="160"/>
      <c r="AB1236" s="160"/>
      <c r="AC1236" s="160"/>
      <c r="AD1236" s="160"/>
      <c r="AE1236" s="160"/>
      <c r="AF1236" s="160"/>
      <c r="AG1236" s="160"/>
      <c r="AH1236" s="160"/>
      <c r="AI1236" s="160"/>
      <c r="AJ1236" s="179"/>
      <c r="AK1236" s="160"/>
      <c r="AL1236" s="177"/>
      <c r="AM1236" s="177"/>
      <c r="AN1236" s="177"/>
      <c r="AO1236" s="160"/>
      <c r="AP1236" s="160"/>
      <c r="AQ1236" s="160"/>
      <c r="AR1236" s="160"/>
      <c r="AS1236" s="160"/>
      <c r="AT1236" s="160"/>
      <c r="AU1236" s="160"/>
      <c r="AV1236" s="160"/>
      <c r="AW1236" s="160"/>
      <c r="AX1236" s="160"/>
      <c r="AY1236" s="160"/>
      <c r="AZ1236" s="160"/>
      <c r="BA1236" s="160">
        <f>IF($BA$1129&gt;0,PPMT('Assumptions (Nuclear)'!$V$7,Model!W1,'Assumptions (Nuclear)'!$V$10,'Assumptions (Nuclear)'!$V$5*Model!$BA$1129*AVERAGE('Assumptions (Nuclear)'!$AT$2:$AY$2)/10^9),0)</f>
        <v>-0.01679640802</v>
      </c>
      <c r="BB1236" s="160">
        <f>IF($BA$1129&gt;0,PPMT('Assumptions (Nuclear)'!$V$7,Model!X1,'Assumptions (Nuclear)'!$V$10,'Assumptions (Nuclear)'!$V$5*Model!$BA$1129*AVERAGE('Assumptions (Nuclear)'!$AT$2:$AY$2)/10^9),0)</f>
        <v>-0.0175942374</v>
      </c>
      <c r="BC1236" s="160">
        <f>IF($BA$1129&gt;0,PPMT('Assumptions (Nuclear)'!$V$7,Model!Y1,'Assumptions (Nuclear)'!$V$10,'Assumptions (Nuclear)'!$V$5*Model!$BA$1129*AVERAGE('Assumptions (Nuclear)'!$AT$2:$AY$2)/10^9),0)</f>
        <v>-0.01842996368</v>
      </c>
      <c r="BD1236" s="160">
        <f>IF($BA$1129&gt;0,PPMT('Assumptions (Nuclear)'!$V$7,Model!Z1,'Assumptions (Nuclear)'!$V$10,'Assumptions (Nuclear)'!$V$5*Model!$BA$1129*AVERAGE('Assumptions (Nuclear)'!$AT$2:$AY$2)/10^9),0)</f>
        <v>-0.01930538696</v>
      </c>
      <c r="BE1236" s="160">
        <f>IF($BA$1129&gt;0,PPMT('Assumptions (Nuclear)'!$V$7,Model!AA1,'Assumptions (Nuclear)'!$V$10,'Assumptions (Nuclear)'!$V$5*Model!$BA$1129*AVERAGE('Assumptions (Nuclear)'!$AT$2:$AY$2)/10^9),0)</f>
        <v>-0.02022239284</v>
      </c>
      <c r="BF1236" s="160">
        <f>IF($BA$1129&gt;0,PPMT('Assumptions (Nuclear)'!$V$7,Model!AB1,'Assumptions (Nuclear)'!$V$10,'Assumptions (Nuclear)'!$V$5*Model!$BA$1129*AVERAGE('Assumptions (Nuclear)'!$AT$2:$AY$2)/10^9),0)</f>
        <v>-0.0211829565</v>
      </c>
      <c r="BG1236" s="160">
        <f>IF($BA$1129&gt;0,PPMT('Assumptions (Nuclear)'!$V$7,Model!AC1,'Assumptions (Nuclear)'!$V$10,'Assumptions (Nuclear)'!$V$5*Model!$BA$1129*AVERAGE('Assumptions (Nuclear)'!$AT$2:$AY$2)/10^9),0)</f>
        <v>-0.02218914693</v>
      </c>
      <c r="BH1236" s="160">
        <f>IF($BA$1129&gt;0,PPMT('Assumptions (Nuclear)'!$V$7,Model!AD1,'Assumptions (Nuclear)'!$V$10,'Assumptions (Nuclear)'!$V$5*Model!$BA$1129*AVERAGE('Assumptions (Nuclear)'!$AT$2:$AY$2)/10^9),0)</f>
        <v>-0.02324313141</v>
      </c>
      <c r="BI1236" s="160">
        <f>IF($BA$1129&gt;0,PPMT('Assumptions (Nuclear)'!$V$7,Model!AE1,'Assumptions (Nuclear)'!$V$10,'Assumptions (Nuclear)'!$V$5*Model!$BA$1129*AVERAGE('Assumptions (Nuclear)'!$AT$2:$AY$2)/10^9),0)</f>
        <v>-0.02434718015</v>
      </c>
      <c r="BJ1236" s="160">
        <f>IF($BA$1129&gt;0,PPMT('Assumptions (Nuclear)'!$V$7,Model!AF1,'Assumptions (Nuclear)'!$V$10,'Assumptions (Nuclear)'!$V$5*Model!$BA$1129*AVERAGE('Assumptions (Nuclear)'!$AT$2:$AY$2)/10^9),0)</f>
        <v>-0.02550367121</v>
      </c>
      <c r="BK1236" s="160">
        <f>IF($BA$1129&gt;0,PPMT('Assumptions (Nuclear)'!$V$7,Model!AG1,'Assumptions (Nuclear)'!$V$10,'Assumptions (Nuclear)'!$V$5*Model!$BA$1129*AVERAGE('Assumptions (Nuclear)'!$AT$2:$AY$2)/10^9),0)</f>
        <v>-0.02671509559</v>
      </c>
      <c r="BL1236" s="160">
        <f>IF($BA$1129&gt;0,PPMT('Assumptions (Nuclear)'!$V$7,Model!AH1,'Assumptions (Nuclear)'!$V$10,'Assumptions (Nuclear)'!$V$5*Model!$BA$1129*AVERAGE('Assumptions (Nuclear)'!$AT$2:$AY$2)/10^9),0)</f>
        <v>-0.02798406263</v>
      </c>
      <c r="BM1236" s="160">
        <f>IF($BA$1129&gt;0,PPMT('Assumptions (Nuclear)'!$V$7,Model!AI1,'Assumptions (Nuclear)'!$V$10,'Assumptions (Nuclear)'!$V$5*Model!$BA$1129*AVERAGE('Assumptions (Nuclear)'!$AT$2:$AY$2)/10^9),0)</f>
        <v>-0.02931330561</v>
      </c>
      <c r="BN1236" s="160">
        <f>IF($BA$1129&gt;0,PPMT('Assumptions (Nuclear)'!$V$7,Model!AJ1,'Assumptions (Nuclear)'!$V$10,'Assumptions (Nuclear)'!$V$5*Model!$BA$1129*AVERAGE('Assumptions (Nuclear)'!$AT$2:$AY$2)/10^9),0)</f>
        <v>-0.03070568762</v>
      </c>
      <c r="BO1236" s="160">
        <f>IF($BA$1129&gt;0,PPMT('Assumptions (Nuclear)'!$V$7,Model!AK1,'Assumptions (Nuclear)'!$V$10,'Assumptions (Nuclear)'!$V$5*Model!$BA$1129*AVERAGE('Assumptions (Nuclear)'!$AT$2:$AY$2)/10^9),0)</f>
        <v>-0.03216420778</v>
      </c>
      <c r="BP1236" s="160"/>
      <c r="BQ1236" s="160"/>
      <c r="BR1236" s="160"/>
      <c r="BS1236" s="160"/>
      <c r="BT1236" s="160"/>
      <c r="BU1236" s="160"/>
      <c r="BV1236" s="160"/>
      <c r="BW1236" s="160"/>
      <c r="BX1236" s="160"/>
      <c r="BY1236" s="160"/>
    </row>
    <row r="1237" ht="15.75" customHeight="1" collapsed="1">
      <c r="A1237" s="261" t="s">
        <v>360</v>
      </c>
      <c r="B1237" s="150" t="s">
        <v>351</v>
      </c>
      <c r="C1237" s="177">
        <f t="array" ref="C1237">SUM(IF(ISERROR(C1238:C1288),"",C1238:C1288))</f>
        <v>0</v>
      </c>
      <c r="D1237" s="177">
        <f t="array" ref="D1237">SUM(IF(ISERROR(D1238:D1288),"",D1238:D1288))</f>
        <v>0</v>
      </c>
      <c r="E1237" s="177">
        <f t="array" ref="E1237">SUM(IF(ISERROR(E1238:E1288),"",E1238:E1288))</f>
        <v>0</v>
      </c>
      <c r="F1237" s="177">
        <f t="array" ref="F1237">SUM(IF(ISERROR(F1238:F1288),"",F1238:F1288))</f>
        <v>0</v>
      </c>
      <c r="G1237" s="177">
        <f t="array" ref="G1237">SUM(IF(ISERROR(G1238:G1288),"",G1238:G1288))</f>
        <v>0</v>
      </c>
      <c r="H1237" s="177">
        <f t="array" ref="H1237">SUM(IF(ISERROR(H1238:H1288),"",H1238:H1288))</f>
        <v>0</v>
      </c>
      <c r="I1237" s="177">
        <f t="array" ref="I1237">SUM(IF(ISERROR(I1238:I1288),"",I1238:I1288))</f>
        <v>0</v>
      </c>
      <c r="J1237" s="177">
        <f t="array" ref="J1237">SUM(IF(ISERROR(J1238:J1288),"",J1238:J1288))</f>
        <v>0</v>
      </c>
      <c r="K1237" s="177">
        <f t="array" ref="K1237">SUM(IF(ISERROR(K1238:K1288),"",K1238:K1288))</f>
        <v>0</v>
      </c>
      <c r="L1237" s="177">
        <f t="array" ref="L1237">SUM(IF(ISERROR(L1238:L1288),"",L1238:L1288))</f>
        <v>0</v>
      </c>
      <c r="M1237" s="177">
        <f t="array" ref="M1237">SUM(IF(ISERROR(M1238:M1288),"",M1238:M1288))</f>
        <v>0</v>
      </c>
      <c r="N1237" s="177">
        <f t="array" ref="N1237">SUM(IF(ISERROR(N1238:N1288),"",N1238:N1288))</f>
        <v>0</v>
      </c>
      <c r="O1237" s="177">
        <f t="array" ref="O1237">SUM(IF(ISERROR(O1238:O1288),"",O1238:O1288))</f>
        <v>0</v>
      </c>
      <c r="P1237" s="177">
        <f t="array" ref="P1237">SUM(IF(ISERROR(P1238:P1288),"",P1238:P1288))</f>
        <v>0</v>
      </c>
      <c r="Q1237" s="177">
        <f t="array" ref="Q1237">SUM(IF(ISERROR(Q1238:Q1288),"",Q1238:Q1288))</f>
        <v>0</v>
      </c>
      <c r="R1237" s="177">
        <f t="array" ref="R1237">SUM(IF(ISERROR(R1238:R1288),"",R1238:R1288))</f>
        <v>0</v>
      </c>
      <c r="S1237" s="177">
        <f t="array" ref="S1237">SUM(IF(ISERROR(S1238:S1288),"",S1238:S1288))</f>
        <v>-0.1581584525</v>
      </c>
      <c r="T1237" s="177">
        <f t="array" ref="T1237">SUM(IF(ISERROR(T1238:T1288),"",T1238:T1288))</f>
        <v>-0.150690031</v>
      </c>
      <c r="U1237" s="177">
        <f t="array" ref="U1237">SUM(IF(ISERROR(U1238:U1288),"",U1238:U1288))</f>
        <v>-0.1428668594</v>
      </c>
      <c r="V1237" s="177">
        <f t="array" ref="V1237">SUM(IF(ISERROR(V1238:V1288),"",V1238:V1288))</f>
        <v>-0.1346720872</v>
      </c>
      <c r="W1237" s="177">
        <f t="array" ref="W1237">SUM(IF(ISERROR(W1238:W1288),"",W1238:W1288))</f>
        <v>-0.1260880633</v>
      </c>
      <c r="X1237" s="177">
        <f t="array" ref="X1237">SUM(IF(ISERROR(X1238:X1288),"",X1238:X1288))</f>
        <v>-0.128664241</v>
      </c>
      <c r="Y1237" s="177">
        <f t="array" ref="Y1237">SUM(IF(ISERROR(Y1238:Y1288),"",Y1238:Y1288))</f>
        <v>-0.1304527127</v>
      </c>
      <c r="Z1237" s="177">
        <f t="array" ref="Z1237">SUM(IF(ISERROR(Z1238:Z1288),"",Z1238:Z1288))</f>
        <v>-0.1314081912</v>
      </c>
      <c r="AA1237" s="177">
        <f t="array" ref="AA1237">SUM(IF(ISERROR(AA1238:AA1288),"",AA1238:AA1288))</f>
        <v>-0.1314666025</v>
      </c>
      <c r="AB1237" s="177">
        <f t="array" ref="AB1237">SUM(IF(ISERROR(AB1238:AB1288),"",AB1238:AB1288))</f>
        <v>-0.1305508676</v>
      </c>
      <c r="AC1237" s="177">
        <f t="array" ref="AC1237">SUM(IF(ISERROR(AC1238:AC1288),"",AC1238:AC1288))</f>
        <v>-0.1286004555</v>
      </c>
      <c r="AD1237" s="177">
        <f t="array" ref="AD1237">SUM(IF(ISERROR(AD1238:AD1288),"",AD1238:AD1288))</f>
        <v>-0.1255517767</v>
      </c>
      <c r="AE1237" s="177">
        <f t="array" ref="AE1237">SUM(IF(ISERROR(AE1238:AE1288),"",AE1238:AE1288))</f>
        <v>-0.1213364551</v>
      </c>
      <c r="AF1237" s="177">
        <f t="array" ref="AF1237">SUM(IF(ISERROR(AF1238:AF1288),"",AF1238:AF1288))</f>
        <v>-0.1158843796</v>
      </c>
      <c r="AG1237" s="177">
        <f t="array" ref="AG1237">SUM(IF(ISERROR(AG1238:AG1288),"",AG1238:AG1288))</f>
        <v>-0.1091209147</v>
      </c>
      <c r="AH1237" s="177">
        <f t="array" ref="AH1237">SUM(IF(ISERROR(AH1238:AH1288),"",AH1238:AH1288))</f>
        <v>-0.1009653873</v>
      </c>
      <c r="AI1237" s="177">
        <f t="array" ref="AI1237">SUM(IF(ISERROR(AI1238:AI1288),"",AI1238:AI1288))</f>
        <v>-0.1063149012</v>
      </c>
      <c r="AJ1237" s="177">
        <f t="array" ref="AJ1237">SUM(IF(ISERROR(AJ1238:AJ1288),"",AJ1238:AJ1288))</f>
        <v>-0.2338905861</v>
      </c>
      <c r="AK1237" s="177">
        <f t="array" ref="AK1237">SUM(IF(ISERROR(AK1238:AK1288),"",AK1238:AK1288))</f>
        <v>-0.2316647429</v>
      </c>
      <c r="AL1237" s="177">
        <f t="array" ref="AL1237">SUM(IF(ISERROR(AL1238:AL1288),"",AL1238:AL1288))</f>
        <v>-0.3738496455</v>
      </c>
      <c r="AM1237" s="177">
        <f t="array" ref="AM1237">SUM(IF(ISERROR(AM1238:AM1288),"",AM1238:AM1288))</f>
        <v>-0.8499059099</v>
      </c>
      <c r="AN1237" s="177">
        <f t="array" ref="AN1237">SUM(IF(ISERROR(AN1238:AN1288),"",AN1238:AN1288))</f>
        <v>-1.321618809</v>
      </c>
      <c r="AO1237" s="177">
        <f t="array" ref="AO1237">SUM(IF(ISERROR(AO1238:AO1288),"",AO1238:AO1288))</f>
        <v>-1.260586404</v>
      </c>
      <c r="AP1237" s="177">
        <f t="array" ref="AP1237">SUM(IF(ISERROR(AP1238:AP1288),"",AP1238:AP1288))</f>
        <v>-1.728289262</v>
      </c>
      <c r="AQ1237" s="177">
        <f t="array" ref="AQ1237">SUM(IF(ISERROR(AQ1238:AQ1288),"",AQ1238:AQ1288))</f>
        <v>-1.636068599</v>
      </c>
      <c r="AR1237" s="177">
        <f t="array" ref="AR1237">SUM(IF(ISERROR(AR1238:AR1288),"",AR1238:AR1288))</f>
        <v>-1.692344939</v>
      </c>
      <c r="AS1237" s="177">
        <f t="array" ref="AS1237">SUM(IF(ISERROR(AS1238:AS1288),"",AS1238:AS1288))</f>
        <v>-1.583784611</v>
      </c>
      <c r="AT1237" s="177">
        <f t="array" ref="AT1237">SUM(IF(ISERROR(AT1238:AT1288),"",AT1238:AT1288))</f>
        <v>-2.07319196</v>
      </c>
      <c r="AU1237" s="177">
        <f t="array" ref="AU1237">SUM(IF(ISERROR(AU1238:AU1288),"",AU1238:AU1288))</f>
        <v>-2.149256439</v>
      </c>
      <c r="AV1237" s="177">
        <f t="array" ref="AV1237">SUM(IF(ISERROR(AV1238:AV1288),"",AV1238:AV1288))</f>
        <v>-1.983858691</v>
      </c>
      <c r="AW1237" s="177">
        <f t="array" ref="AW1237">SUM(IF(ISERROR(AW1238:AW1288),"",AW1238:AW1288))</f>
        <v>-2.233127274</v>
      </c>
      <c r="AX1237" s="177">
        <f t="array" ref="AX1237">SUM(IF(ISERROR(AX1238:AX1288),"",AX1238:AX1288))</f>
        <v>-2.534355322</v>
      </c>
      <c r="AY1237" s="177">
        <f t="array" ref="AY1237">SUM(IF(ISERROR(AY1238:AY1288),"",AY1238:AY1288))</f>
        <v>-2.531197927</v>
      </c>
      <c r="AZ1237" s="177">
        <f t="array" ref="AZ1237">SUM(IF(ISERROR(AZ1238:AZ1288),"",AZ1238:AZ1288))</f>
        <v>-2.696591337</v>
      </c>
      <c r="BA1237" s="177">
        <f t="array" ref="BA1237">SUM(IF(ISERROR(BA1238:BA1288),"",BA1238:BA1288))</f>
        <v>-2.419997391</v>
      </c>
      <c r="BB1237" s="177">
        <f t="array" ref="BB1237">SUM(IF(ISERROR(BB1238:BB1288),"",BB1238:BB1288))</f>
        <v>-2.126900887</v>
      </c>
      <c r="BC1237" s="177">
        <f t="array" ref="BC1237">SUM(IF(ISERROR(BC1238:BC1288),"",BC1238:BC1288))</f>
        <v>-1.867432157</v>
      </c>
      <c r="BD1237" s="177">
        <f t="array" ref="BD1237">SUM(IF(ISERROR(BD1238:BD1288),"",BD1238:BD1288))</f>
        <v>-1.6450354</v>
      </c>
      <c r="BE1237" s="177">
        <f t="array" ref="BE1237">SUM(IF(ISERROR(BE1238:BE1288),"",BE1238:BE1288))</f>
        <v>-1.413460401</v>
      </c>
      <c r="BF1237" s="177">
        <f t="array" ref="BF1237">SUM(IF(ISERROR(BF1238:BF1288),"",BF1238:BF1288))</f>
        <v>-1.222652236</v>
      </c>
      <c r="BG1237" s="177">
        <f t="array" ref="BG1237">SUM(IF(ISERROR(BG1238:BG1288),"",BG1238:BG1288))</f>
        <v>-1.024200914</v>
      </c>
      <c r="BH1237" s="177">
        <f t="array" ref="BH1237">SUM(IF(ISERROR(BH1238:BH1288),"",BH1238:BH1288))</f>
        <v>-0.8322481835</v>
      </c>
      <c r="BI1237" s="177">
        <f t="array" ref="BI1237">SUM(IF(ISERROR(BI1238:BI1288),"",BI1238:BI1288))</f>
        <v>-0.6326324188</v>
      </c>
      <c r="BJ1237" s="177">
        <f t="array" ref="BJ1237">SUM(IF(ISERROR(BJ1238:BJ1288),"",BJ1238:BJ1288))</f>
        <v>-0.4821424211</v>
      </c>
      <c r="BK1237" s="177">
        <f t="array" ref="BK1237">SUM(IF(ISERROR(BK1238:BK1288),"",BK1238:BK1288))</f>
        <v>-0.3471935518</v>
      </c>
      <c r="BL1237" s="177">
        <f t="array" ref="BL1237">SUM(IF(ISERROR(BL1238:BL1288),"",BL1238:BL1288))</f>
        <v>-0.2073425492</v>
      </c>
      <c r="BM1237" s="177">
        <f t="array" ref="BM1237">SUM(IF(ISERROR(BM1238:BM1288),"",BM1238:BM1288))</f>
        <v>-0.1024027819</v>
      </c>
      <c r="BN1237" s="177">
        <f t="array" ref="BN1237">SUM(IF(ISERROR(BN1238:BN1288),"",BN1238:BN1288))</f>
        <v>-0.04164867013</v>
      </c>
      <c r="BO1237" s="177">
        <f t="array" ref="BO1237">SUM(IF(ISERROR(BO1238:BO1288),"",BO1238:BO1288))</f>
        <v>-0.00152779987</v>
      </c>
      <c r="BP1237" s="177">
        <f t="array" ref="BP1237">SUM(IF(ISERROR(BP1238:BP1288),"",BP1238:BP1288))</f>
        <v>0</v>
      </c>
    </row>
    <row r="1238" ht="15.75" hidden="1" customHeight="1" outlineLevel="1">
      <c r="A1238" s="262"/>
      <c r="B1238" s="38"/>
      <c r="C1238" s="177">
        <f>IF($C$1129&gt;0,IPMT('Assumptions (Nuclear)'!$V$7,Model!W$1,'Assumptions (Nuclear)'!$V$10,'Assumptions (Nuclear)'!$V$5*Model!$C$1129*'Assumptions (Nuclear)'!$B$2/10^9),0)</f>
        <v>0</v>
      </c>
      <c r="D1238" s="177">
        <f>IF($C$1129&gt;0,IPMT('Assumptions (Nuclear)'!$V$7,Model!X$1,'Assumptions (Nuclear)'!$V$10,'Assumptions (Nuclear)'!$V$5*Model!$C$1129*'Assumptions (Nuclear)'!$B$2/10^9),0)</f>
        <v>0</v>
      </c>
      <c r="E1238" s="177">
        <f>IF($C$1129&gt;0,IPMT('Assumptions (Nuclear)'!$V$7,Model!Y$1,'Assumptions (Nuclear)'!$V$10,'Assumptions (Nuclear)'!$V$5*Model!$C$1129*'Assumptions (Nuclear)'!$B$2/10^9),0)</f>
        <v>0</v>
      </c>
      <c r="F1238" s="177">
        <f>IF($C$1129&gt;0,IPMT('Assumptions (Nuclear)'!$V$7,Model!Z$1,'Assumptions (Nuclear)'!$V$10,'Assumptions (Nuclear)'!$V$5*Model!$C$1129*'Assumptions (Nuclear)'!$B$2/10^9),0)</f>
        <v>0</v>
      </c>
      <c r="G1238" s="177">
        <f>IF($C$1129&gt;0,IPMT('Assumptions (Nuclear)'!$V$7,Model!AA$1,'Assumptions (Nuclear)'!$V$10,'Assumptions (Nuclear)'!$V$5*Model!$C$1129*'Assumptions (Nuclear)'!$B$2/10^9),0)</f>
        <v>0</v>
      </c>
      <c r="H1238" s="177">
        <f>IF($C$1129&gt;0,IPMT('Assumptions (Nuclear)'!$V$7,Model!AB$1,'Assumptions (Nuclear)'!$V$10,'Assumptions (Nuclear)'!$V$5*Model!$C$1129*'Assumptions (Nuclear)'!$B$2/10^9),0)</f>
        <v>0</v>
      </c>
      <c r="I1238" s="177">
        <f>IF($C$1129&gt;0,IPMT('Assumptions (Nuclear)'!$V$7,Model!AC$1,'Assumptions (Nuclear)'!$V$10,'Assumptions (Nuclear)'!$V$5*Model!$C$1129*'Assumptions (Nuclear)'!$B$2/10^9),0)</f>
        <v>0</v>
      </c>
      <c r="J1238" s="177">
        <f>IF($C$1129&gt;0,IPMT('Assumptions (Nuclear)'!$V$7,Model!AD$1,'Assumptions (Nuclear)'!$V$10,'Assumptions (Nuclear)'!$V$5*Model!$C$1129*'Assumptions (Nuclear)'!$B$2/10^9),0)</f>
        <v>0</v>
      </c>
      <c r="K1238" s="177">
        <f>IF($C$1129&gt;0,IPMT('Assumptions (Nuclear)'!$V$7,Model!AE$1,'Assumptions (Nuclear)'!$V$10,'Assumptions (Nuclear)'!$V$5*Model!$C$1129*'Assumptions (Nuclear)'!$B$2/10^9),0)</f>
        <v>0</v>
      </c>
      <c r="L1238" s="177">
        <f>IF($C$1129&gt;0,IPMT('Assumptions (Nuclear)'!$V$7,Model!AF$1,'Assumptions (Nuclear)'!$V$10,'Assumptions (Nuclear)'!$V$5*Model!$C$1129*'Assumptions (Nuclear)'!$B$2/10^9),0)</f>
        <v>0</v>
      </c>
      <c r="M1238" s="177">
        <f>IF($C$1129&gt;0,IPMT('Assumptions (Nuclear)'!$V$7,Model!AG$1,'Assumptions (Nuclear)'!$V$10,'Assumptions (Nuclear)'!$V$5*Model!$C$1129*'Assumptions (Nuclear)'!$B$2/10^9),0)</f>
        <v>0</v>
      </c>
      <c r="N1238" s="177">
        <f>IF($C$1129&gt;0,IPMT('Assumptions (Nuclear)'!$V$7,Model!AH$1,'Assumptions (Nuclear)'!$V$10,'Assumptions (Nuclear)'!$V$5*Model!$C$1129*'Assumptions (Nuclear)'!$B$2/10^9),0)</f>
        <v>0</v>
      </c>
      <c r="O1238" s="177">
        <f>IF($C$1129&gt;0,IPMT('Assumptions (Nuclear)'!$V$7,Model!AI$1,'Assumptions (Nuclear)'!$V$10,'Assumptions (Nuclear)'!$V$5*Model!$C$1129*'Assumptions (Nuclear)'!$B$2/10^9),0)</f>
        <v>0</v>
      </c>
      <c r="P1238" s="177">
        <f>IF($C$1129&gt;0,IPMT('Assumptions (Nuclear)'!$V$7,Model!AJ$1,'Assumptions (Nuclear)'!$V$10,'Assumptions (Nuclear)'!$V$5*Model!$C$1129*'Assumptions (Nuclear)'!$B$2/10^9),0)</f>
        <v>0</v>
      </c>
      <c r="Q1238" s="177">
        <f>IF($C$1129&gt;0,IPMT('Assumptions (Nuclear)'!$V$7,Model!AK$1,'Assumptions (Nuclear)'!$V$10,'Assumptions (Nuclear)'!$V$5*Model!$C$1129*'Assumptions (Nuclear)'!$B$2/10^9),0)</f>
        <v>0</v>
      </c>
      <c r="R1238" s="177"/>
      <c r="S1238" s="177"/>
      <c r="T1238" s="177"/>
      <c r="U1238" s="177"/>
      <c r="V1238" s="177"/>
      <c r="W1238" s="177"/>
      <c r="X1238" s="177"/>
      <c r="Y1238" s="177"/>
      <c r="Z1238" s="177"/>
      <c r="AA1238" s="177"/>
      <c r="AB1238" s="160"/>
      <c r="AC1238" s="160"/>
      <c r="AD1238" s="160"/>
      <c r="AE1238" s="160"/>
      <c r="AF1238" s="160"/>
      <c r="AG1238" s="160"/>
      <c r="AU1238" s="95"/>
      <c r="AV1238" s="95"/>
      <c r="AW1238" s="95"/>
      <c r="AX1238" s="95"/>
      <c r="AY1238" s="95"/>
      <c r="AZ1238" s="95"/>
      <c r="BA1238" s="95"/>
    </row>
    <row r="1239" ht="15.75" hidden="1" customHeight="1" outlineLevel="1">
      <c r="A1239" s="262"/>
      <c r="B1239" s="38"/>
      <c r="C1239" s="160"/>
      <c r="D1239" s="177">
        <f>IF($D$1129&gt;0,IPMT('Assumptions (Nuclear)'!$V$7,Model!W$1,'Assumptions (Nuclear)'!$V$10,'Assumptions (Nuclear)'!$V$5*Model!$D$1129*'Assumptions (Nuclear)'!$B$2/10^9),0)</f>
        <v>0</v>
      </c>
      <c r="E1239" s="177">
        <f>IF($D$1129&gt;0,IPMT('Assumptions (Nuclear)'!$V$7,Model!X$1,'Assumptions (Nuclear)'!$V$10,'Assumptions (Nuclear)'!$V$5*Model!$D$1129*'Assumptions (Nuclear)'!$B$2/10^9),0)</f>
        <v>0</v>
      </c>
      <c r="F1239" s="177">
        <f>IF($D$1129&gt;0,IPMT('Assumptions (Nuclear)'!$V$7,Model!Y$1,'Assumptions (Nuclear)'!$V$10,'Assumptions (Nuclear)'!$V$5*Model!$D$1129*'Assumptions (Nuclear)'!$B$2/10^9),0)</f>
        <v>0</v>
      </c>
      <c r="G1239" s="177">
        <f>IF($D$1129&gt;0,IPMT('Assumptions (Nuclear)'!$V$7,Model!Z$1,'Assumptions (Nuclear)'!$V$10,'Assumptions (Nuclear)'!$V$5*Model!$D$1129*'Assumptions (Nuclear)'!$B$2/10^9),0)</f>
        <v>0</v>
      </c>
      <c r="H1239" s="177">
        <f>IF($D$1129&gt;0,IPMT('Assumptions (Nuclear)'!$V$7,Model!AA$1,'Assumptions (Nuclear)'!$V$10,'Assumptions (Nuclear)'!$V$5*Model!$D$1129*'Assumptions (Nuclear)'!$B$2/10^9),0)</f>
        <v>0</v>
      </c>
      <c r="I1239" s="177">
        <f>IF($D$1129&gt;0,IPMT('Assumptions (Nuclear)'!$V$7,Model!AB$1,'Assumptions (Nuclear)'!$V$10,'Assumptions (Nuclear)'!$V$5*Model!$D$1129*'Assumptions (Nuclear)'!$B$2/10^9),0)</f>
        <v>0</v>
      </c>
      <c r="J1239" s="177">
        <f>IF($D$1129&gt;0,IPMT('Assumptions (Nuclear)'!$V$7,Model!AC$1,'Assumptions (Nuclear)'!$V$10,'Assumptions (Nuclear)'!$V$5*Model!$D$1129*'Assumptions (Nuclear)'!$B$2/10^9),0)</f>
        <v>0</v>
      </c>
      <c r="K1239" s="177">
        <f>IF($D$1129&gt;0,IPMT('Assumptions (Nuclear)'!$V$7,Model!AD$1,'Assumptions (Nuclear)'!$V$10,'Assumptions (Nuclear)'!$V$5*Model!$D$1129*'Assumptions (Nuclear)'!$B$2/10^9),0)</f>
        <v>0</v>
      </c>
      <c r="L1239" s="177">
        <f>IF($D$1129&gt;0,IPMT('Assumptions (Nuclear)'!$V$7,Model!AE$1,'Assumptions (Nuclear)'!$V$10,'Assumptions (Nuclear)'!$V$5*Model!$D$1129*'Assumptions (Nuclear)'!$B$2/10^9),0)</f>
        <v>0</v>
      </c>
      <c r="M1239" s="177">
        <f>IF($D$1129&gt;0,IPMT('Assumptions (Nuclear)'!$V$7,Model!AF$1,'Assumptions (Nuclear)'!$V$10,'Assumptions (Nuclear)'!$V$5*Model!$D$1129*'Assumptions (Nuclear)'!$B$2/10^9),0)</f>
        <v>0</v>
      </c>
      <c r="N1239" s="177">
        <f>IF($D$1129&gt;0,IPMT('Assumptions (Nuclear)'!$V$7,Model!AG$1,'Assumptions (Nuclear)'!$V$10,'Assumptions (Nuclear)'!$V$5*Model!$D$1129*'Assumptions (Nuclear)'!$B$2/10^9),0)</f>
        <v>0</v>
      </c>
      <c r="O1239" s="177">
        <f>IF($D$1129&gt;0,IPMT('Assumptions (Nuclear)'!$V$7,Model!AH$1,'Assumptions (Nuclear)'!$V$10,'Assumptions (Nuclear)'!$V$5*Model!$D$1129*'Assumptions (Nuclear)'!$B$2/10^9),0)</f>
        <v>0</v>
      </c>
      <c r="P1239" s="177">
        <f>IF($D$1129&gt;0,IPMT('Assumptions (Nuclear)'!$V$7,Model!AI$1,'Assumptions (Nuclear)'!$V$10,'Assumptions (Nuclear)'!$V$5*Model!$D$1129*'Assumptions (Nuclear)'!$B$2/10^9),0)</f>
        <v>0</v>
      </c>
      <c r="Q1239" s="177">
        <f>IF($D$1129&gt;0,IPMT('Assumptions (Nuclear)'!$V$7,Model!AJ$1,'Assumptions (Nuclear)'!$V$10,'Assumptions (Nuclear)'!$V$5*Model!$D$1129*'Assumptions (Nuclear)'!$B$2/10^9),0)</f>
        <v>0</v>
      </c>
      <c r="R1239" s="177">
        <f>IF($D$1129&gt;0,IPMT('Assumptions (Nuclear)'!$V$7,Model!AK$1,'Assumptions (Nuclear)'!$V$10,'Assumptions (Nuclear)'!$V$5*Model!$D$1129*'Assumptions (Nuclear)'!$B$2/10^9),0)</f>
        <v>0</v>
      </c>
      <c r="S1239" s="177"/>
      <c r="T1239" s="177"/>
      <c r="U1239" s="177"/>
      <c r="V1239" s="177"/>
      <c r="W1239" s="177"/>
      <c r="X1239" s="177"/>
      <c r="Y1239" s="177"/>
      <c r="Z1239" s="177"/>
      <c r="AA1239" s="177"/>
      <c r="AB1239" s="177"/>
      <c r="AC1239" s="160"/>
      <c r="AD1239" s="160"/>
      <c r="AE1239" s="160"/>
      <c r="AF1239" s="160"/>
      <c r="AG1239" s="160"/>
      <c r="AU1239" s="95"/>
      <c r="AV1239" s="95"/>
      <c r="AW1239" s="95"/>
      <c r="AX1239" s="95"/>
      <c r="AY1239" s="95"/>
      <c r="AZ1239" s="95"/>
      <c r="BA1239" s="95"/>
    </row>
    <row r="1240" ht="15.75" hidden="1" customHeight="1" outlineLevel="1">
      <c r="A1240" s="262"/>
      <c r="B1240" s="38"/>
      <c r="C1240" s="160"/>
      <c r="D1240" s="160"/>
      <c r="E1240" s="160">
        <f>IF($E$1129&gt;0,IPMT('Assumptions (Nuclear)'!$V$7,Model!W$1,'Assumptions (Nuclear)'!$V$10,'Assumptions (Nuclear)'!$V$5*Model!$E$1129*AVERAGE('Assumptions (Nuclear)'!$B$2:$C$2)/10^9),0)</f>
        <v>0</v>
      </c>
      <c r="F1240" s="160">
        <f>IF($E$1129&gt;0,IPMT('Assumptions (Nuclear)'!$V$7,Model!X$1,'Assumptions (Nuclear)'!$V$10,'Assumptions (Nuclear)'!$V$5*Model!$E$1129*AVERAGE('Assumptions (Nuclear)'!$B$2:$C$2)/10^9),0)</f>
        <v>0</v>
      </c>
      <c r="G1240" s="160">
        <f>IF($E$1129&gt;0,IPMT('Assumptions (Nuclear)'!$V$7,Model!Y$1,'Assumptions (Nuclear)'!$V$10,'Assumptions (Nuclear)'!$V$5*Model!$E$1129*AVERAGE('Assumptions (Nuclear)'!$B$2:$C$2)/10^9),0)</f>
        <v>0</v>
      </c>
      <c r="H1240" s="160">
        <f>IF($E$1129&gt;0,IPMT('Assumptions (Nuclear)'!$V$7,Model!Z$1,'Assumptions (Nuclear)'!$V$10,'Assumptions (Nuclear)'!$V$5*Model!$E$1129*AVERAGE('Assumptions (Nuclear)'!$B$2:$C$2)/10^9),0)</f>
        <v>0</v>
      </c>
      <c r="I1240" s="160">
        <f>IF($E$1129&gt;0,IPMT('Assumptions (Nuclear)'!$V$7,Model!AA$1,'Assumptions (Nuclear)'!$V$10,'Assumptions (Nuclear)'!$V$5*Model!$E$1129*AVERAGE('Assumptions (Nuclear)'!$B$2:$C$2)/10^9),0)</f>
        <v>0</v>
      </c>
      <c r="J1240" s="160">
        <f>IF($E$1129&gt;0,IPMT('Assumptions (Nuclear)'!$V$7,Model!AB$1,'Assumptions (Nuclear)'!$V$10,'Assumptions (Nuclear)'!$V$5*Model!$E$1129*AVERAGE('Assumptions (Nuclear)'!$B$2:$C$2)/10^9),0)</f>
        <v>0</v>
      </c>
      <c r="K1240" s="160">
        <f>IF($E$1129&gt;0,IPMT('Assumptions (Nuclear)'!$V$7,Model!AC$1,'Assumptions (Nuclear)'!$V$10,'Assumptions (Nuclear)'!$V$5*Model!$E$1129*AVERAGE('Assumptions (Nuclear)'!$B$2:$C$2)/10^9),0)</f>
        <v>0</v>
      </c>
      <c r="L1240" s="160">
        <f>IF($E$1129&gt;0,IPMT('Assumptions (Nuclear)'!$V$7,Model!AD$1,'Assumptions (Nuclear)'!$V$10,'Assumptions (Nuclear)'!$V$5*Model!$E$1129*AVERAGE('Assumptions (Nuclear)'!$B$2:$C$2)/10^9),0)</f>
        <v>0</v>
      </c>
      <c r="M1240" s="160">
        <f>IF($E$1129&gt;0,IPMT('Assumptions (Nuclear)'!$V$7,Model!AE$1,'Assumptions (Nuclear)'!$V$10,'Assumptions (Nuclear)'!$V$5*Model!$E$1129*AVERAGE('Assumptions (Nuclear)'!$B$2:$C$2)/10^9),0)</f>
        <v>0</v>
      </c>
      <c r="N1240" s="177">
        <f>IF($E$1129&gt;0,IPMT('Assumptions (Nuclear)'!$V$7,Model!AF$1,'Assumptions (Nuclear)'!$V$10,'Assumptions (Nuclear)'!$V$5*Model!$E$1129*AVERAGE('Assumptions (Nuclear)'!$B$2:$C$2)/10^9),0)</f>
        <v>0</v>
      </c>
      <c r="O1240" s="160">
        <f>IF($E$1129&gt;0,IPMT('Assumptions (Nuclear)'!$V$7,Model!AG$1,'Assumptions (Nuclear)'!$V$10,'Assumptions (Nuclear)'!$V$5*Model!$E$1129*AVERAGE('Assumptions (Nuclear)'!$B$2:$C$2)/10^9),0)</f>
        <v>0</v>
      </c>
      <c r="P1240" s="160">
        <f>IF($E$1129&gt;0,IPMT('Assumptions (Nuclear)'!$V$7,Model!AH$1,'Assumptions (Nuclear)'!$V$10,'Assumptions (Nuclear)'!$V$5*Model!$E$1129*AVERAGE('Assumptions (Nuclear)'!$B$2:$C$2)/10^9),0)</f>
        <v>0</v>
      </c>
      <c r="Q1240" s="160">
        <f>IF($E$1129&gt;0,IPMT('Assumptions (Nuclear)'!$V$7,Model!AI$1,'Assumptions (Nuclear)'!$V$10,'Assumptions (Nuclear)'!$V$5*Model!$E$1129*AVERAGE('Assumptions (Nuclear)'!$B$2:$C$2)/10^9),0)</f>
        <v>0</v>
      </c>
      <c r="R1240" s="160">
        <f>IF($E$1129&gt;0,IPMT('Assumptions (Nuclear)'!$V$7,Model!AJ$1,'Assumptions (Nuclear)'!$V$10,'Assumptions (Nuclear)'!$V$5*Model!$E$1129*AVERAGE('Assumptions (Nuclear)'!$B$2:$C$2)/10^9),0)</f>
        <v>0</v>
      </c>
      <c r="S1240" s="160">
        <f>IF($E$1129&gt;0,IPMT('Assumptions (Nuclear)'!$V$7,Model!AK$1,'Assumptions (Nuclear)'!$V$10,'Assumptions (Nuclear)'!$V$5*Model!$E$1129*AVERAGE('Assumptions (Nuclear)'!$B$2:$C$2)/10^9),0)</f>
        <v>0</v>
      </c>
      <c r="T1240" s="160"/>
      <c r="U1240" s="160"/>
      <c r="V1240" s="160"/>
      <c r="W1240" s="160"/>
      <c r="X1240" s="160"/>
      <c r="Y1240" s="160"/>
      <c r="Z1240" s="160"/>
      <c r="AA1240" s="160"/>
      <c r="AB1240" s="160"/>
      <c r="AC1240" s="160"/>
      <c r="AD1240" s="160"/>
      <c r="AE1240" s="160"/>
      <c r="AF1240" s="160"/>
      <c r="AG1240" s="160"/>
      <c r="AU1240" s="95"/>
      <c r="AV1240" s="95"/>
      <c r="AW1240" s="95"/>
      <c r="AX1240" s="95"/>
      <c r="AY1240" s="95"/>
      <c r="AZ1240" s="95"/>
      <c r="BA1240" s="95"/>
    </row>
    <row r="1241" ht="15.75" hidden="1" customHeight="1" outlineLevel="1">
      <c r="A1241" s="262"/>
      <c r="B1241" s="38"/>
      <c r="C1241" s="160"/>
      <c r="D1241" s="160"/>
      <c r="E1241" s="160"/>
      <c r="F1241" s="160">
        <f>IF($F$1129&gt;0,IPMT('Assumptions (Nuclear)'!$V$7,Model!W$1,'Assumptions (Nuclear)'!$V$10,'Assumptions (Nuclear)'!$V$5*Model!$F$1129*AVERAGE('Assumptions (Nuclear)'!$B$2:$D$2)/10^9),0)</f>
        <v>0</v>
      </c>
      <c r="G1241" s="160">
        <f>IF($F$1129&gt;0,IPMT('Assumptions (Nuclear)'!$V$7,Model!X$1,'Assumptions (Nuclear)'!$V$10,'Assumptions (Nuclear)'!$V$5*Model!$F$1129*AVERAGE('Assumptions (Nuclear)'!$B$2:$D$2)/10^9),0)</f>
        <v>0</v>
      </c>
      <c r="H1241" s="160">
        <f>IF($F$1129&gt;0,IPMT('Assumptions (Nuclear)'!$V$7,Model!Y$1,'Assumptions (Nuclear)'!$V$10,'Assumptions (Nuclear)'!$V$5*Model!$F$1129*AVERAGE('Assumptions (Nuclear)'!$B$2:$D$2)/10^9),0)</f>
        <v>0</v>
      </c>
      <c r="I1241" s="160">
        <f>IF($F$1129&gt;0,IPMT('Assumptions (Nuclear)'!$V$7,Model!Z$1,'Assumptions (Nuclear)'!$V$10,'Assumptions (Nuclear)'!$V$5*Model!$F$1129*AVERAGE('Assumptions (Nuclear)'!$B$2:$D$2)/10^9),0)</f>
        <v>0</v>
      </c>
      <c r="J1241" s="160">
        <f>IF($F$1129&gt;0,IPMT('Assumptions (Nuclear)'!$V$7,Model!AA$1,'Assumptions (Nuclear)'!$V$10,'Assumptions (Nuclear)'!$V$5*Model!$F$1129*AVERAGE('Assumptions (Nuclear)'!$B$2:$D$2)/10^9),0)</f>
        <v>0</v>
      </c>
      <c r="K1241" s="160">
        <f>IF($F$1129&gt;0,IPMT('Assumptions (Nuclear)'!$V$7,Model!AB$1,'Assumptions (Nuclear)'!$V$10,'Assumptions (Nuclear)'!$V$5*Model!$F$1129*AVERAGE('Assumptions (Nuclear)'!$B$2:$D$2)/10^9),0)</f>
        <v>0</v>
      </c>
      <c r="L1241" s="160">
        <f>IF($F$1129&gt;0,IPMT('Assumptions (Nuclear)'!$V$7,Model!AC$1,'Assumptions (Nuclear)'!$V$10,'Assumptions (Nuclear)'!$V$5*Model!$F$1129*AVERAGE('Assumptions (Nuclear)'!$B$2:$D$2)/10^9),0)</f>
        <v>0</v>
      </c>
      <c r="M1241" s="160">
        <f>IF($F$1129&gt;0,IPMT('Assumptions (Nuclear)'!$V$7,Model!AD$1,'Assumptions (Nuclear)'!$V$10,'Assumptions (Nuclear)'!$V$5*Model!$F$1129*AVERAGE('Assumptions (Nuclear)'!$B$2:$D$2)/10^9),0)</f>
        <v>0</v>
      </c>
      <c r="N1241" s="177">
        <f>IF($F$1129&gt;0,IPMT('Assumptions (Nuclear)'!$V$7,Model!AE$1,'Assumptions (Nuclear)'!$V$10,'Assumptions (Nuclear)'!$V$5*Model!$F$1129*AVERAGE('Assumptions (Nuclear)'!$B$2:$D$2)/10^9),0)</f>
        <v>0</v>
      </c>
      <c r="O1241" s="160">
        <f>IF($F$1129&gt;0,IPMT('Assumptions (Nuclear)'!$V$7,Model!AF$1,'Assumptions (Nuclear)'!$V$10,'Assumptions (Nuclear)'!$V$5*Model!$F$1129*AVERAGE('Assumptions (Nuclear)'!$B$2:$D$2)/10^9),0)</f>
        <v>0</v>
      </c>
      <c r="P1241" s="160">
        <f>IF($F$1129&gt;0,IPMT('Assumptions (Nuclear)'!$V$7,Model!AG$1,'Assumptions (Nuclear)'!$V$10,'Assumptions (Nuclear)'!$V$5*Model!$F$1129*AVERAGE('Assumptions (Nuclear)'!$B$2:$D$2)/10^9),0)</f>
        <v>0</v>
      </c>
      <c r="Q1241" s="160">
        <f>IF($F$1129&gt;0,IPMT('Assumptions (Nuclear)'!$V$7,Model!AH$1,'Assumptions (Nuclear)'!$V$10,'Assumptions (Nuclear)'!$V$5*Model!$F$1129*AVERAGE('Assumptions (Nuclear)'!$B$2:$D$2)/10^9),0)</f>
        <v>0</v>
      </c>
      <c r="R1241" s="160">
        <f>IF($F$1129&gt;0,IPMT('Assumptions (Nuclear)'!$V$7,Model!AI$1,'Assumptions (Nuclear)'!$V$10,'Assumptions (Nuclear)'!$V$5*Model!$F$1129*AVERAGE('Assumptions (Nuclear)'!$B$2:$D$2)/10^9),0)</f>
        <v>0</v>
      </c>
      <c r="S1241" s="160">
        <f>IF($F$1129&gt;0,IPMT('Assumptions (Nuclear)'!$V$7,Model!AJ$1,'Assumptions (Nuclear)'!$V$10,'Assumptions (Nuclear)'!$V$5*Model!$F$1129*AVERAGE('Assumptions (Nuclear)'!$B$2:$D$2)/10^9),0)</f>
        <v>0</v>
      </c>
      <c r="T1241" s="160">
        <f>IF($F$1129&gt;0,IPMT('Assumptions (Nuclear)'!$V$7,Model!AK$1,'Assumptions (Nuclear)'!$V$10,'Assumptions (Nuclear)'!$V$5*Model!$F$1129*AVERAGE('Assumptions (Nuclear)'!$B$2:$D$2)/10^9),0)</f>
        <v>0</v>
      </c>
      <c r="U1241" s="160"/>
      <c r="V1241" s="160"/>
      <c r="W1241" s="160"/>
      <c r="X1241" s="160"/>
      <c r="Y1241" s="160"/>
      <c r="Z1241" s="160"/>
      <c r="AA1241" s="160"/>
      <c r="AB1241" s="160"/>
      <c r="AC1241" s="160"/>
      <c r="AD1241" s="160"/>
      <c r="AE1241" s="160"/>
      <c r="AF1241" s="160"/>
      <c r="AG1241" s="160"/>
      <c r="AU1241" s="95"/>
      <c r="AV1241" s="95"/>
      <c r="AW1241" s="95"/>
      <c r="AX1241" s="95"/>
      <c r="AY1241" s="95"/>
      <c r="AZ1241" s="95"/>
      <c r="BA1241" s="95"/>
    </row>
    <row r="1242" ht="15.75" hidden="1" customHeight="1" outlineLevel="1">
      <c r="A1242" s="262"/>
      <c r="B1242" s="38"/>
      <c r="C1242" s="160"/>
      <c r="D1242" s="160"/>
      <c r="E1242" s="160"/>
      <c r="F1242" s="160"/>
      <c r="G1242" s="160">
        <f>IF($G$1129&gt;0,IPMT('Assumptions (Nuclear)'!$V$7,Model!W$1,'Assumptions (Nuclear)'!$V$10,'Assumptions (Nuclear)'!$V$5*Model!$G$1129*AVERAGE('Assumptions (Nuclear)'!$B$2:$E$2)/10^9),0)</f>
        <v>0</v>
      </c>
      <c r="H1242" s="160">
        <f>IF($G$1129&gt;0,IPMT('Assumptions (Nuclear)'!$V$7,Model!X$1,'Assumptions (Nuclear)'!$V$10,'Assumptions (Nuclear)'!$V$5*Model!$G$1129*AVERAGE('Assumptions (Nuclear)'!$B$2:$E$2)/10^9),0)</f>
        <v>0</v>
      </c>
      <c r="I1242" s="160">
        <f>IF($G$1129&gt;0,IPMT('Assumptions (Nuclear)'!$V$7,Model!Y$1,'Assumptions (Nuclear)'!$V$10,'Assumptions (Nuclear)'!$V$5*Model!$G$1129*AVERAGE('Assumptions (Nuclear)'!$B$2:$E$2)/10^9),0)</f>
        <v>0</v>
      </c>
      <c r="J1242" s="160">
        <f>IF($G$1129&gt;0,IPMT('Assumptions (Nuclear)'!$V$7,Model!Z$1,'Assumptions (Nuclear)'!$V$10,'Assumptions (Nuclear)'!$V$5*Model!$G$1129*AVERAGE('Assumptions (Nuclear)'!$B$2:$E$2)/10^9),0)</f>
        <v>0</v>
      </c>
      <c r="K1242" s="160">
        <f>IF($G$1129&gt;0,IPMT('Assumptions (Nuclear)'!$V$7,Model!AA$1,'Assumptions (Nuclear)'!$V$10,'Assumptions (Nuclear)'!$V$5*Model!$G$1129*AVERAGE('Assumptions (Nuclear)'!$B$2:$E$2)/10^9),0)</f>
        <v>0</v>
      </c>
      <c r="L1242" s="160">
        <f>IF($G$1129&gt;0,IPMT('Assumptions (Nuclear)'!$V$7,Model!AB$1,'Assumptions (Nuclear)'!$V$10,'Assumptions (Nuclear)'!$V$5*Model!$G$1129*AVERAGE('Assumptions (Nuclear)'!$B$2:$E$2)/10^9),0)</f>
        <v>0</v>
      </c>
      <c r="M1242" s="160">
        <f>IF($G$1129&gt;0,IPMT('Assumptions (Nuclear)'!$V$7,Model!AC$1,'Assumptions (Nuclear)'!$V$10,'Assumptions (Nuclear)'!$V$5*Model!$G$1129*AVERAGE('Assumptions (Nuclear)'!$B$2:$E$2)/10^9),0)</f>
        <v>0</v>
      </c>
      <c r="N1242" s="177">
        <f>IF($G$1129&gt;0,IPMT('Assumptions (Nuclear)'!$V$7,Model!AD$1,'Assumptions (Nuclear)'!$V$10,'Assumptions (Nuclear)'!$V$5*Model!$G$1129*AVERAGE('Assumptions (Nuclear)'!$B$2:$E$2)/10^9),0)</f>
        <v>0</v>
      </c>
      <c r="O1242" s="160">
        <f>IF($G$1129&gt;0,IPMT('Assumptions (Nuclear)'!$V$7,Model!AE$1,'Assumptions (Nuclear)'!$V$10,'Assumptions (Nuclear)'!$V$5*Model!$G$1129*AVERAGE('Assumptions (Nuclear)'!$B$2:$E$2)/10^9),0)</f>
        <v>0</v>
      </c>
      <c r="P1242" s="160">
        <f>IF($G$1129&gt;0,IPMT('Assumptions (Nuclear)'!$V$7,Model!AF$1,'Assumptions (Nuclear)'!$V$10,'Assumptions (Nuclear)'!$V$5*Model!$G$1129*AVERAGE('Assumptions (Nuclear)'!$B$2:$E$2)/10^9),0)</f>
        <v>0</v>
      </c>
      <c r="Q1242" s="160">
        <f>IF($G$1129&gt;0,IPMT('Assumptions (Nuclear)'!$V$7,Model!AG$1,'Assumptions (Nuclear)'!$V$10,'Assumptions (Nuclear)'!$V$5*Model!$G$1129*AVERAGE('Assumptions (Nuclear)'!$B$2:$E$2)/10^9),0)</f>
        <v>0</v>
      </c>
      <c r="R1242" s="160">
        <f>IF($G$1129&gt;0,IPMT('Assumptions (Nuclear)'!$V$7,Model!AH$1,'Assumptions (Nuclear)'!$V$10,'Assumptions (Nuclear)'!$V$5*Model!$G$1129*AVERAGE('Assumptions (Nuclear)'!$B$2:$E$2)/10^9),0)</f>
        <v>0</v>
      </c>
      <c r="S1242" s="160">
        <f>IF($G$1129&gt;0,IPMT('Assumptions (Nuclear)'!$V$7,Model!AI$1,'Assumptions (Nuclear)'!$V$10,'Assumptions (Nuclear)'!$V$5*Model!$G$1129*AVERAGE('Assumptions (Nuclear)'!$B$2:$E$2)/10^9),0)</f>
        <v>0</v>
      </c>
      <c r="T1242" s="160">
        <f>IF($G$1129&gt;0,IPMT('Assumptions (Nuclear)'!$V$7,Model!AJ$1,'Assumptions (Nuclear)'!$V$10,'Assumptions (Nuclear)'!$V$5*Model!$G$1129*AVERAGE('Assumptions (Nuclear)'!$B$2:$E$2)/10^9),0)</f>
        <v>0</v>
      </c>
      <c r="U1242" s="160">
        <f>IF($G$1129&gt;0,IPMT('Assumptions (Nuclear)'!$V$7,Model!AK$1,'Assumptions (Nuclear)'!$V$10,'Assumptions (Nuclear)'!$V$5*Model!$G$1129*AVERAGE('Assumptions (Nuclear)'!$B$2:$E$2)/10^9),0)</f>
        <v>0</v>
      </c>
      <c r="V1242" s="160"/>
      <c r="W1242" s="160"/>
      <c r="X1242" s="160"/>
      <c r="Y1242" s="160"/>
      <c r="Z1242" s="160"/>
      <c r="AA1242" s="160"/>
      <c r="AB1242" s="160"/>
      <c r="AC1242" s="160"/>
      <c r="AD1242" s="160"/>
      <c r="AE1242" s="160"/>
      <c r="AF1242" s="160"/>
      <c r="AG1242" s="160"/>
      <c r="AU1242" s="95"/>
      <c r="AV1242" s="95"/>
      <c r="AW1242" s="95"/>
      <c r="AX1242" s="95"/>
      <c r="AY1242" s="95"/>
      <c r="AZ1242" s="95"/>
      <c r="BA1242" s="95"/>
    </row>
    <row r="1243" ht="15.75" hidden="1" customHeight="1" outlineLevel="1">
      <c r="A1243" s="262"/>
      <c r="B1243" s="38"/>
      <c r="C1243" s="160"/>
      <c r="D1243" s="160"/>
      <c r="E1243" s="160"/>
      <c r="F1243" s="160"/>
      <c r="G1243" s="160"/>
      <c r="H1243" s="160">
        <f>IF($H$1129&gt;0,IPMT('Assumptions (Nuclear)'!$V$7,Model!W$1,'Assumptions (Nuclear)'!$V$10,'Assumptions (Nuclear)'!$V$5*Model!$H$1129*AVERAGE('Assumptions (Nuclear)'!$B$2:$F$2)/10^9),0)</f>
        <v>0</v>
      </c>
      <c r="I1243" s="160">
        <f>IF($H$1129&gt;0,IPMT('Assumptions (Nuclear)'!$V$7,Model!X$1,'Assumptions (Nuclear)'!$V$10,'Assumptions (Nuclear)'!$V$5*Model!$H$1129*AVERAGE('Assumptions (Nuclear)'!$B$2:$F$2)/10^9),0)</f>
        <v>0</v>
      </c>
      <c r="J1243" s="160">
        <f>IF($H$1129&gt;0,IPMT('Assumptions (Nuclear)'!$V$7,Model!Y$1,'Assumptions (Nuclear)'!$V$10,'Assumptions (Nuclear)'!$V$5*Model!$H$1129*AVERAGE('Assumptions (Nuclear)'!$B$2:$F$2)/10^9),0)</f>
        <v>0</v>
      </c>
      <c r="K1243" s="160">
        <f>IF($H$1129&gt;0,IPMT('Assumptions (Nuclear)'!$V$7,Model!Z$1,'Assumptions (Nuclear)'!$V$10,'Assumptions (Nuclear)'!$V$5*Model!$H$1129*AVERAGE('Assumptions (Nuclear)'!$B$2:$F$2)/10^9),0)</f>
        <v>0</v>
      </c>
      <c r="L1243" s="160">
        <f>IF($H$1129&gt;0,IPMT('Assumptions (Nuclear)'!$V$7,Model!AA$1,'Assumptions (Nuclear)'!$V$10,'Assumptions (Nuclear)'!$V$5*Model!$H$1129*AVERAGE('Assumptions (Nuclear)'!$B$2:$F$2)/10^9),0)</f>
        <v>0</v>
      </c>
      <c r="M1243" s="160">
        <f>IF($H$1129&gt;0,IPMT('Assumptions (Nuclear)'!$V$7,Model!AB$1,'Assumptions (Nuclear)'!$V$10,'Assumptions (Nuclear)'!$V$5*Model!$H$1129*AVERAGE('Assumptions (Nuclear)'!$B$2:$F$2)/10^9),0)</f>
        <v>0</v>
      </c>
      <c r="N1243" s="177">
        <f>IF($H$1129&gt;0,IPMT('Assumptions (Nuclear)'!$V$7,Model!AC$1,'Assumptions (Nuclear)'!$V$10,'Assumptions (Nuclear)'!$V$5*Model!$H$1129*AVERAGE('Assumptions (Nuclear)'!$B$2:$F$2)/10^9),0)</f>
        <v>0</v>
      </c>
      <c r="O1243" s="160">
        <f>IF($H$1129&gt;0,IPMT('Assumptions (Nuclear)'!$V$7,Model!AD$1,'Assumptions (Nuclear)'!$V$10,'Assumptions (Nuclear)'!$V$5*Model!$H$1129*AVERAGE('Assumptions (Nuclear)'!$B$2:$F$2)/10^9),0)</f>
        <v>0</v>
      </c>
      <c r="P1243" s="160">
        <f>IF($H$1129&gt;0,IPMT('Assumptions (Nuclear)'!$V$7,Model!AE$1,'Assumptions (Nuclear)'!$V$10,'Assumptions (Nuclear)'!$V$5*Model!$H$1129*AVERAGE('Assumptions (Nuclear)'!$B$2:$F$2)/10^9),0)</f>
        <v>0</v>
      </c>
      <c r="Q1243" s="160">
        <f>IF($H$1129&gt;0,IPMT('Assumptions (Nuclear)'!$V$7,Model!AF$1,'Assumptions (Nuclear)'!$V$10,'Assumptions (Nuclear)'!$V$5*Model!$H$1129*AVERAGE('Assumptions (Nuclear)'!$B$2:$F$2)/10^9),0)</f>
        <v>0</v>
      </c>
      <c r="R1243" s="160">
        <f>IF($H$1129&gt;0,IPMT('Assumptions (Nuclear)'!$V$7,Model!AG$1,'Assumptions (Nuclear)'!$V$10,'Assumptions (Nuclear)'!$V$5*Model!$H$1129*AVERAGE('Assumptions (Nuclear)'!$B$2:$F$2)/10^9),0)</f>
        <v>0</v>
      </c>
      <c r="S1243" s="160">
        <f>IF($H$1129&gt;0,IPMT('Assumptions (Nuclear)'!$V$7,Model!AH$1,'Assumptions (Nuclear)'!$V$10,'Assumptions (Nuclear)'!$V$5*Model!$H$1129*AVERAGE('Assumptions (Nuclear)'!$B$2:$F$2)/10^9),0)</f>
        <v>0</v>
      </c>
      <c r="T1243" s="160">
        <f>IF($H$1129&gt;0,IPMT('Assumptions (Nuclear)'!$V$7,Model!AI$1,'Assumptions (Nuclear)'!$V$10,'Assumptions (Nuclear)'!$V$5*Model!$H$1129*AVERAGE('Assumptions (Nuclear)'!$B$2:$F$2)/10^9),0)</f>
        <v>0</v>
      </c>
      <c r="U1243" s="160">
        <f>IF($H$1129&gt;0,IPMT('Assumptions (Nuclear)'!$V$7,Model!AJ$1,'Assumptions (Nuclear)'!$V$10,'Assumptions (Nuclear)'!$V$5*Model!$H$1129*AVERAGE('Assumptions (Nuclear)'!$B$2:$F$2)/10^9),0)</f>
        <v>0</v>
      </c>
      <c r="V1243" s="160">
        <f>IF($H$1129&gt;0,IPMT('Assumptions (Nuclear)'!$V$7,Model!AK$1,'Assumptions (Nuclear)'!$V$10,'Assumptions (Nuclear)'!$V$5*Model!$H$1129*AVERAGE('Assumptions (Nuclear)'!$B$2:$F$2)/10^9),0)</f>
        <v>0</v>
      </c>
      <c r="W1243" s="160"/>
      <c r="X1243" s="160"/>
      <c r="Y1243" s="160"/>
      <c r="Z1243" s="160"/>
      <c r="AA1243" s="160"/>
      <c r="AB1243" s="160"/>
      <c r="AC1243" s="160"/>
      <c r="AD1243" s="160"/>
      <c r="AE1243" s="160"/>
      <c r="AF1243" s="160"/>
      <c r="AG1243" s="160"/>
      <c r="AU1243" s="95"/>
      <c r="AV1243" s="95"/>
      <c r="AW1243" s="95"/>
      <c r="AX1243" s="95"/>
      <c r="AY1243" s="95"/>
      <c r="AZ1243" s="95"/>
      <c r="BA1243" s="95"/>
    </row>
    <row r="1244" ht="15.75" hidden="1" customHeight="1" outlineLevel="1">
      <c r="A1244" s="262"/>
      <c r="B1244" s="38"/>
      <c r="C1244" s="160"/>
      <c r="D1244" s="160"/>
      <c r="E1244" s="160"/>
      <c r="F1244" s="160"/>
      <c r="G1244" s="160"/>
      <c r="H1244" s="160"/>
      <c r="I1244" s="160">
        <f>IF($I$1129&gt;0,IPMT('Assumptions (Nuclear)'!$V$7,Model!W$1,'Assumptions (Nuclear)'!$V$10,'Assumptions (Nuclear)'!$V$5*Model!$I$1129*AVERAGE('Assumptions (Nuclear)'!$B$2:$G$2)/10^9),0)</f>
        <v>0</v>
      </c>
      <c r="J1244" s="160">
        <f>IF($I$1129&gt;0,IPMT('Assumptions (Nuclear)'!$V$7,Model!X$1,'Assumptions (Nuclear)'!$V$10,'Assumptions (Nuclear)'!$V$5*Model!$I$1129*AVERAGE('Assumptions (Nuclear)'!$B$2:$G$2)/10^9),0)</f>
        <v>0</v>
      </c>
      <c r="K1244" s="160">
        <f>IF($I$1129&gt;0,IPMT('Assumptions (Nuclear)'!$V$7,Model!Y$1,'Assumptions (Nuclear)'!$V$10,'Assumptions (Nuclear)'!$V$5*Model!$I$1129*AVERAGE('Assumptions (Nuclear)'!$B$2:$G$2)/10^9),0)</f>
        <v>0</v>
      </c>
      <c r="L1244" s="160">
        <f>IF($I$1129&gt;0,IPMT('Assumptions (Nuclear)'!$V$7,Model!Z$1,'Assumptions (Nuclear)'!$V$10,'Assumptions (Nuclear)'!$V$5*Model!$I$1129*AVERAGE('Assumptions (Nuclear)'!$B$2:$G$2)/10^9),0)</f>
        <v>0</v>
      </c>
      <c r="M1244" s="160">
        <f>IF($I$1129&gt;0,IPMT('Assumptions (Nuclear)'!$V$7,Model!AA$1,'Assumptions (Nuclear)'!$V$10,'Assumptions (Nuclear)'!$V$5*Model!$I$1129*AVERAGE('Assumptions (Nuclear)'!$B$2:$G$2)/10^9),0)</f>
        <v>0</v>
      </c>
      <c r="N1244" s="177">
        <f>IF($I$1129&gt;0,IPMT('Assumptions (Nuclear)'!$V$7,Model!AB$1,'Assumptions (Nuclear)'!$V$10,'Assumptions (Nuclear)'!$V$5*Model!$I$1129*AVERAGE('Assumptions (Nuclear)'!$B$2:$G$2)/10^9),0)</f>
        <v>0</v>
      </c>
      <c r="O1244" s="160">
        <f>IF($I$1129&gt;0,IPMT('Assumptions (Nuclear)'!$V$7,Model!AC$1,'Assumptions (Nuclear)'!$V$10,'Assumptions (Nuclear)'!$V$5*Model!$I$1129*AVERAGE('Assumptions (Nuclear)'!$B$2:$G$2)/10^9),0)</f>
        <v>0</v>
      </c>
      <c r="P1244" s="160">
        <f>IF($I$1129&gt;0,IPMT('Assumptions (Nuclear)'!$V$7,Model!AD$1,'Assumptions (Nuclear)'!$V$10,'Assumptions (Nuclear)'!$V$5*Model!$I$1129*AVERAGE('Assumptions (Nuclear)'!$B$2:$G$2)/10^9),0)</f>
        <v>0</v>
      </c>
      <c r="Q1244" s="160">
        <f>IF($I$1129&gt;0,IPMT('Assumptions (Nuclear)'!$V$7,Model!AE$1,'Assumptions (Nuclear)'!$V$10,'Assumptions (Nuclear)'!$V$5*Model!$I$1129*AVERAGE('Assumptions (Nuclear)'!$B$2:$G$2)/10^9),0)</f>
        <v>0</v>
      </c>
      <c r="R1244" s="160">
        <f>IF($I$1129&gt;0,IPMT('Assumptions (Nuclear)'!$V$7,Model!AF$1,'Assumptions (Nuclear)'!$V$10,'Assumptions (Nuclear)'!$V$5*Model!$I$1129*AVERAGE('Assumptions (Nuclear)'!$B$2:$G$2)/10^9),0)</f>
        <v>0</v>
      </c>
      <c r="S1244" s="160">
        <f>IF($I$1129&gt;0,IPMT('Assumptions (Nuclear)'!$V$7,Model!AG$1,'Assumptions (Nuclear)'!$V$10,'Assumptions (Nuclear)'!$V$5*Model!$I$1129*AVERAGE('Assumptions (Nuclear)'!$B$2:$G$2)/10^9),0)</f>
        <v>0</v>
      </c>
      <c r="T1244" s="160">
        <f>IF($I$1129&gt;0,IPMT('Assumptions (Nuclear)'!$V$7,Model!AH$1,'Assumptions (Nuclear)'!$V$10,'Assumptions (Nuclear)'!$V$5*Model!$I$1129*AVERAGE('Assumptions (Nuclear)'!$B$2:$G$2)/10^9),0)</f>
        <v>0</v>
      </c>
      <c r="U1244" s="160">
        <f>IF($I$1129&gt;0,IPMT('Assumptions (Nuclear)'!$V$7,Model!AI$1,'Assumptions (Nuclear)'!$V$10,'Assumptions (Nuclear)'!$V$5*Model!$I$1129*AVERAGE('Assumptions (Nuclear)'!$B$2:$G$2)/10^9),0)</f>
        <v>0</v>
      </c>
      <c r="V1244" s="160">
        <f>IF($I$1129&gt;0,IPMT('Assumptions (Nuclear)'!$V$7,Model!AJ$1,'Assumptions (Nuclear)'!$V$10,'Assumptions (Nuclear)'!$V$5*Model!$I$1129*AVERAGE('Assumptions (Nuclear)'!$B$2:$G$2)/10^9),0)</f>
        <v>0</v>
      </c>
      <c r="W1244" s="160">
        <f>IF($I$1129&gt;0,IPMT('Assumptions (Nuclear)'!$V$7,Model!AK$1,'Assumptions (Nuclear)'!$V$10,'Assumptions (Nuclear)'!$V$5*Model!$I$1129*AVERAGE('Assumptions (Nuclear)'!$B$2:$G$2)/10^9),0)</f>
        <v>0</v>
      </c>
      <c r="X1244" s="160"/>
      <c r="Y1244" s="160"/>
      <c r="Z1244" s="160"/>
      <c r="AA1244" s="160"/>
      <c r="AB1244" s="160"/>
      <c r="AC1244" s="160"/>
      <c r="AD1244" s="160"/>
      <c r="AE1244" s="160"/>
      <c r="AF1244" s="160"/>
      <c r="AG1244" s="160"/>
      <c r="AU1244" s="95"/>
      <c r="AV1244" s="95"/>
      <c r="AW1244" s="95"/>
      <c r="AX1244" s="95"/>
      <c r="AY1244" s="95"/>
      <c r="AZ1244" s="95"/>
      <c r="BA1244" s="95"/>
    </row>
    <row r="1245" ht="15.75" hidden="1" customHeight="1" outlineLevel="1">
      <c r="A1245" s="262"/>
      <c r="B1245" s="38"/>
      <c r="C1245" s="160"/>
      <c r="D1245" s="160"/>
      <c r="E1245" s="160"/>
      <c r="F1245" s="160"/>
      <c r="G1245" s="160"/>
      <c r="H1245" s="160"/>
      <c r="I1245" s="160"/>
      <c r="J1245" s="160">
        <f>IF($J$1129&gt;0,IPMT('Assumptions (Nuclear)'!$V$7,Model!W$1,'Assumptions (Nuclear)'!$V$10,'Assumptions (Nuclear)'!$V$5*Model!$J$1129*AVERAGE('Assumptions (Nuclear)'!$C$2:$H$2)/10^9),0)</f>
        <v>0</v>
      </c>
      <c r="K1245" s="160">
        <f>IF($J$1129&gt;0,IPMT('Assumptions (Nuclear)'!$V$7,Model!X$1,'Assumptions (Nuclear)'!$V$10,'Assumptions (Nuclear)'!$V$5*Model!$J$1129*AVERAGE('Assumptions (Nuclear)'!$C$2:$H$2)/10^9),0)</f>
        <v>0</v>
      </c>
      <c r="L1245" s="160">
        <f>IF($J$1129&gt;0,IPMT('Assumptions (Nuclear)'!$V$7,Model!Y$1,'Assumptions (Nuclear)'!$V$10,'Assumptions (Nuclear)'!$V$5*Model!$J$1129*AVERAGE('Assumptions (Nuclear)'!$C$2:$H$2)/10^9),0)</f>
        <v>0</v>
      </c>
      <c r="M1245" s="160">
        <f>IF($J$1129&gt;0,IPMT('Assumptions (Nuclear)'!$V$7,Model!Z$1,'Assumptions (Nuclear)'!$V$10,'Assumptions (Nuclear)'!$V$5*Model!$J$1129*AVERAGE('Assumptions (Nuclear)'!$C$2:$H$2)/10^9),0)</f>
        <v>0</v>
      </c>
      <c r="N1245" s="177">
        <f>IF($J$1129&gt;0,IPMT('Assumptions (Nuclear)'!$V$7,Model!AA$1,'Assumptions (Nuclear)'!$V$10,'Assumptions (Nuclear)'!$V$5*Model!$J$1129*AVERAGE('Assumptions (Nuclear)'!$C$2:$H$2)/10^9),0)</f>
        <v>0</v>
      </c>
      <c r="O1245" s="160">
        <f>IF($J$1129&gt;0,IPMT('Assumptions (Nuclear)'!$V$7,Model!AB$1,'Assumptions (Nuclear)'!$V$10,'Assumptions (Nuclear)'!$V$5*Model!$J$1129*AVERAGE('Assumptions (Nuclear)'!$C$2:$H$2)/10^9),0)</f>
        <v>0</v>
      </c>
      <c r="P1245" s="160">
        <f>IF($J$1129&gt;0,IPMT('Assumptions (Nuclear)'!$V$7,Model!AC$1,'Assumptions (Nuclear)'!$V$10,'Assumptions (Nuclear)'!$V$5*Model!$J$1129*AVERAGE('Assumptions (Nuclear)'!$C$2:$H$2)/10^9),0)</f>
        <v>0</v>
      </c>
      <c r="Q1245" s="160">
        <f>IF($J$1129&gt;0,IPMT('Assumptions (Nuclear)'!$V$7,Model!AD$1,'Assumptions (Nuclear)'!$V$10,'Assumptions (Nuclear)'!$V$5*Model!$J$1129*AVERAGE('Assumptions (Nuclear)'!$C$2:$H$2)/10^9),0)</f>
        <v>0</v>
      </c>
      <c r="R1245" s="160">
        <f>IF($J$1129&gt;0,IPMT('Assumptions (Nuclear)'!$V$7,Model!AE$1,'Assumptions (Nuclear)'!$V$10,'Assumptions (Nuclear)'!$V$5*Model!$J$1129*AVERAGE('Assumptions (Nuclear)'!$C$2:$H$2)/10^9),0)</f>
        <v>0</v>
      </c>
      <c r="S1245" s="160">
        <f>IF($J$1129&gt;0,IPMT('Assumptions (Nuclear)'!$V$7,Model!AF$1,'Assumptions (Nuclear)'!$V$10,'Assumptions (Nuclear)'!$V$5*Model!$J$1129*AVERAGE('Assumptions (Nuclear)'!$C$2:$H$2)/10^9),0)</f>
        <v>0</v>
      </c>
      <c r="T1245" s="160">
        <f>IF($J$1129&gt;0,IPMT('Assumptions (Nuclear)'!$V$7,Model!AG$1,'Assumptions (Nuclear)'!$V$10,'Assumptions (Nuclear)'!$V$5*Model!$J$1129*AVERAGE('Assumptions (Nuclear)'!$C$2:$H$2)/10^9),0)</f>
        <v>0</v>
      </c>
      <c r="U1245" s="160">
        <f>IF($J$1129&gt;0,IPMT('Assumptions (Nuclear)'!$V$7,Model!AH$1,'Assumptions (Nuclear)'!$V$10,'Assumptions (Nuclear)'!$V$5*Model!$J$1129*AVERAGE('Assumptions (Nuclear)'!$C$2:$H$2)/10^9),0)</f>
        <v>0</v>
      </c>
      <c r="V1245" s="160">
        <f>IF($J$1129&gt;0,IPMT('Assumptions (Nuclear)'!$V$7,Model!AI$1,'Assumptions (Nuclear)'!$V$10,'Assumptions (Nuclear)'!$V$5*Model!$J$1129*AVERAGE('Assumptions (Nuclear)'!$C$2:$H$2)/10^9),0)</f>
        <v>0</v>
      </c>
      <c r="W1245" s="160">
        <f>IF($J$1129&gt;0,IPMT('Assumptions (Nuclear)'!$V$7,Model!AJ$1,'Assumptions (Nuclear)'!$V$10,'Assumptions (Nuclear)'!$V$5*Model!$J$1129*AVERAGE('Assumptions (Nuclear)'!$C$2:$H$2)/10^9),0)</f>
        <v>0</v>
      </c>
      <c r="X1245" s="160">
        <f>IF($J$1129&gt;0,IPMT('Assumptions (Nuclear)'!$V$7,Model!AK$1,'Assumptions (Nuclear)'!$V$10,'Assumptions (Nuclear)'!$V$5*Model!$J$1129*AVERAGE('Assumptions (Nuclear)'!$C$2:$H$2)/10^9),0)</f>
        <v>0</v>
      </c>
      <c r="Y1245" s="160"/>
      <c r="Z1245" s="160"/>
      <c r="AA1245" s="160"/>
      <c r="AB1245" s="160"/>
      <c r="AC1245" s="160"/>
      <c r="AD1245" s="160"/>
      <c r="AE1245" s="160"/>
      <c r="AF1245" s="160"/>
      <c r="AG1245" s="160"/>
      <c r="AH1245" s="160"/>
      <c r="AU1245" s="95"/>
      <c r="AV1245" s="95"/>
      <c r="AW1245" s="95"/>
      <c r="AX1245" s="95"/>
      <c r="AY1245" s="95"/>
      <c r="AZ1245" s="95"/>
      <c r="BA1245" s="95"/>
    </row>
    <row r="1246" ht="15.75" hidden="1" customHeight="1" outlineLevel="1">
      <c r="A1246" s="262"/>
      <c r="B1246" s="38"/>
      <c r="C1246" s="160"/>
      <c r="D1246" s="160"/>
      <c r="E1246" s="160"/>
      <c r="F1246" s="160"/>
      <c r="G1246" s="160"/>
      <c r="H1246" s="160"/>
      <c r="I1246" s="160"/>
      <c r="J1246" s="160"/>
      <c r="K1246" s="160">
        <f>IF($K$1129&gt;0,IPMT('Assumptions (Nuclear)'!$V$7,Model!W$1,'Assumptions (Nuclear)'!$V$10,'Assumptions (Nuclear)'!$V$5*Model!$K$1129*AVERAGE('Assumptions (Nuclear)'!$D$2:$I$2)/10^9),0)</f>
        <v>0</v>
      </c>
      <c r="L1246" s="160">
        <f>IF($K$1129&gt;0,IPMT('Assumptions (Nuclear)'!$V$7,Model!X$1,'Assumptions (Nuclear)'!$V$10,'Assumptions (Nuclear)'!$V$5*Model!$K$1129*AVERAGE('Assumptions (Nuclear)'!$D$2:$I$2)/10^9),0)</f>
        <v>0</v>
      </c>
      <c r="M1246" s="160">
        <f>IF($K$1129&gt;0,IPMT('Assumptions (Nuclear)'!$V$7,Model!Y$1,'Assumptions (Nuclear)'!$V$10,'Assumptions (Nuclear)'!$V$5*Model!$K$1129*AVERAGE('Assumptions (Nuclear)'!$D$2:$I$2)/10^9),0)</f>
        <v>0</v>
      </c>
      <c r="N1246" s="177">
        <f>IF($K$1129&gt;0,IPMT('Assumptions (Nuclear)'!$V$7,Model!Z$1,'Assumptions (Nuclear)'!$V$10,'Assumptions (Nuclear)'!$V$5*Model!$K$1129*AVERAGE('Assumptions (Nuclear)'!$D$2:$I$2)/10^9),0)</f>
        <v>0</v>
      </c>
      <c r="O1246" s="160">
        <f>IF($K$1129&gt;0,IPMT('Assumptions (Nuclear)'!$V$7,Model!AA$1,'Assumptions (Nuclear)'!$V$10,'Assumptions (Nuclear)'!$V$5*Model!$K$1129*AVERAGE('Assumptions (Nuclear)'!$D$2:$I$2)/10^9),0)</f>
        <v>0</v>
      </c>
      <c r="P1246" s="160">
        <f>IF($K$1129&gt;0,IPMT('Assumptions (Nuclear)'!$V$7,Model!AB$1,'Assumptions (Nuclear)'!$V$10,'Assumptions (Nuclear)'!$V$5*Model!$K$1129*AVERAGE('Assumptions (Nuclear)'!$D$2:$I$2)/10^9),0)</f>
        <v>0</v>
      </c>
      <c r="Q1246" s="160">
        <f>IF($K$1129&gt;0,IPMT('Assumptions (Nuclear)'!$V$7,Model!AC$1,'Assumptions (Nuclear)'!$V$10,'Assumptions (Nuclear)'!$V$5*Model!$K$1129*AVERAGE('Assumptions (Nuclear)'!$D$2:$I$2)/10^9),0)</f>
        <v>0</v>
      </c>
      <c r="R1246" s="160">
        <f>IF($K$1129&gt;0,IPMT('Assumptions (Nuclear)'!$V$7,Model!AD$1,'Assumptions (Nuclear)'!$V$10,'Assumptions (Nuclear)'!$V$5*Model!$K$1129*AVERAGE('Assumptions (Nuclear)'!$D$2:$I$2)/10^9),0)</f>
        <v>0</v>
      </c>
      <c r="S1246" s="160">
        <f>IF($K$1129&gt;0,IPMT('Assumptions (Nuclear)'!$V$7,Model!AE$1,'Assumptions (Nuclear)'!$V$10,'Assumptions (Nuclear)'!$V$5*Model!$K$1129*AVERAGE('Assumptions (Nuclear)'!$D$2:$I$2)/10^9),0)</f>
        <v>0</v>
      </c>
      <c r="T1246" s="160">
        <f>IF($K$1129&gt;0,IPMT('Assumptions (Nuclear)'!$V$7,Model!AF$1,'Assumptions (Nuclear)'!$V$10,'Assumptions (Nuclear)'!$V$5*Model!$K$1129*AVERAGE('Assumptions (Nuclear)'!$D$2:$I$2)/10^9),0)</f>
        <v>0</v>
      </c>
      <c r="U1246" s="160">
        <f>IF($K$1129&gt;0,IPMT('Assumptions (Nuclear)'!$V$7,Model!AG$1,'Assumptions (Nuclear)'!$V$10,'Assumptions (Nuclear)'!$V$5*Model!$K$1129*AVERAGE('Assumptions (Nuclear)'!$D$2:$I$2)/10^9),0)</f>
        <v>0</v>
      </c>
      <c r="V1246" s="160">
        <f>IF($K$1129&gt;0,IPMT('Assumptions (Nuclear)'!$V$7,Model!AH$1,'Assumptions (Nuclear)'!$V$10,'Assumptions (Nuclear)'!$V$5*Model!$K$1129*AVERAGE('Assumptions (Nuclear)'!$D$2:$I$2)/10^9),0)</f>
        <v>0</v>
      </c>
      <c r="W1246" s="160">
        <f>IF($K$1129&gt;0,IPMT('Assumptions (Nuclear)'!$V$7,Model!AI$1,'Assumptions (Nuclear)'!$V$10,'Assumptions (Nuclear)'!$V$5*Model!$K$1129*AVERAGE('Assumptions (Nuclear)'!$D$2:$I$2)/10^9),0)</f>
        <v>0</v>
      </c>
      <c r="X1246" s="160">
        <f>IF($K$1129&gt;0,IPMT('Assumptions (Nuclear)'!$V$7,Model!AJ$1,'Assumptions (Nuclear)'!$V$10,'Assumptions (Nuclear)'!$V$5*Model!$K$1129*AVERAGE('Assumptions (Nuclear)'!$D$2:$I$2)/10^9),0)</f>
        <v>0</v>
      </c>
      <c r="Y1246" s="160">
        <f>IF($K$1129&gt;0,IPMT('Assumptions (Nuclear)'!$V$7,Model!AK$1,'Assumptions (Nuclear)'!$V$10,'Assumptions (Nuclear)'!$V$5*Model!$K$1129*AVERAGE('Assumptions (Nuclear)'!$D$2:$I$2)/10^9),0)</f>
        <v>0</v>
      </c>
      <c r="Z1246" s="160"/>
      <c r="AA1246" s="160"/>
      <c r="AB1246" s="160"/>
      <c r="AC1246" s="160"/>
      <c r="AD1246" s="160"/>
      <c r="AE1246" s="160"/>
      <c r="AF1246" s="160"/>
      <c r="AG1246" s="160"/>
      <c r="AH1246" s="160"/>
      <c r="AI1246" s="160"/>
      <c r="AU1246" s="95"/>
      <c r="AV1246" s="95"/>
      <c r="AW1246" s="95"/>
      <c r="AX1246" s="95"/>
      <c r="AY1246" s="95"/>
      <c r="AZ1246" s="95"/>
      <c r="BA1246" s="95"/>
    </row>
    <row r="1247" ht="15.75" hidden="1" customHeight="1" outlineLevel="1">
      <c r="A1247" s="262"/>
      <c r="B1247" s="38"/>
      <c r="C1247" s="160"/>
      <c r="D1247" s="160"/>
      <c r="E1247" s="160"/>
      <c r="F1247" s="160"/>
      <c r="G1247" s="160"/>
      <c r="H1247" s="160"/>
      <c r="I1247" s="160"/>
      <c r="J1247" s="160"/>
      <c r="K1247" s="160"/>
      <c r="L1247" s="160">
        <f>IF($L$1129&gt;0,IPMT('Assumptions (Nuclear)'!$V$7,Model!W$1,'Assumptions (Nuclear)'!$V$10,'Assumptions (Nuclear)'!$V$5*Model!$L$1129*AVERAGE('Assumptions (Nuclear)'!$E$2:$J$2)/10^9),0)</f>
        <v>0</v>
      </c>
      <c r="M1247" s="160">
        <f>IF($L$1129&gt;0,IPMT('Assumptions (Nuclear)'!$V$7,Model!X$1,'Assumptions (Nuclear)'!$V$10,'Assumptions (Nuclear)'!$V$5*Model!$L$1129*AVERAGE('Assumptions (Nuclear)'!$E$2:$J$2)/10^9),0)</f>
        <v>0</v>
      </c>
      <c r="N1247" s="177">
        <f>IF($L$1129&gt;0,IPMT('Assumptions (Nuclear)'!$V$7,Model!Y$1,'Assumptions (Nuclear)'!$V$10,'Assumptions (Nuclear)'!$V$5*Model!$L$1129*AVERAGE('Assumptions (Nuclear)'!$E$2:$J$2)/10^9),0)</f>
        <v>0</v>
      </c>
      <c r="O1247" s="160">
        <f>IF($L$1129&gt;0,IPMT('Assumptions (Nuclear)'!$V$7,Model!Z$1,'Assumptions (Nuclear)'!$V$10,'Assumptions (Nuclear)'!$V$5*Model!$L$1129*AVERAGE('Assumptions (Nuclear)'!$E$2:$J$2)/10^9),0)</f>
        <v>0</v>
      </c>
      <c r="P1247" s="160">
        <f>IF($L$1129&gt;0,IPMT('Assumptions (Nuclear)'!$V$7,Model!AA$1,'Assumptions (Nuclear)'!$V$10,'Assumptions (Nuclear)'!$V$5*Model!$L$1129*AVERAGE('Assumptions (Nuclear)'!$E$2:$J$2)/10^9),0)</f>
        <v>0</v>
      </c>
      <c r="Q1247" s="160">
        <f>IF($L$1129&gt;0,IPMT('Assumptions (Nuclear)'!$V$7,Model!AB$1,'Assumptions (Nuclear)'!$V$10,'Assumptions (Nuclear)'!$V$5*Model!$L$1129*AVERAGE('Assumptions (Nuclear)'!$E$2:$J$2)/10^9),0)</f>
        <v>0</v>
      </c>
      <c r="R1247" s="160">
        <f>IF($L$1129&gt;0,IPMT('Assumptions (Nuclear)'!$V$7,Model!AC$1,'Assumptions (Nuclear)'!$V$10,'Assumptions (Nuclear)'!$V$5*Model!$L$1129*AVERAGE('Assumptions (Nuclear)'!$E$2:$J$2)/10^9),0)</f>
        <v>0</v>
      </c>
      <c r="S1247" s="160">
        <f>IF($L$1129&gt;0,IPMT('Assumptions (Nuclear)'!$V$7,Model!AD$1,'Assumptions (Nuclear)'!$V$10,'Assumptions (Nuclear)'!$V$5*Model!$L$1129*AVERAGE('Assumptions (Nuclear)'!$E$2:$J$2)/10^9),0)</f>
        <v>0</v>
      </c>
      <c r="T1247" s="160">
        <f>IF($L$1129&gt;0,IPMT('Assumptions (Nuclear)'!$V$7,Model!AE$1,'Assumptions (Nuclear)'!$V$10,'Assumptions (Nuclear)'!$V$5*Model!$L$1129*AVERAGE('Assumptions (Nuclear)'!$E$2:$J$2)/10^9),0)</f>
        <v>0</v>
      </c>
      <c r="U1247" s="160">
        <f>IF($L$1129&gt;0,IPMT('Assumptions (Nuclear)'!$V$7,Model!AF$1,'Assumptions (Nuclear)'!$V$10,'Assumptions (Nuclear)'!$V$5*Model!$L$1129*AVERAGE('Assumptions (Nuclear)'!$E$2:$J$2)/10^9),0)</f>
        <v>0</v>
      </c>
      <c r="V1247" s="160">
        <f>IF($L$1129&gt;0,IPMT('Assumptions (Nuclear)'!$V$7,Model!AG$1,'Assumptions (Nuclear)'!$V$10,'Assumptions (Nuclear)'!$V$5*Model!$L$1129*AVERAGE('Assumptions (Nuclear)'!$E$2:$J$2)/10^9),0)</f>
        <v>0</v>
      </c>
      <c r="W1247" s="160">
        <f>IF($L$1129&gt;0,IPMT('Assumptions (Nuclear)'!$V$7,Model!AH$1,'Assumptions (Nuclear)'!$V$10,'Assumptions (Nuclear)'!$V$5*Model!$L$1129*AVERAGE('Assumptions (Nuclear)'!$E$2:$J$2)/10^9),0)</f>
        <v>0</v>
      </c>
      <c r="X1247" s="160">
        <f>IF($L$1129&gt;0,IPMT('Assumptions (Nuclear)'!$V$7,Model!AI$1,'Assumptions (Nuclear)'!$V$10,'Assumptions (Nuclear)'!$V$5*Model!$L$1129*AVERAGE('Assumptions (Nuclear)'!$E$2:$J$2)/10^9),0)</f>
        <v>0</v>
      </c>
      <c r="Y1247" s="160">
        <f>IF($L$1129&gt;0,IPMT('Assumptions (Nuclear)'!$V$7,Model!AJ$1,'Assumptions (Nuclear)'!$V$10,'Assumptions (Nuclear)'!$V$5*Model!$L$1129*AVERAGE('Assumptions (Nuclear)'!$E$2:$J$2)/10^9),0)</f>
        <v>0</v>
      </c>
      <c r="Z1247" s="160">
        <f>IF($L$1129&gt;0,IPMT('Assumptions (Nuclear)'!$V$7,Model!AK$1,'Assumptions (Nuclear)'!$V$10,'Assumptions (Nuclear)'!$V$5*Model!$L$1129*AVERAGE('Assumptions (Nuclear)'!$E$2:$J$2)/10^9),0)</f>
        <v>0</v>
      </c>
      <c r="AA1247" s="160"/>
      <c r="AB1247" s="160"/>
      <c r="AC1247" s="160"/>
      <c r="AD1247" s="160"/>
      <c r="AE1247" s="160"/>
      <c r="AF1247" s="160"/>
      <c r="AG1247" s="160"/>
      <c r="AH1247" s="160"/>
      <c r="AI1247" s="160"/>
      <c r="AJ1247" s="160"/>
      <c r="AU1247" s="95"/>
      <c r="AV1247" s="95"/>
      <c r="AW1247" s="95"/>
      <c r="AX1247" s="95"/>
      <c r="AY1247" s="95"/>
      <c r="AZ1247" s="95"/>
      <c r="BA1247" s="95"/>
    </row>
    <row r="1248" ht="15.75" hidden="1" customHeight="1" outlineLevel="1">
      <c r="A1248" s="262"/>
      <c r="B1248" s="38"/>
      <c r="C1248" s="160"/>
      <c r="D1248" s="160"/>
      <c r="E1248" s="160"/>
      <c r="F1248" s="160"/>
      <c r="G1248" s="160"/>
      <c r="H1248" s="160"/>
      <c r="I1248" s="160"/>
      <c r="J1248" s="160"/>
      <c r="K1248" s="160"/>
      <c r="L1248" s="160"/>
      <c r="M1248" s="160">
        <f>IF($M$1129&gt;0,IPMT('Assumptions (Nuclear)'!$V$7,Model!W$1,'Assumptions (Nuclear)'!$V$10,'Assumptions (Nuclear)'!$V$5*Model!$M$1129*AVERAGE('Assumptions (Nuclear)'!$F$2:$K$2)/10^9),0)</f>
        <v>0</v>
      </c>
      <c r="N1248" s="177">
        <f>IF($M$1129&gt;0,IPMT('Assumptions (Nuclear)'!$V$7,Model!X$1,'Assumptions (Nuclear)'!$V$10,'Assumptions (Nuclear)'!$V$5*Model!$M$1129*AVERAGE('Assumptions (Nuclear)'!$F$2:$K$2)/10^9),0)</f>
        <v>0</v>
      </c>
      <c r="O1248" s="160">
        <f>IF($M$1129&gt;0,IPMT('Assumptions (Nuclear)'!$V$7,Model!Y$1,'Assumptions (Nuclear)'!$V$10,'Assumptions (Nuclear)'!$V$5*Model!$M$1129*AVERAGE('Assumptions (Nuclear)'!$F$2:$K$2)/10^9),0)</f>
        <v>0</v>
      </c>
      <c r="P1248" s="160">
        <f>IF($M$1129&gt;0,IPMT('Assumptions (Nuclear)'!$V$7,Model!Z$1,'Assumptions (Nuclear)'!$V$10,'Assumptions (Nuclear)'!$V$5*Model!$M$1129*AVERAGE('Assumptions (Nuclear)'!$F$2:$K$2)/10^9),0)</f>
        <v>0</v>
      </c>
      <c r="Q1248" s="160">
        <f>IF($M$1129&gt;0,IPMT('Assumptions (Nuclear)'!$V$7,Model!AA$1,'Assumptions (Nuclear)'!$V$10,'Assumptions (Nuclear)'!$V$5*Model!$M$1129*AVERAGE('Assumptions (Nuclear)'!$F$2:$K$2)/10^9),0)</f>
        <v>0</v>
      </c>
      <c r="R1248" s="160">
        <f>IF($M$1129&gt;0,IPMT('Assumptions (Nuclear)'!$V$7,Model!AB$1,'Assumptions (Nuclear)'!$V$10,'Assumptions (Nuclear)'!$V$5*Model!$M$1129*AVERAGE('Assumptions (Nuclear)'!$F$2:$K$2)/10^9),0)</f>
        <v>0</v>
      </c>
      <c r="S1248" s="160">
        <f>IF($M$1129&gt;0,IPMT('Assumptions (Nuclear)'!$V$7,Model!AC$1,'Assumptions (Nuclear)'!$V$10,'Assumptions (Nuclear)'!$V$5*Model!$M$1129*AVERAGE('Assumptions (Nuclear)'!$F$2:$K$2)/10^9),0)</f>
        <v>0</v>
      </c>
      <c r="T1248" s="160">
        <f>IF($M$1129&gt;0,IPMT('Assumptions (Nuclear)'!$V$7,Model!AD$1,'Assumptions (Nuclear)'!$V$10,'Assumptions (Nuclear)'!$V$5*Model!$M$1129*AVERAGE('Assumptions (Nuclear)'!$F$2:$K$2)/10^9),0)</f>
        <v>0</v>
      </c>
      <c r="U1248" s="160">
        <f>IF($M$1129&gt;0,IPMT('Assumptions (Nuclear)'!$V$7,Model!AE$1,'Assumptions (Nuclear)'!$V$10,'Assumptions (Nuclear)'!$V$5*Model!$M$1129*AVERAGE('Assumptions (Nuclear)'!$F$2:$K$2)/10^9),0)</f>
        <v>0</v>
      </c>
      <c r="V1248" s="160">
        <f>IF($M$1129&gt;0,IPMT('Assumptions (Nuclear)'!$V$7,Model!AF$1,'Assumptions (Nuclear)'!$V$10,'Assumptions (Nuclear)'!$V$5*Model!$M$1129*AVERAGE('Assumptions (Nuclear)'!$F$2:$K$2)/10^9),0)</f>
        <v>0</v>
      </c>
      <c r="W1248" s="160">
        <f>IF($M$1129&gt;0,IPMT('Assumptions (Nuclear)'!$V$7,Model!AG$1,'Assumptions (Nuclear)'!$V$10,'Assumptions (Nuclear)'!$V$5*Model!$M$1129*AVERAGE('Assumptions (Nuclear)'!$F$2:$K$2)/10^9),0)</f>
        <v>0</v>
      </c>
      <c r="X1248" s="160">
        <f>IF($M$1129&gt;0,IPMT('Assumptions (Nuclear)'!$V$7,Model!AH$1,'Assumptions (Nuclear)'!$V$10,'Assumptions (Nuclear)'!$V$5*Model!$M$1129*AVERAGE('Assumptions (Nuclear)'!$F$2:$K$2)/10^9),0)</f>
        <v>0</v>
      </c>
      <c r="Y1248" s="160">
        <f>IF($M$1129&gt;0,IPMT('Assumptions (Nuclear)'!$V$7,Model!AI$1,'Assumptions (Nuclear)'!$V$10,'Assumptions (Nuclear)'!$V$5*Model!$M$1129*AVERAGE('Assumptions (Nuclear)'!$F$2:$K$2)/10^9),0)</f>
        <v>0</v>
      </c>
      <c r="Z1248" s="160">
        <f>IF($M$1129&gt;0,IPMT('Assumptions (Nuclear)'!$V$7,Model!AJ$1,'Assumptions (Nuclear)'!$V$10,'Assumptions (Nuclear)'!$V$5*Model!$M$1129*AVERAGE('Assumptions (Nuclear)'!$F$2:$K$2)/10^9),0)</f>
        <v>0</v>
      </c>
      <c r="AA1248" s="160">
        <f>IF($M$1129&gt;0,IPMT('Assumptions (Nuclear)'!$V$7,Model!AK$1,'Assumptions (Nuclear)'!$V$10,'Assumptions (Nuclear)'!$V$5*Model!$M$1129*AVERAGE('Assumptions (Nuclear)'!$F$2:$K$2)/10^9),0)</f>
        <v>0</v>
      </c>
      <c r="AB1248" s="160"/>
      <c r="AC1248" s="160"/>
      <c r="AD1248" s="160"/>
      <c r="AE1248" s="160"/>
      <c r="AF1248" s="160"/>
      <c r="AG1248" s="160"/>
      <c r="AH1248" s="160"/>
      <c r="AI1248" s="160"/>
      <c r="AJ1248" s="160"/>
      <c r="AK1248" s="160"/>
      <c r="AU1248" s="95"/>
      <c r="AV1248" s="95"/>
      <c r="AW1248" s="95"/>
      <c r="AX1248" s="95"/>
      <c r="AY1248" s="95"/>
      <c r="AZ1248" s="95"/>
      <c r="BA1248" s="95"/>
    </row>
    <row r="1249" ht="15.75" hidden="1" customHeight="1" outlineLevel="1">
      <c r="A1249" s="262"/>
      <c r="B1249" s="38"/>
      <c r="C1249" s="160"/>
      <c r="D1249" s="160"/>
      <c r="E1249" s="160"/>
      <c r="F1249" s="160"/>
      <c r="G1249" s="160"/>
      <c r="H1249" s="160"/>
      <c r="I1249" s="160"/>
      <c r="J1249" s="160"/>
      <c r="K1249" s="160"/>
      <c r="L1249" s="160"/>
      <c r="M1249" s="160"/>
      <c r="N1249" s="177">
        <f>IF($N$1129&gt;0,IPMT('Assumptions (Nuclear)'!$V$7,Model!W$1,'Assumptions (Nuclear)'!$V$10,'Assumptions (Nuclear)'!$V$5*Model!$N$1129*AVERAGE('Assumptions (Nuclear)'!$G$2:$L$2)/10^9),0)</f>
        <v>0</v>
      </c>
      <c r="O1249" s="160">
        <f>IF($N$1129&gt;0,IPMT('Assumptions (Nuclear)'!$V$7,Model!X$1,'Assumptions (Nuclear)'!$V$10,'Assumptions (Nuclear)'!$V$5*Model!$N$1129*AVERAGE('Assumptions (Nuclear)'!$G$2:$L$2)/10^9),0)</f>
        <v>0</v>
      </c>
      <c r="P1249" s="160">
        <f>IF($N$1129&gt;0,IPMT('Assumptions (Nuclear)'!$V$7,Model!Y$1,'Assumptions (Nuclear)'!$V$10,'Assumptions (Nuclear)'!$V$5*Model!$N$1129*AVERAGE('Assumptions (Nuclear)'!$G$2:$L$2)/10^9),0)</f>
        <v>0</v>
      </c>
      <c r="Q1249" s="160">
        <f>IF($N$1129&gt;0,IPMT('Assumptions (Nuclear)'!$V$7,Model!Z$1,'Assumptions (Nuclear)'!$V$10,'Assumptions (Nuclear)'!$V$5*Model!$N$1129*AVERAGE('Assumptions (Nuclear)'!$G$2:$L$2)/10^9),0)</f>
        <v>0</v>
      </c>
      <c r="R1249" s="160">
        <f>IF($N$1129&gt;0,IPMT('Assumptions (Nuclear)'!$V$7,Model!AA$1,'Assumptions (Nuclear)'!$V$10,'Assumptions (Nuclear)'!$V$5*Model!$N$1129*AVERAGE('Assumptions (Nuclear)'!$G$2:$L$2)/10^9),0)</f>
        <v>0</v>
      </c>
      <c r="S1249" s="160">
        <f>IF($N$1129&gt;0,IPMT('Assumptions (Nuclear)'!$V$7,Model!AB$1,'Assumptions (Nuclear)'!$V$10,'Assumptions (Nuclear)'!$V$5*Model!$N$1129*AVERAGE('Assumptions (Nuclear)'!$G$2:$L$2)/10^9),0)</f>
        <v>0</v>
      </c>
      <c r="T1249" s="160">
        <f>IF($N$1129&gt;0,IPMT('Assumptions (Nuclear)'!$V$7,Model!AC$1,'Assumptions (Nuclear)'!$V$10,'Assumptions (Nuclear)'!$V$5*Model!$N$1129*AVERAGE('Assumptions (Nuclear)'!$G$2:$L$2)/10^9),0)</f>
        <v>0</v>
      </c>
      <c r="U1249" s="160">
        <f>IF($N$1129&gt;0,IPMT('Assumptions (Nuclear)'!$V$7,Model!AD$1,'Assumptions (Nuclear)'!$V$10,'Assumptions (Nuclear)'!$V$5*Model!$N$1129*AVERAGE('Assumptions (Nuclear)'!$G$2:$L$2)/10^9),0)</f>
        <v>0</v>
      </c>
      <c r="V1249" s="160">
        <f>IF($N$1129&gt;0,IPMT('Assumptions (Nuclear)'!$V$7,Model!AE$1,'Assumptions (Nuclear)'!$V$10,'Assumptions (Nuclear)'!$V$5*Model!$N$1129*AVERAGE('Assumptions (Nuclear)'!$G$2:$L$2)/10^9),0)</f>
        <v>0</v>
      </c>
      <c r="W1249" s="160">
        <f>IF($N$1129&gt;0,IPMT('Assumptions (Nuclear)'!$V$7,Model!AF$1,'Assumptions (Nuclear)'!$V$10,'Assumptions (Nuclear)'!$V$5*Model!$N$1129*AVERAGE('Assumptions (Nuclear)'!$G$2:$L$2)/10^9),0)</f>
        <v>0</v>
      </c>
      <c r="X1249" s="160">
        <f>IF($N$1129&gt;0,IPMT('Assumptions (Nuclear)'!$V$7,Model!AG$1,'Assumptions (Nuclear)'!$V$10,'Assumptions (Nuclear)'!$V$5*Model!$N$1129*AVERAGE('Assumptions (Nuclear)'!$G$2:$L$2)/10^9),0)</f>
        <v>0</v>
      </c>
      <c r="Y1249" s="160">
        <f>IF($N$1129&gt;0,IPMT('Assumptions (Nuclear)'!$V$7,Model!AH$1,'Assumptions (Nuclear)'!$V$10,'Assumptions (Nuclear)'!$V$5*Model!$N$1129*AVERAGE('Assumptions (Nuclear)'!$G$2:$L$2)/10^9),0)</f>
        <v>0</v>
      </c>
      <c r="Z1249" s="160">
        <f>IF($N$1129&gt;0,IPMT('Assumptions (Nuclear)'!$V$7,Model!AI$1,'Assumptions (Nuclear)'!$V$10,'Assumptions (Nuclear)'!$V$5*Model!$N$1129*AVERAGE('Assumptions (Nuclear)'!$G$2:$L$2)/10^9),0)</f>
        <v>0</v>
      </c>
      <c r="AA1249" s="160">
        <f>IF($N$1129&gt;0,IPMT('Assumptions (Nuclear)'!$V$7,Model!AJ$1,'Assumptions (Nuclear)'!$V$10,'Assumptions (Nuclear)'!$V$5*Model!$N$1129*AVERAGE('Assumptions (Nuclear)'!$G$2:$L$2)/10^9),0)</f>
        <v>0</v>
      </c>
      <c r="AB1249" s="160">
        <f>IF($N$1129&gt;0,IPMT('Assumptions (Nuclear)'!$V$7,Model!AK$1,'Assumptions (Nuclear)'!$V$10,'Assumptions (Nuclear)'!$V$5*Model!$N$1129*AVERAGE('Assumptions (Nuclear)'!$G$2:$L$2)/10^9),0)</f>
        <v>0</v>
      </c>
      <c r="AC1249" s="160"/>
      <c r="AD1249" s="160"/>
      <c r="AE1249" s="160"/>
      <c r="AF1249" s="160"/>
      <c r="AG1249" s="160"/>
      <c r="AH1249" s="160"/>
      <c r="AI1249" s="160"/>
      <c r="AJ1249" s="160"/>
      <c r="AK1249" s="160"/>
      <c r="AL1249" s="160"/>
      <c r="AU1249" s="95"/>
      <c r="AV1249" s="95"/>
      <c r="AW1249" s="95"/>
      <c r="AX1249" s="95"/>
      <c r="AY1249" s="95"/>
      <c r="AZ1249" s="95"/>
      <c r="BA1249" s="95"/>
    </row>
    <row r="1250" ht="15.75" hidden="1" customHeight="1" outlineLevel="1">
      <c r="A1250" s="262"/>
      <c r="B1250" s="38"/>
      <c r="C1250" s="160"/>
      <c r="D1250" s="160"/>
      <c r="E1250" s="160"/>
      <c r="F1250" s="160"/>
      <c r="G1250" s="160"/>
      <c r="H1250" s="160"/>
      <c r="I1250" s="160"/>
      <c r="J1250" s="160"/>
      <c r="K1250" s="160"/>
      <c r="L1250" s="160"/>
      <c r="M1250" s="160"/>
      <c r="N1250" s="160"/>
      <c r="O1250" s="160">
        <f>IF($O$1129&gt;0,IPMT('Assumptions (Nuclear)'!$V$7,Model!W$1,'Assumptions (Nuclear)'!$V$10,'Assumptions (Nuclear)'!$V$5*Model!$O$1129*AVERAGE('Assumptions (Nuclear)'!$H$2:$M$2)/10^9),0)</f>
        <v>0</v>
      </c>
      <c r="P1250" s="160">
        <f>IF($O$1129&gt;0,IPMT('Assumptions (Nuclear)'!$V$7,Model!X$1,'Assumptions (Nuclear)'!$V$10,'Assumptions (Nuclear)'!$V$5*Model!$O$1129*AVERAGE('Assumptions (Nuclear)'!$H$2:$M$2)/10^9),0)</f>
        <v>0</v>
      </c>
      <c r="Q1250" s="160">
        <f>IF($O$1129&gt;0,IPMT('Assumptions (Nuclear)'!$V$7,Model!Y$1,'Assumptions (Nuclear)'!$V$10,'Assumptions (Nuclear)'!$V$5*Model!$O$1129*AVERAGE('Assumptions (Nuclear)'!$H$2:$M$2)/10^9),0)</f>
        <v>0</v>
      </c>
      <c r="R1250" s="160">
        <f>IF($O$1129&gt;0,IPMT('Assumptions (Nuclear)'!$V$7,Model!Z$1,'Assumptions (Nuclear)'!$V$10,'Assumptions (Nuclear)'!$V$5*Model!$O$1129*AVERAGE('Assumptions (Nuclear)'!$H$2:$M$2)/10^9),0)</f>
        <v>0</v>
      </c>
      <c r="S1250" s="160">
        <f>IF($O$1129&gt;0,IPMT('Assumptions (Nuclear)'!$V$7,Model!AA$1,'Assumptions (Nuclear)'!$V$10,'Assumptions (Nuclear)'!$V$5*Model!$O$1129*AVERAGE('Assumptions (Nuclear)'!$H$2:$M$2)/10^9),0)</f>
        <v>0</v>
      </c>
      <c r="T1250" s="160">
        <f>IF($O$1129&gt;0,IPMT('Assumptions (Nuclear)'!$V$7,Model!AB$1,'Assumptions (Nuclear)'!$V$10,'Assumptions (Nuclear)'!$V$5*Model!$O$1129*AVERAGE('Assumptions (Nuclear)'!$H$2:$M$2)/10^9),0)</f>
        <v>0</v>
      </c>
      <c r="U1250" s="160">
        <f>IF($O$1129&gt;0,IPMT('Assumptions (Nuclear)'!$V$7,Model!AC$1,'Assumptions (Nuclear)'!$V$10,'Assumptions (Nuclear)'!$V$5*Model!$O$1129*AVERAGE('Assumptions (Nuclear)'!$H$2:$M$2)/10^9),0)</f>
        <v>0</v>
      </c>
      <c r="V1250" s="160">
        <f>IF($O$1129&gt;0,IPMT('Assumptions (Nuclear)'!$V$7,Model!AD$1,'Assumptions (Nuclear)'!$V$10,'Assumptions (Nuclear)'!$V$5*Model!$O$1129*AVERAGE('Assumptions (Nuclear)'!$H$2:$M$2)/10^9),0)</f>
        <v>0</v>
      </c>
      <c r="W1250" s="160">
        <f>IF($O$1129&gt;0,IPMT('Assumptions (Nuclear)'!$V$7,Model!AE$1,'Assumptions (Nuclear)'!$V$10,'Assumptions (Nuclear)'!$V$5*Model!$O$1129*AVERAGE('Assumptions (Nuclear)'!$H$2:$M$2)/10^9),0)</f>
        <v>0</v>
      </c>
      <c r="X1250" s="160">
        <f>IF($O$1129&gt;0,IPMT('Assumptions (Nuclear)'!$V$7,Model!AF$1,'Assumptions (Nuclear)'!$V$10,'Assumptions (Nuclear)'!$V$5*Model!$O$1129*AVERAGE('Assumptions (Nuclear)'!$H$2:$M$2)/10^9),0)</f>
        <v>0</v>
      </c>
      <c r="Y1250" s="160">
        <f>IF($O$1129&gt;0,IPMT('Assumptions (Nuclear)'!$V$7,Model!AG$1,'Assumptions (Nuclear)'!$V$10,'Assumptions (Nuclear)'!$V$5*Model!$O$1129*AVERAGE('Assumptions (Nuclear)'!$H$2:$M$2)/10^9),0)</f>
        <v>0</v>
      </c>
      <c r="Z1250" s="160">
        <f>IF($O$1129&gt;0,IPMT('Assumptions (Nuclear)'!$V$7,Model!AH$1,'Assumptions (Nuclear)'!$V$10,'Assumptions (Nuclear)'!$V$5*Model!$O$1129*AVERAGE('Assumptions (Nuclear)'!$H$2:$M$2)/10^9),0)</f>
        <v>0</v>
      </c>
      <c r="AA1250" s="160">
        <f>IF($O$1129&gt;0,IPMT('Assumptions (Nuclear)'!$V$7,Model!AI$1,'Assumptions (Nuclear)'!$V$10,'Assumptions (Nuclear)'!$V$5*Model!$O$1129*AVERAGE('Assumptions (Nuclear)'!$H$2:$M$2)/10^9),0)</f>
        <v>0</v>
      </c>
      <c r="AB1250" s="160">
        <f>IF($O$1129&gt;0,IPMT('Assumptions (Nuclear)'!$V$7,Model!AJ$1,'Assumptions (Nuclear)'!$V$10,'Assumptions (Nuclear)'!$V$5*Model!$O$1129*AVERAGE('Assumptions (Nuclear)'!$H$2:$M$2)/10^9),0)</f>
        <v>0</v>
      </c>
      <c r="AC1250" s="160">
        <f>IF($O$1129&gt;0,IPMT('Assumptions (Nuclear)'!$V$7,Model!AK$1,'Assumptions (Nuclear)'!$V$10,'Assumptions (Nuclear)'!$V$5*Model!$O$1129*AVERAGE('Assumptions (Nuclear)'!$H$2:$M$2)/10^9),0)</f>
        <v>0</v>
      </c>
      <c r="AD1250" s="160"/>
      <c r="AE1250" s="160"/>
      <c r="AF1250" s="160"/>
      <c r="AG1250" s="160"/>
      <c r="AH1250" s="160"/>
      <c r="AI1250" s="160"/>
      <c r="AJ1250" s="160"/>
      <c r="AK1250" s="160"/>
      <c r="AL1250" s="160"/>
      <c r="AM1250" s="160"/>
      <c r="AU1250" s="95"/>
      <c r="AV1250" s="95"/>
      <c r="AW1250" s="95"/>
      <c r="AX1250" s="95"/>
      <c r="AY1250" s="95"/>
      <c r="AZ1250" s="95"/>
      <c r="BA1250" s="95"/>
    </row>
    <row r="1251" ht="15.75" hidden="1" customHeight="1" outlineLevel="1">
      <c r="A1251" s="262"/>
      <c r="B1251" s="38"/>
      <c r="C1251" s="160"/>
      <c r="D1251" s="160"/>
      <c r="E1251" s="160"/>
      <c r="F1251" s="160"/>
      <c r="G1251" s="160"/>
      <c r="H1251" s="160"/>
      <c r="I1251" s="160"/>
      <c r="J1251" s="160"/>
      <c r="K1251" s="160"/>
      <c r="L1251" s="160"/>
      <c r="M1251" s="160"/>
      <c r="N1251" s="160"/>
      <c r="O1251" s="160"/>
      <c r="P1251" s="177">
        <f>IF($P$1129&gt;0,IPMT('Assumptions (Nuclear)'!$V$7,Model!W$1,'Assumptions (Nuclear)'!$V$10,'Assumptions (Nuclear)'!$V$5*Model!$P$1129*AVERAGE('Assumptions (Nuclear)'!$I$2:$N$2)/10^9),0)</f>
        <v>0</v>
      </c>
      <c r="Q1251" s="177">
        <f>IF($P$1129&gt;0,IPMT('Assumptions (Nuclear)'!$V$7,Model!X$1,'Assumptions (Nuclear)'!$V$10,'Assumptions (Nuclear)'!$V$5*Model!$P$1129*AVERAGE('Assumptions (Nuclear)'!$I$2:$N$2)/10^9),0)</f>
        <v>0</v>
      </c>
      <c r="R1251" s="177">
        <f>IF($P$1129&gt;0,IPMT('Assumptions (Nuclear)'!$V$7,Model!Y$1,'Assumptions (Nuclear)'!$V$10,'Assumptions (Nuclear)'!$V$5*Model!$P$1129*AVERAGE('Assumptions (Nuclear)'!$I$2:$N$2)/10^9),0)</f>
        <v>0</v>
      </c>
      <c r="S1251" s="177">
        <f>IF($P$1129&gt;0,IPMT('Assumptions (Nuclear)'!$V$7,Model!Z$1,'Assumptions (Nuclear)'!$V$10,'Assumptions (Nuclear)'!$V$5*Model!$P$1129*AVERAGE('Assumptions (Nuclear)'!$I$2:$N$2)/10^9),0)</f>
        <v>0</v>
      </c>
      <c r="T1251" s="177">
        <f>IF($P$1129&gt;0,IPMT('Assumptions (Nuclear)'!$V$7,Model!AA$1,'Assumptions (Nuclear)'!$V$10,'Assumptions (Nuclear)'!$V$5*Model!$P$1129*AVERAGE('Assumptions (Nuclear)'!$I$2:$N$2)/10^9),0)</f>
        <v>0</v>
      </c>
      <c r="U1251" s="177">
        <f>IF($P$1129&gt;0,IPMT('Assumptions (Nuclear)'!$V$7,Model!AB$1,'Assumptions (Nuclear)'!$V$10,'Assumptions (Nuclear)'!$V$5*Model!$P$1129*AVERAGE('Assumptions (Nuclear)'!$I$2:$N$2)/10^9),0)</f>
        <v>0</v>
      </c>
      <c r="V1251" s="177">
        <f>IF($P$1129&gt;0,IPMT('Assumptions (Nuclear)'!$V$7,Model!AC$1,'Assumptions (Nuclear)'!$V$10,'Assumptions (Nuclear)'!$V$5*Model!$P$1129*AVERAGE('Assumptions (Nuclear)'!$I$2:$N$2)/10^9),0)</f>
        <v>0</v>
      </c>
      <c r="W1251" s="177">
        <f>IF($P$1129&gt;0,IPMT('Assumptions (Nuclear)'!$V$7,Model!AD$1,'Assumptions (Nuclear)'!$V$10,'Assumptions (Nuclear)'!$V$5*Model!$P$1129*AVERAGE('Assumptions (Nuclear)'!$I$2:$N$2)/10^9),0)</f>
        <v>0</v>
      </c>
      <c r="X1251" s="177">
        <f>IF($P$1129&gt;0,IPMT('Assumptions (Nuclear)'!$V$7,Model!AE$1,'Assumptions (Nuclear)'!$V$10,'Assumptions (Nuclear)'!$V$5*Model!$P$1129*AVERAGE('Assumptions (Nuclear)'!$I$2:$N$2)/10^9),0)</f>
        <v>0</v>
      </c>
      <c r="Y1251" s="177">
        <f>IF($P$1129&gt;0,IPMT('Assumptions (Nuclear)'!$V$7,Model!AF$1,'Assumptions (Nuclear)'!$V$10,'Assumptions (Nuclear)'!$V$5*Model!$P$1129*AVERAGE('Assumptions (Nuclear)'!$I$2:$N$2)/10^9),0)</f>
        <v>0</v>
      </c>
      <c r="Z1251" s="177">
        <f>IF($P$1129&gt;0,IPMT('Assumptions (Nuclear)'!$V$7,Model!AG$1,'Assumptions (Nuclear)'!$V$10,'Assumptions (Nuclear)'!$V$5*Model!$P$1129*AVERAGE('Assumptions (Nuclear)'!$I$2:$N$2)/10^9),0)</f>
        <v>0</v>
      </c>
      <c r="AA1251" s="177">
        <f>IF($P$1129&gt;0,IPMT('Assumptions (Nuclear)'!$V$7,Model!AH$1,'Assumptions (Nuclear)'!$V$10,'Assumptions (Nuclear)'!$V$5*Model!$P$1129*AVERAGE('Assumptions (Nuclear)'!$I$2:$N$2)/10^9),0)</f>
        <v>0</v>
      </c>
      <c r="AB1251" s="177">
        <f>IF($P$1129&gt;0,IPMT('Assumptions (Nuclear)'!$V$7,Model!AI$1,'Assumptions (Nuclear)'!$V$10,'Assumptions (Nuclear)'!$V$5*Model!$P$1129*AVERAGE('Assumptions (Nuclear)'!$I$2:$N$2)/10^9),0)</f>
        <v>0</v>
      </c>
      <c r="AC1251" s="177">
        <f>IF($P$1129&gt;0,IPMT('Assumptions (Nuclear)'!$V$7,Model!AJ$1,'Assumptions (Nuclear)'!$V$10,'Assumptions (Nuclear)'!$V$5*Model!$P$1129*AVERAGE('Assumptions (Nuclear)'!$I$2:$N$2)/10^9),0)</f>
        <v>0</v>
      </c>
      <c r="AD1251" s="177">
        <f>IF($P$1129&gt;0,IPMT('Assumptions (Nuclear)'!$V$7,Model!AK$1,'Assumptions (Nuclear)'!$V$10,'Assumptions (Nuclear)'!$V$5*Model!$P$1129*AVERAGE('Assumptions (Nuclear)'!$I$2:$N$2)/10^9),0)</f>
        <v>0</v>
      </c>
      <c r="AE1251" s="177"/>
      <c r="AF1251" s="177"/>
      <c r="AG1251" s="177"/>
      <c r="AH1251" s="177"/>
      <c r="AI1251" s="177"/>
      <c r="AJ1251" s="177"/>
      <c r="AK1251" s="177"/>
      <c r="AL1251" s="177"/>
      <c r="AM1251" s="177"/>
      <c r="AN1251" s="177"/>
      <c r="AU1251" s="95"/>
      <c r="AV1251" s="95"/>
      <c r="AW1251" s="95"/>
      <c r="AX1251" s="95"/>
      <c r="AY1251" s="95"/>
      <c r="AZ1251" s="95"/>
      <c r="BA1251" s="95"/>
    </row>
    <row r="1252" ht="15.75" hidden="1" customHeight="1" outlineLevel="1">
      <c r="A1252" s="262"/>
      <c r="B1252" s="38"/>
      <c r="C1252" s="160"/>
      <c r="D1252" s="160"/>
      <c r="E1252" s="160"/>
      <c r="F1252" s="160"/>
      <c r="G1252" s="160"/>
      <c r="H1252" s="160"/>
      <c r="I1252" s="160"/>
      <c r="J1252" s="160"/>
      <c r="K1252" s="160"/>
      <c r="L1252" s="160"/>
      <c r="M1252" s="160"/>
      <c r="N1252" s="160"/>
      <c r="O1252" s="160"/>
      <c r="P1252" s="179"/>
      <c r="Q1252" s="160">
        <f>IF($Q$1129&gt;0,IPMT('Assumptions (Nuclear)'!$V$7,Model!W$1,'Assumptions (Nuclear)'!$V$10,'Assumptions (Nuclear)'!$V$5*Model!$Q$1129*AVERAGE('Assumptions (Nuclear)'!$J$2:$O$2)/10^9),0)</f>
        <v>0</v>
      </c>
      <c r="R1252" s="160">
        <f>IF($Q$1129&gt;0,IPMT('Assumptions (Nuclear)'!$V$7,Model!X$1,'Assumptions (Nuclear)'!$V$10,'Assumptions (Nuclear)'!$V$5*Model!$Q$1129*AVERAGE('Assumptions (Nuclear)'!$J$2:$O$2)/10^9),0)</f>
        <v>0</v>
      </c>
      <c r="S1252" s="160">
        <f>IF($Q$1129&gt;0,IPMT('Assumptions (Nuclear)'!$V$7,Model!Y$1,'Assumptions (Nuclear)'!$V$10,'Assumptions (Nuclear)'!$V$5*Model!$Q$1129*AVERAGE('Assumptions (Nuclear)'!$J$2:$O$2)/10^9),0)</f>
        <v>0</v>
      </c>
      <c r="T1252" s="160">
        <f>IF($Q$1129&gt;0,IPMT('Assumptions (Nuclear)'!$V$7,Model!Z$1,'Assumptions (Nuclear)'!$V$10,'Assumptions (Nuclear)'!$V$5*Model!$Q$1129*AVERAGE('Assumptions (Nuclear)'!$J$2:$O$2)/10^9),0)</f>
        <v>0</v>
      </c>
      <c r="U1252" s="160">
        <f>IF($Q$1129&gt;0,IPMT('Assumptions (Nuclear)'!$V$7,Model!AA$1,'Assumptions (Nuclear)'!$V$10,'Assumptions (Nuclear)'!$V$5*Model!$Q$1129*AVERAGE('Assumptions (Nuclear)'!$J$2:$O$2)/10^9),0)</f>
        <v>0</v>
      </c>
      <c r="V1252" s="160">
        <f>IF($Q$1129&gt;0,IPMT('Assumptions (Nuclear)'!$V$7,Model!AB$1,'Assumptions (Nuclear)'!$V$10,'Assumptions (Nuclear)'!$V$5*Model!$Q$1129*AVERAGE('Assumptions (Nuclear)'!$J$2:$O$2)/10^9),0)</f>
        <v>0</v>
      </c>
      <c r="W1252" s="160">
        <f>IF($Q$1129&gt;0,IPMT('Assumptions (Nuclear)'!$V$7,Model!AC$1,'Assumptions (Nuclear)'!$V$10,'Assumptions (Nuclear)'!$V$5*Model!$Q$1129*AVERAGE('Assumptions (Nuclear)'!$J$2:$O$2)/10^9),0)</f>
        <v>0</v>
      </c>
      <c r="X1252" s="160">
        <f>IF($Q$1129&gt;0,IPMT('Assumptions (Nuclear)'!$V$7,Model!AD$1,'Assumptions (Nuclear)'!$V$10,'Assumptions (Nuclear)'!$V$5*Model!$Q$1129*AVERAGE('Assumptions (Nuclear)'!$J$2:$O$2)/10^9),0)</f>
        <v>0</v>
      </c>
      <c r="Y1252" s="160">
        <f>IF($Q$1129&gt;0,IPMT('Assumptions (Nuclear)'!$V$7,Model!AE$1,'Assumptions (Nuclear)'!$V$10,'Assumptions (Nuclear)'!$V$5*Model!$Q$1129*AVERAGE('Assumptions (Nuclear)'!$J$2:$O$2)/10^9),0)</f>
        <v>0</v>
      </c>
      <c r="Z1252" s="160">
        <f>IF($Q$1129&gt;0,IPMT('Assumptions (Nuclear)'!$V$7,Model!AF$1,'Assumptions (Nuclear)'!$V$10,'Assumptions (Nuclear)'!$V$5*Model!$Q$1129*AVERAGE('Assumptions (Nuclear)'!$J$2:$O$2)/10^9),0)</f>
        <v>0</v>
      </c>
      <c r="AA1252" s="160">
        <f>IF($Q$1129&gt;0,IPMT('Assumptions (Nuclear)'!$V$7,Model!AG$1,'Assumptions (Nuclear)'!$V$10,'Assumptions (Nuclear)'!$V$5*Model!$Q$1129*AVERAGE('Assumptions (Nuclear)'!$J$2:$O$2)/10^9),0)</f>
        <v>0</v>
      </c>
      <c r="AB1252" s="160">
        <f>IF($Q$1129&gt;0,IPMT('Assumptions (Nuclear)'!$V$7,Model!AH$1,'Assumptions (Nuclear)'!$V$10,'Assumptions (Nuclear)'!$V$5*Model!$Q$1129*AVERAGE('Assumptions (Nuclear)'!$J$2:$O$2)/10^9),0)</f>
        <v>0</v>
      </c>
      <c r="AC1252" s="160">
        <f>IF($Q$1129&gt;0,IPMT('Assumptions (Nuclear)'!$V$7,Model!AI$1,'Assumptions (Nuclear)'!$V$10,'Assumptions (Nuclear)'!$V$5*Model!$Q$1129*AVERAGE('Assumptions (Nuclear)'!$J$2:$O$2)/10^9),0)</f>
        <v>0</v>
      </c>
      <c r="AD1252" s="160">
        <f>IF($Q$1129&gt;0,IPMT('Assumptions (Nuclear)'!$V$7,Model!AJ$1,'Assumptions (Nuclear)'!$V$10,'Assumptions (Nuclear)'!$V$5*Model!$Q$1129*AVERAGE('Assumptions (Nuclear)'!$J$2:$O$2)/10^9),0)</f>
        <v>0</v>
      </c>
      <c r="AE1252" s="160">
        <f>IF($Q$1129&gt;0,IPMT('Assumptions (Nuclear)'!$V$7,Model!AK$1,'Assumptions (Nuclear)'!$V$10,'Assumptions (Nuclear)'!$V$5*Model!$Q$1129*AVERAGE('Assumptions (Nuclear)'!$J$2:$O$2)/10^9),0)</f>
        <v>0</v>
      </c>
      <c r="AF1252" s="160"/>
      <c r="AG1252" s="160"/>
      <c r="AH1252" s="160"/>
      <c r="AI1252" s="160"/>
      <c r="AJ1252" s="160"/>
      <c r="AK1252" s="160"/>
      <c r="AL1252" s="160"/>
      <c r="AM1252" s="160"/>
      <c r="AN1252" s="160"/>
      <c r="AO1252" s="160"/>
      <c r="AU1252" s="95"/>
      <c r="AV1252" s="95"/>
      <c r="AW1252" s="95"/>
      <c r="AX1252" s="95"/>
      <c r="AY1252" s="95"/>
      <c r="AZ1252" s="95"/>
      <c r="BA1252" s="95"/>
    </row>
    <row r="1253" ht="15.75" hidden="1" customHeight="1" outlineLevel="1">
      <c r="A1253" s="262"/>
      <c r="B1253" s="38"/>
      <c r="C1253" s="160"/>
      <c r="D1253" s="160"/>
      <c r="E1253" s="160"/>
      <c r="F1253" s="160"/>
      <c r="G1253" s="160"/>
      <c r="H1253" s="160"/>
      <c r="I1253" s="160"/>
      <c r="J1253" s="160"/>
      <c r="K1253" s="160"/>
      <c r="L1253" s="160"/>
      <c r="M1253" s="160"/>
      <c r="N1253" s="160"/>
      <c r="O1253" s="160"/>
      <c r="P1253" s="179"/>
      <c r="Q1253" s="160"/>
      <c r="R1253" s="177">
        <f>IF($R$1129&gt;0,IPMT('Assumptions (Nuclear)'!$V$7,Model!W$1,'Assumptions (Nuclear)'!$V$10,'Assumptions (Nuclear)'!$V$5*Model!$R$1129*AVERAGE('Assumptions (Nuclear)'!$K$2:$P$2)/10^9),0)</f>
        <v>0</v>
      </c>
      <c r="S1253" s="177">
        <f>IF($R$1129&gt;0,IPMT('Assumptions (Nuclear)'!$V$7,Model!X$1,'Assumptions (Nuclear)'!$V$10,'Assumptions (Nuclear)'!$V$5*Model!$R$1129*AVERAGE('Assumptions (Nuclear)'!$K$2:$P$2)/10^9),0)</f>
        <v>0</v>
      </c>
      <c r="T1253" s="177">
        <f>IF($R$1129&gt;0,IPMT('Assumptions (Nuclear)'!$V$7,Model!Y$1,'Assumptions (Nuclear)'!$V$10,'Assumptions (Nuclear)'!$V$5*Model!$R$1129*AVERAGE('Assumptions (Nuclear)'!$K$2:$P$2)/10^9),0)</f>
        <v>0</v>
      </c>
      <c r="U1253" s="177">
        <f>IF($R$1129&gt;0,IPMT('Assumptions (Nuclear)'!$V$7,Model!Z$1,'Assumptions (Nuclear)'!$V$10,'Assumptions (Nuclear)'!$V$5*Model!$R$1129*AVERAGE('Assumptions (Nuclear)'!$K$2:$P$2)/10^9),0)</f>
        <v>0</v>
      </c>
      <c r="V1253" s="177">
        <f>IF($R$1129&gt;0,IPMT('Assumptions (Nuclear)'!$V$7,Model!AA$1,'Assumptions (Nuclear)'!$V$10,'Assumptions (Nuclear)'!$V$5*Model!$R$1129*AVERAGE('Assumptions (Nuclear)'!$K$2:$P$2)/10^9),0)</f>
        <v>0</v>
      </c>
      <c r="W1253" s="177">
        <f>IF($R$1129&gt;0,IPMT('Assumptions (Nuclear)'!$V$7,Model!AB$1,'Assumptions (Nuclear)'!$V$10,'Assumptions (Nuclear)'!$V$5*Model!$R$1129*AVERAGE('Assumptions (Nuclear)'!$K$2:$P$2)/10^9),0)</f>
        <v>0</v>
      </c>
      <c r="X1253" s="177">
        <f>IF($R$1129&gt;0,IPMT('Assumptions (Nuclear)'!$V$7,Model!AC$1,'Assumptions (Nuclear)'!$V$10,'Assumptions (Nuclear)'!$V$5*Model!$R$1129*AVERAGE('Assumptions (Nuclear)'!$K$2:$P$2)/10^9),0)</f>
        <v>0</v>
      </c>
      <c r="Y1253" s="177">
        <f>IF($R$1129&gt;0,IPMT('Assumptions (Nuclear)'!$V$7,Model!AD$1,'Assumptions (Nuclear)'!$V$10,'Assumptions (Nuclear)'!$V$5*Model!$R$1129*AVERAGE('Assumptions (Nuclear)'!$K$2:$P$2)/10^9),0)</f>
        <v>0</v>
      </c>
      <c r="Z1253" s="177">
        <f>IF($R$1129&gt;0,IPMT('Assumptions (Nuclear)'!$V$7,Model!AE$1,'Assumptions (Nuclear)'!$V$10,'Assumptions (Nuclear)'!$V$5*Model!$R$1129*AVERAGE('Assumptions (Nuclear)'!$K$2:$P$2)/10^9),0)</f>
        <v>0</v>
      </c>
      <c r="AA1253" s="177">
        <f>IF($R$1129&gt;0,IPMT('Assumptions (Nuclear)'!$V$7,Model!AF$1,'Assumptions (Nuclear)'!$V$10,'Assumptions (Nuclear)'!$V$5*Model!$R$1129*AVERAGE('Assumptions (Nuclear)'!$K$2:$P$2)/10^9),0)</f>
        <v>0</v>
      </c>
      <c r="AB1253" s="177">
        <f>IF($R$1129&gt;0,IPMT('Assumptions (Nuclear)'!$V$7,Model!AG$1,'Assumptions (Nuclear)'!$V$10,'Assumptions (Nuclear)'!$V$5*Model!$R$1129*AVERAGE('Assumptions (Nuclear)'!$K$2:$P$2)/10^9),0)</f>
        <v>0</v>
      </c>
      <c r="AC1253" s="177">
        <f>IF($R$1129&gt;0,IPMT('Assumptions (Nuclear)'!$V$7,Model!AH$1,'Assumptions (Nuclear)'!$V$10,'Assumptions (Nuclear)'!$V$5*Model!$R$1129*AVERAGE('Assumptions (Nuclear)'!$K$2:$P$2)/10^9),0)</f>
        <v>0</v>
      </c>
      <c r="AD1253" s="177">
        <f>IF($R$1129&gt;0,IPMT('Assumptions (Nuclear)'!$V$7,Model!AI$1,'Assumptions (Nuclear)'!$V$10,'Assumptions (Nuclear)'!$V$5*Model!$R$1129*AVERAGE('Assumptions (Nuclear)'!$K$2:$P$2)/10^9),0)</f>
        <v>0</v>
      </c>
      <c r="AE1253" s="177">
        <f>IF($R$1129&gt;0,IPMT('Assumptions (Nuclear)'!$V$7,Model!AJ$1,'Assumptions (Nuclear)'!$V$10,'Assumptions (Nuclear)'!$V$5*Model!$R$1129*AVERAGE('Assumptions (Nuclear)'!$K$2:$P$2)/10^9),0)</f>
        <v>0</v>
      </c>
      <c r="AF1253" s="177">
        <f>IF($R$1129&gt;0,IPMT('Assumptions (Nuclear)'!$V$7,Model!AK$1,'Assumptions (Nuclear)'!$V$10,'Assumptions (Nuclear)'!$V$5*Model!$R$1129*AVERAGE('Assumptions (Nuclear)'!$K$2:$P$2)/10^9),0)</f>
        <v>0</v>
      </c>
      <c r="AG1253" s="177"/>
      <c r="AH1253" s="177"/>
      <c r="AI1253" s="177"/>
      <c r="AJ1253" s="177"/>
      <c r="AK1253" s="177"/>
      <c r="AL1253" s="177"/>
      <c r="AM1253" s="177"/>
      <c r="AN1253" s="177"/>
      <c r="AO1253" s="177"/>
      <c r="AP1253" s="177"/>
      <c r="AU1253" s="95"/>
      <c r="AV1253" s="95"/>
      <c r="AW1253" s="95"/>
      <c r="AX1253" s="95"/>
      <c r="AY1253" s="95"/>
      <c r="AZ1253" s="95"/>
      <c r="BA1253" s="95"/>
    </row>
    <row r="1254" ht="15.75" hidden="1" customHeight="1" outlineLevel="1">
      <c r="A1254" s="262"/>
      <c r="B1254" s="38"/>
      <c r="C1254" s="160"/>
      <c r="D1254" s="160"/>
      <c r="E1254" s="160"/>
      <c r="F1254" s="160"/>
      <c r="G1254" s="160"/>
      <c r="H1254" s="160"/>
      <c r="I1254" s="160"/>
      <c r="J1254" s="160"/>
      <c r="K1254" s="160"/>
      <c r="L1254" s="160"/>
      <c r="M1254" s="160"/>
      <c r="N1254" s="160"/>
      <c r="O1254" s="160"/>
      <c r="P1254" s="179"/>
      <c r="Q1254" s="160"/>
      <c r="R1254" s="177"/>
      <c r="S1254" s="160">
        <f>IF($S$1129&gt;0,IPMT('Assumptions (Nuclear)'!$V$7,Model!W$1,'Assumptions (Nuclear)'!$V$10,'Assumptions (Nuclear)'!$V$5*Model!$S$1129*AVERAGE('Assumptions (Nuclear)'!$L$2:$Q$2)/10^9),0)</f>
        <v>-0.1581584525</v>
      </c>
      <c r="T1254" s="160">
        <f>IF($S$1129&gt;0,IPMT('Assumptions (Nuclear)'!$V$7,Model!X$1,'Assumptions (Nuclear)'!$V$10,'Assumptions (Nuclear)'!$V$5*Model!$S$1129*AVERAGE('Assumptions (Nuclear)'!$L$2:$Q$2)/10^9),0)</f>
        <v>-0.150690031</v>
      </c>
      <c r="U1254" s="160">
        <f>IF($S$1129&gt;0,IPMT('Assumptions (Nuclear)'!$V$7,Model!Y$1,'Assumptions (Nuclear)'!$V$10,'Assumptions (Nuclear)'!$V$5*Model!$S$1129*AVERAGE('Assumptions (Nuclear)'!$L$2:$Q$2)/10^9),0)</f>
        <v>-0.1428668594</v>
      </c>
      <c r="V1254" s="160">
        <f>IF($S$1129&gt;0,IPMT('Assumptions (Nuclear)'!$V$7,Model!Z$1,'Assumptions (Nuclear)'!$V$10,'Assumptions (Nuclear)'!$V$5*Model!$S$1129*AVERAGE('Assumptions (Nuclear)'!$L$2:$Q$2)/10^9),0)</f>
        <v>-0.1346720872</v>
      </c>
      <c r="W1254" s="160">
        <f>IF($S$1129&gt;0,IPMT('Assumptions (Nuclear)'!$V$7,Model!AA$1,'Assumptions (Nuclear)'!$V$10,'Assumptions (Nuclear)'!$V$5*Model!$S$1129*AVERAGE('Assumptions (Nuclear)'!$L$2:$Q$2)/10^9),0)</f>
        <v>-0.1260880633</v>
      </c>
      <c r="X1254" s="160">
        <f>IF($S$1129&gt;0,IPMT('Assumptions (Nuclear)'!$V$7,Model!AB$1,'Assumptions (Nuclear)'!$V$10,'Assumptions (Nuclear)'!$V$5*Model!$S$1129*AVERAGE('Assumptions (Nuclear)'!$L$2:$Q$2)/10^9),0)</f>
        <v>-0.1170962983</v>
      </c>
      <c r="Y1254" s="160">
        <f>IF($S$1129&gt;0,IPMT('Assumptions (Nuclear)'!$V$7,Model!AC$1,'Assumptions (Nuclear)'!$V$10,'Assumptions (Nuclear)'!$V$5*Model!$S$1129*AVERAGE('Assumptions (Nuclear)'!$L$2:$Q$2)/10^9),0)</f>
        <v>-0.1076774244</v>
      </c>
      <c r="Z1254" s="160">
        <f>IF($S$1129&gt;0,IPMT('Assumptions (Nuclear)'!$V$7,Model!AD$1,'Assumptions (Nuclear)'!$V$10,'Assumptions (Nuclear)'!$V$5*Model!$S$1129*AVERAGE('Assumptions (Nuclear)'!$L$2:$Q$2)/10^9),0)</f>
        <v>-0.09781115402</v>
      </c>
      <c r="AA1254" s="160">
        <f>IF($S$1129&gt;0,IPMT('Assumptions (Nuclear)'!$V$7,Model!AE$1,'Assumptions (Nuclear)'!$V$10,'Assumptions (Nuclear)'!$V$5*Model!$S$1129*AVERAGE('Assumptions (Nuclear)'!$L$2:$Q$2)/10^9),0)</f>
        <v>-0.0874762358</v>
      </c>
      <c r="AB1254" s="160">
        <f>IF($S$1129&gt;0,IPMT('Assumptions (Nuclear)'!$V$7,Model!AF$1,'Assumptions (Nuclear)'!$V$10,'Assumptions (Nuclear)'!$V$5*Model!$S$1129*AVERAGE('Assumptions (Nuclear)'!$L$2:$Q$2)/10^9),0)</f>
        <v>-0.07665040896</v>
      </c>
      <c r="AC1254" s="160">
        <f>IF($S$1129&gt;0,IPMT('Assumptions (Nuclear)'!$V$7,Model!AG$1,'Assumptions (Nuclear)'!$V$10,'Assumptions (Nuclear)'!$V$5*Model!$S$1129*AVERAGE('Assumptions (Nuclear)'!$L$2:$Q$2)/10^9),0)</f>
        <v>-0.06531035534</v>
      </c>
      <c r="AD1254" s="160">
        <f>IF($S$1129&gt;0,IPMT('Assumptions (Nuclear)'!$V$7,Model!AH$1,'Assumptions (Nuclear)'!$V$10,'Assumptions (Nuclear)'!$V$5*Model!$S$1129*AVERAGE('Assumptions (Nuclear)'!$L$2:$Q$2)/10^9),0)</f>
        <v>-0.05343164918</v>
      </c>
      <c r="AE1254" s="160">
        <f>IF($S$1129&gt;0,IPMT('Assumptions (Nuclear)'!$V$7,Model!AI$1,'Assumptions (Nuclear)'!$V$10,'Assumptions (Nuclear)'!$V$5*Model!$S$1129*AVERAGE('Assumptions (Nuclear)'!$L$2:$Q$2)/10^9),0)</f>
        <v>-0.04098870447</v>
      </c>
      <c r="AF1254" s="160">
        <f>IF($S$1129&gt;0,IPMT('Assumptions (Nuclear)'!$V$7,Model!AJ$1,'Assumptions (Nuclear)'!$V$10,'Assumptions (Nuclear)'!$V$5*Model!$S$1129*AVERAGE('Assumptions (Nuclear)'!$L$2:$Q$2)/10^9),0)</f>
        <v>-0.02795471989</v>
      </c>
      <c r="AG1254" s="160">
        <f>IF($S$1129&gt;0,IPMT('Assumptions (Nuclear)'!$V$7,Model!AK$1,'Assumptions (Nuclear)'!$V$10,'Assumptions (Nuclear)'!$V$5*Model!$S$1129*AVERAGE('Assumptions (Nuclear)'!$L$2:$Q$2)/10^9),0)</f>
        <v>-0.01430162104</v>
      </c>
      <c r="AH1254" s="160"/>
      <c r="AI1254" s="160"/>
      <c r="AJ1254" s="160"/>
      <c r="AK1254" s="160"/>
      <c r="AL1254" s="160"/>
      <c r="AM1254" s="160"/>
      <c r="AN1254" s="160"/>
      <c r="AO1254" s="160"/>
      <c r="AP1254" s="160"/>
      <c r="AQ1254" s="160"/>
      <c r="AU1254" s="95"/>
      <c r="AV1254" s="95"/>
      <c r="AW1254" s="95"/>
      <c r="AX1254" s="95"/>
      <c r="AY1254" s="95"/>
      <c r="AZ1254" s="95"/>
      <c r="BA1254" s="95"/>
    </row>
    <row r="1255" ht="15.75" hidden="1" customHeight="1" outlineLevel="1">
      <c r="A1255" s="262"/>
      <c r="B1255" s="38"/>
      <c r="C1255" s="160"/>
      <c r="D1255" s="160"/>
      <c r="E1255" s="160"/>
      <c r="F1255" s="160"/>
      <c r="G1255" s="160"/>
      <c r="H1255" s="160"/>
      <c r="I1255" s="160"/>
      <c r="J1255" s="160"/>
      <c r="K1255" s="160"/>
      <c r="L1255" s="160"/>
      <c r="M1255" s="160"/>
      <c r="N1255" s="160"/>
      <c r="O1255" s="160"/>
      <c r="P1255" s="179"/>
      <c r="Q1255" s="160"/>
      <c r="R1255" s="177"/>
      <c r="S1255" s="177"/>
      <c r="T1255" s="160">
        <f>IF($T$1129&gt;0,IPMT('Assumptions (Nuclear)'!$V$7,Model!W$1,'Assumptions (Nuclear)'!$V$10,'Assumptions (Nuclear)'!$V$5*Model!$T$1129*AVERAGE('Assumptions (Nuclear)'!$M$2:$R$2)/10^9),0)</f>
        <v>0</v>
      </c>
      <c r="U1255" s="160">
        <f>IF($T$1129&gt;0,IPMT('Assumptions (Nuclear)'!$V$7,Model!X$1,'Assumptions (Nuclear)'!$V$10,'Assumptions (Nuclear)'!$V$5*Model!$T$1129*AVERAGE('Assumptions (Nuclear)'!$M$2:$R$2)/10^9),0)</f>
        <v>0</v>
      </c>
      <c r="V1255" s="160">
        <f>IF($T$1129&gt;0,IPMT('Assumptions (Nuclear)'!$V$7,Model!Y$1,'Assumptions (Nuclear)'!$V$10,'Assumptions (Nuclear)'!$V$5*Model!$T$1129*AVERAGE('Assumptions (Nuclear)'!$M$2:$R$2)/10^9),0)</f>
        <v>0</v>
      </c>
      <c r="W1255" s="160">
        <f>IF($T$1129&gt;0,IPMT('Assumptions (Nuclear)'!$V$7,Model!Z$1,'Assumptions (Nuclear)'!$V$10,'Assumptions (Nuclear)'!$V$5*Model!$T$1129*AVERAGE('Assumptions (Nuclear)'!$M$2:$R$2)/10^9),0)</f>
        <v>0</v>
      </c>
      <c r="X1255" s="160">
        <f>IF($T$1129&gt;0,IPMT('Assumptions (Nuclear)'!$V$7,Model!AA$1,'Assumptions (Nuclear)'!$V$10,'Assumptions (Nuclear)'!$V$5*Model!$T$1129*AVERAGE('Assumptions (Nuclear)'!$M$2:$R$2)/10^9),0)</f>
        <v>0</v>
      </c>
      <c r="Y1255" s="160">
        <f>IF($T$1129&gt;0,IPMT('Assumptions (Nuclear)'!$V$7,Model!AB$1,'Assumptions (Nuclear)'!$V$10,'Assumptions (Nuclear)'!$V$5*Model!$T$1129*AVERAGE('Assumptions (Nuclear)'!$M$2:$R$2)/10^9),0)</f>
        <v>0</v>
      </c>
      <c r="Z1255" s="160">
        <f>IF($T$1129&gt;0,IPMT('Assumptions (Nuclear)'!$V$7,Model!AC$1,'Assumptions (Nuclear)'!$V$10,'Assumptions (Nuclear)'!$V$5*Model!$T$1129*AVERAGE('Assumptions (Nuclear)'!$M$2:$R$2)/10^9),0)</f>
        <v>0</v>
      </c>
      <c r="AA1255" s="160">
        <f>IF($T$1129&gt;0,IPMT('Assumptions (Nuclear)'!$V$7,Model!AD$1,'Assumptions (Nuclear)'!$V$10,'Assumptions (Nuclear)'!$V$5*Model!$T$1129*AVERAGE('Assumptions (Nuclear)'!$M$2:$R$2)/10^9),0)</f>
        <v>0</v>
      </c>
      <c r="AB1255" s="160">
        <f>IF($T$1129&gt;0,IPMT('Assumptions (Nuclear)'!$V$7,Model!AE$1,'Assumptions (Nuclear)'!$V$10,'Assumptions (Nuclear)'!$V$5*Model!$T$1129*AVERAGE('Assumptions (Nuclear)'!$M$2:$R$2)/10^9),0)</f>
        <v>0</v>
      </c>
      <c r="AC1255" s="160">
        <f>IF($T$1129&gt;0,IPMT('Assumptions (Nuclear)'!$V$7,Model!AF$1,'Assumptions (Nuclear)'!$V$10,'Assumptions (Nuclear)'!$V$5*Model!$T$1129*AVERAGE('Assumptions (Nuclear)'!$M$2:$R$2)/10^9),0)</f>
        <v>0</v>
      </c>
      <c r="AD1255" s="160">
        <f>IF($T$1129&gt;0,IPMT('Assumptions (Nuclear)'!$V$7,Model!AG$1,'Assumptions (Nuclear)'!$V$10,'Assumptions (Nuclear)'!$V$5*Model!$T$1129*AVERAGE('Assumptions (Nuclear)'!$M$2:$R$2)/10^9),0)</f>
        <v>0</v>
      </c>
      <c r="AE1255" s="160">
        <f>IF($T$1129&gt;0,IPMT('Assumptions (Nuclear)'!$V$7,Model!AH$1,'Assumptions (Nuclear)'!$V$10,'Assumptions (Nuclear)'!$V$5*Model!$T$1129*AVERAGE('Assumptions (Nuclear)'!$M$2:$R$2)/10^9),0)</f>
        <v>0</v>
      </c>
      <c r="AF1255" s="160">
        <f>IF($T$1129&gt;0,IPMT('Assumptions (Nuclear)'!$V$7,Model!AI$1,'Assumptions (Nuclear)'!$V$10,'Assumptions (Nuclear)'!$V$5*Model!$T$1129*AVERAGE('Assumptions (Nuclear)'!$M$2:$R$2)/10^9),0)</f>
        <v>0</v>
      </c>
      <c r="AG1255" s="160">
        <f>IF($T$1129&gt;0,IPMT('Assumptions (Nuclear)'!$V$7,Model!AJ$1,'Assumptions (Nuclear)'!$V$10,'Assumptions (Nuclear)'!$V$5*Model!$T$1129*AVERAGE('Assumptions (Nuclear)'!$M$2:$R$2)/10^9),0)</f>
        <v>0</v>
      </c>
      <c r="AH1255" s="160">
        <f>IF($T$1129&gt;0,IPMT('Assumptions (Nuclear)'!$V$7,Model!AK$1,'Assumptions (Nuclear)'!$V$10,'Assumptions (Nuclear)'!$V$5*Model!$T$1129*AVERAGE('Assumptions (Nuclear)'!$M$2:$R$2)/10^9),0)</f>
        <v>0</v>
      </c>
      <c r="AI1255" s="160"/>
      <c r="AJ1255" s="160"/>
      <c r="AK1255" s="160"/>
      <c r="AL1255" s="160"/>
      <c r="AM1255" s="160"/>
      <c r="AN1255" s="160"/>
      <c r="AO1255" s="160"/>
      <c r="AP1255" s="160"/>
      <c r="AQ1255" s="160"/>
      <c r="AR1255" s="160"/>
      <c r="AU1255" s="95"/>
      <c r="AV1255" s="95"/>
      <c r="AW1255" s="95"/>
      <c r="AX1255" s="95"/>
      <c r="AY1255" s="95"/>
      <c r="AZ1255" s="95"/>
      <c r="BA1255" s="95"/>
    </row>
    <row r="1256" ht="15.75" hidden="1" customHeight="1" outlineLevel="1">
      <c r="A1256" s="262"/>
      <c r="B1256" s="38"/>
      <c r="C1256" s="160"/>
      <c r="D1256" s="160"/>
      <c r="E1256" s="160"/>
      <c r="F1256" s="160"/>
      <c r="G1256" s="160"/>
      <c r="H1256" s="160"/>
      <c r="I1256" s="160"/>
      <c r="J1256" s="160"/>
      <c r="K1256" s="160"/>
      <c r="L1256" s="160"/>
      <c r="M1256" s="160"/>
      <c r="N1256" s="160"/>
      <c r="O1256" s="160"/>
      <c r="P1256" s="179"/>
      <c r="Q1256" s="160"/>
      <c r="R1256" s="177"/>
      <c r="S1256" s="177"/>
      <c r="T1256" s="177"/>
      <c r="U1256" s="160">
        <f>IF($U$1129&gt;0,IPMT('Assumptions (Nuclear)'!$V$7,Model!W$1,'Assumptions (Nuclear)'!$V$10,'Assumptions (Nuclear)'!$V$5*Model!$U$1129*AVERAGE('Assumptions (Nuclear)'!$N$2:$S$2)/10^9),0)</f>
        <v>0</v>
      </c>
      <c r="V1256" s="160">
        <f>IF($U$1129&gt;0,IPMT('Assumptions (Nuclear)'!$V$7,Model!X$1,'Assumptions (Nuclear)'!$V$10,'Assumptions (Nuclear)'!$V$5*Model!$U$1129*AVERAGE('Assumptions (Nuclear)'!$N$2:$S$2)/10^9),0)</f>
        <v>0</v>
      </c>
      <c r="W1256" s="160">
        <f>IF($U$1129&gt;0,IPMT('Assumptions (Nuclear)'!$V$7,Model!Y$1,'Assumptions (Nuclear)'!$V$10,'Assumptions (Nuclear)'!$V$5*Model!$U$1129*AVERAGE('Assumptions (Nuclear)'!$N$2:$S$2)/10^9),0)</f>
        <v>0</v>
      </c>
      <c r="X1256" s="160">
        <f>IF($U$1129&gt;0,IPMT('Assumptions (Nuclear)'!$V$7,Model!Z$1,'Assumptions (Nuclear)'!$V$10,'Assumptions (Nuclear)'!$V$5*Model!$U$1129*AVERAGE('Assumptions (Nuclear)'!$N$2:$S$2)/10^9),0)</f>
        <v>0</v>
      </c>
      <c r="Y1256" s="160">
        <f>IF($U$1129&gt;0,IPMT('Assumptions (Nuclear)'!$V$7,Model!AA$1,'Assumptions (Nuclear)'!$V$10,'Assumptions (Nuclear)'!$V$5*Model!$U$1129*AVERAGE('Assumptions (Nuclear)'!$N$2:$S$2)/10^9),0)</f>
        <v>0</v>
      </c>
      <c r="Z1256" s="160">
        <f>IF($U$1129&gt;0,IPMT('Assumptions (Nuclear)'!$V$7,Model!AB$1,'Assumptions (Nuclear)'!$V$10,'Assumptions (Nuclear)'!$V$5*Model!$U$1129*AVERAGE('Assumptions (Nuclear)'!$N$2:$S$2)/10^9),0)</f>
        <v>0</v>
      </c>
      <c r="AA1256" s="160">
        <f>IF($U$1129&gt;0,IPMT('Assumptions (Nuclear)'!$V$7,Model!AC$1,'Assumptions (Nuclear)'!$V$10,'Assumptions (Nuclear)'!$V$5*Model!$U$1129*AVERAGE('Assumptions (Nuclear)'!$N$2:$S$2)/10^9),0)</f>
        <v>0</v>
      </c>
      <c r="AB1256" s="160">
        <f>IF($U$1129&gt;0,IPMT('Assumptions (Nuclear)'!$V$7,Model!AD$1,'Assumptions (Nuclear)'!$V$10,'Assumptions (Nuclear)'!$V$5*Model!$U$1129*AVERAGE('Assumptions (Nuclear)'!$N$2:$S$2)/10^9),0)</f>
        <v>0</v>
      </c>
      <c r="AC1256" s="160">
        <f>IF($U$1129&gt;0,IPMT('Assumptions (Nuclear)'!$V$7,Model!AE$1,'Assumptions (Nuclear)'!$V$10,'Assumptions (Nuclear)'!$V$5*Model!$U$1129*AVERAGE('Assumptions (Nuclear)'!$N$2:$S$2)/10^9),0)</f>
        <v>0</v>
      </c>
      <c r="AD1256" s="160">
        <f>IF($U$1129&gt;0,IPMT('Assumptions (Nuclear)'!$V$7,Model!AF$1,'Assumptions (Nuclear)'!$V$10,'Assumptions (Nuclear)'!$V$5*Model!$U$1129*AVERAGE('Assumptions (Nuclear)'!$N$2:$S$2)/10^9),0)</f>
        <v>0</v>
      </c>
      <c r="AE1256" s="160">
        <f>IF($U$1129&gt;0,IPMT('Assumptions (Nuclear)'!$V$7,Model!AG$1,'Assumptions (Nuclear)'!$V$10,'Assumptions (Nuclear)'!$V$5*Model!$U$1129*AVERAGE('Assumptions (Nuclear)'!$N$2:$S$2)/10^9),0)</f>
        <v>0</v>
      </c>
      <c r="AF1256" s="160">
        <f>IF($U$1129&gt;0,IPMT('Assumptions (Nuclear)'!$V$7,Model!AH$1,'Assumptions (Nuclear)'!$V$10,'Assumptions (Nuclear)'!$V$5*Model!$U$1129*AVERAGE('Assumptions (Nuclear)'!$N$2:$S$2)/10^9),0)</f>
        <v>0</v>
      </c>
      <c r="AG1256" s="160">
        <f>IF($U$1129&gt;0,IPMT('Assumptions (Nuclear)'!$V$7,Model!AI$1,'Assumptions (Nuclear)'!$V$10,'Assumptions (Nuclear)'!$V$5*Model!$U$1129*AVERAGE('Assumptions (Nuclear)'!$N$2:$S$2)/10^9),0)</f>
        <v>0</v>
      </c>
      <c r="AH1256" s="160">
        <f>IF($U$1129&gt;0,IPMT('Assumptions (Nuclear)'!$V$7,Model!AJ$1,'Assumptions (Nuclear)'!$V$10,'Assumptions (Nuclear)'!$V$5*Model!$U$1129*AVERAGE('Assumptions (Nuclear)'!$N$2:$S$2)/10^9),0)</f>
        <v>0</v>
      </c>
      <c r="AI1256" s="160">
        <f>IF($U$1129&gt;0,IPMT('Assumptions (Nuclear)'!$V$7,Model!AK$1,'Assumptions (Nuclear)'!$V$10,'Assumptions (Nuclear)'!$V$5*Model!$U$1129*AVERAGE('Assumptions (Nuclear)'!$N$2:$S$2)/10^9),0)</f>
        <v>0</v>
      </c>
      <c r="AJ1256" s="160"/>
      <c r="AK1256" s="160"/>
      <c r="AL1256" s="160"/>
      <c r="AM1256" s="160"/>
      <c r="AN1256" s="160"/>
      <c r="AO1256" s="160"/>
      <c r="AP1256" s="160"/>
      <c r="AQ1256" s="160"/>
      <c r="AR1256" s="160"/>
      <c r="AS1256" s="160"/>
      <c r="AU1256" s="95"/>
      <c r="AV1256" s="95"/>
      <c r="AW1256" s="95"/>
      <c r="AX1256" s="95"/>
      <c r="AY1256" s="95"/>
      <c r="AZ1256" s="95"/>
      <c r="BA1256" s="95"/>
    </row>
    <row r="1257" ht="15.75" hidden="1" customHeight="1" outlineLevel="1">
      <c r="A1257" s="262"/>
      <c r="B1257" s="38"/>
      <c r="C1257" s="160"/>
      <c r="D1257" s="160"/>
      <c r="E1257" s="160"/>
      <c r="F1257" s="160"/>
      <c r="G1257" s="160"/>
      <c r="H1257" s="160"/>
      <c r="I1257" s="160"/>
      <c r="J1257" s="160"/>
      <c r="K1257" s="160"/>
      <c r="L1257" s="160"/>
      <c r="M1257" s="160"/>
      <c r="N1257" s="160"/>
      <c r="O1257" s="160"/>
      <c r="P1257" s="179"/>
      <c r="Q1257" s="160"/>
      <c r="R1257" s="177"/>
      <c r="S1257" s="177"/>
      <c r="T1257" s="177"/>
      <c r="U1257" s="160"/>
      <c r="V1257" s="160">
        <f>IF($V$1129&gt;0,IPMT('Assumptions (Nuclear)'!$V$7,Model!W$1,'Assumptions (Nuclear)'!$V$10,'Assumptions (Nuclear)'!$V$5*Model!$V$1129*AVERAGE('Assumptions (Nuclear)'!$O$2:$T$2)/10^9),0)</f>
        <v>0</v>
      </c>
      <c r="W1257" s="160">
        <f>IF($V$1129&gt;0,IPMT('Assumptions (Nuclear)'!$V$7,Model!X$1,'Assumptions (Nuclear)'!$V$10,'Assumptions (Nuclear)'!$V$5*Model!$V$1129*AVERAGE('Assumptions (Nuclear)'!$O$2:$T$2)/10^9),0)</f>
        <v>0</v>
      </c>
      <c r="X1257" s="160">
        <f>IF($V$1129&gt;0,IPMT('Assumptions (Nuclear)'!$V$7,Model!Y$1,'Assumptions (Nuclear)'!$V$10,'Assumptions (Nuclear)'!$V$5*Model!$V$1129*AVERAGE('Assumptions (Nuclear)'!$O$2:$T$2)/10^9),0)</f>
        <v>0</v>
      </c>
      <c r="Y1257" s="160">
        <f>IF($V$1129&gt;0,IPMT('Assumptions (Nuclear)'!$V$7,Model!Z$1,'Assumptions (Nuclear)'!$V$10,'Assumptions (Nuclear)'!$V$5*Model!$V$1129*AVERAGE('Assumptions (Nuclear)'!$O$2:$T$2)/10^9),0)</f>
        <v>0</v>
      </c>
      <c r="Z1257" s="160">
        <f>IF($V$1129&gt;0,IPMT('Assumptions (Nuclear)'!$V$7,Model!AA$1,'Assumptions (Nuclear)'!$V$10,'Assumptions (Nuclear)'!$V$5*Model!$V$1129*AVERAGE('Assumptions (Nuclear)'!$O$2:$T$2)/10^9),0)</f>
        <v>0</v>
      </c>
      <c r="AA1257" s="160">
        <f>IF($V$1129&gt;0,IPMT('Assumptions (Nuclear)'!$V$7,Model!AB$1,'Assumptions (Nuclear)'!$V$10,'Assumptions (Nuclear)'!$V$5*Model!$V$1129*AVERAGE('Assumptions (Nuclear)'!$O$2:$T$2)/10^9),0)</f>
        <v>0</v>
      </c>
      <c r="AB1257" s="160">
        <f>IF($V$1129&gt;0,IPMT('Assumptions (Nuclear)'!$V$7,Model!AC$1,'Assumptions (Nuclear)'!$V$10,'Assumptions (Nuclear)'!$V$5*Model!$V$1129*AVERAGE('Assumptions (Nuclear)'!$O$2:$T$2)/10^9),0)</f>
        <v>0</v>
      </c>
      <c r="AC1257" s="160">
        <f>IF($V$1129&gt;0,IPMT('Assumptions (Nuclear)'!$V$7,Model!AD$1,'Assumptions (Nuclear)'!$V$10,'Assumptions (Nuclear)'!$V$5*Model!$V$1129*AVERAGE('Assumptions (Nuclear)'!$O$2:$T$2)/10^9),0)</f>
        <v>0</v>
      </c>
      <c r="AD1257" s="160">
        <f>IF($V$1129&gt;0,IPMT('Assumptions (Nuclear)'!$V$7,Model!AE$1,'Assumptions (Nuclear)'!$V$10,'Assumptions (Nuclear)'!$V$5*Model!$V$1129*AVERAGE('Assumptions (Nuclear)'!$O$2:$T$2)/10^9),0)</f>
        <v>0</v>
      </c>
      <c r="AE1257" s="160">
        <f>IF($V$1129&gt;0,IPMT('Assumptions (Nuclear)'!$V$7,Model!AF$1,'Assumptions (Nuclear)'!$V$10,'Assumptions (Nuclear)'!$V$5*Model!$V$1129*AVERAGE('Assumptions (Nuclear)'!$O$2:$T$2)/10^9),0)</f>
        <v>0</v>
      </c>
      <c r="AF1257" s="160">
        <f>IF($V$1129&gt;0,IPMT('Assumptions (Nuclear)'!$V$7,Model!AG$1,'Assumptions (Nuclear)'!$V$10,'Assumptions (Nuclear)'!$V$5*Model!$V$1129*AVERAGE('Assumptions (Nuclear)'!$O$2:$T$2)/10^9),0)</f>
        <v>0</v>
      </c>
      <c r="AG1257" s="160">
        <f>IF($V$1129&gt;0,IPMT('Assumptions (Nuclear)'!$V$7,Model!AH$1,'Assumptions (Nuclear)'!$V$10,'Assumptions (Nuclear)'!$V$5*Model!$V$1129*AVERAGE('Assumptions (Nuclear)'!$O$2:$T$2)/10^9),0)</f>
        <v>0</v>
      </c>
      <c r="AH1257" s="160">
        <f>IF($V$1129&gt;0,IPMT('Assumptions (Nuclear)'!$V$7,Model!AI$1,'Assumptions (Nuclear)'!$V$10,'Assumptions (Nuclear)'!$V$5*Model!$V$1129*AVERAGE('Assumptions (Nuclear)'!$O$2:$T$2)/10^9),0)</f>
        <v>0</v>
      </c>
      <c r="AI1257" s="160">
        <f>IF($V$1129&gt;0,IPMT('Assumptions (Nuclear)'!$V$7,Model!AJ$1,'Assumptions (Nuclear)'!$V$10,'Assumptions (Nuclear)'!$V$5*Model!$V$1129*AVERAGE('Assumptions (Nuclear)'!$O$2:$T$2)/10^9),0)</f>
        <v>0</v>
      </c>
      <c r="AJ1257" s="160">
        <f>IF($V$1129&gt;0,IPMT('Assumptions (Nuclear)'!$V$7,Model!AK$1,'Assumptions (Nuclear)'!$V$10,'Assumptions (Nuclear)'!$V$5*Model!$V$1129*AVERAGE('Assumptions (Nuclear)'!$O$2:$T$2)/10^9),0)</f>
        <v>0</v>
      </c>
      <c r="AK1257" s="160"/>
      <c r="AL1257" s="160"/>
      <c r="AM1257" s="160"/>
      <c r="AN1257" s="160"/>
      <c r="AO1257" s="160"/>
      <c r="AP1257" s="160"/>
      <c r="AQ1257" s="160"/>
      <c r="AR1257" s="160"/>
      <c r="AS1257" s="160"/>
      <c r="AT1257" s="160"/>
      <c r="AU1257" s="95"/>
      <c r="AV1257" s="95"/>
      <c r="AW1257" s="95"/>
      <c r="AX1257" s="95"/>
      <c r="AY1257" s="95"/>
      <c r="AZ1257" s="95"/>
      <c r="BA1257" s="95"/>
    </row>
    <row r="1258" ht="15.75" hidden="1" customHeight="1" outlineLevel="1">
      <c r="A1258" s="262"/>
      <c r="B1258" s="38"/>
      <c r="C1258" s="174"/>
      <c r="D1258" s="174"/>
      <c r="E1258" s="174"/>
      <c r="F1258" s="174"/>
      <c r="G1258" s="174"/>
      <c r="H1258" s="174"/>
      <c r="I1258" s="174"/>
      <c r="J1258" s="174"/>
      <c r="K1258" s="174"/>
      <c r="L1258" s="174"/>
      <c r="M1258" s="174"/>
      <c r="N1258" s="174"/>
      <c r="O1258" s="174"/>
      <c r="P1258" s="174"/>
      <c r="Q1258" s="174"/>
      <c r="R1258" s="174"/>
      <c r="S1258" s="174"/>
      <c r="T1258" s="174"/>
      <c r="U1258" s="174"/>
      <c r="V1258" s="174"/>
      <c r="W1258" s="160">
        <f>IF($W$1129&gt;0,IPMT('Assumptions (Nuclear)'!$V$7,Model!W1,'Assumptions (Nuclear)'!$V$10,'Assumptions (Nuclear)'!$V$5*Model!$W$1129*average('Assumptions (Nuclear)'!$P$2:$U$2)/10^9),0)</f>
        <v>0</v>
      </c>
      <c r="X1258" s="160">
        <f>IF($W$1129&gt;0,IPMT('Assumptions (Nuclear)'!$V$7,Model!X1,'Assumptions (Nuclear)'!$V$10,'Assumptions (Nuclear)'!$V$5*Model!$W$1129*average('Assumptions (Nuclear)'!$P$2:$U$2)/10^9),0)</f>
        <v>0</v>
      </c>
      <c r="Y1258" s="160">
        <f>IF($W$1129&gt;0,IPMT('Assumptions (Nuclear)'!$V$7,Model!Y1,'Assumptions (Nuclear)'!$V$10,'Assumptions (Nuclear)'!$V$5*Model!$W$1129*average('Assumptions (Nuclear)'!$P$2:$U$2)/10^9),0)</f>
        <v>0</v>
      </c>
      <c r="Z1258" s="160">
        <f>IF($W$1129&gt;0,IPMT('Assumptions (Nuclear)'!$V$7,Model!Z1,'Assumptions (Nuclear)'!$V$10,'Assumptions (Nuclear)'!$V$5*Model!$W$1129*average('Assumptions (Nuclear)'!$P$2:$U$2)/10^9),0)</f>
        <v>0</v>
      </c>
      <c r="AA1258" s="160">
        <f>IF($W$1129&gt;0,IPMT('Assumptions (Nuclear)'!$V$7,Model!AA1,'Assumptions (Nuclear)'!$V$10,'Assumptions (Nuclear)'!$V$5*Model!$W$1129*average('Assumptions (Nuclear)'!$P$2:$U$2)/10^9),0)</f>
        <v>0</v>
      </c>
      <c r="AB1258" s="160">
        <f>IF($W$1129&gt;0,IPMT('Assumptions (Nuclear)'!$V$7,Model!AB1,'Assumptions (Nuclear)'!$V$10,'Assumptions (Nuclear)'!$V$5*Model!$W$1129*average('Assumptions (Nuclear)'!$P$2:$U$2)/10^9),0)</f>
        <v>0</v>
      </c>
      <c r="AC1258" s="160">
        <f>IF($W$1129&gt;0,IPMT('Assumptions (Nuclear)'!$V$7,Model!AC1,'Assumptions (Nuclear)'!$V$10,'Assumptions (Nuclear)'!$V$5*Model!$W$1129*average('Assumptions (Nuclear)'!$P$2:$U$2)/10^9),0)</f>
        <v>0</v>
      </c>
      <c r="AD1258" s="160">
        <f>IF($W$1129&gt;0,IPMT('Assumptions (Nuclear)'!$V$7,Model!AD1,'Assumptions (Nuclear)'!$V$10,'Assumptions (Nuclear)'!$V$5*Model!$W$1129*average('Assumptions (Nuclear)'!$P$2:$U$2)/10^9),0)</f>
        <v>0</v>
      </c>
      <c r="AE1258" s="160">
        <f>IF($W$1129&gt;0,IPMT('Assumptions (Nuclear)'!$V$7,Model!AE1,'Assumptions (Nuclear)'!$V$10,'Assumptions (Nuclear)'!$V$5*Model!$W$1129*average('Assumptions (Nuclear)'!$P$2:$U$2)/10^9),0)</f>
        <v>0</v>
      </c>
      <c r="AF1258" s="160">
        <f>IF($W$1129&gt;0,IPMT('Assumptions (Nuclear)'!$V$7,Model!AF1,'Assumptions (Nuclear)'!$V$10,'Assumptions (Nuclear)'!$V$5*Model!$W$1129*average('Assumptions (Nuclear)'!$P$2:$U$2)/10^9),0)</f>
        <v>0</v>
      </c>
      <c r="AG1258" s="160">
        <f>IF($W$1129&gt;0,IPMT('Assumptions (Nuclear)'!$V$7,Model!AG1,'Assumptions (Nuclear)'!$V$10,'Assumptions (Nuclear)'!$V$5*Model!$W$1129*average('Assumptions (Nuclear)'!$P$2:$U$2)/10^9),0)</f>
        <v>0</v>
      </c>
      <c r="AH1258" s="160">
        <f>IF($W$1129&gt;0,IPMT('Assumptions (Nuclear)'!$V$7,Model!AH1,'Assumptions (Nuclear)'!$V$10,'Assumptions (Nuclear)'!$V$5*Model!$W$1129*average('Assumptions (Nuclear)'!$P$2:$U$2)/10^9),0)</f>
        <v>0</v>
      </c>
      <c r="AI1258" s="160">
        <f>IF($W$1129&gt;0,IPMT('Assumptions (Nuclear)'!$V$7,Model!AI1,'Assumptions (Nuclear)'!$V$10,'Assumptions (Nuclear)'!$V$5*Model!$W$1129*average('Assumptions (Nuclear)'!$P$2:$U$2)/10^9),0)</f>
        <v>0</v>
      </c>
      <c r="AJ1258" s="160">
        <f>IF($W$1129&gt;0,IPMT('Assumptions (Nuclear)'!$V$7,Model!AJ1,'Assumptions (Nuclear)'!$V$10,'Assumptions (Nuclear)'!$V$5*Model!$W$1129*average('Assumptions (Nuclear)'!$P$2:$U$2)/10^9),0)</f>
        <v>0</v>
      </c>
      <c r="AK1258" s="160">
        <f>IF($W$1129&gt;0,IPMT('Assumptions (Nuclear)'!$V$7,Model!AK1,'Assumptions (Nuclear)'!$V$10,'Assumptions (Nuclear)'!$V$5*Model!$W$1129*average('Assumptions (Nuclear)'!$P$2:$U$2)/10^9),0)</f>
        <v>0</v>
      </c>
      <c r="AL1258" s="160"/>
      <c r="AM1258" s="160"/>
      <c r="AN1258" s="160"/>
      <c r="AO1258" s="160"/>
      <c r="AP1258" s="160"/>
      <c r="AQ1258" s="160"/>
      <c r="AR1258" s="160"/>
      <c r="AS1258" s="160"/>
      <c r="AT1258" s="160"/>
      <c r="AU1258" s="160"/>
      <c r="AV1258" s="160"/>
      <c r="AW1258" s="160"/>
      <c r="AX1258" s="160"/>
      <c r="AY1258" s="160"/>
      <c r="AZ1258" s="160"/>
      <c r="BA1258" s="160"/>
    </row>
    <row r="1259" ht="15.75" hidden="1" customHeight="1" outlineLevel="1">
      <c r="A1259" s="262"/>
      <c r="B1259" s="38"/>
      <c r="C1259" s="174"/>
      <c r="D1259" s="174"/>
      <c r="E1259" s="174"/>
      <c r="F1259" s="174"/>
      <c r="G1259" s="174"/>
      <c r="H1259" s="174"/>
      <c r="I1259" s="174"/>
      <c r="J1259" s="174"/>
      <c r="K1259" s="174"/>
      <c r="L1259" s="174"/>
      <c r="M1259" s="174"/>
      <c r="N1259" s="174"/>
      <c r="O1259" s="174"/>
      <c r="P1259" s="174"/>
      <c r="Q1259" s="174"/>
      <c r="R1259" s="174"/>
      <c r="S1259" s="174"/>
      <c r="T1259" s="174"/>
      <c r="U1259" s="174"/>
      <c r="V1259" s="174"/>
      <c r="W1259" s="160"/>
      <c r="X1259" s="160">
        <f>IF($X$1129&gt;0,IPMT('Assumptions (Nuclear)'!$V$7,Model!W1,'Assumptions (Nuclear)'!$V$10,'Assumptions (Nuclear)'!$V$5*Model!$X$1129*average('Assumptions (Nuclear)'!$Q$2:$V$2)/10^9),0)</f>
        <v>-0.01156794269</v>
      </c>
      <c r="Y1259" s="160">
        <f>IF($X$1129&gt;0,IPMT('Assumptions (Nuclear)'!$V$7,Model!X1,'Assumptions (Nuclear)'!$V$10,'Assumptions (Nuclear)'!$V$5*Model!$X$1129*average('Assumptions (Nuclear)'!$Q$2:$V$2)/10^9),0)</f>
        <v>-0.01102169131</v>
      </c>
      <c r="Z1259" s="160">
        <f>IF($X$1129&gt;0,IPMT('Assumptions (Nuclear)'!$V$7,Model!Y1,'Assumptions (Nuclear)'!$V$10,'Assumptions (Nuclear)'!$V$5*Model!$X$1129*average('Assumptions (Nuclear)'!$Q$2:$V$2)/10^9),0)</f>
        <v>-0.010449493</v>
      </c>
      <c r="AA1259" s="160">
        <f>IF($X$1129&gt;0,IPMT('Assumptions (Nuclear)'!$V$7,Model!Z1,'Assumptions (Nuclear)'!$V$10,'Assumptions (Nuclear)'!$V$5*Model!$X$1129*average('Assumptions (Nuclear)'!$Q$2:$V$2)/10^9),0)</f>
        <v>-0.00985011526</v>
      </c>
      <c r="AB1259" s="160">
        <f>IF($X$1129&gt;0,IPMT('Assumptions (Nuclear)'!$V$7,Model!AA1,'Assumptions (Nuclear)'!$V$10,'Assumptions (Nuclear)'!$V$5*Model!$X$1129*average('Assumptions (Nuclear)'!$Q$2:$V$2)/10^9),0)</f>
        <v>-0.00922226708</v>
      </c>
      <c r="AC1259" s="160">
        <f>IF($X$1129&gt;0,IPMT('Assumptions (Nuclear)'!$V$7,Model!AB1,'Assumptions (Nuclear)'!$V$10,'Assumptions (Nuclear)'!$V$5*Model!$X$1129*average('Assumptions (Nuclear)'!$Q$2:$V$2)/10^9),0)</f>
        <v>-0.008564596112</v>
      </c>
      <c r="AD1259" s="160">
        <f>IF($X$1129&gt;0,IPMT('Assumptions (Nuclear)'!$V$7,Model!AC1,'Assumptions (Nuclear)'!$V$10,'Assumptions (Nuclear)'!$V$5*Model!$X$1129*average('Assumptions (Nuclear)'!$Q$2:$V$2)/10^9),0)</f>
        <v>-0.007875685773</v>
      </c>
      <c r="AE1259" s="160">
        <f>IF($X$1129&gt;0,IPMT('Assumptions (Nuclear)'!$V$7,Model!AD1,'Assumptions (Nuclear)'!$V$10,'Assumptions (Nuclear)'!$V$5*Model!$X$1129*average('Assumptions (Nuclear)'!$Q$2:$V$2)/10^9),0)</f>
        <v>-0.007154052193</v>
      </c>
      <c r="AF1259" s="160">
        <f>IF($X$1129&gt;0,IPMT('Assumptions (Nuclear)'!$V$7,Model!AE1,'Assumptions (Nuclear)'!$V$10,'Assumptions (Nuclear)'!$V$5*Model!$X$1129*average('Assumptions (Nuclear)'!$Q$2:$V$2)/10^9),0)</f>
        <v>-0.006398141018</v>
      </c>
      <c r="AG1259" s="160">
        <f>IF($X$1129&gt;0,IPMT('Assumptions (Nuclear)'!$V$7,Model!AF1,'Assumptions (Nuclear)'!$V$10,'Assumptions (Nuclear)'!$V$5*Model!$X$1129*average('Assumptions (Nuclear)'!$Q$2:$V$2)/10^9),0)</f>
        <v>-0.005606324061</v>
      </c>
      <c r="AH1259" s="160">
        <f>IF($X$1129&gt;0,IPMT('Assumptions (Nuclear)'!$V$7,Model!AG1,'Assumptions (Nuclear)'!$V$10,'Assumptions (Nuclear)'!$V$5*Model!$X$1129*average('Assumptions (Nuclear)'!$Q$2:$V$2)/10^9),0)</f>
        <v>-0.0047768958</v>
      </c>
      <c r="AI1259" s="160">
        <f>IF($X$1129&gt;0,IPMT('Assumptions (Nuclear)'!$V$7,Model!AH1,'Assumptions (Nuclear)'!$V$10,'Assumptions (Nuclear)'!$V$5*Model!$X$1129*average('Assumptions (Nuclear)'!$Q$2:$V$2)/10^9),0)</f>
        <v>-0.003908069696</v>
      </c>
      <c r="AJ1259" s="160">
        <f>IF($X$1129&gt;0,IPMT('Assumptions (Nuclear)'!$V$7,Model!AI1,'Assumptions (Nuclear)'!$V$10,'Assumptions (Nuclear)'!$V$5*Model!$X$1129*average('Assumptions (Nuclear)'!$Q$2:$V$2)/10^9),0)</f>
        <v>-0.002997974352</v>
      </c>
      <c r="AK1259" s="160">
        <f>IF($X$1129&gt;0,IPMT('Assumptions (Nuclear)'!$V$7,Model!AJ1,'Assumptions (Nuclear)'!$V$10,'Assumptions (Nuclear)'!$V$5*Model!$X$1129*average('Assumptions (Nuclear)'!$Q$2:$V$2)/10^9),0)</f>
        <v>-0.002044649479</v>
      </c>
      <c r="AL1259" s="160">
        <f>IF($X$1129&gt;0,IPMT('Assumptions (Nuclear)'!$V$7,Model!AK1,'Assumptions (Nuclear)'!$V$10,'Assumptions (Nuclear)'!$V$5*Model!$X$1129*average('Assumptions (Nuclear)'!$Q$2:$V$2)/10^9),0)</f>
        <v>-0.001046041675</v>
      </c>
      <c r="AM1259" s="160"/>
      <c r="AN1259" s="160"/>
      <c r="AO1259" s="160"/>
      <c r="AP1259" s="160"/>
      <c r="AQ1259" s="160"/>
      <c r="AR1259" s="160"/>
      <c r="AS1259" s="160"/>
      <c r="AT1259" s="160"/>
      <c r="AU1259" s="160"/>
      <c r="AV1259" s="160"/>
      <c r="AW1259" s="160"/>
      <c r="AX1259" s="160"/>
      <c r="AY1259" s="160"/>
      <c r="AZ1259" s="160"/>
      <c r="BA1259" s="160"/>
    </row>
    <row r="1260" ht="15.75" hidden="1" customHeight="1" outlineLevel="1">
      <c r="A1260" s="262"/>
      <c r="B1260" s="38"/>
      <c r="C1260" s="174"/>
      <c r="D1260" s="174"/>
      <c r="E1260" s="174"/>
      <c r="F1260" s="174"/>
      <c r="G1260" s="174"/>
      <c r="H1260" s="174"/>
      <c r="I1260" s="174"/>
      <c r="J1260" s="174"/>
      <c r="K1260" s="174"/>
      <c r="L1260" s="174"/>
      <c r="M1260" s="174"/>
      <c r="N1260" s="174"/>
      <c r="O1260" s="174"/>
      <c r="P1260" s="174"/>
      <c r="Q1260" s="174"/>
      <c r="R1260" s="174"/>
      <c r="S1260" s="174"/>
      <c r="T1260" s="174"/>
      <c r="U1260" s="174"/>
      <c r="V1260" s="174"/>
      <c r="W1260" s="160"/>
      <c r="X1260" s="160"/>
      <c r="Y1260" s="160">
        <f>IF($Y$1129&gt;0,IPMT('Assumptions (Nuclear)'!$V$7,Model!W1,'Assumptions (Nuclear)'!$V$10,'Assumptions (Nuclear)'!$V$5*Model!$Y$1129*AVERAGE('Assumptions (Nuclear)'!$R$2:$W$2)/10^9),0)</f>
        <v>-0.01175359699</v>
      </c>
      <c r="Z1260" s="160">
        <f>IF($Y$1129&gt;0,IPMT('Assumptions (Nuclear)'!$V$7,Model!X1,'Assumptions (Nuclear)'!$V$10,'Assumptions (Nuclear)'!$V$5*Model!$Y$1129*AVERAGE('Assumptions (Nuclear)'!$R$2:$W$2)/10^9),0)</f>
        <v>-0.01119857881</v>
      </c>
      <c r="AA1260" s="160">
        <f>IF($Y$1129&gt;0,IPMT('Assumptions (Nuclear)'!$V$7,Model!Y1,'Assumptions (Nuclear)'!$V$10,'Assumptions (Nuclear)'!$V$5*Model!$Y$1129*AVERAGE('Assumptions (Nuclear)'!$R$2:$W$2)/10^9),0)</f>
        <v>-0.01061719726</v>
      </c>
      <c r="AB1260" s="160">
        <f>IF($Y$1129&gt;0,IPMT('Assumptions (Nuclear)'!$V$7,Model!Z1,'Assumptions (Nuclear)'!$V$10,'Assumptions (Nuclear)'!$V$5*Model!$Y$1129*AVERAGE('Assumptions (Nuclear)'!$R$2:$W$2)/10^9),0)</f>
        <v>-0.01000820009</v>
      </c>
      <c r="AC1260" s="160">
        <f>IF($Y$1129&gt;0,IPMT('Assumptions (Nuclear)'!$V$7,Model!AA1,'Assumptions (Nuclear)'!$V$10,'Assumptions (Nuclear)'!$V$5*Model!$Y$1129*AVERAGE('Assumptions (Nuclear)'!$R$2:$W$2)/10^9),0)</f>
        <v>-0.009370275554</v>
      </c>
      <c r="AD1260" s="160">
        <f>IF($Y$1129&gt;0,IPMT('Assumptions (Nuclear)'!$V$7,Model!AB1,'Assumptions (Nuclear)'!$V$10,'Assumptions (Nuclear)'!$V$5*Model!$Y$1129*AVERAGE('Assumptions (Nuclear)'!$R$2:$W$2)/10^9),0)</f>
        <v>-0.008702049602</v>
      </c>
      <c r="AE1260" s="160">
        <f>IF($Y$1129&gt;0,IPMT('Assumptions (Nuclear)'!$V$7,Model!AC1,'Assumptions (Nuclear)'!$V$10,'Assumptions (Nuclear)'!$V$5*Model!$Y$1129*AVERAGE('Assumptions (Nuclear)'!$R$2:$W$2)/10^9),0)</f>
        <v>-0.008002082918</v>
      </c>
      <c r="AF1260" s="160">
        <f>IF($Y$1129&gt;0,IPMT('Assumptions (Nuclear)'!$V$7,Model!AD1,'Assumptions (Nuclear)'!$V$10,'Assumptions (Nuclear)'!$V$5*Model!$Y$1129*AVERAGE('Assumptions (Nuclear)'!$R$2:$W$2)/10^9),0)</f>
        <v>-0.007268867816</v>
      </c>
      <c r="AG1260" s="160">
        <f>IF($Y$1129&gt;0,IPMT('Assumptions (Nuclear)'!$V$7,Model!AE1,'Assumptions (Nuclear)'!$V$10,'Assumptions (Nuclear)'!$V$5*Model!$Y$1129*AVERAGE('Assumptions (Nuclear)'!$R$2:$W$2)/10^9),0)</f>
        <v>-0.006500824997</v>
      </c>
      <c r="AH1260" s="160">
        <f>IF($Y$1129&gt;0,IPMT('Assumptions (Nuclear)'!$V$7,Model!AF1,'Assumptions (Nuclear)'!$V$10,'Assumptions (Nuclear)'!$V$5*Model!$Y$1129*AVERAGE('Assumptions (Nuclear)'!$R$2:$W$2)/10^9),0)</f>
        <v>-0.005696300144</v>
      </c>
      <c r="AI1260" s="160">
        <f>IF($Y$1129&gt;0,IPMT('Assumptions (Nuclear)'!$V$7,Model!AG1,'Assumptions (Nuclear)'!$V$10,'Assumptions (Nuclear)'!$V$5*Model!$Y$1129*AVERAGE('Assumptions (Nuclear)'!$R$2:$W$2)/10^9),0)</f>
        <v>-0.00485356036</v>
      </c>
      <c r="AJ1260" s="160">
        <f>IF($Y$1129&gt;0,IPMT('Assumptions (Nuclear)'!$V$7,Model!AH1,'Assumptions (Nuclear)'!$V$10,'Assumptions (Nuclear)'!$V$5*Model!$Y$1129*AVERAGE('Assumptions (Nuclear)'!$R$2:$W$2)/10^9),0)</f>
        <v>-0.003970790437</v>
      </c>
      <c r="AK1260" s="160">
        <f>IF($Y$1129&gt;0,IPMT('Assumptions (Nuclear)'!$V$7,Model!AI1,'Assumptions (Nuclear)'!$V$10,'Assumptions (Nuclear)'!$V$5*Model!$Y$1129*AVERAGE('Assumptions (Nuclear)'!$R$2:$W$2)/10^9),0)</f>
        <v>-0.003046088943</v>
      </c>
      <c r="AL1260" s="160">
        <f>IF($Y$1129&gt;0,IPMT('Assumptions (Nuclear)'!$V$7,Model!AJ1,'Assumptions (Nuclear)'!$V$10,'Assumptions (Nuclear)'!$V$5*Model!$Y$1129*AVERAGE('Assumptions (Nuclear)'!$R$2:$W$2)/10^9),0)</f>
        <v>-0.002077464127</v>
      </c>
      <c r="AM1260" s="160">
        <f>IF($Y$1129&gt;0,IPMT('Assumptions (Nuclear)'!$V$7,Model!AK1,'Assumptions (Nuclear)'!$V$10,'Assumptions (Nuclear)'!$V$5*Model!$Y$1129*AVERAGE('Assumptions (Nuclear)'!$R$2:$W$2)/10^9),0)</f>
        <v>-0.001062829633</v>
      </c>
      <c r="AN1260" s="160"/>
      <c r="AO1260" s="160"/>
      <c r="AP1260" s="160"/>
      <c r="AQ1260" s="160"/>
      <c r="AR1260" s="160"/>
      <c r="AS1260" s="160"/>
      <c r="AT1260" s="160"/>
      <c r="AU1260" s="160"/>
      <c r="AV1260" s="160"/>
      <c r="AW1260" s="160"/>
      <c r="AX1260" s="160"/>
      <c r="AY1260" s="160"/>
      <c r="AZ1260" s="160"/>
      <c r="BA1260" s="160"/>
    </row>
    <row r="1261" ht="15.75" hidden="1" customHeight="1" outlineLevel="1">
      <c r="A1261" s="262"/>
      <c r="B1261" s="38"/>
      <c r="C1261" s="174"/>
      <c r="D1261" s="174"/>
      <c r="E1261" s="174"/>
      <c r="F1261" s="174"/>
      <c r="G1261" s="174"/>
      <c r="H1261" s="174"/>
      <c r="I1261" s="174"/>
      <c r="J1261" s="174"/>
      <c r="K1261" s="174"/>
      <c r="L1261" s="174"/>
      <c r="M1261" s="174"/>
      <c r="N1261" s="174"/>
      <c r="O1261" s="174"/>
      <c r="P1261" s="174"/>
      <c r="Q1261" s="174"/>
      <c r="R1261" s="174"/>
      <c r="S1261" s="174"/>
      <c r="T1261" s="174"/>
      <c r="U1261" s="174"/>
      <c r="V1261" s="174"/>
      <c r="W1261" s="160"/>
      <c r="X1261" s="160"/>
      <c r="Y1261" s="160"/>
      <c r="Z1261" s="160">
        <f>IF($Z$1129&gt;0,IPMT('Assumptions (Nuclear)'!$V$7,Model!W1,'Assumptions (Nuclear)'!$V$10,'Assumptions (Nuclear)'!$V$5*Model!$Z$1129*AVERAGE('Assumptions (Nuclear)'!$S$2:$X$2)/10^9),0)</f>
        <v>-0.01194896533</v>
      </c>
      <c r="AA1261" s="160">
        <f>IF($Z$1129&gt;0,IPMT('Assumptions (Nuclear)'!$V$7,Model!X1,'Assumptions (Nuclear)'!$V$10,'Assumptions (Nuclear)'!$V$5*Model!$Z$1129*AVERAGE('Assumptions (Nuclear)'!$S$2:$X$2)/10^9),0)</f>
        <v>-0.01138472163</v>
      </c>
      <c r="AB1261" s="160">
        <f>IF($Z$1129&gt;0,IPMT('Assumptions (Nuclear)'!$V$7,Model!Y1,'Assumptions (Nuclear)'!$V$10,'Assumptions (Nuclear)'!$V$5*Model!$Z$1129*AVERAGE('Assumptions (Nuclear)'!$S$2:$X$2)/10^9),0)</f>
        <v>-0.01079367636</v>
      </c>
      <c r="AC1261" s="160">
        <f>IF($Z$1129&gt;0,IPMT('Assumptions (Nuclear)'!$V$7,Model!Z1,'Assumptions (Nuclear)'!$V$10,'Assumptions (Nuclear)'!$V$5*Model!$Z$1129*AVERAGE('Assumptions (Nuclear)'!$S$2:$X$2)/10^9),0)</f>
        <v>-0.01017455643</v>
      </c>
      <c r="AD1261" s="160">
        <f>IF($Z$1129&gt;0,IPMT('Assumptions (Nuclear)'!$V$7,Model!AA1,'Assumptions (Nuclear)'!$V$10,'Assumptions (Nuclear)'!$V$5*Model!$Z$1129*AVERAGE('Assumptions (Nuclear)'!$S$2:$X$2)/10^9),0)</f>
        <v>-0.009526028314</v>
      </c>
      <c r="AE1261" s="160">
        <f>IF($Z$1129&gt;0,IPMT('Assumptions (Nuclear)'!$V$7,Model!AB1,'Assumptions (Nuclear)'!$V$10,'Assumptions (Nuclear)'!$V$5*Model!$Z$1129*AVERAGE('Assumptions (Nuclear)'!$S$2:$X$2)/10^9),0)</f>
        <v>-0.008846695108</v>
      </c>
      <c r="AF1261" s="160">
        <f>IF($Z$1129&gt;0,IPMT('Assumptions (Nuclear)'!$V$7,Model!AC1,'Assumptions (Nuclear)'!$V$10,'Assumptions (Nuclear)'!$V$5*Model!$Z$1129*AVERAGE('Assumptions (Nuclear)'!$S$2:$X$2)/10^9),0)</f>
        <v>-0.008135093574</v>
      </c>
      <c r="AG1261" s="160">
        <f>IF($Z$1129&gt;0,IPMT('Assumptions (Nuclear)'!$V$7,Model!AD1,'Assumptions (Nuclear)'!$V$10,'Assumptions (Nuclear)'!$V$5*Model!$Z$1129*AVERAGE('Assumptions (Nuclear)'!$S$2:$X$2)/10^9),0)</f>
        <v>-0.007389690968</v>
      </c>
      <c r="AH1261" s="160">
        <f>IF($Z$1129&gt;0,IPMT('Assumptions (Nuclear)'!$V$7,Model!AE1,'Assumptions (Nuclear)'!$V$10,'Assumptions (Nuclear)'!$V$5*Model!$Z$1129*AVERAGE('Assumptions (Nuclear)'!$S$2:$X$2)/10^9),0)</f>
        <v>-0.006608881738</v>
      </c>
      <c r="AI1261" s="160">
        <f>IF($Z$1129&gt;0,IPMT('Assumptions (Nuclear)'!$V$7,Model!AF1,'Assumptions (Nuclear)'!$V$10,'Assumptions (Nuclear)'!$V$5*Model!$Z$1129*AVERAGE('Assumptions (Nuclear)'!$S$2:$X$2)/10^9),0)</f>
        <v>-0.005790984069</v>
      </c>
      <c r="AJ1261" s="160">
        <f>IF($Z$1129&gt;0,IPMT('Assumptions (Nuclear)'!$V$7,Model!AG1,'Assumptions (Nuclear)'!$V$10,'Assumptions (Nuclear)'!$V$5*Model!$Z$1129*AVERAGE('Assumptions (Nuclear)'!$S$2:$X$2)/10^9),0)</f>
        <v>-0.004934236261</v>
      </c>
      <c r="AK1261" s="160">
        <f>IF($Z$1129&gt;0,IPMT('Assumptions (Nuclear)'!$V$7,Model!AH1,'Assumptions (Nuclear)'!$V$10,'Assumptions (Nuclear)'!$V$5*Model!$Z$1129*AVERAGE('Assumptions (Nuclear)'!$S$2:$X$2)/10^9),0)</f>
        <v>-0.004036792933</v>
      </c>
      <c r="AL1261" s="160">
        <f>IF($Z$1129&gt;0,IPMT('Assumptions (Nuclear)'!$V$7,Model!AI1,'Assumptions (Nuclear)'!$V$10,'Assumptions (Nuclear)'!$V$5*Model!$Z$1129*AVERAGE('Assumptions (Nuclear)'!$S$2:$X$2)/10^9),0)</f>
        <v>-0.003096721046</v>
      </c>
      <c r="AM1261" s="160">
        <f>IF($Z$1129&gt;0,IPMT('Assumptions (Nuclear)'!$V$7,Model!AJ1,'Assumptions (Nuclear)'!$V$10,'Assumptions (Nuclear)'!$V$5*Model!$Z$1129*AVERAGE('Assumptions (Nuclear)'!$S$2:$X$2)/10^9),0)</f>
        <v>-0.002111995745</v>
      </c>
      <c r="AN1261" s="160">
        <f>IF($Z$1129&gt;0,IPMT('Assumptions (Nuclear)'!$V$7,Model!AK1,'Assumptions (Nuclear)'!$V$10,'Assumptions (Nuclear)'!$V$5*Model!$Z$1129*AVERAGE('Assumptions (Nuclear)'!$S$2:$X$2)/10^9),0)</f>
        <v>-0.001080495991</v>
      </c>
      <c r="AO1261" s="160"/>
      <c r="AP1261" s="160"/>
      <c r="AQ1261" s="160"/>
      <c r="AR1261" s="160"/>
      <c r="AS1261" s="160"/>
      <c r="AT1261" s="160"/>
      <c r="AU1261" s="160"/>
      <c r="AV1261" s="160"/>
      <c r="AW1261" s="160"/>
      <c r="AX1261" s="160"/>
      <c r="AY1261" s="160"/>
      <c r="AZ1261" s="160"/>
      <c r="BA1261" s="160"/>
    </row>
    <row r="1262" ht="15.75" hidden="1" customHeight="1" outlineLevel="1">
      <c r="A1262" s="262"/>
      <c r="B1262" s="38"/>
      <c r="C1262" s="174"/>
      <c r="D1262" s="174"/>
      <c r="E1262" s="174"/>
      <c r="F1262" s="174"/>
      <c r="G1262" s="174"/>
      <c r="H1262" s="174"/>
      <c r="I1262" s="174"/>
      <c r="J1262" s="174"/>
      <c r="K1262" s="174"/>
      <c r="L1262" s="174"/>
      <c r="M1262" s="174"/>
      <c r="N1262" s="174"/>
      <c r="O1262" s="174"/>
      <c r="P1262" s="174"/>
      <c r="Q1262" s="174"/>
      <c r="R1262" s="174"/>
      <c r="S1262" s="174"/>
      <c r="T1262" s="174"/>
      <c r="U1262" s="174"/>
      <c r="V1262" s="174"/>
      <c r="W1262" s="160"/>
      <c r="X1262" s="160"/>
      <c r="Y1262" s="160"/>
      <c r="Z1262" s="160"/>
      <c r="AA1262" s="160">
        <f>IF($AA$1129&gt;0,IPMT('Assumptions (Nuclear)'!$V$7,Model!W1,'Assumptions (Nuclear)'!$V$10,'Assumptions (Nuclear)'!$V$5*Model!$AA$1129*AVERAGE('Assumptions (Nuclear)'!$T$2:$Y$2)/10^9),0)</f>
        <v>-0.01213833255</v>
      </c>
      <c r="AB1262" s="160">
        <f>IF($AA$1129&gt;0,IPMT('Assumptions (Nuclear)'!$V$7,Model!X1,'Assumptions (Nuclear)'!$V$10,'Assumptions (Nuclear)'!$V$5*Model!$AA$1129*AVERAGE('Assumptions (Nuclear)'!$T$2:$Y$2)/10^9),0)</f>
        <v>-0.01156514672</v>
      </c>
      <c r="AC1262" s="160">
        <f>IF($AA$1129&gt;0,IPMT('Assumptions (Nuclear)'!$V$7,Model!Y1,'Assumptions (Nuclear)'!$V$10,'Assumptions (Nuclear)'!$V$5*Model!$AA$1129*AVERAGE('Assumptions (Nuclear)'!$T$2:$Y$2)/10^9),0)</f>
        <v>-0.01096473456</v>
      </c>
      <c r="AD1262" s="160">
        <f>IF($AA$1129&gt;0,IPMT('Assumptions (Nuclear)'!$V$7,Model!Z1,'Assumptions (Nuclear)'!$V$10,'Assumptions (Nuclear)'!$V$5*Model!$AA$1129*AVERAGE('Assumptions (Nuclear)'!$T$2:$Y$2)/10^9),0)</f>
        <v>-0.01033580282</v>
      </c>
      <c r="AE1262" s="160">
        <f>IF($AA$1129&gt;0,IPMT('Assumptions (Nuclear)'!$V$7,Model!AA1,'Assumptions (Nuclear)'!$V$10,'Assumptions (Nuclear)'!$V$5*Model!$AA$1129*AVERAGE('Assumptions (Nuclear)'!$T$2:$Y$2)/10^9),0)</f>
        <v>-0.009676996826</v>
      </c>
      <c r="AF1262" s="160">
        <f>IF($AA$1129&gt;0,IPMT('Assumptions (Nuclear)'!$V$7,Model!AB1,'Assumptions (Nuclear)'!$V$10,'Assumptions (Nuclear)'!$V$5*Model!$AA$1129*AVERAGE('Assumptions (Nuclear)'!$T$2:$Y$2)/10^9),0)</f>
        <v>-0.008986897546</v>
      </c>
      <c r="AG1262" s="160">
        <f>IF($AA$1129&gt;0,IPMT('Assumptions (Nuclear)'!$V$7,Model!AC1,'Assumptions (Nuclear)'!$V$10,'Assumptions (Nuclear)'!$V$5*Model!$AA$1129*AVERAGE('Assumptions (Nuclear)'!$T$2:$Y$2)/10^9),0)</f>
        <v>-0.00826401855</v>
      </c>
      <c r="AH1262" s="160">
        <f>IF($AA$1129&gt;0,IPMT('Assumptions (Nuclear)'!$V$7,Model!AD1,'Assumptions (Nuclear)'!$V$10,'Assumptions (Nuclear)'!$V$5*Model!$AA$1129*AVERAGE('Assumptions (Nuclear)'!$T$2:$Y$2)/10^9),0)</f>
        <v>-0.007506802802</v>
      </c>
      <c r="AI1262" s="160">
        <f>IF($AA$1129&gt;0,IPMT('Assumptions (Nuclear)'!$V$7,Model!AE1,'Assumptions (Nuclear)'!$V$10,'Assumptions (Nuclear)'!$V$5*Model!$AA$1129*AVERAGE('Assumptions (Nuclear)'!$T$2:$Y$2)/10^9),0)</f>
        <v>-0.006713619306</v>
      </c>
      <c r="AJ1262" s="160">
        <f>IF($AA$1129&gt;0,IPMT('Assumptions (Nuclear)'!$V$7,Model!AF1,'Assumptions (Nuclear)'!$V$10,'Assumptions (Nuclear)'!$V$5*Model!$AA$1129*AVERAGE('Assumptions (Nuclear)'!$T$2:$Y$2)/10^9),0)</f>
        <v>-0.005882759594</v>
      </c>
      <c r="AK1262" s="160">
        <f>IF($AA$1129&gt;0,IPMT('Assumptions (Nuclear)'!$V$7,Model!AG1,'Assumptions (Nuclear)'!$V$10,'Assumptions (Nuclear)'!$V$5*Model!$AA$1129*AVERAGE('Assumptions (Nuclear)'!$T$2:$Y$2)/10^9),0)</f>
        <v>-0.005012434046</v>
      </c>
      <c r="AL1262" s="160">
        <f>IF($AA$1129&gt;0,IPMT('Assumptions (Nuclear)'!$V$7,Model!AH1,'Assumptions (Nuclear)'!$V$10,'Assumptions (Nuclear)'!$V$5*Model!$AA$1129*AVERAGE('Assumptions (Nuclear)'!$T$2:$Y$2)/10^9),0)</f>
        <v>-0.004100768034</v>
      </c>
      <c r="AM1262" s="160">
        <f>IF($AA$1129&gt;0,IPMT('Assumptions (Nuclear)'!$V$7,Model!AI1,'Assumptions (Nuclear)'!$V$10,'Assumptions (Nuclear)'!$V$5*Model!$AA$1129*AVERAGE('Assumptions (Nuclear)'!$T$2:$Y$2)/10^9),0)</f>
        <v>-0.003145797886</v>
      </c>
      <c r="AN1262" s="160">
        <f>IF($AA$1129&gt;0,IPMT('Assumptions (Nuclear)'!$V$7,Model!AJ1,'Assumptions (Nuclear)'!$V$10,'Assumptions (Nuclear)'!$V$5*Model!$AA$1129*AVERAGE('Assumptions (Nuclear)'!$T$2:$Y$2)/10^9),0)</f>
        <v>-0.002145466657</v>
      </c>
      <c r="AO1262" s="160">
        <f>IF($AA$1129&gt;0,IPMT('Assumptions (Nuclear)'!$V$7,Model!AK1,'Assumptions (Nuclear)'!$V$10,'Assumptions (Nuclear)'!$V$5*Model!$AA$1129*AVERAGE('Assumptions (Nuclear)'!$T$2:$Y$2)/10^9),0)</f>
        <v>-0.001097619694</v>
      </c>
      <c r="AP1262" s="160"/>
      <c r="AQ1262" s="160"/>
      <c r="AR1262" s="160"/>
      <c r="AS1262" s="160"/>
      <c r="AT1262" s="160"/>
      <c r="AU1262" s="160"/>
      <c r="AV1262" s="160"/>
      <c r="AW1262" s="160"/>
      <c r="AX1262" s="160"/>
      <c r="AY1262" s="160"/>
      <c r="AZ1262" s="160"/>
      <c r="BA1262" s="160"/>
    </row>
    <row r="1263" ht="15.75" hidden="1" customHeight="1" outlineLevel="1">
      <c r="A1263" s="262"/>
      <c r="B1263" s="38"/>
      <c r="C1263" s="174"/>
      <c r="D1263" s="174"/>
      <c r="E1263" s="174"/>
      <c r="F1263" s="174"/>
      <c r="G1263" s="174"/>
      <c r="H1263" s="174"/>
      <c r="I1263" s="174"/>
      <c r="J1263" s="174"/>
      <c r="K1263" s="174"/>
      <c r="L1263" s="174"/>
      <c r="M1263" s="174"/>
      <c r="N1263" s="174"/>
      <c r="O1263" s="174"/>
      <c r="P1263" s="174"/>
      <c r="Q1263" s="174"/>
      <c r="R1263" s="174"/>
      <c r="S1263" s="174"/>
      <c r="T1263" s="174"/>
      <c r="U1263" s="174"/>
      <c r="V1263" s="174"/>
      <c r="W1263" s="160"/>
      <c r="X1263" s="160"/>
      <c r="Y1263" s="160"/>
      <c r="Z1263" s="160"/>
      <c r="AA1263" s="160"/>
      <c r="AB1263" s="160">
        <f>IF($AB$1129&gt;0,IPMT('Assumptions (Nuclear)'!$V$7,Model!W1,'Assumptions (Nuclear)'!$V$10,'Assumptions (Nuclear)'!$V$5*Model!$AB$1129*AVERAGE('Assumptions (Nuclear)'!$U$2:$Z$2)/10^9),0)</f>
        <v>-0.01231116836</v>
      </c>
      <c r="AC1263" s="160">
        <f>IF($AB$1129&gt;0,IPMT('Assumptions (Nuclear)'!$V$7,Model!X1,'Assumptions (Nuclear)'!$V$10,'Assumptions (Nuclear)'!$V$5*Model!$AB$1129*AVERAGE('Assumptions (Nuclear)'!$U$2:$Z$2)/10^9),0)</f>
        <v>-0.01172982102</v>
      </c>
      <c r="AD1263" s="160">
        <f>IF($AB$1129&gt;0,IPMT('Assumptions (Nuclear)'!$V$7,Model!Y1,'Assumptions (Nuclear)'!$V$10,'Assumptions (Nuclear)'!$V$5*Model!$AB$1129*AVERAGE('Assumptions (Nuclear)'!$U$2:$Z$2)/10^9),0)</f>
        <v>-0.01112085969</v>
      </c>
      <c r="AE1263" s="160">
        <f>IF($AB$1129&gt;0,IPMT('Assumptions (Nuclear)'!$V$7,Model!Z1,'Assumptions (Nuclear)'!$V$10,'Assumptions (Nuclear)'!$V$5*Model!$AB$1129*AVERAGE('Assumptions (Nuclear)'!$U$2:$Z$2)/10^9),0)</f>
        <v>-0.01048297269</v>
      </c>
      <c r="AF1263" s="160">
        <f>IF($AB$1129&gt;0,IPMT('Assumptions (Nuclear)'!$V$7,Model!AA1,'Assumptions (Nuclear)'!$V$10,'Assumptions (Nuclear)'!$V$5*Model!$AB$1129*AVERAGE('Assumptions (Nuclear)'!$U$2:$Z$2)/10^9),0)</f>
        <v>-0.009814786059</v>
      </c>
      <c r="AG1263" s="160">
        <f>IF($AB$1129&gt;0,IPMT('Assumptions (Nuclear)'!$V$7,Model!AB1,'Assumptions (Nuclear)'!$V$10,'Assumptions (Nuclear)'!$V$5*Model!$AB$1129*AVERAGE('Assumptions (Nuclear)'!$U$2:$Z$2)/10^9),0)</f>
        <v>-0.009114860564</v>
      </c>
      <c r="AH1263" s="160">
        <f>IF($AB$1129&gt;0,IPMT('Assumptions (Nuclear)'!$V$7,Model!AC1,'Assumptions (Nuclear)'!$V$10,'Assumptions (Nuclear)'!$V$5*Model!$AB$1129*AVERAGE('Assumptions (Nuclear)'!$U$2:$Z$2)/10^9),0)</f>
        <v>-0.008381688608</v>
      </c>
      <c r="AI1263" s="160">
        <f>IF($AB$1129&gt;0,IPMT('Assumptions (Nuclear)'!$V$7,Model!AD1,'Assumptions (Nuclear)'!$V$10,'Assumptions (Nuclear)'!$V$5*Model!$AB$1129*AVERAGE('Assumptions (Nuclear)'!$U$2:$Z$2)/10^9),0)</f>
        <v>-0.007613690984</v>
      </c>
      <c r="AJ1263" s="160">
        <f>IF($AB$1129&gt;0,IPMT('Assumptions (Nuclear)'!$V$7,Model!AE1,'Assumptions (Nuclear)'!$V$10,'Assumptions (Nuclear)'!$V$5*Model!$AB$1129*AVERAGE('Assumptions (Nuclear)'!$U$2:$Z$2)/10^9),0)</f>
        <v>-0.006809213473</v>
      </c>
      <c r="AK1263" s="160">
        <f>IF($AB$1129&gt;0,IPMT('Assumptions (Nuclear)'!$V$7,Model!AF1,'Assumptions (Nuclear)'!$V$10,'Assumptions (Nuclear)'!$V$5*Model!$AB$1129*AVERAGE('Assumptions (Nuclear)'!$U$2:$Z$2)/10^9),0)</f>
        <v>-0.005966523281</v>
      </c>
      <c r="AL1263" s="160">
        <f>IF($AB$1129&gt;0,IPMT('Assumptions (Nuclear)'!$V$7,Model!AG1,'Assumptions (Nuclear)'!$V$10,'Assumptions (Nuclear)'!$V$5*Model!$AB$1129*AVERAGE('Assumptions (Nuclear)'!$U$2:$Z$2)/10^9),0)</f>
        <v>-0.005083805304</v>
      </c>
      <c r="AM1263" s="160">
        <f>IF($AB$1129&gt;0,IPMT('Assumptions (Nuclear)'!$V$7,Model!AH1,'Assumptions (Nuclear)'!$V$10,'Assumptions (Nuclear)'!$V$5*Model!$AB$1129*AVERAGE('Assumptions (Nuclear)'!$U$2:$Z$2)/10^9),0)</f>
        <v>-0.004159158223</v>
      </c>
      <c r="AN1263" s="160">
        <f>IF($AB$1129&gt;0,IPMT('Assumptions (Nuclear)'!$V$7,Model!AI1,'Assumptions (Nuclear)'!$V$10,'Assumptions (Nuclear)'!$V$5*Model!$AB$1129*AVERAGE('Assumptions (Nuclear)'!$U$2:$Z$2)/10^9),0)</f>
        <v>-0.003190590406</v>
      </c>
      <c r="AO1263" s="160">
        <f>IF($AB$1129&gt;0,IPMT('Assumptions (Nuclear)'!$V$7,Model!AJ1,'Assumptions (Nuclear)'!$V$10,'Assumptions (Nuclear)'!$V$5*Model!$AB$1129*AVERAGE('Assumptions (Nuclear)'!$U$2:$Z$2)/10^9),0)</f>
        <v>-0.002176015618</v>
      </c>
      <c r="AP1263" s="160">
        <f>IF($AB$1129&gt;0,IPMT('Assumptions (Nuclear)'!$V$7,Model!AK1,'Assumptions (Nuclear)'!$V$10,'Assumptions (Nuclear)'!$V$5*Model!$AB$1129*AVERAGE('Assumptions (Nuclear)'!$U$2:$Z$2)/10^9),0)</f>
        <v>-0.001113248528</v>
      </c>
      <c r="AQ1263" s="160"/>
      <c r="AR1263" s="160"/>
      <c r="AS1263" s="160"/>
      <c r="AT1263" s="160"/>
      <c r="AU1263" s="160"/>
      <c r="AV1263" s="160"/>
      <c r="AW1263" s="160"/>
      <c r="AX1263" s="160"/>
      <c r="AY1263" s="160"/>
      <c r="AZ1263" s="160"/>
      <c r="BA1263" s="160"/>
    </row>
    <row r="1264" ht="15.75" hidden="1" customHeight="1" outlineLevel="1">
      <c r="A1264" s="262"/>
      <c r="B1264" s="38"/>
      <c r="C1264" s="174"/>
      <c r="D1264" s="174"/>
      <c r="E1264" s="174"/>
      <c r="F1264" s="174"/>
      <c r="G1264" s="174"/>
      <c r="H1264" s="174"/>
      <c r="I1264" s="174"/>
      <c r="J1264" s="174"/>
      <c r="K1264" s="174"/>
      <c r="L1264" s="174"/>
      <c r="M1264" s="174"/>
      <c r="N1264" s="174"/>
      <c r="O1264" s="174"/>
      <c r="P1264" s="174"/>
      <c r="Q1264" s="174"/>
      <c r="R1264" s="174"/>
      <c r="S1264" s="174"/>
      <c r="T1264" s="174"/>
      <c r="U1264" s="174"/>
      <c r="V1264" s="174"/>
      <c r="W1264" s="160"/>
      <c r="X1264" s="160"/>
      <c r="Y1264" s="160"/>
      <c r="Z1264" s="160"/>
      <c r="AA1264" s="160"/>
      <c r="AB1264" s="160"/>
      <c r="AC1264" s="160">
        <f>IF($AC$1129&gt;0,IPMT('Assumptions (Nuclear)'!$V$7,Model!W1,'Assumptions (Nuclear)'!$V$10,'Assumptions (Nuclear)'!$V$5*Model!$AC$1129*AVERAGE('Assumptions (Nuclear)'!$V$2:$AA$2)/10^9),0)</f>
        <v>-0.01248611644</v>
      </c>
      <c r="AD1264" s="160">
        <f>IF($AC$1129&gt;0,IPMT('Assumptions (Nuclear)'!$V$7,Model!X1,'Assumptions (Nuclear)'!$V$10,'Assumptions (Nuclear)'!$V$5*Model!$AC$1129*AVERAGE('Assumptions (Nuclear)'!$V$2:$AA$2)/10^9),0)</f>
        <v>-0.01189650786</v>
      </c>
      <c r="AE1264" s="160">
        <f>IF($AC$1129&gt;0,IPMT('Assumptions (Nuclear)'!$V$7,Model!Y1,'Assumptions (Nuclear)'!$V$10,'Assumptions (Nuclear)'!$V$5*Model!$AC$1129*AVERAGE('Assumptions (Nuclear)'!$V$2:$AA$2)/10^9),0)</f>
        <v>-0.01127889287</v>
      </c>
      <c r="AF1264" s="160">
        <f>IF($AC$1129&gt;0,IPMT('Assumptions (Nuclear)'!$V$7,Model!Z1,'Assumptions (Nuclear)'!$V$10,'Assumptions (Nuclear)'!$V$5*Model!$AC$1129*AVERAGE('Assumptions (Nuclear)'!$V$2:$AA$2)/10^9),0)</f>
        <v>-0.01063194117</v>
      </c>
      <c r="AG1264" s="160">
        <f>IF($AC$1129&gt;0,IPMT('Assumptions (Nuclear)'!$V$7,Model!AA1,'Assumptions (Nuclear)'!$V$10,'Assumptions (Nuclear)'!$V$5*Model!$AC$1129*AVERAGE('Assumptions (Nuclear)'!$V$2:$AA$2)/10^9),0)</f>
        <v>-0.009954259257</v>
      </c>
      <c r="AH1264" s="160">
        <f>IF($AC$1129&gt;0,IPMT('Assumptions (Nuclear)'!$V$7,Model!AB1,'Assumptions (Nuclear)'!$V$10,'Assumptions (Nuclear)'!$V$5*Model!$AC$1129*AVERAGE('Assumptions (Nuclear)'!$V$2:$AA$2)/10^9),0)</f>
        <v>-0.009244387458</v>
      </c>
      <c r="AI1264" s="160">
        <f>IF($AC$1129&gt;0,IPMT('Assumptions (Nuclear)'!$V$7,Model!AC1,'Assumptions (Nuclear)'!$V$10,'Assumptions (Nuclear)'!$V$5*Model!$AC$1129*AVERAGE('Assumptions (Nuclear)'!$V$2:$AA$2)/10^9),0)</f>
        <v>-0.008500796748</v>
      </c>
      <c r="AJ1264" s="160">
        <f>IF($AC$1129&gt;0,IPMT('Assumptions (Nuclear)'!$V$7,Model!AD1,'Assumptions (Nuclear)'!$V$10,'Assumptions (Nuclear)'!$V$5*Model!$AC$1129*AVERAGE('Assumptions (Nuclear)'!$V$2:$AA$2)/10^9),0)</f>
        <v>-0.00772188548</v>
      </c>
      <c r="AK1264" s="160">
        <f>IF($AC$1129&gt;0,IPMT('Assumptions (Nuclear)'!$V$7,Model!AE1,'Assumptions (Nuclear)'!$V$10,'Assumptions (Nuclear)'!$V$5*Model!$AC$1129*AVERAGE('Assumptions (Nuclear)'!$V$2:$AA$2)/10^9),0)</f>
        <v>-0.006905975927</v>
      </c>
      <c r="AL1264" s="160">
        <f>IF($AC$1129&gt;0,IPMT('Assumptions (Nuclear)'!$V$7,Model!AF1,'Assumptions (Nuclear)'!$V$10,'Assumptions (Nuclear)'!$V$5*Model!$AC$1129*AVERAGE('Assumptions (Nuclear)'!$V$2:$AA$2)/10^9),0)</f>
        <v>-0.00605131067</v>
      </c>
      <c r="AM1264" s="160">
        <f>IF($AC$1129&gt;0,IPMT('Assumptions (Nuclear)'!$V$7,Model!AG1,'Assumptions (Nuclear)'!$V$10,'Assumptions (Nuclear)'!$V$5*Model!$AC$1129*AVERAGE('Assumptions (Nuclear)'!$V$2:$AA$2)/10^9),0)</f>
        <v>-0.005156048813</v>
      </c>
      <c r="AN1264" s="160">
        <f>IF($AC$1129&gt;0,IPMT('Assumptions (Nuclear)'!$V$7,Model!AH1,'Assumptions (Nuclear)'!$V$10,'Assumptions (Nuclear)'!$V$5*Model!$AC$1129*AVERAGE('Assumptions (Nuclear)'!$V$2:$AA$2)/10^9),0)</f>
        <v>-0.004218262018</v>
      </c>
      <c r="AO1264" s="160">
        <f>IF($AC$1129&gt;0,IPMT('Assumptions (Nuclear)'!$V$7,Model!AI1,'Assumptions (Nuclear)'!$V$10,'Assumptions (Nuclear)'!$V$5*Model!$AC$1129*AVERAGE('Assumptions (Nuclear)'!$V$2:$AA$2)/10^9),0)</f>
        <v>-0.00323593035</v>
      </c>
      <c r="AP1264" s="160">
        <f>IF($AC$1129&gt;0,IPMT('Assumptions (Nuclear)'!$V$7,Model!AJ1,'Assumptions (Nuclear)'!$V$10,'Assumptions (Nuclear)'!$V$5*Model!$AC$1129*AVERAGE('Assumptions (Nuclear)'!$V$2:$AA$2)/10^9),0)</f>
        <v>-0.002206937928</v>
      </c>
      <c r="AQ1264" s="160">
        <f>IF($AC$1129&gt;0,IPMT('Assumptions (Nuclear)'!$V$7,Model!AK1,'Assumptions (Nuclear)'!$V$10,'Assumptions (Nuclear)'!$V$5*Model!$AC$1129*AVERAGE('Assumptions (Nuclear)'!$V$2:$AA$2)/10^9),0)</f>
        <v>-0.001129068366</v>
      </c>
      <c r="AR1264" s="160"/>
      <c r="AS1264" s="160"/>
      <c r="AT1264" s="160"/>
      <c r="AU1264" s="160"/>
      <c r="AV1264" s="160"/>
      <c r="AW1264" s="160"/>
      <c r="AX1264" s="160"/>
      <c r="AY1264" s="160"/>
      <c r="AZ1264" s="160"/>
      <c r="BA1264" s="160"/>
    </row>
    <row r="1265" ht="15.75" hidden="1" customHeight="1" outlineLevel="1">
      <c r="A1265" s="262"/>
      <c r="B1265" s="38"/>
      <c r="C1265" s="174"/>
      <c r="D1265" s="174"/>
      <c r="E1265" s="174"/>
      <c r="F1265" s="174"/>
      <c r="G1265" s="174"/>
      <c r="H1265" s="174"/>
      <c r="I1265" s="174"/>
      <c r="J1265" s="174"/>
      <c r="K1265" s="174"/>
      <c r="L1265" s="174"/>
      <c r="M1265" s="174"/>
      <c r="N1265" s="174"/>
      <c r="O1265" s="174"/>
      <c r="P1265" s="174"/>
      <c r="Q1265" s="174"/>
      <c r="R1265" s="174"/>
      <c r="S1265" s="174"/>
      <c r="T1265" s="174"/>
      <c r="U1265" s="174"/>
      <c r="V1265" s="174"/>
      <c r="W1265" s="160"/>
      <c r="X1265" s="160"/>
      <c r="Y1265" s="160"/>
      <c r="Z1265" s="160"/>
      <c r="AA1265" s="160"/>
      <c r="AB1265" s="160"/>
      <c r="AC1265" s="160"/>
      <c r="AD1265" s="160">
        <f>IF($AD$1129&gt;0,IPMT('Assumptions (Nuclear)'!$V$7,Model!W1,'Assumptions (Nuclear)'!$V$10,'Assumptions (Nuclear)'!$V$5*Model!$AD$1129*AVERAGE('Assumptions (Nuclear)'!$W$2:$AB$2)/10^9),0)</f>
        <v>-0.01266319344</v>
      </c>
      <c r="AE1265" s="160">
        <f>IF($AD$1129&gt;0,IPMT('Assumptions (Nuclear)'!$V$7,Model!X1,'Assumptions (Nuclear)'!$V$10,'Assumptions (Nuclear)'!$V$5*Model!$AD$1129*AVERAGE('Assumptions (Nuclear)'!$W$2:$AB$2)/10^9),0)</f>
        <v>-0.01206522308</v>
      </c>
      <c r="AF1265" s="160">
        <f>IF($AD$1129&gt;0,IPMT('Assumptions (Nuclear)'!$V$7,Model!Y1,'Assumptions (Nuclear)'!$V$10,'Assumptions (Nuclear)'!$V$5*Model!$AD$1129*AVERAGE('Assumptions (Nuclear)'!$W$2:$AB$2)/10^9),0)</f>
        <v>-0.01143884913</v>
      </c>
      <c r="AG1265" s="160">
        <f>IF($AD$1129&gt;0,IPMT('Assumptions (Nuclear)'!$V$7,Model!Z1,'Assumptions (Nuclear)'!$V$10,'Assumptions (Nuclear)'!$V$5*Model!$AD$1129*AVERAGE('Assumptions (Nuclear)'!$W$2:$AB$2)/10^9),0)</f>
        <v>-0.01078272242</v>
      </c>
      <c r="AH1265" s="160">
        <f>IF($AD$1129&gt;0,IPMT('Assumptions (Nuclear)'!$V$7,Model!AA1,'Assumptions (Nuclear)'!$V$10,'Assumptions (Nuclear)'!$V$5*Model!$AD$1129*AVERAGE('Assumptions (Nuclear)'!$W$2:$AB$2)/10^9),0)</f>
        <v>-0.01009542968</v>
      </c>
      <c r="AI1265" s="160">
        <f>IF($AD$1129&gt;0,IPMT('Assumptions (Nuclear)'!$V$7,Model!AB1,'Assumptions (Nuclear)'!$V$10,'Assumptions (Nuclear)'!$V$5*Model!$AD$1129*AVERAGE('Assumptions (Nuclear)'!$W$2:$AB$2)/10^9),0)</f>
        <v>-0.009375490545</v>
      </c>
      <c r="AJ1265" s="160">
        <f>IF($AD$1129&gt;0,IPMT('Assumptions (Nuclear)'!$V$7,Model!AC1,'Assumptions (Nuclear)'!$V$10,'Assumptions (Nuclear)'!$V$5*Model!$AD$1129*AVERAGE('Assumptions (Nuclear)'!$W$2:$AB$2)/10^9),0)</f>
        <v>-0.008621354298</v>
      </c>
      <c r="AK1265" s="160">
        <f>IF($AD$1129&gt;0,IPMT('Assumptions (Nuclear)'!$V$7,Model!AD1,'Assumptions (Nuclear)'!$V$10,'Assumptions (Nuclear)'!$V$5*Model!$AD$1129*AVERAGE('Assumptions (Nuclear)'!$W$2:$AB$2)/10^9),0)</f>
        <v>-0.007831396579</v>
      </c>
      <c r="AL1265" s="160">
        <f>IF($AD$1129&gt;0,IPMT('Assumptions (Nuclear)'!$V$7,Model!AE1,'Assumptions (Nuclear)'!$V$10,'Assumptions (Nuclear)'!$V$5*Model!$AD$1129*AVERAGE('Assumptions (Nuclear)'!$W$2:$AB$2)/10^9),0)</f>
        <v>-0.007003915868</v>
      </c>
      <c r="AM1265" s="160">
        <f>IF($AD$1129&gt;0,IPMT('Assumptions (Nuclear)'!$V$7,Model!AF1,'Assumptions (Nuclear)'!$V$10,'Assumptions (Nuclear)'!$V$5*Model!$AD$1129*AVERAGE('Assumptions (Nuclear)'!$W$2:$AB$2)/10^9),0)</f>
        <v>-0.006137129824</v>
      </c>
      <c r="AN1265" s="160">
        <f>IF($AD$1129&gt;0,IPMT('Assumptions (Nuclear)'!$V$7,Model!AG1,'Assumptions (Nuclear)'!$V$10,'Assumptions (Nuclear)'!$V$5*Model!$AD$1129*AVERAGE('Assumptions (Nuclear)'!$W$2:$AB$2)/10^9),0)</f>
        <v>-0.005229171442</v>
      </c>
      <c r="AO1265" s="160">
        <f>IF($AD$1129&gt;0,IPMT('Assumptions (Nuclear)'!$V$7,Model!AH1,'Assumptions (Nuclear)'!$V$10,'Assumptions (Nuclear)'!$V$5*Model!$AD$1129*AVERAGE('Assumptions (Nuclear)'!$W$2:$AB$2)/10^9),0)</f>
        <v>-0.004278085038</v>
      </c>
      <c r="AP1265" s="160">
        <f>IF($AD$1129&gt;0,IPMT('Assumptions (Nuclear)'!$V$7,Model!AI1,'Assumptions (Nuclear)'!$V$10,'Assumptions (Nuclear)'!$V$5*Model!$AD$1129*AVERAGE('Assumptions (Nuclear)'!$W$2:$AB$2)/10^9),0)</f>
        <v>-0.003281822029</v>
      </c>
      <c r="AQ1265" s="160">
        <f>IF($AD$1129&gt;0,IPMT('Assumptions (Nuclear)'!$V$7,Model!AJ1,'Assumptions (Nuclear)'!$V$10,'Assumptions (Nuclear)'!$V$5*Model!$AD$1129*AVERAGE('Assumptions (Nuclear)'!$W$2:$AB$2)/10^9),0)</f>
        <v>-0.002238236527</v>
      </c>
      <c r="AR1265" s="160">
        <f>IF($AD$1129&gt;0,IPMT('Assumptions (Nuclear)'!$V$7,Model!AK1,'Assumptions (Nuclear)'!$V$10,'Assumptions (Nuclear)'!$V$5*Model!$AD$1129*AVERAGE('Assumptions (Nuclear)'!$W$2:$AB$2)/10^9),0)</f>
        <v>-0.001145080714</v>
      </c>
      <c r="AS1265" s="160"/>
      <c r="AT1265" s="160"/>
      <c r="AU1265" s="160"/>
      <c r="AV1265" s="160"/>
      <c r="AW1265" s="160"/>
      <c r="AX1265" s="160"/>
      <c r="AY1265" s="160"/>
      <c r="AZ1265" s="160"/>
      <c r="BA1265" s="160"/>
      <c r="BB1265" s="160"/>
    </row>
    <row r="1266" ht="15.75" hidden="1" customHeight="1" outlineLevel="1">
      <c r="A1266" s="262"/>
      <c r="B1266" s="38"/>
      <c r="C1266" s="174"/>
      <c r="D1266" s="174"/>
      <c r="E1266" s="174"/>
      <c r="F1266" s="174"/>
      <c r="G1266" s="174"/>
      <c r="H1266" s="174"/>
      <c r="I1266" s="174"/>
      <c r="J1266" s="174"/>
      <c r="K1266" s="174"/>
      <c r="L1266" s="174"/>
      <c r="M1266" s="174"/>
      <c r="N1266" s="174"/>
      <c r="O1266" s="174"/>
      <c r="P1266" s="174"/>
      <c r="Q1266" s="174"/>
      <c r="R1266" s="174"/>
      <c r="S1266" s="174"/>
      <c r="T1266" s="174"/>
      <c r="U1266" s="174"/>
      <c r="V1266" s="174"/>
      <c r="W1266" s="160"/>
      <c r="X1266" s="160"/>
      <c r="Y1266" s="160"/>
      <c r="Z1266" s="160"/>
      <c r="AA1266" s="160"/>
      <c r="AB1266" s="160"/>
      <c r="AC1266" s="160"/>
      <c r="AD1266" s="160"/>
      <c r="AE1266" s="160">
        <f>IF($AE$1129&gt;0,IPMT('Assumptions (Nuclear)'!$V$7,Model!W1,'Assumptions (Nuclear)'!$V$10,'Assumptions (Nuclear)'!$V$5*Model!$AE$1129*AVERAGE('Assumptions (Nuclear)'!$X$2:$AC$2)/10^9),0)</f>
        <v>-0.01284083494</v>
      </c>
      <c r="AF1266" s="160">
        <f>IF($AE$1129&gt;0,IPMT('Assumptions (Nuclear)'!$V$7,Model!X1,'Assumptions (Nuclear)'!$V$10,'Assumptions (Nuclear)'!$V$5*Model!$AE$1129*AVERAGE('Assumptions (Nuclear)'!$X$2:$AC$2)/10^9),0)</f>
        <v>-0.01223447614</v>
      </c>
      <c r="AG1266" s="160">
        <f>IF($AE$1129&gt;0,IPMT('Assumptions (Nuclear)'!$V$7,Model!Y1,'Assumptions (Nuclear)'!$V$10,'Assumptions (Nuclear)'!$V$5*Model!$AE$1129*AVERAGE('Assumptions (Nuclear)'!$X$2:$AC$2)/10^9),0)</f>
        <v>-0.01159931531</v>
      </c>
      <c r="AH1266" s="160">
        <f>IF($AE$1129&gt;0,IPMT('Assumptions (Nuclear)'!$V$7,Model!Z1,'Assumptions (Nuclear)'!$V$10,'Assumptions (Nuclear)'!$V$5*Model!$AE$1129*AVERAGE('Assumptions (Nuclear)'!$X$2:$AC$2)/10^9),0)</f>
        <v>-0.01093398433</v>
      </c>
      <c r="AI1266" s="160">
        <f>IF($AE$1129&gt;0,IPMT('Assumptions (Nuclear)'!$V$7,Model!AA1,'Assumptions (Nuclear)'!$V$10,'Assumptions (Nuclear)'!$V$5*Model!$AE$1129*AVERAGE('Assumptions (Nuclear)'!$X$2:$AC$2)/10^9),0)</f>
        <v>-0.01023705014</v>
      </c>
      <c r="AJ1266" s="160">
        <f>IF($AE$1129&gt;0,IPMT('Assumptions (Nuclear)'!$V$7,Model!AB1,'Assumptions (Nuclear)'!$V$10,'Assumptions (Nuclear)'!$V$5*Model!$AE$1129*AVERAGE('Assumptions (Nuclear)'!$X$2:$AC$2)/10^9),0)</f>
        <v>-0.009507011567</v>
      </c>
      <c r="AK1266" s="160">
        <f>IF($AE$1129&gt;0,IPMT('Assumptions (Nuclear)'!$V$7,Model!AC1,'Assumptions (Nuclear)'!$V$10,'Assumptions (Nuclear)'!$V$5*Model!$AE$1129*AVERAGE('Assumptions (Nuclear)'!$X$2:$AC$2)/10^9),0)</f>
        <v>-0.008742296164</v>
      </c>
      <c r="AL1266" s="160">
        <f>IF($AE$1129&gt;0,IPMT('Assumptions (Nuclear)'!$V$7,Model!AD1,'Assumptions (Nuclear)'!$V$10,'Assumptions (Nuclear)'!$V$5*Model!$AE$1129*AVERAGE('Assumptions (Nuclear)'!$X$2:$AC$2)/10^9),0)</f>
        <v>-0.00794125678</v>
      </c>
      <c r="AM1266" s="160">
        <f>IF($AE$1129&gt;0,IPMT('Assumptions (Nuclear)'!$V$7,Model!AE1,'Assumptions (Nuclear)'!$V$10,'Assumptions (Nuclear)'!$V$5*Model!$AE$1129*AVERAGE('Assumptions (Nuclear)'!$X$2:$AC$2)/10^9),0)</f>
        <v>-0.007102168026</v>
      </c>
      <c r="AN1266" s="160">
        <f>IF($AE$1129&gt;0,IPMT('Assumptions (Nuclear)'!$V$7,Model!AF1,'Assumptions (Nuclear)'!$V$10,'Assumptions (Nuclear)'!$V$5*Model!$AE$1129*AVERAGE('Assumptions (Nuclear)'!$X$2:$AC$2)/10^9),0)</f>
        <v>-0.006223222555</v>
      </c>
      <c r="AO1266" s="160">
        <f>IF($AE$1129&gt;0,IPMT('Assumptions (Nuclear)'!$V$7,Model!AG1,'Assumptions (Nuclear)'!$V$10,'Assumptions (Nuclear)'!$V$5*Model!$AE$1129*AVERAGE('Assumptions (Nuclear)'!$X$2:$AC$2)/10^9),0)</f>
        <v>-0.005302527174</v>
      </c>
      <c r="AP1266" s="160">
        <f>IF($AE$1129&gt;0,IPMT('Assumptions (Nuclear)'!$V$7,Model!AH1,'Assumptions (Nuclear)'!$V$10,'Assumptions (Nuclear)'!$V$5*Model!$AE$1129*AVERAGE('Assumptions (Nuclear)'!$X$2:$AC$2)/10^9),0)</f>
        <v>-0.004338098763</v>
      </c>
      <c r="AQ1266" s="160">
        <f>IF($AE$1129&gt;0,IPMT('Assumptions (Nuclear)'!$V$7,Model!AI1,'Assumptions (Nuclear)'!$V$10,'Assumptions (Nuclear)'!$V$5*Model!$AE$1129*AVERAGE('Assumptions (Nuclear)'!$X$2:$AC$2)/10^9),0)</f>
        <v>-0.003327860003</v>
      </c>
      <c r="AR1266" s="160">
        <f>IF($AE$1129&gt;0,IPMT('Assumptions (Nuclear)'!$V$7,Model!AJ1,'Assumptions (Nuclear)'!$V$10,'Assumptions (Nuclear)'!$V$5*Model!$AE$1129*AVERAGE('Assumptions (Nuclear)'!$X$2:$AC$2)/10^9),0)</f>
        <v>-0.002269634901</v>
      </c>
      <c r="AS1266" s="160">
        <f>IF($AE$1129&gt;0,IPMT('Assumptions (Nuclear)'!$V$7,Model!AK1,'Assumptions (Nuclear)'!$V$10,'Assumptions (Nuclear)'!$V$5*Model!$AE$1129*AVERAGE('Assumptions (Nuclear)'!$X$2:$AC$2)/10^9),0)</f>
        <v>-0.001161144107</v>
      </c>
      <c r="AT1266" s="160"/>
      <c r="AU1266" s="160"/>
      <c r="AV1266" s="160"/>
      <c r="AW1266" s="160"/>
      <c r="AX1266" s="160"/>
      <c r="AY1266" s="160"/>
      <c r="AZ1266" s="160"/>
      <c r="BA1266" s="160"/>
      <c r="BB1266" s="160"/>
      <c r="BC1266" s="160"/>
    </row>
    <row r="1267" ht="15.75" hidden="1" customHeight="1" outlineLevel="1">
      <c r="A1267" s="262"/>
      <c r="B1267" s="38"/>
      <c r="C1267" s="174"/>
      <c r="D1267" s="174"/>
      <c r="E1267" s="174"/>
      <c r="F1267" s="174"/>
      <c r="G1267" s="174"/>
      <c r="H1267" s="174"/>
      <c r="I1267" s="174"/>
      <c r="J1267" s="174"/>
      <c r="K1267" s="174"/>
      <c r="L1267" s="174"/>
      <c r="M1267" s="174"/>
      <c r="N1267" s="174"/>
      <c r="O1267" s="174"/>
      <c r="P1267" s="174"/>
      <c r="Q1267" s="174"/>
      <c r="R1267" s="174"/>
      <c r="S1267" s="174"/>
      <c r="T1267" s="174"/>
      <c r="U1267" s="174"/>
      <c r="V1267" s="174"/>
      <c r="W1267" s="160"/>
      <c r="X1267" s="160"/>
      <c r="Y1267" s="160"/>
      <c r="Z1267" s="160"/>
      <c r="AA1267" s="160"/>
      <c r="AB1267" s="160"/>
      <c r="AC1267" s="160"/>
      <c r="AD1267" s="160"/>
      <c r="AE1267" s="160"/>
      <c r="AF1267" s="160">
        <f>IF($AF$1129&gt;0,IPMT('Assumptions (Nuclear)'!$V$7,Model!W1,'Assumptions (Nuclear)'!$V$10,'Assumptions (Nuclear)'!$V$5*Model!$AF$1129*AVERAGE('Assumptions (Nuclear)'!$Y$2:$AD$2)/10^9),0)</f>
        <v>-0.0130206073</v>
      </c>
      <c r="AG1267" s="160">
        <f>IF($AF$1129&gt;0,IPMT('Assumptions (Nuclear)'!$V$7,Model!X1,'Assumptions (Nuclear)'!$V$10,'Assumptions (Nuclear)'!$V$5*Model!$AF$1129*AVERAGE('Assumptions (Nuclear)'!$Y$2:$AD$2)/10^9),0)</f>
        <v>-0.01240575945</v>
      </c>
      <c r="AH1267" s="160">
        <f>IF($AF$1129&gt;0,IPMT('Assumptions (Nuclear)'!$V$7,Model!Y1,'Assumptions (Nuclear)'!$V$10,'Assumptions (Nuclear)'!$V$5*Model!$AF$1129*AVERAGE('Assumptions (Nuclear)'!$Y$2:$AD$2)/10^9),0)</f>
        <v>-0.01176170633</v>
      </c>
      <c r="AI1267" s="160">
        <f>IF($AF$1129&gt;0,IPMT('Assumptions (Nuclear)'!$V$7,Model!Z1,'Assumptions (Nuclear)'!$V$10,'Assumptions (Nuclear)'!$V$5*Model!$AF$1129*AVERAGE('Assumptions (Nuclear)'!$Y$2:$AD$2)/10^9),0)</f>
        <v>-0.01108706069</v>
      </c>
      <c r="AJ1267" s="160">
        <f>IF($AF$1129&gt;0,IPMT('Assumptions (Nuclear)'!$V$7,Model!AA1,'Assumptions (Nuclear)'!$V$10,'Assumptions (Nuclear)'!$V$5*Model!$AF$1129*AVERAGE('Assumptions (Nuclear)'!$Y$2:$AD$2)/10^9),0)</f>
        <v>-0.01038036938</v>
      </c>
      <c r="AK1267" s="160">
        <f>IF($AF$1129&gt;0,IPMT('Assumptions (Nuclear)'!$V$7,Model!AB1,'Assumptions (Nuclear)'!$V$10,'Assumptions (Nuclear)'!$V$5*Model!$AF$1129*AVERAGE('Assumptions (Nuclear)'!$Y$2:$AD$2)/10^9),0)</f>
        <v>-0.009640110227</v>
      </c>
      <c r="AL1267" s="160">
        <f>IF($AF$1129&gt;0,IPMT('Assumptions (Nuclear)'!$V$7,Model!AC1,'Assumptions (Nuclear)'!$V$10,'Assumptions (Nuclear)'!$V$5*Model!$AF$1129*AVERAGE('Assumptions (Nuclear)'!$Y$2:$AD$2)/10^9),0)</f>
        <v>-0.008864688769</v>
      </c>
      <c r="AM1267" s="160">
        <f>IF($AF$1129&gt;0,IPMT('Assumptions (Nuclear)'!$V$7,Model!AD1,'Assumptions (Nuclear)'!$V$10,'Assumptions (Nuclear)'!$V$5*Model!$AF$1129*AVERAGE('Assumptions (Nuclear)'!$Y$2:$AD$2)/10^9),0)</f>
        <v>-0.008052434792</v>
      </c>
      <c r="AN1267" s="160">
        <f>IF($AF$1129&gt;0,IPMT('Assumptions (Nuclear)'!$V$7,Model!AE1,'Assumptions (Nuclear)'!$V$10,'Assumptions (Nuclear)'!$V$5*Model!$AF$1129*AVERAGE('Assumptions (Nuclear)'!$Y$2:$AD$2)/10^9),0)</f>
        <v>-0.00720159875</v>
      </c>
      <c r="AO1267" s="160">
        <f>IF($AF$1129&gt;0,IPMT('Assumptions (Nuclear)'!$V$7,Model!AF1,'Assumptions (Nuclear)'!$V$10,'Assumptions (Nuclear)'!$V$5*Model!$AF$1129*AVERAGE('Assumptions (Nuclear)'!$Y$2:$AD$2)/10^9),0)</f>
        <v>-0.006310347997</v>
      </c>
      <c r="AP1267" s="160">
        <f>IF($AF$1129&gt;0,IPMT('Assumptions (Nuclear)'!$V$7,Model!AG1,'Assumptions (Nuclear)'!$V$10,'Assumptions (Nuclear)'!$V$5*Model!$AF$1129*AVERAGE('Assumptions (Nuclear)'!$Y$2:$AD$2)/10^9),0)</f>
        <v>-0.005376762833</v>
      </c>
      <c r="AQ1267" s="160">
        <f>IF($AF$1129&gt;0,IPMT('Assumptions (Nuclear)'!$V$7,Model!AH1,'Assumptions (Nuclear)'!$V$10,'Assumptions (Nuclear)'!$V$5*Model!$AF$1129*AVERAGE('Assumptions (Nuclear)'!$Y$2:$AD$2)/10^9),0)</f>
        <v>-0.004398832373</v>
      </c>
      <c r="AR1267" s="160">
        <f>IF($AF$1129&gt;0,IPMT('Assumptions (Nuclear)'!$V$7,Model!AI1,'Assumptions (Nuclear)'!$V$10,'Assumptions (Nuclear)'!$V$5*Model!$AF$1129*AVERAGE('Assumptions (Nuclear)'!$Y$2:$AD$2)/10^9),0)</f>
        <v>-0.003374450217</v>
      </c>
      <c r="AS1267" s="160">
        <f>IF($AF$1129&gt;0,IPMT('Assumptions (Nuclear)'!$V$7,Model!AJ1,'Assumptions (Nuclear)'!$V$10,'Assumptions (Nuclear)'!$V$5*Model!$AF$1129*AVERAGE('Assumptions (Nuclear)'!$Y$2:$AD$2)/10^9),0)</f>
        <v>-0.002301409909</v>
      </c>
      <c r="AT1267" s="160">
        <f>IF($AF$1129&gt;0,IPMT('Assumptions (Nuclear)'!$V$7,Model!AK1,'Assumptions (Nuclear)'!$V$10,'Assumptions (Nuclear)'!$V$5*Model!$AF$1129*AVERAGE('Assumptions (Nuclear)'!$Y$2:$AD$2)/10^9),0)</f>
        <v>-0.001177400185</v>
      </c>
      <c r="AU1267" s="160"/>
      <c r="AV1267" s="160"/>
      <c r="AW1267" s="160"/>
      <c r="AX1267" s="160"/>
      <c r="AY1267" s="160"/>
      <c r="AZ1267" s="160"/>
      <c r="BA1267" s="160"/>
      <c r="BB1267" s="160"/>
      <c r="BC1267" s="160"/>
      <c r="BD1267" s="160"/>
    </row>
    <row r="1268" ht="15.75" hidden="1" customHeight="1" outlineLevel="1">
      <c r="A1268" s="262"/>
      <c r="B1268" s="38"/>
      <c r="C1268" s="174"/>
      <c r="D1268" s="174"/>
      <c r="E1268" s="174"/>
      <c r="F1268" s="174"/>
      <c r="G1268" s="174"/>
      <c r="H1268" s="174"/>
      <c r="I1268" s="174"/>
      <c r="J1268" s="174"/>
      <c r="K1268" s="174"/>
      <c r="L1268" s="174"/>
      <c r="M1268" s="174"/>
      <c r="N1268" s="174"/>
      <c r="O1268" s="174"/>
      <c r="P1268" s="174"/>
      <c r="Q1268" s="174"/>
      <c r="R1268" s="174"/>
      <c r="S1268" s="174"/>
      <c r="T1268" s="174"/>
      <c r="U1268" s="174"/>
      <c r="V1268" s="174"/>
      <c r="W1268" s="160"/>
      <c r="X1268" s="160"/>
      <c r="Y1268" s="160"/>
      <c r="Z1268" s="160"/>
      <c r="AA1268" s="160"/>
      <c r="AB1268" s="160"/>
      <c r="AC1268" s="160"/>
      <c r="AD1268" s="160"/>
      <c r="AE1268" s="160"/>
      <c r="AF1268" s="160"/>
      <c r="AG1268" s="160">
        <f>IF($AG$1129&gt;0,IPMT('Assumptions (Nuclear)'!$V$7,Model!W1,'Assumptions (Nuclear)'!$V$10,'Assumptions (Nuclear)'!$V$5*Model!$AG$1129*AVERAGE('Assumptions (Nuclear)'!$Z$2:$AE$2)/10^9),0)</f>
        <v>-0.01320151808</v>
      </c>
      <c r="AH1268" s="160">
        <f>IF($AG$1129&gt;0,IPMT('Assumptions (Nuclear)'!$V$7,Model!X1,'Assumptions (Nuclear)'!$V$10,'Assumptions (Nuclear)'!$V$5*Model!$AG$1129*AVERAGE('Assumptions (Nuclear)'!$Z$2:$AE$2)/10^9),0)</f>
        <v>-0.01257812742</v>
      </c>
      <c r="AI1268" s="160">
        <f>IF($AG$1129&gt;0,IPMT('Assumptions (Nuclear)'!$V$7,Model!Y1,'Assumptions (Nuclear)'!$V$10,'Assumptions (Nuclear)'!$V$5*Model!$AG$1129*AVERAGE('Assumptions (Nuclear)'!$Z$2:$AE$2)/10^9),0)</f>
        <v>-0.0119251257</v>
      </c>
      <c r="AJ1268" s="160">
        <f>IF($AG$1129&gt;0,IPMT('Assumptions (Nuclear)'!$V$7,Model!Z1,'Assumptions (Nuclear)'!$V$10,'Assumptions (Nuclear)'!$V$5*Model!$AG$1129*AVERAGE('Assumptions (Nuclear)'!$Z$2:$AE$2)/10^9),0)</f>
        <v>-0.01124110641</v>
      </c>
      <c r="AK1268" s="160">
        <f>IF($AG$1129&gt;0,IPMT('Assumptions (Nuclear)'!$V$7,Model!AA1,'Assumptions (Nuclear)'!$V$10,'Assumptions (Nuclear)'!$V$5*Model!$AG$1129*AVERAGE('Assumptions (Nuclear)'!$Z$2:$AE$2)/10^9),0)</f>
        <v>-0.01052459619</v>
      </c>
      <c r="AL1268" s="160">
        <f>IF($AG$1129&gt;0,IPMT('Assumptions (Nuclear)'!$V$7,Model!AB1,'Assumptions (Nuclear)'!$V$10,'Assumptions (Nuclear)'!$V$5*Model!$AG$1129*AVERAGE('Assumptions (Nuclear)'!$Z$2:$AE$2)/10^9),0)</f>
        <v>-0.009774051743</v>
      </c>
      <c r="AM1268" s="160">
        <f>IF($AG$1129&gt;0,IPMT('Assumptions (Nuclear)'!$V$7,Model!AC1,'Assumptions (Nuclear)'!$V$10,'Assumptions (Nuclear)'!$V$5*Model!$AG$1129*AVERAGE('Assumptions (Nuclear)'!$Z$2:$AE$2)/10^9),0)</f>
        <v>-0.008987856433</v>
      </c>
      <c r="AN1268" s="160">
        <f>IF($AG$1129&gt;0,IPMT('Assumptions (Nuclear)'!$V$7,Model!AD1,'Assumptions (Nuclear)'!$V$10,'Assumptions (Nuclear)'!$V$5*Model!$AG$1129*AVERAGE('Assumptions (Nuclear)'!$Z$2:$AE$2)/10^9),0)</f>
        <v>-0.008164316845</v>
      </c>
      <c r="AO1268" s="160">
        <f>IF($AG$1129&gt;0,IPMT('Assumptions (Nuclear)'!$V$7,Model!AE1,'Assumptions (Nuclear)'!$V$10,'Assumptions (Nuclear)'!$V$5*Model!$AG$1129*AVERAGE('Assumptions (Nuclear)'!$Z$2:$AE$2)/10^9),0)</f>
        <v>-0.007301659126</v>
      </c>
      <c r="AP1268" s="160">
        <f>IF($AG$1129&gt;0,IPMT('Assumptions (Nuclear)'!$V$7,Model!AF1,'Assumptions (Nuclear)'!$V$10,'Assumptions (Nuclear)'!$V$5*Model!$AG$1129*AVERAGE('Assumptions (Nuclear)'!$Z$2:$AE$2)/10^9),0)</f>
        <v>-0.006398025166</v>
      </c>
      <c r="AQ1268" s="160">
        <f>IF($AG$1129&gt;0,IPMT('Assumptions (Nuclear)'!$V$7,Model!AG1,'Assumptions (Nuclear)'!$V$10,'Assumptions (Nuclear)'!$V$5*Model!$AG$1129*AVERAGE('Assumptions (Nuclear)'!$Z$2:$AE$2)/10^9),0)</f>
        <v>-0.005451468593</v>
      </c>
      <c r="AR1268" s="160">
        <f>IF($AG$1129&gt;0,IPMT('Assumptions (Nuclear)'!$V$7,Model!AH1,'Assumptions (Nuclear)'!$V$10,'Assumptions (Nuclear)'!$V$5*Model!$AG$1129*AVERAGE('Assumptions (Nuclear)'!$Z$2:$AE$2)/10^9),0)</f>
        <v>-0.004459950583</v>
      </c>
      <c r="AS1268" s="160">
        <f>IF($AG$1129&gt;0,IPMT('Assumptions (Nuclear)'!$V$7,Model!AI1,'Assumptions (Nuclear)'!$V$10,'Assumptions (Nuclear)'!$V$5*Model!$AG$1129*AVERAGE('Assumptions (Nuclear)'!$Z$2:$AE$2)/10^9),0)</f>
        <v>-0.003421335467</v>
      </c>
      <c r="AT1268" s="160">
        <f>IF($AG$1129&gt;0,IPMT('Assumptions (Nuclear)'!$V$7,Model!AJ1,'Assumptions (Nuclear)'!$V$10,'Assumptions (Nuclear)'!$V$5*Model!$AG$1129*AVERAGE('Assumptions (Nuclear)'!$Z$2:$AE$2)/10^9),0)</f>
        <v>-0.002333386133</v>
      </c>
      <c r="AU1268" s="160">
        <f>IF($AG$1129&gt;0,IPMT('Assumptions (Nuclear)'!$V$7,Model!AK1,'Assumptions (Nuclear)'!$V$10,'Assumptions (Nuclear)'!$V$5*Model!$AG$1129*AVERAGE('Assumptions (Nuclear)'!$Z$2:$AE$2)/10^9),0)</f>
        <v>-0.001193759206</v>
      </c>
      <c r="AV1268" s="160"/>
      <c r="AW1268" s="160"/>
      <c r="AX1268" s="160"/>
      <c r="AY1268" s="160"/>
      <c r="AZ1268" s="160"/>
      <c r="BA1268" s="160"/>
      <c r="BB1268" s="160"/>
      <c r="BC1268" s="160"/>
      <c r="BD1268" s="160"/>
      <c r="BE1268" s="160"/>
    </row>
    <row r="1269" ht="15.75" hidden="1" customHeight="1" outlineLevel="1">
      <c r="A1269" s="262"/>
      <c r="B1269" s="38"/>
      <c r="C1269" s="174"/>
      <c r="D1269" s="174"/>
      <c r="E1269" s="174"/>
      <c r="F1269" s="174"/>
      <c r="G1269" s="174"/>
      <c r="H1269" s="174"/>
      <c r="I1269" s="174"/>
      <c r="J1269" s="174"/>
      <c r="K1269" s="174"/>
      <c r="L1269" s="174"/>
      <c r="M1269" s="174"/>
      <c r="N1269" s="174"/>
      <c r="O1269" s="174"/>
      <c r="P1269" s="174"/>
      <c r="Q1269" s="174"/>
      <c r="R1269" s="174"/>
      <c r="S1269" s="174"/>
      <c r="T1269" s="174"/>
      <c r="U1269" s="174"/>
      <c r="V1269" s="174"/>
      <c r="W1269" s="160"/>
      <c r="X1269" s="160"/>
      <c r="Y1269" s="160"/>
      <c r="Z1269" s="160"/>
      <c r="AA1269" s="160"/>
      <c r="AB1269" s="160"/>
      <c r="AC1269" s="160"/>
      <c r="AD1269" s="160"/>
      <c r="AE1269" s="160"/>
      <c r="AF1269" s="160"/>
      <c r="AG1269" s="160"/>
      <c r="AH1269" s="160">
        <f>IF($AH$1129&gt;0,IPMT('Assumptions (Nuclear)'!$V$7,Model!W1,'Assumptions (Nuclear)'!$V$10,'Assumptions (Nuclear)'!$V$5*Model!$AH$1129*AVERAGE('Assumptions (Nuclear)'!$AA$2:$AF$2)/10^9),0)</f>
        <v>-0.01338118294</v>
      </c>
      <c r="AI1269" s="160">
        <f>IF($AH$1129&gt;0,IPMT('Assumptions (Nuclear)'!$V$7,Model!X1,'Assumptions (Nuclear)'!$V$10,'Assumptions (Nuclear)'!$V$5*Model!$AH$1129*AVERAGE('Assumptions (Nuclear)'!$AA$2:$AF$2)/10^9),0)</f>
        <v>-0.0127493083</v>
      </c>
      <c r="AJ1269" s="160">
        <f>IF($AH$1129&gt;0,IPMT('Assumptions (Nuclear)'!$V$7,Model!Y1,'Assumptions (Nuclear)'!$V$10,'Assumptions (Nuclear)'!$V$5*Model!$AH$1129*AVERAGE('Assumptions (Nuclear)'!$AA$2:$AF$2)/10^9),0)</f>
        <v>-0.01208741961</v>
      </c>
      <c r="AK1269" s="160">
        <f>IF($AH$1129&gt;0,IPMT('Assumptions (Nuclear)'!$V$7,Model!Z1,'Assumptions (Nuclear)'!$V$10,'Assumptions (Nuclear)'!$V$5*Model!$AH$1129*AVERAGE('Assumptions (Nuclear)'!$AA$2:$AF$2)/10^9),0)</f>
        <v>-0.01139409122</v>
      </c>
      <c r="AL1269" s="160">
        <f>IF($AH$1129&gt;0,IPMT('Assumptions (Nuclear)'!$V$7,Model!AA1,'Assumptions (Nuclear)'!$V$10,'Assumptions (Nuclear)'!$V$5*Model!$AH$1129*AVERAGE('Assumptions (Nuclear)'!$AA$2:$AF$2)/10^9),0)</f>
        <v>-0.01066782972</v>
      </c>
      <c r="AM1269" s="160">
        <f>IF($AH$1129&gt;0,IPMT('Assumptions (Nuclear)'!$V$7,Model!AB1,'Assumptions (Nuclear)'!$V$10,'Assumptions (Nuclear)'!$V$5*Model!$AH$1129*AVERAGE('Assumptions (Nuclear)'!$AA$2:$AF$2)/10^9),0)</f>
        <v>-0.009907070809</v>
      </c>
      <c r="AN1269" s="160">
        <f>IF($AH$1129&gt;0,IPMT('Assumptions (Nuclear)'!$V$7,Model!AC1,'Assumptions (Nuclear)'!$V$10,'Assumptions (Nuclear)'!$V$5*Model!$AH$1129*AVERAGE('Assumptions (Nuclear)'!$AA$2:$AF$2)/10^9),0)</f>
        <v>-0.009110175845</v>
      </c>
      <c r="AO1269" s="160">
        <f>IF($AH$1129&gt;0,IPMT('Assumptions (Nuclear)'!$V$7,Model!AD1,'Assumptions (Nuclear)'!$V$10,'Assumptions (Nuclear)'!$V$5*Model!$AH$1129*AVERAGE('Assumptions (Nuclear)'!$AA$2:$AF$2)/10^9),0)</f>
        <v>-0.00827542837</v>
      </c>
      <c r="AP1269" s="160">
        <f>IF($AH$1129&gt;0,IPMT('Assumptions (Nuclear)'!$V$7,Model!AE1,'Assumptions (Nuclear)'!$V$10,'Assumptions (Nuclear)'!$V$5*Model!$AH$1129*AVERAGE('Assumptions (Nuclear)'!$AA$2:$AF$2)/10^9),0)</f>
        <v>-0.00740103039</v>
      </c>
      <c r="AQ1269" s="160">
        <f>IF($AH$1129&gt;0,IPMT('Assumptions (Nuclear)'!$V$7,Model!AF1,'Assumptions (Nuclear)'!$V$10,'Assumptions (Nuclear)'!$V$5*Model!$AH$1129*AVERAGE('Assumptions (Nuclear)'!$AA$2:$AF$2)/10^9),0)</f>
        <v>-0.006485098506</v>
      </c>
      <c r="AR1269" s="160">
        <f>IF($AH$1129&gt;0,IPMT('Assumptions (Nuclear)'!$V$7,Model!AG1,'Assumptions (Nuclear)'!$V$10,'Assumptions (Nuclear)'!$V$5*Model!$AH$1129*AVERAGE('Assumptions (Nuclear)'!$AA$2:$AF$2)/10^9),0)</f>
        <v>-0.005525659858</v>
      </c>
      <c r="AS1269" s="160">
        <f>IF($AH$1129&gt;0,IPMT('Assumptions (Nuclear)'!$V$7,Model!AH1,'Assumptions (Nuclear)'!$V$10,'Assumptions (Nuclear)'!$V$5*Model!$AH$1129*AVERAGE('Assumptions (Nuclear)'!$AA$2:$AF$2)/10^9),0)</f>
        <v>-0.004520647873</v>
      </c>
      <c r="AT1269" s="160">
        <f>IF($AH$1129&gt;0,IPMT('Assumptions (Nuclear)'!$V$7,Model!AI1,'Assumptions (Nuclear)'!$V$10,'Assumptions (Nuclear)'!$V$5*Model!$AH$1129*AVERAGE('Assumptions (Nuclear)'!$AA$2:$AF$2)/10^9),0)</f>
        <v>-0.00346789782</v>
      </c>
      <c r="AU1269" s="160">
        <f>IF($AH$1129&gt;0,IPMT('Assumptions (Nuclear)'!$V$7,Model!AJ1,'Assumptions (Nuclear)'!$V$10,'Assumptions (Nuclear)'!$V$5*Model!$AH$1129*AVERAGE('Assumptions (Nuclear)'!$AA$2:$AF$2)/10^9),0)</f>
        <v>-0.002365142139</v>
      </c>
      <c r="AV1269" s="160">
        <f>IF($AH$1129&gt;0,IPMT('Assumptions (Nuclear)'!$V$7,Model!AK1,'Assumptions (Nuclear)'!$V$10,'Assumptions (Nuclear)'!$V$5*Model!$AH$1129*AVERAGE('Assumptions (Nuclear)'!$AA$2:$AF$2)/10^9),0)</f>
        <v>-0.001210005563</v>
      </c>
      <c r="AW1269" s="160"/>
      <c r="AX1269" s="160"/>
      <c r="AY1269" s="160"/>
      <c r="AZ1269" s="160"/>
      <c r="BA1269" s="160"/>
      <c r="BB1269" s="160"/>
      <c r="BC1269" s="160"/>
      <c r="BD1269" s="160"/>
      <c r="BE1269" s="160"/>
      <c r="BF1269" s="160"/>
    </row>
    <row r="1270" ht="15.75" hidden="1" customHeight="1" outlineLevel="1">
      <c r="A1270" s="262"/>
      <c r="B1270" s="38"/>
      <c r="C1270" s="174"/>
      <c r="D1270" s="174"/>
      <c r="E1270" s="174"/>
      <c r="F1270" s="174"/>
      <c r="G1270" s="174"/>
      <c r="H1270" s="174"/>
      <c r="I1270" s="174"/>
      <c r="J1270" s="174"/>
      <c r="K1270" s="174"/>
      <c r="L1270" s="174"/>
      <c r="M1270" s="174"/>
      <c r="N1270" s="174"/>
      <c r="O1270" s="174"/>
      <c r="P1270" s="174"/>
      <c r="Q1270" s="174"/>
      <c r="R1270" s="174"/>
      <c r="S1270" s="174"/>
      <c r="T1270" s="174"/>
      <c r="U1270" s="174"/>
      <c r="V1270" s="174"/>
      <c r="W1270" s="160"/>
      <c r="X1270" s="160"/>
      <c r="Y1270" s="160"/>
      <c r="Z1270" s="160"/>
      <c r="AA1270" s="160"/>
      <c r="AB1270" s="160"/>
      <c r="AC1270" s="160"/>
      <c r="AD1270" s="160"/>
      <c r="AE1270" s="160"/>
      <c r="AF1270" s="160"/>
      <c r="AG1270" s="160"/>
      <c r="AH1270" s="160"/>
      <c r="AI1270" s="160">
        <f>IF($AI$1129&gt;0,IPMT('Assumptions (Nuclear)'!$V$7,Model!W1,'Assumptions (Nuclear)'!$V$10,'Assumptions (Nuclear)'!$V$5*Model!$AI$1129*AVERAGE('Assumptions (Nuclear)'!$AB$2:$AG$2)/10^9),0)</f>
        <v>-0.01356014463</v>
      </c>
      <c r="AJ1270" s="160">
        <f>IF($AI$1129&gt;0,IPMT('Assumptions (Nuclear)'!$V$7,Model!X1,'Assumptions (Nuclear)'!$V$10,'Assumptions (Nuclear)'!$V$5*Model!$AI$1129*AVERAGE('Assumptions (Nuclear)'!$AB$2:$AG$2)/10^9),0)</f>
        <v>-0.01291981922</v>
      </c>
      <c r="AK1270" s="160">
        <f>IF($AI$1129&gt;0,IPMT('Assumptions (Nuclear)'!$V$7,Model!Y1,'Assumptions (Nuclear)'!$V$10,'Assumptions (Nuclear)'!$V$5*Model!$AI$1129*AVERAGE('Assumptions (Nuclear)'!$AB$2:$AG$2)/10^9),0)</f>
        <v>-0.01224907835</v>
      </c>
      <c r="AL1270" s="160">
        <f>IF($AI$1129&gt;0,IPMT('Assumptions (Nuclear)'!$V$7,Model!Z1,'Assumptions (Nuclear)'!$V$10,'Assumptions (Nuclear)'!$V$5*Model!$AI$1129*AVERAGE('Assumptions (Nuclear)'!$AB$2:$AG$2)/10^9),0)</f>
        <v>-0.01154647729</v>
      </c>
      <c r="AM1270" s="160">
        <f>IF($AI$1129&gt;0,IPMT('Assumptions (Nuclear)'!$V$7,Model!AA1,'Assumptions (Nuclear)'!$V$10,'Assumptions (Nuclear)'!$V$5*Model!$AI$1129*AVERAGE('Assumptions (Nuclear)'!$AB$2:$AG$2)/10^9),0)</f>
        <v>-0.01081050268</v>
      </c>
      <c r="AN1270" s="160">
        <f>IF($AI$1129&gt;0,IPMT('Assumptions (Nuclear)'!$V$7,Model!AB1,'Assumptions (Nuclear)'!$V$10,'Assumptions (Nuclear)'!$V$5*Model!$AI$1129*AVERAGE('Assumptions (Nuclear)'!$AB$2:$AG$2)/10^9),0)</f>
        <v>-0.01003956927</v>
      </c>
      <c r="AO1270" s="160">
        <f>IF($AI$1129&gt;0,IPMT('Assumptions (Nuclear)'!$V$7,Model!AC1,'Assumptions (Nuclear)'!$V$10,'Assumptions (Nuclear)'!$V$5*Model!$AI$1129*AVERAGE('Assumptions (Nuclear)'!$AB$2:$AG$2)/10^9),0)</f>
        <v>-0.009232016532</v>
      </c>
      <c r="AP1270" s="160">
        <f>IF($AI$1129&gt;0,IPMT('Assumptions (Nuclear)'!$V$7,Model!AD1,'Assumptions (Nuclear)'!$V$10,'Assumptions (Nuclear)'!$V$5*Model!$AI$1129*AVERAGE('Assumptions (Nuclear)'!$AB$2:$AG$2)/10^9),0)</f>
        <v>-0.008386105035</v>
      </c>
      <c r="AQ1270" s="160">
        <f>IF($AI$1129&gt;0,IPMT('Assumptions (Nuclear)'!$V$7,Model!AE1,'Assumptions (Nuclear)'!$V$10,'Assumptions (Nuclear)'!$V$5*Model!$AI$1129*AVERAGE('Assumptions (Nuclear)'!$AB$2:$AG$2)/10^9),0)</f>
        <v>-0.007500012742</v>
      </c>
      <c r="AR1270" s="160">
        <f>IF($AI$1129&gt;0,IPMT('Assumptions (Nuclear)'!$V$7,Model!AF1,'Assumptions (Nuclear)'!$V$10,'Assumptions (Nuclear)'!$V$5*Model!$AI$1129*AVERAGE('Assumptions (Nuclear)'!$AB$2:$AG$2)/10^9),0)</f>
        <v>-0.006571831065</v>
      </c>
      <c r="AS1270" s="160">
        <f>IF($AI$1129&gt;0,IPMT('Assumptions (Nuclear)'!$V$7,Model!AG1,'Assumptions (Nuclear)'!$V$10,'Assumptions (Nuclear)'!$V$5*Model!$AI$1129*AVERAGE('Assumptions (Nuclear)'!$AB$2:$AG$2)/10^9),0)</f>
        <v>-0.005599560758</v>
      </c>
      <c r="AT1270" s="160">
        <f>IF($AI$1129&gt;0,IPMT('Assumptions (Nuclear)'!$V$7,Model!AH1,'Assumptions (Nuclear)'!$V$10,'Assumptions (Nuclear)'!$V$5*Model!$AI$1129*AVERAGE('Assumptions (Nuclear)'!$AB$2:$AG$2)/10^9),0)</f>
        <v>-0.004581107611</v>
      </c>
      <c r="AU1270" s="160">
        <f>IF($AI$1129&gt;0,IPMT('Assumptions (Nuclear)'!$V$7,Model!AI1,'Assumptions (Nuclear)'!$V$10,'Assumptions (Nuclear)'!$V$5*Model!$AI$1129*AVERAGE('Assumptions (Nuclear)'!$AB$2:$AG$2)/10^9),0)</f>
        <v>-0.003514277941</v>
      </c>
      <c r="AV1270" s="160">
        <f>IF($AI$1129&gt;0,IPMT('Assumptions (Nuclear)'!$V$7,Model!AJ1,'Assumptions (Nuclear)'!$V$10,'Assumptions (Nuclear)'!$V$5*Model!$AI$1129*AVERAGE('Assumptions (Nuclear)'!$AB$2:$AG$2)/10^9),0)</f>
        <v>-0.00239677386</v>
      </c>
      <c r="AW1270" s="160">
        <f>IF($AI$1129&gt;0,IPMT('Assumptions (Nuclear)'!$V$7,Model!AK1,'Assumptions (Nuclear)'!$V$10,'Assumptions (Nuclear)'!$V$5*Model!$AI$1129*AVERAGE('Assumptions (Nuclear)'!$AB$2:$AG$2)/10^9),0)</f>
        <v>-0.001226188336</v>
      </c>
      <c r="AX1270" s="160"/>
      <c r="AY1270" s="160"/>
      <c r="AZ1270" s="160"/>
      <c r="BA1270" s="160"/>
      <c r="BB1270" s="160"/>
      <c r="BC1270" s="160"/>
      <c r="BD1270" s="160"/>
      <c r="BE1270" s="160"/>
      <c r="BF1270" s="160"/>
      <c r="BG1270" s="160"/>
    </row>
    <row r="1271" ht="15.75" hidden="1" customHeight="1" outlineLevel="1">
      <c r="A1271" s="262"/>
      <c r="B1271" s="38"/>
      <c r="C1271" s="174"/>
      <c r="D1271" s="174"/>
      <c r="E1271" s="174"/>
      <c r="F1271" s="174"/>
      <c r="G1271" s="174"/>
      <c r="H1271" s="174"/>
      <c r="I1271" s="174"/>
      <c r="J1271" s="174"/>
      <c r="K1271" s="174"/>
      <c r="L1271" s="174"/>
      <c r="M1271" s="174"/>
      <c r="N1271" s="174"/>
      <c r="O1271" s="174"/>
      <c r="P1271" s="174"/>
      <c r="Q1271" s="174"/>
      <c r="R1271" s="174"/>
      <c r="S1271" s="174"/>
      <c r="T1271" s="174"/>
      <c r="U1271" s="174"/>
      <c r="V1271" s="174"/>
      <c r="W1271" s="160"/>
      <c r="X1271" s="160"/>
      <c r="Y1271" s="160"/>
      <c r="Z1271" s="160"/>
      <c r="AA1271" s="160"/>
      <c r="AB1271" s="160"/>
      <c r="AC1271" s="160"/>
      <c r="AD1271" s="160"/>
      <c r="AE1271" s="160"/>
      <c r="AF1271" s="160"/>
      <c r="AG1271" s="160"/>
      <c r="AH1271" s="160"/>
      <c r="AI1271" s="160"/>
      <c r="AJ1271" s="177">
        <f>IF($AJ$1129&gt;0,IPMT('Assumptions (Nuclear)'!$V$7,Model!W1,'Assumptions (Nuclear)'!$V$10,'Assumptions (Nuclear)'!$V$5*Model!$AJ$1129*AVERAGE('Assumptions (Nuclear)'!$AC$2:$AH$2)/10^9),0)</f>
        <v>-0.136816646</v>
      </c>
      <c r="AK1271" s="177">
        <f>IF($AJ$1129&gt;0,IPMT('Assumptions (Nuclear)'!$V$7,Model!X1,'Assumptions (Nuclear)'!$V$10,'Assumptions (Nuclear)'!$V$5*Model!$AJ$1129*AVERAGE('Assumptions (Nuclear)'!$AC$2:$AH$2)/10^9),0)</f>
        <v>-0.1303560088</v>
      </c>
      <c r="AL1271" s="177">
        <f>IF($AJ$1129&gt;0,IPMT('Assumptions (Nuclear)'!$V$7,Model!Y1,'Assumptions (Nuclear)'!$V$10,'Assumptions (Nuclear)'!$V$5*Model!$AJ$1129*AVERAGE('Assumptions (Nuclear)'!$AC$2:$AH$2)/10^9),0)</f>
        <v>-0.1235884913</v>
      </c>
      <c r="AM1271" s="177">
        <f>IF($AJ$1129&gt;0,IPMT('Assumptions (Nuclear)'!$V$7,Model!Z1,'Assumptions (Nuclear)'!$V$10,'Assumptions (Nuclear)'!$V$5*Model!$AJ$1129*AVERAGE('Assumptions (Nuclear)'!$AC$2:$AH$2)/10^9),0)</f>
        <v>-0.1164995167</v>
      </c>
      <c r="AN1271" s="177">
        <f>IF($AJ$1129&gt;0,IPMT('Assumptions (Nuclear)'!$V$7,Model!AA1,'Assumptions (Nuclear)'!$V$10,'Assumptions (Nuclear)'!$V$5*Model!$AJ$1129*AVERAGE('Assumptions (Nuclear)'!$AC$2:$AH$2)/10^9),0)</f>
        <v>-0.1090738158</v>
      </c>
      <c r="AO1271" s="177">
        <f>IF($AJ$1129&gt;0,IPMT('Assumptions (Nuclear)'!$V$7,Model!AB1,'Assumptions (Nuclear)'!$V$10,'Assumptions (Nuclear)'!$V$5*Model!$AJ$1129*AVERAGE('Assumptions (Nuclear)'!$AC$2:$AH$2)/10^9),0)</f>
        <v>-0.1012953941</v>
      </c>
      <c r="AP1271" s="177">
        <f>IF($AJ$1129&gt;0,IPMT('Assumptions (Nuclear)'!$V$7,Model!AC1,'Assumptions (Nuclear)'!$V$10,'Assumptions (Nuclear)'!$V$5*Model!$AJ$1129*AVERAGE('Assumptions (Nuclear)'!$AC$2:$AH$2)/10^9),0)</f>
        <v>-0.09314749745</v>
      </c>
      <c r="AQ1271" s="177">
        <f>IF($AJ$1129&gt;0,IPMT('Assumptions (Nuclear)'!$V$7,Model!AD1,'Assumptions (Nuclear)'!$V$10,'Assumptions (Nuclear)'!$V$5*Model!$AJ$1129*AVERAGE('Assumptions (Nuclear)'!$AC$2:$AH$2)/10^9),0)</f>
        <v>-0.08461257567</v>
      </c>
      <c r="AR1271" s="177">
        <f>IF($AJ$1129&gt;0,IPMT('Assumptions (Nuclear)'!$V$7,Model!AE1,'Assumptions (Nuclear)'!$V$10,'Assumptions (Nuclear)'!$V$5*Model!$AJ$1129*AVERAGE('Assumptions (Nuclear)'!$AC$2:$AH$2)/10^9),0)</f>
        <v>-0.0756722451</v>
      </c>
      <c r="AS1271" s="177">
        <f>IF($AJ$1129&gt;0,IPMT('Assumptions (Nuclear)'!$V$7,Model!AF1,'Assumptions (Nuclear)'!$V$10,'Assumptions (Nuclear)'!$V$5*Model!$AJ$1129*AVERAGE('Assumptions (Nuclear)'!$AC$2:$AH$2)/10^9),0)</f>
        <v>-0.06630724882</v>
      </c>
      <c r="AT1271" s="177">
        <f>IF($AJ$1129&gt;0,IPMT('Assumptions (Nuclear)'!$V$7,Model!AG1,'Assumptions (Nuclear)'!$V$10,'Assumptions (Nuclear)'!$V$5*Model!$AJ$1129*AVERAGE('Assumptions (Nuclear)'!$AC$2:$AH$2)/10^9),0)</f>
        <v>-0.05649741523</v>
      </c>
      <c r="AU1271" s="177">
        <f>IF($AJ$1129&gt;0,IPMT('Assumptions (Nuclear)'!$V$7,Model!AH1,'Assumptions (Nuclear)'!$V$10,'Assumptions (Nuclear)'!$V$5*Model!$AJ$1129*AVERAGE('Assumptions (Nuclear)'!$AC$2:$AH$2)/10^9),0)</f>
        <v>-0.04622161454</v>
      </c>
      <c r="AV1271" s="177">
        <f>IF($AJ$1129&gt;0,IPMT('Assumptions (Nuclear)'!$V$7,Model!AI1,'Assumptions (Nuclear)'!$V$10,'Assumptions (Nuclear)'!$V$5*Model!$AJ$1129*AVERAGE('Assumptions (Nuclear)'!$AC$2:$AH$2)/10^9),0)</f>
        <v>-0.03545771332</v>
      </c>
      <c r="AW1271" s="177">
        <f>IF($AJ$1129&gt;0,IPMT('Assumptions (Nuclear)'!$V$7,Model!AJ1,'Assumptions (Nuclear)'!$V$10,'Assumptions (Nuclear)'!$V$5*Model!$AJ$1129*AVERAGE('Assumptions (Nuclear)'!$AC$2:$AH$2)/10^9),0)</f>
        <v>-0.02418252678</v>
      </c>
      <c r="AX1271" s="177">
        <f>IF($AJ$1129&gt;0,IPMT('Assumptions (Nuclear)'!$V$7,Model!AK1,'Assumptions (Nuclear)'!$V$10,'Assumptions (Nuclear)'!$V$5*Model!$AJ$1129*AVERAGE('Assumptions (Nuclear)'!$AC$2:$AH$2)/10^9),0)</f>
        <v>-0.01237176889</v>
      </c>
      <c r="AY1271" s="177"/>
      <c r="AZ1271" s="177"/>
      <c r="BA1271" s="177"/>
      <c r="BB1271" s="177"/>
      <c r="BC1271" s="177"/>
      <c r="BD1271" s="177"/>
      <c r="BE1271" s="177"/>
      <c r="BF1271" s="177"/>
      <c r="BG1271" s="177"/>
      <c r="BH1271" s="177"/>
    </row>
    <row r="1272" ht="15.75" hidden="1" customHeight="1" outlineLevel="1">
      <c r="A1272" s="262"/>
      <c r="B1272" s="38"/>
      <c r="C1272" s="174"/>
      <c r="D1272" s="174"/>
      <c r="E1272" s="174"/>
      <c r="F1272" s="174"/>
      <c r="G1272" s="174"/>
      <c r="H1272" s="174"/>
      <c r="I1272" s="174"/>
      <c r="J1272" s="174"/>
      <c r="K1272" s="174"/>
      <c r="L1272" s="174"/>
      <c r="M1272" s="174"/>
      <c r="N1272" s="174"/>
      <c r="O1272" s="174"/>
      <c r="P1272" s="174"/>
      <c r="Q1272" s="174"/>
      <c r="R1272" s="174"/>
      <c r="S1272" s="174"/>
      <c r="T1272" s="174"/>
      <c r="U1272" s="174"/>
      <c r="V1272" s="174"/>
      <c r="W1272" s="160"/>
      <c r="X1272" s="160"/>
      <c r="Y1272" s="160"/>
      <c r="Z1272" s="160"/>
      <c r="AA1272" s="160"/>
      <c r="AB1272" s="160"/>
      <c r="AC1272" s="160"/>
      <c r="AD1272" s="160"/>
      <c r="AE1272" s="160"/>
      <c r="AF1272" s="160"/>
      <c r="AG1272" s="160"/>
      <c r="AH1272" s="160"/>
      <c r="AI1272" s="160"/>
      <c r="AJ1272" s="179"/>
      <c r="AK1272" s="160">
        <f>IF($AK$1129&gt;0,IPMT('Assumptions (Nuclear)'!$V$7,Model!W1,'Assumptions (Nuclear)'!$V$10,'Assumptions (Nuclear)'!$V$5*Model!$AK$1129*AVERAGE('Assumptions (Nuclear)'!$AD$2:$AI$2)/10^9),0)</f>
        <v>-0.01391470079</v>
      </c>
      <c r="AL1272" s="160">
        <f>IF($AK$1129&gt;0,IPMT('Assumptions (Nuclear)'!$V$7,Model!X1,'Assumptions (Nuclear)'!$V$10,'Assumptions (Nuclear)'!$V$5*Model!$AK$1129*AVERAGE('Assumptions (Nuclear)'!$AD$2:$AI$2)/10^9),0)</f>
        <v>-0.01325763284</v>
      </c>
      <c r="AM1272" s="160">
        <f>IF($AK$1129&gt;0,IPMT('Assumptions (Nuclear)'!$V$7,Model!Y1,'Assumptions (Nuclear)'!$V$10,'Assumptions (Nuclear)'!$V$5*Model!$AK$1129*AVERAGE('Assumptions (Nuclear)'!$AD$2:$AI$2)/10^9),0)</f>
        <v>-0.01256935415</v>
      </c>
      <c r="AN1272" s="160">
        <f>IF($AK$1129&gt;0,IPMT('Assumptions (Nuclear)'!$V$7,Model!Z1,'Assumptions (Nuclear)'!$V$10,'Assumptions (Nuclear)'!$V$5*Model!$AK$1129*AVERAGE('Assumptions (Nuclear)'!$AD$2:$AI$2)/10^9),0)</f>
        <v>-0.01184838223</v>
      </c>
      <c r="AO1272" s="160">
        <f>IF($AK$1129&gt;0,IPMT('Assumptions (Nuclear)'!$V$7,Model!AA1,'Assumptions (Nuclear)'!$V$10,'Assumptions (Nuclear)'!$V$5*Model!$AK$1129*AVERAGE('Assumptions (Nuclear)'!$AD$2:$AI$2)/10^9),0)</f>
        <v>-0.01109316414</v>
      </c>
      <c r="AP1272" s="160">
        <f>IF($AK$1129&gt;0,IPMT('Assumptions (Nuclear)'!$V$7,Model!AB1,'Assumptions (Nuclear)'!$V$10,'Assumptions (Nuclear)'!$V$5*Model!$AK$1129*AVERAGE('Assumptions (Nuclear)'!$AD$2:$AI$2)/10^9),0)</f>
        <v>-0.0103020732</v>
      </c>
      <c r="AQ1272" s="160">
        <f>IF($AK$1129&gt;0,IPMT('Assumptions (Nuclear)'!$V$7,Model!AC1,'Assumptions (Nuclear)'!$V$10,'Assumptions (Nuclear)'!$V$5*Model!$AK$1129*AVERAGE('Assumptions (Nuclear)'!$AD$2:$AI$2)/10^9),0)</f>
        <v>-0.009473405428</v>
      </c>
      <c r="AR1272" s="160">
        <f>IF($AK$1129&gt;0,IPMT('Assumptions (Nuclear)'!$V$7,Model!AD1,'Assumptions (Nuclear)'!$V$10,'Assumptions (Nuclear)'!$V$5*Model!$AK$1129*AVERAGE('Assumptions (Nuclear)'!$AD$2:$AI$2)/10^9),0)</f>
        <v>-0.008605375942</v>
      </c>
      <c r="AS1272" s="160">
        <f>IF($AK$1129&gt;0,IPMT('Assumptions (Nuclear)'!$V$7,Model!AE1,'Assumptions (Nuclear)'!$V$10,'Assumptions (Nuclear)'!$V$5*Model!$AK$1129*AVERAGE('Assumptions (Nuclear)'!$AD$2:$AI$2)/10^9),0)</f>
        <v>-0.007696115055</v>
      </c>
      <c r="AT1272" s="160">
        <f>IF($AK$1129&gt;0,IPMT('Assumptions (Nuclear)'!$V$7,Model!AF1,'Assumptions (Nuclear)'!$V$10,'Assumptions (Nuclear)'!$V$5*Model!$AK$1129*AVERAGE('Assumptions (Nuclear)'!$AD$2:$AI$2)/10^9),0)</f>
        <v>-0.006743664276</v>
      </c>
      <c r="AU1272" s="160">
        <f>IF($AK$1129&gt;0,IPMT('Assumptions (Nuclear)'!$V$7,Model!AG1,'Assumptions (Nuclear)'!$V$10,'Assumptions (Nuclear)'!$V$5*Model!$AK$1129*AVERAGE('Assumptions (Nuclear)'!$AD$2:$AI$2)/10^9),0)</f>
        <v>-0.005745972085</v>
      </c>
      <c r="AV1272" s="160">
        <f>IF($AK$1129&gt;0,IPMT('Assumptions (Nuclear)'!$V$7,Model!AH1,'Assumptions (Nuclear)'!$V$10,'Assumptions (Nuclear)'!$V$5*Model!$AK$1129*AVERAGE('Assumptions (Nuclear)'!$AD$2:$AI$2)/10^9),0)</f>
        <v>-0.004700889515</v>
      </c>
      <c r="AW1272" s="160">
        <f>IF($AK$1129&gt;0,IPMT('Assumptions (Nuclear)'!$V$7,Model!AI1,'Assumptions (Nuclear)'!$V$10,'Assumptions (Nuclear)'!$V$5*Model!$AK$1129*AVERAGE('Assumptions (Nuclear)'!$AD$2:$AI$2)/10^9),0)</f>
        <v>-0.003606165522</v>
      </c>
      <c r="AX1272" s="160">
        <f>IF($AK$1129&gt;0,IPMT('Assumptions (Nuclear)'!$V$7,Model!AJ1,'Assumptions (Nuclear)'!$V$10,'Assumptions (Nuclear)'!$V$5*Model!$AK$1129*AVERAGE('Assumptions (Nuclear)'!$AD$2:$AI$2)/10^9),0)</f>
        <v>-0.00245944214</v>
      </c>
      <c r="AY1272" s="160">
        <f>IF($AK$1129&gt;0,IPMT('Assumptions (Nuclear)'!$V$7,Model!AK1,'Assumptions (Nuclear)'!$V$10,'Assumptions (Nuclear)'!$V$5*Model!$AK$1129*AVERAGE('Assumptions (Nuclear)'!$AD$2:$AI$2)/10^9),0)</f>
        <v>-0.001258249398</v>
      </c>
      <c r="AZ1272" s="160"/>
      <c r="BA1272" s="160"/>
      <c r="BB1272" s="160"/>
      <c r="BC1272" s="160"/>
      <c r="BD1272" s="160"/>
      <c r="BE1272" s="160"/>
      <c r="BF1272" s="160"/>
      <c r="BG1272" s="160"/>
      <c r="BH1272" s="160"/>
      <c r="BI1272" s="160"/>
    </row>
    <row r="1273" ht="15.75" hidden="1" customHeight="1" outlineLevel="1">
      <c r="A1273" s="262"/>
      <c r="B1273" s="38"/>
      <c r="C1273" s="174"/>
      <c r="D1273" s="174"/>
      <c r="E1273" s="174"/>
      <c r="F1273" s="174"/>
      <c r="G1273" s="174"/>
      <c r="H1273" s="174"/>
      <c r="I1273" s="174"/>
      <c r="J1273" s="174"/>
      <c r="K1273" s="174"/>
      <c r="L1273" s="174"/>
      <c r="M1273" s="174"/>
      <c r="N1273" s="174"/>
      <c r="O1273" s="174"/>
      <c r="P1273" s="174"/>
      <c r="Q1273" s="174"/>
      <c r="R1273" s="174"/>
      <c r="S1273" s="174"/>
      <c r="T1273" s="174"/>
      <c r="U1273" s="174"/>
      <c r="V1273" s="174"/>
      <c r="W1273" s="160"/>
      <c r="X1273" s="160"/>
      <c r="Y1273" s="160"/>
      <c r="Z1273" s="160"/>
      <c r="AA1273" s="160"/>
      <c r="AB1273" s="160"/>
      <c r="AC1273" s="160"/>
      <c r="AD1273" s="160"/>
      <c r="AE1273" s="160"/>
      <c r="AF1273" s="160"/>
      <c r="AG1273" s="160"/>
      <c r="AH1273" s="160"/>
      <c r="AI1273" s="160"/>
      <c r="AJ1273" s="179"/>
      <c r="AK1273" s="160"/>
      <c r="AL1273" s="177">
        <f>IF($AL$1129&gt;0,IPMT('Assumptions (Nuclear)'!$V$7,Model!W1,'Assumptions (Nuclear)'!$V$10,'Assumptions (Nuclear)'!$V$5*Model!$AL$1129*AVERAGE('Assumptions (Nuclear)'!$AE$2:$AJ$2)/10^9),0)</f>
        <v>-0.1597491904</v>
      </c>
      <c r="AM1273" s="177">
        <f>IF($AL$1129&gt;0,IPMT('Assumptions (Nuclear)'!$V$7,Model!X1,'Assumptions (Nuclear)'!$V$10,'Assumptions (Nuclear)'!$V$5*Model!$AL$1129*AVERAGE('Assumptions (Nuclear)'!$AE$2:$AJ$2)/10^9),0)</f>
        <v>-0.1522056524</v>
      </c>
      <c r="AN1273" s="177">
        <f>IF($AL$1129&gt;0,IPMT('Assumptions (Nuclear)'!$V$7,Model!Y1,'Assumptions (Nuclear)'!$V$10,'Assumptions (Nuclear)'!$V$5*Model!$AL$1129*AVERAGE('Assumptions (Nuclear)'!$AE$2:$AJ$2)/10^9),0)</f>
        <v>-0.1443037963</v>
      </c>
      <c r="AO1273" s="177">
        <f>IF($AL$1129&gt;0,IPMT('Assumptions (Nuclear)'!$V$7,Model!Z1,'Assumptions (Nuclear)'!$V$10,'Assumptions (Nuclear)'!$V$5*Model!$AL$1129*AVERAGE('Assumptions (Nuclear)'!$AE$2:$AJ$2)/10^9),0)</f>
        <v>-0.1360266021</v>
      </c>
      <c r="AP1273" s="177">
        <f>IF($AL$1129&gt;0,IPMT('Assumptions (Nuclear)'!$V$7,Model!AA1,'Assumptions (Nuclear)'!$V$10,'Assumptions (Nuclear)'!$V$5*Model!$AL$1129*AVERAGE('Assumptions (Nuclear)'!$AE$2:$AJ$2)/10^9),0)</f>
        <v>-0.1273562412</v>
      </c>
      <c r="AQ1273" s="177">
        <f>IF($AL$1129&gt;0,IPMT('Assumptions (Nuclear)'!$V$7,Model!AB1,'Assumptions (Nuclear)'!$V$10,'Assumptions (Nuclear)'!$V$5*Model!$AL$1129*AVERAGE('Assumptions (Nuclear)'!$AE$2:$AJ$2)/10^9),0)</f>
        <v>-0.1182740381</v>
      </c>
      <c r="AR1273" s="177">
        <f>IF($AL$1129&gt;0,IPMT('Assumptions (Nuclear)'!$V$7,Model!AC1,'Assumptions (Nuclear)'!$V$10,'Assumptions (Nuclear)'!$V$5*Model!$AL$1129*AVERAGE('Assumptions (Nuclear)'!$AE$2:$AJ$2)/10^9),0)</f>
        <v>-0.1087604304</v>
      </c>
      <c r="AS1273" s="177">
        <f>IF($AL$1129&gt;0,IPMT('Assumptions (Nuclear)'!$V$7,Model!AD1,'Assumptions (Nuclear)'!$V$10,'Assumptions (Nuclear)'!$V$5*Model!$AL$1129*AVERAGE('Assumptions (Nuclear)'!$AE$2:$AJ$2)/10^9),0)</f>
        <v>-0.0987949263</v>
      </c>
      <c r="AT1273" s="177">
        <f>IF($AL$1129&gt;0,IPMT('Assumptions (Nuclear)'!$V$7,Model!AE1,'Assumptions (Nuclear)'!$V$10,'Assumptions (Nuclear)'!$V$5*Model!$AL$1129*AVERAGE('Assumptions (Nuclear)'!$AE$2:$AJ$2)/10^9),0)</f>
        <v>-0.08835606077</v>
      </c>
      <c r="AU1273" s="177">
        <f>IF($AL$1129&gt;0,IPMT('Assumptions (Nuclear)'!$V$7,Model!AF1,'Assumptions (Nuclear)'!$V$10,'Assumptions (Nuclear)'!$V$5*Model!$AL$1129*AVERAGE('Assumptions (Nuclear)'!$AE$2:$AJ$2)/10^9),0)</f>
        <v>-0.07742134913</v>
      </c>
      <c r="AV1273" s="177">
        <f>IF($AL$1129&gt;0,IPMT('Assumptions (Nuclear)'!$V$7,Model!AG1,'Assumptions (Nuclear)'!$V$10,'Assumptions (Nuclear)'!$V$5*Model!$AL$1129*AVERAGE('Assumptions (Nuclear)'!$AE$2:$AJ$2)/10^9),0)</f>
        <v>-0.06596723868</v>
      </c>
      <c r="AW1273" s="177">
        <f>IF($AL$1129&gt;0,IPMT('Assumptions (Nuclear)'!$V$7,Model!AH1,'Assumptions (Nuclear)'!$V$10,'Assumptions (Nuclear)'!$V$5*Model!$AL$1129*AVERAGE('Assumptions (Nuclear)'!$AE$2:$AJ$2)/10^9),0)</f>
        <v>-0.05396905798</v>
      </c>
      <c r="AX1273" s="177">
        <f>IF($AL$1129&gt;0,IPMT('Assumptions (Nuclear)'!$V$7,Model!AI1,'Assumptions (Nuclear)'!$V$10,'Assumptions (Nuclear)'!$V$5*Model!$AL$1129*AVERAGE('Assumptions (Nuclear)'!$AE$2:$AJ$2)/10^9),0)</f>
        <v>-0.0414009637</v>
      </c>
      <c r="AY1273" s="177">
        <f>IF($AL$1129&gt;0,IPMT('Assumptions (Nuclear)'!$V$7,Model!AJ1,'Assumptions (Nuclear)'!$V$10,'Assumptions (Nuclear)'!$V$5*Model!$AL$1129*AVERAGE('Assumptions (Nuclear)'!$AE$2:$AJ$2)/10^9),0)</f>
        <v>-0.02823588495</v>
      </c>
      <c r="AZ1273" s="177">
        <f>IF($AL$1129&gt;0,IPMT('Assumptions (Nuclear)'!$V$7,Model!AK1,'Assumptions (Nuclear)'!$V$10,'Assumptions (Nuclear)'!$V$5*Model!$AL$1129*AVERAGE('Assumptions (Nuclear)'!$AE$2:$AJ$2)/10^9),0)</f>
        <v>-0.01444546495</v>
      </c>
      <c r="BA1273" s="177"/>
      <c r="BB1273" s="177"/>
      <c r="BC1273" s="177"/>
      <c r="BD1273" s="177"/>
      <c r="BE1273" s="177"/>
      <c r="BF1273" s="177"/>
      <c r="BG1273" s="177"/>
      <c r="BH1273" s="177"/>
      <c r="BI1273" s="177"/>
      <c r="BJ1273" s="177"/>
    </row>
    <row r="1274" ht="15.75" hidden="1" customHeight="1" outlineLevel="1">
      <c r="A1274" s="262"/>
      <c r="B1274" s="38"/>
      <c r="C1274" s="174"/>
      <c r="D1274" s="174"/>
      <c r="E1274" s="174"/>
      <c r="F1274" s="174"/>
      <c r="G1274" s="174"/>
      <c r="H1274" s="174"/>
      <c r="I1274" s="174"/>
      <c r="J1274" s="174"/>
      <c r="K1274" s="174"/>
      <c r="L1274" s="174"/>
      <c r="M1274" s="174"/>
      <c r="N1274" s="174"/>
      <c r="O1274" s="174"/>
      <c r="P1274" s="174"/>
      <c r="Q1274" s="174"/>
      <c r="R1274" s="174"/>
      <c r="S1274" s="174"/>
      <c r="T1274" s="174"/>
      <c r="U1274" s="174"/>
      <c r="V1274" s="174"/>
      <c r="W1274" s="160"/>
      <c r="X1274" s="160"/>
      <c r="Y1274" s="160"/>
      <c r="Z1274" s="160"/>
      <c r="AA1274" s="160"/>
      <c r="AB1274" s="160"/>
      <c r="AC1274" s="160"/>
      <c r="AD1274" s="160"/>
      <c r="AE1274" s="160"/>
      <c r="AF1274" s="160"/>
      <c r="AG1274" s="160"/>
      <c r="AH1274" s="160"/>
      <c r="AI1274" s="160"/>
      <c r="AJ1274" s="179"/>
      <c r="AK1274" s="160"/>
      <c r="AL1274" s="177"/>
      <c r="AM1274" s="160">
        <f>IF($AM$1129&gt;0,IPMT('Assumptions (Nuclear)'!$V$7,Model!W1,'Assumptions (Nuclear)'!$V$10,'Assumptions (Nuclear)'!$V$5*Model!$AM$1129*AVERAGE('Assumptions (Nuclear)'!$AF$2:$AK$2)/10^9),0)</f>
        <v>-0.5019983939</v>
      </c>
      <c r="AN1274" s="160">
        <f>IF($AM$1129&gt;0,IPMT('Assumptions (Nuclear)'!$V$7,Model!X1,'Assumptions (Nuclear)'!$V$10,'Assumptions (Nuclear)'!$V$5*Model!$AM$1129*AVERAGE('Assumptions (Nuclear)'!$AF$2:$AK$2)/10^9),0)</f>
        <v>-0.4782934602</v>
      </c>
      <c r="AO1274" s="160">
        <f>IF($AM$1129&gt;0,IPMT('Assumptions (Nuclear)'!$V$7,Model!Y1,'Assumptions (Nuclear)'!$V$10,'Assumptions (Nuclear)'!$V$5*Model!$AM$1129*AVERAGE('Assumptions (Nuclear)'!$AF$2:$AK$2)/10^9),0)</f>
        <v>-0.4534625423</v>
      </c>
      <c r="AP1274" s="160">
        <f>IF($AM$1129&gt;0,IPMT('Assumptions (Nuclear)'!$V$7,Model!Z1,'Assumptions (Nuclear)'!$V$10,'Assumptions (Nuclear)'!$V$5*Model!$AM$1129*AVERAGE('Assumptions (Nuclear)'!$AF$2:$AK$2)/10^9),0)</f>
        <v>-0.4274521557</v>
      </c>
      <c r="AQ1274" s="160">
        <f>IF($AM$1129&gt;0,IPMT('Assumptions (Nuclear)'!$V$7,Model!AA1,'Assumptions (Nuclear)'!$V$10,'Assumptions (Nuclear)'!$V$5*Model!$AM$1129*AVERAGE('Assumptions (Nuclear)'!$AF$2:$AK$2)/10^9),0)</f>
        <v>-0.4002062757</v>
      </c>
      <c r="AR1274" s="160">
        <f>IF($AM$1129&gt;0,IPMT('Assumptions (Nuclear)'!$V$7,Model!AB1,'Assumptions (Nuclear)'!$V$10,'Assumptions (Nuclear)'!$V$5*Model!$AM$1129*AVERAGE('Assumptions (Nuclear)'!$AF$2:$AK$2)/10^9),0)</f>
        <v>-0.3716662165</v>
      </c>
      <c r="AS1274" s="160">
        <f>IF($AM$1129&gt;0,IPMT('Assumptions (Nuclear)'!$V$7,Model!AC1,'Assumptions (Nuclear)'!$V$10,'Assumptions (Nuclear)'!$V$5*Model!$AM$1129*AVERAGE('Assumptions (Nuclear)'!$AF$2:$AK$2)/10^9),0)</f>
        <v>-0.3417705044</v>
      </c>
      <c r="AT1274" s="160">
        <f>IF($AM$1129&gt;0,IPMT('Assumptions (Nuclear)'!$V$7,Model!AD1,'Assumptions (Nuclear)'!$V$10,'Assumptions (Nuclear)'!$V$5*Model!$AM$1129*AVERAGE('Assumptions (Nuclear)'!$AF$2:$AK$2)/10^9),0)</f>
        <v>-0.3104547461</v>
      </c>
      <c r="AU1274" s="160">
        <f>IF($AM$1129&gt;0,IPMT('Assumptions (Nuclear)'!$V$7,Model!AE1,'Assumptions (Nuclear)'!$V$10,'Assumptions (Nuclear)'!$V$5*Model!$AM$1129*AVERAGE('Assumptions (Nuclear)'!$AF$2:$AK$2)/10^9),0)</f>
        <v>-0.2776514892</v>
      </c>
      <c r="AV1274" s="160">
        <f>IF($AM$1129&gt;0,IPMT('Assumptions (Nuclear)'!$V$7,Model!AF1,'Assumptions (Nuclear)'!$V$10,'Assumptions (Nuclear)'!$V$5*Model!$AM$1129*AVERAGE('Assumptions (Nuclear)'!$AF$2:$AK$2)/10^9),0)</f>
        <v>-0.2432900775</v>
      </c>
      <c r="AW1274" s="160">
        <f>IF($AM$1129&gt;0,IPMT('Assumptions (Nuclear)'!$V$7,Model!AG1,'Assumptions (Nuclear)'!$V$10,'Assumptions (Nuclear)'!$V$5*Model!$AM$1129*AVERAGE('Assumptions (Nuclear)'!$AF$2:$AK$2)/10^9),0)</f>
        <v>-0.2072964989</v>
      </c>
      <c r="AX1274" s="160">
        <f>IF($AM$1129&gt;0,IPMT('Assumptions (Nuclear)'!$V$7,Model!AH1,'Assumptions (Nuclear)'!$V$10,'Assumptions (Nuclear)'!$V$5*Model!$AM$1129*AVERAGE('Assumptions (Nuclear)'!$AF$2:$AK$2)/10^9),0)</f>
        <v>-0.1695932252</v>
      </c>
      <c r="AY1274" s="160">
        <f>IF($AM$1129&gt;0,IPMT('Assumptions (Nuclear)'!$V$7,Model!AI1,'Assumptions (Nuclear)'!$V$10,'Assumptions (Nuclear)'!$V$5*Model!$AM$1129*AVERAGE('Assumptions (Nuclear)'!$AF$2:$AK$2)/10^9),0)</f>
        <v>-0.1300990461</v>
      </c>
      <c r="AZ1274" s="160">
        <f>IF($AM$1129&gt;0,IPMT('Assumptions (Nuclear)'!$V$7,Model!AJ1,'Assumptions (Nuclear)'!$V$10,'Assumptions (Nuclear)'!$V$5*Model!$AM$1129*AVERAGE('Assumptions (Nuclear)'!$AF$2:$AK$2)/10^9),0)</f>
        <v>-0.08872889346</v>
      </c>
      <c r="BA1274" s="160">
        <f>IF($AM$1129&gt;0,IPMT('Assumptions (Nuclear)'!$V$7,Model!AK1,'Assumptions (Nuclear)'!$V$10,'Assumptions (Nuclear)'!$V$5*Model!$AM$1129*AVERAGE('Assumptions (Nuclear)'!$AF$2:$AK$2)/10^9),0)</f>
        <v>-0.04539365856</v>
      </c>
      <c r="BB1274" s="160"/>
      <c r="BC1274" s="160"/>
      <c r="BD1274" s="160"/>
      <c r="BE1274" s="160"/>
      <c r="BF1274" s="160"/>
      <c r="BG1274" s="160"/>
      <c r="BH1274" s="160"/>
      <c r="BI1274" s="160"/>
      <c r="BJ1274" s="160"/>
      <c r="BK1274" s="160"/>
    </row>
    <row r="1275" ht="15.75" hidden="1" customHeight="1" outlineLevel="1">
      <c r="A1275" s="262"/>
      <c r="B1275" s="38"/>
      <c r="C1275" s="174"/>
      <c r="D1275" s="174"/>
      <c r="E1275" s="174"/>
      <c r="F1275" s="174"/>
      <c r="G1275" s="174"/>
      <c r="H1275" s="174"/>
      <c r="I1275" s="174"/>
      <c r="J1275" s="174"/>
      <c r="K1275" s="174"/>
      <c r="L1275" s="174"/>
      <c r="M1275" s="174"/>
      <c r="N1275" s="174"/>
      <c r="O1275" s="174"/>
      <c r="P1275" s="174"/>
      <c r="Q1275" s="174"/>
      <c r="R1275" s="174"/>
      <c r="S1275" s="174"/>
      <c r="T1275" s="174"/>
      <c r="U1275" s="174"/>
      <c r="V1275" s="174"/>
      <c r="W1275" s="160"/>
      <c r="X1275" s="160"/>
      <c r="Y1275" s="160"/>
      <c r="Z1275" s="160"/>
      <c r="AA1275" s="160"/>
      <c r="AB1275" s="160"/>
      <c r="AC1275" s="160"/>
      <c r="AD1275" s="160"/>
      <c r="AE1275" s="160"/>
      <c r="AF1275" s="160"/>
      <c r="AG1275" s="160"/>
      <c r="AH1275" s="160"/>
      <c r="AI1275" s="160"/>
      <c r="AJ1275" s="179"/>
      <c r="AK1275" s="160"/>
      <c r="AL1275" s="177"/>
      <c r="AM1275" s="177"/>
      <c r="AN1275" s="160">
        <f>IF($AN$1129&gt;0,IPMT('Assumptions (Nuclear)'!$V$7,Model!W1,'Assumptions (Nuclear)'!$V$10,'Assumptions (Nuclear)'!$V$5*Model!$AN$1129*AVERAGE('Assumptions (Nuclear)'!$AG$2:$AL$2)/10^9),0)</f>
        <v>-0.5214964845</v>
      </c>
      <c r="AO1275" s="160">
        <f>IF($AN$1129&gt;0,IPMT('Assumptions (Nuclear)'!$V$7,Model!X1,'Assumptions (Nuclear)'!$V$10,'Assumptions (Nuclear)'!$V$5*Model!$AN$1129*AVERAGE('Assumptions (Nuclear)'!$AG$2:$AL$2)/10^9),0)</f>
        <v>-0.4968708289</v>
      </c>
      <c r="AP1275" s="160">
        <f>IF($AN$1129&gt;0,IPMT('Assumptions (Nuclear)'!$V$7,Model!Y1,'Assumptions (Nuclear)'!$V$10,'Assumptions (Nuclear)'!$V$5*Model!$AN$1129*AVERAGE('Assumptions (Nuclear)'!$AG$2:$AL$2)/10^9),0)</f>
        <v>-0.4710754546</v>
      </c>
      <c r="AQ1275" s="160">
        <f>IF($AN$1129&gt;0,IPMT('Assumptions (Nuclear)'!$V$7,Model!Z1,'Assumptions (Nuclear)'!$V$10,'Assumptions (Nuclear)'!$V$5*Model!$AN$1129*AVERAGE('Assumptions (Nuclear)'!$AG$2:$AL$2)/10^9),0)</f>
        <v>-0.4440548001</v>
      </c>
      <c r="AR1275" s="160">
        <f>IF($AN$1129&gt;0,IPMT('Assumptions (Nuclear)'!$V$7,Model!AA1,'Assumptions (Nuclear)'!$V$10,'Assumptions (Nuclear)'!$V$5*Model!$AN$1129*AVERAGE('Assumptions (Nuclear)'!$AG$2:$AL$2)/10^9),0)</f>
        <v>-0.4157506645</v>
      </c>
      <c r="AS1275" s="160">
        <f>IF($AN$1129&gt;0,IPMT('Assumptions (Nuclear)'!$V$7,Model!AB1,'Assumptions (Nuclear)'!$V$10,'Assumptions (Nuclear)'!$V$5*Model!$AN$1129*AVERAGE('Assumptions (Nuclear)'!$AG$2:$AL$2)/10^9),0)</f>
        <v>-0.3861020825</v>
      </c>
      <c r="AT1275" s="160">
        <f>IF($AN$1129&gt;0,IPMT('Assumptions (Nuclear)'!$V$7,Model!AC1,'Assumptions (Nuclear)'!$V$10,'Assumptions (Nuclear)'!$V$5*Model!$AN$1129*AVERAGE('Assumptions (Nuclear)'!$AG$2:$AL$2)/10^9),0)</f>
        <v>-0.3550451928</v>
      </c>
      <c r="AU1275" s="160">
        <f>IF($AN$1129&gt;0,IPMT('Assumptions (Nuclear)'!$V$7,Model!AD1,'Assumptions (Nuclear)'!$V$10,'Assumptions (Nuclear)'!$V$5*Model!$AN$1129*AVERAGE('Assumptions (Nuclear)'!$AG$2:$AL$2)/10^9),0)</f>
        <v>-0.3225131009</v>
      </c>
      <c r="AV1275" s="160">
        <f>IF($AN$1129&gt;0,IPMT('Assumptions (Nuclear)'!$V$7,Model!AE1,'Assumptions (Nuclear)'!$V$10,'Assumptions (Nuclear)'!$V$5*Model!$AN$1129*AVERAGE('Assumptions (Nuclear)'!$AG$2:$AL$2)/10^9),0)</f>
        <v>-0.2884357346</v>
      </c>
      <c r="AW1275" s="160">
        <f>IF($AN$1129&gt;0,IPMT('Assumptions (Nuclear)'!$V$7,Model!AF1,'Assumptions (Nuclear)'!$V$10,'Assumptions (Nuclear)'!$V$5*Model!$AN$1129*AVERAGE('Assumptions (Nuclear)'!$AG$2:$AL$2)/10^9),0)</f>
        <v>-0.2527396934</v>
      </c>
      <c r="AX1275" s="160">
        <f>IF($AN$1129&gt;0,IPMT('Assumptions (Nuclear)'!$V$7,Model!AG1,'Assumptions (Nuclear)'!$V$10,'Assumptions (Nuclear)'!$V$5*Model!$AN$1129*AVERAGE('Assumptions (Nuclear)'!$AG$2:$AL$2)/10^9),0)</f>
        <v>-0.2153480902</v>
      </c>
      <c r="AY1275" s="160">
        <f>IF($AN$1129&gt;0,IPMT('Assumptions (Nuclear)'!$V$7,Model!AH1,'Assumptions (Nuclear)'!$V$10,'Assumptions (Nuclear)'!$V$5*Model!$AN$1129*AVERAGE('Assumptions (Nuclear)'!$AG$2:$AL$2)/10^9),0)</f>
        <v>-0.1761803859</v>
      </c>
      <c r="AZ1275" s="160">
        <f>IF($AN$1129&gt;0,IPMT('Assumptions (Nuclear)'!$V$7,Model!AI1,'Assumptions (Nuclear)'!$V$10,'Assumptions (Nuclear)'!$V$5*Model!$AN$1129*AVERAGE('Assumptions (Nuclear)'!$AG$2:$AL$2)/10^9),0)</f>
        <v>-0.1351522156</v>
      </c>
      <c r="BA1275" s="160">
        <f>IF($AN$1129&gt;0,IPMT('Assumptions (Nuclear)'!$V$7,Model!AJ1,'Assumptions (Nuclear)'!$V$10,'Assumptions (Nuclear)'!$V$5*Model!$AN$1129*AVERAGE('Assumptions (Nuclear)'!$AG$2:$AL$2)/10^9),0)</f>
        <v>-0.09217520728</v>
      </c>
      <c r="BB1275" s="160">
        <f>IF($AN$1129&gt;0,IPMT('Assumptions (Nuclear)'!$V$7,Model!AK1,'Assumptions (Nuclear)'!$V$10,'Assumptions (Nuclear)'!$V$5*Model!$AN$1129*AVERAGE('Assumptions (Nuclear)'!$AG$2:$AL$2)/10^9),0)</f>
        <v>-0.04715679103</v>
      </c>
      <c r="BC1275" s="160"/>
      <c r="BD1275" s="160"/>
      <c r="BE1275" s="160"/>
      <c r="BF1275" s="160"/>
      <c r="BG1275" s="160"/>
      <c r="BH1275" s="160"/>
      <c r="BI1275" s="160"/>
      <c r="BJ1275" s="160"/>
      <c r="BK1275" s="160"/>
      <c r="BL1275" s="160"/>
    </row>
    <row r="1276" ht="15.75" hidden="1" customHeight="1" outlineLevel="1">
      <c r="A1276" s="262"/>
      <c r="B1276" s="38"/>
      <c r="C1276" s="174"/>
      <c r="D1276" s="174"/>
      <c r="E1276" s="174"/>
      <c r="F1276" s="174"/>
      <c r="G1276" s="174"/>
      <c r="H1276" s="174"/>
      <c r="I1276" s="174"/>
      <c r="J1276" s="174"/>
      <c r="K1276" s="174"/>
      <c r="L1276" s="174"/>
      <c r="M1276" s="174"/>
      <c r="N1276" s="174"/>
      <c r="O1276" s="174"/>
      <c r="P1276" s="174"/>
      <c r="Q1276" s="174"/>
      <c r="R1276" s="174"/>
      <c r="S1276" s="174"/>
      <c r="T1276" s="174"/>
      <c r="U1276" s="174"/>
      <c r="V1276" s="174"/>
      <c r="W1276" s="160"/>
      <c r="X1276" s="160"/>
      <c r="Y1276" s="160"/>
      <c r="Z1276" s="160"/>
      <c r="AA1276" s="160"/>
      <c r="AB1276" s="160"/>
      <c r="AC1276" s="160"/>
      <c r="AD1276" s="160"/>
      <c r="AE1276" s="160"/>
      <c r="AF1276" s="160"/>
      <c r="AG1276" s="160"/>
      <c r="AH1276" s="160"/>
      <c r="AI1276" s="160"/>
      <c r="AJ1276" s="179"/>
      <c r="AK1276" s="160"/>
      <c r="AL1276" s="177"/>
      <c r="AM1276" s="177"/>
      <c r="AN1276" s="177"/>
      <c r="AO1276" s="160">
        <f>IF($AO$1129&gt;0,IPMT('Assumptions (Nuclear)'!$V$7,Model!W1,'Assumptions (Nuclear)'!$V$10,'Assumptions (Nuclear)'!$V$5*Model!$AO$1129*AVERAGE('Assumptions (Nuclear)'!$AH$2:$AM$2)/10^9),0)</f>
        <v>-0.01462824271</v>
      </c>
      <c r="AP1276" s="160">
        <f>IF($AO$1129&gt;0,IPMT('Assumptions (Nuclear)'!$V$7,Model!X1,'Assumptions (Nuclear)'!$V$10,'Assumptions (Nuclear)'!$V$5*Model!$AO$1129*AVERAGE('Assumptions (Nuclear)'!$AH$2:$AM$2)/10^9),0)</f>
        <v>-0.0139374805</v>
      </c>
      <c r="AQ1276" s="160">
        <f>IF($AO$1129&gt;0,IPMT('Assumptions (Nuclear)'!$V$7,Model!Y1,'Assumptions (Nuclear)'!$V$10,'Assumptions (Nuclear)'!$V$5*Model!$AO$1129*AVERAGE('Assumptions (Nuclear)'!$AH$2:$AM$2)/10^9),0)</f>
        <v>-0.01321390707</v>
      </c>
      <c r="AR1276" s="160">
        <f>IF($AO$1129&gt;0,IPMT('Assumptions (Nuclear)'!$V$7,Model!Z1,'Assumptions (Nuclear)'!$V$10,'Assumptions (Nuclear)'!$V$5*Model!$AO$1129*AVERAGE('Assumptions (Nuclear)'!$AH$2:$AM$2)/10^9),0)</f>
        <v>-0.01245596392</v>
      </c>
      <c r="AS1276" s="160">
        <f>IF($AO$1129&gt;0,IPMT('Assumptions (Nuclear)'!$V$7,Model!AA1,'Assumptions (Nuclear)'!$V$10,'Assumptions (Nuclear)'!$V$5*Model!$AO$1129*AVERAGE('Assumptions (Nuclear)'!$AH$2:$AM$2)/10^9),0)</f>
        <v>-0.01166201846</v>
      </c>
      <c r="AT1276" s="160">
        <f>IF($AO$1129&gt;0,IPMT('Assumptions (Nuclear)'!$V$7,Model!AB1,'Assumptions (Nuclear)'!$V$10,'Assumptions (Nuclear)'!$V$5*Model!$AO$1129*AVERAGE('Assumptions (Nuclear)'!$AH$2:$AM$2)/10^9),0)</f>
        <v>-0.01083036059</v>
      </c>
      <c r="AU1276" s="160">
        <f>IF($AO$1129&gt;0,IPMT('Assumptions (Nuclear)'!$V$7,Model!AC1,'Assumptions (Nuclear)'!$V$10,'Assumptions (Nuclear)'!$V$5*Model!$AO$1129*AVERAGE('Assumptions (Nuclear)'!$AH$2:$AM$2)/10^9),0)</f>
        <v>-0.009959198976</v>
      </c>
      <c r="AV1276" s="160">
        <f>IF($AO$1129&gt;0,IPMT('Assumptions (Nuclear)'!$V$7,Model!AD1,'Assumptions (Nuclear)'!$V$10,'Assumptions (Nuclear)'!$V$5*Model!$AO$1129*AVERAGE('Assumptions (Nuclear)'!$AH$2:$AM$2)/10^9),0)</f>
        <v>-0.009046657183</v>
      </c>
      <c r="AW1276" s="160">
        <f>IF($AO$1129&gt;0,IPMT('Assumptions (Nuclear)'!$V$7,Model!AE1,'Assumptions (Nuclear)'!$V$10,'Assumptions (Nuclear)'!$V$5*Model!$AO$1129*AVERAGE('Assumptions (Nuclear)'!$AH$2:$AM$2)/10^9),0)</f>
        <v>-0.008090769656</v>
      </c>
      <c r="AX1276" s="160">
        <f>IF($AO$1129&gt;0,IPMT('Assumptions (Nuclear)'!$V$7,Model!AF1,'Assumptions (Nuclear)'!$V$10,'Assumptions (Nuclear)'!$V$5*Model!$AO$1129*AVERAGE('Assumptions (Nuclear)'!$AH$2:$AM$2)/10^9),0)</f>
        <v>-0.00708947747</v>
      </c>
      <c r="AY1276" s="160">
        <f>IF($AO$1129&gt;0,IPMT('Assumptions (Nuclear)'!$V$7,Model!AG1,'Assumptions (Nuclear)'!$V$10,'Assumptions (Nuclear)'!$V$5*Model!$AO$1129*AVERAGE('Assumptions (Nuclear)'!$AH$2:$AM$2)/10^9),0)</f>
        <v>-0.006040623906</v>
      </c>
      <c r="AZ1276" s="160">
        <f>IF($AO$1129&gt;0,IPMT('Assumptions (Nuclear)'!$V$7,Model!AH1,'Assumptions (Nuclear)'!$V$10,'Assumptions (Nuclear)'!$V$5*Model!$AO$1129*AVERAGE('Assumptions (Nuclear)'!$AH$2:$AM$2)/10^9),0)</f>
        <v>-0.004941949798</v>
      </c>
      <c r="BA1276" s="160">
        <f>IF($AO$1129&gt;0,IPMT('Assumptions (Nuclear)'!$V$7,Model!AI1,'Assumptions (Nuclear)'!$V$10,'Assumptions (Nuclear)'!$V$5*Model!$AO$1129*AVERAGE('Assumptions (Nuclear)'!$AH$2:$AM$2)/10^9),0)</f>
        <v>-0.003791088669</v>
      </c>
      <c r="BB1276" s="160">
        <f>IF($AO$1129&gt;0,IPMT('Assumptions (Nuclear)'!$V$7,Model!AJ1,'Assumptions (Nuclear)'!$V$10,'Assumptions (Nuclear)'!$V$5*Model!$AO$1129*AVERAGE('Assumptions (Nuclear)'!$AH$2:$AM$2)/10^9),0)</f>
        <v>-0.002585561637</v>
      </c>
      <c r="BC1276" s="160">
        <f>IF($AO$1129&gt;0,IPMT('Assumptions (Nuclear)'!$V$7,Model!AK1,'Assumptions (Nuclear)'!$V$10,'Assumptions (Nuclear)'!$V$5*Model!$AO$1129*AVERAGE('Assumptions (Nuclear)'!$AH$2:$AM$2)/10^9),0)</f>
        <v>-0.001322772071</v>
      </c>
      <c r="BD1276" s="160"/>
      <c r="BE1276" s="160"/>
      <c r="BF1276" s="160"/>
      <c r="BG1276" s="160"/>
      <c r="BH1276" s="160"/>
      <c r="BI1276" s="160"/>
      <c r="BJ1276" s="160"/>
      <c r="BK1276" s="160"/>
      <c r="BL1276" s="160"/>
      <c r="BM1276" s="160"/>
    </row>
    <row r="1277" ht="15.75" hidden="1" customHeight="1" outlineLevel="1">
      <c r="A1277" s="262"/>
      <c r="B1277" s="38"/>
      <c r="C1277" s="174"/>
      <c r="D1277" s="174"/>
      <c r="E1277" s="174"/>
      <c r="F1277" s="174"/>
      <c r="G1277" s="174"/>
      <c r="H1277" s="174"/>
      <c r="I1277" s="174"/>
      <c r="J1277" s="174"/>
      <c r="K1277" s="174"/>
      <c r="L1277" s="174"/>
      <c r="M1277" s="174"/>
      <c r="N1277" s="174"/>
      <c r="O1277" s="174"/>
      <c r="P1277" s="174"/>
      <c r="Q1277" s="174"/>
      <c r="R1277" s="174"/>
      <c r="S1277" s="174"/>
      <c r="T1277" s="174"/>
      <c r="U1277" s="174"/>
      <c r="V1277" s="174"/>
      <c r="W1277" s="160"/>
      <c r="X1277" s="160"/>
      <c r="Y1277" s="160"/>
      <c r="Z1277" s="160"/>
      <c r="AA1277" s="160"/>
      <c r="AB1277" s="160"/>
      <c r="AC1277" s="160"/>
      <c r="AD1277" s="160"/>
      <c r="AE1277" s="160"/>
      <c r="AF1277" s="160"/>
      <c r="AG1277" s="160"/>
      <c r="AH1277" s="160"/>
      <c r="AI1277" s="160"/>
      <c r="AJ1277" s="179"/>
      <c r="AK1277" s="160"/>
      <c r="AL1277" s="177"/>
      <c r="AM1277" s="177"/>
      <c r="AN1277" s="177"/>
      <c r="AO1277" s="160"/>
      <c r="AP1277" s="160">
        <f>IF($AP$1129&gt;0,IPMT('Assumptions (Nuclear)'!$V$7,Model!W1,'Assumptions (Nuclear)'!$V$10,'Assumptions (Nuclear)'!$V$5*Model!$AP$1129*AVERAGE('Assumptions (Nuclear)'!$AI$2:$AN$2)/10^9),0)</f>
        <v>-0.5465163285</v>
      </c>
      <c r="AQ1277" s="160">
        <f>IF($AP$1129&gt;0,IPMT('Assumptions (Nuclear)'!$V$7,Model!X1,'Assumptions (Nuclear)'!$V$10,'Assumptions (Nuclear)'!$V$5*Model!$AP$1129*AVERAGE('Assumptions (Nuclear)'!$AI$2:$AN$2)/10^9),0)</f>
        <v>-0.5207092075</v>
      </c>
      <c r="AR1277" s="160">
        <f>IF($AP$1129&gt;0,IPMT('Assumptions (Nuclear)'!$V$7,Model!Y1,'Assumptions (Nuclear)'!$V$10,'Assumptions (Nuclear)'!$V$5*Model!$AP$1129*AVERAGE('Assumptions (Nuclear)'!$AI$2:$AN$2)/10^9),0)</f>
        <v>-0.4936762483</v>
      </c>
      <c r="AS1277" s="160">
        <f>IF($AP$1129&gt;0,IPMT('Assumptions (Nuclear)'!$V$7,Model!Z1,'Assumptions (Nuclear)'!$V$10,'Assumptions (Nuclear)'!$V$5*Model!$AP$1129*AVERAGE('Assumptions (Nuclear)'!$AI$2:$AN$2)/10^9),0)</f>
        <v>-0.4653592234</v>
      </c>
      <c r="AT1277" s="160">
        <f>IF($AP$1129&gt;0,IPMT('Assumptions (Nuclear)'!$V$7,Model!AA1,'Assumptions (Nuclear)'!$V$10,'Assumptions (Nuclear)'!$V$5*Model!$AP$1129*AVERAGE('Assumptions (Nuclear)'!$AI$2:$AN$2)/10^9),0)</f>
        <v>-0.4356971399</v>
      </c>
      <c r="AU1277" s="160">
        <f>IF($AP$1129&gt;0,IPMT('Assumptions (Nuclear)'!$V$7,Model!AB1,'Assumptions (Nuclear)'!$V$10,'Assumptions (Nuclear)'!$V$5*Model!$AP$1129*AVERAGE('Assumptions (Nuclear)'!$AI$2:$AN$2)/10^9),0)</f>
        <v>-0.4046261075</v>
      </c>
      <c r="AV1277" s="160">
        <f>IF($AP$1129&gt;0,IPMT('Assumptions (Nuclear)'!$V$7,Model!AC1,'Assumptions (Nuclear)'!$V$10,'Assumptions (Nuclear)'!$V$5*Model!$AP$1129*AVERAGE('Assumptions (Nuclear)'!$AI$2:$AN$2)/10^9),0)</f>
        <v>-0.372079201</v>
      </c>
      <c r="AW1277" s="160">
        <f>IF($AP$1129&gt;0,IPMT('Assumptions (Nuclear)'!$V$7,Model!AD1,'Assumptions (Nuclear)'!$V$10,'Assumptions (Nuclear)'!$V$5*Model!$AP$1129*AVERAGE('Assumptions (Nuclear)'!$AI$2:$AN$2)/10^9),0)</f>
        <v>-0.3379863164</v>
      </c>
      <c r="AX1277" s="160">
        <f>IF($AP$1129&gt;0,IPMT('Assumptions (Nuclear)'!$V$7,Model!AE1,'Assumptions (Nuclear)'!$V$10,'Assumptions (Nuclear)'!$V$5*Model!$AP$1129*AVERAGE('Assumptions (Nuclear)'!$AI$2:$AN$2)/10^9),0)</f>
        <v>-0.3022740198</v>
      </c>
      <c r="AY1277" s="160">
        <f>IF($AP$1129&gt;0,IPMT('Assumptions (Nuclear)'!$V$7,Model!AF1,'Assumptions (Nuclear)'!$V$10,'Assumptions (Nuclear)'!$V$5*Model!$AP$1129*AVERAGE('Assumptions (Nuclear)'!$AI$2:$AN$2)/10^9),0)</f>
        <v>-0.2648653892</v>
      </c>
      <c r="AZ1277" s="160">
        <f>IF($AP$1129&gt;0,IPMT('Assumptions (Nuclear)'!$V$7,Model!AG1,'Assumptions (Nuclear)'!$V$10,'Assumptions (Nuclear)'!$V$5*Model!$AP$1129*AVERAGE('Assumptions (Nuclear)'!$AI$2:$AN$2)/10^9),0)</f>
        <v>-0.2256798485</v>
      </c>
      <c r="BA1277" s="160">
        <f>IF($AP$1129&gt;0,IPMT('Assumptions (Nuclear)'!$V$7,Model!AH1,'Assumptions (Nuclear)'!$V$10,'Assumptions (Nuclear)'!$V$5*Model!$AP$1129*AVERAGE('Assumptions (Nuclear)'!$AI$2:$AN$2)/10^9),0)</f>
        <v>-0.1846329947</v>
      </c>
      <c r="BB1277" s="160">
        <f>IF($AP$1129&gt;0,IPMT('Assumptions (Nuclear)'!$V$7,Model!AI1,'Assumptions (Nuclear)'!$V$10,'Assumptions (Nuclear)'!$V$5*Model!$AP$1129*AVERAGE('Assumptions (Nuclear)'!$AI$2:$AN$2)/10^9),0)</f>
        <v>-0.1416364154</v>
      </c>
      <c r="BC1277" s="160">
        <f>IF($AP$1129&gt;0,IPMT('Assumptions (Nuclear)'!$V$7,Model!AJ1,'Assumptions (Nuclear)'!$V$10,'Assumptions (Nuclear)'!$V$5*Model!$AP$1129*AVERAGE('Assumptions (Nuclear)'!$AI$2:$AN$2)/10^9),0)</f>
        <v>-0.09659749848</v>
      </c>
      <c r="BD1277" s="160">
        <f>IF($AP$1129&gt;0,IPMT('Assumptions (Nuclear)'!$V$7,Model!AK1,'Assumptions (Nuclear)'!$V$10,'Assumptions (Nuclear)'!$V$5*Model!$AP$1129*AVERAGE('Assumptions (Nuclear)'!$AI$2:$AN$2)/10^9),0)</f>
        <v>-0.04941923304</v>
      </c>
      <c r="BE1277" s="160"/>
      <c r="BF1277" s="160"/>
      <c r="BG1277" s="160"/>
      <c r="BH1277" s="160"/>
      <c r="BI1277" s="160"/>
      <c r="BJ1277" s="160"/>
      <c r="BK1277" s="160"/>
      <c r="BL1277" s="160"/>
      <c r="BM1277" s="160"/>
      <c r="BN1277" s="160"/>
    </row>
    <row r="1278" ht="15.75" hidden="1" customHeight="1" outlineLevel="1">
      <c r="A1278" s="262"/>
      <c r="B1278" s="38"/>
      <c r="C1278" s="174"/>
      <c r="D1278" s="174"/>
      <c r="E1278" s="174"/>
      <c r="F1278" s="174"/>
      <c r="G1278" s="174"/>
      <c r="H1278" s="174"/>
      <c r="I1278" s="174"/>
      <c r="J1278" s="174"/>
      <c r="K1278" s="174"/>
      <c r="L1278" s="174"/>
      <c r="M1278" s="174"/>
      <c r="N1278" s="174"/>
      <c r="O1278" s="174"/>
      <c r="P1278" s="174"/>
      <c r="Q1278" s="174"/>
      <c r="R1278" s="174"/>
      <c r="S1278" s="174"/>
      <c r="T1278" s="174"/>
      <c r="U1278" s="174"/>
      <c r="V1278" s="174"/>
      <c r="W1278" s="160"/>
      <c r="X1278" s="160"/>
      <c r="Y1278" s="160"/>
      <c r="Z1278" s="160"/>
      <c r="AA1278" s="160"/>
      <c r="AB1278" s="160"/>
      <c r="AC1278" s="160"/>
      <c r="AD1278" s="160"/>
      <c r="AE1278" s="160"/>
      <c r="AF1278" s="160"/>
      <c r="AG1278" s="160"/>
      <c r="AH1278" s="160"/>
      <c r="AI1278" s="160"/>
      <c r="AJ1278" s="179"/>
      <c r="AK1278" s="160"/>
      <c r="AL1278" s="177"/>
      <c r="AM1278" s="177"/>
      <c r="AN1278" s="177"/>
      <c r="AO1278" s="160"/>
      <c r="AP1278" s="160"/>
      <c r="AQ1278" s="160">
        <f>IF($AQ$1129&gt;0,IPMT('Assumptions (Nuclear)'!$V$7,Model!W1,'Assumptions (Nuclear)'!$V$10,'Assumptions (Nuclear)'!$V$5*Model!$AQ$1129*AVERAGE('Assumptions (Nuclear)'!$AJ$2:$AO$2)/10^9),0)</f>
        <v>-0.01499381251</v>
      </c>
      <c r="AR1278" s="160">
        <f>IF($AQ$1129&gt;0,IPMT('Assumptions (Nuclear)'!$V$7,Model!X1,'Assumptions (Nuclear)'!$V$10,'Assumptions (Nuclear)'!$V$5*Model!$AQ$1129*AVERAGE('Assumptions (Nuclear)'!$AJ$2:$AO$2)/10^9),0)</f>
        <v>-0.01428578768</v>
      </c>
      <c r="AS1278" s="160">
        <f>IF($AQ$1129&gt;0,IPMT('Assumptions (Nuclear)'!$V$7,Model!Y1,'Assumptions (Nuclear)'!$V$10,'Assumptions (Nuclear)'!$V$5*Model!$AQ$1129*AVERAGE('Assumptions (Nuclear)'!$AJ$2:$AO$2)/10^9),0)</f>
        <v>-0.01354413166</v>
      </c>
      <c r="AT1278" s="160">
        <f>IF($AQ$1129&gt;0,IPMT('Assumptions (Nuclear)'!$V$7,Model!Z1,'Assumptions (Nuclear)'!$V$10,'Assumptions (Nuclear)'!$V$5*Model!$AQ$1129*AVERAGE('Assumptions (Nuclear)'!$AJ$2:$AO$2)/10^9),0)</f>
        <v>-0.01276724698</v>
      </c>
      <c r="AU1278" s="160">
        <f>IF($AQ$1129&gt;0,IPMT('Assumptions (Nuclear)'!$V$7,Model!AA1,'Assumptions (Nuclear)'!$V$10,'Assumptions (Nuclear)'!$V$5*Model!$AQ$1129*AVERAGE('Assumptions (Nuclear)'!$AJ$2:$AO$2)/10^9),0)</f>
        <v>-0.01195346029</v>
      </c>
      <c r="AV1278" s="160">
        <f>IF($AQ$1129&gt;0,IPMT('Assumptions (Nuclear)'!$V$7,Model!AB1,'Assumptions (Nuclear)'!$V$10,'Assumptions (Nuclear)'!$V$5*Model!$AQ$1129*AVERAGE('Assumptions (Nuclear)'!$AJ$2:$AO$2)/10^9),0)</f>
        <v>-0.01110101872</v>
      </c>
      <c r="AW1278" s="160">
        <f>IF($AQ$1129&gt;0,IPMT('Assumptions (Nuclear)'!$V$7,Model!AC1,'Assumptions (Nuclear)'!$V$10,'Assumptions (Nuclear)'!$V$5*Model!$AQ$1129*AVERAGE('Assumptions (Nuclear)'!$AJ$2:$AO$2)/10^9),0)</f>
        <v>-0.01020808618</v>
      </c>
      <c r="AX1278" s="160">
        <f>IF($AQ$1129&gt;0,IPMT('Assumptions (Nuclear)'!$V$7,Model!AD1,'Assumptions (Nuclear)'!$V$10,'Assumptions (Nuclear)'!$V$5*Model!$AQ$1129*AVERAGE('Assumptions (Nuclear)'!$AJ$2:$AO$2)/10^9),0)</f>
        <v>-0.009272739341</v>
      </c>
      <c r="AY1278" s="160">
        <f>IF($AQ$1129&gt;0,IPMT('Assumptions (Nuclear)'!$V$7,Model!AE1,'Assumptions (Nuclear)'!$V$10,'Assumptions (Nuclear)'!$V$5*Model!$AQ$1129*AVERAGE('Assumptions (Nuclear)'!$AJ$2:$AO$2)/10^9),0)</f>
        <v>-0.008292963529</v>
      </c>
      <c r="AZ1278" s="160">
        <f>IF($AQ$1129&gt;0,IPMT('Assumptions (Nuclear)'!$V$7,Model!AF1,'Assumptions (Nuclear)'!$V$10,'Assumptions (Nuclear)'!$V$5*Model!$AQ$1129*AVERAGE('Assumptions (Nuclear)'!$AJ$2:$AO$2)/10^9),0)</f>
        <v>-0.007266648366</v>
      </c>
      <c r="BA1278" s="160">
        <f>IF($AQ$1129&gt;0,IPMT('Assumptions (Nuclear)'!$V$7,Model!AG1,'Assumptions (Nuclear)'!$V$10,'Assumptions (Nuclear)'!$V$5*Model!$AQ$1129*AVERAGE('Assumptions (Nuclear)'!$AJ$2:$AO$2)/10^9),0)</f>
        <v>-0.006191583233</v>
      </c>
      <c r="BB1278" s="160">
        <f>IF($AQ$1129&gt;0,IPMT('Assumptions (Nuclear)'!$V$7,Model!AH1,'Assumptions (Nuclear)'!$V$10,'Assumptions (Nuclear)'!$V$5*Model!$AQ$1129*AVERAGE('Assumptions (Nuclear)'!$AJ$2:$AO$2)/10^9),0)</f>
        <v>-0.005065452507</v>
      </c>
      <c r="BC1278" s="160">
        <f>IF($AQ$1129&gt;0,IPMT('Assumptions (Nuclear)'!$V$7,Model!AI1,'Assumptions (Nuclear)'!$V$10,'Assumptions (Nuclear)'!$V$5*Model!$AQ$1129*AVERAGE('Assumptions (Nuclear)'!$AJ$2:$AO$2)/10^9),0)</f>
        <v>-0.003885830571</v>
      </c>
      <c r="BD1278" s="160">
        <f>IF($AQ$1129&gt;0,IPMT('Assumptions (Nuclear)'!$V$7,Model!AJ1,'Assumptions (Nuclear)'!$V$10,'Assumptions (Nuclear)'!$V$5*Model!$AQ$1129*AVERAGE('Assumptions (Nuclear)'!$AJ$2:$AO$2)/10^9),0)</f>
        <v>-0.002650176592</v>
      </c>
      <c r="BE1278" s="160">
        <f>IF($AQ$1129&gt;0,IPMT('Assumptions (Nuclear)'!$V$7,Model!AK1,'Assumptions (Nuclear)'!$V$10,'Assumptions (Nuclear)'!$V$5*Model!$AQ$1129*AVERAGE('Assumptions (Nuclear)'!$AJ$2:$AO$2)/10^9),0)</f>
        <v>-0.00135582905</v>
      </c>
      <c r="BF1278" s="160"/>
      <c r="BG1278" s="160"/>
      <c r="BH1278" s="160"/>
      <c r="BI1278" s="160"/>
      <c r="BJ1278" s="160"/>
      <c r="BK1278" s="160"/>
      <c r="BL1278" s="160"/>
      <c r="BM1278" s="160"/>
      <c r="BN1278" s="160"/>
      <c r="BO1278" s="160"/>
    </row>
    <row r="1279" ht="15.75" hidden="1" customHeight="1" outlineLevel="1">
      <c r="A1279" s="262"/>
      <c r="B1279" s="38"/>
      <c r="C1279" s="174"/>
      <c r="D1279" s="174"/>
      <c r="E1279" s="174"/>
      <c r="F1279" s="174"/>
      <c r="G1279" s="174"/>
      <c r="H1279" s="174"/>
      <c r="I1279" s="174"/>
      <c r="J1279" s="174"/>
      <c r="K1279" s="174"/>
      <c r="L1279" s="174"/>
      <c r="M1279" s="174"/>
      <c r="N1279" s="174"/>
      <c r="O1279" s="174"/>
      <c r="P1279" s="174"/>
      <c r="Q1279" s="174"/>
      <c r="R1279" s="174"/>
      <c r="S1279" s="174"/>
      <c r="T1279" s="174"/>
      <c r="U1279" s="174"/>
      <c r="V1279" s="174"/>
      <c r="W1279" s="160"/>
      <c r="X1279" s="160"/>
      <c r="Y1279" s="160"/>
      <c r="Z1279" s="160"/>
      <c r="AA1279" s="160"/>
      <c r="AB1279" s="160"/>
      <c r="AC1279" s="160"/>
      <c r="AD1279" s="160"/>
      <c r="AE1279" s="160"/>
      <c r="AF1279" s="160"/>
      <c r="AG1279" s="160"/>
      <c r="AH1279" s="160"/>
      <c r="AI1279" s="160"/>
      <c r="AJ1279" s="179"/>
      <c r="AK1279" s="160"/>
      <c r="AL1279" s="177"/>
      <c r="AM1279" s="177"/>
      <c r="AN1279" s="177"/>
      <c r="AO1279" s="160"/>
      <c r="AP1279" s="160"/>
      <c r="AQ1279" s="160"/>
      <c r="AR1279" s="160">
        <f>IF($AR$1129&gt;0,IPMT('Assumptions (Nuclear)'!$V$7,Model!W1,'Assumptions (Nuclear)'!$V$10,'Assumptions (Nuclear)'!$V$5*Model!$AR$1129*AVERAGE('Assumptions (Nuclear)'!$AK$2:$AP$2)/10^9),0)</f>
        <v>-0.1681253995</v>
      </c>
      <c r="AS1279" s="160">
        <f>IF($AR$1129&gt;0,IPMT('Assumptions (Nuclear)'!$V$7,Model!X1,'Assumptions (Nuclear)'!$V$10,'Assumptions (Nuclear)'!$V$5*Model!$AR$1129*AVERAGE('Assumptions (Nuclear)'!$AK$2:$AP$2)/10^9),0)</f>
        <v>-0.1601863274</v>
      </c>
      <c r="AT1279" s="160">
        <f>IF($AR$1129&gt;0,IPMT('Assumptions (Nuclear)'!$V$7,Model!Y1,'Assumptions (Nuclear)'!$V$10,'Assumptions (Nuclear)'!$V$5*Model!$AR$1129*AVERAGE('Assumptions (Nuclear)'!$AK$2:$AP$2)/10^9),0)</f>
        <v>-0.1518701494</v>
      </c>
      <c r="AU1279" s="160">
        <f>IF($AR$1129&gt;0,IPMT('Assumptions (Nuclear)'!$V$7,Model!Z1,'Assumptions (Nuclear)'!$V$10,'Assumptions (Nuclear)'!$V$5*Model!$AR$1129*AVERAGE('Assumptions (Nuclear)'!$AK$2:$AP$2)/10^9),0)</f>
        <v>-0.1431589529</v>
      </c>
      <c r="AV1279" s="160">
        <f>IF($AR$1129&gt;0,IPMT('Assumptions (Nuclear)'!$V$7,Model!AA1,'Assumptions (Nuclear)'!$V$10,'Assumptions (Nuclear)'!$V$5*Model!$AR$1129*AVERAGE('Assumptions (Nuclear)'!$AK$2:$AP$2)/10^9),0)</f>
        <v>-0.1340339746</v>
      </c>
      <c r="AW1279" s="160">
        <f>IF($AR$1129&gt;0,IPMT('Assumptions (Nuclear)'!$V$7,Model!AB1,'Assumptions (Nuclear)'!$V$10,'Assumptions (Nuclear)'!$V$5*Model!$AR$1129*AVERAGE('Assumptions (Nuclear)'!$AK$2:$AP$2)/10^9),0)</f>
        <v>-0.1244755599</v>
      </c>
      <c r="AX1279" s="160">
        <f>IF($AR$1129&gt;0,IPMT('Assumptions (Nuclear)'!$V$7,Model!AC1,'Assumptions (Nuclear)'!$V$10,'Assumptions (Nuclear)'!$V$5*Model!$AR$1129*AVERAGE('Assumptions (Nuclear)'!$AK$2:$AP$2)/10^9),0)</f>
        <v>-0.1144631204</v>
      </c>
      <c r="AY1279" s="160">
        <f>IF($AR$1129&gt;0,IPMT('Assumptions (Nuclear)'!$V$7,Model!AD1,'Assumptions (Nuclear)'!$V$10,'Assumptions (Nuclear)'!$V$5*Model!$AR$1129*AVERAGE('Assumptions (Nuclear)'!$AK$2:$AP$2)/10^9),0)</f>
        <v>-0.1039750901</v>
      </c>
      <c r="AZ1279" s="160">
        <f>IF($AR$1129&gt;0,IPMT('Assumptions (Nuclear)'!$V$7,Model!AE1,'Assumptions (Nuclear)'!$V$10,'Assumptions (Nuclear)'!$V$5*Model!$AR$1129*AVERAGE('Assumptions (Nuclear)'!$AK$2:$AP$2)/10^9),0)</f>
        <v>-0.09298887827</v>
      </c>
      <c r="BA1279" s="160">
        <f>IF($AR$1129&gt;0,IPMT('Assumptions (Nuclear)'!$V$7,Model!AF1,'Assumptions (Nuclear)'!$V$10,'Assumptions (Nuclear)'!$V$5*Model!$AR$1129*AVERAGE('Assumptions (Nuclear)'!$AK$2:$AP$2)/10^9),0)</f>
        <v>-0.08148082142</v>
      </c>
      <c r="BB1279" s="160">
        <f>IF($AR$1129&gt;0,IPMT('Assumptions (Nuclear)'!$V$7,Model!AG1,'Assumptions (Nuclear)'!$V$10,'Assumptions (Nuclear)'!$V$5*Model!$AR$1129*AVERAGE('Assumptions (Nuclear)'!$AK$2:$AP$2)/10^9),0)</f>
        <v>-0.06942613188</v>
      </c>
      <c r="BC1279" s="160">
        <f>IF($AR$1129&gt;0,IPMT('Assumptions (Nuclear)'!$V$7,Model!AH1,'Assumptions (Nuclear)'!$V$10,'Assumptions (Nuclear)'!$V$5*Model!$AR$1129*AVERAGE('Assumptions (Nuclear)'!$AK$2:$AP$2)/10^9),0)</f>
        <v>-0.05679884457</v>
      </c>
      <c r="BD1279" s="160">
        <f>IF($AR$1129&gt;0,IPMT('Assumptions (Nuclear)'!$V$7,Model!AI1,'Assumptions (Nuclear)'!$V$10,'Assumptions (Nuclear)'!$V$5*Model!$AR$1129*AVERAGE('Assumptions (Nuclear)'!$AK$2:$AP$2)/10^9),0)</f>
        <v>-0.04357176113</v>
      </c>
      <c r="BE1279" s="160">
        <f>IF($AR$1129&gt;0,IPMT('Assumptions (Nuclear)'!$V$7,Model!AJ1,'Assumptions (Nuclear)'!$V$10,'Assumptions (Nuclear)'!$V$5*Model!$AR$1129*AVERAGE('Assumptions (Nuclear)'!$AK$2:$AP$2)/10^9),0)</f>
        <v>-0.02971639121</v>
      </c>
      <c r="BF1279" s="160">
        <f>IF($AR$1129&gt;0,IPMT('Assumptions (Nuclear)'!$V$7,Model!AK1,'Assumptions (Nuclear)'!$V$10,'Assumptions (Nuclear)'!$V$5*Model!$AR$1129*AVERAGE('Assumptions (Nuclear)'!$AK$2:$AP$2)/10^9),0)</f>
        <v>-0.01520289123</v>
      </c>
      <c r="BG1279" s="160"/>
      <c r="BH1279" s="160"/>
      <c r="BI1279" s="160"/>
      <c r="BJ1279" s="160"/>
      <c r="BK1279" s="160"/>
      <c r="BL1279" s="160"/>
      <c r="BM1279" s="160"/>
      <c r="BN1279" s="160"/>
      <c r="BO1279" s="160"/>
      <c r="BP1279" s="160"/>
    </row>
    <row r="1280" ht="15.75" hidden="1" customHeight="1" outlineLevel="1">
      <c r="A1280" s="262"/>
      <c r="B1280" s="38"/>
      <c r="C1280" s="174"/>
      <c r="D1280" s="174"/>
      <c r="E1280" s="174"/>
      <c r="F1280" s="174"/>
      <c r="G1280" s="174"/>
      <c r="H1280" s="174"/>
      <c r="I1280" s="174"/>
      <c r="J1280" s="174"/>
      <c r="K1280" s="174"/>
      <c r="L1280" s="174"/>
      <c r="M1280" s="174"/>
      <c r="N1280" s="174"/>
      <c r="O1280" s="174"/>
      <c r="P1280" s="174"/>
      <c r="Q1280" s="174"/>
      <c r="R1280" s="174"/>
      <c r="S1280" s="174"/>
      <c r="T1280" s="174"/>
      <c r="U1280" s="174"/>
      <c r="V1280" s="174"/>
      <c r="W1280" s="160"/>
      <c r="X1280" s="160"/>
      <c r="Y1280" s="160"/>
      <c r="Z1280" s="160"/>
      <c r="AA1280" s="160"/>
      <c r="AB1280" s="160"/>
      <c r="AC1280" s="160"/>
      <c r="AD1280" s="160"/>
      <c r="AE1280" s="160"/>
      <c r="AF1280" s="160"/>
      <c r="AG1280" s="160"/>
      <c r="AH1280" s="160"/>
      <c r="AI1280" s="160"/>
      <c r="AJ1280" s="179"/>
      <c r="AK1280" s="160"/>
      <c r="AL1280" s="177"/>
      <c r="AM1280" s="177"/>
      <c r="AN1280" s="177"/>
      <c r="AO1280" s="160"/>
      <c r="AP1280" s="160"/>
      <c r="AQ1280" s="160"/>
      <c r="AR1280" s="160"/>
      <c r="AS1280" s="160">
        <f>IF($AS$1129&gt;0,IPMT('Assumptions (Nuclear)'!$V$7,Model!W1,'Assumptions (Nuclear)'!$V$10,'Assumptions (Nuclear)'!$V$5*Model!$AS$1129*AVERAGE('Assumptions (Nuclear)'!$AL$2:$AQ$2)/10^9),0)</f>
        <v>-0.01535793459</v>
      </c>
      <c r="AT1280" s="160">
        <f>IF($AS$1129&gt;0,IPMT('Assumptions (Nuclear)'!$V$7,Model!X1,'Assumptions (Nuclear)'!$V$10,'Assumptions (Nuclear)'!$V$5*Model!$AS$1129*AVERAGE('Assumptions (Nuclear)'!$AL$2:$AQ$2)/10^9),0)</f>
        <v>-0.01463271549</v>
      </c>
      <c r="AU1280" s="160">
        <f>IF($AS$1129&gt;0,IPMT('Assumptions (Nuclear)'!$V$7,Model!Y1,'Assumptions (Nuclear)'!$V$10,'Assumptions (Nuclear)'!$V$5*Model!$AS$1129*AVERAGE('Assumptions (Nuclear)'!$AL$2:$AQ$2)/10^9),0)</f>
        <v>-0.01387304849</v>
      </c>
      <c r="AV1280" s="160">
        <f>IF($AS$1129&gt;0,IPMT('Assumptions (Nuclear)'!$V$7,Model!Z1,'Assumptions (Nuclear)'!$V$10,'Assumptions (Nuclear)'!$V$5*Model!$AS$1129*AVERAGE('Assumptions (Nuclear)'!$AL$2:$AQ$2)/10^9),0)</f>
        <v>-0.01307729731</v>
      </c>
      <c r="AW1280" s="160">
        <f>IF($AS$1129&gt;0,IPMT('Assumptions (Nuclear)'!$V$7,Model!AA1,'Assumptions (Nuclear)'!$V$10,'Assumptions (Nuclear)'!$V$5*Model!$AS$1129*AVERAGE('Assumptions (Nuclear)'!$AL$2:$AQ$2)/10^9),0)</f>
        <v>-0.01224374794</v>
      </c>
      <c r="AX1280" s="160">
        <f>IF($AS$1129&gt;0,IPMT('Assumptions (Nuclear)'!$V$7,Model!AB1,'Assumptions (Nuclear)'!$V$10,'Assumptions (Nuclear)'!$V$5*Model!$AS$1129*AVERAGE('Assumptions (Nuclear)'!$AL$2:$AQ$2)/10^9),0)</f>
        <v>-0.01137060499</v>
      </c>
      <c r="AY1280" s="160">
        <f>IF($AS$1129&gt;0,IPMT('Assumptions (Nuclear)'!$V$7,Model!AC1,'Assumptions (Nuclear)'!$V$10,'Assumptions (Nuclear)'!$V$5*Model!$AS$1129*AVERAGE('Assumptions (Nuclear)'!$AL$2:$AQ$2)/10^9),0)</f>
        <v>-0.01045598774</v>
      </c>
      <c r="AZ1280" s="160">
        <f>IF($AS$1129&gt;0,IPMT('Assumptions (Nuclear)'!$V$7,Model!AD1,'Assumptions (Nuclear)'!$V$10,'Assumptions (Nuclear)'!$V$5*Model!$AS$1129*AVERAGE('Assumptions (Nuclear)'!$AL$2:$AQ$2)/10^9),0)</f>
        <v>-0.009497926168</v>
      </c>
      <c r="BA1280" s="160">
        <f>IF($AS$1129&gt;0,IPMT('Assumptions (Nuclear)'!$V$7,Model!AE1,'Assumptions (Nuclear)'!$V$10,'Assumptions (Nuclear)'!$V$5*Model!$AS$1129*AVERAGE('Assumptions (Nuclear)'!$AL$2:$AQ$2)/10^9),0)</f>
        <v>-0.008494356675</v>
      </c>
      <c r="BB1280" s="160">
        <f>IF($AS$1129&gt;0,IPMT('Assumptions (Nuclear)'!$V$7,Model!AF1,'Assumptions (Nuclear)'!$V$10,'Assumptions (Nuclear)'!$V$5*Model!$AS$1129*AVERAGE('Assumptions (Nuclear)'!$AL$2:$AQ$2)/10^9),0)</f>
        <v>-0.007443117631</v>
      </c>
      <c r="BC1280" s="160">
        <f>IF($AS$1129&gt;0,IPMT('Assumptions (Nuclear)'!$V$7,Model!AG1,'Assumptions (Nuclear)'!$V$10,'Assumptions (Nuclear)'!$V$5*Model!$AS$1129*AVERAGE('Assumptions (Nuclear)'!$AL$2:$AQ$2)/10^9),0)</f>
        <v>-0.006341944732</v>
      </c>
      <c r="BD1280" s="160">
        <f>IF($AS$1129&gt;0,IPMT('Assumptions (Nuclear)'!$V$7,Model!AH1,'Assumptions (Nuclear)'!$V$10,'Assumptions (Nuclear)'!$V$5*Model!$AS$1129*AVERAGE('Assumptions (Nuclear)'!$AL$2:$AQ$2)/10^9),0)</f>
        <v>-0.005188466121</v>
      </c>
      <c r="BE1280" s="160">
        <f>IF($AS$1129&gt;0,IPMT('Assumptions (Nuclear)'!$V$7,Model!AI1,'Assumptions (Nuclear)'!$V$10,'Assumptions (Nuclear)'!$V$5*Model!$AS$1129*AVERAGE('Assumptions (Nuclear)'!$AL$2:$AQ$2)/10^9),0)</f>
        <v>-0.003980197276</v>
      </c>
      <c r="BF1280" s="160">
        <f>IF($AS$1129&gt;0,IPMT('Assumptions (Nuclear)'!$V$7,Model!AJ1,'Assumptions (Nuclear)'!$V$10,'Assumptions (Nuclear)'!$V$5*Model!$AS$1129*AVERAGE('Assumptions (Nuclear)'!$AL$2:$AQ$2)/10^9),0)</f>
        <v>-0.00271453566</v>
      </c>
      <c r="BG1280" s="160">
        <f>IF($AS$1129&gt;0,IPMT('Assumptions (Nuclear)'!$V$7,Model!AK1,'Assumptions (Nuclear)'!$V$10,'Assumptions (Nuclear)'!$V$5*Model!$AS$1129*AVERAGE('Assumptions (Nuclear)'!$AL$2:$AQ$2)/10^9),0)</f>
        <v>-0.001388755118</v>
      </c>
      <c r="BH1280" s="160"/>
      <c r="BI1280" s="160"/>
      <c r="BJ1280" s="160"/>
      <c r="BK1280" s="160"/>
      <c r="BL1280" s="160"/>
      <c r="BM1280" s="160"/>
      <c r="BN1280" s="160"/>
      <c r="BO1280" s="160"/>
      <c r="BP1280" s="160"/>
      <c r="BQ1280" s="160"/>
      <c r="BR1280" s="160"/>
    </row>
    <row r="1281" ht="15.75" hidden="1" customHeight="1" outlineLevel="1">
      <c r="A1281" s="262"/>
      <c r="B1281" s="38"/>
      <c r="C1281" s="174"/>
      <c r="D1281" s="174"/>
      <c r="E1281" s="174"/>
      <c r="F1281" s="174"/>
      <c r="G1281" s="174"/>
      <c r="H1281" s="174"/>
      <c r="I1281" s="174"/>
      <c r="J1281" s="174"/>
      <c r="K1281" s="174"/>
      <c r="L1281" s="174"/>
      <c r="M1281" s="174"/>
      <c r="N1281" s="174"/>
      <c r="O1281" s="174"/>
      <c r="P1281" s="174"/>
      <c r="Q1281" s="174"/>
      <c r="R1281" s="174"/>
      <c r="S1281" s="174"/>
      <c r="T1281" s="174"/>
      <c r="U1281" s="174"/>
      <c r="V1281" s="174"/>
      <c r="W1281" s="160"/>
      <c r="X1281" s="160"/>
      <c r="Y1281" s="160"/>
      <c r="Z1281" s="160"/>
      <c r="AA1281" s="160"/>
      <c r="AB1281" s="160"/>
      <c r="AC1281" s="160"/>
      <c r="AD1281" s="160"/>
      <c r="AE1281" s="160"/>
      <c r="AF1281" s="160"/>
      <c r="AG1281" s="160"/>
      <c r="AH1281" s="160"/>
      <c r="AI1281" s="160"/>
      <c r="AJ1281" s="179"/>
      <c r="AK1281" s="160"/>
      <c r="AL1281" s="177"/>
      <c r="AM1281" s="177"/>
      <c r="AN1281" s="177"/>
      <c r="AO1281" s="160"/>
      <c r="AP1281" s="160"/>
      <c r="AQ1281" s="160"/>
      <c r="AR1281" s="160"/>
      <c r="AS1281" s="160"/>
      <c r="AT1281" s="160">
        <f>IF($AT$1129&gt;0,IPMT('Assumptions (Nuclear)'!$V$7,Model!W1,'Assumptions (Nuclear)'!$V$10,'Assumptions (Nuclear)'!$V$5*Model!$AT$1129*AVERAGE('Assumptions (Nuclear)'!$AM$2:$AR$2)/10^9),0)</f>
        <v>-0.6187374768</v>
      </c>
      <c r="AU1281" s="160">
        <f>IF($AT$1129&gt;0,IPMT('Assumptions (Nuclear)'!$V$7,Model!X1,'Assumptions (Nuclear)'!$V$10,'Assumptions (Nuclear)'!$V$5*Model!$AT$1129*AVERAGE('Assumptions (Nuclear)'!$AM$2:$AR$2)/10^9),0)</f>
        <v>-0.5895199912</v>
      </c>
      <c r="AV1281" s="160">
        <f>IF($AT$1129&gt;0,IPMT('Assumptions (Nuclear)'!$V$7,Model!Y1,'Assumptions (Nuclear)'!$V$10,'Assumptions (Nuclear)'!$V$5*Model!$AT$1129*AVERAGE('Assumptions (Nuclear)'!$AM$2:$AR$2)/10^9),0)</f>
        <v>-0.5589146751</v>
      </c>
      <c r="AW1281" s="160">
        <f>IF($AT$1129&gt;0,IPMT('Assumptions (Nuclear)'!$V$7,Model!Z1,'Assumptions (Nuclear)'!$V$10,'Assumptions (Nuclear)'!$V$5*Model!$AT$1129*AVERAGE('Assumptions (Nuclear)'!$AM$2:$AR$2)/10^9),0)</f>
        <v>-0.5268556064</v>
      </c>
      <c r="AX1281" s="160">
        <f>IF($AT$1129&gt;0,IPMT('Assumptions (Nuclear)'!$V$7,Model!AA1,'Assumptions (Nuclear)'!$V$10,'Assumptions (Nuclear)'!$V$5*Model!$AT$1129*AVERAGE('Assumptions (Nuclear)'!$AM$2:$AR$2)/10^9),0)</f>
        <v>-0.4932737321</v>
      </c>
      <c r="AY1281" s="160">
        <f>IF($AT$1129&gt;0,IPMT('Assumptions (Nuclear)'!$V$7,Model!AB1,'Assumptions (Nuclear)'!$V$10,'Assumptions (Nuclear)'!$V$5*Model!$AT$1129*AVERAGE('Assumptions (Nuclear)'!$AM$2:$AR$2)/10^9),0)</f>
        <v>-0.4580967186</v>
      </c>
      <c r="AZ1281" s="160">
        <f>IF($AT$1129&gt;0,IPMT('Assumptions (Nuclear)'!$V$7,Model!AC1,'Assumptions (Nuclear)'!$V$10,'Assumptions (Nuclear)'!$V$5*Model!$AT$1129*AVERAGE('Assumptions (Nuclear)'!$AM$2:$AR$2)/10^9),0)</f>
        <v>-0.4212487971</v>
      </c>
      <c r="BA1281" s="160">
        <f>IF($AT$1129&gt;0,IPMT('Assumptions (Nuclear)'!$V$7,Model!AD1,'Assumptions (Nuclear)'!$V$10,'Assumptions (Nuclear)'!$V$5*Model!$AT$1129*AVERAGE('Assumptions (Nuclear)'!$AM$2:$AR$2)/10^9),0)</f>
        <v>-0.3826505992</v>
      </c>
      <c r="BB1281" s="160">
        <f>IF($AT$1129&gt;0,IPMT('Assumptions (Nuclear)'!$V$7,Model!AE1,'Assumptions (Nuclear)'!$V$10,'Assumptions (Nuclear)'!$V$5*Model!$AT$1129*AVERAGE('Assumptions (Nuclear)'!$AM$2:$AR$2)/10^9),0)</f>
        <v>-0.342218987</v>
      </c>
      <c r="BC1281" s="160">
        <f>IF($AT$1129&gt;0,IPMT('Assumptions (Nuclear)'!$V$7,Model!AF1,'Assumptions (Nuclear)'!$V$10,'Assumptions (Nuclear)'!$V$5*Model!$AT$1129*AVERAGE('Assumptions (Nuclear)'!$AM$2:$AR$2)/10^9),0)</f>
        <v>-0.2998668732</v>
      </c>
      <c r="BD1281" s="160">
        <f>IF($AT$1129&gt;0,IPMT('Assumptions (Nuclear)'!$V$7,Model!AG1,'Assumptions (Nuclear)'!$V$10,'Assumptions (Nuclear)'!$V$5*Model!$AT$1129*AVERAGE('Assumptions (Nuclear)'!$AM$2:$AR$2)/10^9),0)</f>
        <v>-0.2555030339</v>
      </c>
      <c r="BE1281" s="160">
        <f>IF($AT$1129&gt;0,IPMT('Assumptions (Nuclear)'!$V$7,Model!AH1,'Assumptions (Nuclear)'!$V$10,'Assumptions (Nuclear)'!$V$5*Model!$AT$1129*AVERAGE('Assumptions (Nuclear)'!$AM$2:$AR$2)/10^9),0)</f>
        <v>-0.2090319123</v>
      </c>
      <c r="BF1281" s="160">
        <f>IF($AT$1129&gt;0,IPMT('Assumptions (Nuclear)'!$V$7,Model!AI1,'Assumptions (Nuclear)'!$V$10,'Assumptions (Nuclear)'!$V$5*Model!$AT$1129*AVERAGE('Assumptions (Nuclear)'!$AM$2:$AR$2)/10^9),0)</f>
        <v>-0.1603534125</v>
      </c>
      <c r="BG1281" s="160">
        <f>IF($AT$1129&gt;0,IPMT('Assumptions (Nuclear)'!$V$7,Model!AJ1,'Assumptions (Nuclear)'!$V$10,'Assumptions (Nuclear)'!$V$5*Model!$AT$1129*AVERAGE('Assumptions (Nuclear)'!$AM$2:$AR$2)/10^9),0)</f>
        <v>-0.1093626839</v>
      </c>
      <c r="BH1281" s="160">
        <f>IF($AT$1129&gt;0,IPMT('Assumptions (Nuclear)'!$V$7,Model!AK1,'Assumptions (Nuclear)'!$V$10,'Assumptions (Nuclear)'!$V$5*Model!$AT$1129*AVERAGE('Assumptions (Nuclear)'!$AM$2:$AR$2)/10^9),0)</f>
        <v>-0.05594989566</v>
      </c>
      <c r="BI1281" s="160"/>
      <c r="BJ1281" s="160"/>
      <c r="BK1281" s="160"/>
      <c r="BL1281" s="160"/>
      <c r="BM1281" s="160"/>
      <c r="BN1281" s="160"/>
      <c r="BO1281" s="160"/>
      <c r="BP1281" s="160"/>
      <c r="BQ1281" s="160"/>
      <c r="BR1281" s="160"/>
    </row>
    <row r="1282" ht="15.75" hidden="1" customHeight="1" outlineLevel="1">
      <c r="A1282" s="262"/>
      <c r="B1282" s="38"/>
      <c r="C1282" s="174"/>
      <c r="D1282" s="174"/>
      <c r="E1282" s="174"/>
      <c r="F1282" s="174"/>
      <c r="G1282" s="174"/>
      <c r="H1282" s="174"/>
      <c r="I1282" s="174"/>
      <c r="J1282" s="174"/>
      <c r="K1282" s="174"/>
      <c r="L1282" s="174"/>
      <c r="M1282" s="174"/>
      <c r="N1282" s="174"/>
      <c r="O1282" s="174"/>
      <c r="P1282" s="174"/>
      <c r="Q1282" s="174"/>
      <c r="R1282" s="174"/>
      <c r="S1282" s="174"/>
      <c r="T1282" s="174"/>
      <c r="U1282" s="174"/>
      <c r="V1282" s="174"/>
      <c r="W1282" s="160"/>
      <c r="X1282" s="160"/>
      <c r="Y1282" s="160"/>
      <c r="Z1282" s="160"/>
      <c r="AA1282" s="160"/>
      <c r="AB1282" s="160"/>
      <c r="AC1282" s="160"/>
      <c r="AD1282" s="160"/>
      <c r="AE1282" s="160"/>
      <c r="AF1282" s="160"/>
      <c r="AG1282" s="160"/>
      <c r="AH1282" s="160"/>
      <c r="AI1282" s="160"/>
      <c r="AJ1282" s="179"/>
      <c r="AK1282" s="160"/>
      <c r="AL1282" s="177"/>
      <c r="AM1282" s="177"/>
      <c r="AN1282" s="177"/>
      <c r="AO1282" s="160"/>
      <c r="AP1282" s="160"/>
      <c r="AQ1282" s="160"/>
      <c r="AR1282" s="160"/>
      <c r="AS1282" s="160"/>
      <c r="AT1282" s="160"/>
      <c r="AU1282" s="160">
        <f>IF($AU$1129&gt;0,IPMT('Assumptions (Nuclear)'!$V$7,Model!W1,'Assumptions (Nuclear)'!$V$10,'Assumptions (Nuclear)'!$V$5*Model!$AU$1129*AVERAGE('Assumptions (Nuclear)'!$AN$2:$AS$2)/10^9),0)</f>
        <v>-0.2395389748</v>
      </c>
      <c r="AV1282" s="160">
        <f>IF($AU$1129&gt;0,IPMT('Assumptions (Nuclear)'!$V$7,Model!X1,'Assumptions (Nuclear)'!$V$10,'Assumptions (Nuclear)'!$V$5*Model!$AU$1129*AVERAGE('Assumptions (Nuclear)'!$AN$2:$AS$2)/10^9),0)</f>
        <v>-0.2282276726</v>
      </c>
      <c r="AW1282" s="160">
        <f>IF($AU$1129&gt;0,IPMT('Assumptions (Nuclear)'!$V$7,Model!Y1,'Assumptions (Nuclear)'!$V$10,'Assumptions (Nuclear)'!$V$5*Model!$AU$1129*AVERAGE('Assumptions (Nuclear)'!$AN$2:$AS$2)/10^9),0)</f>
        <v>-0.2163790837</v>
      </c>
      <c r="AX1282" s="160">
        <f>IF($AU$1129&gt;0,IPMT('Assumptions (Nuclear)'!$V$7,Model!Z1,'Assumptions (Nuclear)'!$V$10,'Assumptions (Nuclear)'!$V$5*Model!$AU$1129*AVERAGE('Assumptions (Nuclear)'!$AN$2:$AS$2)/10^9),0)</f>
        <v>-0.2039676867</v>
      </c>
      <c r="AY1282" s="160">
        <f>IF($AU$1129&gt;0,IPMT('Assumptions (Nuclear)'!$V$7,Model!AA1,'Assumptions (Nuclear)'!$V$10,'Assumptions (Nuclear)'!$V$5*Model!$AU$1129*AVERAGE('Assumptions (Nuclear)'!$AN$2:$AS$2)/10^9),0)</f>
        <v>-0.1909667484</v>
      </c>
      <c r="AZ1282" s="160">
        <f>IF($AU$1129&gt;0,IPMT('Assumptions (Nuclear)'!$V$7,Model!AB1,'Assumptions (Nuclear)'!$V$10,'Assumptions (Nuclear)'!$V$5*Model!$AU$1129*AVERAGE('Assumptions (Nuclear)'!$AN$2:$AS$2)/10^9),0)</f>
        <v>-0.1773482655</v>
      </c>
      <c r="BA1282" s="160">
        <f>IF($AU$1129&gt;0,IPMT('Assumptions (Nuclear)'!$V$7,Model!AC1,'Assumptions (Nuclear)'!$V$10,'Assumptions (Nuclear)'!$V$5*Model!$AU$1129*AVERAGE('Assumptions (Nuclear)'!$AN$2:$AS$2)/10^9),0)</f>
        <v>-0.1630829047</v>
      </c>
      <c r="BB1282" s="160">
        <f>IF($AU$1129&gt;0,IPMT('Assumptions (Nuclear)'!$V$7,Model!AD1,'Assumptions (Nuclear)'!$V$10,'Assumptions (Nuclear)'!$V$5*Model!$AU$1129*AVERAGE('Assumptions (Nuclear)'!$AN$2:$AS$2)/10^9),0)</f>
        <v>-0.1481399393</v>
      </c>
      <c r="BC1282" s="160">
        <f>IF($AU$1129&gt;0,IPMT('Assumptions (Nuclear)'!$V$7,Model!AE1,'Assumptions (Nuclear)'!$V$10,'Assumptions (Nuclear)'!$V$5*Model!$AU$1129*AVERAGE('Assumptions (Nuclear)'!$AN$2:$AS$2)/10^9),0)</f>
        <v>-0.132487183</v>
      </c>
      <c r="BD1282" s="160">
        <f>IF($AU$1129&gt;0,IPMT('Assumptions (Nuclear)'!$V$7,Model!AF1,'Assumptions (Nuclear)'!$V$10,'Assumptions (Nuclear)'!$V$5*Model!$AU$1129*AVERAGE('Assumptions (Nuclear)'!$AN$2:$AS$2)/10^9),0)</f>
        <v>-0.1160909207</v>
      </c>
      <c r="BE1282" s="160">
        <f>IF($AU$1129&gt;0,IPMT('Assumptions (Nuclear)'!$V$7,Model!AG1,'Assumptions (Nuclear)'!$V$10,'Assumptions (Nuclear)'!$V$5*Model!$AU$1129*AVERAGE('Assumptions (Nuclear)'!$AN$2:$AS$2)/10^9),0)</f>
        <v>-0.09891583604</v>
      </c>
      <c r="BF1282" s="160">
        <f>IF($AU$1129&gt;0,IPMT('Assumptions (Nuclear)'!$V$7,Model!AH1,'Assumptions (Nuclear)'!$V$10,'Assumptions (Nuclear)'!$V$5*Model!$AU$1129*AVERAGE('Assumptions (Nuclear)'!$AN$2:$AS$2)/10^9),0)</f>
        <v>-0.08092493482</v>
      </c>
      <c r="BG1282" s="160">
        <f>IF($AU$1129&gt;0,IPMT('Assumptions (Nuclear)'!$V$7,Model!AI1,'Assumptions (Nuclear)'!$V$10,'Assumptions (Nuclear)'!$V$5*Model!$AU$1129*AVERAGE('Assumptions (Nuclear)'!$AN$2:$AS$2)/10^9),0)</f>
        <v>-0.0620794658</v>
      </c>
      <c r="BH1282" s="160">
        <f>IF($AU$1129&gt;0,IPMT('Assumptions (Nuclear)'!$V$7,Model!AJ1,'Assumptions (Nuclear)'!$V$10,'Assumptions (Nuclear)'!$V$5*Model!$AU$1129*AVERAGE('Assumptions (Nuclear)'!$AN$2:$AS$2)/10^9),0)</f>
        <v>-0.042338837</v>
      </c>
      <c r="BI1282" s="160">
        <f>IF($AU$1129&gt;0,IPMT('Assumptions (Nuclear)'!$V$7,Model!AK1,'Assumptions (Nuclear)'!$V$10,'Assumptions (Nuclear)'!$V$5*Model!$AU$1129*AVERAGE('Assumptions (Nuclear)'!$AN$2:$AS$2)/10^9),0)</f>
        <v>-0.02166052833</v>
      </c>
      <c r="BJ1282" s="160"/>
      <c r="BK1282" s="160"/>
      <c r="BL1282" s="160"/>
      <c r="BM1282" s="160"/>
      <c r="BN1282" s="160"/>
      <c r="BO1282" s="160"/>
      <c r="BP1282" s="160"/>
      <c r="BQ1282" s="160"/>
      <c r="BR1282" s="160"/>
      <c r="BS1282" s="160"/>
    </row>
    <row r="1283" ht="15.75" hidden="1" customHeight="1" outlineLevel="1">
      <c r="A1283" s="262"/>
      <c r="B1283" s="38"/>
      <c r="C1283" s="174"/>
      <c r="D1283" s="174"/>
      <c r="E1283" s="174"/>
      <c r="F1283" s="174"/>
      <c r="G1283" s="174"/>
      <c r="H1283" s="174"/>
      <c r="I1283" s="174"/>
      <c r="J1283" s="174"/>
      <c r="K1283" s="174"/>
      <c r="L1283" s="174"/>
      <c r="M1283" s="174"/>
      <c r="N1283" s="174"/>
      <c r="O1283" s="174"/>
      <c r="P1283" s="174"/>
      <c r="Q1283" s="174"/>
      <c r="R1283" s="174"/>
      <c r="S1283" s="174"/>
      <c r="T1283" s="174"/>
      <c r="U1283" s="174"/>
      <c r="V1283" s="174"/>
      <c r="W1283" s="160"/>
      <c r="X1283" s="160"/>
      <c r="Y1283" s="160"/>
      <c r="Z1283" s="160"/>
      <c r="AA1283" s="160"/>
      <c r="AB1283" s="160"/>
      <c r="AC1283" s="160"/>
      <c r="AD1283" s="160"/>
      <c r="AE1283" s="160"/>
      <c r="AF1283" s="160"/>
      <c r="AG1283" s="160"/>
      <c r="AH1283" s="160"/>
      <c r="AI1283" s="160"/>
      <c r="AJ1283" s="179"/>
      <c r="AK1283" s="160"/>
      <c r="AL1283" s="177"/>
      <c r="AM1283" s="177"/>
      <c r="AN1283" s="177"/>
      <c r="AO1283" s="160"/>
      <c r="AP1283" s="160"/>
      <c r="AQ1283" s="160"/>
      <c r="AR1283" s="160"/>
      <c r="AS1283" s="160"/>
      <c r="AT1283" s="160"/>
      <c r="AU1283" s="160"/>
      <c r="AV1283" s="160">
        <f>IF($AV$1129&gt;0,IPMT('Assumptions (Nuclear)'!$V$7,Model!W1,'Assumptions (Nuclear)'!$V$10,'Assumptions (Nuclear)'!$V$5*Model!$AV$1129*AVERAGE('Assumptions (Nuclear)'!$AO$2:$AT$2)/10^9),0)</f>
        <v>-0.01591976158</v>
      </c>
      <c r="AW1283" s="160">
        <f>IF($AV$1129&gt;0,IPMT('Assumptions (Nuclear)'!$V$7,Model!X1,'Assumptions (Nuclear)'!$V$10,'Assumptions (Nuclear)'!$V$5*Model!$AV$1129*AVERAGE('Assumptions (Nuclear)'!$AO$2:$AT$2)/10^9),0)</f>
        <v>-0.01516801238</v>
      </c>
      <c r="AX1283" s="160">
        <f>IF($AV$1129&gt;0,IPMT('Assumptions (Nuclear)'!$V$7,Model!Y1,'Assumptions (Nuclear)'!$V$10,'Assumptions (Nuclear)'!$V$5*Model!$AV$1129*AVERAGE('Assumptions (Nuclear)'!$AO$2:$AT$2)/10^9),0)</f>
        <v>-0.01438055509</v>
      </c>
      <c r="AY1283" s="160">
        <f>IF($AV$1129&gt;0,IPMT('Assumptions (Nuclear)'!$V$7,Model!Z1,'Assumptions (Nuclear)'!$V$10,'Assumptions (Nuclear)'!$V$5*Model!$AV$1129*AVERAGE('Assumptions (Nuclear)'!$AO$2:$AT$2)/10^9),0)</f>
        <v>-0.01355569358</v>
      </c>
      <c r="AZ1283" s="160">
        <f>IF($AV$1129&gt;0,IPMT('Assumptions (Nuclear)'!$V$7,Model!AA1,'Assumptions (Nuclear)'!$V$10,'Assumptions (Nuclear)'!$V$5*Model!$AV$1129*AVERAGE('Assumptions (Nuclear)'!$AO$2:$AT$2)/10^9),0)</f>
        <v>-0.01269165115</v>
      </c>
      <c r="BA1283" s="160">
        <f>IF($AV$1129&gt;0,IPMT('Assumptions (Nuclear)'!$V$7,Model!AB1,'Assumptions (Nuclear)'!$V$10,'Assumptions (Nuclear)'!$V$5*Model!$AV$1129*AVERAGE('Assumptions (Nuclear)'!$AO$2:$AT$2)/10^9),0)</f>
        <v>-0.0117865667</v>
      </c>
      <c r="BB1283" s="160">
        <f>IF($AV$1129&gt;0,IPMT('Assumptions (Nuclear)'!$V$7,Model!AC1,'Assumptions (Nuclear)'!$V$10,'Assumptions (Nuclear)'!$V$5*Model!$AV$1129*AVERAGE('Assumptions (Nuclear)'!$AO$2:$AT$2)/10^9),0)</f>
        <v>-0.01083849074</v>
      </c>
      <c r="BC1283" s="160">
        <f>IF($AV$1129&gt;0,IPMT('Assumptions (Nuclear)'!$V$7,Model!AD1,'Assumptions (Nuclear)'!$V$10,'Assumptions (Nuclear)'!$V$5*Model!$AV$1129*AVERAGE('Assumptions (Nuclear)'!$AO$2:$AT$2)/10^9),0)</f>
        <v>-0.009845381176</v>
      </c>
      <c r="BD1283" s="160">
        <f>IF($AV$1129&gt;0,IPMT('Assumptions (Nuclear)'!$V$7,Model!AE1,'Assumptions (Nuclear)'!$V$10,'Assumptions (Nuclear)'!$V$5*Model!$AV$1129*AVERAGE('Assumptions (Nuclear)'!$AO$2:$AT$2)/10^9),0)</f>
        <v>-0.008805098906</v>
      </c>
      <c r="BE1283" s="160">
        <f>IF($AV$1129&gt;0,IPMT('Assumptions (Nuclear)'!$V$7,Model!AF1,'Assumptions (Nuclear)'!$V$10,'Assumptions (Nuclear)'!$V$5*Model!$AV$1129*AVERAGE('Assumptions (Nuclear)'!$AO$2:$AT$2)/10^9),0)</f>
        <v>-0.007715403228</v>
      </c>
      <c r="BF1283" s="160">
        <f>IF($AV$1129&gt;0,IPMT('Assumptions (Nuclear)'!$V$7,Model!AG1,'Assumptions (Nuclear)'!$V$10,'Assumptions (Nuclear)'!$V$5*Model!$AV$1129*AVERAGE('Assumptions (Nuclear)'!$AO$2:$AT$2)/10^9),0)</f>
        <v>-0.006573947005</v>
      </c>
      <c r="BG1283" s="160">
        <f>IF($AV$1129&gt;0,IPMT('Assumptions (Nuclear)'!$V$7,Model!AH1,'Assumptions (Nuclear)'!$V$10,'Assumptions (Nuclear)'!$V$5*Model!$AV$1129*AVERAGE('Assumptions (Nuclear)'!$AO$2:$AT$2)/10^9),0)</f>
        <v>-0.005378271612</v>
      </c>
      <c r="BH1283" s="160">
        <f>IF($AV$1129&gt;0,IPMT('Assumptions (Nuclear)'!$V$7,Model!AI1,'Assumptions (Nuclear)'!$V$10,'Assumptions (Nuclear)'!$V$5*Model!$AV$1129*AVERAGE('Assumptions (Nuclear)'!$AO$2:$AT$2)/10^9),0)</f>
        <v>-0.004125801637</v>
      </c>
      <c r="BI1283" s="160">
        <f>IF($AV$1129&gt;0,IPMT('Assumptions (Nuclear)'!$V$7,Model!AJ1,'Assumptions (Nuclear)'!$V$10,'Assumptions (Nuclear)'!$V$5*Model!$AV$1129*AVERAGE('Assumptions (Nuclear)'!$AO$2:$AT$2)/10^9),0)</f>
        <v>-0.002813839339</v>
      </c>
      <c r="BJ1283" s="160">
        <f>IF($AV$1129&gt;0,IPMT('Assumptions (Nuclear)'!$V$7,Model!AK1,'Assumptions (Nuclear)'!$V$10,'Assumptions (Nuclear)'!$V$5*Model!$AV$1129*AVERAGE('Assumptions (Nuclear)'!$AO$2:$AT$2)/10^9),0)</f>
        <v>-0.001439558832</v>
      </c>
      <c r="BK1283" s="160"/>
      <c r="BL1283" s="160"/>
      <c r="BM1283" s="160"/>
      <c r="BN1283" s="160"/>
      <c r="BO1283" s="160"/>
      <c r="BP1283" s="160"/>
      <c r="BQ1283" s="160"/>
      <c r="BR1283" s="160"/>
      <c r="BS1283" s="160"/>
      <c r="BT1283" s="160"/>
    </row>
    <row r="1284" ht="15.75" hidden="1" customHeight="1" outlineLevel="1">
      <c r="A1284" s="262"/>
      <c r="B1284" s="38"/>
      <c r="C1284" s="174"/>
      <c r="D1284" s="174"/>
      <c r="E1284" s="174"/>
      <c r="F1284" s="174"/>
      <c r="G1284" s="174"/>
      <c r="H1284" s="174"/>
      <c r="I1284" s="174"/>
      <c r="J1284" s="174"/>
      <c r="K1284" s="174"/>
      <c r="L1284" s="174"/>
      <c r="M1284" s="174"/>
      <c r="N1284" s="174"/>
      <c r="O1284" s="174"/>
      <c r="P1284" s="174"/>
      <c r="Q1284" s="174"/>
      <c r="R1284" s="174"/>
      <c r="S1284" s="174"/>
      <c r="T1284" s="174"/>
      <c r="U1284" s="174"/>
      <c r="V1284" s="174"/>
      <c r="W1284" s="160"/>
      <c r="X1284" s="160"/>
      <c r="Y1284" s="160"/>
      <c r="Z1284" s="160"/>
      <c r="AA1284" s="160"/>
      <c r="AB1284" s="160"/>
      <c r="AC1284" s="160"/>
      <c r="AD1284" s="160"/>
      <c r="AE1284" s="160"/>
      <c r="AF1284" s="160"/>
      <c r="AG1284" s="160"/>
      <c r="AH1284" s="160"/>
      <c r="AI1284" s="160"/>
      <c r="AJ1284" s="179"/>
      <c r="AK1284" s="160"/>
      <c r="AL1284" s="177"/>
      <c r="AM1284" s="177"/>
      <c r="AN1284" s="177"/>
      <c r="AO1284" s="160"/>
      <c r="AP1284" s="160"/>
      <c r="AQ1284" s="160"/>
      <c r="AR1284" s="160"/>
      <c r="AS1284" s="160"/>
      <c r="AT1284" s="160"/>
      <c r="AU1284" s="160"/>
      <c r="AV1284" s="160"/>
      <c r="AW1284" s="160">
        <f>IF($AW$1129&gt;0,IPMT('Assumptions (Nuclear)'!$V$7,Model!W1,'Assumptions (Nuclear)'!$V$10,'Assumptions (Nuclear)'!$V$5*Model!$AW$1129*AVERAGE('Assumptions (Nuclear)'!$AP$2:$AU$2)/10^9),0)</f>
        <v>-0.4386999607</v>
      </c>
      <c r="AX1284" s="160">
        <f>IF($AW$1129&gt;0,IPMT('Assumptions (Nuclear)'!$V$7,Model!X1,'Assumptions (Nuclear)'!$V$10,'Assumptions (Nuclear)'!$V$5*Model!$AW$1129*AVERAGE('Assumptions (Nuclear)'!$AP$2:$AU$2)/10^9),0)</f>
        <v>-0.4179840509</v>
      </c>
      <c r="AY1284" s="160">
        <f>IF($AW$1129&gt;0,IPMT('Assumptions (Nuclear)'!$V$7,Model!Y1,'Assumptions (Nuclear)'!$V$10,'Assumptions (Nuclear)'!$V$5*Model!$AW$1129*AVERAGE('Assumptions (Nuclear)'!$AP$2:$AU$2)/10^9),0)</f>
        <v>-0.3962841353</v>
      </c>
      <c r="AZ1284" s="160">
        <f>IF($AW$1129&gt;0,IPMT('Assumptions (Nuclear)'!$V$7,Model!Z1,'Assumptions (Nuclear)'!$V$10,'Assumptions (Nuclear)'!$V$5*Model!$AW$1129*AVERAGE('Assumptions (Nuclear)'!$AP$2:$AU$2)/10^9),0)</f>
        <v>-0.3735534738</v>
      </c>
      <c r="BA1284" s="160">
        <f>IF($AW$1129&gt;0,IPMT('Assumptions (Nuclear)'!$V$7,Model!AA1,'Assumptions (Nuclear)'!$V$10,'Assumptions (Nuclear)'!$V$5*Model!$AW$1129*AVERAGE('Assumptions (Nuclear)'!$AP$2:$AU$2)/10^9),0)</f>
        <v>-0.3497431059</v>
      </c>
      <c r="BB1284" s="160">
        <f>IF($AW$1129&gt;0,IPMT('Assumptions (Nuclear)'!$V$7,Model!AB1,'Assumptions (Nuclear)'!$V$10,'Assumptions (Nuclear)'!$V$5*Model!$AW$1129*AVERAGE('Assumptions (Nuclear)'!$AP$2:$AU$2)/10^9),0)</f>
        <v>-0.3248017455</v>
      </c>
      <c r="BC1284" s="160">
        <f>IF($AW$1129&gt;0,IPMT('Assumptions (Nuclear)'!$V$7,Model!AC1,'Assumptions (Nuclear)'!$V$10,'Assumptions (Nuclear)'!$V$5*Model!$AW$1129*AVERAGE('Assumptions (Nuclear)'!$AP$2:$AU$2)/10^9),0)</f>
        <v>-0.2986756704</v>
      </c>
      <c r="BD1284" s="160">
        <f>IF($AW$1129&gt;0,IPMT('Assumptions (Nuclear)'!$V$7,Model!AD1,'Assumptions (Nuclear)'!$V$10,'Assumptions (Nuclear)'!$V$5*Model!$AW$1129*AVERAGE('Assumptions (Nuclear)'!$AP$2:$AU$2)/10^9),0)</f>
        <v>-0.2713086069</v>
      </c>
      <c r="BE1284" s="160">
        <f>IF($AW$1129&gt;0,IPMT('Assumptions (Nuclear)'!$V$7,Model!AE1,'Assumptions (Nuclear)'!$V$10,'Assumptions (Nuclear)'!$V$5*Model!$AW$1129*AVERAGE('Assumptions (Nuclear)'!$AP$2:$AU$2)/10^9),0)</f>
        <v>-0.2426416077</v>
      </c>
      <c r="BF1284" s="160">
        <f>IF($AW$1129&gt;0,IPMT('Assumptions (Nuclear)'!$V$7,Model!AF1,'Assumptions (Nuclear)'!$V$10,'Assumptions (Nuclear)'!$V$5*Model!$AW$1129*AVERAGE('Assumptions (Nuclear)'!$AP$2:$AU$2)/10^9),0)</f>
        <v>-0.2126129262</v>
      </c>
      <c r="BG1284" s="160">
        <f>IF($AW$1129&gt;0,IPMT('Assumptions (Nuclear)'!$V$7,Model!AG1,'Assumptions (Nuclear)'!$V$10,'Assumptions (Nuclear)'!$V$5*Model!$AW$1129*AVERAGE('Assumptions (Nuclear)'!$AP$2:$AU$2)/10^9),0)</f>
        <v>-0.1811578822</v>
      </c>
      <c r="BH1284" s="160">
        <f>IF($AW$1129&gt;0,IPMT('Assumptions (Nuclear)'!$V$7,Model!AH1,'Assumptions (Nuclear)'!$V$10,'Assumptions (Nuclear)'!$V$5*Model!$AW$1129*AVERAGE('Assumptions (Nuclear)'!$AP$2:$AU$2)/10^9),0)</f>
        <v>-0.1482087237</v>
      </c>
      <c r="BI1284" s="160">
        <f>IF($AW$1129&gt;0,IPMT('Assumptions (Nuclear)'!$V$7,Model!AI1,'Assumptions (Nuclear)'!$V$10,'Assumptions (Nuclear)'!$V$5*Model!$AW$1129*AVERAGE('Assumptions (Nuclear)'!$AP$2:$AU$2)/10^9),0)</f>
        <v>-0.1136944801</v>
      </c>
      <c r="BJ1284" s="160">
        <f>IF($AW$1129&gt;0,IPMT('Assumptions (Nuclear)'!$V$7,Model!AJ1,'Assumptions (Nuclear)'!$V$10,'Assumptions (Nuclear)'!$V$5*Model!$AW$1129*AVERAGE('Assumptions (Nuclear)'!$AP$2:$AU$2)/10^9),0)</f>
        <v>-0.07754080998</v>
      </c>
      <c r="BK1284" s="160">
        <f>IF($AW$1129&gt;0,IPMT('Assumptions (Nuclear)'!$V$7,Model!AK1,'Assumptions (Nuclear)'!$V$10,'Assumptions (Nuclear)'!$V$5*Model!$AW$1129*AVERAGE('Assumptions (Nuclear)'!$AP$2:$AU$2)/10^9),0)</f>
        <v>-0.03966984052</v>
      </c>
      <c r="BL1284" s="160"/>
      <c r="BM1284" s="160"/>
      <c r="BN1284" s="160"/>
      <c r="BO1284" s="160"/>
      <c r="BP1284" s="160"/>
      <c r="BQ1284" s="160"/>
      <c r="BR1284" s="160"/>
      <c r="BS1284" s="160"/>
      <c r="BT1284" s="160"/>
      <c r="BU1284" s="160"/>
    </row>
    <row r="1285" ht="15.75" hidden="1" customHeight="1" outlineLevel="1">
      <c r="A1285" s="262"/>
      <c r="B1285" s="38"/>
      <c r="C1285" s="174"/>
      <c r="D1285" s="174"/>
      <c r="E1285" s="174"/>
      <c r="F1285" s="174"/>
      <c r="G1285" s="174"/>
      <c r="H1285" s="174"/>
      <c r="I1285" s="174"/>
      <c r="J1285" s="174"/>
      <c r="K1285" s="174"/>
      <c r="L1285" s="174"/>
      <c r="M1285" s="174"/>
      <c r="N1285" s="174"/>
      <c r="O1285" s="174"/>
      <c r="P1285" s="174"/>
      <c r="Q1285" s="174"/>
      <c r="R1285" s="174"/>
      <c r="S1285" s="174"/>
      <c r="T1285" s="174"/>
      <c r="U1285" s="174"/>
      <c r="V1285" s="174"/>
      <c r="W1285" s="160"/>
      <c r="X1285" s="160"/>
      <c r="Y1285" s="160"/>
      <c r="Z1285" s="160"/>
      <c r="AA1285" s="160"/>
      <c r="AB1285" s="160"/>
      <c r="AC1285" s="160"/>
      <c r="AD1285" s="160"/>
      <c r="AE1285" s="160"/>
      <c r="AF1285" s="160"/>
      <c r="AG1285" s="160"/>
      <c r="AH1285" s="160"/>
      <c r="AI1285" s="160"/>
      <c r="AJ1285" s="179"/>
      <c r="AK1285" s="160"/>
      <c r="AL1285" s="177"/>
      <c r="AM1285" s="177"/>
      <c r="AN1285" s="177"/>
      <c r="AO1285" s="160"/>
      <c r="AP1285" s="160"/>
      <c r="AQ1285" s="160"/>
      <c r="AR1285" s="160"/>
      <c r="AS1285" s="160"/>
      <c r="AT1285" s="160"/>
      <c r="AU1285" s="160"/>
      <c r="AV1285" s="160"/>
      <c r="AW1285" s="160"/>
      <c r="AX1285" s="160">
        <f>IF($AX$1129&gt;0,IPMT('Assumptions (Nuclear)'!$V$7,Model!W1,'Assumptions (Nuclear)'!$V$10,'Assumptions (Nuclear)'!$V$5*Model!$AX$1129*AVERAGE('Assumptions (Nuclear)'!$AQ$2:$AV$2)/10^9),0)</f>
        <v>-0.5191058453</v>
      </c>
      <c r="AY1285" s="160">
        <f>IF($AX$1129&gt;0,IPMT('Assumptions (Nuclear)'!$V$7,Model!X1,'Assumptions (Nuclear)'!$V$10,'Assumptions (Nuclear)'!$V$5*Model!$AX$1129*AVERAGE('Assumptions (Nuclear)'!$AQ$2:$AV$2)/10^9),0)</f>
        <v>-0.4945930784</v>
      </c>
      <c r="AZ1285" s="160">
        <f>IF($AX$1129&gt;0,IPMT('Assumptions (Nuclear)'!$V$7,Model!Y1,'Assumptions (Nuclear)'!$V$10,'Assumptions (Nuclear)'!$V$5*Model!$AX$1129*AVERAGE('Assumptions (Nuclear)'!$AQ$2:$AV$2)/10^9),0)</f>
        <v>-0.468915955</v>
      </c>
      <c r="BA1285" s="160">
        <f>IF($AX$1129&gt;0,IPMT('Assumptions (Nuclear)'!$V$7,Model!Z1,'Assumptions (Nuclear)'!$V$10,'Assumptions (Nuclear)'!$V$5*Model!$AX$1129*AVERAGE('Assumptions (Nuclear)'!$AQ$2:$AV$2)/10^9),0)</f>
        <v>-0.4420191684</v>
      </c>
      <c r="BB1285" s="160">
        <f>IF($AX$1129&gt;0,IPMT('Assumptions (Nuclear)'!$V$7,Model!AA1,'Assumptions (Nuclear)'!$V$10,'Assumptions (Nuclear)'!$V$5*Model!$AX$1129*AVERAGE('Assumptions (Nuclear)'!$AQ$2:$AV$2)/10^9),0)</f>
        <v>-0.4138447843</v>
      </c>
      <c r="BC1285" s="160">
        <f>IF($AX$1129&gt;0,IPMT('Assumptions (Nuclear)'!$V$7,Model!AB1,'Assumptions (Nuclear)'!$V$10,'Assumptions (Nuclear)'!$V$5*Model!$AX$1129*AVERAGE('Assumptions (Nuclear)'!$AQ$2:$AV$2)/10^9),0)</f>
        <v>-0.384332117</v>
      </c>
      <c r="BD1285" s="160">
        <f>IF($AX$1129&gt;0,IPMT('Assumptions (Nuclear)'!$V$7,Model!AC1,'Assumptions (Nuclear)'!$V$10,'Assumptions (Nuclear)'!$V$5*Model!$AX$1129*AVERAGE('Assumptions (Nuclear)'!$AQ$2:$AV$2)/10^9),0)</f>
        <v>-0.3534175981</v>
      </c>
      <c r="BE1285" s="160">
        <f>IF($AX$1129&gt;0,IPMT('Assumptions (Nuclear)'!$V$7,Model!AD1,'Assumptions (Nuclear)'!$V$10,'Assumptions (Nuclear)'!$V$5*Model!$AX$1129*AVERAGE('Assumptions (Nuclear)'!$AQ$2:$AV$2)/10^9),0)</f>
        <v>-0.3210346394</v>
      </c>
      <c r="BF1285" s="160">
        <f>IF($AX$1129&gt;0,IPMT('Assumptions (Nuclear)'!$V$7,Model!AE1,'Assumptions (Nuclear)'!$V$10,'Assumptions (Nuclear)'!$V$5*Model!$AX$1129*AVERAGE('Assumptions (Nuclear)'!$AQ$2:$AV$2)/10^9),0)</f>
        <v>-0.2871134902</v>
      </c>
      <c r="BG1285" s="160">
        <f>IF($AX$1129&gt;0,IPMT('Assumptions (Nuclear)'!$V$7,Model!AF1,'Assumptions (Nuclear)'!$V$10,'Assumptions (Nuclear)'!$V$5*Model!$AX$1129*AVERAGE('Assumptions (Nuclear)'!$AQ$2:$AV$2)/10^9),0)</f>
        <v>-0.2515810865</v>
      </c>
      <c r="BH1285" s="160">
        <f>IF($AX$1129&gt;0,IPMT('Assumptions (Nuclear)'!$V$7,Model!AG1,'Assumptions (Nuclear)'!$V$10,'Assumptions (Nuclear)'!$V$5*Model!$AX$1129*AVERAGE('Assumptions (Nuclear)'!$AQ$2:$AV$2)/10^9),0)</f>
        <v>-0.2143608936</v>
      </c>
      <c r="BI1285" s="160">
        <f>IF($AX$1129&gt;0,IPMT('Assumptions (Nuclear)'!$V$7,Model!AH1,'Assumptions (Nuclear)'!$V$10,'Assumptions (Nuclear)'!$V$5*Model!$AX$1129*AVERAGE('Assumptions (Nuclear)'!$AQ$2:$AV$2)/10^9),0)</f>
        <v>-0.1753727415</v>
      </c>
      <c r="BJ1285" s="160">
        <f>IF($AX$1129&gt;0,IPMT('Assumptions (Nuclear)'!$V$7,Model!AI1,'Assumptions (Nuclear)'!$V$10,'Assumptions (Nuclear)'!$V$5*Model!$AX$1129*AVERAGE('Assumptions (Nuclear)'!$AQ$2:$AV$2)/10^9),0)</f>
        <v>-0.1345326521</v>
      </c>
      <c r="BK1285" s="160">
        <f>IF($AX$1129&gt;0,IPMT('Assumptions (Nuclear)'!$V$7,Model!AJ1,'Assumptions (Nuclear)'!$V$10,'Assumptions (Nuclear)'!$V$5*Model!$AX$1129*AVERAGE('Assumptions (Nuclear)'!$AQ$2:$AV$2)/10^9),0)</f>
        <v>-0.09175265857</v>
      </c>
      <c r="BL1285" s="160">
        <f>IF($AX$1129&gt;0,IPMT('Assumptions (Nuclear)'!$V$7,Model!AK1,'Assumptions (Nuclear)'!$V$10,'Assumptions (Nuclear)'!$V$5*Model!$AX$1129*AVERAGE('Assumptions (Nuclear)'!$AQ$2:$AV$2)/10^9),0)</f>
        <v>-0.04694061531</v>
      </c>
      <c r="BM1285" s="160"/>
      <c r="BN1285" s="160"/>
      <c r="BO1285" s="160"/>
      <c r="BP1285" s="160"/>
      <c r="BQ1285" s="160"/>
      <c r="BR1285" s="160"/>
      <c r="BS1285" s="160"/>
      <c r="BT1285" s="160"/>
      <c r="BU1285" s="160"/>
      <c r="BV1285" s="160"/>
    </row>
    <row r="1286" ht="15.75" hidden="1" customHeight="1" outlineLevel="1">
      <c r="A1286" s="262"/>
      <c r="B1286" s="38"/>
      <c r="C1286" s="174"/>
      <c r="D1286" s="174"/>
      <c r="E1286" s="174"/>
      <c r="F1286" s="174"/>
      <c r="G1286" s="174"/>
      <c r="H1286" s="174"/>
      <c r="I1286" s="174"/>
      <c r="J1286" s="174"/>
      <c r="K1286" s="174"/>
      <c r="L1286" s="174"/>
      <c r="M1286" s="174"/>
      <c r="N1286" s="174"/>
      <c r="O1286" s="174"/>
      <c r="P1286" s="174"/>
      <c r="Q1286" s="174"/>
      <c r="R1286" s="174"/>
      <c r="S1286" s="174"/>
      <c r="T1286" s="174"/>
      <c r="U1286" s="174"/>
      <c r="V1286" s="174"/>
      <c r="W1286" s="160"/>
      <c r="X1286" s="160"/>
      <c r="Y1286" s="160"/>
      <c r="Z1286" s="160"/>
      <c r="AA1286" s="160"/>
      <c r="AB1286" s="160"/>
      <c r="AC1286" s="160"/>
      <c r="AD1286" s="160"/>
      <c r="AE1286" s="160"/>
      <c r="AF1286" s="160"/>
      <c r="AG1286" s="160"/>
      <c r="AH1286" s="160"/>
      <c r="AI1286" s="160"/>
      <c r="AJ1286" s="179"/>
      <c r="AK1286" s="160"/>
      <c r="AL1286" s="177"/>
      <c r="AM1286" s="177"/>
      <c r="AN1286" s="177"/>
      <c r="AO1286" s="160"/>
      <c r="AP1286" s="160"/>
      <c r="AQ1286" s="160"/>
      <c r="AR1286" s="160"/>
      <c r="AS1286" s="160"/>
      <c r="AT1286" s="160"/>
      <c r="AU1286" s="160"/>
      <c r="AV1286" s="160"/>
      <c r="AW1286" s="160"/>
      <c r="AX1286" s="160"/>
      <c r="AY1286" s="160">
        <f>IF($AY$1129&gt;0,IPMT('Assumptions (Nuclear)'!$V$7,Model!W1,'Assumptions (Nuclear)'!$V$10,'Assumptions (Nuclear)'!$V$5*Model!$AY$1129*AVERAGE('Assumptions (Nuclear)'!$AR$2:$AW$2)/10^9),0)</f>
        <v>-0.248297932</v>
      </c>
      <c r="AZ1286" s="160">
        <f>IF($AY$1129&gt;0,IPMT('Assumptions (Nuclear)'!$V$7,Model!X1,'Assumptions (Nuclear)'!$V$10,'Assumptions (Nuclear)'!$V$5*Model!$AY$1129*AVERAGE('Assumptions (Nuclear)'!$AR$2:$AW$2)/10^9),0)</f>
        <v>-0.236573022</v>
      </c>
      <c r="BA1286" s="160">
        <f>IF($AY$1129&gt;0,IPMT('Assumptions (Nuclear)'!$V$7,Model!Y1,'Assumptions (Nuclear)'!$V$10,'Assumptions (Nuclear)'!$V$5*Model!$AY$1129*AVERAGE('Assumptions (Nuclear)'!$AR$2:$AW$2)/10^9),0)</f>
        <v>-0.2242911787</v>
      </c>
      <c r="BB1286" s="160">
        <f>IF($AY$1129&gt;0,IPMT('Assumptions (Nuclear)'!$V$7,Model!Z1,'Assumptions (Nuclear)'!$V$10,'Assumptions (Nuclear)'!$V$5*Model!$AY$1129*AVERAGE('Assumptions (Nuclear)'!$AR$2:$AW$2)/10^9),0)</f>
        <v>-0.2114259479</v>
      </c>
      <c r="BC1286" s="160">
        <f>IF($AY$1129&gt;0,IPMT('Assumptions (Nuclear)'!$V$7,Model!AA1,'Assumptions (Nuclear)'!$V$10,'Assumptions (Nuclear)'!$V$5*Model!$AY$1129*AVERAGE('Assumptions (Nuclear)'!$AR$2:$AW$2)/10^9),0)</f>
        <v>-0.1979496186</v>
      </c>
      <c r="BD1286" s="160">
        <f>IF($AY$1129&gt;0,IPMT('Assumptions (Nuclear)'!$V$7,Model!AB1,'Assumptions (Nuclear)'!$V$10,'Assumptions (Nuclear)'!$V$5*Model!$AY$1129*AVERAGE('Assumptions (Nuclear)'!$AR$2:$AW$2)/10^9),0)</f>
        <v>-0.1838331637</v>
      </c>
      <c r="BE1286" s="160">
        <f>IF($AY$1129&gt;0,IPMT('Assumptions (Nuclear)'!$V$7,Model!AC1,'Assumptions (Nuclear)'!$V$10,'Assumptions (Nuclear)'!$V$5*Model!$AY$1129*AVERAGE('Assumptions (Nuclear)'!$AR$2:$AW$2)/10^9),0)</f>
        <v>-0.1690461772</v>
      </c>
      <c r="BF1286" s="160">
        <f>IF($AY$1129&gt;0,IPMT('Assumptions (Nuclear)'!$V$7,Model!AD1,'Assumptions (Nuclear)'!$V$10,'Assumptions (Nuclear)'!$V$5*Model!$AY$1129*AVERAGE('Assumptions (Nuclear)'!$AR$2:$AW$2)/10^9),0)</f>
        <v>-0.1535568089</v>
      </c>
      <c r="BG1286" s="160">
        <f>IF($AY$1129&gt;0,IPMT('Assumptions (Nuclear)'!$V$7,Model!AE1,'Assumptions (Nuclear)'!$V$10,'Assumptions (Nuclear)'!$V$5*Model!$AY$1129*AVERAGE('Assumptions (Nuclear)'!$AR$2:$AW$2)/10^9),0)</f>
        <v>-0.1373316955</v>
      </c>
      <c r="BH1286" s="160">
        <f>IF($AY$1129&gt;0,IPMT('Assumptions (Nuclear)'!$V$7,Model!AF1,'Assumptions (Nuclear)'!$V$10,'Assumptions (Nuclear)'!$V$5*Model!$AY$1129*AVERAGE('Assumptions (Nuclear)'!$AR$2:$AW$2)/10^9),0)</f>
        <v>-0.1203358892</v>
      </c>
      <c r="BI1286" s="160">
        <f>IF($AY$1129&gt;0,IPMT('Assumptions (Nuclear)'!$V$7,Model!AG1,'Assumptions (Nuclear)'!$V$10,'Assumptions (Nuclear)'!$V$5*Model!$AY$1129*AVERAGE('Assumptions (Nuclear)'!$AR$2:$AW$2)/10^9),0)</f>
        <v>-0.1025327822</v>
      </c>
      <c r="BJ1286" s="160">
        <f>IF($AY$1129&gt;0,IPMT('Assumptions (Nuclear)'!$V$7,Model!AH1,'Assumptions (Nuclear)'!$V$10,'Assumptions (Nuclear)'!$V$5*Model!$AY$1129*AVERAGE('Assumptions (Nuclear)'!$AR$2:$AW$2)/10^9),0)</f>
        <v>-0.08388402756</v>
      </c>
      <c r="BK1286" s="160">
        <f>IF($AY$1129&gt;0,IPMT('Assumptions (Nuclear)'!$V$7,Model!AI1,'Assumptions (Nuclear)'!$V$10,'Assumptions (Nuclear)'!$V$5*Model!$AY$1129*AVERAGE('Assumptions (Nuclear)'!$AR$2:$AW$2)/10^9),0)</f>
        <v>-0.06434945708</v>
      </c>
      <c r="BL1286" s="160">
        <f>IF($AY$1129&gt;0,IPMT('Assumptions (Nuclear)'!$V$7,Model!AJ1,'Assumptions (Nuclear)'!$V$10,'Assumptions (Nuclear)'!$V$5*Model!$AY$1129*AVERAGE('Assumptions (Nuclear)'!$AR$2:$AW$2)/10^9),0)</f>
        <v>-0.0438869945</v>
      </c>
      <c r="BM1286" s="160">
        <f>IF($AY$1129&gt;0,IPMT('Assumptions (Nuclear)'!$V$7,Model!AK1,'Assumptions (Nuclear)'!$V$10,'Assumptions (Nuclear)'!$V$5*Model!$AY$1129*AVERAGE('Assumptions (Nuclear)'!$AR$2:$AW$2)/10^9),0)</f>
        <v>-0.02245256495</v>
      </c>
      <c r="BN1286" s="160"/>
      <c r="BO1286" s="160"/>
      <c r="BP1286" s="160"/>
      <c r="BQ1286" s="160"/>
      <c r="BR1286" s="160"/>
      <c r="BS1286" s="160"/>
      <c r="BT1286" s="160"/>
      <c r="BU1286" s="160"/>
      <c r="BV1286" s="160"/>
      <c r="BW1286" s="160"/>
    </row>
    <row r="1287" ht="15.75" hidden="1" customHeight="1" outlineLevel="1">
      <c r="A1287" s="262"/>
      <c r="B1287" s="38"/>
      <c r="C1287" s="174"/>
      <c r="D1287" s="174"/>
      <c r="E1287" s="174"/>
      <c r="F1287" s="174"/>
      <c r="G1287" s="174"/>
      <c r="H1287" s="174"/>
      <c r="I1287" s="174"/>
      <c r="J1287" s="174"/>
      <c r="K1287" s="174"/>
      <c r="L1287" s="174"/>
      <c r="M1287" s="174"/>
      <c r="N1287" s="174"/>
      <c r="O1287" s="174"/>
      <c r="P1287" s="174"/>
      <c r="Q1287" s="174"/>
      <c r="R1287" s="174"/>
      <c r="S1287" s="174"/>
      <c r="T1287" s="174"/>
      <c r="U1287" s="174"/>
      <c r="V1287" s="174"/>
      <c r="W1287" s="160"/>
      <c r="X1287" s="160"/>
      <c r="Y1287" s="160"/>
      <c r="Z1287" s="160"/>
      <c r="AA1287" s="160"/>
      <c r="AB1287" s="160"/>
      <c r="AC1287" s="160"/>
      <c r="AD1287" s="160"/>
      <c r="AE1287" s="160"/>
      <c r="AF1287" s="160"/>
      <c r="AG1287" s="160"/>
      <c r="AH1287" s="160"/>
      <c r="AI1287" s="160"/>
      <c r="AJ1287" s="179"/>
      <c r="AK1287" s="160"/>
      <c r="AL1287" s="177"/>
      <c r="AM1287" s="177"/>
      <c r="AN1287" s="177"/>
      <c r="AO1287" s="160"/>
      <c r="AP1287" s="160"/>
      <c r="AQ1287" s="160"/>
      <c r="AR1287" s="160"/>
      <c r="AS1287" s="160"/>
      <c r="AT1287" s="160"/>
      <c r="AU1287" s="160"/>
      <c r="AV1287" s="160"/>
      <c r="AW1287" s="160"/>
      <c r="AX1287" s="160"/>
      <c r="AY1287" s="160"/>
      <c r="AZ1287" s="160">
        <f>IF($AZ$1129&gt;0,IPMT('Assumptions (Nuclear)'!$V$7,Model!W1,'Assumptions (Nuclear)'!$V$10,'Assumptions (Nuclear)'!$V$5*Model!$AZ$1129*AVERAGE('Assumptions (Nuclear)'!$AS$2:$AX$2)/10^9),0)</f>
        <v>-0.4275583477</v>
      </c>
      <c r="BA1287" s="160">
        <f>IF($AZ$1129&gt;0,IPMT('Assumptions (Nuclear)'!$V$7,Model!X1,'Assumptions (Nuclear)'!$V$10,'Assumptions (Nuclear)'!$V$5*Model!$AZ$1129*AVERAGE('Assumptions (Nuclear)'!$AS$2:$AX$2)/10^9),0)</f>
        <v>-0.4073685575</v>
      </c>
      <c r="BB1287" s="160">
        <f>IF($AZ$1129&gt;0,IPMT('Assumptions (Nuclear)'!$V$7,Model!Y1,'Assumptions (Nuclear)'!$V$10,'Assumptions (Nuclear)'!$V$5*Model!$AZ$1129*AVERAGE('Assumptions (Nuclear)'!$AS$2:$AX$2)/10^9),0)</f>
        <v>-0.3862197523</v>
      </c>
      <c r="BC1287" s="160">
        <f>IF($AZ$1129&gt;0,IPMT('Assumptions (Nuclear)'!$V$7,Model!Z1,'Assumptions (Nuclear)'!$V$10,'Assumptions (Nuclear)'!$V$5*Model!$AZ$1129*AVERAGE('Assumptions (Nuclear)'!$AS$2:$AX$2)/10^9),0)</f>
        <v>-0.3640663788</v>
      </c>
      <c r="BD1287" s="160">
        <f>IF($AZ$1129&gt;0,IPMT('Assumptions (Nuclear)'!$V$7,Model!AA1,'Assumptions (Nuclear)'!$V$10,'Assumptions (Nuclear)'!$V$5*Model!$AZ$1129*AVERAGE('Assumptions (Nuclear)'!$AS$2:$AX$2)/10^9),0)</f>
        <v>-0.3408607201</v>
      </c>
      <c r="BE1287" s="160">
        <f>IF($AZ$1129&gt;0,IPMT('Assumptions (Nuclear)'!$V$7,Model!AB1,'Assumptions (Nuclear)'!$V$10,'Assumptions (Nuclear)'!$V$5*Model!$AZ$1129*AVERAGE('Assumptions (Nuclear)'!$AS$2:$AX$2)/10^9),0)</f>
        <v>-0.3165527925</v>
      </c>
      <c r="BF1287" s="160">
        <f>IF($AZ$1129&gt;0,IPMT('Assumptions (Nuclear)'!$V$7,Model!AC1,'Assumptions (Nuclear)'!$V$10,'Assumptions (Nuclear)'!$V$5*Model!$AZ$1129*AVERAGE('Assumptions (Nuclear)'!$AS$2:$AX$2)/10^9),0)</f>
        <v>-0.2910902385</v>
      </c>
      <c r="BG1287" s="160">
        <f>IF($AZ$1129&gt;0,IPMT('Assumptions (Nuclear)'!$V$7,Model!AD1,'Assumptions (Nuclear)'!$V$10,'Assumptions (Nuclear)'!$V$5*Model!$AZ$1129*AVERAGE('Assumptions (Nuclear)'!$AS$2:$AX$2)/10^9),0)</f>
        <v>-0.2644182131</v>
      </c>
      <c r="BH1287" s="160">
        <f>IF($AZ$1129&gt;0,IPMT('Assumptions (Nuclear)'!$V$7,Model!AE1,'Assumptions (Nuclear)'!$V$10,'Assumptions (Nuclear)'!$V$5*Model!$AZ$1129*AVERAGE('Assumptions (Nuclear)'!$AS$2:$AX$2)/10^9),0)</f>
        <v>-0.2364792665</v>
      </c>
      <c r="BI1287" s="160">
        <f>IF($AZ$1129&gt;0,IPMT('Assumptions (Nuclear)'!$V$7,Model!AF1,'Assumptions (Nuclear)'!$V$10,'Assumptions (Nuclear)'!$V$5*Model!$AZ$1129*AVERAGE('Assumptions (Nuclear)'!$AS$2:$AX$2)/10^9),0)</f>
        <v>-0.2072132199</v>
      </c>
      <c r="BJ1287" s="160">
        <f>IF($AZ$1129&gt;0,IPMT('Assumptions (Nuclear)'!$V$7,Model!AG1,'Assumptions (Nuclear)'!$V$10,'Assumptions (Nuclear)'!$V$5*Model!$AZ$1129*AVERAGE('Assumptions (Nuclear)'!$AS$2:$AX$2)/10^9),0)</f>
        <v>-0.1765570361</v>
      </c>
      <c r="BK1287" s="160">
        <f>IF($AZ$1129&gt;0,IPMT('Assumptions (Nuclear)'!$V$7,Model!AH1,'Assumptions (Nuclear)'!$V$10,'Assumptions (Nuclear)'!$V$5*Model!$AZ$1129*AVERAGE('Assumptions (Nuclear)'!$AS$2:$AX$2)/10^9),0)</f>
        <v>-0.1444446836</v>
      </c>
      <c r="BL1287" s="160">
        <f>IF($AZ$1129&gt;0,IPMT('Assumptions (Nuclear)'!$V$7,Model!AI1,'Assumptions (Nuclear)'!$V$10,'Assumptions (Nuclear)'!$V$5*Model!$AZ$1129*AVERAGE('Assumptions (Nuclear)'!$AS$2:$AX$2)/10^9),0)</f>
        <v>-0.1108069944</v>
      </c>
      <c r="BM1287" s="160">
        <f>IF($AZ$1129&gt;0,IPMT('Assumptions (Nuclear)'!$V$7,Model!AJ1,'Assumptions (Nuclear)'!$V$10,'Assumptions (Nuclear)'!$V$5*Model!$AZ$1129*AVERAGE('Assumptions (Nuclear)'!$AS$2:$AX$2)/10^9),0)</f>
        <v>-0.07557151486</v>
      </c>
      <c r="BN1287" s="160">
        <f>IF($AZ$1129&gt;0,IPMT('Assumptions (Nuclear)'!$V$7,Model!AK1,'Assumptions (Nuclear)'!$V$10,'Assumptions (Nuclear)'!$V$5*Model!$AZ$1129*AVERAGE('Assumptions (Nuclear)'!$AS$2:$AX$2)/10^9),0)</f>
        <v>-0.03866235009</v>
      </c>
      <c r="BO1287" s="160"/>
      <c r="BP1287" s="160"/>
      <c r="BQ1287" s="160"/>
      <c r="BR1287" s="160"/>
      <c r="BS1287" s="160"/>
      <c r="BT1287" s="160"/>
      <c r="BU1287" s="160"/>
      <c r="BV1287" s="160"/>
      <c r="BW1287" s="160"/>
      <c r="BX1287" s="160"/>
    </row>
    <row r="1288" ht="15.75" hidden="1" customHeight="1" outlineLevel="1">
      <c r="A1288" s="262"/>
      <c r="B1288" s="38"/>
      <c r="C1288" s="174"/>
      <c r="D1288" s="174"/>
      <c r="E1288" s="174"/>
      <c r="F1288" s="174"/>
      <c r="G1288" s="174"/>
      <c r="H1288" s="174"/>
      <c r="I1288" s="174"/>
      <c r="J1288" s="174"/>
      <c r="K1288" s="174"/>
      <c r="L1288" s="174"/>
      <c r="M1288" s="174"/>
      <c r="N1288" s="174"/>
      <c r="O1288" s="174"/>
      <c r="P1288" s="174"/>
      <c r="Q1288" s="174"/>
      <c r="R1288" s="174"/>
      <c r="S1288" s="174"/>
      <c r="T1288" s="174"/>
      <c r="U1288" s="174"/>
      <c r="V1288" s="174"/>
      <c r="W1288" s="160"/>
      <c r="X1288" s="160"/>
      <c r="Y1288" s="160"/>
      <c r="Z1288" s="160"/>
      <c r="AA1288" s="160"/>
      <c r="AB1288" s="160"/>
      <c r="AC1288" s="160"/>
      <c r="AD1288" s="160"/>
      <c r="AE1288" s="160"/>
      <c r="AF1288" s="160"/>
      <c r="AG1288" s="160"/>
      <c r="AH1288" s="160"/>
      <c r="AI1288" s="160"/>
      <c r="AJ1288" s="179"/>
      <c r="AK1288" s="160"/>
      <c r="AL1288" s="177"/>
      <c r="AM1288" s="177"/>
      <c r="AN1288" s="177"/>
      <c r="AO1288" s="160"/>
      <c r="AP1288" s="160"/>
      <c r="AQ1288" s="160"/>
      <c r="AR1288" s="160"/>
      <c r="AS1288" s="160"/>
      <c r="AT1288" s="160"/>
      <c r="AU1288" s="160"/>
      <c r="AV1288" s="160"/>
      <c r="AW1288" s="160"/>
      <c r="AX1288" s="160"/>
      <c r="AY1288" s="160"/>
      <c r="AZ1288" s="160"/>
      <c r="BA1288" s="160">
        <f>IF($BA$1129&gt;0,IPMT('Assumptions (Nuclear)'!$V$7,Model!W1,'Assumptions (Nuclear)'!$V$10,'Assumptions (Nuclear)'!$V$5*Model!$BA$1129*AVERAGE('Assumptions (Nuclear)'!$AT$2:$AY$2)/10^9),0)</f>
        <v>-0.01689559963</v>
      </c>
      <c r="BB1288" s="160">
        <f>IF($BA$1129&gt;0,IPMT('Assumptions (Nuclear)'!$V$7,Model!X1,'Assumptions (Nuclear)'!$V$10,'Assumptions (Nuclear)'!$V$5*Model!$BA$1129*AVERAGE('Assumptions (Nuclear)'!$AT$2:$AY$2)/10^9),0)</f>
        <v>-0.01609777025</v>
      </c>
      <c r="BC1288" s="160">
        <f>IF($BA$1129&gt;0,IPMT('Assumptions (Nuclear)'!$V$7,Model!Y1,'Assumptions (Nuclear)'!$V$10,'Assumptions (Nuclear)'!$V$5*Model!$BA$1129*AVERAGE('Assumptions (Nuclear)'!$AT$2:$AY$2)/10^9),0)</f>
        <v>-0.01526204397</v>
      </c>
      <c r="BD1288" s="160">
        <f>IF($BA$1129&gt;0,IPMT('Assumptions (Nuclear)'!$V$7,Model!Z1,'Assumptions (Nuclear)'!$V$10,'Assumptions (Nuclear)'!$V$5*Model!$BA$1129*AVERAGE('Assumptions (Nuclear)'!$AT$2:$AY$2)/10^9),0)</f>
        <v>-0.0143866207</v>
      </c>
      <c r="BE1288" s="160">
        <f>IF($BA$1129&gt;0,IPMT('Assumptions (Nuclear)'!$V$7,Model!AA1,'Assumptions (Nuclear)'!$V$10,'Assumptions (Nuclear)'!$V$5*Model!$BA$1129*AVERAGE('Assumptions (Nuclear)'!$AT$2:$AY$2)/10^9),0)</f>
        <v>-0.01346961482</v>
      </c>
      <c r="BF1288" s="160">
        <f>IF($BA$1129&gt;0,IPMT('Assumptions (Nuclear)'!$V$7,Model!AB1,'Assumptions (Nuclear)'!$V$10,'Assumptions (Nuclear)'!$V$5*Model!$BA$1129*AVERAGE('Assumptions (Nuclear)'!$AT$2:$AY$2)/10^9),0)</f>
        <v>-0.01250905116</v>
      </c>
      <c r="BG1288" s="160">
        <f>IF($BA$1129&gt;0,IPMT('Assumptions (Nuclear)'!$V$7,Model!AC1,'Assumptions (Nuclear)'!$V$10,'Assumptions (Nuclear)'!$V$5*Model!$BA$1129*AVERAGE('Assumptions (Nuclear)'!$AT$2:$AY$2)/10^9),0)</f>
        <v>-0.01150286072</v>
      </c>
      <c r="BH1288" s="160">
        <f>IF($BA$1129&gt;0,IPMT('Assumptions (Nuclear)'!$V$7,Model!AD1,'Assumptions (Nuclear)'!$V$10,'Assumptions (Nuclear)'!$V$5*Model!$BA$1129*AVERAGE('Assumptions (Nuclear)'!$AT$2:$AY$2)/10^9),0)</f>
        <v>-0.01044887624</v>
      </c>
      <c r="BI1288" s="160">
        <f>IF($BA$1129&gt;0,IPMT('Assumptions (Nuclear)'!$V$7,Model!AE1,'Assumptions (Nuclear)'!$V$10,'Assumptions (Nuclear)'!$V$5*Model!$BA$1129*AVERAGE('Assumptions (Nuclear)'!$AT$2:$AY$2)/10^9),0)</f>
        <v>-0.009344827503</v>
      </c>
      <c r="BJ1288" s="160">
        <f>IF($BA$1129&gt;0,IPMT('Assumptions (Nuclear)'!$V$7,Model!AF1,'Assumptions (Nuclear)'!$V$10,'Assumptions (Nuclear)'!$V$5*Model!$BA$1129*AVERAGE('Assumptions (Nuclear)'!$AT$2:$AY$2)/10^9),0)</f>
        <v>-0.008188336446</v>
      </c>
      <c r="BK1288" s="160">
        <f>IF($BA$1129&gt;0,IPMT('Assumptions (Nuclear)'!$V$7,Model!AG1,'Assumptions (Nuclear)'!$V$10,'Assumptions (Nuclear)'!$V$5*Model!$BA$1129*AVERAGE('Assumptions (Nuclear)'!$AT$2:$AY$2)/10^9),0)</f>
        <v>-0.006976912063</v>
      </c>
      <c r="BL1288" s="160">
        <f>IF($BA$1129&gt;0,IPMT('Assumptions (Nuclear)'!$V$7,Model!AH1,'Assumptions (Nuclear)'!$V$10,'Assumptions (Nuclear)'!$V$5*Model!$BA$1129*AVERAGE('Assumptions (Nuclear)'!$AT$2:$AY$2)/10^9),0)</f>
        <v>-0.005707945023</v>
      </c>
      <c r="BM1288" s="160">
        <f>IF($BA$1129&gt;0,IPMT('Assumptions (Nuclear)'!$V$7,Model!AI1,'Assumptions (Nuclear)'!$V$10,'Assumptions (Nuclear)'!$V$5*Model!$BA$1129*AVERAGE('Assumptions (Nuclear)'!$AT$2:$AY$2)/10^9),0)</f>
        <v>-0.004378702048</v>
      </c>
      <c r="BN1288" s="160">
        <f>IF($BA$1129&gt;0,IPMT('Assumptions (Nuclear)'!$V$7,Model!AJ1,'Assumptions (Nuclear)'!$V$10,'Assumptions (Nuclear)'!$V$5*Model!$BA$1129*AVERAGE('Assumptions (Nuclear)'!$AT$2:$AY$2)/10^9),0)</f>
        <v>-0.002986320032</v>
      </c>
      <c r="BO1288" s="160">
        <f>IF($BA$1129&gt;0,IPMT('Assumptions (Nuclear)'!$V$7,Model!AK1,'Assumptions (Nuclear)'!$V$10,'Assumptions (Nuclear)'!$V$5*Model!$BA$1129*AVERAGE('Assumptions (Nuclear)'!$AT$2:$AY$2)/10^9),0)</f>
        <v>-0.00152779987</v>
      </c>
      <c r="BP1288" s="160"/>
      <c r="BQ1288" s="160"/>
      <c r="BR1288" s="160"/>
      <c r="BS1288" s="160"/>
      <c r="BT1288" s="160"/>
      <c r="BU1288" s="160"/>
      <c r="BV1288" s="160"/>
      <c r="BW1288" s="160"/>
      <c r="BX1288" s="160"/>
      <c r="BY1288" s="160"/>
    </row>
    <row r="1289" ht="15.75" customHeight="1" collapsed="1">
      <c r="A1289" s="261" t="s">
        <v>361</v>
      </c>
      <c r="B1289" s="150" t="s">
        <v>351</v>
      </c>
      <c r="C1289" s="160">
        <f t="shared" ref="C1289:BQ1289" si="50">SUM(C1290:C1340)</f>
        <v>0</v>
      </c>
      <c r="D1289" s="160">
        <f t="shared" si="50"/>
        <v>0</v>
      </c>
      <c r="E1289" s="160">
        <f t="shared" si="50"/>
        <v>0</v>
      </c>
      <c r="F1289" s="160">
        <f t="shared" si="50"/>
        <v>0</v>
      </c>
      <c r="G1289" s="160">
        <f t="shared" si="50"/>
        <v>0</v>
      </c>
      <c r="H1289" s="160">
        <f t="shared" si="50"/>
        <v>0</v>
      </c>
      <c r="I1289" s="160">
        <f t="shared" si="50"/>
        <v>0</v>
      </c>
      <c r="J1289" s="160">
        <f t="shared" si="50"/>
        <v>0</v>
      </c>
      <c r="K1289" s="160">
        <f t="shared" si="50"/>
        <v>0</v>
      </c>
      <c r="L1289" s="160">
        <f t="shared" si="50"/>
        <v>0</v>
      </c>
      <c r="M1289" s="160">
        <f t="shared" si="50"/>
        <v>0</v>
      </c>
      <c r="N1289" s="160">
        <f t="shared" si="50"/>
        <v>0</v>
      </c>
      <c r="O1289" s="160">
        <f t="shared" si="50"/>
        <v>0</v>
      </c>
      <c r="P1289" s="160">
        <f t="shared" si="50"/>
        <v>0</v>
      </c>
      <c r="Q1289" s="160">
        <f t="shared" si="50"/>
        <v>0</v>
      </c>
      <c r="R1289" s="160">
        <f t="shared" si="50"/>
        <v>0</v>
      </c>
      <c r="S1289" s="160">
        <f t="shared" si="50"/>
        <v>0.4162064541</v>
      </c>
      <c r="T1289" s="160">
        <f t="shared" si="50"/>
        <v>0.7907922627</v>
      </c>
      <c r="U1289" s="160">
        <f t="shared" si="50"/>
        <v>0.7117130365</v>
      </c>
      <c r="V1289" s="160">
        <f t="shared" si="50"/>
        <v>0.6409579393</v>
      </c>
      <c r="W1289" s="160">
        <f t="shared" si="50"/>
        <v>0.5768621453</v>
      </c>
      <c r="X1289" s="160">
        <f t="shared" si="50"/>
        <v>0.5490351962</v>
      </c>
      <c r="Y1289" s="160">
        <f t="shared" si="50"/>
        <v>0.5798938477</v>
      </c>
      <c r="Z1289" s="160">
        <f t="shared" si="50"/>
        <v>0.6333919885</v>
      </c>
      <c r="AA1289" s="160">
        <f t="shared" si="50"/>
        <v>0.6834156321</v>
      </c>
      <c r="AB1289" s="160">
        <f t="shared" si="50"/>
        <v>0.7278089812</v>
      </c>
      <c r="AC1289" s="160">
        <f t="shared" si="50"/>
        <v>0.7702176961</v>
      </c>
      <c r="AD1289" s="160">
        <f t="shared" si="50"/>
        <v>0.8095140497</v>
      </c>
      <c r="AE1289" s="160">
        <f t="shared" si="50"/>
        <v>0.8510163377</v>
      </c>
      <c r="AF1289" s="160">
        <f t="shared" si="50"/>
        <v>0.8914679508</v>
      </c>
      <c r="AG1289" s="160">
        <f t="shared" si="50"/>
        <v>0.9340908347</v>
      </c>
      <c r="AH1289" s="160">
        <f t="shared" si="50"/>
        <v>0.7301137015</v>
      </c>
      <c r="AI1289" s="160">
        <f t="shared" si="50"/>
        <v>0.5274670207</v>
      </c>
      <c r="AJ1289" s="160">
        <f t="shared" si="50"/>
        <v>0.8948862429</v>
      </c>
      <c r="AK1289" s="160">
        <f t="shared" si="50"/>
        <v>1.2304024</v>
      </c>
      <c r="AL1289" s="160">
        <f t="shared" si="50"/>
        <v>1.596791835</v>
      </c>
      <c r="AM1289" s="160">
        <f t="shared" si="50"/>
        <v>3.197353633</v>
      </c>
      <c r="AN1289" s="160">
        <f t="shared" si="50"/>
        <v>5.573584142</v>
      </c>
      <c r="AO1289" s="160">
        <f t="shared" si="50"/>
        <v>6.429538857</v>
      </c>
      <c r="AP1289" s="160">
        <f t="shared" si="50"/>
        <v>7.286034301</v>
      </c>
      <c r="AQ1289" s="160">
        <f t="shared" si="50"/>
        <v>8.0765868</v>
      </c>
      <c r="AR1289" s="160">
        <f t="shared" si="50"/>
        <v>7.812845839</v>
      </c>
      <c r="AS1289" s="160">
        <f t="shared" si="50"/>
        <v>7.674522736</v>
      </c>
      <c r="AT1289" s="160">
        <f t="shared" si="50"/>
        <v>8.892754661</v>
      </c>
      <c r="AU1289" s="160">
        <f t="shared" si="50"/>
        <v>10.65669609</v>
      </c>
      <c r="AV1289" s="160">
        <f t="shared" si="50"/>
        <v>10.74190617</v>
      </c>
      <c r="AW1289" s="160">
        <f t="shared" si="50"/>
        <v>11.42395676</v>
      </c>
      <c r="AX1289" s="160">
        <f t="shared" si="50"/>
        <v>13.39080687</v>
      </c>
      <c r="AY1289" s="160">
        <f t="shared" si="50"/>
        <v>14.48172154</v>
      </c>
      <c r="AZ1289" s="160">
        <f t="shared" si="50"/>
        <v>15.30741317</v>
      </c>
      <c r="BA1289" s="160">
        <f t="shared" si="50"/>
        <v>15.50877071</v>
      </c>
      <c r="BB1289" s="160">
        <f t="shared" si="50"/>
        <v>13.82859446</v>
      </c>
      <c r="BC1289" s="160">
        <f t="shared" si="50"/>
        <v>11.66342427</v>
      </c>
      <c r="BD1289" s="160">
        <f t="shared" si="50"/>
        <v>10.47415332</v>
      </c>
      <c r="BE1289" s="160">
        <f t="shared" si="50"/>
        <v>9.392036297</v>
      </c>
      <c r="BF1289" s="160">
        <f t="shared" si="50"/>
        <v>8.442960974</v>
      </c>
      <c r="BG1289" s="160">
        <f t="shared" si="50"/>
        <v>8.153709837</v>
      </c>
      <c r="BH1289" s="160">
        <f t="shared" si="50"/>
        <v>7.872193222</v>
      </c>
      <c r="BI1289" s="160">
        <f t="shared" si="50"/>
        <v>6.884319352</v>
      </c>
      <c r="BJ1289" s="160">
        <f t="shared" si="50"/>
        <v>5.551833027</v>
      </c>
      <c r="BK1289" s="160">
        <f t="shared" si="50"/>
        <v>5.153838197</v>
      </c>
      <c r="BL1289" s="160">
        <f t="shared" si="50"/>
        <v>4.449259001</v>
      </c>
      <c r="BM1289" s="160">
        <f t="shared" si="50"/>
        <v>2.958552772</v>
      </c>
      <c r="BN1289" s="160">
        <f t="shared" si="50"/>
        <v>1.767911985</v>
      </c>
      <c r="BO1289" s="160">
        <f t="shared" si="50"/>
        <v>0.7163947998</v>
      </c>
      <c r="BP1289" s="160">
        <f t="shared" si="50"/>
        <v>0.02623264153</v>
      </c>
      <c r="BQ1289" s="160">
        <f t="shared" si="50"/>
        <v>0</v>
      </c>
    </row>
    <row r="1290" ht="15.75" hidden="1" customHeight="1" outlineLevel="1">
      <c r="A1290" s="262"/>
      <c r="B1290" s="38"/>
      <c r="C1290" s="177">
        <f>IF($C$1129&gt;0,'Assumptions (Nuclear)'!V$11*Model!$C$1129*'Assumptions (Nuclear)'!$B$2/10^9,0)</f>
        <v>0</v>
      </c>
      <c r="D1290" s="177">
        <f>IF($C$1129&gt;0,'Assumptions (Nuclear)'!W$11*Model!$C$1129*'Assumptions (Nuclear)'!$B$2/10^9,0)</f>
        <v>0</v>
      </c>
      <c r="E1290" s="177">
        <f>IF($C$1129&gt;0,'Assumptions (Nuclear)'!X$11*Model!$C$1129*'Assumptions (Nuclear)'!$B$2/10^9,0)</f>
        <v>0</v>
      </c>
      <c r="F1290" s="177">
        <f>IF($C$1129&gt;0,'Assumptions (Nuclear)'!Y$11*Model!$C$1129*'Assumptions (Nuclear)'!$B$2/10^9,0)</f>
        <v>0</v>
      </c>
      <c r="G1290" s="177">
        <f>IF($C$1129&gt;0,'Assumptions (Nuclear)'!Z$11*Model!$C$1129*'Assumptions (Nuclear)'!$B$2/10^9,0)</f>
        <v>0</v>
      </c>
      <c r="H1290" s="177">
        <f>IF($C$1129&gt;0,'Assumptions (Nuclear)'!AA$11*Model!$C$1129*'Assumptions (Nuclear)'!$B$2/10^9,0)</f>
        <v>0</v>
      </c>
      <c r="I1290" s="177">
        <f>IF($C$1129&gt;0,'Assumptions (Nuclear)'!AB$11*Model!$C$1129*'Assumptions (Nuclear)'!$B$2/10^9,0)</f>
        <v>0</v>
      </c>
      <c r="J1290" s="177">
        <f>IF($C$1129&gt;0,'Assumptions (Nuclear)'!AC$11*Model!$C$1129*'Assumptions (Nuclear)'!$B$2/10^9,0)</f>
        <v>0</v>
      </c>
      <c r="K1290" s="177">
        <f>IF($C$1129&gt;0,'Assumptions (Nuclear)'!AD$11*Model!$C$1129*'Assumptions (Nuclear)'!$B$2/10^9,0)</f>
        <v>0</v>
      </c>
      <c r="L1290" s="177">
        <f>IF($C$1129&gt;0,'Assumptions (Nuclear)'!AE$11*Model!$C$1129*'Assumptions (Nuclear)'!$B$2/10^9,0)</f>
        <v>0</v>
      </c>
      <c r="M1290" s="177">
        <f>IF($C$1129&gt;0,'Assumptions (Nuclear)'!AF$11*Model!$C$1129*'Assumptions (Nuclear)'!$B$2/10^9,0)</f>
        <v>0</v>
      </c>
      <c r="N1290" s="177">
        <f>IF($C$1129&gt;0,'Assumptions (Nuclear)'!AG$11*Model!$C$1129*'Assumptions (Nuclear)'!$B$2/10^9,0)</f>
        <v>0</v>
      </c>
      <c r="O1290" s="177">
        <f>IF($C$1129&gt;0,'Assumptions (Nuclear)'!AH$11*Model!$C$1129*'Assumptions (Nuclear)'!$B$2/10^9,0)</f>
        <v>0</v>
      </c>
      <c r="P1290" s="177">
        <f>IF($C$1129&gt;0,'Assumptions (Nuclear)'!AI$11*Model!$C$1129*'Assumptions (Nuclear)'!$B$2/10^9,0)</f>
        <v>0</v>
      </c>
      <c r="Q1290" s="177">
        <f>IF($C$1129&gt;0,'Assumptions (Nuclear)'!AJ$11*Model!$C$1129*'Assumptions (Nuclear)'!$B$2/10^9,0)</f>
        <v>0</v>
      </c>
      <c r="R1290" s="177">
        <f>IF($C$1129&gt;0,'Assumptions (Nuclear)'!AK$11*Model!$C$1129*'Assumptions (Nuclear)'!$B$2/10^9,0)</f>
        <v>0</v>
      </c>
      <c r="S1290" s="177"/>
      <c r="T1290" s="177"/>
      <c r="U1290" s="177"/>
      <c r="V1290" s="177"/>
      <c r="W1290" s="177"/>
      <c r="X1290" s="160"/>
      <c r="Y1290" s="160"/>
      <c r="Z1290" s="160"/>
      <c r="AA1290" s="160"/>
      <c r="AB1290" s="160"/>
      <c r="AC1290" s="160"/>
      <c r="AD1290" s="160"/>
      <c r="AE1290" s="160"/>
      <c r="AF1290" s="160"/>
      <c r="AG1290" s="160"/>
      <c r="AQ1290" s="95"/>
      <c r="AR1290" s="95"/>
      <c r="AS1290" s="95"/>
      <c r="AT1290" s="95"/>
      <c r="AU1290" s="95"/>
      <c r="AV1290" s="95"/>
      <c r="AW1290" s="95"/>
      <c r="AX1290" s="95"/>
      <c r="AY1290" s="95"/>
      <c r="AZ1290" s="95"/>
      <c r="BA1290" s="95"/>
    </row>
    <row r="1291" ht="15.75" hidden="1" customHeight="1" outlineLevel="1">
      <c r="A1291" s="262"/>
      <c r="B1291" s="38"/>
      <c r="C1291" s="160"/>
      <c r="D1291" s="160">
        <f>IF($D$1129&gt;0,'Assumptions (Nuclear)'!V$11*Model!$D$1129*'Assumptions (Nuclear)'!$B$2/10^9,0)</f>
        <v>0</v>
      </c>
      <c r="E1291" s="160">
        <f>IF($D$1129&gt;0,'Assumptions (Nuclear)'!W$11*Model!$D$1129*'Assumptions (Nuclear)'!$B$2/10^9,0)</f>
        <v>0</v>
      </c>
      <c r="F1291" s="160">
        <f>IF($D$1129&gt;0,'Assumptions (Nuclear)'!X$11*Model!$D$1129*'Assumptions (Nuclear)'!$B$2/10^9,0)</f>
        <v>0</v>
      </c>
      <c r="G1291" s="160">
        <f>IF($D$1129&gt;0,'Assumptions (Nuclear)'!Y$11*Model!$D$1129*'Assumptions (Nuclear)'!$B$2/10^9,0)</f>
        <v>0</v>
      </c>
      <c r="H1291" s="160">
        <f>IF($D$1129&gt;0,'Assumptions (Nuclear)'!Z$11*Model!$D$1129*'Assumptions (Nuclear)'!$B$2/10^9,0)</f>
        <v>0</v>
      </c>
      <c r="I1291" s="160">
        <f>IF($D$1129&gt;0,'Assumptions (Nuclear)'!AA$11*Model!$D$1129*'Assumptions (Nuclear)'!$B$2/10^9,0)</f>
        <v>0</v>
      </c>
      <c r="J1291" s="160">
        <f>IF($D$1129&gt;0,'Assumptions (Nuclear)'!AB$11*Model!$D$1129*'Assumptions (Nuclear)'!$B$2/10^9,0)</f>
        <v>0</v>
      </c>
      <c r="K1291" s="160">
        <f>IF($D$1129&gt;0,'Assumptions (Nuclear)'!AC$11*Model!$D$1129*'Assumptions (Nuclear)'!$B$2/10^9,0)</f>
        <v>0</v>
      </c>
      <c r="L1291" s="160">
        <f>IF($D$1129&gt;0,'Assumptions (Nuclear)'!AD$11*Model!$D$1129*'Assumptions (Nuclear)'!$B$2/10^9,0)</f>
        <v>0</v>
      </c>
      <c r="M1291" s="160">
        <f>IF($D$1129&gt;0,'Assumptions (Nuclear)'!AE$11*Model!$D$1129*'Assumptions (Nuclear)'!$B$2/10^9,0)</f>
        <v>0</v>
      </c>
      <c r="N1291" s="160">
        <f>IF($D$1129&gt;0,'Assumptions (Nuclear)'!AF$11*Model!$D$1129*'Assumptions (Nuclear)'!$B$2/10^9,0)</f>
        <v>0</v>
      </c>
      <c r="O1291" s="160">
        <f>IF($D$1129&gt;0,'Assumptions (Nuclear)'!AG$11*Model!$D$1129*'Assumptions (Nuclear)'!$B$2/10^9,0)</f>
        <v>0</v>
      </c>
      <c r="P1291" s="160">
        <f>IF($D$1129&gt;0,'Assumptions (Nuclear)'!AH$11*Model!$D$1129*'Assumptions (Nuclear)'!$B$2/10^9,0)</f>
        <v>0</v>
      </c>
      <c r="Q1291" s="160">
        <f>IF($D$1129&gt;0,'Assumptions (Nuclear)'!AI$11*Model!$D$1129*'Assumptions (Nuclear)'!$B$2/10^9,0)</f>
        <v>0</v>
      </c>
      <c r="R1291" s="160">
        <f>IF($D$1129&gt;0,'Assumptions (Nuclear)'!AJ$11*Model!$D$1129*'Assumptions (Nuclear)'!$B$2/10^9,0)</f>
        <v>0</v>
      </c>
      <c r="S1291" s="160">
        <f>IF($D$1129&gt;0,'Assumptions (Nuclear)'!AK$11*Model!$D$1129*'Assumptions (Nuclear)'!$B$2/10^9,0)</f>
        <v>0</v>
      </c>
      <c r="T1291" s="160"/>
      <c r="U1291" s="160"/>
      <c r="V1291" s="160"/>
      <c r="W1291" s="160"/>
      <c r="X1291" s="160"/>
      <c r="Y1291" s="160"/>
      <c r="Z1291" s="160"/>
      <c r="AA1291" s="160"/>
      <c r="AB1291" s="160"/>
      <c r="AC1291" s="160"/>
      <c r="AD1291" s="160"/>
      <c r="AE1291" s="160"/>
      <c r="AF1291" s="160"/>
      <c r="AG1291" s="160"/>
      <c r="AQ1291" s="95"/>
      <c r="AR1291" s="95"/>
      <c r="AS1291" s="95"/>
      <c r="AT1291" s="95"/>
      <c r="AU1291" s="95"/>
      <c r="AV1291" s="95"/>
      <c r="AW1291" s="95"/>
      <c r="AX1291" s="95"/>
      <c r="AY1291" s="95"/>
      <c r="AZ1291" s="95"/>
      <c r="BA1291" s="95"/>
    </row>
    <row r="1292" ht="15.75" hidden="1" customHeight="1" outlineLevel="1">
      <c r="A1292" s="262"/>
      <c r="B1292" s="38"/>
      <c r="C1292" s="160"/>
      <c r="D1292" s="160"/>
      <c r="E1292" s="160">
        <f>IF($E$1129&gt;0,'Assumptions (Nuclear)'!V$11*Model!$E$1129*AVERAGE('Assumptions (Nuclear)'!$B$2:$C$2)/10^9,0)</f>
        <v>0</v>
      </c>
      <c r="F1292" s="160">
        <f>IF($E$1129&gt;0,'Assumptions (Nuclear)'!W$11*Model!$E$1129*AVERAGE('Assumptions (Nuclear)'!$B$2:$C$2)/10^9,0)</f>
        <v>0</v>
      </c>
      <c r="G1292" s="160">
        <f>IF($E$1129&gt;0,'Assumptions (Nuclear)'!X$11*Model!$E$1129*AVERAGE('Assumptions (Nuclear)'!$B$2:$C$2)/10^9,0)</f>
        <v>0</v>
      </c>
      <c r="H1292" s="160">
        <f>IF($E$1129&gt;0,'Assumptions (Nuclear)'!Y$11*Model!$E$1129*AVERAGE('Assumptions (Nuclear)'!$B$2:$C$2)/10^9,0)</f>
        <v>0</v>
      </c>
      <c r="I1292" s="160">
        <f>IF($E$1129&gt;0,'Assumptions (Nuclear)'!Z$11*Model!$E$1129*AVERAGE('Assumptions (Nuclear)'!$B$2:$C$2)/10^9,0)</f>
        <v>0</v>
      </c>
      <c r="J1292" s="160">
        <f>IF($E$1129&gt;0,'Assumptions (Nuclear)'!AA$11*Model!$E$1129*AVERAGE('Assumptions (Nuclear)'!$B$2:$C$2)/10^9,0)</f>
        <v>0</v>
      </c>
      <c r="K1292" s="160">
        <f>IF($E$1129&gt;0,'Assumptions (Nuclear)'!AB$11*Model!$E$1129*AVERAGE('Assumptions (Nuclear)'!$B$2:$C$2)/10^9,0)</f>
        <v>0</v>
      </c>
      <c r="L1292" s="160">
        <f>IF($E$1129&gt;0,'Assumptions (Nuclear)'!AC$11*Model!$E$1129*AVERAGE('Assumptions (Nuclear)'!$B$2:$C$2)/10^9,0)</f>
        <v>0</v>
      </c>
      <c r="M1292" s="160">
        <f>IF($E$1129&gt;0,'Assumptions (Nuclear)'!AD$11*Model!$E$1129*AVERAGE('Assumptions (Nuclear)'!$B$2:$C$2)/10^9,0)</f>
        <v>0</v>
      </c>
      <c r="N1292" s="160">
        <f>IF($E$1129&gt;0,'Assumptions (Nuclear)'!AE$11*Model!$E$1129*AVERAGE('Assumptions (Nuclear)'!$B$2:$C$2)/10^9,0)</f>
        <v>0</v>
      </c>
      <c r="O1292" s="160">
        <f>IF($E$1129&gt;0,'Assumptions (Nuclear)'!AF$11*Model!$E$1129*AVERAGE('Assumptions (Nuclear)'!$B$2:$C$2)/10^9,0)</f>
        <v>0</v>
      </c>
      <c r="P1292" s="160">
        <f>IF($E$1129&gt;0,'Assumptions (Nuclear)'!AG$11*Model!$E$1129*AVERAGE('Assumptions (Nuclear)'!$B$2:$C$2)/10^9,0)</f>
        <v>0</v>
      </c>
      <c r="Q1292" s="160">
        <f>IF($E$1129&gt;0,'Assumptions (Nuclear)'!AH$11*Model!$E$1129*AVERAGE('Assumptions (Nuclear)'!$B$2:$C$2)/10^9,0)</f>
        <v>0</v>
      </c>
      <c r="R1292" s="160">
        <f>IF($E$1129&gt;0,'Assumptions (Nuclear)'!AI$11*Model!$E$1129*AVERAGE('Assumptions (Nuclear)'!$B$2:$C$2)/10^9,0)</f>
        <v>0</v>
      </c>
      <c r="S1292" s="160">
        <f>IF($E$1129&gt;0,'Assumptions (Nuclear)'!AJ$11*Model!$E$1129*AVERAGE('Assumptions (Nuclear)'!$B$2:$C$2)/10^9,0)</f>
        <v>0</v>
      </c>
      <c r="T1292" s="160">
        <f>IF($E$1129&gt;0,'Assumptions (Nuclear)'!AK$11*Model!$E$1129*AVERAGE('Assumptions (Nuclear)'!$B$2:$C$2)/10^9,0)</f>
        <v>0</v>
      </c>
      <c r="U1292" s="160"/>
      <c r="V1292" s="160"/>
      <c r="W1292" s="160"/>
      <c r="X1292" s="160"/>
      <c r="Y1292" s="160"/>
      <c r="Z1292" s="160"/>
      <c r="AA1292" s="160"/>
      <c r="AB1292" s="160"/>
      <c r="AC1292" s="160"/>
      <c r="AD1292" s="160"/>
      <c r="AE1292" s="160"/>
      <c r="AF1292" s="160"/>
      <c r="AG1292" s="160"/>
      <c r="AQ1292" s="95"/>
      <c r="AR1292" s="95"/>
      <c r="AS1292" s="95"/>
      <c r="AT1292" s="95"/>
      <c r="AU1292" s="95"/>
      <c r="AV1292" s="95"/>
      <c r="AW1292" s="95"/>
      <c r="AX1292" s="95"/>
      <c r="AY1292" s="95"/>
      <c r="AZ1292" s="95"/>
      <c r="BA1292" s="95"/>
    </row>
    <row r="1293" ht="15.75" hidden="1" customHeight="1" outlineLevel="1">
      <c r="A1293" s="262"/>
      <c r="B1293" s="38"/>
      <c r="C1293" s="160"/>
      <c r="D1293" s="160"/>
      <c r="E1293" s="160"/>
      <c r="F1293" s="160">
        <f>IF($F$1129&gt;0,'Assumptions (Nuclear)'!V$11*Model!$F$1129*AVERAGE('Assumptions (Nuclear)'!$B$2:$D$2)/10^9,0)</f>
        <v>0</v>
      </c>
      <c r="G1293" s="160">
        <f>IF($F$1129&gt;0,'Assumptions (Nuclear)'!W$11*Model!$F$1129*AVERAGE('Assumptions (Nuclear)'!$B$2:$D$2)/10^9,0)</f>
        <v>0</v>
      </c>
      <c r="H1293" s="160">
        <f>IF($F$1129&gt;0,'Assumptions (Nuclear)'!X$11*Model!$F$1129*AVERAGE('Assumptions (Nuclear)'!$B$2:$D$2)/10^9,0)</f>
        <v>0</v>
      </c>
      <c r="I1293" s="160">
        <f>IF($F$1129&gt;0,'Assumptions (Nuclear)'!Y$11*Model!$F$1129*AVERAGE('Assumptions (Nuclear)'!$B$2:$D$2)/10^9,0)</f>
        <v>0</v>
      </c>
      <c r="J1293" s="160">
        <f>IF($F$1129&gt;0,'Assumptions (Nuclear)'!Z$11*Model!$F$1129*AVERAGE('Assumptions (Nuclear)'!$B$2:$D$2)/10^9,0)</f>
        <v>0</v>
      </c>
      <c r="K1293" s="160">
        <f>IF($F$1129&gt;0,'Assumptions (Nuclear)'!AA$11*Model!$F$1129*AVERAGE('Assumptions (Nuclear)'!$B$2:$D$2)/10^9,0)</f>
        <v>0</v>
      </c>
      <c r="L1293" s="160">
        <f>IF($F$1129&gt;0,'Assumptions (Nuclear)'!AB$11*Model!$F$1129*AVERAGE('Assumptions (Nuclear)'!$B$2:$D$2)/10^9,0)</f>
        <v>0</v>
      </c>
      <c r="M1293" s="160">
        <f>IF($F$1129&gt;0,'Assumptions (Nuclear)'!AC$11*Model!$F$1129*AVERAGE('Assumptions (Nuclear)'!$B$2:$D$2)/10^9,0)</f>
        <v>0</v>
      </c>
      <c r="N1293" s="160">
        <f>IF($F$1129&gt;0,'Assumptions (Nuclear)'!AD$11*Model!$F$1129*AVERAGE('Assumptions (Nuclear)'!$B$2:$D$2)/10^9,0)</f>
        <v>0</v>
      </c>
      <c r="O1293" s="160">
        <f>IF($F$1129&gt;0,'Assumptions (Nuclear)'!AE$11*Model!$F$1129*AVERAGE('Assumptions (Nuclear)'!$B$2:$D$2)/10^9,0)</f>
        <v>0</v>
      </c>
      <c r="P1293" s="160">
        <f>IF($F$1129&gt;0,'Assumptions (Nuclear)'!AF$11*Model!$F$1129*AVERAGE('Assumptions (Nuclear)'!$B$2:$D$2)/10^9,0)</f>
        <v>0</v>
      </c>
      <c r="Q1293" s="160">
        <f>IF($F$1129&gt;0,'Assumptions (Nuclear)'!AG$11*Model!$F$1129*AVERAGE('Assumptions (Nuclear)'!$B$2:$D$2)/10^9,0)</f>
        <v>0</v>
      </c>
      <c r="R1293" s="160">
        <f>IF($F$1129&gt;0,'Assumptions (Nuclear)'!AH$11*Model!$F$1129*AVERAGE('Assumptions (Nuclear)'!$B$2:$D$2)/10^9,0)</f>
        <v>0</v>
      </c>
      <c r="S1293" s="160">
        <f>IF($F$1129&gt;0,'Assumptions (Nuclear)'!AI$11*Model!$F$1129*AVERAGE('Assumptions (Nuclear)'!$B$2:$D$2)/10^9,0)</f>
        <v>0</v>
      </c>
      <c r="T1293" s="160">
        <f>IF($F$1129&gt;0,'Assumptions (Nuclear)'!AJ$11*Model!$F$1129*AVERAGE('Assumptions (Nuclear)'!$B$2:$D$2)/10^9,0)</f>
        <v>0</v>
      </c>
      <c r="U1293" s="160">
        <f>IF($F$1129&gt;0,'Assumptions (Nuclear)'!AK$11*Model!$F$1129*AVERAGE('Assumptions (Nuclear)'!$B$2:$D$2)/10^9,0)</f>
        <v>0</v>
      </c>
      <c r="V1293" s="160"/>
      <c r="W1293" s="160"/>
      <c r="X1293" s="160"/>
      <c r="Y1293" s="160"/>
      <c r="Z1293" s="160"/>
      <c r="AA1293" s="160"/>
      <c r="AB1293" s="160"/>
      <c r="AC1293" s="160"/>
      <c r="AD1293" s="160"/>
      <c r="AE1293" s="160"/>
      <c r="AF1293" s="160"/>
      <c r="AG1293" s="160"/>
      <c r="AQ1293" s="95"/>
      <c r="AR1293" s="95"/>
      <c r="AS1293" s="95"/>
      <c r="AT1293" s="95"/>
      <c r="AU1293" s="95"/>
      <c r="AV1293" s="95"/>
      <c r="AW1293" s="95"/>
      <c r="AX1293" s="95"/>
      <c r="AY1293" s="95"/>
      <c r="AZ1293" s="95"/>
      <c r="BA1293" s="95"/>
    </row>
    <row r="1294" ht="15.75" hidden="1" customHeight="1" outlineLevel="1">
      <c r="A1294" s="262"/>
      <c r="B1294" s="38"/>
      <c r="C1294" s="160"/>
      <c r="D1294" s="160"/>
      <c r="E1294" s="160"/>
      <c r="F1294" s="160"/>
      <c r="G1294" s="160">
        <f>IF($G$1129&gt;0,'Assumptions (Nuclear)'!V$11*Model!$G$1129*AVERAGE('Assumptions (Nuclear)'!$B$2:$E$2)/10^9,0)</f>
        <v>0</v>
      </c>
      <c r="H1294" s="160">
        <f>IF($G$1129&gt;0,'Assumptions (Nuclear)'!W$11*Model!$G$1129*AVERAGE('Assumptions (Nuclear)'!$B$2:$E$2)/10^9,0)</f>
        <v>0</v>
      </c>
      <c r="I1294" s="160">
        <f>IF($G$1129&gt;0,'Assumptions (Nuclear)'!X$11*Model!$G$1129*AVERAGE('Assumptions (Nuclear)'!$B$2:$E$2)/10^9,0)</f>
        <v>0</v>
      </c>
      <c r="J1294" s="160">
        <f>IF($G$1129&gt;0,'Assumptions (Nuclear)'!Y$11*Model!$G$1129*AVERAGE('Assumptions (Nuclear)'!$B$2:$E$2)/10^9,0)</f>
        <v>0</v>
      </c>
      <c r="K1294" s="160">
        <f>IF($G$1129&gt;0,'Assumptions (Nuclear)'!Z$11*Model!$G$1129*AVERAGE('Assumptions (Nuclear)'!$B$2:$E$2)/10^9,0)</f>
        <v>0</v>
      </c>
      <c r="L1294" s="160">
        <f>IF($G$1129&gt;0,'Assumptions (Nuclear)'!AA$11*Model!$G$1129*AVERAGE('Assumptions (Nuclear)'!$B$2:$E$2)/10^9,0)</f>
        <v>0</v>
      </c>
      <c r="M1294" s="160">
        <f>IF($G$1129&gt;0,'Assumptions (Nuclear)'!AB$11*Model!$G$1129*AVERAGE('Assumptions (Nuclear)'!$B$2:$E$2)/10^9,0)</f>
        <v>0</v>
      </c>
      <c r="N1294" s="160">
        <f>IF($G$1129&gt;0,'Assumptions (Nuclear)'!AC$11*Model!$G$1129*AVERAGE('Assumptions (Nuclear)'!$B$2:$E$2)/10^9,0)</f>
        <v>0</v>
      </c>
      <c r="O1294" s="160">
        <f>IF($G$1129&gt;0,'Assumptions (Nuclear)'!AD$11*Model!$G$1129*AVERAGE('Assumptions (Nuclear)'!$B$2:$E$2)/10^9,0)</f>
        <v>0</v>
      </c>
      <c r="P1294" s="160">
        <f>IF($G$1129&gt;0,'Assumptions (Nuclear)'!AE$11*Model!$G$1129*AVERAGE('Assumptions (Nuclear)'!$B$2:$E$2)/10^9,0)</f>
        <v>0</v>
      </c>
      <c r="Q1294" s="160">
        <f>IF($G$1129&gt;0,'Assumptions (Nuclear)'!AF$11*Model!$G$1129*AVERAGE('Assumptions (Nuclear)'!$B$2:$E$2)/10^9,0)</f>
        <v>0</v>
      </c>
      <c r="R1294" s="160">
        <f>IF($G$1129&gt;0,'Assumptions (Nuclear)'!AG$11*Model!$G$1129*AVERAGE('Assumptions (Nuclear)'!$B$2:$E$2)/10^9,0)</f>
        <v>0</v>
      </c>
      <c r="S1294" s="160">
        <f>IF($G$1129&gt;0,'Assumptions (Nuclear)'!AH$11*Model!$G$1129*AVERAGE('Assumptions (Nuclear)'!$B$2:$E$2)/10^9,0)</f>
        <v>0</v>
      </c>
      <c r="T1294" s="160">
        <f>IF($G$1129&gt;0,'Assumptions (Nuclear)'!AI$11*Model!$G$1129*AVERAGE('Assumptions (Nuclear)'!$B$2:$E$2)/10^9,0)</f>
        <v>0</v>
      </c>
      <c r="U1294" s="160">
        <f>IF($G$1129&gt;0,'Assumptions (Nuclear)'!AJ$11*Model!$G$1129*AVERAGE('Assumptions (Nuclear)'!$B$2:$E$2)/10^9,0)</f>
        <v>0</v>
      </c>
      <c r="V1294" s="160">
        <f>IF($G$1129&gt;0,'Assumptions (Nuclear)'!AK$11*Model!$G$1129*AVERAGE('Assumptions (Nuclear)'!$B$2:$E$2)/10^9,0)</f>
        <v>0</v>
      </c>
      <c r="W1294" s="160"/>
      <c r="X1294" s="160"/>
      <c r="Y1294" s="160"/>
      <c r="Z1294" s="160"/>
      <c r="AA1294" s="160"/>
      <c r="AB1294" s="160"/>
      <c r="AC1294" s="160"/>
      <c r="AD1294" s="160"/>
      <c r="AE1294" s="160"/>
      <c r="AF1294" s="160"/>
      <c r="AG1294" s="160"/>
      <c r="AQ1294" s="95"/>
      <c r="AR1294" s="95"/>
      <c r="AS1294" s="95"/>
      <c r="AT1294" s="95"/>
      <c r="AU1294" s="95"/>
      <c r="AV1294" s="95"/>
      <c r="AW1294" s="95"/>
      <c r="AX1294" s="95"/>
      <c r="AY1294" s="95"/>
      <c r="AZ1294" s="95"/>
      <c r="BA1294" s="95"/>
    </row>
    <row r="1295" ht="15.75" hidden="1" customHeight="1" outlineLevel="1">
      <c r="A1295" s="262"/>
      <c r="B1295" s="38"/>
      <c r="C1295" s="160"/>
      <c r="D1295" s="160"/>
      <c r="E1295" s="160"/>
      <c r="F1295" s="160"/>
      <c r="G1295" s="160"/>
      <c r="H1295" s="160">
        <f>IF($H$1129&gt;0,'Assumptions (Nuclear)'!V$11*Model!$H$1129*AVERAGE('Assumptions (Nuclear)'!$B$2:$F$2)/10^9,0)</f>
        <v>0</v>
      </c>
      <c r="I1295" s="160">
        <f>IF($H$1129&gt;0,'Assumptions (Nuclear)'!W$11*Model!$H$1129*AVERAGE('Assumptions (Nuclear)'!$B$2:$F$2)/10^9,0)</f>
        <v>0</v>
      </c>
      <c r="J1295" s="160">
        <f>IF($H$1129&gt;0,'Assumptions (Nuclear)'!X$11*Model!$H$1129*AVERAGE('Assumptions (Nuclear)'!$B$2:$F$2)/10^9,0)</f>
        <v>0</v>
      </c>
      <c r="K1295" s="160">
        <f>IF($H$1129&gt;0,'Assumptions (Nuclear)'!Y$11*Model!$H$1129*AVERAGE('Assumptions (Nuclear)'!$B$2:$F$2)/10^9,0)</f>
        <v>0</v>
      </c>
      <c r="L1295" s="160">
        <f>IF($H$1129&gt;0,'Assumptions (Nuclear)'!Z$11*Model!$H$1129*AVERAGE('Assumptions (Nuclear)'!$B$2:$F$2)/10^9,0)</f>
        <v>0</v>
      </c>
      <c r="M1295" s="160">
        <f>IF($H$1129&gt;0,'Assumptions (Nuclear)'!AA$11*Model!$H$1129*AVERAGE('Assumptions (Nuclear)'!$B$2:$F$2)/10^9,0)</f>
        <v>0</v>
      </c>
      <c r="N1295" s="160">
        <f>IF($H$1129&gt;0,'Assumptions (Nuclear)'!AB$11*Model!$H$1129*AVERAGE('Assumptions (Nuclear)'!$B$2:$F$2)/10^9,0)</f>
        <v>0</v>
      </c>
      <c r="O1295" s="160">
        <f>IF($H$1129&gt;0,'Assumptions (Nuclear)'!AC$11*Model!$H$1129*AVERAGE('Assumptions (Nuclear)'!$B$2:$F$2)/10^9,0)</f>
        <v>0</v>
      </c>
      <c r="P1295" s="160">
        <f>IF($H$1129&gt;0,'Assumptions (Nuclear)'!AD$11*Model!$H$1129*AVERAGE('Assumptions (Nuclear)'!$B$2:$F$2)/10^9,0)</f>
        <v>0</v>
      </c>
      <c r="Q1295" s="160">
        <f>IF($H$1129&gt;0,'Assumptions (Nuclear)'!AE$11*Model!$H$1129*AVERAGE('Assumptions (Nuclear)'!$B$2:$F$2)/10^9,0)</f>
        <v>0</v>
      </c>
      <c r="R1295" s="160">
        <f>IF($H$1129&gt;0,'Assumptions (Nuclear)'!AF$11*Model!$H$1129*AVERAGE('Assumptions (Nuclear)'!$B$2:$F$2)/10^9,0)</f>
        <v>0</v>
      </c>
      <c r="S1295" s="160">
        <f>IF($H$1129&gt;0,'Assumptions (Nuclear)'!AG$11*Model!$H$1129*AVERAGE('Assumptions (Nuclear)'!$B$2:$F$2)/10^9,0)</f>
        <v>0</v>
      </c>
      <c r="T1295" s="160">
        <f>IF($H$1129&gt;0,'Assumptions (Nuclear)'!AH$11*Model!$H$1129*AVERAGE('Assumptions (Nuclear)'!$B$2:$F$2)/10^9,0)</f>
        <v>0</v>
      </c>
      <c r="U1295" s="160">
        <f>IF($H$1129&gt;0,'Assumptions (Nuclear)'!AI$11*Model!$H$1129*AVERAGE('Assumptions (Nuclear)'!$B$2:$F$2)/10^9,0)</f>
        <v>0</v>
      </c>
      <c r="V1295" s="160">
        <f>IF($H$1129&gt;0,'Assumptions (Nuclear)'!AJ$11*Model!$H$1129*AVERAGE('Assumptions (Nuclear)'!$B$2:$F$2)/10^9,0)</f>
        <v>0</v>
      </c>
      <c r="W1295" s="160">
        <f>IF($H$1129&gt;0,'Assumptions (Nuclear)'!AK$11*Model!$H$1129*AVERAGE('Assumptions (Nuclear)'!$B$2:$F$2)/10^9,0)</f>
        <v>0</v>
      </c>
      <c r="X1295" s="160"/>
      <c r="Y1295" s="160"/>
      <c r="Z1295" s="160"/>
      <c r="AA1295" s="160"/>
      <c r="AB1295" s="160"/>
      <c r="AC1295" s="160"/>
      <c r="AD1295" s="160"/>
      <c r="AE1295" s="160"/>
      <c r="AF1295" s="160"/>
      <c r="AG1295" s="160"/>
      <c r="AQ1295" s="95"/>
      <c r="AR1295" s="95"/>
      <c r="AS1295" s="95"/>
      <c r="AT1295" s="95"/>
      <c r="AU1295" s="95"/>
      <c r="AV1295" s="95"/>
      <c r="AW1295" s="95"/>
      <c r="AX1295" s="95"/>
      <c r="AY1295" s="95"/>
      <c r="AZ1295" s="95"/>
      <c r="BA1295" s="95"/>
    </row>
    <row r="1296" ht="15.75" hidden="1" customHeight="1" outlineLevel="1">
      <c r="A1296" s="262"/>
      <c r="B1296" s="38"/>
      <c r="C1296" s="160"/>
      <c r="D1296" s="160"/>
      <c r="E1296" s="160"/>
      <c r="F1296" s="160"/>
      <c r="G1296" s="160"/>
      <c r="H1296" s="160"/>
      <c r="I1296" s="160">
        <f>IF($I$1129&gt;0,'Assumptions (Nuclear)'!V$11*Model!$I$1129*AVERAGE('Assumptions (Nuclear)'!$B$2:$G$2)/10^9,0)</f>
        <v>0</v>
      </c>
      <c r="J1296" s="160">
        <f>IF($I$1129&gt;0,'Assumptions (Nuclear)'!W$11*Model!$I$1129*AVERAGE('Assumptions (Nuclear)'!$B$2:$G$2)/10^9,0)</f>
        <v>0</v>
      </c>
      <c r="K1296" s="160">
        <f>IF($I$1129&gt;0,'Assumptions (Nuclear)'!X$11*Model!$I$1129*AVERAGE('Assumptions (Nuclear)'!$B$2:$G$2)/10^9,0)</f>
        <v>0</v>
      </c>
      <c r="L1296" s="160">
        <f>IF($I$1129&gt;0,'Assumptions (Nuclear)'!Y$11*Model!$I$1129*AVERAGE('Assumptions (Nuclear)'!$B$2:$G$2)/10^9,0)</f>
        <v>0</v>
      </c>
      <c r="M1296" s="160">
        <f>IF($I$1129&gt;0,'Assumptions (Nuclear)'!Z$11*Model!$I$1129*AVERAGE('Assumptions (Nuclear)'!$B$2:$G$2)/10^9,0)</f>
        <v>0</v>
      </c>
      <c r="N1296" s="160">
        <f>IF($I$1129&gt;0,'Assumptions (Nuclear)'!AA$11*Model!$I$1129*AVERAGE('Assumptions (Nuclear)'!$B$2:$G$2)/10^9,0)</f>
        <v>0</v>
      </c>
      <c r="O1296" s="160">
        <f>IF($I$1129&gt;0,'Assumptions (Nuclear)'!AB$11*Model!$I$1129*AVERAGE('Assumptions (Nuclear)'!$B$2:$G$2)/10^9,0)</f>
        <v>0</v>
      </c>
      <c r="P1296" s="160">
        <f>IF($I$1129&gt;0,'Assumptions (Nuclear)'!AC$11*Model!$I$1129*AVERAGE('Assumptions (Nuclear)'!$B$2:$G$2)/10^9,0)</f>
        <v>0</v>
      </c>
      <c r="Q1296" s="160">
        <f>IF($I$1129&gt;0,'Assumptions (Nuclear)'!AD$11*Model!$I$1129*AVERAGE('Assumptions (Nuclear)'!$B$2:$G$2)/10^9,0)</f>
        <v>0</v>
      </c>
      <c r="R1296" s="160">
        <f>IF($I$1129&gt;0,'Assumptions (Nuclear)'!AE$11*Model!$I$1129*AVERAGE('Assumptions (Nuclear)'!$B$2:$G$2)/10^9,0)</f>
        <v>0</v>
      </c>
      <c r="S1296" s="160">
        <f>IF($I$1129&gt;0,'Assumptions (Nuclear)'!AF$11*Model!$I$1129*AVERAGE('Assumptions (Nuclear)'!$B$2:$G$2)/10^9,0)</f>
        <v>0</v>
      </c>
      <c r="T1296" s="160">
        <f>IF($I$1129&gt;0,'Assumptions (Nuclear)'!AG$11*Model!$I$1129*AVERAGE('Assumptions (Nuclear)'!$B$2:$G$2)/10^9,0)</f>
        <v>0</v>
      </c>
      <c r="U1296" s="160">
        <f>IF($I$1129&gt;0,'Assumptions (Nuclear)'!AH$11*Model!$I$1129*AVERAGE('Assumptions (Nuclear)'!$B$2:$G$2)/10^9,0)</f>
        <v>0</v>
      </c>
      <c r="V1296" s="160">
        <f>IF($I$1129&gt;0,'Assumptions (Nuclear)'!AI$11*Model!$I$1129*AVERAGE('Assumptions (Nuclear)'!$B$2:$G$2)/10^9,0)</f>
        <v>0</v>
      </c>
      <c r="W1296" s="160">
        <f>IF($I$1129&gt;0,'Assumptions (Nuclear)'!AJ$11*Model!$I$1129*AVERAGE('Assumptions (Nuclear)'!$B$2:$G$2)/10^9,0)</f>
        <v>0</v>
      </c>
      <c r="X1296" s="160">
        <f>IF($I$1129&gt;0,'Assumptions (Nuclear)'!AK$11*Model!$I$1129*AVERAGE('Assumptions (Nuclear)'!$B$2:$G$2)/10^9,0)</f>
        <v>0</v>
      </c>
      <c r="Y1296" s="160"/>
      <c r="Z1296" s="160"/>
      <c r="AA1296" s="160"/>
      <c r="AB1296" s="160"/>
      <c r="AC1296" s="160"/>
      <c r="AD1296" s="160"/>
      <c r="AE1296" s="160"/>
      <c r="AF1296" s="160"/>
      <c r="AG1296" s="160"/>
      <c r="AQ1296" s="95"/>
      <c r="AR1296" s="95"/>
      <c r="AS1296" s="95"/>
      <c r="AT1296" s="95"/>
      <c r="AU1296" s="95"/>
      <c r="AV1296" s="95"/>
      <c r="AW1296" s="95"/>
      <c r="AX1296" s="95"/>
      <c r="AY1296" s="95"/>
      <c r="AZ1296" s="95"/>
      <c r="BA1296" s="95"/>
    </row>
    <row r="1297" ht="15.75" hidden="1" customHeight="1" outlineLevel="1">
      <c r="A1297" s="262"/>
      <c r="B1297" s="38"/>
      <c r="C1297" s="160"/>
      <c r="D1297" s="160"/>
      <c r="E1297" s="160"/>
      <c r="F1297" s="160"/>
      <c r="G1297" s="160"/>
      <c r="H1297" s="160"/>
      <c r="I1297" s="160"/>
      <c r="J1297" s="160">
        <f>IF($J$1129&gt;0,'Assumptions (Nuclear)'!V$11*Model!$J$1129*AVERAGE('Assumptions (Nuclear)'!$C$2:$H$2)/10^9,0)</f>
        <v>0</v>
      </c>
      <c r="K1297" s="160">
        <f>IF($J$1129&gt;0,'Assumptions (Nuclear)'!W$11*Model!$J$1129*AVERAGE('Assumptions (Nuclear)'!$C$2:$H$2)/10^9,0)</f>
        <v>0</v>
      </c>
      <c r="L1297" s="160">
        <f>IF($J$1129&gt;0,'Assumptions (Nuclear)'!X$11*Model!$J$1129*AVERAGE('Assumptions (Nuclear)'!$C$2:$H$2)/10^9,0)</f>
        <v>0</v>
      </c>
      <c r="M1297" s="160">
        <f>IF($J$1129&gt;0,'Assumptions (Nuclear)'!Y$11*Model!$J$1129*AVERAGE('Assumptions (Nuclear)'!$C$2:$H$2)/10^9,0)</f>
        <v>0</v>
      </c>
      <c r="N1297" s="160">
        <f>IF($J$1129&gt;0,'Assumptions (Nuclear)'!Z$11*Model!$J$1129*AVERAGE('Assumptions (Nuclear)'!$C$2:$H$2)/10^9,0)</f>
        <v>0</v>
      </c>
      <c r="O1297" s="160">
        <f>IF($J$1129&gt;0,'Assumptions (Nuclear)'!AA$11*Model!$J$1129*AVERAGE('Assumptions (Nuclear)'!$C$2:$H$2)/10^9,0)</f>
        <v>0</v>
      </c>
      <c r="P1297" s="160">
        <f>IF($J$1129&gt;0,'Assumptions (Nuclear)'!AB$11*Model!$J$1129*AVERAGE('Assumptions (Nuclear)'!$C$2:$H$2)/10^9,0)</f>
        <v>0</v>
      </c>
      <c r="Q1297" s="160">
        <f>IF($J$1129&gt;0,'Assumptions (Nuclear)'!AC$11*Model!$J$1129*AVERAGE('Assumptions (Nuclear)'!$C$2:$H$2)/10^9,0)</f>
        <v>0</v>
      </c>
      <c r="R1297" s="160">
        <f>IF($J$1129&gt;0,'Assumptions (Nuclear)'!AD$11*Model!$J$1129*AVERAGE('Assumptions (Nuclear)'!$C$2:$H$2)/10^9,0)</f>
        <v>0</v>
      </c>
      <c r="S1297" s="160">
        <f>IF($J$1129&gt;0,'Assumptions (Nuclear)'!AE$11*Model!$J$1129*AVERAGE('Assumptions (Nuclear)'!$C$2:$H$2)/10^9,0)</f>
        <v>0</v>
      </c>
      <c r="T1297" s="160">
        <f>IF($J$1129&gt;0,'Assumptions (Nuclear)'!AF$11*Model!$J$1129*AVERAGE('Assumptions (Nuclear)'!$C$2:$H$2)/10^9,0)</f>
        <v>0</v>
      </c>
      <c r="U1297" s="160">
        <f>IF($J$1129&gt;0,'Assumptions (Nuclear)'!AG$11*Model!$J$1129*AVERAGE('Assumptions (Nuclear)'!$C$2:$H$2)/10^9,0)</f>
        <v>0</v>
      </c>
      <c r="V1297" s="160">
        <f>IF($J$1129&gt;0,'Assumptions (Nuclear)'!AH$11*Model!$J$1129*AVERAGE('Assumptions (Nuclear)'!$C$2:$H$2)/10^9,0)</f>
        <v>0</v>
      </c>
      <c r="W1297" s="160">
        <f>IF($J$1129&gt;0,'Assumptions (Nuclear)'!AI$11*Model!$J$1129*AVERAGE('Assumptions (Nuclear)'!$C$2:$H$2)/10^9,0)</f>
        <v>0</v>
      </c>
      <c r="X1297" s="160">
        <f>IF($J$1129&gt;0,'Assumptions (Nuclear)'!AJ$11*Model!$J$1129*AVERAGE('Assumptions (Nuclear)'!$C$2:$H$2)/10^9,0)</f>
        <v>0</v>
      </c>
      <c r="Y1297" s="160">
        <f>IF($J$1129&gt;0,'Assumptions (Nuclear)'!AK$11*Model!$J$1129*AVERAGE('Assumptions (Nuclear)'!$C$2:$H$2)/10^9,0)</f>
        <v>0</v>
      </c>
      <c r="Z1297" s="160"/>
      <c r="AA1297" s="160"/>
      <c r="AB1297" s="160"/>
      <c r="AC1297" s="160"/>
      <c r="AD1297" s="160"/>
      <c r="AE1297" s="160"/>
      <c r="AF1297" s="160"/>
      <c r="AG1297" s="160"/>
      <c r="AH1297" s="160"/>
      <c r="AQ1297" s="95"/>
      <c r="AR1297" s="95"/>
      <c r="AS1297" s="95"/>
      <c r="AT1297" s="95"/>
      <c r="AU1297" s="95"/>
      <c r="AV1297" s="95"/>
      <c r="AW1297" s="95"/>
      <c r="AX1297" s="95"/>
      <c r="AY1297" s="95"/>
      <c r="AZ1297" s="95"/>
      <c r="BA1297" s="95"/>
    </row>
    <row r="1298" ht="15.75" hidden="1" customHeight="1" outlineLevel="1">
      <c r="A1298" s="262"/>
      <c r="B1298" s="38"/>
      <c r="C1298" s="160"/>
      <c r="D1298" s="160"/>
      <c r="E1298" s="160"/>
      <c r="F1298" s="160"/>
      <c r="G1298" s="160"/>
      <c r="H1298" s="160"/>
      <c r="I1298" s="160"/>
      <c r="J1298" s="160"/>
      <c r="K1298" s="160">
        <f>IF($K$1129&gt;0,'Assumptions (Nuclear)'!V$11*Model!$K$1129*AVERAGE('Assumptions (Nuclear)'!$D$2:$I$2)/10^9,0)</f>
        <v>0</v>
      </c>
      <c r="L1298" s="160">
        <f>IF($K$1129&gt;0,'Assumptions (Nuclear)'!W$11*Model!$K$1129*AVERAGE('Assumptions (Nuclear)'!$D$2:$I$2)/10^9,0)</f>
        <v>0</v>
      </c>
      <c r="M1298" s="160">
        <f>IF($K$1129&gt;0,'Assumptions (Nuclear)'!X$11*Model!$K$1129*AVERAGE('Assumptions (Nuclear)'!$D$2:$I$2)/10^9,0)</f>
        <v>0</v>
      </c>
      <c r="N1298" s="160">
        <f>IF($K$1129&gt;0,'Assumptions (Nuclear)'!Y$11*Model!$K$1129*AVERAGE('Assumptions (Nuclear)'!$D$2:$I$2)/10^9,0)</f>
        <v>0</v>
      </c>
      <c r="O1298" s="160">
        <f>IF($K$1129&gt;0,'Assumptions (Nuclear)'!Z$11*Model!$K$1129*AVERAGE('Assumptions (Nuclear)'!$D$2:$I$2)/10^9,0)</f>
        <v>0</v>
      </c>
      <c r="P1298" s="160">
        <f>IF($K$1129&gt;0,'Assumptions (Nuclear)'!AA$11*Model!$K$1129*AVERAGE('Assumptions (Nuclear)'!$D$2:$I$2)/10^9,0)</f>
        <v>0</v>
      </c>
      <c r="Q1298" s="160">
        <f>IF($K$1129&gt;0,'Assumptions (Nuclear)'!AB$11*Model!$K$1129*AVERAGE('Assumptions (Nuclear)'!$D$2:$I$2)/10^9,0)</f>
        <v>0</v>
      </c>
      <c r="R1298" s="160">
        <f>IF($K$1129&gt;0,'Assumptions (Nuclear)'!AC$11*Model!$K$1129*AVERAGE('Assumptions (Nuclear)'!$D$2:$I$2)/10^9,0)</f>
        <v>0</v>
      </c>
      <c r="S1298" s="160">
        <f>IF($K$1129&gt;0,'Assumptions (Nuclear)'!AD$11*Model!$K$1129*AVERAGE('Assumptions (Nuclear)'!$D$2:$I$2)/10^9,0)</f>
        <v>0</v>
      </c>
      <c r="T1298" s="160">
        <f>IF($K$1129&gt;0,'Assumptions (Nuclear)'!AE$11*Model!$K$1129*AVERAGE('Assumptions (Nuclear)'!$D$2:$I$2)/10^9,0)</f>
        <v>0</v>
      </c>
      <c r="U1298" s="160">
        <f>IF($K$1129&gt;0,'Assumptions (Nuclear)'!AF$11*Model!$K$1129*AVERAGE('Assumptions (Nuclear)'!$D$2:$I$2)/10^9,0)</f>
        <v>0</v>
      </c>
      <c r="V1298" s="160">
        <f>IF($K$1129&gt;0,'Assumptions (Nuclear)'!AG$11*Model!$K$1129*AVERAGE('Assumptions (Nuclear)'!$D$2:$I$2)/10^9,0)</f>
        <v>0</v>
      </c>
      <c r="W1298" s="160">
        <f>IF($K$1129&gt;0,'Assumptions (Nuclear)'!AH$11*Model!$K$1129*AVERAGE('Assumptions (Nuclear)'!$D$2:$I$2)/10^9,0)</f>
        <v>0</v>
      </c>
      <c r="X1298" s="160">
        <f>IF($K$1129&gt;0,'Assumptions (Nuclear)'!AI$11*Model!$K$1129*AVERAGE('Assumptions (Nuclear)'!$D$2:$I$2)/10^9,0)</f>
        <v>0</v>
      </c>
      <c r="Y1298" s="160">
        <f>IF($K$1129&gt;0,'Assumptions (Nuclear)'!AJ$11*Model!$K$1129*AVERAGE('Assumptions (Nuclear)'!$D$2:$I$2)/10^9,0)</f>
        <v>0</v>
      </c>
      <c r="Z1298" s="160">
        <f>IF($K$1129&gt;0,'Assumptions (Nuclear)'!AK$11*Model!$K$1129*AVERAGE('Assumptions (Nuclear)'!$D$2:$I$2)/10^9,0)</f>
        <v>0</v>
      </c>
      <c r="AA1298" s="160"/>
      <c r="AB1298" s="160"/>
      <c r="AC1298" s="160"/>
      <c r="AD1298" s="160"/>
      <c r="AE1298" s="160"/>
      <c r="AF1298" s="160"/>
      <c r="AG1298" s="160"/>
      <c r="AH1298" s="160"/>
      <c r="AI1298" s="160"/>
      <c r="AQ1298" s="95"/>
      <c r="AR1298" s="95"/>
      <c r="AS1298" s="95"/>
      <c r="AT1298" s="95"/>
      <c r="AU1298" s="95"/>
      <c r="AV1298" s="95"/>
      <c r="AW1298" s="95"/>
      <c r="AX1298" s="95"/>
      <c r="AY1298" s="95"/>
      <c r="AZ1298" s="95"/>
      <c r="BA1298" s="95"/>
    </row>
    <row r="1299" ht="15.75" hidden="1" customHeight="1" outlineLevel="1">
      <c r="A1299" s="262"/>
      <c r="B1299" s="38"/>
      <c r="C1299" s="160"/>
      <c r="D1299" s="160"/>
      <c r="E1299" s="160"/>
      <c r="F1299" s="160"/>
      <c r="G1299" s="160"/>
      <c r="H1299" s="160"/>
      <c r="I1299" s="160"/>
      <c r="J1299" s="160"/>
      <c r="K1299" s="160"/>
      <c r="L1299" s="160">
        <f>IF($L$1129&gt;0,'Assumptions (Nuclear)'!V$11*Model!$L$1129*AVERAGE('Assumptions (Nuclear)'!$E$2:$J$2)/10^9,0)</f>
        <v>0</v>
      </c>
      <c r="M1299" s="160">
        <f>IF($L$1129&gt;0,'Assumptions (Nuclear)'!W$11*Model!$L$1129*AVERAGE('Assumptions (Nuclear)'!$E$2:$J$2)/10^9,0)</f>
        <v>0</v>
      </c>
      <c r="N1299" s="160">
        <f>IF($L$1129&gt;0,'Assumptions (Nuclear)'!X$11*Model!$L$1129*AVERAGE('Assumptions (Nuclear)'!$E$2:$J$2)/10^9,0)</f>
        <v>0</v>
      </c>
      <c r="O1299" s="160">
        <f>IF($L$1129&gt;0,'Assumptions (Nuclear)'!Y$11*Model!$L$1129*AVERAGE('Assumptions (Nuclear)'!$E$2:$J$2)/10^9,0)</f>
        <v>0</v>
      </c>
      <c r="P1299" s="160">
        <f>IF($L$1129&gt;0,'Assumptions (Nuclear)'!Z$11*Model!$L$1129*AVERAGE('Assumptions (Nuclear)'!$E$2:$J$2)/10^9,0)</f>
        <v>0</v>
      </c>
      <c r="Q1299" s="160">
        <f>IF($L$1129&gt;0,'Assumptions (Nuclear)'!AA$11*Model!$L$1129*AVERAGE('Assumptions (Nuclear)'!$E$2:$J$2)/10^9,0)</f>
        <v>0</v>
      </c>
      <c r="R1299" s="160">
        <f>IF($L$1129&gt;0,'Assumptions (Nuclear)'!AB$11*Model!$L$1129*AVERAGE('Assumptions (Nuclear)'!$E$2:$J$2)/10^9,0)</f>
        <v>0</v>
      </c>
      <c r="S1299" s="160">
        <f>IF($L$1129&gt;0,'Assumptions (Nuclear)'!AC$11*Model!$L$1129*AVERAGE('Assumptions (Nuclear)'!$E$2:$J$2)/10^9,0)</f>
        <v>0</v>
      </c>
      <c r="T1299" s="160">
        <f>IF($L$1129&gt;0,'Assumptions (Nuclear)'!AD$11*Model!$L$1129*AVERAGE('Assumptions (Nuclear)'!$E$2:$J$2)/10^9,0)</f>
        <v>0</v>
      </c>
      <c r="U1299" s="160">
        <f>IF($L$1129&gt;0,'Assumptions (Nuclear)'!AE$11*Model!$L$1129*AVERAGE('Assumptions (Nuclear)'!$E$2:$J$2)/10^9,0)</f>
        <v>0</v>
      </c>
      <c r="V1299" s="160">
        <f>IF($L$1129&gt;0,'Assumptions (Nuclear)'!AF$11*Model!$L$1129*AVERAGE('Assumptions (Nuclear)'!$E$2:$J$2)/10^9,0)</f>
        <v>0</v>
      </c>
      <c r="W1299" s="160">
        <f>IF($L$1129&gt;0,'Assumptions (Nuclear)'!AG$11*Model!$L$1129*AVERAGE('Assumptions (Nuclear)'!$E$2:$J$2)/10^9,0)</f>
        <v>0</v>
      </c>
      <c r="X1299" s="160">
        <f>IF($L$1129&gt;0,'Assumptions (Nuclear)'!AH$11*Model!$L$1129*AVERAGE('Assumptions (Nuclear)'!$E$2:$J$2)/10^9,0)</f>
        <v>0</v>
      </c>
      <c r="Y1299" s="160">
        <f>IF($L$1129&gt;0,'Assumptions (Nuclear)'!AI$11*Model!$L$1129*AVERAGE('Assumptions (Nuclear)'!$E$2:$J$2)/10^9,0)</f>
        <v>0</v>
      </c>
      <c r="Z1299" s="160">
        <f>IF($L$1129&gt;0,'Assumptions (Nuclear)'!AJ$11*Model!$L$1129*AVERAGE('Assumptions (Nuclear)'!$E$2:$J$2)/10^9,0)</f>
        <v>0</v>
      </c>
      <c r="AA1299" s="160">
        <f>IF($L$1129&gt;0,'Assumptions (Nuclear)'!AK$11*Model!$L$1129*AVERAGE('Assumptions (Nuclear)'!$E$2:$J$2)/10^9,0)</f>
        <v>0</v>
      </c>
      <c r="AB1299" s="160"/>
      <c r="AC1299" s="160"/>
      <c r="AD1299" s="160"/>
      <c r="AE1299" s="160"/>
      <c r="AF1299" s="160"/>
      <c r="AG1299" s="160"/>
      <c r="AH1299" s="160"/>
      <c r="AI1299" s="160"/>
      <c r="AJ1299" s="160"/>
      <c r="AQ1299" s="95"/>
      <c r="AR1299" s="95"/>
      <c r="AS1299" s="95"/>
      <c r="AT1299" s="95"/>
      <c r="AU1299" s="95"/>
      <c r="AV1299" s="95"/>
      <c r="AW1299" s="95"/>
      <c r="AX1299" s="95"/>
      <c r="AY1299" s="95"/>
      <c r="AZ1299" s="95"/>
      <c r="BA1299" s="95"/>
    </row>
    <row r="1300" ht="15.75" hidden="1" customHeight="1" outlineLevel="1">
      <c r="A1300" s="262"/>
      <c r="B1300" s="38"/>
      <c r="C1300" s="160"/>
      <c r="D1300" s="160"/>
      <c r="E1300" s="160"/>
      <c r="F1300" s="160"/>
      <c r="G1300" s="160"/>
      <c r="H1300" s="160"/>
      <c r="I1300" s="160"/>
      <c r="J1300" s="160"/>
      <c r="K1300" s="160"/>
      <c r="L1300" s="160"/>
      <c r="M1300" s="160">
        <f>IF($M$1129&gt;0,'Assumptions (Nuclear)'!V$11*Model!$M$1129*AVERAGE('Assumptions (Nuclear)'!$F$2:$K$2)/10^9,0)</f>
        <v>0</v>
      </c>
      <c r="N1300" s="160">
        <f>IF($M$1129&gt;0,'Assumptions (Nuclear)'!W$11*Model!$M$1129*AVERAGE('Assumptions (Nuclear)'!$F$2:$K$2)/10^9,0)</f>
        <v>0</v>
      </c>
      <c r="O1300" s="160">
        <f>IF($M$1129&gt;0,'Assumptions (Nuclear)'!X$11*Model!$M$1129*AVERAGE('Assumptions (Nuclear)'!$F$2:$K$2)/10^9,0)</f>
        <v>0</v>
      </c>
      <c r="P1300" s="160">
        <f>IF($M$1129&gt;0,'Assumptions (Nuclear)'!Y$11*Model!$M$1129*AVERAGE('Assumptions (Nuclear)'!$F$2:$K$2)/10^9,0)</f>
        <v>0</v>
      </c>
      <c r="Q1300" s="160">
        <f>IF($M$1129&gt;0,'Assumptions (Nuclear)'!Z$11*Model!$M$1129*AVERAGE('Assumptions (Nuclear)'!$F$2:$K$2)/10^9,0)</f>
        <v>0</v>
      </c>
      <c r="R1300" s="160">
        <f>IF($M$1129&gt;0,'Assumptions (Nuclear)'!AA$11*Model!$M$1129*AVERAGE('Assumptions (Nuclear)'!$F$2:$K$2)/10^9,0)</f>
        <v>0</v>
      </c>
      <c r="S1300" s="160">
        <f>IF($M$1129&gt;0,'Assumptions (Nuclear)'!AB$11*Model!$M$1129*AVERAGE('Assumptions (Nuclear)'!$F$2:$K$2)/10^9,0)</f>
        <v>0</v>
      </c>
      <c r="T1300" s="160">
        <f>IF($M$1129&gt;0,'Assumptions (Nuclear)'!AC$11*Model!$M$1129*AVERAGE('Assumptions (Nuclear)'!$F$2:$K$2)/10^9,0)</f>
        <v>0</v>
      </c>
      <c r="U1300" s="160">
        <f>IF($M$1129&gt;0,'Assumptions (Nuclear)'!AD$11*Model!$M$1129*AVERAGE('Assumptions (Nuclear)'!$F$2:$K$2)/10^9,0)</f>
        <v>0</v>
      </c>
      <c r="V1300" s="160">
        <f>IF($M$1129&gt;0,'Assumptions (Nuclear)'!AE$11*Model!$M$1129*AVERAGE('Assumptions (Nuclear)'!$F$2:$K$2)/10^9,0)</f>
        <v>0</v>
      </c>
      <c r="W1300" s="160">
        <f>IF($M$1129&gt;0,'Assumptions (Nuclear)'!AF$11*Model!$M$1129*AVERAGE('Assumptions (Nuclear)'!$F$2:$K$2)/10^9,0)</f>
        <v>0</v>
      </c>
      <c r="X1300" s="160">
        <f>IF($M$1129&gt;0,'Assumptions (Nuclear)'!AG$11*Model!$M$1129*AVERAGE('Assumptions (Nuclear)'!$F$2:$K$2)/10^9,0)</f>
        <v>0</v>
      </c>
      <c r="Y1300" s="160">
        <f>IF($M$1129&gt;0,'Assumptions (Nuclear)'!AH$11*Model!$M$1129*AVERAGE('Assumptions (Nuclear)'!$F$2:$K$2)/10^9,0)</f>
        <v>0</v>
      </c>
      <c r="Z1300" s="160">
        <f>IF($M$1129&gt;0,'Assumptions (Nuclear)'!AI$11*Model!$M$1129*AVERAGE('Assumptions (Nuclear)'!$F$2:$K$2)/10^9,0)</f>
        <v>0</v>
      </c>
      <c r="AA1300" s="160">
        <f>IF($M$1129&gt;0,'Assumptions (Nuclear)'!AJ$11*Model!$M$1129*AVERAGE('Assumptions (Nuclear)'!$F$2:$K$2)/10^9,0)</f>
        <v>0</v>
      </c>
      <c r="AB1300" s="160">
        <f>IF($M$1129&gt;0,'Assumptions (Nuclear)'!AK$11*Model!$M$1129*AVERAGE('Assumptions (Nuclear)'!$F$2:$K$2)/10^9,0)</f>
        <v>0</v>
      </c>
      <c r="AC1300" s="160"/>
      <c r="AD1300" s="160"/>
      <c r="AE1300" s="160"/>
      <c r="AF1300" s="160"/>
      <c r="AG1300" s="160"/>
      <c r="AH1300" s="160"/>
      <c r="AI1300" s="160"/>
      <c r="AJ1300" s="160"/>
      <c r="AK1300" s="160"/>
      <c r="AQ1300" s="95"/>
      <c r="AR1300" s="95"/>
      <c r="AS1300" s="95"/>
      <c r="AT1300" s="95"/>
      <c r="AU1300" s="95"/>
      <c r="AV1300" s="95"/>
      <c r="AW1300" s="95"/>
      <c r="AX1300" s="95"/>
      <c r="AY1300" s="95"/>
      <c r="AZ1300" s="95"/>
      <c r="BA1300" s="95"/>
    </row>
    <row r="1301" ht="15.75" hidden="1" customHeight="1" outlineLevel="1">
      <c r="A1301" s="262"/>
      <c r="B1301" s="38"/>
      <c r="C1301" s="160"/>
      <c r="D1301" s="160"/>
      <c r="E1301" s="160"/>
      <c r="F1301" s="160"/>
      <c r="G1301" s="160"/>
      <c r="H1301" s="160"/>
      <c r="I1301" s="160"/>
      <c r="J1301" s="160"/>
      <c r="K1301" s="160"/>
      <c r="L1301" s="160"/>
      <c r="M1301" s="160"/>
      <c r="N1301" s="160">
        <f>IF($N$1129&gt;0,'Assumptions (Nuclear)'!V$11*Model!$N$1129*AVERAGE('Assumptions (Nuclear)'!$G$2:$L$2)/10^9,0)</f>
        <v>0</v>
      </c>
      <c r="O1301" s="160">
        <f>IF($N$1129&gt;0,'Assumptions (Nuclear)'!W$11*Model!$N$1129*AVERAGE('Assumptions (Nuclear)'!$G$2:$L$2)/10^9,0)</f>
        <v>0</v>
      </c>
      <c r="P1301" s="160">
        <f>IF($N$1129&gt;0,'Assumptions (Nuclear)'!X$11*Model!$N$1129*AVERAGE('Assumptions (Nuclear)'!$G$2:$L$2)/10^9,0)</f>
        <v>0</v>
      </c>
      <c r="Q1301" s="160">
        <f>IF($N$1129&gt;0,'Assumptions (Nuclear)'!Y$11*Model!$N$1129*AVERAGE('Assumptions (Nuclear)'!$G$2:$L$2)/10^9,0)</f>
        <v>0</v>
      </c>
      <c r="R1301" s="160">
        <f>IF($N$1129&gt;0,'Assumptions (Nuclear)'!Z$11*Model!$N$1129*AVERAGE('Assumptions (Nuclear)'!$G$2:$L$2)/10^9,0)</f>
        <v>0</v>
      </c>
      <c r="S1301" s="160">
        <f>IF($N$1129&gt;0,'Assumptions (Nuclear)'!AA$11*Model!$N$1129*AVERAGE('Assumptions (Nuclear)'!$G$2:$L$2)/10^9,0)</f>
        <v>0</v>
      </c>
      <c r="T1301" s="160">
        <f>IF($N$1129&gt;0,'Assumptions (Nuclear)'!AB$11*Model!$N$1129*AVERAGE('Assumptions (Nuclear)'!$G$2:$L$2)/10^9,0)</f>
        <v>0</v>
      </c>
      <c r="U1301" s="160">
        <f>IF($N$1129&gt;0,'Assumptions (Nuclear)'!AC$11*Model!$N$1129*AVERAGE('Assumptions (Nuclear)'!$G$2:$L$2)/10^9,0)</f>
        <v>0</v>
      </c>
      <c r="V1301" s="160">
        <f>IF($N$1129&gt;0,'Assumptions (Nuclear)'!AD$11*Model!$N$1129*AVERAGE('Assumptions (Nuclear)'!$G$2:$L$2)/10^9,0)</f>
        <v>0</v>
      </c>
      <c r="W1301" s="160">
        <f>IF($N$1129&gt;0,'Assumptions (Nuclear)'!AE$11*Model!$N$1129*AVERAGE('Assumptions (Nuclear)'!$G$2:$L$2)/10^9,0)</f>
        <v>0</v>
      </c>
      <c r="X1301" s="160">
        <f>IF($N$1129&gt;0,'Assumptions (Nuclear)'!AF$11*Model!$N$1129*AVERAGE('Assumptions (Nuclear)'!$G$2:$L$2)/10^9,0)</f>
        <v>0</v>
      </c>
      <c r="Y1301" s="160">
        <f>IF($N$1129&gt;0,'Assumptions (Nuclear)'!AG$11*Model!$N$1129*AVERAGE('Assumptions (Nuclear)'!$G$2:$L$2)/10^9,0)</f>
        <v>0</v>
      </c>
      <c r="Z1301" s="160">
        <f>IF($N$1129&gt;0,'Assumptions (Nuclear)'!AH$11*Model!$N$1129*AVERAGE('Assumptions (Nuclear)'!$G$2:$L$2)/10^9,0)</f>
        <v>0</v>
      </c>
      <c r="AA1301" s="160">
        <f>IF($N$1129&gt;0,'Assumptions (Nuclear)'!AI$11*Model!$N$1129*AVERAGE('Assumptions (Nuclear)'!$G$2:$L$2)/10^9,0)</f>
        <v>0</v>
      </c>
      <c r="AB1301" s="160">
        <f>IF($N$1129&gt;0,'Assumptions (Nuclear)'!AJ$11*Model!$N$1129*AVERAGE('Assumptions (Nuclear)'!$G$2:$L$2)/10^9,0)</f>
        <v>0</v>
      </c>
      <c r="AC1301" s="160">
        <f>IF($N$1129&gt;0,'Assumptions (Nuclear)'!AK$11*Model!$N$1129*AVERAGE('Assumptions (Nuclear)'!$G$2:$L$2)/10^9,0)</f>
        <v>0</v>
      </c>
      <c r="AD1301" s="160"/>
      <c r="AE1301" s="160"/>
      <c r="AF1301" s="160"/>
      <c r="AG1301" s="160"/>
      <c r="AH1301" s="160"/>
      <c r="AI1301" s="160"/>
      <c r="AJ1301" s="160"/>
      <c r="AK1301" s="160"/>
      <c r="AL1301" s="160"/>
      <c r="AQ1301" s="95"/>
      <c r="AR1301" s="95"/>
      <c r="AS1301" s="95"/>
      <c r="AT1301" s="95"/>
      <c r="AU1301" s="95"/>
      <c r="AV1301" s="95"/>
      <c r="AW1301" s="95"/>
      <c r="AX1301" s="95"/>
      <c r="AY1301" s="95"/>
      <c r="AZ1301" s="95"/>
      <c r="BA1301" s="95"/>
    </row>
    <row r="1302" ht="15.75" hidden="1" customHeight="1" outlineLevel="1">
      <c r="A1302" s="262"/>
      <c r="B1302" s="38"/>
      <c r="C1302" s="160"/>
      <c r="D1302" s="160"/>
      <c r="E1302" s="160"/>
      <c r="F1302" s="160"/>
      <c r="G1302" s="160"/>
      <c r="H1302" s="160"/>
      <c r="I1302" s="160"/>
      <c r="J1302" s="160"/>
      <c r="K1302" s="160"/>
      <c r="L1302" s="160"/>
      <c r="M1302" s="160"/>
      <c r="N1302" s="160"/>
      <c r="O1302" s="160">
        <f>IF($O$1129&gt;0,'Assumptions (Nuclear)'!V$11*Model!$O$1129*AVERAGE('Assumptions (Nuclear)'!$H$2:$M$2)/10^9,0)</f>
        <v>0</v>
      </c>
      <c r="P1302" s="160">
        <f>IF($O$1129&gt;0,'Assumptions (Nuclear)'!W$11*Model!$O$1129*AVERAGE('Assumptions (Nuclear)'!$H$2:$M$2)/10^9,0)</f>
        <v>0</v>
      </c>
      <c r="Q1302" s="160">
        <f>IF($O$1129&gt;0,'Assumptions (Nuclear)'!X$11*Model!$O$1129*AVERAGE('Assumptions (Nuclear)'!$H$2:$M$2)/10^9,0)</f>
        <v>0</v>
      </c>
      <c r="R1302" s="160">
        <f>IF($O$1129&gt;0,'Assumptions (Nuclear)'!Y$11*Model!$O$1129*AVERAGE('Assumptions (Nuclear)'!$H$2:$M$2)/10^9,0)</f>
        <v>0</v>
      </c>
      <c r="S1302" s="160">
        <f>IF($O$1129&gt;0,'Assumptions (Nuclear)'!Z$11*Model!$O$1129*AVERAGE('Assumptions (Nuclear)'!$H$2:$M$2)/10^9,0)</f>
        <v>0</v>
      </c>
      <c r="T1302" s="160">
        <f>IF($O$1129&gt;0,'Assumptions (Nuclear)'!AA$11*Model!$O$1129*AVERAGE('Assumptions (Nuclear)'!$H$2:$M$2)/10^9,0)</f>
        <v>0</v>
      </c>
      <c r="U1302" s="160">
        <f>IF($O$1129&gt;0,'Assumptions (Nuclear)'!AB$11*Model!$O$1129*AVERAGE('Assumptions (Nuclear)'!$H$2:$M$2)/10^9,0)</f>
        <v>0</v>
      </c>
      <c r="V1302" s="160">
        <f>IF($O$1129&gt;0,'Assumptions (Nuclear)'!AC$11*Model!$O$1129*AVERAGE('Assumptions (Nuclear)'!$H$2:$M$2)/10^9,0)</f>
        <v>0</v>
      </c>
      <c r="W1302" s="160">
        <f>IF($O$1129&gt;0,'Assumptions (Nuclear)'!AD$11*Model!$O$1129*AVERAGE('Assumptions (Nuclear)'!$H$2:$M$2)/10^9,0)</f>
        <v>0</v>
      </c>
      <c r="X1302" s="160">
        <f>IF($O$1129&gt;0,'Assumptions (Nuclear)'!AE$11*Model!$O$1129*AVERAGE('Assumptions (Nuclear)'!$H$2:$M$2)/10^9,0)</f>
        <v>0</v>
      </c>
      <c r="Y1302" s="160">
        <f>IF($O$1129&gt;0,'Assumptions (Nuclear)'!AF$11*Model!$O$1129*AVERAGE('Assumptions (Nuclear)'!$H$2:$M$2)/10^9,0)</f>
        <v>0</v>
      </c>
      <c r="Z1302" s="160">
        <f>IF($O$1129&gt;0,'Assumptions (Nuclear)'!AG$11*Model!$O$1129*AVERAGE('Assumptions (Nuclear)'!$H$2:$M$2)/10^9,0)</f>
        <v>0</v>
      </c>
      <c r="AA1302" s="160">
        <f>IF($O$1129&gt;0,'Assumptions (Nuclear)'!AH$11*Model!$O$1129*AVERAGE('Assumptions (Nuclear)'!$H$2:$M$2)/10^9,0)</f>
        <v>0</v>
      </c>
      <c r="AB1302" s="160">
        <f>IF($O$1129&gt;0,'Assumptions (Nuclear)'!AI$11*Model!$O$1129*AVERAGE('Assumptions (Nuclear)'!$H$2:$M$2)/10^9,0)</f>
        <v>0</v>
      </c>
      <c r="AC1302" s="160">
        <f>IF($O$1129&gt;0,'Assumptions (Nuclear)'!AJ$11*Model!$O$1129*AVERAGE('Assumptions (Nuclear)'!$H$2:$M$2)/10^9,0)</f>
        <v>0</v>
      </c>
      <c r="AD1302" s="160">
        <f>IF($O$1129&gt;0,'Assumptions (Nuclear)'!AK$11*Model!$O$1129*AVERAGE('Assumptions (Nuclear)'!$H$2:$M$2)/10^9,0)</f>
        <v>0</v>
      </c>
      <c r="AE1302" s="160"/>
      <c r="AF1302" s="160"/>
      <c r="AG1302" s="160"/>
      <c r="AH1302" s="160"/>
      <c r="AI1302" s="160"/>
      <c r="AJ1302" s="160"/>
      <c r="AK1302" s="160"/>
      <c r="AL1302" s="160"/>
      <c r="AM1302" s="160"/>
      <c r="AQ1302" s="95"/>
      <c r="AR1302" s="95"/>
      <c r="AS1302" s="95"/>
      <c r="AT1302" s="95"/>
      <c r="AU1302" s="95"/>
      <c r="AV1302" s="95"/>
      <c r="AW1302" s="95"/>
      <c r="AX1302" s="95"/>
      <c r="AY1302" s="95"/>
      <c r="AZ1302" s="95"/>
      <c r="BA1302" s="95"/>
    </row>
    <row r="1303" ht="15.75" hidden="1" customHeight="1" outlineLevel="1">
      <c r="A1303" s="262"/>
      <c r="B1303" s="38"/>
      <c r="C1303" s="160"/>
      <c r="D1303" s="160"/>
      <c r="E1303" s="160"/>
      <c r="F1303" s="160"/>
      <c r="G1303" s="160"/>
      <c r="H1303" s="177"/>
      <c r="I1303" s="160"/>
      <c r="J1303" s="160"/>
      <c r="K1303" s="160"/>
      <c r="L1303" s="160"/>
      <c r="M1303" s="160"/>
      <c r="N1303" s="160"/>
      <c r="O1303" s="160"/>
      <c r="P1303" s="177">
        <f>IF($P$1129&gt;0,'Assumptions (Nuclear)'!V$11*Model!$P$1129*AVERAGE('Assumptions (Nuclear)'!$I$2:$N$2)/10^9,0)</f>
        <v>0</v>
      </c>
      <c r="Q1303" s="177">
        <f>IF($P$1129&gt;0,'Assumptions (Nuclear)'!W$11*Model!$P$1129*AVERAGE('Assumptions (Nuclear)'!$I$2:$N$2)/10^9,0)</f>
        <v>0</v>
      </c>
      <c r="R1303" s="177">
        <f>IF($P$1129&gt;0,'Assumptions (Nuclear)'!X$11*Model!$P$1129*AVERAGE('Assumptions (Nuclear)'!$I$2:$N$2)/10^9,0)</f>
        <v>0</v>
      </c>
      <c r="S1303" s="177">
        <f>IF($P$1129&gt;0,'Assumptions (Nuclear)'!Y$11*Model!$P$1129*AVERAGE('Assumptions (Nuclear)'!$I$2:$N$2)/10^9,0)</f>
        <v>0</v>
      </c>
      <c r="T1303" s="177">
        <f>IF($P$1129&gt;0,'Assumptions (Nuclear)'!Z$11*Model!$P$1129*AVERAGE('Assumptions (Nuclear)'!$I$2:$N$2)/10^9,0)</f>
        <v>0</v>
      </c>
      <c r="U1303" s="177">
        <f>IF($P$1129&gt;0,'Assumptions (Nuclear)'!AA$11*Model!$P$1129*AVERAGE('Assumptions (Nuclear)'!$I$2:$N$2)/10^9,0)</f>
        <v>0</v>
      </c>
      <c r="V1303" s="177">
        <f>IF($P$1129&gt;0,'Assumptions (Nuclear)'!AB$11*Model!$P$1129*AVERAGE('Assumptions (Nuclear)'!$I$2:$N$2)/10^9,0)</f>
        <v>0</v>
      </c>
      <c r="W1303" s="177">
        <f>IF($P$1129&gt;0,'Assumptions (Nuclear)'!AC$11*Model!$P$1129*AVERAGE('Assumptions (Nuclear)'!$I$2:$N$2)/10^9,0)</f>
        <v>0</v>
      </c>
      <c r="X1303" s="177">
        <f>IF($P$1129&gt;0,'Assumptions (Nuclear)'!AD$11*Model!$P$1129*AVERAGE('Assumptions (Nuclear)'!$I$2:$N$2)/10^9,0)</f>
        <v>0</v>
      </c>
      <c r="Y1303" s="177">
        <f>IF($P$1129&gt;0,'Assumptions (Nuclear)'!AE$11*Model!$P$1129*AVERAGE('Assumptions (Nuclear)'!$I$2:$N$2)/10^9,0)</f>
        <v>0</v>
      </c>
      <c r="Z1303" s="177">
        <f>IF($P$1129&gt;0,'Assumptions (Nuclear)'!AF$11*Model!$P$1129*AVERAGE('Assumptions (Nuclear)'!$I$2:$N$2)/10^9,0)</f>
        <v>0</v>
      </c>
      <c r="AA1303" s="177">
        <f>IF($P$1129&gt;0,'Assumptions (Nuclear)'!AG$11*Model!$P$1129*AVERAGE('Assumptions (Nuclear)'!$I$2:$N$2)/10^9,0)</f>
        <v>0</v>
      </c>
      <c r="AB1303" s="177">
        <f>IF($P$1129&gt;0,'Assumptions (Nuclear)'!AH$11*Model!$P$1129*AVERAGE('Assumptions (Nuclear)'!$I$2:$N$2)/10^9,0)</f>
        <v>0</v>
      </c>
      <c r="AC1303" s="177">
        <f>IF($P$1129&gt;0,'Assumptions (Nuclear)'!AI$11*Model!$P$1129*AVERAGE('Assumptions (Nuclear)'!$I$2:$N$2)/10^9,0)</f>
        <v>0</v>
      </c>
      <c r="AD1303" s="177">
        <f>IF($P$1129&gt;0,'Assumptions (Nuclear)'!AJ$11*Model!$P$1129*AVERAGE('Assumptions (Nuclear)'!$I$2:$N$2)/10^9,0)</f>
        <v>0</v>
      </c>
      <c r="AE1303" s="177">
        <f>IF($P$1129&gt;0,'Assumptions (Nuclear)'!AK$11*Model!$P$1129*AVERAGE('Assumptions (Nuclear)'!$I$2:$N$2)/10^9,0)</f>
        <v>0</v>
      </c>
      <c r="AF1303" s="177"/>
      <c r="AG1303" s="177"/>
      <c r="AH1303" s="177"/>
      <c r="AI1303" s="177"/>
      <c r="AJ1303" s="177"/>
      <c r="AK1303" s="177"/>
      <c r="AL1303" s="177"/>
      <c r="AM1303" s="177"/>
      <c r="AN1303" s="177"/>
      <c r="AQ1303" s="95"/>
      <c r="AR1303" s="95"/>
      <c r="AS1303" s="95"/>
      <c r="AT1303" s="95"/>
      <c r="AU1303" s="95"/>
      <c r="AV1303" s="95"/>
      <c r="AW1303" s="95"/>
      <c r="AX1303" s="95"/>
      <c r="AY1303" s="95"/>
      <c r="AZ1303" s="95"/>
      <c r="BA1303" s="95"/>
    </row>
    <row r="1304" ht="15.75" hidden="1" customHeight="1" outlineLevel="1">
      <c r="A1304" s="262"/>
      <c r="B1304" s="38"/>
      <c r="C1304" s="160"/>
      <c r="D1304" s="160"/>
      <c r="E1304" s="160"/>
      <c r="F1304" s="160"/>
      <c r="G1304" s="160"/>
      <c r="H1304" s="160"/>
      <c r="I1304" s="160"/>
      <c r="J1304" s="160"/>
      <c r="K1304" s="160"/>
      <c r="L1304" s="160"/>
      <c r="M1304" s="160"/>
      <c r="N1304" s="160"/>
      <c r="O1304" s="160"/>
      <c r="P1304" s="179"/>
      <c r="Q1304" s="160">
        <f>IF($Q$1129&gt;0,'Assumptions (Nuclear)'!V$11*Model!$Q$1129*AVERAGE('Assumptions (Nuclear)'!$J$2:$O$2)/10^9,0)</f>
        <v>0</v>
      </c>
      <c r="R1304" s="160">
        <f>IF($Q$1129&gt;0,'Assumptions (Nuclear)'!W$11*Model!$Q$1129*AVERAGE('Assumptions (Nuclear)'!$J$2:$O$2)/10^9,0)</f>
        <v>0</v>
      </c>
      <c r="S1304" s="160">
        <f>IF($Q$1129&gt;0,'Assumptions (Nuclear)'!X$11*Model!$Q$1129*AVERAGE('Assumptions (Nuclear)'!$J$2:$O$2)/10^9,0)</f>
        <v>0</v>
      </c>
      <c r="T1304" s="160">
        <f>IF($Q$1129&gt;0,'Assumptions (Nuclear)'!Y$11*Model!$Q$1129*AVERAGE('Assumptions (Nuclear)'!$J$2:$O$2)/10^9,0)</f>
        <v>0</v>
      </c>
      <c r="U1304" s="160">
        <f>IF($Q$1129&gt;0,'Assumptions (Nuclear)'!Z$11*Model!$Q$1129*AVERAGE('Assumptions (Nuclear)'!$J$2:$O$2)/10^9,0)</f>
        <v>0</v>
      </c>
      <c r="V1304" s="160">
        <f>IF($Q$1129&gt;0,'Assumptions (Nuclear)'!AA$11*Model!$Q$1129*AVERAGE('Assumptions (Nuclear)'!$J$2:$O$2)/10^9,0)</f>
        <v>0</v>
      </c>
      <c r="W1304" s="160">
        <f>IF($Q$1129&gt;0,'Assumptions (Nuclear)'!AB$11*Model!$Q$1129*AVERAGE('Assumptions (Nuclear)'!$J$2:$O$2)/10^9,0)</f>
        <v>0</v>
      </c>
      <c r="X1304" s="160">
        <f>IF($Q$1129&gt;0,'Assumptions (Nuclear)'!AC$11*Model!$Q$1129*AVERAGE('Assumptions (Nuclear)'!$J$2:$O$2)/10^9,0)</f>
        <v>0</v>
      </c>
      <c r="Y1304" s="160">
        <f>IF($Q$1129&gt;0,'Assumptions (Nuclear)'!AD$11*Model!$Q$1129*AVERAGE('Assumptions (Nuclear)'!$J$2:$O$2)/10^9,0)</f>
        <v>0</v>
      </c>
      <c r="Z1304" s="160">
        <f>IF($Q$1129&gt;0,'Assumptions (Nuclear)'!AE$11*Model!$Q$1129*AVERAGE('Assumptions (Nuclear)'!$J$2:$O$2)/10^9,0)</f>
        <v>0</v>
      </c>
      <c r="AA1304" s="160">
        <f>IF($Q$1129&gt;0,'Assumptions (Nuclear)'!AF$11*Model!$Q$1129*AVERAGE('Assumptions (Nuclear)'!$J$2:$O$2)/10^9,0)</f>
        <v>0</v>
      </c>
      <c r="AB1304" s="160">
        <f>IF($Q$1129&gt;0,'Assumptions (Nuclear)'!AG$11*Model!$Q$1129*AVERAGE('Assumptions (Nuclear)'!$J$2:$O$2)/10^9,0)</f>
        <v>0</v>
      </c>
      <c r="AC1304" s="160">
        <f>IF($Q$1129&gt;0,'Assumptions (Nuclear)'!AH$11*Model!$Q$1129*AVERAGE('Assumptions (Nuclear)'!$J$2:$O$2)/10^9,0)</f>
        <v>0</v>
      </c>
      <c r="AD1304" s="160">
        <f>IF($Q$1129&gt;0,'Assumptions (Nuclear)'!AI$11*Model!$Q$1129*AVERAGE('Assumptions (Nuclear)'!$J$2:$O$2)/10^9,0)</f>
        <v>0</v>
      </c>
      <c r="AE1304" s="160">
        <f>IF($Q$1129&gt;0,'Assumptions (Nuclear)'!AJ$11*Model!$Q$1129*AVERAGE('Assumptions (Nuclear)'!$J$2:$O$2)/10^9,0)</f>
        <v>0</v>
      </c>
      <c r="AF1304" s="160">
        <f>IF($Q$1129&gt;0,'Assumptions (Nuclear)'!AK$11*Model!$Q$1129*AVERAGE('Assumptions (Nuclear)'!$J$2:$O$2)/10^9,0)</f>
        <v>0</v>
      </c>
      <c r="AG1304" s="160"/>
      <c r="AH1304" s="160"/>
      <c r="AI1304" s="160"/>
      <c r="AJ1304" s="160"/>
      <c r="AK1304" s="160"/>
      <c r="AL1304" s="177"/>
      <c r="AM1304" s="177"/>
      <c r="AN1304" s="177"/>
      <c r="AO1304" s="177"/>
      <c r="AQ1304" s="95"/>
      <c r="AR1304" s="95"/>
      <c r="AS1304" s="95"/>
      <c r="AT1304" s="95"/>
      <c r="AU1304" s="95"/>
      <c r="AV1304" s="95"/>
      <c r="AW1304" s="95"/>
      <c r="AX1304" s="95"/>
      <c r="AY1304" s="95"/>
      <c r="AZ1304" s="95"/>
      <c r="BA1304" s="95"/>
    </row>
    <row r="1305" ht="15.75" hidden="1" customHeight="1" outlineLevel="1">
      <c r="A1305" s="262"/>
      <c r="B1305" s="38"/>
      <c r="C1305" s="160"/>
      <c r="D1305" s="160"/>
      <c r="E1305" s="160"/>
      <c r="F1305" s="160"/>
      <c r="G1305" s="160"/>
      <c r="H1305" s="160"/>
      <c r="I1305" s="160"/>
      <c r="J1305" s="160"/>
      <c r="K1305" s="160"/>
      <c r="L1305" s="160"/>
      <c r="M1305" s="160"/>
      <c r="N1305" s="160"/>
      <c r="O1305" s="160"/>
      <c r="P1305" s="179"/>
      <c r="Q1305" s="160"/>
      <c r="R1305" s="177">
        <f>IF($R$1129&gt;0,'Assumptions (Nuclear)'!V$11*Model!$R$1129*AVERAGE('Assumptions (Nuclear)'!$K$2:$P$2)/10^9,0)</f>
        <v>0</v>
      </c>
      <c r="S1305" s="177">
        <f>IF($R$1129&gt;0,'Assumptions (Nuclear)'!W$11*Model!$R$1129*AVERAGE('Assumptions (Nuclear)'!$K$2:$P$2)/10^9,0)</f>
        <v>0</v>
      </c>
      <c r="T1305" s="177">
        <f>IF($R$1129&gt;0,'Assumptions (Nuclear)'!X$11*Model!$R$1129*AVERAGE('Assumptions (Nuclear)'!$K$2:$P$2)/10^9,0)</f>
        <v>0</v>
      </c>
      <c r="U1305" s="177">
        <f>IF($R$1129&gt;0,'Assumptions (Nuclear)'!Y$11*Model!$R$1129*AVERAGE('Assumptions (Nuclear)'!$K$2:$P$2)/10^9,0)</f>
        <v>0</v>
      </c>
      <c r="V1305" s="177">
        <f>IF($R$1129&gt;0,'Assumptions (Nuclear)'!Z$11*Model!$R$1129*AVERAGE('Assumptions (Nuclear)'!$K$2:$P$2)/10^9,0)</f>
        <v>0</v>
      </c>
      <c r="W1305" s="177">
        <f>IF($R$1129&gt;0,'Assumptions (Nuclear)'!AA$11*Model!$R$1129*AVERAGE('Assumptions (Nuclear)'!$K$2:$P$2)/10^9,0)</f>
        <v>0</v>
      </c>
      <c r="X1305" s="177">
        <f>IF($R$1129&gt;0,'Assumptions (Nuclear)'!AB$11*Model!$R$1129*AVERAGE('Assumptions (Nuclear)'!$K$2:$P$2)/10^9,0)</f>
        <v>0</v>
      </c>
      <c r="Y1305" s="177">
        <f>IF($R$1129&gt;0,'Assumptions (Nuclear)'!AC$11*Model!$R$1129*AVERAGE('Assumptions (Nuclear)'!$K$2:$P$2)/10^9,0)</f>
        <v>0</v>
      </c>
      <c r="Z1305" s="177">
        <f>IF($R$1129&gt;0,'Assumptions (Nuclear)'!AD$11*Model!$R$1129*AVERAGE('Assumptions (Nuclear)'!$K$2:$P$2)/10^9,0)</f>
        <v>0</v>
      </c>
      <c r="AA1305" s="177">
        <f>IF($R$1129&gt;0,'Assumptions (Nuclear)'!AE$11*Model!$R$1129*AVERAGE('Assumptions (Nuclear)'!$K$2:$P$2)/10^9,0)</f>
        <v>0</v>
      </c>
      <c r="AB1305" s="177">
        <f>IF($R$1129&gt;0,'Assumptions (Nuclear)'!AF$11*Model!$R$1129*AVERAGE('Assumptions (Nuclear)'!$K$2:$P$2)/10^9,0)</f>
        <v>0</v>
      </c>
      <c r="AC1305" s="177">
        <f>IF($R$1129&gt;0,'Assumptions (Nuclear)'!AG$11*Model!$R$1129*AVERAGE('Assumptions (Nuclear)'!$K$2:$P$2)/10^9,0)</f>
        <v>0</v>
      </c>
      <c r="AD1305" s="177">
        <f>IF($R$1129&gt;0,'Assumptions (Nuclear)'!AH$11*Model!$R$1129*AVERAGE('Assumptions (Nuclear)'!$K$2:$P$2)/10^9,0)</f>
        <v>0</v>
      </c>
      <c r="AE1305" s="177">
        <f>IF($R$1129&gt;0,'Assumptions (Nuclear)'!AI$11*Model!$R$1129*AVERAGE('Assumptions (Nuclear)'!$K$2:$P$2)/10^9,0)</f>
        <v>0</v>
      </c>
      <c r="AF1305" s="177">
        <f>IF($R$1129&gt;0,'Assumptions (Nuclear)'!AJ$11*Model!$R$1129*AVERAGE('Assumptions (Nuclear)'!$K$2:$P$2)/10^9,0)</f>
        <v>0</v>
      </c>
      <c r="AG1305" s="177">
        <f>IF($R$1129&gt;0,'Assumptions (Nuclear)'!AK$11*Model!$R$1129*AVERAGE('Assumptions (Nuclear)'!$K$2:$P$2)/10^9,0)</f>
        <v>0</v>
      </c>
      <c r="AH1305" s="177"/>
      <c r="AI1305" s="177"/>
      <c r="AJ1305" s="177"/>
      <c r="AK1305" s="177"/>
      <c r="AL1305" s="177"/>
      <c r="AM1305" s="177"/>
      <c r="AN1305" s="177"/>
      <c r="AO1305" s="177"/>
      <c r="AP1305" s="177"/>
      <c r="AQ1305" s="95"/>
      <c r="AR1305" s="95"/>
      <c r="AS1305" s="95"/>
      <c r="AT1305" s="95"/>
      <c r="AU1305" s="95"/>
      <c r="AV1305" s="95"/>
      <c r="AW1305" s="95"/>
      <c r="AX1305" s="95"/>
      <c r="AY1305" s="95"/>
      <c r="AZ1305" s="95"/>
      <c r="BA1305" s="95"/>
    </row>
    <row r="1306" ht="15.75" hidden="1" customHeight="1" outlineLevel="1">
      <c r="A1306" s="262"/>
      <c r="B1306" s="38"/>
      <c r="C1306" s="160"/>
      <c r="D1306" s="160"/>
      <c r="E1306" s="160"/>
      <c r="F1306" s="160"/>
      <c r="G1306" s="160"/>
      <c r="H1306" s="160"/>
      <c r="I1306" s="160"/>
      <c r="J1306" s="160"/>
      <c r="K1306" s="160"/>
      <c r="L1306" s="160"/>
      <c r="M1306" s="160"/>
      <c r="N1306" s="160"/>
      <c r="O1306" s="160"/>
      <c r="P1306" s="179"/>
      <c r="Q1306" s="160"/>
      <c r="R1306" s="177"/>
      <c r="S1306" s="160">
        <f>IF($S$1129&gt;0,'Assumptions (Nuclear)'!V$11*Model!$S$1129*AVERAGE('Assumptions (Nuclear)'!$L$2:$Q$2)/10^9,0)</f>
        <v>0.4162064541</v>
      </c>
      <c r="T1306" s="160">
        <f>IF($S$1129&gt;0,'Assumptions (Nuclear)'!W$11*Model!$S$1129*AVERAGE('Assumptions (Nuclear)'!$L$2:$Q$2)/10^9,0)</f>
        <v>0.7907922627</v>
      </c>
      <c r="U1306" s="160">
        <f>IF($S$1129&gt;0,'Assumptions (Nuclear)'!X$11*Model!$S$1129*AVERAGE('Assumptions (Nuclear)'!$L$2:$Q$2)/10^9,0)</f>
        <v>0.7117130365</v>
      </c>
      <c r="V1306" s="160">
        <f>IF($S$1129&gt;0,'Assumptions (Nuclear)'!Y$11*Model!$S$1129*AVERAGE('Assumptions (Nuclear)'!$L$2:$Q$2)/10^9,0)</f>
        <v>0.6409579393</v>
      </c>
      <c r="W1306" s="160">
        <f>IF($S$1129&gt;0,'Assumptions (Nuclear)'!Z$11*Model!$S$1129*AVERAGE('Assumptions (Nuclear)'!$L$2:$Q$2)/10^9,0)</f>
        <v>0.5768621453</v>
      </c>
      <c r="X1306" s="160">
        <f>IF($S$1129&gt;0,'Assumptions (Nuclear)'!AA$11*Model!$S$1129*AVERAGE('Assumptions (Nuclear)'!$L$2:$Q$2)/10^9,0)</f>
        <v>0.5185932418</v>
      </c>
      <c r="Y1306" s="160">
        <f>IF($S$1129&gt;0,'Assumptions (Nuclear)'!AB$11*Model!$S$1129*AVERAGE('Assumptions (Nuclear)'!$L$2:$Q$2)/10^9,0)</f>
        <v>0.4911236158</v>
      </c>
      <c r="Z1306" s="160">
        <f>IF($S$1129&gt;0,'Assumptions (Nuclear)'!AC$11*Model!$S$1129*AVERAGE('Assumptions (Nuclear)'!$L$2:$Q$2)/10^9,0)</f>
        <v>0.4911236158</v>
      </c>
      <c r="AA1306" s="160">
        <f>IF($S$1129&gt;0,'Assumptions (Nuclear)'!AD$11*Model!$S$1129*AVERAGE('Assumptions (Nuclear)'!$L$2:$Q$2)/10^9,0)</f>
        <v>0.4919560287</v>
      </c>
      <c r="AB1306" s="160">
        <f>IF($S$1129&gt;0,'Assumptions (Nuclear)'!AE$11*Model!$S$1129*AVERAGE('Assumptions (Nuclear)'!$L$2:$Q$2)/10^9,0)</f>
        <v>0.4911236158</v>
      </c>
      <c r="AC1306" s="160">
        <f>IF($S$1129&gt;0,'Assumptions (Nuclear)'!AF$11*Model!$S$1129*AVERAGE('Assumptions (Nuclear)'!$L$2:$Q$2)/10^9,0)</f>
        <v>0.4919560287</v>
      </c>
      <c r="AD1306" s="160">
        <f>IF($S$1129&gt;0,'Assumptions (Nuclear)'!AG$11*Model!$S$1129*AVERAGE('Assumptions (Nuclear)'!$L$2:$Q$2)/10^9,0)</f>
        <v>0.4911236158</v>
      </c>
      <c r="AE1306" s="160">
        <f>IF($S$1129&gt;0,'Assumptions (Nuclear)'!AH$11*Model!$S$1129*AVERAGE('Assumptions (Nuclear)'!$L$2:$Q$2)/10^9,0)</f>
        <v>0.4919560287</v>
      </c>
      <c r="AF1306" s="160">
        <f>IF($S$1129&gt;0,'Assumptions (Nuclear)'!AI$11*Model!$S$1129*AVERAGE('Assumptions (Nuclear)'!$L$2:$Q$2)/10^9,0)</f>
        <v>0.4911236158</v>
      </c>
      <c r="AG1306" s="160">
        <f>IF($S$1129&gt;0,'Assumptions (Nuclear)'!AJ$11*Model!$S$1129*AVERAGE('Assumptions (Nuclear)'!$L$2:$Q$2)/10^9,0)</f>
        <v>0.4919560287</v>
      </c>
      <c r="AH1306" s="160">
        <f>IF($S$1129&gt;0,'Assumptions (Nuclear)'!AK$11*Model!$S$1129*AVERAGE('Assumptions (Nuclear)'!$L$2:$Q$2)/10^9,0)</f>
        <v>0.2455618079</v>
      </c>
      <c r="AI1306" s="160"/>
      <c r="AJ1306" s="160"/>
      <c r="AK1306" s="160"/>
      <c r="AL1306" s="160"/>
      <c r="AM1306" s="160"/>
      <c r="AN1306" s="160"/>
      <c r="AO1306" s="160"/>
      <c r="AP1306" s="160"/>
      <c r="AQ1306" s="95"/>
      <c r="AR1306" s="95"/>
      <c r="AS1306" s="95"/>
      <c r="AT1306" s="95"/>
      <c r="AU1306" s="95"/>
      <c r="AV1306" s="95"/>
      <c r="AW1306" s="95"/>
      <c r="AX1306" s="95"/>
      <c r="AY1306" s="95"/>
      <c r="AZ1306" s="95"/>
      <c r="BA1306" s="95"/>
    </row>
    <row r="1307" ht="15.75" hidden="1" customHeight="1" outlineLevel="1">
      <c r="A1307" s="262"/>
      <c r="B1307" s="38"/>
      <c r="C1307" s="160"/>
      <c r="D1307" s="160"/>
      <c r="E1307" s="160"/>
      <c r="F1307" s="160"/>
      <c r="G1307" s="160"/>
      <c r="H1307" s="160"/>
      <c r="I1307" s="160"/>
      <c r="J1307" s="160"/>
      <c r="K1307" s="160"/>
      <c r="L1307" s="160"/>
      <c r="M1307" s="160"/>
      <c r="N1307" s="160"/>
      <c r="O1307" s="160"/>
      <c r="P1307" s="179"/>
      <c r="Q1307" s="160"/>
      <c r="R1307" s="177"/>
      <c r="S1307" s="177"/>
      <c r="T1307" s="160">
        <f>IF($T$1129&gt;0,'Assumptions (Nuclear)'!V$11*Model!$T$1129*AVERAGE('Assumptions (Nuclear)'!$M$2:$R$2)/10^9,0)</f>
        <v>0</v>
      </c>
      <c r="U1307" s="160">
        <f>IF($T$1129&gt;0,'Assumptions (Nuclear)'!W$11*Model!$T$1129*AVERAGE('Assumptions (Nuclear)'!$M$2:$R$2)/10^9,0)</f>
        <v>0</v>
      </c>
      <c r="V1307" s="160">
        <f>IF($T$1129&gt;0,'Assumptions (Nuclear)'!X$11*Model!$T$1129*AVERAGE('Assumptions (Nuclear)'!$M$2:$R$2)/10^9,0)</f>
        <v>0</v>
      </c>
      <c r="W1307" s="160">
        <f>IF($T$1129&gt;0,'Assumptions (Nuclear)'!Y$11*Model!$T$1129*AVERAGE('Assumptions (Nuclear)'!$M$2:$R$2)/10^9,0)</f>
        <v>0</v>
      </c>
      <c r="X1307" s="160">
        <f>IF($T$1129&gt;0,'Assumptions (Nuclear)'!Z$11*Model!$T$1129*AVERAGE('Assumptions (Nuclear)'!$M$2:$R$2)/10^9,0)</f>
        <v>0</v>
      </c>
      <c r="Y1307" s="160">
        <f>IF($T$1129&gt;0,'Assumptions (Nuclear)'!AA$11*Model!$T$1129*AVERAGE('Assumptions (Nuclear)'!$M$2:$R$2)/10^9,0)</f>
        <v>0</v>
      </c>
      <c r="Z1307" s="160">
        <f>IF($T$1129&gt;0,'Assumptions (Nuclear)'!AB$11*Model!$T$1129*AVERAGE('Assumptions (Nuclear)'!$M$2:$R$2)/10^9,0)</f>
        <v>0</v>
      </c>
      <c r="AA1307" s="160">
        <f>IF($T$1129&gt;0,'Assumptions (Nuclear)'!AC$11*Model!$T$1129*AVERAGE('Assumptions (Nuclear)'!$M$2:$R$2)/10^9,0)</f>
        <v>0</v>
      </c>
      <c r="AB1307" s="160">
        <f>IF($T$1129&gt;0,'Assumptions (Nuclear)'!AD$11*Model!$T$1129*AVERAGE('Assumptions (Nuclear)'!$M$2:$R$2)/10^9,0)</f>
        <v>0</v>
      </c>
      <c r="AC1307" s="160">
        <f>IF($T$1129&gt;0,'Assumptions (Nuclear)'!AE$11*Model!$T$1129*AVERAGE('Assumptions (Nuclear)'!$M$2:$R$2)/10^9,0)</f>
        <v>0</v>
      </c>
      <c r="AD1307" s="160">
        <f>IF($T$1129&gt;0,'Assumptions (Nuclear)'!AF$11*Model!$T$1129*AVERAGE('Assumptions (Nuclear)'!$M$2:$R$2)/10^9,0)</f>
        <v>0</v>
      </c>
      <c r="AE1307" s="160">
        <f>IF($T$1129&gt;0,'Assumptions (Nuclear)'!AG$11*Model!$T$1129*AVERAGE('Assumptions (Nuclear)'!$M$2:$R$2)/10^9,0)</f>
        <v>0</v>
      </c>
      <c r="AF1307" s="160">
        <f>IF($T$1129&gt;0,'Assumptions (Nuclear)'!AH$11*Model!$T$1129*AVERAGE('Assumptions (Nuclear)'!$M$2:$R$2)/10^9,0)</f>
        <v>0</v>
      </c>
      <c r="AG1307" s="160">
        <f>IF($T$1129&gt;0,'Assumptions (Nuclear)'!AI$11*Model!$T$1129*AVERAGE('Assumptions (Nuclear)'!$M$2:$R$2)/10^9,0)</f>
        <v>0</v>
      </c>
      <c r="AH1307" s="160">
        <f>IF($T$1129&gt;0,'Assumptions (Nuclear)'!AJ$11*Model!$T$1129*AVERAGE('Assumptions (Nuclear)'!$M$2:$R$2)/10^9,0)</f>
        <v>0</v>
      </c>
      <c r="AI1307" s="160">
        <f>IF($T$1129&gt;0,'Assumptions (Nuclear)'!AK$11*Model!$T$1129*AVERAGE('Assumptions (Nuclear)'!$M$2:$R$2)/10^9,0)</f>
        <v>0</v>
      </c>
      <c r="AJ1307" s="160"/>
      <c r="AK1307" s="160"/>
      <c r="AL1307" s="160"/>
      <c r="AM1307" s="160"/>
      <c r="AN1307" s="160"/>
      <c r="AO1307" s="160"/>
      <c r="AP1307" s="160"/>
      <c r="AQ1307" s="95"/>
      <c r="AR1307" s="95"/>
      <c r="AS1307" s="95"/>
      <c r="AT1307" s="95"/>
      <c r="AU1307" s="95"/>
      <c r="AV1307" s="95"/>
      <c r="AW1307" s="95"/>
      <c r="AX1307" s="95"/>
      <c r="AY1307" s="95"/>
      <c r="AZ1307" s="95"/>
      <c r="BA1307" s="95"/>
    </row>
    <row r="1308" ht="15.75" hidden="1" customHeight="1" outlineLevel="1">
      <c r="A1308" s="262"/>
      <c r="B1308" s="38"/>
      <c r="C1308" s="160"/>
      <c r="D1308" s="160"/>
      <c r="E1308" s="160"/>
      <c r="F1308" s="160"/>
      <c r="G1308" s="160"/>
      <c r="H1308" s="160"/>
      <c r="I1308" s="160"/>
      <c r="J1308" s="160"/>
      <c r="K1308" s="160"/>
      <c r="L1308" s="160"/>
      <c r="M1308" s="160"/>
      <c r="N1308" s="160"/>
      <c r="O1308" s="160"/>
      <c r="P1308" s="179"/>
      <c r="Q1308" s="160"/>
      <c r="R1308" s="177"/>
      <c r="S1308" s="177"/>
      <c r="T1308" s="177"/>
      <c r="U1308" s="160">
        <f>IF($U$1129&gt;0,'Assumptions (Nuclear)'!V$11*Model!$U$1129*AVERAGE('Assumptions (Nuclear)'!$N$2:$S$2)/10^9,0)</f>
        <v>0</v>
      </c>
      <c r="V1308" s="160">
        <f>IF($U$1129&gt;0,'Assumptions (Nuclear)'!W$11*Model!$U$1129*AVERAGE('Assumptions (Nuclear)'!$N$2:$S$2)/10^9,0)</f>
        <v>0</v>
      </c>
      <c r="W1308" s="160">
        <f>IF($U$1129&gt;0,'Assumptions (Nuclear)'!X$11*Model!$U$1129*AVERAGE('Assumptions (Nuclear)'!$N$2:$S$2)/10^9,0)</f>
        <v>0</v>
      </c>
      <c r="X1308" s="160">
        <f>IF($U$1129&gt;0,'Assumptions (Nuclear)'!Y$11*Model!$U$1129*AVERAGE('Assumptions (Nuclear)'!$N$2:$S$2)/10^9,0)</f>
        <v>0</v>
      </c>
      <c r="Y1308" s="160">
        <f>IF($U$1129&gt;0,'Assumptions (Nuclear)'!Z$11*Model!$U$1129*AVERAGE('Assumptions (Nuclear)'!$N$2:$S$2)/10^9,0)</f>
        <v>0</v>
      </c>
      <c r="Z1308" s="160">
        <f>IF($U$1129&gt;0,'Assumptions (Nuclear)'!AA$11*Model!$U$1129*AVERAGE('Assumptions (Nuclear)'!$N$2:$S$2)/10^9,0)</f>
        <v>0</v>
      </c>
      <c r="AA1308" s="160">
        <f>IF($U$1129&gt;0,'Assumptions (Nuclear)'!AB$11*Model!$U$1129*AVERAGE('Assumptions (Nuclear)'!$N$2:$S$2)/10^9,0)</f>
        <v>0</v>
      </c>
      <c r="AB1308" s="160">
        <f>IF($U$1129&gt;0,'Assumptions (Nuclear)'!AC$11*Model!$U$1129*AVERAGE('Assumptions (Nuclear)'!$N$2:$S$2)/10^9,0)</f>
        <v>0</v>
      </c>
      <c r="AC1308" s="160">
        <f>IF($U$1129&gt;0,'Assumptions (Nuclear)'!AD$11*Model!$U$1129*AVERAGE('Assumptions (Nuclear)'!$N$2:$S$2)/10^9,0)</f>
        <v>0</v>
      </c>
      <c r="AD1308" s="160">
        <f>IF($U$1129&gt;0,'Assumptions (Nuclear)'!AE$11*Model!$U$1129*AVERAGE('Assumptions (Nuclear)'!$N$2:$S$2)/10^9,0)</f>
        <v>0</v>
      </c>
      <c r="AE1308" s="160">
        <f>IF($U$1129&gt;0,'Assumptions (Nuclear)'!AF$11*Model!$U$1129*AVERAGE('Assumptions (Nuclear)'!$N$2:$S$2)/10^9,0)</f>
        <v>0</v>
      </c>
      <c r="AF1308" s="160">
        <f>IF($U$1129&gt;0,'Assumptions (Nuclear)'!AG$11*Model!$U$1129*AVERAGE('Assumptions (Nuclear)'!$N$2:$S$2)/10^9,0)</f>
        <v>0</v>
      </c>
      <c r="AG1308" s="160">
        <f>IF($U$1129&gt;0,'Assumptions (Nuclear)'!AH$11*Model!$U$1129*AVERAGE('Assumptions (Nuclear)'!$N$2:$S$2)/10^9,0)</f>
        <v>0</v>
      </c>
      <c r="AH1308" s="160">
        <f>IF($U$1129&gt;0,'Assumptions (Nuclear)'!AI$11*Model!$U$1129*AVERAGE('Assumptions (Nuclear)'!$N$2:$S$2)/10^9,0)</f>
        <v>0</v>
      </c>
      <c r="AI1308" s="160">
        <f>IF($U$1129&gt;0,'Assumptions (Nuclear)'!AJ$11*Model!$U$1129*AVERAGE('Assumptions (Nuclear)'!$N$2:$S$2)/10^9,0)</f>
        <v>0</v>
      </c>
      <c r="AJ1308" s="160">
        <f>IF($U$1129&gt;0,'Assumptions (Nuclear)'!AK$11*Model!$U$1129*AVERAGE('Assumptions (Nuclear)'!$N$2:$S$2)/10^9,0)</f>
        <v>0</v>
      </c>
      <c r="AK1308" s="160"/>
      <c r="AL1308" s="160"/>
      <c r="AM1308" s="160"/>
      <c r="AN1308" s="160"/>
      <c r="AO1308" s="160"/>
      <c r="AP1308" s="160"/>
      <c r="AQ1308" s="95"/>
      <c r="AR1308" s="95"/>
      <c r="AS1308" s="95"/>
      <c r="AT1308" s="95"/>
      <c r="AU1308" s="95"/>
      <c r="AV1308" s="95"/>
      <c r="AW1308" s="95"/>
      <c r="AX1308" s="95"/>
      <c r="AY1308" s="95"/>
      <c r="AZ1308" s="95"/>
      <c r="BA1308" s="95"/>
    </row>
    <row r="1309" ht="15.75" hidden="1" customHeight="1" outlineLevel="1">
      <c r="A1309" s="262"/>
      <c r="B1309" s="38"/>
      <c r="C1309" s="160"/>
      <c r="D1309" s="160"/>
      <c r="E1309" s="160"/>
      <c r="F1309" s="160"/>
      <c r="G1309" s="160"/>
      <c r="H1309" s="160"/>
      <c r="I1309" s="160"/>
      <c r="J1309" s="160"/>
      <c r="K1309" s="160"/>
      <c r="L1309" s="160"/>
      <c r="M1309" s="160"/>
      <c r="N1309" s="160"/>
      <c r="O1309" s="160"/>
      <c r="P1309" s="179"/>
      <c r="Q1309" s="160"/>
      <c r="R1309" s="177"/>
      <c r="S1309" s="177"/>
      <c r="T1309" s="177"/>
      <c r="U1309" s="160"/>
      <c r="V1309" s="219">
        <f>IF($V$1129&gt;0,'Assumptions (Nuclear)'!V$11*Model!$V$1129*AVERAGE('Assumptions (Nuclear)'!$O$2:$T$2)/10^9,0)</f>
        <v>0</v>
      </c>
      <c r="W1309" s="219">
        <f>IF($V$1129&gt;0,'Assumptions (Nuclear)'!W$11*Model!$V$1129*AVERAGE('Assumptions (Nuclear)'!$O$2:$T$2)/10^9,0)</f>
        <v>0</v>
      </c>
      <c r="X1309" s="219">
        <f>IF($V$1129&gt;0,'Assumptions (Nuclear)'!X$11*Model!$V$1129*AVERAGE('Assumptions (Nuclear)'!$O$2:$T$2)/10^9,0)</f>
        <v>0</v>
      </c>
      <c r="Y1309" s="219">
        <f>IF($V$1129&gt;0,'Assumptions (Nuclear)'!Y$11*Model!$V$1129*AVERAGE('Assumptions (Nuclear)'!$O$2:$T$2)/10^9,0)</f>
        <v>0</v>
      </c>
      <c r="Z1309" s="219">
        <f>IF($V$1129&gt;0,'Assumptions (Nuclear)'!Z$11*Model!$V$1129*AVERAGE('Assumptions (Nuclear)'!$O$2:$T$2)/10^9,0)</f>
        <v>0</v>
      </c>
      <c r="AA1309" s="219">
        <f>IF($V$1129&gt;0,'Assumptions (Nuclear)'!AA$11*Model!$V$1129*AVERAGE('Assumptions (Nuclear)'!$O$2:$T$2)/10^9,0)</f>
        <v>0</v>
      </c>
      <c r="AB1309" s="219">
        <f>IF($V$1129&gt;0,'Assumptions (Nuclear)'!AB$11*Model!$V$1129*AVERAGE('Assumptions (Nuclear)'!$O$2:$T$2)/10^9,0)</f>
        <v>0</v>
      </c>
      <c r="AC1309" s="219">
        <f>IF($V$1129&gt;0,'Assumptions (Nuclear)'!AC$11*Model!$V$1129*AVERAGE('Assumptions (Nuclear)'!$O$2:$T$2)/10^9,0)</f>
        <v>0</v>
      </c>
      <c r="AD1309" s="219">
        <f>IF($V$1129&gt;0,'Assumptions (Nuclear)'!AD$11*Model!$V$1129*AVERAGE('Assumptions (Nuclear)'!$O$2:$T$2)/10^9,0)</f>
        <v>0</v>
      </c>
      <c r="AE1309" s="219">
        <f>IF($V$1129&gt;0,'Assumptions (Nuclear)'!AE$11*Model!$V$1129*AVERAGE('Assumptions (Nuclear)'!$O$2:$T$2)/10^9,0)</f>
        <v>0</v>
      </c>
      <c r="AF1309" s="219">
        <f>IF($V$1129&gt;0,'Assumptions (Nuclear)'!AF$11*Model!$V$1129*AVERAGE('Assumptions (Nuclear)'!$O$2:$T$2)/10^9,0)</f>
        <v>0</v>
      </c>
      <c r="AG1309" s="219">
        <f>IF($V$1129&gt;0,'Assumptions (Nuclear)'!AG$11*Model!$V$1129*AVERAGE('Assumptions (Nuclear)'!$O$2:$T$2)/10^9,0)</f>
        <v>0</v>
      </c>
      <c r="AH1309" s="219">
        <f>IF($V$1129&gt;0,'Assumptions (Nuclear)'!AH$11*Model!$V$1129*AVERAGE('Assumptions (Nuclear)'!$O$2:$T$2)/10^9,0)</f>
        <v>0</v>
      </c>
      <c r="AI1309" s="219">
        <f>IF($V$1129&gt;0,'Assumptions (Nuclear)'!AI$11*Model!$V$1129*AVERAGE('Assumptions (Nuclear)'!$O$2:$T$2)/10^9,0)</f>
        <v>0</v>
      </c>
      <c r="AJ1309" s="219">
        <f>IF($V$1129&gt;0,'Assumptions (Nuclear)'!AJ$11*Model!$V$1129*AVERAGE('Assumptions (Nuclear)'!$O$2:$T$2)/10^9,0)</f>
        <v>0</v>
      </c>
      <c r="AK1309" s="219">
        <f>IF($V$1129&gt;0,'Assumptions (Nuclear)'!AK$11*Model!$V$1129*AVERAGE('Assumptions (Nuclear)'!$O$2:$T$2)/10^9,0)</f>
        <v>0</v>
      </c>
      <c r="AL1309" s="160"/>
      <c r="AM1309" s="160"/>
      <c r="AN1309" s="160"/>
      <c r="AO1309" s="160"/>
      <c r="AP1309" s="160"/>
      <c r="AQ1309" s="95"/>
      <c r="AR1309" s="95"/>
      <c r="AS1309" s="95"/>
      <c r="AT1309" s="95"/>
      <c r="AU1309" s="95"/>
      <c r="AV1309" s="95"/>
      <c r="AW1309" s="95"/>
      <c r="AX1309" s="95"/>
      <c r="AY1309" s="95"/>
      <c r="AZ1309" s="95"/>
      <c r="BA1309" s="95"/>
    </row>
    <row r="1310" ht="15.75" hidden="1" customHeight="1" outlineLevel="1">
      <c r="A1310" s="262"/>
      <c r="B1310" s="38"/>
      <c r="C1310" s="174"/>
      <c r="D1310" s="174"/>
      <c r="E1310" s="174"/>
      <c r="F1310" s="174"/>
      <c r="G1310" s="174"/>
      <c r="H1310" s="174"/>
      <c r="I1310" s="174"/>
      <c r="J1310" s="174"/>
      <c r="K1310" s="174"/>
      <c r="L1310" s="174"/>
      <c r="M1310" s="174"/>
      <c r="N1310" s="174"/>
      <c r="O1310" s="174"/>
      <c r="P1310" s="174"/>
      <c r="Q1310" s="174"/>
      <c r="R1310" s="174"/>
      <c r="S1310" s="174"/>
      <c r="T1310" s="174"/>
      <c r="U1310" s="174"/>
      <c r="V1310" s="174"/>
      <c r="W1310" s="160">
        <f>IF($W$1129&gt;0,'Assumptions (Nuclear)'!V11*Model!$W$1129*average('Assumptions (Nuclear)'!$P$2:$U$2)/10^9,0)</f>
        <v>0</v>
      </c>
      <c r="X1310" s="160">
        <f>IF($W$1129&gt;0,'Assumptions (Nuclear)'!W11*Model!$W$1129*average('Assumptions (Nuclear)'!$P$2:$U$2)/10^9,0)</f>
        <v>0</v>
      </c>
      <c r="Y1310" s="160">
        <f>IF($W$1129&gt;0,'Assumptions (Nuclear)'!X11*Model!$W$1129*average('Assumptions (Nuclear)'!$P$2:$U$2)/10^9,0)</f>
        <v>0</v>
      </c>
      <c r="Z1310" s="160">
        <f>IF($W$1129&gt;0,'Assumptions (Nuclear)'!Y11*Model!$W$1129*average('Assumptions (Nuclear)'!$P$2:$U$2)/10^9,0)</f>
        <v>0</v>
      </c>
      <c r="AA1310" s="160">
        <f>IF($W$1129&gt;0,'Assumptions (Nuclear)'!Z11*Model!$W$1129*average('Assumptions (Nuclear)'!$P$2:$U$2)/10^9,0)</f>
        <v>0</v>
      </c>
      <c r="AB1310" s="160">
        <f>IF($W$1129&gt;0,'Assumptions (Nuclear)'!AA11*Model!$W$1129*average('Assumptions (Nuclear)'!$P$2:$U$2)/10^9,0)</f>
        <v>0</v>
      </c>
      <c r="AC1310" s="160">
        <f>IF($W$1129&gt;0,'Assumptions (Nuclear)'!AB11*Model!$W$1129*average('Assumptions (Nuclear)'!$P$2:$U$2)/10^9,0)</f>
        <v>0</v>
      </c>
      <c r="AD1310" s="160">
        <f>IF($W$1129&gt;0,'Assumptions (Nuclear)'!AC11*Model!$W$1129*average('Assumptions (Nuclear)'!$P$2:$U$2)/10^9,0)</f>
        <v>0</v>
      </c>
      <c r="AE1310" s="160">
        <f>IF($W$1129&gt;0,'Assumptions (Nuclear)'!AD11*Model!$W$1129*average('Assumptions (Nuclear)'!$P$2:$U$2)/10^9,0)</f>
        <v>0</v>
      </c>
      <c r="AF1310" s="160">
        <f>IF($W$1129&gt;0,'Assumptions (Nuclear)'!AE11*Model!$W$1129*average('Assumptions (Nuclear)'!$P$2:$U$2)/10^9,0)</f>
        <v>0</v>
      </c>
      <c r="AG1310" s="160">
        <f>IF($W$1129&gt;0,'Assumptions (Nuclear)'!AF11*Model!$W$1129*average('Assumptions (Nuclear)'!$P$2:$U$2)/10^9,0)</f>
        <v>0</v>
      </c>
      <c r="AH1310" s="160">
        <f>IF($W$1129&gt;0,'Assumptions (Nuclear)'!AG11*Model!$W$1129*average('Assumptions (Nuclear)'!$P$2:$U$2)/10^9,0)</f>
        <v>0</v>
      </c>
      <c r="AI1310" s="160">
        <f>IF($W$1129&gt;0,'Assumptions (Nuclear)'!AH11*Model!$W$1129*average('Assumptions (Nuclear)'!$P$2:$U$2)/10^9,0)</f>
        <v>0</v>
      </c>
      <c r="AJ1310" s="160">
        <f>IF($W$1129&gt;0,'Assumptions (Nuclear)'!AI11*Model!$W$1129*average('Assumptions (Nuclear)'!$P$2:$U$2)/10^9,0)</f>
        <v>0</v>
      </c>
      <c r="AK1310" s="160">
        <f>IF($W$1129&gt;0,'Assumptions (Nuclear)'!AJ11*Model!$W$1129*average('Assumptions (Nuclear)'!$P$2:$U$2)/10^9,0)</f>
        <v>0</v>
      </c>
      <c r="AL1310" s="160">
        <f>IF($W$1129&gt;0,'Assumptions (Nuclear)'!AK11*Model!$W$1129*average('Assumptions (Nuclear)'!$P$2:$U$2)/10^9,0)</f>
        <v>0</v>
      </c>
      <c r="AM1310" s="160"/>
      <c r="AN1310" s="160"/>
      <c r="AO1310" s="160"/>
      <c r="AP1310" s="160"/>
      <c r="AQ1310" s="160"/>
      <c r="AR1310" s="160"/>
      <c r="AS1310" s="160"/>
      <c r="AT1310" s="160"/>
      <c r="AU1310" s="160"/>
      <c r="AV1310" s="160"/>
      <c r="AW1310" s="160"/>
      <c r="AX1310" s="160"/>
      <c r="AY1310" s="160"/>
      <c r="AZ1310" s="160"/>
      <c r="BA1310" s="160"/>
    </row>
    <row r="1311" ht="15.75" hidden="1" customHeight="1" outlineLevel="1">
      <c r="A1311" s="262"/>
      <c r="B1311" s="38"/>
      <c r="C1311" s="174"/>
      <c r="D1311" s="174"/>
      <c r="E1311" s="174"/>
      <c r="F1311" s="174"/>
      <c r="G1311" s="174"/>
      <c r="H1311" s="174"/>
      <c r="I1311" s="174"/>
      <c r="J1311" s="174"/>
      <c r="K1311" s="174"/>
      <c r="L1311" s="174"/>
      <c r="M1311" s="174"/>
      <c r="N1311" s="174"/>
      <c r="O1311" s="174"/>
      <c r="P1311" s="174"/>
      <c r="Q1311" s="174"/>
      <c r="R1311" s="174"/>
      <c r="S1311" s="174"/>
      <c r="T1311" s="174"/>
      <c r="U1311" s="174"/>
      <c r="V1311" s="174"/>
      <c r="W1311" s="160"/>
      <c r="X1311" s="160">
        <f>IF($X$1129&gt;0,'Assumptions (Nuclear)'!V11*Model!$X$1129*average('Assumptions (Nuclear)'!$Q$2:$V$2)/10^9,0)</f>
        <v>0.03044195445</v>
      </c>
      <c r="Y1311" s="160">
        <f>IF($X$1129&gt;0,'Assumptions (Nuclear)'!W11*Model!$X$1129*average('Assumptions (Nuclear)'!$Q$2:$V$2)/10^9,0)</f>
        <v>0.05783971345</v>
      </c>
      <c r="Z1311" s="160">
        <f>IF($X$1129&gt;0,'Assumptions (Nuclear)'!X11*Model!$X$1129*average('Assumptions (Nuclear)'!$Q$2:$V$2)/10^9,0)</f>
        <v>0.05205574211</v>
      </c>
      <c r="AA1311" s="160">
        <f>IF($X$1129&gt;0,'Assumptions (Nuclear)'!Y11*Model!$X$1129*average('Assumptions (Nuclear)'!$Q$2:$V$2)/10^9,0)</f>
        <v>0.04688060985</v>
      </c>
      <c r="AB1311" s="160">
        <f>IF($X$1129&gt;0,'Assumptions (Nuclear)'!Z11*Model!$X$1129*average('Assumptions (Nuclear)'!$Q$2:$V$2)/10^9,0)</f>
        <v>0.04219254887</v>
      </c>
      <c r="AC1311" s="160">
        <f>IF($X$1129&gt;0,'Assumptions (Nuclear)'!AA11*Model!$X$1129*average('Assumptions (Nuclear)'!$Q$2:$V$2)/10^9,0)</f>
        <v>0.03793067524</v>
      </c>
      <c r="AD1311" s="160">
        <f>IF($X$1129&gt;0,'Assumptions (Nuclear)'!AB11*Model!$X$1129*average('Assumptions (Nuclear)'!$Q$2:$V$2)/10^9,0)</f>
        <v>0.03592150625</v>
      </c>
      <c r="AE1311" s="160">
        <f>IF($X$1129&gt;0,'Assumptions (Nuclear)'!AC11*Model!$X$1129*average('Assumptions (Nuclear)'!$Q$2:$V$2)/10^9,0)</f>
        <v>0.03592150625</v>
      </c>
      <c r="AF1311" s="160">
        <f>IF($X$1129&gt;0,'Assumptions (Nuclear)'!AD11*Model!$X$1129*average('Assumptions (Nuclear)'!$Q$2:$V$2)/10^9,0)</f>
        <v>0.03598239016</v>
      </c>
      <c r="AG1311" s="160">
        <f>IF($X$1129&gt;0,'Assumptions (Nuclear)'!AE11*Model!$X$1129*average('Assumptions (Nuclear)'!$Q$2:$V$2)/10^9,0)</f>
        <v>0.03592150625</v>
      </c>
      <c r="AH1311" s="160">
        <f>IF($X$1129&gt;0,'Assumptions (Nuclear)'!AF11*Model!$X$1129*average('Assumptions (Nuclear)'!$Q$2:$V$2)/10^9,0)</f>
        <v>0.03598239016</v>
      </c>
      <c r="AI1311" s="160">
        <f>IF($X$1129&gt;0,'Assumptions (Nuclear)'!AG11*Model!$X$1129*average('Assumptions (Nuclear)'!$Q$2:$V$2)/10^9,0)</f>
        <v>0.03592150625</v>
      </c>
      <c r="AJ1311" s="160">
        <f>IF($X$1129&gt;0,'Assumptions (Nuclear)'!AH11*Model!$X$1129*average('Assumptions (Nuclear)'!$Q$2:$V$2)/10^9,0)</f>
        <v>0.03598239016</v>
      </c>
      <c r="AK1311" s="160">
        <f>IF($X$1129&gt;0,'Assumptions (Nuclear)'!AI11*Model!$X$1129*average('Assumptions (Nuclear)'!$Q$2:$V$2)/10^9,0)</f>
        <v>0.03592150625</v>
      </c>
      <c r="AL1311" s="160">
        <f>IF($X$1129&gt;0,'Assumptions (Nuclear)'!AJ11*Model!$X$1129*average('Assumptions (Nuclear)'!$Q$2:$V$2)/10^9,0)</f>
        <v>0.03598239016</v>
      </c>
      <c r="AM1311" s="160">
        <f>IF($X$1129&gt;0,'Assumptions (Nuclear)'!AK11*Model!$X$1129*average('Assumptions (Nuclear)'!$Q$2:$V$2)/10^9,0)</f>
        <v>0.01796075313</v>
      </c>
      <c r="AN1311" s="160"/>
      <c r="AO1311" s="160"/>
      <c r="AP1311" s="160"/>
      <c r="AQ1311" s="160"/>
      <c r="AR1311" s="160"/>
      <c r="AS1311" s="160"/>
      <c r="AT1311" s="160"/>
      <c r="AU1311" s="160"/>
      <c r="AV1311" s="160"/>
      <c r="AW1311" s="160"/>
      <c r="AX1311" s="160"/>
      <c r="AY1311" s="160"/>
      <c r="AZ1311" s="160"/>
      <c r="BA1311" s="160"/>
    </row>
    <row r="1312" ht="15.75" hidden="1" customHeight="1" outlineLevel="1">
      <c r="A1312" s="262"/>
      <c r="B1312" s="38"/>
      <c r="C1312" s="174"/>
      <c r="D1312" s="174"/>
      <c r="E1312" s="174"/>
      <c r="F1312" s="174"/>
      <c r="G1312" s="174"/>
      <c r="H1312" s="174"/>
      <c r="I1312" s="174"/>
      <c r="J1312" s="174"/>
      <c r="K1312" s="174"/>
      <c r="L1312" s="174"/>
      <c r="M1312" s="174"/>
      <c r="N1312" s="174"/>
      <c r="O1312" s="174"/>
      <c r="P1312" s="174"/>
      <c r="Q1312" s="174"/>
      <c r="R1312" s="174"/>
      <c r="S1312" s="174"/>
      <c r="T1312" s="174"/>
      <c r="U1312" s="174"/>
      <c r="V1312" s="174"/>
      <c r="W1312" s="160"/>
      <c r="X1312" s="160"/>
      <c r="Y1312" s="160">
        <f>IF($Y$1129&gt;0,'Assumptions (Nuclear)'!V11*Model!$Y$1129*AVERAGE('Assumptions (Nuclear)'!$R$2:$W$2)/10^9,0)</f>
        <v>0.0309305184</v>
      </c>
      <c r="Z1312" s="160">
        <f>IF($Y$1129&gt;0,'Assumptions (Nuclear)'!W11*Model!$Y$1129*AVERAGE('Assumptions (Nuclear)'!$R$2:$W$2)/10^9,0)</f>
        <v>0.05876798495</v>
      </c>
      <c r="AA1312" s="160">
        <f>IF($Y$1129&gt;0,'Assumptions (Nuclear)'!X11*Model!$Y$1129*AVERAGE('Assumptions (Nuclear)'!$R$2:$W$2)/10^9,0)</f>
        <v>0.05289118646</v>
      </c>
      <c r="AB1312" s="160">
        <f>IF($Y$1129&gt;0,'Assumptions (Nuclear)'!Y11*Model!$Y$1129*AVERAGE('Assumptions (Nuclear)'!$R$2:$W$2)/10^9,0)</f>
        <v>0.04763299833</v>
      </c>
      <c r="AC1312" s="160">
        <f>IF($Y$1129&gt;0,'Assumptions (Nuclear)'!Z11*Model!$Y$1129*AVERAGE('Assumptions (Nuclear)'!$R$2:$W$2)/10^9,0)</f>
        <v>0.0428696985</v>
      </c>
      <c r="AD1312" s="160">
        <f>IF($Y$1129&gt;0,'Assumptions (Nuclear)'!AA11*Model!$Y$1129*AVERAGE('Assumptions (Nuclear)'!$R$2:$W$2)/10^9,0)</f>
        <v>0.03853942592</v>
      </c>
      <c r="AE1312" s="160">
        <f>IF($Y$1129&gt;0,'Assumptions (Nuclear)'!AB11*Model!$Y$1129*AVERAGE('Assumptions (Nuclear)'!$R$2:$W$2)/10^9,0)</f>
        <v>0.03649801171</v>
      </c>
      <c r="AF1312" s="160">
        <f>IF($Y$1129&gt;0,'Assumptions (Nuclear)'!AC11*Model!$Y$1129*AVERAGE('Assumptions (Nuclear)'!$R$2:$W$2)/10^9,0)</f>
        <v>0.03649801171</v>
      </c>
      <c r="AG1312" s="160">
        <f>IF($Y$1129&gt;0,'Assumptions (Nuclear)'!AD11*Model!$Y$1129*AVERAGE('Assumptions (Nuclear)'!$R$2:$W$2)/10^9,0)</f>
        <v>0.03655987274</v>
      </c>
      <c r="AH1312" s="160">
        <f>IF($Y$1129&gt;0,'Assumptions (Nuclear)'!AE11*Model!$Y$1129*AVERAGE('Assumptions (Nuclear)'!$R$2:$W$2)/10^9,0)</f>
        <v>0.03649801171</v>
      </c>
      <c r="AI1312" s="160">
        <f>IF($Y$1129&gt;0,'Assumptions (Nuclear)'!AF11*Model!$Y$1129*AVERAGE('Assumptions (Nuclear)'!$R$2:$W$2)/10^9,0)</f>
        <v>0.03655987274</v>
      </c>
      <c r="AJ1312" s="160">
        <f>IF($Y$1129&gt;0,'Assumptions (Nuclear)'!AG11*Model!$Y$1129*AVERAGE('Assumptions (Nuclear)'!$R$2:$W$2)/10^9,0)</f>
        <v>0.03649801171</v>
      </c>
      <c r="AK1312" s="160">
        <f>IF($Y$1129&gt;0,'Assumptions (Nuclear)'!AH11*Model!$Y$1129*AVERAGE('Assumptions (Nuclear)'!$R$2:$W$2)/10^9,0)</f>
        <v>0.03655987274</v>
      </c>
      <c r="AL1312" s="160">
        <f>IF($Y$1129&gt;0,'Assumptions (Nuclear)'!AI11*Model!$Y$1129*AVERAGE('Assumptions (Nuclear)'!$R$2:$W$2)/10^9,0)</f>
        <v>0.03649801171</v>
      </c>
      <c r="AM1312" s="160">
        <f>IF($Y$1129&gt;0,'Assumptions (Nuclear)'!AJ11*Model!$Y$1129*AVERAGE('Assumptions (Nuclear)'!$R$2:$W$2)/10^9,0)</f>
        <v>0.03655987274</v>
      </c>
      <c r="AN1312" s="160">
        <f>IF($Y$1129&gt;0,'Assumptions (Nuclear)'!AK11*Model!$Y$1129*AVERAGE('Assumptions (Nuclear)'!$R$2:$W$2)/10^9,0)</f>
        <v>0.01824900585</v>
      </c>
      <c r="AO1312" s="160"/>
      <c r="AP1312" s="160"/>
      <c r="AQ1312" s="160"/>
      <c r="AR1312" s="160"/>
      <c r="AS1312" s="160"/>
      <c r="AT1312" s="160"/>
      <c r="AU1312" s="160"/>
      <c r="AV1312" s="160"/>
      <c r="AW1312" s="160"/>
      <c r="AX1312" s="160"/>
      <c r="AY1312" s="160"/>
      <c r="AZ1312" s="160"/>
      <c r="BA1312" s="160"/>
    </row>
    <row r="1313" ht="15.75" hidden="1" customHeight="1" outlineLevel="1">
      <c r="A1313" s="262"/>
      <c r="B1313" s="38"/>
      <c r="C1313" s="174"/>
      <c r="D1313" s="174"/>
      <c r="E1313" s="174"/>
      <c r="F1313" s="174"/>
      <c r="G1313" s="174"/>
      <c r="H1313" s="174"/>
      <c r="I1313" s="174"/>
      <c r="J1313" s="174"/>
      <c r="K1313" s="174"/>
      <c r="L1313" s="174"/>
      <c r="M1313" s="174"/>
      <c r="N1313" s="174"/>
      <c r="O1313" s="174"/>
      <c r="P1313" s="174"/>
      <c r="Q1313" s="174"/>
      <c r="R1313" s="174"/>
      <c r="S1313" s="174"/>
      <c r="T1313" s="174"/>
      <c r="U1313" s="174"/>
      <c r="V1313" s="174"/>
      <c r="W1313" s="160"/>
      <c r="X1313" s="160"/>
      <c r="Y1313" s="160"/>
      <c r="Z1313" s="160">
        <f>IF($Z$1129&gt;0,'Assumptions (Nuclear)'!V11*Model!$Z$1129*AVERAGE('Assumptions (Nuclear)'!$S$2:$X$2)/10^9,0)</f>
        <v>0.0314446456</v>
      </c>
      <c r="AA1313" s="160">
        <f>IF($Z$1129&gt;0,'Assumptions (Nuclear)'!W11*Model!$Z$1129*AVERAGE('Assumptions (Nuclear)'!$S$2:$X$2)/10^9,0)</f>
        <v>0.05974482665</v>
      </c>
      <c r="AB1313" s="160">
        <f>IF($Z$1129&gt;0,'Assumptions (Nuclear)'!X11*Model!$Z$1129*AVERAGE('Assumptions (Nuclear)'!$S$2:$X$2)/10^9,0)</f>
        <v>0.05377034398</v>
      </c>
      <c r="AC1313" s="160">
        <f>IF($Z$1129&gt;0,'Assumptions (Nuclear)'!Y11*Model!$Z$1129*AVERAGE('Assumptions (Nuclear)'!$S$2:$X$2)/10^9,0)</f>
        <v>0.04842475423</v>
      </c>
      <c r="AD1313" s="160">
        <f>IF($Z$1129&gt;0,'Assumptions (Nuclear)'!Z11*Model!$Z$1129*AVERAGE('Assumptions (Nuclear)'!$S$2:$X$2)/10^9,0)</f>
        <v>0.04358227881</v>
      </c>
      <c r="AE1313" s="160">
        <f>IF($Z$1129&gt;0,'Assumptions (Nuclear)'!AA11*Model!$Z$1129*AVERAGE('Assumptions (Nuclear)'!$S$2:$X$2)/10^9,0)</f>
        <v>0.03918002842</v>
      </c>
      <c r="AF1313" s="160">
        <f>IF($Z$1129&gt;0,'Assumptions (Nuclear)'!AB11*Model!$Z$1129*AVERAGE('Assumptions (Nuclear)'!$S$2:$X$2)/10^9,0)</f>
        <v>0.03710468181</v>
      </c>
      <c r="AG1313" s="160">
        <f>IF($Z$1129&gt;0,'Assumptions (Nuclear)'!AC11*Model!$Z$1129*AVERAGE('Assumptions (Nuclear)'!$S$2:$X$2)/10^9,0)</f>
        <v>0.03710468181</v>
      </c>
      <c r="AH1313" s="160">
        <f>IF($Z$1129&gt;0,'Assumptions (Nuclear)'!AD11*Model!$Z$1129*AVERAGE('Assumptions (Nuclear)'!$S$2:$X$2)/10^9,0)</f>
        <v>0.0371675711</v>
      </c>
      <c r="AI1313" s="160">
        <f>IF($Z$1129&gt;0,'Assumptions (Nuclear)'!AE11*Model!$Z$1129*AVERAGE('Assumptions (Nuclear)'!$S$2:$X$2)/10^9,0)</f>
        <v>0.03710468181</v>
      </c>
      <c r="AJ1313" s="160">
        <f>IF($Z$1129&gt;0,'Assumptions (Nuclear)'!AF11*Model!$Z$1129*AVERAGE('Assumptions (Nuclear)'!$S$2:$X$2)/10^9,0)</f>
        <v>0.0371675711</v>
      </c>
      <c r="AK1313" s="160">
        <f>IF($Z$1129&gt;0,'Assumptions (Nuclear)'!AG11*Model!$Z$1129*AVERAGE('Assumptions (Nuclear)'!$S$2:$X$2)/10^9,0)</f>
        <v>0.03710468181</v>
      </c>
      <c r="AL1313" s="160">
        <f>IF($Z$1129&gt;0,'Assumptions (Nuclear)'!AH11*Model!$Z$1129*AVERAGE('Assumptions (Nuclear)'!$S$2:$X$2)/10^9,0)</f>
        <v>0.0371675711</v>
      </c>
      <c r="AM1313" s="160">
        <f>IF($Z$1129&gt;0,'Assumptions (Nuclear)'!AI11*Model!$Z$1129*AVERAGE('Assumptions (Nuclear)'!$S$2:$X$2)/10^9,0)</f>
        <v>0.03710468181</v>
      </c>
      <c r="AN1313" s="160">
        <f>IF($Z$1129&gt;0,'Assumptions (Nuclear)'!AJ11*Model!$Z$1129*AVERAGE('Assumptions (Nuclear)'!$S$2:$X$2)/10^9,0)</f>
        <v>0.0371675711</v>
      </c>
      <c r="AO1313" s="160">
        <f>IF($Z$1129&gt;0,'Assumptions (Nuclear)'!AK11*Model!$Z$1129*AVERAGE('Assumptions (Nuclear)'!$S$2:$X$2)/10^9,0)</f>
        <v>0.01855234091</v>
      </c>
      <c r="AP1313" s="160"/>
      <c r="AQ1313" s="160"/>
      <c r="AR1313" s="160"/>
      <c r="AS1313" s="160"/>
      <c r="AT1313" s="160"/>
      <c r="AU1313" s="160"/>
      <c r="AV1313" s="160"/>
      <c r="AW1313" s="160"/>
      <c r="AX1313" s="160"/>
      <c r="AY1313" s="160"/>
      <c r="AZ1313" s="160"/>
      <c r="BA1313" s="160"/>
    </row>
    <row r="1314" ht="15.75" hidden="1" customHeight="1" outlineLevel="1">
      <c r="A1314" s="262"/>
      <c r="B1314" s="38"/>
      <c r="C1314" s="174"/>
      <c r="D1314" s="174"/>
      <c r="E1314" s="174"/>
      <c r="F1314" s="174"/>
      <c r="G1314" s="174"/>
      <c r="H1314" s="174"/>
      <c r="I1314" s="174"/>
      <c r="J1314" s="174"/>
      <c r="K1314" s="174"/>
      <c r="L1314" s="174"/>
      <c r="M1314" s="174"/>
      <c r="N1314" s="174"/>
      <c r="O1314" s="174"/>
      <c r="P1314" s="174"/>
      <c r="Q1314" s="174"/>
      <c r="R1314" s="174"/>
      <c r="S1314" s="174"/>
      <c r="T1314" s="174"/>
      <c r="U1314" s="174"/>
      <c r="V1314" s="174"/>
      <c r="W1314" s="160"/>
      <c r="X1314" s="160"/>
      <c r="Y1314" s="160"/>
      <c r="Z1314" s="160"/>
      <c r="AA1314" s="160">
        <f>IF($AA$1129&gt;0,'Assumptions (Nuclear)'!V11*Model!$AA$1129*AVERAGE('Assumptions (Nuclear)'!$T$2:$Y$2)/10^9,0)</f>
        <v>0.0319429804</v>
      </c>
      <c r="AB1314" s="160">
        <f>IF($AA$1129&gt;0,'Assumptions (Nuclear)'!W11*Model!$AA$1129*AVERAGE('Assumptions (Nuclear)'!$T$2:$Y$2)/10^9,0)</f>
        <v>0.06069166276</v>
      </c>
      <c r="AC1314" s="160">
        <f>IF($AA$1129&gt;0,'Assumptions (Nuclear)'!X11*Model!$AA$1129*AVERAGE('Assumptions (Nuclear)'!$T$2:$Y$2)/10^9,0)</f>
        <v>0.05462249648</v>
      </c>
      <c r="AD1314" s="160">
        <f>IF($AA$1129&gt;0,'Assumptions (Nuclear)'!Y11*Model!$AA$1129*AVERAGE('Assumptions (Nuclear)'!$T$2:$Y$2)/10^9,0)</f>
        <v>0.04919218981</v>
      </c>
      <c r="AE1314" s="160">
        <f>IF($AA$1129&gt;0,'Assumptions (Nuclear)'!Z11*Model!$AA$1129*AVERAGE('Assumptions (Nuclear)'!$T$2:$Y$2)/10^9,0)</f>
        <v>0.04427297083</v>
      </c>
      <c r="AF1314" s="160">
        <f>IF($AA$1129&gt;0,'Assumptions (Nuclear)'!AA11*Model!$AA$1129*AVERAGE('Assumptions (Nuclear)'!$T$2:$Y$2)/10^9,0)</f>
        <v>0.03980095358</v>
      </c>
      <c r="AG1314" s="160">
        <f>IF($AA$1129&gt;0,'Assumptions (Nuclear)'!AB11*Model!$AA$1129*AVERAGE('Assumptions (Nuclear)'!$T$2:$Y$2)/10^9,0)</f>
        <v>0.03769271687</v>
      </c>
      <c r="AH1314" s="160">
        <f>IF($AA$1129&gt;0,'Assumptions (Nuclear)'!AC11*Model!$AA$1129*AVERAGE('Assumptions (Nuclear)'!$T$2:$Y$2)/10^9,0)</f>
        <v>0.03769271687</v>
      </c>
      <c r="AI1314" s="160">
        <f>IF($AA$1129&gt;0,'Assumptions (Nuclear)'!AD11*Model!$AA$1129*AVERAGE('Assumptions (Nuclear)'!$T$2:$Y$2)/10^9,0)</f>
        <v>0.03775660283</v>
      </c>
      <c r="AJ1314" s="160">
        <f>IF($AA$1129&gt;0,'Assumptions (Nuclear)'!AE11*Model!$AA$1129*AVERAGE('Assumptions (Nuclear)'!$T$2:$Y$2)/10^9,0)</f>
        <v>0.03769271687</v>
      </c>
      <c r="AK1314" s="160">
        <f>IF($AA$1129&gt;0,'Assumptions (Nuclear)'!AF11*Model!$AA$1129*AVERAGE('Assumptions (Nuclear)'!$T$2:$Y$2)/10^9,0)</f>
        <v>0.03775660283</v>
      </c>
      <c r="AL1314" s="160">
        <f>IF($AA$1129&gt;0,'Assumptions (Nuclear)'!AG11*Model!$AA$1129*AVERAGE('Assumptions (Nuclear)'!$T$2:$Y$2)/10^9,0)</f>
        <v>0.03769271687</v>
      </c>
      <c r="AM1314" s="160">
        <f>IF($AA$1129&gt;0,'Assumptions (Nuclear)'!AH11*Model!$AA$1129*AVERAGE('Assumptions (Nuclear)'!$T$2:$Y$2)/10^9,0)</f>
        <v>0.03775660283</v>
      </c>
      <c r="AN1314" s="160">
        <f>IF($AA$1129&gt;0,'Assumptions (Nuclear)'!AI11*Model!$AA$1129*AVERAGE('Assumptions (Nuclear)'!$T$2:$Y$2)/10^9,0)</f>
        <v>0.03769271687</v>
      </c>
      <c r="AO1314" s="160">
        <f>IF($AA$1129&gt;0,'Assumptions (Nuclear)'!AJ11*Model!$AA$1129*AVERAGE('Assumptions (Nuclear)'!$T$2:$Y$2)/10^9,0)</f>
        <v>0.03775660283</v>
      </c>
      <c r="AP1314" s="160">
        <f>IF($AA$1129&gt;0,'Assumptions (Nuclear)'!AK11*Model!$AA$1129*AVERAGE('Assumptions (Nuclear)'!$T$2:$Y$2)/10^9,0)</f>
        <v>0.01884635844</v>
      </c>
      <c r="AQ1314" s="160"/>
      <c r="AR1314" s="160"/>
      <c r="AS1314" s="160"/>
      <c r="AT1314" s="160"/>
      <c r="AU1314" s="160"/>
      <c r="AV1314" s="160"/>
      <c r="AW1314" s="160"/>
      <c r="AX1314" s="160"/>
      <c r="AY1314" s="160"/>
      <c r="AZ1314" s="160"/>
      <c r="BA1314" s="160"/>
    </row>
    <row r="1315" ht="15.75" hidden="1" customHeight="1" outlineLevel="1">
      <c r="A1315" s="262"/>
      <c r="B1315" s="38"/>
      <c r="C1315" s="174"/>
      <c r="D1315" s="174"/>
      <c r="E1315" s="174"/>
      <c r="F1315" s="174"/>
      <c r="G1315" s="174"/>
      <c r="H1315" s="174"/>
      <c r="I1315" s="174"/>
      <c r="J1315" s="174"/>
      <c r="K1315" s="174"/>
      <c r="L1315" s="174"/>
      <c r="M1315" s="174"/>
      <c r="N1315" s="174"/>
      <c r="O1315" s="174"/>
      <c r="P1315" s="174"/>
      <c r="Q1315" s="174"/>
      <c r="R1315" s="174"/>
      <c r="S1315" s="174"/>
      <c r="T1315" s="174"/>
      <c r="U1315" s="174"/>
      <c r="V1315" s="174"/>
      <c r="W1315" s="160"/>
      <c r="X1315" s="160"/>
      <c r="Y1315" s="160"/>
      <c r="Z1315" s="160"/>
      <c r="AA1315" s="160"/>
      <c r="AB1315" s="160">
        <f>IF($AB$1129&gt;0,'Assumptions (Nuclear)'!V11*Model!$AB$1129*AVERAGE('Assumptions (Nuclear)'!$U$2:$Z$2)/10^9,0)</f>
        <v>0.03239781146</v>
      </c>
      <c r="AC1315" s="160">
        <f>IF($AB$1129&gt;0,'Assumptions (Nuclear)'!W11*Model!$AB$1129*AVERAGE('Assumptions (Nuclear)'!$U$2:$Z$2)/10^9,0)</f>
        <v>0.06155584178</v>
      </c>
      <c r="AD1315" s="160">
        <f>IF($AB$1129&gt;0,'Assumptions (Nuclear)'!X11*Model!$AB$1129*AVERAGE('Assumptions (Nuclear)'!$U$2:$Z$2)/10^9,0)</f>
        <v>0.0554002576</v>
      </c>
      <c r="AE1315" s="160">
        <f>IF($AB$1129&gt;0,'Assumptions (Nuclear)'!Y11*Model!$AB$1129*AVERAGE('Assumptions (Nuclear)'!$U$2:$Z$2)/10^9,0)</f>
        <v>0.04989262965</v>
      </c>
      <c r="AF1315" s="160">
        <f>IF($AB$1129&gt;0,'Assumptions (Nuclear)'!Z11*Model!$AB$1129*AVERAGE('Assumptions (Nuclear)'!$U$2:$Z$2)/10^9,0)</f>
        <v>0.04490336669</v>
      </c>
      <c r="AG1315" s="160">
        <f>IF($AB$1129&gt;0,'Assumptions (Nuclear)'!AA11*Model!$AB$1129*AVERAGE('Assumptions (Nuclear)'!$U$2:$Z$2)/10^9,0)</f>
        <v>0.04036767308</v>
      </c>
      <c r="AH1315" s="160">
        <f>IF($AB$1129&gt;0,'Assumptions (Nuclear)'!AB11*Model!$AB$1129*AVERAGE('Assumptions (Nuclear)'!$U$2:$Z$2)/10^9,0)</f>
        <v>0.03822941753</v>
      </c>
      <c r="AI1315" s="160">
        <f>IF($AB$1129&gt;0,'Assumptions (Nuclear)'!AC11*Model!$AB$1129*AVERAGE('Assumptions (Nuclear)'!$U$2:$Z$2)/10^9,0)</f>
        <v>0.03822941753</v>
      </c>
      <c r="AJ1315" s="160">
        <f>IF($AB$1129&gt;0,'Assumptions (Nuclear)'!AD11*Model!$AB$1129*AVERAGE('Assumptions (Nuclear)'!$U$2:$Z$2)/10^9,0)</f>
        <v>0.03829421315</v>
      </c>
      <c r="AK1315" s="160">
        <f>IF($AB$1129&gt;0,'Assumptions (Nuclear)'!AE11*Model!$AB$1129*AVERAGE('Assumptions (Nuclear)'!$U$2:$Z$2)/10^9,0)</f>
        <v>0.03822941753</v>
      </c>
      <c r="AL1315" s="160">
        <f>IF($AB$1129&gt;0,'Assumptions (Nuclear)'!AF11*Model!$AB$1129*AVERAGE('Assumptions (Nuclear)'!$U$2:$Z$2)/10^9,0)</f>
        <v>0.03829421315</v>
      </c>
      <c r="AM1315" s="160">
        <f>IF($AB$1129&gt;0,'Assumptions (Nuclear)'!AG11*Model!$AB$1129*AVERAGE('Assumptions (Nuclear)'!$U$2:$Z$2)/10^9,0)</f>
        <v>0.03822941753</v>
      </c>
      <c r="AN1315" s="160">
        <f>IF($AB$1129&gt;0,'Assumptions (Nuclear)'!AH11*Model!$AB$1129*AVERAGE('Assumptions (Nuclear)'!$U$2:$Z$2)/10^9,0)</f>
        <v>0.03829421315</v>
      </c>
      <c r="AO1315" s="160">
        <f>IF($AB$1129&gt;0,'Assumptions (Nuclear)'!AI11*Model!$AB$1129*AVERAGE('Assumptions (Nuclear)'!$U$2:$Z$2)/10^9,0)</f>
        <v>0.03822941753</v>
      </c>
      <c r="AP1315" s="160">
        <f>IF($AB$1129&gt;0,'Assumptions (Nuclear)'!AJ11*Model!$AB$1129*AVERAGE('Assumptions (Nuclear)'!$U$2:$Z$2)/10^9,0)</f>
        <v>0.03829421315</v>
      </c>
      <c r="AQ1315" s="160">
        <f>IF($AB$1129&gt;0,'Assumptions (Nuclear)'!AK11*Model!$AB$1129*AVERAGE('Assumptions (Nuclear)'!$U$2:$Z$2)/10^9,0)</f>
        <v>0.01911470876</v>
      </c>
      <c r="AR1315" s="160"/>
      <c r="AS1315" s="160"/>
      <c r="AT1315" s="160"/>
      <c r="AU1315" s="160"/>
      <c r="AV1315" s="160"/>
      <c r="AW1315" s="160"/>
      <c r="AX1315" s="160"/>
      <c r="AY1315" s="160"/>
      <c r="AZ1315" s="160"/>
      <c r="BA1315" s="160"/>
    </row>
    <row r="1316" ht="15.75" hidden="1" customHeight="1" outlineLevel="1">
      <c r="A1316" s="262"/>
      <c r="B1316" s="38"/>
      <c r="C1316" s="174"/>
      <c r="D1316" s="174"/>
      <c r="E1316" s="174"/>
      <c r="F1316" s="174"/>
      <c r="G1316" s="174"/>
      <c r="H1316" s="174"/>
      <c r="I1316" s="174"/>
      <c r="J1316" s="174"/>
      <c r="K1316" s="174"/>
      <c r="L1316" s="174"/>
      <c r="M1316" s="174"/>
      <c r="N1316" s="174"/>
      <c r="O1316" s="174"/>
      <c r="P1316" s="174"/>
      <c r="Q1316" s="174"/>
      <c r="R1316" s="174"/>
      <c r="S1316" s="174"/>
      <c r="T1316" s="174"/>
      <c r="U1316" s="174"/>
      <c r="V1316" s="174"/>
      <c r="W1316" s="160"/>
      <c r="X1316" s="160"/>
      <c r="Y1316" s="160"/>
      <c r="Z1316" s="160"/>
      <c r="AA1316" s="160"/>
      <c r="AB1316" s="160"/>
      <c r="AC1316" s="160">
        <f>IF($AC$1129&gt;0,'Assumptions (Nuclear)'!V11*Model!$AC$1129*AVERAGE('Assumptions (Nuclear)'!$V$2:$AA$2)/10^9,0)</f>
        <v>0.03285820116</v>
      </c>
      <c r="AD1316" s="160">
        <f>IF($AC$1129&gt;0,'Assumptions (Nuclear)'!W11*Model!$AC$1129*AVERAGE('Assumptions (Nuclear)'!$V$2:$AA$2)/10^9,0)</f>
        <v>0.0624305822</v>
      </c>
      <c r="AE1316" s="160">
        <f>IF($AC$1129&gt;0,'Assumptions (Nuclear)'!X11*Model!$AC$1129*AVERAGE('Assumptions (Nuclear)'!$V$2:$AA$2)/10^9,0)</f>
        <v>0.05618752398</v>
      </c>
      <c r="AF1316" s="160">
        <f>IF($AC$1129&gt;0,'Assumptions (Nuclear)'!Y11*Model!$AC$1129*AVERAGE('Assumptions (Nuclear)'!$V$2:$AA$2)/10^9,0)</f>
        <v>0.05060162979</v>
      </c>
      <c r="AG1316" s="160">
        <f>IF($AC$1129&gt;0,'Assumptions (Nuclear)'!Z11*Model!$AC$1129*AVERAGE('Assumptions (Nuclear)'!$V$2:$AA$2)/10^9,0)</f>
        <v>0.04554146681</v>
      </c>
      <c r="AH1316" s="160">
        <f>IF($AC$1129&gt;0,'Assumptions (Nuclear)'!AA11*Model!$AC$1129*AVERAGE('Assumptions (Nuclear)'!$V$2:$AA$2)/10^9,0)</f>
        <v>0.04094131864</v>
      </c>
      <c r="AI1316" s="160">
        <f>IF($AC$1129&gt;0,'Assumptions (Nuclear)'!AB11*Model!$AC$1129*AVERAGE('Assumptions (Nuclear)'!$V$2:$AA$2)/10^9,0)</f>
        <v>0.03877267737</v>
      </c>
      <c r="AJ1316" s="160">
        <f>IF($AC$1129&gt;0,'Assumptions (Nuclear)'!AC11*Model!$AC$1129*AVERAGE('Assumptions (Nuclear)'!$V$2:$AA$2)/10^9,0)</f>
        <v>0.03877267737</v>
      </c>
      <c r="AK1316" s="160">
        <f>IF($AC$1129&gt;0,'Assumptions (Nuclear)'!AD11*Model!$AC$1129*AVERAGE('Assumptions (Nuclear)'!$V$2:$AA$2)/10^9,0)</f>
        <v>0.03883839377</v>
      </c>
      <c r="AL1316" s="160">
        <f>IF($AC$1129&gt;0,'Assumptions (Nuclear)'!AE11*Model!$AC$1129*AVERAGE('Assumptions (Nuclear)'!$V$2:$AA$2)/10^9,0)</f>
        <v>0.03877267737</v>
      </c>
      <c r="AM1316" s="160">
        <f>IF($AC$1129&gt;0,'Assumptions (Nuclear)'!AF11*Model!$AC$1129*AVERAGE('Assumptions (Nuclear)'!$V$2:$AA$2)/10^9,0)</f>
        <v>0.03883839377</v>
      </c>
      <c r="AN1316" s="160">
        <f>IF($AC$1129&gt;0,'Assumptions (Nuclear)'!AG11*Model!$AC$1129*AVERAGE('Assumptions (Nuclear)'!$V$2:$AA$2)/10^9,0)</f>
        <v>0.03877267737</v>
      </c>
      <c r="AO1316" s="160">
        <f>IF($AC$1129&gt;0,'Assumptions (Nuclear)'!AH11*Model!$AC$1129*AVERAGE('Assumptions (Nuclear)'!$V$2:$AA$2)/10^9,0)</f>
        <v>0.03883839377</v>
      </c>
      <c r="AP1316" s="160">
        <f>IF($AC$1129&gt;0,'Assumptions (Nuclear)'!AI11*Model!$AC$1129*AVERAGE('Assumptions (Nuclear)'!$V$2:$AA$2)/10^9,0)</f>
        <v>0.03877267737</v>
      </c>
      <c r="AQ1316" s="160">
        <f>IF($AC$1129&gt;0,'Assumptions (Nuclear)'!AJ11*Model!$AC$1129*AVERAGE('Assumptions (Nuclear)'!$V$2:$AA$2)/10^9,0)</f>
        <v>0.03883839377</v>
      </c>
      <c r="AR1316" s="160">
        <f>IF($AC$1129&gt;0,'Assumptions (Nuclear)'!AK11*Model!$AC$1129*AVERAGE('Assumptions (Nuclear)'!$V$2:$AA$2)/10^9,0)</f>
        <v>0.01938633868</v>
      </c>
      <c r="AS1316" s="160"/>
      <c r="AT1316" s="160"/>
      <c r="AU1316" s="160"/>
      <c r="AV1316" s="160"/>
      <c r="AW1316" s="160"/>
      <c r="AX1316" s="160"/>
      <c r="AY1316" s="160"/>
      <c r="AZ1316" s="160"/>
      <c r="BA1316" s="160"/>
    </row>
    <row r="1317" ht="15.75" hidden="1" customHeight="1" outlineLevel="1">
      <c r="A1317" s="262"/>
      <c r="B1317" s="38"/>
      <c r="C1317" s="174"/>
      <c r="D1317" s="174"/>
      <c r="E1317" s="174"/>
      <c r="F1317" s="174"/>
      <c r="G1317" s="174"/>
      <c r="H1317" s="174"/>
      <c r="I1317" s="174"/>
      <c r="J1317" s="174"/>
      <c r="K1317" s="174"/>
      <c r="L1317" s="174"/>
      <c r="M1317" s="174"/>
      <c r="N1317" s="174"/>
      <c r="O1317" s="174"/>
      <c r="P1317" s="174"/>
      <c r="Q1317" s="174"/>
      <c r="R1317" s="174"/>
      <c r="S1317" s="174"/>
      <c r="T1317" s="174"/>
      <c r="U1317" s="174"/>
      <c r="V1317" s="174"/>
      <c r="W1317" s="160"/>
      <c r="X1317" s="160"/>
      <c r="Y1317" s="160"/>
      <c r="Z1317" s="160"/>
      <c r="AA1317" s="160"/>
      <c r="AB1317" s="160"/>
      <c r="AC1317" s="160"/>
      <c r="AD1317" s="160">
        <f>IF($AD$1129&gt;0,'Assumptions (Nuclear)'!V11*Model!$AD$1129*AVERAGE('Assumptions (Nuclear)'!$W$2:$AB$2)/10^9,0)</f>
        <v>0.03332419327</v>
      </c>
      <c r="AE1317" s="160">
        <f>IF($AD$1129&gt;0,'Assumptions (Nuclear)'!W11*Model!$AD$1129*AVERAGE('Assumptions (Nuclear)'!$W$2:$AB$2)/10^9,0)</f>
        <v>0.06331596721</v>
      </c>
      <c r="AF1317" s="160">
        <f>IF($AD$1129&gt;0,'Assumptions (Nuclear)'!X11*Model!$AD$1129*AVERAGE('Assumptions (Nuclear)'!$W$2:$AB$2)/10^9,0)</f>
        <v>0.05698437049</v>
      </c>
      <c r="AG1317" s="160">
        <f>IF($AD$1129&gt;0,'Assumptions (Nuclear)'!Y11*Model!$AD$1129*AVERAGE('Assumptions (Nuclear)'!$W$2:$AB$2)/10^9,0)</f>
        <v>0.05131925763</v>
      </c>
      <c r="AH1317" s="160">
        <f>IF($AD$1129&gt;0,'Assumptions (Nuclear)'!Z11*Model!$AD$1129*AVERAGE('Assumptions (Nuclear)'!$W$2:$AB$2)/10^9,0)</f>
        <v>0.04618733187</v>
      </c>
      <c r="AI1317" s="160">
        <f>IF($AD$1129&gt;0,'Assumptions (Nuclear)'!AA11*Model!$AD$1129*AVERAGE('Assumptions (Nuclear)'!$W$2:$AB$2)/10^9,0)</f>
        <v>0.04152194481</v>
      </c>
      <c r="AJ1317" s="160">
        <f>IF($AD$1129&gt;0,'Assumptions (Nuclear)'!AB11*Model!$AD$1129*AVERAGE('Assumptions (Nuclear)'!$W$2:$AB$2)/10^9,0)</f>
        <v>0.03932254806</v>
      </c>
      <c r="AK1317" s="160">
        <f>IF($AD$1129&gt;0,'Assumptions (Nuclear)'!AC11*Model!$AD$1129*AVERAGE('Assumptions (Nuclear)'!$W$2:$AB$2)/10^9,0)</f>
        <v>0.03932254806</v>
      </c>
      <c r="AL1317" s="160">
        <f>IF($AD$1129&gt;0,'Assumptions (Nuclear)'!AD11*Model!$AD$1129*AVERAGE('Assumptions (Nuclear)'!$W$2:$AB$2)/10^9,0)</f>
        <v>0.03938919644</v>
      </c>
      <c r="AM1317" s="160">
        <f>IF($AD$1129&gt;0,'Assumptions (Nuclear)'!AE11*Model!$AD$1129*AVERAGE('Assumptions (Nuclear)'!$W$2:$AB$2)/10^9,0)</f>
        <v>0.03932254806</v>
      </c>
      <c r="AN1317" s="160">
        <f>IF($AD$1129&gt;0,'Assumptions (Nuclear)'!AF11*Model!$AD$1129*AVERAGE('Assumptions (Nuclear)'!$W$2:$AB$2)/10^9,0)</f>
        <v>0.03938919644</v>
      </c>
      <c r="AO1317" s="160">
        <f>IF($AD$1129&gt;0,'Assumptions (Nuclear)'!AG11*Model!$AD$1129*AVERAGE('Assumptions (Nuclear)'!$W$2:$AB$2)/10^9,0)</f>
        <v>0.03932254806</v>
      </c>
      <c r="AP1317" s="160">
        <f>IF($AD$1129&gt;0,'Assumptions (Nuclear)'!AH11*Model!$AD$1129*AVERAGE('Assumptions (Nuclear)'!$W$2:$AB$2)/10^9,0)</f>
        <v>0.03938919644</v>
      </c>
      <c r="AQ1317" s="160">
        <f>IF($AD$1129&gt;0,'Assumptions (Nuclear)'!AI11*Model!$AD$1129*AVERAGE('Assumptions (Nuclear)'!$W$2:$AB$2)/10^9,0)</f>
        <v>0.03932254806</v>
      </c>
      <c r="AR1317" s="160">
        <f>IF($AD$1129&gt;0,'Assumptions (Nuclear)'!AJ11*Model!$AD$1129*AVERAGE('Assumptions (Nuclear)'!$W$2:$AB$2)/10^9,0)</f>
        <v>0.03938919644</v>
      </c>
      <c r="AS1317" s="160">
        <f>IF($AD$1129&gt;0,'Assumptions (Nuclear)'!AK11*Model!$AD$1129*AVERAGE('Assumptions (Nuclear)'!$W$2:$AB$2)/10^9,0)</f>
        <v>0.01966127403</v>
      </c>
      <c r="AT1317" s="160"/>
      <c r="AU1317" s="160"/>
      <c r="AV1317" s="160"/>
      <c r="AW1317" s="160"/>
      <c r="AX1317" s="160"/>
      <c r="AY1317" s="160"/>
      <c r="AZ1317" s="160"/>
      <c r="BA1317" s="160"/>
      <c r="BB1317" s="160"/>
    </row>
    <row r="1318" ht="15.75" hidden="1" customHeight="1" outlineLevel="1">
      <c r="A1318" s="262"/>
      <c r="B1318" s="38"/>
      <c r="C1318" s="174"/>
      <c r="D1318" s="174"/>
      <c r="E1318" s="174"/>
      <c r="F1318" s="174"/>
      <c r="G1318" s="174"/>
      <c r="H1318" s="174"/>
      <c r="I1318" s="174"/>
      <c r="J1318" s="174"/>
      <c r="K1318" s="174"/>
      <c r="L1318" s="174"/>
      <c r="M1318" s="174"/>
      <c r="N1318" s="174"/>
      <c r="O1318" s="174"/>
      <c r="P1318" s="174"/>
      <c r="Q1318" s="174"/>
      <c r="R1318" s="174"/>
      <c r="S1318" s="174"/>
      <c r="T1318" s="174"/>
      <c r="U1318" s="174"/>
      <c r="V1318" s="174"/>
      <c r="W1318" s="160"/>
      <c r="X1318" s="160"/>
      <c r="Y1318" s="160"/>
      <c r="Z1318" s="160"/>
      <c r="AA1318" s="160"/>
      <c r="AB1318" s="160"/>
      <c r="AC1318" s="160"/>
      <c r="AD1318" s="160"/>
      <c r="AE1318" s="160">
        <f>IF($AE$1129&gt;0,'Assumptions (Nuclear)'!V11*Model!$AE$1129*AVERAGE('Assumptions (Nuclear)'!$X$2:$AC$2)/10^9,0)</f>
        <v>0.03379167088</v>
      </c>
      <c r="AF1318" s="160">
        <f>IF($AE$1129&gt;0,'Assumptions (Nuclear)'!W11*Model!$AE$1129*AVERAGE('Assumptions (Nuclear)'!$X$2:$AC$2)/10^9,0)</f>
        <v>0.06420417468</v>
      </c>
      <c r="AG1318" s="160">
        <f>IF($AE$1129&gt;0,'Assumptions (Nuclear)'!X11*Model!$AE$1129*AVERAGE('Assumptions (Nuclear)'!$X$2:$AC$2)/10^9,0)</f>
        <v>0.05778375721</v>
      </c>
      <c r="AH1318" s="160">
        <f>IF($AE$1129&gt;0,'Assumptions (Nuclear)'!Y11*Model!$AE$1129*AVERAGE('Assumptions (Nuclear)'!$X$2:$AC$2)/10^9,0)</f>
        <v>0.05203917316</v>
      </c>
      <c r="AI1318" s="160">
        <f>IF($AE$1129&gt;0,'Assumptions (Nuclear)'!Z11*Model!$AE$1129*AVERAGE('Assumptions (Nuclear)'!$X$2:$AC$2)/10^9,0)</f>
        <v>0.04683525584</v>
      </c>
      <c r="AJ1318" s="160">
        <f>IF($AE$1129&gt;0,'Assumptions (Nuclear)'!AA11*Model!$AE$1129*AVERAGE('Assumptions (Nuclear)'!$X$2:$AC$2)/10^9,0)</f>
        <v>0.04210442192</v>
      </c>
      <c r="AK1318" s="160">
        <f>IF($AE$1129&gt;0,'Assumptions (Nuclear)'!AB11*Model!$AE$1129*AVERAGE('Assumptions (Nuclear)'!$X$2:$AC$2)/10^9,0)</f>
        <v>0.03987417164</v>
      </c>
      <c r="AL1318" s="160">
        <f>IF($AE$1129&gt;0,'Assumptions (Nuclear)'!AC11*Model!$AE$1129*AVERAGE('Assumptions (Nuclear)'!$X$2:$AC$2)/10^9,0)</f>
        <v>0.03987417164</v>
      </c>
      <c r="AM1318" s="160">
        <f>IF($AE$1129&gt;0,'Assumptions (Nuclear)'!AD11*Model!$AE$1129*AVERAGE('Assumptions (Nuclear)'!$X$2:$AC$2)/10^9,0)</f>
        <v>0.03994175498</v>
      </c>
      <c r="AN1318" s="160">
        <f>IF($AE$1129&gt;0,'Assumptions (Nuclear)'!AE11*Model!$AE$1129*AVERAGE('Assumptions (Nuclear)'!$X$2:$AC$2)/10^9,0)</f>
        <v>0.03987417164</v>
      </c>
      <c r="AO1318" s="160">
        <f>IF($AE$1129&gt;0,'Assumptions (Nuclear)'!AF11*Model!$AE$1129*AVERAGE('Assumptions (Nuclear)'!$X$2:$AC$2)/10^9,0)</f>
        <v>0.03994175498</v>
      </c>
      <c r="AP1318" s="160">
        <f>IF($AE$1129&gt;0,'Assumptions (Nuclear)'!AG11*Model!$AE$1129*AVERAGE('Assumptions (Nuclear)'!$X$2:$AC$2)/10^9,0)</f>
        <v>0.03987417164</v>
      </c>
      <c r="AQ1318" s="160">
        <f>IF($AE$1129&gt;0,'Assumptions (Nuclear)'!AH11*Model!$AE$1129*AVERAGE('Assumptions (Nuclear)'!$X$2:$AC$2)/10^9,0)</f>
        <v>0.03994175498</v>
      </c>
      <c r="AR1318" s="160">
        <f>IF($AE$1129&gt;0,'Assumptions (Nuclear)'!AI11*Model!$AE$1129*AVERAGE('Assumptions (Nuclear)'!$X$2:$AC$2)/10^9,0)</f>
        <v>0.03987417164</v>
      </c>
      <c r="AS1318" s="160">
        <f>IF($AE$1129&gt;0,'Assumptions (Nuclear)'!AJ11*Model!$AE$1129*AVERAGE('Assumptions (Nuclear)'!$X$2:$AC$2)/10^9,0)</f>
        <v>0.03994175498</v>
      </c>
      <c r="AT1318" s="160">
        <f>IF($AE$1129&gt;0,'Assumptions (Nuclear)'!AK11*Model!$AE$1129*AVERAGE('Assumptions (Nuclear)'!$X$2:$AC$2)/10^9,0)</f>
        <v>0.01993708582</v>
      </c>
      <c r="AU1318" s="160"/>
      <c r="AV1318" s="160"/>
      <c r="AW1318" s="160"/>
      <c r="AX1318" s="160"/>
      <c r="AY1318" s="160"/>
      <c r="AZ1318" s="160"/>
      <c r="BA1318" s="160"/>
      <c r="BB1318" s="160"/>
      <c r="BC1318" s="160"/>
    </row>
    <row r="1319" ht="15.75" hidden="1" customHeight="1" outlineLevel="1">
      <c r="A1319" s="262"/>
      <c r="B1319" s="38"/>
      <c r="C1319" s="174"/>
      <c r="D1319" s="174"/>
      <c r="E1319" s="174"/>
      <c r="F1319" s="174"/>
      <c r="G1319" s="174"/>
      <c r="H1319" s="174"/>
      <c r="I1319" s="174"/>
      <c r="J1319" s="174"/>
      <c r="K1319" s="174"/>
      <c r="L1319" s="174"/>
      <c r="M1319" s="174"/>
      <c r="N1319" s="174"/>
      <c r="O1319" s="174"/>
      <c r="P1319" s="174"/>
      <c r="Q1319" s="174"/>
      <c r="R1319" s="174"/>
      <c r="S1319" s="174"/>
      <c r="T1319" s="174"/>
      <c r="U1319" s="174"/>
      <c r="V1319" s="174"/>
      <c r="W1319" s="160"/>
      <c r="X1319" s="160"/>
      <c r="Y1319" s="160"/>
      <c r="Z1319" s="160"/>
      <c r="AA1319" s="160"/>
      <c r="AB1319" s="160"/>
      <c r="AC1319" s="160"/>
      <c r="AD1319" s="160"/>
      <c r="AE1319" s="160"/>
      <c r="AF1319" s="160">
        <f>IF($AF$1129&gt;0,'Assumptions (Nuclear)'!V11*Model!$AF$1129*AVERAGE('Assumptions (Nuclear)'!$Y$2:$AD$2)/10^9,0)</f>
        <v>0.03426475605</v>
      </c>
      <c r="AG1319" s="160">
        <f>IF($AF$1129&gt;0,'Assumptions (Nuclear)'!W11*Model!$AF$1129*AVERAGE('Assumptions (Nuclear)'!$Y$2:$AD$2)/10^9,0)</f>
        <v>0.06510303649</v>
      </c>
      <c r="AH1319" s="160">
        <f>IF($AF$1129&gt;0,'Assumptions (Nuclear)'!X11*Model!$AF$1129*AVERAGE('Assumptions (Nuclear)'!$Y$2:$AD$2)/10^9,0)</f>
        <v>0.05859273284</v>
      </c>
      <c r="AI1319" s="160">
        <f>IF($AF$1129&gt;0,'Assumptions (Nuclear)'!Y11*Model!$AF$1129*AVERAGE('Assumptions (Nuclear)'!$Y$2:$AD$2)/10^9,0)</f>
        <v>0.05276772431</v>
      </c>
      <c r="AJ1319" s="160">
        <f>IF($AF$1129&gt;0,'Assumptions (Nuclear)'!Z11*Model!$AF$1129*AVERAGE('Assumptions (Nuclear)'!$Y$2:$AD$2)/10^9,0)</f>
        <v>0.04749095188</v>
      </c>
      <c r="AK1319" s="160">
        <f>IF($AF$1129&gt;0,'Assumptions (Nuclear)'!AA11*Model!$AF$1129*AVERAGE('Assumptions (Nuclear)'!$Y$2:$AD$2)/10^9,0)</f>
        <v>0.04269388603</v>
      </c>
      <c r="AL1319" s="160">
        <f>IF($AF$1129&gt;0,'Assumptions (Nuclear)'!AB11*Model!$AF$1129*AVERAGE('Assumptions (Nuclear)'!$Y$2:$AD$2)/10^9,0)</f>
        <v>0.04043241214</v>
      </c>
      <c r="AM1319" s="160">
        <f>IF($AF$1129&gt;0,'Assumptions (Nuclear)'!AC11*Model!$AF$1129*AVERAGE('Assumptions (Nuclear)'!$Y$2:$AD$2)/10^9,0)</f>
        <v>0.04043241214</v>
      </c>
      <c r="AN1319" s="160">
        <f>IF($AF$1129&gt;0,'Assumptions (Nuclear)'!AD11*Model!$AF$1129*AVERAGE('Assumptions (Nuclear)'!$Y$2:$AD$2)/10^9,0)</f>
        <v>0.04050094165</v>
      </c>
      <c r="AO1319" s="160">
        <f>IF($AF$1129&gt;0,'Assumptions (Nuclear)'!AE11*Model!$AF$1129*AVERAGE('Assumptions (Nuclear)'!$Y$2:$AD$2)/10^9,0)</f>
        <v>0.04043241214</v>
      </c>
      <c r="AP1319" s="160">
        <f>IF($AF$1129&gt;0,'Assumptions (Nuclear)'!AF11*Model!$AF$1129*AVERAGE('Assumptions (Nuclear)'!$Y$2:$AD$2)/10^9,0)</f>
        <v>0.04050094165</v>
      </c>
      <c r="AQ1319" s="160">
        <f>IF($AF$1129&gt;0,'Assumptions (Nuclear)'!AG11*Model!$AF$1129*AVERAGE('Assumptions (Nuclear)'!$Y$2:$AD$2)/10^9,0)</f>
        <v>0.04043241214</v>
      </c>
      <c r="AR1319" s="160">
        <f>IF($AF$1129&gt;0,'Assumptions (Nuclear)'!AH11*Model!$AF$1129*AVERAGE('Assumptions (Nuclear)'!$Y$2:$AD$2)/10^9,0)</f>
        <v>0.04050094165</v>
      </c>
      <c r="AS1319" s="160">
        <f>IF($AF$1129&gt;0,'Assumptions (Nuclear)'!AI11*Model!$AF$1129*AVERAGE('Assumptions (Nuclear)'!$Y$2:$AD$2)/10^9,0)</f>
        <v>0.04043241214</v>
      </c>
      <c r="AT1319" s="160">
        <f>IF($AF$1129&gt;0,'Assumptions (Nuclear)'!AJ11*Model!$AF$1129*AVERAGE('Assumptions (Nuclear)'!$Y$2:$AD$2)/10^9,0)</f>
        <v>0.04050094165</v>
      </c>
      <c r="AU1319" s="160">
        <f>IF($AF$1129&gt;0,'Assumptions (Nuclear)'!AK11*Model!$AF$1129*AVERAGE('Assumptions (Nuclear)'!$Y$2:$AD$2)/10^9,0)</f>
        <v>0.02021620607</v>
      </c>
      <c r="AV1319" s="160"/>
      <c r="AW1319" s="160"/>
      <c r="AX1319" s="160"/>
      <c r="AY1319" s="160"/>
      <c r="AZ1319" s="160"/>
      <c r="BA1319" s="160"/>
      <c r="BB1319" s="160"/>
      <c r="BC1319" s="160"/>
      <c r="BD1319" s="160"/>
    </row>
    <row r="1320" ht="15.75" hidden="1" customHeight="1" outlineLevel="1">
      <c r="A1320" s="262"/>
      <c r="B1320" s="38"/>
      <c r="C1320" s="174"/>
      <c r="D1320" s="174"/>
      <c r="E1320" s="174"/>
      <c r="F1320" s="174"/>
      <c r="G1320" s="174"/>
      <c r="H1320" s="174"/>
      <c r="I1320" s="174"/>
      <c r="J1320" s="174"/>
      <c r="K1320" s="174"/>
      <c r="L1320" s="174"/>
      <c r="M1320" s="174"/>
      <c r="N1320" s="174"/>
      <c r="O1320" s="174"/>
      <c r="P1320" s="174"/>
      <c r="Q1320" s="174"/>
      <c r="R1320" s="174"/>
      <c r="S1320" s="174"/>
      <c r="T1320" s="174"/>
      <c r="U1320" s="174"/>
      <c r="V1320" s="174"/>
      <c r="W1320" s="160"/>
      <c r="X1320" s="160"/>
      <c r="Y1320" s="160"/>
      <c r="Z1320" s="160"/>
      <c r="AA1320" s="160"/>
      <c r="AB1320" s="160"/>
      <c r="AC1320" s="160"/>
      <c r="AD1320" s="160"/>
      <c r="AE1320" s="160"/>
      <c r="AF1320" s="160"/>
      <c r="AG1320" s="160">
        <f>IF($AG$1129&gt;0,'Assumptions (Nuclear)'!V11*Model!$AG$1129*AVERAGE('Assumptions (Nuclear)'!$Z$2:$AE$2)/10^9,0)</f>
        <v>0.03474083705</v>
      </c>
      <c r="AH1320" s="160">
        <f>IF($AG$1129&gt;0,'Assumptions (Nuclear)'!W11*Model!$AG$1129*AVERAGE('Assumptions (Nuclear)'!$Z$2:$AE$2)/10^9,0)</f>
        <v>0.0660075904</v>
      </c>
      <c r="AI1320" s="160">
        <f>IF($AG$1129&gt;0,'Assumptions (Nuclear)'!X11*Model!$AG$1129*AVERAGE('Assumptions (Nuclear)'!$Z$2:$AE$2)/10^9,0)</f>
        <v>0.05940683136</v>
      </c>
      <c r="AJ1320" s="160">
        <f>IF($AG$1129&gt;0,'Assumptions (Nuclear)'!Y11*Model!$AG$1129*AVERAGE('Assumptions (Nuclear)'!$Z$2:$AE$2)/10^9,0)</f>
        <v>0.05350088906</v>
      </c>
      <c r="AK1320" s="160">
        <f>IF($AG$1129&gt;0,'Assumptions (Nuclear)'!Z11*Model!$AG$1129*AVERAGE('Assumptions (Nuclear)'!$Z$2:$AE$2)/10^9,0)</f>
        <v>0.04815080016</v>
      </c>
      <c r="AL1320" s="160">
        <f>IF($AG$1129&gt;0,'Assumptions (Nuclear)'!AA11*Model!$AG$1129*AVERAGE('Assumptions (Nuclear)'!$Z$2:$AE$2)/10^9,0)</f>
        <v>0.04328708297</v>
      </c>
      <c r="AM1320" s="160">
        <f>IF($AG$1129&gt;0,'Assumptions (Nuclear)'!AB11*Model!$AG$1129*AVERAGE('Assumptions (Nuclear)'!$Z$2:$AE$2)/10^9,0)</f>
        <v>0.04099418772</v>
      </c>
      <c r="AN1320" s="160">
        <f>IF($AG$1129&gt;0,'Assumptions (Nuclear)'!AC11*Model!$AG$1129*AVERAGE('Assumptions (Nuclear)'!$Z$2:$AE$2)/10^9,0)</f>
        <v>0.04099418772</v>
      </c>
      <c r="AO1320" s="160">
        <f>IF($AG$1129&gt;0,'Assumptions (Nuclear)'!AD11*Model!$AG$1129*AVERAGE('Assumptions (Nuclear)'!$Z$2:$AE$2)/10^9,0)</f>
        <v>0.0410636694</v>
      </c>
      <c r="AP1320" s="160">
        <f>IF($AG$1129&gt;0,'Assumptions (Nuclear)'!AE11*Model!$AG$1129*AVERAGE('Assumptions (Nuclear)'!$Z$2:$AE$2)/10^9,0)</f>
        <v>0.04099418772</v>
      </c>
      <c r="AQ1320" s="160">
        <f>IF($AG$1129&gt;0,'Assumptions (Nuclear)'!AF11*Model!$AG$1129*AVERAGE('Assumptions (Nuclear)'!$Z$2:$AE$2)/10^9,0)</f>
        <v>0.0410636694</v>
      </c>
      <c r="AR1320" s="160">
        <f>IF($AG$1129&gt;0,'Assumptions (Nuclear)'!AG11*Model!$AG$1129*AVERAGE('Assumptions (Nuclear)'!$Z$2:$AE$2)/10^9,0)</f>
        <v>0.04099418772</v>
      </c>
      <c r="AS1320" s="160">
        <f>IF($AG$1129&gt;0,'Assumptions (Nuclear)'!AH11*Model!$AG$1129*AVERAGE('Assumptions (Nuclear)'!$Z$2:$AE$2)/10^9,0)</f>
        <v>0.0410636694</v>
      </c>
      <c r="AT1320" s="160">
        <f>IF($AG$1129&gt;0,'Assumptions (Nuclear)'!AI11*Model!$AG$1129*AVERAGE('Assumptions (Nuclear)'!$Z$2:$AE$2)/10^9,0)</f>
        <v>0.04099418772</v>
      </c>
      <c r="AU1320" s="160">
        <f>IF($AG$1129&gt;0,'Assumptions (Nuclear)'!AJ11*Model!$AG$1129*AVERAGE('Assumptions (Nuclear)'!$Z$2:$AE$2)/10^9,0)</f>
        <v>0.0410636694</v>
      </c>
      <c r="AV1320" s="160">
        <f>IF($AG$1129&gt;0,'Assumptions (Nuclear)'!AK11*Model!$AG$1129*AVERAGE('Assumptions (Nuclear)'!$Z$2:$AE$2)/10^9,0)</f>
        <v>0.02049709386</v>
      </c>
      <c r="AW1320" s="160"/>
      <c r="AX1320" s="160"/>
      <c r="AY1320" s="160"/>
      <c r="AZ1320" s="160"/>
      <c r="BA1320" s="160"/>
      <c r="BB1320" s="160"/>
      <c r="BC1320" s="160"/>
      <c r="BD1320" s="160"/>
      <c r="BE1320" s="160"/>
    </row>
    <row r="1321" ht="15.75" hidden="1" customHeight="1" outlineLevel="1">
      <c r="A1321" s="262"/>
      <c r="B1321" s="38"/>
      <c r="C1321" s="174"/>
      <c r="D1321" s="174"/>
      <c r="E1321" s="174"/>
      <c r="F1321" s="174"/>
      <c r="G1321" s="174"/>
      <c r="H1321" s="174"/>
      <c r="I1321" s="174"/>
      <c r="J1321" s="174"/>
      <c r="K1321" s="174"/>
      <c r="L1321" s="174"/>
      <c r="M1321" s="174"/>
      <c r="N1321" s="174"/>
      <c r="O1321" s="174"/>
      <c r="P1321" s="174"/>
      <c r="Q1321" s="174"/>
      <c r="R1321" s="174"/>
      <c r="S1321" s="174"/>
      <c r="T1321" s="174"/>
      <c r="U1321" s="174"/>
      <c r="V1321" s="174"/>
      <c r="W1321" s="160"/>
      <c r="X1321" s="160"/>
      <c r="Y1321" s="160"/>
      <c r="Z1321" s="160"/>
      <c r="AA1321" s="160"/>
      <c r="AB1321" s="160"/>
      <c r="AC1321" s="160"/>
      <c r="AD1321" s="160"/>
      <c r="AE1321" s="160"/>
      <c r="AF1321" s="160"/>
      <c r="AG1321" s="160"/>
      <c r="AH1321" s="160">
        <f>IF($AH$1129&gt;0,'Assumptions (Nuclear)'!V11*Model!$AH$1129*AVERAGE('Assumptions (Nuclear)'!$AA$2:$AF$2)/10^9,0)</f>
        <v>0.0352136393</v>
      </c>
      <c r="AI1321" s="160">
        <f>IF($AH$1129&gt;0,'Assumptions (Nuclear)'!W11*Model!$AH$1129*AVERAGE('Assumptions (Nuclear)'!$AA$2:$AF$2)/10^9,0)</f>
        <v>0.06690591468</v>
      </c>
      <c r="AJ1321" s="160">
        <f>IF($AH$1129&gt;0,'Assumptions (Nuclear)'!X11*Model!$AH$1129*AVERAGE('Assumptions (Nuclear)'!$AA$2:$AF$2)/10^9,0)</f>
        <v>0.06021532321</v>
      </c>
      <c r="AK1321" s="160">
        <f>IF($AH$1129&gt;0,'Assumptions (Nuclear)'!Y11*Model!$AH$1129*AVERAGE('Assumptions (Nuclear)'!$AA$2:$AF$2)/10^9,0)</f>
        <v>0.05422900453</v>
      </c>
      <c r="AL1321" s="160">
        <f>IF($AH$1129&gt;0,'Assumptions (Nuclear)'!Z11*Model!$AH$1129*AVERAGE('Assumptions (Nuclear)'!$AA$2:$AF$2)/10^9,0)</f>
        <v>0.04880610408</v>
      </c>
      <c r="AM1321" s="160">
        <f>IF($AH$1129&gt;0,'Assumptions (Nuclear)'!AA11*Model!$AH$1129*AVERAGE('Assumptions (Nuclear)'!$AA$2:$AF$2)/10^9,0)</f>
        <v>0.04387619457</v>
      </c>
      <c r="AN1321" s="160">
        <f>IF($AH$1129&gt;0,'Assumptions (Nuclear)'!AB11*Model!$AH$1129*AVERAGE('Assumptions (Nuclear)'!$AA$2:$AF$2)/10^9,0)</f>
        <v>0.04155209438</v>
      </c>
      <c r="AO1321" s="160">
        <f>IF($AH$1129&gt;0,'Assumptions (Nuclear)'!AC11*Model!$AH$1129*AVERAGE('Assumptions (Nuclear)'!$AA$2:$AF$2)/10^9,0)</f>
        <v>0.04155209438</v>
      </c>
      <c r="AP1321" s="160">
        <f>IF($AH$1129&gt;0,'Assumptions (Nuclear)'!AD11*Model!$AH$1129*AVERAGE('Assumptions (Nuclear)'!$AA$2:$AF$2)/10^9,0)</f>
        <v>0.04162252166</v>
      </c>
      <c r="AQ1321" s="160">
        <f>IF($AH$1129&gt;0,'Assumptions (Nuclear)'!AE11*Model!$AH$1129*AVERAGE('Assumptions (Nuclear)'!$AA$2:$AF$2)/10^9,0)</f>
        <v>0.04155209438</v>
      </c>
      <c r="AR1321" s="160">
        <f>IF($AH$1129&gt;0,'Assumptions (Nuclear)'!AF11*Model!$AH$1129*AVERAGE('Assumptions (Nuclear)'!$AA$2:$AF$2)/10^9,0)</f>
        <v>0.04162252166</v>
      </c>
      <c r="AS1321" s="160">
        <f>IF($AH$1129&gt;0,'Assumptions (Nuclear)'!AG11*Model!$AH$1129*AVERAGE('Assumptions (Nuclear)'!$AA$2:$AF$2)/10^9,0)</f>
        <v>0.04155209438</v>
      </c>
      <c r="AT1321" s="160">
        <f>IF($AH$1129&gt;0,'Assumptions (Nuclear)'!AH11*Model!$AH$1129*AVERAGE('Assumptions (Nuclear)'!$AA$2:$AF$2)/10^9,0)</f>
        <v>0.04162252166</v>
      </c>
      <c r="AU1321" s="160">
        <f>IF($AH$1129&gt;0,'Assumptions (Nuclear)'!AI11*Model!$AH$1129*AVERAGE('Assumptions (Nuclear)'!$AA$2:$AF$2)/10^9,0)</f>
        <v>0.04155209438</v>
      </c>
      <c r="AV1321" s="160">
        <f>IF($AH$1129&gt;0,'Assumptions (Nuclear)'!AJ11*Model!$AH$1129*AVERAGE('Assumptions (Nuclear)'!$AA$2:$AF$2)/10^9,0)</f>
        <v>0.04162252166</v>
      </c>
      <c r="AW1321" s="160">
        <f>IF($AH$1129&gt;0,'Assumptions (Nuclear)'!AK11*Model!$AH$1129*AVERAGE('Assumptions (Nuclear)'!$AA$2:$AF$2)/10^9,0)</f>
        <v>0.02077604719</v>
      </c>
      <c r="AX1321" s="160"/>
      <c r="AY1321" s="160"/>
      <c r="AZ1321" s="160"/>
      <c r="BA1321" s="160"/>
      <c r="BB1321" s="160"/>
      <c r="BC1321" s="160"/>
      <c r="BD1321" s="160"/>
      <c r="BE1321" s="160"/>
      <c r="BF1321" s="160"/>
    </row>
    <row r="1322" ht="15.75" hidden="1" customHeight="1" outlineLevel="1">
      <c r="A1322" s="262"/>
      <c r="B1322" s="38"/>
      <c r="C1322" s="174"/>
      <c r="D1322" s="174"/>
      <c r="E1322" s="174"/>
      <c r="F1322" s="174"/>
      <c r="G1322" s="174"/>
      <c r="H1322" s="174"/>
      <c r="I1322" s="174"/>
      <c r="J1322" s="174"/>
      <c r="K1322" s="174"/>
      <c r="L1322" s="174"/>
      <c r="M1322" s="174"/>
      <c r="N1322" s="174"/>
      <c r="O1322" s="174"/>
      <c r="P1322" s="174"/>
      <c r="Q1322" s="174"/>
      <c r="R1322" s="174"/>
      <c r="S1322" s="174"/>
      <c r="T1322" s="174"/>
      <c r="U1322" s="174"/>
      <c r="V1322" s="174"/>
      <c r="W1322" s="160"/>
      <c r="X1322" s="160"/>
      <c r="Y1322" s="160"/>
      <c r="Z1322" s="160"/>
      <c r="AA1322" s="160"/>
      <c r="AB1322" s="160"/>
      <c r="AC1322" s="160"/>
      <c r="AD1322" s="160"/>
      <c r="AE1322" s="160"/>
      <c r="AF1322" s="160"/>
      <c r="AG1322" s="160"/>
      <c r="AH1322" s="160"/>
      <c r="AI1322" s="160">
        <f>IF($AI$1129&gt;0,'Assumptions (Nuclear)'!V11*Model!$AI$1129*AVERAGE('Assumptions (Nuclear)'!$AB$2:$AG$2)/10^9,0)</f>
        <v>0.03568459114</v>
      </c>
      <c r="AJ1322" s="160">
        <f>IF($AI$1129&gt;0,'Assumptions (Nuclear)'!W11*Model!$AI$1129*AVERAGE('Assumptions (Nuclear)'!$AB$2:$AG$2)/10^9,0)</f>
        <v>0.06780072316</v>
      </c>
      <c r="AK1322" s="160">
        <f>IF($AI$1129&gt;0,'Assumptions (Nuclear)'!X11*Model!$AI$1129*AVERAGE('Assumptions (Nuclear)'!$AB$2:$AG$2)/10^9,0)</f>
        <v>0.06102065085</v>
      </c>
      <c r="AL1322" s="160">
        <f>IF($AI$1129&gt;0,'Assumptions (Nuclear)'!Y11*Model!$AI$1129*AVERAGE('Assumptions (Nuclear)'!$AB$2:$AG$2)/10^9,0)</f>
        <v>0.05495427035</v>
      </c>
      <c r="AM1322" s="160">
        <f>IF($AI$1129&gt;0,'Assumptions (Nuclear)'!Z11*Model!$AI$1129*AVERAGE('Assumptions (Nuclear)'!$AB$2:$AG$2)/10^9,0)</f>
        <v>0.04945884332</v>
      </c>
      <c r="AN1322" s="160">
        <f>IF($AI$1129&gt;0,'Assumptions (Nuclear)'!AA11*Model!$AI$1129*AVERAGE('Assumptions (Nuclear)'!$AB$2:$AG$2)/10^9,0)</f>
        <v>0.04446300056</v>
      </c>
      <c r="AO1322" s="160">
        <f>IF($AI$1129&gt;0,'Assumptions (Nuclear)'!AB11*Model!$AI$1129*AVERAGE('Assumptions (Nuclear)'!$AB$2:$AG$2)/10^9,0)</f>
        <v>0.04210781754</v>
      </c>
      <c r="AP1322" s="160">
        <f>IF($AI$1129&gt;0,'Assumptions (Nuclear)'!AC11*Model!$AI$1129*AVERAGE('Assumptions (Nuclear)'!$AB$2:$AG$2)/10^9,0)</f>
        <v>0.04210781754</v>
      </c>
      <c r="AQ1322" s="160">
        <f>IF($AI$1129&gt;0,'Assumptions (Nuclear)'!AD11*Model!$AI$1129*AVERAGE('Assumptions (Nuclear)'!$AB$2:$AG$2)/10^9,0)</f>
        <v>0.04217918673</v>
      </c>
      <c r="AR1322" s="160">
        <f>IF($AI$1129&gt;0,'Assumptions (Nuclear)'!AE11*Model!$AI$1129*AVERAGE('Assumptions (Nuclear)'!$AB$2:$AG$2)/10^9,0)</f>
        <v>0.04210781754</v>
      </c>
      <c r="AS1322" s="160">
        <f>IF($AI$1129&gt;0,'Assumptions (Nuclear)'!AF11*Model!$AI$1129*AVERAGE('Assumptions (Nuclear)'!$AB$2:$AG$2)/10^9,0)</f>
        <v>0.04217918673</v>
      </c>
      <c r="AT1322" s="160">
        <f>IF($AI$1129&gt;0,'Assumptions (Nuclear)'!AG11*Model!$AI$1129*AVERAGE('Assumptions (Nuclear)'!$AB$2:$AG$2)/10^9,0)</f>
        <v>0.04210781754</v>
      </c>
      <c r="AU1322" s="160">
        <f>IF($AI$1129&gt;0,'Assumptions (Nuclear)'!AH11*Model!$AI$1129*AVERAGE('Assumptions (Nuclear)'!$AB$2:$AG$2)/10^9,0)</f>
        <v>0.04217918673</v>
      </c>
      <c r="AV1322" s="160">
        <f>IF($AI$1129&gt;0,'Assumptions (Nuclear)'!AI11*Model!$AI$1129*AVERAGE('Assumptions (Nuclear)'!$AB$2:$AG$2)/10^9,0)</f>
        <v>0.04210781754</v>
      </c>
      <c r="AW1322" s="160">
        <f>IF($AI$1129&gt;0,'Assumptions (Nuclear)'!AJ11*Model!$AI$1129*AVERAGE('Assumptions (Nuclear)'!$AB$2:$AG$2)/10^9,0)</f>
        <v>0.04217918673</v>
      </c>
      <c r="AX1322" s="160">
        <f>IF($AI$1129&gt;0,'Assumptions (Nuclear)'!AK11*Model!$AI$1129*AVERAGE('Assumptions (Nuclear)'!$AB$2:$AG$2)/10^9,0)</f>
        <v>0.02105390877</v>
      </c>
      <c r="AY1322" s="160"/>
      <c r="AZ1322" s="160"/>
      <c r="BA1322" s="160"/>
      <c r="BB1322" s="160"/>
      <c r="BC1322" s="160"/>
      <c r="BD1322" s="160"/>
      <c r="BE1322" s="160"/>
      <c r="BF1322" s="160"/>
      <c r="BG1322" s="160"/>
    </row>
    <row r="1323" ht="15.75" hidden="1" customHeight="1" outlineLevel="1">
      <c r="A1323" s="262"/>
      <c r="B1323" s="38"/>
      <c r="C1323" s="174"/>
      <c r="D1323" s="174"/>
      <c r="E1323" s="174"/>
      <c r="F1323" s="174"/>
      <c r="G1323" s="174"/>
      <c r="H1323" s="174"/>
      <c r="I1323" s="174"/>
      <c r="J1323" s="174"/>
      <c r="K1323" s="174"/>
      <c r="L1323" s="174"/>
      <c r="M1323" s="174"/>
      <c r="N1323" s="174"/>
      <c r="O1323" s="174"/>
      <c r="P1323" s="174"/>
      <c r="Q1323" s="174"/>
      <c r="R1323" s="174"/>
      <c r="S1323" s="174"/>
      <c r="T1323" s="174"/>
      <c r="U1323" s="174"/>
      <c r="V1323" s="174"/>
      <c r="W1323" s="160"/>
      <c r="X1323" s="160"/>
      <c r="Y1323" s="160"/>
      <c r="Z1323" s="160"/>
      <c r="AA1323" s="160"/>
      <c r="AB1323" s="177"/>
      <c r="AC1323" s="160"/>
      <c r="AD1323" s="160"/>
      <c r="AE1323" s="160"/>
      <c r="AF1323" s="160"/>
      <c r="AG1323" s="160"/>
      <c r="AH1323" s="160"/>
      <c r="AI1323" s="160"/>
      <c r="AJ1323" s="177">
        <f>IF($AJ$1129&gt;0,'Assumptions (Nuclear)'!V11*Model!$AJ$1129*AVERAGE('Assumptions (Nuclear)'!$AC$2:$AH$2)/10^9,0)</f>
        <v>0.3600438052</v>
      </c>
      <c r="AK1323" s="160">
        <f>IF($AJ$1129&gt;0,'Assumptions (Nuclear)'!W11*Model!$AJ$1129*AVERAGE('Assumptions (Nuclear)'!$AC$2:$AH$2)/10^9,0)</f>
        <v>0.6840832299</v>
      </c>
      <c r="AL1323" s="177">
        <f>IF($AJ$1129&gt;0,'Assumptions (Nuclear)'!X11*Model!$AJ$1129*AVERAGE('Assumptions (Nuclear)'!$AC$2:$AH$2)/10^9,0)</f>
        <v>0.6156749069</v>
      </c>
      <c r="AM1323" s="177">
        <f>IF($AJ$1129&gt;0,'Assumptions (Nuclear)'!Y11*Model!$AJ$1129*AVERAGE('Assumptions (Nuclear)'!$AC$2:$AH$2)/10^9,0)</f>
        <v>0.5544674601</v>
      </c>
      <c r="AN1323" s="177">
        <f>IF($AJ$1129&gt;0,'Assumptions (Nuclear)'!Z11*Model!$AJ$1129*AVERAGE('Assumptions (Nuclear)'!$AC$2:$AH$2)/10^9,0)</f>
        <v>0.499020714</v>
      </c>
      <c r="AO1323" s="177">
        <f>IF($AJ$1129&gt;0,'Assumptions (Nuclear)'!AA11*Model!$AJ$1129*AVERAGE('Assumptions (Nuclear)'!$AC$2:$AH$2)/10^9,0)</f>
        <v>0.4486145813</v>
      </c>
      <c r="AP1323" s="177">
        <f>IF($AJ$1129&gt;0,'Assumptions (Nuclear)'!AB11*Model!$AJ$1129*AVERAGE('Assumptions (Nuclear)'!$AC$2:$AH$2)/10^9,0)</f>
        <v>0.4248516902</v>
      </c>
      <c r="AQ1323" s="177">
        <f>IF($AJ$1129&gt;0,'Assumptions (Nuclear)'!AC11*Model!$AJ$1129*AVERAGE('Assumptions (Nuclear)'!$AC$2:$AH$2)/10^9,0)</f>
        <v>0.4248516902</v>
      </c>
      <c r="AR1323" s="177">
        <f>IF($AJ$1129&gt;0,'Assumptions (Nuclear)'!AD11*Model!$AJ$1129*AVERAGE('Assumptions (Nuclear)'!$AC$2:$AH$2)/10^9,0)</f>
        <v>0.4255717778</v>
      </c>
      <c r="AS1323" s="177">
        <f>IF($AJ$1129&gt;0,'Assumptions (Nuclear)'!AE11*Model!$AJ$1129*AVERAGE('Assumptions (Nuclear)'!$AC$2:$AH$2)/10^9,0)</f>
        <v>0.4248516902</v>
      </c>
      <c r="AT1323" s="177">
        <f>IF($AJ$1129&gt;0,'Assumptions (Nuclear)'!AF11*Model!$AJ$1129*AVERAGE('Assumptions (Nuclear)'!$AC$2:$AH$2)/10^9,0)</f>
        <v>0.4255717778</v>
      </c>
      <c r="AU1323" s="177">
        <f>IF($AJ$1129&gt;0,'Assumptions (Nuclear)'!AG11*Model!$AJ$1129*AVERAGE('Assumptions (Nuclear)'!$AC$2:$AH$2)/10^9,0)</f>
        <v>0.4248516902</v>
      </c>
      <c r="AV1323" s="177">
        <f>IF($AJ$1129&gt;0,'Assumptions (Nuclear)'!AH11*Model!$AJ$1129*AVERAGE('Assumptions (Nuclear)'!$AC$2:$AH$2)/10^9,0)</f>
        <v>0.4255717778</v>
      </c>
      <c r="AW1323" s="177">
        <f>IF($AJ$1129&gt;0,'Assumptions (Nuclear)'!AI11*Model!$AJ$1129*AVERAGE('Assumptions (Nuclear)'!$AC$2:$AH$2)/10^9,0)</f>
        <v>0.4248516902</v>
      </c>
      <c r="AX1323" s="177">
        <f>IF($AJ$1129&gt;0,'Assumptions (Nuclear)'!AJ11*Model!$AJ$1129*AVERAGE('Assumptions (Nuclear)'!$AC$2:$AH$2)/10^9,0)</f>
        <v>0.4255717778</v>
      </c>
      <c r="AY1323" s="177">
        <f>IF($AJ$1129&gt;0,'Assumptions (Nuclear)'!AK11*Model!$AJ$1129*AVERAGE('Assumptions (Nuclear)'!$AC$2:$AH$2)/10^9,0)</f>
        <v>0.2124258451</v>
      </c>
      <c r="AZ1323" s="177"/>
      <c r="BA1323" s="177"/>
      <c r="BB1323" s="177"/>
      <c r="BC1323" s="177"/>
      <c r="BD1323" s="177"/>
      <c r="BE1323" s="177"/>
      <c r="BF1323" s="177"/>
      <c r="BG1323" s="177"/>
      <c r="BH1323" s="177"/>
    </row>
    <row r="1324" ht="15.75" hidden="1" customHeight="1" outlineLevel="1">
      <c r="A1324" s="262"/>
      <c r="B1324" s="38"/>
      <c r="C1324" s="174"/>
      <c r="D1324" s="174"/>
      <c r="E1324" s="174"/>
      <c r="F1324" s="174"/>
      <c r="G1324" s="174"/>
      <c r="H1324" s="174"/>
      <c r="I1324" s="174"/>
      <c r="J1324" s="174"/>
      <c r="K1324" s="174"/>
      <c r="L1324" s="174"/>
      <c r="M1324" s="174"/>
      <c r="N1324" s="174"/>
      <c r="O1324" s="174"/>
      <c r="P1324" s="174"/>
      <c r="Q1324" s="174"/>
      <c r="R1324" s="174"/>
      <c r="S1324" s="174"/>
      <c r="T1324" s="174"/>
      <c r="U1324" s="174"/>
      <c r="V1324" s="174"/>
      <c r="W1324" s="160"/>
      <c r="X1324" s="160"/>
      <c r="Y1324" s="160"/>
      <c r="Z1324" s="160"/>
      <c r="AA1324" s="160"/>
      <c r="AB1324" s="160"/>
      <c r="AC1324" s="160"/>
      <c r="AD1324" s="160"/>
      <c r="AE1324" s="160"/>
      <c r="AF1324" s="160"/>
      <c r="AG1324" s="160"/>
      <c r="AH1324" s="160"/>
      <c r="AI1324" s="160"/>
      <c r="AJ1324" s="179"/>
      <c r="AK1324" s="160">
        <f>IF($AK$1129&gt;0,'Assumptions (Nuclear)'!V11*Model!$AK$1129*AVERAGE('Assumptions (Nuclear)'!$AD$2:$AI$2)/10^9,0)</f>
        <v>0.03661763367</v>
      </c>
      <c r="AL1324" s="177">
        <f>IF($AK$1129&gt;0,'Assumptions (Nuclear)'!W11*Model!$AK$1129*AVERAGE('Assumptions (Nuclear)'!$AD$2:$AI$2)/10^9,0)</f>
        <v>0.06957350397</v>
      </c>
      <c r="AM1324" s="177">
        <f>IF($AK$1129&gt;0,'Assumptions (Nuclear)'!X11*Model!$AK$1129*AVERAGE('Assumptions (Nuclear)'!$AD$2:$AI$2)/10^9,0)</f>
        <v>0.06261615357</v>
      </c>
      <c r="AN1324" s="177">
        <f>IF($AK$1129&gt;0,'Assumptions (Nuclear)'!Y11*Model!$AK$1129*AVERAGE('Assumptions (Nuclear)'!$AD$2:$AI$2)/10^9,0)</f>
        <v>0.05639115585</v>
      </c>
      <c r="AO1324" s="177">
        <f>IF($AK$1129&gt;0,'Assumptions (Nuclear)'!Z11*Model!$AK$1129*AVERAGE('Assumptions (Nuclear)'!$AD$2:$AI$2)/10^9,0)</f>
        <v>0.05075204027</v>
      </c>
      <c r="AP1324" s="177">
        <f>IF($AK$1129&gt;0,'Assumptions (Nuclear)'!AA11*Model!$AK$1129*AVERAGE('Assumptions (Nuclear)'!$AD$2:$AI$2)/10^9,0)</f>
        <v>0.04562557155</v>
      </c>
      <c r="AQ1324" s="177">
        <f>IF($AK$1129&gt;0,'Assumptions (Nuclear)'!AB11*Model!$AK$1129*AVERAGE('Assumptions (Nuclear)'!$AD$2:$AI$2)/10^9,0)</f>
        <v>0.04320880773</v>
      </c>
      <c r="AR1324" s="177">
        <f>IF($AK$1129&gt;0,'Assumptions (Nuclear)'!AC11*Model!$AK$1129*AVERAGE('Assumptions (Nuclear)'!$AD$2:$AI$2)/10^9,0)</f>
        <v>0.04320880773</v>
      </c>
      <c r="AS1324" s="177">
        <f>IF($AK$1129&gt;0,'Assumptions (Nuclear)'!AD11*Model!$AK$1129*AVERAGE('Assumptions (Nuclear)'!$AD$2:$AI$2)/10^9,0)</f>
        <v>0.043282043</v>
      </c>
      <c r="AT1324" s="177">
        <f>IF($AK$1129&gt;0,'Assumptions (Nuclear)'!AE11*Model!$AK$1129*AVERAGE('Assumptions (Nuclear)'!$AD$2:$AI$2)/10^9,0)</f>
        <v>0.04320880773</v>
      </c>
      <c r="AU1324" s="177">
        <f>IF($AK$1129&gt;0,'Assumptions (Nuclear)'!AF11*Model!$AK$1129*AVERAGE('Assumptions (Nuclear)'!$AD$2:$AI$2)/10^9,0)</f>
        <v>0.043282043</v>
      </c>
      <c r="AV1324" s="177">
        <f>IF($AK$1129&gt;0,'Assumptions (Nuclear)'!AG11*Model!$AK$1129*AVERAGE('Assumptions (Nuclear)'!$AD$2:$AI$2)/10^9,0)</f>
        <v>0.04320880773</v>
      </c>
      <c r="AW1324" s="177">
        <f>IF($AK$1129&gt;0,'Assumptions (Nuclear)'!AH11*Model!$AK$1129*AVERAGE('Assumptions (Nuclear)'!$AD$2:$AI$2)/10^9,0)</f>
        <v>0.043282043</v>
      </c>
      <c r="AX1324" s="177">
        <f>IF($AK$1129&gt;0,'Assumptions (Nuclear)'!AI11*Model!$AK$1129*AVERAGE('Assumptions (Nuclear)'!$AD$2:$AI$2)/10^9,0)</f>
        <v>0.04320880773</v>
      </c>
      <c r="AY1324" s="177">
        <f>IF($AK$1129&gt;0,'Assumptions (Nuclear)'!AJ11*Model!$AK$1129*AVERAGE('Assumptions (Nuclear)'!$AD$2:$AI$2)/10^9,0)</f>
        <v>0.043282043</v>
      </c>
      <c r="AZ1324" s="177">
        <f>IF($AK$1129&gt;0,'Assumptions (Nuclear)'!AK11*Model!$AK$1129*AVERAGE('Assumptions (Nuclear)'!$AD$2:$AI$2)/10^9,0)</f>
        <v>0.02160440386</v>
      </c>
      <c r="BA1324" s="177"/>
      <c r="BB1324" s="177"/>
      <c r="BC1324" s="177"/>
      <c r="BD1324" s="177"/>
      <c r="BE1324" s="177"/>
      <c r="BF1324" s="177"/>
      <c r="BG1324" s="177"/>
      <c r="BH1324" s="177"/>
      <c r="BI1324" s="177"/>
    </row>
    <row r="1325" ht="15.75" hidden="1" customHeight="1" outlineLevel="1">
      <c r="A1325" s="262"/>
      <c r="B1325" s="38"/>
      <c r="C1325" s="174"/>
      <c r="D1325" s="174"/>
      <c r="E1325" s="174"/>
      <c r="F1325" s="174"/>
      <c r="G1325" s="174"/>
      <c r="H1325" s="174"/>
      <c r="I1325" s="174"/>
      <c r="J1325" s="174"/>
      <c r="K1325" s="174"/>
      <c r="L1325" s="174"/>
      <c r="M1325" s="174"/>
      <c r="N1325" s="174"/>
      <c r="O1325" s="174"/>
      <c r="P1325" s="174"/>
      <c r="Q1325" s="174"/>
      <c r="R1325" s="174"/>
      <c r="S1325" s="174"/>
      <c r="T1325" s="174"/>
      <c r="U1325" s="174"/>
      <c r="V1325" s="174"/>
      <c r="W1325" s="160"/>
      <c r="X1325" s="160"/>
      <c r="Y1325" s="160"/>
      <c r="Z1325" s="160"/>
      <c r="AA1325" s="160"/>
      <c r="AB1325" s="160"/>
      <c r="AC1325" s="160"/>
      <c r="AD1325" s="160"/>
      <c r="AE1325" s="160"/>
      <c r="AF1325" s="160"/>
      <c r="AG1325" s="160"/>
      <c r="AH1325" s="160"/>
      <c r="AI1325" s="160"/>
      <c r="AJ1325" s="179"/>
      <c r="AK1325" s="160"/>
      <c r="AL1325" s="177">
        <f>IF($AL$1129&gt;0,'Assumptions (Nuclear)'!V11*Model!$AL$1129*AVERAGE('Assumptions (Nuclear)'!$AE$2:$AJ$2)/10^9,0)</f>
        <v>0.4203926062</v>
      </c>
      <c r="AM1325" s="177">
        <f>IF($AL$1129&gt;0,'Assumptions (Nuclear)'!W11*Model!$AL$1129*AVERAGE('Assumptions (Nuclear)'!$AE$2:$AJ$2)/10^9,0)</f>
        <v>0.7987459518</v>
      </c>
      <c r="AN1325" s="177">
        <f>IF($AL$1129&gt;0,'Assumptions (Nuclear)'!X11*Model!$AL$1129*AVERAGE('Assumptions (Nuclear)'!$AE$2:$AJ$2)/10^9,0)</f>
        <v>0.7188713566</v>
      </c>
      <c r="AO1325" s="177">
        <f>IF($AL$1129&gt;0,'Assumptions (Nuclear)'!Y11*Model!$AL$1129*AVERAGE('Assumptions (Nuclear)'!$AE$2:$AJ$2)/10^9,0)</f>
        <v>0.6474046136</v>
      </c>
      <c r="AP1325" s="177">
        <f>IF($AL$1129&gt;0,'Assumptions (Nuclear)'!Z11*Model!$AL$1129*AVERAGE('Assumptions (Nuclear)'!$AE$2:$AJ$2)/10^9,0)</f>
        <v>0.5826641522</v>
      </c>
      <c r="AQ1325" s="177">
        <f>IF($AL$1129&gt;0,'Assumptions (Nuclear)'!AA11*Model!$AL$1129*AVERAGE('Assumptions (Nuclear)'!$AE$2:$AJ$2)/10^9,0)</f>
        <v>0.5238091874</v>
      </c>
      <c r="AR1325" s="177">
        <f>IF($AL$1129&gt;0,'Assumptions (Nuclear)'!AB11*Model!$AL$1129*AVERAGE('Assumptions (Nuclear)'!$AE$2:$AJ$2)/10^9,0)</f>
        <v>0.4960632753</v>
      </c>
      <c r="AS1325" s="177">
        <f>IF($AL$1129&gt;0,'Assumptions (Nuclear)'!AC11*Model!$AL$1129*AVERAGE('Assumptions (Nuclear)'!$AE$2:$AJ$2)/10^9,0)</f>
        <v>0.4960632753</v>
      </c>
      <c r="AT1325" s="177">
        <f>IF($AL$1129&gt;0,'Assumptions (Nuclear)'!AD11*Model!$AL$1129*AVERAGE('Assumptions (Nuclear)'!$AE$2:$AJ$2)/10^9,0)</f>
        <v>0.4969040606</v>
      </c>
      <c r="AU1325" s="177">
        <f>IF($AL$1129&gt;0,'Assumptions (Nuclear)'!AE11*Model!$AL$1129*AVERAGE('Assumptions (Nuclear)'!$AE$2:$AJ$2)/10^9,0)</f>
        <v>0.4960632753</v>
      </c>
      <c r="AV1325" s="177">
        <f>IF($AL$1129&gt;0,'Assumptions (Nuclear)'!AF11*Model!$AL$1129*AVERAGE('Assumptions (Nuclear)'!$AE$2:$AJ$2)/10^9,0)</f>
        <v>0.4969040606</v>
      </c>
      <c r="AW1325" s="177">
        <f>IF($AL$1129&gt;0,'Assumptions (Nuclear)'!AG11*Model!$AL$1129*AVERAGE('Assumptions (Nuclear)'!$AE$2:$AJ$2)/10^9,0)</f>
        <v>0.4960632753</v>
      </c>
      <c r="AX1325" s="177">
        <f>IF($AL$1129&gt;0,'Assumptions (Nuclear)'!AH11*Model!$AL$1129*AVERAGE('Assumptions (Nuclear)'!$AE$2:$AJ$2)/10^9,0)</f>
        <v>0.4969040606</v>
      </c>
      <c r="AY1325" s="177">
        <f>IF($AL$1129&gt;0,'Assumptions (Nuclear)'!AI11*Model!$AL$1129*AVERAGE('Assumptions (Nuclear)'!$AE$2:$AJ$2)/10^9,0)</f>
        <v>0.4960632753</v>
      </c>
      <c r="AZ1325" s="177">
        <f>IF($AL$1129&gt;0,'Assumptions (Nuclear)'!AJ11*Model!$AL$1129*AVERAGE('Assumptions (Nuclear)'!$AE$2:$AJ$2)/10^9,0)</f>
        <v>0.4969040606</v>
      </c>
      <c r="BA1325" s="177">
        <f>IF($AL$1129&gt;0,'Assumptions (Nuclear)'!AK11*Model!$AL$1129*AVERAGE('Assumptions (Nuclear)'!$AE$2:$AJ$2)/10^9,0)</f>
        <v>0.2480316377</v>
      </c>
      <c r="BB1325" s="177"/>
      <c r="BC1325" s="177"/>
      <c r="BD1325" s="177"/>
      <c r="BE1325" s="177"/>
      <c r="BF1325" s="177"/>
      <c r="BG1325" s="177"/>
      <c r="BH1325" s="177"/>
      <c r="BI1325" s="177"/>
      <c r="BJ1325" s="177"/>
    </row>
    <row r="1326" ht="15.75" hidden="1" customHeight="1" outlineLevel="1">
      <c r="A1326" s="262"/>
      <c r="B1326" s="38"/>
      <c r="C1326" s="174"/>
      <c r="D1326" s="174"/>
      <c r="E1326" s="174"/>
      <c r="F1326" s="174"/>
      <c r="G1326" s="174"/>
      <c r="H1326" s="174"/>
      <c r="I1326" s="174"/>
      <c r="J1326" s="174"/>
      <c r="K1326" s="174"/>
      <c r="L1326" s="174"/>
      <c r="M1326" s="174"/>
      <c r="N1326" s="174"/>
      <c r="O1326" s="174"/>
      <c r="P1326" s="174"/>
      <c r="Q1326" s="174"/>
      <c r="R1326" s="174"/>
      <c r="S1326" s="174"/>
      <c r="T1326" s="174"/>
      <c r="U1326" s="174"/>
      <c r="V1326" s="174"/>
      <c r="W1326" s="160"/>
      <c r="X1326" s="160"/>
      <c r="Y1326" s="160"/>
      <c r="Z1326" s="160"/>
      <c r="AA1326" s="160"/>
      <c r="AB1326" s="160"/>
      <c r="AC1326" s="160"/>
      <c r="AD1326" s="160"/>
      <c r="AE1326" s="160"/>
      <c r="AF1326" s="160"/>
      <c r="AG1326" s="160"/>
      <c r="AH1326" s="160"/>
      <c r="AI1326" s="160"/>
      <c r="AJ1326" s="179"/>
      <c r="AK1326" s="160"/>
      <c r="AL1326" s="177"/>
      <c r="AM1326" s="160">
        <f>IF($AM$1129&gt;0,'Assumptions (Nuclear)'!V11*Model!$AM$1129*AVERAGE('Assumptions (Nuclear)'!$AF$2:$AK$2)/10^9,0)</f>
        <v>1.321048405</v>
      </c>
      <c r="AN1326" s="160">
        <f>IF($AM$1129&gt;0,'Assumptions (Nuclear)'!W11*Model!$AM$1129*AVERAGE('Assumptions (Nuclear)'!$AF$2:$AK$2)/10^9,0)</f>
        <v>2.509991969</v>
      </c>
      <c r="AO1326" s="160">
        <f>IF($AM$1129&gt;0,'Assumptions (Nuclear)'!X11*Model!$AM$1129*AVERAGE('Assumptions (Nuclear)'!$AF$2:$AK$2)/10^9,0)</f>
        <v>2.258992772</v>
      </c>
      <c r="AP1326" s="160">
        <f>IF($AM$1129&gt;0,'Assumptions (Nuclear)'!Y11*Model!$AM$1129*AVERAGE('Assumptions (Nuclear)'!$AF$2:$AK$2)/10^9,0)</f>
        <v>2.034414544</v>
      </c>
      <c r="AQ1326" s="160">
        <f>IF($AM$1129&gt;0,'Assumptions (Nuclear)'!Z11*Model!$AM$1129*AVERAGE('Assumptions (Nuclear)'!$AF$2:$AK$2)/10^9,0)</f>
        <v>1.830973089</v>
      </c>
      <c r="AR1326" s="160">
        <f>IF($AM$1129&gt;0,'Assumptions (Nuclear)'!AA11*Model!$AM$1129*AVERAGE('Assumptions (Nuclear)'!$AF$2:$AK$2)/10^9,0)</f>
        <v>1.646026313</v>
      </c>
      <c r="AS1326" s="160">
        <f>IF($AM$1129&gt;0,'Assumptions (Nuclear)'!AB11*Model!$AM$1129*AVERAGE('Assumptions (Nuclear)'!$AF$2:$AK$2)/10^9,0)</f>
        <v>1.558837118</v>
      </c>
      <c r="AT1326" s="160">
        <f>IF($AM$1129&gt;0,'Assumptions (Nuclear)'!AC11*Model!$AM$1129*AVERAGE('Assumptions (Nuclear)'!$AF$2:$AK$2)/10^9,0)</f>
        <v>1.558837118</v>
      </c>
      <c r="AU1326" s="160">
        <f>IF($AM$1129&gt;0,'Assumptions (Nuclear)'!AD11*Model!$AM$1129*AVERAGE('Assumptions (Nuclear)'!$AF$2:$AK$2)/10^9,0)</f>
        <v>1.561479215</v>
      </c>
      <c r="AV1326" s="160">
        <f>IF($AM$1129&gt;0,'Assumptions (Nuclear)'!AE11*Model!$AM$1129*AVERAGE('Assumptions (Nuclear)'!$AF$2:$AK$2)/10^9,0)</f>
        <v>1.558837118</v>
      </c>
      <c r="AW1326" s="160">
        <f>IF($AM$1129&gt;0,'Assumptions (Nuclear)'!AF11*Model!$AM$1129*AVERAGE('Assumptions (Nuclear)'!$AF$2:$AK$2)/10^9,0)</f>
        <v>1.561479215</v>
      </c>
      <c r="AX1326" s="160">
        <f>IF($AM$1129&gt;0,'Assumptions (Nuclear)'!AG11*Model!$AM$1129*AVERAGE('Assumptions (Nuclear)'!$AF$2:$AK$2)/10^9,0)</f>
        <v>1.558837118</v>
      </c>
      <c r="AY1326" s="160">
        <f>IF($AM$1129&gt;0,'Assumptions (Nuclear)'!AH11*Model!$AM$1129*AVERAGE('Assumptions (Nuclear)'!$AF$2:$AK$2)/10^9,0)</f>
        <v>1.561479215</v>
      </c>
      <c r="AZ1326" s="160">
        <f>IF($AM$1129&gt;0,'Assumptions (Nuclear)'!AI11*Model!$AM$1129*AVERAGE('Assumptions (Nuclear)'!$AF$2:$AK$2)/10^9,0)</f>
        <v>1.558837118</v>
      </c>
      <c r="BA1326" s="160">
        <f>IF($AM$1129&gt;0,'Assumptions (Nuclear)'!AJ11*Model!$AM$1129*AVERAGE('Assumptions (Nuclear)'!$AF$2:$AK$2)/10^9,0)</f>
        <v>1.561479215</v>
      </c>
      <c r="BB1326" s="160">
        <f>IF($AM$1129&gt;0,'Assumptions (Nuclear)'!AK11*Model!$AM$1129*AVERAGE('Assumptions (Nuclear)'!$AF$2:$AK$2)/10^9,0)</f>
        <v>0.7794185589</v>
      </c>
      <c r="BC1326" s="160"/>
      <c r="BD1326" s="160"/>
      <c r="BE1326" s="160"/>
      <c r="BF1326" s="160"/>
      <c r="BG1326" s="160"/>
      <c r="BH1326" s="160"/>
      <c r="BI1326" s="160"/>
      <c r="BJ1326" s="160"/>
      <c r="BK1326" s="160"/>
    </row>
    <row r="1327" ht="15.75" hidden="1" customHeight="1" outlineLevel="1">
      <c r="A1327" s="262"/>
      <c r="B1327" s="38"/>
      <c r="C1327" s="174"/>
      <c r="D1327" s="174"/>
      <c r="E1327" s="174"/>
      <c r="F1327" s="174"/>
      <c r="G1327" s="174"/>
      <c r="H1327" s="174"/>
      <c r="I1327" s="174"/>
      <c r="J1327" s="174"/>
      <c r="K1327" s="174"/>
      <c r="L1327" s="174"/>
      <c r="M1327" s="174"/>
      <c r="N1327" s="174"/>
      <c r="O1327" s="174"/>
      <c r="P1327" s="174"/>
      <c r="Q1327" s="174"/>
      <c r="R1327" s="174"/>
      <c r="S1327" s="174"/>
      <c r="T1327" s="174"/>
      <c r="U1327" s="174"/>
      <c r="V1327" s="174"/>
      <c r="W1327" s="160"/>
      <c r="X1327" s="160"/>
      <c r="Y1327" s="160"/>
      <c r="Z1327" s="160"/>
      <c r="AA1327" s="160"/>
      <c r="AB1327" s="160"/>
      <c r="AC1327" s="160"/>
      <c r="AD1327" s="160"/>
      <c r="AE1327" s="160"/>
      <c r="AF1327" s="160"/>
      <c r="AG1327" s="160"/>
      <c r="AH1327" s="160"/>
      <c r="AI1327" s="160"/>
      <c r="AJ1327" s="179"/>
      <c r="AK1327" s="160"/>
      <c r="AL1327" s="177"/>
      <c r="AM1327" s="177"/>
      <c r="AN1327" s="160">
        <f>IF($AN$1129&gt;0,'Assumptions (Nuclear)'!V11*Model!$AN$1129*AVERAGE('Assumptions (Nuclear)'!$AG$2:$AL$2)/10^9,0)</f>
        <v>1.37235917</v>
      </c>
      <c r="AO1327" s="160">
        <f>IF($AN$1129&gt;0,'Assumptions (Nuclear)'!W11*Model!$AN$1129*AVERAGE('Assumptions (Nuclear)'!$AG$2:$AL$2)/10^9,0)</f>
        <v>2.607482422</v>
      </c>
      <c r="AP1327" s="160">
        <f>IF($AN$1129&gt;0,'Assumptions (Nuclear)'!X11*Model!$AN$1129*AVERAGE('Assumptions (Nuclear)'!$AG$2:$AL$2)/10^9,0)</f>
        <v>2.34673418</v>
      </c>
      <c r="AQ1327" s="160">
        <f>IF($AN$1129&gt;0,'Assumptions (Nuclear)'!Y11*Model!$AN$1129*AVERAGE('Assumptions (Nuclear)'!$AG$2:$AL$2)/10^9,0)</f>
        <v>2.113433121</v>
      </c>
      <c r="AR1327" s="160">
        <f>IF($AN$1129&gt;0,'Assumptions (Nuclear)'!Z11*Model!$AN$1129*AVERAGE('Assumptions (Nuclear)'!$AG$2:$AL$2)/10^9,0)</f>
        <v>1.902089809</v>
      </c>
      <c r="AS1327" s="160">
        <f>IF($AN$1129&gt;0,'Assumptions (Nuclear)'!AA11*Model!$AN$1129*AVERAGE('Assumptions (Nuclear)'!$AG$2:$AL$2)/10^9,0)</f>
        <v>1.709959525</v>
      </c>
      <c r="AT1327" s="160">
        <f>IF($AN$1129&gt;0,'Assumptions (Nuclear)'!AB11*Model!$AN$1129*AVERAGE('Assumptions (Nuclear)'!$AG$2:$AL$2)/10^9,0)</f>
        <v>1.61938382</v>
      </c>
      <c r="AU1327" s="160">
        <f>IF($AN$1129&gt;0,'Assumptions (Nuclear)'!AC11*Model!$AN$1129*AVERAGE('Assumptions (Nuclear)'!$AG$2:$AL$2)/10^9,0)</f>
        <v>1.61938382</v>
      </c>
      <c r="AV1327" s="160">
        <f>IF($AN$1129&gt;0,'Assumptions (Nuclear)'!AD11*Model!$AN$1129*AVERAGE('Assumptions (Nuclear)'!$AG$2:$AL$2)/10^9,0)</f>
        <v>1.622128538</v>
      </c>
      <c r="AW1327" s="160">
        <f>IF($AN$1129&gt;0,'Assumptions (Nuclear)'!AE11*Model!$AN$1129*AVERAGE('Assumptions (Nuclear)'!$AG$2:$AL$2)/10^9,0)</f>
        <v>1.61938382</v>
      </c>
      <c r="AX1327" s="160">
        <f>IF($AN$1129&gt;0,'Assumptions (Nuclear)'!AF11*Model!$AN$1129*AVERAGE('Assumptions (Nuclear)'!$AG$2:$AL$2)/10^9,0)</f>
        <v>1.622128538</v>
      </c>
      <c r="AY1327" s="160">
        <f>IF($AN$1129&gt;0,'Assumptions (Nuclear)'!AG11*Model!$AN$1129*AVERAGE('Assumptions (Nuclear)'!$AG$2:$AL$2)/10^9,0)</f>
        <v>1.61938382</v>
      </c>
      <c r="AZ1327" s="160">
        <f>IF($AN$1129&gt;0,'Assumptions (Nuclear)'!AH11*Model!$AN$1129*AVERAGE('Assumptions (Nuclear)'!$AG$2:$AL$2)/10^9,0)</f>
        <v>1.622128538</v>
      </c>
      <c r="BA1327" s="160">
        <f>IF($AN$1129&gt;0,'Assumptions (Nuclear)'!AI11*Model!$AN$1129*AVERAGE('Assumptions (Nuclear)'!$AG$2:$AL$2)/10^9,0)</f>
        <v>1.61938382</v>
      </c>
      <c r="BB1327" s="160">
        <f>IF($AN$1129&gt;0,'Assumptions (Nuclear)'!AJ11*Model!$AN$1129*AVERAGE('Assumptions (Nuclear)'!$AG$2:$AL$2)/10^9,0)</f>
        <v>1.622128538</v>
      </c>
      <c r="BC1327" s="160">
        <f>IF($AN$1129&gt;0,'Assumptions (Nuclear)'!AK11*Model!$AN$1129*AVERAGE('Assumptions (Nuclear)'!$AG$2:$AL$2)/10^9,0)</f>
        <v>0.8096919101</v>
      </c>
      <c r="BD1327" s="160"/>
      <c r="BE1327" s="160"/>
      <c r="BF1327" s="160"/>
      <c r="BG1327" s="160"/>
      <c r="BH1327" s="160"/>
      <c r="BI1327" s="160"/>
      <c r="BJ1327" s="160"/>
      <c r="BK1327" s="160"/>
      <c r="BL1327" s="160"/>
    </row>
    <row r="1328" ht="15.75" hidden="1" customHeight="1" outlineLevel="1">
      <c r="A1328" s="262"/>
      <c r="B1328" s="38"/>
      <c r="C1328" s="174"/>
      <c r="D1328" s="174"/>
      <c r="E1328" s="174"/>
      <c r="F1328" s="174"/>
      <c r="G1328" s="174"/>
      <c r="H1328" s="174"/>
      <c r="I1328" s="174"/>
      <c r="J1328" s="174"/>
      <c r="K1328" s="174"/>
      <c r="L1328" s="174"/>
      <c r="M1328" s="174"/>
      <c r="N1328" s="174"/>
      <c r="O1328" s="174"/>
      <c r="P1328" s="174"/>
      <c r="Q1328" s="174"/>
      <c r="R1328" s="174"/>
      <c r="S1328" s="174"/>
      <c r="T1328" s="174"/>
      <c r="U1328" s="174"/>
      <c r="V1328" s="174"/>
      <c r="W1328" s="160"/>
      <c r="X1328" s="160"/>
      <c r="Y1328" s="160"/>
      <c r="Z1328" s="160"/>
      <c r="AA1328" s="160"/>
      <c r="AB1328" s="160"/>
      <c r="AC1328" s="160"/>
      <c r="AD1328" s="160"/>
      <c r="AE1328" s="160"/>
      <c r="AF1328" s="160"/>
      <c r="AG1328" s="160"/>
      <c r="AH1328" s="160"/>
      <c r="AI1328" s="160"/>
      <c r="AJ1328" s="179"/>
      <c r="AK1328" s="160"/>
      <c r="AL1328" s="177"/>
      <c r="AM1328" s="177"/>
      <c r="AN1328" s="177"/>
      <c r="AO1328" s="160">
        <f>IF($AO$1129&gt;0,'Assumptions (Nuclear)'!V11*Model!$AO$1129*AVERAGE('Assumptions (Nuclear)'!$AH$2:$AM$2)/10^9,0)</f>
        <v>0.03849537555</v>
      </c>
      <c r="AP1328" s="160">
        <f>IF($AO$1129&gt;0,'Assumptions (Nuclear)'!W11*Model!$AO$1129*AVERAGE('Assumptions (Nuclear)'!$AH$2:$AM$2)/10^9,0)</f>
        <v>0.07314121355</v>
      </c>
      <c r="AQ1328" s="160">
        <f>IF($AO$1129&gt;0,'Assumptions (Nuclear)'!X11*Model!$AO$1129*AVERAGE('Assumptions (Nuclear)'!$AH$2:$AM$2)/10^9,0)</f>
        <v>0.0658270922</v>
      </c>
      <c r="AR1328" s="160">
        <f>IF($AO$1129&gt;0,'Assumptions (Nuclear)'!Y11*Model!$AO$1129*AVERAGE('Assumptions (Nuclear)'!$AH$2:$AM$2)/10^9,0)</f>
        <v>0.05928287835</v>
      </c>
      <c r="AS1328" s="160">
        <f>IF($AO$1129&gt;0,'Assumptions (Nuclear)'!Z11*Model!$AO$1129*AVERAGE('Assumptions (Nuclear)'!$AH$2:$AM$2)/10^9,0)</f>
        <v>0.05335459052</v>
      </c>
      <c r="AT1328" s="160">
        <f>IF($AO$1129&gt;0,'Assumptions (Nuclear)'!AA11*Model!$AO$1129*AVERAGE('Assumptions (Nuclear)'!$AH$2:$AM$2)/10^9,0)</f>
        <v>0.04796523794</v>
      </c>
      <c r="AU1328" s="160">
        <f>IF($AO$1129&gt;0,'Assumptions (Nuclear)'!AB11*Model!$AO$1129*AVERAGE('Assumptions (Nuclear)'!$AH$2:$AM$2)/10^9,0)</f>
        <v>0.04542454315</v>
      </c>
      <c r="AV1328" s="160">
        <f>IF($AO$1129&gt;0,'Assumptions (Nuclear)'!AC11*Model!$AO$1129*AVERAGE('Assumptions (Nuclear)'!$AH$2:$AM$2)/10^9,0)</f>
        <v>0.04542454315</v>
      </c>
      <c r="AW1328" s="160">
        <f>IF($AO$1129&gt;0,'Assumptions (Nuclear)'!AD11*Model!$AO$1129*AVERAGE('Assumptions (Nuclear)'!$AH$2:$AM$2)/10^9,0)</f>
        <v>0.04550153391</v>
      </c>
      <c r="AX1328" s="160">
        <f>IF($AO$1129&gt;0,'Assumptions (Nuclear)'!AE11*Model!$AO$1129*AVERAGE('Assumptions (Nuclear)'!$AH$2:$AM$2)/10^9,0)</f>
        <v>0.04542454315</v>
      </c>
      <c r="AY1328" s="160">
        <f>IF($AO$1129&gt;0,'Assumptions (Nuclear)'!AF11*Model!$AO$1129*AVERAGE('Assumptions (Nuclear)'!$AH$2:$AM$2)/10^9,0)</f>
        <v>0.04550153391</v>
      </c>
      <c r="AZ1328" s="160">
        <f>IF($AO$1129&gt;0,'Assumptions (Nuclear)'!AG11*Model!$AO$1129*AVERAGE('Assumptions (Nuclear)'!$AH$2:$AM$2)/10^9,0)</f>
        <v>0.04542454315</v>
      </c>
      <c r="BA1328" s="160">
        <f>IF($AO$1129&gt;0,'Assumptions (Nuclear)'!AH11*Model!$AO$1129*AVERAGE('Assumptions (Nuclear)'!$AH$2:$AM$2)/10^9,0)</f>
        <v>0.04550153391</v>
      </c>
      <c r="BB1328" s="160">
        <f>IF($AO$1129&gt;0,'Assumptions (Nuclear)'!AI11*Model!$AO$1129*AVERAGE('Assumptions (Nuclear)'!$AH$2:$AM$2)/10^9,0)</f>
        <v>0.04542454315</v>
      </c>
      <c r="BC1328" s="160">
        <f>IF($AO$1129&gt;0,'Assumptions (Nuclear)'!AJ11*Model!$AO$1129*AVERAGE('Assumptions (Nuclear)'!$AH$2:$AM$2)/10^9,0)</f>
        <v>0.04550153391</v>
      </c>
      <c r="BD1328" s="160">
        <f>IF($AO$1129&gt;0,'Assumptions (Nuclear)'!AK11*Model!$AO$1129*AVERAGE('Assumptions (Nuclear)'!$AH$2:$AM$2)/10^9,0)</f>
        <v>0.02271227158</v>
      </c>
      <c r="BE1328" s="160"/>
      <c r="BF1328" s="160"/>
      <c r="BG1328" s="160"/>
      <c r="BH1328" s="160"/>
      <c r="BI1328" s="160"/>
      <c r="BJ1328" s="160"/>
      <c r="BK1328" s="160"/>
      <c r="BL1328" s="160"/>
      <c r="BM1328" s="160"/>
    </row>
    <row r="1329" ht="15.75" hidden="1" customHeight="1" outlineLevel="1">
      <c r="A1329" s="262"/>
      <c r="B1329" s="38"/>
      <c r="C1329" s="174"/>
      <c r="D1329" s="174"/>
      <c r="E1329" s="174"/>
      <c r="F1329" s="174"/>
      <c r="G1329" s="174"/>
      <c r="H1329" s="174"/>
      <c r="I1329" s="174"/>
      <c r="J1329" s="174"/>
      <c r="K1329" s="174"/>
      <c r="L1329" s="174"/>
      <c r="M1329" s="174"/>
      <c r="N1329" s="174"/>
      <c r="O1329" s="174"/>
      <c r="P1329" s="174"/>
      <c r="Q1329" s="174"/>
      <c r="R1329" s="174"/>
      <c r="S1329" s="174"/>
      <c r="T1329" s="174"/>
      <c r="U1329" s="174"/>
      <c r="V1329" s="174"/>
      <c r="W1329" s="160"/>
      <c r="X1329" s="160"/>
      <c r="Y1329" s="160"/>
      <c r="Z1329" s="160"/>
      <c r="AA1329" s="160"/>
      <c r="AB1329" s="160"/>
      <c r="AC1329" s="160"/>
      <c r="AD1329" s="160"/>
      <c r="AE1329" s="160"/>
      <c r="AF1329" s="160"/>
      <c r="AG1329" s="160"/>
      <c r="AH1329" s="160"/>
      <c r="AI1329" s="160"/>
      <c r="AJ1329" s="179"/>
      <c r="AK1329" s="160"/>
      <c r="AL1329" s="177"/>
      <c r="AM1329" s="177"/>
      <c r="AN1329" s="177"/>
      <c r="AO1329" s="160"/>
      <c r="AP1329" s="160">
        <f>IF($AP$1129&gt;0,'Assumptions (Nuclear)'!V11*Model!$AP$1129*AVERAGE('Assumptions (Nuclear)'!$AI$2:$AN$2)/10^9,0)</f>
        <v>1.438200865</v>
      </c>
      <c r="AQ1329" s="160">
        <f>IF($AP$1129&gt;0,'Assumptions (Nuclear)'!W11*Model!$AP$1129*AVERAGE('Assumptions (Nuclear)'!$AI$2:$AN$2)/10^9,0)</f>
        <v>2.732581643</v>
      </c>
      <c r="AR1329" s="160">
        <f>IF($AP$1129&gt;0,'Assumptions (Nuclear)'!X11*Model!$AP$1129*AVERAGE('Assumptions (Nuclear)'!$AI$2:$AN$2)/10^9,0)</f>
        <v>2.459323478</v>
      </c>
      <c r="AS1329" s="160">
        <f>IF($AP$1129&gt;0,'Assumptions (Nuclear)'!Y11*Model!$AP$1129*AVERAGE('Assumptions (Nuclear)'!$AI$2:$AN$2)/10^9,0)</f>
        <v>2.214829331</v>
      </c>
      <c r="AT1329" s="160">
        <f>IF($AP$1129&gt;0,'Assumptions (Nuclear)'!Z11*Model!$AP$1129*AVERAGE('Assumptions (Nuclear)'!$AI$2:$AN$2)/10^9,0)</f>
        <v>1.993346398</v>
      </c>
      <c r="AU1329" s="160">
        <f>IF($AP$1129&gt;0,'Assumptions (Nuclear)'!AA11*Model!$AP$1129*AVERAGE('Assumptions (Nuclear)'!$AI$2:$AN$2)/10^9,0)</f>
        <v>1.791998277</v>
      </c>
      <c r="AV1329" s="160">
        <f>IF($AP$1129&gt;0,'Assumptions (Nuclear)'!AB11*Model!$AP$1129*AVERAGE('Assumptions (Nuclear)'!$AI$2:$AN$2)/10^9,0)</f>
        <v>1.69707702</v>
      </c>
      <c r="AW1329" s="160">
        <f>IF($AP$1129&gt;0,'Assumptions (Nuclear)'!AC11*Model!$AP$1129*AVERAGE('Assumptions (Nuclear)'!$AI$2:$AN$2)/10^9,0)</f>
        <v>1.69707702</v>
      </c>
      <c r="AX1329" s="160">
        <f>IF($AP$1129&gt;0,'Assumptions (Nuclear)'!AD11*Model!$AP$1129*AVERAGE('Assumptions (Nuclear)'!$AI$2:$AN$2)/10^9,0)</f>
        <v>1.699953422</v>
      </c>
      <c r="AY1329" s="160">
        <f>IF($AP$1129&gt;0,'Assumptions (Nuclear)'!AE11*Model!$AP$1129*AVERAGE('Assumptions (Nuclear)'!$AI$2:$AN$2)/10^9,0)</f>
        <v>1.69707702</v>
      </c>
      <c r="AZ1329" s="160">
        <f>IF($AP$1129&gt;0,'Assumptions (Nuclear)'!AF11*Model!$AP$1129*AVERAGE('Assumptions (Nuclear)'!$AI$2:$AN$2)/10^9,0)</f>
        <v>1.699953422</v>
      </c>
      <c r="BA1329" s="160">
        <f>IF($AP$1129&gt;0,'Assumptions (Nuclear)'!AG11*Model!$AP$1129*AVERAGE('Assumptions (Nuclear)'!$AI$2:$AN$2)/10^9,0)</f>
        <v>1.69707702</v>
      </c>
      <c r="BB1329" s="160">
        <f>IF($AP$1129&gt;0,'Assumptions (Nuclear)'!AH11*Model!$AP$1129*AVERAGE('Assumptions (Nuclear)'!$AI$2:$AN$2)/10^9,0)</f>
        <v>1.699953422</v>
      </c>
      <c r="BC1329" s="160">
        <f>IF($AP$1129&gt;0,'Assumptions (Nuclear)'!AI11*Model!$AP$1129*AVERAGE('Assumptions (Nuclear)'!$AI$2:$AN$2)/10^9,0)</f>
        <v>1.69707702</v>
      </c>
      <c r="BD1329" s="160">
        <f>IF($AP$1129&gt;0,'Assumptions (Nuclear)'!AJ11*Model!$AP$1129*AVERAGE('Assumptions (Nuclear)'!$AI$2:$AN$2)/10^9,0)</f>
        <v>1.699953422</v>
      </c>
      <c r="BE1329" s="160">
        <f>IF($AP$1129&gt;0,'Assumptions (Nuclear)'!AK11*Model!$AP$1129*AVERAGE('Assumptions (Nuclear)'!$AI$2:$AN$2)/10^9,0)</f>
        <v>0.8485385101</v>
      </c>
      <c r="BF1329" s="160"/>
      <c r="BG1329" s="160"/>
      <c r="BH1329" s="160"/>
      <c r="BI1329" s="160"/>
      <c r="BJ1329" s="160"/>
      <c r="BK1329" s="160"/>
      <c r="BL1329" s="160"/>
      <c r="BM1329" s="160"/>
      <c r="BN1329" s="160"/>
    </row>
    <row r="1330" ht="15.75" hidden="1" customHeight="1" outlineLevel="1">
      <c r="A1330" s="262"/>
      <c r="B1330" s="38"/>
      <c r="C1330" s="174"/>
      <c r="D1330" s="174"/>
      <c r="E1330" s="174"/>
      <c r="F1330" s="174"/>
      <c r="G1330" s="174"/>
      <c r="H1330" s="174"/>
      <c r="I1330" s="174"/>
      <c r="J1330" s="174"/>
      <c r="K1330" s="174"/>
      <c r="L1330" s="174"/>
      <c r="M1330" s="174"/>
      <c r="N1330" s="174"/>
      <c r="O1330" s="174"/>
      <c r="P1330" s="174"/>
      <c r="Q1330" s="174"/>
      <c r="R1330" s="174"/>
      <c r="S1330" s="174"/>
      <c r="T1330" s="174"/>
      <c r="U1330" s="174"/>
      <c r="V1330" s="174"/>
      <c r="W1330" s="160"/>
      <c r="X1330" s="160"/>
      <c r="Y1330" s="160"/>
      <c r="Z1330" s="160"/>
      <c r="AA1330" s="160"/>
      <c r="AB1330" s="160"/>
      <c r="AC1330" s="160"/>
      <c r="AD1330" s="160"/>
      <c r="AE1330" s="160"/>
      <c r="AF1330" s="160"/>
      <c r="AG1330" s="160"/>
      <c r="AH1330" s="160"/>
      <c r="AI1330" s="160"/>
      <c r="AJ1330" s="179"/>
      <c r="AK1330" s="160"/>
      <c r="AL1330" s="177"/>
      <c r="AM1330" s="177"/>
      <c r="AN1330" s="177"/>
      <c r="AO1330" s="160"/>
      <c r="AP1330" s="160"/>
      <c r="AQ1330" s="160">
        <f>IF($AQ$1129&gt;0,'Assumptions (Nuclear)'!V11*Model!$AQ$1129*AVERAGE('Assumptions (Nuclear)'!$AJ$2:$AO$2)/10^9,0)</f>
        <v>0.03945740135</v>
      </c>
      <c r="AR1330" s="160">
        <f>IF($AQ$1129&gt;0,'Assumptions (Nuclear)'!W11*Model!$AQ$1129*AVERAGE('Assumptions (Nuclear)'!$AJ$2:$AO$2)/10^9,0)</f>
        <v>0.07496906256</v>
      </c>
      <c r="AS1330" s="160">
        <f>IF($AQ$1129&gt;0,'Assumptions (Nuclear)'!X11*Model!$AQ$1129*AVERAGE('Assumptions (Nuclear)'!$AJ$2:$AO$2)/10^9,0)</f>
        <v>0.0674721563</v>
      </c>
      <c r="AT1330" s="160">
        <f>IF($AQ$1129&gt;0,'Assumptions (Nuclear)'!Y11*Model!$AQ$1129*AVERAGE('Assumptions (Nuclear)'!$AJ$2:$AO$2)/10^9,0)</f>
        <v>0.06076439807</v>
      </c>
      <c r="AU1330" s="160">
        <f>IF($AQ$1129&gt;0,'Assumptions (Nuclear)'!Z11*Model!$AQ$1129*AVERAGE('Assumptions (Nuclear)'!$AJ$2:$AO$2)/10^9,0)</f>
        <v>0.05468795827</v>
      </c>
      <c r="AV1330" s="160">
        <f>IF($AQ$1129&gt;0,'Assumptions (Nuclear)'!AA11*Model!$AQ$1129*AVERAGE('Assumptions (Nuclear)'!$AJ$2:$AO$2)/10^9,0)</f>
        <v>0.04916392208</v>
      </c>
      <c r="AW1330" s="160">
        <f>IF($AQ$1129&gt;0,'Assumptions (Nuclear)'!AB11*Model!$AQ$1129*AVERAGE('Assumptions (Nuclear)'!$AJ$2:$AO$2)/10^9,0)</f>
        <v>0.04655973359</v>
      </c>
      <c r="AX1330" s="160">
        <f>IF($AQ$1129&gt;0,'Assumptions (Nuclear)'!AC11*Model!$AQ$1129*AVERAGE('Assumptions (Nuclear)'!$AJ$2:$AO$2)/10^9,0)</f>
        <v>0.04655973359</v>
      </c>
      <c r="AY1330" s="160">
        <f>IF($AQ$1129&gt;0,'Assumptions (Nuclear)'!AD11*Model!$AQ$1129*AVERAGE('Assumptions (Nuclear)'!$AJ$2:$AO$2)/10^9,0)</f>
        <v>0.04663864839</v>
      </c>
      <c r="AZ1330" s="160">
        <f>IF($AQ$1129&gt;0,'Assumptions (Nuclear)'!AE11*Model!$AQ$1129*AVERAGE('Assumptions (Nuclear)'!$AJ$2:$AO$2)/10^9,0)</f>
        <v>0.04655973359</v>
      </c>
      <c r="BA1330" s="160">
        <f>IF($AQ$1129&gt;0,'Assumptions (Nuclear)'!AF11*Model!$AQ$1129*AVERAGE('Assumptions (Nuclear)'!$AJ$2:$AO$2)/10^9,0)</f>
        <v>0.04663864839</v>
      </c>
      <c r="BB1330" s="160">
        <f>IF($AQ$1129&gt;0,'Assumptions (Nuclear)'!AG11*Model!$AQ$1129*AVERAGE('Assumptions (Nuclear)'!$AJ$2:$AO$2)/10^9,0)</f>
        <v>0.04655973359</v>
      </c>
      <c r="BC1330" s="160">
        <f>IF($AQ$1129&gt;0,'Assumptions (Nuclear)'!AH11*Model!$AQ$1129*AVERAGE('Assumptions (Nuclear)'!$AJ$2:$AO$2)/10^9,0)</f>
        <v>0.04663864839</v>
      </c>
      <c r="BD1330" s="160">
        <f>IF($AQ$1129&gt;0,'Assumptions (Nuclear)'!AI11*Model!$AQ$1129*AVERAGE('Assumptions (Nuclear)'!$AJ$2:$AO$2)/10^9,0)</f>
        <v>0.04655973359</v>
      </c>
      <c r="BE1330" s="160">
        <f>IF($AQ$1129&gt;0,'Assumptions (Nuclear)'!AJ11*Model!$AQ$1129*AVERAGE('Assumptions (Nuclear)'!$AJ$2:$AO$2)/10^9,0)</f>
        <v>0.04663864839</v>
      </c>
      <c r="BF1330" s="160">
        <f>IF($AQ$1129&gt;0,'Assumptions (Nuclear)'!AK11*Model!$AQ$1129*AVERAGE('Assumptions (Nuclear)'!$AJ$2:$AO$2)/10^9,0)</f>
        <v>0.02327986679</v>
      </c>
      <c r="BG1330" s="160"/>
      <c r="BH1330" s="160"/>
      <c r="BI1330" s="160"/>
      <c r="BJ1330" s="160"/>
      <c r="BK1330" s="160"/>
      <c r="BL1330" s="160"/>
      <c r="BM1330" s="160"/>
      <c r="BN1330" s="160"/>
      <c r="BO1330" s="160"/>
    </row>
    <row r="1331" ht="15.75" hidden="1" customHeight="1" outlineLevel="1">
      <c r="A1331" s="262"/>
      <c r="B1331" s="38"/>
      <c r="C1331" s="174"/>
      <c r="D1331" s="174"/>
      <c r="E1331" s="174"/>
      <c r="F1331" s="174"/>
      <c r="G1331" s="174"/>
      <c r="H1331" s="174"/>
      <c r="I1331" s="174"/>
      <c r="J1331" s="174"/>
      <c r="K1331" s="174"/>
      <c r="L1331" s="174"/>
      <c r="M1331" s="174"/>
      <c r="N1331" s="174"/>
      <c r="O1331" s="174"/>
      <c r="P1331" s="174"/>
      <c r="Q1331" s="174"/>
      <c r="R1331" s="174"/>
      <c r="S1331" s="174"/>
      <c r="T1331" s="174"/>
      <c r="U1331" s="174"/>
      <c r="V1331" s="174"/>
      <c r="W1331" s="160"/>
      <c r="X1331" s="160"/>
      <c r="Y1331" s="160"/>
      <c r="Z1331" s="160"/>
      <c r="AA1331" s="160"/>
      <c r="AB1331" s="160"/>
      <c r="AC1331" s="160"/>
      <c r="AD1331" s="160"/>
      <c r="AE1331" s="160"/>
      <c r="AF1331" s="160"/>
      <c r="AG1331" s="160"/>
      <c r="AH1331" s="160"/>
      <c r="AI1331" s="160"/>
      <c r="AJ1331" s="179"/>
      <c r="AK1331" s="160"/>
      <c r="AL1331" s="177"/>
      <c r="AM1331" s="177"/>
      <c r="AN1331" s="177"/>
      <c r="AO1331" s="160"/>
      <c r="AP1331" s="160"/>
      <c r="AQ1331" s="160"/>
      <c r="AR1331" s="160">
        <f>IF($AR$1129&gt;0,'Assumptions (Nuclear)'!V11*Model!$AR$1129*AVERAGE('Assumptions (Nuclear)'!$AK$2:$AP$2)/10^9,0)</f>
        <v>0.4424352619</v>
      </c>
      <c r="AS1331" s="160">
        <f>IF($AR$1129&gt;0,'Assumptions (Nuclear)'!W11*Model!$AR$1129*AVERAGE('Assumptions (Nuclear)'!$AK$2:$AP$2)/10^9,0)</f>
        <v>0.8406269976</v>
      </c>
      <c r="AT1331" s="160">
        <f>IF($AR$1129&gt;0,'Assumptions (Nuclear)'!X11*Model!$AR$1129*AVERAGE('Assumptions (Nuclear)'!$AK$2:$AP$2)/10^9,0)</f>
        <v>0.7565642978</v>
      </c>
      <c r="AU1331" s="160">
        <f>IF($AR$1129&gt;0,'Assumptions (Nuclear)'!Y11*Model!$AR$1129*AVERAGE('Assumptions (Nuclear)'!$AK$2:$AP$2)/10^9,0)</f>
        <v>0.6813503033</v>
      </c>
      <c r="AV1331" s="160">
        <f>IF($AR$1129&gt;0,'Assumptions (Nuclear)'!Z11*Model!$AR$1129*AVERAGE('Assumptions (Nuclear)'!$AK$2:$AP$2)/10^9,0)</f>
        <v>0.613215273</v>
      </c>
      <c r="AW1331" s="160">
        <f>IF($AR$1129&gt;0,'Assumptions (Nuclear)'!AA11*Model!$AR$1129*AVERAGE('Assumptions (Nuclear)'!$AK$2:$AP$2)/10^9,0)</f>
        <v>0.5512743363</v>
      </c>
      <c r="AX1331" s="160">
        <f>IF($AR$1129&gt;0,'Assumptions (Nuclear)'!AB11*Model!$AR$1129*AVERAGE('Assumptions (Nuclear)'!$AK$2:$AP$2)/10^9,0)</f>
        <v>0.522073609</v>
      </c>
      <c r="AY1331" s="160">
        <f>IF($AR$1129&gt;0,'Assumptions (Nuclear)'!AC11*Model!$AR$1129*AVERAGE('Assumptions (Nuclear)'!$AK$2:$AP$2)/10^9,0)</f>
        <v>0.522073609</v>
      </c>
      <c r="AZ1331" s="160">
        <f>IF($AR$1129&gt;0,'Assumptions (Nuclear)'!AD11*Model!$AR$1129*AVERAGE('Assumptions (Nuclear)'!$AK$2:$AP$2)/10^9,0)</f>
        <v>0.5229584795</v>
      </c>
      <c r="BA1331" s="160">
        <f>IF($AR$1129&gt;0,'Assumptions (Nuclear)'!AE11*Model!$AR$1129*AVERAGE('Assumptions (Nuclear)'!$AK$2:$AP$2)/10^9,0)</f>
        <v>0.522073609</v>
      </c>
      <c r="BB1331" s="160">
        <f>IF($AR$1129&gt;0,'Assumptions (Nuclear)'!AF11*Model!$AR$1129*AVERAGE('Assumptions (Nuclear)'!$AK$2:$AP$2)/10^9,0)</f>
        <v>0.5229584795</v>
      </c>
      <c r="BC1331" s="160">
        <f>IF($AR$1129&gt;0,'Assumptions (Nuclear)'!AG11*Model!$AR$1129*AVERAGE('Assumptions (Nuclear)'!$AK$2:$AP$2)/10^9,0)</f>
        <v>0.522073609</v>
      </c>
      <c r="BD1331" s="160">
        <f>IF($AR$1129&gt;0,'Assumptions (Nuclear)'!AH11*Model!$AR$1129*AVERAGE('Assumptions (Nuclear)'!$AK$2:$AP$2)/10^9,0)</f>
        <v>0.5229584795</v>
      </c>
      <c r="BE1331" s="160">
        <f>IF($AR$1129&gt;0,'Assumptions (Nuclear)'!AI11*Model!$AR$1129*AVERAGE('Assumptions (Nuclear)'!$AK$2:$AP$2)/10^9,0)</f>
        <v>0.522073609</v>
      </c>
      <c r="BF1331" s="160">
        <f>IF($AR$1129&gt;0,'Assumptions (Nuclear)'!AJ11*Model!$AR$1129*AVERAGE('Assumptions (Nuclear)'!$AK$2:$AP$2)/10^9,0)</f>
        <v>0.5229584795</v>
      </c>
      <c r="BG1331" s="160">
        <f>IF($AR$1129&gt;0,'Assumptions (Nuclear)'!AK11*Model!$AR$1129*AVERAGE('Assumptions (Nuclear)'!$AK$2:$AP$2)/10^9,0)</f>
        <v>0.2610368045</v>
      </c>
      <c r="BH1331" s="160"/>
      <c r="BI1331" s="160"/>
      <c r="BJ1331" s="160"/>
      <c r="BK1331" s="160"/>
      <c r="BL1331" s="160"/>
      <c r="BM1331" s="160"/>
      <c r="BN1331" s="160"/>
      <c r="BO1331" s="160"/>
      <c r="BP1331" s="160"/>
    </row>
    <row r="1332" ht="15.75" hidden="1" customHeight="1" outlineLevel="1">
      <c r="A1332" s="262"/>
      <c r="B1332" s="38"/>
      <c r="C1332" s="174"/>
      <c r="D1332" s="174"/>
      <c r="E1332" s="174"/>
      <c r="F1332" s="174"/>
      <c r="G1332" s="174"/>
      <c r="H1332" s="174"/>
      <c r="I1332" s="174"/>
      <c r="J1332" s="174"/>
      <c r="K1332" s="174"/>
      <c r="L1332" s="174"/>
      <c r="M1332" s="174"/>
      <c r="N1332" s="174"/>
      <c r="O1332" s="174"/>
      <c r="P1332" s="174"/>
      <c r="Q1332" s="174"/>
      <c r="R1332" s="174"/>
      <c r="S1332" s="174"/>
      <c r="T1332" s="174"/>
      <c r="U1332" s="174"/>
      <c r="V1332" s="174"/>
      <c r="W1332" s="160"/>
      <c r="X1332" s="160"/>
      <c r="Y1332" s="160"/>
      <c r="Z1332" s="160"/>
      <c r="AA1332" s="160"/>
      <c r="AB1332" s="160"/>
      <c r="AC1332" s="160"/>
      <c r="AD1332" s="160"/>
      <c r="AE1332" s="160"/>
      <c r="AF1332" s="160"/>
      <c r="AG1332" s="160"/>
      <c r="AH1332" s="160"/>
      <c r="AI1332" s="160"/>
      <c r="AJ1332" s="179"/>
      <c r="AK1332" s="160"/>
      <c r="AL1332" s="177"/>
      <c r="AM1332" s="177"/>
      <c r="AN1332" s="177"/>
      <c r="AO1332" s="160"/>
      <c r="AP1332" s="160"/>
      <c r="AQ1332" s="160"/>
      <c r="AR1332" s="160"/>
      <c r="AS1332" s="160">
        <f>IF($AS$1129&gt;0,'Assumptions (Nuclear)'!V11*Model!$AS$1129*AVERAGE('Assumptions (Nuclear)'!$AL$2:$AQ$2)/10^9,0)</f>
        <v>0.04041561733</v>
      </c>
      <c r="AT1332" s="160">
        <f>IF($AS$1129&gt;0,'Assumptions (Nuclear)'!W11*Model!$AS$1129*AVERAGE('Assumptions (Nuclear)'!$AL$2:$AQ$2)/10^9,0)</f>
        <v>0.07678967293</v>
      </c>
      <c r="AU1332" s="160">
        <f>IF($AS$1129&gt;0,'Assumptions (Nuclear)'!X11*Model!$AS$1129*AVERAGE('Assumptions (Nuclear)'!$AL$2:$AQ$2)/10^9,0)</f>
        <v>0.06911070563</v>
      </c>
      <c r="AV1332" s="160">
        <f>IF($AS$1129&gt;0,'Assumptions (Nuclear)'!Y11*Model!$AS$1129*AVERAGE('Assumptions (Nuclear)'!$AL$2:$AQ$2)/10^9,0)</f>
        <v>0.06224005069</v>
      </c>
      <c r="AW1332" s="160">
        <f>IF($AS$1129&gt;0,'Assumptions (Nuclear)'!Z11*Model!$AS$1129*AVERAGE('Assumptions (Nuclear)'!$AL$2:$AQ$2)/10^9,0)</f>
        <v>0.05601604562</v>
      </c>
      <c r="AX1332" s="160">
        <f>IF($AS$1129&gt;0,'Assumptions (Nuclear)'!AA11*Model!$AS$1129*AVERAGE('Assumptions (Nuclear)'!$AL$2:$AQ$2)/10^9,0)</f>
        <v>0.05035785919</v>
      </c>
      <c r="AY1332" s="160">
        <f>IF($AS$1129&gt;0,'Assumptions (Nuclear)'!AB11*Model!$AS$1129*AVERAGE('Assumptions (Nuclear)'!$AL$2:$AQ$2)/10^9,0)</f>
        <v>0.04769042845</v>
      </c>
      <c r="AZ1332" s="160">
        <f>IF($AS$1129&gt;0,'Assumptions (Nuclear)'!AC11*Model!$AS$1129*AVERAGE('Assumptions (Nuclear)'!$AL$2:$AQ$2)/10^9,0)</f>
        <v>0.04769042845</v>
      </c>
      <c r="BA1332" s="160">
        <f>IF($AS$1129&gt;0,'Assumptions (Nuclear)'!AD11*Model!$AS$1129*AVERAGE('Assumptions (Nuclear)'!$AL$2:$AQ$2)/10^9,0)</f>
        <v>0.04777125968</v>
      </c>
      <c r="BB1332" s="160">
        <f>IF($AS$1129&gt;0,'Assumptions (Nuclear)'!AE11*Model!$AS$1129*AVERAGE('Assumptions (Nuclear)'!$AL$2:$AQ$2)/10^9,0)</f>
        <v>0.04769042845</v>
      </c>
      <c r="BC1332" s="160">
        <f>IF($AS$1129&gt;0,'Assumptions (Nuclear)'!AF11*Model!$AS$1129*AVERAGE('Assumptions (Nuclear)'!$AL$2:$AQ$2)/10^9,0)</f>
        <v>0.04777125968</v>
      </c>
      <c r="BD1332" s="160">
        <f>IF($AS$1129&gt;0,'Assumptions (Nuclear)'!AG11*Model!$AS$1129*AVERAGE('Assumptions (Nuclear)'!$AL$2:$AQ$2)/10^9,0)</f>
        <v>0.04769042845</v>
      </c>
      <c r="BE1332" s="160">
        <f>IF($AS$1129&gt;0,'Assumptions (Nuclear)'!AH11*Model!$AS$1129*AVERAGE('Assumptions (Nuclear)'!$AL$2:$AQ$2)/10^9,0)</f>
        <v>0.04777125968</v>
      </c>
      <c r="BF1332" s="160">
        <f>IF($AS$1129&gt;0,'Assumptions (Nuclear)'!AI11*Model!$AS$1129*AVERAGE('Assumptions (Nuclear)'!$AL$2:$AQ$2)/10^9,0)</f>
        <v>0.04769042845</v>
      </c>
      <c r="BG1332" s="160">
        <f>IF($AS$1129&gt;0,'Assumptions (Nuclear)'!AJ11*Model!$AS$1129*AVERAGE('Assumptions (Nuclear)'!$AL$2:$AQ$2)/10^9,0)</f>
        <v>0.04777125968</v>
      </c>
      <c r="BH1332" s="160">
        <f>IF($AS$1129&gt;0,'Assumptions (Nuclear)'!AK11*Model!$AS$1129*AVERAGE('Assumptions (Nuclear)'!$AL$2:$AQ$2)/10^9,0)</f>
        <v>0.02384521422</v>
      </c>
      <c r="BI1332" s="160"/>
      <c r="BJ1332" s="160"/>
      <c r="BK1332" s="160"/>
      <c r="BL1332" s="160"/>
      <c r="BM1332" s="160"/>
      <c r="BN1332" s="160"/>
      <c r="BO1332" s="160"/>
      <c r="BP1332" s="160"/>
      <c r="BQ1332" s="160"/>
      <c r="BR1332" s="160"/>
    </row>
    <row r="1333" ht="15.75" hidden="1" customHeight="1" outlineLevel="1">
      <c r="A1333" s="262"/>
      <c r="B1333" s="38"/>
      <c r="C1333" s="174"/>
      <c r="D1333" s="174"/>
      <c r="E1333" s="174"/>
      <c r="F1333" s="174"/>
      <c r="G1333" s="174"/>
      <c r="H1333" s="174"/>
      <c r="I1333" s="174"/>
      <c r="J1333" s="174"/>
      <c r="K1333" s="174"/>
      <c r="L1333" s="174"/>
      <c r="M1333" s="174"/>
      <c r="N1333" s="174"/>
      <c r="O1333" s="174"/>
      <c r="P1333" s="174"/>
      <c r="Q1333" s="174"/>
      <c r="R1333" s="174"/>
      <c r="S1333" s="174"/>
      <c r="T1333" s="174"/>
      <c r="U1333" s="174"/>
      <c r="V1333" s="174"/>
      <c r="W1333" s="160"/>
      <c r="X1333" s="160"/>
      <c r="Y1333" s="160"/>
      <c r="Z1333" s="160"/>
      <c r="AA1333" s="160"/>
      <c r="AB1333" s="160"/>
      <c r="AC1333" s="160"/>
      <c r="AD1333" s="160"/>
      <c r="AE1333" s="160"/>
      <c r="AF1333" s="160"/>
      <c r="AG1333" s="160"/>
      <c r="AH1333" s="160"/>
      <c r="AI1333" s="160"/>
      <c r="AJ1333" s="179"/>
      <c r="AK1333" s="160"/>
      <c r="AL1333" s="177"/>
      <c r="AM1333" s="177"/>
      <c r="AN1333" s="177"/>
      <c r="AO1333" s="160"/>
      <c r="AP1333" s="160"/>
      <c r="AQ1333" s="160"/>
      <c r="AR1333" s="160"/>
      <c r="AS1333" s="160"/>
      <c r="AT1333" s="160">
        <f>IF($AT$1129&gt;0,'Assumptions (Nuclear)'!V11*Model!$AT$1129*AVERAGE('Assumptions (Nuclear)'!$AM$2:$AR$2)/10^9,0)</f>
        <v>1.628256518</v>
      </c>
      <c r="AU1333" s="160">
        <f>IF($AT$1129&gt;0,'Assumptions (Nuclear)'!W11*Model!$AT$1129*AVERAGE('Assumptions (Nuclear)'!$AM$2:$AR$2)/10^9,0)</f>
        <v>3.093687384</v>
      </c>
      <c r="AV1333" s="160">
        <f>IF($AT$1129&gt;0,'Assumptions (Nuclear)'!X11*Model!$AT$1129*AVERAGE('Assumptions (Nuclear)'!$AM$2:$AR$2)/10^9,0)</f>
        <v>2.784318645</v>
      </c>
      <c r="AW1333" s="160">
        <f>IF($AT$1129&gt;0,'Assumptions (Nuclear)'!Y11*Model!$AT$1129*AVERAGE('Assumptions (Nuclear)'!$AM$2:$AR$2)/10^9,0)</f>
        <v>2.507515037</v>
      </c>
      <c r="AX1333" s="160">
        <f>IF($AT$1129&gt;0,'Assumptions (Nuclear)'!Z11*Model!$AT$1129*AVERAGE('Assumptions (Nuclear)'!$AM$2:$AR$2)/10^9,0)</f>
        <v>2.256763534</v>
      </c>
      <c r="AY1333" s="160">
        <f>IF($AT$1129&gt;0,'Assumptions (Nuclear)'!AA11*Model!$AT$1129*AVERAGE('Assumptions (Nuclear)'!$AM$2:$AR$2)/10^9,0)</f>
        <v>2.028807621</v>
      </c>
      <c r="AZ1333" s="160">
        <f>IF($AT$1129&gt;0,'Assumptions (Nuclear)'!AB11*Model!$AT$1129*AVERAGE('Assumptions (Nuclear)'!$AM$2:$AR$2)/10^9,0)</f>
        <v>1.921342691</v>
      </c>
      <c r="BA1333" s="160">
        <f>IF($AT$1129&gt;0,'Assumptions (Nuclear)'!AC11*Model!$AT$1129*AVERAGE('Assumptions (Nuclear)'!$AM$2:$AR$2)/10^9,0)</f>
        <v>1.921342691</v>
      </c>
      <c r="BB1333" s="160">
        <f>IF($AT$1129&gt;0,'Assumptions (Nuclear)'!AD11*Model!$AT$1129*AVERAGE('Assumptions (Nuclear)'!$AM$2:$AR$2)/10^9,0)</f>
        <v>1.924599204</v>
      </c>
      <c r="BC1333" s="160">
        <f>IF($AT$1129&gt;0,'Assumptions (Nuclear)'!AE11*Model!$AT$1129*AVERAGE('Assumptions (Nuclear)'!$AM$2:$AR$2)/10^9,0)</f>
        <v>1.921342691</v>
      </c>
      <c r="BD1333" s="160">
        <f>IF($AT$1129&gt;0,'Assumptions (Nuclear)'!AF11*Model!$AT$1129*AVERAGE('Assumptions (Nuclear)'!$AM$2:$AR$2)/10^9,0)</f>
        <v>1.924599204</v>
      </c>
      <c r="BE1333" s="160">
        <f>IF($AT$1129&gt;0,'Assumptions (Nuclear)'!AG11*Model!$AT$1129*AVERAGE('Assumptions (Nuclear)'!$AM$2:$AR$2)/10^9,0)</f>
        <v>1.921342691</v>
      </c>
      <c r="BF1333" s="160">
        <f>IF($AT$1129&gt;0,'Assumptions (Nuclear)'!AH11*Model!$AT$1129*AVERAGE('Assumptions (Nuclear)'!$AM$2:$AR$2)/10^9,0)</f>
        <v>1.924599204</v>
      </c>
      <c r="BG1333" s="160">
        <f>IF($AT$1129&gt;0,'Assumptions (Nuclear)'!AI11*Model!$AT$1129*AVERAGE('Assumptions (Nuclear)'!$AM$2:$AR$2)/10^9,0)</f>
        <v>1.921342691</v>
      </c>
      <c r="BH1333" s="160">
        <f>IF($AT$1129&gt;0,'Assumptions (Nuclear)'!AJ11*Model!$AT$1129*AVERAGE('Assumptions (Nuclear)'!$AM$2:$AR$2)/10^9,0)</f>
        <v>1.924599204</v>
      </c>
      <c r="BI1333" s="160">
        <f>IF($AT$1129&gt;0,'Assumptions (Nuclear)'!AK11*Model!$AT$1129*AVERAGE('Assumptions (Nuclear)'!$AM$2:$AR$2)/10^9,0)</f>
        <v>0.9606713455</v>
      </c>
      <c r="BJ1333" s="160"/>
      <c r="BK1333" s="160"/>
      <c r="BL1333" s="160"/>
      <c r="BM1333" s="160"/>
      <c r="BN1333" s="160"/>
      <c r="BO1333" s="160"/>
      <c r="BP1333" s="160"/>
      <c r="BQ1333" s="160"/>
      <c r="BR1333" s="160"/>
    </row>
    <row r="1334" ht="15.75" hidden="1" customHeight="1" outlineLevel="1">
      <c r="A1334" s="262"/>
      <c r="B1334" s="38"/>
      <c r="C1334" s="174"/>
      <c r="D1334" s="174"/>
      <c r="E1334" s="174"/>
      <c r="F1334" s="174"/>
      <c r="G1334" s="174"/>
      <c r="H1334" s="174"/>
      <c r="I1334" s="174"/>
      <c r="J1334" s="174"/>
      <c r="K1334" s="174"/>
      <c r="L1334" s="174"/>
      <c r="M1334" s="174"/>
      <c r="N1334" s="174"/>
      <c r="O1334" s="174"/>
      <c r="P1334" s="174"/>
      <c r="Q1334" s="174"/>
      <c r="R1334" s="174"/>
      <c r="S1334" s="174"/>
      <c r="T1334" s="174"/>
      <c r="U1334" s="174"/>
      <c r="V1334" s="174"/>
      <c r="W1334" s="160"/>
      <c r="X1334" s="160"/>
      <c r="Y1334" s="160"/>
      <c r="Z1334" s="160"/>
      <c r="AA1334" s="160"/>
      <c r="AB1334" s="160"/>
      <c r="AC1334" s="160"/>
      <c r="AD1334" s="160"/>
      <c r="AE1334" s="160"/>
      <c r="AF1334" s="160"/>
      <c r="AG1334" s="160"/>
      <c r="AH1334" s="160"/>
      <c r="AI1334" s="160"/>
      <c r="AJ1334" s="179"/>
      <c r="AK1334" s="160"/>
      <c r="AL1334" s="177"/>
      <c r="AM1334" s="177"/>
      <c r="AN1334" s="177"/>
      <c r="AO1334" s="160"/>
      <c r="AP1334" s="160"/>
      <c r="AQ1334" s="160"/>
      <c r="AR1334" s="160"/>
      <c r="AS1334" s="160"/>
      <c r="AT1334" s="160"/>
      <c r="AU1334" s="160">
        <f>IF($AU$1129&gt;0,'Assumptions (Nuclear)'!V11*Model!$AU$1129*AVERAGE('Assumptions (Nuclear)'!$AN$2:$AS$2)/10^9,0)</f>
        <v>0.6303657231</v>
      </c>
      <c r="AV1334" s="160">
        <f>IF($AU$1129&gt;0,'Assumptions (Nuclear)'!W11*Model!$AU$1129*AVERAGE('Assumptions (Nuclear)'!$AN$2:$AS$2)/10^9,0)</f>
        <v>1.197694874</v>
      </c>
      <c r="AW1334" s="160">
        <f>IF($AU$1129&gt;0,'Assumptions (Nuclear)'!X11*Model!$AU$1129*AVERAGE('Assumptions (Nuclear)'!$AN$2:$AS$2)/10^9,0)</f>
        <v>1.077925386</v>
      </c>
      <c r="AX1334" s="160">
        <f>IF($AU$1129&gt;0,'Assumptions (Nuclear)'!Y11*Model!$AU$1129*AVERAGE('Assumptions (Nuclear)'!$AN$2:$AS$2)/10^9,0)</f>
        <v>0.9707632135</v>
      </c>
      <c r="AY1334" s="160">
        <f>IF($AU$1129&gt;0,'Assumptions (Nuclear)'!Z11*Model!$AU$1129*AVERAGE('Assumptions (Nuclear)'!$AN$2:$AS$2)/10^9,0)</f>
        <v>0.8736868922</v>
      </c>
      <c r="AZ1334" s="160">
        <f>IF($AU$1129&gt;0,'Assumptions (Nuclear)'!AA11*Model!$AU$1129*AVERAGE('Assumptions (Nuclear)'!$AN$2:$AS$2)/10^9,0)</f>
        <v>0.785435691</v>
      </c>
      <c r="BA1334" s="160">
        <f>IF($AU$1129&gt;0,'Assumptions (Nuclear)'!AB11*Model!$AU$1129*AVERAGE('Assumptions (Nuclear)'!$AN$2:$AS$2)/10^9,0)</f>
        <v>0.7438315532</v>
      </c>
      <c r="BB1334" s="160">
        <f>IF($AU$1129&gt;0,'Assumptions (Nuclear)'!AC11*Model!$AU$1129*AVERAGE('Assumptions (Nuclear)'!$AN$2:$AS$2)/10^9,0)</f>
        <v>0.7438315532</v>
      </c>
      <c r="BC1334" s="160">
        <f>IF($AU$1129&gt;0,'Assumptions (Nuclear)'!AD11*Model!$AU$1129*AVERAGE('Assumptions (Nuclear)'!$AN$2:$AS$2)/10^9,0)</f>
        <v>0.7450922847</v>
      </c>
      <c r="BD1334" s="160">
        <f>IF($AU$1129&gt;0,'Assumptions (Nuclear)'!AE11*Model!$AU$1129*AVERAGE('Assumptions (Nuclear)'!$AN$2:$AS$2)/10^9,0)</f>
        <v>0.7438315532</v>
      </c>
      <c r="BE1334" s="160">
        <f>IF($AU$1129&gt;0,'Assumptions (Nuclear)'!AF11*Model!$AU$1129*AVERAGE('Assumptions (Nuclear)'!$AN$2:$AS$2)/10^9,0)</f>
        <v>0.7450922847</v>
      </c>
      <c r="BF1334" s="160">
        <f>IF($AU$1129&gt;0,'Assumptions (Nuclear)'!AG11*Model!$AU$1129*AVERAGE('Assumptions (Nuclear)'!$AN$2:$AS$2)/10^9,0)</f>
        <v>0.7438315532</v>
      </c>
      <c r="BG1334" s="160">
        <f>IF($AU$1129&gt;0,'Assumptions (Nuclear)'!AH11*Model!$AU$1129*AVERAGE('Assumptions (Nuclear)'!$AN$2:$AS$2)/10^9,0)</f>
        <v>0.7450922847</v>
      </c>
      <c r="BH1334" s="160">
        <f>IF($AU$1129&gt;0,'Assumptions (Nuclear)'!AI11*Model!$AU$1129*AVERAGE('Assumptions (Nuclear)'!$AN$2:$AS$2)/10^9,0)</f>
        <v>0.7438315532</v>
      </c>
      <c r="BI1334" s="160">
        <f>IF($AU$1129&gt;0,'Assumptions (Nuclear)'!AJ11*Model!$AU$1129*AVERAGE('Assumptions (Nuclear)'!$AN$2:$AS$2)/10^9,0)</f>
        <v>0.7450922847</v>
      </c>
      <c r="BJ1334" s="160">
        <f>IF($AU$1129&gt;0,'Assumptions (Nuclear)'!AK11*Model!$AU$1129*AVERAGE('Assumptions (Nuclear)'!$AN$2:$AS$2)/10^9,0)</f>
        <v>0.3719157766</v>
      </c>
      <c r="BK1334" s="160"/>
      <c r="BL1334" s="160"/>
      <c r="BM1334" s="160"/>
      <c r="BN1334" s="160"/>
      <c r="BO1334" s="160"/>
      <c r="BP1334" s="160"/>
      <c r="BQ1334" s="160"/>
      <c r="BR1334" s="160"/>
      <c r="BS1334" s="160"/>
    </row>
    <row r="1335" ht="15.75" hidden="1" customHeight="1" outlineLevel="1">
      <c r="A1335" s="262"/>
      <c r="B1335" s="38"/>
      <c r="C1335" s="174"/>
      <c r="D1335" s="174"/>
      <c r="E1335" s="174"/>
      <c r="F1335" s="174"/>
      <c r="G1335" s="174"/>
      <c r="H1335" s="174"/>
      <c r="I1335" s="174"/>
      <c r="J1335" s="174"/>
      <c r="K1335" s="174"/>
      <c r="L1335" s="174"/>
      <c r="M1335" s="174"/>
      <c r="N1335" s="174"/>
      <c r="O1335" s="174"/>
      <c r="P1335" s="174"/>
      <c r="Q1335" s="174"/>
      <c r="R1335" s="174"/>
      <c r="S1335" s="174"/>
      <c r="T1335" s="174"/>
      <c r="U1335" s="174"/>
      <c r="V1335" s="174"/>
      <c r="W1335" s="160"/>
      <c r="X1335" s="160"/>
      <c r="Y1335" s="160"/>
      <c r="Z1335" s="160"/>
      <c r="AA1335" s="160"/>
      <c r="AB1335" s="160"/>
      <c r="AC1335" s="160"/>
      <c r="AD1335" s="160"/>
      <c r="AE1335" s="160"/>
      <c r="AF1335" s="160"/>
      <c r="AG1335" s="160"/>
      <c r="AH1335" s="160"/>
      <c r="AI1335" s="160"/>
      <c r="AJ1335" s="179"/>
      <c r="AK1335" s="160"/>
      <c r="AL1335" s="177"/>
      <c r="AM1335" s="177"/>
      <c r="AN1335" s="177"/>
      <c r="AO1335" s="160"/>
      <c r="AP1335" s="160"/>
      <c r="AQ1335" s="160"/>
      <c r="AR1335" s="160"/>
      <c r="AS1335" s="160"/>
      <c r="AT1335" s="160"/>
      <c r="AU1335" s="160"/>
      <c r="AV1335" s="160">
        <f>IF($AV$1129&gt;0,'Assumptions (Nuclear)'!V11*Model!$AV$1129*AVERAGE('Assumptions (Nuclear)'!$AO$2:$AT$2)/10^9,0)</f>
        <v>0.04189410941</v>
      </c>
      <c r="AW1335" s="160">
        <f>IF($AV$1129&gt;0,'Assumptions (Nuclear)'!W11*Model!$AV$1129*AVERAGE('Assumptions (Nuclear)'!$AO$2:$AT$2)/10^9,0)</f>
        <v>0.07959880788</v>
      </c>
      <c r="AX1335" s="160">
        <f>IF($AV$1129&gt;0,'Assumptions (Nuclear)'!X11*Model!$AV$1129*AVERAGE('Assumptions (Nuclear)'!$AO$2:$AT$2)/10^9,0)</f>
        <v>0.0716389271</v>
      </c>
      <c r="AY1335" s="160">
        <f>IF($AV$1129&gt;0,'Assumptions (Nuclear)'!Y11*Model!$AV$1129*AVERAGE('Assumptions (Nuclear)'!$AO$2:$AT$2)/10^9,0)</f>
        <v>0.0645169285</v>
      </c>
      <c r="AZ1335" s="160">
        <f>IF($AV$1129&gt;0,'Assumptions (Nuclear)'!Z11*Model!$AV$1129*AVERAGE('Assumptions (Nuclear)'!$AO$2:$AT$2)/10^9,0)</f>
        <v>0.05806523565</v>
      </c>
      <c r="BA1335" s="160">
        <f>IF($AV$1129&gt;0,'Assumptions (Nuclear)'!AA11*Model!$AV$1129*AVERAGE('Assumptions (Nuclear)'!$AO$2:$AT$2)/10^9,0)</f>
        <v>0.05220006033</v>
      </c>
      <c r="BB1335" s="160">
        <f>IF($AV$1129&gt;0,'Assumptions (Nuclear)'!AB11*Model!$AV$1129*AVERAGE('Assumptions (Nuclear)'!$AO$2:$AT$2)/10^9,0)</f>
        <v>0.04943504911</v>
      </c>
      <c r="BC1335" s="160">
        <f>IF($AV$1129&gt;0,'Assumptions (Nuclear)'!AC11*Model!$AV$1129*AVERAGE('Assumptions (Nuclear)'!$AO$2:$AT$2)/10^9,0)</f>
        <v>0.04943504911</v>
      </c>
      <c r="BD1335" s="160">
        <f>IF($AV$1129&gt;0,'Assumptions (Nuclear)'!AD11*Model!$AV$1129*AVERAGE('Assumptions (Nuclear)'!$AO$2:$AT$2)/10^9,0)</f>
        <v>0.04951883733</v>
      </c>
      <c r="BE1335" s="160">
        <f>IF($AV$1129&gt;0,'Assumptions (Nuclear)'!AE11*Model!$AV$1129*AVERAGE('Assumptions (Nuclear)'!$AO$2:$AT$2)/10^9,0)</f>
        <v>0.04943504911</v>
      </c>
      <c r="BF1335" s="160">
        <f>IF($AV$1129&gt;0,'Assumptions (Nuclear)'!AF11*Model!$AV$1129*AVERAGE('Assumptions (Nuclear)'!$AO$2:$AT$2)/10^9,0)</f>
        <v>0.04951883733</v>
      </c>
      <c r="BG1335" s="160">
        <f>IF($AV$1129&gt;0,'Assumptions (Nuclear)'!AG11*Model!$AV$1129*AVERAGE('Assumptions (Nuclear)'!$AO$2:$AT$2)/10^9,0)</f>
        <v>0.04943504911</v>
      </c>
      <c r="BH1335" s="160">
        <f>IF($AV$1129&gt;0,'Assumptions (Nuclear)'!AH11*Model!$AV$1129*AVERAGE('Assumptions (Nuclear)'!$AO$2:$AT$2)/10^9,0)</f>
        <v>0.04951883733</v>
      </c>
      <c r="BI1335" s="160">
        <f>IF($AV$1129&gt;0,'Assumptions (Nuclear)'!AI11*Model!$AV$1129*AVERAGE('Assumptions (Nuclear)'!$AO$2:$AT$2)/10^9,0)</f>
        <v>0.04943504911</v>
      </c>
      <c r="BJ1335" s="160">
        <f>IF($AV$1129&gt;0,'Assumptions (Nuclear)'!AJ11*Model!$AV$1129*AVERAGE('Assumptions (Nuclear)'!$AO$2:$AT$2)/10^9,0)</f>
        <v>0.04951883733</v>
      </c>
      <c r="BK1335" s="160">
        <f>IF($AV$1129&gt;0,'Assumptions (Nuclear)'!AK11*Model!$AV$1129*AVERAGE('Assumptions (Nuclear)'!$AO$2:$AT$2)/10^9,0)</f>
        <v>0.02471752455</v>
      </c>
      <c r="BL1335" s="160"/>
      <c r="BM1335" s="160"/>
      <c r="BN1335" s="160"/>
      <c r="BO1335" s="160"/>
      <c r="BP1335" s="160"/>
      <c r="BQ1335" s="160"/>
      <c r="BR1335" s="160"/>
      <c r="BS1335" s="160"/>
      <c r="BT1335" s="160"/>
    </row>
    <row r="1336" ht="15.75" hidden="1" customHeight="1" outlineLevel="1">
      <c r="A1336" s="262"/>
      <c r="B1336" s="38"/>
      <c r="C1336" s="174"/>
      <c r="D1336" s="174"/>
      <c r="E1336" s="174"/>
      <c r="F1336" s="174"/>
      <c r="G1336" s="174"/>
      <c r="H1336" s="174"/>
      <c r="I1336" s="174"/>
      <c r="J1336" s="174"/>
      <c r="K1336" s="174"/>
      <c r="L1336" s="174"/>
      <c r="M1336" s="174"/>
      <c r="N1336" s="174"/>
      <c r="O1336" s="174"/>
      <c r="P1336" s="174"/>
      <c r="Q1336" s="174"/>
      <c r="R1336" s="174"/>
      <c r="S1336" s="174"/>
      <c r="T1336" s="174"/>
      <c r="U1336" s="174"/>
      <c r="V1336" s="174"/>
      <c r="W1336" s="160"/>
      <c r="X1336" s="160"/>
      <c r="Y1336" s="160"/>
      <c r="Z1336" s="160"/>
      <c r="AA1336" s="160"/>
      <c r="AB1336" s="160"/>
      <c r="AC1336" s="160"/>
      <c r="AD1336" s="160"/>
      <c r="AE1336" s="160"/>
      <c r="AF1336" s="160"/>
      <c r="AG1336" s="160"/>
      <c r="AH1336" s="160"/>
      <c r="AI1336" s="160"/>
      <c r="AJ1336" s="179"/>
      <c r="AK1336" s="160"/>
      <c r="AL1336" s="177"/>
      <c r="AM1336" s="177"/>
      <c r="AN1336" s="177"/>
      <c r="AO1336" s="160"/>
      <c r="AP1336" s="160"/>
      <c r="AQ1336" s="160"/>
      <c r="AR1336" s="160"/>
      <c r="AS1336" s="160"/>
      <c r="AT1336" s="160"/>
      <c r="AU1336" s="160"/>
      <c r="AV1336" s="160"/>
      <c r="AW1336" s="160">
        <f>IF($AW$1129&gt;0,'Assumptions (Nuclear)'!V11*Model!$AW$1129*AVERAGE('Assumptions (Nuclear)'!$AP$2:$AU$2)/10^9,0)</f>
        <v>1.154473581</v>
      </c>
      <c r="AX1336" s="160">
        <f>IF($AW$1129&gt;0,'Assumptions (Nuclear)'!W11*Model!$AW$1129*AVERAGE('Assumptions (Nuclear)'!$AP$2:$AU$2)/10^9,0)</f>
        <v>2.193499803</v>
      </c>
      <c r="AY1336" s="160">
        <f>IF($AW$1129&gt;0,'Assumptions (Nuclear)'!X11*Model!$AW$1129*AVERAGE('Assumptions (Nuclear)'!$AP$2:$AU$2)/10^9,0)</f>
        <v>1.974149823</v>
      </c>
      <c r="AZ1336" s="160">
        <f>IF($AW$1129&gt;0,'Assumptions (Nuclear)'!Y11*Model!$AW$1129*AVERAGE('Assumptions (Nuclear)'!$AP$2:$AU$2)/10^9,0)</f>
        <v>1.777889314</v>
      </c>
      <c r="BA1336" s="160">
        <f>IF($AW$1129&gt;0,'Assumptions (Nuclear)'!Z11*Model!$AW$1129*AVERAGE('Assumptions (Nuclear)'!$AP$2:$AU$2)/10^9,0)</f>
        <v>1.600100383</v>
      </c>
      <c r="BB1336" s="160">
        <f>IF($AW$1129&gt;0,'Assumptions (Nuclear)'!AA11*Model!$AW$1129*AVERAGE('Assumptions (Nuclear)'!$AP$2:$AU$2)/10^9,0)</f>
        <v>1.438474082</v>
      </c>
      <c r="BC1336" s="160">
        <f>IF($AW$1129&gt;0,'Assumptions (Nuclear)'!AB11*Model!$AW$1129*AVERAGE('Assumptions (Nuclear)'!$AP$2:$AU$2)/10^9,0)</f>
        <v>1.362278825</v>
      </c>
      <c r="BD1336" s="160">
        <f>IF($AW$1129&gt;0,'Assumptions (Nuclear)'!AC11*Model!$AW$1129*AVERAGE('Assumptions (Nuclear)'!$AP$2:$AU$2)/10^9,0)</f>
        <v>1.362278825</v>
      </c>
      <c r="BE1336" s="160">
        <f>IF($AW$1129&gt;0,'Assumptions (Nuclear)'!AD11*Model!$AW$1129*AVERAGE('Assumptions (Nuclear)'!$AP$2:$AU$2)/10^9,0)</f>
        <v>1.364587772</v>
      </c>
      <c r="BF1336" s="160">
        <f>IF($AW$1129&gt;0,'Assumptions (Nuclear)'!AE11*Model!$AW$1129*AVERAGE('Assumptions (Nuclear)'!$AP$2:$AU$2)/10^9,0)</f>
        <v>1.362278825</v>
      </c>
      <c r="BG1336" s="160">
        <f>IF($AW$1129&gt;0,'Assumptions (Nuclear)'!AF11*Model!$AW$1129*AVERAGE('Assumptions (Nuclear)'!$AP$2:$AU$2)/10^9,0)</f>
        <v>1.364587772</v>
      </c>
      <c r="BH1336" s="160">
        <f>IF($AW$1129&gt;0,'Assumptions (Nuclear)'!AG11*Model!$AW$1129*AVERAGE('Assumptions (Nuclear)'!$AP$2:$AU$2)/10^9,0)</f>
        <v>1.362278825</v>
      </c>
      <c r="BI1336" s="160">
        <f>IF($AW$1129&gt;0,'Assumptions (Nuclear)'!AH11*Model!$AW$1129*AVERAGE('Assumptions (Nuclear)'!$AP$2:$AU$2)/10^9,0)</f>
        <v>1.364587772</v>
      </c>
      <c r="BJ1336" s="160">
        <f>IF($AW$1129&gt;0,'Assumptions (Nuclear)'!AI11*Model!$AW$1129*AVERAGE('Assumptions (Nuclear)'!$AP$2:$AU$2)/10^9,0)</f>
        <v>1.362278825</v>
      </c>
      <c r="BK1336" s="160">
        <f>IF($AW$1129&gt;0,'Assumptions (Nuclear)'!AJ11*Model!$AW$1129*AVERAGE('Assumptions (Nuclear)'!$AP$2:$AU$2)/10^9,0)</f>
        <v>1.364587772</v>
      </c>
      <c r="BL1336" s="160">
        <f>IF($AW$1129&gt;0,'Assumptions (Nuclear)'!AK11*Model!$AW$1129*AVERAGE('Assumptions (Nuclear)'!$AP$2:$AU$2)/10^9,0)</f>
        <v>0.6811394126</v>
      </c>
      <c r="BM1336" s="160"/>
      <c r="BN1336" s="160"/>
      <c r="BO1336" s="160"/>
      <c r="BP1336" s="160"/>
      <c r="BQ1336" s="160"/>
      <c r="BR1336" s="160"/>
      <c r="BS1336" s="160"/>
      <c r="BT1336" s="160"/>
      <c r="BU1336" s="160"/>
    </row>
    <row r="1337" ht="15.75" hidden="1" customHeight="1" outlineLevel="1">
      <c r="A1337" s="262"/>
      <c r="B1337" s="38"/>
      <c r="C1337" s="174"/>
      <c r="D1337" s="174"/>
      <c r="E1337" s="174"/>
      <c r="F1337" s="174"/>
      <c r="G1337" s="174"/>
      <c r="H1337" s="174"/>
      <c r="I1337" s="174"/>
      <c r="J1337" s="174"/>
      <c r="K1337" s="174"/>
      <c r="L1337" s="174"/>
      <c r="M1337" s="174"/>
      <c r="N1337" s="174"/>
      <c r="O1337" s="174"/>
      <c r="P1337" s="174"/>
      <c r="Q1337" s="174"/>
      <c r="R1337" s="174"/>
      <c r="S1337" s="174"/>
      <c r="T1337" s="174"/>
      <c r="U1337" s="174"/>
      <c r="V1337" s="174"/>
      <c r="W1337" s="160"/>
      <c r="X1337" s="160"/>
      <c r="Y1337" s="160"/>
      <c r="Z1337" s="160"/>
      <c r="AA1337" s="160"/>
      <c r="AB1337" s="160"/>
      <c r="AC1337" s="160"/>
      <c r="AD1337" s="160"/>
      <c r="AE1337" s="160"/>
      <c r="AF1337" s="160"/>
      <c r="AG1337" s="160"/>
      <c r="AH1337" s="160"/>
      <c r="AI1337" s="160"/>
      <c r="AJ1337" s="179"/>
      <c r="AK1337" s="160"/>
      <c r="AL1337" s="177"/>
      <c r="AM1337" s="177"/>
      <c r="AN1337" s="177"/>
      <c r="AO1337" s="160"/>
      <c r="AP1337" s="160"/>
      <c r="AQ1337" s="160"/>
      <c r="AR1337" s="160"/>
      <c r="AS1337" s="160"/>
      <c r="AT1337" s="160"/>
      <c r="AU1337" s="160"/>
      <c r="AV1337" s="160"/>
      <c r="AW1337" s="160"/>
      <c r="AX1337" s="160">
        <f>IF($AX$1129&gt;0,'Assumptions (Nuclear)'!V11*Model!$AX$1129*AVERAGE('Assumptions (Nuclear)'!$AQ$2:$AV$2)/10^9,0)</f>
        <v>1.366068014</v>
      </c>
      <c r="AY1337" s="160">
        <f>IF($AX$1129&gt;0,'Assumptions (Nuclear)'!W11*Model!$AX$1129*AVERAGE('Assumptions (Nuclear)'!$AQ$2:$AV$2)/10^9,0)</f>
        <v>2.595529226</v>
      </c>
      <c r="AZ1337" s="160">
        <f>IF($AX$1129&gt;0,'Assumptions (Nuclear)'!X11*Model!$AX$1129*AVERAGE('Assumptions (Nuclear)'!$AQ$2:$AV$2)/10^9,0)</f>
        <v>2.335976304</v>
      </c>
      <c r="BA1337" s="160">
        <f>IF($AX$1129&gt;0,'Assumptions (Nuclear)'!Y11*Model!$AX$1129*AVERAGE('Assumptions (Nuclear)'!$AQ$2:$AV$2)/10^9,0)</f>
        <v>2.103744741</v>
      </c>
      <c r="BB1337" s="160">
        <f>IF($AX$1129&gt;0,'Assumptions (Nuclear)'!Z11*Model!$AX$1129*AVERAGE('Assumptions (Nuclear)'!$AQ$2:$AV$2)/10^9,0)</f>
        <v>1.893370267</v>
      </c>
      <c r="BC1337" s="160">
        <f>IF($AX$1129&gt;0,'Assumptions (Nuclear)'!AA11*Model!$AX$1129*AVERAGE('Assumptions (Nuclear)'!$AQ$2:$AV$2)/10^9,0)</f>
        <v>1.702120745</v>
      </c>
      <c r="BD1337" s="160">
        <f>IF($AX$1129&gt;0,'Assumptions (Nuclear)'!AB11*Model!$AX$1129*AVERAGE('Assumptions (Nuclear)'!$AQ$2:$AV$2)/10^9,0)</f>
        <v>1.611960256</v>
      </c>
      <c r="BE1337" s="160">
        <f>IF($AX$1129&gt;0,'Assumptions (Nuclear)'!AC11*Model!$AX$1129*AVERAGE('Assumptions (Nuclear)'!$AQ$2:$AV$2)/10^9,0)</f>
        <v>1.611960256</v>
      </c>
      <c r="BF1337" s="160">
        <f>IF($AX$1129&gt;0,'Assumptions (Nuclear)'!AD11*Model!$AX$1129*AVERAGE('Assumptions (Nuclear)'!$AQ$2:$AV$2)/10^9,0)</f>
        <v>1.614692392</v>
      </c>
      <c r="BG1337" s="160">
        <f>IF($AX$1129&gt;0,'Assumptions (Nuclear)'!AE11*Model!$AX$1129*AVERAGE('Assumptions (Nuclear)'!$AQ$2:$AV$2)/10^9,0)</f>
        <v>1.611960256</v>
      </c>
      <c r="BH1337" s="160">
        <f>IF($AX$1129&gt;0,'Assumptions (Nuclear)'!AF11*Model!$AX$1129*AVERAGE('Assumptions (Nuclear)'!$AQ$2:$AV$2)/10^9,0)</f>
        <v>1.614692392</v>
      </c>
      <c r="BI1337" s="160">
        <f>IF($AX$1129&gt;0,'Assumptions (Nuclear)'!AG11*Model!$AX$1129*AVERAGE('Assumptions (Nuclear)'!$AQ$2:$AV$2)/10^9,0)</f>
        <v>1.611960256</v>
      </c>
      <c r="BJ1337" s="160">
        <f>IF($AX$1129&gt;0,'Assumptions (Nuclear)'!AH11*Model!$AX$1129*AVERAGE('Assumptions (Nuclear)'!$AQ$2:$AV$2)/10^9,0)</f>
        <v>1.614692392</v>
      </c>
      <c r="BK1337" s="160">
        <f>IF($AX$1129&gt;0,'Assumptions (Nuclear)'!AI11*Model!$AX$1129*AVERAGE('Assumptions (Nuclear)'!$AQ$2:$AV$2)/10^9,0)</f>
        <v>1.611960256</v>
      </c>
      <c r="BL1337" s="160">
        <f>IF($AX$1129&gt;0,'Assumptions (Nuclear)'!AJ11*Model!$AX$1129*AVERAGE('Assumptions (Nuclear)'!$AQ$2:$AV$2)/10^9,0)</f>
        <v>1.614692392</v>
      </c>
      <c r="BM1337" s="160">
        <f>IF($AX$1129&gt;0,'Assumptions (Nuclear)'!AK11*Model!$AX$1129*AVERAGE('Assumptions (Nuclear)'!$AQ$2:$AV$2)/10^9,0)</f>
        <v>0.8059801282</v>
      </c>
      <c r="BN1337" s="160"/>
      <c r="BO1337" s="160"/>
      <c r="BP1337" s="160"/>
      <c r="BQ1337" s="160"/>
      <c r="BR1337" s="160"/>
      <c r="BS1337" s="160"/>
      <c r="BT1337" s="160"/>
      <c r="BU1337" s="160"/>
    </row>
    <row r="1338" ht="15.75" hidden="1" customHeight="1" outlineLevel="1">
      <c r="A1338" s="262"/>
      <c r="B1338" s="38"/>
      <c r="C1338" s="174"/>
      <c r="D1338" s="174"/>
      <c r="E1338" s="174"/>
      <c r="F1338" s="174"/>
      <c r="G1338" s="174"/>
      <c r="H1338" s="174"/>
      <c r="I1338" s="174"/>
      <c r="J1338" s="174"/>
      <c r="K1338" s="174"/>
      <c r="L1338" s="174"/>
      <c r="M1338" s="174"/>
      <c r="N1338" s="174"/>
      <c r="O1338" s="174"/>
      <c r="P1338" s="174"/>
      <c r="Q1338" s="174"/>
      <c r="R1338" s="174"/>
      <c r="S1338" s="174"/>
      <c r="T1338" s="174"/>
      <c r="U1338" s="174"/>
      <c r="V1338" s="174"/>
      <c r="W1338" s="160"/>
      <c r="X1338" s="160"/>
      <c r="Y1338" s="160"/>
      <c r="Z1338" s="160"/>
      <c r="AA1338" s="160"/>
      <c r="AB1338" s="160"/>
      <c r="AC1338" s="160"/>
      <c r="AD1338" s="160"/>
      <c r="AE1338" s="160"/>
      <c r="AF1338" s="160"/>
      <c r="AG1338" s="160"/>
      <c r="AH1338" s="160"/>
      <c r="AI1338" s="160"/>
      <c r="AJ1338" s="179"/>
      <c r="AK1338" s="160"/>
      <c r="AL1338" s="177"/>
      <c r="AM1338" s="177"/>
      <c r="AN1338" s="177"/>
      <c r="AO1338" s="160"/>
      <c r="AP1338" s="160"/>
      <c r="AQ1338" s="160"/>
      <c r="AR1338" s="160"/>
      <c r="AS1338" s="160"/>
      <c r="AT1338" s="160"/>
      <c r="AU1338" s="160"/>
      <c r="AV1338" s="160"/>
      <c r="AW1338" s="160"/>
      <c r="AX1338" s="160"/>
      <c r="AY1338" s="160">
        <f>IF($AY$1129&gt;0,'Assumptions (Nuclear)'!V11*Model!$AY$1129*AVERAGE('Assumptions (Nuclear)'!$AR$2:$AW$2)/10^9,0)</f>
        <v>0.6534156105</v>
      </c>
      <c r="AZ1338" s="160">
        <f>IF($AY$1129&gt;0,'Assumptions (Nuclear)'!W11*Model!$AY$1129*AVERAGE('Assumptions (Nuclear)'!$AR$2:$AW$2)/10^9,0)</f>
        <v>1.24148966</v>
      </c>
      <c r="BA1338" s="160">
        <f>IF($AY$1129&gt;0,'Assumptions (Nuclear)'!X11*Model!$AY$1129*AVERAGE('Assumptions (Nuclear)'!$AR$2:$AW$2)/10^9,0)</f>
        <v>1.117340694</v>
      </c>
      <c r="BB1338" s="160">
        <f>IF($AY$1129&gt;0,'Assumptions (Nuclear)'!Y11*Model!$AY$1129*AVERAGE('Assumptions (Nuclear)'!$AR$2:$AW$2)/10^9,0)</f>
        <v>1.00626004</v>
      </c>
      <c r="BC1338" s="160">
        <f>IF($AY$1129&gt;0,'Assumptions (Nuclear)'!Z11*Model!$AY$1129*AVERAGE('Assumptions (Nuclear)'!$AR$2:$AW$2)/10^9,0)</f>
        <v>0.9056340361</v>
      </c>
      <c r="BD1338" s="160">
        <f>IF($AY$1129&gt;0,'Assumptions (Nuclear)'!AA11*Model!$AY$1129*AVERAGE('Assumptions (Nuclear)'!$AR$2:$AW$2)/10^9,0)</f>
        <v>0.8141558506</v>
      </c>
      <c r="BE1338" s="160">
        <f>IF($AY$1129&gt;0,'Assumptions (Nuclear)'!AB11*Model!$AY$1129*AVERAGE('Assumptions (Nuclear)'!$AR$2:$AW$2)/10^9,0)</f>
        <v>0.7710304203</v>
      </c>
      <c r="BF1338" s="160">
        <f>IF($AY$1129&gt;0,'Assumptions (Nuclear)'!AC11*Model!$AY$1129*AVERAGE('Assumptions (Nuclear)'!$AR$2:$AW$2)/10^9,0)</f>
        <v>0.7710304203</v>
      </c>
      <c r="BG1338" s="160">
        <f>IF($AY$1129&gt;0,'Assumptions (Nuclear)'!AD11*Model!$AY$1129*AVERAGE('Assumptions (Nuclear)'!$AR$2:$AW$2)/10^9,0)</f>
        <v>0.7723372516</v>
      </c>
      <c r="BH1338" s="160">
        <f>IF($AY$1129&gt;0,'Assumptions (Nuclear)'!AE11*Model!$AY$1129*AVERAGE('Assumptions (Nuclear)'!$AR$2:$AW$2)/10^9,0)</f>
        <v>0.7710304203</v>
      </c>
      <c r="BI1338" s="160">
        <f>IF($AY$1129&gt;0,'Assumptions (Nuclear)'!AF11*Model!$AY$1129*AVERAGE('Assumptions (Nuclear)'!$AR$2:$AW$2)/10^9,0)</f>
        <v>0.7723372516</v>
      </c>
      <c r="BJ1338" s="160">
        <f>IF($AY$1129&gt;0,'Assumptions (Nuclear)'!AG11*Model!$AY$1129*AVERAGE('Assumptions (Nuclear)'!$AR$2:$AW$2)/10^9,0)</f>
        <v>0.7710304203</v>
      </c>
      <c r="BK1338" s="160">
        <f>IF($AY$1129&gt;0,'Assumptions (Nuclear)'!AH11*Model!$AY$1129*AVERAGE('Assumptions (Nuclear)'!$AR$2:$AW$2)/10^9,0)</f>
        <v>0.7723372516</v>
      </c>
      <c r="BL1338" s="160">
        <f>IF($AY$1129&gt;0,'Assumptions (Nuclear)'!AI11*Model!$AY$1129*AVERAGE('Assumptions (Nuclear)'!$AR$2:$AW$2)/10^9,0)</f>
        <v>0.7710304203</v>
      </c>
      <c r="BM1338" s="160">
        <f>IF($AY$1129&gt;0,'Assumptions (Nuclear)'!AJ11*Model!$AY$1129*AVERAGE('Assumptions (Nuclear)'!$AR$2:$AW$2)/10^9,0)</f>
        <v>0.7723372516</v>
      </c>
      <c r="BN1338" s="160">
        <f>IF($AY$1129&gt;0,'Assumptions (Nuclear)'!AK11*Model!$AY$1129*AVERAGE('Assumptions (Nuclear)'!$AR$2:$AW$2)/10^9,0)</f>
        <v>0.3855152102</v>
      </c>
      <c r="BO1338" s="160"/>
      <c r="BP1338" s="160"/>
      <c r="BQ1338" s="160"/>
      <c r="BR1338" s="160"/>
      <c r="BS1338" s="160"/>
      <c r="BT1338" s="160"/>
      <c r="BU1338" s="160"/>
    </row>
    <row r="1339" ht="15.75" hidden="1" customHeight="1" outlineLevel="1">
      <c r="A1339" s="262"/>
      <c r="B1339" s="38"/>
      <c r="C1339" s="174"/>
      <c r="D1339" s="174"/>
      <c r="E1339" s="174"/>
      <c r="F1339" s="174"/>
      <c r="G1339" s="174"/>
      <c r="H1339" s="174"/>
      <c r="I1339" s="174"/>
      <c r="J1339" s="174"/>
      <c r="K1339" s="174"/>
      <c r="L1339" s="174"/>
      <c r="M1339" s="174"/>
      <c r="N1339" s="174"/>
      <c r="O1339" s="174"/>
      <c r="P1339" s="174"/>
      <c r="Q1339" s="174"/>
      <c r="R1339" s="174"/>
      <c r="S1339" s="174"/>
      <c r="T1339" s="174"/>
      <c r="U1339" s="174"/>
      <c r="V1339" s="174"/>
      <c r="W1339" s="160"/>
      <c r="X1339" s="160"/>
      <c r="Y1339" s="160"/>
      <c r="Z1339" s="160"/>
      <c r="AA1339" s="160"/>
      <c r="AB1339" s="160"/>
      <c r="AC1339" s="160"/>
      <c r="AD1339" s="160"/>
      <c r="AE1339" s="160"/>
      <c r="AF1339" s="160"/>
      <c r="AG1339" s="160"/>
      <c r="AH1339" s="160"/>
      <c r="AI1339" s="160"/>
      <c r="AJ1339" s="179"/>
      <c r="AK1339" s="160"/>
      <c r="AL1339" s="177"/>
      <c r="AM1339" s="177"/>
      <c r="AN1339" s="177"/>
      <c r="AO1339" s="160"/>
      <c r="AP1339" s="160"/>
      <c r="AQ1339" s="160"/>
      <c r="AR1339" s="160"/>
      <c r="AS1339" s="160"/>
      <c r="AT1339" s="160"/>
      <c r="AU1339" s="160"/>
      <c r="AV1339" s="160"/>
      <c r="AW1339" s="160"/>
      <c r="AX1339" s="160"/>
      <c r="AY1339" s="160"/>
      <c r="AZ1339" s="160">
        <f>IF($AZ$1129&gt;0,'Assumptions (Nuclear)'!V11*Model!$AZ$1129*AVERAGE('Assumptions (Nuclear)'!$AS$2:$AX$2)/10^9,0)</f>
        <v>1.125153547</v>
      </c>
      <c r="BA1339" s="160">
        <f>IF($AZ$1129&gt;0,'Assumptions (Nuclear)'!W11*Model!$AZ$1129*AVERAGE('Assumptions (Nuclear)'!$AS$2:$AX$2)/10^9,0)</f>
        <v>2.137791739</v>
      </c>
      <c r="BB1339" s="160">
        <f>IF($AZ$1129&gt;0,'Assumptions (Nuclear)'!X11*Model!$AZ$1129*AVERAGE('Assumptions (Nuclear)'!$AS$2:$AX$2)/10^9,0)</f>
        <v>1.924012565</v>
      </c>
      <c r="BC1339" s="160">
        <f>IF($AZ$1129&gt;0,'Assumptions (Nuclear)'!Y11*Model!$AZ$1129*AVERAGE('Assumptions (Nuclear)'!$AS$2:$AX$2)/10^9,0)</f>
        <v>1.732736462</v>
      </c>
      <c r="BD1339" s="160">
        <f>IF($AZ$1129&gt;0,'Assumptions (Nuclear)'!Z11*Model!$AZ$1129*AVERAGE('Assumptions (Nuclear)'!$AS$2:$AX$2)/10^9,0)</f>
        <v>1.559462816</v>
      </c>
      <c r="BE1339" s="160">
        <f>IF($AZ$1129&gt;0,'Assumptions (Nuclear)'!AA11*Model!$AZ$1129*AVERAGE('Assumptions (Nuclear)'!$AS$2:$AX$2)/10^9,0)</f>
        <v>1.401941319</v>
      </c>
      <c r="BF1339" s="160">
        <f>IF($AZ$1129&gt;0,'Assumptions (Nuclear)'!AB11*Model!$AZ$1129*AVERAGE('Assumptions (Nuclear)'!$AS$2:$AX$2)/10^9,0)</f>
        <v>1.327681185</v>
      </c>
      <c r="BG1339" s="160">
        <f>IF($AZ$1129&gt;0,'Assumptions (Nuclear)'!AC11*Model!$AZ$1129*AVERAGE('Assumptions (Nuclear)'!$AS$2:$AX$2)/10^9,0)</f>
        <v>1.327681185</v>
      </c>
      <c r="BH1339" s="160">
        <f>IF($AZ$1129&gt;0,'Assumptions (Nuclear)'!AD11*Model!$AZ$1129*AVERAGE('Assumptions (Nuclear)'!$AS$2:$AX$2)/10^9,0)</f>
        <v>1.329931492</v>
      </c>
      <c r="BI1339" s="160">
        <f>IF($AZ$1129&gt;0,'Assumptions (Nuclear)'!AE11*Model!$AZ$1129*AVERAGE('Assumptions (Nuclear)'!$AS$2:$AX$2)/10^9,0)</f>
        <v>1.327681185</v>
      </c>
      <c r="BJ1339" s="160">
        <f>IF($AZ$1129&gt;0,'Assumptions (Nuclear)'!AF11*Model!$AZ$1129*AVERAGE('Assumptions (Nuclear)'!$AS$2:$AX$2)/10^9,0)</f>
        <v>1.329931492</v>
      </c>
      <c r="BK1339" s="160">
        <f>IF($AZ$1129&gt;0,'Assumptions (Nuclear)'!AG11*Model!$AZ$1129*AVERAGE('Assumptions (Nuclear)'!$AS$2:$AX$2)/10^9,0)</f>
        <v>1.327681185</v>
      </c>
      <c r="BL1339" s="160">
        <f>IF($AZ$1129&gt;0,'Assumptions (Nuclear)'!AH11*Model!$AZ$1129*AVERAGE('Assumptions (Nuclear)'!$AS$2:$AX$2)/10^9,0)</f>
        <v>1.329931492</v>
      </c>
      <c r="BM1339" s="160">
        <f>IF($AZ$1129&gt;0,'Assumptions (Nuclear)'!AI11*Model!$AZ$1129*AVERAGE('Assumptions (Nuclear)'!$AS$2:$AX$2)/10^9,0)</f>
        <v>1.327681185</v>
      </c>
      <c r="BN1339" s="160">
        <f>IF($AZ$1129&gt;0,'Assumptions (Nuclear)'!AJ11*Model!$AZ$1129*AVERAGE('Assumptions (Nuclear)'!$AS$2:$AX$2)/10^9,0)</f>
        <v>1.329931492</v>
      </c>
      <c r="BO1339" s="160">
        <f>IF($AZ$1129&gt;0,'Assumptions (Nuclear)'!AK11*Model!$AZ$1129*AVERAGE('Assumptions (Nuclear)'!$AS$2:$AX$2)/10^9,0)</f>
        <v>0.6638405925</v>
      </c>
      <c r="BP1339" s="160"/>
      <c r="BQ1339" s="160"/>
      <c r="BR1339" s="160"/>
      <c r="BS1339" s="160"/>
      <c r="BT1339" s="160"/>
      <c r="BU1339" s="160"/>
    </row>
    <row r="1340" ht="15.75" hidden="1" customHeight="1" outlineLevel="1">
      <c r="A1340" s="262"/>
      <c r="B1340" s="38"/>
      <c r="C1340" s="174"/>
      <c r="D1340" s="174"/>
      <c r="E1340" s="174"/>
      <c r="F1340" s="174"/>
      <c r="G1340" s="174"/>
      <c r="H1340" s="174"/>
      <c r="I1340" s="174"/>
      <c r="J1340" s="174"/>
      <c r="K1340" s="174"/>
      <c r="L1340" s="174"/>
      <c r="M1340" s="174"/>
      <c r="N1340" s="174"/>
      <c r="O1340" s="174"/>
      <c r="P1340" s="174"/>
      <c r="Q1340" s="174"/>
      <c r="R1340" s="174"/>
      <c r="S1340" s="174"/>
      <c r="T1340" s="174"/>
      <c r="U1340" s="174"/>
      <c r="V1340" s="174"/>
      <c r="W1340" s="160"/>
      <c r="X1340" s="160"/>
      <c r="Y1340" s="160"/>
      <c r="Z1340" s="160"/>
      <c r="AA1340" s="160"/>
      <c r="AB1340" s="160"/>
      <c r="AC1340" s="160"/>
      <c r="AD1340" s="160"/>
      <c r="AE1340" s="160"/>
      <c r="AF1340" s="160"/>
      <c r="AG1340" s="160"/>
      <c r="AH1340" s="160"/>
      <c r="AI1340" s="160"/>
      <c r="AJ1340" s="179"/>
      <c r="AK1340" s="160"/>
      <c r="AL1340" s="177"/>
      <c r="AM1340" s="177"/>
      <c r="AN1340" s="177"/>
      <c r="AO1340" s="160"/>
      <c r="AP1340" s="160"/>
      <c r="AQ1340" s="160"/>
      <c r="AR1340" s="160"/>
      <c r="AS1340" s="160"/>
      <c r="AT1340" s="160"/>
      <c r="AU1340" s="160"/>
      <c r="AV1340" s="160"/>
      <c r="AW1340" s="160"/>
      <c r="AX1340" s="160"/>
      <c r="AY1340" s="160"/>
      <c r="AZ1340" s="160"/>
      <c r="BA1340" s="160">
        <f>IF($BA$1129&gt;0,'Assumptions (Nuclear)'!V11*Model!$BA$1129*AVERAGE('Assumptions (Nuclear)'!$AT$2:$AY$2)/10^9,0)</f>
        <v>0.04446210429</v>
      </c>
      <c r="BB1340" s="160">
        <f>IF($BA$1129&gt;0,'Assumptions (Nuclear)'!W11*Model!$BA$1129*AVERAGE('Assumptions (Nuclear)'!$AT$2:$AY$2)/10^9,0)</f>
        <v>0.08447799815</v>
      </c>
      <c r="BC1340" s="160">
        <f>IF($BA$1129&gt;0,'Assumptions (Nuclear)'!X11*Model!$BA$1129*AVERAGE('Assumptions (Nuclear)'!$AT$2:$AY$2)/10^9,0)</f>
        <v>0.07603019834</v>
      </c>
      <c r="BD1340" s="160">
        <f>IF($BA$1129&gt;0,'Assumptions (Nuclear)'!Y11*Model!$BA$1129*AVERAGE('Assumptions (Nuclear)'!$AT$2:$AY$2)/10^9,0)</f>
        <v>0.06847164061</v>
      </c>
      <c r="BE1340" s="160">
        <f>IF($BA$1129&gt;0,'Assumptions (Nuclear)'!Z11*Model!$BA$1129*AVERAGE('Assumptions (Nuclear)'!$AT$2:$AY$2)/10^9,0)</f>
        <v>0.06162447655</v>
      </c>
      <c r="BF1340" s="160">
        <f>IF($BA$1129&gt;0,'Assumptions (Nuclear)'!AA11*Model!$BA$1129*AVERAGE('Assumptions (Nuclear)'!$AT$2:$AY$2)/10^9,0)</f>
        <v>0.05539978195</v>
      </c>
      <c r="BG1340" s="160">
        <f>IF($BA$1129&gt;0,'Assumptions (Nuclear)'!AB11*Model!$BA$1129*AVERAGE('Assumptions (Nuclear)'!$AT$2:$AY$2)/10^9,0)</f>
        <v>0.05246528306</v>
      </c>
      <c r="BH1340" s="160">
        <f>IF($BA$1129&gt;0,'Assumptions (Nuclear)'!AC11*Model!$BA$1129*AVERAGE('Assumptions (Nuclear)'!$AT$2:$AY$2)/10^9,0)</f>
        <v>0.05246528306</v>
      </c>
      <c r="BI1340" s="160">
        <f>IF($BA$1129&gt;0,'Assumptions (Nuclear)'!AD11*Model!$BA$1129*AVERAGE('Assumptions (Nuclear)'!$AT$2:$AY$2)/10^9,0)</f>
        <v>0.05255420727</v>
      </c>
      <c r="BJ1340" s="160">
        <f>IF($BA$1129&gt;0,'Assumptions (Nuclear)'!AE11*Model!$BA$1129*AVERAGE('Assumptions (Nuclear)'!$AT$2:$AY$2)/10^9,0)</f>
        <v>0.05246528306</v>
      </c>
      <c r="BK1340" s="160">
        <f>IF($BA$1129&gt;0,'Assumptions (Nuclear)'!AF11*Model!$BA$1129*AVERAGE('Assumptions (Nuclear)'!$AT$2:$AY$2)/10^9,0)</f>
        <v>0.05255420727</v>
      </c>
      <c r="BL1340" s="160">
        <f>IF($BA$1129&gt;0,'Assumptions (Nuclear)'!AG11*Model!$BA$1129*AVERAGE('Assumptions (Nuclear)'!$AT$2:$AY$2)/10^9,0)</f>
        <v>0.05246528306</v>
      </c>
      <c r="BM1340" s="160">
        <f>IF($BA$1129&gt;0,'Assumptions (Nuclear)'!AH11*Model!$BA$1129*AVERAGE('Assumptions (Nuclear)'!$AT$2:$AY$2)/10^9,0)</f>
        <v>0.05255420727</v>
      </c>
      <c r="BN1340" s="160">
        <f>IF($BA$1129&gt;0,'Assumptions (Nuclear)'!AI11*Model!$BA$1129*AVERAGE('Assumptions (Nuclear)'!$AT$2:$AY$2)/10^9,0)</f>
        <v>0.05246528306</v>
      </c>
      <c r="BO1340" s="160">
        <f>IF($BA$1129&gt;0,'Assumptions (Nuclear)'!AJ11*Model!$BA$1129*AVERAGE('Assumptions (Nuclear)'!$AT$2:$AY$2)/10^9,0)</f>
        <v>0.05255420727</v>
      </c>
      <c r="BP1340" s="160">
        <f>IF($BA$1129&gt;0,'Assumptions (Nuclear)'!AK11*Model!$BA$1129*AVERAGE('Assumptions (Nuclear)'!$AT$2:$AY$2)/10^9,0)</f>
        <v>0.02623264153</v>
      </c>
      <c r="BQ1340" s="160"/>
      <c r="BR1340" s="160"/>
      <c r="BS1340" s="160"/>
      <c r="BT1340" s="160"/>
      <c r="BU1340" s="160"/>
    </row>
    <row r="1341" ht="15.75" customHeight="1" collapsed="1">
      <c r="A1341" s="262" t="s">
        <v>62</v>
      </c>
      <c r="B1341" s="159" t="s">
        <v>351</v>
      </c>
      <c r="C1341" s="160">
        <f>IF(Model!C1127+Model!C1128-C1124-Model!C1125-Model!C1126-C1289+C1237&gt;0,(1-'Assumptions (Nuclear)'!B29)*(Model!C1127+Model!C1128-C1124-Model!C1125-Model!C1126-C1289+C1237)+C1289-C1184+C1185,Model!C1127+Model!C1128-C1124-Model!C1125-Model!C1126+C1237-C1184+C1185)</f>
        <v>4.827794972</v>
      </c>
      <c r="D1341" s="160">
        <f>IF(Model!D1127+Model!D1128-D1124-Model!D1125-Model!D1126-D1289+D1237&gt;0,(1-'Assumptions (Nuclear)'!C29)*(Model!D1127+Model!D1128-D1124-Model!D1125-Model!D1126-D1289+D1237)+D1289-D1184+D1185,Model!D1127+Model!D1128-D1124-Model!D1125-Model!D1126+D1237-D1184+D1185)</f>
        <v>5.045516712</v>
      </c>
      <c r="E1341" s="160">
        <f>IF(Model!E1127+Model!E1128-E1124-Model!E1125-Model!E1126-E1289+E1237&gt;0,(1-'Assumptions (Nuclear)'!D29)*(Model!E1127+Model!E1128-E1124-Model!E1125-Model!E1126-E1289+E1237)+E1289-E1184+E1185,Model!E1127+Model!E1128-E1124-Model!E1125-Model!E1126+E1237-E1184+E1185)</f>
        <v>4.329386821</v>
      </c>
      <c r="F1341" s="160">
        <f>IF(Model!F1127+Model!F1128-F1124-Model!F1125-Model!F1126-F1289+F1237&gt;0,(1-'Assumptions (Nuclear)'!E29)*(Model!F1127+Model!F1128-F1124-Model!F1125-Model!F1126-F1289+F1237)+F1289-F1184+F1185,Model!F1127+Model!F1128-F1124-Model!F1125-Model!F1126+F1237-F1184+F1185)</f>
        <v>5.962314715</v>
      </c>
      <c r="G1341" s="160">
        <f>IF(Model!G1127+Model!G1128-G1124-Model!G1125-Model!G1126-G1289+G1237&gt;0,(1-'Assumptions (Nuclear)'!F29)*(Model!G1127+Model!G1128-G1124-Model!G1125-Model!G1126-G1289+G1237)+G1289-G1184+G1185,Model!G1127+Model!G1128-G1124-Model!G1125-Model!G1126+G1237-G1184+G1185)</f>
        <v>6.600225677</v>
      </c>
      <c r="H1341" s="160">
        <f>IF(Model!H1127+Model!H1128-H1124-Model!H1125-Model!H1126-H1289+H1237&gt;0,(1-'Assumptions (Nuclear)'!G29)*(Model!H1127+Model!H1128-H1124-Model!H1125-Model!H1126-H1289+H1237)+H1289-H1184+H1185,Model!H1127+Model!H1128-H1124-Model!H1125-Model!H1126+H1237-H1184+H1185)</f>
        <v>8.626006534</v>
      </c>
      <c r="I1341" s="160">
        <f>IF(Model!I1127+Model!I1128-I1124-Model!I1125-Model!I1126-I1289+I1237&gt;0,(1-'Assumptions (Nuclear)'!H29)*(Model!I1127+Model!I1128-I1124-Model!I1125-Model!I1126-I1289+I1237)+I1289-I1184+I1185,Model!I1127+Model!I1128-I1124-Model!I1125-Model!I1126+I1237-I1184+I1185)</f>
        <v>7.159121234</v>
      </c>
      <c r="J1341" s="160">
        <f>IF(Model!J1127+Model!J1128-J1124-Model!J1125-Model!J1126-J1289+J1237&gt;0,(1-'Assumptions (Nuclear)'!I29)*(Model!J1127+Model!J1128-J1124-Model!J1125-Model!J1126-J1289+J1237)+J1289-J1184+J1185,Model!J1127+Model!J1128-J1124-Model!J1125-Model!J1126+J1237-J1184+J1185)</f>
        <v>8.238323596</v>
      </c>
      <c r="K1341" s="160">
        <f>IF(Model!K1127+Model!K1128-K1124-Model!K1125-Model!K1126-K1289+K1237&gt;0,(1-'Assumptions (Nuclear)'!J29)*(Model!K1127+Model!K1128-K1124-Model!K1125-Model!K1126-K1289+K1237)+K1289-K1184+K1185,Model!K1127+Model!K1128-K1124-Model!K1125-Model!K1126+K1237-K1184+K1185)</f>
        <v>9.976107894</v>
      </c>
      <c r="L1341" s="160">
        <f>IF(Model!L1127+Model!L1128-L1124-Model!L1125-Model!L1126-L1289+L1237&gt;0,(1-'Assumptions (Nuclear)'!K29)*(Model!L1127+Model!L1128-L1124-Model!L1125-Model!L1126-L1289+L1237)+L1289-L1184+L1185,Model!L1127+Model!L1128-L1124-Model!L1125-Model!L1126+L1237-L1184+L1185)</f>
        <v>6.107873126</v>
      </c>
      <c r="M1341" s="160">
        <f>IF(Model!M1127+Model!M1128-M1124-Model!M1125-Model!M1126-M1289+M1237&gt;0,(1-'Assumptions (Nuclear)'!L29)*(Model!M1127+Model!M1128-M1124-Model!M1125-Model!M1126-M1289+M1237)+M1289-M1184+M1185,Model!M1127+Model!M1128-M1124-Model!M1125-Model!M1126+M1237-M1184+M1185)</f>
        <v>5.286684642</v>
      </c>
      <c r="N1341" s="160">
        <f>IF(Model!N1127+Model!N1128-N1124-Model!N1125-Model!N1126-N1289+N1237&gt;0,(1-'Assumptions (Nuclear)'!M29)*(Model!N1127+Model!N1128-N1124-Model!N1125-Model!N1126-N1289+N1237)+N1289-N1184+N1185,Model!N1127+Model!N1128-N1124-Model!N1125-Model!N1126+N1237-N1184+N1185)</f>
        <v>4.904397878</v>
      </c>
      <c r="O1341" s="160">
        <f>IF(Model!O1127+Model!O1128-O1124-Model!O1125-Model!O1126-O1289+O1237&gt;0,(1-'Assumptions (Nuclear)'!N29)*(Model!O1127+Model!O1128-O1124-Model!O1125-Model!O1126-O1289+O1237)+O1289-O1184+O1185,Model!O1127+Model!O1128-O1124-Model!O1125-Model!O1126+O1237-O1184+O1185)</f>
        <v>3.455566921</v>
      </c>
      <c r="P1341" s="160">
        <f>IF(Model!P1127+Model!P1128-P1124-Model!P1125-Model!P1126-P1289+P1237&gt;0,(1-'Assumptions (Nuclear)'!O29)*(Model!P1127+Model!P1128-P1124-Model!P1125-Model!P1126-P1289+P1237)+P1289-P1184+P1185,Model!P1127+Model!P1128-P1124-Model!P1125-Model!P1126+P1237-P1184+P1185)</f>
        <v>4.432066007</v>
      </c>
      <c r="Q1341" s="160">
        <f>IF(Model!Q1127+Model!Q1128-Q1124-Model!Q1125-Model!Q1126-Q1289+Q1237&gt;0,(1-'Assumptions (Nuclear)'!P29)*(Model!Q1127+Model!Q1128-Q1124-Model!Q1125-Model!Q1126-Q1289+Q1237)+Q1289-Q1184+Q1185,Model!Q1127+Model!Q1128-Q1124-Model!Q1125-Model!Q1126+Q1237-Q1184+Q1185)</f>
        <v>5.05060682</v>
      </c>
      <c r="R1341" s="160">
        <f>IF(Model!R1127+Model!R1128-R1124-Model!R1125-Model!R1126-R1289+R1237&gt;0,(1-'Assumptions (Nuclear)'!Q29)*(Model!R1127+Model!R1128-R1124-Model!R1125-Model!R1126-R1289+R1237)+R1289-R1184+R1185,Model!R1127+Model!R1128-R1124-Model!R1125-Model!R1126+R1237-R1184+R1185)</f>
        <v>3.238657876</v>
      </c>
      <c r="S1341" s="160">
        <f>IF(Model!S1127+Model!S1128-S1124-Model!S1125-Model!S1126-S1289+S1237&gt;0,(1-'Assumptions (Nuclear)'!R29)*(Model!S1127+Model!S1128-S1124-Model!S1125-Model!S1126-S1289+S1237)+S1289-S1184+S1185,Model!S1127+Model!S1128-S1124-Model!S1125-Model!S1126+S1237-S1184+S1185)</f>
        <v>4.379100263</v>
      </c>
      <c r="T1341" s="160">
        <f>IF(Model!T1127+Model!T1128-T1124-Model!T1125-Model!T1126-T1289+T1237&gt;0,(1-'Assumptions (Nuclear)'!S29)*(Model!T1127+Model!T1128-T1124-Model!T1125-Model!T1126-T1289+T1237)+T1289-T1184+T1185,Model!T1127+Model!T1128-T1124-Model!T1125-Model!T1126+T1237-T1184+T1185)</f>
        <v>4.424803495</v>
      </c>
      <c r="U1341" s="160">
        <f>IF(Model!U1127+Model!U1128-U1124-Model!U1125-Model!U1126-U1289+U1237&gt;0,(1-'Assumptions (Nuclear)'!T29)*(Model!U1127+Model!U1128-U1124-Model!U1125-Model!U1126-U1289+U1237)+U1289-U1184+U1185,Model!U1127+Model!U1128-U1124-Model!U1125-Model!U1126+U1237-U1184+U1185)</f>
        <v>5.259574654</v>
      </c>
      <c r="V1341" s="160">
        <f>IF(Model!V1127+Model!V1128-V1124-Model!V1125-Model!V1126-V1289+V1237&gt;0,(1-'Assumptions (Nuclear)'!U29)*(Model!V1127+Model!V1128-V1124-Model!V1125-Model!V1126-V1289+V1237)+V1289-V1184+V1185,Model!V1127+Model!V1128-V1124-Model!V1125-Model!V1126+V1237-V1184+V1185)</f>
        <v>5.355369282</v>
      </c>
      <c r="W1341" s="160">
        <f>IF(Model!W1127+Model!W1128-W1124-Model!W1125-Model!W1126-W1289+W1237&gt;0,(1-'Assumptions (Nuclear)'!V29)*(Model!W1127+Model!W1128-W1124-Model!W1125-Model!W1126-W1289+W1237)+W1289-W1184+W1185,Model!W1127+Model!W1128-W1124-Model!W1125-Model!W1126+W1237-W1184+W1185)</f>
        <v>5.718932929</v>
      </c>
      <c r="X1341" s="160">
        <f>IF(Model!X1127+Model!X1128-X1124-Model!X1125-Model!X1126-X1289+X1237&gt;0,(1-'Assumptions (Nuclear)'!W29)*(Model!X1127+Model!X1128-X1124-Model!X1125-Model!X1126-X1289+X1237)+X1289-X1184+X1185,Model!X1127+Model!X1128-X1124-Model!X1125-Model!X1126+X1237-X1184+X1185)</f>
        <v>5.783227291</v>
      </c>
      <c r="Y1341" s="160">
        <f>IF(Model!Y1127+Model!Y1128-Y1124-Model!Y1125-Model!Y1126-Y1289+Y1237&gt;0,(1-'Assumptions (Nuclear)'!X29)*(Model!Y1127+Model!Y1128-Y1124-Model!Y1125-Model!Y1126-Y1289+Y1237)+Y1289-Y1184+Y1185,Model!Y1127+Model!Y1128-Y1124-Model!Y1125-Model!Y1126+Y1237-Y1184+Y1185)</f>
        <v>5.879728622</v>
      </c>
      <c r="Z1341" s="160">
        <f>IF(Model!Z1127+Model!Z1128-Z1124-Model!Z1125-Model!Z1126-Z1289+Z1237&gt;0,(1-'Assumptions (Nuclear)'!Y29)*(Model!Z1127+Model!Z1128-Z1124-Model!Z1125-Model!Z1126-Z1289+Z1237)+Z1289-Z1184+Z1185,Model!Z1127+Model!Z1128-Z1124-Model!Z1125-Model!Z1126+Z1237-Z1184+Z1185)</f>
        <v>6.069697572</v>
      </c>
      <c r="AA1341" s="160">
        <f>IF(Model!AA1127+Model!AA1128-AA1124-Model!AA1125-Model!AA1126-AA1289+AA1237&gt;0,(1-'Assumptions (Nuclear)'!Z29)*(Model!AA1127+Model!AA1128-AA1124-Model!AA1125-Model!AA1126-AA1289+AA1237)+AA1289-AA1184+AA1185,Model!AA1127+Model!AA1128-AA1124-Model!AA1125-Model!AA1126+AA1237-AA1184+AA1185)</f>
        <v>6.296902275</v>
      </c>
      <c r="AB1341" s="160">
        <f>IF(Model!AB1127+Model!AB1128-AB1124-Model!AB1125-Model!AB1126-AB1289+AB1237&gt;0,(1-'Assumptions (Nuclear)'!AA29)*(Model!AB1127+Model!AB1128-AB1124-Model!AB1125-Model!AB1126-AB1289+AB1237)+AB1289-AB1184+AB1185,Model!AB1127+Model!AB1128-AB1124-Model!AB1125-Model!AB1126+AB1237-AB1184+AB1185)</f>
        <v>6.649145312</v>
      </c>
      <c r="AC1341" s="160">
        <f>IF(Model!AC1127+Model!AC1128-AC1124-Model!AC1125-Model!AC1126-AC1289+AC1237&gt;0,(1-'Assumptions (Nuclear)'!AB29)*(Model!AC1127+Model!AC1128-AC1124-Model!AC1125-Model!AC1126-AC1289+AC1237)+AC1289-AC1184+AC1185,Model!AC1127+Model!AC1128-AC1124-Model!AC1125-Model!AC1126+AC1237-AC1184+AC1185)</f>
        <v>6.849690294</v>
      </c>
      <c r="AD1341" s="160">
        <f>IF(Model!AD1127+Model!AD1128-AD1124-Model!AD1125-Model!AD1126-AD1289+AD1237&gt;0,(1-'Assumptions (Nuclear)'!AC29)*(Model!AD1127+Model!AD1128-AD1124-Model!AD1125-Model!AD1126-AD1289+AD1237)+AD1289-AD1184+AD1185,Model!AD1127+Model!AD1128-AD1124-Model!AD1125-Model!AD1126+AD1237-AD1184+AD1185)</f>
        <v>6.45497674</v>
      </c>
      <c r="AE1341" s="160">
        <f>IF(Model!AE1127+Model!AE1128-AE1124-Model!AE1125-Model!AE1126-AE1289+AE1237&gt;0,(1-'Assumptions (Nuclear)'!AD29)*(Model!AE1127+Model!AE1128-AE1124-Model!AE1125-Model!AE1126-AE1289+AE1237)+AE1289-AE1184+AE1185,Model!AE1127+Model!AE1128-AE1124-Model!AE1125-Model!AE1126+AE1237-AE1184+AE1185)</f>
        <v>6.654989083</v>
      </c>
      <c r="AF1341" s="160">
        <f>IF(Model!AF1127+Model!AF1128-AF1124-Model!AF1125-Model!AF1126-AF1289+AF1237&gt;0,(1-'Assumptions (Nuclear)'!AE29)*(Model!AF1127+Model!AF1128-AF1124-Model!AF1125-Model!AF1126-AF1289+AF1237)+AF1289-AF1184+AF1185,Model!AF1127+Model!AF1128-AF1124-Model!AF1125-Model!AF1126+AF1237-AF1184+AF1185)</f>
        <v>6.129862469</v>
      </c>
      <c r="AG1341" s="160">
        <f>IF(Model!AG1127+Model!AG1128-AG1124-Model!AG1125-Model!AG1126-AG1289+AG1237&gt;0,(1-'Assumptions (Nuclear)'!AF29)*(Model!AG1127+Model!AG1128-AG1124-Model!AG1125-Model!AG1126-AG1289+AG1237)+AG1289-AG1184+AG1185,Model!AG1127+Model!AG1128-AG1124-Model!AG1125-Model!AG1126+AG1237-AG1184+AG1185)</f>
        <v>3.858820576</v>
      </c>
      <c r="AH1341" s="160">
        <f>IF(Model!AH1127+Model!AH1128-AH1124-Model!AH1125-Model!AH1126-AH1289+AH1237&gt;0,(1-'Assumptions (Nuclear)'!AG29)*(Model!AH1127+Model!AH1128-AH1124-Model!AH1125-Model!AH1126-AH1289+AH1237)+AH1289-AH1184+AH1185,Model!AH1127+Model!AH1128-AH1124-Model!AH1125-Model!AH1126+AH1237-AH1184+AH1185)</f>
        <v>1.749098866</v>
      </c>
      <c r="AI1341" s="160">
        <f>IF(Model!AI1127+Model!AI1128-AI1124-Model!AI1125-Model!AI1126-AI1289+AI1237&gt;0,(1-'Assumptions (Nuclear)'!AH29)*(Model!AI1127+Model!AI1128-AI1124-Model!AI1125-Model!AI1126-AI1289+AI1237)+AI1289-AI1184+AI1185,Model!AI1127+Model!AI1128-AI1124-Model!AI1125-Model!AI1126+AI1237-AI1184+AI1185)</f>
        <v>1.823640166</v>
      </c>
      <c r="AJ1341" s="160">
        <f>IF(Model!AJ1127+Model!AJ1128-AJ1124-Model!AJ1125-Model!AJ1126-AJ1289+AJ1237&gt;0,(1-'Assumptions (Nuclear)'!AI29)*(Model!AJ1127+Model!AJ1128-AJ1124-Model!AJ1125-Model!AJ1126-AJ1289+AJ1237)+AJ1289-AJ1184+AJ1185,Model!AJ1127+Model!AJ1128-AJ1124-Model!AJ1125-Model!AJ1126+AJ1237-AJ1184+AJ1185)</f>
        <v>-0.2413717985</v>
      </c>
      <c r="AK1341" s="160">
        <f>IF(Model!AK1127+Model!AK1128-AK1124-Model!AK1125-Model!AK1126-AK1289+AK1237&gt;0,(1-'Assumptions (Nuclear)'!AJ29)*(Model!AK1127+Model!AK1128-AK1124-Model!AK1125-Model!AK1126-AK1289+AK1237)+AK1289-AK1184+AK1185,Model!AK1127+Model!AK1128-AK1124-Model!AK1125-Model!AK1126+AK1237-AK1184+AK1185)</f>
        <v>-0.08837558285</v>
      </c>
      <c r="AL1341" s="160">
        <f>IF(Model!AL1127+Model!AL1128-AL1124-Model!AL1125-Model!AL1126-AL1289+AL1237&gt;0,(1-'Assumptions (Nuclear)'!AK29)*(Model!AL1127+Model!AL1128-AL1124-Model!AL1125-Model!AL1126-AL1289+AL1237)+AL1289-AL1184+AL1185,Model!AL1127+Model!AL1128-AL1124-Model!AL1125-Model!AL1126+AL1237-AL1184+AL1185)</f>
        <v>-0.1375151559</v>
      </c>
      <c r="AM1341" s="160">
        <f>IF(Model!AM1127+Model!AM1128-AM1124-Model!AM1125-Model!AM1126-AM1289+AM1237&gt;0,(1-'Assumptions (Nuclear)'!AL29)*(Model!AM1127+Model!AM1128-AM1124-Model!AM1125-Model!AM1126-AM1289+AM1237)+AM1289-AM1184+AM1185,Model!AM1127+Model!AM1128-AM1124-Model!AM1125-Model!AM1126+AM1237-AM1184+AM1185)</f>
        <v>2.228624541</v>
      </c>
      <c r="AN1341" s="160">
        <f>IF(Model!AN1127+Model!AN1128-AN1124-Model!AN1125-Model!AN1126-AN1289+AN1237&gt;0,(1-'Assumptions (Nuclear)'!AM29)*(Model!AN1127+Model!AN1128-AN1124-Model!AN1125-Model!AN1126-AN1289+AN1237)+AN1289-AN1184+AN1185,Model!AN1127+Model!AN1128-AN1124-Model!AN1125-Model!AN1126+AN1237-AN1184+AN1185)</f>
        <v>1.754873611</v>
      </c>
      <c r="AO1341" s="160">
        <f>IF(Model!AO1127+Model!AO1128-AO1124-Model!AO1125-Model!AO1126-AO1289+AO1237&gt;0,(1-'Assumptions (Nuclear)'!AN29)*(Model!AO1127+Model!AO1128-AO1124-Model!AO1125-Model!AO1126-AO1289+AO1237)+AO1289-AO1184+AO1185,Model!AO1127+Model!AO1128-AO1124-Model!AO1125-Model!AO1126+AO1237-AO1184+AO1185)</f>
        <v>1.070045132</v>
      </c>
      <c r="AP1341" s="160">
        <f>IF(Model!AP1127+Model!AP1128-AP1124-Model!AP1125-Model!AP1126-AP1289+AP1237&gt;0,(1-'Assumptions (Nuclear)'!AO29)*(Model!AP1127+Model!AP1128-AP1124-Model!AP1125-Model!AP1126-AP1289+AP1237)+AP1289-AP1184+AP1185,Model!AP1127+Model!AP1128-AP1124-Model!AP1125-Model!AP1126+AP1237-AP1184+AP1185)</f>
        <v>3.499114296</v>
      </c>
      <c r="AQ1341" s="160">
        <f>IF(Model!AQ1127+Model!AQ1128-AQ1124-Model!AQ1125-Model!AQ1126-AQ1289+AQ1237&gt;0,(1-'Assumptions (Nuclear)'!AP29)*(Model!AQ1127+Model!AQ1128-AQ1124-Model!AQ1125-Model!AQ1126-AQ1289+AQ1237)+AQ1289-AQ1184+AQ1185,Model!AQ1127+Model!AQ1128-AQ1124-Model!AQ1125-Model!AQ1126+AQ1237-AQ1184+AQ1185)</f>
        <v>1.791512385</v>
      </c>
      <c r="AR1341" s="160">
        <f>IF(Model!AR1127+Model!AR1128-AR1124-Model!AR1125-Model!AR1126-AR1289+AR1237&gt;0,(1-'Assumptions (Nuclear)'!AQ29)*(Model!AR1127+Model!AR1128-AR1124-Model!AR1125-Model!AR1126-AR1289+AR1237)+AR1289-AR1184+AR1185,Model!AR1127+Model!AR1128-AR1124-Model!AR1125-Model!AR1126+AR1237-AR1184+AR1185)</f>
        <v>-0.02826919011</v>
      </c>
      <c r="AS1341" s="160">
        <f>IF(Model!AS1127+Model!AS1128-AS1124-Model!AS1125-Model!AS1126-AS1289+AS1237&gt;0,(1-'Assumptions (Nuclear)'!AR29)*(Model!AS1127+Model!AS1128-AS1124-Model!AS1125-Model!AS1126-AS1289+AS1237)+AS1289-AS1184+AS1185,Model!AS1127+Model!AS1128-AS1124-Model!AS1125-Model!AS1126+AS1237-AS1184+AS1185)</f>
        <v>-1.017431154</v>
      </c>
      <c r="AT1341" s="160">
        <f>IF(Model!AT1127+Model!AT1128-AT1124-Model!AT1125-Model!AT1126-AT1289+AT1237&gt;0,(1-'Assumptions (Nuclear)'!AS29)*(Model!AT1127+Model!AT1128-AT1124-Model!AT1125-Model!AT1126-AT1289+AT1237)+AT1289-AT1184+AT1185,Model!AT1127+Model!AT1128-AT1124-Model!AT1125-Model!AT1126+AT1237-AT1184+AT1185)</f>
        <v>-0.400458734</v>
      </c>
      <c r="AU1341" s="160">
        <f>IF(Model!AU1127+Model!AU1128-AU1124-Model!AU1125-Model!AU1126-AU1289+AU1237&gt;0,(1-'Assumptions (Nuclear)'!AT29)*(Model!AU1127+Model!AU1128-AU1124-Model!AU1125-Model!AU1126-AU1289+AU1237)+AU1289-AU1184+AU1185,Model!AU1127+Model!AU1128-AU1124-Model!AU1125-Model!AU1126+AU1237-AU1184+AU1185)</f>
        <v>1.06307142</v>
      </c>
      <c r="AV1341" s="160">
        <f>IF(Model!AV1127+Model!AV1128-AV1124-Model!AV1125-Model!AV1126-AV1289+AV1237&gt;0,(1-'Assumptions (Nuclear)'!AU29)*(Model!AV1127+Model!AV1128-AV1124-Model!AV1125-Model!AV1126-AV1289+AV1237)+AV1289-AV1184+AV1185,Model!AV1127+Model!AV1128-AV1124-Model!AV1125-Model!AV1126+AV1237-AV1184+AV1185)</f>
        <v>1.450893096</v>
      </c>
      <c r="AW1341" s="160">
        <f>IF(Model!AW1127+Model!AW1128-AW1124-Model!AW1125-Model!AW1126-AW1289+AW1237&gt;0,(1-'Assumptions (Nuclear)'!AV29)*(Model!AW1127+Model!AW1128-AW1124-Model!AW1125-Model!AW1126-AW1289+AW1237)+AW1289-AW1184+AW1185,Model!AW1127+Model!AW1128-AW1124-Model!AW1125-Model!AW1126+AW1237-AW1184+AW1185)</f>
        <v>3.507427335</v>
      </c>
      <c r="AX1341" s="160">
        <f>IF(Model!AX1127+Model!AX1128-AX1124-Model!AX1125-Model!AX1126-AX1289+AX1237&gt;0,(1-'Assumptions (Nuclear)'!AW29)*(Model!AX1127+Model!AX1128-AX1124-Model!AX1125-Model!AX1126-AX1289+AX1237)+AX1289-AX1184+AX1185,Model!AX1127+Model!AX1128-AX1124-Model!AX1125-Model!AX1126+AX1237-AX1184+AX1185)</f>
        <v>6.227440992</v>
      </c>
      <c r="AY1341" s="160">
        <f>IF(Model!AY1127+Model!AY1128-AY1124-Model!AY1125-Model!AY1126-AY1289+AY1237&gt;0,(1-'Assumptions (Nuclear)'!AX29)*(Model!AY1127+Model!AY1128-AY1124-Model!AY1125-Model!AY1126-AY1289+AY1237)+AY1289-AY1184+AY1185,Model!AY1127+Model!AY1128-AY1124-Model!AY1125-Model!AY1126+AY1237-AY1184+AY1185)</f>
        <v>8.378340332</v>
      </c>
      <c r="AZ1341" s="160">
        <f>IF(Model!AZ1127+Model!AZ1128-AZ1124-Model!AZ1125-Model!AZ1126-AZ1289+AZ1237&gt;0,(1-'Assumptions (Nuclear)'!AY29)*(Model!AZ1127+Model!AZ1128-AZ1124-Model!AZ1125-Model!AZ1126-AZ1289+AZ1237)+AZ1289-AZ1184+AZ1185,Model!AZ1127+Model!AZ1128-AZ1124-Model!AZ1125-Model!AZ1126+AZ1237-AZ1184+AZ1185)</f>
        <v>10.71246955</v>
      </c>
      <c r="BA1341" s="160">
        <f>IF(Model!BA1127+Model!BA1128-BA1124-Model!BA1125-Model!BA1126-BA1289+BA1237&gt;0,(1-'Assumptions (Nuclear)'!AZ29)*(Model!BA1127+Model!BA1128-BA1124-Model!BA1125-Model!BA1126-BA1289+BA1237)+BA1289-BA1184+BA1185,Model!BA1127+Model!BA1128-BA1124-Model!BA1125-Model!BA1126+BA1237-BA1184+BA1185)</f>
        <v>11.57329663</v>
      </c>
    </row>
    <row r="1342" ht="15.75" customHeight="1">
      <c r="A1342" s="262" t="s">
        <v>64</v>
      </c>
      <c r="B1342" s="159" t="s">
        <v>351</v>
      </c>
      <c r="C1342" s="160">
        <f>IF(Model!C1127+Model!C1128-C1124-Model!C1125-Model!C1126-C1289+C1237&gt;0,'Assumptions (Nuclear)'!B29*(Model!C1127+Model!C1128-C1124-Model!C1125-Model!C1126-C1289+C1237)-'Assumptions (Nuclear)'!B30*Model!C1123/10^3,-'Assumptions (Nuclear)'!B30*Model!C1123/10^3)</f>
        <v>2.599581908</v>
      </c>
      <c r="D1342" s="160">
        <f>IF(Model!D1127+Model!D1128-D1124-Model!D1125-Model!D1126-D1289+D1237&gt;0,'Assumptions (Nuclear)'!C29*(Model!D1127+Model!D1128-D1124-Model!D1125-Model!D1126-D1289+D1237)-'Assumptions (Nuclear)'!C30*Model!D1123/10^3,-'Assumptions (Nuclear)'!C30*Model!D1123/10^3)</f>
        <v>2.716816691</v>
      </c>
      <c r="E1342" s="160">
        <f>IF(Model!E1127+Model!E1128-E1124-Model!E1125-Model!E1126-E1289+E1237&gt;0,'Assumptions (Nuclear)'!D29*(Model!E1127+Model!E1128-E1124-Model!E1125-Model!E1126-E1289+E1237)-'Assumptions (Nuclear)'!D30*Model!E1123/10^3,-'Assumptions (Nuclear)'!D30*Model!E1123/10^3)</f>
        <v>2.331208288</v>
      </c>
      <c r="F1342" s="160">
        <f>IF(Model!F1127+Model!F1128-F1124-Model!F1125-Model!F1126-F1289+F1237&gt;0,'Assumptions (Nuclear)'!E29*(Model!F1127+Model!F1128-F1124-Model!F1125-Model!F1126-F1289+F1237)-'Assumptions (Nuclear)'!E30*Model!F1123/10^3,-'Assumptions (Nuclear)'!E30*Model!F1123/10^3)</f>
        <v>3.210477154</v>
      </c>
      <c r="G1342" s="160">
        <f>IF(Model!G1127+Model!G1128-G1124-Model!G1125-Model!G1126-G1289+G1237&gt;0,'Assumptions (Nuclear)'!F29*(Model!G1127+Model!G1128-G1124-Model!G1125-Model!G1126-G1289+G1237)-'Assumptions (Nuclear)'!F30*Model!G1123/10^3,-'Assumptions (Nuclear)'!F30*Model!G1123/10^3)</f>
        <v>3.553967672</v>
      </c>
      <c r="H1342" s="160">
        <f>IF(Model!H1127+Model!H1128-H1124-Model!H1125-Model!H1126-H1289+H1237&gt;0,'Assumptions (Nuclear)'!G29*(Model!H1127+Model!H1128-H1124-Model!H1125-Model!H1126-H1289+H1237)-'Assumptions (Nuclear)'!G30*Model!H1123/10^3,-'Assumptions (Nuclear)'!G30*Model!H1123/10^3)</f>
        <v>4.644772749</v>
      </c>
      <c r="I1342" s="160">
        <f>IF(Model!I1127+Model!I1128-I1124-Model!I1125-Model!I1126-I1289+I1237&gt;0,'Assumptions (Nuclear)'!H29*(Model!I1127+Model!I1128-I1124-Model!I1125-Model!I1126-I1289+I1237)-'Assumptions (Nuclear)'!H30*Model!I1123/10^3,-'Assumptions (Nuclear)'!H30*Model!I1123/10^3)</f>
        <v>3.854911434</v>
      </c>
      <c r="J1342" s="160">
        <f>IF(Model!J1127+Model!J1128-J1124-Model!J1125-Model!J1126-J1289+J1237&gt;0,'Assumptions (Nuclear)'!I29*(Model!J1127+Model!J1128-J1124-Model!J1125-Model!J1126-J1289+J1237)-'Assumptions (Nuclear)'!I30*Model!J1123/10^3,-'Assumptions (Nuclear)'!I30*Model!J1123/10^3)</f>
        <v>4.436020398</v>
      </c>
      <c r="K1342" s="160">
        <f>IF(Model!K1127+Model!K1128-K1124-Model!K1125-Model!K1126-K1289+K1237&gt;0,'Assumptions (Nuclear)'!J29*(Model!K1127+Model!K1128-K1124-Model!K1125-Model!K1126-K1289+K1237)-'Assumptions (Nuclear)'!J30*Model!K1123/10^3,-'Assumptions (Nuclear)'!J30*Model!K1123/10^3)</f>
        <v>5.371750404</v>
      </c>
      <c r="L1342" s="160">
        <f>IF(Model!L1127+Model!L1128-L1124-Model!L1125-Model!L1126-L1289+L1237&gt;0,'Assumptions (Nuclear)'!K29*(Model!L1127+Model!L1128-L1124-Model!L1125-Model!L1126-L1289+L1237)-'Assumptions (Nuclear)'!K30*Model!L1123/10^3,-'Assumptions (Nuclear)'!K30*Model!L1123/10^3)</f>
        <v>3.28885476</v>
      </c>
      <c r="M1342" s="160">
        <f>IF(Model!M1127+Model!M1128-M1124-Model!M1125-Model!M1126-M1289+M1237&gt;0,'Assumptions (Nuclear)'!L29*(Model!M1127+Model!M1128-M1124-Model!M1125-Model!M1126-M1289+M1237)-'Assumptions (Nuclear)'!L30*Model!M1123/10^3,-'Assumptions (Nuclear)'!L30*Model!M1123/10^3)</f>
        <v>3.274372825</v>
      </c>
      <c r="N1342" s="160">
        <f>IF(Model!N1127+Model!N1128-N1124-Model!N1125-Model!N1126-N1289+N1237&gt;0,'Assumptions (Nuclear)'!M29*(Model!N1127+Model!N1128-N1124-Model!N1125-Model!N1126-N1289+N1237)-'Assumptions (Nuclear)'!M30*Model!N1123/10^3,-'Assumptions (Nuclear)'!M30*Model!N1123/10^3)</f>
        <v>3.07746032</v>
      </c>
      <c r="O1342" s="160">
        <f>IF(Model!O1127+Model!O1128-O1124-Model!O1125-Model!O1126-O1289+O1237&gt;0,'Assumptions (Nuclear)'!N29*(Model!O1127+Model!O1128-O1124-Model!O1125-Model!O1126-O1289+O1237)-'Assumptions (Nuclear)'!N30*Model!O1123/10^3,-'Assumptions (Nuclear)'!N30*Model!O1123/10^3)</f>
        <v>2.305694456</v>
      </c>
      <c r="P1342" s="160">
        <f>IF(Model!P1127+Model!P1128-P1124-Model!P1125-Model!P1126-P1289+P1237&gt;0,'Assumptions (Nuclear)'!O29*(Model!P1127+Model!P1128-P1124-Model!P1125-Model!P1126-P1289+P1237)-'Assumptions (Nuclear)'!O30*Model!P1123/10^3,-'Assumptions (Nuclear)'!O30*Model!P1123/10^3)</f>
        <v>2.83931117</v>
      </c>
      <c r="Q1342" s="160">
        <f>IF(Model!Q1127+Model!Q1128-Q1124-Model!Q1125-Model!Q1126-Q1289+Q1237&gt;0,'Assumptions (Nuclear)'!P29*(Model!Q1127+Model!Q1128-Q1124-Model!Q1125-Model!Q1126-Q1289+Q1237)-'Assumptions (Nuclear)'!P30*Model!Q1123/10^3,-'Assumptions (Nuclear)'!P30*Model!Q1123/10^3)</f>
        <v>3.18075031</v>
      </c>
      <c r="R1342" s="160">
        <f>IF(Model!R1127+Model!R1128-R1124-Model!R1125-Model!R1126-R1289+R1237&gt;0,'Assumptions (Nuclear)'!Q29*(Model!R1127+Model!R1128-R1124-Model!R1125-Model!R1126-R1289+R1237)-'Assumptions (Nuclear)'!Q30*Model!R1123/10^3,-'Assumptions (Nuclear)'!Q30*Model!R1123/10^3)</f>
        <v>2.241368399</v>
      </c>
      <c r="S1342" s="160">
        <f>IF(Model!S1127+Model!S1128-S1124-Model!S1125-Model!S1126-S1289+S1237&gt;0,'Assumptions (Nuclear)'!R29*(Model!S1127+Model!S1128-S1124-Model!S1125-Model!S1126-S1289+S1237)-'Assumptions (Nuclear)'!R30*Model!S1123/10^3,-'Assumptions (Nuclear)'!R30*Model!S1123/10^3)</f>
        <v>2.28214061</v>
      </c>
      <c r="T1342" s="160">
        <f>IF(Model!T1127+Model!T1128-T1124-Model!T1125-Model!T1126-T1289+T1237&gt;0,'Assumptions (Nuclear)'!S29*(Model!T1127+Model!T1128-T1124-Model!T1125-Model!T1126-T1289+T1237)-'Assumptions (Nuclear)'!S30*Model!T1123/10^3,-'Assumptions (Nuclear)'!S30*Model!T1123/10^3)</f>
        <v>2.142674997</v>
      </c>
      <c r="U1342" s="160">
        <f>IF(Model!U1127+Model!U1128-U1124-Model!U1125-Model!U1126-U1289+U1237&gt;0,'Assumptions (Nuclear)'!T29*(Model!U1127+Model!U1128-U1124-Model!U1125-Model!U1126-U1289+U1237)-'Assumptions (Nuclear)'!T30*Model!U1123/10^3,-'Assumptions (Nuclear)'!T30*Model!U1123/10^3)</f>
        <v>1.320334436</v>
      </c>
      <c r="V1342" s="160">
        <f>IF(Model!V1127+Model!V1128-V1124-Model!V1125-Model!V1126-V1289+V1237&gt;0,'Assumptions (Nuclear)'!U29*(Model!V1127+Model!V1128-V1124-Model!V1125-Model!V1126-V1289+V1237)-'Assumptions (Nuclear)'!U30*Model!V1123/10^3,-'Assumptions (Nuclear)'!U30*Model!V1123/10^3)</f>
        <v>1.384341147</v>
      </c>
      <c r="W1342" s="160">
        <f>IF(Model!W1127+Model!W1128-W1124-Model!W1125-Model!W1126-W1289+W1237&gt;0,'Assumptions (Nuclear)'!V29*(Model!W1127+Model!W1128-W1124-Model!W1125-Model!W1126-W1289+W1237)-'Assumptions (Nuclear)'!V30*Model!W1123/10^3,-'Assumptions (Nuclear)'!V30*Model!W1123/10^3)</f>
        <v>1.29181007</v>
      </c>
      <c r="X1342" s="160">
        <f>IF(Model!X1127+Model!X1128-X1124-Model!X1125-Model!X1126-X1289+X1237&gt;0,'Assumptions (Nuclear)'!W29*(Model!X1127+Model!X1128-X1124-Model!X1125-Model!X1126-X1289+X1237)-'Assumptions (Nuclear)'!W30*Model!X1123/10^3,-'Assumptions (Nuclear)'!W30*Model!X1123/10^3)</f>
        <v>1.31713492</v>
      </c>
      <c r="Y1342" s="160">
        <f>IF(Model!Y1127+Model!Y1128-Y1124-Model!Y1125-Model!Y1126-Y1289+Y1237&gt;0,'Assumptions (Nuclear)'!X29*(Model!Y1127+Model!Y1128-Y1124-Model!Y1125-Model!Y1126-Y1289+Y1237)-'Assumptions (Nuclear)'!X30*Model!Y1123/10^3,-'Assumptions (Nuclear)'!X30*Model!Y1123/10^3)</f>
        <v>1.335580774</v>
      </c>
      <c r="Z1342" s="160">
        <f>IF(Model!Z1127+Model!Z1128-Z1124-Model!Z1125-Model!Z1126-Z1289+Z1237&gt;0,'Assumptions (Nuclear)'!Y29*(Model!Z1127+Model!Z1128-Z1124-Model!Z1125-Model!Z1126-Z1289+Z1237)-'Assumptions (Nuclear)'!Y30*Model!Z1123/10^3,-'Assumptions (Nuclear)'!Y30*Model!Z1123/10^3)</f>
        <v>1.373041906</v>
      </c>
      <c r="AA1342" s="160">
        <f>IF(Model!AA1127+Model!AA1128-AA1124-Model!AA1125-Model!AA1126-AA1289+AA1237&gt;0,'Assumptions (Nuclear)'!Z29*(Model!AA1127+Model!AA1128-AA1124-Model!AA1125-Model!AA1126-AA1289+AA1237)-'Assumptions (Nuclear)'!Z30*Model!AA1123/10^3,-'Assumptions (Nuclear)'!Z30*Model!AA1123/10^3)</f>
        <v>1.421537936</v>
      </c>
      <c r="AB1342" s="160">
        <f>IF(Model!AB1127+Model!AB1128-AB1124-Model!AB1125-Model!AB1126-AB1289+AB1237&gt;0,'Assumptions (Nuclear)'!AA29*(Model!AB1127+Model!AB1128-AB1124-Model!AB1125-Model!AB1126-AB1289+AB1237)-'Assumptions (Nuclear)'!AA30*Model!AB1123/10^3,-'Assumptions (Nuclear)'!AA30*Model!AB1123/10^3)</f>
        <v>1.504959483</v>
      </c>
      <c r="AC1342" s="160">
        <f>IF(Model!AC1127+Model!AC1128-AC1124-Model!AC1125-Model!AC1126-AC1289+AC1237&gt;0,'Assumptions (Nuclear)'!AB29*(Model!AC1127+Model!AC1128-AC1124-Model!AC1125-Model!AC1126-AC1289+AC1237)-'Assumptions (Nuclear)'!AB30*Model!AC1123/10^3,-'Assumptions (Nuclear)'!AB30*Model!AC1123/10^3)</f>
        <v>1.548803136</v>
      </c>
      <c r="AD1342" s="160">
        <f>IF(Model!AD1127+Model!AD1128-AD1124-Model!AD1125-Model!AD1126-AD1289+AD1237&gt;0,'Assumptions (Nuclear)'!AC29*(Model!AD1127+Model!AD1128-AD1124-Model!AD1125-Model!AD1126-AD1289+AD1237)-'Assumptions (Nuclear)'!AC30*Model!AD1123/10^3,-'Assumptions (Nuclear)'!AC30*Model!AD1123/10^3)</f>
        <v>1.601967453</v>
      </c>
      <c r="AE1342" s="160">
        <f>IF(Model!AE1127+Model!AE1128-AE1124-Model!AE1125-Model!AE1126-AE1289+AE1237&gt;0,'Assumptions (Nuclear)'!AD29*(Model!AE1127+Model!AE1128-AE1124-Model!AE1125-Model!AE1126-AE1289+AE1237)-'Assumptions (Nuclear)'!AD30*Model!AE1123/10^3,-'Assumptions (Nuclear)'!AD30*Model!AE1123/10^3)</f>
        <v>1.648723096</v>
      </c>
      <c r="AF1342" s="160">
        <f>IF(Model!AF1127+Model!AF1128-AF1124-Model!AF1125-Model!AF1126-AF1289+AF1237&gt;0,'Assumptions (Nuclear)'!AE29*(Model!AF1127+Model!AF1128-AF1124-Model!AF1125-Model!AF1126-AF1289+AF1237)-'Assumptions (Nuclear)'!AE30*Model!AF1123/10^3,-'Assumptions (Nuclear)'!AE30*Model!AF1123/10^3)</f>
        <v>1.700641001</v>
      </c>
      <c r="AG1342" s="160">
        <f>IF(Model!AG1127+Model!AG1128-AG1124-Model!AG1125-Model!AG1126-AG1289+AG1237&gt;0,'Assumptions (Nuclear)'!AF29*(Model!AG1127+Model!AG1128-AG1124-Model!AG1125-Model!AG1126-AG1289+AG1237)-'Assumptions (Nuclear)'!AF30*Model!AG1123/10^3,-'Assumptions (Nuclear)'!AF30*Model!AG1123/10^3)</f>
        <v>1.754134264</v>
      </c>
      <c r="AH1342" s="160">
        <f>IF(Model!AH1127+Model!AH1128-AH1124-Model!AH1125-Model!AH1126-AH1289+AH1237&gt;0,'Assumptions (Nuclear)'!AG29*(Model!AH1127+Model!AH1128-AH1124-Model!AH1125-Model!AH1126-AH1289+AH1237)-'Assumptions (Nuclear)'!AG30*Model!AH1123/10^3,-'Assumptions (Nuclear)'!AG30*Model!AH1123/10^3)</f>
        <v>1.867384446</v>
      </c>
      <c r="AI1342" s="160">
        <f>IF(Model!AI1127+Model!AI1128-AI1124-Model!AI1125-Model!AI1126-AI1289+AI1237&gt;0,'Assumptions (Nuclear)'!AH29*(Model!AI1127+Model!AI1128-AI1124-Model!AI1125-Model!AI1126-AI1289+AI1237)-'Assumptions (Nuclear)'!AH30*Model!AI1123/10^3,-'Assumptions (Nuclear)'!AH30*Model!AI1123/10^3)</f>
        <v>1.961751781</v>
      </c>
      <c r="AJ1342" s="160">
        <f>IF(Model!AJ1127+Model!AJ1128-AJ1124-Model!AJ1125-Model!AJ1126-AJ1289+AJ1237&gt;0,'Assumptions (Nuclear)'!AI29*(Model!AJ1127+Model!AJ1128-AJ1124-Model!AJ1125-Model!AJ1126-AJ1289+AJ1237)-'Assumptions (Nuclear)'!AI30*Model!AJ1123/10^3,-'Assumptions (Nuclear)'!AI30*Model!AJ1123/10^3)</f>
        <v>1.909574508</v>
      </c>
      <c r="AK1342" s="160">
        <f>IF(Model!AK1127+Model!AK1128-AK1124-Model!AK1125-Model!AK1126-AK1289+AK1237&gt;0,'Assumptions (Nuclear)'!AJ29*(Model!AK1127+Model!AK1128-AK1124-Model!AK1125-Model!AK1126-AK1289+AK1237)-'Assumptions (Nuclear)'!AJ30*Model!AK1123/10^3,-'Assumptions (Nuclear)'!AJ30*Model!AK1123/10^3)</f>
        <v>1.892801003</v>
      </c>
      <c r="AL1342" s="160">
        <f>IF(Model!AL1127+Model!AL1128-AL1124-Model!AL1125-Model!AL1126-AL1289+AL1237&gt;0,'Assumptions (Nuclear)'!AK29*(Model!AL1127+Model!AL1128-AL1124-Model!AL1125-Model!AL1126-AL1289+AL1237)-'Assumptions (Nuclear)'!AK30*Model!AL1123/10^3,-'Assumptions (Nuclear)'!AK30*Model!AL1123/10^3)</f>
        <v>1.847071124</v>
      </c>
      <c r="AM1342" s="160">
        <f>IF(Model!AM1127+Model!AM1128-AM1124-Model!AM1125-Model!AM1126-AM1289+AM1237&gt;0,'Assumptions (Nuclear)'!AL29*(Model!AM1127+Model!AM1128-AM1124-Model!AM1125-Model!AM1126-AM1289+AM1237)-'Assumptions (Nuclear)'!AL30*Model!AM1123/10^3,-'Assumptions (Nuclear)'!AL30*Model!AM1123/10^3)</f>
        <v>1.491495571</v>
      </c>
      <c r="AN1342" s="160">
        <f>IF(Model!AN1127+Model!AN1128-AN1124-Model!AN1125-Model!AN1126-AN1289+AN1237&gt;0,'Assumptions (Nuclear)'!AM29*(Model!AN1127+Model!AN1128-AN1124-Model!AN1125-Model!AN1126-AN1289+AN1237)-'Assumptions (Nuclear)'!AM30*Model!AN1123/10^3,-'Assumptions (Nuclear)'!AM30*Model!AN1123/10^3)</f>
        <v>0.9714084585</v>
      </c>
      <c r="AO1342" s="160">
        <f>IF(Model!AO1127+Model!AO1128-AO1124-Model!AO1125-Model!AO1126-AO1289+AO1237&gt;0,'Assumptions (Nuclear)'!AN29*(Model!AO1127+Model!AO1128-AO1124-Model!AO1125-Model!AO1126-AO1289+AO1237)-'Assumptions (Nuclear)'!AN30*Model!AO1123/10^3,-'Assumptions (Nuclear)'!AN30*Model!AO1123/10^3)</f>
        <v>0.8979123423</v>
      </c>
      <c r="AP1342" s="160">
        <f>IF(Model!AP1127+Model!AP1128-AP1124-Model!AP1125-Model!AP1126-AP1289+AP1237&gt;0,'Assumptions (Nuclear)'!AO29*(Model!AP1127+Model!AP1128-AP1124-Model!AP1125-Model!AP1126-AP1289+AP1237)-'Assumptions (Nuclear)'!AO30*Model!AP1123/10^3,-'Assumptions (Nuclear)'!AO30*Model!AP1123/10^3)</f>
        <v>0.7156653571</v>
      </c>
      <c r="AQ1342" s="160">
        <f>IF(Model!AQ1127+Model!AQ1128-AQ1124-Model!AQ1125-Model!AQ1126-AQ1289+AQ1237&gt;0,'Assumptions (Nuclear)'!AP29*(Model!AQ1127+Model!AQ1128-AQ1124-Model!AQ1125-Model!AQ1126-AQ1289+AQ1237)-'Assumptions (Nuclear)'!AP30*Model!AQ1123/10^3,-'Assumptions (Nuclear)'!AP30*Model!AQ1123/10^3)</f>
        <v>0.6579879679</v>
      </c>
      <c r="AR1342" s="160">
        <f>IF(Model!AR1127+Model!AR1128-AR1124-Model!AR1125-Model!AR1126-AR1289+AR1237&gt;0,'Assumptions (Nuclear)'!AQ29*(Model!AR1127+Model!AR1128-AR1124-Model!AR1125-Model!AR1126-AR1289+AR1237)-'Assumptions (Nuclear)'!AQ30*Model!AR1123/10^3,-'Assumptions (Nuclear)'!AQ30*Model!AR1123/10^3)</f>
        <v>0.7886330337</v>
      </c>
      <c r="AS1342" s="160">
        <f>IF(Model!AS1127+Model!AS1128-AS1124-Model!AS1125-Model!AS1126-AS1289+AS1237&gt;0,'Assumptions (Nuclear)'!AR29*(Model!AS1127+Model!AS1128-AS1124-Model!AS1125-Model!AS1126-AS1289+AS1237)-'Assumptions (Nuclear)'!AR30*Model!AS1123/10^3,-'Assumptions (Nuclear)'!AR30*Model!AS1123/10^3)</f>
        <v>0.9272253482</v>
      </c>
      <c r="AT1342" s="160">
        <f>IF(Model!AT1127+Model!AT1128-AT1124-Model!AT1125-Model!AT1126-AT1289+AT1237&gt;0,'Assumptions (Nuclear)'!AS29*(Model!AT1127+Model!AT1128-AT1124-Model!AT1125-Model!AT1126-AT1289+AT1237)-'Assumptions (Nuclear)'!AS30*Model!AT1123/10^3,-'Assumptions (Nuclear)'!AS30*Model!AT1123/10^3)</f>
        <v>0.6618485317</v>
      </c>
      <c r="AU1342" s="160">
        <f>IF(Model!AU1127+Model!AU1128-AU1124-Model!AU1125-Model!AU1126-AU1289+AU1237&gt;0,'Assumptions (Nuclear)'!AT29*(Model!AU1127+Model!AU1128-AU1124-Model!AU1125-Model!AU1126-AU1289+AU1237)-'Assumptions (Nuclear)'!AT30*Model!AU1123/10^3,-'Assumptions (Nuclear)'!AT30*Model!AU1123/10^3)</f>
        <v>0.3763682272</v>
      </c>
      <c r="AV1342" s="160">
        <f>IF(Model!AV1127+Model!AV1128-AV1124-Model!AV1125-Model!AV1126-AV1289+AV1237&gt;0,'Assumptions (Nuclear)'!AU29*(Model!AV1127+Model!AV1128-AV1124-Model!AV1125-Model!AV1126-AV1289+AV1237)-'Assumptions (Nuclear)'!AU30*Model!AV1123/10^3,-'Assumptions (Nuclear)'!AU30*Model!AV1123/10^3)</f>
        <v>0.4975978573</v>
      </c>
      <c r="AW1342" s="160">
        <f>IF(Model!AW1127+Model!AW1128-AW1124-Model!AW1125-Model!AW1126-AW1289+AW1237&gt;0,'Assumptions (Nuclear)'!AV29*(Model!AW1127+Model!AW1128-AW1124-Model!AW1125-Model!AW1126-AW1289+AW1237)-'Assumptions (Nuclear)'!AV30*Model!AW1123/10^3,-'Assumptions (Nuclear)'!AV30*Model!AW1123/10^3)</f>
        <v>0.396676922</v>
      </c>
      <c r="AX1342" s="160">
        <f>IF(Model!AX1127+Model!AX1128-AX1124-Model!AX1125-Model!AX1126-AX1289+AX1237&gt;0,'Assumptions (Nuclear)'!AW29*(Model!AX1127+Model!AX1128-AX1124-Model!AX1125-Model!AX1126-AX1289+AX1237)-'Assumptions (Nuclear)'!AW30*Model!AX1123/10^3,-'Assumptions (Nuclear)'!AW30*Model!AX1123/10^3)</f>
        <v>0.03746319307</v>
      </c>
      <c r="AY1342" s="160">
        <f>IF(Model!AY1127+Model!AY1128-AY1124-Model!AY1125-Model!AY1126-AY1289+AY1237&gt;0,'Assumptions (Nuclear)'!AX29*(Model!AY1127+Model!AY1128-AY1124-Model!AY1125-Model!AY1126-AY1289+AY1237)-'Assumptions (Nuclear)'!AX30*Model!AY1123/10^3,-'Assumptions (Nuclear)'!AX30*Model!AY1123/10^3)</f>
        <v>0.01724557144</v>
      </c>
      <c r="AZ1342" s="160">
        <f>IF(Model!AZ1127+Model!AZ1128-AZ1124-Model!AZ1125-Model!AZ1126-AZ1289+AZ1237&gt;0,'Assumptions (Nuclear)'!AY29*(Model!AZ1127+Model!AZ1128-AZ1124-Model!AZ1125-Model!AZ1126-AZ1289+AZ1237)-'Assumptions (Nuclear)'!AY30*Model!AZ1123/10^3,-'Assumptions (Nuclear)'!AY30*Model!AZ1123/10^3)</f>
        <v>-0.03401435243</v>
      </c>
      <c r="BA1342" s="160">
        <f>IF(Model!BA1127+Model!BA1128-BA1124-Model!BA1125-Model!BA1126-BA1289+BA1237&gt;0,'Assumptions (Nuclear)'!AZ29*(Model!BA1127+Model!BA1128-BA1124-Model!BA1125-Model!BA1126-BA1289+BA1237)-'Assumptions (Nuclear)'!AZ30*Model!BA1123/10^3,-'Assumptions (Nuclear)'!AZ30*Model!BA1123/10^3)</f>
        <v>0.1024621652</v>
      </c>
    </row>
    <row r="1343" ht="15.75" customHeight="1">
      <c r="A1343" s="264" t="s">
        <v>363</v>
      </c>
      <c r="B1343" s="265" t="s">
        <v>364</v>
      </c>
      <c r="C1343" s="266">
        <f>'Assumptions (Nuclear)'!$V$28*C1129/1000000000</f>
        <v>0</v>
      </c>
      <c r="D1343" s="266">
        <f>'Assumptions (Nuclear)'!$V$28*D1129/1000000000</f>
        <v>0</v>
      </c>
      <c r="E1343" s="266">
        <f>'Assumptions (Nuclear)'!$V$28*E1129/1000000000</f>
        <v>0</v>
      </c>
      <c r="F1343" s="266">
        <f>'Assumptions (Nuclear)'!$V$28*F1129/1000000000</f>
        <v>0</v>
      </c>
      <c r="G1343" s="266">
        <f>'Assumptions (Nuclear)'!$V$28*G1129/1000000000</f>
        <v>0</v>
      </c>
      <c r="H1343" s="266">
        <f>'Assumptions (Nuclear)'!$V$28*H1129/1000000000</f>
        <v>0</v>
      </c>
      <c r="I1343" s="266">
        <f>'Assumptions (Nuclear)'!$V$28*I1129/1000000000</f>
        <v>0</v>
      </c>
      <c r="J1343" s="266">
        <f>'Assumptions (Nuclear)'!$V$28*J1129/1000000000</f>
        <v>0</v>
      </c>
      <c r="K1343" s="266">
        <f>'Assumptions (Nuclear)'!$V$28*K1129/1000000000</f>
        <v>0</v>
      </c>
      <c r="L1343" s="266">
        <f>'Assumptions (Nuclear)'!$V$28*L1129/1000000000</f>
        <v>0</v>
      </c>
      <c r="M1343" s="266">
        <f>'Assumptions (Nuclear)'!$V$28*M1129/1000000000</f>
        <v>0</v>
      </c>
      <c r="N1343" s="266">
        <f>'Assumptions (Nuclear)'!$V$28*N1129/1000000000</f>
        <v>0</v>
      </c>
      <c r="O1343" s="266">
        <f>'Assumptions (Nuclear)'!$V$28*O1129/1000000000</f>
        <v>0</v>
      </c>
      <c r="P1343" s="266">
        <f>'Assumptions (Nuclear)'!$V$28*P1129/1000000000</f>
        <v>0</v>
      </c>
      <c r="Q1343" s="266">
        <f>'Assumptions (Nuclear)'!$V$28*Q1129/1000000000</f>
        <v>0</v>
      </c>
      <c r="R1343" s="266">
        <f>'Assumptions (Nuclear)'!$V$28*R1129/1000000000</f>
        <v>0</v>
      </c>
      <c r="S1343" s="266">
        <f>'Assumptions (Nuclear)'!$V$28*S1129/1000000000</f>
        <v>0.444465</v>
      </c>
      <c r="T1343" s="266">
        <f>'Assumptions (Nuclear)'!$V$28*T1129/1000000000</f>
        <v>0</v>
      </c>
      <c r="U1343" s="266">
        <f>'Assumptions (Nuclear)'!$V$28*U1129/1000000000</f>
        <v>0</v>
      </c>
      <c r="V1343" s="266">
        <f>'Assumptions (Nuclear)'!$V$28*V1129/1000000000</f>
        <v>0</v>
      </c>
      <c r="W1343" s="266">
        <f>'Assumptions (Nuclear)'!$V$28*W1129/1000000000</f>
        <v>0</v>
      </c>
      <c r="X1343" s="266">
        <f>'Assumptions (Nuclear)'!$V$28*X1129/1000000000</f>
        <v>0.03002582877</v>
      </c>
      <c r="Y1343" s="266">
        <f>'Assumptions (Nuclear)'!$V$28*Y1129/1000000000</f>
        <v>0.03002582877</v>
      </c>
      <c r="Z1343" s="266">
        <f>'Assumptions (Nuclear)'!$V$28*Z1129/1000000000</f>
        <v>0.03002582877</v>
      </c>
      <c r="AA1343" s="266">
        <f>'Assumptions (Nuclear)'!$V$28*AA1129/1000000000</f>
        <v>0.03002582877</v>
      </c>
      <c r="AB1343" s="266">
        <f>'Assumptions (Nuclear)'!$V$28*AB1129/1000000000</f>
        <v>0.03002582877</v>
      </c>
      <c r="AC1343" s="266">
        <f>'Assumptions (Nuclear)'!$V$28*AC1129/1000000000</f>
        <v>0.03002582877</v>
      </c>
      <c r="AD1343" s="266">
        <f>'Assumptions (Nuclear)'!$V$28*AD1129/1000000000</f>
        <v>0.03002582877</v>
      </c>
      <c r="AE1343" s="266">
        <f>'Assumptions (Nuclear)'!$V$28*AE1129/1000000000</f>
        <v>0.03002582877</v>
      </c>
      <c r="AF1343" s="266">
        <f>'Assumptions (Nuclear)'!$V$28*AF1129/1000000000</f>
        <v>0.03002582877</v>
      </c>
      <c r="AG1343" s="266">
        <f>'Assumptions (Nuclear)'!$V$28*AG1129/1000000000</f>
        <v>0.03002582877</v>
      </c>
      <c r="AH1343" s="266">
        <f>'Assumptions (Nuclear)'!$V$28*AH1129/1000000000</f>
        <v>0.03002582877</v>
      </c>
      <c r="AI1343" s="266">
        <f>'Assumptions (Nuclear)'!$V$28*AI1129/1000000000</f>
        <v>0.03002582877</v>
      </c>
      <c r="AJ1343" s="266">
        <f>'Assumptions (Nuclear)'!$V$28*AJ1129/1000000000</f>
        <v>0.2990358288</v>
      </c>
      <c r="AK1343" s="266">
        <f>'Assumptions (Nuclear)'!$V$28*AK1129/1000000000</f>
        <v>0.03002582877</v>
      </c>
      <c r="AL1343" s="266">
        <f>'Assumptions (Nuclear)'!$V$28*AL1129/1000000000</f>
        <v>0.3403708288</v>
      </c>
      <c r="AM1343" s="266">
        <f>'Assumptions (Nuclear)'!$V$28*AM1129/1000000000</f>
        <v>1.056225829</v>
      </c>
      <c r="AN1343" s="266">
        <f>'Assumptions (Nuclear)'!$V$28*AN1129/1000000000</f>
        <v>1.083770829</v>
      </c>
      <c r="AO1343" s="266">
        <f>'Assumptions (Nuclear)'!$V$28*AO1129/1000000000</f>
        <v>0.03002582877</v>
      </c>
      <c r="AP1343" s="266">
        <f>'Assumptions (Nuclear)'!$V$28*AP1129/1000000000</f>
        <v>1.107955829</v>
      </c>
      <c r="AQ1343" s="266">
        <f>'Assumptions (Nuclear)'!$V$28*AQ1129/1000000000</f>
        <v>0.03002582877</v>
      </c>
      <c r="AR1343" s="266">
        <f>'Assumptions (Nuclear)'!$V$28*AR1129/1000000000</f>
        <v>0.3326708288</v>
      </c>
      <c r="AS1343" s="266">
        <f>'Assumptions (Nuclear)'!$V$28*AS1129/1000000000</f>
        <v>0.03002582877</v>
      </c>
      <c r="AT1343" s="266">
        <f>'Assumptions (Nuclear)'!$V$28*AT1129/1000000000</f>
        <v>1.195175829</v>
      </c>
      <c r="AU1343" s="266">
        <f>'Assumptions (Nuclear)'!$V$28*AU1129/1000000000</f>
        <v>0.4572008288</v>
      </c>
      <c r="AV1343" s="266">
        <f>'Assumptions (Nuclear)'!$V$28*AV1129/1000000000</f>
        <v>0.03002582877</v>
      </c>
      <c r="AW1343" s="266">
        <f>'Assumptions (Nuclear)'!$V$28*AW1129/1000000000</f>
        <v>0.8174908288</v>
      </c>
      <c r="AX1343" s="266">
        <f>'Assumptions (Nuclear)'!$V$28*AX1129/1000000000</f>
        <v>0.9558108288</v>
      </c>
      <c r="AY1343" s="266">
        <f>'Assumptions (Nuclear)'!$V$28*AY1129/1000000000</f>
        <v>0.4518108288</v>
      </c>
      <c r="AZ1343" s="266">
        <f>'Assumptions (Nuclear)'!$V$28*AZ1129/1000000000</f>
        <v>0.7688408288</v>
      </c>
      <c r="BA1343" s="266">
        <f>'Assumptions (Nuclear)'!$V$28*BA1129/1000000000</f>
        <v>0.03002582877</v>
      </c>
      <c r="BB1343" s="267"/>
      <c r="BC1343" s="267"/>
      <c r="BD1343" s="268"/>
      <c r="BE1343" s="268"/>
      <c r="BF1343" s="268"/>
      <c r="BG1343" s="268"/>
      <c r="BH1343" s="268"/>
      <c r="BI1343" s="268"/>
      <c r="BJ1343" s="268"/>
      <c r="BK1343" s="268"/>
      <c r="BL1343" s="268"/>
      <c r="BM1343" s="268"/>
      <c r="BN1343" s="268"/>
      <c r="BO1343" s="268"/>
      <c r="BP1343" s="268"/>
      <c r="BQ1343" s="268"/>
      <c r="BR1343" s="268"/>
      <c r="BS1343" s="268"/>
      <c r="BT1343" s="268"/>
      <c r="BU1343" s="268"/>
      <c r="BV1343" s="268"/>
      <c r="BW1343" s="268"/>
      <c r="BX1343" s="268"/>
      <c r="BY1343" s="268"/>
      <c r="BZ1343" s="268"/>
      <c r="CA1343" s="268"/>
      <c r="CB1343" s="268"/>
      <c r="CC1343" s="268"/>
      <c r="CD1343" s="268"/>
    </row>
    <row r="1344" ht="15.75" customHeight="1">
      <c r="A1344" s="269" t="s">
        <v>424</v>
      </c>
      <c r="B1344" s="38"/>
      <c r="C1344" s="78"/>
      <c r="D1344" s="78"/>
      <c r="E1344" s="78"/>
      <c r="F1344" s="78"/>
      <c r="G1344" s="78"/>
      <c r="H1344" s="78"/>
      <c r="I1344" s="78"/>
      <c r="J1344" s="78"/>
      <c r="K1344" s="78"/>
      <c r="L1344" s="78"/>
      <c r="M1344" s="78"/>
      <c r="N1344" s="78"/>
      <c r="O1344" s="78"/>
      <c r="P1344" s="78"/>
      <c r="Q1344" s="78"/>
      <c r="R1344" s="78"/>
      <c r="S1344" s="78"/>
      <c r="T1344" s="78"/>
      <c r="U1344" s="78"/>
      <c r="V1344" s="78"/>
      <c r="W1344" s="139"/>
    </row>
    <row r="1345" ht="15.75" customHeight="1">
      <c r="A1345" s="270"/>
      <c r="B1345" s="38"/>
      <c r="C1345" s="78"/>
      <c r="D1345" s="78"/>
      <c r="E1345" s="78"/>
      <c r="F1345" s="78"/>
      <c r="G1345" s="78"/>
      <c r="H1345" s="78"/>
      <c r="I1345" s="78"/>
      <c r="J1345" s="78"/>
      <c r="K1345" s="78"/>
      <c r="L1345" s="78"/>
      <c r="M1345" s="78"/>
      <c r="N1345" s="78"/>
      <c r="O1345" s="78"/>
      <c r="P1345" s="78"/>
      <c r="Q1345" s="78"/>
      <c r="R1345" s="78"/>
      <c r="S1345" s="78"/>
      <c r="T1345" s="78"/>
      <c r="U1345" s="78"/>
      <c r="V1345" s="78"/>
      <c r="W1345" s="139"/>
    </row>
    <row r="1346" ht="15.75" customHeight="1">
      <c r="A1346" s="269" t="s">
        <v>425</v>
      </c>
      <c r="B1346" s="21"/>
      <c r="C1346" s="78"/>
      <c r="D1346" s="78"/>
      <c r="E1346" s="78"/>
      <c r="F1346" s="78"/>
      <c r="G1346" s="78"/>
      <c r="H1346" s="78"/>
      <c r="I1346" s="78"/>
      <c r="J1346" s="78"/>
      <c r="K1346" s="78"/>
      <c r="L1346" s="78"/>
      <c r="M1346" s="78"/>
      <c r="N1346" s="78"/>
      <c r="O1346" s="78"/>
      <c r="P1346" s="78"/>
      <c r="Q1346" s="78"/>
      <c r="R1346" s="78"/>
      <c r="S1346" s="78"/>
      <c r="T1346" s="78"/>
      <c r="U1346" s="78"/>
      <c r="V1346" s="78"/>
      <c r="W1346" s="139"/>
    </row>
    <row r="1347" ht="15.75" customHeight="1">
      <c r="A1347" s="270"/>
      <c r="B1347" s="234" t="s">
        <v>411</v>
      </c>
      <c r="C1347" s="21"/>
      <c r="D1347" s="38"/>
      <c r="E1347" s="38"/>
      <c r="F1347" s="38"/>
      <c r="G1347" s="38"/>
      <c r="H1347" s="38"/>
      <c r="I1347" s="38"/>
      <c r="J1347" s="38"/>
      <c r="K1347" s="38"/>
      <c r="L1347" s="38"/>
      <c r="M1347" s="38"/>
      <c r="N1347" s="38"/>
      <c r="O1347" s="38"/>
      <c r="P1347" s="38"/>
      <c r="Q1347" s="38"/>
      <c r="R1347" s="38"/>
      <c r="S1347" s="38"/>
      <c r="T1347" s="38"/>
      <c r="U1347" s="38"/>
      <c r="V1347" s="38"/>
      <c r="W1347" s="38"/>
      <c r="X1347" s="252">
        <f>'Assumptions (Hydro)'!W36</f>
        <v>0</v>
      </c>
      <c r="Y1347" s="252">
        <f>'Assumptions (Hydro)'!X36</f>
        <v>0</v>
      </c>
      <c r="Z1347" s="252">
        <f>'Assumptions (Hydro)'!Y36</f>
        <v>0</v>
      </c>
      <c r="AA1347" s="252">
        <f>'Assumptions (Hydro)'!Z36</f>
        <v>0</v>
      </c>
      <c r="AB1347" s="252">
        <f>'Assumptions (Hydro)'!AA36</f>
        <v>0</v>
      </c>
      <c r="AC1347" s="252">
        <f>'Assumptions (Hydro)'!AB36</f>
        <v>0</v>
      </c>
      <c r="AD1347" s="252">
        <f>'Assumptions (Hydro)'!AC36</f>
        <v>0</v>
      </c>
      <c r="AE1347" s="252">
        <f>'Assumptions (Hydro)'!AD36</f>
        <v>0</v>
      </c>
      <c r="AF1347" s="252">
        <f>'Assumptions (Hydro)'!AE36</f>
        <v>0</v>
      </c>
      <c r="AG1347" s="252">
        <f>'Assumptions (Hydro)'!AF36</f>
        <v>0</v>
      </c>
      <c r="AH1347" s="252">
        <f>'Assumptions (Hydro)'!AG36</f>
        <v>0</v>
      </c>
      <c r="AI1347" s="252">
        <f>'Assumptions (Hydro)'!AH36</f>
        <v>0</v>
      </c>
      <c r="AJ1347" s="252">
        <f>'Assumptions (Hydro)'!AI36</f>
        <v>0</v>
      </c>
      <c r="AK1347" s="252">
        <f>'Assumptions (Hydro)'!AJ36</f>
        <v>0</v>
      </c>
      <c r="AL1347" s="252">
        <f>'Assumptions (Hydro)'!AK36</f>
        <v>0</v>
      </c>
      <c r="AM1347" s="252">
        <f>'Assumptions (Hydro)'!AL36</f>
        <v>0</v>
      </c>
      <c r="AN1347" s="252">
        <f>'Assumptions (Hydro)'!AM36</f>
        <v>0</v>
      </c>
      <c r="AO1347" s="252">
        <f>'Assumptions (Hydro)'!AN36</f>
        <v>0</v>
      </c>
      <c r="AP1347" s="252">
        <f>'Assumptions (Hydro)'!AO36</f>
        <v>0</v>
      </c>
      <c r="AQ1347" s="252">
        <f>'Assumptions (Hydro)'!AP36</f>
        <v>0</v>
      </c>
      <c r="AR1347" s="252">
        <f>'Assumptions (Hydro)'!AQ36</f>
        <v>0</v>
      </c>
      <c r="AS1347" s="252">
        <f>'Assumptions (Hydro)'!AR36</f>
        <v>0</v>
      </c>
      <c r="AT1347" s="252">
        <f>'Assumptions (Hydro)'!AS36</f>
        <v>0</v>
      </c>
      <c r="AU1347" s="252">
        <f>'Assumptions (Hydro)'!AT36</f>
        <v>0</v>
      </c>
      <c r="AV1347" s="252">
        <f>'Assumptions (Hydro)'!AU36</f>
        <v>0</v>
      </c>
      <c r="AW1347" s="252">
        <f>'Assumptions (Hydro)'!AV36</f>
        <v>0</v>
      </c>
      <c r="AX1347" s="252">
        <f>'Assumptions (Hydro)'!AW36</f>
        <v>0</v>
      </c>
      <c r="AY1347" s="252">
        <f>'Assumptions (Hydro)'!AX36</f>
        <v>0</v>
      </c>
      <c r="AZ1347" s="252">
        <f>'Assumptions (Hydro)'!AY36</f>
        <v>0</v>
      </c>
      <c r="BA1347" s="252">
        <f>'Assumptions (Hydro)'!AZ36</f>
        <v>0</v>
      </c>
    </row>
    <row r="1348" ht="15.75" customHeight="1">
      <c r="A1348" s="271" t="s">
        <v>426</v>
      </c>
      <c r="B1348" s="237" t="s">
        <v>413</v>
      </c>
      <c r="C1348" s="21"/>
      <c r="D1348" s="21"/>
      <c r="E1348" s="21"/>
      <c r="F1348" s="21"/>
      <c r="G1348" s="21"/>
      <c r="H1348" s="21"/>
      <c r="I1348" s="21"/>
      <c r="J1348" s="21"/>
      <c r="K1348" s="38"/>
      <c r="L1348" s="38"/>
      <c r="M1348" s="38"/>
      <c r="N1348" s="38"/>
      <c r="O1348" s="38"/>
      <c r="P1348" s="38"/>
      <c r="Q1348" s="38"/>
      <c r="R1348" s="38"/>
      <c r="S1348" s="38"/>
      <c r="T1348" s="38"/>
      <c r="U1348" s="38"/>
      <c r="V1348" s="38"/>
      <c r="W1348" s="38"/>
      <c r="X1348" s="238">
        <f>W1349-X1347+W1354</f>
        <v>11046</v>
      </c>
      <c r="Y1348" s="167">
        <f>X1348-'Assumptions (Hydro)'!X36+X1354</f>
        <v>11046</v>
      </c>
      <c r="Z1348" s="167">
        <f>Y1348-'Assumptions (Hydro)'!Y36+Y1354</f>
        <v>11046</v>
      </c>
      <c r="AA1348" s="167">
        <f>Z1348-'Assumptions (Hydro)'!Z36+Z1354</f>
        <v>11046</v>
      </c>
      <c r="AB1348" s="167">
        <f>AA1348-'Assumptions (Hydro)'!AA36+AA1354</f>
        <v>11046</v>
      </c>
      <c r="AC1348" s="167">
        <f>AB1348-'Assumptions (Hydro)'!AB36+AB1354</f>
        <v>11046</v>
      </c>
      <c r="AD1348" s="167">
        <f>AC1348-'Assumptions (Hydro)'!AC36+AC1354</f>
        <v>11046</v>
      </c>
      <c r="AE1348" s="167">
        <f>AD1348-'Assumptions (Hydro)'!AD36+AD1354</f>
        <v>11046</v>
      </c>
      <c r="AF1348" s="167">
        <f>AE1348-'Assumptions (Hydro)'!AE36+AE1354</f>
        <v>11046</v>
      </c>
      <c r="AG1348" s="167">
        <f>AF1348-'Assumptions (Hydro)'!AF36+AF1354</f>
        <v>11046</v>
      </c>
      <c r="AH1348" s="167">
        <f>AG1348-'Assumptions (Hydro)'!AG36+AG1354</f>
        <v>11046</v>
      </c>
      <c r="AI1348" s="167">
        <f>AH1348-'Assumptions (Hydro)'!AH36+AH1354</f>
        <v>11046</v>
      </c>
      <c r="AJ1348" s="167">
        <f>AI1348-'Assumptions (Hydro)'!AI36+AI1354</f>
        <v>11046</v>
      </c>
      <c r="AK1348" s="167">
        <f>AJ1348-'Assumptions (Hydro)'!AJ36+AJ1354</f>
        <v>11046</v>
      </c>
      <c r="AL1348" s="167">
        <f>AK1348-'Assumptions (Hydro)'!AK36+AK1354</f>
        <v>11046</v>
      </c>
      <c r="AM1348" s="167">
        <f>AL1348-'Assumptions (Hydro)'!AL36+AL1354</f>
        <v>11046</v>
      </c>
      <c r="AN1348" s="167">
        <f>AM1348-'Assumptions (Hydro)'!AM36+AM1354</f>
        <v>11046</v>
      </c>
      <c r="AO1348" s="167">
        <f>AN1348-'Assumptions (Hydro)'!AN36+AN1354</f>
        <v>11046</v>
      </c>
      <c r="AP1348" s="167">
        <f>AO1348-'Assumptions (Hydro)'!AO36+AO1354</f>
        <v>11046</v>
      </c>
      <c r="AQ1348" s="167">
        <f>AP1348-'Assumptions (Hydro)'!AP36+AP1354</f>
        <v>11046</v>
      </c>
      <c r="AR1348" s="167">
        <f>AQ1348-'Assumptions (Hydro)'!AQ36+AQ1354</f>
        <v>11046</v>
      </c>
      <c r="AS1348" s="167">
        <f>AR1348-'Assumptions (Hydro)'!AR36+AR1354</f>
        <v>11046</v>
      </c>
      <c r="AT1348" s="167">
        <f>AS1348-'Assumptions (Hydro)'!AS36+AS1354</f>
        <v>11046</v>
      </c>
      <c r="AU1348" s="167">
        <f>AT1348-'Assumptions (Hydro)'!AT36+AT1354</f>
        <v>11046</v>
      </c>
      <c r="AV1348" s="167">
        <f>AU1348-'Assumptions (Hydro)'!AU36+AU1354</f>
        <v>11046</v>
      </c>
      <c r="AW1348" s="167">
        <f>AV1348-'Assumptions (Hydro)'!AV36+AV1354</f>
        <v>11046</v>
      </c>
      <c r="AX1348" s="167">
        <f>AW1348-'Assumptions (Hydro)'!AW36+AW1354</f>
        <v>11046</v>
      </c>
      <c r="AY1348" s="167">
        <f>AX1348-'Assumptions (Hydro)'!AX36+AX1354</f>
        <v>11046</v>
      </c>
      <c r="AZ1348" s="167">
        <f>AY1348-'Assumptions (Hydro)'!AY36+AY1354</f>
        <v>11046</v>
      </c>
      <c r="BA1348" s="167">
        <f>AZ1348-'Assumptions (Hydro)'!AZ36+AZ1354</f>
        <v>11046</v>
      </c>
    </row>
    <row r="1349" ht="15.75" customHeight="1">
      <c r="A1349" s="272" t="s">
        <v>350</v>
      </c>
      <c r="B1349" s="150" t="s">
        <v>149</v>
      </c>
      <c r="C1349" s="151">
        <v>10999.8</v>
      </c>
      <c r="D1349" s="151">
        <v>10993.8</v>
      </c>
      <c r="E1349" s="151">
        <v>10993.8</v>
      </c>
      <c r="F1349" s="151">
        <v>11015.8</v>
      </c>
      <c r="G1349" s="151">
        <v>11037.8</v>
      </c>
      <c r="H1349" s="151">
        <v>11057.6</v>
      </c>
      <c r="I1349" s="151">
        <v>11057.6</v>
      </c>
      <c r="J1349" s="151">
        <v>11057.6</v>
      </c>
      <c r="K1349" s="151">
        <v>11057.6</v>
      </c>
      <c r="L1349" s="151">
        <v>11057.6</v>
      </c>
      <c r="M1349" s="151">
        <v>11054.8</v>
      </c>
      <c r="N1349" s="151">
        <v>11056.5</v>
      </c>
      <c r="O1349" s="151">
        <v>11063.4</v>
      </c>
      <c r="P1349" s="151">
        <v>11092.0</v>
      </c>
      <c r="Q1349" s="151">
        <v>11092.0</v>
      </c>
      <c r="R1349" s="151">
        <v>11092.0</v>
      </c>
      <c r="S1349" s="151">
        <v>11092.0</v>
      </c>
      <c r="T1349" s="151">
        <v>11092.0</v>
      </c>
      <c r="U1349" s="151">
        <v>11046.0</v>
      </c>
      <c r="V1349" s="172">
        <f t="shared" ref="V1349:W1349" si="51">U1349+V1354</f>
        <v>11046</v>
      </c>
      <c r="W1349" s="153">
        <f t="shared" si="51"/>
        <v>11046</v>
      </c>
      <c r="X1349" s="154">
        <f t="shared" ref="X1349:AZ1349" si="52">W1349+($BA$1349-$W$1349)/($BA$2-$W$2)</f>
        <v>10717.67729</v>
      </c>
      <c r="Y1349" s="154">
        <f t="shared" si="52"/>
        <v>10389.35458</v>
      </c>
      <c r="Z1349" s="154">
        <f t="shared" si="52"/>
        <v>10061.03187</v>
      </c>
      <c r="AA1349" s="154">
        <f t="shared" si="52"/>
        <v>9732.709165</v>
      </c>
      <c r="AB1349" s="154">
        <f t="shared" si="52"/>
        <v>9404.386456</v>
      </c>
      <c r="AC1349" s="154">
        <f t="shared" si="52"/>
        <v>9076.063748</v>
      </c>
      <c r="AD1349" s="154">
        <f t="shared" si="52"/>
        <v>8747.741039</v>
      </c>
      <c r="AE1349" s="154">
        <f t="shared" si="52"/>
        <v>8419.41833</v>
      </c>
      <c r="AF1349" s="154">
        <f t="shared" si="52"/>
        <v>8091.095622</v>
      </c>
      <c r="AG1349" s="154">
        <f t="shared" si="52"/>
        <v>7762.772913</v>
      </c>
      <c r="AH1349" s="154">
        <f t="shared" si="52"/>
        <v>7434.450204</v>
      </c>
      <c r="AI1349" s="154">
        <f t="shared" si="52"/>
        <v>7106.127496</v>
      </c>
      <c r="AJ1349" s="154">
        <f t="shared" si="52"/>
        <v>6777.804787</v>
      </c>
      <c r="AK1349" s="154">
        <f t="shared" si="52"/>
        <v>6449.482078</v>
      </c>
      <c r="AL1349" s="154">
        <f t="shared" si="52"/>
        <v>6121.159369</v>
      </c>
      <c r="AM1349" s="154">
        <f t="shared" si="52"/>
        <v>5792.836661</v>
      </c>
      <c r="AN1349" s="154">
        <f t="shared" si="52"/>
        <v>5464.513952</v>
      </c>
      <c r="AO1349" s="154">
        <f t="shared" si="52"/>
        <v>5136.191243</v>
      </c>
      <c r="AP1349" s="154">
        <f t="shared" si="52"/>
        <v>4807.868535</v>
      </c>
      <c r="AQ1349" s="154">
        <f t="shared" si="52"/>
        <v>4479.545826</v>
      </c>
      <c r="AR1349" s="154">
        <f t="shared" si="52"/>
        <v>4151.223117</v>
      </c>
      <c r="AS1349" s="154">
        <f t="shared" si="52"/>
        <v>3822.900408</v>
      </c>
      <c r="AT1349" s="154">
        <f t="shared" si="52"/>
        <v>3494.5777</v>
      </c>
      <c r="AU1349" s="154">
        <f t="shared" si="52"/>
        <v>3166.254991</v>
      </c>
      <c r="AV1349" s="154">
        <f t="shared" si="52"/>
        <v>2837.932282</v>
      </c>
      <c r="AW1349" s="154">
        <f t="shared" si="52"/>
        <v>2509.609574</v>
      </c>
      <c r="AX1349" s="154">
        <f t="shared" si="52"/>
        <v>2181.286865</v>
      </c>
      <c r="AY1349" s="154">
        <f t="shared" si="52"/>
        <v>1852.964156</v>
      </c>
      <c r="AZ1349" s="154">
        <f t="shared" si="52"/>
        <v>1524.641448</v>
      </c>
      <c r="BA1349" s="155">
        <f>Inputs!$H$7</f>
        <v>1196.318739</v>
      </c>
    </row>
    <row r="1350" ht="15.75" customHeight="1">
      <c r="A1350" s="273" t="s">
        <v>28</v>
      </c>
      <c r="B1350" s="159" t="s">
        <v>150</v>
      </c>
      <c r="C1350" s="274">
        <v>19.365943</v>
      </c>
      <c r="D1350" s="274">
        <v>21.720486</v>
      </c>
      <c r="E1350" s="274">
        <v>24.39597</v>
      </c>
      <c r="F1350" s="274">
        <v>39.675152</v>
      </c>
      <c r="G1350" s="274">
        <v>32.608837</v>
      </c>
      <c r="H1350" s="274">
        <v>31.820824</v>
      </c>
      <c r="I1350" s="274">
        <v>23.215233</v>
      </c>
      <c r="J1350" s="274">
        <v>15.851974</v>
      </c>
      <c r="K1350" s="274">
        <v>18.083596</v>
      </c>
      <c r="L1350" s="274">
        <v>33.51028</v>
      </c>
      <c r="M1350" s="274">
        <v>27.296744</v>
      </c>
      <c r="N1350" s="274">
        <v>26.611872</v>
      </c>
      <c r="O1350" s="274">
        <v>23.115393</v>
      </c>
      <c r="P1350" s="274">
        <v>39.116858</v>
      </c>
      <c r="Q1350" s="274">
        <v>28.757078</v>
      </c>
      <c r="R1350" s="274">
        <v>29.732971</v>
      </c>
      <c r="S1350" s="274">
        <v>23.774801</v>
      </c>
      <c r="T1350" s="274">
        <v>25.991262</v>
      </c>
      <c r="U1350" s="274">
        <v>34.751881</v>
      </c>
      <c r="V1350" s="275">
        <f t="shared" ref="V1350:W1350" si="53">U1350</f>
        <v>34.751881</v>
      </c>
      <c r="W1350" s="275">
        <f t="shared" si="53"/>
        <v>34.751881</v>
      </c>
      <c r="X1350" s="154">
        <f t="shared" ref="X1350:AZ1350" si="54">W1350+($BA$1350-$W$1350)/($BA$2-$W$2)</f>
        <v>33.87404106</v>
      </c>
      <c r="Y1350" s="154">
        <f t="shared" si="54"/>
        <v>32.99620111</v>
      </c>
      <c r="Z1350" s="154">
        <f t="shared" si="54"/>
        <v>32.11836117</v>
      </c>
      <c r="AA1350" s="154">
        <f t="shared" si="54"/>
        <v>31.24052123</v>
      </c>
      <c r="AB1350" s="154">
        <f t="shared" si="54"/>
        <v>30.36268129</v>
      </c>
      <c r="AC1350" s="154">
        <f t="shared" si="54"/>
        <v>29.48484134</v>
      </c>
      <c r="AD1350" s="154">
        <f t="shared" si="54"/>
        <v>28.6070014</v>
      </c>
      <c r="AE1350" s="154">
        <f t="shared" si="54"/>
        <v>27.72916146</v>
      </c>
      <c r="AF1350" s="154">
        <f t="shared" si="54"/>
        <v>26.85132151</v>
      </c>
      <c r="AG1350" s="154">
        <f t="shared" si="54"/>
        <v>25.97348157</v>
      </c>
      <c r="AH1350" s="154">
        <f t="shared" si="54"/>
        <v>25.09564163</v>
      </c>
      <c r="AI1350" s="154">
        <f t="shared" si="54"/>
        <v>24.21780169</v>
      </c>
      <c r="AJ1350" s="154">
        <f t="shared" si="54"/>
        <v>23.33996174</v>
      </c>
      <c r="AK1350" s="154">
        <f t="shared" si="54"/>
        <v>22.4621218</v>
      </c>
      <c r="AL1350" s="154">
        <f t="shared" si="54"/>
        <v>21.58428186</v>
      </c>
      <c r="AM1350" s="154">
        <f t="shared" si="54"/>
        <v>20.70644191</v>
      </c>
      <c r="AN1350" s="154">
        <f t="shared" si="54"/>
        <v>19.82860197</v>
      </c>
      <c r="AO1350" s="154">
        <f t="shared" si="54"/>
        <v>18.95076203</v>
      </c>
      <c r="AP1350" s="154">
        <f t="shared" si="54"/>
        <v>18.07292208</v>
      </c>
      <c r="AQ1350" s="154">
        <f t="shared" si="54"/>
        <v>17.19508214</v>
      </c>
      <c r="AR1350" s="154">
        <f t="shared" si="54"/>
        <v>16.3172422</v>
      </c>
      <c r="AS1350" s="154">
        <f t="shared" si="54"/>
        <v>15.43940226</v>
      </c>
      <c r="AT1350" s="154">
        <f t="shared" si="54"/>
        <v>14.56156231</v>
      </c>
      <c r="AU1350" s="154">
        <f t="shared" si="54"/>
        <v>13.68372237</v>
      </c>
      <c r="AV1350" s="154">
        <f t="shared" si="54"/>
        <v>12.80588243</v>
      </c>
      <c r="AW1350" s="154">
        <f t="shared" si="54"/>
        <v>11.92804248</v>
      </c>
      <c r="AX1350" s="154">
        <f t="shared" si="54"/>
        <v>11.05020254</v>
      </c>
      <c r="AY1350" s="154">
        <f t="shared" si="54"/>
        <v>10.1723626</v>
      </c>
      <c r="AZ1350" s="154">
        <f t="shared" si="54"/>
        <v>9.294522656</v>
      </c>
      <c r="BA1350" s="243">
        <f>Inputs!$I$7</f>
        <v>8.416682713</v>
      </c>
    </row>
    <row r="1351" ht="15.75" customHeight="1">
      <c r="A1351" s="273" t="s">
        <v>31</v>
      </c>
      <c r="B1351" s="159" t="s">
        <v>351</v>
      </c>
      <c r="C1351" s="160">
        <f>'Assumptions (Hydro)'!B17*Model!C1349/10^9+'Assumptions (Hydro)'!B18*Model!C1350/10^3</f>
        <v>0.3265623975</v>
      </c>
      <c r="D1351" s="160">
        <f>'Assumptions (Hydro)'!C17*Model!D1349/10^9+'Assumptions (Hydro)'!C18*Model!D1350/10^3</f>
        <v>0.3285872176</v>
      </c>
      <c r="E1351" s="160">
        <f>'Assumptions (Hydro)'!D17*Model!E1349/10^9+'Assumptions (Hydro)'!D18*Model!E1350/10^3</f>
        <v>0.3310792632</v>
      </c>
      <c r="F1351" s="160">
        <f>'Assumptions (Hydro)'!E17*Model!F1349/10^9+'Assumptions (Hydro)'!E18*Model!F1350/10^3</f>
        <v>0.3459279226</v>
      </c>
      <c r="G1351" s="160">
        <f>'Assumptions (Hydro)'!F17*Model!G1349/10^9+'Assumptions (Hydro)'!F18*Model!G1350/10^3</f>
        <v>0.3399631531</v>
      </c>
      <c r="H1351" s="160">
        <f>'Assumptions (Hydro)'!G17*Model!H1349/10^9+'Assumptions (Hydro)'!G18*Model!H1350/10^3</f>
        <v>0.3455577445</v>
      </c>
      <c r="I1351" s="160">
        <f>'Assumptions (Hydro)'!H17*Model!I1349/10^9+'Assumptions (Hydro)'!H18*Model!I1350/10^3</f>
        <v>0.3477401276</v>
      </c>
      <c r="J1351" s="160">
        <f>'Assumptions (Hydro)'!I17*Model!J1349/10^9+'Assumptions (Hydro)'!I18*Model!J1350/10^3</f>
        <v>0.358842971</v>
      </c>
      <c r="K1351" s="160">
        <f>'Assumptions (Hydro)'!J17*Model!K1349/10^9+'Assumptions (Hydro)'!J18*Model!K1350/10^3</f>
        <v>0.3702418186</v>
      </c>
      <c r="L1351" s="160">
        <f>'Assumptions (Hydro)'!K17*Model!L1349/10^9+'Assumptions (Hydro)'!K18*Model!L1350/10^3</f>
        <v>0.401957242</v>
      </c>
      <c r="M1351" s="160">
        <f>'Assumptions (Hydro)'!L17*Model!M1349/10^9+'Assumptions (Hydro)'!L18*Model!M1350/10^3</f>
        <v>0.4027114782</v>
      </c>
      <c r="N1351" s="160">
        <f>'Assumptions (Hydro)'!M17*Model!N1349/10^9+'Assumptions (Hydro)'!M18*Model!N1350/10^3</f>
        <v>0.4097545519</v>
      </c>
      <c r="O1351" s="160">
        <f>'Assumptions (Hydro)'!N17*Model!O1349/10^9+'Assumptions (Hydro)'!N18*Model!O1350/10^3</f>
        <v>0.4151062083</v>
      </c>
      <c r="P1351" s="160">
        <f>'Assumptions (Hydro)'!O17*Model!P1349/10^9+'Assumptions (Hydro)'!O18*Model!P1350/10^3</f>
        <v>0.4388604512</v>
      </c>
      <c r="Q1351" s="160">
        <f>'Assumptions (Hydro)'!P17*Model!Q1349/10^9+'Assumptions (Hydro)'!P18*Model!Q1350/10^3</f>
        <v>0.4320651117</v>
      </c>
      <c r="R1351" s="160">
        <f>'Assumptions (Hydro)'!Q17*Model!R1349/10^9+'Assumptions (Hydro)'!Q18*Model!R1350/10^3</f>
        <v>0.4483124152</v>
      </c>
      <c r="S1351" s="160">
        <f>'Assumptions (Hydro)'!R17*Model!S1349/10^9+'Assumptions (Hydro)'!R18*Model!S1350/10^3</f>
        <v>0.4481163884</v>
      </c>
      <c r="T1351" s="160">
        <f>'Assumptions (Hydro)'!S17*Model!T1349/10^9+'Assumptions (Hydro)'!S18*Model!T1350/10^3</f>
        <v>0.4461042928</v>
      </c>
      <c r="U1351" s="160">
        <f>'Assumptions (Hydro)'!T17*Model!U1349/10^9+'Assumptions (Hydro)'!T18*Model!U1350/10^3</f>
        <v>0.473105387</v>
      </c>
      <c r="V1351" s="160">
        <f>'Assumptions (Hydro)'!U17*Model!V1349/10^9+'Assumptions (Hydro)'!U18*Model!V1350/10^3</f>
        <v>0.4790813438</v>
      </c>
      <c r="W1351" s="160">
        <f>'Assumptions (Hydro)'!V17*Model!W1349/10^9+'Assumptions (Hydro)'!V18*Model!W1350/10^3</f>
        <v>0.4886123017</v>
      </c>
      <c r="X1351" s="160">
        <f>'Assumptions (Hydro)'!W17*Model!X1349/10^9+'Assumptions (Hydro)'!W18*Model!X1350/10^3</f>
        <v>0.4837311964</v>
      </c>
      <c r="Y1351" s="160">
        <f>'Assumptions (Hydro)'!X17*Model!Y1349/10^9+'Assumptions (Hydro)'!X18*Model!Y1350/10^3</f>
        <v>0.478462496</v>
      </c>
      <c r="Z1351" s="160">
        <f>'Assumptions (Hydro)'!Y17*Model!Z1349/10^9+'Assumptions (Hydro)'!Y18*Model!Z1350/10^3</f>
        <v>0.4727927106</v>
      </c>
      <c r="AA1351" s="160">
        <f>'Assumptions (Hydro)'!Z17*Model!AA1349/10^9+'Assumptions (Hydro)'!Z18*Model!AA1350/10^3</f>
        <v>0.4667079669</v>
      </c>
      <c r="AB1351" s="160">
        <f>'Assumptions (Hydro)'!AA17*Model!AB1349/10^9+'Assumptions (Hydro)'!AA18*Model!AB1350/10^3</f>
        <v>0.4601939983</v>
      </c>
      <c r="AC1351" s="160">
        <f>'Assumptions (Hydro)'!AB17*Model!AC1349/10^9+'Assumptions (Hydro)'!AB18*Model!AC1350/10^3</f>
        <v>0.4532361348</v>
      </c>
      <c r="AD1351" s="160">
        <f>'Assumptions (Hydro)'!AC17*Model!AD1349/10^9+'Assumptions (Hydro)'!AC18*Model!AD1350/10^3</f>
        <v>0.4458192926</v>
      </c>
      <c r="AE1351" s="160">
        <f>'Assumptions (Hydro)'!AD17*Model!AE1349/10^9+'Assumptions (Hydro)'!AD18*Model!AE1350/10^3</f>
        <v>0.4379279635</v>
      </c>
      <c r="AF1351" s="160">
        <f>'Assumptions (Hydro)'!AE17*Model!AF1349/10^9+'Assumptions (Hydro)'!AE18*Model!AF1350/10^3</f>
        <v>0.4295462038</v>
      </c>
      <c r="AG1351" s="160">
        <f>'Assumptions (Hydro)'!AF17*Model!AG1349/10^9+'Assumptions (Hydro)'!AF18*Model!AG1350/10^3</f>
        <v>0.4206576233</v>
      </c>
      <c r="AH1351" s="160">
        <f>'Assumptions (Hydro)'!AG17*Model!AH1349/10^9+'Assumptions (Hydro)'!AG18*Model!AH1350/10^3</f>
        <v>0.4112453735</v>
      </c>
      <c r="AI1351" s="160">
        <f>'Assumptions (Hydro)'!AH17*Model!AI1349/10^9+'Assumptions (Hydro)'!AH18*Model!AI1350/10^3</f>
        <v>0.4012921366</v>
      </c>
      <c r="AJ1351" s="160">
        <f>'Assumptions (Hydro)'!AI17*Model!AJ1349/10^9+'Assumptions (Hydro)'!AI18*Model!AJ1350/10^3</f>
        <v>0.3907801126</v>
      </c>
      <c r="AK1351" s="160">
        <f>'Assumptions (Hydro)'!AJ17*Model!AK1349/10^9+'Assumptions (Hydro)'!AJ18*Model!AK1350/10^3</f>
        <v>0.3796910074</v>
      </c>
      <c r="AL1351" s="160">
        <f>'Assumptions (Hydro)'!AK17*Model!AL1349/10^9+'Assumptions (Hydro)'!AK18*Model!AL1350/10^3</f>
        <v>0.3680060205</v>
      </c>
      <c r="AM1351" s="160">
        <f>'Assumptions (Hydro)'!AL17*Model!AM1349/10^9+'Assumptions (Hydro)'!AL18*Model!AM1350/10^3</f>
        <v>0.3557058314</v>
      </c>
      <c r="AN1351" s="160">
        <f>'Assumptions (Hydro)'!AM17*Model!AN1349/10^9+'Assumptions (Hydro)'!AM18*Model!AN1350/10^3</f>
        <v>0.3427705869</v>
      </c>
      <c r="AO1351" s="160">
        <f>'Assumptions (Hydro)'!AN17*Model!AO1349/10^9+'Assumptions (Hydro)'!AN18*Model!AO1350/10^3</f>
        <v>0.3291798872</v>
      </c>
      <c r="AP1351" s="160">
        <f>'Assumptions (Hydro)'!AO17*Model!AP1349/10^9+'Assumptions (Hydro)'!AO18*Model!AP1350/10^3</f>
        <v>0.3149127724</v>
      </c>
      <c r="AQ1351" s="160">
        <f>'Assumptions (Hydro)'!AP17*Model!AQ1349/10^9+'Assumptions (Hydro)'!AP18*Model!AQ1350/10^3</f>
        <v>0.2999477078</v>
      </c>
      <c r="AR1351" s="160">
        <f>'Assumptions (Hydro)'!AQ17*Model!AR1349/10^9+'Assumptions (Hydro)'!AQ18*Model!AR1350/10^3</f>
        <v>0.2842625696</v>
      </c>
      <c r="AS1351" s="160">
        <f>'Assumptions (Hydro)'!AR17*Model!AS1349/10^9+'Assumptions (Hydro)'!AR18*Model!AS1350/10^3</f>
        <v>0.2678346303</v>
      </c>
      <c r="AT1351" s="160">
        <f>'Assumptions (Hydro)'!AS17*Model!AT1349/10^9+'Assumptions (Hydro)'!AS18*Model!AT1350/10^3</f>
        <v>0.2506405426</v>
      </c>
      <c r="AU1351" s="160">
        <f>'Assumptions (Hydro)'!AT17*Model!AU1349/10^9+'Assumptions (Hydro)'!AT18*Model!AU1350/10^3</f>
        <v>0.2326563247</v>
      </c>
      <c r="AV1351" s="160">
        <f>'Assumptions (Hydro)'!AU17*Model!AV1349/10^9+'Assumptions (Hydro)'!AU18*Model!AV1350/10^3</f>
        <v>0.2138573435</v>
      </c>
      <c r="AW1351" s="160">
        <f>'Assumptions (Hydro)'!AV17*Model!AW1349/10^9+'Assumptions (Hydro)'!AV18*Model!AW1350/10^3</f>
        <v>0.1942182986</v>
      </c>
      <c r="AX1351" s="160">
        <f>'Assumptions (Hydro)'!AW17*Model!AX1349/10^9+'Assumptions (Hydro)'!AW18*Model!AX1350/10^3</f>
        <v>0.1737132055</v>
      </c>
      <c r="AY1351" s="160">
        <f>'Assumptions (Hydro)'!AX17*Model!AY1349/10^9+'Assumptions (Hydro)'!AX18*Model!AY1350/10^3</f>
        <v>0.1523153781</v>
      </c>
      <c r="AZ1351" s="160">
        <f>'Assumptions (Hydro)'!AY17*Model!AZ1349/10^9+'Assumptions (Hydro)'!AY18*Model!AZ1350/10^3</f>
        <v>0.1299974115</v>
      </c>
      <c r="BA1351" s="160">
        <f>'Assumptions (Hydro)'!AZ17*Model!BA1349/10^9+'Assumptions (Hydro)'!AZ18*Model!BA1350/10^3</f>
        <v>0.1067311635</v>
      </c>
    </row>
    <row r="1352" ht="15.75" customHeight="1">
      <c r="A1352" s="273" t="s">
        <v>36</v>
      </c>
      <c r="B1352" s="159" t="s">
        <v>351</v>
      </c>
      <c r="C1352" s="95">
        <f>C1350*'Assumptions (Hydro)'!B30/10^3</f>
        <v>1.29629038</v>
      </c>
      <c r="D1352" s="95">
        <f>D1350*'Assumptions (Hydro)'!C30/10^3</f>
        <v>1.489215165</v>
      </c>
      <c r="E1352" s="95">
        <f>E1350*'Assumptions (Hydro)'!D30/10^3</f>
        <v>1.51224763</v>
      </c>
      <c r="F1352" s="95">
        <f>F1350*'Assumptions (Hydro)'!E30/10^3</f>
        <v>2.989518736</v>
      </c>
      <c r="G1352" s="95">
        <f>G1350*'Assumptions (Hydro)'!F30/10^3</f>
        <v>2.581566625</v>
      </c>
      <c r="H1352" s="95">
        <f>H1350*'Assumptions (Hydro)'!G30/10^3</f>
        <v>3.050118261</v>
      </c>
      <c r="I1352" s="95">
        <f>I1350*'Assumptions (Hydro)'!H30/10^3</f>
        <v>2.002028299</v>
      </c>
      <c r="J1352" s="95">
        <f>J1350*'Assumptions (Hydro)'!I30/10^3</f>
        <v>1.389452469</v>
      </c>
      <c r="K1352" s="95">
        <f>K1350*'Assumptions (Hydro)'!J30/10^3</f>
        <v>1.834367428</v>
      </c>
      <c r="L1352" s="95">
        <f>L1350*'Assumptions (Hydro)'!K30/10^3</f>
        <v>2.373368932</v>
      </c>
      <c r="M1352" s="95">
        <f>M1350*'Assumptions (Hydro)'!L30/10^3</f>
        <v>1.998910537</v>
      </c>
      <c r="N1352" s="95">
        <f>N1350*'Assumptions (Hydro)'!M30/10^3</f>
        <v>1.877262658</v>
      </c>
      <c r="O1352" s="95">
        <f>O1350*'Assumptions (Hydro)'!N30/10^3</f>
        <v>1.409988119</v>
      </c>
      <c r="P1352" s="95">
        <f>P1350*'Assumptions (Hydro)'!O30/10^3</f>
        <v>2.648770658</v>
      </c>
      <c r="Q1352" s="95">
        <f>Q1350*'Assumptions (Hydro)'!P30/10^3</f>
        <v>2.089584186</v>
      </c>
      <c r="R1352" s="95">
        <f>R1350*'Assumptions (Hydro)'!Q30/10^3</f>
        <v>1.780011882</v>
      </c>
      <c r="S1352" s="95">
        <f>S1350*'Assumptions (Hydro)'!R30/10^3</f>
        <v>1.5232515</v>
      </c>
      <c r="T1352" s="95">
        <f>T1350*'Assumptions (Hydro)'!S30/10^3</f>
        <v>1.625493525</v>
      </c>
      <c r="U1352" s="95">
        <f>U1350*'Assumptions (Hydro)'!T30/10^3</f>
        <v>2.23107076</v>
      </c>
      <c r="V1352" s="95">
        <f>V1350*'Assumptions (Hydro)'!U30/10^3</f>
        <v>2.261999934</v>
      </c>
      <c r="W1352" s="95">
        <f>W1350*'Assumptions (Hydro)'!V30/10^3</f>
        <v>2.359419187</v>
      </c>
      <c r="X1352" s="95">
        <f>X1350*'Assumptions (Hydro)'!W30/10^3</f>
        <v>2.317263192</v>
      </c>
      <c r="Y1352" s="95">
        <f>Y1350*'Assumptions (Hydro)'!X30/10^3</f>
        <v>2.278052446</v>
      </c>
      <c r="Z1352" s="95">
        <f>Z1350*'Assumptions (Hydro)'!Y30/10^3</f>
        <v>2.253614682</v>
      </c>
      <c r="AA1352" s="95">
        <f>AA1350*'Assumptions (Hydro)'!Z30/10^3</f>
        <v>2.233682897</v>
      </c>
      <c r="AB1352" s="95">
        <f>AB1350*'Assumptions (Hydro)'!AA30/10^3</f>
        <v>2.232160791</v>
      </c>
      <c r="AC1352" s="95">
        <f>AC1350*'Assumptions (Hydro)'!AB30/10^3</f>
        <v>2.202624383</v>
      </c>
      <c r="AD1352" s="95">
        <f>AD1350*'Assumptions (Hydro)'!AC30/10^3</f>
        <v>2.179041354</v>
      </c>
      <c r="AE1352" s="95">
        <f>AE1350*'Assumptions (Hydro)'!AD30/10^3</f>
        <v>2.149272885</v>
      </c>
      <c r="AF1352" s="95">
        <f>AF1350*'Assumptions (Hydro)'!AE30/10^3</f>
        <v>2.119563572</v>
      </c>
      <c r="AG1352" s="95">
        <f>AG1350*'Assumptions (Hydro)'!AF30/10^3</f>
        <v>2.088131817</v>
      </c>
      <c r="AH1352" s="95">
        <f>AH1350*'Assumptions (Hydro)'!AG30/10^3</f>
        <v>2.057823039</v>
      </c>
      <c r="AI1352" s="95">
        <f>AI1350*'Assumptions (Hydro)'!AH30/10^3</f>
        <v>2.017055899</v>
      </c>
      <c r="AJ1352" s="95">
        <f>AJ1350*'Assumptions (Hydro)'!AI30/10^3</f>
        <v>1.973444646</v>
      </c>
      <c r="AK1352" s="95">
        <f>AK1350*'Assumptions (Hydro)'!AJ30/10^3</f>
        <v>1.928206038</v>
      </c>
      <c r="AL1352" s="95">
        <f>AL1350*'Assumptions (Hydro)'!AK30/10^3</f>
        <v>1.883930081</v>
      </c>
      <c r="AM1352" s="95">
        <f>AM1350*'Assumptions (Hydro)'!AL30/10^3</f>
        <v>1.844769212</v>
      </c>
      <c r="AN1352" s="95">
        <f>AN1350*'Assumptions (Hydro)'!AM30/10^3</f>
        <v>1.801331527</v>
      </c>
      <c r="AO1352" s="95">
        <f>AO1350*'Assumptions (Hydro)'!AN30/10^3</f>
        <v>1.760239067</v>
      </c>
      <c r="AP1352" s="95">
        <f>AP1350*'Assumptions (Hydro)'!AO30/10^3</f>
        <v>1.716211549</v>
      </c>
      <c r="AQ1352" s="95">
        <f>AQ1350*'Assumptions (Hydro)'!AP30/10^3</f>
        <v>1.666169929</v>
      </c>
      <c r="AR1352" s="95">
        <f>AR1350*'Assumptions (Hydro)'!AQ30/10^3</f>
        <v>1.612028003</v>
      </c>
      <c r="AS1352" s="95">
        <f>AS1350*'Assumptions (Hydro)'!AR30/10^3</f>
        <v>1.554360587</v>
      </c>
      <c r="AT1352" s="95">
        <f>AT1350*'Assumptions (Hydro)'!AS30/10^3</f>
        <v>1.495032836</v>
      </c>
      <c r="AU1352" s="95">
        <f>AU1350*'Assumptions (Hydro)'!AT30/10^3</f>
        <v>1.434028653</v>
      </c>
      <c r="AV1352" s="95">
        <f>AV1350*'Assumptions (Hydro)'!AU30/10^3</f>
        <v>1.369987773</v>
      </c>
      <c r="AW1352" s="95">
        <f>AW1350*'Assumptions (Hydro)'!AV30/10^3</f>
        <v>1.299910675</v>
      </c>
      <c r="AX1352" s="95">
        <f>AX1350*'Assumptions (Hydro)'!AW30/10^3</f>
        <v>1.230712109</v>
      </c>
      <c r="AY1352" s="95">
        <f>AY1350*'Assumptions (Hydro)'!AX30/10^3</f>
        <v>1.173781901</v>
      </c>
      <c r="AZ1352" s="95">
        <f>AZ1350*'Assumptions (Hydro)'!AY30/10^3</f>
        <v>1.101057037</v>
      </c>
      <c r="BA1352" s="95">
        <f>BA1350*'Assumptions (Hydro)'!AZ30/10^3</f>
        <v>1.017403641</v>
      </c>
    </row>
    <row r="1353" ht="15.75" customHeight="1">
      <c r="A1353" s="273" t="s">
        <v>38</v>
      </c>
      <c r="B1353" s="159" t="s">
        <v>351</v>
      </c>
      <c r="C1353" s="95">
        <f>C1349*'Assumptions (Hydro)'!B33*'Assumptions (Hydro)'!B32*365/10^9</f>
        <v>0</v>
      </c>
      <c r="D1353" s="95">
        <f>D1349*'Assumptions (Hydro)'!C33*'Assumptions (Hydro)'!C32*365/10^9</f>
        <v>0</v>
      </c>
      <c r="E1353" s="95">
        <f>E1349*'Assumptions (Hydro)'!D33*'Assumptions (Hydro)'!D32*365/10^9</f>
        <v>0</v>
      </c>
      <c r="F1353" s="95">
        <f>F1349*'Assumptions (Hydro)'!E33*'Assumptions (Hydro)'!E32*365/10^9</f>
        <v>0</v>
      </c>
      <c r="G1353" s="95">
        <f>G1349*'Assumptions (Hydro)'!F33*'Assumptions (Hydro)'!F32*365/10^9</f>
        <v>0</v>
      </c>
      <c r="H1353" s="95">
        <f>H1349*'Assumptions (Hydro)'!G33*'Assumptions (Hydro)'!G32*365/10^9</f>
        <v>0</v>
      </c>
      <c r="I1353" s="95">
        <f>I1349*'Assumptions (Hydro)'!H33*'Assumptions (Hydro)'!H32*365/10^9</f>
        <v>0</v>
      </c>
      <c r="J1353" s="95">
        <f>J1349*'Assumptions (Hydro)'!I33*'Assumptions (Hydro)'!I32*365/10^9</f>
        <v>0.1625586999</v>
      </c>
      <c r="K1353" s="95">
        <f>K1349*'Assumptions (Hydro)'!J33*'Assumptions (Hydro)'!J32*365/10^9</f>
        <v>0.1652241003</v>
      </c>
      <c r="L1353" s="95">
        <f>L1349*'Assumptions (Hydro)'!K33*'Assumptions (Hydro)'!K32*365/10^9</f>
        <v>0.1912117544</v>
      </c>
      <c r="M1353" s="95">
        <f>M1349*'Assumptions (Hydro)'!L33*'Assumptions (Hydro)'!L32*365/10^9</f>
        <v>0.1334720291</v>
      </c>
      <c r="N1353" s="95">
        <f>N1349*'Assumptions (Hydro)'!M33*'Assumptions (Hydro)'!M32*365/10^9</f>
        <v>0.1380232843</v>
      </c>
      <c r="O1353" s="95">
        <f>O1349*'Assumptions (Hydro)'!N33*'Assumptions (Hydro)'!N32*365/10^9</f>
        <v>0.133042503</v>
      </c>
      <c r="P1353" s="95">
        <f>P1349*'Assumptions (Hydro)'!O33*'Assumptions (Hydro)'!O32*365/10^9</f>
        <v>0.1153390073</v>
      </c>
      <c r="Q1353" s="95">
        <f>Q1349*'Assumptions (Hydro)'!P33*'Assumptions (Hydro)'!P32*365/10^9</f>
        <v>0.1280390463</v>
      </c>
      <c r="R1353" s="95">
        <f>R1349*'Assumptions (Hydro)'!Q33*'Assumptions (Hydro)'!Q32*365/10^9</f>
        <v>0.1373969698</v>
      </c>
      <c r="S1353" s="95">
        <f>S1349*'Assumptions (Hydro)'!R33*'Assumptions (Hydro)'!R32*365/10^9</f>
        <v>0.1132000533</v>
      </c>
      <c r="T1353" s="95">
        <f>T1349*'Assumptions (Hydro)'!S33*'Assumptions (Hydro)'!S32*365/10^9</f>
        <v>0.121148143</v>
      </c>
      <c r="U1353" s="95">
        <f>U1349*'Assumptions (Hydro)'!T33*'Assumptions (Hydro)'!T32*365/10^9</f>
        <v>0.1177646898</v>
      </c>
      <c r="V1353" s="95">
        <f>V1349*'Assumptions (Hydro)'!U33*'Assumptions (Hydro)'!U32*365/10^9</f>
        <v>0.1208905194</v>
      </c>
      <c r="W1353" s="95">
        <f>W1349*'Assumptions (Hydro)'!V33*'Assumptions (Hydro)'!V32*365/10^9</f>
        <v>0.122566416</v>
      </c>
      <c r="X1353" s="95">
        <f>X1349*'Assumptions (Hydro)'!W33*'Assumptions (Hydro)'!W32*365/10^9</f>
        <v>0.1198253449</v>
      </c>
      <c r="Y1353" s="95">
        <f>Y1349*'Assumptions (Hydro)'!X33*'Assumptions (Hydro)'!X32*365/10^9</f>
        <v>0.1172270949</v>
      </c>
      <c r="Z1353" s="95">
        <f>Z1349*'Assumptions (Hydro)'!Y33*'Assumptions (Hydro)'!Y32*365/10^9</f>
        <v>0.1153741378</v>
      </c>
      <c r="AA1353" s="95">
        <f>AA1349*'Assumptions (Hydro)'!Z33*'Assumptions (Hydro)'!Z32*365/10^9</f>
        <v>0.1137304222</v>
      </c>
      <c r="AB1353" s="95">
        <f>AB1349*'Assumptions (Hydro)'!AA33*'Assumptions (Hydro)'!AA32*365/10^9</f>
        <v>0.1129940251</v>
      </c>
      <c r="AC1353" s="95">
        <f>AC1349*'Assumptions (Hydro)'!AB33*'Assumptions (Hydro)'!AB32*365/10^9</f>
        <v>0.1108099714</v>
      </c>
      <c r="AD1353" s="95">
        <f>AD1349*'Assumptions (Hydro)'!AC33*'Assumptions (Hydro)'!AC32*365/10^9</f>
        <v>0.1089002084</v>
      </c>
      <c r="AE1353" s="95">
        <f>AE1349*'Assumptions (Hydro)'!AD33*'Assumptions (Hydro)'!AD32*365/10^9</f>
        <v>0.1066538579</v>
      </c>
      <c r="AF1353" s="95">
        <f>AF1349*'Assumptions (Hydro)'!AE33*'Assumptions (Hydro)'!AE32*365/10^9</f>
        <v>0.1043825191</v>
      </c>
      <c r="AG1353" s="95">
        <f>AG1349*'Assumptions (Hydro)'!AF33*'Assumptions (Hydro)'!AF32*365/10^9</f>
        <v>0.1019962683</v>
      </c>
      <c r="AH1353" s="95">
        <f>AH1349*'Assumptions (Hydro)'!AG33*'Assumptions (Hydro)'!AG32*365/10^9</f>
        <v>0.09963185947</v>
      </c>
      <c r="AI1353" s="95">
        <f>AI1349*'Assumptions (Hydro)'!AH33*'Assumptions (Hydro)'!AH32*365/10^9</f>
        <v>0.09672881524</v>
      </c>
      <c r="AJ1353" s="95">
        <f>AJ1349*'Assumptions (Hydro)'!AI33*'Assumptions (Hydro)'!AI32*365/10^9</f>
        <v>0.0936598641</v>
      </c>
      <c r="AK1353" s="95">
        <f>AK1349*'Assumptions (Hydro)'!AJ33*'Assumptions (Hydro)'!AJ32*365/10^9</f>
        <v>0.09048303484</v>
      </c>
      <c r="AL1353" s="95">
        <f>AL1349*'Assumptions (Hydro)'!AK33*'Assumptions (Hydro)'!AK32*365/10^9</f>
        <v>0.08731734493</v>
      </c>
      <c r="AM1353" s="95">
        <f>AM1349*'Assumptions (Hydro)'!AL33*'Assumptions (Hydro)'!AL32*365/10^9</f>
        <v>0.08434658509</v>
      </c>
      <c r="AN1353" s="95">
        <f>AN1349*'Assumptions (Hydro)'!AM33*'Assumptions (Hydro)'!AM32*365/10^9</f>
        <v>0.08113210647</v>
      </c>
      <c r="AO1353" s="95">
        <f>AO1349*'Assumptions (Hydro)'!AN33*'Assumptions (Hydro)'!AN32*365/10^9</f>
        <v>0.07796969248</v>
      </c>
      <c r="AP1353" s="95">
        <f>AP1349*'Assumptions (Hydro)'!AO33*'Assumptions (Hydro)'!AO32*365/10^9</f>
        <v>0.0746164676</v>
      </c>
      <c r="AQ1353" s="95">
        <f>AQ1349*'Assumptions (Hydro)'!AP33*'Assumptions (Hydro)'!AP32*365/10^9</f>
        <v>0.07093959075</v>
      </c>
      <c r="AR1353" s="95">
        <f>AR1349*'Assumptions (Hydro)'!AQ33*'Assumptions (Hydro)'!AQ32*365/10^9</f>
        <v>0.06702573047</v>
      </c>
      <c r="AS1353" s="95">
        <f>AS1349*'Assumptions (Hydro)'!AR33*'Assumptions (Hydro)'!AR32*365/10^9</f>
        <v>0.06290047644</v>
      </c>
      <c r="AT1353" s="95">
        <f>AT1349*'Assumptions (Hydro)'!AS33*'Assumptions (Hydro)'!AS32*365/10^9</f>
        <v>0.05863772564</v>
      </c>
      <c r="AU1353" s="95">
        <f>AU1349*'Assumptions (Hydro)'!AT33*'Assumptions (Hydro)'!AT32*365/10^9</f>
        <v>0.05422993947</v>
      </c>
      <c r="AV1353" s="95">
        <f>AV1349*'Assumptions (Hydro)'!AU33*'Assumptions (Hydro)'!AU32*365/10^9</f>
        <v>0.04961909818</v>
      </c>
      <c r="AW1353" s="95">
        <f>AW1349*'Assumptions (Hydro)'!AV33*'Assumptions (Hydro)'!AV32*365/10^9</f>
        <v>0.04469821219</v>
      </c>
      <c r="AX1353" s="95">
        <f>AX1349*'Assumptions (Hydro)'!AW33*'Assumptions (Hydro)'!AW32*365/10^9</f>
        <v>0.03970440362</v>
      </c>
      <c r="AY1353" s="95">
        <f>AY1349*'Assumptions (Hydro)'!AX33*'Assumptions (Hydro)'!AX32*365/10^9</f>
        <v>0.03494397069</v>
      </c>
      <c r="AZ1353" s="95">
        <f>AZ1349*'Assumptions (Hydro)'!AY33*'Assumptions (Hydro)'!AY32*365/10^9</f>
        <v>0.02951821599</v>
      </c>
      <c r="BA1353" s="95">
        <f>BA1349*'Assumptions (Hydro)'!AZ33*'Assumptions (Hydro)'!AZ32*365/10^9</f>
        <v>0.02363409053</v>
      </c>
    </row>
    <row r="1354" ht="15.75" customHeight="1">
      <c r="A1354" s="273" t="s">
        <v>46</v>
      </c>
      <c r="B1354" s="159" t="s">
        <v>149</v>
      </c>
      <c r="C1354" s="172">
        <f t="array" ref="C1354:V1354">transpose('Assumptions (Hydro)'!V108:V127)</f>
        <v>0.4</v>
      </c>
      <c r="D1354" s="172">
        <v>0.0</v>
      </c>
      <c r="E1354" s="172">
        <v>0.0</v>
      </c>
      <c r="F1354" s="172">
        <v>62.0</v>
      </c>
      <c r="G1354" s="172">
        <v>62.0</v>
      </c>
      <c r="H1354" s="172">
        <v>25.8</v>
      </c>
      <c r="I1354" s="172">
        <v>0.0</v>
      </c>
      <c r="J1354" s="172">
        <v>0.0</v>
      </c>
      <c r="K1354" s="172">
        <v>0.0</v>
      </c>
      <c r="L1354" s="172">
        <v>0.0</v>
      </c>
      <c r="M1354" s="172">
        <v>0.0</v>
      </c>
      <c r="N1354" s="172">
        <v>1.7</v>
      </c>
      <c r="O1354" s="172">
        <v>86.9</v>
      </c>
      <c r="P1354" s="172">
        <v>28.6</v>
      </c>
      <c r="Q1354" s="172">
        <v>0.0</v>
      </c>
      <c r="R1354" s="172">
        <v>0.0</v>
      </c>
      <c r="S1354" s="172">
        <v>0.0</v>
      </c>
      <c r="T1354" s="172">
        <v>0.0</v>
      </c>
      <c r="U1354" s="172">
        <v>0.0</v>
      </c>
      <c r="V1354" s="172">
        <v>0.0</v>
      </c>
      <c r="W1354" s="152">
        <v>0.0</v>
      </c>
      <c r="X1354" s="148">
        <f t="shared" ref="X1354:BA1354" si="55">if(X1349&gt;X1348,X1349-X1348,0)</f>
        <v>0</v>
      </c>
      <c r="Y1354" s="148">
        <f t="shared" si="55"/>
        <v>0</v>
      </c>
      <c r="Z1354" s="148">
        <f t="shared" si="55"/>
        <v>0</v>
      </c>
      <c r="AA1354" s="148">
        <f t="shared" si="55"/>
        <v>0</v>
      </c>
      <c r="AB1354" s="148">
        <f t="shared" si="55"/>
        <v>0</v>
      </c>
      <c r="AC1354" s="148">
        <f t="shared" si="55"/>
        <v>0</v>
      </c>
      <c r="AD1354" s="148">
        <f t="shared" si="55"/>
        <v>0</v>
      </c>
      <c r="AE1354" s="148">
        <f t="shared" si="55"/>
        <v>0</v>
      </c>
      <c r="AF1354" s="148">
        <f t="shared" si="55"/>
        <v>0</v>
      </c>
      <c r="AG1354" s="148">
        <f t="shared" si="55"/>
        <v>0</v>
      </c>
      <c r="AH1354" s="148">
        <f t="shared" si="55"/>
        <v>0</v>
      </c>
      <c r="AI1354" s="148">
        <f t="shared" si="55"/>
        <v>0</v>
      </c>
      <c r="AJ1354" s="148">
        <f t="shared" si="55"/>
        <v>0</v>
      </c>
      <c r="AK1354" s="148">
        <f t="shared" si="55"/>
        <v>0</v>
      </c>
      <c r="AL1354" s="148">
        <f t="shared" si="55"/>
        <v>0</v>
      </c>
      <c r="AM1354" s="148">
        <f t="shared" si="55"/>
        <v>0</v>
      </c>
      <c r="AN1354" s="148">
        <f t="shared" si="55"/>
        <v>0</v>
      </c>
      <c r="AO1354" s="148">
        <f t="shared" si="55"/>
        <v>0</v>
      </c>
      <c r="AP1354" s="148">
        <f t="shared" si="55"/>
        <v>0</v>
      </c>
      <c r="AQ1354" s="148">
        <f t="shared" si="55"/>
        <v>0</v>
      </c>
      <c r="AR1354" s="148">
        <f t="shared" si="55"/>
        <v>0</v>
      </c>
      <c r="AS1354" s="148">
        <f t="shared" si="55"/>
        <v>0</v>
      </c>
      <c r="AT1354" s="148">
        <f t="shared" si="55"/>
        <v>0</v>
      </c>
      <c r="AU1354" s="148">
        <f t="shared" si="55"/>
        <v>0</v>
      </c>
      <c r="AV1354" s="148">
        <f t="shared" si="55"/>
        <v>0</v>
      </c>
      <c r="AW1354" s="148">
        <f t="shared" si="55"/>
        <v>0</v>
      </c>
      <c r="AX1354" s="148">
        <f t="shared" si="55"/>
        <v>0</v>
      </c>
      <c r="AY1354" s="148">
        <f t="shared" si="55"/>
        <v>0</v>
      </c>
      <c r="AZ1354" s="148">
        <f t="shared" si="55"/>
        <v>0</v>
      </c>
      <c r="BA1354" s="148">
        <f t="shared" si="55"/>
        <v>0</v>
      </c>
    </row>
    <row r="1355" ht="15.75" customHeight="1">
      <c r="A1355" s="273" t="s">
        <v>48</v>
      </c>
      <c r="B1355" s="159" t="s">
        <v>150</v>
      </c>
      <c r="C1355" s="276"/>
      <c r="D1355" s="276"/>
      <c r="E1355" s="276"/>
      <c r="F1355" s="276"/>
      <c r="G1355" s="276"/>
      <c r="H1355" s="276"/>
      <c r="I1355" s="276"/>
      <c r="J1355" s="276"/>
      <c r="K1355" s="276"/>
      <c r="L1355" s="276"/>
      <c r="M1355" s="276"/>
      <c r="N1355" s="276"/>
      <c r="O1355" s="276"/>
      <c r="P1355" s="276"/>
      <c r="Q1355" s="276"/>
      <c r="R1355" s="276"/>
      <c r="S1355" s="276"/>
      <c r="T1355" s="276"/>
      <c r="U1355" s="276"/>
      <c r="V1355" s="174"/>
      <c r="W1355" s="175"/>
      <c r="X1355" s="175">
        <f>IF(W1354='Assumptions (Hydro)'!$V$11,Model!X1350-Model!X1349*'Assumptions (Hydro)'!V$15*0.00876,0)</f>
        <v>0</v>
      </c>
      <c r="Y1355" s="175">
        <f>IF(X1354='Assumptions (Hydro)'!$V$11,Model!Y1350-Model!Y1349*'Assumptions (Hydro)'!W$15*0.00876,0)</f>
        <v>0</v>
      </c>
      <c r="Z1355" s="175">
        <f>IF(Y1354='Assumptions (Hydro)'!$V$11,Model!Z1350-Model!Z1349*'Assumptions (Hydro)'!X$15*0.00876,0)</f>
        <v>0</v>
      </c>
      <c r="AA1355" s="175">
        <f>IF(Z1354='Assumptions (Hydro)'!$V$11,Model!AA1350-Model!AA1349*'Assumptions (Hydro)'!Y$15*0.00876,0)</f>
        <v>0</v>
      </c>
      <c r="AB1355" s="175">
        <f>IF(AA1354='Assumptions (Hydro)'!$V$11,Model!AB1350-Model!AB1349*'Assumptions (Hydro)'!Z$15*0.00876,0)</f>
        <v>0</v>
      </c>
      <c r="AC1355" s="175">
        <f>IF(AB1354='Assumptions (Hydro)'!$V$11,Model!AC1350-Model!AC1349*'Assumptions (Hydro)'!AA$15*0.00876,0)</f>
        <v>0</v>
      </c>
      <c r="AD1355" s="175">
        <f>IF(AC1354='Assumptions (Hydro)'!$V$11,Model!AD1350-Model!AD1349*'Assumptions (Hydro)'!AB$15*0.00876,0)</f>
        <v>0</v>
      </c>
      <c r="AE1355" s="175">
        <f>IF(AD1354='Assumptions (Hydro)'!$V$11,Model!AE1350-Model!AE1349*'Assumptions (Hydro)'!AC$15*0.00876,0)</f>
        <v>0</v>
      </c>
      <c r="AF1355" s="175">
        <f>IF(AE1354='Assumptions (Hydro)'!$V$11,Model!AF1350-Model!AF1349*'Assumptions (Hydro)'!AD$15*0.00876,0)</f>
        <v>0</v>
      </c>
      <c r="AG1355" s="175">
        <f>IF(AF1354='Assumptions (Hydro)'!$V$11,Model!AG1350-Model!AG1349*'Assumptions (Hydro)'!AE$15*0.00876,0)</f>
        <v>0</v>
      </c>
      <c r="AH1355" s="175">
        <f>IF(AG1354='Assumptions (Hydro)'!$V$11,Model!AH1350-Model!AH1349*'Assumptions (Hydro)'!AF$15*0.00876,0)</f>
        <v>0</v>
      </c>
      <c r="AI1355" s="175">
        <f>IF(AH1354='Assumptions (Hydro)'!$V$11,Model!AI1350-Model!AI1349*'Assumptions (Hydro)'!AG$15*0.00876,0)</f>
        <v>0</v>
      </c>
      <c r="AJ1355" s="175">
        <f>IF(AI1354='Assumptions (Hydro)'!$V$11,Model!AJ1350-Model!AJ1349*'Assumptions (Hydro)'!AH$15*0.00876,0)</f>
        <v>0</v>
      </c>
      <c r="AK1355" s="175">
        <f>IF(AJ1354='Assumptions (Hydro)'!$V$11,Model!AK1350-Model!AK1349*'Assumptions (Hydro)'!AI$15*0.00876,0)</f>
        <v>0</v>
      </c>
      <c r="AL1355" s="175">
        <f>IF(AK1354='Assumptions (Hydro)'!$V$11,Model!AL1350-Model!AL1349*'Assumptions (Hydro)'!AJ$15*0.00876,0)</f>
        <v>0</v>
      </c>
      <c r="AM1355" s="175">
        <f>IF(AL1354='Assumptions (Hydro)'!$V$11,Model!AM1350-Model!AM1349*'Assumptions (Hydro)'!AK$15*0.00876,0)</f>
        <v>0</v>
      </c>
      <c r="AN1355" s="175">
        <f>IF(AM1354='Assumptions (Hydro)'!$V$11,Model!AN1350-Model!AN1349*'Assumptions (Hydro)'!AL$15*0.00876,0)</f>
        <v>0</v>
      </c>
      <c r="AO1355" s="175">
        <f>IF(AN1354='Assumptions (Hydro)'!$V$11,Model!AO1350-Model!AO1349*'Assumptions (Hydro)'!AM$15*0.00876,0)</f>
        <v>0</v>
      </c>
      <c r="AP1355" s="175">
        <f>IF(AO1354='Assumptions (Hydro)'!$V$11,Model!AP1350-Model!AP1349*'Assumptions (Hydro)'!AN$15*0.00876,0)</f>
        <v>0</v>
      </c>
      <c r="AQ1355" s="175">
        <f>IF(AP1354='Assumptions (Hydro)'!$V$11,Model!AQ1350-Model!AQ1349*'Assumptions (Hydro)'!AO$15*0.00876,0)</f>
        <v>0</v>
      </c>
      <c r="AR1355" s="175">
        <f>IF(AQ1354='Assumptions (Hydro)'!$V$11,Model!AR1350-Model!AR1349*'Assumptions (Hydro)'!AP$15*0.00876,0)</f>
        <v>0</v>
      </c>
      <c r="AS1355" s="175">
        <f>IF(AR1354='Assumptions (Hydro)'!$V$11,Model!AS1350-Model!AS1349*'Assumptions (Hydro)'!AQ$15*0.00876,0)</f>
        <v>0</v>
      </c>
      <c r="AT1355" s="175">
        <f>IF(AS1354='Assumptions (Hydro)'!$V$11,Model!AT1350-Model!AT1349*'Assumptions (Hydro)'!AR$15*0.00876,0)</f>
        <v>0</v>
      </c>
      <c r="AU1355" s="175">
        <f>IF(AT1354='Assumptions (Hydro)'!$V$11,Model!AU1350-Model!AU1349*'Assumptions (Hydro)'!AS$15*0.00876,0)</f>
        <v>0</v>
      </c>
      <c r="AV1355" s="175">
        <f>IF(AU1354='Assumptions (Hydro)'!$V$11,Model!AV1350-Model!AV1349*'Assumptions (Hydro)'!AT$15*0.00876,0)</f>
        <v>0</v>
      </c>
      <c r="AW1355" s="175">
        <f>IF(AV1354='Assumptions (Hydro)'!$V$11,Model!AW1350-Model!AW1349*'Assumptions (Hydro)'!AU$15*0.00876,0)</f>
        <v>0</v>
      </c>
      <c r="AX1355" s="175">
        <f>IF(AW1354='Assumptions (Hydro)'!$V$11,Model!AX1350-Model!AX1349*'Assumptions (Hydro)'!AV$15*0.00876,0)</f>
        <v>0</v>
      </c>
      <c r="AY1355" s="175">
        <f>IF(AX1354='Assumptions (Hydro)'!$V$11,Model!AY1350-Model!AY1349*'Assumptions (Hydro)'!AW$15*0.00876,0)</f>
        <v>0</v>
      </c>
      <c r="AZ1355" s="175">
        <f>IF(AY1354='Assumptions (Hydro)'!$V$11,Model!AZ1350-Model!AZ1349*'Assumptions (Hydro)'!AX$15*0.00876,0)</f>
        <v>0</v>
      </c>
      <c r="BA1355" s="175">
        <f>IF(AZ1354='Assumptions (Hydro)'!$V$11,Model!BA1350-Model!BA1349*'Assumptions (Hydro)'!AY$15*0.00876,0)</f>
        <v>0</v>
      </c>
    </row>
    <row r="1356" ht="15.75" customHeight="1">
      <c r="A1356" s="272" t="s">
        <v>358</v>
      </c>
      <c r="B1356" s="150" t="s">
        <v>351</v>
      </c>
      <c r="C1356" s="177">
        <f t="shared" ref="C1356:BA1356" si="56">SUM(C1357:C1407)</f>
        <v>0.04275591266</v>
      </c>
      <c r="D1356" s="177">
        <f t="shared" si="56"/>
        <v>0.08388818307</v>
      </c>
      <c r="E1356" s="177">
        <f t="shared" si="56"/>
        <v>0.1013423373</v>
      </c>
      <c r="F1356" s="177">
        <f t="shared" si="56"/>
        <v>0.05939824575</v>
      </c>
      <c r="G1356" s="177">
        <f t="shared" si="56"/>
        <v>0.01745415422</v>
      </c>
      <c r="H1356" s="177">
        <f t="shared" si="56"/>
        <v>0</v>
      </c>
      <c r="I1356" s="177">
        <f t="shared" si="56"/>
        <v>0</v>
      </c>
      <c r="J1356" s="177">
        <f t="shared" si="56"/>
        <v>0</v>
      </c>
      <c r="K1356" s="177">
        <f t="shared" si="56"/>
        <v>0.001302207358</v>
      </c>
      <c r="L1356" s="177">
        <f t="shared" si="56"/>
        <v>0.07058012342</v>
      </c>
      <c r="M1356" s="177">
        <f t="shared" si="56"/>
        <v>0.09517402514</v>
      </c>
      <c r="N1356" s="177">
        <f t="shared" si="56"/>
        <v>0.09560207493</v>
      </c>
      <c r="O1356" s="177">
        <f t="shared" si="56"/>
        <v>0.02420345761</v>
      </c>
      <c r="P1356" s="177">
        <f t="shared" si="56"/>
        <v>0</v>
      </c>
      <c r="Q1356" s="177">
        <f t="shared" si="56"/>
        <v>0</v>
      </c>
      <c r="R1356" s="177">
        <f t="shared" si="56"/>
        <v>0</v>
      </c>
      <c r="S1356" s="177">
        <f t="shared" si="56"/>
        <v>0</v>
      </c>
      <c r="T1356" s="177">
        <f t="shared" si="56"/>
        <v>0</v>
      </c>
      <c r="U1356" s="177">
        <f t="shared" si="56"/>
        <v>0</v>
      </c>
      <c r="V1356" s="177">
        <f t="shared" si="56"/>
        <v>0</v>
      </c>
      <c r="W1356" s="177">
        <f t="shared" si="56"/>
        <v>0</v>
      </c>
      <c r="X1356" s="177">
        <f t="shared" si="56"/>
        <v>0</v>
      </c>
      <c r="Y1356" s="177">
        <f t="shared" si="56"/>
        <v>0</v>
      </c>
      <c r="Z1356" s="177">
        <f t="shared" si="56"/>
        <v>0</v>
      </c>
      <c r="AA1356" s="177">
        <f t="shared" si="56"/>
        <v>0</v>
      </c>
      <c r="AB1356" s="177">
        <f t="shared" si="56"/>
        <v>0</v>
      </c>
      <c r="AC1356" s="177">
        <f t="shared" si="56"/>
        <v>0</v>
      </c>
      <c r="AD1356" s="177">
        <f t="shared" si="56"/>
        <v>0</v>
      </c>
      <c r="AE1356" s="177">
        <f t="shared" si="56"/>
        <v>0</v>
      </c>
      <c r="AF1356" s="177">
        <f t="shared" si="56"/>
        <v>0</v>
      </c>
      <c r="AG1356" s="177">
        <f t="shared" si="56"/>
        <v>0</v>
      </c>
      <c r="AH1356" s="177">
        <f t="shared" si="56"/>
        <v>0</v>
      </c>
      <c r="AI1356" s="177">
        <f t="shared" si="56"/>
        <v>0</v>
      </c>
      <c r="AJ1356" s="177">
        <f t="shared" si="56"/>
        <v>0</v>
      </c>
      <c r="AK1356" s="177">
        <f t="shared" si="56"/>
        <v>0</v>
      </c>
      <c r="AL1356" s="177">
        <f t="shared" si="56"/>
        <v>0</v>
      </c>
      <c r="AM1356" s="177">
        <f t="shared" si="56"/>
        <v>0</v>
      </c>
      <c r="AN1356" s="177">
        <f t="shared" si="56"/>
        <v>0</v>
      </c>
      <c r="AO1356" s="177">
        <f t="shared" si="56"/>
        <v>0</v>
      </c>
      <c r="AP1356" s="177">
        <f t="shared" si="56"/>
        <v>0</v>
      </c>
      <c r="AQ1356" s="177">
        <f t="shared" si="56"/>
        <v>0</v>
      </c>
      <c r="AR1356" s="177">
        <f t="shared" si="56"/>
        <v>0</v>
      </c>
      <c r="AS1356" s="177">
        <f t="shared" si="56"/>
        <v>0</v>
      </c>
      <c r="AT1356" s="177">
        <f t="shared" si="56"/>
        <v>0</v>
      </c>
      <c r="AU1356" s="177">
        <f t="shared" si="56"/>
        <v>0</v>
      </c>
      <c r="AV1356" s="177">
        <f t="shared" si="56"/>
        <v>0</v>
      </c>
      <c r="AW1356" s="177">
        <f t="shared" si="56"/>
        <v>0</v>
      </c>
      <c r="AX1356" s="177">
        <f t="shared" si="56"/>
        <v>0</v>
      </c>
      <c r="AY1356" s="177">
        <f t="shared" si="56"/>
        <v>0</v>
      </c>
      <c r="AZ1356" s="177">
        <f t="shared" si="56"/>
        <v>0</v>
      </c>
      <c r="BA1356" s="177">
        <f t="shared" si="56"/>
        <v>0</v>
      </c>
    </row>
    <row r="1357" ht="15.75" hidden="1" customHeight="1" outlineLevel="1">
      <c r="A1357" s="273"/>
      <c r="B1357" s="38"/>
      <c r="C1357" s="177">
        <f>IF($C$1354&gt;0,3*'Assumptions (Hydro)'!$V$13*Model!$C$1354*'Assumptions (Hydro)'!B$2/10^9,0)</f>
        <v>0.0008118211265</v>
      </c>
      <c r="D1357" s="160"/>
      <c r="E1357" s="160"/>
      <c r="F1357" s="160"/>
      <c r="G1357" s="160"/>
      <c r="H1357" s="160"/>
      <c r="I1357" s="160"/>
      <c r="J1357" s="160"/>
      <c r="K1357" s="160"/>
      <c r="L1357" s="160"/>
      <c r="M1357" s="160"/>
      <c r="N1357" s="160"/>
      <c r="O1357" s="160"/>
      <c r="P1357" s="160"/>
      <c r="Q1357" s="160"/>
      <c r="R1357" s="160"/>
      <c r="S1357" s="160"/>
      <c r="T1357" s="160"/>
      <c r="U1357" s="160"/>
      <c r="V1357" s="160"/>
      <c r="W1357" s="160"/>
      <c r="X1357" s="160"/>
      <c r="Y1357" s="160"/>
      <c r="Z1357" s="160"/>
      <c r="AA1357" s="160"/>
      <c r="AB1357" s="160"/>
      <c r="AC1357" s="160"/>
      <c r="AD1357" s="160"/>
      <c r="AE1357" s="160"/>
      <c r="AF1357" s="160"/>
      <c r="AG1357" s="160"/>
      <c r="AH1357" s="160"/>
      <c r="AI1357" s="160"/>
      <c r="AJ1357" s="160"/>
      <c r="AK1357" s="160"/>
      <c r="AL1357" s="160"/>
      <c r="AM1357" s="160"/>
      <c r="AN1357" s="160"/>
      <c r="AO1357" s="160"/>
      <c r="AP1357" s="160"/>
      <c r="AQ1357" s="160"/>
      <c r="AR1357" s="160"/>
      <c r="AS1357" s="160"/>
      <c r="AT1357" s="160"/>
      <c r="AU1357" s="160"/>
      <c r="AV1357" s="160"/>
      <c r="AW1357" s="160"/>
      <c r="AX1357" s="160"/>
      <c r="AY1357" s="160"/>
      <c r="AZ1357" s="160"/>
      <c r="BA1357" s="160"/>
    </row>
    <row r="1358" ht="15.75" hidden="1" customHeight="1" outlineLevel="1">
      <c r="A1358" s="273"/>
      <c r="B1358" s="38"/>
      <c r="C1358" s="177">
        <f>IF($D$1354&gt;0,3*'Assumptions (Hydro)'!$V$13*Model!$D$1354*'Assumptions (Hydro)'!B$2/10^9,0)</f>
        <v>0</v>
      </c>
      <c r="D1358" s="177"/>
      <c r="E1358" s="177"/>
      <c r="F1358" s="177"/>
      <c r="G1358" s="177"/>
      <c r="H1358" s="177"/>
      <c r="I1358" s="177"/>
      <c r="J1358" s="177"/>
      <c r="K1358" s="177"/>
      <c r="L1358" s="177"/>
      <c r="M1358" s="160"/>
      <c r="N1358" s="160"/>
      <c r="O1358" s="160"/>
      <c r="P1358" s="160"/>
      <c r="Q1358" s="160"/>
      <c r="R1358" s="160"/>
      <c r="S1358" s="160"/>
      <c r="T1358" s="160"/>
      <c r="U1358" s="160"/>
      <c r="V1358" s="160"/>
      <c r="W1358" s="160"/>
      <c r="X1358" s="160"/>
      <c r="Y1358" s="160"/>
      <c r="Z1358" s="160"/>
      <c r="AA1358" s="160"/>
      <c r="AB1358" s="160"/>
      <c r="AC1358" s="160"/>
      <c r="AD1358" s="160"/>
      <c r="AE1358" s="160"/>
      <c r="AF1358" s="160"/>
      <c r="AG1358" s="160"/>
      <c r="AH1358" s="160"/>
      <c r="AI1358" s="160"/>
      <c r="AJ1358" s="160"/>
      <c r="AK1358" s="160"/>
      <c r="AL1358" s="160"/>
      <c r="AM1358" s="160"/>
      <c r="AN1358" s="160"/>
      <c r="AO1358" s="160"/>
      <c r="AP1358" s="160"/>
      <c r="AQ1358" s="160"/>
      <c r="AR1358" s="160"/>
      <c r="AS1358" s="160"/>
      <c r="AT1358" s="160"/>
      <c r="AU1358" s="160"/>
      <c r="AV1358" s="160"/>
      <c r="AW1358" s="160"/>
      <c r="AX1358" s="160"/>
      <c r="AY1358" s="160"/>
      <c r="AZ1358" s="160"/>
      <c r="BA1358" s="160"/>
    </row>
    <row r="1359" ht="15.75" hidden="1" customHeight="1" outlineLevel="1">
      <c r="A1359" s="273"/>
      <c r="B1359" s="38"/>
      <c r="C1359" s="177">
        <f>IF($E$1354&gt;0,2*'Assumptions (Hydro)'!$V$13*Model!$E$1354*'Assumptions (Hydro)'!B$2/10^9,0)</f>
        <v>0</v>
      </c>
      <c r="D1359" s="177">
        <f>IF($E$1354&gt;0,'Assumptions (Hydro)'!$V$13*Model!$E$1354*'Assumptions (Hydro)'!C$2/10^9,0)</f>
        <v>0</v>
      </c>
      <c r="E1359" s="177"/>
      <c r="F1359" s="177"/>
      <c r="G1359" s="177"/>
      <c r="H1359" s="177"/>
      <c r="I1359" s="177"/>
      <c r="J1359" s="177"/>
      <c r="K1359" s="177"/>
      <c r="L1359" s="177"/>
      <c r="M1359" s="160"/>
      <c r="N1359" s="160"/>
      <c r="O1359" s="160"/>
      <c r="P1359" s="160"/>
      <c r="Q1359" s="160"/>
      <c r="R1359" s="160"/>
      <c r="S1359" s="160"/>
      <c r="T1359" s="160"/>
      <c r="U1359" s="160"/>
      <c r="V1359" s="160"/>
      <c r="W1359" s="160"/>
      <c r="X1359" s="160"/>
      <c r="Y1359" s="160"/>
      <c r="Z1359" s="160"/>
      <c r="AA1359" s="160"/>
      <c r="AB1359" s="160"/>
      <c r="AC1359" s="160"/>
      <c r="AD1359" s="160"/>
      <c r="AE1359" s="160"/>
      <c r="AF1359" s="160"/>
      <c r="AG1359" s="160"/>
      <c r="AH1359" s="160"/>
      <c r="AI1359" s="160"/>
      <c r="AJ1359" s="160"/>
      <c r="AK1359" s="160"/>
      <c r="AL1359" s="160"/>
      <c r="AM1359" s="160"/>
      <c r="AN1359" s="160"/>
      <c r="AO1359" s="160"/>
      <c r="AP1359" s="160"/>
      <c r="AQ1359" s="160"/>
      <c r="AR1359" s="160"/>
      <c r="AS1359" s="160"/>
      <c r="AT1359" s="160"/>
      <c r="AU1359" s="160"/>
      <c r="AV1359" s="160"/>
      <c r="AW1359" s="160"/>
      <c r="AX1359" s="160"/>
      <c r="AY1359" s="160"/>
      <c r="AZ1359" s="160"/>
      <c r="BA1359" s="160"/>
    </row>
    <row r="1360" ht="15.75" hidden="1" customHeight="1" outlineLevel="1">
      <c r="A1360" s="273"/>
      <c r="B1360" s="38"/>
      <c r="C1360" s="177">
        <f>IF($F$1354&gt;0,'Assumptions (Hydro)'!$V$13*Model!$F$1354*'Assumptions (Hydro)'!B$2/10^9,0)</f>
        <v>0.04194409153</v>
      </c>
      <c r="D1360" s="177">
        <f>IF($F$1354&gt;0,'Assumptions (Hydro)'!$V$13*Model!$F$1354*'Assumptions (Hydro)'!C$2/10^9,0)</f>
        <v>0.04194409153</v>
      </c>
      <c r="E1360" s="177">
        <f>IF($F$1354&gt;0,'Assumptions (Hydro)'!$V$13*Model!$F$1354*'Assumptions (Hydro)'!D$2/10^9,0)</f>
        <v>0.04194409153</v>
      </c>
      <c r="F1360" s="177"/>
      <c r="G1360" s="177"/>
      <c r="H1360" s="177"/>
      <c r="I1360" s="177"/>
      <c r="J1360" s="177"/>
      <c r="K1360" s="177"/>
      <c r="L1360" s="177"/>
      <c r="M1360" s="160"/>
      <c r="N1360" s="160"/>
      <c r="O1360" s="160"/>
      <c r="P1360" s="160"/>
      <c r="Q1360" s="160"/>
      <c r="R1360" s="160"/>
      <c r="S1360" s="160"/>
      <c r="T1360" s="160"/>
      <c r="U1360" s="160"/>
      <c r="V1360" s="160"/>
      <c r="W1360" s="160"/>
      <c r="X1360" s="160"/>
      <c r="Y1360" s="160"/>
      <c r="Z1360" s="160"/>
      <c r="AA1360" s="160"/>
      <c r="AB1360" s="160"/>
      <c r="AC1360" s="160"/>
      <c r="AD1360" s="160"/>
      <c r="AE1360" s="160"/>
      <c r="AF1360" s="160"/>
      <c r="AG1360" s="160"/>
      <c r="AH1360" s="160"/>
      <c r="AI1360" s="160"/>
      <c r="AJ1360" s="160"/>
      <c r="AK1360" s="160"/>
      <c r="AL1360" s="160"/>
      <c r="AM1360" s="160"/>
      <c r="AN1360" s="160"/>
      <c r="AO1360" s="160"/>
      <c r="AP1360" s="160"/>
      <c r="AQ1360" s="160"/>
      <c r="AR1360" s="160"/>
      <c r="AS1360" s="160"/>
      <c r="AT1360" s="160"/>
      <c r="AU1360" s="160"/>
      <c r="AV1360" s="160"/>
      <c r="AW1360" s="160"/>
      <c r="AX1360" s="160"/>
      <c r="AY1360" s="160"/>
      <c r="AZ1360" s="160"/>
      <c r="BA1360" s="160"/>
    </row>
    <row r="1361" ht="15.75" hidden="1" customHeight="1" outlineLevel="1">
      <c r="A1361" s="273"/>
      <c r="B1361" s="38"/>
      <c r="C1361" s="177"/>
      <c r="D1361" s="177">
        <f>IF($G$1354&gt;0,'Assumptions (Hydro)'!$V$13*Model!$G$1354*'Assumptions (Hydro)'!C$2/10^9,0)</f>
        <v>0.04194409153</v>
      </c>
      <c r="E1361" s="177">
        <f>IF($G$1354&gt;0,'Assumptions (Hydro)'!$V$13*Model!$G$1354*'Assumptions (Hydro)'!D$2/10^9,0)</f>
        <v>0.04194409153</v>
      </c>
      <c r="F1361" s="177">
        <f>IF($G$1354&gt;0,'Assumptions (Hydro)'!$V$13*Model!$G$1354*'Assumptions (Hydro)'!E$2/10^9,0)</f>
        <v>0.04194409153</v>
      </c>
      <c r="G1361" s="177"/>
      <c r="H1361" s="177"/>
      <c r="I1361" s="177"/>
      <c r="J1361" s="177"/>
      <c r="K1361" s="177"/>
      <c r="L1361" s="177"/>
      <c r="M1361" s="160"/>
      <c r="N1361" s="160"/>
      <c r="O1361" s="160"/>
      <c r="P1361" s="160"/>
      <c r="Q1361" s="160"/>
      <c r="R1361" s="160"/>
      <c r="S1361" s="160"/>
      <c r="T1361" s="160"/>
      <c r="U1361" s="160"/>
      <c r="V1361" s="160"/>
      <c r="W1361" s="160"/>
      <c r="X1361" s="160"/>
      <c r="Y1361" s="160"/>
      <c r="Z1361" s="160"/>
      <c r="AA1361" s="160"/>
      <c r="AB1361" s="160"/>
      <c r="AC1361" s="160"/>
      <c r="AD1361" s="160"/>
      <c r="AE1361" s="160"/>
      <c r="AF1361" s="160"/>
      <c r="AG1361" s="160"/>
      <c r="AH1361" s="160"/>
      <c r="AI1361" s="160"/>
      <c r="AJ1361" s="160"/>
      <c r="AK1361" s="160"/>
      <c r="AL1361" s="160"/>
      <c r="AM1361" s="160"/>
      <c r="AN1361" s="160"/>
      <c r="AO1361" s="160"/>
      <c r="AP1361" s="160"/>
      <c r="AQ1361" s="160"/>
      <c r="AR1361" s="160"/>
      <c r="AS1361" s="160"/>
      <c r="AT1361" s="160"/>
      <c r="AU1361" s="160"/>
      <c r="AV1361" s="160"/>
      <c r="AW1361" s="160"/>
      <c r="AX1361" s="160"/>
      <c r="AY1361" s="160"/>
      <c r="AZ1361" s="160"/>
      <c r="BA1361" s="160"/>
    </row>
    <row r="1362" ht="15.75" hidden="1" customHeight="1" outlineLevel="1">
      <c r="A1362" s="273"/>
      <c r="B1362" s="38"/>
      <c r="C1362" s="177"/>
      <c r="D1362" s="177"/>
      <c r="E1362" s="277">
        <f>IF($H$1354&gt;0,'Assumptions (Hydro)'!$V$13*Model!$H$1354*'Assumptions (Hydro)'!D$2/10^9,0)</f>
        <v>0.01745415422</v>
      </c>
      <c r="F1362" s="277">
        <f>IF($H$1354&gt;0,'Assumptions (Hydro)'!$V$13*Model!$H$1354*'Assumptions (Hydro)'!E$2/10^9,0)</f>
        <v>0.01745415422</v>
      </c>
      <c r="G1362" s="277">
        <f>IF($H$1354&gt;0,'Assumptions (Hydro)'!$V$13*Model!$H$1354*'Assumptions (Hydro)'!F$2/10^9,0)</f>
        <v>0.01745415422</v>
      </c>
      <c r="H1362" s="177"/>
      <c r="I1362" s="177"/>
      <c r="J1362" s="177"/>
      <c r="K1362" s="177"/>
      <c r="L1362" s="177"/>
      <c r="M1362" s="160"/>
      <c r="N1362" s="160"/>
      <c r="O1362" s="160"/>
      <c r="P1362" s="160"/>
      <c r="Q1362" s="160"/>
      <c r="R1362" s="160"/>
      <c r="S1362" s="160"/>
      <c r="T1362" s="160"/>
      <c r="U1362" s="160"/>
      <c r="V1362" s="160"/>
      <c r="W1362" s="160"/>
      <c r="X1362" s="160"/>
      <c r="Y1362" s="160"/>
      <c r="Z1362" s="160"/>
      <c r="AA1362" s="160"/>
      <c r="AB1362" s="160"/>
      <c r="AC1362" s="160"/>
      <c r="AD1362" s="160"/>
      <c r="AE1362" s="160"/>
      <c r="AF1362" s="160"/>
      <c r="AG1362" s="160"/>
      <c r="AH1362" s="160"/>
      <c r="AI1362" s="160"/>
      <c r="AJ1362" s="160"/>
      <c r="AK1362" s="160"/>
      <c r="AL1362" s="160"/>
      <c r="AM1362" s="160"/>
      <c r="AN1362" s="160"/>
      <c r="AO1362" s="160"/>
      <c r="AP1362" s="160"/>
      <c r="AQ1362" s="160"/>
      <c r="AR1362" s="160"/>
      <c r="AS1362" s="160"/>
      <c r="AT1362" s="160"/>
      <c r="AU1362" s="160"/>
      <c r="AV1362" s="160"/>
      <c r="AW1362" s="160"/>
      <c r="AX1362" s="160"/>
      <c r="AY1362" s="160"/>
      <c r="AZ1362" s="160"/>
      <c r="BA1362" s="160"/>
    </row>
    <row r="1363" ht="15.75" hidden="1" customHeight="1" outlineLevel="1">
      <c r="A1363" s="273"/>
      <c r="B1363" s="38"/>
      <c r="C1363" s="177"/>
      <c r="D1363" s="177"/>
      <c r="E1363" s="177"/>
      <c r="F1363" s="177">
        <f>IF($I$1354&gt;0,'Assumptions (Hydro)'!$V$13*Model!$I$1354*'Assumptions (Hydro)'!E$2/10^9,0)</f>
        <v>0</v>
      </c>
      <c r="G1363" s="177">
        <f>IF($I$1354&gt;0,'Assumptions (Hydro)'!$V$13*Model!$I$1354*'Assumptions (Hydro)'!F$2/10^9,0)</f>
        <v>0</v>
      </c>
      <c r="H1363" s="177">
        <f>IF($I$1354&gt;0,'Assumptions (Hydro)'!$V$13*Model!$I$1354*'Assumptions (Hydro)'!G$2/10^9,0)</f>
        <v>0</v>
      </c>
      <c r="I1363" s="177"/>
      <c r="J1363" s="177"/>
      <c r="K1363" s="177"/>
      <c r="L1363" s="177"/>
      <c r="M1363" s="160"/>
      <c r="N1363" s="160"/>
      <c r="O1363" s="160"/>
      <c r="P1363" s="160"/>
      <c r="Q1363" s="160"/>
      <c r="R1363" s="160"/>
      <c r="S1363" s="160"/>
      <c r="T1363" s="160"/>
      <c r="U1363" s="160"/>
      <c r="V1363" s="160"/>
      <c r="W1363" s="160"/>
      <c r="X1363" s="160"/>
      <c r="Y1363" s="160"/>
      <c r="Z1363" s="160"/>
      <c r="AA1363" s="160"/>
      <c r="AB1363" s="160"/>
      <c r="AC1363" s="160"/>
      <c r="AD1363" s="160"/>
      <c r="AE1363" s="160"/>
      <c r="AF1363" s="160"/>
      <c r="AG1363" s="160"/>
      <c r="AH1363" s="160"/>
      <c r="AI1363" s="160"/>
      <c r="AJ1363" s="160"/>
      <c r="AK1363" s="160"/>
      <c r="AL1363" s="160"/>
      <c r="AM1363" s="160"/>
      <c r="AN1363" s="160"/>
      <c r="AO1363" s="160"/>
      <c r="AP1363" s="160"/>
      <c r="AQ1363" s="160"/>
      <c r="AR1363" s="160"/>
      <c r="AS1363" s="160"/>
      <c r="AT1363" s="160"/>
      <c r="AU1363" s="160"/>
      <c r="AV1363" s="160"/>
      <c r="AW1363" s="160"/>
      <c r="AX1363" s="160"/>
      <c r="AY1363" s="160"/>
      <c r="AZ1363" s="160"/>
      <c r="BA1363" s="160"/>
    </row>
    <row r="1364" ht="15.75" hidden="1" customHeight="1" outlineLevel="1">
      <c r="A1364" s="273"/>
      <c r="B1364" s="38"/>
      <c r="C1364" s="177"/>
      <c r="D1364" s="177"/>
      <c r="E1364" s="177"/>
      <c r="F1364" s="177"/>
      <c r="G1364" s="177">
        <f>IF($J$1354&gt;0,'Assumptions (Hydro)'!$V$13*Model!$J$1354*'Assumptions (Hydro)'!F$2/10^9,0)</f>
        <v>0</v>
      </c>
      <c r="H1364" s="177">
        <f>IF($J$1354&gt;0,'Assumptions (Hydro)'!$V$13*Model!$J$1354*'Assumptions (Hydro)'!G$2/10^9,0)</f>
        <v>0</v>
      </c>
      <c r="I1364" s="177">
        <f>IF($J$1354&gt;0,'Assumptions (Hydro)'!$V$13*Model!$J$1354*'Assumptions (Hydro)'!H$2/10^9,0)</f>
        <v>0</v>
      </c>
      <c r="J1364" s="177"/>
      <c r="K1364" s="177"/>
      <c r="L1364" s="177"/>
      <c r="M1364" s="160"/>
      <c r="N1364" s="160"/>
      <c r="O1364" s="160"/>
      <c r="P1364" s="160"/>
      <c r="Q1364" s="160"/>
      <c r="R1364" s="160"/>
      <c r="S1364" s="160"/>
      <c r="T1364" s="160"/>
      <c r="U1364" s="160"/>
      <c r="V1364" s="160"/>
      <c r="W1364" s="160"/>
      <c r="X1364" s="160"/>
      <c r="Y1364" s="160"/>
      <c r="Z1364" s="160"/>
      <c r="AA1364" s="160"/>
      <c r="AB1364" s="160"/>
      <c r="AC1364" s="160"/>
      <c r="AD1364" s="160"/>
      <c r="AE1364" s="160"/>
      <c r="AF1364" s="160"/>
      <c r="AG1364" s="160"/>
      <c r="AH1364" s="160"/>
      <c r="AI1364" s="160"/>
      <c r="AJ1364" s="160"/>
      <c r="AK1364" s="160"/>
      <c r="AL1364" s="160"/>
      <c r="AM1364" s="160"/>
      <c r="AN1364" s="160"/>
      <c r="AO1364" s="160"/>
      <c r="AP1364" s="160"/>
      <c r="AQ1364" s="160"/>
      <c r="AR1364" s="160"/>
      <c r="AS1364" s="160"/>
      <c r="AT1364" s="160"/>
      <c r="AU1364" s="160"/>
      <c r="AV1364" s="160"/>
      <c r="AW1364" s="160"/>
      <c r="AX1364" s="160"/>
      <c r="AY1364" s="160"/>
      <c r="AZ1364" s="160"/>
      <c r="BA1364" s="160"/>
    </row>
    <row r="1365" ht="15.75" hidden="1" customHeight="1" outlineLevel="1">
      <c r="A1365" s="273"/>
      <c r="B1365" s="38"/>
      <c r="C1365" s="177"/>
      <c r="D1365" s="177"/>
      <c r="E1365" s="177"/>
      <c r="F1365" s="177"/>
      <c r="G1365" s="177"/>
      <c r="H1365" s="177">
        <f>IF($K$1354&gt;0,'Assumptions (Hydro)'!$V$13*Model!$K$1354*'Assumptions (Hydro)'!G$2/10^9,0)</f>
        <v>0</v>
      </c>
      <c r="I1365" s="177">
        <f>IF($K$1354&gt;0,'Assumptions (Hydro)'!$V$13*Model!$K$1354*'Assumptions (Hydro)'!H$2/10^9,0)</f>
        <v>0</v>
      </c>
      <c r="J1365" s="177">
        <f>IF($K$1354&gt;0,'Assumptions (Hydro)'!$V$13*Model!$K$1354*'Assumptions (Hydro)'!I$2/10^9,0)</f>
        <v>0</v>
      </c>
      <c r="K1365" s="177"/>
      <c r="L1365" s="177"/>
      <c r="M1365" s="160"/>
      <c r="N1365" s="160"/>
      <c r="O1365" s="160"/>
      <c r="P1365" s="160"/>
      <c r="Q1365" s="160"/>
      <c r="R1365" s="160"/>
      <c r="S1365" s="160"/>
      <c r="T1365" s="160"/>
      <c r="U1365" s="160"/>
      <c r="V1365" s="160"/>
      <c r="W1365" s="160"/>
      <c r="X1365" s="160"/>
      <c r="Y1365" s="160"/>
      <c r="Z1365" s="160"/>
      <c r="AA1365" s="160"/>
      <c r="AB1365" s="160"/>
      <c r="AC1365" s="160"/>
      <c r="AD1365" s="160"/>
      <c r="AE1365" s="160"/>
      <c r="AF1365" s="160"/>
      <c r="AG1365" s="160"/>
      <c r="AH1365" s="160"/>
      <c r="AI1365" s="160"/>
      <c r="AJ1365" s="160"/>
      <c r="AK1365" s="160"/>
      <c r="AL1365" s="160"/>
      <c r="AM1365" s="160"/>
      <c r="AN1365" s="160"/>
      <c r="AO1365" s="160"/>
      <c r="AP1365" s="160"/>
      <c r="AQ1365" s="160"/>
      <c r="AR1365" s="160"/>
      <c r="AS1365" s="160"/>
      <c r="AT1365" s="160"/>
      <c r="AU1365" s="160"/>
      <c r="AV1365" s="160"/>
      <c r="AW1365" s="160"/>
      <c r="AX1365" s="160"/>
      <c r="AY1365" s="160"/>
      <c r="AZ1365" s="160"/>
      <c r="BA1365" s="160"/>
    </row>
    <row r="1366" ht="15.75" hidden="1" customHeight="1" outlineLevel="1">
      <c r="A1366" s="273"/>
      <c r="B1366" s="38"/>
      <c r="C1366" s="177"/>
      <c r="D1366" s="177"/>
      <c r="E1366" s="177"/>
      <c r="F1366" s="177"/>
      <c r="G1366" s="177"/>
      <c r="H1366" s="177"/>
      <c r="I1366" s="177">
        <f>IF($L$1354&gt;0,'Assumptions (Hydro)'!$V$13*Model!$L$1354*'Assumptions (Hydro)'!H$2/10^9,0)</f>
        <v>0</v>
      </c>
      <c r="J1366" s="177">
        <f>IF($L$1354&gt;0,'Assumptions (Hydro)'!$V$13*Model!$L$1354*'Assumptions (Hydro)'!I$2/10^9,0)</f>
        <v>0</v>
      </c>
      <c r="K1366" s="177">
        <f>IF($L$1354&gt;0,'Assumptions (Hydro)'!$V$13*Model!$L$1354*'Assumptions (Hydro)'!J$2/10^9,0)</f>
        <v>0</v>
      </c>
      <c r="L1366" s="177"/>
      <c r="M1366" s="160"/>
      <c r="N1366" s="160"/>
      <c r="O1366" s="160"/>
      <c r="P1366" s="160"/>
      <c r="Q1366" s="160"/>
      <c r="R1366" s="160"/>
      <c r="S1366" s="160"/>
      <c r="T1366" s="160"/>
      <c r="U1366" s="160"/>
      <c r="V1366" s="160"/>
      <c r="W1366" s="160"/>
      <c r="X1366" s="160"/>
      <c r="Y1366" s="160"/>
      <c r="Z1366" s="160"/>
      <c r="AA1366" s="160"/>
      <c r="AB1366" s="160"/>
      <c r="AC1366" s="160"/>
      <c r="AD1366" s="160"/>
      <c r="AE1366" s="160"/>
      <c r="AF1366" s="160"/>
      <c r="AG1366" s="160"/>
      <c r="AH1366" s="160"/>
      <c r="AI1366" s="160"/>
      <c r="AJ1366" s="160"/>
      <c r="AK1366" s="160"/>
      <c r="AL1366" s="160"/>
      <c r="AM1366" s="160"/>
      <c r="AN1366" s="160"/>
      <c r="AO1366" s="160"/>
      <c r="AP1366" s="160"/>
      <c r="AQ1366" s="160"/>
      <c r="AR1366" s="160"/>
      <c r="AS1366" s="160"/>
      <c r="AT1366" s="160"/>
      <c r="AU1366" s="160"/>
      <c r="AV1366" s="160"/>
      <c r="AW1366" s="160"/>
      <c r="AX1366" s="160"/>
      <c r="AY1366" s="160"/>
      <c r="AZ1366" s="160"/>
      <c r="BA1366" s="160"/>
    </row>
    <row r="1367" ht="15.75" hidden="1" customHeight="1" outlineLevel="1">
      <c r="A1367" s="273"/>
      <c r="B1367" s="38"/>
      <c r="C1367" s="177"/>
      <c r="D1367" s="177"/>
      <c r="E1367" s="177"/>
      <c r="F1367" s="177"/>
      <c r="G1367" s="177"/>
      <c r="H1367" s="177"/>
      <c r="I1367" s="177"/>
      <c r="J1367" s="177">
        <f>IF($M$1354&gt;0,'Assumptions (Hydro)'!$V$13*Model!$M$1354*'Assumptions (Hydro)'!I$2/10^9,0)</f>
        <v>0</v>
      </c>
      <c r="K1367" s="177">
        <f>IF($M$1354&gt;0,'Assumptions (Hydro)'!$V$13*Model!$M$1354*'Assumptions (Hydro)'!J$2/10^9,0)</f>
        <v>0</v>
      </c>
      <c r="L1367" s="177">
        <f>IF($M$1354&gt;0,'Assumptions (Hydro)'!$V$13*Model!$M$1354*'Assumptions (Hydro)'!K$2/10^9,0)</f>
        <v>0</v>
      </c>
      <c r="M1367" s="160"/>
      <c r="N1367" s="160"/>
      <c r="O1367" s="160"/>
      <c r="P1367" s="160"/>
      <c r="Q1367" s="160"/>
      <c r="R1367" s="160"/>
      <c r="S1367" s="160"/>
      <c r="T1367" s="160"/>
      <c r="U1367" s="160"/>
      <c r="V1367" s="160"/>
      <c r="W1367" s="160"/>
      <c r="X1367" s="160"/>
      <c r="Y1367" s="160"/>
      <c r="Z1367" s="160"/>
      <c r="AA1367" s="160"/>
      <c r="AB1367" s="160"/>
      <c r="AC1367" s="160"/>
      <c r="AD1367" s="160"/>
      <c r="AE1367" s="160"/>
      <c r="AF1367" s="160"/>
      <c r="AG1367" s="160"/>
      <c r="AH1367" s="160"/>
      <c r="AI1367" s="160"/>
      <c r="AJ1367" s="160"/>
      <c r="AK1367" s="160"/>
      <c r="AL1367" s="160"/>
      <c r="AM1367" s="160"/>
      <c r="AN1367" s="160"/>
      <c r="AO1367" s="160"/>
      <c r="AP1367" s="160"/>
      <c r="AQ1367" s="160"/>
      <c r="AR1367" s="160"/>
      <c r="AS1367" s="160"/>
      <c r="AT1367" s="160"/>
      <c r="AU1367" s="160"/>
      <c r="AV1367" s="160"/>
      <c r="AW1367" s="160"/>
      <c r="AX1367" s="160"/>
      <c r="AY1367" s="160"/>
      <c r="AZ1367" s="160"/>
      <c r="BA1367" s="160"/>
    </row>
    <row r="1368" ht="15.75" hidden="1" customHeight="1" outlineLevel="1">
      <c r="A1368" s="273"/>
      <c r="B1368" s="38"/>
      <c r="C1368" s="160"/>
      <c r="D1368" s="160"/>
      <c r="E1368" s="160"/>
      <c r="F1368" s="160"/>
      <c r="G1368" s="160"/>
      <c r="H1368" s="160"/>
      <c r="I1368" s="160"/>
      <c r="J1368" s="160"/>
      <c r="K1368" s="160">
        <f>IF($N$1354&gt;0,'Assumptions (Hydro)'!$V$13*Model!$N$1354*'Assumptions (Hydro)'!J$2/10^9,0)</f>
        <v>0.001302207358</v>
      </c>
      <c r="L1368" s="160">
        <f>IF($N$1354&gt;0,'Assumptions (Hydro)'!$V$13*Model!$N$1354*'Assumptions (Hydro)'!K$2/10^9,0)</f>
        <v>0.00135424616</v>
      </c>
      <c r="M1368" s="160">
        <f>IF($N$1354&gt;0,'Assumptions (Hydro)'!$V$13*Model!$N$1354*'Assumptions (Hydro)'!L$2/10^9,0)</f>
        <v>0.001380510604</v>
      </c>
      <c r="N1368" s="160"/>
      <c r="O1368" s="160"/>
      <c r="P1368" s="160"/>
      <c r="Q1368" s="160"/>
      <c r="R1368" s="160"/>
      <c r="S1368" s="160"/>
      <c r="T1368" s="160"/>
      <c r="U1368" s="160"/>
      <c r="V1368" s="160"/>
      <c r="W1368" s="160"/>
      <c r="X1368" s="160"/>
      <c r="Y1368" s="160"/>
      <c r="Z1368" s="160"/>
      <c r="AA1368" s="160"/>
      <c r="AB1368" s="160"/>
      <c r="AC1368" s="160"/>
      <c r="AD1368" s="160"/>
      <c r="AE1368" s="160"/>
      <c r="AF1368" s="160"/>
      <c r="AG1368" s="160"/>
      <c r="AH1368" s="160"/>
      <c r="AI1368" s="160"/>
      <c r="AJ1368" s="160"/>
      <c r="AK1368" s="160"/>
      <c r="AL1368" s="160"/>
      <c r="AM1368" s="160"/>
      <c r="AN1368" s="160"/>
      <c r="AO1368" s="160"/>
      <c r="AP1368" s="160"/>
      <c r="AQ1368" s="160"/>
      <c r="AR1368" s="160"/>
      <c r="AS1368" s="160"/>
      <c r="AT1368" s="160"/>
      <c r="AU1368" s="160"/>
      <c r="AV1368" s="160"/>
      <c r="AW1368" s="160"/>
      <c r="AX1368" s="160"/>
      <c r="AY1368" s="160"/>
      <c r="AZ1368" s="160"/>
      <c r="BA1368" s="160"/>
    </row>
    <row r="1369" ht="15.75" hidden="1" customHeight="1" outlineLevel="1">
      <c r="A1369" s="273"/>
      <c r="B1369" s="38"/>
      <c r="C1369" s="160"/>
      <c r="D1369" s="160"/>
      <c r="E1369" s="160"/>
      <c r="F1369" s="160"/>
      <c r="G1369" s="160"/>
      <c r="H1369" s="160"/>
      <c r="I1369" s="160"/>
      <c r="J1369" s="160"/>
      <c r="K1369" s="160"/>
      <c r="L1369" s="160">
        <f>IF($O$1354&gt;0,'Assumptions (Hydro)'!$V$13*Model!$O$1354*'Assumptions (Hydro)'!K$2/10^9,0)</f>
        <v>0.06922587726</v>
      </c>
      <c r="M1369" s="160">
        <f>IF($O$1354&gt;0,'Assumptions (Hydro)'!$V$13*Model!$O$1354*'Assumptions (Hydro)'!L$2/10^9,0)</f>
        <v>0.07056845379</v>
      </c>
      <c r="N1369" s="160">
        <f>IF($O$1354&gt;0,'Assumptions (Hydro)'!$V$13*Model!$O$1354*'Assumptions (Hydro)'!M$2/10^9,0)</f>
        <v>0.07192918018</v>
      </c>
      <c r="O1369" s="160"/>
      <c r="P1369" s="160"/>
      <c r="Q1369" s="160"/>
      <c r="R1369" s="160"/>
      <c r="S1369" s="160"/>
      <c r="T1369" s="160"/>
      <c r="U1369" s="160"/>
      <c r="V1369" s="160"/>
      <c r="W1369" s="160"/>
      <c r="X1369" s="160"/>
      <c r="Y1369" s="160"/>
      <c r="Z1369" s="160"/>
      <c r="AA1369" s="160"/>
      <c r="AB1369" s="160"/>
      <c r="AC1369" s="160"/>
      <c r="AD1369" s="160"/>
      <c r="AE1369" s="160"/>
      <c r="AF1369" s="160"/>
      <c r="AG1369" s="160"/>
      <c r="AH1369" s="160"/>
      <c r="AI1369" s="160"/>
      <c r="AJ1369" s="160"/>
      <c r="AK1369" s="160"/>
      <c r="AL1369" s="160"/>
      <c r="AM1369" s="160"/>
      <c r="AN1369" s="160"/>
      <c r="AO1369" s="160"/>
      <c r="AP1369" s="160"/>
      <c r="AQ1369" s="160"/>
      <c r="AR1369" s="160"/>
      <c r="AS1369" s="160"/>
      <c r="AT1369" s="160"/>
      <c r="AU1369" s="160"/>
      <c r="AV1369" s="160"/>
      <c r="AW1369" s="160"/>
      <c r="AX1369" s="160"/>
      <c r="AY1369" s="160"/>
      <c r="AZ1369" s="160"/>
      <c r="BA1369" s="160"/>
    </row>
    <row r="1370" ht="15.75" hidden="1" customHeight="1" outlineLevel="1">
      <c r="A1370" s="273"/>
      <c r="B1370" s="38"/>
      <c r="C1370" s="160"/>
      <c r="D1370" s="160"/>
      <c r="E1370" s="160"/>
      <c r="F1370" s="160"/>
      <c r="G1370" s="160"/>
      <c r="H1370" s="160"/>
      <c r="I1370" s="160"/>
      <c r="J1370" s="177"/>
      <c r="K1370" s="177"/>
      <c r="L1370" s="177"/>
      <c r="M1370" s="177">
        <f>IF($P$1354&gt;0,'Assumptions (Hydro)'!$V$13*Model!$P$1354*'Assumptions (Hydro)'!L$2/10^9,0)</f>
        <v>0.02322506074</v>
      </c>
      <c r="N1370" s="177">
        <f>IF($P$1354&gt;0,'Assumptions (Hydro)'!$V$13*Model!$P$1354*'Assumptions (Hydro)'!M$2/10^9,0)</f>
        <v>0.02367289474</v>
      </c>
      <c r="O1370" s="177">
        <f>IF($P$1354&gt;0,'Assumptions (Hydro)'!$V$13*Model!$P$1354*'Assumptions (Hydro)'!N$2/10^9,0)</f>
        <v>0.02420345761</v>
      </c>
      <c r="P1370" s="177"/>
      <c r="Q1370" s="160"/>
      <c r="R1370" s="177"/>
      <c r="S1370" s="177"/>
      <c r="T1370" s="177"/>
      <c r="U1370" s="177"/>
      <c r="V1370" s="177"/>
      <c r="W1370" s="177"/>
      <c r="X1370" s="177"/>
      <c r="Y1370" s="177"/>
      <c r="Z1370" s="177"/>
      <c r="AA1370" s="177"/>
      <c r="AB1370" s="177"/>
      <c r="AC1370" s="177"/>
      <c r="AD1370" s="177"/>
      <c r="AE1370" s="177"/>
      <c r="AF1370" s="177"/>
      <c r="AG1370" s="177"/>
      <c r="AH1370" s="177"/>
      <c r="AI1370" s="177"/>
      <c r="AJ1370" s="177"/>
      <c r="AK1370" s="177"/>
      <c r="AL1370" s="177"/>
      <c r="AM1370" s="177"/>
      <c r="AN1370" s="177"/>
      <c r="AO1370" s="177"/>
      <c r="AP1370" s="177"/>
      <c r="AQ1370" s="177"/>
      <c r="AR1370" s="177"/>
      <c r="AS1370" s="177"/>
      <c r="AT1370" s="177"/>
      <c r="AU1370" s="177"/>
      <c r="AV1370" s="177"/>
      <c r="AW1370" s="177"/>
      <c r="AX1370" s="177"/>
      <c r="AY1370" s="177"/>
      <c r="AZ1370" s="177"/>
      <c r="BA1370" s="177"/>
    </row>
    <row r="1371" ht="15.75" hidden="1" customHeight="1" outlineLevel="1">
      <c r="A1371" s="273"/>
      <c r="B1371" s="38"/>
      <c r="C1371" s="160"/>
      <c r="D1371" s="160"/>
      <c r="E1371" s="160"/>
      <c r="F1371" s="160"/>
      <c r="G1371" s="160"/>
      <c r="H1371" s="160"/>
      <c r="I1371" s="160"/>
      <c r="J1371" s="160"/>
      <c r="K1371" s="177"/>
      <c r="L1371" s="177"/>
      <c r="M1371" s="177"/>
      <c r="N1371" s="177">
        <f>IF($Q$1354&gt;0,'Assumptions (Hydro)'!$V$13*Model!$Q$1354*'Assumptions (Hydro)'!M$2/10^9,0)</f>
        <v>0</v>
      </c>
      <c r="O1371" s="177">
        <f>IF($Q$1354&gt;0,'Assumptions (Hydro)'!$V$13*Model!$Q$1354*'Assumptions (Hydro)'!N$2/10^9,0)</f>
        <v>0</v>
      </c>
      <c r="P1371" s="177">
        <f>IF($Q$1354&gt;0,'Assumptions (Hydro)'!$V$13*Model!$Q$1354*'Assumptions (Hydro)'!O$2/10^9,0)</f>
        <v>0</v>
      </c>
      <c r="Q1371" s="160"/>
      <c r="R1371" s="177"/>
      <c r="S1371" s="177"/>
      <c r="T1371" s="177"/>
      <c r="U1371" s="177"/>
      <c r="V1371" s="177"/>
      <c r="W1371" s="177"/>
      <c r="X1371" s="177"/>
      <c r="Y1371" s="177"/>
      <c r="Z1371" s="177"/>
      <c r="AA1371" s="177"/>
      <c r="AB1371" s="177"/>
      <c r="AC1371" s="177"/>
      <c r="AD1371" s="177"/>
      <c r="AE1371" s="177"/>
      <c r="AF1371" s="177"/>
      <c r="AG1371" s="177"/>
      <c r="AH1371" s="177"/>
      <c r="AI1371" s="177"/>
      <c r="AJ1371" s="177"/>
      <c r="AK1371" s="177"/>
      <c r="AL1371" s="177"/>
      <c r="AM1371" s="177"/>
      <c r="AN1371" s="177"/>
      <c r="AO1371" s="177"/>
      <c r="AP1371" s="177"/>
      <c r="AQ1371" s="177"/>
      <c r="AR1371" s="177"/>
      <c r="AS1371" s="177"/>
      <c r="AT1371" s="177"/>
      <c r="AU1371" s="177"/>
      <c r="AV1371" s="177"/>
      <c r="AW1371" s="177"/>
      <c r="AX1371" s="177"/>
      <c r="AY1371" s="177"/>
      <c r="AZ1371" s="177"/>
      <c r="BA1371" s="177"/>
    </row>
    <row r="1372" ht="15.75" hidden="1" customHeight="1" outlineLevel="1">
      <c r="A1372" s="273"/>
      <c r="B1372" s="38"/>
      <c r="C1372" s="160"/>
      <c r="D1372" s="160"/>
      <c r="E1372" s="160"/>
      <c r="F1372" s="160"/>
      <c r="G1372" s="160"/>
      <c r="H1372" s="160"/>
      <c r="I1372" s="160"/>
      <c r="J1372" s="160"/>
      <c r="K1372" s="160"/>
      <c r="L1372" s="178"/>
      <c r="M1372" s="178"/>
      <c r="N1372" s="178"/>
      <c r="O1372" s="178">
        <f>IF($R$1354&gt;0,'Assumptions (Hydro)'!$V$13*Model!$R$1354*'Assumptions (Hydro)'!N$2/10^9,0)</f>
        <v>0</v>
      </c>
      <c r="P1372" s="178">
        <f>IF($R$1354&gt;0,'Assumptions (Hydro)'!$V$13*Model!$R$1354*'Assumptions (Hydro)'!O$2/10^9,0)</f>
        <v>0</v>
      </c>
      <c r="Q1372" s="178">
        <f>IF($R$1354&gt;0,'Assumptions (Hydro)'!$V$13*Model!$R$1354*'Assumptions (Hydro)'!P$2/10^9,0)</f>
        <v>0</v>
      </c>
      <c r="R1372" s="177"/>
      <c r="S1372" s="177"/>
      <c r="T1372" s="177"/>
      <c r="U1372" s="177"/>
      <c r="V1372" s="177"/>
      <c r="W1372" s="177"/>
      <c r="X1372" s="177"/>
      <c r="Y1372" s="177"/>
      <c r="Z1372" s="177"/>
      <c r="AA1372" s="177"/>
      <c r="AB1372" s="177"/>
      <c r="AC1372" s="177"/>
      <c r="AD1372" s="177"/>
      <c r="AE1372" s="177"/>
      <c r="AF1372" s="177"/>
      <c r="AG1372" s="177"/>
      <c r="AH1372" s="177"/>
      <c r="AI1372" s="177"/>
      <c r="AJ1372" s="177"/>
      <c r="AK1372" s="177"/>
      <c r="AL1372" s="177"/>
      <c r="AM1372" s="177"/>
      <c r="AN1372" s="177"/>
      <c r="AO1372" s="177"/>
      <c r="AP1372" s="177"/>
      <c r="AQ1372" s="177"/>
      <c r="AR1372" s="177"/>
      <c r="AS1372" s="177"/>
      <c r="AT1372" s="177"/>
      <c r="AU1372" s="177"/>
      <c r="AV1372" s="177"/>
      <c r="AW1372" s="177"/>
      <c r="AX1372" s="177"/>
      <c r="AY1372" s="177"/>
      <c r="AZ1372" s="177"/>
      <c r="BA1372" s="177"/>
    </row>
    <row r="1373" ht="15.75" hidden="1" customHeight="1" outlineLevel="1">
      <c r="A1373" s="273"/>
      <c r="B1373" s="38"/>
      <c r="C1373" s="160"/>
      <c r="D1373" s="160"/>
      <c r="E1373" s="160"/>
      <c r="F1373" s="160"/>
      <c r="G1373" s="160"/>
      <c r="H1373" s="160"/>
      <c r="I1373" s="160"/>
      <c r="J1373" s="160"/>
      <c r="K1373" s="160"/>
      <c r="L1373" s="160"/>
      <c r="M1373" s="160"/>
      <c r="N1373" s="160"/>
      <c r="O1373" s="160"/>
      <c r="P1373" s="160">
        <f>IF($S$1354&gt;0,'Assumptions (Hydro)'!$V$13*Model!$S$1354*'Assumptions (Hydro)'!O$2/10^9,0)</f>
        <v>0</v>
      </c>
      <c r="Q1373" s="160">
        <f>IF($S$1354&gt;0,'Assumptions (Hydro)'!$V$13*Model!$S$1354*'Assumptions (Hydro)'!P$2/10^9,0)</f>
        <v>0</v>
      </c>
      <c r="R1373" s="160">
        <f>IF($S$1354&gt;0,'Assumptions (Hydro)'!$V$13*Model!$S$1354*'Assumptions (Hydro)'!Q$2/10^9,0)</f>
        <v>0</v>
      </c>
      <c r="S1373" s="160"/>
      <c r="T1373" s="160"/>
      <c r="U1373" s="160"/>
      <c r="V1373" s="160"/>
      <c r="W1373" s="160"/>
      <c r="X1373" s="160"/>
      <c r="Y1373" s="160"/>
      <c r="Z1373" s="160"/>
      <c r="AA1373" s="160"/>
      <c r="AB1373" s="160"/>
      <c r="AC1373" s="160"/>
      <c r="AD1373" s="160"/>
      <c r="AE1373" s="160"/>
      <c r="AF1373" s="160"/>
      <c r="AG1373" s="160"/>
      <c r="AH1373" s="160"/>
      <c r="AI1373" s="160"/>
      <c r="AJ1373" s="160"/>
      <c r="AK1373" s="160"/>
      <c r="AL1373" s="160"/>
      <c r="AM1373" s="160"/>
      <c r="AN1373" s="160"/>
      <c r="AO1373" s="160"/>
      <c r="AP1373" s="160"/>
      <c r="AQ1373" s="160"/>
      <c r="AR1373" s="160"/>
      <c r="AS1373" s="160"/>
      <c r="AT1373" s="160"/>
      <c r="AU1373" s="160"/>
      <c r="AV1373" s="160"/>
      <c r="AW1373" s="160"/>
      <c r="AX1373" s="160"/>
      <c r="AY1373" s="160"/>
      <c r="AZ1373" s="160"/>
      <c r="BA1373" s="160"/>
    </row>
    <row r="1374" ht="15.75" hidden="1" customHeight="1" outlineLevel="1">
      <c r="A1374" s="273"/>
      <c r="B1374" s="38"/>
      <c r="C1374" s="160"/>
      <c r="D1374" s="160"/>
      <c r="E1374" s="160"/>
      <c r="F1374" s="160"/>
      <c r="G1374" s="160"/>
      <c r="H1374" s="160"/>
      <c r="I1374" s="160"/>
      <c r="J1374" s="160"/>
      <c r="K1374" s="160"/>
      <c r="L1374" s="160"/>
      <c r="M1374" s="160"/>
      <c r="N1374" s="160"/>
      <c r="O1374" s="160"/>
      <c r="P1374" s="160"/>
      <c r="Q1374" s="160">
        <f>IF($T$1354&gt;0,'Assumptions (Hydro)'!$V$13*Model!$T$1354*'Assumptions (Hydro)'!P$2/10^9,0)</f>
        <v>0</v>
      </c>
      <c r="R1374" s="160">
        <f>IF($T$1354&gt;0,'Assumptions (Hydro)'!$V$13*Model!$T$1354*'Assumptions (Hydro)'!Q$2/10^9,0)</f>
        <v>0</v>
      </c>
      <c r="S1374" s="160">
        <f>IF($T$1354&gt;0,'Assumptions (Hydro)'!$V$13*Model!$T$1354*'Assumptions (Hydro)'!R$2/10^9,0)</f>
        <v>0</v>
      </c>
      <c r="T1374" s="160"/>
      <c r="U1374" s="160"/>
      <c r="V1374" s="160"/>
      <c r="W1374" s="160"/>
      <c r="X1374" s="160"/>
      <c r="Y1374" s="160"/>
      <c r="Z1374" s="160"/>
      <c r="AA1374" s="160"/>
      <c r="AB1374" s="160"/>
      <c r="AC1374" s="160"/>
      <c r="AD1374" s="160"/>
      <c r="AE1374" s="160"/>
      <c r="AF1374" s="160"/>
      <c r="AG1374" s="160"/>
      <c r="AH1374" s="160"/>
      <c r="AI1374" s="160"/>
      <c r="AJ1374" s="160"/>
      <c r="AK1374" s="160"/>
      <c r="AL1374" s="160"/>
      <c r="AM1374" s="160"/>
      <c r="AN1374" s="160"/>
      <c r="AO1374" s="160"/>
      <c r="AP1374" s="160"/>
      <c r="AQ1374" s="160"/>
      <c r="AR1374" s="160"/>
      <c r="AS1374" s="160"/>
      <c r="AT1374" s="160"/>
      <c r="AU1374" s="160"/>
      <c r="AV1374" s="160"/>
      <c r="AW1374" s="160"/>
      <c r="AX1374" s="160"/>
      <c r="AY1374" s="160"/>
      <c r="AZ1374" s="160"/>
      <c r="BA1374" s="160"/>
    </row>
    <row r="1375" ht="15.75" hidden="1" customHeight="1" outlineLevel="1">
      <c r="A1375" s="273"/>
      <c r="B1375" s="38"/>
      <c r="C1375" s="160"/>
      <c r="D1375" s="160"/>
      <c r="E1375" s="160"/>
      <c r="F1375" s="160"/>
      <c r="G1375" s="160"/>
      <c r="H1375" s="160"/>
      <c r="I1375" s="160"/>
      <c r="J1375" s="160"/>
      <c r="K1375" s="160"/>
      <c r="L1375" s="160"/>
      <c r="M1375" s="160"/>
      <c r="N1375" s="160"/>
      <c r="O1375" s="177"/>
      <c r="P1375" s="177"/>
      <c r="Q1375" s="177"/>
      <c r="R1375" s="177">
        <f>IF($U$1354&gt;0,'Assumptions (Hydro)'!$V$13*Model!$U$1354*'Assumptions (Hydro)'!Q$2/10^9,0)</f>
        <v>0</v>
      </c>
      <c r="S1375" s="177">
        <f>IF($U$1354&gt;0,'Assumptions (Hydro)'!$V$13*Model!$U$1354*'Assumptions (Hydro)'!R$2/10^9,0)</f>
        <v>0</v>
      </c>
      <c r="T1375" s="177">
        <f>IF($U$1354&gt;0,'Assumptions (Hydro)'!$V$13*Model!$U$1354*'Assumptions (Hydro)'!S$2/10^9,0)</f>
        <v>0</v>
      </c>
      <c r="U1375" s="160"/>
      <c r="V1375" s="160"/>
      <c r="W1375" s="160"/>
      <c r="X1375" s="160"/>
      <c r="Y1375" s="160"/>
      <c r="Z1375" s="160"/>
      <c r="AA1375" s="160"/>
      <c r="AB1375" s="160"/>
      <c r="AC1375" s="160"/>
      <c r="AD1375" s="160"/>
      <c r="AE1375" s="160"/>
      <c r="AF1375" s="160"/>
      <c r="AG1375" s="160"/>
      <c r="AH1375" s="160"/>
      <c r="AI1375" s="160"/>
      <c r="AJ1375" s="160"/>
      <c r="AK1375" s="160"/>
      <c r="AL1375" s="160"/>
      <c r="AM1375" s="160"/>
      <c r="AN1375" s="160"/>
      <c r="AO1375" s="160"/>
      <c r="AP1375" s="160"/>
      <c r="AQ1375" s="160"/>
      <c r="AR1375" s="160"/>
      <c r="AS1375" s="160"/>
      <c r="AT1375" s="160"/>
      <c r="AU1375" s="160"/>
      <c r="AV1375" s="160"/>
      <c r="AW1375" s="160"/>
      <c r="AX1375" s="160"/>
      <c r="AY1375" s="160"/>
      <c r="AZ1375" s="160"/>
      <c r="BA1375" s="160"/>
    </row>
    <row r="1376" ht="15.75" hidden="1" customHeight="1" outlineLevel="1">
      <c r="A1376" s="273"/>
      <c r="B1376" s="38"/>
      <c r="C1376" s="160"/>
      <c r="D1376" s="160"/>
      <c r="E1376" s="160"/>
      <c r="F1376" s="160"/>
      <c r="G1376" s="160"/>
      <c r="H1376" s="160"/>
      <c r="I1376" s="160"/>
      <c r="J1376" s="160"/>
      <c r="K1376" s="160"/>
      <c r="L1376" s="160"/>
      <c r="M1376" s="160"/>
      <c r="N1376" s="160"/>
      <c r="O1376" s="160"/>
      <c r="P1376" s="160"/>
      <c r="Q1376" s="160"/>
      <c r="R1376" s="160"/>
      <c r="S1376" s="160">
        <f>IF($V$1354&gt;0,'Assumptions (Hydro)'!$V$13*Model!$V$1354*'Assumptions (Hydro)'!R$2/10^9,0)</f>
        <v>0</v>
      </c>
      <c r="T1376" s="160">
        <f>IF($V$1354&gt;0,'Assumptions (Hydro)'!$V$13*Model!$V$1354*'Assumptions (Hydro)'!S$2/10^9,0)</f>
        <v>0</v>
      </c>
      <c r="U1376" s="160">
        <f>IF($V$1354&gt;0,'Assumptions (Hydro)'!$V$13*Model!$V$1354*'Assumptions (Hydro)'!T$2/10^9,0)</f>
        <v>0</v>
      </c>
      <c r="V1376" s="160"/>
      <c r="W1376" s="160"/>
      <c r="X1376" s="160"/>
      <c r="Y1376" s="160"/>
      <c r="Z1376" s="160"/>
      <c r="AA1376" s="160"/>
      <c r="AB1376" s="160"/>
      <c r="AC1376" s="160"/>
      <c r="AD1376" s="160"/>
      <c r="AE1376" s="160"/>
      <c r="AF1376" s="160"/>
      <c r="AG1376" s="160"/>
      <c r="AH1376" s="160"/>
      <c r="AI1376" s="160"/>
      <c r="AJ1376" s="160"/>
      <c r="AK1376" s="160"/>
      <c r="AL1376" s="160"/>
      <c r="AM1376" s="160"/>
      <c r="AN1376" s="160"/>
      <c r="AO1376" s="160"/>
      <c r="AP1376" s="160"/>
      <c r="AQ1376" s="160"/>
      <c r="AR1376" s="160"/>
      <c r="AS1376" s="160"/>
      <c r="AT1376" s="160"/>
      <c r="AU1376" s="160"/>
      <c r="AV1376" s="160"/>
      <c r="AW1376" s="160"/>
      <c r="AX1376" s="160"/>
      <c r="AY1376" s="160"/>
      <c r="AZ1376" s="160"/>
      <c r="BA1376" s="160"/>
    </row>
    <row r="1377" ht="15.75" hidden="1" customHeight="1" outlineLevel="1">
      <c r="A1377" s="273"/>
      <c r="B1377" s="38"/>
      <c r="C1377" s="174"/>
      <c r="D1377" s="174"/>
      <c r="E1377" s="174"/>
      <c r="F1377" s="174"/>
      <c r="G1377" s="174"/>
      <c r="H1377" s="174"/>
      <c r="I1377" s="174"/>
      <c r="J1377" s="174"/>
      <c r="K1377" s="174"/>
      <c r="L1377" s="174"/>
      <c r="M1377" s="174"/>
      <c r="N1377" s="174"/>
      <c r="O1377" s="174"/>
      <c r="P1377" s="174"/>
      <c r="Q1377" s="174"/>
      <c r="R1377" s="174"/>
      <c r="S1377" s="174"/>
      <c r="T1377" s="160">
        <f>IF($W$1354&gt;0,'Assumptions (Hydro)'!$V$13*Model!$W$1354*'Assumptions (Hydro)'!S$2/10^9,0)</f>
        <v>0</v>
      </c>
      <c r="U1377" s="160">
        <f>IF($W$1354&gt;0,'Assumptions (Hydro)'!$V$13*Model!$W$1354*'Assumptions (Hydro)'!T$2/10^9,0)</f>
        <v>0</v>
      </c>
      <c r="V1377" s="160">
        <f>IF($W$1354&gt;0,'Assumptions (Hydro)'!$V$13*Model!$W$1354*'Assumptions (Hydro)'!U$2/10^9,0)</f>
        <v>0</v>
      </c>
      <c r="W1377" s="160"/>
      <c r="X1377" s="160"/>
      <c r="Y1377" s="160"/>
      <c r="Z1377" s="160"/>
      <c r="AA1377" s="160"/>
      <c r="AB1377" s="160"/>
      <c r="AC1377" s="160"/>
      <c r="AD1377" s="160"/>
      <c r="AE1377" s="160"/>
      <c r="AF1377" s="160"/>
      <c r="AG1377" s="160"/>
      <c r="AH1377" s="160"/>
      <c r="AI1377" s="160"/>
      <c r="AJ1377" s="160"/>
      <c r="AK1377" s="160"/>
      <c r="AL1377" s="160"/>
      <c r="AM1377" s="160"/>
      <c r="AN1377" s="160"/>
      <c r="AO1377" s="160"/>
      <c r="AP1377" s="160"/>
      <c r="AQ1377" s="160"/>
      <c r="AR1377" s="160"/>
      <c r="AS1377" s="160"/>
      <c r="AT1377" s="160"/>
      <c r="AU1377" s="160"/>
      <c r="AV1377" s="160"/>
      <c r="AW1377" s="160"/>
      <c r="AX1377" s="160"/>
      <c r="AY1377" s="160"/>
      <c r="AZ1377" s="160"/>
      <c r="BA1377" s="160"/>
    </row>
    <row r="1378" ht="15.75" hidden="1" customHeight="1" outlineLevel="1">
      <c r="A1378" s="273"/>
      <c r="B1378" s="38"/>
      <c r="C1378" s="174"/>
      <c r="D1378" s="174"/>
      <c r="E1378" s="174"/>
      <c r="F1378" s="174"/>
      <c r="G1378" s="174"/>
      <c r="H1378" s="174"/>
      <c r="I1378" s="174"/>
      <c r="J1378" s="174"/>
      <c r="K1378" s="174"/>
      <c r="L1378" s="174"/>
      <c r="M1378" s="174"/>
      <c r="N1378" s="174"/>
      <c r="O1378" s="174"/>
      <c r="P1378" s="174"/>
      <c r="Q1378" s="174"/>
      <c r="R1378" s="174"/>
      <c r="S1378" s="174"/>
      <c r="T1378" s="174"/>
      <c r="U1378" s="160">
        <f>IF($X$1354&gt;0,'Assumptions (Hydro)'!$V$13*Model!$X$1354*'Assumptions (Hydro)'!T$2/10^9,0)</f>
        <v>0</v>
      </c>
      <c r="V1378" s="160">
        <f>IF($X$1354&gt;0,'Assumptions (Hydro)'!$V$13*Model!$X$1354*'Assumptions (Hydro)'!U$2/10^9,0)</f>
        <v>0</v>
      </c>
      <c r="W1378" s="160">
        <f>IF($X$1354&gt;0,'Assumptions (Hydro)'!$V$13*Model!$X$1354*'Assumptions (Hydro)'!V$2/10^9,0)</f>
        <v>0</v>
      </c>
      <c r="X1378" s="160"/>
      <c r="Y1378" s="160"/>
      <c r="Z1378" s="160"/>
      <c r="AA1378" s="160"/>
      <c r="AB1378" s="160"/>
      <c r="AC1378" s="160"/>
      <c r="AD1378" s="160"/>
      <c r="AE1378" s="160"/>
      <c r="AF1378" s="160"/>
      <c r="AG1378" s="160"/>
      <c r="AH1378" s="160"/>
      <c r="AI1378" s="160"/>
      <c r="AJ1378" s="160"/>
      <c r="AK1378" s="160"/>
      <c r="AL1378" s="160"/>
      <c r="AM1378" s="160"/>
      <c r="AN1378" s="160"/>
      <c r="AO1378" s="160"/>
      <c r="AP1378" s="160"/>
      <c r="AQ1378" s="160"/>
      <c r="AR1378" s="160"/>
      <c r="AS1378" s="160"/>
      <c r="AT1378" s="160"/>
      <c r="AU1378" s="160"/>
      <c r="AV1378" s="160"/>
      <c r="AW1378" s="160"/>
      <c r="AX1378" s="160"/>
      <c r="AY1378" s="160"/>
      <c r="AZ1378" s="160"/>
      <c r="BA1378" s="160"/>
    </row>
    <row r="1379" ht="15.75" hidden="1" customHeight="1" outlineLevel="1">
      <c r="A1379" s="273"/>
      <c r="B1379" s="38"/>
      <c r="C1379" s="174"/>
      <c r="D1379" s="174"/>
      <c r="E1379" s="174"/>
      <c r="F1379" s="174"/>
      <c r="G1379" s="174"/>
      <c r="H1379" s="174"/>
      <c r="I1379" s="174"/>
      <c r="J1379" s="174"/>
      <c r="K1379" s="174"/>
      <c r="L1379" s="174"/>
      <c r="M1379" s="174"/>
      <c r="N1379" s="174"/>
      <c r="O1379" s="174"/>
      <c r="P1379" s="174"/>
      <c r="Q1379" s="174"/>
      <c r="R1379" s="174"/>
      <c r="S1379" s="174"/>
      <c r="T1379" s="174"/>
      <c r="U1379" s="174"/>
      <c r="V1379" s="160">
        <f>IF($Y$1354&gt;0,'Assumptions (Hydro)'!$V$13*Model!$Y$1354*'Assumptions (Hydro)'!U$2/10^9,0)</f>
        <v>0</v>
      </c>
      <c r="W1379" s="160">
        <f>IF($Y$1354&gt;0,'Assumptions (Hydro)'!$V$13*Model!$Y$1354*'Assumptions (Hydro)'!V$2/10^9,0)</f>
        <v>0</v>
      </c>
      <c r="X1379" s="160">
        <f>IF($Y$1354&gt;0,'Assumptions (Hydro)'!$V$13*Model!$Y$1354*'Assumptions (Hydro)'!W$2/10^9,0)</f>
        <v>0</v>
      </c>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row>
    <row r="1380" ht="15.75" hidden="1" customHeight="1" outlineLevel="1">
      <c r="A1380" s="273"/>
      <c r="B1380" s="38"/>
      <c r="C1380" s="174"/>
      <c r="D1380" s="174"/>
      <c r="E1380" s="174"/>
      <c r="F1380" s="174"/>
      <c r="G1380" s="174"/>
      <c r="H1380" s="174"/>
      <c r="I1380" s="174"/>
      <c r="J1380" s="174"/>
      <c r="K1380" s="174"/>
      <c r="L1380" s="174"/>
      <c r="M1380" s="174"/>
      <c r="N1380" s="174"/>
      <c r="O1380" s="174"/>
      <c r="P1380" s="174"/>
      <c r="Q1380" s="174"/>
      <c r="R1380" s="174"/>
      <c r="S1380" s="174"/>
      <c r="T1380" s="174"/>
      <c r="U1380" s="174"/>
      <c r="V1380" s="174"/>
      <c r="W1380" s="160">
        <f>IF($Z$1354&gt;0,'Assumptions (Hydro)'!$V$13*Model!$Z$1354*'Assumptions (Hydro)'!V$2/10^9,0)</f>
        <v>0</v>
      </c>
      <c r="X1380" s="160">
        <f>IF($Z$1354&gt;0,'Assumptions (Hydro)'!$V$13*Model!$Z$1354*'Assumptions (Hydro)'!W$2/10^9,0)</f>
        <v>0</v>
      </c>
      <c r="Y1380" s="160">
        <f>IF($Z$1354&gt;0,'Assumptions (Hydro)'!$V$13*Model!$Z$1354*'Assumptions (Hydro)'!X$2/10^9,0)</f>
        <v>0</v>
      </c>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row>
    <row r="1381" ht="15.75" hidden="1" customHeight="1" outlineLevel="1">
      <c r="A1381" s="273"/>
      <c r="B1381" s="38"/>
      <c r="C1381" s="174"/>
      <c r="D1381" s="174"/>
      <c r="E1381" s="174"/>
      <c r="F1381" s="174"/>
      <c r="G1381" s="174"/>
      <c r="H1381" s="174"/>
      <c r="I1381" s="174"/>
      <c r="J1381" s="174"/>
      <c r="K1381" s="174"/>
      <c r="L1381" s="174"/>
      <c r="M1381" s="174"/>
      <c r="N1381" s="174"/>
      <c r="O1381" s="174"/>
      <c r="P1381" s="174"/>
      <c r="Q1381" s="174"/>
      <c r="R1381" s="174"/>
      <c r="S1381" s="174"/>
      <c r="T1381" s="174"/>
      <c r="U1381" s="174"/>
      <c r="V1381" s="174"/>
      <c r="W1381" s="174"/>
      <c r="X1381" s="160">
        <f>IF($AA$1354&gt;0,'Assumptions (Hydro)'!$V$13*Model!$AA$1354*'Assumptions (Hydro)'!W$2/10^9,0)</f>
        <v>0</v>
      </c>
      <c r="Y1381" s="160">
        <f>IF($AA$1354&gt;0,'Assumptions (Hydro)'!$V$13*Model!$AA$1354*'Assumptions (Hydro)'!X$2/10^9,0)</f>
        <v>0</v>
      </c>
      <c r="Z1381" s="160">
        <f>IF($AA$1354&gt;0,'Assumptions (Hydro)'!$V$13*Model!$AA$1354*'Assumptions (Hydro)'!Y$2/10^9,0)</f>
        <v>0</v>
      </c>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row>
    <row r="1382" ht="15.75" hidden="1" customHeight="1" outlineLevel="1">
      <c r="A1382" s="273"/>
      <c r="B1382" s="38"/>
      <c r="C1382" s="174"/>
      <c r="D1382" s="174"/>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60">
        <f>IF($AB$1354&gt;0,'Assumptions (Hydro)'!$V$13*Model!$AB$1354*'Assumptions (Hydro)'!X$2/10^9,0)</f>
        <v>0</v>
      </c>
      <c r="Z1382" s="160">
        <f>IF($AB$1354&gt;0,'Assumptions (Hydro)'!$V$13*Model!$AB$1354*'Assumptions (Hydro)'!Y$2/10^9,0)</f>
        <v>0</v>
      </c>
      <c r="AA1382" s="160">
        <f>IF($AB$1354&gt;0,'Assumptions (Hydro)'!$V$13*Model!$AB$1354*'Assumptions (Hydro)'!Z$2/10^9,0)</f>
        <v>0</v>
      </c>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row>
    <row r="1383" ht="15.75" hidden="1" customHeight="1" outlineLevel="1">
      <c r="A1383" s="273"/>
      <c r="B1383" s="38"/>
      <c r="C1383" s="174"/>
      <c r="D1383" s="174"/>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60">
        <f>IF($AC$1354&gt;0,'Assumptions (Hydro)'!$V$13*Model!$AC$1354*'Assumptions (Hydro)'!Y$2/10^9,0)</f>
        <v>0</v>
      </c>
      <c r="AA1383" s="160">
        <f>IF($AC$1354&gt;0,'Assumptions (Hydro)'!$V$13*Model!$AC$1354*'Assumptions (Hydro)'!Z$2/10^9,0)</f>
        <v>0</v>
      </c>
      <c r="AB1383" s="160">
        <f>IF($AC$1354&gt;0,'Assumptions (Hydro)'!$V$13*Model!$AC$1354*'Assumptions (Hydro)'!AA$2/10^9,0)</f>
        <v>0</v>
      </c>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row>
    <row r="1384" ht="15.75" hidden="1" customHeight="1" outlineLevel="1">
      <c r="A1384" s="273"/>
      <c r="B1384" s="38"/>
      <c r="C1384" s="174"/>
      <c r="D1384" s="174"/>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60">
        <f>IF($AD$1354&gt;0,'Assumptions (Hydro)'!$V$13*Model!$AD$1354*'Assumptions (Hydro)'!Z$2/10^9,0)</f>
        <v>0</v>
      </c>
      <c r="AB1384" s="160">
        <f>IF($AD$1354&gt;0,'Assumptions (Hydro)'!$V$13*Model!$AD$1354*'Assumptions (Hydro)'!AA$2/10^9,0)</f>
        <v>0</v>
      </c>
      <c r="AC1384" s="160">
        <f>IF($AD$1354&gt;0,'Assumptions (Hydro)'!$V$13*Model!$AD$1354*'Assumptions (Hydro)'!AB$2/10^9,0)</f>
        <v>0</v>
      </c>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row>
    <row r="1385" ht="15.75" hidden="1" customHeight="1" outlineLevel="1">
      <c r="A1385" s="273"/>
      <c r="B1385" s="38"/>
      <c r="C1385" s="174"/>
      <c r="D1385" s="174"/>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60">
        <f>IF($AE$1354&gt;0,'Assumptions (Hydro)'!$V$13*Model!$AE$1354*'Assumptions (Hydro)'!AA$2/10^9,0)</f>
        <v>0</v>
      </c>
      <c r="AC1385" s="160">
        <f>IF($AE$1354&gt;0,'Assumptions (Hydro)'!$V$13*Model!$AE$1354*'Assumptions (Hydro)'!AB$2/10^9,0)</f>
        <v>0</v>
      </c>
      <c r="AD1385" s="160">
        <f>IF($AE$1354&gt;0,'Assumptions (Hydro)'!$V$13*Model!$AE$1354*'Assumptions (Hydro)'!AC$2/10^9,0)</f>
        <v>0</v>
      </c>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row>
    <row r="1386" ht="15.75" hidden="1" customHeight="1" outlineLevel="1">
      <c r="A1386" s="273"/>
      <c r="B1386" s="38"/>
      <c r="C1386" s="174"/>
      <c r="D1386" s="174"/>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60">
        <f>IF($AF$1354&gt;0,'Assumptions (Hydro)'!$V$13*Model!$AF$1354*'Assumptions (Hydro)'!AB$2/10^9,0)</f>
        <v>0</v>
      </c>
      <c r="AD1386" s="160">
        <f>IF($AF$1354&gt;0,'Assumptions (Hydro)'!$V$13*Model!$AF$1354*'Assumptions (Hydro)'!AC$2/10^9,0)</f>
        <v>0</v>
      </c>
      <c r="AE1386" s="160">
        <f>IF($AF$1354&gt;0,'Assumptions (Hydro)'!$V$13*Model!$AF$1354*'Assumptions (Hydro)'!AD$2/10^9,0)</f>
        <v>0</v>
      </c>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row>
    <row r="1387" ht="15.75" hidden="1" customHeight="1" outlineLevel="1">
      <c r="A1387" s="273"/>
      <c r="B1387" s="38"/>
      <c r="C1387" s="174"/>
      <c r="D1387" s="174"/>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219">
        <f>IF($AG$1354&gt;0,'Assumptions (Hydro)'!$V$13*Model!$AG$1354*'Assumptions (Hydro)'!AC$2/10^9,0)</f>
        <v>0</v>
      </c>
      <c r="AE1387" s="219">
        <f>IF($AG$1354&gt;0,'Assumptions (Hydro)'!$V$13*Model!$AG$1354*'Assumptions (Hydro)'!AD$2/10^9,0)</f>
        <v>0</v>
      </c>
      <c r="AF1387" s="219">
        <f>IF($AG$1354&gt;0,'Assumptions (Hydro)'!$V$13*Model!$AG$1354*'Assumptions (Hydro)'!AE$2/10^9,0)</f>
        <v>0</v>
      </c>
      <c r="AG1387" s="278"/>
      <c r="AH1387" s="278"/>
      <c r="AI1387" s="278"/>
      <c r="AJ1387" s="278"/>
      <c r="AK1387" s="174"/>
      <c r="AL1387" s="174"/>
      <c r="AM1387" s="174"/>
      <c r="AN1387" s="174"/>
      <c r="AO1387" s="174"/>
      <c r="AP1387" s="174"/>
      <c r="AQ1387" s="174"/>
      <c r="AR1387" s="174"/>
      <c r="AS1387" s="174"/>
      <c r="AT1387" s="174"/>
      <c r="AU1387" s="174"/>
      <c r="AV1387" s="174"/>
      <c r="AW1387" s="174"/>
      <c r="AX1387" s="174"/>
      <c r="AY1387" s="174"/>
      <c r="AZ1387" s="174"/>
      <c r="BA1387" s="174"/>
    </row>
    <row r="1388" ht="15.75" hidden="1" customHeight="1" outlineLevel="1">
      <c r="A1388" s="273"/>
      <c r="B1388" s="38"/>
      <c r="C1388" s="174"/>
      <c r="D1388" s="174"/>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278"/>
      <c r="AE1388" s="219">
        <f>IF($AH$1354&gt;0,'Assumptions (Hydro)'!$V$13*Model!$AH$1354*'Assumptions (Hydro)'!AD$2/10^9,0)</f>
        <v>0</v>
      </c>
      <c r="AF1388" s="219">
        <f>IF($AH$1354&gt;0,'Assumptions (Hydro)'!$V$13*Model!$AH$1354*'Assumptions (Hydro)'!AE$2/10^9,0)</f>
        <v>0</v>
      </c>
      <c r="AG1388" s="219">
        <f>IF($AH$1354&gt;0,'Assumptions (Hydro)'!$V$13*Model!$AH$1354*'Assumptions (Hydro)'!AF$2/10^9,0)</f>
        <v>0</v>
      </c>
      <c r="AH1388" s="278"/>
      <c r="AI1388" s="278"/>
      <c r="AJ1388" s="278"/>
      <c r="AK1388" s="174"/>
      <c r="AL1388" s="174"/>
      <c r="AM1388" s="174"/>
      <c r="AN1388" s="174"/>
      <c r="AO1388" s="174"/>
      <c r="AP1388" s="174"/>
      <c r="AQ1388" s="174"/>
      <c r="AR1388" s="174"/>
      <c r="AS1388" s="174"/>
      <c r="AT1388" s="174"/>
      <c r="AU1388" s="174"/>
      <c r="AV1388" s="174"/>
      <c r="AW1388" s="174"/>
      <c r="AX1388" s="174"/>
      <c r="AY1388" s="174"/>
      <c r="AZ1388" s="174"/>
      <c r="BA1388" s="174"/>
    </row>
    <row r="1389" ht="15.75" hidden="1" customHeight="1" outlineLevel="1">
      <c r="A1389" s="273"/>
      <c r="B1389" s="38"/>
      <c r="C1389" s="174"/>
      <c r="D1389" s="174"/>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278"/>
      <c r="AE1389" s="278"/>
      <c r="AF1389" s="219">
        <f>IF($AI$1354&gt;0,'Assumptions (Hydro)'!$V$13*Model!$AI$1354*'Assumptions (Hydro)'!AE$2/10^9,0)</f>
        <v>0</v>
      </c>
      <c r="AG1389" s="219">
        <f>IF($AI$1354&gt;0,'Assumptions (Hydro)'!$V$13*Model!$AI$1354*'Assumptions (Hydro)'!AF$2/10^9,0)</f>
        <v>0</v>
      </c>
      <c r="AH1389" s="219">
        <f>IF($AI$1354&gt;0,'Assumptions (Hydro)'!$V$13*Model!$AI$1354*'Assumptions (Hydro)'!AG$2/10^9,0)</f>
        <v>0</v>
      </c>
      <c r="AI1389" s="278"/>
      <c r="AJ1389" s="278"/>
      <c r="AK1389" s="174"/>
      <c r="AL1389" s="174"/>
      <c r="AM1389" s="174"/>
      <c r="AN1389" s="174"/>
      <c r="AO1389" s="174"/>
      <c r="AP1389" s="174"/>
      <c r="AQ1389" s="174"/>
      <c r="AR1389" s="174"/>
      <c r="AS1389" s="174"/>
      <c r="AT1389" s="174"/>
      <c r="AU1389" s="174"/>
      <c r="AV1389" s="174"/>
      <c r="AW1389" s="174"/>
      <c r="AX1389" s="174"/>
      <c r="AY1389" s="174"/>
      <c r="AZ1389" s="174"/>
      <c r="BA1389" s="174"/>
    </row>
    <row r="1390" ht="15.75" hidden="1" customHeight="1" outlineLevel="1">
      <c r="A1390" s="273"/>
      <c r="B1390" s="38"/>
      <c r="C1390" s="174"/>
      <c r="D1390" s="174"/>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278"/>
      <c r="AE1390" s="278"/>
      <c r="AF1390" s="278"/>
      <c r="AG1390" s="219">
        <f>IF($AJ$1354&gt;0,'Assumptions (Hydro)'!$V$13*Model!$AJ$1354*'Assumptions (Hydro)'!AF$2/10^9,0)</f>
        <v>0</v>
      </c>
      <c r="AH1390" s="219">
        <f>IF($AJ$1354&gt;0,'Assumptions (Hydro)'!$V$13*Model!$AJ$1354*'Assumptions (Hydro)'!AG$2/10^9,0)</f>
        <v>0</v>
      </c>
      <c r="AI1390" s="219">
        <f>IF($AJ$1354&gt;0,'Assumptions (Hydro)'!$V$13*Model!$AJ$1354*'Assumptions (Hydro)'!AH$2/10^9,0)</f>
        <v>0</v>
      </c>
      <c r="AJ1390" s="278"/>
      <c r="AK1390" s="174"/>
      <c r="AL1390" s="174"/>
      <c r="AM1390" s="174"/>
      <c r="AN1390" s="174"/>
      <c r="AO1390" s="174"/>
      <c r="AP1390" s="174"/>
      <c r="AQ1390" s="174"/>
      <c r="AR1390" s="174"/>
      <c r="AS1390" s="174"/>
      <c r="AT1390" s="174"/>
      <c r="AU1390" s="174"/>
      <c r="AV1390" s="174"/>
      <c r="AW1390" s="174"/>
      <c r="AX1390" s="174"/>
      <c r="AY1390" s="174"/>
      <c r="AZ1390" s="174"/>
      <c r="BA1390" s="174"/>
    </row>
    <row r="1391" ht="15.75" hidden="1" customHeight="1" outlineLevel="1">
      <c r="A1391" s="273"/>
      <c r="B1391" s="38"/>
      <c r="C1391" s="174"/>
      <c r="D1391" s="174"/>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278"/>
      <c r="AE1391" s="278"/>
      <c r="AF1391" s="278"/>
      <c r="AG1391" s="278"/>
      <c r="AH1391" s="219">
        <f>IF($AK$1354&gt;0,'Assumptions (Hydro)'!$V$13*Model!$AK$1354*'Assumptions (Hydro)'!AG$2/10^9,0)</f>
        <v>0</v>
      </c>
      <c r="AI1391" s="219">
        <f>IF($AK$1354&gt;0,'Assumptions (Hydro)'!$V$13*Model!$AK$1354*'Assumptions (Hydro)'!AH$2/10^9,0)</f>
        <v>0</v>
      </c>
      <c r="AJ1391" s="219">
        <f>IF($AK$1354&gt;0,'Assumptions (Hydro)'!$V$13*Model!$AK$1354*'Assumptions (Hydro)'!AI$2/10^9,0)</f>
        <v>0</v>
      </c>
      <c r="AK1391" s="174"/>
      <c r="AL1391" s="174"/>
      <c r="AM1391" s="174"/>
      <c r="AN1391" s="174"/>
      <c r="AO1391" s="174"/>
      <c r="AP1391" s="174"/>
      <c r="AQ1391" s="174"/>
      <c r="AR1391" s="174"/>
      <c r="AS1391" s="174"/>
      <c r="AT1391" s="174"/>
      <c r="AU1391" s="174"/>
      <c r="AV1391" s="174"/>
      <c r="AW1391" s="174"/>
      <c r="AX1391" s="174"/>
      <c r="AY1391" s="174"/>
      <c r="AZ1391" s="174"/>
      <c r="BA1391" s="174"/>
    </row>
    <row r="1392" ht="15.75" hidden="1" customHeight="1" outlineLevel="1">
      <c r="A1392" s="273"/>
      <c r="B1392" s="38"/>
      <c r="C1392" s="174"/>
      <c r="D1392" s="174"/>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219">
        <f>IF($AL$1354&gt;0,'Assumptions (Hydro)'!$V$13*Model!$AL$1354*'Assumptions (Hydro)'!AH$2/10^9,0)</f>
        <v>0</v>
      </c>
      <c r="AJ1392" s="219">
        <f>IF($AL$1354&gt;0,'Assumptions (Hydro)'!$V$13*Model!$AL$1354*'Assumptions (Hydro)'!AI$2/10^9,0)</f>
        <v>0</v>
      </c>
      <c r="AK1392" s="219">
        <f>IF($AL$1354&gt;0,'Assumptions (Hydro)'!$V$13*Model!$AL$1354*'Assumptions (Hydro)'!AJ$2/10^9,0)</f>
        <v>0</v>
      </c>
      <c r="AL1392" s="174"/>
      <c r="AM1392" s="174"/>
      <c r="AN1392" s="174"/>
      <c r="AO1392" s="174"/>
      <c r="AP1392" s="174"/>
      <c r="AQ1392" s="174"/>
      <c r="AR1392" s="174"/>
      <c r="AS1392" s="174"/>
      <c r="AT1392" s="174"/>
      <c r="AU1392" s="174"/>
      <c r="AV1392" s="174"/>
      <c r="AW1392" s="174"/>
      <c r="AX1392" s="174"/>
      <c r="AY1392" s="174"/>
      <c r="AZ1392" s="174"/>
      <c r="BA1392" s="174"/>
    </row>
    <row r="1393" ht="15.75" hidden="1" customHeight="1" outlineLevel="1">
      <c r="A1393" s="273"/>
      <c r="B1393" s="38"/>
      <c r="C1393" s="174"/>
      <c r="D1393" s="174"/>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219">
        <f>IF($AM$1354&gt;0,'Assumptions (Hydro)'!$V$13*Model!$AM$1354*'Assumptions (Hydro)'!AI$2/10^9,0)</f>
        <v>0</v>
      </c>
      <c r="AK1393" s="219">
        <f>IF($AM$1354&gt;0,'Assumptions (Hydro)'!$V$13*Model!$AM$1354*'Assumptions (Hydro)'!AJ$2/10^9,0)</f>
        <v>0</v>
      </c>
      <c r="AL1393" s="219">
        <f>IF($AM$1354&gt;0,'Assumptions (Hydro)'!$V$13*Model!$AM$1354*'Assumptions (Hydro)'!AK$2/10^9,0)</f>
        <v>0</v>
      </c>
      <c r="AM1393" s="174"/>
      <c r="AN1393" s="174"/>
      <c r="AO1393" s="174"/>
      <c r="AP1393" s="174"/>
      <c r="AQ1393" s="174"/>
      <c r="AR1393" s="174"/>
      <c r="AS1393" s="174"/>
      <c r="AT1393" s="174"/>
      <c r="AU1393" s="174"/>
      <c r="AV1393" s="174"/>
      <c r="AW1393" s="174"/>
      <c r="AX1393" s="174"/>
      <c r="AY1393" s="174"/>
      <c r="AZ1393" s="174"/>
      <c r="BA1393" s="174"/>
    </row>
    <row r="1394" ht="15.75" hidden="1" customHeight="1" outlineLevel="1">
      <c r="A1394" s="273"/>
      <c r="B1394" s="38"/>
      <c r="C1394" s="174"/>
      <c r="D1394" s="174"/>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219">
        <f>IF($AN$1354&gt;0,'Assumptions (Hydro)'!$V$13*Model!$AN$1354*'Assumptions (Hydro)'!AJ$2/10^9,0)</f>
        <v>0</v>
      </c>
      <c r="AL1394" s="219">
        <f>IF($AN$1354&gt;0,'Assumptions (Hydro)'!$V$13*Model!$AN$1354*'Assumptions (Hydro)'!AK$2/10^9,0)</f>
        <v>0</v>
      </c>
      <c r="AM1394" s="219">
        <f>IF($AN$1354&gt;0,'Assumptions (Hydro)'!$V$13*Model!$AN$1354*'Assumptions (Hydro)'!AL$2/10^9,0)</f>
        <v>0</v>
      </c>
      <c r="AN1394" s="174"/>
      <c r="AO1394" s="174"/>
      <c r="AP1394" s="174"/>
      <c r="AQ1394" s="174"/>
      <c r="AR1394" s="174"/>
      <c r="AS1394" s="174"/>
      <c r="AT1394" s="174"/>
      <c r="AU1394" s="174"/>
      <c r="AV1394" s="174"/>
      <c r="AW1394" s="174"/>
      <c r="AX1394" s="174"/>
      <c r="AY1394" s="174"/>
      <c r="AZ1394" s="174"/>
      <c r="BA1394" s="174"/>
    </row>
    <row r="1395" ht="15.75" hidden="1" customHeight="1" outlineLevel="1">
      <c r="A1395" s="273"/>
      <c r="B1395" s="38"/>
      <c r="C1395" s="174"/>
      <c r="D1395" s="174"/>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219">
        <f>IF($AO$1354&gt;0,'Assumptions (Hydro)'!$V$13*Model!$AO$1354*'Assumptions (Hydro)'!AK$2/10^9,0)</f>
        <v>0</v>
      </c>
      <c r="AM1395" s="219">
        <f>IF($AO$1354&gt;0,'Assumptions (Hydro)'!$V$13*Model!$AO$1354*'Assumptions (Hydro)'!AL$2/10^9,0)</f>
        <v>0</v>
      </c>
      <c r="AN1395" s="219">
        <f>IF($AO$1354&gt;0,'Assumptions (Hydro)'!$V$13*Model!$AO$1354*'Assumptions (Hydro)'!AM$2/10^9,0)</f>
        <v>0</v>
      </c>
      <c r="AO1395" s="174"/>
      <c r="AP1395" s="174"/>
      <c r="AQ1395" s="174"/>
      <c r="AR1395" s="174"/>
      <c r="AS1395" s="174"/>
      <c r="AT1395" s="174"/>
      <c r="AU1395" s="174"/>
      <c r="AV1395" s="174"/>
      <c r="AW1395" s="174"/>
      <c r="AX1395" s="174"/>
      <c r="AY1395" s="174"/>
      <c r="AZ1395" s="174"/>
      <c r="BA1395" s="174"/>
    </row>
    <row r="1396" ht="15.75" hidden="1" customHeight="1" outlineLevel="1">
      <c r="A1396" s="273"/>
      <c r="B1396" s="38"/>
      <c r="C1396" s="174"/>
      <c r="D1396" s="174"/>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219">
        <f>IF($AP$1354&gt;0,'Assumptions (Hydro)'!$V$13*Model!$AP$1354*'Assumptions (Hydro)'!AL$2/10^9,0)</f>
        <v>0</v>
      </c>
      <c r="AN1396" s="219">
        <f>IF($AP$1354&gt;0,'Assumptions (Hydro)'!$V$13*Model!$AP$1354*'Assumptions (Hydro)'!AM$2/10^9,0)</f>
        <v>0</v>
      </c>
      <c r="AO1396" s="219">
        <f>IF($AP$1354&gt;0,'Assumptions (Hydro)'!$V$13*Model!$AP$1354*'Assumptions (Hydro)'!AN$2/10^9,0)</f>
        <v>0</v>
      </c>
      <c r="AP1396" s="174"/>
      <c r="AQ1396" s="174"/>
      <c r="AR1396" s="174"/>
      <c r="AS1396" s="174"/>
      <c r="AT1396" s="174"/>
      <c r="AU1396" s="174"/>
      <c r="AV1396" s="174"/>
      <c r="AW1396" s="174"/>
      <c r="AX1396" s="174"/>
      <c r="AY1396" s="174"/>
      <c r="AZ1396" s="174"/>
      <c r="BA1396" s="174"/>
    </row>
    <row r="1397" ht="15.75" hidden="1" customHeight="1" outlineLevel="1">
      <c r="A1397" s="273"/>
      <c r="B1397" s="38"/>
      <c r="C1397" s="174"/>
      <c r="D1397" s="174"/>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219">
        <f>IF($AQ$1354&gt;0,'Assumptions (Hydro)'!$V$13*Model!$AQ$1354*'Assumptions (Hydro)'!AM$2/10^9,0)</f>
        <v>0</v>
      </c>
      <c r="AO1397" s="219">
        <f>IF($AQ$1354&gt;0,'Assumptions (Hydro)'!$V$13*Model!$AQ$1354*'Assumptions (Hydro)'!AN$2/10^9,0)</f>
        <v>0</v>
      </c>
      <c r="AP1397" s="219">
        <f>IF($AQ$1354&gt;0,'Assumptions (Hydro)'!$V$13*Model!$AQ$1354*'Assumptions (Hydro)'!AO$2/10^9,0)</f>
        <v>0</v>
      </c>
      <c r="AQ1397" s="174"/>
      <c r="AR1397" s="174"/>
      <c r="AS1397" s="174"/>
      <c r="AT1397" s="174"/>
      <c r="AU1397" s="174"/>
      <c r="AV1397" s="174"/>
      <c r="AW1397" s="174"/>
      <c r="AX1397" s="174"/>
      <c r="AY1397" s="174"/>
      <c r="AZ1397" s="174"/>
      <c r="BA1397" s="174"/>
    </row>
    <row r="1398" ht="15.75" hidden="1" customHeight="1" outlineLevel="1">
      <c r="A1398" s="273"/>
      <c r="B1398" s="38"/>
      <c r="C1398" s="174"/>
      <c r="D1398" s="174"/>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219">
        <f>IF($AR$1354&gt;0,'Assumptions (Hydro)'!$V$13*Model!$AR$1354*'Assumptions (Hydro)'!AN$2/10^9,0)</f>
        <v>0</v>
      </c>
      <c r="AP1398" s="219">
        <f>IF($AR$1354&gt;0,'Assumptions (Hydro)'!$V$13*Model!$AR$1354*'Assumptions (Hydro)'!AO$2/10^9,0)</f>
        <v>0</v>
      </c>
      <c r="AQ1398" s="219">
        <f>IF($AR$1354&gt;0,'Assumptions (Hydro)'!$V$13*Model!$AR$1354*'Assumptions (Hydro)'!AP$2/10^9,0)</f>
        <v>0</v>
      </c>
      <c r="AR1398" s="174"/>
      <c r="AS1398" s="174"/>
      <c r="AT1398" s="174"/>
      <c r="AU1398" s="174"/>
      <c r="AV1398" s="174"/>
      <c r="AW1398" s="174"/>
      <c r="AX1398" s="174"/>
      <c r="AY1398" s="174"/>
      <c r="AZ1398" s="174"/>
      <c r="BA1398" s="174"/>
    </row>
    <row r="1399" ht="15.75" hidden="1" customHeight="1" outlineLevel="1">
      <c r="A1399" s="273"/>
      <c r="B1399" s="38"/>
      <c r="C1399" s="174"/>
      <c r="D1399" s="174"/>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219">
        <f>IF($AS$1354&gt;0,'Assumptions (Hydro)'!$V$13*Model!$AS$1354*'Assumptions (Hydro)'!AO$2/10^9,0)</f>
        <v>0</v>
      </c>
      <c r="AQ1399" s="219">
        <f>IF($AS$1354&gt;0,'Assumptions (Hydro)'!$V$13*Model!$AS$1354*'Assumptions (Hydro)'!AP$2/10^9,0)</f>
        <v>0</v>
      </c>
      <c r="AR1399" s="219">
        <f>IF($AS$1354&gt;0,'Assumptions (Hydro)'!$V$13*Model!$AS$1354*'Assumptions (Hydro)'!AQ$2/10^9,0)</f>
        <v>0</v>
      </c>
      <c r="AS1399" s="174"/>
      <c r="AT1399" s="174"/>
      <c r="AU1399" s="174"/>
      <c r="AV1399" s="174"/>
      <c r="AW1399" s="174"/>
      <c r="AX1399" s="174"/>
      <c r="AY1399" s="174"/>
      <c r="AZ1399" s="174"/>
      <c r="BA1399" s="174"/>
    </row>
    <row r="1400" ht="15.75" hidden="1" customHeight="1" outlineLevel="1">
      <c r="A1400" s="273"/>
      <c r="B1400" s="38"/>
      <c r="C1400" s="174"/>
      <c r="D1400" s="174"/>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219">
        <f>IF($AT$1354&gt;0,'Assumptions (Hydro)'!$V$13*Model!$AT$1354*'Assumptions (Hydro)'!AP$2/10^9,0)</f>
        <v>0</v>
      </c>
      <c r="AR1400" s="219">
        <f>IF($AT$1354&gt;0,'Assumptions (Hydro)'!$V$13*Model!$AT$1354*'Assumptions (Hydro)'!AQ$2/10^9,0)</f>
        <v>0</v>
      </c>
      <c r="AS1400" s="219">
        <f>IF($AT$1354&gt;0,'Assumptions (Hydro)'!$V$13*Model!$AT$1354*'Assumptions (Hydro)'!AR$2/10^9,0)</f>
        <v>0</v>
      </c>
      <c r="AT1400" s="174"/>
      <c r="AU1400" s="174"/>
      <c r="AV1400" s="174"/>
      <c r="AW1400" s="174"/>
      <c r="AX1400" s="174"/>
      <c r="AY1400" s="174"/>
      <c r="AZ1400" s="174"/>
      <c r="BA1400" s="174"/>
    </row>
    <row r="1401" ht="15.75" hidden="1" customHeight="1" outlineLevel="1">
      <c r="A1401" s="273"/>
      <c r="B1401" s="38"/>
      <c r="C1401" s="174"/>
      <c r="D1401" s="174"/>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219">
        <f>IF($AU$1354&gt;0,'Assumptions (Hydro)'!$V$13*Model!$AU$1354*'Assumptions (Hydro)'!AQ$2/10^9,0)</f>
        <v>0</v>
      </c>
      <c r="AS1401" s="219">
        <f>IF($AU$1354&gt;0,'Assumptions (Hydro)'!$V$13*Model!$AU$1354*'Assumptions (Hydro)'!AR$2/10^9,0)</f>
        <v>0</v>
      </c>
      <c r="AT1401" s="219">
        <f>IF($AU$1354&gt;0,'Assumptions (Hydro)'!$V$13*Model!$AU$1354*'Assumptions (Hydro)'!AS$2/10^9,0)</f>
        <v>0</v>
      </c>
      <c r="AU1401" s="174"/>
      <c r="AV1401" s="174"/>
      <c r="AW1401" s="174"/>
      <c r="AX1401" s="174"/>
      <c r="AY1401" s="174"/>
      <c r="AZ1401" s="174"/>
      <c r="BA1401" s="174"/>
    </row>
    <row r="1402" ht="15.75" hidden="1" customHeight="1" outlineLevel="1">
      <c r="A1402" s="273"/>
      <c r="B1402" s="38"/>
      <c r="C1402" s="174"/>
      <c r="D1402" s="174"/>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219">
        <f>IF($AV$1354&gt;0,'Assumptions (Hydro)'!$V$13*Model!$AV$1354*'Assumptions (Hydro)'!AR$2/10^9,0)</f>
        <v>0</v>
      </c>
      <c r="AT1402" s="219">
        <f>IF($AV$1354&gt;0,'Assumptions (Hydro)'!$V$13*Model!$AV$1354*'Assumptions (Hydro)'!AS$2/10^9,0)</f>
        <v>0</v>
      </c>
      <c r="AU1402" s="219">
        <f>IF($AV$1354&gt;0,'Assumptions (Hydro)'!$V$13*Model!$AV$1354*'Assumptions (Hydro)'!AT$2/10^9,0)</f>
        <v>0</v>
      </c>
      <c r="AV1402" s="174"/>
      <c r="AW1402" s="174"/>
      <c r="AX1402" s="174"/>
      <c r="AY1402" s="174"/>
      <c r="AZ1402" s="174"/>
      <c r="BA1402" s="174"/>
    </row>
    <row r="1403" ht="15.75" hidden="1" customHeight="1" outlineLevel="1">
      <c r="A1403" s="273"/>
      <c r="B1403" s="38"/>
      <c r="C1403" s="174"/>
      <c r="D1403" s="174"/>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219">
        <f>IF($AW$1354&gt;0,'Assumptions (Hydro)'!$V$13*Model!$AW$1354*'Assumptions (Hydro)'!AS$2/10^9,0)</f>
        <v>0</v>
      </c>
      <c r="AU1403" s="219">
        <f>IF($AW$1354&gt;0,'Assumptions (Hydro)'!$V$13*Model!$AW$1354*'Assumptions (Hydro)'!AT$2/10^9,0)</f>
        <v>0</v>
      </c>
      <c r="AV1403" s="219">
        <f>IF($AW$1354&gt;0,'Assumptions (Hydro)'!$V$13*Model!$AW$1354*'Assumptions (Hydro)'!AU$2/10^9,0)</f>
        <v>0</v>
      </c>
      <c r="AW1403" s="174"/>
      <c r="AX1403" s="174"/>
      <c r="AY1403" s="174"/>
      <c r="AZ1403" s="174"/>
      <c r="BA1403" s="174"/>
    </row>
    <row r="1404" ht="15.75" hidden="1" customHeight="1" outlineLevel="1">
      <c r="A1404" s="273"/>
      <c r="B1404" s="38"/>
      <c r="C1404" s="174"/>
      <c r="D1404" s="174"/>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219">
        <f>IF($AX$1354&gt;0,'Assumptions (Hydro)'!$V$13*Model!$AX$1354*'Assumptions (Hydro)'!AT$2/10^9,0)</f>
        <v>0</v>
      </c>
      <c r="AV1404" s="219">
        <f>IF($AX$1354&gt;0,'Assumptions (Hydro)'!$V$13*Model!$AX$1354*'Assumptions (Hydro)'!AU$2/10^9,0)</f>
        <v>0</v>
      </c>
      <c r="AW1404" s="219">
        <f>IF($AX$1354&gt;0,'Assumptions (Hydro)'!$V$13*Model!$AX$1354*'Assumptions (Hydro)'!AV$2/10^9,0)</f>
        <v>0</v>
      </c>
      <c r="AX1404" s="174"/>
      <c r="AY1404" s="174"/>
      <c r="AZ1404" s="174"/>
      <c r="BA1404" s="174"/>
    </row>
    <row r="1405" ht="15.75" hidden="1" customHeight="1" outlineLevel="1">
      <c r="A1405" s="273"/>
      <c r="B1405" s="38"/>
      <c r="C1405" s="174"/>
      <c r="D1405" s="174"/>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219">
        <f>IF($AY$1354&gt;0,'Assumptions (Hydro)'!$V$13*Model!$AY$1354*'Assumptions (Hydro)'!AU$2/10^9,0)</f>
        <v>0</v>
      </c>
      <c r="AW1405" s="219">
        <f>IF($AY$1354&gt;0,'Assumptions (Hydro)'!$V$13*Model!$AY$1354*'Assumptions (Hydro)'!AV$2/10^9,0)</f>
        <v>0</v>
      </c>
      <c r="AX1405" s="219">
        <f>IF($AY$1354&gt;0,'Assumptions (Hydro)'!$V$13*Model!$AY$1354*'Assumptions (Hydro)'!AW$2/10^9,0)</f>
        <v>0</v>
      </c>
      <c r="AY1405" s="174"/>
      <c r="AZ1405" s="174"/>
      <c r="BA1405" s="174"/>
    </row>
    <row r="1406" ht="15.75" hidden="1" customHeight="1" outlineLevel="1">
      <c r="A1406" s="273"/>
      <c r="B1406" s="38"/>
      <c r="C1406" s="174"/>
      <c r="D1406" s="174"/>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219">
        <f>IF($AZ$1354&gt;0,'Assumptions (Hydro)'!$V$13*Model!$AZ$1354*'Assumptions (Hydro)'!AV$2/10^9,0)</f>
        <v>0</v>
      </c>
      <c r="AX1406" s="219">
        <f>IF($AZ$1354&gt;0,'Assumptions (Hydro)'!$V$13*Model!$AZ$1354*'Assumptions (Hydro)'!AW$2/10^9,0)</f>
        <v>0</v>
      </c>
      <c r="AY1406" s="219">
        <f>IF($AZ$1354&gt;0,'Assumptions (Hydro)'!$V$13*Model!$AZ$1354*'Assumptions (Hydro)'!AX$2/10^9,0)</f>
        <v>0</v>
      </c>
      <c r="AZ1406" s="174"/>
      <c r="BA1406" s="174"/>
    </row>
    <row r="1407" ht="15.75" hidden="1" customHeight="1" outlineLevel="1">
      <c r="A1407" s="273"/>
      <c r="B1407" s="38"/>
      <c r="C1407" s="174"/>
      <c r="D1407" s="174"/>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219">
        <f>IF($BA$1354&gt;0,'Assumptions (Hydro)'!$V$13*Model!$BA$1354*'Assumptions (Hydro)'!AW$2/10^9,0)</f>
        <v>0</v>
      </c>
      <c r="AY1407" s="219">
        <f>IF($BA$1354&gt;0,'Assumptions (Hydro)'!$V$13*Model!$BA$1354*'Assumptions (Hydro)'!AX$2/10^9,0)</f>
        <v>0</v>
      </c>
      <c r="AZ1407" s="219">
        <f>IF($BA$1354&gt;0,'Assumptions (Hydro)'!$V$13*Model!$BA$1354*'Assumptions (Hydro)'!AY$2/10^9,0)</f>
        <v>0</v>
      </c>
      <c r="BA1407" s="174"/>
    </row>
    <row r="1408" ht="15.75" customHeight="1" collapsed="1">
      <c r="A1408" s="272" t="s">
        <v>52</v>
      </c>
      <c r="B1408" s="150" t="s">
        <v>351</v>
      </c>
      <c r="C1408" s="279">
        <f>'Assumptions (Hydro)'!$V$4*Model!C1356</f>
        <v>0.0256535476</v>
      </c>
      <c r="D1408" s="279">
        <f>'Assumptions (Hydro)'!$V$4*Model!D1356</f>
        <v>0.05033290984</v>
      </c>
      <c r="E1408" s="279">
        <f>'Assumptions (Hydro)'!$V$4*Model!E1356</f>
        <v>0.06080540237</v>
      </c>
      <c r="F1408" s="279">
        <f>'Assumptions (Hydro)'!$V$4*Model!F1356</f>
        <v>0.03563894745</v>
      </c>
      <c r="G1408" s="279">
        <f>'Assumptions (Hydro)'!$V$4*Model!G1356</f>
        <v>0.01047249253</v>
      </c>
      <c r="H1408" s="279">
        <f>'Assumptions (Hydro)'!$V$4*Model!H1356</f>
        <v>0</v>
      </c>
      <c r="I1408" s="279">
        <f>'Assumptions (Hydro)'!$V$4*Model!I1356</f>
        <v>0</v>
      </c>
      <c r="J1408" s="279">
        <f>'Assumptions (Hydro)'!$V$4*Model!J1356</f>
        <v>0</v>
      </c>
      <c r="K1408" s="279">
        <f>'Assumptions (Hydro)'!$V$4*Model!K1356</f>
        <v>0.0007813244145</v>
      </c>
      <c r="L1408" s="279">
        <f>'Assumptions (Hydro)'!$V$4*Model!L1356</f>
        <v>0.04234807405</v>
      </c>
      <c r="M1408" s="279">
        <f>'Assumptions (Hydro)'!$V$4*Model!M1356</f>
        <v>0.05710441508</v>
      </c>
      <c r="N1408" s="279">
        <f>'Assumptions (Hydro)'!$V$4*Model!N1356</f>
        <v>0.05736124496</v>
      </c>
      <c r="O1408" s="279">
        <f>'Assumptions (Hydro)'!$V$4*Model!O1356</f>
        <v>0.01452207457</v>
      </c>
      <c r="P1408" s="279">
        <f>'Assumptions (Hydro)'!$V$4*Model!P1356</f>
        <v>0</v>
      </c>
      <c r="Q1408" s="279">
        <f>'Assumptions (Hydro)'!$V$4*Model!Q1356</f>
        <v>0</v>
      </c>
      <c r="R1408" s="279">
        <f>'Assumptions (Hydro)'!$V$4*Model!R1356</f>
        <v>0</v>
      </c>
      <c r="S1408" s="279">
        <f>'Assumptions (Hydro)'!$V$4*Model!S1356</f>
        <v>0</v>
      </c>
      <c r="T1408" s="279">
        <f>'Assumptions (Hydro)'!$V$4*Model!T1356</f>
        <v>0</v>
      </c>
      <c r="U1408" s="279">
        <f>'Assumptions (Hydro)'!$V$4*Model!U1356</f>
        <v>0</v>
      </c>
      <c r="V1408" s="279">
        <f>'Assumptions (Hydro)'!$V$4*Model!V1356</f>
        <v>0</v>
      </c>
      <c r="W1408" s="279">
        <f>'Assumptions (Hydro)'!$V$4*Model!W1356</f>
        <v>0</v>
      </c>
      <c r="X1408" s="279">
        <f>'Assumptions (Hydro)'!$V$4*Model!X1356</f>
        <v>0</v>
      </c>
      <c r="Y1408" s="279">
        <f>'Assumptions (Hydro)'!$V$4*Model!Y1356</f>
        <v>0</v>
      </c>
      <c r="Z1408" s="279">
        <f>'Assumptions (Hydro)'!$V$4*Model!Z1356</f>
        <v>0</v>
      </c>
      <c r="AA1408" s="279">
        <f>'Assumptions (Hydro)'!$V$4*Model!AA1356</f>
        <v>0</v>
      </c>
      <c r="AB1408" s="279">
        <f>'Assumptions (Hydro)'!$V$4*Model!AB1356</f>
        <v>0</v>
      </c>
      <c r="AC1408" s="279">
        <f>'Assumptions (Hydro)'!$V$4*Model!AC1356</f>
        <v>0</v>
      </c>
      <c r="AD1408" s="279">
        <f>'Assumptions (Hydro)'!$V$4*Model!AD1356</f>
        <v>0</v>
      </c>
      <c r="AE1408" s="279">
        <f>'Assumptions (Hydro)'!$V$4*Model!AE1356</f>
        <v>0</v>
      </c>
      <c r="AF1408" s="279">
        <f>'Assumptions (Hydro)'!$V$4*Model!AF1356</f>
        <v>0</v>
      </c>
      <c r="AG1408" s="279">
        <f>'Assumptions (Hydro)'!$V$4*Model!AG1356</f>
        <v>0</v>
      </c>
      <c r="AH1408" s="279">
        <f>'Assumptions (Hydro)'!$V$4*Model!AH1356</f>
        <v>0</v>
      </c>
      <c r="AI1408" s="279">
        <f>'Assumptions (Hydro)'!$V$4*Model!AI1356</f>
        <v>0</v>
      </c>
      <c r="AJ1408" s="279">
        <f>'Assumptions (Hydro)'!$V$4*Model!AJ1356</f>
        <v>0</v>
      </c>
      <c r="AK1408" s="279">
        <f>'Assumptions (Hydro)'!$V$4*Model!AK1356</f>
        <v>0</v>
      </c>
      <c r="AL1408" s="279">
        <f>'Assumptions (Hydro)'!$V$4*Model!AL1356</f>
        <v>0</v>
      </c>
      <c r="AM1408" s="279">
        <f>'Assumptions (Hydro)'!$V$4*Model!AM1356</f>
        <v>0</v>
      </c>
      <c r="AN1408" s="279">
        <f>'Assumptions (Hydro)'!$V$4*Model!AN1356</f>
        <v>0</v>
      </c>
      <c r="AO1408" s="279">
        <f>'Assumptions (Hydro)'!$V$4*Model!AO1356</f>
        <v>0</v>
      </c>
      <c r="AP1408" s="279">
        <f>'Assumptions (Hydro)'!$V$4*Model!AP1356</f>
        <v>0</v>
      </c>
      <c r="AQ1408" s="279">
        <f>'Assumptions (Hydro)'!$V$4*Model!AQ1356</f>
        <v>0</v>
      </c>
      <c r="AR1408" s="279">
        <f>'Assumptions (Hydro)'!$V$4*Model!AR1356</f>
        <v>0</v>
      </c>
      <c r="AS1408" s="279">
        <f>'Assumptions (Hydro)'!$V$4*Model!AS1356</f>
        <v>0</v>
      </c>
      <c r="AT1408" s="279">
        <f>'Assumptions (Hydro)'!$V$4*Model!AT1356</f>
        <v>0</v>
      </c>
      <c r="AU1408" s="279">
        <f>'Assumptions (Hydro)'!$V$4*Model!AU1356</f>
        <v>0</v>
      </c>
      <c r="AV1408" s="279">
        <f>'Assumptions (Hydro)'!$V$4*Model!AV1356</f>
        <v>0</v>
      </c>
      <c r="AW1408" s="279">
        <f>'Assumptions (Hydro)'!$V$4*Model!AW1356</f>
        <v>0</v>
      </c>
      <c r="AX1408" s="279">
        <f>'Assumptions (Hydro)'!$V$4*Model!AX1356</f>
        <v>0</v>
      </c>
      <c r="AY1408" s="279">
        <f>'Assumptions (Hydro)'!$V$4*Model!AY1356</f>
        <v>0</v>
      </c>
      <c r="AZ1408" s="279">
        <f>'Assumptions (Hydro)'!$V$4*Model!AZ1356</f>
        <v>0</v>
      </c>
      <c r="BA1408" s="279">
        <f>'Assumptions (Hydro)'!$V$4*Model!BA1356</f>
        <v>0</v>
      </c>
    </row>
    <row r="1409" ht="15.75" customHeight="1">
      <c r="A1409" s="272" t="s">
        <v>54</v>
      </c>
      <c r="B1409" s="150" t="s">
        <v>351</v>
      </c>
      <c r="C1409" s="176">
        <f>'Assumptions (Hydro)'!$V$5*Model!C1356</f>
        <v>0.01710236506</v>
      </c>
      <c r="D1409" s="176">
        <f>'Assumptions (Hydro)'!$V$5*Model!D1356</f>
        <v>0.03355527323</v>
      </c>
      <c r="E1409" s="176">
        <f>'Assumptions (Hydro)'!$V$5*Model!E1356</f>
        <v>0.04053693491</v>
      </c>
      <c r="F1409" s="176">
        <f>'Assumptions (Hydro)'!$V$5*Model!F1356</f>
        <v>0.0237592983</v>
      </c>
      <c r="G1409" s="176">
        <f>'Assumptions (Hydro)'!$V$5*Model!G1356</f>
        <v>0.006981661688</v>
      </c>
      <c r="H1409" s="176">
        <f>'Assumptions (Hydro)'!$V$5*Model!H1356</f>
        <v>0</v>
      </c>
      <c r="I1409" s="176">
        <f>'Assumptions (Hydro)'!$V$5*Model!I1356</f>
        <v>0</v>
      </c>
      <c r="J1409" s="176">
        <f>'Assumptions (Hydro)'!$V$5*Model!J1356</f>
        <v>0</v>
      </c>
      <c r="K1409" s="176">
        <f>'Assumptions (Hydro)'!$V$5*Model!K1356</f>
        <v>0.000520882943</v>
      </c>
      <c r="L1409" s="176">
        <f>'Assumptions (Hydro)'!$V$5*Model!L1356</f>
        <v>0.02823204937</v>
      </c>
      <c r="M1409" s="176">
        <f>'Assumptions (Hydro)'!$V$5*Model!M1356</f>
        <v>0.03806961006</v>
      </c>
      <c r="N1409" s="176">
        <f>'Assumptions (Hydro)'!$V$5*Model!N1356</f>
        <v>0.03824082997</v>
      </c>
      <c r="O1409" s="176">
        <f>'Assumptions (Hydro)'!$V$5*Model!O1356</f>
        <v>0.009681383044</v>
      </c>
      <c r="P1409" s="176">
        <f>'Assumptions (Hydro)'!$V$5*Model!P1356</f>
        <v>0</v>
      </c>
      <c r="Q1409" s="176">
        <f>'Assumptions (Hydro)'!$V$5*Model!Q1356</f>
        <v>0</v>
      </c>
      <c r="R1409" s="176">
        <f>'Assumptions (Hydro)'!$V$5*Model!R1356</f>
        <v>0</v>
      </c>
      <c r="S1409" s="176">
        <f>'Assumptions (Hydro)'!$V$5*Model!S1356</f>
        <v>0</v>
      </c>
      <c r="T1409" s="176">
        <f>'Assumptions (Hydro)'!$V$5*Model!T1356</f>
        <v>0</v>
      </c>
      <c r="U1409" s="176">
        <f>'Assumptions (Hydro)'!$V$5*Model!U1356</f>
        <v>0</v>
      </c>
      <c r="V1409" s="176">
        <f>'Assumptions (Hydro)'!$V$5*Model!V1356</f>
        <v>0</v>
      </c>
      <c r="W1409" s="176">
        <f>'Assumptions (Hydro)'!$V$5*Model!W1356</f>
        <v>0</v>
      </c>
      <c r="X1409" s="176">
        <f>'Assumptions (Hydro)'!$V$5*Model!X1356</f>
        <v>0</v>
      </c>
      <c r="Y1409" s="176">
        <f>'Assumptions (Hydro)'!$V$5*Model!Y1356</f>
        <v>0</v>
      </c>
      <c r="Z1409" s="176">
        <f>'Assumptions (Hydro)'!$V$5*Model!Z1356</f>
        <v>0</v>
      </c>
      <c r="AA1409" s="176">
        <f>'Assumptions (Hydro)'!$V$5*Model!AA1356</f>
        <v>0</v>
      </c>
      <c r="AB1409" s="176">
        <f>'Assumptions (Hydro)'!$V$5*Model!AB1356</f>
        <v>0</v>
      </c>
      <c r="AC1409" s="176">
        <f>'Assumptions (Hydro)'!$V$5*Model!AC1356</f>
        <v>0</v>
      </c>
      <c r="AD1409" s="176">
        <f>'Assumptions (Hydro)'!$V$5*Model!AD1356</f>
        <v>0</v>
      </c>
      <c r="AE1409" s="176">
        <f>'Assumptions (Hydro)'!$V$5*Model!AE1356</f>
        <v>0</v>
      </c>
      <c r="AF1409" s="176">
        <f>'Assumptions (Hydro)'!$V$5*Model!AF1356</f>
        <v>0</v>
      </c>
      <c r="AG1409" s="176">
        <f>'Assumptions (Hydro)'!$V$5*Model!AG1356</f>
        <v>0</v>
      </c>
      <c r="AH1409" s="176">
        <f>'Assumptions (Hydro)'!$V$5*Model!AH1356</f>
        <v>0</v>
      </c>
      <c r="AI1409" s="176">
        <f>'Assumptions (Hydro)'!$V$5*Model!AI1356</f>
        <v>0</v>
      </c>
      <c r="AJ1409" s="176">
        <f>'Assumptions (Hydro)'!$V$5*Model!AJ1356</f>
        <v>0</v>
      </c>
      <c r="AK1409" s="176">
        <f>'Assumptions (Hydro)'!$V$5*Model!AK1356</f>
        <v>0</v>
      </c>
      <c r="AL1409" s="176">
        <f>'Assumptions (Hydro)'!$V$5*Model!AL1356</f>
        <v>0</v>
      </c>
      <c r="AM1409" s="176">
        <f>'Assumptions (Hydro)'!$V$5*Model!AM1356</f>
        <v>0</v>
      </c>
      <c r="AN1409" s="176">
        <f>'Assumptions (Hydro)'!$V$5*Model!AN1356</f>
        <v>0</v>
      </c>
      <c r="AO1409" s="176">
        <f>'Assumptions (Hydro)'!$V$5*Model!AO1356</f>
        <v>0</v>
      </c>
      <c r="AP1409" s="176">
        <f>'Assumptions (Hydro)'!$V$5*Model!AP1356</f>
        <v>0</v>
      </c>
      <c r="AQ1409" s="176">
        <f>'Assumptions (Hydro)'!$V$5*Model!AQ1356</f>
        <v>0</v>
      </c>
      <c r="AR1409" s="176">
        <f>'Assumptions (Hydro)'!$V$5*Model!AR1356</f>
        <v>0</v>
      </c>
      <c r="AS1409" s="176">
        <f>'Assumptions (Hydro)'!$V$5*Model!AS1356</f>
        <v>0</v>
      </c>
      <c r="AT1409" s="176">
        <f>'Assumptions (Hydro)'!$V$5*Model!AT1356</f>
        <v>0</v>
      </c>
      <c r="AU1409" s="176">
        <f>'Assumptions (Hydro)'!$V$5*Model!AU1356</f>
        <v>0</v>
      </c>
      <c r="AV1409" s="176">
        <f>'Assumptions (Hydro)'!$V$5*Model!AV1356</f>
        <v>0</v>
      </c>
      <c r="AW1409" s="176">
        <f>'Assumptions (Hydro)'!$V$5*Model!AW1356</f>
        <v>0</v>
      </c>
      <c r="AX1409" s="176">
        <f>'Assumptions (Hydro)'!$V$5*Model!AX1356</f>
        <v>0</v>
      </c>
      <c r="AY1409" s="176">
        <f>'Assumptions (Hydro)'!$V$5*Model!AY1356</f>
        <v>0</v>
      </c>
      <c r="AZ1409" s="176">
        <f>'Assumptions (Hydro)'!$V$5*Model!AZ1356</f>
        <v>0</v>
      </c>
      <c r="BA1409" s="176">
        <f>'Assumptions (Hydro)'!$V$5*Model!BA1356</f>
        <v>0</v>
      </c>
    </row>
    <row r="1410" ht="15.75" customHeight="1">
      <c r="A1410" s="272" t="s">
        <v>359</v>
      </c>
      <c r="B1410" s="150" t="s">
        <v>351</v>
      </c>
      <c r="C1410" s="177">
        <f t="array" ref="C1410">SUM(IF(ISERROR(C1411:C1461),"",C1411:C1461))</f>
        <v>-0.00002300106872</v>
      </c>
      <c r="D1410" s="177">
        <f t="array" ref="D1410">SUM(IF(ISERROR(D1411:D1461),"",D1411:D1461))</f>
        <v>-0.00002409361948</v>
      </c>
      <c r="E1410" s="177">
        <f t="array" ref="E1410">SUM(IF(ISERROR(E1411:E1461),"",E1411:E1461))</f>
        <v>-0.00002523806641</v>
      </c>
      <c r="F1410" s="177">
        <f t="array" ref="F1410">SUM(IF(ISERROR(F1411:F1461),"",F1411:F1461))</f>
        <v>-0.003591602526</v>
      </c>
      <c r="G1410" s="177">
        <f t="array" ref="G1410">SUM(IF(ISERROR(G1411:G1461),"",G1411:G1461))</f>
        <v>-0.007327369297</v>
      </c>
      <c r="H1410" s="177">
        <f t="array" ref="H1410">SUM(IF(ISERROR(H1411:H1461),"",H1411:H1461))</f>
        <v>-0.009158988271</v>
      </c>
      <c r="I1410" s="177">
        <f t="array" ref="I1410">SUM(IF(ISERROR(I1411:I1461),"",I1411:I1461))</f>
        <v>-0.009594040214</v>
      </c>
      <c r="J1410" s="177">
        <f t="array" ref="J1410">SUM(IF(ISERROR(J1411:J1461),"",J1411:J1461))</f>
        <v>-0.01004975712</v>
      </c>
      <c r="K1410" s="177">
        <f t="array" ref="K1410">SUM(IF(ISERROR(K1411:K1461),"",K1411:K1461))</f>
        <v>-0.01052712059</v>
      </c>
      <c r="L1410" s="177">
        <f t="array" ref="L1410">SUM(IF(ISERROR(L1411:L1461),"",L1411:L1461))</f>
        <v>-0.01102715882</v>
      </c>
      <c r="M1410" s="177">
        <f t="array" ref="M1410">SUM(IF(ISERROR(M1411:M1461),"",M1411:M1461))</f>
        <v>-0.01155094886</v>
      </c>
      <c r="N1410" s="177">
        <f t="array" ref="N1410">SUM(IF(ISERROR(N1411:N1461),"",N1411:N1461))</f>
        <v>-0.01221399695</v>
      </c>
      <c r="O1410" s="177">
        <f t="array" ref="O1410">SUM(IF(ISERROR(O1411:O1461),"",O1411:O1461))</f>
        <v>-0.01879285643</v>
      </c>
      <c r="P1410" s="177">
        <f t="array" ref="P1410">SUM(IF(ISERROR(P1411:P1461),"",P1411:P1461))</f>
        <v>-0.02170001074</v>
      </c>
      <c r="Q1410" s="177">
        <f t="array" ref="Q1410">SUM(IF(ISERROR(Q1411:Q1461),"",Q1411:Q1461))</f>
        <v>-0.02273076125</v>
      </c>
      <c r="R1410" s="177">
        <f t="array" ref="R1410">SUM(IF(ISERROR(R1411:R1461),"",R1411:R1461))</f>
        <v>-0.02376433444</v>
      </c>
      <c r="S1410" s="177">
        <f t="array" ref="S1410">SUM(IF(ISERROR(S1411:S1461),"",S1411:S1461))</f>
        <v>-0.02489314033</v>
      </c>
      <c r="T1410" s="177">
        <f t="array" ref="T1410">SUM(IF(ISERROR(T1411:T1461),"",T1411:T1461))</f>
        <v>-0.02607556449</v>
      </c>
      <c r="U1410" s="177">
        <f t="array" ref="U1410">SUM(IF(ISERROR(U1411:U1461),"",U1411:U1461))</f>
        <v>-0.02016276833</v>
      </c>
      <c r="V1410" s="177">
        <f t="array" ref="V1410">SUM(IF(ISERROR(V1411:V1461),"",V1411:V1461))</f>
        <v>-0.01396911434</v>
      </c>
      <c r="W1410" s="177">
        <f t="array" ref="W1410">SUM(IF(ISERROR(W1411:W1461),"",W1411:W1461))</f>
        <v>-0.01165674816</v>
      </c>
      <c r="X1410" s="177">
        <f t="array" ref="X1410">SUM(IF(ISERROR(X1411:X1461),"",X1411:X1461))</f>
        <v>-0.0122104437</v>
      </c>
      <c r="Y1410" s="177">
        <f t="array" ref="Y1410">SUM(IF(ISERROR(Y1411:Y1461),"",Y1411:Y1461))</f>
        <v>-0.01279043977</v>
      </c>
      <c r="Z1410" s="177">
        <f t="array" ref="Z1410">SUM(IF(ISERROR(Z1411:Z1461),"",Z1411:Z1461))</f>
        <v>-0.01339798566</v>
      </c>
      <c r="AA1410" s="177">
        <f t="array" ref="AA1410">SUM(IF(ISERROR(AA1411:AA1461),"",AA1411:AA1461))</f>
        <v>-0.01403438998</v>
      </c>
      <c r="AB1410" s="177">
        <f t="array" ref="AB1410">SUM(IF(ISERROR(AB1411:AB1461),"",AB1411:AB1461))</f>
        <v>-0.0147010235</v>
      </c>
      <c r="AC1410" s="177">
        <f t="array" ref="AC1410">SUM(IF(ISERROR(AC1411:AC1461),"",AC1411:AC1461))</f>
        <v>-0.01516989063</v>
      </c>
      <c r="AD1410" s="177">
        <f t="array" ref="AD1410">SUM(IF(ISERROR(AD1411:AD1461),"",AD1411:AD1461))</f>
        <v>-0.003857645732</v>
      </c>
      <c r="AE1410" s="177">
        <f t="array" ref="AE1410">SUM(IF(ISERROR(AE1411:AE1461),"",AE1411:AE1461))</f>
        <v>0</v>
      </c>
      <c r="AF1410" s="177">
        <f t="array" ref="AF1410">SUM(IF(ISERROR(AF1411:AF1461),"",AF1411:AF1461))</f>
        <v>0</v>
      </c>
      <c r="AG1410" s="177">
        <f t="array" ref="AG1410">SUM(IF(ISERROR(AG1411:AG1461),"",AG1411:AG1461))</f>
        <v>0</v>
      </c>
      <c r="AH1410" s="177">
        <f t="array" ref="AH1410">SUM(IF(ISERROR(AH1411:AH1461),"",AH1411:AH1461))</f>
        <v>0</v>
      </c>
      <c r="AI1410" s="177">
        <f t="array" ref="AI1410">SUM(IF(ISERROR(AI1411:AI1461),"",AI1411:AI1461))</f>
        <v>0</v>
      </c>
      <c r="AJ1410" s="177">
        <f t="array" ref="AJ1410">SUM(IF(ISERROR(AJ1411:AJ1461),"",AJ1411:AJ1461))</f>
        <v>0</v>
      </c>
      <c r="AK1410" s="177">
        <f t="array" ref="AK1410">SUM(IF(ISERROR(AK1411:AK1461),"",AK1411:AK1461))</f>
        <v>0</v>
      </c>
      <c r="AL1410" s="177">
        <f t="array" ref="AL1410">SUM(IF(ISERROR(AL1411:AL1461),"",AL1411:AL1461))</f>
        <v>0</v>
      </c>
      <c r="AM1410" s="177">
        <f t="array" ref="AM1410">SUM(IF(ISERROR(AM1411:AM1461),"",AM1411:AM1461))</f>
        <v>0</v>
      </c>
      <c r="AN1410" s="177">
        <f t="array" ref="AN1410">SUM(IF(ISERROR(AN1411:AN1461),"",AN1411:AN1461))</f>
        <v>0</v>
      </c>
      <c r="AO1410" s="177">
        <f t="array" ref="AO1410">SUM(IF(ISERROR(AO1411:AO1461),"",AO1411:AO1461))</f>
        <v>0</v>
      </c>
      <c r="AP1410" s="177">
        <f t="array" ref="AP1410">SUM(IF(ISERROR(AP1411:AP1461),"",AP1411:AP1461))</f>
        <v>0</v>
      </c>
      <c r="AQ1410" s="177">
        <f t="array" ref="AQ1410">SUM(IF(ISERROR(AQ1411:AQ1461),"",AQ1411:AQ1461))</f>
        <v>0</v>
      </c>
      <c r="AR1410" s="177">
        <f t="array" ref="AR1410">SUM(IF(ISERROR(AR1411:AR1461),"",AR1411:AR1461))</f>
        <v>0</v>
      </c>
      <c r="AS1410" s="177">
        <f t="array" ref="AS1410">SUM(IF(ISERROR(AS1411:AS1461),"",AS1411:AS1461))</f>
        <v>0</v>
      </c>
      <c r="AT1410" s="177">
        <f t="array" ref="AT1410">SUM(IF(ISERROR(AT1411:AT1461),"",AT1411:AT1461))</f>
        <v>0</v>
      </c>
      <c r="AU1410" s="177">
        <f t="array" ref="AU1410">SUM(IF(ISERROR(AU1411:AU1461),"",AU1411:AU1461))</f>
        <v>0</v>
      </c>
      <c r="AV1410" s="177">
        <f t="array" ref="AV1410">SUM(IF(ISERROR(AV1411:AV1461),"",AV1411:AV1461))</f>
        <v>0</v>
      </c>
      <c r="AW1410" s="177">
        <f t="array" ref="AW1410">SUM(IF(ISERROR(AW1411:AW1461),"",AW1411:AW1461))</f>
        <v>0</v>
      </c>
      <c r="AX1410" s="177">
        <f t="array" ref="AX1410">SUM(IF(ISERROR(AX1411:AX1461),"",AX1411:AX1461))</f>
        <v>0</v>
      </c>
      <c r="AY1410" s="177">
        <f t="array" ref="AY1410">SUM(IF(ISERROR(AY1411:AY1461),"",AY1411:AY1461))</f>
        <v>0</v>
      </c>
      <c r="AZ1410" s="177">
        <f t="array" ref="AZ1410">SUM(IF(ISERROR(AZ1411:AZ1461),"",AZ1411:AZ1461))</f>
        <v>0</v>
      </c>
      <c r="BA1410" s="177">
        <f t="array" ref="BA1410">SUM(IF(ISERROR(BA1411:BA1461),"",BA1411:BA1461))</f>
        <v>0</v>
      </c>
      <c r="BB1410" s="177">
        <f t="array" ref="BB1410">SUM(IF(ISERROR(BB1411:BB1461),"",BB1411:BB1461))</f>
        <v>0</v>
      </c>
      <c r="BC1410" s="177">
        <f t="array" ref="BC1410">SUM(IF(ISERROR(BC1411:BC1461),"",BC1411:BC1461))</f>
        <v>0</v>
      </c>
      <c r="BD1410" s="177">
        <f t="array" ref="BD1410">SUM(IF(ISERROR(BD1411:BD1461),"",BD1411:BD1461))</f>
        <v>0</v>
      </c>
      <c r="BE1410" s="177">
        <f t="array" ref="BE1410">SUM(IF(ISERROR(BE1411:BE1461),"",BE1411:BE1461))</f>
        <v>0</v>
      </c>
      <c r="BF1410" s="177">
        <f t="array" ref="BF1410">SUM(IF(ISERROR(BF1411:BF1461),"",BF1411:BF1461))</f>
        <v>0</v>
      </c>
      <c r="BG1410" s="177">
        <f t="array" ref="BG1410">SUM(IF(ISERROR(BG1411:BG1461),"",BG1411:BG1461))</f>
        <v>0</v>
      </c>
      <c r="BH1410" s="177">
        <f t="array" ref="BH1410">SUM(IF(ISERROR(BH1411:BH1461),"",BH1411:BH1461))</f>
        <v>0</v>
      </c>
      <c r="BI1410" s="177">
        <f t="array" ref="BI1410">SUM(IF(ISERROR(BI1411:BI1461),"",BI1411:BI1461))</f>
        <v>0</v>
      </c>
      <c r="BJ1410" s="177">
        <f t="array" ref="BJ1410">SUM(IF(ISERROR(BJ1411:BJ1461),"",BJ1411:BJ1461))</f>
        <v>0</v>
      </c>
      <c r="BK1410" s="177">
        <f t="array" ref="BK1410">SUM(IF(ISERROR(BK1411:BK1461),"",BK1411:BK1461))</f>
        <v>0</v>
      </c>
      <c r="BL1410" s="177">
        <f t="array" ref="BL1410">SUM(IF(ISERROR(BL1411:BL1461),"",BL1411:BL1461))</f>
        <v>0</v>
      </c>
      <c r="BM1410" s="177">
        <f t="array" ref="BM1410">SUM(IF(ISERROR(BM1411:BM1461),"",BM1411:BM1461))</f>
        <v>0</v>
      </c>
      <c r="BN1410" s="177">
        <f t="array" ref="BN1410">SUM(IF(ISERROR(BN1411:BN1461),"",BN1411:BN1461))</f>
        <v>0</v>
      </c>
      <c r="BO1410" s="177">
        <f t="array" ref="BO1410">SUM(IF(ISERROR(BO1411:BO1461),"",BO1411:BO1461))</f>
        <v>0</v>
      </c>
      <c r="BP1410" s="177"/>
    </row>
    <row r="1411" ht="15.75" hidden="1" customHeight="1" outlineLevel="1">
      <c r="A1411" s="273"/>
      <c r="B1411" s="38"/>
      <c r="C1411" s="177">
        <f>IF($C$1354&gt;0,PPMT('Assumptions (Hydro)'!$V$6,Model!W$1,'Assumptions (Hydro)'!$V$9,'Assumptions (Hydro)'!$V$4*Model!$C$1354*'Assumptions (Hydro)'!$B$2/10^9),0)</f>
        <v>-0.00002300106872</v>
      </c>
      <c r="D1411" s="177">
        <f>IF($C$1354&gt;0,PPMT('Assumptions (Hydro)'!$V$6,Model!X$1,'Assumptions (Hydro)'!$V$9,'Assumptions (Hydro)'!$V$4*Model!$C$1354*'Assumptions (Hydro)'!$B$2/10^9),0)</f>
        <v>-0.00002409361948</v>
      </c>
      <c r="E1411" s="177">
        <f>IF($C$1354&gt;0,PPMT('Assumptions (Hydro)'!$V$6,Model!Y$1,'Assumptions (Hydro)'!$V$9,'Assumptions (Hydro)'!$V$4*Model!$C$1354*'Assumptions (Hydro)'!$B$2/10^9),0)</f>
        <v>-0.00002523806641</v>
      </c>
      <c r="F1411" s="177">
        <f>IF($C$1354&gt;0,PPMT('Assumptions (Hydro)'!$V$6,Model!Z$1,'Assumptions (Hydro)'!$V$9,'Assumptions (Hydro)'!$V$4*Model!$C$1354*'Assumptions (Hydro)'!$B$2/10^9),0)</f>
        <v>-0.00002643687456</v>
      </c>
      <c r="G1411" s="177">
        <f>IF($C$1354&gt;0,PPMT('Assumptions (Hydro)'!$V$6,Model!AA$1,'Assumptions (Hydro)'!$V$9,'Assumptions (Hydro)'!$V$4*Model!$C$1354*'Assumptions (Hydro)'!$B$2/10^9),0)</f>
        <v>-0.0000276926261</v>
      </c>
      <c r="H1411" s="177">
        <f>IF($C$1354&gt;0,PPMT('Assumptions (Hydro)'!$V$6,Model!AB$1,'Assumptions (Hydro)'!$V$9,'Assumptions (Hydro)'!$V$4*Model!$C$1354*'Assumptions (Hydro)'!$B$2/10^9),0)</f>
        <v>-0.00002900802584</v>
      </c>
      <c r="I1411" s="177">
        <f>IF($C$1354&gt;0,PPMT('Assumptions (Hydro)'!$V$6,Model!AC$1,'Assumptions (Hydro)'!$V$9,'Assumptions (Hydro)'!$V$4*Model!$C$1354*'Assumptions (Hydro)'!$B$2/10^9),0)</f>
        <v>-0.00003038590707</v>
      </c>
      <c r="J1411" s="177">
        <f>IF($C$1354&gt;0,PPMT('Assumptions (Hydro)'!$V$6,Model!AD$1,'Assumptions (Hydro)'!$V$9,'Assumptions (Hydro)'!$V$4*Model!$C$1354*'Assumptions (Hydro)'!$B$2/10^9),0)</f>
        <v>-0.00003182923766</v>
      </c>
      <c r="K1411" s="177">
        <f>IF($C$1354&gt;0,PPMT('Assumptions (Hydro)'!$V$6,Model!AE$1,'Assumptions (Hydro)'!$V$9,'Assumptions (Hydro)'!$V$4*Model!$C$1354*'Assumptions (Hydro)'!$B$2/10^9),0)</f>
        <v>-0.00003334112645</v>
      </c>
      <c r="L1411" s="177">
        <f>IF($C$1354&gt;0,PPMT('Assumptions (Hydro)'!$V$6,Model!AF$1,'Assumptions (Hydro)'!$V$9,'Assumptions (Hydro)'!$V$4*Model!$C$1354*'Assumptions (Hydro)'!$B$2/10^9),0)</f>
        <v>-0.00003492482995</v>
      </c>
      <c r="M1411" s="177">
        <f>IF($C$1354&gt;0,PPMT('Assumptions (Hydro)'!$V$6,Model!AG$1,'Assumptions (Hydro)'!$V$9,'Assumptions (Hydro)'!$V$4*Model!$C$1354*'Assumptions (Hydro)'!$B$2/10^9),0)</f>
        <v>-0.00003658375937</v>
      </c>
      <c r="N1411" s="177">
        <f>IF($C$1354&gt;0,PPMT('Assumptions (Hydro)'!$V$6,Model!AH$1,'Assumptions (Hydro)'!$V$9,'Assumptions (Hydro)'!$V$4*Model!$C$1354*'Assumptions (Hydro)'!$B$2/10^9),0)</f>
        <v>-0.00003832148794</v>
      </c>
      <c r="O1411" s="177">
        <f>IF($C$1354&gt;0,PPMT('Assumptions (Hydro)'!$V$6,Model!AI$1,'Assumptions (Hydro)'!$V$9,'Assumptions (Hydro)'!$V$4*Model!$C$1354*'Assumptions (Hydro)'!$B$2/10^9),0)</f>
        <v>-0.00004014175862</v>
      </c>
      <c r="P1411" s="177">
        <f>IF($C$1354&gt;0,PPMT('Assumptions (Hydro)'!$V$6,Model!AJ$1,'Assumptions (Hydro)'!$V$9,'Assumptions (Hydro)'!$V$4*Model!$C$1354*'Assumptions (Hydro)'!$B$2/10^9),0)</f>
        <v>-0.00004204849216</v>
      </c>
      <c r="Q1411" s="177">
        <f>IF($C$1354&gt;0,PPMT('Assumptions (Hydro)'!$V$6,Model!AK$1,'Assumptions (Hydro)'!$V$9,'Assumptions (Hydro)'!$V$4*Model!$C$1354*'Assumptions (Hydro)'!$B$2/10^9),0)</f>
        <v>-0.00004404579553</v>
      </c>
      <c r="R1411" s="177"/>
      <c r="S1411" s="177"/>
      <c r="T1411" s="177"/>
      <c r="U1411" s="177"/>
      <c r="V1411" s="177"/>
      <c r="W1411" s="177"/>
      <c r="X1411" s="177"/>
      <c r="Y1411" s="177"/>
      <c r="Z1411" s="177"/>
      <c r="AA1411" s="177"/>
      <c r="AB1411" s="160"/>
      <c r="AC1411" s="160"/>
      <c r="AD1411" s="160"/>
      <c r="AE1411" s="160"/>
      <c r="AF1411" s="160"/>
      <c r="AG1411" s="160"/>
    </row>
    <row r="1412" ht="15.75" hidden="1" customHeight="1" outlineLevel="1">
      <c r="A1412" s="273"/>
      <c r="B1412" s="38"/>
      <c r="C1412" s="160"/>
      <c r="D1412" s="177">
        <f>IF($D$1354&gt;0,PPMT('Assumptions (Hydro)'!$V$6,Model!W$1,'Assumptions (Hydro)'!$V$9,'Assumptions (Hydro)'!$V$4*Model!$D$1354*'Assumptions (Hydro)'!$B$2/10^9),0)</f>
        <v>0</v>
      </c>
      <c r="E1412" s="177">
        <f>IF($D$1354&gt;0,PPMT('Assumptions (Hydro)'!$V$6,Model!X$1,'Assumptions (Hydro)'!$V$9,'Assumptions (Hydro)'!$V$4*Model!$D$1354*'Assumptions (Hydro)'!$B$2/10^9),0)</f>
        <v>0</v>
      </c>
      <c r="F1412" s="177">
        <f>IF($D$1354&gt;0,PPMT('Assumptions (Hydro)'!$V$6,Model!Y$1,'Assumptions (Hydro)'!$V$9,'Assumptions (Hydro)'!$V$4*Model!$D$1354*'Assumptions (Hydro)'!$B$2/10^9),0)</f>
        <v>0</v>
      </c>
      <c r="G1412" s="177">
        <f>IF($D$1354&gt;0,PPMT('Assumptions (Hydro)'!$V$6,Model!Z$1,'Assumptions (Hydro)'!$V$9,'Assumptions (Hydro)'!$V$4*Model!$D$1354*'Assumptions (Hydro)'!$B$2/10^9),0)</f>
        <v>0</v>
      </c>
      <c r="H1412" s="177">
        <f>IF($D$1354&gt;0,PPMT('Assumptions (Hydro)'!$V$6,Model!AA$1,'Assumptions (Hydro)'!$V$9,'Assumptions (Hydro)'!$V$4*Model!$D$1354*'Assumptions (Hydro)'!$B$2/10^9),0)</f>
        <v>0</v>
      </c>
      <c r="I1412" s="177">
        <f>IF($D$1354&gt;0,PPMT('Assumptions (Hydro)'!$V$6,Model!AB$1,'Assumptions (Hydro)'!$V$9,'Assumptions (Hydro)'!$V$4*Model!$D$1354*'Assumptions (Hydro)'!$B$2/10^9),0)</f>
        <v>0</v>
      </c>
      <c r="J1412" s="177">
        <f>IF($D$1354&gt;0,PPMT('Assumptions (Hydro)'!$V$6,Model!AC$1,'Assumptions (Hydro)'!$V$9,'Assumptions (Hydro)'!$V$4*Model!$D$1354*'Assumptions (Hydro)'!$B$2/10^9),0)</f>
        <v>0</v>
      </c>
      <c r="K1412" s="177">
        <f>IF($D$1354&gt;0,PPMT('Assumptions (Hydro)'!$V$6,Model!AD$1,'Assumptions (Hydro)'!$V$9,'Assumptions (Hydro)'!$V$4*Model!$D$1354*'Assumptions (Hydro)'!$B$2/10^9),0)</f>
        <v>0</v>
      </c>
      <c r="L1412" s="177">
        <f>IF($D$1354&gt;0,PPMT('Assumptions (Hydro)'!$V$6,Model!AE$1,'Assumptions (Hydro)'!$V$9,'Assumptions (Hydro)'!$V$4*Model!$D$1354*'Assumptions (Hydro)'!$B$2/10^9),0)</f>
        <v>0</v>
      </c>
      <c r="M1412" s="177">
        <f>IF($D$1354&gt;0,PPMT('Assumptions (Hydro)'!$V$6,Model!AF$1,'Assumptions (Hydro)'!$V$9,'Assumptions (Hydro)'!$V$4*Model!$D$1354*'Assumptions (Hydro)'!$B$2/10^9),0)</f>
        <v>0</v>
      </c>
      <c r="N1412" s="177">
        <f>IF($D$1354&gt;0,PPMT('Assumptions (Hydro)'!$V$6,Model!AG$1,'Assumptions (Hydro)'!$V$9,'Assumptions (Hydro)'!$V$4*Model!$D$1354*'Assumptions (Hydro)'!$B$2/10^9),0)</f>
        <v>0</v>
      </c>
      <c r="O1412" s="177">
        <f>IF($D$1354&gt;0,PPMT('Assumptions (Hydro)'!$V$6,Model!AH$1,'Assumptions (Hydro)'!$V$9,'Assumptions (Hydro)'!$V$4*Model!$D$1354*'Assumptions (Hydro)'!$B$2/10^9),0)</f>
        <v>0</v>
      </c>
      <c r="P1412" s="177">
        <f>IF($D$1354&gt;0,PPMT('Assumptions (Hydro)'!$V$6,Model!AI$1,'Assumptions (Hydro)'!$V$9,'Assumptions (Hydro)'!$V$4*Model!$D$1354*'Assumptions (Hydro)'!$B$2/10^9),0)</f>
        <v>0</v>
      </c>
      <c r="Q1412" s="177">
        <f>IF($D$1354&gt;0,PPMT('Assumptions (Hydro)'!$V$6,Model!AJ$1,'Assumptions (Hydro)'!$V$9,'Assumptions (Hydro)'!$V$4*Model!$D$1354*'Assumptions (Hydro)'!$B$2/10^9),0)</f>
        <v>0</v>
      </c>
      <c r="R1412" s="177">
        <f>IF($D$1354&gt;0,PPMT('Assumptions (Hydro)'!$V$6,Model!AK$1,'Assumptions (Hydro)'!$V$9,'Assumptions (Hydro)'!$V$4*Model!$D$1354*'Assumptions (Hydro)'!$B$2/10^9),0)</f>
        <v>0</v>
      </c>
      <c r="S1412" s="177"/>
      <c r="T1412" s="177"/>
      <c r="U1412" s="177"/>
      <c r="V1412" s="177"/>
      <c r="W1412" s="177"/>
      <c r="X1412" s="177"/>
      <c r="Y1412" s="177"/>
      <c r="Z1412" s="177"/>
      <c r="AA1412" s="177"/>
      <c r="AB1412" s="177"/>
      <c r="AC1412" s="160"/>
      <c r="AD1412" s="160"/>
      <c r="AE1412" s="160"/>
      <c r="AF1412" s="160"/>
      <c r="AG1412" s="160"/>
    </row>
    <row r="1413" ht="15.75" hidden="1" customHeight="1" outlineLevel="1">
      <c r="A1413" s="273"/>
      <c r="B1413" s="38"/>
      <c r="C1413" s="160"/>
      <c r="D1413" s="160"/>
      <c r="E1413" s="160">
        <f>IF($E$1354&gt;0,PPMT('Assumptions (Hydro)'!$V$6,Model!W$1,'Assumptions (Hydro)'!$V$9,'Assumptions (Hydro)'!$V$4*Model!$E$1354*AVERAGE('Assumptions (Hydro)'!$B$2:$C$2)/10^9),0)</f>
        <v>0</v>
      </c>
      <c r="F1413" s="160">
        <f>IF($E$1354&gt;0,PPMT('Assumptions (Hydro)'!$V$6,Model!X$1,'Assumptions (Hydro)'!$V$9,'Assumptions (Hydro)'!$V$4*Model!$E$1354*AVERAGE('Assumptions (Hydro)'!$B$2:$C$2)/10^9),0)</f>
        <v>0</v>
      </c>
      <c r="G1413" s="160">
        <f>IF($E$1354&gt;0,PPMT('Assumptions (Hydro)'!$V$6,Model!Y$1,'Assumptions (Hydro)'!$V$9,'Assumptions (Hydro)'!$V$4*Model!$E$1354*AVERAGE('Assumptions (Hydro)'!$B$2:$C$2)/10^9),0)</f>
        <v>0</v>
      </c>
      <c r="H1413" s="160">
        <f>IF($E$1354&gt;0,PPMT('Assumptions (Hydro)'!$V$6,Model!Z$1,'Assumptions (Hydro)'!$V$9,'Assumptions (Hydro)'!$V$4*Model!$E$1354*AVERAGE('Assumptions (Hydro)'!$B$2:$C$2)/10^9),0)</f>
        <v>0</v>
      </c>
      <c r="I1413" s="160">
        <f>IF($E$1354&gt;0,PPMT('Assumptions (Hydro)'!$V$6,Model!AA$1,'Assumptions (Hydro)'!$V$9,'Assumptions (Hydro)'!$V$4*Model!$E$1354*AVERAGE('Assumptions (Hydro)'!$B$2:$C$2)/10^9),0)</f>
        <v>0</v>
      </c>
      <c r="J1413" s="160">
        <f>IF($E$1354&gt;0,PPMT('Assumptions (Hydro)'!$V$6,Model!AB$1,'Assumptions (Hydro)'!$V$9,'Assumptions (Hydro)'!$V$4*Model!$E$1354*AVERAGE('Assumptions (Hydro)'!$B$2:$C$2)/10^9),0)</f>
        <v>0</v>
      </c>
      <c r="K1413" s="160">
        <f>IF($E$1354&gt;0,PPMT('Assumptions (Hydro)'!$V$6,Model!AC$1,'Assumptions (Hydro)'!$V$9,'Assumptions (Hydro)'!$V$4*Model!$E$1354*AVERAGE('Assumptions (Hydro)'!$B$2:$C$2)/10^9),0)</f>
        <v>0</v>
      </c>
      <c r="L1413" s="160">
        <f>IF($E$1354&gt;0,PPMT('Assumptions (Hydro)'!$V$6,Model!AD$1,'Assumptions (Hydro)'!$V$9,'Assumptions (Hydro)'!$V$4*Model!$E$1354*AVERAGE('Assumptions (Hydro)'!$B$2:$C$2)/10^9),0)</f>
        <v>0</v>
      </c>
      <c r="M1413" s="160">
        <f>IF($E$1354&gt;0,PPMT('Assumptions (Hydro)'!$V$6,Model!AE$1,'Assumptions (Hydro)'!$V$9,'Assumptions (Hydro)'!$V$4*Model!$E$1354*AVERAGE('Assumptions (Hydro)'!$B$2:$C$2)/10^9),0)</f>
        <v>0</v>
      </c>
      <c r="N1413" s="177">
        <f>IF($E$1354&gt;0,PPMT('Assumptions (Hydro)'!$V$6,Model!AF$1,'Assumptions (Hydro)'!$V$9,'Assumptions (Hydro)'!$V$4*Model!$E$1354*AVERAGE('Assumptions (Hydro)'!$B$2:$C$2)/10^9),0)</f>
        <v>0</v>
      </c>
      <c r="O1413" s="160">
        <f>IF($E$1354&gt;0,PPMT('Assumptions (Hydro)'!$V$6,Model!AG$1,'Assumptions (Hydro)'!$V$9,'Assumptions (Hydro)'!$V$4*Model!$E$1354*AVERAGE('Assumptions (Hydro)'!$B$2:$C$2)/10^9),0)</f>
        <v>0</v>
      </c>
      <c r="P1413" s="160">
        <f>IF($E$1354&gt;0,PPMT('Assumptions (Hydro)'!$V$6,Model!AH$1,'Assumptions (Hydro)'!$V$9,'Assumptions (Hydro)'!$V$4*Model!$E$1354*AVERAGE('Assumptions (Hydro)'!$B$2:$C$2)/10^9),0)</f>
        <v>0</v>
      </c>
      <c r="Q1413" s="160">
        <f>IF($E$1354&gt;0,PPMT('Assumptions (Hydro)'!$V$6,Model!AI$1,'Assumptions (Hydro)'!$V$9,'Assumptions (Hydro)'!$V$4*Model!$E$1354*AVERAGE('Assumptions (Hydro)'!$B$2:$C$2)/10^9),0)</f>
        <v>0</v>
      </c>
      <c r="R1413" s="160">
        <f>IF($E$1354&gt;0,PPMT('Assumptions (Hydro)'!$V$6,Model!AJ$1,'Assumptions (Hydro)'!$V$9,'Assumptions (Hydro)'!$V$4*Model!$E$1354*AVERAGE('Assumptions (Hydro)'!$B$2:$C$2)/10^9),0)</f>
        <v>0</v>
      </c>
      <c r="S1413" s="160">
        <f>IF($E$1354&gt;0,PPMT('Assumptions (Hydro)'!$V$6,Model!AK$1,'Assumptions (Hydro)'!$V$9,'Assumptions (Hydro)'!$V$4*Model!$E$1354*AVERAGE('Assumptions (Hydro)'!$B$2:$C$2)/10^9),0)</f>
        <v>0</v>
      </c>
      <c r="T1413" s="160"/>
      <c r="U1413" s="160"/>
      <c r="V1413" s="160"/>
      <c r="W1413" s="160"/>
      <c r="X1413" s="160"/>
      <c r="Y1413" s="160"/>
      <c r="Z1413" s="160"/>
      <c r="AA1413" s="160"/>
      <c r="AB1413" s="160"/>
      <c r="AC1413" s="160"/>
      <c r="AD1413" s="160"/>
      <c r="AE1413" s="160"/>
      <c r="AF1413" s="160"/>
      <c r="AG1413" s="160"/>
    </row>
    <row r="1414" ht="15.75" hidden="1" customHeight="1" outlineLevel="1">
      <c r="A1414" s="273"/>
      <c r="B1414" s="38"/>
      <c r="C1414" s="160"/>
      <c r="D1414" s="160"/>
      <c r="E1414" s="160"/>
      <c r="F1414" s="160">
        <f>IF($F$1354&gt;0,PPMT('Assumptions (Hydro)'!$V$6,Model!W$1,'Assumptions (Hydro)'!$V$9,'Assumptions (Hydro)'!$V$4*Model!$F$1354*AVERAGE('Assumptions (Hydro)'!$B$2:$D$2)/10^9),0)</f>
        <v>-0.003565165651</v>
      </c>
      <c r="G1414" s="160">
        <f>IF($F$1354&gt;0,PPMT('Assumptions (Hydro)'!$V$6,Model!X$1,'Assumptions (Hydro)'!$V$9,'Assumptions (Hydro)'!$V$4*Model!$F$1354*AVERAGE('Assumptions (Hydro)'!$B$2:$D$2)/10^9),0)</f>
        <v>-0.00373451102</v>
      </c>
      <c r="H1414" s="160">
        <f>IF($F$1354&gt;0,PPMT('Assumptions (Hydro)'!$V$6,Model!Y$1,'Assumptions (Hydro)'!$V$9,'Assumptions (Hydro)'!$V$4*Model!$F$1354*AVERAGE('Assumptions (Hydro)'!$B$2:$D$2)/10^9),0)</f>
        <v>-0.003911900293</v>
      </c>
      <c r="I1414" s="160">
        <f>IF($F$1354&gt;0,PPMT('Assumptions (Hydro)'!$V$6,Model!Z$1,'Assumptions (Hydro)'!$V$9,'Assumptions (Hydro)'!$V$4*Model!$F$1354*AVERAGE('Assumptions (Hydro)'!$B$2:$D$2)/10^9),0)</f>
        <v>-0.004097715557</v>
      </c>
      <c r="J1414" s="160">
        <f>IF($F$1354&gt;0,PPMT('Assumptions (Hydro)'!$V$6,Model!AA$1,'Assumptions (Hydro)'!$V$9,'Assumptions (Hydro)'!$V$4*Model!$F$1354*AVERAGE('Assumptions (Hydro)'!$B$2:$D$2)/10^9),0)</f>
        <v>-0.004292357046</v>
      </c>
      <c r="K1414" s="160">
        <f>IF($F$1354&gt;0,PPMT('Assumptions (Hydro)'!$V$6,Model!AB$1,'Assumptions (Hydro)'!$V$9,'Assumptions (Hydro)'!$V$4*Model!$F$1354*AVERAGE('Assumptions (Hydro)'!$B$2:$D$2)/10^9),0)</f>
        <v>-0.004496244006</v>
      </c>
      <c r="L1414" s="160">
        <f>IF($F$1354&gt;0,PPMT('Assumptions (Hydro)'!$V$6,Model!AC$1,'Assumptions (Hydro)'!$V$9,'Assumptions (Hydro)'!$V$4*Model!$F$1354*AVERAGE('Assumptions (Hydro)'!$B$2:$D$2)/10^9),0)</f>
        <v>-0.004709815596</v>
      </c>
      <c r="M1414" s="160">
        <f>IF($F$1354&gt;0,PPMT('Assumptions (Hydro)'!$V$6,Model!AD$1,'Assumptions (Hydro)'!$V$9,'Assumptions (Hydro)'!$V$4*Model!$F$1354*AVERAGE('Assumptions (Hydro)'!$B$2:$D$2)/10^9),0)</f>
        <v>-0.004933531837</v>
      </c>
      <c r="N1414" s="177">
        <f>IF($F$1354&gt;0,PPMT('Assumptions (Hydro)'!$V$6,Model!AE$1,'Assumptions (Hydro)'!$V$9,'Assumptions (Hydro)'!$V$4*Model!$F$1354*AVERAGE('Assumptions (Hydro)'!$B$2:$D$2)/10^9),0)</f>
        <v>-0.005167874599</v>
      </c>
      <c r="O1414" s="160">
        <f>IF($F$1354&gt;0,PPMT('Assumptions (Hydro)'!$V$6,Model!AF$1,'Assumptions (Hydro)'!$V$9,'Assumptions (Hydro)'!$V$4*Model!$F$1354*AVERAGE('Assumptions (Hydro)'!$B$2:$D$2)/10^9),0)</f>
        <v>-0.005413348643</v>
      </c>
      <c r="P1414" s="160">
        <f>IF($F$1354&gt;0,PPMT('Assumptions (Hydro)'!$V$6,Model!AG$1,'Assumptions (Hydro)'!$V$9,'Assumptions (Hydro)'!$V$4*Model!$F$1354*AVERAGE('Assumptions (Hydro)'!$B$2:$D$2)/10^9),0)</f>
        <v>-0.005670482703</v>
      </c>
      <c r="Q1414" s="160">
        <f>IF($F$1354&gt;0,PPMT('Assumptions (Hydro)'!$V$6,Model!AH$1,'Assumptions (Hydro)'!$V$9,'Assumptions (Hydro)'!$V$4*Model!$F$1354*AVERAGE('Assumptions (Hydro)'!$B$2:$D$2)/10^9),0)</f>
        <v>-0.005939830631</v>
      </c>
      <c r="R1414" s="160">
        <f>IF($F$1354&gt;0,PPMT('Assumptions (Hydro)'!$V$6,Model!AI$1,'Assumptions (Hydro)'!$V$9,'Assumptions (Hydro)'!$V$4*Model!$F$1354*AVERAGE('Assumptions (Hydro)'!$B$2:$D$2)/10^9),0)</f>
        <v>-0.006221972586</v>
      </c>
      <c r="S1414" s="160">
        <f>IF($F$1354&gt;0,PPMT('Assumptions (Hydro)'!$V$6,Model!AJ$1,'Assumptions (Hydro)'!$V$9,'Assumptions (Hydro)'!$V$4*Model!$F$1354*AVERAGE('Assumptions (Hydro)'!$B$2:$D$2)/10^9),0)</f>
        <v>-0.006517516284</v>
      </c>
      <c r="T1414" s="160">
        <f>IF($F$1354&gt;0,PPMT('Assumptions (Hydro)'!$V$6,Model!AK$1,'Assumptions (Hydro)'!$V$9,'Assumptions (Hydro)'!$V$4*Model!$F$1354*AVERAGE('Assumptions (Hydro)'!$B$2:$D$2)/10^9),0)</f>
        <v>-0.006827098308</v>
      </c>
      <c r="U1414" s="160"/>
      <c r="V1414" s="160"/>
      <c r="W1414" s="160"/>
      <c r="X1414" s="160"/>
      <c r="Y1414" s="160"/>
      <c r="Z1414" s="160"/>
      <c r="AA1414" s="160"/>
      <c r="AB1414" s="160"/>
      <c r="AC1414" s="160"/>
      <c r="AD1414" s="160"/>
      <c r="AE1414" s="160"/>
      <c r="AF1414" s="160"/>
      <c r="AG1414" s="160"/>
    </row>
    <row r="1415" ht="15.75" hidden="1" customHeight="1" outlineLevel="1">
      <c r="A1415" s="273"/>
      <c r="B1415" s="38"/>
      <c r="C1415" s="160"/>
      <c r="D1415" s="160"/>
      <c r="E1415" s="160"/>
      <c r="F1415" s="160"/>
      <c r="G1415" s="160">
        <f>IF($G$1354&gt;0,PPMT('Assumptions (Hydro)'!$V$6,Model!W$1,'Assumptions (Hydro)'!$V$9,'Assumptions (Hydro)'!$V$4*Model!$G$1354*AVERAGE('Assumptions (Hydro)'!$C$2:$E$2)/10^9),0)</f>
        <v>-0.003565165651</v>
      </c>
      <c r="H1415" s="160">
        <f>IF($G$1354&gt;0,PPMT('Assumptions (Hydro)'!$V$6,Model!X$1,'Assumptions (Hydro)'!$V$9,'Assumptions (Hydro)'!$V$4*Model!$G$1354*AVERAGE('Assumptions (Hydro)'!$C$2:$E$2)/10^9),0)</f>
        <v>-0.00373451102</v>
      </c>
      <c r="I1415" s="160">
        <f>IF($G$1354&gt;0,PPMT('Assumptions (Hydro)'!$V$6,Model!Y$1,'Assumptions (Hydro)'!$V$9,'Assumptions (Hydro)'!$V$4*Model!$G$1354*AVERAGE('Assumptions (Hydro)'!$C$2:$E$2)/10^9),0)</f>
        <v>-0.003911900293</v>
      </c>
      <c r="J1415" s="160">
        <f>IF($G$1354&gt;0,PPMT('Assumptions (Hydro)'!$V$6,Model!Z$1,'Assumptions (Hydro)'!$V$9,'Assumptions (Hydro)'!$V$4*Model!$G$1354*AVERAGE('Assumptions (Hydro)'!$C$2:$E$2)/10^9),0)</f>
        <v>-0.004097715557</v>
      </c>
      <c r="K1415" s="160">
        <f>IF($G$1354&gt;0,PPMT('Assumptions (Hydro)'!$V$6,Model!AA$1,'Assumptions (Hydro)'!$V$9,'Assumptions (Hydro)'!$V$4*Model!$G$1354*AVERAGE('Assumptions (Hydro)'!$C$2:$E$2)/10^9),0)</f>
        <v>-0.004292357046</v>
      </c>
      <c r="L1415" s="160">
        <f>IF($G$1354&gt;0,PPMT('Assumptions (Hydro)'!$V$6,Model!AB$1,'Assumptions (Hydro)'!$V$9,'Assumptions (Hydro)'!$V$4*Model!$G$1354*AVERAGE('Assumptions (Hydro)'!$C$2:$E$2)/10^9),0)</f>
        <v>-0.004496244006</v>
      </c>
      <c r="M1415" s="160">
        <f>IF($G$1354&gt;0,PPMT('Assumptions (Hydro)'!$V$6,Model!AC$1,'Assumptions (Hydro)'!$V$9,'Assumptions (Hydro)'!$V$4*Model!$G$1354*AVERAGE('Assumptions (Hydro)'!$C$2:$E$2)/10^9),0)</f>
        <v>-0.004709815596</v>
      </c>
      <c r="N1415" s="160">
        <f>IF($G$1354&gt;0,PPMT('Assumptions (Hydro)'!$V$6,Model!AD$1,'Assumptions (Hydro)'!$V$9,'Assumptions (Hydro)'!$V$4*Model!$G$1354*AVERAGE('Assumptions (Hydro)'!$C$2:$E$2)/10^9),0)</f>
        <v>-0.004933531837</v>
      </c>
      <c r="O1415" s="160">
        <f>IF($G$1354&gt;0,PPMT('Assumptions (Hydro)'!$V$6,Model!AE$1,'Assumptions (Hydro)'!$V$9,'Assumptions (Hydro)'!$V$4*Model!$G$1354*AVERAGE('Assumptions (Hydro)'!$C$2:$E$2)/10^9),0)</f>
        <v>-0.005167874599</v>
      </c>
      <c r="P1415" s="160">
        <f>IF($G$1354&gt;0,PPMT('Assumptions (Hydro)'!$V$6,Model!AF$1,'Assumptions (Hydro)'!$V$9,'Assumptions (Hydro)'!$V$4*Model!$G$1354*AVERAGE('Assumptions (Hydro)'!$C$2:$E$2)/10^9),0)</f>
        <v>-0.005413348643</v>
      </c>
      <c r="Q1415" s="160">
        <f>IF($G$1354&gt;0,PPMT('Assumptions (Hydro)'!$V$6,Model!AG$1,'Assumptions (Hydro)'!$V$9,'Assumptions (Hydro)'!$V$4*Model!$G$1354*AVERAGE('Assumptions (Hydro)'!$C$2:$E$2)/10^9),0)</f>
        <v>-0.005670482703</v>
      </c>
      <c r="R1415" s="160">
        <f>IF($G$1354&gt;0,PPMT('Assumptions (Hydro)'!$V$6,Model!AH$1,'Assumptions (Hydro)'!$V$9,'Assumptions (Hydro)'!$V$4*Model!$G$1354*AVERAGE('Assumptions (Hydro)'!$C$2:$E$2)/10^9),0)</f>
        <v>-0.005939830631</v>
      </c>
      <c r="S1415" s="160">
        <f>IF($G$1354&gt;0,PPMT('Assumptions (Hydro)'!$V$6,Model!AI$1,'Assumptions (Hydro)'!$V$9,'Assumptions (Hydro)'!$V$4*Model!$G$1354*AVERAGE('Assumptions (Hydro)'!$C$2:$E$2)/10^9),0)</f>
        <v>-0.006221972586</v>
      </c>
      <c r="T1415" s="160">
        <f>IF($G$1354&gt;0,PPMT('Assumptions (Hydro)'!$V$6,Model!AJ$1,'Assumptions (Hydro)'!$V$9,'Assumptions (Hydro)'!$V$4*Model!$G$1354*AVERAGE('Assumptions (Hydro)'!$C$2:$E$2)/10^9),0)</f>
        <v>-0.006517516284</v>
      </c>
      <c r="U1415" s="160">
        <f>IF($G$1354&gt;0,PPMT('Assumptions (Hydro)'!$V$6,Model!AK$1,'Assumptions (Hydro)'!$V$9,'Assumptions (Hydro)'!$V$4*Model!$G$1354*AVERAGE('Assumptions (Hydro)'!$C$2:$E$2)/10^9),0)</f>
        <v>-0.006827098308</v>
      </c>
      <c r="V1415" s="160"/>
      <c r="W1415" s="160"/>
      <c r="X1415" s="160"/>
      <c r="Y1415" s="160"/>
      <c r="Z1415" s="160"/>
      <c r="AA1415" s="160"/>
      <c r="AB1415" s="160"/>
      <c r="AC1415" s="160"/>
      <c r="AD1415" s="160"/>
      <c r="AE1415" s="160"/>
      <c r="AF1415" s="160"/>
      <c r="AG1415" s="160"/>
    </row>
    <row r="1416" ht="15.75" hidden="1" customHeight="1" outlineLevel="1">
      <c r="A1416" s="273"/>
      <c r="B1416" s="38"/>
      <c r="C1416" s="160"/>
      <c r="D1416" s="160"/>
      <c r="E1416" s="160"/>
      <c r="F1416" s="160"/>
      <c r="G1416" s="160"/>
      <c r="H1416" s="280">
        <f>IF($H$1354&gt;0,PPMT('Assumptions (Hydro)'!$V$6,Model!W$1,'Assumptions (Hydro)'!$V$9,'Assumptions (Hydro)'!$V$4*Model!$H$1354*AVERAGE('Assumptions (Hydro)'!$D$2:$F$2)/10^9),0)</f>
        <v>-0.001483568932</v>
      </c>
      <c r="I1416" s="280">
        <f>IF($H$1354&gt;0,PPMT('Assumptions (Hydro)'!$V$6,Model!X$1,'Assumptions (Hydro)'!$V$9,'Assumptions (Hydro)'!$V$4*Model!$H$1354*AVERAGE('Assumptions (Hydro)'!$D$2:$F$2)/10^9),0)</f>
        <v>-0.001554038457</v>
      </c>
      <c r="J1416" s="280">
        <f>IF($H$1354&gt;0,PPMT('Assumptions (Hydro)'!$V$6,Model!Y$1,'Assumptions (Hydro)'!$V$9,'Assumptions (Hydro)'!$V$4*Model!$H$1354*AVERAGE('Assumptions (Hydro)'!$D$2:$F$2)/10^9),0)</f>
        <v>-0.001627855283</v>
      </c>
      <c r="K1416" s="280">
        <f>IF($H$1354&gt;0,PPMT('Assumptions (Hydro)'!$V$6,Model!Z$1,'Assumptions (Hydro)'!$V$9,'Assumptions (Hydro)'!$V$4*Model!$H$1354*AVERAGE('Assumptions (Hydro)'!$D$2:$F$2)/10^9),0)</f>
        <v>-0.001705178409</v>
      </c>
      <c r="L1416" s="280">
        <f>IF($H$1354&gt;0,PPMT('Assumptions (Hydro)'!$V$6,Model!AA$1,'Assumptions (Hydro)'!$V$9,'Assumptions (Hydro)'!$V$4*Model!$H$1354*AVERAGE('Assumptions (Hydro)'!$D$2:$F$2)/10^9),0)</f>
        <v>-0.001786174384</v>
      </c>
      <c r="M1416" s="280">
        <f>IF($H$1354&gt;0,PPMT('Assumptions (Hydro)'!$V$6,Model!AB$1,'Assumptions (Hydro)'!$V$9,'Assumptions (Hydro)'!$V$4*Model!$H$1354*AVERAGE('Assumptions (Hydro)'!$D$2:$F$2)/10^9),0)</f>
        <v>-0.001871017667</v>
      </c>
      <c r="N1416" s="280">
        <f>IF($H$1354&gt;0,PPMT('Assumptions (Hydro)'!$V$6,Model!AC$1,'Assumptions (Hydro)'!$V$9,'Assumptions (Hydro)'!$V$4*Model!$H$1354*AVERAGE('Assumptions (Hydro)'!$D$2:$F$2)/10^9),0)</f>
        <v>-0.001959891006</v>
      </c>
      <c r="O1416" s="280">
        <f>IF($H$1354&gt;0,PPMT('Assumptions (Hydro)'!$V$6,Model!AD$1,'Assumptions (Hydro)'!$V$9,'Assumptions (Hydro)'!$V$4*Model!$H$1354*AVERAGE('Assumptions (Hydro)'!$D$2:$F$2)/10^9),0)</f>
        <v>-0.002052985829</v>
      </c>
      <c r="P1416" s="280">
        <f>IF($H$1354&gt;0,PPMT('Assumptions (Hydro)'!$V$6,Model!AE$1,'Assumptions (Hydro)'!$V$9,'Assumptions (Hydro)'!$V$4*Model!$H$1354*AVERAGE('Assumptions (Hydro)'!$D$2:$F$2)/10^9),0)</f>
        <v>-0.002150502656</v>
      </c>
      <c r="Q1416" s="280">
        <f>IF($H$1354&gt;0,PPMT('Assumptions (Hydro)'!$V$6,Model!AF$1,'Assumptions (Hydro)'!$V$9,'Assumptions (Hydro)'!$V$4*Model!$H$1354*AVERAGE('Assumptions (Hydro)'!$D$2:$F$2)/10^9),0)</f>
        <v>-0.002252651532</v>
      </c>
      <c r="R1416" s="280">
        <f>IF($H$1354&gt;0,PPMT('Assumptions (Hydro)'!$V$6,Model!AG$1,'Assumptions (Hydro)'!$V$9,'Assumptions (Hydro)'!$V$4*Model!$H$1354*AVERAGE('Assumptions (Hydro)'!$D$2:$F$2)/10^9),0)</f>
        <v>-0.00235965248</v>
      </c>
      <c r="S1416" s="280">
        <f>IF($H$1354&gt;0,PPMT('Assumptions (Hydro)'!$V$6,Model!AH$1,'Assumptions (Hydro)'!$V$9,'Assumptions (Hydro)'!$V$4*Model!$H$1354*AVERAGE('Assumptions (Hydro)'!$D$2:$F$2)/10^9),0)</f>
        <v>-0.002471735972</v>
      </c>
      <c r="T1416" s="280">
        <f>IF($H$1354&gt;0,PPMT('Assumptions (Hydro)'!$V$6,Model!AI$1,'Assumptions (Hydro)'!$V$9,'Assumptions (Hydro)'!$V$4*Model!$H$1354*AVERAGE('Assumptions (Hydro)'!$D$2:$F$2)/10^9),0)</f>
        <v>-0.002589143431</v>
      </c>
      <c r="U1416" s="280">
        <f>IF($H$1354&gt;0,PPMT('Assumptions (Hydro)'!$V$6,Model!AJ$1,'Assumptions (Hydro)'!$V$9,'Assumptions (Hydro)'!$V$4*Model!$H$1354*AVERAGE('Assumptions (Hydro)'!$D$2:$F$2)/10^9),0)</f>
        <v>-0.002712127744</v>
      </c>
      <c r="V1416" s="280">
        <f>IF($H$1354&gt;0,PPMT('Assumptions (Hydro)'!$V$6,Model!AK$1,'Assumptions (Hydro)'!$V$9,'Assumptions (Hydro)'!$V$4*Model!$H$1354*AVERAGE('Assumptions (Hydro)'!$D$2:$F$2)/10^9),0)</f>
        <v>-0.002840953812</v>
      </c>
      <c r="W1416" s="160"/>
      <c r="X1416" s="160"/>
      <c r="Y1416" s="160"/>
      <c r="Z1416" s="160"/>
      <c r="AA1416" s="160"/>
      <c r="AB1416" s="160"/>
      <c r="AC1416" s="160"/>
      <c r="AD1416" s="160"/>
      <c r="AE1416" s="160"/>
      <c r="AF1416" s="160"/>
      <c r="AG1416" s="160"/>
    </row>
    <row r="1417" ht="15.75" hidden="1" customHeight="1" outlineLevel="1">
      <c r="A1417" s="273"/>
      <c r="B1417" s="38"/>
      <c r="C1417" s="160"/>
      <c r="D1417" s="160"/>
      <c r="E1417" s="160"/>
      <c r="F1417" s="160"/>
      <c r="G1417" s="160"/>
      <c r="H1417" s="160"/>
      <c r="I1417" s="160">
        <f>IF($I$1354&gt;0,PPMT('Assumptions (Hydro)'!$V$6,Model!W$1,'Assumptions (Hydro)'!$V$9,'Assumptions (Hydro)'!$V$4*Model!$I$1354*AVERAGE('Assumptions (Hydro)'!$E$2:$G$2)/10^9),0)</f>
        <v>0</v>
      </c>
      <c r="J1417" s="160">
        <f>IF($I$1354&gt;0,PPMT('Assumptions (Hydro)'!$V$6,Model!X$1,'Assumptions (Hydro)'!$V$9,'Assumptions (Hydro)'!$V$4*Model!$I$1354*AVERAGE('Assumptions (Hydro)'!$E$2:$G$2)/10^9),0)</f>
        <v>0</v>
      </c>
      <c r="K1417" s="160">
        <f>IF($I$1354&gt;0,PPMT('Assumptions (Hydro)'!$V$6,Model!Y$1,'Assumptions (Hydro)'!$V$9,'Assumptions (Hydro)'!$V$4*Model!$I$1354*AVERAGE('Assumptions (Hydro)'!$E$2:$G$2)/10^9),0)</f>
        <v>0</v>
      </c>
      <c r="L1417" s="160">
        <f>IF($I$1354&gt;0,PPMT('Assumptions (Hydro)'!$V$6,Model!Z$1,'Assumptions (Hydro)'!$V$9,'Assumptions (Hydro)'!$V$4*Model!$I$1354*AVERAGE('Assumptions (Hydro)'!$E$2:$G$2)/10^9),0)</f>
        <v>0</v>
      </c>
      <c r="M1417" s="160">
        <f>IF($I$1354&gt;0,PPMT('Assumptions (Hydro)'!$V$6,Model!AA$1,'Assumptions (Hydro)'!$V$9,'Assumptions (Hydro)'!$V$4*Model!$I$1354*AVERAGE('Assumptions (Hydro)'!$E$2:$G$2)/10^9),0)</f>
        <v>0</v>
      </c>
      <c r="N1417" s="160">
        <f>IF($I$1354&gt;0,PPMT('Assumptions (Hydro)'!$V$6,Model!AB$1,'Assumptions (Hydro)'!$V$9,'Assumptions (Hydro)'!$V$4*Model!$I$1354*AVERAGE('Assumptions (Hydro)'!$E$2:$G$2)/10^9),0)</f>
        <v>0</v>
      </c>
      <c r="O1417" s="160">
        <f>IF($I$1354&gt;0,PPMT('Assumptions (Hydro)'!$V$6,Model!AC$1,'Assumptions (Hydro)'!$V$9,'Assumptions (Hydro)'!$V$4*Model!$I$1354*AVERAGE('Assumptions (Hydro)'!$E$2:$G$2)/10^9),0)</f>
        <v>0</v>
      </c>
      <c r="P1417" s="160">
        <f>IF($I$1354&gt;0,PPMT('Assumptions (Hydro)'!$V$6,Model!AD$1,'Assumptions (Hydro)'!$V$9,'Assumptions (Hydro)'!$V$4*Model!$I$1354*AVERAGE('Assumptions (Hydro)'!$E$2:$G$2)/10^9),0)</f>
        <v>0</v>
      </c>
      <c r="Q1417" s="160">
        <f>IF($I$1354&gt;0,PPMT('Assumptions (Hydro)'!$V$6,Model!AE$1,'Assumptions (Hydro)'!$V$9,'Assumptions (Hydro)'!$V$4*Model!$I$1354*AVERAGE('Assumptions (Hydro)'!$E$2:$G$2)/10^9),0)</f>
        <v>0</v>
      </c>
      <c r="R1417" s="160">
        <f>IF($I$1354&gt;0,PPMT('Assumptions (Hydro)'!$V$6,Model!AF$1,'Assumptions (Hydro)'!$V$9,'Assumptions (Hydro)'!$V$4*Model!$I$1354*AVERAGE('Assumptions (Hydro)'!$E$2:$G$2)/10^9),0)</f>
        <v>0</v>
      </c>
      <c r="S1417" s="160">
        <f>IF($I$1354&gt;0,PPMT('Assumptions (Hydro)'!$V$6,Model!AG$1,'Assumptions (Hydro)'!$V$9,'Assumptions (Hydro)'!$V$4*Model!$I$1354*AVERAGE('Assumptions (Hydro)'!$E$2:$G$2)/10^9),0)</f>
        <v>0</v>
      </c>
      <c r="T1417" s="160">
        <f>IF($I$1354&gt;0,PPMT('Assumptions (Hydro)'!$V$6,Model!AH$1,'Assumptions (Hydro)'!$V$9,'Assumptions (Hydro)'!$V$4*Model!$I$1354*AVERAGE('Assumptions (Hydro)'!$E$2:$G$2)/10^9),0)</f>
        <v>0</v>
      </c>
      <c r="U1417" s="160">
        <f>IF($I$1354&gt;0,PPMT('Assumptions (Hydro)'!$V$6,Model!AI$1,'Assumptions (Hydro)'!$V$9,'Assumptions (Hydro)'!$V$4*Model!$I$1354*AVERAGE('Assumptions (Hydro)'!$E$2:$G$2)/10^9),0)</f>
        <v>0</v>
      </c>
      <c r="V1417" s="160">
        <f>IF($I$1354&gt;0,PPMT('Assumptions (Hydro)'!$V$6,Model!AJ$1,'Assumptions (Hydro)'!$V$9,'Assumptions (Hydro)'!$V$4*Model!$I$1354*AVERAGE('Assumptions (Hydro)'!$E$2:$G$2)/10^9),0)</f>
        <v>0</v>
      </c>
      <c r="W1417" s="160">
        <f>IF($I$1354&gt;0,PPMT('Assumptions (Hydro)'!$V$6,Model!AK$1,'Assumptions (Hydro)'!$V$9,'Assumptions (Hydro)'!$V$4*Model!$I$1354*AVERAGE('Assumptions (Hydro)'!$E$2:$G$2)/10^9),0)</f>
        <v>0</v>
      </c>
      <c r="X1417" s="160"/>
      <c r="Y1417" s="160"/>
      <c r="Z1417" s="160"/>
      <c r="AA1417" s="160"/>
      <c r="AB1417" s="160"/>
      <c r="AC1417" s="160"/>
      <c r="AD1417" s="160"/>
      <c r="AE1417" s="160"/>
      <c r="AF1417" s="160"/>
      <c r="AG1417" s="160"/>
    </row>
    <row r="1418" ht="15.75" hidden="1" customHeight="1" outlineLevel="1">
      <c r="A1418" s="273"/>
      <c r="B1418" s="38"/>
      <c r="C1418" s="160"/>
      <c r="D1418" s="160"/>
      <c r="E1418" s="160"/>
      <c r="F1418" s="160"/>
      <c r="G1418" s="160"/>
      <c r="H1418" s="160"/>
      <c r="I1418" s="160"/>
      <c r="J1418" s="160">
        <f>IF($J$1354&gt;0,PPMT('Assumptions (Hydro)'!$V$6,Model!W$1,'Assumptions (Hydro)'!$V$9,'Assumptions (Hydro)'!$V$4*Model!$J$1354*AVERAGE('Assumptions (Hydro)'!$F$2:$H$2)/10^9),0)</f>
        <v>0</v>
      </c>
      <c r="K1418" s="160">
        <f>IF($J$1354&gt;0,PPMT('Assumptions (Hydro)'!$V$6,Model!X$1,'Assumptions (Hydro)'!$V$9,'Assumptions (Hydro)'!$V$4*Model!$J$1354*AVERAGE('Assumptions (Hydro)'!$F$2:$H$2)/10^9),0)</f>
        <v>0</v>
      </c>
      <c r="L1418" s="160">
        <f>IF($J$1354&gt;0,PPMT('Assumptions (Hydro)'!$V$6,Model!Y$1,'Assumptions (Hydro)'!$V$9,'Assumptions (Hydro)'!$V$4*Model!$J$1354*AVERAGE('Assumptions (Hydro)'!$F$2:$H$2)/10^9),0)</f>
        <v>0</v>
      </c>
      <c r="M1418" s="160">
        <f>IF($J$1354&gt;0,PPMT('Assumptions (Hydro)'!$V$6,Model!Z$1,'Assumptions (Hydro)'!$V$9,'Assumptions (Hydro)'!$V$4*Model!$J$1354*AVERAGE('Assumptions (Hydro)'!$F$2:$H$2)/10^9),0)</f>
        <v>0</v>
      </c>
      <c r="N1418" s="160">
        <f>IF($J$1354&gt;0,PPMT('Assumptions (Hydro)'!$V$6,Model!AA$1,'Assumptions (Hydro)'!$V$9,'Assumptions (Hydro)'!$V$4*Model!$J$1354*AVERAGE('Assumptions (Hydro)'!$F$2:$H$2)/10^9),0)</f>
        <v>0</v>
      </c>
      <c r="O1418" s="160">
        <f>IF($J$1354&gt;0,PPMT('Assumptions (Hydro)'!$V$6,Model!AB$1,'Assumptions (Hydro)'!$V$9,'Assumptions (Hydro)'!$V$4*Model!$J$1354*AVERAGE('Assumptions (Hydro)'!$F$2:$H$2)/10^9),0)</f>
        <v>0</v>
      </c>
      <c r="P1418" s="160">
        <f>IF($J$1354&gt;0,PPMT('Assumptions (Hydro)'!$V$6,Model!AC$1,'Assumptions (Hydro)'!$V$9,'Assumptions (Hydro)'!$V$4*Model!$J$1354*AVERAGE('Assumptions (Hydro)'!$F$2:$H$2)/10^9),0)</f>
        <v>0</v>
      </c>
      <c r="Q1418" s="160">
        <f>IF($J$1354&gt;0,PPMT('Assumptions (Hydro)'!$V$6,Model!AD$1,'Assumptions (Hydro)'!$V$9,'Assumptions (Hydro)'!$V$4*Model!$J$1354*AVERAGE('Assumptions (Hydro)'!$F$2:$H$2)/10^9),0)</f>
        <v>0</v>
      </c>
      <c r="R1418" s="160">
        <f>IF($J$1354&gt;0,PPMT('Assumptions (Hydro)'!$V$6,Model!AE$1,'Assumptions (Hydro)'!$V$9,'Assumptions (Hydro)'!$V$4*Model!$J$1354*AVERAGE('Assumptions (Hydro)'!$F$2:$H$2)/10^9),0)</f>
        <v>0</v>
      </c>
      <c r="S1418" s="160">
        <f>IF($J$1354&gt;0,PPMT('Assumptions (Hydro)'!$V$6,Model!AF$1,'Assumptions (Hydro)'!$V$9,'Assumptions (Hydro)'!$V$4*Model!$J$1354*AVERAGE('Assumptions (Hydro)'!$F$2:$H$2)/10^9),0)</f>
        <v>0</v>
      </c>
      <c r="T1418" s="160">
        <f>IF($J$1354&gt;0,PPMT('Assumptions (Hydro)'!$V$6,Model!AG$1,'Assumptions (Hydro)'!$V$9,'Assumptions (Hydro)'!$V$4*Model!$J$1354*AVERAGE('Assumptions (Hydro)'!$F$2:$H$2)/10^9),0)</f>
        <v>0</v>
      </c>
      <c r="U1418" s="160">
        <f>IF($J$1354&gt;0,PPMT('Assumptions (Hydro)'!$V$6,Model!AH$1,'Assumptions (Hydro)'!$V$9,'Assumptions (Hydro)'!$V$4*Model!$J$1354*AVERAGE('Assumptions (Hydro)'!$F$2:$H$2)/10^9),0)</f>
        <v>0</v>
      </c>
      <c r="V1418" s="160">
        <f>IF($J$1354&gt;0,PPMT('Assumptions (Hydro)'!$V$6,Model!AI$1,'Assumptions (Hydro)'!$V$9,'Assumptions (Hydro)'!$V$4*Model!$J$1354*AVERAGE('Assumptions (Hydro)'!$F$2:$H$2)/10^9),0)</f>
        <v>0</v>
      </c>
      <c r="W1418" s="160">
        <f>IF($J$1354&gt;0,PPMT('Assumptions (Hydro)'!$V$6,Model!AJ$1,'Assumptions (Hydro)'!$V$9,'Assumptions (Hydro)'!$V$4*Model!$J$1354*AVERAGE('Assumptions (Hydro)'!$F$2:$H$2)/10^9),0)</f>
        <v>0</v>
      </c>
      <c r="X1418" s="160">
        <f>IF($J$1354&gt;0,PPMT('Assumptions (Hydro)'!$V$6,Model!AK$1,'Assumptions (Hydro)'!$V$9,'Assumptions (Hydro)'!$V$4*Model!$J$1354*AVERAGE('Assumptions (Hydro)'!$F$2:$H$2)/10^9),0)</f>
        <v>0</v>
      </c>
      <c r="Y1418" s="160"/>
      <c r="Z1418" s="160"/>
      <c r="AA1418" s="160"/>
      <c r="AB1418" s="160"/>
      <c r="AC1418" s="160"/>
      <c r="AD1418" s="160"/>
      <c r="AE1418" s="160"/>
      <c r="AF1418" s="160"/>
      <c r="AG1418" s="160"/>
      <c r="AH1418" s="160"/>
    </row>
    <row r="1419" ht="15.75" hidden="1" customHeight="1" outlineLevel="1">
      <c r="A1419" s="273"/>
      <c r="B1419" s="38"/>
      <c r="C1419" s="160"/>
      <c r="D1419" s="160"/>
      <c r="E1419" s="160"/>
      <c r="F1419" s="160"/>
      <c r="G1419" s="160"/>
      <c r="H1419" s="160"/>
      <c r="I1419" s="160"/>
      <c r="J1419" s="160"/>
      <c r="K1419" s="160">
        <f>IF($K$1354&gt;0,PPMT('Assumptions (Hydro)'!$V$6,Model!W$1,'Assumptions (Hydro)'!$V$9,'Assumptions (Hydro)'!$V$4*Model!$K$1354*AVERAGE('Assumptions (Hydro)'!$G$2:$I$2)/10^9),0)</f>
        <v>0</v>
      </c>
      <c r="L1419" s="160">
        <f>IF($K$1354&gt;0,PPMT('Assumptions (Hydro)'!$V$6,Model!X$1,'Assumptions (Hydro)'!$V$9,'Assumptions (Hydro)'!$V$4*Model!$K$1354*AVERAGE('Assumptions (Hydro)'!$G$2:$I$2)/10^9),0)</f>
        <v>0</v>
      </c>
      <c r="M1419" s="160">
        <f>IF($K$1354&gt;0,PPMT('Assumptions (Hydro)'!$V$6,Model!Y$1,'Assumptions (Hydro)'!$V$9,'Assumptions (Hydro)'!$V$4*Model!$K$1354*AVERAGE('Assumptions (Hydro)'!$G$2:$I$2)/10^9),0)</f>
        <v>0</v>
      </c>
      <c r="N1419" s="160">
        <f>IF($K$1354&gt;0,PPMT('Assumptions (Hydro)'!$V$6,Model!Z$1,'Assumptions (Hydro)'!$V$9,'Assumptions (Hydro)'!$V$4*Model!$K$1354*AVERAGE('Assumptions (Hydro)'!$G$2:$I$2)/10^9),0)</f>
        <v>0</v>
      </c>
      <c r="O1419" s="160">
        <f>IF($K$1354&gt;0,PPMT('Assumptions (Hydro)'!$V$6,Model!AA$1,'Assumptions (Hydro)'!$V$9,'Assumptions (Hydro)'!$V$4*Model!$K$1354*AVERAGE('Assumptions (Hydro)'!$G$2:$I$2)/10^9),0)</f>
        <v>0</v>
      </c>
      <c r="P1419" s="160">
        <f>IF($K$1354&gt;0,PPMT('Assumptions (Hydro)'!$V$6,Model!AB$1,'Assumptions (Hydro)'!$V$9,'Assumptions (Hydro)'!$V$4*Model!$K$1354*AVERAGE('Assumptions (Hydro)'!$G$2:$I$2)/10^9),0)</f>
        <v>0</v>
      </c>
      <c r="Q1419" s="160">
        <f>IF($K$1354&gt;0,PPMT('Assumptions (Hydro)'!$V$6,Model!AC$1,'Assumptions (Hydro)'!$V$9,'Assumptions (Hydro)'!$V$4*Model!$K$1354*AVERAGE('Assumptions (Hydro)'!$G$2:$I$2)/10^9),0)</f>
        <v>0</v>
      </c>
      <c r="R1419" s="160">
        <f>IF($K$1354&gt;0,PPMT('Assumptions (Hydro)'!$V$6,Model!AD$1,'Assumptions (Hydro)'!$V$9,'Assumptions (Hydro)'!$V$4*Model!$K$1354*AVERAGE('Assumptions (Hydro)'!$G$2:$I$2)/10^9),0)</f>
        <v>0</v>
      </c>
      <c r="S1419" s="160">
        <f>IF($K$1354&gt;0,PPMT('Assumptions (Hydro)'!$V$6,Model!AE$1,'Assumptions (Hydro)'!$V$9,'Assumptions (Hydro)'!$V$4*Model!$K$1354*AVERAGE('Assumptions (Hydro)'!$G$2:$I$2)/10^9),0)</f>
        <v>0</v>
      </c>
      <c r="T1419" s="160">
        <f>IF($K$1354&gt;0,PPMT('Assumptions (Hydro)'!$V$6,Model!AF$1,'Assumptions (Hydro)'!$V$9,'Assumptions (Hydro)'!$V$4*Model!$K$1354*AVERAGE('Assumptions (Hydro)'!$G$2:$I$2)/10^9),0)</f>
        <v>0</v>
      </c>
      <c r="U1419" s="160">
        <f>IF($K$1354&gt;0,PPMT('Assumptions (Hydro)'!$V$6,Model!AG$1,'Assumptions (Hydro)'!$V$9,'Assumptions (Hydro)'!$V$4*Model!$K$1354*AVERAGE('Assumptions (Hydro)'!$G$2:$I$2)/10^9),0)</f>
        <v>0</v>
      </c>
      <c r="V1419" s="160">
        <f>IF($K$1354&gt;0,PPMT('Assumptions (Hydro)'!$V$6,Model!AH$1,'Assumptions (Hydro)'!$V$9,'Assumptions (Hydro)'!$V$4*Model!$K$1354*AVERAGE('Assumptions (Hydro)'!$G$2:$I$2)/10^9),0)</f>
        <v>0</v>
      </c>
      <c r="W1419" s="160">
        <f>IF($K$1354&gt;0,PPMT('Assumptions (Hydro)'!$V$6,Model!AI$1,'Assumptions (Hydro)'!$V$9,'Assumptions (Hydro)'!$V$4*Model!$K$1354*AVERAGE('Assumptions (Hydro)'!$G$2:$I$2)/10^9),0)</f>
        <v>0</v>
      </c>
      <c r="X1419" s="160">
        <f>IF($K$1354&gt;0,PPMT('Assumptions (Hydro)'!$V$6,Model!AJ$1,'Assumptions (Hydro)'!$V$9,'Assumptions (Hydro)'!$V$4*Model!$K$1354*AVERAGE('Assumptions (Hydro)'!$G$2:$I$2)/10^9),0)</f>
        <v>0</v>
      </c>
      <c r="Y1419" s="160">
        <f>IF($K$1354&gt;0,PPMT('Assumptions (Hydro)'!$V$6,Model!AK$1,'Assumptions (Hydro)'!$V$9,'Assumptions (Hydro)'!$V$4*Model!$K$1354*AVERAGE('Assumptions (Hydro)'!$G$2:$I$2)/10^9),0)</f>
        <v>0</v>
      </c>
      <c r="Z1419" s="160"/>
      <c r="AA1419" s="160"/>
      <c r="AB1419" s="160"/>
      <c r="AC1419" s="160"/>
      <c r="AD1419" s="160"/>
      <c r="AE1419" s="160"/>
      <c r="AF1419" s="160"/>
      <c r="AG1419" s="160"/>
      <c r="AH1419" s="160"/>
      <c r="AI1419" s="160"/>
    </row>
    <row r="1420" ht="15.75" hidden="1" customHeight="1" outlineLevel="1">
      <c r="A1420" s="273"/>
      <c r="B1420" s="38"/>
      <c r="C1420" s="160"/>
      <c r="D1420" s="160"/>
      <c r="E1420" s="160"/>
      <c r="F1420" s="160"/>
      <c r="G1420" s="160"/>
      <c r="H1420" s="160"/>
      <c r="I1420" s="160"/>
      <c r="J1420" s="160"/>
      <c r="K1420" s="160"/>
      <c r="L1420" s="160">
        <f>IF($L$1354&gt;0,PPMT('Assumptions (Hydro)'!$V$6,Model!W$1,'Assumptions (Hydro)'!$V$9,'Assumptions (Hydro)'!$V$4*Model!$L$1354*AVERAGE('Assumptions (Hydro)'!$H$2:$J$2)/10^9),0)</f>
        <v>0</v>
      </c>
      <c r="M1420" s="160">
        <f>IF($L$1354&gt;0,PPMT('Assumptions (Hydro)'!$V$6,Model!X$1,'Assumptions (Hydro)'!$V$9,'Assumptions (Hydro)'!$V$4*Model!$L$1354*AVERAGE('Assumptions (Hydro)'!$H$2:$J$2)/10^9),0)</f>
        <v>0</v>
      </c>
      <c r="N1420" s="160">
        <f>IF($L$1354&gt;0,PPMT('Assumptions (Hydro)'!$V$6,Model!Y$1,'Assumptions (Hydro)'!$V$9,'Assumptions (Hydro)'!$V$4*Model!$L$1354*AVERAGE('Assumptions (Hydro)'!$H$2:$J$2)/10^9),0)</f>
        <v>0</v>
      </c>
      <c r="O1420" s="160">
        <f>IF($L$1354&gt;0,PPMT('Assumptions (Hydro)'!$V$6,Model!Z$1,'Assumptions (Hydro)'!$V$9,'Assumptions (Hydro)'!$V$4*Model!$L$1354*AVERAGE('Assumptions (Hydro)'!$H$2:$J$2)/10^9),0)</f>
        <v>0</v>
      </c>
      <c r="P1420" s="160">
        <f>IF($L$1354&gt;0,PPMT('Assumptions (Hydro)'!$V$6,Model!AA$1,'Assumptions (Hydro)'!$V$9,'Assumptions (Hydro)'!$V$4*Model!$L$1354*AVERAGE('Assumptions (Hydro)'!$H$2:$J$2)/10^9),0)</f>
        <v>0</v>
      </c>
      <c r="Q1420" s="160">
        <f>IF($L$1354&gt;0,PPMT('Assumptions (Hydro)'!$V$6,Model!AB$1,'Assumptions (Hydro)'!$V$9,'Assumptions (Hydro)'!$V$4*Model!$L$1354*AVERAGE('Assumptions (Hydro)'!$H$2:$J$2)/10^9),0)</f>
        <v>0</v>
      </c>
      <c r="R1420" s="160">
        <f>IF($L$1354&gt;0,PPMT('Assumptions (Hydro)'!$V$6,Model!AC$1,'Assumptions (Hydro)'!$V$9,'Assumptions (Hydro)'!$V$4*Model!$L$1354*AVERAGE('Assumptions (Hydro)'!$H$2:$J$2)/10^9),0)</f>
        <v>0</v>
      </c>
      <c r="S1420" s="160">
        <f>IF($L$1354&gt;0,PPMT('Assumptions (Hydro)'!$V$6,Model!AD$1,'Assumptions (Hydro)'!$V$9,'Assumptions (Hydro)'!$V$4*Model!$L$1354*AVERAGE('Assumptions (Hydro)'!$H$2:$J$2)/10^9),0)</f>
        <v>0</v>
      </c>
      <c r="T1420" s="160">
        <f>IF($L$1354&gt;0,PPMT('Assumptions (Hydro)'!$V$6,Model!AE$1,'Assumptions (Hydro)'!$V$9,'Assumptions (Hydro)'!$V$4*Model!$L$1354*AVERAGE('Assumptions (Hydro)'!$H$2:$J$2)/10^9),0)</f>
        <v>0</v>
      </c>
      <c r="U1420" s="160">
        <f>IF($L$1354&gt;0,PPMT('Assumptions (Hydro)'!$V$6,Model!AF$1,'Assumptions (Hydro)'!$V$9,'Assumptions (Hydro)'!$V$4*Model!$L$1354*AVERAGE('Assumptions (Hydro)'!$H$2:$J$2)/10^9),0)</f>
        <v>0</v>
      </c>
      <c r="V1420" s="160">
        <f>IF($L$1354&gt;0,PPMT('Assumptions (Hydro)'!$V$6,Model!AG$1,'Assumptions (Hydro)'!$V$9,'Assumptions (Hydro)'!$V$4*Model!$L$1354*AVERAGE('Assumptions (Hydro)'!$H$2:$J$2)/10^9),0)</f>
        <v>0</v>
      </c>
      <c r="W1420" s="160">
        <f>IF($L$1354&gt;0,PPMT('Assumptions (Hydro)'!$V$6,Model!AH$1,'Assumptions (Hydro)'!$V$9,'Assumptions (Hydro)'!$V$4*Model!$L$1354*AVERAGE('Assumptions (Hydro)'!$H$2:$J$2)/10^9),0)</f>
        <v>0</v>
      </c>
      <c r="X1420" s="160">
        <f>IF($L$1354&gt;0,PPMT('Assumptions (Hydro)'!$V$6,Model!AI$1,'Assumptions (Hydro)'!$V$9,'Assumptions (Hydro)'!$V$4*Model!$L$1354*AVERAGE('Assumptions (Hydro)'!$H$2:$J$2)/10^9),0)</f>
        <v>0</v>
      </c>
      <c r="Y1420" s="160">
        <f>IF($L$1354&gt;0,PPMT('Assumptions (Hydro)'!$V$6,Model!AJ$1,'Assumptions (Hydro)'!$V$9,'Assumptions (Hydro)'!$V$4*Model!$L$1354*AVERAGE('Assumptions (Hydro)'!$H$2:$J$2)/10^9),0)</f>
        <v>0</v>
      </c>
      <c r="Z1420" s="160">
        <f>IF($L$1354&gt;0,PPMT('Assumptions (Hydro)'!$V$6,Model!AK$1,'Assumptions (Hydro)'!$V$9,'Assumptions (Hydro)'!$V$4*Model!$L$1354*AVERAGE('Assumptions (Hydro)'!$H$2:$J$2)/10^9),0)</f>
        <v>0</v>
      </c>
      <c r="AA1420" s="160"/>
      <c r="AB1420" s="160"/>
      <c r="AC1420" s="160"/>
      <c r="AD1420" s="160"/>
      <c r="AE1420" s="160"/>
      <c r="AF1420" s="160"/>
      <c r="AG1420" s="160"/>
      <c r="AH1420" s="160"/>
      <c r="AI1420" s="160"/>
      <c r="AJ1420" s="160"/>
    </row>
    <row r="1421" ht="15.75" hidden="1" customHeight="1" outlineLevel="1">
      <c r="A1421" s="273"/>
      <c r="B1421" s="38"/>
      <c r="C1421" s="160"/>
      <c r="D1421" s="160"/>
      <c r="E1421" s="160"/>
      <c r="F1421" s="160"/>
      <c r="G1421" s="160"/>
      <c r="H1421" s="160"/>
      <c r="I1421" s="160"/>
      <c r="J1421" s="160"/>
      <c r="K1421" s="160"/>
      <c r="L1421" s="160"/>
      <c r="M1421" s="160">
        <f>IF($M$1354&gt;0,PPMT('Assumptions (Hydro)'!$V$6,Model!W$1,'Assumptions (Hydro)'!$V$9,'Assumptions (Hydro)'!$V$4*Model!$M$1354*AVERAGE('Assumptions (Hydro)'!$I$2:$K$2)/10^9),0)</f>
        <v>0</v>
      </c>
      <c r="N1421" s="160">
        <f>IF($M$1354&gt;0,PPMT('Assumptions (Hydro)'!$V$6,Model!X$1,'Assumptions (Hydro)'!$V$9,'Assumptions (Hydro)'!$V$4*Model!$M$1354*AVERAGE('Assumptions (Hydro)'!$I$2:$K$2)/10^9),0)</f>
        <v>0</v>
      </c>
      <c r="O1421" s="160">
        <f>IF($M$1354&gt;0,PPMT('Assumptions (Hydro)'!$V$6,Model!Y$1,'Assumptions (Hydro)'!$V$9,'Assumptions (Hydro)'!$V$4*Model!$M$1354*AVERAGE('Assumptions (Hydro)'!$I$2:$K$2)/10^9),0)</f>
        <v>0</v>
      </c>
      <c r="P1421" s="160">
        <f>IF($M$1354&gt;0,PPMT('Assumptions (Hydro)'!$V$6,Model!Z$1,'Assumptions (Hydro)'!$V$9,'Assumptions (Hydro)'!$V$4*Model!$M$1354*AVERAGE('Assumptions (Hydro)'!$I$2:$K$2)/10^9),0)</f>
        <v>0</v>
      </c>
      <c r="Q1421" s="160">
        <f>IF($M$1354&gt;0,PPMT('Assumptions (Hydro)'!$V$6,Model!AA$1,'Assumptions (Hydro)'!$V$9,'Assumptions (Hydro)'!$V$4*Model!$M$1354*AVERAGE('Assumptions (Hydro)'!$I$2:$K$2)/10^9),0)</f>
        <v>0</v>
      </c>
      <c r="R1421" s="160">
        <f>IF($M$1354&gt;0,PPMT('Assumptions (Hydro)'!$V$6,Model!AB$1,'Assumptions (Hydro)'!$V$9,'Assumptions (Hydro)'!$V$4*Model!$M$1354*AVERAGE('Assumptions (Hydro)'!$I$2:$K$2)/10^9),0)</f>
        <v>0</v>
      </c>
      <c r="S1421" s="160">
        <f>IF($M$1354&gt;0,PPMT('Assumptions (Hydro)'!$V$6,Model!AC$1,'Assumptions (Hydro)'!$V$9,'Assumptions (Hydro)'!$V$4*Model!$M$1354*AVERAGE('Assumptions (Hydro)'!$I$2:$K$2)/10^9),0)</f>
        <v>0</v>
      </c>
      <c r="T1421" s="160">
        <f>IF($M$1354&gt;0,PPMT('Assumptions (Hydro)'!$V$6,Model!AD$1,'Assumptions (Hydro)'!$V$9,'Assumptions (Hydro)'!$V$4*Model!$M$1354*AVERAGE('Assumptions (Hydro)'!$I$2:$K$2)/10^9),0)</f>
        <v>0</v>
      </c>
      <c r="U1421" s="160">
        <f>IF($M$1354&gt;0,PPMT('Assumptions (Hydro)'!$V$6,Model!AE$1,'Assumptions (Hydro)'!$V$9,'Assumptions (Hydro)'!$V$4*Model!$M$1354*AVERAGE('Assumptions (Hydro)'!$I$2:$K$2)/10^9),0)</f>
        <v>0</v>
      </c>
      <c r="V1421" s="160">
        <f>IF($M$1354&gt;0,PPMT('Assumptions (Hydro)'!$V$6,Model!AF$1,'Assumptions (Hydro)'!$V$9,'Assumptions (Hydro)'!$V$4*Model!$M$1354*AVERAGE('Assumptions (Hydro)'!$I$2:$K$2)/10^9),0)</f>
        <v>0</v>
      </c>
      <c r="W1421" s="160">
        <f>IF($M$1354&gt;0,PPMT('Assumptions (Hydro)'!$V$6,Model!AG$1,'Assumptions (Hydro)'!$V$9,'Assumptions (Hydro)'!$V$4*Model!$M$1354*AVERAGE('Assumptions (Hydro)'!$I$2:$K$2)/10^9),0)</f>
        <v>0</v>
      </c>
      <c r="X1421" s="160">
        <f>IF($M$1354&gt;0,PPMT('Assumptions (Hydro)'!$V$6,Model!AH$1,'Assumptions (Hydro)'!$V$9,'Assumptions (Hydro)'!$V$4*Model!$M$1354*AVERAGE('Assumptions (Hydro)'!$I$2:$K$2)/10^9),0)</f>
        <v>0</v>
      </c>
      <c r="Y1421" s="160">
        <f>IF($M$1354&gt;0,PPMT('Assumptions (Hydro)'!$V$6,Model!AI$1,'Assumptions (Hydro)'!$V$9,'Assumptions (Hydro)'!$V$4*Model!$M$1354*AVERAGE('Assumptions (Hydro)'!$I$2:$K$2)/10^9),0)</f>
        <v>0</v>
      </c>
      <c r="Z1421" s="160">
        <f>IF($M$1354&gt;0,PPMT('Assumptions (Hydro)'!$V$6,Model!AJ$1,'Assumptions (Hydro)'!$V$9,'Assumptions (Hydro)'!$V$4*Model!$M$1354*AVERAGE('Assumptions (Hydro)'!$I$2:$K$2)/10^9),0)</f>
        <v>0</v>
      </c>
      <c r="AA1421" s="160">
        <f>IF($M$1354&gt;0,PPMT('Assumptions (Hydro)'!$V$6,Model!AK$1,'Assumptions (Hydro)'!$V$9,'Assumptions (Hydro)'!$V$4*Model!$M$1354*AVERAGE('Assumptions (Hydro)'!$I$2:$K$2)/10^9),0)</f>
        <v>0</v>
      </c>
      <c r="AB1421" s="160"/>
      <c r="AC1421" s="160"/>
      <c r="AD1421" s="160"/>
      <c r="AE1421" s="160"/>
      <c r="AF1421" s="160"/>
      <c r="AG1421" s="160"/>
      <c r="AH1421" s="160"/>
      <c r="AI1421" s="160"/>
      <c r="AJ1421" s="160"/>
      <c r="AK1421" s="160"/>
    </row>
    <row r="1422" ht="15.75" hidden="1" customHeight="1" outlineLevel="1">
      <c r="A1422" s="273"/>
      <c r="B1422" s="38"/>
      <c r="C1422" s="160"/>
      <c r="D1422" s="160"/>
      <c r="E1422" s="160"/>
      <c r="F1422" s="160"/>
      <c r="G1422" s="160"/>
      <c r="H1422" s="160"/>
      <c r="I1422" s="160"/>
      <c r="J1422" s="160"/>
      <c r="K1422" s="160"/>
      <c r="L1422" s="160"/>
      <c r="M1422" s="160"/>
      <c r="N1422" s="177">
        <f>IF($N$1354&gt;0,PPMT('Assumptions (Hydro)'!$V$6,Model!W$1,'Assumptions (Hydro)'!$V$9,'Assumptions (Hydro)'!$V$4*Model!$N$1354*AVERAGE('Assumptions (Hydro)'!$J$2:$L$2)/10^9),0)</f>
        <v>-0.0001143780152</v>
      </c>
      <c r="O1422" s="177">
        <f>IF($N$1354&gt;0,PPMT('Assumptions (Hydro)'!$V$6,Model!X$1,'Assumptions (Hydro)'!$V$9,'Assumptions (Hydro)'!$V$4*Model!$N$1354*AVERAGE('Assumptions (Hydro)'!$J$2:$L$2)/10^9),0)</f>
        <v>-0.000119810971</v>
      </c>
      <c r="P1422" s="177">
        <f>IF($N$1354&gt;0,PPMT('Assumptions (Hydro)'!$V$6,Model!Y$1,'Assumptions (Hydro)'!$V$9,'Assumptions (Hydro)'!$V$4*Model!$N$1354*AVERAGE('Assumptions (Hydro)'!$J$2:$L$2)/10^9),0)</f>
        <v>-0.0001255019921</v>
      </c>
      <c r="Q1422" s="177">
        <f>IF($N$1354&gt;0,PPMT('Assumptions (Hydro)'!$V$6,Model!Z$1,'Assumptions (Hydro)'!$V$9,'Assumptions (Hydro)'!$V$4*Model!$N$1354*AVERAGE('Assumptions (Hydro)'!$J$2:$L$2)/10^9),0)</f>
        <v>-0.0001314633367</v>
      </c>
      <c r="R1422" s="177">
        <f>IF($N$1354&gt;0,PPMT('Assumptions (Hydro)'!$V$6,Model!AA$1,'Assumptions (Hydro)'!$V$9,'Assumptions (Hydro)'!$V$4*Model!$N$1354*AVERAGE('Assumptions (Hydro)'!$J$2:$L$2)/10^9),0)</f>
        <v>-0.0001377078452</v>
      </c>
      <c r="S1422" s="177">
        <f>IF($N$1354&gt;0,PPMT('Assumptions (Hydro)'!$V$6,Model!AB$1,'Assumptions (Hydro)'!$V$9,'Assumptions (Hydro)'!$V$4*Model!$N$1354*AVERAGE('Assumptions (Hydro)'!$J$2:$L$2)/10^9),0)</f>
        <v>-0.0001442489678</v>
      </c>
      <c r="T1422" s="177">
        <f>IF($N$1354&gt;0,PPMT('Assumptions (Hydro)'!$V$6,Model!AC$1,'Assumptions (Hydro)'!$V$9,'Assumptions (Hydro)'!$V$4*Model!$N$1354*AVERAGE('Assumptions (Hydro)'!$J$2:$L$2)/10^9),0)</f>
        <v>-0.0001511007938</v>
      </c>
      <c r="U1422" s="177">
        <f>IF($N$1354&gt;0,PPMT('Assumptions (Hydro)'!$V$6,Model!AD$1,'Assumptions (Hydro)'!$V$9,'Assumptions (Hydro)'!$V$4*Model!$N$1354*AVERAGE('Assumptions (Hydro)'!$J$2:$L$2)/10^9),0)</f>
        <v>-0.0001582780815</v>
      </c>
      <c r="V1422" s="177">
        <f>IF($N$1354&gt;0,PPMT('Assumptions (Hydro)'!$V$6,Model!AE$1,'Assumptions (Hydro)'!$V$9,'Assumptions (Hydro)'!$V$4*Model!$N$1354*AVERAGE('Assumptions (Hydro)'!$J$2:$L$2)/10^9),0)</f>
        <v>-0.0001657962904</v>
      </c>
      <c r="W1422" s="177">
        <f>IF($N$1354&gt;0,PPMT('Assumptions (Hydro)'!$V$6,Model!AF$1,'Assumptions (Hydro)'!$V$9,'Assumptions (Hydro)'!$V$4*Model!$N$1354*AVERAGE('Assumptions (Hydro)'!$J$2:$L$2)/10^9),0)</f>
        <v>-0.0001736716142</v>
      </c>
      <c r="X1422" s="177">
        <f>IF($N$1354&gt;0,PPMT('Assumptions (Hydro)'!$V$6,Model!AG$1,'Assumptions (Hydro)'!$V$9,'Assumptions (Hydro)'!$V$4*Model!$N$1354*AVERAGE('Assumptions (Hydro)'!$J$2:$L$2)/10^9),0)</f>
        <v>-0.0001819210159</v>
      </c>
      <c r="Y1422" s="177">
        <f>IF($N$1354&gt;0,PPMT('Assumptions (Hydro)'!$V$6,Model!AH$1,'Assumptions (Hydro)'!$V$9,'Assumptions (Hydro)'!$V$4*Model!$N$1354*AVERAGE('Assumptions (Hydro)'!$J$2:$L$2)/10^9),0)</f>
        <v>-0.0001905622641</v>
      </c>
      <c r="Z1422" s="177">
        <f>IF($N$1354&gt;0,PPMT('Assumptions (Hydro)'!$V$6,Model!AI$1,'Assumptions (Hydro)'!$V$9,'Assumptions (Hydro)'!$V$4*Model!$N$1354*AVERAGE('Assumptions (Hydro)'!$J$2:$L$2)/10^9),0)</f>
        <v>-0.0001996139717</v>
      </c>
      <c r="AA1422" s="177">
        <f>IF($N$1354&gt;0,PPMT('Assumptions (Hydro)'!$V$6,Model!AJ$1,'Assumptions (Hydro)'!$V$9,'Assumptions (Hydro)'!$V$4*Model!$N$1354*AVERAGE('Assumptions (Hydro)'!$J$2:$L$2)/10^9),0)</f>
        <v>-0.0002090956353</v>
      </c>
      <c r="AB1422" s="177">
        <f>IF($N$1354&gt;0,PPMT('Assumptions (Hydro)'!$V$6,Model!AK$1,'Assumptions (Hydro)'!$V$9,'Assumptions (Hydro)'!$V$4*Model!$N$1354*AVERAGE('Assumptions (Hydro)'!$J$2:$L$2)/10^9),0)</f>
        <v>-0.000219027678</v>
      </c>
      <c r="AC1422" s="177"/>
      <c r="AD1422" s="177"/>
      <c r="AE1422" s="177"/>
      <c r="AF1422" s="177"/>
      <c r="AG1422" s="177"/>
      <c r="AH1422" s="177"/>
      <c r="AI1422" s="177"/>
      <c r="AJ1422" s="177"/>
      <c r="AK1422" s="177"/>
      <c r="AL1422" s="177"/>
    </row>
    <row r="1423" ht="15.75" hidden="1" customHeight="1" outlineLevel="1">
      <c r="A1423" s="273"/>
      <c r="B1423" s="38"/>
      <c r="C1423" s="160"/>
      <c r="D1423" s="160"/>
      <c r="E1423" s="160"/>
      <c r="F1423" s="160"/>
      <c r="G1423" s="160"/>
      <c r="H1423" s="160"/>
      <c r="I1423" s="160"/>
      <c r="J1423" s="160"/>
      <c r="K1423" s="160"/>
      <c r="L1423" s="160"/>
      <c r="M1423" s="160"/>
      <c r="N1423" s="160"/>
      <c r="O1423" s="160">
        <f>IF($O$1354&gt;0,PPMT('Assumptions (Hydro)'!$V$6,Model!W$1,'Assumptions (Hydro)'!$V$9,'Assumptions (Hydro)'!$V$4*Model!$O$1354*AVERAGE('Assumptions (Hydro)'!$K$2:$M$2)/10^9),0)</f>
        <v>-0.005998694629</v>
      </c>
      <c r="P1423" s="160">
        <f>IF($O$1354&gt;0,PPMT('Assumptions (Hydro)'!$V$6,Model!X$1,'Assumptions (Hydro)'!$V$9,'Assumptions (Hydro)'!$V$4*Model!$O$1354*AVERAGE('Assumptions (Hydro)'!$K$2:$M$2)/10^9),0)</f>
        <v>-0.006283632624</v>
      </c>
      <c r="Q1423" s="160">
        <f>IF($O$1354&gt;0,PPMT('Assumptions (Hydro)'!$V$6,Model!Y$1,'Assumptions (Hydro)'!$V$9,'Assumptions (Hydro)'!$V$4*Model!$O$1354*AVERAGE('Assumptions (Hydro)'!$K$2:$M$2)/10^9),0)</f>
        <v>-0.006582105174</v>
      </c>
      <c r="R1423" s="160">
        <f>IF($O$1354&gt;0,PPMT('Assumptions (Hydro)'!$V$6,Model!Z$1,'Assumptions (Hydro)'!$V$9,'Assumptions (Hydro)'!$V$4*Model!$O$1354*AVERAGE('Assumptions (Hydro)'!$K$2:$M$2)/10^9),0)</f>
        <v>-0.006894755169</v>
      </c>
      <c r="S1423" s="160">
        <f>IF($O$1354&gt;0,PPMT('Assumptions (Hydro)'!$V$6,Model!AA$1,'Assumptions (Hydro)'!$V$9,'Assumptions (Hydro)'!$V$4*Model!$O$1354*AVERAGE('Assumptions (Hydro)'!$K$2:$M$2)/10^9),0)</f>
        <v>-0.00722225604</v>
      </c>
      <c r="T1423" s="160">
        <f>IF($O$1354&gt;0,PPMT('Assumptions (Hydro)'!$V$6,Model!AB$1,'Assumptions (Hydro)'!$V$9,'Assumptions (Hydro)'!$V$4*Model!$O$1354*AVERAGE('Assumptions (Hydro)'!$K$2:$M$2)/10^9),0)</f>
        <v>-0.007565313202</v>
      </c>
      <c r="U1423" s="160">
        <f>IF($O$1354&gt;0,PPMT('Assumptions (Hydro)'!$V$6,Model!AC$1,'Assumptions (Hydro)'!$V$9,'Assumptions (Hydro)'!$V$4*Model!$O$1354*AVERAGE('Assumptions (Hydro)'!$K$2:$M$2)/10^9),0)</f>
        <v>-0.007924665579</v>
      </c>
      <c r="V1423" s="160">
        <f>IF($O$1354&gt;0,PPMT('Assumptions (Hydro)'!$V$6,Model!AD$1,'Assumptions (Hydro)'!$V$9,'Assumptions (Hydro)'!$V$4*Model!$O$1354*AVERAGE('Assumptions (Hydro)'!$K$2:$M$2)/10^9),0)</f>
        <v>-0.008301087194</v>
      </c>
      <c r="W1423" s="160">
        <f>IF($O$1354&gt;0,PPMT('Assumptions (Hydro)'!$V$6,Model!AE$1,'Assumptions (Hydro)'!$V$9,'Assumptions (Hydro)'!$V$4*Model!$O$1354*AVERAGE('Assumptions (Hydro)'!$K$2:$M$2)/10^9),0)</f>
        <v>-0.008695388836</v>
      </c>
      <c r="X1423" s="160">
        <f>IF($O$1354&gt;0,PPMT('Assumptions (Hydro)'!$V$6,Model!AF$1,'Assumptions (Hydro)'!$V$9,'Assumptions (Hydro)'!$V$4*Model!$O$1354*AVERAGE('Assumptions (Hydro)'!$K$2:$M$2)/10^9),0)</f>
        <v>-0.009108419805</v>
      </c>
      <c r="Y1423" s="160">
        <f>IF($O$1354&gt;0,PPMT('Assumptions (Hydro)'!$V$6,Model!AG$1,'Assumptions (Hydro)'!$V$9,'Assumptions (Hydro)'!$V$4*Model!$O$1354*AVERAGE('Assumptions (Hydro)'!$K$2:$M$2)/10^9),0)</f>
        <v>-0.009541069746</v>
      </c>
      <c r="Z1423" s="160">
        <f>IF($O$1354&gt;0,PPMT('Assumptions (Hydro)'!$V$6,Model!AH$1,'Assumptions (Hydro)'!$V$9,'Assumptions (Hydro)'!$V$4*Model!$O$1354*AVERAGE('Assumptions (Hydro)'!$K$2:$M$2)/10^9),0)</f>
        <v>-0.009994270559</v>
      </c>
      <c r="AA1423" s="160">
        <f>IF($O$1354&gt;0,PPMT('Assumptions (Hydro)'!$V$6,Model!AI$1,'Assumptions (Hydro)'!$V$9,'Assumptions (Hydro)'!$V$4*Model!$O$1354*AVERAGE('Assumptions (Hydro)'!$K$2:$M$2)/10^9),0)</f>
        <v>-0.01046899841</v>
      </c>
      <c r="AB1423" s="160">
        <f>IF($O$1354&gt;0,PPMT('Assumptions (Hydro)'!$V$6,Model!AJ$1,'Assumptions (Hydro)'!$V$9,'Assumptions (Hydro)'!$V$4*Model!$O$1354*AVERAGE('Assumptions (Hydro)'!$K$2:$M$2)/10^9),0)</f>
        <v>-0.01096627584</v>
      </c>
      <c r="AC1423" s="160">
        <f>IF($O$1354&gt;0,PPMT('Assumptions (Hydro)'!$V$6,Model!AK$1,'Assumptions (Hydro)'!$V$9,'Assumptions (Hydro)'!$V$4*Model!$O$1354*AVERAGE('Assumptions (Hydro)'!$K$2:$M$2)/10^9),0)</f>
        <v>-0.01148717394</v>
      </c>
      <c r="AD1423" s="160"/>
      <c r="AE1423" s="160"/>
      <c r="AF1423" s="160"/>
      <c r="AG1423" s="160"/>
      <c r="AH1423" s="160"/>
      <c r="AI1423" s="160"/>
      <c r="AJ1423" s="160"/>
      <c r="AK1423" s="160"/>
      <c r="AL1423" s="160"/>
      <c r="AM1423" s="160"/>
    </row>
    <row r="1424" ht="15.75" hidden="1" customHeight="1" outlineLevel="1">
      <c r="A1424" s="273"/>
      <c r="B1424" s="38"/>
      <c r="C1424" s="160"/>
      <c r="D1424" s="160"/>
      <c r="E1424" s="160"/>
      <c r="F1424" s="160"/>
      <c r="G1424" s="160"/>
      <c r="H1424" s="160"/>
      <c r="I1424" s="160"/>
      <c r="J1424" s="160"/>
      <c r="K1424" s="160"/>
      <c r="L1424" s="160"/>
      <c r="M1424" s="160"/>
      <c r="N1424" s="160"/>
      <c r="O1424" s="160"/>
      <c r="P1424" s="177">
        <f>IF($P$1354&gt;0,PPMT('Assumptions (Hydro)'!$V$6,Model!W$1,'Assumptions (Hydro)'!$V$9,'Assumptions (Hydro)'!$V$4*Model!$P$1354*AVERAGE('Assumptions (Hydro)'!$L$2:$N$2)/10^9),0)</f>
        <v>-0.002014493631</v>
      </c>
      <c r="Q1424" s="177">
        <f>IF($P$1354&gt;0,PPMT('Assumptions (Hydro)'!$V$6,Model!X$1,'Assumptions (Hydro)'!$V$9,'Assumptions (Hydro)'!$V$4*Model!$P$1354*AVERAGE('Assumptions (Hydro)'!$L$2:$N$2)/10^9),0)</f>
        <v>-0.002110182078</v>
      </c>
      <c r="R1424" s="177">
        <f>IF($P$1354&gt;0,PPMT('Assumptions (Hydro)'!$V$6,Model!Y$1,'Assumptions (Hydro)'!$V$9,'Assumptions (Hydro)'!$V$4*Model!$P$1354*AVERAGE('Assumptions (Hydro)'!$L$2:$N$2)/10^9),0)</f>
        <v>-0.002210415727</v>
      </c>
      <c r="S1424" s="177">
        <f>IF($P$1354&gt;0,PPMT('Assumptions (Hydro)'!$V$6,Model!Z$1,'Assumptions (Hydro)'!$V$9,'Assumptions (Hydro)'!$V$4*Model!$P$1354*AVERAGE('Assumptions (Hydro)'!$L$2:$N$2)/10^9),0)</f>
        <v>-0.002315410474</v>
      </c>
      <c r="T1424" s="177">
        <f>IF($P$1354&gt;0,PPMT('Assumptions (Hydro)'!$V$6,Model!AA$1,'Assumptions (Hydro)'!$V$9,'Assumptions (Hydro)'!$V$4*Model!$P$1354*AVERAGE('Assumptions (Hydro)'!$L$2:$N$2)/10^9),0)</f>
        <v>-0.002425392471</v>
      </c>
      <c r="U1424" s="177">
        <f>IF($P$1354&gt;0,PPMT('Assumptions (Hydro)'!$V$6,Model!AB$1,'Assumptions (Hydro)'!$V$9,'Assumptions (Hydro)'!$V$4*Model!$P$1354*AVERAGE('Assumptions (Hydro)'!$L$2:$N$2)/10^9),0)</f>
        <v>-0.002540598614</v>
      </c>
      <c r="V1424" s="177">
        <f>IF($P$1354&gt;0,PPMT('Assumptions (Hydro)'!$V$6,Model!AC$1,'Assumptions (Hydro)'!$V$9,'Assumptions (Hydro)'!$V$4*Model!$P$1354*AVERAGE('Assumptions (Hydro)'!$L$2:$N$2)/10^9),0)</f>
        <v>-0.002661277048</v>
      </c>
      <c r="W1424" s="177">
        <f>IF($P$1354&gt;0,PPMT('Assumptions (Hydro)'!$V$6,Model!AD$1,'Assumptions (Hydro)'!$V$9,'Assumptions (Hydro)'!$V$4*Model!$P$1354*AVERAGE('Assumptions (Hydro)'!$L$2:$N$2)/10^9),0)</f>
        <v>-0.002787687708</v>
      </c>
      <c r="X1424" s="177">
        <f>IF($P$1354&gt;0,PPMT('Assumptions (Hydro)'!$V$6,Model!AE$1,'Assumptions (Hydro)'!$V$9,'Assumptions (Hydro)'!$V$4*Model!$P$1354*AVERAGE('Assumptions (Hydro)'!$L$2:$N$2)/10^9),0)</f>
        <v>-0.002920102874</v>
      </c>
      <c r="Y1424" s="177">
        <f>IF($P$1354&gt;0,PPMT('Assumptions (Hydro)'!$V$6,Model!AF$1,'Assumptions (Hydro)'!$V$9,'Assumptions (Hydro)'!$V$4*Model!$P$1354*AVERAGE('Assumptions (Hydro)'!$L$2:$N$2)/10^9),0)</f>
        <v>-0.00305880776</v>
      </c>
      <c r="Z1424" s="177">
        <f>IF($P$1354&gt;0,PPMT('Assumptions (Hydro)'!$V$6,Model!AG$1,'Assumptions (Hydro)'!$V$9,'Assumptions (Hydro)'!$V$4*Model!$P$1354*AVERAGE('Assumptions (Hydro)'!$L$2:$N$2)/10^9),0)</f>
        <v>-0.003204101129</v>
      </c>
      <c r="AA1424" s="177">
        <f>IF($P$1354&gt;0,PPMT('Assumptions (Hydro)'!$V$6,Model!AH$1,'Assumptions (Hydro)'!$V$9,'Assumptions (Hydro)'!$V$4*Model!$P$1354*AVERAGE('Assumptions (Hydro)'!$L$2:$N$2)/10^9),0)</f>
        <v>-0.003356295933</v>
      </c>
      <c r="AB1424" s="177">
        <f>IF($P$1354&gt;0,PPMT('Assumptions (Hydro)'!$V$6,Model!AI$1,'Assumptions (Hydro)'!$V$9,'Assumptions (Hydro)'!$V$4*Model!$P$1354*AVERAGE('Assumptions (Hydro)'!$L$2:$N$2)/10^9),0)</f>
        <v>-0.00351571999</v>
      </c>
      <c r="AC1424" s="177">
        <f>IF($P$1354&gt;0,PPMT('Assumptions (Hydro)'!$V$6,Model!AJ$1,'Assumptions (Hydro)'!$V$9,'Assumptions (Hydro)'!$V$4*Model!$P$1354*AVERAGE('Assumptions (Hydro)'!$L$2:$N$2)/10^9),0)</f>
        <v>-0.003682716689</v>
      </c>
      <c r="AD1424" s="177">
        <f>IF($P$1354&gt;0,PPMT('Assumptions (Hydro)'!$V$6,Model!AK$1,'Assumptions (Hydro)'!$V$9,'Assumptions (Hydro)'!$V$4*Model!$P$1354*AVERAGE('Assumptions (Hydro)'!$L$2:$N$2)/10^9),0)</f>
        <v>-0.003857645732</v>
      </c>
      <c r="AE1424" s="177"/>
      <c r="AF1424" s="177"/>
      <c r="AG1424" s="177"/>
      <c r="AH1424" s="177"/>
      <c r="AI1424" s="177"/>
      <c r="AJ1424" s="177"/>
      <c r="AK1424" s="177"/>
      <c r="AL1424" s="177"/>
      <c r="AM1424" s="177"/>
      <c r="AN1424" s="177"/>
    </row>
    <row r="1425" ht="15.75" hidden="1" customHeight="1" outlineLevel="1">
      <c r="A1425" s="273"/>
      <c r="B1425" s="38"/>
      <c r="C1425" s="160"/>
      <c r="D1425" s="160"/>
      <c r="E1425" s="160"/>
      <c r="F1425" s="160"/>
      <c r="G1425" s="160"/>
      <c r="H1425" s="160"/>
      <c r="I1425" s="160"/>
      <c r="J1425" s="160"/>
      <c r="K1425" s="160"/>
      <c r="L1425" s="160"/>
      <c r="M1425" s="160"/>
      <c r="N1425" s="160"/>
      <c r="O1425" s="160"/>
      <c r="P1425" s="179"/>
      <c r="Q1425" s="160">
        <f>IF($Q$1354&gt;0,PPMT('Assumptions (Hydro)'!$V$6,Model!W$1,'Assumptions (Hydro)'!$V$9,'Assumptions (Hydro)'!$V$4*Model!$Q$1354*AVERAGE('Assumptions (Hydro)'!$M$2:$O$2)/10^9),0)</f>
        <v>0</v>
      </c>
      <c r="R1425" s="160">
        <f>IF($Q$1354&gt;0,PPMT('Assumptions (Hydro)'!$V$6,Model!X$1,'Assumptions (Hydro)'!$V$9,'Assumptions (Hydro)'!$V$4*Model!$Q$1354*AVERAGE('Assumptions (Hydro)'!$M$2:$O$2)/10^9),0)</f>
        <v>0</v>
      </c>
      <c r="S1425" s="160">
        <f>IF($Q$1354&gt;0,PPMT('Assumptions (Hydro)'!$V$6,Model!Y$1,'Assumptions (Hydro)'!$V$9,'Assumptions (Hydro)'!$V$4*Model!$Q$1354*AVERAGE('Assumptions (Hydro)'!$M$2:$O$2)/10^9),0)</f>
        <v>0</v>
      </c>
      <c r="T1425" s="160">
        <f>IF($Q$1354&gt;0,PPMT('Assumptions (Hydro)'!$V$6,Model!Z$1,'Assumptions (Hydro)'!$V$9,'Assumptions (Hydro)'!$V$4*Model!$Q$1354*AVERAGE('Assumptions (Hydro)'!$M$2:$O$2)/10^9),0)</f>
        <v>0</v>
      </c>
      <c r="U1425" s="160">
        <f>IF($Q$1354&gt;0,PPMT('Assumptions (Hydro)'!$V$6,Model!AA$1,'Assumptions (Hydro)'!$V$9,'Assumptions (Hydro)'!$V$4*Model!$Q$1354*AVERAGE('Assumptions (Hydro)'!$M$2:$O$2)/10^9),0)</f>
        <v>0</v>
      </c>
      <c r="V1425" s="160">
        <f>IF($Q$1354&gt;0,PPMT('Assumptions (Hydro)'!$V$6,Model!AB$1,'Assumptions (Hydro)'!$V$9,'Assumptions (Hydro)'!$V$4*Model!$Q$1354*AVERAGE('Assumptions (Hydro)'!$M$2:$O$2)/10^9),0)</f>
        <v>0</v>
      </c>
      <c r="W1425" s="160">
        <f>IF($Q$1354&gt;0,PPMT('Assumptions (Hydro)'!$V$6,Model!AC$1,'Assumptions (Hydro)'!$V$9,'Assumptions (Hydro)'!$V$4*Model!$Q$1354*AVERAGE('Assumptions (Hydro)'!$M$2:$O$2)/10^9),0)</f>
        <v>0</v>
      </c>
      <c r="X1425" s="160">
        <f>IF($Q$1354&gt;0,PPMT('Assumptions (Hydro)'!$V$6,Model!AD$1,'Assumptions (Hydro)'!$V$9,'Assumptions (Hydro)'!$V$4*Model!$Q$1354*AVERAGE('Assumptions (Hydro)'!$M$2:$O$2)/10^9),0)</f>
        <v>0</v>
      </c>
      <c r="Y1425" s="160">
        <f>IF($Q$1354&gt;0,PPMT('Assumptions (Hydro)'!$V$6,Model!AE$1,'Assumptions (Hydro)'!$V$9,'Assumptions (Hydro)'!$V$4*Model!$Q$1354*AVERAGE('Assumptions (Hydro)'!$M$2:$O$2)/10^9),0)</f>
        <v>0</v>
      </c>
      <c r="Z1425" s="160">
        <f>IF($Q$1354&gt;0,PPMT('Assumptions (Hydro)'!$V$6,Model!AF$1,'Assumptions (Hydro)'!$V$9,'Assumptions (Hydro)'!$V$4*Model!$Q$1354*AVERAGE('Assumptions (Hydro)'!$M$2:$O$2)/10^9),0)</f>
        <v>0</v>
      </c>
      <c r="AA1425" s="160">
        <f>IF($Q$1354&gt;0,PPMT('Assumptions (Hydro)'!$V$6,Model!AG$1,'Assumptions (Hydro)'!$V$9,'Assumptions (Hydro)'!$V$4*Model!$Q$1354*AVERAGE('Assumptions (Hydro)'!$M$2:$O$2)/10^9),0)</f>
        <v>0</v>
      </c>
      <c r="AB1425" s="160">
        <f>IF($Q$1354&gt;0,PPMT('Assumptions (Hydro)'!$V$6,Model!AH$1,'Assumptions (Hydro)'!$V$9,'Assumptions (Hydro)'!$V$4*Model!$Q$1354*AVERAGE('Assumptions (Hydro)'!$M$2:$O$2)/10^9),0)</f>
        <v>0</v>
      </c>
      <c r="AC1425" s="160">
        <f>IF($Q$1354&gt;0,PPMT('Assumptions (Hydro)'!$V$6,Model!AI$1,'Assumptions (Hydro)'!$V$9,'Assumptions (Hydro)'!$V$4*Model!$Q$1354*AVERAGE('Assumptions (Hydro)'!$M$2:$O$2)/10^9),0)</f>
        <v>0</v>
      </c>
      <c r="AD1425" s="160">
        <f>IF($Q$1354&gt;0,PPMT('Assumptions (Hydro)'!$V$6,Model!AJ$1,'Assumptions (Hydro)'!$V$9,'Assumptions (Hydro)'!$V$4*Model!$Q$1354*AVERAGE('Assumptions (Hydro)'!$M$2:$O$2)/10^9),0)</f>
        <v>0</v>
      </c>
      <c r="AE1425" s="160">
        <f>IF($Q$1354&gt;0,PPMT('Assumptions (Hydro)'!$V$6,Model!AK$1,'Assumptions (Hydro)'!$V$9,'Assumptions (Hydro)'!$V$4*Model!$Q$1354*AVERAGE('Assumptions (Hydro)'!$M$2:$O$2)/10^9),0)</f>
        <v>0</v>
      </c>
      <c r="AF1425" s="160"/>
      <c r="AG1425" s="160"/>
      <c r="AH1425" s="160"/>
      <c r="AI1425" s="160"/>
      <c r="AJ1425" s="160"/>
      <c r="AK1425" s="160"/>
      <c r="AL1425" s="160"/>
      <c r="AM1425" s="160"/>
      <c r="AN1425" s="160"/>
      <c r="AO1425" s="160"/>
    </row>
    <row r="1426" ht="15.75" hidden="1" customHeight="1" outlineLevel="1">
      <c r="A1426" s="273"/>
      <c r="B1426" s="38"/>
      <c r="C1426" s="160"/>
      <c r="D1426" s="160"/>
      <c r="E1426" s="160"/>
      <c r="F1426" s="160"/>
      <c r="G1426" s="160"/>
      <c r="H1426" s="160"/>
      <c r="I1426" s="160"/>
      <c r="J1426" s="160"/>
      <c r="K1426" s="160"/>
      <c r="L1426" s="160"/>
      <c r="M1426" s="160"/>
      <c r="N1426" s="160"/>
      <c r="O1426" s="160"/>
      <c r="P1426" s="179"/>
      <c r="Q1426" s="160"/>
      <c r="R1426" s="177">
        <f>IF($R$1354&gt;0,PPMT('Assumptions (Hydro)'!$V$6,Model!W$1,'Assumptions (Hydro)'!$V$9,'Assumptions (Hydro)'!$V$4*Model!$R$1354*AVERAGE('Assumptions (Hydro)'!$N$2:$P$2)/10^9),0)</f>
        <v>0</v>
      </c>
      <c r="S1426" s="177">
        <f>IF($R$1354&gt;0,PPMT('Assumptions (Hydro)'!$V$6,Model!X$1,'Assumptions (Hydro)'!$V$9,'Assumptions (Hydro)'!$V$4*Model!$R$1354*AVERAGE('Assumptions (Hydro)'!$N$2:$P$2)/10^9),0)</f>
        <v>0</v>
      </c>
      <c r="T1426" s="177">
        <f>IF($R$1354&gt;0,PPMT('Assumptions (Hydro)'!$V$6,Model!Y$1,'Assumptions (Hydro)'!$V$9,'Assumptions (Hydro)'!$V$4*Model!$R$1354*AVERAGE('Assumptions (Hydro)'!$N$2:$P$2)/10^9),0)</f>
        <v>0</v>
      </c>
      <c r="U1426" s="177">
        <f>IF($R$1354&gt;0,PPMT('Assumptions (Hydro)'!$V$6,Model!Z$1,'Assumptions (Hydro)'!$V$9,'Assumptions (Hydro)'!$V$4*Model!$R$1354*AVERAGE('Assumptions (Hydro)'!$N$2:$P$2)/10^9),0)</f>
        <v>0</v>
      </c>
      <c r="V1426" s="177">
        <f>IF($R$1354&gt;0,PPMT('Assumptions (Hydro)'!$V$6,Model!AA$1,'Assumptions (Hydro)'!$V$9,'Assumptions (Hydro)'!$V$4*Model!$R$1354*AVERAGE('Assumptions (Hydro)'!$N$2:$P$2)/10^9),0)</f>
        <v>0</v>
      </c>
      <c r="W1426" s="177">
        <f>IF($R$1354&gt;0,PPMT('Assumptions (Hydro)'!$V$6,Model!AB$1,'Assumptions (Hydro)'!$V$9,'Assumptions (Hydro)'!$V$4*Model!$R$1354*AVERAGE('Assumptions (Hydro)'!$N$2:$P$2)/10^9),0)</f>
        <v>0</v>
      </c>
      <c r="X1426" s="177">
        <f>IF($R$1354&gt;0,PPMT('Assumptions (Hydro)'!$V$6,Model!AC$1,'Assumptions (Hydro)'!$V$9,'Assumptions (Hydro)'!$V$4*Model!$R$1354*AVERAGE('Assumptions (Hydro)'!$N$2:$P$2)/10^9),0)</f>
        <v>0</v>
      </c>
      <c r="Y1426" s="177">
        <f>IF($R$1354&gt;0,PPMT('Assumptions (Hydro)'!$V$6,Model!AD$1,'Assumptions (Hydro)'!$V$9,'Assumptions (Hydro)'!$V$4*Model!$R$1354*AVERAGE('Assumptions (Hydro)'!$N$2:$P$2)/10^9),0)</f>
        <v>0</v>
      </c>
      <c r="Z1426" s="177">
        <f>IF($R$1354&gt;0,PPMT('Assumptions (Hydro)'!$V$6,Model!AE$1,'Assumptions (Hydro)'!$V$9,'Assumptions (Hydro)'!$V$4*Model!$R$1354*AVERAGE('Assumptions (Hydro)'!$N$2:$P$2)/10^9),0)</f>
        <v>0</v>
      </c>
      <c r="AA1426" s="177">
        <f>IF($R$1354&gt;0,PPMT('Assumptions (Hydro)'!$V$6,Model!AF$1,'Assumptions (Hydro)'!$V$9,'Assumptions (Hydro)'!$V$4*Model!$R$1354*AVERAGE('Assumptions (Hydro)'!$N$2:$P$2)/10^9),0)</f>
        <v>0</v>
      </c>
      <c r="AB1426" s="177">
        <f>IF($R$1354&gt;0,PPMT('Assumptions (Hydro)'!$V$6,Model!AG$1,'Assumptions (Hydro)'!$V$9,'Assumptions (Hydro)'!$V$4*Model!$R$1354*AVERAGE('Assumptions (Hydro)'!$N$2:$P$2)/10^9),0)</f>
        <v>0</v>
      </c>
      <c r="AC1426" s="177">
        <f>IF($R$1354&gt;0,PPMT('Assumptions (Hydro)'!$V$6,Model!AH$1,'Assumptions (Hydro)'!$V$9,'Assumptions (Hydro)'!$V$4*Model!$R$1354*AVERAGE('Assumptions (Hydro)'!$N$2:$P$2)/10^9),0)</f>
        <v>0</v>
      </c>
      <c r="AD1426" s="177">
        <f>IF($R$1354&gt;0,PPMT('Assumptions (Hydro)'!$V$6,Model!AI$1,'Assumptions (Hydro)'!$V$9,'Assumptions (Hydro)'!$V$4*Model!$R$1354*AVERAGE('Assumptions (Hydro)'!$N$2:$P$2)/10^9),0)</f>
        <v>0</v>
      </c>
      <c r="AE1426" s="177">
        <f>IF($R$1354&gt;0,PPMT('Assumptions (Hydro)'!$V$6,Model!AJ$1,'Assumptions (Hydro)'!$V$9,'Assumptions (Hydro)'!$V$4*Model!$R$1354*AVERAGE('Assumptions (Hydro)'!$N$2:$P$2)/10^9),0)</f>
        <v>0</v>
      </c>
      <c r="AF1426" s="177">
        <f>IF($R$1354&gt;0,PPMT('Assumptions (Hydro)'!$V$6,Model!AK$1,'Assumptions (Hydro)'!$V$9,'Assumptions (Hydro)'!$V$4*Model!$R$1354*AVERAGE('Assumptions (Hydro)'!$N$2:$P$2)/10^9),0)</f>
        <v>0</v>
      </c>
      <c r="AG1426" s="177"/>
      <c r="AH1426" s="177"/>
      <c r="AI1426" s="177"/>
      <c r="AJ1426" s="177"/>
      <c r="AK1426" s="177"/>
      <c r="AL1426" s="177"/>
      <c r="AM1426" s="177"/>
      <c r="AN1426" s="177"/>
      <c r="AO1426" s="177"/>
      <c r="AP1426" s="177"/>
    </row>
    <row r="1427" ht="15.75" hidden="1" customHeight="1" outlineLevel="1">
      <c r="A1427" s="273"/>
      <c r="B1427" s="38"/>
      <c r="C1427" s="160"/>
      <c r="D1427" s="160"/>
      <c r="E1427" s="160"/>
      <c r="F1427" s="160"/>
      <c r="G1427" s="160"/>
      <c r="H1427" s="160"/>
      <c r="I1427" s="160"/>
      <c r="J1427" s="160"/>
      <c r="K1427" s="160"/>
      <c r="L1427" s="160"/>
      <c r="M1427" s="160"/>
      <c r="N1427" s="160"/>
      <c r="O1427" s="160"/>
      <c r="P1427" s="179"/>
      <c r="Q1427" s="160"/>
      <c r="R1427" s="177"/>
      <c r="S1427" s="160">
        <f>IF($S$1354&gt;0,PPMT('Assumptions (Hydro)'!$V$6,Model!W$1,'Assumptions (Hydro)'!$V$9,'Assumptions (Hydro)'!$V$4*Model!$S$1354*AVERAGE('Assumptions (Hydro)'!$O$2:$Q$2)/10^9),0)</f>
        <v>0</v>
      </c>
      <c r="T1427" s="160">
        <f>IF($S$1354&gt;0,PPMT('Assumptions (Hydro)'!$V$6,Model!X$1,'Assumptions (Hydro)'!$V$9,'Assumptions (Hydro)'!$V$4*Model!$S$1354*AVERAGE('Assumptions (Hydro)'!$O$2:$Q$2)/10^9),0)</f>
        <v>0</v>
      </c>
      <c r="U1427" s="160">
        <f>IF($S$1354&gt;0,PPMT('Assumptions (Hydro)'!$V$6,Model!Y$1,'Assumptions (Hydro)'!$V$9,'Assumptions (Hydro)'!$V$4*Model!$S$1354*AVERAGE('Assumptions (Hydro)'!$O$2:$Q$2)/10^9),0)</f>
        <v>0</v>
      </c>
      <c r="V1427" s="160">
        <f>IF($S$1354&gt;0,PPMT('Assumptions (Hydro)'!$V$6,Model!Z$1,'Assumptions (Hydro)'!$V$9,'Assumptions (Hydro)'!$V$4*Model!$S$1354*AVERAGE('Assumptions (Hydro)'!$O$2:$Q$2)/10^9),0)</f>
        <v>0</v>
      </c>
      <c r="W1427" s="160">
        <f>IF($S$1354&gt;0,PPMT('Assumptions (Hydro)'!$V$6,Model!AA$1,'Assumptions (Hydro)'!$V$9,'Assumptions (Hydro)'!$V$4*Model!$S$1354*AVERAGE('Assumptions (Hydro)'!$O$2:$Q$2)/10^9),0)</f>
        <v>0</v>
      </c>
      <c r="X1427" s="160">
        <f>IF($S$1354&gt;0,PPMT('Assumptions (Hydro)'!$V$6,Model!AB$1,'Assumptions (Hydro)'!$V$9,'Assumptions (Hydro)'!$V$4*Model!$S$1354*AVERAGE('Assumptions (Hydro)'!$O$2:$Q$2)/10^9),0)</f>
        <v>0</v>
      </c>
      <c r="Y1427" s="160">
        <f>IF($S$1354&gt;0,PPMT('Assumptions (Hydro)'!$V$6,Model!AC$1,'Assumptions (Hydro)'!$V$9,'Assumptions (Hydro)'!$V$4*Model!$S$1354*AVERAGE('Assumptions (Hydro)'!$O$2:$Q$2)/10^9),0)</f>
        <v>0</v>
      </c>
      <c r="Z1427" s="160">
        <f>IF($S$1354&gt;0,PPMT('Assumptions (Hydro)'!$V$6,Model!AD$1,'Assumptions (Hydro)'!$V$9,'Assumptions (Hydro)'!$V$4*Model!$S$1354*AVERAGE('Assumptions (Hydro)'!$O$2:$Q$2)/10^9),0)</f>
        <v>0</v>
      </c>
      <c r="AA1427" s="160">
        <f>IF($S$1354&gt;0,PPMT('Assumptions (Hydro)'!$V$6,Model!AE$1,'Assumptions (Hydro)'!$V$9,'Assumptions (Hydro)'!$V$4*Model!$S$1354*AVERAGE('Assumptions (Hydro)'!$O$2:$Q$2)/10^9),0)</f>
        <v>0</v>
      </c>
      <c r="AB1427" s="160">
        <f>IF($S$1354&gt;0,PPMT('Assumptions (Hydro)'!$V$6,Model!AF$1,'Assumptions (Hydro)'!$V$9,'Assumptions (Hydro)'!$V$4*Model!$S$1354*AVERAGE('Assumptions (Hydro)'!$O$2:$Q$2)/10^9),0)</f>
        <v>0</v>
      </c>
      <c r="AC1427" s="160">
        <f>IF($S$1354&gt;0,PPMT('Assumptions (Hydro)'!$V$6,Model!AG$1,'Assumptions (Hydro)'!$V$9,'Assumptions (Hydro)'!$V$4*Model!$S$1354*AVERAGE('Assumptions (Hydro)'!$O$2:$Q$2)/10^9),0)</f>
        <v>0</v>
      </c>
      <c r="AD1427" s="160">
        <f>IF($S$1354&gt;0,PPMT('Assumptions (Hydro)'!$V$6,Model!AH$1,'Assumptions (Hydro)'!$V$9,'Assumptions (Hydro)'!$V$4*Model!$S$1354*AVERAGE('Assumptions (Hydro)'!$O$2:$Q$2)/10^9),0)</f>
        <v>0</v>
      </c>
      <c r="AE1427" s="160">
        <f>IF($S$1354&gt;0,PPMT('Assumptions (Hydro)'!$V$6,Model!AI$1,'Assumptions (Hydro)'!$V$9,'Assumptions (Hydro)'!$V$4*Model!$S$1354*AVERAGE('Assumptions (Hydro)'!$O$2:$Q$2)/10^9),0)</f>
        <v>0</v>
      </c>
      <c r="AF1427" s="160">
        <f>IF($S$1354&gt;0,PPMT('Assumptions (Hydro)'!$V$6,Model!AJ$1,'Assumptions (Hydro)'!$V$9,'Assumptions (Hydro)'!$V$4*Model!$S$1354*AVERAGE('Assumptions (Hydro)'!$O$2:$Q$2)/10^9),0)</f>
        <v>0</v>
      </c>
      <c r="AG1427" s="160">
        <f>IF($S$1354&gt;0,PPMT('Assumptions (Hydro)'!$V$6,Model!AK$1,'Assumptions (Hydro)'!$V$9,'Assumptions (Hydro)'!$V$4*Model!$S$1354*AVERAGE('Assumptions (Hydro)'!$O$2:$Q$2)/10^9),0)</f>
        <v>0</v>
      </c>
      <c r="AH1427" s="160"/>
      <c r="AI1427" s="160"/>
      <c r="AJ1427" s="160"/>
      <c r="AK1427" s="160"/>
      <c r="AL1427" s="160"/>
      <c r="AM1427" s="160"/>
      <c r="AN1427" s="160"/>
      <c r="AO1427" s="160"/>
      <c r="AP1427" s="160"/>
      <c r="AQ1427" s="160"/>
    </row>
    <row r="1428" ht="15.75" hidden="1" customHeight="1" outlineLevel="1">
      <c r="A1428" s="273"/>
      <c r="B1428" s="38"/>
      <c r="C1428" s="160"/>
      <c r="D1428" s="160"/>
      <c r="E1428" s="160"/>
      <c r="F1428" s="160"/>
      <c r="G1428" s="160"/>
      <c r="H1428" s="160"/>
      <c r="I1428" s="160"/>
      <c r="J1428" s="160"/>
      <c r="K1428" s="160"/>
      <c r="L1428" s="160"/>
      <c r="M1428" s="160"/>
      <c r="N1428" s="160"/>
      <c r="O1428" s="160"/>
      <c r="P1428" s="179"/>
      <c r="Q1428" s="160"/>
      <c r="R1428" s="177"/>
      <c r="S1428" s="177"/>
      <c r="T1428" s="160">
        <f>IF($T$1354&gt;0,PPMT('Assumptions (Hydro)'!$V$6,Model!W$1,'Assumptions (Hydro)'!$V$9,'Assumptions (Hydro)'!$V$4*Model!$T$1354*AVERAGE('Assumptions (Hydro)'!$P$2:$R$2)/10^9),0)</f>
        <v>0</v>
      </c>
      <c r="U1428" s="160">
        <f>IF($T$1354&gt;0,PPMT('Assumptions (Hydro)'!$V$6,Model!X$1,'Assumptions (Hydro)'!$V$9,'Assumptions (Hydro)'!$V$4*Model!$T$1354*AVERAGE('Assumptions (Hydro)'!$P$2:$R$2)/10^9),0)</f>
        <v>0</v>
      </c>
      <c r="V1428" s="160">
        <f>IF($T$1354&gt;0,PPMT('Assumptions (Hydro)'!$V$6,Model!Y$1,'Assumptions (Hydro)'!$V$9,'Assumptions (Hydro)'!$V$4*Model!$T$1354*AVERAGE('Assumptions (Hydro)'!$P$2:$R$2)/10^9),0)</f>
        <v>0</v>
      </c>
      <c r="W1428" s="160">
        <f>IF($T$1354&gt;0,PPMT('Assumptions (Hydro)'!$V$6,Model!Z$1,'Assumptions (Hydro)'!$V$9,'Assumptions (Hydro)'!$V$4*Model!$T$1354*AVERAGE('Assumptions (Hydro)'!$P$2:$R$2)/10^9),0)</f>
        <v>0</v>
      </c>
      <c r="X1428" s="160">
        <f>IF($T$1354&gt;0,PPMT('Assumptions (Hydro)'!$V$6,Model!AA$1,'Assumptions (Hydro)'!$V$9,'Assumptions (Hydro)'!$V$4*Model!$T$1354*AVERAGE('Assumptions (Hydro)'!$P$2:$R$2)/10^9),0)</f>
        <v>0</v>
      </c>
      <c r="Y1428" s="160">
        <f>IF($T$1354&gt;0,PPMT('Assumptions (Hydro)'!$V$6,Model!AB$1,'Assumptions (Hydro)'!$V$9,'Assumptions (Hydro)'!$V$4*Model!$T$1354*AVERAGE('Assumptions (Hydro)'!$P$2:$R$2)/10^9),0)</f>
        <v>0</v>
      </c>
      <c r="Z1428" s="160">
        <f>IF($T$1354&gt;0,PPMT('Assumptions (Hydro)'!$V$6,Model!AC$1,'Assumptions (Hydro)'!$V$9,'Assumptions (Hydro)'!$V$4*Model!$T$1354*AVERAGE('Assumptions (Hydro)'!$P$2:$R$2)/10^9),0)</f>
        <v>0</v>
      </c>
      <c r="AA1428" s="160">
        <f>IF($T$1354&gt;0,PPMT('Assumptions (Hydro)'!$V$6,Model!AD$1,'Assumptions (Hydro)'!$V$9,'Assumptions (Hydro)'!$V$4*Model!$T$1354*AVERAGE('Assumptions (Hydro)'!$P$2:$R$2)/10^9),0)</f>
        <v>0</v>
      </c>
      <c r="AB1428" s="160">
        <f>IF($T$1354&gt;0,PPMT('Assumptions (Hydro)'!$V$6,Model!AE$1,'Assumptions (Hydro)'!$V$9,'Assumptions (Hydro)'!$V$4*Model!$T$1354*AVERAGE('Assumptions (Hydro)'!$P$2:$R$2)/10^9),0)</f>
        <v>0</v>
      </c>
      <c r="AC1428" s="160">
        <f>IF($T$1354&gt;0,PPMT('Assumptions (Hydro)'!$V$6,Model!AF$1,'Assumptions (Hydro)'!$V$9,'Assumptions (Hydro)'!$V$4*Model!$T$1354*AVERAGE('Assumptions (Hydro)'!$P$2:$R$2)/10^9),0)</f>
        <v>0</v>
      </c>
      <c r="AD1428" s="160">
        <f>IF($T$1354&gt;0,PPMT('Assumptions (Hydro)'!$V$6,Model!AG$1,'Assumptions (Hydro)'!$V$9,'Assumptions (Hydro)'!$V$4*Model!$T$1354*AVERAGE('Assumptions (Hydro)'!$P$2:$R$2)/10^9),0)</f>
        <v>0</v>
      </c>
      <c r="AE1428" s="160">
        <f>IF($T$1354&gt;0,PPMT('Assumptions (Hydro)'!$V$6,Model!AH$1,'Assumptions (Hydro)'!$V$9,'Assumptions (Hydro)'!$V$4*Model!$T$1354*AVERAGE('Assumptions (Hydro)'!$P$2:$R$2)/10^9),0)</f>
        <v>0</v>
      </c>
      <c r="AF1428" s="160">
        <f>IF($T$1354&gt;0,PPMT('Assumptions (Hydro)'!$V$6,Model!AI$1,'Assumptions (Hydro)'!$V$9,'Assumptions (Hydro)'!$V$4*Model!$T$1354*AVERAGE('Assumptions (Hydro)'!$P$2:$R$2)/10^9),0)</f>
        <v>0</v>
      </c>
      <c r="AG1428" s="160">
        <f>IF($T$1354&gt;0,PPMT('Assumptions (Hydro)'!$V$6,Model!AJ$1,'Assumptions (Hydro)'!$V$9,'Assumptions (Hydro)'!$V$4*Model!$T$1354*AVERAGE('Assumptions (Hydro)'!$P$2:$R$2)/10^9),0)</f>
        <v>0</v>
      </c>
      <c r="AH1428" s="160">
        <f>IF($T$1354&gt;0,PPMT('Assumptions (Hydro)'!$V$6,Model!AK$1,'Assumptions (Hydro)'!$V$9,'Assumptions (Hydro)'!$V$4*Model!$T$1354*AVERAGE('Assumptions (Hydro)'!$P$2:$R$2)/10^9),0)</f>
        <v>0</v>
      </c>
      <c r="AI1428" s="160"/>
      <c r="AJ1428" s="160"/>
      <c r="AK1428" s="160"/>
      <c r="AL1428" s="160"/>
      <c r="AM1428" s="160"/>
      <c r="AN1428" s="160"/>
      <c r="AO1428" s="160"/>
      <c r="AP1428" s="160"/>
      <c r="AQ1428" s="160"/>
      <c r="AR1428" s="160"/>
    </row>
    <row r="1429" ht="15.75" hidden="1" customHeight="1" outlineLevel="1">
      <c r="A1429" s="273"/>
      <c r="B1429" s="38"/>
      <c r="C1429" s="160"/>
      <c r="D1429" s="160"/>
      <c r="E1429" s="160"/>
      <c r="F1429" s="160"/>
      <c r="G1429" s="160"/>
      <c r="H1429" s="160"/>
      <c r="I1429" s="160"/>
      <c r="J1429" s="160"/>
      <c r="K1429" s="160"/>
      <c r="L1429" s="160"/>
      <c r="M1429" s="160"/>
      <c r="N1429" s="160"/>
      <c r="O1429" s="160"/>
      <c r="P1429" s="179"/>
      <c r="Q1429" s="160"/>
      <c r="R1429" s="177"/>
      <c r="S1429" s="177"/>
      <c r="T1429" s="177"/>
      <c r="U1429" s="160">
        <f>IF($U$1354&gt;0,PPMT('Assumptions (Hydro)'!$V$6,Model!W$1,'Assumptions (Hydro)'!$V$9,'Assumptions (Hydro)'!$V$4*Model!$U$1354*AVERAGE('Assumptions (Hydro)'!$Q$2:$S$2)/10^9),0)</f>
        <v>0</v>
      </c>
      <c r="V1429" s="160">
        <f>IF($U$1354&gt;0,PPMT('Assumptions (Hydro)'!$V$6,Model!X$1,'Assumptions (Hydro)'!$V$9,'Assumptions (Hydro)'!$V$4*Model!$U$1354*AVERAGE('Assumptions (Hydro)'!$Q$2:$S$2)/10^9),0)</f>
        <v>0</v>
      </c>
      <c r="W1429" s="160">
        <f>IF($U$1354&gt;0,PPMT('Assumptions (Hydro)'!$V$6,Model!Y$1,'Assumptions (Hydro)'!$V$9,'Assumptions (Hydro)'!$V$4*Model!$U$1354*AVERAGE('Assumptions (Hydro)'!$Q$2:$S$2)/10^9),0)</f>
        <v>0</v>
      </c>
      <c r="X1429" s="160">
        <f>IF($U$1354&gt;0,PPMT('Assumptions (Hydro)'!$V$6,Model!Z$1,'Assumptions (Hydro)'!$V$9,'Assumptions (Hydro)'!$V$4*Model!$U$1354*AVERAGE('Assumptions (Hydro)'!$Q$2:$S$2)/10^9),0)</f>
        <v>0</v>
      </c>
      <c r="Y1429" s="160">
        <f>IF($U$1354&gt;0,PPMT('Assumptions (Hydro)'!$V$6,Model!AA$1,'Assumptions (Hydro)'!$V$9,'Assumptions (Hydro)'!$V$4*Model!$U$1354*AVERAGE('Assumptions (Hydro)'!$Q$2:$S$2)/10^9),0)</f>
        <v>0</v>
      </c>
      <c r="Z1429" s="160">
        <f>IF($U$1354&gt;0,PPMT('Assumptions (Hydro)'!$V$6,Model!AB$1,'Assumptions (Hydro)'!$V$9,'Assumptions (Hydro)'!$V$4*Model!$U$1354*AVERAGE('Assumptions (Hydro)'!$Q$2:$S$2)/10^9),0)</f>
        <v>0</v>
      </c>
      <c r="AA1429" s="160">
        <f>IF($U$1354&gt;0,PPMT('Assumptions (Hydro)'!$V$6,Model!AC$1,'Assumptions (Hydro)'!$V$9,'Assumptions (Hydro)'!$V$4*Model!$U$1354*AVERAGE('Assumptions (Hydro)'!$Q$2:$S$2)/10^9),0)</f>
        <v>0</v>
      </c>
      <c r="AB1429" s="160">
        <f>IF($U$1354&gt;0,PPMT('Assumptions (Hydro)'!$V$6,Model!AD$1,'Assumptions (Hydro)'!$V$9,'Assumptions (Hydro)'!$V$4*Model!$U$1354*AVERAGE('Assumptions (Hydro)'!$Q$2:$S$2)/10^9),0)</f>
        <v>0</v>
      </c>
      <c r="AC1429" s="160">
        <f>IF($U$1354&gt;0,PPMT('Assumptions (Hydro)'!$V$6,Model!AE$1,'Assumptions (Hydro)'!$V$9,'Assumptions (Hydro)'!$V$4*Model!$U$1354*AVERAGE('Assumptions (Hydro)'!$Q$2:$S$2)/10^9),0)</f>
        <v>0</v>
      </c>
      <c r="AD1429" s="160">
        <f>IF($U$1354&gt;0,PPMT('Assumptions (Hydro)'!$V$6,Model!AF$1,'Assumptions (Hydro)'!$V$9,'Assumptions (Hydro)'!$V$4*Model!$U$1354*AVERAGE('Assumptions (Hydro)'!$Q$2:$S$2)/10^9),0)</f>
        <v>0</v>
      </c>
      <c r="AE1429" s="160">
        <f>IF($U$1354&gt;0,PPMT('Assumptions (Hydro)'!$V$6,Model!AG$1,'Assumptions (Hydro)'!$V$9,'Assumptions (Hydro)'!$V$4*Model!$U$1354*AVERAGE('Assumptions (Hydro)'!$Q$2:$S$2)/10^9),0)</f>
        <v>0</v>
      </c>
      <c r="AF1429" s="160">
        <f>IF($U$1354&gt;0,PPMT('Assumptions (Hydro)'!$V$6,Model!AH$1,'Assumptions (Hydro)'!$V$9,'Assumptions (Hydro)'!$V$4*Model!$U$1354*AVERAGE('Assumptions (Hydro)'!$Q$2:$S$2)/10^9),0)</f>
        <v>0</v>
      </c>
      <c r="AG1429" s="160">
        <f>IF($U$1354&gt;0,PPMT('Assumptions (Hydro)'!$V$6,Model!AI$1,'Assumptions (Hydro)'!$V$9,'Assumptions (Hydro)'!$V$4*Model!$U$1354*AVERAGE('Assumptions (Hydro)'!$Q$2:$S$2)/10^9),0)</f>
        <v>0</v>
      </c>
      <c r="AH1429" s="160">
        <f>IF($U$1354&gt;0,PPMT('Assumptions (Hydro)'!$V$6,Model!AJ$1,'Assumptions (Hydro)'!$V$9,'Assumptions (Hydro)'!$V$4*Model!$U$1354*AVERAGE('Assumptions (Hydro)'!$Q$2:$S$2)/10^9),0)</f>
        <v>0</v>
      </c>
      <c r="AI1429" s="160">
        <f>IF($U$1354&gt;0,PPMT('Assumptions (Hydro)'!$V$6,Model!AK$1,'Assumptions (Hydro)'!$V$9,'Assumptions (Hydro)'!$V$4*Model!$U$1354*AVERAGE('Assumptions (Hydro)'!$Q$2:$S$2)/10^9),0)</f>
        <v>0</v>
      </c>
      <c r="AJ1429" s="160"/>
      <c r="AK1429" s="160"/>
      <c r="AL1429" s="160"/>
      <c r="AM1429" s="160"/>
      <c r="AN1429" s="160"/>
      <c r="AO1429" s="160"/>
      <c r="AP1429" s="160"/>
      <c r="AQ1429" s="160"/>
      <c r="AR1429" s="160"/>
      <c r="AS1429" s="160"/>
    </row>
    <row r="1430" ht="15.75" hidden="1" customHeight="1" outlineLevel="1">
      <c r="A1430" s="273"/>
      <c r="B1430" s="38"/>
      <c r="C1430" s="160"/>
      <c r="D1430" s="160"/>
      <c r="E1430" s="160"/>
      <c r="F1430" s="160"/>
      <c r="G1430" s="160"/>
      <c r="H1430" s="160"/>
      <c r="I1430" s="160"/>
      <c r="J1430" s="160"/>
      <c r="K1430" s="160"/>
      <c r="L1430" s="160"/>
      <c r="M1430" s="160"/>
      <c r="N1430" s="160"/>
      <c r="O1430" s="160"/>
      <c r="P1430" s="179"/>
      <c r="Q1430" s="160"/>
      <c r="R1430" s="177"/>
      <c r="S1430" s="177"/>
      <c r="T1430" s="177"/>
      <c r="U1430" s="160"/>
      <c r="V1430" s="160">
        <f>IF($V$1354&gt;0,PPMT('Assumptions (Hydro)'!$V$6,Model!W$1,'Assumptions (Hydro)'!$V$9,'Assumptions (Hydro)'!$V$4*Model!$V$1354*AVERAGE('Assumptions (Hydro)'!$R$2:$T$2)/10^9),0)</f>
        <v>0</v>
      </c>
      <c r="W1430" s="160">
        <f>IF($V$1354&gt;0,PPMT('Assumptions (Hydro)'!$V$6,Model!X$1,'Assumptions (Hydro)'!$V$9,'Assumptions (Hydro)'!$V$4*Model!$V$1354*AVERAGE('Assumptions (Hydro)'!$R$2:$T$2)/10^9),0)</f>
        <v>0</v>
      </c>
      <c r="X1430" s="160">
        <f>IF($V$1354&gt;0,PPMT('Assumptions (Hydro)'!$V$6,Model!Y$1,'Assumptions (Hydro)'!$V$9,'Assumptions (Hydro)'!$V$4*Model!$V$1354*AVERAGE('Assumptions (Hydro)'!$R$2:$T$2)/10^9),0)</f>
        <v>0</v>
      </c>
      <c r="Y1430" s="160">
        <f>IF($V$1354&gt;0,PPMT('Assumptions (Hydro)'!$V$6,Model!Z$1,'Assumptions (Hydro)'!$V$9,'Assumptions (Hydro)'!$V$4*Model!$V$1354*AVERAGE('Assumptions (Hydro)'!$R$2:$T$2)/10^9),0)</f>
        <v>0</v>
      </c>
      <c r="Z1430" s="160">
        <f>IF($V$1354&gt;0,PPMT('Assumptions (Hydro)'!$V$6,Model!AA$1,'Assumptions (Hydro)'!$V$9,'Assumptions (Hydro)'!$V$4*Model!$V$1354*AVERAGE('Assumptions (Hydro)'!$R$2:$T$2)/10^9),0)</f>
        <v>0</v>
      </c>
      <c r="AA1430" s="160">
        <f>IF($V$1354&gt;0,PPMT('Assumptions (Hydro)'!$V$6,Model!AB$1,'Assumptions (Hydro)'!$V$9,'Assumptions (Hydro)'!$V$4*Model!$V$1354*AVERAGE('Assumptions (Hydro)'!$R$2:$T$2)/10^9),0)</f>
        <v>0</v>
      </c>
      <c r="AB1430" s="160">
        <f>IF($V$1354&gt;0,PPMT('Assumptions (Hydro)'!$V$6,Model!AC$1,'Assumptions (Hydro)'!$V$9,'Assumptions (Hydro)'!$V$4*Model!$V$1354*AVERAGE('Assumptions (Hydro)'!$R$2:$T$2)/10^9),0)</f>
        <v>0</v>
      </c>
      <c r="AC1430" s="160">
        <f>IF($V$1354&gt;0,PPMT('Assumptions (Hydro)'!$V$6,Model!AD$1,'Assumptions (Hydro)'!$V$9,'Assumptions (Hydro)'!$V$4*Model!$V$1354*AVERAGE('Assumptions (Hydro)'!$R$2:$T$2)/10^9),0)</f>
        <v>0</v>
      </c>
      <c r="AD1430" s="160">
        <f>IF($V$1354&gt;0,PPMT('Assumptions (Hydro)'!$V$6,Model!AE$1,'Assumptions (Hydro)'!$V$9,'Assumptions (Hydro)'!$V$4*Model!$V$1354*AVERAGE('Assumptions (Hydro)'!$R$2:$T$2)/10^9),0)</f>
        <v>0</v>
      </c>
      <c r="AE1430" s="160">
        <f>IF($V$1354&gt;0,PPMT('Assumptions (Hydro)'!$V$6,Model!AF$1,'Assumptions (Hydro)'!$V$9,'Assumptions (Hydro)'!$V$4*Model!$V$1354*AVERAGE('Assumptions (Hydro)'!$R$2:$T$2)/10^9),0)</f>
        <v>0</v>
      </c>
      <c r="AF1430" s="160">
        <f>IF($V$1354&gt;0,PPMT('Assumptions (Hydro)'!$V$6,Model!AG$1,'Assumptions (Hydro)'!$V$9,'Assumptions (Hydro)'!$V$4*Model!$V$1354*AVERAGE('Assumptions (Hydro)'!$R$2:$T$2)/10^9),0)</f>
        <v>0</v>
      </c>
      <c r="AG1430" s="160">
        <f>IF($V$1354&gt;0,PPMT('Assumptions (Hydro)'!$V$6,Model!AH$1,'Assumptions (Hydro)'!$V$9,'Assumptions (Hydro)'!$V$4*Model!$V$1354*AVERAGE('Assumptions (Hydro)'!$R$2:$T$2)/10^9),0)</f>
        <v>0</v>
      </c>
      <c r="AH1430" s="160">
        <f>IF($V$1354&gt;0,PPMT('Assumptions (Hydro)'!$V$6,Model!AI$1,'Assumptions (Hydro)'!$V$9,'Assumptions (Hydro)'!$V$4*Model!$V$1354*AVERAGE('Assumptions (Hydro)'!$R$2:$T$2)/10^9),0)</f>
        <v>0</v>
      </c>
      <c r="AI1430" s="160">
        <f>IF($V$1354&gt;0,PPMT('Assumptions (Hydro)'!$V$6,Model!AJ$1,'Assumptions (Hydro)'!$V$9,'Assumptions (Hydro)'!$V$4*Model!$V$1354*AVERAGE('Assumptions (Hydro)'!$R$2:$T$2)/10^9),0)</f>
        <v>0</v>
      </c>
      <c r="AJ1430" s="160">
        <f>IF($V$1354&gt;0,PPMT('Assumptions (Hydro)'!$V$6,Model!AK$1,'Assumptions (Hydro)'!$V$9,'Assumptions (Hydro)'!$V$4*Model!$V$1354*AVERAGE('Assumptions (Hydro)'!$R$2:$T$2)/10^9),0)</f>
        <v>0</v>
      </c>
      <c r="AK1430" s="160"/>
      <c r="AL1430" s="160"/>
      <c r="AM1430" s="160"/>
      <c r="AN1430" s="160"/>
      <c r="AO1430" s="160"/>
      <c r="AP1430" s="160"/>
      <c r="AQ1430" s="160"/>
      <c r="AR1430" s="160"/>
      <c r="AS1430" s="160"/>
      <c r="AT1430" s="160"/>
    </row>
    <row r="1431" ht="15.75" hidden="1" customHeight="1" outlineLevel="1">
      <c r="A1431" s="273"/>
      <c r="B1431" s="38"/>
      <c r="C1431" s="174"/>
      <c r="D1431" s="174"/>
      <c r="E1431" s="174"/>
      <c r="F1431" s="174"/>
      <c r="G1431" s="174"/>
      <c r="H1431" s="174"/>
      <c r="I1431" s="174"/>
      <c r="J1431" s="174"/>
      <c r="K1431" s="174"/>
      <c r="L1431" s="174"/>
      <c r="M1431" s="174"/>
      <c r="N1431" s="174"/>
      <c r="O1431" s="174"/>
      <c r="P1431" s="174"/>
      <c r="Q1431" s="174"/>
      <c r="R1431" s="174"/>
      <c r="S1431" s="174"/>
      <c r="T1431" s="174"/>
      <c r="U1431" s="174"/>
      <c r="V1431" s="174"/>
      <c r="W1431" s="160">
        <f>IF($W$1354&gt;0,PPMT('Assumptions (Hydro)'!$V$6,Model!W$1,'Assumptions (Hydro)'!$V$9,'Assumptions (Hydro)'!$V$4*Model!$W$1354*average('Assumptions (Hydro)'!$S$2:$U$2)/10^9),0)</f>
        <v>0</v>
      </c>
      <c r="X1431" s="160">
        <f>IF($W$1354&gt;0,PPMT('Assumptions (Hydro)'!$V$6,Model!X$1,'Assumptions (Hydro)'!$V$9,'Assumptions (Hydro)'!$V$4*Model!$W$1354*average('Assumptions (Hydro)'!$S$2:$U$2)/10^9),0)</f>
        <v>0</v>
      </c>
      <c r="Y1431" s="160">
        <f>IF($W$1354&gt;0,PPMT('Assumptions (Hydro)'!$V$6,Model!Y$1,'Assumptions (Hydro)'!$V$9,'Assumptions (Hydro)'!$V$4*Model!$W$1354*average('Assumptions (Hydro)'!$S$2:$U$2)/10^9),0)</f>
        <v>0</v>
      </c>
      <c r="Z1431" s="160">
        <f>IF($W$1354&gt;0,PPMT('Assumptions (Hydro)'!$V$6,Model!Z$1,'Assumptions (Hydro)'!$V$9,'Assumptions (Hydro)'!$V$4*Model!$W$1354*average('Assumptions (Hydro)'!$S$2:$U$2)/10^9),0)</f>
        <v>0</v>
      </c>
      <c r="AA1431" s="160">
        <f>IF($W$1354&gt;0,PPMT('Assumptions (Hydro)'!$V$6,Model!AA$1,'Assumptions (Hydro)'!$V$9,'Assumptions (Hydro)'!$V$4*Model!$W$1354*average('Assumptions (Hydro)'!$S$2:$U$2)/10^9),0)</f>
        <v>0</v>
      </c>
      <c r="AB1431" s="160">
        <f>IF($W$1354&gt;0,PPMT('Assumptions (Hydro)'!$V$6,Model!AB$1,'Assumptions (Hydro)'!$V$9,'Assumptions (Hydro)'!$V$4*Model!$W$1354*average('Assumptions (Hydro)'!$S$2:$U$2)/10^9),0)</f>
        <v>0</v>
      </c>
      <c r="AC1431" s="160">
        <f>IF($W$1354&gt;0,PPMT('Assumptions (Hydro)'!$V$6,Model!AC$1,'Assumptions (Hydro)'!$V$9,'Assumptions (Hydro)'!$V$4*Model!$W$1354*average('Assumptions (Hydro)'!$S$2:$U$2)/10^9),0)</f>
        <v>0</v>
      </c>
      <c r="AD1431" s="160">
        <f>IF($W$1354&gt;0,PPMT('Assumptions (Hydro)'!$V$6,Model!AD$1,'Assumptions (Hydro)'!$V$9,'Assumptions (Hydro)'!$V$4*Model!$W$1354*average('Assumptions (Hydro)'!$S$2:$U$2)/10^9),0)</f>
        <v>0</v>
      </c>
      <c r="AE1431" s="160">
        <f>IF($W$1354&gt;0,PPMT('Assumptions (Hydro)'!$V$6,Model!AE$1,'Assumptions (Hydro)'!$V$9,'Assumptions (Hydro)'!$V$4*Model!$W$1354*average('Assumptions (Hydro)'!$S$2:$U$2)/10^9),0)</f>
        <v>0</v>
      </c>
      <c r="AF1431" s="160">
        <f>IF($W$1354&gt;0,PPMT('Assumptions (Hydro)'!$V$6,Model!AF$1,'Assumptions (Hydro)'!$V$9,'Assumptions (Hydro)'!$V$4*Model!$W$1354*average('Assumptions (Hydro)'!$S$2:$U$2)/10^9),0)</f>
        <v>0</v>
      </c>
      <c r="AG1431" s="160">
        <f>IF($W$1354&gt;0,PPMT('Assumptions (Hydro)'!$V$6,Model!AG$1,'Assumptions (Hydro)'!$V$9,'Assumptions (Hydro)'!$V$4*Model!$W$1354*average('Assumptions (Hydro)'!$S$2:$U$2)/10^9),0)</f>
        <v>0</v>
      </c>
      <c r="AH1431" s="160">
        <f>IF($W$1354&gt;0,PPMT('Assumptions (Hydro)'!$V$6,Model!AH$1,'Assumptions (Hydro)'!$V$9,'Assumptions (Hydro)'!$V$4*Model!$W$1354*average('Assumptions (Hydro)'!$S$2:$U$2)/10^9),0)</f>
        <v>0</v>
      </c>
      <c r="AI1431" s="160">
        <f>IF($W$1354&gt;0,PPMT('Assumptions (Hydro)'!$V$6,Model!AI$1,'Assumptions (Hydro)'!$V$9,'Assumptions (Hydro)'!$V$4*Model!$W$1354*average('Assumptions (Hydro)'!$S$2:$U$2)/10^9),0)</f>
        <v>0</v>
      </c>
      <c r="AJ1431" s="160">
        <f>IF($W$1354&gt;0,PPMT('Assumptions (Hydro)'!$V$6,Model!AJ$1,'Assumptions (Hydro)'!$V$9,'Assumptions (Hydro)'!$V$4*Model!$W$1354*average('Assumptions (Hydro)'!$S$2:$U$2)/10^9),0)</f>
        <v>0</v>
      </c>
      <c r="AK1431" s="160">
        <f>IF($W$1354&gt;0,PPMT('Assumptions (Hydro)'!$V$6,Model!AK$1,'Assumptions (Hydro)'!$V$9,'Assumptions (Hydro)'!$V$4*Model!$W$1354*average('Assumptions (Hydro)'!$S$2:$U$2)/10^9),0)</f>
        <v>0</v>
      </c>
      <c r="AL1431" s="160"/>
      <c r="AM1431" s="160"/>
      <c r="AN1431" s="160"/>
      <c r="AO1431" s="160"/>
      <c r="AP1431" s="160"/>
      <c r="AQ1431" s="160"/>
      <c r="AR1431" s="160"/>
      <c r="AS1431" s="160"/>
      <c r="AT1431" s="160"/>
      <c r="AU1431" s="160"/>
      <c r="AV1431" s="160"/>
      <c r="AW1431" s="160"/>
      <c r="AX1431" s="160"/>
      <c r="AY1431" s="160"/>
      <c r="AZ1431" s="160"/>
      <c r="BA1431" s="160"/>
    </row>
    <row r="1432" ht="15.75" hidden="1" customHeight="1" outlineLevel="1">
      <c r="A1432" s="273"/>
      <c r="B1432" s="38"/>
      <c r="C1432" s="174"/>
      <c r="D1432" s="174"/>
      <c r="E1432" s="174"/>
      <c r="F1432" s="174"/>
      <c r="G1432" s="174"/>
      <c r="H1432" s="174"/>
      <c r="I1432" s="174"/>
      <c r="J1432" s="174"/>
      <c r="K1432" s="174"/>
      <c r="L1432" s="174"/>
      <c r="M1432" s="174"/>
      <c r="N1432" s="174"/>
      <c r="O1432" s="174"/>
      <c r="P1432" s="174"/>
      <c r="Q1432" s="174"/>
      <c r="R1432" s="174"/>
      <c r="S1432" s="174"/>
      <c r="T1432" s="174"/>
      <c r="U1432" s="174"/>
      <c r="V1432" s="174"/>
      <c r="W1432" s="160"/>
      <c r="X1432" s="160">
        <f>IF($X$1354&gt;0,PPMT('Assumptions (Hydro)'!$V$6,Model!W$1,'Assumptions (Hydro)'!$V$9,'Assumptions (Hydro)'!$V$4*Model!$X$1354*average('Assumptions (Hydro)'!$T$2:$V$2)/10^9),0)</f>
        <v>0</v>
      </c>
      <c r="Y1432" s="160">
        <f>IF($X$1354&gt;0,PPMT('Assumptions (Hydro)'!$V$6,Model!X$1,'Assumptions (Hydro)'!$V$9,'Assumptions (Hydro)'!$V$4*Model!$X$1354*average('Assumptions (Hydro)'!$T$2:$V$2)/10^9),0)</f>
        <v>0</v>
      </c>
      <c r="Z1432" s="160">
        <f>IF($X$1354&gt;0,PPMT('Assumptions (Hydro)'!$V$6,Model!Y$1,'Assumptions (Hydro)'!$V$9,'Assumptions (Hydro)'!$V$4*Model!$X$1354*average('Assumptions (Hydro)'!$T$2:$V$2)/10^9),0)</f>
        <v>0</v>
      </c>
      <c r="AA1432" s="160">
        <f>IF($X$1354&gt;0,PPMT('Assumptions (Hydro)'!$V$6,Model!Z$1,'Assumptions (Hydro)'!$V$9,'Assumptions (Hydro)'!$V$4*Model!$X$1354*average('Assumptions (Hydro)'!$T$2:$V$2)/10^9),0)</f>
        <v>0</v>
      </c>
      <c r="AB1432" s="160">
        <f>IF($X$1354&gt;0,PPMT('Assumptions (Hydro)'!$V$6,Model!AA$1,'Assumptions (Hydro)'!$V$9,'Assumptions (Hydro)'!$V$4*Model!$X$1354*average('Assumptions (Hydro)'!$T$2:$V$2)/10^9),0)</f>
        <v>0</v>
      </c>
      <c r="AC1432" s="160">
        <f>IF($X$1354&gt;0,PPMT('Assumptions (Hydro)'!$V$6,Model!AB$1,'Assumptions (Hydro)'!$V$9,'Assumptions (Hydro)'!$V$4*Model!$X$1354*average('Assumptions (Hydro)'!$T$2:$V$2)/10^9),0)</f>
        <v>0</v>
      </c>
      <c r="AD1432" s="160">
        <f>IF($X$1354&gt;0,PPMT('Assumptions (Hydro)'!$V$6,Model!AC$1,'Assumptions (Hydro)'!$V$9,'Assumptions (Hydro)'!$V$4*Model!$X$1354*average('Assumptions (Hydro)'!$T$2:$V$2)/10^9),0)</f>
        <v>0</v>
      </c>
      <c r="AE1432" s="160">
        <f>IF($X$1354&gt;0,PPMT('Assumptions (Hydro)'!$V$6,Model!AD$1,'Assumptions (Hydro)'!$V$9,'Assumptions (Hydro)'!$V$4*Model!$X$1354*average('Assumptions (Hydro)'!$T$2:$V$2)/10^9),0)</f>
        <v>0</v>
      </c>
      <c r="AF1432" s="160">
        <f>IF($X$1354&gt;0,PPMT('Assumptions (Hydro)'!$V$6,Model!AE$1,'Assumptions (Hydro)'!$V$9,'Assumptions (Hydro)'!$V$4*Model!$X$1354*average('Assumptions (Hydro)'!$T$2:$V$2)/10^9),0)</f>
        <v>0</v>
      </c>
      <c r="AG1432" s="160">
        <f>IF($X$1354&gt;0,PPMT('Assumptions (Hydro)'!$V$6,Model!AF$1,'Assumptions (Hydro)'!$V$9,'Assumptions (Hydro)'!$V$4*Model!$X$1354*average('Assumptions (Hydro)'!$T$2:$V$2)/10^9),0)</f>
        <v>0</v>
      </c>
      <c r="AH1432" s="160">
        <f>IF($X$1354&gt;0,PPMT('Assumptions (Hydro)'!$V$6,Model!AG$1,'Assumptions (Hydro)'!$V$9,'Assumptions (Hydro)'!$V$4*Model!$X$1354*average('Assumptions (Hydro)'!$T$2:$V$2)/10^9),0)</f>
        <v>0</v>
      </c>
      <c r="AI1432" s="160">
        <f>IF($X$1354&gt;0,PPMT('Assumptions (Hydro)'!$V$6,Model!AH$1,'Assumptions (Hydro)'!$V$9,'Assumptions (Hydro)'!$V$4*Model!$X$1354*average('Assumptions (Hydro)'!$T$2:$V$2)/10^9),0)</f>
        <v>0</v>
      </c>
      <c r="AJ1432" s="160">
        <f>IF($X$1354&gt;0,PPMT('Assumptions (Hydro)'!$V$6,Model!AI$1,'Assumptions (Hydro)'!$V$9,'Assumptions (Hydro)'!$V$4*Model!$X$1354*average('Assumptions (Hydro)'!$T$2:$V$2)/10^9),0)</f>
        <v>0</v>
      </c>
      <c r="AK1432" s="160">
        <f>IF($X$1354&gt;0,PPMT('Assumptions (Hydro)'!$V$6,Model!AJ$1,'Assumptions (Hydro)'!$V$9,'Assumptions (Hydro)'!$V$4*Model!$X$1354*average('Assumptions (Hydro)'!$T$2:$V$2)/10^9),0)</f>
        <v>0</v>
      </c>
      <c r="AL1432" s="160">
        <f>IF($X$1354&gt;0,PPMT('Assumptions (Hydro)'!$V$6,Model!AK$1,'Assumptions (Hydro)'!$V$9,'Assumptions (Hydro)'!$V$4*Model!$X$1354*average('Assumptions (Hydro)'!$T$2:$V$2)/10^9),0)</f>
        <v>0</v>
      </c>
      <c r="AM1432" s="160"/>
      <c r="AN1432" s="160"/>
      <c r="AO1432" s="160"/>
      <c r="AP1432" s="160"/>
      <c r="AQ1432" s="160"/>
      <c r="AR1432" s="160"/>
      <c r="AS1432" s="160"/>
      <c r="AT1432" s="160"/>
      <c r="AU1432" s="160"/>
      <c r="AV1432" s="160"/>
      <c r="AW1432" s="160"/>
      <c r="AX1432" s="160"/>
      <c r="AY1432" s="160"/>
      <c r="AZ1432" s="160"/>
      <c r="BA1432" s="160"/>
    </row>
    <row r="1433" ht="15.75" hidden="1" customHeight="1" outlineLevel="1">
      <c r="A1433" s="273"/>
      <c r="B1433" s="38"/>
      <c r="C1433" s="174"/>
      <c r="D1433" s="174"/>
      <c r="E1433" s="174"/>
      <c r="F1433" s="174"/>
      <c r="G1433" s="174"/>
      <c r="H1433" s="174"/>
      <c r="I1433" s="174"/>
      <c r="J1433" s="174"/>
      <c r="K1433" s="174"/>
      <c r="L1433" s="174"/>
      <c r="M1433" s="174"/>
      <c r="N1433" s="174"/>
      <c r="O1433" s="174"/>
      <c r="P1433" s="174"/>
      <c r="Q1433" s="174"/>
      <c r="R1433" s="174"/>
      <c r="S1433" s="174"/>
      <c r="T1433" s="174"/>
      <c r="U1433" s="174"/>
      <c r="V1433" s="174"/>
      <c r="W1433" s="160"/>
      <c r="X1433" s="160"/>
      <c r="Y1433" s="160">
        <f>IF($Y$1354&gt;0,PPMT('Assumptions (Hydro)'!$V$6,Model!W$1,'Assumptions (Hydro)'!$V$9,'Assumptions (Hydro)'!$V$4*Model!$Y$1354*AVERAGE('Assumptions (Hydro)'!$U$2:$W$2)/10^9),0)</f>
        <v>0</v>
      </c>
      <c r="Z1433" s="160">
        <f>IF($Y$1354&gt;0,PPMT('Assumptions (Hydro)'!$V$6,Model!X$1,'Assumptions (Hydro)'!$V$9,'Assumptions (Hydro)'!$V$4*Model!$Y$1354*AVERAGE('Assumptions (Hydro)'!$U$2:$W$2)/10^9),0)</f>
        <v>0</v>
      </c>
      <c r="AA1433" s="160">
        <f>IF($Y$1354&gt;0,PPMT('Assumptions (Hydro)'!$V$6,Model!Y$1,'Assumptions (Hydro)'!$V$9,'Assumptions (Hydro)'!$V$4*Model!$Y$1354*AVERAGE('Assumptions (Hydro)'!$U$2:$W$2)/10^9),0)</f>
        <v>0</v>
      </c>
      <c r="AB1433" s="160">
        <f>IF($Y$1354&gt;0,PPMT('Assumptions (Hydro)'!$V$6,Model!Z$1,'Assumptions (Hydro)'!$V$9,'Assumptions (Hydro)'!$V$4*Model!$Y$1354*AVERAGE('Assumptions (Hydro)'!$U$2:$W$2)/10^9),0)</f>
        <v>0</v>
      </c>
      <c r="AC1433" s="160">
        <f>IF($Y$1354&gt;0,PPMT('Assumptions (Hydro)'!$V$6,Model!AA$1,'Assumptions (Hydro)'!$V$9,'Assumptions (Hydro)'!$V$4*Model!$Y$1354*AVERAGE('Assumptions (Hydro)'!$U$2:$W$2)/10^9),0)</f>
        <v>0</v>
      </c>
      <c r="AD1433" s="160">
        <f>IF($Y$1354&gt;0,PPMT('Assumptions (Hydro)'!$V$6,Model!AB$1,'Assumptions (Hydro)'!$V$9,'Assumptions (Hydro)'!$V$4*Model!$Y$1354*AVERAGE('Assumptions (Hydro)'!$U$2:$W$2)/10^9),0)</f>
        <v>0</v>
      </c>
      <c r="AE1433" s="160">
        <f>IF($Y$1354&gt;0,PPMT('Assumptions (Hydro)'!$V$6,Model!AC$1,'Assumptions (Hydro)'!$V$9,'Assumptions (Hydro)'!$V$4*Model!$Y$1354*AVERAGE('Assumptions (Hydro)'!$U$2:$W$2)/10^9),0)</f>
        <v>0</v>
      </c>
      <c r="AF1433" s="160">
        <f>IF($Y$1354&gt;0,PPMT('Assumptions (Hydro)'!$V$6,Model!AD$1,'Assumptions (Hydro)'!$V$9,'Assumptions (Hydro)'!$V$4*Model!$Y$1354*AVERAGE('Assumptions (Hydro)'!$U$2:$W$2)/10^9),0)</f>
        <v>0</v>
      </c>
      <c r="AG1433" s="160">
        <f>IF($Y$1354&gt;0,PPMT('Assumptions (Hydro)'!$V$6,Model!AE$1,'Assumptions (Hydro)'!$V$9,'Assumptions (Hydro)'!$V$4*Model!$Y$1354*AVERAGE('Assumptions (Hydro)'!$U$2:$W$2)/10^9),0)</f>
        <v>0</v>
      </c>
      <c r="AH1433" s="160">
        <f>IF($Y$1354&gt;0,PPMT('Assumptions (Hydro)'!$V$6,Model!AF$1,'Assumptions (Hydro)'!$V$9,'Assumptions (Hydro)'!$V$4*Model!$Y$1354*AVERAGE('Assumptions (Hydro)'!$U$2:$W$2)/10^9),0)</f>
        <v>0</v>
      </c>
      <c r="AI1433" s="160">
        <f>IF($Y$1354&gt;0,PPMT('Assumptions (Hydro)'!$V$6,Model!AG$1,'Assumptions (Hydro)'!$V$9,'Assumptions (Hydro)'!$V$4*Model!$Y$1354*AVERAGE('Assumptions (Hydro)'!$U$2:$W$2)/10^9),0)</f>
        <v>0</v>
      </c>
      <c r="AJ1433" s="160">
        <f>IF($Y$1354&gt;0,PPMT('Assumptions (Hydro)'!$V$6,Model!AH$1,'Assumptions (Hydro)'!$V$9,'Assumptions (Hydro)'!$V$4*Model!$Y$1354*AVERAGE('Assumptions (Hydro)'!$U$2:$W$2)/10^9),0)</f>
        <v>0</v>
      </c>
      <c r="AK1433" s="160">
        <f>IF($Y$1354&gt;0,PPMT('Assumptions (Hydro)'!$V$6,Model!AI$1,'Assumptions (Hydro)'!$V$9,'Assumptions (Hydro)'!$V$4*Model!$Y$1354*AVERAGE('Assumptions (Hydro)'!$U$2:$W$2)/10^9),0)</f>
        <v>0</v>
      </c>
      <c r="AL1433" s="160">
        <f>IF($Y$1354&gt;0,PPMT('Assumptions (Hydro)'!$V$6,Model!AJ$1,'Assumptions (Hydro)'!$V$9,'Assumptions (Hydro)'!$V$4*Model!$Y$1354*AVERAGE('Assumptions (Hydro)'!$U$2:$W$2)/10^9),0)</f>
        <v>0</v>
      </c>
      <c r="AM1433" s="160">
        <f>IF($Y$1354&gt;0,PPMT('Assumptions (Hydro)'!$V$6,Model!AK$1,'Assumptions (Hydro)'!$V$9,'Assumptions (Hydro)'!$V$4*Model!$Y$1354*AVERAGE('Assumptions (Hydro)'!$U$2:$W$2)/10^9),0)</f>
        <v>0</v>
      </c>
      <c r="AN1433" s="160"/>
      <c r="AO1433" s="160"/>
      <c r="AP1433" s="160"/>
      <c r="AQ1433" s="160"/>
      <c r="AR1433" s="160"/>
      <c r="AS1433" s="160"/>
      <c r="AT1433" s="160"/>
      <c r="AU1433" s="160"/>
      <c r="AV1433" s="160"/>
      <c r="AW1433" s="160"/>
      <c r="AX1433" s="160"/>
      <c r="AY1433" s="160"/>
      <c r="AZ1433" s="160"/>
      <c r="BA1433" s="160"/>
    </row>
    <row r="1434" ht="15.75" hidden="1" customHeight="1" outlineLevel="1">
      <c r="A1434" s="273"/>
      <c r="B1434" s="38"/>
      <c r="C1434" s="174"/>
      <c r="D1434" s="174"/>
      <c r="E1434" s="174"/>
      <c r="F1434" s="174"/>
      <c r="G1434" s="174"/>
      <c r="H1434" s="174"/>
      <c r="I1434" s="174"/>
      <c r="J1434" s="174"/>
      <c r="K1434" s="174"/>
      <c r="L1434" s="174"/>
      <c r="M1434" s="174"/>
      <c r="N1434" s="174"/>
      <c r="O1434" s="174"/>
      <c r="P1434" s="174"/>
      <c r="Q1434" s="174"/>
      <c r="R1434" s="174"/>
      <c r="S1434" s="174"/>
      <c r="T1434" s="174"/>
      <c r="U1434" s="174"/>
      <c r="V1434" s="174"/>
      <c r="W1434" s="160"/>
      <c r="X1434" s="160"/>
      <c r="Y1434" s="160"/>
      <c r="Z1434" s="160">
        <f>IF($Z$1354&gt;0,PPMT('Assumptions (Hydro)'!$V$6,Model!W$1,'Assumptions (Hydro)'!$V$9,'Assumptions (Hydro)'!$V$4*Model!$Z$1354*AVERAGE('Assumptions (Hydro)'!$V$2:$X$2)/10^9),0)</f>
        <v>0</v>
      </c>
      <c r="AA1434" s="160">
        <f>IF($Z$1354&gt;0,PPMT('Assumptions (Hydro)'!$V$6,Model!X$1,'Assumptions (Hydro)'!$V$9,'Assumptions (Hydro)'!$V$4*Model!$Z$1354*AVERAGE('Assumptions (Hydro)'!$V$2:$X$2)/10^9),0)</f>
        <v>0</v>
      </c>
      <c r="AB1434" s="160">
        <f>IF($Z$1354&gt;0,PPMT('Assumptions (Hydro)'!$V$6,Model!Y$1,'Assumptions (Hydro)'!$V$9,'Assumptions (Hydro)'!$V$4*Model!$Z$1354*AVERAGE('Assumptions (Hydro)'!$V$2:$X$2)/10^9),0)</f>
        <v>0</v>
      </c>
      <c r="AC1434" s="160">
        <f>IF($Z$1354&gt;0,PPMT('Assumptions (Hydro)'!$V$6,Model!Z$1,'Assumptions (Hydro)'!$V$9,'Assumptions (Hydro)'!$V$4*Model!$Z$1354*AVERAGE('Assumptions (Hydro)'!$V$2:$X$2)/10^9),0)</f>
        <v>0</v>
      </c>
      <c r="AD1434" s="160">
        <f>IF($Z$1354&gt;0,PPMT('Assumptions (Hydro)'!$V$6,Model!AA$1,'Assumptions (Hydro)'!$V$9,'Assumptions (Hydro)'!$V$4*Model!$Z$1354*AVERAGE('Assumptions (Hydro)'!$V$2:$X$2)/10^9),0)</f>
        <v>0</v>
      </c>
      <c r="AE1434" s="160">
        <f>IF($Z$1354&gt;0,PPMT('Assumptions (Hydro)'!$V$6,Model!AB$1,'Assumptions (Hydro)'!$V$9,'Assumptions (Hydro)'!$V$4*Model!$Z$1354*AVERAGE('Assumptions (Hydro)'!$V$2:$X$2)/10^9),0)</f>
        <v>0</v>
      </c>
      <c r="AF1434" s="160">
        <f>IF($Z$1354&gt;0,PPMT('Assumptions (Hydro)'!$V$6,Model!AC$1,'Assumptions (Hydro)'!$V$9,'Assumptions (Hydro)'!$V$4*Model!$Z$1354*AVERAGE('Assumptions (Hydro)'!$V$2:$X$2)/10^9),0)</f>
        <v>0</v>
      </c>
      <c r="AG1434" s="160">
        <f>IF($Z$1354&gt;0,PPMT('Assumptions (Hydro)'!$V$6,Model!AD$1,'Assumptions (Hydro)'!$V$9,'Assumptions (Hydro)'!$V$4*Model!$Z$1354*AVERAGE('Assumptions (Hydro)'!$V$2:$X$2)/10^9),0)</f>
        <v>0</v>
      </c>
      <c r="AH1434" s="160">
        <f>IF($Z$1354&gt;0,PPMT('Assumptions (Hydro)'!$V$6,Model!AE$1,'Assumptions (Hydro)'!$V$9,'Assumptions (Hydro)'!$V$4*Model!$Z$1354*AVERAGE('Assumptions (Hydro)'!$V$2:$X$2)/10^9),0)</f>
        <v>0</v>
      </c>
      <c r="AI1434" s="160">
        <f>IF($Z$1354&gt;0,PPMT('Assumptions (Hydro)'!$V$6,Model!AF$1,'Assumptions (Hydro)'!$V$9,'Assumptions (Hydro)'!$V$4*Model!$Z$1354*AVERAGE('Assumptions (Hydro)'!$V$2:$X$2)/10^9),0)</f>
        <v>0</v>
      </c>
      <c r="AJ1434" s="160">
        <f>IF($Z$1354&gt;0,PPMT('Assumptions (Hydro)'!$V$6,Model!AG$1,'Assumptions (Hydro)'!$V$9,'Assumptions (Hydro)'!$V$4*Model!$Z$1354*AVERAGE('Assumptions (Hydro)'!$V$2:$X$2)/10^9),0)</f>
        <v>0</v>
      </c>
      <c r="AK1434" s="160">
        <f>IF($Z$1354&gt;0,PPMT('Assumptions (Hydro)'!$V$6,Model!AH$1,'Assumptions (Hydro)'!$V$9,'Assumptions (Hydro)'!$V$4*Model!$Z$1354*AVERAGE('Assumptions (Hydro)'!$V$2:$X$2)/10^9),0)</f>
        <v>0</v>
      </c>
      <c r="AL1434" s="160">
        <f>IF($Z$1354&gt;0,PPMT('Assumptions (Hydro)'!$V$6,Model!AI$1,'Assumptions (Hydro)'!$V$9,'Assumptions (Hydro)'!$V$4*Model!$Z$1354*AVERAGE('Assumptions (Hydro)'!$V$2:$X$2)/10^9),0)</f>
        <v>0</v>
      </c>
      <c r="AM1434" s="160">
        <f>IF($Z$1354&gt;0,PPMT('Assumptions (Hydro)'!$V$6,Model!AJ$1,'Assumptions (Hydro)'!$V$9,'Assumptions (Hydro)'!$V$4*Model!$Z$1354*AVERAGE('Assumptions (Hydro)'!$V$2:$X$2)/10^9),0)</f>
        <v>0</v>
      </c>
      <c r="AN1434" s="160">
        <f>IF($Z$1354&gt;0,PPMT('Assumptions (Hydro)'!$V$6,Model!AK$1,'Assumptions (Hydro)'!$V$9,'Assumptions (Hydro)'!$V$4*Model!$Z$1354*AVERAGE('Assumptions (Hydro)'!$V$2:$X$2)/10^9),0)</f>
        <v>0</v>
      </c>
      <c r="AO1434" s="160"/>
      <c r="AP1434" s="160"/>
      <c r="AQ1434" s="160"/>
      <c r="AR1434" s="160"/>
      <c r="AS1434" s="160"/>
      <c r="AT1434" s="160"/>
      <c r="AU1434" s="160"/>
      <c r="AV1434" s="160"/>
      <c r="AW1434" s="160"/>
      <c r="AX1434" s="160"/>
      <c r="AY1434" s="160"/>
      <c r="AZ1434" s="160"/>
      <c r="BA1434" s="160"/>
    </row>
    <row r="1435" ht="15.75" hidden="1" customHeight="1" outlineLevel="1">
      <c r="A1435" s="273"/>
      <c r="B1435" s="38"/>
      <c r="C1435" s="174"/>
      <c r="D1435" s="174"/>
      <c r="E1435" s="174"/>
      <c r="F1435" s="174"/>
      <c r="G1435" s="174"/>
      <c r="H1435" s="174"/>
      <c r="I1435" s="174"/>
      <c r="J1435" s="174"/>
      <c r="K1435" s="174"/>
      <c r="L1435" s="174"/>
      <c r="M1435" s="174"/>
      <c r="N1435" s="174"/>
      <c r="O1435" s="174"/>
      <c r="P1435" s="174"/>
      <c r="Q1435" s="174"/>
      <c r="R1435" s="174"/>
      <c r="S1435" s="174"/>
      <c r="T1435" s="174"/>
      <c r="U1435" s="174"/>
      <c r="V1435" s="174"/>
      <c r="W1435" s="160"/>
      <c r="X1435" s="160"/>
      <c r="Y1435" s="160"/>
      <c r="Z1435" s="160"/>
      <c r="AA1435" s="160">
        <f>IF($AA$1354&gt;0,PPMT('Assumptions (Hydro)'!$V$6,Model!W$1,'Assumptions (Hydro)'!$V$9,'Assumptions (Hydro)'!$V$4*Model!$AA$1354*AVERAGE('Assumptions (Hydro)'!$W$2:$Y$2)/10^9),0)</f>
        <v>0</v>
      </c>
      <c r="AB1435" s="160">
        <f>IF($AA$1354&gt;0,PPMT('Assumptions (Hydro)'!$V$6,Model!X$1,'Assumptions (Hydro)'!$V$9,'Assumptions (Hydro)'!$V$4*Model!$AA$1354*AVERAGE('Assumptions (Hydro)'!$W$2:$Y$2)/10^9),0)</f>
        <v>0</v>
      </c>
      <c r="AC1435" s="160">
        <f>IF($AA$1354&gt;0,PPMT('Assumptions (Hydro)'!$V$6,Model!Y$1,'Assumptions (Hydro)'!$V$9,'Assumptions (Hydro)'!$V$4*Model!$AA$1354*AVERAGE('Assumptions (Hydro)'!$W$2:$Y$2)/10^9),0)</f>
        <v>0</v>
      </c>
      <c r="AD1435" s="160">
        <f>IF($AA$1354&gt;0,PPMT('Assumptions (Hydro)'!$V$6,Model!Z$1,'Assumptions (Hydro)'!$V$9,'Assumptions (Hydro)'!$V$4*Model!$AA$1354*AVERAGE('Assumptions (Hydro)'!$W$2:$Y$2)/10^9),0)</f>
        <v>0</v>
      </c>
      <c r="AE1435" s="160">
        <f>IF($AA$1354&gt;0,PPMT('Assumptions (Hydro)'!$V$6,Model!AA$1,'Assumptions (Hydro)'!$V$9,'Assumptions (Hydro)'!$V$4*Model!$AA$1354*AVERAGE('Assumptions (Hydro)'!$W$2:$Y$2)/10^9),0)</f>
        <v>0</v>
      </c>
      <c r="AF1435" s="160">
        <f>IF($AA$1354&gt;0,PPMT('Assumptions (Hydro)'!$V$6,Model!AB$1,'Assumptions (Hydro)'!$V$9,'Assumptions (Hydro)'!$V$4*Model!$AA$1354*AVERAGE('Assumptions (Hydro)'!$W$2:$Y$2)/10^9),0)</f>
        <v>0</v>
      </c>
      <c r="AG1435" s="160">
        <f>IF($AA$1354&gt;0,PPMT('Assumptions (Hydro)'!$V$6,Model!AC$1,'Assumptions (Hydro)'!$V$9,'Assumptions (Hydro)'!$V$4*Model!$AA$1354*AVERAGE('Assumptions (Hydro)'!$W$2:$Y$2)/10^9),0)</f>
        <v>0</v>
      </c>
      <c r="AH1435" s="160">
        <f>IF($AA$1354&gt;0,PPMT('Assumptions (Hydro)'!$V$6,Model!AD$1,'Assumptions (Hydro)'!$V$9,'Assumptions (Hydro)'!$V$4*Model!$AA$1354*AVERAGE('Assumptions (Hydro)'!$W$2:$Y$2)/10^9),0)</f>
        <v>0</v>
      </c>
      <c r="AI1435" s="160">
        <f>IF($AA$1354&gt;0,PPMT('Assumptions (Hydro)'!$V$6,Model!AE$1,'Assumptions (Hydro)'!$V$9,'Assumptions (Hydro)'!$V$4*Model!$AA$1354*AVERAGE('Assumptions (Hydro)'!$W$2:$Y$2)/10^9),0)</f>
        <v>0</v>
      </c>
      <c r="AJ1435" s="160">
        <f>IF($AA$1354&gt;0,PPMT('Assumptions (Hydro)'!$V$6,Model!AF$1,'Assumptions (Hydro)'!$V$9,'Assumptions (Hydro)'!$V$4*Model!$AA$1354*AVERAGE('Assumptions (Hydro)'!$W$2:$Y$2)/10^9),0)</f>
        <v>0</v>
      </c>
      <c r="AK1435" s="160">
        <f>IF($AA$1354&gt;0,PPMT('Assumptions (Hydro)'!$V$6,Model!AG$1,'Assumptions (Hydro)'!$V$9,'Assumptions (Hydro)'!$V$4*Model!$AA$1354*AVERAGE('Assumptions (Hydro)'!$W$2:$Y$2)/10^9),0)</f>
        <v>0</v>
      </c>
      <c r="AL1435" s="160">
        <f>IF($AA$1354&gt;0,PPMT('Assumptions (Hydro)'!$V$6,Model!AH$1,'Assumptions (Hydro)'!$V$9,'Assumptions (Hydro)'!$V$4*Model!$AA$1354*AVERAGE('Assumptions (Hydro)'!$W$2:$Y$2)/10^9),0)</f>
        <v>0</v>
      </c>
      <c r="AM1435" s="160">
        <f>IF($AA$1354&gt;0,PPMT('Assumptions (Hydro)'!$V$6,Model!AI$1,'Assumptions (Hydro)'!$V$9,'Assumptions (Hydro)'!$V$4*Model!$AA$1354*AVERAGE('Assumptions (Hydro)'!$W$2:$Y$2)/10^9),0)</f>
        <v>0</v>
      </c>
      <c r="AN1435" s="160">
        <f>IF($AA$1354&gt;0,PPMT('Assumptions (Hydro)'!$V$6,Model!AJ$1,'Assumptions (Hydro)'!$V$9,'Assumptions (Hydro)'!$V$4*Model!$AA$1354*AVERAGE('Assumptions (Hydro)'!$W$2:$Y$2)/10^9),0)</f>
        <v>0</v>
      </c>
      <c r="AO1435" s="160">
        <f>IF($AA$1354&gt;0,PPMT('Assumptions (Hydro)'!$V$6,Model!AK$1,'Assumptions (Hydro)'!$V$9,'Assumptions (Hydro)'!$V$4*Model!$AA$1354*AVERAGE('Assumptions (Hydro)'!$W$2:$Y$2)/10^9),0)</f>
        <v>0</v>
      </c>
      <c r="AP1435" s="160"/>
      <c r="AQ1435" s="160"/>
      <c r="AR1435" s="160"/>
      <c r="AS1435" s="160"/>
      <c r="AT1435" s="160"/>
      <c r="AU1435" s="160"/>
      <c r="AV1435" s="160"/>
      <c r="AW1435" s="160"/>
      <c r="AX1435" s="160"/>
      <c r="AY1435" s="160"/>
      <c r="AZ1435" s="160"/>
      <c r="BA1435" s="160"/>
    </row>
    <row r="1436" ht="15.75" hidden="1" customHeight="1" outlineLevel="1">
      <c r="A1436" s="273"/>
      <c r="B1436" s="38"/>
      <c r="C1436" s="174"/>
      <c r="D1436" s="174"/>
      <c r="E1436" s="174"/>
      <c r="F1436" s="174"/>
      <c r="G1436" s="174"/>
      <c r="H1436" s="174"/>
      <c r="I1436" s="174"/>
      <c r="J1436" s="174"/>
      <c r="K1436" s="174"/>
      <c r="L1436" s="174"/>
      <c r="M1436" s="174"/>
      <c r="N1436" s="174"/>
      <c r="O1436" s="174"/>
      <c r="P1436" s="174"/>
      <c r="Q1436" s="174"/>
      <c r="R1436" s="174"/>
      <c r="S1436" s="174"/>
      <c r="T1436" s="174"/>
      <c r="U1436" s="174"/>
      <c r="V1436" s="174"/>
      <c r="W1436" s="160"/>
      <c r="X1436" s="160"/>
      <c r="Y1436" s="160"/>
      <c r="Z1436" s="160"/>
      <c r="AA1436" s="160"/>
      <c r="AB1436" s="160">
        <f>IF($AB$1354&gt;0,PPMT('Assumptions (Hydro)'!$V$6,Model!W$1,'Assumptions (Hydro)'!$V$9,'Assumptions (Hydro)'!$V$4*Model!$AB$1354*AVERAGE('Assumptions (Hydro)'!$X$2:$Z$2)/10^9),0)</f>
        <v>0</v>
      </c>
      <c r="AC1436" s="160">
        <f>IF($AB$1354&gt;0,PPMT('Assumptions (Hydro)'!$V$6,Model!X$1,'Assumptions (Hydro)'!$V$9,'Assumptions (Hydro)'!$V$4*Model!$AB$1354*AVERAGE('Assumptions (Hydro)'!$X$2:$Z$2)/10^9),0)</f>
        <v>0</v>
      </c>
      <c r="AD1436" s="160">
        <f>IF($AB$1354&gt;0,PPMT('Assumptions (Hydro)'!$V$6,Model!Y$1,'Assumptions (Hydro)'!$V$9,'Assumptions (Hydro)'!$V$4*Model!$AB$1354*AVERAGE('Assumptions (Hydro)'!$X$2:$Z$2)/10^9),0)</f>
        <v>0</v>
      </c>
      <c r="AE1436" s="160">
        <f>IF($AB$1354&gt;0,PPMT('Assumptions (Hydro)'!$V$6,Model!Z$1,'Assumptions (Hydro)'!$V$9,'Assumptions (Hydro)'!$V$4*Model!$AB$1354*AVERAGE('Assumptions (Hydro)'!$X$2:$Z$2)/10^9),0)</f>
        <v>0</v>
      </c>
      <c r="AF1436" s="160">
        <f>IF($AB$1354&gt;0,PPMT('Assumptions (Hydro)'!$V$6,Model!AA$1,'Assumptions (Hydro)'!$V$9,'Assumptions (Hydro)'!$V$4*Model!$AB$1354*AVERAGE('Assumptions (Hydro)'!$X$2:$Z$2)/10^9),0)</f>
        <v>0</v>
      </c>
      <c r="AG1436" s="160">
        <f>IF($AB$1354&gt;0,PPMT('Assumptions (Hydro)'!$V$6,Model!AB$1,'Assumptions (Hydro)'!$V$9,'Assumptions (Hydro)'!$V$4*Model!$AB$1354*AVERAGE('Assumptions (Hydro)'!$X$2:$Z$2)/10^9),0)</f>
        <v>0</v>
      </c>
      <c r="AH1436" s="160">
        <f>IF($AB$1354&gt;0,PPMT('Assumptions (Hydro)'!$V$6,Model!AC$1,'Assumptions (Hydro)'!$V$9,'Assumptions (Hydro)'!$V$4*Model!$AB$1354*AVERAGE('Assumptions (Hydro)'!$X$2:$Z$2)/10^9),0)</f>
        <v>0</v>
      </c>
      <c r="AI1436" s="160">
        <f>IF($AB$1354&gt;0,PPMT('Assumptions (Hydro)'!$V$6,Model!AD$1,'Assumptions (Hydro)'!$V$9,'Assumptions (Hydro)'!$V$4*Model!$AB$1354*AVERAGE('Assumptions (Hydro)'!$X$2:$Z$2)/10^9),0)</f>
        <v>0</v>
      </c>
      <c r="AJ1436" s="160">
        <f>IF($AB$1354&gt;0,PPMT('Assumptions (Hydro)'!$V$6,Model!AE$1,'Assumptions (Hydro)'!$V$9,'Assumptions (Hydro)'!$V$4*Model!$AB$1354*AVERAGE('Assumptions (Hydro)'!$X$2:$Z$2)/10^9),0)</f>
        <v>0</v>
      </c>
      <c r="AK1436" s="160">
        <f>IF($AB$1354&gt;0,PPMT('Assumptions (Hydro)'!$V$6,Model!AF$1,'Assumptions (Hydro)'!$V$9,'Assumptions (Hydro)'!$V$4*Model!$AB$1354*AVERAGE('Assumptions (Hydro)'!$X$2:$Z$2)/10^9),0)</f>
        <v>0</v>
      </c>
      <c r="AL1436" s="160">
        <f>IF($AB$1354&gt;0,PPMT('Assumptions (Hydro)'!$V$6,Model!AG$1,'Assumptions (Hydro)'!$V$9,'Assumptions (Hydro)'!$V$4*Model!$AB$1354*AVERAGE('Assumptions (Hydro)'!$X$2:$Z$2)/10^9),0)</f>
        <v>0</v>
      </c>
      <c r="AM1436" s="160">
        <f>IF($AB$1354&gt;0,PPMT('Assumptions (Hydro)'!$V$6,Model!AH$1,'Assumptions (Hydro)'!$V$9,'Assumptions (Hydro)'!$V$4*Model!$AB$1354*AVERAGE('Assumptions (Hydro)'!$X$2:$Z$2)/10^9),0)</f>
        <v>0</v>
      </c>
      <c r="AN1436" s="160">
        <f>IF($AB$1354&gt;0,PPMT('Assumptions (Hydro)'!$V$6,Model!AI$1,'Assumptions (Hydro)'!$V$9,'Assumptions (Hydro)'!$V$4*Model!$AB$1354*AVERAGE('Assumptions (Hydro)'!$X$2:$Z$2)/10^9),0)</f>
        <v>0</v>
      </c>
      <c r="AO1436" s="160">
        <f>IF($AB$1354&gt;0,PPMT('Assumptions (Hydro)'!$V$6,Model!AJ$1,'Assumptions (Hydro)'!$V$9,'Assumptions (Hydro)'!$V$4*Model!$AB$1354*AVERAGE('Assumptions (Hydro)'!$X$2:$Z$2)/10^9),0)</f>
        <v>0</v>
      </c>
      <c r="AP1436" s="160">
        <f>IF($AB$1354&gt;0,PPMT('Assumptions (Hydro)'!$V$6,Model!AK$1,'Assumptions (Hydro)'!$V$9,'Assumptions (Hydro)'!$V$4*Model!$AB$1354*AVERAGE('Assumptions (Hydro)'!$X$2:$Z$2)/10^9),0)</f>
        <v>0</v>
      </c>
      <c r="AQ1436" s="160"/>
      <c r="AR1436" s="160"/>
      <c r="AS1436" s="160"/>
      <c r="AT1436" s="160"/>
      <c r="AU1436" s="160"/>
      <c r="AV1436" s="160"/>
      <c r="AW1436" s="160"/>
      <c r="AX1436" s="160"/>
      <c r="AY1436" s="160"/>
      <c r="AZ1436" s="160"/>
      <c r="BA1436" s="160"/>
    </row>
    <row r="1437" ht="15.75" hidden="1" customHeight="1" outlineLevel="1">
      <c r="A1437" s="273"/>
      <c r="B1437" s="38"/>
      <c r="C1437" s="174"/>
      <c r="D1437" s="174"/>
      <c r="E1437" s="174"/>
      <c r="F1437" s="174"/>
      <c r="G1437" s="174"/>
      <c r="H1437" s="174"/>
      <c r="I1437" s="174"/>
      <c r="J1437" s="174"/>
      <c r="K1437" s="174"/>
      <c r="L1437" s="174"/>
      <c r="M1437" s="174"/>
      <c r="N1437" s="174"/>
      <c r="O1437" s="174"/>
      <c r="P1437" s="174"/>
      <c r="Q1437" s="174"/>
      <c r="R1437" s="174"/>
      <c r="S1437" s="174"/>
      <c r="T1437" s="174"/>
      <c r="U1437" s="174"/>
      <c r="V1437" s="174"/>
      <c r="W1437" s="160"/>
      <c r="X1437" s="160"/>
      <c r="Y1437" s="160"/>
      <c r="Z1437" s="160"/>
      <c r="AA1437" s="160"/>
      <c r="AB1437" s="160"/>
      <c r="AC1437" s="160">
        <f>IF($AC$1354&gt;0,PPMT('Assumptions (Hydro)'!$V$6,Model!W$1,'Assumptions (Hydro)'!$V$9,'Assumptions (Hydro)'!$V$4*Model!$AC$1354*AVERAGE('Assumptions (Hydro)'!$Y$2:$AA$2)/10^9),0)</f>
        <v>0</v>
      </c>
      <c r="AD1437" s="160">
        <f>IF($AC$1354&gt;0,PPMT('Assumptions (Hydro)'!$V$6,Model!X$1,'Assumptions (Hydro)'!$V$9,'Assumptions (Hydro)'!$V$4*Model!$AC$1354*AVERAGE('Assumptions (Hydro)'!$Y$2:$AA$2)/10^9),0)</f>
        <v>0</v>
      </c>
      <c r="AE1437" s="160">
        <f>IF($AC$1354&gt;0,PPMT('Assumptions (Hydro)'!$V$6,Model!Y$1,'Assumptions (Hydro)'!$V$9,'Assumptions (Hydro)'!$V$4*Model!$AC$1354*AVERAGE('Assumptions (Hydro)'!$Y$2:$AA$2)/10^9),0)</f>
        <v>0</v>
      </c>
      <c r="AF1437" s="160">
        <f>IF($AC$1354&gt;0,PPMT('Assumptions (Hydro)'!$V$6,Model!Z$1,'Assumptions (Hydro)'!$V$9,'Assumptions (Hydro)'!$V$4*Model!$AC$1354*AVERAGE('Assumptions (Hydro)'!$Y$2:$AA$2)/10^9),0)</f>
        <v>0</v>
      </c>
      <c r="AG1437" s="160">
        <f>IF($AC$1354&gt;0,PPMT('Assumptions (Hydro)'!$V$6,Model!AA$1,'Assumptions (Hydro)'!$V$9,'Assumptions (Hydro)'!$V$4*Model!$AC$1354*AVERAGE('Assumptions (Hydro)'!$Y$2:$AA$2)/10^9),0)</f>
        <v>0</v>
      </c>
      <c r="AH1437" s="160">
        <f>IF($AC$1354&gt;0,PPMT('Assumptions (Hydro)'!$V$6,Model!AB$1,'Assumptions (Hydro)'!$V$9,'Assumptions (Hydro)'!$V$4*Model!$AC$1354*AVERAGE('Assumptions (Hydro)'!$Y$2:$AA$2)/10^9),0)</f>
        <v>0</v>
      </c>
      <c r="AI1437" s="160">
        <f>IF($AC$1354&gt;0,PPMT('Assumptions (Hydro)'!$V$6,Model!AC$1,'Assumptions (Hydro)'!$V$9,'Assumptions (Hydro)'!$V$4*Model!$AC$1354*AVERAGE('Assumptions (Hydro)'!$Y$2:$AA$2)/10^9),0)</f>
        <v>0</v>
      </c>
      <c r="AJ1437" s="160">
        <f>IF($AC$1354&gt;0,PPMT('Assumptions (Hydro)'!$V$6,Model!AD$1,'Assumptions (Hydro)'!$V$9,'Assumptions (Hydro)'!$V$4*Model!$AC$1354*AVERAGE('Assumptions (Hydro)'!$Y$2:$AA$2)/10^9),0)</f>
        <v>0</v>
      </c>
      <c r="AK1437" s="160">
        <f>IF($AC$1354&gt;0,PPMT('Assumptions (Hydro)'!$V$6,Model!AE$1,'Assumptions (Hydro)'!$V$9,'Assumptions (Hydro)'!$V$4*Model!$AC$1354*AVERAGE('Assumptions (Hydro)'!$Y$2:$AA$2)/10^9),0)</f>
        <v>0</v>
      </c>
      <c r="AL1437" s="160">
        <f>IF($AC$1354&gt;0,PPMT('Assumptions (Hydro)'!$V$6,Model!AF$1,'Assumptions (Hydro)'!$V$9,'Assumptions (Hydro)'!$V$4*Model!$AC$1354*AVERAGE('Assumptions (Hydro)'!$Y$2:$AA$2)/10^9),0)</f>
        <v>0</v>
      </c>
      <c r="AM1437" s="160">
        <f>IF($AC$1354&gt;0,PPMT('Assumptions (Hydro)'!$V$6,Model!AG$1,'Assumptions (Hydro)'!$V$9,'Assumptions (Hydro)'!$V$4*Model!$AC$1354*AVERAGE('Assumptions (Hydro)'!$Y$2:$AA$2)/10^9),0)</f>
        <v>0</v>
      </c>
      <c r="AN1437" s="160">
        <f>IF($AC$1354&gt;0,PPMT('Assumptions (Hydro)'!$V$6,Model!AH$1,'Assumptions (Hydro)'!$V$9,'Assumptions (Hydro)'!$V$4*Model!$AC$1354*AVERAGE('Assumptions (Hydro)'!$Y$2:$AA$2)/10^9),0)</f>
        <v>0</v>
      </c>
      <c r="AO1437" s="160">
        <f>IF($AC$1354&gt;0,PPMT('Assumptions (Hydro)'!$V$6,Model!AI$1,'Assumptions (Hydro)'!$V$9,'Assumptions (Hydro)'!$V$4*Model!$AC$1354*AVERAGE('Assumptions (Hydro)'!$Y$2:$AA$2)/10^9),0)</f>
        <v>0</v>
      </c>
      <c r="AP1437" s="160">
        <f>IF($AC$1354&gt;0,PPMT('Assumptions (Hydro)'!$V$6,Model!AJ$1,'Assumptions (Hydro)'!$V$9,'Assumptions (Hydro)'!$V$4*Model!$AC$1354*AVERAGE('Assumptions (Hydro)'!$Y$2:$AA$2)/10^9),0)</f>
        <v>0</v>
      </c>
      <c r="AQ1437" s="160">
        <f>IF($AC$1354&gt;0,PPMT('Assumptions (Hydro)'!$V$6,Model!AK$1,'Assumptions (Hydro)'!$V$9,'Assumptions (Hydro)'!$V$4*Model!$AC$1354*AVERAGE('Assumptions (Hydro)'!$Y$2:$AA$2)/10^9),0)</f>
        <v>0</v>
      </c>
      <c r="AR1437" s="160"/>
      <c r="AS1437" s="160"/>
      <c r="AT1437" s="160"/>
      <c r="AU1437" s="160"/>
      <c r="AV1437" s="160"/>
      <c r="AW1437" s="160"/>
      <c r="AX1437" s="160"/>
      <c r="AY1437" s="160"/>
      <c r="AZ1437" s="160"/>
      <c r="BA1437" s="160"/>
    </row>
    <row r="1438" ht="15.75" hidden="1" customHeight="1" outlineLevel="1">
      <c r="A1438" s="273"/>
      <c r="B1438" s="38"/>
      <c r="C1438" s="174"/>
      <c r="D1438" s="174"/>
      <c r="E1438" s="174"/>
      <c r="F1438" s="174"/>
      <c r="G1438" s="174"/>
      <c r="H1438" s="174"/>
      <c r="I1438" s="174"/>
      <c r="J1438" s="174"/>
      <c r="K1438" s="174"/>
      <c r="L1438" s="174"/>
      <c r="M1438" s="174"/>
      <c r="N1438" s="174"/>
      <c r="O1438" s="174"/>
      <c r="P1438" s="174"/>
      <c r="Q1438" s="174"/>
      <c r="R1438" s="174"/>
      <c r="S1438" s="174"/>
      <c r="T1438" s="174"/>
      <c r="U1438" s="174"/>
      <c r="V1438" s="174"/>
      <c r="W1438" s="160"/>
      <c r="X1438" s="160"/>
      <c r="Y1438" s="160"/>
      <c r="Z1438" s="160"/>
      <c r="AA1438" s="160"/>
      <c r="AB1438" s="160"/>
      <c r="AC1438" s="160"/>
      <c r="AD1438" s="160">
        <f>IF($AD$1354&gt;0,PPMT('Assumptions (Hydro)'!$V$6,Model!W$1,'Assumptions (Hydro)'!$V$9,'Assumptions (Hydro)'!$V$4*Model!$AD$1354*AVERAGE('Assumptions (Hydro)'!$Z$2:$AB$2)/10^9),0)</f>
        <v>0</v>
      </c>
      <c r="AE1438" s="160">
        <f>IF($AD$1354&gt;0,PPMT('Assumptions (Hydro)'!$V$6,Model!X$1,'Assumptions (Hydro)'!$V$9,'Assumptions (Hydro)'!$V$4*Model!$AD$1354*AVERAGE('Assumptions (Hydro)'!$Z$2:$AB$2)/10^9),0)</f>
        <v>0</v>
      </c>
      <c r="AF1438" s="160">
        <f>IF($AD$1354&gt;0,PPMT('Assumptions (Hydro)'!$V$6,Model!Y$1,'Assumptions (Hydro)'!$V$9,'Assumptions (Hydro)'!$V$4*Model!$AD$1354*AVERAGE('Assumptions (Hydro)'!$Z$2:$AB$2)/10^9),0)</f>
        <v>0</v>
      </c>
      <c r="AG1438" s="160">
        <f>IF($AD$1354&gt;0,PPMT('Assumptions (Hydro)'!$V$6,Model!Z$1,'Assumptions (Hydro)'!$V$9,'Assumptions (Hydro)'!$V$4*Model!$AD$1354*AVERAGE('Assumptions (Hydro)'!$Z$2:$AB$2)/10^9),0)</f>
        <v>0</v>
      </c>
      <c r="AH1438" s="160">
        <f>IF($AD$1354&gt;0,PPMT('Assumptions (Hydro)'!$V$6,Model!AA$1,'Assumptions (Hydro)'!$V$9,'Assumptions (Hydro)'!$V$4*Model!$AD$1354*AVERAGE('Assumptions (Hydro)'!$Z$2:$AB$2)/10^9),0)</f>
        <v>0</v>
      </c>
      <c r="AI1438" s="160">
        <f>IF($AD$1354&gt;0,PPMT('Assumptions (Hydro)'!$V$6,Model!AB$1,'Assumptions (Hydro)'!$V$9,'Assumptions (Hydro)'!$V$4*Model!$AD$1354*AVERAGE('Assumptions (Hydro)'!$Z$2:$AB$2)/10^9),0)</f>
        <v>0</v>
      </c>
      <c r="AJ1438" s="160">
        <f>IF($AD$1354&gt;0,PPMT('Assumptions (Hydro)'!$V$6,Model!AC$1,'Assumptions (Hydro)'!$V$9,'Assumptions (Hydro)'!$V$4*Model!$AD$1354*AVERAGE('Assumptions (Hydro)'!$Z$2:$AB$2)/10^9),0)</f>
        <v>0</v>
      </c>
      <c r="AK1438" s="160">
        <f>IF($AD$1354&gt;0,PPMT('Assumptions (Hydro)'!$V$6,Model!AD$1,'Assumptions (Hydro)'!$V$9,'Assumptions (Hydro)'!$V$4*Model!$AD$1354*AVERAGE('Assumptions (Hydro)'!$Z$2:$AB$2)/10^9),0)</f>
        <v>0</v>
      </c>
      <c r="AL1438" s="160">
        <f>IF($AD$1354&gt;0,PPMT('Assumptions (Hydro)'!$V$6,Model!AE$1,'Assumptions (Hydro)'!$V$9,'Assumptions (Hydro)'!$V$4*Model!$AD$1354*AVERAGE('Assumptions (Hydro)'!$Z$2:$AB$2)/10^9),0)</f>
        <v>0</v>
      </c>
      <c r="AM1438" s="160">
        <f>IF($AD$1354&gt;0,PPMT('Assumptions (Hydro)'!$V$6,Model!AF$1,'Assumptions (Hydro)'!$V$9,'Assumptions (Hydro)'!$V$4*Model!$AD$1354*AVERAGE('Assumptions (Hydro)'!$Z$2:$AB$2)/10^9),0)</f>
        <v>0</v>
      </c>
      <c r="AN1438" s="160">
        <f>IF($AD$1354&gt;0,PPMT('Assumptions (Hydro)'!$V$6,Model!AG$1,'Assumptions (Hydro)'!$V$9,'Assumptions (Hydro)'!$V$4*Model!$AD$1354*AVERAGE('Assumptions (Hydro)'!$Z$2:$AB$2)/10^9),0)</f>
        <v>0</v>
      </c>
      <c r="AO1438" s="160">
        <f>IF($AD$1354&gt;0,PPMT('Assumptions (Hydro)'!$V$6,Model!AH$1,'Assumptions (Hydro)'!$V$9,'Assumptions (Hydro)'!$V$4*Model!$AD$1354*AVERAGE('Assumptions (Hydro)'!$Z$2:$AB$2)/10^9),0)</f>
        <v>0</v>
      </c>
      <c r="AP1438" s="160">
        <f>IF($AD$1354&gt;0,PPMT('Assumptions (Hydro)'!$V$6,Model!AI$1,'Assumptions (Hydro)'!$V$9,'Assumptions (Hydro)'!$V$4*Model!$AD$1354*AVERAGE('Assumptions (Hydro)'!$Z$2:$AB$2)/10^9),0)</f>
        <v>0</v>
      </c>
      <c r="AQ1438" s="160">
        <f>IF($AD$1354&gt;0,PPMT('Assumptions (Hydro)'!$V$6,Model!AJ$1,'Assumptions (Hydro)'!$V$9,'Assumptions (Hydro)'!$V$4*Model!$AD$1354*AVERAGE('Assumptions (Hydro)'!$Z$2:$AB$2)/10^9),0)</f>
        <v>0</v>
      </c>
      <c r="AR1438" s="160">
        <f>IF($AD$1354&gt;0,PPMT('Assumptions (Hydro)'!$V$6,Model!AK$1,'Assumptions (Hydro)'!$V$9,'Assumptions (Hydro)'!$V$4*Model!$AD$1354*AVERAGE('Assumptions (Hydro)'!$Z$2:$AB$2)/10^9),0)</f>
        <v>0</v>
      </c>
      <c r="AS1438" s="160"/>
      <c r="AT1438" s="160"/>
      <c r="AU1438" s="160"/>
      <c r="AV1438" s="160"/>
      <c r="AW1438" s="160"/>
      <c r="AX1438" s="160"/>
      <c r="AY1438" s="160"/>
      <c r="AZ1438" s="160"/>
      <c r="BA1438" s="160"/>
      <c r="BB1438" s="160"/>
    </row>
    <row r="1439" ht="15.75" hidden="1" customHeight="1" outlineLevel="1">
      <c r="A1439" s="273"/>
      <c r="B1439" s="38"/>
      <c r="C1439" s="174"/>
      <c r="D1439" s="174"/>
      <c r="E1439" s="174"/>
      <c r="F1439" s="174"/>
      <c r="G1439" s="174"/>
      <c r="H1439" s="174"/>
      <c r="I1439" s="174"/>
      <c r="J1439" s="174"/>
      <c r="K1439" s="174"/>
      <c r="L1439" s="174"/>
      <c r="M1439" s="174"/>
      <c r="N1439" s="174"/>
      <c r="O1439" s="174"/>
      <c r="P1439" s="174"/>
      <c r="Q1439" s="174"/>
      <c r="R1439" s="174"/>
      <c r="S1439" s="174"/>
      <c r="T1439" s="174"/>
      <c r="U1439" s="174"/>
      <c r="V1439" s="174"/>
      <c r="W1439" s="160"/>
      <c r="X1439" s="160"/>
      <c r="Y1439" s="160"/>
      <c r="Z1439" s="160"/>
      <c r="AA1439" s="160"/>
      <c r="AB1439" s="160"/>
      <c r="AC1439" s="160"/>
      <c r="AD1439" s="160"/>
      <c r="AE1439" s="160">
        <f>IF($AE$1354&gt;0,PPMT('Assumptions (Hydro)'!$V$6,Model!W$1,'Assumptions (Hydro)'!$V$9,'Assumptions (Hydro)'!$V$4*Model!$AE$1354*AVERAGE('Assumptions (Hydro)'!$AA$2:$AC$2)/10^9),0)</f>
        <v>0</v>
      </c>
      <c r="AF1439" s="160">
        <f>IF($AE$1354&gt;0,PPMT('Assumptions (Hydro)'!$V$6,Model!X$1,'Assumptions (Hydro)'!$V$9,'Assumptions (Hydro)'!$V$4*Model!$AE$1354*AVERAGE('Assumptions (Hydro)'!$AA$2:$AC$2)/10^9),0)</f>
        <v>0</v>
      </c>
      <c r="AG1439" s="160">
        <f>IF($AE$1354&gt;0,PPMT('Assumptions (Hydro)'!$V$6,Model!Y$1,'Assumptions (Hydro)'!$V$9,'Assumptions (Hydro)'!$V$4*Model!$AE$1354*AVERAGE('Assumptions (Hydro)'!$AA$2:$AC$2)/10^9),0)</f>
        <v>0</v>
      </c>
      <c r="AH1439" s="160">
        <f>IF($AE$1354&gt;0,PPMT('Assumptions (Hydro)'!$V$6,Model!Z$1,'Assumptions (Hydro)'!$V$9,'Assumptions (Hydro)'!$V$4*Model!$AE$1354*AVERAGE('Assumptions (Hydro)'!$AA$2:$AC$2)/10^9),0)</f>
        <v>0</v>
      </c>
      <c r="AI1439" s="160">
        <f>IF($AE$1354&gt;0,PPMT('Assumptions (Hydro)'!$V$6,Model!AA$1,'Assumptions (Hydro)'!$V$9,'Assumptions (Hydro)'!$V$4*Model!$AE$1354*AVERAGE('Assumptions (Hydro)'!$AA$2:$AC$2)/10^9),0)</f>
        <v>0</v>
      </c>
      <c r="AJ1439" s="160">
        <f>IF($AE$1354&gt;0,PPMT('Assumptions (Hydro)'!$V$6,Model!AB$1,'Assumptions (Hydro)'!$V$9,'Assumptions (Hydro)'!$V$4*Model!$AE$1354*AVERAGE('Assumptions (Hydro)'!$AA$2:$AC$2)/10^9),0)</f>
        <v>0</v>
      </c>
      <c r="AK1439" s="160">
        <f>IF($AE$1354&gt;0,PPMT('Assumptions (Hydro)'!$V$6,Model!AC$1,'Assumptions (Hydro)'!$V$9,'Assumptions (Hydro)'!$V$4*Model!$AE$1354*AVERAGE('Assumptions (Hydro)'!$AA$2:$AC$2)/10^9),0)</f>
        <v>0</v>
      </c>
      <c r="AL1439" s="160">
        <f>IF($AE$1354&gt;0,PPMT('Assumptions (Hydro)'!$V$6,Model!AD$1,'Assumptions (Hydro)'!$V$9,'Assumptions (Hydro)'!$V$4*Model!$AE$1354*AVERAGE('Assumptions (Hydro)'!$AA$2:$AC$2)/10^9),0)</f>
        <v>0</v>
      </c>
      <c r="AM1439" s="160">
        <f>IF($AE$1354&gt;0,PPMT('Assumptions (Hydro)'!$V$6,Model!AE$1,'Assumptions (Hydro)'!$V$9,'Assumptions (Hydro)'!$V$4*Model!$AE$1354*AVERAGE('Assumptions (Hydro)'!$AA$2:$AC$2)/10^9),0)</f>
        <v>0</v>
      </c>
      <c r="AN1439" s="160">
        <f>IF($AE$1354&gt;0,PPMT('Assumptions (Hydro)'!$V$6,Model!AF$1,'Assumptions (Hydro)'!$V$9,'Assumptions (Hydro)'!$V$4*Model!$AE$1354*AVERAGE('Assumptions (Hydro)'!$AA$2:$AC$2)/10^9),0)</f>
        <v>0</v>
      </c>
      <c r="AO1439" s="160">
        <f>IF($AE$1354&gt;0,PPMT('Assumptions (Hydro)'!$V$6,Model!AG$1,'Assumptions (Hydro)'!$V$9,'Assumptions (Hydro)'!$V$4*Model!$AE$1354*AVERAGE('Assumptions (Hydro)'!$AA$2:$AC$2)/10^9),0)</f>
        <v>0</v>
      </c>
      <c r="AP1439" s="160">
        <f>IF($AE$1354&gt;0,PPMT('Assumptions (Hydro)'!$V$6,Model!AH$1,'Assumptions (Hydro)'!$V$9,'Assumptions (Hydro)'!$V$4*Model!$AE$1354*AVERAGE('Assumptions (Hydro)'!$AA$2:$AC$2)/10^9),0)</f>
        <v>0</v>
      </c>
      <c r="AQ1439" s="160">
        <f>IF($AE$1354&gt;0,PPMT('Assumptions (Hydro)'!$V$6,Model!AI$1,'Assumptions (Hydro)'!$V$9,'Assumptions (Hydro)'!$V$4*Model!$AE$1354*AVERAGE('Assumptions (Hydro)'!$AA$2:$AC$2)/10^9),0)</f>
        <v>0</v>
      </c>
      <c r="AR1439" s="160">
        <f>IF($AE$1354&gt;0,PPMT('Assumptions (Hydro)'!$V$6,Model!AJ$1,'Assumptions (Hydro)'!$V$9,'Assumptions (Hydro)'!$V$4*Model!$AE$1354*AVERAGE('Assumptions (Hydro)'!$AA$2:$AC$2)/10^9),0)</f>
        <v>0</v>
      </c>
      <c r="AS1439" s="160">
        <f>IF($AE$1354&gt;0,PPMT('Assumptions (Hydro)'!$V$6,Model!AK$1,'Assumptions (Hydro)'!$V$9,'Assumptions (Hydro)'!$V$4*Model!$AE$1354*AVERAGE('Assumptions (Hydro)'!$AA$2:$AC$2)/10^9),0)</f>
        <v>0</v>
      </c>
      <c r="AT1439" s="160"/>
      <c r="AU1439" s="160"/>
      <c r="AV1439" s="160"/>
      <c r="AW1439" s="160"/>
      <c r="AX1439" s="160"/>
      <c r="AY1439" s="160"/>
      <c r="AZ1439" s="160"/>
      <c r="BA1439" s="160"/>
      <c r="BB1439" s="160"/>
      <c r="BC1439" s="160"/>
    </row>
    <row r="1440" ht="15.75" hidden="1" customHeight="1" outlineLevel="1">
      <c r="A1440" s="273"/>
      <c r="B1440" s="38"/>
      <c r="C1440" s="174"/>
      <c r="D1440" s="174"/>
      <c r="E1440" s="174"/>
      <c r="F1440" s="174"/>
      <c r="G1440" s="174"/>
      <c r="H1440" s="174"/>
      <c r="I1440" s="174"/>
      <c r="J1440" s="174"/>
      <c r="K1440" s="174"/>
      <c r="L1440" s="174"/>
      <c r="M1440" s="174"/>
      <c r="N1440" s="174"/>
      <c r="O1440" s="174"/>
      <c r="P1440" s="174"/>
      <c r="Q1440" s="174"/>
      <c r="R1440" s="174"/>
      <c r="S1440" s="174"/>
      <c r="T1440" s="174"/>
      <c r="U1440" s="174"/>
      <c r="V1440" s="174"/>
      <c r="W1440" s="160"/>
      <c r="X1440" s="160"/>
      <c r="Y1440" s="160"/>
      <c r="Z1440" s="160"/>
      <c r="AA1440" s="160"/>
      <c r="AB1440" s="160"/>
      <c r="AC1440" s="160"/>
      <c r="AD1440" s="160"/>
      <c r="AE1440" s="160"/>
      <c r="AF1440" s="160">
        <f>IF($AF$1354&gt;0,PPMT('Assumptions (Hydro)'!$V$6,Model!W$1,'Assumptions (Hydro)'!$V$9,'Assumptions (Hydro)'!$V$4*Model!$AF$1354*AVERAGE('Assumptions (Hydro)'!$AB$2:$AD$2)/10^9),0)</f>
        <v>0</v>
      </c>
      <c r="AG1440" s="160">
        <f>IF($AF$1354&gt;0,PPMT('Assumptions (Hydro)'!$V$6,Model!X$1,'Assumptions (Hydro)'!$V$9,'Assumptions (Hydro)'!$V$4*Model!$AF$1354*AVERAGE('Assumptions (Hydro)'!$AB$2:$AD$2)/10^9),0)</f>
        <v>0</v>
      </c>
      <c r="AH1440" s="160">
        <f>IF($AF$1354&gt;0,PPMT('Assumptions (Hydro)'!$V$6,Model!Y$1,'Assumptions (Hydro)'!$V$9,'Assumptions (Hydro)'!$V$4*Model!$AF$1354*AVERAGE('Assumptions (Hydro)'!$AB$2:$AD$2)/10^9),0)</f>
        <v>0</v>
      </c>
      <c r="AI1440" s="160">
        <f>IF($AF$1354&gt;0,PPMT('Assumptions (Hydro)'!$V$6,Model!Z$1,'Assumptions (Hydro)'!$V$9,'Assumptions (Hydro)'!$V$4*Model!$AF$1354*AVERAGE('Assumptions (Hydro)'!$AB$2:$AD$2)/10^9),0)</f>
        <v>0</v>
      </c>
      <c r="AJ1440" s="160">
        <f>IF($AF$1354&gt;0,PPMT('Assumptions (Hydro)'!$V$6,Model!AA$1,'Assumptions (Hydro)'!$V$9,'Assumptions (Hydro)'!$V$4*Model!$AF$1354*AVERAGE('Assumptions (Hydro)'!$AB$2:$AD$2)/10^9),0)</f>
        <v>0</v>
      </c>
      <c r="AK1440" s="160">
        <f>IF($AF$1354&gt;0,PPMT('Assumptions (Hydro)'!$V$6,Model!AB$1,'Assumptions (Hydro)'!$V$9,'Assumptions (Hydro)'!$V$4*Model!$AF$1354*AVERAGE('Assumptions (Hydro)'!$AB$2:$AD$2)/10^9),0)</f>
        <v>0</v>
      </c>
      <c r="AL1440" s="160">
        <f>IF($AF$1354&gt;0,PPMT('Assumptions (Hydro)'!$V$6,Model!AC$1,'Assumptions (Hydro)'!$V$9,'Assumptions (Hydro)'!$V$4*Model!$AF$1354*AVERAGE('Assumptions (Hydro)'!$AB$2:$AD$2)/10^9),0)</f>
        <v>0</v>
      </c>
      <c r="AM1440" s="160">
        <f>IF($AF$1354&gt;0,PPMT('Assumptions (Hydro)'!$V$6,Model!AD$1,'Assumptions (Hydro)'!$V$9,'Assumptions (Hydro)'!$V$4*Model!$AF$1354*AVERAGE('Assumptions (Hydro)'!$AB$2:$AD$2)/10^9),0)</f>
        <v>0</v>
      </c>
      <c r="AN1440" s="160">
        <f>IF($AF$1354&gt;0,PPMT('Assumptions (Hydro)'!$V$6,Model!AE$1,'Assumptions (Hydro)'!$V$9,'Assumptions (Hydro)'!$V$4*Model!$AF$1354*AVERAGE('Assumptions (Hydro)'!$AB$2:$AD$2)/10^9),0)</f>
        <v>0</v>
      </c>
      <c r="AO1440" s="160">
        <f>IF($AF$1354&gt;0,PPMT('Assumptions (Hydro)'!$V$6,Model!AF$1,'Assumptions (Hydro)'!$V$9,'Assumptions (Hydro)'!$V$4*Model!$AF$1354*AVERAGE('Assumptions (Hydro)'!$AB$2:$AD$2)/10^9),0)</f>
        <v>0</v>
      </c>
      <c r="AP1440" s="160">
        <f>IF($AF$1354&gt;0,PPMT('Assumptions (Hydro)'!$V$6,Model!AG$1,'Assumptions (Hydro)'!$V$9,'Assumptions (Hydro)'!$V$4*Model!$AF$1354*AVERAGE('Assumptions (Hydro)'!$AB$2:$AD$2)/10^9),0)</f>
        <v>0</v>
      </c>
      <c r="AQ1440" s="160">
        <f>IF($AF$1354&gt;0,PPMT('Assumptions (Hydro)'!$V$6,Model!AH$1,'Assumptions (Hydro)'!$V$9,'Assumptions (Hydro)'!$V$4*Model!$AF$1354*AVERAGE('Assumptions (Hydro)'!$AB$2:$AD$2)/10^9),0)</f>
        <v>0</v>
      </c>
      <c r="AR1440" s="160">
        <f>IF($AF$1354&gt;0,PPMT('Assumptions (Hydro)'!$V$6,Model!AI$1,'Assumptions (Hydro)'!$V$9,'Assumptions (Hydro)'!$V$4*Model!$AF$1354*AVERAGE('Assumptions (Hydro)'!$AB$2:$AD$2)/10^9),0)</f>
        <v>0</v>
      </c>
      <c r="AS1440" s="160">
        <f>IF($AF$1354&gt;0,PPMT('Assumptions (Hydro)'!$V$6,Model!AJ$1,'Assumptions (Hydro)'!$V$9,'Assumptions (Hydro)'!$V$4*Model!$AF$1354*AVERAGE('Assumptions (Hydro)'!$AB$2:$AD$2)/10^9),0)</f>
        <v>0</v>
      </c>
      <c r="AT1440" s="160">
        <f>IF($AF$1354&gt;0,PPMT('Assumptions (Hydro)'!$V$6,Model!AK$1,'Assumptions (Hydro)'!$V$9,'Assumptions (Hydro)'!$V$4*Model!$AF$1354*AVERAGE('Assumptions (Hydro)'!$AB$2:$AD$2)/10^9),0)</f>
        <v>0</v>
      </c>
      <c r="AU1440" s="160"/>
      <c r="AV1440" s="160"/>
      <c r="AW1440" s="160"/>
      <c r="AX1440" s="160"/>
      <c r="AY1440" s="160"/>
      <c r="AZ1440" s="160"/>
      <c r="BA1440" s="160"/>
      <c r="BB1440" s="160"/>
      <c r="BC1440" s="160"/>
      <c r="BD1440" s="160"/>
    </row>
    <row r="1441" ht="15.75" hidden="1" customHeight="1" outlineLevel="1">
      <c r="A1441" s="273"/>
      <c r="B1441" s="38"/>
      <c r="C1441" s="174"/>
      <c r="D1441" s="174"/>
      <c r="E1441" s="174"/>
      <c r="F1441" s="174"/>
      <c r="G1441" s="174"/>
      <c r="H1441" s="174"/>
      <c r="I1441" s="174"/>
      <c r="J1441" s="174"/>
      <c r="K1441" s="174"/>
      <c r="L1441" s="174"/>
      <c r="M1441" s="174"/>
      <c r="N1441" s="174"/>
      <c r="O1441" s="174"/>
      <c r="P1441" s="174"/>
      <c r="Q1441" s="174"/>
      <c r="R1441" s="174"/>
      <c r="S1441" s="174"/>
      <c r="T1441" s="174"/>
      <c r="U1441" s="174"/>
      <c r="V1441" s="174"/>
      <c r="W1441" s="160"/>
      <c r="X1441" s="160"/>
      <c r="Y1441" s="160"/>
      <c r="Z1441" s="160"/>
      <c r="AA1441" s="160"/>
      <c r="AB1441" s="160"/>
      <c r="AC1441" s="160"/>
      <c r="AD1441" s="160"/>
      <c r="AE1441" s="160"/>
      <c r="AF1441" s="160"/>
      <c r="AG1441" s="160">
        <f>IF($AG$1354&gt;0,PPMT('Assumptions (Hydro)'!$V$6,Model!W$1,'Assumptions (Hydro)'!$V$9,'Assumptions (Hydro)'!$V$4*Model!$AG$1354*AVERAGE('Assumptions (Hydro)'!$AC$2:$AE$2)/10^9),0)</f>
        <v>0</v>
      </c>
      <c r="AH1441" s="160">
        <f>IF($AG$1354&gt;0,PPMT('Assumptions (Hydro)'!$V$6,Model!X$1,'Assumptions (Hydro)'!$V$9,'Assumptions (Hydro)'!$V$4*Model!$AG$1354*AVERAGE('Assumptions (Hydro)'!$AC$2:$AE$2)/10^9),0)</f>
        <v>0</v>
      </c>
      <c r="AI1441" s="160">
        <f>IF($AG$1354&gt;0,PPMT('Assumptions (Hydro)'!$V$6,Model!Y$1,'Assumptions (Hydro)'!$V$9,'Assumptions (Hydro)'!$V$4*Model!$AG$1354*AVERAGE('Assumptions (Hydro)'!$AC$2:$AE$2)/10^9),0)</f>
        <v>0</v>
      </c>
      <c r="AJ1441" s="160">
        <f>IF($AG$1354&gt;0,PPMT('Assumptions (Hydro)'!$V$6,Model!Z$1,'Assumptions (Hydro)'!$V$9,'Assumptions (Hydro)'!$V$4*Model!$AG$1354*AVERAGE('Assumptions (Hydro)'!$AC$2:$AE$2)/10^9),0)</f>
        <v>0</v>
      </c>
      <c r="AK1441" s="160">
        <f>IF($AG$1354&gt;0,PPMT('Assumptions (Hydro)'!$V$6,Model!AA$1,'Assumptions (Hydro)'!$V$9,'Assumptions (Hydro)'!$V$4*Model!$AG$1354*AVERAGE('Assumptions (Hydro)'!$AC$2:$AE$2)/10^9),0)</f>
        <v>0</v>
      </c>
      <c r="AL1441" s="160">
        <f>IF($AG$1354&gt;0,PPMT('Assumptions (Hydro)'!$V$6,Model!AB$1,'Assumptions (Hydro)'!$V$9,'Assumptions (Hydro)'!$V$4*Model!$AG$1354*AVERAGE('Assumptions (Hydro)'!$AC$2:$AE$2)/10^9),0)</f>
        <v>0</v>
      </c>
      <c r="AM1441" s="160">
        <f>IF($AG$1354&gt;0,PPMT('Assumptions (Hydro)'!$V$6,Model!AC$1,'Assumptions (Hydro)'!$V$9,'Assumptions (Hydro)'!$V$4*Model!$AG$1354*AVERAGE('Assumptions (Hydro)'!$AC$2:$AE$2)/10^9),0)</f>
        <v>0</v>
      </c>
      <c r="AN1441" s="160">
        <f>IF($AG$1354&gt;0,PPMT('Assumptions (Hydro)'!$V$6,Model!AD$1,'Assumptions (Hydro)'!$V$9,'Assumptions (Hydro)'!$V$4*Model!$AG$1354*AVERAGE('Assumptions (Hydro)'!$AC$2:$AE$2)/10^9),0)</f>
        <v>0</v>
      </c>
      <c r="AO1441" s="160">
        <f>IF($AG$1354&gt;0,PPMT('Assumptions (Hydro)'!$V$6,Model!AE$1,'Assumptions (Hydro)'!$V$9,'Assumptions (Hydro)'!$V$4*Model!$AG$1354*AVERAGE('Assumptions (Hydro)'!$AC$2:$AE$2)/10^9),0)</f>
        <v>0</v>
      </c>
      <c r="AP1441" s="160">
        <f>IF($AG$1354&gt;0,PPMT('Assumptions (Hydro)'!$V$6,Model!AF$1,'Assumptions (Hydro)'!$V$9,'Assumptions (Hydro)'!$V$4*Model!$AG$1354*AVERAGE('Assumptions (Hydro)'!$AC$2:$AE$2)/10^9),0)</f>
        <v>0</v>
      </c>
      <c r="AQ1441" s="160">
        <f>IF($AG$1354&gt;0,PPMT('Assumptions (Hydro)'!$V$6,Model!AG$1,'Assumptions (Hydro)'!$V$9,'Assumptions (Hydro)'!$V$4*Model!$AG$1354*AVERAGE('Assumptions (Hydro)'!$AC$2:$AE$2)/10^9),0)</f>
        <v>0</v>
      </c>
      <c r="AR1441" s="160">
        <f>IF($AG$1354&gt;0,PPMT('Assumptions (Hydro)'!$V$6,Model!AH$1,'Assumptions (Hydro)'!$V$9,'Assumptions (Hydro)'!$V$4*Model!$AG$1354*AVERAGE('Assumptions (Hydro)'!$AC$2:$AE$2)/10^9),0)</f>
        <v>0</v>
      </c>
      <c r="AS1441" s="160">
        <f>IF($AG$1354&gt;0,PPMT('Assumptions (Hydro)'!$V$6,Model!AI$1,'Assumptions (Hydro)'!$V$9,'Assumptions (Hydro)'!$V$4*Model!$AG$1354*AVERAGE('Assumptions (Hydro)'!$AC$2:$AE$2)/10^9),0)</f>
        <v>0</v>
      </c>
      <c r="AT1441" s="160">
        <f>IF($AG$1354&gt;0,PPMT('Assumptions (Hydro)'!$V$6,Model!AJ$1,'Assumptions (Hydro)'!$V$9,'Assumptions (Hydro)'!$V$4*Model!$AG$1354*AVERAGE('Assumptions (Hydro)'!$AC$2:$AE$2)/10^9),0)</f>
        <v>0</v>
      </c>
      <c r="AU1441" s="160">
        <f>IF($AG$1354&gt;0,PPMT('Assumptions (Hydro)'!$V$6,Model!AK$1,'Assumptions (Hydro)'!$V$9,'Assumptions (Hydro)'!$V$4*Model!$AG$1354*AVERAGE('Assumptions (Hydro)'!$AC$2:$AE$2)/10^9),0)</f>
        <v>0</v>
      </c>
      <c r="AV1441" s="160"/>
      <c r="AW1441" s="160"/>
      <c r="AX1441" s="160"/>
      <c r="AY1441" s="160"/>
      <c r="AZ1441" s="160"/>
      <c r="BA1441" s="160"/>
      <c r="BB1441" s="160"/>
      <c r="BC1441" s="160"/>
      <c r="BD1441" s="160"/>
      <c r="BE1441" s="160"/>
    </row>
    <row r="1442" ht="15.75" hidden="1" customHeight="1" outlineLevel="1">
      <c r="A1442" s="273"/>
      <c r="B1442" s="38"/>
      <c r="C1442" s="174"/>
      <c r="D1442" s="174"/>
      <c r="E1442" s="174"/>
      <c r="F1442" s="174"/>
      <c r="G1442" s="174"/>
      <c r="H1442" s="174"/>
      <c r="I1442" s="174"/>
      <c r="J1442" s="174"/>
      <c r="K1442" s="174"/>
      <c r="L1442" s="174"/>
      <c r="M1442" s="174"/>
      <c r="N1442" s="174"/>
      <c r="O1442" s="174"/>
      <c r="P1442" s="174"/>
      <c r="Q1442" s="174"/>
      <c r="R1442" s="174"/>
      <c r="S1442" s="174"/>
      <c r="T1442" s="174"/>
      <c r="U1442" s="174"/>
      <c r="V1442" s="174"/>
      <c r="W1442" s="160"/>
      <c r="X1442" s="160"/>
      <c r="Y1442" s="160"/>
      <c r="Z1442" s="160"/>
      <c r="AA1442" s="160"/>
      <c r="AB1442" s="160"/>
      <c r="AC1442" s="160"/>
      <c r="AD1442" s="160"/>
      <c r="AE1442" s="160"/>
      <c r="AF1442" s="160"/>
      <c r="AG1442" s="160"/>
      <c r="AH1442" s="160">
        <f>IF($AH$1354&gt;0,PPMT('Assumptions (Hydro)'!$V$6,Model!W$1,'Assumptions (Hydro)'!$V$9,'Assumptions (Hydro)'!$V$4*Model!$AH$1354*AVERAGE('Assumptions (Hydro)'!$AD$2:$AF$2)/10^9),0)</f>
        <v>0</v>
      </c>
      <c r="AI1442" s="160">
        <f>IF($AH$1354&gt;0,PPMT('Assumptions (Hydro)'!$V$6,Model!X$1,'Assumptions (Hydro)'!$V$9,'Assumptions (Hydro)'!$V$4*Model!$AH$1354*AVERAGE('Assumptions (Hydro)'!$AD$2:$AF$2)/10^9),0)</f>
        <v>0</v>
      </c>
      <c r="AJ1442" s="160">
        <f>IF($AH$1354&gt;0,PPMT('Assumptions (Hydro)'!$V$6,Model!Y$1,'Assumptions (Hydro)'!$V$9,'Assumptions (Hydro)'!$V$4*Model!$AH$1354*AVERAGE('Assumptions (Hydro)'!$AD$2:$AF$2)/10^9),0)</f>
        <v>0</v>
      </c>
      <c r="AK1442" s="160">
        <f>IF($AH$1354&gt;0,PPMT('Assumptions (Hydro)'!$V$6,Model!Z$1,'Assumptions (Hydro)'!$V$9,'Assumptions (Hydro)'!$V$4*Model!$AH$1354*AVERAGE('Assumptions (Hydro)'!$AD$2:$AF$2)/10^9),0)</f>
        <v>0</v>
      </c>
      <c r="AL1442" s="160">
        <f>IF($AH$1354&gt;0,PPMT('Assumptions (Hydro)'!$V$6,Model!AA$1,'Assumptions (Hydro)'!$V$9,'Assumptions (Hydro)'!$V$4*Model!$AH$1354*AVERAGE('Assumptions (Hydro)'!$AD$2:$AF$2)/10^9),0)</f>
        <v>0</v>
      </c>
      <c r="AM1442" s="160">
        <f>IF($AH$1354&gt;0,PPMT('Assumptions (Hydro)'!$V$6,Model!AB$1,'Assumptions (Hydro)'!$V$9,'Assumptions (Hydro)'!$V$4*Model!$AH$1354*AVERAGE('Assumptions (Hydro)'!$AD$2:$AF$2)/10^9),0)</f>
        <v>0</v>
      </c>
      <c r="AN1442" s="160">
        <f>IF($AH$1354&gt;0,PPMT('Assumptions (Hydro)'!$V$6,Model!AC$1,'Assumptions (Hydro)'!$V$9,'Assumptions (Hydro)'!$V$4*Model!$AH$1354*AVERAGE('Assumptions (Hydro)'!$AD$2:$AF$2)/10^9),0)</f>
        <v>0</v>
      </c>
      <c r="AO1442" s="160">
        <f>IF($AH$1354&gt;0,PPMT('Assumptions (Hydro)'!$V$6,Model!AD$1,'Assumptions (Hydro)'!$V$9,'Assumptions (Hydro)'!$V$4*Model!$AH$1354*AVERAGE('Assumptions (Hydro)'!$AD$2:$AF$2)/10^9),0)</f>
        <v>0</v>
      </c>
      <c r="AP1442" s="160">
        <f>IF($AH$1354&gt;0,PPMT('Assumptions (Hydro)'!$V$6,Model!AE$1,'Assumptions (Hydro)'!$V$9,'Assumptions (Hydro)'!$V$4*Model!$AH$1354*AVERAGE('Assumptions (Hydro)'!$AD$2:$AF$2)/10^9),0)</f>
        <v>0</v>
      </c>
      <c r="AQ1442" s="160">
        <f>IF($AH$1354&gt;0,PPMT('Assumptions (Hydro)'!$V$6,Model!AF$1,'Assumptions (Hydro)'!$V$9,'Assumptions (Hydro)'!$V$4*Model!$AH$1354*AVERAGE('Assumptions (Hydro)'!$AD$2:$AF$2)/10^9),0)</f>
        <v>0</v>
      </c>
      <c r="AR1442" s="160">
        <f>IF($AH$1354&gt;0,PPMT('Assumptions (Hydro)'!$V$6,Model!AG$1,'Assumptions (Hydro)'!$V$9,'Assumptions (Hydro)'!$V$4*Model!$AH$1354*AVERAGE('Assumptions (Hydro)'!$AD$2:$AF$2)/10^9),0)</f>
        <v>0</v>
      </c>
      <c r="AS1442" s="160">
        <f>IF($AH$1354&gt;0,PPMT('Assumptions (Hydro)'!$V$6,Model!AH$1,'Assumptions (Hydro)'!$V$9,'Assumptions (Hydro)'!$V$4*Model!$AH$1354*AVERAGE('Assumptions (Hydro)'!$AD$2:$AF$2)/10^9),0)</f>
        <v>0</v>
      </c>
      <c r="AT1442" s="160">
        <f>IF($AH$1354&gt;0,PPMT('Assumptions (Hydro)'!$V$6,Model!AI$1,'Assumptions (Hydro)'!$V$9,'Assumptions (Hydro)'!$V$4*Model!$AH$1354*AVERAGE('Assumptions (Hydro)'!$AD$2:$AF$2)/10^9),0)</f>
        <v>0</v>
      </c>
      <c r="AU1442" s="160">
        <f>IF($AH$1354&gt;0,PPMT('Assumptions (Hydro)'!$V$6,Model!AJ$1,'Assumptions (Hydro)'!$V$9,'Assumptions (Hydro)'!$V$4*Model!$AH$1354*AVERAGE('Assumptions (Hydro)'!$AD$2:$AF$2)/10^9),0)</f>
        <v>0</v>
      </c>
      <c r="AV1442" s="160">
        <f>IF($AH$1354&gt;0,PPMT('Assumptions (Hydro)'!$V$6,Model!AK$1,'Assumptions (Hydro)'!$V$9,'Assumptions (Hydro)'!$V$4*Model!$AH$1354*AVERAGE('Assumptions (Hydro)'!$AD$2:$AF$2)/10^9),0)</f>
        <v>0</v>
      </c>
      <c r="AW1442" s="160"/>
      <c r="AX1442" s="160"/>
      <c r="AY1442" s="160"/>
      <c r="AZ1442" s="160"/>
      <c r="BA1442" s="160"/>
      <c r="BB1442" s="160"/>
      <c r="BC1442" s="160"/>
      <c r="BD1442" s="160"/>
      <c r="BE1442" s="160"/>
      <c r="BF1442" s="160"/>
    </row>
    <row r="1443" ht="15.75" hidden="1" customHeight="1" outlineLevel="1">
      <c r="A1443" s="273"/>
      <c r="B1443" s="38"/>
      <c r="C1443" s="174"/>
      <c r="D1443" s="174"/>
      <c r="E1443" s="174"/>
      <c r="F1443" s="174"/>
      <c r="G1443" s="174"/>
      <c r="H1443" s="174"/>
      <c r="I1443" s="174"/>
      <c r="J1443" s="174"/>
      <c r="K1443" s="174"/>
      <c r="L1443" s="174"/>
      <c r="M1443" s="174"/>
      <c r="N1443" s="174"/>
      <c r="O1443" s="174"/>
      <c r="P1443" s="174"/>
      <c r="Q1443" s="174"/>
      <c r="R1443" s="174"/>
      <c r="S1443" s="174"/>
      <c r="T1443" s="174"/>
      <c r="U1443" s="174"/>
      <c r="V1443" s="174"/>
      <c r="W1443" s="160"/>
      <c r="X1443" s="160"/>
      <c r="Y1443" s="160"/>
      <c r="Z1443" s="160"/>
      <c r="AA1443" s="160"/>
      <c r="AB1443" s="160"/>
      <c r="AC1443" s="160"/>
      <c r="AD1443" s="160"/>
      <c r="AE1443" s="160"/>
      <c r="AF1443" s="160"/>
      <c r="AG1443" s="160"/>
      <c r="AH1443" s="160"/>
      <c r="AI1443" s="160">
        <f>IF($AI$1354&gt;0,PPMT('Assumptions (Hydro)'!$V$6,Model!W$1,'Assumptions (Hydro)'!$V$9,'Assumptions (Hydro)'!$V$4*Model!$AI$1354*AVERAGE('Assumptions (Hydro)'!$AE$2:$AG$2)/10^9),0)</f>
        <v>0</v>
      </c>
      <c r="AJ1443" s="160">
        <f>IF($AI$1354&gt;0,PPMT('Assumptions (Hydro)'!$V$6,Model!X$1,'Assumptions (Hydro)'!$V$9,'Assumptions (Hydro)'!$V$4*Model!$AI$1354*AVERAGE('Assumptions (Hydro)'!$AE$2:$AG$2)/10^9),0)</f>
        <v>0</v>
      </c>
      <c r="AK1443" s="160">
        <f>IF($AI$1354&gt;0,PPMT('Assumptions (Hydro)'!$V$6,Model!Y$1,'Assumptions (Hydro)'!$V$9,'Assumptions (Hydro)'!$V$4*Model!$AI$1354*AVERAGE('Assumptions (Hydro)'!$AE$2:$AG$2)/10^9),0)</f>
        <v>0</v>
      </c>
      <c r="AL1443" s="160">
        <f>IF($AI$1354&gt;0,PPMT('Assumptions (Hydro)'!$V$6,Model!Z$1,'Assumptions (Hydro)'!$V$9,'Assumptions (Hydro)'!$V$4*Model!$AI$1354*AVERAGE('Assumptions (Hydro)'!$AE$2:$AG$2)/10^9),0)</f>
        <v>0</v>
      </c>
      <c r="AM1443" s="160">
        <f>IF($AI$1354&gt;0,PPMT('Assumptions (Hydro)'!$V$6,Model!AA$1,'Assumptions (Hydro)'!$V$9,'Assumptions (Hydro)'!$V$4*Model!$AI$1354*AVERAGE('Assumptions (Hydro)'!$AE$2:$AG$2)/10^9),0)</f>
        <v>0</v>
      </c>
      <c r="AN1443" s="160">
        <f>IF($AI$1354&gt;0,PPMT('Assumptions (Hydro)'!$V$6,Model!AB$1,'Assumptions (Hydro)'!$V$9,'Assumptions (Hydro)'!$V$4*Model!$AI$1354*AVERAGE('Assumptions (Hydro)'!$AE$2:$AG$2)/10^9),0)</f>
        <v>0</v>
      </c>
      <c r="AO1443" s="160">
        <f>IF($AI$1354&gt;0,PPMT('Assumptions (Hydro)'!$V$6,Model!AC$1,'Assumptions (Hydro)'!$V$9,'Assumptions (Hydro)'!$V$4*Model!$AI$1354*AVERAGE('Assumptions (Hydro)'!$AE$2:$AG$2)/10^9),0)</f>
        <v>0</v>
      </c>
      <c r="AP1443" s="160">
        <f>IF($AI$1354&gt;0,PPMT('Assumptions (Hydro)'!$V$6,Model!AD$1,'Assumptions (Hydro)'!$V$9,'Assumptions (Hydro)'!$V$4*Model!$AI$1354*AVERAGE('Assumptions (Hydro)'!$AE$2:$AG$2)/10^9),0)</f>
        <v>0</v>
      </c>
      <c r="AQ1443" s="160">
        <f>IF($AI$1354&gt;0,PPMT('Assumptions (Hydro)'!$V$6,Model!AE$1,'Assumptions (Hydro)'!$V$9,'Assumptions (Hydro)'!$V$4*Model!$AI$1354*AVERAGE('Assumptions (Hydro)'!$AE$2:$AG$2)/10^9),0)</f>
        <v>0</v>
      </c>
      <c r="AR1443" s="160">
        <f>IF($AI$1354&gt;0,PPMT('Assumptions (Hydro)'!$V$6,Model!AF$1,'Assumptions (Hydro)'!$V$9,'Assumptions (Hydro)'!$V$4*Model!$AI$1354*AVERAGE('Assumptions (Hydro)'!$AE$2:$AG$2)/10^9),0)</f>
        <v>0</v>
      </c>
      <c r="AS1443" s="160">
        <f>IF($AI$1354&gt;0,PPMT('Assumptions (Hydro)'!$V$6,Model!AG$1,'Assumptions (Hydro)'!$V$9,'Assumptions (Hydro)'!$V$4*Model!$AI$1354*AVERAGE('Assumptions (Hydro)'!$AE$2:$AG$2)/10^9),0)</f>
        <v>0</v>
      </c>
      <c r="AT1443" s="160">
        <f>IF($AI$1354&gt;0,PPMT('Assumptions (Hydro)'!$V$6,Model!AH$1,'Assumptions (Hydro)'!$V$9,'Assumptions (Hydro)'!$V$4*Model!$AI$1354*AVERAGE('Assumptions (Hydro)'!$AE$2:$AG$2)/10^9),0)</f>
        <v>0</v>
      </c>
      <c r="AU1443" s="160">
        <f>IF($AI$1354&gt;0,PPMT('Assumptions (Hydro)'!$V$6,Model!AI$1,'Assumptions (Hydro)'!$V$9,'Assumptions (Hydro)'!$V$4*Model!$AI$1354*AVERAGE('Assumptions (Hydro)'!$AE$2:$AG$2)/10^9),0)</f>
        <v>0</v>
      </c>
      <c r="AV1443" s="160">
        <f>IF($AI$1354&gt;0,PPMT('Assumptions (Hydro)'!$V$6,Model!AJ$1,'Assumptions (Hydro)'!$V$9,'Assumptions (Hydro)'!$V$4*Model!$AI$1354*AVERAGE('Assumptions (Hydro)'!$AE$2:$AG$2)/10^9),0)</f>
        <v>0</v>
      </c>
      <c r="AW1443" s="160">
        <f>IF($AI$1354&gt;0,PPMT('Assumptions (Hydro)'!$V$6,Model!AK$1,'Assumptions (Hydro)'!$V$9,'Assumptions (Hydro)'!$V$4*Model!$AI$1354*AVERAGE('Assumptions (Hydro)'!$AE$2:$AG$2)/10^9),0)</f>
        <v>0</v>
      </c>
      <c r="AX1443" s="160"/>
      <c r="AY1443" s="160"/>
      <c r="AZ1443" s="160"/>
      <c r="BA1443" s="160"/>
      <c r="BB1443" s="160"/>
      <c r="BC1443" s="160"/>
      <c r="BD1443" s="160"/>
      <c r="BE1443" s="160"/>
      <c r="BF1443" s="160"/>
      <c r="BG1443" s="160"/>
    </row>
    <row r="1444" ht="15.75" hidden="1" customHeight="1" outlineLevel="1">
      <c r="A1444" s="273"/>
      <c r="B1444" s="38"/>
      <c r="C1444" s="174"/>
      <c r="D1444" s="174"/>
      <c r="E1444" s="174"/>
      <c r="F1444" s="174"/>
      <c r="G1444" s="174"/>
      <c r="H1444" s="174"/>
      <c r="I1444" s="174"/>
      <c r="J1444" s="174"/>
      <c r="K1444" s="174"/>
      <c r="L1444" s="174"/>
      <c r="M1444" s="174"/>
      <c r="N1444" s="174"/>
      <c r="O1444" s="174"/>
      <c r="P1444" s="174"/>
      <c r="Q1444" s="174"/>
      <c r="R1444" s="174"/>
      <c r="S1444" s="174"/>
      <c r="T1444" s="174"/>
      <c r="U1444" s="174"/>
      <c r="V1444" s="174"/>
      <c r="W1444" s="160"/>
      <c r="X1444" s="160"/>
      <c r="Y1444" s="160"/>
      <c r="Z1444" s="160"/>
      <c r="AA1444" s="160"/>
      <c r="AB1444" s="160"/>
      <c r="AC1444" s="160"/>
      <c r="AD1444" s="160"/>
      <c r="AE1444" s="160"/>
      <c r="AF1444" s="160"/>
      <c r="AG1444" s="160"/>
      <c r="AH1444" s="160"/>
      <c r="AI1444" s="160"/>
      <c r="AJ1444" s="177">
        <f>IF($AJ$1354&gt;0,PPMT('Assumptions (Hydro)'!$V$6,Model!W$1,'Assumptions (Hydro)'!$V$9,'Assumptions (Hydro)'!$V$4*Model!$AJ$1354*AVERAGE('Assumptions (Hydro)'!$AF$2:$AH$2)/10^9),0)</f>
        <v>0</v>
      </c>
      <c r="AK1444" s="177">
        <f>IF($AJ$1354&gt;0,PPMT('Assumptions (Hydro)'!$V$6,Model!X$1,'Assumptions (Hydro)'!$V$9,'Assumptions (Hydro)'!$V$4*Model!$AJ$1354*AVERAGE('Assumptions (Hydro)'!$AF$2:$AH$2)/10^9),0)</f>
        <v>0</v>
      </c>
      <c r="AL1444" s="177">
        <f>IF($AJ$1354&gt;0,PPMT('Assumptions (Hydro)'!$V$6,Model!Y$1,'Assumptions (Hydro)'!$V$9,'Assumptions (Hydro)'!$V$4*Model!$AJ$1354*AVERAGE('Assumptions (Hydro)'!$AF$2:$AH$2)/10^9),0)</f>
        <v>0</v>
      </c>
      <c r="AM1444" s="177">
        <f>IF($AJ$1354&gt;0,PPMT('Assumptions (Hydro)'!$V$6,Model!Z$1,'Assumptions (Hydro)'!$V$9,'Assumptions (Hydro)'!$V$4*Model!$AJ$1354*AVERAGE('Assumptions (Hydro)'!$AF$2:$AH$2)/10^9),0)</f>
        <v>0</v>
      </c>
      <c r="AN1444" s="177">
        <f>IF($AJ$1354&gt;0,PPMT('Assumptions (Hydro)'!$V$6,Model!AA$1,'Assumptions (Hydro)'!$V$9,'Assumptions (Hydro)'!$V$4*Model!$AJ$1354*AVERAGE('Assumptions (Hydro)'!$AF$2:$AH$2)/10^9),0)</f>
        <v>0</v>
      </c>
      <c r="AO1444" s="177">
        <f>IF($AJ$1354&gt;0,PPMT('Assumptions (Hydro)'!$V$6,Model!AB$1,'Assumptions (Hydro)'!$V$9,'Assumptions (Hydro)'!$V$4*Model!$AJ$1354*AVERAGE('Assumptions (Hydro)'!$AF$2:$AH$2)/10^9),0)</f>
        <v>0</v>
      </c>
      <c r="AP1444" s="177">
        <f>IF($AJ$1354&gt;0,PPMT('Assumptions (Hydro)'!$V$6,Model!AC$1,'Assumptions (Hydro)'!$V$9,'Assumptions (Hydro)'!$V$4*Model!$AJ$1354*AVERAGE('Assumptions (Hydro)'!$AF$2:$AH$2)/10^9),0)</f>
        <v>0</v>
      </c>
      <c r="AQ1444" s="177">
        <f>IF($AJ$1354&gt;0,PPMT('Assumptions (Hydro)'!$V$6,Model!AD$1,'Assumptions (Hydro)'!$V$9,'Assumptions (Hydro)'!$V$4*Model!$AJ$1354*AVERAGE('Assumptions (Hydro)'!$AF$2:$AH$2)/10^9),0)</f>
        <v>0</v>
      </c>
      <c r="AR1444" s="177">
        <f>IF($AJ$1354&gt;0,PPMT('Assumptions (Hydro)'!$V$6,Model!AE$1,'Assumptions (Hydro)'!$V$9,'Assumptions (Hydro)'!$V$4*Model!$AJ$1354*AVERAGE('Assumptions (Hydro)'!$AF$2:$AH$2)/10^9),0)</f>
        <v>0</v>
      </c>
      <c r="AS1444" s="177">
        <f>IF($AJ$1354&gt;0,PPMT('Assumptions (Hydro)'!$V$6,Model!AF$1,'Assumptions (Hydro)'!$V$9,'Assumptions (Hydro)'!$V$4*Model!$AJ$1354*AVERAGE('Assumptions (Hydro)'!$AF$2:$AH$2)/10^9),0)</f>
        <v>0</v>
      </c>
      <c r="AT1444" s="177">
        <f>IF($AJ$1354&gt;0,PPMT('Assumptions (Hydro)'!$V$6,Model!AG$1,'Assumptions (Hydro)'!$V$9,'Assumptions (Hydro)'!$V$4*Model!$AJ$1354*AVERAGE('Assumptions (Hydro)'!$AF$2:$AH$2)/10^9),0)</f>
        <v>0</v>
      </c>
      <c r="AU1444" s="177">
        <f>IF($AJ$1354&gt;0,PPMT('Assumptions (Hydro)'!$V$6,Model!AH$1,'Assumptions (Hydro)'!$V$9,'Assumptions (Hydro)'!$V$4*Model!$AJ$1354*AVERAGE('Assumptions (Hydro)'!$AF$2:$AH$2)/10^9),0)</f>
        <v>0</v>
      </c>
      <c r="AV1444" s="177">
        <f>IF($AJ$1354&gt;0,PPMT('Assumptions (Hydro)'!$V$6,Model!AI$1,'Assumptions (Hydro)'!$V$9,'Assumptions (Hydro)'!$V$4*Model!$AJ$1354*AVERAGE('Assumptions (Hydro)'!$AF$2:$AH$2)/10^9),0)</f>
        <v>0</v>
      </c>
      <c r="AW1444" s="177">
        <f>IF($AJ$1354&gt;0,PPMT('Assumptions (Hydro)'!$V$6,Model!AJ$1,'Assumptions (Hydro)'!$V$9,'Assumptions (Hydro)'!$V$4*Model!$AJ$1354*AVERAGE('Assumptions (Hydro)'!$AF$2:$AH$2)/10^9),0)</f>
        <v>0</v>
      </c>
      <c r="AX1444" s="177">
        <f>IF($AJ$1354&gt;0,PPMT('Assumptions (Hydro)'!$V$6,Model!AK$1,'Assumptions (Hydro)'!$V$9,'Assumptions (Hydro)'!$V$4*Model!$AJ$1354*AVERAGE('Assumptions (Hydro)'!$AF$2:$AH$2)/10^9),0)</f>
        <v>0</v>
      </c>
      <c r="AY1444" s="177"/>
      <c r="AZ1444" s="177"/>
      <c r="BA1444" s="177"/>
      <c r="BB1444" s="177"/>
      <c r="BC1444" s="177"/>
      <c r="BD1444" s="177"/>
      <c r="BE1444" s="177"/>
      <c r="BF1444" s="177"/>
      <c r="BG1444" s="177"/>
      <c r="BH1444" s="177"/>
    </row>
    <row r="1445" ht="15.75" hidden="1" customHeight="1" outlineLevel="1">
      <c r="A1445" s="273"/>
      <c r="B1445" s="38"/>
      <c r="C1445" s="174"/>
      <c r="D1445" s="174"/>
      <c r="E1445" s="174"/>
      <c r="F1445" s="174"/>
      <c r="G1445" s="174"/>
      <c r="H1445" s="174"/>
      <c r="I1445" s="174"/>
      <c r="J1445" s="174"/>
      <c r="K1445" s="174"/>
      <c r="L1445" s="174"/>
      <c r="M1445" s="174"/>
      <c r="N1445" s="174"/>
      <c r="O1445" s="174"/>
      <c r="P1445" s="174"/>
      <c r="Q1445" s="174"/>
      <c r="R1445" s="174"/>
      <c r="S1445" s="174"/>
      <c r="T1445" s="174"/>
      <c r="U1445" s="174"/>
      <c r="V1445" s="174"/>
      <c r="W1445" s="160"/>
      <c r="X1445" s="160"/>
      <c r="Y1445" s="160"/>
      <c r="Z1445" s="160"/>
      <c r="AA1445" s="160"/>
      <c r="AB1445" s="160"/>
      <c r="AC1445" s="160"/>
      <c r="AD1445" s="160"/>
      <c r="AE1445" s="160"/>
      <c r="AF1445" s="160"/>
      <c r="AG1445" s="160"/>
      <c r="AH1445" s="160"/>
      <c r="AI1445" s="160"/>
      <c r="AJ1445" s="179"/>
      <c r="AK1445" s="160">
        <f>IF($AK$1354&gt;0,PPMT('Assumptions (Hydro)'!$V$6,Model!W$1,'Assumptions (Hydro)'!$V$9,'Assumptions (Hydro)'!$V$4*Model!$AK$1354*AVERAGE('Assumptions (Hydro)'!$AG$2:$AI$2)/10^9),0)</f>
        <v>0</v>
      </c>
      <c r="AL1445" s="160">
        <f>IF($AK$1354&gt;0,PPMT('Assumptions (Hydro)'!$V$6,Model!X$1,'Assumptions (Hydro)'!$V$9,'Assumptions (Hydro)'!$V$4*Model!$AK$1354*AVERAGE('Assumptions (Hydro)'!$AG$2:$AI$2)/10^9),0)</f>
        <v>0</v>
      </c>
      <c r="AM1445" s="160">
        <f>IF($AK$1354&gt;0,PPMT('Assumptions (Hydro)'!$V$6,Model!Y$1,'Assumptions (Hydro)'!$V$9,'Assumptions (Hydro)'!$V$4*Model!$AK$1354*AVERAGE('Assumptions (Hydro)'!$AG$2:$AI$2)/10^9),0)</f>
        <v>0</v>
      </c>
      <c r="AN1445" s="160">
        <f>IF($AK$1354&gt;0,PPMT('Assumptions (Hydro)'!$V$6,Model!Z$1,'Assumptions (Hydro)'!$V$9,'Assumptions (Hydro)'!$V$4*Model!$AK$1354*AVERAGE('Assumptions (Hydro)'!$AG$2:$AI$2)/10^9),0)</f>
        <v>0</v>
      </c>
      <c r="AO1445" s="160">
        <f>IF($AK$1354&gt;0,PPMT('Assumptions (Hydro)'!$V$6,Model!AA$1,'Assumptions (Hydro)'!$V$9,'Assumptions (Hydro)'!$V$4*Model!$AK$1354*AVERAGE('Assumptions (Hydro)'!$AG$2:$AI$2)/10^9),0)</f>
        <v>0</v>
      </c>
      <c r="AP1445" s="160">
        <f>IF($AK$1354&gt;0,PPMT('Assumptions (Hydro)'!$V$6,Model!AB$1,'Assumptions (Hydro)'!$V$9,'Assumptions (Hydro)'!$V$4*Model!$AK$1354*AVERAGE('Assumptions (Hydro)'!$AG$2:$AI$2)/10^9),0)</f>
        <v>0</v>
      </c>
      <c r="AQ1445" s="160">
        <f>IF($AK$1354&gt;0,PPMT('Assumptions (Hydro)'!$V$6,Model!AC$1,'Assumptions (Hydro)'!$V$9,'Assumptions (Hydro)'!$V$4*Model!$AK$1354*AVERAGE('Assumptions (Hydro)'!$AG$2:$AI$2)/10^9),0)</f>
        <v>0</v>
      </c>
      <c r="AR1445" s="160">
        <f>IF($AK$1354&gt;0,PPMT('Assumptions (Hydro)'!$V$6,Model!AD$1,'Assumptions (Hydro)'!$V$9,'Assumptions (Hydro)'!$V$4*Model!$AK$1354*AVERAGE('Assumptions (Hydro)'!$AG$2:$AI$2)/10^9),0)</f>
        <v>0</v>
      </c>
      <c r="AS1445" s="160">
        <f>IF($AK$1354&gt;0,PPMT('Assumptions (Hydro)'!$V$6,Model!AE$1,'Assumptions (Hydro)'!$V$9,'Assumptions (Hydro)'!$V$4*Model!$AK$1354*AVERAGE('Assumptions (Hydro)'!$AG$2:$AI$2)/10^9),0)</f>
        <v>0</v>
      </c>
      <c r="AT1445" s="160">
        <f>IF($AK$1354&gt;0,PPMT('Assumptions (Hydro)'!$V$6,Model!AF$1,'Assumptions (Hydro)'!$V$9,'Assumptions (Hydro)'!$V$4*Model!$AK$1354*AVERAGE('Assumptions (Hydro)'!$AG$2:$AI$2)/10^9),0)</f>
        <v>0</v>
      </c>
      <c r="AU1445" s="160">
        <f>IF($AK$1354&gt;0,PPMT('Assumptions (Hydro)'!$V$6,Model!AG$1,'Assumptions (Hydro)'!$V$9,'Assumptions (Hydro)'!$V$4*Model!$AK$1354*AVERAGE('Assumptions (Hydro)'!$AG$2:$AI$2)/10^9),0)</f>
        <v>0</v>
      </c>
      <c r="AV1445" s="160">
        <f>IF($AK$1354&gt;0,PPMT('Assumptions (Hydro)'!$V$6,Model!AH$1,'Assumptions (Hydro)'!$V$9,'Assumptions (Hydro)'!$V$4*Model!$AK$1354*AVERAGE('Assumptions (Hydro)'!$AG$2:$AI$2)/10^9),0)</f>
        <v>0</v>
      </c>
      <c r="AW1445" s="160">
        <f>IF($AK$1354&gt;0,PPMT('Assumptions (Hydro)'!$V$6,Model!AI$1,'Assumptions (Hydro)'!$V$9,'Assumptions (Hydro)'!$V$4*Model!$AK$1354*AVERAGE('Assumptions (Hydro)'!$AG$2:$AI$2)/10^9),0)</f>
        <v>0</v>
      </c>
      <c r="AX1445" s="160">
        <f>IF($AK$1354&gt;0,PPMT('Assumptions (Hydro)'!$V$6,Model!AJ$1,'Assumptions (Hydro)'!$V$9,'Assumptions (Hydro)'!$V$4*Model!$AK$1354*AVERAGE('Assumptions (Hydro)'!$AG$2:$AI$2)/10^9),0)</f>
        <v>0</v>
      </c>
      <c r="AY1445" s="160">
        <f>IF($AK$1354&gt;0,PPMT('Assumptions (Hydro)'!$V$6,Model!AK$1,'Assumptions (Hydro)'!$V$9,'Assumptions (Hydro)'!$V$4*Model!$AK$1354*AVERAGE('Assumptions (Hydro)'!$AG$2:$AI$2)/10^9),0)</f>
        <v>0</v>
      </c>
      <c r="AZ1445" s="160"/>
      <c r="BA1445" s="160"/>
      <c r="BB1445" s="160"/>
      <c r="BC1445" s="160"/>
      <c r="BD1445" s="160"/>
      <c r="BE1445" s="160"/>
      <c r="BF1445" s="160"/>
      <c r="BG1445" s="160"/>
      <c r="BH1445" s="160"/>
      <c r="BI1445" s="160"/>
    </row>
    <row r="1446" ht="15.75" hidden="1" customHeight="1" outlineLevel="1">
      <c r="A1446" s="273"/>
      <c r="B1446" s="38"/>
      <c r="C1446" s="174"/>
      <c r="D1446" s="174"/>
      <c r="E1446" s="174"/>
      <c r="F1446" s="174"/>
      <c r="G1446" s="174"/>
      <c r="H1446" s="174"/>
      <c r="I1446" s="174"/>
      <c r="J1446" s="174"/>
      <c r="K1446" s="174"/>
      <c r="L1446" s="174"/>
      <c r="M1446" s="174"/>
      <c r="N1446" s="174"/>
      <c r="O1446" s="174"/>
      <c r="P1446" s="174"/>
      <c r="Q1446" s="174"/>
      <c r="R1446" s="174"/>
      <c r="S1446" s="174"/>
      <c r="T1446" s="174"/>
      <c r="U1446" s="174"/>
      <c r="V1446" s="174"/>
      <c r="W1446" s="160"/>
      <c r="X1446" s="160"/>
      <c r="Y1446" s="160"/>
      <c r="Z1446" s="160"/>
      <c r="AA1446" s="160"/>
      <c r="AB1446" s="160"/>
      <c r="AC1446" s="160"/>
      <c r="AD1446" s="160"/>
      <c r="AE1446" s="160"/>
      <c r="AF1446" s="160"/>
      <c r="AG1446" s="160"/>
      <c r="AH1446" s="160"/>
      <c r="AI1446" s="160"/>
      <c r="AJ1446" s="179"/>
      <c r="AK1446" s="160"/>
      <c r="AL1446" s="177">
        <f>IF($AL$1354&gt;0,PPMT('Assumptions (Hydro)'!$V$6,Model!W$1,'Assumptions (Hydro)'!$V$9,'Assumptions (Hydro)'!$V$4*Model!$AL$1354*AVERAGE('Assumptions (Hydro)'!$AH$2:$AJ$2)/10^9),0)</f>
        <v>0</v>
      </c>
      <c r="AM1446" s="177">
        <f>IF($AL$1354&gt;0,PPMT('Assumptions (Hydro)'!$V$6,Model!X$1,'Assumptions (Hydro)'!$V$9,'Assumptions (Hydro)'!$V$4*Model!$AL$1354*AVERAGE('Assumptions (Hydro)'!$AH$2:$AJ$2)/10^9),0)</f>
        <v>0</v>
      </c>
      <c r="AN1446" s="177">
        <f>IF($AL$1354&gt;0,PPMT('Assumptions (Hydro)'!$V$6,Model!Y$1,'Assumptions (Hydro)'!$V$9,'Assumptions (Hydro)'!$V$4*Model!$AL$1354*AVERAGE('Assumptions (Hydro)'!$AH$2:$AJ$2)/10^9),0)</f>
        <v>0</v>
      </c>
      <c r="AO1446" s="177">
        <f>IF($AL$1354&gt;0,PPMT('Assumptions (Hydro)'!$V$6,Model!Z$1,'Assumptions (Hydro)'!$V$9,'Assumptions (Hydro)'!$V$4*Model!$AL$1354*AVERAGE('Assumptions (Hydro)'!$AH$2:$AJ$2)/10^9),0)</f>
        <v>0</v>
      </c>
      <c r="AP1446" s="177">
        <f>IF($AL$1354&gt;0,PPMT('Assumptions (Hydro)'!$V$6,Model!AA$1,'Assumptions (Hydro)'!$V$9,'Assumptions (Hydro)'!$V$4*Model!$AL$1354*AVERAGE('Assumptions (Hydro)'!$AH$2:$AJ$2)/10^9),0)</f>
        <v>0</v>
      </c>
      <c r="AQ1446" s="177">
        <f>IF($AL$1354&gt;0,PPMT('Assumptions (Hydro)'!$V$6,Model!AB$1,'Assumptions (Hydro)'!$V$9,'Assumptions (Hydro)'!$V$4*Model!$AL$1354*AVERAGE('Assumptions (Hydro)'!$AH$2:$AJ$2)/10^9),0)</f>
        <v>0</v>
      </c>
      <c r="AR1446" s="177">
        <f>IF($AL$1354&gt;0,PPMT('Assumptions (Hydro)'!$V$6,Model!AC$1,'Assumptions (Hydro)'!$V$9,'Assumptions (Hydro)'!$V$4*Model!$AL$1354*AVERAGE('Assumptions (Hydro)'!$AH$2:$AJ$2)/10^9),0)</f>
        <v>0</v>
      </c>
      <c r="AS1446" s="177">
        <f>IF($AL$1354&gt;0,PPMT('Assumptions (Hydro)'!$V$6,Model!AD$1,'Assumptions (Hydro)'!$V$9,'Assumptions (Hydro)'!$V$4*Model!$AL$1354*AVERAGE('Assumptions (Hydro)'!$AH$2:$AJ$2)/10^9),0)</f>
        <v>0</v>
      </c>
      <c r="AT1446" s="177">
        <f>IF($AL$1354&gt;0,PPMT('Assumptions (Hydro)'!$V$6,Model!AE$1,'Assumptions (Hydro)'!$V$9,'Assumptions (Hydro)'!$V$4*Model!$AL$1354*AVERAGE('Assumptions (Hydro)'!$AH$2:$AJ$2)/10^9),0)</f>
        <v>0</v>
      </c>
      <c r="AU1446" s="177">
        <f>IF($AL$1354&gt;0,PPMT('Assumptions (Hydro)'!$V$6,Model!AF$1,'Assumptions (Hydro)'!$V$9,'Assumptions (Hydro)'!$V$4*Model!$AL$1354*AVERAGE('Assumptions (Hydro)'!$AH$2:$AJ$2)/10^9),0)</f>
        <v>0</v>
      </c>
      <c r="AV1446" s="177">
        <f>IF($AL$1354&gt;0,PPMT('Assumptions (Hydro)'!$V$6,Model!AG$1,'Assumptions (Hydro)'!$V$9,'Assumptions (Hydro)'!$V$4*Model!$AL$1354*AVERAGE('Assumptions (Hydro)'!$AH$2:$AJ$2)/10^9),0)</f>
        <v>0</v>
      </c>
      <c r="AW1446" s="177">
        <f>IF($AL$1354&gt;0,PPMT('Assumptions (Hydro)'!$V$6,Model!AH$1,'Assumptions (Hydro)'!$V$9,'Assumptions (Hydro)'!$V$4*Model!$AL$1354*AVERAGE('Assumptions (Hydro)'!$AH$2:$AJ$2)/10^9),0)</f>
        <v>0</v>
      </c>
      <c r="AX1446" s="177">
        <f>IF($AL$1354&gt;0,PPMT('Assumptions (Hydro)'!$V$6,Model!AI$1,'Assumptions (Hydro)'!$V$9,'Assumptions (Hydro)'!$V$4*Model!$AL$1354*AVERAGE('Assumptions (Hydro)'!$AH$2:$AJ$2)/10^9),0)</f>
        <v>0</v>
      </c>
      <c r="AY1446" s="177">
        <f>IF($AL$1354&gt;0,PPMT('Assumptions (Hydro)'!$V$6,Model!AJ$1,'Assumptions (Hydro)'!$V$9,'Assumptions (Hydro)'!$V$4*Model!$AL$1354*AVERAGE('Assumptions (Hydro)'!$AH$2:$AJ$2)/10^9),0)</f>
        <v>0</v>
      </c>
      <c r="AZ1446" s="177">
        <f>IF($AL$1354&gt;0,PPMT('Assumptions (Hydro)'!$V$6,Model!AK$1,'Assumptions (Hydro)'!$V$9,'Assumptions (Hydro)'!$V$4*Model!$AL$1354*AVERAGE('Assumptions (Hydro)'!$AH$2:$AJ$2)/10^9),0)</f>
        <v>0</v>
      </c>
      <c r="BA1446" s="177"/>
      <c r="BB1446" s="177"/>
      <c r="BC1446" s="177"/>
      <c r="BD1446" s="177"/>
      <c r="BE1446" s="177"/>
      <c r="BF1446" s="177"/>
      <c r="BG1446" s="177"/>
      <c r="BH1446" s="177"/>
      <c r="BI1446" s="177"/>
      <c r="BJ1446" s="177"/>
    </row>
    <row r="1447" ht="15.75" hidden="1" customHeight="1" outlineLevel="1">
      <c r="A1447" s="273"/>
      <c r="B1447" s="38"/>
      <c r="C1447" s="174"/>
      <c r="D1447" s="174"/>
      <c r="E1447" s="174"/>
      <c r="F1447" s="174"/>
      <c r="G1447" s="174"/>
      <c r="H1447" s="174"/>
      <c r="I1447" s="174"/>
      <c r="J1447" s="174"/>
      <c r="K1447" s="174"/>
      <c r="L1447" s="174"/>
      <c r="M1447" s="174"/>
      <c r="N1447" s="174"/>
      <c r="O1447" s="174"/>
      <c r="P1447" s="174"/>
      <c r="Q1447" s="174"/>
      <c r="R1447" s="174"/>
      <c r="S1447" s="174"/>
      <c r="T1447" s="174"/>
      <c r="U1447" s="174"/>
      <c r="V1447" s="174"/>
      <c r="W1447" s="160"/>
      <c r="X1447" s="160"/>
      <c r="Y1447" s="160"/>
      <c r="Z1447" s="160"/>
      <c r="AA1447" s="160"/>
      <c r="AB1447" s="160"/>
      <c r="AC1447" s="160"/>
      <c r="AD1447" s="160"/>
      <c r="AE1447" s="160"/>
      <c r="AF1447" s="160"/>
      <c r="AG1447" s="160"/>
      <c r="AH1447" s="160"/>
      <c r="AI1447" s="160"/>
      <c r="AJ1447" s="179"/>
      <c r="AK1447" s="160"/>
      <c r="AL1447" s="177"/>
      <c r="AM1447" s="160">
        <f>IF($AM$1354&gt;0,PPMT('Assumptions (Hydro)'!$V$6,Model!W$1,'Assumptions (Hydro)'!$V$9,'Assumptions (Hydro)'!$V$4*Model!$AM$1354*AVERAGE('Assumptions (Hydro)'!$AI$2:$AK$2)/10^9),0)</f>
        <v>0</v>
      </c>
      <c r="AN1447" s="160">
        <f>IF($AM$1354&gt;0,PPMT('Assumptions (Hydro)'!$V$6,Model!X$1,'Assumptions (Hydro)'!$V$9,'Assumptions (Hydro)'!$V$4*Model!$AM$1354*AVERAGE('Assumptions (Hydro)'!$AI$2:$AK$2)/10^9),0)</f>
        <v>0</v>
      </c>
      <c r="AO1447" s="160">
        <f>IF($AM$1354&gt;0,PPMT('Assumptions (Hydro)'!$V$6,Model!Y$1,'Assumptions (Hydro)'!$V$9,'Assumptions (Hydro)'!$V$4*Model!$AM$1354*AVERAGE('Assumptions (Hydro)'!$AI$2:$AK$2)/10^9),0)</f>
        <v>0</v>
      </c>
      <c r="AP1447" s="160">
        <f>IF($AM$1354&gt;0,PPMT('Assumptions (Hydro)'!$V$6,Model!Z$1,'Assumptions (Hydro)'!$V$9,'Assumptions (Hydro)'!$V$4*Model!$AM$1354*AVERAGE('Assumptions (Hydro)'!$AI$2:$AK$2)/10^9),0)</f>
        <v>0</v>
      </c>
      <c r="AQ1447" s="160">
        <f>IF($AM$1354&gt;0,PPMT('Assumptions (Hydro)'!$V$6,Model!AA$1,'Assumptions (Hydro)'!$V$9,'Assumptions (Hydro)'!$V$4*Model!$AM$1354*AVERAGE('Assumptions (Hydro)'!$AI$2:$AK$2)/10^9),0)</f>
        <v>0</v>
      </c>
      <c r="AR1447" s="160">
        <f>IF($AM$1354&gt;0,PPMT('Assumptions (Hydro)'!$V$6,Model!AB$1,'Assumptions (Hydro)'!$V$9,'Assumptions (Hydro)'!$V$4*Model!$AM$1354*AVERAGE('Assumptions (Hydro)'!$AI$2:$AK$2)/10^9),0)</f>
        <v>0</v>
      </c>
      <c r="AS1447" s="160">
        <f>IF($AM$1354&gt;0,PPMT('Assumptions (Hydro)'!$V$6,Model!AC$1,'Assumptions (Hydro)'!$V$9,'Assumptions (Hydro)'!$V$4*Model!$AM$1354*AVERAGE('Assumptions (Hydro)'!$AI$2:$AK$2)/10^9),0)</f>
        <v>0</v>
      </c>
      <c r="AT1447" s="160">
        <f>IF($AM$1354&gt;0,PPMT('Assumptions (Hydro)'!$V$6,Model!AD$1,'Assumptions (Hydro)'!$V$9,'Assumptions (Hydro)'!$V$4*Model!$AM$1354*AVERAGE('Assumptions (Hydro)'!$AI$2:$AK$2)/10^9),0)</f>
        <v>0</v>
      </c>
      <c r="AU1447" s="160">
        <f>IF($AM$1354&gt;0,PPMT('Assumptions (Hydro)'!$V$6,Model!AE$1,'Assumptions (Hydro)'!$V$9,'Assumptions (Hydro)'!$V$4*Model!$AM$1354*AVERAGE('Assumptions (Hydro)'!$AI$2:$AK$2)/10^9),0)</f>
        <v>0</v>
      </c>
      <c r="AV1447" s="160">
        <f>IF($AM$1354&gt;0,PPMT('Assumptions (Hydro)'!$V$6,Model!AF$1,'Assumptions (Hydro)'!$V$9,'Assumptions (Hydro)'!$V$4*Model!$AM$1354*AVERAGE('Assumptions (Hydro)'!$AI$2:$AK$2)/10^9),0)</f>
        <v>0</v>
      </c>
      <c r="AW1447" s="160">
        <f>IF($AM$1354&gt;0,PPMT('Assumptions (Hydro)'!$V$6,Model!AG$1,'Assumptions (Hydro)'!$V$9,'Assumptions (Hydro)'!$V$4*Model!$AM$1354*AVERAGE('Assumptions (Hydro)'!$AI$2:$AK$2)/10^9),0)</f>
        <v>0</v>
      </c>
      <c r="AX1447" s="160">
        <f>IF($AM$1354&gt;0,PPMT('Assumptions (Hydro)'!$V$6,Model!AH$1,'Assumptions (Hydro)'!$V$9,'Assumptions (Hydro)'!$V$4*Model!$AM$1354*AVERAGE('Assumptions (Hydro)'!$AI$2:$AK$2)/10^9),0)</f>
        <v>0</v>
      </c>
      <c r="AY1447" s="160">
        <f>IF($AM$1354&gt;0,PPMT('Assumptions (Hydro)'!$V$6,Model!AI$1,'Assumptions (Hydro)'!$V$9,'Assumptions (Hydro)'!$V$4*Model!$AM$1354*AVERAGE('Assumptions (Hydro)'!$AI$2:$AK$2)/10^9),0)</f>
        <v>0</v>
      </c>
      <c r="AZ1447" s="160">
        <f>IF($AM$1354&gt;0,PPMT('Assumptions (Hydro)'!$V$6,Model!AJ$1,'Assumptions (Hydro)'!$V$9,'Assumptions (Hydro)'!$V$4*Model!$AM$1354*AVERAGE('Assumptions (Hydro)'!$AI$2:$AK$2)/10^9),0)</f>
        <v>0</v>
      </c>
      <c r="BA1447" s="160">
        <f>IF($AM$1354&gt;0,PPMT('Assumptions (Hydro)'!$V$6,Model!AK$1,'Assumptions (Hydro)'!$V$9,'Assumptions (Hydro)'!$V$4*Model!$AM$1354*AVERAGE('Assumptions (Hydro)'!$AI$2:$AK$2)/10^9),0)</f>
        <v>0</v>
      </c>
      <c r="BB1447" s="160"/>
      <c r="BC1447" s="160"/>
      <c r="BD1447" s="160"/>
      <c r="BE1447" s="160"/>
      <c r="BF1447" s="160"/>
      <c r="BG1447" s="160"/>
      <c r="BH1447" s="160"/>
      <c r="BI1447" s="160"/>
      <c r="BJ1447" s="160"/>
      <c r="BK1447" s="160"/>
    </row>
    <row r="1448" ht="15.75" hidden="1" customHeight="1" outlineLevel="1">
      <c r="A1448" s="273"/>
      <c r="B1448" s="38"/>
      <c r="C1448" s="174"/>
      <c r="D1448" s="174"/>
      <c r="E1448" s="174"/>
      <c r="F1448" s="174"/>
      <c r="G1448" s="174"/>
      <c r="H1448" s="174"/>
      <c r="I1448" s="174"/>
      <c r="J1448" s="174"/>
      <c r="K1448" s="174"/>
      <c r="L1448" s="174"/>
      <c r="M1448" s="174"/>
      <c r="N1448" s="174"/>
      <c r="O1448" s="174"/>
      <c r="P1448" s="174"/>
      <c r="Q1448" s="174"/>
      <c r="R1448" s="174"/>
      <c r="S1448" s="174"/>
      <c r="T1448" s="174"/>
      <c r="U1448" s="174"/>
      <c r="V1448" s="174"/>
      <c r="W1448" s="160"/>
      <c r="X1448" s="160"/>
      <c r="Y1448" s="160"/>
      <c r="Z1448" s="160"/>
      <c r="AA1448" s="160"/>
      <c r="AB1448" s="160"/>
      <c r="AC1448" s="160"/>
      <c r="AD1448" s="160"/>
      <c r="AE1448" s="160"/>
      <c r="AF1448" s="160"/>
      <c r="AG1448" s="160"/>
      <c r="AH1448" s="160"/>
      <c r="AI1448" s="160"/>
      <c r="AJ1448" s="179"/>
      <c r="AK1448" s="160"/>
      <c r="AL1448" s="177"/>
      <c r="AM1448" s="177"/>
      <c r="AN1448" s="160">
        <f>IF($AN$1354&gt;0,PPMT('Assumptions (Hydro)'!$V$6,Model!W$1,'Assumptions (Hydro)'!$V$9,'Assumptions (Hydro)'!$V$4*Model!$AN$1354*AVERAGE('Assumptions (Hydro)'!$AJ$2:$AL$2)/10^9),0)</f>
        <v>0</v>
      </c>
      <c r="AO1448" s="160">
        <f>IF($AN$1354&gt;0,PPMT('Assumptions (Hydro)'!$V$6,Model!X$1,'Assumptions (Hydro)'!$V$9,'Assumptions (Hydro)'!$V$4*Model!$AN$1354*AVERAGE('Assumptions (Hydro)'!$AJ$2:$AL$2)/10^9),0)</f>
        <v>0</v>
      </c>
      <c r="AP1448" s="160">
        <f>IF($AN$1354&gt;0,PPMT('Assumptions (Hydro)'!$V$6,Model!Y$1,'Assumptions (Hydro)'!$V$9,'Assumptions (Hydro)'!$V$4*Model!$AN$1354*AVERAGE('Assumptions (Hydro)'!$AJ$2:$AL$2)/10^9),0)</f>
        <v>0</v>
      </c>
      <c r="AQ1448" s="160">
        <f>IF($AN$1354&gt;0,PPMT('Assumptions (Hydro)'!$V$6,Model!Z$1,'Assumptions (Hydro)'!$V$9,'Assumptions (Hydro)'!$V$4*Model!$AN$1354*AVERAGE('Assumptions (Hydro)'!$AJ$2:$AL$2)/10^9),0)</f>
        <v>0</v>
      </c>
      <c r="AR1448" s="160">
        <f>IF($AN$1354&gt;0,PPMT('Assumptions (Hydro)'!$V$6,Model!AA$1,'Assumptions (Hydro)'!$V$9,'Assumptions (Hydro)'!$V$4*Model!$AN$1354*AVERAGE('Assumptions (Hydro)'!$AJ$2:$AL$2)/10^9),0)</f>
        <v>0</v>
      </c>
      <c r="AS1448" s="160">
        <f>IF($AN$1354&gt;0,PPMT('Assumptions (Hydro)'!$V$6,Model!AB$1,'Assumptions (Hydro)'!$V$9,'Assumptions (Hydro)'!$V$4*Model!$AN$1354*AVERAGE('Assumptions (Hydro)'!$AJ$2:$AL$2)/10^9),0)</f>
        <v>0</v>
      </c>
      <c r="AT1448" s="160">
        <f>IF($AN$1354&gt;0,PPMT('Assumptions (Hydro)'!$V$6,Model!AC$1,'Assumptions (Hydro)'!$V$9,'Assumptions (Hydro)'!$V$4*Model!$AN$1354*AVERAGE('Assumptions (Hydro)'!$AJ$2:$AL$2)/10^9),0)</f>
        <v>0</v>
      </c>
      <c r="AU1448" s="160">
        <f>IF($AN$1354&gt;0,PPMT('Assumptions (Hydro)'!$V$6,Model!AD$1,'Assumptions (Hydro)'!$V$9,'Assumptions (Hydro)'!$V$4*Model!$AN$1354*AVERAGE('Assumptions (Hydro)'!$AJ$2:$AL$2)/10^9),0)</f>
        <v>0</v>
      </c>
      <c r="AV1448" s="160">
        <f>IF($AN$1354&gt;0,PPMT('Assumptions (Hydro)'!$V$6,Model!AE$1,'Assumptions (Hydro)'!$V$9,'Assumptions (Hydro)'!$V$4*Model!$AN$1354*AVERAGE('Assumptions (Hydro)'!$AJ$2:$AL$2)/10^9),0)</f>
        <v>0</v>
      </c>
      <c r="AW1448" s="160">
        <f>IF($AN$1354&gt;0,PPMT('Assumptions (Hydro)'!$V$6,Model!AF$1,'Assumptions (Hydro)'!$V$9,'Assumptions (Hydro)'!$V$4*Model!$AN$1354*AVERAGE('Assumptions (Hydro)'!$AJ$2:$AL$2)/10^9),0)</f>
        <v>0</v>
      </c>
      <c r="AX1448" s="160">
        <f>IF($AN$1354&gt;0,PPMT('Assumptions (Hydro)'!$V$6,Model!AG$1,'Assumptions (Hydro)'!$V$9,'Assumptions (Hydro)'!$V$4*Model!$AN$1354*AVERAGE('Assumptions (Hydro)'!$AJ$2:$AL$2)/10^9),0)</f>
        <v>0</v>
      </c>
      <c r="AY1448" s="160">
        <f>IF($AN$1354&gt;0,PPMT('Assumptions (Hydro)'!$V$6,Model!AH$1,'Assumptions (Hydro)'!$V$9,'Assumptions (Hydro)'!$V$4*Model!$AN$1354*AVERAGE('Assumptions (Hydro)'!$AJ$2:$AL$2)/10^9),0)</f>
        <v>0</v>
      </c>
      <c r="AZ1448" s="160">
        <f>IF($AN$1354&gt;0,PPMT('Assumptions (Hydro)'!$V$6,Model!AI$1,'Assumptions (Hydro)'!$V$9,'Assumptions (Hydro)'!$V$4*Model!$AN$1354*AVERAGE('Assumptions (Hydro)'!$AJ$2:$AL$2)/10^9),0)</f>
        <v>0</v>
      </c>
      <c r="BA1448" s="160">
        <f>IF($AN$1354&gt;0,PPMT('Assumptions (Hydro)'!$V$6,Model!AJ$1,'Assumptions (Hydro)'!$V$9,'Assumptions (Hydro)'!$V$4*Model!$AN$1354*AVERAGE('Assumptions (Hydro)'!$AJ$2:$AL$2)/10^9),0)</f>
        <v>0</v>
      </c>
      <c r="BB1448" s="160">
        <f>IF($AN$1354&gt;0,PPMT('Assumptions (Hydro)'!$V$6,Model!AK$1,'Assumptions (Hydro)'!$V$9,'Assumptions (Hydro)'!$V$4*Model!$AN$1354*AVERAGE('Assumptions (Hydro)'!$AJ$2:$AL$2)/10^9),0)</f>
        <v>0</v>
      </c>
      <c r="BC1448" s="160"/>
      <c r="BD1448" s="160"/>
      <c r="BE1448" s="160"/>
      <c r="BF1448" s="160"/>
      <c r="BG1448" s="160"/>
      <c r="BH1448" s="160"/>
      <c r="BI1448" s="160"/>
      <c r="BJ1448" s="160"/>
      <c r="BK1448" s="160"/>
      <c r="BL1448" s="160"/>
    </row>
    <row r="1449" ht="15.75" hidden="1" customHeight="1" outlineLevel="1">
      <c r="A1449" s="273"/>
      <c r="B1449" s="38"/>
      <c r="C1449" s="174"/>
      <c r="D1449" s="174"/>
      <c r="E1449" s="174"/>
      <c r="F1449" s="174"/>
      <c r="G1449" s="174"/>
      <c r="H1449" s="174"/>
      <c r="I1449" s="174"/>
      <c r="J1449" s="174"/>
      <c r="K1449" s="174"/>
      <c r="L1449" s="174"/>
      <c r="M1449" s="174"/>
      <c r="N1449" s="174"/>
      <c r="O1449" s="174"/>
      <c r="P1449" s="174"/>
      <c r="Q1449" s="174"/>
      <c r="R1449" s="174"/>
      <c r="S1449" s="174"/>
      <c r="T1449" s="174"/>
      <c r="U1449" s="174"/>
      <c r="V1449" s="174"/>
      <c r="W1449" s="160"/>
      <c r="X1449" s="160"/>
      <c r="Y1449" s="160"/>
      <c r="Z1449" s="160"/>
      <c r="AA1449" s="160"/>
      <c r="AB1449" s="160"/>
      <c r="AC1449" s="160"/>
      <c r="AD1449" s="160"/>
      <c r="AE1449" s="160"/>
      <c r="AF1449" s="160"/>
      <c r="AG1449" s="160"/>
      <c r="AH1449" s="160"/>
      <c r="AI1449" s="160"/>
      <c r="AJ1449" s="179"/>
      <c r="AK1449" s="160"/>
      <c r="AL1449" s="177"/>
      <c r="AM1449" s="177"/>
      <c r="AN1449" s="177"/>
      <c r="AO1449" s="160">
        <f>IF($AO$1354&gt;0,PPMT('Assumptions (Hydro)'!$V$6,Model!W$1,'Assumptions (Hydro)'!$V$9,'Assumptions (Hydro)'!$V$4*Model!$AO$1354*AVERAGE('Assumptions (Hydro)'!$AK$2:$AM$2)/10^9),0)</f>
        <v>0</v>
      </c>
      <c r="AP1449" s="160">
        <f>IF($AO$1354&gt;0,PPMT('Assumptions (Hydro)'!$V$6,Model!X$1,'Assumptions (Hydro)'!$V$9,'Assumptions (Hydro)'!$V$4*Model!$AO$1354*AVERAGE('Assumptions (Hydro)'!$AK$2:$AM$2)/10^9),0)</f>
        <v>0</v>
      </c>
      <c r="AQ1449" s="160">
        <f>IF($AO$1354&gt;0,PPMT('Assumptions (Hydro)'!$V$6,Model!Y$1,'Assumptions (Hydro)'!$V$9,'Assumptions (Hydro)'!$V$4*Model!$AO$1354*AVERAGE('Assumptions (Hydro)'!$AK$2:$AM$2)/10^9),0)</f>
        <v>0</v>
      </c>
      <c r="AR1449" s="160">
        <f>IF($AO$1354&gt;0,PPMT('Assumptions (Hydro)'!$V$6,Model!Z$1,'Assumptions (Hydro)'!$V$9,'Assumptions (Hydro)'!$V$4*Model!$AO$1354*AVERAGE('Assumptions (Hydro)'!$AK$2:$AM$2)/10^9),0)</f>
        <v>0</v>
      </c>
      <c r="AS1449" s="160">
        <f>IF($AO$1354&gt;0,PPMT('Assumptions (Hydro)'!$V$6,Model!AA$1,'Assumptions (Hydro)'!$V$9,'Assumptions (Hydro)'!$V$4*Model!$AO$1354*AVERAGE('Assumptions (Hydro)'!$AK$2:$AM$2)/10^9),0)</f>
        <v>0</v>
      </c>
      <c r="AT1449" s="160">
        <f>IF($AO$1354&gt;0,PPMT('Assumptions (Hydro)'!$V$6,Model!AB$1,'Assumptions (Hydro)'!$V$9,'Assumptions (Hydro)'!$V$4*Model!$AO$1354*AVERAGE('Assumptions (Hydro)'!$AK$2:$AM$2)/10^9),0)</f>
        <v>0</v>
      </c>
      <c r="AU1449" s="160">
        <f>IF($AO$1354&gt;0,PPMT('Assumptions (Hydro)'!$V$6,Model!AC$1,'Assumptions (Hydro)'!$V$9,'Assumptions (Hydro)'!$V$4*Model!$AO$1354*AVERAGE('Assumptions (Hydro)'!$AK$2:$AM$2)/10^9),0)</f>
        <v>0</v>
      </c>
      <c r="AV1449" s="160">
        <f>IF($AO$1354&gt;0,PPMT('Assumptions (Hydro)'!$V$6,Model!AD$1,'Assumptions (Hydro)'!$V$9,'Assumptions (Hydro)'!$V$4*Model!$AO$1354*AVERAGE('Assumptions (Hydro)'!$AK$2:$AM$2)/10^9),0)</f>
        <v>0</v>
      </c>
      <c r="AW1449" s="160">
        <f>IF($AO$1354&gt;0,PPMT('Assumptions (Hydro)'!$V$6,Model!AE$1,'Assumptions (Hydro)'!$V$9,'Assumptions (Hydro)'!$V$4*Model!$AO$1354*AVERAGE('Assumptions (Hydro)'!$AK$2:$AM$2)/10^9),0)</f>
        <v>0</v>
      </c>
      <c r="AX1449" s="160">
        <f>IF($AO$1354&gt;0,PPMT('Assumptions (Hydro)'!$V$6,Model!AF$1,'Assumptions (Hydro)'!$V$9,'Assumptions (Hydro)'!$V$4*Model!$AO$1354*AVERAGE('Assumptions (Hydro)'!$AK$2:$AM$2)/10^9),0)</f>
        <v>0</v>
      </c>
      <c r="AY1449" s="160">
        <f>IF($AO$1354&gt;0,PPMT('Assumptions (Hydro)'!$V$6,Model!AG$1,'Assumptions (Hydro)'!$V$9,'Assumptions (Hydro)'!$V$4*Model!$AO$1354*AVERAGE('Assumptions (Hydro)'!$AK$2:$AM$2)/10^9),0)</f>
        <v>0</v>
      </c>
      <c r="AZ1449" s="160">
        <f>IF($AO$1354&gt;0,PPMT('Assumptions (Hydro)'!$V$6,Model!AH$1,'Assumptions (Hydro)'!$V$9,'Assumptions (Hydro)'!$V$4*Model!$AO$1354*AVERAGE('Assumptions (Hydro)'!$AK$2:$AM$2)/10^9),0)</f>
        <v>0</v>
      </c>
      <c r="BA1449" s="160">
        <f>IF($AO$1354&gt;0,PPMT('Assumptions (Hydro)'!$V$6,Model!AI$1,'Assumptions (Hydro)'!$V$9,'Assumptions (Hydro)'!$V$4*Model!$AO$1354*AVERAGE('Assumptions (Hydro)'!$AK$2:$AM$2)/10^9),0)</f>
        <v>0</v>
      </c>
      <c r="BB1449" s="160">
        <f>IF($AO$1354&gt;0,PPMT('Assumptions (Hydro)'!$V$6,Model!AJ$1,'Assumptions (Hydro)'!$V$9,'Assumptions (Hydro)'!$V$4*Model!$AO$1354*AVERAGE('Assumptions (Hydro)'!$AK$2:$AM$2)/10^9),0)</f>
        <v>0</v>
      </c>
      <c r="BC1449" s="160">
        <f>IF($AO$1354&gt;0,PPMT('Assumptions (Hydro)'!$V$6,Model!AK$1,'Assumptions (Hydro)'!$V$9,'Assumptions (Hydro)'!$V$4*Model!$AO$1354*AVERAGE('Assumptions (Hydro)'!$AK$2:$AM$2)/10^9),0)</f>
        <v>0</v>
      </c>
      <c r="BD1449" s="160"/>
      <c r="BE1449" s="160"/>
      <c r="BF1449" s="160"/>
      <c r="BG1449" s="160"/>
      <c r="BH1449" s="160"/>
      <c r="BI1449" s="160"/>
      <c r="BJ1449" s="160"/>
      <c r="BK1449" s="160"/>
      <c r="BL1449" s="160"/>
      <c r="BM1449" s="160"/>
    </row>
    <row r="1450" ht="15.75" hidden="1" customHeight="1" outlineLevel="1">
      <c r="A1450" s="273"/>
      <c r="B1450" s="38"/>
      <c r="C1450" s="174"/>
      <c r="D1450" s="174"/>
      <c r="E1450" s="174"/>
      <c r="F1450" s="174"/>
      <c r="G1450" s="174"/>
      <c r="H1450" s="174"/>
      <c r="I1450" s="174"/>
      <c r="J1450" s="174"/>
      <c r="K1450" s="174"/>
      <c r="L1450" s="174"/>
      <c r="M1450" s="174"/>
      <c r="N1450" s="174"/>
      <c r="O1450" s="174"/>
      <c r="P1450" s="174"/>
      <c r="Q1450" s="174"/>
      <c r="R1450" s="174"/>
      <c r="S1450" s="174"/>
      <c r="T1450" s="174"/>
      <c r="U1450" s="174"/>
      <c r="V1450" s="174"/>
      <c r="W1450" s="160"/>
      <c r="X1450" s="160"/>
      <c r="Y1450" s="160"/>
      <c r="Z1450" s="160"/>
      <c r="AA1450" s="160"/>
      <c r="AB1450" s="160"/>
      <c r="AC1450" s="160"/>
      <c r="AD1450" s="160"/>
      <c r="AE1450" s="160"/>
      <c r="AF1450" s="160"/>
      <c r="AG1450" s="160"/>
      <c r="AH1450" s="160"/>
      <c r="AI1450" s="160"/>
      <c r="AJ1450" s="179"/>
      <c r="AK1450" s="160"/>
      <c r="AL1450" s="177"/>
      <c r="AM1450" s="177"/>
      <c r="AN1450" s="177"/>
      <c r="AO1450" s="160"/>
      <c r="AP1450" s="160">
        <f>IF($AP$1354&gt;0,PPMT('Assumptions (Hydro)'!$V$6,Model!W$1,'Assumptions (Hydro)'!$V$9,'Assumptions (Hydro)'!$V$4*Model!$AP$1354*AVERAGE('Assumptions (Hydro)'!$AL$2:$AN$2)/10^9),0)</f>
        <v>0</v>
      </c>
      <c r="AQ1450" s="160">
        <f>IF($AP$1354&gt;0,PPMT('Assumptions (Hydro)'!$V$6,Model!X$1,'Assumptions (Hydro)'!$V$9,'Assumptions (Hydro)'!$V$4*Model!$AP$1354*AVERAGE('Assumptions (Hydro)'!$AL$2:$AN$2)/10^9),0)</f>
        <v>0</v>
      </c>
      <c r="AR1450" s="160">
        <f>IF($AP$1354&gt;0,PPMT('Assumptions (Hydro)'!$V$6,Model!Y$1,'Assumptions (Hydro)'!$V$9,'Assumptions (Hydro)'!$V$4*Model!$AP$1354*AVERAGE('Assumptions (Hydro)'!$AL$2:$AN$2)/10^9),0)</f>
        <v>0</v>
      </c>
      <c r="AS1450" s="160">
        <f>IF($AP$1354&gt;0,PPMT('Assumptions (Hydro)'!$V$6,Model!Z$1,'Assumptions (Hydro)'!$V$9,'Assumptions (Hydro)'!$V$4*Model!$AP$1354*AVERAGE('Assumptions (Hydro)'!$AL$2:$AN$2)/10^9),0)</f>
        <v>0</v>
      </c>
      <c r="AT1450" s="160">
        <f>IF($AP$1354&gt;0,PPMT('Assumptions (Hydro)'!$V$6,Model!AA$1,'Assumptions (Hydro)'!$V$9,'Assumptions (Hydro)'!$V$4*Model!$AP$1354*AVERAGE('Assumptions (Hydro)'!$AL$2:$AN$2)/10^9),0)</f>
        <v>0</v>
      </c>
      <c r="AU1450" s="160">
        <f>IF($AP$1354&gt;0,PPMT('Assumptions (Hydro)'!$V$6,Model!AB$1,'Assumptions (Hydro)'!$V$9,'Assumptions (Hydro)'!$V$4*Model!$AP$1354*AVERAGE('Assumptions (Hydro)'!$AL$2:$AN$2)/10^9),0)</f>
        <v>0</v>
      </c>
      <c r="AV1450" s="160">
        <f>IF($AP$1354&gt;0,PPMT('Assumptions (Hydro)'!$V$6,Model!AC$1,'Assumptions (Hydro)'!$V$9,'Assumptions (Hydro)'!$V$4*Model!$AP$1354*AVERAGE('Assumptions (Hydro)'!$AL$2:$AN$2)/10^9),0)</f>
        <v>0</v>
      </c>
      <c r="AW1450" s="160">
        <f>IF($AP$1354&gt;0,PPMT('Assumptions (Hydro)'!$V$6,Model!AD$1,'Assumptions (Hydro)'!$V$9,'Assumptions (Hydro)'!$V$4*Model!$AP$1354*AVERAGE('Assumptions (Hydro)'!$AL$2:$AN$2)/10^9),0)</f>
        <v>0</v>
      </c>
      <c r="AX1450" s="160">
        <f>IF($AP$1354&gt;0,PPMT('Assumptions (Hydro)'!$V$6,Model!AE$1,'Assumptions (Hydro)'!$V$9,'Assumptions (Hydro)'!$V$4*Model!$AP$1354*AVERAGE('Assumptions (Hydro)'!$AL$2:$AN$2)/10^9),0)</f>
        <v>0</v>
      </c>
      <c r="AY1450" s="160">
        <f>IF($AP$1354&gt;0,PPMT('Assumptions (Hydro)'!$V$6,Model!AF$1,'Assumptions (Hydro)'!$V$9,'Assumptions (Hydro)'!$V$4*Model!$AP$1354*AVERAGE('Assumptions (Hydro)'!$AL$2:$AN$2)/10^9),0)</f>
        <v>0</v>
      </c>
      <c r="AZ1450" s="160">
        <f>IF($AP$1354&gt;0,PPMT('Assumptions (Hydro)'!$V$6,Model!AG$1,'Assumptions (Hydro)'!$V$9,'Assumptions (Hydro)'!$V$4*Model!$AP$1354*AVERAGE('Assumptions (Hydro)'!$AL$2:$AN$2)/10^9),0)</f>
        <v>0</v>
      </c>
      <c r="BA1450" s="160">
        <f>IF($AP$1354&gt;0,PPMT('Assumptions (Hydro)'!$V$6,Model!AH$1,'Assumptions (Hydro)'!$V$9,'Assumptions (Hydro)'!$V$4*Model!$AP$1354*AVERAGE('Assumptions (Hydro)'!$AL$2:$AN$2)/10^9),0)</f>
        <v>0</v>
      </c>
      <c r="BB1450" s="160">
        <f>IF($AP$1354&gt;0,PPMT('Assumptions (Hydro)'!$V$6,Model!AI$1,'Assumptions (Hydro)'!$V$9,'Assumptions (Hydro)'!$V$4*Model!$AP$1354*AVERAGE('Assumptions (Hydro)'!$AL$2:$AN$2)/10^9),0)</f>
        <v>0</v>
      </c>
      <c r="BC1450" s="160">
        <f>IF($AP$1354&gt;0,PPMT('Assumptions (Hydro)'!$V$6,Model!AJ$1,'Assumptions (Hydro)'!$V$9,'Assumptions (Hydro)'!$V$4*Model!$AP$1354*AVERAGE('Assumptions (Hydro)'!$AL$2:$AN$2)/10^9),0)</f>
        <v>0</v>
      </c>
      <c r="BD1450" s="160">
        <f>IF($AP$1354&gt;0,PPMT('Assumptions (Hydro)'!$V$6,Model!AK$1,'Assumptions (Hydro)'!$V$9,'Assumptions (Hydro)'!$V$4*Model!$AP$1354*AVERAGE('Assumptions (Hydro)'!$AL$2:$AN$2)/10^9),0)</f>
        <v>0</v>
      </c>
      <c r="BE1450" s="160"/>
      <c r="BF1450" s="160"/>
      <c r="BG1450" s="160"/>
      <c r="BH1450" s="160"/>
      <c r="BI1450" s="160"/>
      <c r="BJ1450" s="160"/>
      <c r="BK1450" s="160"/>
      <c r="BL1450" s="160"/>
      <c r="BM1450" s="160"/>
      <c r="BN1450" s="160"/>
    </row>
    <row r="1451" ht="15.75" hidden="1" customHeight="1" outlineLevel="1">
      <c r="A1451" s="273"/>
      <c r="B1451" s="38"/>
      <c r="C1451" s="174"/>
      <c r="D1451" s="174"/>
      <c r="E1451" s="174"/>
      <c r="F1451" s="174"/>
      <c r="G1451" s="174"/>
      <c r="H1451" s="174"/>
      <c r="I1451" s="174"/>
      <c r="J1451" s="174"/>
      <c r="K1451" s="174"/>
      <c r="L1451" s="174"/>
      <c r="M1451" s="174"/>
      <c r="N1451" s="174"/>
      <c r="O1451" s="174"/>
      <c r="P1451" s="174"/>
      <c r="Q1451" s="174"/>
      <c r="R1451" s="174"/>
      <c r="S1451" s="174"/>
      <c r="T1451" s="174"/>
      <c r="U1451" s="174"/>
      <c r="V1451" s="174"/>
      <c r="W1451" s="160"/>
      <c r="X1451" s="160"/>
      <c r="Y1451" s="160"/>
      <c r="Z1451" s="160"/>
      <c r="AA1451" s="160"/>
      <c r="AB1451" s="160"/>
      <c r="AC1451" s="160"/>
      <c r="AD1451" s="160"/>
      <c r="AE1451" s="160"/>
      <c r="AF1451" s="160"/>
      <c r="AG1451" s="160"/>
      <c r="AH1451" s="160"/>
      <c r="AI1451" s="160"/>
      <c r="AJ1451" s="179"/>
      <c r="AK1451" s="160"/>
      <c r="AL1451" s="177"/>
      <c r="AM1451" s="177"/>
      <c r="AN1451" s="177"/>
      <c r="AO1451" s="160"/>
      <c r="AP1451" s="160"/>
      <c r="AQ1451" s="160">
        <f>IF($AQ$1354&gt;0,PPMT('Assumptions (Hydro)'!$V$6,Model!W$1,'Assumptions (Hydro)'!$V$9,'Assumptions (Hydro)'!$V$4*Model!$AQ$1354*AVERAGE('Assumptions (Hydro)'!$AM$2:$AO$2)/10^9),0)</f>
        <v>0</v>
      </c>
      <c r="AR1451" s="160">
        <f>IF($AQ$1354&gt;0,PPMT('Assumptions (Hydro)'!$V$6,Model!X$1,'Assumptions (Hydro)'!$V$9,'Assumptions (Hydro)'!$V$4*Model!$AQ$1354*AVERAGE('Assumptions (Hydro)'!$AM$2:$AO$2)/10^9),0)</f>
        <v>0</v>
      </c>
      <c r="AS1451" s="160">
        <f>IF($AQ$1354&gt;0,PPMT('Assumptions (Hydro)'!$V$6,Model!Y$1,'Assumptions (Hydro)'!$V$9,'Assumptions (Hydro)'!$V$4*Model!$AQ$1354*AVERAGE('Assumptions (Hydro)'!$AM$2:$AO$2)/10^9),0)</f>
        <v>0</v>
      </c>
      <c r="AT1451" s="160">
        <f>IF($AQ$1354&gt;0,PPMT('Assumptions (Hydro)'!$V$6,Model!Z$1,'Assumptions (Hydro)'!$V$9,'Assumptions (Hydro)'!$V$4*Model!$AQ$1354*AVERAGE('Assumptions (Hydro)'!$AM$2:$AO$2)/10^9),0)</f>
        <v>0</v>
      </c>
      <c r="AU1451" s="160">
        <f>IF($AQ$1354&gt;0,PPMT('Assumptions (Hydro)'!$V$6,Model!AA$1,'Assumptions (Hydro)'!$V$9,'Assumptions (Hydro)'!$V$4*Model!$AQ$1354*AVERAGE('Assumptions (Hydro)'!$AM$2:$AO$2)/10^9),0)</f>
        <v>0</v>
      </c>
      <c r="AV1451" s="160">
        <f>IF($AQ$1354&gt;0,PPMT('Assumptions (Hydro)'!$V$6,Model!AB$1,'Assumptions (Hydro)'!$V$9,'Assumptions (Hydro)'!$V$4*Model!$AQ$1354*AVERAGE('Assumptions (Hydro)'!$AM$2:$AO$2)/10^9),0)</f>
        <v>0</v>
      </c>
      <c r="AW1451" s="160">
        <f>IF($AQ$1354&gt;0,PPMT('Assumptions (Hydro)'!$V$6,Model!AC$1,'Assumptions (Hydro)'!$V$9,'Assumptions (Hydro)'!$V$4*Model!$AQ$1354*AVERAGE('Assumptions (Hydro)'!$AM$2:$AO$2)/10^9),0)</f>
        <v>0</v>
      </c>
      <c r="AX1451" s="160">
        <f>IF($AQ$1354&gt;0,PPMT('Assumptions (Hydro)'!$V$6,Model!AD$1,'Assumptions (Hydro)'!$V$9,'Assumptions (Hydro)'!$V$4*Model!$AQ$1354*AVERAGE('Assumptions (Hydro)'!$AM$2:$AO$2)/10^9),0)</f>
        <v>0</v>
      </c>
      <c r="AY1451" s="160">
        <f>IF($AQ$1354&gt;0,PPMT('Assumptions (Hydro)'!$V$6,Model!AE$1,'Assumptions (Hydro)'!$V$9,'Assumptions (Hydro)'!$V$4*Model!$AQ$1354*AVERAGE('Assumptions (Hydro)'!$AM$2:$AO$2)/10^9),0)</f>
        <v>0</v>
      </c>
      <c r="AZ1451" s="160">
        <f>IF($AQ$1354&gt;0,PPMT('Assumptions (Hydro)'!$V$6,Model!AF$1,'Assumptions (Hydro)'!$V$9,'Assumptions (Hydro)'!$V$4*Model!$AQ$1354*AVERAGE('Assumptions (Hydro)'!$AM$2:$AO$2)/10^9),0)</f>
        <v>0</v>
      </c>
      <c r="BA1451" s="160">
        <f>IF($AQ$1354&gt;0,PPMT('Assumptions (Hydro)'!$V$6,Model!AG$1,'Assumptions (Hydro)'!$V$9,'Assumptions (Hydro)'!$V$4*Model!$AQ$1354*AVERAGE('Assumptions (Hydro)'!$AM$2:$AO$2)/10^9),0)</f>
        <v>0</v>
      </c>
      <c r="BB1451" s="160">
        <f>IF($AQ$1354&gt;0,PPMT('Assumptions (Hydro)'!$V$6,Model!AH$1,'Assumptions (Hydro)'!$V$9,'Assumptions (Hydro)'!$V$4*Model!$AQ$1354*AVERAGE('Assumptions (Hydro)'!$AM$2:$AO$2)/10^9),0)</f>
        <v>0</v>
      </c>
      <c r="BC1451" s="160">
        <f>IF($AQ$1354&gt;0,PPMT('Assumptions (Hydro)'!$V$6,Model!AI$1,'Assumptions (Hydro)'!$V$9,'Assumptions (Hydro)'!$V$4*Model!$AQ$1354*AVERAGE('Assumptions (Hydro)'!$AM$2:$AO$2)/10^9),0)</f>
        <v>0</v>
      </c>
      <c r="BD1451" s="160">
        <f>IF($AQ$1354&gt;0,PPMT('Assumptions (Hydro)'!$V$6,Model!AJ$1,'Assumptions (Hydro)'!$V$9,'Assumptions (Hydro)'!$V$4*Model!$AQ$1354*AVERAGE('Assumptions (Hydro)'!$AM$2:$AO$2)/10^9),0)</f>
        <v>0</v>
      </c>
      <c r="BE1451" s="160">
        <f>IF($AQ$1354&gt;0,PPMT('Assumptions (Hydro)'!$V$6,Model!AK$1,'Assumptions (Hydro)'!$V$9,'Assumptions (Hydro)'!$V$4*Model!$AQ$1354*AVERAGE('Assumptions (Hydro)'!$AM$2:$AO$2)/10^9),0)</f>
        <v>0</v>
      </c>
      <c r="BF1451" s="160"/>
      <c r="BG1451" s="160"/>
      <c r="BH1451" s="160"/>
      <c r="BI1451" s="160"/>
      <c r="BJ1451" s="160"/>
      <c r="BK1451" s="160"/>
      <c r="BL1451" s="160"/>
      <c r="BM1451" s="160"/>
      <c r="BN1451" s="160"/>
      <c r="BO1451" s="160"/>
    </row>
    <row r="1452" ht="15.75" hidden="1" customHeight="1" outlineLevel="1">
      <c r="A1452" s="273"/>
      <c r="B1452" s="38"/>
      <c r="C1452" s="174"/>
      <c r="D1452" s="174"/>
      <c r="E1452" s="174"/>
      <c r="F1452" s="174"/>
      <c r="G1452" s="174"/>
      <c r="H1452" s="174"/>
      <c r="I1452" s="174"/>
      <c r="J1452" s="174"/>
      <c r="K1452" s="174"/>
      <c r="L1452" s="174"/>
      <c r="M1452" s="174"/>
      <c r="N1452" s="174"/>
      <c r="O1452" s="174"/>
      <c r="P1452" s="174"/>
      <c r="Q1452" s="174"/>
      <c r="R1452" s="174"/>
      <c r="S1452" s="174"/>
      <c r="T1452" s="174"/>
      <c r="U1452" s="174"/>
      <c r="V1452" s="174"/>
      <c r="W1452" s="160"/>
      <c r="X1452" s="160"/>
      <c r="Y1452" s="160"/>
      <c r="Z1452" s="160"/>
      <c r="AA1452" s="160"/>
      <c r="AB1452" s="160"/>
      <c r="AC1452" s="160"/>
      <c r="AD1452" s="160"/>
      <c r="AE1452" s="160"/>
      <c r="AF1452" s="160"/>
      <c r="AG1452" s="160"/>
      <c r="AH1452" s="160"/>
      <c r="AI1452" s="160"/>
      <c r="AJ1452" s="179"/>
      <c r="AK1452" s="160"/>
      <c r="AL1452" s="177"/>
      <c r="AM1452" s="177"/>
      <c r="AN1452" s="177"/>
      <c r="AO1452" s="160"/>
      <c r="AP1452" s="160"/>
      <c r="AQ1452" s="160"/>
      <c r="AR1452" s="160">
        <f>IF($AR$1354&gt;0,PPMT('Assumptions (Hydro)'!$V$6,Model!W$1,'Assumptions (Hydro)'!$V$9,'Assumptions (Hydro)'!$V$4*Model!$AR$1354*AVERAGE('Assumptions (Hydro)'!$AN$2:$AP$2)/10^9),0)</f>
        <v>0</v>
      </c>
      <c r="AS1452" s="160">
        <f>IF($AR$1354&gt;0,PPMT('Assumptions (Hydro)'!$V$6,Model!X$1,'Assumptions (Hydro)'!$V$9,'Assumptions (Hydro)'!$V$4*Model!$AR$1354*AVERAGE('Assumptions (Hydro)'!$AN$2:$AP$2)/10^9),0)</f>
        <v>0</v>
      </c>
      <c r="AT1452" s="160">
        <f>IF($AR$1354&gt;0,PPMT('Assumptions (Hydro)'!$V$6,Model!Y$1,'Assumptions (Hydro)'!$V$9,'Assumptions (Hydro)'!$V$4*Model!$AR$1354*AVERAGE('Assumptions (Hydro)'!$AN$2:$AP$2)/10^9),0)</f>
        <v>0</v>
      </c>
      <c r="AU1452" s="160">
        <f>IF($AR$1354&gt;0,PPMT('Assumptions (Hydro)'!$V$6,Model!Z$1,'Assumptions (Hydro)'!$V$9,'Assumptions (Hydro)'!$V$4*Model!$AR$1354*AVERAGE('Assumptions (Hydro)'!$AN$2:$AP$2)/10^9),0)</f>
        <v>0</v>
      </c>
      <c r="AV1452" s="160">
        <f>IF($AR$1354&gt;0,PPMT('Assumptions (Hydro)'!$V$6,Model!AA$1,'Assumptions (Hydro)'!$V$9,'Assumptions (Hydro)'!$V$4*Model!$AR$1354*AVERAGE('Assumptions (Hydro)'!$AN$2:$AP$2)/10^9),0)</f>
        <v>0</v>
      </c>
      <c r="AW1452" s="160">
        <f>IF($AR$1354&gt;0,PPMT('Assumptions (Hydro)'!$V$6,Model!AB$1,'Assumptions (Hydro)'!$V$9,'Assumptions (Hydro)'!$V$4*Model!$AR$1354*AVERAGE('Assumptions (Hydro)'!$AN$2:$AP$2)/10^9),0)</f>
        <v>0</v>
      </c>
      <c r="AX1452" s="160">
        <f>IF($AR$1354&gt;0,PPMT('Assumptions (Hydro)'!$V$6,Model!AC$1,'Assumptions (Hydro)'!$V$9,'Assumptions (Hydro)'!$V$4*Model!$AR$1354*AVERAGE('Assumptions (Hydro)'!$AN$2:$AP$2)/10^9),0)</f>
        <v>0</v>
      </c>
      <c r="AY1452" s="160">
        <f>IF($AR$1354&gt;0,PPMT('Assumptions (Hydro)'!$V$6,Model!AD$1,'Assumptions (Hydro)'!$V$9,'Assumptions (Hydro)'!$V$4*Model!$AR$1354*AVERAGE('Assumptions (Hydro)'!$AN$2:$AP$2)/10^9),0)</f>
        <v>0</v>
      </c>
      <c r="AZ1452" s="160">
        <f>IF($AR$1354&gt;0,PPMT('Assumptions (Hydro)'!$V$6,Model!AE$1,'Assumptions (Hydro)'!$V$9,'Assumptions (Hydro)'!$V$4*Model!$AR$1354*AVERAGE('Assumptions (Hydro)'!$AN$2:$AP$2)/10^9),0)</f>
        <v>0</v>
      </c>
      <c r="BA1452" s="160">
        <f>IF($AR$1354&gt;0,PPMT('Assumptions (Hydro)'!$V$6,Model!AF$1,'Assumptions (Hydro)'!$V$9,'Assumptions (Hydro)'!$V$4*Model!$AR$1354*AVERAGE('Assumptions (Hydro)'!$AN$2:$AP$2)/10^9),0)</f>
        <v>0</v>
      </c>
      <c r="BB1452" s="160">
        <f>IF($AR$1354&gt;0,PPMT('Assumptions (Hydro)'!$V$6,Model!AG$1,'Assumptions (Hydro)'!$V$9,'Assumptions (Hydro)'!$V$4*Model!$AR$1354*AVERAGE('Assumptions (Hydro)'!$AN$2:$AP$2)/10^9),0)</f>
        <v>0</v>
      </c>
      <c r="BC1452" s="160">
        <f>IF($AR$1354&gt;0,PPMT('Assumptions (Hydro)'!$V$6,Model!AH$1,'Assumptions (Hydro)'!$V$9,'Assumptions (Hydro)'!$V$4*Model!$AR$1354*AVERAGE('Assumptions (Hydro)'!$AN$2:$AP$2)/10^9),0)</f>
        <v>0</v>
      </c>
      <c r="BD1452" s="160">
        <f>IF($AR$1354&gt;0,PPMT('Assumptions (Hydro)'!$V$6,Model!AI$1,'Assumptions (Hydro)'!$V$9,'Assumptions (Hydro)'!$V$4*Model!$AR$1354*AVERAGE('Assumptions (Hydro)'!$AN$2:$AP$2)/10^9),0)</f>
        <v>0</v>
      </c>
      <c r="BE1452" s="160">
        <f>IF($AR$1354&gt;0,PPMT('Assumptions (Hydro)'!$V$6,Model!AJ$1,'Assumptions (Hydro)'!$V$9,'Assumptions (Hydro)'!$V$4*Model!$AR$1354*AVERAGE('Assumptions (Hydro)'!$AN$2:$AP$2)/10^9),0)</f>
        <v>0</v>
      </c>
      <c r="BF1452" s="160">
        <f>IF($AR$1354&gt;0,PPMT('Assumptions (Hydro)'!$V$6,Model!AK$1,'Assumptions (Hydro)'!$V$9,'Assumptions (Hydro)'!$V$4*Model!$AR$1354*AVERAGE('Assumptions (Hydro)'!$AN$2:$AP$2)/10^9),0)</f>
        <v>0</v>
      </c>
      <c r="BG1452" s="160"/>
      <c r="BH1452" s="160"/>
      <c r="BI1452" s="160"/>
      <c r="BJ1452" s="160"/>
      <c r="BK1452" s="160"/>
      <c r="BL1452" s="160"/>
      <c r="BM1452" s="160"/>
      <c r="BN1452" s="160"/>
      <c r="BO1452" s="160"/>
      <c r="BP1452" s="160"/>
    </row>
    <row r="1453" ht="15.75" hidden="1" customHeight="1" outlineLevel="1">
      <c r="A1453" s="273"/>
      <c r="B1453" s="38"/>
      <c r="C1453" s="174"/>
      <c r="D1453" s="174"/>
      <c r="E1453" s="174"/>
      <c r="F1453" s="174"/>
      <c r="G1453" s="174"/>
      <c r="H1453" s="174"/>
      <c r="I1453" s="174"/>
      <c r="J1453" s="174"/>
      <c r="K1453" s="174"/>
      <c r="L1453" s="174"/>
      <c r="M1453" s="174"/>
      <c r="N1453" s="174"/>
      <c r="O1453" s="174"/>
      <c r="P1453" s="174"/>
      <c r="Q1453" s="174"/>
      <c r="R1453" s="174"/>
      <c r="S1453" s="174"/>
      <c r="T1453" s="174"/>
      <c r="U1453" s="174"/>
      <c r="V1453" s="174"/>
      <c r="W1453" s="160"/>
      <c r="X1453" s="160"/>
      <c r="Y1453" s="160"/>
      <c r="Z1453" s="160"/>
      <c r="AA1453" s="160"/>
      <c r="AB1453" s="160"/>
      <c r="AC1453" s="160"/>
      <c r="AD1453" s="160"/>
      <c r="AE1453" s="160"/>
      <c r="AF1453" s="160"/>
      <c r="AG1453" s="160"/>
      <c r="AH1453" s="160"/>
      <c r="AI1453" s="160"/>
      <c r="AJ1453" s="179"/>
      <c r="AK1453" s="160"/>
      <c r="AL1453" s="177"/>
      <c r="AM1453" s="177"/>
      <c r="AN1453" s="177"/>
      <c r="AO1453" s="160"/>
      <c r="AP1453" s="160"/>
      <c r="AQ1453" s="160"/>
      <c r="AR1453" s="160"/>
      <c r="AS1453" s="160">
        <f>IF($AS$1354&gt;0,PPMT('Assumptions (Hydro)'!$V$6,Model!W$1,'Assumptions (Hydro)'!$V$9,'Assumptions (Hydro)'!$V$4*Model!$AS$1354*AVERAGE('Assumptions (Hydro)'!$AO$2:$AQ$2)/10^9),0)</f>
        <v>0</v>
      </c>
      <c r="AT1453" s="160">
        <f>IF($AS$1354&gt;0,PPMT('Assumptions (Hydro)'!$V$6,Model!X$1,'Assumptions (Hydro)'!$V$9,'Assumptions (Hydro)'!$V$4*Model!$AS$1354*AVERAGE('Assumptions (Hydro)'!$AO$2:$AQ$2)/10^9),0)</f>
        <v>0</v>
      </c>
      <c r="AU1453" s="160">
        <f>IF($AS$1354&gt;0,PPMT('Assumptions (Hydro)'!$V$6,Model!Y$1,'Assumptions (Hydro)'!$V$9,'Assumptions (Hydro)'!$V$4*Model!$AS$1354*AVERAGE('Assumptions (Hydro)'!$AO$2:$AQ$2)/10^9),0)</f>
        <v>0</v>
      </c>
      <c r="AV1453" s="160">
        <f>IF($AS$1354&gt;0,PPMT('Assumptions (Hydro)'!$V$6,Model!Z$1,'Assumptions (Hydro)'!$V$9,'Assumptions (Hydro)'!$V$4*Model!$AS$1354*AVERAGE('Assumptions (Hydro)'!$AO$2:$AQ$2)/10^9),0)</f>
        <v>0</v>
      </c>
      <c r="AW1453" s="160">
        <f>IF($AS$1354&gt;0,PPMT('Assumptions (Hydro)'!$V$6,Model!AA$1,'Assumptions (Hydro)'!$V$9,'Assumptions (Hydro)'!$V$4*Model!$AS$1354*AVERAGE('Assumptions (Hydro)'!$AO$2:$AQ$2)/10^9),0)</f>
        <v>0</v>
      </c>
      <c r="AX1453" s="160">
        <f>IF($AS$1354&gt;0,PPMT('Assumptions (Hydro)'!$V$6,Model!AB$1,'Assumptions (Hydro)'!$V$9,'Assumptions (Hydro)'!$V$4*Model!$AS$1354*AVERAGE('Assumptions (Hydro)'!$AO$2:$AQ$2)/10^9),0)</f>
        <v>0</v>
      </c>
      <c r="AY1453" s="160">
        <f>IF($AS$1354&gt;0,PPMT('Assumptions (Hydro)'!$V$6,Model!AC$1,'Assumptions (Hydro)'!$V$9,'Assumptions (Hydro)'!$V$4*Model!$AS$1354*AVERAGE('Assumptions (Hydro)'!$AO$2:$AQ$2)/10^9),0)</f>
        <v>0</v>
      </c>
      <c r="AZ1453" s="160">
        <f>IF($AS$1354&gt;0,PPMT('Assumptions (Hydro)'!$V$6,Model!AD$1,'Assumptions (Hydro)'!$V$9,'Assumptions (Hydro)'!$V$4*Model!$AS$1354*AVERAGE('Assumptions (Hydro)'!$AO$2:$AQ$2)/10^9),0)</f>
        <v>0</v>
      </c>
      <c r="BA1453" s="160">
        <f>IF($AS$1354&gt;0,PPMT('Assumptions (Hydro)'!$V$6,Model!AE$1,'Assumptions (Hydro)'!$V$9,'Assumptions (Hydro)'!$V$4*Model!$AS$1354*AVERAGE('Assumptions (Hydro)'!$AO$2:$AQ$2)/10^9),0)</f>
        <v>0</v>
      </c>
      <c r="BB1453" s="160">
        <f>IF($AS$1354&gt;0,PPMT('Assumptions (Hydro)'!$V$6,Model!AF$1,'Assumptions (Hydro)'!$V$9,'Assumptions (Hydro)'!$V$4*Model!$AS$1354*AVERAGE('Assumptions (Hydro)'!$AO$2:$AQ$2)/10^9),0)</f>
        <v>0</v>
      </c>
      <c r="BC1453" s="160">
        <f>IF($AS$1354&gt;0,PPMT('Assumptions (Hydro)'!$V$6,Model!AG$1,'Assumptions (Hydro)'!$V$9,'Assumptions (Hydro)'!$V$4*Model!$AS$1354*AVERAGE('Assumptions (Hydro)'!$AO$2:$AQ$2)/10^9),0)</f>
        <v>0</v>
      </c>
      <c r="BD1453" s="160">
        <f>IF($AS$1354&gt;0,PPMT('Assumptions (Hydro)'!$V$6,Model!AH$1,'Assumptions (Hydro)'!$V$9,'Assumptions (Hydro)'!$V$4*Model!$AS$1354*AVERAGE('Assumptions (Hydro)'!$AO$2:$AQ$2)/10^9),0)</f>
        <v>0</v>
      </c>
      <c r="BE1453" s="160">
        <f>IF($AS$1354&gt;0,PPMT('Assumptions (Hydro)'!$V$6,Model!AI$1,'Assumptions (Hydro)'!$V$9,'Assumptions (Hydro)'!$V$4*Model!$AS$1354*AVERAGE('Assumptions (Hydro)'!$AO$2:$AQ$2)/10^9),0)</f>
        <v>0</v>
      </c>
      <c r="BF1453" s="160">
        <f>IF($AS$1354&gt;0,PPMT('Assumptions (Hydro)'!$V$6,Model!AJ$1,'Assumptions (Hydro)'!$V$9,'Assumptions (Hydro)'!$V$4*Model!$AS$1354*AVERAGE('Assumptions (Hydro)'!$AO$2:$AQ$2)/10^9),0)</f>
        <v>0</v>
      </c>
      <c r="BG1453" s="160">
        <f>IF($AS$1354&gt;0,PPMT('Assumptions (Hydro)'!$V$6,Model!AK$1,'Assumptions (Hydro)'!$V$9,'Assumptions (Hydro)'!$V$4*Model!$AS$1354*AVERAGE('Assumptions (Hydro)'!$AO$2:$AQ$2)/10^9),0)</f>
        <v>0</v>
      </c>
      <c r="BH1453" s="160"/>
      <c r="BI1453" s="160"/>
      <c r="BJ1453" s="160"/>
      <c r="BK1453" s="160"/>
      <c r="BL1453" s="160"/>
      <c r="BM1453" s="160"/>
      <c r="BN1453" s="160"/>
      <c r="BO1453" s="160"/>
      <c r="BP1453" s="160"/>
      <c r="BQ1453" s="160"/>
      <c r="BR1453" s="160"/>
    </row>
    <row r="1454" ht="15.75" hidden="1" customHeight="1" outlineLevel="1">
      <c r="A1454" s="273"/>
      <c r="B1454" s="38"/>
      <c r="C1454" s="174"/>
      <c r="D1454" s="174"/>
      <c r="E1454" s="174"/>
      <c r="F1454" s="174"/>
      <c r="G1454" s="174"/>
      <c r="H1454" s="174"/>
      <c r="I1454" s="174"/>
      <c r="J1454" s="174"/>
      <c r="K1454" s="174"/>
      <c r="L1454" s="174"/>
      <c r="M1454" s="174"/>
      <c r="N1454" s="174"/>
      <c r="O1454" s="174"/>
      <c r="P1454" s="174"/>
      <c r="Q1454" s="174"/>
      <c r="R1454" s="174"/>
      <c r="S1454" s="174"/>
      <c r="T1454" s="174"/>
      <c r="U1454" s="174"/>
      <c r="V1454" s="174"/>
      <c r="W1454" s="160"/>
      <c r="X1454" s="160"/>
      <c r="Y1454" s="160"/>
      <c r="Z1454" s="160"/>
      <c r="AA1454" s="160"/>
      <c r="AB1454" s="160"/>
      <c r="AC1454" s="160"/>
      <c r="AD1454" s="160"/>
      <c r="AE1454" s="160"/>
      <c r="AF1454" s="160"/>
      <c r="AG1454" s="160"/>
      <c r="AH1454" s="160"/>
      <c r="AI1454" s="160"/>
      <c r="AJ1454" s="179"/>
      <c r="AK1454" s="160"/>
      <c r="AL1454" s="177"/>
      <c r="AM1454" s="177"/>
      <c r="AN1454" s="177"/>
      <c r="AO1454" s="160"/>
      <c r="AP1454" s="160"/>
      <c r="AQ1454" s="160"/>
      <c r="AR1454" s="160"/>
      <c r="AS1454" s="160"/>
      <c r="AT1454" s="160">
        <f>IF($AT$1354&gt;0,PPMT('Assumptions (Hydro)'!$V$6,Model!W$1,'Assumptions (Hydro)'!$V$9,'Assumptions (Hydro)'!$V$4*Model!$AT$1354*AVERAGE('Assumptions (Hydro)'!$AP$2:$AR$2)/10^9),0)</f>
        <v>0</v>
      </c>
      <c r="AU1454" s="160">
        <f>IF($AT$1354&gt;0,PPMT('Assumptions (Hydro)'!$V$6,Model!X$1,'Assumptions (Hydro)'!$V$9,'Assumptions (Hydro)'!$V$4*Model!$AT$1354*AVERAGE('Assumptions (Hydro)'!$AP$2:$AR$2)/10^9),0)</f>
        <v>0</v>
      </c>
      <c r="AV1454" s="160">
        <f>IF($AT$1354&gt;0,PPMT('Assumptions (Hydro)'!$V$6,Model!Y$1,'Assumptions (Hydro)'!$V$9,'Assumptions (Hydro)'!$V$4*Model!$AT$1354*AVERAGE('Assumptions (Hydro)'!$AP$2:$AR$2)/10^9),0)</f>
        <v>0</v>
      </c>
      <c r="AW1454" s="160">
        <f>IF($AT$1354&gt;0,PPMT('Assumptions (Hydro)'!$V$6,Model!Z$1,'Assumptions (Hydro)'!$V$9,'Assumptions (Hydro)'!$V$4*Model!$AT$1354*AVERAGE('Assumptions (Hydro)'!$AP$2:$AR$2)/10^9),0)</f>
        <v>0</v>
      </c>
      <c r="AX1454" s="160">
        <f>IF($AT$1354&gt;0,PPMT('Assumptions (Hydro)'!$V$6,Model!AA$1,'Assumptions (Hydro)'!$V$9,'Assumptions (Hydro)'!$V$4*Model!$AT$1354*AVERAGE('Assumptions (Hydro)'!$AP$2:$AR$2)/10^9),0)</f>
        <v>0</v>
      </c>
      <c r="AY1454" s="160">
        <f>IF($AT$1354&gt;0,PPMT('Assumptions (Hydro)'!$V$6,Model!AB$1,'Assumptions (Hydro)'!$V$9,'Assumptions (Hydro)'!$V$4*Model!$AT$1354*AVERAGE('Assumptions (Hydro)'!$AP$2:$AR$2)/10^9),0)</f>
        <v>0</v>
      </c>
      <c r="AZ1454" s="160">
        <f>IF($AT$1354&gt;0,PPMT('Assumptions (Hydro)'!$V$6,Model!AC$1,'Assumptions (Hydro)'!$V$9,'Assumptions (Hydro)'!$V$4*Model!$AT$1354*AVERAGE('Assumptions (Hydro)'!$AP$2:$AR$2)/10^9),0)</f>
        <v>0</v>
      </c>
      <c r="BA1454" s="160">
        <f>IF($AT$1354&gt;0,PPMT('Assumptions (Hydro)'!$V$6,Model!AD$1,'Assumptions (Hydro)'!$V$9,'Assumptions (Hydro)'!$V$4*Model!$AT$1354*AVERAGE('Assumptions (Hydro)'!$AP$2:$AR$2)/10^9),0)</f>
        <v>0</v>
      </c>
      <c r="BB1454" s="160">
        <f>IF($AT$1354&gt;0,PPMT('Assumptions (Hydro)'!$V$6,Model!AE$1,'Assumptions (Hydro)'!$V$9,'Assumptions (Hydro)'!$V$4*Model!$AT$1354*AVERAGE('Assumptions (Hydro)'!$AP$2:$AR$2)/10^9),0)</f>
        <v>0</v>
      </c>
      <c r="BC1454" s="160">
        <f>IF($AT$1354&gt;0,PPMT('Assumptions (Hydro)'!$V$6,Model!AF$1,'Assumptions (Hydro)'!$V$9,'Assumptions (Hydro)'!$V$4*Model!$AT$1354*AVERAGE('Assumptions (Hydro)'!$AP$2:$AR$2)/10^9),0)</f>
        <v>0</v>
      </c>
      <c r="BD1454" s="160">
        <f>IF($AT$1354&gt;0,PPMT('Assumptions (Hydro)'!$V$6,Model!AG$1,'Assumptions (Hydro)'!$V$9,'Assumptions (Hydro)'!$V$4*Model!$AT$1354*AVERAGE('Assumptions (Hydro)'!$AP$2:$AR$2)/10^9),0)</f>
        <v>0</v>
      </c>
      <c r="BE1454" s="160">
        <f>IF($AT$1354&gt;0,PPMT('Assumptions (Hydro)'!$V$6,Model!AH$1,'Assumptions (Hydro)'!$V$9,'Assumptions (Hydro)'!$V$4*Model!$AT$1354*AVERAGE('Assumptions (Hydro)'!$AP$2:$AR$2)/10^9),0)</f>
        <v>0</v>
      </c>
      <c r="BF1454" s="160">
        <f>IF($AT$1354&gt;0,PPMT('Assumptions (Hydro)'!$V$6,Model!AI$1,'Assumptions (Hydro)'!$V$9,'Assumptions (Hydro)'!$V$4*Model!$AT$1354*AVERAGE('Assumptions (Hydro)'!$AP$2:$AR$2)/10^9),0)</f>
        <v>0</v>
      </c>
      <c r="BG1454" s="160">
        <f>IF($AT$1354&gt;0,PPMT('Assumptions (Hydro)'!$V$6,Model!AJ$1,'Assumptions (Hydro)'!$V$9,'Assumptions (Hydro)'!$V$4*Model!$AT$1354*AVERAGE('Assumptions (Hydro)'!$AP$2:$AR$2)/10^9),0)</f>
        <v>0</v>
      </c>
      <c r="BH1454" s="160">
        <f>IF($AT$1354&gt;0,PPMT('Assumptions (Hydro)'!$V$6,Model!AK$1,'Assumptions (Hydro)'!$V$9,'Assumptions (Hydro)'!$V$4*Model!$AT$1354*AVERAGE('Assumptions (Hydro)'!$AP$2:$AR$2)/10^9),0)</f>
        <v>0</v>
      </c>
      <c r="BI1454" s="160"/>
      <c r="BJ1454" s="160"/>
      <c r="BK1454" s="160"/>
      <c r="BL1454" s="160"/>
      <c r="BM1454" s="160"/>
      <c r="BN1454" s="160"/>
      <c r="BO1454" s="160"/>
      <c r="BP1454" s="160"/>
      <c r="BQ1454" s="160"/>
      <c r="BR1454" s="160"/>
    </row>
    <row r="1455" ht="15.75" hidden="1" customHeight="1" outlineLevel="1">
      <c r="A1455" s="273"/>
      <c r="B1455" s="38"/>
      <c r="C1455" s="174"/>
      <c r="D1455" s="174"/>
      <c r="E1455" s="174"/>
      <c r="F1455" s="174"/>
      <c r="G1455" s="174"/>
      <c r="H1455" s="174"/>
      <c r="I1455" s="174"/>
      <c r="J1455" s="174"/>
      <c r="K1455" s="174"/>
      <c r="L1455" s="174"/>
      <c r="M1455" s="174"/>
      <c r="N1455" s="174"/>
      <c r="O1455" s="174"/>
      <c r="P1455" s="174"/>
      <c r="Q1455" s="174"/>
      <c r="R1455" s="174"/>
      <c r="S1455" s="174"/>
      <c r="T1455" s="174"/>
      <c r="U1455" s="174"/>
      <c r="V1455" s="174"/>
      <c r="W1455" s="160"/>
      <c r="X1455" s="160"/>
      <c r="Y1455" s="160"/>
      <c r="Z1455" s="160"/>
      <c r="AA1455" s="160"/>
      <c r="AB1455" s="160"/>
      <c r="AC1455" s="160"/>
      <c r="AD1455" s="160"/>
      <c r="AE1455" s="160"/>
      <c r="AF1455" s="160"/>
      <c r="AG1455" s="160"/>
      <c r="AH1455" s="160"/>
      <c r="AI1455" s="160"/>
      <c r="AJ1455" s="179"/>
      <c r="AK1455" s="160"/>
      <c r="AL1455" s="177"/>
      <c r="AM1455" s="177"/>
      <c r="AN1455" s="177"/>
      <c r="AO1455" s="160"/>
      <c r="AP1455" s="160"/>
      <c r="AQ1455" s="160"/>
      <c r="AR1455" s="160"/>
      <c r="AS1455" s="160"/>
      <c r="AT1455" s="160"/>
      <c r="AU1455" s="160">
        <f>IF($AU$1354&gt;0,PPMT('Assumptions (Hydro)'!$V$6,Model!W$1,'Assumptions (Hydro)'!$V$9,'Assumptions (Hydro)'!$V$4*Model!$AU$1354*AVERAGE('Assumptions (Hydro)'!$AQ$2:$AS$2)/10^9),0)</f>
        <v>0</v>
      </c>
      <c r="AV1455" s="160">
        <f>IF($AU$1354&gt;0,PPMT('Assumptions (Hydro)'!$V$6,Model!X$1,'Assumptions (Hydro)'!$V$9,'Assumptions (Hydro)'!$V$4*Model!$AU$1354*AVERAGE('Assumptions (Hydro)'!$AQ$2:$AS$2)/10^9),0)</f>
        <v>0</v>
      </c>
      <c r="AW1455" s="160">
        <f>IF($AU$1354&gt;0,PPMT('Assumptions (Hydro)'!$V$6,Model!Y$1,'Assumptions (Hydro)'!$V$9,'Assumptions (Hydro)'!$V$4*Model!$AU$1354*AVERAGE('Assumptions (Hydro)'!$AQ$2:$AS$2)/10^9),0)</f>
        <v>0</v>
      </c>
      <c r="AX1455" s="160">
        <f>IF($AU$1354&gt;0,PPMT('Assumptions (Hydro)'!$V$6,Model!Z$1,'Assumptions (Hydro)'!$V$9,'Assumptions (Hydro)'!$V$4*Model!$AU$1354*AVERAGE('Assumptions (Hydro)'!$AQ$2:$AS$2)/10^9),0)</f>
        <v>0</v>
      </c>
      <c r="AY1455" s="160">
        <f>IF($AU$1354&gt;0,PPMT('Assumptions (Hydro)'!$V$6,Model!AA$1,'Assumptions (Hydro)'!$V$9,'Assumptions (Hydro)'!$V$4*Model!$AU$1354*AVERAGE('Assumptions (Hydro)'!$AQ$2:$AS$2)/10^9),0)</f>
        <v>0</v>
      </c>
      <c r="AZ1455" s="160">
        <f>IF($AU$1354&gt;0,PPMT('Assumptions (Hydro)'!$V$6,Model!AB$1,'Assumptions (Hydro)'!$V$9,'Assumptions (Hydro)'!$V$4*Model!$AU$1354*AVERAGE('Assumptions (Hydro)'!$AQ$2:$AS$2)/10^9),0)</f>
        <v>0</v>
      </c>
      <c r="BA1455" s="160">
        <f>IF($AU$1354&gt;0,PPMT('Assumptions (Hydro)'!$V$6,Model!AC$1,'Assumptions (Hydro)'!$V$9,'Assumptions (Hydro)'!$V$4*Model!$AU$1354*AVERAGE('Assumptions (Hydro)'!$AQ$2:$AS$2)/10^9),0)</f>
        <v>0</v>
      </c>
      <c r="BB1455" s="160">
        <f>IF($AU$1354&gt;0,PPMT('Assumptions (Hydro)'!$V$6,Model!AD$1,'Assumptions (Hydro)'!$V$9,'Assumptions (Hydro)'!$V$4*Model!$AU$1354*AVERAGE('Assumptions (Hydro)'!$AQ$2:$AS$2)/10^9),0)</f>
        <v>0</v>
      </c>
      <c r="BC1455" s="160">
        <f>IF($AU$1354&gt;0,PPMT('Assumptions (Hydro)'!$V$6,Model!AE$1,'Assumptions (Hydro)'!$V$9,'Assumptions (Hydro)'!$V$4*Model!$AU$1354*AVERAGE('Assumptions (Hydro)'!$AQ$2:$AS$2)/10^9),0)</f>
        <v>0</v>
      </c>
      <c r="BD1455" s="160">
        <f>IF($AU$1354&gt;0,PPMT('Assumptions (Hydro)'!$V$6,Model!AF$1,'Assumptions (Hydro)'!$V$9,'Assumptions (Hydro)'!$V$4*Model!$AU$1354*AVERAGE('Assumptions (Hydro)'!$AQ$2:$AS$2)/10^9),0)</f>
        <v>0</v>
      </c>
      <c r="BE1455" s="160">
        <f>IF($AU$1354&gt;0,PPMT('Assumptions (Hydro)'!$V$6,Model!AG$1,'Assumptions (Hydro)'!$V$9,'Assumptions (Hydro)'!$V$4*Model!$AU$1354*AVERAGE('Assumptions (Hydro)'!$AQ$2:$AS$2)/10^9),0)</f>
        <v>0</v>
      </c>
      <c r="BF1455" s="160">
        <f>IF($AU$1354&gt;0,PPMT('Assumptions (Hydro)'!$V$6,Model!AH$1,'Assumptions (Hydro)'!$V$9,'Assumptions (Hydro)'!$V$4*Model!$AU$1354*AVERAGE('Assumptions (Hydro)'!$AQ$2:$AS$2)/10^9),0)</f>
        <v>0</v>
      </c>
      <c r="BG1455" s="160">
        <f>IF($AU$1354&gt;0,PPMT('Assumptions (Hydro)'!$V$6,Model!AI$1,'Assumptions (Hydro)'!$V$9,'Assumptions (Hydro)'!$V$4*Model!$AU$1354*AVERAGE('Assumptions (Hydro)'!$AQ$2:$AS$2)/10^9),0)</f>
        <v>0</v>
      </c>
      <c r="BH1455" s="160">
        <f>IF($AU$1354&gt;0,PPMT('Assumptions (Hydro)'!$V$6,Model!AJ$1,'Assumptions (Hydro)'!$V$9,'Assumptions (Hydro)'!$V$4*Model!$AU$1354*AVERAGE('Assumptions (Hydro)'!$AQ$2:$AS$2)/10^9),0)</f>
        <v>0</v>
      </c>
      <c r="BI1455" s="160">
        <f>IF($AU$1354&gt;0,PPMT('Assumptions (Hydro)'!$V$6,Model!AK$1,'Assumptions (Hydro)'!$V$9,'Assumptions (Hydro)'!$V$4*Model!$AU$1354*AVERAGE('Assumptions (Hydro)'!$AQ$2:$AS$2)/10^9),0)</f>
        <v>0</v>
      </c>
      <c r="BJ1455" s="160"/>
      <c r="BK1455" s="160"/>
      <c r="BL1455" s="160"/>
      <c r="BM1455" s="160"/>
      <c r="BN1455" s="160"/>
      <c r="BO1455" s="160"/>
      <c r="BP1455" s="160"/>
      <c r="BQ1455" s="160"/>
      <c r="BR1455" s="160"/>
      <c r="BS1455" s="160"/>
    </row>
    <row r="1456" ht="15.75" hidden="1" customHeight="1" outlineLevel="1">
      <c r="A1456" s="273"/>
      <c r="B1456" s="38"/>
      <c r="C1456" s="174"/>
      <c r="D1456" s="174"/>
      <c r="E1456" s="174"/>
      <c r="F1456" s="174"/>
      <c r="G1456" s="174"/>
      <c r="H1456" s="174"/>
      <c r="I1456" s="174"/>
      <c r="J1456" s="174"/>
      <c r="K1456" s="174"/>
      <c r="L1456" s="174"/>
      <c r="M1456" s="174"/>
      <c r="N1456" s="174"/>
      <c r="O1456" s="174"/>
      <c r="P1456" s="174"/>
      <c r="Q1456" s="174"/>
      <c r="R1456" s="174"/>
      <c r="S1456" s="174"/>
      <c r="T1456" s="174"/>
      <c r="U1456" s="174"/>
      <c r="V1456" s="174"/>
      <c r="W1456" s="160"/>
      <c r="X1456" s="160"/>
      <c r="Y1456" s="160"/>
      <c r="Z1456" s="160"/>
      <c r="AA1456" s="160"/>
      <c r="AB1456" s="160"/>
      <c r="AC1456" s="160"/>
      <c r="AD1456" s="160"/>
      <c r="AE1456" s="160"/>
      <c r="AF1456" s="160"/>
      <c r="AG1456" s="160"/>
      <c r="AH1456" s="160"/>
      <c r="AI1456" s="160"/>
      <c r="AJ1456" s="179"/>
      <c r="AK1456" s="160"/>
      <c r="AL1456" s="177"/>
      <c r="AM1456" s="177"/>
      <c r="AN1456" s="177"/>
      <c r="AO1456" s="160"/>
      <c r="AP1456" s="160"/>
      <c r="AQ1456" s="160"/>
      <c r="AR1456" s="160"/>
      <c r="AS1456" s="160"/>
      <c r="AT1456" s="160"/>
      <c r="AU1456" s="160"/>
      <c r="AV1456" s="160">
        <f>IF($AV$1354&gt;0,PPMT('Assumptions (Hydro)'!$V$6,Model!W$1,'Assumptions (Hydro)'!$V$9,'Assumptions (Hydro)'!$V$4*Model!$AV$1354*AVERAGE('Assumptions (Hydro)'!$AR$2:$AT$2)/10^9),0)</f>
        <v>0</v>
      </c>
      <c r="AW1456" s="160">
        <f>IF($AV$1354&gt;0,PPMT('Assumptions (Hydro)'!$V$6,Model!X$1,'Assumptions (Hydro)'!$V$9,'Assumptions (Hydro)'!$V$4*Model!$AV$1354*AVERAGE('Assumptions (Hydro)'!$AR$2:$AT$2)/10^9),0)</f>
        <v>0</v>
      </c>
      <c r="AX1456" s="160">
        <f>IF($AV$1354&gt;0,PPMT('Assumptions (Hydro)'!$V$6,Model!Y$1,'Assumptions (Hydro)'!$V$9,'Assumptions (Hydro)'!$V$4*Model!$AV$1354*AVERAGE('Assumptions (Hydro)'!$AR$2:$AT$2)/10^9),0)</f>
        <v>0</v>
      </c>
      <c r="AY1456" s="160">
        <f>IF($AV$1354&gt;0,PPMT('Assumptions (Hydro)'!$V$6,Model!Z$1,'Assumptions (Hydro)'!$V$9,'Assumptions (Hydro)'!$V$4*Model!$AV$1354*AVERAGE('Assumptions (Hydro)'!$AR$2:$AT$2)/10^9),0)</f>
        <v>0</v>
      </c>
      <c r="AZ1456" s="160">
        <f>IF($AV$1354&gt;0,PPMT('Assumptions (Hydro)'!$V$6,Model!AA$1,'Assumptions (Hydro)'!$V$9,'Assumptions (Hydro)'!$V$4*Model!$AV$1354*AVERAGE('Assumptions (Hydro)'!$AR$2:$AT$2)/10^9),0)</f>
        <v>0</v>
      </c>
      <c r="BA1456" s="160">
        <f>IF($AV$1354&gt;0,PPMT('Assumptions (Hydro)'!$V$6,Model!AB$1,'Assumptions (Hydro)'!$V$9,'Assumptions (Hydro)'!$V$4*Model!$AV$1354*AVERAGE('Assumptions (Hydro)'!$AR$2:$AT$2)/10^9),0)</f>
        <v>0</v>
      </c>
      <c r="BB1456" s="160">
        <f>IF($AV$1354&gt;0,PPMT('Assumptions (Hydro)'!$V$6,Model!AC$1,'Assumptions (Hydro)'!$V$9,'Assumptions (Hydro)'!$V$4*Model!$AV$1354*AVERAGE('Assumptions (Hydro)'!$AR$2:$AT$2)/10^9),0)</f>
        <v>0</v>
      </c>
      <c r="BC1456" s="160">
        <f>IF($AV$1354&gt;0,PPMT('Assumptions (Hydro)'!$V$6,Model!AD$1,'Assumptions (Hydro)'!$V$9,'Assumptions (Hydro)'!$V$4*Model!$AV$1354*AVERAGE('Assumptions (Hydro)'!$AR$2:$AT$2)/10^9),0)</f>
        <v>0</v>
      </c>
      <c r="BD1456" s="160">
        <f>IF($AV$1354&gt;0,PPMT('Assumptions (Hydro)'!$V$6,Model!AE$1,'Assumptions (Hydro)'!$V$9,'Assumptions (Hydro)'!$V$4*Model!$AV$1354*AVERAGE('Assumptions (Hydro)'!$AR$2:$AT$2)/10^9),0)</f>
        <v>0</v>
      </c>
      <c r="BE1456" s="160">
        <f>IF($AV$1354&gt;0,PPMT('Assumptions (Hydro)'!$V$6,Model!AF$1,'Assumptions (Hydro)'!$V$9,'Assumptions (Hydro)'!$V$4*Model!$AV$1354*AVERAGE('Assumptions (Hydro)'!$AR$2:$AT$2)/10^9),0)</f>
        <v>0</v>
      </c>
      <c r="BF1456" s="160">
        <f>IF($AV$1354&gt;0,PPMT('Assumptions (Hydro)'!$V$6,Model!AG$1,'Assumptions (Hydro)'!$V$9,'Assumptions (Hydro)'!$V$4*Model!$AV$1354*AVERAGE('Assumptions (Hydro)'!$AR$2:$AT$2)/10^9),0)</f>
        <v>0</v>
      </c>
      <c r="BG1456" s="160">
        <f>IF($AV$1354&gt;0,PPMT('Assumptions (Hydro)'!$V$6,Model!AH$1,'Assumptions (Hydro)'!$V$9,'Assumptions (Hydro)'!$V$4*Model!$AV$1354*AVERAGE('Assumptions (Hydro)'!$AR$2:$AT$2)/10^9),0)</f>
        <v>0</v>
      </c>
      <c r="BH1456" s="160">
        <f>IF($AV$1354&gt;0,PPMT('Assumptions (Hydro)'!$V$6,Model!AI$1,'Assumptions (Hydro)'!$V$9,'Assumptions (Hydro)'!$V$4*Model!$AV$1354*AVERAGE('Assumptions (Hydro)'!$AR$2:$AT$2)/10^9),0)</f>
        <v>0</v>
      </c>
      <c r="BI1456" s="160">
        <f>IF($AV$1354&gt;0,PPMT('Assumptions (Hydro)'!$V$6,Model!AJ$1,'Assumptions (Hydro)'!$V$9,'Assumptions (Hydro)'!$V$4*Model!$AV$1354*AVERAGE('Assumptions (Hydro)'!$AR$2:$AT$2)/10^9),0)</f>
        <v>0</v>
      </c>
      <c r="BJ1456" s="160">
        <f>IF($AV$1354&gt;0,PPMT('Assumptions (Hydro)'!$V$6,Model!AK$1,'Assumptions (Hydro)'!$V$9,'Assumptions (Hydro)'!$V$4*Model!$AV$1354*AVERAGE('Assumptions (Hydro)'!$AR$2:$AT$2)/10^9),0)</f>
        <v>0</v>
      </c>
      <c r="BK1456" s="160"/>
      <c r="BL1456" s="160"/>
      <c r="BM1456" s="160"/>
      <c r="BN1456" s="160"/>
      <c r="BO1456" s="160"/>
      <c r="BP1456" s="160"/>
      <c r="BQ1456" s="160"/>
      <c r="BR1456" s="160"/>
      <c r="BS1456" s="160"/>
      <c r="BT1456" s="160"/>
    </row>
    <row r="1457" ht="15.75" hidden="1" customHeight="1" outlineLevel="1">
      <c r="A1457" s="273"/>
      <c r="B1457" s="38"/>
      <c r="C1457" s="174"/>
      <c r="D1457" s="174"/>
      <c r="E1457" s="174"/>
      <c r="F1457" s="174"/>
      <c r="G1457" s="174"/>
      <c r="H1457" s="174"/>
      <c r="I1457" s="174"/>
      <c r="J1457" s="174"/>
      <c r="K1457" s="174"/>
      <c r="L1457" s="174"/>
      <c r="M1457" s="174"/>
      <c r="N1457" s="174"/>
      <c r="O1457" s="174"/>
      <c r="P1457" s="174"/>
      <c r="Q1457" s="174"/>
      <c r="R1457" s="174"/>
      <c r="S1457" s="174"/>
      <c r="T1457" s="174"/>
      <c r="U1457" s="174"/>
      <c r="V1457" s="174"/>
      <c r="W1457" s="160"/>
      <c r="X1457" s="160"/>
      <c r="Y1457" s="160"/>
      <c r="Z1457" s="160"/>
      <c r="AA1457" s="160"/>
      <c r="AB1457" s="160"/>
      <c r="AC1457" s="160"/>
      <c r="AD1457" s="160"/>
      <c r="AE1457" s="160"/>
      <c r="AF1457" s="160"/>
      <c r="AG1457" s="160"/>
      <c r="AH1457" s="160"/>
      <c r="AI1457" s="160"/>
      <c r="AJ1457" s="179"/>
      <c r="AK1457" s="160"/>
      <c r="AL1457" s="177"/>
      <c r="AM1457" s="177"/>
      <c r="AN1457" s="177"/>
      <c r="AO1457" s="160"/>
      <c r="AP1457" s="160"/>
      <c r="AQ1457" s="160"/>
      <c r="AR1457" s="160"/>
      <c r="AS1457" s="160"/>
      <c r="AT1457" s="160"/>
      <c r="AU1457" s="160"/>
      <c r="AV1457" s="160"/>
      <c r="AW1457" s="160">
        <f>IF($AW$1354&gt;0,PPMT('Assumptions (Hydro)'!$V$6,Model!W$1,'Assumptions (Hydro)'!$V$9,'Assumptions (Hydro)'!$V$4*Model!$AW$1354*AVERAGE('Assumptions (Hydro)'!$AS$2:$AU$2)/10^9),0)</f>
        <v>0</v>
      </c>
      <c r="AX1457" s="160">
        <f>IF($AW$1354&gt;0,PPMT('Assumptions (Hydro)'!$V$6,Model!X$1,'Assumptions (Hydro)'!$V$9,'Assumptions (Hydro)'!$V$4*Model!$AW$1354*AVERAGE('Assumptions (Hydro)'!$AS$2:$AU$2)/10^9),0)</f>
        <v>0</v>
      </c>
      <c r="AY1457" s="160">
        <f>IF($AW$1354&gt;0,PPMT('Assumptions (Hydro)'!$V$6,Model!Y$1,'Assumptions (Hydro)'!$V$9,'Assumptions (Hydro)'!$V$4*Model!$AW$1354*AVERAGE('Assumptions (Hydro)'!$AS$2:$AU$2)/10^9),0)</f>
        <v>0</v>
      </c>
      <c r="AZ1457" s="160">
        <f>IF($AW$1354&gt;0,PPMT('Assumptions (Hydro)'!$V$6,Model!Z$1,'Assumptions (Hydro)'!$V$9,'Assumptions (Hydro)'!$V$4*Model!$AW$1354*AVERAGE('Assumptions (Hydro)'!$AS$2:$AU$2)/10^9),0)</f>
        <v>0</v>
      </c>
      <c r="BA1457" s="160">
        <f>IF($AW$1354&gt;0,PPMT('Assumptions (Hydro)'!$V$6,Model!AA$1,'Assumptions (Hydro)'!$V$9,'Assumptions (Hydro)'!$V$4*Model!$AW$1354*AVERAGE('Assumptions (Hydro)'!$AS$2:$AU$2)/10^9),0)</f>
        <v>0</v>
      </c>
      <c r="BB1457" s="160">
        <f>IF($AW$1354&gt;0,PPMT('Assumptions (Hydro)'!$V$6,Model!AB$1,'Assumptions (Hydro)'!$V$9,'Assumptions (Hydro)'!$V$4*Model!$AW$1354*AVERAGE('Assumptions (Hydro)'!$AS$2:$AU$2)/10^9),0)</f>
        <v>0</v>
      </c>
      <c r="BC1457" s="160">
        <f>IF($AW$1354&gt;0,PPMT('Assumptions (Hydro)'!$V$6,Model!AC$1,'Assumptions (Hydro)'!$V$9,'Assumptions (Hydro)'!$V$4*Model!$AW$1354*AVERAGE('Assumptions (Hydro)'!$AS$2:$AU$2)/10^9),0)</f>
        <v>0</v>
      </c>
      <c r="BD1457" s="160">
        <f>IF($AW$1354&gt;0,PPMT('Assumptions (Hydro)'!$V$6,Model!AD$1,'Assumptions (Hydro)'!$V$9,'Assumptions (Hydro)'!$V$4*Model!$AW$1354*AVERAGE('Assumptions (Hydro)'!$AS$2:$AU$2)/10^9),0)</f>
        <v>0</v>
      </c>
      <c r="BE1457" s="160">
        <f>IF($AW$1354&gt;0,PPMT('Assumptions (Hydro)'!$V$6,Model!AE$1,'Assumptions (Hydro)'!$V$9,'Assumptions (Hydro)'!$V$4*Model!$AW$1354*AVERAGE('Assumptions (Hydro)'!$AS$2:$AU$2)/10^9),0)</f>
        <v>0</v>
      </c>
      <c r="BF1457" s="160">
        <f>IF($AW$1354&gt;0,PPMT('Assumptions (Hydro)'!$V$6,Model!AF$1,'Assumptions (Hydro)'!$V$9,'Assumptions (Hydro)'!$V$4*Model!$AW$1354*AVERAGE('Assumptions (Hydro)'!$AS$2:$AU$2)/10^9),0)</f>
        <v>0</v>
      </c>
      <c r="BG1457" s="160">
        <f>IF($AW$1354&gt;0,PPMT('Assumptions (Hydro)'!$V$6,Model!AG$1,'Assumptions (Hydro)'!$V$9,'Assumptions (Hydro)'!$V$4*Model!$AW$1354*AVERAGE('Assumptions (Hydro)'!$AS$2:$AU$2)/10^9),0)</f>
        <v>0</v>
      </c>
      <c r="BH1457" s="160">
        <f>IF($AW$1354&gt;0,PPMT('Assumptions (Hydro)'!$V$6,Model!AH$1,'Assumptions (Hydro)'!$V$9,'Assumptions (Hydro)'!$V$4*Model!$AW$1354*AVERAGE('Assumptions (Hydro)'!$AS$2:$AU$2)/10^9),0)</f>
        <v>0</v>
      </c>
      <c r="BI1457" s="160">
        <f>IF($AW$1354&gt;0,PPMT('Assumptions (Hydro)'!$V$6,Model!AI$1,'Assumptions (Hydro)'!$V$9,'Assumptions (Hydro)'!$V$4*Model!$AW$1354*AVERAGE('Assumptions (Hydro)'!$AS$2:$AU$2)/10^9),0)</f>
        <v>0</v>
      </c>
      <c r="BJ1457" s="160">
        <f>IF($AW$1354&gt;0,PPMT('Assumptions (Hydro)'!$V$6,Model!AJ$1,'Assumptions (Hydro)'!$V$9,'Assumptions (Hydro)'!$V$4*Model!$AW$1354*AVERAGE('Assumptions (Hydro)'!$AS$2:$AU$2)/10^9),0)</f>
        <v>0</v>
      </c>
      <c r="BK1457" s="160">
        <f>IF($AW$1354&gt;0,PPMT('Assumptions (Hydro)'!$V$6,Model!AK$1,'Assumptions (Hydro)'!$V$9,'Assumptions (Hydro)'!$V$4*Model!$AW$1354*AVERAGE('Assumptions (Hydro)'!$AS$2:$AU$2)/10^9),0)</f>
        <v>0</v>
      </c>
      <c r="BL1457" s="160"/>
      <c r="BM1457" s="160"/>
      <c r="BN1457" s="160"/>
      <c r="BO1457" s="160"/>
      <c r="BP1457" s="160"/>
      <c r="BQ1457" s="160"/>
      <c r="BR1457" s="160"/>
      <c r="BS1457" s="160"/>
      <c r="BT1457" s="160"/>
      <c r="BU1457" s="160"/>
    </row>
    <row r="1458" ht="15.75" hidden="1" customHeight="1" outlineLevel="1">
      <c r="A1458" s="273"/>
      <c r="B1458" s="38"/>
      <c r="C1458" s="174"/>
      <c r="D1458" s="174"/>
      <c r="E1458" s="174"/>
      <c r="F1458" s="174"/>
      <c r="G1458" s="174"/>
      <c r="H1458" s="174"/>
      <c r="I1458" s="174"/>
      <c r="J1458" s="174"/>
      <c r="K1458" s="174"/>
      <c r="L1458" s="174"/>
      <c r="M1458" s="174"/>
      <c r="N1458" s="174"/>
      <c r="O1458" s="174"/>
      <c r="P1458" s="174"/>
      <c r="Q1458" s="174"/>
      <c r="R1458" s="174"/>
      <c r="S1458" s="174"/>
      <c r="T1458" s="174"/>
      <c r="U1458" s="174"/>
      <c r="V1458" s="174"/>
      <c r="W1458" s="160"/>
      <c r="X1458" s="160"/>
      <c r="Y1458" s="160"/>
      <c r="Z1458" s="160"/>
      <c r="AA1458" s="160"/>
      <c r="AB1458" s="160"/>
      <c r="AC1458" s="160"/>
      <c r="AD1458" s="160"/>
      <c r="AE1458" s="160"/>
      <c r="AF1458" s="160"/>
      <c r="AG1458" s="160"/>
      <c r="AH1458" s="160"/>
      <c r="AI1458" s="160"/>
      <c r="AJ1458" s="179"/>
      <c r="AK1458" s="160"/>
      <c r="AL1458" s="177"/>
      <c r="AM1458" s="177"/>
      <c r="AN1458" s="177"/>
      <c r="AO1458" s="160"/>
      <c r="AP1458" s="160"/>
      <c r="AQ1458" s="160"/>
      <c r="AR1458" s="160"/>
      <c r="AS1458" s="160"/>
      <c r="AT1458" s="160"/>
      <c r="AU1458" s="160"/>
      <c r="AV1458" s="160"/>
      <c r="AW1458" s="160"/>
      <c r="AX1458" s="160">
        <f>IF($AX$1354&gt;0,PPMT('Assumptions (Hydro)'!$V$6,Model!W$1,'Assumptions (Hydro)'!$V$9,'Assumptions (Hydro)'!$V$4*Model!$AX$1354*AVERAGE('Assumptions (Hydro)'!$AT$2:$AV$2)/10^9),0)</f>
        <v>0</v>
      </c>
      <c r="AY1458" s="160">
        <f>IF($AX$1354&gt;0,PPMT('Assumptions (Hydro)'!$V$6,Model!X$1,'Assumptions (Hydro)'!$V$9,'Assumptions (Hydro)'!$V$4*Model!$AX$1354*AVERAGE('Assumptions (Hydro)'!$AT$2:$AV$2)/10^9),0)</f>
        <v>0</v>
      </c>
      <c r="AZ1458" s="160">
        <f>IF($AX$1354&gt;0,PPMT('Assumptions (Hydro)'!$V$6,Model!Y$1,'Assumptions (Hydro)'!$V$9,'Assumptions (Hydro)'!$V$4*Model!$AX$1354*AVERAGE('Assumptions (Hydro)'!$AT$2:$AV$2)/10^9),0)</f>
        <v>0</v>
      </c>
      <c r="BA1458" s="160">
        <f>IF($AX$1354&gt;0,PPMT('Assumptions (Hydro)'!$V$6,Model!Z$1,'Assumptions (Hydro)'!$V$9,'Assumptions (Hydro)'!$V$4*Model!$AX$1354*AVERAGE('Assumptions (Hydro)'!$AT$2:$AV$2)/10^9),0)</f>
        <v>0</v>
      </c>
      <c r="BB1458" s="160">
        <f>IF($AX$1354&gt;0,PPMT('Assumptions (Hydro)'!$V$6,Model!AA$1,'Assumptions (Hydro)'!$V$9,'Assumptions (Hydro)'!$V$4*Model!$AX$1354*AVERAGE('Assumptions (Hydro)'!$AT$2:$AV$2)/10^9),0)</f>
        <v>0</v>
      </c>
      <c r="BC1458" s="160">
        <f>IF($AX$1354&gt;0,PPMT('Assumptions (Hydro)'!$V$6,Model!AB$1,'Assumptions (Hydro)'!$V$9,'Assumptions (Hydro)'!$V$4*Model!$AX$1354*AVERAGE('Assumptions (Hydro)'!$AT$2:$AV$2)/10^9),0)</f>
        <v>0</v>
      </c>
      <c r="BD1458" s="160">
        <f>IF($AX$1354&gt;0,PPMT('Assumptions (Hydro)'!$V$6,Model!AC$1,'Assumptions (Hydro)'!$V$9,'Assumptions (Hydro)'!$V$4*Model!$AX$1354*AVERAGE('Assumptions (Hydro)'!$AT$2:$AV$2)/10^9),0)</f>
        <v>0</v>
      </c>
      <c r="BE1458" s="160">
        <f>IF($AX$1354&gt;0,PPMT('Assumptions (Hydro)'!$V$6,Model!AD$1,'Assumptions (Hydro)'!$V$9,'Assumptions (Hydro)'!$V$4*Model!$AX$1354*AVERAGE('Assumptions (Hydro)'!$AT$2:$AV$2)/10^9),0)</f>
        <v>0</v>
      </c>
      <c r="BF1458" s="160">
        <f>IF($AX$1354&gt;0,PPMT('Assumptions (Hydro)'!$V$6,Model!AE$1,'Assumptions (Hydro)'!$V$9,'Assumptions (Hydro)'!$V$4*Model!$AX$1354*AVERAGE('Assumptions (Hydro)'!$AT$2:$AV$2)/10^9),0)</f>
        <v>0</v>
      </c>
      <c r="BG1458" s="160">
        <f>IF($AX$1354&gt;0,PPMT('Assumptions (Hydro)'!$V$6,Model!AF$1,'Assumptions (Hydro)'!$V$9,'Assumptions (Hydro)'!$V$4*Model!$AX$1354*AVERAGE('Assumptions (Hydro)'!$AT$2:$AV$2)/10^9),0)</f>
        <v>0</v>
      </c>
      <c r="BH1458" s="160">
        <f>IF($AX$1354&gt;0,PPMT('Assumptions (Hydro)'!$V$6,Model!AG$1,'Assumptions (Hydro)'!$V$9,'Assumptions (Hydro)'!$V$4*Model!$AX$1354*AVERAGE('Assumptions (Hydro)'!$AT$2:$AV$2)/10^9),0)</f>
        <v>0</v>
      </c>
      <c r="BI1458" s="160">
        <f>IF($AX$1354&gt;0,PPMT('Assumptions (Hydro)'!$V$6,Model!AH$1,'Assumptions (Hydro)'!$V$9,'Assumptions (Hydro)'!$V$4*Model!$AX$1354*AVERAGE('Assumptions (Hydro)'!$AT$2:$AV$2)/10^9),0)</f>
        <v>0</v>
      </c>
      <c r="BJ1458" s="160">
        <f>IF($AX$1354&gt;0,PPMT('Assumptions (Hydro)'!$V$6,Model!AI$1,'Assumptions (Hydro)'!$V$9,'Assumptions (Hydro)'!$V$4*Model!$AX$1354*AVERAGE('Assumptions (Hydro)'!$AT$2:$AV$2)/10^9),0)</f>
        <v>0</v>
      </c>
      <c r="BK1458" s="160">
        <f>IF($AX$1354&gt;0,PPMT('Assumptions (Hydro)'!$V$6,Model!AJ$1,'Assumptions (Hydro)'!$V$9,'Assumptions (Hydro)'!$V$4*Model!$AX$1354*AVERAGE('Assumptions (Hydro)'!$AT$2:$AV$2)/10^9),0)</f>
        <v>0</v>
      </c>
      <c r="BL1458" s="160">
        <f>IF($AX$1354&gt;0,PPMT('Assumptions (Hydro)'!$V$6,Model!AK$1,'Assumptions (Hydro)'!$V$9,'Assumptions (Hydro)'!$V$4*Model!$AX$1354*AVERAGE('Assumptions (Hydro)'!$AT$2:$AV$2)/10^9),0)</f>
        <v>0</v>
      </c>
      <c r="BM1458" s="160"/>
      <c r="BN1458" s="160"/>
      <c r="BO1458" s="160"/>
      <c r="BP1458" s="160"/>
      <c r="BQ1458" s="160"/>
      <c r="BR1458" s="160"/>
      <c r="BS1458" s="160"/>
      <c r="BT1458" s="160"/>
      <c r="BU1458" s="160"/>
      <c r="BV1458" s="160"/>
    </row>
    <row r="1459" ht="15.75" hidden="1" customHeight="1" outlineLevel="1">
      <c r="A1459" s="273"/>
      <c r="B1459" s="38"/>
      <c r="C1459" s="174"/>
      <c r="D1459" s="174"/>
      <c r="E1459" s="174"/>
      <c r="F1459" s="174"/>
      <c r="G1459" s="174"/>
      <c r="H1459" s="174"/>
      <c r="I1459" s="174"/>
      <c r="J1459" s="174"/>
      <c r="K1459" s="174"/>
      <c r="L1459" s="174"/>
      <c r="M1459" s="174"/>
      <c r="N1459" s="174"/>
      <c r="O1459" s="174"/>
      <c r="P1459" s="174"/>
      <c r="Q1459" s="174"/>
      <c r="R1459" s="174"/>
      <c r="S1459" s="174"/>
      <c r="T1459" s="174"/>
      <c r="U1459" s="174"/>
      <c r="V1459" s="174"/>
      <c r="W1459" s="160"/>
      <c r="X1459" s="160"/>
      <c r="Y1459" s="160"/>
      <c r="Z1459" s="160"/>
      <c r="AA1459" s="160"/>
      <c r="AB1459" s="160"/>
      <c r="AC1459" s="160"/>
      <c r="AD1459" s="160"/>
      <c r="AE1459" s="160"/>
      <c r="AF1459" s="160"/>
      <c r="AG1459" s="160"/>
      <c r="AH1459" s="160"/>
      <c r="AI1459" s="160"/>
      <c r="AJ1459" s="179"/>
      <c r="AK1459" s="160"/>
      <c r="AL1459" s="177"/>
      <c r="AM1459" s="177"/>
      <c r="AN1459" s="177"/>
      <c r="AO1459" s="160"/>
      <c r="AP1459" s="160"/>
      <c r="AQ1459" s="160"/>
      <c r="AR1459" s="160"/>
      <c r="AS1459" s="160"/>
      <c r="AT1459" s="160"/>
      <c r="AU1459" s="160"/>
      <c r="AV1459" s="160"/>
      <c r="AW1459" s="160"/>
      <c r="AX1459" s="160"/>
      <c r="AY1459" s="160">
        <f>IF($AY$1354&gt;0,PPMT('Assumptions (Hydro)'!$V$6,Model!W$1,'Assumptions (Hydro)'!$V$9,'Assumptions (Hydro)'!$V$4*Model!$AY$1354*AVERAGE('Assumptions (Hydro)'!$AU$2:$AW$2)/10^9),0)</f>
        <v>0</v>
      </c>
      <c r="AZ1459" s="160">
        <f>IF($AY$1354&gt;0,PPMT('Assumptions (Hydro)'!$V$6,Model!X$1,'Assumptions (Hydro)'!$V$9,'Assumptions (Hydro)'!$V$4*Model!$AY$1354*AVERAGE('Assumptions (Hydro)'!$AU$2:$AW$2)/10^9),0)</f>
        <v>0</v>
      </c>
      <c r="BA1459" s="160">
        <f>IF($AY$1354&gt;0,PPMT('Assumptions (Hydro)'!$V$6,Model!Y$1,'Assumptions (Hydro)'!$V$9,'Assumptions (Hydro)'!$V$4*Model!$AY$1354*AVERAGE('Assumptions (Hydro)'!$AU$2:$AW$2)/10^9),0)</f>
        <v>0</v>
      </c>
      <c r="BB1459" s="160">
        <f>IF($AY$1354&gt;0,PPMT('Assumptions (Hydro)'!$V$6,Model!Z$1,'Assumptions (Hydro)'!$V$9,'Assumptions (Hydro)'!$V$4*Model!$AY$1354*AVERAGE('Assumptions (Hydro)'!$AU$2:$AW$2)/10^9),0)</f>
        <v>0</v>
      </c>
      <c r="BC1459" s="160">
        <f>IF($AY$1354&gt;0,PPMT('Assumptions (Hydro)'!$V$6,Model!AA$1,'Assumptions (Hydro)'!$V$9,'Assumptions (Hydro)'!$V$4*Model!$AY$1354*AVERAGE('Assumptions (Hydro)'!$AU$2:$AW$2)/10^9),0)</f>
        <v>0</v>
      </c>
      <c r="BD1459" s="160">
        <f>IF($AY$1354&gt;0,PPMT('Assumptions (Hydro)'!$V$6,Model!AB$1,'Assumptions (Hydro)'!$V$9,'Assumptions (Hydro)'!$V$4*Model!$AY$1354*AVERAGE('Assumptions (Hydro)'!$AU$2:$AW$2)/10^9),0)</f>
        <v>0</v>
      </c>
      <c r="BE1459" s="160">
        <f>IF($AY$1354&gt;0,PPMT('Assumptions (Hydro)'!$V$6,Model!AC$1,'Assumptions (Hydro)'!$V$9,'Assumptions (Hydro)'!$V$4*Model!$AY$1354*AVERAGE('Assumptions (Hydro)'!$AU$2:$AW$2)/10^9),0)</f>
        <v>0</v>
      </c>
      <c r="BF1459" s="160">
        <f>IF($AY$1354&gt;0,PPMT('Assumptions (Hydro)'!$V$6,Model!AD$1,'Assumptions (Hydro)'!$V$9,'Assumptions (Hydro)'!$V$4*Model!$AY$1354*AVERAGE('Assumptions (Hydro)'!$AU$2:$AW$2)/10^9),0)</f>
        <v>0</v>
      </c>
      <c r="BG1459" s="160">
        <f>IF($AY$1354&gt;0,PPMT('Assumptions (Hydro)'!$V$6,Model!AE$1,'Assumptions (Hydro)'!$V$9,'Assumptions (Hydro)'!$V$4*Model!$AY$1354*AVERAGE('Assumptions (Hydro)'!$AU$2:$AW$2)/10^9),0)</f>
        <v>0</v>
      </c>
      <c r="BH1459" s="160">
        <f>IF($AY$1354&gt;0,PPMT('Assumptions (Hydro)'!$V$6,Model!AF$1,'Assumptions (Hydro)'!$V$9,'Assumptions (Hydro)'!$V$4*Model!$AY$1354*AVERAGE('Assumptions (Hydro)'!$AU$2:$AW$2)/10^9),0)</f>
        <v>0</v>
      </c>
      <c r="BI1459" s="160">
        <f>IF($AY$1354&gt;0,PPMT('Assumptions (Hydro)'!$V$6,Model!AG$1,'Assumptions (Hydro)'!$V$9,'Assumptions (Hydro)'!$V$4*Model!$AY$1354*AVERAGE('Assumptions (Hydro)'!$AU$2:$AW$2)/10^9),0)</f>
        <v>0</v>
      </c>
      <c r="BJ1459" s="160">
        <f>IF($AY$1354&gt;0,PPMT('Assumptions (Hydro)'!$V$6,Model!AH$1,'Assumptions (Hydro)'!$V$9,'Assumptions (Hydro)'!$V$4*Model!$AY$1354*AVERAGE('Assumptions (Hydro)'!$AU$2:$AW$2)/10^9),0)</f>
        <v>0</v>
      </c>
      <c r="BK1459" s="160">
        <f>IF($AY$1354&gt;0,PPMT('Assumptions (Hydro)'!$V$6,Model!AI$1,'Assumptions (Hydro)'!$V$9,'Assumptions (Hydro)'!$V$4*Model!$AY$1354*AVERAGE('Assumptions (Hydro)'!$AU$2:$AW$2)/10^9),0)</f>
        <v>0</v>
      </c>
      <c r="BL1459" s="160">
        <f>IF($AY$1354&gt;0,PPMT('Assumptions (Hydro)'!$V$6,Model!AJ$1,'Assumptions (Hydro)'!$V$9,'Assumptions (Hydro)'!$V$4*Model!$AY$1354*AVERAGE('Assumptions (Hydro)'!$AU$2:$AW$2)/10^9),0)</f>
        <v>0</v>
      </c>
      <c r="BM1459" s="160">
        <f>IF($AY$1354&gt;0,PPMT('Assumptions (Hydro)'!$V$6,Model!AK$1,'Assumptions (Hydro)'!$V$9,'Assumptions (Hydro)'!$V$4*Model!$AY$1354*AVERAGE('Assumptions (Hydro)'!$AU$2:$AW$2)/10^9),0)</f>
        <v>0</v>
      </c>
      <c r="BN1459" s="160"/>
      <c r="BO1459" s="160"/>
      <c r="BP1459" s="160"/>
      <c r="BQ1459" s="160"/>
      <c r="BR1459" s="160"/>
      <c r="BS1459" s="160"/>
      <c r="BT1459" s="160"/>
      <c r="BU1459" s="160"/>
      <c r="BV1459" s="160"/>
      <c r="BW1459" s="160"/>
    </row>
    <row r="1460" ht="15.75" hidden="1" customHeight="1" outlineLevel="1">
      <c r="A1460" s="273"/>
      <c r="B1460" s="38"/>
      <c r="C1460" s="174"/>
      <c r="D1460" s="174"/>
      <c r="E1460" s="174"/>
      <c r="F1460" s="174"/>
      <c r="G1460" s="174"/>
      <c r="H1460" s="174"/>
      <c r="I1460" s="174"/>
      <c r="J1460" s="174"/>
      <c r="K1460" s="174"/>
      <c r="L1460" s="174"/>
      <c r="M1460" s="174"/>
      <c r="N1460" s="174"/>
      <c r="O1460" s="174"/>
      <c r="P1460" s="174"/>
      <c r="Q1460" s="174"/>
      <c r="R1460" s="174"/>
      <c r="S1460" s="174"/>
      <c r="T1460" s="174"/>
      <c r="U1460" s="174"/>
      <c r="V1460" s="174"/>
      <c r="W1460" s="160"/>
      <c r="X1460" s="160"/>
      <c r="Y1460" s="160"/>
      <c r="Z1460" s="160"/>
      <c r="AA1460" s="160"/>
      <c r="AB1460" s="160"/>
      <c r="AC1460" s="160"/>
      <c r="AD1460" s="160"/>
      <c r="AE1460" s="160"/>
      <c r="AF1460" s="160"/>
      <c r="AG1460" s="160"/>
      <c r="AH1460" s="160"/>
      <c r="AI1460" s="160"/>
      <c r="AJ1460" s="179"/>
      <c r="AK1460" s="160"/>
      <c r="AL1460" s="177"/>
      <c r="AM1460" s="177"/>
      <c r="AN1460" s="177"/>
      <c r="AO1460" s="160"/>
      <c r="AP1460" s="160"/>
      <c r="AQ1460" s="160"/>
      <c r="AR1460" s="160"/>
      <c r="AS1460" s="160"/>
      <c r="AT1460" s="160"/>
      <c r="AU1460" s="160"/>
      <c r="AV1460" s="160"/>
      <c r="AW1460" s="160"/>
      <c r="AX1460" s="160"/>
      <c r="AY1460" s="160"/>
      <c r="AZ1460" s="160">
        <f>IF($AZ$1354&gt;0,PPMT('Assumptions (Hydro)'!$V$6,Model!W$1,'Assumptions (Hydro)'!$V$9,'Assumptions (Hydro)'!$V$4*Model!$AZ$1354*AVERAGE('Assumptions (Hydro)'!$AV$2:$AX$2)/10^9),0)</f>
        <v>0</v>
      </c>
      <c r="BA1460" s="160">
        <f>IF($AZ$1354&gt;0,PPMT('Assumptions (Hydro)'!$V$6,Model!X$1,'Assumptions (Hydro)'!$V$9,'Assumptions (Hydro)'!$V$4*Model!$AZ$1354*AVERAGE('Assumptions (Hydro)'!$AV$2:$AX$2)/10^9),0)</f>
        <v>0</v>
      </c>
      <c r="BB1460" s="160">
        <f>IF($AZ$1354&gt;0,PPMT('Assumptions (Hydro)'!$V$6,Model!Y$1,'Assumptions (Hydro)'!$V$9,'Assumptions (Hydro)'!$V$4*Model!$AZ$1354*AVERAGE('Assumptions (Hydro)'!$AV$2:$AX$2)/10^9),0)</f>
        <v>0</v>
      </c>
      <c r="BC1460" s="160">
        <f>IF($AZ$1354&gt;0,PPMT('Assumptions (Hydro)'!$V$6,Model!Z$1,'Assumptions (Hydro)'!$V$9,'Assumptions (Hydro)'!$V$4*Model!$AZ$1354*AVERAGE('Assumptions (Hydro)'!$AV$2:$AX$2)/10^9),0)</f>
        <v>0</v>
      </c>
      <c r="BD1460" s="160">
        <f>IF($AZ$1354&gt;0,PPMT('Assumptions (Hydro)'!$V$6,Model!AA$1,'Assumptions (Hydro)'!$V$9,'Assumptions (Hydro)'!$V$4*Model!$AZ$1354*AVERAGE('Assumptions (Hydro)'!$AV$2:$AX$2)/10^9),0)</f>
        <v>0</v>
      </c>
      <c r="BE1460" s="160">
        <f>IF($AZ$1354&gt;0,PPMT('Assumptions (Hydro)'!$V$6,Model!AB$1,'Assumptions (Hydro)'!$V$9,'Assumptions (Hydro)'!$V$4*Model!$AZ$1354*AVERAGE('Assumptions (Hydro)'!$AV$2:$AX$2)/10^9),0)</f>
        <v>0</v>
      </c>
      <c r="BF1460" s="160">
        <f>IF($AZ$1354&gt;0,PPMT('Assumptions (Hydro)'!$V$6,Model!AC$1,'Assumptions (Hydro)'!$V$9,'Assumptions (Hydro)'!$V$4*Model!$AZ$1354*AVERAGE('Assumptions (Hydro)'!$AV$2:$AX$2)/10^9),0)</f>
        <v>0</v>
      </c>
      <c r="BG1460" s="160">
        <f>IF($AZ$1354&gt;0,PPMT('Assumptions (Hydro)'!$V$6,Model!AD$1,'Assumptions (Hydro)'!$V$9,'Assumptions (Hydro)'!$V$4*Model!$AZ$1354*AVERAGE('Assumptions (Hydro)'!$AV$2:$AX$2)/10^9),0)</f>
        <v>0</v>
      </c>
      <c r="BH1460" s="160">
        <f>IF($AZ$1354&gt;0,PPMT('Assumptions (Hydro)'!$V$6,Model!AE$1,'Assumptions (Hydro)'!$V$9,'Assumptions (Hydro)'!$V$4*Model!$AZ$1354*AVERAGE('Assumptions (Hydro)'!$AV$2:$AX$2)/10^9),0)</f>
        <v>0</v>
      </c>
      <c r="BI1460" s="160">
        <f>IF($AZ$1354&gt;0,PPMT('Assumptions (Hydro)'!$V$6,Model!AF$1,'Assumptions (Hydro)'!$V$9,'Assumptions (Hydro)'!$V$4*Model!$AZ$1354*AVERAGE('Assumptions (Hydro)'!$AV$2:$AX$2)/10^9),0)</f>
        <v>0</v>
      </c>
      <c r="BJ1460" s="160">
        <f>IF($AZ$1354&gt;0,PPMT('Assumptions (Hydro)'!$V$6,Model!AG$1,'Assumptions (Hydro)'!$V$9,'Assumptions (Hydro)'!$V$4*Model!$AZ$1354*AVERAGE('Assumptions (Hydro)'!$AV$2:$AX$2)/10^9),0)</f>
        <v>0</v>
      </c>
      <c r="BK1460" s="160">
        <f>IF($AZ$1354&gt;0,PPMT('Assumptions (Hydro)'!$V$6,Model!AH$1,'Assumptions (Hydro)'!$V$9,'Assumptions (Hydro)'!$V$4*Model!$AZ$1354*AVERAGE('Assumptions (Hydro)'!$AV$2:$AX$2)/10^9),0)</f>
        <v>0</v>
      </c>
      <c r="BL1460" s="160">
        <f>IF($AZ$1354&gt;0,PPMT('Assumptions (Hydro)'!$V$6,Model!AI$1,'Assumptions (Hydro)'!$V$9,'Assumptions (Hydro)'!$V$4*Model!$AZ$1354*AVERAGE('Assumptions (Hydro)'!$AV$2:$AX$2)/10^9),0)</f>
        <v>0</v>
      </c>
      <c r="BM1460" s="160">
        <f>IF($AZ$1354&gt;0,PPMT('Assumptions (Hydro)'!$V$6,Model!AJ$1,'Assumptions (Hydro)'!$V$9,'Assumptions (Hydro)'!$V$4*Model!$AZ$1354*AVERAGE('Assumptions (Hydro)'!$AV$2:$AX$2)/10^9),0)</f>
        <v>0</v>
      </c>
      <c r="BN1460" s="160">
        <f>IF($AZ$1354&gt;0,PPMT('Assumptions (Hydro)'!$V$6,Model!AK$1,'Assumptions (Hydro)'!$V$9,'Assumptions (Hydro)'!$V$4*Model!$AZ$1354*AVERAGE('Assumptions (Hydro)'!$AV$2:$AX$2)/10^9),0)</f>
        <v>0</v>
      </c>
      <c r="BO1460" s="160"/>
      <c r="BP1460" s="160"/>
      <c r="BQ1460" s="160"/>
      <c r="BR1460" s="160"/>
      <c r="BS1460" s="160"/>
      <c r="BT1460" s="160"/>
      <c r="BU1460" s="160"/>
      <c r="BV1460" s="160"/>
      <c r="BW1460" s="160"/>
      <c r="BX1460" s="160"/>
    </row>
    <row r="1461" ht="15.75" hidden="1" customHeight="1" outlineLevel="1">
      <c r="A1461" s="273"/>
      <c r="B1461" s="38"/>
      <c r="C1461" s="174"/>
      <c r="D1461" s="174"/>
      <c r="E1461" s="174"/>
      <c r="F1461" s="174"/>
      <c r="G1461" s="174"/>
      <c r="H1461" s="174"/>
      <c r="I1461" s="174"/>
      <c r="J1461" s="174"/>
      <c r="K1461" s="174"/>
      <c r="L1461" s="174"/>
      <c r="M1461" s="174"/>
      <c r="N1461" s="174"/>
      <c r="O1461" s="174"/>
      <c r="P1461" s="174"/>
      <c r="Q1461" s="174"/>
      <c r="R1461" s="174"/>
      <c r="S1461" s="174"/>
      <c r="T1461" s="174"/>
      <c r="U1461" s="174"/>
      <c r="V1461" s="174"/>
      <c r="W1461" s="160"/>
      <c r="X1461" s="160"/>
      <c r="Y1461" s="160"/>
      <c r="Z1461" s="160"/>
      <c r="AA1461" s="160"/>
      <c r="AB1461" s="160"/>
      <c r="AC1461" s="160"/>
      <c r="AD1461" s="160"/>
      <c r="AE1461" s="160"/>
      <c r="AF1461" s="160"/>
      <c r="AG1461" s="160"/>
      <c r="AH1461" s="160"/>
      <c r="AI1461" s="160"/>
      <c r="AJ1461" s="179"/>
      <c r="AK1461" s="160"/>
      <c r="AL1461" s="177"/>
      <c r="AM1461" s="177"/>
      <c r="AN1461" s="177"/>
      <c r="AO1461" s="160"/>
      <c r="AP1461" s="160"/>
      <c r="AQ1461" s="160"/>
      <c r="AR1461" s="160"/>
      <c r="AS1461" s="160"/>
      <c r="AT1461" s="160"/>
      <c r="AU1461" s="160"/>
      <c r="AV1461" s="160"/>
      <c r="AW1461" s="160"/>
      <c r="AX1461" s="160"/>
      <c r="AY1461" s="160"/>
      <c r="AZ1461" s="160"/>
      <c r="BA1461" s="160">
        <f>IF($BA$1354&gt;0,PPMT('Assumptions (Hydro)'!$V$6,Model!W$1,'Assumptions (Hydro)'!$V$9,'Assumptions (Hydro)'!$V$4*Model!$BA$1354*AVERAGE('Assumptions (Hydro)'!$AW$2:$AY$2)/10^9),0)</f>
        <v>0</v>
      </c>
      <c r="BB1461" s="160">
        <f>IF($BA$1354&gt;0,PPMT('Assumptions (Hydro)'!$V$6,Model!X$1,'Assumptions (Hydro)'!$V$9,'Assumptions (Hydro)'!$V$4*Model!$BA$1354*AVERAGE('Assumptions (Hydro)'!$AW$2:$AY$2)/10^9),0)</f>
        <v>0</v>
      </c>
      <c r="BC1461" s="160">
        <f>IF($BA$1354&gt;0,PPMT('Assumptions (Hydro)'!$V$6,Model!Y$1,'Assumptions (Hydro)'!$V$9,'Assumptions (Hydro)'!$V$4*Model!$BA$1354*AVERAGE('Assumptions (Hydro)'!$AW$2:$AY$2)/10^9),0)</f>
        <v>0</v>
      </c>
      <c r="BD1461" s="160">
        <f>IF($BA$1354&gt;0,PPMT('Assumptions (Hydro)'!$V$6,Model!Z$1,'Assumptions (Hydro)'!$V$9,'Assumptions (Hydro)'!$V$4*Model!$BA$1354*AVERAGE('Assumptions (Hydro)'!$AW$2:$AY$2)/10^9),0)</f>
        <v>0</v>
      </c>
      <c r="BE1461" s="160">
        <f>IF($BA$1354&gt;0,PPMT('Assumptions (Hydro)'!$V$6,Model!AA$1,'Assumptions (Hydro)'!$V$9,'Assumptions (Hydro)'!$V$4*Model!$BA$1354*AVERAGE('Assumptions (Hydro)'!$AW$2:$AY$2)/10^9),0)</f>
        <v>0</v>
      </c>
      <c r="BF1461" s="160">
        <f>IF($BA$1354&gt;0,PPMT('Assumptions (Hydro)'!$V$6,Model!AB$1,'Assumptions (Hydro)'!$V$9,'Assumptions (Hydro)'!$V$4*Model!$BA$1354*AVERAGE('Assumptions (Hydro)'!$AW$2:$AY$2)/10^9),0)</f>
        <v>0</v>
      </c>
      <c r="BG1461" s="160">
        <f>IF($BA$1354&gt;0,PPMT('Assumptions (Hydro)'!$V$6,Model!AC$1,'Assumptions (Hydro)'!$V$9,'Assumptions (Hydro)'!$V$4*Model!$BA$1354*AVERAGE('Assumptions (Hydro)'!$AW$2:$AY$2)/10^9),0)</f>
        <v>0</v>
      </c>
      <c r="BH1461" s="160">
        <f>IF($BA$1354&gt;0,PPMT('Assumptions (Hydro)'!$V$6,Model!AD$1,'Assumptions (Hydro)'!$V$9,'Assumptions (Hydro)'!$V$4*Model!$BA$1354*AVERAGE('Assumptions (Hydro)'!$AW$2:$AY$2)/10^9),0)</f>
        <v>0</v>
      </c>
      <c r="BI1461" s="160">
        <f>IF($BA$1354&gt;0,PPMT('Assumptions (Hydro)'!$V$6,Model!AE$1,'Assumptions (Hydro)'!$V$9,'Assumptions (Hydro)'!$V$4*Model!$BA$1354*AVERAGE('Assumptions (Hydro)'!$AW$2:$AY$2)/10^9),0)</f>
        <v>0</v>
      </c>
      <c r="BJ1461" s="160">
        <f>IF($BA$1354&gt;0,PPMT('Assumptions (Hydro)'!$V$6,Model!AF$1,'Assumptions (Hydro)'!$V$9,'Assumptions (Hydro)'!$V$4*Model!$BA$1354*AVERAGE('Assumptions (Hydro)'!$AW$2:$AY$2)/10^9),0)</f>
        <v>0</v>
      </c>
      <c r="BK1461" s="160">
        <f>IF($BA$1354&gt;0,PPMT('Assumptions (Hydro)'!$V$6,Model!AG$1,'Assumptions (Hydro)'!$V$9,'Assumptions (Hydro)'!$V$4*Model!$BA$1354*AVERAGE('Assumptions (Hydro)'!$AW$2:$AY$2)/10^9),0)</f>
        <v>0</v>
      </c>
      <c r="BL1461" s="160">
        <f>IF($BA$1354&gt;0,PPMT('Assumptions (Hydro)'!$V$6,Model!AH$1,'Assumptions (Hydro)'!$V$9,'Assumptions (Hydro)'!$V$4*Model!$BA$1354*AVERAGE('Assumptions (Hydro)'!$AW$2:$AY$2)/10^9),0)</f>
        <v>0</v>
      </c>
      <c r="BM1461" s="160">
        <f>IF($BA$1354&gt;0,PPMT('Assumptions (Hydro)'!$V$6,Model!AI$1,'Assumptions (Hydro)'!$V$9,'Assumptions (Hydro)'!$V$4*Model!$BA$1354*AVERAGE('Assumptions (Hydro)'!$AW$2:$AY$2)/10^9),0)</f>
        <v>0</v>
      </c>
      <c r="BN1461" s="160">
        <f>IF($BA$1354&gt;0,PPMT('Assumptions (Hydro)'!$V$6,Model!AJ$1,'Assumptions (Hydro)'!$V$9,'Assumptions (Hydro)'!$V$4*Model!$BA$1354*AVERAGE('Assumptions (Hydro)'!$AW$2:$AY$2)/10^9),0)</f>
        <v>0</v>
      </c>
      <c r="BO1461" s="160">
        <f>IF($BA$1354&gt;0,PPMT('Assumptions (Hydro)'!$V$6,Model!AK$1,'Assumptions (Hydro)'!$V$9,'Assumptions (Hydro)'!$V$4*Model!$BA$1354*AVERAGE('Assumptions (Hydro)'!$AW$2:$AY$2)/10^9),0)</f>
        <v>0</v>
      </c>
      <c r="BP1461" s="160"/>
      <c r="BQ1461" s="160"/>
      <c r="BR1461" s="160"/>
      <c r="BS1461" s="160"/>
      <c r="BT1461" s="160"/>
      <c r="BU1461" s="160"/>
      <c r="BV1461" s="160"/>
      <c r="BW1461" s="160"/>
      <c r="BX1461" s="160"/>
      <c r="BY1461" s="160"/>
    </row>
    <row r="1462" ht="15.75" customHeight="1" collapsed="1">
      <c r="A1462" s="272" t="s">
        <v>360</v>
      </c>
      <c r="B1462" s="150" t="s">
        <v>351</v>
      </c>
      <c r="C1462" s="177">
        <f t="array" ref="C1462">SUM(IF(ISERROR(C1463:C1513),"",C1463:C1513))</f>
        <v>-0.0000231369021</v>
      </c>
      <c r="D1462" s="177">
        <f t="array" ref="D1462">SUM(IF(ISERROR(D1463:D1513),"",D1463:D1513))</f>
        <v>-0.00002204435134</v>
      </c>
      <c r="E1462" s="177">
        <f t="array" ref="E1462">SUM(IF(ISERROR(E1463:E1513),"",E1463:E1513))</f>
        <v>-0.00002089990441</v>
      </c>
      <c r="F1462" s="177">
        <f t="array" ref="F1462">SUM(IF(ISERROR(F1463:F1513),"",F1463:F1513))</f>
        <v>-0.003605920922</v>
      </c>
      <c r="G1462" s="177">
        <f t="array" ref="G1462">SUM(IF(ISERROR(G1463:G1513),"",G1463:G1513))</f>
        <v>-0.007021539629</v>
      </c>
      <c r="H1462" s="177">
        <f t="array" ref="H1462">SUM(IF(ISERROR(H1463:H1513),"",H1463:H1513))</f>
        <v>-0.008165819773</v>
      </c>
      <c r="I1462" s="177">
        <f t="array" ref="I1462">SUM(IF(ISERROR(I1463:I1513),"",I1463:I1513))</f>
        <v>-0.00773076783</v>
      </c>
      <c r="J1462" s="177">
        <f t="array" ref="J1462">SUM(IF(ISERROR(J1463:J1513),"",J1463:J1513))</f>
        <v>-0.00727505092</v>
      </c>
      <c r="K1462" s="177">
        <f t="array" ref="K1462">SUM(IF(ISERROR(K1463:K1513),"",K1463:K1513))</f>
        <v>-0.006797687456</v>
      </c>
      <c r="L1462" s="177">
        <f t="array" ref="L1462">SUM(IF(ISERROR(L1463:L1513),"",L1463:L1513))</f>
        <v>-0.006297649228</v>
      </c>
      <c r="M1462" s="177">
        <f t="array" ref="M1462">SUM(IF(ISERROR(M1463:M1513),"",M1463:M1513))</f>
        <v>-0.005773859185</v>
      </c>
      <c r="N1462" s="177">
        <f t="array" ref="N1462">SUM(IF(ISERROR(N1463:N1513),"",N1463:N1513))</f>
        <v>-0.005340242591</v>
      </c>
      <c r="O1462" s="177">
        <f t="array" ref="O1462">SUM(IF(ISERROR(O1463:O1513),"",O1463:O1513))</f>
        <v>-0.01079419781</v>
      </c>
      <c r="P1462" s="177">
        <f t="array" ref="P1462">SUM(IF(ISERROR(P1463:P1513),"",P1463:P1513))</f>
        <v>-0.0119279274</v>
      </c>
      <c r="Q1462" s="177">
        <f t="array" ref="Q1462">SUM(IF(ISERROR(Q1463:Q1513),"",Q1463:Q1513))</f>
        <v>-0.01089717689</v>
      </c>
      <c r="R1462" s="177">
        <f t="array" ref="R1462">SUM(IF(ISERROR(R1463:R1513),"",R1463:R1513))</f>
        <v>-0.00981746573</v>
      </c>
      <c r="S1462" s="177">
        <f t="array" ref="S1462">SUM(IF(ISERROR(S1463:S1513),"",S1463:S1513))</f>
        <v>-0.008688659844</v>
      </c>
      <c r="T1462" s="177">
        <f t="array" ref="T1462">SUM(IF(ISERROR(T1463:T1513),"",T1463:T1513))</f>
        <v>-0.007506235679</v>
      </c>
      <c r="U1462" s="177">
        <f t="array" ref="U1462">SUM(IF(ISERROR(U1463:U1513),"",U1463:U1513))</f>
        <v>-0.006267646365</v>
      </c>
      <c r="V1462" s="177">
        <f t="array" ref="V1462">SUM(IF(ISERROR(V1463:V1513),"",V1463:V1513))</f>
        <v>-0.00530991487</v>
      </c>
      <c r="W1462" s="177">
        <f t="array" ref="W1462">SUM(IF(ISERROR(W1463:W1513),"",W1463:W1513))</f>
        <v>-0.004646381938</v>
      </c>
      <c r="X1462" s="177">
        <f t="array" ref="X1462">SUM(IF(ISERROR(X1463:X1513),"",X1463:X1513))</f>
        <v>-0.004092686401</v>
      </c>
      <c r="Y1462" s="177">
        <f t="array" ref="Y1462">SUM(IF(ISERROR(Y1463:Y1513),"",Y1463:Y1513))</f>
        <v>-0.003512690325</v>
      </c>
      <c r="Z1462" s="177">
        <f t="array" ref="Z1462">SUM(IF(ISERROR(Z1463:Z1513),"",Z1463:Z1513))</f>
        <v>-0.002905144436</v>
      </c>
      <c r="AA1462" s="177">
        <f t="array" ref="AA1462">SUM(IF(ISERROR(AA1463:AA1513),"",AA1463:AA1513))</f>
        <v>-0.002268740117</v>
      </c>
      <c r="AB1462" s="177">
        <f t="array" ref="AB1462">SUM(IF(ISERROR(AB1463:AB1513),"",AB1463:AB1513))</f>
        <v>-0.001602106593</v>
      </c>
      <c r="AC1462" s="177">
        <f t="array" ref="AC1462">SUM(IF(ISERROR(AC1463:AC1513),"",AC1463:AC1513))</f>
        <v>-0.000903807977</v>
      </c>
      <c r="AD1462" s="177">
        <f t="array" ref="AD1462">SUM(IF(ISERROR(AD1463:AD1513),"",AD1463:AD1513))</f>
        <v>-0.0001832381723</v>
      </c>
      <c r="AE1462" s="177">
        <f t="array" ref="AE1462">SUM(IF(ISERROR(AE1463:AE1513),"",AE1463:AE1513))</f>
        <v>0</v>
      </c>
      <c r="AF1462" s="177">
        <f t="array" ref="AF1462">SUM(IF(ISERROR(AF1463:AF1513),"",AF1463:AF1513))</f>
        <v>0</v>
      </c>
      <c r="AG1462" s="177">
        <f t="array" ref="AG1462">SUM(IF(ISERROR(AG1463:AG1513),"",AG1463:AG1513))</f>
        <v>0</v>
      </c>
      <c r="AH1462" s="177">
        <f t="array" ref="AH1462">SUM(IF(ISERROR(AH1463:AH1513),"",AH1463:AH1513))</f>
        <v>0</v>
      </c>
      <c r="AI1462" s="177">
        <f t="array" ref="AI1462">SUM(IF(ISERROR(AI1463:AI1513),"",AI1463:AI1513))</f>
        <v>0</v>
      </c>
      <c r="AJ1462" s="177">
        <f t="array" ref="AJ1462">SUM(IF(ISERROR(AJ1463:AJ1513),"",AJ1463:AJ1513))</f>
        <v>0</v>
      </c>
      <c r="AK1462" s="177">
        <f t="array" ref="AK1462">SUM(IF(ISERROR(AK1463:AK1513),"",AK1463:AK1513))</f>
        <v>0</v>
      </c>
      <c r="AL1462" s="177">
        <f t="array" ref="AL1462">SUM(IF(ISERROR(AL1463:AL1513),"",AL1463:AL1513))</f>
        <v>0</v>
      </c>
      <c r="AM1462" s="177">
        <f t="array" ref="AM1462">SUM(IF(ISERROR(AM1463:AM1513),"",AM1463:AM1513))</f>
        <v>0</v>
      </c>
      <c r="AN1462" s="177">
        <f t="array" ref="AN1462">SUM(IF(ISERROR(AN1463:AN1513),"",AN1463:AN1513))</f>
        <v>0</v>
      </c>
      <c r="AO1462" s="177">
        <f t="array" ref="AO1462">SUM(IF(ISERROR(AO1463:AO1513),"",AO1463:AO1513))</f>
        <v>0</v>
      </c>
      <c r="AP1462" s="177">
        <f t="array" ref="AP1462">SUM(IF(ISERROR(AP1463:AP1513),"",AP1463:AP1513))</f>
        <v>0</v>
      </c>
      <c r="AQ1462" s="177">
        <f t="array" ref="AQ1462">SUM(IF(ISERROR(AQ1463:AQ1513),"",AQ1463:AQ1513))</f>
        <v>0</v>
      </c>
      <c r="AR1462" s="177">
        <f t="array" ref="AR1462">SUM(IF(ISERROR(AR1463:AR1513),"",AR1463:AR1513))</f>
        <v>0</v>
      </c>
      <c r="AS1462" s="177">
        <f t="array" ref="AS1462">SUM(IF(ISERROR(AS1463:AS1513),"",AS1463:AS1513))</f>
        <v>0</v>
      </c>
      <c r="AT1462" s="177">
        <f t="array" ref="AT1462">SUM(IF(ISERROR(AT1463:AT1513),"",AT1463:AT1513))</f>
        <v>0</v>
      </c>
      <c r="AU1462" s="177">
        <f t="array" ref="AU1462">SUM(IF(ISERROR(AU1463:AU1513),"",AU1463:AU1513))</f>
        <v>0</v>
      </c>
      <c r="AV1462" s="177">
        <f t="array" ref="AV1462">SUM(IF(ISERROR(AV1463:AV1513),"",AV1463:AV1513))</f>
        <v>0</v>
      </c>
      <c r="AW1462" s="177">
        <f t="array" ref="AW1462">SUM(IF(ISERROR(AW1463:AW1513),"",AW1463:AW1513))</f>
        <v>0</v>
      </c>
      <c r="AX1462" s="177">
        <f t="array" ref="AX1462">SUM(IF(ISERROR(AX1463:AX1513),"",AX1463:AX1513))</f>
        <v>0</v>
      </c>
      <c r="AY1462" s="177">
        <f t="array" ref="AY1462">SUM(IF(ISERROR(AY1463:AY1513),"",AY1463:AY1513))</f>
        <v>0</v>
      </c>
      <c r="AZ1462" s="177">
        <f t="array" ref="AZ1462">SUM(IF(ISERROR(AZ1463:AZ1513),"",AZ1463:AZ1513))</f>
        <v>0</v>
      </c>
      <c r="BA1462" s="177">
        <f t="array" ref="BA1462">SUM(IF(ISERROR(BA1463:BA1513),"",BA1463:BA1513))</f>
        <v>0</v>
      </c>
      <c r="BB1462" s="177">
        <f t="array" ref="BB1462">SUM(IF(ISERROR(BB1463:BB1513),"",BB1463:BB1513))</f>
        <v>0</v>
      </c>
      <c r="BC1462" s="177">
        <f t="array" ref="BC1462">SUM(IF(ISERROR(BC1463:BC1513),"",BC1463:BC1513))</f>
        <v>0</v>
      </c>
      <c r="BD1462" s="177">
        <f t="array" ref="BD1462">SUM(IF(ISERROR(BD1463:BD1513),"",BD1463:BD1513))</f>
        <v>0</v>
      </c>
      <c r="BE1462" s="177">
        <f t="array" ref="BE1462">SUM(IF(ISERROR(BE1463:BE1513),"",BE1463:BE1513))</f>
        <v>0</v>
      </c>
      <c r="BF1462" s="177">
        <f t="array" ref="BF1462">SUM(IF(ISERROR(BF1463:BF1513),"",BF1463:BF1513))</f>
        <v>0</v>
      </c>
      <c r="BG1462" s="177">
        <f t="array" ref="BG1462">SUM(IF(ISERROR(BG1463:BG1513),"",BG1463:BG1513))</f>
        <v>0</v>
      </c>
      <c r="BH1462" s="177">
        <f t="array" ref="BH1462">SUM(IF(ISERROR(BH1463:BH1513),"",BH1463:BH1513))</f>
        <v>0</v>
      </c>
      <c r="BI1462" s="177">
        <f t="array" ref="BI1462">SUM(IF(ISERROR(BI1463:BI1513),"",BI1463:BI1513))</f>
        <v>0</v>
      </c>
      <c r="BJ1462" s="177">
        <f t="array" ref="BJ1462">SUM(IF(ISERROR(BJ1463:BJ1513),"",BJ1463:BJ1513))</f>
        <v>0</v>
      </c>
      <c r="BK1462" s="177">
        <f t="array" ref="BK1462">SUM(IF(ISERROR(BK1463:BK1513),"",BK1463:BK1513))</f>
        <v>0</v>
      </c>
      <c r="BL1462" s="177">
        <f t="array" ref="BL1462">SUM(IF(ISERROR(BL1463:BL1513),"",BL1463:BL1513))</f>
        <v>0</v>
      </c>
      <c r="BM1462" s="177">
        <f t="array" ref="BM1462">SUM(IF(ISERROR(BM1463:BM1513),"",BM1463:BM1513))</f>
        <v>0</v>
      </c>
      <c r="BN1462" s="177">
        <f t="array" ref="BN1462">SUM(IF(ISERROR(BN1463:BN1513),"",BN1463:BN1513))</f>
        <v>0</v>
      </c>
      <c r="BO1462" s="177">
        <f t="array" ref="BO1462">SUM(IF(ISERROR(BO1463:BO1513),"",BO1463:BO1513))</f>
        <v>0</v>
      </c>
      <c r="BP1462" s="177"/>
    </row>
    <row r="1463" ht="15.75" hidden="1" customHeight="1" outlineLevel="1">
      <c r="A1463" s="273"/>
      <c r="B1463" s="38"/>
      <c r="C1463" s="177">
        <f>IF($C$1354&gt;0,IPMT('Assumptions (Hydro)'!$V$6,Model!W$1,'Assumptions (Hydro)'!$V$9,'Assumptions (Hydro)'!$V$4*Model!$C$1354*'Assumptions (Hydro)'!$B$2/10^9),0)</f>
        <v>-0.0000231369021</v>
      </c>
      <c r="D1463" s="177">
        <f>IF($C$1354&gt;0,IPMT('Assumptions (Hydro)'!$V$6,Model!X$1,'Assumptions (Hydro)'!$V$9,'Assumptions (Hydro)'!$V$4*Model!$C$1354*'Assumptions (Hydro)'!$B$2/10^9),0)</f>
        <v>-0.00002204435134</v>
      </c>
      <c r="E1463" s="177">
        <f>IF($C$1354&gt;0,IPMT('Assumptions (Hydro)'!$V$6,Model!Y$1,'Assumptions (Hydro)'!$V$9,'Assumptions (Hydro)'!$V$4*Model!$C$1354*'Assumptions (Hydro)'!$B$2/10^9),0)</f>
        <v>-0.00002089990441</v>
      </c>
      <c r="F1463" s="177">
        <f>IF($C$1354&gt;0,IPMT('Assumptions (Hydro)'!$V$6,Model!Z$1,'Assumptions (Hydro)'!$V$9,'Assumptions (Hydro)'!$V$4*Model!$C$1354*'Assumptions (Hydro)'!$B$2/10^9),0)</f>
        <v>-0.00001970109626</v>
      </c>
      <c r="G1463" s="177">
        <f>IF($C$1354&gt;0,IPMT('Assumptions (Hydro)'!$V$6,Model!AA$1,'Assumptions (Hydro)'!$V$9,'Assumptions (Hydro)'!$V$4*Model!$C$1354*'Assumptions (Hydro)'!$B$2/10^9),0)</f>
        <v>-0.00001844534472</v>
      </c>
      <c r="H1463" s="177">
        <f>IF($C$1354&gt;0,IPMT('Assumptions (Hydro)'!$V$6,Model!AB$1,'Assumptions (Hydro)'!$V$9,'Assumptions (Hydro)'!$V$4*Model!$C$1354*'Assumptions (Hydro)'!$B$2/10^9),0)</f>
        <v>-0.00001712994498</v>
      </c>
      <c r="I1463" s="177">
        <f>IF($C$1354&gt;0,IPMT('Assumptions (Hydro)'!$V$6,Model!AC$1,'Assumptions (Hydro)'!$V$9,'Assumptions (Hydro)'!$V$4*Model!$C$1354*'Assumptions (Hydro)'!$B$2/10^9),0)</f>
        <v>-0.00001575206375</v>
      </c>
      <c r="J1463" s="177">
        <f>IF($C$1354&gt;0,IPMT('Assumptions (Hydro)'!$V$6,Model!AD$1,'Assumptions (Hydro)'!$V$9,'Assumptions (Hydro)'!$V$4*Model!$C$1354*'Assumptions (Hydro)'!$B$2/10^9),0)</f>
        <v>-0.00001430873317</v>
      </c>
      <c r="K1463" s="177">
        <f>IF($C$1354&gt;0,IPMT('Assumptions (Hydro)'!$V$6,Model!AE$1,'Assumptions (Hydro)'!$V$9,'Assumptions (Hydro)'!$V$4*Model!$C$1354*'Assumptions (Hydro)'!$B$2/10^9),0)</f>
        <v>-0.00001279684438</v>
      </c>
      <c r="L1463" s="177">
        <f>IF($C$1354&gt;0,IPMT('Assumptions (Hydro)'!$V$6,Model!AF$1,'Assumptions (Hydro)'!$V$9,'Assumptions (Hydro)'!$V$4*Model!$C$1354*'Assumptions (Hydro)'!$B$2/10^9),0)</f>
        <v>-0.00001121314087</v>
      </c>
      <c r="M1463" s="177">
        <f>IF($C$1354&gt;0,IPMT('Assumptions (Hydro)'!$V$6,Model!AG$1,'Assumptions (Hydro)'!$V$9,'Assumptions (Hydro)'!$V$4*Model!$C$1354*'Assumptions (Hydro)'!$B$2/10^9),0)</f>
        <v>-0.000009554211448</v>
      </c>
      <c r="N1463" s="177">
        <f>IF($C$1354&gt;0,IPMT('Assumptions (Hydro)'!$V$6,Model!AH$1,'Assumptions (Hydro)'!$V$9,'Assumptions (Hydro)'!$V$4*Model!$C$1354*'Assumptions (Hydro)'!$B$2/10^9),0)</f>
        <v>-0.000007816482877</v>
      </c>
      <c r="O1463" s="177">
        <f>IF($C$1354&gt;0,IPMT('Assumptions (Hydro)'!$V$6,Model!AI$1,'Assumptions (Hydro)'!$V$9,'Assumptions (Hydro)'!$V$4*Model!$C$1354*'Assumptions (Hydro)'!$B$2/10^9),0)</f>
        <v>-0.0000059962122</v>
      </c>
      <c r="P1463" s="177">
        <f>IF($C$1354&gt;0,IPMT('Assumptions (Hydro)'!$V$6,Model!AJ$1,'Assumptions (Hydro)'!$V$9,'Assumptions (Hydro)'!$V$4*Model!$C$1354*'Assumptions (Hydro)'!$B$2/10^9),0)</f>
        <v>-0.000004089478665</v>
      </c>
      <c r="Q1463" s="177">
        <f>IF($C$1354&gt;0,IPMT('Assumptions (Hydro)'!$V$6,Model!AK$1,'Assumptions (Hydro)'!$V$9,'Assumptions (Hydro)'!$V$4*Model!$C$1354*'Assumptions (Hydro)'!$B$2/10^9),0)</f>
        <v>-0.000002092175288</v>
      </c>
      <c r="R1463" s="177"/>
      <c r="S1463" s="177"/>
      <c r="T1463" s="177"/>
      <c r="U1463" s="177"/>
      <c r="V1463" s="177"/>
      <c r="W1463" s="177"/>
      <c r="X1463" s="177"/>
      <c r="Y1463" s="177"/>
      <c r="Z1463" s="177"/>
      <c r="AA1463" s="177"/>
      <c r="AB1463" s="160"/>
      <c r="AC1463" s="160"/>
      <c r="AD1463" s="160"/>
      <c r="AE1463" s="160"/>
      <c r="AF1463" s="160"/>
      <c r="AG1463" s="160"/>
    </row>
    <row r="1464" ht="15.75" hidden="1" customHeight="1" outlineLevel="1">
      <c r="A1464" s="273"/>
      <c r="B1464" s="38"/>
      <c r="C1464" s="160"/>
      <c r="D1464" s="177">
        <f>IF($D$1354&gt;0,IPMT('Assumptions (Hydro)'!$V$6,Model!W$1,'Assumptions (Hydro)'!$V$9,'Assumptions (Hydro)'!$V$4*Model!$D$1354*'Assumptions (Hydro)'!$B$2/10^9),0)</f>
        <v>0</v>
      </c>
      <c r="E1464" s="177">
        <f>IF($D$1354&gt;0,IPMT('Assumptions (Hydro)'!$V$6,Model!X$1,'Assumptions (Hydro)'!$V$9,'Assumptions (Hydro)'!$V$4*Model!$D$1354*'Assumptions (Hydro)'!$B$2/10^9),0)</f>
        <v>0</v>
      </c>
      <c r="F1464" s="177">
        <f>IF($D$1354&gt;0,IPMT('Assumptions (Hydro)'!$V$6,Model!Y$1,'Assumptions (Hydro)'!$V$9,'Assumptions (Hydro)'!$V$4*Model!$D$1354*'Assumptions (Hydro)'!$B$2/10^9),0)</f>
        <v>0</v>
      </c>
      <c r="G1464" s="177">
        <f>IF($D$1354&gt;0,IPMT('Assumptions (Hydro)'!$V$6,Model!Z$1,'Assumptions (Hydro)'!$V$9,'Assumptions (Hydro)'!$V$4*Model!$D$1354*'Assumptions (Hydro)'!$B$2/10^9),0)</f>
        <v>0</v>
      </c>
      <c r="H1464" s="177">
        <f>IF($D$1354&gt;0,IPMT('Assumptions (Hydro)'!$V$6,Model!AA$1,'Assumptions (Hydro)'!$V$9,'Assumptions (Hydro)'!$V$4*Model!$D$1354*'Assumptions (Hydro)'!$B$2/10^9),0)</f>
        <v>0</v>
      </c>
      <c r="I1464" s="177">
        <f>IF($D$1354&gt;0,IPMT('Assumptions (Hydro)'!$V$6,Model!AB$1,'Assumptions (Hydro)'!$V$9,'Assumptions (Hydro)'!$V$4*Model!$D$1354*'Assumptions (Hydro)'!$B$2/10^9),0)</f>
        <v>0</v>
      </c>
      <c r="J1464" s="177">
        <f>IF($D$1354&gt;0,IPMT('Assumptions (Hydro)'!$V$6,Model!AC$1,'Assumptions (Hydro)'!$V$9,'Assumptions (Hydro)'!$V$4*Model!$D$1354*'Assumptions (Hydro)'!$B$2/10^9),0)</f>
        <v>0</v>
      </c>
      <c r="K1464" s="177">
        <f>IF($D$1354&gt;0,IPMT('Assumptions (Hydro)'!$V$6,Model!AD$1,'Assumptions (Hydro)'!$V$9,'Assumptions (Hydro)'!$V$4*Model!$D$1354*'Assumptions (Hydro)'!$B$2/10^9),0)</f>
        <v>0</v>
      </c>
      <c r="L1464" s="177">
        <f>IF($D$1354&gt;0,IPMT('Assumptions (Hydro)'!$V$6,Model!AE$1,'Assumptions (Hydro)'!$V$9,'Assumptions (Hydro)'!$V$4*Model!$D$1354*'Assumptions (Hydro)'!$B$2/10^9),0)</f>
        <v>0</v>
      </c>
      <c r="M1464" s="177">
        <f>IF($D$1354&gt;0,IPMT('Assumptions (Hydro)'!$V$6,Model!AF$1,'Assumptions (Hydro)'!$V$9,'Assumptions (Hydro)'!$V$4*Model!$D$1354*'Assumptions (Hydro)'!$B$2/10^9),0)</f>
        <v>0</v>
      </c>
      <c r="N1464" s="177">
        <f>IF($D$1354&gt;0,IPMT('Assumptions (Hydro)'!$V$6,Model!AG$1,'Assumptions (Hydro)'!$V$9,'Assumptions (Hydro)'!$V$4*Model!$D$1354*'Assumptions (Hydro)'!$B$2/10^9),0)</f>
        <v>0</v>
      </c>
      <c r="O1464" s="177">
        <f>IF($D$1354&gt;0,IPMT('Assumptions (Hydro)'!$V$6,Model!AH$1,'Assumptions (Hydro)'!$V$9,'Assumptions (Hydro)'!$V$4*Model!$D$1354*'Assumptions (Hydro)'!$B$2/10^9),0)</f>
        <v>0</v>
      </c>
      <c r="P1464" s="177">
        <f>IF($D$1354&gt;0,IPMT('Assumptions (Hydro)'!$V$6,Model!AI$1,'Assumptions (Hydro)'!$V$9,'Assumptions (Hydro)'!$V$4*Model!$D$1354*'Assumptions (Hydro)'!$B$2/10^9),0)</f>
        <v>0</v>
      </c>
      <c r="Q1464" s="177">
        <f>IF($D$1354&gt;0,IPMT('Assumptions (Hydro)'!$V$6,Model!AJ$1,'Assumptions (Hydro)'!$V$9,'Assumptions (Hydro)'!$V$4*Model!$D$1354*'Assumptions (Hydro)'!$B$2/10^9),0)</f>
        <v>0</v>
      </c>
      <c r="R1464" s="177">
        <f>IF($D$1354&gt;0,IPMT('Assumptions (Hydro)'!$V$6,Model!AK$1,'Assumptions (Hydro)'!$V$9,'Assumptions (Hydro)'!$V$4*Model!$D$1354*'Assumptions (Hydro)'!$B$2/10^9),0)</f>
        <v>0</v>
      </c>
      <c r="S1464" s="177"/>
      <c r="T1464" s="177"/>
      <c r="U1464" s="177"/>
      <c r="V1464" s="177"/>
      <c r="W1464" s="177"/>
      <c r="X1464" s="177"/>
      <c r="Y1464" s="177"/>
      <c r="Z1464" s="177"/>
      <c r="AA1464" s="177"/>
      <c r="AB1464" s="177"/>
      <c r="AC1464" s="160"/>
      <c r="AD1464" s="160"/>
      <c r="AE1464" s="160"/>
      <c r="AF1464" s="160"/>
      <c r="AG1464" s="160"/>
    </row>
    <row r="1465" ht="15.75" hidden="1" customHeight="1" outlineLevel="1">
      <c r="A1465" s="273"/>
      <c r="B1465" s="38"/>
      <c r="C1465" s="160"/>
      <c r="D1465" s="160"/>
      <c r="E1465" s="160">
        <f>IF($E$1354&gt;0,IPMT('Assumptions (Hydro)'!$V$6,Model!W$1,'Assumptions (Hydro)'!$V$9,'Assumptions (Hydro)'!$V$4*Model!$E$1354*AVERAGE('Assumptions (Hydro)'!$B$2:$C$2)/10^9),0)</f>
        <v>0</v>
      </c>
      <c r="F1465" s="160">
        <f>IF($E$1354&gt;0,IPMT('Assumptions (Hydro)'!$V$6,Model!X$1,'Assumptions (Hydro)'!$V$9,'Assumptions (Hydro)'!$V$4*Model!$E$1354*AVERAGE('Assumptions (Hydro)'!$B$2:$C$2)/10^9),0)</f>
        <v>0</v>
      </c>
      <c r="G1465" s="160">
        <f>IF($E$1354&gt;0,IPMT('Assumptions (Hydro)'!$V$6,Model!Y$1,'Assumptions (Hydro)'!$V$9,'Assumptions (Hydro)'!$V$4*Model!$E$1354*AVERAGE('Assumptions (Hydro)'!$B$2:$C$2)/10^9),0)</f>
        <v>0</v>
      </c>
      <c r="H1465" s="160">
        <f>IF($E$1354&gt;0,IPMT('Assumptions (Hydro)'!$V$6,Model!Z$1,'Assumptions (Hydro)'!$V$9,'Assumptions (Hydro)'!$V$4*Model!$E$1354*AVERAGE('Assumptions (Hydro)'!$B$2:$C$2)/10^9),0)</f>
        <v>0</v>
      </c>
      <c r="I1465" s="160">
        <f>IF($E$1354&gt;0,IPMT('Assumptions (Hydro)'!$V$6,Model!AA$1,'Assumptions (Hydro)'!$V$9,'Assumptions (Hydro)'!$V$4*Model!$E$1354*AVERAGE('Assumptions (Hydro)'!$B$2:$C$2)/10^9),0)</f>
        <v>0</v>
      </c>
      <c r="J1465" s="160">
        <f>IF($E$1354&gt;0,IPMT('Assumptions (Hydro)'!$V$6,Model!AB$1,'Assumptions (Hydro)'!$V$9,'Assumptions (Hydro)'!$V$4*Model!$E$1354*AVERAGE('Assumptions (Hydro)'!$B$2:$C$2)/10^9),0)</f>
        <v>0</v>
      </c>
      <c r="K1465" s="160">
        <f>IF($E$1354&gt;0,IPMT('Assumptions (Hydro)'!$V$6,Model!AC$1,'Assumptions (Hydro)'!$V$9,'Assumptions (Hydro)'!$V$4*Model!$E$1354*AVERAGE('Assumptions (Hydro)'!$B$2:$C$2)/10^9),0)</f>
        <v>0</v>
      </c>
      <c r="L1465" s="160">
        <f>IF($E$1354&gt;0,IPMT('Assumptions (Hydro)'!$V$6,Model!AD$1,'Assumptions (Hydro)'!$V$9,'Assumptions (Hydro)'!$V$4*Model!$E$1354*AVERAGE('Assumptions (Hydro)'!$B$2:$C$2)/10^9),0)</f>
        <v>0</v>
      </c>
      <c r="M1465" s="160">
        <f>IF($E$1354&gt;0,IPMT('Assumptions (Hydro)'!$V$6,Model!AE$1,'Assumptions (Hydro)'!$V$9,'Assumptions (Hydro)'!$V$4*Model!$E$1354*AVERAGE('Assumptions (Hydro)'!$B$2:$C$2)/10^9),0)</f>
        <v>0</v>
      </c>
      <c r="N1465" s="177">
        <f>IF($E$1354&gt;0,IPMT('Assumptions (Hydro)'!$V$6,Model!AF$1,'Assumptions (Hydro)'!$V$9,'Assumptions (Hydro)'!$V$4*Model!$E$1354*AVERAGE('Assumptions (Hydro)'!$B$2:$C$2)/10^9),0)</f>
        <v>0</v>
      </c>
      <c r="O1465" s="160">
        <f>IF($E$1354&gt;0,IPMT('Assumptions (Hydro)'!$V$6,Model!AG$1,'Assumptions (Hydro)'!$V$9,'Assumptions (Hydro)'!$V$4*Model!$E$1354*AVERAGE('Assumptions (Hydro)'!$B$2:$C$2)/10^9),0)</f>
        <v>0</v>
      </c>
      <c r="P1465" s="160">
        <f>IF($E$1354&gt;0,IPMT('Assumptions (Hydro)'!$V$6,Model!AH$1,'Assumptions (Hydro)'!$V$9,'Assumptions (Hydro)'!$V$4*Model!$E$1354*AVERAGE('Assumptions (Hydro)'!$B$2:$C$2)/10^9),0)</f>
        <v>0</v>
      </c>
      <c r="Q1465" s="160">
        <f>IF($E$1354&gt;0,IPMT('Assumptions (Hydro)'!$V$6,Model!AI$1,'Assumptions (Hydro)'!$V$9,'Assumptions (Hydro)'!$V$4*Model!$E$1354*AVERAGE('Assumptions (Hydro)'!$B$2:$C$2)/10^9),0)</f>
        <v>0</v>
      </c>
      <c r="R1465" s="160">
        <f>IF($E$1354&gt;0,IPMT('Assumptions (Hydro)'!$V$6,Model!AJ$1,'Assumptions (Hydro)'!$V$9,'Assumptions (Hydro)'!$V$4*Model!$E$1354*AVERAGE('Assumptions (Hydro)'!$B$2:$C$2)/10^9),0)</f>
        <v>0</v>
      </c>
      <c r="S1465" s="160">
        <f>IF($E$1354&gt;0,IPMT('Assumptions (Hydro)'!$V$6,Model!AK$1,'Assumptions (Hydro)'!$V$9,'Assumptions (Hydro)'!$V$4*Model!$E$1354*AVERAGE('Assumptions (Hydro)'!$B$2:$C$2)/10^9),0)</f>
        <v>0</v>
      </c>
      <c r="T1465" s="160"/>
      <c r="U1465" s="160"/>
      <c r="V1465" s="160"/>
      <c r="W1465" s="160"/>
      <c r="X1465" s="160"/>
      <c r="Y1465" s="160"/>
      <c r="Z1465" s="160"/>
      <c r="AA1465" s="160"/>
      <c r="AB1465" s="160"/>
      <c r="AC1465" s="160"/>
      <c r="AD1465" s="160"/>
      <c r="AE1465" s="160"/>
      <c r="AF1465" s="160"/>
      <c r="AG1465" s="160"/>
    </row>
    <row r="1466" ht="15.75" hidden="1" customHeight="1" outlineLevel="1">
      <c r="A1466" s="273"/>
      <c r="B1466" s="38"/>
      <c r="C1466" s="160"/>
      <c r="D1466" s="160"/>
      <c r="E1466" s="160"/>
      <c r="F1466" s="160">
        <f>IF($F$1354&gt;0,IPMT('Assumptions (Hydro)'!$V$6,Model!W$1,'Assumptions (Hydro)'!$V$9,'Assumptions (Hydro)'!$V$4*Model!$F$1354*AVERAGE('Assumptions (Hydro)'!$B$2:$D$2)/10^9),0)</f>
        <v>-0.003586219826</v>
      </c>
      <c r="G1466" s="160">
        <f>IF($F$1354&gt;0,IPMT('Assumptions (Hydro)'!$V$6,Model!X$1,'Assumptions (Hydro)'!$V$9,'Assumptions (Hydro)'!$V$4*Model!$F$1354*AVERAGE('Assumptions (Hydro)'!$B$2:$D$2)/10^9),0)</f>
        <v>-0.003416874458</v>
      </c>
      <c r="H1466" s="160">
        <f>IF($F$1354&gt;0,IPMT('Assumptions (Hydro)'!$V$6,Model!Y$1,'Assumptions (Hydro)'!$V$9,'Assumptions (Hydro)'!$V$4*Model!$F$1354*AVERAGE('Assumptions (Hydro)'!$B$2:$D$2)/10^9),0)</f>
        <v>-0.003239485184</v>
      </c>
      <c r="I1466" s="160">
        <f>IF($F$1354&gt;0,IPMT('Assumptions (Hydro)'!$V$6,Model!Z$1,'Assumptions (Hydro)'!$V$9,'Assumptions (Hydro)'!$V$4*Model!$F$1354*AVERAGE('Assumptions (Hydro)'!$B$2:$D$2)/10^9),0)</f>
        <v>-0.00305366992</v>
      </c>
      <c r="J1466" s="160">
        <f>IF($F$1354&gt;0,IPMT('Assumptions (Hydro)'!$V$6,Model!AA$1,'Assumptions (Hydro)'!$V$9,'Assumptions (Hydro)'!$V$4*Model!$F$1354*AVERAGE('Assumptions (Hydro)'!$B$2:$D$2)/10^9),0)</f>
        <v>-0.002859028431</v>
      </c>
      <c r="K1466" s="160">
        <f>IF($F$1354&gt;0,IPMT('Assumptions (Hydro)'!$V$6,Model!AB$1,'Assumptions (Hydro)'!$V$9,'Assumptions (Hydro)'!$V$4*Model!$F$1354*AVERAGE('Assumptions (Hydro)'!$B$2:$D$2)/10^9),0)</f>
        <v>-0.002655141472</v>
      </c>
      <c r="L1466" s="160">
        <f>IF($F$1354&gt;0,IPMT('Assumptions (Hydro)'!$V$6,Model!AC$1,'Assumptions (Hydro)'!$V$9,'Assumptions (Hydro)'!$V$4*Model!$F$1354*AVERAGE('Assumptions (Hydro)'!$B$2:$D$2)/10^9),0)</f>
        <v>-0.002441569881</v>
      </c>
      <c r="M1466" s="160">
        <f>IF($F$1354&gt;0,IPMT('Assumptions (Hydro)'!$V$6,Model!AD$1,'Assumptions (Hydro)'!$V$9,'Assumptions (Hydro)'!$V$4*Model!$F$1354*AVERAGE('Assumptions (Hydro)'!$B$2:$D$2)/10^9),0)</f>
        <v>-0.002217853641</v>
      </c>
      <c r="N1466" s="177">
        <f>IF($F$1354&gt;0,IPMT('Assumptions (Hydro)'!$V$6,Model!AE$1,'Assumptions (Hydro)'!$V$9,'Assumptions (Hydro)'!$V$4*Model!$F$1354*AVERAGE('Assumptions (Hydro)'!$B$2:$D$2)/10^9),0)</f>
        <v>-0.001983510878</v>
      </c>
      <c r="O1466" s="160">
        <f>IF($F$1354&gt;0,IPMT('Assumptions (Hydro)'!$V$6,Model!AF$1,'Assumptions (Hydro)'!$V$9,'Assumptions (Hydro)'!$V$4*Model!$F$1354*AVERAGE('Assumptions (Hydro)'!$B$2:$D$2)/10^9),0)</f>
        <v>-0.001738036835</v>
      </c>
      <c r="P1466" s="160">
        <f>IF($F$1354&gt;0,IPMT('Assumptions (Hydro)'!$V$6,Model!AG$1,'Assumptions (Hydro)'!$V$9,'Assumptions (Hydro)'!$V$4*Model!$F$1354*AVERAGE('Assumptions (Hydro)'!$B$2:$D$2)/10^9),0)</f>
        <v>-0.001480902774</v>
      </c>
      <c r="Q1466" s="160">
        <f>IF($F$1354&gt;0,IPMT('Assumptions (Hydro)'!$V$6,Model!AH$1,'Assumptions (Hydro)'!$V$9,'Assumptions (Hydro)'!$V$4*Model!$F$1354*AVERAGE('Assumptions (Hydro)'!$B$2:$D$2)/10^9),0)</f>
        <v>-0.001211554846</v>
      </c>
      <c r="R1466" s="160">
        <f>IF($F$1354&gt;0,IPMT('Assumptions (Hydro)'!$V$6,Model!AI$1,'Assumptions (Hydro)'!$V$9,'Assumptions (Hydro)'!$V$4*Model!$F$1354*AVERAGE('Assumptions (Hydro)'!$B$2:$D$2)/10^9),0)</f>
        <v>-0.000929412891</v>
      </c>
      <c r="S1466" s="160">
        <f>IF($F$1354&gt;0,IPMT('Assumptions (Hydro)'!$V$6,Model!AJ$1,'Assumptions (Hydro)'!$V$9,'Assumptions (Hydro)'!$V$4*Model!$F$1354*AVERAGE('Assumptions (Hydro)'!$B$2:$D$2)/10^9),0)</f>
        <v>-0.0006338691931</v>
      </c>
      <c r="T1466" s="160">
        <f>IF($F$1354&gt;0,IPMT('Assumptions (Hydro)'!$V$6,Model!AK$1,'Assumptions (Hydro)'!$V$9,'Assumptions (Hydro)'!$V$4*Model!$F$1354*AVERAGE('Assumptions (Hydro)'!$B$2:$D$2)/10^9),0)</f>
        <v>-0.0003242871696</v>
      </c>
      <c r="U1466" s="160"/>
      <c r="V1466" s="160"/>
      <c r="W1466" s="160"/>
      <c r="X1466" s="160"/>
      <c r="Y1466" s="160"/>
      <c r="Z1466" s="160"/>
      <c r="AA1466" s="160"/>
      <c r="AB1466" s="160"/>
      <c r="AC1466" s="160"/>
      <c r="AD1466" s="160"/>
      <c r="AE1466" s="160"/>
      <c r="AF1466" s="160"/>
      <c r="AG1466" s="160"/>
    </row>
    <row r="1467" ht="15.75" hidden="1" customHeight="1" outlineLevel="1">
      <c r="A1467" s="273"/>
      <c r="B1467" s="38"/>
      <c r="C1467" s="160"/>
      <c r="D1467" s="160"/>
      <c r="E1467" s="160"/>
      <c r="F1467" s="160"/>
      <c r="G1467" s="160">
        <f>IF($G$1354&gt;0,IPMT('Assumptions (Hydro)'!$V$6,Model!W$1,'Assumptions (Hydro)'!$V$9,'Assumptions (Hydro)'!$V$4*Model!$G$1354*AVERAGE('Assumptions (Hydro)'!$C$2:$E$2)/10^9),0)</f>
        <v>-0.003586219826</v>
      </c>
      <c r="H1467" s="160">
        <f>IF($G$1354&gt;0,IPMT('Assumptions (Hydro)'!$V$6,Model!X$1,'Assumptions (Hydro)'!$V$9,'Assumptions (Hydro)'!$V$4*Model!$G$1354*AVERAGE('Assumptions (Hydro)'!$C$2:$E$2)/10^9),0)</f>
        <v>-0.003416874458</v>
      </c>
      <c r="I1467" s="160">
        <f>IF($G$1354&gt;0,IPMT('Assumptions (Hydro)'!$V$6,Model!Y$1,'Assumptions (Hydro)'!$V$9,'Assumptions (Hydro)'!$V$4*Model!$G$1354*AVERAGE('Assumptions (Hydro)'!$C$2:$E$2)/10^9),0)</f>
        <v>-0.003239485184</v>
      </c>
      <c r="J1467" s="160">
        <f>IF($G$1354&gt;0,IPMT('Assumptions (Hydro)'!$V$6,Model!Z$1,'Assumptions (Hydro)'!$V$9,'Assumptions (Hydro)'!$V$4*Model!$G$1354*AVERAGE('Assumptions (Hydro)'!$C$2:$E$2)/10^9),0)</f>
        <v>-0.00305366992</v>
      </c>
      <c r="K1467" s="160">
        <f>IF($G$1354&gt;0,IPMT('Assumptions (Hydro)'!$V$6,Model!AA$1,'Assumptions (Hydro)'!$V$9,'Assumptions (Hydro)'!$V$4*Model!$G$1354*AVERAGE('Assumptions (Hydro)'!$C$2:$E$2)/10^9),0)</f>
        <v>-0.002859028431</v>
      </c>
      <c r="L1467" s="160">
        <f>IF($G$1354&gt;0,IPMT('Assumptions (Hydro)'!$V$6,Model!AB$1,'Assumptions (Hydro)'!$V$9,'Assumptions (Hydro)'!$V$4*Model!$G$1354*AVERAGE('Assumptions (Hydro)'!$C$2:$E$2)/10^9),0)</f>
        <v>-0.002655141472</v>
      </c>
      <c r="M1467" s="160">
        <f>IF($G$1354&gt;0,IPMT('Assumptions (Hydro)'!$V$6,Model!AC$1,'Assumptions (Hydro)'!$V$9,'Assumptions (Hydro)'!$V$4*Model!$G$1354*AVERAGE('Assumptions (Hydro)'!$C$2:$E$2)/10^9),0)</f>
        <v>-0.002441569881</v>
      </c>
      <c r="N1467" s="160">
        <f>IF($G$1354&gt;0,IPMT('Assumptions (Hydro)'!$V$6,Model!AD$1,'Assumptions (Hydro)'!$V$9,'Assumptions (Hydro)'!$V$4*Model!$G$1354*AVERAGE('Assumptions (Hydro)'!$C$2:$E$2)/10^9),0)</f>
        <v>-0.002217853641</v>
      </c>
      <c r="O1467" s="160">
        <f>IF($G$1354&gt;0,IPMT('Assumptions (Hydro)'!$V$6,Model!AE$1,'Assumptions (Hydro)'!$V$9,'Assumptions (Hydro)'!$V$4*Model!$G$1354*AVERAGE('Assumptions (Hydro)'!$C$2:$E$2)/10^9),0)</f>
        <v>-0.001983510878</v>
      </c>
      <c r="P1467" s="160">
        <f>IF($G$1354&gt;0,IPMT('Assumptions (Hydro)'!$V$6,Model!AF$1,'Assumptions (Hydro)'!$V$9,'Assumptions (Hydro)'!$V$4*Model!$G$1354*AVERAGE('Assumptions (Hydro)'!$C$2:$E$2)/10^9),0)</f>
        <v>-0.001738036835</v>
      </c>
      <c r="Q1467" s="160">
        <f>IF($G$1354&gt;0,IPMT('Assumptions (Hydro)'!$V$6,Model!AG$1,'Assumptions (Hydro)'!$V$9,'Assumptions (Hydro)'!$V$4*Model!$G$1354*AVERAGE('Assumptions (Hydro)'!$C$2:$E$2)/10^9),0)</f>
        <v>-0.001480902774</v>
      </c>
      <c r="R1467" s="160">
        <f>IF($G$1354&gt;0,IPMT('Assumptions (Hydro)'!$V$6,Model!AH$1,'Assumptions (Hydro)'!$V$9,'Assumptions (Hydro)'!$V$4*Model!$G$1354*AVERAGE('Assumptions (Hydro)'!$C$2:$E$2)/10^9),0)</f>
        <v>-0.001211554846</v>
      </c>
      <c r="S1467" s="160">
        <f>IF($G$1354&gt;0,IPMT('Assumptions (Hydro)'!$V$6,Model!AI$1,'Assumptions (Hydro)'!$V$9,'Assumptions (Hydro)'!$V$4*Model!$G$1354*AVERAGE('Assumptions (Hydro)'!$C$2:$E$2)/10^9),0)</f>
        <v>-0.000929412891</v>
      </c>
      <c r="T1467" s="160">
        <f>IF($G$1354&gt;0,IPMT('Assumptions (Hydro)'!$V$6,Model!AJ$1,'Assumptions (Hydro)'!$V$9,'Assumptions (Hydro)'!$V$4*Model!$G$1354*AVERAGE('Assumptions (Hydro)'!$C$2:$E$2)/10^9),0)</f>
        <v>-0.0006338691931</v>
      </c>
      <c r="U1467" s="160">
        <f>IF($G$1354&gt;0,IPMT('Assumptions (Hydro)'!$V$6,Model!AK$1,'Assumptions (Hydro)'!$V$9,'Assumptions (Hydro)'!$V$4*Model!$G$1354*AVERAGE('Assumptions (Hydro)'!$C$2:$E$2)/10^9),0)</f>
        <v>-0.0003242871696</v>
      </c>
      <c r="V1467" s="160"/>
      <c r="W1467" s="160"/>
      <c r="X1467" s="160"/>
      <c r="Y1467" s="160"/>
      <c r="Z1467" s="160"/>
      <c r="AA1467" s="160"/>
      <c r="AB1467" s="160"/>
      <c r="AC1467" s="160"/>
      <c r="AD1467" s="160"/>
      <c r="AE1467" s="160"/>
      <c r="AF1467" s="160"/>
      <c r="AG1467" s="160"/>
    </row>
    <row r="1468" ht="15.75" hidden="1" customHeight="1" outlineLevel="1">
      <c r="A1468" s="273"/>
      <c r="B1468" s="38"/>
      <c r="C1468" s="160"/>
      <c r="D1468" s="160"/>
      <c r="E1468" s="160"/>
      <c r="F1468" s="160"/>
      <c r="G1468" s="160"/>
      <c r="H1468" s="160">
        <f>IF($H$1354&gt;0,IPMT('Assumptions (Hydro)'!$V$6,Model!W$1,'Assumptions (Hydro)'!$V$9,'Assumptions (Hydro)'!$V$4*Model!$H$1354*AVERAGE('Assumptions (Hydro)'!$D$2:$F$2)/10^9),0)</f>
        <v>-0.001492330186</v>
      </c>
      <c r="I1468" s="160">
        <f>IF($H$1354&gt;0,IPMT('Assumptions (Hydro)'!$V$6,Model!X$1,'Assumptions (Hydro)'!$V$9,'Assumptions (Hydro)'!$V$4*Model!$H$1354*AVERAGE('Assumptions (Hydro)'!$D$2:$F$2)/10^9),0)</f>
        <v>-0.001421860661</v>
      </c>
      <c r="J1468" s="160">
        <f>IF($H$1354&gt;0,IPMT('Assumptions (Hydro)'!$V$6,Model!Y$1,'Assumptions (Hydro)'!$V$9,'Assumptions (Hydro)'!$V$4*Model!$H$1354*AVERAGE('Assumptions (Hydro)'!$D$2:$F$2)/10^9),0)</f>
        <v>-0.001348043835</v>
      </c>
      <c r="K1468" s="160">
        <f>IF($H$1354&gt;0,IPMT('Assumptions (Hydro)'!$V$6,Model!Z$1,'Assumptions (Hydro)'!$V$9,'Assumptions (Hydro)'!$V$4*Model!$H$1354*AVERAGE('Assumptions (Hydro)'!$D$2:$F$2)/10^9),0)</f>
        <v>-0.001270720709</v>
      </c>
      <c r="L1468" s="160">
        <f>IF($H$1354&gt;0,IPMT('Assumptions (Hydro)'!$V$6,Model!AA$1,'Assumptions (Hydro)'!$V$9,'Assumptions (Hydro)'!$V$4*Model!$H$1354*AVERAGE('Assumptions (Hydro)'!$D$2:$F$2)/10^9),0)</f>
        <v>-0.001189724734</v>
      </c>
      <c r="M1468" s="160">
        <f>IF($H$1354&gt;0,IPMT('Assumptions (Hydro)'!$V$6,Model!AB$1,'Assumptions (Hydro)'!$V$9,'Assumptions (Hydro)'!$V$4*Model!$H$1354*AVERAGE('Assumptions (Hydro)'!$D$2:$F$2)/10^9),0)</f>
        <v>-0.001104881451</v>
      </c>
      <c r="N1468" s="160">
        <f>IF($H$1354&gt;0,IPMT('Assumptions (Hydro)'!$V$6,Model!AC$1,'Assumptions (Hydro)'!$V$9,'Assumptions (Hydro)'!$V$4*Model!$H$1354*AVERAGE('Assumptions (Hydro)'!$D$2:$F$2)/10^9),0)</f>
        <v>-0.001016008112</v>
      </c>
      <c r="O1468" s="160">
        <f>IF($H$1354&gt;0,IPMT('Assumptions (Hydro)'!$V$6,Model!AD$1,'Assumptions (Hydro)'!$V$9,'Assumptions (Hydro)'!$V$4*Model!$H$1354*AVERAGE('Assumptions (Hydro)'!$D$2:$F$2)/10^9),0)</f>
        <v>-0.0009229132892</v>
      </c>
      <c r="P1468" s="160">
        <f>IF($H$1354&gt;0,IPMT('Assumptions (Hydro)'!$V$6,Model!AE$1,'Assumptions (Hydro)'!$V$9,'Assumptions (Hydro)'!$V$4*Model!$H$1354*AVERAGE('Assumptions (Hydro)'!$D$2:$F$2)/10^9),0)</f>
        <v>-0.0008253964623</v>
      </c>
      <c r="Q1468" s="160">
        <f>IF($H$1354&gt;0,IPMT('Assumptions (Hydro)'!$V$6,Model!AF$1,'Assumptions (Hydro)'!$V$9,'Assumptions (Hydro)'!$V$4*Model!$H$1354*AVERAGE('Assumptions (Hydro)'!$D$2:$F$2)/10^9),0)</f>
        <v>-0.0007232475861</v>
      </c>
      <c r="R1468" s="160">
        <f>IF($H$1354&gt;0,IPMT('Assumptions (Hydro)'!$V$6,Model!AG$1,'Assumptions (Hydro)'!$V$9,'Assumptions (Hydro)'!$V$4*Model!$H$1354*AVERAGE('Assumptions (Hydro)'!$D$2:$F$2)/10^9),0)</f>
        <v>-0.0006162466384</v>
      </c>
      <c r="S1468" s="160">
        <f>IF($H$1354&gt;0,IPMT('Assumptions (Hydro)'!$V$6,Model!AH$1,'Assumptions (Hydro)'!$V$9,'Assumptions (Hydro)'!$V$4*Model!$H$1354*AVERAGE('Assumptions (Hydro)'!$D$2:$F$2)/10^9),0)</f>
        <v>-0.0005041631456</v>
      </c>
      <c r="T1468" s="160">
        <f>IF($H$1354&gt;0,IPMT('Assumptions (Hydro)'!$V$6,Model!AI$1,'Assumptions (Hydro)'!$V$9,'Assumptions (Hydro)'!$V$4*Model!$H$1354*AVERAGE('Assumptions (Hydro)'!$D$2:$F$2)/10^9),0)</f>
        <v>-0.0003867556869</v>
      </c>
      <c r="U1468" s="160">
        <f>IF($H$1354&gt;0,IPMT('Assumptions (Hydro)'!$V$6,Model!AJ$1,'Assumptions (Hydro)'!$V$9,'Assumptions (Hydro)'!$V$4*Model!$H$1354*AVERAGE('Assumptions (Hydro)'!$D$2:$F$2)/10^9),0)</f>
        <v>-0.0002637713739</v>
      </c>
      <c r="V1468" s="160">
        <f>IF($H$1354&gt;0,IPMT('Assumptions (Hydro)'!$V$6,Model!AK$1,'Assumptions (Hydro)'!$V$9,'Assumptions (Hydro)'!$V$4*Model!$H$1354*AVERAGE('Assumptions (Hydro)'!$D$2:$F$2)/10^9),0)</f>
        <v>-0.0001349453061</v>
      </c>
      <c r="W1468" s="160"/>
      <c r="X1468" s="160"/>
      <c r="Y1468" s="160"/>
      <c r="Z1468" s="160"/>
      <c r="AA1468" s="160"/>
      <c r="AB1468" s="160"/>
      <c r="AC1468" s="160"/>
      <c r="AD1468" s="160"/>
      <c r="AE1468" s="160"/>
      <c r="AF1468" s="160"/>
      <c r="AG1468" s="160"/>
    </row>
    <row r="1469" ht="15.75" hidden="1" customHeight="1" outlineLevel="1">
      <c r="A1469" s="273"/>
      <c r="B1469" s="38"/>
      <c r="C1469" s="160"/>
      <c r="D1469" s="160"/>
      <c r="E1469" s="160"/>
      <c r="F1469" s="160"/>
      <c r="G1469" s="160"/>
      <c r="H1469" s="160"/>
      <c r="I1469" s="160">
        <f>IF($I$1354&gt;0,IPMT('Assumptions (Hydro)'!$V$6,Model!W$1,'Assumptions (Hydro)'!$V$9,'Assumptions (Hydro)'!$V$4*Model!$I$1354*AVERAGE('Assumptions (Hydro)'!$E$2:$G$2)/10^9),0)</f>
        <v>0</v>
      </c>
      <c r="J1469" s="160">
        <f>IF($I$1354&gt;0,IPMT('Assumptions (Hydro)'!$V$6,Model!X$1,'Assumptions (Hydro)'!$V$9,'Assumptions (Hydro)'!$V$4*Model!$I$1354*AVERAGE('Assumptions (Hydro)'!$E$2:$G$2)/10^9),0)</f>
        <v>0</v>
      </c>
      <c r="K1469" s="160">
        <f>IF($I$1354&gt;0,IPMT('Assumptions (Hydro)'!$V$6,Model!Y$1,'Assumptions (Hydro)'!$V$9,'Assumptions (Hydro)'!$V$4*Model!$I$1354*AVERAGE('Assumptions (Hydro)'!$E$2:$G$2)/10^9),0)</f>
        <v>0</v>
      </c>
      <c r="L1469" s="160">
        <f>IF($I$1354&gt;0,IPMT('Assumptions (Hydro)'!$V$6,Model!Z$1,'Assumptions (Hydro)'!$V$9,'Assumptions (Hydro)'!$V$4*Model!$I$1354*AVERAGE('Assumptions (Hydro)'!$E$2:$G$2)/10^9),0)</f>
        <v>0</v>
      </c>
      <c r="M1469" s="160">
        <f>IF($I$1354&gt;0,IPMT('Assumptions (Hydro)'!$V$6,Model!AA$1,'Assumptions (Hydro)'!$V$9,'Assumptions (Hydro)'!$V$4*Model!$I$1354*AVERAGE('Assumptions (Hydro)'!$E$2:$G$2)/10^9),0)</f>
        <v>0</v>
      </c>
      <c r="N1469" s="160">
        <f>IF($I$1354&gt;0,IPMT('Assumptions (Hydro)'!$V$6,Model!AB$1,'Assumptions (Hydro)'!$V$9,'Assumptions (Hydro)'!$V$4*Model!$I$1354*AVERAGE('Assumptions (Hydro)'!$E$2:$G$2)/10^9),0)</f>
        <v>0</v>
      </c>
      <c r="O1469" s="160">
        <f>IF($I$1354&gt;0,IPMT('Assumptions (Hydro)'!$V$6,Model!AC$1,'Assumptions (Hydro)'!$V$9,'Assumptions (Hydro)'!$V$4*Model!$I$1354*AVERAGE('Assumptions (Hydro)'!$E$2:$G$2)/10^9),0)</f>
        <v>0</v>
      </c>
      <c r="P1469" s="160">
        <f>IF($I$1354&gt;0,IPMT('Assumptions (Hydro)'!$V$6,Model!AD$1,'Assumptions (Hydro)'!$V$9,'Assumptions (Hydro)'!$V$4*Model!$I$1354*AVERAGE('Assumptions (Hydro)'!$E$2:$G$2)/10^9),0)</f>
        <v>0</v>
      </c>
      <c r="Q1469" s="160">
        <f>IF($I$1354&gt;0,IPMT('Assumptions (Hydro)'!$V$6,Model!AE$1,'Assumptions (Hydro)'!$V$9,'Assumptions (Hydro)'!$V$4*Model!$I$1354*AVERAGE('Assumptions (Hydro)'!$E$2:$G$2)/10^9),0)</f>
        <v>0</v>
      </c>
      <c r="R1469" s="160">
        <f>IF($I$1354&gt;0,IPMT('Assumptions (Hydro)'!$V$6,Model!AF$1,'Assumptions (Hydro)'!$V$9,'Assumptions (Hydro)'!$V$4*Model!$I$1354*AVERAGE('Assumptions (Hydro)'!$E$2:$G$2)/10^9),0)</f>
        <v>0</v>
      </c>
      <c r="S1469" s="160">
        <f>IF($I$1354&gt;0,IPMT('Assumptions (Hydro)'!$V$6,Model!AG$1,'Assumptions (Hydro)'!$V$9,'Assumptions (Hydro)'!$V$4*Model!$I$1354*AVERAGE('Assumptions (Hydro)'!$E$2:$G$2)/10^9),0)</f>
        <v>0</v>
      </c>
      <c r="T1469" s="160">
        <f>IF($I$1354&gt;0,IPMT('Assumptions (Hydro)'!$V$6,Model!AH$1,'Assumptions (Hydro)'!$V$9,'Assumptions (Hydro)'!$V$4*Model!$I$1354*AVERAGE('Assumptions (Hydro)'!$E$2:$G$2)/10^9),0)</f>
        <v>0</v>
      </c>
      <c r="U1469" s="160">
        <f>IF($I$1354&gt;0,IPMT('Assumptions (Hydro)'!$V$6,Model!AI$1,'Assumptions (Hydro)'!$V$9,'Assumptions (Hydro)'!$V$4*Model!$I$1354*AVERAGE('Assumptions (Hydro)'!$E$2:$G$2)/10^9),0)</f>
        <v>0</v>
      </c>
      <c r="V1469" s="160">
        <f>IF($I$1354&gt;0,IPMT('Assumptions (Hydro)'!$V$6,Model!AJ$1,'Assumptions (Hydro)'!$V$9,'Assumptions (Hydro)'!$V$4*Model!$I$1354*AVERAGE('Assumptions (Hydro)'!$E$2:$G$2)/10^9),0)</f>
        <v>0</v>
      </c>
      <c r="W1469" s="160">
        <f>IF($I$1354&gt;0,IPMT('Assumptions (Hydro)'!$V$6,Model!AK$1,'Assumptions (Hydro)'!$V$9,'Assumptions (Hydro)'!$V$4*Model!$I$1354*AVERAGE('Assumptions (Hydro)'!$E$2:$G$2)/10^9),0)</f>
        <v>0</v>
      </c>
      <c r="X1469" s="160"/>
      <c r="Y1469" s="160"/>
      <c r="Z1469" s="160"/>
      <c r="AA1469" s="160"/>
      <c r="AB1469" s="160"/>
      <c r="AC1469" s="160"/>
      <c r="AD1469" s="160"/>
      <c r="AE1469" s="160"/>
      <c r="AF1469" s="160"/>
      <c r="AG1469" s="160"/>
    </row>
    <row r="1470" ht="15.75" hidden="1" customHeight="1" outlineLevel="1">
      <c r="A1470" s="273"/>
      <c r="B1470" s="38"/>
      <c r="C1470" s="160"/>
      <c r="D1470" s="160"/>
      <c r="E1470" s="160"/>
      <c r="F1470" s="160"/>
      <c r="G1470" s="160"/>
      <c r="H1470" s="160"/>
      <c r="I1470" s="160"/>
      <c r="J1470" s="160">
        <f>IF($J$1354&gt;0,IPMT('Assumptions (Hydro)'!$V$6,Model!W$1,'Assumptions (Hydro)'!$V$9,'Assumptions (Hydro)'!$V$4*Model!$J$1354*AVERAGE('Assumptions (Hydro)'!$F$2:$H$2)/10^9),0)</f>
        <v>0</v>
      </c>
      <c r="K1470" s="160">
        <f>IF($J$1354&gt;0,IPMT('Assumptions (Hydro)'!$V$6,Model!X$1,'Assumptions (Hydro)'!$V$9,'Assumptions (Hydro)'!$V$4*Model!$J$1354*AVERAGE('Assumptions (Hydro)'!$F$2:$H$2)/10^9),0)</f>
        <v>0</v>
      </c>
      <c r="L1470" s="160">
        <f>IF($J$1354&gt;0,IPMT('Assumptions (Hydro)'!$V$6,Model!Y$1,'Assumptions (Hydro)'!$V$9,'Assumptions (Hydro)'!$V$4*Model!$J$1354*AVERAGE('Assumptions (Hydro)'!$F$2:$H$2)/10^9),0)</f>
        <v>0</v>
      </c>
      <c r="M1470" s="160">
        <f>IF($J$1354&gt;0,IPMT('Assumptions (Hydro)'!$V$6,Model!Z$1,'Assumptions (Hydro)'!$V$9,'Assumptions (Hydro)'!$V$4*Model!$J$1354*AVERAGE('Assumptions (Hydro)'!$F$2:$H$2)/10^9),0)</f>
        <v>0</v>
      </c>
      <c r="N1470" s="160">
        <f>IF($J$1354&gt;0,IPMT('Assumptions (Hydro)'!$V$6,Model!AA$1,'Assumptions (Hydro)'!$V$9,'Assumptions (Hydro)'!$V$4*Model!$J$1354*AVERAGE('Assumptions (Hydro)'!$F$2:$H$2)/10^9),0)</f>
        <v>0</v>
      </c>
      <c r="O1470" s="160">
        <f>IF($J$1354&gt;0,IPMT('Assumptions (Hydro)'!$V$6,Model!AB$1,'Assumptions (Hydro)'!$V$9,'Assumptions (Hydro)'!$V$4*Model!$J$1354*AVERAGE('Assumptions (Hydro)'!$F$2:$H$2)/10^9),0)</f>
        <v>0</v>
      </c>
      <c r="P1470" s="160">
        <f>IF($J$1354&gt;0,IPMT('Assumptions (Hydro)'!$V$6,Model!AC$1,'Assumptions (Hydro)'!$V$9,'Assumptions (Hydro)'!$V$4*Model!$J$1354*AVERAGE('Assumptions (Hydro)'!$F$2:$H$2)/10^9),0)</f>
        <v>0</v>
      </c>
      <c r="Q1470" s="160">
        <f>IF($J$1354&gt;0,IPMT('Assumptions (Hydro)'!$V$6,Model!AD$1,'Assumptions (Hydro)'!$V$9,'Assumptions (Hydro)'!$V$4*Model!$J$1354*AVERAGE('Assumptions (Hydro)'!$F$2:$H$2)/10^9),0)</f>
        <v>0</v>
      </c>
      <c r="R1470" s="160">
        <f>IF($J$1354&gt;0,IPMT('Assumptions (Hydro)'!$V$6,Model!AE$1,'Assumptions (Hydro)'!$V$9,'Assumptions (Hydro)'!$V$4*Model!$J$1354*AVERAGE('Assumptions (Hydro)'!$F$2:$H$2)/10^9),0)</f>
        <v>0</v>
      </c>
      <c r="S1470" s="160">
        <f>IF($J$1354&gt;0,IPMT('Assumptions (Hydro)'!$V$6,Model!AF$1,'Assumptions (Hydro)'!$V$9,'Assumptions (Hydro)'!$V$4*Model!$J$1354*AVERAGE('Assumptions (Hydro)'!$F$2:$H$2)/10^9),0)</f>
        <v>0</v>
      </c>
      <c r="T1470" s="160">
        <f>IF($J$1354&gt;0,IPMT('Assumptions (Hydro)'!$V$6,Model!AG$1,'Assumptions (Hydro)'!$V$9,'Assumptions (Hydro)'!$V$4*Model!$J$1354*AVERAGE('Assumptions (Hydro)'!$F$2:$H$2)/10^9),0)</f>
        <v>0</v>
      </c>
      <c r="U1470" s="160">
        <f>IF($J$1354&gt;0,IPMT('Assumptions (Hydro)'!$V$6,Model!AH$1,'Assumptions (Hydro)'!$V$9,'Assumptions (Hydro)'!$V$4*Model!$J$1354*AVERAGE('Assumptions (Hydro)'!$F$2:$H$2)/10^9),0)</f>
        <v>0</v>
      </c>
      <c r="V1470" s="160">
        <f>IF($J$1354&gt;0,IPMT('Assumptions (Hydro)'!$V$6,Model!AI$1,'Assumptions (Hydro)'!$V$9,'Assumptions (Hydro)'!$V$4*Model!$J$1354*AVERAGE('Assumptions (Hydro)'!$F$2:$H$2)/10^9),0)</f>
        <v>0</v>
      </c>
      <c r="W1470" s="160">
        <f>IF($J$1354&gt;0,IPMT('Assumptions (Hydro)'!$V$6,Model!AJ$1,'Assumptions (Hydro)'!$V$9,'Assumptions (Hydro)'!$V$4*Model!$J$1354*AVERAGE('Assumptions (Hydro)'!$F$2:$H$2)/10^9),0)</f>
        <v>0</v>
      </c>
      <c r="X1470" s="160">
        <f>IF($J$1354&gt;0,IPMT('Assumptions (Hydro)'!$V$6,Model!AK$1,'Assumptions (Hydro)'!$V$9,'Assumptions (Hydro)'!$V$4*Model!$J$1354*AVERAGE('Assumptions (Hydro)'!$F$2:$H$2)/10^9),0)</f>
        <v>0</v>
      </c>
      <c r="Y1470" s="160"/>
      <c r="Z1470" s="160"/>
      <c r="AA1470" s="160"/>
      <c r="AB1470" s="160"/>
      <c r="AC1470" s="160"/>
      <c r="AD1470" s="160"/>
      <c r="AE1470" s="160"/>
      <c r="AF1470" s="160"/>
      <c r="AG1470" s="160"/>
      <c r="AH1470" s="160"/>
    </row>
    <row r="1471" ht="15.75" hidden="1" customHeight="1" outlineLevel="1">
      <c r="A1471" s="273"/>
      <c r="B1471" s="38"/>
      <c r="C1471" s="160"/>
      <c r="D1471" s="160"/>
      <c r="E1471" s="160"/>
      <c r="F1471" s="160"/>
      <c r="G1471" s="160"/>
      <c r="H1471" s="160"/>
      <c r="I1471" s="160"/>
      <c r="J1471" s="160"/>
      <c r="K1471" s="160">
        <f>IF($K$1354&gt;0,IPMT('Assumptions (Hydro)'!$V$6,Model!W$1,'Assumptions (Hydro)'!$V$9,'Assumptions (Hydro)'!$V$4*Model!$K$1354*AVERAGE('Assumptions (Hydro)'!$G$2:$I$2)/10^9),0)</f>
        <v>0</v>
      </c>
      <c r="L1471" s="160">
        <f>IF($K$1354&gt;0,IPMT('Assumptions (Hydro)'!$V$6,Model!X$1,'Assumptions (Hydro)'!$V$9,'Assumptions (Hydro)'!$V$4*Model!$K$1354*AVERAGE('Assumptions (Hydro)'!$G$2:$I$2)/10^9),0)</f>
        <v>0</v>
      </c>
      <c r="M1471" s="160">
        <f>IF($K$1354&gt;0,IPMT('Assumptions (Hydro)'!$V$6,Model!Y$1,'Assumptions (Hydro)'!$V$9,'Assumptions (Hydro)'!$V$4*Model!$K$1354*AVERAGE('Assumptions (Hydro)'!$G$2:$I$2)/10^9),0)</f>
        <v>0</v>
      </c>
      <c r="N1471" s="160">
        <f>IF($K$1354&gt;0,IPMT('Assumptions (Hydro)'!$V$6,Model!Z$1,'Assumptions (Hydro)'!$V$9,'Assumptions (Hydro)'!$V$4*Model!$K$1354*AVERAGE('Assumptions (Hydro)'!$G$2:$I$2)/10^9),0)</f>
        <v>0</v>
      </c>
      <c r="O1471" s="160">
        <f>IF($K$1354&gt;0,IPMT('Assumptions (Hydro)'!$V$6,Model!AA$1,'Assumptions (Hydro)'!$V$9,'Assumptions (Hydro)'!$V$4*Model!$K$1354*AVERAGE('Assumptions (Hydro)'!$G$2:$I$2)/10^9),0)</f>
        <v>0</v>
      </c>
      <c r="P1471" s="160">
        <f>IF($K$1354&gt;0,IPMT('Assumptions (Hydro)'!$V$6,Model!AB$1,'Assumptions (Hydro)'!$V$9,'Assumptions (Hydro)'!$V$4*Model!$K$1354*AVERAGE('Assumptions (Hydro)'!$G$2:$I$2)/10^9),0)</f>
        <v>0</v>
      </c>
      <c r="Q1471" s="160">
        <f>IF($K$1354&gt;0,IPMT('Assumptions (Hydro)'!$V$6,Model!AC$1,'Assumptions (Hydro)'!$V$9,'Assumptions (Hydro)'!$V$4*Model!$K$1354*AVERAGE('Assumptions (Hydro)'!$G$2:$I$2)/10^9),0)</f>
        <v>0</v>
      </c>
      <c r="R1471" s="160">
        <f>IF($K$1354&gt;0,IPMT('Assumptions (Hydro)'!$V$6,Model!AD$1,'Assumptions (Hydro)'!$V$9,'Assumptions (Hydro)'!$V$4*Model!$K$1354*AVERAGE('Assumptions (Hydro)'!$G$2:$I$2)/10^9),0)</f>
        <v>0</v>
      </c>
      <c r="S1471" s="160">
        <f>IF($K$1354&gt;0,IPMT('Assumptions (Hydro)'!$V$6,Model!AE$1,'Assumptions (Hydro)'!$V$9,'Assumptions (Hydro)'!$V$4*Model!$K$1354*AVERAGE('Assumptions (Hydro)'!$G$2:$I$2)/10^9),0)</f>
        <v>0</v>
      </c>
      <c r="T1471" s="160">
        <f>IF($K$1354&gt;0,IPMT('Assumptions (Hydro)'!$V$6,Model!AF$1,'Assumptions (Hydro)'!$V$9,'Assumptions (Hydro)'!$V$4*Model!$K$1354*AVERAGE('Assumptions (Hydro)'!$G$2:$I$2)/10^9),0)</f>
        <v>0</v>
      </c>
      <c r="U1471" s="160">
        <f>IF($K$1354&gt;0,IPMT('Assumptions (Hydro)'!$V$6,Model!AG$1,'Assumptions (Hydro)'!$V$9,'Assumptions (Hydro)'!$V$4*Model!$K$1354*AVERAGE('Assumptions (Hydro)'!$G$2:$I$2)/10^9),0)</f>
        <v>0</v>
      </c>
      <c r="V1471" s="160">
        <f>IF($K$1354&gt;0,IPMT('Assumptions (Hydro)'!$V$6,Model!AH$1,'Assumptions (Hydro)'!$V$9,'Assumptions (Hydro)'!$V$4*Model!$K$1354*AVERAGE('Assumptions (Hydro)'!$G$2:$I$2)/10^9),0)</f>
        <v>0</v>
      </c>
      <c r="W1471" s="160">
        <f>IF($K$1354&gt;0,IPMT('Assumptions (Hydro)'!$V$6,Model!AI$1,'Assumptions (Hydro)'!$V$9,'Assumptions (Hydro)'!$V$4*Model!$K$1354*AVERAGE('Assumptions (Hydro)'!$G$2:$I$2)/10^9),0)</f>
        <v>0</v>
      </c>
      <c r="X1471" s="160">
        <f>IF($K$1354&gt;0,IPMT('Assumptions (Hydro)'!$V$6,Model!AJ$1,'Assumptions (Hydro)'!$V$9,'Assumptions (Hydro)'!$V$4*Model!$K$1354*AVERAGE('Assumptions (Hydro)'!$G$2:$I$2)/10^9),0)</f>
        <v>0</v>
      </c>
      <c r="Y1471" s="160">
        <f>IF($K$1354&gt;0,IPMT('Assumptions (Hydro)'!$V$6,Model!AK$1,'Assumptions (Hydro)'!$V$9,'Assumptions (Hydro)'!$V$4*Model!$K$1354*AVERAGE('Assumptions (Hydro)'!$G$2:$I$2)/10^9),0)</f>
        <v>0</v>
      </c>
      <c r="Z1471" s="160"/>
      <c r="AA1471" s="160"/>
      <c r="AB1471" s="160"/>
      <c r="AC1471" s="160"/>
      <c r="AD1471" s="160"/>
      <c r="AE1471" s="160"/>
      <c r="AF1471" s="160"/>
      <c r="AG1471" s="160"/>
      <c r="AH1471" s="160"/>
      <c r="AI1471" s="160"/>
    </row>
    <row r="1472" ht="15.75" hidden="1" customHeight="1" outlineLevel="1">
      <c r="A1472" s="273"/>
      <c r="B1472" s="38"/>
      <c r="C1472" s="160"/>
      <c r="D1472" s="160"/>
      <c r="E1472" s="160"/>
      <c r="F1472" s="160"/>
      <c r="G1472" s="160"/>
      <c r="H1472" s="160"/>
      <c r="I1472" s="160"/>
      <c r="J1472" s="160"/>
      <c r="K1472" s="160"/>
      <c r="L1472" s="160">
        <f>IF($L$1354&gt;0,IPMT('Assumptions (Hydro)'!$V$6,Model!W$1,'Assumptions (Hydro)'!$V$9,'Assumptions (Hydro)'!$V$4*Model!$L$1354*AVERAGE('Assumptions (Hydro)'!$H$2:$J$2)/10^9),0)</f>
        <v>0</v>
      </c>
      <c r="M1472" s="160">
        <f>IF($L$1354&gt;0,IPMT('Assumptions (Hydro)'!$V$6,Model!X$1,'Assumptions (Hydro)'!$V$9,'Assumptions (Hydro)'!$V$4*Model!$L$1354*AVERAGE('Assumptions (Hydro)'!$H$2:$J$2)/10^9),0)</f>
        <v>0</v>
      </c>
      <c r="N1472" s="160">
        <f>IF($L$1354&gt;0,IPMT('Assumptions (Hydro)'!$V$6,Model!Y$1,'Assumptions (Hydro)'!$V$9,'Assumptions (Hydro)'!$V$4*Model!$L$1354*AVERAGE('Assumptions (Hydro)'!$H$2:$J$2)/10^9),0)</f>
        <v>0</v>
      </c>
      <c r="O1472" s="160">
        <f>IF($L$1354&gt;0,IPMT('Assumptions (Hydro)'!$V$6,Model!Z$1,'Assumptions (Hydro)'!$V$9,'Assumptions (Hydro)'!$V$4*Model!$L$1354*AVERAGE('Assumptions (Hydro)'!$H$2:$J$2)/10^9),0)</f>
        <v>0</v>
      </c>
      <c r="P1472" s="160">
        <f>IF($L$1354&gt;0,IPMT('Assumptions (Hydro)'!$V$6,Model!AA$1,'Assumptions (Hydro)'!$V$9,'Assumptions (Hydro)'!$V$4*Model!$L$1354*AVERAGE('Assumptions (Hydro)'!$H$2:$J$2)/10^9),0)</f>
        <v>0</v>
      </c>
      <c r="Q1472" s="160">
        <f>IF($L$1354&gt;0,IPMT('Assumptions (Hydro)'!$V$6,Model!AB$1,'Assumptions (Hydro)'!$V$9,'Assumptions (Hydro)'!$V$4*Model!$L$1354*AVERAGE('Assumptions (Hydro)'!$H$2:$J$2)/10^9),0)</f>
        <v>0</v>
      </c>
      <c r="R1472" s="160">
        <f>IF($L$1354&gt;0,IPMT('Assumptions (Hydro)'!$V$6,Model!AC$1,'Assumptions (Hydro)'!$V$9,'Assumptions (Hydro)'!$V$4*Model!$L$1354*AVERAGE('Assumptions (Hydro)'!$H$2:$J$2)/10^9),0)</f>
        <v>0</v>
      </c>
      <c r="S1472" s="160">
        <f>IF($L$1354&gt;0,IPMT('Assumptions (Hydro)'!$V$6,Model!AD$1,'Assumptions (Hydro)'!$V$9,'Assumptions (Hydro)'!$V$4*Model!$L$1354*AVERAGE('Assumptions (Hydro)'!$H$2:$J$2)/10^9),0)</f>
        <v>0</v>
      </c>
      <c r="T1472" s="160">
        <f>IF($L$1354&gt;0,IPMT('Assumptions (Hydro)'!$V$6,Model!AE$1,'Assumptions (Hydro)'!$V$9,'Assumptions (Hydro)'!$V$4*Model!$L$1354*AVERAGE('Assumptions (Hydro)'!$H$2:$J$2)/10^9),0)</f>
        <v>0</v>
      </c>
      <c r="U1472" s="160">
        <f>IF($L$1354&gt;0,IPMT('Assumptions (Hydro)'!$V$6,Model!AF$1,'Assumptions (Hydro)'!$V$9,'Assumptions (Hydro)'!$V$4*Model!$L$1354*AVERAGE('Assumptions (Hydro)'!$H$2:$J$2)/10^9),0)</f>
        <v>0</v>
      </c>
      <c r="V1472" s="160">
        <f>IF($L$1354&gt;0,IPMT('Assumptions (Hydro)'!$V$6,Model!AG$1,'Assumptions (Hydro)'!$V$9,'Assumptions (Hydro)'!$V$4*Model!$L$1354*AVERAGE('Assumptions (Hydro)'!$H$2:$J$2)/10^9),0)</f>
        <v>0</v>
      </c>
      <c r="W1472" s="160">
        <f>IF($L$1354&gt;0,IPMT('Assumptions (Hydro)'!$V$6,Model!AH$1,'Assumptions (Hydro)'!$V$9,'Assumptions (Hydro)'!$V$4*Model!$L$1354*AVERAGE('Assumptions (Hydro)'!$H$2:$J$2)/10^9),0)</f>
        <v>0</v>
      </c>
      <c r="X1472" s="160">
        <f>IF($L$1354&gt;0,IPMT('Assumptions (Hydro)'!$V$6,Model!AI$1,'Assumptions (Hydro)'!$V$9,'Assumptions (Hydro)'!$V$4*Model!$L$1354*AVERAGE('Assumptions (Hydro)'!$H$2:$J$2)/10^9),0)</f>
        <v>0</v>
      </c>
      <c r="Y1472" s="160">
        <f>IF($L$1354&gt;0,IPMT('Assumptions (Hydro)'!$V$6,Model!AJ$1,'Assumptions (Hydro)'!$V$9,'Assumptions (Hydro)'!$V$4*Model!$L$1354*AVERAGE('Assumptions (Hydro)'!$H$2:$J$2)/10^9),0)</f>
        <v>0</v>
      </c>
      <c r="Z1472" s="160">
        <f>IF($L$1354&gt;0,IPMT('Assumptions (Hydro)'!$V$6,Model!AK$1,'Assumptions (Hydro)'!$V$9,'Assumptions (Hydro)'!$V$4*Model!$L$1354*AVERAGE('Assumptions (Hydro)'!$H$2:$J$2)/10^9),0)</f>
        <v>0</v>
      </c>
      <c r="AA1472" s="160"/>
      <c r="AB1472" s="160"/>
      <c r="AC1472" s="160"/>
      <c r="AD1472" s="160"/>
      <c r="AE1472" s="160"/>
      <c r="AF1472" s="160"/>
      <c r="AG1472" s="160"/>
      <c r="AH1472" s="160"/>
      <c r="AI1472" s="160"/>
      <c r="AJ1472" s="160"/>
    </row>
    <row r="1473" ht="15.75" hidden="1" customHeight="1" outlineLevel="1">
      <c r="A1473" s="273"/>
      <c r="B1473" s="38"/>
      <c r="C1473" s="160"/>
      <c r="D1473" s="160"/>
      <c r="E1473" s="160"/>
      <c r="F1473" s="160"/>
      <c r="G1473" s="160"/>
      <c r="H1473" s="160"/>
      <c r="I1473" s="160"/>
      <c r="J1473" s="160"/>
      <c r="K1473" s="160"/>
      <c r="L1473" s="160"/>
      <c r="M1473" s="160">
        <f>IF($M$1354&gt;0,IPMT('Assumptions (Hydro)'!$V$6,Model!W$1,'Assumptions (Hydro)'!$V$9,'Assumptions (Hydro)'!$V$4*Model!$M$1354*AVERAGE('Assumptions (Hydro)'!$I$2:$K$2)/10^9),0)</f>
        <v>0</v>
      </c>
      <c r="N1473" s="160">
        <f>IF($M$1354&gt;0,IPMT('Assumptions (Hydro)'!$V$6,Model!X$1,'Assumptions (Hydro)'!$V$9,'Assumptions (Hydro)'!$V$4*Model!$M$1354*AVERAGE('Assumptions (Hydro)'!$I$2:$K$2)/10^9),0)</f>
        <v>0</v>
      </c>
      <c r="O1473" s="160">
        <f>IF($M$1354&gt;0,IPMT('Assumptions (Hydro)'!$V$6,Model!Y$1,'Assumptions (Hydro)'!$V$9,'Assumptions (Hydro)'!$V$4*Model!$M$1354*AVERAGE('Assumptions (Hydro)'!$I$2:$K$2)/10^9),0)</f>
        <v>0</v>
      </c>
      <c r="P1473" s="160">
        <f>IF($M$1354&gt;0,IPMT('Assumptions (Hydro)'!$V$6,Model!Z$1,'Assumptions (Hydro)'!$V$9,'Assumptions (Hydro)'!$V$4*Model!$M$1354*AVERAGE('Assumptions (Hydro)'!$I$2:$K$2)/10^9),0)</f>
        <v>0</v>
      </c>
      <c r="Q1473" s="160">
        <f>IF($M$1354&gt;0,IPMT('Assumptions (Hydro)'!$V$6,Model!AA$1,'Assumptions (Hydro)'!$V$9,'Assumptions (Hydro)'!$V$4*Model!$M$1354*AVERAGE('Assumptions (Hydro)'!$I$2:$K$2)/10^9),0)</f>
        <v>0</v>
      </c>
      <c r="R1473" s="160">
        <f>IF($M$1354&gt;0,IPMT('Assumptions (Hydro)'!$V$6,Model!AB$1,'Assumptions (Hydro)'!$V$9,'Assumptions (Hydro)'!$V$4*Model!$M$1354*AVERAGE('Assumptions (Hydro)'!$I$2:$K$2)/10^9),0)</f>
        <v>0</v>
      </c>
      <c r="S1473" s="160">
        <f>IF($M$1354&gt;0,IPMT('Assumptions (Hydro)'!$V$6,Model!AC$1,'Assumptions (Hydro)'!$V$9,'Assumptions (Hydro)'!$V$4*Model!$M$1354*AVERAGE('Assumptions (Hydro)'!$I$2:$K$2)/10^9),0)</f>
        <v>0</v>
      </c>
      <c r="T1473" s="160">
        <f>IF($M$1354&gt;0,IPMT('Assumptions (Hydro)'!$V$6,Model!AD$1,'Assumptions (Hydro)'!$V$9,'Assumptions (Hydro)'!$V$4*Model!$M$1354*AVERAGE('Assumptions (Hydro)'!$I$2:$K$2)/10^9),0)</f>
        <v>0</v>
      </c>
      <c r="U1473" s="160">
        <f>IF($M$1354&gt;0,IPMT('Assumptions (Hydro)'!$V$6,Model!AE$1,'Assumptions (Hydro)'!$V$9,'Assumptions (Hydro)'!$V$4*Model!$M$1354*AVERAGE('Assumptions (Hydro)'!$I$2:$K$2)/10^9),0)</f>
        <v>0</v>
      </c>
      <c r="V1473" s="160">
        <f>IF($M$1354&gt;0,IPMT('Assumptions (Hydro)'!$V$6,Model!AF$1,'Assumptions (Hydro)'!$V$9,'Assumptions (Hydro)'!$V$4*Model!$M$1354*AVERAGE('Assumptions (Hydro)'!$I$2:$K$2)/10^9),0)</f>
        <v>0</v>
      </c>
      <c r="W1473" s="160">
        <f>IF($M$1354&gt;0,IPMT('Assumptions (Hydro)'!$V$6,Model!AG$1,'Assumptions (Hydro)'!$V$9,'Assumptions (Hydro)'!$V$4*Model!$M$1354*AVERAGE('Assumptions (Hydro)'!$I$2:$K$2)/10^9),0)</f>
        <v>0</v>
      </c>
      <c r="X1473" s="160">
        <f>IF($M$1354&gt;0,IPMT('Assumptions (Hydro)'!$V$6,Model!AH$1,'Assumptions (Hydro)'!$V$9,'Assumptions (Hydro)'!$V$4*Model!$M$1354*AVERAGE('Assumptions (Hydro)'!$I$2:$K$2)/10^9),0)</f>
        <v>0</v>
      </c>
      <c r="Y1473" s="160">
        <f>IF($M$1354&gt;0,IPMT('Assumptions (Hydro)'!$V$6,Model!AI$1,'Assumptions (Hydro)'!$V$9,'Assumptions (Hydro)'!$V$4*Model!$M$1354*AVERAGE('Assumptions (Hydro)'!$I$2:$K$2)/10^9),0)</f>
        <v>0</v>
      </c>
      <c r="Z1473" s="160">
        <f>IF($M$1354&gt;0,IPMT('Assumptions (Hydro)'!$V$6,Model!AJ$1,'Assumptions (Hydro)'!$V$9,'Assumptions (Hydro)'!$V$4*Model!$M$1354*AVERAGE('Assumptions (Hydro)'!$I$2:$K$2)/10^9),0)</f>
        <v>0</v>
      </c>
      <c r="AA1473" s="160">
        <f>IF($M$1354&gt;0,IPMT('Assumptions (Hydro)'!$V$6,Model!AK$1,'Assumptions (Hydro)'!$V$9,'Assumptions (Hydro)'!$V$4*Model!$M$1354*AVERAGE('Assumptions (Hydro)'!$I$2:$K$2)/10^9),0)</f>
        <v>0</v>
      </c>
      <c r="AB1473" s="160"/>
      <c r="AC1473" s="160"/>
      <c r="AD1473" s="160"/>
      <c r="AE1473" s="160"/>
      <c r="AF1473" s="160"/>
      <c r="AG1473" s="160"/>
      <c r="AH1473" s="160"/>
      <c r="AI1473" s="160"/>
      <c r="AJ1473" s="160"/>
      <c r="AK1473" s="160"/>
    </row>
    <row r="1474" ht="15.75" hidden="1" customHeight="1" outlineLevel="1">
      <c r="A1474" s="273"/>
      <c r="B1474" s="38"/>
      <c r="C1474" s="160"/>
      <c r="D1474" s="160"/>
      <c r="E1474" s="160"/>
      <c r="F1474" s="160"/>
      <c r="G1474" s="160"/>
      <c r="H1474" s="160"/>
      <c r="I1474" s="160"/>
      <c r="J1474" s="160"/>
      <c r="K1474" s="160"/>
      <c r="L1474" s="160"/>
      <c r="M1474" s="160"/>
      <c r="N1474" s="177">
        <f>IF($N$1354&gt;0,IPMT('Assumptions (Hydro)'!$V$6,Model!W$1,'Assumptions (Hydro)'!$V$9,'Assumptions (Hydro)'!$V$4*Model!$N$1354*AVERAGE('Assumptions (Hydro)'!$J$2:$L$2)/10^9),0)</f>
        <v>-0.0001150534775</v>
      </c>
      <c r="O1474" s="177">
        <f>IF($N$1354&gt;0,IPMT('Assumptions (Hydro)'!$V$6,Model!X$1,'Assumptions (Hydro)'!$V$9,'Assumptions (Hydro)'!$V$4*Model!$N$1354*AVERAGE('Assumptions (Hydro)'!$J$2:$L$2)/10^9),0)</f>
        <v>-0.0001096205217</v>
      </c>
      <c r="P1474" s="177">
        <f>IF($N$1354&gt;0,IPMT('Assumptions (Hydro)'!$V$6,Model!Y$1,'Assumptions (Hydro)'!$V$9,'Assumptions (Hydro)'!$V$4*Model!$N$1354*AVERAGE('Assumptions (Hydro)'!$J$2:$L$2)/10^9),0)</f>
        <v>-0.0001039295006</v>
      </c>
      <c r="Q1474" s="177">
        <f>IF($N$1354&gt;0,IPMT('Assumptions (Hydro)'!$V$6,Model!Z$1,'Assumptions (Hydro)'!$V$9,'Assumptions (Hydro)'!$V$4*Model!$N$1354*AVERAGE('Assumptions (Hydro)'!$J$2:$L$2)/10^9),0)</f>
        <v>-0.00009796815599</v>
      </c>
      <c r="R1474" s="177">
        <f>IF($N$1354&gt;0,IPMT('Assumptions (Hydro)'!$V$6,Model!AA$1,'Assumptions (Hydro)'!$V$9,'Assumptions (Hydro)'!$V$4*Model!$N$1354*AVERAGE('Assumptions (Hydro)'!$J$2:$L$2)/10^9),0)</f>
        <v>-0.0000917236475</v>
      </c>
      <c r="S1474" s="177">
        <f>IF($N$1354&gt;0,IPMT('Assumptions (Hydro)'!$V$6,Model!AB$1,'Assumptions (Hydro)'!$V$9,'Assumptions (Hydro)'!$V$4*Model!$N$1354*AVERAGE('Assumptions (Hydro)'!$J$2:$L$2)/10^9),0)</f>
        <v>-0.00008518252485</v>
      </c>
      <c r="T1474" s="177">
        <f>IF($N$1354&gt;0,IPMT('Assumptions (Hydro)'!$V$6,Model!AC$1,'Assumptions (Hydro)'!$V$9,'Assumptions (Hydro)'!$V$4*Model!$N$1354*AVERAGE('Assumptions (Hydro)'!$J$2:$L$2)/10^9),0)</f>
        <v>-0.00007833069888</v>
      </c>
      <c r="U1474" s="177">
        <f>IF($N$1354&gt;0,IPMT('Assumptions (Hydro)'!$V$6,Model!AD$1,'Assumptions (Hydro)'!$V$9,'Assumptions (Hydro)'!$V$4*Model!$N$1354*AVERAGE('Assumptions (Hydro)'!$J$2:$L$2)/10^9),0)</f>
        <v>-0.00007115341118</v>
      </c>
      <c r="V1474" s="177">
        <f>IF($N$1354&gt;0,IPMT('Assumptions (Hydro)'!$V$6,Model!AE$1,'Assumptions (Hydro)'!$V$9,'Assumptions (Hydro)'!$V$4*Model!$N$1354*AVERAGE('Assumptions (Hydro)'!$J$2:$L$2)/10^9),0)</f>
        <v>-0.0000636352023</v>
      </c>
      <c r="W1474" s="177">
        <f>IF($N$1354&gt;0,IPMT('Assumptions (Hydro)'!$V$6,Model!AF$1,'Assumptions (Hydro)'!$V$9,'Assumptions (Hydro)'!$V$4*Model!$N$1354*AVERAGE('Assumptions (Hydro)'!$J$2:$L$2)/10^9),0)</f>
        <v>-0.00005575987851</v>
      </c>
      <c r="X1474" s="177">
        <f>IF($N$1354&gt;0,IPMT('Assumptions (Hydro)'!$V$6,Model!AG$1,'Assumptions (Hydro)'!$V$9,'Assumptions (Hydro)'!$V$4*Model!$N$1354*AVERAGE('Assumptions (Hydro)'!$J$2:$L$2)/10^9),0)</f>
        <v>-0.00004751047684</v>
      </c>
      <c r="Y1474" s="177">
        <f>IF($N$1354&gt;0,IPMT('Assumptions (Hydro)'!$V$6,Model!AH$1,'Assumptions (Hydro)'!$V$9,'Assumptions (Hydro)'!$V$4*Model!$N$1354*AVERAGE('Assumptions (Hydro)'!$J$2:$L$2)/10^9),0)</f>
        <v>-0.00003886922858</v>
      </c>
      <c r="Z1474" s="177">
        <f>IF($N$1354&gt;0,IPMT('Assumptions (Hydro)'!$V$6,Model!AI$1,'Assumptions (Hydro)'!$V$9,'Assumptions (Hydro)'!$V$4*Model!$N$1354*AVERAGE('Assumptions (Hydro)'!$J$2:$L$2)/10^9),0)</f>
        <v>-0.00002981752104</v>
      </c>
      <c r="AA1474" s="177">
        <f>IF($N$1354&gt;0,IPMT('Assumptions (Hydro)'!$V$6,Model!AJ$1,'Assumptions (Hydro)'!$V$9,'Assumptions (Hydro)'!$V$4*Model!$N$1354*AVERAGE('Assumptions (Hydro)'!$J$2:$L$2)/10^9),0)</f>
        <v>-0.00002033585738</v>
      </c>
      <c r="AB1474" s="177">
        <f>IF($N$1354&gt;0,IPMT('Assumptions (Hydro)'!$V$6,Model!AK$1,'Assumptions (Hydro)'!$V$9,'Assumptions (Hydro)'!$V$4*Model!$N$1354*AVERAGE('Assumptions (Hydro)'!$J$2:$L$2)/10^9),0)</f>
        <v>-0.0000104038147</v>
      </c>
      <c r="AC1474" s="177"/>
      <c r="AD1474" s="177"/>
      <c r="AE1474" s="177"/>
      <c r="AF1474" s="177"/>
      <c r="AG1474" s="177"/>
      <c r="AH1474" s="177"/>
      <c r="AI1474" s="177"/>
      <c r="AJ1474" s="177"/>
      <c r="AK1474" s="177"/>
      <c r="AL1474" s="177"/>
    </row>
    <row r="1475" ht="15.75" hidden="1" customHeight="1" outlineLevel="1">
      <c r="A1475" s="273"/>
      <c r="B1475" s="38"/>
      <c r="C1475" s="160"/>
      <c r="D1475" s="160"/>
      <c r="E1475" s="160"/>
      <c r="F1475" s="160"/>
      <c r="G1475" s="160"/>
      <c r="H1475" s="160"/>
      <c r="I1475" s="160"/>
      <c r="J1475" s="160"/>
      <c r="K1475" s="160"/>
      <c r="L1475" s="160"/>
      <c r="M1475" s="160"/>
      <c r="N1475" s="160"/>
      <c r="O1475" s="160">
        <f>IF($O$1354&gt;0,IPMT('Assumptions (Hydro)'!$V$6,Model!W$1,'Assumptions (Hydro)'!$V$9,'Assumptions (Hydro)'!$V$4*Model!$O$1354*AVERAGE('Assumptions (Hydro)'!$K$2:$M$2)/10^9),0)</f>
        <v>-0.00603412007</v>
      </c>
      <c r="P1475" s="160">
        <f>IF($O$1354&gt;0,IPMT('Assumptions (Hydro)'!$V$6,Model!X$1,'Assumptions (Hydro)'!$V$9,'Assumptions (Hydro)'!$V$4*Model!$O$1354*AVERAGE('Assumptions (Hydro)'!$K$2:$M$2)/10^9),0)</f>
        <v>-0.005749182075</v>
      </c>
      <c r="Q1475" s="160">
        <f>IF($O$1354&gt;0,IPMT('Assumptions (Hydro)'!$V$6,Model!Y$1,'Assumptions (Hydro)'!$V$9,'Assumptions (Hydro)'!$V$4*Model!$O$1354*AVERAGE('Assumptions (Hydro)'!$K$2:$M$2)/10^9),0)</f>
        <v>-0.005450709526</v>
      </c>
      <c r="R1475" s="160">
        <f>IF($O$1354&gt;0,IPMT('Assumptions (Hydro)'!$V$6,Model!Z$1,'Assumptions (Hydro)'!$V$9,'Assumptions (Hydro)'!$V$4*Model!$O$1354*AVERAGE('Assumptions (Hydro)'!$K$2:$M$2)/10^9),0)</f>
        <v>-0.00513805953</v>
      </c>
      <c r="S1475" s="160">
        <f>IF($O$1354&gt;0,IPMT('Assumptions (Hydro)'!$V$6,Model!AA$1,'Assumptions (Hydro)'!$V$9,'Assumptions (Hydro)'!$V$4*Model!$O$1354*AVERAGE('Assumptions (Hydro)'!$K$2:$M$2)/10^9),0)</f>
        <v>-0.004810558659</v>
      </c>
      <c r="T1475" s="160">
        <f>IF($O$1354&gt;0,IPMT('Assumptions (Hydro)'!$V$6,Model!AB$1,'Assumptions (Hydro)'!$V$9,'Assumptions (Hydro)'!$V$4*Model!$O$1354*AVERAGE('Assumptions (Hydro)'!$K$2:$M$2)/10^9),0)</f>
        <v>-0.004467501497</v>
      </c>
      <c r="U1475" s="160">
        <f>IF($O$1354&gt;0,IPMT('Assumptions (Hydro)'!$V$6,Model!AC$1,'Assumptions (Hydro)'!$V$9,'Assumptions (Hydro)'!$V$4*Model!$O$1354*AVERAGE('Assumptions (Hydro)'!$K$2:$M$2)/10^9),0)</f>
        <v>-0.00410814912</v>
      </c>
      <c r="V1475" s="160">
        <f>IF($O$1354&gt;0,IPMT('Assumptions (Hydro)'!$V$6,Model!AD$1,'Assumptions (Hydro)'!$V$9,'Assumptions (Hydro)'!$V$4*Model!$O$1354*AVERAGE('Assumptions (Hydro)'!$K$2:$M$2)/10^9),0)</f>
        <v>-0.003731727505</v>
      </c>
      <c r="W1475" s="160">
        <f>IF($O$1354&gt;0,IPMT('Assumptions (Hydro)'!$V$6,Model!AE$1,'Assumptions (Hydro)'!$V$9,'Assumptions (Hydro)'!$V$4*Model!$O$1354*AVERAGE('Assumptions (Hydro)'!$K$2:$M$2)/10^9),0)</f>
        <v>-0.003337425864</v>
      </c>
      <c r="X1475" s="160">
        <f>IF($O$1354&gt;0,IPMT('Assumptions (Hydro)'!$V$6,Model!AF$1,'Assumptions (Hydro)'!$V$9,'Assumptions (Hydro)'!$V$4*Model!$O$1354*AVERAGE('Assumptions (Hydro)'!$K$2:$M$2)/10^9),0)</f>
        <v>-0.002924394894</v>
      </c>
      <c r="Y1475" s="160">
        <f>IF($O$1354&gt;0,IPMT('Assumptions (Hydro)'!$V$6,Model!AG$1,'Assumptions (Hydro)'!$V$9,'Assumptions (Hydro)'!$V$4*Model!$O$1354*AVERAGE('Assumptions (Hydro)'!$K$2:$M$2)/10^9),0)</f>
        <v>-0.002491744953</v>
      </c>
      <c r="Z1475" s="160">
        <f>IF($O$1354&gt;0,IPMT('Assumptions (Hydro)'!$V$6,Model!AH$1,'Assumptions (Hydro)'!$V$9,'Assumptions (Hydro)'!$V$4*Model!$O$1354*AVERAGE('Assumptions (Hydro)'!$K$2:$M$2)/10^9),0)</f>
        <v>-0.00203854414</v>
      </c>
      <c r="AA1475" s="160">
        <f>IF($O$1354&gt;0,IPMT('Assumptions (Hydro)'!$V$6,Model!AI$1,'Assumptions (Hydro)'!$V$9,'Assumptions (Hydro)'!$V$4*Model!$O$1354*AVERAGE('Assumptions (Hydro)'!$K$2:$M$2)/10^9),0)</f>
        <v>-0.001563816289</v>
      </c>
      <c r="AB1475" s="160">
        <f>IF($O$1354&gt;0,IPMT('Assumptions (Hydro)'!$V$6,Model!AJ$1,'Assumptions (Hydro)'!$V$9,'Assumptions (Hydro)'!$V$4*Model!$O$1354*AVERAGE('Assumptions (Hydro)'!$K$2:$M$2)/10^9),0)</f>
        <v>-0.001066538864</v>
      </c>
      <c r="AC1475" s="160">
        <f>IF($O$1354&gt;0,IPMT('Assumptions (Hydro)'!$V$6,Model!AK$1,'Assumptions (Hydro)'!$V$9,'Assumptions (Hydro)'!$V$4*Model!$O$1354*AVERAGE('Assumptions (Hydro)'!$K$2:$M$2)/10^9),0)</f>
        <v>-0.000545640762</v>
      </c>
      <c r="AD1475" s="160"/>
      <c r="AE1475" s="160"/>
      <c r="AF1475" s="160"/>
      <c r="AG1475" s="160"/>
      <c r="AH1475" s="160"/>
      <c r="AI1475" s="160"/>
      <c r="AJ1475" s="160"/>
      <c r="AK1475" s="160"/>
      <c r="AL1475" s="160"/>
      <c r="AM1475" s="160"/>
    </row>
    <row r="1476" ht="15.75" hidden="1" customHeight="1" outlineLevel="1">
      <c r="A1476" s="273"/>
      <c r="B1476" s="38"/>
      <c r="C1476" s="160"/>
      <c r="D1476" s="160"/>
      <c r="E1476" s="160"/>
      <c r="F1476" s="160"/>
      <c r="G1476" s="160"/>
      <c r="H1476" s="160"/>
      <c r="I1476" s="160"/>
      <c r="J1476" s="160"/>
      <c r="K1476" s="160"/>
      <c r="L1476" s="160"/>
      <c r="M1476" s="160"/>
      <c r="N1476" s="160"/>
      <c r="O1476" s="160"/>
      <c r="P1476" s="177">
        <f>IF($P$1354&gt;0,IPMT('Assumptions (Hydro)'!$V$6,Model!W$1,'Assumptions (Hydro)'!$V$9,'Assumptions (Hydro)'!$V$4*Model!$P$1354*AVERAGE('Assumptions (Hydro)'!$L$2:$N$2)/10^9),0)</f>
        <v>-0.002026390273</v>
      </c>
      <c r="Q1476" s="177">
        <f>IF($P$1354&gt;0,IPMT('Assumptions (Hydro)'!$V$6,Model!X$1,'Assumptions (Hydro)'!$V$9,'Assumptions (Hydro)'!$V$4*Model!$P$1354*AVERAGE('Assumptions (Hydro)'!$L$2:$N$2)/10^9),0)</f>
        <v>-0.001930701826</v>
      </c>
      <c r="R1476" s="177">
        <f>IF($P$1354&gt;0,IPMT('Assumptions (Hydro)'!$V$6,Model!Y$1,'Assumptions (Hydro)'!$V$9,'Assumptions (Hydro)'!$V$4*Model!$P$1354*AVERAGE('Assumptions (Hydro)'!$L$2:$N$2)/10^9),0)</f>
        <v>-0.001830468177</v>
      </c>
      <c r="S1476" s="177">
        <f>IF($P$1354&gt;0,IPMT('Assumptions (Hydro)'!$V$6,Model!Z$1,'Assumptions (Hydro)'!$V$9,'Assumptions (Hydro)'!$V$4*Model!$P$1354*AVERAGE('Assumptions (Hydro)'!$L$2:$N$2)/10^9),0)</f>
        <v>-0.00172547343</v>
      </c>
      <c r="T1476" s="177">
        <f>IF($P$1354&gt;0,IPMT('Assumptions (Hydro)'!$V$6,Model!AA$1,'Assumptions (Hydro)'!$V$9,'Assumptions (Hydro)'!$V$4*Model!$P$1354*AVERAGE('Assumptions (Hydro)'!$L$2:$N$2)/10^9),0)</f>
        <v>-0.001615491433</v>
      </c>
      <c r="U1476" s="177">
        <f>IF($P$1354&gt;0,IPMT('Assumptions (Hydro)'!$V$6,Model!AB$1,'Assumptions (Hydro)'!$V$9,'Assumptions (Hydro)'!$V$4*Model!$P$1354*AVERAGE('Assumptions (Hydro)'!$L$2:$N$2)/10^9),0)</f>
        <v>-0.00150028529</v>
      </c>
      <c r="V1476" s="177">
        <f>IF($P$1354&gt;0,IPMT('Assumptions (Hydro)'!$V$6,Model!AC$1,'Assumptions (Hydro)'!$V$9,'Assumptions (Hydro)'!$V$4*Model!$P$1354*AVERAGE('Assumptions (Hydro)'!$L$2:$N$2)/10^9),0)</f>
        <v>-0.001379606856</v>
      </c>
      <c r="W1476" s="177">
        <f>IF($P$1354&gt;0,IPMT('Assumptions (Hydro)'!$V$6,Model!AD$1,'Assumptions (Hydro)'!$V$9,'Assumptions (Hydro)'!$V$4*Model!$P$1354*AVERAGE('Assumptions (Hydro)'!$L$2:$N$2)/10^9),0)</f>
        <v>-0.001253196196</v>
      </c>
      <c r="X1476" s="177">
        <f>IF($P$1354&gt;0,IPMT('Assumptions (Hydro)'!$V$6,Model!AE$1,'Assumptions (Hydro)'!$V$9,'Assumptions (Hydro)'!$V$4*Model!$P$1354*AVERAGE('Assumptions (Hydro)'!$L$2:$N$2)/10^9),0)</f>
        <v>-0.00112078103</v>
      </c>
      <c r="Y1476" s="177">
        <f>IF($P$1354&gt;0,IPMT('Assumptions (Hydro)'!$V$6,Model!AF$1,'Assumptions (Hydro)'!$V$9,'Assumptions (Hydro)'!$V$4*Model!$P$1354*AVERAGE('Assumptions (Hydro)'!$L$2:$N$2)/10^9),0)</f>
        <v>-0.0009820761435</v>
      </c>
      <c r="Z1476" s="177">
        <f>IF($P$1354&gt;0,IPMT('Assumptions (Hydro)'!$V$6,Model!AG$1,'Assumptions (Hydro)'!$V$9,'Assumptions (Hydro)'!$V$4*Model!$P$1354*AVERAGE('Assumptions (Hydro)'!$L$2:$N$2)/10^9),0)</f>
        <v>-0.0008367827749</v>
      </c>
      <c r="AA1476" s="177">
        <f>IF($P$1354&gt;0,IPMT('Assumptions (Hydro)'!$V$6,Model!AH$1,'Assumptions (Hydro)'!$V$9,'Assumptions (Hydro)'!$V$4*Model!$P$1354*AVERAGE('Assumptions (Hydro)'!$L$2:$N$2)/10^9),0)</f>
        <v>-0.0006845879713</v>
      </c>
      <c r="AB1476" s="177">
        <f>IF($P$1354&gt;0,IPMT('Assumptions (Hydro)'!$V$6,Model!AI$1,'Assumptions (Hydro)'!$V$9,'Assumptions (Hydro)'!$V$4*Model!$P$1354*AVERAGE('Assumptions (Hydro)'!$L$2:$N$2)/10^9),0)</f>
        <v>-0.0005251639145</v>
      </c>
      <c r="AC1476" s="177">
        <f>IF($P$1354&gt;0,IPMT('Assumptions (Hydro)'!$V$6,Model!AJ$1,'Assumptions (Hydro)'!$V$9,'Assumptions (Hydro)'!$V$4*Model!$P$1354*AVERAGE('Assumptions (Hydro)'!$L$2:$N$2)/10^9),0)</f>
        <v>-0.000358167215</v>
      </c>
      <c r="AD1476" s="177">
        <f>IF($P$1354&gt;0,IPMT('Assumptions (Hydro)'!$V$6,Model!AK$1,'Assumptions (Hydro)'!$V$9,'Assumptions (Hydro)'!$V$4*Model!$P$1354*AVERAGE('Assumptions (Hydro)'!$L$2:$N$2)/10^9),0)</f>
        <v>-0.0001832381723</v>
      </c>
      <c r="AE1476" s="177"/>
      <c r="AF1476" s="177"/>
      <c r="AG1476" s="177"/>
      <c r="AH1476" s="177"/>
      <c r="AI1476" s="177"/>
      <c r="AJ1476" s="177"/>
      <c r="AK1476" s="177"/>
      <c r="AL1476" s="177"/>
      <c r="AM1476" s="177"/>
      <c r="AN1476" s="177"/>
    </row>
    <row r="1477" ht="15.75" hidden="1" customHeight="1" outlineLevel="1">
      <c r="A1477" s="273"/>
      <c r="B1477" s="38"/>
      <c r="C1477" s="160"/>
      <c r="D1477" s="160"/>
      <c r="E1477" s="160"/>
      <c r="F1477" s="160"/>
      <c r="G1477" s="160"/>
      <c r="H1477" s="160"/>
      <c r="I1477" s="160"/>
      <c r="J1477" s="160"/>
      <c r="K1477" s="160"/>
      <c r="L1477" s="160"/>
      <c r="M1477" s="160"/>
      <c r="N1477" s="160"/>
      <c r="O1477" s="160"/>
      <c r="P1477" s="179"/>
      <c r="Q1477" s="160">
        <f>IF($Q$1354&gt;0,IPMT('Assumptions (Hydro)'!$V$6,Model!W$1,'Assumptions (Hydro)'!$V$9,'Assumptions (Hydro)'!$V$4*Model!$Q$1354*AVERAGE('Assumptions (Hydro)'!$M$2:$O$2)/10^9),0)</f>
        <v>0</v>
      </c>
      <c r="R1477" s="160">
        <f>IF($Q$1354&gt;0,IPMT('Assumptions (Hydro)'!$V$6,Model!X$1,'Assumptions (Hydro)'!$V$9,'Assumptions (Hydro)'!$V$4*Model!$Q$1354*AVERAGE('Assumptions (Hydro)'!$M$2:$O$2)/10^9),0)</f>
        <v>0</v>
      </c>
      <c r="S1477" s="160">
        <f>IF($Q$1354&gt;0,IPMT('Assumptions (Hydro)'!$V$6,Model!Y$1,'Assumptions (Hydro)'!$V$9,'Assumptions (Hydro)'!$V$4*Model!$Q$1354*AVERAGE('Assumptions (Hydro)'!$M$2:$O$2)/10^9),0)</f>
        <v>0</v>
      </c>
      <c r="T1477" s="160">
        <f>IF($Q$1354&gt;0,IPMT('Assumptions (Hydro)'!$V$6,Model!Z$1,'Assumptions (Hydro)'!$V$9,'Assumptions (Hydro)'!$V$4*Model!$Q$1354*AVERAGE('Assumptions (Hydro)'!$M$2:$O$2)/10^9),0)</f>
        <v>0</v>
      </c>
      <c r="U1477" s="160">
        <f>IF($Q$1354&gt;0,IPMT('Assumptions (Hydro)'!$V$6,Model!AA$1,'Assumptions (Hydro)'!$V$9,'Assumptions (Hydro)'!$V$4*Model!$Q$1354*AVERAGE('Assumptions (Hydro)'!$M$2:$O$2)/10^9),0)</f>
        <v>0</v>
      </c>
      <c r="V1477" s="160">
        <f>IF($Q$1354&gt;0,IPMT('Assumptions (Hydro)'!$V$6,Model!AB$1,'Assumptions (Hydro)'!$V$9,'Assumptions (Hydro)'!$V$4*Model!$Q$1354*AVERAGE('Assumptions (Hydro)'!$M$2:$O$2)/10^9),0)</f>
        <v>0</v>
      </c>
      <c r="W1477" s="160">
        <f>IF($Q$1354&gt;0,IPMT('Assumptions (Hydro)'!$V$6,Model!AC$1,'Assumptions (Hydro)'!$V$9,'Assumptions (Hydro)'!$V$4*Model!$Q$1354*AVERAGE('Assumptions (Hydro)'!$M$2:$O$2)/10^9),0)</f>
        <v>0</v>
      </c>
      <c r="X1477" s="160">
        <f>IF($Q$1354&gt;0,IPMT('Assumptions (Hydro)'!$V$6,Model!AD$1,'Assumptions (Hydro)'!$V$9,'Assumptions (Hydro)'!$V$4*Model!$Q$1354*AVERAGE('Assumptions (Hydro)'!$M$2:$O$2)/10^9),0)</f>
        <v>0</v>
      </c>
      <c r="Y1477" s="160">
        <f>IF($Q$1354&gt;0,IPMT('Assumptions (Hydro)'!$V$6,Model!AE$1,'Assumptions (Hydro)'!$V$9,'Assumptions (Hydro)'!$V$4*Model!$Q$1354*AVERAGE('Assumptions (Hydro)'!$M$2:$O$2)/10^9),0)</f>
        <v>0</v>
      </c>
      <c r="Z1477" s="160">
        <f>IF($Q$1354&gt;0,IPMT('Assumptions (Hydro)'!$V$6,Model!AF$1,'Assumptions (Hydro)'!$V$9,'Assumptions (Hydro)'!$V$4*Model!$Q$1354*AVERAGE('Assumptions (Hydro)'!$M$2:$O$2)/10^9),0)</f>
        <v>0</v>
      </c>
      <c r="AA1477" s="160">
        <f>IF($Q$1354&gt;0,IPMT('Assumptions (Hydro)'!$V$6,Model!AG$1,'Assumptions (Hydro)'!$V$9,'Assumptions (Hydro)'!$V$4*Model!$Q$1354*AVERAGE('Assumptions (Hydro)'!$M$2:$O$2)/10^9),0)</f>
        <v>0</v>
      </c>
      <c r="AB1477" s="160">
        <f>IF($Q$1354&gt;0,IPMT('Assumptions (Hydro)'!$V$6,Model!AH$1,'Assumptions (Hydro)'!$V$9,'Assumptions (Hydro)'!$V$4*Model!$Q$1354*AVERAGE('Assumptions (Hydro)'!$M$2:$O$2)/10^9),0)</f>
        <v>0</v>
      </c>
      <c r="AC1477" s="160">
        <f>IF($Q$1354&gt;0,IPMT('Assumptions (Hydro)'!$V$6,Model!AI$1,'Assumptions (Hydro)'!$V$9,'Assumptions (Hydro)'!$V$4*Model!$Q$1354*AVERAGE('Assumptions (Hydro)'!$M$2:$O$2)/10^9),0)</f>
        <v>0</v>
      </c>
      <c r="AD1477" s="160">
        <f>IF($Q$1354&gt;0,IPMT('Assumptions (Hydro)'!$V$6,Model!AJ$1,'Assumptions (Hydro)'!$V$9,'Assumptions (Hydro)'!$V$4*Model!$Q$1354*AVERAGE('Assumptions (Hydro)'!$M$2:$O$2)/10^9),0)</f>
        <v>0</v>
      </c>
      <c r="AE1477" s="160">
        <f>IF($Q$1354&gt;0,IPMT('Assumptions (Hydro)'!$V$6,Model!AK$1,'Assumptions (Hydro)'!$V$9,'Assumptions (Hydro)'!$V$4*Model!$Q$1354*AVERAGE('Assumptions (Hydro)'!$M$2:$O$2)/10^9),0)</f>
        <v>0</v>
      </c>
      <c r="AF1477" s="160"/>
      <c r="AG1477" s="160"/>
      <c r="AH1477" s="160"/>
      <c r="AI1477" s="160"/>
      <c r="AJ1477" s="160"/>
      <c r="AK1477" s="160"/>
      <c r="AL1477" s="160"/>
      <c r="AM1477" s="160"/>
      <c r="AN1477" s="160"/>
      <c r="AO1477" s="160"/>
    </row>
    <row r="1478" ht="15.75" hidden="1" customHeight="1" outlineLevel="1">
      <c r="A1478" s="273"/>
      <c r="B1478" s="38"/>
      <c r="C1478" s="160"/>
      <c r="D1478" s="160"/>
      <c r="E1478" s="160"/>
      <c r="F1478" s="160"/>
      <c r="G1478" s="160"/>
      <c r="H1478" s="160"/>
      <c r="I1478" s="160"/>
      <c r="J1478" s="160"/>
      <c r="K1478" s="160"/>
      <c r="L1478" s="160"/>
      <c r="M1478" s="160"/>
      <c r="N1478" s="160"/>
      <c r="O1478" s="160"/>
      <c r="P1478" s="179"/>
      <c r="Q1478" s="160"/>
      <c r="R1478" s="177">
        <f>IF($R$1354&gt;0,IPMT('Assumptions (Hydro)'!$V$6,Model!W$1,'Assumptions (Hydro)'!$V$9,'Assumptions (Hydro)'!$V$4*Model!$R$1354*AVERAGE('Assumptions (Hydro)'!$N$2:$P$2)/10^9),0)</f>
        <v>0</v>
      </c>
      <c r="S1478" s="177">
        <f>IF($R$1354&gt;0,IPMT('Assumptions (Hydro)'!$V$6,Model!X$1,'Assumptions (Hydro)'!$V$9,'Assumptions (Hydro)'!$V$4*Model!$R$1354*AVERAGE('Assumptions (Hydro)'!$N$2:$P$2)/10^9),0)</f>
        <v>0</v>
      </c>
      <c r="T1478" s="177">
        <f>IF($R$1354&gt;0,IPMT('Assumptions (Hydro)'!$V$6,Model!Y$1,'Assumptions (Hydro)'!$V$9,'Assumptions (Hydro)'!$V$4*Model!$R$1354*AVERAGE('Assumptions (Hydro)'!$N$2:$P$2)/10^9),0)</f>
        <v>0</v>
      </c>
      <c r="U1478" s="177">
        <f>IF($R$1354&gt;0,IPMT('Assumptions (Hydro)'!$V$6,Model!Z$1,'Assumptions (Hydro)'!$V$9,'Assumptions (Hydro)'!$V$4*Model!$R$1354*AVERAGE('Assumptions (Hydro)'!$N$2:$P$2)/10^9),0)</f>
        <v>0</v>
      </c>
      <c r="V1478" s="177">
        <f>IF($R$1354&gt;0,IPMT('Assumptions (Hydro)'!$V$6,Model!AA$1,'Assumptions (Hydro)'!$V$9,'Assumptions (Hydro)'!$V$4*Model!$R$1354*AVERAGE('Assumptions (Hydro)'!$N$2:$P$2)/10^9),0)</f>
        <v>0</v>
      </c>
      <c r="W1478" s="177">
        <f>IF($R$1354&gt;0,IPMT('Assumptions (Hydro)'!$V$6,Model!AB$1,'Assumptions (Hydro)'!$V$9,'Assumptions (Hydro)'!$V$4*Model!$R$1354*AVERAGE('Assumptions (Hydro)'!$N$2:$P$2)/10^9),0)</f>
        <v>0</v>
      </c>
      <c r="X1478" s="177">
        <f>IF($R$1354&gt;0,IPMT('Assumptions (Hydro)'!$V$6,Model!AC$1,'Assumptions (Hydro)'!$V$9,'Assumptions (Hydro)'!$V$4*Model!$R$1354*AVERAGE('Assumptions (Hydro)'!$N$2:$P$2)/10^9),0)</f>
        <v>0</v>
      </c>
      <c r="Y1478" s="177">
        <f>IF($R$1354&gt;0,IPMT('Assumptions (Hydro)'!$V$6,Model!AD$1,'Assumptions (Hydro)'!$V$9,'Assumptions (Hydro)'!$V$4*Model!$R$1354*AVERAGE('Assumptions (Hydro)'!$N$2:$P$2)/10^9),0)</f>
        <v>0</v>
      </c>
      <c r="Z1478" s="177">
        <f>IF($R$1354&gt;0,IPMT('Assumptions (Hydro)'!$V$6,Model!AE$1,'Assumptions (Hydro)'!$V$9,'Assumptions (Hydro)'!$V$4*Model!$R$1354*AVERAGE('Assumptions (Hydro)'!$N$2:$P$2)/10^9),0)</f>
        <v>0</v>
      </c>
      <c r="AA1478" s="177">
        <f>IF($R$1354&gt;0,IPMT('Assumptions (Hydro)'!$V$6,Model!AF$1,'Assumptions (Hydro)'!$V$9,'Assumptions (Hydro)'!$V$4*Model!$R$1354*AVERAGE('Assumptions (Hydro)'!$N$2:$P$2)/10^9),0)</f>
        <v>0</v>
      </c>
      <c r="AB1478" s="177">
        <f>IF($R$1354&gt;0,IPMT('Assumptions (Hydro)'!$V$6,Model!AG$1,'Assumptions (Hydro)'!$V$9,'Assumptions (Hydro)'!$V$4*Model!$R$1354*AVERAGE('Assumptions (Hydro)'!$N$2:$P$2)/10^9),0)</f>
        <v>0</v>
      </c>
      <c r="AC1478" s="177">
        <f>IF($R$1354&gt;0,IPMT('Assumptions (Hydro)'!$V$6,Model!AH$1,'Assumptions (Hydro)'!$V$9,'Assumptions (Hydro)'!$V$4*Model!$R$1354*AVERAGE('Assumptions (Hydro)'!$N$2:$P$2)/10^9),0)</f>
        <v>0</v>
      </c>
      <c r="AD1478" s="177">
        <f>IF($R$1354&gt;0,IPMT('Assumptions (Hydro)'!$V$6,Model!AI$1,'Assumptions (Hydro)'!$V$9,'Assumptions (Hydro)'!$V$4*Model!$R$1354*AVERAGE('Assumptions (Hydro)'!$N$2:$P$2)/10^9),0)</f>
        <v>0</v>
      </c>
      <c r="AE1478" s="177">
        <f>IF($R$1354&gt;0,IPMT('Assumptions (Hydro)'!$V$6,Model!AJ$1,'Assumptions (Hydro)'!$V$9,'Assumptions (Hydro)'!$V$4*Model!$R$1354*AVERAGE('Assumptions (Hydro)'!$N$2:$P$2)/10^9),0)</f>
        <v>0</v>
      </c>
      <c r="AF1478" s="177">
        <f>IF($R$1354&gt;0,IPMT('Assumptions (Hydro)'!$V$6,Model!AK$1,'Assumptions (Hydro)'!$V$9,'Assumptions (Hydro)'!$V$4*Model!$R$1354*AVERAGE('Assumptions (Hydro)'!$N$2:$P$2)/10^9),0)</f>
        <v>0</v>
      </c>
      <c r="AG1478" s="177"/>
      <c r="AH1478" s="177"/>
      <c r="AI1478" s="177"/>
      <c r="AJ1478" s="177"/>
      <c r="AK1478" s="177"/>
      <c r="AL1478" s="177"/>
      <c r="AM1478" s="177"/>
      <c r="AN1478" s="177"/>
      <c r="AO1478" s="177"/>
      <c r="AP1478" s="177"/>
    </row>
    <row r="1479" ht="15.75" hidden="1" customHeight="1" outlineLevel="1">
      <c r="A1479" s="273"/>
      <c r="B1479" s="38"/>
      <c r="C1479" s="160"/>
      <c r="D1479" s="160"/>
      <c r="E1479" s="160"/>
      <c r="F1479" s="160"/>
      <c r="G1479" s="160"/>
      <c r="H1479" s="160"/>
      <c r="I1479" s="160"/>
      <c r="J1479" s="160"/>
      <c r="K1479" s="160"/>
      <c r="L1479" s="160"/>
      <c r="M1479" s="160"/>
      <c r="N1479" s="160"/>
      <c r="O1479" s="160"/>
      <c r="P1479" s="179"/>
      <c r="Q1479" s="160"/>
      <c r="R1479" s="177"/>
      <c r="S1479" s="160">
        <f>IF($S$1354&gt;0,IPMT('Assumptions (Hydro)'!$V$6,Model!W$1,'Assumptions (Hydro)'!$V$9,'Assumptions (Hydro)'!$V$4*Model!$S$1354*AVERAGE('Assumptions (Hydro)'!$O$2:$Q$2)/10^9),0)</f>
        <v>0</v>
      </c>
      <c r="T1479" s="160">
        <f>IF($S$1354&gt;0,IPMT('Assumptions (Hydro)'!$V$6,Model!X$1,'Assumptions (Hydro)'!$V$9,'Assumptions (Hydro)'!$V$4*Model!$S$1354*AVERAGE('Assumptions (Hydro)'!$O$2:$Q$2)/10^9),0)</f>
        <v>0</v>
      </c>
      <c r="U1479" s="160">
        <f>IF($S$1354&gt;0,IPMT('Assumptions (Hydro)'!$V$6,Model!Y$1,'Assumptions (Hydro)'!$V$9,'Assumptions (Hydro)'!$V$4*Model!$S$1354*AVERAGE('Assumptions (Hydro)'!$O$2:$Q$2)/10^9),0)</f>
        <v>0</v>
      </c>
      <c r="V1479" s="160">
        <f>IF($S$1354&gt;0,IPMT('Assumptions (Hydro)'!$V$6,Model!Z$1,'Assumptions (Hydro)'!$V$9,'Assumptions (Hydro)'!$V$4*Model!$S$1354*AVERAGE('Assumptions (Hydro)'!$O$2:$Q$2)/10^9),0)</f>
        <v>0</v>
      </c>
      <c r="W1479" s="160">
        <f>IF($S$1354&gt;0,IPMT('Assumptions (Hydro)'!$V$6,Model!AA$1,'Assumptions (Hydro)'!$V$9,'Assumptions (Hydro)'!$V$4*Model!$S$1354*AVERAGE('Assumptions (Hydro)'!$O$2:$Q$2)/10^9),0)</f>
        <v>0</v>
      </c>
      <c r="X1479" s="160">
        <f>IF($S$1354&gt;0,IPMT('Assumptions (Hydro)'!$V$6,Model!AB$1,'Assumptions (Hydro)'!$V$9,'Assumptions (Hydro)'!$V$4*Model!$S$1354*AVERAGE('Assumptions (Hydro)'!$O$2:$Q$2)/10^9),0)</f>
        <v>0</v>
      </c>
      <c r="Y1479" s="160">
        <f>IF($S$1354&gt;0,IPMT('Assumptions (Hydro)'!$V$6,Model!AC$1,'Assumptions (Hydro)'!$V$9,'Assumptions (Hydro)'!$V$4*Model!$S$1354*AVERAGE('Assumptions (Hydro)'!$O$2:$Q$2)/10^9),0)</f>
        <v>0</v>
      </c>
      <c r="Z1479" s="160">
        <f>IF($S$1354&gt;0,IPMT('Assumptions (Hydro)'!$V$6,Model!AD$1,'Assumptions (Hydro)'!$V$9,'Assumptions (Hydro)'!$V$4*Model!$S$1354*AVERAGE('Assumptions (Hydro)'!$O$2:$Q$2)/10^9),0)</f>
        <v>0</v>
      </c>
      <c r="AA1479" s="160">
        <f>IF($S$1354&gt;0,IPMT('Assumptions (Hydro)'!$V$6,Model!AE$1,'Assumptions (Hydro)'!$V$9,'Assumptions (Hydro)'!$V$4*Model!$S$1354*AVERAGE('Assumptions (Hydro)'!$O$2:$Q$2)/10^9),0)</f>
        <v>0</v>
      </c>
      <c r="AB1479" s="160">
        <f>IF($S$1354&gt;0,IPMT('Assumptions (Hydro)'!$V$6,Model!AF$1,'Assumptions (Hydro)'!$V$9,'Assumptions (Hydro)'!$V$4*Model!$S$1354*AVERAGE('Assumptions (Hydro)'!$O$2:$Q$2)/10^9),0)</f>
        <v>0</v>
      </c>
      <c r="AC1479" s="160">
        <f>IF($S$1354&gt;0,IPMT('Assumptions (Hydro)'!$V$6,Model!AG$1,'Assumptions (Hydro)'!$V$9,'Assumptions (Hydro)'!$V$4*Model!$S$1354*AVERAGE('Assumptions (Hydro)'!$O$2:$Q$2)/10^9),0)</f>
        <v>0</v>
      </c>
      <c r="AD1479" s="160">
        <f>IF($S$1354&gt;0,IPMT('Assumptions (Hydro)'!$V$6,Model!AH$1,'Assumptions (Hydro)'!$V$9,'Assumptions (Hydro)'!$V$4*Model!$S$1354*AVERAGE('Assumptions (Hydro)'!$O$2:$Q$2)/10^9),0)</f>
        <v>0</v>
      </c>
      <c r="AE1479" s="160">
        <f>IF($S$1354&gt;0,IPMT('Assumptions (Hydro)'!$V$6,Model!AI$1,'Assumptions (Hydro)'!$V$9,'Assumptions (Hydro)'!$V$4*Model!$S$1354*AVERAGE('Assumptions (Hydro)'!$O$2:$Q$2)/10^9),0)</f>
        <v>0</v>
      </c>
      <c r="AF1479" s="160">
        <f>IF($S$1354&gt;0,IPMT('Assumptions (Hydro)'!$V$6,Model!AJ$1,'Assumptions (Hydro)'!$V$9,'Assumptions (Hydro)'!$V$4*Model!$S$1354*AVERAGE('Assumptions (Hydro)'!$O$2:$Q$2)/10^9),0)</f>
        <v>0</v>
      </c>
      <c r="AG1479" s="160">
        <f>IF($S$1354&gt;0,IPMT('Assumptions (Hydro)'!$V$6,Model!AK$1,'Assumptions (Hydro)'!$V$9,'Assumptions (Hydro)'!$V$4*Model!$S$1354*AVERAGE('Assumptions (Hydro)'!$O$2:$Q$2)/10^9),0)</f>
        <v>0</v>
      </c>
      <c r="AH1479" s="160"/>
      <c r="AI1479" s="160"/>
      <c r="AJ1479" s="160"/>
      <c r="AK1479" s="160"/>
      <c r="AL1479" s="160"/>
      <c r="AM1479" s="160"/>
      <c r="AN1479" s="160"/>
      <c r="AO1479" s="160"/>
      <c r="AP1479" s="160"/>
      <c r="AQ1479" s="160"/>
    </row>
    <row r="1480" ht="15.75" hidden="1" customHeight="1" outlineLevel="1">
      <c r="A1480" s="273"/>
      <c r="B1480" s="38"/>
      <c r="C1480" s="160"/>
      <c r="D1480" s="160"/>
      <c r="E1480" s="160"/>
      <c r="F1480" s="160"/>
      <c r="G1480" s="160"/>
      <c r="H1480" s="160"/>
      <c r="I1480" s="160"/>
      <c r="J1480" s="160"/>
      <c r="K1480" s="160"/>
      <c r="L1480" s="160"/>
      <c r="M1480" s="160"/>
      <c r="N1480" s="160"/>
      <c r="O1480" s="160"/>
      <c r="P1480" s="179"/>
      <c r="Q1480" s="160"/>
      <c r="R1480" s="177"/>
      <c r="S1480" s="177"/>
      <c r="T1480" s="160">
        <f>IF($T$1354&gt;0,IPMT('Assumptions (Hydro)'!$V$6,Model!W$1,'Assumptions (Hydro)'!$V$9,'Assumptions (Hydro)'!$V$4*Model!$T$1354*AVERAGE('Assumptions (Hydro)'!$P$2:$R$2)/10^9),0)</f>
        <v>0</v>
      </c>
      <c r="U1480" s="160">
        <f>IF($T$1354&gt;0,IPMT('Assumptions (Hydro)'!$V$6,Model!X$1,'Assumptions (Hydro)'!$V$9,'Assumptions (Hydro)'!$V$4*Model!$T$1354*AVERAGE('Assumptions (Hydro)'!$P$2:$R$2)/10^9),0)</f>
        <v>0</v>
      </c>
      <c r="V1480" s="160">
        <f>IF($T$1354&gt;0,IPMT('Assumptions (Hydro)'!$V$6,Model!Y$1,'Assumptions (Hydro)'!$V$9,'Assumptions (Hydro)'!$V$4*Model!$T$1354*AVERAGE('Assumptions (Hydro)'!$P$2:$R$2)/10^9),0)</f>
        <v>0</v>
      </c>
      <c r="W1480" s="160">
        <f>IF($T$1354&gt;0,IPMT('Assumptions (Hydro)'!$V$6,Model!Z$1,'Assumptions (Hydro)'!$V$9,'Assumptions (Hydro)'!$V$4*Model!$T$1354*AVERAGE('Assumptions (Hydro)'!$P$2:$R$2)/10^9),0)</f>
        <v>0</v>
      </c>
      <c r="X1480" s="160">
        <f>IF($T$1354&gt;0,IPMT('Assumptions (Hydro)'!$V$6,Model!AA$1,'Assumptions (Hydro)'!$V$9,'Assumptions (Hydro)'!$V$4*Model!$T$1354*AVERAGE('Assumptions (Hydro)'!$P$2:$R$2)/10^9),0)</f>
        <v>0</v>
      </c>
      <c r="Y1480" s="160">
        <f>IF($T$1354&gt;0,IPMT('Assumptions (Hydro)'!$V$6,Model!AB$1,'Assumptions (Hydro)'!$V$9,'Assumptions (Hydro)'!$V$4*Model!$T$1354*AVERAGE('Assumptions (Hydro)'!$P$2:$R$2)/10^9),0)</f>
        <v>0</v>
      </c>
      <c r="Z1480" s="160">
        <f>IF($T$1354&gt;0,IPMT('Assumptions (Hydro)'!$V$6,Model!AC$1,'Assumptions (Hydro)'!$V$9,'Assumptions (Hydro)'!$V$4*Model!$T$1354*AVERAGE('Assumptions (Hydro)'!$P$2:$R$2)/10^9),0)</f>
        <v>0</v>
      </c>
      <c r="AA1480" s="160">
        <f>IF($T$1354&gt;0,IPMT('Assumptions (Hydro)'!$V$6,Model!AD$1,'Assumptions (Hydro)'!$V$9,'Assumptions (Hydro)'!$V$4*Model!$T$1354*AVERAGE('Assumptions (Hydro)'!$P$2:$R$2)/10^9),0)</f>
        <v>0</v>
      </c>
      <c r="AB1480" s="160">
        <f>IF($T$1354&gt;0,IPMT('Assumptions (Hydro)'!$V$6,Model!AE$1,'Assumptions (Hydro)'!$V$9,'Assumptions (Hydro)'!$V$4*Model!$T$1354*AVERAGE('Assumptions (Hydro)'!$P$2:$R$2)/10^9),0)</f>
        <v>0</v>
      </c>
      <c r="AC1480" s="160">
        <f>IF($T$1354&gt;0,IPMT('Assumptions (Hydro)'!$V$6,Model!AF$1,'Assumptions (Hydro)'!$V$9,'Assumptions (Hydro)'!$V$4*Model!$T$1354*AVERAGE('Assumptions (Hydro)'!$P$2:$R$2)/10^9),0)</f>
        <v>0</v>
      </c>
      <c r="AD1480" s="160">
        <f>IF($T$1354&gt;0,IPMT('Assumptions (Hydro)'!$V$6,Model!AG$1,'Assumptions (Hydro)'!$V$9,'Assumptions (Hydro)'!$V$4*Model!$T$1354*AVERAGE('Assumptions (Hydro)'!$P$2:$R$2)/10^9),0)</f>
        <v>0</v>
      </c>
      <c r="AE1480" s="160">
        <f>IF($T$1354&gt;0,IPMT('Assumptions (Hydro)'!$V$6,Model!AH$1,'Assumptions (Hydro)'!$V$9,'Assumptions (Hydro)'!$V$4*Model!$T$1354*AVERAGE('Assumptions (Hydro)'!$P$2:$R$2)/10^9),0)</f>
        <v>0</v>
      </c>
      <c r="AF1480" s="160">
        <f>IF($T$1354&gt;0,IPMT('Assumptions (Hydro)'!$V$6,Model!AI$1,'Assumptions (Hydro)'!$V$9,'Assumptions (Hydro)'!$V$4*Model!$T$1354*AVERAGE('Assumptions (Hydro)'!$P$2:$R$2)/10^9),0)</f>
        <v>0</v>
      </c>
      <c r="AG1480" s="160">
        <f>IF($T$1354&gt;0,IPMT('Assumptions (Hydro)'!$V$6,Model!AJ$1,'Assumptions (Hydro)'!$V$9,'Assumptions (Hydro)'!$V$4*Model!$T$1354*AVERAGE('Assumptions (Hydro)'!$P$2:$R$2)/10^9),0)</f>
        <v>0</v>
      </c>
      <c r="AH1480" s="160">
        <f>IF($T$1354&gt;0,IPMT('Assumptions (Hydro)'!$V$6,Model!AK$1,'Assumptions (Hydro)'!$V$9,'Assumptions (Hydro)'!$V$4*Model!$T$1354*AVERAGE('Assumptions (Hydro)'!$P$2:$R$2)/10^9),0)</f>
        <v>0</v>
      </c>
      <c r="AI1480" s="160"/>
      <c r="AJ1480" s="160"/>
      <c r="AK1480" s="160"/>
      <c r="AL1480" s="160"/>
      <c r="AM1480" s="160"/>
      <c r="AN1480" s="160"/>
      <c r="AO1480" s="160"/>
      <c r="AP1480" s="160"/>
      <c r="AQ1480" s="160"/>
      <c r="AR1480" s="160"/>
    </row>
    <row r="1481" ht="15.75" hidden="1" customHeight="1" outlineLevel="1">
      <c r="A1481" s="273"/>
      <c r="B1481" s="38"/>
      <c r="C1481" s="160"/>
      <c r="D1481" s="160"/>
      <c r="E1481" s="160"/>
      <c r="F1481" s="160"/>
      <c r="G1481" s="160"/>
      <c r="H1481" s="160"/>
      <c r="I1481" s="160"/>
      <c r="J1481" s="160"/>
      <c r="K1481" s="160"/>
      <c r="L1481" s="160"/>
      <c r="M1481" s="160"/>
      <c r="N1481" s="160"/>
      <c r="O1481" s="160"/>
      <c r="P1481" s="179"/>
      <c r="Q1481" s="160"/>
      <c r="R1481" s="177"/>
      <c r="S1481" s="177"/>
      <c r="T1481" s="177"/>
      <c r="U1481" s="160">
        <f>IF($U$1354&gt;0,IPMT('Assumptions (Hydro)'!$V$6,Model!W$1,'Assumptions (Hydro)'!$V$9,'Assumptions (Hydro)'!$V$4*Model!$U$1354*AVERAGE('Assumptions (Hydro)'!$Q$2:$S$2)/10^9),0)</f>
        <v>0</v>
      </c>
      <c r="V1481" s="160">
        <f>IF($U$1354&gt;0,IPMT('Assumptions (Hydro)'!$V$6,Model!X$1,'Assumptions (Hydro)'!$V$9,'Assumptions (Hydro)'!$V$4*Model!$U$1354*AVERAGE('Assumptions (Hydro)'!$Q$2:$S$2)/10^9),0)</f>
        <v>0</v>
      </c>
      <c r="W1481" s="160">
        <f>IF($U$1354&gt;0,IPMT('Assumptions (Hydro)'!$V$6,Model!Y$1,'Assumptions (Hydro)'!$V$9,'Assumptions (Hydro)'!$V$4*Model!$U$1354*AVERAGE('Assumptions (Hydro)'!$Q$2:$S$2)/10^9),0)</f>
        <v>0</v>
      </c>
      <c r="X1481" s="160">
        <f>IF($U$1354&gt;0,IPMT('Assumptions (Hydro)'!$V$6,Model!Z$1,'Assumptions (Hydro)'!$V$9,'Assumptions (Hydro)'!$V$4*Model!$U$1354*AVERAGE('Assumptions (Hydro)'!$Q$2:$S$2)/10^9),0)</f>
        <v>0</v>
      </c>
      <c r="Y1481" s="160">
        <f>IF($U$1354&gt;0,IPMT('Assumptions (Hydro)'!$V$6,Model!AA$1,'Assumptions (Hydro)'!$V$9,'Assumptions (Hydro)'!$V$4*Model!$U$1354*AVERAGE('Assumptions (Hydro)'!$Q$2:$S$2)/10^9),0)</f>
        <v>0</v>
      </c>
      <c r="Z1481" s="160">
        <f>IF($U$1354&gt;0,IPMT('Assumptions (Hydro)'!$V$6,Model!AB$1,'Assumptions (Hydro)'!$V$9,'Assumptions (Hydro)'!$V$4*Model!$U$1354*AVERAGE('Assumptions (Hydro)'!$Q$2:$S$2)/10^9),0)</f>
        <v>0</v>
      </c>
      <c r="AA1481" s="160">
        <f>IF($U$1354&gt;0,IPMT('Assumptions (Hydro)'!$V$6,Model!AC$1,'Assumptions (Hydro)'!$V$9,'Assumptions (Hydro)'!$V$4*Model!$U$1354*AVERAGE('Assumptions (Hydro)'!$Q$2:$S$2)/10^9),0)</f>
        <v>0</v>
      </c>
      <c r="AB1481" s="160">
        <f>IF($U$1354&gt;0,IPMT('Assumptions (Hydro)'!$V$6,Model!AD$1,'Assumptions (Hydro)'!$V$9,'Assumptions (Hydro)'!$V$4*Model!$U$1354*AVERAGE('Assumptions (Hydro)'!$Q$2:$S$2)/10^9),0)</f>
        <v>0</v>
      </c>
      <c r="AC1481" s="160">
        <f>IF($U$1354&gt;0,IPMT('Assumptions (Hydro)'!$V$6,Model!AE$1,'Assumptions (Hydro)'!$V$9,'Assumptions (Hydro)'!$V$4*Model!$U$1354*AVERAGE('Assumptions (Hydro)'!$Q$2:$S$2)/10^9),0)</f>
        <v>0</v>
      </c>
      <c r="AD1481" s="160">
        <f>IF($U$1354&gt;0,IPMT('Assumptions (Hydro)'!$V$6,Model!AF$1,'Assumptions (Hydro)'!$V$9,'Assumptions (Hydro)'!$V$4*Model!$U$1354*AVERAGE('Assumptions (Hydro)'!$Q$2:$S$2)/10^9),0)</f>
        <v>0</v>
      </c>
      <c r="AE1481" s="160">
        <f>IF($U$1354&gt;0,IPMT('Assumptions (Hydro)'!$V$6,Model!AG$1,'Assumptions (Hydro)'!$V$9,'Assumptions (Hydro)'!$V$4*Model!$U$1354*AVERAGE('Assumptions (Hydro)'!$Q$2:$S$2)/10^9),0)</f>
        <v>0</v>
      </c>
      <c r="AF1481" s="160">
        <f>IF($U$1354&gt;0,IPMT('Assumptions (Hydro)'!$V$6,Model!AH$1,'Assumptions (Hydro)'!$V$9,'Assumptions (Hydro)'!$V$4*Model!$U$1354*AVERAGE('Assumptions (Hydro)'!$Q$2:$S$2)/10^9),0)</f>
        <v>0</v>
      </c>
      <c r="AG1481" s="160">
        <f>IF($U$1354&gt;0,IPMT('Assumptions (Hydro)'!$V$6,Model!AI$1,'Assumptions (Hydro)'!$V$9,'Assumptions (Hydro)'!$V$4*Model!$U$1354*AVERAGE('Assumptions (Hydro)'!$Q$2:$S$2)/10^9),0)</f>
        <v>0</v>
      </c>
      <c r="AH1481" s="160">
        <f>IF($U$1354&gt;0,IPMT('Assumptions (Hydro)'!$V$6,Model!AJ$1,'Assumptions (Hydro)'!$V$9,'Assumptions (Hydro)'!$V$4*Model!$U$1354*AVERAGE('Assumptions (Hydro)'!$Q$2:$S$2)/10^9),0)</f>
        <v>0</v>
      </c>
      <c r="AI1481" s="160">
        <f>IF($U$1354&gt;0,IPMT('Assumptions (Hydro)'!$V$6,Model!AK$1,'Assumptions (Hydro)'!$V$9,'Assumptions (Hydro)'!$V$4*Model!$U$1354*AVERAGE('Assumptions (Hydro)'!$Q$2:$S$2)/10^9),0)</f>
        <v>0</v>
      </c>
      <c r="AJ1481" s="160"/>
      <c r="AK1481" s="160"/>
      <c r="AL1481" s="160"/>
      <c r="AM1481" s="160"/>
      <c r="AN1481" s="160"/>
      <c r="AO1481" s="160"/>
      <c r="AP1481" s="160"/>
      <c r="AQ1481" s="160"/>
      <c r="AR1481" s="160"/>
      <c r="AS1481" s="160"/>
    </row>
    <row r="1482" ht="15.75" hidden="1" customHeight="1" outlineLevel="1">
      <c r="A1482" s="273"/>
      <c r="B1482" s="38"/>
      <c r="C1482" s="160"/>
      <c r="D1482" s="160"/>
      <c r="E1482" s="160"/>
      <c r="F1482" s="160"/>
      <c r="G1482" s="160"/>
      <c r="H1482" s="160"/>
      <c r="I1482" s="160"/>
      <c r="J1482" s="160"/>
      <c r="K1482" s="160"/>
      <c r="L1482" s="160"/>
      <c r="M1482" s="160"/>
      <c r="N1482" s="160"/>
      <c r="O1482" s="160"/>
      <c r="P1482" s="179"/>
      <c r="Q1482" s="160"/>
      <c r="R1482" s="177"/>
      <c r="S1482" s="177"/>
      <c r="T1482" s="177"/>
      <c r="U1482" s="160"/>
      <c r="V1482" s="160">
        <f>IF($V$1354&gt;0,IPMT('Assumptions (Hydro)'!$V$6,Model!W$1,'Assumptions (Hydro)'!$V$9,'Assumptions (Hydro)'!$V$4*Model!$V$1354*AVERAGE('Assumptions (Hydro)'!$R$2:$T$2)/10^9),0)</f>
        <v>0</v>
      </c>
      <c r="W1482" s="160">
        <f>IF($V$1354&gt;0,IPMT('Assumptions (Hydro)'!$V$6,Model!X$1,'Assumptions (Hydro)'!$V$9,'Assumptions (Hydro)'!$V$4*Model!$V$1354*AVERAGE('Assumptions (Hydro)'!$R$2:$T$2)/10^9),0)</f>
        <v>0</v>
      </c>
      <c r="X1482" s="160">
        <f>IF($V$1354&gt;0,IPMT('Assumptions (Hydro)'!$V$6,Model!Y$1,'Assumptions (Hydro)'!$V$9,'Assumptions (Hydro)'!$V$4*Model!$V$1354*AVERAGE('Assumptions (Hydro)'!$R$2:$T$2)/10^9),0)</f>
        <v>0</v>
      </c>
      <c r="Y1482" s="160">
        <f>IF($V$1354&gt;0,IPMT('Assumptions (Hydro)'!$V$6,Model!Z$1,'Assumptions (Hydro)'!$V$9,'Assumptions (Hydro)'!$V$4*Model!$V$1354*AVERAGE('Assumptions (Hydro)'!$R$2:$T$2)/10^9),0)</f>
        <v>0</v>
      </c>
      <c r="Z1482" s="160">
        <f>IF($V$1354&gt;0,IPMT('Assumptions (Hydro)'!$V$6,Model!AA$1,'Assumptions (Hydro)'!$V$9,'Assumptions (Hydro)'!$V$4*Model!$V$1354*AVERAGE('Assumptions (Hydro)'!$R$2:$T$2)/10^9),0)</f>
        <v>0</v>
      </c>
      <c r="AA1482" s="160">
        <f>IF($V$1354&gt;0,IPMT('Assumptions (Hydro)'!$V$6,Model!AB$1,'Assumptions (Hydro)'!$V$9,'Assumptions (Hydro)'!$V$4*Model!$V$1354*AVERAGE('Assumptions (Hydro)'!$R$2:$T$2)/10^9),0)</f>
        <v>0</v>
      </c>
      <c r="AB1482" s="160">
        <f>IF($V$1354&gt;0,IPMT('Assumptions (Hydro)'!$V$6,Model!AC$1,'Assumptions (Hydro)'!$V$9,'Assumptions (Hydro)'!$V$4*Model!$V$1354*AVERAGE('Assumptions (Hydro)'!$R$2:$T$2)/10^9),0)</f>
        <v>0</v>
      </c>
      <c r="AC1482" s="160">
        <f>IF($V$1354&gt;0,IPMT('Assumptions (Hydro)'!$V$6,Model!AD$1,'Assumptions (Hydro)'!$V$9,'Assumptions (Hydro)'!$V$4*Model!$V$1354*AVERAGE('Assumptions (Hydro)'!$R$2:$T$2)/10^9),0)</f>
        <v>0</v>
      </c>
      <c r="AD1482" s="160">
        <f>IF($V$1354&gt;0,IPMT('Assumptions (Hydro)'!$V$6,Model!AE$1,'Assumptions (Hydro)'!$V$9,'Assumptions (Hydro)'!$V$4*Model!$V$1354*AVERAGE('Assumptions (Hydro)'!$R$2:$T$2)/10^9),0)</f>
        <v>0</v>
      </c>
      <c r="AE1482" s="160">
        <f>IF($V$1354&gt;0,IPMT('Assumptions (Hydro)'!$V$6,Model!AF$1,'Assumptions (Hydro)'!$V$9,'Assumptions (Hydro)'!$V$4*Model!$V$1354*AVERAGE('Assumptions (Hydro)'!$R$2:$T$2)/10^9),0)</f>
        <v>0</v>
      </c>
      <c r="AF1482" s="160">
        <f>IF($V$1354&gt;0,IPMT('Assumptions (Hydro)'!$V$6,Model!AG$1,'Assumptions (Hydro)'!$V$9,'Assumptions (Hydro)'!$V$4*Model!$V$1354*AVERAGE('Assumptions (Hydro)'!$R$2:$T$2)/10^9),0)</f>
        <v>0</v>
      </c>
      <c r="AG1482" s="160">
        <f>IF($V$1354&gt;0,IPMT('Assumptions (Hydro)'!$V$6,Model!AH$1,'Assumptions (Hydro)'!$V$9,'Assumptions (Hydro)'!$V$4*Model!$V$1354*AVERAGE('Assumptions (Hydro)'!$R$2:$T$2)/10^9),0)</f>
        <v>0</v>
      </c>
      <c r="AH1482" s="160">
        <f>IF($V$1354&gt;0,IPMT('Assumptions (Hydro)'!$V$6,Model!AI$1,'Assumptions (Hydro)'!$V$9,'Assumptions (Hydro)'!$V$4*Model!$V$1354*AVERAGE('Assumptions (Hydro)'!$R$2:$T$2)/10^9),0)</f>
        <v>0</v>
      </c>
      <c r="AI1482" s="160">
        <f>IF($V$1354&gt;0,IPMT('Assumptions (Hydro)'!$V$6,Model!AJ$1,'Assumptions (Hydro)'!$V$9,'Assumptions (Hydro)'!$V$4*Model!$V$1354*AVERAGE('Assumptions (Hydro)'!$R$2:$T$2)/10^9),0)</f>
        <v>0</v>
      </c>
      <c r="AJ1482" s="160">
        <f>IF($V$1354&gt;0,IPMT('Assumptions (Hydro)'!$V$6,Model!AK$1,'Assumptions (Hydro)'!$V$9,'Assumptions (Hydro)'!$V$4*Model!$V$1354*AVERAGE('Assumptions (Hydro)'!$R$2:$T$2)/10^9),0)</f>
        <v>0</v>
      </c>
      <c r="AK1482" s="160"/>
      <c r="AL1482" s="160"/>
      <c r="AM1482" s="160"/>
      <c r="AN1482" s="160"/>
      <c r="AO1482" s="160"/>
      <c r="AP1482" s="160"/>
      <c r="AQ1482" s="160"/>
      <c r="AR1482" s="160"/>
      <c r="AS1482" s="160"/>
      <c r="AT1482" s="160"/>
    </row>
    <row r="1483" ht="15.75" hidden="1" customHeight="1" outlineLevel="1">
      <c r="A1483" s="273"/>
      <c r="B1483" s="38"/>
      <c r="C1483" s="174"/>
      <c r="D1483" s="174"/>
      <c r="E1483" s="174"/>
      <c r="F1483" s="174"/>
      <c r="G1483" s="174"/>
      <c r="H1483" s="174"/>
      <c r="I1483" s="174"/>
      <c r="J1483" s="174"/>
      <c r="K1483" s="174"/>
      <c r="L1483" s="174"/>
      <c r="M1483" s="174"/>
      <c r="N1483" s="174"/>
      <c r="O1483" s="174"/>
      <c r="P1483" s="174"/>
      <c r="Q1483" s="174"/>
      <c r="R1483" s="174"/>
      <c r="S1483" s="174"/>
      <c r="T1483" s="174"/>
      <c r="U1483" s="174"/>
      <c r="V1483" s="174"/>
      <c r="W1483" s="160">
        <f>IF($W$1354&gt;0,IPMT('Assumptions (Hydro)'!$V$6,Model!W$1,'Assumptions (Hydro)'!$V$9,'Assumptions (Hydro)'!$V$4*Model!$W$1354*average('Assumptions (Hydro)'!$S$2:$U$2)/10^9),0)</f>
        <v>0</v>
      </c>
      <c r="X1483" s="160">
        <f>IF($W$1354&gt;0,IPMT('Assumptions (Hydro)'!$V$6,Model!X$1,'Assumptions (Hydro)'!$V$9,'Assumptions (Hydro)'!$V$4*Model!$W$1354*average('Assumptions (Hydro)'!$S$2:$U$2)/10^9),0)</f>
        <v>0</v>
      </c>
      <c r="Y1483" s="160">
        <f>IF($W$1354&gt;0,IPMT('Assumptions (Hydro)'!$V$6,Model!Y$1,'Assumptions (Hydro)'!$V$9,'Assumptions (Hydro)'!$V$4*Model!$W$1354*average('Assumptions (Hydro)'!$S$2:$U$2)/10^9),0)</f>
        <v>0</v>
      </c>
      <c r="Z1483" s="160">
        <f>IF($W$1354&gt;0,IPMT('Assumptions (Hydro)'!$V$6,Model!Z$1,'Assumptions (Hydro)'!$V$9,'Assumptions (Hydro)'!$V$4*Model!$W$1354*average('Assumptions (Hydro)'!$S$2:$U$2)/10^9),0)</f>
        <v>0</v>
      </c>
      <c r="AA1483" s="160">
        <f>IF($W$1354&gt;0,IPMT('Assumptions (Hydro)'!$V$6,Model!AA$1,'Assumptions (Hydro)'!$V$9,'Assumptions (Hydro)'!$V$4*Model!$W$1354*average('Assumptions (Hydro)'!$S$2:$U$2)/10^9),0)</f>
        <v>0</v>
      </c>
      <c r="AB1483" s="160">
        <f>IF($W$1354&gt;0,IPMT('Assumptions (Hydro)'!$V$6,Model!AB$1,'Assumptions (Hydro)'!$V$9,'Assumptions (Hydro)'!$V$4*Model!$W$1354*average('Assumptions (Hydro)'!$S$2:$U$2)/10^9),0)</f>
        <v>0</v>
      </c>
      <c r="AC1483" s="160">
        <f>IF($W$1354&gt;0,IPMT('Assumptions (Hydro)'!$V$6,Model!AC$1,'Assumptions (Hydro)'!$V$9,'Assumptions (Hydro)'!$V$4*Model!$W$1354*average('Assumptions (Hydro)'!$S$2:$U$2)/10^9),0)</f>
        <v>0</v>
      </c>
      <c r="AD1483" s="160">
        <f>IF($W$1354&gt;0,IPMT('Assumptions (Hydro)'!$V$6,Model!AD$1,'Assumptions (Hydro)'!$V$9,'Assumptions (Hydro)'!$V$4*Model!$W$1354*average('Assumptions (Hydro)'!$S$2:$U$2)/10^9),0)</f>
        <v>0</v>
      </c>
      <c r="AE1483" s="160">
        <f>IF($W$1354&gt;0,IPMT('Assumptions (Hydro)'!$V$6,Model!AE$1,'Assumptions (Hydro)'!$V$9,'Assumptions (Hydro)'!$V$4*Model!$W$1354*average('Assumptions (Hydro)'!$S$2:$U$2)/10^9),0)</f>
        <v>0</v>
      </c>
      <c r="AF1483" s="160">
        <f>IF($W$1354&gt;0,IPMT('Assumptions (Hydro)'!$V$6,Model!AF$1,'Assumptions (Hydro)'!$V$9,'Assumptions (Hydro)'!$V$4*Model!$W$1354*average('Assumptions (Hydro)'!$S$2:$U$2)/10^9),0)</f>
        <v>0</v>
      </c>
      <c r="AG1483" s="160">
        <f>IF($W$1354&gt;0,IPMT('Assumptions (Hydro)'!$V$6,Model!AG$1,'Assumptions (Hydro)'!$V$9,'Assumptions (Hydro)'!$V$4*Model!$W$1354*average('Assumptions (Hydro)'!$S$2:$U$2)/10^9),0)</f>
        <v>0</v>
      </c>
      <c r="AH1483" s="160">
        <f>IF($W$1354&gt;0,IPMT('Assumptions (Hydro)'!$V$6,Model!AH$1,'Assumptions (Hydro)'!$V$9,'Assumptions (Hydro)'!$V$4*Model!$W$1354*average('Assumptions (Hydro)'!$S$2:$U$2)/10^9),0)</f>
        <v>0</v>
      </c>
      <c r="AI1483" s="160">
        <f>IF($W$1354&gt;0,IPMT('Assumptions (Hydro)'!$V$6,Model!AI$1,'Assumptions (Hydro)'!$V$9,'Assumptions (Hydro)'!$V$4*Model!$W$1354*average('Assumptions (Hydro)'!$S$2:$U$2)/10^9),0)</f>
        <v>0</v>
      </c>
      <c r="AJ1483" s="160">
        <f>IF($W$1354&gt;0,IPMT('Assumptions (Hydro)'!$V$6,Model!AJ$1,'Assumptions (Hydro)'!$V$9,'Assumptions (Hydro)'!$V$4*Model!$W$1354*average('Assumptions (Hydro)'!$S$2:$U$2)/10^9),0)</f>
        <v>0</v>
      </c>
      <c r="AK1483" s="160">
        <f>IF($W$1354&gt;0,IPMT('Assumptions (Hydro)'!$V$6,Model!AK$1,'Assumptions (Hydro)'!$V$9,'Assumptions (Hydro)'!$V$4*Model!$W$1354*average('Assumptions (Hydro)'!$S$2:$U$2)/10^9),0)</f>
        <v>0</v>
      </c>
      <c r="AL1483" s="160"/>
      <c r="AM1483" s="160"/>
      <c r="AN1483" s="160"/>
      <c r="AO1483" s="160"/>
      <c r="AP1483" s="160"/>
      <c r="AQ1483" s="160"/>
      <c r="AR1483" s="160"/>
      <c r="AS1483" s="160"/>
      <c r="AT1483" s="160"/>
      <c r="AU1483" s="160"/>
      <c r="AV1483" s="160"/>
      <c r="AW1483" s="160"/>
      <c r="AX1483" s="160"/>
      <c r="AY1483" s="160"/>
      <c r="AZ1483" s="160"/>
      <c r="BA1483" s="160"/>
    </row>
    <row r="1484" ht="15.75" hidden="1" customHeight="1" outlineLevel="1">
      <c r="A1484" s="273"/>
      <c r="B1484" s="38"/>
      <c r="C1484" s="174"/>
      <c r="D1484" s="174"/>
      <c r="E1484" s="174"/>
      <c r="F1484" s="174"/>
      <c r="G1484" s="174"/>
      <c r="H1484" s="174"/>
      <c r="I1484" s="174"/>
      <c r="J1484" s="174"/>
      <c r="K1484" s="174"/>
      <c r="L1484" s="174"/>
      <c r="M1484" s="174"/>
      <c r="N1484" s="174"/>
      <c r="O1484" s="174"/>
      <c r="P1484" s="174"/>
      <c r="Q1484" s="174"/>
      <c r="R1484" s="174"/>
      <c r="S1484" s="174"/>
      <c r="T1484" s="174"/>
      <c r="U1484" s="174"/>
      <c r="V1484" s="174"/>
      <c r="W1484" s="160"/>
      <c r="X1484" s="160">
        <f>IF($X$1354&gt;0,IPMT('Assumptions (Hydro)'!$V$6,Model!W$1,'Assumptions (Hydro)'!$V$9,'Assumptions (Hydro)'!$V$4*Model!$X$1354*average('Assumptions (Hydro)'!$T$2:$V$2)/10^9),0)</f>
        <v>0</v>
      </c>
      <c r="Y1484" s="160">
        <f>IF($X$1354&gt;0,IPMT('Assumptions (Hydro)'!$V$6,Model!X$1,'Assumptions (Hydro)'!$V$9,'Assumptions (Hydro)'!$V$4*Model!$X$1354*average('Assumptions (Hydro)'!$T$2:$V$2)/10^9),0)</f>
        <v>0</v>
      </c>
      <c r="Z1484" s="160">
        <f>IF($X$1354&gt;0,IPMT('Assumptions (Hydro)'!$V$6,Model!Y$1,'Assumptions (Hydro)'!$V$9,'Assumptions (Hydro)'!$V$4*Model!$X$1354*average('Assumptions (Hydro)'!$T$2:$V$2)/10^9),0)</f>
        <v>0</v>
      </c>
      <c r="AA1484" s="160">
        <f>IF($X$1354&gt;0,IPMT('Assumptions (Hydro)'!$V$6,Model!Z$1,'Assumptions (Hydro)'!$V$9,'Assumptions (Hydro)'!$V$4*Model!$X$1354*average('Assumptions (Hydro)'!$T$2:$V$2)/10^9),0)</f>
        <v>0</v>
      </c>
      <c r="AB1484" s="160">
        <f>IF($X$1354&gt;0,IPMT('Assumptions (Hydro)'!$V$6,Model!AA$1,'Assumptions (Hydro)'!$V$9,'Assumptions (Hydro)'!$V$4*Model!$X$1354*average('Assumptions (Hydro)'!$T$2:$V$2)/10^9),0)</f>
        <v>0</v>
      </c>
      <c r="AC1484" s="160">
        <f>IF($X$1354&gt;0,IPMT('Assumptions (Hydro)'!$V$6,Model!AB$1,'Assumptions (Hydro)'!$V$9,'Assumptions (Hydro)'!$V$4*Model!$X$1354*average('Assumptions (Hydro)'!$T$2:$V$2)/10^9),0)</f>
        <v>0</v>
      </c>
      <c r="AD1484" s="160">
        <f>IF($X$1354&gt;0,IPMT('Assumptions (Hydro)'!$V$6,Model!AC$1,'Assumptions (Hydro)'!$V$9,'Assumptions (Hydro)'!$V$4*Model!$X$1354*average('Assumptions (Hydro)'!$T$2:$V$2)/10^9),0)</f>
        <v>0</v>
      </c>
      <c r="AE1484" s="160">
        <f>IF($X$1354&gt;0,IPMT('Assumptions (Hydro)'!$V$6,Model!AD$1,'Assumptions (Hydro)'!$V$9,'Assumptions (Hydro)'!$V$4*Model!$X$1354*average('Assumptions (Hydro)'!$T$2:$V$2)/10^9),0)</f>
        <v>0</v>
      </c>
      <c r="AF1484" s="160">
        <f>IF($X$1354&gt;0,IPMT('Assumptions (Hydro)'!$V$6,Model!AE$1,'Assumptions (Hydro)'!$V$9,'Assumptions (Hydro)'!$V$4*Model!$X$1354*average('Assumptions (Hydro)'!$T$2:$V$2)/10^9),0)</f>
        <v>0</v>
      </c>
      <c r="AG1484" s="160">
        <f>IF($X$1354&gt;0,IPMT('Assumptions (Hydro)'!$V$6,Model!AF$1,'Assumptions (Hydro)'!$V$9,'Assumptions (Hydro)'!$V$4*Model!$X$1354*average('Assumptions (Hydro)'!$T$2:$V$2)/10^9),0)</f>
        <v>0</v>
      </c>
      <c r="AH1484" s="160">
        <f>IF($X$1354&gt;0,IPMT('Assumptions (Hydro)'!$V$6,Model!AG$1,'Assumptions (Hydro)'!$V$9,'Assumptions (Hydro)'!$V$4*Model!$X$1354*average('Assumptions (Hydro)'!$T$2:$V$2)/10^9),0)</f>
        <v>0</v>
      </c>
      <c r="AI1484" s="160">
        <f>IF($X$1354&gt;0,IPMT('Assumptions (Hydro)'!$V$6,Model!AH$1,'Assumptions (Hydro)'!$V$9,'Assumptions (Hydro)'!$V$4*Model!$X$1354*average('Assumptions (Hydro)'!$T$2:$V$2)/10^9),0)</f>
        <v>0</v>
      </c>
      <c r="AJ1484" s="160">
        <f>IF($X$1354&gt;0,IPMT('Assumptions (Hydro)'!$V$6,Model!AI$1,'Assumptions (Hydro)'!$V$9,'Assumptions (Hydro)'!$V$4*Model!$X$1354*average('Assumptions (Hydro)'!$T$2:$V$2)/10^9),0)</f>
        <v>0</v>
      </c>
      <c r="AK1484" s="160">
        <f>IF($X$1354&gt;0,IPMT('Assumptions (Hydro)'!$V$6,Model!AJ$1,'Assumptions (Hydro)'!$V$9,'Assumptions (Hydro)'!$V$4*Model!$X$1354*average('Assumptions (Hydro)'!$T$2:$V$2)/10^9),0)</f>
        <v>0</v>
      </c>
      <c r="AL1484" s="160">
        <f>IF($X$1354&gt;0,IPMT('Assumptions (Hydro)'!$V$6,Model!AK$1,'Assumptions (Hydro)'!$V$9,'Assumptions (Hydro)'!$V$4*Model!$X$1354*average('Assumptions (Hydro)'!$T$2:$V$2)/10^9),0)</f>
        <v>0</v>
      </c>
      <c r="AM1484" s="160"/>
      <c r="AN1484" s="160"/>
      <c r="AO1484" s="160"/>
      <c r="AP1484" s="160"/>
      <c r="AQ1484" s="160"/>
      <c r="AR1484" s="160"/>
      <c r="AS1484" s="160"/>
      <c r="AT1484" s="160"/>
      <c r="AU1484" s="160"/>
      <c r="AV1484" s="160"/>
      <c r="AW1484" s="160"/>
      <c r="AX1484" s="160"/>
      <c r="AY1484" s="160"/>
      <c r="AZ1484" s="160"/>
      <c r="BA1484" s="160"/>
    </row>
    <row r="1485" ht="15.75" hidden="1" customHeight="1" outlineLevel="1">
      <c r="A1485" s="273"/>
      <c r="B1485" s="38"/>
      <c r="C1485" s="174"/>
      <c r="D1485" s="174"/>
      <c r="E1485" s="174"/>
      <c r="F1485" s="174"/>
      <c r="G1485" s="174"/>
      <c r="H1485" s="174"/>
      <c r="I1485" s="174"/>
      <c r="J1485" s="174"/>
      <c r="K1485" s="174"/>
      <c r="L1485" s="174"/>
      <c r="M1485" s="174"/>
      <c r="N1485" s="174"/>
      <c r="O1485" s="174"/>
      <c r="P1485" s="174"/>
      <c r="Q1485" s="174"/>
      <c r="R1485" s="174"/>
      <c r="S1485" s="174"/>
      <c r="T1485" s="174"/>
      <c r="U1485" s="174"/>
      <c r="V1485" s="174"/>
      <c r="W1485" s="160"/>
      <c r="X1485" s="160"/>
      <c r="Y1485" s="160">
        <f>IF($Y$1354&gt;0,IPMT('Assumptions (Hydro)'!$V$6,Model!W$1,'Assumptions (Hydro)'!$V$9,'Assumptions (Hydro)'!$V$4*Model!$Y$1354*AVERAGE('Assumptions (Hydro)'!$U$2:$W$2)/10^9),0)</f>
        <v>0</v>
      </c>
      <c r="Z1485" s="160">
        <f>IF($Y$1354&gt;0,IPMT('Assumptions (Hydro)'!$V$6,Model!X$1,'Assumptions (Hydro)'!$V$9,'Assumptions (Hydro)'!$V$4*Model!$Y$1354*AVERAGE('Assumptions (Hydro)'!$U$2:$W$2)/10^9),0)</f>
        <v>0</v>
      </c>
      <c r="AA1485" s="160">
        <f>IF($Y$1354&gt;0,IPMT('Assumptions (Hydro)'!$V$6,Model!Y$1,'Assumptions (Hydro)'!$V$9,'Assumptions (Hydro)'!$V$4*Model!$Y$1354*AVERAGE('Assumptions (Hydro)'!$U$2:$W$2)/10^9),0)</f>
        <v>0</v>
      </c>
      <c r="AB1485" s="160">
        <f>IF($Y$1354&gt;0,IPMT('Assumptions (Hydro)'!$V$6,Model!Z$1,'Assumptions (Hydro)'!$V$9,'Assumptions (Hydro)'!$V$4*Model!$Y$1354*AVERAGE('Assumptions (Hydro)'!$U$2:$W$2)/10^9),0)</f>
        <v>0</v>
      </c>
      <c r="AC1485" s="160">
        <f>IF($Y$1354&gt;0,IPMT('Assumptions (Hydro)'!$V$6,Model!AA$1,'Assumptions (Hydro)'!$V$9,'Assumptions (Hydro)'!$V$4*Model!$Y$1354*AVERAGE('Assumptions (Hydro)'!$U$2:$W$2)/10^9),0)</f>
        <v>0</v>
      </c>
      <c r="AD1485" s="160">
        <f>IF($Y$1354&gt;0,IPMT('Assumptions (Hydro)'!$V$6,Model!AB$1,'Assumptions (Hydro)'!$V$9,'Assumptions (Hydro)'!$V$4*Model!$Y$1354*AVERAGE('Assumptions (Hydro)'!$U$2:$W$2)/10^9),0)</f>
        <v>0</v>
      </c>
      <c r="AE1485" s="160">
        <f>IF($Y$1354&gt;0,IPMT('Assumptions (Hydro)'!$V$6,Model!AC$1,'Assumptions (Hydro)'!$V$9,'Assumptions (Hydro)'!$V$4*Model!$Y$1354*AVERAGE('Assumptions (Hydro)'!$U$2:$W$2)/10^9),0)</f>
        <v>0</v>
      </c>
      <c r="AF1485" s="160">
        <f>IF($Y$1354&gt;0,IPMT('Assumptions (Hydro)'!$V$6,Model!AD$1,'Assumptions (Hydro)'!$V$9,'Assumptions (Hydro)'!$V$4*Model!$Y$1354*AVERAGE('Assumptions (Hydro)'!$U$2:$W$2)/10^9),0)</f>
        <v>0</v>
      </c>
      <c r="AG1485" s="160">
        <f>IF($Y$1354&gt;0,IPMT('Assumptions (Hydro)'!$V$6,Model!AE$1,'Assumptions (Hydro)'!$V$9,'Assumptions (Hydro)'!$V$4*Model!$Y$1354*AVERAGE('Assumptions (Hydro)'!$U$2:$W$2)/10^9),0)</f>
        <v>0</v>
      </c>
      <c r="AH1485" s="160">
        <f>IF($Y$1354&gt;0,IPMT('Assumptions (Hydro)'!$V$6,Model!AF$1,'Assumptions (Hydro)'!$V$9,'Assumptions (Hydro)'!$V$4*Model!$Y$1354*AVERAGE('Assumptions (Hydro)'!$U$2:$W$2)/10^9),0)</f>
        <v>0</v>
      </c>
      <c r="AI1485" s="160">
        <f>IF($Y$1354&gt;0,IPMT('Assumptions (Hydro)'!$V$6,Model!AG$1,'Assumptions (Hydro)'!$V$9,'Assumptions (Hydro)'!$V$4*Model!$Y$1354*AVERAGE('Assumptions (Hydro)'!$U$2:$W$2)/10^9),0)</f>
        <v>0</v>
      </c>
      <c r="AJ1485" s="160">
        <f>IF($Y$1354&gt;0,IPMT('Assumptions (Hydro)'!$V$6,Model!AH$1,'Assumptions (Hydro)'!$V$9,'Assumptions (Hydro)'!$V$4*Model!$Y$1354*AVERAGE('Assumptions (Hydro)'!$U$2:$W$2)/10^9),0)</f>
        <v>0</v>
      </c>
      <c r="AK1485" s="160">
        <f>IF($Y$1354&gt;0,IPMT('Assumptions (Hydro)'!$V$6,Model!AI$1,'Assumptions (Hydro)'!$V$9,'Assumptions (Hydro)'!$V$4*Model!$Y$1354*AVERAGE('Assumptions (Hydro)'!$U$2:$W$2)/10^9),0)</f>
        <v>0</v>
      </c>
      <c r="AL1485" s="160">
        <f>IF($Y$1354&gt;0,IPMT('Assumptions (Hydro)'!$V$6,Model!AJ$1,'Assumptions (Hydro)'!$V$9,'Assumptions (Hydro)'!$V$4*Model!$Y$1354*AVERAGE('Assumptions (Hydro)'!$U$2:$W$2)/10^9),0)</f>
        <v>0</v>
      </c>
      <c r="AM1485" s="160">
        <f>IF($Y$1354&gt;0,IPMT('Assumptions (Hydro)'!$V$6,Model!AK$1,'Assumptions (Hydro)'!$V$9,'Assumptions (Hydro)'!$V$4*Model!$Y$1354*AVERAGE('Assumptions (Hydro)'!$U$2:$W$2)/10^9),0)</f>
        <v>0</v>
      </c>
      <c r="AN1485" s="160"/>
      <c r="AO1485" s="160"/>
      <c r="AP1485" s="160"/>
      <c r="AQ1485" s="160"/>
      <c r="AR1485" s="160"/>
      <c r="AS1485" s="160"/>
      <c r="AT1485" s="160"/>
      <c r="AU1485" s="160"/>
      <c r="AV1485" s="160"/>
      <c r="AW1485" s="160"/>
      <c r="AX1485" s="160"/>
      <c r="AY1485" s="160"/>
      <c r="AZ1485" s="160"/>
      <c r="BA1485" s="160"/>
    </row>
    <row r="1486" ht="15.75" hidden="1" customHeight="1" outlineLevel="1">
      <c r="A1486" s="273"/>
      <c r="B1486" s="38"/>
      <c r="C1486" s="174"/>
      <c r="D1486" s="174"/>
      <c r="E1486" s="174"/>
      <c r="F1486" s="174"/>
      <c r="G1486" s="174"/>
      <c r="H1486" s="174"/>
      <c r="I1486" s="174"/>
      <c r="J1486" s="174"/>
      <c r="K1486" s="174"/>
      <c r="L1486" s="174"/>
      <c r="M1486" s="174"/>
      <c r="N1486" s="174"/>
      <c r="O1486" s="174"/>
      <c r="P1486" s="174"/>
      <c r="Q1486" s="174"/>
      <c r="R1486" s="174"/>
      <c r="S1486" s="174"/>
      <c r="T1486" s="174"/>
      <c r="U1486" s="174"/>
      <c r="V1486" s="174"/>
      <c r="W1486" s="160"/>
      <c r="X1486" s="160"/>
      <c r="Y1486" s="160"/>
      <c r="Z1486" s="160">
        <f>IF($Z$1354&gt;0,IPMT('Assumptions (Hydro)'!$V$6,Model!W$1,'Assumptions (Hydro)'!$V$9,'Assumptions (Hydro)'!$V$4*Model!$Z$1354*AVERAGE('Assumptions (Hydro)'!$V$2:$X$2)/10^9),0)</f>
        <v>0</v>
      </c>
      <c r="AA1486" s="160">
        <f>IF($Z$1354&gt;0,IPMT('Assumptions (Hydro)'!$V$6,Model!X$1,'Assumptions (Hydro)'!$V$9,'Assumptions (Hydro)'!$V$4*Model!$Z$1354*AVERAGE('Assumptions (Hydro)'!$V$2:$X$2)/10^9),0)</f>
        <v>0</v>
      </c>
      <c r="AB1486" s="160">
        <f>IF($Z$1354&gt;0,IPMT('Assumptions (Hydro)'!$V$6,Model!Y$1,'Assumptions (Hydro)'!$V$9,'Assumptions (Hydro)'!$V$4*Model!$Z$1354*AVERAGE('Assumptions (Hydro)'!$V$2:$X$2)/10^9),0)</f>
        <v>0</v>
      </c>
      <c r="AC1486" s="160">
        <f>IF($Z$1354&gt;0,IPMT('Assumptions (Hydro)'!$V$6,Model!Z$1,'Assumptions (Hydro)'!$V$9,'Assumptions (Hydro)'!$V$4*Model!$Z$1354*AVERAGE('Assumptions (Hydro)'!$V$2:$X$2)/10^9),0)</f>
        <v>0</v>
      </c>
      <c r="AD1486" s="160">
        <f>IF($Z$1354&gt;0,IPMT('Assumptions (Hydro)'!$V$6,Model!AA$1,'Assumptions (Hydro)'!$V$9,'Assumptions (Hydro)'!$V$4*Model!$Z$1354*AVERAGE('Assumptions (Hydro)'!$V$2:$X$2)/10^9),0)</f>
        <v>0</v>
      </c>
      <c r="AE1486" s="160">
        <f>IF($Z$1354&gt;0,IPMT('Assumptions (Hydro)'!$V$6,Model!AB$1,'Assumptions (Hydro)'!$V$9,'Assumptions (Hydro)'!$V$4*Model!$Z$1354*AVERAGE('Assumptions (Hydro)'!$V$2:$X$2)/10^9),0)</f>
        <v>0</v>
      </c>
      <c r="AF1486" s="160">
        <f>IF($Z$1354&gt;0,IPMT('Assumptions (Hydro)'!$V$6,Model!AC$1,'Assumptions (Hydro)'!$V$9,'Assumptions (Hydro)'!$V$4*Model!$Z$1354*AVERAGE('Assumptions (Hydro)'!$V$2:$X$2)/10^9),0)</f>
        <v>0</v>
      </c>
      <c r="AG1486" s="160">
        <f>IF($Z$1354&gt;0,IPMT('Assumptions (Hydro)'!$V$6,Model!AD$1,'Assumptions (Hydro)'!$V$9,'Assumptions (Hydro)'!$V$4*Model!$Z$1354*AVERAGE('Assumptions (Hydro)'!$V$2:$X$2)/10^9),0)</f>
        <v>0</v>
      </c>
      <c r="AH1486" s="160">
        <f>IF($Z$1354&gt;0,IPMT('Assumptions (Hydro)'!$V$6,Model!AE$1,'Assumptions (Hydro)'!$V$9,'Assumptions (Hydro)'!$V$4*Model!$Z$1354*AVERAGE('Assumptions (Hydro)'!$V$2:$X$2)/10^9),0)</f>
        <v>0</v>
      </c>
      <c r="AI1486" s="160">
        <f>IF($Z$1354&gt;0,IPMT('Assumptions (Hydro)'!$V$6,Model!AF$1,'Assumptions (Hydro)'!$V$9,'Assumptions (Hydro)'!$V$4*Model!$Z$1354*AVERAGE('Assumptions (Hydro)'!$V$2:$X$2)/10^9),0)</f>
        <v>0</v>
      </c>
      <c r="AJ1486" s="160">
        <f>IF($Z$1354&gt;0,IPMT('Assumptions (Hydro)'!$V$6,Model!AG$1,'Assumptions (Hydro)'!$V$9,'Assumptions (Hydro)'!$V$4*Model!$Z$1354*AVERAGE('Assumptions (Hydro)'!$V$2:$X$2)/10^9),0)</f>
        <v>0</v>
      </c>
      <c r="AK1486" s="160">
        <f>IF($Z$1354&gt;0,IPMT('Assumptions (Hydro)'!$V$6,Model!AH$1,'Assumptions (Hydro)'!$V$9,'Assumptions (Hydro)'!$V$4*Model!$Z$1354*AVERAGE('Assumptions (Hydro)'!$V$2:$X$2)/10^9),0)</f>
        <v>0</v>
      </c>
      <c r="AL1486" s="160">
        <f>IF($Z$1354&gt;0,IPMT('Assumptions (Hydro)'!$V$6,Model!AI$1,'Assumptions (Hydro)'!$V$9,'Assumptions (Hydro)'!$V$4*Model!$Z$1354*AVERAGE('Assumptions (Hydro)'!$V$2:$X$2)/10^9),0)</f>
        <v>0</v>
      </c>
      <c r="AM1486" s="160">
        <f>IF($Z$1354&gt;0,IPMT('Assumptions (Hydro)'!$V$6,Model!AJ$1,'Assumptions (Hydro)'!$V$9,'Assumptions (Hydro)'!$V$4*Model!$Z$1354*AVERAGE('Assumptions (Hydro)'!$V$2:$X$2)/10^9),0)</f>
        <v>0</v>
      </c>
      <c r="AN1486" s="160">
        <f>IF($Z$1354&gt;0,IPMT('Assumptions (Hydro)'!$V$6,Model!AK$1,'Assumptions (Hydro)'!$V$9,'Assumptions (Hydro)'!$V$4*Model!$Z$1354*AVERAGE('Assumptions (Hydro)'!$V$2:$X$2)/10^9),0)</f>
        <v>0</v>
      </c>
      <c r="AO1486" s="160"/>
      <c r="AP1486" s="160"/>
      <c r="AQ1486" s="160"/>
      <c r="AR1486" s="160"/>
      <c r="AS1486" s="160"/>
      <c r="AT1486" s="160"/>
      <c r="AU1486" s="160"/>
      <c r="AV1486" s="160"/>
      <c r="AW1486" s="160"/>
      <c r="AX1486" s="160"/>
      <c r="AY1486" s="160"/>
      <c r="AZ1486" s="160"/>
      <c r="BA1486" s="160"/>
    </row>
    <row r="1487" ht="15.75" hidden="1" customHeight="1" outlineLevel="1">
      <c r="A1487" s="273"/>
      <c r="B1487" s="38"/>
      <c r="C1487" s="174"/>
      <c r="D1487" s="174"/>
      <c r="E1487" s="174"/>
      <c r="F1487" s="174"/>
      <c r="G1487" s="174"/>
      <c r="H1487" s="174"/>
      <c r="I1487" s="174"/>
      <c r="J1487" s="174"/>
      <c r="K1487" s="174"/>
      <c r="L1487" s="174"/>
      <c r="M1487" s="174"/>
      <c r="N1487" s="174"/>
      <c r="O1487" s="174"/>
      <c r="P1487" s="174"/>
      <c r="Q1487" s="174"/>
      <c r="R1487" s="174"/>
      <c r="S1487" s="174"/>
      <c r="T1487" s="174"/>
      <c r="U1487" s="174"/>
      <c r="V1487" s="174"/>
      <c r="W1487" s="160"/>
      <c r="X1487" s="160"/>
      <c r="Y1487" s="160"/>
      <c r="Z1487" s="160"/>
      <c r="AA1487" s="160">
        <f>IF($AA$1354&gt;0,IPMT('Assumptions (Hydro)'!$V$6,Model!W$1,'Assumptions (Hydro)'!$V$9,'Assumptions (Hydro)'!$V$4*Model!$AA$1354*AVERAGE('Assumptions (Hydro)'!$W$2:$Y$2)/10^9),0)</f>
        <v>0</v>
      </c>
      <c r="AB1487" s="160">
        <f>IF($AA$1354&gt;0,IPMT('Assumptions (Hydro)'!$V$6,Model!X$1,'Assumptions (Hydro)'!$V$9,'Assumptions (Hydro)'!$V$4*Model!$AA$1354*AVERAGE('Assumptions (Hydro)'!$W$2:$Y$2)/10^9),0)</f>
        <v>0</v>
      </c>
      <c r="AC1487" s="160">
        <f>IF($AA$1354&gt;0,IPMT('Assumptions (Hydro)'!$V$6,Model!Y$1,'Assumptions (Hydro)'!$V$9,'Assumptions (Hydro)'!$V$4*Model!$AA$1354*AVERAGE('Assumptions (Hydro)'!$W$2:$Y$2)/10^9),0)</f>
        <v>0</v>
      </c>
      <c r="AD1487" s="160">
        <f>IF($AA$1354&gt;0,IPMT('Assumptions (Hydro)'!$V$6,Model!Z$1,'Assumptions (Hydro)'!$V$9,'Assumptions (Hydro)'!$V$4*Model!$AA$1354*AVERAGE('Assumptions (Hydro)'!$W$2:$Y$2)/10^9),0)</f>
        <v>0</v>
      </c>
      <c r="AE1487" s="160">
        <f>IF($AA$1354&gt;0,IPMT('Assumptions (Hydro)'!$V$6,Model!AA$1,'Assumptions (Hydro)'!$V$9,'Assumptions (Hydro)'!$V$4*Model!$AA$1354*AVERAGE('Assumptions (Hydro)'!$W$2:$Y$2)/10^9),0)</f>
        <v>0</v>
      </c>
      <c r="AF1487" s="160">
        <f>IF($AA$1354&gt;0,IPMT('Assumptions (Hydro)'!$V$6,Model!AB$1,'Assumptions (Hydro)'!$V$9,'Assumptions (Hydro)'!$V$4*Model!$AA$1354*AVERAGE('Assumptions (Hydro)'!$W$2:$Y$2)/10^9),0)</f>
        <v>0</v>
      </c>
      <c r="AG1487" s="160">
        <f>IF($AA$1354&gt;0,IPMT('Assumptions (Hydro)'!$V$6,Model!AC$1,'Assumptions (Hydro)'!$V$9,'Assumptions (Hydro)'!$V$4*Model!$AA$1354*AVERAGE('Assumptions (Hydro)'!$W$2:$Y$2)/10^9),0)</f>
        <v>0</v>
      </c>
      <c r="AH1487" s="160">
        <f>IF($AA$1354&gt;0,IPMT('Assumptions (Hydro)'!$V$6,Model!AD$1,'Assumptions (Hydro)'!$V$9,'Assumptions (Hydro)'!$V$4*Model!$AA$1354*AVERAGE('Assumptions (Hydro)'!$W$2:$Y$2)/10^9),0)</f>
        <v>0</v>
      </c>
      <c r="AI1487" s="160">
        <f>IF($AA$1354&gt;0,IPMT('Assumptions (Hydro)'!$V$6,Model!AE$1,'Assumptions (Hydro)'!$V$9,'Assumptions (Hydro)'!$V$4*Model!$AA$1354*AVERAGE('Assumptions (Hydro)'!$W$2:$Y$2)/10^9),0)</f>
        <v>0</v>
      </c>
      <c r="AJ1487" s="160">
        <f>IF($AA$1354&gt;0,IPMT('Assumptions (Hydro)'!$V$6,Model!AF$1,'Assumptions (Hydro)'!$V$9,'Assumptions (Hydro)'!$V$4*Model!$AA$1354*AVERAGE('Assumptions (Hydro)'!$W$2:$Y$2)/10^9),0)</f>
        <v>0</v>
      </c>
      <c r="AK1487" s="160">
        <f>IF($AA$1354&gt;0,IPMT('Assumptions (Hydro)'!$V$6,Model!AG$1,'Assumptions (Hydro)'!$V$9,'Assumptions (Hydro)'!$V$4*Model!$AA$1354*AVERAGE('Assumptions (Hydro)'!$W$2:$Y$2)/10^9),0)</f>
        <v>0</v>
      </c>
      <c r="AL1487" s="160">
        <f>IF($AA$1354&gt;0,IPMT('Assumptions (Hydro)'!$V$6,Model!AH$1,'Assumptions (Hydro)'!$V$9,'Assumptions (Hydro)'!$V$4*Model!$AA$1354*AVERAGE('Assumptions (Hydro)'!$W$2:$Y$2)/10^9),0)</f>
        <v>0</v>
      </c>
      <c r="AM1487" s="160">
        <f>IF($AA$1354&gt;0,IPMT('Assumptions (Hydro)'!$V$6,Model!AI$1,'Assumptions (Hydro)'!$V$9,'Assumptions (Hydro)'!$V$4*Model!$AA$1354*AVERAGE('Assumptions (Hydro)'!$W$2:$Y$2)/10^9),0)</f>
        <v>0</v>
      </c>
      <c r="AN1487" s="160">
        <f>IF($AA$1354&gt;0,IPMT('Assumptions (Hydro)'!$V$6,Model!AJ$1,'Assumptions (Hydro)'!$V$9,'Assumptions (Hydro)'!$V$4*Model!$AA$1354*AVERAGE('Assumptions (Hydro)'!$W$2:$Y$2)/10^9),0)</f>
        <v>0</v>
      </c>
      <c r="AO1487" s="160">
        <f>IF($AA$1354&gt;0,IPMT('Assumptions (Hydro)'!$V$6,Model!AK$1,'Assumptions (Hydro)'!$V$9,'Assumptions (Hydro)'!$V$4*Model!$AA$1354*AVERAGE('Assumptions (Hydro)'!$W$2:$Y$2)/10^9),0)</f>
        <v>0</v>
      </c>
      <c r="AP1487" s="160"/>
      <c r="AQ1487" s="160"/>
      <c r="AR1487" s="160"/>
      <c r="AS1487" s="160"/>
      <c r="AT1487" s="160"/>
      <c r="AU1487" s="160"/>
      <c r="AV1487" s="160"/>
      <c r="AW1487" s="160"/>
      <c r="AX1487" s="160"/>
      <c r="AY1487" s="160"/>
      <c r="AZ1487" s="160"/>
      <c r="BA1487" s="160"/>
    </row>
    <row r="1488" ht="15.75" hidden="1" customHeight="1" outlineLevel="1">
      <c r="A1488" s="273"/>
      <c r="B1488" s="38"/>
      <c r="C1488" s="174"/>
      <c r="D1488" s="174"/>
      <c r="E1488" s="174"/>
      <c r="F1488" s="174"/>
      <c r="G1488" s="174"/>
      <c r="H1488" s="174"/>
      <c r="I1488" s="174"/>
      <c r="J1488" s="174"/>
      <c r="K1488" s="174"/>
      <c r="L1488" s="174"/>
      <c r="M1488" s="174"/>
      <c r="N1488" s="174"/>
      <c r="O1488" s="174"/>
      <c r="P1488" s="174"/>
      <c r="Q1488" s="174"/>
      <c r="R1488" s="174"/>
      <c r="S1488" s="174"/>
      <c r="T1488" s="174"/>
      <c r="U1488" s="174"/>
      <c r="V1488" s="174"/>
      <c r="W1488" s="160"/>
      <c r="X1488" s="160"/>
      <c r="Y1488" s="160"/>
      <c r="Z1488" s="160"/>
      <c r="AA1488" s="160"/>
      <c r="AB1488" s="160">
        <f>IF($AB$1354&gt;0,IPMT('Assumptions (Hydro)'!$V$6,Model!W$1,'Assumptions (Hydro)'!$V$9,'Assumptions (Hydro)'!$V$4*Model!$AB$1354*AVERAGE('Assumptions (Hydro)'!$X$2:$Z$2)/10^9),0)</f>
        <v>0</v>
      </c>
      <c r="AC1488" s="160">
        <f>IF($AB$1354&gt;0,IPMT('Assumptions (Hydro)'!$V$6,Model!X$1,'Assumptions (Hydro)'!$V$9,'Assumptions (Hydro)'!$V$4*Model!$AB$1354*AVERAGE('Assumptions (Hydro)'!$X$2:$Z$2)/10^9),0)</f>
        <v>0</v>
      </c>
      <c r="AD1488" s="160">
        <f>IF($AB$1354&gt;0,IPMT('Assumptions (Hydro)'!$V$6,Model!Y$1,'Assumptions (Hydro)'!$V$9,'Assumptions (Hydro)'!$V$4*Model!$AB$1354*AVERAGE('Assumptions (Hydro)'!$X$2:$Z$2)/10^9),0)</f>
        <v>0</v>
      </c>
      <c r="AE1488" s="160">
        <f>IF($AB$1354&gt;0,IPMT('Assumptions (Hydro)'!$V$6,Model!Z$1,'Assumptions (Hydro)'!$V$9,'Assumptions (Hydro)'!$V$4*Model!$AB$1354*AVERAGE('Assumptions (Hydro)'!$X$2:$Z$2)/10^9),0)</f>
        <v>0</v>
      </c>
      <c r="AF1488" s="160">
        <f>IF($AB$1354&gt;0,IPMT('Assumptions (Hydro)'!$V$6,Model!AA$1,'Assumptions (Hydro)'!$V$9,'Assumptions (Hydro)'!$V$4*Model!$AB$1354*AVERAGE('Assumptions (Hydro)'!$X$2:$Z$2)/10^9),0)</f>
        <v>0</v>
      </c>
      <c r="AG1488" s="160">
        <f>IF($AB$1354&gt;0,IPMT('Assumptions (Hydro)'!$V$6,Model!AB$1,'Assumptions (Hydro)'!$V$9,'Assumptions (Hydro)'!$V$4*Model!$AB$1354*AVERAGE('Assumptions (Hydro)'!$X$2:$Z$2)/10^9),0)</f>
        <v>0</v>
      </c>
      <c r="AH1488" s="160">
        <f>IF($AB$1354&gt;0,IPMT('Assumptions (Hydro)'!$V$6,Model!AC$1,'Assumptions (Hydro)'!$V$9,'Assumptions (Hydro)'!$V$4*Model!$AB$1354*AVERAGE('Assumptions (Hydro)'!$X$2:$Z$2)/10^9),0)</f>
        <v>0</v>
      </c>
      <c r="AI1488" s="160">
        <f>IF($AB$1354&gt;0,IPMT('Assumptions (Hydro)'!$V$6,Model!AD$1,'Assumptions (Hydro)'!$V$9,'Assumptions (Hydro)'!$V$4*Model!$AB$1354*AVERAGE('Assumptions (Hydro)'!$X$2:$Z$2)/10^9),0)</f>
        <v>0</v>
      </c>
      <c r="AJ1488" s="160">
        <f>IF($AB$1354&gt;0,IPMT('Assumptions (Hydro)'!$V$6,Model!AE$1,'Assumptions (Hydro)'!$V$9,'Assumptions (Hydro)'!$V$4*Model!$AB$1354*AVERAGE('Assumptions (Hydro)'!$X$2:$Z$2)/10^9),0)</f>
        <v>0</v>
      </c>
      <c r="AK1488" s="160">
        <f>IF($AB$1354&gt;0,IPMT('Assumptions (Hydro)'!$V$6,Model!AF$1,'Assumptions (Hydro)'!$V$9,'Assumptions (Hydro)'!$V$4*Model!$AB$1354*AVERAGE('Assumptions (Hydro)'!$X$2:$Z$2)/10^9),0)</f>
        <v>0</v>
      </c>
      <c r="AL1488" s="160">
        <f>IF($AB$1354&gt;0,IPMT('Assumptions (Hydro)'!$V$6,Model!AG$1,'Assumptions (Hydro)'!$V$9,'Assumptions (Hydro)'!$V$4*Model!$AB$1354*AVERAGE('Assumptions (Hydro)'!$X$2:$Z$2)/10^9),0)</f>
        <v>0</v>
      </c>
      <c r="AM1488" s="160">
        <f>IF($AB$1354&gt;0,IPMT('Assumptions (Hydro)'!$V$6,Model!AH$1,'Assumptions (Hydro)'!$V$9,'Assumptions (Hydro)'!$V$4*Model!$AB$1354*AVERAGE('Assumptions (Hydro)'!$X$2:$Z$2)/10^9),0)</f>
        <v>0</v>
      </c>
      <c r="AN1488" s="160">
        <f>IF($AB$1354&gt;0,IPMT('Assumptions (Hydro)'!$V$6,Model!AI$1,'Assumptions (Hydro)'!$V$9,'Assumptions (Hydro)'!$V$4*Model!$AB$1354*AVERAGE('Assumptions (Hydro)'!$X$2:$Z$2)/10^9),0)</f>
        <v>0</v>
      </c>
      <c r="AO1488" s="160">
        <f>IF($AB$1354&gt;0,IPMT('Assumptions (Hydro)'!$V$6,Model!AJ$1,'Assumptions (Hydro)'!$V$9,'Assumptions (Hydro)'!$V$4*Model!$AB$1354*AVERAGE('Assumptions (Hydro)'!$X$2:$Z$2)/10^9),0)</f>
        <v>0</v>
      </c>
      <c r="AP1488" s="160">
        <f>IF($AB$1354&gt;0,IPMT('Assumptions (Hydro)'!$V$6,Model!AK$1,'Assumptions (Hydro)'!$V$9,'Assumptions (Hydro)'!$V$4*Model!$AB$1354*AVERAGE('Assumptions (Hydro)'!$X$2:$Z$2)/10^9),0)</f>
        <v>0</v>
      </c>
      <c r="AQ1488" s="160"/>
      <c r="AR1488" s="160"/>
      <c r="AS1488" s="160"/>
      <c r="AT1488" s="160"/>
      <c r="AU1488" s="160"/>
      <c r="AV1488" s="160"/>
      <c r="AW1488" s="160"/>
      <c r="AX1488" s="160"/>
      <c r="AY1488" s="160"/>
      <c r="AZ1488" s="160"/>
      <c r="BA1488" s="160"/>
    </row>
    <row r="1489" ht="15.75" hidden="1" customHeight="1" outlineLevel="1">
      <c r="A1489" s="273"/>
      <c r="B1489" s="38"/>
      <c r="C1489" s="174"/>
      <c r="D1489" s="174"/>
      <c r="E1489" s="174"/>
      <c r="F1489" s="174"/>
      <c r="G1489" s="174"/>
      <c r="H1489" s="174"/>
      <c r="I1489" s="174"/>
      <c r="J1489" s="174"/>
      <c r="K1489" s="174"/>
      <c r="L1489" s="174"/>
      <c r="M1489" s="174"/>
      <c r="N1489" s="174"/>
      <c r="O1489" s="174"/>
      <c r="P1489" s="174"/>
      <c r="Q1489" s="174"/>
      <c r="R1489" s="174"/>
      <c r="S1489" s="174"/>
      <c r="T1489" s="174"/>
      <c r="U1489" s="174"/>
      <c r="V1489" s="174"/>
      <c r="W1489" s="160"/>
      <c r="X1489" s="160"/>
      <c r="Y1489" s="160"/>
      <c r="Z1489" s="160"/>
      <c r="AA1489" s="160"/>
      <c r="AB1489" s="160"/>
      <c r="AC1489" s="160">
        <f>IF($AC$1354&gt;0,IPMT('Assumptions (Hydro)'!$V$6,Model!W$1,'Assumptions (Hydro)'!$V$9,'Assumptions (Hydro)'!$V$4*Model!$AC$1354*AVERAGE('Assumptions (Hydro)'!$Y$2:$AA$2)/10^9),0)</f>
        <v>0</v>
      </c>
      <c r="AD1489" s="160">
        <f>IF($AC$1354&gt;0,IPMT('Assumptions (Hydro)'!$V$6,Model!X$1,'Assumptions (Hydro)'!$V$9,'Assumptions (Hydro)'!$V$4*Model!$AC$1354*AVERAGE('Assumptions (Hydro)'!$Y$2:$AA$2)/10^9),0)</f>
        <v>0</v>
      </c>
      <c r="AE1489" s="160">
        <f>IF($AC$1354&gt;0,IPMT('Assumptions (Hydro)'!$V$6,Model!Y$1,'Assumptions (Hydro)'!$V$9,'Assumptions (Hydro)'!$V$4*Model!$AC$1354*AVERAGE('Assumptions (Hydro)'!$Y$2:$AA$2)/10^9),0)</f>
        <v>0</v>
      </c>
      <c r="AF1489" s="160">
        <f>IF($AC$1354&gt;0,IPMT('Assumptions (Hydro)'!$V$6,Model!Z$1,'Assumptions (Hydro)'!$V$9,'Assumptions (Hydro)'!$V$4*Model!$AC$1354*AVERAGE('Assumptions (Hydro)'!$Y$2:$AA$2)/10^9),0)</f>
        <v>0</v>
      </c>
      <c r="AG1489" s="160">
        <f>IF($AC$1354&gt;0,IPMT('Assumptions (Hydro)'!$V$6,Model!AA$1,'Assumptions (Hydro)'!$V$9,'Assumptions (Hydro)'!$V$4*Model!$AC$1354*AVERAGE('Assumptions (Hydro)'!$Y$2:$AA$2)/10^9),0)</f>
        <v>0</v>
      </c>
      <c r="AH1489" s="160">
        <f>IF($AC$1354&gt;0,IPMT('Assumptions (Hydro)'!$V$6,Model!AB$1,'Assumptions (Hydro)'!$V$9,'Assumptions (Hydro)'!$V$4*Model!$AC$1354*AVERAGE('Assumptions (Hydro)'!$Y$2:$AA$2)/10^9),0)</f>
        <v>0</v>
      </c>
      <c r="AI1489" s="160">
        <f>IF($AC$1354&gt;0,IPMT('Assumptions (Hydro)'!$V$6,Model!AC$1,'Assumptions (Hydro)'!$V$9,'Assumptions (Hydro)'!$V$4*Model!$AC$1354*AVERAGE('Assumptions (Hydro)'!$Y$2:$AA$2)/10^9),0)</f>
        <v>0</v>
      </c>
      <c r="AJ1489" s="160">
        <f>IF($AC$1354&gt;0,IPMT('Assumptions (Hydro)'!$V$6,Model!AD$1,'Assumptions (Hydro)'!$V$9,'Assumptions (Hydro)'!$V$4*Model!$AC$1354*AVERAGE('Assumptions (Hydro)'!$Y$2:$AA$2)/10^9),0)</f>
        <v>0</v>
      </c>
      <c r="AK1489" s="160">
        <f>IF($AC$1354&gt;0,IPMT('Assumptions (Hydro)'!$V$6,Model!AE$1,'Assumptions (Hydro)'!$V$9,'Assumptions (Hydro)'!$V$4*Model!$AC$1354*AVERAGE('Assumptions (Hydro)'!$Y$2:$AA$2)/10^9),0)</f>
        <v>0</v>
      </c>
      <c r="AL1489" s="160">
        <f>IF($AC$1354&gt;0,IPMT('Assumptions (Hydro)'!$V$6,Model!AF$1,'Assumptions (Hydro)'!$V$9,'Assumptions (Hydro)'!$V$4*Model!$AC$1354*AVERAGE('Assumptions (Hydro)'!$Y$2:$AA$2)/10^9),0)</f>
        <v>0</v>
      </c>
      <c r="AM1489" s="160">
        <f>IF($AC$1354&gt;0,IPMT('Assumptions (Hydro)'!$V$6,Model!AG$1,'Assumptions (Hydro)'!$V$9,'Assumptions (Hydro)'!$V$4*Model!$AC$1354*AVERAGE('Assumptions (Hydro)'!$Y$2:$AA$2)/10^9),0)</f>
        <v>0</v>
      </c>
      <c r="AN1489" s="160">
        <f>IF($AC$1354&gt;0,IPMT('Assumptions (Hydro)'!$V$6,Model!AH$1,'Assumptions (Hydro)'!$V$9,'Assumptions (Hydro)'!$V$4*Model!$AC$1354*AVERAGE('Assumptions (Hydro)'!$Y$2:$AA$2)/10^9),0)</f>
        <v>0</v>
      </c>
      <c r="AO1489" s="160">
        <f>IF($AC$1354&gt;0,IPMT('Assumptions (Hydro)'!$V$6,Model!AI$1,'Assumptions (Hydro)'!$V$9,'Assumptions (Hydro)'!$V$4*Model!$AC$1354*AVERAGE('Assumptions (Hydro)'!$Y$2:$AA$2)/10^9),0)</f>
        <v>0</v>
      </c>
      <c r="AP1489" s="160">
        <f>IF($AC$1354&gt;0,IPMT('Assumptions (Hydro)'!$V$6,Model!AJ$1,'Assumptions (Hydro)'!$V$9,'Assumptions (Hydro)'!$V$4*Model!$AC$1354*AVERAGE('Assumptions (Hydro)'!$Y$2:$AA$2)/10^9),0)</f>
        <v>0</v>
      </c>
      <c r="AQ1489" s="160">
        <f>IF($AC$1354&gt;0,IPMT('Assumptions (Hydro)'!$V$6,Model!AK$1,'Assumptions (Hydro)'!$V$9,'Assumptions (Hydro)'!$V$4*Model!$AC$1354*AVERAGE('Assumptions (Hydro)'!$Y$2:$AA$2)/10^9),0)</f>
        <v>0</v>
      </c>
      <c r="AR1489" s="160"/>
      <c r="AS1489" s="160"/>
      <c r="AT1489" s="160"/>
      <c r="AU1489" s="160"/>
      <c r="AV1489" s="160"/>
      <c r="AW1489" s="160"/>
      <c r="AX1489" s="160"/>
      <c r="AY1489" s="160"/>
      <c r="AZ1489" s="160"/>
      <c r="BA1489" s="160"/>
    </row>
    <row r="1490" ht="15.75" hidden="1" customHeight="1" outlineLevel="1">
      <c r="A1490" s="273"/>
      <c r="B1490" s="38"/>
      <c r="C1490" s="174"/>
      <c r="D1490" s="174"/>
      <c r="E1490" s="174"/>
      <c r="F1490" s="174"/>
      <c r="G1490" s="174"/>
      <c r="H1490" s="174"/>
      <c r="I1490" s="174"/>
      <c r="J1490" s="174"/>
      <c r="K1490" s="174"/>
      <c r="L1490" s="174"/>
      <c r="M1490" s="174"/>
      <c r="N1490" s="174"/>
      <c r="O1490" s="174"/>
      <c r="P1490" s="174"/>
      <c r="Q1490" s="174"/>
      <c r="R1490" s="174"/>
      <c r="S1490" s="174"/>
      <c r="T1490" s="174"/>
      <c r="U1490" s="174"/>
      <c r="V1490" s="174"/>
      <c r="W1490" s="160"/>
      <c r="X1490" s="160"/>
      <c r="Y1490" s="160"/>
      <c r="Z1490" s="160"/>
      <c r="AA1490" s="160"/>
      <c r="AB1490" s="160"/>
      <c r="AC1490" s="160"/>
      <c r="AD1490" s="160">
        <f>IF($AD$1354&gt;0,IPMT('Assumptions (Hydro)'!$V$6,Model!W$1,'Assumptions (Hydro)'!$V$9,'Assumptions (Hydro)'!$V$4*Model!$AD$1354*AVERAGE('Assumptions (Hydro)'!$Z$2:$AB$2)/10^9),0)</f>
        <v>0</v>
      </c>
      <c r="AE1490" s="160">
        <f>IF($AD$1354&gt;0,IPMT('Assumptions (Hydro)'!$V$6,Model!X$1,'Assumptions (Hydro)'!$V$9,'Assumptions (Hydro)'!$V$4*Model!$AD$1354*AVERAGE('Assumptions (Hydro)'!$Z$2:$AB$2)/10^9),0)</f>
        <v>0</v>
      </c>
      <c r="AF1490" s="160">
        <f>IF($AD$1354&gt;0,IPMT('Assumptions (Hydro)'!$V$6,Model!Y$1,'Assumptions (Hydro)'!$V$9,'Assumptions (Hydro)'!$V$4*Model!$AD$1354*AVERAGE('Assumptions (Hydro)'!$Z$2:$AB$2)/10^9),0)</f>
        <v>0</v>
      </c>
      <c r="AG1490" s="160">
        <f>IF($AD$1354&gt;0,IPMT('Assumptions (Hydro)'!$V$6,Model!Z$1,'Assumptions (Hydro)'!$V$9,'Assumptions (Hydro)'!$V$4*Model!$AD$1354*AVERAGE('Assumptions (Hydro)'!$Z$2:$AB$2)/10^9),0)</f>
        <v>0</v>
      </c>
      <c r="AH1490" s="160">
        <f>IF($AD$1354&gt;0,IPMT('Assumptions (Hydro)'!$V$6,Model!AA$1,'Assumptions (Hydro)'!$V$9,'Assumptions (Hydro)'!$V$4*Model!$AD$1354*AVERAGE('Assumptions (Hydro)'!$Z$2:$AB$2)/10^9),0)</f>
        <v>0</v>
      </c>
      <c r="AI1490" s="160">
        <f>IF($AD$1354&gt;0,IPMT('Assumptions (Hydro)'!$V$6,Model!AB$1,'Assumptions (Hydro)'!$V$9,'Assumptions (Hydro)'!$V$4*Model!$AD$1354*AVERAGE('Assumptions (Hydro)'!$Z$2:$AB$2)/10^9),0)</f>
        <v>0</v>
      </c>
      <c r="AJ1490" s="160">
        <f>IF($AD$1354&gt;0,IPMT('Assumptions (Hydro)'!$V$6,Model!AC$1,'Assumptions (Hydro)'!$V$9,'Assumptions (Hydro)'!$V$4*Model!$AD$1354*AVERAGE('Assumptions (Hydro)'!$Z$2:$AB$2)/10^9),0)</f>
        <v>0</v>
      </c>
      <c r="AK1490" s="160">
        <f>IF($AD$1354&gt;0,IPMT('Assumptions (Hydro)'!$V$6,Model!AD$1,'Assumptions (Hydro)'!$V$9,'Assumptions (Hydro)'!$V$4*Model!$AD$1354*AVERAGE('Assumptions (Hydro)'!$Z$2:$AB$2)/10^9),0)</f>
        <v>0</v>
      </c>
      <c r="AL1490" s="160">
        <f>IF($AD$1354&gt;0,IPMT('Assumptions (Hydro)'!$V$6,Model!AE$1,'Assumptions (Hydro)'!$V$9,'Assumptions (Hydro)'!$V$4*Model!$AD$1354*AVERAGE('Assumptions (Hydro)'!$Z$2:$AB$2)/10^9),0)</f>
        <v>0</v>
      </c>
      <c r="AM1490" s="160">
        <f>IF($AD$1354&gt;0,IPMT('Assumptions (Hydro)'!$V$6,Model!AF$1,'Assumptions (Hydro)'!$V$9,'Assumptions (Hydro)'!$V$4*Model!$AD$1354*AVERAGE('Assumptions (Hydro)'!$Z$2:$AB$2)/10^9),0)</f>
        <v>0</v>
      </c>
      <c r="AN1490" s="160">
        <f>IF($AD$1354&gt;0,IPMT('Assumptions (Hydro)'!$V$6,Model!AG$1,'Assumptions (Hydro)'!$V$9,'Assumptions (Hydro)'!$V$4*Model!$AD$1354*AVERAGE('Assumptions (Hydro)'!$Z$2:$AB$2)/10^9),0)</f>
        <v>0</v>
      </c>
      <c r="AO1490" s="160">
        <f>IF($AD$1354&gt;0,IPMT('Assumptions (Hydro)'!$V$6,Model!AH$1,'Assumptions (Hydro)'!$V$9,'Assumptions (Hydro)'!$V$4*Model!$AD$1354*AVERAGE('Assumptions (Hydro)'!$Z$2:$AB$2)/10^9),0)</f>
        <v>0</v>
      </c>
      <c r="AP1490" s="160">
        <f>IF($AD$1354&gt;0,IPMT('Assumptions (Hydro)'!$V$6,Model!AI$1,'Assumptions (Hydro)'!$V$9,'Assumptions (Hydro)'!$V$4*Model!$AD$1354*AVERAGE('Assumptions (Hydro)'!$Z$2:$AB$2)/10^9),0)</f>
        <v>0</v>
      </c>
      <c r="AQ1490" s="160">
        <f>IF($AD$1354&gt;0,IPMT('Assumptions (Hydro)'!$V$6,Model!AJ$1,'Assumptions (Hydro)'!$V$9,'Assumptions (Hydro)'!$V$4*Model!$AD$1354*AVERAGE('Assumptions (Hydro)'!$Z$2:$AB$2)/10^9),0)</f>
        <v>0</v>
      </c>
      <c r="AR1490" s="160">
        <f>IF($AD$1354&gt;0,IPMT('Assumptions (Hydro)'!$V$6,Model!AK$1,'Assumptions (Hydro)'!$V$9,'Assumptions (Hydro)'!$V$4*Model!$AD$1354*AVERAGE('Assumptions (Hydro)'!$Z$2:$AB$2)/10^9),0)</f>
        <v>0</v>
      </c>
      <c r="AS1490" s="160"/>
      <c r="AT1490" s="160"/>
      <c r="AU1490" s="160"/>
      <c r="AV1490" s="160"/>
      <c r="AW1490" s="160"/>
      <c r="AX1490" s="160"/>
      <c r="AY1490" s="160"/>
      <c r="AZ1490" s="160"/>
      <c r="BA1490" s="160"/>
      <c r="BB1490" s="160"/>
    </row>
    <row r="1491" ht="15.75" hidden="1" customHeight="1" outlineLevel="1">
      <c r="A1491" s="273"/>
      <c r="B1491" s="38"/>
      <c r="C1491" s="174"/>
      <c r="D1491" s="174"/>
      <c r="E1491" s="174"/>
      <c r="F1491" s="174"/>
      <c r="G1491" s="174"/>
      <c r="H1491" s="174"/>
      <c r="I1491" s="174"/>
      <c r="J1491" s="174"/>
      <c r="K1491" s="174"/>
      <c r="L1491" s="174"/>
      <c r="M1491" s="174"/>
      <c r="N1491" s="174"/>
      <c r="O1491" s="174"/>
      <c r="P1491" s="174"/>
      <c r="Q1491" s="174"/>
      <c r="R1491" s="174"/>
      <c r="S1491" s="174"/>
      <c r="T1491" s="174"/>
      <c r="U1491" s="174"/>
      <c r="V1491" s="174"/>
      <c r="W1491" s="160"/>
      <c r="X1491" s="160"/>
      <c r="Y1491" s="160"/>
      <c r="Z1491" s="160"/>
      <c r="AA1491" s="160"/>
      <c r="AB1491" s="160"/>
      <c r="AC1491" s="160"/>
      <c r="AD1491" s="160"/>
      <c r="AE1491" s="160">
        <f>IF($AE$1354&gt;0,IPMT('Assumptions (Hydro)'!$V$6,Model!W$1,'Assumptions (Hydro)'!$V$9,'Assumptions (Hydro)'!$V$4*Model!$AE$1354*AVERAGE('Assumptions (Hydro)'!$AA$2:$AC$2)/10^9),0)</f>
        <v>0</v>
      </c>
      <c r="AF1491" s="160">
        <f>IF($AE$1354&gt;0,IPMT('Assumptions (Hydro)'!$V$6,Model!X$1,'Assumptions (Hydro)'!$V$9,'Assumptions (Hydro)'!$V$4*Model!$AE$1354*AVERAGE('Assumptions (Hydro)'!$AA$2:$AC$2)/10^9),0)</f>
        <v>0</v>
      </c>
      <c r="AG1491" s="160">
        <f>IF($AE$1354&gt;0,IPMT('Assumptions (Hydro)'!$V$6,Model!Y$1,'Assumptions (Hydro)'!$V$9,'Assumptions (Hydro)'!$V$4*Model!$AE$1354*AVERAGE('Assumptions (Hydro)'!$AA$2:$AC$2)/10^9),0)</f>
        <v>0</v>
      </c>
      <c r="AH1491" s="160">
        <f>IF($AE$1354&gt;0,IPMT('Assumptions (Hydro)'!$V$6,Model!Z$1,'Assumptions (Hydro)'!$V$9,'Assumptions (Hydro)'!$V$4*Model!$AE$1354*AVERAGE('Assumptions (Hydro)'!$AA$2:$AC$2)/10^9),0)</f>
        <v>0</v>
      </c>
      <c r="AI1491" s="160">
        <f>IF($AE$1354&gt;0,IPMT('Assumptions (Hydro)'!$V$6,Model!AA$1,'Assumptions (Hydro)'!$V$9,'Assumptions (Hydro)'!$V$4*Model!$AE$1354*AVERAGE('Assumptions (Hydro)'!$AA$2:$AC$2)/10^9),0)</f>
        <v>0</v>
      </c>
      <c r="AJ1491" s="160">
        <f>IF($AE$1354&gt;0,IPMT('Assumptions (Hydro)'!$V$6,Model!AB$1,'Assumptions (Hydro)'!$V$9,'Assumptions (Hydro)'!$V$4*Model!$AE$1354*AVERAGE('Assumptions (Hydro)'!$AA$2:$AC$2)/10^9),0)</f>
        <v>0</v>
      </c>
      <c r="AK1491" s="160">
        <f>IF($AE$1354&gt;0,IPMT('Assumptions (Hydro)'!$V$6,Model!AC$1,'Assumptions (Hydro)'!$V$9,'Assumptions (Hydro)'!$V$4*Model!$AE$1354*AVERAGE('Assumptions (Hydro)'!$AA$2:$AC$2)/10^9),0)</f>
        <v>0</v>
      </c>
      <c r="AL1491" s="160">
        <f>IF($AE$1354&gt;0,IPMT('Assumptions (Hydro)'!$V$6,Model!AD$1,'Assumptions (Hydro)'!$V$9,'Assumptions (Hydro)'!$V$4*Model!$AE$1354*AVERAGE('Assumptions (Hydro)'!$AA$2:$AC$2)/10^9),0)</f>
        <v>0</v>
      </c>
      <c r="AM1491" s="160">
        <f>IF($AE$1354&gt;0,IPMT('Assumptions (Hydro)'!$V$6,Model!AE$1,'Assumptions (Hydro)'!$V$9,'Assumptions (Hydro)'!$V$4*Model!$AE$1354*AVERAGE('Assumptions (Hydro)'!$AA$2:$AC$2)/10^9),0)</f>
        <v>0</v>
      </c>
      <c r="AN1491" s="160">
        <f>IF($AE$1354&gt;0,IPMT('Assumptions (Hydro)'!$V$6,Model!AF$1,'Assumptions (Hydro)'!$V$9,'Assumptions (Hydro)'!$V$4*Model!$AE$1354*AVERAGE('Assumptions (Hydro)'!$AA$2:$AC$2)/10^9),0)</f>
        <v>0</v>
      </c>
      <c r="AO1491" s="160">
        <f>IF($AE$1354&gt;0,IPMT('Assumptions (Hydro)'!$V$6,Model!AG$1,'Assumptions (Hydro)'!$V$9,'Assumptions (Hydro)'!$V$4*Model!$AE$1354*AVERAGE('Assumptions (Hydro)'!$AA$2:$AC$2)/10^9),0)</f>
        <v>0</v>
      </c>
      <c r="AP1491" s="160">
        <f>IF($AE$1354&gt;0,IPMT('Assumptions (Hydro)'!$V$6,Model!AH$1,'Assumptions (Hydro)'!$V$9,'Assumptions (Hydro)'!$V$4*Model!$AE$1354*AVERAGE('Assumptions (Hydro)'!$AA$2:$AC$2)/10^9),0)</f>
        <v>0</v>
      </c>
      <c r="AQ1491" s="160">
        <f>IF($AE$1354&gt;0,IPMT('Assumptions (Hydro)'!$V$6,Model!AI$1,'Assumptions (Hydro)'!$V$9,'Assumptions (Hydro)'!$V$4*Model!$AE$1354*AVERAGE('Assumptions (Hydro)'!$AA$2:$AC$2)/10^9),0)</f>
        <v>0</v>
      </c>
      <c r="AR1491" s="160">
        <f>IF($AE$1354&gt;0,IPMT('Assumptions (Hydro)'!$V$6,Model!AJ$1,'Assumptions (Hydro)'!$V$9,'Assumptions (Hydro)'!$V$4*Model!$AE$1354*AVERAGE('Assumptions (Hydro)'!$AA$2:$AC$2)/10^9),0)</f>
        <v>0</v>
      </c>
      <c r="AS1491" s="160">
        <f>IF($AE$1354&gt;0,IPMT('Assumptions (Hydro)'!$V$6,Model!AK$1,'Assumptions (Hydro)'!$V$9,'Assumptions (Hydro)'!$V$4*Model!$AE$1354*AVERAGE('Assumptions (Hydro)'!$AA$2:$AC$2)/10^9),0)</f>
        <v>0</v>
      </c>
      <c r="AT1491" s="160"/>
      <c r="AU1491" s="160"/>
      <c r="AV1491" s="160"/>
      <c r="AW1491" s="160"/>
      <c r="AX1491" s="160"/>
      <c r="AY1491" s="160"/>
      <c r="AZ1491" s="160"/>
      <c r="BA1491" s="160"/>
      <c r="BB1491" s="160"/>
      <c r="BC1491" s="160"/>
    </row>
    <row r="1492" ht="15.75" hidden="1" customHeight="1" outlineLevel="1">
      <c r="A1492" s="273"/>
      <c r="B1492" s="38"/>
      <c r="C1492" s="174"/>
      <c r="D1492" s="174"/>
      <c r="E1492" s="174"/>
      <c r="F1492" s="174"/>
      <c r="G1492" s="174"/>
      <c r="H1492" s="174"/>
      <c r="I1492" s="174"/>
      <c r="J1492" s="174"/>
      <c r="K1492" s="174"/>
      <c r="L1492" s="174"/>
      <c r="M1492" s="174"/>
      <c r="N1492" s="174"/>
      <c r="O1492" s="174"/>
      <c r="P1492" s="174"/>
      <c r="Q1492" s="174"/>
      <c r="R1492" s="174"/>
      <c r="S1492" s="174"/>
      <c r="T1492" s="174"/>
      <c r="U1492" s="174"/>
      <c r="V1492" s="174"/>
      <c r="W1492" s="160"/>
      <c r="X1492" s="160"/>
      <c r="Y1492" s="160"/>
      <c r="Z1492" s="160"/>
      <c r="AA1492" s="160"/>
      <c r="AB1492" s="160"/>
      <c r="AC1492" s="160"/>
      <c r="AD1492" s="160"/>
      <c r="AE1492" s="160"/>
      <c r="AF1492" s="160">
        <f>IF($AF$1354&gt;0,IPMT('Assumptions (Hydro)'!$V$6,Model!W$1,'Assumptions (Hydro)'!$V$9,'Assumptions (Hydro)'!$V$4*Model!$AF$1354*AVERAGE('Assumptions (Hydro)'!$AB$2:$AD$2)/10^9),0)</f>
        <v>0</v>
      </c>
      <c r="AG1492" s="160">
        <f>IF($AF$1354&gt;0,IPMT('Assumptions (Hydro)'!$V$6,Model!X$1,'Assumptions (Hydro)'!$V$9,'Assumptions (Hydro)'!$V$4*Model!$AF$1354*AVERAGE('Assumptions (Hydro)'!$AB$2:$AD$2)/10^9),0)</f>
        <v>0</v>
      </c>
      <c r="AH1492" s="160">
        <f>IF($AF$1354&gt;0,IPMT('Assumptions (Hydro)'!$V$6,Model!Y$1,'Assumptions (Hydro)'!$V$9,'Assumptions (Hydro)'!$V$4*Model!$AF$1354*AVERAGE('Assumptions (Hydro)'!$AB$2:$AD$2)/10^9),0)</f>
        <v>0</v>
      </c>
      <c r="AI1492" s="160">
        <f>IF($AF$1354&gt;0,IPMT('Assumptions (Hydro)'!$V$6,Model!Z$1,'Assumptions (Hydro)'!$V$9,'Assumptions (Hydro)'!$V$4*Model!$AF$1354*AVERAGE('Assumptions (Hydro)'!$AB$2:$AD$2)/10^9),0)</f>
        <v>0</v>
      </c>
      <c r="AJ1492" s="160">
        <f>IF($AF$1354&gt;0,IPMT('Assumptions (Hydro)'!$V$6,Model!AA$1,'Assumptions (Hydro)'!$V$9,'Assumptions (Hydro)'!$V$4*Model!$AF$1354*AVERAGE('Assumptions (Hydro)'!$AB$2:$AD$2)/10^9),0)</f>
        <v>0</v>
      </c>
      <c r="AK1492" s="160">
        <f>IF($AF$1354&gt;0,IPMT('Assumptions (Hydro)'!$V$6,Model!AB$1,'Assumptions (Hydro)'!$V$9,'Assumptions (Hydro)'!$V$4*Model!$AF$1354*AVERAGE('Assumptions (Hydro)'!$AB$2:$AD$2)/10^9),0)</f>
        <v>0</v>
      </c>
      <c r="AL1492" s="160">
        <f>IF($AF$1354&gt;0,IPMT('Assumptions (Hydro)'!$V$6,Model!AC$1,'Assumptions (Hydro)'!$V$9,'Assumptions (Hydro)'!$V$4*Model!$AF$1354*AVERAGE('Assumptions (Hydro)'!$AB$2:$AD$2)/10^9),0)</f>
        <v>0</v>
      </c>
      <c r="AM1492" s="160">
        <f>IF($AF$1354&gt;0,IPMT('Assumptions (Hydro)'!$V$6,Model!AD$1,'Assumptions (Hydro)'!$V$9,'Assumptions (Hydro)'!$V$4*Model!$AF$1354*AVERAGE('Assumptions (Hydro)'!$AB$2:$AD$2)/10^9),0)</f>
        <v>0</v>
      </c>
      <c r="AN1492" s="160">
        <f>IF($AF$1354&gt;0,IPMT('Assumptions (Hydro)'!$V$6,Model!AE$1,'Assumptions (Hydro)'!$V$9,'Assumptions (Hydro)'!$V$4*Model!$AF$1354*AVERAGE('Assumptions (Hydro)'!$AB$2:$AD$2)/10^9),0)</f>
        <v>0</v>
      </c>
      <c r="AO1492" s="160">
        <f>IF($AF$1354&gt;0,IPMT('Assumptions (Hydro)'!$V$6,Model!AF$1,'Assumptions (Hydro)'!$V$9,'Assumptions (Hydro)'!$V$4*Model!$AF$1354*AVERAGE('Assumptions (Hydro)'!$AB$2:$AD$2)/10^9),0)</f>
        <v>0</v>
      </c>
      <c r="AP1492" s="160">
        <f>IF($AF$1354&gt;0,IPMT('Assumptions (Hydro)'!$V$6,Model!AG$1,'Assumptions (Hydro)'!$V$9,'Assumptions (Hydro)'!$V$4*Model!$AF$1354*AVERAGE('Assumptions (Hydro)'!$AB$2:$AD$2)/10^9),0)</f>
        <v>0</v>
      </c>
      <c r="AQ1492" s="160">
        <f>IF($AF$1354&gt;0,IPMT('Assumptions (Hydro)'!$V$6,Model!AH$1,'Assumptions (Hydro)'!$V$9,'Assumptions (Hydro)'!$V$4*Model!$AF$1354*AVERAGE('Assumptions (Hydro)'!$AB$2:$AD$2)/10^9),0)</f>
        <v>0</v>
      </c>
      <c r="AR1492" s="160">
        <f>IF($AF$1354&gt;0,IPMT('Assumptions (Hydro)'!$V$6,Model!AI$1,'Assumptions (Hydro)'!$V$9,'Assumptions (Hydro)'!$V$4*Model!$AF$1354*AVERAGE('Assumptions (Hydro)'!$AB$2:$AD$2)/10^9),0)</f>
        <v>0</v>
      </c>
      <c r="AS1492" s="160">
        <f>IF($AF$1354&gt;0,IPMT('Assumptions (Hydro)'!$V$6,Model!AJ$1,'Assumptions (Hydro)'!$V$9,'Assumptions (Hydro)'!$V$4*Model!$AF$1354*AVERAGE('Assumptions (Hydro)'!$AB$2:$AD$2)/10^9),0)</f>
        <v>0</v>
      </c>
      <c r="AT1492" s="160">
        <f>IF($AF$1354&gt;0,IPMT('Assumptions (Hydro)'!$V$6,Model!AK$1,'Assumptions (Hydro)'!$V$9,'Assumptions (Hydro)'!$V$4*Model!$AF$1354*AVERAGE('Assumptions (Hydro)'!$AB$2:$AD$2)/10^9),0)</f>
        <v>0</v>
      </c>
      <c r="AU1492" s="160"/>
      <c r="AV1492" s="160"/>
      <c r="AW1492" s="160"/>
      <c r="AX1492" s="160"/>
      <c r="AY1492" s="160"/>
      <c r="AZ1492" s="160"/>
      <c r="BA1492" s="160"/>
      <c r="BB1492" s="160"/>
      <c r="BC1492" s="160"/>
      <c r="BD1492" s="160"/>
    </row>
    <row r="1493" ht="15.75" hidden="1" customHeight="1" outlineLevel="1">
      <c r="A1493" s="273"/>
      <c r="B1493" s="38"/>
      <c r="C1493" s="174"/>
      <c r="D1493" s="174"/>
      <c r="E1493" s="174"/>
      <c r="F1493" s="174"/>
      <c r="G1493" s="174"/>
      <c r="H1493" s="174"/>
      <c r="I1493" s="174"/>
      <c r="J1493" s="174"/>
      <c r="K1493" s="174"/>
      <c r="L1493" s="174"/>
      <c r="M1493" s="174"/>
      <c r="N1493" s="174"/>
      <c r="O1493" s="174"/>
      <c r="P1493" s="174"/>
      <c r="Q1493" s="174"/>
      <c r="R1493" s="174"/>
      <c r="S1493" s="174"/>
      <c r="T1493" s="174"/>
      <c r="U1493" s="174"/>
      <c r="V1493" s="174"/>
      <c r="W1493" s="160"/>
      <c r="X1493" s="160"/>
      <c r="Y1493" s="160"/>
      <c r="Z1493" s="160"/>
      <c r="AA1493" s="160"/>
      <c r="AB1493" s="160"/>
      <c r="AC1493" s="160"/>
      <c r="AD1493" s="160"/>
      <c r="AE1493" s="160"/>
      <c r="AF1493" s="160"/>
      <c r="AG1493" s="160">
        <f>IF($AG$1354&gt;0,IPMT('Assumptions (Hydro)'!$V$6,Model!W$1,'Assumptions (Hydro)'!$V$9,'Assumptions (Hydro)'!$V$4*Model!$AG$1354*AVERAGE('Assumptions (Hydro)'!$AC$2:$AE$2)/10^9),0)</f>
        <v>0</v>
      </c>
      <c r="AH1493" s="160">
        <f>IF($AG$1354&gt;0,IPMT('Assumptions (Hydro)'!$V$6,Model!X$1,'Assumptions (Hydro)'!$V$9,'Assumptions (Hydro)'!$V$4*Model!$AG$1354*AVERAGE('Assumptions (Hydro)'!$AC$2:$AE$2)/10^9),0)</f>
        <v>0</v>
      </c>
      <c r="AI1493" s="160">
        <f>IF($AG$1354&gt;0,IPMT('Assumptions (Hydro)'!$V$6,Model!Y$1,'Assumptions (Hydro)'!$V$9,'Assumptions (Hydro)'!$V$4*Model!$AG$1354*AVERAGE('Assumptions (Hydro)'!$AC$2:$AE$2)/10^9),0)</f>
        <v>0</v>
      </c>
      <c r="AJ1493" s="160">
        <f>IF($AG$1354&gt;0,IPMT('Assumptions (Hydro)'!$V$6,Model!Z$1,'Assumptions (Hydro)'!$V$9,'Assumptions (Hydro)'!$V$4*Model!$AG$1354*AVERAGE('Assumptions (Hydro)'!$AC$2:$AE$2)/10^9),0)</f>
        <v>0</v>
      </c>
      <c r="AK1493" s="160">
        <f>IF($AG$1354&gt;0,IPMT('Assumptions (Hydro)'!$V$6,Model!AA$1,'Assumptions (Hydro)'!$V$9,'Assumptions (Hydro)'!$V$4*Model!$AG$1354*AVERAGE('Assumptions (Hydro)'!$AC$2:$AE$2)/10^9),0)</f>
        <v>0</v>
      </c>
      <c r="AL1493" s="160">
        <f>IF($AG$1354&gt;0,IPMT('Assumptions (Hydro)'!$V$6,Model!AB$1,'Assumptions (Hydro)'!$V$9,'Assumptions (Hydro)'!$V$4*Model!$AG$1354*AVERAGE('Assumptions (Hydro)'!$AC$2:$AE$2)/10^9),0)</f>
        <v>0</v>
      </c>
      <c r="AM1493" s="160">
        <f>IF($AG$1354&gt;0,IPMT('Assumptions (Hydro)'!$V$6,Model!AC$1,'Assumptions (Hydro)'!$V$9,'Assumptions (Hydro)'!$V$4*Model!$AG$1354*AVERAGE('Assumptions (Hydro)'!$AC$2:$AE$2)/10^9),0)</f>
        <v>0</v>
      </c>
      <c r="AN1493" s="160">
        <f>IF($AG$1354&gt;0,IPMT('Assumptions (Hydro)'!$V$6,Model!AD$1,'Assumptions (Hydro)'!$V$9,'Assumptions (Hydro)'!$V$4*Model!$AG$1354*AVERAGE('Assumptions (Hydro)'!$AC$2:$AE$2)/10^9),0)</f>
        <v>0</v>
      </c>
      <c r="AO1493" s="160">
        <f>IF($AG$1354&gt;0,IPMT('Assumptions (Hydro)'!$V$6,Model!AE$1,'Assumptions (Hydro)'!$V$9,'Assumptions (Hydro)'!$V$4*Model!$AG$1354*AVERAGE('Assumptions (Hydro)'!$AC$2:$AE$2)/10^9),0)</f>
        <v>0</v>
      </c>
      <c r="AP1493" s="160">
        <f>IF($AG$1354&gt;0,IPMT('Assumptions (Hydro)'!$V$6,Model!AF$1,'Assumptions (Hydro)'!$V$9,'Assumptions (Hydro)'!$V$4*Model!$AG$1354*AVERAGE('Assumptions (Hydro)'!$AC$2:$AE$2)/10^9),0)</f>
        <v>0</v>
      </c>
      <c r="AQ1493" s="160">
        <f>IF($AG$1354&gt;0,IPMT('Assumptions (Hydro)'!$V$6,Model!AG$1,'Assumptions (Hydro)'!$V$9,'Assumptions (Hydro)'!$V$4*Model!$AG$1354*AVERAGE('Assumptions (Hydro)'!$AC$2:$AE$2)/10^9),0)</f>
        <v>0</v>
      </c>
      <c r="AR1493" s="160">
        <f>IF($AG$1354&gt;0,IPMT('Assumptions (Hydro)'!$V$6,Model!AH$1,'Assumptions (Hydro)'!$V$9,'Assumptions (Hydro)'!$V$4*Model!$AG$1354*AVERAGE('Assumptions (Hydro)'!$AC$2:$AE$2)/10^9),0)</f>
        <v>0</v>
      </c>
      <c r="AS1493" s="160">
        <f>IF($AG$1354&gt;0,IPMT('Assumptions (Hydro)'!$V$6,Model!AI$1,'Assumptions (Hydro)'!$V$9,'Assumptions (Hydro)'!$V$4*Model!$AG$1354*AVERAGE('Assumptions (Hydro)'!$AC$2:$AE$2)/10^9),0)</f>
        <v>0</v>
      </c>
      <c r="AT1493" s="160">
        <f>IF($AG$1354&gt;0,IPMT('Assumptions (Hydro)'!$V$6,Model!AJ$1,'Assumptions (Hydro)'!$V$9,'Assumptions (Hydro)'!$V$4*Model!$AG$1354*AVERAGE('Assumptions (Hydro)'!$AC$2:$AE$2)/10^9),0)</f>
        <v>0</v>
      </c>
      <c r="AU1493" s="160">
        <f>IF($AG$1354&gt;0,IPMT('Assumptions (Hydro)'!$V$6,Model!AK$1,'Assumptions (Hydro)'!$V$9,'Assumptions (Hydro)'!$V$4*Model!$AG$1354*AVERAGE('Assumptions (Hydro)'!$AC$2:$AE$2)/10^9),0)</f>
        <v>0</v>
      </c>
      <c r="AV1493" s="160"/>
      <c r="AW1493" s="160"/>
      <c r="AX1493" s="160"/>
      <c r="AY1493" s="160"/>
      <c r="AZ1493" s="160"/>
      <c r="BA1493" s="160"/>
      <c r="BB1493" s="160"/>
      <c r="BC1493" s="160"/>
      <c r="BD1493" s="160"/>
      <c r="BE1493" s="160"/>
    </row>
    <row r="1494" ht="15.75" hidden="1" customHeight="1" outlineLevel="1">
      <c r="A1494" s="273"/>
      <c r="B1494" s="38"/>
      <c r="C1494" s="174"/>
      <c r="D1494" s="174"/>
      <c r="E1494" s="174"/>
      <c r="F1494" s="174"/>
      <c r="G1494" s="174"/>
      <c r="H1494" s="174"/>
      <c r="I1494" s="174"/>
      <c r="J1494" s="174"/>
      <c r="K1494" s="174"/>
      <c r="L1494" s="174"/>
      <c r="M1494" s="174"/>
      <c r="N1494" s="174"/>
      <c r="O1494" s="174"/>
      <c r="P1494" s="174"/>
      <c r="Q1494" s="174"/>
      <c r="R1494" s="174"/>
      <c r="S1494" s="174"/>
      <c r="T1494" s="174"/>
      <c r="U1494" s="174"/>
      <c r="V1494" s="174"/>
      <c r="W1494" s="160"/>
      <c r="X1494" s="160"/>
      <c r="Y1494" s="160"/>
      <c r="Z1494" s="160"/>
      <c r="AA1494" s="160"/>
      <c r="AB1494" s="160"/>
      <c r="AC1494" s="160"/>
      <c r="AD1494" s="160"/>
      <c r="AE1494" s="160"/>
      <c r="AF1494" s="160"/>
      <c r="AG1494" s="160"/>
      <c r="AH1494" s="160">
        <f>IF($AH$1354&gt;0,IPMT('Assumptions (Hydro)'!$V$6,Model!W$1,'Assumptions (Hydro)'!$V$9,'Assumptions (Hydro)'!$V$4*Model!$AH$1354*AVERAGE('Assumptions (Hydro)'!$AD$2:$AF$2)/10^9),0)</f>
        <v>0</v>
      </c>
      <c r="AI1494" s="160">
        <f>IF($AH$1354&gt;0,IPMT('Assumptions (Hydro)'!$V$6,Model!X$1,'Assumptions (Hydro)'!$V$9,'Assumptions (Hydro)'!$V$4*Model!$AH$1354*AVERAGE('Assumptions (Hydro)'!$AD$2:$AF$2)/10^9),0)</f>
        <v>0</v>
      </c>
      <c r="AJ1494" s="160">
        <f>IF($AH$1354&gt;0,IPMT('Assumptions (Hydro)'!$V$6,Model!Y$1,'Assumptions (Hydro)'!$V$9,'Assumptions (Hydro)'!$V$4*Model!$AH$1354*AVERAGE('Assumptions (Hydro)'!$AD$2:$AF$2)/10^9),0)</f>
        <v>0</v>
      </c>
      <c r="AK1494" s="160">
        <f>IF($AH$1354&gt;0,IPMT('Assumptions (Hydro)'!$V$6,Model!Z$1,'Assumptions (Hydro)'!$V$9,'Assumptions (Hydro)'!$V$4*Model!$AH$1354*AVERAGE('Assumptions (Hydro)'!$AD$2:$AF$2)/10^9),0)</f>
        <v>0</v>
      </c>
      <c r="AL1494" s="160">
        <f>IF($AH$1354&gt;0,IPMT('Assumptions (Hydro)'!$V$6,Model!AA$1,'Assumptions (Hydro)'!$V$9,'Assumptions (Hydro)'!$V$4*Model!$AH$1354*AVERAGE('Assumptions (Hydro)'!$AD$2:$AF$2)/10^9),0)</f>
        <v>0</v>
      </c>
      <c r="AM1494" s="160">
        <f>IF($AH$1354&gt;0,IPMT('Assumptions (Hydro)'!$V$6,Model!AB$1,'Assumptions (Hydro)'!$V$9,'Assumptions (Hydro)'!$V$4*Model!$AH$1354*AVERAGE('Assumptions (Hydro)'!$AD$2:$AF$2)/10^9),0)</f>
        <v>0</v>
      </c>
      <c r="AN1494" s="160">
        <f>IF($AH$1354&gt;0,IPMT('Assumptions (Hydro)'!$V$6,Model!AC$1,'Assumptions (Hydro)'!$V$9,'Assumptions (Hydro)'!$V$4*Model!$AH$1354*AVERAGE('Assumptions (Hydro)'!$AD$2:$AF$2)/10^9),0)</f>
        <v>0</v>
      </c>
      <c r="AO1494" s="160">
        <f>IF($AH$1354&gt;0,IPMT('Assumptions (Hydro)'!$V$6,Model!AD$1,'Assumptions (Hydro)'!$V$9,'Assumptions (Hydro)'!$V$4*Model!$AH$1354*AVERAGE('Assumptions (Hydro)'!$AD$2:$AF$2)/10^9),0)</f>
        <v>0</v>
      </c>
      <c r="AP1494" s="160">
        <f>IF($AH$1354&gt;0,IPMT('Assumptions (Hydro)'!$V$6,Model!AE$1,'Assumptions (Hydro)'!$V$9,'Assumptions (Hydro)'!$V$4*Model!$AH$1354*AVERAGE('Assumptions (Hydro)'!$AD$2:$AF$2)/10^9),0)</f>
        <v>0</v>
      </c>
      <c r="AQ1494" s="160">
        <f>IF($AH$1354&gt;0,IPMT('Assumptions (Hydro)'!$V$6,Model!AF$1,'Assumptions (Hydro)'!$V$9,'Assumptions (Hydro)'!$V$4*Model!$AH$1354*AVERAGE('Assumptions (Hydro)'!$AD$2:$AF$2)/10^9),0)</f>
        <v>0</v>
      </c>
      <c r="AR1494" s="160">
        <f>IF($AH$1354&gt;0,IPMT('Assumptions (Hydro)'!$V$6,Model!AG$1,'Assumptions (Hydro)'!$V$9,'Assumptions (Hydro)'!$V$4*Model!$AH$1354*AVERAGE('Assumptions (Hydro)'!$AD$2:$AF$2)/10^9),0)</f>
        <v>0</v>
      </c>
      <c r="AS1494" s="160">
        <f>IF($AH$1354&gt;0,IPMT('Assumptions (Hydro)'!$V$6,Model!AH$1,'Assumptions (Hydro)'!$V$9,'Assumptions (Hydro)'!$V$4*Model!$AH$1354*AVERAGE('Assumptions (Hydro)'!$AD$2:$AF$2)/10^9),0)</f>
        <v>0</v>
      </c>
      <c r="AT1494" s="160">
        <f>IF($AH$1354&gt;0,IPMT('Assumptions (Hydro)'!$V$6,Model!AI$1,'Assumptions (Hydro)'!$V$9,'Assumptions (Hydro)'!$V$4*Model!$AH$1354*AVERAGE('Assumptions (Hydro)'!$AD$2:$AF$2)/10^9),0)</f>
        <v>0</v>
      </c>
      <c r="AU1494" s="160">
        <f>IF($AH$1354&gt;0,IPMT('Assumptions (Hydro)'!$V$6,Model!AJ$1,'Assumptions (Hydro)'!$V$9,'Assumptions (Hydro)'!$V$4*Model!$AH$1354*AVERAGE('Assumptions (Hydro)'!$AD$2:$AF$2)/10^9),0)</f>
        <v>0</v>
      </c>
      <c r="AV1494" s="160">
        <f>IF($AH$1354&gt;0,IPMT('Assumptions (Hydro)'!$V$6,Model!AK$1,'Assumptions (Hydro)'!$V$9,'Assumptions (Hydro)'!$V$4*Model!$AH$1354*AVERAGE('Assumptions (Hydro)'!$AD$2:$AF$2)/10^9),0)</f>
        <v>0</v>
      </c>
      <c r="AW1494" s="160"/>
      <c r="AX1494" s="160"/>
      <c r="AY1494" s="160"/>
      <c r="AZ1494" s="160"/>
      <c r="BA1494" s="160"/>
      <c r="BB1494" s="160"/>
      <c r="BC1494" s="160"/>
      <c r="BD1494" s="160"/>
      <c r="BE1494" s="160"/>
      <c r="BF1494" s="160"/>
    </row>
    <row r="1495" ht="15.75" hidden="1" customHeight="1" outlineLevel="1">
      <c r="A1495" s="273"/>
      <c r="B1495" s="38"/>
      <c r="C1495" s="174"/>
      <c r="D1495" s="174"/>
      <c r="E1495" s="174"/>
      <c r="F1495" s="174"/>
      <c r="G1495" s="174"/>
      <c r="H1495" s="174"/>
      <c r="I1495" s="174"/>
      <c r="J1495" s="174"/>
      <c r="K1495" s="174"/>
      <c r="L1495" s="174"/>
      <c r="M1495" s="174"/>
      <c r="N1495" s="174"/>
      <c r="O1495" s="174"/>
      <c r="P1495" s="174"/>
      <c r="Q1495" s="174"/>
      <c r="R1495" s="174"/>
      <c r="S1495" s="174"/>
      <c r="T1495" s="174"/>
      <c r="U1495" s="174"/>
      <c r="V1495" s="174"/>
      <c r="W1495" s="160"/>
      <c r="X1495" s="160"/>
      <c r="Y1495" s="160"/>
      <c r="Z1495" s="160"/>
      <c r="AA1495" s="160"/>
      <c r="AB1495" s="160"/>
      <c r="AC1495" s="160"/>
      <c r="AD1495" s="160"/>
      <c r="AE1495" s="160"/>
      <c r="AF1495" s="160"/>
      <c r="AG1495" s="160"/>
      <c r="AH1495" s="160"/>
      <c r="AI1495" s="160">
        <f>IF($AI$1354&gt;0,IPMT('Assumptions (Hydro)'!$V$6,Model!W$1,'Assumptions (Hydro)'!$V$9,'Assumptions (Hydro)'!$V$4*Model!$AI$1354*AVERAGE('Assumptions (Hydro)'!$AE$2:$AG$2)/10^9),0)</f>
        <v>0</v>
      </c>
      <c r="AJ1495" s="160">
        <f>IF($AI$1354&gt;0,IPMT('Assumptions (Hydro)'!$V$6,Model!X$1,'Assumptions (Hydro)'!$V$9,'Assumptions (Hydro)'!$V$4*Model!$AI$1354*AVERAGE('Assumptions (Hydro)'!$AE$2:$AG$2)/10^9),0)</f>
        <v>0</v>
      </c>
      <c r="AK1495" s="160">
        <f>IF($AI$1354&gt;0,IPMT('Assumptions (Hydro)'!$V$6,Model!Y$1,'Assumptions (Hydro)'!$V$9,'Assumptions (Hydro)'!$V$4*Model!$AI$1354*AVERAGE('Assumptions (Hydro)'!$AE$2:$AG$2)/10^9),0)</f>
        <v>0</v>
      </c>
      <c r="AL1495" s="160">
        <f>IF($AI$1354&gt;0,IPMT('Assumptions (Hydro)'!$V$6,Model!Z$1,'Assumptions (Hydro)'!$V$9,'Assumptions (Hydro)'!$V$4*Model!$AI$1354*AVERAGE('Assumptions (Hydro)'!$AE$2:$AG$2)/10^9),0)</f>
        <v>0</v>
      </c>
      <c r="AM1495" s="160">
        <f>IF($AI$1354&gt;0,IPMT('Assumptions (Hydro)'!$V$6,Model!AA$1,'Assumptions (Hydro)'!$V$9,'Assumptions (Hydro)'!$V$4*Model!$AI$1354*AVERAGE('Assumptions (Hydro)'!$AE$2:$AG$2)/10^9),0)</f>
        <v>0</v>
      </c>
      <c r="AN1495" s="160">
        <f>IF($AI$1354&gt;0,IPMT('Assumptions (Hydro)'!$V$6,Model!AB$1,'Assumptions (Hydro)'!$V$9,'Assumptions (Hydro)'!$V$4*Model!$AI$1354*AVERAGE('Assumptions (Hydro)'!$AE$2:$AG$2)/10^9),0)</f>
        <v>0</v>
      </c>
      <c r="AO1495" s="160">
        <f>IF($AI$1354&gt;0,IPMT('Assumptions (Hydro)'!$V$6,Model!AC$1,'Assumptions (Hydro)'!$V$9,'Assumptions (Hydro)'!$V$4*Model!$AI$1354*AVERAGE('Assumptions (Hydro)'!$AE$2:$AG$2)/10^9),0)</f>
        <v>0</v>
      </c>
      <c r="AP1495" s="160">
        <f>IF($AI$1354&gt;0,IPMT('Assumptions (Hydro)'!$V$6,Model!AD$1,'Assumptions (Hydro)'!$V$9,'Assumptions (Hydro)'!$V$4*Model!$AI$1354*AVERAGE('Assumptions (Hydro)'!$AE$2:$AG$2)/10^9),0)</f>
        <v>0</v>
      </c>
      <c r="AQ1495" s="160">
        <f>IF($AI$1354&gt;0,IPMT('Assumptions (Hydro)'!$V$6,Model!AE$1,'Assumptions (Hydro)'!$V$9,'Assumptions (Hydro)'!$V$4*Model!$AI$1354*AVERAGE('Assumptions (Hydro)'!$AE$2:$AG$2)/10^9),0)</f>
        <v>0</v>
      </c>
      <c r="AR1495" s="160">
        <f>IF($AI$1354&gt;0,IPMT('Assumptions (Hydro)'!$V$6,Model!AF$1,'Assumptions (Hydro)'!$V$9,'Assumptions (Hydro)'!$V$4*Model!$AI$1354*AVERAGE('Assumptions (Hydro)'!$AE$2:$AG$2)/10^9),0)</f>
        <v>0</v>
      </c>
      <c r="AS1495" s="160">
        <f>IF($AI$1354&gt;0,IPMT('Assumptions (Hydro)'!$V$6,Model!AG$1,'Assumptions (Hydro)'!$V$9,'Assumptions (Hydro)'!$V$4*Model!$AI$1354*AVERAGE('Assumptions (Hydro)'!$AE$2:$AG$2)/10^9),0)</f>
        <v>0</v>
      </c>
      <c r="AT1495" s="160">
        <f>IF($AI$1354&gt;0,IPMT('Assumptions (Hydro)'!$V$6,Model!AH$1,'Assumptions (Hydro)'!$V$9,'Assumptions (Hydro)'!$V$4*Model!$AI$1354*AVERAGE('Assumptions (Hydro)'!$AE$2:$AG$2)/10^9),0)</f>
        <v>0</v>
      </c>
      <c r="AU1495" s="160">
        <f>IF($AI$1354&gt;0,IPMT('Assumptions (Hydro)'!$V$6,Model!AI$1,'Assumptions (Hydro)'!$V$9,'Assumptions (Hydro)'!$V$4*Model!$AI$1354*AVERAGE('Assumptions (Hydro)'!$AE$2:$AG$2)/10^9),0)</f>
        <v>0</v>
      </c>
      <c r="AV1495" s="160">
        <f>IF($AI$1354&gt;0,IPMT('Assumptions (Hydro)'!$V$6,Model!AJ$1,'Assumptions (Hydro)'!$V$9,'Assumptions (Hydro)'!$V$4*Model!$AI$1354*AVERAGE('Assumptions (Hydro)'!$AE$2:$AG$2)/10^9),0)</f>
        <v>0</v>
      </c>
      <c r="AW1495" s="160">
        <f>IF($AI$1354&gt;0,IPMT('Assumptions (Hydro)'!$V$6,Model!AK$1,'Assumptions (Hydro)'!$V$9,'Assumptions (Hydro)'!$V$4*Model!$AI$1354*AVERAGE('Assumptions (Hydro)'!$AE$2:$AG$2)/10^9),0)</f>
        <v>0</v>
      </c>
      <c r="AX1495" s="160"/>
      <c r="AY1495" s="160"/>
      <c r="AZ1495" s="160"/>
      <c r="BA1495" s="160"/>
      <c r="BB1495" s="160"/>
      <c r="BC1495" s="160"/>
      <c r="BD1495" s="160"/>
      <c r="BE1495" s="160"/>
      <c r="BF1495" s="160"/>
      <c r="BG1495" s="160"/>
    </row>
    <row r="1496" ht="15.75" hidden="1" customHeight="1" outlineLevel="1">
      <c r="A1496" s="273"/>
      <c r="B1496" s="38"/>
      <c r="C1496" s="174"/>
      <c r="D1496" s="174"/>
      <c r="E1496" s="174"/>
      <c r="F1496" s="174"/>
      <c r="G1496" s="174"/>
      <c r="H1496" s="174"/>
      <c r="I1496" s="174"/>
      <c r="J1496" s="174"/>
      <c r="K1496" s="174"/>
      <c r="L1496" s="174"/>
      <c r="M1496" s="174"/>
      <c r="N1496" s="174"/>
      <c r="O1496" s="174"/>
      <c r="P1496" s="174"/>
      <c r="Q1496" s="174"/>
      <c r="R1496" s="174"/>
      <c r="S1496" s="174"/>
      <c r="T1496" s="174"/>
      <c r="U1496" s="174"/>
      <c r="V1496" s="174"/>
      <c r="W1496" s="160"/>
      <c r="X1496" s="160"/>
      <c r="Y1496" s="160"/>
      <c r="Z1496" s="160"/>
      <c r="AA1496" s="160"/>
      <c r="AB1496" s="160"/>
      <c r="AC1496" s="160"/>
      <c r="AD1496" s="160"/>
      <c r="AE1496" s="160"/>
      <c r="AF1496" s="160"/>
      <c r="AG1496" s="160"/>
      <c r="AH1496" s="160"/>
      <c r="AI1496" s="160"/>
      <c r="AJ1496" s="177">
        <f>IF($AJ$1354&gt;0,IPMT('Assumptions (Hydro)'!$V$6,Model!W$1,'Assumptions (Hydro)'!$V$9,'Assumptions (Hydro)'!$V$4*Model!$AJ$1354*AVERAGE('Assumptions (Hydro)'!$AF$2:$AH$2)/10^9),0)</f>
        <v>0</v>
      </c>
      <c r="AK1496" s="177">
        <f>IF($AJ$1354&gt;0,IPMT('Assumptions (Hydro)'!$V$6,Model!X$1,'Assumptions (Hydro)'!$V$9,'Assumptions (Hydro)'!$V$4*Model!$AJ$1354*AVERAGE('Assumptions (Hydro)'!$AF$2:$AH$2)/10^9),0)</f>
        <v>0</v>
      </c>
      <c r="AL1496" s="177">
        <f>IF($AJ$1354&gt;0,IPMT('Assumptions (Hydro)'!$V$6,Model!Y$1,'Assumptions (Hydro)'!$V$9,'Assumptions (Hydro)'!$V$4*Model!$AJ$1354*AVERAGE('Assumptions (Hydro)'!$AF$2:$AH$2)/10^9),0)</f>
        <v>0</v>
      </c>
      <c r="AM1496" s="177">
        <f>IF($AJ$1354&gt;0,IPMT('Assumptions (Hydro)'!$V$6,Model!Z$1,'Assumptions (Hydro)'!$V$9,'Assumptions (Hydro)'!$V$4*Model!$AJ$1354*AVERAGE('Assumptions (Hydro)'!$AF$2:$AH$2)/10^9),0)</f>
        <v>0</v>
      </c>
      <c r="AN1496" s="177">
        <f>IF($AJ$1354&gt;0,IPMT('Assumptions (Hydro)'!$V$6,Model!AA$1,'Assumptions (Hydro)'!$V$9,'Assumptions (Hydro)'!$V$4*Model!$AJ$1354*AVERAGE('Assumptions (Hydro)'!$AF$2:$AH$2)/10^9),0)</f>
        <v>0</v>
      </c>
      <c r="AO1496" s="177">
        <f>IF($AJ$1354&gt;0,IPMT('Assumptions (Hydro)'!$V$6,Model!AB$1,'Assumptions (Hydro)'!$V$9,'Assumptions (Hydro)'!$V$4*Model!$AJ$1354*AVERAGE('Assumptions (Hydro)'!$AF$2:$AH$2)/10^9),0)</f>
        <v>0</v>
      </c>
      <c r="AP1496" s="177">
        <f>IF($AJ$1354&gt;0,IPMT('Assumptions (Hydro)'!$V$6,Model!AC$1,'Assumptions (Hydro)'!$V$9,'Assumptions (Hydro)'!$V$4*Model!$AJ$1354*AVERAGE('Assumptions (Hydro)'!$AF$2:$AH$2)/10^9),0)</f>
        <v>0</v>
      </c>
      <c r="AQ1496" s="177">
        <f>IF($AJ$1354&gt;0,IPMT('Assumptions (Hydro)'!$V$6,Model!AD$1,'Assumptions (Hydro)'!$V$9,'Assumptions (Hydro)'!$V$4*Model!$AJ$1354*AVERAGE('Assumptions (Hydro)'!$AF$2:$AH$2)/10^9),0)</f>
        <v>0</v>
      </c>
      <c r="AR1496" s="177">
        <f>IF($AJ$1354&gt;0,IPMT('Assumptions (Hydro)'!$V$6,Model!AE$1,'Assumptions (Hydro)'!$V$9,'Assumptions (Hydro)'!$V$4*Model!$AJ$1354*AVERAGE('Assumptions (Hydro)'!$AF$2:$AH$2)/10^9),0)</f>
        <v>0</v>
      </c>
      <c r="AS1496" s="177">
        <f>IF($AJ$1354&gt;0,IPMT('Assumptions (Hydro)'!$V$6,Model!AF$1,'Assumptions (Hydro)'!$V$9,'Assumptions (Hydro)'!$V$4*Model!$AJ$1354*AVERAGE('Assumptions (Hydro)'!$AF$2:$AH$2)/10^9),0)</f>
        <v>0</v>
      </c>
      <c r="AT1496" s="177">
        <f>IF($AJ$1354&gt;0,IPMT('Assumptions (Hydro)'!$V$6,Model!AG$1,'Assumptions (Hydro)'!$V$9,'Assumptions (Hydro)'!$V$4*Model!$AJ$1354*AVERAGE('Assumptions (Hydro)'!$AF$2:$AH$2)/10^9),0)</f>
        <v>0</v>
      </c>
      <c r="AU1496" s="177">
        <f>IF($AJ$1354&gt;0,IPMT('Assumptions (Hydro)'!$V$6,Model!AH$1,'Assumptions (Hydro)'!$V$9,'Assumptions (Hydro)'!$V$4*Model!$AJ$1354*AVERAGE('Assumptions (Hydro)'!$AF$2:$AH$2)/10^9),0)</f>
        <v>0</v>
      </c>
      <c r="AV1496" s="177">
        <f>IF($AJ$1354&gt;0,IPMT('Assumptions (Hydro)'!$V$6,Model!AI$1,'Assumptions (Hydro)'!$V$9,'Assumptions (Hydro)'!$V$4*Model!$AJ$1354*AVERAGE('Assumptions (Hydro)'!$AF$2:$AH$2)/10^9),0)</f>
        <v>0</v>
      </c>
      <c r="AW1496" s="177">
        <f>IF($AJ$1354&gt;0,IPMT('Assumptions (Hydro)'!$V$6,Model!AJ$1,'Assumptions (Hydro)'!$V$9,'Assumptions (Hydro)'!$V$4*Model!$AJ$1354*AVERAGE('Assumptions (Hydro)'!$AF$2:$AH$2)/10^9),0)</f>
        <v>0</v>
      </c>
      <c r="AX1496" s="177">
        <f>IF($AJ$1354&gt;0,IPMT('Assumptions (Hydro)'!$V$6,Model!AK$1,'Assumptions (Hydro)'!$V$9,'Assumptions (Hydro)'!$V$4*Model!$AJ$1354*AVERAGE('Assumptions (Hydro)'!$AF$2:$AH$2)/10^9),0)</f>
        <v>0</v>
      </c>
      <c r="AY1496" s="177"/>
      <c r="AZ1496" s="177"/>
      <c r="BA1496" s="177"/>
      <c r="BB1496" s="177"/>
      <c r="BC1496" s="177"/>
      <c r="BD1496" s="177"/>
      <c r="BE1496" s="177"/>
      <c r="BF1496" s="177"/>
      <c r="BG1496" s="177"/>
      <c r="BH1496" s="177"/>
    </row>
    <row r="1497" ht="15.75" hidden="1" customHeight="1" outlineLevel="1">
      <c r="A1497" s="273"/>
      <c r="B1497" s="38"/>
      <c r="C1497" s="174"/>
      <c r="D1497" s="174"/>
      <c r="E1497" s="174"/>
      <c r="F1497" s="174"/>
      <c r="G1497" s="174"/>
      <c r="H1497" s="174"/>
      <c r="I1497" s="174"/>
      <c r="J1497" s="174"/>
      <c r="K1497" s="174"/>
      <c r="L1497" s="174"/>
      <c r="M1497" s="174"/>
      <c r="N1497" s="174"/>
      <c r="O1497" s="174"/>
      <c r="P1497" s="174"/>
      <c r="Q1497" s="174"/>
      <c r="R1497" s="174"/>
      <c r="S1497" s="174"/>
      <c r="T1497" s="174"/>
      <c r="U1497" s="174"/>
      <c r="V1497" s="174"/>
      <c r="W1497" s="160"/>
      <c r="X1497" s="160"/>
      <c r="Y1497" s="160"/>
      <c r="Z1497" s="160"/>
      <c r="AA1497" s="160"/>
      <c r="AB1497" s="160"/>
      <c r="AC1497" s="160"/>
      <c r="AD1497" s="160"/>
      <c r="AE1497" s="160"/>
      <c r="AF1497" s="160"/>
      <c r="AG1497" s="160"/>
      <c r="AH1497" s="160"/>
      <c r="AI1497" s="160"/>
      <c r="AJ1497" s="179"/>
      <c r="AK1497" s="160">
        <f>IF($AK$1354&gt;0,IPMT('Assumptions (Hydro)'!$V$6,Model!W$1,'Assumptions (Hydro)'!$V$9,'Assumptions (Hydro)'!$V$4*Model!$AK$1354*AVERAGE('Assumptions (Hydro)'!$AG$2:$AI$2)/10^9),0)</f>
        <v>0</v>
      </c>
      <c r="AL1497" s="160">
        <f>IF($AK$1354&gt;0,IPMT('Assumptions (Hydro)'!$V$6,Model!X$1,'Assumptions (Hydro)'!$V$9,'Assumptions (Hydro)'!$V$4*Model!$AK$1354*AVERAGE('Assumptions (Hydro)'!$AG$2:$AI$2)/10^9),0)</f>
        <v>0</v>
      </c>
      <c r="AM1497" s="160">
        <f>IF($AK$1354&gt;0,IPMT('Assumptions (Hydro)'!$V$6,Model!Y$1,'Assumptions (Hydro)'!$V$9,'Assumptions (Hydro)'!$V$4*Model!$AK$1354*AVERAGE('Assumptions (Hydro)'!$AG$2:$AI$2)/10^9),0)</f>
        <v>0</v>
      </c>
      <c r="AN1497" s="160">
        <f>IF($AK$1354&gt;0,IPMT('Assumptions (Hydro)'!$V$6,Model!Z$1,'Assumptions (Hydro)'!$V$9,'Assumptions (Hydro)'!$V$4*Model!$AK$1354*AVERAGE('Assumptions (Hydro)'!$AG$2:$AI$2)/10^9),0)</f>
        <v>0</v>
      </c>
      <c r="AO1497" s="160">
        <f>IF($AK$1354&gt;0,IPMT('Assumptions (Hydro)'!$V$6,Model!AA$1,'Assumptions (Hydro)'!$V$9,'Assumptions (Hydro)'!$V$4*Model!$AK$1354*AVERAGE('Assumptions (Hydro)'!$AG$2:$AI$2)/10^9),0)</f>
        <v>0</v>
      </c>
      <c r="AP1497" s="160">
        <f>IF($AK$1354&gt;0,IPMT('Assumptions (Hydro)'!$V$6,Model!AB$1,'Assumptions (Hydro)'!$V$9,'Assumptions (Hydro)'!$V$4*Model!$AK$1354*AVERAGE('Assumptions (Hydro)'!$AG$2:$AI$2)/10^9),0)</f>
        <v>0</v>
      </c>
      <c r="AQ1497" s="160">
        <f>IF($AK$1354&gt;0,IPMT('Assumptions (Hydro)'!$V$6,Model!AC$1,'Assumptions (Hydro)'!$V$9,'Assumptions (Hydro)'!$V$4*Model!$AK$1354*AVERAGE('Assumptions (Hydro)'!$AG$2:$AI$2)/10^9),0)</f>
        <v>0</v>
      </c>
      <c r="AR1497" s="160">
        <f>IF($AK$1354&gt;0,IPMT('Assumptions (Hydro)'!$V$6,Model!AD$1,'Assumptions (Hydro)'!$V$9,'Assumptions (Hydro)'!$V$4*Model!$AK$1354*AVERAGE('Assumptions (Hydro)'!$AG$2:$AI$2)/10^9),0)</f>
        <v>0</v>
      </c>
      <c r="AS1497" s="160">
        <f>IF($AK$1354&gt;0,IPMT('Assumptions (Hydro)'!$V$6,Model!AE$1,'Assumptions (Hydro)'!$V$9,'Assumptions (Hydro)'!$V$4*Model!$AK$1354*AVERAGE('Assumptions (Hydro)'!$AG$2:$AI$2)/10^9),0)</f>
        <v>0</v>
      </c>
      <c r="AT1497" s="160">
        <f>IF($AK$1354&gt;0,IPMT('Assumptions (Hydro)'!$V$6,Model!AF$1,'Assumptions (Hydro)'!$V$9,'Assumptions (Hydro)'!$V$4*Model!$AK$1354*AVERAGE('Assumptions (Hydro)'!$AG$2:$AI$2)/10^9),0)</f>
        <v>0</v>
      </c>
      <c r="AU1497" s="160">
        <f>IF($AK$1354&gt;0,IPMT('Assumptions (Hydro)'!$V$6,Model!AG$1,'Assumptions (Hydro)'!$V$9,'Assumptions (Hydro)'!$V$4*Model!$AK$1354*AVERAGE('Assumptions (Hydro)'!$AG$2:$AI$2)/10^9),0)</f>
        <v>0</v>
      </c>
      <c r="AV1497" s="160">
        <f>IF($AK$1354&gt;0,IPMT('Assumptions (Hydro)'!$V$6,Model!AH$1,'Assumptions (Hydro)'!$V$9,'Assumptions (Hydro)'!$V$4*Model!$AK$1354*AVERAGE('Assumptions (Hydro)'!$AG$2:$AI$2)/10^9),0)</f>
        <v>0</v>
      </c>
      <c r="AW1497" s="160">
        <f>IF($AK$1354&gt;0,IPMT('Assumptions (Hydro)'!$V$6,Model!AI$1,'Assumptions (Hydro)'!$V$9,'Assumptions (Hydro)'!$V$4*Model!$AK$1354*AVERAGE('Assumptions (Hydro)'!$AG$2:$AI$2)/10^9),0)</f>
        <v>0</v>
      </c>
      <c r="AX1497" s="160">
        <f>IF($AK$1354&gt;0,IPMT('Assumptions (Hydro)'!$V$6,Model!AJ$1,'Assumptions (Hydro)'!$V$9,'Assumptions (Hydro)'!$V$4*Model!$AK$1354*AVERAGE('Assumptions (Hydro)'!$AG$2:$AI$2)/10^9),0)</f>
        <v>0</v>
      </c>
      <c r="AY1497" s="160">
        <f>IF($AK$1354&gt;0,IPMT('Assumptions (Hydro)'!$V$6,Model!AK$1,'Assumptions (Hydro)'!$V$9,'Assumptions (Hydro)'!$V$4*Model!$AK$1354*AVERAGE('Assumptions (Hydro)'!$AG$2:$AI$2)/10^9),0)</f>
        <v>0</v>
      </c>
      <c r="AZ1497" s="160"/>
      <c r="BA1497" s="160"/>
      <c r="BB1497" s="160"/>
      <c r="BC1497" s="160"/>
      <c r="BD1497" s="160"/>
      <c r="BE1497" s="160"/>
      <c r="BF1497" s="160"/>
      <c r="BG1497" s="160"/>
      <c r="BH1497" s="160"/>
      <c r="BI1497" s="160"/>
    </row>
    <row r="1498" ht="15.75" hidden="1" customHeight="1" outlineLevel="1">
      <c r="A1498" s="273"/>
      <c r="B1498" s="38"/>
      <c r="C1498" s="174"/>
      <c r="D1498" s="174"/>
      <c r="E1498" s="174"/>
      <c r="F1498" s="174"/>
      <c r="G1498" s="174"/>
      <c r="H1498" s="174"/>
      <c r="I1498" s="174"/>
      <c r="J1498" s="174"/>
      <c r="K1498" s="174"/>
      <c r="L1498" s="174"/>
      <c r="M1498" s="174"/>
      <c r="N1498" s="174"/>
      <c r="O1498" s="174"/>
      <c r="P1498" s="174"/>
      <c r="Q1498" s="174"/>
      <c r="R1498" s="174"/>
      <c r="S1498" s="174"/>
      <c r="T1498" s="174"/>
      <c r="U1498" s="174"/>
      <c r="V1498" s="174"/>
      <c r="W1498" s="160"/>
      <c r="X1498" s="160"/>
      <c r="Y1498" s="160"/>
      <c r="Z1498" s="160"/>
      <c r="AA1498" s="160"/>
      <c r="AB1498" s="160"/>
      <c r="AC1498" s="160"/>
      <c r="AD1498" s="160"/>
      <c r="AE1498" s="160"/>
      <c r="AF1498" s="160"/>
      <c r="AG1498" s="160"/>
      <c r="AH1498" s="160"/>
      <c r="AI1498" s="160"/>
      <c r="AJ1498" s="179"/>
      <c r="AK1498" s="160"/>
      <c r="AL1498" s="177">
        <f>IF($AL$1354&gt;0,IPMT('Assumptions (Hydro)'!$V$6,Model!W$1,'Assumptions (Hydro)'!$V$9,'Assumptions (Hydro)'!$V$4*Model!$AL$1354*AVERAGE('Assumptions (Hydro)'!$AH$2:$AJ$2)/10^9),0)</f>
        <v>0</v>
      </c>
      <c r="AM1498" s="177">
        <f>IF($AL$1354&gt;0,IPMT('Assumptions (Hydro)'!$V$6,Model!X$1,'Assumptions (Hydro)'!$V$9,'Assumptions (Hydro)'!$V$4*Model!$AL$1354*AVERAGE('Assumptions (Hydro)'!$AH$2:$AJ$2)/10^9),0)</f>
        <v>0</v>
      </c>
      <c r="AN1498" s="177">
        <f>IF($AL$1354&gt;0,IPMT('Assumptions (Hydro)'!$V$6,Model!Y$1,'Assumptions (Hydro)'!$V$9,'Assumptions (Hydro)'!$V$4*Model!$AL$1354*AVERAGE('Assumptions (Hydro)'!$AH$2:$AJ$2)/10^9),0)</f>
        <v>0</v>
      </c>
      <c r="AO1498" s="177">
        <f>IF($AL$1354&gt;0,IPMT('Assumptions (Hydro)'!$V$6,Model!Z$1,'Assumptions (Hydro)'!$V$9,'Assumptions (Hydro)'!$V$4*Model!$AL$1354*AVERAGE('Assumptions (Hydro)'!$AH$2:$AJ$2)/10^9),0)</f>
        <v>0</v>
      </c>
      <c r="AP1498" s="177">
        <f>IF($AL$1354&gt;0,IPMT('Assumptions (Hydro)'!$V$6,Model!AA$1,'Assumptions (Hydro)'!$V$9,'Assumptions (Hydro)'!$V$4*Model!$AL$1354*AVERAGE('Assumptions (Hydro)'!$AH$2:$AJ$2)/10^9),0)</f>
        <v>0</v>
      </c>
      <c r="AQ1498" s="177">
        <f>IF($AL$1354&gt;0,IPMT('Assumptions (Hydro)'!$V$6,Model!AB$1,'Assumptions (Hydro)'!$V$9,'Assumptions (Hydro)'!$V$4*Model!$AL$1354*AVERAGE('Assumptions (Hydro)'!$AH$2:$AJ$2)/10^9),0)</f>
        <v>0</v>
      </c>
      <c r="AR1498" s="177">
        <f>IF($AL$1354&gt;0,IPMT('Assumptions (Hydro)'!$V$6,Model!AC$1,'Assumptions (Hydro)'!$V$9,'Assumptions (Hydro)'!$V$4*Model!$AL$1354*AVERAGE('Assumptions (Hydro)'!$AH$2:$AJ$2)/10^9),0)</f>
        <v>0</v>
      </c>
      <c r="AS1498" s="177">
        <f>IF($AL$1354&gt;0,IPMT('Assumptions (Hydro)'!$V$6,Model!AD$1,'Assumptions (Hydro)'!$V$9,'Assumptions (Hydro)'!$V$4*Model!$AL$1354*AVERAGE('Assumptions (Hydro)'!$AH$2:$AJ$2)/10^9),0)</f>
        <v>0</v>
      </c>
      <c r="AT1498" s="177">
        <f>IF($AL$1354&gt;0,IPMT('Assumptions (Hydro)'!$V$6,Model!AE$1,'Assumptions (Hydro)'!$V$9,'Assumptions (Hydro)'!$V$4*Model!$AL$1354*AVERAGE('Assumptions (Hydro)'!$AH$2:$AJ$2)/10^9),0)</f>
        <v>0</v>
      </c>
      <c r="AU1498" s="177">
        <f>IF($AL$1354&gt;0,IPMT('Assumptions (Hydro)'!$V$6,Model!AF$1,'Assumptions (Hydro)'!$V$9,'Assumptions (Hydro)'!$V$4*Model!$AL$1354*AVERAGE('Assumptions (Hydro)'!$AH$2:$AJ$2)/10^9),0)</f>
        <v>0</v>
      </c>
      <c r="AV1498" s="177">
        <f>IF($AL$1354&gt;0,IPMT('Assumptions (Hydro)'!$V$6,Model!AG$1,'Assumptions (Hydro)'!$V$9,'Assumptions (Hydro)'!$V$4*Model!$AL$1354*AVERAGE('Assumptions (Hydro)'!$AH$2:$AJ$2)/10^9),0)</f>
        <v>0</v>
      </c>
      <c r="AW1498" s="177">
        <f>IF($AL$1354&gt;0,IPMT('Assumptions (Hydro)'!$V$6,Model!AH$1,'Assumptions (Hydro)'!$V$9,'Assumptions (Hydro)'!$V$4*Model!$AL$1354*AVERAGE('Assumptions (Hydro)'!$AH$2:$AJ$2)/10^9),0)</f>
        <v>0</v>
      </c>
      <c r="AX1498" s="177">
        <f>IF($AL$1354&gt;0,IPMT('Assumptions (Hydro)'!$V$6,Model!AI$1,'Assumptions (Hydro)'!$V$9,'Assumptions (Hydro)'!$V$4*Model!$AL$1354*AVERAGE('Assumptions (Hydro)'!$AH$2:$AJ$2)/10^9),0)</f>
        <v>0</v>
      </c>
      <c r="AY1498" s="177">
        <f>IF($AL$1354&gt;0,IPMT('Assumptions (Hydro)'!$V$6,Model!AJ$1,'Assumptions (Hydro)'!$V$9,'Assumptions (Hydro)'!$V$4*Model!$AL$1354*AVERAGE('Assumptions (Hydro)'!$AH$2:$AJ$2)/10^9),0)</f>
        <v>0</v>
      </c>
      <c r="AZ1498" s="177">
        <f>IF($AL$1354&gt;0,IPMT('Assumptions (Hydro)'!$V$6,Model!AK$1,'Assumptions (Hydro)'!$V$9,'Assumptions (Hydro)'!$V$4*Model!$AL$1354*AVERAGE('Assumptions (Hydro)'!$AH$2:$AJ$2)/10^9),0)</f>
        <v>0</v>
      </c>
      <c r="BA1498" s="177"/>
      <c r="BB1498" s="177"/>
      <c r="BC1498" s="177"/>
      <c r="BD1498" s="177"/>
      <c r="BE1498" s="177"/>
      <c r="BF1498" s="177"/>
      <c r="BG1498" s="177"/>
      <c r="BH1498" s="177"/>
      <c r="BI1498" s="177"/>
      <c r="BJ1498" s="177"/>
    </row>
    <row r="1499" ht="15.75" hidden="1" customHeight="1" outlineLevel="1">
      <c r="A1499" s="273"/>
      <c r="B1499" s="38"/>
      <c r="C1499" s="174"/>
      <c r="D1499" s="174"/>
      <c r="E1499" s="174"/>
      <c r="F1499" s="174"/>
      <c r="G1499" s="174"/>
      <c r="H1499" s="174"/>
      <c r="I1499" s="174"/>
      <c r="J1499" s="174"/>
      <c r="K1499" s="174"/>
      <c r="L1499" s="174"/>
      <c r="M1499" s="174"/>
      <c r="N1499" s="174"/>
      <c r="O1499" s="174"/>
      <c r="P1499" s="174"/>
      <c r="Q1499" s="174"/>
      <c r="R1499" s="174"/>
      <c r="S1499" s="174"/>
      <c r="T1499" s="174"/>
      <c r="U1499" s="174"/>
      <c r="V1499" s="174"/>
      <c r="W1499" s="160"/>
      <c r="X1499" s="160"/>
      <c r="Y1499" s="160"/>
      <c r="Z1499" s="160"/>
      <c r="AA1499" s="160"/>
      <c r="AB1499" s="160"/>
      <c r="AC1499" s="160"/>
      <c r="AD1499" s="160"/>
      <c r="AE1499" s="160"/>
      <c r="AF1499" s="160"/>
      <c r="AG1499" s="160"/>
      <c r="AH1499" s="160"/>
      <c r="AI1499" s="160"/>
      <c r="AJ1499" s="179"/>
      <c r="AK1499" s="160"/>
      <c r="AL1499" s="177"/>
      <c r="AM1499" s="160">
        <f>IF($AM$1354&gt;0,IPMT('Assumptions (Hydro)'!$V$6,Model!W$1,'Assumptions (Hydro)'!$V$9,'Assumptions (Hydro)'!$V$4*Model!$AM$1354*AVERAGE('Assumptions (Hydro)'!$AI$2:$AK$2)/10^9),0)</f>
        <v>0</v>
      </c>
      <c r="AN1499" s="160">
        <f>IF($AM$1354&gt;0,IPMT('Assumptions (Hydro)'!$V$6,Model!X$1,'Assumptions (Hydro)'!$V$9,'Assumptions (Hydro)'!$V$4*Model!$AM$1354*AVERAGE('Assumptions (Hydro)'!$AI$2:$AK$2)/10^9),0)</f>
        <v>0</v>
      </c>
      <c r="AO1499" s="160">
        <f>IF($AM$1354&gt;0,IPMT('Assumptions (Hydro)'!$V$6,Model!Y$1,'Assumptions (Hydro)'!$V$9,'Assumptions (Hydro)'!$V$4*Model!$AM$1354*AVERAGE('Assumptions (Hydro)'!$AI$2:$AK$2)/10^9),0)</f>
        <v>0</v>
      </c>
      <c r="AP1499" s="160">
        <f>IF($AM$1354&gt;0,IPMT('Assumptions (Hydro)'!$V$6,Model!Z$1,'Assumptions (Hydro)'!$V$9,'Assumptions (Hydro)'!$V$4*Model!$AM$1354*AVERAGE('Assumptions (Hydro)'!$AI$2:$AK$2)/10^9),0)</f>
        <v>0</v>
      </c>
      <c r="AQ1499" s="160">
        <f>IF($AM$1354&gt;0,IPMT('Assumptions (Hydro)'!$V$6,Model!AA$1,'Assumptions (Hydro)'!$V$9,'Assumptions (Hydro)'!$V$4*Model!$AM$1354*AVERAGE('Assumptions (Hydro)'!$AI$2:$AK$2)/10^9),0)</f>
        <v>0</v>
      </c>
      <c r="AR1499" s="160">
        <f>IF($AM$1354&gt;0,IPMT('Assumptions (Hydro)'!$V$6,Model!AB$1,'Assumptions (Hydro)'!$V$9,'Assumptions (Hydro)'!$V$4*Model!$AM$1354*AVERAGE('Assumptions (Hydro)'!$AI$2:$AK$2)/10^9),0)</f>
        <v>0</v>
      </c>
      <c r="AS1499" s="160">
        <f>IF($AM$1354&gt;0,IPMT('Assumptions (Hydro)'!$V$6,Model!AC$1,'Assumptions (Hydro)'!$V$9,'Assumptions (Hydro)'!$V$4*Model!$AM$1354*AVERAGE('Assumptions (Hydro)'!$AI$2:$AK$2)/10^9),0)</f>
        <v>0</v>
      </c>
      <c r="AT1499" s="160">
        <f>IF($AM$1354&gt;0,IPMT('Assumptions (Hydro)'!$V$6,Model!AD$1,'Assumptions (Hydro)'!$V$9,'Assumptions (Hydro)'!$V$4*Model!$AM$1354*AVERAGE('Assumptions (Hydro)'!$AI$2:$AK$2)/10^9),0)</f>
        <v>0</v>
      </c>
      <c r="AU1499" s="160">
        <f>IF($AM$1354&gt;0,IPMT('Assumptions (Hydro)'!$V$6,Model!AE$1,'Assumptions (Hydro)'!$V$9,'Assumptions (Hydro)'!$V$4*Model!$AM$1354*AVERAGE('Assumptions (Hydro)'!$AI$2:$AK$2)/10^9),0)</f>
        <v>0</v>
      </c>
      <c r="AV1499" s="160">
        <f>IF($AM$1354&gt;0,IPMT('Assumptions (Hydro)'!$V$6,Model!AF$1,'Assumptions (Hydro)'!$V$9,'Assumptions (Hydro)'!$V$4*Model!$AM$1354*AVERAGE('Assumptions (Hydro)'!$AI$2:$AK$2)/10^9),0)</f>
        <v>0</v>
      </c>
      <c r="AW1499" s="160">
        <f>IF($AM$1354&gt;0,IPMT('Assumptions (Hydro)'!$V$6,Model!AG$1,'Assumptions (Hydro)'!$V$9,'Assumptions (Hydro)'!$V$4*Model!$AM$1354*AVERAGE('Assumptions (Hydro)'!$AI$2:$AK$2)/10^9),0)</f>
        <v>0</v>
      </c>
      <c r="AX1499" s="160">
        <f>IF($AM$1354&gt;0,IPMT('Assumptions (Hydro)'!$V$6,Model!AH$1,'Assumptions (Hydro)'!$V$9,'Assumptions (Hydro)'!$V$4*Model!$AM$1354*AVERAGE('Assumptions (Hydro)'!$AI$2:$AK$2)/10^9),0)</f>
        <v>0</v>
      </c>
      <c r="AY1499" s="160">
        <f>IF($AM$1354&gt;0,IPMT('Assumptions (Hydro)'!$V$6,Model!AI$1,'Assumptions (Hydro)'!$V$9,'Assumptions (Hydro)'!$V$4*Model!$AM$1354*AVERAGE('Assumptions (Hydro)'!$AI$2:$AK$2)/10^9),0)</f>
        <v>0</v>
      </c>
      <c r="AZ1499" s="160">
        <f>IF($AM$1354&gt;0,IPMT('Assumptions (Hydro)'!$V$6,Model!AJ$1,'Assumptions (Hydro)'!$V$9,'Assumptions (Hydro)'!$V$4*Model!$AM$1354*AVERAGE('Assumptions (Hydro)'!$AI$2:$AK$2)/10^9),0)</f>
        <v>0</v>
      </c>
      <c r="BA1499" s="160">
        <f>IF($AM$1354&gt;0,IPMT('Assumptions (Hydro)'!$V$6,Model!AK$1,'Assumptions (Hydro)'!$V$9,'Assumptions (Hydro)'!$V$4*Model!$AM$1354*AVERAGE('Assumptions (Hydro)'!$AI$2:$AK$2)/10^9),0)</f>
        <v>0</v>
      </c>
      <c r="BB1499" s="160"/>
      <c r="BC1499" s="160"/>
      <c r="BD1499" s="160"/>
      <c r="BE1499" s="160"/>
      <c r="BF1499" s="160"/>
      <c r="BG1499" s="160"/>
      <c r="BH1499" s="160"/>
      <c r="BI1499" s="160"/>
      <c r="BJ1499" s="160"/>
      <c r="BK1499" s="160"/>
    </row>
    <row r="1500" ht="15.75" hidden="1" customHeight="1" outlineLevel="1">
      <c r="A1500" s="273"/>
      <c r="B1500" s="38"/>
      <c r="C1500" s="174"/>
      <c r="D1500" s="174"/>
      <c r="E1500" s="174"/>
      <c r="F1500" s="174"/>
      <c r="G1500" s="174"/>
      <c r="H1500" s="174"/>
      <c r="I1500" s="174"/>
      <c r="J1500" s="174"/>
      <c r="K1500" s="174"/>
      <c r="L1500" s="174"/>
      <c r="M1500" s="174"/>
      <c r="N1500" s="174"/>
      <c r="O1500" s="174"/>
      <c r="P1500" s="174"/>
      <c r="Q1500" s="174"/>
      <c r="R1500" s="174"/>
      <c r="S1500" s="174"/>
      <c r="T1500" s="174"/>
      <c r="U1500" s="174"/>
      <c r="V1500" s="174"/>
      <c r="W1500" s="160"/>
      <c r="X1500" s="160"/>
      <c r="Y1500" s="160"/>
      <c r="Z1500" s="160"/>
      <c r="AA1500" s="160"/>
      <c r="AB1500" s="160"/>
      <c r="AC1500" s="160"/>
      <c r="AD1500" s="160"/>
      <c r="AE1500" s="160"/>
      <c r="AF1500" s="160"/>
      <c r="AG1500" s="160"/>
      <c r="AH1500" s="160"/>
      <c r="AI1500" s="160"/>
      <c r="AJ1500" s="179"/>
      <c r="AK1500" s="160"/>
      <c r="AL1500" s="177"/>
      <c r="AM1500" s="177"/>
      <c r="AN1500" s="160">
        <f>IF($AN$1354&gt;0,IPMT('Assumptions (Hydro)'!$V$6,Model!W$1,'Assumptions (Hydro)'!$V$9,'Assumptions (Hydro)'!$V$4*Model!$AN$1354*AVERAGE('Assumptions (Hydro)'!$AJ$2:$AL$2)/10^9),0)</f>
        <v>0</v>
      </c>
      <c r="AO1500" s="160">
        <f>IF($AN$1354&gt;0,IPMT('Assumptions (Hydro)'!$V$6,Model!X$1,'Assumptions (Hydro)'!$V$9,'Assumptions (Hydro)'!$V$4*Model!$AN$1354*AVERAGE('Assumptions (Hydro)'!$AJ$2:$AL$2)/10^9),0)</f>
        <v>0</v>
      </c>
      <c r="AP1500" s="160">
        <f>IF($AN$1354&gt;0,IPMT('Assumptions (Hydro)'!$V$6,Model!Y$1,'Assumptions (Hydro)'!$V$9,'Assumptions (Hydro)'!$V$4*Model!$AN$1354*AVERAGE('Assumptions (Hydro)'!$AJ$2:$AL$2)/10^9),0)</f>
        <v>0</v>
      </c>
      <c r="AQ1500" s="160">
        <f>IF($AN$1354&gt;0,IPMT('Assumptions (Hydro)'!$V$6,Model!Z$1,'Assumptions (Hydro)'!$V$9,'Assumptions (Hydro)'!$V$4*Model!$AN$1354*AVERAGE('Assumptions (Hydro)'!$AJ$2:$AL$2)/10^9),0)</f>
        <v>0</v>
      </c>
      <c r="AR1500" s="160">
        <f>IF($AN$1354&gt;0,IPMT('Assumptions (Hydro)'!$V$6,Model!AA$1,'Assumptions (Hydro)'!$V$9,'Assumptions (Hydro)'!$V$4*Model!$AN$1354*AVERAGE('Assumptions (Hydro)'!$AJ$2:$AL$2)/10^9),0)</f>
        <v>0</v>
      </c>
      <c r="AS1500" s="160">
        <f>IF($AN$1354&gt;0,IPMT('Assumptions (Hydro)'!$V$6,Model!AB$1,'Assumptions (Hydro)'!$V$9,'Assumptions (Hydro)'!$V$4*Model!$AN$1354*AVERAGE('Assumptions (Hydro)'!$AJ$2:$AL$2)/10^9),0)</f>
        <v>0</v>
      </c>
      <c r="AT1500" s="160">
        <f>IF($AN$1354&gt;0,IPMT('Assumptions (Hydro)'!$V$6,Model!AC$1,'Assumptions (Hydro)'!$V$9,'Assumptions (Hydro)'!$V$4*Model!$AN$1354*AVERAGE('Assumptions (Hydro)'!$AJ$2:$AL$2)/10^9),0)</f>
        <v>0</v>
      </c>
      <c r="AU1500" s="160">
        <f>IF($AN$1354&gt;0,IPMT('Assumptions (Hydro)'!$V$6,Model!AD$1,'Assumptions (Hydro)'!$V$9,'Assumptions (Hydro)'!$V$4*Model!$AN$1354*AVERAGE('Assumptions (Hydro)'!$AJ$2:$AL$2)/10^9),0)</f>
        <v>0</v>
      </c>
      <c r="AV1500" s="160">
        <f>IF($AN$1354&gt;0,IPMT('Assumptions (Hydro)'!$V$6,Model!AE$1,'Assumptions (Hydro)'!$V$9,'Assumptions (Hydro)'!$V$4*Model!$AN$1354*AVERAGE('Assumptions (Hydro)'!$AJ$2:$AL$2)/10^9),0)</f>
        <v>0</v>
      </c>
      <c r="AW1500" s="160">
        <f>IF($AN$1354&gt;0,IPMT('Assumptions (Hydro)'!$V$6,Model!AF$1,'Assumptions (Hydro)'!$V$9,'Assumptions (Hydro)'!$V$4*Model!$AN$1354*AVERAGE('Assumptions (Hydro)'!$AJ$2:$AL$2)/10^9),0)</f>
        <v>0</v>
      </c>
      <c r="AX1500" s="160">
        <f>IF($AN$1354&gt;0,IPMT('Assumptions (Hydro)'!$V$6,Model!AG$1,'Assumptions (Hydro)'!$V$9,'Assumptions (Hydro)'!$V$4*Model!$AN$1354*AVERAGE('Assumptions (Hydro)'!$AJ$2:$AL$2)/10^9),0)</f>
        <v>0</v>
      </c>
      <c r="AY1500" s="160">
        <f>IF($AN$1354&gt;0,IPMT('Assumptions (Hydro)'!$V$6,Model!AH$1,'Assumptions (Hydro)'!$V$9,'Assumptions (Hydro)'!$V$4*Model!$AN$1354*AVERAGE('Assumptions (Hydro)'!$AJ$2:$AL$2)/10^9),0)</f>
        <v>0</v>
      </c>
      <c r="AZ1500" s="160">
        <f>IF($AN$1354&gt;0,IPMT('Assumptions (Hydro)'!$V$6,Model!AI$1,'Assumptions (Hydro)'!$V$9,'Assumptions (Hydro)'!$V$4*Model!$AN$1354*AVERAGE('Assumptions (Hydro)'!$AJ$2:$AL$2)/10^9),0)</f>
        <v>0</v>
      </c>
      <c r="BA1500" s="160">
        <f>IF($AN$1354&gt;0,IPMT('Assumptions (Hydro)'!$V$6,Model!AJ$1,'Assumptions (Hydro)'!$V$9,'Assumptions (Hydro)'!$V$4*Model!$AN$1354*AVERAGE('Assumptions (Hydro)'!$AJ$2:$AL$2)/10^9),0)</f>
        <v>0</v>
      </c>
      <c r="BB1500" s="160">
        <f>IF($AN$1354&gt;0,IPMT('Assumptions (Hydro)'!$V$6,Model!AK$1,'Assumptions (Hydro)'!$V$9,'Assumptions (Hydro)'!$V$4*Model!$AN$1354*AVERAGE('Assumptions (Hydro)'!$AJ$2:$AL$2)/10^9),0)</f>
        <v>0</v>
      </c>
      <c r="BC1500" s="160"/>
      <c r="BD1500" s="160"/>
      <c r="BE1500" s="160"/>
      <c r="BF1500" s="160"/>
      <c r="BG1500" s="160"/>
      <c r="BH1500" s="160"/>
      <c r="BI1500" s="160"/>
      <c r="BJ1500" s="160"/>
      <c r="BK1500" s="160"/>
      <c r="BL1500" s="160"/>
    </row>
    <row r="1501" ht="15.75" hidden="1" customHeight="1" outlineLevel="1">
      <c r="A1501" s="273"/>
      <c r="B1501" s="38"/>
      <c r="C1501" s="174"/>
      <c r="D1501" s="174"/>
      <c r="E1501" s="174"/>
      <c r="F1501" s="174"/>
      <c r="G1501" s="174"/>
      <c r="H1501" s="174"/>
      <c r="I1501" s="174"/>
      <c r="J1501" s="174"/>
      <c r="K1501" s="174"/>
      <c r="L1501" s="174"/>
      <c r="M1501" s="174"/>
      <c r="N1501" s="174"/>
      <c r="O1501" s="174"/>
      <c r="P1501" s="174"/>
      <c r="Q1501" s="174"/>
      <c r="R1501" s="174"/>
      <c r="S1501" s="174"/>
      <c r="T1501" s="174"/>
      <c r="U1501" s="174"/>
      <c r="V1501" s="174"/>
      <c r="W1501" s="160"/>
      <c r="X1501" s="160"/>
      <c r="Y1501" s="160"/>
      <c r="Z1501" s="160"/>
      <c r="AA1501" s="160"/>
      <c r="AB1501" s="160"/>
      <c r="AC1501" s="160"/>
      <c r="AD1501" s="160"/>
      <c r="AE1501" s="160"/>
      <c r="AF1501" s="160"/>
      <c r="AG1501" s="160"/>
      <c r="AH1501" s="160"/>
      <c r="AI1501" s="160"/>
      <c r="AJ1501" s="179"/>
      <c r="AK1501" s="160"/>
      <c r="AL1501" s="177"/>
      <c r="AM1501" s="177"/>
      <c r="AN1501" s="177"/>
      <c r="AO1501" s="160">
        <f>IF($AO$1354&gt;0,IPMT('Assumptions (Hydro)'!$V$6,Model!W$1,'Assumptions (Hydro)'!$V$9,'Assumptions (Hydro)'!$V$4*Model!$AO$1354*AVERAGE('Assumptions (Hydro)'!$AK$2:$AM$2)/10^9),0)</f>
        <v>0</v>
      </c>
      <c r="AP1501" s="160">
        <f>IF($AO$1354&gt;0,IPMT('Assumptions (Hydro)'!$V$6,Model!X$1,'Assumptions (Hydro)'!$V$9,'Assumptions (Hydro)'!$V$4*Model!$AO$1354*AVERAGE('Assumptions (Hydro)'!$AK$2:$AM$2)/10^9),0)</f>
        <v>0</v>
      </c>
      <c r="AQ1501" s="160">
        <f>IF($AO$1354&gt;0,IPMT('Assumptions (Hydro)'!$V$6,Model!Y$1,'Assumptions (Hydro)'!$V$9,'Assumptions (Hydro)'!$V$4*Model!$AO$1354*AVERAGE('Assumptions (Hydro)'!$AK$2:$AM$2)/10^9),0)</f>
        <v>0</v>
      </c>
      <c r="AR1501" s="160">
        <f>IF($AO$1354&gt;0,IPMT('Assumptions (Hydro)'!$V$6,Model!Z$1,'Assumptions (Hydro)'!$V$9,'Assumptions (Hydro)'!$V$4*Model!$AO$1354*AVERAGE('Assumptions (Hydro)'!$AK$2:$AM$2)/10^9),0)</f>
        <v>0</v>
      </c>
      <c r="AS1501" s="160">
        <f>IF($AO$1354&gt;0,IPMT('Assumptions (Hydro)'!$V$6,Model!AA$1,'Assumptions (Hydro)'!$V$9,'Assumptions (Hydro)'!$V$4*Model!$AO$1354*AVERAGE('Assumptions (Hydro)'!$AK$2:$AM$2)/10^9),0)</f>
        <v>0</v>
      </c>
      <c r="AT1501" s="160">
        <f>IF($AO$1354&gt;0,IPMT('Assumptions (Hydro)'!$V$6,Model!AB$1,'Assumptions (Hydro)'!$V$9,'Assumptions (Hydro)'!$V$4*Model!$AO$1354*AVERAGE('Assumptions (Hydro)'!$AK$2:$AM$2)/10^9),0)</f>
        <v>0</v>
      </c>
      <c r="AU1501" s="160">
        <f>IF($AO$1354&gt;0,IPMT('Assumptions (Hydro)'!$V$6,Model!AC$1,'Assumptions (Hydro)'!$V$9,'Assumptions (Hydro)'!$V$4*Model!$AO$1354*AVERAGE('Assumptions (Hydro)'!$AK$2:$AM$2)/10^9),0)</f>
        <v>0</v>
      </c>
      <c r="AV1501" s="160">
        <f>IF($AO$1354&gt;0,IPMT('Assumptions (Hydro)'!$V$6,Model!AD$1,'Assumptions (Hydro)'!$V$9,'Assumptions (Hydro)'!$V$4*Model!$AO$1354*AVERAGE('Assumptions (Hydro)'!$AK$2:$AM$2)/10^9),0)</f>
        <v>0</v>
      </c>
      <c r="AW1501" s="160">
        <f>IF($AO$1354&gt;0,IPMT('Assumptions (Hydro)'!$V$6,Model!AE$1,'Assumptions (Hydro)'!$V$9,'Assumptions (Hydro)'!$V$4*Model!$AO$1354*AVERAGE('Assumptions (Hydro)'!$AK$2:$AM$2)/10^9),0)</f>
        <v>0</v>
      </c>
      <c r="AX1501" s="160">
        <f>IF($AO$1354&gt;0,IPMT('Assumptions (Hydro)'!$V$6,Model!AF$1,'Assumptions (Hydro)'!$V$9,'Assumptions (Hydro)'!$V$4*Model!$AO$1354*AVERAGE('Assumptions (Hydro)'!$AK$2:$AM$2)/10^9),0)</f>
        <v>0</v>
      </c>
      <c r="AY1501" s="160">
        <f>IF($AO$1354&gt;0,IPMT('Assumptions (Hydro)'!$V$6,Model!AG$1,'Assumptions (Hydro)'!$V$9,'Assumptions (Hydro)'!$V$4*Model!$AO$1354*AVERAGE('Assumptions (Hydro)'!$AK$2:$AM$2)/10^9),0)</f>
        <v>0</v>
      </c>
      <c r="AZ1501" s="160">
        <f>IF($AO$1354&gt;0,IPMT('Assumptions (Hydro)'!$V$6,Model!AH$1,'Assumptions (Hydro)'!$V$9,'Assumptions (Hydro)'!$V$4*Model!$AO$1354*AVERAGE('Assumptions (Hydro)'!$AK$2:$AM$2)/10^9),0)</f>
        <v>0</v>
      </c>
      <c r="BA1501" s="160">
        <f>IF($AO$1354&gt;0,IPMT('Assumptions (Hydro)'!$V$6,Model!AI$1,'Assumptions (Hydro)'!$V$9,'Assumptions (Hydro)'!$V$4*Model!$AO$1354*AVERAGE('Assumptions (Hydro)'!$AK$2:$AM$2)/10^9),0)</f>
        <v>0</v>
      </c>
      <c r="BB1501" s="160">
        <f>IF($AO$1354&gt;0,IPMT('Assumptions (Hydro)'!$V$6,Model!AJ$1,'Assumptions (Hydro)'!$V$9,'Assumptions (Hydro)'!$V$4*Model!$AO$1354*AVERAGE('Assumptions (Hydro)'!$AK$2:$AM$2)/10^9),0)</f>
        <v>0</v>
      </c>
      <c r="BC1501" s="160">
        <f>IF($AO$1354&gt;0,IPMT('Assumptions (Hydro)'!$V$6,Model!AK$1,'Assumptions (Hydro)'!$V$9,'Assumptions (Hydro)'!$V$4*Model!$AO$1354*AVERAGE('Assumptions (Hydro)'!$AK$2:$AM$2)/10^9),0)</f>
        <v>0</v>
      </c>
      <c r="BD1501" s="160"/>
      <c r="BE1501" s="160"/>
      <c r="BF1501" s="160"/>
      <c r="BG1501" s="160"/>
      <c r="BH1501" s="160"/>
      <c r="BI1501" s="160"/>
      <c r="BJ1501" s="160"/>
      <c r="BK1501" s="160"/>
      <c r="BL1501" s="160"/>
      <c r="BM1501" s="160"/>
    </row>
    <row r="1502" ht="15.75" hidden="1" customHeight="1" outlineLevel="1">
      <c r="A1502" s="273"/>
      <c r="B1502" s="38"/>
      <c r="C1502" s="174"/>
      <c r="D1502" s="174"/>
      <c r="E1502" s="174"/>
      <c r="F1502" s="174"/>
      <c r="G1502" s="174"/>
      <c r="H1502" s="174"/>
      <c r="I1502" s="174"/>
      <c r="J1502" s="174"/>
      <c r="K1502" s="174"/>
      <c r="L1502" s="174"/>
      <c r="M1502" s="174"/>
      <c r="N1502" s="174"/>
      <c r="O1502" s="174"/>
      <c r="P1502" s="174"/>
      <c r="Q1502" s="174"/>
      <c r="R1502" s="174"/>
      <c r="S1502" s="174"/>
      <c r="T1502" s="174"/>
      <c r="U1502" s="174"/>
      <c r="V1502" s="174"/>
      <c r="W1502" s="160"/>
      <c r="X1502" s="160"/>
      <c r="Y1502" s="160"/>
      <c r="Z1502" s="160"/>
      <c r="AA1502" s="160"/>
      <c r="AB1502" s="160"/>
      <c r="AC1502" s="160"/>
      <c r="AD1502" s="160"/>
      <c r="AE1502" s="160"/>
      <c r="AF1502" s="160"/>
      <c r="AG1502" s="160"/>
      <c r="AH1502" s="160"/>
      <c r="AI1502" s="160"/>
      <c r="AJ1502" s="179"/>
      <c r="AK1502" s="160"/>
      <c r="AL1502" s="177"/>
      <c r="AM1502" s="177"/>
      <c r="AN1502" s="177"/>
      <c r="AO1502" s="160"/>
      <c r="AP1502" s="160">
        <f>IF($AP$1354&gt;0,IPMT('Assumptions (Hydro)'!$V$6,Model!W$1,'Assumptions (Hydro)'!$V$9,'Assumptions (Hydro)'!$V$4*Model!$AP$1354*AVERAGE('Assumptions (Hydro)'!$AL$2:$AN$2)/10^9),0)</f>
        <v>0</v>
      </c>
      <c r="AQ1502" s="160">
        <f>IF($AP$1354&gt;0,IPMT('Assumptions (Hydro)'!$V$6,Model!X$1,'Assumptions (Hydro)'!$V$9,'Assumptions (Hydro)'!$V$4*Model!$AP$1354*AVERAGE('Assumptions (Hydro)'!$AL$2:$AN$2)/10^9),0)</f>
        <v>0</v>
      </c>
      <c r="AR1502" s="160">
        <f>IF($AP$1354&gt;0,IPMT('Assumptions (Hydro)'!$V$6,Model!Y$1,'Assumptions (Hydro)'!$V$9,'Assumptions (Hydro)'!$V$4*Model!$AP$1354*AVERAGE('Assumptions (Hydro)'!$AL$2:$AN$2)/10^9),0)</f>
        <v>0</v>
      </c>
      <c r="AS1502" s="160">
        <f>IF($AP$1354&gt;0,IPMT('Assumptions (Hydro)'!$V$6,Model!Z$1,'Assumptions (Hydro)'!$V$9,'Assumptions (Hydro)'!$V$4*Model!$AP$1354*AVERAGE('Assumptions (Hydro)'!$AL$2:$AN$2)/10^9),0)</f>
        <v>0</v>
      </c>
      <c r="AT1502" s="160">
        <f>IF($AP$1354&gt;0,IPMT('Assumptions (Hydro)'!$V$6,Model!AA$1,'Assumptions (Hydro)'!$V$9,'Assumptions (Hydro)'!$V$4*Model!$AP$1354*AVERAGE('Assumptions (Hydro)'!$AL$2:$AN$2)/10^9),0)</f>
        <v>0</v>
      </c>
      <c r="AU1502" s="160">
        <f>IF($AP$1354&gt;0,IPMT('Assumptions (Hydro)'!$V$6,Model!AB$1,'Assumptions (Hydro)'!$V$9,'Assumptions (Hydro)'!$V$4*Model!$AP$1354*AVERAGE('Assumptions (Hydro)'!$AL$2:$AN$2)/10^9),0)</f>
        <v>0</v>
      </c>
      <c r="AV1502" s="160">
        <f>IF($AP$1354&gt;0,IPMT('Assumptions (Hydro)'!$V$6,Model!AC$1,'Assumptions (Hydro)'!$V$9,'Assumptions (Hydro)'!$V$4*Model!$AP$1354*AVERAGE('Assumptions (Hydro)'!$AL$2:$AN$2)/10^9),0)</f>
        <v>0</v>
      </c>
      <c r="AW1502" s="160">
        <f>IF($AP$1354&gt;0,IPMT('Assumptions (Hydro)'!$V$6,Model!AD$1,'Assumptions (Hydro)'!$V$9,'Assumptions (Hydro)'!$V$4*Model!$AP$1354*AVERAGE('Assumptions (Hydro)'!$AL$2:$AN$2)/10^9),0)</f>
        <v>0</v>
      </c>
      <c r="AX1502" s="160">
        <f>IF($AP$1354&gt;0,IPMT('Assumptions (Hydro)'!$V$6,Model!AE$1,'Assumptions (Hydro)'!$V$9,'Assumptions (Hydro)'!$V$4*Model!$AP$1354*AVERAGE('Assumptions (Hydro)'!$AL$2:$AN$2)/10^9),0)</f>
        <v>0</v>
      </c>
      <c r="AY1502" s="160">
        <f>IF($AP$1354&gt;0,IPMT('Assumptions (Hydro)'!$V$6,Model!AF$1,'Assumptions (Hydro)'!$V$9,'Assumptions (Hydro)'!$V$4*Model!$AP$1354*AVERAGE('Assumptions (Hydro)'!$AL$2:$AN$2)/10^9),0)</f>
        <v>0</v>
      </c>
      <c r="AZ1502" s="160">
        <f>IF($AP$1354&gt;0,IPMT('Assumptions (Hydro)'!$V$6,Model!AG$1,'Assumptions (Hydro)'!$V$9,'Assumptions (Hydro)'!$V$4*Model!$AP$1354*AVERAGE('Assumptions (Hydro)'!$AL$2:$AN$2)/10^9),0)</f>
        <v>0</v>
      </c>
      <c r="BA1502" s="160">
        <f>IF($AP$1354&gt;0,IPMT('Assumptions (Hydro)'!$V$6,Model!AH$1,'Assumptions (Hydro)'!$V$9,'Assumptions (Hydro)'!$V$4*Model!$AP$1354*AVERAGE('Assumptions (Hydro)'!$AL$2:$AN$2)/10^9),0)</f>
        <v>0</v>
      </c>
      <c r="BB1502" s="160">
        <f>IF($AP$1354&gt;0,IPMT('Assumptions (Hydro)'!$V$6,Model!AI$1,'Assumptions (Hydro)'!$V$9,'Assumptions (Hydro)'!$V$4*Model!$AP$1354*AVERAGE('Assumptions (Hydro)'!$AL$2:$AN$2)/10^9),0)</f>
        <v>0</v>
      </c>
      <c r="BC1502" s="160">
        <f>IF($AP$1354&gt;0,IPMT('Assumptions (Hydro)'!$V$6,Model!AJ$1,'Assumptions (Hydro)'!$V$9,'Assumptions (Hydro)'!$V$4*Model!$AP$1354*AVERAGE('Assumptions (Hydro)'!$AL$2:$AN$2)/10^9),0)</f>
        <v>0</v>
      </c>
      <c r="BD1502" s="160">
        <f>IF($AP$1354&gt;0,IPMT('Assumptions (Hydro)'!$V$6,Model!AK$1,'Assumptions (Hydro)'!$V$9,'Assumptions (Hydro)'!$V$4*Model!$AP$1354*AVERAGE('Assumptions (Hydro)'!$AL$2:$AN$2)/10^9),0)</f>
        <v>0</v>
      </c>
      <c r="BE1502" s="160"/>
      <c r="BF1502" s="160"/>
      <c r="BG1502" s="160"/>
      <c r="BH1502" s="160"/>
      <c r="BI1502" s="160"/>
      <c r="BJ1502" s="160"/>
      <c r="BK1502" s="160"/>
      <c r="BL1502" s="160"/>
      <c r="BM1502" s="160"/>
      <c r="BN1502" s="160"/>
    </row>
    <row r="1503" ht="15.75" hidden="1" customHeight="1" outlineLevel="1">
      <c r="A1503" s="273"/>
      <c r="B1503" s="38"/>
      <c r="C1503" s="174"/>
      <c r="D1503" s="174"/>
      <c r="E1503" s="174"/>
      <c r="F1503" s="174"/>
      <c r="G1503" s="174"/>
      <c r="H1503" s="174"/>
      <c r="I1503" s="174"/>
      <c r="J1503" s="174"/>
      <c r="K1503" s="174"/>
      <c r="L1503" s="174"/>
      <c r="M1503" s="174"/>
      <c r="N1503" s="174"/>
      <c r="O1503" s="174"/>
      <c r="P1503" s="174"/>
      <c r="Q1503" s="174"/>
      <c r="R1503" s="174"/>
      <c r="S1503" s="174"/>
      <c r="T1503" s="174"/>
      <c r="U1503" s="174"/>
      <c r="V1503" s="174"/>
      <c r="W1503" s="160"/>
      <c r="X1503" s="160"/>
      <c r="Y1503" s="160"/>
      <c r="Z1503" s="160"/>
      <c r="AA1503" s="160"/>
      <c r="AB1503" s="160"/>
      <c r="AC1503" s="160"/>
      <c r="AD1503" s="160"/>
      <c r="AE1503" s="160"/>
      <c r="AF1503" s="160"/>
      <c r="AG1503" s="160"/>
      <c r="AH1503" s="160"/>
      <c r="AI1503" s="160"/>
      <c r="AJ1503" s="179"/>
      <c r="AK1503" s="160"/>
      <c r="AL1503" s="177"/>
      <c r="AM1503" s="177"/>
      <c r="AN1503" s="177"/>
      <c r="AO1503" s="160"/>
      <c r="AP1503" s="160"/>
      <c r="AQ1503" s="160">
        <f>IF($AQ$1354&gt;0,IPMT('Assumptions (Hydro)'!$V$6,Model!W$1,'Assumptions (Hydro)'!$V$9,'Assumptions (Hydro)'!$V$4*Model!$AQ$1354*AVERAGE('Assumptions (Hydro)'!$AM$2:$AO$2)/10^9),0)</f>
        <v>0</v>
      </c>
      <c r="AR1503" s="160">
        <f>IF($AQ$1354&gt;0,IPMT('Assumptions (Hydro)'!$V$6,Model!X$1,'Assumptions (Hydro)'!$V$9,'Assumptions (Hydro)'!$V$4*Model!$AQ$1354*AVERAGE('Assumptions (Hydro)'!$AM$2:$AO$2)/10^9),0)</f>
        <v>0</v>
      </c>
      <c r="AS1503" s="160">
        <f>IF($AQ$1354&gt;0,IPMT('Assumptions (Hydro)'!$V$6,Model!Y$1,'Assumptions (Hydro)'!$V$9,'Assumptions (Hydro)'!$V$4*Model!$AQ$1354*AVERAGE('Assumptions (Hydro)'!$AM$2:$AO$2)/10^9),0)</f>
        <v>0</v>
      </c>
      <c r="AT1503" s="160">
        <f>IF($AQ$1354&gt;0,IPMT('Assumptions (Hydro)'!$V$6,Model!Z$1,'Assumptions (Hydro)'!$V$9,'Assumptions (Hydro)'!$V$4*Model!$AQ$1354*AVERAGE('Assumptions (Hydro)'!$AM$2:$AO$2)/10^9),0)</f>
        <v>0</v>
      </c>
      <c r="AU1503" s="160">
        <f>IF($AQ$1354&gt;0,IPMT('Assumptions (Hydro)'!$V$6,Model!AA$1,'Assumptions (Hydro)'!$V$9,'Assumptions (Hydro)'!$V$4*Model!$AQ$1354*AVERAGE('Assumptions (Hydro)'!$AM$2:$AO$2)/10^9),0)</f>
        <v>0</v>
      </c>
      <c r="AV1503" s="160">
        <f>IF($AQ$1354&gt;0,IPMT('Assumptions (Hydro)'!$V$6,Model!AB$1,'Assumptions (Hydro)'!$V$9,'Assumptions (Hydro)'!$V$4*Model!$AQ$1354*AVERAGE('Assumptions (Hydro)'!$AM$2:$AO$2)/10^9),0)</f>
        <v>0</v>
      </c>
      <c r="AW1503" s="160">
        <f>IF($AQ$1354&gt;0,IPMT('Assumptions (Hydro)'!$V$6,Model!AC$1,'Assumptions (Hydro)'!$V$9,'Assumptions (Hydro)'!$V$4*Model!$AQ$1354*AVERAGE('Assumptions (Hydro)'!$AM$2:$AO$2)/10^9),0)</f>
        <v>0</v>
      </c>
      <c r="AX1503" s="160">
        <f>IF($AQ$1354&gt;0,IPMT('Assumptions (Hydro)'!$V$6,Model!AD$1,'Assumptions (Hydro)'!$V$9,'Assumptions (Hydro)'!$V$4*Model!$AQ$1354*AVERAGE('Assumptions (Hydro)'!$AM$2:$AO$2)/10^9),0)</f>
        <v>0</v>
      </c>
      <c r="AY1503" s="160">
        <f>IF($AQ$1354&gt;0,IPMT('Assumptions (Hydro)'!$V$6,Model!AE$1,'Assumptions (Hydro)'!$V$9,'Assumptions (Hydro)'!$V$4*Model!$AQ$1354*AVERAGE('Assumptions (Hydro)'!$AM$2:$AO$2)/10^9),0)</f>
        <v>0</v>
      </c>
      <c r="AZ1503" s="160">
        <f>IF($AQ$1354&gt;0,IPMT('Assumptions (Hydro)'!$V$6,Model!AF$1,'Assumptions (Hydro)'!$V$9,'Assumptions (Hydro)'!$V$4*Model!$AQ$1354*AVERAGE('Assumptions (Hydro)'!$AM$2:$AO$2)/10^9),0)</f>
        <v>0</v>
      </c>
      <c r="BA1503" s="160">
        <f>IF($AQ$1354&gt;0,IPMT('Assumptions (Hydro)'!$V$6,Model!AG$1,'Assumptions (Hydro)'!$V$9,'Assumptions (Hydro)'!$V$4*Model!$AQ$1354*AVERAGE('Assumptions (Hydro)'!$AM$2:$AO$2)/10^9),0)</f>
        <v>0</v>
      </c>
      <c r="BB1503" s="160">
        <f>IF($AQ$1354&gt;0,IPMT('Assumptions (Hydro)'!$V$6,Model!AH$1,'Assumptions (Hydro)'!$V$9,'Assumptions (Hydro)'!$V$4*Model!$AQ$1354*AVERAGE('Assumptions (Hydro)'!$AM$2:$AO$2)/10^9),0)</f>
        <v>0</v>
      </c>
      <c r="BC1503" s="160">
        <f>IF($AQ$1354&gt;0,IPMT('Assumptions (Hydro)'!$V$6,Model!AI$1,'Assumptions (Hydro)'!$V$9,'Assumptions (Hydro)'!$V$4*Model!$AQ$1354*AVERAGE('Assumptions (Hydro)'!$AM$2:$AO$2)/10^9),0)</f>
        <v>0</v>
      </c>
      <c r="BD1503" s="160">
        <f>IF($AQ$1354&gt;0,IPMT('Assumptions (Hydro)'!$V$6,Model!AJ$1,'Assumptions (Hydro)'!$V$9,'Assumptions (Hydro)'!$V$4*Model!$AQ$1354*AVERAGE('Assumptions (Hydro)'!$AM$2:$AO$2)/10^9),0)</f>
        <v>0</v>
      </c>
      <c r="BE1503" s="160">
        <f>IF($AQ$1354&gt;0,IPMT('Assumptions (Hydro)'!$V$6,Model!AK$1,'Assumptions (Hydro)'!$V$9,'Assumptions (Hydro)'!$V$4*Model!$AQ$1354*AVERAGE('Assumptions (Hydro)'!$AM$2:$AO$2)/10^9),0)</f>
        <v>0</v>
      </c>
      <c r="BF1503" s="160"/>
      <c r="BG1503" s="160"/>
      <c r="BH1503" s="160"/>
      <c r="BI1503" s="160"/>
      <c r="BJ1503" s="160"/>
      <c r="BK1503" s="160"/>
      <c r="BL1503" s="160"/>
      <c r="BM1503" s="160"/>
      <c r="BN1503" s="160"/>
      <c r="BO1503" s="160"/>
    </row>
    <row r="1504" ht="15.75" hidden="1" customHeight="1" outlineLevel="1">
      <c r="A1504" s="273"/>
      <c r="B1504" s="38"/>
      <c r="C1504" s="174"/>
      <c r="D1504" s="174"/>
      <c r="E1504" s="174"/>
      <c r="F1504" s="174"/>
      <c r="G1504" s="174"/>
      <c r="H1504" s="174"/>
      <c r="I1504" s="174"/>
      <c r="J1504" s="174"/>
      <c r="K1504" s="174"/>
      <c r="L1504" s="174"/>
      <c r="M1504" s="174"/>
      <c r="N1504" s="174"/>
      <c r="O1504" s="174"/>
      <c r="P1504" s="174"/>
      <c r="Q1504" s="174"/>
      <c r="R1504" s="174"/>
      <c r="S1504" s="174"/>
      <c r="T1504" s="174"/>
      <c r="U1504" s="174"/>
      <c r="V1504" s="174"/>
      <c r="W1504" s="160"/>
      <c r="X1504" s="160"/>
      <c r="Y1504" s="160"/>
      <c r="Z1504" s="160"/>
      <c r="AA1504" s="160"/>
      <c r="AB1504" s="160"/>
      <c r="AC1504" s="160"/>
      <c r="AD1504" s="160"/>
      <c r="AE1504" s="160"/>
      <c r="AF1504" s="160"/>
      <c r="AG1504" s="160"/>
      <c r="AH1504" s="160"/>
      <c r="AI1504" s="160"/>
      <c r="AJ1504" s="179"/>
      <c r="AK1504" s="160"/>
      <c r="AL1504" s="177"/>
      <c r="AM1504" s="177"/>
      <c r="AN1504" s="177"/>
      <c r="AO1504" s="160"/>
      <c r="AP1504" s="160"/>
      <c r="AQ1504" s="160"/>
      <c r="AR1504" s="160">
        <f>IF($AR$1354&gt;0,IPMT('Assumptions (Hydro)'!$V$6,Model!W$1,'Assumptions (Hydro)'!$V$9,'Assumptions (Hydro)'!$V$4*Model!$AR$1354*AVERAGE('Assumptions (Hydro)'!$AN$2:$AP$2)/10^9),0)</f>
        <v>0</v>
      </c>
      <c r="AS1504" s="160">
        <f>IF($AR$1354&gt;0,IPMT('Assumptions (Hydro)'!$V$6,Model!X$1,'Assumptions (Hydro)'!$V$9,'Assumptions (Hydro)'!$V$4*Model!$AR$1354*AVERAGE('Assumptions (Hydro)'!$AN$2:$AP$2)/10^9),0)</f>
        <v>0</v>
      </c>
      <c r="AT1504" s="160">
        <f>IF($AR$1354&gt;0,IPMT('Assumptions (Hydro)'!$V$6,Model!Y$1,'Assumptions (Hydro)'!$V$9,'Assumptions (Hydro)'!$V$4*Model!$AR$1354*AVERAGE('Assumptions (Hydro)'!$AN$2:$AP$2)/10^9),0)</f>
        <v>0</v>
      </c>
      <c r="AU1504" s="160">
        <f>IF($AR$1354&gt;0,IPMT('Assumptions (Hydro)'!$V$6,Model!Z$1,'Assumptions (Hydro)'!$V$9,'Assumptions (Hydro)'!$V$4*Model!$AR$1354*AVERAGE('Assumptions (Hydro)'!$AN$2:$AP$2)/10^9),0)</f>
        <v>0</v>
      </c>
      <c r="AV1504" s="160">
        <f>IF($AR$1354&gt;0,IPMT('Assumptions (Hydro)'!$V$6,Model!AA$1,'Assumptions (Hydro)'!$V$9,'Assumptions (Hydro)'!$V$4*Model!$AR$1354*AVERAGE('Assumptions (Hydro)'!$AN$2:$AP$2)/10^9),0)</f>
        <v>0</v>
      </c>
      <c r="AW1504" s="160">
        <f>IF($AR$1354&gt;0,IPMT('Assumptions (Hydro)'!$V$6,Model!AB$1,'Assumptions (Hydro)'!$V$9,'Assumptions (Hydro)'!$V$4*Model!$AR$1354*AVERAGE('Assumptions (Hydro)'!$AN$2:$AP$2)/10^9),0)</f>
        <v>0</v>
      </c>
      <c r="AX1504" s="160">
        <f>IF($AR$1354&gt;0,IPMT('Assumptions (Hydro)'!$V$6,Model!AC$1,'Assumptions (Hydro)'!$V$9,'Assumptions (Hydro)'!$V$4*Model!$AR$1354*AVERAGE('Assumptions (Hydro)'!$AN$2:$AP$2)/10^9),0)</f>
        <v>0</v>
      </c>
      <c r="AY1504" s="160">
        <f>IF($AR$1354&gt;0,IPMT('Assumptions (Hydro)'!$V$6,Model!AD$1,'Assumptions (Hydro)'!$V$9,'Assumptions (Hydro)'!$V$4*Model!$AR$1354*AVERAGE('Assumptions (Hydro)'!$AN$2:$AP$2)/10^9),0)</f>
        <v>0</v>
      </c>
      <c r="AZ1504" s="160">
        <f>IF($AR$1354&gt;0,IPMT('Assumptions (Hydro)'!$V$6,Model!AE$1,'Assumptions (Hydro)'!$V$9,'Assumptions (Hydro)'!$V$4*Model!$AR$1354*AVERAGE('Assumptions (Hydro)'!$AN$2:$AP$2)/10^9),0)</f>
        <v>0</v>
      </c>
      <c r="BA1504" s="160">
        <f>IF($AR$1354&gt;0,IPMT('Assumptions (Hydro)'!$V$6,Model!AF$1,'Assumptions (Hydro)'!$V$9,'Assumptions (Hydro)'!$V$4*Model!$AR$1354*AVERAGE('Assumptions (Hydro)'!$AN$2:$AP$2)/10^9),0)</f>
        <v>0</v>
      </c>
      <c r="BB1504" s="160">
        <f>IF($AR$1354&gt;0,IPMT('Assumptions (Hydro)'!$V$6,Model!AG$1,'Assumptions (Hydro)'!$V$9,'Assumptions (Hydro)'!$V$4*Model!$AR$1354*AVERAGE('Assumptions (Hydro)'!$AN$2:$AP$2)/10^9),0)</f>
        <v>0</v>
      </c>
      <c r="BC1504" s="160">
        <f>IF($AR$1354&gt;0,IPMT('Assumptions (Hydro)'!$V$6,Model!AH$1,'Assumptions (Hydro)'!$V$9,'Assumptions (Hydro)'!$V$4*Model!$AR$1354*AVERAGE('Assumptions (Hydro)'!$AN$2:$AP$2)/10^9),0)</f>
        <v>0</v>
      </c>
      <c r="BD1504" s="160">
        <f>IF($AR$1354&gt;0,IPMT('Assumptions (Hydro)'!$V$6,Model!AI$1,'Assumptions (Hydro)'!$V$9,'Assumptions (Hydro)'!$V$4*Model!$AR$1354*AVERAGE('Assumptions (Hydro)'!$AN$2:$AP$2)/10^9),0)</f>
        <v>0</v>
      </c>
      <c r="BE1504" s="160">
        <f>IF($AR$1354&gt;0,IPMT('Assumptions (Hydro)'!$V$6,Model!AJ$1,'Assumptions (Hydro)'!$V$9,'Assumptions (Hydro)'!$V$4*Model!$AR$1354*AVERAGE('Assumptions (Hydro)'!$AN$2:$AP$2)/10^9),0)</f>
        <v>0</v>
      </c>
      <c r="BF1504" s="160">
        <f>IF($AR$1354&gt;0,IPMT('Assumptions (Hydro)'!$V$6,Model!AK$1,'Assumptions (Hydro)'!$V$9,'Assumptions (Hydro)'!$V$4*Model!$AR$1354*AVERAGE('Assumptions (Hydro)'!$AN$2:$AP$2)/10^9),0)</f>
        <v>0</v>
      </c>
      <c r="BG1504" s="160"/>
      <c r="BH1504" s="160"/>
      <c r="BI1504" s="160"/>
      <c r="BJ1504" s="160"/>
      <c r="BK1504" s="160"/>
      <c r="BL1504" s="160"/>
      <c r="BM1504" s="160"/>
      <c r="BN1504" s="160"/>
      <c r="BO1504" s="160"/>
      <c r="BP1504" s="160"/>
    </row>
    <row r="1505" ht="15.75" hidden="1" customHeight="1" outlineLevel="1">
      <c r="A1505" s="273"/>
      <c r="B1505" s="38"/>
      <c r="C1505" s="174"/>
      <c r="D1505" s="174"/>
      <c r="E1505" s="174"/>
      <c r="F1505" s="174"/>
      <c r="G1505" s="174"/>
      <c r="H1505" s="174"/>
      <c r="I1505" s="174"/>
      <c r="J1505" s="174"/>
      <c r="K1505" s="174"/>
      <c r="L1505" s="174"/>
      <c r="M1505" s="174"/>
      <c r="N1505" s="174"/>
      <c r="O1505" s="174"/>
      <c r="P1505" s="174"/>
      <c r="Q1505" s="174"/>
      <c r="R1505" s="174"/>
      <c r="S1505" s="174"/>
      <c r="T1505" s="174"/>
      <c r="U1505" s="174"/>
      <c r="V1505" s="174"/>
      <c r="W1505" s="160"/>
      <c r="X1505" s="160"/>
      <c r="Y1505" s="160"/>
      <c r="Z1505" s="160"/>
      <c r="AA1505" s="160"/>
      <c r="AB1505" s="160"/>
      <c r="AC1505" s="160"/>
      <c r="AD1505" s="160"/>
      <c r="AE1505" s="160"/>
      <c r="AF1505" s="160"/>
      <c r="AG1505" s="160"/>
      <c r="AH1505" s="160"/>
      <c r="AI1505" s="160"/>
      <c r="AJ1505" s="179"/>
      <c r="AK1505" s="160"/>
      <c r="AL1505" s="177"/>
      <c r="AM1505" s="177"/>
      <c r="AN1505" s="177"/>
      <c r="AO1505" s="160"/>
      <c r="AP1505" s="160"/>
      <c r="AQ1505" s="160"/>
      <c r="AR1505" s="160"/>
      <c r="AS1505" s="160">
        <f>IF($AS$1354&gt;0,IPMT('Assumptions (Hydro)'!$V$6,Model!W$1,'Assumptions (Hydro)'!$V$9,'Assumptions (Hydro)'!$V$4*Model!$AS$1354*AVERAGE('Assumptions (Hydro)'!$AO$2:$AQ$2)/10^9),0)</f>
        <v>0</v>
      </c>
      <c r="AT1505" s="160">
        <f>IF($AS$1354&gt;0,IPMT('Assumptions (Hydro)'!$V$6,Model!X$1,'Assumptions (Hydro)'!$V$9,'Assumptions (Hydro)'!$V$4*Model!$AS$1354*AVERAGE('Assumptions (Hydro)'!$AO$2:$AQ$2)/10^9),0)</f>
        <v>0</v>
      </c>
      <c r="AU1505" s="160">
        <f>IF($AS$1354&gt;0,IPMT('Assumptions (Hydro)'!$V$6,Model!Y$1,'Assumptions (Hydro)'!$V$9,'Assumptions (Hydro)'!$V$4*Model!$AS$1354*AVERAGE('Assumptions (Hydro)'!$AO$2:$AQ$2)/10^9),0)</f>
        <v>0</v>
      </c>
      <c r="AV1505" s="160">
        <f>IF($AS$1354&gt;0,IPMT('Assumptions (Hydro)'!$V$6,Model!Z$1,'Assumptions (Hydro)'!$V$9,'Assumptions (Hydro)'!$V$4*Model!$AS$1354*AVERAGE('Assumptions (Hydro)'!$AO$2:$AQ$2)/10^9),0)</f>
        <v>0</v>
      </c>
      <c r="AW1505" s="160">
        <f>IF($AS$1354&gt;0,IPMT('Assumptions (Hydro)'!$V$6,Model!AA$1,'Assumptions (Hydro)'!$V$9,'Assumptions (Hydro)'!$V$4*Model!$AS$1354*AVERAGE('Assumptions (Hydro)'!$AO$2:$AQ$2)/10^9),0)</f>
        <v>0</v>
      </c>
      <c r="AX1505" s="160">
        <f>IF($AS$1354&gt;0,IPMT('Assumptions (Hydro)'!$V$6,Model!AB$1,'Assumptions (Hydro)'!$V$9,'Assumptions (Hydro)'!$V$4*Model!$AS$1354*AVERAGE('Assumptions (Hydro)'!$AO$2:$AQ$2)/10^9),0)</f>
        <v>0</v>
      </c>
      <c r="AY1505" s="160">
        <f>IF($AS$1354&gt;0,IPMT('Assumptions (Hydro)'!$V$6,Model!AC$1,'Assumptions (Hydro)'!$V$9,'Assumptions (Hydro)'!$V$4*Model!$AS$1354*AVERAGE('Assumptions (Hydro)'!$AO$2:$AQ$2)/10^9),0)</f>
        <v>0</v>
      </c>
      <c r="AZ1505" s="160">
        <f>IF($AS$1354&gt;0,IPMT('Assumptions (Hydro)'!$V$6,Model!AD$1,'Assumptions (Hydro)'!$V$9,'Assumptions (Hydro)'!$V$4*Model!$AS$1354*AVERAGE('Assumptions (Hydro)'!$AO$2:$AQ$2)/10^9),0)</f>
        <v>0</v>
      </c>
      <c r="BA1505" s="160">
        <f>IF($AS$1354&gt;0,IPMT('Assumptions (Hydro)'!$V$6,Model!AE$1,'Assumptions (Hydro)'!$V$9,'Assumptions (Hydro)'!$V$4*Model!$AS$1354*AVERAGE('Assumptions (Hydro)'!$AO$2:$AQ$2)/10^9),0)</f>
        <v>0</v>
      </c>
      <c r="BB1505" s="160">
        <f>IF($AS$1354&gt;0,IPMT('Assumptions (Hydro)'!$V$6,Model!AF$1,'Assumptions (Hydro)'!$V$9,'Assumptions (Hydro)'!$V$4*Model!$AS$1354*AVERAGE('Assumptions (Hydro)'!$AO$2:$AQ$2)/10^9),0)</f>
        <v>0</v>
      </c>
      <c r="BC1505" s="160">
        <f>IF($AS$1354&gt;0,IPMT('Assumptions (Hydro)'!$V$6,Model!AG$1,'Assumptions (Hydro)'!$V$9,'Assumptions (Hydro)'!$V$4*Model!$AS$1354*AVERAGE('Assumptions (Hydro)'!$AO$2:$AQ$2)/10^9),0)</f>
        <v>0</v>
      </c>
      <c r="BD1505" s="160">
        <f>IF($AS$1354&gt;0,IPMT('Assumptions (Hydro)'!$V$6,Model!AH$1,'Assumptions (Hydro)'!$V$9,'Assumptions (Hydro)'!$V$4*Model!$AS$1354*AVERAGE('Assumptions (Hydro)'!$AO$2:$AQ$2)/10^9),0)</f>
        <v>0</v>
      </c>
      <c r="BE1505" s="160">
        <f>IF($AS$1354&gt;0,IPMT('Assumptions (Hydro)'!$V$6,Model!AI$1,'Assumptions (Hydro)'!$V$9,'Assumptions (Hydro)'!$V$4*Model!$AS$1354*AVERAGE('Assumptions (Hydro)'!$AO$2:$AQ$2)/10^9),0)</f>
        <v>0</v>
      </c>
      <c r="BF1505" s="160">
        <f>IF($AS$1354&gt;0,IPMT('Assumptions (Hydro)'!$V$6,Model!AJ$1,'Assumptions (Hydro)'!$V$9,'Assumptions (Hydro)'!$V$4*Model!$AS$1354*AVERAGE('Assumptions (Hydro)'!$AO$2:$AQ$2)/10^9),0)</f>
        <v>0</v>
      </c>
      <c r="BG1505" s="160">
        <f>IF($AS$1354&gt;0,IPMT('Assumptions (Hydro)'!$V$6,Model!AK$1,'Assumptions (Hydro)'!$V$9,'Assumptions (Hydro)'!$V$4*Model!$AS$1354*AVERAGE('Assumptions (Hydro)'!$AO$2:$AQ$2)/10^9),0)</f>
        <v>0</v>
      </c>
      <c r="BH1505" s="160"/>
      <c r="BI1505" s="160"/>
      <c r="BJ1505" s="160"/>
      <c r="BK1505" s="160"/>
      <c r="BL1505" s="160"/>
      <c r="BM1505" s="160"/>
      <c r="BN1505" s="160"/>
      <c r="BO1505" s="160"/>
      <c r="BP1505" s="160"/>
      <c r="BQ1505" s="160"/>
      <c r="BR1505" s="160"/>
    </row>
    <row r="1506" ht="15.75" hidden="1" customHeight="1" outlineLevel="1">
      <c r="A1506" s="273"/>
      <c r="B1506" s="38"/>
      <c r="C1506" s="174"/>
      <c r="D1506" s="174"/>
      <c r="E1506" s="174"/>
      <c r="F1506" s="174"/>
      <c r="G1506" s="174"/>
      <c r="H1506" s="174"/>
      <c r="I1506" s="174"/>
      <c r="J1506" s="174"/>
      <c r="K1506" s="174"/>
      <c r="L1506" s="174"/>
      <c r="M1506" s="174"/>
      <c r="N1506" s="174"/>
      <c r="O1506" s="174"/>
      <c r="P1506" s="174"/>
      <c r="Q1506" s="174"/>
      <c r="R1506" s="174"/>
      <c r="S1506" s="174"/>
      <c r="T1506" s="174"/>
      <c r="U1506" s="174"/>
      <c r="V1506" s="174"/>
      <c r="W1506" s="160"/>
      <c r="X1506" s="160"/>
      <c r="Y1506" s="160"/>
      <c r="Z1506" s="160"/>
      <c r="AA1506" s="160"/>
      <c r="AB1506" s="160"/>
      <c r="AC1506" s="160"/>
      <c r="AD1506" s="160"/>
      <c r="AE1506" s="160"/>
      <c r="AF1506" s="160"/>
      <c r="AG1506" s="160"/>
      <c r="AH1506" s="160"/>
      <c r="AI1506" s="160"/>
      <c r="AJ1506" s="179"/>
      <c r="AK1506" s="160"/>
      <c r="AL1506" s="177"/>
      <c r="AM1506" s="177"/>
      <c r="AN1506" s="177"/>
      <c r="AO1506" s="160"/>
      <c r="AP1506" s="160"/>
      <c r="AQ1506" s="160"/>
      <c r="AR1506" s="160"/>
      <c r="AS1506" s="160"/>
      <c r="AT1506" s="160">
        <f>IF($AT$1354&gt;0,IPMT('Assumptions (Hydro)'!$V$6,Model!W$1,'Assumptions (Hydro)'!$V$9,'Assumptions (Hydro)'!$V$4*Model!$AT$1354*AVERAGE('Assumptions (Hydro)'!$AP$2:$AR$2)/10^9),0)</f>
        <v>0</v>
      </c>
      <c r="AU1506" s="160">
        <f>IF($AT$1354&gt;0,IPMT('Assumptions (Hydro)'!$V$6,Model!X$1,'Assumptions (Hydro)'!$V$9,'Assumptions (Hydro)'!$V$4*Model!$AT$1354*AVERAGE('Assumptions (Hydro)'!$AP$2:$AR$2)/10^9),0)</f>
        <v>0</v>
      </c>
      <c r="AV1506" s="160">
        <f>IF($AT$1354&gt;0,IPMT('Assumptions (Hydro)'!$V$6,Model!Y$1,'Assumptions (Hydro)'!$V$9,'Assumptions (Hydro)'!$V$4*Model!$AT$1354*AVERAGE('Assumptions (Hydro)'!$AP$2:$AR$2)/10^9),0)</f>
        <v>0</v>
      </c>
      <c r="AW1506" s="160">
        <f>IF($AT$1354&gt;0,IPMT('Assumptions (Hydro)'!$V$6,Model!Z$1,'Assumptions (Hydro)'!$V$9,'Assumptions (Hydro)'!$V$4*Model!$AT$1354*AVERAGE('Assumptions (Hydro)'!$AP$2:$AR$2)/10^9),0)</f>
        <v>0</v>
      </c>
      <c r="AX1506" s="160">
        <f>IF($AT$1354&gt;0,IPMT('Assumptions (Hydro)'!$V$6,Model!AA$1,'Assumptions (Hydro)'!$V$9,'Assumptions (Hydro)'!$V$4*Model!$AT$1354*AVERAGE('Assumptions (Hydro)'!$AP$2:$AR$2)/10^9),0)</f>
        <v>0</v>
      </c>
      <c r="AY1506" s="160">
        <f>IF($AT$1354&gt;0,IPMT('Assumptions (Hydro)'!$V$6,Model!AB$1,'Assumptions (Hydro)'!$V$9,'Assumptions (Hydro)'!$V$4*Model!$AT$1354*AVERAGE('Assumptions (Hydro)'!$AP$2:$AR$2)/10^9),0)</f>
        <v>0</v>
      </c>
      <c r="AZ1506" s="160">
        <f>IF($AT$1354&gt;0,IPMT('Assumptions (Hydro)'!$V$6,Model!AC$1,'Assumptions (Hydro)'!$V$9,'Assumptions (Hydro)'!$V$4*Model!$AT$1354*AVERAGE('Assumptions (Hydro)'!$AP$2:$AR$2)/10^9),0)</f>
        <v>0</v>
      </c>
      <c r="BA1506" s="160">
        <f>IF($AT$1354&gt;0,IPMT('Assumptions (Hydro)'!$V$6,Model!AD$1,'Assumptions (Hydro)'!$V$9,'Assumptions (Hydro)'!$V$4*Model!$AT$1354*AVERAGE('Assumptions (Hydro)'!$AP$2:$AR$2)/10^9),0)</f>
        <v>0</v>
      </c>
      <c r="BB1506" s="160">
        <f>IF($AT$1354&gt;0,IPMT('Assumptions (Hydro)'!$V$6,Model!AE$1,'Assumptions (Hydro)'!$V$9,'Assumptions (Hydro)'!$V$4*Model!$AT$1354*AVERAGE('Assumptions (Hydro)'!$AP$2:$AR$2)/10^9),0)</f>
        <v>0</v>
      </c>
      <c r="BC1506" s="160">
        <f>IF($AT$1354&gt;0,IPMT('Assumptions (Hydro)'!$V$6,Model!AF$1,'Assumptions (Hydro)'!$V$9,'Assumptions (Hydro)'!$V$4*Model!$AT$1354*AVERAGE('Assumptions (Hydro)'!$AP$2:$AR$2)/10^9),0)</f>
        <v>0</v>
      </c>
      <c r="BD1506" s="160">
        <f>IF($AT$1354&gt;0,IPMT('Assumptions (Hydro)'!$V$6,Model!AG$1,'Assumptions (Hydro)'!$V$9,'Assumptions (Hydro)'!$V$4*Model!$AT$1354*AVERAGE('Assumptions (Hydro)'!$AP$2:$AR$2)/10^9),0)</f>
        <v>0</v>
      </c>
      <c r="BE1506" s="160">
        <f>IF($AT$1354&gt;0,IPMT('Assumptions (Hydro)'!$V$6,Model!AH$1,'Assumptions (Hydro)'!$V$9,'Assumptions (Hydro)'!$V$4*Model!$AT$1354*AVERAGE('Assumptions (Hydro)'!$AP$2:$AR$2)/10^9),0)</f>
        <v>0</v>
      </c>
      <c r="BF1506" s="160">
        <f>IF($AT$1354&gt;0,IPMT('Assumptions (Hydro)'!$V$6,Model!AI$1,'Assumptions (Hydro)'!$V$9,'Assumptions (Hydro)'!$V$4*Model!$AT$1354*AVERAGE('Assumptions (Hydro)'!$AP$2:$AR$2)/10^9),0)</f>
        <v>0</v>
      </c>
      <c r="BG1506" s="160">
        <f>IF($AT$1354&gt;0,IPMT('Assumptions (Hydro)'!$V$6,Model!AJ$1,'Assumptions (Hydro)'!$V$9,'Assumptions (Hydro)'!$V$4*Model!$AT$1354*AVERAGE('Assumptions (Hydro)'!$AP$2:$AR$2)/10^9),0)</f>
        <v>0</v>
      </c>
      <c r="BH1506" s="160">
        <f>IF($AT$1354&gt;0,IPMT('Assumptions (Hydro)'!$V$6,Model!AK$1,'Assumptions (Hydro)'!$V$9,'Assumptions (Hydro)'!$V$4*Model!$AT$1354*AVERAGE('Assumptions (Hydro)'!$AP$2:$AR$2)/10^9),0)</f>
        <v>0</v>
      </c>
      <c r="BI1506" s="160"/>
      <c r="BJ1506" s="160"/>
      <c r="BK1506" s="160"/>
      <c r="BL1506" s="160"/>
      <c r="BM1506" s="160"/>
      <c r="BN1506" s="160"/>
      <c r="BO1506" s="160"/>
      <c r="BP1506" s="160"/>
      <c r="BQ1506" s="160"/>
      <c r="BR1506" s="160"/>
    </row>
    <row r="1507" ht="15.75" hidden="1" customHeight="1" outlineLevel="1">
      <c r="A1507" s="273"/>
      <c r="B1507" s="38"/>
      <c r="C1507" s="174"/>
      <c r="D1507" s="174"/>
      <c r="E1507" s="174"/>
      <c r="F1507" s="174"/>
      <c r="G1507" s="174"/>
      <c r="H1507" s="174"/>
      <c r="I1507" s="174"/>
      <c r="J1507" s="174"/>
      <c r="K1507" s="174"/>
      <c r="L1507" s="174"/>
      <c r="M1507" s="174"/>
      <c r="N1507" s="174"/>
      <c r="O1507" s="174"/>
      <c r="P1507" s="174"/>
      <c r="Q1507" s="174"/>
      <c r="R1507" s="174"/>
      <c r="S1507" s="174"/>
      <c r="T1507" s="174"/>
      <c r="U1507" s="174"/>
      <c r="V1507" s="174"/>
      <c r="W1507" s="160"/>
      <c r="X1507" s="160"/>
      <c r="Y1507" s="160"/>
      <c r="Z1507" s="160"/>
      <c r="AA1507" s="160"/>
      <c r="AB1507" s="160"/>
      <c r="AC1507" s="160"/>
      <c r="AD1507" s="160"/>
      <c r="AE1507" s="160"/>
      <c r="AF1507" s="160"/>
      <c r="AG1507" s="160"/>
      <c r="AH1507" s="160"/>
      <c r="AI1507" s="160"/>
      <c r="AJ1507" s="179"/>
      <c r="AK1507" s="160"/>
      <c r="AL1507" s="177"/>
      <c r="AM1507" s="177"/>
      <c r="AN1507" s="177"/>
      <c r="AO1507" s="160"/>
      <c r="AP1507" s="160"/>
      <c r="AQ1507" s="160"/>
      <c r="AR1507" s="160"/>
      <c r="AS1507" s="160"/>
      <c r="AT1507" s="160"/>
      <c r="AU1507" s="160">
        <f>IF($AU$1354&gt;0,IPMT('Assumptions (Hydro)'!$V$6,Model!W$1,'Assumptions (Hydro)'!$V$9,'Assumptions (Hydro)'!$V$4*Model!$AU$1354*AVERAGE('Assumptions (Hydro)'!$AQ$2:$AS$2)/10^9),0)</f>
        <v>0</v>
      </c>
      <c r="AV1507" s="160">
        <f>IF($AU$1354&gt;0,IPMT('Assumptions (Hydro)'!$V$6,Model!X$1,'Assumptions (Hydro)'!$V$9,'Assumptions (Hydro)'!$V$4*Model!$AU$1354*AVERAGE('Assumptions (Hydro)'!$AQ$2:$AS$2)/10^9),0)</f>
        <v>0</v>
      </c>
      <c r="AW1507" s="160">
        <f>IF($AU$1354&gt;0,IPMT('Assumptions (Hydro)'!$V$6,Model!Y$1,'Assumptions (Hydro)'!$V$9,'Assumptions (Hydro)'!$V$4*Model!$AU$1354*AVERAGE('Assumptions (Hydro)'!$AQ$2:$AS$2)/10^9),0)</f>
        <v>0</v>
      </c>
      <c r="AX1507" s="160">
        <f>IF($AU$1354&gt;0,IPMT('Assumptions (Hydro)'!$V$6,Model!Z$1,'Assumptions (Hydro)'!$V$9,'Assumptions (Hydro)'!$V$4*Model!$AU$1354*AVERAGE('Assumptions (Hydro)'!$AQ$2:$AS$2)/10^9),0)</f>
        <v>0</v>
      </c>
      <c r="AY1507" s="160">
        <f>IF($AU$1354&gt;0,IPMT('Assumptions (Hydro)'!$V$6,Model!AA$1,'Assumptions (Hydro)'!$V$9,'Assumptions (Hydro)'!$V$4*Model!$AU$1354*AVERAGE('Assumptions (Hydro)'!$AQ$2:$AS$2)/10^9),0)</f>
        <v>0</v>
      </c>
      <c r="AZ1507" s="160">
        <f>IF($AU$1354&gt;0,IPMT('Assumptions (Hydro)'!$V$6,Model!AB$1,'Assumptions (Hydro)'!$V$9,'Assumptions (Hydro)'!$V$4*Model!$AU$1354*AVERAGE('Assumptions (Hydro)'!$AQ$2:$AS$2)/10^9),0)</f>
        <v>0</v>
      </c>
      <c r="BA1507" s="160">
        <f>IF($AU$1354&gt;0,IPMT('Assumptions (Hydro)'!$V$6,Model!AC$1,'Assumptions (Hydro)'!$V$9,'Assumptions (Hydro)'!$V$4*Model!$AU$1354*AVERAGE('Assumptions (Hydro)'!$AQ$2:$AS$2)/10^9),0)</f>
        <v>0</v>
      </c>
      <c r="BB1507" s="160">
        <f>IF($AU$1354&gt;0,IPMT('Assumptions (Hydro)'!$V$6,Model!AD$1,'Assumptions (Hydro)'!$V$9,'Assumptions (Hydro)'!$V$4*Model!$AU$1354*AVERAGE('Assumptions (Hydro)'!$AQ$2:$AS$2)/10^9),0)</f>
        <v>0</v>
      </c>
      <c r="BC1507" s="160">
        <f>IF($AU$1354&gt;0,IPMT('Assumptions (Hydro)'!$V$6,Model!AE$1,'Assumptions (Hydro)'!$V$9,'Assumptions (Hydro)'!$V$4*Model!$AU$1354*AVERAGE('Assumptions (Hydro)'!$AQ$2:$AS$2)/10^9),0)</f>
        <v>0</v>
      </c>
      <c r="BD1507" s="160">
        <f>IF($AU$1354&gt;0,IPMT('Assumptions (Hydro)'!$V$6,Model!AF$1,'Assumptions (Hydro)'!$V$9,'Assumptions (Hydro)'!$V$4*Model!$AU$1354*AVERAGE('Assumptions (Hydro)'!$AQ$2:$AS$2)/10^9),0)</f>
        <v>0</v>
      </c>
      <c r="BE1507" s="160">
        <f>IF($AU$1354&gt;0,IPMT('Assumptions (Hydro)'!$V$6,Model!AG$1,'Assumptions (Hydro)'!$V$9,'Assumptions (Hydro)'!$V$4*Model!$AU$1354*AVERAGE('Assumptions (Hydro)'!$AQ$2:$AS$2)/10^9),0)</f>
        <v>0</v>
      </c>
      <c r="BF1507" s="160">
        <f>IF($AU$1354&gt;0,IPMT('Assumptions (Hydro)'!$V$6,Model!AH$1,'Assumptions (Hydro)'!$V$9,'Assumptions (Hydro)'!$V$4*Model!$AU$1354*AVERAGE('Assumptions (Hydro)'!$AQ$2:$AS$2)/10^9),0)</f>
        <v>0</v>
      </c>
      <c r="BG1507" s="160">
        <f>IF($AU$1354&gt;0,IPMT('Assumptions (Hydro)'!$V$6,Model!AI$1,'Assumptions (Hydro)'!$V$9,'Assumptions (Hydro)'!$V$4*Model!$AU$1354*AVERAGE('Assumptions (Hydro)'!$AQ$2:$AS$2)/10^9),0)</f>
        <v>0</v>
      </c>
      <c r="BH1507" s="160">
        <f>IF($AU$1354&gt;0,IPMT('Assumptions (Hydro)'!$V$6,Model!AJ$1,'Assumptions (Hydro)'!$V$9,'Assumptions (Hydro)'!$V$4*Model!$AU$1354*AVERAGE('Assumptions (Hydro)'!$AQ$2:$AS$2)/10^9),0)</f>
        <v>0</v>
      </c>
      <c r="BI1507" s="160">
        <f>IF($AU$1354&gt;0,IPMT('Assumptions (Hydro)'!$V$6,Model!AK$1,'Assumptions (Hydro)'!$V$9,'Assumptions (Hydro)'!$V$4*Model!$AU$1354*AVERAGE('Assumptions (Hydro)'!$AQ$2:$AS$2)/10^9),0)</f>
        <v>0</v>
      </c>
      <c r="BJ1507" s="160"/>
      <c r="BK1507" s="160"/>
      <c r="BL1507" s="160"/>
      <c r="BM1507" s="160"/>
      <c r="BN1507" s="160"/>
      <c r="BO1507" s="160"/>
      <c r="BP1507" s="160"/>
      <c r="BQ1507" s="160"/>
      <c r="BR1507" s="160"/>
      <c r="BS1507" s="160"/>
    </row>
    <row r="1508" ht="15.75" hidden="1" customHeight="1" outlineLevel="1">
      <c r="A1508" s="273"/>
      <c r="B1508" s="38"/>
      <c r="C1508" s="174"/>
      <c r="D1508" s="174"/>
      <c r="E1508" s="174"/>
      <c r="F1508" s="174"/>
      <c r="G1508" s="174"/>
      <c r="H1508" s="174"/>
      <c r="I1508" s="174"/>
      <c r="J1508" s="174"/>
      <c r="K1508" s="174"/>
      <c r="L1508" s="174"/>
      <c r="M1508" s="174"/>
      <c r="N1508" s="174"/>
      <c r="O1508" s="174"/>
      <c r="P1508" s="174"/>
      <c r="Q1508" s="174"/>
      <c r="R1508" s="174"/>
      <c r="S1508" s="174"/>
      <c r="T1508" s="174"/>
      <c r="U1508" s="174"/>
      <c r="V1508" s="174"/>
      <c r="W1508" s="160"/>
      <c r="X1508" s="160"/>
      <c r="Y1508" s="160"/>
      <c r="Z1508" s="160"/>
      <c r="AA1508" s="160"/>
      <c r="AB1508" s="160"/>
      <c r="AC1508" s="160"/>
      <c r="AD1508" s="160"/>
      <c r="AE1508" s="160"/>
      <c r="AF1508" s="160"/>
      <c r="AG1508" s="160"/>
      <c r="AH1508" s="160"/>
      <c r="AI1508" s="160"/>
      <c r="AJ1508" s="179"/>
      <c r="AK1508" s="160"/>
      <c r="AL1508" s="177"/>
      <c r="AM1508" s="177"/>
      <c r="AN1508" s="177"/>
      <c r="AO1508" s="160"/>
      <c r="AP1508" s="160"/>
      <c r="AQ1508" s="160"/>
      <c r="AR1508" s="160"/>
      <c r="AS1508" s="160"/>
      <c r="AT1508" s="160"/>
      <c r="AU1508" s="160"/>
      <c r="AV1508" s="160">
        <f>IF($AV$1354&gt;0,IPMT('Assumptions (Hydro)'!$V$6,Model!W$1,'Assumptions (Hydro)'!$V$9,'Assumptions (Hydro)'!$V$4*Model!$AV$1354*AVERAGE('Assumptions (Hydro)'!$AR$2:$AT$2)/10^9),0)</f>
        <v>0</v>
      </c>
      <c r="AW1508" s="160">
        <f>IF($AV$1354&gt;0,IPMT('Assumptions (Hydro)'!$V$6,Model!X$1,'Assumptions (Hydro)'!$V$9,'Assumptions (Hydro)'!$V$4*Model!$AV$1354*AVERAGE('Assumptions (Hydro)'!$AR$2:$AT$2)/10^9),0)</f>
        <v>0</v>
      </c>
      <c r="AX1508" s="160">
        <f>IF($AV$1354&gt;0,IPMT('Assumptions (Hydro)'!$V$6,Model!Y$1,'Assumptions (Hydro)'!$V$9,'Assumptions (Hydro)'!$V$4*Model!$AV$1354*AVERAGE('Assumptions (Hydro)'!$AR$2:$AT$2)/10^9),0)</f>
        <v>0</v>
      </c>
      <c r="AY1508" s="160">
        <f>IF($AV$1354&gt;0,IPMT('Assumptions (Hydro)'!$V$6,Model!Z$1,'Assumptions (Hydro)'!$V$9,'Assumptions (Hydro)'!$V$4*Model!$AV$1354*AVERAGE('Assumptions (Hydro)'!$AR$2:$AT$2)/10^9),0)</f>
        <v>0</v>
      </c>
      <c r="AZ1508" s="160">
        <f>IF($AV$1354&gt;0,IPMT('Assumptions (Hydro)'!$V$6,Model!AA$1,'Assumptions (Hydro)'!$V$9,'Assumptions (Hydro)'!$V$4*Model!$AV$1354*AVERAGE('Assumptions (Hydro)'!$AR$2:$AT$2)/10^9),0)</f>
        <v>0</v>
      </c>
      <c r="BA1508" s="160">
        <f>IF($AV$1354&gt;0,IPMT('Assumptions (Hydro)'!$V$6,Model!AB$1,'Assumptions (Hydro)'!$V$9,'Assumptions (Hydro)'!$V$4*Model!$AV$1354*AVERAGE('Assumptions (Hydro)'!$AR$2:$AT$2)/10^9),0)</f>
        <v>0</v>
      </c>
      <c r="BB1508" s="160">
        <f>IF($AV$1354&gt;0,IPMT('Assumptions (Hydro)'!$V$6,Model!AC$1,'Assumptions (Hydro)'!$V$9,'Assumptions (Hydro)'!$V$4*Model!$AV$1354*AVERAGE('Assumptions (Hydro)'!$AR$2:$AT$2)/10^9),0)</f>
        <v>0</v>
      </c>
      <c r="BC1508" s="160">
        <f>IF($AV$1354&gt;0,IPMT('Assumptions (Hydro)'!$V$6,Model!AD$1,'Assumptions (Hydro)'!$V$9,'Assumptions (Hydro)'!$V$4*Model!$AV$1354*AVERAGE('Assumptions (Hydro)'!$AR$2:$AT$2)/10^9),0)</f>
        <v>0</v>
      </c>
      <c r="BD1508" s="160">
        <f>IF($AV$1354&gt;0,IPMT('Assumptions (Hydro)'!$V$6,Model!AE$1,'Assumptions (Hydro)'!$V$9,'Assumptions (Hydro)'!$V$4*Model!$AV$1354*AVERAGE('Assumptions (Hydro)'!$AR$2:$AT$2)/10^9),0)</f>
        <v>0</v>
      </c>
      <c r="BE1508" s="160">
        <f>IF($AV$1354&gt;0,IPMT('Assumptions (Hydro)'!$V$6,Model!AF$1,'Assumptions (Hydro)'!$V$9,'Assumptions (Hydro)'!$V$4*Model!$AV$1354*AVERAGE('Assumptions (Hydro)'!$AR$2:$AT$2)/10^9),0)</f>
        <v>0</v>
      </c>
      <c r="BF1508" s="160">
        <f>IF($AV$1354&gt;0,IPMT('Assumptions (Hydro)'!$V$6,Model!AG$1,'Assumptions (Hydro)'!$V$9,'Assumptions (Hydro)'!$V$4*Model!$AV$1354*AVERAGE('Assumptions (Hydro)'!$AR$2:$AT$2)/10^9),0)</f>
        <v>0</v>
      </c>
      <c r="BG1508" s="160">
        <f>IF($AV$1354&gt;0,IPMT('Assumptions (Hydro)'!$V$6,Model!AH$1,'Assumptions (Hydro)'!$V$9,'Assumptions (Hydro)'!$V$4*Model!$AV$1354*AVERAGE('Assumptions (Hydro)'!$AR$2:$AT$2)/10^9),0)</f>
        <v>0</v>
      </c>
      <c r="BH1508" s="160">
        <f>IF($AV$1354&gt;0,IPMT('Assumptions (Hydro)'!$V$6,Model!AI$1,'Assumptions (Hydro)'!$V$9,'Assumptions (Hydro)'!$V$4*Model!$AV$1354*AVERAGE('Assumptions (Hydro)'!$AR$2:$AT$2)/10^9),0)</f>
        <v>0</v>
      </c>
      <c r="BI1508" s="160">
        <f>IF($AV$1354&gt;0,IPMT('Assumptions (Hydro)'!$V$6,Model!AJ$1,'Assumptions (Hydro)'!$V$9,'Assumptions (Hydro)'!$V$4*Model!$AV$1354*AVERAGE('Assumptions (Hydro)'!$AR$2:$AT$2)/10^9),0)</f>
        <v>0</v>
      </c>
      <c r="BJ1508" s="160">
        <f>IF($AV$1354&gt;0,IPMT('Assumptions (Hydro)'!$V$6,Model!AK$1,'Assumptions (Hydro)'!$V$9,'Assumptions (Hydro)'!$V$4*Model!$AV$1354*AVERAGE('Assumptions (Hydro)'!$AR$2:$AT$2)/10^9),0)</f>
        <v>0</v>
      </c>
      <c r="BK1508" s="160"/>
      <c r="BL1508" s="160"/>
      <c r="BM1508" s="160"/>
      <c r="BN1508" s="160"/>
      <c r="BO1508" s="160"/>
      <c r="BP1508" s="160"/>
      <c r="BQ1508" s="160"/>
      <c r="BR1508" s="160"/>
      <c r="BS1508" s="160"/>
      <c r="BT1508" s="160"/>
    </row>
    <row r="1509" ht="15.75" hidden="1" customHeight="1" outlineLevel="1">
      <c r="A1509" s="273"/>
      <c r="B1509" s="38"/>
      <c r="C1509" s="174"/>
      <c r="D1509" s="174"/>
      <c r="E1509" s="174"/>
      <c r="F1509" s="174"/>
      <c r="G1509" s="174"/>
      <c r="H1509" s="174"/>
      <c r="I1509" s="174"/>
      <c r="J1509" s="174"/>
      <c r="K1509" s="174"/>
      <c r="L1509" s="174"/>
      <c r="M1509" s="174"/>
      <c r="N1509" s="174"/>
      <c r="O1509" s="174"/>
      <c r="P1509" s="174"/>
      <c r="Q1509" s="174"/>
      <c r="R1509" s="174"/>
      <c r="S1509" s="174"/>
      <c r="T1509" s="174"/>
      <c r="U1509" s="174"/>
      <c r="V1509" s="174"/>
      <c r="W1509" s="160"/>
      <c r="X1509" s="160"/>
      <c r="Y1509" s="160"/>
      <c r="Z1509" s="160"/>
      <c r="AA1509" s="160"/>
      <c r="AB1509" s="160"/>
      <c r="AC1509" s="160"/>
      <c r="AD1509" s="160"/>
      <c r="AE1509" s="160"/>
      <c r="AF1509" s="160"/>
      <c r="AG1509" s="160"/>
      <c r="AH1509" s="160"/>
      <c r="AI1509" s="160"/>
      <c r="AJ1509" s="179"/>
      <c r="AK1509" s="160"/>
      <c r="AL1509" s="177"/>
      <c r="AM1509" s="177"/>
      <c r="AN1509" s="177"/>
      <c r="AO1509" s="160"/>
      <c r="AP1509" s="160"/>
      <c r="AQ1509" s="160"/>
      <c r="AR1509" s="160"/>
      <c r="AS1509" s="160"/>
      <c r="AT1509" s="160"/>
      <c r="AU1509" s="160"/>
      <c r="AV1509" s="160"/>
      <c r="AW1509" s="160">
        <f>IF($AW$1354&gt;0,IPMT('Assumptions (Hydro)'!$V$6,Model!W$1,'Assumptions (Hydro)'!$V$9,'Assumptions (Hydro)'!$V$4*Model!$AW$1354*AVERAGE('Assumptions (Hydro)'!$AS$2:$AU$2)/10^9),0)</f>
        <v>0</v>
      </c>
      <c r="AX1509" s="160">
        <f>IF($AW$1354&gt;0,IPMT('Assumptions (Hydro)'!$V$6,Model!X$1,'Assumptions (Hydro)'!$V$9,'Assumptions (Hydro)'!$V$4*Model!$AW$1354*AVERAGE('Assumptions (Hydro)'!$AS$2:$AU$2)/10^9),0)</f>
        <v>0</v>
      </c>
      <c r="AY1509" s="160">
        <f>IF($AW$1354&gt;0,IPMT('Assumptions (Hydro)'!$V$6,Model!Y$1,'Assumptions (Hydro)'!$V$9,'Assumptions (Hydro)'!$V$4*Model!$AW$1354*AVERAGE('Assumptions (Hydro)'!$AS$2:$AU$2)/10^9),0)</f>
        <v>0</v>
      </c>
      <c r="AZ1509" s="160">
        <f>IF($AW$1354&gt;0,IPMT('Assumptions (Hydro)'!$V$6,Model!Z$1,'Assumptions (Hydro)'!$V$9,'Assumptions (Hydro)'!$V$4*Model!$AW$1354*AVERAGE('Assumptions (Hydro)'!$AS$2:$AU$2)/10^9),0)</f>
        <v>0</v>
      </c>
      <c r="BA1509" s="160">
        <f>IF($AW$1354&gt;0,IPMT('Assumptions (Hydro)'!$V$6,Model!AA$1,'Assumptions (Hydro)'!$V$9,'Assumptions (Hydro)'!$V$4*Model!$AW$1354*AVERAGE('Assumptions (Hydro)'!$AS$2:$AU$2)/10^9),0)</f>
        <v>0</v>
      </c>
      <c r="BB1509" s="160">
        <f>IF($AW$1354&gt;0,IPMT('Assumptions (Hydro)'!$V$6,Model!AB$1,'Assumptions (Hydro)'!$V$9,'Assumptions (Hydro)'!$V$4*Model!$AW$1354*AVERAGE('Assumptions (Hydro)'!$AS$2:$AU$2)/10^9),0)</f>
        <v>0</v>
      </c>
      <c r="BC1509" s="160">
        <f>IF($AW$1354&gt;0,IPMT('Assumptions (Hydro)'!$V$6,Model!AC$1,'Assumptions (Hydro)'!$V$9,'Assumptions (Hydro)'!$V$4*Model!$AW$1354*AVERAGE('Assumptions (Hydro)'!$AS$2:$AU$2)/10^9),0)</f>
        <v>0</v>
      </c>
      <c r="BD1509" s="160">
        <f>IF($AW$1354&gt;0,IPMT('Assumptions (Hydro)'!$V$6,Model!AD$1,'Assumptions (Hydro)'!$V$9,'Assumptions (Hydro)'!$V$4*Model!$AW$1354*AVERAGE('Assumptions (Hydro)'!$AS$2:$AU$2)/10^9),0)</f>
        <v>0</v>
      </c>
      <c r="BE1509" s="160">
        <f>IF($AW$1354&gt;0,IPMT('Assumptions (Hydro)'!$V$6,Model!AE$1,'Assumptions (Hydro)'!$V$9,'Assumptions (Hydro)'!$V$4*Model!$AW$1354*AVERAGE('Assumptions (Hydro)'!$AS$2:$AU$2)/10^9),0)</f>
        <v>0</v>
      </c>
      <c r="BF1509" s="160">
        <f>IF($AW$1354&gt;0,IPMT('Assumptions (Hydro)'!$V$6,Model!AF$1,'Assumptions (Hydro)'!$V$9,'Assumptions (Hydro)'!$V$4*Model!$AW$1354*AVERAGE('Assumptions (Hydro)'!$AS$2:$AU$2)/10^9),0)</f>
        <v>0</v>
      </c>
      <c r="BG1509" s="160">
        <f>IF($AW$1354&gt;0,IPMT('Assumptions (Hydro)'!$V$6,Model!AG$1,'Assumptions (Hydro)'!$V$9,'Assumptions (Hydro)'!$V$4*Model!$AW$1354*AVERAGE('Assumptions (Hydro)'!$AS$2:$AU$2)/10^9),0)</f>
        <v>0</v>
      </c>
      <c r="BH1509" s="160">
        <f>IF($AW$1354&gt;0,IPMT('Assumptions (Hydro)'!$V$6,Model!AH$1,'Assumptions (Hydro)'!$V$9,'Assumptions (Hydro)'!$V$4*Model!$AW$1354*AVERAGE('Assumptions (Hydro)'!$AS$2:$AU$2)/10^9),0)</f>
        <v>0</v>
      </c>
      <c r="BI1509" s="160">
        <f>IF($AW$1354&gt;0,IPMT('Assumptions (Hydro)'!$V$6,Model!AI$1,'Assumptions (Hydro)'!$V$9,'Assumptions (Hydro)'!$V$4*Model!$AW$1354*AVERAGE('Assumptions (Hydro)'!$AS$2:$AU$2)/10^9),0)</f>
        <v>0</v>
      </c>
      <c r="BJ1509" s="160">
        <f>IF($AW$1354&gt;0,IPMT('Assumptions (Hydro)'!$V$6,Model!AJ$1,'Assumptions (Hydro)'!$V$9,'Assumptions (Hydro)'!$V$4*Model!$AW$1354*AVERAGE('Assumptions (Hydro)'!$AS$2:$AU$2)/10^9),0)</f>
        <v>0</v>
      </c>
      <c r="BK1509" s="160">
        <f>IF($AW$1354&gt;0,IPMT('Assumptions (Hydro)'!$V$6,Model!AK$1,'Assumptions (Hydro)'!$V$9,'Assumptions (Hydro)'!$V$4*Model!$AW$1354*AVERAGE('Assumptions (Hydro)'!$AS$2:$AU$2)/10^9),0)</f>
        <v>0</v>
      </c>
      <c r="BL1509" s="160"/>
      <c r="BM1509" s="160"/>
      <c r="BN1509" s="160"/>
      <c r="BO1509" s="160"/>
      <c r="BP1509" s="160"/>
      <c r="BQ1509" s="160"/>
      <c r="BR1509" s="160"/>
      <c r="BS1509" s="160"/>
      <c r="BT1509" s="160"/>
      <c r="BU1509" s="160"/>
    </row>
    <row r="1510" ht="15.75" hidden="1" customHeight="1" outlineLevel="1">
      <c r="A1510" s="273"/>
      <c r="B1510" s="38"/>
      <c r="C1510" s="174"/>
      <c r="D1510" s="174"/>
      <c r="E1510" s="174"/>
      <c r="F1510" s="174"/>
      <c r="G1510" s="174"/>
      <c r="H1510" s="174"/>
      <c r="I1510" s="174"/>
      <c r="J1510" s="174"/>
      <c r="K1510" s="174"/>
      <c r="L1510" s="174"/>
      <c r="M1510" s="174"/>
      <c r="N1510" s="174"/>
      <c r="O1510" s="174"/>
      <c r="P1510" s="174"/>
      <c r="Q1510" s="174"/>
      <c r="R1510" s="174"/>
      <c r="S1510" s="174"/>
      <c r="T1510" s="174"/>
      <c r="U1510" s="174"/>
      <c r="V1510" s="174"/>
      <c r="W1510" s="160"/>
      <c r="X1510" s="160"/>
      <c r="Y1510" s="160"/>
      <c r="Z1510" s="160"/>
      <c r="AA1510" s="160"/>
      <c r="AB1510" s="160"/>
      <c r="AC1510" s="160"/>
      <c r="AD1510" s="160"/>
      <c r="AE1510" s="160"/>
      <c r="AF1510" s="160"/>
      <c r="AG1510" s="160"/>
      <c r="AH1510" s="160"/>
      <c r="AI1510" s="160"/>
      <c r="AJ1510" s="179"/>
      <c r="AK1510" s="160"/>
      <c r="AL1510" s="177"/>
      <c r="AM1510" s="177"/>
      <c r="AN1510" s="177"/>
      <c r="AO1510" s="160"/>
      <c r="AP1510" s="160"/>
      <c r="AQ1510" s="160"/>
      <c r="AR1510" s="160"/>
      <c r="AS1510" s="160"/>
      <c r="AT1510" s="160"/>
      <c r="AU1510" s="160"/>
      <c r="AV1510" s="160"/>
      <c r="AW1510" s="160"/>
      <c r="AX1510" s="160">
        <f>IF($AX$1354&gt;0,IPMT('Assumptions (Hydro)'!$V$6,Model!W$1,'Assumptions (Hydro)'!$V$9,'Assumptions (Hydro)'!$V$4*Model!$AX$1354*AVERAGE('Assumptions (Hydro)'!$AT$2:$AV$2)/10^9),0)</f>
        <v>0</v>
      </c>
      <c r="AY1510" s="160">
        <f>IF($AX$1354&gt;0,IPMT('Assumptions (Hydro)'!$V$6,Model!X$1,'Assumptions (Hydro)'!$V$9,'Assumptions (Hydro)'!$V$4*Model!$AX$1354*AVERAGE('Assumptions (Hydro)'!$AT$2:$AV$2)/10^9),0)</f>
        <v>0</v>
      </c>
      <c r="AZ1510" s="160">
        <f>IF($AX$1354&gt;0,IPMT('Assumptions (Hydro)'!$V$6,Model!Y$1,'Assumptions (Hydro)'!$V$9,'Assumptions (Hydro)'!$V$4*Model!$AX$1354*AVERAGE('Assumptions (Hydro)'!$AT$2:$AV$2)/10^9),0)</f>
        <v>0</v>
      </c>
      <c r="BA1510" s="160">
        <f>IF($AX$1354&gt;0,IPMT('Assumptions (Hydro)'!$V$6,Model!Z$1,'Assumptions (Hydro)'!$V$9,'Assumptions (Hydro)'!$V$4*Model!$AX$1354*AVERAGE('Assumptions (Hydro)'!$AT$2:$AV$2)/10^9),0)</f>
        <v>0</v>
      </c>
      <c r="BB1510" s="160">
        <f>IF($AX$1354&gt;0,IPMT('Assumptions (Hydro)'!$V$6,Model!AA$1,'Assumptions (Hydro)'!$V$9,'Assumptions (Hydro)'!$V$4*Model!$AX$1354*AVERAGE('Assumptions (Hydro)'!$AT$2:$AV$2)/10^9),0)</f>
        <v>0</v>
      </c>
      <c r="BC1510" s="160">
        <f>IF($AX$1354&gt;0,IPMT('Assumptions (Hydro)'!$V$6,Model!AB$1,'Assumptions (Hydro)'!$V$9,'Assumptions (Hydro)'!$V$4*Model!$AX$1354*AVERAGE('Assumptions (Hydro)'!$AT$2:$AV$2)/10^9),0)</f>
        <v>0</v>
      </c>
      <c r="BD1510" s="160">
        <f>IF($AX$1354&gt;0,IPMT('Assumptions (Hydro)'!$V$6,Model!AC$1,'Assumptions (Hydro)'!$V$9,'Assumptions (Hydro)'!$V$4*Model!$AX$1354*AVERAGE('Assumptions (Hydro)'!$AT$2:$AV$2)/10^9),0)</f>
        <v>0</v>
      </c>
      <c r="BE1510" s="160">
        <f>IF($AX$1354&gt;0,IPMT('Assumptions (Hydro)'!$V$6,Model!AD$1,'Assumptions (Hydro)'!$V$9,'Assumptions (Hydro)'!$V$4*Model!$AX$1354*AVERAGE('Assumptions (Hydro)'!$AT$2:$AV$2)/10^9),0)</f>
        <v>0</v>
      </c>
      <c r="BF1510" s="160">
        <f>IF($AX$1354&gt;0,IPMT('Assumptions (Hydro)'!$V$6,Model!AE$1,'Assumptions (Hydro)'!$V$9,'Assumptions (Hydro)'!$V$4*Model!$AX$1354*AVERAGE('Assumptions (Hydro)'!$AT$2:$AV$2)/10^9),0)</f>
        <v>0</v>
      </c>
      <c r="BG1510" s="160">
        <f>IF($AX$1354&gt;0,IPMT('Assumptions (Hydro)'!$V$6,Model!AF$1,'Assumptions (Hydro)'!$V$9,'Assumptions (Hydro)'!$V$4*Model!$AX$1354*AVERAGE('Assumptions (Hydro)'!$AT$2:$AV$2)/10^9),0)</f>
        <v>0</v>
      </c>
      <c r="BH1510" s="160">
        <f>IF($AX$1354&gt;0,IPMT('Assumptions (Hydro)'!$V$6,Model!AG$1,'Assumptions (Hydro)'!$V$9,'Assumptions (Hydro)'!$V$4*Model!$AX$1354*AVERAGE('Assumptions (Hydro)'!$AT$2:$AV$2)/10^9),0)</f>
        <v>0</v>
      </c>
      <c r="BI1510" s="160">
        <f>IF($AX$1354&gt;0,IPMT('Assumptions (Hydro)'!$V$6,Model!AH$1,'Assumptions (Hydro)'!$V$9,'Assumptions (Hydro)'!$V$4*Model!$AX$1354*AVERAGE('Assumptions (Hydro)'!$AT$2:$AV$2)/10^9),0)</f>
        <v>0</v>
      </c>
      <c r="BJ1510" s="160">
        <f>IF($AX$1354&gt;0,IPMT('Assumptions (Hydro)'!$V$6,Model!AI$1,'Assumptions (Hydro)'!$V$9,'Assumptions (Hydro)'!$V$4*Model!$AX$1354*AVERAGE('Assumptions (Hydro)'!$AT$2:$AV$2)/10^9),0)</f>
        <v>0</v>
      </c>
      <c r="BK1510" s="160">
        <f>IF($AX$1354&gt;0,IPMT('Assumptions (Hydro)'!$V$6,Model!AJ$1,'Assumptions (Hydro)'!$V$9,'Assumptions (Hydro)'!$V$4*Model!$AX$1354*AVERAGE('Assumptions (Hydro)'!$AT$2:$AV$2)/10^9),0)</f>
        <v>0</v>
      </c>
      <c r="BL1510" s="160">
        <f>IF($AX$1354&gt;0,IPMT('Assumptions (Hydro)'!$V$6,Model!AK$1,'Assumptions (Hydro)'!$V$9,'Assumptions (Hydro)'!$V$4*Model!$AX$1354*AVERAGE('Assumptions (Hydro)'!$AT$2:$AV$2)/10^9),0)</f>
        <v>0</v>
      </c>
      <c r="BM1510" s="160"/>
      <c r="BN1510" s="160"/>
      <c r="BO1510" s="160"/>
      <c r="BP1510" s="160"/>
      <c r="BQ1510" s="160"/>
      <c r="BR1510" s="160"/>
      <c r="BS1510" s="160"/>
      <c r="BT1510" s="160"/>
      <c r="BU1510" s="160"/>
      <c r="BV1510" s="160"/>
    </row>
    <row r="1511" ht="15.75" hidden="1" customHeight="1" outlineLevel="1">
      <c r="A1511" s="273"/>
      <c r="B1511" s="38"/>
      <c r="C1511" s="174"/>
      <c r="D1511" s="174"/>
      <c r="E1511" s="174"/>
      <c r="F1511" s="174"/>
      <c r="G1511" s="174"/>
      <c r="H1511" s="174"/>
      <c r="I1511" s="174"/>
      <c r="J1511" s="174"/>
      <c r="K1511" s="174"/>
      <c r="L1511" s="174"/>
      <c r="M1511" s="174"/>
      <c r="N1511" s="174"/>
      <c r="O1511" s="174"/>
      <c r="P1511" s="174"/>
      <c r="Q1511" s="174"/>
      <c r="R1511" s="174"/>
      <c r="S1511" s="174"/>
      <c r="T1511" s="174"/>
      <c r="U1511" s="174"/>
      <c r="V1511" s="174"/>
      <c r="W1511" s="160"/>
      <c r="X1511" s="160"/>
      <c r="Y1511" s="160"/>
      <c r="Z1511" s="160"/>
      <c r="AA1511" s="160"/>
      <c r="AB1511" s="160"/>
      <c r="AC1511" s="160"/>
      <c r="AD1511" s="160"/>
      <c r="AE1511" s="160"/>
      <c r="AF1511" s="160"/>
      <c r="AG1511" s="160"/>
      <c r="AH1511" s="160"/>
      <c r="AI1511" s="160"/>
      <c r="AJ1511" s="179"/>
      <c r="AK1511" s="160"/>
      <c r="AL1511" s="177"/>
      <c r="AM1511" s="177"/>
      <c r="AN1511" s="177"/>
      <c r="AO1511" s="160"/>
      <c r="AP1511" s="160"/>
      <c r="AQ1511" s="160"/>
      <c r="AR1511" s="160"/>
      <c r="AS1511" s="160"/>
      <c r="AT1511" s="160"/>
      <c r="AU1511" s="160"/>
      <c r="AV1511" s="160"/>
      <c r="AW1511" s="160"/>
      <c r="AX1511" s="160"/>
      <c r="AY1511" s="160">
        <f>IF($AY$1354&gt;0,IPMT('Assumptions (Hydro)'!$V$6,Model!W$1,'Assumptions (Hydro)'!$V$9,'Assumptions (Hydro)'!$V$4*Model!$AY$1354*AVERAGE('Assumptions (Hydro)'!$AU$2:$AW$2)/10^9),0)</f>
        <v>0</v>
      </c>
      <c r="AZ1511" s="160">
        <f>IF($AY$1354&gt;0,IPMT('Assumptions (Hydro)'!$V$6,Model!X$1,'Assumptions (Hydro)'!$V$9,'Assumptions (Hydro)'!$V$4*Model!$AY$1354*AVERAGE('Assumptions (Hydro)'!$AU$2:$AW$2)/10^9),0)</f>
        <v>0</v>
      </c>
      <c r="BA1511" s="160">
        <f>IF($AY$1354&gt;0,IPMT('Assumptions (Hydro)'!$V$6,Model!Y$1,'Assumptions (Hydro)'!$V$9,'Assumptions (Hydro)'!$V$4*Model!$AY$1354*AVERAGE('Assumptions (Hydro)'!$AU$2:$AW$2)/10^9),0)</f>
        <v>0</v>
      </c>
      <c r="BB1511" s="160">
        <f>IF($AY$1354&gt;0,IPMT('Assumptions (Hydro)'!$V$6,Model!Z$1,'Assumptions (Hydro)'!$V$9,'Assumptions (Hydro)'!$V$4*Model!$AY$1354*AVERAGE('Assumptions (Hydro)'!$AU$2:$AW$2)/10^9),0)</f>
        <v>0</v>
      </c>
      <c r="BC1511" s="160">
        <f>IF($AY$1354&gt;0,IPMT('Assumptions (Hydro)'!$V$6,Model!AA$1,'Assumptions (Hydro)'!$V$9,'Assumptions (Hydro)'!$V$4*Model!$AY$1354*AVERAGE('Assumptions (Hydro)'!$AU$2:$AW$2)/10^9),0)</f>
        <v>0</v>
      </c>
      <c r="BD1511" s="160">
        <f>IF($AY$1354&gt;0,IPMT('Assumptions (Hydro)'!$V$6,Model!AB$1,'Assumptions (Hydro)'!$V$9,'Assumptions (Hydro)'!$V$4*Model!$AY$1354*AVERAGE('Assumptions (Hydro)'!$AU$2:$AW$2)/10^9),0)</f>
        <v>0</v>
      </c>
      <c r="BE1511" s="160">
        <f>IF($AY$1354&gt;0,IPMT('Assumptions (Hydro)'!$V$6,Model!AC$1,'Assumptions (Hydro)'!$V$9,'Assumptions (Hydro)'!$V$4*Model!$AY$1354*AVERAGE('Assumptions (Hydro)'!$AU$2:$AW$2)/10^9),0)</f>
        <v>0</v>
      </c>
      <c r="BF1511" s="160">
        <f>IF($AY$1354&gt;0,IPMT('Assumptions (Hydro)'!$V$6,Model!AD$1,'Assumptions (Hydro)'!$V$9,'Assumptions (Hydro)'!$V$4*Model!$AY$1354*AVERAGE('Assumptions (Hydro)'!$AU$2:$AW$2)/10^9),0)</f>
        <v>0</v>
      </c>
      <c r="BG1511" s="160">
        <f>IF($AY$1354&gt;0,IPMT('Assumptions (Hydro)'!$V$6,Model!AE$1,'Assumptions (Hydro)'!$V$9,'Assumptions (Hydro)'!$V$4*Model!$AY$1354*AVERAGE('Assumptions (Hydro)'!$AU$2:$AW$2)/10^9),0)</f>
        <v>0</v>
      </c>
      <c r="BH1511" s="160">
        <f>IF($AY$1354&gt;0,IPMT('Assumptions (Hydro)'!$V$6,Model!AF$1,'Assumptions (Hydro)'!$V$9,'Assumptions (Hydro)'!$V$4*Model!$AY$1354*AVERAGE('Assumptions (Hydro)'!$AU$2:$AW$2)/10^9),0)</f>
        <v>0</v>
      </c>
      <c r="BI1511" s="160">
        <f>IF($AY$1354&gt;0,IPMT('Assumptions (Hydro)'!$V$6,Model!AG$1,'Assumptions (Hydro)'!$V$9,'Assumptions (Hydro)'!$V$4*Model!$AY$1354*AVERAGE('Assumptions (Hydro)'!$AU$2:$AW$2)/10^9),0)</f>
        <v>0</v>
      </c>
      <c r="BJ1511" s="160">
        <f>IF($AY$1354&gt;0,IPMT('Assumptions (Hydro)'!$V$6,Model!AH$1,'Assumptions (Hydro)'!$V$9,'Assumptions (Hydro)'!$V$4*Model!$AY$1354*AVERAGE('Assumptions (Hydro)'!$AU$2:$AW$2)/10^9),0)</f>
        <v>0</v>
      </c>
      <c r="BK1511" s="160">
        <f>IF($AY$1354&gt;0,IPMT('Assumptions (Hydro)'!$V$6,Model!AI$1,'Assumptions (Hydro)'!$V$9,'Assumptions (Hydro)'!$V$4*Model!$AY$1354*AVERAGE('Assumptions (Hydro)'!$AU$2:$AW$2)/10^9),0)</f>
        <v>0</v>
      </c>
      <c r="BL1511" s="160">
        <f>IF($AY$1354&gt;0,IPMT('Assumptions (Hydro)'!$V$6,Model!AJ$1,'Assumptions (Hydro)'!$V$9,'Assumptions (Hydro)'!$V$4*Model!$AY$1354*AVERAGE('Assumptions (Hydro)'!$AU$2:$AW$2)/10^9),0)</f>
        <v>0</v>
      </c>
      <c r="BM1511" s="160">
        <f>IF($AY$1354&gt;0,IPMT('Assumptions (Hydro)'!$V$6,Model!AK$1,'Assumptions (Hydro)'!$V$9,'Assumptions (Hydro)'!$V$4*Model!$AY$1354*AVERAGE('Assumptions (Hydro)'!$AU$2:$AW$2)/10^9),0)</f>
        <v>0</v>
      </c>
      <c r="BN1511" s="160"/>
      <c r="BO1511" s="160"/>
      <c r="BP1511" s="160"/>
      <c r="BQ1511" s="160"/>
      <c r="BR1511" s="160"/>
      <c r="BS1511" s="160"/>
      <c r="BT1511" s="160"/>
      <c r="BU1511" s="160"/>
      <c r="BV1511" s="160"/>
      <c r="BW1511" s="160"/>
    </row>
    <row r="1512" ht="15.75" hidden="1" customHeight="1" outlineLevel="1">
      <c r="A1512" s="273"/>
      <c r="B1512" s="38"/>
      <c r="C1512" s="174"/>
      <c r="D1512" s="174"/>
      <c r="E1512" s="174"/>
      <c r="F1512" s="174"/>
      <c r="G1512" s="174"/>
      <c r="H1512" s="174"/>
      <c r="I1512" s="174"/>
      <c r="J1512" s="174"/>
      <c r="K1512" s="174"/>
      <c r="L1512" s="174"/>
      <c r="M1512" s="174"/>
      <c r="N1512" s="174"/>
      <c r="O1512" s="174"/>
      <c r="P1512" s="174"/>
      <c r="Q1512" s="174"/>
      <c r="R1512" s="174"/>
      <c r="S1512" s="174"/>
      <c r="T1512" s="174"/>
      <c r="U1512" s="174"/>
      <c r="V1512" s="174"/>
      <c r="W1512" s="160"/>
      <c r="X1512" s="160"/>
      <c r="Y1512" s="160"/>
      <c r="Z1512" s="160"/>
      <c r="AA1512" s="160"/>
      <c r="AB1512" s="160"/>
      <c r="AC1512" s="160"/>
      <c r="AD1512" s="160"/>
      <c r="AE1512" s="160"/>
      <c r="AF1512" s="160"/>
      <c r="AG1512" s="160"/>
      <c r="AH1512" s="160"/>
      <c r="AI1512" s="160"/>
      <c r="AJ1512" s="179"/>
      <c r="AK1512" s="160"/>
      <c r="AL1512" s="177"/>
      <c r="AM1512" s="177"/>
      <c r="AN1512" s="177"/>
      <c r="AO1512" s="160"/>
      <c r="AP1512" s="160"/>
      <c r="AQ1512" s="160"/>
      <c r="AR1512" s="160"/>
      <c r="AS1512" s="160"/>
      <c r="AT1512" s="160"/>
      <c r="AU1512" s="160"/>
      <c r="AV1512" s="160"/>
      <c r="AW1512" s="160"/>
      <c r="AX1512" s="160"/>
      <c r="AY1512" s="160"/>
      <c r="AZ1512" s="160">
        <f>IF($AZ$1354&gt;0,IPMT('Assumptions (Hydro)'!$V$6,Model!W$1,'Assumptions (Hydro)'!$V$9,'Assumptions (Hydro)'!$V$4*Model!$AZ$1354*AVERAGE('Assumptions (Hydro)'!$AV$2:$AX$2)/10^9),0)</f>
        <v>0</v>
      </c>
      <c r="BA1512" s="160">
        <f>IF($AZ$1354&gt;0,IPMT('Assumptions (Hydro)'!$V$6,Model!X$1,'Assumptions (Hydro)'!$V$9,'Assumptions (Hydro)'!$V$4*Model!$AZ$1354*AVERAGE('Assumptions (Hydro)'!$AV$2:$AX$2)/10^9),0)</f>
        <v>0</v>
      </c>
      <c r="BB1512" s="160">
        <f>IF($AZ$1354&gt;0,IPMT('Assumptions (Hydro)'!$V$6,Model!Y$1,'Assumptions (Hydro)'!$V$9,'Assumptions (Hydro)'!$V$4*Model!$AZ$1354*AVERAGE('Assumptions (Hydro)'!$AV$2:$AX$2)/10^9),0)</f>
        <v>0</v>
      </c>
      <c r="BC1512" s="160">
        <f>IF($AZ$1354&gt;0,IPMT('Assumptions (Hydro)'!$V$6,Model!Z$1,'Assumptions (Hydro)'!$V$9,'Assumptions (Hydro)'!$V$4*Model!$AZ$1354*AVERAGE('Assumptions (Hydro)'!$AV$2:$AX$2)/10^9),0)</f>
        <v>0</v>
      </c>
      <c r="BD1512" s="160">
        <f>IF($AZ$1354&gt;0,IPMT('Assumptions (Hydro)'!$V$6,Model!AA$1,'Assumptions (Hydro)'!$V$9,'Assumptions (Hydro)'!$V$4*Model!$AZ$1354*AVERAGE('Assumptions (Hydro)'!$AV$2:$AX$2)/10^9),0)</f>
        <v>0</v>
      </c>
      <c r="BE1512" s="160">
        <f>IF($AZ$1354&gt;0,IPMT('Assumptions (Hydro)'!$V$6,Model!AB$1,'Assumptions (Hydro)'!$V$9,'Assumptions (Hydro)'!$V$4*Model!$AZ$1354*AVERAGE('Assumptions (Hydro)'!$AV$2:$AX$2)/10^9),0)</f>
        <v>0</v>
      </c>
      <c r="BF1512" s="160">
        <f>IF($AZ$1354&gt;0,IPMT('Assumptions (Hydro)'!$V$6,Model!AC$1,'Assumptions (Hydro)'!$V$9,'Assumptions (Hydro)'!$V$4*Model!$AZ$1354*AVERAGE('Assumptions (Hydro)'!$AV$2:$AX$2)/10^9),0)</f>
        <v>0</v>
      </c>
      <c r="BG1512" s="160">
        <f>IF($AZ$1354&gt;0,IPMT('Assumptions (Hydro)'!$V$6,Model!AD$1,'Assumptions (Hydro)'!$V$9,'Assumptions (Hydro)'!$V$4*Model!$AZ$1354*AVERAGE('Assumptions (Hydro)'!$AV$2:$AX$2)/10^9),0)</f>
        <v>0</v>
      </c>
      <c r="BH1512" s="160">
        <f>IF($AZ$1354&gt;0,IPMT('Assumptions (Hydro)'!$V$6,Model!AE$1,'Assumptions (Hydro)'!$V$9,'Assumptions (Hydro)'!$V$4*Model!$AZ$1354*AVERAGE('Assumptions (Hydro)'!$AV$2:$AX$2)/10^9),0)</f>
        <v>0</v>
      </c>
      <c r="BI1512" s="160">
        <f>IF($AZ$1354&gt;0,IPMT('Assumptions (Hydro)'!$V$6,Model!AF$1,'Assumptions (Hydro)'!$V$9,'Assumptions (Hydro)'!$V$4*Model!$AZ$1354*AVERAGE('Assumptions (Hydro)'!$AV$2:$AX$2)/10^9),0)</f>
        <v>0</v>
      </c>
      <c r="BJ1512" s="160">
        <f>IF($AZ$1354&gt;0,IPMT('Assumptions (Hydro)'!$V$6,Model!AG$1,'Assumptions (Hydro)'!$V$9,'Assumptions (Hydro)'!$V$4*Model!$AZ$1354*AVERAGE('Assumptions (Hydro)'!$AV$2:$AX$2)/10^9),0)</f>
        <v>0</v>
      </c>
      <c r="BK1512" s="160">
        <f>IF($AZ$1354&gt;0,IPMT('Assumptions (Hydro)'!$V$6,Model!AH$1,'Assumptions (Hydro)'!$V$9,'Assumptions (Hydro)'!$V$4*Model!$AZ$1354*AVERAGE('Assumptions (Hydro)'!$AV$2:$AX$2)/10^9),0)</f>
        <v>0</v>
      </c>
      <c r="BL1512" s="160">
        <f>IF($AZ$1354&gt;0,IPMT('Assumptions (Hydro)'!$V$6,Model!AI$1,'Assumptions (Hydro)'!$V$9,'Assumptions (Hydro)'!$V$4*Model!$AZ$1354*AVERAGE('Assumptions (Hydro)'!$AV$2:$AX$2)/10^9),0)</f>
        <v>0</v>
      </c>
      <c r="BM1512" s="160">
        <f>IF($AZ$1354&gt;0,IPMT('Assumptions (Hydro)'!$V$6,Model!AJ$1,'Assumptions (Hydro)'!$V$9,'Assumptions (Hydro)'!$V$4*Model!$AZ$1354*AVERAGE('Assumptions (Hydro)'!$AV$2:$AX$2)/10^9),0)</f>
        <v>0</v>
      </c>
      <c r="BN1512" s="160">
        <f>IF($AZ$1354&gt;0,IPMT('Assumptions (Hydro)'!$V$6,Model!AK$1,'Assumptions (Hydro)'!$V$9,'Assumptions (Hydro)'!$V$4*Model!$AZ$1354*AVERAGE('Assumptions (Hydro)'!$AV$2:$AX$2)/10^9),0)</f>
        <v>0</v>
      </c>
      <c r="BO1512" s="160"/>
      <c r="BP1512" s="160"/>
      <c r="BQ1512" s="160"/>
      <c r="BR1512" s="160"/>
      <c r="BS1512" s="160"/>
      <c r="BT1512" s="160"/>
      <c r="BU1512" s="160"/>
      <c r="BV1512" s="160"/>
      <c r="BW1512" s="160"/>
      <c r="BX1512" s="160"/>
    </row>
    <row r="1513" ht="15.75" hidden="1" customHeight="1" outlineLevel="1">
      <c r="A1513" s="273"/>
      <c r="B1513" s="38"/>
      <c r="C1513" s="174"/>
      <c r="D1513" s="174"/>
      <c r="E1513" s="174"/>
      <c r="F1513" s="174"/>
      <c r="G1513" s="174"/>
      <c r="H1513" s="174"/>
      <c r="I1513" s="174"/>
      <c r="J1513" s="174"/>
      <c r="K1513" s="174"/>
      <c r="L1513" s="174"/>
      <c r="M1513" s="174"/>
      <c r="N1513" s="174"/>
      <c r="O1513" s="174"/>
      <c r="P1513" s="174"/>
      <c r="Q1513" s="174"/>
      <c r="R1513" s="174"/>
      <c r="S1513" s="174"/>
      <c r="T1513" s="174"/>
      <c r="U1513" s="174"/>
      <c r="V1513" s="174"/>
      <c r="W1513" s="160"/>
      <c r="X1513" s="160"/>
      <c r="Y1513" s="160"/>
      <c r="Z1513" s="160"/>
      <c r="AA1513" s="160"/>
      <c r="AB1513" s="160"/>
      <c r="AC1513" s="160"/>
      <c r="AD1513" s="160"/>
      <c r="AE1513" s="160"/>
      <c r="AF1513" s="160"/>
      <c r="AG1513" s="160"/>
      <c r="AH1513" s="160"/>
      <c r="AI1513" s="160"/>
      <c r="AJ1513" s="179"/>
      <c r="AK1513" s="160"/>
      <c r="AL1513" s="177"/>
      <c r="AM1513" s="177"/>
      <c r="AN1513" s="177"/>
      <c r="AO1513" s="160"/>
      <c r="AP1513" s="160"/>
      <c r="AQ1513" s="160"/>
      <c r="AR1513" s="160"/>
      <c r="AS1513" s="160"/>
      <c r="AT1513" s="160"/>
      <c r="AU1513" s="160"/>
      <c r="AV1513" s="160"/>
      <c r="AW1513" s="160"/>
      <c r="AX1513" s="160"/>
      <c r="AY1513" s="160"/>
      <c r="AZ1513" s="160"/>
      <c r="BA1513" s="160">
        <f>IF($BA$1354&gt;0,IPMT('Assumptions (Hydro)'!$V$6,Model!W$1,'Assumptions (Hydro)'!$V$9,'Assumptions (Hydro)'!$V$4*Model!$BA$1354*AVERAGE('Assumptions (Hydro)'!$AW$2:$AY$2)/10^9),0)</f>
        <v>0</v>
      </c>
      <c r="BB1513" s="160">
        <f>IF($BA$1354&gt;0,IPMT('Assumptions (Hydro)'!$V$6,Model!X$1,'Assumptions (Hydro)'!$V$9,'Assumptions (Hydro)'!$V$4*Model!$BA$1354*AVERAGE('Assumptions (Hydro)'!$AW$2:$AY$2)/10^9),0)</f>
        <v>0</v>
      </c>
      <c r="BC1513" s="160">
        <f>IF($BA$1354&gt;0,IPMT('Assumptions (Hydro)'!$V$6,Model!Y$1,'Assumptions (Hydro)'!$V$9,'Assumptions (Hydro)'!$V$4*Model!$BA$1354*AVERAGE('Assumptions (Hydro)'!$AW$2:$AY$2)/10^9),0)</f>
        <v>0</v>
      </c>
      <c r="BD1513" s="160">
        <f>IF($BA$1354&gt;0,IPMT('Assumptions (Hydro)'!$V$6,Model!Z$1,'Assumptions (Hydro)'!$V$9,'Assumptions (Hydro)'!$V$4*Model!$BA$1354*AVERAGE('Assumptions (Hydro)'!$AW$2:$AY$2)/10^9),0)</f>
        <v>0</v>
      </c>
      <c r="BE1513" s="160">
        <f>IF($BA$1354&gt;0,IPMT('Assumptions (Hydro)'!$V$6,Model!AA$1,'Assumptions (Hydro)'!$V$9,'Assumptions (Hydro)'!$V$4*Model!$BA$1354*AVERAGE('Assumptions (Hydro)'!$AW$2:$AY$2)/10^9),0)</f>
        <v>0</v>
      </c>
      <c r="BF1513" s="160">
        <f>IF($BA$1354&gt;0,IPMT('Assumptions (Hydro)'!$V$6,Model!AB$1,'Assumptions (Hydro)'!$V$9,'Assumptions (Hydro)'!$V$4*Model!$BA$1354*AVERAGE('Assumptions (Hydro)'!$AW$2:$AY$2)/10^9),0)</f>
        <v>0</v>
      </c>
      <c r="BG1513" s="160">
        <f>IF($BA$1354&gt;0,IPMT('Assumptions (Hydro)'!$V$6,Model!AC$1,'Assumptions (Hydro)'!$V$9,'Assumptions (Hydro)'!$V$4*Model!$BA$1354*AVERAGE('Assumptions (Hydro)'!$AW$2:$AY$2)/10^9),0)</f>
        <v>0</v>
      </c>
      <c r="BH1513" s="160">
        <f>IF($BA$1354&gt;0,IPMT('Assumptions (Hydro)'!$V$6,Model!AD$1,'Assumptions (Hydro)'!$V$9,'Assumptions (Hydro)'!$V$4*Model!$BA$1354*AVERAGE('Assumptions (Hydro)'!$AW$2:$AY$2)/10^9),0)</f>
        <v>0</v>
      </c>
      <c r="BI1513" s="160">
        <f>IF($BA$1354&gt;0,IPMT('Assumptions (Hydro)'!$V$6,Model!AE$1,'Assumptions (Hydro)'!$V$9,'Assumptions (Hydro)'!$V$4*Model!$BA$1354*AVERAGE('Assumptions (Hydro)'!$AW$2:$AY$2)/10^9),0)</f>
        <v>0</v>
      </c>
      <c r="BJ1513" s="160">
        <f>IF($BA$1354&gt;0,IPMT('Assumptions (Hydro)'!$V$6,Model!AF$1,'Assumptions (Hydro)'!$V$9,'Assumptions (Hydro)'!$V$4*Model!$BA$1354*AVERAGE('Assumptions (Hydro)'!$AW$2:$AY$2)/10^9),0)</f>
        <v>0</v>
      </c>
      <c r="BK1513" s="160">
        <f>IF($BA$1354&gt;0,IPMT('Assumptions (Hydro)'!$V$6,Model!AG$1,'Assumptions (Hydro)'!$V$9,'Assumptions (Hydro)'!$V$4*Model!$BA$1354*AVERAGE('Assumptions (Hydro)'!$AW$2:$AY$2)/10^9),0)</f>
        <v>0</v>
      </c>
      <c r="BL1513" s="160">
        <f>IF($BA$1354&gt;0,IPMT('Assumptions (Hydro)'!$V$6,Model!AH$1,'Assumptions (Hydro)'!$V$9,'Assumptions (Hydro)'!$V$4*Model!$BA$1354*AVERAGE('Assumptions (Hydro)'!$AW$2:$AY$2)/10^9),0)</f>
        <v>0</v>
      </c>
      <c r="BM1513" s="160">
        <f>IF($BA$1354&gt;0,IPMT('Assumptions (Hydro)'!$V$6,Model!AI$1,'Assumptions (Hydro)'!$V$9,'Assumptions (Hydro)'!$V$4*Model!$BA$1354*AVERAGE('Assumptions (Hydro)'!$AW$2:$AY$2)/10^9),0)</f>
        <v>0</v>
      </c>
      <c r="BN1513" s="160">
        <f>IF($BA$1354&gt;0,IPMT('Assumptions (Hydro)'!$V$6,Model!AJ$1,'Assumptions (Hydro)'!$V$9,'Assumptions (Hydro)'!$V$4*Model!$BA$1354*AVERAGE('Assumptions (Hydro)'!$AW$2:$AY$2)/10^9),0)</f>
        <v>0</v>
      </c>
      <c r="BO1513" s="160">
        <f>IF($BA$1354&gt;0,IPMT('Assumptions (Hydro)'!$V$6,Model!AK$1,'Assumptions (Hydro)'!$V$9,'Assumptions (Hydro)'!$V$4*Model!$BA$1354*AVERAGE('Assumptions (Hydro)'!$AW$2:$AY$2)/10^9),0)</f>
        <v>0</v>
      </c>
      <c r="BP1513" s="160"/>
      <c r="BQ1513" s="160"/>
      <c r="BR1513" s="160"/>
      <c r="BS1513" s="160"/>
      <c r="BT1513" s="160"/>
      <c r="BU1513" s="160"/>
      <c r="BV1513" s="160"/>
      <c r="BW1513" s="160"/>
      <c r="BX1513" s="160"/>
      <c r="BY1513" s="160"/>
    </row>
    <row r="1514" ht="15.75" customHeight="1" collapsed="1">
      <c r="A1514" s="272" t="s">
        <v>427</v>
      </c>
      <c r="B1514" s="150" t="s">
        <v>351</v>
      </c>
      <c r="C1514" s="177">
        <f t="shared" ref="C1514:BP1514" si="57">SUM(C1515:C1565)</f>
        <v>0.00004059105632</v>
      </c>
      <c r="D1514" s="177">
        <f t="shared" si="57"/>
        <v>0.00007712300701</v>
      </c>
      <c r="E1514" s="177">
        <f t="shared" si="57"/>
        <v>0.00006941070631</v>
      </c>
      <c r="F1514" s="177">
        <f t="shared" si="57"/>
        <v>0.006354123957</v>
      </c>
      <c r="G1514" s="177">
        <f t="shared" si="57"/>
        <v>0.01830193902</v>
      </c>
      <c r="H1514" s="177">
        <f t="shared" si="57"/>
        <v>0.02538142515</v>
      </c>
      <c r="I1514" s="177">
        <f t="shared" si="57"/>
        <v>0.02547007602</v>
      </c>
      <c r="J1514" s="177">
        <f t="shared" si="57"/>
        <v>0.02293414978</v>
      </c>
      <c r="K1514" s="177">
        <f t="shared" si="57"/>
        <v>0.02063941559</v>
      </c>
      <c r="L1514" s="177">
        <f t="shared" si="57"/>
        <v>0.01894007102</v>
      </c>
      <c r="M1514" s="177">
        <f t="shared" si="57"/>
        <v>0.01815836845</v>
      </c>
      <c r="N1514" s="177">
        <f t="shared" si="57"/>
        <v>0.01819992258</v>
      </c>
      <c r="O1514" s="177">
        <f t="shared" si="57"/>
        <v>0.02896784271</v>
      </c>
      <c r="P1514" s="177">
        <f t="shared" si="57"/>
        <v>0.04201727527</v>
      </c>
      <c r="Q1514" s="177">
        <f t="shared" si="57"/>
        <v>0.04316599625</v>
      </c>
      <c r="R1514" s="177">
        <f t="shared" si="57"/>
        <v>0.0406410047</v>
      </c>
      <c r="S1514" s="177">
        <f t="shared" si="57"/>
        <v>0.03834892793</v>
      </c>
      <c r="T1514" s="177">
        <f t="shared" si="57"/>
        <v>0.03631129673</v>
      </c>
      <c r="U1514" s="177">
        <f t="shared" si="57"/>
        <v>0.03139761091</v>
      </c>
      <c r="V1514" s="177">
        <f t="shared" si="57"/>
        <v>0.02373192876</v>
      </c>
      <c r="W1514" s="177">
        <f t="shared" si="57"/>
        <v>0.01849071642</v>
      </c>
      <c r="X1514" s="177">
        <f t="shared" si="57"/>
        <v>0.01693236526</v>
      </c>
      <c r="Y1514" s="177">
        <f t="shared" si="57"/>
        <v>0.01694602377</v>
      </c>
      <c r="Z1514" s="177">
        <f t="shared" si="57"/>
        <v>0.01693236526</v>
      </c>
      <c r="AA1514" s="177">
        <f t="shared" si="57"/>
        <v>0.01694602377</v>
      </c>
      <c r="AB1514" s="177">
        <f t="shared" si="57"/>
        <v>0.01693236526</v>
      </c>
      <c r="AC1514" s="177">
        <f t="shared" si="57"/>
        <v>0.01682693333</v>
      </c>
      <c r="AD1514" s="177">
        <f t="shared" si="57"/>
        <v>0.0104479371</v>
      </c>
      <c r="AE1514" s="177">
        <f t="shared" si="57"/>
        <v>0.002097491686</v>
      </c>
      <c r="AF1514" s="177">
        <f t="shared" si="57"/>
        <v>0</v>
      </c>
      <c r="AG1514" s="177">
        <f t="shared" si="57"/>
        <v>0</v>
      </c>
      <c r="AH1514" s="177">
        <f t="shared" si="57"/>
        <v>0</v>
      </c>
      <c r="AI1514" s="177">
        <f t="shared" si="57"/>
        <v>0</v>
      </c>
      <c r="AJ1514" s="177">
        <f t="shared" si="57"/>
        <v>0</v>
      </c>
      <c r="AK1514" s="177">
        <f t="shared" si="57"/>
        <v>0</v>
      </c>
      <c r="AL1514" s="177">
        <f t="shared" si="57"/>
        <v>0</v>
      </c>
      <c r="AM1514" s="177">
        <f t="shared" si="57"/>
        <v>0</v>
      </c>
      <c r="AN1514" s="177">
        <f t="shared" si="57"/>
        <v>0</v>
      </c>
      <c r="AO1514" s="177">
        <f t="shared" si="57"/>
        <v>0</v>
      </c>
      <c r="AP1514" s="177">
        <f t="shared" si="57"/>
        <v>0</v>
      </c>
      <c r="AQ1514" s="177">
        <f t="shared" si="57"/>
        <v>0</v>
      </c>
      <c r="AR1514" s="177">
        <f t="shared" si="57"/>
        <v>0</v>
      </c>
      <c r="AS1514" s="177">
        <f t="shared" si="57"/>
        <v>0</v>
      </c>
      <c r="AT1514" s="177">
        <f t="shared" si="57"/>
        <v>0</v>
      </c>
      <c r="AU1514" s="177">
        <f t="shared" si="57"/>
        <v>0</v>
      </c>
      <c r="AV1514" s="177">
        <f t="shared" si="57"/>
        <v>0</v>
      </c>
      <c r="AW1514" s="177">
        <f t="shared" si="57"/>
        <v>0</v>
      </c>
      <c r="AX1514" s="177">
        <f t="shared" si="57"/>
        <v>0</v>
      </c>
      <c r="AY1514" s="177">
        <f t="shared" si="57"/>
        <v>0</v>
      </c>
      <c r="AZ1514" s="177">
        <f t="shared" si="57"/>
        <v>0</v>
      </c>
      <c r="BA1514" s="177">
        <f t="shared" si="57"/>
        <v>0</v>
      </c>
      <c r="BB1514" s="177">
        <f t="shared" si="57"/>
        <v>0</v>
      </c>
      <c r="BC1514" s="177">
        <f t="shared" si="57"/>
        <v>0</v>
      </c>
      <c r="BD1514" s="177">
        <f t="shared" si="57"/>
        <v>0</v>
      </c>
      <c r="BE1514" s="177">
        <f t="shared" si="57"/>
        <v>0</v>
      </c>
      <c r="BF1514" s="177">
        <f t="shared" si="57"/>
        <v>0</v>
      </c>
      <c r="BG1514" s="177">
        <f t="shared" si="57"/>
        <v>0</v>
      </c>
      <c r="BH1514" s="177">
        <f t="shared" si="57"/>
        <v>0</v>
      </c>
      <c r="BI1514" s="177">
        <f t="shared" si="57"/>
        <v>0</v>
      </c>
      <c r="BJ1514" s="177">
        <f t="shared" si="57"/>
        <v>0</v>
      </c>
      <c r="BK1514" s="177">
        <f t="shared" si="57"/>
        <v>0</v>
      </c>
      <c r="BL1514" s="177">
        <f t="shared" si="57"/>
        <v>0</v>
      </c>
      <c r="BM1514" s="177">
        <f t="shared" si="57"/>
        <v>0</v>
      </c>
      <c r="BN1514" s="177">
        <f t="shared" si="57"/>
        <v>0</v>
      </c>
      <c r="BO1514" s="177">
        <f t="shared" si="57"/>
        <v>0</v>
      </c>
      <c r="BP1514" s="177">
        <f t="shared" si="57"/>
        <v>0</v>
      </c>
      <c r="BQ1514" s="177"/>
      <c r="BR1514" s="177"/>
      <c r="BS1514" s="177"/>
    </row>
    <row r="1515" ht="15.75" hidden="1" customHeight="1" outlineLevel="1">
      <c r="A1515" s="273"/>
      <c r="B1515" s="38"/>
      <c r="C1515" s="178">
        <f>IF($C$1354&gt;0,'Assumptions (Hydro)'!V$10*Model!$C$1354*'Assumptions (Hydro)'!$B$2/10^9,0)</f>
        <v>0.00004059105632</v>
      </c>
      <c r="D1515" s="178">
        <f>IF($C$1354&gt;0,'Assumptions (Hydro)'!W$10*Model!$C$1354*'Assumptions (Hydro)'!$B$2/10^9,0)</f>
        <v>0.00007712300701</v>
      </c>
      <c r="E1515" s="178">
        <f>IF($C$1354&gt;0,'Assumptions (Hydro)'!X$10*Model!$C$1354*'Assumptions (Hydro)'!$B$2/10^9,0)</f>
        <v>0.00006941070631</v>
      </c>
      <c r="F1515" s="178">
        <f>IF($C$1354&gt;0,'Assumptions (Hydro)'!Y$10*Model!$C$1354*'Assumptions (Hydro)'!$B$2/10^9,0)</f>
        <v>0.00006251022674</v>
      </c>
      <c r="G1515" s="178">
        <f>IF($C$1354&gt;0,'Assumptions (Hydro)'!Z$10*Model!$C$1354*'Assumptions (Hydro)'!$B$2/10^9,0)</f>
        <v>0.00005625920406</v>
      </c>
      <c r="H1515" s="178">
        <f>IF($C$1354&gt;0,'Assumptions (Hydro)'!AA$10*Model!$C$1354*'Assumptions (Hydro)'!$B$2/10^9,0)</f>
        <v>0.00005057645618</v>
      </c>
      <c r="I1515" s="178">
        <f>IF($C$1354&gt;0,'Assumptions (Hydro)'!AB$10*Model!$C$1354*'Assumptions (Hydro)'!$B$2/10^9,0)</f>
        <v>0.00004789744646</v>
      </c>
      <c r="J1515" s="178">
        <f>IF($C$1354&gt;0,'Assumptions (Hydro)'!AC$10*Model!$C$1354*'Assumptions (Hydro)'!$B$2/10^9,0)</f>
        <v>0.00004789744646</v>
      </c>
      <c r="K1515" s="178">
        <f>IF($C$1354&gt;0,'Assumptions (Hydro)'!AD$10*Model!$C$1354*'Assumptions (Hydro)'!$B$2/10^9,0)</f>
        <v>0.00004797862857</v>
      </c>
      <c r="L1515" s="178">
        <f>IF($C$1354&gt;0,'Assumptions (Hydro)'!AE$10*Model!$C$1354*'Assumptions (Hydro)'!$B$2/10^9,0)</f>
        <v>0.00004789744646</v>
      </c>
      <c r="M1515" s="178">
        <f>IF($C$1354&gt;0,'Assumptions (Hydro)'!AF$10*Model!$C$1354*'Assumptions (Hydro)'!$B$2/10^9,0)</f>
        <v>0.00004797862857</v>
      </c>
      <c r="N1515" s="178">
        <f>IF($C$1354&gt;0,'Assumptions (Hydro)'!AG$10*Model!$C$1354*'Assumptions (Hydro)'!$B$2/10^9,0)</f>
        <v>0.00004789744646</v>
      </c>
      <c r="O1515" s="178">
        <f>IF($C$1354&gt;0,'Assumptions (Hydro)'!AH$10*Model!$C$1354*'Assumptions (Hydro)'!$B$2/10^9,0)</f>
        <v>0.00004797862857</v>
      </c>
      <c r="P1515" s="178">
        <f>IF($C$1354&gt;0,'Assumptions (Hydro)'!AI$10*Model!$C$1354*'Assumptions (Hydro)'!$B$2/10^9,0)</f>
        <v>0.00004789744646</v>
      </c>
      <c r="Q1515" s="178">
        <f>IF($C$1354&gt;0,'Assumptions (Hydro)'!AJ$10*Model!$C$1354*'Assumptions (Hydro)'!$B$2/10^9,0)</f>
        <v>0.00004797862857</v>
      </c>
      <c r="R1515" s="178">
        <f>IF($C$1354&gt;0,'Assumptions (Hydro)'!AK$10*Model!$C$1354*'Assumptions (Hydro)'!$B$2/10^9,0)</f>
        <v>0.00002394872323</v>
      </c>
      <c r="S1515" s="177"/>
      <c r="T1515" s="177"/>
      <c r="U1515" s="177"/>
      <c r="V1515" s="177"/>
      <c r="W1515" s="177"/>
      <c r="X1515" s="160"/>
      <c r="Y1515" s="160"/>
      <c r="Z1515" s="160"/>
      <c r="AA1515" s="160"/>
      <c r="AB1515" s="160"/>
      <c r="AC1515" s="160"/>
      <c r="AD1515" s="160"/>
      <c r="AE1515" s="160"/>
      <c r="AF1515" s="160"/>
      <c r="AG1515" s="160"/>
    </row>
    <row r="1516" ht="15.75" hidden="1" customHeight="1" outlineLevel="1">
      <c r="A1516" s="273"/>
      <c r="B1516" s="38"/>
      <c r="C1516" s="160"/>
      <c r="D1516" s="160">
        <f>IF($D$1354&gt;0,'Assumptions (Hydro)'!V$10*Model!$D$1354*'Assumptions (Hydro)'!$B$2/10^9,0)</f>
        <v>0</v>
      </c>
      <c r="E1516" s="160">
        <f>IF($D$1354&gt;0,'Assumptions (Hydro)'!W$10*Model!$D$1354*'Assumptions (Hydro)'!$B$2/10^9,0)</f>
        <v>0</v>
      </c>
      <c r="F1516" s="160">
        <f>IF($D$1354&gt;0,'Assumptions (Hydro)'!X$10*Model!$D$1354*'Assumptions (Hydro)'!$B$2/10^9,0)</f>
        <v>0</v>
      </c>
      <c r="G1516" s="160">
        <f>IF($D$1354&gt;0,'Assumptions (Hydro)'!Y$10*Model!$D$1354*'Assumptions (Hydro)'!$B$2/10^9,0)</f>
        <v>0</v>
      </c>
      <c r="H1516" s="160">
        <f>IF($D$1354&gt;0,'Assumptions (Hydro)'!Z$10*Model!$D$1354*'Assumptions (Hydro)'!$B$2/10^9,0)</f>
        <v>0</v>
      </c>
      <c r="I1516" s="160">
        <f>IF($D$1354&gt;0,'Assumptions (Hydro)'!AA$10*Model!$D$1354*'Assumptions (Hydro)'!$B$2/10^9,0)</f>
        <v>0</v>
      </c>
      <c r="J1516" s="160">
        <f>IF($D$1354&gt;0,'Assumptions (Hydro)'!AB$10*Model!$D$1354*'Assumptions (Hydro)'!$B$2/10^9,0)</f>
        <v>0</v>
      </c>
      <c r="K1516" s="160">
        <f>IF($D$1354&gt;0,'Assumptions (Hydro)'!AC$10*Model!$D$1354*'Assumptions (Hydro)'!$B$2/10^9,0)</f>
        <v>0</v>
      </c>
      <c r="L1516" s="160">
        <f>IF($D$1354&gt;0,'Assumptions (Hydro)'!AD$10*Model!$D$1354*'Assumptions (Hydro)'!$B$2/10^9,0)</f>
        <v>0</v>
      </c>
      <c r="M1516" s="160">
        <f>IF($D$1354&gt;0,'Assumptions (Hydro)'!AE$10*Model!$D$1354*'Assumptions (Hydro)'!$B$2/10^9,0)</f>
        <v>0</v>
      </c>
      <c r="N1516" s="160">
        <f>IF($D$1354&gt;0,'Assumptions (Hydro)'!AF$10*Model!$D$1354*'Assumptions (Hydro)'!$B$2/10^9,0)</f>
        <v>0</v>
      </c>
      <c r="O1516" s="160">
        <f>IF($D$1354&gt;0,'Assumptions (Hydro)'!AG$10*Model!$D$1354*'Assumptions (Hydro)'!$B$2/10^9,0)</f>
        <v>0</v>
      </c>
      <c r="P1516" s="160">
        <f>IF($D$1354&gt;0,'Assumptions (Hydro)'!AH$10*Model!$D$1354*'Assumptions (Hydro)'!$B$2/10^9,0)</f>
        <v>0</v>
      </c>
      <c r="Q1516" s="160">
        <f>IF($D$1354&gt;0,'Assumptions (Hydro)'!AI$10*Model!$D$1354*'Assumptions (Hydro)'!$B$2/10^9,0)</f>
        <v>0</v>
      </c>
      <c r="R1516" s="160">
        <f>IF($D$1354&gt;0,'Assumptions (Hydro)'!AJ$10*Model!$D$1354*'Assumptions (Hydro)'!$B$2/10^9,0)</f>
        <v>0</v>
      </c>
      <c r="S1516" s="160">
        <f>IF($D$1354&gt;0,'Assumptions (Hydro)'!AK$10*Model!$D$1354*'Assumptions (Hydro)'!$B$2/10^9,0)</f>
        <v>0</v>
      </c>
      <c r="T1516" s="160"/>
      <c r="U1516" s="160"/>
      <c r="V1516" s="160"/>
      <c r="W1516" s="160"/>
      <c r="X1516" s="160"/>
      <c r="Y1516" s="160"/>
      <c r="Z1516" s="160"/>
      <c r="AA1516" s="160"/>
      <c r="AB1516" s="160"/>
      <c r="AC1516" s="160"/>
      <c r="AD1516" s="160"/>
      <c r="AE1516" s="160"/>
      <c r="AF1516" s="160"/>
      <c r="AG1516" s="160"/>
    </row>
    <row r="1517" ht="15.75" hidden="1" customHeight="1" outlineLevel="1">
      <c r="A1517" s="273"/>
      <c r="B1517" s="38"/>
      <c r="C1517" s="160"/>
      <c r="D1517" s="160"/>
      <c r="E1517" s="160">
        <f>IF($E$1354&gt;0,'Assumptions (Hydro)'!V$10*Model!$E$1354*AVERAGE('Assumptions (Hydro)'!$B$2:$C$2)/10^9,0)</f>
        <v>0</v>
      </c>
      <c r="F1517" s="160">
        <f>IF($E$1354&gt;0,'Assumptions (Hydro)'!W$10*Model!$E$1354*AVERAGE('Assumptions (Hydro)'!$B$2:$C$2)/10^9,0)</f>
        <v>0</v>
      </c>
      <c r="G1517" s="160">
        <f>IF($E$1354&gt;0,'Assumptions (Hydro)'!X$10*Model!$E$1354*AVERAGE('Assumptions (Hydro)'!$B$2:$C$2)/10^9,0)</f>
        <v>0</v>
      </c>
      <c r="H1517" s="160">
        <f>IF($E$1354&gt;0,'Assumptions (Hydro)'!Y$10*Model!$E$1354*AVERAGE('Assumptions (Hydro)'!$B$2:$C$2)/10^9,0)</f>
        <v>0</v>
      </c>
      <c r="I1517" s="160">
        <f>IF($E$1354&gt;0,'Assumptions (Hydro)'!Z$10*Model!$E$1354*AVERAGE('Assumptions (Hydro)'!$B$2:$C$2)/10^9,0)</f>
        <v>0</v>
      </c>
      <c r="J1517" s="160">
        <f>IF($E$1354&gt;0,'Assumptions (Hydro)'!AA$10*Model!$E$1354*AVERAGE('Assumptions (Hydro)'!$B$2:$C$2)/10^9,0)</f>
        <v>0</v>
      </c>
      <c r="K1517" s="160">
        <f>IF($E$1354&gt;0,'Assumptions (Hydro)'!AB$10*Model!$E$1354*AVERAGE('Assumptions (Hydro)'!$B$2:$C$2)/10^9,0)</f>
        <v>0</v>
      </c>
      <c r="L1517" s="160">
        <f>IF($E$1354&gt;0,'Assumptions (Hydro)'!AC$10*Model!$E$1354*AVERAGE('Assumptions (Hydro)'!$B$2:$C$2)/10^9,0)</f>
        <v>0</v>
      </c>
      <c r="M1517" s="160">
        <f>IF($E$1354&gt;0,'Assumptions (Hydro)'!AD$10*Model!$E$1354*AVERAGE('Assumptions (Hydro)'!$B$2:$C$2)/10^9,0)</f>
        <v>0</v>
      </c>
      <c r="N1517" s="160">
        <f>IF($E$1354&gt;0,'Assumptions (Hydro)'!AE$10*Model!$E$1354*AVERAGE('Assumptions (Hydro)'!$B$2:$C$2)/10^9,0)</f>
        <v>0</v>
      </c>
      <c r="O1517" s="160">
        <f>IF($E$1354&gt;0,'Assumptions (Hydro)'!AF$10*Model!$E$1354*AVERAGE('Assumptions (Hydro)'!$B$2:$C$2)/10^9,0)</f>
        <v>0</v>
      </c>
      <c r="P1517" s="160">
        <f>IF($E$1354&gt;0,'Assumptions (Hydro)'!AG$10*Model!$E$1354*AVERAGE('Assumptions (Hydro)'!$B$2:$C$2)/10^9,0)</f>
        <v>0</v>
      </c>
      <c r="Q1517" s="160">
        <f>IF($E$1354&gt;0,'Assumptions (Hydro)'!AH$10*Model!$E$1354*AVERAGE('Assumptions (Hydro)'!$B$2:$C$2)/10^9,0)</f>
        <v>0</v>
      </c>
      <c r="R1517" s="160">
        <f>IF($E$1354&gt;0,'Assumptions (Hydro)'!AI$10*Model!$E$1354*AVERAGE('Assumptions (Hydro)'!$B$2:$C$2)/10^9,0)</f>
        <v>0</v>
      </c>
      <c r="S1517" s="160">
        <f>IF($E$1354&gt;0,'Assumptions (Hydro)'!AJ$10*Model!$E$1354*AVERAGE('Assumptions (Hydro)'!$B$2:$C$2)/10^9,0)</f>
        <v>0</v>
      </c>
      <c r="T1517" s="160">
        <f>IF($E$1354&gt;0,'Assumptions (Hydro)'!AK$10*Model!$E$1354*AVERAGE('Assumptions (Hydro)'!$B$2:$C$2)/10^9,0)</f>
        <v>0</v>
      </c>
      <c r="U1517" s="160"/>
      <c r="V1517" s="160"/>
      <c r="W1517" s="160"/>
      <c r="X1517" s="160"/>
      <c r="Y1517" s="160"/>
      <c r="Z1517" s="160"/>
      <c r="AA1517" s="160"/>
      <c r="AB1517" s="160"/>
      <c r="AC1517" s="160"/>
      <c r="AD1517" s="160"/>
      <c r="AE1517" s="160"/>
      <c r="AF1517" s="160"/>
      <c r="AG1517" s="160"/>
    </row>
    <row r="1518" ht="15.75" hidden="1" customHeight="1" outlineLevel="1">
      <c r="A1518" s="273"/>
      <c r="B1518" s="38"/>
      <c r="C1518" s="160"/>
      <c r="D1518" s="160"/>
      <c r="E1518" s="160"/>
      <c r="F1518" s="160">
        <f>IF($F$1354&gt;0,'Assumptions (Hydro)'!V$10*Model!$F$1354*AVERAGE('Assumptions (Hydro)'!$B$2:$D$2)/10^9,0)</f>
        <v>0.00629161373</v>
      </c>
      <c r="G1518" s="160">
        <f>IF($F$1354&gt;0,'Assumptions (Hydro)'!W$10*Model!$F$1354*AVERAGE('Assumptions (Hydro)'!$B$2:$D$2)/10^9,0)</f>
        <v>0.01195406609</v>
      </c>
      <c r="H1518" s="160">
        <f>IF($F$1354&gt;0,'Assumptions (Hydro)'!X$10*Model!$F$1354*AVERAGE('Assumptions (Hydro)'!$B$2:$D$2)/10^9,0)</f>
        <v>0.01075865948</v>
      </c>
      <c r="I1518" s="160">
        <f>IF($F$1354&gt;0,'Assumptions (Hydro)'!Y$10*Model!$F$1354*AVERAGE('Assumptions (Hydro)'!$B$2:$D$2)/10^9,0)</f>
        <v>0.009689085144</v>
      </c>
      <c r="J1518" s="160">
        <f>IF($F$1354&gt;0,'Assumptions (Hydro)'!Z$10*Model!$F$1354*AVERAGE('Assumptions (Hydro)'!$B$2:$D$2)/10^9,0)</f>
        <v>0.00872017663</v>
      </c>
      <c r="K1518" s="160">
        <f>IF($F$1354&gt;0,'Assumptions (Hydro)'!AA$10*Model!$F$1354*AVERAGE('Assumptions (Hydro)'!$B$2:$D$2)/10^9,0)</f>
        <v>0.007839350708</v>
      </c>
      <c r="L1518" s="160">
        <f>IF($F$1354&gt;0,'Assumptions (Hydro)'!AB$10*Model!$F$1354*AVERAGE('Assumptions (Hydro)'!$B$2:$D$2)/10^9,0)</f>
        <v>0.007424104201</v>
      </c>
      <c r="M1518" s="160">
        <f>IF($F$1354&gt;0,'Assumptions (Hydro)'!AC$10*Model!$F$1354*AVERAGE('Assumptions (Hydro)'!$B$2:$D$2)/10^9,0)</f>
        <v>0.007424104201</v>
      </c>
      <c r="N1518" s="160">
        <f>IF($F$1354&gt;0,'Assumptions (Hydro)'!AD$10*Model!$F$1354*AVERAGE('Assumptions (Hydro)'!$B$2:$D$2)/10^9,0)</f>
        <v>0.007436687429</v>
      </c>
      <c r="O1518" s="160">
        <f>IF($F$1354&gt;0,'Assumptions (Hydro)'!AE$10*Model!$F$1354*AVERAGE('Assumptions (Hydro)'!$B$2:$D$2)/10^9,0)</f>
        <v>0.007424104201</v>
      </c>
      <c r="P1518" s="160">
        <f>IF($F$1354&gt;0,'Assumptions (Hydro)'!AF$10*Model!$F$1354*AVERAGE('Assumptions (Hydro)'!$B$2:$D$2)/10^9,0)</f>
        <v>0.007436687429</v>
      </c>
      <c r="Q1518" s="160">
        <f>IF($F$1354&gt;0,'Assumptions (Hydro)'!AG$10*Model!$F$1354*AVERAGE('Assumptions (Hydro)'!$B$2:$D$2)/10^9,0)</f>
        <v>0.007424104201</v>
      </c>
      <c r="R1518" s="160">
        <f>IF($F$1354&gt;0,'Assumptions (Hydro)'!AH$10*Model!$F$1354*AVERAGE('Assumptions (Hydro)'!$B$2:$D$2)/10^9,0)</f>
        <v>0.007436687429</v>
      </c>
      <c r="S1518" s="160">
        <f>IF($F$1354&gt;0,'Assumptions (Hydro)'!AI$10*Model!$F$1354*AVERAGE('Assumptions (Hydro)'!$B$2:$D$2)/10^9,0)</f>
        <v>0.007424104201</v>
      </c>
      <c r="T1518" s="160">
        <f>IF($F$1354&gt;0,'Assumptions (Hydro)'!AJ$10*Model!$F$1354*AVERAGE('Assumptions (Hydro)'!$B$2:$D$2)/10^9,0)</f>
        <v>0.007436687429</v>
      </c>
      <c r="U1518" s="160">
        <f>IF($F$1354&gt;0,'Assumptions (Hydro)'!AK$10*Model!$F$1354*AVERAGE('Assumptions (Hydro)'!$B$2:$D$2)/10^9,0)</f>
        <v>0.003712052101</v>
      </c>
      <c r="V1518" s="160"/>
      <c r="W1518" s="160"/>
      <c r="X1518" s="160"/>
      <c r="Y1518" s="160"/>
      <c r="Z1518" s="160"/>
      <c r="AA1518" s="160"/>
      <c r="AB1518" s="160"/>
      <c r="AC1518" s="160"/>
      <c r="AD1518" s="160"/>
      <c r="AE1518" s="160"/>
      <c r="AF1518" s="160"/>
      <c r="AG1518" s="160"/>
    </row>
    <row r="1519" ht="15.75" hidden="1" customHeight="1" outlineLevel="1">
      <c r="A1519" s="273"/>
      <c r="B1519" s="38"/>
      <c r="C1519" s="160"/>
      <c r="D1519" s="160"/>
      <c r="E1519" s="160"/>
      <c r="F1519" s="160"/>
      <c r="G1519" s="160">
        <f>IF($G$1354&gt;0,'Assumptions (Hydro)'!V$10*Model!$G$1354*AVERAGE('Assumptions (Hydro)'!$C$2:$E$2)/10^9,0)</f>
        <v>0.00629161373</v>
      </c>
      <c r="H1519" s="160">
        <f>IF($G$1354&gt;0,'Assumptions (Hydro)'!W$10*Model!$G$1354*AVERAGE('Assumptions (Hydro)'!$C$2:$E$2)/10^9,0)</f>
        <v>0.01195406609</v>
      </c>
      <c r="I1519" s="160">
        <f>IF($G$1354&gt;0,'Assumptions (Hydro)'!X$10*Model!$G$1354*AVERAGE('Assumptions (Hydro)'!$C$2:$E$2)/10^9,0)</f>
        <v>0.01075865948</v>
      </c>
      <c r="J1519" s="160">
        <f>IF($G$1354&gt;0,'Assumptions (Hydro)'!Y$10*Model!$G$1354*AVERAGE('Assumptions (Hydro)'!$C$2:$E$2)/10^9,0)</f>
        <v>0.009689085144</v>
      </c>
      <c r="K1519" s="160">
        <f>IF($G$1354&gt;0,'Assumptions (Hydro)'!Z$10*Model!$G$1354*AVERAGE('Assumptions (Hydro)'!$C$2:$E$2)/10^9,0)</f>
        <v>0.00872017663</v>
      </c>
      <c r="L1519" s="160">
        <f>IF($G$1354&gt;0,'Assumptions (Hydro)'!AA$10*Model!$G$1354*AVERAGE('Assumptions (Hydro)'!$C$2:$E$2)/10^9,0)</f>
        <v>0.007839350708</v>
      </c>
      <c r="M1519" s="160">
        <f>IF($G$1354&gt;0,'Assumptions (Hydro)'!AB$10*Model!$G$1354*AVERAGE('Assumptions (Hydro)'!$C$2:$E$2)/10^9,0)</f>
        <v>0.007424104201</v>
      </c>
      <c r="N1519" s="160">
        <f>IF($G$1354&gt;0,'Assumptions (Hydro)'!AC$10*Model!$G$1354*AVERAGE('Assumptions (Hydro)'!$C$2:$E$2)/10^9,0)</f>
        <v>0.007424104201</v>
      </c>
      <c r="O1519" s="160">
        <f>IF($G$1354&gt;0,'Assumptions (Hydro)'!AD$10*Model!$G$1354*AVERAGE('Assumptions (Hydro)'!$C$2:$E$2)/10^9,0)</f>
        <v>0.007436687429</v>
      </c>
      <c r="P1519" s="160">
        <f>IF($G$1354&gt;0,'Assumptions (Hydro)'!AE$10*Model!$G$1354*AVERAGE('Assumptions (Hydro)'!$C$2:$E$2)/10^9,0)</f>
        <v>0.007424104201</v>
      </c>
      <c r="Q1519" s="160">
        <f>IF($G$1354&gt;0,'Assumptions (Hydro)'!AF$10*Model!$G$1354*AVERAGE('Assumptions (Hydro)'!$C$2:$E$2)/10^9,0)</f>
        <v>0.007436687429</v>
      </c>
      <c r="R1519" s="160">
        <f>IF($G$1354&gt;0,'Assumptions (Hydro)'!AG$10*Model!$G$1354*AVERAGE('Assumptions (Hydro)'!$C$2:$E$2)/10^9,0)</f>
        <v>0.007424104201</v>
      </c>
      <c r="S1519" s="160">
        <f>IF($G$1354&gt;0,'Assumptions (Hydro)'!AH$10*Model!$G$1354*AVERAGE('Assumptions (Hydro)'!$C$2:$E$2)/10^9,0)</f>
        <v>0.007436687429</v>
      </c>
      <c r="T1519" s="160">
        <f>IF($G$1354&gt;0,'Assumptions (Hydro)'!AI$10*Model!$G$1354*AVERAGE('Assumptions (Hydro)'!$C$2:$E$2)/10^9,0)</f>
        <v>0.007424104201</v>
      </c>
      <c r="U1519" s="160">
        <f>IF($G$1354&gt;0,'Assumptions (Hydro)'!AJ$10*Model!$G$1354*AVERAGE('Assumptions (Hydro)'!$C$2:$E$2)/10^9,0)</f>
        <v>0.007436687429</v>
      </c>
      <c r="V1519" s="160">
        <f>IF($G$1354&gt;0,'Assumptions (Hydro)'!AK$10*Model!$G$1354*AVERAGE('Assumptions (Hydro)'!$C$2:$E$2)/10^9,0)</f>
        <v>0.003712052101</v>
      </c>
      <c r="W1519" s="160"/>
      <c r="X1519" s="160"/>
      <c r="Y1519" s="160"/>
      <c r="Z1519" s="160"/>
      <c r="AA1519" s="160"/>
      <c r="AB1519" s="160"/>
      <c r="AC1519" s="160"/>
      <c r="AD1519" s="160"/>
      <c r="AE1519" s="160"/>
      <c r="AF1519" s="160"/>
      <c r="AG1519" s="160"/>
    </row>
    <row r="1520" ht="15.75" hidden="1" customHeight="1" outlineLevel="1">
      <c r="A1520" s="273"/>
      <c r="B1520" s="38"/>
      <c r="C1520" s="160"/>
      <c r="D1520" s="160"/>
      <c r="E1520" s="160"/>
      <c r="F1520" s="160"/>
      <c r="G1520" s="160"/>
      <c r="H1520" s="160">
        <f>IF($H$1354&gt;0,'Assumptions (Hydro)'!V$10*Model!$H$1354*AVERAGE('Assumptions (Hydro)'!$D$2:$F$2)/10^9,0)</f>
        <v>0.002618123133</v>
      </c>
      <c r="I1520" s="160">
        <f>IF($H$1354&gt;0,'Assumptions (Hydro)'!W$10*Model!$H$1354*AVERAGE('Assumptions (Hydro)'!$D$2:$F$2)/10^9,0)</f>
        <v>0.004974433952</v>
      </c>
      <c r="J1520" s="160">
        <f>IF($H$1354&gt;0,'Assumptions (Hydro)'!X$10*Model!$H$1354*AVERAGE('Assumptions (Hydro)'!$D$2:$F$2)/10^9,0)</f>
        <v>0.004476990557</v>
      </c>
      <c r="K1520" s="160">
        <f>IF($H$1354&gt;0,'Assumptions (Hydro)'!Y$10*Model!$H$1354*AVERAGE('Assumptions (Hydro)'!$D$2:$F$2)/10^9,0)</f>
        <v>0.004031909625</v>
      </c>
      <c r="L1520" s="160">
        <f>IF($H$1354&gt;0,'Assumptions (Hydro)'!Z$10*Model!$H$1354*AVERAGE('Assumptions (Hydro)'!$D$2:$F$2)/10^9,0)</f>
        <v>0.003628718662</v>
      </c>
      <c r="M1520" s="160">
        <f>IF($H$1354&gt;0,'Assumptions (Hydro)'!AA$10*Model!$H$1354*AVERAGE('Assumptions (Hydro)'!$D$2:$F$2)/10^9,0)</f>
        <v>0.003262181424</v>
      </c>
      <c r="N1520" s="160">
        <f>IF($H$1354&gt;0,'Assumptions (Hydro)'!AB$10*Model!$H$1354*AVERAGE('Assumptions (Hydro)'!$D$2:$F$2)/10^9,0)</f>
        <v>0.003089385297</v>
      </c>
      <c r="O1520" s="160">
        <f>IF($H$1354&gt;0,'Assumptions (Hydro)'!AC$10*Model!$H$1354*AVERAGE('Assumptions (Hydro)'!$D$2:$F$2)/10^9,0)</f>
        <v>0.003089385297</v>
      </c>
      <c r="P1520" s="160">
        <f>IF($H$1354&gt;0,'Assumptions (Hydro)'!AD$10*Model!$H$1354*AVERAGE('Assumptions (Hydro)'!$D$2:$F$2)/10^9,0)</f>
        <v>0.003094621543</v>
      </c>
      <c r="Q1520" s="160">
        <f>IF($H$1354&gt;0,'Assumptions (Hydro)'!AE$10*Model!$H$1354*AVERAGE('Assumptions (Hydro)'!$D$2:$F$2)/10^9,0)</f>
        <v>0.003089385297</v>
      </c>
      <c r="R1520" s="160">
        <f>IF($H$1354&gt;0,'Assumptions (Hydro)'!AF$10*Model!$H$1354*AVERAGE('Assumptions (Hydro)'!$D$2:$F$2)/10^9,0)</f>
        <v>0.003094621543</v>
      </c>
      <c r="S1520" s="160">
        <f>IF($H$1354&gt;0,'Assumptions (Hydro)'!AG$10*Model!$H$1354*AVERAGE('Assumptions (Hydro)'!$D$2:$F$2)/10^9,0)</f>
        <v>0.003089385297</v>
      </c>
      <c r="T1520" s="160">
        <f>IF($H$1354&gt;0,'Assumptions (Hydro)'!AH$10*Model!$H$1354*AVERAGE('Assumptions (Hydro)'!$D$2:$F$2)/10^9,0)</f>
        <v>0.003094621543</v>
      </c>
      <c r="U1520" s="160">
        <f>IF($H$1354&gt;0,'Assumptions (Hydro)'!AI$10*Model!$H$1354*AVERAGE('Assumptions (Hydro)'!$D$2:$F$2)/10^9,0)</f>
        <v>0.003089385297</v>
      </c>
      <c r="V1520" s="160">
        <f>IF($H$1354&gt;0,'Assumptions (Hydro)'!AJ$10*Model!$H$1354*AVERAGE('Assumptions (Hydro)'!$D$2:$F$2)/10^9,0)</f>
        <v>0.003094621543</v>
      </c>
      <c r="W1520" s="160">
        <f>IF($H$1354&gt;0,'Assumptions (Hydro)'!AK$10*Model!$H$1354*AVERAGE('Assumptions (Hydro)'!$D$2:$F$2)/10^9,0)</f>
        <v>0.001544692648</v>
      </c>
      <c r="X1520" s="160"/>
      <c r="Y1520" s="160"/>
      <c r="Z1520" s="160"/>
      <c r="AA1520" s="160"/>
      <c r="AB1520" s="160"/>
      <c r="AC1520" s="160"/>
      <c r="AD1520" s="160"/>
      <c r="AE1520" s="160"/>
      <c r="AF1520" s="160"/>
      <c r="AG1520" s="160"/>
    </row>
    <row r="1521" ht="15.75" hidden="1" customHeight="1" outlineLevel="1">
      <c r="A1521" s="273"/>
      <c r="B1521" s="38"/>
      <c r="C1521" s="160"/>
      <c r="D1521" s="160"/>
      <c r="E1521" s="160"/>
      <c r="F1521" s="160"/>
      <c r="G1521" s="160"/>
      <c r="H1521" s="160"/>
      <c r="I1521" s="160">
        <f>IF($I$1354&gt;0,'Assumptions (Hydro)'!V$10*Model!$I$1354*AVERAGE('Assumptions (Hydro)'!$E$2:$G$2)/10^9,0)</f>
        <v>0</v>
      </c>
      <c r="J1521" s="160">
        <f>IF($I$1354&gt;0,'Assumptions (Hydro)'!W$10*Model!$I$1354*AVERAGE('Assumptions (Hydro)'!$E$2:$G$2)/10^9,0)</f>
        <v>0</v>
      </c>
      <c r="K1521" s="160">
        <f>IF($I$1354&gt;0,'Assumptions (Hydro)'!X$10*Model!$I$1354*AVERAGE('Assumptions (Hydro)'!$E$2:$G$2)/10^9,0)</f>
        <v>0</v>
      </c>
      <c r="L1521" s="160">
        <f>IF($I$1354&gt;0,'Assumptions (Hydro)'!Y$10*Model!$I$1354*AVERAGE('Assumptions (Hydro)'!$E$2:$G$2)/10^9,0)</f>
        <v>0</v>
      </c>
      <c r="M1521" s="160">
        <f>IF($I$1354&gt;0,'Assumptions (Hydro)'!Z$10*Model!$I$1354*AVERAGE('Assumptions (Hydro)'!$E$2:$G$2)/10^9,0)</f>
        <v>0</v>
      </c>
      <c r="N1521" s="160">
        <f>IF($I$1354&gt;0,'Assumptions (Hydro)'!AA$10*Model!$I$1354*AVERAGE('Assumptions (Hydro)'!$E$2:$G$2)/10^9,0)</f>
        <v>0</v>
      </c>
      <c r="O1521" s="160">
        <f>IF($I$1354&gt;0,'Assumptions (Hydro)'!AB$10*Model!$I$1354*AVERAGE('Assumptions (Hydro)'!$E$2:$G$2)/10^9,0)</f>
        <v>0</v>
      </c>
      <c r="P1521" s="160">
        <f>IF($I$1354&gt;0,'Assumptions (Hydro)'!AC$10*Model!$I$1354*AVERAGE('Assumptions (Hydro)'!$E$2:$G$2)/10^9,0)</f>
        <v>0</v>
      </c>
      <c r="Q1521" s="160">
        <f>IF($I$1354&gt;0,'Assumptions (Hydro)'!AD$10*Model!$I$1354*AVERAGE('Assumptions (Hydro)'!$E$2:$G$2)/10^9,0)</f>
        <v>0</v>
      </c>
      <c r="R1521" s="160">
        <f>IF($I$1354&gt;0,'Assumptions (Hydro)'!AE$10*Model!$I$1354*AVERAGE('Assumptions (Hydro)'!$E$2:$G$2)/10^9,0)</f>
        <v>0</v>
      </c>
      <c r="S1521" s="160">
        <f>IF($I$1354&gt;0,'Assumptions (Hydro)'!AF$10*Model!$I$1354*AVERAGE('Assumptions (Hydro)'!$E$2:$G$2)/10^9,0)</f>
        <v>0</v>
      </c>
      <c r="T1521" s="160">
        <f>IF($I$1354&gt;0,'Assumptions (Hydro)'!AG$10*Model!$I$1354*AVERAGE('Assumptions (Hydro)'!$E$2:$G$2)/10^9,0)</f>
        <v>0</v>
      </c>
      <c r="U1521" s="160">
        <f>IF($I$1354&gt;0,'Assumptions (Hydro)'!AH$10*Model!$I$1354*AVERAGE('Assumptions (Hydro)'!$E$2:$G$2)/10^9,0)</f>
        <v>0</v>
      </c>
      <c r="V1521" s="160">
        <f>IF($I$1354&gt;0,'Assumptions (Hydro)'!AI$10*Model!$I$1354*AVERAGE('Assumptions (Hydro)'!$E$2:$G$2)/10^9,0)</f>
        <v>0</v>
      </c>
      <c r="W1521" s="160">
        <f>IF($I$1354&gt;0,'Assumptions (Hydro)'!AJ$10*Model!$I$1354*AVERAGE('Assumptions (Hydro)'!$E$2:$G$2)/10^9,0)</f>
        <v>0</v>
      </c>
      <c r="X1521" s="160">
        <f>IF($I$1354&gt;0,'Assumptions (Hydro)'!AK$10*Model!$I$1354*AVERAGE('Assumptions (Hydro)'!$E$2:$G$2)/10^9,0)</f>
        <v>0</v>
      </c>
      <c r="Y1521" s="160"/>
      <c r="Z1521" s="160"/>
      <c r="AA1521" s="160"/>
      <c r="AB1521" s="160"/>
      <c r="AC1521" s="160"/>
      <c r="AD1521" s="160"/>
      <c r="AE1521" s="160"/>
      <c r="AF1521" s="160"/>
      <c r="AG1521" s="160"/>
    </row>
    <row r="1522" ht="15.75" hidden="1" customHeight="1" outlineLevel="1">
      <c r="A1522" s="273"/>
      <c r="B1522" s="38"/>
      <c r="C1522" s="160"/>
      <c r="D1522" s="160"/>
      <c r="E1522" s="160"/>
      <c r="F1522" s="160"/>
      <c r="G1522" s="160"/>
      <c r="H1522" s="160"/>
      <c r="I1522" s="160"/>
      <c r="J1522" s="160">
        <f>IF($J$1354&gt;0,'Assumptions (Hydro)'!V$10*Model!$J$1354*AVERAGE('Assumptions (Hydro)'!$F$2:$H$2)/10^9,0)</f>
        <v>0</v>
      </c>
      <c r="K1522" s="160">
        <f>IF($J$1354&gt;0,'Assumptions (Hydro)'!W$10*Model!$J$1354*AVERAGE('Assumptions (Hydro)'!$F$2:$H$2)/10^9,0)</f>
        <v>0</v>
      </c>
      <c r="L1522" s="160">
        <f>IF($J$1354&gt;0,'Assumptions (Hydro)'!X$10*Model!$J$1354*AVERAGE('Assumptions (Hydro)'!$F$2:$H$2)/10^9,0)</f>
        <v>0</v>
      </c>
      <c r="M1522" s="160">
        <f>IF($J$1354&gt;0,'Assumptions (Hydro)'!Y$10*Model!$J$1354*AVERAGE('Assumptions (Hydro)'!$F$2:$H$2)/10^9,0)</f>
        <v>0</v>
      </c>
      <c r="N1522" s="160">
        <f>IF($J$1354&gt;0,'Assumptions (Hydro)'!Z$10*Model!$J$1354*AVERAGE('Assumptions (Hydro)'!$F$2:$H$2)/10^9,0)</f>
        <v>0</v>
      </c>
      <c r="O1522" s="160">
        <f>IF($J$1354&gt;0,'Assumptions (Hydro)'!AA$10*Model!$J$1354*AVERAGE('Assumptions (Hydro)'!$F$2:$H$2)/10^9,0)</f>
        <v>0</v>
      </c>
      <c r="P1522" s="160">
        <f>IF($J$1354&gt;0,'Assumptions (Hydro)'!AB$10*Model!$J$1354*AVERAGE('Assumptions (Hydro)'!$F$2:$H$2)/10^9,0)</f>
        <v>0</v>
      </c>
      <c r="Q1522" s="160">
        <f>IF($J$1354&gt;0,'Assumptions (Hydro)'!AC$10*Model!$J$1354*AVERAGE('Assumptions (Hydro)'!$F$2:$H$2)/10^9,0)</f>
        <v>0</v>
      </c>
      <c r="R1522" s="160">
        <f>IF($J$1354&gt;0,'Assumptions (Hydro)'!AD$10*Model!$J$1354*AVERAGE('Assumptions (Hydro)'!$F$2:$H$2)/10^9,0)</f>
        <v>0</v>
      </c>
      <c r="S1522" s="160">
        <f>IF($J$1354&gt;0,'Assumptions (Hydro)'!AE$10*Model!$J$1354*AVERAGE('Assumptions (Hydro)'!$F$2:$H$2)/10^9,0)</f>
        <v>0</v>
      </c>
      <c r="T1522" s="160">
        <f>IF($J$1354&gt;0,'Assumptions (Hydro)'!AF$10*Model!$J$1354*AVERAGE('Assumptions (Hydro)'!$F$2:$H$2)/10^9,0)</f>
        <v>0</v>
      </c>
      <c r="U1522" s="160">
        <f>IF($J$1354&gt;0,'Assumptions (Hydro)'!AG$10*Model!$J$1354*AVERAGE('Assumptions (Hydro)'!$F$2:$H$2)/10^9,0)</f>
        <v>0</v>
      </c>
      <c r="V1522" s="160">
        <f>IF($J$1354&gt;0,'Assumptions (Hydro)'!AH$10*Model!$J$1354*AVERAGE('Assumptions (Hydro)'!$F$2:$H$2)/10^9,0)</f>
        <v>0</v>
      </c>
      <c r="W1522" s="160">
        <f>IF($J$1354&gt;0,'Assumptions (Hydro)'!AI$10*Model!$J$1354*AVERAGE('Assumptions (Hydro)'!$F$2:$H$2)/10^9,0)</f>
        <v>0</v>
      </c>
      <c r="X1522" s="160">
        <f>IF($J$1354&gt;0,'Assumptions (Hydro)'!AJ$10*Model!$J$1354*AVERAGE('Assumptions (Hydro)'!$F$2:$H$2)/10^9,0)</f>
        <v>0</v>
      </c>
      <c r="Y1522" s="160">
        <f>IF($J$1354&gt;0,'Assumptions (Hydro)'!AK$10*Model!$J$1354*AVERAGE('Assumptions (Hydro)'!$F$2:$H$2)/10^9,0)</f>
        <v>0</v>
      </c>
      <c r="Z1522" s="160"/>
      <c r="AA1522" s="160"/>
      <c r="AB1522" s="160"/>
      <c r="AC1522" s="160"/>
      <c r="AD1522" s="160"/>
      <c r="AE1522" s="160"/>
      <c r="AF1522" s="160"/>
      <c r="AG1522" s="160"/>
      <c r="AH1522" s="160"/>
    </row>
    <row r="1523" ht="15.75" hidden="1" customHeight="1" outlineLevel="1">
      <c r="A1523" s="273"/>
      <c r="B1523" s="38"/>
      <c r="C1523" s="160"/>
      <c r="D1523" s="160"/>
      <c r="E1523" s="160"/>
      <c r="F1523" s="160"/>
      <c r="G1523" s="160"/>
      <c r="H1523" s="160"/>
      <c r="I1523" s="160"/>
      <c r="J1523" s="160"/>
      <c r="K1523" s="160">
        <f>IF($K$1354&gt;0,'Assumptions (Hydro)'!V$10*Model!$K$1354*AVERAGE('Assumptions (Hydro)'!$G$2:$I$2)/10^9,0)</f>
        <v>0</v>
      </c>
      <c r="L1523" s="160">
        <f>IF($K$1354&gt;0,'Assumptions (Hydro)'!W$10*Model!$K$1354*AVERAGE('Assumptions (Hydro)'!$G$2:$I$2)/10^9,0)</f>
        <v>0</v>
      </c>
      <c r="M1523" s="160">
        <f>IF($K$1354&gt;0,'Assumptions (Hydro)'!X$10*Model!$K$1354*AVERAGE('Assumptions (Hydro)'!$G$2:$I$2)/10^9,0)</f>
        <v>0</v>
      </c>
      <c r="N1523" s="160">
        <f>IF($K$1354&gt;0,'Assumptions (Hydro)'!Y$10*Model!$K$1354*AVERAGE('Assumptions (Hydro)'!$G$2:$I$2)/10^9,0)</f>
        <v>0</v>
      </c>
      <c r="O1523" s="160">
        <f>IF($K$1354&gt;0,'Assumptions (Hydro)'!Z$10*Model!$K$1354*AVERAGE('Assumptions (Hydro)'!$G$2:$I$2)/10^9,0)</f>
        <v>0</v>
      </c>
      <c r="P1523" s="160">
        <f>IF($K$1354&gt;0,'Assumptions (Hydro)'!AA$10*Model!$K$1354*AVERAGE('Assumptions (Hydro)'!$G$2:$I$2)/10^9,0)</f>
        <v>0</v>
      </c>
      <c r="Q1523" s="160">
        <f>IF($K$1354&gt;0,'Assumptions (Hydro)'!AB$10*Model!$K$1354*AVERAGE('Assumptions (Hydro)'!$G$2:$I$2)/10^9,0)</f>
        <v>0</v>
      </c>
      <c r="R1523" s="160">
        <f>IF($K$1354&gt;0,'Assumptions (Hydro)'!AC$10*Model!$K$1354*AVERAGE('Assumptions (Hydro)'!$G$2:$I$2)/10^9,0)</f>
        <v>0</v>
      </c>
      <c r="S1523" s="160">
        <f>IF($K$1354&gt;0,'Assumptions (Hydro)'!AD$10*Model!$K$1354*AVERAGE('Assumptions (Hydro)'!$G$2:$I$2)/10^9,0)</f>
        <v>0</v>
      </c>
      <c r="T1523" s="160">
        <f>IF($K$1354&gt;0,'Assumptions (Hydro)'!AE$10*Model!$K$1354*AVERAGE('Assumptions (Hydro)'!$G$2:$I$2)/10^9,0)</f>
        <v>0</v>
      </c>
      <c r="U1523" s="160">
        <f>IF($K$1354&gt;0,'Assumptions (Hydro)'!AF$10*Model!$K$1354*AVERAGE('Assumptions (Hydro)'!$G$2:$I$2)/10^9,0)</f>
        <v>0</v>
      </c>
      <c r="V1523" s="160">
        <f>IF($K$1354&gt;0,'Assumptions (Hydro)'!AG$10*Model!$K$1354*AVERAGE('Assumptions (Hydro)'!$G$2:$I$2)/10^9,0)</f>
        <v>0</v>
      </c>
      <c r="W1523" s="160">
        <f>IF($K$1354&gt;0,'Assumptions (Hydro)'!AH$10*Model!$K$1354*AVERAGE('Assumptions (Hydro)'!$G$2:$I$2)/10^9,0)</f>
        <v>0</v>
      </c>
      <c r="X1523" s="160">
        <f>IF($K$1354&gt;0,'Assumptions (Hydro)'!AI$10*Model!$K$1354*AVERAGE('Assumptions (Hydro)'!$G$2:$I$2)/10^9,0)</f>
        <v>0</v>
      </c>
      <c r="Y1523" s="160">
        <f>IF($K$1354&gt;0,'Assumptions (Hydro)'!AJ$10*Model!$K$1354*AVERAGE('Assumptions (Hydro)'!$G$2:$I$2)/10^9,0)</f>
        <v>0</v>
      </c>
      <c r="Z1523" s="160">
        <f>IF($K$1354&gt;0,'Assumptions (Hydro)'!AK$10*Model!$K$1354*AVERAGE('Assumptions (Hydro)'!$G$2:$I$2)/10^9,0)</f>
        <v>0</v>
      </c>
      <c r="AA1523" s="160"/>
      <c r="AB1523" s="160"/>
      <c r="AC1523" s="160"/>
      <c r="AD1523" s="160"/>
      <c r="AE1523" s="160"/>
      <c r="AF1523" s="160"/>
      <c r="AG1523" s="160"/>
      <c r="AH1523" s="160"/>
      <c r="AI1523" s="160"/>
    </row>
    <row r="1524" ht="15.75" hidden="1" customHeight="1" outlineLevel="1">
      <c r="A1524" s="273"/>
      <c r="B1524" s="38"/>
      <c r="C1524" s="160"/>
      <c r="D1524" s="160"/>
      <c r="E1524" s="160"/>
      <c r="F1524" s="160"/>
      <c r="G1524" s="160"/>
      <c r="H1524" s="160"/>
      <c r="I1524" s="160"/>
      <c r="J1524" s="160"/>
      <c r="K1524" s="160"/>
      <c r="L1524" s="160">
        <f>IF($L$1354&gt;0,'Assumptions (Hydro)'!V$10*Model!$L$1354*AVERAGE('Assumptions (Hydro)'!$H$2:$J$2)/10^9,0)</f>
        <v>0</v>
      </c>
      <c r="M1524" s="160">
        <f>IF($L$1354&gt;0,'Assumptions (Hydro)'!W$10*Model!$L$1354*AVERAGE('Assumptions (Hydro)'!$H$2:$J$2)/10^9,0)</f>
        <v>0</v>
      </c>
      <c r="N1524" s="160">
        <f>IF($L$1354&gt;0,'Assumptions (Hydro)'!X$10*Model!$L$1354*AVERAGE('Assumptions (Hydro)'!$H$2:$J$2)/10^9,0)</f>
        <v>0</v>
      </c>
      <c r="O1524" s="160">
        <f>IF($L$1354&gt;0,'Assumptions (Hydro)'!Y$10*Model!$L$1354*AVERAGE('Assumptions (Hydro)'!$H$2:$J$2)/10^9,0)</f>
        <v>0</v>
      </c>
      <c r="P1524" s="160">
        <f>IF($L$1354&gt;0,'Assumptions (Hydro)'!Z$10*Model!$L$1354*AVERAGE('Assumptions (Hydro)'!$H$2:$J$2)/10^9,0)</f>
        <v>0</v>
      </c>
      <c r="Q1524" s="160">
        <f>IF($L$1354&gt;0,'Assumptions (Hydro)'!AA$10*Model!$L$1354*AVERAGE('Assumptions (Hydro)'!$H$2:$J$2)/10^9,0)</f>
        <v>0</v>
      </c>
      <c r="R1524" s="160">
        <f>IF($L$1354&gt;0,'Assumptions (Hydro)'!AB$10*Model!$L$1354*AVERAGE('Assumptions (Hydro)'!$H$2:$J$2)/10^9,0)</f>
        <v>0</v>
      </c>
      <c r="S1524" s="160">
        <f>IF($L$1354&gt;0,'Assumptions (Hydro)'!AC$10*Model!$L$1354*AVERAGE('Assumptions (Hydro)'!$H$2:$J$2)/10^9,0)</f>
        <v>0</v>
      </c>
      <c r="T1524" s="160">
        <f>IF($L$1354&gt;0,'Assumptions (Hydro)'!AD$10*Model!$L$1354*AVERAGE('Assumptions (Hydro)'!$H$2:$J$2)/10^9,0)</f>
        <v>0</v>
      </c>
      <c r="U1524" s="160">
        <f>IF($L$1354&gt;0,'Assumptions (Hydro)'!AE$10*Model!$L$1354*AVERAGE('Assumptions (Hydro)'!$H$2:$J$2)/10^9,0)</f>
        <v>0</v>
      </c>
      <c r="V1524" s="160">
        <f>IF($L$1354&gt;0,'Assumptions (Hydro)'!AF$10*Model!$L$1354*AVERAGE('Assumptions (Hydro)'!$H$2:$J$2)/10^9,0)</f>
        <v>0</v>
      </c>
      <c r="W1524" s="160">
        <f>IF($L$1354&gt;0,'Assumptions (Hydro)'!AG$10*Model!$L$1354*AVERAGE('Assumptions (Hydro)'!$H$2:$J$2)/10^9,0)</f>
        <v>0</v>
      </c>
      <c r="X1524" s="160">
        <f>IF($L$1354&gt;0,'Assumptions (Hydro)'!AH$10*Model!$L$1354*AVERAGE('Assumptions (Hydro)'!$H$2:$J$2)/10^9,0)</f>
        <v>0</v>
      </c>
      <c r="Y1524" s="160">
        <f>IF($L$1354&gt;0,'Assumptions (Hydro)'!AI$10*Model!$L$1354*AVERAGE('Assumptions (Hydro)'!$H$2:$J$2)/10^9,0)</f>
        <v>0</v>
      </c>
      <c r="Z1524" s="160">
        <f>IF($L$1354&gt;0,'Assumptions (Hydro)'!AJ$10*Model!$L$1354*AVERAGE('Assumptions (Hydro)'!$H$2:$J$2)/10^9,0)</f>
        <v>0</v>
      </c>
      <c r="AA1524" s="160">
        <f>IF($L$1354&gt;0,'Assumptions (Hydro)'!AK$10*Model!$L$1354*AVERAGE('Assumptions (Hydro)'!$H$2:$J$2)/10^9,0)</f>
        <v>0</v>
      </c>
      <c r="AB1524" s="160"/>
      <c r="AC1524" s="160"/>
      <c r="AD1524" s="160"/>
      <c r="AE1524" s="160"/>
      <c r="AF1524" s="160"/>
      <c r="AG1524" s="160"/>
      <c r="AH1524" s="160"/>
      <c r="AI1524" s="160"/>
      <c r="AJ1524" s="160"/>
    </row>
    <row r="1525" ht="15.75" hidden="1" customHeight="1" outlineLevel="1">
      <c r="A1525" s="273"/>
      <c r="B1525" s="38"/>
      <c r="C1525" s="160"/>
      <c r="D1525" s="160"/>
      <c r="E1525" s="160"/>
      <c r="F1525" s="160"/>
      <c r="G1525" s="160"/>
      <c r="H1525" s="160"/>
      <c r="I1525" s="160"/>
      <c r="J1525" s="160"/>
      <c r="K1525" s="160"/>
      <c r="L1525" s="160"/>
      <c r="M1525" s="160">
        <f>IF($M$1354&gt;0,'Assumptions (Hydro)'!V$10*Model!$M$1354*AVERAGE('Assumptions (Hydro)'!$I$2:$K$2)/10^9,0)</f>
        <v>0</v>
      </c>
      <c r="N1525" s="160">
        <f>IF($M$1354&gt;0,'Assumptions (Hydro)'!W$10*Model!$M$1354*AVERAGE('Assumptions (Hydro)'!$I$2:$K$2)/10^9,0)</f>
        <v>0</v>
      </c>
      <c r="O1525" s="160">
        <f>IF($M$1354&gt;0,'Assumptions (Hydro)'!X$10*Model!$M$1354*AVERAGE('Assumptions (Hydro)'!$I$2:$K$2)/10^9,0)</f>
        <v>0</v>
      </c>
      <c r="P1525" s="160">
        <f>IF($M$1354&gt;0,'Assumptions (Hydro)'!Y$10*Model!$M$1354*AVERAGE('Assumptions (Hydro)'!$I$2:$K$2)/10^9,0)</f>
        <v>0</v>
      </c>
      <c r="Q1525" s="160">
        <f>IF($M$1354&gt;0,'Assumptions (Hydro)'!Z$10*Model!$M$1354*AVERAGE('Assumptions (Hydro)'!$I$2:$K$2)/10^9,0)</f>
        <v>0</v>
      </c>
      <c r="R1525" s="160">
        <f>IF($M$1354&gt;0,'Assumptions (Hydro)'!AA$10*Model!$M$1354*AVERAGE('Assumptions (Hydro)'!$I$2:$K$2)/10^9,0)</f>
        <v>0</v>
      </c>
      <c r="S1525" s="160">
        <f>IF($M$1354&gt;0,'Assumptions (Hydro)'!AB$10*Model!$M$1354*AVERAGE('Assumptions (Hydro)'!$I$2:$K$2)/10^9,0)</f>
        <v>0</v>
      </c>
      <c r="T1525" s="160">
        <f>IF($M$1354&gt;0,'Assumptions (Hydro)'!AC$10*Model!$M$1354*AVERAGE('Assumptions (Hydro)'!$I$2:$K$2)/10^9,0)</f>
        <v>0</v>
      </c>
      <c r="U1525" s="160">
        <f>IF($M$1354&gt;0,'Assumptions (Hydro)'!AD$10*Model!$M$1354*AVERAGE('Assumptions (Hydro)'!$I$2:$K$2)/10^9,0)</f>
        <v>0</v>
      </c>
      <c r="V1525" s="160">
        <f>IF($M$1354&gt;0,'Assumptions (Hydro)'!AE$10*Model!$M$1354*AVERAGE('Assumptions (Hydro)'!$I$2:$K$2)/10^9,0)</f>
        <v>0</v>
      </c>
      <c r="W1525" s="160">
        <f>IF($M$1354&gt;0,'Assumptions (Hydro)'!AF$10*Model!$M$1354*AVERAGE('Assumptions (Hydro)'!$I$2:$K$2)/10^9,0)</f>
        <v>0</v>
      </c>
      <c r="X1525" s="160">
        <f>IF($M$1354&gt;0,'Assumptions (Hydro)'!AG$10*Model!$M$1354*AVERAGE('Assumptions (Hydro)'!$I$2:$K$2)/10^9,0)</f>
        <v>0</v>
      </c>
      <c r="Y1525" s="160">
        <f>IF($M$1354&gt;0,'Assumptions (Hydro)'!AH$10*Model!$M$1354*AVERAGE('Assumptions (Hydro)'!$I$2:$K$2)/10^9,0)</f>
        <v>0</v>
      </c>
      <c r="Z1525" s="160">
        <f>IF($M$1354&gt;0,'Assumptions (Hydro)'!AI$10*Model!$M$1354*AVERAGE('Assumptions (Hydro)'!$I$2:$K$2)/10^9,0)</f>
        <v>0</v>
      </c>
      <c r="AA1525" s="160">
        <f>IF($M$1354&gt;0,'Assumptions (Hydro)'!AJ$10*Model!$M$1354*AVERAGE('Assumptions (Hydro)'!$I$2:$K$2)/10^9,0)</f>
        <v>0</v>
      </c>
      <c r="AB1525" s="160">
        <f>IF($M$1354&gt;0,'Assumptions (Hydro)'!AK$10*Model!$M$1354*AVERAGE('Assumptions (Hydro)'!$I$2:$K$2)/10^9,0)</f>
        <v>0</v>
      </c>
      <c r="AC1525" s="160"/>
      <c r="AD1525" s="160"/>
      <c r="AE1525" s="160"/>
      <c r="AF1525" s="160"/>
      <c r="AG1525" s="160"/>
      <c r="AH1525" s="160"/>
      <c r="AI1525" s="160"/>
      <c r="AJ1525" s="160"/>
      <c r="AK1525" s="160"/>
    </row>
    <row r="1526" ht="15.75" hidden="1" customHeight="1" outlineLevel="1">
      <c r="A1526" s="273"/>
      <c r="B1526" s="38"/>
      <c r="C1526" s="160"/>
      <c r="D1526" s="160"/>
      <c r="E1526" s="160"/>
      <c r="F1526" s="160"/>
      <c r="G1526" s="160"/>
      <c r="H1526" s="160"/>
      <c r="I1526" s="160"/>
      <c r="J1526" s="160"/>
      <c r="K1526" s="160"/>
      <c r="L1526" s="160"/>
      <c r="M1526" s="160"/>
      <c r="N1526" s="160">
        <f>IF($N$1354&gt;0,'Assumptions (Hydro)'!V$10*Model!$N$1354*AVERAGE('Assumptions (Hydro)'!$J$2:$L$2)/10^9,0)</f>
        <v>0.0002018482061</v>
      </c>
      <c r="O1526" s="160">
        <f>IF($N$1354&gt;0,'Assumptions (Hydro)'!W$10*Model!$N$1354*AVERAGE('Assumptions (Hydro)'!$J$2:$L$2)/10^9,0)</f>
        <v>0.0003835115915</v>
      </c>
      <c r="P1526" s="160">
        <f>IF($N$1354&gt;0,'Assumptions (Hydro)'!X$10*Model!$N$1354*AVERAGE('Assumptions (Hydro)'!$J$2:$L$2)/10^9,0)</f>
        <v>0.0003451604324</v>
      </c>
      <c r="Q1526" s="160">
        <f>IF($N$1354&gt;0,'Assumptions (Hydro)'!Y$10*Model!$N$1354*AVERAGE('Assumptions (Hydro)'!$J$2:$L$2)/10^9,0)</f>
        <v>0.0003108462374</v>
      </c>
      <c r="R1526" s="160">
        <f>IF($N$1354&gt;0,'Assumptions (Hydro)'!Z$10*Model!$N$1354*AVERAGE('Assumptions (Hydro)'!$J$2:$L$2)/10^9,0)</f>
        <v>0.0002797616136</v>
      </c>
      <c r="S1526" s="160">
        <f>IF($N$1354&gt;0,'Assumptions (Hydro)'!AA$10*Model!$N$1354*AVERAGE('Assumptions (Hydro)'!$J$2:$L$2)/10^9,0)</f>
        <v>0.0002515028648</v>
      </c>
      <c r="T1526" s="160">
        <f>IF($N$1354&gt;0,'Assumptions (Hydro)'!AB$10*Model!$N$1354*AVERAGE('Assumptions (Hydro)'!$J$2:$L$2)/10^9,0)</f>
        <v>0.0002381808832</v>
      </c>
      <c r="U1526" s="160">
        <f>IF($N$1354&gt;0,'Assumptions (Hydro)'!AC$10*Model!$N$1354*AVERAGE('Assumptions (Hydro)'!$J$2:$L$2)/10^9,0)</f>
        <v>0.0002381808832</v>
      </c>
      <c r="V1526" s="160">
        <f>IF($N$1354&gt;0,'Assumptions (Hydro)'!AD$10*Model!$N$1354*AVERAGE('Assumptions (Hydro)'!$J$2:$L$2)/10^9,0)</f>
        <v>0.0002385845796</v>
      </c>
      <c r="W1526" s="160">
        <f>IF($N$1354&gt;0,'Assumptions (Hydro)'!AE$10*Model!$N$1354*AVERAGE('Assumptions (Hydro)'!$J$2:$L$2)/10^9,0)</f>
        <v>0.0002381808832</v>
      </c>
      <c r="X1526" s="160">
        <f>IF($N$1354&gt;0,'Assumptions (Hydro)'!AF$10*Model!$N$1354*AVERAGE('Assumptions (Hydro)'!$J$2:$L$2)/10^9,0)</f>
        <v>0.0002385845796</v>
      </c>
      <c r="Y1526" s="160">
        <f>IF($N$1354&gt;0,'Assumptions (Hydro)'!AG$10*Model!$N$1354*AVERAGE('Assumptions (Hydro)'!$J$2:$L$2)/10^9,0)</f>
        <v>0.0002381808832</v>
      </c>
      <c r="Z1526" s="160">
        <f>IF($N$1354&gt;0,'Assumptions (Hydro)'!AH$10*Model!$N$1354*AVERAGE('Assumptions (Hydro)'!$J$2:$L$2)/10^9,0)</f>
        <v>0.0002385845796</v>
      </c>
      <c r="AA1526" s="160">
        <f>IF($N$1354&gt;0,'Assumptions (Hydro)'!AI$10*Model!$N$1354*AVERAGE('Assumptions (Hydro)'!$J$2:$L$2)/10^9,0)</f>
        <v>0.0002381808832</v>
      </c>
      <c r="AB1526" s="160">
        <f>IF($N$1354&gt;0,'Assumptions (Hydro)'!AJ$10*Model!$N$1354*AVERAGE('Assumptions (Hydro)'!$J$2:$L$2)/10^9,0)</f>
        <v>0.0002385845796</v>
      </c>
      <c r="AC1526" s="160">
        <f>IF($N$1354&gt;0,'Assumptions (Hydro)'!AK$10*Model!$N$1354*AVERAGE('Assumptions (Hydro)'!$J$2:$L$2)/10^9,0)</f>
        <v>0.0001190904416</v>
      </c>
      <c r="AD1526" s="160"/>
      <c r="AE1526" s="160"/>
      <c r="AF1526" s="160"/>
      <c r="AG1526" s="160"/>
      <c r="AH1526" s="160"/>
      <c r="AI1526" s="160"/>
      <c r="AJ1526" s="160"/>
      <c r="AK1526" s="160"/>
    </row>
    <row r="1527" ht="15.75" hidden="1" customHeight="1" outlineLevel="1">
      <c r="A1527" s="273"/>
      <c r="B1527" s="38"/>
      <c r="C1527" s="160"/>
      <c r="D1527" s="160"/>
      <c r="E1527" s="160"/>
      <c r="F1527" s="160"/>
      <c r="G1527" s="160"/>
      <c r="H1527" s="160"/>
      <c r="I1527" s="160"/>
      <c r="J1527" s="160"/>
      <c r="K1527" s="160"/>
      <c r="L1527" s="160"/>
      <c r="M1527" s="160"/>
      <c r="N1527" s="160"/>
      <c r="O1527" s="160">
        <f>IF($O$1354&gt;0,'Assumptions (Hydro)'!V$10*Model!$O$1354*AVERAGE('Assumptions (Hydro)'!$K$2:$M$2)/10^9,0)</f>
        <v>0.01058617556</v>
      </c>
      <c r="P1527" s="160">
        <f>IF($O$1354&gt;0,'Assumptions (Hydro)'!W$10*Model!$O$1354*AVERAGE('Assumptions (Hydro)'!$K$2:$M$2)/10^9,0)</f>
        <v>0.02011373357</v>
      </c>
      <c r="Q1527" s="160">
        <f>IF($O$1354&gt;0,'Assumptions (Hydro)'!X$10*Model!$O$1354*AVERAGE('Assumptions (Hydro)'!$K$2:$M$2)/10^9,0)</f>
        <v>0.01810236021</v>
      </c>
      <c r="R1527" s="160">
        <f>IF($O$1354&gt;0,'Assumptions (Hydro)'!Y$10*Model!$O$1354*AVERAGE('Assumptions (Hydro)'!$K$2:$M$2)/10^9,0)</f>
        <v>0.01630271037</v>
      </c>
      <c r="S1527" s="160">
        <f>IF($O$1354&gt;0,'Assumptions (Hydro)'!Z$10*Model!$O$1354*AVERAGE('Assumptions (Hydro)'!$K$2:$M$2)/10^9,0)</f>
        <v>0.01467243933</v>
      </c>
      <c r="T1527" s="160">
        <f>IF($O$1354&gt;0,'Assumptions (Hydro)'!AA$10*Model!$O$1354*AVERAGE('Assumptions (Hydro)'!$K$2:$M$2)/10^9,0)</f>
        <v>0.01319037475</v>
      </c>
      <c r="U1527" s="160">
        <f>IF($O$1354&gt;0,'Assumptions (Hydro)'!AB$10*Model!$O$1354*AVERAGE('Assumptions (Hydro)'!$K$2:$M$2)/10^9,0)</f>
        <v>0.01249168716</v>
      </c>
      <c r="V1527" s="160">
        <f>IF($O$1354&gt;0,'Assumptions (Hydro)'!AC$10*Model!$O$1354*AVERAGE('Assumptions (Hydro)'!$K$2:$M$2)/10^9,0)</f>
        <v>0.01249168716</v>
      </c>
      <c r="W1527" s="160">
        <f>IF($O$1354&gt;0,'Assumptions (Hydro)'!AD$10*Model!$O$1354*AVERAGE('Assumptions (Hydro)'!$K$2:$M$2)/10^9,0)</f>
        <v>0.01251285951</v>
      </c>
      <c r="X1527" s="160">
        <f>IF($O$1354&gt;0,'Assumptions (Hydro)'!AE$10*Model!$O$1354*AVERAGE('Assumptions (Hydro)'!$K$2:$M$2)/10^9,0)</f>
        <v>0.01249168716</v>
      </c>
      <c r="Y1527" s="160">
        <f>IF($O$1354&gt;0,'Assumptions (Hydro)'!AF$10*Model!$O$1354*AVERAGE('Assumptions (Hydro)'!$K$2:$M$2)/10^9,0)</f>
        <v>0.01251285951</v>
      </c>
      <c r="Z1527" s="160">
        <f>IF($O$1354&gt;0,'Assumptions (Hydro)'!AG$10*Model!$O$1354*AVERAGE('Assumptions (Hydro)'!$K$2:$M$2)/10^9,0)</f>
        <v>0.01249168716</v>
      </c>
      <c r="AA1527" s="160">
        <f>IF($O$1354&gt;0,'Assumptions (Hydro)'!AH$10*Model!$O$1354*AVERAGE('Assumptions (Hydro)'!$K$2:$M$2)/10^9,0)</f>
        <v>0.01251285951</v>
      </c>
      <c r="AB1527" s="160">
        <f>IF($O$1354&gt;0,'Assumptions (Hydro)'!AI$10*Model!$O$1354*AVERAGE('Assumptions (Hydro)'!$K$2:$M$2)/10^9,0)</f>
        <v>0.01249168716</v>
      </c>
      <c r="AC1527" s="160">
        <f>IF($O$1354&gt;0,'Assumptions (Hydro)'!AJ$10*Model!$O$1354*AVERAGE('Assumptions (Hydro)'!$K$2:$M$2)/10^9,0)</f>
        <v>0.01251285951</v>
      </c>
      <c r="AD1527" s="160">
        <f>IF($O$1354&gt;0,'Assumptions (Hydro)'!AK$10*Model!$O$1354*AVERAGE('Assumptions (Hydro)'!$K$2:$M$2)/10^9,0)</f>
        <v>0.006245843581</v>
      </c>
      <c r="AE1527" s="160"/>
      <c r="AF1527" s="160"/>
      <c r="AG1527" s="160"/>
      <c r="AH1527" s="160"/>
      <c r="AI1527" s="160"/>
      <c r="AJ1527" s="160"/>
      <c r="AK1527" s="160"/>
    </row>
    <row r="1528" ht="15.75" hidden="1" customHeight="1" outlineLevel="1">
      <c r="A1528" s="273"/>
      <c r="B1528" s="38"/>
      <c r="C1528" s="160"/>
      <c r="D1528" s="160"/>
      <c r="E1528" s="160"/>
      <c r="F1528" s="160"/>
      <c r="G1528" s="160"/>
      <c r="H1528" s="177"/>
      <c r="I1528" s="160"/>
      <c r="J1528" s="160"/>
      <c r="K1528" s="160"/>
      <c r="L1528" s="160"/>
      <c r="M1528" s="160"/>
      <c r="N1528" s="160"/>
      <c r="O1528" s="160"/>
      <c r="P1528" s="177">
        <f>IF($P$1354&gt;0,'Assumptions (Hydro)'!V$10*Model!$P$1354*AVERAGE('Assumptions (Hydro)'!$L$2:$N$2)/10^9,0)</f>
        <v>0.003555070655</v>
      </c>
      <c r="Q1528" s="177">
        <f>IF($P$1354&gt;0,'Assumptions (Hydro)'!W$10*Model!$P$1354*AVERAGE('Assumptions (Hydro)'!$L$2:$N$2)/10^9,0)</f>
        <v>0.006754634244</v>
      </c>
      <c r="R1528" s="177">
        <f>IF($P$1354&gt;0,'Assumptions (Hydro)'!X$10*Model!$P$1354*AVERAGE('Assumptions (Hydro)'!$L$2:$N$2)/10^9,0)</f>
        <v>0.00607917082</v>
      </c>
      <c r="S1528" s="177">
        <f>IF($P$1354&gt;0,'Assumptions (Hydro)'!Y$10*Model!$P$1354*AVERAGE('Assumptions (Hydro)'!$L$2:$N$2)/10^9,0)</f>
        <v>0.005474808808</v>
      </c>
      <c r="T1528" s="177">
        <f>IF($P$1354&gt;0,'Assumptions (Hydro)'!Z$10*Model!$P$1354*AVERAGE('Assumptions (Hydro)'!$L$2:$N$2)/10^9,0)</f>
        <v>0.004927327928</v>
      </c>
      <c r="U1528" s="177">
        <f>IF($P$1354&gt;0,'Assumptions (Hydro)'!AA$10*Model!$P$1354*AVERAGE('Assumptions (Hydro)'!$L$2:$N$2)/10^9,0)</f>
        <v>0.004429618036</v>
      </c>
      <c r="V1528" s="177">
        <f>IF($P$1354&gt;0,'Assumptions (Hydro)'!AB$10*Model!$P$1354*AVERAGE('Assumptions (Hydro)'!$L$2:$N$2)/10^9,0)</f>
        <v>0.004194983373</v>
      </c>
      <c r="W1528" s="177">
        <f>IF($P$1354&gt;0,'Assumptions (Hydro)'!AC$10*Model!$P$1354*AVERAGE('Assumptions (Hydro)'!$L$2:$N$2)/10^9,0)</f>
        <v>0.004194983373</v>
      </c>
      <c r="X1528" s="177">
        <f>IF($P$1354&gt;0,'Assumptions (Hydro)'!AD$10*Model!$P$1354*AVERAGE('Assumptions (Hydro)'!$L$2:$N$2)/10^9,0)</f>
        <v>0.004202093514</v>
      </c>
      <c r="Y1528" s="177">
        <f>IF($P$1354&gt;0,'Assumptions (Hydro)'!AE$10*Model!$P$1354*AVERAGE('Assumptions (Hydro)'!$L$2:$N$2)/10^9,0)</f>
        <v>0.004194983373</v>
      </c>
      <c r="Z1528" s="177">
        <f>IF($P$1354&gt;0,'Assumptions (Hydro)'!AF$10*Model!$P$1354*AVERAGE('Assumptions (Hydro)'!$L$2:$N$2)/10^9,0)</f>
        <v>0.004202093514</v>
      </c>
      <c r="AA1528" s="177">
        <f>IF($P$1354&gt;0,'Assumptions (Hydro)'!AG$10*Model!$P$1354*AVERAGE('Assumptions (Hydro)'!$L$2:$N$2)/10^9,0)</f>
        <v>0.004194983373</v>
      </c>
      <c r="AB1528" s="177">
        <f>IF($P$1354&gt;0,'Assumptions (Hydro)'!AH$10*Model!$P$1354*AVERAGE('Assumptions (Hydro)'!$L$2:$N$2)/10^9,0)</f>
        <v>0.004202093514</v>
      </c>
      <c r="AC1528" s="177">
        <f>IF($P$1354&gt;0,'Assumptions (Hydro)'!AI$10*Model!$P$1354*AVERAGE('Assumptions (Hydro)'!$L$2:$N$2)/10^9,0)</f>
        <v>0.004194983373</v>
      </c>
      <c r="AD1528" s="177">
        <f>IF($P$1354&gt;0,'Assumptions (Hydro)'!AJ$10*Model!$P$1354*AVERAGE('Assumptions (Hydro)'!$L$2:$N$2)/10^9,0)</f>
        <v>0.004202093514</v>
      </c>
      <c r="AE1528" s="177">
        <f>IF($P$1354&gt;0,'Assumptions (Hydro)'!AK$10*Model!$P$1354*AVERAGE('Assumptions (Hydro)'!$L$2:$N$2)/10^9,0)</f>
        <v>0.002097491686</v>
      </c>
      <c r="AF1528" s="177"/>
      <c r="AG1528" s="177"/>
      <c r="AH1528" s="177"/>
      <c r="AI1528" s="177"/>
      <c r="AJ1528" s="177"/>
      <c r="AK1528" s="177"/>
    </row>
    <row r="1529" ht="15.75" hidden="1" customHeight="1" outlineLevel="1">
      <c r="A1529" s="273"/>
      <c r="B1529" s="38"/>
      <c r="C1529" s="160"/>
      <c r="D1529" s="160"/>
      <c r="E1529" s="160"/>
      <c r="F1529" s="160"/>
      <c r="G1529" s="160"/>
      <c r="H1529" s="160"/>
      <c r="I1529" s="160"/>
      <c r="J1529" s="160"/>
      <c r="K1529" s="160"/>
      <c r="L1529" s="160"/>
      <c r="M1529" s="160"/>
      <c r="N1529" s="160"/>
      <c r="O1529" s="160"/>
      <c r="P1529" s="179"/>
      <c r="Q1529" s="160">
        <f>IF($Q$1354&gt;0,'Assumptions (Hydro)'!V$10*Model!$Q$1354*AVERAGE('Assumptions (Hydro)'!$L$2:$O$2)/10^9,0)</f>
        <v>0</v>
      </c>
      <c r="R1529" s="160">
        <f>IF($Q$1354&gt;0,'Assumptions (Hydro)'!W$10*Model!$Q$1354*AVERAGE('Assumptions (Hydro)'!$L$2:$O$2)/10^9,0)</f>
        <v>0</v>
      </c>
      <c r="S1529" s="160">
        <f>IF($Q$1354&gt;0,'Assumptions (Hydro)'!X$10*Model!$Q$1354*AVERAGE('Assumptions (Hydro)'!$L$2:$O$2)/10^9,0)</f>
        <v>0</v>
      </c>
      <c r="T1529" s="160">
        <f>IF($Q$1354&gt;0,'Assumptions (Hydro)'!Y$10*Model!$Q$1354*AVERAGE('Assumptions (Hydro)'!$L$2:$O$2)/10^9,0)</f>
        <v>0</v>
      </c>
      <c r="U1529" s="160">
        <f>IF($Q$1354&gt;0,'Assumptions (Hydro)'!Z$10*Model!$Q$1354*AVERAGE('Assumptions (Hydro)'!$L$2:$O$2)/10^9,0)</f>
        <v>0</v>
      </c>
      <c r="V1529" s="160">
        <f>IF($Q$1354&gt;0,'Assumptions (Hydro)'!AA$10*Model!$Q$1354*AVERAGE('Assumptions (Hydro)'!$L$2:$O$2)/10^9,0)</f>
        <v>0</v>
      </c>
      <c r="W1529" s="160">
        <f>IF($Q$1354&gt;0,'Assumptions (Hydro)'!AB$10*Model!$Q$1354*AVERAGE('Assumptions (Hydro)'!$L$2:$O$2)/10^9,0)</f>
        <v>0</v>
      </c>
      <c r="X1529" s="160">
        <f>IF($Q$1354&gt;0,'Assumptions (Hydro)'!AC$10*Model!$Q$1354*AVERAGE('Assumptions (Hydro)'!$L$2:$O$2)/10^9,0)</f>
        <v>0</v>
      </c>
      <c r="Y1529" s="160">
        <f>IF($Q$1354&gt;0,'Assumptions (Hydro)'!AD$10*Model!$Q$1354*AVERAGE('Assumptions (Hydro)'!$L$2:$O$2)/10^9,0)</f>
        <v>0</v>
      </c>
      <c r="Z1529" s="160">
        <f>IF($Q$1354&gt;0,'Assumptions (Hydro)'!AE$10*Model!$Q$1354*AVERAGE('Assumptions (Hydro)'!$L$2:$O$2)/10^9,0)</f>
        <v>0</v>
      </c>
      <c r="AA1529" s="160">
        <f>IF($Q$1354&gt;0,'Assumptions (Hydro)'!AF$10*Model!$Q$1354*AVERAGE('Assumptions (Hydro)'!$L$2:$O$2)/10^9,0)</f>
        <v>0</v>
      </c>
      <c r="AB1529" s="160">
        <f>IF($Q$1354&gt;0,'Assumptions (Hydro)'!AG$10*Model!$Q$1354*AVERAGE('Assumptions (Hydro)'!$L$2:$O$2)/10^9,0)</f>
        <v>0</v>
      </c>
      <c r="AC1529" s="160">
        <f>IF($Q$1354&gt;0,'Assumptions (Hydro)'!AH$10*Model!$Q$1354*AVERAGE('Assumptions (Hydro)'!$L$2:$O$2)/10^9,0)</f>
        <v>0</v>
      </c>
      <c r="AD1529" s="160">
        <f>IF($Q$1354&gt;0,'Assumptions (Hydro)'!AI$10*Model!$Q$1354*AVERAGE('Assumptions (Hydro)'!$L$2:$O$2)/10^9,0)</f>
        <v>0</v>
      </c>
      <c r="AE1529" s="160">
        <f>IF($Q$1354&gt;0,'Assumptions (Hydro)'!AJ$10*Model!$Q$1354*AVERAGE('Assumptions (Hydro)'!$L$2:$O$2)/10^9,0)</f>
        <v>0</v>
      </c>
      <c r="AF1529" s="160">
        <f>IF($Q$1354&gt;0,'Assumptions (Hydro)'!AK$10*Model!$Q$1354*AVERAGE('Assumptions (Hydro)'!$L$2:$O$2)/10^9,0)</f>
        <v>0</v>
      </c>
      <c r="AG1529" s="160"/>
      <c r="AH1529" s="160"/>
      <c r="AI1529" s="160"/>
      <c r="AJ1529" s="160"/>
      <c r="AK1529" s="160"/>
    </row>
    <row r="1530" ht="15.75" hidden="1" customHeight="1" outlineLevel="1">
      <c r="A1530" s="273"/>
      <c r="B1530" s="38"/>
      <c r="C1530" s="160"/>
      <c r="D1530" s="160"/>
      <c r="E1530" s="160"/>
      <c r="F1530" s="160"/>
      <c r="G1530" s="160"/>
      <c r="H1530" s="160"/>
      <c r="I1530" s="160"/>
      <c r="J1530" s="160"/>
      <c r="K1530" s="160"/>
      <c r="L1530" s="160"/>
      <c r="M1530" s="160"/>
      <c r="N1530" s="160"/>
      <c r="O1530" s="160"/>
      <c r="P1530" s="179"/>
      <c r="Q1530" s="160"/>
      <c r="R1530" s="177">
        <f>IF($R$1354&gt;0,'Assumptions (Hydro)'!V$10*Model!$R$1354*AVERAGE('Assumptions (Hydro)'!$M$2:$P$2)/10^9,0)</f>
        <v>0</v>
      </c>
      <c r="S1530" s="177">
        <f>IF($R$1354&gt;0,'Assumptions (Hydro)'!W$10*Model!$R$1354*AVERAGE('Assumptions (Hydro)'!$M$2:$P$2)/10^9,0)</f>
        <v>0</v>
      </c>
      <c r="T1530" s="177">
        <f>IF($R$1354&gt;0,'Assumptions (Hydro)'!X$10*Model!$R$1354*AVERAGE('Assumptions (Hydro)'!$M$2:$P$2)/10^9,0)</f>
        <v>0</v>
      </c>
      <c r="U1530" s="177">
        <f>IF($R$1354&gt;0,'Assumptions (Hydro)'!Y$10*Model!$R$1354*AVERAGE('Assumptions (Hydro)'!$M$2:$P$2)/10^9,0)</f>
        <v>0</v>
      </c>
      <c r="V1530" s="177">
        <f>IF($R$1354&gt;0,'Assumptions (Hydro)'!Z$10*Model!$R$1354*AVERAGE('Assumptions (Hydro)'!$M$2:$P$2)/10^9,0)</f>
        <v>0</v>
      </c>
      <c r="W1530" s="177">
        <f>IF($R$1354&gt;0,'Assumptions (Hydro)'!AA$10*Model!$R$1354*AVERAGE('Assumptions (Hydro)'!$M$2:$P$2)/10^9,0)</f>
        <v>0</v>
      </c>
      <c r="X1530" s="177">
        <f>IF($R$1354&gt;0,'Assumptions (Hydro)'!AB$10*Model!$R$1354*AVERAGE('Assumptions (Hydro)'!$M$2:$P$2)/10^9,0)</f>
        <v>0</v>
      </c>
      <c r="Y1530" s="177">
        <f>IF($R$1354&gt;0,'Assumptions (Hydro)'!AC$10*Model!$R$1354*AVERAGE('Assumptions (Hydro)'!$M$2:$P$2)/10^9,0)</f>
        <v>0</v>
      </c>
      <c r="Z1530" s="177">
        <f>IF($R$1354&gt;0,'Assumptions (Hydro)'!AD$10*Model!$R$1354*AVERAGE('Assumptions (Hydro)'!$M$2:$P$2)/10^9,0)</f>
        <v>0</v>
      </c>
      <c r="AA1530" s="177">
        <f>IF($R$1354&gt;0,'Assumptions (Hydro)'!AE$10*Model!$R$1354*AVERAGE('Assumptions (Hydro)'!$M$2:$P$2)/10^9,0)</f>
        <v>0</v>
      </c>
      <c r="AB1530" s="177">
        <f>IF($R$1354&gt;0,'Assumptions (Hydro)'!AF$10*Model!$R$1354*AVERAGE('Assumptions (Hydro)'!$M$2:$P$2)/10^9,0)</f>
        <v>0</v>
      </c>
      <c r="AC1530" s="177">
        <f>IF($R$1354&gt;0,'Assumptions (Hydro)'!AG$10*Model!$R$1354*AVERAGE('Assumptions (Hydro)'!$M$2:$P$2)/10^9,0)</f>
        <v>0</v>
      </c>
      <c r="AD1530" s="177">
        <f>IF($R$1354&gt;0,'Assumptions (Hydro)'!AH$10*Model!$R$1354*AVERAGE('Assumptions (Hydro)'!$M$2:$P$2)/10^9,0)</f>
        <v>0</v>
      </c>
      <c r="AE1530" s="177">
        <f>IF($R$1354&gt;0,'Assumptions (Hydro)'!AI$10*Model!$R$1354*AVERAGE('Assumptions (Hydro)'!$M$2:$P$2)/10^9,0)</f>
        <v>0</v>
      </c>
      <c r="AF1530" s="177">
        <f>IF($R$1354&gt;0,'Assumptions (Hydro)'!AJ$10*Model!$R$1354*AVERAGE('Assumptions (Hydro)'!$M$2:$P$2)/10^9,0)</f>
        <v>0</v>
      </c>
      <c r="AG1530" s="177">
        <f>IF($R$1354&gt;0,'Assumptions (Hydro)'!AK$10*Model!$R$1354*AVERAGE('Assumptions (Hydro)'!$M$2:$P$2)/10^9,0)</f>
        <v>0</v>
      </c>
      <c r="AH1530" s="177"/>
      <c r="AI1530" s="177"/>
      <c r="AJ1530" s="177"/>
      <c r="AK1530" s="177"/>
    </row>
    <row r="1531" ht="15.75" hidden="1" customHeight="1" outlineLevel="1">
      <c r="A1531" s="273"/>
      <c r="B1531" s="38"/>
      <c r="C1531" s="160"/>
      <c r="D1531" s="160"/>
      <c r="E1531" s="160"/>
      <c r="F1531" s="160"/>
      <c r="G1531" s="160"/>
      <c r="H1531" s="160"/>
      <c r="I1531" s="160"/>
      <c r="J1531" s="160"/>
      <c r="K1531" s="160"/>
      <c r="L1531" s="160"/>
      <c r="M1531" s="160"/>
      <c r="N1531" s="160"/>
      <c r="O1531" s="160"/>
      <c r="P1531" s="179"/>
      <c r="Q1531" s="160"/>
      <c r="R1531" s="177"/>
      <c r="S1531" s="160">
        <f>IF($S$1354&gt;0,'Assumptions (Hydro)'!V$10*Model!$S$1354*AVERAGE('Assumptions (Hydro)'!$O$2:$Q$2)/10^9,0)</f>
        <v>0</v>
      </c>
      <c r="T1531" s="160">
        <f>IF($S$1354&gt;0,'Assumptions (Hydro)'!W$10*Model!$S$1354*AVERAGE('Assumptions (Hydro)'!$O$2:$Q$2)/10^9,0)</f>
        <v>0</v>
      </c>
      <c r="U1531" s="160">
        <f>IF($S$1354&gt;0,'Assumptions (Hydro)'!X$10*Model!$S$1354*AVERAGE('Assumptions (Hydro)'!$O$2:$Q$2)/10^9,0)</f>
        <v>0</v>
      </c>
      <c r="V1531" s="160">
        <f>IF($S$1354&gt;0,'Assumptions (Hydro)'!Y$10*Model!$S$1354*AVERAGE('Assumptions (Hydro)'!$O$2:$Q$2)/10^9,0)</f>
        <v>0</v>
      </c>
      <c r="W1531" s="160">
        <f>IF($S$1354&gt;0,'Assumptions (Hydro)'!Z$10*Model!$S$1354*AVERAGE('Assumptions (Hydro)'!$O$2:$Q$2)/10^9,0)</f>
        <v>0</v>
      </c>
      <c r="X1531" s="160">
        <f>IF($S$1354&gt;0,'Assumptions (Hydro)'!AA$10*Model!$S$1354*AVERAGE('Assumptions (Hydro)'!$O$2:$Q$2)/10^9,0)</f>
        <v>0</v>
      </c>
      <c r="Y1531" s="160">
        <f>IF($S$1354&gt;0,'Assumptions (Hydro)'!AB$10*Model!$S$1354*AVERAGE('Assumptions (Hydro)'!$O$2:$Q$2)/10^9,0)</f>
        <v>0</v>
      </c>
      <c r="Z1531" s="160">
        <f>IF($S$1354&gt;0,'Assumptions (Hydro)'!AC$10*Model!$S$1354*AVERAGE('Assumptions (Hydro)'!$O$2:$Q$2)/10^9,0)</f>
        <v>0</v>
      </c>
      <c r="AA1531" s="160">
        <f>IF($S$1354&gt;0,'Assumptions (Hydro)'!AD$10*Model!$S$1354*AVERAGE('Assumptions (Hydro)'!$O$2:$Q$2)/10^9,0)</f>
        <v>0</v>
      </c>
      <c r="AB1531" s="160">
        <f>IF($S$1354&gt;0,'Assumptions (Hydro)'!AE$10*Model!$S$1354*AVERAGE('Assumptions (Hydro)'!$O$2:$Q$2)/10^9,0)</f>
        <v>0</v>
      </c>
      <c r="AC1531" s="160">
        <f>IF($S$1354&gt;0,'Assumptions (Hydro)'!AF$10*Model!$S$1354*AVERAGE('Assumptions (Hydro)'!$O$2:$Q$2)/10^9,0)</f>
        <v>0</v>
      </c>
      <c r="AD1531" s="160">
        <f>IF($S$1354&gt;0,'Assumptions (Hydro)'!AG$10*Model!$S$1354*AVERAGE('Assumptions (Hydro)'!$O$2:$Q$2)/10^9,0)</f>
        <v>0</v>
      </c>
      <c r="AE1531" s="160">
        <f>IF($S$1354&gt;0,'Assumptions (Hydro)'!AH$10*Model!$S$1354*AVERAGE('Assumptions (Hydro)'!$O$2:$Q$2)/10^9,0)</f>
        <v>0</v>
      </c>
      <c r="AF1531" s="160">
        <f>IF($S$1354&gt;0,'Assumptions (Hydro)'!AI$10*Model!$S$1354*AVERAGE('Assumptions (Hydro)'!$O$2:$Q$2)/10^9,0)</f>
        <v>0</v>
      </c>
      <c r="AG1531" s="160">
        <f>IF($S$1354&gt;0,'Assumptions (Hydro)'!AJ$10*Model!$S$1354*AVERAGE('Assumptions (Hydro)'!$O$2:$Q$2)/10^9,0)</f>
        <v>0</v>
      </c>
      <c r="AH1531" s="160">
        <f>IF($S$1354&gt;0,'Assumptions (Hydro)'!AK$10*Model!$S$1354*AVERAGE('Assumptions (Hydro)'!$O$2:$Q$2)/10^9,0)</f>
        <v>0</v>
      </c>
      <c r="AI1531" s="160"/>
      <c r="AJ1531" s="160"/>
      <c r="AK1531" s="160"/>
    </row>
    <row r="1532" ht="15.75" hidden="1" customHeight="1" outlineLevel="1">
      <c r="A1532" s="273"/>
      <c r="B1532" s="38"/>
      <c r="C1532" s="160"/>
      <c r="D1532" s="160"/>
      <c r="E1532" s="160"/>
      <c r="F1532" s="160"/>
      <c r="G1532" s="160"/>
      <c r="H1532" s="160"/>
      <c r="I1532" s="160"/>
      <c r="J1532" s="160"/>
      <c r="K1532" s="160"/>
      <c r="L1532" s="160"/>
      <c r="M1532" s="160"/>
      <c r="N1532" s="160"/>
      <c r="O1532" s="160"/>
      <c r="P1532" s="179"/>
      <c r="Q1532" s="160"/>
      <c r="R1532" s="177"/>
      <c r="S1532" s="177"/>
      <c r="T1532" s="160">
        <f>IF($T$1354&gt;0,'Assumptions (Hydro)'!V$10*Model!$T$1354*AVERAGE('Assumptions (Hydro)'!$P$2:$R$2)/10^9,0)</f>
        <v>0</v>
      </c>
      <c r="U1532" s="160">
        <f>IF($T$1354&gt;0,'Assumptions (Hydro)'!W$10*Model!$T$1354*AVERAGE('Assumptions (Hydro)'!$P$2:$R$2)/10^9,0)</f>
        <v>0</v>
      </c>
      <c r="V1532" s="160">
        <f>IF($T$1354&gt;0,'Assumptions (Hydro)'!X$10*Model!$T$1354*AVERAGE('Assumptions (Hydro)'!$P$2:$R$2)/10^9,0)</f>
        <v>0</v>
      </c>
      <c r="W1532" s="160">
        <f>IF($T$1354&gt;0,'Assumptions (Hydro)'!Y$10*Model!$T$1354*AVERAGE('Assumptions (Hydro)'!$P$2:$R$2)/10^9,0)</f>
        <v>0</v>
      </c>
      <c r="X1532" s="160">
        <f>IF($T$1354&gt;0,'Assumptions (Hydro)'!Z$10*Model!$T$1354*AVERAGE('Assumptions (Hydro)'!$P$2:$R$2)/10^9,0)</f>
        <v>0</v>
      </c>
      <c r="Y1532" s="160">
        <f>IF($T$1354&gt;0,'Assumptions (Hydro)'!AA$10*Model!$T$1354*AVERAGE('Assumptions (Hydro)'!$P$2:$R$2)/10^9,0)</f>
        <v>0</v>
      </c>
      <c r="Z1532" s="160">
        <f>IF($T$1354&gt;0,'Assumptions (Hydro)'!AB$10*Model!$T$1354*AVERAGE('Assumptions (Hydro)'!$P$2:$R$2)/10^9,0)</f>
        <v>0</v>
      </c>
      <c r="AA1532" s="160">
        <f>IF($T$1354&gt;0,'Assumptions (Hydro)'!AC$10*Model!$T$1354*AVERAGE('Assumptions (Hydro)'!$P$2:$R$2)/10^9,0)</f>
        <v>0</v>
      </c>
      <c r="AB1532" s="160">
        <f>IF($T$1354&gt;0,'Assumptions (Hydro)'!AD$10*Model!$T$1354*AVERAGE('Assumptions (Hydro)'!$P$2:$R$2)/10^9,0)</f>
        <v>0</v>
      </c>
      <c r="AC1532" s="160">
        <f>IF($T$1354&gt;0,'Assumptions (Hydro)'!AE$10*Model!$T$1354*AVERAGE('Assumptions (Hydro)'!$P$2:$R$2)/10^9,0)</f>
        <v>0</v>
      </c>
      <c r="AD1532" s="160">
        <f>IF($T$1354&gt;0,'Assumptions (Hydro)'!AF$10*Model!$T$1354*AVERAGE('Assumptions (Hydro)'!$P$2:$R$2)/10^9,0)</f>
        <v>0</v>
      </c>
      <c r="AE1532" s="160">
        <f>IF($T$1354&gt;0,'Assumptions (Hydro)'!AG$10*Model!$T$1354*AVERAGE('Assumptions (Hydro)'!$P$2:$R$2)/10^9,0)</f>
        <v>0</v>
      </c>
      <c r="AF1532" s="160">
        <f>IF($T$1354&gt;0,'Assumptions (Hydro)'!AH$10*Model!$T$1354*AVERAGE('Assumptions (Hydro)'!$P$2:$R$2)/10^9,0)</f>
        <v>0</v>
      </c>
      <c r="AG1532" s="160">
        <f>IF($T$1354&gt;0,'Assumptions (Hydro)'!AI$10*Model!$T$1354*AVERAGE('Assumptions (Hydro)'!$P$2:$R$2)/10^9,0)</f>
        <v>0</v>
      </c>
      <c r="AH1532" s="160">
        <f>IF($T$1354&gt;0,'Assumptions (Hydro)'!AJ$10*Model!$T$1354*AVERAGE('Assumptions (Hydro)'!$P$2:$R$2)/10^9,0)</f>
        <v>0</v>
      </c>
      <c r="AI1532" s="160">
        <f>IF($T$1354&gt;0,'Assumptions (Hydro)'!AK$10*Model!$T$1354*AVERAGE('Assumptions (Hydro)'!$P$2:$R$2)/10^9,0)</f>
        <v>0</v>
      </c>
      <c r="AJ1532" s="160"/>
      <c r="AK1532" s="160"/>
    </row>
    <row r="1533" ht="15.75" hidden="1" customHeight="1" outlineLevel="1">
      <c r="A1533" s="273"/>
      <c r="B1533" s="38"/>
      <c r="C1533" s="160"/>
      <c r="D1533" s="160"/>
      <c r="E1533" s="160"/>
      <c r="F1533" s="160"/>
      <c r="G1533" s="160"/>
      <c r="H1533" s="160"/>
      <c r="I1533" s="160"/>
      <c r="J1533" s="160"/>
      <c r="K1533" s="160"/>
      <c r="L1533" s="160"/>
      <c r="M1533" s="160"/>
      <c r="N1533" s="160"/>
      <c r="O1533" s="160"/>
      <c r="P1533" s="179"/>
      <c r="Q1533" s="160"/>
      <c r="R1533" s="177"/>
      <c r="S1533" s="177"/>
      <c r="T1533" s="177"/>
      <c r="U1533" s="160">
        <f>IF($U$1354&gt;0,'Assumptions (Hydro)'!V$10*Model!$U$1354*AVERAGE('Assumptions (Hydro)'!$Q$2:$S$2)/10^9,0)</f>
        <v>0</v>
      </c>
      <c r="V1533" s="160">
        <f>IF($U$1354&gt;0,'Assumptions (Hydro)'!W$10*Model!$U$1354*AVERAGE('Assumptions (Hydro)'!$Q$2:$S$2)/10^9,0)</f>
        <v>0</v>
      </c>
      <c r="W1533" s="160">
        <f>IF($U$1354&gt;0,'Assumptions (Hydro)'!X$10*Model!$U$1354*AVERAGE('Assumptions (Hydro)'!$Q$2:$S$2)/10^9,0)</f>
        <v>0</v>
      </c>
      <c r="X1533" s="160">
        <f>IF($U$1354&gt;0,'Assumptions (Hydro)'!Y$10*Model!$U$1354*AVERAGE('Assumptions (Hydro)'!$Q$2:$S$2)/10^9,0)</f>
        <v>0</v>
      </c>
      <c r="Y1533" s="160">
        <f>IF($U$1354&gt;0,'Assumptions (Hydro)'!Z$10*Model!$U$1354*AVERAGE('Assumptions (Hydro)'!$Q$2:$S$2)/10^9,0)</f>
        <v>0</v>
      </c>
      <c r="Z1533" s="160">
        <f>IF($U$1354&gt;0,'Assumptions (Hydro)'!AA$10*Model!$U$1354*AVERAGE('Assumptions (Hydro)'!$Q$2:$S$2)/10^9,0)</f>
        <v>0</v>
      </c>
      <c r="AA1533" s="160">
        <f>IF($U$1354&gt;0,'Assumptions (Hydro)'!AB$10*Model!$U$1354*AVERAGE('Assumptions (Hydro)'!$Q$2:$S$2)/10^9,0)</f>
        <v>0</v>
      </c>
      <c r="AB1533" s="160">
        <f>IF($U$1354&gt;0,'Assumptions (Hydro)'!AC$10*Model!$U$1354*AVERAGE('Assumptions (Hydro)'!$Q$2:$S$2)/10^9,0)</f>
        <v>0</v>
      </c>
      <c r="AC1533" s="160">
        <f>IF($U$1354&gt;0,'Assumptions (Hydro)'!AD$10*Model!$U$1354*AVERAGE('Assumptions (Hydro)'!$Q$2:$S$2)/10^9,0)</f>
        <v>0</v>
      </c>
      <c r="AD1533" s="160">
        <f>IF($U$1354&gt;0,'Assumptions (Hydro)'!AE$10*Model!$U$1354*AVERAGE('Assumptions (Hydro)'!$Q$2:$S$2)/10^9,0)</f>
        <v>0</v>
      </c>
      <c r="AE1533" s="160">
        <f>IF($U$1354&gt;0,'Assumptions (Hydro)'!AF$10*Model!$U$1354*AVERAGE('Assumptions (Hydro)'!$Q$2:$S$2)/10^9,0)</f>
        <v>0</v>
      </c>
      <c r="AF1533" s="160">
        <f>IF($U$1354&gt;0,'Assumptions (Hydro)'!AG$10*Model!$U$1354*AVERAGE('Assumptions (Hydro)'!$Q$2:$S$2)/10^9,0)</f>
        <v>0</v>
      </c>
      <c r="AG1533" s="160">
        <f>IF($U$1354&gt;0,'Assumptions (Hydro)'!AH$10*Model!$U$1354*AVERAGE('Assumptions (Hydro)'!$Q$2:$S$2)/10^9,0)</f>
        <v>0</v>
      </c>
      <c r="AH1533" s="160">
        <f>IF($U$1354&gt;0,'Assumptions (Hydro)'!AI$10*Model!$U$1354*AVERAGE('Assumptions (Hydro)'!$Q$2:$S$2)/10^9,0)</f>
        <v>0</v>
      </c>
      <c r="AI1533" s="160">
        <f>IF($U$1354&gt;0,'Assumptions (Hydro)'!AJ$10*Model!$U$1354*AVERAGE('Assumptions (Hydro)'!$Q$2:$S$2)/10^9,0)</f>
        <v>0</v>
      </c>
      <c r="AJ1533" s="160">
        <f>IF($U$1354&gt;0,'Assumptions (Hydro)'!AK$10*Model!$U$1354*AVERAGE('Assumptions (Hydro)'!$Q$2:$S$2)/10^9,0)</f>
        <v>0</v>
      </c>
      <c r="AK1533" s="160"/>
    </row>
    <row r="1534" ht="15.75" hidden="1" customHeight="1" outlineLevel="1">
      <c r="A1534" s="273"/>
      <c r="B1534" s="38"/>
      <c r="C1534" s="160"/>
      <c r="D1534" s="160"/>
      <c r="E1534" s="160"/>
      <c r="F1534" s="160"/>
      <c r="G1534" s="160"/>
      <c r="H1534" s="160"/>
      <c r="I1534" s="160"/>
      <c r="J1534" s="160"/>
      <c r="K1534" s="160"/>
      <c r="L1534" s="160"/>
      <c r="M1534" s="160"/>
      <c r="N1534" s="160"/>
      <c r="O1534" s="160"/>
      <c r="P1534" s="179"/>
      <c r="Q1534" s="160"/>
      <c r="R1534" s="177"/>
      <c r="S1534" s="177"/>
      <c r="T1534" s="177"/>
      <c r="U1534" s="160"/>
      <c r="V1534" s="160">
        <f>IF($V$1354&gt;0,'Assumptions (Hydro)'!V$10*Model!$V$1354*AVERAGE('Assumptions (Hydro)'!$R$2:$T$2)/10^9,0)</f>
        <v>0</v>
      </c>
      <c r="W1534" s="160">
        <f>IF($V$1354&gt;0,'Assumptions (Hydro)'!W$10*Model!$V$1354*AVERAGE('Assumptions (Hydro)'!$R$2:$T$2)/10^9,0)</f>
        <v>0</v>
      </c>
      <c r="X1534" s="160">
        <f>IF($V$1354&gt;0,'Assumptions (Hydro)'!X$10*Model!$V$1354*AVERAGE('Assumptions (Hydro)'!$R$2:$T$2)/10^9,0)</f>
        <v>0</v>
      </c>
      <c r="Y1534" s="160">
        <f>IF($V$1354&gt;0,'Assumptions (Hydro)'!Y$10*Model!$V$1354*AVERAGE('Assumptions (Hydro)'!$R$2:$T$2)/10^9,0)</f>
        <v>0</v>
      </c>
      <c r="Z1534" s="160">
        <f>IF($V$1354&gt;0,'Assumptions (Hydro)'!Z$10*Model!$V$1354*AVERAGE('Assumptions (Hydro)'!$R$2:$T$2)/10^9,0)</f>
        <v>0</v>
      </c>
      <c r="AA1534" s="160">
        <f>IF($V$1354&gt;0,'Assumptions (Hydro)'!AA$10*Model!$V$1354*AVERAGE('Assumptions (Hydro)'!$R$2:$T$2)/10^9,0)</f>
        <v>0</v>
      </c>
      <c r="AB1534" s="160">
        <f>IF($V$1354&gt;0,'Assumptions (Hydro)'!AB$10*Model!$V$1354*AVERAGE('Assumptions (Hydro)'!$R$2:$T$2)/10^9,0)</f>
        <v>0</v>
      </c>
      <c r="AC1534" s="160">
        <f>IF($V$1354&gt;0,'Assumptions (Hydro)'!AC$10*Model!$V$1354*AVERAGE('Assumptions (Hydro)'!$R$2:$T$2)/10^9,0)</f>
        <v>0</v>
      </c>
      <c r="AD1534" s="160">
        <f>IF($V$1354&gt;0,'Assumptions (Hydro)'!AD$10*Model!$V$1354*AVERAGE('Assumptions (Hydro)'!$R$2:$T$2)/10^9,0)</f>
        <v>0</v>
      </c>
      <c r="AE1534" s="160">
        <f>IF($V$1354&gt;0,'Assumptions (Hydro)'!AE$10*Model!$V$1354*AVERAGE('Assumptions (Hydro)'!$R$2:$T$2)/10^9,0)</f>
        <v>0</v>
      </c>
      <c r="AF1534" s="160">
        <f>IF($V$1354&gt;0,'Assumptions (Hydro)'!AF$10*Model!$V$1354*AVERAGE('Assumptions (Hydro)'!$R$2:$T$2)/10^9,0)</f>
        <v>0</v>
      </c>
      <c r="AG1534" s="160">
        <f>IF($V$1354&gt;0,'Assumptions (Hydro)'!AG$10*Model!$V$1354*AVERAGE('Assumptions (Hydro)'!$R$2:$T$2)/10^9,0)</f>
        <v>0</v>
      </c>
      <c r="AH1534" s="160">
        <f>IF($V$1354&gt;0,'Assumptions (Hydro)'!AH$10*Model!$V$1354*AVERAGE('Assumptions (Hydro)'!$R$2:$T$2)/10^9,0)</f>
        <v>0</v>
      </c>
      <c r="AI1534" s="160">
        <f>IF($V$1354&gt;0,'Assumptions (Hydro)'!AI$10*Model!$V$1354*AVERAGE('Assumptions (Hydro)'!$R$2:$T$2)/10^9,0)</f>
        <v>0</v>
      </c>
      <c r="AJ1534" s="160">
        <f>IF($V$1354&gt;0,'Assumptions (Hydro)'!AJ$10*Model!$V$1354*AVERAGE('Assumptions (Hydro)'!$R$2:$T$2)/10^9,0)</f>
        <v>0</v>
      </c>
      <c r="AK1534" s="160">
        <f>IF($V$1354&gt;0,'Assumptions (Hydro)'!AK$10*Model!$V$1354*AVERAGE('Assumptions (Hydro)'!$R$2:$T$2)/10^9,0)</f>
        <v>0</v>
      </c>
    </row>
    <row r="1535" ht="15.75" hidden="1" customHeight="1" outlineLevel="1">
      <c r="A1535" s="273"/>
      <c r="B1535" s="38"/>
      <c r="C1535" s="174"/>
      <c r="D1535" s="174"/>
      <c r="E1535" s="174"/>
      <c r="F1535" s="174"/>
      <c r="G1535" s="174"/>
      <c r="H1535" s="174"/>
      <c r="I1535" s="174"/>
      <c r="J1535" s="174"/>
      <c r="K1535" s="174"/>
      <c r="L1535" s="174"/>
      <c r="M1535" s="174"/>
      <c r="N1535" s="174"/>
      <c r="O1535" s="174"/>
      <c r="P1535" s="174"/>
      <c r="Q1535" s="174"/>
      <c r="R1535" s="174"/>
      <c r="S1535" s="174"/>
      <c r="T1535" s="174"/>
      <c r="U1535" s="174"/>
      <c r="V1535" s="174"/>
      <c r="W1535" s="160">
        <f>IF($W$1354&gt;0,'Assumptions (Hydro)'!V10*Model!$W$1354*average('Assumptions (Hydro)'!$S$2:$U$2)/10^9,0)</f>
        <v>0</v>
      </c>
      <c r="X1535" s="160">
        <f>IF($W$1354&gt;0,'Assumptions (Hydro)'!W10*Model!$W$1354*average('Assumptions (Hydro)'!$S$2:$U$2)/10^9,0)</f>
        <v>0</v>
      </c>
      <c r="Y1535" s="160">
        <f>IF($W$1354&gt;0,'Assumptions (Hydro)'!X10*Model!$W$1354*average('Assumptions (Hydro)'!$S$2:$U$2)/10^9,0)</f>
        <v>0</v>
      </c>
      <c r="Z1535" s="160">
        <f>IF($W$1354&gt;0,'Assumptions (Hydro)'!Y10*Model!$W$1354*average('Assumptions (Hydro)'!$S$2:$U$2)/10^9,0)</f>
        <v>0</v>
      </c>
      <c r="AA1535" s="160">
        <f>IF($W$1354&gt;0,'Assumptions (Hydro)'!Z10*Model!$W$1354*average('Assumptions (Hydro)'!$S$2:$U$2)/10^9,0)</f>
        <v>0</v>
      </c>
      <c r="AB1535" s="160">
        <f>IF($W$1354&gt;0,'Assumptions (Hydro)'!AA10*Model!$W$1354*average('Assumptions (Hydro)'!$S$2:$U$2)/10^9,0)</f>
        <v>0</v>
      </c>
      <c r="AC1535" s="160">
        <f>IF($W$1354&gt;0,'Assumptions (Hydro)'!AB10*Model!$W$1354*average('Assumptions (Hydro)'!$S$2:$U$2)/10^9,0)</f>
        <v>0</v>
      </c>
      <c r="AD1535" s="160">
        <f>IF($W$1354&gt;0,'Assumptions (Hydro)'!AC10*Model!$W$1354*average('Assumptions (Hydro)'!$S$2:$U$2)/10^9,0)</f>
        <v>0</v>
      </c>
      <c r="AE1535" s="160">
        <f>IF($W$1354&gt;0,'Assumptions (Hydro)'!AD10*Model!$W$1354*average('Assumptions (Hydro)'!$S$2:$U$2)/10^9,0)</f>
        <v>0</v>
      </c>
      <c r="AF1535" s="160">
        <f>IF($W$1354&gt;0,'Assumptions (Hydro)'!AE10*Model!$W$1354*average('Assumptions (Hydro)'!$S$2:$U$2)/10^9,0)</f>
        <v>0</v>
      </c>
      <c r="AG1535" s="160">
        <f>IF($W$1354&gt;0,'Assumptions (Hydro)'!AF10*Model!$W$1354*average('Assumptions (Hydro)'!$S$2:$U$2)/10^9,0)</f>
        <v>0</v>
      </c>
      <c r="AH1535" s="160">
        <f>IF($W$1354&gt;0,'Assumptions (Hydro)'!AG10*Model!$W$1354*average('Assumptions (Hydro)'!$S$2:$U$2)/10^9,0)</f>
        <v>0</v>
      </c>
      <c r="AI1535" s="160">
        <f>IF($W$1354&gt;0,'Assumptions (Hydro)'!AH10*Model!$W$1354*average('Assumptions (Hydro)'!$S$2:$U$2)/10^9,0)</f>
        <v>0</v>
      </c>
      <c r="AJ1535" s="160">
        <f>IF($W$1354&gt;0,'Assumptions (Hydro)'!AI10*Model!$W$1354*average('Assumptions (Hydro)'!$S$2:$U$2)/10^9,0)</f>
        <v>0</v>
      </c>
      <c r="AK1535" s="160">
        <f>IF($W$1354&gt;0,'Assumptions (Hydro)'!AJ10*Model!$W$1354*average('Assumptions (Hydro)'!$S$2:$U$2)/10^9,0)</f>
        <v>0</v>
      </c>
      <c r="AL1535" s="160">
        <f>IF($W$1354&gt;0,'Assumptions (Hydro)'!AK10*Model!$W$1354*average('Assumptions (Hydro)'!$S$2:$U$2)/10^9,0)</f>
        <v>0</v>
      </c>
      <c r="AM1535" s="160"/>
      <c r="AN1535" s="160"/>
      <c r="AO1535" s="160"/>
      <c r="AP1535" s="160"/>
      <c r="AQ1535" s="160"/>
      <c r="AR1535" s="160"/>
      <c r="AS1535" s="160"/>
      <c r="AT1535" s="160"/>
      <c r="AU1535" s="160"/>
      <c r="AV1535" s="160"/>
      <c r="AW1535" s="160"/>
      <c r="AX1535" s="160"/>
      <c r="AY1535" s="160"/>
      <c r="AZ1535" s="160"/>
      <c r="BA1535" s="160"/>
    </row>
    <row r="1536" ht="15.75" hidden="1" customHeight="1" outlineLevel="1">
      <c r="A1536" s="273"/>
      <c r="B1536" s="38"/>
      <c r="C1536" s="174"/>
      <c r="D1536" s="174"/>
      <c r="E1536" s="174"/>
      <c r="F1536" s="174"/>
      <c r="G1536" s="174"/>
      <c r="H1536" s="174"/>
      <c r="I1536" s="174"/>
      <c r="J1536" s="174"/>
      <c r="K1536" s="174"/>
      <c r="L1536" s="174"/>
      <c r="M1536" s="174"/>
      <c r="N1536" s="174"/>
      <c r="O1536" s="174"/>
      <c r="P1536" s="174"/>
      <c r="Q1536" s="174"/>
      <c r="R1536" s="174"/>
      <c r="S1536" s="174"/>
      <c r="T1536" s="174"/>
      <c r="U1536" s="174"/>
      <c r="V1536" s="174"/>
      <c r="W1536" s="160"/>
      <c r="X1536" s="160">
        <f>IF($X$1354&gt;0,'Assumptions (Hydro)'!V10*Model!$X$1354*average('Assumptions (Hydro)'!$T$2:$V$2)/10^9,0)</f>
        <v>0</v>
      </c>
      <c r="Y1536" s="160">
        <f>IF($X$1354&gt;0,'Assumptions (Hydro)'!W10*Model!$X$1354*average('Assumptions (Hydro)'!$T$2:$V$2)/10^9,0)</f>
        <v>0</v>
      </c>
      <c r="Z1536" s="160">
        <f>IF($X$1354&gt;0,'Assumptions (Hydro)'!X10*Model!$X$1354*average('Assumptions (Hydro)'!$T$2:$V$2)/10^9,0)</f>
        <v>0</v>
      </c>
      <c r="AA1536" s="160">
        <f>IF($X$1354&gt;0,'Assumptions (Hydro)'!Y10*Model!$X$1354*average('Assumptions (Hydro)'!$T$2:$V$2)/10^9,0)</f>
        <v>0</v>
      </c>
      <c r="AB1536" s="160">
        <f>IF($X$1354&gt;0,'Assumptions (Hydro)'!Z10*Model!$X$1354*average('Assumptions (Hydro)'!$T$2:$V$2)/10^9,0)</f>
        <v>0</v>
      </c>
      <c r="AC1536" s="160">
        <f>IF($X$1354&gt;0,'Assumptions (Hydro)'!AA10*Model!$X$1354*average('Assumptions (Hydro)'!$T$2:$V$2)/10^9,0)</f>
        <v>0</v>
      </c>
      <c r="AD1536" s="160">
        <f>IF($X$1354&gt;0,'Assumptions (Hydro)'!AB10*Model!$X$1354*average('Assumptions (Hydro)'!$T$2:$V$2)/10^9,0)</f>
        <v>0</v>
      </c>
      <c r="AE1536" s="160">
        <f>IF($X$1354&gt;0,'Assumptions (Hydro)'!AC10*Model!$X$1354*average('Assumptions (Hydro)'!$T$2:$V$2)/10^9,0)</f>
        <v>0</v>
      </c>
      <c r="AF1536" s="160">
        <f>IF($X$1354&gt;0,'Assumptions (Hydro)'!AD10*Model!$X$1354*average('Assumptions (Hydro)'!$T$2:$V$2)/10^9,0)</f>
        <v>0</v>
      </c>
      <c r="AG1536" s="160">
        <f>IF($X$1354&gt;0,'Assumptions (Hydro)'!AE10*Model!$X$1354*average('Assumptions (Hydro)'!$T$2:$V$2)/10^9,0)</f>
        <v>0</v>
      </c>
      <c r="AH1536" s="160">
        <f>IF($X$1354&gt;0,'Assumptions (Hydro)'!AF10*Model!$X$1354*average('Assumptions (Hydro)'!$T$2:$V$2)/10^9,0)</f>
        <v>0</v>
      </c>
      <c r="AI1536" s="160">
        <f>IF($X$1354&gt;0,'Assumptions (Hydro)'!AG10*Model!$X$1354*average('Assumptions (Hydro)'!$T$2:$V$2)/10^9,0)</f>
        <v>0</v>
      </c>
      <c r="AJ1536" s="160">
        <f>IF($X$1354&gt;0,'Assumptions (Hydro)'!AH10*Model!$X$1354*average('Assumptions (Hydro)'!$T$2:$V$2)/10^9,0)</f>
        <v>0</v>
      </c>
      <c r="AK1536" s="160">
        <f>IF($X$1354&gt;0,'Assumptions (Hydro)'!AI10*Model!$X$1354*average('Assumptions (Hydro)'!$T$2:$V$2)/10^9,0)</f>
        <v>0</v>
      </c>
      <c r="AL1536" s="160">
        <f>IF($X$1354&gt;0,'Assumptions (Hydro)'!AJ10*Model!$X$1354*average('Assumptions (Hydro)'!$T$2:$V$2)/10^9,0)</f>
        <v>0</v>
      </c>
      <c r="AM1536" s="160">
        <f>IF($X$1354&gt;0,'Assumptions (Hydro)'!AK10*Model!$X$1354*average('Assumptions (Hydro)'!$T$2:$V$2)/10^9,0)</f>
        <v>0</v>
      </c>
      <c r="AN1536" s="160"/>
      <c r="AO1536" s="160"/>
      <c r="AP1536" s="160"/>
      <c r="AQ1536" s="160"/>
      <c r="AR1536" s="160"/>
      <c r="AS1536" s="160"/>
      <c r="AT1536" s="160"/>
      <c r="AU1536" s="160"/>
      <c r="AV1536" s="160"/>
      <c r="AW1536" s="160"/>
      <c r="AX1536" s="160"/>
      <c r="AY1536" s="160"/>
      <c r="AZ1536" s="160"/>
      <c r="BA1536" s="160"/>
    </row>
    <row r="1537" ht="15.75" hidden="1" customHeight="1" outlineLevel="1">
      <c r="A1537" s="273"/>
      <c r="B1537" s="38"/>
      <c r="C1537" s="174"/>
      <c r="D1537" s="174"/>
      <c r="E1537" s="174"/>
      <c r="F1537" s="174"/>
      <c r="G1537" s="174"/>
      <c r="H1537" s="174"/>
      <c r="I1537" s="174"/>
      <c r="J1537" s="174"/>
      <c r="K1537" s="174"/>
      <c r="L1537" s="174"/>
      <c r="M1537" s="174"/>
      <c r="N1537" s="174"/>
      <c r="O1537" s="174"/>
      <c r="P1537" s="174"/>
      <c r="Q1537" s="174"/>
      <c r="R1537" s="174"/>
      <c r="S1537" s="174"/>
      <c r="T1537" s="174"/>
      <c r="U1537" s="174"/>
      <c r="V1537" s="174"/>
      <c r="W1537" s="160"/>
      <c r="X1537" s="160"/>
      <c r="Y1537" s="160">
        <f>IF($Y$1354&gt;0,'Assumptions (Hydro)'!V10*Model!$Y$1354*AVERAGE('Assumptions (Hydro)'!$U$2:$W$2)/10^9,0)</f>
        <v>0</v>
      </c>
      <c r="Z1537" s="160">
        <f>IF($Y$1354&gt;0,'Assumptions (Hydro)'!W10*Model!$Y$1354*AVERAGE('Assumptions (Hydro)'!$U$2:$W$2)/10^9,0)</f>
        <v>0</v>
      </c>
      <c r="AA1537" s="160">
        <f>IF($Y$1354&gt;0,'Assumptions (Hydro)'!X10*Model!$Y$1354*AVERAGE('Assumptions (Hydro)'!$U$2:$W$2)/10^9,0)</f>
        <v>0</v>
      </c>
      <c r="AB1537" s="160">
        <f>IF($Y$1354&gt;0,'Assumptions (Hydro)'!Y10*Model!$Y$1354*AVERAGE('Assumptions (Hydro)'!$U$2:$W$2)/10^9,0)</f>
        <v>0</v>
      </c>
      <c r="AC1537" s="160">
        <f>IF($Y$1354&gt;0,'Assumptions (Hydro)'!Z10*Model!$Y$1354*AVERAGE('Assumptions (Hydro)'!$U$2:$W$2)/10^9,0)</f>
        <v>0</v>
      </c>
      <c r="AD1537" s="160">
        <f>IF($Y$1354&gt;0,'Assumptions (Hydro)'!AA10*Model!$Y$1354*AVERAGE('Assumptions (Hydro)'!$U$2:$W$2)/10^9,0)</f>
        <v>0</v>
      </c>
      <c r="AE1537" s="160">
        <f>IF($Y$1354&gt;0,'Assumptions (Hydro)'!AB10*Model!$Y$1354*AVERAGE('Assumptions (Hydro)'!$U$2:$W$2)/10^9,0)</f>
        <v>0</v>
      </c>
      <c r="AF1537" s="160">
        <f>IF($Y$1354&gt;0,'Assumptions (Hydro)'!AC10*Model!$Y$1354*AVERAGE('Assumptions (Hydro)'!$U$2:$W$2)/10^9,0)</f>
        <v>0</v>
      </c>
      <c r="AG1537" s="160">
        <f>IF($Y$1354&gt;0,'Assumptions (Hydro)'!AD10*Model!$Y$1354*AVERAGE('Assumptions (Hydro)'!$U$2:$W$2)/10^9,0)</f>
        <v>0</v>
      </c>
      <c r="AH1537" s="160">
        <f>IF($Y$1354&gt;0,'Assumptions (Hydro)'!AE10*Model!$Y$1354*AVERAGE('Assumptions (Hydro)'!$U$2:$W$2)/10^9,0)</f>
        <v>0</v>
      </c>
      <c r="AI1537" s="160">
        <f>IF($Y$1354&gt;0,'Assumptions (Hydro)'!AF10*Model!$Y$1354*AVERAGE('Assumptions (Hydro)'!$U$2:$W$2)/10^9,0)</f>
        <v>0</v>
      </c>
      <c r="AJ1537" s="160">
        <f>IF($Y$1354&gt;0,'Assumptions (Hydro)'!AG10*Model!$Y$1354*AVERAGE('Assumptions (Hydro)'!$U$2:$W$2)/10^9,0)</f>
        <v>0</v>
      </c>
      <c r="AK1537" s="160">
        <f>IF($Y$1354&gt;0,'Assumptions (Hydro)'!AH10*Model!$Y$1354*AVERAGE('Assumptions (Hydro)'!$U$2:$W$2)/10^9,0)</f>
        <v>0</v>
      </c>
      <c r="AL1537" s="160">
        <f>IF($Y$1354&gt;0,'Assumptions (Hydro)'!AI10*Model!$Y$1354*AVERAGE('Assumptions (Hydro)'!$U$2:$W$2)/10^9,0)</f>
        <v>0</v>
      </c>
      <c r="AM1537" s="160">
        <f>IF($Y$1354&gt;0,'Assumptions (Hydro)'!AJ10*Model!$Y$1354*AVERAGE('Assumptions (Hydro)'!$U$2:$W$2)/10^9,0)</f>
        <v>0</v>
      </c>
      <c r="AN1537" s="160">
        <f>IF($Y$1354&gt;0,'Assumptions (Hydro)'!AK10*Model!$Y$1354*AVERAGE('Assumptions (Hydro)'!$U$2:$W$2)/10^9,0)</f>
        <v>0</v>
      </c>
      <c r="AO1537" s="160"/>
      <c r="AP1537" s="160"/>
      <c r="AQ1537" s="160"/>
      <c r="AR1537" s="160"/>
      <c r="AS1537" s="160"/>
      <c r="AT1537" s="160"/>
      <c r="AU1537" s="160"/>
      <c r="AV1537" s="160"/>
      <c r="AW1537" s="160"/>
      <c r="AX1537" s="160"/>
      <c r="AY1537" s="160"/>
      <c r="AZ1537" s="160"/>
      <c r="BA1537" s="160"/>
    </row>
    <row r="1538" ht="15.75" hidden="1" customHeight="1" outlineLevel="1">
      <c r="A1538" s="273"/>
      <c r="B1538" s="38"/>
      <c r="C1538" s="174"/>
      <c r="D1538" s="174"/>
      <c r="E1538" s="174"/>
      <c r="F1538" s="174"/>
      <c r="G1538" s="174"/>
      <c r="H1538" s="174"/>
      <c r="I1538" s="174"/>
      <c r="J1538" s="174"/>
      <c r="K1538" s="174"/>
      <c r="L1538" s="174"/>
      <c r="M1538" s="174"/>
      <c r="N1538" s="174"/>
      <c r="O1538" s="174"/>
      <c r="P1538" s="174"/>
      <c r="Q1538" s="174"/>
      <c r="R1538" s="174"/>
      <c r="S1538" s="174"/>
      <c r="T1538" s="174"/>
      <c r="U1538" s="174"/>
      <c r="V1538" s="174"/>
      <c r="W1538" s="160"/>
      <c r="X1538" s="160"/>
      <c r="Y1538" s="160"/>
      <c r="Z1538" s="160">
        <f>IF($Z$1354&gt;0,'Assumptions (Hydro)'!V10*Model!$Z$1354*AVERAGE('Assumptions (Hydro)'!$V$2:$X$2)/10^9,0)</f>
        <v>0</v>
      </c>
      <c r="AA1538" s="160">
        <f>IF($Z$1354&gt;0,'Assumptions (Hydro)'!W10*Model!$Z$1354*AVERAGE('Assumptions (Hydro)'!$V$2:$X$2)/10^9,0)</f>
        <v>0</v>
      </c>
      <c r="AB1538" s="160">
        <f>IF($Z$1354&gt;0,'Assumptions (Hydro)'!X10*Model!$Z$1354*AVERAGE('Assumptions (Hydro)'!$V$2:$X$2)/10^9,0)</f>
        <v>0</v>
      </c>
      <c r="AC1538" s="160">
        <f>IF($Z$1354&gt;0,'Assumptions (Hydro)'!Y10*Model!$Z$1354*AVERAGE('Assumptions (Hydro)'!$V$2:$X$2)/10^9,0)</f>
        <v>0</v>
      </c>
      <c r="AD1538" s="160">
        <f>IF($Z$1354&gt;0,'Assumptions (Hydro)'!Z10*Model!$Z$1354*AVERAGE('Assumptions (Hydro)'!$V$2:$X$2)/10^9,0)</f>
        <v>0</v>
      </c>
      <c r="AE1538" s="160">
        <f>IF($Z$1354&gt;0,'Assumptions (Hydro)'!AA10*Model!$Z$1354*AVERAGE('Assumptions (Hydro)'!$V$2:$X$2)/10^9,0)</f>
        <v>0</v>
      </c>
      <c r="AF1538" s="160">
        <f>IF($Z$1354&gt;0,'Assumptions (Hydro)'!AB10*Model!$Z$1354*AVERAGE('Assumptions (Hydro)'!$V$2:$X$2)/10^9,0)</f>
        <v>0</v>
      </c>
      <c r="AG1538" s="160">
        <f>IF($Z$1354&gt;0,'Assumptions (Hydro)'!AC10*Model!$Z$1354*AVERAGE('Assumptions (Hydro)'!$V$2:$X$2)/10^9,0)</f>
        <v>0</v>
      </c>
      <c r="AH1538" s="160">
        <f>IF($Z$1354&gt;0,'Assumptions (Hydro)'!AD10*Model!$Z$1354*AVERAGE('Assumptions (Hydro)'!$V$2:$X$2)/10^9,0)</f>
        <v>0</v>
      </c>
      <c r="AI1538" s="160">
        <f>IF($Z$1354&gt;0,'Assumptions (Hydro)'!AE10*Model!$Z$1354*AVERAGE('Assumptions (Hydro)'!$V$2:$X$2)/10^9,0)</f>
        <v>0</v>
      </c>
      <c r="AJ1538" s="160">
        <f>IF($Z$1354&gt;0,'Assumptions (Hydro)'!AF10*Model!$Z$1354*AVERAGE('Assumptions (Hydro)'!$V$2:$X$2)/10^9,0)</f>
        <v>0</v>
      </c>
      <c r="AK1538" s="160">
        <f>IF($Z$1354&gt;0,'Assumptions (Hydro)'!AG10*Model!$Z$1354*AVERAGE('Assumptions (Hydro)'!$V$2:$X$2)/10^9,0)</f>
        <v>0</v>
      </c>
      <c r="AL1538" s="160">
        <f>IF($Z$1354&gt;0,'Assumptions (Hydro)'!AH10*Model!$Z$1354*AVERAGE('Assumptions (Hydro)'!$V$2:$X$2)/10^9,0)</f>
        <v>0</v>
      </c>
      <c r="AM1538" s="160">
        <f>IF($Z$1354&gt;0,'Assumptions (Hydro)'!AI10*Model!$Z$1354*AVERAGE('Assumptions (Hydro)'!$V$2:$X$2)/10^9,0)</f>
        <v>0</v>
      </c>
      <c r="AN1538" s="160">
        <f>IF($Z$1354&gt;0,'Assumptions (Hydro)'!AJ10*Model!$Z$1354*AVERAGE('Assumptions (Hydro)'!$V$2:$X$2)/10^9,0)</f>
        <v>0</v>
      </c>
      <c r="AO1538" s="160">
        <f>IF($Z$1354&gt;0,'Assumptions (Hydro)'!AK10*Model!$Z$1354*AVERAGE('Assumptions (Hydro)'!$V$2:$X$2)/10^9,0)</f>
        <v>0</v>
      </c>
      <c r="AP1538" s="160"/>
      <c r="AQ1538" s="160"/>
      <c r="AR1538" s="160"/>
      <c r="AS1538" s="160"/>
      <c r="AT1538" s="160"/>
      <c r="AU1538" s="160"/>
      <c r="AV1538" s="160"/>
      <c r="AW1538" s="160"/>
      <c r="AX1538" s="160"/>
      <c r="AY1538" s="160"/>
      <c r="AZ1538" s="160"/>
      <c r="BA1538" s="160"/>
    </row>
    <row r="1539" ht="15.75" hidden="1" customHeight="1" outlineLevel="1">
      <c r="A1539" s="273"/>
      <c r="B1539" s="38"/>
      <c r="C1539" s="174"/>
      <c r="D1539" s="174"/>
      <c r="E1539" s="174"/>
      <c r="F1539" s="174"/>
      <c r="G1539" s="174"/>
      <c r="H1539" s="174"/>
      <c r="I1539" s="174"/>
      <c r="J1539" s="174"/>
      <c r="K1539" s="174"/>
      <c r="L1539" s="174"/>
      <c r="M1539" s="174"/>
      <c r="N1539" s="174"/>
      <c r="O1539" s="174"/>
      <c r="P1539" s="174"/>
      <c r="Q1539" s="174"/>
      <c r="R1539" s="174"/>
      <c r="S1539" s="174"/>
      <c r="T1539" s="174"/>
      <c r="U1539" s="174"/>
      <c r="V1539" s="174"/>
      <c r="W1539" s="160"/>
      <c r="X1539" s="160"/>
      <c r="Y1539" s="160"/>
      <c r="Z1539" s="160"/>
      <c r="AA1539" s="160">
        <f>IF($AA$1354&gt;0,'Assumptions (Hydro)'!V10*Model!$AA$1354*AVERAGE('Assumptions (Hydro)'!$W$2:$Y$2)/10^9,0)</f>
        <v>0</v>
      </c>
      <c r="AB1539" s="160">
        <f>IF($AA$1354&gt;0,'Assumptions (Hydro)'!W10*Model!$AA$1354*AVERAGE('Assumptions (Hydro)'!$W$2:$Y$2)/10^9,0)</f>
        <v>0</v>
      </c>
      <c r="AC1539" s="160">
        <f>IF($AA$1354&gt;0,'Assumptions (Hydro)'!X10*Model!$AA$1354*AVERAGE('Assumptions (Hydro)'!$W$2:$Y$2)/10^9,0)</f>
        <v>0</v>
      </c>
      <c r="AD1539" s="160">
        <f>IF($AA$1354&gt;0,'Assumptions (Hydro)'!Y10*Model!$AA$1354*AVERAGE('Assumptions (Hydro)'!$W$2:$Y$2)/10^9,0)</f>
        <v>0</v>
      </c>
      <c r="AE1539" s="160">
        <f>IF($AA$1354&gt;0,'Assumptions (Hydro)'!Z10*Model!$AA$1354*AVERAGE('Assumptions (Hydro)'!$W$2:$Y$2)/10^9,0)</f>
        <v>0</v>
      </c>
      <c r="AF1539" s="160">
        <f>IF($AA$1354&gt;0,'Assumptions (Hydro)'!AA10*Model!$AA$1354*AVERAGE('Assumptions (Hydro)'!$W$2:$Y$2)/10^9,0)</f>
        <v>0</v>
      </c>
      <c r="AG1539" s="160">
        <f>IF($AA$1354&gt;0,'Assumptions (Hydro)'!AB10*Model!$AA$1354*AVERAGE('Assumptions (Hydro)'!$W$2:$Y$2)/10^9,0)</f>
        <v>0</v>
      </c>
      <c r="AH1539" s="160">
        <f>IF($AA$1354&gt;0,'Assumptions (Hydro)'!AC10*Model!$AA$1354*AVERAGE('Assumptions (Hydro)'!$W$2:$Y$2)/10^9,0)</f>
        <v>0</v>
      </c>
      <c r="AI1539" s="160">
        <f>IF($AA$1354&gt;0,'Assumptions (Hydro)'!AD10*Model!$AA$1354*AVERAGE('Assumptions (Hydro)'!$W$2:$Y$2)/10^9,0)</f>
        <v>0</v>
      </c>
      <c r="AJ1539" s="160">
        <f>IF($AA$1354&gt;0,'Assumptions (Hydro)'!AE10*Model!$AA$1354*AVERAGE('Assumptions (Hydro)'!$W$2:$Y$2)/10^9,0)</f>
        <v>0</v>
      </c>
      <c r="AK1539" s="160">
        <f>IF($AA$1354&gt;0,'Assumptions (Hydro)'!AF10*Model!$AA$1354*AVERAGE('Assumptions (Hydro)'!$W$2:$Y$2)/10^9,0)</f>
        <v>0</v>
      </c>
      <c r="AL1539" s="160">
        <f>IF($AA$1354&gt;0,'Assumptions (Hydro)'!AG10*Model!$AA$1354*AVERAGE('Assumptions (Hydro)'!$W$2:$Y$2)/10^9,0)</f>
        <v>0</v>
      </c>
      <c r="AM1539" s="160">
        <f>IF($AA$1354&gt;0,'Assumptions (Hydro)'!AH10*Model!$AA$1354*AVERAGE('Assumptions (Hydro)'!$W$2:$Y$2)/10^9,0)</f>
        <v>0</v>
      </c>
      <c r="AN1539" s="160">
        <f>IF($AA$1354&gt;0,'Assumptions (Hydro)'!AI10*Model!$AA$1354*AVERAGE('Assumptions (Hydro)'!$W$2:$Y$2)/10^9,0)</f>
        <v>0</v>
      </c>
      <c r="AO1539" s="160">
        <f>IF($AA$1354&gt;0,'Assumptions (Hydro)'!AJ10*Model!$AA$1354*AVERAGE('Assumptions (Hydro)'!$W$2:$Y$2)/10^9,0)</f>
        <v>0</v>
      </c>
      <c r="AP1539" s="160">
        <f>IF($AA$1354&gt;0,'Assumptions (Hydro)'!AK10*Model!$AA$1354*AVERAGE('Assumptions (Hydro)'!$W$2:$Y$2)/10^9,0)</f>
        <v>0</v>
      </c>
      <c r="AQ1539" s="160"/>
      <c r="AR1539" s="160"/>
      <c r="AS1539" s="160"/>
      <c r="AT1539" s="160"/>
      <c r="AU1539" s="160"/>
      <c r="AV1539" s="160"/>
      <c r="AW1539" s="160"/>
      <c r="AX1539" s="160"/>
      <c r="AY1539" s="160"/>
      <c r="AZ1539" s="160"/>
      <c r="BA1539" s="160"/>
    </row>
    <row r="1540" ht="15.75" hidden="1" customHeight="1" outlineLevel="1">
      <c r="A1540" s="273"/>
      <c r="B1540" s="38"/>
      <c r="C1540" s="174"/>
      <c r="D1540" s="174"/>
      <c r="E1540" s="174"/>
      <c r="F1540" s="174"/>
      <c r="G1540" s="174"/>
      <c r="H1540" s="174"/>
      <c r="I1540" s="174"/>
      <c r="J1540" s="174"/>
      <c r="K1540" s="174"/>
      <c r="L1540" s="174"/>
      <c r="M1540" s="174"/>
      <c r="N1540" s="174"/>
      <c r="O1540" s="174"/>
      <c r="P1540" s="174"/>
      <c r="Q1540" s="174"/>
      <c r="R1540" s="174"/>
      <c r="S1540" s="174"/>
      <c r="T1540" s="174"/>
      <c r="U1540" s="174"/>
      <c r="V1540" s="174"/>
      <c r="W1540" s="160"/>
      <c r="X1540" s="160"/>
      <c r="Y1540" s="160"/>
      <c r="Z1540" s="160"/>
      <c r="AA1540" s="160"/>
      <c r="AB1540" s="160">
        <f>IF($AB$1354&gt;0,'Assumptions (Hydro)'!V10*Model!$AB$1354*AVERAGE('Assumptions (Hydro)'!$X$2:$Z$2)/10^9,0)</f>
        <v>0</v>
      </c>
      <c r="AC1540" s="160">
        <f>IF($AB$1354&gt;0,'Assumptions (Hydro)'!W10*Model!$AB$1354*AVERAGE('Assumptions (Hydro)'!$X$2:$Z$2)/10^9,0)</f>
        <v>0</v>
      </c>
      <c r="AD1540" s="160">
        <f>IF($AB$1354&gt;0,'Assumptions (Hydro)'!X10*Model!$AB$1354*AVERAGE('Assumptions (Hydro)'!$X$2:$Z$2)/10^9,0)</f>
        <v>0</v>
      </c>
      <c r="AE1540" s="160">
        <f>IF($AB$1354&gt;0,'Assumptions (Hydro)'!Y10*Model!$AB$1354*AVERAGE('Assumptions (Hydro)'!$X$2:$Z$2)/10^9,0)</f>
        <v>0</v>
      </c>
      <c r="AF1540" s="160">
        <f>IF($AB$1354&gt;0,'Assumptions (Hydro)'!Z10*Model!$AB$1354*AVERAGE('Assumptions (Hydro)'!$X$2:$Z$2)/10^9,0)</f>
        <v>0</v>
      </c>
      <c r="AG1540" s="160">
        <f>IF($AB$1354&gt;0,'Assumptions (Hydro)'!AA10*Model!$AB$1354*AVERAGE('Assumptions (Hydro)'!$X$2:$Z$2)/10^9,0)</f>
        <v>0</v>
      </c>
      <c r="AH1540" s="160">
        <f>IF($AB$1354&gt;0,'Assumptions (Hydro)'!AB10*Model!$AB$1354*AVERAGE('Assumptions (Hydro)'!$X$2:$Z$2)/10^9,0)</f>
        <v>0</v>
      </c>
      <c r="AI1540" s="160">
        <f>IF($AB$1354&gt;0,'Assumptions (Hydro)'!AC10*Model!$AB$1354*AVERAGE('Assumptions (Hydro)'!$X$2:$Z$2)/10^9,0)</f>
        <v>0</v>
      </c>
      <c r="AJ1540" s="160">
        <f>IF($AB$1354&gt;0,'Assumptions (Hydro)'!AD10*Model!$AB$1354*AVERAGE('Assumptions (Hydro)'!$X$2:$Z$2)/10^9,0)</f>
        <v>0</v>
      </c>
      <c r="AK1540" s="160">
        <f>IF($AB$1354&gt;0,'Assumptions (Hydro)'!AE10*Model!$AB$1354*AVERAGE('Assumptions (Hydro)'!$X$2:$Z$2)/10^9,0)</f>
        <v>0</v>
      </c>
      <c r="AL1540" s="160">
        <f>IF($AB$1354&gt;0,'Assumptions (Hydro)'!AF10*Model!$AB$1354*AVERAGE('Assumptions (Hydro)'!$X$2:$Z$2)/10^9,0)</f>
        <v>0</v>
      </c>
      <c r="AM1540" s="160">
        <f>IF($AB$1354&gt;0,'Assumptions (Hydro)'!AG10*Model!$AB$1354*AVERAGE('Assumptions (Hydro)'!$X$2:$Z$2)/10^9,0)</f>
        <v>0</v>
      </c>
      <c r="AN1540" s="160">
        <f>IF($AB$1354&gt;0,'Assumptions (Hydro)'!AH10*Model!$AB$1354*AVERAGE('Assumptions (Hydro)'!$X$2:$Z$2)/10^9,0)</f>
        <v>0</v>
      </c>
      <c r="AO1540" s="160">
        <f>IF($AB$1354&gt;0,'Assumptions (Hydro)'!AI10*Model!$AB$1354*AVERAGE('Assumptions (Hydro)'!$X$2:$Z$2)/10^9,0)</f>
        <v>0</v>
      </c>
      <c r="AP1540" s="160">
        <f>IF($AB$1354&gt;0,'Assumptions (Hydro)'!AJ10*Model!$AB$1354*AVERAGE('Assumptions (Hydro)'!$X$2:$Z$2)/10^9,0)</f>
        <v>0</v>
      </c>
      <c r="AQ1540" s="160">
        <f>IF($AB$1354&gt;0,'Assumptions (Hydro)'!AK10*Model!$AB$1354*AVERAGE('Assumptions (Hydro)'!$X$2:$Z$2)/10^9,0)</f>
        <v>0</v>
      </c>
      <c r="AR1540" s="160"/>
      <c r="AS1540" s="160"/>
      <c r="AT1540" s="160"/>
      <c r="AU1540" s="160"/>
      <c r="AV1540" s="160"/>
      <c r="AW1540" s="160"/>
      <c r="AX1540" s="160"/>
      <c r="AY1540" s="160"/>
      <c r="AZ1540" s="160"/>
      <c r="BA1540" s="160"/>
    </row>
    <row r="1541" ht="15.75" hidden="1" customHeight="1" outlineLevel="1">
      <c r="A1541" s="273"/>
      <c r="B1541" s="38"/>
      <c r="C1541" s="174"/>
      <c r="D1541" s="174"/>
      <c r="E1541" s="174"/>
      <c r="F1541" s="174"/>
      <c r="G1541" s="174"/>
      <c r="H1541" s="174"/>
      <c r="I1541" s="174"/>
      <c r="J1541" s="174"/>
      <c r="K1541" s="174"/>
      <c r="L1541" s="174"/>
      <c r="M1541" s="174"/>
      <c r="N1541" s="174"/>
      <c r="O1541" s="174"/>
      <c r="P1541" s="174"/>
      <c r="Q1541" s="174"/>
      <c r="R1541" s="174"/>
      <c r="S1541" s="174"/>
      <c r="T1541" s="174"/>
      <c r="U1541" s="174"/>
      <c r="V1541" s="174"/>
      <c r="W1541" s="160"/>
      <c r="X1541" s="160"/>
      <c r="Y1541" s="160"/>
      <c r="Z1541" s="160"/>
      <c r="AA1541" s="160"/>
      <c r="AB1541" s="160"/>
      <c r="AC1541" s="160">
        <f>IF($AC$1354&gt;0,'Assumptions (Hydro)'!V10*Model!$AC$1354*AVERAGE('Assumptions (Hydro)'!$Y$2:$AA$2)/10^9,0)</f>
        <v>0</v>
      </c>
      <c r="AD1541" s="160">
        <f>IF($AC$1354&gt;0,'Assumptions (Hydro)'!W10*Model!$AC$1354*AVERAGE('Assumptions (Hydro)'!$Y$2:$AA$2)/10^9,0)</f>
        <v>0</v>
      </c>
      <c r="AE1541" s="160">
        <f>IF($AC$1354&gt;0,'Assumptions (Hydro)'!X10*Model!$AC$1354*AVERAGE('Assumptions (Hydro)'!$Y$2:$AA$2)/10^9,0)</f>
        <v>0</v>
      </c>
      <c r="AF1541" s="160">
        <f>IF($AC$1354&gt;0,'Assumptions (Hydro)'!Y10*Model!$AC$1354*AVERAGE('Assumptions (Hydro)'!$Y$2:$AA$2)/10^9,0)</f>
        <v>0</v>
      </c>
      <c r="AG1541" s="160">
        <f>IF($AC$1354&gt;0,'Assumptions (Hydro)'!Z10*Model!$AC$1354*AVERAGE('Assumptions (Hydro)'!$Y$2:$AA$2)/10^9,0)</f>
        <v>0</v>
      </c>
      <c r="AH1541" s="160">
        <f>IF($AC$1354&gt;0,'Assumptions (Hydro)'!AA10*Model!$AC$1354*AVERAGE('Assumptions (Hydro)'!$Y$2:$AA$2)/10^9,0)</f>
        <v>0</v>
      </c>
      <c r="AI1541" s="160">
        <f>IF($AC$1354&gt;0,'Assumptions (Hydro)'!AB10*Model!$AC$1354*AVERAGE('Assumptions (Hydro)'!$Y$2:$AA$2)/10^9,0)</f>
        <v>0</v>
      </c>
      <c r="AJ1541" s="160">
        <f>IF($AC$1354&gt;0,'Assumptions (Hydro)'!AC10*Model!$AC$1354*AVERAGE('Assumptions (Hydro)'!$Y$2:$AA$2)/10^9,0)</f>
        <v>0</v>
      </c>
      <c r="AK1541" s="160">
        <f>IF($AC$1354&gt;0,'Assumptions (Hydro)'!AD10*Model!$AC$1354*AVERAGE('Assumptions (Hydro)'!$Y$2:$AA$2)/10^9,0)</f>
        <v>0</v>
      </c>
      <c r="AL1541" s="160">
        <f>IF($AC$1354&gt;0,'Assumptions (Hydro)'!AE10*Model!$AC$1354*AVERAGE('Assumptions (Hydro)'!$Y$2:$AA$2)/10^9,0)</f>
        <v>0</v>
      </c>
      <c r="AM1541" s="160">
        <f>IF($AC$1354&gt;0,'Assumptions (Hydro)'!AF10*Model!$AC$1354*AVERAGE('Assumptions (Hydro)'!$Y$2:$AA$2)/10^9,0)</f>
        <v>0</v>
      </c>
      <c r="AN1541" s="160">
        <f>IF($AC$1354&gt;0,'Assumptions (Hydro)'!AG10*Model!$AC$1354*AVERAGE('Assumptions (Hydro)'!$Y$2:$AA$2)/10^9,0)</f>
        <v>0</v>
      </c>
      <c r="AO1541" s="160">
        <f>IF($AC$1354&gt;0,'Assumptions (Hydro)'!AH10*Model!$AC$1354*AVERAGE('Assumptions (Hydro)'!$Y$2:$AA$2)/10^9,0)</f>
        <v>0</v>
      </c>
      <c r="AP1541" s="160">
        <f>IF($AC$1354&gt;0,'Assumptions (Hydro)'!AI10*Model!$AC$1354*AVERAGE('Assumptions (Hydro)'!$Y$2:$AA$2)/10^9,0)</f>
        <v>0</v>
      </c>
      <c r="AQ1541" s="160">
        <f>IF($AC$1354&gt;0,'Assumptions (Hydro)'!AJ10*Model!$AC$1354*AVERAGE('Assumptions (Hydro)'!$Y$2:$AA$2)/10^9,0)</f>
        <v>0</v>
      </c>
      <c r="AR1541" s="160">
        <f>IF($AC$1354&gt;0,'Assumptions (Hydro)'!AK10*Model!$AC$1354*AVERAGE('Assumptions (Hydro)'!$Y$2:$AA$2)/10^9,0)</f>
        <v>0</v>
      </c>
      <c r="AS1541" s="160"/>
      <c r="AT1541" s="160"/>
      <c r="AU1541" s="160"/>
      <c r="AV1541" s="160"/>
      <c r="AW1541" s="160"/>
      <c r="AX1541" s="160"/>
      <c r="AY1541" s="160"/>
      <c r="AZ1541" s="160"/>
      <c r="BA1541" s="160"/>
    </row>
    <row r="1542" ht="15.75" hidden="1" customHeight="1" outlineLevel="1">
      <c r="A1542" s="273"/>
      <c r="B1542" s="38"/>
      <c r="C1542" s="174"/>
      <c r="D1542" s="174"/>
      <c r="E1542" s="174"/>
      <c r="F1542" s="174"/>
      <c r="G1542" s="174"/>
      <c r="H1542" s="174"/>
      <c r="I1542" s="174"/>
      <c r="J1542" s="174"/>
      <c r="K1542" s="174"/>
      <c r="L1542" s="174"/>
      <c r="M1542" s="174"/>
      <c r="N1542" s="174"/>
      <c r="O1542" s="174"/>
      <c r="P1542" s="174"/>
      <c r="Q1542" s="174"/>
      <c r="R1542" s="174"/>
      <c r="S1542" s="174"/>
      <c r="T1542" s="174"/>
      <c r="U1542" s="174"/>
      <c r="V1542" s="174"/>
      <c r="W1542" s="160"/>
      <c r="X1542" s="160"/>
      <c r="Y1542" s="160"/>
      <c r="Z1542" s="160"/>
      <c r="AA1542" s="160"/>
      <c r="AB1542" s="160"/>
      <c r="AC1542" s="160"/>
      <c r="AD1542" s="160">
        <f>IF($AD$1354&gt;0,'Assumptions (Hydro)'!V10*Model!$AD$1354*AVERAGE('Assumptions (Hydro)'!$Z$2:$AB$2)/10^9,0)</f>
        <v>0</v>
      </c>
      <c r="AE1542" s="160">
        <f>IF($AD$1354&gt;0,'Assumptions (Hydro)'!W10*Model!$AD$1354*AVERAGE('Assumptions (Hydro)'!$Z$2:$AB$2)/10^9,0)</f>
        <v>0</v>
      </c>
      <c r="AF1542" s="160">
        <f>IF($AD$1354&gt;0,'Assumptions (Hydro)'!X10*Model!$AD$1354*AVERAGE('Assumptions (Hydro)'!$Z$2:$AB$2)/10^9,0)</f>
        <v>0</v>
      </c>
      <c r="AG1542" s="160">
        <f>IF($AD$1354&gt;0,'Assumptions (Hydro)'!Y10*Model!$AD$1354*AVERAGE('Assumptions (Hydro)'!$Z$2:$AB$2)/10^9,0)</f>
        <v>0</v>
      </c>
      <c r="AH1542" s="160">
        <f>IF($AD$1354&gt;0,'Assumptions (Hydro)'!Z10*Model!$AD$1354*AVERAGE('Assumptions (Hydro)'!$Z$2:$AB$2)/10^9,0)</f>
        <v>0</v>
      </c>
      <c r="AI1542" s="160">
        <f>IF($AD$1354&gt;0,'Assumptions (Hydro)'!AA10*Model!$AD$1354*AVERAGE('Assumptions (Hydro)'!$Z$2:$AB$2)/10^9,0)</f>
        <v>0</v>
      </c>
      <c r="AJ1542" s="160">
        <f>IF($AD$1354&gt;0,'Assumptions (Hydro)'!AB10*Model!$AD$1354*AVERAGE('Assumptions (Hydro)'!$Z$2:$AB$2)/10^9,0)</f>
        <v>0</v>
      </c>
      <c r="AK1542" s="160">
        <f>IF($AD$1354&gt;0,'Assumptions (Hydro)'!AC10*Model!$AD$1354*AVERAGE('Assumptions (Hydro)'!$Z$2:$AB$2)/10^9,0)</f>
        <v>0</v>
      </c>
      <c r="AL1542" s="160">
        <f>IF($AD$1354&gt;0,'Assumptions (Hydro)'!AD10*Model!$AD$1354*AVERAGE('Assumptions (Hydro)'!$Z$2:$AB$2)/10^9,0)</f>
        <v>0</v>
      </c>
      <c r="AM1542" s="160">
        <f>IF($AD$1354&gt;0,'Assumptions (Hydro)'!AE10*Model!$AD$1354*AVERAGE('Assumptions (Hydro)'!$Z$2:$AB$2)/10^9,0)</f>
        <v>0</v>
      </c>
      <c r="AN1542" s="160">
        <f>IF($AD$1354&gt;0,'Assumptions (Hydro)'!AF10*Model!$AD$1354*AVERAGE('Assumptions (Hydro)'!$Z$2:$AB$2)/10^9,0)</f>
        <v>0</v>
      </c>
      <c r="AO1542" s="160">
        <f>IF($AD$1354&gt;0,'Assumptions (Hydro)'!AG10*Model!$AD$1354*AVERAGE('Assumptions (Hydro)'!$Z$2:$AB$2)/10^9,0)</f>
        <v>0</v>
      </c>
      <c r="AP1542" s="160">
        <f>IF($AD$1354&gt;0,'Assumptions (Hydro)'!AH10*Model!$AD$1354*AVERAGE('Assumptions (Hydro)'!$Z$2:$AB$2)/10^9,0)</f>
        <v>0</v>
      </c>
      <c r="AQ1542" s="160">
        <f>IF($AD$1354&gt;0,'Assumptions (Hydro)'!AI10*Model!$AD$1354*AVERAGE('Assumptions (Hydro)'!$Z$2:$AB$2)/10^9,0)</f>
        <v>0</v>
      </c>
      <c r="AR1542" s="160">
        <f>IF($AD$1354&gt;0,'Assumptions (Hydro)'!AJ10*Model!$AD$1354*AVERAGE('Assumptions (Hydro)'!$Z$2:$AB$2)/10^9,0)</f>
        <v>0</v>
      </c>
      <c r="AS1542" s="160">
        <f>IF($AD$1354&gt;0,'Assumptions (Hydro)'!AK10*Model!$AD$1354*AVERAGE('Assumptions (Hydro)'!$Z$2:$AB$2)/10^9,0)</f>
        <v>0</v>
      </c>
      <c r="AT1542" s="160"/>
      <c r="AU1542" s="160"/>
      <c r="AV1542" s="160"/>
      <c r="AW1542" s="160"/>
      <c r="AX1542" s="160"/>
      <c r="AY1542" s="160"/>
      <c r="AZ1542" s="160"/>
      <c r="BA1542" s="160"/>
      <c r="BB1542" s="160"/>
    </row>
    <row r="1543" ht="15.75" hidden="1" customHeight="1" outlineLevel="1">
      <c r="A1543" s="273"/>
      <c r="B1543" s="38"/>
      <c r="C1543" s="174"/>
      <c r="D1543" s="174"/>
      <c r="E1543" s="174"/>
      <c r="F1543" s="174"/>
      <c r="G1543" s="174"/>
      <c r="H1543" s="174"/>
      <c r="I1543" s="174"/>
      <c r="J1543" s="174"/>
      <c r="K1543" s="174"/>
      <c r="L1543" s="174"/>
      <c r="M1543" s="174"/>
      <c r="N1543" s="174"/>
      <c r="O1543" s="174"/>
      <c r="P1543" s="174"/>
      <c r="Q1543" s="174"/>
      <c r="R1543" s="174"/>
      <c r="S1543" s="174"/>
      <c r="T1543" s="174"/>
      <c r="U1543" s="174"/>
      <c r="V1543" s="174"/>
      <c r="W1543" s="160"/>
      <c r="X1543" s="160"/>
      <c r="Y1543" s="160"/>
      <c r="Z1543" s="160"/>
      <c r="AA1543" s="160"/>
      <c r="AB1543" s="160"/>
      <c r="AC1543" s="160"/>
      <c r="AD1543" s="160"/>
      <c r="AE1543" s="160">
        <f>IF($AE$1354&gt;0,'Assumptions (Hydro)'!V10*Model!$AE$1354*AVERAGE('Assumptions (Hydro)'!$AA$2:$AC$2)/10^9,0)</f>
        <v>0</v>
      </c>
      <c r="AF1543" s="160">
        <f>IF($AE$1354&gt;0,'Assumptions (Hydro)'!W10*Model!$AE$1354*AVERAGE('Assumptions (Hydro)'!$AA$2:$AC$2)/10^9,0)</f>
        <v>0</v>
      </c>
      <c r="AG1543" s="160">
        <f>IF($AE$1354&gt;0,'Assumptions (Hydro)'!X10*Model!$AE$1354*AVERAGE('Assumptions (Hydro)'!$AA$2:$AC$2)/10^9,0)</f>
        <v>0</v>
      </c>
      <c r="AH1543" s="160">
        <f>IF($AE$1354&gt;0,'Assumptions (Hydro)'!Y10*Model!$AE$1354*AVERAGE('Assumptions (Hydro)'!$AA$2:$AC$2)/10^9,0)</f>
        <v>0</v>
      </c>
      <c r="AI1543" s="160">
        <f>IF($AE$1354&gt;0,'Assumptions (Hydro)'!Z10*Model!$AE$1354*AVERAGE('Assumptions (Hydro)'!$AA$2:$AC$2)/10^9,0)</f>
        <v>0</v>
      </c>
      <c r="AJ1543" s="160">
        <f>IF($AE$1354&gt;0,'Assumptions (Hydro)'!AA10*Model!$AE$1354*AVERAGE('Assumptions (Hydro)'!$AA$2:$AC$2)/10^9,0)</f>
        <v>0</v>
      </c>
      <c r="AK1543" s="160">
        <f>IF($AE$1354&gt;0,'Assumptions (Hydro)'!AB10*Model!$AE$1354*AVERAGE('Assumptions (Hydro)'!$AA$2:$AC$2)/10^9,0)</f>
        <v>0</v>
      </c>
      <c r="AL1543" s="160">
        <f>IF($AE$1354&gt;0,'Assumptions (Hydro)'!AC10*Model!$AE$1354*AVERAGE('Assumptions (Hydro)'!$AA$2:$AC$2)/10^9,0)</f>
        <v>0</v>
      </c>
      <c r="AM1543" s="160">
        <f>IF($AE$1354&gt;0,'Assumptions (Hydro)'!AD10*Model!$AE$1354*AVERAGE('Assumptions (Hydro)'!$AA$2:$AC$2)/10^9,0)</f>
        <v>0</v>
      </c>
      <c r="AN1543" s="160">
        <f>IF($AE$1354&gt;0,'Assumptions (Hydro)'!AE10*Model!$AE$1354*AVERAGE('Assumptions (Hydro)'!$AA$2:$AC$2)/10^9,0)</f>
        <v>0</v>
      </c>
      <c r="AO1543" s="160">
        <f>IF($AE$1354&gt;0,'Assumptions (Hydro)'!AF10*Model!$AE$1354*AVERAGE('Assumptions (Hydro)'!$AA$2:$AC$2)/10^9,0)</f>
        <v>0</v>
      </c>
      <c r="AP1543" s="160">
        <f>IF($AE$1354&gt;0,'Assumptions (Hydro)'!AG10*Model!$AE$1354*AVERAGE('Assumptions (Hydro)'!$AA$2:$AC$2)/10^9,0)</f>
        <v>0</v>
      </c>
      <c r="AQ1543" s="160">
        <f>IF($AE$1354&gt;0,'Assumptions (Hydro)'!AH10*Model!$AE$1354*AVERAGE('Assumptions (Hydro)'!$AA$2:$AC$2)/10^9,0)</f>
        <v>0</v>
      </c>
      <c r="AR1543" s="160">
        <f>IF($AE$1354&gt;0,'Assumptions (Hydro)'!AI10*Model!$AE$1354*AVERAGE('Assumptions (Hydro)'!$AA$2:$AC$2)/10^9,0)</f>
        <v>0</v>
      </c>
      <c r="AS1543" s="160">
        <f>IF($AE$1354&gt;0,'Assumptions (Hydro)'!AJ10*Model!$AE$1354*AVERAGE('Assumptions (Hydro)'!$AA$2:$AC$2)/10^9,0)</f>
        <v>0</v>
      </c>
      <c r="AT1543" s="160">
        <f>IF($AE$1354&gt;0,'Assumptions (Hydro)'!AK10*Model!$AE$1354*AVERAGE('Assumptions (Hydro)'!$AA$2:$AC$2)/10^9,0)</f>
        <v>0</v>
      </c>
      <c r="AU1543" s="160"/>
      <c r="AV1543" s="160"/>
      <c r="AW1543" s="160"/>
      <c r="AX1543" s="160"/>
      <c r="AY1543" s="160"/>
      <c r="AZ1543" s="160"/>
      <c r="BA1543" s="160"/>
      <c r="BB1543" s="160"/>
      <c r="BC1543" s="160"/>
    </row>
    <row r="1544" ht="15.75" hidden="1" customHeight="1" outlineLevel="1">
      <c r="A1544" s="273"/>
      <c r="B1544" s="38"/>
      <c r="C1544" s="174"/>
      <c r="D1544" s="174"/>
      <c r="E1544" s="174"/>
      <c r="F1544" s="174"/>
      <c r="G1544" s="174"/>
      <c r="H1544" s="174"/>
      <c r="I1544" s="174"/>
      <c r="J1544" s="174"/>
      <c r="K1544" s="174"/>
      <c r="L1544" s="174"/>
      <c r="M1544" s="174"/>
      <c r="N1544" s="174"/>
      <c r="O1544" s="174"/>
      <c r="P1544" s="174"/>
      <c r="Q1544" s="174"/>
      <c r="R1544" s="174"/>
      <c r="S1544" s="174"/>
      <c r="T1544" s="174"/>
      <c r="U1544" s="174"/>
      <c r="V1544" s="174"/>
      <c r="W1544" s="160"/>
      <c r="X1544" s="160"/>
      <c r="Y1544" s="160"/>
      <c r="Z1544" s="160"/>
      <c r="AA1544" s="160"/>
      <c r="AB1544" s="160"/>
      <c r="AC1544" s="160"/>
      <c r="AD1544" s="160"/>
      <c r="AE1544" s="160"/>
      <c r="AF1544" s="160">
        <f>IF($AF$1354&gt;0,'Assumptions (Hydro)'!V10*Model!$AF$1354*AVERAGE('Assumptions (Hydro)'!$AB$2:$AD$2)/10^9,0)</f>
        <v>0</v>
      </c>
      <c r="AG1544" s="160">
        <f>IF($AF$1354&gt;0,'Assumptions (Hydro)'!W10*Model!$AF$1354*AVERAGE('Assumptions (Hydro)'!$AB$2:$AD$2)/10^9,0)</f>
        <v>0</v>
      </c>
      <c r="AH1544" s="160">
        <f>IF($AF$1354&gt;0,'Assumptions (Hydro)'!X10*Model!$AF$1354*AVERAGE('Assumptions (Hydro)'!$AB$2:$AD$2)/10^9,0)</f>
        <v>0</v>
      </c>
      <c r="AI1544" s="160">
        <f>IF($AF$1354&gt;0,'Assumptions (Hydro)'!Y10*Model!$AF$1354*AVERAGE('Assumptions (Hydro)'!$AB$2:$AD$2)/10^9,0)</f>
        <v>0</v>
      </c>
      <c r="AJ1544" s="160">
        <f>IF($AF$1354&gt;0,'Assumptions (Hydro)'!Z10*Model!$AF$1354*AVERAGE('Assumptions (Hydro)'!$AB$2:$AD$2)/10^9,0)</f>
        <v>0</v>
      </c>
      <c r="AK1544" s="160">
        <f>IF($AF$1354&gt;0,'Assumptions (Hydro)'!AA10*Model!$AF$1354*AVERAGE('Assumptions (Hydro)'!$AB$2:$AD$2)/10^9,0)</f>
        <v>0</v>
      </c>
      <c r="AL1544" s="160">
        <f>IF($AF$1354&gt;0,'Assumptions (Hydro)'!AB10*Model!$AF$1354*AVERAGE('Assumptions (Hydro)'!$AB$2:$AD$2)/10^9,0)</f>
        <v>0</v>
      </c>
      <c r="AM1544" s="160">
        <f>IF($AF$1354&gt;0,'Assumptions (Hydro)'!AC10*Model!$AF$1354*AVERAGE('Assumptions (Hydro)'!$AB$2:$AD$2)/10^9,0)</f>
        <v>0</v>
      </c>
      <c r="AN1544" s="160">
        <f>IF($AF$1354&gt;0,'Assumptions (Hydro)'!AD10*Model!$AF$1354*AVERAGE('Assumptions (Hydro)'!$AB$2:$AD$2)/10^9,0)</f>
        <v>0</v>
      </c>
      <c r="AO1544" s="160">
        <f>IF($AF$1354&gt;0,'Assumptions (Hydro)'!AE10*Model!$AF$1354*AVERAGE('Assumptions (Hydro)'!$AB$2:$AD$2)/10^9,0)</f>
        <v>0</v>
      </c>
      <c r="AP1544" s="160">
        <f>IF($AF$1354&gt;0,'Assumptions (Hydro)'!AF10*Model!$AF$1354*AVERAGE('Assumptions (Hydro)'!$AB$2:$AD$2)/10^9,0)</f>
        <v>0</v>
      </c>
      <c r="AQ1544" s="160">
        <f>IF($AF$1354&gt;0,'Assumptions (Hydro)'!AG10*Model!$AF$1354*AVERAGE('Assumptions (Hydro)'!$AB$2:$AD$2)/10^9,0)</f>
        <v>0</v>
      </c>
      <c r="AR1544" s="160">
        <f>IF($AF$1354&gt;0,'Assumptions (Hydro)'!AH10*Model!$AF$1354*AVERAGE('Assumptions (Hydro)'!$AB$2:$AD$2)/10^9,0)</f>
        <v>0</v>
      </c>
      <c r="AS1544" s="160">
        <f>IF($AF$1354&gt;0,'Assumptions (Hydro)'!AI10*Model!$AF$1354*AVERAGE('Assumptions (Hydro)'!$AB$2:$AD$2)/10^9,0)</f>
        <v>0</v>
      </c>
      <c r="AT1544" s="160">
        <f>IF($AF$1354&gt;0,'Assumptions (Hydro)'!AJ10*Model!$AF$1354*AVERAGE('Assumptions (Hydro)'!$AB$2:$AD$2)/10^9,0)</f>
        <v>0</v>
      </c>
      <c r="AU1544" s="160">
        <f>IF($AF$1354&gt;0,'Assumptions (Hydro)'!AK10*Model!$AF$1354*AVERAGE('Assumptions (Hydro)'!$AB$2:$AD$2)/10^9,0)</f>
        <v>0</v>
      </c>
      <c r="AV1544" s="160"/>
      <c r="AW1544" s="160"/>
      <c r="AX1544" s="160"/>
      <c r="AY1544" s="160"/>
      <c r="AZ1544" s="160"/>
      <c r="BA1544" s="160"/>
      <c r="BB1544" s="160"/>
      <c r="BC1544" s="160"/>
      <c r="BD1544" s="160"/>
    </row>
    <row r="1545" ht="15.75" hidden="1" customHeight="1" outlineLevel="1">
      <c r="A1545" s="273"/>
      <c r="B1545" s="38"/>
      <c r="C1545" s="174"/>
      <c r="D1545" s="174"/>
      <c r="E1545" s="174"/>
      <c r="F1545" s="174"/>
      <c r="G1545" s="174"/>
      <c r="H1545" s="174"/>
      <c r="I1545" s="174"/>
      <c r="J1545" s="174"/>
      <c r="K1545" s="174"/>
      <c r="L1545" s="174"/>
      <c r="M1545" s="174"/>
      <c r="N1545" s="174"/>
      <c r="O1545" s="174"/>
      <c r="P1545" s="174"/>
      <c r="Q1545" s="174"/>
      <c r="R1545" s="174"/>
      <c r="S1545" s="174"/>
      <c r="T1545" s="174"/>
      <c r="U1545" s="174"/>
      <c r="V1545" s="174"/>
      <c r="W1545" s="160"/>
      <c r="X1545" s="160"/>
      <c r="Y1545" s="160"/>
      <c r="Z1545" s="160"/>
      <c r="AA1545" s="160"/>
      <c r="AB1545" s="160"/>
      <c r="AC1545" s="160"/>
      <c r="AD1545" s="160"/>
      <c r="AE1545" s="160"/>
      <c r="AF1545" s="160"/>
      <c r="AG1545" s="160">
        <f>IF($AG$1354&gt;0,'Assumptions (Hydro)'!V10*Model!$AG$1354*AVERAGE('Assumptions (Hydro)'!$AC$2:$AE$2)/10^9,0)</f>
        <v>0</v>
      </c>
      <c r="AH1545" s="160">
        <f>IF($AG$1354&gt;0,'Assumptions (Hydro)'!W10*Model!$AG$1354*AVERAGE('Assumptions (Hydro)'!$AC$2:$AE$2)/10^9,0)</f>
        <v>0</v>
      </c>
      <c r="AI1545" s="160">
        <f>IF($AG$1354&gt;0,'Assumptions (Hydro)'!X10*Model!$AG$1354*AVERAGE('Assumptions (Hydro)'!$AC$2:$AE$2)/10^9,0)</f>
        <v>0</v>
      </c>
      <c r="AJ1545" s="160">
        <f>IF($AG$1354&gt;0,'Assumptions (Hydro)'!Y10*Model!$AG$1354*AVERAGE('Assumptions (Hydro)'!$AC$2:$AE$2)/10^9,0)</f>
        <v>0</v>
      </c>
      <c r="AK1545" s="160">
        <f>IF($AG$1354&gt;0,'Assumptions (Hydro)'!Z10*Model!$AG$1354*AVERAGE('Assumptions (Hydro)'!$AC$2:$AE$2)/10^9,0)</f>
        <v>0</v>
      </c>
      <c r="AL1545" s="160">
        <f>IF($AG$1354&gt;0,'Assumptions (Hydro)'!AA10*Model!$AG$1354*AVERAGE('Assumptions (Hydro)'!$AC$2:$AE$2)/10^9,0)</f>
        <v>0</v>
      </c>
      <c r="AM1545" s="160">
        <f>IF($AG$1354&gt;0,'Assumptions (Hydro)'!AB10*Model!$AG$1354*AVERAGE('Assumptions (Hydro)'!$AC$2:$AE$2)/10^9,0)</f>
        <v>0</v>
      </c>
      <c r="AN1545" s="160">
        <f>IF($AG$1354&gt;0,'Assumptions (Hydro)'!AC10*Model!$AG$1354*AVERAGE('Assumptions (Hydro)'!$AC$2:$AE$2)/10^9,0)</f>
        <v>0</v>
      </c>
      <c r="AO1545" s="160">
        <f>IF($AG$1354&gt;0,'Assumptions (Hydro)'!AD10*Model!$AG$1354*AVERAGE('Assumptions (Hydro)'!$AC$2:$AE$2)/10^9,0)</f>
        <v>0</v>
      </c>
      <c r="AP1545" s="160">
        <f>IF($AG$1354&gt;0,'Assumptions (Hydro)'!AE10*Model!$AG$1354*AVERAGE('Assumptions (Hydro)'!$AC$2:$AE$2)/10^9,0)</f>
        <v>0</v>
      </c>
      <c r="AQ1545" s="160">
        <f>IF($AG$1354&gt;0,'Assumptions (Hydro)'!AF10*Model!$AG$1354*AVERAGE('Assumptions (Hydro)'!$AC$2:$AE$2)/10^9,0)</f>
        <v>0</v>
      </c>
      <c r="AR1545" s="160">
        <f>IF($AG$1354&gt;0,'Assumptions (Hydro)'!AG10*Model!$AG$1354*AVERAGE('Assumptions (Hydro)'!$AC$2:$AE$2)/10^9,0)</f>
        <v>0</v>
      </c>
      <c r="AS1545" s="160">
        <f>IF($AG$1354&gt;0,'Assumptions (Hydro)'!AH10*Model!$AG$1354*AVERAGE('Assumptions (Hydro)'!$AC$2:$AE$2)/10^9,0)</f>
        <v>0</v>
      </c>
      <c r="AT1545" s="160">
        <f>IF($AG$1354&gt;0,'Assumptions (Hydro)'!AI10*Model!$AG$1354*AVERAGE('Assumptions (Hydro)'!$AC$2:$AE$2)/10^9,0)</f>
        <v>0</v>
      </c>
      <c r="AU1545" s="160">
        <f>IF($AG$1354&gt;0,'Assumptions (Hydro)'!AJ10*Model!$AG$1354*AVERAGE('Assumptions (Hydro)'!$AC$2:$AE$2)/10^9,0)</f>
        <v>0</v>
      </c>
      <c r="AV1545" s="160">
        <f>IF($AG$1354&gt;0,'Assumptions (Hydro)'!AK10*Model!$AG$1354*AVERAGE('Assumptions (Hydro)'!$AC$2:$AE$2)/10^9,0)</f>
        <v>0</v>
      </c>
      <c r="AW1545" s="160"/>
      <c r="AX1545" s="160"/>
      <c r="AY1545" s="160"/>
      <c r="AZ1545" s="160"/>
      <c r="BA1545" s="160"/>
      <c r="BB1545" s="160"/>
      <c r="BC1545" s="160"/>
      <c r="BD1545" s="160"/>
      <c r="BE1545" s="160"/>
    </row>
    <row r="1546" ht="15.75" hidden="1" customHeight="1" outlineLevel="1">
      <c r="A1546" s="273"/>
      <c r="B1546" s="38"/>
      <c r="C1546" s="174"/>
      <c r="D1546" s="174"/>
      <c r="E1546" s="174"/>
      <c r="F1546" s="174"/>
      <c r="G1546" s="174"/>
      <c r="H1546" s="174"/>
      <c r="I1546" s="174"/>
      <c r="J1546" s="174"/>
      <c r="K1546" s="174"/>
      <c r="L1546" s="174"/>
      <c r="M1546" s="174"/>
      <c r="N1546" s="174"/>
      <c r="O1546" s="174"/>
      <c r="P1546" s="174"/>
      <c r="Q1546" s="174"/>
      <c r="R1546" s="174"/>
      <c r="S1546" s="174"/>
      <c r="T1546" s="174"/>
      <c r="U1546" s="174"/>
      <c r="V1546" s="174"/>
      <c r="W1546" s="160"/>
      <c r="X1546" s="160"/>
      <c r="Y1546" s="160"/>
      <c r="Z1546" s="160"/>
      <c r="AA1546" s="160"/>
      <c r="AB1546" s="160"/>
      <c r="AC1546" s="160"/>
      <c r="AD1546" s="160"/>
      <c r="AE1546" s="160"/>
      <c r="AF1546" s="160"/>
      <c r="AG1546" s="160"/>
      <c r="AH1546" s="160">
        <f>IF($AH$1354&gt;0,'Assumptions (Hydro)'!V10*Model!$AH$1354*AVERAGE('Assumptions (Hydro)'!$AD$2:$AF$2)/10^9,0)</f>
        <v>0</v>
      </c>
      <c r="AI1546" s="160">
        <f>IF($AH$1354&gt;0,'Assumptions (Hydro)'!W10*Model!$AH$1354*AVERAGE('Assumptions (Hydro)'!$AD$2:$AF$2)/10^9,0)</f>
        <v>0</v>
      </c>
      <c r="AJ1546" s="160">
        <f>IF($AH$1354&gt;0,'Assumptions (Hydro)'!X10*Model!$AH$1354*AVERAGE('Assumptions (Hydro)'!$AD$2:$AF$2)/10^9,0)</f>
        <v>0</v>
      </c>
      <c r="AK1546" s="160">
        <f>IF($AH$1354&gt;0,'Assumptions (Hydro)'!Y10*Model!$AH$1354*AVERAGE('Assumptions (Hydro)'!$AD$2:$AF$2)/10^9,0)</f>
        <v>0</v>
      </c>
      <c r="AL1546" s="160">
        <f>IF($AH$1354&gt;0,'Assumptions (Hydro)'!Z10*Model!$AH$1354*AVERAGE('Assumptions (Hydro)'!$AD$2:$AF$2)/10^9,0)</f>
        <v>0</v>
      </c>
      <c r="AM1546" s="160">
        <f>IF($AH$1354&gt;0,'Assumptions (Hydro)'!AA10*Model!$AH$1354*AVERAGE('Assumptions (Hydro)'!$AD$2:$AF$2)/10^9,0)</f>
        <v>0</v>
      </c>
      <c r="AN1546" s="160">
        <f>IF($AH$1354&gt;0,'Assumptions (Hydro)'!AB10*Model!$AH$1354*AVERAGE('Assumptions (Hydro)'!$AD$2:$AF$2)/10^9,0)</f>
        <v>0</v>
      </c>
      <c r="AO1546" s="160">
        <f>IF($AH$1354&gt;0,'Assumptions (Hydro)'!AC10*Model!$AH$1354*AVERAGE('Assumptions (Hydro)'!$AD$2:$AF$2)/10^9,0)</f>
        <v>0</v>
      </c>
      <c r="AP1546" s="160">
        <f>IF($AH$1354&gt;0,'Assumptions (Hydro)'!AD10*Model!$AH$1354*AVERAGE('Assumptions (Hydro)'!$AD$2:$AF$2)/10^9,0)</f>
        <v>0</v>
      </c>
      <c r="AQ1546" s="160">
        <f>IF($AH$1354&gt;0,'Assumptions (Hydro)'!AE10*Model!$AH$1354*AVERAGE('Assumptions (Hydro)'!$AD$2:$AF$2)/10^9,0)</f>
        <v>0</v>
      </c>
      <c r="AR1546" s="160">
        <f>IF($AH$1354&gt;0,'Assumptions (Hydro)'!AF10*Model!$AH$1354*AVERAGE('Assumptions (Hydro)'!$AD$2:$AF$2)/10^9,0)</f>
        <v>0</v>
      </c>
      <c r="AS1546" s="160">
        <f>IF($AH$1354&gt;0,'Assumptions (Hydro)'!AG10*Model!$AH$1354*AVERAGE('Assumptions (Hydro)'!$AD$2:$AF$2)/10^9,0)</f>
        <v>0</v>
      </c>
      <c r="AT1546" s="160">
        <f>IF($AH$1354&gt;0,'Assumptions (Hydro)'!AH10*Model!$AH$1354*AVERAGE('Assumptions (Hydro)'!$AD$2:$AF$2)/10^9,0)</f>
        <v>0</v>
      </c>
      <c r="AU1546" s="160">
        <f>IF($AH$1354&gt;0,'Assumptions (Hydro)'!AI10*Model!$AH$1354*AVERAGE('Assumptions (Hydro)'!$AD$2:$AF$2)/10^9,0)</f>
        <v>0</v>
      </c>
      <c r="AV1546" s="160">
        <f>IF($AH$1354&gt;0,'Assumptions (Hydro)'!AJ10*Model!$AH$1354*AVERAGE('Assumptions (Hydro)'!$AD$2:$AF$2)/10^9,0)</f>
        <v>0</v>
      </c>
      <c r="AW1546" s="160">
        <f>IF($AH$1354&gt;0,'Assumptions (Hydro)'!AK10*Model!$AH$1354*AVERAGE('Assumptions (Hydro)'!$AD$2:$AF$2)/10^9,0)</f>
        <v>0</v>
      </c>
      <c r="AX1546" s="160"/>
      <c r="AY1546" s="160"/>
      <c r="AZ1546" s="160"/>
      <c r="BA1546" s="160"/>
      <c r="BB1546" s="160"/>
      <c r="BC1546" s="160"/>
      <c r="BD1546" s="160"/>
      <c r="BE1546" s="160"/>
      <c r="BF1546" s="160"/>
    </row>
    <row r="1547" ht="15.75" hidden="1" customHeight="1" outlineLevel="1">
      <c r="A1547" s="273"/>
      <c r="B1547" s="38"/>
      <c r="C1547" s="281"/>
      <c r="D1547" s="281"/>
      <c r="E1547" s="281"/>
      <c r="F1547" s="281"/>
      <c r="G1547" s="281"/>
      <c r="H1547" s="281"/>
      <c r="I1547" s="281"/>
      <c r="J1547" s="281"/>
      <c r="K1547" s="281"/>
      <c r="L1547" s="281"/>
      <c r="M1547" s="281"/>
      <c r="N1547" s="281"/>
      <c r="O1547" s="281"/>
      <c r="P1547" s="281"/>
      <c r="Q1547" s="281"/>
      <c r="R1547" s="281"/>
      <c r="S1547" s="281"/>
      <c r="T1547" s="281"/>
      <c r="U1547" s="281"/>
      <c r="V1547" s="174"/>
      <c r="W1547" s="160"/>
      <c r="X1547" s="160"/>
      <c r="Y1547" s="160"/>
      <c r="Z1547" s="160"/>
      <c r="AA1547" s="160"/>
      <c r="AB1547" s="160"/>
      <c r="AC1547" s="160"/>
      <c r="AD1547" s="160"/>
      <c r="AE1547" s="160"/>
      <c r="AF1547" s="160"/>
      <c r="AG1547" s="160"/>
      <c r="AH1547" s="160"/>
      <c r="AI1547" s="160">
        <f>IF($AI$1354&gt;0,'Assumptions (Hydro)'!V10*Model!$AI$1354*AVERAGE('Assumptions (Hydro)'!$AE$2:$AG$2)/10^9,0)</f>
        <v>0</v>
      </c>
      <c r="AJ1547" s="160">
        <f>IF($AI$1354&gt;0,'Assumptions (Hydro)'!W10*Model!$AI$1354*AVERAGE('Assumptions (Hydro)'!$AE$2:$AG$2)/10^9,0)</f>
        <v>0</v>
      </c>
      <c r="AK1547" s="160">
        <f>IF($AI$1354&gt;0,'Assumptions (Hydro)'!X10*Model!$AI$1354*AVERAGE('Assumptions (Hydro)'!$AE$2:$AG$2)/10^9,0)</f>
        <v>0</v>
      </c>
      <c r="AL1547" s="160">
        <f>IF($AI$1354&gt;0,'Assumptions (Hydro)'!Y10*Model!$AI$1354*AVERAGE('Assumptions (Hydro)'!$AE$2:$AG$2)/10^9,0)</f>
        <v>0</v>
      </c>
      <c r="AM1547" s="160">
        <f>IF($AI$1354&gt;0,'Assumptions (Hydro)'!Z10*Model!$AI$1354*AVERAGE('Assumptions (Hydro)'!$AE$2:$AG$2)/10^9,0)</f>
        <v>0</v>
      </c>
      <c r="AN1547" s="160">
        <f>IF($AI$1354&gt;0,'Assumptions (Hydro)'!AA10*Model!$AI$1354*AVERAGE('Assumptions (Hydro)'!$AE$2:$AG$2)/10^9,0)</f>
        <v>0</v>
      </c>
      <c r="AO1547" s="160">
        <f>IF($AI$1354&gt;0,'Assumptions (Hydro)'!AB10*Model!$AI$1354*AVERAGE('Assumptions (Hydro)'!$AE$2:$AG$2)/10^9,0)</f>
        <v>0</v>
      </c>
      <c r="AP1547" s="160">
        <f>IF($AI$1354&gt;0,'Assumptions (Hydro)'!AC10*Model!$AI$1354*AVERAGE('Assumptions (Hydro)'!$AE$2:$AG$2)/10^9,0)</f>
        <v>0</v>
      </c>
      <c r="AQ1547" s="160">
        <f>IF($AI$1354&gt;0,'Assumptions (Hydro)'!AD10*Model!$AI$1354*AVERAGE('Assumptions (Hydro)'!$AE$2:$AG$2)/10^9,0)</f>
        <v>0</v>
      </c>
      <c r="AR1547" s="160">
        <f>IF($AI$1354&gt;0,'Assumptions (Hydro)'!AE10*Model!$AI$1354*AVERAGE('Assumptions (Hydro)'!$AE$2:$AG$2)/10^9,0)</f>
        <v>0</v>
      </c>
      <c r="AS1547" s="160">
        <f>IF($AI$1354&gt;0,'Assumptions (Hydro)'!AF10*Model!$AI$1354*AVERAGE('Assumptions (Hydro)'!$AE$2:$AG$2)/10^9,0)</f>
        <v>0</v>
      </c>
      <c r="AT1547" s="160">
        <f>IF($AI$1354&gt;0,'Assumptions (Hydro)'!AG10*Model!$AI$1354*AVERAGE('Assumptions (Hydro)'!$AE$2:$AG$2)/10^9,0)</f>
        <v>0</v>
      </c>
      <c r="AU1547" s="160">
        <f>IF($AI$1354&gt;0,'Assumptions (Hydro)'!AH10*Model!$AI$1354*AVERAGE('Assumptions (Hydro)'!$AE$2:$AG$2)/10^9,0)</f>
        <v>0</v>
      </c>
      <c r="AV1547" s="160">
        <f>IF($AI$1354&gt;0,'Assumptions (Hydro)'!AI10*Model!$AI$1354*AVERAGE('Assumptions (Hydro)'!$AE$2:$AG$2)/10^9,0)</f>
        <v>0</v>
      </c>
      <c r="AW1547" s="160">
        <f>IF($AI$1354&gt;0,'Assumptions (Hydro)'!AJ10*Model!$AI$1354*AVERAGE('Assumptions (Hydro)'!$AE$2:$AG$2)/10^9,0)</f>
        <v>0</v>
      </c>
      <c r="AX1547" s="160">
        <f>IF($AI$1354&gt;0,'Assumptions (Hydro)'!AK10*Model!$AI$1354*AVERAGE('Assumptions (Hydro)'!$AE$2:$AG$2)/10^9,0)</f>
        <v>0</v>
      </c>
      <c r="AY1547" s="160"/>
      <c r="AZ1547" s="160"/>
      <c r="BA1547" s="160"/>
      <c r="BB1547" s="160"/>
      <c r="BC1547" s="160"/>
      <c r="BD1547" s="160"/>
      <c r="BE1547" s="160"/>
      <c r="BF1547" s="160"/>
      <c r="BG1547" s="160"/>
    </row>
    <row r="1548" ht="15.75" hidden="1" customHeight="1" outlineLevel="1">
      <c r="A1548" s="273"/>
      <c r="B1548" s="38"/>
      <c r="C1548" s="174"/>
      <c r="D1548" s="174"/>
      <c r="E1548" s="174"/>
      <c r="F1548" s="174"/>
      <c r="G1548" s="174"/>
      <c r="H1548" s="174"/>
      <c r="I1548" s="174"/>
      <c r="J1548" s="174"/>
      <c r="K1548" s="174"/>
      <c r="L1548" s="174"/>
      <c r="M1548" s="174"/>
      <c r="N1548" s="174"/>
      <c r="O1548" s="174"/>
      <c r="P1548" s="174"/>
      <c r="Q1548" s="174"/>
      <c r="R1548" s="174"/>
      <c r="S1548" s="174"/>
      <c r="T1548" s="174"/>
      <c r="U1548" s="174"/>
      <c r="V1548" s="174"/>
      <c r="W1548" s="160"/>
      <c r="X1548" s="160"/>
      <c r="Y1548" s="160"/>
      <c r="Z1548" s="160"/>
      <c r="AA1548" s="160"/>
      <c r="AB1548" s="177"/>
      <c r="AC1548" s="160"/>
      <c r="AD1548" s="160"/>
      <c r="AE1548" s="160"/>
      <c r="AF1548" s="160"/>
      <c r="AG1548" s="160"/>
      <c r="AH1548" s="160"/>
      <c r="AI1548" s="160"/>
      <c r="AJ1548" s="177">
        <f>IF($AJ$1354&gt;0,'Assumptions (Hydro)'!V10*Model!$AJ$1354*AVERAGE('Assumptions (Hydro)'!$AF$2:$AH$2)/10^9,0)</f>
        <v>0</v>
      </c>
      <c r="AK1548" s="177">
        <f>IF($AJ$1354&gt;0,'Assumptions (Hydro)'!W10*Model!$AJ$1354*AVERAGE('Assumptions (Hydro)'!$AF$2:$AH$2)/10^9,0)</f>
        <v>0</v>
      </c>
      <c r="AL1548" s="177">
        <f>IF($AJ$1354&gt;0,'Assumptions (Hydro)'!X10*Model!$AJ$1354*AVERAGE('Assumptions (Hydro)'!$AF$2:$AH$2)/10^9,0)</f>
        <v>0</v>
      </c>
      <c r="AM1548" s="177">
        <f>IF($AJ$1354&gt;0,'Assumptions (Hydro)'!Y10*Model!$AJ$1354*AVERAGE('Assumptions (Hydro)'!$AF$2:$AH$2)/10^9,0)</f>
        <v>0</v>
      </c>
      <c r="AN1548" s="177">
        <f>IF($AJ$1354&gt;0,'Assumptions (Hydro)'!Z10*Model!$AJ$1354*AVERAGE('Assumptions (Hydro)'!$AF$2:$AH$2)/10^9,0)</f>
        <v>0</v>
      </c>
      <c r="AO1548" s="177">
        <f>IF($AJ$1354&gt;0,'Assumptions (Hydro)'!AA10*Model!$AJ$1354*AVERAGE('Assumptions (Hydro)'!$AF$2:$AH$2)/10^9,0)</f>
        <v>0</v>
      </c>
      <c r="AP1548" s="177">
        <f>IF($AJ$1354&gt;0,'Assumptions (Hydro)'!AB10*Model!$AJ$1354*AVERAGE('Assumptions (Hydro)'!$AF$2:$AH$2)/10^9,0)</f>
        <v>0</v>
      </c>
      <c r="AQ1548" s="177">
        <f>IF($AJ$1354&gt;0,'Assumptions (Hydro)'!AC10*Model!$AJ$1354*AVERAGE('Assumptions (Hydro)'!$AF$2:$AH$2)/10^9,0)</f>
        <v>0</v>
      </c>
      <c r="AR1548" s="177">
        <f>IF($AJ$1354&gt;0,'Assumptions (Hydro)'!AD10*Model!$AJ$1354*AVERAGE('Assumptions (Hydro)'!$AF$2:$AH$2)/10^9,0)</f>
        <v>0</v>
      </c>
      <c r="AS1548" s="177">
        <f>IF($AJ$1354&gt;0,'Assumptions (Hydro)'!AE10*Model!$AJ$1354*AVERAGE('Assumptions (Hydro)'!$AF$2:$AH$2)/10^9,0)</f>
        <v>0</v>
      </c>
      <c r="AT1548" s="177">
        <f>IF($AJ$1354&gt;0,'Assumptions (Hydro)'!AF10*Model!$AJ$1354*AVERAGE('Assumptions (Hydro)'!$AF$2:$AH$2)/10^9,0)</f>
        <v>0</v>
      </c>
      <c r="AU1548" s="177">
        <f>IF($AJ$1354&gt;0,'Assumptions (Hydro)'!AG10*Model!$AJ$1354*AVERAGE('Assumptions (Hydro)'!$AF$2:$AH$2)/10^9,0)</f>
        <v>0</v>
      </c>
      <c r="AV1548" s="177">
        <f>IF($AJ$1354&gt;0,'Assumptions (Hydro)'!AH10*Model!$AJ$1354*AVERAGE('Assumptions (Hydro)'!$AF$2:$AH$2)/10^9,0)</f>
        <v>0</v>
      </c>
      <c r="AW1548" s="177">
        <f>IF($AJ$1354&gt;0,'Assumptions (Hydro)'!AI10*Model!$AJ$1354*AVERAGE('Assumptions (Hydro)'!$AF$2:$AH$2)/10^9,0)</f>
        <v>0</v>
      </c>
      <c r="AX1548" s="177">
        <f>IF($AJ$1354&gt;0,'Assumptions (Hydro)'!AJ10*Model!$AJ$1354*AVERAGE('Assumptions (Hydro)'!$AF$2:$AH$2)/10^9,0)</f>
        <v>0</v>
      </c>
      <c r="AY1548" s="177">
        <f>IF($AJ$1354&gt;0,'Assumptions (Hydro)'!AK10*Model!$AJ$1354*AVERAGE('Assumptions (Hydro)'!$AF$2:$AH$2)/10^9,0)</f>
        <v>0</v>
      </c>
      <c r="AZ1548" s="177"/>
      <c r="BA1548" s="177"/>
      <c r="BB1548" s="177"/>
      <c r="BC1548" s="177"/>
      <c r="BD1548" s="177"/>
      <c r="BE1548" s="177"/>
      <c r="BF1548" s="177"/>
      <c r="BG1548" s="177"/>
      <c r="BH1548" s="177"/>
    </row>
    <row r="1549" ht="15.75" hidden="1" customHeight="1" outlineLevel="1">
      <c r="A1549" s="273"/>
      <c r="B1549" s="38"/>
      <c r="C1549" s="174"/>
      <c r="D1549" s="174"/>
      <c r="E1549" s="174"/>
      <c r="F1549" s="174"/>
      <c r="G1549" s="174"/>
      <c r="H1549" s="174"/>
      <c r="I1549" s="174"/>
      <c r="J1549" s="174"/>
      <c r="K1549" s="174"/>
      <c r="L1549" s="174"/>
      <c r="M1549" s="174"/>
      <c r="N1549" s="174"/>
      <c r="O1549" s="174"/>
      <c r="P1549" s="174"/>
      <c r="Q1549" s="174"/>
      <c r="R1549" s="174"/>
      <c r="S1549" s="174"/>
      <c r="T1549" s="174"/>
      <c r="U1549" s="174"/>
      <c r="V1549" s="174"/>
      <c r="W1549" s="160"/>
      <c r="X1549" s="160"/>
      <c r="Y1549" s="160"/>
      <c r="Z1549" s="160"/>
      <c r="AA1549" s="160"/>
      <c r="AB1549" s="160"/>
      <c r="AC1549" s="160"/>
      <c r="AD1549" s="160"/>
      <c r="AE1549" s="160"/>
      <c r="AF1549" s="160"/>
      <c r="AG1549" s="160"/>
      <c r="AH1549" s="160"/>
      <c r="AI1549" s="160"/>
      <c r="AJ1549" s="179"/>
      <c r="AK1549" s="177">
        <f>IF($AK$1354&gt;0,'Assumptions (Hydro)'!V10*Model!$AK$1354*AVERAGE('Assumptions (Hydro)'!$AG$2:$AI$2)/10^9,0)</f>
        <v>0</v>
      </c>
      <c r="AL1549" s="177">
        <f>IF($AK$1354&gt;0,'Assumptions (Hydro)'!W10*Model!$AK$1354*AVERAGE('Assumptions (Hydro)'!$AG$2:$AI$2)/10^9,0)</f>
        <v>0</v>
      </c>
      <c r="AM1549" s="177">
        <f>IF($AK$1354&gt;0,'Assumptions (Hydro)'!X10*Model!$AK$1354*AVERAGE('Assumptions (Hydro)'!$AG$2:$AI$2)/10^9,0)</f>
        <v>0</v>
      </c>
      <c r="AN1549" s="177">
        <f>IF($AK$1354&gt;0,'Assumptions (Hydro)'!Y10*Model!$AK$1354*AVERAGE('Assumptions (Hydro)'!$AG$2:$AI$2)/10^9,0)</f>
        <v>0</v>
      </c>
      <c r="AO1549" s="177">
        <f>IF($AK$1354&gt;0,'Assumptions (Hydro)'!Z10*Model!$AK$1354*AVERAGE('Assumptions (Hydro)'!$AG$2:$AI$2)/10^9,0)</f>
        <v>0</v>
      </c>
      <c r="AP1549" s="177">
        <f>IF($AK$1354&gt;0,'Assumptions (Hydro)'!AA10*Model!$AK$1354*AVERAGE('Assumptions (Hydro)'!$AG$2:$AI$2)/10^9,0)</f>
        <v>0</v>
      </c>
      <c r="AQ1549" s="177">
        <f>IF($AK$1354&gt;0,'Assumptions (Hydro)'!AB10*Model!$AK$1354*AVERAGE('Assumptions (Hydro)'!$AG$2:$AI$2)/10^9,0)</f>
        <v>0</v>
      </c>
      <c r="AR1549" s="177">
        <f>IF($AK$1354&gt;0,'Assumptions (Hydro)'!AC10*Model!$AK$1354*AVERAGE('Assumptions (Hydro)'!$AG$2:$AI$2)/10^9,0)</f>
        <v>0</v>
      </c>
      <c r="AS1549" s="177">
        <f>IF($AK$1354&gt;0,'Assumptions (Hydro)'!AD10*Model!$AK$1354*AVERAGE('Assumptions (Hydro)'!$AG$2:$AI$2)/10^9,0)</f>
        <v>0</v>
      </c>
      <c r="AT1549" s="177">
        <f>IF($AK$1354&gt;0,'Assumptions (Hydro)'!AE10*Model!$AK$1354*AVERAGE('Assumptions (Hydro)'!$AG$2:$AI$2)/10^9,0)</f>
        <v>0</v>
      </c>
      <c r="AU1549" s="177">
        <f>IF($AK$1354&gt;0,'Assumptions (Hydro)'!AF10*Model!$AK$1354*AVERAGE('Assumptions (Hydro)'!$AG$2:$AI$2)/10^9,0)</f>
        <v>0</v>
      </c>
      <c r="AV1549" s="177">
        <f>IF($AK$1354&gt;0,'Assumptions (Hydro)'!AG10*Model!$AK$1354*AVERAGE('Assumptions (Hydro)'!$AG$2:$AI$2)/10^9,0)</f>
        <v>0</v>
      </c>
      <c r="AW1549" s="177">
        <f>IF($AK$1354&gt;0,'Assumptions (Hydro)'!AH10*Model!$AK$1354*AVERAGE('Assumptions (Hydro)'!$AG$2:$AI$2)/10^9,0)</f>
        <v>0</v>
      </c>
      <c r="AX1549" s="177">
        <f>IF($AK$1354&gt;0,'Assumptions (Hydro)'!AI10*Model!$AK$1354*AVERAGE('Assumptions (Hydro)'!$AG$2:$AI$2)/10^9,0)</f>
        <v>0</v>
      </c>
      <c r="AY1549" s="177">
        <f>IF($AK$1354&gt;0,'Assumptions (Hydro)'!AJ10*Model!$AK$1354*AVERAGE('Assumptions (Hydro)'!$AG$2:$AI$2)/10^9,0)</f>
        <v>0</v>
      </c>
      <c r="AZ1549" s="177">
        <f>IF($AK$1354&gt;0,'Assumptions (Hydro)'!AK10*Model!$AK$1354*AVERAGE('Assumptions (Hydro)'!$AG$2:$AI$2)/10^9,0)</f>
        <v>0</v>
      </c>
      <c r="BA1549" s="177"/>
      <c r="BB1549" s="177"/>
      <c r="BC1549" s="177"/>
      <c r="BD1549" s="177"/>
      <c r="BE1549" s="177"/>
      <c r="BF1549" s="177"/>
      <c r="BG1549" s="177"/>
      <c r="BH1549" s="177"/>
      <c r="BI1549" s="177"/>
    </row>
    <row r="1550" ht="15.75" hidden="1" customHeight="1" outlineLevel="1">
      <c r="A1550" s="273"/>
      <c r="B1550" s="38"/>
      <c r="C1550" s="174"/>
      <c r="D1550" s="174"/>
      <c r="E1550" s="174"/>
      <c r="F1550" s="174"/>
      <c r="G1550" s="174"/>
      <c r="H1550" s="174"/>
      <c r="I1550" s="174"/>
      <c r="J1550" s="174"/>
      <c r="K1550" s="174"/>
      <c r="L1550" s="174"/>
      <c r="M1550" s="174"/>
      <c r="N1550" s="174"/>
      <c r="O1550" s="174"/>
      <c r="P1550" s="174"/>
      <c r="Q1550" s="174"/>
      <c r="R1550" s="174"/>
      <c r="S1550" s="174"/>
      <c r="T1550" s="174"/>
      <c r="U1550" s="174"/>
      <c r="V1550" s="174"/>
      <c r="W1550" s="160"/>
      <c r="X1550" s="160"/>
      <c r="Y1550" s="160"/>
      <c r="Z1550" s="160"/>
      <c r="AA1550" s="160"/>
      <c r="AB1550" s="160"/>
      <c r="AC1550" s="160"/>
      <c r="AD1550" s="160"/>
      <c r="AE1550" s="160"/>
      <c r="AF1550" s="160"/>
      <c r="AG1550" s="160"/>
      <c r="AH1550" s="160"/>
      <c r="AI1550" s="160"/>
      <c r="AJ1550" s="179"/>
      <c r="AK1550" s="160"/>
      <c r="AL1550" s="177">
        <f>IF($AL$1354&gt;0,'Assumptions (Hydro)'!V10*Model!$AL$1354*AVERAGE('Assumptions (Hydro)'!$AH$2:$AJ$2)/10^9,0)</f>
        <v>0</v>
      </c>
      <c r="AM1550" s="177">
        <f>IF($AL$1354&gt;0,'Assumptions (Hydro)'!W10*Model!$AL$1354*AVERAGE('Assumptions (Hydro)'!$AH$2:$AJ$2)/10^9,0)</f>
        <v>0</v>
      </c>
      <c r="AN1550" s="177">
        <f>IF($AL$1354&gt;0,'Assumptions (Hydro)'!X10*Model!$AL$1354*AVERAGE('Assumptions (Hydro)'!$AH$2:$AJ$2)/10^9,0)</f>
        <v>0</v>
      </c>
      <c r="AO1550" s="177">
        <f>IF($AL$1354&gt;0,'Assumptions (Hydro)'!Y10*Model!$AL$1354*AVERAGE('Assumptions (Hydro)'!$AH$2:$AJ$2)/10^9,0)</f>
        <v>0</v>
      </c>
      <c r="AP1550" s="177">
        <f>IF($AL$1354&gt;0,'Assumptions (Hydro)'!Z10*Model!$AL$1354*AVERAGE('Assumptions (Hydro)'!$AH$2:$AJ$2)/10^9,0)</f>
        <v>0</v>
      </c>
      <c r="AQ1550" s="177">
        <f>IF($AL$1354&gt;0,'Assumptions (Hydro)'!AA10*Model!$AL$1354*AVERAGE('Assumptions (Hydro)'!$AH$2:$AJ$2)/10^9,0)</f>
        <v>0</v>
      </c>
      <c r="AR1550" s="177">
        <f>IF($AL$1354&gt;0,'Assumptions (Hydro)'!AB10*Model!$AL$1354*AVERAGE('Assumptions (Hydro)'!$AH$2:$AJ$2)/10^9,0)</f>
        <v>0</v>
      </c>
      <c r="AS1550" s="177">
        <f>IF($AL$1354&gt;0,'Assumptions (Hydro)'!AC10*Model!$AL$1354*AVERAGE('Assumptions (Hydro)'!$AH$2:$AJ$2)/10^9,0)</f>
        <v>0</v>
      </c>
      <c r="AT1550" s="177">
        <f>IF($AL$1354&gt;0,'Assumptions (Hydro)'!AD10*Model!$AL$1354*AVERAGE('Assumptions (Hydro)'!$AH$2:$AJ$2)/10^9,0)</f>
        <v>0</v>
      </c>
      <c r="AU1550" s="177">
        <f>IF($AL$1354&gt;0,'Assumptions (Hydro)'!AE10*Model!$AL$1354*AVERAGE('Assumptions (Hydro)'!$AH$2:$AJ$2)/10^9,0)</f>
        <v>0</v>
      </c>
      <c r="AV1550" s="177">
        <f>IF($AL$1354&gt;0,'Assumptions (Hydro)'!AF10*Model!$AL$1354*AVERAGE('Assumptions (Hydro)'!$AH$2:$AJ$2)/10^9,0)</f>
        <v>0</v>
      </c>
      <c r="AW1550" s="177">
        <f>IF($AL$1354&gt;0,'Assumptions (Hydro)'!AG10*Model!$AL$1354*AVERAGE('Assumptions (Hydro)'!$AH$2:$AJ$2)/10^9,0)</f>
        <v>0</v>
      </c>
      <c r="AX1550" s="177">
        <f>IF($AL$1354&gt;0,'Assumptions (Hydro)'!AH10*Model!$AL$1354*AVERAGE('Assumptions (Hydro)'!$AH$2:$AJ$2)/10^9,0)</f>
        <v>0</v>
      </c>
      <c r="AY1550" s="177">
        <f>IF($AL$1354&gt;0,'Assumptions (Hydro)'!AI10*Model!$AL$1354*AVERAGE('Assumptions (Hydro)'!$AH$2:$AJ$2)/10^9,0)</f>
        <v>0</v>
      </c>
      <c r="AZ1550" s="177">
        <f>IF($AL$1354&gt;0,'Assumptions (Hydro)'!AJ10*Model!$AL$1354*AVERAGE('Assumptions (Hydro)'!$AH$2:$AJ$2)/10^9,0)</f>
        <v>0</v>
      </c>
      <c r="BA1550" s="177">
        <f>IF($AL$1354&gt;0,'Assumptions (Hydro)'!AK10*Model!$AL$1354*AVERAGE('Assumptions (Hydro)'!$AH$2:$AJ$2)/10^9,0)</f>
        <v>0</v>
      </c>
      <c r="BB1550" s="177"/>
      <c r="BC1550" s="177"/>
      <c r="BD1550" s="177"/>
      <c r="BE1550" s="177"/>
      <c r="BF1550" s="177"/>
      <c r="BG1550" s="177"/>
      <c r="BH1550" s="177"/>
      <c r="BI1550" s="177"/>
      <c r="BJ1550" s="177"/>
    </row>
    <row r="1551" ht="15.75" hidden="1" customHeight="1" outlineLevel="1">
      <c r="A1551" s="273"/>
      <c r="B1551" s="38"/>
      <c r="C1551" s="174"/>
      <c r="D1551" s="174"/>
      <c r="E1551" s="174"/>
      <c r="F1551" s="174"/>
      <c r="G1551" s="174"/>
      <c r="H1551" s="174"/>
      <c r="I1551" s="174"/>
      <c r="J1551" s="174"/>
      <c r="K1551" s="174"/>
      <c r="L1551" s="174"/>
      <c r="M1551" s="174"/>
      <c r="N1551" s="174"/>
      <c r="O1551" s="174"/>
      <c r="P1551" s="174"/>
      <c r="Q1551" s="174"/>
      <c r="R1551" s="174"/>
      <c r="S1551" s="174"/>
      <c r="T1551" s="174"/>
      <c r="U1551" s="174"/>
      <c r="V1551" s="174"/>
      <c r="W1551" s="160"/>
      <c r="X1551" s="160"/>
      <c r="Y1551" s="160"/>
      <c r="Z1551" s="160"/>
      <c r="AA1551" s="160"/>
      <c r="AB1551" s="160"/>
      <c r="AC1551" s="160"/>
      <c r="AD1551" s="160"/>
      <c r="AE1551" s="160"/>
      <c r="AF1551" s="160"/>
      <c r="AG1551" s="160"/>
      <c r="AH1551" s="160"/>
      <c r="AI1551" s="160"/>
      <c r="AJ1551" s="179"/>
      <c r="AK1551" s="160"/>
      <c r="AL1551" s="177"/>
      <c r="AM1551" s="160">
        <f>IF($AM$1354&gt;0,'Assumptions (Hydro)'!V10*Model!$AM$1354*AVERAGE('Assumptions (Hydro)'!$AI$2:$AK$2)/10^9,0)</f>
        <v>0</v>
      </c>
      <c r="AN1551" s="160">
        <f>IF($AM$1354&gt;0,'Assumptions (Hydro)'!W10*Model!$AM$1354*AVERAGE('Assumptions (Hydro)'!$AI$2:$AK$2)/10^9,0)</f>
        <v>0</v>
      </c>
      <c r="AO1551" s="160">
        <f>IF($AM$1354&gt;0,'Assumptions (Hydro)'!X10*Model!$AM$1354*AVERAGE('Assumptions (Hydro)'!$AI$2:$AK$2)/10^9,0)</f>
        <v>0</v>
      </c>
      <c r="AP1551" s="160">
        <f>IF($AM$1354&gt;0,'Assumptions (Hydro)'!Y10*Model!$AM$1354*AVERAGE('Assumptions (Hydro)'!$AI$2:$AK$2)/10^9,0)</f>
        <v>0</v>
      </c>
      <c r="AQ1551" s="160">
        <f>IF($AM$1354&gt;0,'Assumptions (Hydro)'!Z10*Model!$AM$1354*AVERAGE('Assumptions (Hydro)'!$AI$2:$AK$2)/10^9,0)</f>
        <v>0</v>
      </c>
      <c r="AR1551" s="160">
        <f>IF($AM$1354&gt;0,'Assumptions (Hydro)'!AA10*Model!$AM$1354*AVERAGE('Assumptions (Hydro)'!$AI$2:$AK$2)/10^9,0)</f>
        <v>0</v>
      </c>
      <c r="AS1551" s="160">
        <f>IF($AM$1354&gt;0,'Assumptions (Hydro)'!AB10*Model!$AM$1354*AVERAGE('Assumptions (Hydro)'!$AI$2:$AK$2)/10^9,0)</f>
        <v>0</v>
      </c>
      <c r="AT1551" s="160">
        <f>IF($AM$1354&gt;0,'Assumptions (Hydro)'!AC10*Model!$AM$1354*AVERAGE('Assumptions (Hydro)'!$AI$2:$AK$2)/10^9,0)</f>
        <v>0</v>
      </c>
      <c r="AU1551" s="160">
        <f>IF($AM$1354&gt;0,'Assumptions (Hydro)'!AD10*Model!$AM$1354*AVERAGE('Assumptions (Hydro)'!$AI$2:$AK$2)/10^9,0)</f>
        <v>0</v>
      </c>
      <c r="AV1551" s="160">
        <f>IF($AM$1354&gt;0,'Assumptions (Hydro)'!AE10*Model!$AM$1354*AVERAGE('Assumptions (Hydro)'!$AI$2:$AK$2)/10^9,0)</f>
        <v>0</v>
      </c>
      <c r="AW1551" s="160">
        <f>IF($AM$1354&gt;0,'Assumptions (Hydro)'!AF10*Model!$AM$1354*AVERAGE('Assumptions (Hydro)'!$AI$2:$AK$2)/10^9,0)</f>
        <v>0</v>
      </c>
      <c r="AX1551" s="160">
        <f>IF($AM$1354&gt;0,'Assumptions (Hydro)'!AG10*Model!$AM$1354*AVERAGE('Assumptions (Hydro)'!$AI$2:$AK$2)/10^9,0)</f>
        <v>0</v>
      </c>
      <c r="AY1551" s="160">
        <f>IF($AM$1354&gt;0,'Assumptions (Hydro)'!AH10*Model!$AM$1354*AVERAGE('Assumptions (Hydro)'!$AI$2:$AK$2)/10^9,0)</f>
        <v>0</v>
      </c>
      <c r="AZ1551" s="160">
        <f>IF($AM$1354&gt;0,'Assumptions (Hydro)'!AI10*Model!$AM$1354*AVERAGE('Assumptions (Hydro)'!$AI$2:$AK$2)/10^9,0)</f>
        <v>0</v>
      </c>
      <c r="BA1551" s="160">
        <f>IF($AM$1354&gt;0,'Assumptions (Hydro)'!AJ10*Model!$AM$1354*AVERAGE('Assumptions (Hydro)'!$AI$2:$AK$2)/10^9,0)</f>
        <v>0</v>
      </c>
      <c r="BB1551" s="160">
        <f>IF($AM$1354&gt;0,'Assumptions (Hydro)'!AK10*Model!$AM$1354*AVERAGE('Assumptions (Hydro)'!$AI$2:$AK$2)/10^9,0)</f>
        <v>0</v>
      </c>
      <c r="BC1551" s="160"/>
      <c r="BD1551" s="160"/>
      <c r="BE1551" s="160"/>
      <c r="BF1551" s="160"/>
      <c r="BG1551" s="160"/>
      <c r="BH1551" s="160"/>
      <c r="BI1551" s="160"/>
      <c r="BJ1551" s="160"/>
      <c r="BK1551" s="160"/>
    </row>
    <row r="1552" ht="15.75" hidden="1" customHeight="1" outlineLevel="1">
      <c r="A1552" s="273"/>
      <c r="B1552" s="38"/>
      <c r="C1552" s="174"/>
      <c r="D1552" s="174"/>
      <c r="E1552" s="174"/>
      <c r="F1552" s="174"/>
      <c r="G1552" s="174"/>
      <c r="H1552" s="174"/>
      <c r="I1552" s="174"/>
      <c r="J1552" s="174"/>
      <c r="K1552" s="174"/>
      <c r="L1552" s="174"/>
      <c r="M1552" s="174"/>
      <c r="N1552" s="174"/>
      <c r="O1552" s="174"/>
      <c r="P1552" s="174"/>
      <c r="Q1552" s="174"/>
      <c r="R1552" s="174"/>
      <c r="S1552" s="174"/>
      <c r="T1552" s="174"/>
      <c r="U1552" s="174"/>
      <c r="V1552" s="174"/>
      <c r="W1552" s="160"/>
      <c r="X1552" s="160"/>
      <c r="Y1552" s="160"/>
      <c r="Z1552" s="160"/>
      <c r="AA1552" s="160"/>
      <c r="AB1552" s="160"/>
      <c r="AC1552" s="160"/>
      <c r="AD1552" s="160"/>
      <c r="AE1552" s="160"/>
      <c r="AF1552" s="160"/>
      <c r="AG1552" s="160"/>
      <c r="AH1552" s="160"/>
      <c r="AI1552" s="160"/>
      <c r="AJ1552" s="179"/>
      <c r="AK1552" s="160"/>
      <c r="AL1552" s="177"/>
      <c r="AM1552" s="177"/>
      <c r="AN1552" s="160">
        <f>IF($AN$1354&gt;0,'Assumptions (Hydro)'!V10*Model!$AN$1354*AVERAGE('Assumptions (Hydro)'!$AJ$2:$AL$2)/10^9,0)</f>
        <v>0</v>
      </c>
      <c r="AO1552" s="160">
        <f>IF($AN$1354&gt;0,'Assumptions (Hydro)'!W10*Model!$AN$1354*AVERAGE('Assumptions (Hydro)'!$AJ$2:$AL$2)/10^9,0)</f>
        <v>0</v>
      </c>
      <c r="AP1552" s="160">
        <f>IF($AN$1354&gt;0,'Assumptions (Hydro)'!X10*Model!$AN$1354*AVERAGE('Assumptions (Hydro)'!$AJ$2:$AL$2)/10^9,0)</f>
        <v>0</v>
      </c>
      <c r="AQ1552" s="160">
        <f>IF($AN$1354&gt;0,'Assumptions (Hydro)'!Y10*Model!$AN$1354*AVERAGE('Assumptions (Hydro)'!$AJ$2:$AL$2)/10^9,0)</f>
        <v>0</v>
      </c>
      <c r="AR1552" s="160">
        <f>IF($AN$1354&gt;0,'Assumptions (Hydro)'!Z10*Model!$AN$1354*AVERAGE('Assumptions (Hydro)'!$AJ$2:$AL$2)/10^9,0)</f>
        <v>0</v>
      </c>
      <c r="AS1552" s="160">
        <f>IF($AN$1354&gt;0,'Assumptions (Hydro)'!AA10*Model!$AN$1354*AVERAGE('Assumptions (Hydro)'!$AJ$2:$AL$2)/10^9,0)</f>
        <v>0</v>
      </c>
      <c r="AT1552" s="160">
        <f>IF($AN$1354&gt;0,'Assumptions (Hydro)'!AB10*Model!$AN$1354*AVERAGE('Assumptions (Hydro)'!$AJ$2:$AL$2)/10^9,0)</f>
        <v>0</v>
      </c>
      <c r="AU1552" s="160">
        <f>IF($AN$1354&gt;0,'Assumptions (Hydro)'!AC10*Model!$AN$1354*AVERAGE('Assumptions (Hydro)'!$AJ$2:$AL$2)/10^9,0)</f>
        <v>0</v>
      </c>
      <c r="AV1552" s="160">
        <f>IF($AN$1354&gt;0,'Assumptions (Hydro)'!AD10*Model!$AN$1354*AVERAGE('Assumptions (Hydro)'!$AJ$2:$AL$2)/10^9,0)</f>
        <v>0</v>
      </c>
      <c r="AW1552" s="160">
        <f>IF($AN$1354&gt;0,'Assumptions (Hydro)'!AE10*Model!$AN$1354*AVERAGE('Assumptions (Hydro)'!$AJ$2:$AL$2)/10^9,0)</f>
        <v>0</v>
      </c>
      <c r="AX1552" s="160">
        <f>IF($AN$1354&gt;0,'Assumptions (Hydro)'!AF10*Model!$AN$1354*AVERAGE('Assumptions (Hydro)'!$AJ$2:$AL$2)/10^9,0)</f>
        <v>0</v>
      </c>
      <c r="AY1552" s="160">
        <f>IF($AN$1354&gt;0,'Assumptions (Hydro)'!AG10*Model!$AN$1354*AVERAGE('Assumptions (Hydro)'!$AJ$2:$AL$2)/10^9,0)</f>
        <v>0</v>
      </c>
      <c r="AZ1552" s="160">
        <f>IF($AN$1354&gt;0,'Assumptions (Hydro)'!AH10*Model!$AN$1354*AVERAGE('Assumptions (Hydro)'!$AJ$2:$AL$2)/10^9,0)</f>
        <v>0</v>
      </c>
      <c r="BA1552" s="160">
        <f>IF($AN$1354&gt;0,'Assumptions (Hydro)'!AI10*Model!$AN$1354*AVERAGE('Assumptions (Hydro)'!$AJ$2:$AL$2)/10^9,0)</f>
        <v>0</v>
      </c>
      <c r="BB1552" s="160">
        <f>IF($AN$1354&gt;0,'Assumptions (Hydro)'!AJ10*Model!$AN$1354*AVERAGE('Assumptions (Hydro)'!$AJ$2:$AL$2)/10^9,0)</f>
        <v>0</v>
      </c>
      <c r="BC1552" s="160">
        <f>IF($AN$1354&gt;0,'Assumptions (Hydro)'!AK10*Model!$AN$1354*AVERAGE('Assumptions (Hydro)'!$AJ$2:$AL$2)/10^9,0)</f>
        <v>0</v>
      </c>
      <c r="BD1552" s="160"/>
      <c r="BE1552" s="160"/>
      <c r="BF1552" s="160"/>
      <c r="BG1552" s="160"/>
      <c r="BH1552" s="160"/>
      <c r="BI1552" s="160"/>
      <c r="BJ1552" s="160"/>
      <c r="BK1552" s="160"/>
      <c r="BL1552" s="160"/>
    </row>
    <row r="1553" ht="15.75" hidden="1" customHeight="1" outlineLevel="1">
      <c r="A1553" s="273"/>
      <c r="B1553" s="38"/>
      <c r="C1553" s="174"/>
      <c r="D1553" s="174"/>
      <c r="E1553" s="174"/>
      <c r="F1553" s="174"/>
      <c r="G1553" s="174"/>
      <c r="H1553" s="174"/>
      <c r="I1553" s="174"/>
      <c r="J1553" s="174"/>
      <c r="K1553" s="174"/>
      <c r="L1553" s="174"/>
      <c r="M1553" s="174"/>
      <c r="N1553" s="174"/>
      <c r="O1553" s="174"/>
      <c r="P1553" s="174"/>
      <c r="Q1553" s="174"/>
      <c r="R1553" s="174"/>
      <c r="S1553" s="174"/>
      <c r="T1553" s="174"/>
      <c r="U1553" s="174"/>
      <c r="V1553" s="174"/>
      <c r="W1553" s="160"/>
      <c r="X1553" s="160"/>
      <c r="Y1553" s="160"/>
      <c r="Z1553" s="160"/>
      <c r="AA1553" s="160"/>
      <c r="AB1553" s="160"/>
      <c r="AC1553" s="160"/>
      <c r="AD1553" s="160"/>
      <c r="AE1553" s="160"/>
      <c r="AF1553" s="160"/>
      <c r="AG1553" s="160"/>
      <c r="AH1553" s="160"/>
      <c r="AI1553" s="160"/>
      <c r="AJ1553" s="179"/>
      <c r="AK1553" s="160"/>
      <c r="AL1553" s="177"/>
      <c r="AM1553" s="177"/>
      <c r="AN1553" s="177"/>
      <c r="AO1553" s="160">
        <f>IF($AO$1354&gt;0,'Assumptions (Hydro)'!V10*Model!$AO$1354*AVERAGE('Assumptions (Hydro)'!$AK$2:$AM$2)/10^9,0)</f>
        <v>0</v>
      </c>
      <c r="AP1553" s="160">
        <f>IF($AO$1354&gt;0,'Assumptions (Hydro)'!W10*Model!$AO$1354*AVERAGE('Assumptions (Hydro)'!$AK$2:$AM$2)/10^9,0)</f>
        <v>0</v>
      </c>
      <c r="AQ1553" s="160">
        <f>IF($AO$1354&gt;0,'Assumptions (Hydro)'!X10*Model!$AO$1354*AVERAGE('Assumptions (Hydro)'!$AK$2:$AM$2)/10^9,0)</f>
        <v>0</v>
      </c>
      <c r="AR1553" s="160">
        <f>IF($AO$1354&gt;0,'Assumptions (Hydro)'!Y10*Model!$AO$1354*AVERAGE('Assumptions (Hydro)'!$AK$2:$AM$2)/10^9,0)</f>
        <v>0</v>
      </c>
      <c r="AS1553" s="160">
        <f>IF($AO$1354&gt;0,'Assumptions (Hydro)'!Z10*Model!$AO$1354*AVERAGE('Assumptions (Hydro)'!$AK$2:$AM$2)/10^9,0)</f>
        <v>0</v>
      </c>
      <c r="AT1553" s="160">
        <f>IF($AO$1354&gt;0,'Assumptions (Hydro)'!AA10*Model!$AO$1354*AVERAGE('Assumptions (Hydro)'!$AK$2:$AM$2)/10^9,0)</f>
        <v>0</v>
      </c>
      <c r="AU1553" s="160">
        <f>IF($AO$1354&gt;0,'Assumptions (Hydro)'!AB10*Model!$AO$1354*AVERAGE('Assumptions (Hydro)'!$AK$2:$AM$2)/10^9,0)</f>
        <v>0</v>
      </c>
      <c r="AV1553" s="160">
        <f>IF($AO$1354&gt;0,'Assumptions (Hydro)'!AC10*Model!$AO$1354*AVERAGE('Assumptions (Hydro)'!$AK$2:$AM$2)/10^9,0)</f>
        <v>0</v>
      </c>
      <c r="AW1553" s="160">
        <f>IF($AO$1354&gt;0,'Assumptions (Hydro)'!AD10*Model!$AO$1354*AVERAGE('Assumptions (Hydro)'!$AK$2:$AM$2)/10^9,0)</f>
        <v>0</v>
      </c>
      <c r="AX1553" s="160">
        <f>IF($AO$1354&gt;0,'Assumptions (Hydro)'!AE10*Model!$AO$1354*AVERAGE('Assumptions (Hydro)'!$AK$2:$AM$2)/10^9,0)</f>
        <v>0</v>
      </c>
      <c r="AY1553" s="160">
        <f>IF($AO$1354&gt;0,'Assumptions (Hydro)'!AF10*Model!$AO$1354*AVERAGE('Assumptions (Hydro)'!$AK$2:$AM$2)/10^9,0)</f>
        <v>0</v>
      </c>
      <c r="AZ1553" s="160">
        <f>IF($AO$1354&gt;0,'Assumptions (Hydro)'!AG10*Model!$AO$1354*AVERAGE('Assumptions (Hydro)'!$AK$2:$AM$2)/10^9,0)</f>
        <v>0</v>
      </c>
      <c r="BA1553" s="160">
        <f>IF($AO$1354&gt;0,'Assumptions (Hydro)'!AH10*Model!$AO$1354*AVERAGE('Assumptions (Hydro)'!$AK$2:$AM$2)/10^9,0)</f>
        <v>0</v>
      </c>
      <c r="BB1553" s="160">
        <f>IF($AO$1354&gt;0,'Assumptions (Hydro)'!AI10*Model!$AO$1354*AVERAGE('Assumptions (Hydro)'!$AK$2:$AM$2)/10^9,0)</f>
        <v>0</v>
      </c>
      <c r="BC1553" s="160">
        <f>IF($AO$1354&gt;0,'Assumptions (Hydro)'!AJ10*Model!$AO$1354*AVERAGE('Assumptions (Hydro)'!$AK$2:$AM$2)/10^9,0)</f>
        <v>0</v>
      </c>
      <c r="BD1553" s="160">
        <f>IF($AO$1354&gt;0,'Assumptions (Hydro)'!AK10*Model!$AO$1354*AVERAGE('Assumptions (Hydro)'!$AK$2:$AM$2)/10^9,0)</f>
        <v>0</v>
      </c>
      <c r="BE1553" s="160"/>
      <c r="BF1553" s="160"/>
      <c r="BG1553" s="160"/>
      <c r="BH1553" s="160"/>
      <c r="BI1553" s="160"/>
      <c r="BJ1553" s="160"/>
      <c r="BK1553" s="160"/>
      <c r="BL1553" s="160"/>
      <c r="BM1553" s="160"/>
    </row>
    <row r="1554" ht="15.75" hidden="1" customHeight="1" outlineLevel="1">
      <c r="A1554" s="273"/>
      <c r="B1554" s="38"/>
      <c r="C1554" s="174"/>
      <c r="D1554" s="174"/>
      <c r="E1554" s="174"/>
      <c r="F1554" s="174"/>
      <c r="G1554" s="174"/>
      <c r="H1554" s="174"/>
      <c r="I1554" s="174"/>
      <c r="J1554" s="174"/>
      <c r="K1554" s="174"/>
      <c r="L1554" s="174"/>
      <c r="M1554" s="174"/>
      <c r="N1554" s="174"/>
      <c r="O1554" s="174"/>
      <c r="P1554" s="174"/>
      <c r="Q1554" s="174"/>
      <c r="R1554" s="174"/>
      <c r="S1554" s="174"/>
      <c r="T1554" s="174"/>
      <c r="U1554" s="174"/>
      <c r="V1554" s="174"/>
      <c r="W1554" s="160"/>
      <c r="X1554" s="160"/>
      <c r="Y1554" s="160"/>
      <c r="Z1554" s="160"/>
      <c r="AA1554" s="160"/>
      <c r="AB1554" s="160"/>
      <c r="AC1554" s="160"/>
      <c r="AD1554" s="160"/>
      <c r="AE1554" s="160"/>
      <c r="AF1554" s="160"/>
      <c r="AG1554" s="160"/>
      <c r="AH1554" s="160"/>
      <c r="AI1554" s="160"/>
      <c r="AJ1554" s="179"/>
      <c r="AK1554" s="160"/>
      <c r="AL1554" s="177"/>
      <c r="AM1554" s="177"/>
      <c r="AN1554" s="177"/>
      <c r="AO1554" s="160"/>
      <c r="AP1554" s="160">
        <f>IF($AP$1354&gt;0,'Assumptions (Hydro)'!V10*Model!$AP$1354*AVERAGE('Assumptions (Hydro)'!$AL$2:$AN$2)/10^9,0)</f>
        <v>0</v>
      </c>
      <c r="AQ1554" s="160">
        <f>IF($AP$1354&gt;0,'Assumptions (Hydro)'!W10*Model!$AP$1354*AVERAGE('Assumptions (Hydro)'!$AL$2:$AN$2)/10^9,0)</f>
        <v>0</v>
      </c>
      <c r="AR1554" s="160">
        <f>IF($AP$1354&gt;0,'Assumptions (Hydro)'!X10*Model!$AP$1354*AVERAGE('Assumptions (Hydro)'!$AL$2:$AN$2)/10^9,0)</f>
        <v>0</v>
      </c>
      <c r="AS1554" s="160">
        <f>IF($AP$1354&gt;0,'Assumptions (Hydro)'!Y10*Model!$AP$1354*AVERAGE('Assumptions (Hydro)'!$AL$2:$AN$2)/10^9,0)</f>
        <v>0</v>
      </c>
      <c r="AT1554" s="160">
        <f>IF($AP$1354&gt;0,'Assumptions (Hydro)'!Z10*Model!$AP$1354*AVERAGE('Assumptions (Hydro)'!$AL$2:$AN$2)/10^9,0)</f>
        <v>0</v>
      </c>
      <c r="AU1554" s="160">
        <f>IF($AP$1354&gt;0,'Assumptions (Hydro)'!AA10*Model!$AP$1354*AVERAGE('Assumptions (Hydro)'!$AL$2:$AN$2)/10^9,0)</f>
        <v>0</v>
      </c>
      <c r="AV1554" s="160">
        <f>IF($AP$1354&gt;0,'Assumptions (Hydro)'!AB10*Model!$AP$1354*AVERAGE('Assumptions (Hydro)'!$AL$2:$AN$2)/10^9,0)</f>
        <v>0</v>
      </c>
      <c r="AW1554" s="160">
        <f>IF($AP$1354&gt;0,'Assumptions (Hydro)'!AC10*Model!$AP$1354*AVERAGE('Assumptions (Hydro)'!$AL$2:$AN$2)/10^9,0)</f>
        <v>0</v>
      </c>
      <c r="AX1554" s="160">
        <f>IF($AP$1354&gt;0,'Assumptions (Hydro)'!AD10*Model!$AP$1354*AVERAGE('Assumptions (Hydro)'!$AL$2:$AN$2)/10^9,0)</f>
        <v>0</v>
      </c>
      <c r="AY1554" s="160">
        <f>IF($AP$1354&gt;0,'Assumptions (Hydro)'!AE10*Model!$AP$1354*AVERAGE('Assumptions (Hydro)'!$AL$2:$AN$2)/10^9,0)</f>
        <v>0</v>
      </c>
      <c r="AZ1554" s="160">
        <f>IF($AP$1354&gt;0,'Assumptions (Hydro)'!AF10*Model!$AP$1354*AVERAGE('Assumptions (Hydro)'!$AL$2:$AN$2)/10^9,0)</f>
        <v>0</v>
      </c>
      <c r="BA1554" s="160">
        <f>IF($AP$1354&gt;0,'Assumptions (Hydro)'!AG10*Model!$AP$1354*AVERAGE('Assumptions (Hydro)'!$AL$2:$AN$2)/10^9,0)</f>
        <v>0</v>
      </c>
      <c r="BB1554" s="160">
        <f>IF($AP$1354&gt;0,'Assumptions (Hydro)'!AH10*Model!$AP$1354*AVERAGE('Assumptions (Hydro)'!$AL$2:$AN$2)/10^9,0)</f>
        <v>0</v>
      </c>
      <c r="BC1554" s="160">
        <f>IF($AP$1354&gt;0,'Assumptions (Hydro)'!AI10*Model!$AP$1354*AVERAGE('Assumptions (Hydro)'!$AL$2:$AN$2)/10^9,0)</f>
        <v>0</v>
      </c>
      <c r="BD1554" s="160">
        <f>IF($AP$1354&gt;0,'Assumptions (Hydro)'!AJ10*Model!$AP$1354*AVERAGE('Assumptions (Hydro)'!$AL$2:$AN$2)/10^9,0)</f>
        <v>0</v>
      </c>
      <c r="BE1554" s="160">
        <f>IF($AP$1354&gt;0,'Assumptions (Hydro)'!AK10*Model!$AP$1354*AVERAGE('Assumptions (Hydro)'!$AL$2:$AN$2)/10^9,0)</f>
        <v>0</v>
      </c>
      <c r="BF1554" s="160"/>
      <c r="BG1554" s="160"/>
      <c r="BH1554" s="160"/>
      <c r="BI1554" s="160"/>
      <c r="BJ1554" s="160"/>
      <c r="BK1554" s="160"/>
      <c r="BL1554" s="160"/>
      <c r="BM1554" s="160"/>
      <c r="BN1554" s="160"/>
    </row>
    <row r="1555" ht="15.75" hidden="1" customHeight="1" outlineLevel="1">
      <c r="A1555" s="273"/>
      <c r="B1555" s="38"/>
      <c r="C1555" s="174"/>
      <c r="D1555" s="174"/>
      <c r="E1555" s="174"/>
      <c r="F1555" s="174"/>
      <c r="G1555" s="174"/>
      <c r="H1555" s="174"/>
      <c r="I1555" s="174"/>
      <c r="J1555" s="174"/>
      <c r="K1555" s="174"/>
      <c r="L1555" s="174"/>
      <c r="M1555" s="174"/>
      <c r="N1555" s="174"/>
      <c r="O1555" s="174"/>
      <c r="P1555" s="174"/>
      <c r="Q1555" s="174"/>
      <c r="R1555" s="174"/>
      <c r="S1555" s="174"/>
      <c r="T1555" s="174"/>
      <c r="U1555" s="174"/>
      <c r="V1555" s="174"/>
      <c r="W1555" s="160"/>
      <c r="X1555" s="160"/>
      <c r="Y1555" s="160"/>
      <c r="Z1555" s="160"/>
      <c r="AA1555" s="160"/>
      <c r="AB1555" s="160"/>
      <c r="AC1555" s="160"/>
      <c r="AD1555" s="160"/>
      <c r="AE1555" s="160"/>
      <c r="AF1555" s="160"/>
      <c r="AG1555" s="160"/>
      <c r="AH1555" s="160"/>
      <c r="AI1555" s="160"/>
      <c r="AJ1555" s="179"/>
      <c r="AK1555" s="160"/>
      <c r="AL1555" s="177"/>
      <c r="AM1555" s="177"/>
      <c r="AN1555" s="177"/>
      <c r="AO1555" s="160"/>
      <c r="AP1555" s="160"/>
      <c r="AQ1555" s="160">
        <f>IF($AQ$1354&gt;0,'Assumptions (Hydro)'!V10*Model!$AQ$1354*AVERAGE('Assumptions (Hydro)'!$AM$2:$AO$2)/10^9,0)</f>
        <v>0</v>
      </c>
      <c r="AR1555" s="160">
        <f>IF($AQ$1354&gt;0,'Assumptions (Hydro)'!W10*Model!$AQ$1354*AVERAGE('Assumptions (Hydro)'!$AM$2:$AO$2)/10^9,0)</f>
        <v>0</v>
      </c>
      <c r="AS1555" s="160">
        <f>IF($AQ$1354&gt;0,'Assumptions (Hydro)'!X10*Model!$AQ$1354*AVERAGE('Assumptions (Hydro)'!$AM$2:$AO$2)/10^9,0)</f>
        <v>0</v>
      </c>
      <c r="AT1555" s="160">
        <f>IF($AQ$1354&gt;0,'Assumptions (Hydro)'!Y10*Model!$AQ$1354*AVERAGE('Assumptions (Hydro)'!$AM$2:$AO$2)/10^9,0)</f>
        <v>0</v>
      </c>
      <c r="AU1555" s="160">
        <f>IF($AQ$1354&gt;0,'Assumptions (Hydro)'!Z10*Model!$AQ$1354*AVERAGE('Assumptions (Hydro)'!$AM$2:$AO$2)/10^9,0)</f>
        <v>0</v>
      </c>
      <c r="AV1555" s="160">
        <f>IF($AQ$1354&gt;0,'Assumptions (Hydro)'!AA10*Model!$AQ$1354*AVERAGE('Assumptions (Hydro)'!$AM$2:$AO$2)/10^9,0)</f>
        <v>0</v>
      </c>
      <c r="AW1555" s="160">
        <f>IF($AQ$1354&gt;0,'Assumptions (Hydro)'!AB10*Model!$AQ$1354*AVERAGE('Assumptions (Hydro)'!$AM$2:$AO$2)/10^9,0)</f>
        <v>0</v>
      </c>
      <c r="AX1555" s="160">
        <f>IF($AQ$1354&gt;0,'Assumptions (Hydro)'!AC10*Model!$AQ$1354*AVERAGE('Assumptions (Hydro)'!$AM$2:$AO$2)/10^9,0)</f>
        <v>0</v>
      </c>
      <c r="AY1555" s="160">
        <f>IF($AQ$1354&gt;0,'Assumptions (Hydro)'!AD10*Model!$AQ$1354*AVERAGE('Assumptions (Hydro)'!$AM$2:$AO$2)/10^9,0)</f>
        <v>0</v>
      </c>
      <c r="AZ1555" s="160">
        <f>IF($AQ$1354&gt;0,'Assumptions (Hydro)'!AE10*Model!$AQ$1354*AVERAGE('Assumptions (Hydro)'!$AM$2:$AO$2)/10^9,0)</f>
        <v>0</v>
      </c>
      <c r="BA1555" s="160">
        <f>IF($AQ$1354&gt;0,'Assumptions (Hydro)'!AF10*Model!$AQ$1354*AVERAGE('Assumptions (Hydro)'!$AM$2:$AO$2)/10^9,0)</f>
        <v>0</v>
      </c>
      <c r="BB1555" s="160">
        <f>IF($AQ$1354&gt;0,'Assumptions (Hydro)'!AG10*Model!$AQ$1354*AVERAGE('Assumptions (Hydro)'!$AM$2:$AO$2)/10^9,0)</f>
        <v>0</v>
      </c>
      <c r="BC1555" s="160">
        <f>IF($AQ$1354&gt;0,'Assumptions (Hydro)'!AH10*Model!$AQ$1354*AVERAGE('Assumptions (Hydro)'!$AM$2:$AO$2)/10^9,0)</f>
        <v>0</v>
      </c>
      <c r="BD1555" s="160">
        <f>IF($AQ$1354&gt;0,'Assumptions (Hydro)'!AI10*Model!$AQ$1354*AVERAGE('Assumptions (Hydro)'!$AM$2:$AO$2)/10^9,0)</f>
        <v>0</v>
      </c>
      <c r="BE1555" s="160">
        <f>IF($AQ$1354&gt;0,'Assumptions (Hydro)'!AJ10*Model!$AQ$1354*AVERAGE('Assumptions (Hydro)'!$AM$2:$AO$2)/10^9,0)</f>
        <v>0</v>
      </c>
      <c r="BF1555" s="160">
        <f>IF($AQ$1354&gt;0,'Assumptions (Hydro)'!AK10*Model!$AQ$1354*AVERAGE('Assumptions (Hydro)'!$AM$2:$AO$2)/10^9,0)</f>
        <v>0</v>
      </c>
      <c r="BG1555" s="160"/>
      <c r="BH1555" s="160"/>
      <c r="BI1555" s="160"/>
      <c r="BJ1555" s="160"/>
      <c r="BK1555" s="160"/>
      <c r="BL1555" s="160"/>
      <c r="BM1555" s="160"/>
      <c r="BN1555" s="160"/>
      <c r="BO1555" s="160"/>
    </row>
    <row r="1556" ht="15.75" hidden="1" customHeight="1" outlineLevel="1">
      <c r="A1556" s="273"/>
      <c r="B1556" s="38"/>
      <c r="C1556" s="174"/>
      <c r="D1556" s="174"/>
      <c r="E1556" s="174"/>
      <c r="F1556" s="174"/>
      <c r="G1556" s="174"/>
      <c r="H1556" s="174"/>
      <c r="I1556" s="174"/>
      <c r="J1556" s="174"/>
      <c r="K1556" s="174"/>
      <c r="L1556" s="174"/>
      <c r="M1556" s="174"/>
      <c r="N1556" s="174"/>
      <c r="O1556" s="174"/>
      <c r="P1556" s="174"/>
      <c r="Q1556" s="174"/>
      <c r="R1556" s="174"/>
      <c r="S1556" s="174"/>
      <c r="T1556" s="174"/>
      <c r="U1556" s="174"/>
      <c r="V1556" s="174"/>
      <c r="W1556" s="160"/>
      <c r="X1556" s="160"/>
      <c r="Y1556" s="160"/>
      <c r="Z1556" s="160"/>
      <c r="AA1556" s="160"/>
      <c r="AB1556" s="160"/>
      <c r="AC1556" s="160"/>
      <c r="AD1556" s="160"/>
      <c r="AE1556" s="160"/>
      <c r="AF1556" s="160"/>
      <c r="AG1556" s="160"/>
      <c r="AH1556" s="160"/>
      <c r="AI1556" s="160"/>
      <c r="AJ1556" s="179"/>
      <c r="AK1556" s="160"/>
      <c r="AL1556" s="177"/>
      <c r="AM1556" s="177"/>
      <c r="AN1556" s="177"/>
      <c r="AO1556" s="160"/>
      <c r="AP1556" s="160"/>
      <c r="AQ1556" s="160"/>
      <c r="AR1556" s="160">
        <f>IF($AR$1354&gt;0,'Assumptions (Hydro)'!V10*Model!$AR$1354*AVERAGE('Assumptions (Hydro)'!$AN$2:$AP$2)/10^9,0)</f>
        <v>0</v>
      </c>
      <c r="AS1556" s="160">
        <f>IF($AR$1354&gt;0,'Assumptions (Hydro)'!W10*Model!$AR$1354*AVERAGE('Assumptions (Hydro)'!$AN$2:$AP$2)/10^9,0)</f>
        <v>0</v>
      </c>
      <c r="AT1556" s="160">
        <f>IF($AR$1354&gt;0,'Assumptions (Hydro)'!X10*Model!$AR$1354*AVERAGE('Assumptions (Hydro)'!$AN$2:$AP$2)/10^9,0)</f>
        <v>0</v>
      </c>
      <c r="AU1556" s="160">
        <f>IF($AR$1354&gt;0,'Assumptions (Hydro)'!Y10*Model!$AR$1354*AVERAGE('Assumptions (Hydro)'!$AN$2:$AP$2)/10^9,0)</f>
        <v>0</v>
      </c>
      <c r="AV1556" s="160">
        <f>IF($AR$1354&gt;0,'Assumptions (Hydro)'!Z10*Model!$AR$1354*AVERAGE('Assumptions (Hydro)'!$AN$2:$AP$2)/10^9,0)</f>
        <v>0</v>
      </c>
      <c r="AW1556" s="160">
        <f>IF($AR$1354&gt;0,'Assumptions (Hydro)'!AA10*Model!$AR$1354*AVERAGE('Assumptions (Hydro)'!$AN$2:$AP$2)/10^9,0)</f>
        <v>0</v>
      </c>
      <c r="AX1556" s="160">
        <f>IF($AR$1354&gt;0,'Assumptions (Hydro)'!AB10*Model!$AR$1354*AVERAGE('Assumptions (Hydro)'!$AN$2:$AP$2)/10^9,0)</f>
        <v>0</v>
      </c>
      <c r="AY1556" s="160">
        <f>IF($AR$1354&gt;0,'Assumptions (Hydro)'!AC10*Model!$AR$1354*AVERAGE('Assumptions (Hydro)'!$AN$2:$AP$2)/10^9,0)</f>
        <v>0</v>
      </c>
      <c r="AZ1556" s="160">
        <f>IF($AR$1354&gt;0,'Assumptions (Hydro)'!AD10*Model!$AR$1354*AVERAGE('Assumptions (Hydro)'!$AN$2:$AP$2)/10^9,0)</f>
        <v>0</v>
      </c>
      <c r="BA1556" s="160">
        <f>IF($AR$1354&gt;0,'Assumptions (Hydro)'!AE10*Model!$AR$1354*AVERAGE('Assumptions (Hydro)'!$AN$2:$AP$2)/10^9,0)</f>
        <v>0</v>
      </c>
      <c r="BB1556" s="160">
        <f>IF($AR$1354&gt;0,'Assumptions (Hydro)'!AF10*Model!$AR$1354*AVERAGE('Assumptions (Hydro)'!$AN$2:$AP$2)/10^9,0)</f>
        <v>0</v>
      </c>
      <c r="BC1556" s="160">
        <f>IF($AR$1354&gt;0,'Assumptions (Hydro)'!AG10*Model!$AR$1354*AVERAGE('Assumptions (Hydro)'!$AN$2:$AP$2)/10^9,0)</f>
        <v>0</v>
      </c>
      <c r="BD1556" s="160">
        <f>IF($AR$1354&gt;0,'Assumptions (Hydro)'!AH10*Model!$AR$1354*AVERAGE('Assumptions (Hydro)'!$AN$2:$AP$2)/10^9,0)</f>
        <v>0</v>
      </c>
      <c r="BE1556" s="160">
        <f>IF($AR$1354&gt;0,'Assumptions (Hydro)'!AI10*Model!$AR$1354*AVERAGE('Assumptions (Hydro)'!$AN$2:$AP$2)/10^9,0)</f>
        <v>0</v>
      </c>
      <c r="BF1556" s="160">
        <f>IF($AR$1354&gt;0,'Assumptions (Hydro)'!AJ10*Model!$AR$1354*AVERAGE('Assumptions (Hydro)'!$AN$2:$AP$2)/10^9,0)</f>
        <v>0</v>
      </c>
      <c r="BG1556" s="160">
        <f>IF($AR$1354&gt;0,'Assumptions (Hydro)'!AK10*Model!$AR$1354*AVERAGE('Assumptions (Hydro)'!$AN$2:$AP$2)/10^9,0)</f>
        <v>0</v>
      </c>
      <c r="BH1556" s="160"/>
      <c r="BI1556" s="160"/>
      <c r="BJ1556" s="160"/>
      <c r="BK1556" s="160"/>
      <c r="BL1556" s="160"/>
      <c r="BM1556" s="160"/>
      <c r="BN1556" s="160"/>
      <c r="BO1556" s="160"/>
      <c r="BP1556" s="160"/>
    </row>
    <row r="1557" ht="15.75" hidden="1" customHeight="1" outlineLevel="1">
      <c r="A1557" s="273"/>
      <c r="B1557" s="38"/>
      <c r="C1557" s="174"/>
      <c r="D1557" s="174"/>
      <c r="E1557" s="174"/>
      <c r="F1557" s="174"/>
      <c r="G1557" s="174"/>
      <c r="H1557" s="174"/>
      <c r="I1557" s="174"/>
      <c r="J1557" s="174"/>
      <c r="K1557" s="174"/>
      <c r="L1557" s="174"/>
      <c r="M1557" s="174"/>
      <c r="N1557" s="174"/>
      <c r="O1557" s="174"/>
      <c r="P1557" s="174"/>
      <c r="Q1557" s="174"/>
      <c r="R1557" s="174"/>
      <c r="S1557" s="174"/>
      <c r="T1557" s="174"/>
      <c r="U1557" s="174"/>
      <c r="V1557" s="174"/>
      <c r="W1557" s="160"/>
      <c r="X1557" s="160"/>
      <c r="Y1557" s="160"/>
      <c r="Z1557" s="160"/>
      <c r="AA1557" s="160"/>
      <c r="AB1557" s="160"/>
      <c r="AC1557" s="160"/>
      <c r="AD1557" s="160"/>
      <c r="AE1557" s="160"/>
      <c r="AF1557" s="160"/>
      <c r="AG1557" s="160"/>
      <c r="AH1557" s="160"/>
      <c r="AI1557" s="160"/>
      <c r="AJ1557" s="179"/>
      <c r="AK1557" s="160"/>
      <c r="AL1557" s="177"/>
      <c r="AM1557" s="177"/>
      <c r="AN1557" s="177"/>
      <c r="AO1557" s="160"/>
      <c r="AP1557" s="160"/>
      <c r="AQ1557" s="160"/>
      <c r="AR1557" s="160"/>
      <c r="AS1557" s="160">
        <f>IF($AS$1354&gt;0,'Assumptions (Hydro)'!V10*Model!$AS$1354*AVERAGE('Assumptions (Hydro)'!$AO$2:$AQ$2)/10^9,0)</f>
        <v>0</v>
      </c>
      <c r="AT1557" s="160">
        <f>IF($AS$1354&gt;0,'Assumptions (Hydro)'!W10*Model!$AS$1354*AVERAGE('Assumptions (Hydro)'!$AO$2:$AQ$2)/10^9,0)</f>
        <v>0</v>
      </c>
      <c r="AU1557" s="160">
        <f>IF($AS$1354&gt;0,'Assumptions (Hydro)'!X10*Model!$AS$1354*AVERAGE('Assumptions (Hydro)'!$AO$2:$AQ$2)/10^9,0)</f>
        <v>0</v>
      </c>
      <c r="AV1557" s="160">
        <f>IF($AS$1354&gt;0,'Assumptions (Hydro)'!Y10*Model!$AS$1354*AVERAGE('Assumptions (Hydro)'!$AO$2:$AQ$2)/10^9,0)</f>
        <v>0</v>
      </c>
      <c r="AW1557" s="160">
        <f>IF($AS$1354&gt;0,'Assumptions (Hydro)'!Z10*Model!$AS$1354*AVERAGE('Assumptions (Hydro)'!$AO$2:$AQ$2)/10^9,0)</f>
        <v>0</v>
      </c>
      <c r="AX1557" s="160">
        <f>IF($AS$1354&gt;0,'Assumptions (Hydro)'!AA10*Model!$AS$1354*AVERAGE('Assumptions (Hydro)'!$AO$2:$AQ$2)/10^9,0)</f>
        <v>0</v>
      </c>
      <c r="AY1557" s="160">
        <f>IF($AS$1354&gt;0,'Assumptions (Hydro)'!AB10*Model!$AS$1354*AVERAGE('Assumptions (Hydro)'!$AO$2:$AQ$2)/10^9,0)</f>
        <v>0</v>
      </c>
      <c r="AZ1557" s="160">
        <f>IF($AS$1354&gt;0,'Assumptions (Hydro)'!AC10*Model!$AS$1354*AVERAGE('Assumptions (Hydro)'!$AO$2:$AQ$2)/10^9,0)</f>
        <v>0</v>
      </c>
      <c r="BA1557" s="160">
        <f>IF($AS$1354&gt;0,'Assumptions (Hydro)'!AD10*Model!$AS$1354*AVERAGE('Assumptions (Hydro)'!$AO$2:$AQ$2)/10^9,0)</f>
        <v>0</v>
      </c>
      <c r="BB1557" s="160">
        <f>IF($AS$1354&gt;0,'Assumptions (Hydro)'!AE10*Model!$AS$1354*AVERAGE('Assumptions (Hydro)'!$AO$2:$AQ$2)/10^9,0)</f>
        <v>0</v>
      </c>
      <c r="BC1557" s="160">
        <f>IF($AS$1354&gt;0,'Assumptions (Hydro)'!AF10*Model!$AS$1354*AVERAGE('Assumptions (Hydro)'!$AO$2:$AQ$2)/10^9,0)</f>
        <v>0</v>
      </c>
      <c r="BD1557" s="160">
        <f>IF($AS$1354&gt;0,'Assumptions (Hydro)'!AG10*Model!$AS$1354*AVERAGE('Assumptions (Hydro)'!$AO$2:$AQ$2)/10^9,0)</f>
        <v>0</v>
      </c>
      <c r="BE1557" s="160">
        <f>IF($AS$1354&gt;0,'Assumptions (Hydro)'!AH10*Model!$AS$1354*AVERAGE('Assumptions (Hydro)'!$AO$2:$AQ$2)/10^9,0)</f>
        <v>0</v>
      </c>
      <c r="BF1557" s="160">
        <f>IF($AS$1354&gt;0,'Assumptions (Hydro)'!AI10*Model!$AS$1354*AVERAGE('Assumptions (Hydro)'!$AO$2:$AQ$2)/10^9,0)</f>
        <v>0</v>
      </c>
      <c r="BG1557" s="160">
        <f>IF($AS$1354&gt;0,'Assumptions (Hydro)'!AJ10*Model!$AS$1354*AVERAGE('Assumptions (Hydro)'!$AO$2:$AQ$2)/10^9,0)</f>
        <v>0</v>
      </c>
      <c r="BH1557" s="160">
        <f>IF($AS$1354&gt;0,'Assumptions (Hydro)'!AK10*Model!$AS$1354*AVERAGE('Assumptions (Hydro)'!$AO$2:$AQ$2)/10^9,0)</f>
        <v>0</v>
      </c>
      <c r="BI1557" s="160"/>
      <c r="BJ1557" s="160"/>
      <c r="BK1557" s="160"/>
      <c r="BL1557" s="160"/>
      <c r="BM1557" s="160"/>
      <c r="BN1557" s="160"/>
      <c r="BO1557" s="160"/>
      <c r="BP1557" s="160"/>
      <c r="BQ1557" s="160"/>
      <c r="BR1557" s="160"/>
    </row>
    <row r="1558" ht="15.75" hidden="1" customHeight="1" outlineLevel="1">
      <c r="A1558" s="273"/>
      <c r="B1558" s="38"/>
      <c r="C1558" s="174"/>
      <c r="D1558" s="174"/>
      <c r="E1558" s="174"/>
      <c r="F1558" s="174"/>
      <c r="G1558" s="174"/>
      <c r="H1558" s="174"/>
      <c r="I1558" s="174"/>
      <c r="J1558" s="174"/>
      <c r="K1558" s="174"/>
      <c r="L1558" s="174"/>
      <c r="M1558" s="174"/>
      <c r="N1558" s="174"/>
      <c r="O1558" s="174"/>
      <c r="P1558" s="174"/>
      <c r="Q1558" s="174"/>
      <c r="R1558" s="174"/>
      <c r="S1558" s="174"/>
      <c r="T1558" s="174"/>
      <c r="U1558" s="174"/>
      <c r="V1558" s="174"/>
      <c r="W1558" s="160"/>
      <c r="X1558" s="160"/>
      <c r="Y1558" s="160"/>
      <c r="Z1558" s="160"/>
      <c r="AA1558" s="160"/>
      <c r="AB1558" s="160"/>
      <c r="AC1558" s="160"/>
      <c r="AD1558" s="160"/>
      <c r="AE1558" s="160"/>
      <c r="AF1558" s="160"/>
      <c r="AG1558" s="160"/>
      <c r="AH1558" s="160"/>
      <c r="AI1558" s="160"/>
      <c r="AJ1558" s="179"/>
      <c r="AK1558" s="160"/>
      <c r="AL1558" s="177"/>
      <c r="AM1558" s="177"/>
      <c r="AN1558" s="177"/>
      <c r="AO1558" s="160"/>
      <c r="AP1558" s="160"/>
      <c r="AQ1558" s="160"/>
      <c r="AR1558" s="160"/>
      <c r="AS1558" s="160"/>
      <c r="AT1558" s="160">
        <f>IF($AT$1354&gt;0,'Assumptions (Hydro)'!V10*Model!$AT$1354*AVERAGE('Assumptions (Hydro)'!$AP$2:$AR$2)/10^9,0)</f>
        <v>0</v>
      </c>
      <c r="AU1558" s="160">
        <f>IF($AT$1354&gt;0,'Assumptions (Hydro)'!W10*Model!$AT$1354*AVERAGE('Assumptions (Hydro)'!$AP$2:$AR$2)/10^9,0)</f>
        <v>0</v>
      </c>
      <c r="AV1558" s="160">
        <f>IF($AT$1354&gt;0,'Assumptions (Hydro)'!X10*Model!$AT$1354*AVERAGE('Assumptions (Hydro)'!$AP$2:$AR$2)/10^9,0)</f>
        <v>0</v>
      </c>
      <c r="AW1558" s="160">
        <f>IF($AT$1354&gt;0,'Assumptions (Hydro)'!Y10*Model!$AT$1354*AVERAGE('Assumptions (Hydro)'!$AP$2:$AR$2)/10^9,0)</f>
        <v>0</v>
      </c>
      <c r="AX1558" s="160">
        <f>IF($AT$1354&gt;0,'Assumptions (Hydro)'!Z10*Model!$AT$1354*AVERAGE('Assumptions (Hydro)'!$AP$2:$AR$2)/10^9,0)</f>
        <v>0</v>
      </c>
      <c r="AY1558" s="160">
        <f>IF($AT$1354&gt;0,'Assumptions (Hydro)'!AA10*Model!$AT$1354*AVERAGE('Assumptions (Hydro)'!$AP$2:$AR$2)/10^9,0)</f>
        <v>0</v>
      </c>
      <c r="AZ1558" s="160">
        <f>IF($AT$1354&gt;0,'Assumptions (Hydro)'!AB10*Model!$AT$1354*AVERAGE('Assumptions (Hydro)'!$AP$2:$AR$2)/10^9,0)</f>
        <v>0</v>
      </c>
      <c r="BA1558" s="160">
        <f>IF($AT$1354&gt;0,'Assumptions (Hydro)'!AC10*Model!$AT$1354*AVERAGE('Assumptions (Hydro)'!$AP$2:$AR$2)/10^9,0)</f>
        <v>0</v>
      </c>
      <c r="BB1558" s="160">
        <f>IF($AT$1354&gt;0,'Assumptions (Hydro)'!AD10*Model!$AT$1354*AVERAGE('Assumptions (Hydro)'!$AP$2:$AR$2)/10^9,0)</f>
        <v>0</v>
      </c>
      <c r="BC1558" s="160">
        <f>IF($AT$1354&gt;0,'Assumptions (Hydro)'!AE10*Model!$AT$1354*AVERAGE('Assumptions (Hydro)'!$AP$2:$AR$2)/10^9,0)</f>
        <v>0</v>
      </c>
      <c r="BD1558" s="160">
        <f>IF($AT$1354&gt;0,'Assumptions (Hydro)'!AF10*Model!$AT$1354*AVERAGE('Assumptions (Hydro)'!$AP$2:$AR$2)/10^9,0)</f>
        <v>0</v>
      </c>
      <c r="BE1558" s="160">
        <f>IF($AT$1354&gt;0,'Assumptions (Hydro)'!AG10*Model!$AT$1354*AVERAGE('Assumptions (Hydro)'!$AP$2:$AR$2)/10^9,0)</f>
        <v>0</v>
      </c>
      <c r="BF1558" s="160">
        <f>IF($AT$1354&gt;0,'Assumptions (Hydro)'!AH10*Model!$AT$1354*AVERAGE('Assumptions (Hydro)'!$AP$2:$AR$2)/10^9,0)</f>
        <v>0</v>
      </c>
      <c r="BG1558" s="160">
        <f>IF($AT$1354&gt;0,'Assumptions (Hydro)'!AI10*Model!$AT$1354*AVERAGE('Assumptions (Hydro)'!$AP$2:$AR$2)/10^9,0)</f>
        <v>0</v>
      </c>
      <c r="BH1558" s="160">
        <f>IF($AT$1354&gt;0,'Assumptions (Hydro)'!AJ10*Model!$AT$1354*AVERAGE('Assumptions (Hydro)'!$AP$2:$AR$2)/10^9,0)</f>
        <v>0</v>
      </c>
      <c r="BI1558" s="160">
        <f>IF($AT$1354&gt;0,'Assumptions (Hydro)'!AK10*Model!$AT$1354*AVERAGE('Assumptions (Hydro)'!$AP$2:$AR$2)/10^9,0)</f>
        <v>0</v>
      </c>
      <c r="BJ1558" s="160"/>
      <c r="BK1558" s="160"/>
      <c r="BL1558" s="160"/>
      <c r="BM1558" s="160"/>
      <c r="BN1558" s="160"/>
      <c r="BO1558" s="160"/>
      <c r="BP1558" s="160"/>
      <c r="BQ1558" s="160"/>
      <c r="BR1558" s="160"/>
    </row>
    <row r="1559" ht="15.75" hidden="1" customHeight="1" outlineLevel="1">
      <c r="A1559" s="273"/>
      <c r="B1559" s="38"/>
      <c r="C1559" s="174"/>
      <c r="D1559" s="174"/>
      <c r="E1559" s="174"/>
      <c r="F1559" s="174"/>
      <c r="G1559" s="174"/>
      <c r="H1559" s="174"/>
      <c r="I1559" s="174"/>
      <c r="J1559" s="174"/>
      <c r="K1559" s="174"/>
      <c r="L1559" s="174"/>
      <c r="M1559" s="174"/>
      <c r="N1559" s="174"/>
      <c r="O1559" s="174"/>
      <c r="P1559" s="174"/>
      <c r="Q1559" s="174"/>
      <c r="R1559" s="174"/>
      <c r="S1559" s="174"/>
      <c r="T1559" s="174"/>
      <c r="U1559" s="174"/>
      <c r="V1559" s="174"/>
      <c r="W1559" s="160"/>
      <c r="X1559" s="160"/>
      <c r="Y1559" s="160"/>
      <c r="Z1559" s="160"/>
      <c r="AA1559" s="160"/>
      <c r="AB1559" s="160"/>
      <c r="AC1559" s="160"/>
      <c r="AD1559" s="160"/>
      <c r="AE1559" s="160"/>
      <c r="AF1559" s="160"/>
      <c r="AG1559" s="160"/>
      <c r="AH1559" s="160"/>
      <c r="AI1559" s="160"/>
      <c r="AJ1559" s="179"/>
      <c r="AK1559" s="160"/>
      <c r="AL1559" s="177"/>
      <c r="AM1559" s="177"/>
      <c r="AN1559" s="177"/>
      <c r="AO1559" s="160"/>
      <c r="AP1559" s="160"/>
      <c r="AQ1559" s="160"/>
      <c r="AR1559" s="160"/>
      <c r="AS1559" s="160"/>
      <c r="AT1559" s="160"/>
      <c r="AU1559" s="160">
        <f>IF($AU$1354&gt;0,'Assumptions (Hydro)'!V10*Model!$AU$1354*AVERAGE('Assumptions (Hydro)'!$AQ$2:$AS$2)/10^9,0)</f>
        <v>0</v>
      </c>
      <c r="AV1559" s="160">
        <f>IF($AU$1354&gt;0,'Assumptions (Hydro)'!W10*Model!$AU$1354*AVERAGE('Assumptions (Hydro)'!$AQ$2:$AS$2)/10^9,0)</f>
        <v>0</v>
      </c>
      <c r="AW1559" s="160">
        <f>IF($AU$1354&gt;0,'Assumptions (Hydro)'!X10*Model!$AU$1354*AVERAGE('Assumptions (Hydro)'!$AQ$2:$AS$2)/10^9,0)</f>
        <v>0</v>
      </c>
      <c r="AX1559" s="160">
        <f>IF($AU$1354&gt;0,'Assumptions (Hydro)'!Y10*Model!$AU$1354*AVERAGE('Assumptions (Hydro)'!$AQ$2:$AS$2)/10^9,0)</f>
        <v>0</v>
      </c>
      <c r="AY1559" s="160">
        <f>IF($AU$1354&gt;0,'Assumptions (Hydro)'!Z10*Model!$AU$1354*AVERAGE('Assumptions (Hydro)'!$AQ$2:$AS$2)/10^9,0)</f>
        <v>0</v>
      </c>
      <c r="AZ1559" s="160">
        <f>IF($AU$1354&gt;0,'Assumptions (Hydro)'!AA10*Model!$AU$1354*AVERAGE('Assumptions (Hydro)'!$AQ$2:$AS$2)/10^9,0)</f>
        <v>0</v>
      </c>
      <c r="BA1559" s="160">
        <f>IF($AU$1354&gt;0,'Assumptions (Hydro)'!AB10*Model!$AU$1354*AVERAGE('Assumptions (Hydro)'!$AQ$2:$AS$2)/10^9,0)</f>
        <v>0</v>
      </c>
      <c r="BB1559" s="160">
        <f>IF($AU$1354&gt;0,'Assumptions (Hydro)'!AC10*Model!$AU$1354*AVERAGE('Assumptions (Hydro)'!$AQ$2:$AS$2)/10^9,0)</f>
        <v>0</v>
      </c>
      <c r="BC1559" s="160">
        <f>IF($AU$1354&gt;0,'Assumptions (Hydro)'!AD10*Model!$AU$1354*AVERAGE('Assumptions (Hydro)'!$AQ$2:$AS$2)/10^9,0)</f>
        <v>0</v>
      </c>
      <c r="BD1559" s="160">
        <f>IF($AU$1354&gt;0,'Assumptions (Hydro)'!AE10*Model!$AU$1354*AVERAGE('Assumptions (Hydro)'!$AQ$2:$AS$2)/10^9,0)</f>
        <v>0</v>
      </c>
      <c r="BE1559" s="160">
        <f>IF($AU$1354&gt;0,'Assumptions (Hydro)'!AF10*Model!$AU$1354*AVERAGE('Assumptions (Hydro)'!$AQ$2:$AS$2)/10^9,0)</f>
        <v>0</v>
      </c>
      <c r="BF1559" s="160">
        <f>IF($AU$1354&gt;0,'Assumptions (Hydro)'!AG10*Model!$AU$1354*AVERAGE('Assumptions (Hydro)'!$AQ$2:$AS$2)/10^9,0)</f>
        <v>0</v>
      </c>
      <c r="BG1559" s="160">
        <f>IF($AU$1354&gt;0,'Assumptions (Hydro)'!AH10*Model!$AU$1354*AVERAGE('Assumptions (Hydro)'!$AQ$2:$AS$2)/10^9,0)</f>
        <v>0</v>
      </c>
      <c r="BH1559" s="160">
        <f>IF($AU$1354&gt;0,'Assumptions (Hydro)'!AI10*Model!$AU$1354*AVERAGE('Assumptions (Hydro)'!$AQ$2:$AS$2)/10^9,0)</f>
        <v>0</v>
      </c>
      <c r="BI1559" s="160">
        <f>IF($AU$1354&gt;0,'Assumptions (Hydro)'!AJ10*Model!$AU$1354*AVERAGE('Assumptions (Hydro)'!$AQ$2:$AS$2)/10^9,0)</f>
        <v>0</v>
      </c>
      <c r="BJ1559" s="160">
        <f>IF($AU$1354&gt;0,'Assumptions (Hydro)'!AK10*Model!$AU$1354*AVERAGE('Assumptions (Hydro)'!$AQ$2:$AS$2)/10^9,0)</f>
        <v>0</v>
      </c>
      <c r="BK1559" s="160"/>
      <c r="BL1559" s="160"/>
      <c r="BM1559" s="160"/>
      <c r="BN1559" s="160"/>
      <c r="BO1559" s="160"/>
      <c r="BP1559" s="160"/>
      <c r="BQ1559" s="160"/>
      <c r="BR1559" s="160"/>
      <c r="BS1559" s="160"/>
    </row>
    <row r="1560" ht="15.75" hidden="1" customHeight="1" outlineLevel="1">
      <c r="A1560" s="273"/>
      <c r="B1560" s="38"/>
      <c r="C1560" s="174"/>
      <c r="D1560" s="174"/>
      <c r="E1560" s="174"/>
      <c r="F1560" s="174"/>
      <c r="G1560" s="174"/>
      <c r="H1560" s="174"/>
      <c r="I1560" s="174"/>
      <c r="J1560" s="174"/>
      <c r="K1560" s="174"/>
      <c r="L1560" s="174"/>
      <c r="M1560" s="174"/>
      <c r="N1560" s="174"/>
      <c r="O1560" s="174"/>
      <c r="P1560" s="174"/>
      <c r="Q1560" s="174"/>
      <c r="R1560" s="174"/>
      <c r="S1560" s="174"/>
      <c r="T1560" s="174"/>
      <c r="U1560" s="174"/>
      <c r="V1560" s="174"/>
      <c r="W1560" s="160"/>
      <c r="X1560" s="160"/>
      <c r="Y1560" s="160"/>
      <c r="Z1560" s="160"/>
      <c r="AA1560" s="160"/>
      <c r="AB1560" s="160"/>
      <c r="AC1560" s="160"/>
      <c r="AD1560" s="160"/>
      <c r="AE1560" s="160"/>
      <c r="AF1560" s="160"/>
      <c r="AG1560" s="160"/>
      <c r="AH1560" s="160"/>
      <c r="AI1560" s="160"/>
      <c r="AJ1560" s="179"/>
      <c r="AK1560" s="160"/>
      <c r="AL1560" s="177"/>
      <c r="AM1560" s="177"/>
      <c r="AN1560" s="177"/>
      <c r="AO1560" s="160"/>
      <c r="AP1560" s="160"/>
      <c r="AQ1560" s="160"/>
      <c r="AR1560" s="160"/>
      <c r="AS1560" s="160"/>
      <c r="AT1560" s="160"/>
      <c r="AU1560" s="160"/>
      <c r="AV1560" s="160">
        <f>IF($AV$1354&gt;0,'Assumptions (Hydro)'!V10*Model!$AV$1354*AVERAGE('Assumptions (Hydro)'!$AR$2:$AT$2)/10^9,0)</f>
        <v>0</v>
      </c>
      <c r="AW1560" s="160">
        <f>IF($AV$1354&gt;0,'Assumptions (Hydro)'!W10*Model!$AV$1354*AVERAGE('Assumptions (Hydro)'!$AR$2:$AT$2)/10^9,0)</f>
        <v>0</v>
      </c>
      <c r="AX1560" s="160">
        <f>IF($AV$1354&gt;0,'Assumptions (Hydro)'!X10*Model!$AV$1354*AVERAGE('Assumptions (Hydro)'!$AR$2:$AT$2)/10^9,0)</f>
        <v>0</v>
      </c>
      <c r="AY1560" s="160">
        <f>IF($AV$1354&gt;0,'Assumptions (Hydro)'!Y10*Model!$AV$1354*AVERAGE('Assumptions (Hydro)'!$AR$2:$AT$2)/10^9,0)</f>
        <v>0</v>
      </c>
      <c r="AZ1560" s="160">
        <f>IF($AV$1354&gt;0,'Assumptions (Hydro)'!Z10*Model!$AV$1354*AVERAGE('Assumptions (Hydro)'!$AR$2:$AT$2)/10^9,0)</f>
        <v>0</v>
      </c>
      <c r="BA1560" s="160">
        <f>IF($AV$1354&gt;0,'Assumptions (Hydro)'!AA10*Model!$AV$1354*AVERAGE('Assumptions (Hydro)'!$AR$2:$AT$2)/10^9,0)</f>
        <v>0</v>
      </c>
      <c r="BB1560" s="160">
        <f>IF($AV$1354&gt;0,'Assumptions (Hydro)'!AB10*Model!$AV$1354*AVERAGE('Assumptions (Hydro)'!$AR$2:$AT$2)/10^9,0)</f>
        <v>0</v>
      </c>
      <c r="BC1560" s="160">
        <f>IF($AV$1354&gt;0,'Assumptions (Hydro)'!AC10*Model!$AV$1354*AVERAGE('Assumptions (Hydro)'!$AR$2:$AT$2)/10^9,0)</f>
        <v>0</v>
      </c>
      <c r="BD1560" s="160">
        <f>IF($AV$1354&gt;0,'Assumptions (Hydro)'!AD10*Model!$AV$1354*AVERAGE('Assumptions (Hydro)'!$AR$2:$AT$2)/10^9,0)</f>
        <v>0</v>
      </c>
      <c r="BE1560" s="160">
        <f>IF($AV$1354&gt;0,'Assumptions (Hydro)'!AE10*Model!$AV$1354*AVERAGE('Assumptions (Hydro)'!$AR$2:$AT$2)/10^9,0)</f>
        <v>0</v>
      </c>
      <c r="BF1560" s="160">
        <f>IF($AV$1354&gt;0,'Assumptions (Hydro)'!AF10*Model!$AV$1354*AVERAGE('Assumptions (Hydro)'!$AR$2:$AT$2)/10^9,0)</f>
        <v>0</v>
      </c>
      <c r="BG1560" s="160">
        <f>IF($AV$1354&gt;0,'Assumptions (Hydro)'!AG10*Model!$AV$1354*AVERAGE('Assumptions (Hydro)'!$AR$2:$AT$2)/10^9,0)</f>
        <v>0</v>
      </c>
      <c r="BH1560" s="160">
        <f>IF($AV$1354&gt;0,'Assumptions (Hydro)'!AH10*Model!$AV$1354*AVERAGE('Assumptions (Hydro)'!$AR$2:$AT$2)/10^9,0)</f>
        <v>0</v>
      </c>
      <c r="BI1560" s="160">
        <f>IF($AV$1354&gt;0,'Assumptions (Hydro)'!AI10*Model!$AV$1354*AVERAGE('Assumptions (Hydro)'!$AR$2:$AT$2)/10^9,0)</f>
        <v>0</v>
      </c>
      <c r="BJ1560" s="160">
        <f>IF($AV$1354&gt;0,'Assumptions (Hydro)'!AJ10*Model!$AV$1354*AVERAGE('Assumptions (Hydro)'!$AR$2:$AT$2)/10^9,0)</f>
        <v>0</v>
      </c>
      <c r="BK1560" s="160">
        <f>IF($AV$1354&gt;0,'Assumptions (Hydro)'!AK10*Model!$AV$1354*AVERAGE('Assumptions (Hydro)'!$AR$2:$AT$2)/10^9,0)</f>
        <v>0</v>
      </c>
      <c r="BL1560" s="160"/>
      <c r="BM1560" s="160"/>
      <c r="BN1560" s="160"/>
      <c r="BO1560" s="160"/>
      <c r="BP1560" s="160"/>
      <c r="BQ1560" s="160"/>
      <c r="BR1560" s="160"/>
      <c r="BS1560" s="160"/>
      <c r="BT1560" s="160"/>
    </row>
    <row r="1561" ht="15.75" hidden="1" customHeight="1" outlineLevel="1">
      <c r="A1561" s="273"/>
      <c r="B1561" s="38"/>
      <c r="C1561" s="174"/>
      <c r="D1561" s="174"/>
      <c r="E1561" s="174"/>
      <c r="F1561" s="174"/>
      <c r="G1561" s="174"/>
      <c r="H1561" s="174"/>
      <c r="I1561" s="174"/>
      <c r="J1561" s="174"/>
      <c r="K1561" s="174"/>
      <c r="L1561" s="174"/>
      <c r="M1561" s="174"/>
      <c r="N1561" s="174"/>
      <c r="O1561" s="174"/>
      <c r="P1561" s="174"/>
      <c r="Q1561" s="174"/>
      <c r="R1561" s="174"/>
      <c r="S1561" s="174"/>
      <c r="T1561" s="174"/>
      <c r="U1561" s="174"/>
      <c r="V1561" s="174"/>
      <c r="W1561" s="160"/>
      <c r="X1561" s="160"/>
      <c r="Y1561" s="160"/>
      <c r="Z1561" s="160"/>
      <c r="AA1561" s="160"/>
      <c r="AB1561" s="160"/>
      <c r="AC1561" s="160"/>
      <c r="AD1561" s="160"/>
      <c r="AE1561" s="160"/>
      <c r="AF1561" s="160"/>
      <c r="AG1561" s="160"/>
      <c r="AH1561" s="160"/>
      <c r="AI1561" s="160"/>
      <c r="AJ1561" s="179"/>
      <c r="AK1561" s="160"/>
      <c r="AL1561" s="177"/>
      <c r="AM1561" s="177"/>
      <c r="AN1561" s="177"/>
      <c r="AO1561" s="160"/>
      <c r="AP1561" s="160"/>
      <c r="AQ1561" s="160"/>
      <c r="AR1561" s="160"/>
      <c r="AS1561" s="160"/>
      <c r="AT1561" s="160"/>
      <c r="AU1561" s="160"/>
      <c r="AV1561" s="160"/>
      <c r="AW1561" s="160">
        <f>IF($AW$1354&gt;0,'Assumptions (Hydro)'!V10*Model!$AW$1354*AVERAGE('Assumptions (Hydro)'!$AS$2:$AU$2)/10^9,0)</f>
        <v>0</v>
      </c>
      <c r="AX1561" s="160">
        <f>IF($AW$1354&gt;0,'Assumptions (Hydro)'!W10*Model!$AW$1354*AVERAGE('Assumptions (Hydro)'!$AS$2:$AU$2)/10^9,0)</f>
        <v>0</v>
      </c>
      <c r="AY1561" s="160">
        <f>IF($AW$1354&gt;0,'Assumptions (Hydro)'!X10*Model!$AW$1354*AVERAGE('Assumptions (Hydro)'!$AS$2:$AU$2)/10^9,0)</f>
        <v>0</v>
      </c>
      <c r="AZ1561" s="160">
        <f>IF($AW$1354&gt;0,'Assumptions (Hydro)'!Y10*Model!$AW$1354*AVERAGE('Assumptions (Hydro)'!$AS$2:$AU$2)/10^9,0)</f>
        <v>0</v>
      </c>
      <c r="BA1561" s="160">
        <f>IF($AW$1354&gt;0,'Assumptions (Hydro)'!Z10*Model!$AW$1354*AVERAGE('Assumptions (Hydro)'!$AS$2:$AU$2)/10^9,0)</f>
        <v>0</v>
      </c>
      <c r="BB1561" s="160">
        <f>IF($AW$1354&gt;0,'Assumptions (Hydro)'!AA10*Model!$AW$1354*AVERAGE('Assumptions (Hydro)'!$AS$2:$AU$2)/10^9,0)</f>
        <v>0</v>
      </c>
      <c r="BC1561" s="160">
        <f>IF($AW$1354&gt;0,'Assumptions (Hydro)'!AB10*Model!$AW$1354*AVERAGE('Assumptions (Hydro)'!$AS$2:$AU$2)/10^9,0)</f>
        <v>0</v>
      </c>
      <c r="BD1561" s="160">
        <f>IF($AW$1354&gt;0,'Assumptions (Hydro)'!AC10*Model!$AW$1354*AVERAGE('Assumptions (Hydro)'!$AS$2:$AU$2)/10^9,0)</f>
        <v>0</v>
      </c>
      <c r="BE1561" s="160">
        <f>IF($AW$1354&gt;0,'Assumptions (Hydro)'!AD10*Model!$AW$1354*AVERAGE('Assumptions (Hydro)'!$AS$2:$AU$2)/10^9,0)</f>
        <v>0</v>
      </c>
      <c r="BF1561" s="160">
        <f>IF($AW$1354&gt;0,'Assumptions (Hydro)'!AE10*Model!$AW$1354*AVERAGE('Assumptions (Hydro)'!$AS$2:$AU$2)/10^9,0)</f>
        <v>0</v>
      </c>
      <c r="BG1561" s="160">
        <f>IF($AW$1354&gt;0,'Assumptions (Hydro)'!AF10*Model!$AW$1354*AVERAGE('Assumptions (Hydro)'!$AS$2:$AU$2)/10^9,0)</f>
        <v>0</v>
      </c>
      <c r="BH1561" s="160">
        <f>IF($AW$1354&gt;0,'Assumptions (Hydro)'!AG10*Model!$AW$1354*AVERAGE('Assumptions (Hydro)'!$AS$2:$AU$2)/10^9,0)</f>
        <v>0</v>
      </c>
      <c r="BI1561" s="160">
        <f>IF($AW$1354&gt;0,'Assumptions (Hydro)'!AH10*Model!$AW$1354*AVERAGE('Assumptions (Hydro)'!$AS$2:$AU$2)/10^9,0)</f>
        <v>0</v>
      </c>
      <c r="BJ1561" s="160">
        <f>IF($AW$1354&gt;0,'Assumptions (Hydro)'!AI10*Model!$AW$1354*AVERAGE('Assumptions (Hydro)'!$AS$2:$AU$2)/10^9,0)</f>
        <v>0</v>
      </c>
      <c r="BK1561" s="160">
        <f>IF($AW$1354&gt;0,'Assumptions (Hydro)'!AJ10*Model!$AW$1354*AVERAGE('Assumptions (Hydro)'!$AS$2:$AU$2)/10^9,0)</f>
        <v>0</v>
      </c>
      <c r="BL1561" s="160">
        <f>IF($AW$1354&gt;0,'Assumptions (Hydro)'!AK10*Model!$AW$1354*AVERAGE('Assumptions (Hydro)'!$AS$2:$AU$2)/10^9,0)</f>
        <v>0</v>
      </c>
      <c r="BM1561" s="160"/>
      <c r="BN1561" s="160"/>
      <c r="BO1561" s="160"/>
      <c r="BP1561" s="160"/>
      <c r="BQ1561" s="160"/>
      <c r="BR1561" s="160"/>
      <c r="BS1561" s="160"/>
      <c r="BT1561" s="160"/>
      <c r="BU1561" s="160"/>
    </row>
    <row r="1562" ht="15.75" hidden="1" customHeight="1" outlineLevel="1">
      <c r="A1562" s="273"/>
      <c r="B1562" s="38"/>
      <c r="C1562" s="174"/>
      <c r="D1562" s="174"/>
      <c r="E1562" s="174"/>
      <c r="F1562" s="174"/>
      <c r="G1562" s="174"/>
      <c r="H1562" s="174"/>
      <c r="I1562" s="174"/>
      <c r="J1562" s="174"/>
      <c r="K1562" s="174"/>
      <c r="L1562" s="174"/>
      <c r="M1562" s="174"/>
      <c r="N1562" s="174"/>
      <c r="O1562" s="174"/>
      <c r="P1562" s="174"/>
      <c r="Q1562" s="174"/>
      <c r="R1562" s="174"/>
      <c r="S1562" s="174"/>
      <c r="T1562" s="174"/>
      <c r="U1562" s="174"/>
      <c r="V1562" s="174"/>
      <c r="W1562" s="160"/>
      <c r="X1562" s="160"/>
      <c r="Y1562" s="160"/>
      <c r="Z1562" s="160"/>
      <c r="AA1562" s="160"/>
      <c r="AB1562" s="160"/>
      <c r="AC1562" s="160"/>
      <c r="AD1562" s="160"/>
      <c r="AE1562" s="160"/>
      <c r="AF1562" s="160"/>
      <c r="AG1562" s="160"/>
      <c r="AH1562" s="160"/>
      <c r="AI1562" s="160"/>
      <c r="AJ1562" s="179"/>
      <c r="AK1562" s="160"/>
      <c r="AL1562" s="177"/>
      <c r="AM1562" s="177"/>
      <c r="AN1562" s="177"/>
      <c r="AO1562" s="160"/>
      <c r="AP1562" s="160"/>
      <c r="AQ1562" s="160"/>
      <c r="AR1562" s="160"/>
      <c r="AS1562" s="160"/>
      <c r="AT1562" s="160"/>
      <c r="AU1562" s="160"/>
      <c r="AV1562" s="160"/>
      <c r="AW1562" s="160"/>
      <c r="AX1562" s="160">
        <f>IF($AX$1354&gt;0,'Assumptions (Hydro)'!V10*Model!$AX$1354*AVERAGE('Assumptions (Hydro)'!$AT$2:$AV$2)/10^9,0)</f>
        <v>0</v>
      </c>
      <c r="AY1562" s="160">
        <f>IF($AX$1354&gt;0,'Assumptions (Hydro)'!W10*Model!$AX$1354*AVERAGE('Assumptions (Hydro)'!$AT$2:$AV$2)/10^9,0)</f>
        <v>0</v>
      </c>
      <c r="AZ1562" s="160">
        <f>IF($AX$1354&gt;0,'Assumptions (Hydro)'!X10*Model!$AX$1354*AVERAGE('Assumptions (Hydro)'!$AT$2:$AV$2)/10^9,0)</f>
        <v>0</v>
      </c>
      <c r="BA1562" s="160">
        <f>IF($AX$1354&gt;0,'Assumptions (Hydro)'!Y10*Model!$AX$1354*AVERAGE('Assumptions (Hydro)'!$AT$2:$AV$2)/10^9,0)</f>
        <v>0</v>
      </c>
      <c r="BB1562" s="160">
        <f>IF($AX$1354&gt;0,'Assumptions (Hydro)'!Z10*Model!$AX$1354*AVERAGE('Assumptions (Hydro)'!$AT$2:$AV$2)/10^9,0)</f>
        <v>0</v>
      </c>
      <c r="BC1562" s="160">
        <f>IF($AX$1354&gt;0,'Assumptions (Hydro)'!AA10*Model!$AX$1354*AVERAGE('Assumptions (Hydro)'!$AT$2:$AV$2)/10^9,0)</f>
        <v>0</v>
      </c>
      <c r="BD1562" s="160">
        <f>IF($AX$1354&gt;0,'Assumptions (Hydro)'!AB10*Model!$AX$1354*AVERAGE('Assumptions (Hydro)'!$AT$2:$AV$2)/10^9,0)</f>
        <v>0</v>
      </c>
      <c r="BE1562" s="160">
        <f>IF($AX$1354&gt;0,'Assumptions (Hydro)'!AC10*Model!$AX$1354*AVERAGE('Assumptions (Hydro)'!$AT$2:$AV$2)/10^9,0)</f>
        <v>0</v>
      </c>
      <c r="BF1562" s="160">
        <f>IF($AX$1354&gt;0,'Assumptions (Hydro)'!AD10*Model!$AX$1354*AVERAGE('Assumptions (Hydro)'!$AT$2:$AV$2)/10^9,0)</f>
        <v>0</v>
      </c>
      <c r="BG1562" s="160">
        <f>IF($AX$1354&gt;0,'Assumptions (Hydro)'!AE10*Model!$AX$1354*AVERAGE('Assumptions (Hydro)'!$AT$2:$AV$2)/10^9,0)</f>
        <v>0</v>
      </c>
      <c r="BH1562" s="160">
        <f>IF($AX$1354&gt;0,'Assumptions (Hydro)'!AF10*Model!$AX$1354*AVERAGE('Assumptions (Hydro)'!$AT$2:$AV$2)/10^9,0)</f>
        <v>0</v>
      </c>
      <c r="BI1562" s="160">
        <f>IF($AX$1354&gt;0,'Assumptions (Hydro)'!AG10*Model!$AX$1354*AVERAGE('Assumptions (Hydro)'!$AT$2:$AV$2)/10^9,0)</f>
        <v>0</v>
      </c>
      <c r="BJ1562" s="160">
        <f>IF($AX$1354&gt;0,'Assumptions (Hydro)'!AH10*Model!$AX$1354*AVERAGE('Assumptions (Hydro)'!$AT$2:$AV$2)/10^9,0)</f>
        <v>0</v>
      </c>
      <c r="BK1562" s="160">
        <f>IF($AX$1354&gt;0,'Assumptions (Hydro)'!AI10*Model!$AX$1354*AVERAGE('Assumptions (Hydro)'!$AT$2:$AV$2)/10^9,0)</f>
        <v>0</v>
      </c>
      <c r="BL1562" s="160">
        <f>IF($AX$1354&gt;0,'Assumptions (Hydro)'!AJ10*Model!$AX$1354*AVERAGE('Assumptions (Hydro)'!$AT$2:$AV$2)/10^9,0)</f>
        <v>0</v>
      </c>
      <c r="BM1562" s="160">
        <f>IF($AX$1354&gt;0,'Assumptions (Hydro)'!AK10*Model!$AX$1354*AVERAGE('Assumptions (Hydro)'!$AT$2:$AV$2)/10^9,0)</f>
        <v>0</v>
      </c>
      <c r="BN1562" s="160"/>
      <c r="BO1562" s="160"/>
      <c r="BP1562" s="160"/>
      <c r="BQ1562" s="160"/>
      <c r="BR1562" s="160"/>
      <c r="BS1562" s="160"/>
      <c r="BT1562" s="160"/>
      <c r="BU1562" s="160"/>
    </row>
    <row r="1563" ht="15.75" hidden="1" customHeight="1" outlineLevel="1">
      <c r="A1563" s="273"/>
      <c r="B1563" s="38"/>
      <c r="C1563" s="174"/>
      <c r="D1563" s="174"/>
      <c r="E1563" s="174"/>
      <c r="F1563" s="174"/>
      <c r="G1563" s="174"/>
      <c r="H1563" s="174"/>
      <c r="I1563" s="174"/>
      <c r="J1563" s="174"/>
      <c r="K1563" s="174"/>
      <c r="L1563" s="174"/>
      <c r="M1563" s="174"/>
      <c r="N1563" s="174"/>
      <c r="O1563" s="174"/>
      <c r="P1563" s="174"/>
      <c r="Q1563" s="174"/>
      <c r="R1563" s="174"/>
      <c r="S1563" s="174"/>
      <c r="T1563" s="174"/>
      <c r="U1563" s="174"/>
      <c r="V1563" s="174"/>
      <c r="W1563" s="160"/>
      <c r="X1563" s="160"/>
      <c r="Y1563" s="160"/>
      <c r="Z1563" s="160"/>
      <c r="AA1563" s="160"/>
      <c r="AB1563" s="160"/>
      <c r="AC1563" s="160"/>
      <c r="AD1563" s="160"/>
      <c r="AE1563" s="160"/>
      <c r="AF1563" s="160"/>
      <c r="AG1563" s="160"/>
      <c r="AH1563" s="160"/>
      <c r="AI1563" s="160"/>
      <c r="AJ1563" s="179"/>
      <c r="AK1563" s="160"/>
      <c r="AL1563" s="177"/>
      <c r="AM1563" s="177"/>
      <c r="AN1563" s="177"/>
      <c r="AO1563" s="160"/>
      <c r="AP1563" s="160"/>
      <c r="AQ1563" s="160"/>
      <c r="AR1563" s="160"/>
      <c r="AS1563" s="160"/>
      <c r="AT1563" s="160"/>
      <c r="AU1563" s="160"/>
      <c r="AV1563" s="160"/>
      <c r="AW1563" s="160"/>
      <c r="AX1563" s="160"/>
      <c r="AY1563" s="160">
        <f>IF($AY$1354&gt;0,'Assumptions (Hydro)'!V10*Model!$AY$1354*AVERAGE('Assumptions (Hydro)'!$AU$2:$AW$2)/10^9,0)</f>
        <v>0</v>
      </c>
      <c r="AZ1563" s="160">
        <f>IF($AY$1354&gt;0,'Assumptions (Hydro)'!W10*Model!$AY$1354*AVERAGE('Assumptions (Hydro)'!$AU$2:$AW$2)/10^9,0)</f>
        <v>0</v>
      </c>
      <c r="BA1563" s="160">
        <f>IF($AY$1354&gt;0,'Assumptions (Hydro)'!X10*Model!$AY$1354*AVERAGE('Assumptions (Hydro)'!$AU$2:$AW$2)/10^9,0)</f>
        <v>0</v>
      </c>
      <c r="BB1563" s="160">
        <f>IF($AY$1354&gt;0,'Assumptions (Hydro)'!Y10*Model!$AY$1354*AVERAGE('Assumptions (Hydro)'!$AU$2:$AW$2)/10^9,0)</f>
        <v>0</v>
      </c>
      <c r="BC1563" s="160">
        <f>IF($AY$1354&gt;0,'Assumptions (Hydro)'!Z10*Model!$AY$1354*AVERAGE('Assumptions (Hydro)'!$AU$2:$AW$2)/10^9,0)</f>
        <v>0</v>
      </c>
      <c r="BD1563" s="160">
        <f>IF($AY$1354&gt;0,'Assumptions (Hydro)'!AA10*Model!$AY$1354*AVERAGE('Assumptions (Hydro)'!$AU$2:$AW$2)/10^9,0)</f>
        <v>0</v>
      </c>
      <c r="BE1563" s="160">
        <f>IF($AY$1354&gt;0,'Assumptions (Hydro)'!AB10*Model!$AY$1354*AVERAGE('Assumptions (Hydro)'!$AU$2:$AW$2)/10^9,0)</f>
        <v>0</v>
      </c>
      <c r="BF1563" s="160">
        <f>IF($AY$1354&gt;0,'Assumptions (Hydro)'!AC10*Model!$AY$1354*AVERAGE('Assumptions (Hydro)'!$AU$2:$AW$2)/10^9,0)</f>
        <v>0</v>
      </c>
      <c r="BG1563" s="160">
        <f>IF($AY$1354&gt;0,'Assumptions (Hydro)'!AD10*Model!$AY$1354*AVERAGE('Assumptions (Hydro)'!$AU$2:$AW$2)/10^9,0)</f>
        <v>0</v>
      </c>
      <c r="BH1563" s="160">
        <f>IF($AY$1354&gt;0,'Assumptions (Hydro)'!AE10*Model!$AY$1354*AVERAGE('Assumptions (Hydro)'!$AU$2:$AW$2)/10^9,0)</f>
        <v>0</v>
      </c>
      <c r="BI1563" s="160">
        <f>IF($AY$1354&gt;0,'Assumptions (Hydro)'!AF10*Model!$AY$1354*AVERAGE('Assumptions (Hydro)'!$AU$2:$AW$2)/10^9,0)</f>
        <v>0</v>
      </c>
      <c r="BJ1563" s="160">
        <f>IF($AY$1354&gt;0,'Assumptions (Hydro)'!AG10*Model!$AY$1354*AVERAGE('Assumptions (Hydro)'!$AU$2:$AW$2)/10^9,0)</f>
        <v>0</v>
      </c>
      <c r="BK1563" s="160">
        <f>IF($AY$1354&gt;0,'Assumptions (Hydro)'!AH10*Model!$AY$1354*AVERAGE('Assumptions (Hydro)'!$AU$2:$AW$2)/10^9,0)</f>
        <v>0</v>
      </c>
      <c r="BL1563" s="160">
        <f>IF($AY$1354&gt;0,'Assumptions (Hydro)'!AI10*Model!$AY$1354*AVERAGE('Assumptions (Hydro)'!$AU$2:$AW$2)/10^9,0)</f>
        <v>0</v>
      </c>
      <c r="BM1563" s="160">
        <f>IF($AY$1354&gt;0,'Assumptions (Hydro)'!AJ10*Model!$AY$1354*AVERAGE('Assumptions (Hydro)'!$AU$2:$AW$2)/10^9,0)</f>
        <v>0</v>
      </c>
      <c r="BN1563" s="160">
        <f>IF($AY$1354&gt;0,'Assumptions (Hydro)'!AK10*Model!$AY$1354*AVERAGE('Assumptions (Hydro)'!$AU$2:$AW$2)/10^9,0)</f>
        <v>0</v>
      </c>
      <c r="BO1563" s="160"/>
      <c r="BP1563" s="160"/>
      <c r="BQ1563" s="160"/>
      <c r="BR1563" s="160"/>
      <c r="BS1563" s="160"/>
      <c r="BT1563" s="160"/>
      <c r="BU1563" s="160"/>
    </row>
    <row r="1564" ht="15.75" hidden="1" customHeight="1" outlineLevel="1">
      <c r="A1564" s="273"/>
      <c r="B1564" s="38"/>
      <c r="C1564" s="174"/>
      <c r="D1564" s="174"/>
      <c r="E1564" s="174"/>
      <c r="F1564" s="174"/>
      <c r="G1564" s="174"/>
      <c r="H1564" s="174"/>
      <c r="I1564" s="174"/>
      <c r="J1564" s="174"/>
      <c r="K1564" s="174"/>
      <c r="L1564" s="174"/>
      <c r="M1564" s="174"/>
      <c r="N1564" s="174"/>
      <c r="O1564" s="174"/>
      <c r="P1564" s="174"/>
      <c r="Q1564" s="174"/>
      <c r="R1564" s="174"/>
      <c r="S1564" s="174"/>
      <c r="T1564" s="174"/>
      <c r="U1564" s="174"/>
      <c r="V1564" s="174"/>
      <c r="W1564" s="160"/>
      <c r="X1564" s="160"/>
      <c r="Y1564" s="160"/>
      <c r="Z1564" s="160"/>
      <c r="AA1564" s="160"/>
      <c r="AB1564" s="160"/>
      <c r="AC1564" s="160"/>
      <c r="AD1564" s="160"/>
      <c r="AE1564" s="160"/>
      <c r="AF1564" s="160"/>
      <c r="AG1564" s="160"/>
      <c r="AH1564" s="160"/>
      <c r="AI1564" s="160"/>
      <c r="AJ1564" s="179"/>
      <c r="AK1564" s="160"/>
      <c r="AL1564" s="177"/>
      <c r="AM1564" s="177"/>
      <c r="AN1564" s="177"/>
      <c r="AO1564" s="160"/>
      <c r="AP1564" s="160"/>
      <c r="AQ1564" s="160"/>
      <c r="AR1564" s="160"/>
      <c r="AS1564" s="160"/>
      <c r="AT1564" s="160"/>
      <c r="AU1564" s="160"/>
      <c r="AV1564" s="160"/>
      <c r="AW1564" s="160"/>
      <c r="AX1564" s="160"/>
      <c r="AY1564" s="160"/>
      <c r="AZ1564" s="160">
        <f>IF($AZ$1354&gt;0,'Assumptions (Hydro)'!V10*Model!$AZ$1354*AVERAGE('Assumptions (Hydro)'!$AV$2:$AX$2)/10^9,0)</f>
        <v>0</v>
      </c>
      <c r="BA1564" s="160">
        <f>IF($AZ$1354&gt;0,'Assumptions (Hydro)'!W10*Model!$AZ$1354*AVERAGE('Assumptions (Hydro)'!$AV$2:$AX$2)/10^9,0)</f>
        <v>0</v>
      </c>
      <c r="BB1564" s="160">
        <f>IF($AZ$1354&gt;0,'Assumptions (Hydro)'!X10*Model!$AZ$1354*AVERAGE('Assumptions (Hydro)'!$AV$2:$AX$2)/10^9,0)</f>
        <v>0</v>
      </c>
      <c r="BC1564" s="160">
        <f>IF($AZ$1354&gt;0,'Assumptions (Hydro)'!Y10*Model!$AZ$1354*AVERAGE('Assumptions (Hydro)'!$AV$2:$AX$2)/10^9,0)</f>
        <v>0</v>
      </c>
      <c r="BD1564" s="160">
        <f>IF($AZ$1354&gt;0,'Assumptions (Hydro)'!Z10*Model!$AZ$1354*AVERAGE('Assumptions (Hydro)'!$AV$2:$AX$2)/10^9,0)</f>
        <v>0</v>
      </c>
      <c r="BE1564" s="160">
        <f>IF($AZ$1354&gt;0,'Assumptions (Hydro)'!AA10*Model!$AZ$1354*AVERAGE('Assumptions (Hydro)'!$AV$2:$AX$2)/10^9,0)</f>
        <v>0</v>
      </c>
      <c r="BF1564" s="160">
        <f>IF($AZ$1354&gt;0,'Assumptions (Hydro)'!AB10*Model!$AZ$1354*AVERAGE('Assumptions (Hydro)'!$AV$2:$AX$2)/10^9,0)</f>
        <v>0</v>
      </c>
      <c r="BG1564" s="160">
        <f>IF($AZ$1354&gt;0,'Assumptions (Hydro)'!AC10*Model!$AZ$1354*AVERAGE('Assumptions (Hydro)'!$AV$2:$AX$2)/10^9,0)</f>
        <v>0</v>
      </c>
      <c r="BH1564" s="160">
        <f>IF($AZ$1354&gt;0,'Assumptions (Hydro)'!AD10*Model!$AZ$1354*AVERAGE('Assumptions (Hydro)'!$AV$2:$AX$2)/10^9,0)</f>
        <v>0</v>
      </c>
      <c r="BI1564" s="160">
        <f>IF($AZ$1354&gt;0,'Assumptions (Hydro)'!AE10*Model!$AZ$1354*AVERAGE('Assumptions (Hydro)'!$AV$2:$AX$2)/10^9,0)</f>
        <v>0</v>
      </c>
      <c r="BJ1564" s="160">
        <f>IF($AZ$1354&gt;0,'Assumptions (Hydro)'!AF10*Model!$AZ$1354*AVERAGE('Assumptions (Hydro)'!$AV$2:$AX$2)/10^9,0)</f>
        <v>0</v>
      </c>
      <c r="BK1564" s="160">
        <f>IF($AZ$1354&gt;0,'Assumptions (Hydro)'!AG10*Model!$AZ$1354*AVERAGE('Assumptions (Hydro)'!$AV$2:$AX$2)/10^9,0)</f>
        <v>0</v>
      </c>
      <c r="BL1564" s="160">
        <f>IF($AZ$1354&gt;0,'Assumptions (Hydro)'!AH10*Model!$AZ$1354*AVERAGE('Assumptions (Hydro)'!$AV$2:$AX$2)/10^9,0)</f>
        <v>0</v>
      </c>
      <c r="BM1564" s="160">
        <f>IF($AZ$1354&gt;0,'Assumptions (Hydro)'!AI10*Model!$AZ$1354*AVERAGE('Assumptions (Hydro)'!$AV$2:$AX$2)/10^9,0)</f>
        <v>0</v>
      </c>
      <c r="BN1564" s="160">
        <f>IF($AZ$1354&gt;0,'Assumptions (Hydro)'!AJ10*Model!$AZ$1354*AVERAGE('Assumptions (Hydro)'!$AV$2:$AX$2)/10^9,0)</f>
        <v>0</v>
      </c>
      <c r="BO1564" s="160">
        <f>IF($AZ$1354&gt;0,'Assumptions (Hydro)'!AK10*Model!$AZ$1354*AVERAGE('Assumptions (Hydro)'!$AV$2:$AX$2)/10^9,0)</f>
        <v>0</v>
      </c>
      <c r="BP1564" s="160"/>
      <c r="BQ1564" s="160"/>
      <c r="BR1564" s="160"/>
      <c r="BS1564" s="160"/>
      <c r="BT1564" s="160"/>
      <c r="BU1564" s="160"/>
    </row>
    <row r="1565" ht="15.75" hidden="1" customHeight="1" outlineLevel="1">
      <c r="A1565" s="273"/>
      <c r="B1565" s="38"/>
      <c r="C1565" s="174"/>
      <c r="D1565" s="174"/>
      <c r="E1565" s="174"/>
      <c r="F1565" s="174"/>
      <c r="G1565" s="174"/>
      <c r="H1565" s="174"/>
      <c r="I1565" s="174"/>
      <c r="J1565" s="174"/>
      <c r="K1565" s="174"/>
      <c r="L1565" s="174"/>
      <c r="M1565" s="174"/>
      <c r="N1565" s="174"/>
      <c r="O1565" s="174"/>
      <c r="P1565" s="174"/>
      <c r="Q1565" s="174"/>
      <c r="R1565" s="174"/>
      <c r="S1565" s="174"/>
      <c r="T1565" s="174"/>
      <c r="U1565" s="174"/>
      <c r="V1565" s="174"/>
      <c r="W1565" s="160"/>
      <c r="X1565" s="160"/>
      <c r="Y1565" s="160"/>
      <c r="Z1565" s="160"/>
      <c r="AA1565" s="160"/>
      <c r="AB1565" s="160"/>
      <c r="AC1565" s="160"/>
      <c r="AD1565" s="160"/>
      <c r="AE1565" s="160"/>
      <c r="AF1565" s="160"/>
      <c r="AG1565" s="160"/>
      <c r="AH1565" s="160"/>
      <c r="AI1565" s="160"/>
      <c r="AJ1565" s="179"/>
      <c r="AK1565" s="160"/>
      <c r="AL1565" s="177"/>
      <c r="AM1565" s="177"/>
      <c r="AN1565" s="177"/>
      <c r="AO1565" s="160"/>
      <c r="AP1565" s="160"/>
      <c r="AQ1565" s="160"/>
      <c r="AR1565" s="160"/>
      <c r="AS1565" s="160"/>
      <c r="AT1565" s="160"/>
      <c r="AU1565" s="160"/>
      <c r="AV1565" s="160"/>
      <c r="AW1565" s="160"/>
      <c r="AX1565" s="160"/>
      <c r="AY1565" s="160"/>
      <c r="AZ1565" s="160"/>
      <c r="BA1565" s="160">
        <f>IF($BA$1354&gt;0,'Assumptions (Hydro)'!V10*Model!$BA$1354*AVERAGE('Assumptions (Hydro)'!$AW$2:$AY$2)/10^9,0)</f>
        <v>0</v>
      </c>
      <c r="BB1565" s="160">
        <f>IF($BA$1354&gt;0,'Assumptions (Hydro)'!W10*Model!$BA$1354*AVERAGE('Assumptions (Hydro)'!$AW$2:$AY$2)/10^9,0)</f>
        <v>0</v>
      </c>
      <c r="BC1565" s="160">
        <f>IF($BA$1354&gt;0,'Assumptions (Hydro)'!X10*Model!$BA$1354*AVERAGE('Assumptions (Hydro)'!$AW$2:$AY$2)/10^9,0)</f>
        <v>0</v>
      </c>
      <c r="BD1565" s="160">
        <f>IF($BA$1354&gt;0,'Assumptions (Hydro)'!Y10*Model!$BA$1354*AVERAGE('Assumptions (Hydro)'!$AW$2:$AY$2)/10^9,0)</f>
        <v>0</v>
      </c>
      <c r="BE1565" s="160">
        <f>IF($BA$1354&gt;0,'Assumptions (Hydro)'!Z10*Model!$BA$1354*AVERAGE('Assumptions (Hydro)'!$AW$2:$AY$2)/10^9,0)</f>
        <v>0</v>
      </c>
      <c r="BF1565" s="160">
        <f>IF($BA$1354&gt;0,'Assumptions (Hydro)'!AA10*Model!$BA$1354*AVERAGE('Assumptions (Hydro)'!$AW$2:$AY$2)/10^9,0)</f>
        <v>0</v>
      </c>
      <c r="BG1565" s="160">
        <f>IF($BA$1354&gt;0,'Assumptions (Hydro)'!AB10*Model!$BA$1354*AVERAGE('Assumptions (Hydro)'!$AW$2:$AY$2)/10^9,0)</f>
        <v>0</v>
      </c>
      <c r="BH1565" s="160">
        <f>IF($BA$1354&gt;0,'Assumptions (Hydro)'!AC10*Model!$BA$1354*AVERAGE('Assumptions (Hydro)'!$AW$2:$AY$2)/10^9,0)</f>
        <v>0</v>
      </c>
      <c r="BI1565" s="160">
        <f>IF($BA$1354&gt;0,'Assumptions (Hydro)'!AD10*Model!$BA$1354*AVERAGE('Assumptions (Hydro)'!$AW$2:$AY$2)/10^9,0)</f>
        <v>0</v>
      </c>
      <c r="BJ1565" s="160">
        <f>IF($BA$1354&gt;0,'Assumptions (Hydro)'!AE10*Model!$BA$1354*AVERAGE('Assumptions (Hydro)'!$AW$2:$AY$2)/10^9,0)</f>
        <v>0</v>
      </c>
      <c r="BK1565" s="160">
        <f>IF($BA$1354&gt;0,'Assumptions (Hydro)'!AF10*Model!$BA$1354*AVERAGE('Assumptions (Hydro)'!$AW$2:$AY$2)/10^9,0)</f>
        <v>0</v>
      </c>
      <c r="BL1565" s="160">
        <f>IF($BA$1354&gt;0,'Assumptions (Hydro)'!AG10*Model!$BA$1354*AVERAGE('Assumptions (Hydro)'!$AW$2:$AY$2)/10^9,0)</f>
        <v>0</v>
      </c>
      <c r="BM1565" s="160">
        <f>IF($BA$1354&gt;0,'Assumptions (Hydro)'!AH10*Model!$BA$1354*AVERAGE('Assumptions (Hydro)'!$AW$2:$AY$2)/10^9,0)</f>
        <v>0</v>
      </c>
      <c r="BN1565" s="160">
        <f>IF($BA$1354&gt;0,'Assumptions (Hydro)'!AI10*Model!$BA$1354*AVERAGE('Assumptions (Hydro)'!$AW$2:$AY$2)/10^9,0)</f>
        <v>0</v>
      </c>
      <c r="BO1565" s="160">
        <f>IF($BA$1354&gt;0,'Assumptions (Hydro)'!AJ10*Model!$BA$1354*AVERAGE('Assumptions (Hydro)'!$AW$2:$AY$2)/10^9,0)</f>
        <v>0</v>
      </c>
      <c r="BP1565" s="160">
        <f>IF($BA$1354&gt;0,'Assumptions (Hydro)'!AK10*Model!$BA$1354*AVERAGE('Assumptions (Hydro)'!$AW$2:$AY$2)/10^9,0)</f>
        <v>0</v>
      </c>
      <c r="BQ1565" s="160"/>
      <c r="BR1565" s="160"/>
      <c r="BS1565" s="160"/>
      <c r="BT1565" s="160"/>
      <c r="BU1565" s="160"/>
    </row>
    <row r="1566" ht="15.75" customHeight="1" collapsed="1">
      <c r="A1566" s="273" t="s">
        <v>62</v>
      </c>
      <c r="B1566" s="159" t="s">
        <v>351</v>
      </c>
      <c r="C1566" s="160">
        <f>IF(Model!C1352+Model!C1353-C1351-C1514+C1462&gt;0,(1-'Assumptions (Hydro)'!B22)*(Model!C1352+Model!C1353-C1351-C1514+C1462)+Model!C1514-C1409-+Model!C1410,Model!C1352+Model!C1353-C1351+C1462-C1409+Model!C1410)</f>
        <v>0.6132429927</v>
      </c>
      <c r="D1566" s="160">
        <f>IF(Model!D1352+Model!D1353-D1351-D1514+D1462&gt;0,(1-'Assumptions (Hydro)'!C22)*(Model!D1352+Model!D1353-D1351-D1514+D1462)+Model!D1514-D1409-+Model!D1410,Model!D1352+Model!D1353-D1351+D1462-D1409+Model!D1410)</f>
        <v>0.7208896507</v>
      </c>
      <c r="E1566" s="160">
        <f>IF(Model!E1352+Model!E1353-E1351-E1514+E1462&gt;0,(1-'Assumptions (Hydro)'!D22)*(Model!E1352+Model!E1353-E1351-E1514+E1462)+Model!E1514-E1409-+Model!E1410,Model!E1352+Model!E1353-E1351+E1462-E1409+Model!E1410)</f>
        <v>0.7272584504</v>
      </c>
      <c r="F1566" s="160">
        <f>IF(Model!F1352+Model!F1353-F1351-F1514+F1462&gt;0,(1-'Assumptions (Hydro)'!E22)*(Model!F1352+Model!F1353-F1351-F1514+F1462)+Model!F1514-F1409-+Model!F1410,Model!F1352+Model!F1353-F1351+F1462-F1409+Model!F1410)</f>
        <v>1.698046427</v>
      </c>
      <c r="G1566" s="160">
        <f>IF(Model!G1352+Model!G1353-G1351-G1514+G1462&gt;0,(1-'Assumptions (Hydro)'!F22)*(Model!G1352+Model!G1353-G1351-G1514+G1462)+Model!G1514-G1409-+Model!G1410,Model!G1352+Model!G1353-G1351+G1462-G1409+Model!G1410)</f>
        <v>1.459229642</v>
      </c>
      <c r="H1566" s="160">
        <f>IF(Model!H1352+Model!H1353-H1351-H1514+H1462&gt;0,(1-'Assumptions (Hydro)'!G22)*(Model!H1352+Model!H1353-H1351-H1514+H1462)+Model!H1514-H1409-+Model!H1410,Model!H1352+Model!H1353-H1351+H1462-H1409+Model!H1410)</f>
        <v>1.77069904</v>
      </c>
      <c r="I1566" s="160">
        <f>IF(Model!I1352+Model!I1353-I1351-I1514+I1462&gt;0,(1-'Assumptions (Hydro)'!H22)*(Model!I1352+Model!I1353-I1351-I1514+I1462)+Model!I1514-I1409-+Model!I1410,Model!I1352+Model!I1353-I1351+I1462-I1409+Model!I1410)</f>
        <v>1.088770879</v>
      </c>
      <c r="J1566" s="160">
        <f>IF(Model!J1352+Model!J1353-J1351-J1514+J1462&gt;0,(1-'Assumptions (Hydro)'!I22)*(Model!J1352+Model!J1353-J1351-J1514+J1462)+Model!J1514-J1409-+Model!J1410,Model!J1352+Model!J1353-J1351+J1462-J1409+Model!J1410)</f>
        <v>0.7889072554</v>
      </c>
      <c r="K1566" s="160">
        <f>IF(Model!K1352+Model!K1353-K1351-K1514+K1462&gt;0,(1-'Assumptions (Hydro)'!J22)*(Model!K1352+Model!K1353-K1351-K1514+K1462)+Model!K1514-K1409-+Model!K1410,Model!K1352+Model!K1353-K1351+K1462-K1409+Model!K1410)</f>
        <v>1.071888847</v>
      </c>
      <c r="L1566" s="160">
        <f>IF(Model!L1352+Model!L1353-L1351-L1514+L1462&gt;0,(1-'Assumptions (Hydro)'!K22)*(Model!L1352+Model!L1353-L1351-L1514+L1462)+Model!L1514-L1409-+Model!L1410,Model!L1352+Model!L1353-L1351+L1462-L1409+Model!L1410)</f>
        <v>1.391035901</v>
      </c>
      <c r="M1566" s="160">
        <f>IF(Model!M1352+Model!M1353-M1351-M1514+M1462&gt;0,(1-'Assumptions (Hydro)'!L22)*(Model!M1352+Model!M1353-M1351-M1514+M1462)+Model!M1514-M1409-+Model!M1410,Model!M1352+Model!M1353-M1351+M1462-M1409+Model!M1410)</f>
        <v>1.100369966</v>
      </c>
      <c r="N1566" s="160">
        <f>IF(Model!N1352+Model!N1353-N1351-N1514+N1462&gt;0,(1-'Assumptions (Hydro)'!M22)*(Model!N1352+Model!N1353-N1351-N1514+N1462)+Model!N1514-N1409-+Model!N1410,Model!N1352+Model!N1353-N1351+N1462-N1409+Model!N1410)</f>
        <v>1.020467386</v>
      </c>
      <c r="O1566" s="160">
        <f>IF(Model!O1352+Model!O1353-O1351-O1514+O1462&gt;0,(1-'Assumptions (Hydro)'!N22)*(Model!O1352+Model!O1353-O1351-O1514+O1462)+Model!O1514-O1409-+Model!O1410,Model!O1352+Model!O1353-O1351+O1462-O1409+Model!O1410)</f>
        <v>0.7453848587</v>
      </c>
      <c r="P1566" s="160">
        <f>IF(Model!P1352+Model!P1353-P1351-P1514+P1462&gt;0,(1-'Assumptions (Hydro)'!O22)*(Model!P1352+Model!P1353-P1351-P1514+P1462)+Model!P1514-P1409-+Model!P1410,Model!P1352+Model!P1353-P1351+P1462-P1409+Model!P1410)</f>
        <v>1.540064893</v>
      </c>
      <c r="Q1566" s="160">
        <f>IF(Model!Q1352+Model!Q1353-Q1351-Q1514+Q1462&gt;0,(1-'Assumptions (Hydro)'!P22)*(Model!Q1352+Model!Q1353-Q1351-Q1514+Q1462)+Model!Q1514-Q1409-+Model!Q1410,Model!Q1352+Model!Q1353-Q1351+Q1462-Q1409+Model!Q1410)</f>
        <v>1.191368473</v>
      </c>
      <c r="R1566" s="160">
        <f>IF(Model!R1352+Model!R1353-R1351-R1514+R1462&gt;0,(1-'Assumptions (Hydro)'!Q22)*(Model!R1352+Model!R1353-R1351-R1514+R1462)+Model!R1514-R1409-+Model!R1410,Model!R1352+Model!R1353-R1351+R1462-R1409+Model!R1410)</f>
        <v>0.986520017</v>
      </c>
      <c r="S1566" s="160">
        <f>IF(Model!S1352+Model!S1353-S1351-S1514+S1462&gt;0,(1-'Assumptions (Hydro)'!R22)*(Model!S1352+Model!S1353-S1351-S1514+S1462)+Model!S1514-S1409-+Model!S1410,Model!S1352+Model!S1353-S1351+S1462-S1409+Model!S1410)</f>
        <v>0.8050854935</v>
      </c>
      <c r="T1566" s="160">
        <f>IF(Model!T1352+Model!T1353-T1351-T1514+T1462&gt;0,(1-'Assumptions (Hydro)'!S22)*(Model!T1352+Model!T1353-T1351-T1514+T1462)+Model!T1514-T1409-+Model!T1410,Model!T1352+Model!T1353-T1351+T1462-T1409+Model!T1410)</f>
        <v>0.8792547593</v>
      </c>
      <c r="U1566" s="160">
        <f>IF(Model!U1352+Model!U1353-U1351-U1514+U1462&gt;0,(1-'Assumptions (Hydro)'!T22)*(Model!U1352+Model!U1353-U1351-U1514+U1462)+Model!U1514-U1409-+Model!U1410,Model!U1352+Model!U1353-U1351+U1462-U1409+Model!U1410)</f>
        <v>1.503631576</v>
      </c>
      <c r="V1566" s="160">
        <f>IF(Model!V1352+Model!V1353-V1351-V1514+V1462&gt;0,(1-'Assumptions (Hydro)'!U22)*(Model!V1352+Model!V1353-V1351-V1514+V1462)+Model!V1514-V1409-+Model!V1410,Model!V1352+Model!V1353-V1351+V1462-V1409+Model!V1410)</f>
        <v>1.518767183</v>
      </c>
      <c r="W1566" s="160">
        <f>IF(Model!W1352+Model!W1353-W1351-W1514+W1462&gt;0,(1-'Assumptions (Hydro)'!V22)*(Model!W1352+Model!W1353-W1351-W1514+W1462)+Model!W1514-W1409-+Model!W1410,Model!W1352+Model!W1353-W1351+W1462-W1409+Model!W1410)</f>
        <v>1.586634065</v>
      </c>
      <c r="X1566" s="160">
        <f>IF(Model!X1352+Model!X1353-X1351-X1514+X1462&gt;0,(1-'Assumptions (Hydro)'!W22)*(Model!X1352+Model!X1353-X1351-X1514+X1462)+Model!X1514-X1409-+Model!X1410,Model!X1352+Model!X1353-X1351+X1462-X1409+Model!X1410)</f>
        <v>1.555685317</v>
      </c>
      <c r="Y1566" s="160">
        <f>IF(Model!Y1352+Model!Y1353-Y1351-Y1514+Y1462&gt;0,(1-'Assumptions (Hydro)'!X22)*(Model!Y1352+Model!Y1353-Y1351-Y1514+Y1462)+Model!Y1514-Y1409-+Model!Y1410,Model!Y1352+Model!Y1353-Y1351+Y1462-Y1409+Model!Y1410)</f>
        <v>1.527859545</v>
      </c>
      <c r="Z1566" s="160">
        <f>IF(Model!Z1352+Model!Z1353-Z1351-Z1514+Z1462&gt;0,(1-'Assumptions (Hydro)'!Y22)*(Model!Z1352+Model!Z1353-Z1351-Z1514+Z1462)+Model!Z1514-Z1409-+Model!Z1410,Model!Z1352+Model!Z1353-Z1351+Z1462-Z1409+Model!Z1410)</f>
        <v>1.512653644</v>
      </c>
      <c r="AA1566" s="160">
        <f>IF(Model!AA1352+Model!AA1353-AA1351-AA1514+AA1462&gt;0,(1-'Assumptions (Hydro)'!Z22)*(Model!AA1352+Model!AA1353-AA1351-AA1514+AA1462)+Model!AA1514-AA1409-+Model!AA1410,Model!AA1352+Model!AA1353-AA1351+AA1462-AA1409+Model!AA1410)</f>
        <v>1.501557979</v>
      </c>
      <c r="AB1566" s="160">
        <f>IF(Model!AB1352+Model!AB1353-AB1351-AB1514+AB1462&gt;0,(1-'Assumptions (Hydro)'!AA22)*(Model!AB1352+Model!AB1353-AB1351-AB1514+AB1462)+Model!AB1514-AB1409-+Model!AB1410,Model!AB1352+Model!AB1353-AB1351+AB1462-AB1409+Model!AB1410)</f>
        <v>1.506110202</v>
      </c>
      <c r="AC1566" s="160">
        <f>IF(Model!AC1352+Model!AC1353-AC1351-AC1514+AC1462&gt;0,(1-'Assumptions (Hydro)'!AB22)*(Model!AC1352+Model!AC1353-AC1351-AC1514+AC1462)+Model!AC1514-AC1409-+Model!AC1410,Model!AC1352+Model!AC1353-AC1351+AC1462-AC1409+Model!AC1410)</f>
        <v>1.487546132</v>
      </c>
      <c r="AD1566" s="160">
        <f>IF(Model!AD1352+Model!AD1353-AD1351-AD1514+AD1462&gt;0,(1-'Assumptions (Hydro)'!AC22)*(Model!AD1352+Model!AD1353-AD1351-AD1514+AD1462)+Model!AD1514-AD1409-+Model!AD1410,Model!AD1352+Model!AD1353-AD1351+AD1462-AD1409+Model!AD1410)</f>
        <v>1.461183547</v>
      </c>
      <c r="AE1566" s="160">
        <f>IF(Model!AE1352+Model!AE1353-AE1351-AE1514+AE1462&gt;0,(1-'Assumptions (Hydro)'!AD22)*(Model!AE1352+Model!AE1353-AE1351-AE1514+AE1462)+Model!AE1514-AE1409-+Model!AE1410,Model!AE1352+Model!AE1353-AE1351+AE1462-AE1409+Model!AE1410)</f>
        <v>1.436659509</v>
      </c>
      <c r="AF1566" s="160">
        <f>IF(Model!AF1352+Model!AF1353-AF1351-AF1514+AF1462&gt;0,(1-'Assumptions (Hydro)'!AE22)*(Model!AF1352+Model!AF1353-AF1351-AF1514+AF1462)+Model!AF1514-AF1409-+Model!AF1410,Model!AF1352+Model!AF1353-AF1351+AF1462-AF1409+Model!AF1410)</f>
        <v>1.417575911</v>
      </c>
      <c r="AG1566" s="160">
        <f>IF(Model!AG1352+Model!AG1353-AG1351-AG1514+AG1462&gt;0,(1-'Assumptions (Hydro)'!AF22)*(Model!AG1352+Model!AG1353-AG1351-AG1514+AG1462)+Model!AG1514-AG1409-+Model!AG1410,Model!AG1352+Model!AG1353-AG1351+AG1462-AG1409+Model!AG1410)</f>
        <v>1.397881665</v>
      </c>
      <c r="AH1566" s="160">
        <f>IF(Model!AH1352+Model!AH1353-AH1351-AH1514+AH1462&gt;0,(1-'Assumptions (Hydro)'!AG22)*(Model!AH1352+Model!AH1353-AH1351-AH1514+AH1462)+Model!AH1514-AH1409-+Model!AH1410,Model!AH1352+Model!AH1353-AH1351+AH1462-AH1409+Model!AH1410)</f>
        <v>1.379505525</v>
      </c>
      <c r="AI1566" s="160">
        <f>IF(Model!AI1352+Model!AI1353-AI1351-AI1514+AI1462&gt;0,(1-'Assumptions (Hydro)'!AH22)*(Model!AI1352+Model!AI1353-AI1351-AI1514+AI1462)+Model!AI1514-AI1409-+Model!AI1410,Model!AI1352+Model!AI1353-AI1351+AI1462-AI1409+Model!AI1410)</f>
        <v>1.352869137</v>
      </c>
      <c r="AJ1566" s="160">
        <f>IF(Model!AJ1352+Model!AJ1353-AJ1351-AJ1514+AJ1462&gt;0,(1-'Assumptions (Hydro)'!AI22)*(Model!AJ1352+Model!AJ1353-AJ1351-AJ1514+AJ1462)+Model!AJ1514-AJ1409-+Model!AJ1410,Model!AJ1352+Model!AJ1353-AJ1351+AJ1462-AJ1409+Model!AJ1410)</f>
        <v>1.324296274</v>
      </c>
      <c r="AK1566" s="160">
        <f>IF(Model!AK1352+Model!AK1353-AK1351-AK1514+AK1462&gt;0,(1-'Assumptions (Hydro)'!AJ22)*(Model!AK1352+Model!AK1353-AK1351-AK1514+AK1462)+Model!AK1514-AK1409-+Model!AK1410,Model!AK1352+Model!AK1353-AK1351+AK1462-AK1409+Model!AK1410)</f>
        <v>1.294808472</v>
      </c>
      <c r="AL1566" s="160">
        <f>IF(Model!AL1352+Model!AL1353-AL1351-AL1514+AL1462&gt;0,(1-'Assumptions (Hydro)'!AK22)*(Model!AL1352+Model!AL1353-AL1351-AL1514+AL1462)+Model!AL1514-AL1409-+Model!AL1410,Model!AL1352+Model!AL1353-AL1351+AL1462-AL1409+Model!AL1410)</f>
        <v>1.26656071</v>
      </c>
      <c r="AM1566" s="160">
        <f>IF(Model!AM1352+Model!AM1353-AM1351-AM1514+AM1462&gt;0,(1-'Assumptions (Hydro)'!AL22)*(Model!AM1352+Model!AM1353-AM1351-AM1514+AM1462)+Model!AM1514-AM1409-+Model!AM1410,Model!AM1352+Model!AM1353-AM1351+AM1462-AM1409+Model!AM1410)</f>
        <v>1.242993873</v>
      </c>
      <c r="AN1566" s="160">
        <f>IF(Model!AN1352+Model!AN1353-AN1351-AN1514+AN1462&gt;0,(1-'Assumptions (Hydro)'!AM22)*(Model!AN1352+Model!AN1353-AN1351-AN1514+AN1462)+Model!AN1514-AN1409-+Model!AN1410,Model!AN1352+Model!AN1353-AN1351+AN1462-AN1409+Model!AN1410)</f>
        <v>1.216357507</v>
      </c>
      <c r="AO1566" s="160">
        <f>IF(Model!AO1352+Model!AO1353-AO1351-AO1514+AO1462&gt;0,(1-'Assumptions (Hydro)'!AN22)*(Model!AO1352+Model!AO1353-AO1351-AO1514+AO1462)+Model!AO1514-AO1409-+Model!AO1410,Model!AO1352+Model!AO1353-AO1351+AO1462-AO1409+Model!AO1410)</f>
        <v>1.192132809</v>
      </c>
      <c r="AP1566" s="160">
        <f>IF(Model!AP1352+Model!AP1353-AP1351-AP1514+AP1462&gt;0,(1-'Assumptions (Hydro)'!AO22)*(Model!AP1352+Model!AP1353-AP1351-AP1514+AP1462)+Model!AP1514-AP1409-+Model!AP1410,Model!AP1352+Model!AP1353-AP1351+AP1462-AP1409+Model!AP1410)</f>
        <v>1.165973043</v>
      </c>
      <c r="AQ1566" s="160">
        <f>IF(Model!AQ1352+Model!AQ1353-AQ1351-AQ1514+AQ1462&gt;0,(1-'Assumptions (Hydro)'!AP22)*(Model!AQ1352+Model!AQ1353-AQ1351-AQ1514+AQ1462)+Model!AQ1514-AQ1409-+Model!AQ1410,Model!AQ1352+Model!AQ1353-AQ1351+AQ1462-AQ1409+Model!AQ1410)</f>
        <v>1.135357832</v>
      </c>
      <c r="AR1566" s="160">
        <f>IF(Model!AR1352+Model!AR1353-AR1351-AR1514+AR1462&gt;0,(1-'Assumptions (Hydro)'!AQ22)*(Model!AR1352+Model!AR1353-AR1351-AR1514+AR1462)+Model!AR1514-AR1409-+Model!AR1410,Model!AR1352+Model!AR1353-AR1351+AR1462-AR1409+Model!AR1410)</f>
        <v>1.10188502</v>
      </c>
      <c r="AS1566" s="160">
        <f>IF(Model!AS1352+Model!AS1353-AS1351-AS1514+AS1462&gt;0,(1-'Assumptions (Hydro)'!AR22)*(Model!AS1352+Model!AS1353-AS1351-AS1514+AS1462)+Model!AS1514-AS1409-+Model!AS1410,Model!AS1352+Model!AS1353-AS1351+AS1462-AS1409+Model!AS1410)</f>
        <v>1.066046882</v>
      </c>
      <c r="AT1566" s="160">
        <f>IF(Model!AT1352+Model!AT1353-AT1351-AT1514+AT1462&gt;0,(1-'Assumptions (Hydro)'!AS22)*(Model!AT1352+Model!AT1353-AT1351-AT1514+AT1462)+Model!AT1514-AT1409-+Model!AT1410,Model!AT1352+Model!AT1353-AT1351+AT1462-AT1409+Model!AT1410)</f>
        <v>1.029393715</v>
      </c>
      <c r="AU1566" s="160">
        <f>IF(Model!AU1352+Model!AU1353-AU1351-AU1514+AU1462&gt;0,(1-'Assumptions (Hydro)'!AT22)*(Model!AU1352+Model!AU1353-AU1351-AU1514+AU1462)+Model!AU1514-AU1409-+Model!AU1410,Model!AU1352+Model!AU1353-AU1351+AU1462-AU1409+Model!AU1410)</f>
        <v>0.9919257913</v>
      </c>
      <c r="AV1566" s="160">
        <f>IF(Model!AV1352+Model!AV1353-AV1351-AV1514+AV1462&gt;0,(1-'Assumptions (Hydro)'!AU22)*(Model!AV1352+Model!AV1353-AV1351-AV1514+AV1462)+Model!AV1514-AV1409-+Model!AV1410,Model!AV1352+Model!AV1353-AV1351+AV1462-AV1409+Model!AV1410)</f>
        <v>0.9525421267</v>
      </c>
      <c r="AW1566" s="160">
        <f>IF(Model!AW1352+Model!AW1353-AW1351-AW1514+AW1462&gt;0,(1-'Assumptions (Hydro)'!AV22)*(Model!AW1352+Model!AW1353-AW1351-AW1514+AW1462)+Model!AW1514-AW1409-+Model!AW1410,Model!AW1352+Model!AW1353-AW1351+AW1462-AW1409+Model!AW1410)</f>
        <v>0.9088085647</v>
      </c>
      <c r="AX1566" s="160">
        <f>IF(Model!AX1352+Model!AX1353-AX1351-AX1514+AX1462&gt;0,(1-'Assumptions (Hydro)'!AW22)*(Model!AX1352+Model!AX1353-AX1351-AX1514+AX1462)+Model!AX1514-AX1409-+Model!AX1410,Model!AX1352+Model!AX1353-AX1351+AX1462-AX1409+Model!AX1410)</f>
        <v>0.8663956127</v>
      </c>
      <c r="AY1566" s="160">
        <f>IF(Model!AY1352+Model!AY1353-AY1351-AY1514+AY1462&gt;0,(1-'Assumptions (Hydro)'!AX22)*(Model!AY1352+Model!AY1353-AY1351-AY1514+AY1462)+Model!AY1514-AY1409-+Model!AY1410,Model!AY1352+Model!AY1353-AY1351+AY1462-AY1409+Model!AY1410)</f>
        <v>0.8345642902</v>
      </c>
      <c r="AZ1566" s="160">
        <f>IF(Model!AZ1352+Model!AZ1353-AZ1351-AZ1514+AZ1462&gt;0,(1-'Assumptions (Hydro)'!AY22)*(Model!AZ1352+Model!AZ1353-AZ1351-AZ1514+AZ1462)+Model!AZ1514-AZ1409-+Model!AZ1410,Model!AZ1352+Model!AZ1353-AZ1351+AZ1462-AZ1409+Model!AZ1410)</f>
        <v>0.7904564951</v>
      </c>
      <c r="BA1566" s="160">
        <f>IF(Model!BA1352+Model!BA1353-BA1351-BA1514+BA1462&gt;0,(1-'Assumptions (Hydro)'!AZ22)*(Model!BA1352+Model!BA1353-BA1351-BA1514+BA1462)+Model!BA1514-BA1409-+Model!BA1410,Model!BA1352+Model!BA1353-BA1351+BA1462-BA1409+Model!BA1410)</f>
        <v>0.7381021883</v>
      </c>
    </row>
    <row r="1567" ht="15.75" customHeight="1">
      <c r="A1567" s="273" t="s">
        <v>64</v>
      </c>
      <c r="B1567" s="159" t="s">
        <v>351</v>
      </c>
      <c r="C1567" s="160">
        <f>IF(C1352+C1353-C1351-C1514+C1462&gt;0,'Assumptions (Hydro)'!B22*(C1352+C1353-C1351-C1514+C1462)-'Assumptions (Hydro)'!B23*Model!C1350/10^3,'Assumptions (Hydro)'!B23*Model!C1350/10^3)</f>
        <v>0.3393824892</v>
      </c>
      <c r="D1567" s="160">
        <f>IF(D1352+D1353-D1351-D1514+D1462&gt;0,'Assumptions (Hydro)'!C22*(D1352+D1353-D1351-D1514+D1462)-'Assumptions (Hydro)'!C23*Model!D1350/10^3,'Assumptions (Hydro)'!C23*Model!D1350/10^3)</f>
        <v>0.4061850732</v>
      </c>
      <c r="E1567" s="160">
        <f>IF(E1352+E1353-E1351-E1514+E1462&gt;0,'Assumptions (Hydro)'!D22*(E1352+E1353-E1351-E1514+E1462)-'Assumptions (Hydro)'!D23*Model!E1350/10^3,'Assumptions (Hydro)'!D23*Model!E1350/10^3)</f>
        <v>0.4133773197</v>
      </c>
      <c r="F1567" s="160">
        <f>IF(F1352+F1353-F1351-F1514+F1462&gt;0,'Assumptions (Hydro)'!E22*(F1352+F1353-F1351-F1514+F1462)-'Assumptions (Hydro)'!E23*Model!F1350/10^3,'Assumptions (Hydro)'!E23*Model!F1350/10^3)</f>
        <v>0.9217707689</v>
      </c>
      <c r="G1567" s="160">
        <f>IF(G1352+G1353-G1351-G1514+G1462&gt;0,'Assumptions (Hydro)'!F22*(G1352+G1353-G1351-G1514+G1462)-'Assumptions (Hydro)'!F23*Model!G1350/10^3,'Assumptions (Hydro)'!F23*Model!G1350/10^3)</f>
        <v>0.7756979976</v>
      </c>
      <c r="H1567" s="160">
        <f>IF(H1352+H1353-H1351-H1514+H1462&gt;0,'Assumptions (Hydro)'!G22*(H1352+H1353-H1351-H1514+H1462)-'Assumptions (Hydro)'!G23*Model!H1350/10^3,'Assumptions (Hydro)'!G23*Model!H1350/10^3)</f>
        <v>0.934854645</v>
      </c>
      <c r="I1567" s="160">
        <f>IF(I1352+I1353-I1351-I1514+I1462&gt;0,'Assumptions (Hydro)'!H22*(I1352+I1353-I1351-I1514+I1462)-'Assumptions (Hydro)'!H23*Model!I1350/10^3,'Assumptions (Hydro)'!H23*Model!I1350/10^3)</f>
        <v>0.5673805646</v>
      </c>
      <c r="J1567" s="160">
        <f>IF(J1352+J1353-J1351-J1514+J1462&gt;0,'Assumptions (Hydro)'!I22*(J1352+J1353-J1351-J1514+J1462)-'Assumptions (Hydro)'!I23*Model!J1350/10^3,'Assumptions (Hydro)'!I23*Model!J1350/10^3)</f>
        <v>0.4070356492</v>
      </c>
      <c r="K1567" s="160">
        <f>IF(K1352+K1353-K1351-K1514+K1462&gt;0,'Assumptions (Hydro)'!J22*(K1352+K1353-K1351-K1514+K1462)-'Assumptions (Hydro)'!J23*Model!K1350/10^3,'Assumptions (Hydro)'!J23*Model!K1350/10^3)</f>
        <v>0.5606694123</v>
      </c>
      <c r="L1567" s="160">
        <f>IF(L1352+L1353-L1351-L1514+L1462&gt;0,'Assumptions (Hydro)'!K22*(L1352+L1353-L1351-L1514+L1462)-'Assumptions (Hydro)'!K23*Model!L1350/10^3,'Assumptions (Hydro)'!K23*Model!L1350/10^3)</f>
        <v>0.7480850035</v>
      </c>
      <c r="M1567" s="160">
        <f>IF(M1352+M1353-M1351-M1514+M1462&gt;0,'Assumptions (Hydro)'!L22*(M1352+M1353-M1351-M1514+M1462)-'Assumptions (Hydro)'!L23*Model!M1350/10^3,'Assumptions (Hydro)'!L23*Model!M1350/10^3)</f>
        <v>0.597008601</v>
      </c>
      <c r="N1567" s="160">
        <f>IF(N1352+N1353-N1351-N1514+N1462&gt;0,'Assumptions (Hydro)'!M22*(N1352+N1353-N1351-N1514+N1462)-'Assumptions (Hydro)'!M23*Model!N1350/10^3,'Assumptions (Hydro)'!M23*Model!N1350/10^3)</f>
        <v>0.5536969289</v>
      </c>
      <c r="O1567" s="160">
        <f>IF(O1352+O1353-O1351-O1514+O1462&gt;0,'Assumptions (Hydro)'!N22*(O1352+O1353-O1351-O1514+O1462)-'Assumptions (Hydro)'!N23*Model!O1350/10^3,'Assumptions (Hydro)'!N23*Model!O1350/10^3)</f>
        <v>0.3808568306</v>
      </c>
      <c r="P1567" s="160">
        <f>IF(P1352+P1353-P1351-P1514+P1462&gt;0,'Assumptions (Hydro)'!O22*(P1352+P1353-P1351-P1514+P1462)-'Assumptions (Hydro)'!O23*Model!P1350/10^3,'Assumptions (Hydro)'!O23*Model!P1350/10^3)</f>
        <v>0.7949564039</v>
      </c>
      <c r="Q1567" s="160">
        <f>IF(Q1352+Q1353-Q1351-Q1514+Q1462&gt;0,'Assumptions (Hydro)'!P22*(Q1352+Q1353-Q1351-Q1514+Q1462)-'Assumptions (Hydro)'!P23*Model!Q1350/10^3,'Assumptions (Hydro)'!P23*Model!Q1350/10^3)</f>
        <v>0.6060232316</v>
      </c>
      <c r="R1567" s="160">
        <f>IF(R1352+R1353-R1351-R1514+R1462&gt;0,'Assumptions (Hydro)'!Q22*(R1352+R1353-R1351-R1514+R1462)-'Assumptions (Hydro)'!Q23*Model!R1350/10^3,'Assumptions (Hydro)'!Q23*Model!R1350/10^3)</f>
        <v>0.4965232881</v>
      </c>
      <c r="S1567" s="160">
        <f>IF(S1352+S1353-S1351-S1514+S1462&gt;0,'Assumptions (Hydro)'!R22*(S1352+S1353-S1351-S1514+S1462)-'Assumptions (Hydro)'!R23*Model!S1350/10^3,'Assumptions (Hydro)'!R23*Model!S1350/10^3)</f>
        <v>0.399454152</v>
      </c>
      <c r="T1567" s="160">
        <f>IF(T1352+T1353-T1351-T1514+T1462&gt;0,'Assumptions (Hydro)'!S22*(T1352+T1353-T1351-T1514+T1462)-'Assumptions (Hydro)'!S23*Model!T1350/10^3,'Assumptions (Hydro)'!S23*Model!T1350/10^3)</f>
        <v>0.4398519451</v>
      </c>
      <c r="U1567" s="160">
        <f>IF(U1352+U1353-U1351-U1514+U1462&gt;0,'Assumptions (Hydro)'!T22*(U1352+U1353-U1351-U1514+U1462)-'Assumptions (Hydro)'!T23*Model!U1350/10^3,'Assumptions (Hydro)'!T23*Model!U1350/10^3)</f>
        <v>0.3859936092</v>
      </c>
      <c r="V1567" s="160">
        <f>IF(V1352+V1353-V1351-V1514+V1462&gt;0,'Assumptions (Hydro)'!U22*(V1352+V1353-V1351-V1514+V1462)-'Assumptions (Hydro)'!U23*Model!V1350/10^3,'Assumptions (Hydro)'!U23*Model!V1350/10^3)</f>
        <v>0.3937011259</v>
      </c>
      <c r="W1567" s="160">
        <f>IF(W1352+W1353-W1351-W1514+W1462&gt;0,'Assumptions (Hydro)'!V22*(W1352+W1353-W1351-W1514+W1462)-'Assumptions (Hydro)'!V23*Model!W1350/10^3,'Assumptions (Hydro)'!V23*Model!W1350/10^3)</f>
        <v>0.4137496027</v>
      </c>
      <c r="X1567" s="160">
        <f>IF(X1352+X1353-X1351-X1514+X1462&gt;0,'Assumptions (Hydro)'!W22*(X1352+X1353-X1351-X1514+X1462)-'Assumptions (Hydro)'!W23*Model!X1350/10^3,'Assumptions (Hydro)'!W23*Model!X1350/10^3)</f>
        <v>0.4057897806</v>
      </c>
      <c r="Y1567" s="160">
        <f>IF(Y1352+Y1353-Y1351-Y1514+Y1462&gt;0,'Assumptions (Hydro)'!X22*(Y1352+Y1353-Y1351-Y1514+Y1462)-'Assumptions (Hydro)'!X23*Model!Y1350/10^3,'Assumptions (Hydro)'!X23*Model!Y1350/10^3)</f>
        <v>0.3982352494</v>
      </c>
      <c r="Z1567" s="160">
        <f>IF(Z1352+Z1353-Z1351-Z1514+Z1462&gt;0,'Assumptions (Hydro)'!Y22*(Z1352+Z1353-Z1351-Z1514+Z1462)-'Assumptions (Hydro)'!Y23*Model!Z1350/10^3,'Assumptions (Hydro)'!Y23*Model!Z1350/10^3)</f>
        <v>0.3940353058</v>
      </c>
      <c r="AA1567" s="160">
        <f>IF(AA1352+AA1353-AA1351-AA1514+AA1462&gt;0,'Assumptions (Hydro)'!Z22*(AA1352+AA1353-AA1351-AA1514+AA1462)-'Assumptions (Hydro)'!Z23*Model!AA1350/10^3,'Assumptions (Hydro)'!Z23*Model!AA1350/10^3)</f>
        <v>0.3909130236</v>
      </c>
      <c r="AB1567" s="160">
        <f>IF(AB1352+AB1353-AB1351-AB1514+AB1462&gt;0,'Assumptions (Hydro)'!AA22*(AB1352+AB1353-AB1351-AB1514+AB1462)-'Assumptions (Hydro)'!AA23*Model!AB1350/10^3,'Assumptions (Hydro)'!AA23*Model!AB1350/10^3)</f>
        <v>0.3919495327</v>
      </c>
      <c r="AC1567" s="160">
        <f>IF(AC1352+AC1353-AC1351-AC1514+AC1462&gt;0,'Assumptions (Hydro)'!AB22*(AC1352+AC1353-AC1351-AC1514+AC1462)-'Assumptions (Hydro)'!AB23*Model!AC1350/10^3,'Assumptions (Hydro)'!AB23*Model!AC1350/10^3)</f>
        <v>0.3869181705</v>
      </c>
      <c r="AD1567" s="160">
        <f>IF(AD1352+AD1353-AD1351-AD1514+AD1462&gt;0,'Assumptions (Hydro)'!AC22*(AD1352+AD1353-AD1351-AD1514+AD1462)-'Assumptions (Hydro)'!AC23*Model!AD1350/10^3,'Assumptions (Hydro)'!AC23*Model!AD1350/10^3)</f>
        <v>0.3846131298</v>
      </c>
      <c r="AE1567" s="160">
        <f>IF(AE1352+AE1353-AE1351-AE1514+AE1462&gt;0,'Assumptions (Hydro)'!AD22*(AE1352+AE1353-AE1351-AE1514+AE1462)-'Assumptions (Hydro)'!AD23*Model!AE1350/10^3,'Assumptions (Hydro)'!AD23*Model!AE1350/10^3)</f>
        <v>0.3813392705</v>
      </c>
      <c r="AF1567" s="160">
        <f>IF(AF1352+AF1353-AF1351-AF1514+AF1462&gt;0,'Assumptions (Hydro)'!AE22*(AF1352+AF1353-AF1351-AF1514+AF1462)-'Assumptions (Hydro)'!AE23*Model!AF1350/10^3,'Assumptions (Hydro)'!AE23*Model!AF1350/10^3)</f>
        <v>0.3768239763</v>
      </c>
      <c r="AG1567" s="160">
        <f>IF(AG1352+AG1353-AG1351-AG1514+AG1462&gt;0,'Assumptions (Hydro)'!AF22*(AG1352+AG1353-AG1351-AG1514+AG1462)-'Assumptions (Hydro)'!AF23*Model!AG1350/10^3,'Assumptions (Hydro)'!AF23*Model!AG1350/10^3)</f>
        <v>0.3715887971</v>
      </c>
      <c r="AH1567" s="160">
        <f>IF(AH1352+AH1353-AH1351-AH1514+AH1462&gt;0,'Assumptions (Hydro)'!AG22*(AH1352+AH1353-AH1351-AH1514+AH1462)-'Assumptions (Hydro)'!AG23*Model!AH1350/10^3,'Assumptions (Hydro)'!AG23*Model!AH1350/10^3)</f>
        <v>0.3667040002</v>
      </c>
      <c r="AI1567" s="160">
        <f>IF(AI1352+AI1353-AI1351-AI1514+AI1462&gt;0,'Assumptions (Hydro)'!AH22*(AI1352+AI1353-AI1351-AI1514+AI1462)-'Assumptions (Hydro)'!AH23*Model!AI1350/10^3,'Assumptions (Hydro)'!AH23*Model!AI1350/10^3)</f>
        <v>0.3596234414</v>
      </c>
      <c r="AJ1567" s="160">
        <f>IF(AJ1352+AJ1353-AJ1351-AJ1514+AJ1462&gt;0,'Assumptions (Hydro)'!AI22*(AJ1352+AJ1353-AJ1351-AJ1514+AJ1462)-'Assumptions (Hydro)'!AI23*Model!AJ1350/10^3,'Assumptions (Hydro)'!AI23*Model!AJ1350/10^3)</f>
        <v>0.3520281236</v>
      </c>
      <c r="AK1567" s="160">
        <f>IF(AK1352+AK1353-AK1351-AK1514+AK1462&gt;0,'Assumptions (Hydro)'!AJ22*(AK1352+AK1353-AK1351-AK1514+AK1462)-'Assumptions (Hydro)'!AJ23*Model!AK1350/10^3,'Assumptions (Hydro)'!AJ23*Model!AK1350/10^3)</f>
        <v>0.3441895938</v>
      </c>
      <c r="AL1567" s="160">
        <f>IF(AL1352+AL1353-AL1351-AL1514+AL1462&gt;0,'Assumptions (Hydro)'!AK22*(AL1352+AL1353-AL1351-AL1514+AL1462)-'Assumptions (Hydro)'!AK23*Model!AL1350/10^3,'Assumptions (Hydro)'!AK23*Model!AL1350/10^3)</f>
        <v>0.3366806952</v>
      </c>
      <c r="AM1567" s="160">
        <f>IF(AM1352+AM1353-AM1351-AM1514+AM1462&gt;0,'Assumptions (Hydro)'!AL22*(AM1352+AM1353-AM1351-AM1514+AM1462)-'Assumptions (Hydro)'!AL23*Model!AM1350/10^3,'Assumptions (Hydro)'!AL23*Model!AM1350/10^3)</f>
        <v>0.3304160928</v>
      </c>
      <c r="AN1567" s="160">
        <f>IF(AN1352+AN1353-AN1351-AN1514+AN1462&gt;0,'Assumptions (Hydro)'!AM22*(AN1352+AN1353-AN1351-AN1514+AN1462)-'Assumptions (Hydro)'!AM23*Model!AN1350/10^3,'Assumptions (Hydro)'!AM23*Model!AN1350/10^3)</f>
        <v>0.3233355398</v>
      </c>
      <c r="AO1567" s="160">
        <f>IF(AO1352+AO1353-AO1351-AO1514+AO1462&gt;0,'Assumptions (Hydro)'!AN22*(AO1352+AO1353-AO1351-AO1514+AO1462)-'Assumptions (Hydro)'!AN23*Model!AO1350/10^3,'Assumptions (Hydro)'!AN23*Model!AO1350/10^3)</f>
        <v>0.3168960632</v>
      </c>
      <c r="AP1567" s="160">
        <f>IF(AP1352+AP1353-AP1351-AP1514+AP1462&gt;0,'Assumptions (Hydro)'!AO22*(AP1352+AP1353-AP1351-AP1514+AP1462)-'Assumptions (Hydro)'!AO23*Model!AP1350/10^3,'Assumptions (Hydro)'!AO23*Model!AP1350/10^3)</f>
        <v>0.3099422013</v>
      </c>
      <c r="AQ1567" s="160">
        <f>IF(AQ1352+AQ1353-AQ1351-AQ1514+AQ1462&gt;0,'Assumptions (Hydro)'!AP22*(AQ1352+AQ1353-AQ1351-AQ1514+AQ1462)-'Assumptions (Hydro)'!AP23*Model!AQ1350/10^3,'Assumptions (Hydro)'!AP23*Model!AQ1350/10^3)</f>
        <v>0.3018039806</v>
      </c>
      <c r="AR1567" s="160">
        <f>IF(AR1352+AR1353-AR1351-AR1514+AR1462&gt;0,'Assumptions (Hydro)'!AQ22*(AR1352+AR1353-AR1351-AR1514+AR1462)-'Assumptions (Hydro)'!AQ23*Model!AR1350/10^3,'Assumptions (Hydro)'!AQ23*Model!AR1350/10^3)</f>
        <v>0.2929061444</v>
      </c>
      <c r="AS1567" s="160">
        <f>IF(AS1352+AS1353-AS1351-AS1514+AS1462&gt;0,'Assumptions (Hydro)'!AR22*(AS1352+AS1353-AS1351-AS1514+AS1462)-'Assumptions (Hydro)'!AR23*Model!AS1350/10^3,'Assumptions (Hydro)'!AR23*Model!AS1350/10^3)</f>
        <v>0.283379551</v>
      </c>
      <c r="AT1567" s="160">
        <f>IF(AT1352+AT1353-AT1351-AT1514+AT1462&gt;0,'Assumptions (Hydro)'!AS22*(AT1352+AT1353-AT1351-AT1514+AT1462)-'Assumptions (Hydro)'!AS23*Model!AT1350/10^3,'Assumptions (Hydro)'!AS23*Model!AT1350/10^3)</f>
        <v>0.273636304</v>
      </c>
      <c r="AU1567" s="160">
        <f>IF(AU1352+AU1353-AU1351-AU1514+AU1462&gt;0,'Assumptions (Hydro)'!AT22*(AU1352+AU1353-AU1351-AU1514+AU1462)-'Assumptions (Hydro)'!AT23*Model!AU1350/10^3,'Assumptions (Hydro)'!AT23*Model!AU1350/10^3)</f>
        <v>0.2636764762</v>
      </c>
      <c r="AV1567" s="160">
        <f>IF(AV1352+AV1353-AV1351-AV1514+AV1462&gt;0,'Assumptions (Hydro)'!AU22*(AV1352+AV1353-AV1351-AV1514+AV1462)-'Assumptions (Hydro)'!AU23*Model!AV1350/10^3,'Assumptions (Hydro)'!AU23*Model!AV1350/10^3)</f>
        <v>0.2532074008</v>
      </c>
      <c r="AW1567" s="160">
        <f>IF(AW1352+AW1353-AW1351-AW1514+AW1462&gt;0,'Assumptions (Hydro)'!AV22*(AW1352+AW1353-AW1351-AW1514+AW1462)-'Assumptions (Hydro)'!AV23*Model!AW1350/10^3,'Assumptions (Hydro)'!AV23*Model!AW1350/10^3)</f>
        <v>0.2415820235</v>
      </c>
      <c r="AX1567" s="160">
        <f>IF(AX1352+AX1353-AX1351-AX1514+AX1462&gt;0,'Assumptions (Hydro)'!AW22*(AX1352+AX1353-AX1351-AX1514+AX1462)-'Assumptions (Hydro)'!AW23*Model!AX1350/10^3,'Assumptions (Hydro)'!AW23*Model!AX1350/10^3)</f>
        <v>0.2303076945</v>
      </c>
      <c r="AY1567" s="160">
        <f>IF(AY1352+AY1353-AY1351-AY1514+AY1462&gt;0,'Assumptions (Hydro)'!AX22*(AY1352+AY1353-AY1351-AY1514+AY1462)-'Assumptions (Hydro)'!AX23*Model!AY1350/10^3,'Assumptions (Hydro)'!AX23*Model!AY1350/10^3)</f>
        <v>0.2218462037</v>
      </c>
      <c r="AZ1567" s="160">
        <f>IF(AZ1352+AZ1353-AZ1351-AZ1514+AZ1462&gt;0,'Assumptions (Hydro)'!AY22*(AZ1352+AZ1353-AZ1351-AZ1514+AZ1462)-'Assumptions (Hydro)'!AY23*Model!AZ1350/10^3,'Assumptions (Hydro)'!AY23*Model!AZ1350/10^3)</f>
        <v>0.2101213468</v>
      </c>
      <c r="BA1567" s="160">
        <f>IF(BA1352+BA1353-BA1351-BA1514+BA1462&gt;0,'Assumptions (Hydro)'!AZ22*(BA1352+BA1353-BA1351-BA1514+BA1462)-'Assumptions (Hydro)'!AZ23*Model!BA1350/10^3,'Assumptions (Hydro)'!AZ23*Model!BA1350/10^3)</f>
        <v>0.1962043792</v>
      </c>
    </row>
    <row r="1568" ht="15.75" customHeight="1">
      <c r="A1568" s="282" t="s">
        <v>363</v>
      </c>
      <c r="B1568" s="150" t="s">
        <v>364</v>
      </c>
      <c r="C1568" s="283">
        <v>0.0</v>
      </c>
      <c r="D1568" s="283">
        <v>0.0</v>
      </c>
      <c r="E1568" s="283">
        <v>0.0</v>
      </c>
      <c r="F1568" s="283">
        <v>0.0</v>
      </c>
      <c r="G1568" s="283">
        <v>0.0</v>
      </c>
      <c r="H1568" s="283">
        <v>0.0</v>
      </c>
      <c r="I1568" s="283">
        <v>0.0</v>
      </c>
      <c r="J1568" s="283">
        <v>0.0</v>
      </c>
      <c r="K1568" s="283">
        <v>0.0</v>
      </c>
      <c r="L1568" s="283">
        <v>0.0</v>
      </c>
      <c r="M1568" s="283">
        <v>0.0</v>
      </c>
      <c r="N1568" s="283">
        <v>0.0</v>
      </c>
      <c r="O1568" s="283">
        <v>0.0</v>
      </c>
      <c r="P1568" s="283">
        <v>0.0</v>
      </c>
      <c r="Q1568" s="283">
        <v>0.0</v>
      </c>
      <c r="R1568" s="283">
        <v>0.0</v>
      </c>
      <c r="S1568" s="283">
        <v>0.0</v>
      </c>
      <c r="T1568" s="283">
        <v>0.0</v>
      </c>
      <c r="U1568" s="283">
        <v>0.0</v>
      </c>
      <c r="V1568" s="283">
        <v>0.0</v>
      </c>
      <c r="W1568" s="283">
        <v>0.0</v>
      </c>
      <c r="X1568" s="283">
        <v>0.0</v>
      </c>
      <c r="Y1568" s="283">
        <v>0.0</v>
      </c>
      <c r="Z1568" s="283">
        <v>0.0</v>
      </c>
      <c r="AA1568" s="283">
        <v>0.0</v>
      </c>
      <c r="AB1568" s="283">
        <v>0.0</v>
      </c>
      <c r="AC1568" s="283">
        <v>0.0</v>
      </c>
      <c r="AD1568" s="283">
        <v>0.0</v>
      </c>
      <c r="AE1568" s="283">
        <v>0.0</v>
      </c>
      <c r="AF1568" s="283">
        <v>0.0</v>
      </c>
      <c r="AG1568" s="283">
        <v>0.0</v>
      </c>
      <c r="AH1568" s="283">
        <v>0.0</v>
      </c>
      <c r="AI1568" s="283">
        <v>0.0</v>
      </c>
      <c r="AJ1568" s="283">
        <v>0.0</v>
      </c>
      <c r="AK1568" s="283">
        <v>0.0</v>
      </c>
      <c r="AL1568" s="283">
        <v>0.0</v>
      </c>
      <c r="AM1568" s="283">
        <v>0.0</v>
      </c>
      <c r="AN1568" s="283">
        <v>0.0</v>
      </c>
      <c r="AO1568" s="283">
        <v>0.0</v>
      </c>
      <c r="AP1568" s="283">
        <v>0.0</v>
      </c>
      <c r="AQ1568" s="283">
        <v>0.0</v>
      </c>
      <c r="AR1568" s="283">
        <v>0.0</v>
      </c>
      <c r="AS1568" s="283">
        <v>0.0</v>
      </c>
      <c r="AT1568" s="283">
        <v>0.0</v>
      </c>
      <c r="AU1568" s="283">
        <v>0.0</v>
      </c>
      <c r="AV1568" s="283">
        <v>0.0</v>
      </c>
      <c r="AW1568" s="283">
        <v>0.0</v>
      </c>
      <c r="AX1568" s="283">
        <v>0.0</v>
      </c>
      <c r="AY1568" s="283">
        <v>0.0</v>
      </c>
      <c r="AZ1568" s="283">
        <v>0.0</v>
      </c>
      <c r="BA1568" s="283">
        <v>0.0</v>
      </c>
    </row>
    <row r="1569" ht="15.75" customHeight="1">
      <c r="A1569" s="284" t="s">
        <v>428</v>
      </c>
      <c r="B1569" s="24"/>
      <c r="C1569" s="285"/>
      <c r="D1569" s="285"/>
      <c r="E1569" s="285"/>
      <c r="F1569" s="285"/>
      <c r="G1569" s="285"/>
      <c r="H1569" s="285"/>
      <c r="I1569" s="285"/>
      <c r="J1569" s="285"/>
      <c r="K1569" s="285"/>
      <c r="L1569" s="285"/>
      <c r="M1569" s="285"/>
      <c r="N1569" s="285"/>
      <c r="O1569" s="285"/>
      <c r="P1569" s="285"/>
      <c r="Q1569" s="285"/>
      <c r="R1569" s="285"/>
      <c r="S1569" s="285"/>
      <c r="T1569" s="79"/>
      <c r="U1569" s="79"/>
      <c r="V1569" s="79"/>
      <c r="W1569" s="231"/>
      <c r="X1569" s="286"/>
      <c r="Y1569" s="286"/>
      <c r="Z1569" s="286"/>
      <c r="AA1569" s="286"/>
      <c r="AB1569" s="286"/>
      <c r="AC1569" s="286"/>
      <c r="AD1569" s="286"/>
      <c r="AE1569" s="286"/>
      <c r="AF1569" s="286"/>
      <c r="AG1569" s="286"/>
      <c r="AH1569" s="286"/>
      <c r="AI1569" s="286"/>
      <c r="AJ1569" s="286"/>
      <c r="AK1569" s="286"/>
      <c r="AL1569" s="286"/>
      <c r="AM1569" s="286"/>
      <c r="AN1569" s="286"/>
      <c r="AO1569" s="286"/>
      <c r="AP1569" s="286"/>
      <c r="AQ1569" s="286"/>
      <c r="AR1569" s="286"/>
      <c r="AS1569" s="286"/>
      <c r="AT1569" s="286"/>
      <c r="AU1569" s="286"/>
      <c r="AV1569" s="286"/>
      <c r="AW1569" s="286"/>
      <c r="AX1569" s="286"/>
      <c r="AY1569" s="286"/>
      <c r="AZ1569" s="286"/>
      <c r="BA1569" s="286"/>
    </row>
    <row r="1570" ht="15.75" customHeight="1">
      <c r="A1570" s="287"/>
      <c r="B1570" s="38"/>
      <c r="C1570" s="288"/>
      <c r="D1570" s="288"/>
      <c r="E1570" s="288"/>
      <c r="F1570" s="288"/>
      <c r="G1570" s="288"/>
      <c r="H1570" s="288"/>
      <c r="I1570" s="288"/>
      <c r="J1570" s="288"/>
      <c r="K1570" s="288"/>
      <c r="L1570" s="288"/>
      <c r="M1570" s="288"/>
      <c r="N1570" s="288"/>
      <c r="O1570" s="288"/>
      <c r="P1570" s="288"/>
      <c r="Q1570" s="288"/>
      <c r="R1570" s="288"/>
      <c r="S1570" s="288"/>
      <c r="T1570" s="289"/>
      <c r="U1570" s="289"/>
      <c r="V1570" s="289"/>
      <c r="W1570" s="231"/>
      <c r="X1570" s="183"/>
      <c r="Y1570" s="183"/>
      <c r="Z1570" s="183"/>
      <c r="AA1570" s="183"/>
      <c r="AB1570" s="183"/>
      <c r="AC1570" s="183"/>
      <c r="AD1570" s="183"/>
      <c r="AE1570" s="183"/>
      <c r="AF1570" s="183"/>
      <c r="AG1570" s="183"/>
      <c r="AH1570" s="183"/>
      <c r="AI1570" s="183"/>
      <c r="AJ1570" s="183"/>
      <c r="AK1570" s="183"/>
      <c r="AL1570" s="183"/>
      <c r="AM1570" s="183"/>
      <c r="AN1570" s="183"/>
      <c r="AO1570" s="183"/>
      <c r="AP1570" s="183"/>
      <c r="AQ1570" s="183"/>
      <c r="AR1570" s="183"/>
      <c r="AS1570" s="183"/>
      <c r="AT1570" s="183"/>
      <c r="AU1570" s="183"/>
      <c r="AV1570" s="183"/>
      <c r="AW1570" s="183"/>
      <c r="AX1570" s="183"/>
      <c r="AY1570" s="183"/>
      <c r="AZ1570" s="183"/>
      <c r="BA1570" s="290"/>
    </row>
    <row r="1571" ht="15.75" customHeight="1">
      <c r="A1571" s="284" t="s">
        <v>429</v>
      </c>
      <c r="B1571" s="65"/>
      <c r="C1571" s="160"/>
      <c r="D1571" s="160"/>
      <c r="E1571" s="160"/>
      <c r="F1571" s="160"/>
      <c r="G1571" s="160"/>
      <c r="H1571" s="160"/>
      <c r="I1571" s="160"/>
      <c r="J1571" s="160"/>
      <c r="K1571" s="160"/>
      <c r="L1571" s="160"/>
      <c r="M1571" s="160"/>
      <c r="N1571" s="160"/>
      <c r="O1571" s="160"/>
      <c r="P1571" s="160"/>
      <c r="Q1571" s="160"/>
      <c r="R1571" s="160"/>
      <c r="S1571" s="160"/>
      <c r="T1571" s="160"/>
      <c r="U1571" s="160"/>
      <c r="V1571" s="160"/>
      <c r="W1571" s="160"/>
      <c r="X1571" s="160"/>
      <c r="Y1571" s="160"/>
      <c r="Z1571" s="160"/>
      <c r="AA1571" s="160"/>
      <c r="AB1571" s="160"/>
      <c r="AC1571" s="160"/>
      <c r="AD1571" s="160"/>
      <c r="AE1571" s="160"/>
      <c r="AF1571" s="160"/>
      <c r="AG1571" s="160"/>
      <c r="AH1571" s="160"/>
      <c r="AI1571" s="160"/>
      <c r="AJ1571" s="160"/>
      <c r="AK1571" s="160"/>
      <c r="AL1571" s="160"/>
      <c r="AM1571" s="160"/>
      <c r="AN1571" s="160"/>
      <c r="AO1571" s="160"/>
      <c r="AP1571" s="160"/>
      <c r="AQ1571" s="160"/>
      <c r="AR1571" s="160"/>
      <c r="AS1571" s="160"/>
      <c r="AT1571" s="160"/>
      <c r="AU1571" s="160"/>
      <c r="AV1571" s="160"/>
      <c r="AW1571" s="160"/>
      <c r="AX1571" s="160"/>
      <c r="AY1571" s="160"/>
      <c r="AZ1571" s="160"/>
      <c r="BA1571" s="160"/>
    </row>
    <row r="1572" ht="15.75" customHeight="1">
      <c r="A1572" s="287"/>
      <c r="B1572" s="234" t="s">
        <v>411</v>
      </c>
      <c r="C1572" s="291"/>
      <c r="D1572" s="215"/>
      <c r="E1572" s="215"/>
      <c r="F1572" s="215"/>
      <c r="G1572" s="215"/>
      <c r="H1572" s="215"/>
      <c r="I1572" s="215"/>
      <c r="J1572" s="215"/>
      <c r="K1572" s="215"/>
      <c r="L1572" s="215"/>
      <c r="M1572" s="215"/>
      <c r="N1572" s="215"/>
      <c r="O1572" s="215"/>
      <c r="P1572" s="215"/>
      <c r="Q1572" s="215"/>
      <c r="R1572" s="215"/>
      <c r="S1572" s="215"/>
      <c r="T1572" s="215"/>
      <c r="U1572" s="215"/>
      <c r="V1572" s="215"/>
      <c r="W1572" s="215"/>
      <c r="X1572" s="292">
        <f>'Assumptions (Geo)'!W39</f>
        <v>0</v>
      </c>
      <c r="Y1572" s="292">
        <f>'Assumptions (Geo)'!X39</f>
        <v>0</v>
      </c>
      <c r="Z1572" s="292">
        <f>'Assumptions (Geo)'!Y39</f>
        <v>0</v>
      </c>
      <c r="AA1572" s="292">
        <f>'Assumptions (Geo)'!Z39</f>
        <v>0</v>
      </c>
      <c r="AB1572" s="292">
        <f>'Assumptions (Geo)'!AA39</f>
        <v>0</v>
      </c>
      <c r="AC1572" s="292">
        <f>'Assumptions (Geo)'!AB39</f>
        <v>0</v>
      </c>
      <c r="AD1572" s="292">
        <f>'Assumptions (Geo)'!AC39</f>
        <v>0</v>
      </c>
      <c r="AE1572" s="292">
        <f>'Assumptions (Geo)'!AD39</f>
        <v>0</v>
      </c>
      <c r="AF1572" s="292">
        <f>'Assumptions (Geo)'!AE39</f>
        <v>0</v>
      </c>
      <c r="AG1572" s="292">
        <f>'Assumptions (Geo)'!AF39</f>
        <v>0</v>
      </c>
      <c r="AH1572" s="292">
        <f>'Assumptions (Geo)'!AG39</f>
        <v>0</v>
      </c>
      <c r="AI1572" s="292">
        <f>'Assumptions (Geo)'!AH39</f>
        <v>0</v>
      </c>
      <c r="AJ1572" s="292">
        <f>'Assumptions (Geo)'!AI39</f>
        <v>0</v>
      </c>
      <c r="AK1572" s="292">
        <f>'Assumptions (Geo)'!AJ39</f>
        <v>0</v>
      </c>
      <c r="AL1572" s="292">
        <f>'Assumptions (Geo)'!AK39</f>
        <v>0</v>
      </c>
      <c r="AM1572" s="292">
        <f>'Assumptions (Geo)'!AL39</f>
        <v>0</v>
      </c>
      <c r="AN1572" s="292">
        <f>'Assumptions (Geo)'!AM39</f>
        <v>0</v>
      </c>
      <c r="AO1572" s="292">
        <f>'Assumptions (Geo)'!AN39</f>
        <v>0</v>
      </c>
      <c r="AP1572" s="292">
        <f>'Assumptions (Geo)'!AO39</f>
        <v>0</v>
      </c>
      <c r="AQ1572" s="292">
        <f>'Assumptions (Geo)'!AP39</f>
        <v>0</v>
      </c>
      <c r="AR1572" s="292">
        <f>'Assumptions (Geo)'!AQ39</f>
        <v>0</v>
      </c>
      <c r="AS1572" s="292">
        <f>'Assumptions (Geo)'!AR39</f>
        <v>0</v>
      </c>
      <c r="AT1572" s="292">
        <f>'Assumptions (Geo)'!AS39</f>
        <v>0</v>
      </c>
      <c r="AU1572" s="292">
        <f>'Assumptions (Geo)'!AT39</f>
        <v>0</v>
      </c>
      <c r="AV1572" s="292">
        <f>'Assumptions (Geo)'!AU39</f>
        <v>0</v>
      </c>
      <c r="AW1572" s="292">
        <f>'Assumptions (Geo)'!AV39</f>
        <v>0</v>
      </c>
      <c r="AX1572" s="292">
        <f>'Assumptions (Geo)'!AW39</f>
        <v>0</v>
      </c>
      <c r="AY1572" s="292">
        <f>'Assumptions (Geo)'!AX39</f>
        <v>0</v>
      </c>
      <c r="AZ1572" s="292">
        <f>'Assumptions (Geo)'!AY39</f>
        <v>0</v>
      </c>
      <c r="BA1572" s="292">
        <f>'Assumptions (Geo)'!AZ39</f>
        <v>0</v>
      </c>
    </row>
    <row r="1573" ht="15.75" customHeight="1">
      <c r="A1573" s="284" t="s">
        <v>430</v>
      </c>
      <c r="B1573" s="237" t="s">
        <v>413</v>
      </c>
      <c r="C1573" s="291"/>
      <c r="D1573" s="291"/>
      <c r="E1573" s="291"/>
      <c r="F1573" s="291"/>
      <c r="G1573" s="291"/>
      <c r="H1573" s="291"/>
      <c r="I1573" s="291"/>
      <c r="J1573" s="291"/>
      <c r="K1573" s="215"/>
      <c r="L1573" s="215"/>
      <c r="M1573" s="215"/>
      <c r="N1573" s="215"/>
      <c r="O1573" s="215"/>
      <c r="P1573" s="215"/>
      <c r="Q1573" s="215"/>
      <c r="R1573" s="215"/>
      <c r="S1573" s="215"/>
      <c r="T1573" s="215"/>
      <c r="U1573" s="215"/>
      <c r="V1573" s="215"/>
      <c r="W1573" s="215"/>
      <c r="X1573" s="238">
        <f>W1574-'Assumptions (Geo)'!W39+W1579</f>
        <v>0</v>
      </c>
      <c r="Y1573" s="167">
        <f>X1573-'Assumptions (Geo)'!X39+X1579</f>
        <v>0</v>
      </c>
      <c r="Z1573" s="167">
        <f>Y1573-'Assumptions (Geo)'!Y39+Y1579</f>
        <v>0</v>
      </c>
      <c r="AA1573" s="167">
        <f>Z1573-'Assumptions (Geo)'!Z39+Z1579</f>
        <v>0</v>
      </c>
      <c r="AB1573" s="167">
        <f>AA1573-'Assumptions (Geo)'!AA39+AA1579</f>
        <v>0</v>
      </c>
      <c r="AC1573" s="167">
        <f>AB1573-'Assumptions (Geo)'!AB39+AB1579</f>
        <v>0</v>
      </c>
      <c r="AD1573" s="167">
        <f>AC1573-'Assumptions (Geo)'!AC39+AC1579</f>
        <v>0</v>
      </c>
      <c r="AE1573" s="167">
        <f>AD1573-'Assumptions (Geo)'!AD39+AD1579</f>
        <v>0</v>
      </c>
      <c r="AF1573" s="167">
        <f>AE1573-'Assumptions (Geo)'!AE39+AE1579</f>
        <v>0</v>
      </c>
      <c r="AG1573" s="167">
        <f>AF1573-'Assumptions (Geo)'!AF39+AF1579</f>
        <v>0</v>
      </c>
      <c r="AH1573" s="167">
        <f>AG1573-'Assumptions (Geo)'!AG39+AG1579</f>
        <v>0</v>
      </c>
      <c r="AI1573" s="167">
        <f>AH1573-'Assumptions (Geo)'!AH39+AH1579</f>
        <v>0</v>
      </c>
      <c r="AJ1573" s="167">
        <f>AI1573-'Assumptions (Geo)'!AI39+AI1579</f>
        <v>0</v>
      </c>
      <c r="AK1573" s="167">
        <f>AJ1573-'Assumptions (Geo)'!AJ39+AJ1579</f>
        <v>0</v>
      </c>
      <c r="AL1573" s="167">
        <f>AK1573-'Assumptions (Geo)'!AK39+AK1579</f>
        <v>0</v>
      </c>
      <c r="AM1573" s="167">
        <f>AL1573-'Assumptions (Geo)'!AL39+AL1579</f>
        <v>0</v>
      </c>
      <c r="AN1573" s="167">
        <f>AM1573-'Assumptions (Geo)'!AM39+AM1579</f>
        <v>0</v>
      </c>
      <c r="AO1573" s="167">
        <f>AN1573-'Assumptions (Geo)'!AN39+AN1579</f>
        <v>0</v>
      </c>
      <c r="AP1573" s="167">
        <f>AO1573-'Assumptions (Geo)'!AO39+AO1579</f>
        <v>0</v>
      </c>
      <c r="AQ1573" s="167">
        <f>AP1573-'Assumptions (Geo)'!AP39+AP1579</f>
        <v>0</v>
      </c>
      <c r="AR1573" s="167">
        <f>AQ1573-'Assumptions (Geo)'!AQ39+AQ1579</f>
        <v>0</v>
      </c>
      <c r="AS1573" s="167">
        <f>AR1573-'Assumptions (Geo)'!AR39+AR1579</f>
        <v>0</v>
      </c>
      <c r="AT1573" s="167">
        <f>AS1573-'Assumptions (Geo)'!AS39+AS1579</f>
        <v>0</v>
      </c>
      <c r="AU1573" s="167">
        <f>AT1573-'Assumptions (Geo)'!AT39+AT1579</f>
        <v>0</v>
      </c>
      <c r="AV1573" s="167">
        <f>AU1573-'Assumptions (Geo)'!AU39+AU1579</f>
        <v>0</v>
      </c>
      <c r="AW1573" s="167">
        <f>AV1573-'Assumptions (Geo)'!AV39+AV1579</f>
        <v>0</v>
      </c>
      <c r="AX1573" s="167">
        <f>AW1573-'Assumptions (Geo)'!AW39+AW1579</f>
        <v>0</v>
      </c>
      <c r="AY1573" s="167">
        <f>AX1573-'Assumptions (Geo)'!AX39+AX1579</f>
        <v>0</v>
      </c>
      <c r="AZ1573" s="167">
        <f>AY1573-'Assumptions (Geo)'!AY39+AY1579</f>
        <v>0</v>
      </c>
      <c r="BA1573" s="167">
        <f>AZ1573-'Assumptions (Geo)'!AZ39+AZ1579</f>
        <v>0</v>
      </c>
    </row>
    <row r="1574" ht="15.75" customHeight="1">
      <c r="A1574" s="293" t="s">
        <v>431</v>
      </c>
      <c r="B1574" s="150" t="s">
        <v>149</v>
      </c>
      <c r="C1574" s="171">
        <v>0.0</v>
      </c>
      <c r="D1574" s="171">
        <v>0.0</v>
      </c>
      <c r="E1574" s="171">
        <v>0.0</v>
      </c>
      <c r="F1574" s="171">
        <v>0.0</v>
      </c>
      <c r="G1574" s="171">
        <v>0.0</v>
      </c>
      <c r="H1574" s="171">
        <v>0.0</v>
      </c>
      <c r="I1574" s="171">
        <v>0.0</v>
      </c>
      <c r="J1574" s="171">
        <v>0.0</v>
      </c>
      <c r="K1574" s="171">
        <v>0.0</v>
      </c>
      <c r="L1574" s="171">
        <v>0.0</v>
      </c>
      <c r="M1574" s="171">
        <v>0.0</v>
      </c>
      <c r="N1574" s="171">
        <v>0.0</v>
      </c>
      <c r="O1574" s="171">
        <v>0.0</v>
      </c>
      <c r="P1574" s="171">
        <v>0.0</v>
      </c>
      <c r="Q1574" s="171">
        <v>0.0</v>
      </c>
      <c r="R1574" s="171">
        <v>0.0</v>
      </c>
      <c r="S1574" s="171">
        <v>0.0</v>
      </c>
      <c r="T1574" s="171">
        <v>0.0</v>
      </c>
      <c r="U1574" s="171">
        <v>0.0</v>
      </c>
      <c r="V1574" s="153">
        <f t="shared" ref="V1574:W1574" si="58">U1574+V1579</f>
        <v>0</v>
      </c>
      <c r="W1574" s="153">
        <f t="shared" si="58"/>
        <v>0</v>
      </c>
      <c r="X1574" s="154">
        <f t="shared" ref="X1574:AZ1574" si="59">W1574+($BA$1574-$W$1574)/($BA$2-$W$2)</f>
        <v>0</v>
      </c>
      <c r="Y1574" s="154">
        <f t="shared" si="59"/>
        <v>0</v>
      </c>
      <c r="Z1574" s="154">
        <f t="shared" si="59"/>
        <v>0</v>
      </c>
      <c r="AA1574" s="154">
        <f t="shared" si="59"/>
        <v>0</v>
      </c>
      <c r="AB1574" s="154">
        <f t="shared" si="59"/>
        <v>0</v>
      </c>
      <c r="AC1574" s="154">
        <f t="shared" si="59"/>
        <v>0</v>
      </c>
      <c r="AD1574" s="154">
        <f t="shared" si="59"/>
        <v>0</v>
      </c>
      <c r="AE1574" s="154">
        <f t="shared" si="59"/>
        <v>0</v>
      </c>
      <c r="AF1574" s="154">
        <f t="shared" si="59"/>
        <v>0</v>
      </c>
      <c r="AG1574" s="154">
        <f t="shared" si="59"/>
        <v>0</v>
      </c>
      <c r="AH1574" s="154">
        <f t="shared" si="59"/>
        <v>0</v>
      </c>
      <c r="AI1574" s="154">
        <f t="shared" si="59"/>
        <v>0</v>
      </c>
      <c r="AJ1574" s="154">
        <f t="shared" si="59"/>
        <v>0</v>
      </c>
      <c r="AK1574" s="154">
        <f t="shared" si="59"/>
        <v>0</v>
      </c>
      <c r="AL1574" s="154">
        <f t="shared" si="59"/>
        <v>0</v>
      </c>
      <c r="AM1574" s="154">
        <f t="shared" si="59"/>
        <v>0</v>
      </c>
      <c r="AN1574" s="154">
        <f t="shared" si="59"/>
        <v>0</v>
      </c>
      <c r="AO1574" s="154">
        <f t="shared" si="59"/>
        <v>0</v>
      </c>
      <c r="AP1574" s="154">
        <f t="shared" si="59"/>
        <v>0</v>
      </c>
      <c r="AQ1574" s="154">
        <f t="shared" si="59"/>
        <v>0</v>
      </c>
      <c r="AR1574" s="154">
        <f t="shared" si="59"/>
        <v>0</v>
      </c>
      <c r="AS1574" s="154">
        <f t="shared" si="59"/>
        <v>0</v>
      </c>
      <c r="AT1574" s="154">
        <f t="shared" si="59"/>
        <v>0</v>
      </c>
      <c r="AU1574" s="154">
        <f t="shared" si="59"/>
        <v>0</v>
      </c>
      <c r="AV1574" s="154">
        <f t="shared" si="59"/>
        <v>0</v>
      </c>
      <c r="AW1574" s="154">
        <f t="shared" si="59"/>
        <v>0</v>
      </c>
      <c r="AX1574" s="154">
        <f t="shared" si="59"/>
        <v>0</v>
      </c>
      <c r="AY1574" s="154">
        <f t="shared" si="59"/>
        <v>0</v>
      </c>
      <c r="AZ1574" s="154">
        <f t="shared" si="59"/>
        <v>0</v>
      </c>
      <c r="BA1574" s="155">
        <f>Inputs!$H$10</f>
        <v>0</v>
      </c>
    </row>
    <row r="1575" ht="15.75" customHeight="1">
      <c r="A1575" s="293" t="s">
        <v>432</v>
      </c>
      <c r="B1575" s="150" t="s">
        <v>150</v>
      </c>
      <c r="C1575" s="171">
        <v>0.0</v>
      </c>
      <c r="D1575" s="171">
        <v>0.0</v>
      </c>
      <c r="E1575" s="171">
        <v>0.0</v>
      </c>
      <c r="F1575" s="171">
        <v>0.0</v>
      </c>
      <c r="G1575" s="171">
        <v>0.0</v>
      </c>
      <c r="H1575" s="171">
        <v>0.0</v>
      </c>
      <c r="I1575" s="171">
        <v>0.0</v>
      </c>
      <c r="J1575" s="171">
        <v>0.0</v>
      </c>
      <c r="K1575" s="171">
        <v>0.0</v>
      </c>
      <c r="L1575" s="171">
        <v>0.0</v>
      </c>
      <c r="M1575" s="171">
        <v>0.0</v>
      </c>
      <c r="N1575" s="171">
        <v>0.0</v>
      </c>
      <c r="O1575" s="171">
        <v>0.0</v>
      </c>
      <c r="P1575" s="171">
        <v>0.0</v>
      </c>
      <c r="Q1575" s="171">
        <v>0.0</v>
      </c>
      <c r="R1575" s="171">
        <v>0.0</v>
      </c>
      <c r="S1575" s="171">
        <v>0.0</v>
      </c>
      <c r="T1575" s="171">
        <v>0.0</v>
      </c>
      <c r="U1575" s="171">
        <v>0.0</v>
      </c>
      <c r="V1575" s="213">
        <f t="shared" ref="V1575:W1575" si="60">U1575</f>
        <v>0</v>
      </c>
      <c r="W1575" s="213">
        <f t="shared" si="60"/>
        <v>0</v>
      </c>
      <c r="X1575" s="154">
        <f t="shared" ref="X1575:AZ1575" si="61">W1575+($BA$1575-$W$1575)/($BA$2-$W$2)</f>
        <v>0</v>
      </c>
      <c r="Y1575" s="154">
        <f t="shared" si="61"/>
        <v>0</v>
      </c>
      <c r="Z1575" s="154">
        <f t="shared" si="61"/>
        <v>0</v>
      </c>
      <c r="AA1575" s="154">
        <f t="shared" si="61"/>
        <v>0</v>
      </c>
      <c r="AB1575" s="154">
        <f t="shared" si="61"/>
        <v>0</v>
      </c>
      <c r="AC1575" s="154">
        <f t="shared" si="61"/>
        <v>0</v>
      </c>
      <c r="AD1575" s="154">
        <f t="shared" si="61"/>
        <v>0</v>
      </c>
      <c r="AE1575" s="154">
        <f t="shared" si="61"/>
        <v>0</v>
      </c>
      <c r="AF1575" s="154">
        <f t="shared" si="61"/>
        <v>0</v>
      </c>
      <c r="AG1575" s="154">
        <f t="shared" si="61"/>
        <v>0</v>
      </c>
      <c r="AH1575" s="154">
        <f t="shared" si="61"/>
        <v>0</v>
      </c>
      <c r="AI1575" s="154">
        <f t="shared" si="61"/>
        <v>0</v>
      </c>
      <c r="AJ1575" s="154">
        <f t="shared" si="61"/>
        <v>0</v>
      </c>
      <c r="AK1575" s="154">
        <f t="shared" si="61"/>
        <v>0</v>
      </c>
      <c r="AL1575" s="154">
        <f t="shared" si="61"/>
        <v>0</v>
      </c>
      <c r="AM1575" s="154">
        <f t="shared" si="61"/>
        <v>0</v>
      </c>
      <c r="AN1575" s="154">
        <f t="shared" si="61"/>
        <v>0</v>
      </c>
      <c r="AO1575" s="154">
        <f t="shared" si="61"/>
        <v>0</v>
      </c>
      <c r="AP1575" s="154">
        <f t="shared" si="61"/>
        <v>0</v>
      </c>
      <c r="AQ1575" s="154">
        <f t="shared" si="61"/>
        <v>0</v>
      </c>
      <c r="AR1575" s="154">
        <f t="shared" si="61"/>
        <v>0</v>
      </c>
      <c r="AS1575" s="154">
        <f t="shared" si="61"/>
        <v>0</v>
      </c>
      <c r="AT1575" s="154">
        <f t="shared" si="61"/>
        <v>0</v>
      </c>
      <c r="AU1575" s="154">
        <f t="shared" si="61"/>
        <v>0</v>
      </c>
      <c r="AV1575" s="154">
        <f t="shared" si="61"/>
        <v>0</v>
      </c>
      <c r="AW1575" s="154">
        <f t="shared" si="61"/>
        <v>0</v>
      </c>
      <c r="AX1575" s="154">
        <f t="shared" si="61"/>
        <v>0</v>
      </c>
      <c r="AY1575" s="154">
        <f t="shared" si="61"/>
        <v>0</v>
      </c>
      <c r="AZ1575" s="154">
        <f t="shared" si="61"/>
        <v>0</v>
      </c>
      <c r="BA1575" s="243">
        <f>Inputs!$I$10</f>
        <v>0</v>
      </c>
    </row>
    <row r="1576" ht="15.75" customHeight="1">
      <c r="A1576" s="294" t="s">
        <v>31</v>
      </c>
      <c r="B1576" s="159" t="s">
        <v>351</v>
      </c>
      <c r="C1576" s="219">
        <f>'Assumptions (Geo)'!B18*Model!C1574/10^9+'Assumptions (Geo)'!B20*Model!C1575/10^3</f>
        <v>0</v>
      </c>
      <c r="D1576" s="219">
        <f>'Assumptions (Geo)'!C18*Model!D1574/10^9+'Assumptions (Geo)'!C20*Model!D1575/10^3</f>
        <v>0</v>
      </c>
      <c r="E1576" s="219">
        <f>'Assumptions (Geo)'!D18*Model!E1574/10^9+'Assumptions (Geo)'!D20*Model!E1575/10^3</f>
        <v>0</v>
      </c>
      <c r="F1576" s="219">
        <f>'Assumptions (Geo)'!E18*Model!F1574/10^9+'Assumptions (Geo)'!E20*Model!F1575/10^3</f>
        <v>0</v>
      </c>
      <c r="G1576" s="219">
        <f>'Assumptions (Geo)'!F18*Model!G1574/10^9+'Assumptions (Geo)'!F20*Model!G1575/10^3</f>
        <v>0</v>
      </c>
      <c r="H1576" s="219">
        <f>'Assumptions (Geo)'!G18*Model!H1574/10^9+'Assumptions (Geo)'!G20*Model!H1575/10^3</f>
        <v>0</v>
      </c>
      <c r="I1576" s="219">
        <f>'Assumptions (Geo)'!H18*Model!I1574/10^9+'Assumptions (Geo)'!H20*Model!I1575/10^3</f>
        <v>0</v>
      </c>
      <c r="J1576" s="219">
        <f>'Assumptions (Geo)'!I18*Model!J1574/10^9+'Assumptions (Geo)'!I20*Model!J1575/10^3</f>
        <v>0</v>
      </c>
      <c r="K1576" s="219">
        <f>'Assumptions (Geo)'!J18*Model!K1574/10^9+'Assumptions (Geo)'!J20*Model!K1575/10^3</f>
        <v>0</v>
      </c>
      <c r="L1576" s="219">
        <f>'Assumptions (Geo)'!K18*Model!L1574/10^9+'Assumptions (Geo)'!K20*Model!L1575/10^3</f>
        <v>0</v>
      </c>
      <c r="M1576" s="219">
        <f>'Assumptions (Geo)'!L18*Model!M1574/10^9+'Assumptions (Geo)'!L20*Model!M1575/10^3</f>
        <v>0</v>
      </c>
      <c r="N1576" s="219">
        <f>'Assumptions (Geo)'!M18*Model!N1574/10^9+'Assumptions (Geo)'!M20*Model!N1575/10^3</f>
        <v>0</v>
      </c>
      <c r="O1576" s="219">
        <f>'Assumptions (Geo)'!N18*Model!O1574/10^9+'Assumptions (Geo)'!N20*Model!O1575/10^3</f>
        <v>0</v>
      </c>
      <c r="P1576" s="219">
        <f>'Assumptions (Geo)'!O18*Model!P1574/10^9+'Assumptions (Geo)'!O20*Model!P1575/10^3</f>
        <v>0</v>
      </c>
      <c r="Q1576" s="219">
        <f>'Assumptions (Geo)'!P18*Model!Q1574/10^9+'Assumptions (Geo)'!P20*Model!Q1575/10^3</f>
        <v>0</v>
      </c>
      <c r="R1576" s="219">
        <f>'Assumptions (Geo)'!Q18*Model!R1574/10^9+'Assumptions (Geo)'!Q20*Model!R1575/10^3</f>
        <v>0</v>
      </c>
      <c r="S1576" s="219">
        <f>'Assumptions (Geo)'!R18*Model!S1574/10^9+'Assumptions (Geo)'!R20*Model!S1575/10^3</f>
        <v>0</v>
      </c>
      <c r="T1576" s="219">
        <f>'Assumptions (Geo)'!S18*Model!T1574/10^9+'Assumptions (Geo)'!S20*Model!T1575/10^3</f>
        <v>0</v>
      </c>
      <c r="U1576" s="219">
        <f>'Assumptions (Geo)'!T18*Model!U1574/10^9+'Assumptions (Geo)'!T20*Model!U1575/10^3</f>
        <v>0</v>
      </c>
      <c r="V1576" s="219">
        <f>'Assumptions (Geo)'!U18*Model!V1574/10^9+'Assumptions (Geo)'!U20*Model!V1575/10^3</f>
        <v>0</v>
      </c>
      <c r="W1576" s="219">
        <f>'Assumptions (Geo)'!V18*Model!W1574/10^9+'Assumptions (Geo)'!V20*Model!W1575/10^3</f>
        <v>0</v>
      </c>
      <c r="X1576" s="219">
        <f>'Assumptions (Geo)'!W18*Model!X1574/10^9+'Assumptions (Geo)'!W20*Model!X1575/10^3</f>
        <v>0</v>
      </c>
      <c r="Y1576" s="219">
        <f>'Assumptions (Geo)'!X18*Model!Y1574/10^9+'Assumptions (Geo)'!X20*Model!Y1575/10^3</f>
        <v>0</v>
      </c>
      <c r="Z1576" s="219">
        <f>'Assumptions (Geo)'!Y18*Model!Z1574/10^9+'Assumptions (Geo)'!Y20*Model!Z1575/10^3</f>
        <v>0</v>
      </c>
      <c r="AA1576" s="219">
        <f>'Assumptions (Geo)'!Z18*Model!AA1574/10^9+'Assumptions (Geo)'!Z20*Model!AA1575/10^3</f>
        <v>0</v>
      </c>
      <c r="AB1576" s="219">
        <f>'Assumptions (Geo)'!AA18*Model!AB1574/10^9+'Assumptions (Geo)'!AA20*Model!AB1575/10^3</f>
        <v>0</v>
      </c>
      <c r="AC1576" s="219">
        <f>'Assumptions (Geo)'!AB18*Model!AC1574/10^9+'Assumptions (Geo)'!AB20*Model!AC1575/10^3</f>
        <v>0</v>
      </c>
      <c r="AD1576" s="219">
        <f>'Assumptions (Geo)'!AC18*Model!AD1574/10^9+'Assumptions (Geo)'!AC20*Model!AD1575/10^3</f>
        <v>0</v>
      </c>
      <c r="AE1576" s="219">
        <f>'Assumptions (Geo)'!AD18*Model!AE1574/10^9+'Assumptions (Geo)'!AD20*Model!AE1575/10^3</f>
        <v>0</v>
      </c>
      <c r="AF1576" s="219">
        <f>'Assumptions (Geo)'!AE18*Model!AF1574/10^9+'Assumptions (Geo)'!AE20*Model!AF1575/10^3</f>
        <v>0</v>
      </c>
      <c r="AG1576" s="219">
        <f>'Assumptions (Geo)'!AF18*Model!AG1574/10^9+'Assumptions (Geo)'!AF20*Model!AG1575/10^3</f>
        <v>0</v>
      </c>
      <c r="AH1576" s="219">
        <f>'Assumptions (Geo)'!AG18*Model!AH1574/10^9+'Assumptions (Geo)'!AG20*Model!AH1575/10^3</f>
        <v>0</v>
      </c>
      <c r="AI1576" s="219">
        <f>'Assumptions (Geo)'!AH18*Model!AI1574/10^9+'Assumptions (Geo)'!AH20*Model!AI1575/10^3</f>
        <v>0</v>
      </c>
      <c r="AJ1576" s="219">
        <f>'Assumptions (Geo)'!AI18*Model!AJ1574/10^9+'Assumptions (Geo)'!AI20*Model!AJ1575/10^3</f>
        <v>0</v>
      </c>
      <c r="AK1576" s="219">
        <f>'Assumptions (Geo)'!AJ18*Model!AK1574/10^9+'Assumptions (Geo)'!AJ20*Model!AK1575/10^3</f>
        <v>0</v>
      </c>
      <c r="AL1576" s="219">
        <f>'Assumptions (Geo)'!AK18*Model!AL1574/10^9+'Assumptions (Geo)'!AK20*Model!AL1575/10^3</f>
        <v>0</v>
      </c>
      <c r="AM1576" s="219">
        <f>'Assumptions (Geo)'!AL18*Model!AM1574/10^9+'Assumptions (Geo)'!AL20*Model!AM1575/10^3</f>
        <v>0</v>
      </c>
      <c r="AN1576" s="219">
        <f>'Assumptions (Geo)'!AM18*Model!AN1574/10^9+'Assumptions (Geo)'!AM20*Model!AN1575/10^3</f>
        <v>0</v>
      </c>
      <c r="AO1576" s="219">
        <f>'Assumptions (Geo)'!AN18*Model!AO1574/10^9+'Assumptions (Geo)'!AN20*Model!AO1575/10^3</f>
        <v>0</v>
      </c>
      <c r="AP1576" s="219">
        <f>'Assumptions (Geo)'!AO18*Model!AP1574/10^9+'Assumptions (Geo)'!AO20*Model!AP1575/10^3</f>
        <v>0</v>
      </c>
      <c r="AQ1576" s="219">
        <f>'Assumptions (Geo)'!AP18*Model!AQ1574/10^9+'Assumptions (Geo)'!AP20*Model!AQ1575/10^3</f>
        <v>0</v>
      </c>
      <c r="AR1576" s="219">
        <f>'Assumptions (Geo)'!AQ18*Model!AR1574/10^9+'Assumptions (Geo)'!AQ20*Model!AR1575/10^3</f>
        <v>0</v>
      </c>
      <c r="AS1576" s="219">
        <f>'Assumptions (Geo)'!AR18*Model!AS1574/10^9+'Assumptions (Geo)'!AR20*Model!AS1575/10^3</f>
        <v>0</v>
      </c>
      <c r="AT1576" s="219">
        <f>'Assumptions (Geo)'!AS18*Model!AT1574/10^9+'Assumptions (Geo)'!AS20*Model!AT1575/10^3</f>
        <v>0</v>
      </c>
      <c r="AU1576" s="219">
        <f>'Assumptions (Geo)'!AT18*Model!AU1574/10^9+'Assumptions (Geo)'!AT20*Model!AU1575/10^3</f>
        <v>0</v>
      </c>
      <c r="AV1576" s="219">
        <f>'Assumptions (Geo)'!AU18*Model!AV1574/10^9+'Assumptions (Geo)'!AU20*Model!AV1575/10^3</f>
        <v>0</v>
      </c>
      <c r="AW1576" s="219">
        <f>'Assumptions (Geo)'!AV18*Model!AW1574/10^9+'Assumptions (Geo)'!AV20*Model!AW1575/10^3</f>
        <v>0</v>
      </c>
      <c r="AX1576" s="219">
        <f>'Assumptions (Geo)'!AW18*Model!AX1574/10^9+'Assumptions (Geo)'!AW20*Model!AX1575/10^3</f>
        <v>0</v>
      </c>
      <c r="AY1576" s="219">
        <f>'Assumptions (Geo)'!AX18*Model!AY1574/10^9+'Assumptions (Geo)'!AX20*Model!AY1575/10^3</f>
        <v>0</v>
      </c>
      <c r="AZ1576" s="219">
        <f>'Assumptions (Geo)'!AY18*Model!AZ1574/10^9+'Assumptions (Geo)'!AY20*Model!AZ1575/10^3</f>
        <v>0</v>
      </c>
      <c r="BA1576" s="219">
        <f>'Assumptions (Geo)'!AZ18*Model!BA1574/10^9+'Assumptions (Geo)'!AZ20*Model!BA1575/10^3</f>
        <v>0</v>
      </c>
    </row>
    <row r="1577" ht="15.75" customHeight="1">
      <c r="A1577" s="294" t="s">
        <v>36</v>
      </c>
      <c r="B1577" s="159" t="s">
        <v>351</v>
      </c>
      <c r="C1577" s="221">
        <f>C1575*'Assumptions (Geo)'!B33/10^3</f>
        <v>0</v>
      </c>
      <c r="D1577" s="221">
        <f>D1575*'Assumptions (Geo)'!C33/10^3</f>
        <v>0</v>
      </c>
      <c r="E1577" s="221">
        <f>E1575*'Assumptions (Geo)'!D33/10^3</f>
        <v>0</v>
      </c>
      <c r="F1577" s="221">
        <f>F1575*'Assumptions (Geo)'!E33/10^3</f>
        <v>0</v>
      </c>
      <c r="G1577" s="221">
        <f>G1575*'Assumptions (Geo)'!F33/10^3</f>
        <v>0</v>
      </c>
      <c r="H1577" s="221">
        <f>H1575*'Assumptions (Geo)'!G33/10^3</f>
        <v>0</v>
      </c>
      <c r="I1577" s="221">
        <f>I1575*'Assumptions (Geo)'!H33/10^3</f>
        <v>0</v>
      </c>
      <c r="J1577" s="221">
        <f>J1575*'Assumptions (Geo)'!I33/10^3</f>
        <v>0</v>
      </c>
      <c r="K1577" s="221">
        <f>K1575*'Assumptions (Geo)'!J33/10^3</f>
        <v>0</v>
      </c>
      <c r="L1577" s="221">
        <f>L1575*'Assumptions (Geo)'!K33/10^3</f>
        <v>0</v>
      </c>
      <c r="M1577" s="221">
        <f>M1575*'Assumptions (Geo)'!L33/10^3</f>
        <v>0</v>
      </c>
      <c r="N1577" s="221">
        <f>N1575*'Assumptions (Geo)'!M33/10^3</f>
        <v>0</v>
      </c>
      <c r="O1577" s="221">
        <f>O1575*'Assumptions (Geo)'!N33/10^3</f>
        <v>0</v>
      </c>
      <c r="P1577" s="221">
        <f>P1575*'Assumptions (Geo)'!O33/10^3</f>
        <v>0</v>
      </c>
      <c r="Q1577" s="221">
        <f>Q1575*'Assumptions (Geo)'!P33/10^3</f>
        <v>0</v>
      </c>
      <c r="R1577" s="221">
        <f>R1575*'Assumptions (Geo)'!Q33/10^3</f>
        <v>0</v>
      </c>
      <c r="S1577" s="221">
        <f>S1575*'Assumptions (Geo)'!R33/10^3</f>
        <v>0</v>
      </c>
      <c r="T1577" s="221">
        <f>T1575*'Assumptions (Geo)'!S33/10^3</f>
        <v>0</v>
      </c>
      <c r="U1577" s="221">
        <f>U1575*'Assumptions (Geo)'!T33/10^3</f>
        <v>0</v>
      </c>
      <c r="V1577" s="221">
        <f>V1575*'Assumptions (Geo)'!U33/10^3</f>
        <v>0</v>
      </c>
      <c r="W1577" s="221">
        <f>W1575*'Assumptions (Geo)'!V33/10^3</f>
        <v>0</v>
      </c>
      <c r="X1577" s="221">
        <f>X1575*'Assumptions (Geo)'!W33/10^3</f>
        <v>0</v>
      </c>
      <c r="Y1577" s="221">
        <f>Y1575*'Assumptions (Geo)'!X33/10^3</f>
        <v>0</v>
      </c>
      <c r="Z1577" s="221">
        <f>Z1575*'Assumptions (Geo)'!Y33/10^3</f>
        <v>0</v>
      </c>
      <c r="AA1577" s="221">
        <f>AA1575*'Assumptions (Geo)'!Z33/10^3</f>
        <v>0</v>
      </c>
      <c r="AB1577" s="221">
        <f>AB1575*'Assumptions (Geo)'!AA33/10^3</f>
        <v>0</v>
      </c>
      <c r="AC1577" s="221">
        <f>AC1575*'Assumptions (Geo)'!AB33/10^3</f>
        <v>0</v>
      </c>
      <c r="AD1577" s="221">
        <f>AD1575*'Assumptions (Geo)'!AC33/10^3</f>
        <v>0</v>
      </c>
      <c r="AE1577" s="221">
        <f>AE1575*'Assumptions (Geo)'!AD33/10^3</f>
        <v>0</v>
      </c>
      <c r="AF1577" s="221">
        <f>AF1575*'Assumptions (Geo)'!AE33/10^3</f>
        <v>0</v>
      </c>
      <c r="AG1577" s="221">
        <f>AG1575*'Assumptions (Geo)'!AF33/10^3</f>
        <v>0</v>
      </c>
      <c r="AH1577" s="221">
        <f>AH1575*'Assumptions (Geo)'!AG33/10^3</f>
        <v>0</v>
      </c>
      <c r="AI1577" s="221">
        <f>AI1575*'Assumptions (Geo)'!AH33/10^3</f>
        <v>0</v>
      </c>
      <c r="AJ1577" s="221">
        <f>AJ1575*'Assumptions (Geo)'!AI33/10^3</f>
        <v>0</v>
      </c>
      <c r="AK1577" s="221">
        <f>AK1575*'Assumptions (Geo)'!AJ33/10^3</f>
        <v>0</v>
      </c>
      <c r="AL1577" s="221">
        <f>AL1575*'Assumptions (Geo)'!AK33/10^3</f>
        <v>0</v>
      </c>
      <c r="AM1577" s="221">
        <f>AM1575*'Assumptions (Geo)'!AL33/10^3</f>
        <v>0</v>
      </c>
      <c r="AN1577" s="221">
        <f>AN1575*'Assumptions (Geo)'!AM33/10^3</f>
        <v>0</v>
      </c>
      <c r="AO1577" s="221">
        <f>AO1575*'Assumptions (Geo)'!AN33/10^3</f>
        <v>0</v>
      </c>
      <c r="AP1577" s="221">
        <f>AP1575*'Assumptions (Geo)'!AO33/10^3</f>
        <v>0</v>
      </c>
      <c r="AQ1577" s="221">
        <f>AQ1575*'Assumptions (Geo)'!AP33/10^3</f>
        <v>0</v>
      </c>
      <c r="AR1577" s="221">
        <f>AR1575*'Assumptions (Geo)'!AQ33/10^3</f>
        <v>0</v>
      </c>
      <c r="AS1577" s="221">
        <f>AS1575*'Assumptions (Geo)'!AR33/10^3</f>
        <v>0</v>
      </c>
      <c r="AT1577" s="221">
        <f>AT1575*'Assumptions (Geo)'!AS33/10^3</f>
        <v>0</v>
      </c>
      <c r="AU1577" s="221">
        <f>AU1575*'Assumptions (Geo)'!AT33/10^3</f>
        <v>0</v>
      </c>
      <c r="AV1577" s="221">
        <f>AV1575*'Assumptions (Geo)'!AU33/10^3</f>
        <v>0</v>
      </c>
      <c r="AW1577" s="221">
        <f>AW1575*'Assumptions (Geo)'!AV33/10^3</f>
        <v>0</v>
      </c>
      <c r="AX1577" s="221">
        <f>AX1575*'Assumptions (Geo)'!AW33/10^3</f>
        <v>0</v>
      </c>
      <c r="AY1577" s="221">
        <f>AY1575*'Assumptions (Geo)'!AX33/10^3</f>
        <v>0</v>
      </c>
      <c r="AZ1577" s="221">
        <f>AZ1575*'Assumptions (Geo)'!AY33/10^3</f>
        <v>0</v>
      </c>
      <c r="BA1577" s="221">
        <f>BA1575*'Assumptions (Geo)'!AZ33/10^3</f>
        <v>0</v>
      </c>
    </row>
    <row r="1578" ht="15.75" customHeight="1">
      <c r="A1578" s="294" t="s">
        <v>38</v>
      </c>
      <c r="B1578" s="159" t="s">
        <v>351</v>
      </c>
      <c r="C1578" s="221">
        <f>C1574*'Assumptions (Geo)'!B36*'Assumptions (Geo)'!B35*365/10^9</f>
        <v>0</v>
      </c>
      <c r="D1578" s="221">
        <f>D1574*'Assumptions (Geo)'!C36*'Assumptions (Geo)'!C35*365/10^9</f>
        <v>0</v>
      </c>
      <c r="E1578" s="221">
        <f>E1574*'Assumptions (Geo)'!D36*'Assumptions (Geo)'!D35*365/10^9</f>
        <v>0</v>
      </c>
      <c r="F1578" s="221">
        <f>F1574*'Assumptions (Geo)'!E36*'Assumptions (Geo)'!E35*365/10^9</f>
        <v>0</v>
      </c>
      <c r="G1578" s="221">
        <f>G1574*'Assumptions (Geo)'!F36*'Assumptions (Geo)'!F35*365/10^9</f>
        <v>0</v>
      </c>
      <c r="H1578" s="221">
        <f>H1574*'Assumptions (Geo)'!G36*'Assumptions (Geo)'!G35*365/10^9</f>
        <v>0</v>
      </c>
      <c r="I1578" s="221">
        <f>I1574*'Assumptions (Geo)'!H36*'Assumptions (Geo)'!H35*365/10^9</f>
        <v>0</v>
      </c>
      <c r="J1578" s="221">
        <f>J1574*'Assumptions (Geo)'!I36*'Assumptions (Geo)'!I35*365/10^9</f>
        <v>0</v>
      </c>
      <c r="K1578" s="221">
        <f>K1574*'Assumptions (Geo)'!J36*'Assumptions (Geo)'!J35*365/10^9</f>
        <v>0</v>
      </c>
      <c r="L1578" s="221">
        <f>L1574*'Assumptions (Geo)'!K36*'Assumptions (Geo)'!K35*365/10^9</f>
        <v>0</v>
      </c>
      <c r="M1578" s="221">
        <f>M1574*'Assumptions (Geo)'!L36*'Assumptions (Geo)'!L35*365/10^9</f>
        <v>0</v>
      </c>
      <c r="N1578" s="221">
        <f>N1574*'Assumptions (Geo)'!M36*'Assumptions (Geo)'!M35*365/10^9</f>
        <v>0</v>
      </c>
      <c r="O1578" s="221">
        <f>O1574*'Assumptions (Geo)'!N36*'Assumptions (Geo)'!N35*365/10^9</f>
        <v>0</v>
      </c>
      <c r="P1578" s="221">
        <f>P1574*'Assumptions (Geo)'!O36*'Assumptions (Geo)'!O35*365/10^9</f>
        <v>0</v>
      </c>
      <c r="Q1578" s="221">
        <f>Q1574*'Assumptions (Geo)'!P36*'Assumptions (Geo)'!P35*365/10^9</f>
        <v>0</v>
      </c>
      <c r="R1578" s="221">
        <f>R1574*'Assumptions (Geo)'!Q36*'Assumptions (Geo)'!Q35*365/10^9</f>
        <v>0</v>
      </c>
      <c r="S1578" s="221">
        <f>S1574*'Assumptions (Geo)'!R36*'Assumptions (Geo)'!R35*365/10^9</f>
        <v>0</v>
      </c>
      <c r="T1578" s="221">
        <f>T1574*'Assumptions (Geo)'!S36*'Assumptions (Geo)'!S35*365/10^9</f>
        <v>0</v>
      </c>
      <c r="U1578" s="221">
        <f>U1574*'Assumptions (Geo)'!T36*'Assumptions (Geo)'!T35*365/10^9</f>
        <v>0</v>
      </c>
      <c r="V1578" s="221">
        <f>V1574*'Assumptions (Geo)'!U36*'Assumptions (Geo)'!U35*365/10^9</f>
        <v>0</v>
      </c>
      <c r="W1578" s="221">
        <f>W1574*'Assumptions (Geo)'!V36*'Assumptions (Geo)'!V35*365/10^9</f>
        <v>0</v>
      </c>
      <c r="X1578" s="221">
        <f>X1574*'Assumptions (Geo)'!W36*'Assumptions (Geo)'!W35*365/10^9</f>
        <v>0</v>
      </c>
      <c r="Y1578" s="221">
        <f>Y1574*'Assumptions (Geo)'!X36*'Assumptions (Geo)'!X35*365/10^9</f>
        <v>0</v>
      </c>
      <c r="Z1578" s="221">
        <f>Z1574*'Assumptions (Geo)'!Y36*'Assumptions (Geo)'!Y35*365/10^9</f>
        <v>0</v>
      </c>
      <c r="AA1578" s="221">
        <f>AA1574*'Assumptions (Geo)'!Z36*'Assumptions (Geo)'!Z35*365/10^9</f>
        <v>0</v>
      </c>
      <c r="AB1578" s="221">
        <f>AB1574*'Assumptions (Geo)'!AA36*'Assumptions (Geo)'!AA35*365/10^9</f>
        <v>0</v>
      </c>
      <c r="AC1578" s="221">
        <f>AC1574*'Assumptions (Geo)'!AB36*'Assumptions (Geo)'!AB35*365/10^9</f>
        <v>0</v>
      </c>
      <c r="AD1578" s="221">
        <f>AD1574*'Assumptions (Geo)'!AC36*'Assumptions (Geo)'!AC35*365/10^9</f>
        <v>0</v>
      </c>
      <c r="AE1578" s="221">
        <f>AE1574*'Assumptions (Geo)'!AD36*'Assumptions (Geo)'!AD35*365/10^9</f>
        <v>0</v>
      </c>
      <c r="AF1578" s="221">
        <f>AF1574*'Assumptions (Geo)'!AE36*'Assumptions (Geo)'!AE35*365/10^9</f>
        <v>0</v>
      </c>
      <c r="AG1578" s="221">
        <f>AG1574*'Assumptions (Geo)'!AF36*'Assumptions (Geo)'!AF35*365/10^9</f>
        <v>0</v>
      </c>
      <c r="AH1578" s="221">
        <f>AH1574*'Assumptions (Geo)'!AG36*'Assumptions (Geo)'!AG35*365/10^9</f>
        <v>0</v>
      </c>
      <c r="AI1578" s="221">
        <f>AI1574*'Assumptions (Geo)'!AH36*'Assumptions (Geo)'!AH35*365/10^9</f>
        <v>0</v>
      </c>
      <c r="AJ1578" s="221">
        <f>AJ1574*'Assumptions (Geo)'!AI36*'Assumptions (Geo)'!AI35*365/10^9</f>
        <v>0</v>
      </c>
      <c r="AK1578" s="221">
        <f>AK1574*'Assumptions (Geo)'!AJ36*'Assumptions (Geo)'!AJ35*365/10^9</f>
        <v>0</v>
      </c>
      <c r="AL1578" s="221">
        <f>AL1574*'Assumptions (Geo)'!AK36*'Assumptions (Geo)'!AK35*365/10^9</f>
        <v>0</v>
      </c>
      <c r="AM1578" s="221">
        <f>AM1574*'Assumptions (Geo)'!AL36*'Assumptions (Geo)'!AL35*365/10^9</f>
        <v>0</v>
      </c>
      <c r="AN1578" s="221">
        <f>AN1574*'Assumptions (Geo)'!AM36*'Assumptions (Geo)'!AM35*365/10^9</f>
        <v>0</v>
      </c>
      <c r="AO1578" s="221">
        <f>AO1574*'Assumptions (Geo)'!AN36*'Assumptions (Geo)'!AN35*365/10^9</f>
        <v>0</v>
      </c>
      <c r="AP1578" s="221">
        <f>AP1574*'Assumptions (Geo)'!AO36*'Assumptions (Geo)'!AO35*365/10^9</f>
        <v>0</v>
      </c>
      <c r="AQ1578" s="221">
        <f>AQ1574*'Assumptions (Geo)'!AP36*'Assumptions (Geo)'!AP35*365/10^9</f>
        <v>0</v>
      </c>
      <c r="AR1578" s="221">
        <f>AR1574*'Assumptions (Geo)'!AQ36*'Assumptions (Geo)'!AQ35*365/10^9</f>
        <v>0</v>
      </c>
      <c r="AS1578" s="221">
        <f>AS1574*'Assumptions (Geo)'!AR36*'Assumptions (Geo)'!AR35*365/10^9</f>
        <v>0</v>
      </c>
      <c r="AT1578" s="221">
        <f>AT1574*'Assumptions (Geo)'!AS36*'Assumptions (Geo)'!AS35*365/10^9</f>
        <v>0</v>
      </c>
      <c r="AU1578" s="221">
        <f>AU1574*'Assumptions (Geo)'!AT36*'Assumptions (Geo)'!AT35*365/10^9</f>
        <v>0</v>
      </c>
      <c r="AV1578" s="221">
        <f>AV1574*'Assumptions (Geo)'!AU36*'Assumptions (Geo)'!AU35*365/10^9</f>
        <v>0</v>
      </c>
      <c r="AW1578" s="221">
        <f>AW1574*'Assumptions (Geo)'!AV36*'Assumptions (Geo)'!AV35*365/10^9</f>
        <v>0</v>
      </c>
      <c r="AX1578" s="221">
        <f>AX1574*'Assumptions (Geo)'!AW36*'Assumptions (Geo)'!AW35*365/10^9</f>
        <v>0</v>
      </c>
      <c r="AY1578" s="221">
        <f>AY1574*'Assumptions (Geo)'!AX36*'Assumptions (Geo)'!AX35*365/10^9</f>
        <v>0</v>
      </c>
      <c r="AZ1578" s="221">
        <f>AZ1574*'Assumptions (Geo)'!AY36*'Assumptions (Geo)'!AY35*365/10^9</f>
        <v>0</v>
      </c>
      <c r="BA1578" s="221">
        <f>BA1574*'Assumptions (Geo)'!AZ36*'Assumptions (Geo)'!AZ35*365/10^9</f>
        <v>0</v>
      </c>
    </row>
    <row r="1579" ht="15.75" customHeight="1">
      <c r="A1579" s="295" t="s">
        <v>46</v>
      </c>
      <c r="B1579" s="159" t="s">
        <v>149</v>
      </c>
      <c r="C1579" s="152">
        <v>0.0</v>
      </c>
      <c r="D1579" s="296">
        <f t="array" ref="D1579:V1579">transpose('Assumptions (Geo)'!V112:V130)</f>
        <v>0</v>
      </c>
      <c r="E1579" s="296">
        <v>0.0</v>
      </c>
      <c r="F1579" s="296">
        <v>0.0</v>
      </c>
      <c r="G1579" s="296">
        <v>0.0</v>
      </c>
      <c r="H1579" s="296">
        <v>0.0</v>
      </c>
      <c r="I1579" s="296">
        <v>0.0</v>
      </c>
      <c r="J1579" s="296">
        <v>0.0</v>
      </c>
      <c r="K1579" s="296">
        <v>0.0</v>
      </c>
      <c r="L1579" s="296">
        <v>0.0</v>
      </c>
      <c r="M1579" s="296">
        <v>0.0</v>
      </c>
      <c r="N1579" s="296">
        <v>0.0</v>
      </c>
      <c r="O1579" s="296">
        <v>0.0</v>
      </c>
      <c r="P1579" s="296">
        <v>0.0</v>
      </c>
      <c r="Q1579" s="296">
        <v>0.0</v>
      </c>
      <c r="R1579" s="296">
        <v>0.0</v>
      </c>
      <c r="S1579" s="296">
        <v>0.0</v>
      </c>
      <c r="T1579" s="296">
        <v>0.0</v>
      </c>
      <c r="U1579" s="296">
        <v>0.0</v>
      </c>
      <c r="V1579" s="296">
        <v>0.0</v>
      </c>
      <c r="W1579" s="152">
        <v>0.0</v>
      </c>
      <c r="X1579" s="148">
        <f t="shared" ref="X1579:BA1579" si="62">if(X1574&gt;X1573,X1574-X1573,0)</f>
        <v>0</v>
      </c>
      <c r="Y1579" s="148">
        <f t="shared" si="62"/>
        <v>0</v>
      </c>
      <c r="Z1579" s="148">
        <f t="shared" si="62"/>
        <v>0</v>
      </c>
      <c r="AA1579" s="148">
        <f t="shared" si="62"/>
        <v>0</v>
      </c>
      <c r="AB1579" s="148">
        <f t="shared" si="62"/>
        <v>0</v>
      </c>
      <c r="AC1579" s="148">
        <f t="shared" si="62"/>
        <v>0</v>
      </c>
      <c r="AD1579" s="148">
        <f t="shared" si="62"/>
        <v>0</v>
      </c>
      <c r="AE1579" s="148">
        <f t="shared" si="62"/>
        <v>0</v>
      </c>
      <c r="AF1579" s="148">
        <f t="shared" si="62"/>
        <v>0</v>
      </c>
      <c r="AG1579" s="148">
        <f t="shared" si="62"/>
        <v>0</v>
      </c>
      <c r="AH1579" s="148">
        <f t="shared" si="62"/>
        <v>0</v>
      </c>
      <c r="AI1579" s="148">
        <f t="shared" si="62"/>
        <v>0</v>
      </c>
      <c r="AJ1579" s="148">
        <f t="shared" si="62"/>
        <v>0</v>
      </c>
      <c r="AK1579" s="148">
        <f t="shared" si="62"/>
        <v>0</v>
      </c>
      <c r="AL1579" s="148">
        <f t="shared" si="62"/>
        <v>0</v>
      </c>
      <c r="AM1579" s="148">
        <f t="shared" si="62"/>
        <v>0</v>
      </c>
      <c r="AN1579" s="148">
        <f t="shared" si="62"/>
        <v>0</v>
      </c>
      <c r="AO1579" s="148">
        <f t="shared" si="62"/>
        <v>0</v>
      </c>
      <c r="AP1579" s="148">
        <f t="shared" si="62"/>
        <v>0</v>
      </c>
      <c r="AQ1579" s="148">
        <f t="shared" si="62"/>
        <v>0</v>
      </c>
      <c r="AR1579" s="148">
        <f t="shared" si="62"/>
        <v>0</v>
      </c>
      <c r="AS1579" s="148">
        <f t="shared" si="62"/>
        <v>0</v>
      </c>
      <c r="AT1579" s="148">
        <f t="shared" si="62"/>
        <v>0</v>
      </c>
      <c r="AU1579" s="148">
        <f t="shared" si="62"/>
        <v>0</v>
      </c>
      <c r="AV1579" s="148">
        <f t="shared" si="62"/>
        <v>0</v>
      </c>
      <c r="AW1579" s="148">
        <f t="shared" si="62"/>
        <v>0</v>
      </c>
      <c r="AX1579" s="148">
        <f t="shared" si="62"/>
        <v>0</v>
      </c>
      <c r="AY1579" s="148">
        <f t="shared" si="62"/>
        <v>0</v>
      </c>
      <c r="AZ1579" s="148">
        <f t="shared" si="62"/>
        <v>0</v>
      </c>
      <c r="BA1579" s="148">
        <f t="shared" si="62"/>
        <v>0</v>
      </c>
    </row>
    <row r="1580" ht="15.75" customHeight="1">
      <c r="A1580" s="295" t="s">
        <v>48</v>
      </c>
      <c r="B1580" s="159" t="s">
        <v>149</v>
      </c>
      <c r="C1580" s="276"/>
      <c r="D1580" s="276"/>
      <c r="E1580" s="276"/>
      <c r="F1580" s="276"/>
      <c r="G1580" s="276"/>
      <c r="H1580" s="276"/>
      <c r="I1580" s="276"/>
      <c r="J1580" s="276"/>
      <c r="K1580" s="276"/>
      <c r="L1580" s="276"/>
      <c r="M1580" s="276"/>
      <c r="N1580" s="276"/>
      <c r="O1580" s="276"/>
      <c r="P1580" s="276"/>
      <c r="Q1580" s="276"/>
      <c r="R1580" s="276"/>
      <c r="S1580" s="276"/>
      <c r="T1580" s="276"/>
      <c r="U1580" s="276"/>
      <c r="V1580" s="174"/>
      <c r="W1580" s="175"/>
      <c r="X1580" s="175">
        <f>IF(W1579='Assumptions (Geo)'!$V$12,Model!X1575-Model!X1574*'Assumptions (Geo)'!V$16*0.00876,0)</f>
        <v>0</v>
      </c>
      <c r="Y1580" s="175">
        <f>IF(X1579='Assumptions (Geo)'!$V$12,Model!Y1575-Model!Y1574*'Assumptions (Geo)'!W$16*0.00876,0)</f>
        <v>0</v>
      </c>
      <c r="Z1580" s="175">
        <f>IF(Y1579='Assumptions (Geo)'!$V$12,Model!Z1575-Model!Z1574*'Assumptions (Geo)'!X$16*0.00876,0)</f>
        <v>0</v>
      </c>
      <c r="AA1580" s="175">
        <f>IF(Z1579='Assumptions (Geo)'!$V$12,Model!AA1575-Model!AA1574*'Assumptions (Geo)'!Y$16*0.00876,0)</f>
        <v>0</v>
      </c>
      <c r="AB1580" s="175">
        <f>IF(AA1579='Assumptions (Geo)'!$V$12,Model!AB1575-Model!AB1574*'Assumptions (Geo)'!Z$16*0.00876,0)</f>
        <v>0</v>
      </c>
      <c r="AC1580" s="175">
        <f>IF(AB1579='Assumptions (Geo)'!$V$12,Model!AC1575-Model!AC1574*'Assumptions (Geo)'!AA$16*0.00876,0)</f>
        <v>0</v>
      </c>
      <c r="AD1580" s="175">
        <f>IF(AC1579='Assumptions (Geo)'!$V$12,Model!AD1575-Model!AD1574*'Assumptions (Geo)'!AB$16*0.00876,0)</f>
        <v>0</v>
      </c>
      <c r="AE1580" s="175">
        <f>IF(AD1579='Assumptions (Geo)'!$V$12,Model!AE1575-Model!AE1574*'Assumptions (Geo)'!AC$16*0.00876,0)</f>
        <v>0</v>
      </c>
      <c r="AF1580" s="175">
        <f>IF(AE1579='Assumptions (Geo)'!$V$12,Model!AF1575-Model!AF1574*'Assumptions (Geo)'!AD$16*0.00876,0)</f>
        <v>0</v>
      </c>
      <c r="AG1580" s="175">
        <f>IF(AF1579='Assumptions (Geo)'!$V$12,Model!AG1575-Model!AG1574*'Assumptions (Geo)'!AE$16*0.00876,0)</f>
        <v>0</v>
      </c>
      <c r="AH1580" s="175">
        <f>IF(AG1579='Assumptions (Geo)'!$V$12,Model!AH1575-Model!AH1574*'Assumptions (Geo)'!AF$16*0.00876,0)</f>
        <v>0</v>
      </c>
      <c r="AI1580" s="175">
        <f>IF(AH1579='Assumptions (Geo)'!$V$12,Model!AI1575-Model!AI1574*'Assumptions (Geo)'!AG$16*0.00876,0)</f>
        <v>0</v>
      </c>
      <c r="AJ1580" s="175">
        <f>IF(AI1579='Assumptions (Geo)'!$V$12,Model!AJ1575-Model!AJ1574*'Assumptions (Geo)'!AH$16*0.00876,0)</f>
        <v>0</v>
      </c>
      <c r="AK1580" s="175">
        <f>IF(AJ1579='Assumptions (Geo)'!$V$12,Model!AK1575-Model!AK1574*'Assumptions (Geo)'!AI$16*0.00876,0)</f>
        <v>0</v>
      </c>
      <c r="AL1580" s="175">
        <f>IF(AK1579='Assumptions (Geo)'!$V$12,Model!AL1575-Model!AL1574*'Assumptions (Geo)'!AJ$16*0.00876,0)</f>
        <v>0</v>
      </c>
      <c r="AM1580" s="175">
        <f>IF(AL1579='Assumptions (Geo)'!$V$12,Model!AM1575-Model!AM1574*'Assumptions (Geo)'!AK$16*0.00876,0)</f>
        <v>0</v>
      </c>
      <c r="AN1580" s="175">
        <f>IF(AM1579='Assumptions (Geo)'!$V$12,Model!AN1575-Model!AN1574*'Assumptions (Geo)'!AL$16*0.00876,0)</f>
        <v>0</v>
      </c>
      <c r="AO1580" s="175">
        <f>IF(AN1579='Assumptions (Geo)'!$V$12,Model!AO1575-Model!AO1574*'Assumptions (Geo)'!AM$16*0.00876,0)</f>
        <v>0</v>
      </c>
      <c r="AP1580" s="175">
        <f>IF(AO1579='Assumptions (Geo)'!$V$12,Model!AP1575-Model!AP1574*'Assumptions (Geo)'!AN$16*0.00876,0)</f>
        <v>0</v>
      </c>
      <c r="AQ1580" s="175">
        <f>IF(AP1579='Assumptions (Geo)'!$V$12,Model!AQ1575-Model!AQ1574*'Assumptions (Geo)'!AO$16*0.00876,0)</f>
        <v>0</v>
      </c>
      <c r="AR1580" s="175">
        <f>IF(AQ1579='Assumptions (Geo)'!$V$12,Model!AR1575-Model!AR1574*'Assumptions (Geo)'!AP$16*0.00876,0)</f>
        <v>0</v>
      </c>
      <c r="AS1580" s="175">
        <f>IF(AR1579='Assumptions (Geo)'!$V$12,Model!AS1575-Model!AS1574*'Assumptions (Geo)'!AQ$16*0.00876,0)</f>
        <v>0</v>
      </c>
      <c r="AT1580" s="175">
        <f>IF(AS1579='Assumptions (Geo)'!$V$12,Model!AT1575-Model!AT1574*'Assumptions (Geo)'!AR$16*0.00876,0)</f>
        <v>0</v>
      </c>
      <c r="AU1580" s="175">
        <f>IF(AT1579='Assumptions (Geo)'!$V$12,Model!AU1575-Model!AU1574*'Assumptions (Geo)'!AS$16*0.00876,0)</f>
        <v>0</v>
      </c>
      <c r="AV1580" s="175">
        <f>IF(AU1579='Assumptions (Geo)'!$V$12,Model!AV1575-Model!AV1574*'Assumptions (Geo)'!AT$16*0.00876,0)</f>
        <v>0</v>
      </c>
      <c r="AW1580" s="175">
        <f>IF(AV1579='Assumptions (Geo)'!$V$12,Model!AW1575-Model!AW1574*'Assumptions (Geo)'!AU$16*0.00876,0)</f>
        <v>0</v>
      </c>
      <c r="AX1580" s="175">
        <f>IF(AW1579='Assumptions (Geo)'!$V$12,Model!AX1575-Model!AX1574*'Assumptions (Geo)'!AV$16*0.00876,0)</f>
        <v>0</v>
      </c>
      <c r="AY1580" s="175">
        <f>IF(AX1579='Assumptions (Geo)'!$V$12,Model!AY1575-Model!AY1574*'Assumptions (Geo)'!AW$16*0.00876,0)</f>
        <v>0</v>
      </c>
      <c r="AZ1580" s="175">
        <f>IF(AY1579='Assumptions (Geo)'!$V$12,Model!AZ1575-Model!AZ1574*'Assumptions (Geo)'!AX$16*0.00876,0)</f>
        <v>0</v>
      </c>
      <c r="BA1580" s="175">
        <f>IF(AZ1579='Assumptions (Geo)'!$V$12,Model!BA1575-Model!BA1574*'Assumptions (Geo)'!AY$16*0.00876,0)</f>
        <v>0</v>
      </c>
    </row>
    <row r="1581" ht="15.75" customHeight="1">
      <c r="A1581" s="293" t="s">
        <v>358</v>
      </c>
      <c r="B1581" s="150" t="s">
        <v>351</v>
      </c>
      <c r="C1581" s="177">
        <f t="shared" ref="C1581:BA1581" si="63">SUM(C1582:C1632)</f>
        <v>0</v>
      </c>
      <c r="D1581" s="177">
        <f t="shared" si="63"/>
        <v>0</v>
      </c>
      <c r="E1581" s="177">
        <f t="shared" si="63"/>
        <v>0</v>
      </c>
      <c r="F1581" s="177">
        <f t="shared" si="63"/>
        <v>0</v>
      </c>
      <c r="G1581" s="177">
        <f t="shared" si="63"/>
        <v>0</v>
      </c>
      <c r="H1581" s="177">
        <f t="shared" si="63"/>
        <v>0</v>
      </c>
      <c r="I1581" s="177">
        <f t="shared" si="63"/>
        <v>0</v>
      </c>
      <c r="J1581" s="177">
        <f t="shared" si="63"/>
        <v>0</v>
      </c>
      <c r="K1581" s="177">
        <f t="shared" si="63"/>
        <v>0</v>
      </c>
      <c r="L1581" s="177">
        <f t="shared" si="63"/>
        <v>0</v>
      </c>
      <c r="M1581" s="177">
        <f t="shared" si="63"/>
        <v>0</v>
      </c>
      <c r="N1581" s="177">
        <f t="shared" si="63"/>
        <v>0</v>
      </c>
      <c r="O1581" s="177">
        <f t="shared" si="63"/>
        <v>0</v>
      </c>
      <c r="P1581" s="177">
        <f t="shared" si="63"/>
        <v>0</v>
      </c>
      <c r="Q1581" s="177">
        <f t="shared" si="63"/>
        <v>0</v>
      </c>
      <c r="R1581" s="177">
        <f t="shared" si="63"/>
        <v>0</v>
      </c>
      <c r="S1581" s="177">
        <f t="shared" si="63"/>
        <v>0</v>
      </c>
      <c r="T1581" s="177">
        <f t="shared" si="63"/>
        <v>0</v>
      </c>
      <c r="U1581" s="177">
        <f t="shared" si="63"/>
        <v>0</v>
      </c>
      <c r="V1581" s="177">
        <f t="shared" si="63"/>
        <v>0</v>
      </c>
      <c r="W1581" s="177">
        <f t="shared" si="63"/>
        <v>0</v>
      </c>
      <c r="X1581" s="177">
        <f t="shared" si="63"/>
        <v>0</v>
      </c>
      <c r="Y1581" s="177">
        <f t="shared" si="63"/>
        <v>0</v>
      </c>
      <c r="Z1581" s="177">
        <f t="shared" si="63"/>
        <v>0</v>
      </c>
      <c r="AA1581" s="177">
        <f t="shared" si="63"/>
        <v>0</v>
      </c>
      <c r="AB1581" s="177">
        <f t="shared" si="63"/>
        <v>0</v>
      </c>
      <c r="AC1581" s="177">
        <f t="shared" si="63"/>
        <v>0</v>
      </c>
      <c r="AD1581" s="177">
        <f t="shared" si="63"/>
        <v>0</v>
      </c>
      <c r="AE1581" s="177">
        <f t="shared" si="63"/>
        <v>0</v>
      </c>
      <c r="AF1581" s="177">
        <f t="shared" si="63"/>
        <v>0</v>
      </c>
      <c r="AG1581" s="177">
        <f t="shared" si="63"/>
        <v>0</v>
      </c>
      <c r="AH1581" s="177">
        <f t="shared" si="63"/>
        <v>0</v>
      </c>
      <c r="AI1581" s="177">
        <f t="shared" si="63"/>
        <v>0</v>
      </c>
      <c r="AJ1581" s="177">
        <f t="shared" si="63"/>
        <v>0</v>
      </c>
      <c r="AK1581" s="177">
        <f t="shared" si="63"/>
        <v>0</v>
      </c>
      <c r="AL1581" s="177">
        <f t="shared" si="63"/>
        <v>0</v>
      </c>
      <c r="AM1581" s="177">
        <f t="shared" si="63"/>
        <v>0</v>
      </c>
      <c r="AN1581" s="177">
        <f t="shared" si="63"/>
        <v>0</v>
      </c>
      <c r="AO1581" s="177">
        <f t="shared" si="63"/>
        <v>0</v>
      </c>
      <c r="AP1581" s="177">
        <f t="shared" si="63"/>
        <v>0</v>
      </c>
      <c r="AQ1581" s="177">
        <f t="shared" si="63"/>
        <v>0</v>
      </c>
      <c r="AR1581" s="177">
        <f t="shared" si="63"/>
        <v>0</v>
      </c>
      <c r="AS1581" s="177">
        <f t="shared" si="63"/>
        <v>0</v>
      </c>
      <c r="AT1581" s="177">
        <f t="shared" si="63"/>
        <v>0</v>
      </c>
      <c r="AU1581" s="177">
        <f t="shared" si="63"/>
        <v>0</v>
      </c>
      <c r="AV1581" s="177">
        <f t="shared" si="63"/>
        <v>0</v>
      </c>
      <c r="AW1581" s="177">
        <f t="shared" si="63"/>
        <v>0</v>
      </c>
      <c r="AX1581" s="177">
        <f t="shared" si="63"/>
        <v>0</v>
      </c>
      <c r="AY1581" s="177">
        <f t="shared" si="63"/>
        <v>0</v>
      </c>
      <c r="AZ1581" s="177">
        <f t="shared" si="63"/>
        <v>0</v>
      </c>
      <c r="BA1581" s="177">
        <f t="shared" si="63"/>
        <v>0</v>
      </c>
    </row>
    <row r="1582" ht="15.75" hidden="1" customHeight="1" outlineLevel="1">
      <c r="A1582" s="295"/>
      <c r="B1582" s="38"/>
      <c r="C1582" s="177">
        <f>IF($C$1579&gt;0,3*'Assumptions (Geo)'!$V$14*Model!$C$1579*'Assumptions (Geo)'!B$2/10^9,0)</f>
        <v>0</v>
      </c>
      <c r="D1582" s="160"/>
      <c r="E1582" s="160"/>
      <c r="F1582" s="160"/>
      <c r="G1582" s="160"/>
      <c r="H1582" s="160"/>
      <c r="I1582" s="160"/>
      <c r="J1582" s="160"/>
      <c r="K1582" s="160"/>
      <c r="L1582" s="160"/>
      <c r="M1582" s="160"/>
      <c r="N1582" s="160"/>
      <c r="O1582" s="160"/>
      <c r="P1582" s="160"/>
      <c r="Q1582" s="160"/>
      <c r="R1582" s="160"/>
      <c r="S1582" s="160"/>
      <c r="T1582" s="160"/>
      <c r="U1582" s="160"/>
      <c r="V1582" s="174"/>
      <c r="W1582" s="95"/>
      <c r="X1582" s="95"/>
      <c r="Y1582" s="95"/>
      <c r="Z1582" s="95"/>
      <c r="AA1582" s="95"/>
      <c r="AB1582" s="95"/>
      <c r="AC1582" s="95"/>
      <c r="AD1582" s="95"/>
      <c r="AE1582" s="95"/>
      <c r="AF1582" s="95"/>
      <c r="AG1582" s="95"/>
      <c r="AH1582" s="95"/>
      <c r="AI1582" s="95"/>
      <c r="AJ1582" s="95"/>
      <c r="AK1582" s="95"/>
      <c r="AL1582" s="95"/>
      <c r="AM1582" s="95"/>
      <c r="AN1582" s="95"/>
      <c r="AO1582" s="95"/>
      <c r="AP1582" s="95"/>
      <c r="AQ1582" s="95"/>
      <c r="AR1582" s="95"/>
      <c r="AS1582" s="95"/>
      <c r="AT1582" s="95"/>
      <c r="AU1582" s="95"/>
      <c r="AV1582" s="95"/>
      <c r="AW1582" s="95"/>
      <c r="AX1582" s="95"/>
      <c r="AY1582" s="95"/>
      <c r="AZ1582" s="95"/>
      <c r="BA1582" s="95"/>
    </row>
    <row r="1583" ht="15.75" hidden="1" customHeight="1" outlineLevel="1">
      <c r="A1583" s="295"/>
      <c r="B1583" s="38"/>
      <c r="C1583" s="177">
        <f>IF($D$1579&gt;0,3*'Assumptions (Geo)'!$V$14*Model!$D$1579*'Assumptions (Geo)'!B$2/10^9,0)</f>
        <v>0</v>
      </c>
      <c r="D1583" s="177"/>
      <c r="E1583" s="177"/>
      <c r="F1583" s="177"/>
      <c r="G1583" s="177"/>
      <c r="H1583" s="177"/>
      <c r="I1583" s="177"/>
      <c r="J1583" s="177"/>
      <c r="K1583" s="177"/>
      <c r="L1583" s="177"/>
      <c r="M1583" s="160"/>
      <c r="N1583" s="160"/>
      <c r="O1583" s="160"/>
      <c r="P1583" s="160"/>
      <c r="Q1583" s="160"/>
      <c r="R1583" s="160"/>
      <c r="S1583" s="160"/>
      <c r="T1583" s="160"/>
      <c r="U1583" s="160"/>
      <c r="V1583" s="174"/>
      <c r="W1583" s="95"/>
      <c r="X1583" s="95"/>
      <c r="Y1583" s="95"/>
      <c r="Z1583" s="95"/>
      <c r="AA1583" s="95"/>
      <c r="AB1583" s="95"/>
      <c r="AC1583" s="95"/>
      <c r="AD1583" s="95"/>
      <c r="AE1583" s="95"/>
      <c r="AF1583" s="95"/>
      <c r="AG1583" s="95"/>
      <c r="AH1583" s="95"/>
      <c r="AI1583" s="95"/>
      <c r="AJ1583" s="95"/>
      <c r="AK1583" s="95"/>
      <c r="AL1583" s="95"/>
      <c r="AM1583" s="95"/>
      <c r="AN1583" s="95"/>
      <c r="AO1583" s="95"/>
      <c r="AP1583" s="95"/>
      <c r="AQ1583" s="95"/>
      <c r="AR1583" s="95"/>
      <c r="AS1583" s="95"/>
      <c r="AT1583" s="95"/>
      <c r="AU1583" s="95"/>
      <c r="AV1583" s="95"/>
      <c r="AW1583" s="95"/>
      <c r="AX1583" s="95"/>
      <c r="AY1583" s="95"/>
      <c r="AZ1583" s="95"/>
      <c r="BA1583" s="95"/>
    </row>
    <row r="1584" ht="15.75" hidden="1" customHeight="1" outlineLevel="1">
      <c r="A1584" s="295"/>
      <c r="B1584" s="38"/>
      <c r="C1584" s="177">
        <f>IF($E$1579&gt;0,2*'Assumptions (Geo)'!$V$14*Model!$E$1579*'Assumptions (Geo)'!B$2/10^9,0)</f>
        <v>0</v>
      </c>
      <c r="D1584" s="177">
        <f>IF($E$1579&gt;0,'Assumptions (Geo)'!$V$14*Model!$E$1579*'Assumptions (Geo)'!C$2/10^9,0)</f>
        <v>0</v>
      </c>
      <c r="E1584" s="177"/>
      <c r="F1584" s="177"/>
      <c r="G1584" s="177"/>
      <c r="H1584" s="177"/>
      <c r="I1584" s="177"/>
      <c r="J1584" s="177"/>
      <c r="K1584" s="177"/>
      <c r="L1584" s="177"/>
      <c r="M1584" s="160"/>
      <c r="N1584" s="160"/>
      <c r="O1584" s="160"/>
      <c r="P1584" s="160"/>
      <c r="Q1584" s="160"/>
      <c r="R1584" s="160"/>
      <c r="S1584" s="160"/>
      <c r="T1584" s="160"/>
      <c r="U1584" s="160"/>
      <c r="V1584" s="174"/>
      <c r="W1584" s="95"/>
      <c r="X1584" s="95"/>
      <c r="Y1584" s="95"/>
      <c r="Z1584" s="95"/>
      <c r="AA1584" s="95"/>
      <c r="AB1584" s="95"/>
      <c r="AC1584" s="95"/>
      <c r="AD1584" s="95"/>
      <c r="AE1584" s="95"/>
      <c r="AF1584" s="95"/>
      <c r="AG1584" s="95"/>
      <c r="AH1584" s="95"/>
      <c r="AI1584" s="95"/>
      <c r="AJ1584" s="95"/>
      <c r="AK1584" s="95"/>
      <c r="AL1584" s="95"/>
      <c r="AM1584" s="95"/>
      <c r="AN1584" s="95"/>
      <c r="AO1584" s="95"/>
      <c r="AP1584" s="95"/>
      <c r="AQ1584" s="95"/>
      <c r="AR1584" s="95"/>
      <c r="AS1584" s="95"/>
      <c r="AT1584" s="95"/>
      <c r="AU1584" s="95"/>
      <c r="AV1584" s="95"/>
      <c r="AW1584" s="95"/>
      <c r="AX1584" s="95"/>
      <c r="AY1584" s="95"/>
      <c r="AZ1584" s="95"/>
      <c r="BA1584" s="95"/>
    </row>
    <row r="1585" ht="15.75" hidden="1" customHeight="1" outlineLevel="1">
      <c r="A1585" s="295"/>
      <c r="B1585" s="38"/>
      <c r="C1585" s="177">
        <f>IF($F$1579&gt;0,'Assumptions (Geo)'!$V$14*Model!$F$1579*'Assumptions (Geo)'!B$2/10^9,0)</f>
        <v>0</v>
      </c>
      <c r="D1585" s="177">
        <f>IF($F$1579&gt;0,'Assumptions (Geo)'!$V$14*Model!$F$1579*'Assumptions (Geo)'!C$2/10^9,0)</f>
        <v>0</v>
      </c>
      <c r="E1585" s="177">
        <f>IF($F$1579&gt;0,'Assumptions (Geo)'!$V$14*Model!$F$1579*'Assumptions (Geo)'!D$2/10^9,0)</f>
        <v>0</v>
      </c>
      <c r="F1585" s="177"/>
      <c r="G1585" s="177"/>
      <c r="H1585" s="177"/>
      <c r="I1585" s="177"/>
      <c r="J1585" s="177"/>
      <c r="K1585" s="177"/>
      <c r="L1585" s="177"/>
      <c r="M1585" s="160"/>
      <c r="N1585" s="160"/>
      <c r="O1585" s="160"/>
      <c r="P1585" s="160"/>
      <c r="Q1585" s="160"/>
      <c r="R1585" s="160"/>
      <c r="S1585" s="160"/>
      <c r="T1585" s="160"/>
      <c r="U1585" s="160"/>
      <c r="V1585" s="174"/>
      <c r="W1585" s="95"/>
      <c r="X1585" s="95"/>
      <c r="Y1585" s="95"/>
      <c r="Z1585" s="95"/>
      <c r="AA1585" s="95"/>
      <c r="AB1585" s="95"/>
      <c r="AC1585" s="95"/>
      <c r="AD1585" s="95"/>
      <c r="AE1585" s="95"/>
      <c r="AF1585" s="95"/>
      <c r="AG1585" s="95"/>
      <c r="AH1585" s="95"/>
      <c r="AI1585" s="95"/>
      <c r="AJ1585" s="95"/>
      <c r="AK1585" s="95"/>
      <c r="AL1585" s="95"/>
      <c r="AM1585" s="95"/>
      <c r="AN1585" s="95"/>
      <c r="AO1585" s="95"/>
      <c r="AP1585" s="95"/>
      <c r="AQ1585" s="95"/>
      <c r="AR1585" s="95"/>
      <c r="AS1585" s="95"/>
      <c r="AT1585" s="95"/>
      <c r="AU1585" s="95"/>
      <c r="AV1585" s="95"/>
      <c r="AW1585" s="95"/>
      <c r="AX1585" s="95"/>
      <c r="AY1585" s="95"/>
      <c r="AZ1585" s="95"/>
      <c r="BA1585" s="95"/>
    </row>
    <row r="1586" ht="15.75" hidden="1" customHeight="1" outlineLevel="1">
      <c r="A1586" s="295"/>
      <c r="B1586" s="38"/>
      <c r="C1586" s="177"/>
      <c r="D1586" s="177">
        <f>IF($G$1579&gt;0,'Assumptions (Geo)'!$V$14*Model!$G$1579*'Assumptions (Geo)'!C$2/10^9,0)</f>
        <v>0</v>
      </c>
      <c r="E1586" s="177">
        <f>IF($G$1579&gt;0,'Assumptions (Geo)'!$V$14*Model!$G$1579*'Assumptions (Geo)'!D$2/10^9,0)</f>
        <v>0</v>
      </c>
      <c r="F1586" s="177">
        <f>IF($G$1579&gt;0,'Assumptions (Geo)'!$V$14*Model!$G$1579*'Assumptions (Geo)'!E$2/10^9,0)</f>
        <v>0</v>
      </c>
      <c r="G1586" s="177"/>
      <c r="H1586" s="177"/>
      <c r="I1586" s="177"/>
      <c r="J1586" s="177"/>
      <c r="K1586" s="177"/>
      <c r="L1586" s="177"/>
      <c r="M1586" s="160"/>
      <c r="N1586" s="160"/>
      <c r="O1586" s="160"/>
      <c r="P1586" s="160"/>
      <c r="Q1586" s="160"/>
      <c r="R1586" s="160"/>
      <c r="S1586" s="160"/>
      <c r="T1586" s="160"/>
      <c r="U1586" s="160"/>
      <c r="V1586" s="174"/>
      <c r="W1586" s="95"/>
      <c r="X1586" s="95"/>
      <c r="Y1586" s="95"/>
      <c r="Z1586" s="95"/>
      <c r="AA1586" s="95"/>
      <c r="AB1586" s="95"/>
      <c r="AC1586" s="95"/>
      <c r="AD1586" s="95"/>
      <c r="AE1586" s="95"/>
      <c r="AF1586" s="95"/>
      <c r="AG1586" s="95"/>
      <c r="AH1586" s="95"/>
      <c r="AI1586" s="95"/>
      <c r="AJ1586" s="95"/>
      <c r="AK1586" s="95"/>
      <c r="AL1586" s="95"/>
      <c r="AM1586" s="95"/>
      <c r="AN1586" s="95"/>
      <c r="AO1586" s="95"/>
      <c r="AP1586" s="95"/>
      <c r="AQ1586" s="95"/>
      <c r="AR1586" s="95"/>
      <c r="AS1586" s="95"/>
      <c r="AT1586" s="95"/>
      <c r="AU1586" s="95"/>
      <c r="AV1586" s="95"/>
      <c r="AW1586" s="95"/>
      <c r="AX1586" s="95"/>
      <c r="AY1586" s="95"/>
      <c r="AZ1586" s="95"/>
      <c r="BA1586" s="95"/>
    </row>
    <row r="1587" ht="15.75" hidden="1" customHeight="1" outlineLevel="1">
      <c r="A1587" s="295"/>
      <c r="B1587" s="38"/>
      <c r="C1587" s="177"/>
      <c r="D1587" s="177"/>
      <c r="E1587" s="177">
        <f>IF($H$1579&gt;0,'Assumptions (Geo)'!$V$14*Model!$H$1579*'Assumptions (Geo)'!D$2/10^9,0)</f>
        <v>0</v>
      </c>
      <c r="F1587" s="177">
        <f>IF($H$1579&gt;0,'Assumptions (Geo)'!$V$14*Model!$H$1579*'Assumptions (Geo)'!E$2/10^9,0)</f>
        <v>0</v>
      </c>
      <c r="G1587" s="177">
        <f>IF($H$1579&gt;0,'Assumptions (Geo)'!$V$14*Model!$H$1579*'Assumptions (Geo)'!F$2/10^9,0)</f>
        <v>0</v>
      </c>
      <c r="H1587" s="177"/>
      <c r="I1587" s="177"/>
      <c r="J1587" s="177"/>
      <c r="K1587" s="177"/>
      <c r="L1587" s="177"/>
      <c r="M1587" s="160"/>
      <c r="N1587" s="160"/>
      <c r="O1587" s="160"/>
      <c r="P1587" s="160"/>
      <c r="Q1587" s="160"/>
      <c r="R1587" s="160"/>
      <c r="S1587" s="160"/>
      <c r="T1587" s="160"/>
      <c r="U1587" s="160"/>
      <c r="V1587" s="174"/>
      <c r="W1587" s="95"/>
      <c r="X1587" s="95"/>
      <c r="Y1587" s="95"/>
      <c r="Z1587" s="95"/>
      <c r="AA1587" s="95"/>
      <c r="AB1587" s="95"/>
      <c r="AC1587" s="95"/>
      <c r="AD1587" s="95"/>
      <c r="AE1587" s="95"/>
      <c r="AF1587" s="95"/>
      <c r="AG1587" s="95"/>
      <c r="AH1587" s="95"/>
      <c r="AI1587" s="95"/>
      <c r="AJ1587" s="95"/>
      <c r="AK1587" s="95"/>
      <c r="AL1587" s="95"/>
      <c r="AM1587" s="95"/>
      <c r="AN1587" s="95"/>
      <c r="AO1587" s="95"/>
      <c r="AP1587" s="95"/>
      <c r="AQ1587" s="95"/>
      <c r="AR1587" s="95"/>
      <c r="AS1587" s="95"/>
      <c r="AT1587" s="95"/>
      <c r="AU1587" s="95"/>
      <c r="AV1587" s="95"/>
      <c r="AW1587" s="95"/>
      <c r="AX1587" s="95"/>
      <c r="AY1587" s="95"/>
      <c r="AZ1587" s="95"/>
      <c r="BA1587" s="95"/>
    </row>
    <row r="1588" ht="15.75" hidden="1" customHeight="1" outlineLevel="1">
      <c r="A1588" s="295"/>
      <c r="B1588" s="38"/>
      <c r="C1588" s="177"/>
      <c r="D1588" s="177"/>
      <c r="E1588" s="177"/>
      <c r="F1588" s="177">
        <f>IF($I$1579&gt;0,'Assumptions (Geo)'!$V$14*Model!$I$1579*'Assumptions (Geo)'!E$2/10^9,0)</f>
        <v>0</v>
      </c>
      <c r="G1588" s="177">
        <f>IF($I$1579&gt;0,'Assumptions (Geo)'!$V$14*Model!$I$1579*'Assumptions (Geo)'!F$2/10^9,0)</f>
        <v>0</v>
      </c>
      <c r="H1588" s="177">
        <f>IF($I$1579&gt;0,'Assumptions (Geo)'!$V$14*Model!$I$1579*'Assumptions (Geo)'!G$2/10^9,0)</f>
        <v>0</v>
      </c>
      <c r="I1588" s="177"/>
      <c r="J1588" s="177"/>
      <c r="K1588" s="177"/>
      <c r="L1588" s="177"/>
      <c r="M1588" s="160"/>
      <c r="N1588" s="160"/>
      <c r="O1588" s="160"/>
      <c r="P1588" s="160"/>
      <c r="Q1588" s="160"/>
      <c r="R1588" s="160"/>
      <c r="S1588" s="160"/>
      <c r="T1588" s="160"/>
      <c r="U1588" s="160"/>
      <c r="V1588" s="174"/>
      <c r="W1588" s="95"/>
      <c r="X1588" s="95"/>
      <c r="Y1588" s="95"/>
      <c r="Z1588" s="95"/>
      <c r="AA1588" s="95"/>
      <c r="AB1588" s="95"/>
      <c r="AC1588" s="95"/>
      <c r="AD1588" s="95"/>
      <c r="AE1588" s="95"/>
      <c r="AF1588" s="95"/>
      <c r="AG1588" s="95"/>
      <c r="AH1588" s="95"/>
      <c r="AI1588" s="95"/>
      <c r="AJ1588" s="95"/>
      <c r="AK1588" s="95"/>
      <c r="AL1588" s="95"/>
      <c r="AM1588" s="95"/>
      <c r="AN1588" s="95"/>
      <c r="AO1588" s="95"/>
      <c r="AP1588" s="95"/>
      <c r="AQ1588" s="95"/>
      <c r="AR1588" s="95"/>
      <c r="AS1588" s="95"/>
      <c r="AT1588" s="95"/>
      <c r="AU1588" s="95"/>
      <c r="AV1588" s="95"/>
      <c r="AW1588" s="95"/>
      <c r="AX1588" s="95"/>
      <c r="AY1588" s="95"/>
      <c r="AZ1588" s="95"/>
      <c r="BA1588" s="95"/>
    </row>
    <row r="1589" ht="15.75" hidden="1" customHeight="1" outlineLevel="1">
      <c r="A1589" s="295"/>
      <c r="B1589" s="38"/>
      <c r="C1589" s="177"/>
      <c r="D1589" s="177"/>
      <c r="E1589" s="177"/>
      <c r="F1589" s="177"/>
      <c r="G1589" s="177">
        <f>IF($J$1579&gt;0,'Assumptions (Geo)'!$V$14*Model!$J$1579*'Assumptions (Geo)'!F$2/10^9,0)</f>
        <v>0</v>
      </c>
      <c r="H1589" s="177">
        <f>IF($J$1579&gt;0,'Assumptions (Geo)'!$V$14*Model!$J$1579*'Assumptions (Geo)'!G$2/10^9,0)</f>
        <v>0</v>
      </c>
      <c r="I1589" s="177">
        <f>IF($J$1579&gt;0,'Assumptions (Geo)'!$V$14*Model!$J$1579*'Assumptions (Geo)'!H$2/10^9,0)</f>
        <v>0</v>
      </c>
      <c r="J1589" s="177"/>
      <c r="K1589" s="177"/>
      <c r="L1589" s="177"/>
      <c r="M1589" s="160"/>
      <c r="N1589" s="160"/>
      <c r="O1589" s="160"/>
      <c r="P1589" s="160"/>
      <c r="Q1589" s="160"/>
      <c r="R1589" s="160"/>
      <c r="S1589" s="160"/>
      <c r="T1589" s="160"/>
      <c r="U1589" s="160"/>
      <c r="V1589" s="174"/>
      <c r="W1589" s="95"/>
      <c r="X1589" s="95"/>
      <c r="Y1589" s="95"/>
      <c r="Z1589" s="95"/>
      <c r="AA1589" s="95"/>
      <c r="AB1589" s="95"/>
      <c r="AC1589" s="95"/>
      <c r="AD1589" s="95"/>
      <c r="AE1589" s="95"/>
      <c r="AF1589" s="95"/>
      <c r="AG1589" s="95"/>
      <c r="AH1589" s="95"/>
      <c r="AI1589" s="95"/>
      <c r="AJ1589" s="95"/>
      <c r="AK1589" s="95"/>
      <c r="AL1589" s="95"/>
      <c r="AM1589" s="95"/>
      <c r="AN1589" s="95"/>
      <c r="AO1589" s="95"/>
      <c r="AP1589" s="95"/>
      <c r="AQ1589" s="95"/>
      <c r="AR1589" s="95"/>
      <c r="AS1589" s="95"/>
      <c r="AT1589" s="95"/>
      <c r="AU1589" s="95"/>
      <c r="AV1589" s="95"/>
      <c r="AW1589" s="95"/>
      <c r="AX1589" s="95"/>
      <c r="AY1589" s="95"/>
      <c r="AZ1589" s="95"/>
      <c r="BA1589" s="95"/>
    </row>
    <row r="1590" ht="15.75" hidden="1" customHeight="1" outlineLevel="1">
      <c r="A1590" s="295"/>
      <c r="B1590" s="38"/>
      <c r="C1590" s="177"/>
      <c r="D1590" s="177"/>
      <c r="E1590" s="177"/>
      <c r="F1590" s="177"/>
      <c r="G1590" s="177"/>
      <c r="H1590" s="177">
        <f>IF($K$1579&gt;0,'Assumptions (Geo)'!$V$14*Model!$K$1579*'Assumptions (Geo)'!G$2/10^9,0)</f>
        <v>0</v>
      </c>
      <c r="I1590" s="177">
        <f>IF($K$1579&gt;0,'Assumptions (Geo)'!$V$14*Model!$K$1579*'Assumptions (Geo)'!H$2/10^9,0)</f>
        <v>0</v>
      </c>
      <c r="J1590" s="177">
        <f>IF($K$1579&gt;0,'Assumptions (Geo)'!$V$14*Model!$K$1579*'Assumptions (Geo)'!I$2/10^9,0)</f>
        <v>0</v>
      </c>
      <c r="K1590" s="177"/>
      <c r="L1590" s="177"/>
      <c r="M1590" s="160"/>
      <c r="N1590" s="160"/>
      <c r="O1590" s="160"/>
      <c r="P1590" s="160"/>
      <c r="Q1590" s="160"/>
      <c r="R1590" s="160"/>
      <c r="S1590" s="160"/>
      <c r="T1590" s="160"/>
      <c r="U1590" s="160"/>
      <c r="V1590" s="174"/>
      <c r="W1590" s="95"/>
      <c r="X1590" s="95"/>
      <c r="Y1590" s="95"/>
      <c r="Z1590" s="95"/>
      <c r="AA1590" s="95"/>
      <c r="AB1590" s="95"/>
      <c r="AC1590" s="95"/>
      <c r="AD1590" s="95"/>
      <c r="AE1590" s="95"/>
      <c r="AF1590" s="95"/>
      <c r="AG1590" s="95"/>
      <c r="AH1590" s="95"/>
      <c r="AI1590" s="95"/>
      <c r="AJ1590" s="95"/>
      <c r="AK1590" s="95"/>
      <c r="AL1590" s="95"/>
      <c r="AM1590" s="95"/>
      <c r="AN1590" s="95"/>
      <c r="AO1590" s="95"/>
      <c r="AP1590" s="95"/>
      <c r="AQ1590" s="95"/>
      <c r="AR1590" s="95"/>
      <c r="AS1590" s="95"/>
      <c r="AT1590" s="95"/>
      <c r="AU1590" s="95"/>
      <c r="AV1590" s="95"/>
      <c r="AW1590" s="95"/>
      <c r="AX1590" s="95"/>
      <c r="AY1590" s="95"/>
      <c r="AZ1590" s="95"/>
      <c r="BA1590" s="95"/>
    </row>
    <row r="1591" ht="15.75" hidden="1" customHeight="1" outlineLevel="1">
      <c r="A1591" s="295"/>
      <c r="B1591" s="38"/>
      <c r="C1591" s="177"/>
      <c r="D1591" s="177"/>
      <c r="E1591" s="177"/>
      <c r="F1591" s="177"/>
      <c r="G1591" s="177"/>
      <c r="H1591" s="177"/>
      <c r="I1591" s="177">
        <f>IF($L$1579&gt;0,'Assumptions (Geo)'!$V$14*Model!$L$1579*'Assumptions (Geo)'!H$2/10^9,0)</f>
        <v>0</v>
      </c>
      <c r="J1591" s="177">
        <f>IF($L$1579&gt;0,'Assumptions (Geo)'!$V$14*Model!$L$1579*'Assumptions (Geo)'!I$2/10^9,0)</f>
        <v>0</v>
      </c>
      <c r="K1591" s="177">
        <f>IF($L$1579&gt;0,'Assumptions (Geo)'!$V$14*Model!$L$1579*'Assumptions (Geo)'!J$2/10^9,0)</f>
        <v>0</v>
      </c>
      <c r="L1591" s="177"/>
      <c r="M1591" s="160"/>
      <c r="N1591" s="160"/>
      <c r="O1591" s="160"/>
      <c r="P1591" s="160"/>
      <c r="Q1591" s="160"/>
      <c r="R1591" s="160"/>
      <c r="S1591" s="160"/>
      <c r="T1591" s="160"/>
      <c r="U1591" s="160"/>
      <c r="V1591" s="174"/>
      <c r="W1591" s="95"/>
      <c r="X1591" s="95"/>
      <c r="Y1591" s="95"/>
      <c r="Z1591" s="95"/>
      <c r="AA1591" s="95"/>
      <c r="AB1591" s="95"/>
      <c r="AC1591" s="95"/>
      <c r="AD1591" s="95"/>
      <c r="AE1591" s="95"/>
      <c r="AF1591" s="95"/>
      <c r="AG1591" s="95"/>
      <c r="AH1591" s="95"/>
      <c r="AI1591" s="95"/>
      <c r="AJ1591" s="95"/>
      <c r="AK1591" s="95"/>
      <c r="AL1591" s="95"/>
      <c r="AM1591" s="95"/>
      <c r="AN1591" s="95"/>
      <c r="AO1591" s="95"/>
      <c r="AP1591" s="95"/>
      <c r="AQ1591" s="95"/>
      <c r="AR1591" s="95"/>
      <c r="AS1591" s="95"/>
      <c r="AT1591" s="95"/>
      <c r="AU1591" s="95"/>
      <c r="AV1591" s="95"/>
      <c r="AW1591" s="95"/>
      <c r="AX1591" s="95"/>
      <c r="AY1591" s="95"/>
      <c r="AZ1591" s="95"/>
      <c r="BA1591" s="95"/>
    </row>
    <row r="1592" ht="15.75" hidden="1" customHeight="1" outlineLevel="1">
      <c r="A1592" s="295"/>
      <c r="B1592" s="38"/>
      <c r="C1592" s="177"/>
      <c r="D1592" s="177"/>
      <c r="E1592" s="177"/>
      <c r="F1592" s="177"/>
      <c r="G1592" s="177"/>
      <c r="H1592" s="177"/>
      <c r="I1592" s="177"/>
      <c r="J1592" s="177">
        <f>IF($M$1579&gt;0,'Assumptions (Geo)'!$V$14*Model!$M$1579*'Assumptions (Geo)'!I$2/10^9,0)</f>
        <v>0</v>
      </c>
      <c r="K1592" s="177">
        <f>IF($M$1579&gt;0,'Assumptions (Geo)'!$V$14*Model!$M$1579*'Assumptions (Geo)'!J$2/10^9,0)</f>
        <v>0</v>
      </c>
      <c r="L1592" s="177">
        <f>IF($M$1579&gt;0,'Assumptions (Geo)'!$V$14*Model!$M$1579*'Assumptions (Geo)'!K$2/10^9,0)</f>
        <v>0</v>
      </c>
      <c r="M1592" s="160"/>
      <c r="N1592" s="160"/>
      <c r="O1592" s="160"/>
      <c r="P1592" s="160"/>
      <c r="Q1592" s="160"/>
      <c r="R1592" s="160"/>
      <c r="S1592" s="160"/>
      <c r="T1592" s="160"/>
      <c r="U1592" s="160"/>
      <c r="V1592" s="174"/>
      <c r="W1592" s="95"/>
      <c r="X1592" s="95"/>
      <c r="Y1592" s="95"/>
      <c r="Z1592" s="95"/>
      <c r="AA1592" s="95"/>
      <c r="AB1592" s="95"/>
      <c r="AC1592" s="95"/>
      <c r="AD1592" s="95"/>
      <c r="AE1592" s="95"/>
      <c r="AF1592" s="95"/>
      <c r="AG1592" s="95"/>
      <c r="AH1592" s="95"/>
      <c r="AI1592" s="95"/>
      <c r="AJ1592" s="95"/>
      <c r="AK1592" s="95"/>
      <c r="AL1592" s="95"/>
      <c r="AM1592" s="95"/>
      <c r="AN1592" s="95"/>
      <c r="AO1592" s="95"/>
      <c r="AP1592" s="95"/>
      <c r="AQ1592" s="95"/>
      <c r="AR1592" s="95"/>
      <c r="AS1592" s="95"/>
      <c r="AT1592" s="95"/>
      <c r="AU1592" s="95"/>
      <c r="AV1592" s="95"/>
      <c r="AW1592" s="95"/>
      <c r="AX1592" s="95"/>
      <c r="AY1592" s="95"/>
      <c r="AZ1592" s="95"/>
      <c r="BA1592" s="95"/>
    </row>
    <row r="1593" ht="15.75" hidden="1" customHeight="1" outlineLevel="1">
      <c r="A1593" s="295"/>
      <c r="B1593" s="38"/>
      <c r="C1593" s="160"/>
      <c r="D1593" s="160"/>
      <c r="E1593" s="160"/>
      <c r="F1593" s="160"/>
      <c r="G1593" s="160"/>
      <c r="H1593" s="160"/>
      <c r="I1593" s="160"/>
      <c r="J1593" s="160"/>
      <c r="K1593" s="160">
        <f>IF($N$1579&gt;0,'Assumptions (Geo)'!$V$14*Model!$N$1579*'Assumptions (Geo)'!J$2/10^9,0)</f>
        <v>0</v>
      </c>
      <c r="L1593" s="160">
        <f>IF($N$1579&gt;0,'Assumptions (Geo)'!$V$14*Model!$N$1579*'Assumptions (Geo)'!K$2/10^9,0)</f>
        <v>0</v>
      </c>
      <c r="M1593" s="160">
        <f>IF($N$1579&gt;0,'Assumptions (Geo)'!$V$14*Model!$N$1579*'Assumptions (Geo)'!L$2/10^9,0)</f>
        <v>0</v>
      </c>
      <c r="N1593" s="160"/>
      <c r="O1593" s="160"/>
      <c r="P1593" s="160"/>
      <c r="Q1593" s="160"/>
      <c r="R1593" s="160"/>
      <c r="S1593" s="160"/>
      <c r="T1593" s="160"/>
      <c r="U1593" s="160"/>
      <c r="V1593" s="174"/>
      <c r="W1593" s="95"/>
      <c r="X1593" s="95"/>
      <c r="Y1593" s="95"/>
      <c r="Z1593" s="95"/>
      <c r="AA1593" s="95"/>
      <c r="AB1593" s="95"/>
      <c r="AC1593" s="95"/>
      <c r="AD1593" s="95"/>
      <c r="AE1593" s="95"/>
      <c r="AF1593" s="95"/>
      <c r="AG1593" s="95"/>
      <c r="AH1593" s="95"/>
      <c r="AI1593" s="95"/>
      <c r="AJ1593" s="95"/>
      <c r="AK1593" s="95"/>
      <c r="AL1593" s="95"/>
      <c r="AM1593" s="95"/>
      <c r="AN1593" s="95"/>
      <c r="AO1593" s="95"/>
      <c r="AP1593" s="95"/>
      <c r="AQ1593" s="95"/>
      <c r="AR1593" s="95"/>
      <c r="AS1593" s="95"/>
      <c r="AT1593" s="95"/>
      <c r="AU1593" s="95"/>
      <c r="AV1593" s="95"/>
      <c r="AW1593" s="95"/>
      <c r="AX1593" s="95"/>
      <c r="AY1593" s="95"/>
      <c r="AZ1593" s="95"/>
      <c r="BA1593" s="95"/>
    </row>
    <row r="1594" ht="15.75" hidden="1" customHeight="1" outlineLevel="1">
      <c r="A1594" s="295"/>
      <c r="B1594" s="38"/>
      <c r="C1594" s="160"/>
      <c r="D1594" s="160"/>
      <c r="E1594" s="160"/>
      <c r="F1594" s="160"/>
      <c r="G1594" s="160"/>
      <c r="H1594" s="160"/>
      <c r="I1594" s="160"/>
      <c r="J1594" s="160"/>
      <c r="K1594" s="160"/>
      <c r="L1594" s="160">
        <f>IF($O$1579&gt;0,'Assumptions (Geo)'!$V$14*Model!$O$1579*'Assumptions (Geo)'!K$2/10^9,0)</f>
        <v>0</v>
      </c>
      <c r="M1594" s="160">
        <f>IF($O$1579&gt;0,'Assumptions (Geo)'!$V$14*Model!$O$1579*'Assumptions (Geo)'!L$2/10^9,0)</f>
        <v>0</v>
      </c>
      <c r="N1594" s="160">
        <f>IF($O$1579&gt;0,'Assumptions (Geo)'!$V$14*Model!$O$1579*'Assumptions (Geo)'!M$2/10^9,0)</f>
        <v>0</v>
      </c>
      <c r="O1594" s="160"/>
      <c r="P1594" s="160"/>
      <c r="Q1594" s="160"/>
      <c r="R1594" s="160"/>
      <c r="S1594" s="160"/>
      <c r="T1594" s="160"/>
      <c r="U1594" s="160"/>
      <c r="V1594" s="174"/>
      <c r="W1594" s="95"/>
      <c r="X1594" s="95"/>
      <c r="Y1594" s="95"/>
      <c r="Z1594" s="95"/>
      <c r="AA1594" s="95"/>
      <c r="AB1594" s="95"/>
      <c r="AC1594" s="95"/>
      <c r="AD1594" s="95"/>
      <c r="AE1594" s="95"/>
      <c r="AF1594" s="95"/>
      <c r="AG1594" s="95"/>
      <c r="AH1594" s="95"/>
      <c r="AI1594" s="95"/>
      <c r="AJ1594" s="95"/>
      <c r="AK1594" s="95"/>
      <c r="AL1594" s="95"/>
      <c r="AM1594" s="95"/>
      <c r="AN1594" s="95"/>
      <c r="AO1594" s="95"/>
      <c r="AP1594" s="95"/>
      <c r="AQ1594" s="95"/>
      <c r="AR1594" s="95"/>
      <c r="AS1594" s="95"/>
      <c r="AT1594" s="95"/>
      <c r="AU1594" s="95"/>
      <c r="AV1594" s="95"/>
      <c r="AW1594" s="95"/>
      <c r="AX1594" s="95"/>
      <c r="AY1594" s="95"/>
      <c r="AZ1594" s="95"/>
      <c r="BA1594" s="95"/>
    </row>
    <row r="1595" ht="15.75" hidden="1" customHeight="1" outlineLevel="1">
      <c r="A1595" s="295"/>
      <c r="B1595" s="38"/>
      <c r="C1595" s="160"/>
      <c r="D1595" s="160"/>
      <c r="E1595" s="160"/>
      <c r="F1595" s="160"/>
      <c r="G1595" s="160"/>
      <c r="H1595" s="160"/>
      <c r="I1595" s="160"/>
      <c r="J1595" s="177"/>
      <c r="K1595" s="177"/>
      <c r="L1595" s="177"/>
      <c r="M1595" s="177">
        <f>IF($P$1579&gt;0,'Assumptions (Geo)'!$V$14*Model!$P$1579*'Assumptions (Geo)'!L$2/10^9,0)</f>
        <v>0</v>
      </c>
      <c r="N1595" s="177">
        <f>IF($P$1579&gt;0,'Assumptions (Geo)'!$V$14*Model!$P$1579*'Assumptions (Geo)'!M$2/10^9,0)</f>
        <v>0</v>
      </c>
      <c r="O1595" s="177">
        <f>IF($P$1579&gt;0,'Assumptions (Geo)'!$V$14*Model!$P$1579*'Assumptions (Geo)'!N$2/10^9,0)</f>
        <v>0</v>
      </c>
      <c r="P1595" s="177"/>
      <c r="Q1595" s="160"/>
      <c r="R1595" s="177"/>
      <c r="S1595" s="177"/>
      <c r="T1595" s="177"/>
      <c r="U1595" s="177"/>
      <c r="V1595" s="174"/>
      <c r="W1595" s="95"/>
      <c r="X1595" s="95"/>
      <c r="Y1595" s="95"/>
      <c r="Z1595" s="95"/>
      <c r="AA1595" s="95"/>
      <c r="AB1595" s="95"/>
      <c r="AC1595" s="95"/>
      <c r="AD1595" s="95"/>
      <c r="AE1595" s="95"/>
      <c r="AF1595" s="95"/>
      <c r="AG1595" s="95"/>
      <c r="AH1595" s="95"/>
      <c r="AI1595" s="95"/>
      <c r="AJ1595" s="95"/>
      <c r="AK1595" s="95"/>
      <c r="AL1595" s="95"/>
      <c r="AM1595" s="95"/>
      <c r="AN1595" s="95"/>
      <c r="AO1595" s="95"/>
      <c r="AP1595" s="95"/>
      <c r="AQ1595" s="95"/>
      <c r="AR1595" s="95"/>
      <c r="AS1595" s="95"/>
      <c r="AT1595" s="95"/>
      <c r="AU1595" s="95"/>
      <c r="AV1595" s="95"/>
      <c r="AW1595" s="95"/>
      <c r="AX1595" s="95"/>
      <c r="AY1595" s="95"/>
      <c r="AZ1595" s="95"/>
      <c r="BA1595" s="95"/>
    </row>
    <row r="1596" ht="15.75" hidden="1" customHeight="1" outlineLevel="1">
      <c r="A1596" s="295"/>
      <c r="B1596" s="38"/>
      <c r="C1596" s="160"/>
      <c r="D1596" s="160"/>
      <c r="E1596" s="160"/>
      <c r="F1596" s="160"/>
      <c r="G1596" s="160"/>
      <c r="H1596" s="160"/>
      <c r="I1596" s="160"/>
      <c r="J1596" s="160"/>
      <c r="K1596" s="177"/>
      <c r="L1596" s="177"/>
      <c r="M1596" s="177"/>
      <c r="N1596" s="177">
        <f>IF($Q$1579&gt;0,'Assumptions (Geo)'!$V$14*Model!$Q$1579*'Assumptions (Geo)'!M$2/10^9,0)</f>
        <v>0</v>
      </c>
      <c r="O1596" s="177">
        <f>IF($Q$1579&gt;0,'Assumptions (Geo)'!$V$14*Model!$Q$1579*'Assumptions (Geo)'!N$2/10^9,0)</f>
        <v>0</v>
      </c>
      <c r="P1596" s="177">
        <f>IF($Q$1579&gt;0,'Assumptions (Geo)'!$V$14*Model!$Q$1579*'Assumptions (Geo)'!O$2/10^9,0)</f>
        <v>0</v>
      </c>
      <c r="Q1596" s="160"/>
      <c r="R1596" s="177"/>
      <c r="S1596" s="177"/>
      <c r="T1596" s="177"/>
      <c r="U1596" s="177"/>
      <c r="V1596" s="174"/>
      <c r="W1596" s="95"/>
      <c r="X1596" s="95"/>
      <c r="Y1596" s="95"/>
      <c r="Z1596" s="95"/>
      <c r="AA1596" s="95"/>
      <c r="AB1596" s="95"/>
      <c r="AC1596" s="95"/>
      <c r="AD1596" s="95"/>
      <c r="AE1596" s="95"/>
      <c r="AF1596" s="95"/>
      <c r="AG1596" s="95"/>
      <c r="AH1596" s="95"/>
      <c r="AI1596" s="95"/>
      <c r="AJ1596" s="95"/>
      <c r="AK1596" s="95"/>
      <c r="AL1596" s="95"/>
      <c r="AM1596" s="95"/>
      <c r="AN1596" s="95"/>
      <c r="AO1596" s="95"/>
      <c r="AP1596" s="95"/>
      <c r="AQ1596" s="95"/>
      <c r="AR1596" s="95"/>
      <c r="AS1596" s="95"/>
      <c r="AT1596" s="95"/>
      <c r="AU1596" s="95"/>
      <c r="AV1596" s="95"/>
      <c r="AW1596" s="95"/>
      <c r="AX1596" s="95"/>
      <c r="AY1596" s="95"/>
      <c r="AZ1596" s="95"/>
      <c r="BA1596" s="95"/>
    </row>
    <row r="1597" ht="15.75" hidden="1" customHeight="1" outlineLevel="1">
      <c r="A1597" s="295"/>
      <c r="B1597" s="38"/>
      <c r="C1597" s="160"/>
      <c r="D1597" s="160"/>
      <c r="E1597" s="160"/>
      <c r="F1597" s="160"/>
      <c r="G1597" s="160"/>
      <c r="H1597" s="160"/>
      <c r="I1597" s="160"/>
      <c r="J1597" s="160"/>
      <c r="K1597" s="160"/>
      <c r="L1597" s="178"/>
      <c r="M1597" s="178"/>
      <c r="N1597" s="178"/>
      <c r="O1597" s="178">
        <f>IF($R$1579&gt;0,'Assumptions (Geo)'!$V$14*Model!$R$1579*'Assumptions (Geo)'!N$2/10^9,0)</f>
        <v>0</v>
      </c>
      <c r="P1597" s="178">
        <f>IF($R$1579&gt;0,'Assumptions (Geo)'!$V$14*Model!$R$1579*'Assumptions (Geo)'!O$2/10^9,0)</f>
        <v>0</v>
      </c>
      <c r="Q1597" s="178">
        <f>IF($R$1579&gt;0,'Assumptions (Geo)'!$V$14*Model!$R$1579*'Assumptions (Geo)'!P$2/10^9,0)</f>
        <v>0</v>
      </c>
      <c r="R1597" s="177"/>
      <c r="S1597" s="177"/>
      <c r="T1597" s="177"/>
      <c r="U1597" s="177"/>
      <c r="V1597" s="174"/>
      <c r="W1597" s="95"/>
      <c r="X1597" s="95"/>
      <c r="Y1597" s="95"/>
      <c r="Z1597" s="95"/>
      <c r="AA1597" s="95"/>
      <c r="AB1597" s="95"/>
      <c r="AC1597" s="95"/>
      <c r="AD1597" s="95"/>
      <c r="AE1597" s="95"/>
      <c r="AF1597" s="95"/>
      <c r="AG1597" s="95"/>
      <c r="AH1597" s="95"/>
      <c r="AI1597" s="95"/>
      <c r="AJ1597" s="95"/>
      <c r="AK1597" s="95"/>
      <c r="AL1597" s="95"/>
      <c r="AM1597" s="95"/>
      <c r="AN1597" s="95"/>
      <c r="AO1597" s="95"/>
      <c r="AP1597" s="95"/>
      <c r="AQ1597" s="95"/>
      <c r="AR1597" s="95"/>
      <c r="AS1597" s="95"/>
      <c r="AT1597" s="95"/>
      <c r="AU1597" s="95"/>
      <c r="AV1597" s="95"/>
      <c r="AW1597" s="95"/>
      <c r="AX1597" s="95"/>
      <c r="AY1597" s="95"/>
      <c r="AZ1597" s="95"/>
      <c r="BA1597" s="95"/>
    </row>
    <row r="1598" ht="15.75" hidden="1" customHeight="1" outlineLevel="1">
      <c r="A1598" s="295"/>
      <c r="B1598" s="38"/>
      <c r="C1598" s="160"/>
      <c r="D1598" s="160"/>
      <c r="E1598" s="160"/>
      <c r="F1598" s="160"/>
      <c r="G1598" s="160"/>
      <c r="H1598" s="160"/>
      <c r="I1598" s="160"/>
      <c r="J1598" s="160"/>
      <c r="K1598" s="160"/>
      <c r="L1598" s="160"/>
      <c r="M1598" s="160"/>
      <c r="N1598" s="160"/>
      <c r="O1598" s="160"/>
      <c r="P1598" s="160">
        <f>IF($S$1579&gt;0,'Assumptions (Geo)'!$V$14*Model!$S$1579*'Assumptions (Geo)'!O$2/10^9,0)</f>
        <v>0</v>
      </c>
      <c r="Q1598" s="160">
        <f>IF($S$1579&gt;0,'Assumptions (Geo)'!$V$14*Model!$S$1579*'Assumptions (Geo)'!P$2/10^9,0)</f>
        <v>0</v>
      </c>
      <c r="R1598" s="160">
        <f>IF($S$1579&gt;0,'Assumptions (Geo)'!$V$14*Model!$S$1579*'Assumptions (Geo)'!Q$2/10^9,0)</f>
        <v>0</v>
      </c>
      <c r="S1598" s="160"/>
      <c r="T1598" s="160"/>
      <c r="U1598" s="160"/>
      <c r="V1598" s="174"/>
      <c r="W1598" s="95"/>
      <c r="X1598" s="95"/>
      <c r="Y1598" s="95"/>
      <c r="Z1598" s="95"/>
      <c r="AA1598" s="95"/>
      <c r="AB1598" s="95"/>
      <c r="AC1598" s="95"/>
      <c r="AD1598" s="95"/>
      <c r="AE1598" s="95"/>
      <c r="AF1598" s="95"/>
      <c r="AG1598" s="95"/>
      <c r="AH1598" s="95"/>
      <c r="AI1598" s="95"/>
      <c r="AJ1598" s="95"/>
      <c r="AK1598" s="95"/>
      <c r="AL1598" s="95"/>
      <c r="AM1598" s="95"/>
      <c r="AN1598" s="95"/>
      <c r="AO1598" s="95"/>
      <c r="AP1598" s="95"/>
      <c r="AQ1598" s="95"/>
      <c r="AR1598" s="95"/>
      <c r="AS1598" s="95"/>
      <c r="AT1598" s="95"/>
      <c r="AU1598" s="95"/>
      <c r="AV1598" s="95"/>
      <c r="AW1598" s="95"/>
      <c r="AX1598" s="95"/>
      <c r="AY1598" s="95"/>
      <c r="AZ1598" s="95"/>
      <c r="BA1598" s="95"/>
    </row>
    <row r="1599" ht="15.75" hidden="1" customHeight="1" outlineLevel="1">
      <c r="A1599" s="295"/>
      <c r="B1599" s="38"/>
      <c r="C1599" s="160"/>
      <c r="D1599" s="160"/>
      <c r="E1599" s="160"/>
      <c r="F1599" s="160"/>
      <c r="G1599" s="160"/>
      <c r="H1599" s="160"/>
      <c r="I1599" s="160"/>
      <c r="J1599" s="160"/>
      <c r="K1599" s="160"/>
      <c r="L1599" s="160"/>
      <c r="M1599" s="160"/>
      <c r="N1599" s="160"/>
      <c r="O1599" s="160"/>
      <c r="P1599" s="160"/>
      <c r="Q1599" s="160">
        <f>IF($T$1579&gt;0,'Assumptions (Geo)'!$V$14*Model!$T$1579*'Assumptions (Geo)'!P$2/10^9,0)</f>
        <v>0</v>
      </c>
      <c r="R1599" s="160">
        <f>IF($T$1579&gt;0,'Assumptions (Geo)'!$V$14*Model!$T$1579*'Assumptions (Geo)'!Q$2/10^9,0)</f>
        <v>0</v>
      </c>
      <c r="S1599" s="160">
        <f>IF($T$1579&gt;0,'Assumptions (Geo)'!$V$14*Model!$T$1579*'Assumptions (Geo)'!R$2/10^9,0)</f>
        <v>0</v>
      </c>
      <c r="T1599" s="160"/>
      <c r="U1599" s="160"/>
      <c r="V1599" s="174"/>
      <c r="W1599" s="95"/>
      <c r="X1599" s="95"/>
      <c r="Y1599" s="95"/>
      <c r="Z1599" s="95"/>
      <c r="AA1599" s="95"/>
      <c r="AB1599" s="95"/>
      <c r="AC1599" s="95"/>
      <c r="AD1599" s="95"/>
      <c r="AE1599" s="95"/>
      <c r="AF1599" s="95"/>
      <c r="AG1599" s="95"/>
      <c r="AH1599" s="95"/>
      <c r="AI1599" s="95"/>
      <c r="AJ1599" s="95"/>
      <c r="AK1599" s="95"/>
      <c r="AL1599" s="95"/>
      <c r="AM1599" s="95"/>
      <c r="AN1599" s="95"/>
      <c r="AO1599" s="95"/>
      <c r="AP1599" s="95"/>
      <c r="AQ1599" s="95"/>
      <c r="AR1599" s="95"/>
      <c r="AS1599" s="95"/>
      <c r="AT1599" s="95"/>
      <c r="AU1599" s="95"/>
      <c r="AV1599" s="95"/>
      <c r="AW1599" s="95"/>
      <c r="AX1599" s="95"/>
      <c r="AY1599" s="95"/>
      <c r="AZ1599" s="95"/>
      <c r="BA1599" s="95"/>
    </row>
    <row r="1600" ht="15.75" hidden="1" customHeight="1" outlineLevel="1">
      <c r="A1600" s="295"/>
      <c r="B1600" s="38"/>
      <c r="C1600" s="160"/>
      <c r="D1600" s="160"/>
      <c r="E1600" s="160"/>
      <c r="F1600" s="160"/>
      <c r="G1600" s="160"/>
      <c r="H1600" s="160"/>
      <c r="I1600" s="160"/>
      <c r="J1600" s="160"/>
      <c r="K1600" s="160"/>
      <c r="L1600" s="160"/>
      <c r="M1600" s="160"/>
      <c r="N1600" s="160"/>
      <c r="O1600" s="177"/>
      <c r="P1600" s="177"/>
      <c r="Q1600" s="177"/>
      <c r="R1600" s="177">
        <f>IF($U$1579&gt;0,'Assumptions (Geo)'!$V$14*Model!$U$1579*'Assumptions (Geo)'!Q$2/10^9,0)</f>
        <v>0</v>
      </c>
      <c r="S1600" s="177">
        <f>IF($U$1579&gt;0,'Assumptions (Geo)'!$V$14*Model!$U$1579*'Assumptions (Geo)'!R$2/10^9,0)</f>
        <v>0</v>
      </c>
      <c r="T1600" s="177">
        <f>IF($U$1579&gt;0,'Assumptions (Geo)'!$V$14*Model!$U$1579*'Assumptions (Geo)'!S$2/10^9,0)</f>
        <v>0</v>
      </c>
      <c r="U1600" s="160"/>
      <c r="V1600" s="174"/>
      <c r="W1600" s="95"/>
      <c r="X1600" s="95"/>
      <c r="Y1600" s="95"/>
      <c r="Z1600" s="95"/>
      <c r="AA1600" s="95"/>
      <c r="AB1600" s="95"/>
      <c r="AC1600" s="95"/>
      <c r="AD1600" s="95"/>
      <c r="AE1600" s="95"/>
      <c r="AF1600" s="95"/>
      <c r="AG1600" s="95"/>
      <c r="AH1600" s="95"/>
      <c r="AI1600" s="95"/>
      <c r="AJ1600" s="95"/>
      <c r="AK1600" s="95"/>
      <c r="AL1600" s="95"/>
      <c r="AM1600" s="95"/>
      <c r="AN1600" s="95"/>
      <c r="AO1600" s="95"/>
      <c r="AP1600" s="95"/>
      <c r="AQ1600" s="95"/>
      <c r="AR1600" s="95"/>
      <c r="AS1600" s="95"/>
      <c r="AT1600" s="95"/>
      <c r="AU1600" s="95"/>
      <c r="AV1600" s="95"/>
      <c r="AW1600" s="95"/>
      <c r="AX1600" s="95"/>
      <c r="AY1600" s="95"/>
      <c r="AZ1600" s="95"/>
      <c r="BA1600" s="95"/>
    </row>
    <row r="1601" ht="15.75" hidden="1" customHeight="1" outlineLevel="1">
      <c r="A1601" s="295"/>
      <c r="B1601" s="38"/>
      <c r="C1601" s="160"/>
      <c r="D1601" s="160"/>
      <c r="E1601" s="160"/>
      <c r="F1601" s="160"/>
      <c r="G1601" s="160"/>
      <c r="H1601" s="160"/>
      <c r="I1601" s="160"/>
      <c r="J1601" s="160"/>
      <c r="K1601" s="160"/>
      <c r="L1601" s="160"/>
      <c r="M1601" s="160"/>
      <c r="N1601" s="160"/>
      <c r="O1601" s="160"/>
      <c r="P1601" s="160"/>
      <c r="Q1601" s="160"/>
      <c r="R1601" s="160"/>
      <c r="S1601" s="160">
        <f>IF($V$1579&gt;0,'Assumptions (Geo)'!$V$14*Model!$V$1579*'Assumptions (Geo)'!R$2/10^9,0)</f>
        <v>0</v>
      </c>
      <c r="T1601" s="160">
        <f>IF($V$1579&gt;0,'Assumptions (Geo)'!$V$14*Model!$V$1579*'Assumptions (Geo)'!S$2/10^9,0)</f>
        <v>0</v>
      </c>
      <c r="U1601" s="160">
        <f>IF($V$1579&gt;0,'Assumptions (Geo)'!$V$14*Model!$V$1579*'Assumptions (Geo)'!T$2/10^9,0)</f>
        <v>0</v>
      </c>
      <c r="V1601" s="174"/>
      <c r="W1601" s="95"/>
      <c r="X1601" s="95"/>
      <c r="Y1601" s="95"/>
      <c r="Z1601" s="95"/>
      <c r="AA1601" s="95"/>
      <c r="AB1601" s="95"/>
      <c r="AC1601" s="95"/>
      <c r="AD1601" s="95"/>
      <c r="AE1601" s="95"/>
      <c r="AF1601" s="95"/>
      <c r="AG1601" s="95"/>
      <c r="AH1601" s="95"/>
      <c r="AI1601" s="95"/>
      <c r="AJ1601" s="95"/>
      <c r="AK1601" s="95"/>
      <c r="AL1601" s="95"/>
      <c r="AM1601" s="95"/>
      <c r="AN1601" s="95"/>
      <c r="AO1601" s="95"/>
      <c r="AP1601" s="95"/>
      <c r="AQ1601" s="95"/>
      <c r="AR1601" s="95"/>
      <c r="AS1601" s="95"/>
      <c r="AT1601" s="95"/>
      <c r="AU1601" s="95"/>
      <c r="AV1601" s="95"/>
      <c r="AW1601" s="95"/>
      <c r="AX1601" s="95"/>
      <c r="AY1601" s="95"/>
      <c r="AZ1601" s="95"/>
      <c r="BA1601" s="95"/>
    </row>
    <row r="1602" ht="15.75" hidden="1" customHeight="1" outlineLevel="1">
      <c r="A1602" s="295"/>
      <c r="B1602" s="38"/>
      <c r="C1602" s="174"/>
      <c r="D1602" s="174"/>
      <c r="E1602" s="174"/>
      <c r="F1602" s="174"/>
      <c r="G1602" s="174"/>
      <c r="H1602" s="174"/>
      <c r="I1602" s="174"/>
      <c r="J1602" s="174"/>
      <c r="K1602" s="174"/>
      <c r="L1602" s="174"/>
      <c r="M1602" s="174"/>
      <c r="N1602" s="174"/>
      <c r="O1602" s="174"/>
      <c r="P1602" s="174"/>
      <c r="Q1602" s="174"/>
      <c r="R1602" s="174"/>
      <c r="S1602" s="174"/>
      <c r="T1602" s="160">
        <f>IF($W$1579&gt;0,'Assumptions (Geo)'!$V$14*Model!$W$1579*'Assumptions (Geo)'!S$2/10^9,0)</f>
        <v>0</v>
      </c>
      <c r="U1602" s="160">
        <f>IF($W$1579&gt;0,'Assumptions (Geo)'!$V$14*Model!$W$1579*'Assumptions (Geo)'!T$2/10^9,0)</f>
        <v>0</v>
      </c>
      <c r="V1602" s="160">
        <f>IF($W$1579&gt;0,'Assumptions (Geo)'!$V$14*Model!$W$1579*'Assumptions (Geo)'!U$2/10^9,0)</f>
        <v>0</v>
      </c>
      <c r="W1602" s="177"/>
      <c r="X1602" s="177"/>
      <c r="Y1602" s="177"/>
      <c r="Z1602" s="177"/>
      <c r="AA1602" s="177"/>
      <c r="AB1602" s="177"/>
      <c r="AC1602" s="177"/>
      <c r="AD1602" s="177"/>
      <c r="AE1602" s="177"/>
      <c r="AF1602" s="177"/>
      <c r="AG1602" s="177"/>
      <c r="AH1602" s="177"/>
      <c r="AI1602" s="177"/>
      <c r="AJ1602" s="177"/>
      <c r="AK1602" s="177"/>
      <c r="AL1602" s="177"/>
      <c r="AM1602" s="177"/>
      <c r="AN1602" s="177"/>
      <c r="AO1602" s="177"/>
      <c r="AP1602" s="177"/>
      <c r="AQ1602" s="177"/>
      <c r="AR1602" s="177"/>
      <c r="AS1602" s="177"/>
      <c r="AT1602" s="177"/>
      <c r="AU1602" s="177"/>
      <c r="AV1602" s="177"/>
      <c r="AW1602" s="177"/>
      <c r="AX1602" s="177"/>
      <c r="AY1602" s="177"/>
      <c r="AZ1602" s="177"/>
      <c r="BA1602" s="177"/>
    </row>
    <row r="1603" ht="15.75" hidden="1" customHeight="1" outlineLevel="1">
      <c r="A1603" s="295"/>
      <c r="B1603" s="38"/>
      <c r="C1603" s="174"/>
      <c r="D1603" s="174"/>
      <c r="E1603" s="174"/>
      <c r="F1603" s="174"/>
      <c r="G1603" s="174"/>
      <c r="H1603" s="174"/>
      <c r="I1603" s="174"/>
      <c r="J1603" s="174"/>
      <c r="K1603" s="174"/>
      <c r="L1603" s="174"/>
      <c r="M1603" s="174"/>
      <c r="N1603" s="174"/>
      <c r="O1603" s="174"/>
      <c r="P1603" s="174"/>
      <c r="Q1603" s="174"/>
      <c r="R1603" s="174"/>
      <c r="S1603" s="174"/>
      <c r="T1603" s="174"/>
      <c r="U1603" s="219">
        <f>IF($X$1579&gt;0,'Assumptions (Geo)'!$V$14*Model!$X$1579*'Assumptions (Geo)'!T$2/10^9,0)</f>
        <v>0</v>
      </c>
      <c r="V1603" s="219">
        <f>IF($X$1579&gt;0,'Assumptions (Geo)'!$V$14*Model!$X$1579*'Assumptions (Geo)'!U$2/10^9,0)</f>
        <v>0</v>
      </c>
      <c r="W1603" s="219">
        <f>IF($X$1579&gt;0,'Assumptions (Geo)'!$V$14*Model!$X$1579*'Assumptions (Geo)'!V$2/10^9,0)</f>
        <v>0</v>
      </c>
      <c r="X1603" s="177"/>
      <c r="Y1603" s="177"/>
      <c r="Z1603" s="177"/>
      <c r="AA1603" s="177"/>
      <c r="AB1603" s="177"/>
      <c r="AC1603" s="177"/>
      <c r="AD1603" s="177"/>
      <c r="AE1603" s="177"/>
      <c r="AF1603" s="177"/>
      <c r="AG1603" s="177"/>
      <c r="AH1603" s="177"/>
      <c r="AI1603" s="177"/>
      <c r="AJ1603" s="177"/>
      <c r="AK1603" s="177"/>
      <c r="AL1603" s="177"/>
      <c r="AM1603" s="177"/>
      <c r="AN1603" s="177"/>
      <c r="AO1603" s="177"/>
      <c r="AP1603" s="177"/>
      <c r="AQ1603" s="177"/>
      <c r="AR1603" s="177"/>
      <c r="AS1603" s="177"/>
      <c r="AT1603" s="177"/>
      <c r="AU1603" s="177"/>
      <c r="AV1603" s="177"/>
      <c r="AW1603" s="177"/>
      <c r="AX1603" s="177"/>
      <c r="AY1603" s="177"/>
      <c r="AZ1603" s="177"/>
      <c r="BA1603" s="177"/>
    </row>
    <row r="1604" ht="15.75" hidden="1" customHeight="1" outlineLevel="1">
      <c r="A1604" s="295"/>
      <c r="B1604" s="38"/>
      <c r="C1604" s="174"/>
      <c r="D1604" s="174"/>
      <c r="E1604" s="174"/>
      <c r="F1604" s="174"/>
      <c r="G1604" s="174"/>
      <c r="H1604" s="174"/>
      <c r="I1604" s="174"/>
      <c r="J1604" s="174"/>
      <c r="K1604" s="174"/>
      <c r="L1604" s="174"/>
      <c r="M1604" s="174"/>
      <c r="N1604" s="174"/>
      <c r="O1604" s="174"/>
      <c r="P1604" s="174"/>
      <c r="Q1604" s="174"/>
      <c r="R1604" s="174"/>
      <c r="S1604" s="174"/>
      <c r="T1604" s="174"/>
      <c r="U1604" s="174"/>
      <c r="V1604" s="219">
        <f>IF($Y$1579&gt;0,'Assumptions (Geo)'!$V$14*Model!$Y$1579*'Assumptions (Geo)'!U$2/10^9,0)</f>
        <v>0</v>
      </c>
      <c r="W1604" s="219">
        <f>IF($Y$1579&gt;0,'Assumptions (Geo)'!$V$14*Model!$Y$1579*'Assumptions (Geo)'!V$2/10^9,0)</f>
        <v>0</v>
      </c>
      <c r="X1604" s="219">
        <f>IF($Y$1579&gt;0,'Assumptions (Geo)'!$V$14*Model!$Y$1579*'Assumptions (Geo)'!W$2/10^9,0)</f>
        <v>0</v>
      </c>
      <c r="Y1604" s="177"/>
      <c r="Z1604" s="177"/>
      <c r="AA1604" s="177"/>
      <c r="AB1604" s="177"/>
      <c r="AC1604" s="177"/>
      <c r="AD1604" s="177"/>
      <c r="AE1604" s="177"/>
      <c r="AF1604" s="177"/>
      <c r="AG1604" s="177"/>
      <c r="AH1604" s="177"/>
      <c r="AI1604" s="177"/>
      <c r="AJ1604" s="177"/>
      <c r="AK1604" s="177"/>
      <c r="AL1604" s="177"/>
      <c r="AM1604" s="177"/>
      <c r="AN1604" s="177"/>
      <c r="AO1604" s="177"/>
      <c r="AP1604" s="177"/>
      <c r="AQ1604" s="177"/>
      <c r="AR1604" s="177"/>
      <c r="AS1604" s="177"/>
      <c r="AT1604" s="177"/>
      <c r="AU1604" s="177"/>
      <c r="AV1604" s="177"/>
      <c r="AW1604" s="177"/>
      <c r="AX1604" s="177"/>
      <c r="AY1604" s="177"/>
      <c r="AZ1604" s="177"/>
      <c r="BA1604" s="177"/>
    </row>
    <row r="1605" ht="15.75" hidden="1" customHeight="1" outlineLevel="1">
      <c r="A1605" s="295"/>
      <c r="B1605" s="38"/>
      <c r="C1605" s="174"/>
      <c r="D1605" s="174"/>
      <c r="E1605" s="174"/>
      <c r="F1605" s="174"/>
      <c r="G1605" s="174"/>
      <c r="H1605" s="174"/>
      <c r="I1605" s="174"/>
      <c r="J1605" s="174"/>
      <c r="K1605" s="174"/>
      <c r="L1605" s="174"/>
      <c r="M1605" s="174"/>
      <c r="N1605" s="174"/>
      <c r="O1605" s="174"/>
      <c r="P1605" s="174"/>
      <c r="Q1605" s="174"/>
      <c r="R1605" s="174"/>
      <c r="S1605" s="174"/>
      <c r="T1605" s="174"/>
      <c r="U1605" s="174"/>
      <c r="V1605" s="174"/>
      <c r="W1605" s="177">
        <f>IF($Z$1579&gt;0,'Assumptions (Geo)'!$V$14*Model!$Z$1579*'Assumptions (Geo)'!V$2/10^9,0)</f>
        <v>0</v>
      </c>
      <c r="X1605" s="177">
        <f>IF($Z$1579&gt;0,'Assumptions (Geo)'!$V$14*Model!$Z$1579*'Assumptions (Geo)'!W$2/10^9,0)</f>
        <v>0</v>
      </c>
      <c r="Y1605" s="177">
        <f>IF($Z$1579&gt;0,'Assumptions (Geo)'!$V$14*Model!$Z$1579*'Assumptions (Geo)'!X$2/10^9,0)</f>
        <v>0</v>
      </c>
      <c r="Z1605" s="177"/>
      <c r="AA1605" s="177"/>
      <c r="AB1605" s="177"/>
      <c r="AC1605" s="177"/>
      <c r="AD1605" s="177"/>
      <c r="AE1605" s="177"/>
      <c r="AF1605" s="177"/>
      <c r="AG1605" s="177"/>
      <c r="AH1605" s="177"/>
      <c r="AI1605" s="177"/>
      <c r="AJ1605" s="177"/>
      <c r="AK1605" s="177"/>
      <c r="AL1605" s="177"/>
      <c r="AM1605" s="177"/>
      <c r="AN1605" s="177"/>
      <c r="AO1605" s="177"/>
      <c r="AP1605" s="177"/>
      <c r="AQ1605" s="177"/>
      <c r="AR1605" s="177"/>
      <c r="AS1605" s="177"/>
      <c r="AT1605" s="177"/>
      <c r="AU1605" s="177"/>
      <c r="AV1605" s="177"/>
      <c r="AW1605" s="177"/>
      <c r="AX1605" s="177"/>
      <c r="AY1605" s="177"/>
      <c r="AZ1605" s="177"/>
      <c r="BA1605" s="177"/>
    </row>
    <row r="1606" ht="15.75" hidden="1" customHeight="1" outlineLevel="1">
      <c r="A1606" s="295"/>
      <c r="B1606" s="38"/>
      <c r="C1606" s="174"/>
      <c r="D1606" s="174"/>
      <c r="E1606" s="174"/>
      <c r="F1606" s="174"/>
      <c r="G1606" s="174"/>
      <c r="H1606" s="174"/>
      <c r="I1606" s="174"/>
      <c r="J1606" s="174"/>
      <c r="K1606" s="174"/>
      <c r="L1606" s="174"/>
      <c r="M1606" s="174"/>
      <c r="N1606" s="174"/>
      <c r="O1606" s="174"/>
      <c r="P1606" s="174"/>
      <c r="Q1606" s="174"/>
      <c r="R1606" s="174"/>
      <c r="S1606" s="174"/>
      <c r="T1606" s="174"/>
      <c r="U1606" s="174"/>
      <c r="V1606" s="174"/>
      <c r="W1606" s="177"/>
      <c r="X1606" s="177">
        <f>IF($AA$1579&gt;0,'Assumptions (Geo)'!$V$14*Model!$AA$1579*'Assumptions (Geo)'!W$2/10^9,0)</f>
        <v>0</v>
      </c>
      <c r="Y1606" s="177">
        <f>IF($AA$1579&gt;0,'Assumptions (Geo)'!$V$14*Model!$AA$1579*'Assumptions (Geo)'!X$2/10^9,0)</f>
        <v>0</v>
      </c>
      <c r="Z1606" s="177">
        <f>IF($AA$1579&gt;0,'Assumptions (Geo)'!$V$14*Model!$AA$1579*'Assumptions (Geo)'!Y$2/10^9,0)</f>
        <v>0</v>
      </c>
      <c r="AA1606" s="177"/>
      <c r="AB1606" s="177"/>
      <c r="AC1606" s="177"/>
      <c r="AD1606" s="177"/>
      <c r="AE1606" s="177"/>
      <c r="AF1606" s="177"/>
      <c r="AG1606" s="177"/>
      <c r="AH1606" s="177"/>
      <c r="AI1606" s="177"/>
      <c r="AJ1606" s="177"/>
      <c r="AK1606" s="177"/>
      <c r="AL1606" s="177"/>
      <c r="AM1606" s="177"/>
      <c r="AN1606" s="177"/>
      <c r="AO1606" s="177"/>
      <c r="AP1606" s="177"/>
      <c r="AQ1606" s="177"/>
      <c r="AR1606" s="177"/>
      <c r="AS1606" s="177"/>
      <c r="AT1606" s="177"/>
      <c r="AU1606" s="177"/>
      <c r="AV1606" s="177"/>
      <c r="AW1606" s="177"/>
      <c r="AX1606" s="177"/>
      <c r="AY1606" s="177"/>
      <c r="AZ1606" s="177"/>
      <c r="BA1606" s="177"/>
    </row>
    <row r="1607" ht="15.75" hidden="1" customHeight="1" outlineLevel="1">
      <c r="A1607" s="295"/>
      <c r="B1607" s="38"/>
      <c r="C1607" s="174"/>
      <c r="D1607" s="174"/>
      <c r="E1607" s="174"/>
      <c r="F1607" s="174"/>
      <c r="G1607" s="174"/>
      <c r="H1607" s="174"/>
      <c r="I1607" s="174"/>
      <c r="J1607" s="174"/>
      <c r="K1607" s="174"/>
      <c r="L1607" s="174"/>
      <c r="M1607" s="174"/>
      <c r="N1607" s="174"/>
      <c r="O1607" s="174"/>
      <c r="P1607" s="174"/>
      <c r="Q1607" s="174"/>
      <c r="R1607" s="174"/>
      <c r="S1607" s="174"/>
      <c r="T1607" s="174"/>
      <c r="U1607" s="174"/>
      <c r="V1607" s="174"/>
      <c r="W1607" s="139"/>
      <c r="Y1607" s="177">
        <f>IF($AB$1579&gt;0,'Assumptions (Geo)'!$V$14*Model!$AB$1579*'Assumptions (Geo)'!X$2/10^9,0)</f>
        <v>0</v>
      </c>
      <c r="Z1607" s="177">
        <f>IF($AB$1579&gt;0,'Assumptions (Geo)'!$V$14*Model!$AB$1579*'Assumptions (Geo)'!Y$2/10^9,0)</f>
        <v>0</v>
      </c>
      <c r="AA1607" s="177">
        <f>IF($AB$1579&gt;0,'Assumptions (Geo)'!$V$14*Model!$AB$1579*'Assumptions (Geo)'!Z$2/10^9,0)</f>
        <v>0</v>
      </c>
    </row>
    <row r="1608" ht="15.75" hidden="1" customHeight="1" outlineLevel="1">
      <c r="A1608" s="295"/>
      <c r="B1608" s="38"/>
      <c r="C1608" s="174"/>
      <c r="D1608" s="174"/>
      <c r="E1608" s="174"/>
      <c r="F1608" s="174"/>
      <c r="G1608" s="174"/>
      <c r="H1608" s="174"/>
      <c r="I1608" s="174"/>
      <c r="J1608" s="174"/>
      <c r="K1608" s="174"/>
      <c r="L1608" s="174"/>
      <c r="M1608" s="174"/>
      <c r="N1608" s="174"/>
      <c r="O1608" s="174"/>
      <c r="P1608" s="174"/>
      <c r="Q1608" s="174"/>
      <c r="R1608" s="174"/>
      <c r="S1608" s="174"/>
      <c r="T1608" s="174"/>
      <c r="U1608" s="174"/>
      <c r="V1608" s="174"/>
      <c r="W1608" s="139"/>
      <c r="Z1608" s="177">
        <f>IF($AC$1579&gt;0,'Assumptions (Geo)'!$V$14*Model!$AC$1579*'Assumptions (Geo)'!Y$2/10^9,0)</f>
        <v>0</v>
      </c>
      <c r="AA1608" s="177">
        <f>IF($AC$1579&gt;0,'Assumptions (Geo)'!$V$14*Model!$AC$1579*'Assumptions (Geo)'!Z$2/10^9,0)</f>
        <v>0</v>
      </c>
      <c r="AB1608" s="177">
        <f>IF($AC$1579&gt;0,'Assumptions (Geo)'!$V$14*Model!$AC$1579*'Assumptions (Geo)'!AA$2/10^9,0)</f>
        <v>0</v>
      </c>
    </row>
    <row r="1609" ht="15.75" hidden="1" customHeight="1" outlineLevel="1">
      <c r="A1609" s="295"/>
      <c r="B1609" s="38"/>
      <c r="C1609" s="174"/>
      <c r="D1609" s="174"/>
      <c r="E1609" s="174"/>
      <c r="F1609" s="174"/>
      <c r="G1609" s="174"/>
      <c r="H1609" s="174"/>
      <c r="I1609" s="174"/>
      <c r="J1609" s="174"/>
      <c r="K1609" s="174"/>
      <c r="L1609" s="174"/>
      <c r="M1609" s="174"/>
      <c r="N1609" s="174"/>
      <c r="O1609" s="174"/>
      <c r="P1609" s="174"/>
      <c r="Q1609" s="174"/>
      <c r="R1609" s="174"/>
      <c r="S1609" s="174"/>
      <c r="T1609" s="174"/>
      <c r="U1609" s="174"/>
      <c r="V1609" s="174"/>
      <c r="W1609" s="139"/>
      <c r="AA1609" s="177">
        <f>IF($AD$1579&gt;0,'Assumptions (Geo)'!$V$14*Model!$AD$1579*'Assumptions (Geo)'!Z$2/10^9,0)</f>
        <v>0</v>
      </c>
      <c r="AB1609" s="177">
        <f>IF($AD$1579&gt;0,'Assumptions (Geo)'!$V$14*Model!$AD$1579*'Assumptions (Geo)'!AA$2/10^9,0)</f>
        <v>0</v>
      </c>
      <c r="AC1609" s="177">
        <f>IF($AD$1579&gt;0,'Assumptions (Geo)'!$V$14*Model!$AD$1579*'Assumptions (Geo)'!AB$2/10^9,0)</f>
        <v>0</v>
      </c>
    </row>
    <row r="1610" ht="15.75" hidden="1" customHeight="1" outlineLevel="1">
      <c r="A1610" s="295"/>
      <c r="B1610" s="38"/>
      <c r="C1610" s="174"/>
      <c r="D1610" s="174"/>
      <c r="E1610" s="174"/>
      <c r="F1610" s="174"/>
      <c r="G1610" s="174"/>
      <c r="H1610" s="174"/>
      <c r="I1610" s="174"/>
      <c r="J1610" s="174"/>
      <c r="K1610" s="174"/>
      <c r="L1610" s="174"/>
      <c r="M1610" s="174"/>
      <c r="N1610" s="174"/>
      <c r="O1610" s="174"/>
      <c r="P1610" s="174"/>
      <c r="Q1610" s="174"/>
      <c r="R1610" s="174"/>
      <c r="S1610" s="174"/>
      <c r="T1610" s="174"/>
      <c r="U1610" s="174"/>
      <c r="V1610" s="174"/>
      <c r="W1610" s="139"/>
      <c r="AB1610" s="177">
        <f>IF($AE$1579&gt;0,'Assumptions (Geo)'!$V$14*Model!$AE$1579*'Assumptions (Geo)'!AA$2/10^9,0)</f>
        <v>0</v>
      </c>
      <c r="AC1610" s="177">
        <f>IF($AE$1579&gt;0,'Assumptions (Geo)'!$V$14*Model!$AE$1579*'Assumptions (Geo)'!AB$2/10^9,0)</f>
        <v>0</v>
      </c>
      <c r="AD1610" s="177">
        <f>IF($AE$1579&gt;0,'Assumptions (Geo)'!$V$14*Model!$AE$1579*'Assumptions (Geo)'!AC$2/10^9,0)</f>
        <v>0</v>
      </c>
    </row>
    <row r="1611" ht="15.75" hidden="1" customHeight="1" outlineLevel="1">
      <c r="A1611" s="295"/>
      <c r="B1611" s="38"/>
      <c r="C1611" s="174"/>
      <c r="D1611" s="174"/>
      <c r="E1611" s="174"/>
      <c r="F1611" s="174"/>
      <c r="G1611" s="174"/>
      <c r="H1611" s="174"/>
      <c r="I1611" s="174"/>
      <c r="J1611" s="174"/>
      <c r="K1611" s="174"/>
      <c r="L1611" s="174"/>
      <c r="M1611" s="174"/>
      <c r="N1611" s="174"/>
      <c r="O1611" s="174"/>
      <c r="P1611" s="174"/>
      <c r="Q1611" s="174"/>
      <c r="R1611" s="174"/>
      <c r="S1611" s="174"/>
      <c r="T1611" s="174"/>
      <c r="U1611" s="174"/>
      <c r="V1611" s="174"/>
      <c r="W1611" s="139"/>
      <c r="AC1611" s="177">
        <f>IF($AF$1579&gt;0,'Assumptions (Geo)'!$V$14*Model!$AF$1579*'Assumptions (Geo)'!AB$2/10^9,0)</f>
        <v>0</v>
      </c>
      <c r="AD1611" s="177">
        <f>IF($AF$1579&gt;0,'Assumptions (Geo)'!$V$14*Model!$AF$1579*'Assumptions (Geo)'!AC$2/10^9,0)</f>
        <v>0</v>
      </c>
      <c r="AE1611" s="177">
        <f>IF($AF$1579&gt;0,'Assumptions (Geo)'!$V$14*Model!$AF$1579*'Assumptions (Geo)'!AD$2/10^9,0)</f>
        <v>0</v>
      </c>
    </row>
    <row r="1612" ht="15.75" hidden="1" customHeight="1" outlineLevel="1">
      <c r="A1612" s="295"/>
      <c r="B1612" s="38"/>
      <c r="C1612" s="174"/>
      <c r="D1612" s="174"/>
      <c r="E1612" s="174"/>
      <c r="F1612" s="174"/>
      <c r="G1612" s="174"/>
      <c r="H1612" s="174"/>
      <c r="I1612" s="174"/>
      <c r="J1612" s="174"/>
      <c r="K1612" s="174"/>
      <c r="L1612" s="174"/>
      <c r="M1612" s="174"/>
      <c r="N1612" s="174"/>
      <c r="O1612" s="174"/>
      <c r="P1612" s="174"/>
      <c r="Q1612" s="174"/>
      <c r="R1612" s="174"/>
      <c r="S1612" s="174"/>
      <c r="T1612" s="174"/>
      <c r="U1612" s="174"/>
      <c r="V1612" s="174"/>
      <c r="W1612" s="139"/>
      <c r="AD1612" s="177">
        <f>IF($AG$1579&gt;0,'Assumptions (Geo)'!$V$14*Model!$AG$1579*'Assumptions (Geo)'!AC$2/10^9,0)</f>
        <v>0</v>
      </c>
      <c r="AE1612" s="177">
        <f>IF($AG$1579&gt;0,'Assumptions (Geo)'!$V$14*Model!$AG$1579*'Assumptions (Geo)'!AD$2/10^9,0)</f>
        <v>0</v>
      </c>
      <c r="AF1612" s="177">
        <f>IF($AG$1579&gt;0,'Assumptions (Geo)'!$V$14*Model!$AG$1579*'Assumptions (Geo)'!AE$2/10^9,0)</f>
        <v>0</v>
      </c>
    </row>
    <row r="1613" ht="15.75" hidden="1" customHeight="1" outlineLevel="1">
      <c r="A1613" s="295"/>
      <c r="B1613" s="38"/>
      <c r="C1613" s="174"/>
      <c r="D1613" s="174"/>
      <c r="E1613" s="174"/>
      <c r="F1613" s="174"/>
      <c r="G1613" s="174"/>
      <c r="H1613" s="174"/>
      <c r="I1613" s="174"/>
      <c r="J1613" s="174"/>
      <c r="K1613" s="174"/>
      <c r="L1613" s="174"/>
      <c r="M1613" s="174"/>
      <c r="N1613" s="174"/>
      <c r="O1613" s="174"/>
      <c r="P1613" s="174"/>
      <c r="Q1613" s="174"/>
      <c r="R1613" s="174"/>
      <c r="S1613" s="174"/>
      <c r="T1613" s="174"/>
      <c r="U1613" s="174"/>
      <c r="V1613" s="174"/>
      <c r="W1613" s="139"/>
      <c r="AE1613" s="177">
        <f>IF($AH$1579&gt;0,'Assumptions (Geo)'!$V$14*Model!$AH$1579*'Assumptions (Geo)'!AD$2/10^9,0)</f>
        <v>0</v>
      </c>
      <c r="AF1613" s="177">
        <f>IF($AH$1579&gt;0,'Assumptions (Geo)'!$V$14*Model!$AH$1579*'Assumptions (Geo)'!AE$2/10^9,0)</f>
        <v>0</v>
      </c>
      <c r="AG1613" s="177">
        <f>IF($AH$1579&gt;0,'Assumptions (Geo)'!$V$14*Model!$AH$1579*'Assumptions (Geo)'!AF$2/10^9,0)</f>
        <v>0</v>
      </c>
    </row>
    <row r="1614" ht="15.75" hidden="1" customHeight="1" outlineLevel="1">
      <c r="A1614" s="295"/>
      <c r="B1614" s="38"/>
      <c r="C1614" s="174"/>
      <c r="D1614" s="174"/>
      <c r="E1614" s="174"/>
      <c r="F1614" s="174"/>
      <c r="G1614" s="174"/>
      <c r="H1614" s="174"/>
      <c r="I1614" s="174"/>
      <c r="J1614" s="174"/>
      <c r="K1614" s="174"/>
      <c r="L1614" s="174"/>
      <c r="M1614" s="174"/>
      <c r="N1614" s="174"/>
      <c r="O1614" s="174"/>
      <c r="P1614" s="174"/>
      <c r="Q1614" s="174"/>
      <c r="R1614" s="174"/>
      <c r="S1614" s="174"/>
      <c r="T1614" s="174"/>
      <c r="U1614" s="174"/>
      <c r="V1614" s="174"/>
      <c r="W1614" s="139"/>
      <c r="AF1614" s="177">
        <f>IF($AI$1579&gt;0,'Assumptions (Geo)'!$V$14*Model!$AI$1579*'Assumptions (Geo)'!AE$2/10^9,0)</f>
        <v>0</v>
      </c>
      <c r="AG1614" s="177">
        <f>IF($AI$1579&gt;0,'Assumptions (Geo)'!$V$14*Model!$AI$1579*'Assumptions (Geo)'!AF$2/10^9,0)</f>
        <v>0</v>
      </c>
      <c r="AH1614" s="177">
        <f>IF($AI$1579&gt;0,'Assumptions (Geo)'!$V$14*Model!$AI$1579*'Assumptions (Geo)'!AG$2/10^9,0)</f>
        <v>0</v>
      </c>
    </row>
    <row r="1615" ht="15.75" hidden="1" customHeight="1" outlineLevel="1">
      <c r="A1615" s="295"/>
      <c r="B1615" s="38"/>
      <c r="C1615" s="174"/>
      <c r="D1615" s="174"/>
      <c r="E1615" s="174"/>
      <c r="F1615" s="174"/>
      <c r="G1615" s="174"/>
      <c r="H1615" s="174"/>
      <c r="I1615" s="174"/>
      <c r="J1615" s="174"/>
      <c r="K1615" s="174"/>
      <c r="L1615" s="174"/>
      <c r="M1615" s="174"/>
      <c r="N1615" s="174"/>
      <c r="O1615" s="174"/>
      <c r="P1615" s="174"/>
      <c r="Q1615" s="174"/>
      <c r="R1615" s="174"/>
      <c r="S1615" s="174"/>
      <c r="T1615" s="174"/>
      <c r="U1615" s="174"/>
      <c r="V1615" s="174"/>
      <c r="W1615" s="139"/>
      <c r="AG1615" s="177">
        <f>IF($AJ$1579&gt;0,'Assumptions (Geo)'!$V$14*Model!$AJ$1579*'Assumptions (Geo)'!AF$2/10^9,0)</f>
        <v>0</v>
      </c>
      <c r="AH1615" s="177">
        <f>IF($AJ$1579&gt;0,'Assumptions (Geo)'!$V$14*Model!$AJ$1579*'Assumptions (Geo)'!AG$2/10^9,0)</f>
        <v>0</v>
      </c>
      <c r="AI1615" s="177">
        <f>IF($AJ$1579&gt;0,'Assumptions (Geo)'!$V$14*Model!$AJ$1579*'Assumptions (Geo)'!AH$2/10^9,0)</f>
        <v>0</v>
      </c>
    </row>
    <row r="1616" ht="15.75" hidden="1" customHeight="1" outlineLevel="1">
      <c r="A1616" s="295"/>
      <c r="B1616" s="38"/>
      <c r="C1616" s="174"/>
      <c r="D1616" s="174"/>
      <c r="E1616" s="174"/>
      <c r="F1616" s="174"/>
      <c r="G1616" s="174"/>
      <c r="H1616" s="174"/>
      <c r="I1616" s="174"/>
      <c r="J1616" s="174"/>
      <c r="K1616" s="174"/>
      <c r="L1616" s="174"/>
      <c r="M1616" s="174"/>
      <c r="N1616" s="174"/>
      <c r="O1616" s="174"/>
      <c r="P1616" s="174"/>
      <c r="Q1616" s="174"/>
      <c r="R1616" s="174"/>
      <c r="S1616" s="174"/>
      <c r="T1616" s="174"/>
      <c r="U1616" s="174"/>
      <c r="V1616" s="174"/>
      <c r="W1616" s="139"/>
      <c r="AH1616" s="177">
        <f>IF($AK$1579&gt;0,'Assumptions (Geo)'!$V$14*Model!$AK$1579*'Assumptions (Geo)'!AG$2/10^9,0)</f>
        <v>0</v>
      </c>
      <c r="AI1616" s="177">
        <f>IF($AK$1579&gt;0,'Assumptions (Geo)'!$V$14*Model!$AK$1579*'Assumptions (Geo)'!AH$2/10^9,0)</f>
        <v>0</v>
      </c>
      <c r="AJ1616" s="177">
        <f>IF($AK$1579&gt;0,'Assumptions (Geo)'!$V$14*Model!$AK$1579*'Assumptions (Geo)'!AI$2/10^9,0)</f>
        <v>0</v>
      </c>
    </row>
    <row r="1617" ht="15.75" hidden="1" customHeight="1" outlineLevel="1">
      <c r="A1617" s="295"/>
      <c r="B1617" s="38"/>
      <c r="C1617" s="174"/>
      <c r="D1617" s="174"/>
      <c r="E1617" s="174"/>
      <c r="F1617" s="174"/>
      <c r="G1617" s="174"/>
      <c r="H1617" s="174"/>
      <c r="I1617" s="174"/>
      <c r="J1617" s="174"/>
      <c r="K1617" s="174"/>
      <c r="L1617" s="174"/>
      <c r="M1617" s="174"/>
      <c r="N1617" s="174"/>
      <c r="O1617" s="174"/>
      <c r="P1617" s="174"/>
      <c r="Q1617" s="174"/>
      <c r="R1617" s="174"/>
      <c r="S1617" s="174"/>
      <c r="T1617" s="174"/>
      <c r="U1617" s="174"/>
      <c r="V1617" s="174"/>
      <c r="W1617" s="139"/>
      <c r="AI1617" s="177">
        <f>IF($AL$1579&gt;0,'Assumptions (Geo)'!$V$14*Model!$AL$1579*'Assumptions (Geo)'!AH$2/10^9,0)</f>
        <v>0</v>
      </c>
      <c r="AJ1617" s="177">
        <f>IF($AL$1579&gt;0,'Assumptions (Geo)'!$V$14*Model!$AL$1579*'Assumptions (Geo)'!AI$2/10^9,0)</f>
        <v>0</v>
      </c>
      <c r="AK1617" s="177">
        <f>IF($AL$1579&gt;0,'Assumptions (Geo)'!$V$14*Model!$AL$1579*'Assumptions (Geo)'!AJ$2/10^9,0)</f>
        <v>0</v>
      </c>
    </row>
    <row r="1618" ht="15.75" hidden="1" customHeight="1" outlineLevel="1">
      <c r="A1618" s="295"/>
      <c r="B1618" s="38"/>
      <c r="C1618" s="174"/>
      <c r="D1618" s="174"/>
      <c r="E1618" s="174"/>
      <c r="F1618" s="174"/>
      <c r="G1618" s="174"/>
      <c r="H1618" s="174"/>
      <c r="I1618" s="174"/>
      <c r="J1618" s="174"/>
      <c r="K1618" s="174"/>
      <c r="L1618" s="174"/>
      <c r="M1618" s="174"/>
      <c r="N1618" s="174"/>
      <c r="O1618" s="174"/>
      <c r="P1618" s="174"/>
      <c r="Q1618" s="174"/>
      <c r="R1618" s="174"/>
      <c r="S1618" s="174"/>
      <c r="T1618" s="174"/>
      <c r="U1618" s="174"/>
      <c r="V1618" s="174"/>
      <c r="W1618" s="139"/>
      <c r="AJ1618" s="177">
        <f>IF($AM$1579&gt;0,'Assumptions (Geo)'!$V$14*Model!$AM$1579*'Assumptions (Geo)'!AI$2/10^9,0)</f>
        <v>0</v>
      </c>
      <c r="AK1618" s="177">
        <f>IF($AM$1579&gt;0,'Assumptions (Geo)'!$V$14*Model!$AM$1579*'Assumptions (Geo)'!AJ$2/10^9,0)</f>
        <v>0</v>
      </c>
      <c r="AL1618" s="177">
        <f>IF($AM$1579&gt;0,'Assumptions (Geo)'!$V$14*Model!$AM$1579*'Assumptions (Geo)'!AK$2/10^9,0)</f>
        <v>0</v>
      </c>
    </row>
    <row r="1619" ht="15.75" hidden="1" customHeight="1" outlineLevel="1">
      <c r="A1619" s="295"/>
      <c r="B1619" s="38"/>
      <c r="C1619" s="174"/>
      <c r="D1619" s="174"/>
      <c r="E1619" s="174"/>
      <c r="F1619" s="174"/>
      <c r="G1619" s="174"/>
      <c r="H1619" s="174"/>
      <c r="I1619" s="174"/>
      <c r="J1619" s="174"/>
      <c r="K1619" s="174"/>
      <c r="L1619" s="174"/>
      <c r="M1619" s="174"/>
      <c r="N1619" s="174"/>
      <c r="O1619" s="174"/>
      <c r="P1619" s="174"/>
      <c r="Q1619" s="174"/>
      <c r="R1619" s="174"/>
      <c r="S1619" s="174"/>
      <c r="T1619" s="174"/>
      <c r="U1619" s="174"/>
      <c r="V1619" s="174"/>
      <c r="W1619" s="139"/>
      <c r="AK1619" s="177">
        <f>IF($AN$1579&gt;0,'Assumptions (Geo)'!$V$14*Model!$AN$1579*'Assumptions (Geo)'!AJ$2/10^9,0)</f>
        <v>0</v>
      </c>
      <c r="AL1619" s="177">
        <f>IF($AN$1579&gt;0,'Assumptions (Geo)'!$V$14*Model!$AN$1579*'Assumptions (Geo)'!AK$2/10^9,0)</f>
        <v>0</v>
      </c>
      <c r="AM1619" s="177">
        <f>IF($AN$1579&gt;0,'Assumptions (Geo)'!$V$14*Model!$AN$1579*'Assumptions (Geo)'!AL$2/10^9,0)</f>
        <v>0</v>
      </c>
    </row>
    <row r="1620" ht="15.75" hidden="1" customHeight="1" outlineLevel="1">
      <c r="A1620" s="295"/>
      <c r="B1620" s="38"/>
      <c r="C1620" s="174"/>
      <c r="D1620" s="174"/>
      <c r="E1620" s="174"/>
      <c r="F1620" s="174"/>
      <c r="G1620" s="174"/>
      <c r="H1620" s="174"/>
      <c r="I1620" s="174"/>
      <c r="J1620" s="174"/>
      <c r="K1620" s="174"/>
      <c r="L1620" s="174"/>
      <c r="M1620" s="174"/>
      <c r="N1620" s="174"/>
      <c r="O1620" s="174"/>
      <c r="P1620" s="174"/>
      <c r="Q1620" s="174"/>
      <c r="R1620" s="174"/>
      <c r="S1620" s="174"/>
      <c r="T1620" s="174"/>
      <c r="U1620" s="174"/>
      <c r="V1620" s="174"/>
      <c r="W1620" s="139"/>
      <c r="AL1620" s="177">
        <f>IF($AO$1579&gt;0,'Assumptions (Geo)'!$V$14*Model!$AO$1579*'Assumptions (Geo)'!AK$2/10^9,0)</f>
        <v>0</v>
      </c>
      <c r="AM1620" s="177">
        <f>IF($AO$1579&gt;0,'Assumptions (Geo)'!$V$14*Model!$AO$1579*'Assumptions (Geo)'!AL$2/10^9,0)</f>
        <v>0</v>
      </c>
      <c r="AN1620" s="177">
        <f>IF($AO$1579&gt;0,'Assumptions (Geo)'!$V$14*Model!$AO$1579*'Assumptions (Geo)'!AM$2/10^9,0)</f>
        <v>0</v>
      </c>
    </row>
    <row r="1621" ht="15.75" hidden="1" customHeight="1" outlineLevel="1">
      <c r="A1621" s="295"/>
      <c r="B1621" s="38"/>
      <c r="C1621" s="174"/>
      <c r="D1621" s="174"/>
      <c r="E1621" s="174"/>
      <c r="F1621" s="174"/>
      <c r="G1621" s="174"/>
      <c r="H1621" s="174"/>
      <c r="I1621" s="174"/>
      <c r="J1621" s="174"/>
      <c r="K1621" s="174"/>
      <c r="L1621" s="174"/>
      <c r="M1621" s="174"/>
      <c r="N1621" s="174"/>
      <c r="O1621" s="174"/>
      <c r="P1621" s="174"/>
      <c r="Q1621" s="174"/>
      <c r="R1621" s="174"/>
      <c r="S1621" s="174"/>
      <c r="T1621" s="174"/>
      <c r="U1621" s="174"/>
      <c r="V1621" s="174"/>
      <c r="W1621" s="139"/>
      <c r="AM1621" s="177">
        <f>IF($AP$1579&gt;0,'Assumptions (Geo)'!$V$14*Model!$AP$1579*'Assumptions (Geo)'!AL$2/10^9,0)</f>
        <v>0</v>
      </c>
      <c r="AN1621" s="177">
        <f>IF($AP$1579&gt;0,'Assumptions (Geo)'!$V$14*Model!$AP$1579*'Assumptions (Geo)'!AM$2/10^9,0)</f>
        <v>0</v>
      </c>
      <c r="AO1621" s="177">
        <f>IF($AP$1579&gt;0,'Assumptions (Geo)'!$V$14*Model!$AP$1579*'Assumptions (Geo)'!AN$2/10^9,0)</f>
        <v>0</v>
      </c>
    </row>
    <row r="1622" ht="15.75" hidden="1" customHeight="1" outlineLevel="1">
      <c r="A1622" s="295"/>
      <c r="B1622" s="38"/>
      <c r="C1622" s="174"/>
      <c r="D1622" s="174"/>
      <c r="E1622" s="174"/>
      <c r="F1622" s="174"/>
      <c r="G1622" s="174"/>
      <c r="H1622" s="174"/>
      <c r="I1622" s="174"/>
      <c r="J1622" s="174"/>
      <c r="K1622" s="174"/>
      <c r="L1622" s="174"/>
      <c r="M1622" s="174"/>
      <c r="N1622" s="174"/>
      <c r="O1622" s="174"/>
      <c r="P1622" s="174"/>
      <c r="Q1622" s="174"/>
      <c r="R1622" s="174"/>
      <c r="S1622" s="174"/>
      <c r="T1622" s="174"/>
      <c r="U1622" s="174"/>
      <c r="V1622" s="174"/>
      <c r="W1622" s="139"/>
      <c r="AN1622" s="177">
        <f>IF($AQ$1579&gt;0,'Assumptions (Geo)'!$V$14*Model!$AQ$1579*'Assumptions (Geo)'!AM$2/10^9,0)</f>
        <v>0</v>
      </c>
      <c r="AO1622" s="177">
        <f>IF($AQ$1579&gt;0,'Assumptions (Geo)'!$V$14*Model!$AQ$1579*'Assumptions (Geo)'!AN$2/10^9,0)</f>
        <v>0</v>
      </c>
      <c r="AP1622" s="177">
        <f>IF($AQ$1579&gt;0,'Assumptions (Geo)'!$V$14*Model!$AQ$1579*'Assumptions (Geo)'!AO$2/10^9,0)</f>
        <v>0</v>
      </c>
    </row>
    <row r="1623" ht="15.75" hidden="1" customHeight="1" outlineLevel="1">
      <c r="A1623" s="295"/>
      <c r="B1623" s="38"/>
      <c r="C1623" s="174"/>
      <c r="D1623" s="174"/>
      <c r="E1623" s="174"/>
      <c r="F1623" s="174"/>
      <c r="G1623" s="174"/>
      <c r="H1623" s="174"/>
      <c r="I1623" s="174"/>
      <c r="J1623" s="174"/>
      <c r="K1623" s="174"/>
      <c r="L1623" s="174"/>
      <c r="M1623" s="174"/>
      <c r="N1623" s="174"/>
      <c r="O1623" s="174"/>
      <c r="P1623" s="174"/>
      <c r="Q1623" s="174"/>
      <c r="R1623" s="174"/>
      <c r="S1623" s="174"/>
      <c r="T1623" s="174"/>
      <c r="U1623" s="174"/>
      <c r="V1623" s="174"/>
      <c r="W1623" s="139"/>
      <c r="AO1623" s="177">
        <f>IF($AR$1579&gt;0,'Assumptions (Geo)'!$V$14*Model!$AR$1579*'Assumptions (Geo)'!AN$2/10^9,0)</f>
        <v>0</v>
      </c>
      <c r="AP1623" s="177">
        <f>IF($AR$1579&gt;0,'Assumptions (Geo)'!$V$14*Model!$AR$1579*'Assumptions (Geo)'!AO$2/10^9,0)</f>
        <v>0</v>
      </c>
      <c r="AQ1623" s="177">
        <f>IF($AR$1579&gt;0,'Assumptions (Geo)'!$V$14*Model!$AR$1579*'Assumptions (Geo)'!AP$2/10^9,0)</f>
        <v>0</v>
      </c>
    </row>
    <row r="1624" ht="15.75" hidden="1" customHeight="1" outlineLevel="1">
      <c r="A1624" s="295"/>
      <c r="B1624" s="38"/>
      <c r="C1624" s="174"/>
      <c r="D1624" s="174"/>
      <c r="E1624" s="174"/>
      <c r="F1624" s="174"/>
      <c r="G1624" s="174"/>
      <c r="H1624" s="174"/>
      <c r="I1624" s="174"/>
      <c r="J1624" s="174"/>
      <c r="K1624" s="174"/>
      <c r="L1624" s="174"/>
      <c r="M1624" s="174"/>
      <c r="N1624" s="174"/>
      <c r="O1624" s="174"/>
      <c r="P1624" s="174"/>
      <c r="Q1624" s="174"/>
      <c r="R1624" s="174"/>
      <c r="S1624" s="174"/>
      <c r="T1624" s="174"/>
      <c r="U1624" s="174"/>
      <c r="V1624" s="174"/>
      <c r="W1624" s="139"/>
      <c r="AP1624" s="177">
        <f>IF($AS$1579&gt;0,'Assumptions (Geo)'!$V$14*Model!$AS$1579*'Assumptions (Geo)'!AO$2/10^9,0)</f>
        <v>0</v>
      </c>
      <c r="AQ1624" s="177">
        <f>IF($AS$1579&gt;0,'Assumptions (Geo)'!$V$14*Model!$AS$1579*'Assumptions (Geo)'!AP$2/10^9,0)</f>
        <v>0</v>
      </c>
      <c r="AR1624" s="177">
        <f>IF($AS$1579&gt;0,'Assumptions (Geo)'!$V$14*Model!$AS$1579*'Assumptions (Geo)'!AQ$2/10^9,0)</f>
        <v>0</v>
      </c>
    </row>
    <row r="1625" ht="15.75" hidden="1" customHeight="1" outlineLevel="1">
      <c r="A1625" s="295"/>
      <c r="B1625" s="38"/>
      <c r="C1625" s="174"/>
      <c r="D1625" s="174"/>
      <c r="E1625" s="174"/>
      <c r="F1625" s="174"/>
      <c r="G1625" s="174"/>
      <c r="H1625" s="174"/>
      <c r="I1625" s="174"/>
      <c r="J1625" s="174"/>
      <c r="K1625" s="174"/>
      <c r="L1625" s="174"/>
      <c r="M1625" s="174"/>
      <c r="N1625" s="174"/>
      <c r="O1625" s="174"/>
      <c r="P1625" s="174"/>
      <c r="Q1625" s="174"/>
      <c r="R1625" s="174"/>
      <c r="S1625" s="174"/>
      <c r="T1625" s="174"/>
      <c r="U1625" s="174"/>
      <c r="V1625" s="174"/>
      <c r="W1625" s="139"/>
      <c r="AQ1625" s="177">
        <f>IF($AT$1579&gt;0,'Assumptions (Geo)'!$V$14*Model!$AT$1579*'Assumptions (Geo)'!AP$2/10^9,0)</f>
        <v>0</v>
      </c>
      <c r="AR1625" s="177">
        <f>IF($AT$1579&gt;0,'Assumptions (Geo)'!$V$14*Model!$AT$1579*'Assumptions (Geo)'!AQ$2/10^9,0)</f>
        <v>0</v>
      </c>
      <c r="AS1625" s="177">
        <f>IF($AT$1579&gt;0,'Assumptions (Geo)'!$V$14*Model!$AT$1579*'Assumptions (Geo)'!AR$2/10^9,0)</f>
        <v>0</v>
      </c>
    </row>
    <row r="1626" ht="15.75" hidden="1" customHeight="1" outlineLevel="1">
      <c r="A1626" s="295"/>
      <c r="B1626" s="38"/>
      <c r="C1626" s="174"/>
      <c r="D1626" s="174"/>
      <c r="E1626" s="174"/>
      <c r="F1626" s="174"/>
      <c r="G1626" s="174"/>
      <c r="H1626" s="174"/>
      <c r="I1626" s="174"/>
      <c r="J1626" s="174"/>
      <c r="K1626" s="174"/>
      <c r="L1626" s="174"/>
      <c r="M1626" s="174"/>
      <c r="N1626" s="174"/>
      <c r="O1626" s="174"/>
      <c r="P1626" s="174"/>
      <c r="Q1626" s="174"/>
      <c r="R1626" s="174"/>
      <c r="S1626" s="174"/>
      <c r="T1626" s="174"/>
      <c r="U1626" s="174"/>
      <c r="V1626" s="174"/>
      <c r="W1626" s="139"/>
      <c r="AR1626" s="177">
        <f>IF($AU$1579&gt;0,'Assumptions (Geo)'!$V$14*Model!$AU$1579*'Assumptions (Geo)'!AQ$2/10^9,0)</f>
        <v>0</v>
      </c>
      <c r="AS1626" s="177">
        <f>IF($AU$1579&gt;0,'Assumptions (Geo)'!$V$14*Model!$AU$1579*'Assumptions (Geo)'!AR$2/10^9,0)</f>
        <v>0</v>
      </c>
      <c r="AT1626" s="177">
        <f>IF($AU$1579&gt;0,'Assumptions (Geo)'!$V$14*Model!$AU$1579*'Assumptions (Geo)'!AS$2/10^9,0)</f>
        <v>0</v>
      </c>
    </row>
    <row r="1627" ht="15.75" hidden="1" customHeight="1" outlineLevel="1">
      <c r="A1627" s="295"/>
      <c r="B1627" s="38"/>
      <c r="C1627" s="174"/>
      <c r="D1627" s="174"/>
      <c r="E1627" s="174"/>
      <c r="F1627" s="174"/>
      <c r="G1627" s="174"/>
      <c r="H1627" s="174"/>
      <c r="I1627" s="174"/>
      <c r="J1627" s="174"/>
      <c r="K1627" s="174"/>
      <c r="L1627" s="174"/>
      <c r="M1627" s="174"/>
      <c r="N1627" s="174"/>
      <c r="O1627" s="174"/>
      <c r="P1627" s="174"/>
      <c r="Q1627" s="174"/>
      <c r="R1627" s="174"/>
      <c r="S1627" s="174"/>
      <c r="T1627" s="174"/>
      <c r="U1627" s="174"/>
      <c r="V1627" s="174"/>
      <c r="W1627" s="139"/>
      <c r="AS1627" s="177">
        <f>IF($AV$1579&gt;0,'Assumptions (Geo)'!$V$14*Model!$AV$1579*'Assumptions (Geo)'!AR$2/10^9,0)</f>
        <v>0</v>
      </c>
      <c r="AT1627" s="177">
        <f>IF($AV$1579&gt;0,'Assumptions (Geo)'!$V$14*Model!$AV$1579*'Assumptions (Geo)'!AS$2/10^9,0)</f>
        <v>0</v>
      </c>
      <c r="AU1627" s="177">
        <f>IF($AV$1579&gt;0,'Assumptions (Geo)'!$V$14*Model!$AV$1579*'Assumptions (Geo)'!AT$2/10^9,0)</f>
        <v>0</v>
      </c>
    </row>
    <row r="1628" ht="15.75" hidden="1" customHeight="1" outlineLevel="1">
      <c r="A1628" s="295"/>
      <c r="B1628" s="38"/>
      <c r="C1628" s="174"/>
      <c r="D1628" s="174"/>
      <c r="E1628" s="174"/>
      <c r="F1628" s="174"/>
      <c r="G1628" s="174"/>
      <c r="H1628" s="174"/>
      <c r="I1628" s="174"/>
      <c r="J1628" s="174"/>
      <c r="K1628" s="174"/>
      <c r="L1628" s="174"/>
      <c r="M1628" s="174"/>
      <c r="N1628" s="174"/>
      <c r="O1628" s="174"/>
      <c r="P1628" s="174"/>
      <c r="Q1628" s="174"/>
      <c r="R1628" s="174"/>
      <c r="S1628" s="174"/>
      <c r="T1628" s="174"/>
      <c r="U1628" s="174"/>
      <c r="V1628" s="174"/>
      <c r="W1628" s="139"/>
      <c r="AT1628" s="177">
        <f>IF($AW$1579&gt;0,'Assumptions (Geo)'!$V$14*Model!$AW$1579*'Assumptions (Geo)'!AS$2/10^9,0)</f>
        <v>0</v>
      </c>
      <c r="AU1628" s="177">
        <f>IF($AW$1579&gt;0,'Assumptions (Geo)'!$V$14*Model!$AW$1579*'Assumptions (Geo)'!AT$2/10^9,0)</f>
        <v>0</v>
      </c>
      <c r="AV1628" s="177">
        <f>IF($AW$1579&gt;0,'Assumptions (Geo)'!$V$14*Model!$AW$1579*'Assumptions (Geo)'!AU$2/10^9,0)</f>
        <v>0</v>
      </c>
    </row>
    <row r="1629" ht="15.75" hidden="1" customHeight="1" outlineLevel="1">
      <c r="A1629" s="295"/>
      <c r="B1629" s="38"/>
      <c r="C1629" s="174"/>
      <c r="D1629" s="174"/>
      <c r="E1629" s="174"/>
      <c r="F1629" s="174"/>
      <c r="G1629" s="174"/>
      <c r="H1629" s="174"/>
      <c r="I1629" s="174"/>
      <c r="J1629" s="174"/>
      <c r="K1629" s="174"/>
      <c r="L1629" s="174"/>
      <c r="M1629" s="174"/>
      <c r="N1629" s="174"/>
      <c r="O1629" s="174"/>
      <c r="P1629" s="174"/>
      <c r="Q1629" s="174"/>
      <c r="R1629" s="174"/>
      <c r="S1629" s="174"/>
      <c r="T1629" s="174"/>
      <c r="U1629" s="174"/>
      <c r="V1629" s="174"/>
      <c r="W1629" s="139"/>
      <c r="AU1629" s="177">
        <f>IF($AX$1579&gt;0,'Assumptions (Geo)'!$V$14*Model!$AX$1579*'Assumptions (Geo)'!AT$2/10^9,0)</f>
        <v>0</v>
      </c>
      <c r="AV1629" s="177">
        <f>IF($AX$1579&gt;0,'Assumptions (Geo)'!$V$14*Model!$AX$1579*'Assumptions (Geo)'!AU$2/10^9,0)</f>
        <v>0</v>
      </c>
      <c r="AW1629" s="177">
        <f>IF($AX$1579&gt;0,'Assumptions (Geo)'!$V$14*Model!$AX$1579*'Assumptions (Geo)'!AV$2/10^9,0)</f>
        <v>0</v>
      </c>
    </row>
    <row r="1630" ht="15.75" hidden="1" customHeight="1" outlineLevel="1">
      <c r="A1630" s="295"/>
      <c r="B1630" s="38"/>
      <c r="C1630" s="174"/>
      <c r="D1630" s="174"/>
      <c r="E1630" s="174"/>
      <c r="F1630" s="174"/>
      <c r="G1630" s="174"/>
      <c r="H1630" s="174"/>
      <c r="I1630" s="174"/>
      <c r="J1630" s="174"/>
      <c r="K1630" s="174"/>
      <c r="L1630" s="174"/>
      <c r="M1630" s="174"/>
      <c r="N1630" s="174"/>
      <c r="O1630" s="174"/>
      <c r="P1630" s="174"/>
      <c r="Q1630" s="174"/>
      <c r="R1630" s="174"/>
      <c r="S1630" s="174"/>
      <c r="T1630" s="174"/>
      <c r="U1630" s="174"/>
      <c r="V1630" s="174"/>
      <c r="W1630" s="139"/>
      <c r="AV1630" s="177">
        <f>IF($AY$1579&gt;0,'Assumptions (Geo)'!$V$14*Model!$AY$1579*'Assumptions (Geo)'!AU$2/10^9,0)</f>
        <v>0</v>
      </c>
      <c r="AW1630" s="177">
        <f>IF($AY$1579&gt;0,'Assumptions (Geo)'!$V$14*Model!$AY$1579*'Assumptions (Geo)'!AV$2/10^9,0)</f>
        <v>0</v>
      </c>
      <c r="AX1630" s="177">
        <f>IF($AY$1579&gt;0,'Assumptions (Geo)'!$V$14*Model!$AY$1579*'Assumptions (Geo)'!AW$2/10^9,0)</f>
        <v>0</v>
      </c>
    </row>
    <row r="1631" ht="15.75" hidden="1" customHeight="1" outlineLevel="1">
      <c r="A1631" s="295"/>
      <c r="B1631" s="38"/>
      <c r="C1631" s="174"/>
      <c r="D1631" s="174"/>
      <c r="E1631" s="174"/>
      <c r="F1631" s="174"/>
      <c r="G1631" s="174"/>
      <c r="H1631" s="174"/>
      <c r="I1631" s="174"/>
      <c r="J1631" s="174"/>
      <c r="K1631" s="174"/>
      <c r="L1631" s="174"/>
      <c r="M1631" s="174"/>
      <c r="N1631" s="174"/>
      <c r="O1631" s="174"/>
      <c r="P1631" s="174"/>
      <c r="Q1631" s="174"/>
      <c r="R1631" s="174"/>
      <c r="S1631" s="174"/>
      <c r="T1631" s="174"/>
      <c r="U1631" s="174"/>
      <c r="V1631" s="174"/>
      <c r="W1631" s="139"/>
      <c r="AW1631" s="177">
        <f>IF($AZ$1579&gt;0,'Assumptions (Geo)'!$V$14*Model!$AZ$1579*'Assumptions (Geo)'!AV$2/10^9,0)</f>
        <v>0</v>
      </c>
      <c r="AX1631" s="177">
        <f>IF($AZ$1579&gt;0,'Assumptions (Geo)'!$V$14*Model!$AZ$1579*'Assumptions (Geo)'!AW$2/10^9,0)</f>
        <v>0</v>
      </c>
      <c r="AY1631" s="177">
        <f>IF($AZ$1579&gt;0,'Assumptions (Geo)'!$V$14*Model!$AZ$1579*'Assumptions (Geo)'!AX$2/10^9,0)</f>
        <v>0</v>
      </c>
    </row>
    <row r="1632" ht="15.75" hidden="1" customHeight="1" outlineLevel="1">
      <c r="A1632" s="295"/>
      <c r="B1632" s="38"/>
      <c r="C1632" s="174"/>
      <c r="D1632" s="174"/>
      <c r="E1632" s="174"/>
      <c r="F1632" s="174"/>
      <c r="G1632" s="174"/>
      <c r="H1632" s="174"/>
      <c r="I1632" s="174"/>
      <c r="J1632" s="174"/>
      <c r="K1632" s="174"/>
      <c r="L1632" s="174"/>
      <c r="M1632" s="174"/>
      <c r="N1632" s="174"/>
      <c r="O1632" s="174"/>
      <c r="P1632" s="174"/>
      <c r="Q1632" s="174"/>
      <c r="R1632" s="174"/>
      <c r="S1632" s="174"/>
      <c r="T1632" s="174"/>
      <c r="U1632" s="174"/>
      <c r="V1632" s="174"/>
      <c r="W1632" s="139"/>
      <c r="AX1632" s="177">
        <f>IF($BA$1579&gt;0,'Assumptions (Geo)'!$V$14*Model!$BA$1579*'Assumptions (Geo)'!AW$2/10^9,0)</f>
        <v>0</v>
      </c>
      <c r="AY1632" s="177">
        <f>IF($BA$1579&gt;0,'Assumptions (Geo)'!$V$14*Model!$BA$1579*'Assumptions (Geo)'!AX$2/10^9,0)</f>
        <v>0</v>
      </c>
      <c r="AZ1632" s="177">
        <f>IF($BA$1579&gt;0,'Assumptions (Geo)'!$V$14*Model!$BA$1579*'Assumptions (Geo)'!AY$2/10^9,0)</f>
        <v>0</v>
      </c>
    </row>
    <row r="1633" ht="15.75" customHeight="1" collapsed="1">
      <c r="A1633" s="297" t="s">
        <v>52</v>
      </c>
      <c r="B1633" s="150" t="s">
        <v>351</v>
      </c>
      <c r="C1633" s="279">
        <f>'Assumptions (Geo)'!$V$5*Model!C1581</f>
        <v>0</v>
      </c>
      <c r="D1633" s="279">
        <f>'Assumptions (Geo)'!$V$5*Model!D1581</f>
        <v>0</v>
      </c>
      <c r="E1633" s="279">
        <f>'Assumptions (Geo)'!$V$5*Model!E1581</f>
        <v>0</v>
      </c>
      <c r="F1633" s="279">
        <f>'Assumptions (Geo)'!$V$5*Model!F1581</f>
        <v>0</v>
      </c>
      <c r="G1633" s="279">
        <f>'Assumptions (Geo)'!$V$5*Model!G1581</f>
        <v>0</v>
      </c>
      <c r="H1633" s="279">
        <f>'Assumptions (Geo)'!$V$5*Model!H1581</f>
        <v>0</v>
      </c>
      <c r="I1633" s="279">
        <f>'Assumptions (Geo)'!$V$5*Model!I1581</f>
        <v>0</v>
      </c>
      <c r="J1633" s="279">
        <f>'Assumptions (Geo)'!$V$5*Model!J1581</f>
        <v>0</v>
      </c>
      <c r="K1633" s="279">
        <f>'Assumptions (Geo)'!$V$5*Model!K1581</f>
        <v>0</v>
      </c>
      <c r="L1633" s="279">
        <f>'Assumptions (Geo)'!$V$5*Model!L1581</f>
        <v>0</v>
      </c>
      <c r="M1633" s="279">
        <f>'Assumptions (Geo)'!$V$5*Model!M1581</f>
        <v>0</v>
      </c>
      <c r="N1633" s="279">
        <f>'Assumptions (Geo)'!$V$5*Model!N1581</f>
        <v>0</v>
      </c>
      <c r="O1633" s="279">
        <f>'Assumptions (Geo)'!$V$5*Model!O1581</f>
        <v>0</v>
      </c>
      <c r="P1633" s="279">
        <f>'Assumptions (Geo)'!$V$5*Model!P1581</f>
        <v>0</v>
      </c>
      <c r="Q1633" s="279">
        <f>'Assumptions (Geo)'!$V$5*Model!Q1581</f>
        <v>0</v>
      </c>
      <c r="R1633" s="279">
        <f>'Assumptions (Geo)'!$V$5*Model!R1581</f>
        <v>0</v>
      </c>
      <c r="S1633" s="279">
        <f>'Assumptions (Geo)'!$V$5*Model!S1581</f>
        <v>0</v>
      </c>
      <c r="T1633" s="279">
        <f>'Assumptions (Geo)'!$V$5*Model!T1581</f>
        <v>0</v>
      </c>
      <c r="U1633" s="279">
        <f>'Assumptions (Geo)'!$V$5*Model!U1581</f>
        <v>0</v>
      </c>
      <c r="V1633" s="279">
        <f>'Assumptions (Geo)'!$V$5*Model!V1581</f>
        <v>0</v>
      </c>
      <c r="W1633" s="279">
        <f>'Assumptions (Geo)'!$V$5*Model!W1581</f>
        <v>0</v>
      </c>
      <c r="X1633" s="279">
        <f>'Assumptions (Geo)'!$V$5*Model!X1581</f>
        <v>0</v>
      </c>
      <c r="Y1633" s="279">
        <f>'Assumptions (Geo)'!$V$5*Model!Y1581</f>
        <v>0</v>
      </c>
      <c r="Z1633" s="279">
        <f>'Assumptions (Geo)'!$V$5*Model!Z1581</f>
        <v>0</v>
      </c>
      <c r="AA1633" s="279">
        <f>'Assumptions (Geo)'!$V$5*Model!AA1581</f>
        <v>0</v>
      </c>
      <c r="AB1633" s="279">
        <f>'Assumptions (Geo)'!$V$5*Model!AB1581</f>
        <v>0</v>
      </c>
      <c r="AC1633" s="279">
        <f>'Assumptions (Geo)'!$V$5*Model!AC1581</f>
        <v>0</v>
      </c>
      <c r="AD1633" s="279">
        <f>'Assumptions (Geo)'!$V$5*Model!AD1581</f>
        <v>0</v>
      </c>
      <c r="AE1633" s="279">
        <f>'Assumptions (Geo)'!$V$5*Model!AE1581</f>
        <v>0</v>
      </c>
      <c r="AF1633" s="279">
        <f>'Assumptions (Geo)'!$V$5*Model!AF1581</f>
        <v>0</v>
      </c>
      <c r="AG1633" s="279">
        <f>'Assumptions (Geo)'!$V$5*Model!AG1581</f>
        <v>0</v>
      </c>
      <c r="AH1633" s="279">
        <f>'Assumptions (Geo)'!$V$5*Model!AH1581</f>
        <v>0</v>
      </c>
      <c r="AI1633" s="279">
        <f>'Assumptions (Geo)'!$V$5*Model!AI1581</f>
        <v>0</v>
      </c>
      <c r="AJ1633" s="279">
        <f>'Assumptions (Geo)'!$V$5*Model!AJ1581</f>
        <v>0</v>
      </c>
      <c r="AK1633" s="279">
        <f>'Assumptions (Geo)'!$V$5*Model!AK1581</f>
        <v>0</v>
      </c>
      <c r="AL1633" s="279">
        <f>'Assumptions (Geo)'!$V$5*Model!AL1581</f>
        <v>0</v>
      </c>
      <c r="AM1633" s="279">
        <f>'Assumptions (Geo)'!$V$5*Model!AM1581</f>
        <v>0</v>
      </c>
      <c r="AN1633" s="279">
        <f>'Assumptions (Geo)'!$V$5*Model!AN1581</f>
        <v>0</v>
      </c>
      <c r="AO1633" s="279">
        <f>'Assumptions (Geo)'!$V$5*Model!AO1581</f>
        <v>0</v>
      </c>
      <c r="AP1633" s="279">
        <f>'Assumptions (Geo)'!$V$5*Model!AP1581</f>
        <v>0</v>
      </c>
      <c r="AQ1633" s="279">
        <f>'Assumptions (Geo)'!$V$5*Model!AQ1581</f>
        <v>0</v>
      </c>
      <c r="AR1633" s="279">
        <f>'Assumptions (Geo)'!$V$5*Model!AR1581</f>
        <v>0</v>
      </c>
      <c r="AS1633" s="279">
        <f>'Assumptions (Geo)'!$V$5*Model!AS1581</f>
        <v>0</v>
      </c>
      <c r="AT1633" s="279">
        <f>'Assumptions (Geo)'!$V$5*Model!AT1581</f>
        <v>0</v>
      </c>
      <c r="AU1633" s="279">
        <f>'Assumptions (Geo)'!$V$5*Model!AU1581</f>
        <v>0</v>
      </c>
      <c r="AV1633" s="279">
        <f>'Assumptions (Geo)'!$V$5*Model!AV1581</f>
        <v>0</v>
      </c>
      <c r="AW1633" s="279">
        <f>'Assumptions (Geo)'!$V$5*Model!AW1581</f>
        <v>0</v>
      </c>
      <c r="AX1633" s="279">
        <f>'Assumptions (Geo)'!$V$5*Model!AX1581</f>
        <v>0</v>
      </c>
      <c r="AY1633" s="279">
        <f>'Assumptions (Geo)'!$V$5*Model!AY1581</f>
        <v>0</v>
      </c>
      <c r="AZ1633" s="279">
        <f>'Assumptions (Geo)'!$V$5*Model!AZ1581</f>
        <v>0</v>
      </c>
      <c r="BA1633" s="279">
        <f>'Assumptions (Geo)'!$V$5*Model!BA1581</f>
        <v>0</v>
      </c>
    </row>
    <row r="1634" ht="15.75" customHeight="1">
      <c r="A1634" s="297" t="s">
        <v>54</v>
      </c>
      <c r="B1634" s="150" t="s">
        <v>351</v>
      </c>
      <c r="C1634" s="176">
        <f>'Assumptions (Geo)'!$V$6*Model!C1581</f>
        <v>0</v>
      </c>
      <c r="D1634" s="176">
        <f>'Assumptions (Geo)'!$V$6*Model!D1581</f>
        <v>0</v>
      </c>
      <c r="E1634" s="176">
        <f>'Assumptions (Geo)'!$V$6*Model!E1581</f>
        <v>0</v>
      </c>
      <c r="F1634" s="176">
        <f>'Assumptions (Geo)'!$V$6*Model!F1581</f>
        <v>0</v>
      </c>
      <c r="G1634" s="176">
        <f>'Assumptions (Geo)'!$V$6*Model!G1581</f>
        <v>0</v>
      </c>
      <c r="H1634" s="176">
        <f>'Assumptions (Geo)'!$V$6*Model!H1581</f>
        <v>0</v>
      </c>
      <c r="I1634" s="176">
        <f>'Assumptions (Geo)'!$V$6*Model!I1581</f>
        <v>0</v>
      </c>
      <c r="J1634" s="176">
        <f>'Assumptions (Geo)'!$V$6*Model!J1581</f>
        <v>0</v>
      </c>
      <c r="K1634" s="176">
        <f>'Assumptions (Geo)'!$V$6*Model!K1581</f>
        <v>0</v>
      </c>
      <c r="L1634" s="176">
        <f>'Assumptions (Geo)'!$V$6*Model!L1581</f>
        <v>0</v>
      </c>
      <c r="M1634" s="176">
        <f>'Assumptions (Geo)'!$V$6*Model!M1581</f>
        <v>0</v>
      </c>
      <c r="N1634" s="176">
        <f>'Assumptions (Geo)'!$V$6*Model!N1581</f>
        <v>0</v>
      </c>
      <c r="O1634" s="176">
        <f>'Assumptions (Geo)'!$V$6*Model!O1581</f>
        <v>0</v>
      </c>
      <c r="P1634" s="176">
        <f>'Assumptions (Geo)'!$V$6*Model!P1581</f>
        <v>0</v>
      </c>
      <c r="Q1634" s="176">
        <f>'Assumptions (Geo)'!$V$6*Model!Q1581</f>
        <v>0</v>
      </c>
      <c r="R1634" s="176">
        <f>'Assumptions (Geo)'!$V$6*Model!R1581</f>
        <v>0</v>
      </c>
      <c r="S1634" s="176">
        <f>'Assumptions (Geo)'!$V$6*Model!S1581</f>
        <v>0</v>
      </c>
      <c r="T1634" s="176">
        <f>'Assumptions (Geo)'!$V$6*Model!T1581</f>
        <v>0</v>
      </c>
      <c r="U1634" s="176">
        <f>'Assumptions (Geo)'!$V$6*Model!U1581</f>
        <v>0</v>
      </c>
      <c r="V1634" s="176">
        <f>'Assumptions (Geo)'!$V$6*Model!V1581</f>
        <v>0</v>
      </c>
      <c r="W1634" s="176">
        <f>'Assumptions (Geo)'!$V$6*Model!W1581</f>
        <v>0</v>
      </c>
      <c r="X1634" s="176">
        <f>'Assumptions (Geo)'!$V$6*Model!X1581</f>
        <v>0</v>
      </c>
      <c r="Y1634" s="176">
        <f>'Assumptions (Geo)'!$V$6*Model!Y1581</f>
        <v>0</v>
      </c>
      <c r="Z1634" s="176">
        <f>'Assumptions (Geo)'!$V$6*Model!Z1581</f>
        <v>0</v>
      </c>
      <c r="AA1634" s="176">
        <f>'Assumptions (Geo)'!$V$6*Model!AA1581</f>
        <v>0</v>
      </c>
      <c r="AB1634" s="176">
        <f>'Assumptions (Geo)'!$V$6*Model!AB1581</f>
        <v>0</v>
      </c>
      <c r="AC1634" s="176">
        <f>'Assumptions (Geo)'!$V$6*Model!AC1581</f>
        <v>0</v>
      </c>
      <c r="AD1634" s="176">
        <f>'Assumptions (Geo)'!$V$6*Model!AD1581</f>
        <v>0</v>
      </c>
      <c r="AE1634" s="176">
        <f>'Assumptions (Geo)'!$V$6*Model!AE1581</f>
        <v>0</v>
      </c>
      <c r="AF1634" s="176">
        <f>'Assumptions (Geo)'!$V$6*Model!AF1581</f>
        <v>0</v>
      </c>
      <c r="AG1634" s="176">
        <f>'Assumptions (Geo)'!$V$6*Model!AG1581</f>
        <v>0</v>
      </c>
      <c r="AH1634" s="176">
        <f>'Assumptions (Geo)'!$V$6*Model!AH1581</f>
        <v>0</v>
      </c>
      <c r="AI1634" s="176">
        <f>'Assumptions (Geo)'!$V$6*Model!AI1581</f>
        <v>0</v>
      </c>
      <c r="AJ1634" s="176">
        <f>'Assumptions (Geo)'!$V$6*Model!AJ1581</f>
        <v>0</v>
      </c>
      <c r="AK1634" s="176">
        <f>'Assumptions (Geo)'!$V$6*Model!AK1581</f>
        <v>0</v>
      </c>
      <c r="AL1634" s="176">
        <f>'Assumptions (Geo)'!$V$6*Model!AL1581</f>
        <v>0</v>
      </c>
      <c r="AM1634" s="176">
        <f>'Assumptions (Geo)'!$V$6*Model!AM1581</f>
        <v>0</v>
      </c>
      <c r="AN1634" s="176">
        <f>'Assumptions (Geo)'!$V$6*Model!AN1581</f>
        <v>0</v>
      </c>
      <c r="AO1634" s="176">
        <f>'Assumptions (Geo)'!$V$6*Model!AO1581</f>
        <v>0</v>
      </c>
      <c r="AP1634" s="176">
        <f>'Assumptions (Geo)'!$V$6*Model!AP1581</f>
        <v>0</v>
      </c>
      <c r="AQ1634" s="176">
        <f>'Assumptions (Geo)'!$V$6*Model!AQ1581</f>
        <v>0</v>
      </c>
      <c r="AR1634" s="176">
        <f>'Assumptions (Geo)'!$V$6*Model!AR1581</f>
        <v>0</v>
      </c>
      <c r="AS1634" s="176">
        <f>'Assumptions (Geo)'!$V$6*Model!AS1581</f>
        <v>0</v>
      </c>
      <c r="AT1634" s="176">
        <f>'Assumptions (Geo)'!$V$6*Model!AT1581</f>
        <v>0</v>
      </c>
      <c r="AU1634" s="176">
        <f>'Assumptions (Geo)'!$V$6*Model!AU1581</f>
        <v>0</v>
      </c>
      <c r="AV1634" s="176">
        <f>'Assumptions (Geo)'!$V$6*Model!AV1581</f>
        <v>0</v>
      </c>
      <c r="AW1634" s="176">
        <f>'Assumptions (Geo)'!$V$6*Model!AW1581</f>
        <v>0</v>
      </c>
      <c r="AX1634" s="176">
        <f>'Assumptions (Geo)'!$V$6*Model!AX1581</f>
        <v>0</v>
      </c>
      <c r="AY1634" s="176">
        <f>'Assumptions (Geo)'!$V$6*Model!AY1581</f>
        <v>0</v>
      </c>
      <c r="AZ1634" s="176">
        <f>'Assumptions (Geo)'!$V$6*Model!AZ1581</f>
        <v>0</v>
      </c>
      <c r="BA1634" s="176">
        <f>'Assumptions (Geo)'!$V$6*Model!BA1581</f>
        <v>0</v>
      </c>
    </row>
    <row r="1635" ht="15.75" customHeight="1">
      <c r="A1635" s="297" t="s">
        <v>359</v>
      </c>
      <c r="B1635" s="150" t="s">
        <v>351</v>
      </c>
      <c r="C1635" s="177">
        <f t="array" ref="C1635">SUM(IF(ISERROR(C1636:C1686),"",C1636:C1686))</f>
        <v>0</v>
      </c>
      <c r="D1635" s="177">
        <f t="array" ref="D1635">SUM(IF(ISERROR(D1636:D1686),"",D1636:D1686))</f>
        <v>0</v>
      </c>
      <c r="E1635" s="177">
        <f t="array" ref="E1635">SUM(IF(ISERROR(E1636:E1686),"",E1636:E1686))</f>
        <v>0</v>
      </c>
      <c r="F1635" s="177">
        <f t="array" ref="F1635">SUM(IF(ISERROR(F1636:F1686),"",F1636:F1686))</f>
        <v>0</v>
      </c>
      <c r="G1635" s="177">
        <f t="array" ref="G1635">SUM(IF(ISERROR(G1636:G1686),"",G1636:G1686))</f>
        <v>0</v>
      </c>
      <c r="H1635" s="177">
        <f t="array" ref="H1635">SUM(IF(ISERROR(H1636:H1686),"",H1636:H1686))</f>
        <v>0</v>
      </c>
      <c r="I1635" s="177">
        <f t="array" ref="I1635">SUM(IF(ISERROR(I1636:I1686),"",I1636:I1686))</f>
        <v>0</v>
      </c>
      <c r="J1635" s="177">
        <f t="array" ref="J1635">SUM(IF(ISERROR(J1636:J1686),"",J1636:J1686))</f>
        <v>0</v>
      </c>
      <c r="K1635" s="177">
        <f t="array" ref="K1635">SUM(IF(ISERROR(K1636:K1686),"",K1636:K1686))</f>
        <v>0</v>
      </c>
      <c r="L1635" s="177">
        <f t="array" ref="L1635">SUM(IF(ISERROR(L1636:L1686),"",L1636:L1686))</f>
        <v>0</v>
      </c>
      <c r="M1635" s="177">
        <f t="array" ref="M1635">SUM(IF(ISERROR(M1636:M1686),"",M1636:M1686))</f>
        <v>0</v>
      </c>
      <c r="N1635" s="177">
        <f t="array" ref="N1635">SUM(IF(ISERROR(N1636:N1686),"",N1636:N1686))</f>
        <v>0</v>
      </c>
      <c r="O1635" s="177">
        <f t="array" ref="O1635">SUM(IF(ISERROR(O1636:O1686),"",O1636:O1686))</f>
        <v>0</v>
      </c>
      <c r="P1635" s="177">
        <f t="array" ref="P1635">SUM(IF(ISERROR(P1636:P1686),"",P1636:P1686))</f>
        <v>0</v>
      </c>
      <c r="Q1635" s="177">
        <f t="array" ref="Q1635">SUM(IF(ISERROR(Q1636:Q1686),"",Q1636:Q1686))</f>
        <v>0</v>
      </c>
      <c r="R1635" s="177">
        <f t="array" ref="R1635">SUM(IF(ISERROR(R1636:R1686),"",R1636:R1686))</f>
        <v>0</v>
      </c>
      <c r="S1635" s="177">
        <f t="array" ref="S1635">SUM(IF(ISERROR(S1636:S1686),"",S1636:S1686))</f>
        <v>0</v>
      </c>
      <c r="T1635" s="177">
        <f t="array" ref="T1635">SUM(IF(ISERROR(T1636:T1686),"",T1636:T1686))</f>
        <v>0</v>
      </c>
      <c r="U1635" s="177">
        <f t="array" ref="U1635">SUM(IF(ISERROR(U1636:U1686),"",U1636:U1686))</f>
        <v>0</v>
      </c>
      <c r="V1635" s="177">
        <f t="array" ref="V1635">SUM(IF(ISERROR(V1636:V1686),"",V1636:V1686))</f>
        <v>0</v>
      </c>
      <c r="W1635" s="177">
        <f t="array" ref="W1635">SUM(IF(ISERROR(W1636:W1686),"",W1636:W1686))</f>
        <v>0</v>
      </c>
      <c r="X1635" s="177">
        <f t="array" ref="X1635">SUM(IF(ISERROR(X1636:X1686),"",X1636:X1686))</f>
        <v>0</v>
      </c>
      <c r="Y1635" s="177">
        <f t="array" ref="Y1635">SUM(IF(ISERROR(Y1636:Y1686),"",Y1636:Y1686))</f>
        <v>0</v>
      </c>
      <c r="Z1635" s="177">
        <f t="array" ref="Z1635">SUM(IF(ISERROR(Z1636:Z1686),"",Z1636:Z1686))</f>
        <v>0</v>
      </c>
      <c r="AA1635" s="177">
        <f t="array" ref="AA1635">SUM(IF(ISERROR(AA1636:AA1686),"",AA1636:AA1686))</f>
        <v>0</v>
      </c>
      <c r="AB1635" s="177">
        <f t="array" ref="AB1635">SUM(IF(ISERROR(AB1636:AB1686),"",AB1636:AB1686))</f>
        <v>0</v>
      </c>
      <c r="AC1635" s="177">
        <f t="array" ref="AC1635">SUM(IF(ISERROR(AC1636:AC1686),"",AC1636:AC1686))</f>
        <v>0</v>
      </c>
      <c r="AD1635" s="177">
        <f t="array" ref="AD1635">SUM(IF(ISERROR(AD1636:AD1686),"",AD1636:AD1686))</f>
        <v>0</v>
      </c>
      <c r="AE1635" s="177">
        <f t="array" ref="AE1635">SUM(IF(ISERROR(AE1636:AE1686),"",AE1636:AE1686))</f>
        <v>0</v>
      </c>
      <c r="AF1635" s="177">
        <f t="array" ref="AF1635">SUM(IF(ISERROR(AF1636:AF1686),"",AF1636:AF1686))</f>
        <v>0</v>
      </c>
      <c r="AG1635" s="177">
        <f t="array" ref="AG1635">SUM(IF(ISERROR(AG1636:AG1686),"",AG1636:AG1686))</f>
        <v>0</v>
      </c>
      <c r="AH1635" s="177">
        <f t="array" ref="AH1635">SUM(IF(ISERROR(AH1636:AH1686),"",AH1636:AH1686))</f>
        <v>0</v>
      </c>
      <c r="AI1635" s="177">
        <f t="array" ref="AI1635">SUM(IF(ISERROR(AI1636:AI1686),"",AI1636:AI1686))</f>
        <v>0</v>
      </c>
      <c r="AJ1635" s="177">
        <f t="array" ref="AJ1635">SUM(IF(ISERROR(AJ1636:AJ1686),"",AJ1636:AJ1686))</f>
        <v>0</v>
      </c>
      <c r="AK1635" s="177">
        <f t="array" ref="AK1635">SUM(IF(ISERROR(AK1636:AK1686),"",AK1636:AK1686))</f>
        <v>0</v>
      </c>
      <c r="AL1635" s="177">
        <f t="array" ref="AL1635">SUM(IF(ISERROR(AL1636:AL1686),"",AL1636:AL1686))</f>
        <v>0</v>
      </c>
      <c r="AM1635" s="177">
        <f t="array" ref="AM1635">SUM(IF(ISERROR(AM1636:AM1686),"",AM1636:AM1686))</f>
        <v>0</v>
      </c>
      <c r="AN1635" s="177">
        <f t="array" ref="AN1635">SUM(IF(ISERROR(AN1636:AN1686),"",AN1636:AN1686))</f>
        <v>0</v>
      </c>
      <c r="AO1635" s="177">
        <f t="array" ref="AO1635">SUM(IF(ISERROR(AO1636:AO1686),"",AO1636:AO1686))</f>
        <v>0</v>
      </c>
      <c r="AP1635" s="177">
        <f t="array" ref="AP1635">SUM(IF(ISERROR(AP1636:AP1686),"",AP1636:AP1686))</f>
        <v>0</v>
      </c>
      <c r="AQ1635" s="177">
        <f t="array" ref="AQ1635">SUM(IF(ISERROR(AQ1636:AQ1686),"",AQ1636:AQ1686))</f>
        <v>0</v>
      </c>
      <c r="AR1635" s="177">
        <f t="array" ref="AR1635">SUM(IF(ISERROR(AR1636:AR1686),"",AR1636:AR1686))</f>
        <v>0</v>
      </c>
      <c r="AS1635" s="177">
        <f t="array" ref="AS1635">SUM(IF(ISERROR(AS1636:AS1686),"",AS1636:AS1686))</f>
        <v>0</v>
      </c>
      <c r="AT1635" s="177">
        <f t="array" ref="AT1635">SUM(IF(ISERROR(AT1636:AT1686),"",AT1636:AT1686))</f>
        <v>0</v>
      </c>
      <c r="AU1635" s="177">
        <f t="array" ref="AU1635">SUM(IF(ISERROR(AU1636:AU1686),"",AU1636:AU1686))</f>
        <v>0</v>
      </c>
      <c r="AV1635" s="177">
        <f t="array" ref="AV1635">SUM(IF(ISERROR(AV1636:AV1686),"",AV1636:AV1686))</f>
        <v>0</v>
      </c>
      <c r="AW1635" s="177">
        <f t="array" ref="AW1635">SUM(IF(ISERROR(AW1636:AW1686),"",AW1636:AW1686))</f>
        <v>0</v>
      </c>
      <c r="AX1635" s="177">
        <f t="array" ref="AX1635">SUM(IF(ISERROR(AX1636:AX1686),"",AX1636:AX1686))</f>
        <v>0</v>
      </c>
      <c r="AY1635" s="177">
        <f t="array" ref="AY1635">SUM(IF(ISERROR(AY1636:AY1686),"",AY1636:AY1686))</f>
        <v>0</v>
      </c>
      <c r="AZ1635" s="177">
        <f t="array" ref="AZ1635">SUM(IF(ISERROR(AZ1636:AZ1686),"",AZ1636:AZ1686))</f>
        <v>0</v>
      </c>
      <c r="BA1635" s="177">
        <f t="array" ref="BA1635">SUM(IF(ISERROR(BA1636:BA1686),"",BA1636:BA1686))</f>
        <v>0</v>
      </c>
      <c r="BB1635" s="177">
        <f t="array" ref="BB1635">SUM(IF(ISERROR(BB1636:BB1686),"",BB1636:BB1686))</f>
        <v>0</v>
      </c>
      <c r="BC1635" s="177">
        <f t="array" ref="BC1635">SUM(IF(ISERROR(BC1636:BC1686),"",BC1636:BC1686))</f>
        <v>0</v>
      </c>
      <c r="BD1635" s="177">
        <f t="array" ref="BD1635">SUM(IF(ISERROR(BD1636:BD1686),"",BD1636:BD1686))</f>
        <v>0</v>
      </c>
      <c r="BE1635" s="177">
        <f t="array" ref="BE1635">SUM(IF(ISERROR(BE1636:BE1686),"",BE1636:BE1686))</f>
        <v>0</v>
      </c>
      <c r="BF1635" s="177">
        <f t="array" ref="BF1635">SUM(IF(ISERROR(BF1636:BF1686),"",BF1636:BF1686))</f>
        <v>0</v>
      </c>
      <c r="BG1635" s="177">
        <f t="array" ref="BG1635">SUM(IF(ISERROR(BG1636:BG1686),"",BG1636:BG1686))</f>
        <v>0</v>
      </c>
      <c r="BH1635" s="177">
        <f t="array" ref="BH1635">SUM(IF(ISERROR(BH1636:BH1686),"",BH1636:BH1686))</f>
        <v>0</v>
      </c>
      <c r="BI1635" s="177">
        <f t="array" ref="BI1635">SUM(IF(ISERROR(BI1636:BI1686),"",BI1636:BI1686))</f>
        <v>0</v>
      </c>
      <c r="BJ1635" s="177">
        <f t="array" ref="BJ1635">SUM(IF(ISERROR(BJ1636:BJ1686),"",BJ1636:BJ1686))</f>
        <v>0</v>
      </c>
      <c r="BK1635" s="177">
        <f t="array" ref="BK1635">SUM(IF(ISERROR(BK1636:BK1686),"",BK1636:BK1686))</f>
        <v>0</v>
      </c>
      <c r="BL1635" s="177">
        <f t="array" ref="BL1635">SUM(IF(ISERROR(BL1636:BL1686),"",BL1636:BL1686))</f>
        <v>0</v>
      </c>
      <c r="BM1635" s="177">
        <f t="array" ref="BM1635">SUM(IF(ISERROR(BM1636:BM1686),"",BM1636:BM1686))</f>
        <v>0</v>
      </c>
      <c r="BN1635" s="177">
        <f t="array" ref="BN1635">SUM(IF(ISERROR(BN1636:BN1686),"",BN1636:BN1686))</f>
        <v>0</v>
      </c>
      <c r="BO1635" s="177">
        <f t="array" ref="BO1635">SUM(IF(ISERROR(BO1636:BO1686),"",BO1636:BO1686))</f>
        <v>0</v>
      </c>
      <c r="BP1635" s="177"/>
    </row>
    <row r="1636" ht="15.75" hidden="1" customHeight="1" outlineLevel="1">
      <c r="A1636" s="295"/>
      <c r="B1636" s="38"/>
      <c r="C1636" s="177">
        <f>IF($C$1579&gt;0,PPMT('Assumptions (Geo)'!$V$7,Model!W$1,'Assumptions (Geo)'!$V$10,'Assumptions (Geo)'!$V$5*Model!$C$1579*'Assumptions (Geo)'!$B$2/10^9),0)</f>
        <v>0</v>
      </c>
      <c r="D1636" s="177">
        <f>IF($C$1579&gt;0,PPMT('Assumptions (Geo)'!$V$7,Model!X$1,'Assumptions (Geo)'!$V$10,'Assumptions (Geo)'!$V$5*Model!$C$1579*'Assumptions (Geo)'!$B$2/10^9),0)</f>
        <v>0</v>
      </c>
      <c r="E1636" s="177">
        <f>IF($C$1579&gt;0,PPMT('Assumptions (Geo)'!$V$7,Model!Y$1,'Assumptions (Geo)'!$V$10,'Assumptions (Geo)'!$V$5*Model!$C$1579*'Assumptions (Geo)'!$B$2/10^9),0)</f>
        <v>0</v>
      </c>
      <c r="F1636" s="177">
        <f>IF($C$1579&gt;0,PPMT('Assumptions (Geo)'!$V$7,Model!Z$1,'Assumptions (Geo)'!$V$10,'Assumptions (Geo)'!$V$5*Model!$C$1579*'Assumptions (Geo)'!$B$2/10^9),0)</f>
        <v>0</v>
      </c>
      <c r="G1636" s="177">
        <f>IF($C$1579&gt;0,PPMT('Assumptions (Geo)'!$V$7,Model!AA$1,'Assumptions (Geo)'!$V$10,'Assumptions (Geo)'!$V$5*Model!$C$1579*'Assumptions (Geo)'!$B$2/10^9),0)</f>
        <v>0</v>
      </c>
      <c r="H1636" s="177">
        <f>IF($C$1579&gt;0,PPMT('Assumptions (Geo)'!$V$7,Model!AB$1,'Assumptions (Geo)'!$V$10,'Assumptions (Geo)'!$V$5*Model!$C$1579*'Assumptions (Geo)'!$B$2/10^9),0)</f>
        <v>0</v>
      </c>
      <c r="I1636" s="177">
        <f>IF($C$1579&gt;0,PPMT('Assumptions (Geo)'!$V$7,Model!AC$1,'Assumptions (Geo)'!$V$10,'Assumptions (Geo)'!$V$5*Model!$C$1579*'Assumptions (Geo)'!$B$2/10^9),0)</f>
        <v>0</v>
      </c>
      <c r="J1636" s="177">
        <f>IF($C$1579&gt;0,PPMT('Assumptions (Geo)'!$V$7,Model!AD$1,'Assumptions (Geo)'!$V$10,'Assumptions (Geo)'!$V$5*Model!$C$1579*'Assumptions (Geo)'!$B$2/10^9),0)</f>
        <v>0</v>
      </c>
      <c r="K1636" s="177">
        <f>IF($C$1579&gt;0,PPMT('Assumptions (Geo)'!$V$7,Model!AE$1,'Assumptions (Geo)'!$V$10,'Assumptions (Geo)'!$V$5*Model!$C$1579*'Assumptions (Geo)'!$B$2/10^9),0)</f>
        <v>0</v>
      </c>
      <c r="L1636" s="177">
        <f>IF($C$1579&gt;0,PPMT('Assumptions (Geo)'!$V$7,Model!AF$1,'Assumptions (Geo)'!$V$10,'Assumptions (Geo)'!$V$5*Model!$C$1579*'Assumptions (Geo)'!$B$2/10^9),0)</f>
        <v>0</v>
      </c>
      <c r="M1636" s="177">
        <f>IF($C$1579&gt;0,PPMT('Assumptions (Geo)'!$V$7,Model!AG$1,'Assumptions (Geo)'!$V$10,'Assumptions (Geo)'!$V$5*Model!$C$1579*'Assumptions (Geo)'!$B$2/10^9),0)</f>
        <v>0</v>
      </c>
      <c r="N1636" s="177">
        <f>IF($C$1579&gt;0,PPMT('Assumptions (Geo)'!$V$7,Model!AH$1,'Assumptions (Geo)'!$V$10,'Assumptions (Geo)'!$V$5*Model!$C$1579*'Assumptions (Geo)'!$B$2/10^9),0)</f>
        <v>0</v>
      </c>
      <c r="O1636" s="177">
        <f>IF($C$1579&gt;0,PPMT('Assumptions (Geo)'!$V$7,Model!AI$1,'Assumptions (Geo)'!$V$10,'Assumptions (Geo)'!$V$5*Model!$C$1579*'Assumptions (Geo)'!$B$2/10^9),0)</f>
        <v>0</v>
      </c>
      <c r="P1636" s="177">
        <f>IF($C$1579&gt;0,PPMT('Assumptions (Geo)'!$V$7,Model!AJ$1,'Assumptions (Geo)'!$V$10,'Assumptions (Geo)'!$V$5*Model!$C$1579*'Assumptions (Geo)'!$B$2/10^9),0)</f>
        <v>0</v>
      </c>
      <c r="Q1636" s="177">
        <f>IF($C$1579&gt;0,PPMT('Assumptions (Geo)'!$V$7,Model!AK$1,'Assumptions (Geo)'!$V$10,'Assumptions (Geo)'!$V$5*Model!$C$1579*'Assumptions (Geo)'!$B$2/10^9),0)</f>
        <v>0</v>
      </c>
      <c r="R1636" s="177"/>
      <c r="S1636" s="177"/>
      <c r="T1636" s="177"/>
      <c r="U1636" s="177"/>
      <c r="V1636" s="177"/>
      <c r="W1636" s="177"/>
      <c r="X1636" s="177"/>
      <c r="Y1636" s="177"/>
      <c r="Z1636" s="177"/>
      <c r="AA1636" s="177"/>
      <c r="AB1636" s="160"/>
      <c r="AC1636" s="160"/>
      <c r="AD1636" s="160"/>
      <c r="AE1636" s="160"/>
      <c r="AF1636" s="160"/>
      <c r="AG1636" s="160"/>
    </row>
    <row r="1637" ht="15.75" hidden="1" customHeight="1" outlineLevel="1">
      <c r="A1637" s="295"/>
      <c r="B1637" s="38"/>
      <c r="C1637" s="160"/>
      <c r="D1637" s="177">
        <f>IF($D$1579&gt;0,PPMT('Assumptions (Geo)'!$V$7,Model!W$1,'Assumptions (Geo)'!$V$10,'Assumptions (Geo)'!$V$5*Model!$D$1579*'Assumptions (Geo)'!$B$2/10^9),0)</f>
        <v>0</v>
      </c>
      <c r="E1637" s="177">
        <f>IF($D$1579&gt;0,PPMT('Assumptions (Geo)'!$V$7,Model!X$1,'Assumptions (Geo)'!$V$10,'Assumptions (Geo)'!$V$5*Model!$D$1579*'Assumptions (Geo)'!$B$2/10^9),0)</f>
        <v>0</v>
      </c>
      <c r="F1637" s="177">
        <f>IF($D$1579&gt;0,PPMT('Assumptions (Geo)'!$V$7,Model!Y$1,'Assumptions (Geo)'!$V$10,'Assumptions (Geo)'!$V$5*Model!$D$1579*'Assumptions (Geo)'!$B$2/10^9),0)</f>
        <v>0</v>
      </c>
      <c r="G1637" s="177">
        <f>IF($D$1579&gt;0,PPMT('Assumptions (Geo)'!$V$7,Model!Z$1,'Assumptions (Geo)'!$V$10,'Assumptions (Geo)'!$V$5*Model!$D$1579*'Assumptions (Geo)'!$B$2/10^9),0)</f>
        <v>0</v>
      </c>
      <c r="H1637" s="177">
        <f>IF($D$1579&gt;0,PPMT('Assumptions (Geo)'!$V$7,Model!AA$1,'Assumptions (Geo)'!$V$10,'Assumptions (Geo)'!$V$5*Model!$D$1579*'Assumptions (Geo)'!$B$2/10^9),0)</f>
        <v>0</v>
      </c>
      <c r="I1637" s="177">
        <f>IF($D$1579&gt;0,PPMT('Assumptions (Geo)'!$V$7,Model!AB$1,'Assumptions (Geo)'!$V$10,'Assumptions (Geo)'!$V$5*Model!$D$1579*'Assumptions (Geo)'!$B$2/10^9),0)</f>
        <v>0</v>
      </c>
      <c r="J1637" s="177">
        <f>IF($D$1579&gt;0,PPMT('Assumptions (Geo)'!$V$7,Model!AC$1,'Assumptions (Geo)'!$V$10,'Assumptions (Geo)'!$V$5*Model!$D$1579*'Assumptions (Geo)'!$B$2/10^9),0)</f>
        <v>0</v>
      </c>
      <c r="K1637" s="177">
        <f>IF($D$1579&gt;0,PPMT('Assumptions (Geo)'!$V$7,Model!AD$1,'Assumptions (Geo)'!$V$10,'Assumptions (Geo)'!$V$5*Model!$D$1579*'Assumptions (Geo)'!$B$2/10^9),0)</f>
        <v>0</v>
      </c>
      <c r="L1637" s="177">
        <f>IF($D$1579&gt;0,PPMT('Assumptions (Geo)'!$V$7,Model!AE$1,'Assumptions (Geo)'!$V$10,'Assumptions (Geo)'!$V$5*Model!$D$1579*'Assumptions (Geo)'!$B$2/10^9),0)</f>
        <v>0</v>
      </c>
      <c r="M1637" s="177">
        <f>IF($D$1579&gt;0,PPMT('Assumptions (Geo)'!$V$7,Model!AF$1,'Assumptions (Geo)'!$V$10,'Assumptions (Geo)'!$V$5*Model!$D$1579*'Assumptions (Geo)'!$B$2/10^9),0)</f>
        <v>0</v>
      </c>
      <c r="N1637" s="177">
        <f>IF($D$1579&gt;0,PPMT('Assumptions (Geo)'!$V$7,Model!AG$1,'Assumptions (Geo)'!$V$10,'Assumptions (Geo)'!$V$5*Model!$D$1579*'Assumptions (Geo)'!$B$2/10^9),0)</f>
        <v>0</v>
      </c>
      <c r="O1637" s="177">
        <f>IF($D$1579&gt;0,PPMT('Assumptions (Geo)'!$V$7,Model!AH$1,'Assumptions (Geo)'!$V$10,'Assumptions (Geo)'!$V$5*Model!$D$1579*'Assumptions (Geo)'!$B$2/10^9),0)</f>
        <v>0</v>
      </c>
      <c r="P1637" s="177">
        <f>IF($D$1579&gt;0,PPMT('Assumptions (Geo)'!$V$7,Model!AI$1,'Assumptions (Geo)'!$V$10,'Assumptions (Geo)'!$V$5*Model!$D$1579*'Assumptions (Geo)'!$B$2/10^9),0)</f>
        <v>0</v>
      </c>
      <c r="Q1637" s="177">
        <f>IF($D$1579&gt;0,PPMT('Assumptions (Geo)'!$V$7,Model!AJ$1,'Assumptions (Geo)'!$V$10,'Assumptions (Geo)'!$V$5*Model!$D$1579*'Assumptions (Geo)'!$B$2/10^9),0)</f>
        <v>0</v>
      </c>
      <c r="R1637" s="177">
        <f>IF($D$1579&gt;0,PPMT('Assumptions (Geo)'!$V$7,Model!AK$1,'Assumptions (Geo)'!$V$10,'Assumptions (Geo)'!$V$5*Model!$D$1579*'Assumptions (Geo)'!$B$2/10^9),0)</f>
        <v>0</v>
      </c>
      <c r="S1637" s="177"/>
      <c r="T1637" s="177"/>
      <c r="U1637" s="177"/>
      <c r="V1637" s="177"/>
      <c r="W1637" s="177"/>
      <c r="X1637" s="177"/>
      <c r="Y1637" s="177"/>
      <c r="Z1637" s="177"/>
      <c r="AA1637" s="177"/>
      <c r="AB1637" s="177"/>
      <c r="AC1637" s="160"/>
      <c r="AD1637" s="160"/>
      <c r="AE1637" s="160"/>
      <c r="AF1637" s="160"/>
      <c r="AG1637" s="160"/>
    </row>
    <row r="1638" ht="15.75" hidden="1" customHeight="1" outlineLevel="1">
      <c r="A1638" s="295"/>
      <c r="B1638" s="38"/>
      <c r="C1638" s="160"/>
      <c r="D1638" s="160"/>
      <c r="E1638" s="160">
        <f>IF($E$1579&gt;0,PPMT('Assumptions (Geo)'!$V$7,Model!W$1,'Assumptions (Geo)'!$V$10,'Assumptions (Geo)'!$V$5*Model!$E$1579*AVERAGE('Assumptions (Geo)'!$B$2:$C$2)/10^9),0)</f>
        <v>0</v>
      </c>
      <c r="F1638" s="160">
        <f>IF($E$1579&gt;0,PPMT('Assumptions (Geo)'!$V$7,Model!X$1,'Assumptions (Geo)'!$V$10,'Assumptions (Geo)'!$V$5*Model!$E$1579*AVERAGE('Assumptions (Geo)'!$B$2:$C$2)/10^9),0)</f>
        <v>0</v>
      </c>
      <c r="G1638" s="160">
        <f>IF($E$1579&gt;0,PPMT('Assumptions (Geo)'!$V$7,Model!Y$1,'Assumptions (Geo)'!$V$10,'Assumptions (Geo)'!$V$5*Model!$E$1579*AVERAGE('Assumptions (Geo)'!$B$2:$C$2)/10^9),0)</f>
        <v>0</v>
      </c>
      <c r="H1638" s="160">
        <f>IF($E$1579&gt;0,PPMT('Assumptions (Geo)'!$V$7,Model!Z$1,'Assumptions (Geo)'!$V$10,'Assumptions (Geo)'!$V$5*Model!$E$1579*AVERAGE('Assumptions (Geo)'!$B$2:$C$2)/10^9),0)</f>
        <v>0</v>
      </c>
      <c r="I1638" s="160">
        <f>IF($E$1579&gt;0,PPMT('Assumptions (Geo)'!$V$7,Model!AA$1,'Assumptions (Geo)'!$V$10,'Assumptions (Geo)'!$V$5*Model!$E$1579*AVERAGE('Assumptions (Geo)'!$B$2:$C$2)/10^9),0)</f>
        <v>0</v>
      </c>
      <c r="J1638" s="160">
        <f>IF($E$1579&gt;0,PPMT('Assumptions (Geo)'!$V$7,Model!AB$1,'Assumptions (Geo)'!$V$10,'Assumptions (Geo)'!$V$5*Model!$E$1579*AVERAGE('Assumptions (Geo)'!$B$2:$C$2)/10^9),0)</f>
        <v>0</v>
      </c>
      <c r="K1638" s="160">
        <f>IF($E$1579&gt;0,PPMT('Assumptions (Geo)'!$V$7,Model!AC$1,'Assumptions (Geo)'!$V$10,'Assumptions (Geo)'!$V$5*Model!$E$1579*AVERAGE('Assumptions (Geo)'!$B$2:$C$2)/10^9),0)</f>
        <v>0</v>
      </c>
      <c r="L1638" s="160">
        <f>IF($E$1579&gt;0,PPMT('Assumptions (Geo)'!$V$7,Model!AD$1,'Assumptions (Geo)'!$V$10,'Assumptions (Geo)'!$V$5*Model!$E$1579*AVERAGE('Assumptions (Geo)'!$B$2:$C$2)/10^9),0)</f>
        <v>0</v>
      </c>
      <c r="M1638" s="160">
        <f>IF($E$1579&gt;0,PPMT('Assumptions (Geo)'!$V$7,Model!AE$1,'Assumptions (Geo)'!$V$10,'Assumptions (Geo)'!$V$5*Model!$E$1579*AVERAGE('Assumptions (Geo)'!$B$2:$C$2)/10^9),0)</f>
        <v>0</v>
      </c>
      <c r="N1638" s="177">
        <f>IF($E$1579&gt;0,PPMT('Assumptions (Geo)'!$V$7,Model!AF$1,'Assumptions (Geo)'!$V$10,'Assumptions (Geo)'!$V$5*Model!$E$1579*AVERAGE('Assumptions (Geo)'!$B$2:$C$2)/10^9),0)</f>
        <v>0</v>
      </c>
      <c r="O1638" s="160">
        <f>IF($E$1579&gt;0,PPMT('Assumptions (Geo)'!$V$7,Model!AG$1,'Assumptions (Geo)'!$V$10,'Assumptions (Geo)'!$V$5*Model!$E$1579*AVERAGE('Assumptions (Geo)'!$B$2:$C$2)/10^9),0)</f>
        <v>0</v>
      </c>
      <c r="P1638" s="160">
        <f>IF($E$1579&gt;0,PPMT('Assumptions (Geo)'!$V$7,Model!AH$1,'Assumptions (Geo)'!$V$10,'Assumptions (Geo)'!$V$5*Model!$E$1579*AVERAGE('Assumptions (Geo)'!$B$2:$C$2)/10^9),0)</f>
        <v>0</v>
      </c>
      <c r="Q1638" s="160">
        <f>IF($E$1579&gt;0,PPMT('Assumptions (Geo)'!$V$7,Model!AI$1,'Assumptions (Geo)'!$V$10,'Assumptions (Geo)'!$V$5*Model!$E$1579*AVERAGE('Assumptions (Geo)'!$B$2:$C$2)/10^9),0)</f>
        <v>0</v>
      </c>
      <c r="R1638" s="160">
        <f>IF($E$1579&gt;0,PPMT('Assumptions (Geo)'!$V$7,Model!AJ$1,'Assumptions (Geo)'!$V$10,'Assumptions (Geo)'!$V$5*Model!$E$1579*AVERAGE('Assumptions (Geo)'!$B$2:$C$2)/10^9),0)</f>
        <v>0</v>
      </c>
      <c r="S1638" s="160">
        <f>IF($E$1579&gt;0,PPMT('Assumptions (Geo)'!$V$7,Model!AK$1,'Assumptions (Geo)'!$V$10,'Assumptions (Geo)'!$V$5*Model!$E$1579*AVERAGE('Assumptions (Geo)'!$B$2:$C$2)/10^9),0)</f>
        <v>0</v>
      </c>
      <c r="T1638" s="160"/>
      <c r="U1638" s="160"/>
      <c r="V1638" s="160"/>
      <c r="W1638" s="160"/>
      <c r="X1638" s="160"/>
      <c r="Y1638" s="160"/>
      <c r="Z1638" s="160"/>
      <c r="AA1638" s="160"/>
      <c r="AB1638" s="160"/>
      <c r="AC1638" s="160"/>
      <c r="AD1638" s="160"/>
      <c r="AE1638" s="160"/>
      <c r="AF1638" s="160"/>
      <c r="AG1638" s="160"/>
    </row>
    <row r="1639" ht="15.75" hidden="1" customHeight="1" outlineLevel="1">
      <c r="A1639" s="295"/>
      <c r="B1639" s="38"/>
      <c r="C1639" s="160"/>
      <c r="D1639" s="160"/>
      <c r="E1639" s="160"/>
      <c r="F1639" s="160">
        <f>IF($F$1579&gt;0,PPMT('Assumptions (Geo)'!$V$7,Model!W$1,'Assumptions (Geo)'!$V$10,'Assumptions (Geo)'!$V$5*Model!$F$1579*AVERAGE('Assumptions (Geo)'!$B$2:$D$2)/10^9),0)</f>
        <v>0</v>
      </c>
      <c r="G1639" s="160">
        <f>IF($F$1579&gt;0,PPMT('Assumptions (Geo)'!$V$7,Model!X$1,'Assumptions (Geo)'!$V$10,'Assumptions (Geo)'!$V$5*Model!$F$1579*AVERAGE('Assumptions (Geo)'!$B$2:$D$2)/10^9),0)</f>
        <v>0</v>
      </c>
      <c r="H1639" s="160">
        <f>IF($F$1579&gt;0,PPMT('Assumptions (Geo)'!$V$7,Model!Y$1,'Assumptions (Geo)'!$V$10,'Assumptions (Geo)'!$V$5*Model!$F$1579*AVERAGE('Assumptions (Geo)'!$B$2:$D$2)/10^9),0)</f>
        <v>0</v>
      </c>
      <c r="I1639" s="160">
        <f>IF($F$1579&gt;0,PPMT('Assumptions (Geo)'!$V$7,Model!Z$1,'Assumptions (Geo)'!$V$10,'Assumptions (Geo)'!$V$5*Model!$F$1579*AVERAGE('Assumptions (Geo)'!$B$2:$D$2)/10^9),0)</f>
        <v>0</v>
      </c>
      <c r="J1639" s="160">
        <f>IF($F$1579&gt;0,PPMT('Assumptions (Geo)'!$V$7,Model!AA$1,'Assumptions (Geo)'!$V$10,'Assumptions (Geo)'!$V$5*Model!$F$1579*AVERAGE('Assumptions (Geo)'!$B$2:$D$2)/10^9),0)</f>
        <v>0</v>
      </c>
      <c r="K1639" s="160">
        <f>IF($F$1579&gt;0,PPMT('Assumptions (Geo)'!$V$7,Model!AB$1,'Assumptions (Geo)'!$V$10,'Assumptions (Geo)'!$V$5*Model!$F$1579*AVERAGE('Assumptions (Geo)'!$B$2:$D$2)/10^9),0)</f>
        <v>0</v>
      </c>
      <c r="L1639" s="160">
        <f>IF($F$1579&gt;0,PPMT('Assumptions (Geo)'!$V$7,Model!AC$1,'Assumptions (Geo)'!$V$10,'Assumptions (Geo)'!$V$5*Model!$F$1579*AVERAGE('Assumptions (Geo)'!$B$2:$D$2)/10^9),0)</f>
        <v>0</v>
      </c>
      <c r="M1639" s="160">
        <f>IF($F$1579&gt;0,PPMT('Assumptions (Geo)'!$V$7,Model!AD$1,'Assumptions (Geo)'!$V$10,'Assumptions (Geo)'!$V$5*Model!$F$1579*AVERAGE('Assumptions (Geo)'!$B$2:$D$2)/10^9),0)</f>
        <v>0</v>
      </c>
      <c r="N1639" s="177">
        <f>IF($F$1579&gt;0,PPMT('Assumptions (Geo)'!$V$7,Model!AE$1,'Assumptions (Geo)'!$V$10,'Assumptions (Geo)'!$V$5*Model!$F$1579*AVERAGE('Assumptions (Geo)'!$B$2:$D$2)/10^9),0)</f>
        <v>0</v>
      </c>
      <c r="O1639" s="160">
        <f>IF($F$1579&gt;0,PPMT('Assumptions (Geo)'!$V$7,Model!AF$1,'Assumptions (Geo)'!$V$10,'Assumptions (Geo)'!$V$5*Model!$F$1579*AVERAGE('Assumptions (Geo)'!$B$2:$D$2)/10^9),0)</f>
        <v>0</v>
      </c>
      <c r="P1639" s="160">
        <f>IF($F$1579&gt;0,PPMT('Assumptions (Geo)'!$V$7,Model!AG$1,'Assumptions (Geo)'!$V$10,'Assumptions (Geo)'!$V$5*Model!$F$1579*AVERAGE('Assumptions (Geo)'!$B$2:$D$2)/10^9),0)</f>
        <v>0</v>
      </c>
      <c r="Q1639" s="160">
        <f>IF($F$1579&gt;0,PPMT('Assumptions (Geo)'!$V$7,Model!AH$1,'Assumptions (Geo)'!$V$10,'Assumptions (Geo)'!$V$5*Model!$F$1579*AVERAGE('Assumptions (Geo)'!$B$2:$D$2)/10^9),0)</f>
        <v>0</v>
      </c>
      <c r="R1639" s="160">
        <f>IF($F$1579&gt;0,PPMT('Assumptions (Geo)'!$V$7,Model!AI$1,'Assumptions (Geo)'!$V$10,'Assumptions (Geo)'!$V$5*Model!$F$1579*AVERAGE('Assumptions (Geo)'!$B$2:$D$2)/10^9),0)</f>
        <v>0</v>
      </c>
      <c r="S1639" s="160">
        <f>IF($F$1579&gt;0,PPMT('Assumptions (Geo)'!$V$7,Model!AJ$1,'Assumptions (Geo)'!$V$10,'Assumptions (Geo)'!$V$5*Model!$F$1579*AVERAGE('Assumptions (Geo)'!$B$2:$D$2)/10^9),0)</f>
        <v>0</v>
      </c>
      <c r="T1639" s="160">
        <f>IF($F$1579&gt;0,PPMT('Assumptions (Geo)'!$V$7,Model!AK$1,'Assumptions (Geo)'!$V$10,'Assumptions (Geo)'!$V$5*Model!$F$1579*AVERAGE('Assumptions (Geo)'!$B$2:$D$2)/10^9),0)</f>
        <v>0</v>
      </c>
      <c r="U1639" s="160"/>
      <c r="V1639" s="160"/>
      <c r="W1639" s="160"/>
      <c r="X1639" s="160"/>
      <c r="Y1639" s="160"/>
      <c r="Z1639" s="160"/>
      <c r="AA1639" s="160"/>
      <c r="AB1639" s="160"/>
      <c r="AC1639" s="160"/>
      <c r="AD1639" s="160"/>
      <c r="AE1639" s="160"/>
      <c r="AF1639" s="160"/>
      <c r="AG1639" s="160"/>
    </row>
    <row r="1640" ht="15.75" hidden="1" customHeight="1" outlineLevel="1">
      <c r="A1640" s="295"/>
      <c r="B1640" s="38"/>
      <c r="C1640" s="160"/>
      <c r="D1640" s="160"/>
      <c r="E1640" s="160"/>
      <c r="F1640" s="160"/>
      <c r="G1640" s="160">
        <f>IF($G$1579&gt;0,PPMT('Assumptions (Geo)'!$V$7,Model!W$1,'Assumptions (Geo)'!$V$10,'Assumptions (Geo)'!$V$5*Model!$G$1579*AVERAGE('Assumptions (Geo)'!$C$2:$E$2)/10^9),0)</f>
        <v>0</v>
      </c>
      <c r="H1640" s="160">
        <f>IF($G$1579&gt;0,PPMT('Assumptions (Geo)'!$V$7,Model!X$1,'Assumptions (Geo)'!$V$10,'Assumptions (Geo)'!$V$5*Model!$G$1579*AVERAGE('Assumptions (Geo)'!$C$2:$E$2)/10^9),0)</f>
        <v>0</v>
      </c>
      <c r="I1640" s="160">
        <f>IF($G$1579&gt;0,PPMT('Assumptions (Geo)'!$V$7,Model!Y$1,'Assumptions (Geo)'!$V$10,'Assumptions (Geo)'!$V$5*Model!$G$1579*AVERAGE('Assumptions (Geo)'!$C$2:$E$2)/10^9),0)</f>
        <v>0</v>
      </c>
      <c r="J1640" s="160">
        <f>IF($G$1579&gt;0,PPMT('Assumptions (Geo)'!$V$7,Model!Z$1,'Assumptions (Geo)'!$V$10,'Assumptions (Geo)'!$V$5*Model!$G$1579*AVERAGE('Assumptions (Geo)'!$C$2:$E$2)/10^9),0)</f>
        <v>0</v>
      </c>
      <c r="K1640" s="160">
        <f>IF($G$1579&gt;0,PPMT('Assumptions (Geo)'!$V$7,Model!AA$1,'Assumptions (Geo)'!$V$10,'Assumptions (Geo)'!$V$5*Model!$G$1579*AVERAGE('Assumptions (Geo)'!$C$2:$E$2)/10^9),0)</f>
        <v>0</v>
      </c>
      <c r="L1640" s="160">
        <f>IF($G$1579&gt;0,PPMT('Assumptions (Geo)'!$V$7,Model!AB$1,'Assumptions (Geo)'!$V$10,'Assumptions (Geo)'!$V$5*Model!$G$1579*AVERAGE('Assumptions (Geo)'!$C$2:$E$2)/10^9),0)</f>
        <v>0</v>
      </c>
      <c r="M1640" s="160">
        <f>IF($G$1579&gt;0,PPMT('Assumptions (Geo)'!$V$7,Model!AC$1,'Assumptions (Geo)'!$V$10,'Assumptions (Geo)'!$V$5*Model!$G$1579*AVERAGE('Assumptions (Geo)'!$C$2:$E$2)/10^9),0)</f>
        <v>0</v>
      </c>
      <c r="N1640" s="160">
        <f>IF($G$1579&gt;0,PPMT('Assumptions (Geo)'!$V$7,Model!AD$1,'Assumptions (Geo)'!$V$10,'Assumptions (Geo)'!$V$5*Model!$G$1579*AVERAGE('Assumptions (Geo)'!$C$2:$E$2)/10^9),0)</f>
        <v>0</v>
      </c>
      <c r="O1640" s="160">
        <f>IF($G$1579&gt;0,PPMT('Assumptions (Geo)'!$V$7,Model!AE$1,'Assumptions (Geo)'!$V$10,'Assumptions (Geo)'!$V$5*Model!$G$1579*AVERAGE('Assumptions (Geo)'!$C$2:$E$2)/10^9),0)</f>
        <v>0</v>
      </c>
      <c r="P1640" s="160">
        <f>IF($G$1579&gt;0,PPMT('Assumptions (Geo)'!$V$7,Model!AF$1,'Assumptions (Geo)'!$V$10,'Assumptions (Geo)'!$V$5*Model!$G$1579*AVERAGE('Assumptions (Geo)'!$C$2:$E$2)/10^9),0)</f>
        <v>0</v>
      </c>
      <c r="Q1640" s="160">
        <f>IF($G$1579&gt;0,PPMT('Assumptions (Geo)'!$V$7,Model!AG$1,'Assumptions (Geo)'!$V$10,'Assumptions (Geo)'!$V$5*Model!$G$1579*AVERAGE('Assumptions (Geo)'!$C$2:$E$2)/10^9),0)</f>
        <v>0</v>
      </c>
      <c r="R1640" s="160">
        <f>IF($G$1579&gt;0,PPMT('Assumptions (Geo)'!$V$7,Model!AH$1,'Assumptions (Geo)'!$V$10,'Assumptions (Geo)'!$V$5*Model!$G$1579*AVERAGE('Assumptions (Geo)'!$C$2:$E$2)/10^9),0)</f>
        <v>0</v>
      </c>
      <c r="S1640" s="160">
        <f>IF($G$1579&gt;0,PPMT('Assumptions (Geo)'!$V$7,Model!AI$1,'Assumptions (Geo)'!$V$10,'Assumptions (Geo)'!$V$5*Model!$G$1579*AVERAGE('Assumptions (Geo)'!$C$2:$E$2)/10^9),0)</f>
        <v>0</v>
      </c>
      <c r="T1640" s="160">
        <f>IF($G$1579&gt;0,PPMT('Assumptions (Geo)'!$V$7,Model!AJ$1,'Assumptions (Geo)'!$V$10,'Assumptions (Geo)'!$V$5*Model!$G$1579*AVERAGE('Assumptions (Geo)'!$C$2:$E$2)/10^9),0)</f>
        <v>0</v>
      </c>
      <c r="U1640" s="160">
        <f>IF($G$1579&gt;0,PPMT('Assumptions (Geo)'!$V$7,Model!AK$1,'Assumptions (Geo)'!$V$10,'Assumptions (Geo)'!$V$5*Model!$G$1579*AVERAGE('Assumptions (Geo)'!$C$2:$E$2)/10^9),0)</f>
        <v>0</v>
      </c>
      <c r="V1640" s="160"/>
      <c r="W1640" s="160"/>
      <c r="X1640" s="160"/>
      <c r="Y1640" s="160"/>
      <c r="Z1640" s="160"/>
      <c r="AA1640" s="160"/>
      <c r="AB1640" s="160"/>
      <c r="AC1640" s="160"/>
      <c r="AD1640" s="160"/>
      <c r="AE1640" s="160"/>
      <c r="AF1640" s="160"/>
      <c r="AG1640" s="160"/>
    </row>
    <row r="1641" ht="15.75" hidden="1" customHeight="1" outlineLevel="1">
      <c r="A1641" s="295"/>
      <c r="B1641" s="38"/>
      <c r="C1641" s="160"/>
      <c r="D1641" s="160"/>
      <c r="E1641" s="160"/>
      <c r="F1641" s="160"/>
      <c r="G1641" s="160"/>
      <c r="H1641" s="160">
        <f>IF($H$1579&gt;0,PPMT('Assumptions (Geo)'!$V$7,Model!W$1,'Assumptions (Geo)'!$V$10,'Assumptions (Geo)'!$V$5*Model!$H$1579*AVERAGE('Assumptions (Geo)'!$D$2:$F$2)/10^9),0)</f>
        <v>0</v>
      </c>
      <c r="I1641" s="160">
        <f>IF($H$1579&gt;0,PPMT('Assumptions (Geo)'!$V$7,Model!X$1,'Assumptions (Geo)'!$V$10,'Assumptions (Geo)'!$V$5*Model!$H$1579*AVERAGE('Assumptions (Geo)'!$D$2:$F$2)/10^9),0)</f>
        <v>0</v>
      </c>
      <c r="J1641" s="160">
        <f>IF($H$1579&gt;0,PPMT('Assumptions (Geo)'!$V$7,Model!Y$1,'Assumptions (Geo)'!$V$10,'Assumptions (Geo)'!$V$5*Model!$H$1579*AVERAGE('Assumptions (Geo)'!$D$2:$F$2)/10^9),0)</f>
        <v>0</v>
      </c>
      <c r="K1641" s="160">
        <f>IF($H$1579&gt;0,PPMT('Assumptions (Geo)'!$V$7,Model!Z$1,'Assumptions (Geo)'!$V$10,'Assumptions (Geo)'!$V$5*Model!$H$1579*AVERAGE('Assumptions (Geo)'!$D$2:$F$2)/10^9),0)</f>
        <v>0</v>
      </c>
      <c r="L1641" s="160">
        <f>IF($H$1579&gt;0,PPMT('Assumptions (Geo)'!$V$7,Model!AA$1,'Assumptions (Geo)'!$V$10,'Assumptions (Geo)'!$V$5*Model!$H$1579*AVERAGE('Assumptions (Geo)'!$D$2:$F$2)/10^9),0)</f>
        <v>0</v>
      </c>
      <c r="M1641" s="160">
        <f>IF($H$1579&gt;0,PPMT('Assumptions (Geo)'!$V$7,Model!AB$1,'Assumptions (Geo)'!$V$10,'Assumptions (Geo)'!$V$5*Model!$H$1579*AVERAGE('Assumptions (Geo)'!$D$2:$F$2)/10^9),0)</f>
        <v>0</v>
      </c>
      <c r="N1641" s="160">
        <f>IF($H$1579&gt;0,PPMT('Assumptions (Geo)'!$V$7,Model!AC$1,'Assumptions (Geo)'!$V$10,'Assumptions (Geo)'!$V$5*Model!$H$1579*AVERAGE('Assumptions (Geo)'!$D$2:$F$2)/10^9),0)</f>
        <v>0</v>
      </c>
      <c r="O1641" s="160">
        <f>IF($H$1579&gt;0,PPMT('Assumptions (Geo)'!$V$7,Model!AD$1,'Assumptions (Geo)'!$V$10,'Assumptions (Geo)'!$V$5*Model!$H$1579*AVERAGE('Assumptions (Geo)'!$D$2:$F$2)/10^9),0)</f>
        <v>0</v>
      </c>
      <c r="P1641" s="160">
        <f>IF($H$1579&gt;0,PPMT('Assumptions (Geo)'!$V$7,Model!AE$1,'Assumptions (Geo)'!$V$10,'Assumptions (Geo)'!$V$5*Model!$H$1579*AVERAGE('Assumptions (Geo)'!$D$2:$F$2)/10^9),0)</f>
        <v>0</v>
      </c>
      <c r="Q1641" s="160">
        <f>IF($H$1579&gt;0,PPMT('Assumptions (Geo)'!$V$7,Model!AF$1,'Assumptions (Geo)'!$V$10,'Assumptions (Geo)'!$V$5*Model!$H$1579*AVERAGE('Assumptions (Geo)'!$D$2:$F$2)/10^9),0)</f>
        <v>0</v>
      </c>
      <c r="R1641" s="160">
        <f>IF($H$1579&gt;0,PPMT('Assumptions (Geo)'!$V$7,Model!AG$1,'Assumptions (Geo)'!$V$10,'Assumptions (Geo)'!$V$5*Model!$H$1579*AVERAGE('Assumptions (Geo)'!$D$2:$F$2)/10^9),0)</f>
        <v>0</v>
      </c>
      <c r="S1641" s="160">
        <f>IF($H$1579&gt;0,PPMT('Assumptions (Geo)'!$V$7,Model!AH$1,'Assumptions (Geo)'!$V$10,'Assumptions (Geo)'!$V$5*Model!$H$1579*AVERAGE('Assumptions (Geo)'!$D$2:$F$2)/10^9),0)</f>
        <v>0</v>
      </c>
      <c r="T1641" s="160">
        <f>IF($H$1579&gt;0,PPMT('Assumptions (Geo)'!$V$7,Model!AI$1,'Assumptions (Geo)'!$V$10,'Assumptions (Geo)'!$V$5*Model!$H$1579*AVERAGE('Assumptions (Geo)'!$D$2:$F$2)/10^9),0)</f>
        <v>0</v>
      </c>
      <c r="U1641" s="160">
        <f>IF($H$1579&gt;0,PPMT('Assumptions (Geo)'!$V$7,Model!AJ$1,'Assumptions (Geo)'!$V$10,'Assumptions (Geo)'!$V$5*Model!$H$1579*AVERAGE('Assumptions (Geo)'!$D$2:$F$2)/10^9),0)</f>
        <v>0</v>
      </c>
      <c r="V1641" s="160">
        <f>IF($H$1579&gt;0,PPMT('Assumptions (Geo)'!$V$7,Model!AK$1,'Assumptions (Geo)'!$V$10,'Assumptions (Geo)'!$V$5*Model!$H$1579*AVERAGE('Assumptions (Geo)'!$D$2:$F$2)/10^9),0)</f>
        <v>0</v>
      </c>
      <c r="W1641" s="160"/>
      <c r="X1641" s="160"/>
      <c r="Y1641" s="160"/>
      <c r="Z1641" s="160"/>
      <c r="AA1641" s="160"/>
      <c r="AB1641" s="160"/>
      <c r="AC1641" s="160"/>
      <c r="AD1641" s="160"/>
      <c r="AE1641" s="160"/>
      <c r="AF1641" s="160"/>
      <c r="AG1641" s="160"/>
    </row>
    <row r="1642" ht="15.75" hidden="1" customHeight="1" outlineLevel="1">
      <c r="A1642" s="295"/>
      <c r="B1642" s="38"/>
      <c r="C1642" s="160"/>
      <c r="D1642" s="160"/>
      <c r="E1642" s="160"/>
      <c r="F1642" s="160"/>
      <c r="G1642" s="160"/>
      <c r="H1642" s="160"/>
      <c r="I1642" s="160">
        <f>IF($I$1579&gt;0,PPMT('Assumptions (Geo)'!$V$7,Model!W$1,'Assumptions (Geo)'!$V$10,'Assumptions (Geo)'!$V$5*Model!$I$1579*AVERAGE('Assumptions (Geo)'!$E$2:$G$2)/10^9),0)</f>
        <v>0</v>
      </c>
      <c r="J1642" s="160">
        <f>IF($I$1579&gt;0,PPMT('Assumptions (Geo)'!$V$7,Model!X$1,'Assumptions (Geo)'!$V$10,'Assumptions (Geo)'!$V$5*Model!$I$1579*AVERAGE('Assumptions (Geo)'!$E$2:$G$2)/10^9),0)</f>
        <v>0</v>
      </c>
      <c r="K1642" s="160">
        <f>IF($I$1579&gt;0,PPMT('Assumptions (Geo)'!$V$7,Model!Y$1,'Assumptions (Geo)'!$V$10,'Assumptions (Geo)'!$V$5*Model!$I$1579*AVERAGE('Assumptions (Geo)'!$E$2:$G$2)/10^9),0)</f>
        <v>0</v>
      </c>
      <c r="L1642" s="160">
        <f>IF($I$1579&gt;0,PPMT('Assumptions (Geo)'!$V$7,Model!Z$1,'Assumptions (Geo)'!$V$10,'Assumptions (Geo)'!$V$5*Model!$I$1579*AVERAGE('Assumptions (Geo)'!$E$2:$G$2)/10^9),0)</f>
        <v>0</v>
      </c>
      <c r="M1642" s="160">
        <f>IF($I$1579&gt;0,PPMT('Assumptions (Geo)'!$V$7,Model!AA$1,'Assumptions (Geo)'!$V$10,'Assumptions (Geo)'!$V$5*Model!$I$1579*AVERAGE('Assumptions (Geo)'!$E$2:$G$2)/10^9),0)</f>
        <v>0</v>
      </c>
      <c r="N1642" s="160">
        <f>IF($I$1579&gt;0,PPMT('Assumptions (Geo)'!$V$7,Model!AB$1,'Assumptions (Geo)'!$V$10,'Assumptions (Geo)'!$V$5*Model!$I$1579*AVERAGE('Assumptions (Geo)'!$E$2:$G$2)/10^9),0)</f>
        <v>0</v>
      </c>
      <c r="O1642" s="160">
        <f>IF($I$1579&gt;0,PPMT('Assumptions (Geo)'!$V$7,Model!AC$1,'Assumptions (Geo)'!$V$10,'Assumptions (Geo)'!$V$5*Model!$I$1579*AVERAGE('Assumptions (Geo)'!$E$2:$G$2)/10^9),0)</f>
        <v>0</v>
      </c>
      <c r="P1642" s="160">
        <f>IF($I$1579&gt;0,PPMT('Assumptions (Geo)'!$V$7,Model!AD$1,'Assumptions (Geo)'!$V$10,'Assumptions (Geo)'!$V$5*Model!$I$1579*AVERAGE('Assumptions (Geo)'!$E$2:$G$2)/10^9),0)</f>
        <v>0</v>
      </c>
      <c r="Q1642" s="160">
        <f>IF($I$1579&gt;0,PPMT('Assumptions (Geo)'!$V$7,Model!AE$1,'Assumptions (Geo)'!$V$10,'Assumptions (Geo)'!$V$5*Model!$I$1579*AVERAGE('Assumptions (Geo)'!$E$2:$G$2)/10^9),0)</f>
        <v>0</v>
      </c>
      <c r="R1642" s="160">
        <f>IF($I$1579&gt;0,PPMT('Assumptions (Geo)'!$V$7,Model!AF$1,'Assumptions (Geo)'!$V$10,'Assumptions (Geo)'!$V$5*Model!$I$1579*AVERAGE('Assumptions (Geo)'!$E$2:$G$2)/10^9),0)</f>
        <v>0</v>
      </c>
      <c r="S1642" s="160">
        <f>IF($I$1579&gt;0,PPMT('Assumptions (Geo)'!$V$7,Model!AG$1,'Assumptions (Geo)'!$V$10,'Assumptions (Geo)'!$V$5*Model!$I$1579*AVERAGE('Assumptions (Geo)'!$E$2:$G$2)/10^9),0)</f>
        <v>0</v>
      </c>
      <c r="T1642" s="160">
        <f>IF($I$1579&gt;0,PPMT('Assumptions (Geo)'!$V$7,Model!AH$1,'Assumptions (Geo)'!$V$10,'Assumptions (Geo)'!$V$5*Model!$I$1579*AVERAGE('Assumptions (Geo)'!$E$2:$G$2)/10^9),0)</f>
        <v>0</v>
      </c>
      <c r="U1642" s="160">
        <f>IF($I$1579&gt;0,PPMT('Assumptions (Geo)'!$V$7,Model!AI$1,'Assumptions (Geo)'!$V$10,'Assumptions (Geo)'!$V$5*Model!$I$1579*AVERAGE('Assumptions (Geo)'!$E$2:$G$2)/10^9),0)</f>
        <v>0</v>
      </c>
      <c r="V1642" s="160">
        <f>IF($I$1579&gt;0,PPMT('Assumptions (Geo)'!$V$7,Model!AJ$1,'Assumptions (Geo)'!$V$10,'Assumptions (Geo)'!$V$5*Model!$I$1579*AVERAGE('Assumptions (Geo)'!$E$2:$G$2)/10^9),0)</f>
        <v>0</v>
      </c>
      <c r="W1642" s="160">
        <f>IF($I$1579&gt;0,PPMT('Assumptions (Geo)'!$V$7,Model!AK$1,'Assumptions (Geo)'!$V$10,'Assumptions (Geo)'!$V$5*Model!$I$1579*AVERAGE('Assumptions (Geo)'!$E$2:$G$2)/10^9),0)</f>
        <v>0</v>
      </c>
      <c r="X1642" s="160"/>
      <c r="Y1642" s="160"/>
      <c r="Z1642" s="160"/>
      <c r="AA1642" s="160"/>
      <c r="AB1642" s="160"/>
      <c r="AC1642" s="160"/>
      <c r="AD1642" s="160"/>
      <c r="AE1642" s="160"/>
      <c r="AF1642" s="160"/>
      <c r="AG1642" s="160"/>
    </row>
    <row r="1643" ht="15.75" hidden="1" customHeight="1" outlineLevel="1">
      <c r="A1643" s="295"/>
      <c r="B1643" s="38"/>
      <c r="C1643" s="160"/>
      <c r="D1643" s="160"/>
      <c r="E1643" s="160"/>
      <c r="F1643" s="160"/>
      <c r="G1643" s="160"/>
      <c r="H1643" s="160"/>
      <c r="I1643" s="160"/>
      <c r="J1643" s="160">
        <f>IF($J$1579&gt;0,PPMT('Assumptions (Geo)'!$V$7,Model!W$1,'Assumptions (Geo)'!$V$10,'Assumptions (Geo)'!$V$5*Model!$J$1579*AVERAGE('Assumptions (Geo)'!$F$2:$H$2)/10^9),0)</f>
        <v>0</v>
      </c>
      <c r="K1643" s="160">
        <f>IF($J$1579&gt;0,PPMT('Assumptions (Geo)'!$V$7,Model!X$1,'Assumptions (Geo)'!$V$10,'Assumptions (Geo)'!$V$5*Model!$J$1579*AVERAGE('Assumptions (Geo)'!$F$2:$H$2)/10^9),0)</f>
        <v>0</v>
      </c>
      <c r="L1643" s="160">
        <f>IF($J$1579&gt;0,PPMT('Assumptions (Geo)'!$V$7,Model!Y$1,'Assumptions (Geo)'!$V$10,'Assumptions (Geo)'!$V$5*Model!$J$1579*AVERAGE('Assumptions (Geo)'!$F$2:$H$2)/10^9),0)</f>
        <v>0</v>
      </c>
      <c r="M1643" s="160">
        <f>IF($J$1579&gt;0,PPMT('Assumptions (Geo)'!$V$7,Model!Z$1,'Assumptions (Geo)'!$V$10,'Assumptions (Geo)'!$V$5*Model!$J$1579*AVERAGE('Assumptions (Geo)'!$F$2:$H$2)/10^9),0)</f>
        <v>0</v>
      </c>
      <c r="N1643" s="160">
        <f>IF($J$1579&gt;0,PPMT('Assumptions (Geo)'!$V$7,Model!AA$1,'Assumptions (Geo)'!$V$10,'Assumptions (Geo)'!$V$5*Model!$J$1579*AVERAGE('Assumptions (Geo)'!$F$2:$H$2)/10^9),0)</f>
        <v>0</v>
      </c>
      <c r="O1643" s="160">
        <f>IF($J$1579&gt;0,PPMT('Assumptions (Geo)'!$V$7,Model!AB$1,'Assumptions (Geo)'!$V$10,'Assumptions (Geo)'!$V$5*Model!$J$1579*AVERAGE('Assumptions (Geo)'!$F$2:$H$2)/10^9),0)</f>
        <v>0</v>
      </c>
      <c r="P1643" s="160">
        <f>IF($J$1579&gt;0,PPMT('Assumptions (Geo)'!$V$7,Model!AC$1,'Assumptions (Geo)'!$V$10,'Assumptions (Geo)'!$V$5*Model!$J$1579*AVERAGE('Assumptions (Geo)'!$F$2:$H$2)/10^9),0)</f>
        <v>0</v>
      </c>
      <c r="Q1643" s="160">
        <f>IF($J$1579&gt;0,PPMT('Assumptions (Geo)'!$V$7,Model!AD$1,'Assumptions (Geo)'!$V$10,'Assumptions (Geo)'!$V$5*Model!$J$1579*AVERAGE('Assumptions (Geo)'!$F$2:$H$2)/10^9),0)</f>
        <v>0</v>
      </c>
      <c r="R1643" s="160">
        <f>IF($J$1579&gt;0,PPMT('Assumptions (Geo)'!$V$7,Model!AE$1,'Assumptions (Geo)'!$V$10,'Assumptions (Geo)'!$V$5*Model!$J$1579*AVERAGE('Assumptions (Geo)'!$F$2:$H$2)/10^9),0)</f>
        <v>0</v>
      </c>
      <c r="S1643" s="160">
        <f>IF($J$1579&gt;0,PPMT('Assumptions (Geo)'!$V$7,Model!AF$1,'Assumptions (Geo)'!$V$10,'Assumptions (Geo)'!$V$5*Model!$J$1579*AVERAGE('Assumptions (Geo)'!$F$2:$H$2)/10^9),0)</f>
        <v>0</v>
      </c>
      <c r="T1643" s="160">
        <f>IF($J$1579&gt;0,PPMT('Assumptions (Geo)'!$V$7,Model!AG$1,'Assumptions (Geo)'!$V$10,'Assumptions (Geo)'!$V$5*Model!$J$1579*AVERAGE('Assumptions (Geo)'!$F$2:$H$2)/10^9),0)</f>
        <v>0</v>
      </c>
      <c r="U1643" s="160">
        <f>IF($J$1579&gt;0,PPMT('Assumptions (Geo)'!$V$7,Model!AH$1,'Assumptions (Geo)'!$V$10,'Assumptions (Geo)'!$V$5*Model!$J$1579*AVERAGE('Assumptions (Geo)'!$F$2:$H$2)/10^9),0)</f>
        <v>0</v>
      </c>
      <c r="V1643" s="160">
        <f>IF($J$1579&gt;0,PPMT('Assumptions (Geo)'!$V$7,Model!AI$1,'Assumptions (Geo)'!$V$10,'Assumptions (Geo)'!$V$5*Model!$J$1579*AVERAGE('Assumptions (Geo)'!$F$2:$H$2)/10^9),0)</f>
        <v>0</v>
      </c>
      <c r="W1643" s="160">
        <f>IF($J$1579&gt;0,PPMT('Assumptions (Geo)'!$V$7,Model!AJ$1,'Assumptions (Geo)'!$V$10,'Assumptions (Geo)'!$V$5*Model!$J$1579*AVERAGE('Assumptions (Geo)'!$F$2:$H$2)/10^9),0)</f>
        <v>0</v>
      </c>
      <c r="X1643" s="160">
        <f>IF($J$1579&gt;0,PPMT('Assumptions (Geo)'!$V$7,Model!AK$1,'Assumptions (Geo)'!$V$10,'Assumptions (Geo)'!$V$5*Model!$J$1579*AVERAGE('Assumptions (Geo)'!$F$2:$H$2)/10^9),0)</f>
        <v>0</v>
      </c>
      <c r="Y1643" s="160"/>
      <c r="Z1643" s="160"/>
      <c r="AA1643" s="160"/>
      <c r="AB1643" s="160"/>
      <c r="AC1643" s="160"/>
      <c r="AD1643" s="160"/>
      <c r="AE1643" s="160"/>
      <c r="AF1643" s="160"/>
      <c r="AG1643" s="160"/>
      <c r="AH1643" s="160"/>
    </row>
    <row r="1644" ht="15.75" hidden="1" customHeight="1" outlineLevel="1">
      <c r="A1644" s="295"/>
      <c r="B1644" s="38"/>
      <c r="C1644" s="160"/>
      <c r="D1644" s="160"/>
      <c r="E1644" s="160"/>
      <c r="F1644" s="160"/>
      <c r="G1644" s="160"/>
      <c r="H1644" s="160"/>
      <c r="I1644" s="160"/>
      <c r="J1644" s="160"/>
      <c r="K1644" s="160">
        <f>IF($K$1579&gt;0,PPMT('Assumptions (Geo)'!$V$7,Model!W$1,'Assumptions (Geo)'!$V$10,'Assumptions (Geo)'!$V$5*Model!$K$1579*AVERAGE('Assumptions (Geo)'!$G$2:$I$2)/10^9),0)</f>
        <v>0</v>
      </c>
      <c r="L1644" s="160">
        <f>IF($K$1579&gt;0,PPMT('Assumptions (Geo)'!$V$7,Model!X$1,'Assumptions (Geo)'!$V$10,'Assumptions (Geo)'!$V$5*Model!$K$1579*AVERAGE('Assumptions (Geo)'!$G$2:$I$2)/10^9),0)</f>
        <v>0</v>
      </c>
      <c r="M1644" s="160">
        <f>IF($K$1579&gt;0,PPMT('Assumptions (Geo)'!$V$7,Model!Y$1,'Assumptions (Geo)'!$V$10,'Assumptions (Geo)'!$V$5*Model!$K$1579*AVERAGE('Assumptions (Geo)'!$G$2:$I$2)/10^9),0)</f>
        <v>0</v>
      </c>
      <c r="N1644" s="160">
        <f>IF($K$1579&gt;0,PPMT('Assumptions (Geo)'!$V$7,Model!Z$1,'Assumptions (Geo)'!$V$10,'Assumptions (Geo)'!$V$5*Model!$K$1579*AVERAGE('Assumptions (Geo)'!$G$2:$I$2)/10^9),0)</f>
        <v>0</v>
      </c>
      <c r="O1644" s="160">
        <f>IF($K$1579&gt;0,PPMT('Assumptions (Geo)'!$V$7,Model!AA$1,'Assumptions (Geo)'!$V$10,'Assumptions (Geo)'!$V$5*Model!$K$1579*AVERAGE('Assumptions (Geo)'!$G$2:$I$2)/10^9),0)</f>
        <v>0</v>
      </c>
      <c r="P1644" s="160">
        <f>IF($K$1579&gt;0,PPMT('Assumptions (Geo)'!$V$7,Model!AB$1,'Assumptions (Geo)'!$V$10,'Assumptions (Geo)'!$V$5*Model!$K$1579*AVERAGE('Assumptions (Geo)'!$G$2:$I$2)/10^9),0)</f>
        <v>0</v>
      </c>
      <c r="Q1644" s="160">
        <f>IF($K$1579&gt;0,PPMT('Assumptions (Geo)'!$V$7,Model!AC$1,'Assumptions (Geo)'!$V$10,'Assumptions (Geo)'!$V$5*Model!$K$1579*AVERAGE('Assumptions (Geo)'!$G$2:$I$2)/10^9),0)</f>
        <v>0</v>
      </c>
      <c r="R1644" s="160">
        <f>IF($K$1579&gt;0,PPMT('Assumptions (Geo)'!$V$7,Model!AD$1,'Assumptions (Geo)'!$V$10,'Assumptions (Geo)'!$V$5*Model!$K$1579*AVERAGE('Assumptions (Geo)'!$G$2:$I$2)/10^9),0)</f>
        <v>0</v>
      </c>
      <c r="S1644" s="160">
        <f>IF($K$1579&gt;0,PPMT('Assumptions (Geo)'!$V$7,Model!AE$1,'Assumptions (Geo)'!$V$10,'Assumptions (Geo)'!$V$5*Model!$K$1579*AVERAGE('Assumptions (Geo)'!$G$2:$I$2)/10^9),0)</f>
        <v>0</v>
      </c>
      <c r="T1644" s="160">
        <f>IF($K$1579&gt;0,PPMT('Assumptions (Geo)'!$V$7,Model!AF$1,'Assumptions (Geo)'!$V$10,'Assumptions (Geo)'!$V$5*Model!$K$1579*AVERAGE('Assumptions (Geo)'!$G$2:$I$2)/10^9),0)</f>
        <v>0</v>
      </c>
      <c r="U1644" s="160">
        <f>IF($K$1579&gt;0,PPMT('Assumptions (Geo)'!$V$7,Model!AG$1,'Assumptions (Geo)'!$V$10,'Assumptions (Geo)'!$V$5*Model!$K$1579*AVERAGE('Assumptions (Geo)'!$G$2:$I$2)/10^9),0)</f>
        <v>0</v>
      </c>
      <c r="V1644" s="160">
        <f>IF($K$1579&gt;0,PPMT('Assumptions (Geo)'!$V$7,Model!AH$1,'Assumptions (Geo)'!$V$10,'Assumptions (Geo)'!$V$5*Model!$K$1579*AVERAGE('Assumptions (Geo)'!$G$2:$I$2)/10^9),0)</f>
        <v>0</v>
      </c>
      <c r="W1644" s="160">
        <f>IF($K$1579&gt;0,PPMT('Assumptions (Geo)'!$V$7,Model!AI$1,'Assumptions (Geo)'!$V$10,'Assumptions (Geo)'!$V$5*Model!$K$1579*AVERAGE('Assumptions (Geo)'!$G$2:$I$2)/10^9),0)</f>
        <v>0</v>
      </c>
      <c r="X1644" s="160">
        <f>IF($K$1579&gt;0,PPMT('Assumptions (Geo)'!$V$7,Model!AJ$1,'Assumptions (Geo)'!$V$10,'Assumptions (Geo)'!$V$5*Model!$K$1579*AVERAGE('Assumptions (Geo)'!$G$2:$I$2)/10^9),0)</f>
        <v>0</v>
      </c>
      <c r="Y1644" s="160">
        <f>IF($K$1579&gt;0,PPMT('Assumptions (Geo)'!$V$7,Model!AK$1,'Assumptions (Geo)'!$V$10,'Assumptions (Geo)'!$V$5*Model!$K$1579*AVERAGE('Assumptions (Geo)'!$G$2:$I$2)/10^9),0)</f>
        <v>0</v>
      </c>
      <c r="Z1644" s="160"/>
      <c r="AA1644" s="160"/>
      <c r="AB1644" s="160"/>
      <c r="AC1644" s="160"/>
      <c r="AD1644" s="160"/>
      <c r="AE1644" s="160"/>
      <c r="AF1644" s="160"/>
      <c r="AG1644" s="160"/>
      <c r="AH1644" s="160"/>
      <c r="AI1644" s="160"/>
    </row>
    <row r="1645" ht="15.75" hidden="1" customHeight="1" outlineLevel="1">
      <c r="A1645" s="295"/>
      <c r="B1645" s="38"/>
      <c r="C1645" s="160"/>
      <c r="D1645" s="160"/>
      <c r="E1645" s="160"/>
      <c r="F1645" s="160"/>
      <c r="G1645" s="160"/>
      <c r="H1645" s="160"/>
      <c r="I1645" s="160"/>
      <c r="J1645" s="160"/>
      <c r="K1645" s="160"/>
      <c r="L1645" s="160">
        <f>IF($L$1579&gt;0,PPMT('Assumptions (Geo)'!$V$7,Model!W$1,'Assumptions (Geo)'!$V$10,'Assumptions (Geo)'!$V$5*Model!$L$1579*AVERAGE('Assumptions (Geo)'!$H$2:$J$2)/10^9),0)</f>
        <v>0</v>
      </c>
      <c r="M1645" s="160">
        <f>IF($L$1579&gt;0,PPMT('Assumptions (Geo)'!$V$7,Model!X$1,'Assumptions (Geo)'!$V$10,'Assumptions (Geo)'!$V$5*Model!$L$1579*AVERAGE('Assumptions (Geo)'!$H$2:$J$2)/10^9),0)</f>
        <v>0</v>
      </c>
      <c r="N1645" s="160">
        <f>IF($L$1579&gt;0,PPMT('Assumptions (Geo)'!$V$7,Model!Y$1,'Assumptions (Geo)'!$V$10,'Assumptions (Geo)'!$V$5*Model!$L$1579*AVERAGE('Assumptions (Geo)'!$H$2:$J$2)/10^9),0)</f>
        <v>0</v>
      </c>
      <c r="O1645" s="160">
        <f>IF($L$1579&gt;0,PPMT('Assumptions (Geo)'!$V$7,Model!Z$1,'Assumptions (Geo)'!$V$10,'Assumptions (Geo)'!$V$5*Model!$L$1579*AVERAGE('Assumptions (Geo)'!$H$2:$J$2)/10^9),0)</f>
        <v>0</v>
      </c>
      <c r="P1645" s="160">
        <f>IF($L$1579&gt;0,PPMT('Assumptions (Geo)'!$V$7,Model!AA$1,'Assumptions (Geo)'!$V$10,'Assumptions (Geo)'!$V$5*Model!$L$1579*AVERAGE('Assumptions (Geo)'!$H$2:$J$2)/10^9),0)</f>
        <v>0</v>
      </c>
      <c r="Q1645" s="160">
        <f>IF($L$1579&gt;0,PPMT('Assumptions (Geo)'!$V$7,Model!AB$1,'Assumptions (Geo)'!$V$10,'Assumptions (Geo)'!$V$5*Model!$L$1579*AVERAGE('Assumptions (Geo)'!$H$2:$J$2)/10^9),0)</f>
        <v>0</v>
      </c>
      <c r="R1645" s="160">
        <f>IF($L$1579&gt;0,PPMT('Assumptions (Geo)'!$V$7,Model!AC$1,'Assumptions (Geo)'!$V$10,'Assumptions (Geo)'!$V$5*Model!$L$1579*AVERAGE('Assumptions (Geo)'!$H$2:$J$2)/10^9),0)</f>
        <v>0</v>
      </c>
      <c r="S1645" s="160">
        <f>IF($L$1579&gt;0,PPMT('Assumptions (Geo)'!$V$7,Model!AD$1,'Assumptions (Geo)'!$V$10,'Assumptions (Geo)'!$V$5*Model!$L$1579*AVERAGE('Assumptions (Geo)'!$H$2:$J$2)/10^9),0)</f>
        <v>0</v>
      </c>
      <c r="T1645" s="160">
        <f>IF($L$1579&gt;0,PPMT('Assumptions (Geo)'!$V$7,Model!AE$1,'Assumptions (Geo)'!$V$10,'Assumptions (Geo)'!$V$5*Model!$L$1579*AVERAGE('Assumptions (Geo)'!$H$2:$J$2)/10^9),0)</f>
        <v>0</v>
      </c>
      <c r="U1645" s="160">
        <f>IF($L$1579&gt;0,PPMT('Assumptions (Geo)'!$V$7,Model!AF$1,'Assumptions (Geo)'!$V$10,'Assumptions (Geo)'!$V$5*Model!$L$1579*AVERAGE('Assumptions (Geo)'!$H$2:$J$2)/10^9),0)</f>
        <v>0</v>
      </c>
      <c r="V1645" s="160">
        <f>IF($L$1579&gt;0,PPMT('Assumptions (Geo)'!$V$7,Model!AG$1,'Assumptions (Geo)'!$V$10,'Assumptions (Geo)'!$V$5*Model!$L$1579*AVERAGE('Assumptions (Geo)'!$H$2:$J$2)/10^9),0)</f>
        <v>0</v>
      </c>
      <c r="W1645" s="160">
        <f>IF($L$1579&gt;0,PPMT('Assumptions (Geo)'!$V$7,Model!AH$1,'Assumptions (Geo)'!$V$10,'Assumptions (Geo)'!$V$5*Model!$L$1579*AVERAGE('Assumptions (Geo)'!$H$2:$J$2)/10^9),0)</f>
        <v>0</v>
      </c>
      <c r="X1645" s="160">
        <f>IF($L$1579&gt;0,PPMT('Assumptions (Geo)'!$V$7,Model!AI$1,'Assumptions (Geo)'!$V$10,'Assumptions (Geo)'!$V$5*Model!$L$1579*AVERAGE('Assumptions (Geo)'!$H$2:$J$2)/10^9),0)</f>
        <v>0</v>
      </c>
      <c r="Y1645" s="160">
        <f>IF($L$1579&gt;0,PPMT('Assumptions (Geo)'!$V$7,Model!AJ$1,'Assumptions (Geo)'!$V$10,'Assumptions (Geo)'!$V$5*Model!$L$1579*AVERAGE('Assumptions (Geo)'!$H$2:$J$2)/10^9),0)</f>
        <v>0</v>
      </c>
      <c r="Z1645" s="160">
        <f>IF($L$1579&gt;0,PPMT('Assumptions (Geo)'!$V$7,Model!AK$1,'Assumptions (Geo)'!$V$10,'Assumptions (Geo)'!$V$5*Model!$L$1579*AVERAGE('Assumptions (Geo)'!$H$2:$J$2)/10^9),0)</f>
        <v>0</v>
      </c>
      <c r="AA1645" s="160"/>
      <c r="AB1645" s="160"/>
      <c r="AC1645" s="160"/>
      <c r="AD1645" s="160"/>
      <c r="AE1645" s="160"/>
      <c r="AF1645" s="160"/>
      <c r="AG1645" s="160"/>
      <c r="AH1645" s="160"/>
      <c r="AI1645" s="160"/>
      <c r="AJ1645" s="160"/>
    </row>
    <row r="1646" ht="15.75" hidden="1" customHeight="1" outlineLevel="1">
      <c r="A1646" s="295"/>
      <c r="B1646" s="38"/>
      <c r="C1646" s="160"/>
      <c r="D1646" s="160"/>
      <c r="E1646" s="160"/>
      <c r="F1646" s="160"/>
      <c r="G1646" s="160"/>
      <c r="H1646" s="160"/>
      <c r="I1646" s="160"/>
      <c r="J1646" s="160"/>
      <c r="K1646" s="160"/>
      <c r="L1646" s="160"/>
      <c r="M1646" s="160">
        <f>IF($M$1579&gt;0,PPMT('Assumptions (Geo)'!$V$7,Model!W$1,'Assumptions (Geo)'!$V$10,'Assumptions (Geo)'!$V$5*Model!$M$1579*AVERAGE('Assumptions (Geo)'!$I$2:$K$2)/10^9),0)</f>
        <v>0</v>
      </c>
      <c r="N1646" s="160">
        <f>IF($M$1579&gt;0,PPMT('Assumptions (Geo)'!$V$7,Model!X$1,'Assumptions (Geo)'!$V$10,'Assumptions (Geo)'!$V$5*Model!$M$1579*AVERAGE('Assumptions (Geo)'!$I$2:$K$2)/10^9),0)</f>
        <v>0</v>
      </c>
      <c r="O1646" s="160">
        <f>IF($M$1579&gt;0,PPMT('Assumptions (Geo)'!$V$7,Model!Y$1,'Assumptions (Geo)'!$V$10,'Assumptions (Geo)'!$V$5*Model!$M$1579*AVERAGE('Assumptions (Geo)'!$I$2:$K$2)/10^9),0)</f>
        <v>0</v>
      </c>
      <c r="P1646" s="160">
        <f>IF($M$1579&gt;0,PPMT('Assumptions (Geo)'!$V$7,Model!Z$1,'Assumptions (Geo)'!$V$10,'Assumptions (Geo)'!$V$5*Model!$M$1579*AVERAGE('Assumptions (Geo)'!$I$2:$K$2)/10^9),0)</f>
        <v>0</v>
      </c>
      <c r="Q1646" s="160">
        <f>IF($M$1579&gt;0,PPMT('Assumptions (Geo)'!$V$7,Model!AA$1,'Assumptions (Geo)'!$V$10,'Assumptions (Geo)'!$V$5*Model!$M$1579*AVERAGE('Assumptions (Geo)'!$I$2:$K$2)/10^9),0)</f>
        <v>0</v>
      </c>
      <c r="R1646" s="160">
        <f>IF($M$1579&gt;0,PPMT('Assumptions (Geo)'!$V$7,Model!AB$1,'Assumptions (Geo)'!$V$10,'Assumptions (Geo)'!$V$5*Model!$M$1579*AVERAGE('Assumptions (Geo)'!$I$2:$K$2)/10^9),0)</f>
        <v>0</v>
      </c>
      <c r="S1646" s="160">
        <f>IF($M$1579&gt;0,PPMT('Assumptions (Geo)'!$V$7,Model!AC$1,'Assumptions (Geo)'!$V$10,'Assumptions (Geo)'!$V$5*Model!$M$1579*AVERAGE('Assumptions (Geo)'!$I$2:$K$2)/10^9),0)</f>
        <v>0</v>
      </c>
      <c r="T1646" s="160">
        <f>IF($M$1579&gt;0,PPMT('Assumptions (Geo)'!$V$7,Model!AD$1,'Assumptions (Geo)'!$V$10,'Assumptions (Geo)'!$V$5*Model!$M$1579*AVERAGE('Assumptions (Geo)'!$I$2:$K$2)/10^9),0)</f>
        <v>0</v>
      </c>
      <c r="U1646" s="160">
        <f>IF($M$1579&gt;0,PPMT('Assumptions (Geo)'!$V$7,Model!AE$1,'Assumptions (Geo)'!$V$10,'Assumptions (Geo)'!$V$5*Model!$M$1579*AVERAGE('Assumptions (Geo)'!$I$2:$K$2)/10^9),0)</f>
        <v>0</v>
      </c>
      <c r="V1646" s="160">
        <f>IF($M$1579&gt;0,PPMT('Assumptions (Geo)'!$V$7,Model!AF$1,'Assumptions (Geo)'!$V$10,'Assumptions (Geo)'!$V$5*Model!$M$1579*AVERAGE('Assumptions (Geo)'!$I$2:$K$2)/10^9),0)</f>
        <v>0</v>
      </c>
      <c r="W1646" s="160">
        <f>IF($M$1579&gt;0,PPMT('Assumptions (Geo)'!$V$7,Model!AG$1,'Assumptions (Geo)'!$V$10,'Assumptions (Geo)'!$V$5*Model!$M$1579*AVERAGE('Assumptions (Geo)'!$I$2:$K$2)/10^9),0)</f>
        <v>0</v>
      </c>
      <c r="X1646" s="160">
        <f>IF($M$1579&gt;0,PPMT('Assumptions (Geo)'!$V$7,Model!AH$1,'Assumptions (Geo)'!$V$10,'Assumptions (Geo)'!$V$5*Model!$M$1579*AVERAGE('Assumptions (Geo)'!$I$2:$K$2)/10^9),0)</f>
        <v>0</v>
      </c>
      <c r="Y1646" s="160">
        <f>IF($M$1579&gt;0,PPMT('Assumptions (Geo)'!$V$7,Model!AI$1,'Assumptions (Geo)'!$V$10,'Assumptions (Geo)'!$V$5*Model!$M$1579*AVERAGE('Assumptions (Geo)'!$I$2:$K$2)/10^9),0)</f>
        <v>0</v>
      </c>
      <c r="Z1646" s="160">
        <f>IF($M$1579&gt;0,PPMT('Assumptions (Geo)'!$V$7,Model!AJ$1,'Assumptions (Geo)'!$V$10,'Assumptions (Geo)'!$V$5*Model!$M$1579*AVERAGE('Assumptions (Geo)'!$I$2:$K$2)/10^9),0)</f>
        <v>0</v>
      </c>
      <c r="AA1646" s="160">
        <f>IF($M$1579&gt;0,PPMT('Assumptions (Geo)'!$V$7,Model!AK$1,'Assumptions (Geo)'!$V$10,'Assumptions (Geo)'!$V$5*Model!$M$1579*AVERAGE('Assumptions (Geo)'!$I$2:$K$2)/10^9),0)</f>
        <v>0</v>
      </c>
      <c r="AB1646" s="160"/>
      <c r="AC1646" s="160"/>
      <c r="AD1646" s="160"/>
      <c r="AE1646" s="160"/>
      <c r="AF1646" s="160"/>
      <c r="AG1646" s="160"/>
      <c r="AH1646" s="160"/>
      <c r="AI1646" s="160"/>
      <c r="AJ1646" s="160"/>
      <c r="AK1646" s="160"/>
    </row>
    <row r="1647" ht="15.75" hidden="1" customHeight="1" outlineLevel="1">
      <c r="A1647" s="295"/>
      <c r="B1647" s="38"/>
      <c r="C1647" s="160"/>
      <c r="D1647" s="160"/>
      <c r="E1647" s="160"/>
      <c r="F1647" s="160"/>
      <c r="G1647" s="160"/>
      <c r="H1647" s="160"/>
      <c r="I1647" s="160"/>
      <c r="J1647" s="160"/>
      <c r="K1647" s="160"/>
      <c r="L1647" s="160"/>
      <c r="M1647" s="160"/>
      <c r="N1647" s="177">
        <f>IF($N$1579&gt;0,PPMT('Assumptions (Geo)'!$V$7,Model!W$1,'Assumptions (Geo)'!$V$10,'Assumptions (Geo)'!$V$5*Model!$N$1579*AVERAGE('Assumptions (Geo)'!$J$2:$L$2)/10^9),0)</f>
        <v>0</v>
      </c>
      <c r="O1647" s="177">
        <f>IF($N$1579&gt;0,PPMT('Assumptions (Geo)'!$V$7,Model!X$1,'Assumptions (Geo)'!$V$10,'Assumptions (Geo)'!$V$5*Model!$N$1579*AVERAGE('Assumptions (Geo)'!$J$2:$L$2)/10^9),0)</f>
        <v>0</v>
      </c>
      <c r="P1647" s="177">
        <f>IF($N$1579&gt;0,PPMT('Assumptions (Geo)'!$V$7,Model!Y$1,'Assumptions (Geo)'!$V$10,'Assumptions (Geo)'!$V$5*Model!$N$1579*AVERAGE('Assumptions (Geo)'!$J$2:$L$2)/10^9),0)</f>
        <v>0</v>
      </c>
      <c r="Q1647" s="177">
        <f>IF($N$1579&gt;0,PPMT('Assumptions (Geo)'!$V$7,Model!Z$1,'Assumptions (Geo)'!$V$10,'Assumptions (Geo)'!$V$5*Model!$N$1579*AVERAGE('Assumptions (Geo)'!$J$2:$L$2)/10^9),0)</f>
        <v>0</v>
      </c>
      <c r="R1647" s="177">
        <f>IF($N$1579&gt;0,PPMT('Assumptions (Geo)'!$V$7,Model!AA$1,'Assumptions (Geo)'!$V$10,'Assumptions (Geo)'!$V$5*Model!$N$1579*AVERAGE('Assumptions (Geo)'!$J$2:$L$2)/10^9),0)</f>
        <v>0</v>
      </c>
      <c r="S1647" s="177">
        <f>IF($N$1579&gt;0,PPMT('Assumptions (Geo)'!$V$7,Model!AB$1,'Assumptions (Geo)'!$V$10,'Assumptions (Geo)'!$V$5*Model!$N$1579*AVERAGE('Assumptions (Geo)'!$J$2:$L$2)/10^9),0)</f>
        <v>0</v>
      </c>
      <c r="T1647" s="177">
        <f>IF($N$1579&gt;0,PPMT('Assumptions (Geo)'!$V$7,Model!AC$1,'Assumptions (Geo)'!$V$10,'Assumptions (Geo)'!$V$5*Model!$N$1579*AVERAGE('Assumptions (Geo)'!$J$2:$L$2)/10^9),0)</f>
        <v>0</v>
      </c>
      <c r="U1647" s="177">
        <f>IF($N$1579&gt;0,PPMT('Assumptions (Geo)'!$V$7,Model!AD$1,'Assumptions (Geo)'!$V$10,'Assumptions (Geo)'!$V$5*Model!$N$1579*AVERAGE('Assumptions (Geo)'!$J$2:$L$2)/10^9),0)</f>
        <v>0</v>
      </c>
      <c r="V1647" s="177">
        <f>IF($N$1579&gt;0,PPMT('Assumptions (Geo)'!$V$7,Model!AE$1,'Assumptions (Geo)'!$V$10,'Assumptions (Geo)'!$V$5*Model!$N$1579*AVERAGE('Assumptions (Geo)'!$J$2:$L$2)/10^9),0)</f>
        <v>0</v>
      </c>
      <c r="W1647" s="177">
        <f>IF($N$1579&gt;0,PPMT('Assumptions (Geo)'!$V$7,Model!AF$1,'Assumptions (Geo)'!$V$10,'Assumptions (Geo)'!$V$5*Model!$N$1579*AVERAGE('Assumptions (Geo)'!$J$2:$L$2)/10^9),0)</f>
        <v>0</v>
      </c>
      <c r="X1647" s="177">
        <f>IF($N$1579&gt;0,PPMT('Assumptions (Geo)'!$V$7,Model!AG$1,'Assumptions (Geo)'!$V$10,'Assumptions (Geo)'!$V$5*Model!$N$1579*AVERAGE('Assumptions (Geo)'!$J$2:$L$2)/10^9),0)</f>
        <v>0</v>
      </c>
      <c r="Y1647" s="177">
        <f>IF($N$1579&gt;0,PPMT('Assumptions (Geo)'!$V$7,Model!AH$1,'Assumptions (Geo)'!$V$10,'Assumptions (Geo)'!$V$5*Model!$N$1579*AVERAGE('Assumptions (Geo)'!$J$2:$L$2)/10^9),0)</f>
        <v>0</v>
      </c>
      <c r="Z1647" s="177">
        <f>IF($N$1579&gt;0,PPMT('Assumptions (Geo)'!$V$7,Model!AI$1,'Assumptions (Geo)'!$V$10,'Assumptions (Geo)'!$V$5*Model!$N$1579*AVERAGE('Assumptions (Geo)'!$J$2:$L$2)/10^9),0)</f>
        <v>0</v>
      </c>
      <c r="AA1647" s="177">
        <f>IF($N$1579&gt;0,PPMT('Assumptions (Geo)'!$V$7,Model!AJ$1,'Assumptions (Geo)'!$V$10,'Assumptions (Geo)'!$V$5*Model!$N$1579*AVERAGE('Assumptions (Geo)'!$J$2:$L$2)/10^9),0)</f>
        <v>0</v>
      </c>
      <c r="AB1647" s="177">
        <f>IF($N$1579&gt;0,PPMT('Assumptions (Geo)'!$V$7,Model!AK$1,'Assumptions (Geo)'!$V$10,'Assumptions (Geo)'!$V$5*Model!$N$1579*AVERAGE('Assumptions (Geo)'!$J$2:$L$2)/10^9),0)</f>
        <v>0</v>
      </c>
      <c r="AC1647" s="177"/>
      <c r="AD1647" s="177"/>
      <c r="AE1647" s="177"/>
      <c r="AF1647" s="177"/>
      <c r="AG1647" s="177"/>
      <c r="AH1647" s="177"/>
      <c r="AI1647" s="177"/>
      <c r="AJ1647" s="177"/>
      <c r="AK1647" s="177"/>
      <c r="AL1647" s="177"/>
    </row>
    <row r="1648" ht="15.75" hidden="1" customHeight="1" outlineLevel="1">
      <c r="A1648" s="295"/>
      <c r="B1648" s="38"/>
      <c r="C1648" s="160"/>
      <c r="D1648" s="160"/>
      <c r="E1648" s="160"/>
      <c r="F1648" s="160"/>
      <c r="G1648" s="160"/>
      <c r="H1648" s="160"/>
      <c r="I1648" s="160"/>
      <c r="J1648" s="160"/>
      <c r="K1648" s="160"/>
      <c r="L1648" s="160"/>
      <c r="M1648" s="160"/>
      <c r="N1648" s="160"/>
      <c r="O1648" s="160">
        <f>IF($O$1579&gt;0,PPMT('Assumptions (Geo)'!$V$7,Model!W$1,'Assumptions (Geo)'!$V$10,'Assumptions (Geo)'!$V$5*Model!$O$1579*AVERAGE('Assumptions (Geo)'!$K$2:$M$2)/10^9),0)</f>
        <v>0</v>
      </c>
      <c r="P1648" s="160">
        <f>IF($O$1579&gt;0,PPMT('Assumptions (Geo)'!$V$7,Model!X$1,'Assumptions (Geo)'!$V$10,'Assumptions (Geo)'!$V$5*Model!$O$1579*AVERAGE('Assumptions (Geo)'!$K$2:$M$2)/10^9),0)</f>
        <v>0</v>
      </c>
      <c r="Q1648" s="160">
        <f>IF($O$1579&gt;0,PPMT('Assumptions (Geo)'!$V$7,Model!Y$1,'Assumptions (Geo)'!$V$10,'Assumptions (Geo)'!$V$5*Model!$O$1579*AVERAGE('Assumptions (Geo)'!$K$2:$M$2)/10^9),0)</f>
        <v>0</v>
      </c>
      <c r="R1648" s="160">
        <f>IF($O$1579&gt;0,PPMT('Assumptions (Geo)'!$V$7,Model!Z$1,'Assumptions (Geo)'!$V$10,'Assumptions (Geo)'!$V$5*Model!$O$1579*AVERAGE('Assumptions (Geo)'!$K$2:$M$2)/10^9),0)</f>
        <v>0</v>
      </c>
      <c r="S1648" s="160">
        <f>IF($O$1579&gt;0,PPMT('Assumptions (Geo)'!$V$7,Model!AA$1,'Assumptions (Geo)'!$V$10,'Assumptions (Geo)'!$V$5*Model!$O$1579*AVERAGE('Assumptions (Geo)'!$K$2:$M$2)/10^9),0)</f>
        <v>0</v>
      </c>
      <c r="T1648" s="160">
        <f>IF($O$1579&gt;0,PPMT('Assumptions (Geo)'!$V$7,Model!AB$1,'Assumptions (Geo)'!$V$10,'Assumptions (Geo)'!$V$5*Model!$O$1579*AVERAGE('Assumptions (Geo)'!$K$2:$M$2)/10^9),0)</f>
        <v>0</v>
      </c>
      <c r="U1648" s="160">
        <f>IF($O$1579&gt;0,PPMT('Assumptions (Geo)'!$V$7,Model!AC$1,'Assumptions (Geo)'!$V$10,'Assumptions (Geo)'!$V$5*Model!$O$1579*AVERAGE('Assumptions (Geo)'!$K$2:$M$2)/10^9),0)</f>
        <v>0</v>
      </c>
      <c r="V1648" s="160">
        <f>IF($O$1579&gt;0,PPMT('Assumptions (Geo)'!$V$7,Model!AD$1,'Assumptions (Geo)'!$V$10,'Assumptions (Geo)'!$V$5*Model!$O$1579*AVERAGE('Assumptions (Geo)'!$K$2:$M$2)/10^9),0)</f>
        <v>0</v>
      </c>
      <c r="W1648" s="160">
        <f>IF($O$1579&gt;0,PPMT('Assumptions (Geo)'!$V$7,Model!AE$1,'Assumptions (Geo)'!$V$10,'Assumptions (Geo)'!$V$5*Model!$O$1579*AVERAGE('Assumptions (Geo)'!$K$2:$M$2)/10^9),0)</f>
        <v>0</v>
      </c>
      <c r="X1648" s="160">
        <f>IF($O$1579&gt;0,PPMT('Assumptions (Geo)'!$V$7,Model!AF$1,'Assumptions (Geo)'!$V$10,'Assumptions (Geo)'!$V$5*Model!$O$1579*AVERAGE('Assumptions (Geo)'!$K$2:$M$2)/10^9),0)</f>
        <v>0</v>
      </c>
      <c r="Y1648" s="160">
        <f>IF($O$1579&gt;0,PPMT('Assumptions (Geo)'!$V$7,Model!AG$1,'Assumptions (Geo)'!$V$10,'Assumptions (Geo)'!$V$5*Model!$O$1579*AVERAGE('Assumptions (Geo)'!$K$2:$M$2)/10^9),0)</f>
        <v>0</v>
      </c>
      <c r="Z1648" s="160">
        <f>IF($O$1579&gt;0,PPMT('Assumptions (Geo)'!$V$7,Model!AH$1,'Assumptions (Geo)'!$V$10,'Assumptions (Geo)'!$V$5*Model!$O$1579*AVERAGE('Assumptions (Geo)'!$K$2:$M$2)/10^9),0)</f>
        <v>0</v>
      </c>
      <c r="AA1648" s="160">
        <f>IF($O$1579&gt;0,PPMT('Assumptions (Geo)'!$V$7,Model!AI$1,'Assumptions (Geo)'!$V$10,'Assumptions (Geo)'!$V$5*Model!$O$1579*AVERAGE('Assumptions (Geo)'!$K$2:$M$2)/10^9),0)</f>
        <v>0</v>
      </c>
      <c r="AB1648" s="160">
        <f>IF($O$1579&gt;0,PPMT('Assumptions (Geo)'!$V$7,Model!AJ$1,'Assumptions (Geo)'!$V$10,'Assumptions (Geo)'!$V$5*Model!$O$1579*AVERAGE('Assumptions (Geo)'!$K$2:$M$2)/10^9),0)</f>
        <v>0</v>
      </c>
      <c r="AC1648" s="160">
        <f>IF($O$1579&gt;0,PPMT('Assumptions (Geo)'!$V$7,Model!AK$1,'Assumptions (Geo)'!$V$10,'Assumptions (Geo)'!$V$5*Model!$O$1579*AVERAGE('Assumptions (Geo)'!$K$2:$M$2)/10^9),0)</f>
        <v>0</v>
      </c>
      <c r="AD1648" s="160"/>
      <c r="AE1648" s="160"/>
      <c r="AF1648" s="160"/>
      <c r="AG1648" s="160"/>
      <c r="AH1648" s="160"/>
      <c r="AI1648" s="160"/>
      <c r="AJ1648" s="160"/>
      <c r="AK1648" s="160"/>
      <c r="AL1648" s="160"/>
      <c r="AM1648" s="160"/>
    </row>
    <row r="1649" ht="15.75" hidden="1" customHeight="1" outlineLevel="1">
      <c r="A1649" s="295"/>
      <c r="B1649" s="38"/>
      <c r="C1649" s="160"/>
      <c r="D1649" s="160"/>
      <c r="E1649" s="160"/>
      <c r="F1649" s="160"/>
      <c r="G1649" s="160"/>
      <c r="H1649" s="160"/>
      <c r="I1649" s="160"/>
      <c r="J1649" s="160"/>
      <c r="K1649" s="160"/>
      <c r="L1649" s="160"/>
      <c r="M1649" s="160"/>
      <c r="N1649" s="160"/>
      <c r="O1649" s="160"/>
      <c r="P1649" s="177">
        <f>IF($P$1579&gt;0,PPMT('Assumptions (Geo)'!$V$7,Model!W$1,'Assumptions (Geo)'!$V$10,'Assumptions (Geo)'!$V$5*Model!$P$1579*AVERAGE('Assumptions (Geo)'!$L$2:$N$2)/10^9),0)</f>
        <v>0</v>
      </c>
      <c r="Q1649" s="177">
        <f>IF($P$1579&gt;0,PPMT('Assumptions (Geo)'!$V$7,Model!X$1,'Assumptions (Geo)'!$V$10,'Assumptions (Geo)'!$V$5*Model!$P$1579*AVERAGE('Assumptions (Geo)'!$L$2:$N$2)/10^9),0)</f>
        <v>0</v>
      </c>
      <c r="R1649" s="177">
        <f>IF($P$1579&gt;0,PPMT('Assumptions (Geo)'!$V$7,Model!Y$1,'Assumptions (Geo)'!$V$10,'Assumptions (Geo)'!$V$5*Model!$P$1579*AVERAGE('Assumptions (Geo)'!$L$2:$N$2)/10^9),0)</f>
        <v>0</v>
      </c>
      <c r="S1649" s="177">
        <f>IF($P$1579&gt;0,PPMT('Assumptions (Geo)'!$V$7,Model!Z$1,'Assumptions (Geo)'!$V$10,'Assumptions (Geo)'!$V$5*Model!$P$1579*AVERAGE('Assumptions (Geo)'!$L$2:$N$2)/10^9),0)</f>
        <v>0</v>
      </c>
      <c r="T1649" s="177">
        <f>IF($P$1579&gt;0,PPMT('Assumptions (Geo)'!$V$7,Model!AA$1,'Assumptions (Geo)'!$V$10,'Assumptions (Geo)'!$V$5*Model!$P$1579*AVERAGE('Assumptions (Geo)'!$L$2:$N$2)/10^9),0)</f>
        <v>0</v>
      </c>
      <c r="U1649" s="177">
        <f>IF($P$1579&gt;0,PPMT('Assumptions (Geo)'!$V$7,Model!AB$1,'Assumptions (Geo)'!$V$10,'Assumptions (Geo)'!$V$5*Model!$P$1579*AVERAGE('Assumptions (Geo)'!$L$2:$N$2)/10^9),0)</f>
        <v>0</v>
      </c>
      <c r="V1649" s="177">
        <f>IF($P$1579&gt;0,PPMT('Assumptions (Geo)'!$V$7,Model!AC$1,'Assumptions (Geo)'!$V$10,'Assumptions (Geo)'!$V$5*Model!$P$1579*AVERAGE('Assumptions (Geo)'!$L$2:$N$2)/10^9),0)</f>
        <v>0</v>
      </c>
      <c r="W1649" s="177">
        <f>IF($P$1579&gt;0,PPMT('Assumptions (Geo)'!$V$7,Model!AD$1,'Assumptions (Geo)'!$V$10,'Assumptions (Geo)'!$V$5*Model!$P$1579*AVERAGE('Assumptions (Geo)'!$L$2:$N$2)/10^9),0)</f>
        <v>0</v>
      </c>
      <c r="X1649" s="177">
        <f>IF($P$1579&gt;0,PPMT('Assumptions (Geo)'!$V$7,Model!AE$1,'Assumptions (Geo)'!$V$10,'Assumptions (Geo)'!$V$5*Model!$P$1579*AVERAGE('Assumptions (Geo)'!$L$2:$N$2)/10^9),0)</f>
        <v>0</v>
      </c>
      <c r="Y1649" s="177">
        <f>IF($P$1579&gt;0,PPMT('Assumptions (Geo)'!$V$7,Model!AF$1,'Assumptions (Geo)'!$V$10,'Assumptions (Geo)'!$V$5*Model!$P$1579*AVERAGE('Assumptions (Geo)'!$L$2:$N$2)/10^9),0)</f>
        <v>0</v>
      </c>
      <c r="Z1649" s="177">
        <f>IF($P$1579&gt;0,PPMT('Assumptions (Geo)'!$V$7,Model!AG$1,'Assumptions (Geo)'!$V$10,'Assumptions (Geo)'!$V$5*Model!$P$1579*AVERAGE('Assumptions (Geo)'!$L$2:$N$2)/10^9),0)</f>
        <v>0</v>
      </c>
      <c r="AA1649" s="177">
        <f>IF($P$1579&gt;0,PPMT('Assumptions (Geo)'!$V$7,Model!AH$1,'Assumptions (Geo)'!$V$10,'Assumptions (Geo)'!$V$5*Model!$P$1579*AVERAGE('Assumptions (Geo)'!$L$2:$N$2)/10^9),0)</f>
        <v>0</v>
      </c>
      <c r="AB1649" s="177">
        <f>IF($P$1579&gt;0,PPMT('Assumptions (Geo)'!$V$7,Model!AI$1,'Assumptions (Geo)'!$V$10,'Assumptions (Geo)'!$V$5*Model!$P$1579*AVERAGE('Assumptions (Geo)'!$L$2:$N$2)/10^9),0)</f>
        <v>0</v>
      </c>
      <c r="AC1649" s="177">
        <f>IF($P$1579&gt;0,PPMT('Assumptions (Geo)'!$V$7,Model!AJ$1,'Assumptions (Geo)'!$V$10,'Assumptions (Geo)'!$V$5*Model!$P$1579*AVERAGE('Assumptions (Geo)'!$L$2:$N$2)/10^9),0)</f>
        <v>0</v>
      </c>
      <c r="AD1649" s="177">
        <f>IF($P$1579&gt;0,PPMT('Assumptions (Geo)'!$V$7,Model!AK$1,'Assumptions (Geo)'!$V$10,'Assumptions (Geo)'!$V$5*Model!$P$1579*AVERAGE('Assumptions (Geo)'!$L$2:$N$2)/10^9),0)</f>
        <v>0</v>
      </c>
      <c r="AE1649" s="177"/>
      <c r="AF1649" s="177"/>
      <c r="AG1649" s="177"/>
      <c r="AH1649" s="177"/>
      <c r="AI1649" s="177"/>
      <c r="AJ1649" s="177"/>
      <c r="AK1649" s="177"/>
      <c r="AL1649" s="177"/>
      <c r="AM1649" s="177"/>
      <c r="AN1649" s="177"/>
    </row>
    <row r="1650" ht="15.75" hidden="1" customHeight="1" outlineLevel="1">
      <c r="A1650" s="295"/>
      <c r="B1650" s="38"/>
      <c r="C1650" s="160"/>
      <c r="D1650" s="160"/>
      <c r="E1650" s="160"/>
      <c r="F1650" s="160"/>
      <c r="G1650" s="160"/>
      <c r="H1650" s="160"/>
      <c r="I1650" s="160"/>
      <c r="J1650" s="160"/>
      <c r="K1650" s="160"/>
      <c r="L1650" s="160"/>
      <c r="M1650" s="160"/>
      <c r="N1650" s="160"/>
      <c r="O1650" s="160"/>
      <c r="P1650" s="179"/>
      <c r="Q1650" s="160">
        <f>IF($Q$1579&gt;0,PPMT('Assumptions (Geo)'!$V$7,Model!W$1,'Assumptions (Geo)'!$V$10,'Assumptions (Geo)'!$V$5*Model!$Q$1579*AVERAGE('Assumptions (Geo)'!$M$2:$O$2)/10^9),0)</f>
        <v>0</v>
      </c>
      <c r="R1650" s="160">
        <f>IF($Q$1579&gt;0,PPMT('Assumptions (Geo)'!$V$7,Model!X$1,'Assumptions (Geo)'!$V$10,'Assumptions (Geo)'!$V$5*Model!$Q$1579*AVERAGE('Assumptions (Geo)'!$M$2:$O$2)/10^9),0)</f>
        <v>0</v>
      </c>
      <c r="S1650" s="160">
        <f>IF($Q$1579&gt;0,PPMT('Assumptions (Geo)'!$V$7,Model!Y$1,'Assumptions (Geo)'!$V$10,'Assumptions (Geo)'!$V$5*Model!$Q$1579*AVERAGE('Assumptions (Geo)'!$M$2:$O$2)/10^9),0)</f>
        <v>0</v>
      </c>
      <c r="T1650" s="160">
        <f>IF($Q$1579&gt;0,PPMT('Assumptions (Geo)'!$V$7,Model!Z$1,'Assumptions (Geo)'!$V$10,'Assumptions (Geo)'!$V$5*Model!$Q$1579*AVERAGE('Assumptions (Geo)'!$M$2:$O$2)/10^9),0)</f>
        <v>0</v>
      </c>
      <c r="U1650" s="160">
        <f>IF($Q$1579&gt;0,PPMT('Assumptions (Geo)'!$V$7,Model!AA$1,'Assumptions (Geo)'!$V$10,'Assumptions (Geo)'!$V$5*Model!$Q$1579*AVERAGE('Assumptions (Geo)'!$M$2:$O$2)/10^9),0)</f>
        <v>0</v>
      </c>
      <c r="V1650" s="160">
        <f>IF($Q$1579&gt;0,PPMT('Assumptions (Geo)'!$V$7,Model!AB$1,'Assumptions (Geo)'!$V$10,'Assumptions (Geo)'!$V$5*Model!$Q$1579*AVERAGE('Assumptions (Geo)'!$M$2:$O$2)/10^9),0)</f>
        <v>0</v>
      </c>
      <c r="W1650" s="160">
        <f>IF($Q$1579&gt;0,PPMT('Assumptions (Geo)'!$V$7,Model!AC$1,'Assumptions (Geo)'!$V$10,'Assumptions (Geo)'!$V$5*Model!$Q$1579*AVERAGE('Assumptions (Geo)'!$M$2:$O$2)/10^9),0)</f>
        <v>0</v>
      </c>
      <c r="X1650" s="160">
        <f>IF($Q$1579&gt;0,PPMT('Assumptions (Geo)'!$V$7,Model!AD$1,'Assumptions (Geo)'!$V$10,'Assumptions (Geo)'!$V$5*Model!$Q$1579*AVERAGE('Assumptions (Geo)'!$M$2:$O$2)/10^9),0)</f>
        <v>0</v>
      </c>
      <c r="Y1650" s="160">
        <f>IF($Q$1579&gt;0,PPMT('Assumptions (Geo)'!$V$7,Model!AE$1,'Assumptions (Geo)'!$V$10,'Assumptions (Geo)'!$V$5*Model!$Q$1579*AVERAGE('Assumptions (Geo)'!$M$2:$O$2)/10^9),0)</f>
        <v>0</v>
      </c>
      <c r="Z1650" s="160">
        <f>IF($Q$1579&gt;0,PPMT('Assumptions (Geo)'!$V$7,Model!AF$1,'Assumptions (Geo)'!$V$10,'Assumptions (Geo)'!$V$5*Model!$Q$1579*AVERAGE('Assumptions (Geo)'!$M$2:$O$2)/10^9),0)</f>
        <v>0</v>
      </c>
      <c r="AA1650" s="160">
        <f>IF($Q$1579&gt;0,PPMT('Assumptions (Geo)'!$V$7,Model!AG$1,'Assumptions (Geo)'!$V$10,'Assumptions (Geo)'!$V$5*Model!$Q$1579*AVERAGE('Assumptions (Geo)'!$M$2:$O$2)/10^9),0)</f>
        <v>0</v>
      </c>
      <c r="AB1650" s="160">
        <f>IF($Q$1579&gt;0,PPMT('Assumptions (Geo)'!$V$7,Model!AH$1,'Assumptions (Geo)'!$V$10,'Assumptions (Geo)'!$V$5*Model!$Q$1579*AVERAGE('Assumptions (Geo)'!$M$2:$O$2)/10^9),0)</f>
        <v>0</v>
      </c>
      <c r="AC1650" s="160">
        <f>IF($Q$1579&gt;0,PPMT('Assumptions (Geo)'!$V$7,Model!AI$1,'Assumptions (Geo)'!$V$10,'Assumptions (Geo)'!$V$5*Model!$Q$1579*AVERAGE('Assumptions (Geo)'!$M$2:$O$2)/10^9),0)</f>
        <v>0</v>
      </c>
      <c r="AD1650" s="160">
        <f>IF($Q$1579&gt;0,PPMT('Assumptions (Geo)'!$V$7,Model!AJ$1,'Assumptions (Geo)'!$V$10,'Assumptions (Geo)'!$V$5*Model!$Q$1579*AVERAGE('Assumptions (Geo)'!$M$2:$O$2)/10^9),0)</f>
        <v>0</v>
      </c>
      <c r="AE1650" s="160">
        <f>IF($Q$1579&gt;0,PPMT('Assumptions (Geo)'!$V$7,Model!AK$1,'Assumptions (Geo)'!$V$10,'Assumptions (Geo)'!$V$5*Model!$Q$1579*AVERAGE('Assumptions (Geo)'!$M$2:$O$2)/10^9),0)</f>
        <v>0</v>
      </c>
      <c r="AF1650" s="160"/>
      <c r="AG1650" s="160"/>
      <c r="AH1650" s="160"/>
      <c r="AI1650" s="160"/>
      <c r="AJ1650" s="160"/>
      <c r="AK1650" s="160"/>
      <c r="AL1650" s="160"/>
      <c r="AM1650" s="160"/>
      <c r="AN1650" s="160"/>
      <c r="AO1650" s="160"/>
    </row>
    <row r="1651" ht="15.75" hidden="1" customHeight="1" outlineLevel="1">
      <c r="A1651" s="295"/>
      <c r="B1651" s="38"/>
      <c r="C1651" s="160"/>
      <c r="D1651" s="160"/>
      <c r="E1651" s="160"/>
      <c r="F1651" s="160"/>
      <c r="G1651" s="160"/>
      <c r="H1651" s="160"/>
      <c r="I1651" s="160"/>
      <c r="J1651" s="160"/>
      <c r="K1651" s="160"/>
      <c r="L1651" s="160"/>
      <c r="M1651" s="160"/>
      <c r="N1651" s="160"/>
      <c r="O1651" s="160"/>
      <c r="P1651" s="179"/>
      <c r="Q1651" s="160"/>
      <c r="R1651" s="177">
        <f>IF($R$1579&gt;0,PPMT('Assumptions (Geo)'!$V$7,Model!W$1,'Assumptions (Geo)'!$V$10,'Assumptions (Geo)'!$V$5*Model!$R$1579*AVERAGE('Assumptions (Geo)'!$N$2:$P$2)/10^9),0)</f>
        <v>0</v>
      </c>
      <c r="S1651" s="177">
        <f>IF($R$1579&gt;0,PPMT('Assumptions (Geo)'!$V$7,Model!X$1,'Assumptions (Geo)'!$V$10,'Assumptions (Geo)'!$V$5*Model!$R$1579*AVERAGE('Assumptions (Geo)'!$N$2:$P$2)/10^9),0)</f>
        <v>0</v>
      </c>
      <c r="T1651" s="177">
        <f>IF($R$1579&gt;0,PPMT('Assumptions (Geo)'!$V$7,Model!Y$1,'Assumptions (Geo)'!$V$10,'Assumptions (Geo)'!$V$5*Model!$R$1579*AVERAGE('Assumptions (Geo)'!$N$2:$P$2)/10^9),0)</f>
        <v>0</v>
      </c>
      <c r="U1651" s="177">
        <f>IF($R$1579&gt;0,PPMT('Assumptions (Geo)'!$V$7,Model!Z$1,'Assumptions (Geo)'!$V$10,'Assumptions (Geo)'!$V$5*Model!$R$1579*AVERAGE('Assumptions (Geo)'!$N$2:$P$2)/10^9),0)</f>
        <v>0</v>
      </c>
      <c r="V1651" s="177">
        <f>IF($R$1579&gt;0,PPMT('Assumptions (Geo)'!$V$7,Model!AA$1,'Assumptions (Geo)'!$V$10,'Assumptions (Geo)'!$V$5*Model!$R$1579*AVERAGE('Assumptions (Geo)'!$N$2:$P$2)/10^9),0)</f>
        <v>0</v>
      </c>
      <c r="W1651" s="177">
        <f>IF($R$1579&gt;0,PPMT('Assumptions (Geo)'!$V$7,Model!AB$1,'Assumptions (Geo)'!$V$10,'Assumptions (Geo)'!$V$5*Model!$R$1579*AVERAGE('Assumptions (Geo)'!$N$2:$P$2)/10^9),0)</f>
        <v>0</v>
      </c>
      <c r="X1651" s="177">
        <f>IF($R$1579&gt;0,PPMT('Assumptions (Geo)'!$V$7,Model!AC$1,'Assumptions (Geo)'!$V$10,'Assumptions (Geo)'!$V$5*Model!$R$1579*AVERAGE('Assumptions (Geo)'!$N$2:$P$2)/10^9),0)</f>
        <v>0</v>
      </c>
      <c r="Y1651" s="177">
        <f>IF($R$1579&gt;0,PPMT('Assumptions (Geo)'!$V$7,Model!AD$1,'Assumptions (Geo)'!$V$10,'Assumptions (Geo)'!$V$5*Model!$R$1579*AVERAGE('Assumptions (Geo)'!$N$2:$P$2)/10^9),0)</f>
        <v>0</v>
      </c>
      <c r="Z1651" s="177">
        <f>IF($R$1579&gt;0,PPMT('Assumptions (Geo)'!$V$7,Model!AE$1,'Assumptions (Geo)'!$V$10,'Assumptions (Geo)'!$V$5*Model!$R$1579*AVERAGE('Assumptions (Geo)'!$N$2:$P$2)/10^9),0)</f>
        <v>0</v>
      </c>
      <c r="AA1651" s="177">
        <f>IF($R$1579&gt;0,PPMT('Assumptions (Geo)'!$V$7,Model!AF$1,'Assumptions (Geo)'!$V$10,'Assumptions (Geo)'!$V$5*Model!$R$1579*AVERAGE('Assumptions (Geo)'!$N$2:$P$2)/10^9),0)</f>
        <v>0</v>
      </c>
      <c r="AB1651" s="177">
        <f>IF($R$1579&gt;0,PPMT('Assumptions (Geo)'!$V$7,Model!AG$1,'Assumptions (Geo)'!$V$10,'Assumptions (Geo)'!$V$5*Model!$R$1579*AVERAGE('Assumptions (Geo)'!$N$2:$P$2)/10^9),0)</f>
        <v>0</v>
      </c>
      <c r="AC1651" s="177">
        <f>IF($R$1579&gt;0,PPMT('Assumptions (Geo)'!$V$7,Model!AH$1,'Assumptions (Geo)'!$V$10,'Assumptions (Geo)'!$V$5*Model!$R$1579*AVERAGE('Assumptions (Geo)'!$N$2:$P$2)/10^9),0)</f>
        <v>0</v>
      </c>
      <c r="AD1651" s="177">
        <f>IF($R$1579&gt;0,PPMT('Assumptions (Geo)'!$V$7,Model!AI$1,'Assumptions (Geo)'!$V$10,'Assumptions (Geo)'!$V$5*Model!$R$1579*AVERAGE('Assumptions (Geo)'!$N$2:$P$2)/10^9),0)</f>
        <v>0</v>
      </c>
      <c r="AE1651" s="177">
        <f>IF($R$1579&gt;0,PPMT('Assumptions (Geo)'!$V$7,Model!AJ$1,'Assumptions (Geo)'!$V$10,'Assumptions (Geo)'!$V$5*Model!$R$1579*AVERAGE('Assumptions (Geo)'!$N$2:$P$2)/10^9),0)</f>
        <v>0</v>
      </c>
      <c r="AF1651" s="177">
        <f>IF($R$1579&gt;0,PPMT('Assumptions (Geo)'!$V$7,Model!AK$1,'Assumptions (Geo)'!$V$10,'Assumptions (Geo)'!$V$5*Model!$R$1579*AVERAGE('Assumptions (Geo)'!$N$2:$P$2)/10^9),0)</f>
        <v>0</v>
      </c>
      <c r="AG1651" s="177"/>
      <c r="AH1651" s="177"/>
      <c r="AI1651" s="177"/>
      <c r="AJ1651" s="177"/>
      <c r="AK1651" s="177"/>
      <c r="AL1651" s="177"/>
      <c r="AM1651" s="177"/>
      <c r="AN1651" s="177"/>
      <c r="AO1651" s="177"/>
      <c r="AP1651" s="177"/>
    </row>
    <row r="1652" ht="15.75" hidden="1" customHeight="1" outlineLevel="1">
      <c r="A1652" s="295"/>
      <c r="B1652" s="38"/>
      <c r="C1652" s="160"/>
      <c r="D1652" s="160"/>
      <c r="E1652" s="160"/>
      <c r="F1652" s="160"/>
      <c r="G1652" s="160"/>
      <c r="H1652" s="160"/>
      <c r="I1652" s="160"/>
      <c r="J1652" s="160"/>
      <c r="K1652" s="160"/>
      <c r="L1652" s="160"/>
      <c r="M1652" s="160"/>
      <c r="N1652" s="160"/>
      <c r="O1652" s="160"/>
      <c r="P1652" s="179"/>
      <c r="Q1652" s="160"/>
      <c r="R1652" s="177"/>
      <c r="S1652" s="160">
        <f>IF($S$1579&gt;0,PPMT('Assumptions (Geo)'!$V$7,Model!W$1,'Assumptions (Geo)'!$V$10,'Assumptions (Geo)'!$V$5*Model!$S$1579*AVERAGE('Assumptions (Geo)'!$O$2:$Q$2)/10^9),0)</f>
        <v>0</v>
      </c>
      <c r="T1652" s="160">
        <f>IF($S$1579&gt;0,PPMT('Assumptions (Geo)'!$V$7,Model!X$1,'Assumptions (Geo)'!$V$10,'Assumptions (Geo)'!$V$5*Model!$S$1579*AVERAGE('Assumptions (Geo)'!$O$2:$Q$2)/10^9),0)</f>
        <v>0</v>
      </c>
      <c r="U1652" s="160">
        <f>IF($S$1579&gt;0,PPMT('Assumptions (Geo)'!$V$7,Model!Y$1,'Assumptions (Geo)'!$V$10,'Assumptions (Geo)'!$V$5*Model!$S$1579*AVERAGE('Assumptions (Geo)'!$O$2:$Q$2)/10^9),0)</f>
        <v>0</v>
      </c>
      <c r="V1652" s="160">
        <f>IF($S$1579&gt;0,PPMT('Assumptions (Geo)'!$V$7,Model!Z$1,'Assumptions (Geo)'!$V$10,'Assumptions (Geo)'!$V$5*Model!$S$1579*AVERAGE('Assumptions (Geo)'!$O$2:$Q$2)/10^9),0)</f>
        <v>0</v>
      </c>
      <c r="W1652" s="160">
        <f>IF($S$1579&gt;0,PPMT('Assumptions (Geo)'!$V$7,Model!AA$1,'Assumptions (Geo)'!$V$10,'Assumptions (Geo)'!$V$5*Model!$S$1579*AVERAGE('Assumptions (Geo)'!$O$2:$Q$2)/10^9),0)</f>
        <v>0</v>
      </c>
      <c r="X1652" s="160">
        <f>IF($S$1579&gt;0,PPMT('Assumptions (Geo)'!$V$7,Model!AB$1,'Assumptions (Geo)'!$V$10,'Assumptions (Geo)'!$V$5*Model!$S$1579*AVERAGE('Assumptions (Geo)'!$O$2:$Q$2)/10^9),0)</f>
        <v>0</v>
      </c>
      <c r="Y1652" s="160">
        <f>IF($S$1579&gt;0,PPMT('Assumptions (Geo)'!$V$7,Model!AC$1,'Assumptions (Geo)'!$V$10,'Assumptions (Geo)'!$V$5*Model!$S$1579*AVERAGE('Assumptions (Geo)'!$O$2:$Q$2)/10^9),0)</f>
        <v>0</v>
      </c>
      <c r="Z1652" s="160">
        <f>IF($S$1579&gt;0,PPMT('Assumptions (Geo)'!$V$7,Model!AD$1,'Assumptions (Geo)'!$V$10,'Assumptions (Geo)'!$V$5*Model!$S$1579*AVERAGE('Assumptions (Geo)'!$O$2:$Q$2)/10^9),0)</f>
        <v>0</v>
      </c>
      <c r="AA1652" s="160">
        <f>IF($S$1579&gt;0,PPMT('Assumptions (Geo)'!$V$7,Model!AE$1,'Assumptions (Geo)'!$V$10,'Assumptions (Geo)'!$V$5*Model!$S$1579*AVERAGE('Assumptions (Geo)'!$O$2:$Q$2)/10^9),0)</f>
        <v>0</v>
      </c>
      <c r="AB1652" s="160">
        <f>IF($S$1579&gt;0,PPMT('Assumptions (Geo)'!$V$7,Model!AF$1,'Assumptions (Geo)'!$V$10,'Assumptions (Geo)'!$V$5*Model!$S$1579*AVERAGE('Assumptions (Geo)'!$O$2:$Q$2)/10^9),0)</f>
        <v>0</v>
      </c>
      <c r="AC1652" s="160">
        <f>IF($S$1579&gt;0,PPMT('Assumptions (Geo)'!$V$7,Model!AG$1,'Assumptions (Geo)'!$V$10,'Assumptions (Geo)'!$V$5*Model!$S$1579*AVERAGE('Assumptions (Geo)'!$O$2:$Q$2)/10^9),0)</f>
        <v>0</v>
      </c>
      <c r="AD1652" s="160">
        <f>IF($S$1579&gt;0,PPMT('Assumptions (Geo)'!$V$7,Model!AH$1,'Assumptions (Geo)'!$V$10,'Assumptions (Geo)'!$V$5*Model!$S$1579*AVERAGE('Assumptions (Geo)'!$O$2:$Q$2)/10^9),0)</f>
        <v>0</v>
      </c>
      <c r="AE1652" s="160">
        <f>IF($S$1579&gt;0,PPMT('Assumptions (Geo)'!$V$7,Model!AI$1,'Assumptions (Geo)'!$V$10,'Assumptions (Geo)'!$V$5*Model!$S$1579*AVERAGE('Assumptions (Geo)'!$O$2:$Q$2)/10^9),0)</f>
        <v>0</v>
      </c>
      <c r="AF1652" s="160">
        <f>IF($S$1579&gt;0,PPMT('Assumptions (Geo)'!$V$7,Model!AJ$1,'Assumptions (Geo)'!$V$10,'Assumptions (Geo)'!$V$5*Model!$S$1579*AVERAGE('Assumptions (Geo)'!$O$2:$Q$2)/10^9),0)</f>
        <v>0</v>
      </c>
      <c r="AG1652" s="160">
        <f>IF($S$1579&gt;0,PPMT('Assumptions (Geo)'!$V$7,Model!AK$1,'Assumptions (Geo)'!$V$10,'Assumptions (Geo)'!$V$5*Model!$S$1579*AVERAGE('Assumptions (Geo)'!$O$2:$Q$2)/10^9),0)</f>
        <v>0</v>
      </c>
      <c r="AH1652" s="160"/>
      <c r="AI1652" s="160"/>
      <c r="AJ1652" s="160"/>
      <c r="AK1652" s="160"/>
      <c r="AL1652" s="160"/>
      <c r="AM1652" s="160"/>
      <c r="AN1652" s="160"/>
      <c r="AO1652" s="160"/>
      <c r="AP1652" s="160"/>
      <c r="AQ1652" s="160"/>
    </row>
    <row r="1653" ht="15.75" hidden="1" customHeight="1" outlineLevel="1">
      <c r="A1653" s="295"/>
      <c r="B1653" s="38"/>
      <c r="C1653" s="160"/>
      <c r="D1653" s="160"/>
      <c r="E1653" s="160"/>
      <c r="F1653" s="160"/>
      <c r="G1653" s="160"/>
      <c r="H1653" s="160"/>
      <c r="I1653" s="160"/>
      <c r="J1653" s="160"/>
      <c r="K1653" s="160"/>
      <c r="L1653" s="160"/>
      <c r="M1653" s="160"/>
      <c r="N1653" s="160"/>
      <c r="O1653" s="160"/>
      <c r="P1653" s="179"/>
      <c r="Q1653" s="160"/>
      <c r="R1653" s="177"/>
      <c r="S1653" s="177"/>
      <c r="T1653" s="160">
        <f>IF($T$1579&gt;0,PPMT('Assumptions (Geo)'!$V$7,Model!W$1,'Assumptions (Geo)'!$V$10,'Assumptions (Geo)'!$V$5*Model!$T$1579*AVERAGE('Assumptions (Geo)'!$P$2:$R$2)/10^9),0)</f>
        <v>0</v>
      </c>
      <c r="U1653" s="160">
        <f>IF($T$1579&gt;0,PPMT('Assumptions (Geo)'!$V$7,Model!X$1,'Assumptions (Geo)'!$V$10,'Assumptions (Geo)'!$V$5*Model!$T$1579*AVERAGE('Assumptions (Geo)'!$P$2:$R$2)/10^9),0)</f>
        <v>0</v>
      </c>
      <c r="V1653" s="160">
        <f>IF($T$1579&gt;0,PPMT('Assumptions (Geo)'!$V$7,Model!Y$1,'Assumptions (Geo)'!$V$10,'Assumptions (Geo)'!$V$5*Model!$T$1579*AVERAGE('Assumptions (Geo)'!$P$2:$R$2)/10^9),0)</f>
        <v>0</v>
      </c>
      <c r="W1653" s="160">
        <f>IF($T$1579&gt;0,PPMT('Assumptions (Geo)'!$V$7,Model!Z$1,'Assumptions (Geo)'!$V$10,'Assumptions (Geo)'!$V$5*Model!$T$1579*AVERAGE('Assumptions (Geo)'!$P$2:$R$2)/10^9),0)</f>
        <v>0</v>
      </c>
      <c r="X1653" s="160">
        <f>IF($T$1579&gt;0,PPMT('Assumptions (Geo)'!$V$7,Model!AA$1,'Assumptions (Geo)'!$V$10,'Assumptions (Geo)'!$V$5*Model!$T$1579*AVERAGE('Assumptions (Geo)'!$P$2:$R$2)/10^9),0)</f>
        <v>0</v>
      </c>
      <c r="Y1653" s="160">
        <f>IF($T$1579&gt;0,PPMT('Assumptions (Geo)'!$V$7,Model!AB$1,'Assumptions (Geo)'!$V$10,'Assumptions (Geo)'!$V$5*Model!$T$1579*AVERAGE('Assumptions (Geo)'!$P$2:$R$2)/10^9),0)</f>
        <v>0</v>
      </c>
      <c r="Z1653" s="160">
        <f>IF($T$1579&gt;0,PPMT('Assumptions (Geo)'!$V$7,Model!AC$1,'Assumptions (Geo)'!$V$10,'Assumptions (Geo)'!$V$5*Model!$T$1579*AVERAGE('Assumptions (Geo)'!$P$2:$R$2)/10^9),0)</f>
        <v>0</v>
      </c>
      <c r="AA1653" s="160">
        <f>IF($T$1579&gt;0,PPMT('Assumptions (Geo)'!$V$7,Model!AD$1,'Assumptions (Geo)'!$V$10,'Assumptions (Geo)'!$V$5*Model!$T$1579*AVERAGE('Assumptions (Geo)'!$P$2:$R$2)/10^9),0)</f>
        <v>0</v>
      </c>
      <c r="AB1653" s="160">
        <f>IF($T$1579&gt;0,PPMT('Assumptions (Geo)'!$V$7,Model!AE$1,'Assumptions (Geo)'!$V$10,'Assumptions (Geo)'!$V$5*Model!$T$1579*AVERAGE('Assumptions (Geo)'!$P$2:$R$2)/10^9),0)</f>
        <v>0</v>
      </c>
      <c r="AC1653" s="160">
        <f>IF($T$1579&gt;0,PPMT('Assumptions (Geo)'!$V$7,Model!AF$1,'Assumptions (Geo)'!$V$10,'Assumptions (Geo)'!$V$5*Model!$T$1579*AVERAGE('Assumptions (Geo)'!$P$2:$R$2)/10^9),0)</f>
        <v>0</v>
      </c>
      <c r="AD1653" s="160">
        <f>IF($T$1579&gt;0,PPMT('Assumptions (Geo)'!$V$7,Model!AG$1,'Assumptions (Geo)'!$V$10,'Assumptions (Geo)'!$V$5*Model!$T$1579*AVERAGE('Assumptions (Geo)'!$P$2:$R$2)/10^9),0)</f>
        <v>0</v>
      </c>
      <c r="AE1653" s="160">
        <f>IF($T$1579&gt;0,PPMT('Assumptions (Geo)'!$V$7,Model!AH$1,'Assumptions (Geo)'!$V$10,'Assumptions (Geo)'!$V$5*Model!$T$1579*AVERAGE('Assumptions (Geo)'!$P$2:$R$2)/10^9),0)</f>
        <v>0</v>
      </c>
      <c r="AF1653" s="160">
        <f>IF($T$1579&gt;0,PPMT('Assumptions (Geo)'!$V$7,Model!AI$1,'Assumptions (Geo)'!$V$10,'Assumptions (Geo)'!$V$5*Model!$T$1579*AVERAGE('Assumptions (Geo)'!$P$2:$R$2)/10^9),0)</f>
        <v>0</v>
      </c>
      <c r="AG1653" s="160">
        <f>IF($T$1579&gt;0,PPMT('Assumptions (Geo)'!$V$7,Model!AJ$1,'Assumptions (Geo)'!$V$10,'Assumptions (Geo)'!$V$5*Model!$T$1579*AVERAGE('Assumptions (Geo)'!$P$2:$R$2)/10^9),0)</f>
        <v>0</v>
      </c>
      <c r="AH1653" s="160">
        <f>IF($T$1579&gt;0,PPMT('Assumptions (Geo)'!$V$7,Model!AK$1,'Assumptions (Geo)'!$V$10,'Assumptions (Geo)'!$V$5*Model!$T$1579*AVERAGE('Assumptions (Geo)'!$P$2:$R$2)/10^9),0)</f>
        <v>0</v>
      </c>
      <c r="AI1653" s="160"/>
      <c r="AJ1653" s="160"/>
      <c r="AK1653" s="160"/>
      <c r="AL1653" s="160"/>
      <c r="AM1653" s="160"/>
      <c r="AN1653" s="160"/>
      <c r="AO1653" s="160"/>
      <c r="AP1653" s="160"/>
      <c r="AQ1653" s="160"/>
      <c r="AR1653" s="160"/>
    </row>
    <row r="1654" ht="15.75" hidden="1" customHeight="1" outlineLevel="1">
      <c r="A1654" s="295"/>
      <c r="B1654" s="38"/>
      <c r="C1654" s="160"/>
      <c r="D1654" s="160"/>
      <c r="E1654" s="160"/>
      <c r="F1654" s="160"/>
      <c r="G1654" s="160"/>
      <c r="H1654" s="160"/>
      <c r="I1654" s="160"/>
      <c r="J1654" s="160"/>
      <c r="K1654" s="160"/>
      <c r="L1654" s="160"/>
      <c r="M1654" s="160"/>
      <c r="N1654" s="160"/>
      <c r="O1654" s="160"/>
      <c r="P1654" s="179"/>
      <c r="Q1654" s="160"/>
      <c r="R1654" s="177"/>
      <c r="S1654" s="177"/>
      <c r="T1654" s="177"/>
      <c r="U1654" s="160">
        <f>IF($U$1579&gt;0,PPMT('Assumptions (Geo)'!$V$7,Model!W$1,'Assumptions (Geo)'!$V$10,'Assumptions (Geo)'!$V$5*Model!$U$1579*AVERAGE('Assumptions (Geo)'!$Q$2:$S$2)/10^9),0)</f>
        <v>0</v>
      </c>
      <c r="V1654" s="160">
        <f>IF($U$1579&gt;0,PPMT('Assumptions (Geo)'!$V$7,Model!X$1,'Assumptions (Geo)'!$V$10,'Assumptions (Geo)'!$V$5*Model!$U$1579*AVERAGE('Assumptions (Geo)'!$Q$2:$S$2)/10^9),0)</f>
        <v>0</v>
      </c>
      <c r="W1654" s="160">
        <f>IF($U$1579&gt;0,PPMT('Assumptions (Geo)'!$V$7,Model!Y$1,'Assumptions (Geo)'!$V$10,'Assumptions (Geo)'!$V$5*Model!$U$1579*AVERAGE('Assumptions (Geo)'!$Q$2:$S$2)/10^9),0)</f>
        <v>0</v>
      </c>
      <c r="X1654" s="160">
        <f>IF($U$1579&gt;0,PPMT('Assumptions (Geo)'!$V$7,Model!Z$1,'Assumptions (Geo)'!$V$10,'Assumptions (Geo)'!$V$5*Model!$U$1579*AVERAGE('Assumptions (Geo)'!$Q$2:$S$2)/10^9),0)</f>
        <v>0</v>
      </c>
      <c r="Y1654" s="160">
        <f>IF($U$1579&gt;0,PPMT('Assumptions (Geo)'!$V$7,Model!AA$1,'Assumptions (Geo)'!$V$10,'Assumptions (Geo)'!$V$5*Model!$U$1579*AVERAGE('Assumptions (Geo)'!$Q$2:$S$2)/10^9),0)</f>
        <v>0</v>
      </c>
      <c r="Z1654" s="160">
        <f>IF($U$1579&gt;0,PPMT('Assumptions (Geo)'!$V$7,Model!AB$1,'Assumptions (Geo)'!$V$10,'Assumptions (Geo)'!$V$5*Model!$U$1579*AVERAGE('Assumptions (Geo)'!$Q$2:$S$2)/10^9),0)</f>
        <v>0</v>
      </c>
      <c r="AA1654" s="160">
        <f>IF($U$1579&gt;0,PPMT('Assumptions (Geo)'!$V$7,Model!AC$1,'Assumptions (Geo)'!$V$10,'Assumptions (Geo)'!$V$5*Model!$U$1579*AVERAGE('Assumptions (Geo)'!$Q$2:$S$2)/10^9),0)</f>
        <v>0</v>
      </c>
      <c r="AB1654" s="160">
        <f>IF($U$1579&gt;0,PPMT('Assumptions (Geo)'!$V$7,Model!AD$1,'Assumptions (Geo)'!$V$10,'Assumptions (Geo)'!$V$5*Model!$U$1579*AVERAGE('Assumptions (Geo)'!$Q$2:$S$2)/10^9),0)</f>
        <v>0</v>
      </c>
      <c r="AC1654" s="160">
        <f>IF($U$1579&gt;0,PPMT('Assumptions (Geo)'!$V$7,Model!AE$1,'Assumptions (Geo)'!$V$10,'Assumptions (Geo)'!$V$5*Model!$U$1579*AVERAGE('Assumptions (Geo)'!$Q$2:$S$2)/10^9),0)</f>
        <v>0</v>
      </c>
      <c r="AD1654" s="160">
        <f>IF($U$1579&gt;0,PPMT('Assumptions (Geo)'!$V$7,Model!AF$1,'Assumptions (Geo)'!$V$10,'Assumptions (Geo)'!$V$5*Model!$U$1579*AVERAGE('Assumptions (Geo)'!$Q$2:$S$2)/10^9),0)</f>
        <v>0</v>
      </c>
      <c r="AE1654" s="160">
        <f>IF($U$1579&gt;0,PPMT('Assumptions (Geo)'!$V$7,Model!AG$1,'Assumptions (Geo)'!$V$10,'Assumptions (Geo)'!$V$5*Model!$U$1579*AVERAGE('Assumptions (Geo)'!$Q$2:$S$2)/10^9),0)</f>
        <v>0</v>
      </c>
      <c r="AF1654" s="160">
        <f>IF($U$1579&gt;0,PPMT('Assumptions (Geo)'!$V$7,Model!AH$1,'Assumptions (Geo)'!$V$10,'Assumptions (Geo)'!$V$5*Model!$U$1579*AVERAGE('Assumptions (Geo)'!$Q$2:$S$2)/10^9),0)</f>
        <v>0</v>
      </c>
      <c r="AG1654" s="160">
        <f>IF($U$1579&gt;0,PPMT('Assumptions (Geo)'!$V$7,Model!AI$1,'Assumptions (Geo)'!$V$10,'Assumptions (Geo)'!$V$5*Model!$U$1579*AVERAGE('Assumptions (Geo)'!$Q$2:$S$2)/10^9),0)</f>
        <v>0</v>
      </c>
      <c r="AH1654" s="160">
        <f>IF($U$1579&gt;0,PPMT('Assumptions (Geo)'!$V$7,Model!AJ$1,'Assumptions (Geo)'!$V$10,'Assumptions (Geo)'!$V$5*Model!$U$1579*AVERAGE('Assumptions (Geo)'!$Q$2:$S$2)/10^9),0)</f>
        <v>0</v>
      </c>
      <c r="AI1654" s="160">
        <f>IF($U$1579&gt;0,PPMT('Assumptions (Geo)'!$V$7,Model!AK$1,'Assumptions (Geo)'!$V$10,'Assumptions (Geo)'!$V$5*Model!$U$1579*AVERAGE('Assumptions (Geo)'!$Q$2:$S$2)/10^9),0)</f>
        <v>0</v>
      </c>
      <c r="AJ1654" s="160"/>
      <c r="AK1654" s="160"/>
      <c r="AL1654" s="160"/>
      <c r="AM1654" s="160"/>
      <c r="AN1654" s="160"/>
      <c r="AO1654" s="160"/>
      <c r="AP1654" s="160"/>
      <c r="AQ1654" s="160"/>
      <c r="AR1654" s="160"/>
      <c r="AS1654" s="160"/>
    </row>
    <row r="1655" ht="15.75" hidden="1" customHeight="1" outlineLevel="1">
      <c r="A1655" s="295"/>
      <c r="B1655" s="38"/>
      <c r="C1655" s="160"/>
      <c r="D1655" s="160"/>
      <c r="E1655" s="160"/>
      <c r="F1655" s="160"/>
      <c r="G1655" s="160"/>
      <c r="H1655" s="160"/>
      <c r="I1655" s="160"/>
      <c r="J1655" s="160"/>
      <c r="K1655" s="160"/>
      <c r="L1655" s="160"/>
      <c r="M1655" s="160"/>
      <c r="N1655" s="160"/>
      <c r="O1655" s="160"/>
      <c r="P1655" s="179"/>
      <c r="Q1655" s="160"/>
      <c r="R1655" s="177"/>
      <c r="S1655" s="177"/>
      <c r="T1655" s="177"/>
      <c r="U1655" s="160"/>
      <c r="V1655" s="160">
        <f>IF($V$1579&gt;0,PPMT('Assumptions (Geo)'!$V$7,Model!W$1,'Assumptions (Geo)'!$V$10,'Assumptions (Geo)'!$V$5*Model!$V$1579*AVERAGE('Assumptions (Geo)'!$R$2:$T$2)/10^9),0)</f>
        <v>0</v>
      </c>
      <c r="W1655" s="160">
        <f>IF($V$1579&gt;0,PPMT('Assumptions (Geo)'!$V$7,Model!X$1,'Assumptions (Geo)'!$V$10,'Assumptions (Geo)'!$V$5*Model!$V$1579*AVERAGE('Assumptions (Geo)'!$R$2:$T$2)/10^9),0)</f>
        <v>0</v>
      </c>
      <c r="X1655" s="160">
        <f>IF($V$1579&gt;0,PPMT('Assumptions (Geo)'!$V$7,Model!Y$1,'Assumptions (Geo)'!$V$10,'Assumptions (Geo)'!$V$5*Model!$V$1579*AVERAGE('Assumptions (Geo)'!$R$2:$T$2)/10^9),0)</f>
        <v>0</v>
      </c>
      <c r="Y1655" s="160">
        <f>IF($V$1579&gt;0,PPMT('Assumptions (Geo)'!$V$7,Model!Z$1,'Assumptions (Geo)'!$V$10,'Assumptions (Geo)'!$V$5*Model!$V$1579*AVERAGE('Assumptions (Geo)'!$R$2:$T$2)/10^9),0)</f>
        <v>0</v>
      </c>
      <c r="Z1655" s="160">
        <f>IF($V$1579&gt;0,PPMT('Assumptions (Geo)'!$V$7,Model!AA$1,'Assumptions (Geo)'!$V$10,'Assumptions (Geo)'!$V$5*Model!$V$1579*AVERAGE('Assumptions (Geo)'!$R$2:$T$2)/10^9),0)</f>
        <v>0</v>
      </c>
      <c r="AA1655" s="160">
        <f>IF($V$1579&gt;0,PPMT('Assumptions (Geo)'!$V$7,Model!AB$1,'Assumptions (Geo)'!$V$10,'Assumptions (Geo)'!$V$5*Model!$V$1579*AVERAGE('Assumptions (Geo)'!$R$2:$T$2)/10^9),0)</f>
        <v>0</v>
      </c>
      <c r="AB1655" s="160">
        <f>IF($V$1579&gt;0,PPMT('Assumptions (Geo)'!$V$7,Model!AC$1,'Assumptions (Geo)'!$V$10,'Assumptions (Geo)'!$V$5*Model!$V$1579*AVERAGE('Assumptions (Geo)'!$R$2:$T$2)/10^9),0)</f>
        <v>0</v>
      </c>
      <c r="AC1655" s="160">
        <f>IF($V$1579&gt;0,PPMT('Assumptions (Geo)'!$V$7,Model!AD$1,'Assumptions (Geo)'!$V$10,'Assumptions (Geo)'!$V$5*Model!$V$1579*AVERAGE('Assumptions (Geo)'!$R$2:$T$2)/10^9),0)</f>
        <v>0</v>
      </c>
      <c r="AD1655" s="160">
        <f>IF($V$1579&gt;0,PPMT('Assumptions (Geo)'!$V$7,Model!AE$1,'Assumptions (Geo)'!$V$10,'Assumptions (Geo)'!$V$5*Model!$V$1579*AVERAGE('Assumptions (Geo)'!$R$2:$T$2)/10^9),0)</f>
        <v>0</v>
      </c>
      <c r="AE1655" s="160">
        <f>IF($V$1579&gt;0,PPMT('Assumptions (Geo)'!$V$7,Model!AF$1,'Assumptions (Geo)'!$V$10,'Assumptions (Geo)'!$V$5*Model!$V$1579*AVERAGE('Assumptions (Geo)'!$R$2:$T$2)/10^9),0)</f>
        <v>0</v>
      </c>
      <c r="AF1655" s="160">
        <f>IF($V$1579&gt;0,PPMT('Assumptions (Geo)'!$V$7,Model!AG$1,'Assumptions (Geo)'!$V$10,'Assumptions (Geo)'!$V$5*Model!$V$1579*AVERAGE('Assumptions (Geo)'!$R$2:$T$2)/10^9),0)</f>
        <v>0</v>
      </c>
      <c r="AG1655" s="160">
        <f>IF($V$1579&gt;0,PPMT('Assumptions (Geo)'!$V$7,Model!AH$1,'Assumptions (Geo)'!$V$10,'Assumptions (Geo)'!$V$5*Model!$V$1579*AVERAGE('Assumptions (Geo)'!$R$2:$T$2)/10^9),0)</f>
        <v>0</v>
      </c>
      <c r="AH1655" s="160">
        <f>IF($V$1579&gt;0,PPMT('Assumptions (Geo)'!$V$7,Model!AI$1,'Assumptions (Geo)'!$V$10,'Assumptions (Geo)'!$V$5*Model!$V$1579*AVERAGE('Assumptions (Geo)'!$R$2:$T$2)/10^9),0)</f>
        <v>0</v>
      </c>
      <c r="AI1655" s="160">
        <f>IF($V$1579&gt;0,PPMT('Assumptions (Geo)'!$V$7,Model!AJ$1,'Assumptions (Geo)'!$V$10,'Assumptions (Geo)'!$V$5*Model!$V$1579*AVERAGE('Assumptions (Geo)'!$R$2:$T$2)/10^9),0)</f>
        <v>0</v>
      </c>
      <c r="AJ1655" s="160">
        <f>IF($V$1579&gt;0,PPMT('Assumptions (Geo)'!$V$7,Model!AK$1,'Assumptions (Geo)'!$V$10,'Assumptions (Geo)'!$V$5*Model!$V$1579*AVERAGE('Assumptions (Geo)'!$R$2:$T$2)/10^9),0)</f>
        <v>0</v>
      </c>
      <c r="AK1655" s="160"/>
      <c r="AL1655" s="160"/>
      <c r="AM1655" s="160"/>
      <c r="AN1655" s="160"/>
      <c r="AO1655" s="160"/>
      <c r="AP1655" s="160"/>
      <c r="AQ1655" s="160"/>
      <c r="AR1655" s="160"/>
      <c r="AS1655" s="160"/>
      <c r="AT1655" s="160"/>
    </row>
    <row r="1656" ht="15.75" hidden="1" customHeight="1" outlineLevel="1">
      <c r="A1656" s="295"/>
      <c r="B1656" s="38"/>
      <c r="C1656" s="174"/>
      <c r="D1656" s="174"/>
      <c r="E1656" s="174"/>
      <c r="F1656" s="174"/>
      <c r="G1656" s="174"/>
      <c r="H1656" s="174"/>
      <c r="I1656" s="174"/>
      <c r="J1656" s="174"/>
      <c r="K1656" s="174"/>
      <c r="L1656" s="174"/>
      <c r="M1656" s="174"/>
      <c r="N1656" s="174"/>
      <c r="O1656" s="174"/>
      <c r="P1656" s="174"/>
      <c r="Q1656" s="174"/>
      <c r="R1656" s="174"/>
      <c r="S1656" s="174"/>
      <c r="T1656" s="174"/>
      <c r="U1656" s="174"/>
      <c r="V1656" s="174"/>
      <c r="W1656" s="160">
        <f>IF($W$1579&gt;0,PPMT('Assumptions (Geo)'!$V$7,Model!W$1,'Assumptions (Geo)'!$V$10,'Assumptions (Geo)'!$V$5*Model!$W$1579*average('Assumptions (Geo)'!$S$2:$U$2)/10^9),0)</f>
        <v>0</v>
      </c>
      <c r="X1656" s="160">
        <f>IF($W$1579&gt;0,PPMT('Assumptions (Geo)'!$V$7,Model!X$1,'Assumptions (Geo)'!$V$10,'Assumptions (Geo)'!$V$5*Model!$W$1579*average('Assumptions (Geo)'!$S$2:$U$2)/10^9),0)</f>
        <v>0</v>
      </c>
      <c r="Y1656" s="160">
        <f>IF($W$1579&gt;0,PPMT('Assumptions (Geo)'!$V$7,Model!Y$1,'Assumptions (Geo)'!$V$10,'Assumptions (Geo)'!$V$5*Model!$W$1579*average('Assumptions (Geo)'!$S$2:$U$2)/10^9),0)</f>
        <v>0</v>
      </c>
      <c r="Z1656" s="160">
        <f>IF($W$1579&gt;0,PPMT('Assumptions (Geo)'!$V$7,Model!Z$1,'Assumptions (Geo)'!$V$10,'Assumptions (Geo)'!$V$5*Model!$W$1579*average('Assumptions (Geo)'!$S$2:$U$2)/10^9),0)</f>
        <v>0</v>
      </c>
      <c r="AA1656" s="160">
        <f>IF($W$1579&gt;0,PPMT('Assumptions (Geo)'!$V$7,Model!AA$1,'Assumptions (Geo)'!$V$10,'Assumptions (Geo)'!$V$5*Model!$W$1579*average('Assumptions (Geo)'!$S$2:$U$2)/10^9),0)</f>
        <v>0</v>
      </c>
      <c r="AB1656" s="160">
        <f>IF($W$1579&gt;0,PPMT('Assumptions (Geo)'!$V$7,Model!AB$1,'Assumptions (Geo)'!$V$10,'Assumptions (Geo)'!$V$5*Model!$W$1579*average('Assumptions (Geo)'!$S$2:$U$2)/10^9),0)</f>
        <v>0</v>
      </c>
      <c r="AC1656" s="160">
        <f>IF($W$1579&gt;0,PPMT('Assumptions (Geo)'!$V$7,Model!AC$1,'Assumptions (Geo)'!$V$10,'Assumptions (Geo)'!$V$5*Model!$W$1579*average('Assumptions (Geo)'!$S$2:$U$2)/10^9),0)</f>
        <v>0</v>
      </c>
      <c r="AD1656" s="160">
        <f>IF($W$1579&gt;0,PPMT('Assumptions (Geo)'!$V$7,Model!AD$1,'Assumptions (Geo)'!$V$10,'Assumptions (Geo)'!$V$5*Model!$W$1579*average('Assumptions (Geo)'!$S$2:$U$2)/10^9),0)</f>
        <v>0</v>
      </c>
      <c r="AE1656" s="160">
        <f>IF($W$1579&gt;0,PPMT('Assumptions (Geo)'!$V$7,Model!AE$1,'Assumptions (Geo)'!$V$10,'Assumptions (Geo)'!$V$5*Model!$W$1579*average('Assumptions (Geo)'!$S$2:$U$2)/10^9),0)</f>
        <v>0</v>
      </c>
      <c r="AF1656" s="160">
        <f>IF($W$1579&gt;0,PPMT('Assumptions (Geo)'!$V$7,Model!AF$1,'Assumptions (Geo)'!$V$10,'Assumptions (Geo)'!$V$5*Model!$W$1579*average('Assumptions (Geo)'!$S$2:$U$2)/10^9),0)</f>
        <v>0</v>
      </c>
      <c r="AG1656" s="160">
        <f>IF($W$1579&gt;0,PPMT('Assumptions (Geo)'!$V$7,Model!AG$1,'Assumptions (Geo)'!$V$10,'Assumptions (Geo)'!$V$5*Model!$W$1579*average('Assumptions (Geo)'!$S$2:$U$2)/10^9),0)</f>
        <v>0</v>
      </c>
      <c r="AH1656" s="160">
        <f>IF($W$1579&gt;0,PPMT('Assumptions (Geo)'!$V$7,Model!AH$1,'Assumptions (Geo)'!$V$10,'Assumptions (Geo)'!$V$5*Model!$W$1579*average('Assumptions (Geo)'!$S$2:$U$2)/10^9),0)</f>
        <v>0</v>
      </c>
      <c r="AI1656" s="160">
        <f>IF($W$1579&gt;0,PPMT('Assumptions (Geo)'!$V$7,Model!AI$1,'Assumptions (Geo)'!$V$10,'Assumptions (Geo)'!$V$5*Model!$W$1579*average('Assumptions (Geo)'!$S$2:$U$2)/10^9),0)</f>
        <v>0</v>
      </c>
      <c r="AJ1656" s="160">
        <f>IF($W$1579&gt;0,PPMT('Assumptions (Geo)'!$V$7,Model!AJ$1,'Assumptions (Geo)'!$V$10,'Assumptions (Geo)'!$V$5*Model!$W$1579*average('Assumptions (Geo)'!$S$2:$U$2)/10^9),0)</f>
        <v>0</v>
      </c>
      <c r="AK1656" s="160">
        <f>IF($W$1579&gt;0,PPMT('Assumptions (Geo)'!$V$7,Model!AK$1,'Assumptions (Geo)'!$V$10,'Assumptions (Geo)'!$V$5*Model!$W$1579*average('Assumptions (Geo)'!$S$2:$U$2)/10^9),0)</f>
        <v>0</v>
      </c>
      <c r="AL1656" s="160"/>
      <c r="AM1656" s="160"/>
      <c r="AN1656" s="160"/>
      <c r="AO1656" s="160"/>
      <c r="AP1656" s="160"/>
      <c r="AQ1656" s="160"/>
      <c r="AR1656" s="160"/>
      <c r="AS1656" s="160"/>
      <c r="AT1656" s="160"/>
      <c r="AU1656" s="160"/>
      <c r="AV1656" s="160"/>
      <c r="AW1656" s="160"/>
      <c r="AX1656" s="160"/>
      <c r="AY1656" s="160"/>
      <c r="AZ1656" s="160"/>
      <c r="BA1656" s="160"/>
    </row>
    <row r="1657" ht="15.75" hidden="1" customHeight="1" outlineLevel="1">
      <c r="A1657" s="295"/>
      <c r="B1657" s="38"/>
      <c r="C1657" s="174"/>
      <c r="D1657" s="174"/>
      <c r="E1657" s="174"/>
      <c r="F1657" s="174"/>
      <c r="G1657" s="174"/>
      <c r="H1657" s="174"/>
      <c r="I1657" s="174"/>
      <c r="J1657" s="174"/>
      <c r="K1657" s="174"/>
      <c r="L1657" s="174"/>
      <c r="M1657" s="174"/>
      <c r="N1657" s="174"/>
      <c r="O1657" s="174"/>
      <c r="P1657" s="174"/>
      <c r="Q1657" s="174"/>
      <c r="R1657" s="174"/>
      <c r="S1657" s="174"/>
      <c r="T1657" s="174"/>
      <c r="U1657" s="174"/>
      <c r="V1657" s="174"/>
      <c r="W1657" s="160"/>
      <c r="X1657" s="160">
        <f>IF($X$1579&gt;0,PPMT('Assumptions (Geo)'!$V$7,Model!W$1,'Assumptions (Geo)'!$V$10,'Assumptions (Geo)'!$V$5*Model!$X$1579*average('Assumptions (Geo)'!$T$2:$V$2)/10^9),0)</f>
        <v>0</v>
      </c>
      <c r="Y1657" s="160">
        <f>IF($X$1579&gt;0,PPMT('Assumptions (Geo)'!$V$7,Model!X$1,'Assumptions (Geo)'!$V$10,'Assumptions (Geo)'!$V$5*Model!$X$1579*average('Assumptions (Geo)'!$T$2:$V$2)/10^9),0)</f>
        <v>0</v>
      </c>
      <c r="Z1657" s="160">
        <f>IF($X$1579&gt;0,PPMT('Assumptions (Geo)'!$V$7,Model!Y$1,'Assumptions (Geo)'!$V$10,'Assumptions (Geo)'!$V$5*Model!$X$1579*average('Assumptions (Geo)'!$T$2:$V$2)/10^9),0)</f>
        <v>0</v>
      </c>
      <c r="AA1657" s="160">
        <f>IF($X$1579&gt;0,PPMT('Assumptions (Geo)'!$V$7,Model!Z$1,'Assumptions (Geo)'!$V$10,'Assumptions (Geo)'!$V$5*Model!$X$1579*average('Assumptions (Geo)'!$T$2:$V$2)/10^9),0)</f>
        <v>0</v>
      </c>
      <c r="AB1657" s="160">
        <f>IF($X$1579&gt;0,PPMT('Assumptions (Geo)'!$V$7,Model!AA$1,'Assumptions (Geo)'!$V$10,'Assumptions (Geo)'!$V$5*Model!$X$1579*average('Assumptions (Geo)'!$T$2:$V$2)/10^9),0)</f>
        <v>0</v>
      </c>
      <c r="AC1657" s="160">
        <f>IF($X$1579&gt;0,PPMT('Assumptions (Geo)'!$V$7,Model!AB$1,'Assumptions (Geo)'!$V$10,'Assumptions (Geo)'!$V$5*Model!$X$1579*average('Assumptions (Geo)'!$T$2:$V$2)/10^9),0)</f>
        <v>0</v>
      </c>
      <c r="AD1657" s="160">
        <f>IF($X$1579&gt;0,PPMT('Assumptions (Geo)'!$V$7,Model!AC$1,'Assumptions (Geo)'!$V$10,'Assumptions (Geo)'!$V$5*Model!$X$1579*average('Assumptions (Geo)'!$T$2:$V$2)/10^9),0)</f>
        <v>0</v>
      </c>
      <c r="AE1657" s="160">
        <f>IF($X$1579&gt;0,PPMT('Assumptions (Geo)'!$V$7,Model!AD$1,'Assumptions (Geo)'!$V$10,'Assumptions (Geo)'!$V$5*Model!$X$1579*average('Assumptions (Geo)'!$T$2:$V$2)/10^9),0)</f>
        <v>0</v>
      </c>
      <c r="AF1657" s="160">
        <f>IF($X$1579&gt;0,PPMT('Assumptions (Geo)'!$V$7,Model!AE$1,'Assumptions (Geo)'!$V$10,'Assumptions (Geo)'!$V$5*Model!$X$1579*average('Assumptions (Geo)'!$T$2:$V$2)/10^9),0)</f>
        <v>0</v>
      </c>
      <c r="AG1657" s="160">
        <f>IF($X$1579&gt;0,PPMT('Assumptions (Geo)'!$V$7,Model!AF$1,'Assumptions (Geo)'!$V$10,'Assumptions (Geo)'!$V$5*Model!$X$1579*average('Assumptions (Geo)'!$T$2:$V$2)/10^9),0)</f>
        <v>0</v>
      </c>
      <c r="AH1657" s="160">
        <f>IF($X$1579&gt;0,PPMT('Assumptions (Geo)'!$V$7,Model!AG$1,'Assumptions (Geo)'!$V$10,'Assumptions (Geo)'!$V$5*Model!$X$1579*average('Assumptions (Geo)'!$T$2:$V$2)/10^9),0)</f>
        <v>0</v>
      </c>
      <c r="AI1657" s="160">
        <f>IF($X$1579&gt;0,PPMT('Assumptions (Geo)'!$V$7,Model!AH$1,'Assumptions (Geo)'!$V$10,'Assumptions (Geo)'!$V$5*Model!$X$1579*average('Assumptions (Geo)'!$T$2:$V$2)/10^9),0)</f>
        <v>0</v>
      </c>
      <c r="AJ1657" s="160">
        <f>IF($X$1579&gt;0,PPMT('Assumptions (Geo)'!$V$7,Model!AI$1,'Assumptions (Geo)'!$V$10,'Assumptions (Geo)'!$V$5*Model!$X$1579*average('Assumptions (Geo)'!$T$2:$V$2)/10^9),0)</f>
        <v>0</v>
      </c>
      <c r="AK1657" s="160">
        <f>IF($X$1579&gt;0,PPMT('Assumptions (Geo)'!$V$7,Model!AJ$1,'Assumptions (Geo)'!$V$10,'Assumptions (Geo)'!$V$5*Model!$X$1579*average('Assumptions (Geo)'!$T$2:$V$2)/10^9),0)</f>
        <v>0</v>
      </c>
      <c r="AL1657" s="160">
        <f>IF($X$1579&gt;0,PPMT('Assumptions (Geo)'!$V$7,Model!AK$1,'Assumptions (Geo)'!$V$10,'Assumptions (Geo)'!$V$5*Model!$X$1579*average('Assumptions (Geo)'!$T$2:$V$2)/10^9),0)</f>
        <v>0</v>
      </c>
      <c r="AM1657" s="160"/>
      <c r="AN1657" s="160"/>
      <c r="AO1657" s="160"/>
      <c r="AP1657" s="160"/>
      <c r="AQ1657" s="160"/>
      <c r="AR1657" s="160"/>
      <c r="AS1657" s="160"/>
      <c r="AT1657" s="160"/>
      <c r="AU1657" s="160"/>
      <c r="AV1657" s="160"/>
      <c r="AW1657" s="160"/>
      <c r="AX1657" s="160"/>
      <c r="AY1657" s="160"/>
      <c r="AZ1657" s="160"/>
      <c r="BA1657" s="160"/>
    </row>
    <row r="1658" ht="15.75" hidden="1" customHeight="1" outlineLevel="1">
      <c r="A1658" s="295"/>
      <c r="B1658" s="38"/>
      <c r="C1658" s="174"/>
      <c r="D1658" s="174"/>
      <c r="E1658" s="174"/>
      <c r="F1658" s="174"/>
      <c r="G1658" s="174"/>
      <c r="H1658" s="174"/>
      <c r="I1658" s="174"/>
      <c r="J1658" s="174"/>
      <c r="K1658" s="174"/>
      <c r="L1658" s="174"/>
      <c r="M1658" s="174"/>
      <c r="N1658" s="174"/>
      <c r="O1658" s="174"/>
      <c r="P1658" s="174"/>
      <c r="Q1658" s="174"/>
      <c r="R1658" s="174"/>
      <c r="S1658" s="174"/>
      <c r="T1658" s="174"/>
      <c r="U1658" s="174"/>
      <c r="V1658" s="174"/>
      <c r="W1658" s="160"/>
      <c r="X1658" s="160"/>
      <c r="Y1658" s="160">
        <f>IF($Y$1579&gt;0,PPMT('Assumptions (Geo)'!$V$7,Model!W$1,'Assumptions (Geo)'!$V$10,'Assumptions (Geo)'!$V$5*Model!$Y$1579*AVERAGE('Assumptions (Geo)'!$U$2:$W$2)/10^9),0)</f>
        <v>0</v>
      </c>
      <c r="Z1658" s="160">
        <f>IF($Y$1579&gt;0,PPMT('Assumptions (Geo)'!$V$7,Model!X$1,'Assumptions (Geo)'!$V$10,'Assumptions (Geo)'!$V$5*Model!$Y$1579*AVERAGE('Assumptions (Geo)'!$U$2:$W$2)/10^9),0)</f>
        <v>0</v>
      </c>
      <c r="AA1658" s="160">
        <f>IF($Y$1579&gt;0,PPMT('Assumptions (Geo)'!$V$7,Model!Y$1,'Assumptions (Geo)'!$V$10,'Assumptions (Geo)'!$V$5*Model!$Y$1579*AVERAGE('Assumptions (Geo)'!$U$2:$W$2)/10^9),0)</f>
        <v>0</v>
      </c>
      <c r="AB1658" s="160">
        <f>IF($Y$1579&gt;0,PPMT('Assumptions (Geo)'!$V$7,Model!Z$1,'Assumptions (Geo)'!$V$10,'Assumptions (Geo)'!$V$5*Model!$Y$1579*AVERAGE('Assumptions (Geo)'!$U$2:$W$2)/10^9),0)</f>
        <v>0</v>
      </c>
      <c r="AC1658" s="160">
        <f>IF($Y$1579&gt;0,PPMT('Assumptions (Geo)'!$V$7,Model!AA$1,'Assumptions (Geo)'!$V$10,'Assumptions (Geo)'!$V$5*Model!$Y$1579*AVERAGE('Assumptions (Geo)'!$U$2:$W$2)/10^9),0)</f>
        <v>0</v>
      </c>
      <c r="AD1658" s="160">
        <f>IF($Y$1579&gt;0,PPMT('Assumptions (Geo)'!$V$7,Model!AB$1,'Assumptions (Geo)'!$V$10,'Assumptions (Geo)'!$V$5*Model!$Y$1579*AVERAGE('Assumptions (Geo)'!$U$2:$W$2)/10^9),0)</f>
        <v>0</v>
      </c>
      <c r="AE1658" s="160">
        <f>IF($Y$1579&gt;0,PPMT('Assumptions (Geo)'!$V$7,Model!AC$1,'Assumptions (Geo)'!$V$10,'Assumptions (Geo)'!$V$5*Model!$Y$1579*AVERAGE('Assumptions (Geo)'!$U$2:$W$2)/10^9),0)</f>
        <v>0</v>
      </c>
      <c r="AF1658" s="160">
        <f>IF($Y$1579&gt;0,PPMT('Assumptions (Geo)'!$V$7,Model!AD$1,'Assumptions (Geo)'!$V$10,'Assumptions (Geo)'!$V$5*Model!$Y$1579*AVERAGE('Assumptions (Geo)'!$U$2:$W$2)/10^9),0)</f>
        <v>0</v>
      </c>
      <c r="AG1658" s="160">
        <f>IF($Y$1579&gt;0,PPMT('Assumptions (Geo)'!$V$7,Model!AE$1,'Assumptions (Geo)'!$V$10,'Assumptions (Geo)'!$V$5*Model!$Y$1579*AVERAGE('Assumptions (Geo)'!$U$2:$W$2)/10^9),0)</f>
        <v>0</v>
      </c>
      <c r="AH1658" s="160">
        <f>IF($Y$1579&gt;0,PPMT('Assumptions (Geo)'!$V$7,Model!AF$1,'Assumptions (Geo)'!$V$10,'Assumptions (Geo)'!$V$5*Model!$Y$1579*AVERAGE('Assumptions (Geo)'!$U$2:$W$2)/10^9),0)</f>
        <v>0</v>
      </c>
      <c r="AI1658" s="160">
        <f>IF($Y$1579&gt;0,PPMT('Assumptions (Geo)'!$V$7,Model!AG$1,'Assumptions (Geo)'!$V$10,'Assumptions (Geo)'!$V$5*Model!$Y$1579*AVERAGE('Assumptions (Geo)'!$U$2:$W$2)/10^9),0)</f>
        <v>0</v>
      </c>
      <c r="AJ1658" s="160">
        <f>IF($Y$1579&gt;0,PPMT('Assumptions (Geo)'!$V$7,Model!AH$1,'Assumptions (Geo)'!$V$10,'Assumptions (Geo)'!$V$5*Model!$Y$1579*AVERAGE('Assumptions (Geo)'!$U$2:$W$2)/10^9),0)</f>
        <v>0</v>
      </c>
      <c r="AK1658" s="160">
        <f>IF($Y$1579&gt;0,PPMT('Assumptions (Geo)'!$V$7,Model!AI$1,'Assumptions (Geo)'!$V$10,'Assumptions (Geo)'!$V$5*Model!$Y$1579*AVERAGE('Assumptions (Geo)'!$U$2:$W$2)/10^9),0)</f>
        <v>0</v>
      </c>
      <c r="AL1658" s="160">
        <f>IF($Y$1579&gt;0,PPMT('Assumptions (Geo)'!$V$7,Model!AJ$1,'Assumptions (Geo)'!$V$10,'Assumptions (Geo)'!$V$5*Model!$Y$1579*AVERAGE('Assumptions (Geo)'!$U$2:$W$2)/10^9),0)</f>
        <v>0</v>
      </c>
      <c r="AM1658" s="160">
        <f>IF($Y$1579&gt;0,PPMT('Assumptions (Geo)'!$V$7,Model!AK$1,'Assumptions (Geo)'!$V$10,'Assumptions (Geo)'!$V$5*Model!$Y$1579*AVERAGE('Assumptions (Geo)'!$U$2:$W$2)/10^9),0)</f>
        <v>0</v>
      </c>
      <c r="AN1658" s="160"/>
      <c r="AO1658" s="160"/>
      <c r="AP1658" s="160"/>
      <c r="AQ1658" s="160"/>
      <c r="AR1658" s="160"/>
      <c r="AS1658" s="160"/>
      <c r="AT1658" s="160"/>
      <c r="AU1658" s="160"/>
      <c r="AV1658" s="160"/>
      <c r="AW1658" s="160"/>
      <c r="AX1658" s="160"/>
      <c r="AY1658" s="160"/>
      <c r="AZ1658" s="160"/>
      <c r="BA1658" s="160"/>
    </row>
    <row r="1659" ht="15.75" hidden="1" customHeight="1" outlineLevel="1">
      <c r="A1659" s="295"/>
      <c r="B1659" s="38"/>
      <c r="C1659" s="174"/>
      <c r="D1659" s="174"/>
      <c r="E1659" s="174"/>
      <c r="F1659" s="174"/>
      <c r="G1659" s="174"/>
      <c r="H1659" s="174"/>
      <c r="I1659" s="174"/>
      <c r="J1659" s="174"/>
      <c r="K1659" s="174"/>
      <c r="L1659" s="174"/>
      <c r="M1659" s="174"/>
      <c r="N1659" s="174"/>
      <c r="O1659" s="174"/>
      <c r="P1659" s="174"/>
      <c r="Q1659" s="174"/>
      <c r="R1659" s="174"/>
      <c r="S1659" s="174"/>
      <c r="T1659" s="174"/>
      <c r="U1659" s="174"/>
      <c r="V1659" s="174"/>
      <c r="W1659" s="160"/>
      <c r="X1659" s="160"/>
      <c r="Y1659" s="160"/>
      <c r="Z1659" s="160">
        <f>IF($Z$1579&gt;0,PPMT('Assumptions (Geo)'!$V$7,Model!W$1,'Assumptions (Geo)'!$V$10,'Assumptions (Geo)'!$V$5*Model!$Z$1579*AVERAGE('Assumptions (Geo)'!$V$2:$X$2)/10^9),0)</f>
        <v>0</v>
      </c>
      <c r="AA1659" s="160">
        <f>IF($Z$1579&gt;0,PPMT('Assumptions (Geo)'!$V$7,Model!X$1,'Assumptions (Geo)'!$V$10,'Assumptions (Geo)'!$V$5*Model!$Z$1579*AVERAGE('Assumptions (Geo)'!$V$2:$X$2)/10^9),0)</f>
        <v>0</v>
      </c>
      <c r="AB1659" s="160">
        <f>IF($Z$1579&gt;0,PPMT('Assumptions (Geo)'!$V$7,Model!Y$1,'Assumptions (Geo)'!$V$10,'Assumptions (Geo)'!$V$5*Model!$Z$1579*AVERAGE('Assumptions (Geo)'!$V$2:$X$2)/10^9),0)</f>
        <v>0</v>
      </c>
      <c r="AC1659" s="160">
        <f>IF($Z$1579&gt;0,PPMT('Assumptions (Geo)'!$V$7,Model!Z$1,'Assumptions (Geo)'!$V$10,'Assumptions (Geo)'!$V$5*Model!$Z$1579*AVERAGE('Assumptions (Geo)'!$V$2:$X$2)/10^9),0)</f>
        <v>0</v>
      </c>
      <c r="AD1659" s="160">
        <f>IF($Z$1579&gt;0,PPMT('Assumptions (Geo)'!$V$7,Model!AA$1,'Assumptions (Geo)'!$V$10,'Assumptions (Geo)'!$V$5*Model!$Z$1579*AVERAGE('Assumptions (Geo)'!$V$2:$X$2)/10^9),0)</f>
        <v>0</v>
      </c>
      <c r="AE1659" s="160">
        <f>IF($Z$1579&gt;0,PPMT('Assumptions (Geo)'!$V$7,Model!AB$1,'Assumptions (Geo)'!$V$10,'Assumptions (Geo)'!$V$5*Model!$Z$1579*AVERAGE('Assumptions (Geo)'!$V$2:$X$2)/10^9),0)</f>
        <v>0</v>
      </c>
      <c r="AF1659" s="160">
        <f>IF($Z$1579&gt;0,PPMT('Assumptions (Geo)'!$V$7,Model!AC$1,'Assumptions (Geo)'!$V$10,'Assumptions (Geo)'!$V$5*Model!$Z$1579*AVERAGE('Assumptions (Geo)'!$V$2:$X$2)/10^9),0)</f>
        <v>0</v>
      </c>
      <c r="AG1659" s="160">
        <f>IF($Z$1579&gt;0,PPMT('Assumptions (Geo)'!$V$7,Model!AD$1,'Assumptions (Geo)'!$V$10,'Assumptions (Geo)'!$V$5*Model!$Z$1579*AVERAGE('Assumptions (Geo)'!$V$2:$X$2)/10^9),0)</f>
        <v>0</v>
      </c>
      <c r="AH1659" s="160">
        <f>IF($Z$1579&gt;0,PPMT('Assumptions (Geo)'!$V$7,Model!AE$1,'Assumptions (Geo)'!$V$10,'Assumptions (Geo)'!$V$5*Model!$Z$1579*AVERAGE('Assumptions (Geo)'!$V$2:$X$2)/10^9),0)</f>
        <v>0</v>
      </c>
      <c r="AI1659" s="160">
        <f>IF($Z$1579&gt;0,PPMT('Assumptions (Geo)'!$V$7,Model!AF$1,'Assumptions (Geo)'!$V$10,'Assumptions (Geo)'!$V$5*Model!$Z$1579*AVERAGE('Assumptions (Geo)'!$V$2:$X$2)/10^9),0)</f>
        <v>0</v>
      </c>
      <c r="AJ1659" s="160">
        <f>IF($Z$1579&gt;0,PPMT('Assumptions (Geo)'!$V$7,Model!AG$1,'Assumptions (Geo)'!$V$10,'Assumptions (Geo)'!$V$5*Model!$Z$1579*AVERAGE('Assumptions (Geo)'!$V$2:$X$2)/10^9),0)</f>
        <v>0</v>
      </c>
      <c r="AK1659" s="160">
        <f>IF($Z$1579&gt;0,PPMT('Assumptions (Geo)'!$V$7,Model!AH$1,'Assumptions (Geo)'!$V$10,'Assumptions (Geo)'!$V$5*Model!$Z$1579*AVERAGE('Assumptions (Geo)'!$V$2:$X$2)/10^9),0)</f>
        <v>0</v>
      </c>
      <c r="AL1659" s="160">
        <f>IF($Z$1579&gt;0,PPMT('Assumptions (Geo)'!$V$7,Model!AI$1,'Assumptions (Geo)'!$V$10,'Assumptions (Geo)'!$V$5*Model!$Z$1579*AVERAGE('Assumptions (Geo)'!$V$2:$X$2)/10^9),0)</f>
        <v>0</v>
      </c>
      <c r="AM1659" s="160">
        <f>IF($Z$1579&gt;0,PPMT('Assumptions (Geo)'!$V$7,Model!AJ$1,'Assumptions (Geo)'!$V$10,'Assumptions (Geo)'!$V$5*Model!$Z$1579*AVERAGE('Assumptions (Geo)'!$V$2:$X$2)/10^9),0)</f>
        <v>0</v>
      </c>
      <c r="AN1659" s="160">
        <f>IF($Z$1579&gt;0,PPMT('Assumptions (Geo)'!$V$7,Model!AK$1,'Assumptions (Geo)'!$V$10,'Assumptions (Geo)'!$V$5*Model!$Z$1579*AVERAGE('Assumptions (Geo)'!$V$2:$X$2)/10^9),0)</f>
        <v>0</v>
      </c>
      <c r="AO1659" s="160"/>
      <c r="AP1659" s="160"/>
      <c r="AQ1659" s="160"/>
      <c r="AR1659" s="160"/>
      <c r="AS1659" s="160"/>
      <c r="AT1659" s="160"/>
      <c r="AU1659" s="160"/>
      <c r="AV1659" s="160"/>
      <c r="AW1659" s="160"/>
      <c r="AX1659" s="160"/>
      <c r="AY1659" s="160"/>
      <c r="AZ1659" s="160"/>
      <c r="BA1659" s="160"/>
    </row>
    <row r="1660" ht="15.75" hidden="1" customHeight="1" outlineLevel="1">
      <c r="A1660" s="295"/>
      <c r="B1660" s="38"/>
      <c r="C1660" s="174"/>
      <c r="D1660" s="174"/>
      <c r="E1660" s="174"/>
      <c r="F1660" s="174"/>
      <c r="G1660" s="174"/>
      <c r="H1660" s="174"/>
      <c r="I1660" s="174"/>
      <c r="J1660" s="174"/>
      <c r="K1660" s="174"/>
      <c r="L1660" s="174"/>
      <c r="M1660" s="174"/>
      <c r="N1660" s="174"/>
      <c r="O1660" s="174"/>
      <c r="P1660" s="174"/>
      <c r="Q1660" s="174"/>
      <c r="R1660" s="174"/>
      <c r="S1660" s="174"/>
      <c r="T1660" s="174"/>
      <c r="U1660" s="174"/>
      <c r="V1660" s="174"/>
      <c r="W1660" s="160"/>
      <c r="X1660" s="160"/>
      <c r="Y1660" s="160"/>
      <c r="Z1660" s="160"/>
      <c r="AA1660" s="160">
        <f>IF($AA$1579&gt;0,PPMT('Assumptions (Geo)'!$V$7,Model!W$1,'Assumptions (Geo)'!$V$10,'Assumptions (Geo)'!$V$5*Model!$AA$1579*AVERAGE('Assumptions (Geo)'!$W$2:$Y$2)/10^9),0)</f>
        <v>0</v>
      </c>
      <c r="AB1660" s="160">
        <f>IF($AA$1579&gt;0,PPMT('Assumptions (Geo)'!$V$7,Model!X$1,'Assumptions (Geo)'!$V$10,'Assumptions (Geo)'!$V$5*Model!$AA$1579*AVERAGE('Assumptions (Geo)'!$W$2:$Y$2)/10^9),0)</f>
        <v>0</v>
      </c>
      <c r="AC1660" s="160">
        <f>IF($AA$1579&gt;0,PPMT('Assumptions (Geo)'!$V$7,Model!Y$1,'Assumptions (Geo)'!$V$10,'Assumptions (Geo)'!$V$5*Model!$AA$1579*AVERAGE('Assumptions (Geo)'!$W$2:$Y$2)/10^9),0)</f>
        <v>0</v>
      </c>
      <c r="AD1660" s="160">
        <f>IF($AA$1579&gt;0,PPMT('Assumptions (Geo)'!$V$7,Model!Z$1,'Assumptions (Geo)'!$V$10,'Assumptions (Geo)'!$V$5*Model!$AA$1579*AVERAGE('Assumptions (Geo)'!$W$2:$Y$2)/10^9),0)</f>
        <v>0</v>
      </c>
      <c r="AE1660" s="160">
        <f>IF($AA$1579&gt;0,PPMT('Assumptions (Geo)'!$V$7,Model!AA$1,'Assumptions (Geo)'!$V$10,'Assumptions (Geo)'!$V$5*Model!$AA$1579*AVERAGE('Assumptions (Geo)'!$W$2:$Y$2)/10^9),0)</f>
        <v>0</v>
      </c>
      <c r="AF1660" s="160">
        <f>IF($AA$1579&gt;0,PPMT('Assumptions (Geo)'!$V$7,Model!AB$1,'Assumptions (Geo)'!$V$10,'Assumptions (Geo)'!$V$5*Model!$AA$1579*AVERAGE('Assumptions (Geo)'!$W$2:$Y$2)/10^9),0)</f>
        <v>0</v>
      </c>
      <c r="AG1660" s="160">
        <f>IF($AA$1579&gt;0,PPMT('Assumptions (Geo)'!$V$7,Model!AC$1,'Assumptions (Geo)'!$V$10,'Assumptions (Geo)'!$V$5*Model!$AA$1579*AVERAGE('Assumptions (Geo)'!$W$2:$Y$2)/10^9),0)</f>
        <v>0</v>
      </c>
      <c r="AH1660" s="160">
        <f>IF($AA$1579&gt;0,PPMT('Assumptions (Geo)'!$V$7,Model!AD$1,'Assumptions (Geo)'!$V$10,'Assumptions (Geo)'!$V$5*Model!$AA$1579*AVERAGE('Assumptions (Geo)'!$W$2:$Y$2)/10^9),0)</f>
        <v>0</v>
      </c>
      <c r="AI1660" s="160">
        <f>IF($AA$1579&gt;0,PPMT('Assumptions (Geo)'!$V$7,Model!AE$1,'Assumptions (Geo)'!$V$10,'Assumptions (Geo)'!$V$5*Model!$AA$1579*AVERAGE('Assumptions (Geo)'!$W$2:$Y$2)/10^9),0)</f>
        <v>0</v>
      </c>
      <c r="AJ1660" s="160">
        <f>IF($AA$1579&gt;0,PPMT('Assumptions (Geo)'!$V$7,Model!AF$1,'Assumptions (Geo)'!$V$10,'Assumptions (Geo)'!$V$5*Model!$AA$1579*AVERAGE('Assumptions (Geo)'!$W$2:$Y$2)/10^9),0)</f>
        <v>0</v>
      </c>
      <c r="AK1660" s="160">
        <f>IF($AA$1579&gt;0,PPMT('Assumptions (Geo)'!$V$7,Model!AG$1,'Assumptions (Geo)'!$V$10,'Assumptions (Geo)'!$V$5*Model!$AA$1579*AVERAGE('Assumptions (Geo)'!$W$2:$Y$2)/10^9),0)</f>
        <v>0</v>
      </c>
      <c r="AL1660" s="160">
        <f>IF($AA$1579&gt;0,PPMT('Assumptions (Geo)'!$V$7,Model!AH$1,'Assumptions (Geo)'!$V$10,'Assumptions (Geo)'!$V$5*Model!$AA$1579*AVERAGE('Assumptions (Geo)'!$W$2:$Y$2)/10^9),0)</f>
        <v>0</v>
      </c>
      <c r="AM1660" s="160">
        <f>IF($AA$1579&gt;0,PPMT('Assumptions (Geo)'!$V$7,Model!AI$1,'Assumptions (Geo)'!$V$10,'Assumptions (Geo)'!$V$5*Model!$AA$1579*AVERAGE('Assumptions (Geo)'!$W$2:$Y$2)/10^9),0)</f>
        <v>0</v>
      </c>
      <c r="AN1660" s="160">
        <f>IF($AA$1579&gt;0,PPMT('Assumptions (Geo)'!$V$7,Model!AJ$1,'Assumptions (Geo)'!$V$10,'Assumptions (Geo)'!$V$5*Model!$AA$1579*AVERAGE('Assumptions (Geo)'!$W$2:$Y$2)/10^9),0)</f>
        <v>0</v>
      </c>
      <c r="AO1660" s="160">
        <f>IF($AA$1579&gt;0,PPMT('Assumptions (Geo)'!$V$7,Model!AK$1,'Assumptions (Geo)'!$V$10,'Assumptions (Geo)'!$V$5*Model!$AA$1579*AVERAGE('Assumptions (Geo)'!$W$2:$Y$2)/10^9),0)</f>
        <v>0</v>
      </c>
      <c r="AP1660" s="160"/>
      <c r="AQ1660" s="160"/>
      <c r="AR1660" s="160"/>
      <c r="AS1660" s="160"/>
      <c r="AT1660" s="160"/>
      <c r="AU1660" s="160"/>
      <c r="AV1660" s="160"/>
      <c r="AW1660" s="160"/>
      <c r="AX1660" s="160"/>
      <c r="AY1660" s="160"/>
      <c r="AZ1660" s="160"/>
      <c r="BA1660" s="160"/>
    </row>
    <row r="1661" ht="15.75" hidden="1" customHeight="1" outlineLevel="1">
      <c r="A1661" s="295"/>
      <c r="B1661" s="38"/>
      <c r="C1661" s="174"/>
      <c r="D1661" s="174"/>
      <c r="E1661" s="174"/>
      <c r="F1661" s="174"/>
      <c r="G1661" s="174"/>
      <c r="H1661" s="174"/>
      <c r="I1661" s="174"/>
      <c r="J1661" s="174"/>
      <c r="K1661" s="174"/>
      <c r="L1661" s="174"/>
      <c r="M1661" s="174"/>
      <c r="N1661" s="174"/>
      <c r="O1661" s="174"/>
      <c r="P1661" s="174"/>
      <c r="Q1661" s="174"/>
      <c r="R1661" s="174"/>
      <c r="S1661" s="174"/>
      <c r="T1661" s="174"/>
      <c r="U1661" s="174"/>
      <c r="V1661" s="174"/>
      <c r="W1661" s="160"/>
      <c r="X1661" s="160"/>
      <c r="Y1661" s="160"/>
      <c r="Z1661" s="160"/>
      <c r="AA1661" s="160"/>
      <c r="AB1661" s="160">
        <f>IF($AB$1579&gt;0,PPMT('Assumptions (Geo)'!$V$7,Model!W$1,'Assumptions (Geo)'!$V$10,'Assumptions (Geo)'!$V$5*Model!$AB$1579*AVERAGE('Assumptions (Geo)'!$X$2:$Z$2)/10^9),0)</f>
        <v>0</v>
      </c>
      <c r="AC1661" s="160">
        <f>IF($AB$1579&gt;0,PPMT('Assumptions (Geo)'!$V$7,Model!X$1,'Assumptions (Geo)'!$V$10,'Assumptions (Geo)'!$V$5*Model!$AB$1579*AVERAGE('Assumptions (Geo)'!$X$2:$Z$2)/10^9),0)</f>
        <v>0</v>
      </c>
      <c r="AD1661" s="160">
        <f>IF($AB$1579&gt;0,PPMT('Assumptions (Geo)'!$V$7,Model!Y$1,'Assumptions (Geo)'!$V$10,'Assumptions (Geo)'!$V$5*Model!$AB$1579*AVERAGE('Assumptions (Geo)'!$X$2:$Z$2)/10^9),0)</f>
        <v>0</v>
      </c>
      <c r="AE1661" s="160">
        <f>IF($AB$1579&gt;0,PPMT('Assumptions (Geo)'!$V$7,Model!Z$1,'Assumptions (Geo)'!$V$10,'Assumptions (Geo)'!$V$5*Model!$AB$1579*AVERAGE('Assumptions (Geo)'!$X$2:$Z$2)/10^9),0)</f>
        <v>0</v>
      </c>
      <c r="AF1661" s="160">
        <f>IF($AB$1579&gt;0,PPMT('Assumptions (Geo)'!$V$7,Model!AA$1,'Assumptions (Geo)'!$V$10,'Assumptions (Geo)'!$V$5*Model!$AB$1579*AVERAGE('Assumptions (Geo)'!$X$2:$Z$2)/10^9),0)</f>
        <v>0</v>
      </c>
      <c r="AG1661" s="160">
        <f>IF($AB$1579&gt;0,PPMT('Assumptions (Geo)'!$V$7,Model!AB$1,'Assumptions (Geo)'!$V$10,'Assumptions (Geo)'!$V$5*Model!$AB$1579*AVERAGE('Assumptions (Geo)'!$X$2:$Z$2)/10^9),0)</f>
        <v>0</v>
      </c>
      <c r="AH1661" s="160">
        <f>IF($AB$1579&gt;0,PPMT('Assumptions (Geo)'!$V$7,Model!AC$1,'Assumptions (Geo)'!$V$10,'Assumptions (Geo)'!$V$5*Model!$AB$1579*AVERAGE('Assumptions (Geo)'!$X$2:$Z$2)/10^9),0)</f>
        <v>0</v>
      </c>
      <c r="AI1661" s="160">
        <f>IF($AB$1579&gt;0,PPMT('Assumptions (Geo)'!$V$7,Model!AD$1,'Assumptions (Geo)'!$V$10,'Assumptions (Geo)'!$V$5*Model!$AB$1579*AVERAGE('Assumptions (Geo)'!$X$2:$Z$2)/10^9),0)</f>
        <v>0</v>
      </c>
      <c r="AJ1661" s="160">
        <f>IF($AB$1579&gt;0,PPMT('Assumptions (Geo)'!$V$7,Model!AE$1,'Assumptions (Geo)'!$V$10,'Assumptions (Geo)'!$V$5*Model!$AB$1579*AVERAGE('Assumptions (Geo)'!$X$2:$Z$2)/10^9),0)</f>
        <v>0</v>
      </c>
      <c r="AK1661" s="160">
        <f>IF($AB$1579&gt;0,PPMT('Assumptions (Geo)'!$V$7,Model!AF$1,'Assumptions (Geo)'!$V$10,'Assumptions (Geo)'!$V$5*Model!$AB$1579*AVERAGE('Assumptions (Geo)'!$X$2:$Z$2)/10^9),0)</f>
        <v>0</v>
      </c>
      <c r="AL1661" s="160">
        <f>IF($AB$1579&gt;0,PPMT('Assumptions (Geo)'!$V$7,Model!AG$1,'Assumptions (Geo)'!$V$10,'Assumptions (Geo)'!$V$5*Model!$AB$1579*AVERAGE('Assumptions (Geo)'!$X$2:$Z$2)/10^9),0)</f>
        <v>0</v>
      </c>
      <c r="AM1661" s="160">
        <f>IF($AB$1579&gt;0,PPMT('Assumptions (Geo)'!$V$7,Model!AH$1,'Assumptions (Geo)'!$V$10,'Assumptions (Geo)'!$V$5*Model!$AB$1579*AVERAGE('Assumptions (Geo)'!$X$2:$Z$2)/10^9),0)</f>
        <v>0</v>
      </c>
      <c r="AN1661" s="160">
        <f>IF($AB$1579&gt;0,PPMT('Assumptions (Geo)'!$V$7,Model!AI$1,'Assumptions (Geo)'!$V$10,'Assumptions (Geo)'!$V$5*Model!$AB$1579*AVERAGE('Assumptions (Geo)'!$X$2:$Z$2)/10^9),0)</f>
        <v>0</v>
      </c>
      <c r="AO1661" s="160">
        <f>IF($AB$1579&gt;0,PPMT('Assumptions (Geo)'!$V$7,Model!AJ$1,'Assumptions (Geo)'!$V$10,'Assumptions (Geo)'!$V$5*Model!$AB$1579*AVERAGE('Assumptions (Geo)'!$X$2:$Z$2)/10^9),0)</f>
        <v>0</v>
      </c>
      <c r="AP1661" s="160">
        <f>IF($AB$1579&gt;0,PPMT('Assumptions (Geo)'!$V$7,Model!AK$1,'Assumptions (Geo)'!$V$10,'Assumptions (Geo)'!$V$5*Model!$AB$1579*AVERAGE('Assumptions (Geo)'!$X$2:$Z$2)/10^9),0)</f>
        <v>0</v>
      </c>
      <c r="AQ1661" s="160"/>
      <c r="AR1661" s="160"/>
      <c r="AS1661" s="160"/>
      <c r="AT1661" s="160"/>
      <c r="AU1661" s="160"/>
      <c r="AV1661" s="160"/>
      <c r="AW1661" s="160"/>
      <c r="AX1661" s="160"/>
      <c r="AY1661" s="160"/>
      <c r="AZ1661" s="160"/>
      <c r="BA1661" s="160"/>
    </row>
    <row r="1662" ht="15.75" hidden="1" customHeight="1" outlineLevel="1">
      <c r="A1662" s="295"/>
      <c r="B1662" s="38"/>
      <c r="C1662" s="174"/>
      <c r="D1662" s="174"/>
      <c r="E1662" s="174"/>
      <c r="F1662" s="174"/>
      <c r="G1662" s="174"/>
      <c r="H1662" s="174"/>
      <c r="I1662" s="174"/>
      <c r="J1662" s="174"/>
      <c r="K1662" s="174"/>
      <c r="L1662" s="174"/>
      <c r="M1662" s="174"/>
      <c r="N1662" s="174"/>
      <c r="O1662" s="174"/>
      <c r="P1662" s="174"/>
      <c r="Q1662" s="174"/>
      <c r="R1662" s="174"/>
      <c r="S1662" s="174"/>
      <c r="T1662" s="174"/>
      <c r="U1662" s="174"/>
      <c r="V1662" s="174"/>
      <c r="W1662" s="160"/>
      <c r="X1662" s="160"/>
      <c r="Y1662" s="160"/>
      <c r="Z1662" s="160"/>
      <c r="AA1662" s="160"/>
      <c r="AB1662" s="160"/>
      <c r="AC1662" s="160">
        <f>IF($AC$1579&gt;0,PPMT('Assumptions (Geo)'!$V$7,Model!W$1,'Assumptions (Geo)'!$V$10,'Assumptions (Geo)'!$V$5*Model!$AC$1579*AVERAGE('Assumptions (Geo)'!$Y$2:$AA$2)/10^9),0)</f>
        <v>0</v>
      </c>
      <c r="AD1662" s="160">
        <f>IF($AC$1579&gt;0,PPMT('Assumptions (Geo)'!$V$7,Model!X$1,'Assumptions (Geo)'!$V$10,'Assumptions (Geo)'!$V$5*Model!$AC$1579*AVERAGE('Assumptions (Geo)'!$Y$2:$AA$2)/10^9),0)</f>
        <v>0</v>
      </c>
      <c r="AE1662" s="160">
        <f>IF($AC$1579&gt;0,PPMT('Assumptions (Geo)'!$V$7,Model!Y$1,'Assumptions (Geo)'!$V$10,'Assumptions (Geo)'!$V$5*Model!$AC$1579*AVERAGE('Assumptions (Geo)'!$Y$2:$AA$2)/10^9),0)</f>
        <v>0</v>
      </c>
      <c r="AF1662" s="160">
        <f>IF($AC$1579&gt;0,PPMT('Assumptions (Geo)'!$V$7,Model!Z$1,'Assumptions (Geo)'!$V$10,'Assumptions (Geo)'!$V$5*Model!$AC$1579*AVERAGE('Assumptions (Geo)'!$Y$2:$AA$2)/10^9),0)</f>
        <v>0</v>
      </c>
      <c r="AG1662" s="160">
        <f>IF($AC$1579&gt;0,PPMT('Assumptions (Geo)'!$V$7,Model!AA$1,'Assumptions (Geo)'!$V$10,'Assumptions (Geo)'!$V$5*Model!$AC$1579*AVERAGE('Assumptions (Geo)'!$Y$2:$AA$2)/10^9),0)</f>
        <v>0</v>
      </c>
      <c r="AH1662" s="160">
        <f>IF($AC$1579&gt;0,PPMT('Assumptions (Geo)'!$V$7,Model!AB$1,'Assumptions (Geo)'!$V$10,'Assumptions (Geo)'!$V$5*Model!$AC$1579*AVERAGE('Assumptions (Geo)'!$Y$2:$AA$2)/10^9),0)</f>
        <v>0</v>
      </c>
      <c r="AI1662" s="160">
        <f>IF($AC$1579&gt;0,PPMT('Assumptions (Geo)'!$V$7,Model!AC$1,'Assumptions (Geo)'!$V$10,'Assumptions (Geo)'!$V$5*Model!$AC$1579*AVERAGE('Assumptions (Geo)'!$Y$2:$AA$2)/10^9),0)</f>
        <v>0</v>
      </c>
      <c r="AJ1662" s="160">
        <f>IF($AC$1579&gt;0,PPMT('Assumptions (Geo)'!$V$7,Model!AD$1,'Assumptions (Geo)'!$V$10,'Assumptions (Geo)'!$V$5*Model!$AC$1579*AVERAGE('Assumptions (Geo)'!$Y$2:$AA$2)/10^9),0)</f>
        <v>0</v>
      </c>
      <c r="AK1662" s="160">
        <f>IF($AC$1579&gt;0,PPMT('Assumptions (Geo)'!$V$7,Model!AE$1,'Assumptions (Geo)'!$V$10,'Assumptions (Geo)'!$V$5*Model!$AC$1579*AVERAGE('Assumptions (Geo)'!$Y$2:$AA$2)/10^9),0)</f>
        <v>0</v>
      </c>
      <c r="AL1662" s="160">
        <f>IF($AC$1579&gt;0,PPMT('Assumptions (Geo)'!$V$7,Model!AF$1,'Assumptions (Geo)'!$V$10,'Assumptions (Geo)'!$V$5*Model!$AC$1579*AVERAGE('Assumptions (Geo)'!$Y$2:$AA$2)/10^9),0)</f>
        <v>0</v>
      </c>
      <c r="AM1662" s="160">
        <f>IF($AC$1579&gt;0,PPMT('Assumptions (Geo)'!$V$7,Model!AG$1,'Assumptions (Geo)'!$V$10,'Assumptions (Geo)'!$V$5*Model!$AC$1579*AVERAGE('Assumptions (Geo)'!$Y$2:$AA$2)/10^9),0)</f>
        <v>0</v>
      </c>
      <c r="AN1662" s="160">
        <f>IF($AC$1579&gt;0,PPMT('Assumptions (Geo)'!$V$7,Model!AH$1,'Assumptions (Geo)'!$V$10,'Assumptions (Geo)'!$V$5*Model!$AC$1579*AVERAGE('Assumptions (Geo)'!$Y$2:$AA$2)/10^9),0)</f>
        <v>0</v>
      </c>
      <c r="AO1662" s="160">
        <f>IF($AC$1579&gt;0,PPMT('Assumptions (Geo)'!$V$7,Model!AI$1,'Assumptions (Geo)'!$V$10,'Assumptions (Geo)'!$V$5*Model!$AC$1579*AVERAGE('Assumptions (Geo)'!$Y$2:$AA$2)/10^9),0)</f>
        <v>0</v>
      </c>
      <c r="AP1662" s="160">
        <f>IF($AC$1579&gt;0,PPMT('Assumptions (Geo)'!$V$7,Model!AJ$1,'Assumptions (Geo)'!$V$10,'Assumptions (Geo)'!$V$5*Model!$AC$1579*AVERAGE('Assumptions (Geo)'!$Y$2:$AA$2)/10^9),0)</f>
        <v>0</v>
      </c>
      <c r="AQ1662" s="160">
        <f>IF($AC$1579&gt;0,PPMT('Assumptions (Geo)'!$V$7,Model!AK$1,'Assumptions (Geo)'!$V$10,'Assumptions (Geo)'!$V$5*Model!$AC$1579*AVERAGE('Assumptions (Geo)'!$Y$2:$AA$2)/10^9),0)</f>
        <v>0</v>
      </c>
      <c r="AR1662" s="160"/>
      <c r="AS1662" s="160"/>
      <c r="AT1662" s="160"/>
      <c r="AU1662" s="160"/>
      <c r="AV1662" s="160"/>
      <c r="AW1662" s="160"/>
      <c r="AX1662" s="160"/>
      <c r="AY1662" s="160"/>
      <c r="AZ1662" s="160"/>
      <c r="BA1662" s="160"/>
    </row>
    <row r="1663" ht="15.75" hidden="1" customHeight="1" outlineLevel="1">
      <c r="A1663" s="295"/>
      <c r="B1663" s="38"/>
      <c r="C1663" s="174"/>
      <c r="D1663" s="174"/>
      <c r="E1663" s="174"/>
      <c r="F1663" s="174"/>
      <c r="G1663" s="174"/>
      <c r="H1663" s="174"/>
      <c r="I1663" s="174"/>
      <c r="J1663" s="174"/>
      <c r="K1663" s="174"/>
      <c r="L1663" s="174"/>
      <c r="M1663" s="174"/>
      <c r="N1663" s="174"/>
      <c r="O1663" s="174"/>
      <c r="P1663" s="174"/>
      <c r="Q1663" s="174"/>
      <c r="R1663" s="174"/>
      <c r="S1663" s="174"/>
      <c r="T1663" s="174"/>
      <c r="U1663" s="174"/>
      <c r="V1663" s="174"/>
      <c r="W1663" s="160"/>
      <c r="X1663" s="160"/>
      <c r="Y1663" s="160"/>
      <c r="Z1663" s="160"/>
      <c r="AA1663" s="160"/>
      <c r="AB1663" s="160"/>
      <c r="AC1663" s="160"/>
      <c r="AD1663" s="160">
        <f>IF($AD$1579&gt;0,PPMT('Assumptions (Geo)'!$V$7,Model!W$1,'Assumptions (Geo)'!$V$10,'Assumptions (Geo)'!$V$5*Model!$AD$1579*AVERAGE('Assumptions (Geo)'!$Z$2:$AB$2)/10^9),0)</f>
        <v>0</v>
      </c>
      <c r="AE1663" s="160">
        <f>IF($AD$1579&gt;0,PPMT('Assumptions (Geo)'!$V$7,Model!X$1,'Assumptions (Geo)'!$V$10,'Assumptions (Geo)'!$V$5*Model!$AD$1579*AVERAGE('Assumptions (Geo)'!$Z$2:$AB$2)/10^9),0)</f>
        <v>0</v>
      </c>
      <c r="AF1663" s="160">
        <f>IF($AD$1579&gt;0,PPMT('Assumptions (Geo)'!$V$7,Model!Y$1,'Assumptions (Geo)'!$V$10,'Assumptions (Geo)'!$V$5*Model!$AD$1579*AVERAGE('Assumptions (Geo)'!$Z$2:$AB$2)/10^9),0)</f>
        <v>0</v>
      </c>
      <c r="AG1663" s="160">
        <f>IF($AD$1579&gt;0,PPMT('Assumptions (Geo)'!$V$7,Model!Z$1,'Assumptions (Geo)'!$V$10,'Assumptions (Geo)'!$V$5*Model!$AD$1579*AVERAGE('Assumptions (Geo)'!$Z$2:$AB$2)/10^9),0)</f>
        <v>0</v>
      </c>
      <c r="AH1663" s="160">
        <f>IF($AD$1579&gt;0,PPMT('Assumptions (Geo)'!$V$7,Model!AA$1,'Assumptions (Geo)'!$V$10,'Assumptions (Geo)'!$V$5*Model!$AD$1579*AVERAGE('Assumptions (Geo)'!$Z$2:$AB$2)/10^9),0)</f>
        <v>0</v>
      </c>
      <c r="AI1663" s="160">
        <f>IF($AD$1579&gt;0,PPMT('Assumptions (Geo)'!$V$7,Model!AB$1,'Assumptions (Geo)'!$V$10,'Assumptions (Geo)'!$V$5*Model!$AD$1579*AVERAGE('Assumptions (Geo)'!$Z$2:$AB$2)/10^9),0)</f>
        <v>0</v>
      </c>
      <c r="AJ1663" s="160">
        <f>IF($AD$1579&gt;0,PPMT('Assumptions (Geo)'!$V$7,Model!AC$1,'Assumptions (Geo)'!$V$10,'Assumptions (Geo)'!$V$5*Model!$AD$1579*AVERAGE('Assumptions (Geo)'!$Z$2:$AB$2)/10^9),0)</f>
        <v>0</v>
      </c>
      <c r="AK1663" s="160">
        <f>IF($AD$1579&gt;0,PPMT('Assumptions (Geo)'!$V$7,Model!AD$1,'Assumptions (Geo)'!$V$10,'Assumptions (Geo)'!$V$5*Model!$AD$1579*AVERAGE('Assumptions (Geo)'!$Z$2:$AB$2)/10^9),0)</f>
        <v>0</v>
      </c>
      <c r="AL1663" s="160">
        <f>IF($AD$1579&gt;0,PPMT('Assumptions (Geo)'!$V$7,Model!AE$1,'Assumptions (Geo)'!$V$10,'Assumptions (Geo)'!$V$5*Model!$AD$1579*AVERAGE('Assumptions (Geo)'!$Z$2:$AB$2)/10^9),0)</f>
        <v>0</v>
      </c>
      <c r="AM1663" s="160">
        <f>IF($AD$1579&gt;0,PPMT('Assumptions (Geo)'!$V$7,Model!AF$1,'Assumptions (Geo)'!$V$10,'Assumptions (Geo)'!$V$5*Model!$AD$1579*AVERAGE('Assumptions (Geo)'!$Z$2:$AB$2)/10^9),0)</f>
        <v>0</v>
      </c>
      <c r="AN1663" s="160">
        <f>IF($AD$1579&gt;0,PPMT('Assumptions (Geo)'!$V$7,Model!AG$1,'Assumptions (Geo)'!$V$10,'Assumptions (Geo)'!$V$5*Model!$AD$1579*AVERAGE('Assumptions (Geo)'!$Z$2:$AB$2)/10^9),0)</f>
        <v>0</v>
      </c>
      <c r="AO1663" s="160">
        <f>IF($AD$1579&gt;0,PPMT('Assumptions (Geo)'!$V$7,Model!AH$1,'Assumptions (Geo)'!$V$10,'Assumptions (Geo)'!$V$5*Model!$AD$1579*AVERAGE('Assumptions (Geo)'!$Z$2:$AB$2)/10^9),0)</f>
        <v>0</v>
      </c>
      <c r="AP1663" s="160">
        <f>IF($AD$1579&gt;0,PPMT('Assumptions (Geo)'!$V$7,Model!AI$1,'Assumptions (Geo)'!$V$10,'Assumptions (Geo)'!$V$5*Model!$AD$1579*AVERAGE('Assumptions (Geo)'!$Z$2:$AB$2)/10^9),0)</f>
        <v>0</v>
      </c>
      <c r="AQ1663" s="160">
        <f>IF($AD$1579&gt;0,PPMT('Assumptions (Geo)'!$V$7,Model!AJ$1,'Assumptions (Geo)'!$V$10,'Assumptions (Geo)'!$V$5*Model!$AD$1579*AVERAGE('Assumptions (Geo)'!$Z$2:$AB$2)/10^9),0)</f>
        <v>0</v>
      </c>
      <c r="AR1663" s="160">
        <f>IF($AD$1579&gt;0,PPMT('Assumptions (Geo)'!$V$7,Model!AK$1,'Assumptions (Geo)'!$V$10,'Assumptions (Geo)'!$V$5*Model!$AD$1579*AVERAGE('Assumptions (Geo)'!$Z$2:$AB$2)/10^9),0)</f>
        <v>0</v>
      </c>
      <c r="AS1663" s="160"/>
      <c r="AT1663" s="160"/>
      <c r="AU1663" s="160"/>
      <c r="AV1663" s="160"/>
      <c r="AW1663" s="160"/>
      <c r="AX1663" s="160"/>
      <c r="AY1663" s="160"/>
      <c r="AZ1663" s="160"/>
      <c r="BA1663" s="160"/>
      <c r="BB1663" s="160"/>
    </row>
    <row r="1664" ht="15.75" hidden="1" customHeight="1" outlineLevel="1">
      <c r="A1664" s="295"/>
      <c r="B1664" s="38"/>
      <c r="C1664" s="174"/>
      <c r="D1664" s="174"/>
      <c r="E1664" s="174"/>
      <c r="F1664" s="174"/>
      <c r="G1664" s="174"/>
      <c r="H1664" s="174"/>
      <c r="I1664" s="174"/>
      <c r="J1664" s="174"/>
      <c r="K1664" s="174"/>
      <c r="L1664" s="174"/>
      <c r="M1664" s="174"/>
      <c r="N1664" s="174"/>
      <c r="O1664" s="174"/>
      <c r="P1664" s="174"/>
      <c r="Q1664" s="174"/>
      <c r="R1664" s="174"/>
      <c r="S1664" s="174"/>
      <c r="T1664" s="174"/>
      <c r="U1664" s="174"/>
      <c r="V1664" s="174"/>
      <c r="W1664" s="160"/>
      <c r="X1664" s="160"/>
      <c r="Y1664" s="160"/>
      <c r="Z1664" s="160"/>
      <c r="AA1664" s="160"/>
      <c r="AB1664" s="160"/>
      <c r="AC1664" s="160"/>
      <c r="AD1664" s="160"/>
      <c r="AE1664" s="160">
        <f>IF($AE$1579&gt;0,PPMT('Assumptions (Geo)'!$V$7,Model!W$1,'Assumptions (Geo)'!$V$10,'Assumptions (Geo)'!$V$5*Model!$AE$1579*AVERAGE('Assumptions (Geo)'!$AA$2:$AC$2)/10^9),0)</f>
        <v>0</v>
      </c>
      <c r="AF1664" s="160">
        <f>IF($AE$1579&gt;0,PPMT('Assumptions (Geo)'!$V$7,Model!X$1,'Assumptions (Geo)'!$V$10,'Assumptions (Geo)'!$V$5*Model!$AE$1579*AVERAGE('Assumptions (Geo)'!$AA$2:$AC$2)/10^9),0)</f>
        <v>0</v>
      </c>
      <c r="AG1664" s="160">
        <f>IF($AE$1579&gt;0,PPMT('Assumptions (Geo)'!$V$7,Model!Y$1,'Assumptions (Geo)'!$V$10,'Assumptions (Geo)'!$V$5*Model!$AE$1579*AVERAGE('Assumptions (Geo)'!$AA$2:$AC$2)/10^9),0)</f>
        <v>0</v>
      </c>
      <c r="AH1664" s="160">
        <f>IF($AE$1579&gt;0,PPMT('Assumptions (Geo)'!$V$7,Model!Z$1,'Assumptions (Geo)'!$V$10,'Assumptions (Geo)'!$V$5*Model!$AE$1579*AVERAGE('Assumptions (Geo)'!$AA$2:$AC$2)/10^9),0)</f>
        <v>0</v>
      </c>
      <c r="AI1664" s="160">
        <f>IF($AE$1579&gt;0,PPMT('Assumptions (Geo)'!$V$7,Model!AA$1,'Assumptions (Geo)'!$V$10,'Assumptions (Geo)'!$V$5*Model!$AE$1579*AVERAGE('Assumptions (Geo)'!$AA$2:$AC$2)/10^9),0)</f>
        <v>0</v>
      </c>
      <c r="AJ1664" s="160">
        <f>IF($AE$1579&gt;0,PPMT('Assumptions (Geo)'!$V$7,Model!AB$1,'Assumptions (Geo)'!$V$10,'Assumptions (Geo)'!$V$5*Model!$AE$1579*AVERAGE('Assumptions (Geo)'!$AA$2:$AC$2)/10^9),0)</f>
        <v>0</v>
      </c>
      <c r="AK1664" s="160">
        <f>IF($AE$1579&gt;0,PPMT('Assumptions (Geo)'!$V$7,Model!AC$1,'Assumptions (Geo)'!$V$10,'Assumptions (Geo)'!$V$5*Model!$AE$1579*AVERAGE('Assumptions (Geo)'!$AA$2:$AC$2)/10^9),0)</f>
        <v>0</v>
      </c>
      <c r="AL1664" s="160">
        <f>IF($AE$1579&gt;0,PPMT('Assumptions (Geo)'!$V$7,Model!AD$1,'Assumptions (Geo)'!$V$10,'Assumptions (Geo)'!$V$5*Model!$AE$1579*AVERAGE('Assumptions (Geo)'!$AA$2:$AC$2)/10^9),0)</f>
        <v>0</v>
      </c>
      <c r="AM1664" s="160">
        <f>IF($AE$1579&gt;0,PPMT('Assumptions (Geo)'!$V$7,Model!AE$1,'Assumptions (Geo)'!$V$10,'Assumptions (Geo)'!$V$5*Model!$AE$1579*AVERAGE('Assumptions (Geo)'!$AA$2:$AC$2)/10^9),0)</f>
        <v>0</v>
      </c>
      <c r="AN1664" s="160">
        <f>IF($AE$1579&gt;0,PPMT('Assumptions (Geo)'!$V$7,Model!AF$1,'Assumptions (Geo)'!$V$10,'Assumptions (Geo)'!$V$5*Model!$AE$1579*AVERAGE('Assumptions (Geo)'!$AA$2:$AC$2)/10^9),0)</f>
        <v>0</v>
      </c>
      <c r="AO1664" s="160">
        <f>IF($AE$1579&gt;0,PPMT('Assumptions (Geo)'!$V$7,Model!AG$1,'Assumptions (Geo)'!$V$10,'Assumptions (Geo)'!$V$5*Model!$AE$1579*AVERAGE('Assumptions (Geo)'!$AA$2:$AC$2)/10^9),0)</f>
        <v>0</v>
      </c>
      <c r="AP1664" s="160">
        <f>IF($AE$1579&gt;0,PPMT('Assumptions (Geo)'!$V$7,Model!AH$1,'Assumptions (Geo)'!$V$10,'Assumptions (Geo)'!$V$5*Model!$AE$1579*AVERAGE('Assumptions (Geo)'!$AA$2:$AC$2)/10^9),0)</f>
        <v>0</v>
      </c>
      <c r="AQ1664" s="160">
        <f>IF($AE$1579&gt;0,PPMT('Assumptions (Geo)'!$V$7,Model!AI$1,'Assumptions (Geo)'!$V$10,'Assumptions (Geo)'!$V$5*Model!$AE$1579*AVERAGE('Assumptions (Geo)'!$AA$2:$AC$2)/10^9),0)</f>
        <v>0</v>
      </c>
      <c r="AR1664" s="160">
        <f>IF($AE$1579&gt;0,PPMT('Assumptions (Geo)'!$V$7,Model!AJ$1,'Assumptions (Geo)'!$V$10,'Assumptions (Geo)'!$V$5*Model!$AE$1579*AVERAGE('Assumptions (Geo)'!$AA$2:$AC$2)/10^9),0)</f>
        <v>0</v>
      </c>
      <c r="AS1664" s="160">
        <f>IF($AE$1579&gt;0,PPMT('Assumptions (Geo)'!$V$7,Model!AK$1,'Assumptions (Geo)'!$V$10,'Assumptions (Geo)'!$V$5*Model!$AE$1579*AVERAGE('Assumptions (Geo)'!$AA$2:$AC$2)/10^9),0)</f>
        <v>0</v>
      </c>
      <c r="AT1664" s="160"/>
      <c r="AU1664" s="160"/>
      <c r="AV1664" s="160"/>
      <c r="AW1664" s="160"/>
      <c r="AX1664" s="160"/>
      <c r="AY1664" s="160"/>
      <c r="AZ1664" s="160"/>
      <c r="BA1664" s="160"/>
      <c r="BB1664" s="160"/>
      <c r="BC1664" s="160"/>
    </row>
    <row r="1665" ht="15.75" hidden="1" customHeight="1" outlineLevel="1">
      <c r="A1665" s="295"/>
      <c r="B1665" s="38"/>
      <c r="C1665" s="174"/>
      <c r="D1665" s="174"/>
      <c r="E1665" s="174"/>
      <c r="F1665" s="174"/>
      <c r="G1665" s="174"/>
      <c r="H1665" s="174"/>
      <c r="I1665" s="174"/>
      <c r="J1665" s="174"/>
      <c r="K1665" s="174"/>
      <c r="L1665" s="174"/>
      <c r="M1665" s="174"/>
      <c r="N1665" s="174"/>
      <c r="O1665" s="174"/>
      <c r="P1665" s="174"/>
      <c r="Q1665" s="174"/>
      <c r="R1665" s="174"/>
      <c r="S1665" s="174"/>
      <c r="T1665" s="174"/>
      <c r="U1665" s="174"/>
      <c r="V1665" s="174"/>
      <c r="W1665" s="160"/>
      <c r="X1665" s="160"/>
      <c r="Y1665" s="160"/>
      <c r="Z1665" s="160"/>
      <c r="AA1665" s="160"/>
      <c r="AB1665" s="160"/>
      <c r="AC1665" s="160"/>
      <c r="AD1665" s="160"/>
      <c r="AE1665" s="160"/>
      <c r="AF1665" s="160">
        <f>IF($AF$1579&gt;0,PPMT('Assumptions (Geo)'!$V$7,Model!W$1,'Assumptions (Geo)'!$V$10,'Assumptions (Geo)'!$V$5*Model!$AF$1579*AVERAGE('Assumptions (Geo)'!$AB$2:$AD$2)/10^9),0)</f>
        <v>0</v>
      </c>
      <c r="AG1665" s="160">
        <f>IF($AF$1579&gt;0,PPMT('Assumptions (Geo)'!$V$7,Model!X$1,'Assumptions (Geo)'!$V$10,'Assumptions (Geo)'!$V$5*Model!$AF$1579*AVERAGE('Assumptions (Geo)'!$AB$2:$AD$2)/10^9),0)</f>
        <v>0</v>
      </c>
      <c r="AH1665" s="160">
        <f>IF($AF$1579&gt;0,PPMT('Assumptions (Geo)'!$V$7,Model!Y$1,'Assumptions (Geo)'!$V$10,'Assumptions (Geo)'!$V$5*Model!$AF$1579*AVERAGE('Assumptions (Geo)'!$AB$2:$AD$2)/10^9),0)</f>
        <v>0</v>
      </c>
      <c r="AI1665" s="160">
        <f>IF($AF$1579&gt;0,PPMT('Assumptions (Geo)'!$V$7,Model!Z$1,'Assumptions (Geo)'!$V$10,'Assumptions (Geo)'!$V$5*Model!$AF$1579*AVERAGE('Assumptions (Geo)'!$AB$2:$AD$2)/10^9),0)</f>
        <v>0</v>
      </c>
      <c r="AJ1665" s="160">
        <f>IF($AF$1579&gt;0,PPMT('Assumptions (Geo)'!$V$7,Model!AA$1,'Assumptions (Geo)'!$V$10,'Assumptions (Geo)'!$V$5*Model!$AF$1579*AVERAGE('Assumptions (Geo)'!$AB$2:$AD$2)/10^9),0)</f>
        <v>0</v>
      </c>
      <c r="AK1665" s="160">
        <f>IF($AF$1579&gt;0,PPMT('Assumptions (Geo)'!$V$7,Model!AB$1,'Assumptions (Geo)'!$V$10,'Assumptions (Geo)'!$V$5*Model!$AF$1579*AVERAGE('Assumptions (Geo)'!$AB$2:$AD$2)/10^9),0)</f>
        <v>0</v>
      </c>
      <c r="AL1665" s="160">
        <f>IF($AF$1579&gt;0,PPMT('Assumptions (Geo)'!$V$7,Model!AC$1,'Assumptions (Geo)'!$V$10,'Assumptions (Geo)'!$V$5*Model!$AF$1579*AVERAGE('Assumptions (Geo)'!$AB$2:$AD$2)/10^9),0)</f>
        <v>0</v>
      </c>
      <c r="AM1665" s="160">
        <f>IF($AF$1579&gt;0,PPMT('Assumptions (Geo)'!$V$7,Model!AD$1,'Assumptions (Geo)'!$V$10,'Assumptions (Geo)'!$V$5*Model!$AF$1579*AVERAGE('Assumptions (Geo)'!$AB$2:$AD$2)/10^9),0)</f>
        <v>0</v>
      </c>
      <c r="AN1665" s="160">
        <f>IF($AF$1579&gt;0,PPMT('Assumptions (Geo)'!$V$7,Model!AE$1,'Assumptions (Geo)'!$V$10,'Assumptions (Geo)'!$V$5*Model!$AF$1579*AVERAGE('Assumptions (Geo)'!$AB$2:$AD$2)/10^9),0)</f>
        <v>0</v>
      </c>
      <c r="AO1665" s="160">
        <f>IF($AF$1579&gt;0,PPMT('Assumptions (Geo)'!$V$7,Model!AF$1,'Assumptions (Geo)'!$V$10,'Assumptions (Geo)'!$V$5*Model!$AF$1579*AVERAGE('Assumptions (Geo)'!$AB$2:$AD$2)/10^9),0)</f>
        <v>0</v>
      </c>
      <c r="AP1665" s="160">
        <f>IF($AF$1579&gt;0,PPMT('Assumptions (Geo)'!$V$7,Model!AG$1,'Assumptions (Geo)'!$V$10,'Assumptions (Geo)'!$V$5*Model!$AF$1579*AVERAGE('Assumptions (Geo)'!$AB$2:$AD$2)/10^9),0)</f>
        <v>0</v>
      </c>
      <c r="AQ1665" s="160">
        <f>IF($AF$1579&gt;0,PPMT('Assumptions (Geo)'!$V$7,Model!AH$1,'Assumptions (Geo)'!$V$10,'Assumptions (Geo)'!$V$5*Model!$AF$1579*AVERAGE('Assumptions (Geo)'!$AB$2:$AD$2)/10^9),0)</f>
        <v>0</v>
      </c>
      <c r="AR1665" s="160">
        <f>IF($AF$1579&gt;0,PPMT('Assumptions (Geo)'!$V$7,Model!AI$1,'Assumptions (Geo)'!$V$10,'Assumptions (Geo)'!$V$5*Model!$AF$1579*AVERAGE('Assumptions (Geo)'!$AB$2:$AD$2)/10^9),0)</f>
        <v>0</v>
      </c>
      <c r="AS1665" s="160">
        <f>IF($AF$1579&gt;0,PPMT('Assumptions (Geo)'!$V$7,Model!AJ$1,'Assumptions (Geo)'!$V$10,'Assumptions (Geo)'!$V$5*Model!$AF$1579*AVERAGE('Assumptions (Geo)'!$AB$2:$AD$2)/10^9),0)</f>
        <v>0</v>
      </c>
      <c r="AT1665" s="160">
        <f>IF($AF$1579&gt;0,PPMT('Assumptions (Geo)'!$V$7,Model!AK$1,'Assumptions (Geo)'!$V$10,'Assumptions (Geo)'!$V$5*Model!$AF$1579*AVERAGE('Assumptions (Geo)'!$AB$2:$AD$2)/10^9),0)</f>
        <v>0</v>
      </c>
      <c r="AU1665" s="160"/>
      <c r="AV1665" s="160"/>
      <c r="AW1665" s="160"/>
      <c r="AX1665" s="160"/>
      <c r="AY1665" s="160"/>
      <c r="AZ1665" s="160"/>
      <c r="BA1665" s="160"/>
      <c r="BB1665" s="160"/>
      <c r="BC1665" s="160"/>
      <c r="BD1665" s="160"/>
    </row>
    <row r="1666" ht="15.75" hidden="1" customHeight="1" outlineLevel="1">
      <c r="A1666" s="295"/>
      <c r="B1666" s="38"/>
      <c r="C1666" s="174"/>
      <c r="D1666" s="174"/>
      <c r="E1666" s="174"/>
      <c r="F1666" s="174"/>
      <c r="G1666" s="174"/>
      <c r="H1666" s="174"/>
      <c r="I1666" s="174"/>
      <c r="J1666" s="174"/>
      <c r="K1666" s="174"/>
      <c r="L1666" s="174"/>
      <c r="M1666" s="174"/>
      <c r="N1666" s="174"/>
      <c r="O1666" s="174"/>
      <c r="P1666" s="174"/>
      <c r="Q1666" s="174"/>
      <c r="R1666" s="174"/>
      <c r="S1666" s="174"/>
      <c r="T1666" s="174"/>
      <c r="U1666" s="174"/>
      <c r="V1666" s="174"/>
      <c r="W1666" s="160"/>
      <c r="X1666" s="160"/>
      <c r="Y1666" s="160"/>
      <c r="Z1666" s="160"/>
      <c r="AA1666" s="160"/>
      <c r="AB1666" s="160"/>
      <c r="AC1666" s="160"/>
      <c r="AD1666" s="160"/>
      <c r="AE1666" s="160"/>
      <c r="AF1666" s="160"/>
      <c r="AG1666" s="160">
        <f>IF($AG$1579&gt;0,PPMT('Assumptions (Geo)'!$V$7,Model!W$1,'Assumptions (Geo)'!$V$10,'Assumptions (Geo)'!$V$5*Model!$AG$1579*AVERAGE('Assumptions (Geo)'!$AC$2:$AE$2)/10^9),0)</f>
        <v>0</v>
      </c>
      <c r="AH1666" s="160">
        <f>IF($AG$1579&gt;0,PPMT('Assumptions (Geo)'!$V$7,Model!X$1,'Assumptions (Geo)'!$V$10,'Assumptions (Geo)'!$V$5*Model!$AG$1579*AVERAGE('Assumptions (Geo)'!$AC$2:$AE$2)/10^9),0)</f>
        <v>0</v>
      </c>
      <c r="AI1666" s="160">
        <f>IF($AG$1579&gt;0,PPMT('Assumptions (Geo)'!$V$7,Model!Y$1,'Assumptions (Geo)'!$V$10,'Assumptions (Geo)'!$V$5*Model!$AG$1579*AVERAGE('Assumptions (Geo)'!$AC$2:$AE$2)/10^9),0)</f>
        <v>0</v>
      </c>
      <c r="AJ1666" s="160">
        <f>IF($AG$1579&gt;0,PPMT('Assumptions (Geo)'!$V$7,Model!Z$1,'Assumptions (Geo)'!$V$10,'Assumptions (Geo)'!$V$5*Model!$AG$1579*AVERAGE('Assumptions (Geo)'!$AC$2:$AE$2)/10^9),0)</f>
        <v>0</v>
      </c>
      <c r="AK1666" s="160">
        <f>IF($AG$1579&gt;0,PPMT('Assumptions (Geo)'!$V$7,Model!AA$1,'Assumptions (Geo)'!$V$10,'Assumptions (Geo)'!$V$5*Model!$AG$1579*AVERAGE('Assumptions (Geo)'!$AC$2:$AE$2)/10^9),0)</f>
        <v>0</v>
      </c>
      <c r="AL1666" s="160">
        <f>IF($AG$1579&gt;0,PPMT('Assumptions (Geo)'!$V$7,Model!AB$1,'Assumptions (Geo)'!$V$10,'Assumptions (Geo)'!$V$5*Model!$AG$1579*AVERAGE('Assumptions (Geo)'!$AC$2:$AE$2)/10^9),0)</f>
        <v>0</v>
      </c>
      <c r="AM1666" s="160">
        <f>IF($AG$1579&gt;0,PPMT('Assumptions (Geo)'!$V$7,Model!AC$1,'Assumptions (Geo)'!$V$10,'Assumptions (Geo)'!$V$5*Model!$AG$1579*AVERAGE('Assumptions (Geo)'!$AC$2:$AE$2)/10^9),0)</f>
        <v>0</v>
      </c>
      <c r="AN1666" s="160">
        <f>IF($AG$1579&gt;0,PPMT('Assumptions (Geo)'!$V$7,Model!AD$1,'Assumptions (Geo)'!$V$10,'Assumptions (Geo)'!$V$5*Model!$AG$1579*AVERAGE('Assumptions (Geo)'!$AC$2:$AE$2)/10^9),0)</f>
        <v>0</v>
      </c>
      <c r="AO1666" s="160">
        <f>IF($AG$1579&gt;0,PPMT('Assumptions (Geo)'!$V$7,Model!AE$1,'Assumptions (Geo)'!$V$10,'Assumptions (Geo)'!$V$5*Model!$AG$1579*AVERAGE('Assumptions (Geo)'!$AC$2:$AE$2)/10^9),0)</f>
        <v>0</v>
      </c>
      <c r="AP1666" s="160">
        <f>IF($AG$1579&gt;0,PPMT('Assumptions (Geo)'!$V$7,Model!AF$1,'Assumptions (Geo)'!$V$10,'Assumptions (Geo)'!$V$5*Model!$AG$1579*AVERAGE('Assumptions (Geo)'!$AC$2:$AE$2)/10^9),0)</f>
        <v>0</v>
      </c>
      <c r="AQ1666" s="160">
        <f>IF($AG$1579&gt;0,PPMT('Assumptions (Geo)'!$V$7,Model!AG$1,'Assumptions (Geo)'!$V$10,'Assumptions (Geo)'!$V$5*Model!$AG$1579*AVERAGE('Assumptions (Geo)'!$AC$2:$AE$2)/10^9),0)</f>
        <v>0</v>
      </c>
      <c r="AR1666" s="160">
        <f>IF($AG$1579&gt;0,PPMT('Assumptions (Geo)'!$V$7,Model!AH$1,'Assumptions (Geo)'!$V$10,'Assumptions (Geo)'!$V$5*Model!$AG$1579*AVERAGE('Assumptions (Geo)'!$AC$2:$AE$2)/10^9),0)</f>
        <v>0</v>
      </c>
      <c r="AS1666" s="160">
        <f>IF($AG$1579&gt;0,PPMT('Assumptions (Geo)'!$V$7,Model!AI$1,'Assumptions (Geo)'!$V$10,'Assumptions (Geo)'!$V$5*Model!$AG$1579*AVERAGE('Assumptions (Geo)'!$AC$2:$AE$2)/10^9),0)</f>
        <v>0</v>
      </c>
      <c r="AT1666" s="160">
        <f>IF($AG$1579&gt;0,PPMT('Assumptions (Geo)'!$V$7,Model!AJ$1,'Assumptions (Geo)'!$V$10,'Assumptions (Geo)'!$V$5*Model!$AG$1579*AVERAGE('Assumptions (Geo)'!$AC$2:$AE$2)/10^9),0)</f>
        <v>0</v>
      </c>
      <c r="AU1666" s="160">
        <f>IF($AG$1579&gt;0,PPMT('Assumptions (Geo)'!$V$7,Model!AK$1,'Assumptions (Geo)'!$V$10,'Assumptions (Geo)'!$V$5*Model!$AG$1579*AVERAGE('Assumptions (Geo)'!$AC$2:$AE$2)/10^9),0)</f>
        <v>0</v>
      </c>
      <c r="AV1666" s="160"/>
      <c r="AW1666" s="160"/>
      <c r="AX1666" s="160"/>
      <c r="AY1666" s="160"/>
      <c r="AZ1666" s="160"/>
      <c r="BA1666" s="160"/>
      <c r="BB1666" s="160"/>
      <c r="BC1666" s="160"/>
      <c r="BD1666" s="160"/>
      <c r="BE1666" s="160"/>
    </row>
    <row r="1667" ht="15.75" hidden="1" customHeight="1" outlineLevel="1">
      <c r="A1667" s="295"/>
      <c r="B1667" s="38"/>
      <c r="C1667" s="174"/>
      <c r="D1667" s="174"/>
      <c r="E1667" s="174"/>
      <c r="F1667" s="174"/>
      <c r="G1667" s="174"/>
      <c r="H1667" s="174"/>
      <c r="I1667" s="174"/>
      <c r="J1667" s="174"/>
      <c r="K1667" s="174"/>
      <c r="L1667" s="174"/>
      <c r="M1667" s="174"/>
      <c r="N1667" s="174"/>
      <c r="O1667" s="174"/>
      <c r="P1667" s="174"/>
      <c r="Q1667" s="174"/>
      <c r="R1667" s="174"/>
      <c r="S1667" s="174"/>
      <c r="T1667" s="174"/>
      <c r="U1667" s="174"/>
      <c r="V1667" s="174"/>
      <c r="W1667" s="160"/>
      <c r="X1667" s="160"/>
      <c r="Y1667" s="160"/>
      <c r="Z1667" s="160"/>
      <c r="AA1667" s="160"/>
      <c r="AB1667" s="160"/>
      <c r="AC1667" s="160"/>
      <c r="AD1667" s="160"/>
      <c r="AE1667" s="160"/>
      <c r="AF1667" s="160"/>
      <c r="AG1667" s="160"/>
      <c r="AH1667" s="160">
        <f>IF($AH$1579&gt;0,PPMT('Assumptions (Geo)'!$V$7,Model!W$1,'Assumptions (Geo)'!$V$10,'Assumptions (Geo)'!$V$5*Model!$AH$1579*AVERAGE('Assumptions (Geo)'!$AD$2:$AF$2)/10^9),0)</f>
        <v>0</v>
      </c>
      <c r="AI1667" s="160">
        <f>IF($AH$1579&gt;0,PPMT('Assumptions (Geo)'!$V$7,Model!X$1,'Assumptions (Geo)'!$V$10,'Assumptions (Geo)'!$V$5*Model!$AH$1579*AVERAGE('Assumptions (Geo)'!$AD$2:$AF$2)/10^9),0)</f>
        <v>0</v>
      </c>
      <c r="AJ1667" s="160">
        <f>IF($AH$1579&gt;0,PPMT('Assumptions (Geo)'!$V$7,Model!Y$1,'Assumptions (Geo)'!$V$10,'Assumptions (Geo)'!$V$5*Model!$AH$1579*AVERAGE('Assumptions (Geo)'!$AD$2:$AF$2)/10^9),0)</f>
        <v>0</v>
      </c>
      <c r="AK1667" s="160">
        <f>IF($AH$1579&gt;0,PPMT('Assumptions (Geo)'!$V$7,Model!Z$1,'Assumptions (Geo)'!$V$10,'Assumptions (Geo)'!$V$5*Model!$AH$1579*AVERAGE('Assumptions (Geo)'!$AD$2:$AF$2)/10^9),0)</f>
        <v>0</v>
      </c>
      <c r="AL1667" s="160">
        <f>IF($AH$1579&gt;0,PPMT('Assumptions (Geo)'!$V$7,Model!AA$1,'Assumptions (Geo)'!$V$10,'Assumptions (Geo)'!$V$5*Model!$AH$1579*AVERAGE('Assumptions (Geo)'!$AD$2:$AF$2)/10^9),0)</f>
        <v>0</v>
      </c>
      <c r="AM1667" s="160">
        <f>IF($AH$1579&gt;0,PPMT('Assumptions (Geo)'!$V$7,Model!AB$1,'Assumptions (Geo)'!$V$10,'Assumptions (Geo)'!$V$5*Model!$AH$1579*AVERAGE('Assumptions (Geo)'!$AD$2:$AF$2)/10^9),0)</f>
        <v>0</v>
      </c>
      <c r="AN1667" s="160">
        <f>IF($AH$1579&gt;0,PPMT('Assumptions (Geo)'!$V$7,Model!AC$1,'Assumptions (Geo)'!$V$10,'Assumptions (Geo)'!$V$5*Model!$AH$1579*AVERAGE('Assumptions (Geo)'!$AD$2:$AF$2)/10^9),0)</f>
        <v>0</v>
      </c>
      <c r="AO1667" s="160">
        <f>IF($AH$1579&gt;0,PPMT('Assumptions (Geo)'!$V$7,Model!AD$1,'Assumptions (Geo)'!$V$10,'Assumptions (Geo)'!$V$5*Model!$AH$1579*AVERAGE('Assumptions (Geo)'!$AD$2:$AF$2)/10^9),0)</f>
        <v>0</v>
      </c>
      <c r="AP1667" s="160">
        <f>IF($AH$1579&gt;0,PPMT('Assumptions (Geo)'!$V$7,Model!AE$1,'Assumptions (Geo)'!$V$10,'Assumptions (Geo)'!$V$5*Model!$AH$1579*AVERAGE('Assumptions (Geo)'!$AD$2:$AF$2)/10^9),0)</f>
        <v>0</v>
      </c>
      <c r="AQ1667" s="160">
        <f>IF($AH$1579&gt;0,PPMT('Assumptions (Geo)'!$V$7,Model!AF$1,'Assumptions (Geo)'!$V$10,'Assumptions (Geo)'!$V$5*Model!$AH$1579*AVERAGE('Assumptions (Geo)'!$AD$2:$AF$2)/10^9),0)</f>
        <v>0</v>
      </c>
      <c r="AR1667" s="160">
        <f>IF($AH$1579&gt;0,PPMT('Assumptions (Geo)'!$V$7,Model!AG$1,'Assumptions (Geo)'!$V$10,'Assumptions (Geo)'!$V$5*Model!$AH$1579*AVERAGE('Assumptions (Geo)'!$AD$2:$AF$2)/10^9),0)</f>
        <v>0</v>
      </c>
      <c r="AS1667" s="160">
        <f>IF($AH$1579&gt;0,PPMT('Assumptions (Geo)'!$V$7,Model!AH$1,'Assumptions (Geo)'!$V$10,'Assumptions (Geo)'!$V$5*Model!$AH$1579*AVERAGE('Assumptions (Geo)'!$AD$2:$AF$2)/10^9),0)</f>
        <v>0</v>
      </c>
      <c r="AT1667" s="160">
        <f>IF($AH$1579&gt;0,PPMT('Assumptions (Geo)'!$V$7,Model!AI$1,'Assumptions (Geo)'!$V$10,'Assumptions (Geo)'!$V$5*Model!$AH$1579*AVERAGE('Assumptions (Geo)'!$AD$2:$AF$2)/10^9),0)</f>
        <v>0</v>
      </c>
      <c r="AU1667" s="160">
        <f>IF($AH$1579&gt;0,PPMT('Assumptions (Geo)'!$V$7,Model!AJ$1,'Assumptions (Geo)'!$V$10,'Assumptions (Geo)'!$V$5*Model!$AH$1579*AVERAGE('Assumptions (Geo)'!$AD$2:$AF$2)/10^9),0)</f>
        <v>0</v>
      </c>
      <c r="AV1667" s="160">
        <f>IF($AH$1579&gt;0,PPMT('Assumptions (Geo)'!$V$7,Model!AK$1,'Assumptions (Geo)'!$V$10,'Assumptions (Geo)'!$V$5*Model!$AH$1579*AVERAGE('Assumptions (Geo)'!$AD$2:$AF$2)/10^9),0)</f>
        <v>0</v>
      </c>
      <c r="AW1667" s="160"/>
      <c r="AX1667" s="160"/>
      <c r="AY1667" s="160"/>
      <c r="AZ1667" s="160"/>
      <c r="BA1667" s="160"/>
      <c r="BB1667" s="160"/>
      <c r="BC1667" s="160"/>
      <c r="BD1667" s="160"/>
      <c r="BE1667" s="160"/>
      <c r="BF1667" s="160"/>
    </row>
    <row r="1668" ht="15.75" hidden="1" customHeight="1" outlineLevel="1">
      <c r="A1668" s="295"/>
      <c r="B1668" s="38"/>
      <c r="C1668" s="174"/>
      <c r="D1668" s="174"/>
      <c r="E1668" s="174"/>
      <c r="F1668" s="174"/>
      <c r="G1668" s="174"/>
      <c r="H1668" s="174"/>
      <c r="I1668" s="174"/>
      <c r="J1668" s="174"/>
      <c r="K1668" s="174"/>
      <c r="L1668" s="174"/>
      <c r="M1668" s="174"/>
      <c r="N1668" s="174"/>
      <c r="O1668" s="174"/>
      <c r="P1668" s="174"/>
      <c r="Q1668" s="174"/>
      <c r="R1668" s="174"/>
      <c r="S1668" s="174"/>
      <c r="T1668" s="174"/>
      <c r="U1668" s="174"/>
      <c r="V1668" s="174"/>
      <c r="W1668" s="160"/>
      <c r="X1668" s="160"/>
      <c r="Y1668" s="160"/>
      <c r="Z1668" s="160"/>
      <c r="AA1668" s="160"/>
      <c r="AB1668" s="160"/>
      <c r="AC1668" s="160"/>
      <c r="AD1668" s="160"/>
      <c r="AE1668" s="160"/>
      <c r="AF1668" s="160"/>
      <c r="AG1668" s="160"/>
      <c r="AH1668" s="160"/>
      <c r="AI1668" s="160">
        <f>IF($AI$1579&gt;0,PPMT('Assumptions (Geo)'!$V$7,Model!W$1,'Assumptions (Geo)'!$V$10,'Assumptions (Geo)'!$V$5*Model!$AI$1579*AVERAGE('Assumptions (Geo)'!$AE$2:$AG$2)/10^9),0)</f>
        <v>0</v>
      </c>
      <c r="AJ1668" s="160">
        <f>IF($AI$1579&gt;0,PPMT('Assumptions (Geo)'!$V$7,Model!X$1,'Assumptions (Geo)'!$V$10,'Assumptions (Geo)'!$V$5*Model!$AI$1579*AVERAGE('Assumptions (Geo)'!$AE$2:$AG$2)/10^9),0)</f>
        <v>0</v>
      </c>
      <c r="AK1668" s="160">
        <f>IF($AI$1579&gt;0,PPMT('Assumptions (Geo)'!$V$7,Model!Y$1,'Assumptions (Geo)'!$V$10,'Assumptions (Geo)'!$V$5*Model!$AI$1579*AVERAGE('Assumptions (Geo)'!$AE$2:$AG$2)/10^9),0)</f>
        <v>0</v>
      </c>
      <c r="AL1668" s="160">
        <f>IF($AI$1579&gt;0,PPMT('Assumptions (Geo)'!$V$7,Model!Z$1,'Assumptions (Geo)'!$V$10,'Assumptions (Geo)'!$V$5*Model!$AI$1579*AVERAGE('Assumptions (Geo)'!$AE$2:$AG$2)/10^9),0)</f>
        <v>0</v>
      </c>
      <c r="AM1668" s="160">
        <f>IF($AI$1579&gt;0,PPMT('Assumptions (Geo)'!$V$7,Model!AA$1,'Assumptions (Geo)'!$V$10,'Assumptions (Geo)'!$V$5*Model!$AI$1579*AVERAGE('Assumptions (Geo)'!$AE$2:$AG$2)/10^9),0)</f>
        <v>0</v>
      </c>
      <c r="AN1668" s="160">
        <f>IF($AI$1579&gt;0,PPMT('Assumptions (Geo)'!$V$7,Model!AB$1,'Assumptions (Geo)'!$V$10,'Assumptions (Geo)'!$V$5*Model!$AI$1579*AVERAGE('Assumptions (Geo)'!$AE$2:$AG$2)/10^9),0)</f>
        <v>0</v>
      </c>
      <c r="AO1668" s="160">
        <f>IF($AI$1579&gt;0,PPMT('Assumptions (Geo)'!$V$7,Model!AC$1,'Assumptions (Geo)'!$V$10,'Assumptions (Geo)'!$V$5*Model!$AI$1579*AVERAGE('Assumptions (Geo)'!$AE$2:$AG$2)/10^9),0)</f>
        <v>0</v>
      </c>
      <c r="AP1668" s="160">
        <f>IF($AI$1579&gt;0,PPMT('Assumptions (Geo)'!$V$7,Model!AD$1,'Assumptions (Geo)'!$V$10,'Assumptions (Geo)'!$V$5*Model!$AI$1579*AVERAGE('Assumptions (Geo)'!$AE$2:$AG$2)/10^9),0)</f>
        <v>0</v>
      </c>
      <c r="AQ1668" s="160">
        <f>IF($AI$1579&gt;0,PPMT('Assumptions (Geo)'!$V$7,Model!AE$1,'Assumptions (Geo)'!$V$10,'Assumptions (Geo)'!$V$5*Model!$AI$1579*AVERAGE('Assumptions (Geo)'!$AE$2:$AG$2)/10^9),0)</f>
        <v>0</v>
      </c>
      <c r="AR1668" s="160">
        <f>IF($AI$1579&gt;0,PPMT('Assumptions (Geo)'!$V$7,Model!AF$1,'Assumptions (Geo)'!$V$10,'Assumptions (Geo)'!$V$5*Model!$AI$1579*AVERAGE('Assumptions (Geo)'!$AE$2:$AG$2)/10^9),0)</f>
        <v>0</v>
      </c>
      <c r="AS1668" s="160">
        <f>IF($AI$1579&gt;0,PPMT('Assumptions (Geo)'!$V$7,Model!AG$1,'Assumptions (Geo)'!$V$10,'Assumptions (Geo)'!$V$5*Model!$AI$1579*AVERAGE('Assumptions (Geo)'!$AE$2:$AG$2)/10^9),0)</f>
        <v>0</v>
      </c>
      <c r="AT1668" s="160">
        <f>IF($AI$1579&gt;0,PPMT('Assumptions (Geo)'!$V$7,Model!AH$1,'Assumptions (Geo)'!$V$10,'Assumptions (Geo)'!$V$5*Model!$AI$1579*AVERAGE('Assumptions (Geo)'!$AE$2:$AG$2)/10^9),0)</f>
        <v>0</v>
      </c>
      <c r="AU1668" s="160">
        <f>IF($AI$1579&gt;0,PPMT('Assumptions (Geo)'!$V$7,Model!AI$1,'Assumptions (Geo)'!$V$10,'Assumptions (Geo)'!$V$5*Model!$AI$1579*AVERAGE('Assumptions (Geo)'!$AE$2:$AG$2)/10^9),0)</f>
        <v>0</v>
      </c>
      <c r="AV1668" s="160">
        <f>IF($AI$1579&gt;0,PPMT('Assumptions (Geo)'!$V$7,Model!AJ$1,'Assumptions (Geo)'!$V$10,'Assumptions (Geo)'!$V$5*Model!$AI$1579*AVERAGE('Assumptions (Geo)'!$AE$2:$AG$2)/10^9),0)</f>
        <v>0</v>
      </c>
      <c r="AW1668" s="160">
        <f>IF($AI$1579&gt;0,PPMT('Assumptions (Geo)'!$V$7,Model!AK$1,'Assumptions (Geo)'!$V$10,'Assumptions (Geo)'!$V$5*Model!$AI$1579*AVERAGE('Assumptions (Geo)'!$AE$2:$AG$2)/10^9),0)</f>
        <v>0</v>
      </c>
      <c r="AX1668" s="160"/>
      <c r="AY1668" s="160"/>
      <c r="AZ1668" s="160"/>
      <c r="BA1668" s="160"/>
      <c r="BB1668" s="160"/>
      <c r="BC1668" s="160"/>
      <c r="BD1668" s="160"/>
      <c r="BE1668" s="160"/>
      <c r="BF1668" s="160"/>
      <c r="BG1668" s="160"/>
    </row>
    <row r="1669" ht="15.75" hidden="1" customHeight="1" outlineLevel="1">
      <c r="A1669" s="295"/>
      <c r="B1669" s="38"/>
      <c r="C1669" s="174"/>
      <c r="D1669" s="174"/>
      <c r="E1669" s="174"/>
      <c r="F1669" s="174"/>
      <c r="G1669" s="174"/>
      <c r="H1669" s="174"/>
      <c r="I1669" s="174"/>
      <c r="J1669" s="174"/>
      <c r="K1669" s="174"/>
      <c r="L1669" s="174"/>
      <c r="M1669" s="174"/>
      <c r="N1669" s="174"/>
      <c r="O1669" s="174"/>
      <c r="P1669" s="174"/>
      <c r="Q1669" s="174"/>
      <c r="R1669" s="174"/>
      <c r="S1669" s="174"/>
      <c r="T1669" s="174"/>
      <c r="U1669" s="174"/>
      <c r="V1669" s="174"/>
      <c r="W1669" s="160"/>
      <c r="X1669" s="160"/>
      <c r="Y1669" s="160"/>
      <c r="Z1669" s="160"/>
      <c r="AA1669" s="160"/>
      <c r="AB1669" s="160"/>
      <c r="AC1669" s="160"/>
      <c r="AD1669" s="160"/>
      <c r="AE1669" s="160"/>
      <c r="AF1669" s="160"/>
      <c r="AG1669" s="160"/>
      <c r="AH1669" s="160"/>
      <c r="AI1669" s="160"/>
      <c r="AJ1669" s="177">
        <f>IF($AJ$1579&gt;0,PPMT('Assumptions (Geo)'!$V$7,Model!W$1,'Assumptions (Geo)'!$V$10,'Assumptions (Geo)'!$V$5*Model!$AJ$1579*AVERAGE('Assumptions (Geo)'!$AF$2:$AH$2)/10^9),0)</f>
        <v>0</v>
      </c>
      <c r="AK1669" s="177">
        <f>IF($AJ$1579&gt;0,PPMT('Assumptions (Geo)'!$V$7,Model!X$1,'Assumptions (Geo)'!$V$10,'Assumptions (Geo)'!$V$5*Model!$AJ$1579*AVERAGE('Assumptions (Geo)'!$AF$2:$AH$2)/10^9),0)</f>
        <v>0</v>
      </c>
      <c r="AL1669" s="177">
        <f>IF($AJ$1579&gt;0,PPMT('Assumptions (Geo)'!$V$7,Model!Y$1,'Assumptions (Geo)'!$V$10,'Assumptions (Geo)'!$V$5*Model!$AJ$1579*AVERAGE('Assumptions (Geo)'!$AF$2:$AH$2)/10^9),0)</f>
        <v>0</v>
      </c>
      <c r="AM1669" s="177">
        <f>IF($AJ$1579&gt;0,PPMT('Assumptions (Geo)'!$V$7,Model!Z$1,'Assumptions (Geo)'!$V$10,'Assumptions (Geo)'!$V$5*Model!$AJ$1579*AVERAGE('Assumptions (Geo)'!$AF$2:$AH$2)/10^9),0)</f>
        <v>0</v>
      </c>
      <c r="AN1669" s="177">
        <f>IF($AJ$1579&gt;0,PPMT('Assumptions (Geo)'!$V$7,Model!AA$1,'Assumptions (Geo)'!$V$10,'Assumptions (Geo)'!$V$5*Model!$AJ$1579*AVERAGE('Assumptions (Geo)'!$AF$2:$AH$2)/10^9),0)</f>
        <v>0</v>
      </c>
      <c r="AO1669" s="177">
        <f>IF($AJ$1579&gt;0,PPMT('Assumptions (Geo)'!$V$7,Model!AB$1,'Assumptions (Geo)'!$V$10,'Assumptions (Geo)'!$V$5*Model!$AJ$1579*AVERAGE('Assumptions (Geo)'!$AF$2:$AH$2)/10^9),0)</f>
        <v>0</v>
      </c>
      <c r="AP1669" s="177">
        <f>IF($AJ$1579&gt;0,PPMT('Assumptions (Geo)'!$V$7,Model!AC$1,'Assumptions (Geo)'!$V$10,'Assumptions (Geo)'!$V$5*Model!$AJ$1579*AVERAGE('Assumptions (Geo)'!$AF$2:$AH$2)/10^9),0)</f>
        <v>0</v>
      </c>
      <c r="AQ1669" s="177">
        <f>IF($AJ$1579&gt;0,PPMT('Assumptions (Geo)'!$V$7,Model!AD$1,'Assumptions (Geo)'!$V$10,'Assumptions (Geo)'!$V$5*Model!$AJ$1579*AVERAGE('Assumptions (Geo)'!$AF$2:$AH$2)/10^9),0)</f>
        <v>0</v>
      </c>
      <c r="AR1669" s="177">
        <f>IF($AJ$1579&gt;0,PPMT('Assumptions (Geo)'!$V$7,Model!AE$1,'Assumptions (Geo)'!$V$10,'Assumptions (Geo)'!$V$5*Model!$AJ$1579*AVERAGE('Assumptions (Geo)'!$AF$2:$AH$2)/10^9),0)</f>
        <v>0</v>
      </c>
      <c r="AS1669" s="177">
        <f>IF($AJ$1579&gt;0,PPMT('Assumptions (Geo)'!$V$7,Model!AF$1,'Assumptions (Geo)'!$V$10,'Assumptions (Geo)'!$V$5*Model!$AJ$1579*AVERAGE('Assumptions (Geo)'!$AF$2:$AH$2)/10^9),0)</f>
        <v>0</v>
      </c>
      <c r="AT1669" s="177">
        <f>IF($AJ$1579&gt;0,PPMT('Assumptions (Geo)'!$V$7,Model!AG$1,'Assumptions (Geo)'!$V$10,'Assumptions (Geo)'!$V$5*Model!$AJ$1579*AVERAGE('Assumptions (Geo)'!$AF$2:$AH$2)/10^9),0)</f>
        <v>0</v>
      </c>
      <c r="AU1669" s="177">
        <f>IF($AJ$1579&gt;0,PPMT('Assumptions (Geo)'!$V$7,Model!AH$1,'Assumptions (Geo)'!$V$10,'Assumptions (Geo)'!$V$5*Model!$AJ$1579*AVERAGE('Assumptions (Geo)'!$AF$2:$AH$2)/10^9),0)</f>
        <v>0</v>
      </c>
      <c r="AV1669" s="177">
        <f>IF($AJ$1579&gt;0,PPMT('Assumptions (Geo)'!$V$7,Model!AI$1,'Assumptions (Geo)'!$V$10,'Assumptions (Geo)'!$V$5*Model!$AJ$1579*AVERAGE('Assumptions (Geo)'!$AF$2:$AH$2)/10^9),0)</f>
        <v>0</v>
      </c>
      <c r="AW1669" s="177">
        <f>IF($AJ$1579&gt;0,PPMT('Assumptions (Geo)'!$V$7,Model!AJ$1,'Assumptions (Geo)'!$V$10,'Assumptions (Geo)'!$V$5*Model!$AJ$1579*AVERAGE('Assumptions (Geo)'!$AF$2:$AH$2)/10^9),0)</f>
        <v>0</v>
      </c>
      <c r="AX1669" s="177">
        <f>IF($AJ$1579&gt;0,PPMT('Assumptions (Geo)'!$V$7,Model!AK$1,'Assumptions (Geo)'!$V$10,'Assumptions (Geo)'!$V$5*Model!$AJ$1579*AVERAGE('Assumptions (Geo)'!$AF$2:$AH$2)/10^9),0)</f>
        <v>0</v>
      </c>
      <c r="AY1669" s="177"/>
      <c r="AZ1669" s="177"/>
      <c r="BA1669" s="177"/>
      <c r="BB1669" s="177"/>
      <c r="BC1669" s="177"/>
      <c r="BD1669" s="177"/>
      <c r="BE1669" s="177"/>
      <c r="BF1669" s="177"/>
      <c r="BG1669" s="177"/>
      <c r="BH1669" s="177"/>
    </row>
    <row r="1670" ht="15.75" hidden="1" customHeight="1" outlineLevel="1">
      <c r="A1670" s="295"/>
      <c r="B1670" s="38"/>
      <c r="C1670" s="174"/>
      <c r="D1670" s="174"/>
      <c r="E1670" s="174"/>
      <c r="F1670" s="174"/>
      <c r="G1670" s="174"/>
      <c r="H1670" s="174"/>
      <c r="I1670" s="174"/>
      <c r="J1670" s="174"/>
      <c r="K1670" s="174"/>
      <c r="L1670" s="174"/>
      <c r="M1670" s="174"/>
      <c r="N1670" s="174"/>
      <c r="O1670" s="174"/>
      <c r="P1670" s="174"/>
      <c r="Q1670" s="174"/>
      <c r="R1670" s="174"/>
      <c r="S1670" s="174"/>
      <c r="T1670" s="174"/>
      <c r="U1670" s="174"/>
      <c r="V1670" s="174"/>
      <c r="W1670" s="160"/>
      <c r="X1670" s="160"/>
      <c r="Y1670" s="160"/>
      <c r="Z1670" s="160"/>
      <c r="AA1670" s="160"/>
      <c r="AB1670" s="160"/>
      <c r="AC1670" s="160"/>
      <c r="AD1670" s="160"/>
      <c r="AE1670" s="160"/>
      <c r="AF1670" s="160"/>
      <c r="AG1670" s="160"/>
      <c r="AH1670" s="160"/>
      <c r="AI1670" s="160"/>
      <c r="AJ1670" s="179"/>
      <c r="AK1670" s="160">
        <f>IF($AK$1579&gt;0,PPMT('Assumptions (Geo)'!$V$7,Model!W$1,'Assumptions (Geo)'!$V$10,'Assumptions (Geo)'!$V$5*Model!$AK$1579*AVERAGE('Assumptions (Geo)'!$AG$2:$AI$2)/10^9),0)</f>
        <v>0</v>
      </c>
      <c r="AL1670" s="160">
        <f>IF($AK$1579&gt;0,PPMT('Assumptions (Geo)'!$V$7,Model!X$1,'Assumptions (Geo)'!$V$10,'Assumptions (Geo)'!$V$5*Model!$AK$1579*AVERAGE('Assumptions (Geo)'!$AG$2:$AI$2)/10^9),0)</f>
        <v>0</v>
      </c>
      <c r="AM1670" s="160">
        <f>IF($AK$1579&gt;0,PPMT('Assumptions (Geo)'!$V$7,Model!Y$1,'Assumptions (Geo)'!$V$10,'Assumptions (Geo)'!$V$5*Model!$AK$1579*AVERAGE('Assumptions (Geo)'!$AG$2:$AI$2)/10^9),0)</f>
        <v>0</v>
      </c>
      <c r="AN1670" s="160">
        <f>IF($AK$1579&gt;0,PPMT('Assumptions (Geo)'!$V$7,Model!Z$1,'Assumptions (Geo)'!$V$10,'Assumptions (Geo)'!$V$5*Model!$AK$1579*AVERAGE('Assumptions (Geo)'!$AG$2:$AI$2)/10^9),0)</f>
        <v>0</v>
      </c>
      <c r="AO1670" s="160">
        <f>IF($AK$1579&gt;0,PPMT('Assumptions (Geo)'!$V$7,Model!AA$1,'Assumptions (Geo)'!$V$10,'Assumptions (Geo)'!$V$5*Model!$AK$1579*AVERAGE('Assumptions (Geo)'!$AG$2:$AI$2)/10^9),0)</f>
        <v>0</v>
      </c>
      <c r="AP1670" s="160">
        <f>IF($AK$1579&gt;0,PPMT('Assumptions (Geo)'!$V$7,Model!AB$1,'Assumptions (Geo)'!$V$10,'Assumptions (Geo)'!$V$5*Model!$AK$1579*AVERAGE('Assumptions (Geo)'!$AG$2:$AI$2)/10^9),0)</f>
        <v>0</v>
      </c>
      <c r="AQ1670" s="160">
        <f>IF($AK$1579&gt;0,PPMT('Assumptions (Geo)'!$V$7,Model!AC$1,'Assumptions (Geo)'!$V$10,'Assumptions (Geo)'!$V$5*Model!$AK$1579*AVERAGE('Assumptions (Geo)'!$AG$2:$AI$2)/10^9),0)</f>
        <v>0</v>
      </c>
      <c r="AR1670" s="160">
        <f>IF($AK$1579&gt;0,PPMT('Assumptions (Geo)'!$V$7,Model!AD$1,'Assumptions (Geo)'!$V$10,'Assumptions (Geo)'!$V$5*Model!$AK$1579*AVERAGE('Assumptions (Geo)'!$AG$2:$AI$2)/10^9),0)</f>
        <v>0</v>
      </c>
      <c r="AS1670" s="160">
        <f>IF($AK$1579&gt;0,PPMT('Assumptions (Geo)'!$V$7,Model!AE$1,'Assumptions (Geo)'!$V$10,'Assumptions (Geo)'!$V$5*Model!$AK$1579*AVERAGE('Assumptions (Geo)'!$AG$2:$AI$2)/10^9),0)</f>
        <v>0</v>
      </c>
      <c r="AT1670" s="160">
        <f>IF($AK$1579&gt;0,PPMT('Assumptions (Geo)'!$V$7,Model!AF$1,'Assumptions (Geo)'!$V$10,'Assumptions (Geo)'!$V$5*Model!$AK$1579*AVERAGE('Assumptions (Geo)'!$AG$2:$AI$2)/10^9),0)</f>
        <v>0</v>
      </c>
      <c r="AU1670" s="160">
        <f>IF($AK$1579&gt;0,PPMT('Assumptions (Geo)'!$V$7,Model!AG$1,'Assumptions (Geo)'!$V$10,'Assumptions (Geo)'!$V$5*Model!$AK$1579*AVERAGE('Assumptions (Geo)'!$AG$2:$AI$2)/10^9),0)</f>
        <v>0</v>
      </c>
      <c r="AV1670" s="160">
        <f>IF($AK$1579&gt;0,PPMT('Assumptions (Geo)'!$V$7,Model!AH$1,'Assumptions (Geo)'!$V$10,'Assumptions (Geo)'!$V$5*Model!$AK$1579*AVERAGE('Assumptions (Geo)'!$AG$2:$AI$2)/10^9),0)</f>
        <v>0</v>
      </c>
      <c r="AW1670" s="160">
        <f>IF($AK$1579&gt;0,PPMT('Assumptions (Geo)'!$V$7,Model!AI$1,'Assumptions (Geo)'!$V$10,'Assumptions (Geo)'!$V$5*Model!$AK$1579*AVERAGE('Assumptions (Geo)'!$AG$2:$AI$2)/10^9),0)</f>
        <v>0</v>
      </c>
      <c r="AX1670" s="160">
        <f>IF($AK$1579&gt;0,PPMT('Assumptions (Geo)'!$V$7,Model!AJ$1,'Assumptions (Geo)'!$V$10,'Assumptions (Geo)'!$V$5*Model!$AK$1579*AVERAGE('Assumptions (Geo)'!$AG$2:$AI$2)/10^9),0)</f>
        <v>0</v>
      </c>
      <c r="AY1670" s="160">
        <f>IF($AK$1579&gt;0,PPMT('Assumptions (Geo)'!$V$7,Model!AK$1,'Assumptions (Geo)'!$V$10,'Assumptions (Geo)'!$V$5*Model!$AK$1579*AVERAGE('Assumptions (Geo)'!$AG$2:$AI$2)/10^9),0)</f>
        <v>0</v>
      </c>
      <c r="AZ1670" s="160"/>
      <c r="BA1670" s="160"/>
      <c r="BB1670" s="160"/>
      <c r="BC1670" s="160"/>
      <c r="BD1670" s="160"/>
      <c r="BE1670" s="160"/>
      <c r="BF1670" s="160"/>
      <c r="BG1670" s="160"/>
      <c r="BH1670" s="160"/>
      <c r="BI1670" s="160"/>
    </row>
    <row r="1671" ht="15.75" hidden="1" customHeight="1" outlineLevel="1">
      <c r="A1671" s="295"/>
      <c r="B1671" s="38"/>
      <c r="C1671" s="174"/>
      <c r="D1671" s="174"/>
      <c r="E1671" s="174"/>
      <c r="F1671" s="174"/>
      <c r="G1671" s="174"/>
      <c r="H1671" s="174"/>
      <c r="I1671" s="174"/>
      <c r="J1671" s="174"/>
      <c r="K1671" s="174"/>
      <c r="L1671" s="174"/>
      <c r="M1671" s="174"/>
      <c r="N1671" s="174"/>
      <c r="O1671" s="174"/>
      <c r="P1671" s="174"/>
      <c r="Q1671" s="174"/>
      <c r="R1671" s="174"/>
      <c r="S1671" s="174"/>
      <c r="T1671" s="174"/>
      <c r="U1671" s="174"/>
      <c r="V1671" s="174"/>
      <c r="W1671" s="160"/>
      <c r="X1671" s="160"/>
      <c r="Y1671" s="160"/>
      <c r="Z1671" s="160"/>
      <c r="AA1671" s="160"/>
      <c r="AB1671" s="160"/>
      <c r="AC1671" s="160"/>
      <c r="AD1671" s="160"/>
      <c r="AE1671" s="160"/>
      <c r="AF1671" s="160"/>
      <c r="AG1671" s="160"/>
      <c r="AH1671" s="160"/>
      <c r="AI1671" s="160"/>
      <c r="AJ1671" s="179"/>
      <c r="AK1671" s="160"/>
      <c r="AL1671" s="177">
        <f>IF($AL$1579&gt;0,PPMT('Assumptions (Geo)'!$V$7,Model!W$1,'Assumptions (Geo)'!$V$10,'Assumptions (Geo)'!$V$5*Model!$AL$1579*AVERAGE('Assumptions (Geo)'!$AH$2:$AJ$2)/10^9),0)</f>
        <v>0</v>
      </c>
      <c r="AM1671" s="177">
        <f>IF($AL$1579&gt;0,PPMT('Assumptions (Geo)'!$V$7,Model!X$1,'Assumptions (Geo)'!$V$10,'Assumptions (Geo)'!$V$5*Model!$AL$1579*AVERAGE('Assumptions (Geo)'!$AH$2:$AJ$2)/10^9),0)</f>
        <v>0</v>
      </c>
      <c r="AN1671" s="177">
        <f>IF($AL$1579&gt;0,PPMT('Assumptions (Geo)'!$V$7,Model!Y$1,'Assumptions (Geo)'!$V$10,'Assumptions (Geo)'!$V$5*Model!$AL$1579*AVERAGE('Assumptions (Geo)'!$AH$2:$AJ$2)/10^9),0)</f>
        <v>0</v>
      </c>
      <c r="AO1671" s="177">
        <f>IF($AL$1579&gt;0,PPMT('Assumptions (Geo)'!$V$7,Model!Z$1,'Assumptions (Geo)'!$V$10,'Assumptions (Geo)'!$V$5*Model!$AL$1579*AVERAGE('Assumptions (Geo)'!$AH$2:$AJ$2)/10^9),0)</f>
        <v>0</v>
      </c>
      <c r="AP1671" s="177">
        <f>IF($AL$1579&gt;0,PPMT('Assumptions (Geo)'!$V$7,Model!AA$1,'Assumptions (Geo)'!$V$10,'Assumptions (Geo)'!$V$5*Model!$AL$1579*AVERAGE('Assumptions (Geo)'!$AH$2:$AJ$2)/10^9),0)</f>
        <v>0</v>
      </c>
      <c r="AQ1671" s="177">
        <f>IF($AL$1579&gt;0,PPMT('Assumptions (Geo)'!$V$7,Model!AB$1,'Assumptions (Geo)'!$V$10,'Assumptions (Geo)'!$V$5*Model!$AL$1579*AVERAGE('Assumptions (Geo)'!$AH$2:$AJ$2)/10^9),0)</f>
        <v>0</v>
      </c>
      <c r="AR1671" s="177">
        <f>IF($AL$1579&gt;0,PPMT('Assumptions (Geo)'!$V$7,Model!AC$1,'Assumptions (Geo)'!$V$10,'Assumptions (Geo)'!$V$5*Model!$AL$1579*AVERAGE('Assumptions (Geo)'!$AH$2:$AJ$2)/10^9),0)</f>
        <v>0</v>
      </c>
      <c r="AS1671" s="177">
        <f>IF($AL$1579&gt;0,PPMT('Assumptions (Geo)'!$V$7,Model!AD$1,'Assumptions (Geo)'!$V$10,'Assumptions (Geo)'!$V$5*Model!$AL$1579*AVERAGE('Assumptions (Geo)'!$AH$2:$AJ$2)/10^9),0)</f>
        <v>0</v>
      </c>
      <c r="AT1671" s="177">
        <f>IF($AL$1579&gt;0,PPMT('Assumptions (Geo)'!$V$7,Model!AE$1,'Assumptions (Geo)'!$V$10,'Assumptions (Geo)'!$V$5*Model!$AL$1579*AVERAGE('Assumptions (Geo)'!$AH$2:$AJ$2)/10^9),0)</f>
        <v>0</v>
      </c>
      <c r="AU1671" s="177">
        <f>IF($AL$1579&gt;0,PPMT('Assumptions (Geo)'!$V$7,Model!AF$1,'Assumptions (Geo)'!$V$10,'Assumptions (Geo)'!$V$5*Model!$AL$1579*AVERAGE('Assumptions (Geo)'!$AH$2:$AJ$2)/10^9),0)</f>
        <v>0</v>
      </c>
      <c r="AV1671" s="177">
        <f>IF($AL$1579&gt;0,PPMT('Assumptions (Geo)'!$V$7,Model!AG$1,'Assumptions (Geo)'!$V$10,'Assumptions (Geo)'!$V$5*Model!$AL$1579*AVERAGE('Assumptions (Geo)'!$AH$2:$AJ$2)/10^9),0)</f>
        <v>0</v>
      </c>
      <c r="AW1671" s="177">
        <f>IF($AL$1579&gt;0,PPMT('Assumptions (Geo)'!$V$7,Model!AH$1,'Assumptions (Geo)'!$V$10,'Assumptions (Geo)'!$V$5*Model!$AL$1579*AVERAGE('Assumptions (Geo)'!$AH$2:$AJ$2)/10^9),0)</f>
        <v>0</v>
      </c>
      <c r="AX1671" s="177">
        <f>IF($AL$1579&gt;0,PPMT('Assumptions (Geo)'!$V$7,Model!AI$1,'Assumptions (Geo)'!$V$10,'Assumptions (Geo)'!$V$5*Model!$AL$1579*AVERAGE('Assumptions (Geo)'!$AH$2:$AJ$2)/10^9),0)</f>
        <v>0</v>
      </c>
      <c r="AY1671" s="177">
        <f>IF($AL$1579&gt;0,PPMT('Assumptions (Geo)'!$V$7,Model!AJ$1,'Assumptions (Geo)'!$V$10,'Assumptions (Geo)'!$V$5*Model!$AL$1579*AVERAGE('Assumptions (Geo)'!$AH$2:$AJ$2)/10^9),0)</f>
        <v>0</v>
      </c>
      <c r="AZ1671" s="177">
        <f>IF($AL$1579&gt;0,PPMT('Assumptions (Geo)'!$V$7,Model!AK$1,'Assumptions (Geo)'!$V$10,'Assumptions (Geo)'!$V$5*Model!$AL$1579*AVERAGE('Assumptions (Geo)'!$AH$2:$AJ$2)/10^9),0)</f>
        <v>0</v>
      </c>
      <c r="BA1671" s="177"/>
      <c r="BB1671" s="177"/>
      <c r="BC1671" s="177"/>
      <c r="BD1671" s="177"/>
      <c r="BE1671" s="177"/>
      <c r="BF1671" s="177"/>
      <c r="BG1671" s="177"/>
      <c r="BH1671" s="177"/>
      <c r="BI1671" s="177"/>
      <c r="BJ1671" s="177"/>
    </row>
    <row r="1672" ht="15.75" hidden="1" customHeight="1" outlineLevel="1">
      <c r="A1672" s="295"/>
      <c r="B1672" s="38"/>
      <c r="C1672" s="174"/>
      <c r="D1672" s="174"/>
      <c r="E1672" s="174"/>
      <c r="F1672" s="174"/>
      <c r="G1672" s="174"/>
      <c r="H1672" s="174"/>
      <c r="I1672" s="174"/>
      <c r="J1672" s="174"/>
      <c r="K1672" s="174"/>
      <c r="L1672" s="174"/>
      <c r="M1672" s="174"/>
      <c r="N1672" s="174"/>
      <c r="O1672" s="174"/>
      <c r="P1672" s="174"/>
      <c r="Q1672" s="174"/>
      <c r="R1672" s="174"/>
      <c r="S1672" s="174"/>
      <c r="T1672" s="174"/>
      <c r="U1672" s="174"/>
      <c r="V1672" s="174"/>
      <c r="W1672" s="160"/>
      <c r="X1672" s="160"/>
      <c r="Y1672" s="160"/>
      <c r="Z1672" s="160"/>
      <c r="AA1672" s="160"/>
      <c r="AB1672" s="160"/>
      <c r="AC1672" s="160"/>
      <c r="AD1672" s="160"/>
      <c r="AE1672" s="160"/>
      <c r="AF1672" s="160"/>
      <c r="AG1672" s="160"/>
      <c r="AH1672" s="160"/>
      <c r="AI1672" s="160"/>
      <c r="AJ1672" s="179"/>
      <c r="AK1672" s="160"/>
      <c r="AL1672" s="177"/>
      <c r="AM1672" s="160">
        <f>IF($AM$1579&gt;0,PPMT('Assumptions (Geo)'!$V$7,Model!W$1,'Assumptions (Geo)'!$V$10,'Assumptions (Geo)'!$V$5*Model!$AM$1579*AVERAGE('Assumptions (Geo)'!$AI$2:$AK$2)/10^9),0)</f>
        <v>0</v>
      </c>
      <c r="AN1672" s="160">
        <f>IF($AM$1579&gt;0,PPMT('Assumptions (Geo)'!$V$7,Model!X$1,'Assumptions (Geo)'!$V$10,'Assumptions (Geo)'!$V$5*Model!$AM$1579*AVERAGE('Assumptions (Geo)'!$AI$2:$AK$2)/10^9),0)</f>
        <v>0</v>
      </c>
      <c r="AO1672" s="160">
        <f>IF($AM$1579&gt;0,PPMT('Assumptions (Geo)'!$V$7,Model!Y$1,'Assumptions (Geo)'!$V$10,'Assumptions (Geo)'!$V$5*Model!$AM$1579*AVERAGE('Assumptions (Geo)'!$AI$2:$AK$2)/10^9),0)</f>
        <v>0</v>
      </c>
      <c r="AP1672" s="160">
        <f>IF($AM$1579&gt;0,PPMT('Assumptions (Geo)'!$V$7,Model!Z$1,'Assumptions (Geo)'!$V$10,'Assumptions (Geo)'!$V$5*Model!$AM$1579*AVERAGE('Assumptions (Geo)'!$AI$2:$AK$2)/10^9),0)</f>
        <v>0</v>
      </c>
      <c r="AQ1672" s="160">
        <f>IF($AM$1579&gt;0,PPMT('Assumptions (Geo)'!$V$7,Model!AA$1,'Assumptions (Geo)'!$V$10,'Assumptions (Geo)'!$V$5*Model!$AM$1579*AVERAGE('Assumptions (Geo)'!$AI$2:$AK$2)/10^9),0)</f>
        <v>0</v>
      </c>
      <c r="AR1672" s="160">
        <f>IF($AM$1579&gt;0,PPMT('Assumptions (Geo)'!$V$7,Model!AB$1,'Assumptions (Geo)'!$V$10,'Assumptions (Geo)'!$V$5*Model!$AM$1579*AVERAGE('Assumptions (Geo)'!$AI$2:$AK$2)/10^9),0)</f>
        <v>0</v>
      </c>
      <c r="AS1672" s="160">
        <f>IF($AM$1579&gt;0,PPMT('Assumptions (Geo)'!$V$7,Model!AC$1,'Assumptions (Geo)'!$V$10,'Assumptions (Geo)'!$V$5*Model!$AM$1579*AVERAGE('Assumptions (Geo)'!$AI$2:$AK$2)/10^9),0)</f>
        <v>0</v>
      </c>
      <c r="AT1672" s="160">
        <f>IF($AM$1579&gt;0,PPMT('Assumptions (Geo)'!$V$7,Model!AD$1,'Assumptions (Geo)'!$V$10,'Assumptions (Geo)'!$V$5*Model!$AM$1579*AVERAGE('Assumptions (Geo)'!$AI$2:$AK$2)/10^9),0)</f>
        <v>0</v>
      </c>
      <c r="AU1672" s="160">
        <f>IF($AM$1579&gt;0,PPMT('Assumptions (Geo)'!$V$7,Model!AE$1,'Assumptions (Geo)'!$V$10,'Assumptions (Geo)'!$V$5*Model!$AM$1579*AVERAGE('Assumptions (Geo)'!$AI$2:$AK$2)/10^9),0)</f>
        <v>0</v>
      </c>
      <c r="AV1672" s="160">
        <f>IF($AM$1579&gt;0,PPMT('Assumptions (Geo)'!$V$7,Model!AF$1,'Assumptions (Geo)'!$V$10,'Assumptions (Geo)'!$V$5*Model!$AM$1579*AVERAGE('Assumptions (Geo)'!$AI$2:$AK$2)/10^9),0)</f>
        <v>0</v>
      </c>
      <c r="AW1672" s="160">
        <f>IF($AM$1579&gt;0,PPMT('Assumptions (Geo)'!$V$7,Model!AG$1,'Assumptions (Geo)'!$V$10,'Assumptions (Geo)'!$V$5*Model!$AM$1579*AVERAGE('Assumptions (Geo)'!$AI$2:$AK$2)/10^9),0)</f>
        <v>0</v>
      </c>
      <c r="AX1672" s="160">
        <f>IF($AM$1579&gt;0,PPMT('Assumptions (Geo)'!$V$7,Model!AH$1,'Assumptions (Geo)'!$V$10,'Assumptions (Geo)'!$V$5*Model!$AM$1579*AVERAGE('Assumptions (Geo)'!$AI$2:$AK$2)/10^9),0)</f>
        <v>0</v>
      </c>
      <c r="AY1672" s="160">
        <f>IF($AM$1579&gt;0,PPMT('Assumptions (Geo)'!$V$7,Model!AI$1,'Assumptions (Geo)'!$V$10,'Assumptions (Geo)'!$V$5*Model!$AM$1579*AVERAGE('Assumptions (Geo)'!$AI$2:$AK$2)/10^9),0)</f>
        <v>0</v>
      </c>
      <c r="AZ1672" s="160">
        <f>IF($AM$1579&gt;0,PPMT('Assumptions (Geo)'!$V$7,Model!AJ$1,'Assumptions (Geo)'!$V$10,'Assumptions (Geo)'!$V$5*Model!$AM$1579*AVERAGE('Assumptions (Geo)'!$AI$2:$AK$2)/10^9),0)</f>
        <v>0</v>
      </c>
      <c r="BA1672" s="160">
        <f>IF($AM$1579&gt;0,PPMT('Assumptions (Geo)'!$V$7,Model!AK$1,'Assumptions (Geo)'!$V$10,'Assumptions (Geo)'!$V$5*Model!$AM$1579*AVERAGE('Assumptions (Geo)'!$AI$2:$AK$2)/10^9),0)</f>
        <v>0</v>
      </c>
      <c r="BB1672" s="160"/>
      <c r="BC1672" s="160"/>
      <c r="BD1672" s="160"/>
      <c r="BE1672" s="160"/>
      <c r="BF1672" s="160"/>
      <c r="BG1672" s="160"/>
      <c r="BH1672" s="160"/>
      <c r="BI1672" s="160"/>
      <c r="BJ1672" s="160"/>
      <c r="BK1672" s="160"/>
    </row>
    <row r="1673" ht="15.75" hidden="1" customHeight="1" outlineLevel="1">
      <c r="A1673" s="295"/>
      <c r="B1673" s="38"/>
      <c r="C1673" s="174"/>
      <c r="D1673" s="174"/>
      <c r="E1673" s="174"/>
      <c r="F1673" s="174"/>
      <c r="G1673" s="174"/>
      <c r="H1673" s="174"/>
      <c r="I1673" s="174"/>
      <c r="J1673" s="174"/>
      <c r="K1673" s="174"/>
      <c r="L1673" s="174"/>
      <c r="M1673" s="174"/>
      <c r="N1673" s="174"/>
      <c r="O1673" s="174"/>
      <c r="P1673" s="174"/>
      <c r="Q1673" s="174"/>
      <c r="R1673" s="174"/>
      <c r="S1673" s="174"/>
      <c r="T1673" s="174"/>
      <c r="U1673" s="174"/>
      <c r="V1673" s="174"/>
      <c r="W1673" s="160"/>
      <c r="X1673" s="160"/>
      <c r="Y1673" s="160"/>
      <c r="Z1673" s="160"/>
      <c r="AA1673" s="160"/>
      <c r="AB1673" s="160"/>
      <c r="AC1673" s="160"/>
      <c r="AD1673" s="160"/>
      <c r="AE1673" s="160"/>
      <c r="AF1673" s="160"/>
      <c r="AG1673" s="160"/>
      <c r="AH1673" s="160"/>
      <c r="AI1673" s="160"/>
      <c r="AJ1673" s="179"/>
      <c r="AK1673" s="160"/>
      <c r="AL1673" s="177"/>
      <c r="AM1673" s="177"/>
      <c r="AN1673" s="160">
        <f>IF($AN$1579&gt;0,PPMT('Assumptions (Geo)'!$V$7,Model!W$1,'Assumptions (Geo)'!$V$10,'Assumptions (Geo)'!$V$5*Model!$AN$1579*AVERAGE('Assumptions (Geo)'!$AJ$2:$AL$2)/10^9),0)</f>
        <v>0</v>
      </c>
      <c r="AO1673" s="160">
        <f>IF($AN$1579&gt;0,PPMT('Assumptions (Geo)'!$V$7,Model!X$1,'Assumptions (Geo)'!$V$10,'Assumptions (Geo)'!$V$5*Model!$AN$1579*AVERAGE('Assumptions (Geo)'!$AJ$2:$AL$2)/10^9),0)</f>
        <v>0</v>
      </c>
      <c r="AP1673" s="160">
        <f>IF($AN$1579&gt;0,PPMT('Assumptions (Geo)'!$V$7,Model!Y$1,'Assumptions (Geo)'!$V$10,'Assumptions (Geo)'!$V$5*Model!$AN$1579*AVERAGE('Assumptions (Geo)'!$AJ$2:$AL$2)/10^9),0)</f>
        <v>0</v>
      </c>
      <c r="AQ1673" s="160">
        <f>IF($AN$1579&gt;0,PPMT('Assumptions (Geo)'!$V$7,Model!Z$1,'Assumptions (Geo)'!$V$10,'Assumptions (Geo)'!$V$5*Model!$AN$1579*AVERAGE('Assumptions (Geo)'!$AJ$2:$AL$2)/10^9),0)</f>
        <v>0</v>
      </c>
      <c r="AR1673" s="160">
        <f>IF($AN$1579&gt;0,PPMT('Assumptions (Geo)'!$V$7,Model!AA$1,'Assumptions (Geo)'!$V$10,'Assumptions (Geo)'!$V$5*Model!$AN$1579*AVERAGE('Assumptions (Geo)'!$AJ$2:$AL$2)/10^9),0)</f>
        <v>0</v>
      </c>
      <c r="AS1673" s="160">
        <f>IF($AN$1579&gt;0,PPMT('Assumptions (Geo)'!$V$7,Model!AB$1,'Assumptions (Geo)'!$V$10,'Assumptions (Geo)'!$V$5*Model!$AN$1579*AVERAGE('Assumptions (Geo)'!$AJ$2:$AL$2)/10^9),0)</f>
        <v>0</v>
      </c>
      <c r="AT1673" s="160">
        <f>IF($AN$1579&gt;0,PPMT('Assumptions (Geo)'!$V$7,Model!AC$1,'Assumptions (Geo)'!$V$10,'Assumptions (Geo)'!$V$5*Model!$AN$1579*AVERAGE('Assumptions (Geo)'!$AJ$2:$AL$2)/10^9),0)</f>
        <v>0</v>
      </c>
      <c r="AU1673" s="160">
        <f>IF($AN$1579&gt;0,PPMT('Assumptions (Geo)'!$V$7,Model!AD$1,'Assumptions (Geo)'!$V$10,'Assumptions (Geo)'!$V$5*Model!$AN$1579*AVERAGE('Assumptions (Geo)'!$AJ$2:$AL$2)/10^9),0)</f>
        <v>0</v>
      </c>
      <c r="AV1673" s="160">
        <f>IF($AN$1579&gt;0,PPMT('Assumptions (Geo)'!$V$7,Model!AE$1,'Assumptions (Geo)'!$V$10,'Assumptions (Geo)'!$V$5*Model!$AN$1579*AVERAGE('Assumptions (Geo)'!$AJ$2:$AL$2)/10^9),0)</f>
        <v>0</v>
      </c>
      <c r="AW1673" s="160">
        <f>IF($AN$1579&gt;0,PPMT('Assumptions (Geo)'!$V$7,Model!AF$1,'Assumptions (Geo)'!$V$10,'Assumptions (Geo)'!$V$5*Model!$AN$1579*AVERAGE('Assumptions (Geo)'!$AJ$2:$AL$2)/10^9),0)</f>
        <v>0</v>
      </c>
      <c r="AX1673" s="160">
        <f>IF($AN$1579&gt;0,PPMT('Assumptions (Geo)'!$V$7,Model!AG$1,'Assumptions (Geo)'!$V$10,'Assumptions (Geo)'!$V$5*Model!$AN$1579*AVERAGE('Assumptions (Geo)'!$AJ$2:$AL$2)/10^9),0)</f>
        <v>0</v>
      </c>
      <c r="AY1673" s="160">
        <f>IF($AN$1579&gt;0,PPMT('Assumptions (Geo)'!$V$7,Model!AH$1,'Assumptions (Geo)'!$V$10,'Assumptions (Geo)'!$V$5*Model!$AN$1579*AVERAGE('Assumptions (Geo)'!$AJ$2:$AL$2)/10^9),0)</f>
        <v>0</v>
      </c>
      <c r="AZ1673" s="160">
        <f>IF($AN$1579&gt;0,PPMT('Assumptions (Geo)'!$V$7,Model!AI$1,'Assumptions (Geo)'!$V$10,'Assumptions (Geo)'!$V$5*Model!$AN$1579*AVERAGE('Assumptions (Geo)'!$AJ$2:$AL$2)/10^9),0)</f>
        <v>0</v>
      </c>
      <c r="BA1673" s="160">
        <f>IF($AN$1579&gt;0,PPMT('Assumptions (Geo)'!$V$7,Model!AJ$1,'Assumptions (Geo)'!$V$10,'Assumptions (Geo)'!$V$5*Model!$AN$1579*AVERAGE('Assumptions (Geo)'!$AJ$2:$AL$2)/10^9),0)</f>
        <v>0</v>
      </c>
      <c r="BB1673" s="160">
        <f>IF($AN$1579&gt;0,PPMT('Assumptions (Geo)'!$V$7,Model!AK$1,'Assumptions (Geo)'!$V$10,'Assumptions (Geo)'!$V$5*Model!$AN$1579*AVERAGE('Assumptions (Geo)'!$AJ$2:$AL$2)/10^9),0)</f>
        <v>0</v>
      </c>
      <c r="BC1673" s="160"/>
      <c r="BD1673" s="160"/>
      <c r="BE1673" s="160"/>
      <c r="BF1673" s="160"/>
      <c r="BG1673" s="160"/>
      <c r="BH1673" s="160"/>
      <c r="BI1673" s="160"/>
      <c r="BJ1673" s="160"/>
      <c r="BK1673" s="160"/>
      <c r="BL1673" s="160"/>
    </row>
    <row r="1674" ht="15.75" hidden="1" customHeight="1" outlineLevel="1">
      <c r="A1674" s="295"/>
      <c r="B1674" s="38"/>
      <c r="C1674" s="174"/>
      <c r="D1674" s="174"/>
      <c r="E1674" s="174"/>
      <c r="F1674" s="174"/>
      <c r="G1674" s="174"/>
      <c r="H1674" s="174"/>
      <c r="I1674" s="174"/>
      <c r="J1674" s="174"/>
      <c r="K1674" s="174"/>
      <c r="L1674" s="174"/>
      <c r="M1674" s="174"/>
      <c r="N1674" s="174"/>
      <c r="O1674" s="174"/>
      <c r="P1674" s="174"/>
      <c r="Q1674" s="174"/>
      <c r="R1674" s="174"/>
      <c r="S1674" s="174"/>
      <c r="T1674" s="174"/>
      <c r="U1674" s="174"/>
      <c r="V1674" s="174"/>
      <c r="W1674" s="160"/>
      <c r="X1674" s="160"/>
      <c r="Y1674" s="160"/>
      <c r="Z1674" s="160"/>
      <c r="AA1674" s="160"/>
      <c r="AB1674" s="160"/>
      <c r="AC1674" s="160"/>
      <c r="AD1674" s="160"/>
      <c r="AE1674" s="160"/>
      <c r="AF1674" s="160"/>
      <c r="AG1674" s="160"/>
      <c r="AH1674" s="160"/>
      <c r="AI1674" s="160"/>
      <c r="AJ1674" s="179"/>
      <c r="AK1674" s="160"/>
      <c r="AL1674" s="177"/>
      <c r="AM1674" s="177"/>
      <c r="AN1674" s="177"/>
      <c r="AO1674" s="160">
        <f>IF($AO$1579&gt;0,PPMT('Assumptions (Geo)'!$V$7,Model!W$1,'Assumptions (Geo)'!$V$10,'Assumptions (Geo)'!$V$5*Model!$AO$1579*AVERAGE('Assumptions (Geo)'!$AK$2:$AM$2)/10^9),0)</f>
        <v>0</v>
      </c>
      <c r="AP1674" s="160">
        <f>IF($AO$1579&gt;0,PPMT('Assumptions (Geo)'!$V$7,Model!X$1,'Assumptions (Geo)'!$V$10,'Assumptions (Geo)'!$V$5*Model!$AO$1579*AVERAGE('Assumptions (Geo)'!$AK$2:$AM$2)/10^9),0)</f>
        <v>0</v>
      </c>
      <c r="AQ1674" s="160">
        <f>IF($AO$1579&gt;0,PPMT('Assumptions (Geo)'!$V$7,Model!Y$1,'Assumptions (Geo)'!$V$10,'Assumptions (Geo)'!$V$5*Model!$AO$1579*AVERAGE('Assumptions (Geo)'!$AK$2:$AM$2)/10^9),0)</f>
        <v>0</v>
      </c>
      <c r="AR1674" s="160">
        <f>IF($AO$1579&gt;0,PPMT('Assumptions (Geo)'!$V$7,Model!Z$1,'Assumptions (Geo)'!$V$10,'Assumptions (Geo)'!$V$5*Model!$AO$1579*AVERAGE('Assumptions (Geo)'!$AK$2:$AM$2)/10^9),0)</f>
        <v>0</v>
      </c>
      <c r="AS1674" s="160">
        <f>IF($AO$1579&gt;0,PPMT('Assumptions (Geo)'!$V$7,Model!AA$1,'Assumptions (Geo)'!$V$10,'Assumptions (Geo)'!$V$5*Model!$AO$1579*AVERAGE('Assumptions (Geo)'!$AK$2:$AM$2)/10^9),0)</f>
        <v>0</v>
      </c>
      <c r="AT1674" s="160">
        <f>IF($AO$1579&gt;0,PPMT('Assumptions (Geo)'!$V$7,Model!AB$1,'Assumptions (Geo)'!$V$10,'Assumptions (Geo)'!$V$5*Model!$AO$1579*AVERAGE('Assumptions (Geo)'!$AK$2:$AM$2)/10^9),0)</f>
        <v>0</v>
      </c>
      <c r="AU1674" s="160">
        <f>IF($AO$1579&gt;0,PPMT('Assumptions (Geo)'!$V$7,Model!AC$1,'Assumptions (Geo)'!$V$10,'Assumptions (Geo)'!$V$5*Model!$AO$1579*AVERAGE('Assumptions (Geo)'!$AK$2:$AM$2)/10^9),0)</f>
        <v>0</v>
      </c>
      <c r="AV1674" s="160">
        <f>IF($AO$1579&gt;0,PPMT('Assumptions (Geo)'!$V$7,Model!AD$1,'Assumptions (Geo)'!$V$10,'Assumptions (Geo)'!$V$5*Model!$AO$1579*AVERAGE('Assumptions (Geo)'!$AK$2:$AM$2)/10^9),0)</f>
        <v>0</v>
      </c>
      <c r="AW1674" s="160">
        <f>IF($AO$1579&gt;0,PPMT('Assumptions (Geo)'!$V$7,Model!AE$1,'Assumptions (Geo)'!$V$10,'Assumptions (Geo)'!$V$5*Model!$AO$1579*AVERAGE('Assumptions (Geo)'!$AK$2:$AM$2)/10^9),0)</f>
        <v>0</v>
      </c>
      <c r="AX1674" s="160">
        <f>IF($AO$1579&gt;0,PPMT('Assumptions (Geo)'!$V$7,Model!AF$1,'Assumptions (Geo)'!$V$10,'Assumptions (Geo)'!$V$5*Model!$AO$1579*AVERAGE('Assumptions (Geo)'!$AK$2:$AM$2)/10^9),0)</f>
        <v>0</v>
      </c>
      <c r="AY1674" s="160">
        <f>IF($AO$1579&gt;0,PPMT('Assumptions (Geo)'!$V$7,Model!AG$1,'Assumptions (Geo)'!$V$10,'Assumptions (Geo)'!$V$5*Model!$AO$1579*AVERAGE('Assumptions (Geo)'!$AK$2:$AM$2)/10^9),0)</f>
        <v>0</v>
      </c>
      <c r="AZ1674" s="160">
        <f>IF($AO$1579&gt;0,PPMT('Assumptions (Geo)'!$V$7,Model!AH$1,'Assumptions (Geo)'!$V$10,'Assumptions (Geo)'!$V$5*Model!$AO$1579*AVERAGE('Assumptions (Geo)'!$AK$2:$AM$2)/10^9),0)</f>
        <v>0</v>
      </c>
      <c r="BA1674" s="160">
        <f>IF($AO$1579&gt;0,PPMT('Assumptions (Geo)'!$V$7,Model!AI$1,'Assumptions (Geo)'!$V$10,'Assumptions (Geo)'!$V$5*Model!$AO$1579*AVERAGE('Assumptions (Geo)'!$AK$2:$AM$2)/10^9),0)</f>
        <v>0</v>
      </c>
      <c r="BB1674" s="160">
        <f>IF($AO$1579&gt;0,PPMT('Assumptions (Geo)'!$V$7,Model!AJ$1,'Assumptions (Geo)'!$V$10,'Assumptions (Geo)'!$V$5*Model!$AO$1579*AVERAGE('Assumptions (Geo)'!$AK$2:$AM$2)/10^9),0)</f>
        <v>0</v>
      </c>
      <c r="BC1674" s="160">
        <f>IF($AO$1579&gt;0,PPMT('Assumptions (Geo)'!$V$7,Model!AK$1,'Assumptions (Geo)'!$V$10,'Assumptions (Geo)'!$V$5*Model!$AO$1579*AVERAGE('Assumptions (Geo)'!$AK$2:$AM$2)/10^9),0)</f>
        <v>0</v>
      </c>
      <c r="BD1674" s="160"/>
      <c r="BE1674" s="160"/>
      <c r="BF1674" s="160"/>
      <c r="BG1674" s="160"/>
      <c r="BH1674" s="160"/>
      <c r="BI1674" s="160"/>
      <c r="BJ1674" s="160"/>
      <c r="BK1674" s="160"/>
      <c r="BL1674" s="160"/>
      <c r="BM1674" s="160"/>
    </row>
    <row r="1675" ht="15.75" hidden="1" customHeight="1" outlineLevel="1">
      <c r="A1675" s="295"/>
      <c r="B1675" s="38"/>
      <c r="C1675" s="174"/>
      <c r="D1675" s="174"/>
      <c r="E1675" s="174"/>
      <c r="F1675" s="174"/>
      <c r="G1675" s="174"/>
      <c r="H1675" s="174"/>
      <c r="I1675" s="174"/>
      <c r="J1675" s="174"/>
      <c r="K1675" s="174"/>
      <c r="L1675" s="174"/>
      <c r="M1675" s="174"/>
      <c r="N1675" s="174"/>
      <c r="O1675" s="174"/>
      <c r="P1675" s="174"/>
      <c r="Q1675" s="174"/>
      <c r="R1675" s="174"/>
      <c r="S1675" s="174"/>
      <c r="T1675" s="174"/>
      <c r="U1675" s="174"/>
      <c r="V1675" s="174"/>
      <c r="W1675" s="160"/>
      <c r="X1675" s="160"/>
      <c r="Y1675" s="160"/>
      <c r="Z1675" s="160"/>
      <c r="AA1675" s="160"/>
      <c r="AB1675" s="160"/>
      <c r="AC1675" s="160"/>
      <c r="AD1675" s="160"/>
      <c r="AE1675" s="160"/>
      <c r="AF1675" s="160"/>
      <c r="AG1675" s="160"/>
      <c r="AH1675" s="160"/>
      <c r="AI1675" s="160"/>
      <c r="AJ1675" s="179"/>
      <c r="AK1675" s="160"/>
      <c r="AL1675" s="177"/>
      <c r="AM1675" s="177"/>
      <c r="AN1675" s="177"/>
      <c r="AO1675" s="160"/>
      <c r="AP1675" s="160">
        <f>IF($AP$1579&gt;0,PPMT('Assumptions (Geo)'!$V$7,Model!W$1,'Assumptions (Geo)'!$V$10,'Assumptions (Geo)'!$V$5*Model!$AP$1579*AVERAGE('Assumptions (Geo)'!$AL$2:$AN$2)/10^9),0)</f>
        <v>0</v>
      </c>
      <c r="AQ1675" s="160">
        <f>IF($AP$1579&gt;0,PPMT('Assumptions (Geo)'!$V$7,Model!X$1,'Assumptions (Geo)'!$V$10,'Assumptions (Geo)'!$V$5*Model!$AP$1579*AVERAGE('Assumptions (Geo)'!$AL$2:$AN$2)/10^9),0)</f>
        <v>0</v>
      </c>
      <c r="AR1675" s="160">
        <f>IF($AP$1579&gt;0,PPMT('Assumptions (Geo)'!$V$7,Model!Y$1,'Assumptions (Geo)'!$V$10,'Assumptions (Geo)'!$V$5*Model!$AP$1579*AVERAGE('Assumptions (Geo)'!$AL$2:$AN$2)/10^9),0)</f>
        <v>0</v>
      </c>
      <c r="AS1675" s="160">
        <f>IF($AP$1579&gt;0,PPMT('Assumptions (Geo)'!$V$7,Model!Z$1,'Assumptions (Geo)'!$V$10,'Assumptions (Geo)'!$V$5*Model!$AP$1579*AVERAGE('Assumptions (Geo)'!$AL$2:$AN$2)/10^9),0)</f>
        <v>0</v>
      </c>
      <c r="AT1675" s="160">
        <f>IF($AP$1579&gt;0,PPMT('Assumptions (Geo)'!$V$7,Model!AA$1,'Assumptions (Geo)'!$V$10,'Assumptions (Geo)'!$V$5*Model!$AP$1579*AVERAGE('Assumptions (Geo)'!$AL$2:$AN$2)/10^9),0)</f>
        <v>0</v>
      </c>
      <c r="AU1675" s="160">
        <f>IF($AP$1579&gt;0,PPMT('Assumptions (Geo)'!$V$7,Model!AB$1,'Assumptions (Geo)'!$V$10,'Assumptions (Geo)'!$V$5*Model!$AP$1579*AVERAGE('Assumptions (Geo)'!$AL$2:$AN$2)/10^9),0)</f>
        <v>0</v>
      </c>
      <c r="AV1675" s="160">
        <f>IF($AP$1579&gt;0,PPMT('Assumptions (Geo)'!$V$7,Model!AC$1,'Assumptions (Geo)'!$V$10,'Assumptions (Geo)'!$V$5*Model!$AP$1579*AVERAGE('Assumptions (Geo)'!$AL$2:$AN$2)/10^9),0)</f>
        <v>0</v>
      </c>
      <c r="AW1675" s="160">
        <f>IF($AP$1579&gt;0,PPMT('Assumptions (Geo)'!$V$7,Model!AD$1,'Assumptions (Geo)'!$V$10,'Assumptions (Geo)'!$V$5*Model!$AP$1579*AVERAGE('Assumptions (Geo)'!$AL$2:$AN$2)/10^9),0)</f>
        <v>0</v>
      </c>
      <c r="AX1675" s="160">
        <f>IF($AP$1579&gt;0,PPMT('Assumptions (Geo)'!$V$7,Model!AE$1,'Assumptions (Geo)'!$V$10,'Assumptions (Geo)'!$V$5*Model!$AP$1579*AVERAGE('Assumptions (Geo)'!$AL$2:$AN$2)/10^9),0)</f>
        <v>0</v>
      </c>
      <c r="AY1675" s="160">
        <f>IF($AP$1579&gt;0,PPMT('Assumptions (Geo)'!$V$7,Model!AF$1,'Assumptions (Geo)'!$V$10,'Assumptions (Geo)'!$V$5*Model!$AP$1579*AVERAGE('Assumptions (Geo)'!$AL$2:$AN$2)/10^9),0)</f>
        <v>0</v>
      </c>
      <c r="AZ1675" s="160">
        <f>IF($AP$1579&gt;0,PPMT('Assumptions (Geo)'!$V$7,Model!AG$1,'Assumptions (Geo)'!$V$10,'Assumptions (Geo)'!$V$5*Model!$AP$1579*AVERAGE('Assumptions (Geo)'!$AL$2:$AN$2)/10^9),0)</f>
        <v>0</v>
      </c>
      <c r="BA1675" s="160">
        <f>IF($AP$1579&gt;0,PPMT('Assumptions (Geo)'!$V$7,Model!AH$1,'Assumptions (Geo)'!$V$10,'Assumptions (Geo)'!$V$5*Model!$AP$1579*AVERAGE('Assumptions (Geo)'!$AL$2:$AN$2)/10^9),0)</f>
        <v>0</v>
      </c>
      <c r="BB1675" s="160">
        <f>IF($AP$1579&gt;0,PPMT('Assumptions (Geo)'!$V$7,Model!AI$1,'Assumptions (Geo)'!$V$10,'Assumptions (Geo)'!$V$5*Model!$AP$1579*AVERAGE('Assumptions (Geo)'!$AL$2:$AN$2)/10^9),0)</f>
        <v>0</v>
      </c>
      <c r="BC1675" s="160">
        <f>IF($AP$1579&gt;0,PPMT('Assumptions (Geo)'!$V$7,Model!AJ$1,'Assumptions (Geo)'!$V$10,'Assumptions (Geo)'!$V$5*Model!$AP$1579*AVERAGE('Assumptions (Geo)'!$AL$2:$AN$2)/10^9),0)</f>
        <v>0</v>
      </c>
      <c r="BD1675" s="160">
        <f>IF($AP$1579&gt;0,PPMT('Assumptions (Geo)'!$V$7,Model!AK$1,'Assumptions (Geo)'!$V$10,'Assumptions (Geo)'!$V$5*Model!$AP$1579*AVERAGE('Assumptions (Geo)'!$AL$2:$AN$2)/10^9),0)</f>
        <v>0</v>
      </c>
      <c r="BE1675" s="160"/>
      <c r="BF1675" s="160"/>
      <c r="BG1675" s="160"/>
      <c r="BH1675" s="160"/>
      <c r="BI1675" s="160"/>
      <c r="BJ1675" s="160"/>
      <c r="BK1675" s="160"/>
      <c r="BL1675" s="160"/>
      <c r="BM1675" s="160"/>
      <c r="BN1675" s="160"/>
    </row>
    <row r="1676" ht="15.75" hidden="1" customHeight="1" outlineLevel="1">
      <c r="A1676" s="295"/>
      <c r="B1676" s="38"/>
      <c r="C1676" s="174"/>
      <c r="D1676" s="174"/>
      <c r="E1676" s="174"/>
      <c r="F1676" s="174"/>
      <c r="G1676" s="174"/>
      <c r="H1676" s="174"/>
      <c r="I1676" s="174"/>
      <c r="J1676" s="174"/>
      <c r="K1676" s="174"/>
      <c r="L1676" s="174"/>
      <c r="M1676" s="174"/>
      <c r="N1676" s="174"/>
      <c r="O1676" s="174"/>
      <c r="P1676" s="174"/>
      <c r="Q1676" s="174"/>
      <c r="R1676" s="174"/>
      <c r="S1676" s="174"/>
      <c r="T1676" s="174"/>
      <c r="U1676" s="174"/>
      <c r="V1676" s="174"/>
      <c r="W1676" s="160"/>
      <c r="X1676" s="160"/>
      <c r="Y1676" s="160"/>
      <c r="Z1676" s="160"/>
      <c r="AA1676" s="160"/>
      <c r="AB1676" s="160"/>
      <c r="AC1676" s="160"/>
      <c r="AD1676" s="160"/>
      <c r="AE1676" s="160"/>
      <c r="AF1676" s="160"/>
      <c r="AG1676" s="160"/>
      <c r="AH1676" s="160"/>
      <c r="AI1676" s="160"/>
      <c r="AJ1676" s="179"/>
      <c r="AK1676" s="160"/>
      <c r="AL1676" s="177"/>
      <c r="AM1676" s="177"/>
      <c r="AN1676" s="177"/>
      <c r="AO1676" s="160"/>
      <c r="AP1676" s="160"/>
      <c r="AQ1676" s="160">
        <f>IF($AQ$1579&gt;0,PPMT('Assumptions (Geo)'!$V$7,Model!W$1,'Assumptions (Geo)'!$V$10,'Assumptions (Geo)'!$V$5*Model!$AQ$1579*AVERAGE('Assumptions (Geo)'!$AM$2:$AO$2)/10^9),0)</f>
        <v>0</v>
      </c>
      <c r="AR1676" s="160">
        <f>IF($AQ$1579&gt;0,PPMT('Assumptions (Geo)'!$V$7,Model!X$1,'Assumptions (Geo)'!$V$10,'Assumptions (Geo)'!$V$5*Model!$AQ$1579*AVERAGE('Assumptions (Geo)'!$AM$2:$AO$2)/10^9),0)</f>
        <v>0</v>
      </c>
      <c r="AS1676" s="160">
        <f>IF($AQ$1579&gt;0,PPMT('Assumptions (Geo)'!$V$7,Model!Y$1,'Assumptions (Geo)'!$V$10,'Assumptions (Geo)'!$V$5*Model!$AQ$1579*AVERAGE('Assumptions (Geo)'!$AM$2:$AO$2)/10^9),0)</f>
        <v>0</v>
      </c>
      <c r="AT1676" s="160">
        <f>IF($AQ$1579&gt;0,PPMT('Assumptions (Geo)'!$V$7,Model!Z$1,'Assumptions (Geo)'!$V$10,'Assumptions (Geo)'!$V$5*Model!$AQ$1579*AVERAGE('Assumptions (Geo)'!$AM$2:$AO$2)/10^9),0)</f>
        <v>0</v>
      </c>
      <c r="AU1676" s="160">
        <f>IF($AQ$1579&gt;0,PPMT('Assumptions (Geo)'!$V$7,Model!AA$1,'Assumptions (Geo)'!$V$10,'Assumptions (Geo)'!$V$5*Model!$AQ$1579*AVERAGE('Assumptions (Geo)'!$AM$2:$AO$2)/10^9),0)</f>
        <v>0</v>
      </c>
      <c r="AV1676" s="160">
        <f>IF($AQ$1579&gt;0,PPMT('Assumptions (Geo)'!$V$7,Model!AB$1,'Assumptions (Geo)'!$V$10,'Assumptions (Geo)'!$V$5*Model!$AQ$1579*AVERAGE('Assumptions (Geo)'!$AM$2:$AO$2)/10^9),0)</f>
        <v>0</v>
      </c>
      <c r="AW1676" s="160">
        <f>IF($AQ$1579&gt;0,PPMT('Assumptions (Geo)'!$V$7,Model!AC$1,'Assumptions (Geo)'!$V$10,'Assumptions (Geo)'!$V$5*Model!$AQ$1579*AVERAGE('Assumptions (Geo)'!$AM$2:$AO$2)/10^9),0)</f>
        <v>0</v>
      </c>
      <c r="AX1676" s="160">
        <f>IF($AQ$1579&gt;0,PPMT('Assumptions (Geo)'!$V$7,Model!AD$1,'Assumptions (Geo)'!$V$10,'Assumptions (Geo)'!$V$5*Model!$AQ$1579*AVERAGE('Assumptions (Geo)'!$AM$2:$AO$2)/10^9),0)</f>
        <v>0</v>
      </c>
      <c r="AY1676" s="160">
        <f>IF($AQ$1579&gt;0,PPMT('Assumptions (Geo)'!$V$7,Model!AE$1,'Assumptions (Geo)'!$V$10,'Assumptions (Geo)'!$V$5*Model!$AQ$1579*AVERAGE('Assumptions (Geo)'!$AM$2:$AO$2)/10^9),0)</f>
        <v>0</v>
      </c>
      <c r="AZ1676" s="160">
        <f>IF($AQ$1579&gt;0,PPMT('Assumptions (Geo)'!$V$7,Model!AF$1,'Assumptions (Geo)'!$V$10,'Assumptions (Geo)'!$V$5*Model!$AQ$1579*AVERAGE('Assumptions (Geo)'!$AM$2:$AO$2)/10^9),0)</f>
        <v>0</v>
      </c>
      <c r="BA1676" s="160">
        <f>IF($AQ$1579&gt;0,PPMT('Assumptions (Geo)'!$V$7,Model!AG$1,'Assumptions (Geo)'!$V$10,'Assumptions (Geo)'!$V$5*Model!$AQ$1579*AVERAGE('Assumptions (Geo)'!$AM$2:$AO$2)/10^9),0)</f>
        <v>0</v>
      </c>
      <c r="BB1676" s="160">
        <f>IF($AQ$1579&gt;0,PPMT('Assumptions (Geo)'!$V$7,Model!AH$1,'Assumptions (Geo)'!$V$10,'Assumptions (Geo)'!$V$5*Model!$AQ$1579*AVERAGE('Assumptions (Geo)'!$AM$2:$AO$2)/10^9),0)</f>
        <v>0</v>
      </c>
      <c r="BC1676" s="160">
        <f>IF($AQ$1579&gt;0,PPMT('Assumptions (Geo)'!$V$7,Model!AI$1,'Assumptions (Geo)'!$V$10,'Assumptions (Geo)'!$V$5*Model!$AQ$1579*AVERAGE('Assumptions (Geo)'!$AM$2:$AO$2)/10^9),0)</f>
        <v>0</v>
      </c>
      <c r="BD1676" s="160">
        <f>IF($AQ$1579&gt;0,PPMT('Assumptions (Geo)'!$V$7,Model!AJ$1,'Assumptions (Geo)'!$V$10,'Assumptions (Geo)'!$V$5*Model!$AQ$1579*AVERAGE('Assumptions (Geo)'!$AM$2:$AO$2)/10^9),0)</f>
        <v>0</v>
      </c>
      <c r="BE1676" s="160">
        <f>IF($AQ$1579&gt;0,PPMT('Assumptions (Geo)'!$V$7,Model!AK$1,'Assumptions (Geo)'!$V$10,'Assumptions (Geo)'!$V$5*Model!$AQ$1579*AVERAGE('Assumptions (Geo)'!$AM$2:$AO$2)/10^9),0)</f>
        <v>0</v>
      </c>
      <c r="BF1676" s="160"/>
      <c r="BG1676" s="160"/>
      <c r="BH1676" s="160"/>
      <c r="BI1676" s="160"/>
      <c r="BJ1676" s="160"/>
      <c r="BK1676" s="160"/>
      <c r="BL1676" s="160"/>
      <c r="BM1676" s="160"/>
      <c r="BN1676" s="160"/>
      <c r="BO1676" s="160"/>
    </row>
    <row r="1677" ht="15.75" hidden="1" customHeight="1" outlineLevel="1">
      <c r="A1677" s="295"/>
      <c r="B1677" s="38"/>
      <c r="C1677" s="174"/>
      <c r="D1677" s="174"/>
      <c r="E1677" s="174"/>
      <c r="F1677" s="174"/>
      <c r="G1677" s="174"/>
      <c r="H1677" s="174"/>
      <c r="I1677" s="174"/>
      <c r="J1677" s="174"/>
      <c r="K1677" s="174"/>
      <c r="L1677" s="174"/>
      <c r="M1677" s="174"/>
      <c r="N1677" s="174"/>
      <c r="O1677" s="174"/>
      <c r="P1677" s="174"/>
      <c r="Q1677" s="174"/>
      <c r="R1677" s="174"/>
      <c r="S1677" s="174"/>
      <c r="T1677" s="174"/>
      <c r="U1677" s="174"/>
      <c r="V1677" s="174"/>
      <c r="W1677" s="160"/>
      <c r="X1677" s="160"/>
      <c r="Y1677" s="160"/>
      <c r="Z1677" s="160"/>
      <c r="AA1677" s="160"/>
      <c r="AB1677" s="160"/>
      <c r="AC1677" s="160"/>
      <c r="AD1677" s="160"/>
      <c r="AE1677" s="160"/>
      <c r="AF1677" s="160"/>
      <c r="AG1677" s="160"/>
      <c r="AH1677" s="160"/>
      <c r="AI1677" s="160"/>
      <c r="AJ1677" s="179"/>
      <c r="AK1677" s="160"/>
      <c r="AL1677" s="177"/>
      <c r="AM1677" s="177"/>
      <c r="AN1677" s="177"/>
      <c r="AO1677" s="160"/>
      <c r="AP1677" s="160"/>
      <c r="AQ1677" s="160"/>
      <c r="AR1677" s="160">
        <f>IF($AR$1579&gt;0,PPMT('Assumptions (Geo)'!$V$7,Model!W$1,'Assumptions (Geo)'!$V$10,'Assumptions (Geo)'!$V$5*Model!$AR$1579*AVERAGE('Assumptions (Geo)'!$AN$2:$AP$2)/10^9),0)</f>
        <v>0</v>
      </c>
      <c r="AS1677" s="160">
        <f>IF($AR$1579&gt;0,PPMT('Assumptions (Geo)'!$V$7,Model!X$1,'Assumptions (Geo)'!$V$10,'Assumptions (Geo)'!$V$5*Model!$AR$1579*AVERAGE('Assumptions (Geo)'!$AN$2:$AP$2)/10^9),0)</f>
        <v>0</v>
      </c>
      <c r="AT1677" s="160">
        <f>IF($AR$1579&gt;0,PPMT('Assumptions (Geo)'!$V$7,Model!Y$1,'Assumptions (Geo)'!$V$10,'Assumptions (Geo)'!$V$5*Model!$AR$1579*AVERAGE('Assumptions (Geo)'!$AN$2:$AP$2)/10^9),0)</f>
        <v>0</v>
      </c>
      <c r="AU1677" s="160">
        <f>IF($AR$1579&gt;0,PPMT('Assumptions (Geo)'!$V$7,Model!Z$1,'Assumptions (Geo)'!$V$10,'Assumptions (Geo)'!$V$5*Model!$AR$1579*AVERAGE('Assumptions (Geo)'!$AN$2:$AP$2)/10^9),0)</f>
        <v>0</v>
      </c>
      <c r="AV1677" s="160">
        <f>IF($AR$1579&gt;0,PPMT('Assumptions (Geo)'!$V$7,Model!AA$1,'Assumptions (Geo)'!$V$10,'Assumptions (Geo)'!$V$5*Model!$AR$1579*AVERAGE('Assumptions (Geo)'!$AN$2:$AP$2)/10^9),0)</f>
        <v>0</v>
      </c>
      <c r="AW1677" s="160">
        <f>IF($AR$1579&gt;0,PPMT('Assumptions (Geo)'!$V$7,Model!AB$1,'Assumptions (Geo)'!$V$10,'Assumptions (Geo)'!$V$5*Model!$AR$1579*AVERAGE('Assumptions (Geo)'!$AN$2:$AP$2)/10^9),0)</f>
        <v>0</v>
      </c>
      <c r="AX1677" s="160">
        <f>IF($AR$1579&gt;0,PPMT('Assumptions (Geo)'!$V$7,Model!AC$1,'Assumptions (Geo)'!$V$10,'Assumptions (Geo)'!$V$5*Model!$AR$1579*AVERAGE('Assumptions (Geo)'!$AN$2:$AP$2)/10^9),0)</f>
        <v>0</v>
      </c>
      <c r="AY1677" s="160">
        <f>IF($AR$1579&gt;0,PPMT('Assumptions (Geo)'!$V$7,Model!AD$1,'Assumptions (Geo)'!$V$10,'Assumptions (Geo)'!$V$5*Model!$AR$1579*AVERAGE('Assumptions (Geo)'!$AN$2:$AP$2)/10^9),0)</f>
        <v>0</v>
      </c>
      <c r="AZ1677" s="160">
        <f>IF($AR$1579&gt;0,PPMT('Assumptions (Geo)'!$V$7,Model!AE$1,'Assumptions (Geo)'!$V$10,'Assumptions (Geo)'!$V$5*Model!$AR$1579*AVERAGE('Assumptions (Geo)'!$AN$2:$AP$2)/10^9),0)</f>
        <v>0</v>
      </c>
      <c r="BA1677" s="160">
        <f>IF($AR$1579&gt;0,PPMT('Assumptions (Geo)'!$V$7,Model!AF$1,'Assumptions (Geo)'!$V$10,'Assumptions (Geo)'!$V$5*Model!$AR$1579*AVERAGE('Assumptions (Geo)'!$AN$2:$AP$2)/10^9),0)</f>
        <v>0</v>
      </c>
      <c r="BB1677" s="160">
        <f>IF($AR$1579&gt;0,PPMT('Assumptions (Geo)'!$V$7,Model!AG$1,'Assumptions (Geo)'!$V$10,'Assumptions (Geo)'!$V$5*Model!$AR$1579*AVERAGE('Assumptions (Geo)'!$AN$2:$AP$2)/10^9),0)</f>
        <v>0</v>
      </c>
      <c r="BC1677" s="160">
        <f>IF($AR$1579&gt;0,PPMT('Assumptions (Geo)'!$V$7,Model!AH$1,'Assumptions (Geo)'!$V$10,'Assumptions (Geo)'!$V$5*Model!$AR$1579*AVERAGE('Assumptions (Geo)'!$AN$2:$AP$2)/10^9),0)</f>
        <v>0</v>
      </c>
      <c r="BD1677" s="160">
        <f>IF($AR$1579&gt;0,PPMT('Assumptions (Geo)'!$V$7,Model!AI$1,'Assumptions (Geo)'!$V$10,'Assumptions (Geo)'!$V$5*Model!$AR$1579*AVERAGE('Assumptions (Geo)'!$AN$2:$AP$2)/10^9),0)</f>
        <v>0</v>
      </c>
      <c r="BE1677" s="160">
        <f>IF($AR$1579&gt;0,PPMT('Assumptions (Geo)'!$V$7,Model!AJ$1,'Assumptions (Geo)'!$V$10,'Assumptions (Geo)'!$V$5*Model!$AR$1579*AVERAGE('Assumptions (Geo)'!$AN$2:$AP$2)/10^9),0)</f>
        <v>0</v>
      </c>
      <c r="BF1677" s="160">
        <f>IF($AR$1579&gt;0,PPMT('Assumptions (Geo)'!$V$7,Model!AK$1,'Assumptions (Geo)'!$V$10,'Assumptions (Geo)'!$V$5*Model!$AR$1579*AVERAGE('Assumptions (Geo)'!$AN$2:$AP$2)/10^9),0)</f>
        <v>0</v>
      </c>
      <c r="BG1677" s="160"/>
      <c r="BH1677" s="160"/>
      <c r="BI1677" s="160"/>
      <c r="BJ1677" s="160"/>
      <c r="BK1677" s="160"/>
      <c r="BL1677" s="160"/>
      <c r="BM1677" s="160"/>
      <c r="BN1677" s="160"/>
      <c r="BO1677" s="160"/>
      <c r="BP1677" s="160"/>
    </row>
    <row r="1678" ht="15.75" hidden="1" customHeight="1" outlineLevel="1">
      <c r="A1678" s="295"/>
      <c r="B1678" s="38"/>
      <c r="C1678" s="174"/>
      <c r="D1678" s="174"/>
      <c r="E1678" s="174"/>
      <c r="F1678" s="174"/>
      <c r="G1678" s="174"/>
      <c r="H1678" s="174"/>
      <c r="I1678" s="174"/>
      <c r="J1678" s="174"/>
      <c r="K1678" s="174"/>
      <c r="L1678" s="174"/>
      <c r="M1678" s="174"/>
      <c r="N1678" s="174"/>
      <c r="O1678" s="174"/>
      <c r="P1678" s="174"/>
      <c r="Q1678" s="174"/>
      <c r="R1678" s="174"/>
      <c r="S1678" s="174"/>
      <c r="T1678" s="174"/>
      <c r="U1678" s="174"/>
      <c r="V1678" s="174"/>
      <c r="W1678" s="160"/>
      <c r="X1678" s="160"/>
      <c r="Y1678" s="160"/>
      <c r="Z1678" s="160"/>
      <c r="AA1678" s="160"/>
      <c r="AB1678" s="160"/>
      <c r="AC1678" s="160"/>
      <c r="AD1678" s="160"/>
      <c r="AE1678" s="160"/>
      <c r="AF1678" s="160"/>
      <c r="AG1678" s="160"/>
      <c r="AH1678" s="160"/>
      <c r="AI1678" s="160"/>
      <c r="AJ1678" s="179"/>
      <c r="AK1678" s="160"/>
      <c r="AL1678" s="177"/>
      <c r="AM1678" s="177"/>
      <c r="AN1678" s="177"/>
      <c r="AO1678" s="160"/>
      <c r="AP1678" s="160"/>
      <c r="AQ1678" s="160"/>
      <c r="AR1678" s="160"/>
      <c r="AS1678" s="160">
        <f>IF($AS$1579&gt;0,PPMT('Assumptions (Geo)'!$V$7,Model!W$1,'Assumptions (Geo)'!$V$10,'Assumptions (Geo)'!$V$5*Model!$AS$1579*AVERAGE('Assumptions (Geo)'!$AO$2:$AQ$2)/10^9),0)</f>
        <v>0</v>
      </c>
      <c r="AT1678" s="160">
        <f>IF($AS$1579&gt;0,PPMT('Assumptions (Geo)'!$V$7,Model!X$1,'Assumptions (Geo)'!$V$10,'Assumptions (Geo)'!$V$5*Model!$AS$1579*AVERAGE('Assumptions (Geo)'!$AO$2:$AQ$2)/10^9),0)</f>
        <v>0</v>
      </c>
      <c r="AU1678" s="160">
        <f>IF($AS$1579&gt;0,PPMT('Assumptions (Geo)'!$V$7,Model!Y$1,'Assumptions (Geo)'!$V$10,'Assumptions (Geo)'!$V$5*Model!$AS$1579*AVERAGE('Assumptions (Geo)'!$AO$2:$AQ$2)/10^9),0)</f>
        <v>0</v>
      </c>
      <c r="AV1678" s="160">
        <f>IF($AS$1579&gt;0,PPMT('Assumptions (Geo)'!$V$7,Model!Z$1,'Assumptions (Geo)'!$V$10,'Assumptions (Geo)'!$V$5*Model!$AS$1579*AVERAGE('Assumptions (Geo)'!$AO$2:$AQ$2)/10^9),0)</f>
        <v>0</v>
      </c>
      <c r="AW1678" s="160">
        <f>IF($AS$1579&gt;0,PPMT('Assumptions (Geo)'!$V$7,Model!AA$1,'Assumptions (Geo)'!$V$10,'Assumptions (Geo)'!$V$5*Model!$AS$1579*AVERAGE('Assumptions (Geo)'!$AO$2:$AQ$2)/10^9),0)</f>
        <v>0</v>
      </c>
      <c r="AX1678" s="160">
        <f>IF($AS$1579&gt;0,PPMT('Assumptions (Geo)'!$V$7,Model!AB$1,'Assumptions (Geo)'!$V$10,'Assumptions (Geo)'!$V$5*Model!$AS$1579*AVERAGE('Assumptions (Geo)'!$AO$2:$AQ$2)/10^9),0)</f>
        <v>0</v>
      </c>
      <c r="AY1678" s="160">
        <f>IF($AS$1579&gt;0,PPMT('Assumptions (Geo)'!$V$7,Model!AC$1,'Assumptions (Geo)'!$V$10,'Assumptions (Geo)'!$V$5*Model!$AS$1579*AVERAGE('Assumptions (Geo)'!$AO$2:$AQ$2)/10^9),0)</f>
        <v>0</v>
      </c>
      <c r="AZ1678" s="160">
        <f>IF($AS$1579&gt;0,PPMT('Assumptions (Geo)'!$V$7,Model!AD$1,'Assumptions (Geo)'!$V$10,'Assumptions (Geo)'!$V$5*Model!$AS$1579*AVERAGE('Assumptions (Geo)'!$AO$2:$AQ$2)/10^9),0)</f>
        <v>0</v>
      </c>
      <c r="BA1678" s="160">
        <f>IF($AS$1579&gt;0,PPMT('Assumptions (Geo)'!$V$7,Model!AE$1,'Assumptions (Geo)'!$V$10,'Assumptions (Geo)'!$V$5*Model!$AS$1579*AVERAGE('Assumptions (Geo)'!$AO$2:$AQ$2)/10^9),0)</f>
        <v>0</v>
      </c>
      <c r="BB1678" s="160">
        <f>IF($AS$1579&gt;0,PPMT('Assumptions (Geo)'!$V$7,Model!AF$1,'Assumptions (Geo)'!$V$10,'Assumptions (Geo)'!$V$5*Model!$AS$1579*AVERAGE('Assumptions (Geo)'!$AO$2:$AQ$2)/10^9),0)</f>
        <v>0</v>
      </c>
      <c r="BC1678" s="160">
        <f>IF($AS$1579&gt;0,PPMT('Assumptions (Geo)'!$V$7,Model!AG$1,'Assumptions (Geo)'!$V$10,'Assumptions (Geo)'!$V$5*Model!$AS$1579*AVERAGE('Assumptions (Geo)'!$AO$2:$AQ$2)/10^9),0)</f>
        <v>0</v>
      </c>
      <c r="BD1678" s="160">
        <f>IF($AS$1579&gt;0,PPMT('Assumptions (Geo)'!$V$7,Model!AH$1,'Assumptions (Geo)'!$V$10,'Assumptions (Geo)'!$V$5*Model!$AS$1579*AVERAGE('Assumptions (Geo)'!$AO$2:$AQ$2)/10^9),0)</f>
        <v>0</v>
      </c>
      <c r="BE1678" s="160">
        <f>IF($AS$1579&gt;0,PPMT('Assumptions (Geo)'!$V$7,Model!AI$1,'Assumptions (Geo)'!$V$10,'Assumptions (Geo)'!$V$5*Model!$AS$1579*AVERAGE('Assumptions (Geo)'!$AO$2:$AQ$2)/10^9),0)</f>
        <v>0</v>
      </c>
      <c r="BF1678" s="160">
        <f>IF($AS$1579&gt;0,PPMT('Assumptions (Geo)'!$V$7,Model!AJ$1,'Assumptions (Geo)'!$V$10,'Assumptions (Geo)'!$V$5*Model!$AS$1579*AVERAGE('Assumptions (Geo)'!$AO$2:$AQ$2)/10^9),0)</f>
        <v>0</v>
      </c>
      <c r="BG1678" s="160">
        <f>IF($AS$1579&gt;0,PPMT('Assumptions (Geo)'!$V$7,Model!AK$1,'Assumptions (Geo)'!$V$10,'Assumptions (Geo)'!$V$5*Model!$AS$1579*AVERAGE('Assumptions (Geo)'!$AO$2:$AQ$2)/10^9),0)</f>
        <v>0</v>
      </c>
      <c r="BH1678" s="160"/>
      <c r="BI1678" s="160"/>
      <c r="BJ1678" s="160"/>
      <c r="BK1678" s="160"/>
      <c r="BL1678" s="160"/>
      <c r="BM1678" s="160"/>
      <c r="BN1678" s="160"/>
      <c r="BO1678" s="160"/>
      <c r="BP1678" s="160"/>
    </row>
    <row r="1679" ht="15.75" hidden="1" customHeight="1" outlineLevel="1">
      <c r="A1679" s="295"/>
      <c r="B1679" s="38"/>
      <c r="C1679" s="174"/>
      <c r="D1679" s="174"/>
      <c r="E1679" s="174"/>
      <c r="F1679" s="174"/>
      <c r="G1679" s="174"/>
      <c r="H1679" s="174"/>
      <c r="I1679" s="174"/>
      <c r="J1679" s="174"/>
      <c r="K1679" s="174"/>
      <c r="L1679" s="174"/>
      <c r="M1679" s="174"/>
      <c r="N1679" s="174"/>
      <c r="O1679" s="174"/>
      <c r="P1679" s="174"/>
      <c r="Q1679" s="174"/>
      <c r="R1679" s="174"/>
      <c r="S1679" s="174"/>
      <c r="T1679" s="174"/>
      <c r="U1679" s="174"/>
      <c r="V1679" s="174"/>
      <c r="W1679" s="160"/>
      <c r="X1679" s="160"/>
      <c r="Y1679" s="160"/>
      <c r="Z1679" s="160"/>
      <c r="AA1679" s="160"/>
      <c r="AB1679" s="160"/>
      <c r="AC1679" s="160"/>
      <c r="AD1679" s="160"/>
      <c r="AE1679" s="160"/>
      <c r="AF1679" s="160"/>
      <c r="AG1679" s="160"/>
      <c r="AH1679" s="160"/>
      <c r="AI1679" s="160"/>
      <c r="AJ1679" s="179"/>
      <c r="AK1679" s="160"/>
      <c r="AL1679" s="177"/>
      <c r="AM1679" s="177"/>
      <c r="AN1679" s="177"/>
      <c r="AO1679" s="160"/>
      <c r="AP1679" s="160"/>
      <c r="AQ1679" s="160"/>
      <c r="AR1679" s="160"/>
      <c r="AS1679" s="160"/>
      <c r="AT1679" s="160">
        <f>IF($AT$1579&gt;0,PPMT('Assumptions (Geo)'!$V$7,Model!W$1,'Assumptions (Geo)'!$V$10,'Assumptions (Geo)'!$V$5*Model!$AT$1579*AVERAGE('Assumptions (Geo)'!$AP$2:$AR$2)/10^9),0)</f>
        <v>0</v>
      </c>
      <c r="AU1679" s="160">
        <f>IF($AT$1579&gt;0,PPMT('Assumptions (Geo)'!$V$7,Model!X$1,'Assumptions (Geo)'!$V$10,'Assumptions (Geo)'!$V$5*Model!$AT$1579*AVERAGE('Assumptions (Geo)'!$AP$2:$AR$2)/10^9),0)</f>
        <v>0</v>
      </c>
      <c r="AV1679" s="160">
        <f>IF($AT$1579&gt;0,PPMT('Assumptions (Geo)'!$V$7,Model!Y$1,'Assumptions (Geo)'!$V$10,'Assumptions (Geo)'!$V$5*Model!$AT$1579*AVERAGE('Assumptions (Geo)'!$AP$2:$AR$2)/10^9),0)</f>
        <v>0</v>
      </c>
      <c r="AW1679" s="160">
        <f>IF($AT$1579&gt;0,PPMT('Assumptions (Geo)'!$V$7,Model!Z$1,'Assumptions (Geo)'!$V$10,'Assumptions (Geo)'!$V$5*Model!$AT$1579*AVERAGE('Assumptions (Geo)'!$AP$2:$AR$2)/10^9),0)</f>
        <v>0</v>
      </c>
      <c r="AX1679" s="160">
        <f>IF($AT$1579&gt;0,PPMT('Assumptions (Geo)'!$V$7,Model!AA$1,'Assumptions (Geo)'!$V$10,'Assumptions (Geo)'!$V$5*Model!$AT$1579*AVERAGE('Assumptions (Geo)'!$AP$2:$AR$2)/10^9),0)</f>
        <v>0</v>
      </c>
      <c r="AY1679" s="160">
        <f>IF($AT$1579&gt;0,PPMT('Assumptions (Geo)'!$V$7,Model!AB$1,'Assumptions (Geo)'!$V$10,'Assumptions (Geo)'!$V$5*Model!$AT$1579*AVERAGE('Assumptions (Geo)'!$AP$2:$AR$2)/10^9),0)</f>
        <v>0</v>
      </c>
      <c r="AZ1679" s="160">
        <f>IF($AT$1579&gt;0,PPMT('Assumptions (Geo)'!$V$7,Model!AC$1,'Assumptions (Geo)'!$V$10,'Assumptions (Geo)'!$V$5*Model!$AT$1579*AVERAGE('Assumptions (Geo)'!$AP$2:$AR$2)/10^9),0)</f>
        <v>0</v>
      </c>
      <c r="BA1679" s="160">
        <f>IF($AT$1579&gt;0,PPMT('Assumptions (Geo)'!$V$7,Model!AD$1,'Assumptions (Geo)'!$V$10,'Assumptions (Geo)'!$V$5*Model!$AT$1579*AVERAGE('Assumptions (Geo)'!$AP$2:$AR$2)/10^9),0)</f>
        <v>0</v>
      </c>
      <c r="BB1679" s="160">
        <f>IF($AT$1579&gt;0,PPMT('Assumptions (Geo)'!$V$7,Model!AE$1,'Assumptions (Geo)'!$V$10,'Assumptions (Geo)'!$V$5*Model!$AT$1579*AVERAGE('Assumptions (Geo)'!$AP$2:$AR$2)/10^9),0)</f>
        <v>0</v>
      </c>
      <c r="BC1679" s="160">
        <f>IF($AT$1579&gt;0,PPMT('Assumptions (Geo)'!$V$7,Model!AF$1,'Assumptions (Geo)'!$V$10,'Assumptions (Geo)'!$V$5*Model!$AT$1579*AVERAGE('Assumptions (Geo)'!$AP$2:$AR$2)/10^9),0)</f>
        <v>0</v>
      </c>
      <c r="BD1679" s="160">
        <f>IF($AT$1579&gt;0,PPMT('Assumptions (Geo)'!$V$7,Model!AG$1,'Assumptions (Geo)'!$V$10,'Assumptions (Geo)'!$V$5*Model!$AT$1579*AVERAGE('Assumptions (Geo)'!$AP$2:$AR$2)/10^9),0)</f>
        <v>0</v>
      </c>
      <c r="BE1679" s="160">
        <f>IF($AT$1579&gt;0,PPMT('Assumptions (Geo)'!$V$7,Model!AH$1,'Assumptions (Geo)'!$V$10,'Assumptions (Geo)'!$V$5*Model!$AT$1579*AVERAGE('Assumptions (Geo)'!$AP$2:$AR$2)/10^9),0)</f>
        <v>0</v>
      </c>
      <c r="BF1679" s="160">
        <f>IF($AT$1579&gt;0,PPMT('Assumptions (Geo)'!$V$7,Model!AI$1,'Assumptions (Geo)'!$V$10,'Assumptions (Geo)'!$V$5*Model!$AT$1579*AVERAGE('Assumptions (Geo)'!$AP$2:$AR$2)/10^9),0)</f>
        <v>0</v>
      </c>
      <c r="BG1679" s="160">
        <f>IF($AT$1579&gt;0,PPMT('Assumptions (Geo)'!$V$7,Model!AJ$1,'Assumptions (Geo)'!$V$10,'Assumptions (Geo)'!$V$5*Model!$AT$1579*AVERAGE('Assumptions (Geo)'!$AP$2:$AR$2)/10^9),0)</f>
        <v>0</v>
      </c>
      <c r="BH1679" s="160">
        <f>IF($AT$1579&gt;0,PPMT('Assumptions (Geo)'!$V$7,Model!AK$1,'Assumptions (Geo)'!$V$10,'Assumptions (Geo)'!$V$5*Model!$AT$1579*AVERAGE('Assumptions (Geo)'!$AP$2:$AR$2)/10^9),0)</f>
        <v>0</v>
      </c>
      <c r="BI1679" s="160"/>
      <c r="BJ1679" s="160"/>
      <c r="BK1679" s="160"/>
      <c r="BL1679" s="160"/>
      <c r="BM1679" s="160"/>
      <c r="BN1679" s="160"/>
      <c r="BO1679" s="160"/>
      <c r="BP1679" s="160"/>
    </row>
    <row r="1680" ht="15.75" hidden="1" customHeight="1" outlineLevel="1">
      <c r="A1680" s="295"/>
      <c r="B1680" s="38"/>
      <c r="C1680" s="174"/>
      <c r="D1680" s="174"/>
      <c r="E1680" s="174"/>
      <c r="F1680" s="174"/>
      <c r="G1680" s="174"/>
      <c r="H1680" s="174"/>
      <c r="I1680" s="174"/>
      <c r="J1680" s="174"/>
      <c r="K1680" s="174"/>
      <c r="L1680" s="174"/>
      <c r="M1680" s="174"/>
      <c r="N1680" s="174"/>
      <c r="O1680" s="174"/>
      <c r="P1680" s="174"/>
      <c r="Q1680" s="174"/>
      <c r="R1680" s="174"/>
      <c r="S1680" s="174"/>
      <c r="T1680" s="174"/>
      <c r="U1680" s="174"/>
      <c r="V1680" s="174"/>
      <c r="W1680" s="160"/>
      <c r="X1680" s="160"/>
      <c r="Y1680" s="160"/>
      <c r="Z1680" s="160"/>
      <c r="AA1680" s="160"/>
      <c r="AB1680" s="160"/>
      <c r="AC1680" s="160"/>
      <c r="AD1680" s="160"/>
      <c r="AE1680" s="160"/>
      <c r="AF1680" s="160"/>
      <c r="AG1680" s="160"/>
      <c r="AH1680" s="160"/>
      <c r="AI1680" s="160"/>
      <c r="AJ1680" s="179"/>
      <c r="AK1680" s="160"/>
      <c r="AL1680" s="177"/>
      <c r="AM1680" s="177"/>
      <c r="AN1680" s="177"/>
      <c r="AO1680" s="160"/>
      <c r="AP1680" s="160"/>
      <c r="AQ1680" s="160"/>
      <c r="AR1680" s="160"/>
      <c r="AS1680" s="160"/>
      <c r="AT1680" s="160"/>
      <c r="AU1680" s="160">
        <f>IF($AU$1579&gt;0,PPMT('Assumptions (Geo)'!$V$7,Model!W$1,'Assumptions (Geo)'!$V$10,'Assumptions (Geo)'!$V$5*Model!$AU$1579*AVERAGE('Assumptions (Geo)'!$AQ$2:$AS$2)/10^9),0)</f>
        <v>0</v>
      </c>
      <c r="AV1680" s="160">
        <f>IF($AU$1579&gt;0,PPMT('Assumptions (Geo)'!$V$7,Model!X$1,'Assumptions (Geo)'!$V$10,'Assumptions (Geo)'!$V$5*Model!$AU$1579*AVERAGE('Assumptions (Geo)'!$AQ$2:$AS$2)/10^9),0)</f>
        <v>0</v>
      </c>
      <c r="AW1680" s="160">
        <f>IF($AU$1579&gt;0,PPMT('Assumptions (Geo)'!$V$7,Model!Y$1,'Assumptions (Geo)'!$V$10,'Assumptions (Geo)'!$V$5*Model!$AU$1579*AVERAGE('Assumptions (Geo)'!$AQ$2:$AS$2)/10^9),0)</f>
        <v>0</v>
      </c>
      <c r="AX1680" s="160">
        <f>IF($AU$1579&gt;0,PPMT('Assumptions (Geo)'!$V$7,Model!Z$1,'Assumptions (Geo)'!$V$10,'Assumptions (Geo)'!$V$5*Model!$AU$1579*AVERAGE('Assumptions (Geo)'!$AQ$2:$AS$2)/10^9),0)</f>
        <v>0</v>
      </c>
      <c r="AY1680" s="160">
        <f>IF($AU$1579&gt;0,PPMT('Assumptions (Geo)'!$V$7,Model!AA$1,'Assumptions (Geo)'!$V$10,'Assumptions (Geo)'!$V$5*Model!$AU$1579*AVERAGE('Assumptions (Geo)'!$AQ$2:$AS$2)/10^9),0)</f>
        <v>0</v>
      </c>
      <c r="AZ1680" s="160">
        <f>IF($AU$1579&gt;0,PPMT('Assumptions (Geo)'!$V$7,Model!AB$1,'Assumptions (Geo)'!$V$10,'Assumptions (Geo)'!$V$5*Model!$AU$1579*AVERAGE('Assumptions (Geo)'!$AQ$2:$AS$2)/10^9),0)</f>
        <v>0</v>
      </c>
      <c r="BA1680" s="160">
        <f>IF($AU$1579&gt;0,PPMT('Assumptions (Geo)'!$V$7,Model!AC$1,'Assumptions (Geo)'!$V$10,'Assumptions (Geo)'!$V$5*Model!$AU$1579*AVERAGE('Assumptions (Geo)'!$AQ$2:$AS$2)/10^9),0)</f>
        <v>0</v>
      </c>
      <c r="BB1680" s="160">
        <f>IF($AU$1579&gt;0,PPMT('Assumptions (Geo)'!$V$7,Model!AD$1,'Assumptions (Geo)'!$V$10,'Assumptions (Geo)'!$V$5*Model!$AU$1579*AVERAGE('Assumptions (Geo)'!$AQ$2:$AS$2)/10^9),0)</f>
        <v>0</v>
      </c>
      <c r="BC1680" s="160">
        <f>IF($AU$1579&gt;0,PPMT('Assumptions (Geo)'!$V$7,Model!AE$1,'Assumptions (Geo)'!$V$10,'Assumptions (Geo)'!$V$5*Model!$AU$1579*AVERAGE('Assumptions (Geo)'!$AQ$2:$AS$2)/10^9),0)</f>
        <v>0</v>
      </c>
      <c r="BD1680" s="160">
        <f>IF($AU$1579&gt;0,PPMT('Assumptions (Geo)'!$V$7,Model!AF$1,'Assumptions (Geo)'!$V$10,'Assumptions (Geo)'!$V$5*Model!$AU$1579*AVERAGE('Assumptions (Geo)'!$AQ$2:$AS$2)/10^9),0)</f>
        <v>0</v>
      </c>
      <c r="BE1680" s="160">
        <f>IF($AU$1579&gt;0,PPMT('Assumptions (Geo)'!$V$7,Model!AG$1,'Assumptions (Geo)'!$V$10,'Assumptions (Geo)'!$V$5*Model!$AU$1579*AVERAGE('Assumptions (Geo)'!$AQ$2:$AS$2)/10^9),0)</f>
        <v>0</v>
      </c>
      <c r="BF1680" s="160">
        <f>IF($AU$1579&gt;0,PPMT('Assumptions (Geo)'!$V$7,Model!AH$1,'Assumptions (Geo)'!$V$10,'Assumptions (Geo)'!$V$5*Model!$AU$1579*AVERAGE('Assumptions (Geo)'!$AQ$2:$AS$2)/10^9),0)</f>
        <v>0</v>
      </c>
      <c r="BG1680" s="160">
        <f>IF($AU$1579&gt;0,PPMT('Assumptions (Geo)'!$V$7,Model!AI$1,'Assumptions (Geo)'!$V$10,'Assumptions (Geo)'!$V$5*Model!$AU$1579*AVERAGE('Assumptions (Geo)'!$AQ$2:$AS$2)/10^9),0)</f>
        <v>0</v>
      </c>
      <c r="BH1680" s="160">
        <f>IF($AU$1579&gt;0,PPMT('Assumptions (Geo)'!$V$7,Model!AJ$1,'Assumptions (Geo)'!$V$10,'Assumptions (Geo)'!$V$5*Model!$AU$1579*AVERAGE('Assumptions (Geo)'!$AQ$2:$AS$2)/10^9),0)</f>
        <v>0</v>
      </c>
      <c r="BI1680" s="160">
        <f>IF($AU$1579&gt;0,PPMT('Assumptions (Geo)'!$V$7,Model!AK$1,'Assumptions (Geo)'!$V$10,'Assumptions (Geo)'!$V$5*Model!$AU$1579*AVERAGE('Assumptions (Geo)'!$AQ$2:$AS$2)/10^9),0)</f>
        <v>0</v>
      </c>
      <c r="BJ1680" s="160"/>
      <c r="BK1680" s="160"/>
      <c r="BL1680" s="160"/>
      <c r="BM1680" s="160"/>
      <c r="BN1680" s="160"/>
      <c r="BO1680" s="160"/>
      <c r="BP1680" s="160"/>
    </row>
    <row r="1681" ht="15.75" hidden="1" customHeight="1" outlineLevel="1">
      <c r="A1681" s="295"/>
      <c r="B1681" s="38"/>
      <c r="C1681" s="174"/>
      <c r="D1681" s="174"/>
      <c r="E1681" s="174"/>
      <c r="F1681" s="174"/>
      <c r="G1681" s="174"/>
      <c r="H1681" s="174"/>
      <c r="I1681" s="174"/>
      <c r="J1681" s="174"/>
      <c r="K1681" s="174"/>
      <c r="L1681" s="174"/>
      <c r="M1681" s="174"/>
      <c r="N1681" s="174"/>
      <c r="O1681" s="174"/>
      <c r="P1681" s="174"/>
      <c r="Q1681" s="174"/>
      <c r="R1681" s="174"/>
      <c r="S1681" s="174"/>
      <c r="T1681" s="174"/>
      <c r="U1681" s="174"/>
      <c r="V1681" s="174"/>
      <c r="W1681" s="160"/>
      <c r="X1681" s="160"/>
      <c r="Y1681" s="160"/>
      <c r="Z1681" s="160"/>
      <c r="AA1681" s="160"/>
      <c r="AB1681" s="160"/>
      <c r="AC1681" s="160"/>
      <c r="AD1681" s="160"/>
      <c r="AE1681" s="160"/>
      <c r="AF1681" s="160"/>
      <c r="AG1681" s="160"/>
      <c r="AH1681" s="160"/>
      <c r="AI1681" s="160"/>
      <c r="AJ1681" s="179"/>
      <c r="AK1681" s="160"/>
      <c r="AL1681" s="177"/>
      <c r="AM1681" s="177"/>
      <c r="AN1681" s="177"/>
      <c r="AO1681" s="160"/>
      <c r="AP1681" s="160"/>
      <c r="AQ1681" s="160"/>
      <c r="AR1681" s="160"/>
      <c r="AS1681" s="160"/>
      <c r="AT1681" s="160"/>
      <c r="AU1681" s="160"/>
      <c r="AV1681" s="160">
        <f>IF($AV$1579&gt;0,PPMT('Assumptions (Geo)'!$V$7,Model!W$1,'Assumptions (Geo)'!$V$10,'Assumptions (Geo)'!$V$5*Model!$AV$1579*AVERAGE('Assumptions (Geo)'!$AR$2:$AT$2)/10^9),0)</f>
        <v>0</v>
      </c>
      <c r="AW1681" s="160">
        <f>IF($AV$1579&gt;0,PPMT('Assumptions (Geo)'!$V$7,Model!X$1,'Assumptions (Geo)'!$V$10,'Assumptions (Geo)'!$V$5*Model!$AV$1579*AVERAGE('Assumptions (Geo)'!$AR$2:$AT$2)/10^9),0)</f>
        <v>0</v>
      </c>
      <c r="AX1681" s="160">
        <f>IF($AV$1579&gt;0,PPMT('Assumptions (Geo)'!$V$7,Model!Y$1,'Assumptions (Geo)'!$V$10,'Assumptions (Geo)'!$V$5*Model!$AV$1579*AVERAGE('Assumptions (Geo)'!$AR$2:$AT$2)/10^9),0)</f>
        <v>0</v>
      </c>
      <c r="AY1681" s="160">
        <f>IF($AV$1579&gt;0,PPMT('Assumptions (Geo)'!$V$7,Model!Z$1,'Assumptions (Geo)'!$V$10,'Assumptions (Geo)'!$V$5*Model!$AV$1579*AVERAGE('Assumptions (Geo)'!$AR$2:$AT$2)/10^9),0)</f>
        <v>0</v>
      </c>
      <c r="AZ1681" s="160">
        <f>IF($AV$1579&gt;0,PPMT('Assumptions (Geo)'!$V$7,Model!AA$1,'Assumptions (Geo)'!$V$10,'Assumptions (Geo)'!$V$5*Model!$AV$1579*AVERAGE('Assumptions (Geo)'!$AR$2:$AT$2)/10^9),0)</f>
        <v>0</v>
      </c>
      <c r="BA1681" s="160">
        <f>IF($AV$1579&gt;0,PPMT('Assumptions (Geo)'!$V$7,Model!AB$1,'Assumptions (Geo)'!$V$10,'Assumptions (Geo)'!$V$5*Model!$AV$1579*AVERAGE('Assumptions (Geo)'!$AR$2:$AT$2)/10^9),0)</f>
        <v>0</v>
      </c>
      <c r="BB1681" s="160">
        <f>IF($AV$1579&gt;0,PPMT('Assumptions (Geo)'!$V$7,Model!AC$1,'Assumptions (Geo)'!$V$10,'Assumptions (Geo)'!$V$5*Model!$AV$1579*AVERAGE('Assumptions (Geo)'!$AR$2:$AT$2)/10^9),0)</f>
        <v>0</v>
      </c>
      <c r="BC1681" s="160">
        <f>IF($AV$1579&gt;0,PPMT('Assumptions (Geo)'!$V$7,Model!AD$1,'Assumptions (Geo)'!$V$10,'Assumptions (Geo)'!$V$5*Model!$AV$1579*AVERAGE('Assumptions (Geo)'!$AR$2:$AT$2)/10^9),0)</f>
        <v>0</v>
      </c>
      <c r="BD1681" s="160">
        <f>IF($AV$1579&gt;0,PPMT('Assumptions (Geo)'!$V$7,Model!AE$1,'Assumptions (Geo)'!$V$10,'Assumptions (Geo)'!$V$5*Model!$AV$1579*AVERAGE('Assumptions (Geo)'!$AR$2:$AT$2)/10^9),0)</f>
        <v>0</v>
      </c>
      <c r="BE1681" s="160">
        <f>IF($AV$1579&gt;0,PPMT('Assumptions (Geo)'!$V$7,Model!AF$1,'Assumptions (Geo)'!$V$10,'Assumptions (Geo)'!$V$5*Model!$AV$1579*AVERAGE('Assumptions (Geo)'!$AR$2:$AT$2)/10^9),0)</f>
        <v>0</v>
      </c>
      <c r="BF1681" s="160">
        <f>IF($AV$1579&gt;0,PPMT('Assumptions (Geo)'!$V$7,Model!AG$1,'Assumptions (Geo)'!$V$10,'Assumptions (Geo)'!$V$5*Model!$AV$1579*AVERAGE('Assumptions (Geo)'!$AR$2:$AT$2)/10^9),0)</f>
        <v>0</v>
      </c>
      <c r="BG1681" s="160">
        <f>IF($AV$1579&gt;0,PPMT('Assumptions (Geo)'!$V$7,Model!AH$1,'Assumptions (Geo)'!$V$10,'Assumptions (Geo)'!$V$5*Model!$AV$1579*AVERAGE('Assumptions (Geo)'!$AR$2:$AT$2)/10^9),0)</f>
        <v>0</v>
      </c>
      <c r="BH1681" s="160">
        <f>IF($AV$1579&gt;0,PPMT('Assumptions (Geo)'!$V$7,Model!AI$1,'Assumptions (Geo)'!$V$10,'Assumptions (Geo)'!$V$5*Model!$AV$1579*AVERAGE('Assumptions (Geo)'!$AR$2:$AT$2)/10^9),0)</f>
        <v>0</v>
      </c>
      <c r="BI1681" s="160">
        <f>IF($AV$1579&gt;0,PPMT('Assumptions (Geo)'!$V$7,Model!AJ$1,'Assumptions (Geo)'!$V$10,'Assumptions (Geo)'!$V$5*Model!$AV$1579*AVERAGE('Assumptions (Geo)'!$AR$2:$AT$2)/10^9),0)</f>
        <v>0</v>
      </c>
      <c r="BJ1681" s="160">
        <f>IF($AV$1579&gt;0,PPMT('Assumptions (Geo)'!$V$7,Model!AK$1,'Assumptions (Geo)'!$V$10,'Assumptions (Geo)'!$V$5*Model!$AV$1579*AVERAGE('Assumptions (Geo)'!$AR$2:$AT$2)/10^9),0)</f>
        <v>0</v>
      </c>
      <c r="BK1681" s="160"/>
      <c r="BL1681" s="160"/>
      <c r="BM1681" s="160"/>
      <c r="BN1681" s="160"/>
      <c r="BO1681" s="160"/>
      <c r="BP1681" s="160"/>
    </row>
    <row r="1682" ht="15.75" hidden="1" customHeight="1" outlineLevel="1">
      <c r="A1682" s="295"/>
      <c r="B1682" s="38"/>
      <c r="C1682" s="174"/>
      <c r="D1682" s="174"/>
      <c r="E1682" s="174"/>
      <c r="F1682" s="174"/>
      <c r="G1682" s="174"/>
      <c r="H1682" s="174"/>
      <c r="I1682" s="174"/>
      <c r="J1682" s="174"/>
      <c r="K1682" s="174"/>
      <c r="L1682" s="174"/>
      <c r="M1682" s="174"/>
      <c r="N1682" s="174"/>
      <c r="O1682" s="174"/>
      <c r="P1682" s="174"/>
      <c r="Q1682" s="174"/>
      <c r="R1682" s="174"/>
      <c r="S1682" s="174"/>
      <c r="T1682" s="174"/>
      <c r="U1682" s="174"/>
      <c r="V1682" s="174"/>
      <c r="W1682" s="160"/>
      <c r="X1682" s="160"/>
      <c r="Y1682" s="160"/>
      <c r="Z1682" s="160"/>
      <c r="AA1682" s="160"/>
      <c r="AB1682" s="160"/>
      <c r="AC1682" s="160"/>
      <c r="AD1682" s="160"/>
      <c r="AE1682" s="160"/>
      <c r="AF1682" s="160"/>
      <c r="AG1682" s="160"/>
      <c r="AH1682" s="160"/>
      <c r="AI1682" s="160"/>
      <c r="AJ1682" s="179"/>
      <c r="AK1682" s="160"/>
      <c r="AL1682" s="177"/>
      <c r="AM1682" s="177"/>
      <c r="AN1682" s="177"/>
      <c r="AO1682" s="160"/>
      <c r="AP1682" s="160"/>
      <c r="AQ1682" s="160"/>
      <c r="AR1682" s="160"/>
      <c r="AS1682" s="160"/>
      <c r="AT1682" s="160"/>
      <c r="AU1682" s="160"/>
      <c r="AV1682" s="160"/>
      <c r="AW1682" s="160">
        <f>IF($AW$1579&gt;0,PPMT('Assumptions (Geo)'!$V$7,Model!W$1,'Assumptions (Geo)'!$V$10,'Assumptions (Geo)'!$V$5*Model!$AW$1579*AVERAGE('Assumptions (Geo)'!$AS$2:$AU$2)/10^9),0)</f>
        <v>0</v>
      </c>
      <c r="AX1682" s="160">
        <f>IF($AW$1579&gt;0,PPMT('Assumptions (Geo)'!$V$7,Model!X$1,'Assumptions (Geo)'!$V$10,'Assumptions (Geo)'!$V$5*Model!$AW$1579*AVERAGE('Assumptions (Geo)'!$AS$2:$AU$2)/10^9),0)</f>
        <v>0</v>
      </c>
      <c r="AY1682" s="160">
        <f>IF($AW$1579&gt;0,PPMT('Assumptions (Geo)'!$V$7,Model!Y$1,'Assumptions (Geo)'!$V$10,'Assumptions (Geo)'!$V$5*Model!$AW$1579*AVERAGE('Assumptions (Geo)'!$AS$2:$AU$2)/10^9),0)</f>
        <v>0</v>
      </c>
      <c r="AZ1682" s="160">
        <f>IF($AW$1579&gt;0,PPMT('Assumptions (Geo)'!$V$7,Model!Z$1,'Assumptions (Geo)'!$V$10,'Assumptions (Geo)'!$V$5*Model!$AW$1579*AVERAGE('Assumptions (Geo)'!$AS$2:$AU$2)/10^9),0)</f>
        <v>0</v>
      </c>
      <c r="BA1682" s="160">
        <f>IF($AW$1579&gt;0,PPMT('Assumptions (Geo)'!$V$7,Model!AA$1,'Assumptions (Geo)'!$V$10,'Assumptions (Geo)'!$V$5*Model!$AW$1579*AVERAGE('Assumptions (Geo)'!$AS$2:$AU$2)/10^9),0)</f>
        <v>0</v>
      </c>
      <c r="BB1682" s="160">
        <f>IF($AW$1579&gt;0,PPMT('Assumptions (Geo)'!$V$7,Model!AB$1,'Assumptions (Geo)'!$V$10,'Assumptions (Geo)'!$V$5*Model!$AW$1579*AVERAGE('Assumptions (Geo)'!$AS$2:$AU$2)/10^9),0)</f>
        <v>0</v>
      </c>
      <c r="BC1682" s="160">
        <f>IF($AW$1579&gt;0,PPMT('Assumptions (Geo)'!$V$7,Model!AC$1,'Assumptions (Geo)'!$V$10,'Assumptions (Geo)'!$V$5*Model!$AW$1579*AVERAGE('Assumptions (Geo)'!$AS$2:$AU$2)/10^9),0)</f>
        <v>0</v>
      </c>
      <c r="BD1682" s="160">
        <f>IF($AW$1579&gt;0,PPMT('Assumptions (Geo)'!$V$7,Model!AD$1,'Assumptions (Geo)'!$V$10,'Assumptions (Geo)'!$V$5*Model!$AW$1579*AVERAGE('Assumptions (Geo)'!$AS$2:$AU$2)/10^9),0)</f>
        <v>0</v>
      </c>
      <c r="BE1682" s="160">
        <f>IF($AW$1579&gt;0,PPMT('Assumptions (Geo)'!$V$7,Model!AE$1,'Assumptions (Geo)'!$V$10,'Assumptions (Geo)'!$V$5*Model!$AW$1579*AVERAGE('Assumptions (Geo)'!$AS$2:$AU$2)/10^9),0)</f>
        <v>0</v>
      </c>
      <c r="BF1682" s="160">
        <f>IF($AW$1579&gt;0,PPMT('Assumptions (Geo)'!$V$7,Model!AF$1,'Assumptions (Geo)'!$V$10,'Assumptions (Geo)'!$V$5*Model!$AW$1579*AVERAGE('Assumptions (Geo)'!$AS$2:$AU$2)/10^9),0)</f>
        <v>0</v>
      </c>
      <c r="BG1682" s="160">
        <f>IF($AW$1579&gt;0,PPMT('Assumptions (Geo)'!$V$7,Model!AG$1,'Assumptions (Geo)'!$V$10,'Assumptions (Geo)'!$V$5*Model!$AW$1579*AVERAGE('Assumptions (Geo)'!$AS$2:$AU$2)/10^9),0)</f>
        <v>0</v>
      </c>
      <c r="BH1682" s="160">
        <f>IF($AW$1579&gt;0,PPMT('Assumptions (Geo)'!$V$7,Model!AH$1,'Assumptions (Geo)'!$V$10,'Assumptions (Geo)'!$V$5*Model!$AW$1579*AVERAGE('Assumptions (Geo)'!$AS$2:$AU$2)/10^9),0)</f>
        <v>0</v>
      </c>
      <c r="BI1682" s="160">
        <f>IF($AW$1579&gt;0,PPMT('Assumptions (Geo)'!$V$7,Model!AI$1,'Assumptions (Geo)'!$V$10,'Assumptions (Geo)'!$V$5*Model!$AW$1579*AVERAGE('Assumptions (Geo)'!$AS$2:$AU$2)/10^9),0)</f>
        <v>0</v>
      </c>
      <c r="BJ1682" s="160">
        <f>IF($AW$1579&gt;0,PPMT('Assumptions (Geo)'!$V$7,Model!AJ$1,'Assumptions (Geo)'!$V$10,'Assumptions (Geo)'!$V$5*Model!$AW$1579*AVERAGE('Assumptions (Geo)'!$AS$2:$AU$2)/10^9),0)</f>
        <v>0</v>
      </c>
      <c r="BK1682" s="160">
        <f>IF($AW$1579&gt;0,PPMT('Assumptions (Geo)'!$V$7,Model!AK$1,'Assumptions (Geo)'!$V$10,'Assumptions (Geo)'!$V$5*Model!$AW$1579*AVERAGE('Assumptions (Geo)'!$AS$2:$AU$2)/10^9),0)</f>
        <v>0</v>
      </c>
      <c r="BL1682" s="160"/>
      <c r="BM1682" s="160"/>
      <c r="BN1682" s="160"/>
      <c r="BO1682" s="160"/>
      <c r="BP1682" s="160"/>
    </row>
    <row r="1683" ht="15.75" hidden="1" customHeight="1" outlineLevel="1">
      <c r="A1683" s="295"/>
      <c r="B1683" s="38"/>
      <c r="C1683" s="174"/>
      <c r="D1683" s="174"/>
      <c r="E1683" s="174"/>
      <c r="F1683" s="174"/>
      <c r="G1683" s="174"/>
      <c r="H1683" s="174"/>
      <c r="I1683" s="174"/>
      <c r="J1683" s="174"/>
      <c r="K1683" s="174"/>
      <c r="L1683" s="174"/>
      <c r="M1683" s="174"/>
      <c r="N1683" s="174"/>
      <c r="O1683" s="174"/>
      <c r="P1683" s="174"/>
      <c r="Q1683" s="174"/>
      <c r="R1683" s="174"/>
      <c r="S1683" s="174"/>
      <c r="T1683" s="174"/>
      <c r="U1683" s="174"/>
      <c r="V1683" s="174"/>
      <c r="W1683" s="160"/>
      <c r="X1683" s="160"/>
      <c r="Y1683" s="160"/>
      <c r="Z1683" s="160"/>
      <c r="AA1683" s="160"/>
      <c r="AB1683" s="160"/>
      <c r="AC1683" s="160"/>
      <c r="AD1683" s="160"/>
      <c r="AE1683" s="160"/>
      <c r="AF1683" s="160"/>
      <c r="AG1683" s="160"/>
      <c r="AH1683" s="160"/>
      <c r="AI1683" s="160"/>
      <c r="AJ1683" s="179"/>
      <c r="AK1683" s="160"/>
      <c r="AL1683" s="177"/>
      <c r="AM1683" s="177"/>
      <c r="AN1683" s="177"/>
      <c r="AO1683" s="160"/>
      <c r="AP1683" s="160"/>
      <c r="AQ1683" s="160"/>
      <c r="AR1683" s="160"/>
      <c r="AS1683" s="160"/>
      <c r="AT1683" s="160"/>
      <c r="AU1683" s="160"/>
      <c r="AV1683" s="160"/>
      <c r="AW1683" s="160"/>
      <c r="AX1683" s="160">
        <f>IF($AX$1579&gt;0,PPMT('Assumptions (Geo)'!$V$7,Model!W$1,'Assumptions (Geo)'!$V$10,'Assumptions (Geo)'!$V$5*Model!$AX$1579*AVERAGE('Assumptions (Geo)'!$AT$2:$AV$2)/10^9),0)</f>
        <v>0</v>
      </c>
      <c r="AY1683" s="160">
        <f>IF($AX$1579&gt;0,PPMT('Assumptions (Geo)'!$V$7,Model!X$1,'Assumptions (Geo)'!$V$10,'Assumptions (Geo)'!$V$5*Model!$AX$1579*AVERAGE('Assumptions (Geo)'!$AT$2:$AV$2)/10^9),0)</f>
        <v>0</v>
      </c>
      <c r="AZ1683" s="160">
        <f>IF($AX$1579&gt;0,PPMT('Assumptions (Geo)'!$V$7,Model!Y$1,'Assumptions (Geo)'!$V$10,'Assumptions (Geo)'!$V$5*Model!$AX$1579*AVERAGE('Assumptions (Geo)'!$AT$2:$AV$2)/10^9),0)</f>
        <v>0</v>
      </c>
      <c r="BA1683" s="160">
        <f>IF($AX$1579&gt;0,PPMT('Assumptions (Geo)'!$V$7,Model!Z$1,'Assumptions (Geo)'!$V$10,'Assumptions (Geo)'!$V$5*Model!$AX$1579*AVERAGE('Assumptions (Geo)'!$AT$2:$AV$2)/10^9),0)</f>
        <v>0</v>
      </c>
      <c r="BB1683" s="160">
        <f>IF($AX$1579&gt;0,PPMT('Assumptions (Geo)'!$V$7,Model!AA$1,'Assumptions (Geo)'!$V$10,'Assumptions (Geo)'!$V$5*Model!$AX$1579*AVERAGE('Assumptions (Geo)'!$AT$2:$AV$2)/10^9),0)</f>
        <v>0</v>
      </c>
      <c r="BC1683" s="160">
        <f>IF($AX$1579&gt;0,PPMT('Assumptions (Geo)'!$V$7,Model!AB$1,'Assumptions (Geo)'!$V$10,'Assumptions (Geo)'!$V$5*Model!$AX$1579*AVERAGE('Assumptions (Geo)'!$AT$2:$AV$2)/10^9),0)</f>
        <v>0</v>
      </c>
      <c r="BD1683" s="160">
        <f>IF($AX$1579&gt;0,PPMT('Assumptions (Geo)'!$V$7,Model!AC$1,'Assumptions (Geo)'!$V$10,'Assumptions (Geo)'!$V$5*Model!$AX$1579*AVERAGE('Assumptions (Geo)'!$AT$2:$AV$2)/10^9),0)</f>
        <v>0</v>
      </c>
      <c r="BE1683" s="160">
        <f>IF($AX$1579&gt;0,PPMT('Assumptions (Geo)'!$V$7,Model!AD$1,'Assumptions (Geo)'!$V$10,'Assumptions (Geo)'!$V$5*Model!$AX$1579*AVERAGE('Assumptions (Geo)'!$AT$2:$AV$2)/10^9),0)</f>
        <v>0</v>
      </c>
      <c r="BF1683" s="160">
        <f>IF($AX$1579&gt;0,PPMT('Assumptions (Geo)'!$V$7,Model!AE$1,'Assumptions (Geo)'!$V$10,'Assumptions (Geo)'!$V$5*Model!$AX$1579*AVERAGE('Assumptions (Geo)'!$AT$2:$AV$2)/10^9),0)</f>
        <v>0</v>
      </c>
      <c r="BG1683" s="160">
        <f>IF($AX$1579&gt;0,PPMT('Assumptions (Geo)'!$V$7,Model!AF$1,'Assumptions (Geo)'!$V$10,'Assumptions (Geo)'!$V$5*Model!$AX$1579*AVERAGE('Assumptions (Geo)'!$AT$2:$AV$2)/10^9),0)</f>
        <v>0</v>
      </c>
      <c r="BH1683" s="160">
        <f>IF($AX$1579&gt;0,PPMT('Assumptions (Geo)'!$V$7,Model!AG$1,'Assumptions (Geo)'!$V$10,'Assumptions (Geo)'!$V$5*Model!$AX$1579*AVERAGE('Assumptions (Geo)'!$AT$2:$AV$2)/10^9),0)</f>
        <v>0</v>
      </c>
      <c r="BI1683" s="160">
        <f>IF($AX$1579&gt;0,PPMT('Assumptions (Geo)'!$V$7,Model!AH$1,'Assumptions (Geo)'!$V$10,'Assumptions (Geo)'!$V$5*Model!$AX$1579*AVERAGE('Assumptions (Geo)'!$AT$2:$AV$2)/10^9),0)</f>
        <v>0</v>
      </c>
      <c r="BJ1683" s="160">
        <f>IF($AX$1579&gt;0,PPMT('Assumptions (Geo)'!$V$7,Model!AI$1,'Assumptions (Geo)'!$V$10,'Assumptions (Geo)'!$V$5*Model!$AX$1579*AVERAGE('Assumptions (Geo)'!$AT$2:$AV$2)/10^9),0)</f>
        <v>0</v>
      </c>
      <c r="BK1683" s="160">
        <f>IF($AX$1579&gt;0,PPMT('Assumptions (Geo)'!$V$7,Model!AJ$1,'Assumptions (Geo)'!$V$10,'Assumptions (Geo)'!$V$5*Model!$AX$1579*AVERAGE('Assumptions (Geo)'!$AT$2:$AV$2)/10^9),0)</f>
        <v>0</v>
      </c>
      <c r="BL1683" s="160">
        <f>IF($AX$1579&gt;0,PPMT('Assumptions (Geo)'!$V$7,Model!AK$1,'Assumptions (Geo)'!$V$10,'Assumptions (Geo)'!$V$5*Model!$AX$1579*AVERAGE('Assumptions (Geo)'!$AT$2:$AV$2)/10^9),0)</f>
        <v>0</v>
      </c>
      <c r="BM1683" s="160"/>
      <c r="BN1683" s="160"/>
      <c r="BO1683" s="160"/>
      <c r="BP1683" s="160"/>
    </row>
    <row r="1684" ht="15.75" hidden="1" customHeight="1" outlineLevel="1">
      <c r="A1684" s="295"/>
      <c r="B1684" s="38"/>
      <c r="C1684" s="174"/>
      <c r="D1684" s="174"/>
      <c r="E1684" s="174"/>
      <c r="F1684" s="174"/>
      <c r="G1684" s="174"/>
      <c r="H1684" s="174"/>
      <c r="I1684" s="174"/>
      <c r="J1684" s="174"/>
      <c r="K1684" s="174"/>
      <c r="L1684" s="174"/>
      <c r="M1684" s="174"/>
      <c r="N1684" s="174"/>
      <c r="O1684" s="174"/>
      <c r="P1684" s="174"/>
      <c r="Q1684" s="174"/>
      <c r="R1684" s="174"/>
      <c r="S1684" s="174"/>
      <c r="T1684" s="174"/>
      <c r="U1684" s="174"/>
      <c r="V1684" s="174"/>
      <c r="W1684" s="160"/>
      <c r="X1684" s="160"/>
      <c r="Y1684" s="160"/>
      <c r="Z1684" s="160"/>
      <c r="AA1684" s="160"/>
      <c r="AB1684" s="160"/>
      <c r="AC1684" s="160"/>
      <c r="AD1684" s="160"/>
      <c r="AE1684" s="160"/>
      <c r="AF1684" s="160"/>
      <c r="AG1684" s="160"/>
      <c r="AH1684" s="160"/>
      <c r="AI1684" s="160"/>
      <c r="AJ1684" s="179"/>
      <c r="AK1684" s="160"/>
      <c r="AL1684" s="177"/>
      <c r="AM1684" s="177"/>
      <c r="AN1684" s="177"/>
      <c r="AO1684" s="160"/>
      <c r="AP1684" s="160"/>
      <c r="AQ1684" s="160"/>
      <c r="AR1684" s="160"/>
      <c r="AS1684" s="160"/>
      <c r="AT1684" s="160"/>
      <c r="AU1684" s="160"/>
      <c r="AV1684" s="160"/>
      <c r="AW1684" s="160"/>
      <c r="AX1684" s="160"/>
      <c r="AY1684" s="160">
        <f>IF($AY$1579&gt;0,PPMT('Assumptions (Geo)'!$V$7,Model!W$1,'Assumptions (Geo)'!$V$10,'Assumptions (Geo)'!$V$5*Model!$AY$1579*AVERAGE('Assumptions (Geo)'!$AU$2:$AW$2)/10^9),0)</f>
        <v>0</v>
      </c>
      <c r="AZ1684" s="160">
        <f>IF($AY$1579&gt;0,PPMT('Assumptions (Geo)'!$V$7,Model!X$1,'Assumptions (Geo)'!$V$10,'Assumptions (Geo)'!$V$5*Model!$AY$1579*AVERAGE('Assumptions (Geo)'!$AU$2:$AW$2)/10^9),0)</f>
        <v>0</v>
      </c>
      <c r="BA1684" s="160">
        <f>IF($AY$1579&gt;0,PPMT('Assumptions (Geo)'!$V$7,Model!Y$1,'Assumptions (Geo)'!$V$10,'Assumptions (Geo)'!$V$5*Model!$AY$1579*AVERAGE('Assumptions (Geo)'!$AU$2:$AW$2)/10^9),0)</f>
        <v>0</v>
      </c>
      <c r="BB1684" s="160">
        <f>IF($AY$1579&gt;0,PPMT('Assumptions (Geo)'!$V$7,Model!Z$1,'Assumptions (Geo)'!$V$10,'Assumptions (Geo)'!$V$5*Model!$AY$1579*AVERAGE('Assumptions (Geo)'!$AU$2:$AW$2)/10^9),0)</f>
        <v>0</v>
      </c>
      <c r="BC1684" s="160">
        <f>IF($AY$1579&gt;0,PPMT('Assumptions (Geo)'!$V$7,Model!AA$1,'Assumptions (Geo)'!$V$10,'Assumptions (Geo)'!$V$5*Model!$AY$1579*AVERAGE('Assumptions (Geo)'!$AU$2:$AW$2)/10^9),0)</f>
        <v>0</v>
      </c>
      <c r="BD1684" s="160">
        <f>IF($AY$1579&gt;0,PPMT('Assumptions (Geo)'!$V$7,Model!AB$1,'Assumptions (Geo)'!$V$10,'Assumptions (Geo)'!$V$5*Model!$AY$1579*AVERAGE('Assumptions (Geo)'!$AU$2:$AW$2)/10^9),0)</f>
        <v>0</v>
      </c>
      <c r="BE1684" s="160">
        <f>IF($AY$1579&gt;0,PPMT('Assumptions (Geo)'!$V$7,Model!AC$1,'Assumptions (Geo)'!$V$10,'Assumptions (Geo)'!$V$5*Model!$AY$1579*AVERAGE('Assumptions (Geo)'!$AU$2:$AW$2)/10^9),0)</f>
        <v>0</v>
      </c>
      <c r="BF1684" s="160">
        <f>IF($AY$1579&gt;0,PPMT('Assumptions (Geo)'!$V$7,Model!AD$1,'Assumptions (Geo)'!$V$10,'Assumptions (Geo)'!$V$5*Model!$AY$1579*AVERAGE('Assumptions (Geo)'!$AU$2:$AW$2)/10^9),0)</f>
        <v>0</v>
      </c>
      <c r="BG1684" s="160">
        <f>IF($AY$1579&gt;0,PPMT('Assumptions (Geo)'!$V$7,Model!AE$1,'Assumptions (Geo)'!$V$10,'Assumptions (Geo)'!$V$5*Model!$AY$1579*AVERAGE('Assumptions (Geo)'!$AU$2:$AW$2)/10^9),0)</f>
        <v>0</v>
      </c>
      <c r="BH1684" s="160">
        <f>IF($AY$1579&gt;0,PPMT('Assumptions (Geo)'!$V$7,Model!AF$1,'Assumptions (Geo)'!$V$10,'Assumptions (Geo)'!$V$5*Model!$AY$1579*AVERAGE('Assumptions (Geo)'!$AU$2:$AW$2)/10^9),0)</f>
        <v>0</v>
      </c>
      <c r="BI1684" s="160">
        <f>IF($AY$1579&gt;0,PPMT('Assumptions (Geo)'!$V$7,Model!AG$1,'Assumptions (Geo)'!$V$10,'Assumptions (Geo)'!$V$5*Model!$AY$1579*AVERAGE('Assumptions (Geo)'!$AU$2:$AW$2)/10^9),0)</f>
        <v>0</v>
      </c>
      <c r="BJ1684" s="160">
        <f>IF($AY$1579&gt;0,PPMT('Assumptions (Geo)'!$V$7,Model!AH$1,'Assumptions (Geo)'!$V$10,'Assumptions (Geo)'!$V$5*Model!$AY$1579*AVERAGE('Assumptions (Geo)'!$AU$2:$AW$2)/10^9),0)</f>
        <v>0</v>
      </c>
      <c r="BK1684" s="160">
        <f>IF($AY$1579&gt;0,PPMT('Assumptions (Geo)'!$V$7,Model!AI$1,'Assumptions (Geo)'!$V$10,'Assumptions (Geo)'!$V$5*Model!$AY$1579*AVERAGE('Assumptions (Geo)'!$AU$2:$AW$2)/10^9),0)</f>
        <v>0</v>
      </c>
      <c r="BL1684" s="160">
        <f>IF($AY$1579&gt;0,PPMT('Assumptions (Geo)'!$V$7,Model!AJ$1,'Assumptions (Geo)'!$V$10,'Assumptions (Geo)'!$V$5*Model!$AY$1579*AVERAGE('Assumptions (Geo)'!$AU$2:$AW$2)/10^9),0)</f>
        <v>0</v>
      </c>
      <c r="BM1684" s="160">
        <f>IF($AY$1579&gt;0,PPMT('Assumptions (Geo)'!$V$7,Model!AK$1,'Assumptions (Geo)'!$V$10,'Assumptions (Geo)'!$V$5*Model!$AY$1579*AVERAGE('Assumptions (Geo)'!$AU$2:$AW$2)/10^9),0)</f>
        <v>0</v>
      </c>
      <c r="BN1684" s="160"/>
      <c r="BO1684" s="160"/>
      <c r="BP1684" s="160"/>
    </row>
    <row r="1685" ht="15.75" hidden="1" customHeight="1" outlineLevel="1">
      <c r="A1685" s="295"/>
      <c r="B1685" s="38"/>
      <c r="C1685" s="174"/>
      <c r="D1685" s="174"/>
      <c r="E1685" s="174"/>
      <c r="F1685" s="174"/>
      <c r="G1685" s="174"/>
      <c r="H1685" s="174"/>
      <c r="I1685" s="174"/>
      <c r="J1685" s="174"/>
      <c r="K1685" s="174"/>
      <c r="L1685" s="174"/>
      <c r="M1685" s="174"/>
      <c r="N1685" s="174"/>
      <c r="O1685" s="174"/>
      <c r="P1685" s="174"/>
      <c r="Q1685" s="174"/>
      <c r="R1685" s="174"/>
      <c r="S1685" s="174"/>
      <c r="T1685" s="174"/>
      <c r="U1685" s="174"/>
      <c r="V1685" s="174"/>
      <c r="W1685" s="160"/>
      <c r="X1685" s="160"/>
      <c r="Y1685" s="160"/>
      <c r="Z1685" s="160"/>
      <c r="AA1685" s="160"/>
      <c r="AB1685" s="160"/>
      <c r="AC1685" s="160"/>
      <c r="AD1685" s="160"/>
      <c r="AE1685" s="160"/>
      <c r="AF1685" s="160"/>
      <c r="AG1685" s="160"/>
      <c r="AH1685" s="160"/>
      <c r="AI1685" s="160"/>
      <c r="AJ1685" s="179"/>
      <c r="AK1685" s="160"/>
      <c r="AL1685" s="177"/>
      <c r="AM1685" s="177"/>
      <c r="AN1685" s="177"/>
      <c r="AO1685" s="160"/>
      <c r="AP1685" s="160"/>
      <c r="AQ1685" s="160"/>
      <c r="AR1685" s="160"/>
      <c r="AS1685" s="160"/>
      <c r="AT1685" s="160"/>
      <c r="AU1685" s="160"/>
      <c r="AV1685" s="160"/>
      <c r="AW1685" s="160"/>
      <c r="AX1685" s="160"/>
      <c r="AY1685" s="160"/>
      <c r="AZ1685" s="160">
        <f>IF($AZ$1579&gt;0,PPMT('Assumptions (Geo)'!$V$7,Model!W$1,'Assumptions (Geo)'!$V$10,'Assumptions (Geo)'!$V$5*Model!$AZ$1579*AVERAGE('Assumptions (Geo)'!$AV$2:$AX$2)/10^9),0)</f>
        <v>0</v>
      </c>
      <c r="BA1685" s="160">
        <f>IF($AZ$1579&gt;0,PPMT('Assumptions (Geo)'!$V$7,Model!X$1,'Assumptions (Geo)'!$V$10,'Assumptions (Geo)'!$V$5*Model!$AZ$1579*AVERAGE('Assumptions (Geo)'!$AV$2:$AX$2)/10^9),0)</f>
        <v>0</v>
      </c>
      <c r="BB1685" s="160">
        <f>IF($AZ$1579&gt;0,PPMT('Assumptions (Geo)'!$V$7,Model!Y$1,'Assumptions (Geo)'!$V$10,'Assumptions (Geo)'!$V$5*Model!$AZ$1579*AVERAGE('Assumptions (Geo)'!$AV$2:$AX$2)/10^9),0)</f>
        <v>0</v>
      </c>
      <c r="BC1685" s="160">
        <f>IF($AZ$1579&gt;0,PPMT('Assumptions (Geo)'!$V$7,Model!Z$1,'Assumptions (Geo)'!$V$10,'Assumptions (Geo)'!$V$5*Model!$AZ$1579*AVERAGE('Assumptions (Geo)'!$AV$2:$AX$2)/10^9),0)</f>
        <v>0</v>
      </c>
      <c r="BD1685" s="160">
        <f>IF($AZ$1579&gt;0,PPMT('Assumptions (Geo)'!$V$7,Model!AA$1,'Assumptions (Geo)'!$V$10,'Assumptions (Geo)'!$V$5*Model!$AZ$1579*AVERAGE('Assumptions (Geo)'!$AV$2:$AX$2)/10^9),0)</f>
        <v>0</v>
      </c>
      <c r="BE1685" s="160">
        <f>IF($AZ$1579&gt;0,PPMT('Assumptions (Geo)'!$V$7,Model!AB$1,'Assumptions (Geo)'!$V$10,'Assumptions (Geo)'!$V$5*Model!$AZ$1579*AVERAGE('Assumptions (Geo)'!$AV$2:$AX$2)/10^9),0)</f>
        <v>0</v>
      </c>
      <c r="BF1685" s="160">
        <f>IF($AZ$1579&gt;0,PPMT('Assumptions (Geo)'!$V$7,Model!AC$1,'Assumptions (Geo)'!$V$10,'Assumptions (Geo)'!$V$5*Model!$AZ$1579*AVERAGE('Assumptions (Geo)'!$AV$2:$AX$2)/10^9),0)</f>
        <v>0</v>
      </c>
      <c r="BG1685" s="160">
        <f>IF($AZ$1579&gt;0,PPMT('Assumptions (Geo)'!$V$7,Model!AD$1,'Assumptions (Geo)'!$V$10,'Assumptions (Geo)'!$V$5*Model!$AZ$1579*AVERAGE('Assumptions (Geo)'!$AV$2:$AX$2)/10^9),0)</f>
        <v>0</v>
      </c>
      <c r="BH1685" s="160">
        <f>IF($AZ$1579&gt;0,PPMT('Assumptions (Geo)'!$V$7,Model!AE$1,'Assumptions (Geo)'!$V$10,'Assumptions (Geo)'!$V$5*Model!$AZ$1579*AVERAGE('Assumptions (Geo)'!$AV$2:$AX$2)/10^9),0)</f>
        <v>0</v>
      </c>
      <c r="BI1685" s="160">
        <f>IF($AZ$1579&gt;0,PPMT('Assumptions (Geo)'!$V$7,Model!AF$1,'Assumptions (Geo)'!$V$10,'Assumptions (Geo)'!$V$5*Model!$AZ$1579*AVERAGE('Assumptions (Geo)'!$AV$2:$AX$2)/10^9),0)</f>
        <v>0</v>
      </c>
      <c r="BJ1685" s="160">
        <f>IF($AZ$1579&gt;0,PPMT('Assumptions (Geo)'!$V$7,Model!AG$1,'Assumptions (Geo)'!$V$10,'Assumptions (Geo)'!$V$5*Model!$AZ$1579*AVERAGE('Assumptions (Geo)'!$AV$2:$AX$2)/10^9),0)</f>
        <v>0</v>
      </c>
      <c r="BK1685" s="160">
        <f>IF($AZ$1579&gt;0,PPMT('Assumptions (Geo)'!$V$7,Model!AH$1,'Assumptions (Geo)'!$V$10,'Assumptions (Geo)'!$V$5*Model!$AZ$1579*AVERAGE('Assumptions (Geo)'!$AV$2:$AX$2)/10^9),0)</f>
        <v>0</v>
      </c>
      <c r="BL1685" s="160">
        <f>IF($AZ$1579&gt;0,PPMT('Assumptions (Geo)'!$V$7,Model!AI$1,'Assumptions (Geo)'!$V$10,'Assumptions (Geo)'!$V$5*Model!$AZ$1579*AVERAGE('Assumptions (Geo)'!$AV$2:$AX$2)/10^9),0)</f>
        <v>0</v>
      </c>
      <c r="BM1685" s="160">
        <f>IF($AZ$1579&gt;0,PPMT('Assumptions (Geo)'!$V$7,Model!AJ$1,'Assumptions (Geo)'!$V$10,'Assumptions (Geo)'!$V$5*Model!$AZ$1579*AVERAGE('Assumptions (Geo)'!$AV$2:$AX$2)/10^9),0)</f>
        <v>0</v>
      </c>
      <c r="BN1685" s="160">
        <f>IF($AZ$1579&gt;0,PPMT('Assumptions (Geo)'!$V$7,Model!AK$1,'Assumptions (Geo)'!$V$10,'Assumptions (Geo)'!$V$5*Model!$AZ$1579*AVERAGE('Assumptions (Geo)'!$AV$2:$AX$2)/10^9),0)</f>
        <v>0</v>
      </c>
      <c r="BO1685" s="160"/>
      <c r="BP1685" s="160"/>
    </row>
    <row r="1686" ht="15.75" hidden="1" customHeight="1" outlineLevel="1">
      <c r="A1686" s="295"/>
      <c r="B1686" s="38"/>
      <c r="C1686" s="174"/>
      <c r="D1686" s="174"/>
      <c r="E1686" s="174"/>
      <c r="F1686" s="174"/>
      <c r="G1686" s="174"/>
      <c r="H1686" s="174"/>
      <c r="I1686" s="174"/>
      <c r="J1686" s="174"/>
      <c r="K1686" s="174"/>
      <c r="L1686" s="174"/>
      <c r="M1686" s="174"/>
      <c r="N1686" s="174"/>
      <c r="O1686" s="174"/>
      <c r="P1686" s="174"/>
      <c r="Q1686" s="174"/>
      <c r="R1686" s="174"/>
      <c r="S1686" s="174"/>
      <c r="T1686" s="174"/>
      <c r="U1686" s="174"/>
      <c r="V1686" s="174"/>
      <c r="W1686" s="160"/>
      <c r="X1686" s="160"/>
      <c r="Y1686" s="160"/>
      <c r="Z1686" s="160"/>
      <c r="AA1686" s="160"/>
      <c r="AB1686" s="160"/>
      <c r="AC1686" s="160"/>
      <c r="AD1686" s="160"/>
      <c r="AE1686" s="160"/>
      <c r="AF1686" s="160"/>
      <c r="AG1686" s="160"/>
      <c r="AH1686" s="160"/>
      <c r="AI1686" s="160"/>
      <c r="AJ1686" s="179"/>
      <c r="AK1686" s="160"/>
      <c r="AL1686" s="177"/>
      <c r="AM1686" s="177"/>
      <c r="AN1686" s="177"/>
      <c r="AO1686" s="160"/>
      <c r="AP1686" s="160"/>
      <c r="AQ1686" s="160"/>
      <c r="AR1686" s="160"/>
      <c r="AS1686" s="160"/>
      <c r="AT1686" s="160"/>
      <c r="AU1686" s="160"/>
      <c r="AV1686" s="160"/>
      <c r="AW1686" s="160"/>
      <c r="AX1686" s="160"/>
      <c r="AY1686" s="160"/>
      <c r="AZ1686" s="160"/>
      <c r="BA1686" s="160">
        <f>IF($BA$1579&gt;0,PPMT('Assumptions (Geo)'!$V$7,Model!W$1,'Assumptions (Geo)'!$V$10,'Assumptions (Geo)'!$V$5*Model!$BA$1579*AVERAGE('Assumptions (Geo)'!$AW$2:$AY$2)/10^9),0)</f>
        <v>0</v>
      </c>
      <c r="BB1686" s="160">
        <f>IF($BA$1579&gt;0,PPMT('Assumptions (Geo)'!$V$7,Model!X$1,'Assumptions (Geo)'!$V$10,'Assumptions (Geo)'!$V$5*Model!$BA$1579*AVERAGE('Assumptions (Geo)'!$AW$2:$AY$2)/10^9),0)</f>
        <v>0</v>
      </c>
      <c r="BC1686" s="160">
        <f>IF($BA$1579&gt;0,PPMT('Assumptions (Geo)'!$V$7,Model!Y$1,'Assumptions (Geo)'!$V$10,'Assumptions (Geo)'!$V$5*Model!$BA$1579*AVERAGE('Assumptions (Geo)'!$AW$2:$AY$2)/10^9),0)</f>
        <v>0</v>
      </c>
      <c r="BD1686" s="160">
        <f>IF($BA$1579&gt;0,PPMT('Assumptions (Geo)'!$V$7,Model!Z$1,'Assumptions (Geo)'!$V$10,'Assumptions (Geo)'!$V$5*Model!$BA$1579*AVERAGE('Assumptions (Geo)'!$AW$2:$AY$2)/10^9),0)</f>
        <v>0</v>
      </c>
      <c r="BE1686" s="160">
        <f>IF($BA$1579&gt;0,PPMT('Assumptions (Geo)'!$V$7,Model!AA$1,'Assumptions (Geo)'!$V$10,'Assumptions (Geo)'!$V$5*Model!$BA$1579*AVERAGE('Assumptions (Geo)'!$AW$2:$AY$2)/10^9),0)</f>
        <v>0</v>
      </c>
      <c r="BF1686" s="160">
        <f>IF($BA$1579&gt;0,PPMT('Assumptions (Geo)'!$V$7,Model!AB$1,'Assumptions (Geo)'!$V$10,'Assumptions (Geo)'!$V$5*Model!$BA$1579*AVERAGE('Assumptions (Geo)'!$AW$2:$AY$2)/10^9),0)</f>
        <v>0</v>
      </c>
      <c r="BG1686" s="160">
        <f>IF($BA$1579&gt;0,PPMT('Assumptions (Geo)'!$V$7,Model!AC$1,'Assumptions (Geo)'!$V$10,'Assumptions (Geo)'!$V$5*Model!$BA$1579*AVERAGE('Assumptions (Geo)'!$AW$2:$AY$2)/10^9),0)</f>
        <v>0</v>
      </c>
      <c r="BH1686" s="160">
        <f>IF($BA$1579&gt;0,PPMT('Assumptions (Geo)'!$V$7,Model!AD$1,'Assumptions (Geo)'!$V$10,'Assumptions (Geo)'!$V$5*Model!$BA$1579*AVERAGE('Assumptions (Geo)'!$AW$2:$AY$2)/10^9),0)</f>
        <v>0</v>
      </c>
      <c r="BI1686" s="160">
        <f>IF($BA$1579&gt;0,PPMT('Assumptions (Geo)'!$V$7,Model!AE$1,'Assumptions (Geo)'!$V$10,'Assumptions (Geo)'!$V$5*Model!$BA$1579*AVERAGE('Assumptions (Geo)'!$AW$2:$AY$2)/10^9),0)</f>
        <v>0</v>
      </c>
      <c r="BJ1686" s="160">
        <f>IF($BA$1579&gt;0,PPMT('Assumptions (Geo)'!$V$7,Model!AF$1,'Assumptions (Geo)'!$V$10,'Assumptions (Geo)'!$V$5*Model!$BA$1579*AVERAGE('Assumptions (Geo)'!$AW$2:$AY$2)/10^9),0)</f>
        <v>0</v>
      </c>
      <c r="BK1686" s="160">
        <f>IF($BA$1579&gt;0,PPMT('Assumptions (Geo)'!$V$7,Model!AG$1,'Assumptions (Geo)'!$V$10,'Assumptions (Geo)'!$V$5*Model!$BA$1579*AVERAGE('Assumptions (Geo)'!$AW$2:$AY$2)/10^9),0)</f>
        <v>0</v>
      </c>
      <c r="BL1686" s="160">
        <f>IF($BA$1579&gt;0,PPMT('Assumptions (Geo)'!$V$7,Model!AH$1,'Assumptions (Geo)'!$V$10,'Assumptions (Geo)'!$V$5*Model!$BA$1579*AVERAGE('Assumptions (Geo)'!$AW$2:$AY$2)/10^9),0)</f>
        <v>0</v>
      </c>
      <c r="BM1686" s="160">
        <f>IF($BA$1579&gt;0,PPMT('Assumptions (Geo)'!$V$7,Model!AI$1,'Assumptions (Geo)'!$V$10,'Assumptions (Geo)'!$V$5*Model!$BA$1579*AVERAGE('Assumptions (Geo)'!$AW$2:$AY$2)/10^9),0)</f>
        <v>0</v>
      </c>
      <c r="BN1686" s="160">
        <f>IF($BA$1579&gt;0,PPMT('Assumptions (Geo)'!$V$7,Model!AJ$1,'Assumptions (Geo)'!$V$10,'Assumptions (Geo)'!$V$5*Model!$BA$1579*AVERAGE('Assumptions (Geo)'!$AW$2:$AY$2)/10^9),0)</f>
        <v>0</v>
      </c>
      <c r="BO1686" s="160">
        <f>IF($BA$1579&gt;0,PPMT('Assumptions (Geo)'!$V$7,Model!AK$1,'Assumptions (Geo)'!$V$10,'Assumptions (Geo)'!$V$5*Model!$BA$1579*AVERAGE('Assumptions (Geo)'!$AW$2:$AY$2)/10^9),0)</f>
        <v>0</v>
      </c>
      <c r="BP1686" s="160"/>
    </row>
    <row r="1687" ht="15.75" customHeight="1" collapsed="1">
      <c r="A1687" s="297" t="s">
        <v>360</v>
      </c>
      <c r="B1687" s="150" t="s">
        <v>351</v>
      </c>
      <c r="C1687" s="177">
        <f t="array" ref="C1687">SUM(IF(ISERROR(C1688:C1738),"",C1688:C1738))</f>
        <v>0</v>
      </c>
      <c r="D1687" s="177">
        <f t="array" ref="D1687">SUM(IF(ISERROR(D1688:D1738),"",D1688:D1738))</f>
        <v>0</v>
      </c>
      <c r="E1687" s="177">
        <f t="array" ref="E1687">SUM(IF(ISERROR(E1688:E1738),"",E1688:E1738))</f>
        <v>0</v>
      </c>
      <c r="F1687" s="177">
        <f t="array" ref="F1687">SUM(IF(ISERROR(F1688:F1738),"",F1688:F1738))</f>
        <v>0</v>
      </c>
      <c r="G1687" s="177">
        <f t="array" ref="G1687">SUM(IF(ISERROR(G1688:G1738),"",G1688:G1738))</f>
        <v>0</v>
      </c>
      <c r="H1687" s="177">
        <f t="array" ref="H1687">SUM(IF(ISERROR(H1688:H1738),"",H1688:H1738))</f>
        <v>0</v>
      </c>
      <c r="I1687" s="177">
        <f t="array" ref="I1687">SUM(IF(ISERROR(I1688:I1738),"",I1688:I1738))</f>
        <v>0</v>
      </c>
      <c r="J1687" s="177">
        <f t="array" ref="J1687">SUM(IF(ISERROR(J1688:J1738),"",J1688:J1738))</f>
        <v>0</v>
      </c>
      <c r="K1687" s="177">
        <f t="array" ref="K1687">SUM(IF(ISERROR(K1688:K1738),"",K1688:K1738))</f>
        <v>0</v>
      </c>
      <c r="L1687" s="177">
        <f t="array" ref="L1687">SUM(IF(ISERROR(L1688:L1738),"",L1688:L1738))</f>
        <v>0</v>
      </c>
      <c r="M1687" s="177">
        <f t="array" ref="M1687">SUM(IF(ISERROR(M1688:M1738),"",M1688:M1738))</f>
        <v>0</v>
      </c>
      <c r="N1687" s="177">
        <f t="array" ref="N1687">SUM(IF(ISERROR(N1688:N1738),"",N1688:N1738))</f>
        <v>0</v>
      </c>
      <c r="O1687" s="177">
        <f t="array" ref="O1687">SUM(IF(ISERROR(O1688:O1738),"",O1688:O1738))</f>
        <v>0</v>
      </c>
      <c r="P1687" s="177">
        <f t="array" ref="P1687">SUM(IF(ISERROR(P1688:P1738),"",P1688:P1738))</f>
        <v>0</v>
      </c>
      <c r="Q1687" s="177">
        <f t="array" ref="Q1687">SUM(IF(ISERROR(Q1688:Q1738),"",Q1688:Q1738))</f>
        <v>0</v>
      </c>
      <c r="R1687" s="177">
        <f t="array" ref="R1687">SUM(IF(ISERROR(R1688:R1738),"",R1688:R1738))</f>
        <v>0</v>
      </c>
      <c r="S1687" s="177">
        <f t="array" ref="S1687">SUM(IF(ISERROR(S1688:S1738),"",S1688:S1738))</f>
        <v>0</v>
      </c>
      <c r="T1687" s="177">
        <f t="array" ref="T1687">SUM(IF(ISERROR(T1688:T1738),"",T1688:T1738))</f>
        <v>0</v>
      </c>
      <c r="U1687" s="177">
        <f t="array" ref="U1687">SUM(IF(ISERROR(U1688:U1738),"",U1688:U1738))</f>
        <v>0</v>
      </c>
      <c r="V1687" s="177">
        <f t="array" ref="V1687">SUM(IF(ISERROR(V1688:V1738),"",V1688:V1738))</f>
        <v>0</v>
      </c>
      <c r="W1687" s="177">
        <f t="array" ref="W1687">SUM(IF(ISERROR(W1688:W1738),"",W1688:W1738))</f>
        <v>0</v>
      </c>
      <c r="X1687" s="177">
        <f t="array" ref="X1687">SUM(IF(ISERROR(X1688:X1738),"",X1688:X1738))</f>
        <v>0</v>
      </c>
      <c r="Y1687" s="177">
        <f t="array" ref="Y1687">SUM(IF(ISERROR(Y1688:Y1738),"",Y1688:Y1738))</f>
        <v>0</v>
      </c>
      <c r="Z1687" s="177">
        <f t="array" ref="Z1687">SUM(IF(ISERROR(Z1688:Z1738),"",Z1688:Z1738))</f>
        <v>0</v>
      </c>
      <c r="AA1687" s="177">
        <f t="array" ref="AA1687">SUM(IF(ISERROR(AA1688:AA1738),"",AA1688:AA1738))</f>
        <v>0</v>
      </c>
      <c r="AB1687" s="177">
        <f t="array" ref="AB1687">SUM(IF(ISERROR(AB1688:AB1738),"",AB1688:AB1738))</f>
        <v>0</v>
      </c>
      <c r="AC1687" s="177">
        <f t="array" ref="AC1687">SUM(IF(ISERROR(AC1688:AC1738),"",AC1688:AC1738))</f>
        <v>0</v>
      </c>
      <c r="AD1687" s="177">
        <f t="array" ref="AD1687">SUM(IF(ISERROR(AD1688:AD1738),"",AD1688:AD1738))</f>
        <v>0</v>
      </c>
      <c r="AE1687" s="177">
        <f t="array" ref="AE1687">SUM(IF(ISERROR(AE1688:AE1738),"",AE1688:AE1738))</f>
        <v>0</v>
      </c>
      <c r="AF1687" s="177">
        <f t="array" ref="AF1687">SUM(IF(ISERROR(AF1688:AF1738),"",AF1688:AF1738))</f>
        <v>0</v>
      </c>
      <c r="AG1687" s="177">
        <f t="array" ref="AG1687">SUM(IF(ISERROR(AG1688:AG1738),"",AG1688:AG1738))</f>
        <v>0</v>
      </c>
      <c r="AH1687" s="177">
        <f t="array" ref="AH1687">SUM(IF(ISERROR(AH1688:AH1738),"",AH1688:AH1738))</f>
        <v>0</v>
      </c>
      <c r="AI1687" s="177">
        <f t="array" ref="AI1687">SUM(IF(ISERROR(AI1688:AI1738),"",AI1688:AI1738))</f>
        <v>0</v>
      </c>
      <c r="AJ1687" s="177">
        <f t="array" ref="AJ1687">SUM(IF(ISERROR(AJ1688:AJ1738),"",AJ1688:AJ1738))</f>
        <v>0</v>
      </c>
      <c r="AK1687" s="177">
        <f t="array" ref="AK1687">SUM(IF(ISERROR(AK1688:AK1738),"",AK1688:AK1738))</f>
        <v>0</v>
      </c>
      <c r="AL1687" s="177">
        <f t="array" ref="AL1687">SUM(IF(ISERROR(AL1688:AL1738),"",AL1688:AL1738))</f>
        <v>0</v>
      </c>
      <c r="AM1687" s="177">
        <f t="array" ref="AM1687">SUM(IF(ISERROR(AM1688:AM1738),"",AM1688:AM1738))</f>
        <v>0</v>
      </c>
      <c r="AN1687" s="177">
        <f t="array" ref="AN1687">SUM(IF(ISERROR(AN1688:AN1738),"",AN1688:AN1738))</f>
        <v>0</v>
      </c>
      <c r="AO1687" s="177">
        <f t="array" ref="AO1687">SUM(IF(ISERROR(AO1688:AO1738),"",AO1688:AO1738))</f>
        <v>0</v>
      </c>
      <c r="AP1687" s="177">
        <f t="array" ref="AP1687">SUM(IF(ISERROR(AP1688:AP1738),"",AP1688:AP1738))</f>
        <v>0</v>
      </c>
      <c r="AQ1687" s="177">
        <f t="array" ref="AQ1687">SUM(IF(ISERROR(AQ1688:AQ1738),"",AQ1688:AQ1738))</f>
        <v>0</v>
      </c>
      <c r="AR1687" s="177">
        <f t="array" ref="AR1687">SUM(IF(ISERROR(AR1688:AR1738),"",AR1688:AR1738))</f>
        <v>0</v>
      </c>
      <c r="AS1687" s="177">
        <f t="array" ref="AS1687">SUM(IF(ISERROR(AS1688:AS1738),"",AS1688:AS1738))</f>
        <v>0</v>
      </c>
      <c r="AT1687" s="177">
        <f t="array" ref="AT1687">SUM(IF(ISERROR(AT1688:AT1738),"",AT1688:AT1738))</f>
        <v>0</v>
      </c>
      <c r="AU1687" s="177">
        <f t="array" ref="AU1687">SUM(IF(ISERROR(AU1688:AU1738),"",AU1688:AU1738))</f>
        <v>0</v>
      </c>
      <c r="AV1687" s="177">
        <f t="array" ref="AV1687">SUM(IF(ISERROR(AV1688:AV1738),"",AV1688:AV1738))</f>
        <v>0</v>
      </c>
      <c r="AW1687" s="177">
        <f t="array" ref="AW1687">SUM(IF(ISERROR(AW1688:AW1738),"",AW1688:AW1738))</f>
        <v>0</v>
      </c>
      <c r="AX1687" s="177">
        <f t="array" ref="AX1687">SUM(IF(ISERROR(AX1688:AX1738),"",AX1688:AX1738))</f>
        <v>0</v>
      </c>
      <c r="AY1687" s="177">
        <f t="array" ref="AY1687">SUM(IF(ISERROR(AY1688:AY1738),"",AY1688:AY1738))</f>
        <v>0</v>
      </c>
      <c r="AZ1687" s="177">
        <f t="array" ref="AZ1687">SUM(IF(ISERROR(AZ1688:AZ1738),"",AZ1688:AZ1738))</f>
        <v>0</v>
      </c>
      <c r="BA1687" s="177">
        <f t="array" ref="BA1687">SUM(IF(ISERROR(BA1688:BA1738),"",BA1688:BA1738))</f>
        <v>0</v>
      </c>
      <c r="BB1687" s="177">
        <f t="array" ref="BB1687">SUM(IF(ISERROR(BB1688:BB1738),"",BB1688:BB1738))</f>
        <v>0</v>
      </c>
      <c r="BC1687" s="177">
        <f t="array" ref="BC1687">SUM(IF(ISERROR(BC1688:BC1738),"",BC1688:BC1738))</f>
        <v>0</v>
      </c>
      <c r="BD1687" s="177">
        <f t="array" ref="BD1687">SUM(IF(ISERROR(BD1688:BD1738),"",BD1688:BD1738))</f>
        <v>0</v>
      </c>
      <c r="BE1687" s="177">
        <f t="array" ref="BE1687">SUM(IF(ISERROR(BE1688:BE1738),"",BE1688:BE1738))</f>
        <v>0</v>
      </c>
      <c r="BF1687" s="177">
        <f t="array" ref="BF1687">SUM(IF(ISERROR(BF1688:BF1738),"",BF1688:BF1738))</f>
        <v>0</v>
      </c>
      <c r="BG1687" s="177">
        <f t="array" ref="BG1687">SUM(IF(ISERROR(BG1688:BG1738),"",BG1688:BG1738))</f>
        <v>0</v>
      </c>
      <c r="BH1687" s="177">
        <f t="array" ref="BH1687">SUM(IF(ISERROR(BH1688:BH1738),"",BH1688:BH1738))</f>
        <v>0</v>
      </c>
      <c r="BI1687" s="177">
        <f t="array" ref="BI1687">SUM(IF(ISERROR(BI1688:BI1738),"",BI1688:BI1738))</f>
        <v>0</v>
      </c>
      <c r="BJ1687" s="177">
        <f t="array" ref="BJ1687">SUM(IF(ISERROR(BJ1688:BJ1738),"",BJ1688:BJ1738))</f>
        <v>0</v>
      </c>
      <c r="BK1687" s="177">
        <f t="array" ref="BK1687">SUM(IF(ISERROR(BK1688:BK1738),"",BK1688:BK1738))</f>
        <v>0</v>
      </c>
      <c r="BL1687" s="177">
        <f t="array" ref="BL1687">SUM(IF(ISERROR(BL1688:BL1738),"",BL1688:BL1738))</f>
        <v>0</v>
      </c>
      <c r="BM1687" s="177">
        <f t="array" ref="BM1687">SUM(IF(ISERROR(BM1688:BM1738),"",BM1688:BM1738))</f>
        <v>0</v>
      </c>
      <c r="BN1687" s="177">
        <f t="array" ref="BN1687">SUM(IF(ISERROR(BN1688:BN1738),"",BN1688:BN1738))</f>
        <v>0</v>
      </c>
      <c r="BO1687" s="177">
        <f t="array" ref="BO1687">SUM(IF(ISERROR(BO1688:BO1738),"",BO1688:BO1738))</f>
        <v>0</v>
      </c>
    </row>
    <row r="1688" ht="15.75" hidden="1" customHeight="1" outlineLevel="1">
      <c r="A1688" s="295"/>
      <c r="B1688" s="38"/>
      <c r="C1688" s="177">
        <f>IF($C$1579&gt;0,IPMT('Assumptions (Geo)'!$V$7,Model!W$1,'Assumptions (Geo)'!$V$10,'Assumptions (Geo)'!$V$5*Model!$C$1579*'Assumptions (Geo)'!$B$2/10^9),0)</f>
        <v>0</v>
      </c>
      <c r="D1688" s="177">
        <f>IF($C$1579&gt;0,IPMT('Assumptions (Geo)'!$V$7,Model!X$1,'Assumptions (Geo)'!$V$10,'Assumptions (Geo)'!$V$5*Model!$C$1579*'Assumptions (Geo)'!$B$2/10^9),0)</f>
        <v>0</v>
      </c>
      <c r="E1688" s="177">
        <f>IF($C$1579&gt;0,IPMT('Assumptions (Geo)'!$V$7,Model!Y$1,'Assumptions (Geo)'!$V$10,'Assumptions (Geo)'!$V$5*Model!$C$1579*'Assumptions (Geo)'!$B$2/10^9),0)</f>
        <v>0</v>
      </c>
      <c r="F1688" s="177">
        <f>IF($C$1579&gt;0,IPMT('Assumptions (Geo)'!$V$7,Model!Z$1,'Assumptions (Geo)'!$V$10,'Assumptions (Geo)'!$V$5*Model!$C$1579*'Assumptions (Geo)'!$B$2/10^9),0)</f>
        <v>0</v>
      </c>
      <c r="G1688" s="177">
        <f>IF($C$1579&gt;0,IPMT('Assumptions (Geo)'!$V$7,Model!AA$1,'Assumptions (Geo)'!$V$10,'Assumptions (Geo)'!$V$5*Model!$C$1579*'Assumptions (Geo)'!$B$2/10^9),0)</f>
        <v>0</v>
      </c>
      <c r="H1688" s="177">
        <f>IF($C$1579&gt;0,IPMT('Assumptions (Geo)'!$V$7,Model!AB$1,'Assumptions (Geo)'!$V$10,'Assumptions (Geo)'!$V$5*Model!$C$1579*'Assumptions (Geo)'!$B$2/10^9),0)</f>
        <v>0</v>
      </c>
      <c r="I1688" s="177">
        <f>IF($C$1579&gt;0,IPMT('Assumptions (Geo)'!$V$7,Model!AC$1,'Assumptions (Geo)'!$V$10,'Assumptions (Geo)'!$V$5*Model!$C$1579*'Assumptions (Geo)'!$B$2/10^9),0)</f>
        <v>0</v>
      </c>
      <c r="J1688" s="177">
        <f>IF($C$1579&gt;0,IPMT('Assumptions (Geo)'!$V$7,Model!AD$1,'Assumptions (Geo)'!$V$10,'Assumptions (Geo)'!$V$5*Model!$C$1579*'Assumptions (Geo)'!$B$2/10^9),0)</f>
        <v>0</v>
      </c>
      <c r="K1688" s="177">
        <f>IF($C$1579&gt;0,IPMT('Assumptions (Geo)'!$V$7,Model!AE$1,'Assumptions (Geo)'!$V$10,'Assumptions (Geo)'!$V$5*Model!$C$1579*'Assumptions (Geo)'!$B$2/10^9),0)</f>
        <v>0</v>
      </c>
      <c r="L1688" s="177">
        <f>IF($C$1579&gt;0,IPMT('Assumptions (Geo)'!$V$7,Model!AF$1,'Assumptions (Geo)'!$V$10,'Assumptions (Geo)'!$V$5*Model!$C$1579*'Assumptions (Geo)'!$B$2/10^9),0)</f>
        <v>0</v>
      </c>
      <c r="M1688" s="177">
        <f>IF($C$1579&gt;0,IPMT('Assumptions (Geo)'!$V$7,Model!AG$1,'Assumptions (Geo)'!$V$10,'Assumptions (Geo)'!$V$5*Model!$C$1579*'Assumptions (Geo)'!$B$2/10^9),0)</f>
        <v>0</v>
      </c>
      <c r="N1688" s="177">
        <f>IF($C$1579&gt;0,IPMT('Assumptions (Geo)'!$V$7,Model!AH$1,'Assumptions (Geo)'!$V$10,'Assumptions (Geo)'!$V$5*Model!$C$1579*'Assumptions (Geo)'!$B$2/10^9),0)</f>
        <v>0</v>
      </c>
      <c r="O1688" s="177">
        <f>IF($C$1579&gt;0,IPMT('Assumptions (Geo)'!$V$7,Model!AI$1,'Assumptions (Geo)'!$V$10,'Assumptions (Geo)'!$V$5*Model!$C$1579*'Assumptions (Geo)'!$B$2/10^9),0)</f>
        <v>0</v>
      </c>
      <c r="P1688" s="177">
        <f>IF($C$1579&gt;0,IPMT('Assumptions (Geo)'!$V$7,Model!AJ$1,'Assumptions (Geo)'!$V$10,'Assumptions (Geo)'!$V$5*Model!$C$1579*'Assumptions (Geo)'!$B$2/10^9),0)</f>
        <v>0</v>
      </c>
      <c r="Q1688" s="177">
        <f>IF($C$1579&gt;0,IPMT('Assumptions (Geo)'!$V$7,Model!AK$1,'Assumptions (Geo)'!$V$10,'Assumptions (Geo)'!$V$5*Model!$C$1579*'Assumptions (Geo)'!$B$2/10^9),0)</f>
        <v>0</v>
      </c>
      <c r="R1688" s="177"/>
      <c r="S1688" s="177"/>
      <c r="T1688" s="177"/>
      <c r="U1688" s="177"/>
      <c r="V1688" s="177"/>
      <c r="W1688" s="177"/>
      <c r="X1688" s="177"/>
      <c r="Y1688" s="177"/>
      <c r="Z1688" s="177"/>
      <c r="AA1688" s="177"/>
      <c r="AB1688" s="160"/>
      <c r="AC1688" s="160"/>
      <c r="AD1688" s="160"/>
      <c r="AE1688" s="160"/>
      <c r="AF1688" s="160"/>
      <c r="AG1688" s="160"/>
    </row>
    <row r="1689" ht="15.75" hidden="1" customHeight="1" outlineLevel="1">
      <c r="A1689" s="295"/>
      <c r="B1689" s="38"/>
      <c r="C1689" s="160"/>
      <c r="D1689" s="177">
        <f>IF($D$1579&gt;0,IPMT('Assumptions (Geo)'!$V$7,Model!W$1,'Assumptions (Geo)'!$V$10,'Assumptions (Geo)'!$V$5*Model!$D$1579*'Assumptions (Geo)'!$B$2/10^9),0)</f>
        <v>0</v>
      </c>
      <c r="E1689" s="177">
        <f>IF($D$1579&gt;0,IPMT('Assumptions (Geo)'!$V$7,Model!X$1,'Assumptions (Geo)'!$V$10,'Assumptions (Geo)'!$V$5*Model!$D$1579*'Assumptions (Geo)'!$B$2/10^9),0)</f>
        <v>0</v>
      </c>
      <c r="F1689" s="177">
        <f>IF($D$1579&gt;0,IPMT('Assumptions (Geo)'!$V$7,Model!Y$1,'Assumptions (Geo)'!$V$10,'Assumptions (Geo)'!$V$5*Model!$D$1579*'Assumptions (Geo)'!$B$2/10^9),0)</f>
        <v>0</v>
      </c>
      <c r="G1689" s="177">
        <f>IF($D$1579&gt;0,IPMT('Assumptions (Geo)'!$V$7,Model!Z$1,'Assumptions (Geo)'!$V$10,'Assumptions (Geo)'!$V$5*Model!$D$1579*'Assumptions (Geo)'!$B$2/10^9),0)</f>
        <v>0</v>
      </c>
      <c r="H1689" s="177">
        <f>IF($D$1579&gt;0,IPMT('Assumptions (Geo)'!$V$7,Model!AA$1,'Assumptions (Geo)'!$V$10,'Assumptions (Geo)'!$V$5*Model!$D$1579*'Assumptions (Geo)'!$B$2/10^9),0)</f>
        <v>0</v>
      </c>
      <c r="I1689" s="177">
        <f>IF($D$1579&gt;0,IPMT('Assumptions (Geo)'!$V$7,Model!AB$1,'Assumptions (Geo)'!$V$10,'Assumptions (Geo)'!$V$5*Model!$D$1579*'Assumptions (Geo)'!$B$2/10^9),0)</f>
        <v>0</v>
      </c>
      <c r="J1689" s="177">
        <f>IF($D$1579&gt;0,IPMT('Assumptions (Geo)'!$V$7,Model!AC$1,'Assumptions (Geo)'!$V$10,'Assumptions (Geo)'!$V$5*Model!$D$1579*'Assumptions (Geo)'!$B$2/10^9),0)</f>
        <v>0</v>
      </c>
      <c r="K1689" s="177">
        <f>IF($D$1579&gt;0,IPMT('Assumptions (Geo)'!$V$7,Model!AD$1,'Assumptions (Geo)'!$V$10,'Assumptions (Geo)'!$V$5*Model!$D$1579*'Assumptions (Geo)'!$B$2/10^9),0)</f>
        <v>0</v>
      </c>
      <c r="L1689" s="177">
        <f>IF($D$1579&gt;0,IPMT('Assumptions (Geo)'!$V$7,Model!AE$1,'Assumptions (Geo)'!$V$10,'Assumptions (Geo)'!$V$5*Model!$D$1579*'Assumptions (Geo)'!$B$2/10^9),0)</f>
        <v>0</v>
      </c>
      <c r="M1689" s="177">
        <f>IF($D$1579&gt;0,IPMT('Assumptions (Geo)'!$V$7,Model!AF$1,'Assumptions (Geo)'!$V$10,'Assumptions (Geo)'!$V$5*Model!$D$1579*'Assumptions (Geo)'!$B$2/10^9),0)</f>
        <v>0</v>
      </c>
      <c r="N1689" s="177">
        <f>IF($D$1579&gt;0,IPMT('Assumptions (Geo)'!$V$7,Model!AG$1,'Assumptions (Geo)'!$V$10,'Assumptions (Geo)'!$V$5*Model!$D$1579*'Assumptions (Geo)'!$B$2/10^9),0)</f>
        <v>0</v>
      </c>
      <c r="O1689" s="177">
        <f>IF($D$1579&gt;0,IPMT('Assumptions (Geo)'!$V$7,Model!AH$1,'Assumptions (Geo)'!$V$10,'Assumptions (Geo)'!$V$5*Model!$D$1579*'Assumptions (Geo)'!$B$2/10^9),0)</f>
        <v>0</v>
      </c>
      <c r="P1689" s="177">
        <f>IF($D$1579&gt;0,IPMT('Assumptions (Geo)'!$V$7,Model!AI$1,'Assumptions (Geo)'!$V$10,'Assumptions (Geo)'!$V$5*Model!$D$1579*'Assumptions (Geo)'!$B$2/10^9),0)</f>
        <v>0</v>
      </c>
      <c r="Q1689" s="177">
        <f>IF($D$1579&gt;0,IPMT('Assumptions (Geo)'!$V$7,Model!AJ$1,'Assumptions (Geo)'!$V$10,'Assumptions (Geo)'!$V$5*Model!$D$1579*'Assumptions (Geo)'!$B$2/10^9),0)</f>
        <v>0</v>
      </c>
      <c r="R1689" s="177">
        <f>IF($D$1579&gt;0,IPMT('Assumptions (Geo)'!$V$7,Model!AK$1,'Assumptions (Geo)'!$V$10,'Assumptions (Geo)'!$V$5*Model!$D$1579*'Assumptions (Geo)'!$B$2/10^9),0)</f>
        <v>0</v>
      </c>
      <c r="S1689" s="177"/>
      <c r="T1689" s="177"/>
      <c r="U1689" s="177"/>
      <c r="V1689" s="177"/>
      <c r="W1689" s="177"/>
      <c r="X1689" s="177"/>
      <c r="Y1689" s="177"/>
      <c r="Z1689" s="177"/>
      <c r="AA1689" s="177"/>
      <c r="AB1689" s="177"/>
      <c r="AC1689" s="160"/>
      <c r="AD1689" s="160"/>
      <c r="AE1689" s="160"/>
      <c r="AF1689" s="160"/>
      <c r="AG1689" s="160"/>
    </row>
    <row r="1690" ht="15.75" hidden="1" customHeight="1" outlineLevel="1">
      <c r="A1690" s="295"/>
      <c r="B1690" s="38"/>
      <c r="C1690" s="160"/>
      <c r="D1690" s="160"/>
      <c r="E1690" s="160">
        <f>IF($E$1579&gt;0,IPMT('Assumptions (Geo)'!$V$7,Model!W$1,'Assumptions (Geo)'!$V$10,'Assumptions (Geo)'!$V$5*Model!$E$1579*AVERAGE('Assumptions (Geo)'!$B$2:$C$2)/10^9),0)</f>
        <v>0</v>
      </c>
      <c r="F1690" s="160">
        <f>IF($E$1579&gt;0,IPMT('Assumptions (Geo)'!$V$7,Model!X$1,'Assumptions (Geo)'!$V$10,'Assumptions (Geo)'!$V$5*Model!$E$1579*AVERAGE('Assumptions (Geo)'!$B$2:$C$2)/10^9),0)</f>
        <v>0</v>
      </c>
      <c r="G1690" s="160">
        <f>IF($E$1579&gt;0,IPMT('Assumptions (Geo)'!$V$7,Model!Y$1,'Assumptions (Geo)'!$V$10,'Assumptions (Geo)'!$V$5*Model!$E$1579*AVERAGE('Assumptions (Geo)'!$B$2:$C$2)/10^9),0)</f>
        <v>0</v>
      </c>
      <c r="H1690" s="160">
        <f>IF($E$1579&gt;0,IPMT('Assumptions (Geo)'!$V$7,Model!Z$1,'Assumptions (Geo)'!$V$10,'Assumptions (Geo)'!$V$5*Model!$E$1579*AVERAGE('Assumptions (Geo)'!$B$2:$C$2)/10^9),0)</f>
        <v>0</v>
      </c>
      <c r="I1690" s="160">
        <f>IF($E$1579&gt;0,IPMT('Assumptions (Geo)'!$V$7,Model!AA$1,'Assumptions (Geo)'!$V$10,'Assumptions (Geo)'!$V$5*Model!$E$1579*AVERAGE('Assumptions (Geo)'!$B$2:$C$2)/10^9),0)</f>
        <v>0</v>
      </c>
      <c r="J1690" s="160">
        <f>IF($E$1579&gt;0,IPMT('Assumptions (Geo)'!$V$7,Model!AB$1,'Assumptions (Geo)'!$V$10,'Assumptions (Geo)'!$V$5*Model!$E$1579*AVERAGE('Assumptions (Geo)'!$B$2:$C$2)/10^9),0)</f>
        <v>0</v>
      </c>
      <c r="K1690" s="160">
        <f>IF($E$1579&gt;0,IPMT('Assumptions (Geo)'!$V$7,Model!AC$1,'Assumptions (Geo)'!$V$10,'Assumptions (Geo)'!$V$5*Model!$E$1579*AVERAGE('Assumptions (Geo)'!$B$2:$C$2)/10^9),0)</f>
        <v>0</v>
      </c>
      <c r="L1690" s="160">
        <f>IF($E$1579&gt;0,IPMT('Assumptions (Geo)'!$V$7,Model!AD$1,'Assumptions (Geo)'!$V$10,'Assumptions (Geo)'!$V$5*Model!$E$1579*AVERAGE('Assumptions (Geo)'!$B$2:$C$2)/10^9),0)</f>
        <v>0</v>
      </c>
      <c r="M1690" s="160">
        <f>IF($E$1579&gt;0,IPMT('Assumptions (Geo)'!$V$7,Model!AE$1,'Assumptions (Geo)'!$V$10,'Assumptions (Geo)'!$V$5*Model!$E$1579*AVERAGE('Assumptions (Geo)'!$B$2:$C$2)/10^9),0)</f>
        <v>0</v>
      </c>
      <c r="N1690" s="177">
        <f>IF($E$1579&gt;0,IPMT('Assumptions (Geo)'!$V$7,Model!AF$1,'Assumptions (Geo)'!$V$10,'Assumptions (Geo)'!$V$5*Model!$E$1579*AVERAGE('Assumptions (Geo)'!$B$2:$C$2)/10^9),0)</f>
        <v>0</v>
      </c>
      <c r="O1690" s="160">
        <f>IF($E$1579&gt;0,IPMT('Assumptions (Geo)'!$V$7,Model!AG$1,'Assumptions (Geo)'!$V$10,'Assumptions (Geo)'!$V$5*Model!$E$1579*AVERAGE('Assumptions (Geo)'!$B$2:$C$2)/10^9),0)</f>
        <v>0</v>
      </c>
      <c r="P1690" s="160">
        <f>IF($E$1579&gt;0,IPMT('Assumptions (Geo)'!$V$7,Model!AH$1,'Assumptions (Geo)'!$V$10,'Assumptions (Geo)'!$V$5*Model!$E$1579*AVERAGE('Assumptions (Geo)'!$B$2:$C$2)/10^9),0)</f>
        <v>0</v>
      </c>
      <c r="Q1690" s="160">
        <f>IF($E$1579&gt;0,IPMT('Assumptions (Geo)'!$V$7,Model!AI$1,'Assumptions (Geo)'!$V$10,'Assumptions (Geo)'!$V$5*Model!$E$1579*AVERAGE('Assumptions (Geo)'!$B$2:$C$2)/10^9),0)</f>
        <v>0</v>
      </c>
      <c r="R1690" s="160">
        <f>IF($E$1579&gt;0,IPMT('Assumptions (Geo)'!$V$7,Model!AJ$1,'Assumptions (Geo)'!$V$10,'Assumptions (Geo)'!$V$5*Model!$E$1579*AVERAGE('Assumptions (Geo)'!$B$2:$C$2)/10^9),0)</f>
        <v>0</v>
      </c>
      <c r="S1690" s="160">
        <f>IF($E$1579&gt;0,IPMT('Assumptions (Geo)'!$V$7,Model!AK$1,'Assumptions (Geo)'!$V$10,'Assumptions (Geo)'!$V$5*Model!$E$1579*AVERAGE('Assumptions (Geo)'!$B$2:$C$2)/10^9),0)</f>
        <v>0</v>
      </c>
      <c r="T1690" s="160"/>
      <c r="U1690" s="160"/>
      <c r="V1690" s="160"/>
      <c r="W1690" s="160"/>
      <c r="X1690" s="160"/>
      <c r="Y1690" s="160"/>
      <c r="Z1690" s="160"/>
      <c r="AA1690" s="160"/>
      <c r="AB1690" s="160"/>
      <c r="AC1690" s="160"/>
      <c r="AD1690" s="160"/>
      <c r="AE1690" s="160"/>
      <c r="AF1690" s="160"/>
      <c r="AG1690" s="160"/>
    </row>
    <row r="1691" ht="15.75" hidden="1" customHeight="1" outlineLevel="1">
      <c r="A1691" s="295"/>
      <c r="B1691" s="38"/>
      <c r="C1691" s="160"/>
      <c r="D1691" s="160"/>
      <c r="E1691" s="160"/>
      <c r="F1691" s="160">
        <f>IF($F$1579&gt;0,IPMT('Assumptions (Geo)'!$V$7,Model!W$1,'Assumptions (Geo)'!$V$10,'Assumptions (Geo)'!$V$5*Model!$F$1579*AVERAGE('Assumptions (Geo)'!$B$2:$D$2)/10^9),0)</f>
        <v>0</v>
      </c>
      <c r="G1691" s="160">
        <f>IF($F$1579&gt;0,IPMT('Assumptions (Geo)'!$V$7,Model!X$1,'Assumptions (Geo)'!$V$10,'Assumptions (Geo)'!$V$5*Model!$F$1579*AVERAGE('Assumptions (Geo)'!$B$2:$D$2)/10^9),0)</f>
        <v>0</v>
      </c>
      <c r="H1691" s="160">
        <f>IF($F$1579&gt;0,IPMT('Assumptions (Geo)'!$V$7,Model!Y$1,'Assumptions (Geo)'!$V$10,'Assumptions (Geo)'!$V$5*Model!$F$1579*AVERAGE('Assumptions (Geo)'!$B$2:$D$2)/10^9),0)</f>
        <v>0</v>
      </c>
      <c r="I1691" s="160">
        <f>IF($F$1579&gt;0,IPMT('Assumptions (Geo)'!$V$7,Model!Z$1,'Assumptions (Geo)'!$V$10,'Assumptions (Geo)'!$V$5*Model!$F$1579*AVERAGE('Assumptions (Geo)'!$B$2:$D$2)/10^9),0)</f>
        <v>0</v>
      </c>
      <c r="J1691" s="160">
        <f>IF($F$1579&gt;0,IPMT('Assumptions (Geo)'!$V$7,Model!AA$1,'Assumptions (Geo)'!$V$10,'Assumptions (Geo)'!$V$5*Model!$F$1579*AVERAGE('Assumptions (Geo)'!$B$2:$D$2)/10^9),0)</f>
        <v>0</v>
      </c>
      <c r="K1691" s="160">
        <f>IF($F$1579&gt;0,IPMT('Assumptions (Geo)'!$V$7,Model!AB$1,'Assumptions (Geo)'!$V$10,'Assumptions (Geo)'!$V$5*Model!$F$1579*AVERAGE('Assumptions (Geo)'!$B$2:$D$2)/10^9),0)</f>
        <v>0</v>
      </c>
      <c r="L1691" s="160">
        <f>IF($F$1579&gt;0,IPMT('Assumptions (Geo)'!$V$7,Model!AC$1,'Assumptions (Geo)'!$V$10,'Assumptions (Geo)'!$V$5*Model!$F$1579*AVERAGE('Assumptions (Geo)'!$B$2:$D$2)/10^9),0)</f>
        <v>0</v>
      </c>
      <c r="M1691" s="160">
        <f>IF($F$1579&gt;0,IPMT('Assumptions (Geo)'!$V$7,Model!AD$1,'Assumptions (Geo)'!$V$10,'Assumptions (Geo)'!$V$5*Model!$F$1579*AVERAGE('Assumptions (Geo)'!$B$2:$D$2)/10^9),0)</f>
        <v>0</v>
      </c>
      <c r="N1691" s="177">
        <f>IF($F$1579&gt;0,IPMT('Assumptions (Geo)'!$V$7,Model!AE$1,'Assumptions (Geo)'!$V$10,'Assumptions (Geo)'!$V$5*Model!$F$1579*AVERAGE('Assumptions (Geo)'!$B$2:$D$2)/10^9),0)</f>
        <v>0</v>
      </c>
      <c r="O1691" s="160">
        <f>IF($F$1579&gt;0,IPMT('Assumptions (Geo)'!$V$7,Model!AF$1,'Assumptions (Geo)'!$V$10,'Assumptions (Geo)'!$V$5*Model!$F$1579*AVERAGE('Assumptions (Geo)'!$B$2:$D$2)/10^9),0)</f>
        <v>0</v>
      </c>
      <c r="P1691" s="160">
        <f>IF($F$1579&gt;0,IPMT('Assumptions (Geo)'!$V$7,Model!AG$1,'Assumptions (Geo)'!$V$10,'Assumptions (Geo)'!$V$5*Model!$F$1579*AVERAGE('Assumptions (Geo)'!$B$2:$D$2)/10^9),0)</f>
        <v>0</v>
      </c>
      <c r="Q1691" s="160">
        <f>IF($F$1579&gt;0,IPMT('Assumptions (Geo)'!$V$7,Model!AH$1,'Assumptions (Geo)'!$V$10,'Assumptions (Geo)'!$V$5*Model!$F$1579*AVERAGE('Assumptions (Geo)'!$B$2:$D$2)/10^9),0)</f>
        <v>0</v>
      </c>
      <c r="R1691" s="160">
        <f>IF($F$1579&gt;0,IPMT('Assumptions (Geo)'!$V$7,Model!AI$1,'Assumptions (Geo)'!$V$10,'Assumptions (Geo)'!$V$5*Model!$F$1579*AVERAGE('Assumptions (Geo)'!$B$2:$D$2)/10^9),0)</f>
        <v>0</v>
      </c>
      <c r="S1691" s="160">
        <f>IF($F$1579&gt;0,IPMT('Assumptions (Geo)'!$V$7,Model!AJ$1,'Assumptions (Geo)'!$V$10,'Assumptions (Geo)'!$V$5*Model!$F$1579*AVERAGE('Assumptions (Geo)'!$B$2:$D$2)/10^9),0)</f>
        <v>0</v>
      </c>
      <c r="T1691" s="160">
        <f>IF($F$1579&gt;0,IPMT('Assumptions (Geo)'!$V$7,Model!AK$1,'Assumptions (Geo)'!$V$10,'Assumptions (Geo)'!$V$5*Model!$F$1579*AVERAGE('Assumptions (Geo)'!$B$2:$D$2)/10^9),0)</f>
        <v>0</v>
      </c>
      <c r="U1691" s="160"/>
      <c r="V1691" s="160"/>
      <c r="W1691" s="160"/>
      <c r="X1691" s="160"/>
      <c r="Y1691" s="160"/>
      <c r="Z1691" s="160"/>
      <c r="AA1691" s="160"/>
      <c r="AB1691" s="160"/>
      <c r="AC1691" s="160"/>
      <c r="AD1691" s="160"/>
      <c r="AE1691" s="160"/>
      <c r="AF1691" s="160"/>
      <c r="AG1691" s="160"/>
    </row>
    <row r="1692" ht="15.75" hidden="1" customHeight="1" outlineLevel="1">
      <c r="A1692" s="295"/>
      <c r="B1692" s="38"/>
      <c r="C1692" s="160"/>
      <c r="D1692" s="160"/>
      <c r="E1692" s="160"/>
      <c r="F1692" s="160"/>
      <c r="G1692" s="160">
        <f>IF($G$1579&gt;0,IPMT('Assumptions (Geo)'!$V$7,Model!W$1,'Assumptions (Geo)'!$V$10,'Assumptions (Geo)'!$V$5*Model!$G$1579*AVERAGE('Assumptions (Geo)'!$C$2:$E$2)/10^9),0)</f>
        <v>0</v>
      </c>
      <c r="H1692" s="160">
        <f>IF($G$1579&gt;0,IPMT('Assumptions (Geo)'!$V$7,Model!X$1,'Assumptions (Geo)'!$V$10,'Assumptions (Geo)'!$V$5*Model!$G$1579*AVERAGE('Assumptions (Geo)'!$C$2:$E$2)/10^9),0)</f>
        <v>0</v>
      </c>
      <c r="I1692" s="160">
        <f>IF($G$1579&gt;0,IPMT('Assumptions (Geo)'!$V$7,Model!Y$1,'Assumptions (Geo)'!$V$10,'Assumptions (Geo)'!$V$5*Model!$G$1579*AVERAGE('Assumptions (Geo)'!$C$2:$E$2)/10^9),0)</f>
        <v>0</v>
      </c>
      <c r="J1692" s="160">
        <f>IF($G$1579&gt;0,IPMT('Assumptions (Geo)'!$V$7,Model!Z$1,'Assumptions (Geo)'!$V$10,'Assumptions (Geo)'!$V$5*Model!$G$1579*AVERAGE('Assumptions (Geo)'!$C$2:$E$2)/10^9),0)</f>
        <v>0</v>
      </c>
      <c r="K1692" s="160">
        <f>IF($G$1579&gt;0,IPMT('Assumptions (Geo)'!$V$7,Model!AA$1,'Assumptions (Geo)'!$V$10,'Assumptions (Geo)'!$V$5*Model!$G$1579*AVERAGE('Assumptions (Geo)'!$C$2:$E$2)/10^9),0)</f>
        <v>0</v>
      </c>
      <c r="L1692" s="160">
        <f>IF($G$1579&gt;0,IPMT('Assumptions (Geo)'!$V$7,Model!AB$1,'Assumptions (Geo)'!$V$10,'Assumptions (Geo)'!$V$5*Model!$G$1579*AVERAGE('Assumptions (Geo)'!$C$2:$E$2)/10^9),0)</f>
        <v>0</v>
      </c>
      <c r="M1692" s="160">
        <f>IF($G$1579&gt;0,IPMT('Assumptions (Geo)'!$V$7,Model!AC$1,'Assumptions (Geo)'!$V$10,'Assumptions (Geo)'!$V$5*Model!$G$1579*AVERAGE('Assumptions (Geo)'!$C$2:$E$2)/10^9),0)</f>
        <v>0</v>
      </c>
      <c r="N1692" s="160">
        <f>IF($G$1579&gt;0,IPMT('Assumptions (Geo)'!$V$7,Model!AD$1,'Assumptions (Geo)'!$V$10,'Assumptions (Geo)'!$V$5*Model!$G$1579*AVERAGE('Assumptions (Geo)'!$C$2:$E$2)/10^9),0)</f>
        <v>0</v>
      </c>
      <c r="O1692" s="160">
        <f>IF($G$1579&gt;0,IPMT('Assumptions (Geo)'!$V$7,Model!AE$1,'Assumptions (Geo)'!$V$10,'Assumptions (Geo)'!$V$5*Model!$G$1579*AVERAGE('Assumptions (Geo)'!$C$2:$E$2)/10^9),0)</f>
        <v>0</v>
      </c>
      <c r="P1692" s="160">
        <f>IF($G$1579&gt;0,IPMT('Assumptions (Geo)'!$V$7,Model!AF$1,'Assumptions (Geo)'!$V$10,'Assumptions (Geo)'!$V$5*Model!$G$1579*AVERAGE('Assumptions (Geo)'!$C$2:$E$2)/10^9),0)</f>
        <v>0</v>
      </c>
      <c r="Q1692" s="160">
        <f>IF($G$1579&gt;0,IPMT('Assumptions (Geo)'!$V$7,Model!AG$1,'Assumptions (Geo)'!$V$10,'Assumptions (Geo)'!$V$5*Model!$G$1579*AVERAGE('Assumptions (Geo)'!$C$2:$E$2)/10^9),0)</f>
        <v>0</v>
      </c>
      <c r="R1692" s="160">
        <f>IF($G$1579&gt;0,IPMT('Assumptions (Geo)'!$V$7,Model!AH$1,'Assumptions (Geo)'!$V$10,'Assumptions (Geo)'!$V$5*Model!$G$1579*AVERAGE('Assumptions (Geo)'!$C$2:$E$2)/10^9),0)</f>
        <v>0</v>
      </c>
      <c r="S1692" s="160">
        <f>IF($G$1579&gt;0,IPMT('Assumptions (Geo)'!$V$7,Model!AI$1,'Assumptions (Geo)'!$V$10,'Assumptions (Geo)'!$V$5*Model!$G$1579*AVERAGE('Assumptions (Geo)'!$C$2:$E$2)/10^9),0)</f>
        <v>0</v>
      </c>
      <c r="T1692" s="160">
        <f>IF($G$1579&gt;0,IPMT('Assumptions (Geo)'!$V$7,Model!AJ$1,'Assumptions (Geo)'!$V$10,'Assumptions (Geo)'!$V$5*Model!$G$1579*AVERAGE('Assumptions (Geo)'!$C$2:$E$2)/10^9),0)</f>
        <v>0</v>
      </c>
      <c r="U1692" s="160">
        <f>IF($G$1579&gt;0,IPMT('Assumptions (Geo)'!$V$7,Model!AK$1,'Assumptions (Geo)'!$V$10,'Assumptions (Geo)'!$V$5*Model!$G$1579*AVERAGE('Assumptions (Geo)'!$C$2:$E$2)/10^9),0)</f>
        <v>0</v>
      </c>
      <c r="V1692" s="160"/>
      <c r="W1692" s="160"/>
      <c r="X1692" s="160"/>
      <c r="Y1692" s="160"/>
      <c r="Z1692" s="160"/>
      <c r="AA1692" s="160"/>
      <c r="AB1692" s="160"/>
      <c r="AC1692" s="160"/>
      <c r="AD1692" s="160"/>
      <c r="AE1692" s="160"/>
      <c r="AF1692" s="160"/>
      <c r="AG1692" s="160"/>
    </row>
    <row r="1693" ht="15.75" hidden="1" customHeight="1" outlineLevel="1">
      <c r="A1693" s="295"/>
      <c r="B1693" s="38"/>
      <c r="C1693" s="160"/>
      <c r="D1693" s="160"/>
      <c r="E1693" s="160"/>
      <c r="F1693" s="160"/>
      <c r="G1693" s="160"/>
      <c r="H1693" s="160">
        <f>IF($H$1579&gt;0,IPMT('Assumptions (Geo)'!$V$7,Model!W$1,'Assumptions (Geo)'!$V$10,'Assumptions (Geo)'!$V$5*Model!$H$1579*AVERAGE('Assumptions (Geo)'!$D$2:$F$2)/10^9),0)</f>
        <v>0</v>
      </c>
      <c r="I1693" s="160">
        <f>IF($H$1579&gt;0,IPMT('Assumptions (Geo)'!$V$7,Model!X$1,'Assumptions (Geo)'!$V$10,'Assumptions (Geo)'!$V$5*Model!$H$1579*AVERAGE('Assumptions (Geo)'!$D$2:$F$2)/10^9),0)</f>
        <v>0</v>
      </c>
      <c r="J1693" s="160">
        <f>IF($H$1579&gt;0,IPMT('Assumptions (Geo)'!$V$7,Model!Y$1,'Assumptions (Geo)'!$V$10,'Assumptions (Geo)'!$V$5*Model!$H$1579*AVERAGE('Assumptions (Geo)'!$D$2:$F$2)/10^9),0)</f>
        <v>0</v>
      </c>
      <c r="K1693" s="160">
        <f>IF($H$1579&gt;0,IPMT('Assumptions (Geo)'!$V$7,Model!Z$1,'Assumptions (Geo)'!$V$10,'Assumptions (Geo)'!$V$5*Model!$H$1579*AVERAGE('Assumptions (Geo)'!$D$2:$F$2)/10^9),0)</f>
        <v>0</v>
      </c>
      <c r="L1693" s="160">
        <f>IF($H$1579&gt;0,IPMT('Assumptions (Geo)'!$V$7,Model!AA$1,'Assumptions (Geo)'!$V$10,'Assumptions (Geo)'!$V$5*Model!$H$1579*AVERAGE('Assumptions (Geo)'!$D$2:$F$2)/10^9),0)</f>
        <v>0</v>
      </c>
      <c r="M1693" s="160">
        <f>IF($H$1579&gt;0,IPMT('Assumptions (Geo)'!$V$7,Model!AB$1,'Assumptions (Geo)'!$V$10,'Assumptions (Geo)'!$V$5*Model!$H$1579*AVERAGE('Assumptions (Geo)'!$D$2:$F$2)/10^9),0)</f>
        <v>0</v>
      </c>
      <c r="N1693" s="160">
        <f>IF($H$1579&gt;0,IPMT('Assumptions (Geo)'!$V$7,Model!AC$1,'Assumptions (Geo)'!$V$10,'Assumptions (Geo)'!$V$5*Model!$H$1579*AVERAGE('Assumptions (Geo)'!$D$2:$F$2)/10^9),0)</f>
        <v>0</v>
      </c>
      <c r="O1693" s="160">
        <f>IF($H$1579&gt;0,IPMT('Assumptions (Geo)'!$V$7,Model!AD$1,'Assumptions (Geo)'!$V$10,'Assumptions (Geo)'!$V$5*Model!$H$1579*AVERAGE('Assumptions (Geo)'!$D$2:$F$2)/10^9),0)</f>
        <v>0</v>
      </c>
      <c r="P1693" s="160">
        <f>IF($H$1579&gt;0,IPMT('Assumptions (Geo)'!$V$7,Model!AE$1,'Assumptions (Geo)'!$V$10,'Assumptions (Geo)'!$V$5*Model!$H$1579*AVERAGE('Assumptions (Geo)'!$D$2:$F$2)/10^9),0)</f>
        <v>0</v>
      </c>
      <c r="Q1693" s="160">
        <f>IF($H$1579&gt;0,IPMT('Assumptions (Geo)'!$V$7,Model!AF$1,'Assumptions (Geo)'!$V$10,'Assumptions (Geo)'!$V$5*Model!$H$1579*AVERAGE('Assumptions (Geo)'!$D$2:$F$2)/10^9),0)</f>
        <v>0</v>
      </c>
      <c r="R1693" s="160">
        <f>IF($H$1579&gt;0,IPMT('Assumptions (Geo)'!$V$7,Model!AG$1,'Assumptions (Geo)'!$V$10,'Assumptions (Geo)'!$V$5*Model!$H$1579*AVERAGE('Assumptions (Geo)'!$D$2:$F$2)/10^9),0)</f>
        <v>0</v>
      </c>
      <c r="S1693" s="160">
        <f>IF($H$1579&gt;0,IPMT('Assumptions (Geo)'!$V$7,Model!AH$1,'Assumptions (Geo)'!$V$10,'Assumptions (Geo)'!$V$5*Model!$H$1579*AVERAGE('Assumptions (Geo)'!$D$2:$F$2)/10^9),0)</f>
        <v>0</v>
      </c>
      <c r="T1693" s="160">
        <f>IF($H$1579&gt;0,IPMT('Assumptions (Geo)'!$V$7,Model!AI$1,'Assumptions (Geo)'!$V$10,'Assumptions (Geo)'!$V$5*Model!$H$1579*AVERAGE('Assumptions (Geo)'!$D$2:$F$2)/10^9),0)</f>
        <v>0</v>
      </c>
      <c r="U1693" s="160">
        <f>IF($H$1579&gt;0,IPMT('Assumptions (Geo)'!$V$7,Model!AJ$1,'Assumptions (Geo)'!$V$10,'Assumptions (Geo)'!$V$5*Model!$H$1579*AVERAGE('Assumptions (Geo)'!$D$2:$F$2)/10^9),0)</f>
        <v>0</v>
      </c>
      <c r="V1693" s="160">
        <f>IF($H$1579&gt;0,IPMT('Assumptions (Geo)'!$V$7,Model!AK$1,'Assumptions (Geo)'!$V$10,'Assumptions (Geo)'!$V$5*Model!$H$1579*AVERAGE('Assumptions (Geo)'!$D$2:$F$2)/10^9),0)</f>
        <v>0</v>
      </c>
      <c r="W1693" s="160"/>
      <c r="X1693" s="160"/>
      <c r="Y1693" s="160"/>
      <c r="Z1693" s="160"/>
      <c r="AA1693" s="160"/>
      <c r="AB1693" s="160"/>
      <c r="AC1693" s="160"/>
      <c r="AD1693" s="160"/>
      <c r="AE1693" s="160"/>
      <c r="AF1693" s="160"/>
      <c r="AG1693" s="160"/>
    </row>
    <row r="1694" ht="15.75" hidden="1" customHeight="1" outlineLevel="1">
      <c r="A1694" s="295"/>
      <c r="B1694" s="38"/>
      <c r="C1694" s="160"/>
      <c r="D1694" s="160"/>
      <c r="E1694" s="160"/>
      <c r="F1694" s="160"/>
      <c r="G1694" s="160"/>
      <c r="H1694" s="160"/>
      <c r="I1694" s="160">
        <f>IF($I$1579&gt;0,IPMT('Assumptions (Geo)'!$V$7,Model!W$1,'Assumptions (Geo)'!$V$10,'Assumptions (Geo)'!$V$5*Model!$I$1579*AVERAGE('Assumptions (Geo)'!$E$2:$G$2)/10^9),0)</f>
        <v>0</v>
      </c>
      <c r="J1694" s="160">
        <f>IF($I$1579&gt;0,IPMT('Assumptions (Geo)'!$V$7,Model!X$1,'Assumptions (Geo)'!$V$10,'Assumptions (Geo)'!$V$5*Model!$I$1579*AVERAGE('Assumptions (Geo)'!$E$2:$G$2)/10^9),0)</f>
        <v>0</v>
      </c>
      <c r="K1694" s="160">
        <f>IF($I$1579&gt;0,IPMT('Assumptions (Geo)'!$V$7,Model!Y$1,'Assumptions (Geo)'!$V$10,'Assumptions (Geo)'!$V$5*Model!$I$1579*AVERAGE('Assumptions (Geo)'!$E$2:$G$2)/10^9),0)</f>
        <v>0</v>
      </c>
      <c r="L1694" s="160">
        <f>IF($I$1579&gt;0,IPMT('Assumptions (Geo)'!$V$7,Model!Z$1,'Assumptions (Geo)'!$V$10,'Assumptions (Geo)'!$V$5*Model!$I$1579*AVERAGE('Assumptions (Geo)'!$E$2:$G$2)/10^9),0)</f>
        <v>0</v>
      </c>
      <c r="M1694" s="160">
        <f>IF($I$1579&gt;0,IPMT('Assumptions (Geo)'!$V$7,Model!AA$1,'Assumptions (Geo)'!$V$10,'Assumptions (Geo)'!$V$5*Model!$I$1579*AVERAGE('Assumptions (Geo)'!$E$2:$G$2)/10^9),0)</f>
        <v>0</v>
      </c>
      <c r="N1694" s="160">
        <f>IF($I$1579&gt;0,IPMT('Assumptions (Geo)'!$V$7,Model!AB$1,'Assumptions (Geo)'!$V$10,'Assumptions (Geo)'!$V$5*Model!$I$1579*AVERAGE('Assumptions (Geo)'!$E$2:$G$2)/10^9),0)</f>
        <v>0</v>
      </c>
      <c r="O1694" s="160">
        <f>IF($I$1579&gt;0,IPMT('Assumptions (Geo)'!$V$7,Model!AC$1,'Assumptions (Geo)'!$V$10,'Assumptions (Geo)'!$V$5*Model!$I$1579*AVERAGE('Assumptions (Geo)'!$E$2:$G$2)/10^9),0)</f>
        <v>0</v>
      </c>
      <c r="P1694" s="160">
        <f>IF($I$1579&gt;0,IPMT('Assumptions (Geo)'!$V$7,Model!AD$1,'Assumptions (Geo)'!$V$10,'Assumptions (Geo)'!$V$5*Model!$I$1579*AVERAGE('Assumptions (Geo)'!$E$2:$G$2)/10^9),0)</f>
        <v>0</v>
      </c>
      <c r="Q1694" s="160">
        <f>IF($I$1579&gt;0,IPMT('Assumptions (Geo)'!$V$7,Model!AE$1,'Assumptions (Geo)'!$V$10,'Assumptions (Geo)'!$V$5*Model!$I$1579*AVERAGE('Assumptions (Geo)'!$E$2:$G$2)/10^9),0)</f>
        <v>0</v>
      </c>
      <c r="R1694" s="160">
        <f>IF($I$1579&gt;0,IPMT('Assumptions (Geo)'!$V$7,Model!AF$1,'Assumptions (Geo)'!$V$10,'Assumptions (Geo)'!$V$5*Model!$I$1579*AVERAGE('Assumptions (Geo)'!$E$2:$G$2)/10^9),0)</f>
        <v>0</v>
      </c>
      <c r="S1694" s="160">
        <f>IF($I$1579&gt;0,IPMT('Assumptions (Geo)'!$V$7,Model!AG$1,'Assumptions (Geo)'!$V$10,'Assumptions (Geo)'!$V$5*Model!$I$1579*AVERAGE('Assumptions (Geo)'!$E$2:$G$2)/10^9),0)</f>
        <v>0</v>
      </c>
      <c r="T1694" s="160">
        <f>IF($I$1579&gt;0,IPMT('Assumptions (Geo)'!$V$7,Model!AH$1,'Assumptions (Geo)'!$V$10,'Assumptions (Geo)'!$V$5*Model!$I$1579*AVERAGE('Assumptions (Geo)'!$E$2:$G$2)/10^9),0)</f>
        <v>0</v>
      </c>
      <c r="U1694" s="160">
        <f>IF($I$1579&gt;0,IPMT('Assumptions (Geo)'!$V$7,Model!AI$1,'Assumptions (Geo)'!$V$10,'Assumptions (Geo)'!$V$5*Model!$I$1579*AVERAGE('Assumptions (Geo)'!$E$2:$G$2)/10^9),0)</f>
        <v>0</v>
      </c>
      <c r="V1694" s="160">
        <f>IF($I$1579&gt;0,IPMT('Assumptions (Geo)'!$V$7,Model!AJ$1,'Assumptions (Geo)'!$V$10,'Assumptions (Geo)'!$V$5*Model!$I$1579*AVERAGE('Assumptions (Geo)'!$E$2:$G$2)/10^9),0)</f>
        <v>0</v>
      </c>
      <c r="W1694" s="160">
        <f>IF($I$1579&gt;0,IPMT('Assumptions (Geo)'!$V$7,Model!AK$1,'Assumptions (Geo)'!$V$10,'Assumptions (Geo)'!$V$5*Model!$I$1579*AVERAGE('Assumptions (Geo)'!$E$2:$G$2)/10^9),0)</f>
        <v>0</v>
      </c>
      <c r="X1694" s="160"/>
      <c r="Y1694" s="160"/>
      <c r="Z1694" s="160"/>
      <c r="AA1694" s="160"/>
      <c r="AB1694" s="160"/>
      <c r="AC1694" s="160"/>
      <c r="AD1694" s="160"/>
      <c r="AE1694" s="160"/>
      <c r="AF1694" s="160"/>
      <c r="AG1694" s="160"/>
    </row>
    <row r="1695" ht="15.75" hidden="1" customHeight="1" outlineLevel="1">
      <c r="A1695" s="295"/>
      <c r="B1695" s="38"/>
      <c r="C1695" s="160"/>
      <c r="D1695" s="160"/>
      <c r="E1695" s="160"/>
      <c r="F1695" s="160"/>
      <c r="G1695" s="160"/>
      <c r="H1695" s="160"/>
      <c r="I1695" s="160"/>
      <c r="J1695" s="160">
        <f>IF($J$1579&gt;0,IPMT('Assumptions (Geo)'!$V$7,Model!W$1,'Assumptions (Geo)'!$V$10,'Assumptions (Geo)'!$V$5*Model!$J$1579*AVERAGE('Assumptions (Geo)'!$F$2:$H$2)/10^9),0)</f>
        <v>0</v>
      </c>
      <c r="K1695" s="160">
        <f>IF($J$1579&gt;0,IPMT('Assumptions (Geo)'!$V$7,Model!X$1,'Assumptions (Geo)'!$V$10,'Assumptions (Geo)'!$V$5*Model!$J$1579*AVERAGE('Assumptions (Geo)'!$F$2:$H$2)/10^9),0)</f>
        <v>0</v>
      </c>
      <c r="L1695" s="160">
        <f>IF($J$1579&gt;0,IPMT('Assumptions (Geo)'!$V$7,Model!Y$1,'Assumptions (Geo)'!$V$10,'Assumptions (Geo)'!$V$5*Model!$J$1579*AVERAGE('Assumptions (Geo)'!$F$2:$H$2)/10^9),0)</f>
        <v>0</v>
      </c>
      <c r="M1695" s="160">
        <f>IF($J$1579&gt;0,IPMT('Assumptions (Geo)'!$V$7,Model!Z$1,'Assumptions (Geo)'!$V$10,'Assumptions (Geo)'!$V$5*Model!$J$1579*AVERAGE('Assumptions (Geo)'!$F$2:$H$2)/10^9),0)</f>
        <v>0</v>
      </c>
      <c r="N1695" s="160">
        <f>IF($J$1579&gt;0,IPMT('Assumptions (Geo)'!$V$7,Model!AA$1,'Assumptions (Geo)'!$V$10,'Assumptions (Geo)'!$V$5*Model!$J$1579*AVERAGE('Assumptions (Geo)'!$F$2:$H$2)/10^9),0)</f>
        <v>0</v>
      </c>
      <c r="O1695" s="160">
        <f>IF($J$1579&gt;0,IPMT('Assumptions (Geo)'!$V$7,Model!AB$1,'Assumptions (Geo)'!$V$10,'Assumptions (Geo)'!$V$5*Model!$J$1579*AVERAGE('Assumptions (Geo)'!$F$2:$H$2)/10^9),0)</f>
        <v>0</v>
      </c>
      <c r="P1695" s="160">
        <f>IF($J$1579&gt;0,IPMT('Assumptions (Geo)'!$V$7,Model!AC$1,'Assumptions (Geo)'!$V$10,'Assumptions (Geo)'!$V$5*Model!$J$1579*AVERAGE('Assumptions (Geo)'!$F$2:$H$2)/10^9),0)</f>
        <v>0</v>
      </c>
      <c r="Q1695" s="160">
        <f>IF($J$1579&gt;0,IPMT('Assumptions (Geo)'!$V$7,Model!AD$1,'Assumptions (Geo)'!$V$10,'Assumptions (Geo)'!$V$5*Model!$J$1579*AVERAGE('Assumptions (Geo)'!$F$2:$H$2)/10^9),0)</f>
        <v>0</v>
      </c>
      <c r="R1695" s="160">
        <f>IF($J$1579&gt;0,IPMT('Assumptions (Geo)'!$V$7,Model!AE$1,'Assumptions (Geo)'!$V$10,'Assumptions (Geo)'!$V$5*Model!$J$1579*AVERAGE('Assumptions (Geo)'!$F$2:$H$2)/10^9),0)</f>
        <v>0</v>
      </c>
      <c r="S1695" s="160">
        <f>IF($J$1579&gt;0,IPMT('Assumptions (Geo)'!$V$7,Model!AF$1,'Assumptions (Geo)'!$V$10,'Assumptions (Geo)'!$V$5*Model!$J$1579*AVERAGE('Assumptions (Geo)'!$F$2:$H$2)/10^9),0)</f>
        <v>0</v>
      </c>
      <c r="T1695" s="160">
        <f>IF($J$1579&gt;0,IPMT('Assumptions (Geo)'!$V$7,Model!AG$1,'Assumptions (Geo)'!$V$10,'Assumptions (Geo)'!$V$5*Model!$J$1579*AVERAGE('Assumptions (Geo)'!$F$2:$H$2)/10^9),0)</f>
        <v>0</v>
      </c>
      <c r="U1695" s="160">
        <f>IF($J$1579&gt;0,IPMT('Assumptions (Geo)'!$V$7,Model!AH$1,'Assumptions (Geo)'!$V$10,'Assumptions (Geo)'!$V$5*Model!$J$1579*AVERAGE('Assumptions (Geo)'!$F$2:$H$2)/10^9),0)</f>
        <v>0</v>
      </c>
      <c r="V1695" s="160">
        <f>IF($J$1579&gt;0,IPMT('Assumptions (Geo)'!$V$7,Model!AI$1,'Assumptions (Geo)'!$V$10,'Assumptions (Geo)'!$V$5*Model!$J$1579*AVERAGE('Assumptions (Geo)'!$F$2:$H$2)/10^9),0)</f>
        <v>0</v>
      </c>
      <c r="W1695" s="160">
        <f>IF($J$1579&gt;0,IPMT('Assumptions (Geo)'!$V$7,Model!AJ$1,'Assumptions (Geo)'!$V$10,'Assumptions (Geo)'!$V$5*Model!$J$1579*AVERAGE('Assumptions (Geo)'!$F$2:$H$2)/10^9),0)</f>
        <v>0</v>
      </c>
      <c r="X1695" s="160">
        <f>IF($J$1579&gt;0,IPMT('Assumptions (Geo)'!$V$7,Model!AK$1,'Assumptions (Geo)'!$V$10,'Assumptions (Geo)'!$V$5*Model!$J$1579*AVERAGE('Assumptions (Geo)'!$F$2:$H$2)/10^9),0)</f>
        <v>0</v>
      </c>
      <c r="Y1695" s="160"/>
      <c r="Z1695" s="160"/>
      <c r="AA1695" s="160"/>
      <c r="AB1695" s="160"/>
      <c r="AC1695" s="160"/>
      <c r="AD1695" s="160"/>
      <c r="AE1695" s="160"/>
      <c r="AF1695" s="160"/>
      <c r="AG1695" s="160"/>
      <c r="AH1695" s="160"/>
    </row>
    <row r="1696" ht="15.75" hidden="1" customHeight="1" outlineLevel="1">
      <c r="A1696" s="295"/>
      <c r="B1696" s="38"/>
      <c r="C1696" s="160"/>
      <c r="D1696" s="160"/>
      <c r="E1696" s="160"/>
      <c r="F1696" s="160"/>
      <c r="G1696" s="160"/>
      <c r="H1696" s="160"/>
      <c r="I1696" s="160"/>
      <c r="J1696" s="160"/>
      <c r="K1696" s="160">
        <f>IF($K$1579&gt;0,IPMT('Assumptions (Geo)'!$V$7,Model!W$1,'Assumptions (Geo)'!$V$10,'Assumptions (Geo)'!$V$5*Model!$K$1579*AVERAGE('Assumptions (Geo)'!$G$2:$I$2)/10^9),0)</f>
        <v>0</v>
      </c>
      <c r="L1696" s="160">
        <f>IF($K$1579&gt;0,IPMT('Assumptions (Geo)'!$V$7,Model!X$1,'Assumptions (Geo)'!$V$10,'Assumptions (Geo)'!$V$5*Model!$K$1579*AVERAGE('Assumptions (Geo)'!$G$2:$I$2)/10^9),0)</f>
        <v>0</v>
      </c>
      <c r="M1696" s="160">
        <f>IF($K$1579&gt;0,IPMT('Assumptions (Geo)'!$V$7,Model!Y$1,'Assumptions (Geo)'!$V$10,'Assumptions (Geo)'!$V$5*Model!$K$1579*AVERAGE('Assumptions (Geo)'!$G$2:$I$2)/10^9),0)</f>
        <v>0</v>
      </c>
      <c r="N1696" s="160">
        <f>IF($K$1579&gt;0,IPMT('Assumptions (Geo)'!$V$7,Model!Z$1,'Assumptions (Geo)'!$V$10,'Assumptions (Geo)'!$V$5*Model!$K$1579*AVERAGE('Assumptions (Geo)'!$G$2:$I$2)/10^9),0)</f>
        <v>0</v>
      </c>
      <c r="O1696" s="160">
        <f>IF($K$1579&gt;0,IPMT('Assumptions (Geo)'!$V$7,Model!AA$1,'Assumptions (Geo)'!$V$10,'Assumptions (Geo)'!$V$5*Model!$K$1579*AVERAGE('Assumptions (Geo)'!$G$2:$I$2)/10^9),0)</f>
        <v>0</v>
      </c>
      <c r="P1696" s="160">
        <f>IF($K$1579&gt;0,IPMT('Assumptions (Geo)'!$V$7,Model!AB$1,'Assumptions (Geo)'!$V$10,'Assumptions (Geo)'!$V$5*Model!$K$1579*AVERAGE('Assumptions (Geo)'!$G$2:$I$2)/10^9),0)</f>
        <v>0</v>
      </c>
      <c r="Q1696" s="160">
        <f>IF($K$1579&gt;0,IPMT('Assumptions (Geo)'!$V$7,Model!AC$1,'Assumptions (Geo)'!$V$10,'Assumptions (Geo)'!$V$5*Model!$K$1579*AVERAGE('Assumptions (Geo)'!$G$2:$I$2)/10^9),0)</f>
        <v>0</v>
      </c>
      <c r="R1696" s="160">
        <f>IF($K$1579&gt;0,IPMT('Assumptions (Geo)'!$V$7,Model!AD$1,'Assumptions (Geo)'!$V$10,'Assumptions (Geo)'!$V$5*Model!$K$1579*AVERAGE('Assumptions (Geo)'!$G$2:$I$2)/10^9),0)</f>
        <v>0</v>
      </c>
      <c r="S1696" s="160">
        <f>IF($K$1579&gt;0,IPMT('Assumptions (Geo)'!$V$7,Model!AE$1,'Assumptions (Geo)'!$V$10,'Assumptions (Geo)'!$V$5*Model!$K$1579*AVERAGE('Assumptions (Geo)'!$G$2:$I$2)/10^9),0)</f>
        <v>0</v>
      </c>
      <c r="T1696" s="160">
        <f>IF($K$1579&gt;0,IPMT('Assumptions (Geo)'!$V$7,Model!AF$1,'Assumptions (Geo)'!$V$10,'Assumptions (Geo)'!$V$5*Model!$K$1579*AVERAGE('Assumptions (Geo)'!$G$2:$I$2)/10^9),0)</f>
        <v>0</v>
      </c>
      <c r="U1696" s="160">
        <f>IF($K$1579&gt;0,IPMT('Assumptions (Geo)'!$V$7,Model!AG$1,'Assumptions (Geo)'!$V$10,'Assumptions (Geo)'!$V$5*Model!$K$1579*AVERAGE('Assumptions (Geo)'!$G$2:$I$2)/10^9),0)</f>
        <v>0</v>
      </c>
      <c r="V1696" s="160">
        <f>IF($K$1579&gt;0,IPMT('Assumptions (Geo)'!$V$7,Model!AH$1,'Assumptions (Geo)'!$V$10,'Assumptions (Geo)'!$V$5*Model!$K$1579*AVERAGE('Assumptions (Geo)'!$G$2:$I$2)/10^9),0)</f>
        <v>0</v>
      </c>
      <c r="W1696" s="160">
        <f>IF($K$1579&gt;0,IPMT('Assumptions (Geo)'!$V$7,Model!AI$1,'Assumptions (Geo)'!$V$10,'Assumptions (Geo)'!$V$5*Model!$K$1579*AVERAGE('Assumptions (Geo)'!$G$2:$I$2)/10^9),0)</f>
        <v>0</v>
      </c>
      <c r="X1696" s="160">
        <f>IF($K$1579&gt;0,IPMT('Assumptions (Geo)'!$V$7,Model!AJ$1,'Assumptions (Geo)'!$V$10,'Assumptions (Geo)'!$V$5*Model!$K$1579*AVERAGE('Assumptions (Geo)'!$G$2:$I$2)/10^9),0)</f>
        <v>0</v>
      </c>
      <c r="Y1696" s="160">
        <f>IF($K$1579&gt;0,IPMT('Assumptions (Geo)'!$V$7,Model!AK$1,'Assumptions (Geo)'!$V$10,'Assumptions (Geo)'!$V$5*Model!$K$1579*AVERAGE('Assumptions (Geo)'!$G$2:$I$2)/10^9),0)</f>
        <v>0</v>
      </c>
      <c r="Z1696" s="160"/>
      <c r="AA1696" s="160"/>
      <c r="AB1696" s="160"/>
      <c r="AC1696" s="160"/>
      <c r="AD1696" s="160"/>
      <c r="AE1696" s="160"/>
      <c r="AF1696" s="160"/>
      <c r="AG1696" s="160"/>
      <c r="AH1696" s="160"/>
      <c r="AI1696" s="160"/>
    </row>
    <row r="1697" ht="15.75" hidden="1" customHeight="1" outlineLevel="1">
      <c r="A1697" s="295"/>
      <c r="B1697" s="38"/>
      <c r="C1697" s="160"/>
      <c r="D1697" s="160"/>
      <c r="E1697" s="160"/>
      <c r="F1697" s="160"/>
      <c r="G1697" s="160"/>
      <c r="H1697" s="160"/>
      <c r="I1697" s="160"/>
      <c r="J1697" s="160"/>
      <c r="K1697" s="160"/>
      <c r="L1697" s="160">
        <f>IF($L$1579&gt;0,IPMT('Assumptions (Geo)'!$V$7,Model!W$1,'Assumptions (Geo)'!$V$10,'Assumptions (Geo)'!$V$5*Model!$L$1579*AVERAGE('Assumptions (Geo)'!$H$2:$J$2)/10^9),0)</f>
        <v>0</v>
      </c>
      <c r="M1697" s="160">
        <f>IF($L$1579&gt;0,IPMT('Assumptions (Geo)'!$V$7,Model!X$1,'Assumptions (Geo)'!$V$10,'Assumptions (Geo)'!$V$5*Model!$L$1579*AVERAGE('Assumptions (Geo)'!$H$2:$J$2)/10^9),0)</f>
        <v>0</v>
      </c>
      <c r="N1697" s="160">
        <f>IF($L$1579&gt;0,IPMT('Assumptions (Geo)'!$V$7,Model!Y$1,'Assumptions (Geo)'!$V$10,'Assumptions (Geo)'!$V$5*Model!$L$1579*AVERAGE('Assumptions (Geo)'!$H$2:$J$2)/10^9),0)</f>
        <v>0</v>
      </c>
      <c r="O1697" s="160">
        <f>IF($L$1579&gt;0,IPMT('Assumptions (Geo)'!$V$7,Model!Z$1,'Assumptions (Geo)'!$V$10,'Assumptions (Geo)'!$V$5*Model!$L$1579*AVERAGE('Assumptions (Geo)'!$H$2:$J$2)/10^9),0)</f>
        <v>0</v>
      </c>
      <c r="P1697" s="160">
        <f>IF($L$1579&gt;0,IPMT('Assumptions (Geo)'!$V$7,Model!AA$1,'Assumptions (Geo)'!$V$10,'Assumptions (Geo)'!$V$5*Model!$L$1579*AVERAGE('Assumptions (Geo)'!$H$2:$J$2)/10^9),0)</f>
        <v>0</v>
      </c>
      <c r="Q1697" s="160">
        <f>IF($L$1579&gt;0,IPMT('Assumptions (Geo)'!$V$7,Model!AB$1,'Assumptions (Geo)'!$V$10,'Assumptions (Geo)'!$V$5*Model!$L$1579*AVERAGE('Assumptions (Geo)'!$H$2:$J$2)/10^9),0)</f>
        <v>0</v>
      </c>
      <c r="R1697" s="160">
        <f>IF($L$1579&gt;0,IPMT('Assumptions (Geo)'!$V$7,Model!AC$1,'Assumptions (Geo)'!$V$10,'Assumptions (Geo)'!$V$5*Model!$L$1579*AVERAGE('Assumptions (Geo)'!$H$2:$J$2)/10^9),0)</f>
        <v>0</v>
      </c>
      <c r="S1697" s="160">
        <f>IF($L$1579&gt;0,IPMT('Assumptions (Geo)'!$V$7,Model!AD$1,'Assumptions (Geo)'!$V$10,'Assumptions (Geo)'!$V$5*Model!$L$1579*AVERAGE('Assumptions (Geo)'!$H$2:$J$2)/10^9),0)</f>
        <v>0</v>
      </c>
      <c r="T1697" s="160">
        <f>IF($L$1579&gt;0,IPMT('Assumptions (Geo)'!$V$7,Model!AE$1,'Assumptions (Geo)'!$V$10,'Assumptions (Geo)'!$V$5*Model!$L$1579*AVERAGE('Assumptions (Geo)'!$H$2:$J$2)/10^9),0)</f>
        <v>0</v>
      </c>
      <c r="U1697" s="160">
        <f>IF($L$1579&gt;0,IPMT('Assumptions (Geo)'!$V$7,Model!AF$1,'Assumptions (Geo)'!$V$10,'Assumptions (Geo)'!$V$5*Model!$L$1579*AVERAGE('Assumptions (Geo)'!$H$2:$J$2)/10^9),0)</f>
        <v>0</v>
      </c>
      <c r="V1697" s="160">
        <f>IF($L$1579&gt;0,IPMT('Assumptions (Geo)'!$V$7,Model!AG$1,'Assumptions (Geo)'!$V$10,'Assumptions (Geo)'!$V$5*Model!$L$1579*AVERAGE('Assumptions (Geo)'!$H$2:$J$2)/10^9),0)</f>
        <v>0</v>
      </c>
      <c r="W1697" s="160">
        <f>IF($L$1579&gt;0,IPMT('Assumptions (Geo)'!$V$7,Model!AH$1,'Assumptions (Geo)'!$V$10,'Assumptions (Geo)'!$V$5*Model!$L$1579*AVERAGE('Assumptions (Geo)'!$H$2:$J$2)/10^9),0)</f>
        <v>0</v>
      </c>
      <c r="X1697" s="160">
        <f>IF($L$1579&gt;0,IPMT('Assumptions (Geo)'!$V$7,Model!AI$1,'Assumptions (Geo)'!$V$10,'Assumptions (Geo)'!$V$5*Model!$L$1579*AVERAGE('Assumptions (Geo)'!$H$2:$J$2)/10^9),0)</f>
        <v>0</v>
      </c>
      <c r="Y1697" s="160">
        <f>IF($L$1579&gt;0,IPMT('Assumptions (Geo)'!$V$7,Model!AJ$1,'Assumptions (Geo)'!$V$10,'Assumptions (Geo)'!$V$5*Model!$L$1579*AVERAGE('Assumptions (Geo)'!$H$2:$J$2)/10^9),0)</f>
        <v>0</v>
      </c>
      <c r="Z1697" s="160">
        <f>IF($L$1579&gt;0,IPMT('Assumptions (Geo)'!$V$7,Model!AK$1,'Assumptions (Geo)'!$V$10,'Assumptions (Geo)'!$V$5*Model!$L$1579*AVERAGE('Assumptions (Geo)'!$H$2:$J$2)/10^9),0)</f>
        <v>0</v>
      </c>
      <c r="AA1697" s="160"/>
      <c r="AB1697" s="160"/>
      <c r="AC1697" s="160"/>
      <c r="AD1697" s="160"/>
      <c r="AE1697" s="160"/>
      <c r="AF1697" s="160"/>
      <c r="AG1697" s="160"/>
      <c r="AH1697" s="160"/>
      <c r="AI1697" s="160"/>
      <c r="AJ1697" s="160"/>
    </row>
    <row r="1698" ht="15.75" hidden="1" customHeight="1" outlineLevel="1">
      <c r="A1698" s="295"/>
      <c r="B1698" s="38"/>
      <c r="C1698" s="160"/>
      <c r="D1698" s="160"/>
      <c r="E1698" s="160"/>
      <c r="F1698" s="160"/>
      <c r="G1698" s="160"/>
      <c r="H1698" s="160"/>
      <c r="I1698" s="160"/>
      <c r="J1698" s="160"/>
      <c r="K1698" s="160"/>
      <c r="L1698" s="160"/>
      <c r="M1698" s="160">
        <f>IF($M$1579&gt;0,IPMT('Assumptions (Geo)'!$V$7,Model!W$1,'Assumptions (Geo)'!$V$10,'Assumptions (Geo)'!$V$5*Model!$M$1579*AVERAGE('Assumptions (Geo)'!$I$2:$K$2)/10^9),0)</f>
        <v>0</v>
      </c>
      <c r="N1698" s="160">
        <f>IF($M$1579&gt;0,IPMT('Assumptions (Geo)'!$V$7,Model!X$1,'Assumptions (Geo)'!$V$10,'Assumptions (Geo)'!$V$5*Model!$M$1579*AVERAGE('Assumptions (Geo)'!$I$2:$K$2)/10^9),0)</f>
        <v>0</v>
      </c>
      <c r="O1698" s="160">
        <f>IF($M$1579&gt;0,IPMT('Assumptions (Geo)'!$V$7,Model!Y$1,'Assumptions (Geo)'!$V$10,'Assumptions (Geo)'!$V$5*Model!$M$1579*AVERAGE('Assumptions (Geo)'!$I$2:$K$2)/10^9),0)</f>
        <v>0</v>
      </c>
      <c r="P1698" s="160">
        <f>IF($M$1579&gt;0,IPMT('Assumptions (Geo)'!$V$7,Model!Z$1,'Assumptions (Geo)'!$V$10,'Assumptions (Geo)'!$V$5*Model!$M$1579*AVERAGE('Assumptions (Geo)'!$I$2:$K$2)/10^9),0)</f>
        <v>0</v>
      </c>
      <c r="Q1698" s="160">
        <f>IF($M$1579&gt;0,IPMT('Assumptions (Geo)'!$V$7,Model!AA$1,'Assumptions (Geo)'!$V$10,'Assumptions (Geo)'!$V$5*Model!$M$1579*AVERAGE('Assumptions (Geo)'!$I$2:$K$2)/10^9),0)</f>
        <v>0</v>
      </c>
      <c r="R1698" s="160">
        <f>IF($M$1579&gt;0,IPMT('Assumptions (Geo)'!$V$7,Model!AB$1,'Assumptions (Geo)'!$V$10,'Assumptions (Geo)'!$V$5*Model!$M$1579*AVERAGE('Assumptions (Geo)'!$I$2:$K$2)/10^9),0)</f>
        <v>0</v>
      </c>
      <c r="S1698" s="160">
        <f>IF($M$1579&gt;0,IPMT('Assumptions (Geo)'!$V$7,Model!AC$1,'Assumptions (Geo)'!$V$10,'Assumptions (Geo)'!$V$5*Model!$M$1579*AVERAGE('Assumptions (Geo)'!$I$2:$K$2)/10^9),0)</f>
        <v>0</v>
      </c>
      <c r="T1698" s="160">
        <f>IF($M$1579&gt;0,IPMT('Assumptions (Geo)'!$V$7,Model!AD$1,'Assumptions (Geo)'!$V$10,'Assumptions (Geo)'!$V$5*Model!$M$1579*AVERAGE('Assumptions (Geo)'!$I$2:$K$2)/10^9),0)</f>
        <v>0</v>
      </c>
      <c r="U1698" s="160">
        <f>IF($M$1579&gt;0,IPMT('Assumptions (Geo)'!$V$7,Model!AE$1,'Assumptions (Geo)'!$V$10,'Assumptions (Geo)'!$V$5*Model!$M$1579*AVERAGE('Assumptions (Geo)'!$I$2:$K$2)/10^9),0)</f>
        <v>0</v>
      </c>
      <c r="V1698" s="160">
        <f>IF($M$1579&gt;0,IPMT('Assumptions (Geo)'!$V$7,Model!AF$1,'Assumptions (Geo)'!$V$10,'Assumptions (Geo)'!$V$5*Model!$M$1579*AVERAGE('Assumptions (Geo)'!$I$2:$K$2)/10^9),0)</f>
        <v>0</v>
      </c>
      <c r="W1698" s="160">
        <f>IF($M$1579&gt;0,IPMT('Assumptions (Geo)'!$V$7,Model!AG$1,'Assumptions (Geo)'!$V$10,'Assumptions (Geo)'!$V$5*Model!$M$1579*AVERAGE('Assumptions (Geo)'!$I$2:$K$2)/10^9),0)</f>
        <v>0</v>
      </c>
      <c r="X1698" s="160">
        <f>IF($M$1579&gt;0,IPMT('Assumptions (Geo)'!$V$7,Model!AH$1,'Assumptions (Geo)'!$V$10,'Assumptions (Geo)'!$V$5*Model!$M$1579*AVERAGE('Assumptions (Geo)'!$I$2:$K$2)/10^9),0)</f>
        <v>0</v>
      </c>
      <c r="Y1698" s="160">
        <f>IF($M$1579&gt;0,IPMT('Assumptions (Geo)'!$V$7,Model!AI$1,'Assumptions (Geo)'!$V$10,'Assumptions (Geo)'!$V$5*Model!$M$1579*AVERAGE('Assumptions (Geo)'!$I$2:$K$2)/10^9),0)</f>
        <v>0</v>
      </c>
      <c r="Z1698" s="160">
        <f>IF($M$1579&gt;0,IPMT('Assumptions (Geo)'!$V$7,Model!AJ$1,'Assumptions (Geo)'!$V$10,'Assumptions (Geo)'!$V$5*Model!$M$1579*AVERAGE('Assumptions (Geo)'!$I$2:$K$2)/10^9),0)</f>
        <v>0</v>
      </c>
      <c r="AA1698" s="160">
        <f>IF($M$1579&gt;0,IPMT('Assumptions (Geo)'!$V$7,Model!AK$1,'Assumptions (Geo)'!$V$10,'Assumptions (Geo)'!$V$5*Model!$M$1579*AVERAGE('Assumptions (Geo)'!$I$2:$K$2)/10^9),0)</f>
        <v>0</v>
      </c>
      <c r="AB1698" s="160"/>
      <c r="AC1698" s="160"/>
      <c r="AD1698" s="160"/>
      <c r="AE1698" s="160"/>
      <c r="AF1698" s="160"/>
      <c r="AG1698" s="160"/>
      <c r="AH1698" s="160"/>
      <c r="AI1698" s="160"/>
      <c r="AJ1698" s="160"/>
      <c r="AK1698" s="160"/>
    </row>
    <row r="1699" ht="15.75" hidden="1" customHeight="1" outlineLevel="1">
      <c r="A1699" s="295"/>
      <c r="B1699" s="38"/>
      <c r="C1699" s="160"/>
      <c r="D1699" s="160"/>
      <c r="E1699" s="160"/>
      <c r="F1699" s="160"/>
      <c r="G1699" s="160"/>
      <c r="H1699" s="160"/>
      <c r="I1699" s="160"/>
      <c r="J1699" s="160"/>
      <c r="K1699" s="160"/>
      <c r="L1699" s="160"/>
      <c r="M1699" s="160"/>
      <c r="N1699" s="177">
        <f>IF($N$1579&gt;0,IPMT('Assumptions (Geo)'!$V$7,Model!W$1,'Assumptions (Geo)'!$V$10,'Assumptions (Geo)'!$V$5*Model!$N$1579*AVERAGE('Assumptions (Geo)'!$J$2:$L$2)/10^9),0)</f>
        <v>0</v>
      </c>
      <c r="O1699" s="177">
        <f>IF($N$1579&gt;0,IPMT('Assumptions (Geo)'!$V$7,Model!X$1,'Assumptions (Geo)'!$V$10,'Assumptions (Geo)'!$V$5*Model!$N$1579*AVERAGE('Assumptions (Geo)'!$J$2:$L$2)/10^9),0)</f>
        <v>0</v>
      </c>
      <c r="P1699" s="177">
        <f>IF($N$1579&gt;0,IPMT('Assumptions (Geo)'!$V$7,Model!Y$1,'Assumptions (Geo)'!$V$10,'Assumptions (Geo)'!$V$5*Model!$N$1579*AVERAGE('Assumptions (Geo)'!$J$2:$L$2)/10^9),0)</f>
        <v>0</v>
      </c>
      <c r="Q1699" s="177">
        <f>IF($N$1579&gt;0,IPMT('Assumptions (Geo)'!$V$7,Model!Z$1,'Assumptions (Geo)'!$V$10,'Assumptions (Geo)'!$V$5*Model!$N$1579*AVERAGE('Assumptions (Geo)'!$J$2:$L$2)/10^9),0)</f>
        <v>0</v>
      </c>
      <c r="R1699" s="177">
        <f>IF($N$1579&gt;0,IPMT('Assumptions (Geo)'!$V$7,Model!AA$1,'Assumptions (Geo)'!$V$10,'Assumptions (Geo)'!$V$5*Model!$N$1579*AVERAGE('Assumptions (Geo)'!$J$2:$L$2)/10^9),0)</f>
        <v>0</v>
      </c>
      <c r="S1699" s="177">
        <f>IF($N$1579&gt;0,IPMT('Assumptions (Geo)'!$V$7,Model!AB$1,'Assumptions (Geo)'!$V$10,'Assumptions (Geo)'!$V$5*Model!$N$1579*AVERAGE('Assumptions (Geo)'!$J$2:$L$2)/10^9),0)</f>
        <v>0</v>
      </c>
      <c r="T1699" s="177">
        <f>IF($N$1579&gt;0,IPMT('Assumptions (Geo)'!$V$7,Model!AC$1,'Assumptions (Geo)'!$V$10,'Assumptions (Geo)'!$V$5*Model!$N$1579*AVERAGE('Assumptions (Geo)'!$J$2:$L$2)/10^9),0)</f>
        <v>0</v>
      </c>
      <c r="U1699" s="177">
        <f>IF($N$1579&gt;0,IPMT('Assumptions (Geo)'!$V$7,Model!AD$1,'Assumptions (Geo)'!$V$10,'Assumptions (Geo)'!$V$5*Model!$N$1579*AVERAGE('Assumptions (Geo)'!$J$2:$L$2)/10^9),0)</f>
        <v>0</v>
      </c>
      <c r="V1699" s="177">
        <f>IF($N$1579&gt;0,IPMT('Assumptions (Geo)'!$V$7,Model!AE$1,'Assumptions (Geo)'!$V$10,'Assumptions (Geo)'!$V$5*Model!$N$1579*AVERAGE('Assumptions (Geo)'!$J$2:$L$2)/10^9),0)</f>
        <v>0</v>
      </c>
      <c r="W1699" s="177">
        <f>IF($N$1579&gt;0,IPMT('Assumptions (Geo)'!$V$7,Model!AF$1,'Assumptions (Geo)'!$V$10,'Assumptions (Geo)'!$V$5*Model!$N$1579*AVERAGE('Assumptions (Geo)'!$J$2:$L$2)/10^9),0)</f>
        <v>0</v>
      </c>
      <c r="X1699" s="177">
        <f>IF($N$1579&gt;0,IPMT('Assumptions (Geo)'!$V$7,Model!AG$1,'Assumptions (Geo)'!$V$10,'Assumptions (Geo)'!$V$5*Model!$N$1579*AVERAGE('Assumptions (Geo)'!$J$2:$L$2)/10^9),0)</f>
        <v>0</v>
      </c>
      <c r="Y1699" s="177">
        <f>IF($N$1579&gt;0,IPMT('Assumptions (Geo)'!$V$7,Model!AH$1,'Assumptions (Geo)'!$V$10,'Assumptions (Geo)'!$V$5*Model!$N$1579*AVERAGE('Assumptions (Geo)'!$J$2:$L$2)/10^9),0)</f>
        <v>0</v>
      </c>
      <c r="Z1699" s="177">
        <f>IF($N$1579&gt;0,IPMT('Assumptions (Geo)'!$V$7,Model!AI$1,'Assumptions (Geo)'!$V$10,'Assumptions (Geo)'!$V$5*Model!$N$1579*AVERAGE('Assumptions (Geo)'!$J$2:$L$2)/10^9),0)</f>
        <v>0</v>
      </c>
      <c r="AA1699" s="177">
        <f>IF($N$1579&gt;0,IPMT('Assumptions (Geo)'!$V$7,Model!AJ$1,'Assumptions (Geo)'!$V$10,'Assumptions (Geo)'!$V$5*Model!$N$1579*AVERAGE('Assumptions (Geo)'!$J$2:$L$2)/10^9),0)</f>
        <v>0</v>
      </c>
      <c r="AB1699" s="177">
        <f>IF($N$1579&gt;0,IPMT('Assumptions (Geo)'!$V$7,Model!AK$1,'Assumptions (Geo)'!$V$10,'Assumptions (Geo)'!$V$5*Model!$N$1579*AVERAGE('Assumptions (Geo)'!$J$2:$L$2)/10^9),0)</f>
        <v>0</v>
      </c>
      <c r="AC1699" s="177"/>
      <c r="AD1699" s="177"/>
      <c r="AE1699" s="177"/>
      <c r="AF1699" s="177"/>
      <c r="AG1699" s="177"/>
      <c r="AH1699" s="177"/>
      <c r="AI1699" s="177"/>
      <c r="AJ1699" s="177"/>
      <c r="AK1699" s="177"/>
      <c r="AL1699" s="177"/>
    </row>
    <row r="1700" ht="15.75" hidden="1" customHeight="1" outlineLevel="1">
      <c r="A1700" s="295"/>
      <c r="B1700" s="38"/>
      <c r="C1700" s="160"/>
      <c r="D1700" s="160"/>
      <c r="E1700" s="160"/>
      <c r="F1700" s="160"/>
      <c r="G1700" s="160"/>
      <c r="H1700" s="160"/>
      <c r="I1700" s="160"/>
      <c r="J1700" s="160"/>
      <c r="K1700" s="160"/>
      <c r="L1700" s="160"/>
      <c r="M1700" s="160"/>
      <c r="N1700" s="160"/>
      <c r="O1700" s="160">
        <f>IF($O$1579&gt;0,IPMT('Assumptions (Geo)'!$V$7,Model!W$1,'Assumptions (Geo)'!$V$10,'Assumptions (Geo)'!$V$5*Model!$O$1579*AVERAGE('Assumptions (Geo)'!$K$2:$M$2)/10^9),0)</f>
        <v>0</v>
      </c>
      <c r="P1700" s="160">
        <f>IF($O$1579&gt;0,IPMT('Assumptions (Geo)'!$V$7,Model!X$1,'Assumptions (Geo)'!$V$10,'Assumptions (Geo)'!$V$5*Model!$O$1579*AVERAGE('Assumptions (Geo)'!$K$2:$M$2)/10^9),0)</f>
        <v>0</v>
      </c>
      <c r="Q1700" s="160">
        <f>IF($O$1579&gt;0,IPMT('Assumptions (Geo)'!$V$7,Model!Y$1,'Assumptions (Geo)'!$V$10,'Assumptions (Geo)'!$V$5*Model!$O$1579*AVERAGE('Assumptions (Geo)'!$K$2:$M$2)/10^9),0)</f>
        <v>0</v>
      </c>
      <c r="R1700" s="160">
        <f>IF($O$1579&gt;0,IPMT('Assumptions (Geo)'!$V$7,Model!Z$1,'Assumptions (Geo)'!$V$10,'Assumptions (Geo)'!$V$5*Model!$O$1579*AVERAGE('Assumptions (Geo)'!$K$2:$M$2)/10^9),0)</f>
        <v>0</v>
      </c>
      <c r="S1700" s="160">
        <f>IF($O$1579&gt;0,IPMT('Assumptions (Geo)'!$V$7,Model!AA$1,'Assumptions (Geo)'!$V$10,'Assumptions (Geo)'!$V$5*Model!$O$1579*AVERAGE('Assumptions (Geo)'!$K$2:$M$2)/10^9),0)</f>
        <v>0</v>
      </c>
      <c r="T1700" s="160">
        <f>IF($O$1579&gt;0,IPMT('Assumptions (Geo)'!$V$7,Model!AB$1,'Assumptions (Geo)'!$V$10,'Assumptions (Geo)'!$V$5*Model!$O$1579*AVERAGE('Assumptions (Geo)'!$K$2:$M$2)/10^9),0)</f>
        <v>0</v>
      </c>
      <c r="U1700" s="160">
        <f>IF($O$1579&gt;0,IPMT('Assumptions (Geo)'!$V$7,Model!AC$1,'Assumptions (Geo)'!$V$10,'Assumptions (Geo)'!$V$5*Model!$O$1579*AVERAGE('Assumptions (Geo)'!$K$2:$M$2)/10^9),0)</f>
        <v>0</v>
      </c>
      <c r="V1700" s="160">
        <f>IF($O$1579&gt;0,IPMT('Assumptions (Geo)'!$V$7,Model!AD$1,'Assumptions (Geo)'!$V$10,'Assumptions (Geo)'!$V$5*Model!$O$1579*AVERAGE('Assumptions (Geo)'!$K$2:$M$2)/10^9),0)</f>
        <v>0</v>
      </c>
      <c r="W1700" s="160">
        <f>IF($O$1579&gt;0,IPMT('Assumptions (Geo)'!$V$7,Model!AE$1,'Assumptions (Geo)'!$V$10,'Assumptions (Geo)'!$V$5*Model!$O$1579*AVERAGE('Assumptions (Geo)'!$K$2:$M$2)/10^9),0)</f>
        <v>0</v>
      </c>
      <c r="X1700" s="160">
        <f>IF($O$1579&gt;0,IPMT('Assumptions (Geo)'!$V$7,Model!AF$1,'Assumptions (Geo)'!$V$10,'Assumptions (Geo)'!$V$5*Model!$O$1579*AVERAGE('Assumptions (Geo)'!$K$2:$M$2)/10^9),0)</f>
        <v>0</v>
      </c>
      <c r="Y1700" s="160">
        <f>IF($O$1579&gt;0,IPMT('Assumptions (Geo)'!$V$7,Model!AG$1,'Assumptions (Geo)'!$V$10,'Assumptions (Geo)'!$V$5*Model!$O$1579*AVERAGE('Assumptions (Geo)'!$K$2:$M$2)/10^9),0)</f>
        <v>0</v>
      </c>
      <c r="Z1700" s="160">
        <f>IF($O$1579&gt;0,IPMT('Assumptions (Geo)'!$V$7,Model!AH$1,'Assumptions (Geo)'!$V$10,'Assumptions (Geo)'!$V$5*Model!$O$1579*AVERAGE('Assumptions (Geo)'!$K$2:$M$2)/10^9),0)</f>
        <v>0</v>
      </c>
      <c r="AA1700" s="160">
        <f>IF($O$1579&gt;0,IPMT('Assumptions (Geo)'!$V$7,Model!AI$1,'Assumptions (Geo)'!$V$10,'Assumptions (Geo)'!$V$5*Model!$O$1579*AVERAGE('Assumptions (Geo)'!$K$2:$M$2)/10^9),0)</f>
        <v>0</v>
      </c>
      <c r="AB1700" s="160">
        <f>IF($O$1579&gt;0,IPMT('Assumptions (Geo)'!$V$7,Model!AJ$1,'Assumptions (Geo)'!$V$10,'Assumptions (Geo)'!$V$5*Model!$O$1579*AVERAGE('Assumptions (Geo)'!$K$2:$M$2)/10^9),0)</f>
        <v>0</v>
      </c>
      <c r="AC1700" s="160">
        <f>IF($O$1579&gt;0,IPMT('Assumptions (Geo)'!$V$7,Model!AK$1,'Assumptions (Geo)'!$V$10,'Assumptions (Geo)'!$V$5*Model!$O$1579*AVERAGE('Assumptions (Geo)'!$K$2:$M$2)/10^9),0)</f>
        <v>0</v>
      </c>
      <c r="AD1700" s="160"/>
      <c r="AE1700" s="160"/>
      <c r="AF1700" s="160"/>
      <c r="AG1700" s="160"/>
      <c r="AH1700" s="160"/>
      <c r="AI1700" s="160"/>
      <c r="AJ1700" s="160"/>
      <c r="AK1700" s="160"/>
      <c r="AL1700" s="160"/>
      <c r="AM1700" s="160"/>
    </row>
    <row r="1701" ht="15.75" hidden="1" customHeight="1" outlineLevel="1">
      <c r="A1701" s="295"/>
      <c r="B1701" s="38"/>
      <c r="C1701" s="160"/>
      <c r="D1701" s="160"/>
      <c r="E1701" s="160"/>
      <c r="F1701" s="160"/>
      <c r="G1701" s="160"/>
      <c r="H1701" s="160"/>
      <c r="I1701" s="160"/>
      <c r="J1701" s="160"/>
      <c r="K1701" s="160"/>
      <c r="L1701" s="160"/>
      <c r="M1701" s="160"/>
      <c r="N1701" s="160"/>
      <c r="O1701" s="160"/>
      <c r="P1701" s="177">
        <f>IF($P$1579&gt;0,IPMT('Assumptions (Geo)'!$V$7,Model!W$1,'Assumptions (Geo)'!$V$10,'Assumptions (Geo)'!$V$5*Model!$P$1579*AVERAGE('Assumptions (Geo)'!$L$2:$N$2)/10^9),0)</f>
        <v>0</v>
      </c>
      <c r="Q1701" s="177">
        <f>IF($P$1579&gt;0,IPMT('Assumptions (Geo)'!$V$7,Model!X$1,'Assumptions (Geo)'!$V$10,'Assumptions (Geo)'!$V$5*Model!$P$1579*AVERAGE('Assumptions (Geo)'!$L$2:$N$2)/10^9),0)</f>
        <v>0</v>
      </c>
      <c r="R1701" s="177">
        <f>IF($P$1579&gt;0,IPMT('Assumptions (Geo)'!$V$7,Model!Y$1,'Assumptions (Geo)'!$V$10,'Assumptions (Geo)'!$V$5*Model!$P$1579*AVERAGE('Assumptions (Geo)'!$L$2:$N$2)/10^9),0)</f>
        <v>0</v>
      </c>
      <c r="S1701" s="177">
        <f>IF($P$1579&gt;0,IPMT('Assumptions (Geo)'!$V$7,Model!Z$1,'Assumptions (Geo)'!$V$10,'Assumptions (Geo)'!$V$5*Model!$P$1579*AVERAGE('Assumptions (Geo)'!$L$2:$N$2)/10^9),0)</f>
        <v>0</v>
      </c>
      <c r="T1701" s="177">
        <f>IF($P$1579&gt;0,IPMT('Assumptions (Geo)'!$V$7,Model!AA$1,'Assumptions (Geo)'!$V$10,'Assumptions (Geo)'!$V$5*Model!$P$1579*AVERAGE('Assumptions (Geo)'!$L$2:$N$2)/10^9),0)</f>
        <v>0</v>
      </c>
      <c r="U1701" s="177">
        <f>IF($P$1579&gt;0,IPMT('Assumptions (Geo)'!$V$7,Model!AB$1,'Assumptions (Geo)'!$V$10,'Assumptions (Geo)'!$V$5*Model!$P$1579*AVERAGE('Assumptions (Geo)'!$L$2:$N$2)/10^9),0)</f>
        <v>0</v>
      </c>
      <c r="V1701" s="177">
        <f>IF($P$1579&gt;0,IPMT('Assumptions (Geo)'!$V$7,Model!AC$1,'Assumptions (Geo)'!$V$10,'Assumptions (Geo)'!$V$5*Model!$P$1579*AVERAGE('Assumptions (Geo)'!$L$2:$N$2)/10^9),0)</f>
        <v>0</v>
      </c>
      <c r="W1701" s="177">
        <f>IF($P$1579&gt;0,IPMT('Assumptions (Geo)'!$V$7,Model!AD$1,'Assumptions (Geo)'!$V$10,'Assumptions (Geo)'!$V$5*Model!$P$1579*AVERAGE('Assumptions (Geo)'!$L$2:$N$2)/10^9),0)</f>
        <v>0</v>
      </c>
      <c r="X1701" s="177">
        <f>IF($P$1579&gt;0,IPMT('Assumptions (Geo)'!$V$7,Model!AE$1,'Assumptions (Geo)'!$V$10,'Assumptions (Geo)'!$V$5*Model!$P$1579*AVERAGE('Assumptions (Geo)'!$L$2:$N$2)/10^9),0)</f>
        <v>0</v>
      </c>
      <c r="Y1701" s="177">
        <f>IF($P$1579&gt;0,IPMT('Assumptions (Geo)'!$V$7,Model!AF$1,'Assumptions (Geo)'!$V$10,'Assumptions (Geo)'!$V$5*Model!$P$1579*AVERAGE('Assumptions (Geo)'!$L$2:$N$2)/10^9),0)</f>
        <v>0</v>
      </c>
      <c r="Z1701" s="177">
        <f>IF($P$1579&gt;0,IPMT('Assumptions (Geo)'!$V$7,Model!AG$1,'Assumptions (Geo)'!$V$10,'Assumptions (Geo)'!$V$5*Model!$P$1579*AVERAGE('Assumptions (Geo)'!$L$2:$N$2)/10^9),0)</f>
        <v>0</v>
      </c>
      <c r="AA1701" s="177">
        <f>IF($P$1579&gt;0,IPMT('Assumptions (Geo)'!$V$7,Model!AH$1,'Assumptions (Geo)'!$V$10,'Assumptions (Geo)'!$V$5*Model!$P$1579*AVERAGE('Assumptions (Geo)'!$L$2:$N$2)/10^9),0)</f>
        <v>0</v>
      </c>
      <c r="AB1701" s="177">
        <f>IF($P$1579&gt;0,IPMT('Assumptions (Geo)'!$V$7,Model!AI$1,'Assumptions (Geo)'!$V$10,'Assumptions (Geo)'!$V$5*Model!$P$1579*AVERAGE('Assumptions (Geo)'!$L$2:$N$2)/10^9),0)</f>
        <v>0</v>
      </c>
      <c r="AC1701" s="177">
        <f>IF($P$1579&gt;0,IPMT('Assumptions (Geo)'!$V$7,Model!AJ$1,'Assumptions (Geo)'!$V$10,'Assumptions (Geo)'!$V$5*Model!$P$1579*AVERAGE('Assumptions (Geo)'!$L$2:$N$2)/10^9),0)</f>
        <v>0</v>
      </c>
      <c r="AD1701" s="177">
        <f>IF($P$1579&gt;0,IPMT('Assumptions (Geo)'!$V$7,Model!AK$1,'Assumptions (Geo)'!$V$10,'Assumptions (Geo)'!$V$5*Model!$P$1579*AVERAGE('Assumptions (Geo)'!$L$2:$N$2)/10^9),0)</f>
        <v>0</v>
      </c>
      <c r="AE1701" s="177"/>
      <c r="AF1701" s="177"/>
      <c r="AG1701" s="177"/>
      <c r="AH1701" s="177"/>
      <c r="AI1701" s="177"/>
      <c r="AJ1701" s="177"/>
      <c r="AK1701" s="177"/>
      <c r="AL1701" s="177"/>
      <c r="AM1701" s="177"/>
      <c r="AN1701" s="177"/>
    </row>
    <row r="1702" ht="15.75" hidden="1" customHeight="1" outlineLevel="1">
      <c r="A1702" s="295"/>
      <c r="B1702" s="38"/>
      <c r="C1702" s="160"/>
      <c r="D1702" s="160"/>
      <c r="E1702" s="160"/>
      <c r="F1702" s="160"/>
      <c r="G1702" s="160"/>
      <c r="H1702" s="160"/>
      <c r="I1702" s="160"/>
      <c r="J1702" s="160"/>
      <c r="K1702" s="160"/>
      <c r="L1702" s="160"/>
      <c r="M1702" s="160"/>
      <c r="N1702" s="160"/>
      <c r="O1702" s="160"/>
      <c r="P1702" s="179"/>
      <c r="Q1702" s="160">
        <f>IF($Q$1579&gt;0,IPMT('Assumptions (Geo)'!$V$7,Model!W$1,'Assumptions (Geo)'!$V$10,'Assumptions (Geo)'!$V$5*Model!$Q$1579*AVERAGE('Assumptions (Geo)'!$M$2:$O$2)/10^9),0)</f>
        <v>0</v>
      </c>
      <c r="R1702" s="160">
        <f>IF($Q$1579&gt;0,IPMT('Assumptions (Geo)'!$V$7,Model!X$1,'Assumptions (Geo)'!$V$10,'Assumptions (Geo)'!$V$5*Model!$Q$1579*AVERAGE('Assumptions (Geo)'!$M$2:$O$2)/10^9),0)</f>
        <v>0</v>
      </c>
      <c r="S1702" s="160">
        <f>IF($Q$1579&gt;0,IPMT('Assumptions (Geo)'!$V$7,Model!Y$1,'Assumptions (Geo)'!$V$10,'Assumptions (Geo)'!$V$5*Model!$Q$1579*AVERAGE('Assumptions (Geo)'!$M$2:$O$2)/10^9),0)</f>
        <v>0</v>
      </c>
      <c r="T1702" s="160">
        <f>IF($Q$1579&gt;0,IPMT('Assumptions (Geo)'!$V$7,Model!Z$1,'Assumptions (Geo)'!$V$10,'Assumptions (Geo)'!$V$5*Model!$Q$1579*AVERAGE('Assumptions (Geo)'!$M$2:$O$2)/10^9),0)</f>
        <v>0</v>
      </c>
      <c r="U1702" s="160">
        <f>IF($Q$1579&gt;0,IPMT('Assumptions (Geo)'!$V$7,Model!AA$1,'Assumptions (Geo)'!$V$10,'Assumptions (Geo)'!$V$5*Model!$Q$1579*AVERAGE('Assumptions (Geo)'!$M$2:$O$2)/10^9),0)</f>
        <v>0</v>
      </c>
      <c r="V1702" s="160">
        <f>IF($Q$1579&gt;0,IPMT('Assumptions (Geo)'!$V$7,Model!AB$1,'Assumptions (Geo)'!$V$10,'Assumptions (Geo)'!$V$5*Model!$Q$1579*AVERAGE('Assumptions (Geo)'!$M$2:$O$2)/10^9),0)</f>
        <v>0</v>
      </c>
      <c r="W1702" s="160">
        <f>IF($Q$1579&gt;0,IPMT('Assumptions (Geo)'!$V$7,Model!AC$1,'Assumptions (Geo)'!$V$10,'Assumptions (Geo)'!$V$5*Model!$Q$1579*AVERAGE('Assumptions (Geo)'!$M$2:$O$2)/10^9),0)</f>
        <v>0</v>
      </c>
      <c r="X1702" s="160">
        <f>IF($Q$1579&gt;0,IPMT('Assumptions (Geo)'!$V$7,Model!AD$1,'Assumptions (Geo)'!$V$10,'Assumptions (Geo)'!$V$5*Model!$Q$1579*AVERAGE('Assumptions (Geo)'!$M$2:$O$2)/10^9),0)</f>
        <v>0</v>
      </c>
      <c r="Y1702" s="160">
        <f>IF($Q$1579&gt;0,IPMT('Assumptions (Geo)'!$V$7,Model!AE$1,'Assumptions (Geo)'!$V$10,'Assumptions (Geo)'!$V$5*Model!$Q$1579*AVERAGE('Assumptions (Geo)'!$M$2:$O$2)/10^9),0)</f>
        <v>0</v>
      </c>
      <c r="Z1702" s="160">
        <f>IF($Q$1579&gt;0,IPMT('Assumptions (Geo)'!$V$7,Model!AF$1,'Assumptions (Geo)'!$V$10,'Assumptions (Geo)'!$V$5*Model!$Q$1579*AVERAGE('Assumptions (Geo)'!$M$2:$O$2)/10^9),0)</f>
        <v>0</v>
      </c>
      <c r="AA1702" s="160">
        <f>IF($Q$1579&gt;0,IPMT('Assumptions (Geo)'!$V$7,Model!AG$1,'Assumptions (Geo)'!$V$10,'Assumptions (Geo)'!$V$5*Model!$Q$1579*AVERAGE('Assumptions (Geo)'!$M$2:$O$2)/10^9),0)</f>
        <v>0</v>
      </c>
      <c r="AB1702" s="160">
        <f>IF($Q$1579&gt;0,IPMT('Assumptions (Geo)'!$V$7,Model!AH$1,'Assumptions (Geo)'!$V$10,'Assumptions (Geo)'!$V$5*Model!$Q$1579*AVERAGE('Assumptions (Geo)'!$M$2:$O$2)/10^9),0)</f>
        <v>0</v>
      </c>
      <c r="AC1702" s="160">
        <f>IF($Q$1579&gt;0,IPMT('Assumptions (Geo)'!$V$7,Model!AI$1,'Assumptions (Geo)'!$V$10,'Assumptions (Geo)'!$V$5*Model!$Q$1579*AVERAGE('Assumptions (Geo)'!$M$2:$O$2)/10^9),0)</f>
        <v>0</v>
      </c>
      <c r="AD1702" s="160">
        <f>IF($Q$1579&gt;0,IPMT('Assumptions (Geo)'!$V$7,Model!AJ$1,'Assumptions (Geo)'!$V$10,'Assumptions (Geo)'!$V$5*Model!$Q$1579*AVERAGE('Assumptions (Geo)'!$M$2:$O$2)/10^9),0)</f>
        <v>0</v>
      </c>
      <c r="AE1702" s="160">
        <f>IF($Q$1579&gt;0,IPMT('Assumptions (Geo)'!$V$7,Model!AK$1,'Assumptions (Geo)'!$V$10,'Assumptions (Geo)'!$V$5*Model!$Q$1579*AVERAGE('Assumptions (Geo)'!$M$2:$O$2)/10^9),0)</f>
        <v>0</v>
      </c>
      <c r="AF1702" s="160"/>
      <c r="AG1702" s="160"/>
      <c r="AH1702" s="160"/>
      <c r="AI1702" s="160"/>
      <c r="AJ1702" s="160"/>
      <c r="AK1702" s="160"/>
      <c r="AL1702" s="160"/>
      <c r="AM1702" s="160"/>
      <c r="AN1702" s="160"/>
      <c r="AO1702" s="160"/>
    </row>
    <row r="1703" ht="15.75" hidden="1" customHeight="1" outlineLevel="1">
      <c r="A1703" s="295"/>
      <c r="B1703" s="38"/>
      <c r="C1703" s="160"/>
      <c r="D1703" s="160"/>
      <c r="E1703" s="160"/>
      <c r="F1703" s="160"/>
      <c r="G1703" s="160"/>
      <c r="H1703" s="160"/>
      <c r="I1703" s="160"/>
      <c r="J1703" s="160"/>
      <c r="K1703" s="160"/>
      <c r="L1703" s="160"/>
      <c r="M1703" s="160"/>
      <c r="N1703" s="160"/>
      <c r="O1703" s="160"/>
      <c r="P1703" s="179"/>
      <c r="Q1703" s="160"/>
      <c r="R1703" s="177">
        <f>IF($R$1579&gt;0,IPMT('Assumptions (Geo)'!$V$7,Model!W$1,'Assumptions (Geo)'!$V$10,'Assumptions (Geo)'!$V$5*Model!$R$1579*AVERAGE('Assumptions (Geo)'!$N$2:$P$2)/10^9),0)</f>
        <v>0</v>
      </c>
      <c r="S1703" s="177">
        <f>IF($R$1579&gt;0,IPMT('Assumptions (Geo)'!$V$7,Model!X$1,'Assumptions (Geo)'!$V$10,'Assumptions (Geo)'!$V$5*Model!$R$1579*AVERAGE('Assumptions (Geo)'!$N$2:$P$2)/10^9),0)</f>
        <v>0</v>
      </c>
      <c r="T1703" s="177">
        <f>IF($R$1579&gt;0,IPMT('Assumptions (Geo)'!$V$7,Model!Y$1,'Assumptions (Geo)'!$V$10,'Assumptions (Geo)'!$V$5*Model!$R$1579*AVERAGE('Assumptions (Geo)'!$N$2:$P$2)/10^9),0)</f>
        <v>0</v>
      </c>
      <c r="U1703" s="177">
        <f>IF($R$1579&gt;0,IPMT('Assumptions (Geo)'!$V$7,Model!Z$1,'Assumptions (Geo)'!$V$10,'Assumptions (Geo)'!$V$5*Model!$R$1579*AVERAGE('Assumptions (Geo)'!$N$2:$P$2)/10^9),0)</f>
        <v>0</v>
      </c>
      <c r="V1703" s="177">
        <f>IF($R$1579&gt;0,IPMT('Assumptions (Geo)'!$V$7,Model!AA$1,'Assumptions (Geo)'!$V$10,'Assumptions (Geo)'!$V$5*Model!$R$1579*AVERAGE('Assumptions (Geo)'!$N$2:$P$2)/10^9),0)</f>
        <v>0</v>
      </c>
      <c r="W1703" s="177">
        <f>IF($R$1579&gt;0,IPMT('Assumptions (Geo)'!$V$7,Model!AB$1,'Assumptions (Geo)'!$V$10,'Assumptions (Geo)'!$V$5*Model!$R$1579*AVERAGE('Assumptions (Geo)'!$N$2:$P$2)/10^9),0)</f>
        <v>0</v>
      </c>
      <c r="X1703" s="177">
        <f>IF($R$1579&gt;0,IPMT('Assumptions (Geo)'!$V$7,Model!AC$1,'Assumptions (Geo)'!$V$10,'Assumptions (Geo)'!$V$5*Model!$R$1579*AVERAGE('Assumptions (Geo)'!$N$2:$P$2)/10^9),0)</f>
        <v>0</v>
      </c>
      <c r="Y1703" s="177">
        <f>IF($R$1579&gt;0,IPMT('Assumptions (Geo)'!$V$7,Model!AD$1,'Assumptions (Geo)'!$V$10,'Assumptions (Geo)'!$V$5*Model!$R$1579*AVERAGE('Assumptions (Geo)'!$N$2:$P$2)/10^9),0)</f>
        <v>0</v>
      </c>
      <c r="Z1703" s="177">
        <f>IF($R$1579&gt;0,IPMT('Assumptions (Geo)'!$V$7,Model!AE$1,'Assumptions (Geo)'!$V$10,'Assumptions (Geo)'!$V$5*Model!$R$1579*AVERAGE('Assumptions (Geo)'!$N$2:$P$2)/10^9),0)</f>
        <v>0</v>
      </c>
      <c r="AA1703" s="177">
        <f>IF($R$1579&gt;0,IPMT('Assumptions (Geo)'!$V$7,Model!AF$1,'Assumptions (Geo)'!$V$10,'Assumptions (Geo)'!$V$5*Model!$R$1579*AVERAGE('Assumptions (Geo)'!$N$2:$P$2)/10^9),0)</f>
        <v>0</v>
      </c>
      <c r="AB1703" s="177">
        <f>IF($R$1579&gt;0,IPMT('Assumptions (Geo)'!$V$7,Model!AG$1,'Assumptions (Geo)'!$V$10,'Assumptions (Geo)'!$V$5*Model!$R$1579*AVERAGE('Assumptions (Geo)'!$N$2:$P$2)/10^9),0)</f>
        <v>0</v>
      </c>
      <c r="AC1703" s="177">
        <f>IF($R$1579&gt;0,IPMT('Assumptions (Geo)'!$V$7,Model!AH$1,'Assumptions (Geo)'!$V$10,'Assumptions (Geo)'!$V$5*Model!$R$1579*AVERAGE('Assumptions (Geo)'!$N$2:$P$2)/10^9),0)</f>
        <v>0</v>
      </c>
      <c r="AD1703" s="177">
        <f>IF($R$1579&gt;0,IPMT('Assumptions (Geo)'!$V$7,Model!AI$1,'Assumptions (Geo)'!$V$10,'Assumptions (Geo)'!$V$5*Model!$R$1579*AVERAGE('Assumptions (Geo)'!$N$2:$P$2)/10^9),0)</f>
        <v>0</v>
      </c>
      <c r="AE1703" s="177">
        <f>IF($R$1579&gt;0,IPMT('Assumptions (Geo)'!$V$7,Model!AJ$1,'Assumptions (Geo)'!$V$10,'Assumptions (Geo)'!$V$5*Model!$R$1579*AVERAGE('Assumptions (Geo)'!$N$2:$P$2)/10^9),0)</f>
        <v>0</v>
      </c>
      <c r="AF1703" s="177">
        <f>IF($R$1579&gt;0,IPMT('Assumptions (Geo)'!$V$7,Model!AK$1,'Assumptions (Geo)'!$V$10,'Assumptions (Geo)'!$V$5*Model!$R$1579*AVERAGE('Assumptions (Geo)'!$N$2:$P$2)/10^9),0)</f>
        <v>0</v>
      </c>
      <c r="AG1703" s="177"/>
      <c r="AH1703" s="177"/>
      <c r="AI1703" s="177"/>
      <c r="AJ1703" s="177"/>
      <c r="AK1703" s="177"/>
      <c r="AL1703" s="177"/>
      <c r="AM1703" s="177"/>
      <c r="AN1703" s="177"/>
      <c r="AO1703" s="177"/>
      <c r="AP1703" s="177"/>
    </row>
    <row r="1704" ht="15.75" hidden="1" customHeight="1" outlineLevel="1">
      <c r="A1704" s="295"/>
      <c r="B1704" s="38"/>
      <c r="C1704" s="160"/>
      <c r="D1704" s="160"/>
      <c r="E1704" s="160"/>
      <c r="F1704" s="160"/>
      <c r="G1704" s="160"/>
      <c r="H1704" s="160"/>
      <c r="I1704" s="160"/>
      <c r="J1704" s="160"/>
      <c r="K1704" s="160"/>
      <c r="L1704" s="160"/>
      <c r="M1704" s="160"/>
      <c r="N1704" s="160"/>
      <c r="O1704" s="160"/>
      <c r="P1704" s="179"/>
      <c r="Q1704" s="160"/>
      <c r="R1704" s="177"/>
      <c r="S1704" s="160">
        <f>IF($S$1579&gt;0,IPMT('Assumptions (Geo)'!$V$7,Model!W$1,'Assumptions (Geo)'!$V$10,'Assumptions (Geo)'!$V$5*Model!$S$1579*AVERAGE('Assumptions (Geo)'!$O$2:$Q$2)/10^9),0)</f>
        <v>0</v>
      </c>
      <c r="T1704" s="160">
        <f>IF($S$1579&gt;0,IPMT('Assumptions (Geo)'!$V$7,Model!X$1,'Assumptions (Geo)'!$V$10,'Assumptions (Geo)'!$V$5*Model!$S$1579*AVERAGE('Assumptions (Geo)'!$O$2:$Q$2)/10^9),0)</f>
        <v>0</v>
      </c>
      <c r="U1704" s="160">
        <f>IF($S$1579&gt;0,IPMT('Assumptions (Geo)'!$V$7,Model!Y$1,'Assumptions (Geo)'!$V$10,'Assumptions (Geo)'!$V$5*Model!$S$1579*AVERAGE('Assumptions (Geo)'!$O$2:$Q$2)/10^9),0)</f>
        <v>0</v>
      </c>
      <c r="V1704" s="160">
        <f>IF($S$1579&gt;0,IPMT('Assumptions (Geo)'!$V$7,Model!Z$1,'Assumptions (Geo)'!$V$10,'Assumptions (Geo)'!$V$5*Model!$S$1579*AVERAGE('Assumptions (Geo)'!$O$2:$Q$2)/10^9),0)</f>
        <v>0</v>
      </c>
      <c r="W1704" s="160">
        <f>IF($S$1579&gt;0,IPMT('Assumptions (Geo)'!$V$7,Model!AA$1,'Assumptions (Geo)'!$V$10,'Assumptions (Geo)'!$V$5*Model!$S$1579*AVERAGE('Assumptions (Geo)'!$O$2:$Q$2)/10^9),0)</f>
        <v>0</v>
      </c>
      <c r="X1704" s="160">
        <f>IF($S$1579&gt;0,IPMT('Assumptions (Geo)'!$V$7,Model!AB$1,'Assumptions (Geo)'!$V$10,'Assumptions (Geo)'!$V$5*Model!$S$1579*AVERAGE('Assumptions (Geo)'!$O$2:$Q$2)/10^9),0)</f>
        <v>0</v>
      </c>
      <c r="Y1704" s="160">
        <f>IF($S$1579&gt;0,IPMT('Assumptions (Geo)'!$V$7,Model!AC$1,'Assumptions (Geo)'!$V$10,'Assumptions (Geo)'!$V$5*Model!$S$1579*AVERAGE('Assumptions (Geo)'!$O$2:$Q$2)/10^9),0)</f>
        <v>0</v>
      </c>
      <c r="Z1704" s="160">
        <f>IF($S$1579&gt;0,IPMT('Assumptions (Geo)'!$V$7,Model!AD$1,'Assumptions (Geo)'!$V$10,'Assumptions (Geo)'!$V$5*Model!$S$1579*AVERAGE('Assumptions (Geo)'!$O$2:$Q$2)/10^9),0)</f>
        <v>0</v>
      </c>
      <c r="AA1704" s="160">
        <f>IF($S$1579&gt;0,IPMT('Assumptions (Geo)'!$V$7,Model!AE$1,'Assumptions (Geo)'!$V$10,'Assumptions (Geo)'!$V$5*Model!$S$1579*AVERAGE('Assumptions (Geo)'!$O$2:$Q$2)/10^9),0)</f>
        <v>0</v>
      </c>
      <c r="AB1704" s="160">
        <f>IF($S$1579&gt;0,IPMT('Assumptions (Geo)'!$V$7,Model!AF$1,'Assumptions (Geo)'!$V$10,'Assumptions (Geo)'!$V$5*Model!$S$1579*AVERAGE('Assumptions (Geo)'!$O$2:$Q$2)/10^9),0)</f>
        <v>0</v>
      </c>
      <c r="AC1704" s="160">
        <f>IF($S$1579&gt;0,IPMT('Assumptions (Geo)'!$V$7,Model!AG$1,'Assumptions (Geo)'!$V$10,'Assumptions (Geo)'!$V$5*Model!$S$1579*AVERAGE('Assumptions (Geo)'!$O$2:$Q$2)/10^9),0)</f>
        <v>0</v>
      </c>
      <c r="AD1704" s="160">
        <f>IF($S$1579&gt;0,IPMT('Assumptions (Geo)'!$V$7,Model!AH$1,'Assumptions (Geo)'!$V$10,'Assumptions (Geo)'!$V$5*Model!$S$1579*AVERAGE('Assumptions (Geo)'!$O$2:$Q$2)/10^9),0)</f>
        <v>0</v>
      </c>
      <c r="AE1704" s="160">
        <f>IF($S$1579&gt;0,IPMT('Assumptions (Geo)'!$V$7,Model!AI$1,'Assumptions (Geo)'!$V$10,'Assumptions (Geo)'!$V$5*Model!$S$1579*AVERAGE('Assumptions (Geo)'!$O$2:$Q$2)/10^9),0)</f>
        <v>0</v>
      </c>
      <c r="AF1704" s="160">
        <f>IF($S$1579&gt;0,IPMT('Assumptions (Geo)'!$V$7,Model!AJ$1,'Assumptions (Geo)'!$V$10,'Assumptions (Geo)'!$V$5*Model!$S$1579*AVERAGE('Assumptions (Geo)'!$O$2:$Q$2)/10^9),0)</f>
        <v>0</v>
      </c>
      <c r="AG1704" s="160">
        <f>IF($S$1579&gt;0,IPMT('Assumptions (Geo)'!$V$7,Model!AK$1,'Assumptions (Geo)'!$V$10,'Assumptions (Geo)'!$V$5*Model!$S$1579*AVERAGE('Assumptions (Geo)'!$O$2:$Q$2)/10^9),0)</f>
        <v>0</v>
      </c>
      <c r="AH1704" s="160"/>
      <c r="AI1704" s="160"/>
      <c r="AJ1704" s="160"/>
      <c r="AK1704" s="160"/>
      <c r="AL1704" s="160"/>
      <c r="AM1704" s="160"/>
      <c r="AN1704" s="160"/>
      <c r="AO1704" s="160"/>
      <c r="AP1704" s="160"/>
      <c r="AQ1704" s="160"/>
    </row>
    <row r="1705" ht="15.75" hidden="1" customHeight="1" outlineLevel="1">
      <c r="A1705" s="295"/>
      <c r="B1705" s="38"/>
      <c r="C1705" s="160"/>
      <c r="D1705" s="160"/>
      <c r="E1705" s="160"/>
      <c r="F1705" s="160"/>
      <c r="G1705" s="160"/>
      <c r="H1705" s="160"/>
      <c r="I1705" s="160"/>
      <c r="J1705" s="160"/>
      <c r="K1705" s="160"/>
      <c r="L1705" s="160"/>
      <c r="M1705" s="160"/>
      <c r="N1705" s="160"/>
      <c r="O1705" s="160"/>
      <c r="P1705" s="179"/>
      <c r="Q1705" s="160"/>
      <c r="R1705" s="177"/>
      <c r="S1705" s="177"/>
      <c r="T1705" s="160">
        <f>IF($T$1579&gt;0,IPMT('Assumptions (Geo)'!$V$7,Model!W$1,'Assumptions (Geo)'!$V$10,'Assumptions (Geo)'!$V$5*Model!$T$1579*AVERAGE('Assumptions (Geo)'!$P$2:$R$2)/10^9),0)</f>
        <v>0</v>
      </c>
      <c r="U1705" s="160">
        <f>IF($T$1579&gt;0,IPMT('Assumptions (Geo)'!$V$7,Model!X$1,'Assumptions (Geo)'!$V$10,'Assumptions (Geo)'!$V$5*Model!$T$1579*AVERAGE('Assumptions (Geo)'!$P$2:$R$2)/10^9),0)</f>
        <v>0</v>
      </c>
      <c r="V1705" s="160">
        <f>IF($T$1579&gt;0,IPMT('Assumptions (Geo)'!$V$7,Model!Y$1,'Assumptions (Geo)'!$V$10,'Assumptions (Geo)'!$V$5*Model!$T$1579*AVERAGE('Assumptions (Geo)'!$P$2:$R$2)/10^9),0)</f>
        <v>0</v>
      </c>
      <c r="W1705" s="160">
        <f>IF($T$1579&gt;0,IPMT('Assumptions (Geo)'!$V$7,Model!Z$1,'Assumptions (Geo)'!$V$10,'Assumptions (Geo)'!$V$5*Model!$T$1579*AVERAGE('Assumptions (Geo)'!$P$2:$R$2)/10^9),0)</f>
        <v>0</v>
      </c>
      <c r="X1705" s="160">
        <f>IF($T$1579&gt;0,IPMT('Assumptions (Geo)'!$V$7,Model!AA$1,'Assumptions (Geo)'!$V$10,'Assumptions (Geo)'!$V$5*Model!$T$1579*AVERAGE('Assumptions (Geo)'!$P$2:$R$2)/10^9),0)</f>
        <v>0</v>
      </c>
      <c r="Y1705" s="160">
        <f>IF($T$1579&gt;0,IPMT('Assumptions (Geo)'!$V$7,Model!AB$1,'Assumptions (Geo)'!$V$10,'Assumptions (Geo)'!$V$5*Model!$T$1579*AVERAGE('Assumptions (Geo)'!$P$2:$R$2)/10^9),0)</f>
        <v>0</v>
      </c>
      <c r="Z1705" s="160">
        <f>IF($T$1579&gt;0,IPMT('Assumptions (Geo)'!$V$7,Model!AC$1,'Assumptions (Geo)'!$V$10,'Assumptions (Geo)'!$V$5*Model!$T$1579*AVERAGE('Assumptions (Geo)'!$P$2:$R$2)/10^9),0)</f>
        <v>0</v>
      </c>
      <c r="AA1705" s="160">
        <f>IF($T$1579&gt;0,IPMT('Assumptions (Geo)'!$V$7,Model!AD$1,'Assumptions (Geo)'!$V$10,'Assumptions (Geo)'!$V$5*Model!$T$1579*AVERAGE('Assumptions (Geo)'!$P$2:$R$2)/10^9),0)</f>
        <v>0</v>
      </c>
      <c r="AB1705" s="160">
        <f>IF($T$1579&gt;0,IPMT('Assumptions (Geo)'!$V$7,Model!AE$1,'Assumptions (Geo)'!$V$10,'Assumptions (Geo)'!$V$5*Model!$T$1579*AVERAGE('Assumptions (Geo)'!$P$2:$R$2)/10^9),0)</f>
        <v>0</v>
      </c>
      <c r="AC1705" s="160">
        <f>IF($T$1579&gt;0,IPMT('Assumptions (Geo)'!$V$7,Model!AF$1,'Assumptions (Geo)'!$V$10,'Assumptions (Geo)'!$V$5*Model!$T$1579*AVERAGE('Assumptions (Geo)'!$P$2:$R$2)/10^9),0)</f>
        <v>0</v>
      </c>
      <c r="AD1705" s="160">
        <f>IF($T$1579&gt;0,IPMT('Assumptions (Geo)'!$V$7,Model!AG$1,'Assumptions (Geo)'!$V$10,'Assumptions (Geo)'!$V$5*Model!$T$1579*AVERAGE('Assumptions (Geo)'!$P$2:$R$2)/10^9),0)</f>
        <v>0</v>
      </c>
      <c r="AE1705" s="160">
        <f>IF($T$1579&gt;0,IPMT('Assumptions (Geo)'!$V$7,Model!AH$1,'Assumptions (Geo)'!$V$10,'Assumptions (Geo)'!$V$5*Model!$T$1579*AVERAGE('Assumptions (Geo)'!$P$2:$R$2)/10^9),0)</f>
        <v>0</v>
      </c>
      <c r="AF1705" s="160">
        <f>IF($T$1579&gt;0,IPMT('Assumptions (Geo)'!$V$7,Model!AI$1,'Assumptions (Geo)'!$V$10,'Assumptions (Geo)'!$V$5*Model!$T$1579*AVERAGE('Assumptions (Geo)'!$P$2:$R$2)/10^9),0)</f>
        <v>0</v>
      </c>
      <c r="AG1705" s="160">
        <f>IF($T$1579&gt;0,IPMT('Assumptions (Geo)'!$V$7,Model!AJ$1,'Assumptions (Geo)'!$V$10,'Assumptions (Geo)'!$V$5*Model!$T$1579*AVERAGE('Assumptions (Geo)'!$P$2:$R$2)/10^9),0)</f>
        <v>0</v>
      </c>
      <c r="AH1705" s="160">
        <f>IF($T$1579&gt;0,IPMT('Assumptions (Geo)'!$V$7,Model!AK$1,'Assumptions (Geo)'!$V$10,'Assumptions (Geo)'!$V$5*Model!$T$1579*AVERAGE('Assumptions (Geo)'!$P$2:$R$2)/10^9),0)</f>
        <v>0</v>
      </c>
      <c r="AI1705" s="160"/>
      <c r="AJ1705" s="160"/>
      <c r="AK1705" s="160"/>
      <c r="AL1705" s="160"/>
      <c r="AM1705" s="160"/>
      <c r="AN1705" s="160"/>
      <c r="AO1705" s="160"/>
      <c r="AP1705" s="160"/>
      <c r="AQ1705" s="160"/>
      <c r="AR1705" s="160"/>
    </row>
    <row r="1706" ht="15.75" hidden="1" customHeight="1" outlineLevel="1">
      <c r="A1706" s="295"/>
      <c r="B1706" s="38"/>
      <c r="C1706" s="160"/>
      <c r="D1706" s="160"/>
      <c r="E1706" s="160"/>
      <c r="F1706" s="160"/>
      <c r="G1706" s="160"/>
      <c r="H1706" s="160"/>
      <c r="I1706" s="160"/>
      <c r="J1706" s="160"/>
      <c r="K1706" s="160"/>
      <c r="L1706" s="160"/>
      <c r="M1706" s="160"/>
      <c r="N1706" s="160"/>
      <c r="O1706" s="160"/>
      <c r="P1706" s="179"/>
      <c r="Q1706" s="160"/>
      <c r="R1706" s="177"/>
      <c r="S1706" s="177"/>
      <c r="T1706" s="177"/>
      <c r="U1706" s="160">
        <f>IF($U$1579&gt;0,IPMT('Assumptions (Geo)'!$V$7,Model!W$1,'Assumptions (Geo)'!$V$10,'Assumptions (Geo)'!$V$5*Model!$U$1579*AVERAGE('Assumptions (Geo)'!$Q$2:$S$2)/10^9),0)</f>
        <v>0</v>
      </c>
      <c r="V1706" s="160">
        <f>IF($U$1579&gt;0,IPMT('Assumptions (Geo)'!$V$7,Model!X$1,'Assumptions (Geo)'!$V$10,'Assumptions (Geo)'!$V$5*Model!$U$1579*AVERAGE('Assumptions (Geo)'!$Q$2:$S$2)/10^9),0)</f>
        <v>0</v>
      </c>
      <c r="W1706" s="160">
        <f>IF($U$1579&gt;0,IPMT('Assumptions (Geo)'!$V$7,Model!Y$1,'Assumptions (Geo)'!$V$10,'Assumptions (Geo)'!$V$5*Model!$U$1579*AVERAGE('Assumptions (Geo)'!$Q$2:$S$2)/10^9),0)</f>
        <v>0</v>
      </c>
      <c r="X1706" s="160">
        <f>IF($U$1579&gt;0,IPMT('Assumptions (Geo)'!$V$7,Model!Z$1,'Assumptions (Geo)'!$V$10,'Assumptions (Geo)'!$V$5*Model!$U$1579*AVERAGE('Assumptions (Geo)'!$Q$2:$S$2)/10^9),0)</f>
        <v>0</v>
      </c>
      <c r="Y1706" s="160">
        <f>IF($U$1579&gt;0,IPMT('Assumptions (Geo)'!$V$7,Model!AA$1,'Assumptions (Geo)'!$V$10,'Assumptions (Geo)'!$V$5*Model!$U$1579*AVERAGE('Assumptions (Geo)'!$Q$2:$S$2)/10^9),0)</f>
        <v>0</v>
      </c>
      <c r="Z1706" s="160">
        <f>IF($U$1579&gt;0,IPMT('Assumptions (Geo)'!$V$7,Model!AB$1,'Assumptions (Geo)'!$V$10,'Assumptions (Geo)'!$V$5*Model!$U$1579*AVERAGE('Assumptions (Geo)'!$Q$2:$S$2)/10^9),0)</f>
        <v>0</v>
      </c>
      <c r="AA1706" s="160">
        <f>IF($U$1579&gt;0,IPMT('Assumptions (Geo)'!$V$7,Model!AC$1,'Assumptions (Geo)'!$V$10,'Assumptions (Geo)'!$V$5*Model!$U$1579*AVERAGE('Assumptions (Geo)'!$Q$2:$S$2)/10^9),0)</f>
        <v>0</v>
      </c>
      <c r="AB1706" s="160">
        <f>IF($U$1579&gt;0,IPMT('Assumptions (Geo)'!$V$7,Model!AD$1,'Assumptions (Geo)'!$V$10,'Assumptions (Geo)'!$V$5*Model!$U$1579*AVERAGE('Assumptions (Geo)'!$Q$2:$S$2)/10^9),0)</f>
        <v>0</v>
      </c>
      <c r="AC1706" s="160">
        <f>IF($U$1579&gt;0,IPMT('Assumptions (Geo)'!$V$7,Model!AE$1,'Assumptions (Geo)'!$V$10,'Assumptions (Geo)'!$V$5*Model!$U$1579*AVERAGE('Assumptions (Geo)'!$Q$2:$S$2)/10^9),0)</f>
        <v>0</v>
      </c>
      <c r="AD1706" s="160">
        <f>IF($U$1579&gt;0,IPMT('Assumptions (Geo)'!$V$7,Model!AF$1,'Assumptions (Geo)'!$V$10,'Assumptions (Geo)'!$V$5*Model!$U$1579*AVERAGE('Assumptions (Geo)'!$Q$2:$S$2)/10^9),0)</f>
        <v>0</v>
      </c>
      <c r="AE1706" s="160">
        <f>IF($U$1579&gt;0,IPMT('Assumptions (Geo)'!$V$7,Model!AG$1,'Assumptions (Geo)'!$V$10,'Assumptions (Geo)'!$V$5*Model!$U$1579*AVERAGE('Assumptions (Geo)'!$Q$2:$S$2)/10^9),0)</f>
        <v>0</v>
      </c>
      <c r="AF1706" s="160">
        <f>IF($U$1579&gt;0,IPMT('Assumptions (Geo)'!$V$7,Model!AH$1,'Assumptions (Geo)'!$V$10,'Assumptions (Geo)'!$V$5*Model!$U$1579*AVERAGE('Assumptions (Geo)'!$Q$2:$S$2)/10^9),0)</f>
        <v>0</v>
      </c>
      <c r="AG1706" s="160">
        <f>IF($U$1579&gt;0,IPMT('Assumptions (Geo)'!$V$7,Model!AI$1,'Assumptions (Geo)'!$V$10,'Assumptions (Geo)'!$V$5*Model!$U$1579*AVERAGE('Assumptions (Geo)'!$Q$2:$S$2)/10^9),0)</f>
        <v>0</v>
      </c>
      <c r="AH1706" s="160">
        <f>IF($U$1579&gt;0,IPMT('Assumptions (Geo)'!$V$7,Model!AJ$1,'Assumptions (Geo)'!$V$10,'Assumptions (Geo)'!$V$5*Model!$U$1579*AVERAGE('Assumptions (Geo)'!$Q$2:$S$2)/10^9),0)</f>
        <v>0</v>
      </c>
      <c r="AI1706" s="160">
        <f>IF($U$1579&gt;0,IPMT('Assumptions (Geo)'!$V$7,Model!AK$1,'Assumptions (Geo)'!$V$10,'Assumptions (Geo)'!$V$5*Model!$U$1579*AVERAGE('Assumptions (Geo)'!$Q$2:$S$2)/10^9),0)</f>
        <v>0</v>
      </c>
      <c r="AJ1706" s="160"/>
      <c r="AK1706" s="160"/>
      <c r="AL1706" s="160"/>
      <c r="AM1706" s="160"/>
      <c r="AN1706" s="160"/>
      <c r="AO1706" s="160"/>
      <c r="AP1706" s="160"/>
      <c r="AQ1706" s="160"/>
      <c r="AR1706" s="160"/>
      <c r="AS1706" s="160"/>
    </row>
    <row r="1707" ht="15.75" hidden="1" customHeight="1" outlineLevel="1">
      <c r="A1707" s="295"/>
      <c r="B1707" s="38"/>
      <c r="C1707" s="160"/>
      <c r="D1707" s="160"/>
      <c r="E1707" s="160"/>
      <c r="F1707" s="160"/>
      <c r="G1707" s="160"/>
      <c r="H1707" s="160"/>
      <c r="I1707" s="160"/>
      <c r="J1707" s="160"/>
      <c r="K1707" s="160"/>
      <c r="L1707" s="160"/>
      <c r="M1707" s="160"/>
      <c r="N1707" s="160"/>
      <c r="O1707" s="160"/>
      <c r="P1707" s="179"/>
      <c r="Q1707" s="160"/>
      <c r="R1707" s="177"/>
      <c r="S1707" s="177"/>
      <c r="T1707" s="177"/>
      <c r="U1707" s="160"/>
      <c r="V1707" s="160">
        <f>IF($V$1579&gt;0,IPMT('Assumptions (Geo)'!$V$7,Model!W$1,'Assumptions (Geo)'!$V$10,'Assumptions (Geo)'!$V$5*Model!$V$1579*AVERAGE('Assumptions (Geo)'!$R$2:$T$2)/10^9),0)</f>
        <v>0</v>
      </c>
      <c r="W1707" s="160">
        <f>IF($V$1579&gt;0,IPMT('Assumptions (Geo)'!$V$7,Model!X$1,'Assumptions (Geo)'!$V$10,'Assumptions (Geo)'!$V$5*Model!$V$1579*AVERAGE('Assumptions (Geo)'!$R$2:$T$2)/10^9),0)</f>
        <v>0</v>
      </c>
      <c r="X1707" s="160">
        <f>IF($V$1579&gt;0,IPMT('Assumptions (Geo)'!$V$7,Model!Y$1,'Assumptions (Geo)'!$V$10,'Assumptions (Geo)'!$V$5*Model!$V$1579*AVERAGE('Assumptions (Geo)'!$R$2:$T$2)/10^9),0)</f>
        <v>0</v>
      </c>
      <c r="Y1707" s="160">
        <f>IF($V$1579&gt;0,IPMT('Assumptions (Geo)'!$V$7,Model!Z$1,'Assumptions (Geo)'!$V$10,'Assumptions (Geo)'!$V$5*Model!$V$1579*AVERAGE('Assumptions (Geo)'!$R$2:$T$2)/10^9),0)</f>
        <v>0</v>
      </c>
      <c r="Z1707" s="160">
        <f>IF($V$1579&gt;0,IPMT('Assumptions (Geo)'!$V$7,Model!AA$1,'Assumptions (Geo)'!$V$10,'Assumptions (Geo)'!$V$5*Model!$V$1579*AVERAGE('Assumptions (Geo)'!$R$2:$T$2)/10^9),0)</f>
        <v>0</v>
      </c>
      <c r="AA1707" s="160">
        <f>IF($V$1579&gt;0,IPMT('Assumptions (Geo)'!$V$7,Model!AB$1,'Assumptions (Geo)'!$V$10,'Assumptions (Geo)'!$V$5*Model!$V$1579*AVERAGE('Assumptions (Geo)'!$R$2:$T$2)/10^9),0)</f>
        <v>0</v>
      </c>
      <c r="AB1707" s="160">
        <f>IF($V$1579&gt;0,IPMT('Assumptions (Geo)'!$V$7,Model!AC$1,'Assumptions (Geo)'!$V$10,'Assumptions (Geo)'!$V$5*Model!$V$1579*AVERAGE('Assumptions (Geo)'!$R$2:$T$2)/10^9),0)</f>
        <v>0</v>
      </c>
      <c r="AC1707" s="160">
        <f>IF($V$1579&gt;0,IPMT('Assumptions (Geo)'!$V$7,Model!AD$1,'Assumptions (Geo)'!$V$10,'Assumptions (Geo)'!$V$5*Model!$V$1579*AVERAGE('Assumptions (Geo)'!$R$2:$T$2)/10^9),0)</f>
        <v>0</v>
      </c>
      <c r="AD1707" s="160">
        <f>IF($V$1579&gt;0,IPMT('Assumptions (Geo)'!$V$7,Model!AE$1,'Assumptions (Geo)'!$V$10,'Assumptions (Geo)'!$V$5*Model!$V$1579*AVERAGE('Assumptions (Geo)'!$R$2:$T$2)/10^9),0)</f>
        <v>0</v>
      </c>
      <c r="AE1707" s="160">
        <f>IF($V$1579&gt;0,IPMT('Assumptions (Geo)'!$V$7,Model!AF$1,'Assumptions (Geo)'!$V$10,'Assumptions (Geo)'!$V$5*Model!$V$1579*AVERAGE('Assumptions (Geo)'!$R$2:$T$2)/10^9),0)</f>
        <v>0</v>
      </c>
      <c r="AF1707" s="160">
        <f>IF($V$1579&gt;0,IPMT('Assumptions (Geo)'!$V$7,Model!AG$1,'Assumptions (Geo)'!$V$10,'Assumptions (Geo)'!$V$5*Model!$V$1579*AVERAGE('Assumptions (Geo)'!$R$2:$T$2)/10^9),0)</f>
        <v>0</v>
      </c>
      <c r="AG1707" s="160">
        <f>IF($V$1579&gt;0,IPMT('Assumptions (Geo)'!$V$7,Model!AH$1,'Assumptions (Geo)'!$V$10,'Assumptions (Geo)'!$V$5*Model!$V$1579*AVERAGE('Assumptions (Geo)'!$R$2:$T$2)/10^9),0)</f>
        <v>0</v>
      </c>
      <c r="AH1707" s="160">
        <f>IF($V$1579&gt;0,IPMT('Assumptions (Geo)'!$V$7,Model!AI$1,'Assumptions (Geo)'!$V$10,'Assumptions (Geo)'!$V$5*Model!$V$1579*AVERAGE('Assumptions (Geo)'!$R$2:$T$2)/10^9),0)</f>
        <v>0</v>
      </c>
      <c r="AI1707" s="160">
        <f>IF($V$1579&gt;0,IPMT('Assumptions (Geo)'!$V$7,Model!AJ$1,'Assumptions (Geo)'!$V$10,'Assumptions (Geo)'!$V$5*Model!$V$1579*AVERAGE('Assumptions (Geo)'!$R$2:$T$2)/10^9),0)</f>
        <v>0</v>
      </c>
      <c r="AJ1707" s="160">
        <f>IF($V$1579&gt;0,IPMT('Assumptions (Geo)'!$V$7,Model!AK$1,'Assumptions (Geo)'!$V$10,'Assumptions (Geo)'!$V$5*Model!$V$1579*AVERAGE('Assumptions (Geo)'!$R$2:$T$2)/10^9),0)</f>
        <v>0</v>
      </c>
      <c r="AK1707" s="160"/>
      <c r="AL1707" s="160"/>
      <c r="AM1707" s="160"/>
      <c r="AN1707" s="160"/>
      <c r="AO1707" s="160"/>
      <c r="AP1707" s="160"/>
      <c r="AQ1707" s="160"/>
      <c r="AR1707" s="160"/>
      <c r="AS1707" s="160"/>
      <c r="AT1707" s="160"/>
    </row>
    <row r="1708" ht="15.75" hidden="1" customHeight="1" outlineLevel="1">
      <c r="A1708" s="295"/>
      <c r="B1708" s="38"/>
      <c r="C1708" s="174"/>
      <c r="D1708" s="174"/>
      <c r="E1708" s="174"/>
      <c r="F1708" s="174"/>
      <c r="G1708" s="174"/>
      <c r="H1708" s="174"/>
      <c r="I1708" s="174"/>
      <c r="J1708" s="174"/>
      <c r="K1708" s="174"/>
      <c r="L1708" s="174"/>
      <c r="M1708" s="174"/>
      <c r="N1708" s="174"/>
      <c r="O1708" s="174"/>
      <c r="P1708" s="174"/>
      <c r="Q1708" s="174"/>
      <c r="R1708" s="174"/>
      <c r="S1708" s="174"/>
      <c r="T1708" s="174"/>
      <c r="U1708" s="174"/>
      <c r="V1708" s="174"/>
      <c r="W1708" s="160">
        <f>IF($W$1579&gt;0,IPMT('Assumptions (Geo)'!$V$7,Model!W$1,'Assumptions (Geo)'!$V$10,'Assumptions (Geo)'!$V$5*Model!$W$1579*average('Assumptions (Geo)'!$S$2:$U$2)/10^9),0)</f>
        <v>0</v>
      </c>
      <c r="X1708" s="160">
        <f>IF($W$1579&gt;0,IPMT('Assumptions (Geo)'!$V$7,Model!X$1,'Assumptions (Geo)'!$V$10,'Assumptions (Geo)'!$V$5*Model!$W$1579*average('Assumptions (Geo)'!$S$2:$U$2)/10^9),0)</f>
        <v>0</v>
      </c>
      <c r="Y1708" s="160">
        <f>IF($W$1579&gt;0,IPMT('Assumptions (Geo)'!$V$7,Model!Y$1,'Assumptions (Geo)'!$V$10,'Assumptions (Geo)'!$V$5*Model!$W$1579*average('Assumptions (Geo)'!$S$2:$U$2)/10^9),0)</f>
        <v>0</v>
      </c>
      <c r="Z1708" s="160">
        <f>IF($W$1579&gt;0,IPMT('Assumptions (Geo)'!$V$7,Model!Z$1,'Assumptions (Geo)'!$V$10,'Assumptions (Geo)'!$V$5*Model!$W$1579*average('Assumptions (Geo)'!$S$2:$U$2)/10^9),0)</f>
        <v>0</v>
      </c>
      <c r="AA1708" s="160">
        <f>IF($W$1579&gt;0,IPMT('Assumptions (Geo)'!$V$7,Model!AA$1,'Assumptions (Geo)'!$V$10,'Assumptions (Geo)'!$V$5*Model!$W$1579*average('Assumptions (Geo)'!$S$2:$U$2)/10^9),0)</f>
        <v>0</v>
      </c>
      <c r="AB1708" s="160">
        <f>IF($W$1579&gt;0,IPMT('Assumptions (Geo)'!$V$7,Model!AB$1,'Assumptions (Geo)'!$V$10,'Assumptions (Geo)'!$V$5*Model!$W$1579*average('Assumptions (Geo)'!$S$2:$U$2)/10^9),0)</f>
        <v>0</v>
      </c>
      <c r="AC1708" s="160">
        <f>IF($W$1579&gt;0,IPMT('Assumptions (Geo)'!$V$7,Model!AC$1,'Assumptions (Geo)'!$V$10,'Assumptions (Geo)'!$V$5*Model!$W$1579*average('Assumptions (Geo)'!$S$2:$U$2)/10^9),0)</f>
        <v>0</v>
      </c>
      <c r="AD1708" s="160">
        <f>IF($W$1579&gt;0,IPMT('Assumptions (Geo)'!$V$7,Model!AD$1,'Assumptions (Geo)'!$V$10,'Assumptions (Geo)'!$V$5*Model!$W$1579*average('Assumptions (Geo)'!$S$2:$U$2)/10^9),0)</f>
        <v>0</v>
      </c>
      <c r="AE1708" s="160">
        <f>IF($W$1579&gt;0,IPMT('Assumptions (Geo)'!$V$7,Model!AE$1,'Assumptions (Geo)'!$V$10,'Assumptions (Geo)'!$V$5*Model!$W$1579*average('Assumptions (Geo)'!$S$2:$U$2)/10^9),0)</f>
        <v>0</v>
      </c>
      <c r="AF1708" s="160">
        <f>IF($W$1579&gt;0,IPMT('Assumptions (Geo)'!$V$7,Model!AF$1,'Assumptions (Geo)'!$V$10,'Assumptions (Geo)'!$V$5*Model!$W$1579*average('Assumptions (Geo)'!$S$2:$U$2)/10^9),0)</f>
        <v>0</v>
      </c>
      <c r="AG1708" s="160">
        <f>IF($W$1579&gt;0,IPMT('Assumptions (Geo)'!$V$7,Model!AG$1,'Assumptions (Geo)'!$V$10,'Assumptions (Geo)'!$V$5*Model!$W$1579*average('Assumptions (Geo)'!$S$2:$U$2)/10^9),0)</f>
        <v>0</v>
      </c>
      <c r="AH1708" s="160">
        <f>IF($W$1579&gt;0,IPMT('Assumptions (Geo)'!$V$7,Model!AH$1,'Assumptions (Geo)'!$V$10,'Assumptions (Geo)'!$V$5*Model!$W$1579*average('Assumptions (Geo)'!$S$2:$U$2)/10^9),0)</f>
        <v>0</v>
      </c>
      <c r="AI1708" s="160">
        <f>IF($W$1579&gt;0,IPMT('Assumptions (Geo)'!$V$7,Model!AI$1,'Assumptions (Geo)'!$V$10,'Assumptions (Geo)'!$V$5*Model!$W$1579*average('Assumptions (Geo)'!$S$2:$U$2)/10^9),0)</f>
        <v>0</v>
      </c>
      <c r="AJ1708" s="160">
        <f>IF($W$1579&gt;0,IPMT('Assumptions (Geo)'!$V$7,Model!AJ$1,'Assumptions (Geo)'!$V$10,'Assumptions (Geo)'!$V$5*Model!$W$1579*average('Assumptions (Geo)'!$S$2:$U$2)/10^9),0)</f>
        <v>0</v>
      </c>
      <c r="AK1708" s="160">
        <f>IF($W$1579&gt;0,IPMT('Assumptions (Geo)'!$V$7,Model!AK$1,'Assumptions (Geo)'!$V$10,'Assumptions (Geo)'!$V$5*Model!$W$1579*average('Assumptions (Geo)'!$S$2:$U$2)/10^9),0)</f>
        <v>0</v>
      </c>
      <c r="AL1708" s="160"/>
      <c r="AM1708" s="160"/>
      <c r="AN1708" s="160"/>
      <c r="AO1708" s="160"/>
      <c r="AP1708" s="160"/>
      <c r="AQ1708" s="160"/>
      <c r="AR1708" s="160"/>
      <c r="AS1708" s="160"/>
      <c r="AT1708" s="160"/>
      <c r="AU1708" s="160"/>
      <c r="AV1708" s="160"/>
      <c r="AW1708" s="160"/>
      <c r="AX1708" s="160"/>
      <c r="AY1708" s="160"/>
      <c r="AZ1708" s="160"/>
      <c r="BA1708" s="160"/>
    </row>
    <row r="1709" ht="15.75" hidden="1" customHeight="1" outlineLevel="1">
      <c r="A1709" s="295"/>
      <c r="B1709" s="38"/>
      <c r="C1709" s="174"/>
      <c r="D1709" s="174"/>
      <c r="E1709" s="174"/>
      <c r="F1709" s="174"/>
      <c r="G1709" s="174"/>
      <c r="H1709" s="174"/>
      <c r="I1709" s="174"/>
      <c r="J1709" s="174"/>
      <c r="K1709" s="174"/>
      <c r="L1709" s="174"/>
      <c r="M1709" s="174"/>
      <c r="N1709" s="174"/>
      <c r="O1709" s="174"/>
      <c r="P1709" s="174"/>
      <c r="Q1709" s="174"/>
      <c r="R1709" s="174"/>
      <c r="S1709" s="174"/>
      <c r="T1709" s="174"/>
      <c r="U1709" s="174"/>
      <c r="V1709" s="174"/>
      <c r="W1709" s="160"/>
      <c r="X1709" s="160">
        <f>IF($X$1579&gt;0,IPMT('Assumptions (Geo)'!$V$7,Model!W$1,'Assumptions (Geo)'!$V$10,'Assumptions (Geo)'!$V$5*Model!$X$1579*average('Assumptions (Geo)'!$T$2:$V$2)/10^9),0)</f>
        <v>0</v>
      </c>
      <c r="Y1709" s="160">
        <f>IF($X$1579&gt;0,IPMT('Assumptions (Geo)'!$V$7,Model!X$1,'Assumptions (Geo)'!$V$10,'Assumptions (Geo)'!$V$5*Model!$X$1579*average('Assumptions (Geo)'!$T$2:$V$2)/10^9),0)</f>
        <v>0</v>
      </c>
      <c r="Z1709" s="160">
        <f>IF($X$1579&gt;0,IPMT('Assumptions (Geo)'!$V$7,Model!Y$1,'Assumptions (Geo)'!$V$10,'Assumptions (Geo)'!$V$5*Model!$X$1579*average('Assumptions (Geo)'!$T$2:$V$2)/10^9),0)</f>
        <v>0</v>
      </c>
      <c r="AA1709" s="160">
        <f>IF($X$1579&gt;0,IPMT('Assumptions (Geo)'!$V$7,Model!Z$1,'Assumptions (Geo)'!$V$10,'Assumptions (Geo)'!$V$5*Model!$X$1579*average('Assumptions (Geo)'!$T$2:$V$2)/10^9),0)</f>
        <v>0</v>
      </c>
      <c r="AB1709" s="160">
        <f>IF($X$1579&gt;0,IPMT('Assumptions (Geo)'!$V$7,Model!AA$1,'Assumptions (Geo)'!$V$10,'Assumptions (Geo)'!$V$5*Model!$X$1579*average('Assumptions (Geo)'!$T$2:$V$2)/10^9),0)</f>
        <v>0</v>
      </c>
      <c r="AC1709" s="160">
        <f>IF($X$1579&gt;0,IPMT('Assumptions (Geo)'!$V$7,Model!AB$1,'Assumptions (Geo)'!$V$10,'Assumptions (Geo)'!$V$5*Model!$X$1579*average('Assumptions (Geo)'!$T$2:$V$2)/10^9),0)</f>
        <v>0</v>
      </c>
      <c r="AD1709" s="160">
        <f>IF($X$1579&gt;0,IPMT('Assumptions (Geo)'!$V$7,Model!AC$1,'Assumptions (Geo)'!$V$10,'Assumptions (Geo)'!$V$5*Model!$X$1579*average('Assumptions (Geo)'!$T$2:$V$2)/10^9),0)</f>
        <v>0</v>
      </c>
      <c r="AE1709" s="160">
        <f>IF($X$1579&gt;0,IPMT('Assumptions (Geo)'!$V$7,Model!AD$1,'Assumptions (Geo)'!$V$10,'Assumptions (Geo)'!$V$5*Model!$X$1579*average('Assumptions (Geo)'!$T$2:$V$2)/10^9),0)</f>
        <v>0</v>
      </c>
      <c r="AF1709" s="160">
        <f>IF($X$1579&gt;0,IPMT('Assumptions (Geo)'!$V$7,Model!AE$1,'Assumptions (Geo)'!$V$10,'Assumptions (Geo)'!$V$5*Model!$X$1579*average('Assumptions (Geo)'!$T$2:$V$2)/10^9),0)</f>
        <v>0</v>
      </c>
      <c r="AG1709" s="160">
        <f>IF($X$1579&gt;0,IPMT('Assumptions (Geo)'!$V$7,Model!AF$1,'Assumptions (Geo)'!$V$10,'Assumptions (Geo)'!$V$5*Model!$X$1579*average('Assumptions (Geo)'!$T$2:$V$2)/10^9),0)</f>
        <v>0</v>
      </c>
      <c r="AH1709" s="160">
        <f>IF($X$1579&gt;0,IPMT('Assumptions (Geo)'!$V$7,Model!AG$1,'Assumptions (Geo)'!$V$10,'Assumptions (Geo)'!$V$5*Model!$X$1579*average('Assumptions (Geo)'!$T$2:$V$2)/10^9),0)</f>
        <v>0</v>
      </c>
      <c r="AI1709" s="160">
        <f>IF($X$1579&gt;0,IPMT('Assumptions (Geo)'!$V$7,Model!AH$1,'Assumptions (Geo)'!$V$10,'Assumptions (Geo)'!$V$5*Model!$X$1579*average('Assumptions (Geo)'!$T$2:$V$2)/10^9),0)</f>
        <v>0</v>
      </c>
      <c r="AJ1709" s="160">
        <f>IF($X$1579&gt;0,IPMT('Assumptions (Geo)'!$V$7,Model!AI$1,'Assumptions (Geo)'!$V$10,'Assumptions (Geo)'!$V$5*Model!$X$1579*average('Assumptions (Geo)'!$T$2:$V$2)/10^9),0)</f>
        <v>0</v>
      </c>
      <c r="AK1709" s="160">
        <f>IF($X$1579&gt;0,IPMT('Assumptions (Geo)'!$V$7,Model!AJ$1,'Assumptions (Geo)'!$V$10,'Assumptions (Geo)'!$V$5*Model!$X$1579*average('Assumptions (Geo)'!$T$2:$V$2)/10^9),0)</f>
        <v>0</v>
      </c>
      <c r="AL1709" s="160">
        <f>IF($X$1579&gt;0,IPMT('Assumptions (Geo)'!$V$7,Model!AK$1,'Assumptions (Geo)'!$V$10,'Assumptions (Geo)'!$V$5*Model!$X$1579*average('Assumptions (Geo)'!$T$2:$V$2)/10^9),0)</f>
        <v>0</v>
      </c>
      <c r="AM1709" s="160"/>
      <c r="AN1709" s="160"/>
      <c r="AO1709" s="160"/>
      <c r="AP1709" s="160"/>
      <c r="AQ1709" s="160"/>
      <c r="AR1709" s="160"/>
      <c r="AS1709" s="160"/>
      <c r="AT1709" s="160"/>
      <c r="AU1709" s="160"/>
      <c r="AV1709" s="160"/>
      <c r="AW1709" s="160"/>
      <c r="AX1709" s="160"/>
      <c r="AY1709" s="160"/>
      <c r="AZ1709" s="160"/>
      <c r="BA1709" s="160"/>
    </row>
    <row r="1710" ht="15.75" hidden="1" customHeight="1" outlineLevel="1">
      <c r="A1710" s="295"/>
      <c r="B1710" s="38"/>
      <c r="C1710" s="174"/>
      <c r="D1710" s="174"/>
      <c r="E1710" s="174"/>
      <c r="F1710" s="174"/>
      <c r="G1710" s="174"/>
      <c r="H1710" s="174"/>
      <c r="I1710" s="174"/>
      <c r="J1710" s="174"/>
      <c r="K1710" s="174"/>
      <c r="L1710" s="174"/>
      <c r="M1710" s="174"/>
      <c r="N1710" s="174"/>
      <c r="O1710" s="174"/>
      <c r="P1710" s="174"/>
      <c r="Q1710" s="174"/>
      <c r="R1710" s="174"/>
      <c r="S1710" s="174"/>
      <c r="T1710" s="174"/>
      <c r="U1710" s="174"/>
      <c r="V1710" s="174"/>
      <c r="W1710" s="160"/>
      <c r="X1710" s="160"/>
      <c r="Y1710" s="160">
        <f>IF($Y$1579&gt;0,IPMT('Assumptions (Geo)'!$V$7,Model!W$1,'Assumptions (Geo)'!$V$10,'Assumptions (Geo)'!$V$5*Model!$Y$1579*AVERAGE('Assumptions (Geo)'!$U$2:$W$2)/10^9),0)</f>
        <v>0</v>
      </c>
      <c r="Z1710" s="160">
        <f>IF($Y$1579&gt;0,IPMT('Assumptions (Geo)'!$V$7,Model!X$1,'Assumptions (Geo)'!$V$10,'Assumptions (Geo)'!$V$5*Model!$Y$1579*AVERAGE('Assumptions (Geo)'!$U$2:$W$2)/10^9),0)</f>
        <v>0</v>
      </c>
      <c r="AA1710" s="160">
        <f>IF($Y$1579&gt;0,IPMT('Assumptions (Geo)'!$V$7,Model!Y$1,'Assumptions (Geo)'!$V$10,'Assumptions (Geo)'!$V$5*Model!$Y$1579*AVERAGE('Assumptions (Geo)'!$U$2:$W$2)/10^9),0)</f>
        <v>0</v>
      </c>
      <c r="AB1710" s="160">
        <f>IF($Y$1579&gt;0,IPMT('Assumptions (Geo)'!$V$7,Model!Z$1,'Assumptions (Geo)'!$V$10,'Assumptions (Geo)'!$V$5*Model!$Y$1579*AVERAGE('Assumptions (Geo)'!$U$2:$W$2)/10^9),0)</f>
        <v>0</v>
      </c>
      <c r="AC1710" s="160">
        <f>IF($Y$1579&gt;0,IPMT('Assumptions (Geo)'!$V$7,Model!AA$1,'Assumptions (Geo)'!$V$10,'Assumptions (Geo)'!$V$5*Model!$Y$1579*AVERAGE('Assumptions (Geo)'!$U$2:$W$2)/10^9),0)</f>
        <v>0</v>
      </c>
      <c r="AD1710" s="160">
        <f>IF($Y$1579&gt;0,IPMT('Assumptions (Geo)'!$V$7,Model!AB$1,'Assumptions (Geo)'!$V$10,'Assumptions (Geo)'!$V$5*Model!$Y$1579*AVERAGE('Assumptions (Geo)'!$U$2:$W$2)/10^9),0)</f>
        <v>0</v>
      </c>
      <c r="AE1710" s="160">
        <f>IF($Y$1579&gt;0,IPMT('Assumptions (Geo)'!$V$7,Model!AC$1,'Assumptions (Geo)'!$V$10,'Assumptions (Geo)'!$V$5*Model!$Y$1579*AVERAGE('Assumptions (Geo)'!$U$2:$W$2)/10^9),0)</f>
        <v>0</v>
      </c>
      <c r="AF1710" s="160">
        <f>IF($Y$1579&gt;0,IPMT('Assumptions (Geo)'!$V$7,Model!AD$1,'Assumptions (Geo)'!$V$10,'Assumptions (Geo)'!$V$5*Model!$Y$1579*AVERAGE('Assumptions (Geo)'!$U$2:$W$2)/10^9),0)</f>
        <v>0</v>
      </c>
      <c r="AG1710" s="160">
        <f>IF($Y$1579&gt;0,IPMT('Assumptions (Geo)'!$V$7,Model!AE$1,'Assumptions (Geo)'!$V$10,'Assumptions (Geo)'!$V$5*Model!$Y$1579*AVERAGE('Assumptions (Geo)'!$U$2:$W$2)/10^9),0)</f>
        <v>0</v>
      </c>
      <c r="AH1710" s="160">
        <f>IF($Y$1579&gt;0,IPMT('Assumptions (Geo)'!$V$7,Model!AF$1,'Assumptions (Geo)'!$V$10,'Assumptions (Geo)'!$V$5*Model!$Y$1579*AVERAGE('Assumptions (Geo)'!$U$2:$W$2)/10^9),0)</f>
        <v>0</v>
      </c>
      <c r="AI1710" s="160">
        <f>IF($Y$1579&gt;0,IPMT('Assumptions (Geo)'!$V$7,Model!AG$1,'Assumptions (Geo)'!$V$10,'Assumptions (Geo)'!$V$5*Model!$Y$1579*AVERAGE('Assumptions (Geo)'!$U$2:$W$2)/10^9),0)</f>
        <v>0</v>
      </c>
      <c r="AJ1710" s="160">
        <f>IF($Y$1579&gt;0,IPMT('Assumptions (Geo)'!$V$7,Model!AH$1,'Assumptions (Geo)'!$V$10,'Assumptions (Geo)'!$V$5*Model!$Y$1579*AVERAGE('Assumptions (Geo)'!$U$2:$W$2)/10^9),0)</f>
        <v>0</v>
      </c>
      <c r="AK1710" s="160">
        <f>IF($Y$1579&gt;0,IPMT('Assumptions (Geo)'!$V$7,Model!AI$1,'Assumptions (Geo)'!$V$10,'Assumptions (Geo)'!$V$5*Model!$Y$1579*AVERAGE('Assumptions (Geo)'!$U$2:$W$2)/10^9),0)</f>
        <v>0</v>
      </c>
      <c r="AL1710" s="160">
        <f>IF($Y$1579&gt;0,IPMT('Assumptions (Geo)'!$V$7,Model!AJ$1,'Assumptions (Geo)'!$V$10,'Assumptions (Geo)'!$V$5*Model!$Y$1579*AVERAGE('Assumptions (Geo)'!$U$2:$W$2)/10^9),0)</f>
        <v>0</v>
      </c>
      <c r="AM1710" s="160">
        <f>IF($Y$1579&gt;0,IPMT('Assumptions (Geo)'!$V$7,Model!AK$1,'Assumptions (Geo)'!$V$10,'Assumptions (Geo)'!$V$5*Model!$Y$1579*AVERAGE('Assumptions (Geo)'!$U$2:$W$2)/10^9),0)</f>
        <v>0</v>
      </c>
      <c r="AN1710" s="160"/>
      <c r="AO1710" s="160"/>
      <c r="AP1710" s="160"/>
      <c r="AQ1710" s="160"/>
      <c r="AR1710" s="160"/>
      <c r="AS1710" s="160"/>
      <c r="AT1710" s="160"/>
      <c r="AU1710" s="160"/>
      <c r="AV1710" s="160"/>
      <c r="AW1710" s="160"/>
      <c r="AX1710" s="160"/>
      <c r="AY1710" s="160"/>
      <c r="AZ1710" s="160"/>
      <c r="BA1710" s="160"/>
    </row>
    <row r="1711" ht="15.75" hidden="1" customHeight="1" outlineLevel="1">
      <c r="A1711" s="295"/>
      <c r="B1711" s="38"/>
      <c r="C1711" s="174"/>
      <c r="D1711" s="174"/>
      <c r="E1711" s="174"/>
      <c r="F1711" s="174"/>
      <c r="G1711" s="174"/>
      <c r="H1711" s="174"/>
      <c r="I1711" s="174"/>
      <c r="J1711" s="174"/>
      <c r="K1711" s="174"/>
      <c r="L1711" s="174"/>
      <c r="M1711" s="174"/>
      <c r="N1711" s="174"/>
      <c r="O1711" s="174"/>
      <c r="P1711" s="174"/>
      <c r="Q1711" s="174"/>
      <c r="R1711" s="174"/>
      <c r="S1711" s="174"/>
      <c r="T1711" s="174"/>
      <c r="U1711" s="174"/>
      <c r="V1711" s="174"/>
      <c r="W1711" s="160"/>
      <c r="X1711" s="160"/>
      <c r="Y1711" s="160"/>
      <c r="Z1711" s="160">
        <f>IF($Z$1579&gt;0,IPMT('Assumptions (Geo)'!$V$7,Model!W$1,'Assumptions (Geo)'!$V$10,'Assumptions (Geo)'!$V$5*Model!$Z$1579*AVERAGE('Assumptions (Geo)'!$V$2:$X$2)/10^9),0)</f>
        <v>0</v>
      </c>
      <c r="AA1711" s="160">
        <f>IF($Z$1579&gt;0,IPMT('Assumptions (Geo)'!$V$7,Model!X$1,'Assumptions (Geo)'!$V$10,'Assumptions (Geo)'!$V$5*Model!$Z$1579*AVERAGE('Assumptions (Geo)'!$V$2:$X$2)/10^9),0)</f>
        <v>0</v>
      </c>
      <c r="AB1711" s="160">
        <f>IF($Z$1579&gt;0,IPMT('Assumptions (Geo)'!$V$7,Model!Y$1,'Assumptions (Geo)'!$V$10,'Assumptions (Geo)'!$V$5*Model!$Z$1579*AVERAGE('Assumptions (Geo)'!$V$2:$X$2)/10^9),0)</f>
        <v>0</v>
      </c>
      <c r="AC1711" s="160">
        <f>IF($Z$1579&gt;0,IPMT('Assumptions (Geo)'!$V$7,Model!Z$1,'Assumptions (Geo)'!$V$10,'Assumptions (Geo)'!$V$5*Model!$Z$1579*AVERAGE('Assumptions (Geo)'!$V$2:$X$2)/10^9),0)</f>
        <v>0</v>
      </c>
      <c r="AD1711" s="160">
        <f>IF($Z$1579&gt;0,IPMT('Assumptions (Geo)'!$V$7,Model!AA$1,'Assumptions (Geo)'!$V$10,'Assumptions (Geo)'!$V$5*Model!$Z$1579*AVERAGE('Assumptions (Geo)'!$V$2:$X$2)/10^9),0)</f>
        <v>0</v>
      </c>
      <c r="AE1711" s="160">
        <f>IF($Z$1579&gt;0,IPMT('Assumptions (Geo)'!$V$7,Model!AB$1,'Assumptions (Geo)'!$V$10,'Assumptions (Geo)'!$V$5*Model!$Z$1579*AVERAGE('Assumptions (Geo)'!$V$2:$X$2)/10^9),0)</f>
        <v>0</v>
      </c>
      <c r="AF1711" s="160">
        <f>IF($Z$1579&gt;0,IPMT('Assumptions (Geo)'!$V$7,Model!AC$1,'Assumptions (Geo)'!$V$10,'Assumptions (Geo)'!$V$5*Model!$Z$1579*AVERAGE('Assumptions (Geo)'!$V$2:$X$2)/10^9),0)</f>
        <v>0</v>
      </c>
      <c r="AG1711" s="160">
        <f>IF($Z$1579&gt;0,IPMT('Assumptions (Geo)'!$V$7,Model!AD$1,'Assumptions (Geo)'!$V$10,'Assumptions (Geo)'!$V$5*Model!$Z$1579*AVERAGE('Assumptions (Geo)'!$V$2:$X$2)/10^9),0)</f>
        <v>0</v>
      </c>
      <c r="AH1711" s="160">
        <f>IF($Z$1579&gt;0,IPMT('Assumptions (Geo)'!$V$7,Model!AE$1,'Assumptions (Geo)'!$V$10,'Assumptions (Geo)'!$V$5*Model!$Z$1579*AVERAGE('Assumptions (Geo)'!$V$2:$X$2)/10^9),0)</f>
        <v>0</v>
      </c>
      <c r="AI1711" s="160">
        <f>IF($Z$1579&gt;0,IPMT('Assumptions (Geo)'!$V$7,Model!AF$1,'Assumptions (Geo)'!$V$10,'Assumptions (Geo)'!$V$5*Model!$Z$1579*AVERAGE('Assumptions (Geo)'!$V$2:$X$2)/10^9),0)</f>
        <v>0</v>
      </c>
      <c r="AJ1711" s="160">
        <f>IF($Z$1579&gt;0,IPMT('Assumptions (Geo)'!$V$7,Model!AG$1,'Assumptions (Geo)'!$V$10,'Assumptions (Geo)'!$V$5*Model!$Z$1579*AVERAGE('Assumptions (Geo)'!$V$2:$X$2)/10^9),0)</f>
        <v>0</v>
      </c>
      <c r="AK1711" s="160">
        <f>IF($Z$1579&gt;0,IPMT('Assumptions (Geo)'!$V$7,Model!AH$1,'Assumptions (Geo)'!$V$10,'Assumptions (Geo)'!$V$5*Model!$Z$1579*AVERAGE('Assumptions (Geo)'!$V$2:$X$2)/10^9),0)</f>
        <v>0</v>
      </c>
      <c r="AL1711" s="160">
        <f>IF($Z$1579&gt;0,IPMT('Assumptions (Geo)'!$V$7,Model!AI$1,'Assumptions (Geo)'!$V$10,'Assumptions (Geo)'!$V$5*Model!$Z$1579*AVERAGE('Assumptions (Geo)'!$V$2:$X$2)/10^9),0)</f>
        <v>0</v>
      </c>
      <c r="AM1711" s="160">
        <f>IF($Z$1579&gt;0,IPMT('Assumptions (Geo)'!$V$7,Model!AJ$1,'Assumptions (Geo)'!$V$10,'Assumptions (Geo)'!$V$5*Model!$Z$1579*AVERAGE('Assumptions (Geo)'!$V$2:$X$2)/10^9),0)</f>
        <v>0</v>
      </c>
      <c r="AN1711" s="160">
        <f>IF($Z$1579&gt;0,IPMT('Assumptions (Geo)'!$V$7,Model!AK$1,'Assumptions (Geo)'!$V$10,'Assumptions (Geo)'!$V$5*Model!$Z$1579*AVERAGE('Assumptions (Geo)'!$V$2:$X$2)/10^9),0)</f>
        <v>0</v>
      </c>
      <c r="AO1711" s="160"/>
      <c r="AP1711" s="160"/>
      <c r="AQ1711" s="160"/>
      <c r="AR1711" s="160"/>
      <c r="AS1711" s="160"/>
      <c r="AT1711" s="160"/>
      <c r="AU1711" s="160"/>
      <c r="AV1711" s="160"/>
      <c r="AW1711" s="160"/>
      <c r="AX1711" s="160"/>
      <c r="AY1711" s="160"/>
      <c r="AZ1711" s="160"/>
      <c r="BA1711" s="160"/>
    </row>
    <row r="1712" ht="15.75" hidden="1" customHeight="1" outlineLevel="1">
      <c r="A1712" s="295"/>
      <c r="B1712" s="38"/>
      <c r="C1712" s="174"/>
      <c r="D1712" s="174"/>
      <c r="E1712" s="174"/>
      <c r="F1712" s="174"/>
      <c r="G1712" s="174"/>
      <c r="H1712" s="174"/>
      <c r="I1712" s="174"/>
      <c r="J1712" s="174"/>
      <c r="K1712" s="174"/>
      <c r="L1712" s="174"/>
      <c r="M1712" s="174"/>
      <c r="N1712" s="174"/>
      <c r="O1712" s="174"/>
      <c r="P1712" s="174"/>
      <c r="Q1712" s="174"/>
      <c r="R1712" s="174"/>
      <c r="S1712" s="174"/>
      <c r="T1712" s="174"/>
      <c r="U1712" s="174"/>
      <c r="V1712" s="174"/>
      <c r="W1712" s="160"/>
      <c r="X1712" s="160"/>
      <c r="Y1712" s="160"/>
      <c r="Z1712" s="160"/>
      <c r="AA1712" s="160">
        <f>IF($AA$1579&gt;0,IPMT('Assumptions (Geo)'!$V$7,Model!W$1,'Assumptions (Geo)'!$V$10,'Assumptions (Geo)'!$V$5*Model!$AA$1579*AVERAGE('Assumptions (Geo)'!$W$2:$Y$2)/10^9),0)</f>
        <v>0</v>
      </c>
      <c r="AB1712" s="160">
        <f>IF($AA$1579&gt;0,IPMT('Assumptions (Geo)'!$V$7,Model!X$1,'Assumptions (Geo)'!$V$10,'Assumptions (Geo)'!$V$5*Model!$AA$1579*AVERAGE('Assumptions (Geo)'!$W$2:$Y$2)/10^9),0)</f>
        <v>0</v>
      </c>
      <c r="AC1712" s="160">
        <f>IF($AA$1579&gt;0,IPMT('Assumptions (Geo)'!$V$7,Model!Y$1,'Assumptions (Geo)'!$V$10,'Assumptions (Geo)'!$V$5*Model!$AA$1579*AVERAGE('Assumptions (Geo)'!$W$2:$Y$2)/10^9),0)</f>
        <v>0</v>
      </c>
      <c r="AD1712" s="160">
        <f>IF($AA$1579&gt;0,IPMT('Assumptions (Geo)'!$V$7,Model!Z$1,'Assumptions (Geo)'!$V$10,'Assumptions (Geo)'!$V$5*Model!$AA$1579*AVERAGE('Assumptions (Geo)'!$W$2:$Y$2)/10^9),0)</f>
        <v>0</v>
      </c>
      <c r="AE1712" s="160">
        <f>IF($AA$1579&gt;0,IPMT('Assumptions (Geo)'!$V$7,Model!AA$1,'Assumptions (Geo)'!$V$10,'Assumptions (Geo)'!$V$5*Model!$AA$1579*AVERAGE('Assumptions (Geo)'!$W$2:$Y$2)/10^9),0)</f>
        <v>0</v>
      </c>
      <c r="AF1712" s="160">
        <f>IF($AA$1579&gt;0,IPMT('Assumptions (Geo)'!$V$7,Model!AB$1,'Assumptions (Geo)'!$V$10,'Assumptions (Geo)'!$V$5*Model!$AA$1579*AVERAGE('Assumptions (Geo)'!$W$2:$Y$2)/10^9),0)</f>
        <v>0</v>
      </c>
      <c r="AG1712" s="160">
        <f>IF($AA$1579&gt;0,IPMT('Assumptions (Geo)'!$V$7,Model!AC$1,'Assumptions (Geo)'!$V$10,'Assumptions (Geo)'!$V$5*Model!$AA$1579*AVERAGE('Assumptions (Geo)'!$W$2:$Y$2)/10^9),0)</f>
        <v>0</v>
      </c>
      <c r="AH1712" s="160">
        <f>IF($AA$1579&gt;0,IPMT('Assumptions (Geo)'!$V$7,Model!AD$1,'Assumptions (Geo)'!$V$10,'Assumptions (Geo)'!$V$5*Model!$AA$1579*AVERAGE('Assumptions (Geo)'!$W$2:$Y$2)/10^9),0)</f>
        <v>0</v>
      </c>
      <c r="AI1712" s="160">
        <f>IF($AA$1579&gt;0,IPMT('Assumptions (Geo)'!$V$7,Model!AE$1,'Assumptions (Geo)'!$V$10,'Assumptions (Geo)'!$V$5*Model!$AA$1579*AVERAGE('Assumptions (Geo)'!$W$2:$Y$2)/10^9),0)</f>
        <v>0</v>
      </c>
      <c r="AJ1712" s="160">
        <f>IF($AA$1579&gt;0,IPMT('Assumptions (Geo)'!$V$7,Model!AF$1,'Assumptions (Geo)'!$V$10,'Assumptions (Geo)'!$V$5*Model!$AA$1579*AVERAGE('Assumptions (Geo)'!$W$2:$Y$2)/10^9),0)</f>
        <v>0</v>
      </c>
      <c r="AK1712" s="160">
        <f>IF($AA$1579&gt;0,IPMT('Assumptions (Geo)'!$V$7,Model!AG$1,'Assumptions (Geo)'!$V$10,'Assumptions (Geo)'!$V$5*Model!$AA$1579*AVERAGE('Assumptions (Geo)'!$W$2:$Y$2)/10^9),0)</f>
        <v>0</v>
      </c>
      <c r="AL1712" s="160">
        <f>IF($AA$1579&gt;0,IPMT('Assumptions (Geo)'!$V$7,Model!AH$1,'Assumptions (Geo)'!$V$10,'Assumptions (Geo)'!$V$5*Model!$AA$1579*AVERAGE('Assumptions (Geo)'!$W$2:$Y$2)/10^9),0)</f>
        <v>0</v>
      </c>
      <c r="AM1712" s="160">
        <f>IF($AA$1579&gt;0,IPMT('Assumptions (Geo)'!$V$7,Model!AI$1,'Assumptions (Geo)'!$V$10,'Assumptions (Geo)'!$V$5*Model!$AA$1579*AVERAGE('Assumptions (Geo)'!$W$2:$Y$2)/10^9),0)</f>
        <v>0</v>
      </c>
      <c r="AN1712" s="160">
        <f>IF($AA$1579&gt;0,IPMT('Assumptions (Geo)'!$V$7,Model!AJ$1,'Assumptions (Geo)'!$V$10,'Assumptions (Geo)'!$V$5*Model!$AA$1579*AVERAGE('Assumptions (Geo)'!$W$2:$Y$2)/10^9),0)</f>
        <v>0</v>
      </c>
      <c r="AO1712" s="160">
        <f>IF($AA$1579&gt;0,IPMT('Assumptions (Geo)'!$V$7,Model!AK$1,'Assumptions (Geo)'!$V$10,'Assumptions (Geo)'!$V$5*Model!$AA$1579*AVERAGE('Assumptions (Geo)'!$W$2:$Y$2)/10^9),0)</f>
        <v>0</v>
      </c>
      <c r="AP1712" s="160"/>
      <c r="AQ1712" s="160"/>
      <c r="AR1712" s="160"/>
      <c r="AS1712" s="160"/>
      <c r="AT1712" s="160"/>
      <c r="AU1712" s="160"/>
      <c r="AV1712" s="160"/>
      <c r="AW1712" s="160"/>
      <c r="AX1712" s="160"/>
      <c r="AY1712" s="160"/>
      <c r="AZ1712" s="160"/>
      <c r="BA1712" s="160"/>
    </row>
    <row r="1713" ht="15.75" hidden="1" customHeight="1" outlineLevel="1">
      <c r="A1713" s="295"/>
      <c r="B1713" s="38"/>
      <c r="C1713" s="174"/>
      <c r="D1713" s="174"/>
      <c r="E1713" s="174"/>
      <c r="F1713" s="174"/>
      <c r="G1713" s="174"/>
      <c r="H1713" s="174"/>
      <c r="I1713" s="174"/>
      <c r="J1713" s="174"/>
      <c r="K1713" s="174"/>
      <c r="L1713" s="174"/>
      <c r="M1713" s="174"/>
      <c r="N1713" s="174"/>
      <c r="O1713" s="174"/>
      <c r="P1713" s="174"/>
      <c r="Q1713" s="174"/>
      <c r="R1713" s="174"/>
      <c r="S1713" s="174"/>
      <c r="T1713" s="174"/>
      <c r="U1713" s="174"/>
      <c r="V1713" s="174"/>
      <c r="W1713" s="160"/>
      <c r="X1713" s="160"/>
      <c r="Y1713" s="160"/>
      <c r="Z1713" s="160"/>
      <c r="AA1713" s="160"/>
      <c r="AB1713" s="160">
        <f>IF($AB$1579&gt;0,IPMT('Assumptions (Geo)'!$V$7,Model!W$1,'Assumptions (Geo)'!$V$10,'Assumptions (Geo)'!$V$5*Model!$AB$1579*AVERAGE('Assumptions (Geo)'!$X$2:$Z$2)/10^9),0)</f>
        <v>0</v>
      </c>
      <c r="AC1713" s="160">
        <f>IF($AB$1579&gt;0,IPMT('Assumptions (Geo)'!$V$7,Model!X$1,'Assumptions (Geo)'!$V$10,'Assumptions (Geo)'!$V$5*Model!$AB$1579*AVERAGE('Assumptions (Geo)'!$X$2:$Z$2)/10^9),0)</f>
        <v>0</v>
      </c>
      <c r="AD1713" s="160">
        <f>IF($AB$1579&gt;0,IPMT('Assumptions (Geo)'!$V$7,Model!Y$1,'Assumptions (Geo)'!$V$10,'Assumptions (Geo)'!$V$5*Model!$AB$1579*AVERAGE('Assumptions (Geo)'!$X$2:$Z$2)/10^9),0)</f>
        <v>0</v>
      </c>
      <c r="AE1713" s="160">
        <f>IF($AB$1579&gt;0,IPMT('Assumptions (Geo)'!$V$7,Model!Z$1,'Assumptions (Geo)'!$V$10,'Assumptions (Geo)'!$V$5*Model!$AB$1579*AVERAGE('Assumptions (Geo)'!$X$2:$Z$2)/10^9),0)</f>
        <v>0</v>
      </c>
      <c r="AF1713" s="160">
        <f>IF($AB$1579&gt;0,IPMT('Assumptions (Geo)'!$V$7,Model!AA$1,'Assumptions (Geo)'!$V$10,'Assumptions (Geo)'!$V$5*Model!$AB$1579*AVERAGE('Assumptions (Geo)'!$X$2:$Z$2)/10^9),0)</f>
        <v>0</v>
      </c>
      <c r="AG1713" s="160">
        <f>IF($AB$1579&gt;0,IPMT('Assumptions (Geo)'!$V$7,Model!AB$1,'Assumptions (Geo)'!$V$10,'Assumptions (Geo)'!$V$5*Model!$AB$1579*AVERAGE('Assumptions (Geo)'!$X$2:$Z$2)/10^9),0)</f>
        <v>0</v>
      </c>
      <c r="AH1713" s="160">
        <f>IF($AB$1579&gt;0,IPMT('Assumptions (Geo)'!$V$7,Model!AC$1,'Assumptions (Geo)'!$V$10,'Assumptions (Geo)'!$V$5*Model!$AB$1579*AVERAGE('Assumptions (Geo)'!$X$2:$Z$2)/10^9),0)</f>
        <v>0</v>
      </c>
      <c r="AI1713" s="160">
        <f>IF($AB$1579&gt;0,IPMT('Assumptions (Geo)'!$V$7,Model!AD$1,'Assumptions (Geo)'!$V$10,'Assumptions (Geo)'!$V$5*Model!$AB$1579*AVERAGE('Assumptions (Geo)'!$X$2:$Z$2)/10^9),0)</f>
        <v>0</v>
      </c>
      <c r="AJ1713" s="160">
        <f>IF($AB$1579&gt;0,IPMT('Assumptions (Geo)'!$V$7,Model!AE$1,'Assumptions (Geo)'!$V$10,'Assumptions (Geo)'!$V$5*Model!$AB$1579*AVERAGE('Assumptions (Geo)'!$X$2:$Z$2)/10^9),0)</f>
        <v>0</v>
      </c>
      <c r="AK1713" s="160">
        <f>IF($AB$1579&gt;0,IPMT('Assumptions (Geo)'!$V$7,Model!AF$1,'Assumptions (Geo)'!$V$10,'Assumptions (Geo)'!$V$5*Model!$AB$1579*AVERAGE('Assumptions (Geo)'!$X$2:$Z$2)/10^9),0)</f>
        <v>0</v>
      </c>
      <c r="AL1713" s="160">
        <f>IF($AB$1579&gt;0,IPMT('Assumptions (Geo)'!$V$7,Model!AG$1,'Assumptions (Geo)'!$V$10,'Assumptions (Geo)'!$V$5*Model!$AB$1579*AVERAGE('Assumptions (Geo)'!$X$2:$Z$2)/10^9),0)</f>
        <v>0</v>
      </c>
      <c r="AM1713" s="160">
        <f>IF($AB$1579&gt;0,IPMT('Assumptions (Geo)'!$V$7,Model!AH$1,'Assumptions (Geo)'!$V$10,'Assumptions (Geo)'!$V$5*Model!$AB$1579*AVERAGE('Assumptions (Geo)'!$X$2:$Z$2)/10^9),0)</f>
        <v>0</v>
      </c>
      <c r="AN1713" s="160">
        <f>IF($AB$1579&gt;0,IPMT('Assumptions (Geo)'!$V$7,Model!AI$1,'Assumptions (Geo)'!$V$10,'Assumptions (Geo)'!$V$5*Model!$AB$1579*AVERAGE('Assumptions (Geo)'!$X$2:$Z$2)/10^9),0)</f>
        <v>0</v>
      </c>
      <c r="AO1713" s="160">
        <f>IF($AB$1579&gt;0,IPMT('Assumptions (Geo)'!$V$7,Model!AJ$1,'Assumptions (Geo)'!$V$10,'Assumptions (Geo)'!$V$5*Model!$AB$1579*AVERAGE('Assumptions (Geo)'!$X$2:$Z$2)/10^9),0)</f>
        <v>0</v>
      </c>
      <c r="AP1713" s="160">
        <f>IF($AB$1579&gt;0,IPMT('Assumptions (Geo)'!$V$7,Model!AK$1,'Assumptions (Geo)'!$V$10,'Assumptions (Geo)'!$V$5*Model!$AB$1579*AVERAGE('Assumptions (Geo)'!$X$2:$Z$2)/10^9),0)</f>
        <v>0</v>
      </c>
      <c r="AQ1713" s="160"/>
      <c r="AR1713" s="160"/>
      <c r="AS1713" s="160"/>
      <c r="AT1713" s="160"/>
      <c r="AU1713" s="160"/>
      <c r="AV1713" s="160"/>
      <c r="AW1713" s="160"/>
      <c r="AX1713" s="160"/>
      <c r="AY1713" s="160"/>
      <c r="AZ1713" s="160"/>
      <c r="BA1713" s="160"/>
    </row>
    <row r="1714" ht="15.75" hidden="1" customHeight="1" outlineLevel="1">
      <c r="A1714" s="295"/>
      <c r="B1714" s="38"/>
      <c r="C1714" s="174"/>
      <c r="D1714" s="174"/>
      <c r="E1714" s="174"/>
      <c r="F1714" s="174"/>
      <c r="G1714" s="174"/>
      <c r="H1714" s="174"/>
      <c r="I1714" s="174"/>
      <c r="J1714" s="174"/>
      <c r="K1714" s="174"/>
      <c r="L1714" s="174"/>
      <c r="M1714" s="174"/>
      <c r="N1714" s="174"/>
      <c r="O1714" s="174"/>
      <c r="P1714" s="174"/>
      <c r="Q1714" s="174"/>
      <c r="R1714" s="174"/>
      <c r="S1714" s="174"/>
      <c r="T1714" s="174"/>
      <c r="U1714" s="174"/>
      <c r="V1714" s="174"/>
      <c r="W1714" s="160"/>
      <c r="X1714" s="160"/>
      <c r="Y1714" s="160"/>
      <c r="Z1714" s="160"/>
      <c r="AA1714" s="160"/>
      <c r="AB1714" s="160"/>
      <c r="AC1714" s="160">
        <f>IF($AC$1579&gt;0,IPMT('Assumptions (Geo)'!$V$7,Model!W$1,'Assumptions (Geo)'!$V$10,'Assumptions (Geo)'!$V$5*Model!$AC$1579*AVERAGE('Assumptions (Geo)'!$Y$2:$AA$2)/10^9),0)</f>
        <v>0</v>
      </c>
      <c r="AD1714" s="160">
        <f>IF($AC$1579&gt;0,IPMT('Assumptions (Geo)'!$V$7,Model!X$1,'Assumptions (Geo)'!$V$10,'Assumptions (Geo)'!$V$5*Model!$AC$1579*AVERAGE('Assumptions (Geo)'!$Y$2:$AA$2)/10^9),0)</f>
        <v>0</v>
      </c>
      <c r="AE1714" s="160">
        <f>IF($AC$1579&gt;0,IPMT('Assumptions (Geo)'!$V$7,Model!Y$1,'Assumptions (Geo)'!$V$10,'Assumptions (Geo)'!$V$5*Model!$AC$1579*AVERAGE('Assumptions (Geo)'!$Y$2:$AA$2)/10^9),0)</f>
        <v>0</v>
      </c>
      <c r="AF1714" s="160">
        <f>IF($AC$1579&gt;0,IPMT('Assumptions (Geo)'!$V$7,Model!Z$1,'Assumptions (Geo)'!$V$10,'Assumptions (Geo)'!$V$5*Model!$AC$1579*AVERAGE('Assumptions (Geo)'!$Y$2:$AA$2)/10^9),0)</f>
        <v>0</v>
      </c>
      <c r="AG1714" s="160">
        <f>IF($AC$1579&gt;0,IPMT('Assumptions (Geo)'!$V$7,Model!AA$1,'Assumptions (Geo)'!$V$10,'Assumptions (Geo)'!$V$5*Model!$AC$1579*AVERAGE('Assumptions (Geo)'!$Y$2:$AA$2)/10^9),0)</f>
        <v>0</v>
      </c>
      <c r="AH1714" s="160">
        <f>IF($AC$1579&gt;0,IPMT('Assumptions (Geo)'!$V$7,Model!AB$1,'Assumptions (Geo)'!$V$10,'Assumptions (Geo)'!$V$5*Model!$AC$1579*AVERAGE('Assumptions (Geo)'!$Y$2:$AA$2)/10^9),0)</f>
        <v>0</v>
      </c>
      <c r="AI1714" s="160">
        <f>IF($AC$1579&gt;0,IPMT('Assumptions (Geo)'!$V$7,Model!AC$1,'Assumptions (Geo)'!$V$10,'Assumptions (Geo)'!$V$5*Model!$AC$1579*AVERAGE('Assumptions (Geo)'!$Y$2:$AA$2)/10^9),0)</f>
        <v>0</v>
      </c>
      <c r="AJ1714" s="160">
        <f>IF($AC$1579&gt;0,IPMT('Assumptions (Geo)'!$V$7,Model!AD$1,'Assumptions (Geo)'!$V$10,'Assumptions (Geo)'!$V$5*Model!$AC$1579*AVERAGE('Assumptions (Geo)'!$Y$2:$AA$2)/10^9),0)</f>
        <v>0</v>
      </c>
      <c r="AK1714" s="160">
        <f>IF($AC$1579&gt;0,IPMT('Assumptions (Geo)'!$V$7,Model!AE$1,'Assumptions (Geo)'!$V$10,'Assumptions (Geo)'!$V$5*Model!$AC$1579*AVERAGE('Assumptions (Geo)'!$Y$2:$AA$2)/10^9),0)</f>
        <v>0</v>
      </c>
      <c r="AL1714" s="160">
        <f>IF($AC$1579&gt;0,IPMT('Assumptions (Geo)'!$V$7,Model!AF$1,'Assumptions (Geo)'!$V$10,'Assumptions (Geo)'!$V$5*Model!$AC$1579*AVERAGE('Assumptions (Geo)'!$Y$2:$AA$2)/10^9),0)</f>
        <v>0</v>
      </c>
      <c r="AM1714" s="160">
        <f>IF($AC$1579&gt;0,IPMT('Assumptions (Geo)'!$V$7,Model!AG$1,'Assumptions (Geo)'!$V$10,'Assumptions (Geo)'!$V$5*Model!$AC$1579*AVERAGE('Assumptions (Geo)'!$Y$2:$AA$2)/10^9),0)</f>
        <v>0</v>
      </c>
      <c r="AN1714" s="160">
        <f>IF($AC$1579&gt;0,IPMT('Assumptions (Geo)'!$V$7,Model!AH$1,'Assumptions (Geo)'!$V$10,'Assumptions (Geo)'!$V$5*Model!$AC$1579*AVERAGE('Assumptions (Geo)'!$Y$2:$AA$2)/10^9),0)</f>
        <v>0</v>
      </c>
      <c r="AO1714" s="160">
        <f>IF($AC$1579&gt;0,IPMT('Assumptions (Geo)'!$V$7,Model!AI$1,'Assumptions (Geo)'!$V$10,'Assumptions (Geo)'!$V$5*Model!$AC$1579*AVERAGE('Assumptions (Geo)'!$Y$2:$AA$2)/10^9),0)</f>
        <v>0</v>
      </c>
      <c r="AP1714" s="160">
        <f>IF($AC$1579&gt;0,IPMT('Assumptions (Geo)'!$V$7,Model!AJ$1,'Assumptions (Geo)'!$V$10,'Assumptions (Geo)'!$V$5*Model!$AC$1579*AVERAGE('Assumptions (Geo)'!$Y$2:$AA$2)/10^9),0)</f>
        <v>0</v>
      </c>
      <c r="AQ1714" s="160">
        <f>IF($AC$1579&gt;0,IPMT('Assumptions (Geo)'!$V$7,Model!AK$1,'Assumptions (Geo)'!$V$10,'Assumptions (Geo)'!$V$5*Model!$AC$1579*AVERAGE('Assumptions (Geo)'!$Y$2:$AA$2)/10^9),0)</f>
        <v>0</v>
      </c>
      <c r="AR1714" s="160"/>
      <c r="AS1714" s="160"/>
      <c r="AT1714" s="160"/>
      <c r="AU1714" s="160"/>
      <c r="AV1714" s="160"/>
      <c r="AW1714" s="160"/>
      <c r="AX1714" s="160"/>
      <c r="AY1714" s="160"/>
      <c r="AZ1714" s="160"/>
      <c r="BA1714" s="160"/>
    </row>
    <row r="1715" ht="15.75" hidden="1" customHeight="1" outlineLevel="1">
      <c r="A1715" s="295"/>
      <c r="B1715" s="38"/>
      <c r="C1715" s="174"/>
      <c r="D1715" s="174"/>
      <c r="E1715" s="174"/>
      <c r="F1715" s="174"/>
      <c r="G1715" s="174"/>
      <c r="H1715" s="174"/>
      <c r="I1715" s="174"/>
      <c r="J1715" s="174"/>
      <c r="K1715" s="174"/>
      <c r="L1715" s="174"/>
      <c r="M1715" s="174"/>
      <c r="N1715" s="174"/>
      <c r="O1715" s="174"/>
      <c r="P1715" s="174"/>
      <c r="Q1715" s="174"/>
      <c r="R1715" s="174"/>
      <c r="S1715" s="174"/>
      <c r="T1715" s="174"/>
      <c r="U1715" s="174"/>
      <c r="V1715" s="174"/>
      <c r="W1715" s="160"/>
      <c r="X1715" s="160"/>
      <c r="Y1715" s="160"/>
      <c r="Z1715" s="160"/>
      <c r="AA1715" s="160"/>
      <c r="AB1715" s="160"/>
      <c r="AC1715" s="160"/>
      <c r="AD1715" s="160">
        <f>IF($AD$1579&gt;0,IPMT('Assumptions (Geo)'!$V$7,Model!W$1,'Assumptions (Geo)'!$V$10,'Assumptions (Geo)'!$V$5*Model!$AD$1579*AVERAGE('Assumptions (Geo)'!$Z$2:$AB$2)/10^9),0)</f>
        <v>0</v>
      </c>
      <c r="AE1715" s="160">
        <f>IF($AD$1579&gt;0,IPMT('Assumptions (Geo)'!$V$7,Model!X$1,'Assumptions (Geo)'!$V$10,'Assumptions (Geo)'!$V$5*Model!$AD$1579*AVERAGE('Assumptions (Geo)'!$Z$2:$AB$2)/10^9),0)</f>
        <v>0</v>
      </c>
      <c r="AF1715" s="160">
        <f>IF($AD$1579&gt;0,IPMT('Assumptions (Geo)'!$V$7,Model!Y$1,'Assumptions (Geo)'!$V$10,'Assumptions (Geo)'!$V$5*Model!$AD$1579*AVERAGE('Assumptions (Geo)'!$Z$2:$AB$2)/10^9),0)</f>
        <v>0</v>
      </c>
      <c r="AG1715" s="160">
        <f>IF($AD$1579&gt;0,IPMT('Assumptions (Geo)'!$V$7,Model!Z$1,'Assumptions (Geo)'!$V$10,'Assumptions (Geo)'!$V$5*Model!$AD$1579*AVERAGE('Assumptions (Geo)'!$Z$2:$AB$2)/10^9),0)</f>
        <v>0</v>
      </c>
      <c r="AH1715" s="160">
        <f>IF($AD$1579&gt;0,IPMT('Assumptions (Geo)'!$V$7,Model!AA$1,'Assumptions (Geo)'!$V$10,'Assumptions (Geo)'!$V$5*Model!$AD$1579*AVERAGE('Assumptions (Geo)'!$Z$2:$AB$2)/10^9),0)</f>
        <v>0</v>
      </c>
      <c r="AI1715" s="160">
        <f>IF($AD$1579&gt;0,IPMT('Assumptions (Geo)'!$V$7,Model!AB$1,'Assumptions (Geo)'!$V$10,'Assumptions (Geo)'!$V$5*Model!$AD$1579*AVERAGE('Assumptions (Geo)'!$Z$2:$AB$2)/10^9),0)</f>
        <v>0</v>
      </c>
      <c r="AJ1715" s="160">
        <f>IF($AD$1579&gt;0,IPMT('Assumptions (Geo)'!$V$7,Model!AC$1,'Assumptions (Geo)'!$V$10,'Assumptions (Geo)'!$V$5*Model!$AD$1579*AVERAGE('Assumptions (Geo)'!$Z$2:$AB$2)/10^9),0)</f>
        <v>0</v>
      </c>
      <c r="AK1715" s="160">
        <f>IF($AD$1579&gt;0,IPMT('Assumptions (Geo)'!$V$7,Model!AD$1,'Assumptions (Geo)'!$V$10,'Assumptions (Geo)'!$V$5*Model!$AD$1579*AVERAGE('Assumptions (Geo)'!$Z$2:$AB$2)/10^9),0)</f>
        <v>0</v>
      </c>
      <c r="AL1715" s="160">
        <f>IF($AD$1579&gt;0,IPMT('Assumptions (Geo)'!$V$7,Model!AE$1,'Assumptions (Geo)'!$V$10,'Assumptions (Geo)'!$V$5*Model!$AD$1579*AVERAGE('Assumptions (Geo)'!$Z$2:$AB$2)/10^9),0)</f>
        <v>0</v>
      </c>
      <c r="AM1715" s="160">
        <f>IF($AD$1579&gt;0,IPMT('Assumptions (Geo)'!$V$7,Model!AF$1,'Assumptions (Geo)'!$V$10,'Assumptions (Geo)'!$V$5*Model!$AD$1579*AVERAGE('Assumptions (Geo)'!$Z$2:$AB$2)/10^9),0)</f>
        <v>0</v>
      </c>
      <c r="AN1715" s="160">
        <f>IF($AD$1579&gt;0,IPMT('Assumptions (Geo)'!$V$7,Model!AG$1,'Assumptions (Geo)'!$V$10,'Assumptions (Geo)'!$V$5*Model!$AD$1579*AVERAGE('Assumptions (Geo)'!$Z$2:$AB$2)/10^9),0)</f>
        <v>0</v>
      </c>
      <c r="AO1715" s="160">
        <f>IF($AD$1579&gt;0,IPMT('Assumptions (Geo)'!$V$7,Model!AH$1,'Assumptions (Geo)'!$V$10,'Assumptions (Geo)'!$V$5*Model!$AD$1579*AVERAGE('Assumptions (Geo)'!$Z$2:$AB$2)/10^9),0)</f>
        <v>0</v>
      </c>
      <c r="AP1715" s="160">
        <f>IF($AD$1579&gt;0,IPMT('Assumptions (Geo)'!$V$7,Model!AI$1,'Assumptions (Geo)'!$V$10,'Assumptions (Geo)'!$V$5*Model!$AD$1579*AVERAGE('Assumptions (Geo)'!$Z$2:$AB$2)/10^9),0)</f>
        <v>0</v>
      </c>
      <c r="AQ1715" s="160">
        <f>IF($AD$1579&gt;0,IPMT('Assumptions (Geo)'!$V$7,Model!AJ$1,'Assumptions (Geo)'!$V$10,'Assumptions (Geo)'!$V$5*Model!$AD$1579*AVERAGE('Assumptions (Geo)'!$Z$2:$AB$2)/10^9),0)</f>
        <v>0</v>
      </c>
      <c r="AR1715" s="160">
        <f>IF($AD$1579&gt;0,IPMT('Assumptions (Geo)'!$V$7,Model!AK$1,'Assumptions (Geo)'!$V$10,'Assumptions (Geo)'!$V$5*Model!$AD$1579*AVERAGE('Assumptions (Geo)'!$Z$2:$AB$2)/10^9),0)</f>
        <v>0</v>
      </c>
      <c r="AS1715" s="160"/>
      <c r="AT1715" s="160"/>
      <c r="AU1715" s="160"/>
      <c r="AV1715" s="160"/>
      <c r="AW1715" s="160"/>
      <c r="AX1715" s="160"/>
      <c r="AY1715" s="160"/>
      <c r="AZ1715" s="160"/>
      <c r="BA1715" s="160"/>
      <c r="BB1715" s="160"/>
    </row>
    <row r="1716" ht="15.75" hidden="1" customHeight="1" outlineLevel="1">
      <c r="A1716" s="295"/>
      <c r="B1716" s="38"/>
      <c r="C1716" s="174"/>
      <c r="D1716" s="174"/>
      <c r="E1716" s="174"/>
      <c r="F1716" s="174"/>
      <c r="G1716" s="174"/>
      <c r="H1716" s="174"/>
      <c r="I1716" s="174"/>
      <c r="J1716" s="174"/>
      <c r="K1716" s="174"/>
      <c r="L1716" s="174"/>
      <c r="M1716" s="174"/>
      <c r="N1716" s="174"/>
      <c r="O1716" s="174"/>
      <c r="P1716" s="174"/>
      <c r="Q1716" s="174"/>
      <c r="R1716" s="174"/>
      <c r="S1716" s="174"/>
      <c r="T1716" s="174"/>
      <c r="U1716" s="174"/>
      <c r="V1716" s="174"/>
      <c r="W1716" s="160"/>
      <c r="X1716" s="160"/>
      <c r="Y1716" s="160"/>
      <c r="Z1716" s="160"/>
      <c r="AA1716" s="160"/>
      <c r="AB1716" s="160"/>
      <c r="AC1716" s="160"/>
      <c r="AD1716" s="160"/>
      <c r="AE1716" s="160">
        <f>IF($AE$1579&gt;0,IPMT('Assumptions (Geo)'!$V$7,Model!W$1,'Assumptions (Geo)'!$V$10,'Assumptions (Geo)'!$V$5*Model!$AE$1579*AVERAGE('Assumptions (Geo)'!$AA$2:$AC$2)/10^9),0)</f>
        <v>0</v>
      </c>
      <c r="AF1716" s="160">
        <f>IF($AE$1579&gt;0,IPMT('Assumptions (Geo)'!$V$7,Model!X$1,'Assumptions (Geo)'!$V$10,'Assumptions (Geo)'!$V$5*Model!$AE$1579*AVERAGE('Assumptions (Geo)'!$AA$2:$AC$2)/10^9),0)</f>
        <v>0</v>
      </c>
      <c r="AG1716" s="160">
        <f>IF($AE$1579&gt;0,IPMT('Assumptions (Geo)'!$V$7,Model!Y$1,'Assumptions (Geo)'!$V$10,'Assumptions (Geo)'!$V$5*Model!$AE$1579*AVERAGE('Assumptions (Geo)'!$AA$2:$AC$2)/10^9),0)</f>
        <v>0</v>
      </c>
      <c r="AH1716" s="160">
        <f>IF($AE$1579&gt;0,IPMT('Assumptions (Geo)'!$V$7,Model!Z$1,'Assumptions (Geo)'!$V$10,'Assumptions (Geo)'!$V$5*Model!$AE$1579*AVERAGE('Assumptions (Geo)'!$AA$2:$AC$2)/10^9),0)</f>
        <v>0</v>
      </c>
      <c r="AI1716" s="160">
        <f>IF($AE$1579&gt;0,IPMT('Assumptions (Geo)'!$V$7,Model!AA$1,'Assumptions (Geo)'!$V$10,'Assumptions (Geo)'!$V$5*Model!$AE$1579*AVERAGE('Assumptions (Geo)'!$AA$2:$AC$2)/10^9),0)</f>
        <v>0</v>
      </c>
      <c r="AJ1716" s="160">
        <f>IF($AE$1579&gt;0,IPMT('Assumptions (Geo)'!$V$7,Model!AB$1,'Assumptions (Geo)'!$V$10,'Assumptions (Geo)'!$V$5*Model!$AE$1579*AVERAGE('Assumptions (Geo)'!$AA$2:$AC$2)/10^9),0)</f>
        <v>0</v>
      </c>
      <c r="AK1716" s="160">
        <f>IF($AE$1579&gt;0,IPMT('Assumptions (Geo)'!$V$7,Model!AC$1,'Assumptions (Geo)'!$V$10,'Assumptions (Geo)'!$V$5*Model!$AE$1579*AVERAGE('Assumptions (Geo)'!$AA$2:$AC$2)/10^9),0)</f>
        <v>0</v>
      </c>
      <c r="AL1716" s="160">
        <f>IF($AE$1579&gt;0,IPMT('Assumptions (Geo)'!$V$7,Model!AD$1,'Assumptions (Geo)'!$V$10,'Assumptions (Geo)'!$V$5*Model!$AE$1579*AVERAGE('Assumptions (Geo)'!$AA$2:$AC$2)/10^9),0)</f>
        <v>0</v>
      </c>
      <c r="AM1716" s="160">
        <f>IF($AE$1579&gt;0,IPMT('Assumptions (Geo)'!$V$7,Model!AE$1,'Assumptions (Geo)'!$V$10,'Assumptions (Geo)'!$V$5*Model!$AE$1579*AVERAGE('Assumptions (Geo)'!$AA$2:$AC$2)/10^9),0)</f>
        <v>0</v>
      </c>
      <c r="AN1716" s="160">
        <f>IF($AE$1579&gt;0,IPMT('Assumptions (Geo)'!$V$7,Model!AF$1,'Assumptions (Geo)'!$V$10,'Assumptions (Geo)'!$V$5*Model!$AE$1579*AVERAGE('Assumptions (Geo)'!$AA$2:$AC$2)/10^9),0)</f>
        <v>0</v>
      </c>
      <c r="AO1716" s="160">
        <f>IF($AE$1579&gt;0,IPMT('Assumptions (Geo)'!$V$7,Model!AG$1,'Assumptions (Geo)'!$V$10,'Assumptions (Geo)'!$V$5*Model!$AE$1579*AVERAGE('Assumptions (Geo)'!$AA$2:$AC$2)/10^9),0)</f>
        <v>0</v>
      </c>
      <c r="AP1716" s="160">
        <f>IF($AE$1579&gt;0,IPMT('Assumptions (Geo)'!$V$7,Model!AH$1,'Assumptions (Geo)'!$V$10,'Assumptions (Geo)'!$V$5*Model!$AE$1579*AVERAGE('Assumptions (Geo)'!$AA$2:$AC$2)/10^9),0)</f>
        <v>0</v>
      </c>
      <c r="AQ1716" s="160">
        <f>IF($AE$1579&gt;0,IPMT('Assumptions (Geo)'!$V$7,Model!AI$1,'Assumptions (Geo)'!$V$10,'Assumptions (Geo)'!$V$5*Model!$AE$1579*AVERAGE('Assumptions (Geo)'!$AA$2:$AC$2)/10^9),0)</f>
        <v>0</v>
      </c>
      <c r="AR1716" s="160">
        <f>IF($AE$1579&gt;0,IPMT('Assumptions (Geo)'!$V$7,Model!AJ$1,'Assumptions (Geo)'!$V$10,'Assumptions (Geo)'!$V$5*Model!$AE$1579*AVERAGE('Assumptions (Geo)'!$AA$2:$AC$2)/10^9),0)</f>
        <v>0</v>
      </c>
      <c r="AS1716" s="160">
        <f>IF($AE$1579&gt;0,IPMT('Assumptions (Geo)'!$V$7,Model!AK$1,'Assumptions (Geo)'!$V$10,'Assumptions (Geo)'!$V$5*Model!$AE$1579*AVERAGE('Assumptions (Geo)'!$AA$2:$AC$2)/10^9),0)</f>
        <v>0</v>
      </c>
      <c r="AT1716" s="160"/>
      <c r="AU1716" s="160"/>
      <c r="AV1716" s="160"/>
      <c r="AW1716" s="160"/>
      <c r="AX1716" s="160"/>
      <c r="AY1716" s="160"/>
      <c r="AZ1716" s="160"/>
      <c r="BA1716" s="160"/>
      <c r="BB1716" s="160"/>
      <c r="BC1716" s="160"/>
    </row>
    <row r="1717" ht="15.75" hidden="1" customHeight="1" outlineLevel="1">
      <c r="A1717" s="295"/>
      <c r="B1717" s="38"/>
      <c r="C1717" s="174"/>
      <c r="D1717" s="174"/>
      <c r="E1717" s="174"/>
      <c r="F1717" s="174"/>
      <c r="G1717" s="174"/>
      <c r="H1717" s="174"/>
      <c r="I1717" s="174"/>
      <c r="J1717" s="174"/>
      <c r="K1717" s="174"/>
      <c r="L1717" s="174"/>
      <c r="M1717" s="174"/>
      <c r="N1717" s="174"/>
      <c r="O1717" s="174"/>
      <c r="P1717" s="174"/>
      <c r="Q1717" s="174"/>
      <c r="R1717" s="174"/>
      <c r="S1717" s="174"/>
      <c r="T1717" s="174"/>
      <c r="U1717" s="174"/>
      <c r="V1717" s="174"/>
      <c r="W1717" s="160"/>
      <c r="X1717" s="160"/>
      <c r="Y1717" s="160"/>
      <c r="Z1717" s="160"/>
      <c r="AA1717" s="160"/>
      <c r="AB1717" s="160"/>
      <c r="AC1717" s="160"/>
      <c r="AD1717" s="160"/>
      <c r="AE1717" s="160"/>
      <c r="AF1717" s="160">
        <f>IF($AF$1579&gt;0,IPMT('Assumptions (Geo)'!$V$7,Model!W$1,'Assumptions (Geo)'!$V$10,'Assumptions (Geo)'!$V$5*Model!$AF$1579*AVERAGE('Assumptions (Geo)'!$AB$2:$AD$2)/10^9),0)</f>
        <v>0</v>
      </c>
      <c r="AG1717" s="160">
        <f>IF($AF$1579&gt;0,IPMT('Assumptions (Geo)'!$V$7,Model!X$1,'Assumptions (Geo)'!$V$10,'Assumptions (Geo)'!$V$5*Model!$AF$1579*AVERAGE('Assumptions (Geo)'!$AB$2:$AD$2)/10^9),0)</f>
        <v>0</v>
      </c>
      <c r="AH1717" s="160">
        <f>IF($AF$1579&gt;0,IPMT('Assumptions (Geo)'!$V$7,Model!Y$1,'Assumptions (Geo)'!$V$10,'Assumptions (Geo)'!$V$5*Model!$AF$1579*AVERAGE('Assumptions (Geo)'!$AB$2:$AD$2)/10^9),0)</f>
        <v>0</v>
      </c>
      <c r="AI1717" s="160">
        <f>IF($AF$1579&gt;0,IPMT('Assumptions (Geo)'!$V$7,Model!Z$1,'Assumptions (Geo)'!$V$10,'Assumptions (Geo)'!$V$5*Model!$AF$1579*AVERAGE('Assumptions (Geo)'!$AB$2:$AD$2)/10^9),0)</f>
        <v>0</v>
      </c>
      <c r="AJ1717" s="160">
        <f>IF($AF$1579&gt;0,IPMT('Assumptions (Geo)'!$V$7,Model!AA$1,'Assumptions (Geo)'!$V$10,'Assumptions (Geo)'!$V$5*Model!$AF$1579*AVERAGE('Assumptions (Geo)'!$AB$2:$AD$2)/10^9),0)</f>
        <v>0</v>
      </c>
      <c r="AK1717" s="160">
        <f>IF($AF$1579&gt;0,IPMT('Assumptions (Geo)'!$V$7,Model!AB$1,'Assumptions (Geo)'!$V$10,'Assumptions (Geo)'!$V$5*Model!$AF$1579*AVERAGE('Assumptions (Geo)'!$AB$2:$AD$2)/10^9),0)</f>
        <v>0</v>
      </c>
      <c r="AL1717" s="160">
        <f>IF($AF$1579&gt;0,IPMT('Assumptions (Geo)'!$V$7,Model!AC$1,'Assumptions (Geo)'!$V$10,'Assumptions (Geo)'!$V$5*Model!$AF$1579*AVERAGE('Assumptions (Geo)'!$AB$2:$AD$2)/10^9),0)</f>
        <v>0</v>
      </c>
      <c r="AM1717" s="160">
        <f>IF($AF$1579&gt;0,IPMT('Assumptions (Geo)'!$V$7,Model!AD$1,'Assumptions (Geo)'!$V$10,'Assumptions (Geo)'!$V$5*Model!$AF$1579*AVERAGE('Assumptions (Geo)'!$AB$2:$AD$2)/10^9),0)</f>
        <v>0</v>
      </c>
      <c r="AN1717" s="160">
        <f>IF($AF$1579&gt;0,IPMT('Assumptions (Geo)'!$V$7,Model!AE$1,'Assumptions (Geo)'!$V$10,'Assumptions (Geo)'!$V$5*Model!$AF$1579*AVERAGE('Assumptions (Geo)'!$AB$2:$AD$2)/10^9),0)</f>
        <v>0</v>
      </c>
      <c r="AO1717" s="160">
        <f>IF($AF$1579&gt;0,IPMT('Assumptions (Geo)'!$V$7,Model!AF$1,'Assumptions (Geo)'!$V$10,'Assumptions (Geo)'!$V$5*Model!$AF$1579*AVERAGE('Assumptions (Geo)'!$AB$2:$AD$2)/10^9),0)</f>
        <v>0</v>
      </c>
      <c r="AP1717" s="160">
        <f>IF($AF$1579&gt;0,IPMT('Assumptions (Geo)'!$V$7,Model!AG$1,'Assumptions (Geo)'!$V$10,'Assumptions (Geo)'!$V$5*Model!$AF$1579*AVERAGE('Assumptions (Geo)'!$AB$2:$AD$2)/10^9),0)</f>
        <v>0</v>
      </c>
      <c r="AQ1717" s="160">
        <f>IF($AF$1579&gt;0,IPMT('Assumptions (Geo)'!$V$7,Model!AH$1,'Assumptions (Geo)'!$V$10,'Assumptions (Geo)'!$V$5*Model!$AF$1579*AVERAGE('Assumptions (Geo)'!$AB$2:$AD$2)/10^9),0)</f>
        <v>0</v>
      </c>
      <c r="AR1717" s="160">
        <f>IF($AF$1579&gt;0,IPMT('Assumptions (Geo)'!$V$7,Model!AI$1,'Assumptions (Geo)'!$V$10,'Assumptions (Geo)'!$V$5*Model!$AF$1579*AVERAGE('Assumptions (Geo)'!$AB$2:$AD$2)/10^9),0)</f>
        <v>0</v>
      </c>
      <c r="AS1717" s="160">
        <f>IF($AF$1579&gt;0,IPMT('Assumptions (Geo)'!$V$7,Model!AJ$1,'Assumptions (Geo)'!$V$10,'Assumptions (Geo)'!$V$5*Model!$AF$1579*AVERAGE('Assumptions (Geo)'!$AB$2:$AD$2)/10^9),0)</f>
        <v>0</v>
      </c>
      <c r="AT1717" s="160">
        <f>IF($AF$1579&gt;0,IPMT('Assumptions (Geo)'!$V$7,Model!AK$1,'Assumptions (Geo)'!$V$10,'Assumptions (Geo)'!$V$5*Model!$AF$1579*AVERAGE('Assumptions (Geo)'!$AB$2:$AD$2)/10^9),0)</f>
        <v>0</v>
      </c>
      <c r="AU1717" s="160"/>
      <c r="AV1717" s="160"/>
      <c r="AW1717" s="160"/>
      <c r="AX1717" s="160"/>
      <c r="AY1717" s="160"/>
      <c r="AZ1717" s="160"/>
      <c r="BA1717" s="160"/>
      <c r="BB1717" s="160"/>
      <c r="BC1717" s="160"/>
      <c r="BD1717" s="160"/>
    </row>
    <row r="1718" ht="15.75" hidden="1" customHeight="1" outlineLevel="1">
      <c r="A1718" s="295"/>
      <c r="B1718" s="38"/>
      <c r="C1718" s="174"/>
      <c r="D1718" s="174"/>
      <c r="E1718" s="174"/>
      <c r="F1718" s="174"/>
      <c r="G1718" s="174"/>
      <c r="H1718" s="174"/>
      <c r="I1718" s="174"/>
      <c r="J1718" s="174"/>
      <c r="K1718" s="174"/>
      <c r="L1718" s="174"/>
      <c r="M1718" s="174"/>
      <c r="N1718" s="174"/>
      <c r="O1718" s="174"/>
      <c r="P1718" s="174"/>
      <c r="Q1718" s="174"/>
      <c r="R1718" s="174"/>
      <c r="S1718" s="174"/>
      <c r="T1718" s="174"/>
      <c r="U1718" s="174"/>
      <c r="V1718" s="174"/>
      <c r="W1718" s="160"/>
      <c r="X1718" s="160"/>
      <c r="Y1718" s="160"/>
      <c r="Z1718" s="160"/>
      <c r="AA1718" s="160"/>
      <c r="AB1718" s="160"/>
      <c r="AC1718" s="160"/>
      <c r="AD1718" s="160"/>
      <c r="AE1718" s="160"/>
      <c r="AF1718" s="160"/>
      <c r="AG1718" s="160">
        <f>IF($AG$1579&gt;0,IPMT('Assumptions (Geo)'!$V$7,Model!W$1,'Assumptions (Geo)'!$V$10,'Assumptions (Geo)'!$V$5*Model!$AG$1579*AVERAGE('Assumptions (Geo)'!$AC$2:$AE$2)/10^9),0)</f>
        <v>0</v>
      </c>
      <c r="AH1718" s="160">
        <f>IF($AG$1579&gt;0,IPMT('Assumptions (Geo)'!$V$7,Model!X$1,'Assumptions (Geo)'!$V$10,'Assumptions (Geo)'!$V$5*Model!$AG$1579*AVERAGE('Assumptions (Geo)'!$AC$2:$AE$2)/10^9),0)</f>
        <v>0</v>
      </c>
      <c r="AI1718" s="160">
        <f>IF($AG$1579&gt;0,IPMT('Assumptions (Geo)'!$V$7,Model!Y$1,'Assumptions (Geo)'!$V$10,'Assumptions (Geo)'!$V$5*Model!$AG$1579*AVERAGE('Assumptions (Geo)'!$AC$2:$AE$2)/10^9),0)</f>
        <v>0</v>
      </c>
      <c r="AJ1718" s="160">
        <f>IF($AG$1579&gt;0,IPMT('Assumptions (Geo)'!$V$7,Model!Z$1,'Assumptions (Geo)'!$V$10,'Assumptions (Geo)'!$V$5*Model!$AG$1579*AVERAGE('Assumptions (Geo)'!$AC$2:$AE$2)/10^9),0)</f>
        <v>0</v>
      </c>
      <c r="AK1718" s="160">
        <f>IF($AG$1579&gt;0,IPMT('Assumptions (Geo)'!$V$7,Model!AA$1,'Assumptions (Geo)'!$V$10,'Assumptions (Geo)'!$V$5*Model!$AG$1579*AVERAGE('Assumptions (Geo)'!$AC$2:$AE$2)/10^9),0)</f>
        <v>0</v>
      </c>
      <c r="AL1718" s="160">
        <f>IF($AG$1579&gt;0,IPMT('Assumptions (Geo)'!$V$7,Model!AB$1,'Assumptions (Geo)'!$V$10,'Assumptions (Geo)'!$V$5*Model!$AG$1579*AVERAGE('Assumptions (Geo)'!$AC$2:$AE$2)/10^9),0)</f>
        <v>0</v>
      </c>
      <c r="AM1718" s="160">
        <f>IF($AG$1579&gt;0,IPMT('Assumptions (Geo)'!$V$7,Model!AC$1,'Assumptions (Geo)'!$V$10,'Assumptions (Geo)'!$V$5*Model!$AG$1579*AVERAGE('Assumptions (Geo)'!$AC$2:$AE$2)/10^9),0)</f>
        <v>0</v>
      </c>
      <c r="AN1718" s="160">
        <f>IF($AG$1579&gt;0,IPMT('Assumptions (Geo)'!$V$7,Model!AD$1,'Assumptions (Geo)'!$V$10,'Assumptions (Geo)'!$V$5*Model!$AG$1579*AVERAGE('Assumptions (Geo)'!$AC$2:$AE$2)/10^9),0)</f>
        <v>0</v>
      </c>
      <c r="AO1718" s="160">
        <f>IF($AG$1579&gt;0,IPMT('Assumptions (Geo)'!$V$7,Model!AE$1,'Assumptions (Geo)'!$V$10,'Assumptions (Geo)'!$V$5*Model!$AG$1579*AVERAGE('Assumptions (Geo)'!$AC$2:$AE$2)/10^9),0)</f>
        <v>0</v>
      </c>
      <c r="AP1718" s="160">
        <f>IF($AG$1579&gt;0,IPMT('Assumptions (Geo)'!$V$7,Model!AF$1,'Assumptions (Geo)'!$V$10,'Assumptions (Geo)'!$V$5*Model!$AG$1579*AVERAGE('Assumptions (Geo)'!$AC$2:$AE$2)/10^9),0)</f>
        <v>0</v>
      </c>
      <c r="AQ1718" s="160">
        <f>IF($AG$1579&gt;0,IPMT('Assumptions (Geo)'!$V$7,Model!AG$1,'Assumptions (Geo)'!$V$10,'Assumptions (Geo)'!$V$5*Model!$AG$1579*AVERAGE('Assumptions (Geo)'!$AC$2:$AE$2)/10^9),0)</f>
        <v>0</v>
      </c>
      <c r="AR1718" s="160">
        <f>IF($AG$1579&gt;0,IPMT('Assumptions (Geo)'!$V$7,Model!AH$1,'Assumptions (Geo)'!$V$10,'Assumptions (Geo)'!$V$5*Model!$AG$1579*AVERAGE('Assumptions (Geo)'!$AC$2:$AE$2)/10^9),0)</f>
        <v>0</v>
      </c>
      <c r="AS1718" s="160">
        <f>IF($AG$1579&gt;0,IPMT('Assumptions (Geo)'!$V$7,Model!AI$1,'Assumptions (Geo)'!$V$10,'Assumptions (Geo)'!$V$5*Model!$AG$1579*AVERAGE('Assumptions (Geo)'!$AC$2:$AE$2)/10^9),0)</f>
        <v>0</v>
      </c>
      <c r="AT1718" s="160">
        <f>IF($AG$1579&gt;0,IPMT('Assumptions (Geo)'!$V$7,Model!AJ$1,'Assumptions (Geo)'!$V$10,'Assumptions (Geo)'!$V$5*Model!$AG$1579*AVERAGE('Assumptions (Geo)'!$AC$2:$AE$2)/10^9),0)</f>
        <v>0</v>
      </c>
      <c r="AU1718" s="160">
        <f>IF($AG$1579&gt;0,IPMT('Assumptions (Geo)'!$V$7,Model!AK$1,'Assumptions (Geo)'!$V$10,'Assumptions (Geo)'!$V$5*Model!$AG$1579*AVERAGE('Assumptions (Geo)'!$AC$2:$AE$2)/10^9),0)</f>
        <v>0</v>
      </c>
      <c r="AV1718" s="160"/>
      <c r="AW1718" s="160"/>
      <c r="AX1718" s="160"/>
      <c r="AY1718" s="160"/>
      <c r="AZ1718" s="160"/>
      <c r="BA1718" s="160"/>
      <c r="BB1718" s="160"/>
      <c r="BC1718" s="160"/>
      <c r="BD1718" s="160"/>
      <c r="BE1718" s="160"/>
    </row>
    <row r="1719" ht="15.75" hidden="1" customHeight="1" outlineLevel="1">
      <c r="A1719" s="295"/>
      <c r="B1719" s="38"/>
      <c r="C1719" s="174"/>
      <c r="D1719" s="174"/>
      <c r="E1719" s="174"/>
      <c r="F1719" s="174"/>
      <c r="G1719" s="174"/>
      <c r="H1719" s="174"/>
      <c r="I1719" s="174"/>
      <c r="J1719" s="174"/>
      <c r="K1719" s="174"/>
      <c r="L1719" s="174"/>
      <c r="M1719" s="174"/>
      <c r="N1719" s="174"/>
      <c r="O1719" s="174"/>
      <c r="P1719" s="174"/>
      <c r="Q1719" s="174"/>
      <c r="R1719" s="174"/>
      <c r="S1719" s="174"/>
      <c r="T1719" s="174"/>
      <c r="U1719" s="174"/>
      <c r="V1719" s="174"/>
      <c r="W1719" s="160"/>
      <c r="X1719" s="160"/>
      <c r="Y1719" s="160"/>
      <c r="Z1719" s="160"/>
      <c r="AA1719" s="160"/>
      <c r="AB1719" s="160"/>
      <c r="AC1719" s="160"/>
      <c r="AD1719" s="160"/>
      <c r="AE1719" s="160"/>
      <c r="AF1719" s="160"/>
      <c r="AG1719" s="160"/>
      <c r="AH1719" s="160">
        <f>IF($AH$1579&gt;0,IPMT('Assumptions (Geo)'!$V$7,Model!W$1,'Assumptions (Geo)'!$V$10,'Assumptions (Geo)'!$V$5*Model!$AH$1579*AVERAGE('Assumptions (Geo)'!$AD$2:$AF$2)/10^9),0)</f>
        <v>0</v>
      </c>
      <c r="AI1719" s="160">
        <f>IF($AH$1579&gt;0,IPMT('Assumptions (Geo)'!$V$7,Model!X$1,'Assumptions (Geo)'!$V$10,'Assumptions (Geo)'!$V$5*Model!$AH$1579*AVERAGE('Assumptions (Geo)'!$AD$2:$AF$2)/10^9),0)</f>
        <v>0</v>
      </c>
      <c r="AJ1719" s="160">
        <f>IF($AH$1579&gt;0,IPMT('Assumptions (Geo)'!$V$7,Model!Y$1,'Assumptions (Geo)'!$V$10,'Assumptions (Geo)'!$V$5*Model!$AH$1579*AVERAGE('Assumptions (Geo)'!$AD$2:$AF$2)/10^9),0)</f>
        <v>0</v>
      </c>
      <c r="AK1719" s="160">
        <f>IF($AH$1579&gt;0,IPMT('Assumptions (Geo)'!$V$7,Model!Z$1,'Assumptions (Geo)'!$V$10,'Assumptions (Geo)'!$V$5*Model!$AH$1579*AVERAGE('Assumptions (Geo)'!$AD$2:$AF$2)/10^9),0)</f>
        <v>0</v>
      </c>
      <c r="AL1719" s="160">
        <f>IF($AH$1579&gt;0,IPMT('Assumptions (Geo)'!$V$7,Model!AA$1,'Assumptions (Geo)'!$V$10,'Assumptions (Geo)'!$V$5*Model!$AH$1579*AVERAGE('Assumptions (Geo)'!$AD$2:$AF$2)/10^9),0)</f>
        <v>0</v>
      </c>
      <c r="AM1719" s="160">
        <f>IF($AH$1579&gt;0,IPMT('Assumptions (Geo)'!$V$7,Model!AB$1,'Assumptions (Geo)'!$V$10,'Assumptions (Geo)'!$V$5*Model!$AH$1579*AVERAGE('Assumptions (Geo)'!$AD$2:$AF$2)/10^9),0)</f>
        <v>0</v>
      </c>
      <c r="AN1719" s="160">
        <f>IF($AH$1579&gt;0,IPMT('Assumptions (Geo)'!$V$7,Model!AC$1,'Assumptions (Geo)'!$V$10,'Assumptions (Geo)'!$V$5*Model!$AH$1579*AVERAGE('Assumptions (Geo)'!$AD$2:$AF$2)/10^9),0)</f>
        <v>0</v>
      </c>
      <c r="AO1719" s="160">
        <f>IF($AH$1579&gt;0,IPMT('Assumptions (Geo)'!$V$7,Model!AD$1,'Assumptions (Geo)'!$V$10,'Assumptions (Geo)'!$V$5*Model!$AH$1579*AVERAGE('Assumptions (Geo)'!$AD$2:$AF$2)/10^9),0)</f>
        <v>0</v>
      </c>
      <c r="AP1719" s="160">
        <f>IF($AH$1579&gt;0,IPMT('Assumptions (Geo)'!$V$7,Model!AE$1,'Assumptions (Geo)'!$V$10,'Assumptions (Geo)'!$V$5*Model!$AH$1579*AVERAGE('Assumptions (Geo)'!$AD$2:$AF$2)/10^9),0)</f>
        <v>0</v>
      </c>
      <c r="AQ1719" s="160">
        <f>IF($AH$1579&gt;0,IPMT('Assumptions (Geo)'!$V$7,Model!AF$1,'Assumptions (Geo)'!$V$10,'Assumptions (Geo)'!$V$5*Model!$AH$1579*AVERAGE('Assumptions (Geo)'!$AD$2:$AF$2)/10^9),0)</f>
        <v>0</v>
      </c>
      <c r="AR1719" s="160">
        <f>IF($AH$1579&gt;0,IPMT('Assumptions (Geo)'!$V$7,Model!AG$1,'Assumptions (Geo)'!$V$10,'Assumptions (Geo)'!$V$5*Model!$AH$1579*AVERAGE('Assumptions (Geo)'!$AD$2:$AF$2)/10^9),0)</f>
        <v>0</v>
      </c>
      <c r="AS1719" s="160">
        <f>IF($AH$1579&gt;0,IPMT('Assumptions (Geo)'!$V$7,Model!AH$1,'Assumptions (Geo)'!$V$10,'Assumptions (Geo)'!$V$5*Model!$AH$1579*AVERAGE('Assumptions (Geo)'!$AD$2:$AF$2)/10^9),0)</f>
        <v>0</v>
      </c>
      <c r="AT1719" s="160">
        <f>IF($AH$1579&gt;0,IPMT('Assumptions (Geo)'!$V$7,Model!AI$1,'Assumptions (Geo)'!$V$10,'Assumptions (Geo)'!$V$5*Model!$AH$1579*AVERAGE('Assumptions (Geo)'!$AD$2:$AF$2)/10^9),0)</f>
        <v>0</v>
      </c>
      <c r="AU1719" s="160">
        <f>IF($AH$1579&gt;0,IPMT('Assumptions (Geo)'!$V$7,Model!AJ$1,'Assumptions (Geo)'!$V$10,'Assumptions (Geo)'!$V$5*Model!$AH$1579*AVERAGE('Assumptions (Geo)'!$AD$2:$AF$2)/10^9),0)</f>
        <v>0</v>
      </c>
      <c r="AV1719" s="160">
        <f>IF($AH$1579&gt;0,IPMT('Assumptions (Geo)'!$V$7,Model!AK$1,'Assumptions (Geo)'!$V$10,'Assumptions (Geo)'!$V$5*Model!$AH$1579*AVERAGE('Assumptions (Geo)'!$AD$2:$AF$2)/10^9),0)</f>
        <v>0</v>
      </c>
      <c r="AW1719" s="160"/>
      <c r="AX1719" s="160"/>
      <c r="AY1719" s="160"/>
      <c r="AZ1719" s="160"/>
      <c r="BA1719" s="160"/>
      <c r="BB1719" s="160"/>
      <c r="BC1719" s="160"/>
      <c r="BD1719" s="160"/>
      <c r="BE1719" s="160"/>
      <c r="BF1719" s="160"/>
    </row>
    <row r="1720" ht="15.75" hidden="1" customHeight="1" outlineLevel="1">
      <c r="A1720" s="295"/>
      <c r="B1720" s="38"/>
      <c r="C1720" s="174"/>
      <c r="D1720" s="174"/>
      <c r="E1720" s="174"/>
      <c r="F1720" s="174"/>
      <c r="G1720" s="174"/>
      <c r="H1720" s="174"/>
      <c r="I1720" s="174"/>
      <c r="J1720" s="174"/>
      <c r="K1720" s="174"/>
      <c r="L1720" s="174"/>
      <c r="M1720" s="174"/>
      <c r="N1720" s="174"/>
      <c r="O1720" s="174"/>
      <c r="P1720" s="174"/>
      <c r="Q1720" s="174"/>
      <c r="R1720" s="174"/>
      <c r="S1720" s="174"/>
      <c r="T1720" s="174"/>
      <c r="U1720" s="174"/>
      <c r="V1720" s="174"/>
      <c r="W1720" s="160"/>
      <c r="X1720" s="160"/>
      <c r="Y1720" s="160"/>
      <c r="Z1720" s="160"/>
      <c r="AA1720" s="160"/>
      <c r="AB1720" s="160"/>
      <c r="AC1720" s="160"/>
      <c r="AD1720" s="160"/>
      <c r="AE1720" s="160"/>
      <c r="AF1720" s="160"/>
      <c r="AG1720" s="160"/>
      <c r="AH1720" s="160"/>
      <c r="AI1720" s="160">
        <f>IF($AI$1579&gt;0,IPMT('Assumptions (Geo)'!$V$7,Model!W$1,'Assumptions (Geo)'!$V$10,'Assumptions (Geo)'!$V$5*Model!$AI$1579*AVERAGE('Assumptions (Geo)'!$AE$2:$AG$2)/10^9),0)</f>
        <v>0</v>
      </c>
      <c r="AJ1720" s="160">
        <f>IF($AI$1579&gt;0,IPMT('Assumptions (Geo)'!$V$7,Model!X$1,'Assumptions (Geo)'!$V$10,'Assumptions (Geo)'!$V$5*Model!$AI$1579*AVERAGE('Assumptions (Geo)'!$AE$2:$AG$2)/10^9),0)</f>
        <v>0</v>
      </c>
      <c r="AK1720" s="160">
        <f>IF($AI$1579&gt;0,IPMT('Assumptions (Geo)'!$V$7,Model!Y$1,'Assumptions (Geo)'!$V$10,'Assumptions (Geo)'!$V$5*Model!$AI$1579*AVERAGE('Assumptions (Geo)'!$AE$2:$AG$2)/10^9),0)</f>
        <v>0</v>
      </c>
      <c r="AL1720" s="160">
        <f>IF($AI$1579&gt;0,IPMT('Assumptions (Geo)'!$V$7,Model!Z$1,'Assumptions (Geo)'!$V$10,'Assumptions (Geo)'!$V$5*Model!$AI$1579*AVERAGE('Assumptions (Geo)'!$AE$2:$AG$2)/10^9),0)</f>
        <v>0</v>
      </c>
      <c r="AM1720" s="160">
        <f>IF($AI$1579&gt;0,IPMT('Assumptions (Geo)'!$V$7,Model!AA$1,'Assumptions (Geo)'!$V$10,'Assumptions (Geo)'!$V$5*Model!$AI$1579*AVERAGE('Assumptions (Geo)'!$AE$2:$AG$2)/10^9),0)</f>
        <v>0</v>
      </c>
      <c r="AN1720" s="160">
        <f>IF($AI$1579&gt;0,IPMT('Assumptions (Geo)'!$V$7,Model!AB$1,'Assumptions (Geo)'!$V$10,'Assumptions (Geo)'!$V$5*Model!$AI$1579*AVERAGE('Assumptions (Geo)'!$AE$2:$AG$2)/10^9),0)</f>
        <v>0</v>
      </c>
      <c r="AO1720" s="160">
        <f>IF($AI$1579&gt;0,IPMT('Assumptions (Geo)'!$V$7,Model!AC$1,'Assumptions (Geo)'!$V$10,'Assumptions (Geo)'!$V$5*Model!$AI$1579*AVERAGE('Assumptions (Geo)'!$AE$2:$AG$2)/10^9),0)</f>
        <v>0</v>
      </c>
      <c r="AP1720" s="160">
        <f>IF($AI$1579&gt;0,IPMT('Assumptions (Geo)'!$V$7,Model!AD$1,'Assumptions (Geo)'!$V$10,'Assumptions (Geo)'!$V$5*Model!$AI$1579*AVERAGE('Assumptions (Geo)'!$AE$2:$AG$2)/10^9),0)</f>
        <v>0</v>
      </c>
      <c r="AQ1720" s="160">
        <f>IF($AI$1579&gt;0,IPMT('Assumptions (Geo)'!$V$7,Model!AE$1,'Assumptions (Geo)'!$V$10,'Assumptions (Geo)'!$V$5*Model!$AI$1579*AVERAGE('Assumptions (Geo)'!$AE$2:$AG$2)/10^9),0)</f>
        <v>0</v>
      </c>
      <c r="AR1720" s="160">
        <f>IF($AI$1579&gt;0,IPMT('Assumptions (Geo)'!$V$7,Model!AF$1,'Assumptions (Geo)'!$V$10,'Assumptions (Geo)'!$V$5*Model!$AI$1579*AVERAGE('Assumptions (Geo)'!$AE$2:$AG$2)/10^9),0)</f>
        <v>0</v>
      </c>
      <c r="AS1720" s="160">
        <f>IF($AI$1579&gt;0,IPMT('Assumptions (Geo)'!$V$7,Model!AG$1,'Assumptions (Geo)'!$V$10,'Assumptions (Geo)'!$V$5*Model!$AI$1579*AVERAGE('Assumptions (Geo)'!$AE$2:$AG$2)/10^9),0)</f>
        <v>0</v>
      </c>
      <c r="AT1720" s="160">
        <f>IF($AI$1579&gt;0,IPMT('Assumptions (Geo)'!$V$7,Model!AH$1,'Assumptions (Geo)'!$V$10,'Assumptions (Geo)'!$V$5*Model!$AI$1579*AVERAGE('Assumptions (Geo)'!$AE$2:$AG$2)/10^9),0)</f>
        <v>0</v>
      </c>
      <c r="AU1720" s="160">
        <f>IF($AI$1579&gt;0,IPMT('Assumptions (Geo)'!$V$7,Model!AI$1,'Assumptions (Geo)'!$V$10,'Assumptions (Geo)'!$V$5*Model!$AI$1579*AVERAGE('Assumptions (Geo)'!$AE$2:$AG$2)/10^9),0)</f>
        <v>0</v>
      </c>
      <c r="AV1720" s="160">
        <f>IF($AI$1579&gt;0,IPMT('Assumptions (Geo)'!$V$7,Model!AJ$1,'Assumptions (Geo)'!$V$10,'Assumptions (Geo)'!$V$5*Model!$AI$1579*AVERAGE('Assumptions (Geo)'!$AE$2:$AG$2)/10^9),0)</f>
        <v>0</v>
      </c>
      <c r="AW1720" s="160">
        <f>IF($AI$1579&gt;0,IPMT('Assumptions (Geo)'!$V$7,Model!AK$1,'Assumptions (Geo)'!$V$10,'Assumptions (Geo)'!$V$5*Model!$AI$1579*AVERAGE('Assumptions (Geo)'!$AE$2:$AG$2)/10^9),0)</f>
        <v>0</v>
      </c>
      <c r="AX1720" s="160"/>
      <c r="AY1720" s="160"/>
      <c r="AZ1720" s="160"/>
      <c r="BA1720" s="160"/>
      <c r="BB1720" s="160"/>
      <c r="BC1720" s="160"/>
      <c r="BD1720" s="160"/>
      <c r="BE1720" s="160"/>
      <c r="BF1720" s="160"/>
      <c r="BG1720" s="160"/>
    </row>
    <row r="1721" ht="15.75" hidden="1" customHeight="1" outlineLevel="1">
      <c r="A1721" s="295"/>
      <c r="B1721" s="38"/>
      <c r="C1721" s="174"/>
      <c r="D1721" s="174"/>
      <c r="E1721" s="174"/>
      <c r="F1721" s="174"/>
      <c r="G1721" s="174"/>
      <c r="H1721" s="174"/>
      <c r="I1721" s="174"/>
      <c r="J1721" s="174"/>
      <c r="K1721" s="174"/>
      <c r="L1721" s="174"/>
      <c r="M1721" s="174"/>
      <c r="N1721" s="174"/>
      <c r="O1721" s="174"/>
      <c r="P1721" s="174"/>
      <c r="Q1721" s="174"/>
      <c r="R1721" s="174"/>
      <c r="S1721" s="174"/>
      <c r="T1721" s="174"/>
      <c r="U1721" s="174"/>
      <c r="V1721" s="174"/>
      <c r="W1721" s="160"/>
      <c r="X1721" s="160"/>
      <c r="Y1721" s="160"/>
      <c r="Z1721" s="160"/>
      <c r="AA1721" s="160"/>
      <c r="AB1721" s="160"/>
      <c r="AC1721" s="160"/>
      <c r="AD1721" s="160"/>
      <c r="AE1721" s="160"/>
      <c r="AF1721" s="160"/>
      <c r="AG1721" s="160"/>
      <c r="AH1721" s="160"/>
      <c r="AI1721" s="160"/>
      <c r="AJ1721" s="177">
        <f>IF($AJ$1579&gt;0,IPMT('Assumptions (Geo)'!$V$7,Model!W$1,'Assumptions (Geo)'!$V$10,'Assumptions (Geo)'!$V$5*Model!$AJ$1579*AVERAGE('Assumptions (Geo)'!$AF$2:$AH$2)/10^9),0)</f>
        <v>0</v>
      </c>
      <c r="AK1721" s="177">
        <f>IF($AJ$1579&gt;0,IPMT('Assumptions (Geo)'!$V$7,Model!X$1,'Assumptions (Geo)'!$V$10,'Assumptions (Geo)'!$V$5*Model!$AJ$1579*AVERAGE('Assumptions (Geo)'!$AF$2:$AH$2)/10^9),0)</f>
        <v>0</v>
      </c>
      <c r="AL1721" s="177">
        <f>IF($AJ$1579&gt;0,IPMT('Assumptions (Geo)'!$V$7,Model!Y$1,'Assumptions (Geo)'!$V$10,'Assumptions (Geo)'!$V$5*Model!$AJ$1579*AVERAGE('Assumptions (Geo)'!$AF$2:$AH$2)/10^9),0)</f>
        <v>0</v>
      </c>
      <c r="AM1721" s="177">
        <f>IF($AJ$1579&gt;0,IPMT('Assumptions (Geo)'!$V$7,Model!Z$1,'Assumptions (Geo)'!$V$10,'Assumptions (Geo)'!$V$5*Model!$AJ$1579*AVERAGE('Assumptions (Geo)'!$AF$2:$AH$2)/10^9),0)</f>
        <v>0</v>
      </c>
      <c r="AN1721" s="177">
        <f>IF($AJ$1579&gt;0,IPMT('Assumptions (Geo)'!$V$7,Model!AA$1,'Assumptions (Geo)'!$V$10,'Assumptions (Geo)'!$V$5*Model!$AJ$1579*AVERAGE('Assumptions (Geo)'!$AF$2:$AH$2)/10^9),0)</f>
        <v>0</v>
      </c>
      <c r="AO1721" s="177">
        <f>IF($AJ$1579&gt;0,IPMT('Assumptions (Geo)'!$V$7,Model!AB$1,'Assumptions (Geo)'!$V$10,'Assumptions (Geo)'!$V$5*Model!$AJ$1579*AVERAGE('Assumptions (Geo)'!$AF$2:$AH$2)/10^9),0)</f>
        <v>0</v>
      </c>
      <c r="AP1721" s="177">
        <f>IF($AJ$1579&gt;0,IPMT('Assumptions (Geo)'!$V$7,Model!AC$1,'Assumptions (Geo)'!$V$10,'Assumptions (Geo)'!$V$5*Model!$AJ$1579*AVERAGE('Assumptions (Geo)'!$AF$2:$AH$2)/10^9),0)</f>
        <v>0</v>
      </c>
      <c r="AQ1721" s="177">
        <f>IF($AJ$1579&gt;0,IPMT('Assumptions (Geo)'!$V$7,Model!AD$1,'Assumptions (Geo)'!$V$10,'Assumptions (Geo)'!$V$5*Model!$AJ$1579*AVERAGE('Assumptions (Geo)'!$AF$2:$AH$2)/10^9),0)</f>
        <v>0</v>
      </c>
      <c r="AR1721" s="177">
        <f>IF($AJ$1579&gt;0,IPMT('Assumptions (Geo)'!$V$7,Model!AE$1,'Assumptions (Geo)'!$V$10,'Assumptions (Geo)'!$V$5*Model!$AJ$1579*AVERAGE('Assumptions (Geo)'!$AF$2:$AH$2)/10^9),0)</f>
        <v>0</v>
      </c>
      <c r="AS1721" s="177">
        <f>IF($AJ$1579&gt;0,IPMT('Assumptions (Geo)'!$V$7,Model!AF$1,'Assumptions (Geo)'!$V$10,'Assumptions (Geo)'!$V$5*Model!$AJ$1579*AVERAGE('Assumptions (Geo)'!$AF$2:$AH$2)/10^9),0)</f>
        <v>0</v>
      </c>
      <c r="AT1721" s="177">
        <f>IF($AJ$1579&gt;0,IPMT('Assumptions (Geo)'!$V$7,Model!AG$1,'Assumptions (Geo)'!$V$10,'Assumptions (Geo)'!$V$5*Model!$AJ$1579*AVERAGE('Assumptions (Geo)'!$AF$2:$AH$2)/10^9),0)</f>
        <v>0</v>
      </c>
      <c r="AU1721" s="177">
        <f>IF($AJ$1579&gt;0,IPMT('Assumptions (Geo)'!$V$7,Model!AH$1,'Assumptions (Geo)'!$V$10,'Assumptions (Geo)'!$V$5*Model!$AJ$1579*AVERAGE('Assumptions (Geo)'!$AF$2:$AH$2)/10^9),0)</f>
        <v>0</v>
      </c>
      <c r="AV1721" s="177">
        <f>IF($AJ$1579&gt;0,IPMT('Assumptions (Geo)'!$V$7,Model!AI$1,'Assumptions (Geo)'!$V$10,'Assumptions (Geo)'!$V$5*Model!$AJ$1579*AVERAGE('Assumptions (Geo)'!$AF$2:$AH$2)/10^9),0)</f>
        <v>0</v>
      </c>
      <c r="AW1721" s="177">
        <f>IF($AJ$1579&gt;0,IPMT('Assumptions (Geo)'!$V$7,Model!AJ$1,'Assumptions (Geo)'!$V$10,'Assumptions (Geo)'!$V$5*Model!$AJ$1579*AVERAGE('Assumptions (Geo)'!$AF$2:$AH$2)/10^9),0)</f>
        <v>0</v>
      </c>
      <c r="AX1721" s="177">
        <f>IF($AJ$1579&gt;0,IPMT('Assumptions (Geo)'!$V$7,Model!AK$1,'Assumptions (Geo)'!$V$10,'Assumptions (Geo)'!$V$5*Model!$AJ$1579*AVERAGE('Assumptions (Geo)'!$AF$2:$AH$2)/10^9),0)</f>
        <v>0</v>
      </c>
      <c r="AY1721" s="177"/>
      <c r="AZ1721" s="177"/>
      <c r="BA1721" s="177"/>
      <c r="BB1721" s="177"/>
      <c r="BC1721" s="177"/>
      <c r="BD1721" s="177"/>
      <c r="BE1721" s="177"/>
      <c r="BF1721" s="177"/>
      <c r="BG1721" s="177"/>
      <c r="BH1721" s="177"/>
    </row>
    <row r="1722" ht="15.75" hidden="1" customHeight="1" outlineLevel="1">
      <c r="A1722" s="295"/>
      <c r="B1722" s="38"/>
      <c r="C1722" s="174"/>
      <c r="D1722" s="174"/>
      <c r="E1722" s="174"/>
      <c r="F1722" s="174"/>
      <c r="G1722" s="174"/>
      <c r="H1722" s="174"/>
      <c r="I1722" s="174"/>
      <c r="J1722" s="174"/>
      <c r="K1722" s="174"/>
      <c r="L1722" s="174"/>
      <c r="M1722" s="174"/>
      <c r="N1722" s="174"/>
      <c r="O1722" s="174"/>
      <c r="P1722" s="174"/>
      <c r="Q1722" s="174"/>
      <c r="R1722" s="174"/>
      <c r="S1722" s="174"/>
      <c r="T1722" s="174"/>
      <c r="U1722" s="174"/>
      <c r="V1722" s="174"/>
      <c r="W1722" s="160"/>
      <c r="X1722" s="160"/>
      <c r="Y1722" s="160"/>
      <c r="Z1722" s="160"/>
      <c r="AA1722" s="160"/>
      <c r="AB1722" s="160"/>
      <c r="AC1722" s="160"/>
      <c r="AD1722" s="160"/>
      <c r="AE1722" s="160"/>
      <c r="AF1722" s="160"/>
      <c r="AG1722" s="160"/>
      <c r="AH1722" s="160"/>
      <c r="AI1722" s="160"/>
      <c r="AJ1722" s="179"/>
      <c r="AK1722" s="160">
        <f>IF($AK$1579&gt;0,IPMT('Assumptions (Geo)'!$V$7,Model!W$1,'Assumptions (Geo)'!$V$10,'Assumptions (Geo)'!$V$5*Model!$AK$1579*AVERAGE('Assumptions (Geo)'!$AG$2:$AI$2)/10^9),0)</f>
        <v>0</v>
      </c>
      <c r="AL1722" s="160">
        <f>IF($AK$1579&gt;0,IPMT('Assumptions (Geo)'!$V$7,Model!X$1,'Assumptions (Geo)'!$V$10,'Assumptions (Geo)'!$V$5*Model!$AK$1579*AVERAGE('Assumptions (Geo)'!$AG$2:$AI$2)/10^9),0)</f>
        <v>0</v>
      </c>
      <c r="AM1722" s="160">
        <f>IF($AK$1579&gt;0,IPMT('Assumptions (Geo)'!$V$7,Model!Y$1,'Assumptions (Geo)'!$V$10,'Assumptions (Geo)'!$V$5*Model!$AK$1579*AVERAGE('Assumptions (Geo)'!$AG$2:$AI$2)/10^9),0)</f>
        <v>0</v>
      </c>
      <c r="AN1722" s="160">
        <f>IF($AK$1579&gt;0,IPMT('Assumptions (Geo)'!$V$7,Model!Z$1,'Assumptions (Geo)'!$V$10,'Assumptions (Geo)'!$V$5*Model!$AK$1579*AVERAGE('Assumptions (Geo)'!$AG$2:$AI$2)/10^9),0)</f>
        <v>0</v>
      </c>
      <c r="AO1722" s="160">
        <f>IF($AK$1579&gt;0,IPMT('Assumptions (Geo)'!$V$7,Model!AA$1,'Assumptions (Geo)'!$V$10,'Assumptions (Geo)'!$V$5*Model!$AK$1579*AVERAGE('Assumptions (Geo)'!$AG$2:$AI$2)/10^9),0)</f>
        <v>0</v>
      </c>
      <c r="AP1722" s="160">
        <f>IF($AK$1579&gt;0,IPMT('Assumptions (Geo)'!$V$7,Model!AB$1,'Assumptions (Geo)'!$V$10,'Assumptions (Geo)'!$V$5*Model!$AK$1579*AVERAGE('Assumptions (Geo)'!$AG$2:$AI$2)/10^9),0)</f>
        <v>0</v>
      </c>
      <c r="AQ1722" s="160">
        <f>IF($AK$1579&gt;0,IPMT('Assumptions (Geo)'!$V$7,Model!AC$1,'Assumptions (Geo)'!$V$10,'Assumptions (Geo)'!$V$5*Model!$AK$1579*AVERAGE('Assumptions (Geo)'!$AG$2:$AI$2)/10^9),0)</f>
        <v>0</v>
      </c>
      <c r="AR1722" s="160">
        <f>IF($AK$1579&gt;0,IPMT('Assumptions (Geo)'!$V$7,Model!AD$1,'Assumptions (Geo)'!$V$10,'Assumptions (Geo)'!$V$5*Model!$AK$1579*AVERAGE('Assumptions (Geo)'!$AG$2:$AI$2)/10^9),0)</f>
        <v>0</v>
      </c>
      <c r="AS1722" s="160">
        <f>IF($AK$1579&gt;0,IPMT('Assumptions (Geo)'!$V$7,Model!AE$1,'Assumptions (Geo)'!$V$10,'Assumptions (Geo)'!$V$5*Model!$AK$1579*AVERAGE('Assumptions (Geo)'!$AG$2:$AI$2)/10^9),0)</f>
        <v>0</v>
      </c>
      <c r="AT1722" s="160">
        <f>IF($AK$1579&gt;0,IPMT('Assumptions (Geo)'!$V$7,Model!AF$1,'Assumptions (Geo)'!$V$10,'Assumptions (Geo)'!$V$5*Model!$AK$1579*AVERAGE('Assumptions (Geo)'!$AG$2:$AI$2)/10^9),0)</f>
        <v>0</v>
      </c>
      <c r="AU1722" s="160">
        <f>IF($AK$1579&gt;0,IPMT('Assumptions (Geo)'!$V$7,Model!AG$1,'Assumptions (Geo)'!$V$10,'Assumptions (Geo)'!$V$5*Model!$AK$1579*AVERAGE('Assumptions (Geo)'!$AG$2:$AI$2)/10^9),0)</f>
        <v>0</v>
      </c>
      <c r="AV1722" s="160">
        <f>IF($AK$1579&gt;0,IPMT('Assumptions (Geo)'!$V$7,Model!AH$1,'Assumptions (Geo)'!$V$10,'Assumptions (Geo)'!$V$5*Model!$AK$1579*AVERAGE('Assumptions (Geo)'!$AG$2:$AI$2)/10^9),0)</f>
        <v>0</v>
      </c>
      <c r="AW1722" s="160">
        <f>IF($AK$1579&gt;0,IPMT('Assumptions (Geo)'!$V$7,Model!AI$1,'Assumptions (Geo)'!$V$10,'Assumptions (Geo)'!$V$5*Model!$AK$1579*AVERAGE('Assumptions (Geo)'!$AG$2:$AI$2)/10^9),0)</f>
        <v>0</v>
      </c>
      <c r="AX1722" s="160">
        <f>IF($AK$1579&gt;0,IPMT('Assumptions (Geo)'!$V$7,Model!AJ$1,'Assumptions (Geo)'!$V$10,'Assumptions (Geo)'!$V$5*Model!$AK$1579*AVERAGE('Assumptions (Geo)'!$AG$2:$AI$2)/10^9),0)</f>
        <v>0</v>
      </c>
      <c r="AY1722" s="160">
        <f>IF($AK$1579&gt;0,IPMT('Assumptions (Geo)'!$V$7,Model!AK$1,'Assumptions (Geo)'!$V$10,'Assumptions (Geo)'!$V$5*Model!$AK$1579*AVERAGE('Assumptions (Geo)'!$AG$2:$AI$2)/10^9),0)</f>
        <v>0</v>
      </c>
      <c r="AZ1722" s="160"/>
      <c r="BA1722" s="160"/>
      <c r="BB1722" s="160"/>
      <c r="BC1722" s="160"/>
      <c r="BD1722" s="160"/>
      <c r="BE1722" s="160"/>
      <c r="BF1722" s="160"/>
      <c r="BG1722" s="160"/>
      <c r="BH1722" s="160"/>
      <c r="BI1722" s="160"/>
    </row>
    <row r="1723" ht="15.75" hidden="1" customHeight="1" outlineLevel="1">
      <c r="A1723" s="295"/>
      <c r="B1723" s="38"/>
      <c r="C1723" s="174"/>
      <c r="D1723" s="174"/>
      <c r="E1723" s="174"/>
      <c r="F1723" s="174"/>
      <c r="G1723" s="174"/>
      <c r="H1723" s="174"/>
      <c r="I1723" s="174"/>
      <c r="J1723" s="174"/>
      <c r="K1723" s="174"/>
      <c r="L1723" s="174"/>
      <c r="M1723" s="174"/>
      <c r="N1723" s="174"/>
      <c r="O1723" s="174"/>
      <c r="P1723" s="174"/>
      <c r="Q1723" s="174"/>
      <c r="R1723" s="174"/>
      <c r="S1723" s="174"/>
      <c r="T1723" s="174"/>
      <c r="U1723" s="174"/>
      <c r="V1723" s="174"/>
      <c r="W1723" s="160"/>
      <c r="X1723" s="160"/>
      <c r="Y1723" s="160"/>
      <c r="Z1723" s="160"/>
      <c r="AA1723" s="160"/>
      <c r="AB1723" s="160"/>
      <c r="AC1723" s="160"/>
      <c r="AD1723" s="160"/>
      <c r="AE1723" s="160"/>
      <c r="AF1723" s="160"/>
      <c r="AG1723" s="160"/>
      <c r="AH1723" s="160"/>
      <c r="AI1723" s="160"/>
      <c r="AJ1723" s="179"/>
      <c r="AK1723" s="160"/>
      <c r="AL1723" s="177">
        <f>IF($AL$1579&gt;0,IPMT('Assumptions (Geo)'!$V$7,Model!W$1,'Assumptions (Geo)'!$V$10,'Assumptions (Geo)'!$V$5*Model!$AL$1579*AVERAGE('Assumptions (Geo)'!$AH$2:$AJ$2)/10^9),0)</f>
        <v>0</v>
      </c>
      <c r="AM1723" s="177">
        <f>IF($AL$1579&gt;0,IPMT('Assumptions (Geo)'!$V$7,Model!X$1,'Assumptions (Geo)'!$V$10,'Assumptions (Geo)'!$V$5*Model!$AL$1579*AVERAGE('Assumptions (Geo)'!$AH$2:$AJ$2)/10^9),0)</f>
        <v>0</v>
      </c>
      <c r="AN1723" s="177">
        <f>IF($AL$1579&gt;0,IPMT('Assumptions (Geo)'!$V$7,Model!Y$1,'Assumptions (Geo)'!$V$10,'Assumptions (Geo)'!$V$5*Model!$AL$1579*AVERAGE('Assumptions (Geo)'!$AH$2:$AJ$2)/10^9),0)</f>
        <v>0</v>
      </c>
      <c r="AO1723" s="177">
        <f>IF($AL$1579&gt;0,IPMT('Assumptions (Geo)'!$V$7,Model!Z$1,'Assumptions (Geo)'!$V$10,'Assumptions (Geo)'!$V$5*Model!$AL$1579*AVERAGE('Assumptions (Geo)'!$AH$2:$AJ$2)/10^9),0)</f>
        <v>0</v>
      </c>
      <c r="AP1723" s="177">
        <f>IF($AL$1579&gt;0,IPMT('Assumptions (Geo)'!$V$7,Model!AA$1,'Assumptions (Geo)'!$V$10,'Assumptions (Geo)'!$V$5*Model!$AL$1579*AVERAGE('Assumptions (Geo)'!$AH$2:$AJ$2)/10^9),0)</f>
        <v>0</v>
      </c>
      <c r="AQ1723" s="177">
        <f>IF($AL$1579&gt;0,IPMT('Assumptions (Geo)'!$V$7,Model!AB$1,'Assumptions (Geo)'!$V$10,'Assumptions (Geo)'!$V$5*Model!$AL$1579*AVERAGE('Assumptions (Geo)'!$AH$2:$AJ$2)/10^9),0)</f>
        <v>0</v>
      </c>
      <c r="AR1723" s="177">
        <f>IF($AL$1579&gt;0,IPMT('Assumptions (Geo)'!$V$7,Model!AC$1,'Assumptions (Geo)'!$V$10,'Assumptions (Geo)'!$V$5*Model!$AL$1579*AVERAGE('Assumptions (Geo)'!$AH$2:$AJ$2)/10^9),0)</f>
        <v>0</v>
      </c>
      <c r="AS1723" s="177">
        <f>IF($AL$1579&gt;0,IPMT('Assumptions (Geo)'!$V$7,Model!AD$1,'Assumptions (Geo)'!$V$10,'Assumptions (Geo)'!$V$5*Model!$AL$1579*AVERAGE('Assumptions (Geo)'!$AH$2:$AJ$2)/10^9),0)</f>
        <v>0</v>
      </c>
      <c r="AT1723" s="177">
        <f>IF($AL$1579&gt;0,IPMT('Assumptions (Geo)'!$V$7,Model!AE$1,'Assumptions (Geo)'!$V$10,'Assumptions (Geo)'!$V$5*Model!$AL$1579*AVERAGE('Assumptions (Geo)'!$AH$2:$AJ$2)/10^9),0)</f>
        <v>0</v>
      </c>
      <c r="AU1723" s="177">
        <f>IF($AL$1579&gt;0,IPMT('Assumptions (Geo)'!$V$7,Model!AF$1,'Assumptions (Geo)'!$V$10,'Assumptions (Geo)'!$V$5*Model!$AL$1579*AVERAGE('Assumptions (Geo)'!$AH$2:$AJ$2)/10^9),0)</f>
        <v>0</v>
      </c>
      <c r="AV1723" s="177">
        <f>IF($AL$1579&gt;0,IPMT('Assumptions (Geo)'!$V$7,Model!AG$1,'Assumptions (Geo)'!$V$10,'Assumptions (Geo)'!$V$5*Model!$AL$1579*AVERAGE('Assumptions (Geo)'!$AH$2:$AJ$2)/10^9),0)</f>
        <v>0</v>
      </c>
      <c r="AW1723" s="177">
        <f>IF($AL$1579&gt;0,IPMT('Assumptions (Geo)'!$V$7,Model!AH$1,'Assumptions (Geo)'!$V$10,'Assumptions (Geo)'!$V$5*Model!$AL$1579*AVERAGE('Assumptions (Geo)'!$AH$2:$AJ$2)/10^9),0)</f>
        <v>0</v>
      </c>
      <c r="AX1723" s="177">
        <f>IF($AL$1579&gt;0,IPMT('Assumptions (Geo)'!$V$7,Model!AI$1,'Assumptions (Geo)'!$V$10,'Assumptions (Geo)'!$V$5*Model!$AL$1579*AVERAGE('Assumptions (Geo)'!$AH$2:$AJ$2)/10^9),0)</f>
        <v>0</v>
      </c>
      <c r="AY1723" s="177">
        <f>IF($AL$1579&gt;0,IPMT('Assumptions (Geo)'!$V$7,Model!AJ$1,'Assumptions (Geo)'!$V$10,'Assumptions (Geo)'!$V$5*Model!$AL$1579*AVERAGE('Assumptions (Geo)'!$AH$2:$AJ$2)/10^9),0)</f>
        <v>0</v>
      </c>
      <c r="AZ1723" s="177">
        <f>IF($AL$1579&gt;0,IPMT('Assumptions (Geo)'!$V$7,Model!AK$1,'Assumptions (Geo)'!$V$10,'Assumptions (Geo)'!$V$5*Model!$AL$1579*AVERAGE('Assumptions (Geo)'!$AH$2:$AJ$2)/10^9),0)</f>
        <v>0</v>
      </c>
      <c r="BA1723" s="177"/>
      <c r="BB1723" s="177"/>
      <c r="BC1723" s="177"/>
      <c r="BD1723" s="177"/>
      <c r="BE1723" s="177"/>
      <c r="BF1723" s="177"/>
      <c r="BG1723" s="177"/>
      <c r="BH1723" s="177"/>
      <c r="BI1723" s="177"/>
      <c r="BJ1723" s="177"/>
    </row>
    <row r="1724" ht="15.75" hidden="1" customHeight="1" outlineLevel="1">
      <c r="A1724" s="295"/>
      <c r="B1724" s="38"/>
      <c r="C1724" s="174"/>
      <c r="D1724" s="174"/>
      <c r="E1724" s="174"/>
      <c r="F1724" s="174"/>
      <c r="G1724" s="174"/>
      <c r="H1724" s="174"/>
      <c r="I1724" s="174"/>
      <c r="J1724" s="174"/>
      <c r="K1724" s="174"/>
      <c r="L1724" s="174"/>
      <c r="M1724" s="174"/>
      <c r="N1724" s="174"/>
      <c r="O1724" s="174"/>
      <c r="P1724" s="174"/>
      <c r="Q1724" s="174"/>
      <c r="R1724" s="174"/>
      <c r="S1724" s="174"/>
      <c r="T1724" s="174"/>
      <c r="U1724" s="174"/>
      <c r="V1724" s="174"/>
      <c r="W1724" s="160"/>
      <c r="X1724" s="160"/>
      <c r="Y1724" s="160"/>
      <c r="Z1724" s="160"/>
      <c r="AA1724" s="160"/>
      <c r="AB1724" s="160"/>
      <c r="AC1724" s="160"/>
      <c r="AD1724" s="160"/>
      <c r="AE1724" s="160"/>
      <c r="AF1724" s="160"/>
      <c r="AG1724" s="160"/>
      <c r="AH1724" s="160"/>
      <c r="AI1724" s="160"/>
      <c r="AJ1724" s="179"/>
      <c r="AK1724" s="160"/>
      <c r="AL1724" s="177"/>
      <c r="AM1724" s="160">
        <f>IF($AM$1579&gt;0,IPMT('Assumptions (Geo)'!$V$7,Model!W$1,'Assumptions (Geo)'!$V$10,'Assumptions (Geo)'!$V$5*Model!$AM$1579*AVERAGE('Assumptions (Geo)'!$AI$2:$AK$2)/10^9),0)</f>
        <v>0</v>
      </c>
      <c r="AN1724" s="160">
        <f>IF($AM$1579&gt;0,IPMT('Assumptions (Geo)'!$V$7,Model!X$1,'Assumptions (Geo)'!$V$10,'Assumptions (Geo)'!$V$5*Model!$AM$1579*AVERAGE('Assumptions (Geo)'!$AI$2:$AK$2)/10^9),0)</f>
        <v>0</v>
      </c>
      <c r="AO1724" s="160">
        <f>IF($AM$1579&gt;0,IPMT('Assumptions (Geo)'!$V$7,Model!Y$1,'Assumptions (Geo)'!$V$10,'Assumptions (Geo)'!$V$5*Model!$AM$1579*AVERAGE('Assumptions (Geo)'!$AI$2:$AK$2)/10^9),0)</f>
        <v>0</v>
      </c>
      <c r="AP1724" s="160">
        <f>IF($AM$1579&gt;0,IPMT('Assumptions (Geo)'!$V$7,Model!Z$1,'Assumptions (Geo)'!$V$10,'Assumptions (Geo)'!$V$5*Model!$AM$1579*AVERAGE('Assumptions (Geo)'!$AI$2:$AK$2)/10^9),0)</f>
        <v>0</v>
      </c>
      <c r="AQ1724" s="160">
        <f>IF($AM$1579&gt;0,IPMT('Assumptions (Geo)'!$V$7,Model!AA$1,'Assumptions (Geo)'!$V$10,'Assumptions (Geo)'!$V$5*Model!$AM$1579*AVERAGE('Assumptions (Geo)'!$AI$2:$AK$2)/10^9),0)</f>
        <v>0</v>
      </c>
      <c r="AR1724" s="160">
        <f>IF($AM$1579&gt;0,IPMT('Assumptions (Geo)'!$V$7,Model!AB$1,'Assumptions (Geo)'!$V$10,'Assumptions (Geo)'!$V$5*Model!$AM$1579*AVERAGE('Assumptions (Geo)'!$AI$2:$AK$2)/10^9),0)</f>
        <v>0</v>
      </c>
      <c r="AS1724" s="160">
        <f>IF($AM$1579&gt;0,IPMT('Assumptions (Geo)'!$V$7,Model!AC$1,'Assumptions (Geo)'!$V$10,'Assumptions (Geo)'!$V$5*Model!$AM$1579*AVERAGE('Assumptions (Geo)'!$AI$2:$AK$2)/10^9),0)</f>
        <v>0</v>
      </c>
      <c r="AT1724" s="160">
        <f>IF($AM$1579&gt;0,IPMT('Assumptions (Geo)'!$V$7,Model!AD$1,'Assumptions (Geo)'!$V$10,'Assumptions (Geo)'!$V$5*Model!$AM$1579*AVERAGE('Assumptions (Geo)'!$AI$2:$AK$2)/10^9),0)</f>
        <v>0</v>
      </c>
      <c r="AU1724" s="160">
        <f>IF($AM$1579&gt;0,IPMT('Assumptions (Geo)'!$V$7,Model!AE$1,'Assumptions (Geo)'!$V$10,'Assumptions (Geo)'!$V$5*Model!$AM$1579*AVERAGE('Assumptions (Geo)'!$AI$2:$AK$2)/10^9),0)</f>
        <v>0</v>
      </c>
      <c r="AV1724" s="160">
        <f>IF($AM$1579&gt;0,IPMT('Assumptions (Geo)'!$V$7,Model!AF$1,'Assumptions (Geo)'!$V$10,'Assumptions (Geo)'!$V$5*Model!$AM$1579*AVERAGE('Assumptions (Geo)'!$AI$2:$AK$2)/10^9),0)</f>
        <v>0</v>
      </c>
      <c r="AW1724" s="160">
        <f>IF($AM$1579&gt;0,IPMT('Assumptions (Geo)'!$V$7,Model!AG$1,'Assumptions (Geo)'!$V$10,'Assumptions (Geo)'!$V$5*Model!$AM$1579*AVERAGE('Assumptions (Geo)'!$AI$2:$AK$2)/10^9),0)</f>
        <v>0</v>
      </c>
      <c r="AX1724" s="160">
        <f>IF($AM$1579&gt;0,IPMT('Assumptions (Geo)'!$V$7,Model!AH$1,'Assumptions (Geo)'!$V$10,'Assumptions (Geo)'!$V$5*Model!$AM$1579*AVERAGE('Assumptions (Geo)'!$AI$2:$AK$2)/10^9),0)</f>
        <v>0</v>
      </c>
      <c r="AY1724" s="160">
        <f>IF($AM$1579&gt;0,IPMT('Assumptions (Geo)'!$V$7,Model!AI$1,'Assumptions (Geo)'!$V$10,'Assumptions (Geo)'!$V$5*Model!$AM$1579*AVERAGE('Assumptions (Geo)'!$AI$2:$AK$2)/10^9),0)</f>
        <v>0</v>
      </c>
      <c r="AZ1724" s="160">
        <f>IF($AM$1579&gt;0,IPMT('Assumptions (Geo)'!$V$7,Model!AJ$1,'Assumptions (Geo)'!$V$10,'Assumptions (Geo)'!$V$5*Model!$AM$1579*AVERAGE('Assumptions (Geo)'!$AI$2:$AK$2)/10^9),0)</f>
        <v>0</v>
      </c>
      <c r="BA1724" s="160">
        <f>IF($AM$1579&gt;0,IPMT('Assumptions (Geo)'!$V$7,Model!AK$1,'Assumptions (Geo)'!$V$10,'Assumptions (Geo)'!$V$5*Model!$AM$1579*AVERAGE('Assumptions (Geo)'!$AI$2:$AK$2)/10^9),0)</f>
        <v>0</v>
      </c>
      <c r="BB1724" s="160"/>
      <c r="BC1724" s="160"/>
      <c r="BD1724" s="160"/>
      <c r="BE1724" s="160"/>
      <c r="BF1724" s="160"/>
      <c r="BG1724" s="160"/>
      <c r="BH1724" s="160"/>
      <c r="BI1724" s="160"/>
      <c r="BJ1724" s="160"/>
      <c r="BK1724" s="160"/>
    </row>
    <row r="1725" ht="15.75" hidden="1" customHeight="1" outlineLevel="1">
      <c r="A1725" s="295"/>
      <c r="B1725" s="38"/>
      <c r="C1725" s="174"/>
      <c r="D1725" s="174"/>
      <c r="E1725" s="174"/>
      <c r="F1725" s="174"/>
      <c r="G1725" s="174"/>
      <c r="H1725" s="174"/>
      <c r="I1725" s="174"/>
      <c r="J1725" s="174"/>
      <c r="K1725" s="174"/>
      <c r="L1725" s="174"/>
      <c r="M1725" s="174"/>
      <c r="N1725" s="174"/>
      <c r="O1725" s="174"/>
      <c r="P1725" s="174"/>
      <c r="Q1725" s="174"/>
      <c r="R1725" s="174"/>
      <c r="S1725" s="174"/>
      <c r="T1725" s="174"/>
      <c r="U1725" s="174"/>
      <c r="V1725" s="174"/>
      <c r="W1725" s="160"/>
      <c r="X1725" s="160"/>
      <c r="Y1725" s="160"/>
      <c r="Z1725" s="160"/>
      <c r="AA1725" s="160"/>
      <c r="AB1725" s="160"/>
      <c r="AC1725" s="160"/>
      <c r="AD1725" s="160"/>
      <c r="AE1725" s="160"/>
      <c r="AF1725" s="160"/>
      <c r="AG1725" s="160"/>
      <c r="AH1725" s="160"/>
      <c r="AI1725" s="160"/>
      <c r="AJ1725" s="179"/>
      <c r="AK1725" s="160"/>
      <c r="AL1725" s="177"/>
      <c r="AM1725" s="177"/>
      <c r="AN1725" s="160">
        <f>IF($AN$1579&gt;0,IPMT('Assumptions (Geo)'!$V$7,Model!W$1,'Assumptions (Geo)'!$V$10,'Assumptions (Geo)'!$V$5*Model!$AN$1579*AVERAGE('Assumptions (Geo)'!$AJ$2:$AL$2)/10^9),0)</f>
        <v>0</v>
      </c>
      <c r="AO1725" s="160">
        <f>IF($AN$1579&gt;0,IPMT('Assumptions (Geo)'!$V$7,Model!X$1,'Assumptions (Geo)'!$V$10,'Assumptions (Geo)'!$V$5*Model!$AN$1579*AVERAGE('Assumptions (Geo)'!$AJ$2:$AL$2)/10^9),0)</f>
        <v>0</v>
      </c>
      <c r="AP1725" s="160">
        <f>IF($AN$1579&gt;0,IPMT('Assumptions (Geo)'!$V$7,Model!Y$1,'Assumptions (Geo)'!$V$10,'Assumptions (Geo)'!$V$5*Model!$AN$1579*AVERAGE('Assumptions (Geo)'!$AJ$2:$AL$2)/10^9),0)</f>
        <v>0</v>
      </c>
      <c r="AQ1725" s="160">
        <f>IF($AN$1579&gt;0,IPMT('Assumptions (Geo)'!$V$7,Model!Z$1,'Assumptions (Geo)'!$V$10,'Assumptions (Geo)'!$V$5*Model!$AN$1579*AVERAGE('Assumptions (Geo)'!$AJ$2:$AL$2)/10^9),0)</f>
        <v>0</v>
      </c>
      <c r="AR1725" s="160">
        <f>IF($AN$1579&gt;0,IPMT('Assumptions (Geo)'!$V$7,Model!AA$1,'Assumptions (Geo)'!$V$10,'Assumptions (Geo)'!$V$5*Model!$AN$1579*AVERAGE('Assumptions (Geo)'!$AJ$2:$AL$2)/10^9),0)</f>
        <v>0</v>
      </c>
      <c r="AS1725" s="160">
        <f>IF($AN$1579&gt;0,IPMT('Assumptions (Geo)'!$V$7,Model!AB$1,'Assumptions (Geo)'!$V$10,'Assumptions (Geo)'!$V$5*Model!$AN$1579*AVERAGE('Assumptions (Geo)'!$AJ$2:$AL$2)/10^9),0)</f>
        <v>0</v>
      </c>
      <c r="AT1725" s="160">
        <f>IF($AN$1579&gt;0,IPMT('Assumptions (Geo)'!$V$7,Model!AC$1,'Assumptions (Geo)'!$V$10,'Assumptions (Geo)'!$V$5*Model!$AN$1579*AVERAGE('Assumptions (Geo)'!$AJ$2:$AL$2)/10^9),0)</f>
        <v>0</v>
      </c>
      <c r="AU1725" s="160">
        <f>IF($AN$1579&gt;0,IPMT('Assumptions (Geo)'!$V$7,Model!AD$1,'Assumptions (Geo)'!$V$10,'Assumptions (Geo)'!$V$5*Model!$AN$1579*AVERAGE('Assumptions (Geo)'!$AJ$2:$AL$2)/10^9),0)</f>
        <v>0</v>
      </c>
      <c r="AV1725" s="160">
        <f>IF($AN$1579&gt;0,IPMT('Assumptions (Geo)'!$V$7,Model!AE$1,'Assumptions (Geo)'!$V$10,'Assumptions (Geo)'!$V$5*Model!$AN$1579*AVERAGE('Assumptions (Geo)'!$AJ$2:$AL$2)/10^9),0)</f>
        <v>0</v>
      </c>
      <c r="AW1725" s="160">
        <f>IF($AN$1579&gt;0,IPMT('Assumptions (Geo)'!$V$7,Model!AF$1,'Assumptions (Geo)'!$V$10,'Assumptions (Geo)'!$V$5*Model!$AN$1579*AVERAGE('Assumptions (Geo)'!$AJ$2:$AL$2)/10^9),0)</f>
        <v>0</v>
      </c>
      <c r="AX1725" s="160">
        <f>IF($AN$1579&gt;0,IPMT('Assumptions (Geo)'!$V$7,Model!AG$1,'Assumptions (Geo)'!$V$10,'Assumptions (Geo)'!$V$5*Model!$AN$1579*AVERAGE('Assumptions (Geo)'!$AJ$2:$AL$2)/10^9),0)</f>
        <v>0</v>
      </c>
      <c r="AY1725" s="160">
        <f>IF($AN$1579&gt;0,IPMT('Assumptions (Geo)'!$V$7,Model!AH$1,'Assumptions (Geo)'!$V$10,'Assumptions (Geo)'!$V$5*Model!$AN$1579*AVERAGE('Assumptions (Geo)'!$AJ$2:$AL$2)/10^9),0)</f>
        <v>0</v>
      </c>
      <c r="AZ1725" s="160">
        <f>IF($AN$1579&gt;0,IPMT('Assumptions (Geo)'!$V$7,Model!AI$1,'Assumptions (Geo)'!$V$10,'Assumptions (Geo)'!$V$5*Model!$AN$1579*AVERAGE('Assumptions (Geo)'!$AJ$2:$AL$2)/10^9),0)</f>
        <v>0</v>
      </c>
      <c r="BA1725" s="160">
        <f>IF($AN$1579&gt;0,IPMT('Assumptions (Geo)'!$V$7,Model!AJ$1,'Assumptions (Geo)'!$V$10,'Assumptions (Geo)'!$V$5*Model!$AN$1579*AVERAGE('Assumptions (Geo)'!$AJ$2:$AL$2)/10^9),0)</f>
        <v>0</v>
      </c>
      <c r="BB1725" s="160">
        <f>IF($AN$1579&gt;0,IPMT('Assumptions (Geo)'!$V$7,Model!AK$1,'Assumptions (Geo)'!$V$10,'Assumptions (Geo)'!$V$5*Model!$AN$1579*AVERAGE('Assumptions (Geo)'!$AJ$2:$AL$2)/10^9),0)</f>
        <v>0</v>
      </c>
      <c r="BC1725" s="160"/>
      <c r="BD1725" s="160"/>
      <c r="BE1725" s="160"/>
      <c r="BF1725" s="160"/>
      <c r="BG1725" s="160"/>
      <c r="BH1725" s="160"/>
      <c r="BI1725" s="160"/>
      <c r="BJ1725" s="160"/>
      <c r="BK1725" s="160"/>
      <c r="BL1725" s="160"/>
    </row>
    <row r="1726" ht="15.75" hidden="1" customHeight="1" outlineLevel="1">
      <c r="A1726" s="295"/>
      <c r="B1726" s="38"/>
      <c r="C1726" s="174"/>
      <c r="D1726" s="174"/>
      <c r="E1726" s="174"/>
      <c r="F1726" s="174"/>
      <c r="G1726" s="174"/>
      <c r="H1726" s="174"/>
      <c r="I1726" s="174"/>
      <c r="J1726" s="174"/>
      <c r="K1726" s="174"/>
      <c r="L1726" s="174"/>
      <c r="M1726" s="174"/>
      <c r="N1726" s="174"/>
      <c r="O1726" s="174"/>
      <c r="P1726" s="174"/>
      <c r="Q1726" s="174"/>
      <c r="R1726" s="174"/>
      <c r="S1726" s="174"/>
      <c r="T1726" s="174"/>
      <c r="U1726" s="174"/>
      <c r="V1726" s="174"/>
      <c r="W1726" s="160"/>
      <c r="X1726" s="160"/>
      <c r="Y1726" s="160"/>
      <c r="Z1726" s="160"/>
      <c r="AA1726" s="160"/>
      <c r="AB1726" s="160"/>
      <c r="AC1726" s="160"/>
      <c r="AD1726" s="160"/>
      <c r="AE1726" s="160"/>
      <c r="AF1726" s="160"/>
      <c r="AG1726" s="160"/>
      <c r="AH1726" s="160"/>
      <c r="AI1726" s="160"/>
      <c r="AJ1726" s="179"/>
      <c r="AK1726" s="160"/>
      <c r="AL1726" s="177"/>
      <c r="AM1726" s="177"/>
      <c r="AN1726" s="177"/>
      <c r="AO1726" s="160">
        <f>IF($AO$1579&gt;0,IPMT('Assumptions (Geo)'!$V$7,Model!W$1,'Assumptions (Geo)'!$V$10,'Assumptions (Geo)'!$V$5*Model!$AO$1579*AVERAGE('Assumptions (Geo)'!$AK$2:$AM$2)/10^9),0)</f>
        <v>0</v>
      </c>
      <c r="AP1726" s="160">
        <f>IF($AO$1579&gt;0,IPMT('Assumptions (Geo)'!$V$7,Model!X$1,'Assumptions (Geo)'!$V$10,'Assumptions (Geo)'!$V$5*Model!$AO$1579*AVERAGE('Assumptions (Geo)'!$AK$2:$AM$2)/10^9),0)</f>
        <v>0</v>
      </c>
      <c r="AQ1726" s="160">
        <f>IF($AO$1579&gt;0,IPMT('Assumptions (Geo)'!$V$7,Model!Y$1,'Assumptions (Geo)'!$V$10,'Assumptions (Geo)'!$V$5*Model!$AO$1579*AVERAGE('Assumptions (Geo)'!$AK$2:$AM$2)/10^9),0)</f>
        <v>0</v>
      </c>
      <c r="AR1726" s="160">
        <f>IF($AO$1579&gt;0,IPMT('Assumptions (Geo)'!$V$7,Model!Z$1,'Assumptions (Geo)'!$V$10,'Assumptions (Geo)'!$V$5*Model!$AO$1579*AVERAGE('Assumptions (Geo)'!$AK$2:$AM$2)/10^9),0)</f>
        <v>0</v>
      </c>
      <c r="AS1726" s="160">
        <f>IF($AO$1579&gt;0,IPMT('Assumptions (Geo)'!$V$7,Model!AA$1,'Assumptions (Geo)'!$V$10,'Assumptions (Geo)'!$V$5*Model!$AO$1579*AVERAGE('Assumptions (Geo)'!$AK$2:$AM$2)/10^9),0)</f>
        <v>0</v>
      </c>
      <c r="AT1726" s="160">
        <f>IF($AO$1579&gt;0,IPMT('Assumptions (Geo)'!$V$7,Model!AB$1,'Assumptions (Geo)'!$V$10,'Assumptions (Geo)'!$V$5*Model!$AO$1579*AVERAGE('Assumptions (Geo)'!$AK$2:$AM$2)/10^9),0)</f>
        <v>0</v>
      </c>
      <c r="AU1726" s="160">
        <f>IF($AO$1579&gt;0,IPMT('Assumptions (Geo)'!$V$7,Model!AC$1,'Assumptions (Geo)'!$V$10,'Assumptions (Geo)'!$V$5*Model!$AO$1579*AVERAGE('Assumptions (Geo)'!$AK$2:$AM$2)/10^9),0)</f>
        <v>0</v>
      </c>
      <c r="AV1726" s="160">
        <f>IF($AO$1579&gt;0,IPMT('Assumptions (Geo)'!$V$7,Model!AD$1,'Assumptions (Geo)'!$V$10,'Assumptions (Geo)'!$V$5*Model!$AO$1579*AVERAGE('Assumptions (Geo)'!$AK$2:$AM$2)/10^9),0)</f>
        <v>0</v>
      </c>
      <c r="AW1726" s="160">
        <f>IF($AO$1579&gt;0,IPMT('Assumptions (Geo)'!$V$7,Model!AE$1,'Assumptions (Geo)'!$V$10,'Assumptions (Geo)'!$V$5*Model!$AO$1579*AVERAGE('Assumptions (Geo)'!$AK$2:$AM$2)/10^9),0)</f>
        <v>0</v>
      </c>
      <c r="AX1726" s="160">
        <f>IF($AO$1579&gt;0,IPMT('Assumptions (Geo)'!$V$7,Model!AF$1,'Assumptions (Geo)'!$V$10,'Assumptions (Geo)'!$V$5*Model!$AO$1579*AVERAGE('Assumptions (Geo)'!$AK$2:$AM$2)/10^9),0)</f>
        <v>0</v>
      </c>
      <c r="AY1726" s="160">
        <f>IF($AO$1579&gt;0,IPMT('Assumptions (Geo)'!$V$7,Model!AG$1,'Assumptions (Geo)'!$V$10,'Assumptions (Geo)'!$V$5*Model!$AO$1579*AVERAGE('Assumptions (Geo)'!$AK$2:$AM$2)/10^9),0)</f>
        <v>0</v>
      </c>
      <c r="AZ1726" s="160">
        <f>IF($AO$1579&gt;0,IPMT('Assumptions (Geo)'!$V$7,Model!AH$1,'Assumptions (Geo)'!$V$10,'Assumptions (Geo)'!$V$5*Model!$AO$1579*AVERAGE('Assumptions (Geo)'!$AK$2:$AM$2)/10^9),0)</f>
        <v>0</v>
      </c>
      <c r="BA1726" s="160">
        <f>IF($AO$1579&gt;0,IPMT('Assumptions (Geo)'!$V$7,Model!AI$1,'Assumptions (Geo)'!$V$10,'Assumptions (Geo)'!$V$5*Model!$AO$1579*AVERAGE('Assumptions (Geo)'!$AK$2:$AM$2)/10^9),0)</f>
        <v>0</v>
      </c>
      <c r="BB1726" s="160">
        <f>IF($AO$1579&gt;0,IPMT('Assumptions (Geo)'!$V$7,Model!AJ$1,'Assumptions (Geo)'!$V$10,'Assumptions (Geo)'!$V$5*Model!$AO$1579*AVERAGE('Assumptions (Geo)'!$AK$2:$AM$2)/10^9),0)</f>
        <v>0</v>
      </c>
      <c r="BC1726" s="160">
        <f>IF($AO$1579&gt;0,IPMT('Assumptions (Geo)'!$V$7,Model!AK$1,'Assumptions (Geo)'!$V$10,'Assumptions (Geo)'!$V$5*Model!$AO$1579*AVERAGE('Assumptions (Geo)'!$AK$2:$AM$2)/10^9),0)</f>
        <v>0</v>
      </c>
      <c r="BD1726" s="160"/>
      <c r="BE1726" s="160"/>
      <c r="BF1726" s="160"/>
      <c r="BG1726" s="160"/>
      <c r="BH1726" s="160"/>
      <c r="BI1726" s="160"/>
      <c r="BJ1726" s="160"/>
      <c r="BK1726" s="160"/>
      <c r="BL1726" s="160"/>
      <c r="BM1726" s="160"/>
    </row>
    <row r="1727" ht="15.75" hidden="1" customHeight="1" outlineLevel="1">
      <c r="A1727" s="295"/>
      <c r="B1727" s="38"/>
      <c r="C1727" s="174"/>
      <c r="D1727" s="174"/>
      <c r="E1727" s="174"/>
      <c r="F1727" s="174"/>
      <c r="G1727" s="174"/>
      <c r="H1727" s="174"/>
      <c r="I1727" s="174"/>
      <c r="J1727" s="174"/>
      <c r="K1727" s="174"/>
      <c r="L1727" s="174"/>
      <c r="M1727" s="174"/>
      <c r="N1727" s="174"/>
      <c r="O1727" s="174"/>
      <c r="P1727" s="174"/>
      <c r="Q1727" s="174"/>
      <c r="R1727" s="174"/>
      <c r="S1727" s="174"/>
      <c r="T1727" s="174"/>
      <c r="U1727" s="174"/>
      <c r="V1727" s="174"/>
      <c r="W1727" s="160"/>
      <c r="X1727" s="160"/>
      <c r="Y1727" s="160"/>
      <c r="Z1727" s="160"/>
      <c r="AA1727" s="160"/>
      <c r="AB1727" s="160"/>
      <c r="AC1727" s="160"/>
      <c r="AD1727" s="160"/>
      <c r="AE1727" s="160"/>
      <c r="AF1727" s="160"/>
      <c r="AG1727" s="160"/>
      <c r="AH1727" s="160"/>
      <c r="AI1727" s="160"/>
      <c r="AJ1727" s="179"/>
      <c r="AK1727" s="160"/>
      <c r="AL1727" s="177"/>
      <c r="AM1727" s="177"/>
      <c r="AN1727" s="177"/>
      <c r="AO1727" s="160"/>
      <c r="AP1727" s="160">
        <f>IF($AP$1579&gt;0,IPMT('Assumptions (Geo)'!$V$7,Model!W$1,'Assumptions (Geo)'!$V$10,'Assumptions (Geo)'!$V$5*Model!$AP$1579*AVERAGE('Assumptions (Geo)'!$AL$2:$AN$2)/10^9),0)</f>
        <v>0</v>
      </c>
      <c r="AQ1727" s="160">
        <f>IF($AP$1579&gt;0,IPMT('Assumptions (Geo)'!$V$7,Model!X$1,'Assumptions (Geo)'!$V$10,'Assumptions (Geo)'!$V$5*Model!$AP$1579*AVERAGE('Assumptions (Geo)'!$AL$2:$AN$2)/10^9),0)</f>
        <v>0</v>
      </c>
      <c r="AR1727" s="160">
        <f>IF($AP$1579&gt;0,IPMT('Assumptions (Geo)'!$V$7,Model!Y$1,'Assumptions (Geo)'!$V$10,'Assumptions (Geo)'!$V$5*Model!$AP$1579*AVERAGE('Assumptions (Geo)'!$AL$2:$AN$2)/10^9),0)</f>
        <v>0</v>
      </c>
      <c r="AS1727" s="160">
        <f>IF($AP$1579&gt;0,IPMT('Assumptions (Geo)'!$V$7,Model!Z$1,'Assumptions (Geo)'!$V$10,'Assumptions (Geo)'!$V$5*Model!$AP$1579*AVERAGE('Assumptions (Geo)'!$AL$2:$AN$2)/10^9),0)</f>
        <v>0</v>
      </c>
      <c r="AT1727" s="160">
        <f>IF($AP$1579&gt;0,IPMT('Assumptions (Geo)'!$V$7,Model!AA$1,'Assumptions (Geo)'!$V$10,'Assumptions (Geo)'!$V$5*Model!$AP$1579*AVERAGE('Assumptions (Geo)'!$AL$2:$AN$2)/10^9),0)</f>
        <v>0</v>
      </c>
      <c r="AU1727" s="160">
        <f>IF($AP$1579&gt;0,IPMT('Assumptions (Geo)'!$V$7,Model!AB$1,'Assumptions (Geo)'!$V$10,'Assumptions (Geo)'!$V$5*Model!$AP$1579*AVERAGE('Assumptions (Geo)'!$AL$2:$AN$2)/10^9),0)</f>
        <v>0</v>
      </c>
      <c r="AV1727" s="160">
        <f>IF($AP$1579&gt;0,IPMT('Assumptions (Geo)'!$V$7,Model!AC$1,'Assumptions (Geo)'!$V$10,'Assumptions (Geo)'!$V$5*Model!$AP$1579*AVERAGE('Assumptions (Geo)'!$AL$2:$AN$2)/10^9),0)</f>
        <v>0</v>
      </c>
      <c r="AW1727" s="160">
        <f>IF($AP$1579&gt;0,IPMT('Assumptions (Geo)'!$V$7,Model!AD$1,'Assumptions (Geo)'!$V$10,'Assumptions (Geo)'!$V$5*Model!$AP$1579*AVERAGE('Assumptions (Geo)'!$AL$2:$AN$2)/10^9),0)</f>
        <v>0</v>
      </c>
      <c r="AX1727" s="160">
        <f>IF($AP$1579&gt;0,IPMT('Assumptions (Geo)'!$V$7,Model!AE$1,'Assumptions (Geo)'!$V$10,'Assumptions (Geo)'!$V$5*Model!$AP$1579*AVERAGE('Assumptions (Geo)'!$AL$2:$AN$2)/10^9),0)</f>
        <v>0</v>
      </c>
      <c r="AY1727" s="160">
        <f>IF($AP$1579&gt;0,IPMT('Assumptions (Geo)'!$V$7,Model!AF$1,'Assumptions (Geo)'!$V$10,'Assumptions (Geo)'!$V$5*Model!$AP$1579*AVERAGE('Assumptions (Geo)'!$AL$2:$AN$2)/10^9),0)</f>
        <v>0</v>
      </c>
      <c r="AZ1727" s="160">
        <f>IF($AP$1579&gt;0,IPMT('Assumptions (Geo)'!$V$7,Model!AG$1,'Assumptions (Geo)'!$V$10,'Assumptions (Geo)'!$V$5*Model!$AP$1579*AVERAGE('Assumptions (Geo)'!$AL$2:$AN$2)/10^9),0)</f>
        <v>0</v>
      </c>
      <c r="BA1727" s="160">
        <f>IF($AP$1579&gt;0,IPMT('Assumptions (Geo)'!$V$7,Model!AH$1,'Assumptions (Geo)'!$V$10,'Assumptions (Geo)'!$V$5*Model!$AP$1579*AVERAGE('Assumptions (Geo)'!$AL$2:$AN$2)/10^9),0)</f>
        <v>0</v>
      </c>
      <c r="BB1727" s="160">
        <f>IF($AP$1579&gt;0,IPMT('Assumptions (Geo)'!$V$7,Model!AI$1,'Assumptions (Geo)'!$V$10,'Assumptions (Geo)'!$V$5*Model!$AP$1579*AVERAGE('Assumptions (Geo)'!$AL$2:$AN$2)/10^9),0)</f>
        <v>0</v>
      </c>
      <c r="BC1727" s="160">
        <f>IF($AP$1579&gt;0,IPMT('Assumptions (Geo)'!$V$7,Model!AJ$1,'Assumptions (Geo)'!$V$10,'Assumptions (Geo)'!$V$5*Model!$AP$1579*AVERAGE('Assumptions (Geo)'!$AL$2:$AN$2)/10^9),0)</f>
        <v>0</v>
      </c>
      <c r="BD1727" s="160">
        <f>IF($AP$1579&gt;0,IPMT('Assumptions (Geo)'!$V$7,Model!AK$1,'Assumptions (Geo)'!$V$10,'Assumptions (Geo)'!$V$5*Model!$AP$1579*AVERAGE('Assumptions (Geo)'!$AL$2:$AN$2)/10^9),0)</f>
        <v>0</v>
      </c>
      <c r="BE1727" s="160"/>
      <c r="BF1727" s="160"/>
      <c r="BG1727" s="160"/>
      <c r="BH1727" s="160"/>
      <c r="BI1727" s="160"/>
      <c r="BJ1727" s="160"/>
      <c r="BK1727" s="160"/>
      <c r="BL1727" s="160"/>
      <c r="BM1727" s="160"/>
      <c r="BN1727" s="160"/>
    </row>
    <row r="1728" ht="15.75" hidden="1" customHeight="1" outlineLevel="1">
      <c r="A1728" s="295"/>
      <c r="B1728" s="38"/>
      <c r="C1728" s="174"/>
      <c r="D1728" s="174"/>
      <c r="E1728" s="174"/>
      <c r="F1728" s="174"/>
      <c r="G1728" s="174"/>
      <c r="H1728" s="174"/>
      <c r="I1728" s="174"/>
      <c r="J1728" s="174"/>
      <c r="K1728" s="174"/>
      <c r="L1728" s="174"/>
      <c r="M1728" s="174"/>
      <c r="N1728" s="174"/>
      <c r="O1728" s="174"/>
      <c r="P1728" s="174"/>
      <c r="Q1728" s="174"/>
      <c r="R1728" s="174"/>
      <c r="S1728" s="174"/>
      <c r="T1728" s="174"/>
      <c r="U1728" s="174"/>
      <c r="V1728" s="174"/>
      <c r="W1728" s="160"/>
      <c r="X1728" s="160"/>
      <c r="Y1728" s="160"/>
      <c r="Z1728" s="160"/>
      <c r="AA1728" s="160"/>
      <c r="AB1728" s="160"/>
      <c r="AC1728" s="160"/>
      <c r="AD1728" s="160"/>
      <c r="AE1728" s="160"/>
      <c r="AF1728" s="160"/>
      <c r="AG1728" s="160"/>
      <c r="AH1728" s="160"/>
      <c r="AI1728" s="160"/>
      <c r="AJ1728" s="179"/>
      <c r="AK1728" s="160"/>
      <c r="AL1728" s="177"/>
      <c r="AM1728" s="177"/>
      <c r="AN1728" s="177"/>
      <c r="AO1728" s="160"/>
      <c r="AP1728" s="160"/>
      <c r="AQ1728" s="160">
        <f>IF($AQ$1579&gt;0,IPMT('Assumptions (Geo)'!$V$7,Model!W$1,'Assumptions (Geo)'!$V$10,'Assumptions (Geo)'!$V$5*Model!$AQ$1579*AVERAGE('Assumptions (Geo)'!$AM$2:$AO$2)/10^9),0)</f>
        <v>0</v>
      </c>
      <c r="AR1728" s="160">
        <f>IF($AQ$1579&gt;0,IPMT('Assumptions (Geo)'!$V$7,Model!X$1,'Assumptions (Geo)'!$V$10,'Assumptions (Geo)'!$V$5*Model!$AQ$1579*AVERAGE('Assumptions (Geo)'!$AM$2:$AO$2)/10^9),0)</f>
        <v>0</v>
      </c>
      <c r="AS1728" s="160">
        <f>IF($AQ$1579&gt;0,IPMT('Assumptions (Geo)'!$V$7,Model!Y$1,'Assumptions (Geo)'!$V$10,'Assumptions (Geo)'!$V$5*Model!$AQ$1579*AVERAGE('Assumptions (Geo)'!$AM$2:$AO$2)/10^9),0)</f>
        <v>0</v>
      </c>
      <c r="AT1728" s="160">
        <f>IF($AQ$1579&gt;0,IPMT('Assumptions (Geo)'!$V$7,Model!Z$1,'Assumptions (Geo)'!$V$10,'Assumptions (Geo)'!$V$5*Model!$AQ$1579*AVERAGE('Assumptions (Geo)'!$AM$2:$AO$2)/10^9),0)</f>
        <v>0</v>
      </c>
      <c r="AU1728" s="160">
        <f>IF($AQ$1579&gt;0,IPMT('Assumptions (Geo)'!$V$7,Model!AA$1,'Assumptions (Geo)'!$V$10,'Assumptions (Geo)'!$V$5*Model!$AQ$1579*AVERAGE('Assumptions (Geo)'!$AM$2:$AO$2)/10^9),0)</f>
        <v>0</v>
      </c>
      <c r="AV1728" s="160">
        <f>IF($AQ$1579&gt;0,IPMT('Assumptions (Geo)'!$V$7,Model!AB$1,'Assumptions (Geo)'!$V$10,'Assumptions (Geo)'!$V$5*Model!$AQ$1579*AVERAGE('Assumptions (Geo)'!$AM$2:$AO$2)/10^9),0)</f>
        <v>0</v>
      </c>
      <c r="AW1728" s="160">
        <f>IF($AQ$1579&gt;0,IPMT('Assumptions (Geo)'!$V$7,Model!AC$1,'Assumptions (Geo)'!$V$10,'Assumptions (Geo)'!$V$5*Model!$AQ$1579*AVERAGE('Assumptions (Geo)'!$AM$2:$AO$2)/10^9),0)</f>
        <v>0</v>
      </c>
      <c r="AX1728" s="160">
        <f>IF($AQ$1579&gt;0,IPMT('Assumptions (Geo)'!$V$7,Model!AD$1,'Assumptions (Geo)'!$V$10,'Assumptions (Geo)'!$V$5*Model!$AQ$1579*AVERAGE('Assumptions (Geo)'!$AM$2:$AO$2)/10^9),0)</f>
        <v>0</v>
      </c>
      <c r="AY1728" s="160">
        <f>IF($AQ$1579&gt;0,IPMT('Assumptions (Geo)'!$V$7,Model!AE$1,'Assumptions (Geo)'!$V$10,'Assumptions (Geo)'!$V$5*Model!$AQ$1579*AVERAGE('Assumptions (Geo)'!$AM$2:$AO$2)/10^9),0)</f>
        <v>0</v>
      </c>
      <c r="AZ1728" s="160">
        <f>IF($AQ$1579&gt;0,IPMT('Assumptions (Geo)'!$V$7,Model!AF$1,'Assumptions (Geo)'!$V$10,'Assumptions (Geo)'!$V$5*Model!$AQ$1579*AVERAGE('Assumptions (Geo)'!$AM$2:$AO$2)/10^9),0)</f>
        <v>0</v>
      </c>
      <c r="BA1728" s="160">
        <f>IF($AQ$1579&gt;0,IPMT('Assumptions (Geo)'!$V$7,Model!AG$1,'Assumptions (Geo)'!$V$10,'Assumptions (Geo)'!$V$5*Model!$AQ$1579*AVERAGE('Assumptions (Geo)'!$AM$2:$AO$2)/10^9),0)</f>
        <v>0</v>
      </c>
      <c r="BB1728" s="160">
        <f>IF($AQ$1579&gt;0,IPMT('Assumptions (Geo)'!$V$7,Model!AH$1,'Assumptions (Geo)'!$V$10,'Assumptions (Geo)'!$V$5*Model!$AQ$1579*AVERAGE('Assumptions (Geo)'!$AM$2:$AO$2)/10^9),0)</f>
        <v>0</v>
      </c>
      <c r="BC1728" s="160">
        <f>IF($AQ$1579&gt;0,IPMT('Assumptions (Geo)'!$V$7,Model!AI$1,'Assumptions (Geo)'!$V$10,'Assumptions (Geo)'!$V$5*Model!$AQ$1579*AVERAGE('Assumptions (Geo)'!$AM$2:$AO$2)/10^9),0)</f>
        <v>0</v>
      </c>
      <c r="BD1728" s="160">
        <f>IF($AQ$1579&gt;0,IPMT('Assumptions (Geo)'!$V$7,Model!AJ$1,'Assumptions (Geo)'!$V$10,'Assumptions (Geo)'!$V$5*Model!$AQ$1579*AVERAGE('Assumptions (Geo)'!$AM$2:$AO$2)/10^9),0)</f>
        <v>0</v>
      </c>
      <c r="BE1728" s="160">
        <f>IF($AQ$1579&gt;0,IPMT('Assumptions (Geo)'!$V$7,Model!AK$1,'Assumptions (Geo)'!$V$10,'Assumptions (Geo)'!$V$5*Model!$AQ$1579*AVERAGE('Assumptions (Geo)'!$AM$2:$AO$2)/10^9),0)</f>
        <v>0</v>
      </c>
      <c r="BF1728" s="160"/>
      <c r="BG1728" s="160"/>
      <c r="BH1728" s="160"/>
      <c r="BI1728" s="160"/>
      <c r="BJ1728" s="160"/>
      <c r="BK1728" s="160"/>
      <c r="BL1728" s="160"/>
      <c r="BM1728" s="160"/>
      <c r="BN1728" s="160"/>
      <c r="BO1728" s="160"/>
    </row>
    <row r="1729" ht="15.75" hidden="1" customHeight="1" outlineLevel="1">
      <c r="A1729" s="295"/>
      <c r="B1729" s="38"/>
      <c r="C1729" s="174"/>
      <c r="D1729" s="174"/>
      <c r="E1729" s="174"/>
      <c r="F1729" s="174"/>
      <c r="G1729" s="174"/>
      <c r="H1729" s="174"/>
      <c r="I1729" s="174"/>
      <c r="J1729" s="174"/>
      <c r="K1729" s="174"/>
      <c r="L1729" s="174"/>
      <c r="M1729" s="174"/>
      <c r="N1729" s="174"/>
      <c r="O1729" s="174"/>
      <c r="P1729" s="174"/>
      <c r="Q1729" s="174"/>
      <c r="R1729" s="174"/>
      <c r="S1729" s="174"/>
      <c r="T1729" s="174"/>
      <c r="U1729" s="174"/>
      <c r="V1729" s="174"/>
      <c r="W1729" s="160"/>
      <c r="X1729" s="160"/>
      <c r="Y1729" s="160"/>
      <c r="Z1729" s="160"/>
      <c r="AA1729" s="160"/>
      <c r="AB1729" s="160"/>
      <c r="AC1729" s="160"/>
      <c r="AD1729" s="160"/>
      <c r="AE1729" s="160"/>
      <c r="AF1729" s="160"/>
      <c r="AG1729" s="160"/>
      <c r="AH1729" s="160"/>
      <c r="AI1729" s="160"/>
      <c r="AJ1729" s="179"/>
      <c r="AK1729" s="160"/>
      <c r="AL1729" s="177"/>
      <c r="AM1729" s="177"/>
      <c r="AN1729" s="177"/>
      <c r="AO1729" s="160"/>
      <c r="AP1729" s="160"/>
      <c r="AQ1729" s="160"/>
      <c r="AR1729" s="160">
        <f>IF($AR$1579&gt;0,IPMT('Assumptions (Geo)'!$V$7,Model!W$1,'Assumptions (Geo)'!$V$10,'Assumptions (Geo)'!$V$5*Model!$AR$1579*AVERAGE('Assumptions (Geo)'!$AN$2:$AP$2)/10^9),0)</f>
        <v>0</v>
      </c>
      <c r="AS1729" s="160">
        <f>IF($AR$1579&gt;0,IPMT('Assumptions (Geo)'!$V$7,Model!X$1,'Assumptions (Geo)'!$V$10,'Assumptions (Geo)'!$V$5*Model!$AR$1579*AVERAGE('Assumptions (Geo)'!$AN$2:$AP$2)/10^9),0)</f>
        <v>0</v>
      </c>
      <c r="AT1729" s="160">
        <f>IF($AR$1579&gt;0,IPMT('Assumptions (Geo)'!$V$7,Model!Y$1,'Assumptions (Geo)'!$V$10,'Assumptions (Geo)'!$V$5*Model!$AR$1579*AVERAGE('Assumptions (Geo)'!$AN$2:$AP$2)/10^9),0)</f>
        <v>0</v>
      </c>
      <c r="AU1729" s="160">
        <f>IF($AR$1579&gt;0,IPMT('Assumptions (Geo)'!$V$7,Model!Z$1,'Assumptions (Geo)'!$V$10,'Assumptions (Geo)'!$V$5*Model!$AR$1579*AVERAGE('Assumptions (Geo)'!$AN$2:$AP$2)/10^9),0)</f>
        <v>0</v>
      </c>
      <c r="AV1729" s="160">
        <f>IF($AR$1579&gt;0,IPMT('Assumptions (Geo)'!$V$7,Model!AA$1,'Assumptions (Geo)'!$V$10,'Assumptions (Geo)'!$V$5*Model!$AR$1579*AVERAGE('Assumptions (Geo)'!$AN$2:$AP$2)/10^9),0)</f>
        <v>0</v>
      </c>
      <c r="AW1729" s="160">
        <f>IF($AR$1579&gt;0,IPMT('Assumptions (Geo)'!$V$7,Model!AB$1,'Assumptions (Geo)'!$V$10,'Assumptions (Geo)'!$V$5*Model!$AR$1579*AVERAGE('Assumptions (Geo)'!$AN$2:$AP$2)/10^9),0)</f>
        <v>0</v>
      </c>
      <c r="AX1729" s="160">
        <f>IF($AR$1579&gt;0,IPMT('Assumptions (Geo)'!$V$7,Model!AC$1,'Assumptions (Geo)'!$V$10,'Assumptions (Geo)'!$V$5*Model!$AR$1579*AVERAGE('Assumptions (Geo)'!$AN$2:$AP$2)/10^9),0)</f>
        <v>0</v>
      </c>
      <c r="AY1729" s="160">
        <f>IF($AR$1579&gt;0,IPMT('Assumptions (Geo)'!$V$7,Model!AD$1,'Assumptions (Geo)'!$V$10,'Assumptions (Geo)'!$V$5*Model!$AR$1579*AVERAGE('Assumptions (Geo)'!$AN$2:$AP$2)/10^9),0)</f>
        <v>0</v>
      </c>
      <c r="AZ1729" s="160">
        <f>IF($AR$1579&gt;0,IPMT('Assumptions (Geo)'!$V$7,Model!AE$1,'Assumptions (Geo)'!$V$10,'Assumptions (Geo)'!$V$5*Model!$AR$1579*AVERAGE('Assumptions (Geo)'!$AN$2:$AP$2)/10^9),0)</f>
        <v>0</v>
      </c>
      <c r="BA1729" s="160">
        <f>IF($AR$1579&gt;0,IPMT('Assumptions (Geo)'!$V$7,Model!AF$1,'Assumptions (Geo)'!$V$10,'Assumptions (Geo)'!$V$5*Model!$AR$1579*AVERAGE('Assumptions (Geo)'!$AN$2:$AP$2)/10^9),0)</f>
        <v>0</v>
      </c>
      <c r="BB1729" s="160">
        <f>IF($AR$1579&gt;0,IPMT('Assumptions (Geo)'!$V$7,Model!AG$1,'Assumptions (Geo)'!$V$10,'Assumptions (Geo)'!$V$5*Model!$AR$1579*AVERAGE('Assumptions (Geo)'!$AN$2:$AP$2)/10^9),0)</f>
        <v>0</v>
      </c>
      <c r="BC1729" s="160">
        <f>IF($AR$1579&gt;0,IPMT('Assumptions (Geo)'!$V$7,Model!AH$1,'Assumptions (Geo)'!$V$10,'Assumptions (Geo)'!$V$5*Model!$AR$1579*AVERAGE('Assumptions (Geo)'!$AN$2:$AP$2)/10^9),0)</f>
        <v>0</v>
      </c>
      <c r="BD1729" s="160">
        <f>IF($AR$1579&gt;0,IPMT('Assumptions (Geo)'!$V$7,Model!AI$1,'Assumptions (Geo)'!$V$10,'Assumptions (Geo)'!$V$5*Model!$AR$1579*AVERAGE('Assumptions (Geo)'!$AN$2:$AP$2)/10^9),0)</f>
        <v>0</v>
      </c>
      <c r="BE1729" s="160">
        <f>IF($AR$1579&gt;0,IPMT('Assumptions (Geo)'!$V$7,Model!AJ$1,'Assumptions (Geo)'!$V$10,'Assumptions (Geo)'!$V$5*Model!$AR$1579*AVERAGE('Assumptions (Geo)'!$AN$2:$AP$2)/10^9),0)</f>
        <v>0</v>
      </c>
      <c r="BF1729" s="160">
        <f>IF($AR$1579&gt;0,IPMT('Assumptions (Geo)'!$V$7,Model!AK$1,'Assumptions (Geo)'!$V$10,'Assumptions (Geo)'!$V$5*Model!$AR$1579*AVERAGE('Assumptions (Geo)'!$AN$2:$AP$2)/10^9),0)</f>
        <v>0</v>
      </c>
      <c r="BG1729" s="160"/>
      <c r="BH1729" s="160"/>
      <c r="BI1729" s="160"/>
      <c r="BJ1729" s="160"/>
      <c r="BK1729" s="160"/>
      <c r="BL1729" s="160"/>
      <c r="BM1729" s="160"/>
      <c r="BN1729" s="160"/>
      <c r="BO1729" s="160"/>
      <c r="BP1729" s="160"/>
    </row>
    <row r="1730" ht="15.75" hidden="1" customHeight="1" outlineLevel="1">
      <c r="A1730" s="295"/>
      <c r="B1730" s="38"/>
      <c r="C1730" s="174"/>
      <c r="D1730" s="174"/>
      <c r="E1730" s="174"/>
      <c r="F1730" s="174"/>
      <c r="G1730" s="174"/>
      <c r="H1730" s="174"/>
      <c r="I1730" s="174"/>
      <c r="J1730" s="174"/>
      <c r="K1730" s="174"/>
      <c r="L1730" s="174"/>
      <c r="M1730" s="174"/>
      <c r="N1730" s="174"/>
      <c r="O1730" s="174"/>
      <c r="P1730" s="174"/>
      <c r="Q1730" s="174"/>
      <c r="R1730" s="174"/>
      <c r="S1730" s="174"/>
      <c r="T1730" s="174"/>
      <c r="U1730" s="174"/>
      <c r="V1730" s="174"/>
      <c r="W1730" s="160"/>
      <c r="X1730" s="160"/>
      <c r="Y1730" s="160"/>
      <c r="Z1730" s="160"/>
      <c r="AA1730" s="160"/>
      <c r="AB1730" s="160"/>
      <c r="AC1730" s="160"/>
      <c r="AD1730" s="160"/>
      <c r="AE1730" s="160"/>
      <c r="AF1730" s="160"/>
      <c r="AG1730" s="160"/>
      <c r="AH1730" s="160"/>
      <c r="AI1730" s="160"/>
      <c r="AJ1730" s="179"/>
      <c r="AK1730" s="160"/>
      <c r="AL1730" s="177"/>
      <c r="AM1730" s="177"/>
      <c r="AN1730" s="177"/>
      <c r="AO1730" s="160"/>
      <c r="AP1730" s="160"/>
      <c r="AQ1730" s="160"/>
      <c r="AR1730" s="160"/>
      <c r="AS1730" s="160">
        <f>IF($AS$1579&gt;0,IPMT('Assumptions (Geo)'!$V$7,Model!W$1,'Assumptions (Geo)'!$V$10,'Assumptions (Geo)'!$V$5*Model!$AS$1579*AVERAGE('Assumptions (Geo)'!$AO$2:$AQ$2)/10^9),0)</f>
        <v>0</v>
      </c>
      <c r="AT1730" s="160">
        <f>IF($AS$1579&gt;0,IPMT('Assumptions (Geo)'!$V$7,Model!X$1,'Assumptions (Geo)'!$V$10,'Assumptions (Geo)'!$V$5*Model!$AS$1579*AVERAGE('Assumptions (Geo)'!$AO$2:$AQ$2)/10^9),0)</f>
        <v>0</v>
      </c>
      <c r="AU1730" s="160">
        <f>IF($AS$1579&gt;0,IPMT('Assumptions (Geo)'!$V$7,Model!Y$1,'Assumptions (Geo)'!$V$10,'Assumptions (Geo)'!$V$5*Model!$AS$1579*AVERAGE('Assumptions (Geo)'!$AO$2:$AQ$2)/10^9),0)</f>
        <v>0</v>
      </c>
      <c r="AV1730" s="160">
        <f>IF($AS$1579&gt;0,IPMT('Assumptions (Geo)'!$V$7,Model!Z$1,'Assumptions (Geo)'!$V$10,'Assumptions (Geo)'!$V$5*Model!$AS$1579*AVERAGE('Assumptions (Geo)'!$AO$2:$AQ$2)/10^9),0)</f>
        <v>0</v>
      </c>
      <c r="AW1730" s="160">
        <f>IF($AS$1579&gt;0,IPMT('Assumptions (Geo)'!$V$7,Model!AA$1,'Assumptions (Geo)'!$V$10,'Assumptions (Geo)'!$V$5*Model!$AS$1579*AVERAGE('Assumptions (Geo)'!$AO$2:$AQ$2)/10^9),0)</f>
        <v>0</v>
      </c>
      <c r="AX1730" s="160">
        <f>IF($AS$1579&gt;0,IPMT('Assumptions (Geo)'!$V$7,Model!AB$1,'Assumptions (Geo)'!$V$10,'Assumptions (Geo)'!$V$5*Model!$AS$1579*AVERAGE('Assumptions (Geo)'!$AO$2:$AQ$2)/10^9),0)</f>
        <v>0</v>
      </c>
      <c r="AY1730" s="160">
        <f>IF($AS$1579&gt;0,IPMT('Assumptions (Geo)'!$V$7,Model!AC$1,'Assumptions (Geo)'!$V$10,'Assumptions (Geo)'!$V$5*Model!$AS$1579*AVERAGE('Assumptions (Geo)'!$AO$2:$AQ$2)/10^9),0)</f>
        <v>0</v>
      </c>
      <c r="AZ1730" s="160">
        <f>IF($AS$1579&gt;0,IPMT('Assumptions (Geo)'!$V$7,Model!AD$1,'Assumptions (Geo)'!$V$10,'Assumptions (Geo)'!$V$5*Model!$AS$1579*AVERAGE('Assumptions (Geo)'!$AO$2:$AQ$2)/10^9),0)</f>
        <v>0</v>
      </c>
      <c r="BA1730" s="160">
        <f>IF($AS$1579&gt;0,IPMT('Assumptions (Geo)'!$V$7,Model!AE$1,'Assumptions (Geo)'!$V$10,'Assumptions (Geo)'!$V$5*Model!$AS$1579*AVERAGE('Assumptions (Geo)'!$AO$2:$AQ$2)/10^9),0)</f>
        <v>0</v>
      </c>
      <c r="BB1730" s="160">
        <f>IF($AS$1579&gt;0,IPMT('Assumptions (Geo)'!$V$7,Model!AF$1,'Assumptions (Geo)'!$V$10,'Assumptions (Geo)'!$V$5*Model!$AS$1579*AVERAGE('Assumptions (Geo)'!$AO$2:$AQ$2)/10^9),0)</f>
        <v>0</v>
      </c>
      <c r="BC1730" s="160">
        <f>IF($AS$1579&gt;0,IPMT('Assumptions (Geo)'!$V$7,Model!AG$1,'Assumptions (Geo)'!$V$10,'Assumptions (Geo)'!$V$5*Model!$AS$1579*AVERAGE('Assumptions (Geo)'!$AO$2:$AQ$2)/10^9),0)</f>
        <v>0</v>
      </c>
      <c r="BD1730" s="160">
        <f>IF($AS$1579&gt;0,IPMT('Assumptions (Geo)'!$V$7,Model!AH$1,'Assumptions (Geo)'!$V$10,'Assumptions (Geo)'!$V$5*Model!$AS$1579*AVERAGE('Assumptions (Geo)'!$AO$2:$AQ$2)/10^9),0)</f>
        <v>0</v>
      </c>
      <c r="BE1730" s="160">
        <f>IF($AS$1579&gt;0,IPMT('Assumptions (Geo)'!$V$7,Model!AI$1,'Assumptions (Geo)'!$V$10,'Assumptions (Geo)'!$V$5*Model!$AS$1579*AVERAGE('Assumptions (Geo)'!$AO$2:$AQ$2)/10^9),0)</f>
        <v>0</v>
      </c>
      <c r="BF1730" s="160">
        <f>IF($AS$1579&gt;0,IPMT('Assumptions (Geo)'!$V$7,Model!AJ$1,'Assumptions (Geo)'!$V$10,'Assumptions (Geo)'!$V$5*Model!$AS$1579*AVERAGE('Assumptions (Geo)'!$AO$2:$AQ$2)/10^9),0)</f>
        <v>0</v>
      </c>
      <c r="BG1730" s="160">
        <f>IF($AS$1579&gt;0,IPMT('Assumptions (Geo)'!$V$7,Model!AK$1,'Assumptions (Geo)'!$V$10,'Assumptions (Geo)'!$V$5*Model!$AS$1579*AVERAGE('Assumptions (Geo)'!$AO$2:$AQ$2)/10^9),0)</f>
        <v>0</v>
      </c>
      <c r="BH1730" s="160"/>
      <c r="BI1730" s="160"/>
      <c r="BJ1730" s="160"/>
      <c r="BK1730" s="160"/>
      <c r="BL1730" s="160"/>
      <c r="BM1730" s="160"/>
      <c r="BN1730" s="160"/>
      <c r="BO1730" s="160"/>
      <c r="BP1730" s="160"/>
    </row>
    <row r="1731" ht="15.75" hidden="1" customHeight="1" outlineLevel="1">
      <c r="A1731" s="295"/>
      <c r="B1731" s="38"/>
      <c r="C1731" s="174"/>
      <c r="D1731" s="174"/>
      <c r="E1731" s="174"/>
      <c r="F1731" s="174"/>
      <c r="G1731" s="174"/>
      <c r="H1731" s="174"/>
      <c r="I1731" s="174"/>
      <c r="J1731" s="174"/>
      <c r="K1731" s="174"/>
      <c r="L1731" s="174"/>
      <c r="M1731" s="174"/>
      <c r="N1731" s="174"/>
      <c r="O1731" s="174"/>
      <c r="P1731" s="174"/>
      <c r="Q1731" s="174"/>
      <c r="R1731" s="174"/>
      <c r="S1731" s="174"/>
      <c r="T1731" s="174"/>
      <c r="U1731" s="174"/>
      <c r="V1731" s="174"/>
      <c r="W1731" s="160"/>
      <c r="X1731" s="160"/>
      <c r="Y1731" s="160"/>
      <c r="Z1731" s="160"/>
      <c r="AA1731" s="160"/>
      <c r="AB1731" s="160"/>
      <c r="AC1731" s="160"/>
      <c r="AD1731" s="160"/>
      <c r="AE1731" s="160"/>
      <c r="AF1731" s="160"/>
      <c r="AG1731" s="160"/>
      <c r="AH1731" s="160"/>
      <c r="AI1731" s="160"/>
      <c r="AJ1731" s="179"/>
      <c r="AK1731" s="160"/>
      <c r="AL1731" s="177"/>
      <c r="AM1731" s="177"/>
      <c r="AN1731" s="177"/>
      <c r="AO1731" s="160"/>
      <c r="AP1731" s="160"/>
      <c r="AQ1731" s="160"/>
      <c r="AR1731" s="160"/>
      <c r="AS1731" s="160"/>
      <c r="AT1731" s="160">
        <f>IF($AT$1579&gt;0,IPMT('Assumptions (Geo)'!$V$7,Model!W$1,'Assumptions (Geo)'!$V$10,'Assumptions (Geo)'!$V$5*Model!$AT$1579*AVERAGE('Assumptions (Geo)'!$AP$2:$AR$2)/10^9),0)</f>
        <v>0</v>
      </c>
      <c r="AU1731" s="160">
        <f>IF($AT$1579&gt;0,IPMT('Assumptions (Geo)'!$V$7,Model!X$1,'Assumptions (Geo)'!$V$10,'Assumptions (Geo)'!$V$5*Model!$AT$1579*AVERAGE('Assumptions (Geo)'!$AP$2:$AR$2)/10^9),0)</f>
        <v>0</v>
      </c>
      <c r="AV1731" s="160">
        <f>IF($AT$1579&gt;0,IPMT('Assumptions (Geo)'!$V$7,Model!Y$1,'Assumptions (Geo)'!$V$10,'Assumptions (Geo)'!$V$5*Model!$AT$1579*AVERAGE('Assumptions (Geo)'!$AP$2:$AR$2)/10^9),0)</f>
        <v>0</v>
      </c>
      <c r="AW1731" s="160">
        <f>IF($AT$1579&gt;0,IPMT('Assumptions (Geo)'!$V$7,Model!Z$1,'Assumptions (Geo)'!$V$10,'Assumptions (Geo)'!$V$5*Model!$AT$1579*AVERAGE('Assumptions (Geo)'!$AP$2:$AR$2)/10^9),0)</f>
        <v>0</v>
      </c>
      <c r="AX1731" s="160">
        <f>IF($AT$1579&gt;0,IPMT('Assumptions (Geo)'!$V$7,Model!AA$1,'Assumptions (Geo)'!$V$10,'Assumptions (Geo)'!$V$5*Model!$AT$1579*AVERAGE('Assumptions (Geo)'!$AP$2:$AR$2)/10^9),0)</f>
        <v>0</v>
      </c>
      <c r="AY1731" s="160">
        <f>IF($AT$1579&gt;0,IPMT('Assumptions (Geo)'!$V$7,Model!AB$1,'Assumptions (Geo)'!$V$10,'Assumptions (Geo)'!$V$5*Model!$AT$1579*AVERAGE('Assumptions (Geo)'!$AP$2:$AR$2)/10^9),0)</f>
        <v>0</v>
      </c>
      <c r="AZ1731" s="160">
        <f>IF($AT$1579&gt;0,IPMT('Assumptions (Geo)'!$V$7,Model!AC$1,'Assumptions (Geo)'!$V$10,'Assumptions (Geo)'!$V$5*Model!$AT$1579*AVERAGE('Assumptions (Geo)'!$AP$2:$AR$2)/10^9),0)</f>
        <v>0</v>
      </c>
      <c r="BA1731" s="160">
        <f>IF($AT$1579&gt;0,IPMT('Assumptions (Geo)'!$V$7,Model!AD$1,'Assumptions (Geo)'!$V$10,'Assumptions (Geo)'!$V$5*Model!$AT$1579*AVERAGE('Assumptions (Geo)'!$AP$2:$AR$2)/10^9),0)</f>
        <v>0</v>
      </c>
      <c r="BB1731" s="160">
        <f>IF($AT$1579&gt;0,IPMT('Assumptions (Geo)'!$V$7,Model!AE$1,'Assumptions (Geo)'!$V$10,'Assumptions (Geo)'!$V$5*Model!$AT$1579*AVERAGE('Assumptions (Geo)'!$AP$2:$AR$2)/10^9),0)</f>
        <v>0</v>
      </c>
      <c r="BC1731" s="160">
        <f>IF($AT$1579&gt;0,IPMT('Assumptions (Geo)'!$V$7,Model!AF$1,'Assumptions (Geo)'!$V$10,'Assumptions (Geo)'!$V$5*Model!$AT$1579*AVERAGE('Assumptions (Geo)'!$AP$2:$AR$2)/10^9),0)</f>
        <v>0</v>
      </c>
      <c r="BD1731" s="160">
        <f>IF($AT$1579&gt;0,IPMT('Assumptions (Geo)'!$V$7,Model!AG$1,'Assumptions (Geo)'!$V$10,'Assumptions (Geo)'!$V$5*Model!$AT$1579*AVERAGE('Assumptions (Geo)'!$AP$2:$AR$2)/10^9),0)</f>
        <v>0</v>
      </c>
      <c r="BE1731" s="160">
        <f>IF($AT$1579&gt;0,IPMT('Assumptions (Geo)'!$V$7,Model!AH$1,'Assumptions (Geo)'!$V$10,'Assumptions (Geo)'!$V$5*Model!$AT$1579*AVERAGE('Assumptions (Geo)'!$AP$2:$AR$2)/10^9),0)</f>
        <v>0</v>
      </c>
      <c r="BF1731" s="160">
        <f>IF($AT$1579&gt;0,IPMT('Assumptions (Geo)'!$V$7,Model!AI$1,'Assumptions (Geo)'!$V$10,'Assumptions (Geo)'!$V$5*Model!$AT$1579*AVERAGE('Assumptions (Geo)'!$AP$2:$AR$2)/10^9),0)</f>
        <v>0</v>
      </c>
      <c r="BG1731" s="160">
        <f>IF($AT$1579&gt;0,IPMT('Assumptions (Geo)'!$V$7,Model!AJ$1,'Assumptions (Geo)'!$V$10,'Assumptions (Geo)'!$V$5*Model!$AT$1579*AVERAGE('Assumptions (Geo)'!$AP$2:$AR$2)/10^9),0)</f>
        <v>0</v>
      </c>
      <c r="BH1731" s="160">
        <f>IF($AT$1579&gt;0,IPMT('Assumptions (Geo)'!$V$7,Model!AK$1,'Assumptions (Geo)'!$V$10,'Assumptions (Geo)'!$V$5*Model!$AT$1579*AVERAGE('Assumptions (Geo)'!$AP$2:$AR$2)/10^9),0)</f>
        <v>0</v>
      </c>
      <c r="BI1731" s="160"/>
      <c r="BJ1731" s="160"/>
      <c r="BK1731" s="160"/>
      <c r="BL1731" s="160"/>
      <c r="BM1731" s="160"/>
      <c r="BN1731" s="160"/>
      <c r="BO1731" s="160"/>
      <c r="BP1731" s="160"/>
    </row>
    <row r="1732" ht="15.75" hidden="1" customHeight="1" outlineLevel="1">
      <c r="A1732" s="295"/>
      <c r="B1732" s="38"/>
      <c r="C1732" s="174"/>
      <c r="D1732" s="174"/>
      <c r="E1732" s="174"/>
      <c r="F1732" s="174"/>
      <c r="G1732" s="174"/>
      <c r="H1732" s="174"/>
      <c r="I1732" s="174"/>
      <c r="J1732" s="174"/>
      <c r="K1732" s="174"/>
      <c r="L1732" s="174"/>
      <c r="M1732" s="174"/>
      <c r="N1732" s="174"/>
      <c r="O1732" s="174"/>
      <c r="P1732" s="174"/>
      <c r="Q1732" s="174"/>
      <c r="R1732" s="174"/>
      <c r="S1732" s="174"/>
      <c r="T1732" s="174"/>
      <c r="U1732" s="174"/>
      <c r="V1732" s="174"/>
      <c r="W1732" s="160"/>
      <c r="X1732" s="160"/>
      <c r="Y1732" s="160"/>
      <c r="Z1732" s="160"/>
      <c r="AA1732" s="160"/>
      <c r="AB1732" s="160"/>
      <c r="AC1732" s="160"/>
      <c r="AD1732" s="160"/>
      <c r="AE1732" s="160"/>
      <c r="AF1732" s="160"/>
      <c r="AG1732" s="160"/>
      <c r="AH1732" s="160"/>
      <c r="AI1732" s="160"/>
      <c r="AJ1732" s="179"/>
      <c r="AK1732" s="160"/>
      <c r="AL1732" s="177"/>
      <c r="AM1732" s="177"/>
      <c r="AN1732" s="177"/>
      <c r="AO1732" s="160"/>
      <c r="AP1732" s="160"/>
      <c r="AQ1732" s="160"/>
      <c r="AR1732" s="160"/>
      <c r="AS1732" s="160"/>
      <c r="AT1732" s="160"/>
      <c r="AU1732" s="160">
        <f>IF($AU$1579&gt;0,IPMT('Assumptions (Geo)'!$V$7,Model!W$1,'Assumptions (Geo)'!$V$10,'Assumptions (Geo)'!$V$5*Model!$AU$1579*AVERAGE('Assumptions (Geo)'!$AQ$2:$AS$2)/10^9),0)</f>
        <v>0</v>
      </c>
      <c r="AV1732" s="160">
        <f>IF($AU$1579&gt;0,IPMT('Assumptions (Geo)'!$V$7,Model!X$1,'Assumptions (Geo)'!$V$10,'Assumptions (Geo)'!$V$5*Model!$AU$1579*AVERAGE('Assumptions (Geo)'!$AQ$2:$AS$2)/10^9),0)</f>
        <v>0</v>
      </c>
      <c r="AW1732" s="160">
        <f>IF($AU$1579&gt;0,IPMT('Assumptions (Geo)'!$V$7,Model!Y$1,'Assumptions (Geo)'!$V$10,'Assumptions (Geo)'!$V$5*Model!$AU$1579*AVERAGE('Assumptions (Geo)'!$AQ$2:$AS$2)/10^9),0)</f>
        <v>0</v>
      </c>
      <c r="AX1732" s="160">
        <f>IF($AU$1579&gt;0,IPMT('Assumptions (Geo)'!$V$7,Model!Z$1,'Assumptions (Geo)'!$V$10,'Assumptions (Geo)'!$V$5*Model!$AU$1579*AVERAGE('Assumptions (Geo)'!$AQ$2:$AS$2)/10^9),0)</f>
        <v>0</v>
      </c>
      <c r="AY1732" s="160">
        <f>IF($AU$1579&gt;0,IPMT('Assumptions (Geo)'!$V$7,Model!AA$1,'Assumptions (Geo)'!$V$10,'Assumptions (Geo)'!$V$5*Model!$AU$1579*AVERAGE('Assumptions (Geo)'!$AQ$2:$AS$2)/10^9),0)</f>
        <v>0</v>
      </c>
      <c r="AZ1732" s="160">
        <f>IF($AU$1579&gt;0,IPMT('Assumptions (Geo)'!$V$7,Model!AB$1,'Assumptions (Geo)'!$V$10,'Assumptions (Geo)'!$V$5*Model!$AU$1579*AVERAGE('Assumptions (Geo)'!$AQ$2:$AS$2)/10^9),0)</f>
        <v>0</v>
      </c>
      <c r="BA1732" s="160">
        <f>IF($AU$1579&gt;0,IPMT('Assumptions (Geo)'!$V$7,Model!AC$1,'Assumptions (Geo)'!$V$10,'Assumptions (Geo)'!$V$5*Model!$AU$1579*AVERAGE('Assumptions (Geo)'!$AQ$2:$AS$2)/10^9),0)</f>
        <v>0</v>
      </c>
      <c r="BB1732" s="160">
        <f>IF($AU$1579&gt;0,IPMT('Assumptions (Geo)'!$V$7,Model!AD$1,'Assumptions (Geo)'!$V$10,'Assumptions (Geo)'!$V$5*Model!$AU$1579*AVERAGE('Assumptions (Geo)'!$AQ$2:$AS$2)/10^9),0)</f>
        <v>0</v>
      </c>
      <c r="BC1732" s="160">
        <f>IF($AU$1579&gt;0,IPMT('Assumptions (Geo)'!$V$7,Model!AE$1,'Assumptions (Geo)'!$V$10,'Assumptions (Geo)'!$V$5*Model!$AU$1579*AVERAGE('Assumptions (Geo)'!$AQ$2:$AS$2)/10^9),0)</f>
        <v>0</v>
      </c>
      <c r="BD1732" s="160">
        <f>IF($AU$1579&gt;0,IPMT('Assumptions (Geo)'!$V$7,Model!AF$1,'Assumptions (Geo)'!$V$10,'Assumptions (Geo)'!$V$5*Model!$AU$1579*AVERAGE('Assumptions (Geo)'!$AQ$2:$AS$2)/10^9),0)</f>
        <v>0</v>
      </c>
      <c r="BE1732" s="160">
        <f>IF($AU$1579&gt;0,IPMT('Assumptions (Geo)'!$V$7,Model!AG$1,'Assumptions (Geo)'!$V$10,'Assumptions (Geo)'!$V$5*Model!$AU$1579*AVERAGE('Assumptions (Geo)'!$AQ$2:$AS$2)/10^9),0)</f>
        <v>0</v>
      </c>
      <c r="BF1732" s="160">
        <f>IF($AU$1579&gt;0,IPMT('Assumptions (Geo)'!$V$7,Model!AH$1,'Assumptions (Geo)'!$V$10,'Assumptions (Geo)'!$V$5*Model!$AU$1579*AVERAGE('Assumptions (Geo)'!$AQ$2:$AS$2)/10^9),0)</f>
        <v>0</v>
      </c>
      <c r="BG1732" s="160">
        <f>IF($AU$1579&gt;0,IPMT('Assumptions (Geo)'!$V$7,Model!AI$1,'Assumptions (Geo)'!$V$10,'Assumptions (Geo)'!$V$5*Model!$AU$1579*AVERAGE('Assumptions (Geo)'!$AQ$2:$AS$2)/10^9),0)</f>
        <v>0</v>
      </c>
      <c r="BH1732" s="160">
        <f>IF($AU$1579&gt;0,IPMT('Assumptions (Geo)'!$V$7,Model!AJ$1,'Assumptions (Geo)'!$V$10,'Assumptions (Geo)'!$V$5*Model!$AU$1579*AVERAGE('Assumptions (Geo)'!$AQ$2:$AS$2)/10^9),0)</f>
        <v>0</v>
      </c>
      <c r="BI1732" s="160">
        <f>IF($AU$1579&gt;0,IPMT('Assumptions (Geo)'!$V$7,Model!AK$1,'Assumptions (Geo)'!$V$10,'Assumptions (Geo)'!$V$5*Model!$AU$1579*AVERAGE('Assumptions (Geo)'!$AQ$2:$AS$2)/10^9),0)</f>
        <v>0</v>
      </c>
      <c r="BJ1732" s="160"/>
      <c r="BK1732" s="160"/>
      <c r="BL1732" s="160"/>
      <c r="BM1732" s="160"/>
      <c r="BN1732" s="160"/>
      <c r="BO1732" s="160"/>
      <c r="BP1732" s="160"/>
    </row>
    <row r="1733" ht="15.75" hidden="1" customHeight="1" outlineLevel="1">
      <c r="A1733" s="295"/>
      <c r="B1733" s="38"/>
      <c r="C1733" s="174"/>
      <c r="D1733" s="174"/>
      <c r="E1733" s="174"/>
      <c r="F1733" s="174"/>
      <c r="G1733" s="174"/>
      <c r="H1733" s="174"/>
      <c r="I1733" s="174"/>
      <c r="J1733" s="174"/>
      <c r="K1733" s="174"/>
      <c r="L1733" s="174"/>
      <c r="M1733" s="174"/>
      <c r="N1733" s="174"/>
      <c r="O1733" s="174"/>
      <c r="P1733" s="174"/>
      <c r="Q1733" s="174"/>
      <c r="R1733" s="174"/>
      <c r="S1733" s="174"/>
      <c r="T1733" s="174"/>
      <c r="U1733" s="174"/>
      <c r="V1733" s="174"/>
      <c r="W1733" s="160"/>
      <c r="X1733" s="160"/>
      <c r="Y1733" s="160"/>
      <c r="Z1733" s="160"/>
      <c r="AA1733" s="160"/>
      <c r="AB1733" s="160"/>
      <c r="AC1733" s="160"/>
      <c r="AD1733" s="160"/>
      <c r="AE1733" s="160"/>
      <c r="AF1733" s="160"/>
      <c r="AG1733" s="160"/>
      <c r="AH1733" s="160"/>
      <c r="AI1733" s="160"/>
      <c r="AJ1733" s="179"/>
      <c r="AK1733" s="160"/>
      <c r="AL1733" s="177"/>
      <c r="AM1733" s="177"/>
      <c r="AN1733" s="177"/>
      <c r="AO1733" s="160"/>
      <c r="AP1733" s="160"/>
      <c r="AQ1733" s="160"/>
      <c r="AR1733" s="160"/>
      <c r="AS1733" s="160"/>
      <c r="AT1733" s="160"/>
      <c r="AU1733" s="160"/>
      <c r="AV1733" s="160">
        <f>IF($AV$1579&gt;0,IPMT('Assumptions (Geo)'!$V$7,Model!W$1,'Assumptions (Geo)'!$V$10,'Assumptions (Geo)'!$V$5*Model!$AV$1579*AVERAGE('Assumptions (Geo)'!$AR$2:$AT$2)/10^9),0)</f>
        <v>0</v>
      </c>
      <c r="AW1733" s="160">
        <f>IF($AV$1579&gt;0,IPMT('Assumptions (Geo)'!$V$7,Model!X$1,'Assumptions (Geo)'!$V$10,'Assumptions (Geo)'!$V$5*Model!$AV$1579*AVERAGE('Assumptions (Geo)'!$AR$2:$AT$2)/10^9),0)</f>
        <v>0</v>
      </c>
      <c r="AX1733" s="160">
        <f>IF($AV$1579&gt;0,IPMT('Assumptions (Geo)'!$V$7,Model!Y$1,'Assumptions (Geo)'!$V$10,'Assumptions (Geo)'!$V$5*Model!$AV$1579*AVERAGE('Assumptions (Geo)'!$AR$2:$AT$2)/10^9),0)</f>
        <v>0</v>
      </c>
      <c r="AY1733" s="160">
        <f>IF($AV$1579&gt;0,IPMT('Assumptions (Geo)'!$V$7,Model!Z$1,'Assumptions (Geo)'!$V$10,'Assumptions (Geo)'!$V$5*Model!$AV$1579*AVERAGE('Assumptions (Geo)'!$AR$2:$AT$2)/10^9),0)</f>
        <v>0</v>
      </c>
      <c r="AZ1733" s="160">
        <f>IF($AV$1579&gt;0,IPMT('Assumptions (Geo)'!$V$7,Model!AA$1,'Assumptions (Geo)'!$V$10,'Assumptions (Geo)'!$V$5*Model!$AV$1579*AVERAGE('Assumptions (Geo)'!$AR$2:$AT$2)/10^9),0)</f>
        <v>0</v>
      </c>
      <c r="BA1733" s="160">
        <f>IF($AV$1579&gt;0,IPMT('Assumptions (Geo)'!$V$7,Model!AB$1,'Assumptions (Geo)'!$V$10,'Assumptions (Geo)'!$V$5*Model!$AV$1579*AVERAGE('Assumptions (Geo)'!$AR$2:$AT$2)/10^9),0)</f>
        <v>0</v>
      </c>
      <c r="BB1733" s="160">
        <f>IF($AV$1579&gt;0,IPMT('Assumptions (Geo)'!$V$7,Model!AC$1,'Assumptions (Geo)'!$V$10,'Assumptions (Geo)'!$V$5*Model!$AV$1579*AVERAGE('Assumptions (Geo)'!$AR$2:$AT$2)/10^9),0)</f>
        <v>0</v>
      </c>
      <c r="BC1733" s="160">
        <f>IF($AV$1579&gt;0,IPMT('Assumptions (Geo)'!$V$7,Model!AD$1,'Assumptions (Geo)'!$V$10,'Assumptions (Geo)'!$V$5*Model!$AV$1579*AVERAGE('Assumptions (Geo)'!$AR$2:$AT$2)/10^9),0)</f>
        <v>0</v>
      </c>
      <c r="BD1733" s="160">
        <f>IF($AV$1579&gt;0,IPMT('Assumptions (Geo)'!$V$7,Model!AE$1,'Assumptions (Geo)'!$V$10,'Assumptions (Geo)'!$V$5*Model!$AV$1579*AVERAGE('Assumptions (Geo)'!$AR$2:$AT$2)/10^9),0)</f>
        <v>0</v>
      </c>
      <c r="BE1733" s="160">
        <f>IF($AV$1579&gt;0,IPMT('Assumptions (Geo)'!$V$7,Model!AF$1,'Assumptions (Geo)'!$V$10,'Assumptions (Geo)'!$V$5*Model!$AV$1579*AVERAGE('Assumptions (Geo)'!$AR$2:$AT$2)/10^9),0)</f>
        <v>0</v>
      </c>
      <c r="BF1733" s="160">
        <f>IF($AV$1579&gt;0,IPMT('Assumptions (Geo)'!$V$7,Model!AG$1,'Assumptions (Geo)'!$V$10,'Assumptions (Geo)'!$V$5*Model!$AV$1579*AVERAGE('Assumptions (Geo)'!$AR$2:$AT$2)/10^9),0)</f>
        <v>0</v>
      </c>
      <c r="BG1733" s="160">
        <f>IF($AV$1579&gt;0,IPMT('Assumptions (Geo)'!$V$7,Model!AH$1,'Assumptions (Geo)'!$V$10,'Assumptions (Geo)'!$V$5*Model!$AV$1579*AVERAGE('Assumptions (Geo)'!$AR$2:$AT$2)/10^9),0)</f>
        <v>0</v>
      </c>
      <c r="BH1733" s="160">
        <f>IF($AV$1579&gt;0,IPMT('Assumptions (Geo)'!$V$7,Model!AI$1,'Assumptions (Geo)'!$V$10,'Assumptions (Geo)'!$V$5*Model!$AV$1579*AVERAGE('Assumptions (Geo)'!$AR$2:$AT$2)/10^9),0)</f>
        <v>0</v>
      </c>
      <c r="BI1733" s="160">
        <f>IF($AV$1579&gt;0,IPMT('Assumptions (Geo)'!$V$7,Model!AJ$1,'Assumptions (Geo)'!$V$10,'Assumptions (Geo)'!$V$5*Model!$AV$1579*AVERAGE('Assumptions (Geo)'!$AR$2:$AT$2)/10^9),0)</f>
        <v>0</v>
      </c>
      <c r="BJ1733" s="160">
        <f>IF($AV$1579&gt;0,IPMT('Assumptions (Geo)'!$V$7,Model!AK$1,'Assumptions (Geo)'!$V$10,'Assumptions (Geo)'!$V$5*Model!$AV$1579*AVERAGE('Assumptions (Geo)'!$AR$2:$AT$2)/10^9),0)</f>
        <v>0</v>
      </c>
      <c r="BK1733" s="160"/>
      <c r="BL1733" s="160"/>
      <c r="BM1733" s="160"/>
      <c r="BN1733" s="160"/>
      <c r="BO1733" s="160"/>
      <c r="BP1733" s="160"/>
    </row>
    <row r="1734" ht="15.75" hidden="1" customHeight="1" outlineLevel="1">
      <c r="A1734" s="295"/>
      <c r="B1734" s="38"/>
      <c r="C1734" s="174"/>
      <c r="D1734" s="174"/>
      <c r="E1734" s="174"/>
      <c r="F1734" s="174"/>
      <c r="G1734" s="174"/>
      <c r="H1734" s="174"/>
      <c r="I1734" s="174"/>
      <c r="J1734" s="174"/>
      <c r="K1734" s="174"/>
      <c r="L1734" s="174"/>
      <c r="M1734" s="174"/>
      <c r="N1734" s="174"/>
      <c r="O1734" s="174"/>
      <c r="P1734" s="174"/>
      <c r="Q1734" s="174"/>
      <c r="R1734" s="174"/>
      <c r="S1734" s="174"/>
      <c r="T1734" s="174"/>
      <c r="U1734" s="174"/>
      <c r="V1734" s="174"/>
      <c r="W1734" s="160"/>
      <c r="X1734" s="160"/>
      <c r="Y1734" s="160"/>
      <c r="Z1734" s="160"/>
      <c r="AA1734" s="160"/>
      <c r="AB1734" s="160"/>
      <c r="AC1734" s="160"/>
      <c r="AD1734" s="160"/>
      <c r="AE1734" s="160"/>
      <c r="AF1734" s="160"/>
      <c r="AG1734" s="160"/>
      <c r="AH1734" s="160"/>
      <c r="AI1734" s="160"/>
      <c r="AJ1734" s="179"/>
      <c r="AK1734" s="160"/>
      <c r="AL1734" s="177"/>
      <c r="AM1734" s="177"/>
      <c r="AN1734" s="177"/>
      <c r="AO1734" s="160"/>
      <c r="AP1734" s="160"/>
      <c r="AQ1734" s="160"/>
      <c r="AR1734" s="160"/>
      <c r="AS1734" s="160"/>
      <c r="AT1734" s="160"/>
      <c r="AU1734" s="160"/>
      <c r="AV1734" s="160"/>
      <c r="AW1734" s="160">
        <f>IF($AW$1579&gt;0,IPMT('Assumptions (Geo)'!$V$7,Model!W$1,'Assumptions (Geo)'!$V$10,'Assumptions (Geo)'!$V$5*Model!$AW$1579*AVERAGE('Assumptions (Geo)'!$AS$2:$AU$2)/10^9),0)</f>
        <v>0</v>
      </c>
      <c r="AX1734" s="160">
        <f>IF($AW$1579&gt;0,IPMT('Assumptions (Geo)'!$V$7,Model!X$1,'Assumptions (Geo)'!$V$10,'Assumptions (Geo)'!$V$5*Model!$AW$1579*AVERAGE('Assumptions (Geo)'!$AS$2:$AU$2)/10^9),0)</f>
        <v>0</v>
      </c>
      <c r="AY1734" s="160">
        <f>IF($AW$1579&gt;0,IPMT('Assumptions (Geo)'!$V$7,Model!Y$1,'Assumptions (Geo)'!$V$10,'Assumptions (Geo)'!$V$5*Model!$AW$1579*AVERAGE('Assumptions (Geo)'!$AS$2:$AU$2)/10^9),0)</f>
        <v>0</v>
      </c>
      <c r="AZ1734" s="160">
        <f>IF($AW$1579&gt;0,IPMT('Assumptions (Geo)'!$V$7,Model!Z$1,'Assumptions (Geo)'!$V$10,'Assumptions (Geo)'!$V$5*Model!$AW$1579*AVERAGE('Assumptions (Geo)'!$AS$2:$AU$2)/10^9),0)</f>
        <v>0</v>
      </c>
      <c r="BA1734" s="160">
        <f>IF($AW$1579&gt;0,IPMT('Assumptions (Geo)'!$V$7,Model!AA$1,'Assumptions (Geo)'!$V$10,'Assumptions (Geo)'!$V$5*Model!$AW$1579*AVERAGE('Assumptions (Geo)'!$AS$2:$AU$2)/10^9),0)</f>
        <v>0</v>
      </c>
      <c r="BB1734" s="160">
        <f>IF($AW$1579&gt;0,IPMT('Assumptions (Geo)'!$V$7,Model!AB$1,'Assumptions (Geo)'!$V$10,'Assumptions (Geo)'!$V$5*Model!$AW$1579*AVERAGE('Assumptions (Geo)'!$AS$2:$AU$2)/10^9),0)</f>
        <v>0</v>
      </c>
      <c r="BC1734" s="160">
        <f>IF($AW$1579&gt;0,IPMT('Assumptions (Geo)'!$V$7,Model!AC$1,'Assumptions (Geo)'!$V$10,'Assumptions (Geo)'!$V$5*Model!$AW$1579*AVERAGE('Assumptions (Geo)'!$AS$2:$AU$2)/10^9),0)</f>
        <v>0</v>
      </c>
      <c r="BD1734" s="160">
        <f>IF($AW$1579&gt;0,IPMT('Assumptions (Geo)'!$V$7,Model!AD$1,'Assumptions (Geo)'!$V$10,'Assumptions (Geo)'!$V$5*Model!$AW$1579*AVERAGE('Assumptions (Geo)'!$AS$2:$AU$2)/10^9),0)</f>
        <v>0</v>
      </c>
      <c r="BE1734" s="160">
        <f>IF($AW$1579&gt;0,IPMT('Assumptions (Geo)'!$V$7,Model!AE$1,'Assumptions (Geo)'!$V$10,'Assumptions (Geo)'!$V$5*Model!$AW$1579*AVERAGE('Assumptions (Geo)'!$AS$2:$AU$2)/10^9),0)</f>
        <v>0</v>
      </c>
      <c r="BF1734" s="160">
        <f>IF($AW$1579&gt;0,IPMT('Assumptions (Geo)'!$V$7,Model!AF$1,'Assumptions (Geo)'!$V$10,'Assumptions (Geo)'!$V$5*Model!$AW$1579*AVERAGE('Assumptions (Geo)'!$AS$2:$AU$2)/10^9),0)</f>
        <v>0</v>
      </c>
      <c r="BG1734" s="160">
        <f>IF($AW$1579&gt;0,IPMT('Assumptions (Geo)'!$V$7,Model!AG$1,'Assumptions (Geo)'!$V$10,'Assumptions (Geo)'!$V$5*Model!$AW$1579*AVERAGE('Assumptions (Geo)'!$AS$2:$AU$2)/10^9),0)</f>
        <v>0</v>
      </c>
      <c r="BH1734" s="160">
        <f>IF($AW$1579&gt;0,IPMT('Assumptions (Geo)'!$V$7,Model!AH$1,'Assumptions (Geo)'!$V$10,'Assumptions (Geo)'!$V$5*Model!$AW$1579*AVERAGE('Assumptions (Geo)'!$AS$2:$AU$2)/10^9),0)</f>
        <v>0</v>
      </c>
      <c r="BI1734" s="160">
        <f>IF($AW$1579&gt;0,IPMT('Assumptions (Geo)'!$V$7,Model!AI$1,'Assumptions (Geo)'!$V$10,'Assumptions (Geo)'!$V$5*Model!$AW$1579*AVERAGE('Assumptions (Geo)'!$AS$2:$AU$2)/10^9),0)</f>
        <v>0</v>
      </c>
      <c r="BJ1734" s="160">
        <f>IF($AW$1579&gt;0,IPMT('Assumptions (Geo)'!$V$7,Model!AJ$1,'Assumptions (Geo)'!$V$10,'Assumptions (Geo)'!$V$5*Model!$AW$1579*AVERAGE('Assumptions (Geo)'!$AS$2:$AU$2)/10^9),0)</f>
        <v>0</v>
      </c>
      <c r="BK1734" s="160">
        <f>IF($AW$1579&gt;0,IPMT('Assumptions (Geo)'!$V$7,Model!AK$1,'Assumptions (Geo)'!$V$10,'Assumptions (Geo)'!$V$5*Model!$AW$1579*AVERAGE('Assumptions (Geo)'!$AS$2:$AU$2)/10^9),0)</f>
        <v>0</v>
      </c>
      <c r="BL1734" s="160"/>
      <c r="BM1734" s="160"/>
      <c r="BN1734" s="160"/>
      <c r="BO1734" s="160"/>
      <c r="BP1734" s="160"/>
    </row>
    <row r="1735" ht="15.75" hidden="1" customHeight="1" outlineLevel="1">
      <c r="A1735" s="295"/>
      <c r="B1735" s="38"/>
      <c r="C1735" s="174"/>
      <c r="D1735" s="174"/>
      <c r="E1735" s="174"/>
      <c r="F1735" s="174"/>
      <c r="G1735" s="174"/>
      <c r="H1735" s="174"/>
      <c r="I1735" s="174"/>
      <c r="J1735" s="174"/>
      <c r="K1735" s="174"/>
      <c r="L1735" s="174"/>
      <c r="M1735" s="174"/>
      <c r="N1735" s="174"/>
      <c r="O1735" s="174"/>
      <c r="P1735" s="174"/>
      <c r="Q1735" s="174"/>
      <c r="R1735" s="174"/>
      <c r="S1735" s="174"/>
      <c r="T1735" s="174"/>
      <c r="U1735" s="174"/>
      <c r="V1735" s="174"/>
      <c r="W1735" s="160"/>
      <c r="X1735" s="160"/>
      <c r="Y1735" s="160"/>
      <c r="Z1735" s="160"/>
      <c r="AA1735" s="160"/>
      <c r="AB1735" s="160"/>
      <c r="AC1735" s="160"/>
      <c r="AD1735" s="160"/>
      <c r="AE1735" s="160"/>
      <c r="AF1735" s="160"/>
      <c r="AG1735" s="160"/>
      <c r="AH1735" s="160"/>
      <c r="AI1735" s="160"/>
      <c r="AJ1735" s="179"/>
      <c r="AK1735" s="160"/>
      <c r="AL1735" s="177"/>
      <c r="AM1735" s="177"/>
      <c r="AN1735" s="177"/>
      <c r="AO1735" s="160"/>
      <c r="AP1735" s="160"/>
      <c r="AQ1735" s="160"/>
      <c r="AR1735" s="160"/>
      <c r="AS1735" s="160"/>
      <c r="AT1735" s="160"/>
      <c r="AU1735" s="160"/>
      <c r="AV1735" s="160"/>
      <c r="AW1735" s="160"/>
      <c r="AX1735" s="160">
        <f>IF($AX$1579&gt;0,IPMT('Assumptions (Geo)'!$V$7,Model!W$1,'Assumptions (Geo)'!$V$10,'Assumptions (Geo)'!$V$5*Model!$AX$1579*AVERAGE('Assumptions (Geo)'!$AT$2:$AV$2)/10^9),0)</f>
        <v>0</v>
      </c>
      <c r="AY1735" s="160">
        <f>IF($AX$1579&gt;0,IPMT('Assumptions (Geo)'!$V$7,Model!X$1,'Assumptions (Geo)'!$V$10,'Assumptions (Geo)'!$V$5*Model!$AX$1579*AVERAGE('Assumptions (Geo)'!$AT$2:$AV$2)/10^9),0)</f>
        <v>0</v>
      </c>
      <c r="AZ1735" s="160">
        <f>IF($AX$1579&gt;0,IPMT('Assumptions (Geo)'!$V$7,Model!Y$1,'Assumptions (Geo)'!$V$10,'Assumptions (Geo)'!$V$5*Model!$AX$1579*AVERAGE('Assumptions (Geo)'!$AT$2:$AV$2)/10^9),0)</f>
        <v>0</v>
      </c>
      <c r="BA1735" s="160">
        <f>IF($AX$1579&gt;0,IPMT('Assumptions (Geo)'!$V$7,Model!Z$1,'Assumptions (Geo)'!$V$10,'Assumptions (Geo)'!$V$5*Model!$AX$1579*AVERAGE('Assumptions (Geo)'!$AT$2:$AV$2)/10^9),0)</f>
        <v>0</v>
      </c>
      <c r="BB1735" s="160">
        <f>IF($AX$1579&gt;0,IPMT('Assumptions (Geo)'!$V$7,Model!AA$1,'Assumptions (Geo)'!$V$10,'Assumptions (Geo)'!$V$5*Model!$AX$1579*AVERAGE('Assumptions (Geo)'!$AT$2:$AV$2)/10^9),0)</f>
        <v>0</v>
      </c>
      <c r="BC1735" s="160">
        <f>IF($AX$1579&gt;0,IPMT('Assumptions (Geo)'!$V$7,Model!AB$1,'Assumptions (Geo)'!$V$10,'Assumptions (Geo)'!$V$5*Model!$AX$1579*AVERAGE('Assumptions (Geo)'!$AT$2:$AV$2)/10^9),0)</f>
        <v>0</v>
      </c>
      <c r="BD1735" s="160">
        <f>IF($AX$1579&gt;0,IPMT('Assumptions (Geo)'!$V$7,Model!AC$1,'Assumptions (Geo)'!$V$10,'Assumptions (Geo)'!$V$5*Model!$AX$1579*AVERAGE('Assumptions (Geo)'!$AT$2:$AV$2)/10^9),0)</f>
        <v>0</v>
      </c>
      <c r="BE1735" s="160">
        <f>IF($AX$1579&gt;0,IPMT('Assumptions (Geo)'!$V$7,Model!AD$1,'Assumptions (Geo)'!$V$10,'Assumptions (Geo)'!$V$5*Model!$AX$1579*AVERAGE('Assumptions (Geo)'!$AT$2:$AV$2)/10^9),0)</f>
        <v>0</v>
      </c>
      <c r="BF1735" s="160">
        <f>IF($AX$1579&gt;0,IPMT('Assumptions (Geo)'!$V$7,Model!AE$1,'Assumptions (Geo)'!$V$10,'Assumptions (Geo)'!$V$5*Model!$AX$1579*AVERAGE('Assumptions (Geo)'!$AT$2:$AV$2)/10^9),0)</f>
        <v>0</v>
      </c>
      <c r="BG1735" s="160">
        <f>IF($AX$1579&gt;0,IPMT('Assumptions (Geo)'!$V$7,Model!AF$1,'Assumptions (Geo)'!$V$10,'Assumptions (Geo)'!$V$5*Model!$AX$1579*AVERAGE('Assumptions (Geo)'!$AT$2:$AV$2)/10^9),0)</f>
        <v>0</v>
      </c>
      <c r="BH1735" s="160">
        <f>IF($AX$1579&gt;0,IPMT('Assumptions (Geo)'!$V$7,Model!AG$1,'Assumptions (Geo)'!$V$10,'Assumptions (Geo)'!$V$5*Model!$AX$1579*AVERAGE('Assumptions (Geo)'!$AT$2:$AV$2)/10^9),0)</f>
        <v>0</v>
      </c>
      <c r="BI1735" s="160">
        <f>IF($AX$1579&gt;0,IPMT('Assumptions (Geo)'!$V$7,Model!AH$1,'Assumptions (Geo)'!$V$10,'Assumptions (Geo)'!$V$5*Model!$AX$1579*AVERAGE('Assumptions (Geo)'!$AT$2:$AV$2)/10^9),0)</f>
        <v>0</v>
      </c>
      <c r="BJ1735" s="160">
        <f>IF($AX$1579&gt;0,IPMT('Assumptions (Geo)'!$V$7,Model!AI$1,'Assumptions (Geo)'!$V$10,'Assumptions (Geo)'!$V$5*Model!$AX$1579*AVERAGE('Assumptions (Geo)'!$AT$2:$AV$2)/10^9),0)</f>
        <v>0</v>
      </c>
      <c r="BK1735" s="160">
        <f>IF($AX$1579&gt;0,IPMT('Assumptions (Geo)'!$V$7,Model!AJ$1,'Assumptions (Geo)'!$V$10,'Assumptions (Geo)'!$V$5*Model!$AX$1579*AVERAGE('Assumptions (Geo)'!$AT$2:$AV$2)/10^9),0)</f>
        <v>0</v>
      </c>
      <c r="BL1735" s="160">
        <f>IF($AX$1579&gt;0,IPMT('Assumptions (Geo)'!$V$7,Model!AK$1,'Assumptions (Geo)'!$V$10,'Assumptions (Geo)'!$V$5*Model!$AX$1579*AVERAGE('Assumptions (Geo)'!$AT$2:$AV$2)/10^9),0)</f>
        <v>0</v>
      </c>
      <c r="BM1735" s="160"/>
      <c r="BN1735" s="160"/>
      <c r="BO1735" s="160"/>
      <c r="BP1735" s="160"/>
    </row>
    <row r="1736" ht="15.75" hidden="1" customHeight="1" outlineLevel="1">
      <c r="A1736" s="295"/>
      <c r="B1736" s="38"/>
      <c r="C1736" s="174"/>
      <c r="D1736" s="174"/>
      <c r="E1736" s="174"/>
      <c r="F1736" s="174"/>
      <c r="G1736" s="174"/>
      <c r="H1736" s="174"/>
      <c r="I1736" s="174"/>
      <c r="J1736" s="174"/>
      <c r="K1736" s="174"/>
      <c r="L1736" s="174"/>
      <c r="M1736" s="174"/>
      <c r="N1736" s="174"/>
      <c r="O1736" s="174"/>
      <c r="P1736" s="174"/>
      <c r="Q1736" s="174"/>
      <c r="R1736" s="174"/>
      <c r="S1736" s="174"/>
      <c r="T1736" s="174"/>
      <c r="U1736" s="174"/>
      <c r="V1736" s="174"/>
      <c r="W1736" s="160"/>
      <c r="X1736" s="160"/>
      <c r="Y1736" s="160"/>
      <c r="Z1736" s="160"/>
      <c r="AA1736" s="160"/>
      <c r="AB1736" s="160"/>
      <c r="AC1736" s="160"/>
      <c r="AD1736" s="160"/>
      <c r="AE1736" s="160"/>
      <c r="AF1736" s="160"/>
      <c r="AG1736" s="160"/>
      <c r="AH1736" s="160"/>
      <c r="AI1736" s="160"/>
      <c r="AJ1736" s="179"/>
      <c r="AK1736" s="160"/>
      <c r="AL1736" s="177"/>
      <c r="AM1736" s="177"/>
      <c r="AN1736" s="177"/>
      <c r="AO1736" s="160"/>
      <c r="AP1736" s="160"/>
      <c r="AQ1736" s="160"/>
      <c r="AR1736" s="160"/>
      <c r="AS1736" s="160"/>
      <c r="AT1736" s="160"/>
      <c r="AU1736" s="160"/>
      <c r="AV1736" s="160"/>
      <c r="AW1736" s="160"/>
      <c r="AX1736" s="160"/>
      <c r="AY1736" s="160">
        <f>IF($AY$1579&gt;0,IPMT('Assumptions (Geo)'!$V$7,Model!W$1,'Assumptions (Geo)'!$V$10,'Assumptions (Geo)'!$V$5*Model!$AY$1579*AVERAGE('Assumptions (Geo)'!$AU$2:$AW$2)/10^9),0)</f>
        <v>0</v>
      </c>
      <c r="AZ1736" s="160">
        <f>IF($AY$1579&gt;0,IPMT('Assumptions (Geo)'!$V$7,Model!X$1,'Assumptions (Geo)'!$V$10,'Assumptions (Geo)'!$V$5*Model!$AY$1579*AVERAGE('Assumptions (Geo)'!$AU$2:$AW$2)/10^9),0)</f>
        <v>0</v>
      </c>
      <c r="BA1736" s="160">
        <f>IF($AY$1579&gt;0,IPMT('Assumptions (Geo)'!$V$7,Model!Y$1,'Assumptions (Geo)'!$V$10,'Assumptions (Geo)'!$V$5*Model!$AY$1579*AVERAGE('Assumptions (Geo)'!$AU$2:$AW$2)/10^9),0)</f>
        <v>0</v>
      </c>
      <c r="BB1736" s="160">
        <f>IF($AY$1579&gt;0,IPMT('Assumptions (Geo)'!$V$7,Model!Z$1,'Assumptions (Geo)'!$V$10,'Assumptions (Geo)'!$V$5*Model!$AY$1579*AVERAGE('Assumptions (Geo)'!$AU$2:$AW$2)/10^9),0)</f>
        <v>0</v>
      </c>
      <c r="BC1736" s="160">
        <f>IF($AY$1579&gt;0,IPMT('Assumptions (Geo)'!$V$7,Model!AA$1,'Assumptions (Geo)'!$V$10,'Assumptions (Geo)'!$V$5*Model!$AY$1579*AVERAGE('Assumptions (Geo)'!$AU$2:$AW$2)/10^9),0)</f>
        <v>0</v>
      </c>
      <c r="BD1736" s="160">
        <f>IF($AY$1579&gt;0,IPMT('Assumptions (Geo)'!$V$7,Model!AB$1,'Assumptions (Geo)'!$V$10,'Assumptions (Geo)'!$V$5*Model!$AY$1579*AVERAGE('Assumptions (Geo)'!$AU$2:$AW$2)/10^9),0)</f>
        <v>0</v>
      </c>
      <c r="BE1736" s="160">
        <f>IF($AY$1579&gt;0,IPMT('Assumptions (Geo)'!$V$7,Model!AC$1,'Assumptions (Geo)'!$V$10,'Assumptions (Geo)'!$V$5*Model!$AY$1579*AVERAGE('Assumptions (Geo)'!$AU$2:$AW$2)/10^9),0)</f>
        <v>0</v>
      </c>
      <c r="BF1736" s="160">
        <f>IF($AY$1579&gt;0,IPMT('Assumptions (Geo)'!$V$7,Model!AD$1,'Assumptions (Geo)'!$V$10,'Assumptions (Geo)'!$V$5*Model!$AY$1579*AVERAGE('Assumptions (Geo)'!$AU$2:$AW$2)/10^9),0)</f>
        <v>0</v>
      </c>
      <c r="BG1736" s="160">
        <f>IF($AY$1579&gt;0,IPMT('Assumptions (Geo)'!$V$7,Model!AE$1,'Assumptions (Geo)'!$V$10,'Assumptions (Geo)'!$V$5*Model!$AY$1579*AVERAGE('Assumptions (Geo)'!$AU$2:$AW$2)/10^9),0)</f>
        <v>0</v>
      </c>
      <c r="BH1736" s="160">
        <f>IF($AY$1579&gt;0,IPMT('Assumptions (Geo)'!$V$7,Model!AF$1,'Assumptions (Geo)'!$V$10,'Assumptions (Geo)'!$V$5*Model!$AY$1579*AVERAGE('Assumptions (Geo)'!$AU$2:$AW$2)/10^9),0)</f>
        <v>0</v>
      </c>
      <c r="BI1736" s="160">
        <f>IF($AY$1579&gt;0,IPMT('Assumptions (Geo)'!$V$7,Model!AG$1,'Assumptions (Geo)'!$V$10,'Assumptions (Geo)'!$V$5*Model!$AY$1579*AVERAGE('Assumptions (Geo)'!$AU$2:$AW$2)/10^9),0)</f>
        <v>0</v>
      </c>
      <c r="BJ1736" s="160">
        <f>IF($AY$1579&gt;0,IPMT('Assumptions (Geo)'!$V$7,Model!AH$1,'Assumptions (Geo)'!$V$10,'Assumptions (Geo)'!$V$5*Model!$AY$1579*AVERAGE('Assumptions (Geo)'!$AU$2:$AW$2)/10^9),0)</f>
        <v>0</v>
      </c>
      <c r="BK1736" s="160">
        <f>IF($AY$1579&gt;0,IPMT('Assumptions (Geo)'!$V$7,Model!AI$1,'Assumptions (Geo)'!$V$10,'Assumptions (Geo)'!$V$5*Model!$AY$1579*AVERAGE('Assumptions (Geo)'!$AU$2:$AW$2)/10^9),0)</f>
        <v>0</v>
      </c>
      <c r="BL1736" s="160">
        <f>IF($AY$1579&gt;0,IPMT('Assumptions (Geo)'!$V$7,Model!AJ$1,'Assumptions (Geo)'!$V$10,'Assumptions (Geo)'!$V$5*Model!$AY$1579*AVERAGE('Assumptions (Geo)'!$AU$2:$AW$2)/10^9),0)</f>
        <v>0</v>
      </c>
      <c r="BM1736" s="160">
        <f>IF($AY$1579&gt;0,IPMT('Assumptions (Geo)'!$V$7,Model!AK$1,'Assumptions (Geo)'!$V$10,'Assumptions (Geo)'!$V$5*Model!$AY$1579*AVERAGE('Assumptions (Geo)'!$AU$2:$AW$2)/10^9),0)</f>
        <v>0</v>
      </c>
      <c r="BN1736" s="160"/>
      <c r="BO1736" s="160"/>
      <c r="BP1736" s="160"/>
    </row>
    <row r="1737" ht="15.75" hidden="1" customHeight="1" outlineLevel="1">
      <c r="A1737" s="295"/>
      <c r="B1737" s="38"/>
      <c r="C1737" s="174"/>
      <c r="D1737" s="174"/>
      <c r="E1737" s="174"/>
      <c r="F1737" s="174"/>
      <c r="G1737" s="174"/>
      <c r="H1737" s="174"/>
      <c r="I1737" s="174"/>
      <c r="J1737" s="174"/>
      <c r="K1737" s="174"/>
      <c r="L1737" s="174"/>
      <c r="M1737" s="174"/>
      <c r="N1737" s="174"/>
      <c r="O1737" s="174"/>
      <c r="P1737" s="174"/>
      <c r="Q1737" s="174"/>
      <c r="R1737" s="174"/>
      <c r="S1737" s="174"/>
      <c r="T1737" s="174"/>
      <c r="U1737" s="174"/>
      <c r="V1737" s="174"/>
      <c r="W1737" s="160"/>
      <c r="X1737" s="160"/>
      <c r="Y1737" s="160"/>
      <c r="Z1737" s="160"/>
      <c r="AA1737" s="160"/>
      <c r="AB1737" s="160"/>
      <c r="AC1737" s="160"/>
      <c r="AD1737" s="160"/>
      <c r="AE1737" s="160"/>
      <c r="AF1737" s="160"/>
      <c r="AG1737" s="160"/>
      <c r="AH1737" s="160"/>
      <c r="AI1737" s="160"/>
      <c r="AJ1737" s="179"/>
      <c r="AK1737" s="160"/>
      <c r="AL1737" s="177"/>
      <c r="AM1737" s="177"/>
      <c r="AN1737" s="177"/>
      <c r="AO1737" s="160"/>
      <c r="AP1737" s="160"/>
      <c r="AQ1737" s="160"/>
      <c r="AR1737" s="160"/>
      <c r="AS1737" s="160"/>
      <c r="AT1737" s="160"/>
      <c r="AU1737" s="160"/>
      <c r="AV1737" s="160"/>
      <c r="AW1737" s="160"/>
      <c r="AX1737" s="160"/>
      <c r="AY1737" s="160"/>
      <c r="AZ1737" s="160">
        <f>IF($AZ$1579&gt;0,IPMT('Assumptions (Geo)'!$V$7,Model!W$1,'Assumptions (Geo)'!$V$10,'Assumptions (Geo)'!$V$5*Model!$AZ$1579*AVERAGE('Assumptions (Geo)'!$AV$2:$AX$2)/10^9),0)</f>
        <v>0</v>
      </c>
      <c r="BA1737" s="160">
        <f>IF($AZ$1579&gt;0,IPMT('Assumptions (Geo)'!$V$7,Model!X$1,'Assumptions (Geo)'!$V$10,'Assumptions (Geo)'!$V$5*Model!$AZ$1579*AVERAGE('Assumptions (Geo)'!$AV$2:$AX$2)/10^9),0)</f>
        <v>0</v>
      </c>
      <c r="BB1737" s="160">
        <f>IF($AZ$1579&gt;0,IPMT('Assumptions (Geo)'!$V$7,Model!Y$1,'Assumptions (Geo)'!$V$10,'Assumptions (Geo)'!$V$5*Model!$AZ$1579*AVERAGE('Assumptions (Geo)'!$AV$2:$AX$2)/10^9),0)</f>
        <v>0</v>
      </c>
      <c r="BC1737" s="160">
        <f>IF($AZ$1579&gt;0,IPMT('Assumptions (Geo)'!$V$7,Model!Z$1,'Assumptions (Geo)'!$V$10,'Assumptions (Geo)'!$V$5*Model!$AZ$1579*AVERAGE('Assumptions (Geo)'!$AV$2:$AX$2)/10^9),0)</f>
        <v>0</v>
      </c>
      <c r="BD1737" s="160">
        <f>IF($AZ$1579&gt;0,IPMT('Assumptions (Geo)'!$V$7,Model!AA$1,'Assumptions (Geo)'!$V$10,'Assumptions (Geo)'!$V$5*Model!$AZ$1579*AVERAGE('Assumptions (Geo)'!$AV$2:$AX$2)/10^9),0)</f>
        <v>0</v>
      </c>
      <c r="BE1737" s="160">
        <f>IF($AZ$1579&gt;0,IPMT('Assumptions (Geo)'!$V$7,Model!AB$1,'Assumptions (Geo)'!$V$10,'Assumptions (Geo)'!$V$5*Model!$AZ$1579*AVERAGE('Assumptions (Geo)'!$AV$2:$AX$2)/10^9),0)</f>
        <v>0</v>
      </c>
      <c r="BF1737" s="160">
        <f>IF($AZ$1579&gt;0,IPMT('Assumptions (Geo)'!$V$7,Model!AC$1,'Assumptions (Geo)'!$V$10,'Assumptions (Geo)'!$V$5*Model!$AZ$1579*AVERAGE('Assumptions (Geo)'!$AV$2:$AX$2)/10^9),0)</f>
        <v>0</v>
      </c>
      <c r="BG1737" s="160">
        <f>IF($AZ$1579&gt;0,IPMT('Assumptions (Geo)'!$V$7,Model!AD$1,'Assumptions (Geo)'!$V$10,'Assumptions (Geo)'!$V$5*Model!$AZ$1579*AVERAGE('Assumptions (Geo)'!$AV$2:$AX$2)/10^9),0)</f>
        <v>0</v>
      </c>
      <c r="BH1737" s="160">
        <f>IF($AZ$1579&gt;0,IPMT('Assumptions (Geo)'!$V$7,Model!AE$1,'Assumptions (Geo)'!$V$10,'Assumptions (Geo)'!$V$5*Model!$AZ$1579*AVERAGE('Assumptions (Geo)'!$AV$2:$AX$2)/10^9),0)</f>
        <v>0</v>
      </c>
      <c r="BI1737" s="160">
        <f>IF($AZ$1579&gt;0,IPMT('Assumptions (Geo)'!$V$7,Model!AF$1,'Assumptions (Geo)'!$V$10,'Assumptions (Geo)'!$V$5*Model!$AZ$1579*AVERAGE('Assumptions (Geo)'!$AV$2:$AX$2)/10^9),0)</f>
        <v>0</v>
      </c>
      <c r="BJ1737" s="160">
        <f>IF($AZ$1579&gt;0,IPMT('Assumptions (Geo)'!$V$7,Model!AG$1,'Assumptions (Geo)'!$V$10,'Assumptions (Geo)'!$V$5*Model!$AZ$1579*AVERAGE('Assumptions (Geo)'!$AV$2:$AX$2)/10^9),0)</f>
        <v>0</v>
      </c>
      <c r="BK1737" s="160">
        <f>IF($AZ$1579&gt;0,IPMT('Assumptions (Geo)'!$V$7,Model!AH$1,'Assumptions (Geo)'!$V$10,'Assumptions (Geo)'!$V$5*Model!$AZ$1579*AVERAGE('Assumptions (Geo)'!$AV$2:$AX$2)/10^9),0)</f>
        <v>0</v>
      </c>
      <c r="BL1737" s="160">
        <f>IF($AZ$1579&gt;0,IPMT('Assumptions (Geo)'!$V$7,Model!AI$1,'Assumptions (Geo)'!$V$10,'Assumptions (Geo)'!$V$5*Model!$AZ$1579*AVERAGE('Assumptions (Geo)'!$AV$2:$AX$2)/10^9),0)</f>
        <v>0</v>
      </c>
      <c r="BM1737" s="160">
        <f>IF($AZ$1579&gt;0,IPMT('Assumptions (Geo)'!$V$7,Model!AJ$1,'Assumptions (Geo)'!$V$10,'Assumptions (Geo)'!$V$5*Model!$AZ$1579*AVERAGE('Assumptions (Geo)'!$AV$2:$AX$2)/10^9),0)</f>
        <v>0</v>
      </c>
      <c r="BN1737" s="160">
        <f>IF($AZ$1579&gt;0,IPMT('Assumptions (Geo)'!$V$7,Model!AK$1,'Assumptions (Geo)'!$V$10,'Assumptions (Geo)'!$V$5*Model!$AZ$1579*AVERAGE('Assumptions (Geo)'!$AV$2:$AX$2)/10^9),0)</f>
        <v>0</v>
      </c>
      <c r="BO1737" s="160"/>
      <c r="BP1737" s="160"/>
    </row>
    <row r="1738" ht="15.75" hidden="1" customHeight="1" outlineLevel="1">
      <c r="A1738" s="295"/>
      <c r="B1738" s="38"/>
      <c r="C1738" s="174"/>
      <c r="D1738" s="174"/>
      <c r="E1738" s="174"/>
      <c r="F1738" s="174"/>
      <c r="G1738" s="174"/>
      <c r="H1738" s="174"/>
      <c r="I1738" s="174"/>
      <c r="J1738" s="174"/>
      <c r="K1738" s="174"/>
      <c r="L1738" s="174"/>
      <c r="M1738" s="174"/>
      <c r="N1738" s="174"/>
      <c r="O1738" s="174"/>
      <c r="P1738" s="174"/>
      <c r="Q1738" s="174"/>
      <c r="R1738" s="174"/>
      <c r="S1738" s="174"/>
      <c r="T1738" s="174"/>
      <c r="U1738" s="174"/>
      <c r="V1738" s="174"/>
      <c r="W1738" s="160"/>
      <c r="X1738" s="160"/>
      <c r="Y1738" s="160"/>
      <c r="Z1738" s="160"/>
      <c r="AA1738" s="160"/>
      <c r="AB1738" s="160"/>
      <c r="AC1738" s="160"/>
      <c r="AD1738" s="160"/>
      <c r="AE1738" s="160"/>
      <c r="AF1738" s="160"/>
      <c r="AG1738" s="160"/>
      <c r="AH1738" s="160"/>
      <c r="AI1738" s="160"/>
      <c r="AJ1738" s="179"/>
      <c r="AK1738" s="160"/>
      <c r="AL1738" s="177"/>
      <c r="AM1738" s="177"/>
      <c r="AN1738" s="177"/>
      <c r="AO1738" s="160"/>
      <c r="AP1738" s="160"/>
      <c r="AQ1738" s="160"/>
      <c r="AR1738" s="160"/>
      <c r="AS1738" s="160"/>
      <c r="AT1738" s="160"/>
      <c r="AU1738" s="160"/>
      <c r="AV1738" s="160"/>
      <c r="AW1738" s="160"/>
      <c r="AX1738" s="160"/>
      <c r="AY1738" s="160"/>
      <c r="AZ1738" s="160"/>
      <c r="BA1738" s="160">
        <f>IF($BA$1579&gt;0,IPMT('Assumptions (Geo)'!$V$7,Model!W$1,'Assumptions (Geo)'!$V$10,'Assumptions (Geo)'!$V$5*Model!$BA$1579*AVERAGE('Assumptions (Geo)'!$AW$2:$AY$2)/10^9),0)</f>
        <v>0</v>
      </c>
      <c r="BB1738" s="160">
        <f>IF($BA$1579&gt;0,IPMT('Assumptions (Geo)'!$V$7,Model!X$1,'Assumptions (Geo)'!$V$10,'Assumptions (Geo)'!$V$5*Model!$BA$1579*AVERAGE('Assumptions (Geo)'!$AW$2:$AY$2)/10^9),0)</f>
        <v>0</v>
      </c>
      <c r="BC1738" s="160">
        <f>IF($BA$1579&gt;0,IPMT('Assumptions (Geo)'!$V$7,Model!Y$1,'Assumptions (Geo)'!$V$10,'Assumptions (Geo)'!$V$5*Model!$BA$1579*AVERAGE('Assumptions (Geo)'!$AW$2:$AY$2)/10^9),0)</f>
        <v>0</v>
      </c>
      <c r="BD1738" s="160">
        <f>IF($BA$1579&gt;0,IPMT('Assumptions (Geo)'!$V$7,Model!Z$1,'Assumptions (Geo)'!$V$10,'Assumptions (Geo)'!$V$5*Model!$BA$1579*AVERAGE('Assumptions (Geo)'!$AW$2:$AY$2)/10^9),0)</f>
        <v>0</v>
      </c>
      <c r="BE1738" s="160">
        <f>IF($BA$1579&gt;0,IPMT('Assumptions (Geo)'!$V$7,Model!AA$1,'Assumptions (Geo)'!$V$10,'Assumptions (Geo)'!$V$5*Model!$BA$1579*AVERAGE('Assumptions (Geo)'!$AW$2:$AY$2)/10^9),0)</f>
        <v>0</v>
      </c>
      <c r="BF1738" s="160">
        <f>IF($BA$1579&gt;0,IPMT('Assumptions (Geo)'!$V$7,Model!AB$1,'Assumptions (Geo)'!$V$10,'Assumptions (Geo)'!$V$5*Model!$BA$1579*AVERAGE('Assumptions (Geo)'!$AW$2:$AY$2)/10^9),0)</f>
        <v>0</v>
      </c>
      <c r="BG1738" s="160">
        <f>IF($BA$1579&gt;0,IPMT('Assumptions (Geo)'!$V$7,Model!AC$1,'Assumptions (Geo)'!$V$10,'Assumptions (Geo)'!$V$5*Model!$BA$1579*AVERAGE('Assumptions (Geo)'!$AW$2:$AY$2)/10^9),0)</f>
        <v>0</v>
      </c>
      <c r="BH1738" s="160">
        <f>IF($BA$1579&gt;0,IPMT('Assumptions (Geo)'!$V$7,Model!AD$1,'Assumptions (Geo)'!$V$10,'Assumptions (Geo)'!$V$5*Model!$BA$1579*AVERAGE('Assumptions (Geo)'!$AW$2:$AY$2)/10^9),0)</f>
        <v>0</v>
      </c>
      <c r="BI1738" s="160">
        <f>IF($BA$1579&gt;0,IPMT('Assumptions (Geo)'!$V$7,Model!AE$1,'Assumptions (Geo)'!$V$10,'Assumptions (Geo)'!$V$5*Model!$BA$1579*AVERAGE('Assumptions (Geo)'!$AW$2:$AY$2)/10^9),0)</f>
        <v>0</v>
      </c>
      <c r="BJ1738" s="160">
        <f>IF($BA$1579&gt;0,IPMT('Assumptions (Geo)'!$V$7,Model!AF$1,'Assumptions (Geo)'!$V$10,'Assumptions (Geo)'!$V$5*Model!$BA$1579*AVERAGE('Assumptions (Geo)'!$AW$2:$AY$2)/10^9),0)</f>
        <v>0</v>
      </c>
      <c r="BK1738" s="160">
        <f>IF($BA$1579&gt;0,IPMT('Assumptions (Geo)'!$V$7,Model!AG$1,'Assumptions (Geo)'!$V$10,'Assumptions (Geo)'!$V$5*Model!$BA$1579*AVERAGE('Assumptions (Geo)'!$AW$2:$AY$2)/10^9),0)</f>
        <v>0</v>
      </c>
      <c r="BL1738" s="160">
        <f>IF($BA$1579&gt;0,IPMT('Assumptions (Geo)'!$V$7,Model!AH$1,'Assumptions (Geo)'!$V$10,'Assumptions (Geo)'!$V$5*Model!$BA$1579*AVERAGE('Assumptions (Geo)'!$AW$2:$AY$2)/10^9),0)</f>
        <v>0</v>
      </c>
      <c r="BM1738" s="160">
        <f>IF($BA$1579&gt;0,IPMT('Assumptions (Geo)'!$V$7,Model!AI$1,'Assumptions (Geo)'!$V$10,'Assumptions (Geo)'!$V$5*Model!$BA$1579*AVERAGE('Assumptions (Geo)'!$AW$2:$AY$2)/10^9),0)</f>
        <v>0</v>
      </c>
      <c r="BN1738" s="160">
        <f>IF($BA$1579&gt;0,IPMT('Assumptions (Geo)'!$V$7,Model!AJ$1,'Assumptions (Geo)'!$V$10,'Assumptions (Geo)'!$V$5*Model!$BA$1579*AVERAGE('Assumptions (Geo)'!$AW$2:$AY$2)/10^9),0)</f>
        <v>0</v>
      </c>
      <c r="BO1738" s="160">
        <f>IF($BA$1579&gt;0,IPMT('Assumptions (Geo)'!$V$7,Model!AK$1,'Assumptions (Geo)'!$V$10,'Assumptions (Geo)'!$V$5*Model!$BA$1579*AVERAGE('Assumptions (Geo)'!$AW$2:$AY$2)/10^9),0)</f>
        <v>0</v>
      </c>
      <c r="BP1738" s="160"/>
    </row>
    <row r="1739" ht="15.75" customHeight="1" collapsed="1">
      <c r="A1739" s="297" t="s">
        <v>361</v>
      </c>
      <c r="B1739" s="150" t="s">
        <v>351</v>
      </c>
      <c r="C1739" s="177">
        <f t="shared" ref="C1739:BP1739" si="64">SUM(C1740:C1790)</f>
        <v>0</v>
      </c>
      <c r="D1739" s="177">
        <f t="shared" si="64"/>
        <v>0</v>
      </c>
      <c r="E1739" s="177">
        <f t="shared" si="64"/>
        <v>0</v>
      </c>
      <c r="F1739" s="177">
        <f t="shared" si="64"/>
        <v>0</v>
      </c>
      <c r="G1739" s="177">
        <f t="shared" si="64"/>
        <v>0</v>
      </c>
      <c r="H1739" s="177">
        <f t="shared" si="64"/>
        <v>0</v>
      </c>
      <c r="I1739" s="177">
        <f t="shared" si="64"/>
        <v>0</v>
      </c>
      <c r="J1739" s="177">
        <f t="shared" si="64"/>
        <v>0</v>
      </c>
      <c r="K1739" s="177">
        <f t="shared" si="64"/>
        <v>0</v>
      </c>
      <c r="L1739" s="177">
        <f t="shared" si="64"/>
        <v>0</v>
      </c>
      <c r="M1739" s="177">
        <f t="shared" si="64"/>
        <v>0</v>
      </c>
      <c r="N1739" s="177">
        <f t="shared" si="64"/>
        <v>0</v>
      </c>
      <c r="O1739" s="177">
        <f t="shared" si="64"/>
        <v>0</v>
      </c>
      <c r="P1739" s="177">
        <f t="shared" si="64"/>
        <v>0</v>
      </c>
      <c r="Q1739" s="177">
        <f t="shared" si="64"/>
        <v>0</v>
      </c>
      <c r="R1739" s="177">
        <f t="shared" si="64"/>
        <v>0</v>
      </c>
      <c r="S1739" s="177">
        <f t="shared" si="64"/>
        <v>0</v>
      </c>
      <c r="T1739" s="177">
        <f t="shared" si="64"/>
        <v>0</v>
      </c>
      <c r="U1739" s="177">
        <f t="shared" si="64"/>
        <v>0</v>
      </c>
      <c r="V1739" s="177">
        <f t="shared" si="64"/>
        <v>0</v>
      </c>
      <c r="W1739" s="177">
        <f t="shared" si="64"/>
        <v>0</v>
      </c>
      <c r="X1739" s="177">
        <f t="shared" si="64"/>
        <v>0</v>
      </c>
      <c r="Y1739" s="177">
        <f t="shared" si="64"/>
        <v>0</v>
      </c>
      <c r="Z1739" s="177">
        <f t="shared" si="64"/>
        <v>0</v>
      </c>
      <c r="AA1739" s="177">
        <f t="shared" si="64"/>
        <v>0</v>
      </c>
      <c r="AB1739" s="177">
        <f t="shared" si="64"/>
        <v>0</v>
      </c>
      <c r="AC1739" s="177">
        <f t="shared" si="64"/>
        <v>0</v>
      </c>
      <c r="AD1739" s="177">
        <f t="shared" si="64"/>
        <v>0</v>
      </c>
      <c r="AE1739" s="177">
        <f t="shared" si="64"/>
        <v>0</v>
      </c>
      <c r="AF1739" s="177">
        <f t="shared" si="64"/>
        <v>0</v>
      </c>
      <c r="AG1739" s="177">
        <f t="shared" si="64"/>
        <v>0</v>
      </c>
      <c r="AH1739" s="177">
        <f t="shared" si="64"/>
        <v>0</v>
      </c>
      <c r="AI1739" s="177">
        <f t="shared" si="64"/>
        <v>0</v>
      </c>
      <c r="AJ1739" s="177">
        <f t="shared" si="64"/>
        <v>0</v>
      </c>
      <c r="AK1739" s="177">
        <f t="shared" si="64"/>
        <v>0</v>
      </c>
      <c r="AL1739" s="177">
        <f t="shared" si="64"/>
        <v>0</v>
      </c>
      <c r="AM1739" s="177">
        <f t="shared" si="64"/>
        <v>0</v>
      </c>
      <c r="AN1739" s="177">
        <f t="shared" si="64"/>
        <v>0</v>
      </c>
      <c r="AO1739" s="177">
        <f t="shared" si="64"/>
        <v>0</v>
      </c>
      <c r="AP1739" s="177">
        <f t="shared" si="64"/>
        <v>0</v>
      </c>
      <c r="AQ1739" s="177">
        <f t="shared" si="64"/>
        <v>0</v>
      </c>
      <c r="AR1739" s="177">
        <f t="shared" si="64"/>
        <v>0</v>
      </c>
      <c r="AS1739" s="177">
        <f t="shared" si="64"/>
        <v>0</v>
      </c>
      <c r="AT1739" s="177">
        <f t="shared" si="64"/>
        <v>0</v>
      </c>
      <c r="AU1739" s="177">
        <f t="shared" si="64"/>
        <v>0</v>
      </c>
      <c r="AV1739" s="177">
        <f t="shared" si="64"/>
        <v>0</v>
      </c>
      <c r="AW1739" s="177">
        <f t="shared" si="64"/>
        <v>0</v>
      </c>
      <c r="AX1739" s="177">
        <f t="shared" si="64"/>
        <v>0</v>
      </c>
      <c r="AY1739" s="177">
        <f t="shared" si="64"/>
        <v>0</v>
      </c>
      <c r="AZ1739" s="177">
        <f t="shared" si="64"/>
        <v>0</v>
      </c>
      <c r="BA1739" s="177">
        <f t="shared" si="64"/>
        <v>0</v>
      </c>
      <c r="BB1739" s="177">
        <f t="shared" si="64"/>
        <v>0</v>
      </c>
      <c r="BC1739" s="177">
        <f t="shared" si="64"/>
        <v>0</v>
      </c>
      <c r="BD1739" s="177">
        <f t="shared" si="64"/>
        <v>0</v>
      </c>
      <c r="BE1739" s="177">
        <f t="shared" si="64"/>
        <v>0</v>
      </c>
      <c r="BF1739" s="177">
        <f t="shared" si="64"/>
        <v>0</v>
      </c>
      <c r="BG1739" s="177">
        <f t="shared" si="64"/>
        <v>0</v>
      </c>
      <c r="BH1739" s="177">
        <f t="shared" si="64"/>
        <v>0</v>
      </c>
      <c r="BI1739" s="177">
        <f t="shared" si="64"/>
        <v>0</v>
      </c>
      <c r="BJ1739" s="177">
        <f t="shared" si="64"/>
        <v>0</v>
      </c>
      <c r="BK1739" s="177">
        <f t="shared" si="64"/>
        <v>0</v>
      </c>
      <c r="BL1739" s="177">
        <f t="shared" si="64"/>
        <v>0</v>
      </c>
      <c r="BM1739" s="177">
        <f t="shared" si="64"/>
        <v>0</v>
      </c>
      <c r="BN1739" s="177">
        <f t="shared" si="64"/>
        <v>0</v>
      </c>
      <c r="BO1739" s="177">
        <f t="shared" si="64"/>
        <v>0</v>
      </c>
      <c r="BP1739" s="177">
        <f t="shared" si="64"/>
        <v>0</v>
      </c>
      <c r="BQ1739" s="177"/>
      <c r="BR1739" s="177"/>
    </row>
    <row r="1740" ht="15.75" hidden="1" customHeight="1" outlineLevel="1">
      <c r="A1740" s="295"/>
      <c r="B1740" s="38"/>
      <c r="C1740" s="178">
        <f>IF($C$1579&gt;0,'Assumptions (Geo)'!V$11*Model!$C$1579*'Assumptions (Geo)'!$B$2/10^9,0)</f>
        <v>0</v>
      </c>
      <c r="D1740" s="178">
        <f>IF($C$1579&gt;0,'Assumptions (Geo)'!W$11*Model!$C$1579*'Assumptions (Geo)'!$B$2/10^9,0)</f>
        <v>0</v>
      </c>
      <c r="E1740" s="178">
        <f>IF($C$1579&gt;0,'Assumptions (Geo)'!X$11*Model!$C$1579*'Assumptions (Geo)'!$B$2/10^9,0)</f>
        <v>0</v>
      </c>
      <c r="F1740" s="178">
        <f>IF($C$1579&gt;0,'Assumptions (Geo)'!Y$11*Model!$C$1579*'Assumptions (Geo)'!$B$2/10^9,0)</f>
        <v>0</v>
      </c>
      <c r="G1740" s="178">
        <f>IF($C$1579&gt;0,'Assumptions (Geo)'!Z$11*Model!$C$1579*'Assumptions (Geo)'!$B$2/10^9,0)</f>
        <v>0</v>
      </c>
      <c r="H1740" s="178">
        <f>IF($C$1579&gt;0,'Assumptions (Geo)'!AA$11*Model!$C$1579*'Assumptions (Geo)'!$B$2/10^9,0)</f>
        <v>0</v>
      </c>
      <c r="I1740" s="178">
        <f>IF($C$1579&gt;0,'Assumptions (Geo)'!AB$11*Model!$C$1579*'Assumptions (Geo)'!$B$2/10^9,0)</f>
        <v>0</v>
      </c>
      <c r="J1740" s="178">
        <f>IF($C$1579&gt;0,'Assumptions (Geo)'!AC$11*Model!$C$1579*'Assumptions (Geo)'!$B$2/10^9,0)</f>
        <v>0</v>
      </c>
      <c r="K1740" s="178">
        <f>IF($C$1579&gt;0,'Assumptions (Geo)'!AD$11*Model!$C$1579*'Assumptions (Geo)'!$B$2/10^9,0)</f>
        <v>0</v>
      </c>
      <c r="L1740" s="178">
        <f>IF($C$1579&gt;0,'Assumptions (Geo)'!AE$11*Model!$C$1579*'Assumptions (Geo)'!$B$2/10^9,0)</f>
        <v>0</v>
      </c>
      <c r="M1740" s="178">
        <f>IF($C$1579&gt;0,'Assumptions (Geo)'!AF$11*Model!$C$1579*'Assumptions (Geo)'!$B$2/10^9,0)</f>
        <v>0</v>
      </c>
      <c r="N1740" s="178">
        <f>IF($C$1579&gt;0,'Assumptions (Geo)'!AG$11*Model!$C$1579*'Assumptions (Geo)'!$B$2/10^9,0)</f>
        <v>0</v>
      </c>
      <c r="O1740" s="178">
        <f>IF($C$1579&gt;0,'Assumptions (Geo)'!AH$11*Model!$C$1579*'Assumptions (Geo)'!$B$2/10^9,0)</f>
        <v>0</v>
      </c>
      <c r="P1740" s="178">
        <f>IF($C$1579&gt;0,'Assumptions (Geo)'!AI$11*Model!$C$1579*'Assumptions (Geo)'!$B$2/10^9,0)</f>
        <v>0</v>
      </c>
      <c r="Q1740" s="178">
        <f>IF($C$1579&gt;0,'Assumptions (Geo)'!AJ$11*Model!$C$1579*'Assumptions (Geo)'!$B$2/10^9,0)</f>
        <v>0</v>
      </c>
      <c r="R1740" s="178">
        <f>IF($C$1579&gt;0,'Assumptions (Geo)'!AK$11*Model!$C$1579*'Assumptions (Geo)'!$B$2/10^9,0)</f>
        <v>0</v>
      </c>
      <c r="S1740" s="177"/>
      <c r="T1740" s="177"/>
      <c r="U1740" s="177"/>
      <c r="V1740" s="177"/>
      <c r="W1740" s="177"/>
      <c r="X1740" s="160"/>
      <c r="Y1740" s="160"/>
      <c r="Z1740" s="160"/>
      <c r="AA1740" s="160"/>
      <c r="AB1740" s="160"/>
      <c r="AC1740" s="160"/>
      <c r="AD1740" s="160"/>
      <c r="AE1740" s="160"/>
      <c r="AF1740" s="160"/>
      <c r="AG1740" s="160"/>
    </row>
    <row r="1741" ht="15.75" hidden="1" customHeight="1" outlineLevel="1">
      <c r="A1741" s="295"/>
      <c r="B1741" s="38"/>
      <c r="C1741" s="160"/>
      <c r="D1741" s="160">
        <f>IF($D$1579&gt;0,'Assumptions (Geo)'!V$11*Model!$D$1579*'Assumptions (Geo)'!$B$2/10^9,0)</f>
        <v>0</v>
      </c>
      <c r="E1741" s="160">
        <f>IF($D$1579&gt;0,'Assumptions (Geo)'!W$11*Model!$D$1579*'Assumptions (Geo)'!$B$2/10^9,0)</f>
        <v>0</v>
      </c>
      <c r="F1741" s="160">
        <f>IF($D$1579&gt;0,'Assumptions (Geo)'!X$11*Model!$D$1579*'Assumptions (Geo)'!$B$2/10^9,0)</f>
        <v>0</v>
      </c>
      <c r="G1741" s="160">
        <f>IF($D$1579&gt;0,'Assumptions (Geo)'!Y$11*Model!$D$1579*'Assumptions (Geo)'!$B$2/10^9,0)</f>
        <v>0</v>
      </c>
      <c r="H1741" s="160">
        <f>IF($D$1579&gt;0,'Assumptions (Geo)'!Z$11*Model!$D$1579*'Assumptions (Geo)'!$B$2/10^9,0)</f>
        <v>0</v>
      </c>
      <c r="I1741" s="160">
        <f>IF($D$1579&gt;0,'Assumptions (Geo)'!AA$11*Model!$D$1579*'Assumptions (Geo)'!$B$2/10^9,0)</f>
        <v>0</v>
      </c>
      <c r="J1741" s="160">
        <f>IF($D$1579&gt;0,'Assumptions (Geo)'!AB$11*Model!$D$1579*'Assumptions (Geo)'!$B$2/10^9,0)</f>
        <v>0</v>
      </c>
      <c r="K1741" s="160">
        <f>IF($D$1579&gt;0,'Assumptions (Geo)'!AC$11*Model!$D$1579*'Assumptions (Geo)'!$B$2/10^9,0)</f>
        <v>0</v>
      </c>
      <c r="L1741" s="160">
        <f>IF($D$1579&gt;0,'Assumptions (Geo)'!AD$11*Model!$D$1579*'Assumptions (Geo)'!$B$2/10^9,0)</f>
        <v>0</v>
      </c>
      <c r="M1741" s="160">
        <f>IF($D$1579&gt;0,'Assumptions (Geo)'!AE$11*Model!$D$1579*'Assumptions (Geo)'!$B$2/10^9,0)</f>
        <v>0</v>
      </c>
      <c r="N1741" s="160">
        <f>IF($D$1579&gt;0,'Assumptions (Geo)'!AF$11*Model!$D$1579*'Assumptions (Geo)'!$B$2/10^9,0)</f>
        <v>0</v>
      </c>
      <c r="O1741" s="160">
        <f>IF($D$1579&gt;0,'Assumptions (Geo)'!AG$11*Model!$D$1579*'Assumptions (Geo)'!$B$2/10^9,0)</f>
        <v>0</v>
      </c>
      <c r="P1741" s="160">
        <f>IF($D$1579&gt;0,'Assumptions (Geo)'!AH$11*Model!$D$1579*'Assumptions (Geo)'!$B$2/10^9,0)</f>
        <v>0</v>
      </c>
      <c r="Q1741" s="160">
        <f>IF($D$1579&gt;0,'Assumptions (Geo)'!AI$11*Model!$D$1579*'Assumptions (Geo)'!$B$2/10^9,0)</f>
        <v>0</v>
      </c>
      <c r="R1741" s="160">
        <f>IF($D$1579&gt;0,'Assumptions (Geo)'!AJ$11*Model!$D$1579*'Assumptions (Geo)'!$B$2/10^9,0)</f>
        <v>0</v>
      </c>
      <c r="S1741" s="160">
        <f>IF($D$1579&gt;0,'Assumptions (Geo)'!AK$11*Model!$D$1579*'Assumptions (Geo)'!$B$2/10^9,0)</f>
        <v>0</v>
      </c>
      <c r="T1741" s="160"/>
      <c r="U1741" s="160"/>
      <c r="V1741" s="160"/>
      <c r="W1741" s="160"/>
      <c r="X1741" s="160"/>
      <c r="Y1741" s="160"/>
      <c r="Z1741" s="160"/>
      <c r="AA1741" s="160"/>
      <c r="AB1741" s="160"/>
      <c r="AC1741" s="160"/>
      <c r="AD1741" s="160"/>
      <c r="AE1741" s="160"/>
      <c r="AF1741" s="160"/>
      <c r="AG1741" s="160"/>
    </row>
    <row r="1742" ht="15.75" hidden="1" customHeight="1" outlineLevel="1">
      <c r="A1742" s="295"/>
      <c r="B1742" s="38"/>
      <c r="C1742" s="160"/>
      <c r="D1742" s="160"/>
      <c r="E1742" s="160">
        <f>IF($E$1579&gt;0,'Assumptions (Geo)'!V$11*Model!$E$1579*AVERAGE('Assumptions (Geo)'!$B$2:$C$2)/10^9,0)</f>
        <v>0</v>
      </c>
      <c r="F1742" s="160">
        <f>IF($E$1579&gt;0,'Assumptions (Geo)'!W$11*Model!$E$1579*AVERAGE('Assumptions (Geo)'!$B$2:$C$2)/10^9,0)</f>
        <v>0</v>
      </c>
      <c r="G1742" s="160">
        <f>IF($E$1579&gt;0,'Assumptions (Geo)'!X$11*Model!$E$1579*AVERAGE('Assumptions (Geo)'!$B$2:$C$2)/10^9,0)</f>
        <v>0</v>
      </c>
      <c r="H1742" s="160">
        <f>IF($E$1579&gt;0,'Assumptions (Geo)'!Y$11*Model!$E$1579*AVERAGE('Assumptions (Geo)'!$B$2:$C$2)/10^9,0)</f>
        <v>0</v>
      </c>
      <c r="I1742" s="160">
        <f>IF($E$1579&gt;0,'Assumptions (Geo)'!Z$11*Model!$E$1579*AVERAGE('Assumptions (Geo)'!$B$2:$C$2)/10^9,0)</f>
        <v>0</v>
      </c>
      <c r="J1742" s="160">
        <f>IF($E$1579&gt;0,'Assumptions (Geo)'!AA$11*Model!$E$1579*AVERAGE('Assumptions (Geo)'!$B$2:$C$2)/10^9,0)</f>
        <v>0</v>
      </c>
      <c r="K1742" s="160">
        <f>IF($E$1579&gt;0,'Assumptions (Geo)'!AB$11*Model!$E$1579*AVERAGE('Assumptions (Geo)'!$B$2:$C$2)/10^9,0)</f>
        <v>0</v>
      </c>
      <c r="L1742" s="160">
        <f>IF($E$1579&gt;0,'Assumptions (Geo)'!AC$11*Model!$E$1579*AVERAGE('Assumptions (Geo)'!$B$2:$C$2)/10^9,0)</f>
        <v>0</v>
      </c>
      <c r="M1742" s="160">
        <f>IF($E$1579&gt;0,'Assumptions (Geo)'!AD$11*Model!$E$1579*AVERAGE('Assumptions (Geo)'!$B$2:$C$2)/10^9,0)</f>
        <v>0</v>
      </c>
      <c r="N1742" s="160">
        <f>IF($E$1579&gt;0,'Assumptions (Geo)'!AE$11*Model!$E$1579*AVERAGE('Assumptions (Geo)'!$B$2:$C$2)/10^9,0)</f>
        <v>0</v>
      </c>
      <c r="O1742" s="160">
        <f>IF($E$1579&gt;0,'Assumptions (Geo)'!AF$11*Model!$E$1579*AVERAGE('Assumptions (Geo)'!$B$2:$C$2)/10^9,0)</f>
        <v>0</v>
      </c>
      <c r="P1742" s="160">
        <f>IF($E$1579&gt;0,'Assumptions (Geo)'!AG$11*Model!$E$1579*AVERAGE('Assumptions (Geo)'!$B$2:$C$2)/10^9,0)</f>
        <v>0</v>
      </c>
      <c r="Q1742" s="160">
        <f>IF($E$1579&gt;0,'Assumptions (Geo)'!AH$11*Model!$E$1579*AVERAGE('Assumptions (Geo)'!$B$2:$C$2)/10^9,0)</f>
        <v>0</v>
      </c>
      <c r="R1742" s="160">
        <f>IF($E$1579&gt;0,'Assumptions (Geo)'!AI$11*Model!$E$1579*AVERAGE('Assumptions (Geo)'!$B$2:$C$2)/10^9,0)</f>
        <v>0</v>
      </c>
      <c r="S1742" s="160">
        <f>IF($E$1579&gt;0,'Assumptions (Geo)'!AJ$11*Model!$E$1579*AVERAGE('Assumptions (Geo)'!$B$2:$C$2)/10^9,0)</f>
        <v>0</v>
      </c>
      <c r="T1742" s="160">
        <f>IF($E$1579&gt;0,'Assumptions (Geo)'!AK$11*Model!$E$1579*AVERAGE('Assumptions (Geo)'!$B$2:$C$2)/10^9,0)</f>
        <v>0</v>
      </c>
      <c r="U1742" s="160"/>
      <c r="V1742" s="160"/>
      <c r="W1742" s="160"/>
      <c r="X1742" s="160"/>
      <c r="Y1742" s="160"/>
      <c r="Z1742" s="160"/>
      <c r="AA1742" s="160"/>
      <c r="AB1742" s="160"/>
      <c r="AC1742" s="160"/>
      <c r="AD1742" s="160"/>
      <c r="AE1742" s="160"/>
      <c r="AF1742" s="160"/>
      <c r="AG1742" s="160"/>
    </row>
    <row r="1743" ht="15.75" hidden="1" customHeight="1" outlineLevel="1">
      <c r="A1743" s="295"/>
      <c r="B1743" s="38"/>
      <c r="C1743" s="160"/>
      <c r="D1743" s="160"/>
      <c r="E1743" s="160"/>
      <c r="F1743" s="160">
        <f>IF($F$1579&gt;0,'Assumptions (Geo)'!V$11*Model!$F$1579*AVERAGE('Assumptions (Geo)'!$B$2:$D$2)/10^9,0)</f>
        <v>0</v>
      </c>
      <c r="G1743" s="160">
        <f>IF($F$1579&gt;0,'Assumptions (Geo)'!W$11*Model!$F$1579*AVERAGE('Assumptions (Geo)'!$B$2:$D$2)/10^9,0)</f>
        <v>0</v>
      </c>
      <c r="H1743" s="160">
        <f>IF($F$1579&gt;0,'Assumptions (Geo)'!X$11*Model!$F$1579*AVERAGE('Assumptions (Geo)'!$B$2:$D$2)/10^9,0)</f>
        <v>0</v>
      </c>
      <c r="I1743" s="160">
        <f>IF($F$1579&gt;0,'Assumptions (Geo)'!Y$11*Model!$F$1579*AVERAGE('Assumptions (Geo)'!$B$2:$D$2)/10^9,0)</f>
        <v>0</v>
      </c>
      <c r="J1743" s="160">
        <f>IF($F$1579&gt;0,'Assumptions (Geo)'!Z$11*Model!$F$1579*AVERAGE('Assumptions (Geo)'!$B$2:$D$2)/10^9,0)</f>
        <v>0</v>
      </c>
      <c r="K1743" s="160">
        <f>IF($F$1579&gt;0,'Assumptions (Geo)'!AA$11*Model!$F$1579*AVERAGE('Assumptions (Geo)'!$B$2:$D$2)/10^9,0)</f>
        <v>0</v>
      </c>
      <c r="L1743" s="160">
        <f>IF($F$1579&gt;0,'Assumptions (Geo)'!AB$11*Model!$F$1579*AVERAGE('Assumptions (Geo)'!$B$2:$D$2)/10^9,0)</f>
        <v>0</v>
      </c>
      <c r="M1743" s="160">
        <f>IF($F$1579&gt;0,'Assumptions (Geo)'!AC$11*Model!$F$1579*AVERAGE('Assumptions (Geo)'!$B$2:$D$2)/10^9,0)</f>
        <v>0</v>
      </c>
      <c r="N1743" s="160">
        <f>IF($F$1579&gt;0,'Assumptions (Geo)'!AD$11*Model!$F$1579*AVERAGE('Assumptions (Geo)'!$B$2:$D$2)/10^9,0)</f>
        <v>0</v>
      </c>
      <c r="O1743" s="160">
        <f>IF($F$1579&gt;0,'Assumptions (Geo)'!AE$11*Model!$F$1579*AVERAGE('Assumptions (Geo)'!$B$2:$D$2)/10^9,0)</f>
        <v>0</v>
      </c>
      <c r="P1743" s="160">
        <f>IF($F$1579&gt;0,'Assumptions (Geo)'!AF$11*Model!$F$1579*AVERAGE('Assumptions (Geo)'!$B$2:$D$2)/10^9,0)</f>
        <v>0</v>
      </c>
      <c r="Q1743" s="160">
        <f>IF($F$1579&gt;0,'Assumptions (Geo)'!AG$11*Model!$F$1579*AVERAGE('Assumptions (Geo)'!$B$2:$D$2)/10^9,0)</f>
        <v>0</v>
      </c>
      <c r="R1743" s="160">
        <f>IF($F$1579&gt;0,'Assumptions (Geo)'!AH$11*Model!$F$1579*AVERAGE('Assumptions (Geo)'!$B$2:$D$2)/10^9,0)</f>
        <v>0</v>
      </c>
      <c r="S1743" s="160">
        <f>IF($F$1579&gt;0,'Assumptions (Geo)'!AI$11*Model!$F$1579*AVERAGE('Assumptions (Geo)'!$B$2:$D$2)/10^9,0)</f>
        <v>0</v>
      </c>
      <c r="T1743" s="160">
        <f>IF($F$1579&gt;0,'Assumptions (Geo)'!AJ$11*Model!$F$1579*AVERAGE('Assumptions (Geo)'!$B$2:$D$2)/10^9,0)</f>
        <v>0</v>
      </c>
      <c r="U1743" s="160">
        <f>IF($F$1579&gt;0,'Assumptions (Geo)'!AK$11*Model!$F$1579*AVERAGE('Assumptions (Geo)'!$B$2:$D$2)/10^9,0)</f>
        <v>0</v>
      </c>
      <c r="V1743" s="160"/>
      <c r="W1743" s="160"/>
      <c r="X1743" s="160"/>
      <c r="Y1743" s="160"/>
      <c r="Z1743" s="160"/>
      <c r="AA1743" s="160"/>
      <c r="AB1743" s="160"/>
      <c r="AC1743" s="160"/>
      <c r="AD1743" s="160"/>
      <c r="AE1743" s="160"/>
      <c r="AF1743" s="160"/>
      <c r="AG1743" s="160"/>
    </row>
    <row r="1744" ht="15.75" hidden="1" customHeight="1" outlineLevel="1">
      <c r="A1744" s="295"/>
      <c r="B1744" s="38"/>
      <c r="C1744" s="160"/>
      <c r="D1744" s="160"/>
      <c r="E1744" s="160"/>
      <c r="F1744" s="160"/>
      <c r="G1744" s="160">
        <f>IF($G$1579&gt;0,'Assumptions (Geo)'!V$11*Model!$G$1579*AVERAGE('Assumptions (Geo)'!$C$2:$E$2)/10^9,0)</f>
        <v>0</v>
      </c>
      <c r="H1744" s="160">
        <f>IF($G$1579&gt;0,'Assumptions (Geo)'!W$11*Model!$G$1579*AVERAGE('Assumptions (Geo)'!$C$2:$E$2)/10^9,0)</f>
        <v>0</v>
      </c>
      <c r="I1744" s="160">
        <f>IF($G$1579&gt;0,'Assumptions (Geo)'!X$11*Model!$G$1579*AVERAGE('Assumptions (Geo)'!$C$2:$E$2)/10^9,0)</f>
        <v>0</v>
      </c>
      <c r="J1744" s="160">
        <f>IF($G$1579&gt;0,'Assumptions (Geo)'!Y$11*Model!$G$1579*AVERAGE('Assumptions (Geo)'!$C$2:$E$2)/10^9,0)</f>
        <v>0</v>
      </c>
      <c r="K1744" s="160">
        <f>IF($G$1579&gt;0,'Assumptions (Geo)'!Z$11*Model!$G$1579*AVERAGE('Assumptions (Geo)'!$C$2:$E$2)/10^9,0)</f>
        <v>0</v>
      </c>
      <c r="L1744" s="160">
        <f>IF($G$1579&gt;0,'Assumptions (Geo)'!AA$11*Model!$G$1579*AVERAGE('Assumptions (Geo)'!$C$2:$E$2)/10^9,0)</f>
        <v>0</v>
      </c>
      <c r="M1744" s="160">
        <f>IF($G$1579&gt;0,'Assumptions (Geo)'!AB$11*Model!$G$1579*AVERAGE('Assumptions (Geo)'!$C$2:$E$2)/10^9,0)</f>
        <v>0</v>
      </c>
      <c r="N1744" s="160">
        <f>IF($G$1579&gt;0,'Assumptions (Geo)'!AC$11*Model!$G$1579*AVERAGE('Assumptions (Geo)'!$C$2:$E$2)/10^9,0)</f>
        <v>0</v>
      </c>
      <c r="O1744" s="160">
        <f>IF($G$1579&gt;0,'Assumptions (Geo)'!AD$11*Model!$G$1579*AVERAGE('Assumptions (Geo)'!$C$2:$E$2)/10^9,0)</f>
        <v>0</v>
      </c>
      <c r="P1744" s="160">
        <f>IF($G$1579&gt;0,'Assumptions (Geo)'!AE$11*Model!$G$1579*AVERAGE('Assumptions (Geo)'!$C$2:$E$2)/10^9,0)</f>
        <v>0</v>
      </c>
      <c r="Q1744" s="160">
        <f>IF($G$1579&gt;0,'Assumptions (Geo)'!AF$11*Model!$G$1579*AVERAGE('Assumptions (Geo)'!$C$2:$E$2)/10^9,0)</f>
        <v>0</v>
      </c>
      <c r="R1744" s="160">
        <f>IF($G$1579&gt;0,'Assumptions (Geo)'!AG$11*Model!$G$1579*AVERAGE('Assumptions (Geo)'!$C$2:$E$2)/10^9,0)</f>
        <v>0</v>
      </c>
      <c r="S1744" s="160">
        <f>IF($G$1579&gt;0,'Assumptions (Geo)'!AH$11*Model!$G$1579*AVERAGE('Assumptions (Geo)'!$C$2:$E$2)/10^9,0)</f>
        <v>0</v>
      </c>
      <c r="T1744" s="160">
        <f>IF($G$1579&gt;0,'Assumptions (Geo)'!AI$11*Model!$G$1579*AVERAGE('Assumptions (Geo)'!$C$2:$E$2)/10^9,0)</f>
        <v>0</v>
      </c>
      <c r="U1744" s="160">
        <f>IF($G$1579&gt;0,'Assumptions (Geo)'!AJ$11*Model!$G$1579*AVERAGE('Assumptions (Geo)'!$C$2:$E$2)/10^9,0)</f>
        <v>0</v>
      </c>
      <c r="V1744" s="160">
        <f>IF($G$1579&gt;0,'Assumptions (Geo)'!AK$11*Model!$G$1579*AVERAGE('Assumptions (Geo)'!$C$2:$E$2)/10^9,0)</f>
        <v>0</v>
      </c>
      <c r="W1744" s="160"/>
      <c r="X1744" s="160"/>
      <c r="Y1744" s="160"/>
      <c r="Z1744" s="160"/>
      <c r="AA1744" s="160"/>
      <c r="AB1744" s="160"/>
      <c r="AC1744" s="160"/>
      <c r="AD1744" s="160"/>
      <c r="AE1744" s="160"/>
      <c r="AF1744" s="160"/>
      <c r="AG1744" s="160"/>
    </row>
    <row r="1745" ht="15.75" hidden="1" customHeight="1" outlineLevel="1">
      <c r="A1745" s="295"/>
      <c r="B1745" s="38"/>
      <c r="C1745" s="160"/>
      <c r="D1745" s="160"/>
      <c r="E1745" s="160"/>
      <c r="F1745" s="160"/>
      <c r="G1745" s="160"/>
      <c r="H1745" s="160">
        <f>IF($H$1579&gt;0,'Assumptions (Geo)'!V$11*Model!$H$1579*AVERAGE('Assumptions (Geo)'!$D$2:$F$2)/10^9,0)</f>
        <v>0</v>
      </c>
      <c r="I1745" s="160">
        <f>IF($H$1579&gt;0,'Assumptions (Geo)'!W$11*Model!$H$1579*AVERAGE('Assumptions (Geo)'!$D$2:$F$2)/10^9,0)</f>
        <v>0</v>
      </c>
      <c r="J1745" s="160">
        <f>IF($H$1579&gt;0,'Assumptions (Geo)'!X$11*Model!$H$1579*AVERAGE('Assumptions (Geo)'!$D$2:$F$2)/10^9,0)</f>
        <v>0</v>
      </c>
      <c r="K1745" s="160">
        <f>IF($H$1579&gt;0,'Assumptions (Geo)'!Y$11*Model!$H$1579*AVERAGE('Assumptions (Geo)'!$D$2:$F$2)/10^9,0)</f>
        <v>0</v>
      </c>
      <c r="L1745" s="160">
        <f>IF($H$1579&gt;0,'Assumptions (Geo)'!Z$11*Model!$H$1579*AVERAGE('Assumptions (Geo)'!$D$2:$F$2)/10^9,0)</f>
        <v>0</v>
      </c>
      <c r="M1745" s="160">
        <f>IF($H$1579&gt;0,'Assumptions (Geo)'!AA$11*Model!$H$1579*AVERAGE('Assumptions (Geo)'!$D$2:$F$2)/10^9,0)</f>
        <v>0</v>
      </c>
      <c r="N1745" s="160">
        <f>IF($H$1579&gt;0,'Assumptions (Geo)'!AB$11*Model!$H$1579*AVERAGE('Assumptions (Geo)'!$D$2:$F$2)/10^9,0)</f>
        <v>0</v>
      </c>
      <c r="O1745" s="160">
        <f>IF($H$1579&gt;0,'Assumptions (Geo)'!AC$11*Model!$H$1579*AVERAGE('Assumptions (Geo)'!$D$2:$F$2)/10^9,0)</f>
        <v>0</v>
      </c>
      <c r="P1745" s="160">
        <f>IF($H$1579&gt;0,'Assumptions (Geo)'!AD$11*Model!$H$1579*AVERAGE('Assumptions (Geo)'!$D$2:$F$2)/10^9,0)</f>
        <v>0</v>
      </c>
      <c r="Q1745" s="160">
        <f>IF($H$1579&gt;0,'Assumptions (Geo)'!AE$11*Model!$H$1579*AVERAGE('Assumptions (Geo)'!$D$2:$F$2)/10^9,0)</f>
        <v>0</v>
      </c>
      <c r="R1745" s="160">
        <f>IF($H$1579&gt;0,'Assumptions (Geo)'!AF$11*Model!$H$1579*AVERAGE('Assumptions (Geo)'!$D$2:$F$2)/10^9,0)</f>
        <v>0</v>
      </c>
      <c r="S1745" s="160">
        <f>IF($H$1579&gt;0,'Assumptions (Geo)'!AG$11*Model!$H$1579*AVERAGE('Assumptions (Geo)'!$D$2:$F$2)/10^9,0)</f>
        <v>0</v>
      </c>
      <c r="T1745" s="160">
        <f>IF($H$1579&gt;0,'Assumptions (Geo)'!AH$11*Model!$H$1579*AVERAGE('Assumptions (Geo)'!$D$2:$F$2)/10^9,0)</f>
        <v>0</v>
      </c>
      <c r="U1745" s="160">
        <f>IF($H$1579&gt;0,'Assumptions (Geo)'!AI$11*Model!$H$1579*AVERAGE('Assumptions (Geo)'!$D$2:$F$2)/10^9,0)</f>
        <v>0</v>
      </c>
      <c r="V1745" s="160">
        <f>IF($H$1579&gt;0,'Assumptions (Geo)'!AJ$11*Model!$H$1579*AVERAGE('Assumptions (Geo)'!$D$2:$F$2)/10^9,0)</f>
        <v>0</v>
      </c>
      <c r="W1745" s="160">
        <f>IF($H$1579&gt;0,'Assumptions (Geo)'!AK$11*Model!$H$1579*AVERAGE('Assumptions (Geo)'!$D$2:$F$2)/10^9,0)</f>
        <v>0</v>
      </c>
      <c r="X1745" s="160"/>
      <c r="Y1745" s="160"/>
      <c r="Z1745" s="160"/>
      <c r="AA1745" s="160"/>
      <c r="AB1745" s="160"/>
      <c r="AC1745" s="160"/>
      <c r="AD1745" s="160"/>
      <c r="AE1745" s="160"/>
      <c r="AF1745" s="160"/>
      <c r="AG1745" s="160"/>
    </row>
    <row r="1746" ht="15.75" hidden="1" customHeight="1" outlineLevel="1">
      <c r="A1746" s="295"/>
      <c r="B1746" s="38"/>
      <c r="C1746" s="160"/>
      <c r="D1746" s="160"/>
      <c r="E1746" s="160"/>
      <c r="F1746" s="160"/>
      <c r="G1746" s="160"/>
      <c r="H1746" s="160"/>
      <c r="I1746" s="160">
        <f>IF($I$1579&gt;0,'Assumptions (Geo)'!V$11*Model!$I$1579*AVERAGE('Assumptions (Geo)'!$E$2:$G$2)/10^9,0)</f>
        <v>0</v>
      </c>
      <c r="J1746" s="160">
        <f>IF($I$1579&gt;0,'Assumptions (Geo)'!W$11*Model!$I$1579*AVERAGE('Assumptions (Geo)'!$E$2:$G$2)/10^9,0)</f>
        <v>0</v>
      </c>
      <c r="K1746" s="160">
        <f>IF($I$1579&gt;0,'Assumptions (Geo)'!X$11*Model!$I$1579*AVERAGE('Assumptions (Geo)'!$E$2:$G$2)/10^9,0)</f>
        <v>0</v>
      </c>
      <c r="L1746" s="160">
        <f>IF($I$1579&gt;0,'Assumptions (Geo)'!Y$11*Model!$I$1579*AVERAGE('Assumptions (Geo)'!$E$2:$G$2)/10^9,0)</f>
        <v>0</v>
      </c>
      <c r="M1746" s="160">
        <f>IF($I$1579&gt;0,'Assumptions (Geo)'!Z$11*Model!$I$1579*AVERAGE('Assumptions (Geo)'!$E$2:$G$2)/10^9,0)</f>
        <v>0</v>
      </c>
      <c r="N1746" s="160">
        <f>IF($I$1579&gt;0,'Assumptions (Geo)'!AA$11*Model!$I$1579*AVERAGE('Assumptions (Geo)'!$E$2:$G$2)/10^9,0)</f>
        <v>0</v>
      </c>
      <c r="O1746" s="160">
        <f>IF($I$1579&gt;0,'Assumptions (Geo)'!AB$11*Model!$I$1579*AVERAGE('Assumptions (Geo)'!$E$2:$G$2)/10^9,0)</f>
        <v>0</v>
      </c>
      <c r="P1746" s="160">
        <f>IF($I$1579&gt;0,'Assumptions (Geo)'!AC$11*Model!$I$1579*AVERAGE('Assumptions (Geo)'!$E$2:$G$2)/10^9,0)</f>
        <v>0</v>
      </c>
      <c r="Q1746" s="160">
        <f>IF($I$1579&gt;0,'Assumptions (Geo)'!AD$11*Model!$I$1579*AVERAGE('Assumptions (Geo)'!$E$2:$G$2)/10^9,0)</f>
        <v>0</v>
      </c>
      <c r="R1746" s="160">
        <f>IF($I$1579&gt;0,'Assumptions (Geo)'!AE$11*Model!$I$1579*AVERAGE('Assumptions (Geo)'!$E$2:$G$2)/10^9,0)</f>
        <v>0</v>
      </c>
      <c r="S1746" s="160">
        <f>IF($I$1579&gt;0,'Assumptions (Geo)'!AF$11*Model!$I$1579*AVERAGE('Assumptions (Geo)'!$E$2:$G$2)/10^9,0)</f>
        <v>0</v>
      </c>
      <c r="T1746" s="160">
        <f>IF($I$1579&gt;0,'Assumptions (Geo)'!AG$11*Model!$I$1579*AVERAGE('Assumptions (Geo)'!$E$2:$G$2)/10^9,0)</f>
        <v>0</v>
      </c>
      <c r="U1746" s="160">
        <f>IF($I$1579&gt;0,'Assumptions (Geo)'!AH$11*Model!$I$1579*AVERAGE('Assumptions (Geo)'!$E$2:$G$2)/10^9,0)</f>
        <v>0</v>
      </c>
      <c r="V1746" s="160">
        <f>IF($I$1579&gt;0,'Assumptions (Geo)'!AI$11*Model!$I$1579*AVERAGE('Assumptions (Geo)'!$E$2:$G$2)/10^9,0)</f>
        <v>0</v>
      </c>
      <c r="W1746" s="160">
        <f>IF($I$1579&gt;0,'Assumptions (Geo)'!AJ$11*Model!$I$1579*AVERAGE('Assumptions (Geo)'!$E$2:$G$2)/10^9,0)</f>
        <v>0</v>
      </c>
      <c r="X1746" s="160">
        <f>IF($I$1579&gt;0,'Assumptions (Geo)'!AK$11*Model!$I$1579*AVERAGE('Assumptions (Geo)'!$E$2:$G$2)/10^9,0)</f>
        <v>0</v>
      </c>
      <c r="Y1746" s="160"/>
      <c r="Z1746" s="160"/>
      <c r="AA1746" s="160"/>
      <c r="AB1746" s="160"/>
      <c r="AC1746" s="160"/>
      <c r="AD1746" s="160"/>
      <c r="AE1746" s="160"/>
      <c r="AF1746" s="160"/>
      <c r="AG1746" s="160"/>
    </row>
    <row r="1747" ht="15.75" hidden="1" customHeight="1" outlineLevel="1">
      <c r="A1747" s="295"/>
      <c r="B1747" s="38"/>
      <c r="C1747" s="160"/>
      <c r="D1747" s="160"/>
      <c r="E1747" s="160"/>
      <c r="F1747" s="160"/>
      <c r="G1747" s="160"/>
      <c r="H1747" s="160"/>
      <c r="I1747" s="160"/>
      <c r="J1747" s="160">
        <f>IF($J$1579&gt;0,'Assumptions (Geo)'!V$11*Model!$J$1579*AVERAGE('Assumptions (Geo)'!$F$2:$H$2)/10^9,0)</f>
        <v>0</v>
      </c>
      <c r="K1747" s="160">
        <f>IF($J$1579&gt;0,'Assumptions (Geo)'!W$11*Model!$J$1579*AVERAGE('Assumptions (Geo)'!$F$2:$H$2)/10^9,0)</f>
        <v>0</v>
      </c>
      <c r="L1747" s="160">
        <f>IF($J$1579&gt;0,'Assumptions (Geo)'!X$11*Model!$J$1579*AVERAGE('Assumptions (Geo)'!$F$2:$H$2)/10^9,0)</f>
        <v>0</v>
      </c>
      <c r="M1747" s="160">
        <f>IF($J$1579&gt;0,'Assumptions (Geo)'!Y$11*Model!$J$1579*AVERAGE('Assumptions (Geo)'!$F$2:$H$2)/10^9,0)</f>
        <v>0</v>
      </c>
      <c r="N1747" s="160">
        <f>IF($J$1579&gt;0,'Assumptions (Geo)'!Z$11*Model!$J$1579*AVERAGE('Assumptions (Geo)'!$F$2:$H$2)/10^9,0)</f>
        <v>0</v>
      </c>
      <c r="O1747" s="160">
        <f>IF($J$1579&gt;0,'Assumptions (Geo)'!AA$11*Model!$J$1579*AVERAGE('Assumptions (Geo)'!$F$2:$H$2)/10^9,0)</f>
        <v>0</v>
      </c>
      <c r="P1747" s="160">
        <f>IF($J$1579&gt;0,'Assumptions (Geo)'!AB$11*Model!$J$1579*AVERAGE('Assumptions (Geo)'!$F$2:$H$2)/10^9,0)</f>
        <v>0</v>
      </c>
      <c r="Q1747" s="160">
        <f>IF($J$1579&gt;0,'Assumptions (Geo)'!AC$11*Model!$J$1579*AVERAGE('Assumptions (Geo)'!$F$2:$H$2)/10^9,0)</f>
        <v>0</v>
      </c>
      <c r="R1747" s="160">
        <f>IF($J$1579&gt;0,'Assumptions (Geo)'!AD$11*Model!$J$1579*AVERAGE('Assumptions (Geo)'!$F$2:$H$2)/10^9,0)</f>
        <v>0</v>
      </c>
      <c r="S1747" s="160">
        <f>IF($J$1579&gt;0,'Assumptions (Geo)'!AE$11*Model!$J$1579*AVERAGE('Assumptions (Geo)'!$F$2:$H$2)/10^9,0)</f>
        <v>0</v>
      </c>
      <c r="T1747" s="160">
        <f>IF($J$1579&gt;0,'Assumptions (Geo)'!AF$11*Model!$J$1579*AVERAGE('Assumptions (Geo)'!$F$2:$H$2)/10^9,0)</f>
        <v>0</v>
      </c>
      <c r="U1747" s="160">
        <f>IF($J$1579&gt;0,'Assumptions (Geo)'!AG$11*Model!$J$1579*AVERAGE('Assumptions (Geo)'!$F$2:$H$2)/10^9,0)</f>
        <v>0</v>
      </c>
      <c r="V1747" s="160">
        <f>IF($J$1579&gt;0,'Assumptions (Geo)'!AH$11*Model!$J$1579*AVERAGE('Assumptions (Geo)'!$F$2:$H$2)/10^9,0)</f>
        <v>0</v>
      </c>
      <c r="W1747" s="160">
        <f>IF($J$1579&gt;0,'Assumptions (Geo)'!AI$11*Model!$J$1579*AVERAGE('Assumptions (Geo)'!$F$2:$H$2)/10^9,0)</f>
        <v>0</v>
      </c>
      <c r="X1747" s="160">
        <f>IF($J$1579&gt;0,'Assumptions (Geo)'!AJ$11*Model!$J$1579*AVERAGE('Assumptions (Geo)'!$F$2:$H$2)/10^9,0)</f>
        <v>0</v>
      </c>
      <c r="Y1747" s="160">
        <f>IF($J$1579&gt;0,'Assumptions (Geo)'!AK$11*Model!$J$1579*AVERAGE('Assumptions (Geo)'!$F$2:$H$2)/10^9,0)</f>
        <v>0</v>
      </c>
      <c r="Z1747" s="160"/>
      <c r="AA1747" s="160"/>
      <c r="AB1747" s="160"/>
      <c r="AC1747" s="160"/>
      <c r="AD1747" s="160"/>
      <c r="AE1747" s="160"/>
      <c r="AF1747" s="160"/>
      <c r="AG1747" s="160"/>
      <c r="AH1747" s="160"/>
    </row>
    <row r="1748" ht="15.75" hidden="1" customHeight="1" outlineLevel="1">
      <c r="A1748" s="295"/>
      <c r="B1748" s="38"/>
      <c r="C1748" s="160"/>
      <c r="D1748" s="160"/>
      <c r="E1748" s="160"/>
      <c r="F1748" s="160"/>
      <c r="G1748" s="160"/>
      <c r="H1748" s="160"/>
      <c r="I1748" s="160"/>
      <c r="J1748" s="160"/>
      <c r="K1748" s="160">
        <f>IF($K$1579&gt;0,'Assumptions (Geo)'!V$11*Model!$K$1579*AVERAGE('Assumptions (Geo)'!$G$2:$I$2)/10^9,0)</f>
        <v>0</v>
      </c>
      <c r="L1748" s="160">
        <f>IF($K$1579&gt;0,'Assumptions (Geo)'!W$11*Model!$K$1579*AVERAGE('Assumptions (Geo)'!$G$2:$I$2)/10^9,0)</f>
        <v>0</v>
      </c>
      <c r="M1748" s="160">
        <f>IF($K$1579&gt;0,'Assumptions (Geo)'!X$11*Model!$K$1579*AVERAGE('Assumptions (Geo)'!$G$2:$I$2)/10^9,0)</f>
        <v>0</v>
      </c>
      <c r="N1748" s="160">
        <f>IF($K$1579&gt;0,'Assumptions (Geo)'!Y$11*Model!$K$1579*AVERAGE('Assumptions (Geo)'!$G$2:$I$2)/10^9,0)</f>
        <v>0</v>
      </c>
      <c r="O1748" s="160">
        <f>IF($K$1579&gt;0,'Assumptions (Geo)'!Z$11*Model!$K$1579*AVERAGE('Assumptions (Geo)'!$G$2:$I$2)/10^9,0)</f>
        <v>0</v>
      </c>
      <c r="P1748" s="160">
        <f>IF($K$1579&gt;0,'Assumptions (Geo)'!AA$11*Model!$K$1579*AVERAGE('Assumptions (Geo)'!$G$2:$I$2)/10^9,0)</f>
        <v>0</v>
      </c>
      <c r="Q1748" s="160">
        <f>IF($K$1579&gt;0,'Assumptions (Geo)'!AB$11*Model!$K$1579*AVERAGE('Assumptions (Geo)'!$G$2:$I$2)/10^9,0)</f>
        <v>0</v>
      </c>
      <c r="R1748" s="160">
        <f>IF($K$1579&gt;0,'Assumptions (Geo)'!AC$11*Model!$K$1579*AVERAGE('Assumptions (Geo)'!$G$2:$I$2)/10^9,0)</f>
        <v>0</v>
      </c>
      <c r="S1748" s="160">
        <f>IF($K$1579&gt;0,'Assumptions (Geo)'!AD$11*Model!$K$1579*AVERAGE('Assumptions (Geo)'!$G$2:$I$2)/10^9,0)</f>
        <v>0</v>
      </c>
      <c r="T1748" s="160">
        <f>IF($K$1579&gt;0,'Assumptions (Geo)'!AE$11*Model!$K$1579*AVERAGE('Assumptions (Geo)'!$G$2:$I$2)/10^9,0)</f>
        <v>0</v>
      </c>
      <c r="U1748" s="160">
        <f>IF($K$1579&gt;0,'Assumptions (Geo)'!AF$11*Model!$K$1579*AVERAGE('Assumptions (Geo)'!$G$2:$I$2)/10^9,0)</f>
        <v>0</v>
      </c>
      <c r="V1748" s="160">
        <f>IF($K$1579&gt;0,'Assumptions (Geo)'!AG$11*Model!$K$1579*AVERAGE('Assumptions (Geo)'!$G$2:$I$2)/10^9,0)</f>
        <v>0</v>
      </c>
      <c r="W1748" s="160">
        <f>IF($K$1579&gt;0,'Assumptions (Geo)'!AH$11*Model!$K$1579*AVERAGE('Assumptions (Geo)'!$G$2:$I$2)/10^9,0)</f>
        <v>0</v>
      </c>
      <c r="X1748" s="160">
        <f>IF($K$1579&gt;0,'Assumptions (Geo)'!AI$11*Model!$K$1579*AVERAGE('Assumptions (Geo)'!$G$2:$I$2)/10^9,0)</f>
        <v>0</v>
      </c>
      <c r="Y1748" s="160">
        <f>IF($K$1579&gt;0,'Assumptions (Geo)'!AJ$11*Model!$K$1579*AVERAGE('Assumptions (Geo)'!$G$2:$I$2)/10^9,0)</f>
        <v>0</v>
      </c>
      <c r="Z1748" s="160">
        <f>IF($K$1579&gt;0,'Assumptions (Geo)'!AK$11*Model!$K$1579*AVERAGE('Assumptions (Geo)'!$G$2:$I$2)/10^9,0)</f>
        <v>0</v>
      </c>
      <c r="AA1748" s="160"/>
      <c r="AB1748" s="160"/>
      <c r="AC1748" s="160"/>
      <c r="AD1748" s="160"/>
      <c r="AE1748" s="160"/>
      <c r="AF1748" s="160"/>
      <c r="AG1748" s="160"/>
      <c r="AH1748" s="160"/>
      <c r="AI1748" s="160"/>
    </row>
    <row r="1749" ht="15.75" hidden="1" customHeight="1" outlineLevel="1">
      <c r="A1749" s="295"/>
      <c r="B1749" s="38"/>
      <c r="C1749" s="160"/>
      <c r="D1749" s="160"/>
      <c r="E1749" s="160"/>
      <c r="F1749" s="160"/>
      <c r="G1749" s="160"/>
      <c r="H1749" s="160"/>
      <c r="I1749" s="160"/>
      <c r="J1749" s="160"/>
      <c r="K1749" s="160"/>
      <c r="L1749" s="160">
        <f>IF($L$1579&gt;0,'Assumptions (Geo)'!V$11*Model!$L$1579*AVERAGE('Assumptions (Geo)'!$H$2:$J$2)/10^9,0)</f>
        <v>0</v>
      </c>
      <c r="M1749" s="160">
        <f>IF($L$1579&gt;0,'Assumptions (Geo)'!W$11*Model!$L$1579*AVERAGE('Assumptions (Geo)'!$H$2:$J$2)/10^9,0)</f>
        <v>0</v>
      </c>
      <c r="N1749" s="160">
        <f>IF($L$1579&gt;0,'Assumptions (Geo)'!X$11*Model!$L$1579*AVERAGE('Assumptions (Geo)'!$H$2:$J$2)/10^9,0)</f>
        <v>0</v>
      </c>
      <c r="O1749" s="160">
        <f>IF($L$1579&gt;0,'Assumptions (Geo)'!Y$11*Model!$L$1579*AVERAGE('Assumptions (Geo)'!$H$2:$J$2)/10^9,0)</f>
        <v>0</v>
      </c>
      <c r="P1749" s="160">
        <f>IF($L$1579&gt;0,'Assumptions (Geo)'!Z$11*Model!$L$1579*AVERAGE('Assumptions (Geo)'!$H$2:$J$2)/10^9,0)</f>
        <v>0</v>
      </c>
      <c r="Q1749" s="160">
        <f>IF($L$1579&gt;0,'Assumptions (Geo)'!AA$11*Model!$L$1579*AVERAGE('Assumptions (Geo)'!$H$2:$J$2)/10^9,0)</f>
        <v>0</v>
      </c>
      <c r="R1749" s="160">
        <f>IF($L$1579&gt;0,'Assumptions (Geo)'!AB$11*Model!$L$1579*AVERAGE('Assumptions (Geo)'!$H$2:$J$2)/10^9,0)</f>
        <v>0</v>
      </c>
      <c r="S1749" s="160">
        <f>IF($L$1579&gt;0,'Assumptions (Geo)'!AC$11*Model!$L$1579*AVERAGE('Assumptions (Geo)'!$H$2:$J$2)/10^9,0)</f>
        <v>0</v>
      </c>
      <c r="T1749" s="160">
        <f>IF($L$1579&gt;0,'Assumptions (Geo)'!AD$11*Model!$L$1579*AVERAGE('Assumptions (Geo)'!$H$2:$J$2)/10^9,0)</f>
        <v>0</v>
      </c>
      <c r="U1749" s="160">
        <f>IF($L$1579&gt;0,'Assumptions (Geo)'!AE$11*Model!$L$1579*AVERAGE('Assumptions (Geo)'!$H$2:$J$2)/10^9,0)</f>
        <v>0</v>
      </c>
      <c r="V1749" s="160">
        <f>IF($L$1579&gt;0,'Assumptions (Geo)'!AF$11*Model!$L$1579*AVERAGE('Assumptions (Geo)'!$H$2:$J$2)/10^9,0)</f>
        <v>0</v>
      </c>
      <c r="W1749" s="160">
        <f>IF($L$1579&gt;0,'Assumptions (Geo)'!AG$11*Model!$L$1579*AVERAGE('Assumptions (Geo)'!$H$2:$J$2)/10^9,0)</f>
        <v>0</v>
      </c>
      <c r="X1749" s="160">
        <f>IF($L$1579&gt;0,'Assumptions (Geo)'!AH$11*Model!$L$1579*AVERAGE('Assumptions (Geo)'!$H$2:$J$2)/10^9,0)</f>
        <v>0</v>
      </c>
      <c r="Y1749" s="160">
        <f>IF($L$1579&gt;0,'Assumptions (Geo)'!AI$11*Model!$L$1579*AVERAGE('Assumptions (Geo)'!$H$2:$J$2)/10^9,0)</f>
        <v>0</v>
      </c>
      <c r="Z1749" s="160">
        <f>IF($L$1579&gt;0,'Assumptions (Geo)'!AJ$11*Model!$L$1579*AVERAGE('Assumptions (Geo)'!$H$2:$J$2)/10^9,0)</f>
        <v>0</v>
      </c>
      <c r="AA1749" s="160">
        <f>IF($L$1579&gt;0,'Assumptions (Geo)'!AK$11*Model!$L$1579*AVERAGE('Assumptions (Geo)'!$H$2:$J$2)/10^9,0)</f>
        <v>0</v>
      </c>
      <c r="AB1749" s="160"/>
      <c r="AC1749" s="160"/>
      <c r="AD1749" s="160"/>
      <c r="AE1749" s="160"/>
      <c r="AF1749" s="160"/>
      <c r="AG1749" s="160"/>
      <c r="AH1749" s="160"/>
      <c r="AI1749" s="160"/>
      <c r="AJ1749" s="160"/>
    </row>
    <row r="1750" ht="15.75" hidden="1" customHeight="1" outlineLevel="1">
      <c r="A1750" s="295"/>
      <c r="B1750" s="38"/>
      <c r="C1750" s="160"/>
      <c r="D1750" s="160"/>
      <c r="E1750" s="160"/>
      <c r="F1750" s="160"/>
      <c r="G1750" s="160"/>
      <c r="H1750" s="160"/>
      <c r="I1750" s="160"/>
      <c r="J1750" s="160"/>
      <c r="K1750" s="160"/>
      <c r="L1750" s="160"/>
      <c r="M1750" s="160">
        <f>IF($M$1579&gt;0,'Assumptions (Geo)'!V$11*Model!$M$1579*AVERAGE('Assumptions (Geo)'!$I$2:$K$2)/10^9,0)</f>
        <v>0</v>
      </c>
      <c r="N1750" s="160">
        <f>IF($M$1579&gt;0,'Assumptions (Geo)'!W$11*Model!$M$1579*AVERAGE('Assumptions (Geo)'!$I$2:$K$2)/10^9,0)</f>
        <v>0</v>
      </c>
      <c r="O1750" s="160">
        <f>IF($M$1579&gt;0,'Assumptions (Geo)'!X$11*Model!$M$1579*AVERAGE('Assumptions (Geo)'!$I$2:$K$2)/10^9,0)</f>
        <v>0</v>
      </c>
      <c r="P1750" s="160">
        <f>IF($M$1579&gt;0,'Assumptions (Geo)'!Y$11*Model!$M$1579*AVERAGE('Assumptions (Geo)'!$I$2:$K$2)/10^9,0)</f>
        <v>0</v>
      </c>
      <c r="Q1750" s="160">
        <f>IF($M$1579&gt;0,'Assumptions (Geo)'!Z$11*Model!$M$1579*AVERAGE('Assumptions (Geo)'!$I$2:$K$2)/10^9,0)</f>
        <v>0</v>
      </c>
      <c r="R1750" s="160">
        <f>IF($M$1579&gt;0,'Assumptions (Geo)'!AA$11*Model!$M$1579*AVERAGE('Assumptions (Geo)'!$I$2:$K$2)/10^9,0)</f>
        <v>0</v>
      </c>
      <c r="S1750" s="160">
        <f>IF($M$1579&gt;0,'Assumptions (Geo)'!AB$11*Model!$M$1579*AVERAGE('Assumptions (Geo)'!$I$2:$K$2)/10^9,0)</f>
        <v>0</v>
      </c>
      <c r="T1750" s="160">
        <f>IF($M$1579&gt;0,'Assumptions (Geo)'!AC$11*Model!$M$1579*AVERAGE('Assumptions (Geo)'!$I$2:$K$2)/10^9,0)</f>
        <v>0</v>
      </c>
      <c r="U1750" s="160">
        <f>IF($M$1579&gt;0,'Assumptions (Geo)'!AD$11*Model!$M$1579*AVERAGE('Assumptions (Geo)'!$I$2:$K$2)/10^9,0)</f>
        <v>0</v>
      </c>
      <c r="V1750" s="160">
        <f>IF($M$1579&gt;0,'Assumptions (Geo)'!AE$11*Model!$M$1579*AVERAGE('Assumptions (Geo)'!$I$2:$K$2)/10^9,0)</f>
        <v>0</v>
      </c>
      <c r="W1750" s="160">
        <f>IF($M$1579&gt;0,'Assumptions (Geo)'!AF$11*Model!$M$1579*AVERAGE('Assumptions (Geo)'!$I$2:$K$2)/10^9,0)</f>
        <v>0</v>
      </c>
      <c r="X1750" s="160">
        <f>IF($M$1579&gt;0,'Assumptions (Geo)'!AG$11*Model!$M$1579*AVERAGE('Assumptions (Geo)'!$I$2:$K$2)/10^9,0)</f>
        <v>0</v>
      </c>
      <c r="Y1750" s="160">
        <f>IF($M$1579&gt;0,'Assumptions (Geo)'!AH$11*Model!$M$1579*AVERAGE('Assumptions (Geo)'!$I$2:$K$2)/10^9,0)</f>
        <v>0</v>
      </c>
      <c r="Z1750" s="160">
        <f>IF($M$1579&gt;0,'Assumptions (Geo)'!AI$11*Model!$M$1579*AVERAGE('Assumptions (Geo)'!$I$2:$K$2)/10^9,0)</f>
        <v>0</v>
      </c>
      <c r="AA1750" s="160">
        <f>IF($M$1579&gt;0,'Assumptions (Geo)'!AJ$11*Model!$M$1579*AVERAGE('Assumptions (Geo)'!$I$2:$K$2)/10^9,0)</f>
        <v>0</v>
      </c>
      <c r="AB1750" s="160">
        <f>IF($M$1579&gt;0,'Assumptions (Geo)'!AK$11*Model!$M$1579*AVERAGE('Assumptions (Geo)'!$I$2:$K$2)/10^9,0)</f>
        <v>0</v>
      </c>
      <c r="AC1750" s="160"/>
      <c r="AD1750" s="160"/>
      <c r="AE1750" s="160"/>
      <c r="AF1750" s="160"/>
      <c r="AG1750" s="160"/>
      <c r="AH1750" s="160"/>
      <c r="AI1750" s="160"/>
      <c r="AJ1750" s="160"/>
      <c r="AK1750" s="160"/>
    </row>
    <row r="1751" ht="15.75" hidden="1" customHeight="1" outlineLevel="1">
      <c r="A1751" s="295"/>
      <c r="B1751" s="38"/>
      <c r="C1751" s="160"/>
      <c r="D1751" s="160"/>
      <c r="E1751" s="160"/>
      <c r="F1751" s="160"/>
      <c r="G1751" s="160"/>
      <c r="H1751" s="160"/>
      <c r="I1751" s="160"/>
      <c r="J1751" s="160"/>
      <c r="K1751" s="160"/>
      <c r="L1751" s="160"/>
      <c r="M1751" s="160"/>
      <c r="N1751" s="160">
        <f>IF($N$1579&gt;0,'Assumptions (Geo)'!V$11*Model!$N$1579*AVERAGE('Assumptions (Geo)'!$J$2:$L$2)/10^9,0)</f>
        <v>0</v>
      </c>
      <c r="O1751" s="160">
        <f>IF($N$1579&gt;0,'Assumptions (Geo)'!W$11*Model!$N$1579*AVERAGE('Assumptions (Geo)'!$J$2:$L$2)/10^9,0)</f>
        <v>0</v>
      </c>
      <c r="P1751" s="160">
        <f>IF($N$1579&gt;0,'Assumptions (Geo)'!X$11*Model!$N$1579*AVERAGE('Assumptions (Geo)'!$J$2:$L$2)/10^9,0)</f>
        <v>0</v>
      </c>
      <c r="Q1751" s="160">
        <f>IF($N$1579&gt;0,'Assumptions (Geo)'!Y$11*Model!$N$1579*AVERAGE('Assumptions (Geo)'!$J$2:$L$2)/10^9,0)</f>
        <v>0</v>
      </c>
      <c r="R1751" s="160">
        <f>IF($N$1579&gt;0,'Assumptions (Geo)'!Z$11*Model!$N$1579*AVERAGE('Assumptions (Geo)'!$J$2:$L$2)/10^9,0)</f>
        <v>0</v>
      </c>
      <c r="S1751" s="160">
        <f>IF($N$1579&gt;0,'Assumptions (Geo)'!AA$11*Model!$N$1579*AVERAGE('Assumptions (Geo)'!$J$2:$L$2)/10^9,0)</f>
        <v>0</v>
      </c>
      <c r="T1751" s="160">
        <f>IF($N$1579&gt;0,'Assumptions (Geo)'!AB$11*Model!$N$1579*AVERAGE('Assumptions (Geo)'!$J$2:$L$2)/10^9,0)</f>
        <v>0</v>
      </c>
      <c r="U1751" s="160">
        <f>IF($N$1579&gt;0,'Assumptions (Geo)'!AC$11*Model!$N$1579*AVERAGE('Assumptions (Geo)'!$J$2:$L$2)/10^9,0)</f>
        <v>0</v>
      </c>
      <c r="V1751" s="160">
        <f>IF($N$1579&gt;0,'Assumptions (Geo)'!AD$11*Model!$N$1579*AVERAGE('Assumptions (Geo)'!$J$2:$L$2)/10^9,0)</f>
        <v>0</v>
      </c>
      <c r="W1751" s="160">
        <f>IF($N$1579&gt;0,'Assumptions (Geo)'!AE$11*Model!$N$1579*AVERAGE('Assumptions (Geo)'!$J$2:$L$2)/10^9,0)</f>
        <v>0</v>
      </c>
      <c r="X1751" s="160">
        <f>IF($N$1579&gt;0,'Assumptions (Geo)'!AF$11*Model!$N$1579*AVERAGE('Assumptions (Geo)'!$J$2:$L$2)/10^9,0)</f>
        <v>0</v>
      </c>
      <c r="Y1751" s="160">
        <f>IF($N$1579&gt;0,'Assumptions (Geo)'!AG$11*Model!$N$1579*AVERAGE('Assumptions (Geo)'!$J$2:$L$2)/10^9,0)</f>
        <v>0</v>
      </c>
      <c r="Z1751" s="160">
        <f>IF($N$1579&gt;0,'Assumptions (Geo)'!AH$11*Model!$N$1579*AVERAGE('Assumptions (Geo)'!$J$2:$L$2)/10^9,0)</f>
        <v>0</v>
      </c>
      <c r="AA1751" s="160">
        <f>IF($N$1579&gt;0,'Assumptions (Geo)'!AI$11*Model!$N$1579*AVERAGE('Assumptions (Geo)'!$J$2:$L$2)/10^9,0)</f>
        <v>0</v>
      </c>
      <c r="AB1751" s="160">
        <f>IF($N$1579&gt;0,'Assumptions (Geo)'!AJ$11*Model!$N$1579*AVERAGE('Assumptions (Geo)'!$J$2:$L$2)/10^9,0)</f>
        <v>0</v>
      </c>
      <c r="AC1751" s="160">
        <f>IF($N$1579&gt;0,'Assumptions (Geo)'!AK$11*Model!$N$1579*AVERAGE('Assumptions (Geo)'!$J$2:$L$2)/10^9,0)</f>
        <v>0</v>
      </c>
      <c r="AD1751" s="160"/>
      <c r="AE1751" s="160"/>
      <c r="AF1751" s="160"/>
      <c r="AG1751" s="160"/>
      <c r="AH1751" s="160"/>
      <c r="AI1751" s="160"/>
      <c r="AJ1751" s="160"/>
      <c r="AK1751" s="160"/>
    </row>
    <row r="1752" ht="15.75" hidden="1" customHeight="1" outlineLevel="1">
      <c r="A1752" s="295"/>
      <c r="B1752" s="38"/>
      <c r="C1752" s="160"/>
      <c r="D1752" s="160"/>
      <c r="E1752" s="160"/>
      <c r="F1752" s="160"/>
      <c r="G1752" s="160"/>
      <c r="H1752" s="160"/>
      <c r="I1752" s="160"/>
      <c r="J1752" s="160"/>
      <c r="K1752" s="160"/>
      <c r="L1752" s="160"/>
      <c r="M1752" s="160"/>
      <c r="N1752" s="160"/>
      <c r="O1752" s="160">
        <f>IF($O$1579&gt;0,'Assumptions (Geo)'!V$11*Model!$O$1579*AVERAGE('Assumptions (Geo)'!$K$2:$M$2)/10^9,0)</f>
        <v>0</v>
      </c>
      <c r="P1752" s="160">
        <f>IF($O$1579&gt;0,'Assumptions (Geo)'!W$11*Model!$O$1579*AVERAGE('Assumptions (Geo)'!$K$2:$M$2)/10^9,0)</f>
        <v>0</v>
      </c>
      <c r="Q1752" s="160">
        <f>IF($O$1579&gt;0,'Assumptions (Geo)'!X$11*Model!$O$1579*AVERAGE('Assumptions (Geo)'!$K$2:$M$2)/10^9,0)</f>
        <v>0</v>
      </c>
      <c r="R1752" s="160">
        <f>IF($O$1579&gt;0,'Assumptions (Geo)'!Y$11*Model!$O$1579*AVERAGE('Assumptions (Geo)'!$K$2:$M$2)/10^9,0)</f>
        <v>0</v>
      </c>
      <c r="S1752" s="160">
        <f>IF($O$1579&gt;0,'Assumptions (Geo)'!Z$11*Model!$O$1579*AVERAGE('Assumptions (Geo)'!$K$2:$M$2)/10^9,0)</f>
        <v>0</v>
      </c>
      <c r="T1752" s="160">
        <f>IF($O$1579&gt;0,'Assumptions (Geo)'!AA$11*Model!$O$1579*AVERAGE('Assumptions (Geo)'!$K$2:$M$2)/10^9,0)</f>
        <v>0</v>
      </c>
      <c r="U1752" s="160">
        <f>IF($O$1579&gt;0,'Assumptions (Geo)'!AB$11*Model!$O$1579*AVERAGE('Assumptions (Geo)'!$K$2:$M$2)/10^9,0)</f>
        <v>0</v>
      </c>
      <c r="V1752" s="160">
        <f>IF($O$1579&gt;0,'Assumptions (Geo)'!AC$11*Model!$O$1579*AVERAGE('Assumptions (Geo)'!$K$2:$M$2)/10^9,0)</f>
        <v>0</v>
      </c>
      <c r="W1752" s="160">
        <f>IF($O$1579&gt;0,'Assumptions (Geo)'!AD$11*Model!$O$1579*AVERAGE('Assumptions (Geo)'!$K$2:$M$2)/10^9,0)</f>
        <v>0</v>
      </c>
      <c r="X1752" s="160">
        <f>IF($O$1579&gt;0,'Assumptions (Geo)'!AE$11*Model!$O$1579*AVERAGE('Assumptions (Geo)'!$K$2:$M$2)/10^9,0)</f>
        <v>0</v>
      </c>
      <c r="Y1752" s="160">
        <f>IF($O$1579&gt;0,'Assumptions (Geo)'!AF$11*Model!$O$1579*AVERAGE('Assumptions (Geo)'!$K$2:$M$2)/10^9,0)</f>
        <v>0</v>
      </c>
      <c r="Z1752" s="160">
        <f>IF($O$1579&gt;0,'Assumptions (Geo)'!AG$11*Model!$O$1579*AVERAGE('Assumptions (Geo)'!$K$2:$M$2)/10^9,0)</f>
        <v>0</v>
      </c>
      <c r="AA1752" s="160">
        <f>IF($O$1579&gt;0,'Assumptions (Geo)'!AH$11*Model!$O$1579*AVERAGE('Assumptions (Geo)'!$K$2:$M$2)/10^9,0)</f>
        <v>0</v>
      </c>
      <c r="AB1752" s="160">
        <f>IF($O$1579&gt;0,'Assumptions (Geo)'!AI$11*Model!$O$1579*AVERAGE('Assumptions (Geo)'!$K$2:$M$2)/10^9,0)</f>
        <v>0</v>
      </c>
      <c r="AC1752" s="160">
        <f>IF($O$1579&gt;0,'Assumptions (Geo)'!AJ$11*Model!$O$1579*AVERAGE('Assumptions (Geo)'!$K$2:$M$2)/10^9,0)</f>
        <v>0</v>
      </c>
      <c r="AD1752" s="160">
        <f>IF($O$1579&gt;0,'Assumptions (Geo)'!AK$11*Model!$O$1579*AVERAGE('Assumptions (Geo)'!$K$2:$M$2)/10^9,0)</f>
        <v>0</v>
      </c>
      <c r="AE1752" s="160"/>
      <c r="AF1752" s="160"/>
      <c r="AG1752" s="160"/>
      <c r="AH1752" s="160"/>
      <c r="AI1752" s="160"/>
      <c r="AJ1752" s="160"/>
      <c r="AK1752" s="160"/>
    </row>
    <row r="1753" ht="15.75" hidden="1" customHeight="1" outlineLevel="1">
      <c r="A1753" s="295"/>
      <c r="B1753" s="38"/>
      <c r="C1753" s="160"/>
      <c r="D1753" s="160"/>
      <c r="E1753" s="160"/>
      <c r="F1753" s="160"/>
      <c r="G1753" s="160"/>
      <c r="H1753" s="177"/>
      <c r="I1753" s="160"/>
      <c r="J1753" s="160"/>
      <c r="K1753" s="160"/>
      <c r="L1753" s="160"/>
      <c r="M1753" s="160"/>
      <c r="N1753" s="160"/>
      <c r="O1753" s="160"/>
      <c r="P1753" s="177">
        <f>IF($P$1579&gt;0,'Assumptions (Geo)'!V$11*Model!$P$1579*AVERAGE('Assumptions (Geo)'!$L$2:$N$2)/10^9,0)</f>
        <v>0</v>
      </c>
      <c r="Q1753" s="177">
        <f>IF($P$1579&gt;0,'Assumptions (Geo)'!W$11*Model!$P$1579*AVERAGE('Assumptions (Geo)'!$L$2:$N$2)/10^9,0)</f>
        <v>0</v>
      </c>
      <c r="R1753" s="177">
        <f>IF($P$1579&gt;0,'Assumptions (Geo)'!X$11*Model!$P$1579*AVERAGE('Assumptions (Geo)'!$L$2:$N$2)/10^9,0)</f>
        <v>0</v>
      </c>
      <c r="S1753" s="177">
        <f>IF($P$1579&gt;0,'Assumptions (Geo)'!Y$11*Model!$P$1579*AVERAGE('Assumptions (Geo)'!$L$2:$N$2)/10^9,0)</f>
        <v>0</v>
      </c>
      <c r="T1753" s="177">
        <f>IF($P$1579&gt;0,'Assumptions (Geo)'!Z$11*Model!$P$1579*AVERAGE('Assumptions (Geo)'!$L$2:$N$2)/10^9,0)</f>
        <v>0</v>
      </c>
      <c r="U1753" s="177">
        <f>IF($P$1579&gt;0,'Assumptions (Geo)'!AA$11*Model!$P$1579*AVERAGE('Assumptions (Geo)'!$L$2:$N$2)/10^9,0)</f>
        <v>0</v>
      </c>
      <c r="V1753" s="177">
        <f>IF($P$1579&gt;0,'Assumptions (Geo)'!AB$11*Model!$P$1579*AVERAGE('Assumptions (Geo)'!$L$2:$N$2)/10^9,0)</f>
        <v>0</v>
      </c>
      <c r="W1753" s="177">
        <f>IF($P$1579&gt;0,'Assumptions (Geo)'!AC$11*Model!$P$1579*AVERAGE('Assumptions (Geo)'!$L$2:$N$2)/10^9,0)</f>
        <v>0</v>
      </c>
      <c r="X1753" s="177">
        <f>IF($P$1579&gt;0,'Assumptions (Geo)'!AD$11*Model!$P$1579*AVERAGE('Assumptions (Geo)'!$L$2:$N$2)/10^9,0)</f>
        <v>0</v>
      </c>
      <c r="Y1753" s="177">
        <f>IF($P$1579&gt;0,'Assumptions (Geo)'!AE$11*Model!$P$1579*AVERAGE('Assumptions (Geo)'!$L$2:$N$2)/10^9,0)</f>
        <v>0</v>
      </c>
      <c r="Z1753" s="177">
        <f>IF($P$1579&gt;0,'Assumptions (Geo)'!AF$11*Model!$P$1579*AVERAGE('Assumptions (Geo)'!$L$2:$N$2)/10^9,0)</f>
        <v>0</v>
      </c>
      <c r="AA1753" s="177">
        <f>IF($P$1579&gt;0,'Assumptions (Geo)'!AG$11*Model!$P$1579*AVERAGE('Assumptions (Geo)'!$L$2:$N$2)/10^9,0)</f>
        <v>0</v>
      </c>
      <c r="AB1753" s="177">
        <f>IF($P$1579&gt;0,'Assumptions (Geo)'!AH$11*Model!$P$1579*AVERAGE('Assumptions (Geo)'!$L$2:$N$2)/10^9,0)</f>
        <v>0</v>
      </c>
      <c r="AC1753" s="177">
        <f>IF($P$1579&gt;0,'Assumptions (Geo)'!AI$11*Model!$P$1579*AVERAGE('Assumptions (Geo)'!$L$2:$N$2)/10^9,0)</f>
        <v>0</v>
      </c>
      <c r="AD1753" s="177">
        <f>IF($P$1579&gt;0,'Assumptions (Geo)'!AJ$11*Model!$P$1579*AVERAGE('Assumptions (Geo)'!$L$2:$N$2)/10^9,0)</f>
        <v>0</v>
      </c>
      <c r="AE1753" s="177">
        <f>IF($P$1579&gt;0,'Assumptions (Geo)'!AK$11*Model!$P$1579*AVERAGE('Assumptions (Geo)'!$L$2:$N$2)/10^9,0)</f>
        <v>0</v>
      </c>
      <c r="AF1753" s="177"/>
      <c r="AG1753" s="177"/>
      <c r="AH1753" s="177"/>
      <c r="AI1753" s="177"/>
      <c r="AJ1753" s="177"/>
      <c r="AK1753" s="177"/>
    </row>
    <row r="1754" ht="15.75" hidden="1" customHeight="1" outlineLevel="1">
      <c r="A1754" s="295"/>
      <c r="B1754" s="38"/>
      <c r="C1754" s="160"/>
      <c r="D1754" s="160"/>
      <c r="E1754" s="160"/>
      <c r="F1754" s="160"/>
      <c r="G1754" s="160"/>
      <c r="H1754" s="160"/>
      <c r="I1754" s="160"/>
      <c r="J1754" s="160"/>
      <c r="K1754" s="160"/>
      <c r="L1754" s="160"/>
      <c r="M1754" s="160"/>
      <c r="N1754" s="160"/>
      <c r="O1754" s="160"/>
      <c r="P1754" s="179"/>
      <c r="Q1754" s="160">
        <f>IF($Q$1579&gt;0,'Assumptions (Geo)'!V$11*Model!$Q$1579*AVERAGE('Assumptions (Geo)'!$L$2:$O$2)/10^9,0)</f>
        <v>0</v>
      </c>
      <c r="R1754" s="160">
        <f>IF($Q$1579&gt;0,'Assumptions (Geo)'!W$11*Model!$Q$1579*AVERAGE('Assumptions (Geo)'!$L$2:$O$2)/10^9,0)</f>
        <v>0</v>
      </c>
      <c r="S1754" s="160">
        <f>IF($Q$1579&gt;0,'Assumptions (Geo)'!X$11*Model!$Q$1579*AVERAGE('Assumptions (Geo)'!$L$2:$O$2)/10^9,0)</f>
        <v>0</v>
      </c>
      <c r="T1754" s="160">
        <f>IF($Q$1579&gt;0,'Assumptions (Geo)'!Y$11*Model!$Q$1579*AVERAGE('Assumptions (Geo)'!$L$2:$O$2)/10^9,0)</f>
        <v>0</v>
      </c>
      <c r="U1754" s="160">
        <f>IF($Q$1579&gt;0,'Assumptions (Geo)'!Z$11*Model!$Q$1579*AVERAGE('Assumptions (Geo)'!$L$2:$O$2)/10^9,0)</f>
        <v>0</v>
      </c>
      <c r="V1754" s="160">
        <f>IF($Q$1579&gt;0,'Assumptions (Geo)'!AA$11*Model!$Q$1579*AVERAGE('Assumptions (Geo)'!$L$2:$O$2)/10^9,0)</f>
        <v>0</v>
      </c>
      <c r="W1754" s="160">
        <f>IF($Q$1579&gt;0,'Assumptions (Geo)'!AB$11*Model!$Q$1579*AVERAGE('Assumptions (Geo)'!$L$2:$O$2)/10^9,0)</f>
        <v>0</v>
      </c>
      <c r="X1754" s="160">
        <f>IF($Q$1579&gt;0,'Assumptions (Geo)'!AC$11*Model!$Q$1579*AVERAGE('Assumptions (Geo)'!$L$2:$O$2)/10^9,0)</f>
        <v>0</v>
      </c>
      <c r="Y1754" s="160">
        <f>IF($Q$1579&gt;0,'Assumptions (Geo)'!AD$11*Model!$Q$1579*AVERAGE('Assumptions (Geo)'!$L$2:$O$2)/10^9,0)</f>
        <v>0</v>
      </c>
      <c r="Z1754" s="160">
        <f>IF($Q$1579&gt;0,'Assumptions (Geo)'!AE$11*Model!$Q$1579*AVERAGE('Assumptions (Geo)'!$L$2:$O$2)/10^9,0)</f>
        <v>0</v>
      </c>
      <c r="AA1754" s="160">
        <f>IF($Q$1579&gt;0,'Assumptions (Geo)'!AF$11*Model!$Q$1579*AVERAGE('Assumptions (Geo)'!$L$2:$O$2)/10^9,0)</f>
        <v>0</v>
      </c>
      <c r="AB1754" s="160">
        <f>IF($Q$1579&gt;0,'Assumptions (Geo)'!AG$11*Model!$Q$1579*AVERAGE('Assumptions (Geo)'!$L$2:$O$2)/10^9,0)</f>
        <v>0</v>
      </c>
      <c r="AC1754" s="160">
        <f>IF($Q$1579&gt;0,'Assumptions (Geo)'!AH$11*Model!$Q$1579*AVERAGE('Assumptions (Geo)'!$L$2:$O$2)/10^9,0)</f>
        <v>0</v>
      </c>
      <c r="AD1754" s="160">
        <f>IF($Q$1579&gt;0,'Assumptions (Geo)'!AI$11*Model!$Q$1579*AVERAGE('Assumptions (Geo)'!$L$2:$O$2)/10^9,0)</f>
        <v>0</v>
      </c>
      <c r="AE1754" s="160">
        <f>IF($Q$1579&gt;0,'Assumptions (Geo)'!AJ$11*Model!$Q$1579*AVERAGE('Assumptions (Geo)'!$L$2:$O$2)/10^9,0)</f>
        <v>0</v>
      </c>
      <c r="AF1754" s="160">
        <f>IF($Q$1579&gt;0,'Assumptions (Geo)'!AK$11*Model!$Q$1579*AVERAGE('Assumptions (Geo)'!$L$2:$O$2)/10^9,0)</f>
        <v>0</v>
      </c>
      <c r="AG1754" s="160"/>
      <c r="AH1754" s="160"/>
      <c r="AI1754" s="160"/>
      <c r="AJ1754" s="160"/>
      <c r="AK1754" s="160"/>
    </row>
    <row r="1755" ht="15.75" hidden="1" customHeight="1" outlineLevel="1">
      <c r="A1755" s="295"/>
      <c r="B1755" s="38"/>
      <c r="C1755" s="160"/>
      <c r="D1755" s="160"/>
      <c r="E1755" s="160"/>
      <c r="F1755" s="160"/>
      <c r="G1755" s="160"/>
      <c r="H1755" s="160"/>
      <c r="I1755" s="160"/>
      <c r="J1755" s="160"/>
      <c r="K1755" s="160"/>
      <c r="L1755" s="160"/>
      <c r="M1755" s="160"/>
      <c r="N1755" s="160"/>
      <c r="O1755" s="160"/>
      <c r="P1755" s="179"/>
      <c r="Q1755" s="160"/>
      <c r="R1755" s="177">
        <f>IF($R$1579&gt;0,'Assumptions (Geo)'!V$11*Model!$R$1579*AVERAGE('Assumptions (Geo)'!$M$2:$P$2)/10^9,0)</f>
        <v>0</v>
      </c>
      <c r="S1755" s="177">
        <f>IF($R$1579&gt;0,'Assumptions (Geo)'!W$11*Model!$R$1579*AVERAGE('Assumptions (Geo)'!$M$2:$P$2)/10^9,0)</f>
        <v>0</v>
      </c>
      <c r="T1755" s="177">
        <f>IF($R$1579&gt;0,'Assumptions (Geo)'!X$11*Model!$R$1579*AVERAGE('Assumptions (Geo)'!$M$2:$P$2)/10^9,0)</f>
        <v>0</v>
      </c>
      <c r="U1755" s="177">
        <f>IF($R$1579&gt;0,'Assumptions (Geo)'!Y$11*Model!$R$1579*AVERAGE('Assumptions (Geo)'!$M$2:$P$2)/10^9,0)</f>
        <v>0</v>
      </c>
      <c r="V1755" s="177">
        <f>IF($R$1579&gt;0,'Assumptions (Geo)'!Z$11*Model!$R$1579*AVERAGE('Assumptions (Geo)'!$M$2:$P$2)/10^9,0)</f>
        <v>0</v>
      </c>
      <c r="W1755" s="177">
        <f>IF($R$1579&gt;0,'Assumptions (Geo)'!AA$11*Model!$R$1579*AVERAGE('Assumptions (Geo)'!$M$2:$P$2)/10^9,0)</f>
        <v>0</v>
      </c>
      <c r="X1755" s="177">
        <f>IF($R$1579&gt;0,'Assumptions (Geo)'!AB$11*Model!$R$1579*AVERAGE('Assumptions (Geo)'!$M$2:$P$2)/10^9,0)</f>
        <v>0</v>
      </c>
      <c r="Y1755" s="177">
        <f>IF($R$1579&gt;0,'Assumptions (Geo)'!AC$11*Model!$R$1579*AVERAGE('Assumptions (Geo)'!$M$2:$P$2)/10^9,0)</f>
        <v>0</v>
      </c>
      <c r="Z1755" s="177">
        <f>IF($R$1579&gt;0,'Assumptions (Geo)'!AD$11*Model!$R$1579*AVERAGE('Assumptions (Geo)'!$M$2:$P$2)/10^9,0)</f>
        <v>0</v>
      </c>
      <c r="AA1755" s="177">
        <f>IF($R$1579&gt;0,'Assumptions (Geo)'!AE$11*Model!$R$1579*AVERAGE('Assumptions (Geo)'!$M$2:$P$2)/10^9,0)</f>
        <v>0</v>
      </c>
      <c r="AB1755" s="177">
        <f>IF($R$1579&gt;0,'Assumptions (Geo)'!AF$11*Model!$R$1579*AVERAGE('Assumptions (Geo)'!$M$2:$P$2)/10^9,0)</f>
        <v>0</v>
      </c>
      <c r="AC1755" s="177">
        <f>IF($R$1579&gt;0,'Assumptions (Geo)'!AG$11*Model!$R$1579*AVERAGE('Assumptions (Geo)'!$M$2:$P$2)/10^9,0)</f>
        <v>0</v>
      </c>
      <c r="AD1755" s="177">
        <f>IF($R$1579&gt;0,'Assumptions (Geo)'!AH$11*Model!$R$1579*AVERAGE('Assumptions (Geo)'!$M$2:$P$2)/10^9,0)</f>
        <v>0</v>
      </c>
      <c r="AE1755" s="177">
        <f>IF($R$1579&gt;0,'Assumptions (Geo)'!AI$11*Model!$R$1579*AVERAGE('Assumptions (Geo)'!$M$2:$P$2)/10^9,0)</f>
        <v>0</v>
      </c>
      <c r="AF1755" s="177">
        <f>IF($R$1579&gt;0,'Assumptions (Geo)'!AJ$11*Model!$R$1579*AVERAGE('Assumptions (Geo)'!$M$2:$P$2)/10^9,0)</f>
        <v>0</v>
      </c>
      <c r="AG1755" s="177">
        <f>IF($R$1579&gt;0,'Assumptions (Geo)'!AK$11*Model!$R$1579*AVERAGE('Assumptions (Geo)'!$M$2:$P$2)/10^9,0)</f>
        <v>0</v>
      </c>
      <c r="AH1755" s="177"/>
      <c r="AI1755" s="177"/>
      <c r="AJ1755" s="177"/>
      <c r="AK1755" s="177"/>
    </row>
    <row r="1756" ht="15.75" hidden="1" customHeight="1" outlineLevel="1">
      <c r="A1756" s="295"/>
      <c r="B1756" s="38"/>
      <c r="C1756" s="160"/>
      <c r="D1756" s="160"/>
      <c r="E1756" s="160"/>
      <c r="F1756" s="160"/>
      <c r="G1756" s="160"/>
      <c r="H1756" s="160"/>
      <c r="I1756" s="160"/>
      <c r="J1756" s="160"/>
      <c r="K1756" s="160"/>
      <c r="L1756" s="160"/>
      <c r="M1756" s="160"/>
      <c r="N1756" s="160"/>
      <c r="O1756" s="160"/>
      <c r="P1756" s="179"/>
      <c r="Q1756" s="160"/>
      <c r="R1756" s="177"/>
      <c r="S1756" s="160">
        <f>IF($S$1579&gt;0,'Assumptions (Geo)'!V$11*Model!$S$1579*AVERAGE('Assumptions (Geo)'!$O$2:$Q$2)/10^9,0)</f>
        <v>0</v>
      </c>
      <c r="T1756" s="160">
        <f>IF($S$1579&gt;0,'Assumptions (Geo)'!W$11*Model!$S$1579*AVERAGE('Assumptions (Geo)'!$O$2:$Q$2)/10^9,0)</f>
        <v>0</v>
      </c>
      <c r="U1756" s="160">
        <f>IF($S$1579&gt;0,'Assumptions (Geo)'!X$11*Model!$S$1579*AVERAGE('Assumptions (Geo)'!$O$2:$Q$2)/10^9,0)</f>
        <v>0</v>
      </c>
      <c r="V1756" s="160">
        <f>IF($S$1579&gt;0,'Assumptions (Geo)'!Y$11*Model!$S$1579*AVERAGE('Assumptions (Geo)'!$O$2:$Q$2)/10^9,0)</f>
        <v>0</v>
      </c>
      <c r="W1756" s="160">
        <f>IF($S$1579&gt;0,'Assumptions (Geo)'!Z$11*Model!$S$1579*AVERAGE('Assumptions (Geo)'!$O$2:$Q$2)/10^9,0)</f>
        <v>0</v>
      </c>
      <c r="X1756" s="160">
        <f>IF($S$1579&gt;0,'Assumptions (Geo)'!AA$11*Model!$S$1579*AVERAGE('Assumptions (Geo)'!$O$2:$Q$2)/10^9,0)</f>
        <v>0</v>
      </c>
      <c r="Y1756" s="160">
        <f>IF($S$1579&gt;0,'Assumptions (Geo)'!AB$11*Model!$S$1579*AVERAGE('Assumptions (Geo)'!$O$2:$Q$2)/10^9,0)</f>
        <v>0</v>
      </c>
      <c r="Z1756" s="160">
        <f>IF($S$1579&gt;0,'Assumptions (Geo)'!AC$11*Model!$S$1579*AVERAGE('Assumptions (Geo)'!$O$2:$Q$2)/10^9,0)</f>
        <v>0</v>
      </c>
      <c r="AA1756" s="160">
        <f>IF($S$1579&gt;0,'Assumptions (Geo)'!AD$11*Model!$S$1579*AVERAGE('Assumptions (Geo)'!$O$2:$Q$2)/10^9,0)</f>
        <v>0</v>
      </c>
      <c r="AB1756" s="160">
        <f>IF($S$1579&gt;0,'Assumptions (Geo)'!AE$11*Model!$S$1579*AVERAGE('Assumptions (Geo)'!$O$2:$Q$2)/10^9,0)</f>
        <v>0</v>
      </c>
      <c r="AC1756" s="160">
        <f>IF($S$1579&gt;0,'Assumptions (Geo)'!AF$11*Model!$S$1579*AVERAGE('Assumptions (Geo)'!$O$2:$Q$2)/10^9,0)</f>
        <v>0</v>
      </c>
      <c r="AD1756" s="160">
        <f>IF($S$1579&gt;0,'Assumptions (Geo)'!AG$11*Model!$S$1579*AVERAGE('Assumptions (Geo)'!$O$2:$Q$2)/10^9,0)</f>
        <v>0</v>
      </c>
      <c r="AE1756" s="160">
        <f>IF($S$1579&gt;0,'Assumptions (Geo)'!AH$11*Model!$S$1579*AVERAGE('Assumptions (Geo)'!$O$2:$Q$2)/10^9,0)</f>
        <v>0</v>
      </c>
      <c r="AF1756" s="160">
        <f>IF($S$1579&gt;0,'Assumptions (Geo)'!AI$11*Model!$S$1579*AVERAGE('Assumptions (Geo)'!$O$2:$Q$2)/10^9,0)</f>
        <v>0</v>
      </c>
      <c r="AG1756" s="160">
        <f>IF($S$1579&gt;0,'Assumptions (Geo)'!AJ$11*Model!$S$1579*AVERAGE('Assumptions (Geo)'!$O$2:$Q$2)/10^9,0)</f>
        <v>0</v>
      </c>
      <c r="AH1756" s="160">
        <f>IF($S$1579&gt;0,'Assumptions (Geo)'!AK$11*Model!$S$1579*AVERAGE('Assumptions (Geo)'!$O$2:$Q$2)/10^9,0)</f>
        <v>0</v>
      </c>
      <c r="AI1756" s="160"/>
      <c r="AJ1756" s="160"/>
      <c r="AK1756" s="160"/>
    </row>
    <row r="1757" ht="15.75" hidden="1" customHeight="1" outlineLevel="1">
      <c r="A1757" s="295"/>
      <c r="B1757" s="38"/>
      <c r="C1757" s="160"/>
      <c r="D1757" s="160"/>
      <c r="E1757" s="160"/>
      <c r="F1757" s="160"/>
      <c r="G1757" s="160"/>
      <c r="H1757" s="160"/>
      <c r="I1757" s="160"/>
      <c r="J1757" s="160"/>
      <c r="K1757" s="160"/>
      <c r="L1757" s="160"/>
      <c r="M1757" s="160"/>
      <c r="N1757" s="160"/>
      <c r="O1757" s="160"/>
      <c r="P1757" s="179"/>
      <c r="Q1757" s="160"/>
      <c r="R1757" s="177"/>
      <c r="S1757" s="177"/>
      <c r="T1757" s="160">
        <f>IF($T$1579&gt;0,'Assumptions (Geo)'!V$11*Model!$T$1579*AVERAGE('Assumptions (Geo)'!$P$2:$R$2)/10^9,0)</f>
        <v>0</v>
      </c>
      <c r="U1757" s="160">
        <f>IF($T$1579&gt;0,'Assumptions (Geo)'!W$11*Model!$T$1579*AVERAGE('Assumptions (Geo)'!$P$2:$R$2)/10^9,0)</f>
        <v>0</v>
      </c>
      <c r="V1757" s="160">
        <f>IF($T$1579&gt;0,'Assumptions (Geo)'!X$11*Model!$T$1579*AVERAGE('Assumptions (Geo)'!$P$2:$R$2)/10^9,0)</f>
        <v>0</v>
      </c>
      <c r="W1757" s="160">
        <f>IF($T$1579&gt;0,'Assumptions (Geo)'!Y$11*Model!$T$1579*AVERAGE('Assumptions (Geo)'!$P$2:$R$2)/10^9,0)</f>
        <v>0</v>
      </c>
      <c r="X1757" s="160">
        <f>IF($T$1579&gt;0,'Assumptions (Geo)'!Z$11*Model!$T$1579*AVERAGE('Assumptions (Geo)'!$P$2:$R$2)/10^9,0)</f>
        <v>0</v>
      </c>
      <c r="Y1757" s="160">
        <f>IF($T$1579&gt;0,'Assumptions (Geo)'!AA$11*Model!$T$1579*AVERAGE('Assumptions (Geo)'!$P$2:$R$2)/10^9,0)</f>
        <v>0</v>
      </c>
      <c r="Z1757" s="160">
        <f>IF($T$1579&gt;0,'Assumptions (Geo)'!AB$11*Model!$T$1579*AVERAGE('Assumptions (Geo)'!$P$2:$R$2)/10^9,0)</f>
        <v>0</v>
      </c>
      <c r="AA1757" s="160">
        <f>IF($T$1579&gt;0,'Assumptions (Geo)'!AC$11*Model!$T$1579*AVERAGE('Assumptions (Geo)'!$P$2:$R$2)/10^9,0)</f>
        <v>0</v>
      </c>
      <c r="AB1757" s="160">
        <f>IF($T$1579&gt;0,'Assumptions (Geo)'!AD$11*Model!$T$1579*AVERAGE('Assumptions (Geo)'!$P$2:$R$2)/10^9,0)</f>
        <v>0</v>
      </c>
      <c r="AC1757" s="160">
        <f>IF($T$1579&gt;0,'Assumptions (Geo)'!AE$11*Model!$T$1579*AVERAGE('Assumptions (Geo)'!$P$2:$R$2)/10^9,0)</f>
        <v>0</v>
      </c>
      <c r="AD1757" s="160">
        <f>IF($T$1579&gt;0,'Assumptions (Geo)'!AF$11*Model!$T$1579*AVERAGE('Assumptions (Geo)'!$P$2:$R$2)/10^9,0)</f>
        <v>0</v>
      </c>
      <c r="AE1757" s="160">
        <f>IF($T$1579&gt;0,'Assumptions (Geo)'!AG$11*Model!$T$1579*AVERAGE('Assumptions (Geo)'!$P$2:$R$2)/10^9,0)</f>
        <v>0</v>
      </c>
      <c r="AF1757" s="160">
        <f>IF($T$1579&gt;0,'Assumptions (Geo)'!AH$11*Model!$T$1579*AVERAGE('Assumptions (Geo)'!$P$2:$R$2)/10^9,0)</f>
        <v>0</v>
      </c>
      <c r="AG1757" s="160">
        <f>IF($T$1579&gt;0,'Assumptions (Geo)'!AI$11*Model!$T$1579*AVERAGE('Assumptions (Geo)'!$P$2:$R$2)/10^9,0)</f>
        <v>0</v>
      </c>
      <c r="AH1757" s="160">
        <f>IF($T$1579&gt;0,'Assumptions (Geo)'!AJ$11*Model!$T$1579*AVERAGE('Assumptions (Geo)'!$P$2:$R$2)/10^9,0)</f>
        <v>0</v>
      </c>
      <c r="AI1757" s="160">
        <f>IF($T$1579&gt;0,'Assumptions (Geo)'!AK$11*Model!$T$1579*AVERAGE('Assumptions (Geo)'!$P$2:$R$2)/10^9,0)</f>
        <v>0</v>
      </c>
      <c r="AJ1757" s="160"/>
      <c r="AK1757" s="160"/>
    </row>
    <row r="1758" ht="15.75" hidden="1" customHeight="1" outlineLevel="1">
      <c r="A1758" s="295"/>
      <c r="B1758" s="38"/>
      <c r="C1758" s="160"/>
      <c r="D1758" s="160"/>
      <c r="E1758" s="160"/>
      <c r="F1758" s="160"/>
      <c r="G1758" s="160"/>
      <c r="H1758" s="160"/>
      <c r="I1758" s="160"/>
      <c r="J1758" s="160"/>
      <c r="K1758" s="160"/>
      <c r="L1758" s="160"/>
      <c r="M1758" s="160"/>
      <c r="N1758" s="160"/>
      <c r="O1758" s="160"/>
      <c r="P1758" s="179"/>
      <c r="Q1758" s="160"/>
      <c r="R1758" s="177"/>
      <c r="S1758" s="177"/>
      <c r="T1758" s="177"/>
      <c r="U1758" s="160">
        <f>IF($U$1579&gt;0,'Assumptions (Geo)'!V$11*Model!$U$1579*AVERAGE('Assumptions (Geo)'!$Q$2:$S$2)/10^9,0)</f>
        <v>0</v>
      </c>
      <c r="V1758" s="160">
        <f>IF($U$1579&gt;0,'Assumptions (Geo)'!W$11*Model!$U$1579*AVERAGE('Assumptions (Geo)'!$Q$2:$S$2)/10^9,0)</f>
        <v>0</v>
      </c>
      <c r="W1758" s="160">
        <f>IF($U$1579&gt;0,'Assumptions (Geo)'!X$11*Model!$U$1579*AVERAGE('Assumptions (Geo)'!$Q$2:$S$2)/10^9,0)</f>
        <v>0</v>
      </c>
      <c r="X1758" s="160">
        <f>IF($U$1579&gt;0,'Assumptions (Geo)'!Y$11*Model!$U$1579*AVERAGE('Assumptions (Geo)'!$Q$2:$S$2)/10^9,0)</f>
        <v>0</v>
      </c>
      <c r="Y1758" s="160">
        <f>IF($U$1579&gt;0,'Assumptions (Geo)'!Z$11*Model!$U$1579*AVERAGE('Assumptions (Geo)'!$Q$2:$S$2)/10^9,0)</f>
        <v>0</v>
      </c>
      <c r="Z1758" s="160">
        <f>IF($U$1579&gt;0,'Assumptions (Geo)'!AA$11*Model!$U$1579*AVERAGE('Assumptions (Geo)'!$Q$2:$S$2)/10^9,0)</f>
        <v>0</v>
      </c>
      <c r="AA1758" s="160">
        <f>IF($U$1579&gt;0,'Assumptions (Geo)'!AB$11*Model!$U$1579*AVERAGE('Assumptions (Geo)'!$Q$2:$S$2)/10^9,0)</f>
        <v>0</v>
      </c>
      <c r="AB1758" s="160">
        <f>IF($U$1579&gt;0,'Assumptions (Geo)'!AC$11*Model!$U$1579*AVERAGE('Assumptions (Geo)'!$Q$2:$S$2)/10^9,0)</f>
        <v>0</v>
      </c>
      <c r="AC1758" s="160">
        <f>IF($U$1579&gt;0,'Assumptions (Geo)'!AD$11*Model!$U$1579*AVERAGE('Assumptions (Geo)'!$Q$2:$S$2)/10^9,0)</f>
        <v>0</v>
      </c>
      <c r="AD1758" s="160">
        <f>IF($U$1579&gt;0,'Assumptions (Geo)'!AE$11*Model!$U$1579*AVERAGE('Assumptions (Geo)'!$Q$2:$S$2)/10^9,0)</f>
        <v>0</v>
      </c>
      <c r="AE1758" s="160">
        <f>IF($U$1579&gt;0,'Assumptions (Geo)'!AF$11*Model!$U$1579*AVERAGE('Assumptions (Geo)'!$Q$2:$S$2)/10^9,0)</f>
        <v>0</v>
      </c>
      <c r="AF1758" s="160">
        <f>IF($U$1579&gt;0,'Assumptions (Geo)'!AG$11*Model!$U$1579*AVERAGE('Assumptions (Geo)'!$Q$2:$S$2)/10^9,0)</f>
        <v>0</v>
      </c>
      <c r="AG1758" s="160">
        <f>IF($U$1579&gt;0,'Assumptions (Geo)'!AH$11*Model!$U$1579*AVERAGE('Assumptions (Geo)'!$Q$2:$S$2)/10^9,0)</f>
        <v>0</v>
      </c>
      <c r="AH1758" s="160">
        <f>IF($U$1579&gt;0,'Assumptions (Geo)'!AI$11*Model!$U$1579*AVERAGE('Assumptions (Geo)'!$Q$2:$S$2)/10^9,0)</f>
        <v>0</v>
      </c>
      <c r="AI1758" s="160">
        <f>IF($U$1579&gt;0,'Assumptions (Geo)'!AJ$11*Model!$U$1579*AVERAGE('Assumptions (Geo)'!$Q$2:$S$2)/10^9,0)</f>
        <v>0</v>
      </c>
      <c r="AJ1758" s="160">
        <f>IF($U$1579&gt;0,'Assumptions (Geo)'!AK$11*Model!$U$1579*AVERAGE('Assumptions (Geo)'!$Q$2:$S$2)/10^9,0)</f>
        <v>0</v>
      </c>
      <c r="AK1758" s="160"/>
    </row>
    <row r="1759" ht="15.75" hidden="1" customHeight="1" outlineLevel="1">
      <c r="A1759" s="295"/>
      <c r="B1759" s="38"/>
      <c r="C1759" s="160"/>
      <c r="D1759" s="160"/>
      <c r="E1759" s="160"/>
      <c r="F1759" s="160"/>
      <c r="G1759" s="160"/>
      <c r="H1759" s="160"/>
      <c r="I1759" s="160"/>
      <c r="J1759" s="160"/>
      <c r="K1759" s="160"/>
      <c r="L1759" s="160"/>
      <c r="M1759" s="160"/>
      <c r="N1759" s="160"/>
      <c r="O1759" s="160"/>
      <c r="P1759" s="179"/>
      <c r="Q1759" s="160"/>
      <c r="R1759" s="177"/>
      <c r="S1759" s="177"/>
      <c r="T1759" s="177"/>
      <c r="U1759" s="160"/>
      <c r="V1759" s="160">
        <f>IF($V$1579&gt;0,'Assumptions (Geo)'!V$11*Model!$V$1579*AVERAGE('Assumptions (Geo)'!$R$2:$T$2)/10^9,0)</f>
        <v>0</v>
      </c>
      <c r="W1759" s="160">
        <f>IF($V$1579&gt;0,'Assumptions (Geo)'!W$11*Model!$V$1579*AVERAGE('Assumptions (Geo)'!$R$2:$T$2)/10^9,0)</f>
        <v>0</v>
      </c>
      <c r="X1759" s="160">
        <f>IF($V$1579&gt;0,'Assumptions (Geo)'!X$11*Model!$V$1579*AVERAGE('Assumptions (Geo)'!$R$2:$T$2)/10^9,0)</f>
        <v>0</v>
      </c>
      <c r="Y1759" s="160">
        <f>IF($V$1579&gt;0,'Assumptions (Geo)'!Y$11*Model!$V$1579*AVERAGE('Assumptions (Geo)'!$R$2:$T$2)/10^9,0)</f>
        <v>0</v>
      </c>
      <c r="Z1759" s="160">
        <f>IF($V$1579&gt;0,'Assumptions (Geo)'!Z$11*Model!$V$1579*AVERAGE('Assumptions (Geo)'!$R$2:$T$2)/10^9,0)</f>
        <v>0</v>
      </c>
      <c r="AA1759" s="160">
        <f>IF($V$1579&gt;0,'Assumptions (Geo)'!AA$11*Model!$V$1579*AVERAGE('Assumptions (Geo)'!$R$2:$T$2)/10^9,0)</f>
        <v>0</v>
      </c>
      <c r="AB1759" s="160">
        <f>IF($V$1579&gt;0,'Assumptions (Geo)'!AB$11*Model!$V$1579*AVERAGE('Assumptions (Geo)'!$R$2:$T$2)/10^9,0)</f>
        <v>0</v>
      </c>
      <c r="AC1759" s="160">
        <f>IF($V$1579&gt;0,'Assumptions (Geo)'!AC$11*Model!$V$1579*AVERAGE('Assumptions (Geo)'!$R$2:$T$2)/10^9,0)</f>
        <v>0</v>
      </c>
      <c r="AD1759" s="160">
        <f>IF($V$1579&gt;0,'Assumptions (Geo)'!AD$11*Model!$V$1579*AVERAGE('Assumptions (Geo)'!$R$2:$T$2)/10^9,0)</f>
        <v>0</v>
      </c>
      <c r="AE1759" s="160">
        <f>IF($V$1579&gt;0,'Assumptions (Geo)'!AE$11*Model!$V$1579*AVERAGE('Assumptions (Geo)'!$R$2:$T$2)/10^9,0)</f>
        <v>0</v>
      </c>
      <c r="AF1759" s="160">
        <f>IF($V$1579&gt;0,'Assumptions (Geo)'!AF$11*Model!$V$1579*AVERAGE('Assumptions (Geo)'!$R$2:$T$2)/10^9,0)</f>
        <v>0</v>
      </c>
      <c r="AG1759" s="160">
        <f>IF($V$1579&gt;0,'Assumptions (Geo)'!AG$11*Model!$V$1579*AVERAGE('Assumptions (Geo)'!$R$2:$T$2)/10^9,0)</f>
        <v>0</v>
      </c>
      <c r="AH1759" s="160">
        <f>IF($V$1579&gt;0,'Assumptions (Geo)'!AH$11*Model!$V$1579*AVERAGE('Assumptions (Geo)'!$R$2:$T$2)/10^9,0)</f>
        <v>0</v>
      </c>
      <c r="AI1759" s="160">
        <f>IF($V$1579&gt;0,'Assumptions (Geo)'!AI$11*Model!$V$1579*AVERAGE('Assumptions (Geo)'!$R$2:$T$2)/10^9,0)</f>
        <v>0</v>
      </c>
      <c r="AJ1759" s="160">
        <f>IF($V$1579&gt;0,'Assumptions (Geo)'!AJ$11*Model!$V$1579*AVERAGE('Assumptions (Geo)'!$R$2:$T$2)/10^9,0)</f>
        <v>0</v>
      </c>
      <c r="AK1759" s="160">
        <f>IF($V$1579&gt;0,'Assumptions (Geo)'!AK$11*Model!$V$1579*AVERAGE('Assumptions (Geo)'!$R$2:$T$2)/10^9,0)</f>
        <v>0</v>
      </c>
    </row>
    <row r="1760" ht="15.75" hidden="1" customHeight="1" outlineLevel="1">
      <c r="A1760" s="295"/>
      <c r="B1760" s="38"/>
      <c r="C1760" s="174"/>
      <c r="D1760" s="174"/>
      <c r="E1760" s="174"/>
      <c r="F1760" s="174"/>
      <c r="G1760" s="174"/>
      <c r="H1760" s="174"/>
      <c r="I1760" s="174"/>
      <c r="J1760" s="174"/>
      <c r="K1760" s="174"/>
      <c r="L1760" s="174"/>
      <c r="M1760" s="174"/>
      <c r="N1760" s="174"/>
      <c r="O1760" s="174"/>
      <c r="P1760" s="174"/>
      <c r="Q1760" s="174"/>
      <c r="R1760" s="174"/>
      <c r="S1760" s="174"/>
      <c r="T1760" s="174"/>
      <c r="U1760" s="174"/>
      <c r="V1760" s="174"/>
      <c r="W1760" s="160">
        <f>IF($W$1579&gt;0,'Assumptions (Geo)'!V11*Model!$W$1579*average('Assumptions (Geo)'!$S$2:$U$2)/10^9,0)</f>
        <v>0</v>
      </c>
      <c r="X1760" s="160">
        <f>IF($W$1579&gt;0,'Assumptions (Geo)'!W11*Model!$W$1579*average('Assumptions (Geo)'!$S$2:$U$2)/10^9,0)</f>
        <v>0</v>
      </c>
      <c r="Y1760" s="160">
        <f>IF($W$1579&gt;0,'Assumptions (Geo)'!X11*Model!$W$1579*average('Assumptions (Geo)'!$S$2:$U$2)/10^9,0)</f>
        <v>0</v>
      </c>
      <c r="Z1760" s="160">
        <f>IF($W$1579&gt;0,'Assumptions (Geo)'!Y11*Model!$W$1579*average('Assumptions (Geo)'!$S$2:$U$2)/10^9,0)</f>
        <v>0</v>
      </c>
      <c r="AA1760" s="160">
        <f>IF($W$1579&gt;0,'Assumptions (Geo)'!Z11*Model!$W$1579*average('Assumptions (Geo)'!$S$2:$U$2)/10^9,0)</f>
        <v>0</v>
      </c>
      <c r="AB1760" s="160">
        <f>IF($W$1579&gt;0,'Assumptions (Geo)'!AA11*Model!$W$1579*average('Assumptions (Geo)'!$S$2:$U$2)/10^9,0)</f>
        <v>0</v>
      </c>
      <c r="AC1760" s="160">
        <f>IF($W$1579&gt;0,'Assumptions (Geo)'!AB11*Model!$W$1579*average('Assumptions (Geo)'!$S$2:$U$2)/10^9,0)</f>
        <v>0</v>
      </c>
      <c r="AD1760" s="160">
        <f>IF($W$1579&gt;0,'Assumptions (Geo)'!AC11*Model!$W$1579*average('Assumptions (Geo)'!$S$2:$U$2)/10^9,0)</f>
        <v>0</v>
      </c>
      <c r="AE1760" s="160">
        <f>IF($W$1579&gt;0,'Assumptions (Geo)'!AD11*Model!$W$1579*average('Assumptions (Geo)'!$S$2:$U$2)/10^9,0)</f>
        <v>0</v>
      </c>
      <c r="AF1760" s="160">
        <f>IF($W$1579&gt;0,'Assumptions (Geo)'!AE11*Model!$W$1579*average('Assumptions (Geo)'!$S$2:$U$2)/10^9,0)</f>
        <v>0</v>
      </c>
      <c r="AG1760" s="160">
        <f>IF($W$1579&gt;0,'Assumptions (Geo)'!AF11*Model!$W$1579*average('Assumptions (Geo)'!$S$2:$U$2)/10^9,0)</f>
        <v>0</v>
      </c>
      <c r="AH1760" s="160">
        <f>IF($W$1579&gt;0,'Assumptions (Geo)'!AG11*Model!$W$1579*average('Assumptions (Geo)'!$S$2:$U$2)/10^9,0)</f>
        <v>0</v>
      </c>
      <c r="AI1760" s="160">
        <f>IF($W$1579&gt;0,'Assumptions (Geo)'!AH11*Model!$W$1579*average('Assumptions (Geo)'!$S$2:$U$2)/10^9,0)</f>
        <v>0</v>
      </c>
      <c r="AJ1760" s="160">
        <f>IF($W$1579&gt;0,'Assumptions (Geo)'!AI11*Model!$W$1579*average('Assumptions (Geo)'!$S$2:$U$2)/10^9,0)</f>
        <v>0</v>
      </c>
      <c r="AK1760" s="160">
        <f>IF($W$1579&gt;0,'Assumptions (Geo)'!AJ11*Model!$W$1579*average('Assumptions (Geo)'!$S$2:$U$2)/10^9,0)</f>
        <v>0</v>
      </c>
      <c r="AL1760" s="160">
        <f>IF($W$1579&gt;0,'Assumptions (Geo)'!AK11*Model!$W$1579*average('Assumptions (Geo)'!$S$2:$U$2)/10^9,0)</f>
        <v>0</v>
      </c>
      <c r="AM1760" s="160"/>
      <c r="AN1760" s="160"/>
      <c r="AO1760" s="160"/>
      <c r="AP1760" s="160"/>
      <c r="AQ1760" s="160"/>
      <c r="AR1760" s="160"/>
      <c r="AS1760" s="160"/>
      <c r="AT1760" s="160"/>
      <c r="AU1760" s="160"/>
      <c r="AV1760" s="160"/>
      <c r="AW1760" s="160"/>
      <c r="AX1760" s="160"/>
      <c r="AY1760" s="160"/>
      <c r="AZ1760" s="160"/>
      <c r="BA1760" s="160"/>
    </row>
    <row r="1761" ht="15.75" hidden="1" customHeight="1" outlineLevel="1">
      <c r="A1761" s="295"/>
      <c r="B1761" s="38"/>
      <c r="C1761" s="174"/>
      <c r="D1761" s="174"/>
      <c r="E1761" s="174"/>
      <c r="F1761" s="174"/>
      <c r="G1761" s="174"/>
      <c r="H1761" s="174"/>
      <c r="I1761" s="174"/>
      <c r="J1761" s="174"/>
      <c r="K1761" s="174"/>
      <c r="L1761" s="174"/>
      <c r="M1761" s="174"/>
      <c r="N1761" s="174"/>
      <c r="O1761" s="174"/>
      <c r="P1761" s="174"/>
      <c r="Q1761" s="174"/>
      <c r="R1761" s="174"/>
      <c r="S1761" s="174"/>
      <c r="T1761" s="174"/>
      <c r="U1761" s="174"/>
      <c r="V1761" s="174"/>
      <c r="W1761" s="160"/>
      <c r="X1761" s="160">
        <f>IF($X$1579&gt;0,'Assumptions (Geo)'!V11*Model!$X$1579*average('Assumptions (Geo)'!$T$2:$V$2)/10^9,0)</f>
        <v>0</v>
      </c>
      <c r="Y1761" s="160">
        <f>IF($X$1579&gt;0,'Assumptions (Geo)'!W11*Model!$X$1579*average('Assumptions (Geo)'!$T$2:$V$2)/10^9,0)</f>
        <v>0</v>
      </c>
      <c r="Z1761" s="160">
        <f>IF($X$1579&gt;0,'Assumptions (Geo)'!X11*Model!$X$1579*average('Assumptions (Geo)'!$T$2:$V$2)/10^9,0)</f>
        <v>0</v>
      </c>
      <c r="AA1761" s="160">
        <f>IF($X$1579&gt;0,'Assumptions (Geo)'!Y11*Model!$X$1579*average('Assumptions (Geo)'!$T$2:$V$2)/10^9,0)</f>
        <v>0</v>
      </c>
      <c r="AB1761" s="160">
        <f>IF($X$1579&gt;0,'Assumptions (Geo)'!Z11*Model!$X$1579*average('Assumptions (Geo)'!$T$2:$V$2)/10^9,0)</f>
        <v>0</v>
      </c>
      <c r="AC1761" s="160">
        <f>IF($X$1579&gt;0,'Assumptions (Geo)'!AA11*Model!$X$1579*average('Assumptions (Geo)'!$T$2:$V$2)/10^9,0)</f>
        <v>0</v>
      </c>
      <c r="AD1761" s="160">
        <f>IF($X$1579&gt;0,'Assumptions (Geo)'!AB11*Model!$X$1579*average('Assumptions (Geo)'!$T$2:$V$2)/10^9,0)</f>
        <v>0</v>
      </c>
      <c r="AE1761" s="160">
        <f>IF($X$1579&gt;0,'Assumptions (Geo)'!AC11*Model!$X$1579*average('Assumptions (Geo)'!$T$2:$V$2)/10^9,0)</f>
        <v>0</v>
      </c>
      <c r="AF1761" s="160">
        <f>IF($X$1579&gt;0,'Assumptions (Geo)'!AD11*Model!$X$1579*average('Assumptions (Geo)'!$T$2:$V$2)/10^9,0)</f>
        <v>0</v>
      </c>
      <c r="AG1761" s="160">
        <f>IF($X$1579&gt;0,'Assumptions (Geo)'!AE11*Model!$X$1579*average('Assumptions (Geo)'!$T$2:$V$2)/10^9,0)</f>
        <v>0</v>
      </c>
      <c r="AH1761" s="160">
        <f>IF($X$1579&gt;0,'Assumptions (Geo)'!AF11*Model!$X$1579*average('Assumptions (Geo)'!$T$2:$V$2)/10^9,0)</f>
        <v>0</v>
      </c>
      <c r="AI1761" s="160">
        <f>IF($X$1579&gt;0,'Assumptions (Geo)'!AG11*Model!$X$1579*average('Assumptions (Geo)'!$T$2:$V$2)/10^9,0)</f>
        <v>0</v>
      </c>
      <c r="AJ1761" s="160">
        <f>IF($X$1579&gt;0,'Assumptions (Geo)'!AH11*Model!$X$1579*average('Assumptions (Geo)'!$T$2:$V$2)/10^9,0)</f>
        <v>0</v>
      </c>
      <c r="AK1761" s="160">
        <f>IF($X$1579&gt;0,'Assumptions (Geo)'!AI11*Model!$X$1579*average('Assumptions (Geo)'!$T$2:$V$2)/10^9,0)</f>
        <v>0</v>
      </c>
      <c r="AL1761" s="160">
        <f>IF($X$1579&gt;0,'Assumptions (Geo)'!AJ11*Model!$X$1579*average('Assumptions (Geo)'!$T$2:$V$2)/10^9,0)</f>
        <v>0</v>
      </c>
      <c r="AM1761" s="160">
        <f>IF($X$1579&gt;0,'Assumptions (Geo)'!AK11*Model!$X$1579*average('Assumptions (Geo)'!$T$2:$V$2)/10^9,0)</f>
        <v>0</v>
      </c>
      <c r="AN1761" s="160"/>
      <c r="AO1761" s="160"/>
      <c r="AP1761" s="160"/>
      <c r="AQ1761" s="160"/>
      <c r="AR1761" s="160"/>
      <c r="AS1761" s="160"/>
      <c r="AT1761" s="160"/>
      <c r="AU1761" s="160"/>
      <c r="AV1761" s="160"/>
      <c r="AW1761" s="160"/>
      <c r="AX1761" s="160"/>
      <c r="AY1761" s="160"/>
      <c r="AZ1761" s="160"/>
      <c r="BA1761" s="160"/>
    </row>
    <row r="1762" ht="15.75" hidden="1" customHeight="1" outlineLevel="1">
      <c r="A1762" s="295"/>
      <c r="B1762" s="38"/>
      <c r="C1762" s="174"/>
      <c r="D1762" s="174"/>
      <c r="E1762" s="174"/>
      <c r="F1762" s="174"/>
      <c r="G1762" s="174"/>
      <c r="H1762" s="174"/>
      <c r="I1762" s="174"/>
      <c r="J1762" s="174"/>
      <c r="K1762" s="174"/>
      <c r="L1762" s="174"/>
      <c r="M1762" s="174"/>
      <c r="N1762" s="174"/>
      <c r="O1762" s="174"/>
      <c r="P1762" s="174"/>
      <c r="Q1762" s="174"/>
      <c r="R1762" s="174"/>
      <c r="S1762" s="174"/>
      <c r="T1762" s="174"/>
      <c r="U1762" s="174"/>
      <c r="V1762" s="174"/>
      <c r="W1762" s="160"/>
      <c r="X1762" s="160"/>
      <c r="Y1762" s="160">
        <f>IF($Y$1579&gt;0,'Assumptions (Geo)'!V11*Model!$Y$1579*AVERAGE('Assumptions (Geo)'!$U$2:$W$2)/10^9,0)</f>
        <v>0</v>
      </c>
      <c r="Z1762" s="160">
        <f>IF($Y$1579&gt;0,'Assumptions (Geo)'!W11*Model!$Y$1579*AVERAGE('Assumptions (Geo)'!$U$2:$W$2)/10^9,0)</f>
        <v>0</v>
      </c>
      <c r="AA1762" s="160">
        <f>IF($Y$1579&gt;0,'Assumptions (Geo)'!X11*Model!$Y$1579*AVERAGE('Assumptions (Geo)'!$U$2:$W$2)/10^9,0)</f>
        <v>0</v>
      </c>
      <c r="AB1762" s="160">
        <f>IF($Y$1579&gt;0,'Assumptions (Geo)'!Y11*Model!$Y$1579*AVERAGE('Assumptions (Geo)'!$U$2:$W$2)/10^9,0)</f>
        <v>0</v>
      </c>
      <c r="AC1762" s="160">
        <f>IF($Y$1579&gt;0,'Assumptions (Geo)'!Z11*Model!$Y$1579*AVERAGE('Assumptions (Geo)'!$U$2:$W$2)/10^9,0)</f>
        <v>0</v>
      </c>
      <c r="AD1762" s="160">
        <f>IF($Y$1579&gt;0,'Assumptions (Geo)'!AA11*Model!$Y$1579*AVERAGE('Assumptions (Geo)'!$U$2:$W$2)/10^9,0)</f>
        <v>0</v>
      </c>
      <c r="AE1762" s="160">
        <f>IF($Y$1579&gt;0,'Assumptions (Geo)'!AB11*Model!$Y$1579*AVERAGE('Assumptions (Geo)'!$U$2:$W$2)/10^9,0)</f>
        <v>0</v>
      </c>
      <c r="AF1762" s="160">
        <f>IF($Y$1579&gt;0,'Assumptions (Geo)'!AC11*Model!$Y$1579*AVERAGE('Assumptions (Geo)'!$U$2:$W$2)/10^9,0)</f>
        <v>0</v>
      </c>
      <c r="AG1762" s="160">
        <f>IF($Y$1579&gt;0,'Assumptions (Geo)'!AD11*Model!$Y$1579*AVERAGE('Assumptions (Geo)'!$U$2:$W$2)/10^9,0)</f>
        <v>0</v>
      </c>
      <c r="AH1762" s="160">
        <f>IF($Y$1579&gt;0,'Assumptions (Geo)'!AE11*Model!$Y$1579*AVERAGE('Assumptions (Geo)'!$U$2:$W$2)/10^9,0)</f>
        <v>0</v>
      </c>
      <c r="AI1762" s="160">
        <f>IF($Y$1579&gt;0,'Assumptions (Geo)'!AF11*Model!$Y$1579*AVERAGE('Assumptions (Geo)'!$U$2:$W$2)/10^9,0)</f>
        <v>0</v>
      </c>
      <c r="AJ1762" s="160">
        <f>IF($Y$1579&gt;0,'Assumptions (Geo)'!AG11*Model!$Y$1579*AVERAGE('Assumptions (Geo)'!$U$2:$W$2)/10^9,0)</f>
        <v>0</v>
      </c>
      <c r="AK1762" s="160">
        <f>IF($Y$1579&gt;0,'Assumptions (Geo)'!AH11*Model!$Y$1579*AVERAGE('Assumptions (Geo)'!$U$2:$W$2)/10^9,0)</f>
        <v>0</v>
      </c>
      <c r="AL1762" s="160">
        <f>IF($Y$1579&gt;0,'Assumptions (Geo)'!AI11*Model!$Y$1579*AVERAGE('Assumptions (Geo)'!$U$2:$W$2)/10^9,0)</f>
        <v>0</v>
      </c>
      <c r="AM1762" s="160">
        <f>IF($Y$1579&gt;0,'Assumptions (Geo)'!AJ11*Model!$Y$1579*AVERAGE('Assumptions (Geo)'!$U$2:$W$2)/10^9,0)</f>
        <v>0</v>
      </c>
      <c r="AN1762" s="160">
        <f>IF($Y$1579&gt;0,'Assumptions (Geo)'!AK11*Model!$Y$1579*AVERAGE('Assumptions (Geo)'!$U$2:$W$2)/10^9,0)</f>
        <v>0</v>
      </c>
      <c r="AO1762" s="160"/>
      <c r="AP1762" s="160"/>
      <c r="AQ1762" s="160"/>
      <c r="AR1762" s="160"/>
      <c r="AS1762" s="160"/>
      <c r="AT1762" s="160"/>
      <c r="AU1762" s="160"/>
      <c r="AV1762" s="160"/>
      <c r="AW1762" s="160"/>
      <c r="AX1762" s="160"/>
      <c r="AY1762" s="160"/>
      <c r="AZ1762" s="160"/>
      <c r="BA1762" s="160"/>
    </row>
    <row r="1763" ht="15.75" hidden="1" customHeight="1" outlineLevel="1">
      <c r="A1763" s="295"/>
      <c r="B1763" s="38"/>
      <c r="C1763" s="174"/>
      <c r="D1763" s="174"/>
      <c r="E1763" s="174"/>
      <c r="F1763" s="174"/>
      <c r="G1763" s="174"/>
      <c r="H1763" s="174"/>
      <c r="I1763" s="174"/>
      <c r="J1763" s="174"/>
      <c r="K1763" s="174"/>
      <c r="L1763" s="174"/>
      <c r="M1763" s="174"/>
      <c r="N1763" s="174"/>
      <c r="O1763" s="174"/>
      <c r="P1763" s="174"/>
      <c r="Q1763" s="174"/>
      <c r="R1763" s="174"/>
      <c r="S1763" s="174"/>
      <c r="T1763" s="174"/>
      <c r="U1763" s="174"/>
      <c r="V1763" s="174"/>
      <c r="W1763" s="160"/>
      <c r="X1763" s="160"/>
      <c r="Y1763" s="160"/>
      <c r="Z1763" s="160">
        <f>IF($Z$1579&gt;0,'Assumptions (Geo)'!V11*Model!$Z$1579*AVERAGE('Assumptions (Geo)'!$V$2:$X$2)/10^9,0)</f>
        <v>0</v>
      </c>
      <c r="AA1763" s="160">
        <f>IF($Z$1579&gt;0,'Assumptions (Geo)'!W11*Model!$Z$1579*AVERAGE('Assumptions (Geo)'!$V$2:$X$2)/10^9,0)</f>
        <v>0</v>
      </c>
      <c r="AB1763" s="160">
        <f>IF($Z$1579&gt;0,'Assumptions (Geo)'!X11*Model!$Z$1579*AVERAGE('Assumptions (Geo)'!$V$2:$X$2)/10^9,0)</f>
        <v>0</v>
      </c>
      <c r="AC1763" s="160">
        <f>IF($Z$1579&gt;0,'Assumptions (Geo)'!Y11*Model!$Z$1579*AVERAGE('Assumptions (Geo)'!$V$2:$X$2)/10^9,0)</f>
        <v>0</v>
      </c>
      <c r="AD1763" s="160">
        <f>IF($Z$1579&gt;0,'Assumptions (Geo)'!Z11*Model!$Z$1579*AVERAGE('Assumptions (Geo)'!$V$2:$X$2)/10^9,0)</f>
        <v>0</v>
      </c>
      <c r="AE1763" s="160">
        <f>IF($Z$1579&gt;0,'Assumptions (Geo)'!AA11*Model!$Z$1579*AVERAGE('Assumptions (Geo)'!$V$2:$X$2)/10^9,0)</f>
        <v>0</v>
      </c>
      <c r="AF1763" s="160">
        <f>IF($Z$1579&gt;0,'Assumptions (Geo)'!AB11*Model!$Z$1579*AVERAGE('Assumptions (Geo)'!$V$2:$X$2)/10^9,0)</f>
        <v>0</v>
      </c>
      <c r="AG1763" s="160">
        <f>IF($Z$1579&gt;0,'Assumptions (Geo)'!AC11*Model!$Z$1579*AVERAGE('Assumptions (Geo)'!$V$2:$X$2)/10^9,0)</f>
        <v>0</v>
      </c>
      <c r="AH1763" s="160">
        <f>IF($Z$1579&gt;0,'Assumptions (Geo)'!AD11*Model!$Z$1579*AVERAGE('Assumptions (Geo)'!$V$2:$X$2)/10^9,0)</f>
        <v>0</v>
      </c>
      <c r="AI1763" s="160">
        <f>IF($Z$1579&gt;0,'Assumptions (Geo)'!AE11*Model!$Z$1579*AVERAGE('Assumptions (Geo)'!$V$2:$X$2)/10^9,0)</f>
        <v>0</v>
      </c>
      <c r="AJ1763" s="160">
        <f>IF($Z$1579&gt;0,'Assumptions (Geo)'!AF11*Model!$Z$1579*AVERAGE('Assumptions (Geo)'!$V$2:$X$2)/10^9,0)</f>
        <v>0</v>
      </c>
      <c r="AK1763" s="160">
        <f>IF($Z$1579&gt;0,'Assumptions (Geo)'!AG11*Model!$Z$1579*AVERAGE('Assumptions (Geo)'!$V$2:$X$2)/10^9,0)</f>
        <v>0</v>
      </c>
      <c r="AL1763" s="160">
        <f>IF($Z$1579&gt;0,'Assumptions (Geo)'!AH11*Model!$Z$1579*AVERAGE('Assumptions (Geo)'!$V$2:$X$2)/10^9,0)</f>
        <v>0</v>
      </c>
      <c r="AM1763" s="160">
        <f>IF($Z$1579&gt;0,'Assumptions (Geo)'!AI11*Model!$Z$1579*AVERAGE('Assumptions (Geo)'!$V$2:$X$2)/10^9,0)</f>
        <v>0</v>
      </c>
      <c r="AN1763" s="160">
        <f>IF($Z$1579&gt;0,'Assumptions (Geo)'!AJ11*Model!$Z$1579*AVERAGE('Assumptions (Geo)'!$V$2:$X$2)/10^9,0)</f>
        <v>0</v>
      </c>
      <c r="AO1763" s="160">
        <f>IF($Z$1579&gt;0,'Assumptions (Geo)'!AK11*Model!$Z$1579*AVERAGE('Assumptions (Geo)'!$V$2:$X$2)/10^9,0)</f>
        <v>0</v>
      </c>
      <c r="AP1763" s="160"/>
      <c r="AQ1763" s="160"/>
      <c r="AR1763" s="160"/>
      <c r="AS1763" s="160"/>
      <c r="AT1763" s="160"/>
      <c r="AU1763" s="160"/>
      <c r="AV1763" s="160"/>
      <c r="AW1763" s="160"/>
      <c r="AX1763" s="160"/>
      <c r="AY1763" s="160"/>
      <c r="AZ1763" s="160"/>
      <c r="BA1763" s="160"/>
    </row>
    <row r="1764" ht="15.75" hidden="1" customHeight="1" outlineLevel="1">
      <c r="A1764" s="295"/>
      <c r="B1764" s="38"/>
      <c r="C1764" s="174"/>
      <c r="D1764" s="174"/>
      <c r="E1764" s="174"/>
      <c r="F1764" s="174"/>
      <c r="G1764" s="174"/>
      <c r="H1764" s="174"/>
      <c r="I1764" s="174"/>
      <c r="J1764" s="174"/>
      <c r="K1764" s="174"/>
      <c r="L1764" s="174"/>
      <c r="M1764" s="174"/>
      <c r="N1764" s="174"/>
      <c r="O1764" s="174"/>
      <c r="P1764" s="174"/>
      <c r="Q1764" s="174"/>
      <c r="R1764" s="174"/>
      <c r="S1764" s="174"/>
      <c r="T1764" s="174"/>
      <c r="U1764" s="174"/>
      <c r="V1764" s="174"/>
      <c r="W1764" s="160"/>
      <c r="X1764" s="160"/>
      <c r="Y1764" s="160"/>
      <c r="Z1764" s="160"/>
      <c r="AA1764" s="160">
        <f>IF($AA$1579&gt;0,'Assumptions (Geo)'!V11*Model!$AA$1579*AVERAGE('Assumptions (Geo)'!$W$2:$Y$2)/10^9,0)</f>
        <v>0</v>
      </c>
      <c r="AB1764" s="160">
        <f>IF($AA$1579&gt;0,'Assumptions (Geo)'!W11*Model!$AA$1579*AVERAGE('Assumptions (Geo)'!$W$2:$Y$2)/10^9,0)</f>
        <v>0</v>
      </c>
      <c r="AC1764" s="160">
        <f>IF($AA$1579&gt;0,'Assumptions (Geo)'!X11*Model!$AA$1579*AVERAGE('Assumptions (Geo)'!$W$2:$Y$2)/10^9,0)</f>
        <v>0</v>
      </c>
      <c r="AD1764" s="160">
        <f>IF($AA$1579&gt;0,'Assumptions (Geo)'!Y11*Model!$AA$1579*AVERAGE('Assumptions (Geo)'!$W$2:$Y$2)/10^9,0)</f>
        <v>0</v>
      </c>
      <c r="AE1764" s="160">
        <f>IF($AA$1579&gt;0,'Assumptions (Geo)'!Z11*Model!$AA$1579*AVERAGE('Assumptions (Geo)'!$W$2:$Y$2)/10^9,0)</f>
        <v>0</v>
      </c>
      <c r="AF1764" s="160">
        <f>IF($AA$1579&gt;0,'Assumptions (Geo)'!AA11*Model!$AA$1579*AVERAGE('Assumptions (Geo)'!$W$2:$Y$2)/10^9,0)</f>
        <v>0</v>
      </c>
      <c r="AG1764" s="160">
        <f>IF($AA$1579&gt;0,'Assumptions (Geo)'!AB11*Model!$AA$1579*AVERAGE('Assumptions (Geo)'!$W$2:$Y$2)/10^9,0)</f>
        <v>0</v>
      </c>
      <c r="AH1764" s="160">
        <f>IF($AA$1579&gt;0,'Assumptions (Geo)'!AC11*Model!$AA$1579*AVERAGE('Assumptions (Geo)'!$W$2:$Y$2)/10^9,0)</f>
        <v>0</v>
      </c>
      <c r="AI1764" s="160">
        <f>IF($AA$1579&gt;0,'Assumptions (Geo)'!AD11*Model!$AA$1579*AVERAGE('Assumptions (Geo)'!$W$2:$Y$2)/10^9,0)</f>
        <v>0</v>
      </c>
      <c r="AJ1764" s="160">
        <f>IF($AA$1579&gt;0,'Assumptions (Geo)'!AE11*Model!$AA$1579*AVERAGE('Assumptions (Geo)'!$W$2:$Y$2)/10^9,0)</f>
        <v>0</v>
      </c>
      <c r="AK1764" s="160">
        <f>IF($AA$1579&gt;0,'Assumptions (Geo)'!AF11*Model!$AA$1579*AVERAGE('Assumptions (Geo)'!$W$2:$Y$2)/10^9,0)</f>
        <v>0</v>
      </c>
      <c r="AL1764" s="160">
        <f>IF($AA$1579&gt;0,'Assumptions (Geo)'!AG11*Model!$AA$1579*AVERAGE('Assumptions (Geo)'!$W$2:$Y$2)/10^9,0)</f>
        <v>0</v>
      </c>
      <c r="AM1764" s="160">
        <f>IF($AA$1579&gt;0,'Assumptions (Geo)'!AH11*Model!$AA$1579*AVERAGE('Assumptions (Geo)'!$W$2:$Y$2)/10^9,0)</f>
        <v>0</v>
      </c>
      <c r="AN1764" s="160">
        <f>IF($AA$1579&gt;0,'Assumptions (Geo)'!AI11*Model!$AA$1579*AVERAGE('Assumptions (Geo)'!$W$2:$Y$2)/10^9,0)</f>
        <v>0</v>
      </c>
      <c r="AO1764" s="160">
        <f>IF($AA$1579&gt;0,'Assumptions (Geo)'!AJ11*Model!$AA$1579*AVERAGE('Assumptions (Geo)'!$W$2:$Y$2)/10^9,0)</f>
        <v>0</v>
      </c>
      <c r="AP1764" s="160">
        <f>IF($AA$1579&gt;0,'Assumptions (Geo)'!AK11*Model!$AA$1579*AVERAGE('Assumptions (Geo)'!$W$2:$Y$2)/10^9,0)</f>
        <v>0</v>
      </c>
      <c r="AQ1764" s="160"/>
      <c r="AR1764" s="160"/>
      <c r="AS1764" s="160"/>
      <c r="AT1764" s="160"/>
      <c r="AU1764" s="160"/>
      <c r="AV1764" s="160"/>
      <c r="AW1764" s="160"/>
      <c r="AX1764" s="160"/>
      <c r="AY1764" s="160"/>
      <c r="AZ1764" s="160"/>
      <c r="BA1764" s="160"/>
    </row>
    <row r="1765" ht="15.75" hidden="1" customHeight="1" outlineLevel="1">
      <c r="A1765" s="295"/>
      <c r="B1765" s="38"/>
      <c r="C1765" s="174"/>
      <c r="D1765" s="174"/>
      <c r="E1765" s="174"/>
      <c r="F1765" s="174"/>
      <c r="G1765" s="174"/>
      <c r="H1765" s="174"/>
      <c r="I1765" s="174"/>
      <c r="J1765" s="174"/>
      <c r="K1765" s="174"/>
      <c r="L1765" s="174"/>
      <c r="M1765" s="174"/>
      <c r="N1765" s="174"/>
      <c r="O1765" s="174"/>
      <c r="P1765" s="174"/>
      <c r="Q1765" s="174"/>
      <c r="R1765" s="174"/>
      <c r="S1765" s="174"/>
      <c r="T1765" s="174"/>
      <c r="U1765" s="174"/>
      <c r="V1765" s="174"/>
      <c r="W1765" s="160"/>
      <c r="X1765" s="160"/>
      <c r="Y1765" s="160"/>
      <c r="Z1765" s="160"/>
      <c r="AA1765" s="160"/>
      <c r="AB1765" s="160">
        <f>IF($AB$1579&gt;0,'Assumptions (Geo)'!V11*Model!$AB$1579*AVERAGE('Assumptions (Geo)'!$X$2:$Z$2)/10^9,0)</f>
        <v>0</v>
      </c>
      <c r="AC1765" s="160">
        <f>IF($AB$1579&gt;0,'Assumptions (Geo)'!W11*Model!$AB$1579*AVERAGE('Assumptions (Geo)'!$X$2:$Z$2)/10^9,0)</f>
        <v>0</v>
      </c>
      <c r="AD1765" s="160">
        <f>IF($AB$1579&gt;0,'Assumptions (Geo)'!X11*Model!$AB$1579*AVERAGE('Assumptions (Geo)'!$X$2:$Z$2)/10^9,0)</f>
        <v>0</v>
      </c>
      <c r="AE1765" s="160">
        <f>IF($AB$1579&gt;0,'Assumptions (Geo)'!Y11*Model!$AB$1579*AVERAGE('Assumptions (Geo)'!$X$2:$Z$2)/10^9,0)</f>
        <v>0</v>
      </c>
      <c r="AF1765" s="160">
        <f>IF($AB$1579&gt;0,'Assumptions (Geo)'!Z11*Model!$AB$1579*AVERAGE('Assumptions (Geo)'!$X$2:$Z$2)/10^9,0)</f>
        <v>0</v>
      </c>
      <c r="AG1765" s="160">
        <f>IF($AB$1579&gt;0,'Assumptions (Geo)'!AA11*Model!$AB$1579*AVERAGE('Assumptions (Geo)'!$X$2:$Z$2)/10^9,0)</f>
        <v>0</v>
      </c>
      <c r="AH1765" s="160">
        <f>IF($AB$1579&gt;0,'Assumptions (Geo)'!AB11*Model!$AB$1579*AVERAGE('Assumptions (Geo)'!$X$2:$Z$2)/10^9,0)</f>
        <v>0</v>
      </c>
      <c r="AI1765" s="160">
        <f>IF($AB$1579&gt;0,'Assumptions (Geo)'!AC11*Model!$AB$1579*AVERAGE('Assumptions (Geo)'!$X$2:$Z$2)/10^9,0)</f>
        <v>0</v>
      </c>
      <c r="AJ1765" s="160">
        <f>IF($AB$1579&gt;0,'Assumptions (Geo)'!AD11*Model!$AB$1579*AVERAGE('Assumptions (Geo)'!$X$2:$Z$2)/10^9,0)</f>
        <v>0</v>
      </c>
      <c r="AK1765" s="160">
        <f>IF($AB$1579&gt;0,'Assumptions (Geo)'!AE11*Model!$AB$1579*AVERAGE('Assumptions (Geo)'!$X$2:$Z$2)/10^9,0)</f>
        <v>0</v>
      </c>
      <c r="AL1765" s="160">
        <f>IF($AB$1579&gt;0,'Assumptions (Geo)'!AF11*Model!$AB$1579*AVERAGE('Assumptions (Geo)'!$X$2:$Z$2)/10^9,0)</f>
        <v>0</v>
      </c>
      <c r="AM1765" s="160">
        <f>IF($AB$1579&gt;0,'Assumptions (Geo)'!AG11*Model!$AB$1579*AVERAGE('Assumptions (Geo)'!$X$2:$Z$2)/10^9,0)</f>
        <v>0</v>
      </c>
      <c r="AN1765" s="160">
        <f>IF($AB$1579&gt;0,'Assumptions (Geo)'!AH11*Model!$AB$1579*AVERAGE('Assumptions (Geo)'!$X$2:$Z$2)/10^9,0)</f>
        <v>0</v>
      </c>
      <c r="AO1765" s="160">
        <f>IF($AB$1579&gt;0,'Assumptions (Geo)'!AI11*Model!$AB$1579*AVERAGE('Assumptions (Geo)'!$X$2:$Z$2)/10^9,0)</f>
        <v>0</v>
      </c>
      <c r="AP1765" s="160">
        <f>IF($AB$1579&gt;0,'Assumptions (Geo)'!AJ11*Model!$AB$1579*AVERAGE('Assumptions (Geo)'!$X$2:$Z$2)/10^9,0)</f>
        <v>0</v>
      </c>
      <c r="AQ1765" s="160">
        <f>IF($AB$1579&gt;0,'Assumptions (Geo)'!AK11*Model!$AB$1579*AVERAGE('Assumptions (Geo)'!$X$2:$Z$2)/10^9,0)</f>
        <v>0</v>
      </c>
      <c r="AR1765" s="160"/>
      <c r="AS1765" s="160"/>
      <c r="AT1765" s="160"/>
      <c r="AU1765" s="160"/>
      <c r="AV1765" s="160"/>
      <c r="AW1765" s="160"/>
      <c r="AX1765" s="160"/>
      <c r="AY1765" s="160"/>
      <c r="AZ1765" s="160"/>
      <c r="BA1765" s="160"/>
    </row>
    <row r="1766" ht="15.75" hidden="1" customHeight="1" outlineLevel="1">
      <c r="A1766" s="295"/>
      <c r="B1766" s="38"/>
      <c r="C1766" s="174"/>
      <c r="D1766" s="174"/>
      <c r="E1766" s="174"/>
      <c r="F1766" s="174"/>
      <c r="G1766" s="174"/>
      <c r="H1766" s="174"/>
      <c r="I1766" s="174"/>
      <c r="J1766" s="174"/>
      <c r="K1766" s="174"/>
      <c r="L1766" s="174"/>
      <c r="M1766" s="174"/>
      <c r="N1766" s="174"/>
      <c r="O1766" s="174"/>
      <c r="P1766" s="174"/>
      <c r="Q1766" s="174"/>
      <c r="R1766" s="174"/>
      <c r="S1766" s="174"/>
      <c r="T1766" s="174"/>
      <c r="U1766" s="174"/>
      <c r="V1766" s="174"/>
      <c r="W1766" s="160"/>
      <c r="X1766" s="160"/>
      <c r="Y1766" s="160"/>
      <c r="Z1766" s="160"/>
      <c r="AA1766" s="160"/>
      <c r="AB1766" s="160"/>
      <c r="AC1766" s="160">
        <f>IF($AC$1579&gt;0,'Assumptions (Geo)'!V11*Model!$AC$1579*AVERAGE('Assumptions (Geo)'!$Y$2:$AA$2)/10^9,0)</f>
        <v>0</v>
      </c>
      <c r="AD1766" s="160">
        <f>IF($AC$1579&gt;0,'Assumptions (Geo)'!W11*Model!$AC$1579*AVERAGE('Assumptions (Geo)'!$Y$2:$AA$2)/10^9,0)</f>
        <v>0</v>
      </c>
      <c r="AE1766" s="160">
        <f>IF($AC$1579&gt;0,'Assumptions (Geo)'!X11*Model!$AC$1579*AVERAGE('Assumptions (Geo)'!$Y$2:$AA$2)/10^9,0)</f>
        <v>0</v>
      </c>
      <c r="AF1766" s="160">
        <f>IF($AC$1579&gt;0,'Assumptions (Geo)'!Y11*Model!$AC$1579*AVERAGE('Assumptions (Geo)'!$Y$2:$AA$2)/10^9,0)</f>
        <v>0</v>
      </c>
      <c r="AG1766" s="160">
        <f>IF($AC$1579&gt;0,'Assumptions (Geo)'!Z11*Model!$AC$1579*AVERAGE('Assumptions (Geo)'!$Y$2:$AA$2)/10^9,0)</f>
        <v>0</v>
      </c>
      <c r="AH1766" s="160">
        <f>IF($AC$1579&gt;0,'Assumptions (Geo)'!AA11*Model!$AC$1579*AVERAGE('Assumptions (Geo)'!$Y$2:$AA$2)/10^9,0)</f>
        <v>0</v>
      </c>
      <c r="AI1766" s="160">
        <f>IF($AC$1579&gt;0,'Assumptions (Geo)'!AB11*Model!$AC$1579*AVERAGE('Assumptions (Geo)'!$Y$2:$AA$2)/10^9,0)</f>
        <v>0</v>
      </c>
      <c r="AJ1766" s="160">
        <f>IF($AC$1579&gt;0,'Assumptions (Geo)'!AC11*Model!$AC$1579*AVERAGE('Assumptions (Geo)'!$Y$2:$AA$2)/10^9,0)</f>
        <v>0</v>
      </c>
      <c r="AK1766" s="160">
        <f>IF($AC$1579&gt;0,'Assumptions (Geo)'!AD11*Model!$AC$1579*AVERAGE('Assumptions (Geo)'!$Y$2:$AA$2)/10^9,0)</f>
        <v>0</v>
      </c>
      <c r="AL1766" s="160">
        <f>IF($AC$1579&gt;0,'Assumptions (Geo)'!AE11*Model!$AC$1579*AVERAGE('Assumptions (Geo)'!$Y$2:$AA$2)/10^9,0)</f>
        <v>0</v>
      </c>
      <c r="AM1766" s="160">
        <f>IF($AC$1579&gt;0,'Assumptions (Geo)'!AF11*Model!$AC$1579*AVERAGE('Assumptions (Geo)'!$Y$2:$AA$2)/10^9,0)</f>
        <v>0</v>
      </c>
      <c r="AN1766" s="160">
        <f>IF($AC$1579&gt;0,'Assumptions (Geo)'!AG11*Model!$AC$1579*AVERAGE('Assumptions (Geo)'!$Y$2:$AA$2)/10^9,0)</f>
        <v>0</v>
      </c>
      <c r="AO1766" s="160">
        <f>IF($AC$1579&gt;0,'Assumptions (Geo)'!AH11*Model!$AC$1579*AVERAGE('Assumptions (Geo)'!$Y$2:$AA$2)/10^9,0)</f>
        <v>0</v>
      </c>
      <c r="AP1766" s="160">
        <f>IF($AC$1579&gt;0,'Assumptions (Geo)'!AI11*Model!$AC$1579*AVERAGE('Assumptions (Geo)'!$Y$2:$AA$2)/10^9,0)</f>
        <v>0</v>
      </c>
      <c r="AQ1766" s="160">
        <f>IF($AC$1579&gt;0,'Assumptions (Geo)'!AJ11*Model!$AC$1579*AVERAGE('Assumptions (Geo)'!$Y$2:$AA$2)/10^9,0)</f>
        <v>0</v>
      </c>
      <c r="AR1766" s="160">
        <f>IF($AC$1579&gt;0,'Assumptions (Geo)'!AK11*Model!$AC$1579*AVERAGE('Assumptions (Geo)'!$Y$2:$AA$2)/10^9,0)</f>
        <v>0</v>
      </c>
      <c r="AS1766" s="160"/>
      <c r="AT1766" s="160"/>
      <c r="AU1766" s="160"/>
      <c r="AV1766" s="160"/>
      <c r="AW1766" s="160"/>
      <c r="AX1766" s="160"/>
      <c r="AY1766" s="160"/>
      <c r="AZ1766" s="160"/>
      <c r="BA1766" s="160"/>
    </row>
    <row r="1767" ht="15.75" hidden="1" customHeight="1" outlineLevel="1">
      <c r="A1767" s="295"/>
      <c r="B1767" s="38"/>
      <c r="C1767" s="174"/>
      <c r="D1767" s="174"/>
      <c r="E1767" s="174"/>
      <c r="F1767" s="174"/>
      <c r="G1767" s="174"/>
      <c r="H1767" s="174"/>
      <c r="I1767" s="174"/>
      <c r="J1767" s="174"/>
      <c r="K1767" s="174"/>
      <c r="L1767" s="174"/>
      <c r="M1767" s="174"/>
      <c r="N1767" s="174"/>
      <c r="O1767" s="174"/>
      <c r="P1767" s="174"/>
      <c r="Q1767" s="174"/>
      <c r="R1767" s="174"/>
      <c r="S1767" s="174"/>
      <c r="T1767" s="174"/>
      <c r="U1767" s="174"/>
      <c r="V1767" s="174"/>
      <c r="W1767" s="160"/>
      <c r="X1767" s="160"/>
      <c r="Y1767" s="160"/>
      <c r="Z1767" s="160"/>
      <c r="AA1767" s="160"/>
      <c r="AB1767" s="160"/>
      <c r="AC1767" s="160"/>
      <c r="AD1767" s="160">
        <f>IF($AD$1579&gt;0,'Assumptions (Geo)'!V11*Model!$AD$1579*AVERAGE('Assumptions (Geo)'!$Z$2:$AB$2)/10^9,0)</f>
        <v>0</v>
      </c>
      <c r="AE1767" s="160">
        <f>IF($AD$1579&gt;0,'Assumptions (Geo)'!W11*Model!$AD$1579*AVERAGE('Assumptions (Geo)'!$Z$2:$AB$2)/10^9,0)</f>
        <v>0</v>
      </c>
      <c r="AF1767" s="160">
        <f>IF($AD$1579&gt;0,'Assumptions (Geo)'!X11*Model!$AD$1579*AVERAGE('Assumptions (Geo)'!$Z$2:$AB$2)/10^9,0)</f>
        <v>0</v>
      </c>
      <c r="AG1767" s="160">
        <f>IF($AD$1579&gt;0,'Assumptions (Geo)'!Y11*Model!$AD$1579*AVERAGE('Assumptions (Geo)'!$Z$2:$AB$2)/10^9,0)</f>
        <v>0</v>
      </c>
      <c r="AH1767" s="160">
        <f>IF($AD$1579&gt;0,'Assumptions (Geo)'!Z11*Model!$AD$1579*AVERAGE('Assumptions (Geo)'!$Z$2:$AB$2)/10^9,0)</f>
        <v>0</v>
      </c>
      <c r="AI1767" s="160">
        <f>IF($AD$1579&gt;0,'Assumptions (Geo)'!AA11*Model!$AD$1579*AVERAGE('Assumptions (Geo)'!$Z$2:$AB$2)/10^9,0)</f>
        <v>0</v>
      </c>
      <c r="AJ1767" s="160">
        <f>IF($AD$1579&gt;0,'Assumptions (Geo)'!AB11*Model!$AD$1579*AVERAGE('Assumptions (Geo)'!$Z$2:$AB$2)/10^9,0)</f>
        <v>0</v>
      </c>
      <c r="AK1767" s="160">
        <f>IF($AD$1579&gt;0,'Assumptions (Geo)'!AC11*Model!$AD$1579*AVERAGE('Assumptions (Geo)'!$Z$2:$AB$2)/10^9,0)</f>
        <v>0</v>
      </c>
      <c r="AL1767" s="160">
        <f>IF($AD$1579&gt;0,'Assumptions (Geo)'!AD11*Model!$AD$1579*AVERAGE('Assumptions (Geo)'!$Z$2:$AB$2)/10^9,0)</f>
        <v>0</v>
      </c>
      <c r="AM1767" s="160">
        <f>IF($AD$1579&gt;0,'Assumptions (Geo)'!AE11*Model!$AD$1579*AVERAGE('Assumptions (Geo)'!$Z$2:$AB$2)/10^9,0)</f>
        <v>0</v>
      </c>
      <c r="AN1767" s="160">
        <f>IF($AD$1579&gt;0,'Assumptions (Geo)'!AF11*Model!$AD$1579*AVERAGE('Assumptions (Geo)'!$Z$2:$AB$2)/10^9,0)</f>
        <v>0</v>
      </c>
      <c r="AO1767" s="160">
        <f>IF($AD$1579&gt;0,'Assumptions (Geo)'!AG11*Model!$AD$1579*AVERAGE('Assumptions (Geo)'!$Z$2:$AB$2)/10^9,0)</f>
        <v>0</v>
      </c>
      <c r="AP1767" s="160">
        <f>IF($AD$1579&gt;0,'Assumptions (Geo)'!AH11*Model!$AD$1579*AVERAGE('Assumptions (Geo)'!$Z$2:$AB$2)/10^9,0)</f>
        <v>0</v>
      </c>
      <c r="AQ1767" s="160">
        <f>IF($AD$1579&gt;0,'Assumptions (Geo)'!AI11*Model!$AD$1579*AVERAGE('Assumptions (Geo)'!$Z$2:$AB$2)/10^9,0)</f>
        <v>0</v>
      </c>
      <c r="AR1767" s="160">
        <f>IF($AD$1579&gt;0,'Assumptions (Geo)'!AJ11*Model!$AD$1579*AVERAGE('Assumptions (Geo)'!$Z$2:$AB$2)/10^9,0)</f>
        <v>0</v>
      </c>
      <c r="AS1767" s="160">
        <f>IF($AD$1579&gt;0,'Assumptions (Geo)'!AK11*Model!$AD$1579*AVERAGE('Assumptions (Geo)'!$Z$2:$AB$2)/10^9,0)</f>
        <v>0</v>
      </c>
      <c r="AT1767" s="160"/>
      <c r="AU1767" s="160"/>
      <c r="AV1767" s="160"/>
      <c r="AW1767" s="160"/>
      <c r="AX1767" s="160"/>
      <c r="AY1767" s="160"/>
      <c r="AZ1767" s="160"/>
      <c r="BA1767" s="160"/>
      <c r="BB1767" s="160"/>
    </row>
    <row r="1768" ht="15.75" hidden="1" customHeight="1" outlineLevel="1">
      <c r="A1768" s="295"/>
      <c r="B1768" s="38"/>
      <c r="C1768" s="174"/>
      <c r="D1768" s="174"/>
      <c r="E1768" s="174"/>
      <c r="F1768" s="174"/>
      <c r="G1768" s="174"/>
      <c r="H1768" s="174"/>
      <c r="I1768" s="174"/>
      <c r="J1768" s="174"/>
      <c r="K1768" s="174"/>
      <c r="L1768" s="174"/>
      <c r="M1768" s="174"/>
      <c r="N1768" s="174"/>
      <c r="O1768" s="174"/>
      <c r="P1768" s="174"/>
      <c r="Q1768" s="174"/>
      <c r="R1768" s="174"/>
      <c r="S1768" s="174"/>
      <c r="T1768" s="174"/>
      <c r="U1768" s="174"/>
      <c r="V1768" s="174"/>
      <c r="W1768" s="160"/>
      <c r="X1768" s="160"/>
      <c r="Y1768" s="160"/>
      <c r="Z1768" s="160"/>
      <c r="AA1768" s="160"/>
      <c r="AB1768" s="160"/>
      <c r="AC1768" s="160"/>
      <c r="AD1768" s="160"/>
      <c r="AE1768" s="160">
        <f>IF($AE$1579&gt;0,'Assumptions (Geo)'!V11*Model!$AE$1579*AVERAGE('Assumptions (Geo)'!$AA$2:$AC$2)/10^9,0)</f>
        <v>0</v>
      </c>
      <c r="AF1768" s="160">
        <f>IF($AE$1579&gt;0,'Assumptions (Geo)'!W11*Model!$AE$1579*AVERAGE('Assumptions (Geo)'!$AA$2:$AC$2)/10^9,0)</f>
        <v>0</v>
      </c>
      <c r="AG1768" s="160">
        <f>IF($AE$1579&gt;0,'Assumptions (Geo)'!X11*Model!$AE$1579*AVERAGE('Assumptions (Geo)'!$AA$2:$AC$2)/10^9,0)</f>
        <v>0</v>
      </c>
      <c r="AH1768" s="160">
        <f>IF($AE$1579&gt;0,'Assumptions (Geo)'!Y11*Model!$AE$1579*AVERAGE('Assumptions (Geo)'!$AA$2:$AC$2)/10^9,0)</f>
        <v>0</v>
      </c>
      <c r="AI1768" s="160">
        <f>IF($AE$1579&gt;0,'Assumptions (Geo)'!Z11*Model!$AE$1579*AVERAGE('Assumptions (Geo)'!$AA$2:$AC$2)/10^9,0)</f>
        <v>0</v>
      </c>
      <c r="AJ1768" s="160">
        <f>IF($AE$1579&gt;0,'Assumptions (Geo)'!AA11*Model!$AE$1579*AVERAGE('Assumptions (Geo)'!$AA$2:$AC$2)/10^9,0)</f>
        <v>0</v>
      </c>
      <c r="AK1768" s="160">
        <f>IF($AE$1579&gt;0,'Assumptions (Geo)'!AB11*Model!$AE$1579*AVERAGE('Assumptions (Geo)'!$AA$2:$AC$2)/10^9,0)</f>
        <v>0</v>
      </c>
      <c r="AL1768" s="160">
        <f>IF($AE$1579&gt;0,'Assumptions (Geo)'!AC11*Model!$AE$1579*AVERAGE('Assumptions (Geo)'!$AA$2:$AC$2)/10^9,0)</f>
        <v>0</v>
      </c>
      <c r="AM1768" s="160">
        <f>IF($AE$1579&gt;0,'Assumptions (Geo)'!AD11*Model!$AE$1579*AVERAGE('Assumptions (Geo)'!$AA$2:$AC$2)/10^9,0)</f>
        <v>0</v>
      </c>
      <c r="AN1768" s="160">
        <f>IF($AE$1579&gt;0,'Assumptions (Geo)'!AE11*Model!$AE$1579*AVERAGE('Assumptions (Geo)'!$AA$2:$AC$2)/10^9,0)</f>
        <v>0</v>
      </c>
      <c r="AO1768" s="160">
        <f>IF($AE$1579&gt;0,'Assumptions (Geo)'!AF11*Model!$AE$1579*AVERAGE('Assumptions (Geo)'!$AA$2:$AC$2)/10^9,0)</f>
        <v>0</v>
      </c>
      <c r="AP1768" s="160">
        <f>IF($AE$1579&gt;0,'Assumptions (Geo)'!AG11*Model!$AE$1579*AVERAGE('Assumptions (Geo)'!$AA$2:$AC$2)/10^9,0)</f>
        <v>0</v>
      </c>
      <c r="AQ1768" s="160">
        <f>IF($AE$1579&gt;0,'Assumptions (Geo)'!AH11*Model!$AE$1579*AVERAGE('Assumptions (Geo)'!$AA$2:$AC$2)/10^9,0)</f>
        <v>0</v>
      </c>
      <c r="AR1768" s="160">
        <f>IF($AE$1579&gt;0,'Assumptions (Geo)'!AI11*Model!$AE$1579*AVERAGE('Assumptions (Geo)'!$AA$2:$AC$2)/10^9,0)</f>
        <v>0</v>
      </c>
      <c r="AS1768" s="160">
        <f>IF($AE$1579&gt;0,'Assumptions (Geo)'!AJ11*Model!$AE$1579*AVERAGE('Assumptions (Geo)'!$AA$2:$AC$2)/10^9,0)</f>
        <v>0</v>
      </c>
      <c r="AT1768" s="160">
        <f>IF($AE$1579&gt;0,'Assumptions (Geo)'!AK11*Model!$AE$1579*AVERAGE('Assumptions (Geo)'!$AA$2:$AC$2)/10^9,0)</f>
        <v>0</v>
      </c>
      <c r="AU1768" s="160"/>
      <c r="AV1768" s="160"/>
      <c r="AW1768" s="160"/>
      <c r="AX1768" s="160"/>
      <c r="AY1768" s="160"/>
      <c r="AZ1768" s="160"/>
      <c r="BA1768" s="160"/>
      <c r="BB1768" s="160"/>
      <c r="BC1768" s="160"/>
    </row>
    <row r="1769" ht="15.75" hidden="1" customHeight="1" outlineLevel="1">
      <c r="A1769" s="295"/>
      <c r="B1769" s="38"/>
      <c r="C1769" s="174"/>
      <c r="D1769" s="174"/>
      <c r="E1769" s="174"/>
      <c r="F1769" s="174"/>
      <c r="G1769" s="174"/>
      <c r="H1769" s="174"/>
      <c r="I1769" s="174"/>
      <c r="J1769" s="174"/>
      <c r="K1769" s="174"/>
      <c r="L1769" s="174"/>
      <c r="M1769" s="174"/>
      <c r="N1769" s="174"/>
      <c r="O1769" s="174"/>
      <c r="P1769" s="174"/>
      <c r="Q1769" s="174"/>
      <c r="R1769" s="174"/>
      <c r="S1769" s="174"/>
      <c r="T1769" s="174"/>
      <c r="U1769" s="174"/>
      <c r="V1769" s="174"/>
      <c r="W1769" s="160"/>
      <c r="X1769" s="160"/>
      <c r="Y1769" s="160"/>
      <c r="Z1769" s="160"/>
      <c r="AA1769" s="160"/>
      <c r="AB1769" s="160"/>
      <c r="AC1769" s="160"/>
      <c r="AD1769" s="160"/>
      <c r="AE1769" s="160"/>
      <c r="AF1769" s="160">
        <f>IF($AF$1579&gt;0,'Assumptions (Geo)'!V11*Model!$AF$1579*AVERAGE('Assumptions (Geo)'!$AB$2:$AD$2)/10^9,0)</f>
        <v>0</v>
      </c>
      <c r="AG1769" s="160">
        <f>IF($AF$1579&gt;0,'Assumptions (Geo)'!W11*Model!$AF$1579*AVERAGE('Assumptions (Geo)'!$AB$2:$AD$2)/10^9,0)</f>
        <v>0</v>
      </c>
      <c r="AH1769" s="160">
        <f>IF($AF$1579&gt;0,'Assumptions (Geo)'!X11*Model!$AF$1579*AVERAGE('Assumptions (Geo)'!$AB$2:$AD$2)/10^9,0)</f>
        <v>0</v>
      </c>
      <c r="AI1769" s="160">
        <f>IF($AF$1579&gt;0,'Assumptions (Geo)'!Y11*Model!$AF$1579*AVERAGE('Assumptions (Geo)'!$AB$2:$AD$2)/10^9,0)</f>
        <v>0</v>
      </c>
      <c r="AJ1769" s="160">
        <f>IF($AF$1579&gt;0,'Assumptions (Geo)'!Z11*Model!$AF$1579*AVERAGE('Assumptions (Geo)'!$AB$2:$AD$2)/10^9,0)</f>
        <v>0</v>
      </c>
      <c r="AK1769" s="160">
        <f>IF($AF$1579&gt;0,'Assumptions (Geo)'!AA11*Model!$AF$1579*AVERAGE('Assumptions (Geo)'!$AB$2:$AD$2)/10^9,0)</f>
        <v>0</v>
      </c>
      <c r="AL1769" s="160">
        <f>IF($AF$1579&gt;0,'Assumptions (Geo)'!AB11*Model!$AF$1579*AVERAGE('Assumptions (Geo)'!$AB$2:$AD$2)/10^9,0)</f>
        <v>0</v>
      </c>
      <c r="AM1769" s="160">
        <f>IF($AF$1579&gt;0,'Assumptions (Geo)'!AC11*Model!$AF$1579*AVERAGE('Assumptions (Geo)'!$AB$2:$AD$2)/10^9,0)</f>
        <v>0</v>
      </c>
      <c r="AN1769" s="160">
        <f>IF($AF$1579&gt;0,'Assumptions (Geo)'!AD11*Model!$AF$1579*AVERAGE('Assumptions (Geo)'!$AB$2:$AD$2)/10^9,0)</f>
        <v>0</v>
      </c>
      <c r="AO1769" s="160">
        <f>IF($AF$1579&gt;0,'Assumptions (Geo)'!AE11*Model!$AF$1579*AVERAGE('Assumptions (Geo)'!$AB$2:$AD$2)/10^9,0)</f>
        <v>0</v>
      </c>
      <c r="AP1769" s="160">
        <f>IF($AF$1579&gt;0,'Assumptions (Geo)'!AF11*Model!$AF$1579*AVERAGE('Assumptions (Geo)'!$AB$2:$AD$2)/10^9,0)</f>
        <v>0</v>
      </c>
      <c r="AQ1769" s="160">
        <f>IF($AF$1579&gt;0,'Assumptions (Geo)'!AG11*Model!$AF$1579*AVERAGE('Assumptions (Geo)'!$AB$2:$AD$2)/10^9,0)</f>
        <v>0</v>
      </c>
      <c r="AR1769" s="160">
        <f>IF($AF$1579&gt;0,'Assumptions (Geo)'!AH11*Model!$AF$1579*AVERAGE('Assumptions (Geo)'!$AB$2:$AD$2)/10^9,0)</f>
        <v>0</v>
      </c>
      <c r="AS1769" s="160">
        <f>IF($AF$1579&gt;0,'Assumptions (Geo)'!AI11*Model!$AF$1579*AVERAGE('Assumptions (Geo)'!$AB$2:$AD$2)/10^9,0)</f>
        <v>0</v>
      </c>
      <c r="AT1769" s="160">
        <f>IF($AF$1579&gt;0,'Assumptions (Geo)'!AJ11*Model!$AF$1579*AVERAGE('Assumptions (Geo)'!$AB$2:$AD$2)/10^9,0)</f>
        <v>0</v>
      </c>
      <c r="AU1769" s="160">
        <f>IF($AF$1579&gt;0,'Assumptions (Geo)'!AK11*Model!$AF$1579*AVERAGE('Assumptions (Geo)'!$AB$2:$AD$2)/10^9,0)</f>
        <v>0</v>
      </c>
      <c r="AV1769" s="160"/>
      <c r="AW1769" s="160"/>
      <c r="AX1769" s="160"/>
      <c r="AY1769" s="160"/>
      <c r="AZ1769" s="160"/>
      <c r="BA1769" s="160"/>
      <c r="BB1769" s="160"/>
      <c r="BC1769" s="160"/>
      <c r="BD1769" s="160"/>
    </row>
    <row r="1770" ht="15.75" hidden="1" customHeight="1" outlineLevel="1">
      <c r="A1770" s="295"/>
      <c r="B1770" s="38"/>
      <c r="C1770" s="174"/>
      <c r="D1770" s="174"/>
      <c r="E1770" s="174"/>
      <c r="F1770" s="174"/>
      <c r="G1770" s="174"/>
      <c r="H1770" s="174"/>
      <c r="I1770" s="174"/>
      <c r="J1770" s="174"/>
      <c r="K1770" s="174"/>
      <c r="L1770" s="174"/>
      <c r="M1770" s="174"/>
      <c r="N1770" s="174"/>
      <c r="O1770" s="174"/>
      <c r="P1770" s="174"/>
      <c r="Q1770" s="174"/>
      <c r="R1770" s="174"/>
      <c r="S1770" s="174"/>
      <c r="T1770" s="174"/>
      <c r="U1770" s="174"/>
      <c r="V1770" s="174"/>
      <c r="W1770" s="160"/>
      <c r="X1770" s="160"/>
      <c r="Y1770" s="160"/>
      <c r="Z1770" s="160"/>
      <c r="AA1770" s="160"/>
      <c r="AB1770" s="160"/>
      <c r="AC1770" s="160"/>
      <c r="AD1770" s="160"/>
      <c r="AE1770" s="160"/>
      <c r="AF1770" s="160"/>
      <c r="AG1770" s="160">
        <f>IF($AG$1579&gt;0,'Assumptions (Geo)'!V11*Model!$AG$1579*AVERAGE('Assumptions (Geo)'!$AC$2:$AE$2)/10^9,0)</f>
        <v>0</v>
      </c>
      <c r="AH1770" s="160">
        <f>IF($AG$1579&gt;0,'Assumptions (Geo)'!W11*Model!$AG$1579*AVERAGE('Assumptions (Geo)'!$AC$2:$AE$2)/10^9,0)</f>
        <v>0</v>
      </c>
      <c r="AI1770" s="160">
        <f>IF($AG$1579&gt;0,'Assumptions (Geo)'!X11*Model!$AG$1579*AVERAGE('Assumptions (Geo)'!$AC$2:$AE$2)/10^9,0)</f>
        <v>0</v>
      </c>
      <c r="AJ1770" s="160">
        <f>IF($AG$1579&gt;0,'Assumptions (Geo)'!Y11*Model!$AG$1579*AVERAGE('Assumptions (Geo)'!$AC$2:$AE$2)/10^9,0)</f>
        <v>0</v>
      </c>
      <c r="AK1770" s="160">
        <f>IF($AG$1579&gt;0,'Assumptions (Geo)'!Z11*Model!$AG$1579*AVERAGE('Assumptions (Geo)'!$AC$2:$AE$2)/10^9,0)</f>
        <v>0</v>
      </c>
      <c r="AL1770" s="160">
        <f>IF($AG$1579&gt;0,'Assumptions (Geo)'!AA11*Model!$AG$1579*AVERAGE('Assumptions (Geo)'!$AC$2:$AE$2)/10^9,0)</f>
        <v>0</v>
      </c>
      <c r="AM1770" s="160">
        <f>IF($AG$1579&gt;0,'Assumptions (Geo)'!AB11*Model!$AG$1579*AVERAGE('Assumptions (Geo)'!$AC$2:$AE$2)/10^9,0)</f>
        <v>0</v>
      </c>
      <c r="AN1770" s="160">
        <f>IF($AG$1579&gt;0,'Assumptions (Geo)'!AC11*Model!$AG$1579*AVERAGE('Assumptions (Geo)'!$AC$2:$AE$2)/10^9,0)</f>
        <v>0</v>
      </c>
      <c r="AO1770" s="160">
        <f>IF($AG$1579&gt;0,'Assumptions (Geo)'!AD11*Model!$AG$1579*AVERAGE('Assumptions (Geo)'!$AC$2:$AE$2)/10^9,0)</f>
        <v>0</v>
      </c>
      <c r="AP1770" s="160">
        <f>IF($AG$1579&gt;0,'Assumptions (Geo)'!AE11*Model!$AG$1579*AVERAGE('Assumptions (Geo)'!$AC$2:$AE$2)/10^9,0)</f>
        <v>0</v>
      </c>
      <c r="AQ1770" s="160">
        <f>IF($AG$1579&gt;0,'Assumptions (Geo)'!AF11*Model!$AG$1579*AVERAGE('Assumptions (Geo)'!$AC$2:$AE$2)/10^9,0)</f>
        <v>0</v>
      </c>
      <c r="AR1770" s="160">
        <f>IF($AG$1579&gt;0,'Assumptions (Geo)'!AG11*Model!$AG$1579*AVERAGE('Assumptions (Geo)'!$AC$2:$AE$2)/10^9,0)</f>
        <v>0</v>
      </c>
      <c r="AS1770" s="160">
        <f>IF($AG$1579&gt;0,'Assumptions (Geo)'!AH11*Model!$AG$1579*AVERAGE('Assumptions (Geo)'!$AC$2:$AE$2)/10^9,0)</f>
        <v>0</v>
      </c>
      <c r="AT1770" s="160">
        <f>IF($AG$1579&gt;0,'Assumptions (Geo)'!AI11*Model!$AG$1579*AVERAGE('Assumptions (Geo)'!$AC$2:$AE$2)/10^9,0)</f>
        <v>0</v>
      </c>
      <c r="AU1770" s="160">
        <f>IF($AG$1579&gt;0,'Assumptions (Geo)'!AJ11*Model!$AG$1579*AVERAGE('Assumptions (Geo)'!$AC$2:$AE$2)/10^9,0)</f>
        <v>0</v>
      </c>
      <c r="AV1770" s="160">
        <f>IF($AG$1579&gt;0,'Assumptions (Geo)'!AK11*Model!$AG$1579*AVERAGE('Assumptions (Geo)'!$AC$2:$AE$2)/10^9,0)</f>
        <v>0</v>
      </c>
      <c r="AW1770" s="160"/>
      <c r="AX1770" s="160"/>
      <c r="AY1770" s="160"/>
      <c r="AZ1770" s="160"/>
      <c r="BA1770" s="160"/>
      <c r="BB1770" s="160"/>
      <c r="BC1770" s="160"/>
      <c r="BD1770" s="160"/>
      <c r="BE1770" s="160"/>
    </row>
    <row r="1771" ht="15.75" hidden="1" customHeight="1" outlineLevel="1">
      <c r="A1771" s="295"/>
      <c r="B1771" s="38"/>
      <c r="C1771" s="174"/>
      <c r="D1771" s="174"/>
      <c r="E1771" s="174"/>
      <c r="F1771" s="174"/>
      <c r="G1771" s="174"/>
      <c r="H1771" s="174"/>
      <c r="I1771" s="174"/>
      <c r="J1771" s="174"/>
      <c r="K1771" s="174"/>
      <c r="L1771" s="174"/>
      <c r="M1771" s="174"/>
      <c r="N1771" s="174"/>
      <c r="O1771" s="174"/>
      <c r="P1771" s="174"/>
      <c r="Q1771" s="174"/>
      <c r="R1771" s="174"/>
      <c r="S1771" s="174"/>
      <c r="T1771" s="174"/>
      <c r="U1771" s="174"/>
      <c r="V1771" s="174"/>
      <c r="W1771" s="160"/>
      <c r="X1771" s="160"/>
      <c r="Y1771" s="160"/>
      <c r="Z1771" s="160"/>
      <c r="AA1771" s="160"/>
      <c r="AB1771" s="160"/>
      <c r="AC1771" s="160"/>
      <c r="AD1771" s="160"/>
      <c r="AE1771" s="160"/>
      <c r="AF1771" s="160"/>
      <c r="AG1771" s="160"/>
      <c r="AH1771" s="160">
        <f>IF($AH$1579&gt;0,'Assumptions (Geo)'!V11*Model!$AH$1579*AVERAGE('Assumptions (Geo)'!$AD$2:$AF$2)/10^9,0)</f>
        <v>0</v>
      </c>
      <c r="AI1771" s="160">
        <f>IF($AH$1579&gt;0,'Assumptions (Geo)'!W11*Model!$AH$1579*AVERAGE('Assumptions (Geo)'!$AD$2:$AF$2)/10^9,0)</f>
        <v>0</v>
      </c>
      <c r="AJ1771" s="160">
        <f>IF($AH$1579&gt;0,'Assumptions (Geo)'!X11*Model!$AH$1579*AVERAGE('Assumptions (Geo)'!$AD$2:$AF$2)/10^9,0)</f>
        <v>0</v>
      </c>
      <c r="AK1771" s="160">
        <f>IF($AH$1579&gt;0,'Assumptions (Geo)'!Y11*Model!$AH$1579*AVERAGE('Assumptions (Geo)'!$AD$2:$AF$2)/10^9,0)</f>
        <v>0</v>
      </c>
      <c r="AL1771" s="160">
        <f>IF($AH$1579&gt;0,'Assumptions (Geo)'!Z11*Model!$AH$1579*AVERAGE('Assumptions (Geo)'!$AD$2:$AF$2)/10^9,0)</f>
        <v>0</v>
      </c>
      <c r="AM1771" s="160">
        <f>IF($AH$1579&gt;0,'Assumptions (Geo)'!AA11*Model!$AH$1579*AVERAGE('Assumptions (Geo)'!$AD$2:$AF$2)/10^9,0)</f>
        <v>0</v>
      </c>
      <c r="AN1771" s="160">
        <f>IF($AH$1579&gt;0,'Assumptions (Geo)'!AB11*Model!$AH$1579*AVERAGE('Assumptions (Geo)'!$AD$2:$AF$2)/10^9,0)</f>
        <v>0</v>
      </c>
      <c r="AO1771" s="160">
        <f>IF($AH$1579&gt;0,'Assumptions (Geo)'!AC11*Model!$AH$1579*AVERAGE('Assumptions (Geo)'!$AD$2:$AF$2)/10^9,0)</f>
        <v>0</v>
      </c>
      <c r="AP1771" s="160">
        <f>IF($AH$1579&gt;0,'Assumptions (Geo)'!AD11*Model!$AH$1579*AVERAGE('Assumptions (Geo)'!$AD$2:$AF$2)/10^9,0)</f>
        <v>0</v>
      </c>
      <c r="AQ1771" s="160">
        <f>IF($AH$1579&gt;0,'Assumptions (Geo)'!AE11*Model!$AH$1579*AVERAGE('Assumptions (Geo)'!$AD$2:$AF$2)/10^9,0)</f>
        <v>0</v>
      </c>
      <c r="AR1771" s="160">
        <f>IF($AH$1579&gt;0,'Assumptions (Geo)'!AF11*Model!$AH$1579*AVERAGE('Assumptions (Geo)'!$AD$2:$AF$2)/10^9,0)</f>
        <v>0</v>
      </c>
      <c r="AS1771" s="160">
        <f>IF($AH$1579&gt;0,'Assumptions (Geo)'!AG11*Model!$AH$1579*AVERAGE('Assumptions (Geo)'!$AD$2:$AF$2)/10^9,0)</f>
        <v>0</v>
      </c>
      <c r="AT1771" s="160">
        <f>IF($AH$1579&gt;0,'Assumptions (Geo)'!AH11*Model!$AH$1579*AVERAGE('Assumptions (Geo)'!$AD$2:$AF$2)/10^9,0)</f>
        <v>0</v>
      </c>
      <c r="AU1771" s="160">
        <f>IF($AH$1579&gt;0,'Assumptions (Geo)'!AI11*Model!$AH$1579*AVERAGE('Assumptions (Geo)'!$AD$2:$AF$2)/10^9,0)</f>
        <v>0</v>
      </c>
      <c r="AV1771" s="160">
        <f>IF($AH$1579&gt;0,'Assumptions (Geo)'!AJ11*Model!$AH$1579*AVERAGE('Assumptions (Geo)'!$AD$2:$AF$2)/10^9,0)</f>
        <v>0</v>
      </c>
      <c r="AW1771" s="160">
        <f>IF($AH$1579&gt;0,'Assumptions (Geo)'!AK11*Model!$AH$1579*AVERAGE('Assumptions (Geo)'!$AD$2:$AF$2)/10^9,0)</f>
        <v>0</v>
      </c>
      <c r="AX1771" s="160"/>
      <c r="AY1771" s="160"/>
      <c r="AZ1771" s="160"/>
      <c r="BA1771" s="160"/>
      <c r="BB1771" s="160"/>
      <c r="BC1771" s="160"/>
      <c r="BD1771" s="160"/>
      <c r="BE1771" s="160"/>
      <c r="BF1771" s="160"/>
    </row>
    <row r="1772" ht="15.75" hidden="1" customHeight="1" outlineLevel="1">
      <c r="A1772" s="295"/>
      <c r="B1772" s="38"/>
      <c r="C1772" s="174"/>
      <c r="D1772" s="174"/>
      <c r="E1772" s="174"/>
      <c r="F1772" s="174"/>
      <c r="G1772" s="174"/>
      <c r="H1772" s="174"/>
      <c r="I1772" s="174"/>
      <c r="J1772" s="174"/>
      <c r="K1772" s="174"/>
      <c r="L1772" s="174"/>
      <c r="M1772" s="174"/>
      <c r="N1772" s="174"/>
      <c r="O1772" s="174"/>
      <c r="P1772" s="174"/>
      <c r="Q1772" s="174"/>
      <c r="R1772" s="174"/>
      <c r="S1772" s="174"/>
      <c r="T1772" s="174"/>
      <c r="U1772" s="174"/>
      <c r="V1772" s="174"/>
      <c r="W1772" s="160"/>
      <c r="X1772" s="160"/>
      <c r="Y1772" s="160"/>
      <c r="Z1772" s="160"/>
      <c r="AA1772" s="160"/>
      <c r="AB1772" s="160"/>
      <c r="AC1772" s="160"/>
      <c r="AD1772" s="160"/>
      <c r="AE1772" s="160"/>
      <c r="AF1772" s="160"/>
      <c r="AG1772" s="160"/>
      <c r="AH1772" s="160"/>
      <c r="AI1772" s="160">
        <f>IF($AI$1579&gt;0,'Assumptions (Geo)'!V11*Model!$AI$1579*AVERAGE('Assumptions (Geo)'!$AE$2:$AG$2)/10^9,0)</f>
        <v>0</v>
      </c>
      <c r="AJ1772" s="160">
        <f>IF($AI$1579&gt;0,'Assumptions (Geo)'!W11*Model!$AI$1579*AVERAGE('Assumptions (Geo)'!$AE$2:$AG$2)/10^9,0)</f>
        <v>0</v>
      </c>
      <c r="AK1772" s="160">
        <f>IF($AI$1579&gt;0,'Assumptions (Geo)'!X11*Model!$AI$1579*AVERAGE('Assumptions (Geo)'!$AE$2:$AG$2)/10^9,0)</f>
        <v>0</v>
      </c>
      <c r="AL1772" s="160">
        <f>IF($AI$1579&gt;0,'Assumptions (Geo)'!Y11*Model!$AI$1579*AVERAGE('Assumptions (Geo)'!$AE$2:$AG$2)/10^9,0)</f>
        <v>0</v>
      </c>
      <c r="AM1772" s="160">
        <f>IF($AI$1579&gt;0,'Assumptions (Geo)'!Z11*Model!$AI$1579*AVERAGE('Assumptions (Geo)'!$AE$2:$AG$2)/10^9,0)</f>
        <v>0</v>
      </c>
      <c r="AN1772" s="160">
        <f>IF($AI$1579&gt;0,'Assumptions (Geo)'!AA11*Model!$AI$1579*AVERAGE('Assumptions (Geo)'!$AE$2:$AG$2)/10^9,0)</f>
        <v>0</v>
      </c>
      <c r="AO1772" s="160">
        <f>IF($AI$1579&gt;0,'Assumptions (Geo)'!AB11*Model!$AI$1579*AVERAGE('Assumptions (Geo)'!$AE$2:$AG$2)/10^9,0)</f>
        <v>0</v>
      </c>
      <c r="AP1772" s="160">
        <f>IF($AI$1579&gt;0,'Assumptions (Geo)'!AC11*Model!$AI$1579*AVERAGE('Assumptions (Geo)'!$AE$2:$AG$2)/10^9,0)</f>
        <v>0</v>
      </c>
      <c r="AQ1772" s="160">
        <f>IF($AI$1579&gt;0,'Assumptions (Geo)'!AD11*Model!$AI$1579*AVERAGE('Assumptions (Geo)'!$AE$2:$AG$2)/10^9,0)</f>
        <v>0</v>
      </c>
      <c r="AR1772" s="160">
        <f>IF($AI$1579&gt;0,'Assumptions (Geo)'!AE11*Model!$AI$1579*AVERAGE('Assumptions (Geo)'!$AE$2:$AG$2)/10^9,0)</f>
        <v>0</v>
      </c>
      <c r="AS1772" s="160">
        <f>IF($AI$1579&gt;0,'Assumptions (Geo)'!AF11*Model!$AI$1579*AVERAGE('Assumptions (Geo)'!$AE$2:$AG$2)/10^9,0)</f>
        <v>0</v>
      </c>
      <c r="AT1772" s="160">
        <f>IF($AI$1579&gt;0,'Assumptions (Geo)'!AG11*Model!$AI$1579*AVERAGE('Assumptions (Geo)'!$AE$2:$AG$2)/10^9,0)</f>
        <v>0</v>
      </c>
      <c r="AU1772" s="160">
        <f>IF($AI$1579&gt;0,'Assumptions (Geo)'!AH11*Model!$AI$1579*AVERAGE('Assumptions (Geo)'!$AE$2:$AG$2)/10^9,0)</f>
        <v>0</v>
      </c>
      <c r="AV1772" s="160">
        <f>IF($AI$1579&gt;0,'Assumptions (Geo)'!AI11*Model!$AI$1579*AVERAGE('Assumptions (Geo)'!$AE$2:$AG$2)/10^9,0)</f>
        <v>0</v>
      </c>
      <c r="AW1772" s="160">
        <f>IF($AI$1579&gt;0,'Assumptions (Geo)'!AJ11*Model!$AI$1579*AVERAGE('Assumptions (Geo)'!$AE$2:$AG$2)/10^9,0)</f>
        <v>0</v>
      </c>
      <c r="AX1772" s="160">
        <f>IF($AI$1579&gt;0,'Assumptions (Geo)'!AK11*Model!$AI$1579*AVERAGE('Assumptions (Geo)'!$AE$2:$AG$2)/10^9,0)</f>
        <v>0</v>
      </c>
      <c r="AY1772" s="160"/>
      <c r="AZ1772" s="160"/>
      <c r="BA1772" s="160"/>
      <c r="BB1772" s="160"/>
      <c r="BC1772" s="160"/>
      <c r="BD1772" s="160"/>
      <c r="BE1772" s="160"/>
      <c r="BF1772" s="160"/>
      <c r="BG1772" s="160"/>
    </row>
    <row r="1773" ht="15.75" hidden="1" customHeight="1" outlineLevel="1">
      <c r="A1773" s="295"/>
      <c r="B1773" s="38"/>
      <c r="C1773" s="174"/>
      <c r="D1773" s="174"/>
      <c r="E1773" s="174"/>
      <c r="F1773" s="174"/>
      <c r="G1773" s="174"/>
      <c r="H1773" s="174"/>
      <c r="I1773" s="174"/>
      <c r="J1773" s="174"/>
      <c r="K1773" s="174"/>
      <c r="L1773" s="174"/>
      <c r="M1773" s="174"/>
      <c r="N1773" s="174"/>
      <c r="O1773" s="174"/>
      <c r="P1773" s="174"/>
      <c r="Q1773" s="174"/>
      <c r="R1773" s="174"/>
      <c r="S1773" s="174"/>
      <c r="T1773" s="174"/>
      <c r="U1773" s="174"/>
      <c r="V1773" s="174"/>
      <c r="W1773" s="160"/>
      <c r="X1773" s="160"/>
      <c r="Y1773" s="160"/>
      <c r="Z1773" s="160"/>
      <c r="AA1773" s="160"/>
      <c r="AB1773" s="177"/>
      <c r="AC1773" s="160"/>
      <c r="AD1773" s="160"/>
      <c r="AE1773" s="160"/>
      <c r="AF1773" s="160"/>
      <c r="AG1773" s="160"/>
      <c r="AH1773" s="160"/>
      <c r="AI1773" s="160"/>
      <c r="AJ1773" s="177">
        <f>IF($AJ$1579&gt;0,'Assumptions (Geo)'!V11*Model!$AJ$1579*AVERAGE('Assumptions (Geo)'!$AF$2:$AH$2)/10^9,0)</f>
        <v>0</v>
      </c>
      <c r="AK1773" s="177">
        <f>IF($AJ$1579&gt;0,'Assumptions (Geo)'!W11*Model!$AJ$1579*AVERAGE('Assumptions (Geo)'!$AF$2:$AH$2)/10^9,0)</f>
        <v>0</v>
      </c>
      <c r="AL1773" s="177">
        <f>IF($AJ$1579&gt;0,'Assumptions (Geo)'!X11*Model!$AJ$1579*AVERAGE('Assumptions (Geo)'!$AF$2:$AH$2)/10^9,0)</f>
        <v>0</v>
      </c>
      <c r="AM1773" s="177">
        <f>IF($AJ$1579&gt;0,'Assumptions (Geo)'!Y11*Model!$AJ$1579*AVERAGE('Assumptions (Geo)'!$AF$2:$AH$2)/10^9,0)</f>
        <v>0</v>
      </c>
      <c r="AN1773" s="177">
        <f>IF($AJ$1579&gt;0,'Assumptions (Geo)'!Z11*Model!$AJ$1579*AVERAGE('Assumptions (Geo)'!$AF$2:$AH$2)/10^9,0)</f>
        <v>0</v>
      </c>
      <c r="AO1773" s="177">
        <f>IF($AJ$1579&gt;0,'Assumptions (Geo)'!AA11*Model!$AJ$1579*AVERAGE('Assumptions (Geo)'!$AF$2:$AH$2)/10^9,0)</f>
        <v>0</v>
      </c>
      <c r="AP1773" s="177">
        <f>IF($AJ$1579&gt;0,'Assumptions (Geo)'!AB11*Model!$AJ$1579*AVERAGE('Assumptions (Geo)'!$AF$2:$AH$2)/10^9,0)</f>
        <v>0</v>
      </c>
      <c r="AQ1773" s="177">
        <f>IF($AJ$1579&gt;0,'Assumptions (Geo)'!AC11*Model!$AJ$1579*AVERAGE('Assumptions (Geo)'!$AF$2:$AH$2)/10^9,0)</f>
        <v>0</v>
      </c>
      <c r="AR1773" s="177">
        <f>IF($AJ$1579&gt;0,'Assumptions (Geo)'!AD11*Model!$AJ$1579*AVERAGE('Assumptions (Geo)'!$AF$2:$AH$2)/10^9,0)</f>
        <v>0</v>
      </c>
      <c r="AS1773" s="177">
        <f>IF($AJ$1579&gt;0,'Assumptions (Geo)'!AE11*Model!$AJ$1579*AVERAGE('Assumptions (Geo)'!$AF$2:$AH$2)/10^9,0)</f>
        <v>0</v>
      </c>
      <c r="AT1773" s="177">
        <f>IF($AJ$1579&gt;0,'Assumptions (Geo)'!AF11*Model!$AJ$1579*AVERAGE('Assumptions (Geo)'!$AF$2:$AH$2)/10^9,0)</f>
        <v>0</v>
      </c>
      <c r="AU1773" s="177">
        <f>IF($AJ$1579&gt;0,'Assumptions (Geo)'!AG11*Model!$AJ$1579*AVERAGE('Assumptions (Geo)'!$AF$2:$AH$2)/10^9,0)</f>
        <v>0</v>
      </c>
      <c r="AV1773" s="177">
        <f>IF($AJ$1579&gt;0,'Assumptions (Geo)'!AH11*Model!$AJ$1579*AVERAGE('Assumptions (Geo)'!$AF$2:$AH$2)/10^9,0)</f>
        <v>0</v>
      </c>
      <c r="AW1773" s="177">
        <f>IF($AJ$1579&gt;0,'Assumptions (Geo)'!AI11*Model!$AJ$1579*AVERAGE('Assumptions (Geo)'!$AF$2:$AH$2)/10^9,0)</f>
        <v>0</v>
      </c>
      <c r="AX1773" s="177">
        <f>IF($AJ$1579&gt;0,'Assumptions (Geo)'!AJ11*Model!$AJ$1579*AVERAGE('Assumptions (Geo)'!$AF$2:$AH$2)/10^9,0)</f>
        <v>0</v>
      </c>
      <c r="AY1773" s="177">
        <f>IF($AJ$1579&gt;0,'Assumptions (Geo)'!AK11*Model!$AJ$1579*AVERAGE('Assumptions (Geo)'!$AF$2:$AH$2)/10^9,0)</f>
        <v>0</v>
      </c>
      <c r="AZ1773" s="177"/>
      <c r="BA1773" s="177"/>
      <c r="BB1773" s="177"/>
      <c r="BC1773" s="177"/>
      <c r="BD1773" s="177"/>
      <c r="BE1773" s="177"/>
      <c r="BF1773" s="177"/>
      <c r="BG1773" s="177"/>
      <c r="BH1773" s="177"/>
    </row>
    <row r="1774" ht="15.75" hidden="1" customHeight="1" outlineLevel="1">
      <c r="A1774" s="295"/>
      <c r="B1774" s="38"/>
      <c r="C1774" s="174"/>
      <c r="D1774" s="174"/>
      <c r="E1774" s="174"/>
      <c r="F1774" s="174"/>
      <c r="G1774" s="174"/>
      <c r="H1774" s="174"/>
      <c r="I1774" s="174"/>
      <c r="J1774" s="174"/>
      <c r="K1774" s="174"/>
      <c r="L1774" s="174"/>
      <c r="M1774" s="174"/>
      <c r="N1774" s="174"/>
      <c r="O1774" s="174"/>
      <c r="P1774" s="174"/>
      <c r="Q1774" s="174"/>
      <c r="R1774" s="174"/>
      <c r="S1774" s="174"/>
      <c r="T1774" s="174"/>
      <c r="U1774" s="174"/>
      <c r="V1774" s="174"/>
      <c r="W1774" s="160"/>
      <c r="X1774" s="160"/>
      <c r="Y1774" s="160"/>
      <c r="Z1774" s="160"/>
      <c r="AA1774" s="160"/>
      <c r="AB1774" s="160"/>
      <c r="AC1774" s="160"/>
      <c r="AD1774" s="160"/>
      <c r="AE1774" s="160"/>
      <c r="AF1774" s="160"/>
      <c r="AG1774" s="160"/>
      <c r="AH1774" s="160"/>
      <c r="AI1774" s="160"/>
      <c r="AJ1774" s="179"/>
      <c r="AK1774" s="177">
        <f>IF($AK$1579&gt;0,'Assumptions (Geo)'!V11*Model!$AK$1579*AVERAGE('Assumptions (Geo)'!$AG$2:$AI$2)/10^9,0)</f>
        <v>0</v>
      </c>
      <c r="AL1774" s="177">
        <f>IF($AK$1579&gt;0,'Assumptions (Geo)'!W11*Model!$AK$1579*AVERAGE('Assumptions (Geo)'!$AG$2:$AI$2)/10^9,0)</f>
        <v>0</v>
      </c>
      <c r="AM1774" s="177">
        <f>IF($AK$1579&gt;0,'Assumptions (Geo)'!X11*Model!$AK$1579*AVERAGE('Assumptions (Geo)'!$AG$2:$AI$2)/10^9,0)</f>
        <v>0</v>
      </c>
      <c r="AN1774" s="177">
        <f>IF($AK$1579&gt;0,'Assumptions (Geo)'!Y11*Model!$AK$1579*AVERAGE('Assumptions (Geo)'!$AG$2:$AI$2)/10^9,0)</f>
        <v>0</v>
      </c>
      <c r="AO1774" s="177">
        <f>IF($AK$1579&gt;0,'Assumptions (Geo)'!Z11*Model!$AK$1579*AVERAGE('Assumptions (Geo)'!$AG$2:$AI$2)/10^9,0)</f>
        <v>0</v>
      </c>
      <c r="AP1774" s="177">
        <f>IF($AK$1579&gt;0,'Assumptions (Geo)'!AA11*Model!$AK$1579*AVERAGE('Assumptions (Geo)'!$AG$2:$AI$2)/10^9,0)</f>
        <v>0</v>
      </c>
      <c r="AQ1774" s="177">
        <f>IF($AK$1579&gt;0,'Assumptions (Geo)'!AB11*Model!$AK$1579*AVERAGE('Assumptions (Geo)'!$AG$2:$AI$2)/10^9,0)</f>
        <v>0</v>
      </c>
      <c r="AR1774" s="177">
        <f>IF($AK$1579&gt;0,'Assumptions (Geo)'!AC11*Model!$AK$1579*AVERAGE('Assumptions (Geo)'!$AG$2:$AI$2)/10^9,0)</f>
        <v>0</v>
      </c>
      <c r="AS1774" s="177">
        <f>IF($AK$1579&gt;0,'Assumptions (Geo)'!AD11*Model!$AK$1579*AVERAGE('Assumptions (Geo)'!$AG$2:$AI$2)/10^9,0)</f>
        <v>0</v>
      </c>
      <c r="AT1774" s="177">
        <f>IF($AK$1579&gt;0,'Assumptions (Geo)'!AE11*Model!$AK$1579*AVERAGE('Assumptions (Geo)'!$AG$2:$AI$2)/10^9,0)</f>
        <v>0</v>
      </c>
      <c r="AU1774" s="177">
        <f>IF($AK$1579&gt;0,'Assumptions (Geo)'!AF11*Model!$AK$1579*AVERAGE('Assumptions (Geo)'!$AG$2:$AI$2)/10^9,0)</f>
        <v>0</v>
      </c>
      <c r="AV1774" s="177">
        <f>IF($AK$1579&gt;0,'Assumptions (Geo)'!AG11*Model!$AK$1579*AVERAGE('Assumptions (Geo)'!$AG$2:$AI$2)/10^9,0)</f>
        <v>0</v>
      </c>
      <c r="AW1774" s="177">
        <f>IF($AK$1579&gt;0,'Assumptions (Geo)'!AH11*Model!$AK$1579*AVERAGE('Assumptions (Geo)'!$AG$2:$AI$2)/10^9,0)</f>
        <v>0</v>
      </c>
      <c r="AX1774" s="177">
        <f>IF($AK$1579&gt;0,'Assumptions (Geo)'!AI11*Model!$AK$1579*AVERAGE('Assumptions (Geo)'!$AG$2:$AI$2)/10^9,0)</f>
        <v>0</v>
      </c>
      <c r="AY1774" s="177">
        <f>IF($AK$1579&gt;0,'Assumptions (Geo)'!AJ11*Model!$AK$1579*AVERAGE('Assumptions (Geo)'!$AG$2:$AI$2)/10^9,0)</f>
        <v>0</v>
      </c>
      <c r="AZ1774" s="177">
        <f>IF($AK$1579&gt;0,'Assumptions (Geo)'!AK11*Model!$AK$1579*AVERAGE('Assumptions (Geo)'!$AG$2:$AI$2)/10^9,0)</f>
        <v>0</v>
      </c>
      <c r="BA1774" s="177"/>
      <c r="BB1774" s="177"/>
      <c r="BC1774" s="177"/>
      <c r="BD1774" s="177"/>
      <c r="BE1774" s="177"/>
      <c r="BF1774" s="177"/>
      <c r="BG1774" s="177"/>
      <c r="BH1774" s="177"/>
      <c r="BI1774" s="177"/>
    </row>
    <row r="1775" ht="15.75" hidden="1" customHeight="1" outlineLevel="1">
      <c r="A1775" s="295"/>
      <c r="B1775" s="38"/>
      <c r="C1775" s="174"/>
      <c r="D1775" s="174"/>
      <c r="E1775" s="174"/>
      <c r="F1775" s="174"/>
      <c r="G1775" s="174"/>
      <c r="H1775" s="174"/>
      <c r="I1775" s="174"/>
      <c r="J1775" s="174"/>
      <c r="K1775" s="174"/>
      <c r="L1775" s="174"/>
      <c r="M1775" s="174"/>
      <c r="N1775" s="174"/>
      <c r="O1775" s="174"/>
      <c r="P1775" s="174"/>
      <c r="Q1775" s="174"/>
      <c r="R1775" s="174"/>
      <c r="S1775" s="174"/>
      <c r="T1775" s="174"/>
      <c r="U1775" s="174"/>
      <c r="V1775" s="174"/>
      <c r="W1775" s="160"/>
      <c r="X1775" s="160"/>
      <c r="Y1775" s="160"/>
      <c r="Z1775" s="160"/>
      <c r="AA1775" s="160"/>
      <c r="AB1775" s="160"/>
      <c r="AC1775" s="160"/>
      <c r="AD1775" s="160"/>
      <c r="AE1775" s="160"/>
      <c r="AF1775" s="160"/>
      <c r="AG1775" s="160"/>
      <c r="AH1775" s="160"/>
      <c r="AI1775" s="160"/>
      <c r="AJ1775" s="179"/>
      <c r="AK1775" s="160"/>
      <c r="AL1775" s="177">
        <f>IF($AL$1579&gt;0,'Assumptions (Geo)'!V11*Model!$AL$1579*AVERAGE('Assumptions (Geo)'!$AH$2:$AJ$2)/10^9,0)</f>
        <v>0</v>
      </c>
      <c r="AM1775" s="177">
        <f>IF($AL$1579&gt;0,'Assumptions (Geo)'!W11*Model!$AL$1579*AVERAGE('Assumptions (Geo)'!$AH$2:$AJ$2)/10^9,0)</f>
        <v>0</v>
      </c>
      <c r="AN1775" s="177">
        <f>IF($AL$1579&gt;0,'Assumptions (Geo)'!X11*Model!$AL$1579*AVERAGE('Assumptions (Geo)'!$AH$2:$AJ$2)/10^9,0)</f>
        <v>0</v>
      </c>
      <c r="AO1775" s="177">
        <f>IF($AL$1579&gt;0,'Assumptions (Geo)'!Y11*Model!$AL$1579*AVERAGE('Assumptions (Geo)'!$AH$2:$AJ$2)/10^9,0)</f>
        <v>0</v>
      </c>
      <c r="AP1775" s="177">
        <f>IF($AL$1579&gt;0,'Assumptions (Geo)'!Z11*Model!$AL$1579*AVERAGE('Assumptions (Geo)'!$AH$2:$AJ$2)/10^9,0)</f>
        <v>0</v>
      </c>
      <c r="AQ1775" s="177">
        <f>IF($AL$1579&gt;0,'Assumptions (Geo)'!AA11*Model!$AL$1579*AVERAGE('Assumptions (Geo)'!$AH$2:$AJ$2)/10^9,0)</f>
        <v>0</v>
      </c>
      <c r="AR1775" s="177">
        <f>IF($AL$1579&gt;0,'Assumptions (Geo)'!AB11*Model!$AL$1579*AVERAGE('Assumptions (Geo)'!$AH$2:$AJ$2)/10^9,0)</f>
        <v>0</v>
      </c>
      <c r="AS1775" s="177">
        <f>IF($AL$1579&gt;0,'Assumptions (Geo)'!AC11*Model!$AL$1579*AVERAGE('Assumptions (Geo)'!$AH$2:$AJ$2)/10^9,0)</f>
        <v>0</v>
      </c>
      <c r="AT1775" s="177">
        <f>IF($AL$1579&gt;0,'Assumptions (Geo)'!AD11*Model!$AL$1579*AVERAGE('Assumptions (Geo)'!$AH$2:$AJ$2)/10^9,0)</f>
        <v>0</v>
      </c>
      <c r="AU1775" s="177">
        <f>IF($AL$1579&gt;0,'Assumptions (Geo)'!AE11*Model!$AL$1579*AVERAGE('Assumptions (Geo)'!$AH$2:$AJ$2)/10^9,0)</f>
        <v>0</v>
      </c>
      <c r="AV1775" s="177">
        <f>IF($AL$1579&gt;0,'Assumptions (Geo)'!AF11*Model!$AL$1579*AVERAGE('Assumptions (Geo)'!$AH$2:$AJ$2)/10^9,0)</f>
        <v>0</v>
      </c>
      <c r="AW1775" s="177">
        <f>IF($AL$1579&gt;0,'Assumptions (Geo)'!AG11*Model!$AL$1579*AVERAGE('Assumptions (Geo)'!$AH$2:$AJ$2)/10^9,0)</f>
        <v>0</v>
      </c>
      <c r="AX1775" s="177">
        <f>IF($AL$1579&gt;0,'Assumptions (Geo)'!AH11*Model!$AL$1579*AVERAGE('Assumptions (Geo)'!$AH$2:$AJ$2)/10^9,0)</f>
        <v>0</v>
      </c>
      <c r="AY1775" s="177">
        <f>IF($AL$1579&gt;0,'Assumptions (Geo)'!AI11*Model!$AL$1579*AVERAGE('Assumptions (Geo)'!$AH$2:$AJ$2)/10^9,0)</f>
        <v>0</v>
      </c>
      <c r="AZ1775" s="177">
        <f>IF($AL$1579&gt;0,'Assumptions (Geo)'!AJ11*Model!$AL$1579*AVERAGE('Assumptions (Geo)'!$AH$2:$AJ$2)/10^9,0)</f>
        <v>0</v>
      </c>
      <c r="BA1775" s="177">
        <f>IF($AL$1579&gt;0,'Assumptions (Geo)'!AK11*Model!$AL$1579*AVERAGE('Assumptions (Geo)'!$AH$2:$AJ$2)/10^9,0)</f>
        <v>0</v>
      </c>
      <c r="BB1775" s="177"/>
      <c r="BC1775" s="177"/>
      <c r="BD1775" s="177"/>
      <c r="BE1775" s="177"/>
      <c r="BF1775" s="177"/>
      <c r="BG1775" s="177"/>
      <c r="BH1775" s="177"/>
      <c r="BI1775" s="177"/>
      <c r="BJ1775" s="177"/>
    </row>
    <row r="1776" ht="15.75" hidden="1" customHeight="1" outlineLevel="1">
      <c r="A1776" s="295"/>
      <c r="B1776" s="38"/>
      <c r="C1776" s="174"/>
      <c r="D1776" s="174"/>
      <c r="E1776" s="174"/>
      <c r="F1776" s="174"/>
      <c r="G1776" s="174"/>
      <c r="H1776" s="174"/>
      <c r="I1776" s="174"/>
      <c r="J1776" s="174"/>
      <c r="K1776" s="174"/>
      <c r="L1776" s="174"/>
      <c r="M1776" s="174"/>
      <c r="N1776" s="174"/>
      <c r="O1776" s="174"/>
      <c r="P1776" s="174"/>
      <c r="Q1776" s="174"/>
      <c r="R1776" s="174"/>
      <c r="S1776" s="174"/>
      <c r="T1776" s="174"/>
      <c r="U1776" s="174"/>
      <c r="V1776" s="174"/>
      <c r="W1776" s="160"/>
      <c r="X1776" s="160"/>
      <c r="Y1776" s="160"/>
      <c r="Z1776" s="160"/>
      <c r="AA1776" s="160"/>
      <c r="AB1776" s="160"/>
      <c r="AC1776" s="160"/>
      <c r="AD1776" s="160"/>
      <c r="AE1776" s="160"/>
      <c r="AF1776" s="160"/>
      <c r="AG1776" s="160"/>
      <c r="AH1776" s="160"/>
      <c r="AI1776" s="160"/>
      <c r="AJ1776" s="179"/>
      <c r="AK1776" s="160"/>
      <c r="AL1776" s="177"/>
      <c r="AM1776" s="160">
        <f>IF($AM$1579&gt;0,'Assumptions (Geo)'!V11*Model!$AM$1579*AVERAGE('Assumptions (Geo)'!$AI$2:$AK$2)/10^9,0)</f>
        <v>0</v>
      </c>
      <c r="AN1776" s="160">
        <f>IF($AM$1579&gt;0,'Assumptions (Geo)'!W11*Model!$AM$1579*AVERAGE('Assumptions (Geo)'!$AI$2:$AK$2)/10^9,0)</f>
        <v>0</v>
      </c>
      <c r="AO1776" s="160">
        <f>IF($AM$1579&gt;0,'Assumptions (Geo)'!X11*Model!$AM$1579*AVERAGE('Assumptions (Geo)'!$AI$2:$AK$2)/10^9,0)</f>
        <v>0</v>
      </c>
      <c r="AP1776" s="160">
        <f>IF($AM$1579&gt;0,'Assumptions (Geo)'!Y11*Model!$AM$1579*AVERAGE('Assumptions (Geo)'!$AI$2:$AK$2)/10^9,0)</f>
        <v>0</v>
      </c>
      <c r="AQ1776" s="160">
        <f>IF($AM$1579&gt;0,'Assumptions (Geo)'!Z11*Model!$AM$1579*AVERAGE('Assumptions (Geo)'!$AI$2:$AK$2)/10^9,0)</f>
        <v>0</v>
      </c>
      <c r="AR1776" s="160">
        <f>IF($AM$1579&gt;0,'Assumptions (Geo)'!AA11*Model!$AM$1579*AVERAGE('Assumptions (Geo)'!$AI$2:$AK$2)/10^9,0)</f>
        <v>0</v>
      </c>
      <c r="AS1776" s="160">
        <f>IF($AM$1579&gt;0,'Assumptions (Geo)'!AB11*Model!$AM$1579*AVERAGE('Assumptions (Geo)'!$AI$2:$AK$2)/10^9,0)</f>
        <v>0</v>
      </c>
      <c r="AT1776" s="160">
        <f>IF($AM$1579&gt;0,'Assumptions (Geo)'!AC11*Model!$AM$1579*AVERAGE('Assumptions (Geo)'!$AI$2:$AK$2)/10^9,0)</f>
        <v>0</v>
      </c>
      <c r="AU1776" s="160">
        <f>IF($AM$1579&gt;0,'Assumptions (Geo)'!AD11*Model!$AM$1579*AVERAGE('Assumptions (Geo)'!$AI$2:$AK$2)/10^9,0)</f>
        <v>0</v>
      </c>
      <c r="AV1776" s="160">
        <f>IF($AM$1579&gt;0,'Assumptions (Geo)'!AE11*Model!$AM$1579*AVERAGE('Assumptions (Geo)'!$AI$2:$AK$2)/10^9,0)</f>
        <v>0</v>
      </c>
      <c r="AW1776" s="160">
        <f>IF($AM$1579&gt;0,'Assumptions (Geo)'!AF11*Model!$AM$1579*AVERAGE('Assumptions (Geo)'!$AI$2:$AK$2)/10^9,0)</f>
        <v>0</v>
      </c>
      <c r="AX1776" s="160">
        <f>IF($AM$1579&gt;0,'Assumptions (Geo)'!AG11*Model!$AM$1579*AVERAGE('Assumptions (Geo)'!$AI$2:$AK$2)/10^9,0)</f>
        <v>0</v>
      </c>
      <c r="AY1776" s="160">
        <f>IF($AM$1579&gt;0,'Assumptions (Geo)'!AH11*Model!$AM$1579*AVERAGE('Assumptions (Geo)'!$AI$2:$AK$2)/10^9,0)</f>
        <v>0</v>
      </c>
      <c r="AZ1776" s="160">
        <f>IF($AM$1579&gt;0,'Assumptions (Geo)'!AI11*Model!$AM$1579*AVERAGE('Assumptions (Geo)'!$AI$2:$AK$2)/10^9,0)</f>
        <v>0</v>
      </c>
      <c r="BA1776" s="160">
        <f>IF($AM$1579&gt;0,'Assumptions (Geo)'!AJ11*Model!$AM$1579*AVERAGE('Assumptions (Geo)'!$AI$2:$AK$2)/10^9,0)</f>
        <v>0</v>
      </c>
      <c r="BB1776" s="160">
        <f>IF($AM$1579&gt;0,'Assumptions (Geo)'!AK11*Model!$AM$1579*AVERAGE('Assumptions (Geo)'!$AI$2:$AK$2)/10^9,0)</f>
        <v>0</v>
      </c>
      <c r="BC1776" s="160"/>
      <c r="BD1776" s="160"/>
      <c r="BE1776" s="160"/>
      <c r="BF1776" s="160"/>
      <c r="BG1776" s="160"/>
      <c r="BH1776" s="160"/>
      <c r="BI1776" s="160"/>
      <c r="BJ1776" s="160"/>
      <c r="BK1776" s="160"/>
    </row>
    <row r="1777" ht="15.75" hidden="1" customHeight="1" outlineLevel="1">
      <c r="A1777" s="295"/>
      <c r="B1777" s="38"/>
      <c r="C1777" s="174"/>
      <c r="D1777" s="174"/>
      <c r="E1777" s="174"/>
      <c r="F1777" s="174"/>
      <c r="G1777" s="174"/>
      <c r="H1777" s="174"/>
      <c r="I1777" s="174"/>
      <c r="J1777" s="174"/>
      <c r="K1777" s="174"/>
      <c r="L1777" s="174"/>
      <c r="M1777" s="174"/>
      <c r="N1777" s="174"/>
      <c r="O1777" s="174"/>
      <c r="P1777" s="174"/>
      <c r="Q1777" s="174"/>
      <c r="R1777" s="174"/>
      <c r="S1777" s="174"/>
      <c r="T1777" s="174"/>
      <c r="U1777" s="174"/>
      <c r="V1777" s="174"/>
      <c r="W1777" s="160"/>
      <c r="X1777" s="160"/>
      <c r="Y1777" s="160"/>
      <c r="Z1777" s="160"/>
      <c r="AA1777" s="160"/>
      <c r="AB1777" s="160"/>
      <c r="AC1777" s="160"/>
      <c r="AD1777" s="160"/>
      <c r="AE1777" s="160"/>
      <c r="AF1777" s="160"/>
      <c r="AG1777" s="160"/>
      <c r="AH1777" s="160"/>
      <c r="AI1777" s="160"/>
      <c r="AJ1777" s="179"/>
      <c r="AK1777" s="160"/>
      <c r="AL1777" s="177"/>
      <c r="AM1777" s="177"/>
      <c r="AN1777" s="160">
        <f>IF($AN$1579&gt;0,'Assumptions (Geo)'!V11*Model!$AN$1579*AVERAGE('Assumptions (Geo)'!$AJ$2:$AL$2)/10^9,0)</f>
        <v>0</v>
      </c>
      <c r="AO1777" s="160">
        <f>IF($AN$1579&gt;0,'Assumptions (Geo)'!W11*Model!$AN$1579*AVERAGE('Assumptions (Geo)'!$AJ$2:$AL$2)/10^9,0)</f>
        <v>0</v>
      </c>
      <c r="AP1777" s="160">
        <f>IF($AN$1579&gt;0,'Assumptions (Geo)'!X11*Model!$AN$1579*AVERAGE('Assumptions (Geo)'!$AJ$2:$AL$2)/10^9,0)</f>
        <v>0</v>
      </c>
      <c r="AQ1777" s="160">
        <f>IF($AN$1579&gt;0,'Assumptions (Geo)'!Y11*Model!$AN$1579*AVERAGE('Assumptions (Geo)'!$AJ$2:$AL$2)/10^9,0)</f>
        <v>0</v>
      </c>
      <c r="AR1777" s="160">
        <f>IF($AN$1579&gt;0,'Assumptions (Geo)'!Z11*Model!$AN$1579*AVERAGE('Assumptions (Geo)'!$AJ$2:$AL$2)/10^9,0)</f>
        <v>0</v>
      </c>
      <c r="AS1777" s="160">
        <f>IF($AN$1579&gt;0,'Assumptions (Geo)'!AA11*Model!$AN$1579*AVERAGE('Assumptions (Geo)'!$AJ$2:$AL$2)/10^9,0)</f>
        <v>0</v>
      </c>
      <c r="AT1777" s="160">
        <f>IF($AN$1579&gt;0,'Assumptions (Geo)'!AB11*Model!$AN$1579*AVERAGE('Assumptions (Geo)'!$AJ$2:$AL$2)/10^9,0)</f>
        <v>0</v>
      </c>
      <c r="AU1777" s="160">
        <f>IF($AN$1579&gt;0,'Assumptions (Geo)'!AC11*Model!$AN$1579*AVERAGE('Assumptions (Geo)'!$AJ$2:$AL$2)/10^9,0)</f>
        <v>0</v>
      </c>
      <c r="AV1777" s="160">
        <f>IF($AN$1579&gt;0,'Assumptions (Geo)'!AD11*Model!$AN$1579*AVERAGE('Assumptions (Geo)'!$AJ$2:$AL$2)/10^9,0)</f>
        <v>0</v>
      </c>
      <c r="AW1777" s="160">
        <f>IF($AN$1579&gt;0,'Assumptions (Geo)'!AE11*Model!$AN$1579*AVERAGE('Assumptions (Geo)'!$AJ$2:$AL$2)/10^9,0)</f>
        <v>0</v>
      </c>
      <c r="AX1777" s="160">
        <f>IF($AN$1579&gt;0,'Assumptions (Geo)'!AF11*Model!$AN$1579*AVERAGE('Assumptions (Geo)'!$AJ$2:$AL$2)/10^9,0)</f>
        <v>0</v>
      </c>
      <c r="AY1777" s="160">
        <f>IF($AN$1579&gt;0,'Assumptions (Geo)'!AG11*Model!$AN$1579*AVERAGE('Assumptions (Geo)'!$AJ$2:$AL$2)/10^9,0)</f>
        <v>0</v>
      </c>
      <c r="AZ1777" s="160">
        <f>IF($AN$1579&gt;0,'Assumptions (Geo)'!AH11*Model!$AN$1579*AVERAGE('Assumptions (Geo)'!$AJ$2:$AL$2)/10^9,0)</f>
        <v>0</v>
      </c>
      <c r="BA1777" s="160">
        <f>IF($AN$1579&gt;0,'Assumptions (Geo)'!AI11*Model!$AN$1579*AVERAGE('Assumptions (Geo)'!$AJ$2:$AL$2)/10^9,0)</f>
        <v>0</v>
      </c>
      <c r="BB1777" s="160">
        <f>IF($AN$1579&gt;0,'Assumptions (Geo)'!AJ11*Model!$AN$1579*AVERAGE('Assumptions (Geo)'!$AJ$2:$AL$2)/10^9,0)</f>
        <v>0</v>
      </c>
      <c r="BC1777" s="160">
        <f>IF($AN$1579&gt;0,'Assumptions (Geo)'!AK11*Model!$AN$1579*AVERAGE('Assumptions (Geo)'!$AJ$2:$AL$2)/10^9,0)</f>
        <v>0</v>
      </c>
      <c r="BD1777" s="160"/>
      <c r="BE1777" s="160"/>
      <c r="BF1777" s="160"/>
      <c r="BG1777" s="160"/>
      <c r="BH1777" s="160"/>
      <c r="BI1777" s="160"/>
      <c r="BJ1777" s="160"/>
      <c r="BK1777" s="160"/>
      <c r="BL1777" s="160"/>
    </row>
    <row r="1778" ht="15.75" hidden="1" customHeight="1" outlineLevel="1">
      <c r="A1778" s="295"/>
      <c r="B1778" s="38"/>
      <c r="C1778" s="174"/>
      <c r="D1778" s="174"/>
      <c r="E1778" s="174"/>
      <c r="F1778" s="174"/>
      <c r="G1778" s="174"/>
      <c r="H1778" s="174"/>
      <c r="I1778" s="174"/>
      <c r="J1778" s="174"/>
      <c r="K1778" s="174"/>
      <c r="L1778" s="174"/>
      <c r="M1778" s="174"/>
      <c r="N1778" s="174"/>
      <c r="O1778" s="174"/>
      <c r="P1778" s="174"/>
      <c r="Q1778" s="174"/>
      <c r="R1778" s="174"/>
      <c r="S1778" s="174"/>
      <c r="T1778" s="174"/>
      <c r="U1778" s="174"/>
      <c r="V1778" s="174"/>
      <c r="W1778" s="160"/>
      <c r="X1778" s="160"/>
      <c r="Y1778" s="160"/>
      <c r="Z1778" s="160"/>
      <c r="AA1778" s="160"/>
      <c r="AB1778" s="160"/>
      <c r="AC1778" s="160"/>
      <c r="AD1778" s="160"/>
      <c r="AE1778" s="160"/>
      <c r="AF1778" s="160"/>
      <c r="AG1778" s="160"/>
      <c r="AH1778" s="160"/>
      <c r="AI1778" s="160"/>
      <c r="AJ1778" s="179"/>
      <c r="AK1778" s="160"/>
      <c r="AL1778" s="177"/>
      <c r="AM1778" s="177"/>
      <c r="AN1778" s="177"/>
      <c r="AO1778" s="160">
        <f>IF($AO$1579&gt;0,'Assumptions (Geo)'!V11*Model!$AO$1579*AVERAGE('Assumptions (Geo)'!$AK$2:$AM$2)/10^9,0)</f>
        <v>0</v>
      </c>
      <c r="AP1778" s="160">
        <f>IF($AO$1579&gt;0,'Assumptions (Geo)'!W11*Model!$AO$1579*AVERAGE('Assumptions (Geo)'!$AK$2:$AM$2)/10^9,0)</f>
        <v>0</v>
      </c>
      <c r="AQ1778" s="160">
        <f>IF($AO$1579&gt;0,'Assumptions (Geo)'!X11*Model!$AO$1579*AVERAGE('Assumptions (Geo)'!$AK$2:$AM$2)/10^9,0)</f>
        <v>0</v>
      </c>
      <c r="AR1778" s="160">
        <f>IF($AO$1579&gt;0,'Assumptions (Geo)'!Y11*Model!$AO$1579*AVERAGE('Assumptions (Geo)'!$AK$2:$AM$2)/10^9,0)</f>
        <v>0</v>
      </c>
      <c r="AS1778" s="160">
        <f>IF($AO$1579&gt;0,'Assumptions (Geo)'!Z11*Model!$AO$1579*AVERAGE('Assumptions (Geo)'!$AK$2:$AM$2)/10^9,0)</f>
        <v>0</v>
      </c>
      <c r="AT1778" s="160">
        <f>IF($AO$1579&gt;0,'Assumptions (Geo)'!AA11*Model!$AO$1579*AVERAGE('Assumptions (Geo)'!$AK$2:$AM$2)/10^9,0)</f>
        <v>0</v>
      </c>
      <c r="AU1778" s="160">
        <f>IF($AO$1579&gt;0,'Assumptions (Geo)'!AB11*Model!$AO$1579*AVERAGE('Assumptions (Geo)'!$AK$2:$AM$2)/10^9,0)</f>
        <v>0</v>
      </c>
      <c r="AV1778" s="160">
        <f>IF($AO$1579&gt;0,'Assumptions (Geo)'!AC11*Model!$AO$1579*AVERAGE('Assumptions (Geo)'!$AK$2:$AM$2)/10^9,0)</f>
        <v>0</v>
      </c>
      <c r="AW1778" s="160">
        <f>IF($AO$1579&gt;0,'Assumptions (Geo)'!AD11*Model!$AO$1579*AVERAGE('Assumptions (Geo)'!$AK$2:$AM$2)/10^9,0)</f>
        <v>0</v>
      </c>
      <c r="AX1778" s="160">
        <f>IF($AO$1579&gt;0,'Assumptions (Geo)'!AE11*Model!$AO$1579*AVERAGE('Assumptions (Geo)'!$AK$2:$AM$2)/10^9,0)</f>
        <v>0</v>
      </c>
      <c r="AY1778" s="160">
        <f>IF($AO$1579&gt;0,'Assumptions (Geo)'!AF11*Model!$AO$1579*AVERAGE('Assumptions (Geo)'!$AK$2:$AM$2)/10^9,0)</f>
        <v>0</v>
      </c>
      <c r="AZ1778" s="160">
        <f>IF($AO$1579&gt;0,'Assumptions (Geo)'!AG11*Model!$AO$1579*AVERAGE('Assumptions (Geo)'!$AK$2:$AM$2)/10^9,0)</f>
        <v>0</v>
      </c>
      <c r="BA1778" s="160">
        <f>IF($AO$1579&gt;0,'Assumptions (Geo)'!AH11*Model!$AO$1579*AVERAGE('Assumptions (Geo)'!$AK$2:$AM$2)/10^9,0)</f>
        <v>0</v>
      </c>
      <c r="BB1778" s="160">
        <f>IF($AO$1579&gt;0,'Assumptions (Geo)'!AI11*Model!$AO$1579*AVERAGE('Assumptions (Geo)'!$AK$2:$AM$2)/10^9,0)</f>
        <v>0</v>
      </c>
      <c r="BC1778" s="160">
        <f>IF($AO$1579&gt;0,'Assumptions (Geo)'!AJ11*Model!$AO$1579*AVERAGE('Assumptions (Geo)'!$AK$2:$AM$2)/10^9,0)</f>
        <v>0</v>
      </c>
      <c r="BD1778" s="160">
        <f>IF($AO$1579&gt;0,'Assumptions (Geo)'!AK11*Model!$AO$1579*AVERAGE('Assumptions (Geo)'!$AK$2:$AM$2)/10^9,0)</f>
        <v>0</v>
      </c>
      <c r="BE1778" s="160"/>
      <c r="BF1778" s="160"/>
      <c r="BG1778" s="160"/>
      <c r="BH1778" s="160"/>
      <c r="BI1778" s="160"/>
      <c r="BJ1778" s="160"/>
      <c r="BK1778" s="160"/>
      <c r="BL1778" s="160"/>
      <c r="BM1778" s="160"/>
    </row>
    <row r="1779" ht="15.75" hidden="1" customHeight="1" outlineLevel="1">
      <c r="A1779" s="295"/>
      <c r="B1779" s="38"/>
      <c r="C1779" s="174"/>
      <c r="D1779" s="174"/>
      <c r="E1779" s="174"/>
      <c r="F1779" s="174"/>
      <c r="G1779" s="174"/>
      <c r="H1779" s="174"/>
      <c r="I1779" s="174"/>
      <c r="J1779" s="174"/>
      <c r="K1779" s="174"/>
      <c r="L1779" s="174"/>
      <c r="M1779" s="174"/>
      <c r="N1779" s="174"/>
      <c r="O1779" s="174"/>
      <c r="P1779" s="174"/>
      <c r="Q1779" s="174"/>
      <c r="R1779" s="174"/>
      <c r="S1779" s="174"/>
      <c r="T1779" s="174"/>
      <c r="U1779" s="174"/>
      <c r="V1779" s="174"/>
      <c r="W1779" s="160"/>
      <c r="X1779" s="160"/>
      <c r="Y1779" s="160"/>
      <c r="Z1779" s="160"/>
      <c r="AA1779" s="160"/>
      <c r="AB1779" s="160"/>
      <c r="AC1779" s="160"/>
      <c r="AD1779" s="160"/>
      <c r="AE1779" s="160"/>
      <c r="AF1779" s="160"/>
      <c r="AG1779" s="160"/>
      <c r="AH1779" s="160"/>
      <c r="AI1779" s="160"/>
      <c r="AJ1779" s="179"/>
      <c r="AK1779" s="160"/>
      <c r="AL1779" s="177"/>
      <c r="AM1779" s="177"/>
      <c r="AN1779" s="177"/>
      <c r="AO1779" s="160"/>
      <c r="AP1779" s="160">
        <f>IF($AP$1579&gt;0,'Assumptions (Geo)'!V11*Model!$AP$1579*AVERAGE('Assumptions (Geo)'!$AL$2:$AN$2)/10^9,0)</f>
        <v>0</v>
      </c>
      <c r="AQ1779" s="160">
        <f>IF($AP$1579&gt;0,'Assumptions (Geo)'!W11*Model!$AP$1579*AVERAGE('Assumptions (Geo)'!$AL$2:$AN$2)/10^9,0)</f>
        <v>0</v>
      </c>
      <c r="AR1779" s="160">
        <f>IF($AP$1579&gt;0,'Assumptions (Geo)'!X11*Model!$AP$1579*AVERAGE('Assumptions (Geo)'!$AL$2:$AN$2)/10^9,0)</f>
        <v>0</v>
      </c>
      <c r="AS1779" s="160">
        <f>IF($AP$1579&gt;0,'Assumptions (Geo)'!Y11*Model!$AP$1579*AVERAGE('Assumptions (Geo)'!$AL$2:$AN$2)/10^9,0)</f>
        <v>0</v>
      </c>
      <c r="AT1779" s="160">
        <f>IF($AP$1579&gt;0,'Assumptions (Geo)'!Z11*Model!$AP$1579*AVERAGE('Assumptions (Geo)'!$AL$2:$AN$2)/10^9,0)</f>
        <v>0</v>
      </c>
      <c r="AU1779" s="160">
        <f>IF($AP$1579&gt;0,'Assumptions (Geo)'!AA11*Model!$AP$1579*AVERAGE('Assumptions (Geo)'!$AL$2:$AN$2)/10^9,0)</f>
        <v>0</v>
      </c>
      <c r="AV1779" s="160">
        <f>IF($AP$1579&gt;0,'Assumptions (Geo)'!AB11*Model!$AP$1579*AVERAGE('Assumptions (Geo)'!$AL$2:$AN$2)/10^9,0)</f>
        <v>0</v>
      </c>
      <c r="AW1779" s="160">
        <f>IF($AP$1579&gt;0,'Assumptions (Geo)'!AC11*Model!$AP$1579*AVERAGE('Assumptions (Geo)'!$AL$2:$AN$2)/10^9,0)</f>
        <v>0</v>
      </c>
      <c r="AX1779" s="160">
        <f>IF($AP$1579&gt;0,'Assumptions (Geo)'!AD11*Model!$AP$1579*AVERAGE('Assumptions (Geo)'!$AL$2:$AN$2)/10^9,0)</f>
        <v>0</v>
      </c>
      <c r="AY1779" s="160">
        <f>IF($AP$1579&gt;0,'Assumptions (Geo)'!AE11*Model!$AP$1579*AVERAGE('Assumptions (Geo)'!$AL$2:$AN$2)/10^9,0)</f>
        <v>0</v>
      </c>
      <c r="AZ1779" s="160">
        <f>IF($AP$1579&gt;0,'Assumptions (Geo)'!AF11*Model!$AP$1579*AVERAGE('Assumptions (Geo)'!$AL$2:$AN$2)/10^9,0)</f>
        <v>0</v>
      </c>
      <c r="BA1779" s="160">
        <f>IF($AP$1579&gt;0,'Assumptions (Geo)'!AG11*Model!$AP$1579*AVERAGE('Assumptions (Geo)'!$AL$2:$AN$2)/10^9,0)</f>
        <v>0</v>
      </c>
      <c r="BB1779" s="160">
        <f>IF($AP$1579&gt;0,'Assumptions (Geo)'!AH11*Model!$AP$1579*AVERAGE('Assumptions (Geo)'!$AL$2:$AN$2)/10^9,0)</f>
        <v>0</v>
      </c>
      <c r="BC1779" s="160">
        <f>IF($AP$1579&gt;0,'Assumptions (Geo)'!AI11*Model!$AP$1579*AVERAGE('Assumptions (Geo)'!$AL$2:$AN$2)/10^9,0)</f>
        <v>0</v>
      </c>
      <c r="BD1779" s="160">
        <f>IF($AP$1579&gt;0,'Assumptions (Geo)'!AJ11*Model!$AP$1579*AVERAGE('Assumptions (Geo)'!$AL$2:$AN$2)/10^9,0)</f>
        <v>0</v>
      </c>
      <c r="BE1779" s="160">
        <f>IF($AP$1579&gt;0,'Assumptions (Geo)'!AK11*Model!$AP$1579*AVERAGE('Assumptions (Geo)'!$AL$2:$AN$2)/10^9,0)</f>
        <v>0</v>
      </c>
      <c r="BF1779" s="160"/>
      <c r="BG1779" s="160"/>
      <c r="BH1779" s="160"/>
      <c r="BI1779" s="160"/>
      <c r="BJ1779" s="160"/>
      <c r="BK1779" s="160"/>
      <c r="BL1779" s="160"/>
      <c r="BM1779" s="160"/>
      <c r="BN1779" s="160"/>
    </row>
    <row r="1780" ht="15.75" hidden="1" customHeight="1" outlineLevel="1">
      <c r="A1780" s="295"/>
      <c r="B1780" s="38"/>
      <c r="C1780" s="174"/>
      <c r="D1780" s="174"/>
      <c r="E1780" s="174"/>
      <c r="F1780" s="174"/>
      <c r="G1780" s="174"/>
      <c r="H1780" s="174"/>
      <c r="I1780" s="174"/>
      <c r="J1780" s="174"/>
      <c r="K1780" s="174"/>
      <c r="L1780" s="174"/>
      <c r="M1780" s="174"/>
      <c r="N1780" s="174"/>
      <c r="O1780" s="174"/>
      <c r="P1780" s="174"/>
      <c r="Q1780" s="174"/>
      <c r="R1780" s="174"/>
      <c r="S1780" s="174"/>
      <c r="T1780" s="174"/>
      <c r="U1780" s="174"/>
      <c r="V1780" s="174"/>
      <c r="W1780" s="160"/>
      <c r="X1780" s="160"/>
      <c r="Y1780" s="160"/>
      <c r="Z1780" s="160"/>
      <c r="AA1780" s="160"/>
      <c r="AB1780" s="160"/>
      <c r="AC1780" s="160"/>
      <c r="AD1780" s="160"/>
      <c r="AE1780" s="160"/>
      <c r="AF1780" s="160"/>
      <c r="AG1780" s="160"/>
      <c r="AH1780" s="160"/>
      <c r="AI1780" s="160"/>
      <c r="AJ1780" s="179"/>
      <c r="AK1780" s="160"/>
      <c r="AL1780" s="177"/>
      <c r="AM1780" s="177"/>
      <c r="AN1780" s="177"/>
      <c r="AO1780" s="160"/>
      <c r="AP1780" s="160"/>
      <c r="AQ1780" s="160">
        <f>IF($AQ$1579&gt;0,'Assumptions (Geo)'!V11*Model!$AQ$1579*AVERAGE('Assumptions (Geo)'!$AM$2:$AO$2)/10^9,0)</f>
        <v>0</v>
      </c>
      <c r="AR1780" s="160">
        <f>IF($AQ$1579&gt;0,'Assumptions (Geo)'!W11*Model!$AQ$1579*AVERAGE('Assumptions (Geo)'!$AM$2:$AO$2)/10^9,0)</f>
        <v>0</v>
      </c>
      <c r="AS1780" s="160">
        <f>IF($AQ$1579&gt;0,'Assumptions (Geo)'!X11*Model!$AQ$1579*AVERAGE('Assumptions (Geo)'!$AM$2:$AO$2)/10^9,0)</f>
        <v>0</v>
      </c>
      <c r="AT1780" s="160">
        <f>IF($AQ$1579&gt;0,'Assumptions (Geo)'!Y11*Model!$AQ$1579*AVERAGE('Assumptions (Geo)'!$AM$2:$AO$2)/10^9,0)</f>
        <v>0</v>
      </c>
      <c r="AU1780" s="160">
        <f>IF($AQ$1579&gt;0,'Assumptions (Geo)'!Z11*Model!$AQ$1579*AVERAGE('Assumptions (Geo)'!$AM$2:$AO$2)/10^9,0)</f>
        <v>0</v>
      </c>
      <c r="AV1780" s="160">
        <f>IF($AQ$1579&gt;0,'Assumptions (Geo)'!AA11*Model!$AQ$1579*AVERAGE('Assumptions (Geo)'!$AM$2:$AO$2)/10^9,0)</f>
        <v>0</v>
      </c>
      <c r="AW1780" s="160">
        <f>IF($AQ$1579&gt;0,'Assumptions (Geo)'!AB11*Model!$AQ$1579*AVERAGE('Assumptions (Geo)'!$AM$2:$AO$2)/10^9,0)</f>
        <v>0</v>
      </c>
      <c r="AX1780" s="160">
        <f>IF($AQ$1579&gt;0,'Assumptions (Geo)'!AC11*Model!$AQ$1579*AVERAGE('Assumptions (Geo)'!$AM$2:$AO$2)/10^9,0)</f>
        <v>0</v>
      </c>
      <c r="AY1780" s="160">
        <f>IF($AQ$1579&gt;0,'Assumptions (Geo)'!AD11*Model!$AQ$1579*AVERAGE('Assumptions (Geo)'!$AM$2:$AO$2)/10^9,0)</f>
        <v>0</v>
      </c>
      <c r="AZ1780" s="160">
        <f>IF($AQ$1579&gt;0,'Assumptions (Geo)'!AE11*Model!$AQ$1579*AVERAGE('Assumptions (Geo)'!$AM$2:$AO$2)/10^9,0)</f>
        <v>0</v>
      </c>
      <c r="BA1780" s="160">
        <f>IF($AQ$1579&gt;0,'Assumptions (Geo)'!AF11*Model!$AQ$1579*AVERAGE('Assumptions (Geo)'!$AM$2:$AO$2)/10^9,0)</f>
        <v>0</v>
      </c>
      <c r="BB1780" s="160">
        <f>IF($AQ$1579&gt;0,'Assumptions (Geo)'!AG11*Model!$AQ$1579*AVERAGE('Assumptions (Geo)'!$AM$2:$AO$2)/10^9,0)</f>
        <v>0</v>
      </c>
      <c r="BC1780" s="160">
        <f>IF($AQ$1579&gt;0,'Assumptions (Geo)'!AH11*Model!$AQ$1579*AVERAGE('Assumptions (Geo)'!$AM$2:$AO$2)/10^9,0)</f>
        <v>0</v>
      </c>
      <c r="BD1780" s="160">
        <f>IF($AQ$1579&gt;0,'Assumptions (Geo)'!AI11*Model!$AQ$1579*AVERAGE('Assumptions (Geo)'!$AM$2:$AO$2)/10^9,0)</f>
        <v>0</v>
      </c>
      <c r="BE1780" s="160">
        <f>IF($AQ$1579&gt;0,'Assumptions (Geo)'!AJ11*Model!$AQ$1579*AVERAGE('Assumptions (Geo)'!$AM$2:$AO$2)/10^9,0)</f>
        <v>0</v>
      </c>
      <c r="BF1780" s="160">
        <f>IF($AQ$1579&gt;0,'Assumptions (Geo)'!AK11*Model!$AQ$1579*AVERAGE('Assumptions (Geo)'!$AM$2:$AO$2)/10^9,0)</f>
        <v>0</v>
      </c>
      <c r="BG1780" s="160"/>
      <c r="BH1780" s="160"/>
      <c r="BI1780" s="160"/>
      <c r="BJ1780" s="160"/>
      <c r="BK1780" s="160"/>
      <c r="BL1780" s="160"/>
      <c r="BM1780" s="160"/>
      <c r="BN1780" s="160"/>
      <c r="BO1780" s="160"/>
    </row>
    <row r="1781" ht="15.75" hidden="1" customHeight="1" outlineLevel="1">
      <c r="A1781" s="295"/>
      <c r="B1781" s="38"/>
      <c r="C1781" s="174"/>
      <c r="D1781" s="174"/>
      <c r="E1781" s="174"/>
      <c r="F1781" s="174"/>
      <c r="G1781" s="174"/>
      <c r="H1781" s="174"/>
      <c r="I1781" s="174"/>
      <c r="J1781" s="174"/>
      <c r="K1781" s="174"/>
      <c r="L1781" s="174"/>
      <c r="M1781" s="174"/>
      <c r="N1781" s="174"/>
      <c r="O1781" s="174"/>
      <c r="P1781" s="174"/>
      <c r="Q1781" s="174"/>
      <c r="R1781" s="174"/>
      <c r="S1781" s="174"/>
      <c r="T1781" s="174"/>
      <c r="U1781" s="174"/>
      <c r="V1781" s="174"/>
      <c r="W1781" s="160"/>
      <c r="X1781" s="160"/>
      <c r="Y1781" s="160"/>
      <c r="Z1781" s="160"/>
      <c r="AA1781" s="160"/>
      <c r="AB1781" s="160"/>
      <c r="AC1781" s="160"/>
      <c r="AD1781" s="160"/>
      <c r="AE1781" s="160"/>
      <c r="AF1781" s="160"/>
      <c r="AG1781" s="160"/>
      <c r="AH1781" s="160"/>
      <c r="AI1781" s="160"/>
      <c r="AJ1781" s="179"/>
      <c r="AK1781" s="160"/>
      <c r="AL1781" s="177"/>
      <c r="AM1781" s="177"/>
      <c r="AN1781" s="177"/>
      <c r="AO1781" s="160"/>
      <c r="AP1781" s="160"/>
      <c r="AQ1781" s="160"/>
      <c r="AR1781" s="160">
        <f>IF($AR$1579&gt;0,'Assumptions (Geo)'!V11*Model!$AR$1579*AVERAGE('Assumptions (Geo)'!$AN$2:$AP$2)/10^9,0)</f>
        <v>0</v>
      </c>
      <c r="AS1781" s="160">
        <f>IF($AR$1579&gt;0,'Assumptions (Geo)'!W11*Model!$AR$1579*AVERAGE('Assumptions (Geo)'!$AN$2:$AP$2)/10^9,0)</f>
        <v>0</v>
      </c>
      <c r="AT1781" s="160">
        <f>IF($AR$1579&gt;0,'Assumptions (Geo)'!X11*Model!$AR$1579*AVERAGE('Assumptions (Geo)'!$AN$2:$AP$2)/10^9,0)</f>
        <v>0</v>
      </c>
      <c r="AU1781" s="160">
        <f>IF($AR$1579&gt;0,'Assumptions (Geo)'!Y11*Model!$AR$1579*AVERAGE('Assumptions (Geo)'!$AN$2:$AP$2)/10^9,0)</f>
        <v>0</v>
      </c>
      <c r="AV1781" s="160">
        <f>IF($AR$1579&gt;0,'Assumptions (Geo)'!Z11*Model!$AR$1579*AVERAGE('Assumptions (Geo)'!$AN$2:$AP$2)/10^9,0)</f>
        <v>0</v>
      </c>
      <c r="AW1781" s="160">
        <f>IF($AR$1579&gt;0,'Assumptions (Geo)'!AA11*Model!$AR$1579*AVERAGE('Assumptions (Geo)'!$AN$2:$AP$2)/10^9,0)</f>
        <v>0</v>
      </c>
      <c r="AX1781" s="160">
        <f>IF($AR$1579&gt;0,'Assumptions (Geo)'!AB11*Model!$AR$1579*AVERAGE('Assumptions (Geo)'!$AN$2:$AP$2)/10^9,0)</f>
        <v>0</v>
      </c>
      <c r="AY1781" s="160">
        <f>IF($AR$1579&gt;0,'Assumptions (Geo)'!AC11*Model!$AR$1579*AVERAGE('Assumptions (Geo)'!$AN$2:$AP$2)/10^9,0)</f>
        <v>0</v>
      </c>
      <c r="AZ1781" s="160">
        <f>IF($AR$1579&gt;0,'Assumptions (Geo)'!AD11*Model!$AR$1579*AVERAGE('Assumptions (Geo)'!$AN$2:$AP$2)/10^9,0)</f>
        <v>0</v>
      </c>
      <c r="BA1781" s="160">
        <f>IF($AR$1579&gt;0,'Assumptions (Geo)'!AE11*Model!$AR$1579*AVERAGE('Assumptions (Geo)'!$AN$2:$AP$2)/10^9,0)</f>
        <v>0</v>
      </c>
      <c r="BB1781" s="160">
        <f>IF($AR$1579&gt;0,'Assumptions (Geo)'!AF11*Model!$AR$1579*AVERAGE('Assumptions (Geo)'!$AN$2:$AP$2)/10^9,0)</f>
        <v>0</v>
      </c>
      <c r="BC1781" s="160">
        <f>IF($AR$1579&gt;0,'Assumptions (Geo)'!AG11*Model!$AR$1579*AVERAGE('Assumptions (Geo)'!$AN$2:$AP$2)/10^9,0)</f>
        <v>0</v>
      </c>
      <c r="BD1781" s="160">
        <f>IF($AR$1579&gt;0,'Assumptions (Geo)'!AH11*Model!$AR$1579*AVERAGE('Assumptions (Geo)'!$AN$2:$AP$2)/10^9,0)</f>
        <v>0</v>
      </c>
      <c r="BE1781" s="160">
        <f>IF($AR$1579&gt;0,'Assumptions (Geo)'!AI11*Model!$AR$1579*AVERAGE('Assumptions (Geo)'!$AN$2:$AP$2)/10^9,0)</f>
        <v>0</v>
      </c>
      <c r="BF1781" s="160">
        <f>IF($AR$1579&gt;0,'Assumptions (Geo)'!AJ11*Model!$AR$1579*AVERAGE('Assumptions (Geo)'!$AN$2:$AP$2)/10^9,0)</f>
        <v>0</v>
      </c>
      <c r="BG1781" s="160">
        <f>IF($AR$1579&gt;0,'Assumptions (Geo)'!AK11*Model!$AR$1579*AVERAGE('Assumptions (Geo)'!$AN$2:$AP$2)/10^9,0)</f>
        <v>0</v>
      </c>
      <c r="BH1781" s="160"/>
      <c r="BI1781" s="160"/>
      <c r="BJ1781" s="160"/>
      <c r="BK1781" s="160"/>
      <c r="BL1781" s="160"/>
      <c r="BM1781" s="160"/>
      <c r="BN1781" s="160"/>
      <c r="BO1781" s="160"/>
      <c r="BP1781" s="160"/>
    </row>
    <row r="1782" ht="15.75" hidden="1" customHeight="1" outlineLevel="1">
      <c r="A1782" s="295"/>
      <c r="B1782" s="38"/>
      <c r="C1782" s="174"/>
      <c r="D1782" s="174"/>
      <c r="E1782" s="174"/>
      <c r="F1782" s="174"/>
      <c r="G1782" s="174"/>
      <c r="H1782" s="174"/>
      <c r="I1782" s="174"/>
      <c r="J1782" s="174"/>
      <c r="K1782" s="174"/>
      <c r="L1782" s="174"/>
      <c r="M1782" s="174"/>
      <c r="N1782" s="174"/>
      <c r="O1782" s="174"/>
      <c r="P1782" s="174"/>
      <c r="Q1782" s="174"/>
      <c r="R1782" s="174"/>
      <c r="S1782" s="174"/>
      <c r="T1782" s="174"/>
      <c r="U1782" s="174"/>
      <c r="V1782" s="174"/>
      <c r="W1782" s="160"/>
      <c r="X1782" s="160"/>
      <c r="Y1782" s="160"/>
      <c r="Z1782" s="160"/>
      <c r="AA1782" s="160"/>
      <c r="AB1782" s="160"/>
      <c r="AC1782" s="160"/>
      <c r="AD1782" s="160"/>
      <c r="AE1782" s="160"/>
      <c r="AF1782" s="160"/>
      <c r="AG1782" s="160"/>
      <c r="AH1782" s="160"/>
      <c r="AI1782" s="160"/>
      <c r="AJ1782" s="179"/>
      <c r="AK1782" s="160"/>
      <c r="AL1782" s="177"/>
      <c r="AM1782" s="177"/>
      <c r="AN1782" s="177"/>
      <c r="AO1782" s="160"/>
      <c r="AP1782" s="160"/>
      <c r="AQ1782" s="160"/>
      <c r="AR1782" s="160"/>
      <c r="AS1782" s="160">
        <f>IF($AS$1579&gt;0,'Assumptions (Geo)'!V11*Model!$AS$1579*AVERAGE('Assumptions (Geo)'!$AO$2:$AQ$2)/10^9,0)</f>
        <v>0</v>
      </c>
      <c r="AT1782" s="160">
        <f>IF($AS$1579&gt;0,'Assumptions (Geo)'!W11*Model!$AS$1579*AVERAGE('Assumptions (Geo)'!$AO$2:$AQ$2)/10^9,0)</f>
        <v>0</v>
      </c>
      <c r="AU1782" s="160">
        <f>IF($AS$1579&gt;0,'Assumptions (Geo)'!X11*Model!$AS$1579*AVERAGE('Assumptions (Geo)'!$AO$2:$AQ$2)/10^9,0)</f>
        <v>0</v>
      </c>
      <c r="AV1782" s="160">
        <f>IF($AS$1579&gt;0,'Assumptions (Geo)'!Y11*Model!$AS$1579*AVERAGE('Assumptions (Geo)'!$AO$2:$AQ$2)/10^9,0)</f>
        <v>0</v>
      </c>
      <c r="AW1782" s="160">
        <f>IF($AS$1579&gt;0,'Assumptions (Geo)'!Z11*Model!$AS$1579*AVERAGE('Assumptions (Geo)'!$AO$2:$AQ$2)/10^9,0)</f>
        <v>0</v>
      </c>
      <c r="AX1782" s="160">
        <f>IF($AS$1579&gt;0,'Assumptions (Geo)'!AA11*Model!$AS$1579*AVERAGE('Assumptions (Geo)'!$AO$2:$AQ$2)/10^9,0)</f>
        <v>0</v>
      </c>
      <c r="AY1782" s="160">
        <f>IF($AS$1579&gt;0,'Assumptions (Geo)'!AB11*Model!$AS$1579*AVERAGE('Assumptions (Geo)'!$AO$2:$AQ$2)/10^9,0)</f>
        <v>0</v>
      </c>
      <c r="AZ1782" s="160">
        <f>IF($AS$1579&gt;0,'Assumptions (Geo)'!AC11*Model!$AS$1579*AVERAGE('Assumptions (Geo)'!$AO$2:$AQ$2)/10^9,0)</f>
        <v>0</v>
      </c>
      <c r="BA1782" s="160">
        <f>IF($AS$1579&gt;0,'Assumptions (Geo)'!AD11*Model!$AS$1579*AVERAGE('Assumptions (Geo)'!$AO$2:$AQ$2)/10^9,0)</f>
        <v>0</v>
      </c>
      <c r="BB1782" s="160">
        <f>IF($AS$1579&gt;0,'Assumptions (Geo)'!AE11*Model!$AS$1579*AVERAGE('Assumptions (Geo)'!$AO$2:$AQ$2)/10^9,0)</f>
        <v>0</v>
      </c>
      <c r="BC1782" s="160">
        <f>IF($AS$1579&gt;0,'Assumptions (Geo)'!AF11*Model!$AS$1579*AVERAGE('Assumptions (Geo)'!$AO$2:$AQ$2)/10^9,0)</f>
        <v>0</v>
      </c>
      <c r="BD1782" s="160">
        <f>IF($AS$1579&gt;0,'Assumptions (Geo)'!AG11*Model!$AS$1579*AVERAGE('Assumptions (Geo)'!$AO$2:$AQ$2)/10^9,0)</f>
        <v>0</v>
      </c>
      <c r="BE1782" s="160">
        <f>IF($AS$1579&gt;0,'Assumptions (Geo)'!AH11*Model!$AS$1579*AVERAGE('Assumptions (Geo)'!$AO$2:$AQ$2)/10^9,0)</f>
        <v>0</v>
      </c>
      <c r="BF1782" s="160">
        <f>IF($AS$1579&gt;0,'Assumptions (Geo)'!AI11*Model!$AS$1579*AVERAGE('Assumptions (Geo)'!$AO$2:$AQ$2)/10^9,0)</f>
        <v>0</v>
      </c>
      <c r="BG1782" s="160">
        <f>IF($AS$1579&gt;0,'Assumptions (Geo)'!AJ11*Model!$AS$1579*AVERAGE('Assumptions (Geo)'!$AO$2:$AQ$2)/10^9,0)</f>
        <v>0</v>
      </c>
      <c r="BH1782" s="160">
        <f>IF($AS$1579&gt;0,'Assumptions (Geo)'!AK11*Model!$AS$1579*AVERAGE('Assumptions (Geo)'!$AO$2:$AQ$2)/10^9,0)</f>
        <v>0</v>
      </c>
      <c r="BI1782" s="160"/>
      <c r="BJ1782" s="160"/>
      <c r="BK1782" s="160"/>
      <c r="BL1782" s="160"/>
      <c r="BM1782" s="160"/>
      <c r="BN1782" s="160"/>
      <c r="BO1782" s="160"/>
      <c r="BP1782" s="160"/>
    </row>
    <row r="1783" ht="15.75" hidden="1" customHeight="1" outlineLevel="1">
      <c r="A1783" s="295"/>
      <c r="B1783" s="38"/>
      <c r="C1783" s="174"/>
      <c r="D1783" s="174"/>
      <c r="E1783" s="174"/>
      <c r="F1783" s="174"/>
      <c r="G1783" s="174"/>
      <c r="H1783" s="174"/>
      <c r="I1783" s="174"/>
      <c r="J1783" s="174"/>
      <c r="K1783" s="174"/>
      <c r="L1783" s="174"/>
      <c r="M1783" s="174"/>
      <c r="N1783" s="174"/>
      <c r="O1783" s="174"/>
      <c r="P1783" s="174"/>
      <c r="Q1783" s="174"/>
      <c r="R1783" s="174"/>
      <c r="S1783" s="174"/>
      <c r="T1783" s="174"/>
      <c r="U1783" s="174"/>
      <c r="V1783" s="174"/>
      <c r="W1783" s="160"/>
      <c r="X1783" s="160"/>
      <c r="Y1783" s="160"/>
      <c r="Z1783" s="160"/>
      <c r="AA1783" s="160"/>
      <c r="AB1783" s="160"/>
      <c r="AC1783" s="160"/>
      <c r="AD1783" s="160"/>
      <c r="AE1783" s="160"/>
      <c r="AF1783" s="160"/>
      <c r="AG1783" s="160"/>
      <c r="AH1783" s="160"/>
      <c r="AI1783" s="160"/>
      <c r="AJ1783" s="179"/>
      <c r="AK1783" s="160"/>
      <c r="AL1783" s="177"/>
      <c r="AM1783" s="177"/>
      <c r="AN1783" s="177"/>
      <c r="AO1783" s="160"/>
      <c r="AP1783" s="160"/>
      <c r="AQ1783" s="160"/>
      <c r="AR1783" s="160"/>
      <c r="AS1783" s="160"/>
      <c r="AT1783" s="160">
        <f>IF($AT$1579&gt;0,'Assumptions (Geo)'!V11*Model!$AT$1579*AVERAGE('Assumptions (Geo)'!$AP$2:$AR$2)/10^9,0)</f>
        <v>0</v>
      </c>
      <c r="AU1783" s="160">
        <f>IF($AT$1579&gt;0,'Assumptions (Geo)'!W11*Model!$AT$1579*AVERAGE('Assumptions (Geo)'!$AP$2:$AR$2)/10^9,0)</f>
        <v>0</v>
      </c>
      <c r="AV1783" s="160">
        <f>IF($AT$1579&gt;0,'Assumptions (Geo)'!X11*Model!$AT$1579*AVERAGE('Assumptions (Geo)'!$AP$2:$AR$2)/10^9,0)</f>
        <v>0</v>
      </c>
      <c r="AW1783" s="160">
        <f>IF($AT$1579&gt;0,'Assumptions (Geo)'!Y11*Model!$AT$1579*AVERAGE('Assumptions (Geo)'!$AP$2:$AR$2)/10^9,0)</f>
        <v>0</v>
      </c>
      <c r="AX1783" s="160">
        <f>IF($AT$1579&gt;0,'Assumptions (Geo)'!Z11*Model!$AT$1579*AVERAGE('Assumptions (Geo)'!$AP$2:$AR$2)/10^9,0)</f>
        <v>0</v>
      </c>
      <c r="AY1783" s="160">
        <f>IF($AT$1579&gt;0,'Assumptions (Geo)'!AA11*Model!$AT$1579*AVERAGE('Assumptions (Geo)'!$AP$2:$AR$2)/10^9,0)</f>
        <v>0</v>
      </c>
      <c r="AZ1783" s="160">
        <f>IF($AT$1579&gt;0,'Assumptions (Geo)'!AB11*Model!$AT$1579*AVERAGE('Assumptions (Geo)'!$AP$2:$AR$2)/10^9,0)</f>
        <v>0</v>
      </c>
      <c r="BA1783" s="160">
        <f>IF($AT$1579&gt;0,'Assumptions (Geo)'!AC11*Model!$AT$1579*AVERAGE('Assumptions (Geo)'!$AP$2:$AR$2)/10^9,0)</f>
        <v>0</v>
      </c>
      <c r="BB1783" s="160">
        <f>IF($AT$1579&gt;0,'Assumptions (Geo)'!AD11*Model!$AT$1579*AVERAGE('Assumptions (Geo)'!$AP$2:$AR$2)/10^9,0)</f>
        <v>0</v>
      </c>
      <c r="BC1783" s="160">
        <f>IF($AT$1579&gt;0,'Assumptions (Geo)'!AE11*Model!$AT$1579*AVERAGE('Assumptions (Geo)'!$AP$2:$AR$2)/10^9,0)</f>
        <v>0</v>
      </c>
      <c r="BD1783" s="160">
        <f>IF($AT$1579&gt;0,'Assumptions (Geo)'!AF11*Model!$AT$1579*AVERAGE('Assumptions (Geo)'!$AP$2:$AR$2)/10^9,0)</f>
        <v>0</v>
      </c>
      <c r="BE1783" s="160">
        <f>IF($AT$1579&gt;0,'Assumptions (Geo)'!AG11*Model!$AT$1579*AVERAGE('Assumptions (Geo)'!$AP$2:$AR$2)/10^9,0)</f>
        <v>0</v>
      </c>
      <c r="BF1783" s="160">
        <f>IF($AT$1579&gt;0,'Assumptions (Geo)'!AH11*Model!$AT$1579*AVERAGE('Assumptions (Geo)'!$AP$2:$AR$2)/10^9,0)</f>
        <v>0</v>
      </c>
      <c r="BG1783" s="160">
        <f>IF($AT$1579&gt;0,'Assumptions (Geo)'!AI11*Model!$AT$1579*AVERAGE('Assumptions (Geo)'!$AP$2:$AR$2)/10^9,0)</f>
        <v>0</v>
      </c>
      <c r="BH1783" s="160">
        <f>IF($AT$1579&gt;0,'Assumptions (Geo)'!AJ11*Model!$AT$1579*AVERAGE('Assumptions (Geo)'!$AP$2:$AR$2)/10^9,0)</f>
        <v>0</v>
      </c>
      <c r="BI1783" s="160">
        <f>IF($AT$1579&gt;0,'Assumptions (Geo)'!AK11*Model!$AT$1579*AVERAGE('Assumptions (Geo)'!$AP$2:$AR$2)/10^9,0)</f>
        <v>0</v>
      </c>
      <c r="BJ1783" s="160"/>
      <c r="BK1783" s="160"/>
      <c r="BL1783" s="160"/>
      <c r="BM1783" s="160"/>
      <c r="BN1783" s="160"/>
      <c r="BO1783" s="160"/>
      <c r="BP1783" s="160"/>
    </row>
    <row r="1784" ht="15.75" hidden="1" customHeight="1" outlineLevel="1">
      <c r="A1784" s="295"/>
      <c r="B1784" s="38"/>
      <c r="C1784" s="174"/>
      <c r="D1784" s="174"/>
      <c r="E1784" s="174"/>
      <c r="F1784" s="174"/>
      <c r="G1784" s="174"/>
      <c r="H1784" s="174"/>
      <c r="I1784" s="174"/>
      <c r="J1784" s="174"/>
      <c r="K1784" s="174"/>
      <c r="L1784" s="174"/>
      <c r="M1784" s="174"/>
      <c r="N1784" s="174"/>
      <c r="O1784" s="174"/>
      <c r="P1784" s="174"/>
      <c r="Q1784" s="174"/>
      <c r="R1784" s="174"/>
      <c r="S1784" s="174"/>
      <c r="T1784" s="174"/>
      <c r="U1784" s="174"/>
      <c r="V1784" s="174"/>
      <c r="W1784" s="160"/>
      <c r="X1784" s="160"/>
      <c r="Y1784" s="160"/>
      <c r="Z1784" s="160"/>
      <c r="AA1784" s="160"/>
      <c r="AB1784" s="160"/>
      <c r="AC1784" s="160"/>
      <c r="AD1784" s="160"/>
      <c r="AE1784" s="160"/>
      <c r="AF1784" s="160"/>
      <c r="AG1784" s="160"/>
      <c r="AH1784" s="160"/>
      <c r="AI1784" s="160"/>
      <c r="AJ1784" s="179"/>
      <c r="AK1784" s="160"/>
      <c r="AL1784" s="177"/>
      <c r="AM1784" s="177"/>
      <c r="AN1784" s="177"/>
      <c r="AO1784" s="160"/>
      <c r="AP1784" s="160"/>
      <c r="AQ1784" s="160"/>
      <c r="AR1784" s="160"/>
      <c r="AS1784" s="160"/>
      <c r="AT1784" s="160"/>
      <c r="AU1784" s="160">
        <f>IF($AU$1579&gt;0,'Assumptions (Geo)'!V11*Model!$AU$1579*AVERAGE('Assumptions (Geo)'!$AQ$2:$AS$2)/10^9,0)</f>
        <v>0</v>
      </c>
      <c r="AV1784" s="160">
        <f>IF($AU$1579&gt;0,'Assumptions (Geo)'!W11*Model!$AU$1579*AVERAGE('Assumptions (Geo)'!$AQ$2:$AS$2)/10^9,0)</f>
        <v>0</v>
      </c>
      <c r="AW1784" s="160">
        <f>IF($AU$1579&gt;0,'Assumptions (Geo)'!X11*Model!$AU$1579*AVERAGE('Assumptions (Geo)'!$AQ$2:$AS$2)/10^9,0)</f>
        <v>0</v>
      </c>
      <c r="AX1784" s="160">
        <f>IF($AU$1579&gt;0,'Assumptions (Geo)'!Y11*Model!$AU$1579*AVERAGE('Assumptions (Geo)'!$AQ$2:$AS$2)/10^9,0)</f>
        <v>0</v>
      </c>
      <c r="AY1784" s="160">
        <f>IF($AU$1579&gt;0,'Assumptions (Geo)'!Z11*Model!$AU$1579*AVERAGE('Assumptions (Geo)'!$AQ$2:$AS$2)/10^9,0)</f>
        <v>0</v>
      </c>
      <c r="AZ1784" s="160">
        <f>IF($AU$1579&gt;0,'Assumptions (Geo)'!AA11*Model!$AU$1579*AVERAGE('Assumptions (Geo)'!$AQ$2:$AS$2)/10^9,0)</f>
        <v>0</v>
      </c>
      <c r="BA1784" s="160">
        <f>IF($AU$1579&gt;0,'Assumptions (Geo)'!AB11*Model!$AU$1579*AVERAGE('Assumptions (Geo)'!$AQ$2:$AS$2)/10^9,0)</f>
        <v>0</v>
      </c>
      <c r="BB1784" s="160">
        <f>IF($AU$1579&gt;0,'Assumptions (Geo)'!AC11*Model!$AU$1579*AVERAGE('Assumptions (Geo)'!$AQ$2:$AS$2)/10^9,0)</f>
        <v>0</v>
      </c>
      <c r="BC1784" s="160">
        <f>IF($AU$1579&gt;0,'Assumptions (Geo)'!AD11*Model!$AU$1579*AVERAGE('Assumptions (Geo)'!$AQ$2:$AS$2)/10^9,0)</f>
        <v>0</v>
      </c>
      <c r="BD1784" s="160">
        <f>IF($AU$1579&gt;0,'Assumptions (Geo)'!AE11*Model!$AU$1579*AVERAGE('Assumptions (Geo)'!$AQ$2:$AS$2)/10^9,0)</f>
        <v>0</v>
      </c>
      <c r="BE1784" s="160">
        <f>IF($AU$1579&gt;0,'Assumptions (Geo)'!AF11*Model!$AU$1579*AVERAGE('Assumptions (Geo)'!$AQ$2:$AS$2)/10^9,0)</f>
        <v>0</v>
      </c>
      <c r="BF1784" s="160">
        <f>IF($AU$1579&gt;0,'Assumptions (Geo)'!AG11*Model!$AU$1579*AVERAGE('Assumptions (Geo)'!$AQ$2:$AS$2)/10^9,0)</f>
        <v>0</v>
      </c>
      <c r="BG1784" s="160">
        <f>IF($AU$1579&gt;0,'Assumptions (Geo)'!AH11*Model!$AU$1579*AVERAGE('Assumptions (Geo)'!$AQ$2:$AS$2)/10^9,0)</f>
        <v>0</v>
      </c>
      <c r="BH1784" s="160">
        <f>IF($AU$1579&gt;0,'Assumptions (Geo)'!AI11*Model!$AU$1579*AVERAGE('Assumptions (Geo)'!$AQ$2:$AS$2)/10^9,0)</f>
        <v>0</v>
      </c>
      <c r="BI1784" s="160">
        <f>IF($AU$1579&gt;0,'Assumptions (Geo)'!AJ11*Model!$AU$1579*AVERAGE('Assumptions (Geo)'!$AQ$2:$AS$2)/10^9,0)</f>
        <v>0</v>
      </c>
      <c r="BJ1784" s="160">
        <f>IF($AU$1579&gt;0,'Assumptions (Geo)'!AK11*Model!$AU$1579*AVERAGE('Assumptions (Geo)'!$AQ$2:$AS$2)/10^9,0)</f>
        <v>0</v>
      </c>
      <c r="BK1784" s="160"/>
      <c r="BL1784" s="160"/>
      <c r="BM1784" s="160"/>
      <c r="BN1784" s="160"/>
      <c r="BO1784" s="160"/>
      <c r="BP1784" s="160"/>
    </row>
    <row r="1785" ht="15.75" hidden="1" customHeight="1" outlineLevel="1">
      <c r="A1785" s="295"/>
      <c r="B1785" s="38"/>
      <c r="C1785" s="174"/>
      <c r="D1785" s="174"/>
      <c r="E1785" s="174"/>
      <c r="F1785" s="174"/>
      <c r="G1785" s="174"/>
      <c r="H1785" s="174"/>
      <c r="I1785" s="174"/>
      <c r="J1785" s="174"/>
      <c r="K1785" s="174"/>
      <c r="L1785" s="174"/>
      <c r="M1785" s="174"/>
      <c r="N1785" s="174"/>
      <c r="O1785" s="174"/>
      <c r="P1785" s="174"/>
      <c r="Q1785" s="174"/>
      <c r="R1785" s="174"/>
      <c r="S1785" s="174"/>
      <c r="T1785" s="174"/>
      <c r="U1785" s="174"/>
      <c r="V1785" s="174"/>
      <c r="W1785" s="160"/>
      <c r="X1785" s="160"/>
      <c r="Y1785" s="160"/>
      <c r="Z1785" s="160"/>
      <c r="AA1785" s="160"/>
      <c r="AB1785" s="160"/>
      <c r="AC1785" s="160"/>
      <c r="AD1785" s="160"/>
      <c r="AE1785" s="160"/>
      <c r="AF1785" s="160"/>
      <c r="AG1785" s="160"/>
      <c r="AH1785" s="160"/>
      <c r="AI1785" s="160"/>
      <c r="AJ1785" s="179"/>
      <c r="AK1785" s="160"/>
      <c r="AL1785" s="177"/>
      <c r="AM1785" s="177"/>
      <c r="AN1785" s="177"/>
      <c r="AO1785" s="160"/>
      <c r="AP1785" s="160"/>
      <c r="AQ1785" s="160"/>
      <c r="AR1785" s="160"/>
      <c r="AS1785" s="160"/>
      <c r="AT1785" s="160"/>
      <c r="AU1785" s="160"/>
      <c r="AV1785" s="160">
        <f>IF($AV$1579&gt;0,'Assumptions (Geo)'!V11*Model!$AV$1579*AVERAGE('Assumptions (Geo)'!$AR$2:$AT$2)/10^9,0)</f>
        <v>0</v>
      </c>
      <c r="AW1785" s="160">
        <f>IF($AV$1579&gt;0,'Assumptions (Geo)'!W11*Model!$AV$1579*AVERAGE('Assumptions (Geo)'!$AR$2:$AT$2)/10^9,0)</f>
        <v>0</v>
      </c>
      <c r="AX1785" s="160">
        <f>IF($AV$1579&gt;0,'Assumptions (Geo)'!X11*Model!$AV$1579*AVERAGE('Assumptions (Geo)'!$AR$2:$AT$2)/10^9,0)</f>
        <v>0</v>
      </c>
      <c r="AY1785" s="160">
        <f>IF($AV$1579&gt;0,'Assumptions (Geo)'!Y11*Model!$AV$1579*AVERAGE('Assumptions (Geo)'!$AR$2:$AT$2)/10^9,0)</f>
        <v>0</v>
      </c>
      <c r="AZ1785" s="160">
        <f>IF($AV$1579&gt;0,'Assumptions (Geo)'!Z11*Model!$AV$1579*AVERAGE('Assumptions (Geo)'!$AR$2:$AT$2)/10^9,0)</f>
        <v>0</v>
      </c>
      <c r="BA1785" s="160">
        <f>IF($AV$1579&gt;0,'Assumptions (Geo)'!AA11*Model!$AV$1579*AVERAGE('Assumptions (Geo)'!$AR$2:$AT$2)/10^9,0)</f>
        <v>0</v>
      </c>
      <c r="BB1785" s="160">
        <f>IF($AV$1579&gt;0,'Assumptions (Geo)'!AB11*Model!$AV$1579*AVERAGE('Assumptions (Geo)'!$AR$2:$AT$2)/10^9,0)</f>
        <v>0</v>
      </c>
      <c r="BC1785" s="160">
        <f>IF($AV$1579&gt;0,'Assumptions (Geo)'!AC11*Model!$AV$1579*AVERAGE('Assumptions (Geo)'!$AR$2:$AT$2)/10^9,0)</f>
        <v>0</v>
      </c>
      <c r="BD1785" s="160">
        <f>IF($AV$1579&gt;0,'Assumptions (Geo)'!AD11*Model!$AV$1579*AVERAGE('Assumptions (Geo)'!$AR$2:$AT$2)/10^9,0)</f>
        <v>0</v>
      </c>
      <c r="BE1785" s="160">
        <f>IF($AV$1579&gt;0,'Assumptions (Geo)'!AE11*Model!$AV$1579*AVERAGE('Assumptions (Geo)'!$AR$2:$AT$2)/10^9,0)</f>
        <v>0</v>
      </c>
      <c r="BF1785" s="160">
        <f>IF($AV$1579&gt;0,'Assumptions (Geo)'!AF11*Model!$AV$1579*AVERAGE('Assumptions (Geo)'!$AR$2:$AT$2)/10^9,0)</f>
        <v>0</v>
      </c>
      <c r="BG1785" s="160">
        <f>IF($AV$1579&gt;0,'Assumptions (Geo)'!AG11*Model!$AV$1579*AVERAGE('Assumptions (Geo)'!$AR$2:$AT$2)/10^9,0)</f>
        <v>0</v>
      </c>
      <c r="BH1785" s="160">
        <f>IF($AV$1579&gt;0,'Assumptions (Geo)'!AH11*Model!$AV$1579*AVERAGE('Assumptions (Geo)'!$AR$2:$AT$2)/10^9,0)</f>
        <v>0</v>
      </c>
      <c r="BI1785" s="160">
        <f>IF($AV$1579&gt;0,'Assumptions (Geo)'!AI11*Model!$AV$1579*AVERAGE('Assumptions (Geo)'!$AR$2:$AT$2)/10^9,0)</f>
        <v>0</v>
      </c>
      <c r="BJ1785" s="160">
        <f>IF($AV$1579&gt;0,'Assumptions (Geo)'!AJ11*Model!$AV$1579*AVERAGE('Assumptions (Geo)'!$AR$2:$AT$2)/10^9,0)</f>
        <v>0</v>
      </c>
      <c r="BK1785" s="160">
        <f>IF($AV$1579&gt;0,'Assumptions (Geo)'!AK11*Model!$AV$1579*AVERAGE('Assumptions (Geo)'!$AR$2:$AT$2)/10^9,0)</f>
        <v>0</v>
      </c>
      <c r="BL1785" s="160"/>
      <c r="BM1785" s="160"/>
      <c r="BN1785" s="160"/>
      <c r="BO1785" s="160"/>
      <c r="BP1785" s="160"/>
    </row>
    <row r="1786" ht="15.75" hidden="1" customHeight="1" outlineLevel="1">
      <c r="A1786" s="295"/>
      <c r="B1786" s="38"/>
      <c r="C1786" s="174"/>
      <c r="D1786" s="174"/>
      <c r="E1786" s="174"/>
      <c r="F1786" s="174"/>
      <c r="G1786" s="174"/>
      <c r="H1786" s="174"/>
      <c r="I1786" s="174"/>
      <c r="J1786" s="174"/>
      <c r="K1786" s="174"/>
      <c r="L1786" s="174"/>
      <c r="M1786" s="174"/>
      <c r="N1786" s="174"/>
      <c r="O1786" s="174"/>
      <c r="P1786" s="174"/>
      <c r="Q1786" s="174"/>
      <c r="R1786" s="174"/>
      <c r="S1786" s="174"/>
      <c r="T1786" s="174"/>
      <c r="U1786" s="174"/>
      <c r="V1786" s="174"/>
      <c r="W1786" s="160"/>
      <c r="X1786" s="160"/>
      <c r="Y1786" s="160"/>
      <c r="Z1786" s="160"/>
      <c r="AA1786" s="160"/>
      <c r="AB1786" s="160"/>
      <c r="AC1786" s="160"/>
      <c r="AD1786" s="160"/>
      <c r="AE1786" s="160"/>
      <c r="AF1786" s="160"/>
      <c r="AG1786" s="160"/>
      <c r="AH1786" s="160"/>
      <c r="AI1786" s="160"/>
      <c r="AJ1786" s="179"/>
      <c r="AK1786" s="160"/>
      <c r="AL1786" s="177"/>
      <c r="AM1786" s="177"/>
      <c r="AN1786" s="177"/>
      <c r="AO1786" s="160"/>
      <c r="AP1786" s="160"/>
      <c r="AQ1786" s="160"/>
      <c r="AR1786" s="160"/>
      <c r="AS1786" s="160"/>
      <c r="AT1786" s="160"/>
      <c r="AU1786" s="160"/>
      <c r="AV1786" s="160"/>
      <c r="AW1786" s="160">
        <f>IF($AW$1579&gt;0,'Assumptions (Geo)'!V11*Model!$AW$1579*AVERAGE('Assumptions (Geo)'!$AS$2:$AU$2)/10^9,0)</f>
        <v>0</v>
      </c>
      <c r="AX1786" s="160">
        <f>IF($AW$1579&gt;0,'Assumptions (Geo)'!W11*Model!$AW$1579*AVERAGE('Assumptions (Geo)'!$AS$2:$AU$2)/10^9,0)</f>
        <v>0</v>
      </c>
      <c r="AY1786" s="160">
        <f>IF($AW$1579&gt;0,'Assumptions (Geo)'!X11*Model!$AW$1579*AVERAGE('Assumptions (Geo)'!$AS$2:$AU$2)/10^9,0)</f>
        <v>0</v>
      </c>
      <c r="AZ1786" s="160">
        <f>IF($AW$1579&gt;0,'Assumptions (Geo)'!Y11*Model!$AW$1579*AVERAGE('Assumptions (Geo)'!$AS$2:$AU$2)/10^9,0)</f>
        <v>0</v>
      </c>
      <c r="BA1786" s="160">
        <f>IF($AW$1579&gt;0,'Assumptions (Geo)'!Z11*Model!$AW$1579*AVERAGE('Assumptions (Geo)'!$AS$2:$AU$2)/10^9,0)</f>
        <v>0</v>
      </c>
      <c r="BB1786" s="160">
        <f>IF($AW$1579&gt;0,'Assumptions (Geo)'!AA11*Model!$AW$1579*AVERAGE('Assumptions (Geo)'!$AS$2:$AU$2)/10^9,0)</f>
        <v>0</v>
      </c>
      <c r="BC1786" s="160">
        <f>IF($AW$1579&gt;0,'Assumptions (Geo)'!AB11*Model!$AW$1579*AVERAGE('Assumptions (Geo)'!$AS$2:$AU$2)/10^9,0)</f>
        <v>0</v>
      </c>
      <c r="BD1786" s="160">
        <f>IF($AW$1579&gt;0,'Assumptions (Geo)'!AC11*Model!$AW$1579*AVERAGE('Assumptions (Geo)'!$AS$2:$AU$2)/10^9,0)</f>
        <v>0</v>
      </c>
      <c r="BE1786" s="160">
        <f>IF($AW$1579&gt;0,'Assumptions (Geo)'!AD11*Model!$AW$1579*AVERAGE('Assumptions (Geo)'!$AS$2:$AU$2)/10^9,0)</f>
        <v>0</v>
      </c>
      <c r="BF1786" s="160">
        <f>IF($AW$1579&gt;0,'Assumptions (Geo)'!AE11*Model!$AW$1579*AVERAGE('Assumptions (Geo)'!$AS$2:$AU$2)/10^9,0)</f>
        <v>0</v>
      </c>
      <c r="BG1786" s="160">
        <f>IF($AW$1579&gt;0,'Assumptions (Geo)'!AF11*Model!$AW$1579*AVERAGE('Assumptions (Geo)'!$AS$2:$AU$2)/10^9,0)</f>
        <v>0</v>
      </c>
      <c r="BH1786" s="160">
        <f>IF($AW$1579&gt;0,'Assumptions (Geo)'!AG11*Model!$AW$1579*AVERAGE('Assumptions (Geo)'!$AS$2:$AU$2)/10^9,0)</f>
        <v>0</v>
      </c>
      <c r="BI1786" s="160">
        <f>IF($AW$1579&gt;0,'Assumptions (Geo)'!AH11*Model!$AW$1579*AVERAGE('Assumptions (Geo)'!$AS$2:$AU$2)/10^9,0)</f>
        <v>0</v>
      </c>
      <c r="BJ1786" s="160">
        <f>IF($AW$1579&gt;0,'Assumptions (Geo)'!AI11*Model!$AW$1579*AVERAGE('Assumptions (Geo)'!$AS$2:$AU$2)/10^9,0)</f>
        <v>0</v>
      </c>
      <c r="BK1786" s="160">
        <f>IF($AW$1579&gt;0,'Assumptions (Geo)'!AJ11*Model!$AW$1579*AVERAGE('Assumptions (Geo)'!$AS$2:$AU$2)/10^9,0)</f>
        <v>0</v>
      </c>
      <c r="BL1786" s="160">
        <f>IF($AW$1579&gt;0,'Assumptions (Geo)'!AK11*Model!$AW$1579*AVERAGE('Assumptions (Geo)'!$AS$2:$AU$2)/10^9,0)</f>
        <v>0</v>
      </c>
      <c r="BM1786" s="160"/>
      <c r="BN1786" s="160"/>
      <c r="BO1786" s="160"/>
      <c r="BP1786" s="160"/>
    </row>
    <row r="1787" ht="15.75" hidden="1" customHeight="1" outlineLevel="1">
      <c r="A1787" s="295"/>
      <c r="B1787" s="38"/>
      <c r="C1787" s="174"/>
      <c r="D1787" s="174"/>
      <c r="E1787" s="174"/>
      <c r="F1787" s="174"/>
      <c r="G1787" s="174"/>
      <c r="H1787" s="174"/>
      <c r="I1787" s="174"/>
      <c r="J1787" s="174"/>
      <c r="K1787" s="174"/>
      <c r="L1787" s="174"/>
      <c r="M1787" s="174"/>
      <c r="N1787" s="174"/>
      <c r="O1787" s="174"/>
      <c r="P1787" s="174"/>
      <c r="Q1787" s="174"/>
      <c r="R1787" s="174"/>
      <c r="S1787" s="174"/>
      <c r="T1787" s="174"/>
      <c r="U1787" s="174"/>
      <c r="V1787" s="174"/>
      <c r="W1787" s="160"/>
      <c r="X1787" s="160"/>
      <c r="Y1787" s="160"/>
      <c r="Z1787" s="160"/>
      <c r="AA1787" s="160"/>
      <c r="AB1787" s="160"/>
      <c r="AC1787" s="160"/>
      <c r="AD1787" s="160"/>
      <c r="AE1787" s="160"/>
      <c r="AF1787" s="160"/>
      <c r="AG1787" s="160"/>
      <c r="AH1787" s="160"/>
      <c r="AI1787" s="160"/>
      <c r="AJ1787" s="179"/>
      <c r="AK1787" s="160"/>
      <c r="AL1787" s="177"/>
      <c r="AM1787" s="177"/>
      <c r="AN1787" s="177"/>
      <c r="AO1787" s="160"/>
      <c r="AP1787" s="160"/>
      <c r="AQ1787" s="160"/>
      <c r="AR1787" s="160"/>
      <c r="AS1787" s="160"/>
      <c r="AT1787" s="160"/>
      <c r="AU1787" s="160"/>
      <c r="AV1787" s="160"/>
      <c r="AW1787" s="160"/>
      <c r="AX1787" s="160">
        <f>IF($AX$1579&gt;0,'Assumptions (Geo)'!V11*Model!$AX$1579*AVERAGE('Assumptions (Geo)'!$AT$2:$AV$2)/10^9,0)</f>
        <v>0</v>
      </c>
      <c r="AY1787" s="160">
        <f>IF($AX$1579&gt;0,'Assumptions (Geo)'!W11*Model!$AX$1579*AVERAGE('Assumptions (Geo)'!$AT$2:$AV$2)/10^9,0)</f>
        <v>0</v>
      </c>
      <c r="AZ1787" s="160">
        <f>IF($AX$1579&gt;0,'Assumptions (Geo)'!X11*Model!$AX$1579*AVERAGE('Assumptions (Geo)'!$AT$2:$AV$2)/10^9,0)</f>
        <v>0</v>
      </c>
      <c r="BA1787" s="160">
        <f>IF($AX$1579&gt;0,'Assumptions (Geo)'!Y11*Model!$AX$1579*AVERAGE('Assumptions (Geo)'!$AT$2:$AV$2)/10^9,0)</f>
        <v>0</v>
      </c>
      <c r="BB1787" s="160">
        <f>IF($AX$1579&gt;0,'Assumptions (Geo)'!Z11*Model!$AX$1579*AVERAGE('Assumptions (Geo)'!$AT$2:$AV$2)/10^9,0)</f>
        <v>0</v>
      </c>
      <c r="BC1787" s="160">
        <f>IF($AX$1579&gt;0,'Assumptions (Geo)'!AA11*Model!$AX$1579*AVERAGE('Assumptions (Geo)'!$AT$2:$AV$2)/10^9,0)</f>
        <v>0</v>
      </c>
      <c r="BD1787" s="160">
        <f>IF($AX$1579&gt;0,'Assumptions (Geo)'!AB11*Model!$AX$1579*AVERAGE('Assumptions (Geo)'!$AT$2:$AV$2)/10^9,0)</f>
        <v>0</v>
      </c>
      <c r="BE1787" s="160">
        <f>IF($AX$1579&gt;0,'Assumptions (Geo)'!AC11*Model!$AX$1579*AVERAGE('Assumptions (Geo)'!$AT$2:$AV$2)/10^9,0)</f>
        <v>0</v>
      </c>
      <c r="BF1787" s="160">
        <f>IF($AX$1579&gt;0,'Assumptions (Geo)'!AD11*Model!$AX$1579*AVERAGE('Assumptions (Geo)'!$AT$2:$AV$2)/10^9,0)</f>
        <v>0</v>
      </c>
      <c r="BG1787" s="160">
        <f>IF($AX$1579&gt;0,'Assumptions (Geo)'!AE11*Model!$AX$1579*AVERAGE('Assumptions (Geo)'!$AT$2:$AV$2)/10^9,0)</f>
        <v>0</v>
      </c>
      <c r="BH1787" s="160">
        <f>IF($AX$1579&gt;0,'Assumptions (Geo)'!AF11*Model!$AX$1579*AVERAGE('Assumptions (Geo)'!$AT$2:$AV$2)/10^9,0)</f>
        <v>0</v>
      </c>
      <c r="BI1787" s="160">
        <f>IF($AX$1579&gt;0,'Assumptions (Geo)'!AG11*Model!$AX$1579*AVERAGE('Assumptions (Geo)'!$AT$2:$AV$2)/10^9,0)</f>
        <v>0</v>
      </c>
      <c r="BJ1787" s="160">
        <f>IF($AX$1579&gt;0,'Assumptions (Geo)'!AH11*Model!$AX$1579*AVERAGE('Assumptions (Geo)'!$AT$2:$AV$2)/10^9,0)</f>
        <v>0</v>
      </c>
      <c r="BK1787" s="160">
        <f>IF($AX$1579&gt;0,'Assumptions (Geo)'!AI11*Model!$AX$1579*AVERAGE('Assumptions (Geo)'!$AT$2:$AV$2)/10^9,0)</f>
        <v>0</v>
      </c>
      <c r="BL1787" s="160">
        <f>IF($AX$1579&gt;0,'Assumptions (Geo)'!AJ11*Model!$AX$1579*AVERAGE('Assumptions (Geo)'!$AT$2:$AV$2)/10^9,0)</f>
        <v>0</v>
      </c>
      <c r="BM1787" s="160">
        <f>IF($AX$1579&gt;0,'Assumptions (Geo)'!AK11*Model!$AX$1579*AVERAGE('Assumptions (Geo)'!$AT$2:$AV$2)/10^9,0)</f>
        <v>0</v>
      </c>
      <c r="BN1787" s="160"/>
      <c r="BO1787" s="160"/>
      <c r="BP1787" s="160"/>
    </row>
    <row r="1788" ht="15.75" hidden="1" customHeight="1" outlineLevel="1">
      <c r="A1788" s="295"/>
      <c r="B1788" s="38"/>
      <c r="C1788" s="174"/>
      <c r="D1788" s="174"/>
      <c r="E1788" s="174"/>
      <c r="F1788" s="174"/>
      <c r="G1788" s="174"/>
      <c r="H1788" s="174"/>
      <c r="I1788" s="174"/>
      <c r="J1788" s="174"/>
      <c r="K1788" s="174"/>
      <c r="L1788" s="174"/>
      <c r="M1788" s="174"/>
      <c r="N1788" s="174"/>
      <c r="O1788" s="174"/>
      <c r="P1788" s="174"/>
      <c r="Q1788" s="174"/>
      <c r="R1788" s="174"/>
      <c r="S1788" s="174"/>
      <c r="T1788" s="174"/>
      <c r="U1788" s="174"/>
      <c r="V1788" s="174"/>
      <c r="W1788" s="160"/>
      <c r="X1788" s="160"/>
      <c r="Y1788" s="160"/>
      <c r="Z1788" s="160"/>
      <c r="AA1788" s="160"/>
      <c r="AB1788" s="160"/>
      <c r="AC1788" s="160"/>
      <c r="AD1788" s="160"/>
      <c r="AE1788" s="160"/>
      <c r="AF1788" s="160"/>
      <c r="AG1788" s="160"/>
      <c r="AH1788" s="160"/>
      <c r="AI1788" s="160"/>
      <c r="AJ1788" s="179"/>
      <c r="AK1788" s="160"/>
      <c r="AL1788" s="177"/>
      <c r="AM1788" s="177"/>
      <c r="AN1788" s="177"/>
      <c r="AO1788" s="160"/>
      <c r="AP1788" s="160"/>
      <c r="AQ1788" s="160"/>
      <c r="AR1788" s="160"/>
      <c r="AS1788" s="160"/>
      <c r="AT1788" s="160"/>
      <c r="AU1788" s="160"/>
      <c r="AV1788" s="160"/>
      <c r="AW1788" s="160"/>
      <c r="AX1788" s="160"/>
      <c r="AY1788" s="160">
        <f>IF($AY$1579&gt;0,'Assumptions (Geo)'!V11*Model!$AY$1579*AVERAGE('Assumptions (Geo)'!$AU$2:$AW$2)/10^9,0)</f>
        <v>0</v>
      </c>
      <c r="AZ1788" s="160">
        <f>IF($AY$1579&gt;0,'Assumptions (Geo)'!W11*Model!$AY$1579*AVERAGE('Assumptions (Geo)'!$AU$2:$AW$2)/10^9,0)</f>
        <v>0</v>
      </c>
      <c r="BA1788" s="160">
        <f>IF($AY$1579&gt;0,'Assumptions (Geo)'!X11*Model!$AY$1579*AVERAGE('Assumptions (Geo)'!$AU$2:$AW$2)/10^9,0)</f>
        <v>0</v>
      </c>
      <c r="BB1788" s="160">
        <f>IF($AY$1579&gt;0,'Assumptions (Geo)'!Y11*Model!$AY$1579*AVERAGE('Assumptions (Geo)'!$AU$2:$AW$2)/10^9,0)</f>
        <v>0</v>
      </c>
      <c r="BC1788" s="160">
        <f>IF($AY$1579&gt;0,'Assumptions (Geo)'!Z11*Model!$AY$1579*AVERAGE('Assumptions (Geo)'!$AU$2:$AW$2)/10^9,0)</f>
        <v>0</v>
      </c>
      <c r="BD1788" s="160">
        <f>IF($AY$1579&gt;0,'Assumptions (Geo)'!AA11*Model!$AY$1579*AVERAGE('Assumptions (Geo)'!$AU$2:$AW$2)/10^9,0)</f>
        <v>0</v>
      </c>
      <c r="BE1788" s="160">
        <f>IF($AY$1579&gt;0,'Assumptions (Geo)'!AB11*Model!$AY$1579*AVERAGE('Assumptions (Geo)'!$AU$2:$AW$2)/10^9,0)</f>
        <v>0</v>
      </c>
      <c r="BF1788" s="160">
        <f>IF($AY$1579&gt;0,'Assumptions (Geo)'!AC11*Model!$AY$1579*AVERAGE('Assumptions (Geo)'!$AU$2:$AW$2)/10^9,0)</f>
        <v>0</v>
      </c>
      <c r="BG1788" s="160">
        <f>IF($AY$1579&gt;0,'Assumptions (Geo)'!AD11*Model!$AY$1579*AVERAGE('Assumptions (Geo)'!$AU$2:$AW$2)/10^9,0)</f>
        <v>0</v>
      </c>
      <c r="BH1788" s="160">
        <f>IF($AY$1579&gt;0,'Assumptions (Geo)'!AE11*Model!$AY$1579*AVERAGE('Assumptions (Geo)'!$AU$2:$AW$2)/10^9,0)</f>
        <v>0</v>
      </c>
      <c r="BI1788" s="160">
        <f>IF($AY$1579&gt;0,'Assumptions (Geo)'!AF11*Model!$AY$1579*AVERAGE('Assumptions (Geo)'!$AU$2:$AW$2)/10^9,0)</f>
        <v>0</v>
      </c>
      <c r="BJ1788" s="160">
        <f>IF($AY$1579&gt;0,'Assumptions (Geo)'!AG11*Model!$AY$1579*AVERAGE('Assumptions (Geo)'!$AU$2:$AW$2)/10^9,0)</f>
        <v>0</v>
      </c>
      <c r="BK1788" s="160">
        <f>IF($AY$1579&gt;0,'Assumptions (Geo)'!AH11*Model!$AY$1579*AVERAGE('Assumptions (Geo)'!$AU$2:$AW$2)/10^9,0)</f>
        <v>0</v>
      </c>
      <c r="BL1788" s="160">
        <f>IF($AY$1579&gt;0,'Assumptions (Geo)'!AI11*Model!$AY$1579*AVERAGE('Assumptions (Geo)'!$AU$2:$AW$2)/10^9,0)</f>
        <v>0</v>
      </c>
      <c r="BM1788" s="160">
        <f>IF($AY$1579&gt;0,'Assumptions (Geo)'!AJ11*Model!$AY$1579*AVERAGE('Assumptions (Geo)'!$AU$2:$AW$2)/10^9,0)</f>
        <v>0</v>
      </c>
      <c r="BN1788" s="160">
        <f>IF($AY$1579&gt;0,'Assumptions (Geo)'!AK11*Model!$AY$1579*AVERAGE('Assumptions (Geo)'!$AU$2:$AW$2)/10^9,0)</f>
        <v>0</v>
      </c>
      <c r="BO1788" s="160"/>
      <c r="BP1788" s="160"/>
    </row>
    <row r="1789" ht="15.75" hidden="1" customHeight="1" outlineLevel="1">
      <c r="A1789" s="295"/>
      <c r="B1789" s="38"/>
      <c r="C1789" s="174"/>
      <c r="D1789" s="174"/>
      <c r="E1789" s="174"/>
      <c r="F1789" s="174"/>
      <c r="G1789" s="174"/>
      <c r="H1789" s="174"/>
      <c r="I1789" s="174"/>
      <c r="J1789" s="174"/>
      <c r="K1789" s="174"/>
      <c r="L1789" s="174"/>
      <c r="M1789" s="174"/>
      <c r="N1789" s="174"/>
      <c r="O1789" s="174"/>
      <c r="P1789" s="174"/>
      <c r="Q1789" s="174"/>
      <c r="R1789" s="174"/>
      <c r="S1789" s="174"/>
      <c r="T1789" s="174"/>
      <c r="U1789" s="174"/>
      <c r="V1789" s="174"/>
      <c r="W1789" s="160"/>
      <c r="X1789" s="160"/>
      <c r="Y1789" s="160"/>
      <c r="Z1789" s="160"/>
      <c r="AA1789" s="160"/>
      <c r="AB1789" s="160"/>
      <c r="AC1789" s="160"/>
      <c r="AD1789" s="160"/>
      <c r="AE1789" s="160"/>
      <c r="AF1789" s="160"/>
      <c r="AG1789" s="160"/>
      <c r="AH1789" s="160"/>
      <c r="AI1789" s="160"/>
      <c r="AJ1789" s="179"/>
      <c r="AK1789" s="160"/>
      <c r="AL1789" s="177"/>
      <c r="AM1789" s="177"/>
      <c r="AN1789" s="177"/>
      <c r="AO1789" s="160"/>
      <c r="AP1789" s="160"/>
      <c r="AQ1789" s="160"/>
      <c r="AR1789" s="160"/>
      <c r="AS1789" s="160"/>
      <c r="AT1789" s="160"/>
      <c r="AU1789" s="160"/>
      <c r="AV1789" s="160"/>
      <c r="AW1789" s="160"/>
      <c r="AX1789" s="160"/>
      <c r="AY1789" s="160"/>
      <c r="AZ1789" s="160">
        <f>IF($AZ$1579&gt;0,'Assumptions (Geo)'!V11*Model!$AZ$1579*AVERAGE('Assumptions (Geo)'!$AV$2:$AX$2)/10^9,0)</f>
        <v>0</v>
      </c>
      <c r="BA1789" s="160">
        <f>IF($AZ$1579&gt;0,'Assumptions (Geo)'!W11*Model!$AZ$1579*AVERAGE('Assumptions (Geo)'!$AV$2:$AX$2)/10^9,0)</f>
        <v>0</v>
      </c>
      <c r="BB1789" s="160">
        <f>IF($AZ$1579&gt;0,'Assumptions (Geo)'!X11*Model!$AZ$1579*AVERAGE('Assumptions (Geo)'!$AV$2:$AX$2)/10^9,0)</f>
        <v>0</v>
      </c>
      <c r="BC1789" s="160">
        <f>IF($AZ$1579&gt;0,'Assumptions (Geo)'!Y11*Model!$AZ$1579*AVERAGE('Assumptions (Geo)'!$AV$2:$AX$2)/10^9,0)</f>
        <v>0</v>
      </c>
      <c r="BD1789" s="160">
        <f>IF($AZ$1579&gt;0,'Assumptions (Geo)'!Z11*Model!$AZ$1579*AVERAGE('Assumptions (Geo)'!$AV$2:$AX$2)/10^9,0)</f>
        <v>0</v>
      </c>
      <c r="BE1789" s="160">
        <f>IF($AZ$1579&gt;0,'Assumptions (Geo)'!AA11*Model!$AZ$1579*AVERAGE('Assumptions (Geo)'!$AV$2:$AX$2)/10^9,0)</f>
        <v>0</v>
      </c>
      <c r="BF1789" s="160">
        <f>IF($AZ$1579&gt;0,'Assumptions (Geo)'!AB11*Model!$AZ$1579*AVERAGE('Assumptions (Geo)'!$AV$2:$AX$2)/10^9,0)</f>
        <v>0</v>
      </c>
      <c r="BG1789" s="160">
        <f>IF($AZ$1579&gt;0,'Assumptions (Geo)'!AC11*Model!$AZ$1579*AVERAGE('Assumptions (Geo)'!$AV$2:$AX$2)/10^9,0)</f>
        <v>0</v>
      </c>
      <c r="BH1789" s="160">
        <f>IF($AZ$1579&gt;0,'Assumptions (Geo)'!AD11*Model!$AZ$1579*AVERAGE('Assumptions (Geo)'!$AV$2:$AX$2)/10^9,0)</f>
        <v>0</v>
      </c>
      <c r="BI1789" s="160">
        <f>IF($AZ$1579&gt;0,'Assumptions (Geo)'!AE11*Model!$AZ$1579*AVERAGE('Assumptions (Geo)'!$AV$2:$AX$2)/10^9,0)</f>
        <v>0</v>
      </c>
      <c r="BJ1789" s="160">
        <f>IF($AZ$1579&gt;0,'Assumptions (Geo)'!AF11*Model!$AZ$1579*AVERAGE('Assumptions (Geo)'!$AV$2:$AX$2)/10^9,0)</f>
        <v>0</v>
      </c>
      <c r="BK1789" s="160">
        <f>IF($AZ$1579&gt;0,'Assumptions (Geo)'!AG11*Model!$AZ$1579*AVERAGE('Assumptions (Geo)'!$AV$2:$AX$2)/10^9,0)</f>
        <v>0</v>
      </c>
      <c r="BL1789" s="160">
        <f>IF($AZ$1579&gt;0,'Assumptions (Geo)'!AH11*Model!$AZ$1579*AVERAGE('Assumptions (Geo)'!$AV$2:$AX$2)/10^9,0)</f>
        <v>0</v>
      </c>
      <c r="BM1789" s="160">
        <f>IF($AZ$1579&gt;0,'Assumptions (Geo)'!AI11*Model!$AZ$1579*AVERAGE('Assumptions (Geo)'!$AV$2:$AX$2)/10^9,0)</f>
        <v>0</v>
      </c>
      <c r="BN1789" s="160">
        <f>IF($AZ$1579&gt;0,'Assumptions (Geo)'!AJ11*Model!$AZ$1579*AVERAGE('Assumptions (Geo)'!$AV$2:$AX$2)/10^9,0)</f>
        <v>0</v>
      </c>
      <c r="BO1789" s="160">
        <f>IF($AZ$1579&gt;0,'Assumptions (Geo)'!AK11*Model!$AZ$1579*AVERAGE('Assumptions (Geo)'!$AV$2:$AX$2)/10^9,0)</f>
        <v>0</v>
      </c>
      <c r="BP1789" s="160"/>
    </row>
    <row r="1790" ht="15.75" hidden="1" customHeight="1" outlineLevel="1">
      <c r="A1790" s="295"/>
      <c r="B1790" s="38"/>
      <c r="C1790" s="174"/>
      <c r="D1790" s="174"/>
      <c r="E1790" s="174"/>
      <c r="F1790" s="174"/>
      <c r="G1790" s="174"/>
      <c r="H1790" s="174"/>
      <c r="I1790" s="174"/>
      <c r="J1790" s="174"/>
      <c r="K1790" s="174"/>
      <c r="L1790" s="174"/>
      <c r="M1790" s="174"/>
      <c r="N1790" s="174"/>
      <c r="O1790" s="174"/>
      <c r="P1790" s="174"/>
      <c r="Q1790" s="174"/>
      <c r="R1790" s="174"/>
      <c r="S1790" s="174"/>
      <c r="T1790" s="174"/>
      <c r="U1790" s="174"/>
      <c r="V1790" s="174"/>
      <c r="W1790" s="160"/>
      <c r="X1790" s="160"/>
      <c r="Y1790" s="160"/>
      <c r="Z1790" s="160"/>
      <c r="AA1790" s="160"/>
      <c r="AB1790" s="160"/>
      <c r="AC1790" s="160"/>
      <c r="AD1790" s="160"/>
      <c r="AE1790" s="160"/>
      <c r="AF1790" s="160"/>
      <c r="AG1790" s="160"/>
      <c r="AH1790" s="160"/>
      <c r="AI1790" s="160"/>
      <c r="AJ1790" s="179"/>
      <c r="AK1790" s="160"/>
      <c r="AL1790" s="177"/>
      <c r="AM1790" s="177"/>
      <c r="AN1790" s="177"/>
      <c r="AO1790" s="160"/>
      <c r="AP1790" s="160"/>
      <c r="AQ1790" s="160"/>
      <c r="AR1790" s="160"/>
      <c r="AS1790" s="160"/>
      <c r="AT1790" s="160"/>
      <c r="AU1790" s="160"/>
      <c r="AV1790" s="160"/>
      <c r="AW1790" s="160"/>
      <c r="AX1790" s="160"/>
      <c r="AY1790" s="160"/>
      <c r="AZ1790" s="160"/>
      <c r="BA1790" s="160">
        <f>IF($BA$1579&gt;0,'Assumptions (Geo)'!V11*Model!$BA$1579*AVERAGE('Assumptions (Geo)'!$AW$2:$AY$2)/10^9,0)</f>
        <v>0</v>
      </c>
      <c r="BB1790" s="160">
        <f>IF($BA$1579&gt;0,'Assumptions (Geo)'!W11*Model!$BA$1579*AVERAGE('Assumptions (Geo)'!$AW$2:$AY$2)/10^9,0)</f>
        <v>0</v>
      </c>
      <c r="BC1790" s="160">
        <f>IF($BA$1579&gt;0,'Assumptions (Geo)'!X11*Model!$BA$1579*AVERAGE('Assumptions (Geo)'!$AW$2:$AY$2)/10^9,0)</f>
        <v>0</v>
      </c>
      <c r="BD1790" s="160">
        <f>IF($BA$1579&gt;0,'Assumptions (Geo)'!Y11*Model!$BA$1579*AVERAGE('Assumptions (Geo)'!$AW$2:$AY$2)/10^9,0)</f>
        <v>0</v>
      </c>
      <c r="BE1790" s="160">
        <f>IF($BA$1579&gt;0,'Assumptions (Geo)'!Z11*Model!$BA$1579*AVERAGE('Assumptions (Geo)'!$AW$2:$AY$2)/10^9,0)</f>
        <v>0</v>
      </c>
      <c r="BF1790" s="160">
        <f>IF($BA$1579&gt;0,'Assumptions (Geo)'!AA11*Model!$BA$1579*AVERAGE('Assumptions (Geo)'!$AW$2:$AY$2)/10^9,0)</f>
        <v>0</v>
      </c>
      <c r="BG1790" s="160">
        <f>IF($BA$1579&gt;0,'Assumptions (Geo)'!AB11*Model!$BA$1579*AVERAGE('Assumptions (Geo)'!$AW$2:$AY$2)/10^9,0)</f>
        <v>0</v>
      </c>
      <c r="BH1790" s="160">
        <f>IF($BA$1579&gt;0,'Assumptions (Geo)'!AC11*Model!$BA$1579*AVERAGE('Assumptions (Geo)'!$AW$2:$AY$2)/10^9,0)</f>
        <v>0</v>
      </c>
      <c r="BI1790" s="160">
        <f>IF($BA$1579&gt;0,'Assumptions (Geo)'!AD11*Model!$BA$1579*AVERAGE('Assumptions (Geo)'!$AW$2:$AY$2)/10^9,0)</f>
        <v>0</v>
      </c>
      <c r="BJ1790" s="160">
        <f>IF($BA$1579&gt;0,'Assumptions (Geo)'!AE11*Model!$BA$1579*AVERAGE('Assumptions (Geo)'!$AW$2:$AY$2)/10^9,0)</f>
        <v>0</v>
      </c>
      <c r="BK1790" s="160">
        <f>IF($BA$1579&gt;0,'Assumptions (Geo)'!AF11*Model!$BA$1579*AVERAGE('Assumptions (Geo)'!$AW$2:$AY$2)/10^9,0)</f>
        <v>0</v>
      </c>
      <c r="BL1790" s="160">
        <f>IF($BA$1579&gt;0,'Assumptions (Geo)'!AG11*Model!$BA$1579*AVERAGE('Assumptions (Geo)'!$AW$2:$AY$2)/10^9,0)</f>
        <v>0</v>
      </c>
      <c r="BM1790" s="160">
        <f>IF($BA$1579&gt;0,'Assumptions (Geo)'!AH11*Model!$BA$1579*AVERAGE('Assumptions (Geo)'!$AW$2:$AY$2)/10^9,0)</f>
        <v>0</v>
      </c>
      <c r="BN1790" s="160">
        <f>IF($BA$1579&gt;0,'Assumptions (Geo)'!AI11*Model!$BA$1579*AVERAGE('Assumptions (Geo)'!$AW$2:$AY$2)/10^9,0)</f>
        <v>0</v>
      </c>
      <c r="BO1790" s="160">
        <f>IF($BA$1579&gt;0,'Assumptions (Geo)'!AJ11*Model!$BA$1579*AVERAGE('Assumptions (Geo)'!$AW$2:$AY$2)/10^9,0)</f>
        <v>0</v>
      </c>
      <c r="BP1790" s="160">
        <f>IF($BA$1579&gt;0,'Assumptions (Geo)'!AK11*Model!$BA$1579*AVERAGE('Assumptions (Geo)'!$AW$2:$AY$2)/10^9,0)</f>
        <v>0</v>
      </c>
    </row>
    <row r="1791" ht="15.75" customHeight="1" collapsed="1">
      <c r="A1791" s="295" t="s">
        <v>62</v>
      </c>
      <c r="B1791" s="159" t="s">
        <v>351</v>
      </c>
      <c r="C1791" s="160">
        <f>IF(Model!C1577+Model!C1578-C1576-C1739+C1687&gt;0,(1-'Assumptions (Geo)'!B25)*(Model!C1577+Model!C1578-C1576-C1739+C1687)+Model!C1739-C1634-+Model!C1635,Model!C1577+Model!C1578-C1576+C1687-C1634+C1635)</f>
        <v>0</v>
      </c>
      <c r="D1791" s="160">
        <f>IF(Model!D1577+Model!D1578-D1576-D1739+D1687&gt;0,(1-'Assumptions (Geo)'!C25)*(Model!D1577+Model!D1578-D1576-D1739+D1687)+Model!D1739-D1634-+Model!D1635,Model!D1577+Model!D1578-D1576+D1687-D1634+D1635)</f>
        <v>0</v>
      </c>
      <c r="E1791" s="160">
        <f>IF(Model!E1577+Model!E1578-E1576-E1739+E1687&gt;0,(1-'Assumptions (Geo)'!D25)*(Model!E1577+Model!E1578-E1576-E1739+E1687)+Model!E1739-E1634-+Model!E1635,Model!E1577+Model!E1578-E1576+E1687-E1634+E1635)</f>
        <v>0</v>
      </c>
      <c r="F1791" s="160">
        <f>IF(Model!F1577+Model!F1578-F1576-F1739+F1687&gt;0,(1-'Assumptions (Geo)'!E25)*(Model!F1577+Model!F1578-F1576-F1739+F1687)+Model!F1739-F1634-+Model!F1635,Model!F1577+Model!F1578-F1576+F1687-F1634+F1635)</f>
        <v>0</v>
      </c>
      <c r="G1791" s="160">
        <f>IF(Model!G1577+Model!G1578-G1576-G1739+G1687&gt;0,(1-'Assumptions (Geo)'!F25)*(Model!G1577+Model!G1578-G1576-G1739+G1687)+Model!G1739-G1634-+Model!G1635,Model!G1577+Model!G1578-G1576+G1687-G1634+G1635)</f>
        <v>0</v>
      </c>
      <c r="H1791" s="160">
        <f>IF(Model!H1577+Model!H1578-H1576-H1739+H1687&gt;0,(1-'Assumptions (Geo)'!G25)*(Model!H1577+Model!H1578-H1576-H1739+H1687)+Model!H1739-H1634-+Model!H1635,Model!H1577+Model!H1578-H1576+H1687-H1634+H1635)</f>
        <v>0</v>
      </c>
      <c r="I1791" s="160">
        <f>IF(Model!I1577+Model!I1578-I1576-I1739+I1687&gt;0,(1-'Assumptions (Geo)'!H25)*(Model!I1577+Model!I1578-I1576-I1739+I1687)+Model!I1739-I1634-+Model!I1635,Model!I1577+Model!I1578-I1576+I1687-I1634+I1635)</f>
        <v>0</v>
      </c>
      <c r="J1791" s="160">
        <f>IF(Model!J1577+Model!J1578-J1576-J1739+J1687&gt;0,(1-'Assumptions (Geo)'!I25)*(Model!J1577+Model!J1578-J1576-J1739+J1687)+Model!J1739-J1634-+Model!J1635,Model!J1577+Model!J1578-J1576+J1687-J1634+J1635)</f>
        <v>0</v>
      </c>
      <c r="K1791" s="160">
        <f>IF(Model!K1577+Model!K1578-K1576-K1739+K1687&gt;0,(1-'Assumptions (Geo)'!J25)*(Model!K1577+Model!K1578-K1576-K1739+K1687)+Model!K1739-K1634-+Model!K1635,Model!K1577+Model!K1578-K1576+K1687-K1634+K1635)</f>
        <v>0</v>
      </c>
      <c r="L1791" s="160">
        <f>IF(Model!L1577+Model!L1578-L1576-L1739+L1687&gt;0,(1-'Assumptions (Geo)'!K25)*(Model!L1577+Model!L1578-L1576-L1739+L1687)+Model!L1739-L1634-+Model!L1635,Model!L1577+Model!L1578-L1576+L1687-L1634+L1635)</f>
        <v>0</v>
      </c>
      <c r="M1791" s="160">
        <f>IF(Model!M1577+Model!M1578-M1576-M1739+M1687&gt;0,(1-'Assumptions (Geo)'!L25)*(Model!M1577+Model!M1578-M1576-M1739+M1687)+Model!M1739-M1634-+Model!M1635,Model!M1577+Model!M1578-M1576+M1687-M1634+M1635)</f>
        <v>0</v>
      </c>
      <c r="N1791" s="160">
        <f>IF(Model!N1577+Model!N1578-N1576-N1739+N1687&gt;0,(1-'Assumptions (Geo)'!M25)*(Model!N1577+Model!N1578-N1576-N1739+N1687)+Model!N1739-N1634-+Model!N1635,Model!N1577+Model!N1578-N1576+N1687-N1634+N1635)</f>
        <v>0</v>
      </c>
      <c r="O1791" s="160">
        <f>IF(Model!O1577+Model!O1578-O1576-O1739+O1687&gt;0,(1-'Assumptions (Geo)'!N25)*(Model!O1577+Model!O1578-O1576-O1739+O1687)+Model!O1739-O1634-+Model!O1635,Model!O1577+Model!O1578-O1576+O1687-O1634+O1635)</f>
        <v>0</v>
      </c>
      <c r="P1791" s="160">
        <f>IF(Model!P1577+Model!P1578-P1576-P1739+P1687&gt;0,(1-'Assumptions (Geo)'!O25)*(Model!P1577+Model!P1578-P1576-P1739+P1687)+Model!P1739-P1634-+Model!P1635,Model!P1577+Model!P1578-P1576+P1687-P1634+P1635)</f>
        <v>0</v>
      </c>
      <c r="Q1791" s="160">
        <f>IF(Model!Q1577+Model!Q1578-Q1576-Q1739+Q1687&gt;0,(1-'Assumptions (Geo)'!P25)*(Model!Q1577+Model!Q1578-Q1576-Q1739+Q1687)+Model!Q1739-Q1634-+Model!Q1635,Model!Q1577+Model!Q1578-Q1576+Q1687-Q1634+Q1635)</f>
        <v>0</v>
      </c>
      <c r="R1791" s="160">
        <f>IF(Model!R1577+Model!R1578-R1576-R1739+R1687&gt;0,(1-'Assumptions (Geo)'!Q25)*(Model!R1577+Model!R1578-R1576-R1739+R1687)+Model!R1739-R1634-+Model!R1635,Model!R1577+Model!R1578-R1576+R1687-R1634+R1635)</f>
        <v>0</v>
      </c>
      <c r="S1791" s="160">
        <f>IF(Model!S1577+Model!S1578-S1576-S1739+S1687&gt;0,(1-'Assumptions (Geo)'!R25)*(Model!S1577+Model!S1578-S1576-S1739+S1687)+Model!S1739-S1634-+Model!S1635,Model!S1577+Model!S1578-S1576+S1687-S1634+S1635)</f>
        <v>0</v>
      </c>
      <c r="T1791" s="160">
        <f>IF(Model!T1577+Model!T1578-T1576-T1739+T1687&gt;0,(1-'Assumptions (Geo)'!S25)*(Model!T1577+Model!T1578-T1576-T1739+T1687)+Model!T1739-T1634-+Model!T1635,Model!T1577+Model!T1578-T1576+T1687-T1634+T1635)</f>
        <v>0</v>
      </c>
      <c r="U1791" s="160">
        <f>IF(Model!U1577+Model!U1578-U1576-U1739+U1687&gt;0,(1-'Assumptions (Geo)'!T25)*(Model!U1577+Model!U1578-U1576-U1739+U1687)+Model!U1739-U1634-+Model!U1635,Model!U1577+Model!U1578-U1576+U1687-U1634+U1635)</f>
        <v>0</v>
      </c>
      <c r="V1791" s="160">
        <f>IF(Model!V1577+Model!V1578-V1576-V1739+V1687&gt;0,(1-'Assumptions (Geo)'!U25)*(Model!V1577+Model!V1578-V1576-V1739+V1687)+Model!V1739-V1634-+Model!V1635,Model!V1577+Model!V1578-V1576+V1687-V1634+V1635)</f>
        <v>0</v>
      </c>
      <c r="W1791" s="160">
        <f>IF(Model!W1577+Model!W1578-W1576-W1739+W1687&gt;0,(1-'Assumptions (Geo)'!V25)*(Model!W1577+Model!W1578-W1576-W1739+W1687)+Model!W1739-W1634-+Model!W1635,Model!W1577+Model!W1578-W1576+W1687-W1634+W1635)</f>
        <v>0</v>
      </c>
      <c r="X1791" s="160">
        <f>IF(Model!X1577+Model!X1578-X1576-X1739+X1687&gt;0,(1-'Assumptions (Geo)'!W25)*(Model!X1577+Model!X1578-X1576-X1739+X1687)+Model!X1739-X1634-+Model!X1635,Model!X1577+Model!X1578-X1576+X1687-X1634+X1635)</f>
        <v>0</v>
      </c>
      <c r="Y1791" s="160">
        <f>IF(Model!Y1577+Model!Y1578-Y1576-Y1739+Y1687&gt;0,(1-'Assumptions (Geo)'!X25)*(Model!Y1577+Model!Y1578-Y1576-Y1739+Y1687)+Model!Y1739-Y1634-+Model!Y1635,Model!Y1577+Model!Y1578-Y1576+Y1687-Y1634+Y1635)</f>
        <v>0</v>
      </c>
      <c r="Z1791" s="160">
        <f>IF(Model!Z1577+Model!Z1578-Z1576-Z1739+Z1687&gt;0,(1-'Assumptions (Geo)'!Y25)*(Model!Z1577+Model!Z1578-Z1576-Z1739+Z1687)+Model!Z1739-Z1634-+Model!Z1635,Model!Z1577+Model!Z1578-Z1576+Z1687-Z1634+Z1635)</f>
        <v>0</v>
      </c>
      <c r="AA1791" s="160">
        <f>IF(Model!AA1577+Model!AA1578-AA1576-AA1739+AA1687&gt;0,(1-'Assumptions (Geo)'!Z25)*(Model!AA1577+Model!AA1578-AA1576-AA1739+AA1687)+Model!AA1739-AA1634-+Model!AA1635,Model!AA1577+Model!AA1578-AA1576+AA1687-AA1634+AA1635)</f>
        <v>0</v>
      </c>
      <c r="AB1791" s="160">
        <f>IF(Model!AB1577+Model!AB1578-AB1576-AB1739+AB1687&gt;0,(1-'Assumptions (Geo)'!AA25)*(Model!AB1577+Model!AB1578-AB1576-AB1739+AB1687)+Model!AB1739-AB1634-+Model!AB1635,Model!AB1577+Model!AB1578-AB1576+AB1687-AB1634+AB1635)</f>
        <v>0</v>
      </c>
      <c r="AC1791" s="160">
        <f>IF(Model!AC1577+Model!AC1578-AC1576-AC1739+AC1687&gt;0,(1-'Assumptions (Geo)'!AB25)*(Model!AC1577+Model!AC1578-AC1576-AC1739+AC1687)+Model!AC1739-AC1634-+Model!AC1635,Model!AC1577+Model!AC1578-AC1576+AC1687-AC1634+AC1635)</f>
        <v>0</v>
      </c>
      <c r="AD1791" s="160">
        <f>IF(Model!AD1577+Model!AD1578-AD1576-AD1739+AD1687&gt;0,(1-'Assumptions (Geo)'!AC25)*(Model!AD1577+Model!AD1578-AD1576-AD1739+AD1687)+Model!AD1739-AD1634-+Model!AD1635,Model!AD1577+Model!AD1578-AD1576+AD1687-AD1634+AD1635)</f>
        <v>0</v>
      </c>
      <c r="AE1791" s="160">
        <f>IF(Model!AE1577+Model!AE1578-AE1576-AE1739+AE1687&gt;0,(1-'Assumptions (Geo)'!AD25)*(Model!AE1577+Model!AE1578-AE1576-AE1739+AE1687)+Model!AE1739-AE1634-+Model!AE1635,Model!AE1577+Model!AE1578-AE1576+AE1687-AE1634+AE1635)</f>
        <v>0</v>
      </c>
      <c r="AF1791" s="160">
        <f>IF(Model!AF1577+Model!AF1578-AF1576-AF1739+AF1687&gt;0,(1-'Assumptions (Geo)'!AE25)*(Model!AF1577+Model!AF1578-AF1576-AF1739+AF1687)+Model!AF1739-AF1634-+Model!AF1635,Model!AF1577+Model!AF1578-AF1576+AF1687-AF1634+AF1635)</f>
        <v>0</v>
      </c>
      <c r="AG1791" s="160">
        <f>IF(Model!AG1577+Model!AG1578-AG1576-AG1739+AG1687&gt;0,(1-'Assumptions (Geo)'!AF25)*(Model!AG1577+Model!AG1578-AG1576-AG1739+AG1687)+Model!AG1739-AG1634-+Model!AG1635,Model!AG1577+Model!AG1578-AG1576+AG1687-AG1634+AG1635)</f>
        <v>0</v>
      </c>
      <c r="AH1791" s="160">
        <f>IF(Model!AH1577+Model!AH1578-AH1576-AH1739+AH1687&gt;0,(1-'Assumptions (Geo)'!AG25)*(Model!AH1577+Model!AH1578-AH1576-AH1739+AH1687)+Model!AH1739-AH1634-+Model!AH1635,Model!AH1577+Model!AH1578-AH1576+AH1687-AH1634+AH1635)</f>
        <v>0</v>
      </c>
      <c r="AI1791" s="160">
        <f>IF(Model!AI1577+Model!AI1578-AI1576-AI1739+AI1687&gt;0,(1-'Assumptions (Geo)'!AH25)*(Model!AI1577+Model!AI1578-AI1576-AI1739+AI1687)+Model!AI1739-AI1634-+Model!AI1635,Model!AI1577+Model!AI1578-AI1576+AI1687-AI1634+AI1635)</f>
        <v>0</v>
      </c>
      <c r="AJ1791" s="160">
        <f>IF(Model!AJ1577+Model!AJ1578-AJ1576-AJ1739+AJ1687&gt;0,(1-'Assumptions (Geo)'!AI25)*(Model!AJ1577+Model!AJ1578-AJ1576-AJ1739+AJ1687)+Model!AJ1739-AJ1634-+Model!AJ1635,Model!AJ1577+Model!AJ1578-AJ1576+AJ1687-AJ1634+AJ1635)</f>
        <v>0</v>
      </c>
      <c r="AK1791" s="160">
        <f>IF(Model!AK1577+Model!AK1578-AK1576-AK1739+AK1687&gt;0,(1-'Assumptions (Geo)'!AJ25)*(Model!AK1577+Model!AK1578-AK1576-AK1739+AK1687)+Model!AK1739-AK1634-+Model!AK1635,Model!AK1577+Model!AK1578-AK1576+AK1687-AK1634+AK1635)</f>
        <v>0</v>
      </c>
      <c r="AL1791" s="160">
        <f>IF(Model!AL1577+Model!AL1578-AL1576-AL1739+AL1687&gt;0,(1-'Assumptions (Geo)'!AK25)*(Model!AL1577+Model!AL1578-AL1576-AL1739+AL1687)+Model!AL1739-AL1634-+Model!AL1635,Model!AL1577+Model!AL1578-AL1576+AL1687-AL1634+AL1635)</f>
        <v>0</v>
      </c>
      <c r="AM1791" s="160">
        <f>IF(Model!AM1577+Model!AM1578-AM1576-AM1739+AM1687&gt;0,(1-'Assumptions (Geo)'!AL25)*(Model!AM1577+Model!AM1578-AM1576-AM1739+AM1687)+Model!AM1739-AM1634-+Model!AM1635,Model!AM1577+Model!AM1578-AM1576+AM1687-AM1634+AM1635)</f>
        <v>0</v>
      </c>
      <c r="AN1791" s="160">
        <f>IF(Model!AN1577+Model!AN1578-AN1576-AN1739+AN1687&gt;0,(1-'Assumptions (Geo)'!AM25)*(Model!AN1577+Model!AN1578-AN1576-AN1739+AN1687)+Model!AN1739-AN1634-+Model!AN1635,Model!AN1577+Model!AN1578-AN1576+AN1687-AN1634+AN1635)</f>
        <v>0</v>
      </c>
      <c r="AO1791" s="160">
        <f>IF(Model!AO1577+Model!AO1578-AO1576-AO1739+AO1687&gt;0,(1-'Assumptions (Geo)'!AN25)*(Model!AO1577+Model!AO1578-AO1576-AO1739+AO1687)+Model!AO1739-AO1634-+Model!AO1635,Model!AO1577+Model!AO1578-AO1576+AO1687-AO1634+AO1635)</f>
        <v>0</v>
      </c>
      <c r="AP1791" s="160">
        <f>IF(Model!AP1577+Model!AP1578-AP1576-AP1739+AP1687&gt;0,(1-'Assumptions (Geo)'!AO25)*(Model!AP1577+Model!AP1578-AP1576-AP1739+AP1687)+Model!AP1739-AP1634-+Model!AP1635,Model!AP1577+Model!AP1578-AP1576+AP1687-AP1634+AP1635)</f>
        <v>0</v>
      </c>
      <c r="AQ1791" s="160">
        <f>IF(Model!AQ1577+Model!AQ1578-AQ1576-AQ1739+AQ1687&gt;0,(1-'Assumptions (Geo)'!AP25)*(Model!AQ1577+Model!AQ1578-AQ1576-AQ1739+AQ1687)+Model!AQ1739-AQ1634-+Model!AQ1635,Model!AQ1577+Model!AQ1578-AQ1576+AQ1687-AQ1634+AQ1635)</f>
        <v>0</v>
      </c>
      <c r="AR1791" s="160">
        <f>IF(Model!AR1577+Model!AR1578-AR1576-AR1739+AR1687&gt;0,(1-'Assumptions (Geo)'!AQ25)*(Model!AR1577+Model!AR1578-AR1576-AR1739+AR1687)+Model!AR1739-AR1634-+Model!AR1635,Model!AR1577+Model!AR1578-AR1576+AR1687-AR1634+AR1635)</f>
        <v>0</v>
      </c>
      <c r="AS1791" s="160">
        <f>IF(Model!AS1577+Model!AS1578-AS1576-AS1739+AS1687&gt;0,(1-'Assumptions (Geo)'!AR25)*(Model!AS1577+Model!AS1578-AS1576-AS1739+AS1687)+Model!AS1739-AS1634-+Model!AS1635,Model!AS1577+Model!AS1578-AS1576+AS1687-AS1634+AS1635)</f>
        <v>0</v>
      </c>
      <c r="AT1791" s="160">
        <f>IF(Model!AT1577+Model!AT1578-AT1576-AT1739+AT1687&gt;0,(1-'Assumptions (Geo)'!AS25)*(Model!AT1577+Model!AT1578-AT1576-AT1739+AT1687)+Model!AT1739-AT1634-+Model!AT1635,Model!AT1577+Model!AT1578-AT1576+AT1687-AT1634+AT1635)</f>
        <v>0</v>
      </c>
      <c r="AU1791" s="160">
        <f>IF(Model!AU1577+Model!AU1578-AU1576-AU1739+AU1687&gt;0,(1-'Assumptions (Geo)'!AT25)*(Model!AU1577+Model!AU1578-AU1576-AU1739+AU1687)+Model!AU1739-AU1634-+Model!AU1635,Model!AU1577+Model!AU1578-AU1576+AU1687-AU1634+AU1635)</f>
        <v>0</v>
      </c>
      <c r="AV1791" s="160">
        <f>IF(Model!AV1577+Model!AV1578-AV1576-AV1739+AV1687&gt;0,(1-'Assumptions (Geo)'!AU25)*(Model!AV1577+Model!AV1578-AV1576-AV1739+AV1687)+Model!AV1739-AV1634-+Model!AV1635,Model!AV1577+Model!AV1578-AV1576+AV1687-AV1634+AV1635)</f>
        <v>0</v>
      </c>
      <c r="AW1791" s="160">
        <f>IF(Model!AW1577+Model!AW1578-AW1576-AW1739+AW1687&gt;0,(1-'Assumptions (Geo)'!AV25)*(Model!AW1577+Model!AW1578-AW1576-AW1739+AW1687)+Model!AW1739-AW1634-+Model!AW1635,Model!AW1577+Model!AW1578-AW1576+AW1687-AW1634+AW1635)</f>
        <v>0</v>
      </c>
      <c r="AX1791" s="160">
        <f>IF(Model!AX1577+Model!AX1578-AX1576-AX1739+AX1687&gt;0,(1-'Assumptions (Geo)'!AW25)*(Model!AX1577+Model!AX1578-AX1576-AX1739+AX1687)+Model!AX1739-AX1634-+Model!AX1635,Model!AX1577+Model!AX1578-AX1576+AX1687-AX1634+AX1635)</f>
        <v>0</v>
      </c>
      <c r="AY1791" s="160">
        <f>IF(Model!AY1577+Model!AY1578-AY1576-AY1739+AY1687&gt;0,(1-'Assumptions (Geo)'!AX25)*(Model!AY1577+Model!AY1578-AY1576-AY1739+AY1687)+Model!AY1739-AY1634-+Model!AY1635,Model!AY1577+Model!AY1578-AY1576+AY1687-AY1634+AY1635)</f>
        <v>0</v>
      </c>
      <c r="AZ1791" s="160">
        <f>IF(Model!AZ1577+Model!AZ1578-AZ1576-AZ1739+AZ1687&gt;0,(1-'Assumptions (Geo)'!AY25)*(Model!AZ1577+Model!AZ1578-AZ1576-AZ1739+AZ1687)+Model!AZ1739-AZ1634-+Model!AZ1635,Model!AZ1577+Model!AZ1578-AZ1576+AZ1687-AZ1634+AZ1635)</f>
        <v>0</v>
      </c>
      <c r="BA1791" s="160">
        <f>IF(Model!BA1577+Model!BA1578-BA1576-BA1739+BA1687&gt;0,(1-'Assumptions (Geo)'!AZ25)*(Model!BA1577+Model!BA1578-BA1576-BA1739+BA1687)+Model!BA1739-BA1634-+Model!BA1635,Model!BA1577+Model!BA1578-BA1576+BA1687-BA1634+BA1635)</f>
        <v>0</v>
      </c>
    </row>
    <row r="1792" ht="15.75" customHeight="1">
      <c r="A1792" s="295" t="s">
        <v>64</v>
      </c>
      <c r="B1792" s="159" t="s">
        <v>351</v>
      </c>
      <c r="C1792" s="160">
        <f>IF(C1577+C1578-C1576-C1739+C1687&gt;0,'Assumptions (Geo)'!B25*(C1577+C1578-C1576-C1739+C1687)-'Assumptions (Geo)'!B26*Model!C1575/10^3,'Assumptions (Geo)'!B26*Model!C1575/10^3)</f>
        <v>0</v>
      </c>
      <c r="D1792" s="160">
        <f>IF(D1577+D1578-D1576-D1739+D1687&gt;0,'Assumptions (Geo)'!C25*(D1577+D1578-D1576-D1739+D1687)-'Assumptions (Geo)'!C26*Model!D1575/10^3,'Assumptions (Geo)'!C26*Model!D1575/10^3)</f>
        <v>0</v>
      </c>
      <c r="E1792" s="160">
        <f>IF(E1577+E1578-E1576-E1739+E1687&gt;0,'Assumptions (Geo)'!D25*(E1577+E1578-E1576-E1739+E1687)-'Assumptions (Geo)'!D26*Model!E1575/10^3,'Assumptions (Geo)'!D26*Model!E1575/10^3)</f>
        <v>0</v>
      </c>
      <c r="F1792" s="160">
        <f>IF(F1577+F1578-F1576-F1739+F1687&gt;0,'Assumptions (Geo)'!E25*(F1577+F1578-F1576-F1739+F1687)-'Assumptions (Geo)'!E26*Model!F1575/10^3,'Assumptions (Geo)'!E26*Model!F1575/10^3)</f>
        <v>0</v>
      </c>
      <c r="G1792" s="160">
        <f>IF(G1577+G1578-G1576-G1739+G1687&gt;0,'Assumptions (Geo)'!F25*(G1577+G1578-G1576-G1739+G1687)-'Assumptions (Geo)'!F26*Model!G1575/10^3,'Assumptions (Geo)'!F26*Model!G1575/10^3)</f>
        <v>0</v>
      </c>
      <c r="H1792" s="160">
        <f>IF(H1577+H1578-H1576-H1739+H1687&gt;0,'Assumptions (Geo)'!G25*(H1577+H1578-H1576-H1739+H1687)-'Assumptions (Geo)'!G26*Model!H1575/10^3,'Assumptions (Geo)'!G26*Model!H1575/10^3)</f>
        <v>0</v>
      </c>
      <c r="I1792" s="160">
        <f>IF(I1577+I1578-I1576-I1739+I1687&gt;0,'Assumptions (Geo)'!H25*(I1577+I1578-I1576-I1739+I1687)-'Assumptions (Geo)'!H26*Model!I1575/10^3,'Assumptions (Geo)'!H26*Model!I1575/10^3)</f>
        <v>0</v>
      </c>
      <c r="J1792" s="160">
        <f>IF(J1577+J1578-J1576-J1739+J1687&gt;0,'Assumptions (Geo)'!I25*(J1577+J1578-J1576-J1739+J1687)-'Assumptions (Geo)'!I26*Model!J1575/10^3,'Assumptions (Geo)'!I26*Model!J1575/10^3)</f>
        <v>0</v>
      </c>
      <c r="K1792" s="160">
        <f>IF(K1577+K1578-K1576-K1739+K1687&gt;0,'Assumptions (Geo)'!J25*(K1577+K1578-K1576-K1739+K1687)-'Assumptions (Geo)'!J26*Model!K1575/10^3,'Assumptions (Geo)'!J26*Model!K1575/10^3)</f>
        <v>0</v>
      </c>
      <c r="L1792" s="160">
        <f>IF(L1577+L1578-L1576-L1739+L1687&gt;0,'Assumptions (Geo)'!K25*(L1577+L1578-L1576-L1739+L1687)-'Assumptions (Geo)'!K26*Model!L1575/10^3,'Assumptions (Geo)'!K26*Model!L1575/10^3)</f>
        <v>0</v>
      </c>
      <c r="M1792" s="160">
        <f>IF(M1577+M1578-M1576-M1739+M1687&gt;0,'Assumptions (Geo)'!L25*(M1577+M1578-M1576-M1739+M1687)-'Assumptions (Geo)'!L26*Model!M1575/10^3,'Assumptions (Geo)'!L26*Model!M1575/10^3)</f>
        <v>0</v>
      </c>
      <c r="N1792" s="160">
        <f>IF(N1577+N1578-N1576-N1739+N1687&gt;0,'Assumptions (Geo)'!M25*(N1577+N1578-N1576-N1739+N1687)-'Assumptions (Geo)'!M26*Model!N1575/10^3,'Assumptions (Geo)'!M26*Model!N1575/10^3)</f>
        <v>0</v>
      </c>
      <c r="O1792" s="160">
        <f>IF(O1577+O1578-O1576-O1739+O1687&gt;0,'Assumptions (Geo)'!N25*(O1577+O1578-O1576-O1739+O1687)-'Assumptions (Geo)'!N26*Model!O1575/10^3,'Assumptions (Geo)'!N26*Model!O1575/10^3)</f>
        <v>0</v>
      </c>
      <c r="P1792" s="160">
        <f>IF(P1577+P1578-P1576-P1739+P1687&gt;0,'Assumptions (Geo)'!O25*(P1577+P1578-P1576-P1739+P1687)-'Assumptions (Geo)'!O26*Model!P1575/10^3,'Assumptions (Geo)'!O26*Model!P1575/10^3)</f>
        <v>0</v>
      </c>
      <c r="Q1792" s="160">
        <f>IF(Q1577+Q1578-Q1576-Q1739+Q1687&gt;0,'Assumptions (Geo)'!P25*(Q1577+Q1578-Q1576-Q1739+Q1687)-'Assumptions (Geo)'!P26*Model!Q1575/10^3,'Assumptions (Geo)'!P26*Model!Q1575/10^3)</f>
        <v>0</v>
      </c>
      <c r="R1792" s="160">
        <f>IF(R1577+R1578-R1576-R1739+R1687&gt;0,'Assumptions (Geo)'!Q25*(R1577+R1578-R1576-R1739+R1687)-'Assumptions (Geo)'!Q26*Model!R1575/10^3,'Assumptions (Geo)'!Q26*Model!R1575/10^3)</f>
        <v>0</v>
      </c>
      <c r="S1792" s="160">
        <f>IF(S1577+S1578-S1576-S1739+S1687&gt;0,'Assumptions (Geo)'!R25*(S1577+S1578-S1576-S1739+S1687)-'Assumptions (Geo)'!R26*Model!S1575/10^3,'Assumptions (Geo)'!R26*Model!S1575/10^3)</f>
        <v>0</v>
      </c>
      <c r="T1792" s="160">
        <f>IF(T1577+T1578-T1576-T1739+T1687&gt;0,'Assumptions (Geo)'!S25*(T1577+T1578-T1576-T1739+T1687)-'Assumptions (Geo)'!S26*Model!T1575/10^3,'Assumptions (Geo)'!S26*Model!T1575/10^3)</f>
        <v>0</v>
      </c>
      <c r="U1792" s="160">
        <f>IF(U1577+U1578-U1576-U1739+U1687&gt;0,'Assumptions (Geo)'!T25*(U1577+U1578-U1576-U1739+U1687)-'Assumptions (Geo)'!T26*Model!U1575/10^3,'Assumptions (Geo)'!T26*Model!U1575/10^3)</f>
        <v>0</v>
      </c>
      <c r="V1792" s="160">
        <f>IF(V1577+V1578-V1576-V1739+V1687&gt;0,'Assumptions (Geo)'!U25*(V1577+V1578-V1576-V1739+V1687)-'Assumptions (Geo)'!U26*Model!V1575/10^3,'Assumptions (Geo)'!U26*Model!V1575/10^3)</f>
        <v>0</v>
      </c>
      <c r="W1792" s="160">
        <f>IF(W1577+W1578-W1576-W1739+W1687&gt;0,'Assumptions (Geo)'!V25*(W1577+W1578-W1576-W1739+W1687)-'Assumptions (Geo)'!V26*Model!W1575/10^3,'Assumptions (Geo)'!V26*Model!W1575/10^3)</f>
        <v>0</v>
      </c>
      <c r="X1792" s="160">
        <f>IF(X1577+X1578-X1576-X1739+X1687&gt;0,'Assumptions (Geo)'!W25*(X1577+X1578-X1576-X1739+X1687)-'Assumptions (Geo)'!W26*Model!X1575/10^3,'Assumptions (Geo)'!W26*Model!X1575/10^3)</f>
        <v>0</v>
      </c>
      <c r="Y1792" s="160">
        <f>IF(Y1577+Y1578-Y1576-Y1739+Y1687&gt;0,'Assumptions (Geo)'!X25*(Y1577+Y1578-Y1576-Y1739+Y1687)-'Assumptions (Geo)'!X26*Model!Y1575/10^3,'Assumptions (Geo)'!X26*Model!Y1575/10^3)</f>
        <v>0</v>
      </c>
      <c r="Z1792" s="160">
        <f>IF(Z1577+Z1578-Z1576-Z1739+Z1687&gt;0,'Assumptions (Geo)'!Y25*(Z1577+Z1578-Z1576-Z1739+Z1687)-'Assumptions (Geo)'!Y26*Model!Z1575/10^3,'Assumptions (Geo)'!Y26*Model!Z1575/10^3)</f>
        <v>0</v>
      </c>
      <c r="AA1792" s="160">
        <f>IF(AA1577+AA1578-AA1576-AA1739+AA1687&gt;0,'Assumptions (Geo)'!Z25*(AA1577+AA1578-AA1576-AA1739+AA1687)-'Assumptions (Geo)'!Z26*Model!AA1575/10^3,'Assumptions (Geo)'!Z26*Model!AA1575/10^3)</f>
        <v>0</v>
      </c>
      <c r="AB1792" s="160">
        <f>IF(AB1577+AB1578-AB1576-AB1739+AB1687&gt;0,'Assumptions (Geo)'!AA25*(AB1577+AB1578-AB1576-AB1739+AB1687)-'Assumptions (Geo)'!AA26*Model!AB1575/10^3,'Assumptions (Geo)'!AA26*Model!AB1575/10^3)</f>
        <v>0</v>
      </c>
      <c r="AC1792" s="160">
        <f>IF(AC1577+AC1578-AC1576-AC1739+AC1687&gt;0,'Assumptions (Geo)'!AB25*(AC1577+AC1578-AC1576-AC1739+AC1687)-'Assumptions (Geo)'!AB26*Model!AC1575/10^3,'Assumptions (Geo)'!AB26*Model!AC1575/10^3)</f>
        <v>0</v>
      </c>
      <c r="AD1792" s="160">
        <f>IF(AD1577+AD1578-AD1576-AD1739+AD1687&gt;0,'Assumptions (Geo)'!AC25*(AD1577+AD1578-AD1576-AD1739+AD1687)-'Assumptions (Geo)'!AC26*Model!AD1575/10^3,'Assumptions (Geo)'!AC26*Model!AD1575/10^3)</f>
        <v>0</v>
      </c>
      <c r="AE1792" s="160">
        <f>IF(AE1577+AE1578-AE1576-AE1739+AE1687&gt;0,'Assumptions (Geo)'!AD25*(AE1577+AE1578-AE1576-AE1739+AE1687)-'Assumptions (Geo)'!AD26*Model!AE1575/10^3,'Assumptions (Geo)'!AD26*Model!AE1575/10^3)</f>
        <v>0</v>
      </c>
      <c r="AF1792" s="160">
        <f>IF(AF1577+AF1578-AF1576-AF1739+AF1687&gt;0,'Assumptions (Geo)'!AE25*(AF1577+AF1578-AF1576-AF1739+AF1687)-'Assumptions (Geo)'!AE26*Model!AF1575/10^3,'Assumptions (Geo)'!AE26*Model!AF1575/10^3)</f>
        <v>0</v>
      </c>
      <c r="AG1792" s="160">
        <f>IF(AG1577+AG1578-AG1576-AG1739+AG1687&gt;0,'Assumptions (Geo)'!AF25*(AG1577+AG1578-AG1576-AG1739+AG1687)-'Assumptions (Geo)'!AF26*Model!AG1575/10^3,'Assumptions (Geo)'!AF26*Model!AG1575/10^3)</f>
        <v>0</v>
      </c>
      <c r="AH1792" s="160">
        <f>IF(AH1577+AH1578-AH1576-AH1739+AH1687&gt;0,'Assumptions (Geo)'!AG25*(AH1577+AH1578-AH1576-AH1739+AH1687)-'Assumptions (Geo)'!AG26*Model!AH1575/10^3,'Assumptions (Geo)'!AG26*Model!AH1575/10^3)</f>
        <v>0</v>
      </c>
      <c r="AI1792" s="160">
        <f>IF(AI1577+AI1578-AI1576-AI1739+AI1687&gt;0,'Assumptions (Geo)'!AH25*(AI1577+AI1578-AI1576-AI1739+AI1687)-'Assumptions (Geo)'!AH26*Model!AI1575/10^3,'Assumptions (Geo)'!AH26*Model!AI1575/10^3)</f>
        <v>0</v>
      </c>
      <c r="AJ1792" s="160">
        <f>IF(AJ1577+AJ1578-AJ1576-AJ1739+AJ1687&gt;0,'Assumptions (Geo)'!AI25*(AJ1577+AJ1578-AJ1576-AJ1739+AJ1687)-'Assumptions (Geo)'!AI26*Model!AJ1575/10^3,'Assumptions (Geo)'!AI26*Model!AJ1575/10^3)</f>
        <v>0</v>
      </c>
      <c r="AK1792" s="160">
        <f>IF(AK1577+AK1578-AK1576-AK1739+AK1687&gt;0,'Assumptions (Geo)'!AJ25*(AK1577+AK1578-AK1576-AK1739+AK1687)-'Assumptions (Geo)'!AJ26*Model!AK1575/10^3,'Assumptions (Geo)'!AJ26*Model!AK1575/10^3)</f>
        <v>0</v>
      </c>
      <c r="AL1792" s="160">
        <f>IF(AL1577+AL1578-AL1576-AL1739+AL1687&gt;0,'Assumptions (Geo)'!AK25*(AL1577+AL1578-AL1576-AL1739+AL1687)-'Assumptions (Geo)'!AK26*Model!AL1575/10^3,'Assumptions (Geo)'!AK26*Model!AL1575/10^3)</f>
        <v>0</v>
      </c>
      <c r="AM1792" s="160">
        <f>IF(AM1577+AM1578-AM1576-AM1739+AM1687&gt;0,'Assumptions (Geo)'!AL25*(AM1577+AM1578-AM1576-AM1739+AM1687)-'Assumptions (Geo)'!AL26*Model!AM1575/10^3,'Assumptions (Geo)'!AL26*Model!AM1575/10^3)</f>
        <v>0</v>
      </c>
      <c r="AN1792" s="160">
        <f>IF(AN1577+AN1578-AN1576-AN1739+AN1687&gt;0,'Assumptions (Geo)'!AM25*(AN1577+AN1578-AN1576-AN1739+AN1687)-'Assumptions (Geo)'!AM26*Model!AN1575/10^3,'Assumptions (Geo)'!AM26*Model!AN1575/10^3)</f>
        <v>0</v>
      </c>
      <c r="AO1792" s="160">
        <f>IF(AO1577+AO1578-AO1576-AO1739+AO1687&gt;0,'Assumptions (Geo)'!AN25*(AO1577+AO1578-AO1576-AO1739+AO1687)-'Assumptions (Geo)'!AN26*Model!AO1575/10^3,'Assumptions (Geo)'!AN26*Model!AO1575/10^3)</f>
        <v>0</v>
      </c>
      <c r="AP1792" s="160">
        <f>IF(AP1577+AP1578-AP1576-AP1739+AP1687&gt;0,'Assumptions (Geo)'!AO25*(AP1577+AP1578-AP1576-AP1739+AP1687)-'Assumptions (Geo)'!AO26*Model!AP1575/10^3,'Assumptions (Geo)'!AO26*Model!AP1575/10^3)</f>
        <v>0</v>
      </c>
      <c r="AQ1792" s="160">
        <f>IF(AQ1577+AQ1578-AQ1576-AQ1739+AQ1687&gt;0,'Assumptions (Geo)'!AP25*(AQ1577+AQ1578-AQ1576-AQ1739+AQ1687)-'Assumptions (Geo)'!AP26*Model!AQ1575/10^3,'Assumptions (Geo)'!AP26*Model!AQ1575/10^3)</f>
        <v>0</v>
      </c>
      <c r="AR1792" s="160">
        <f>IF(AR1577+AR1578-AR1576-AR1739+AR1687&gt;0,'Assumptions (Geo)'!AQ25*(AR1577+AR1578-AR1576-AR1739+AR1687)-'Assumptions (Geo)'!AQ26*Model!AR1575/10^3,'Assumptions (Geo)'!AQ26*Model!AR1575/10^3)</f>
        <v>0</v>
      </c>
      <c r="AS1792" s="160">
        <f>IF(AS1577+AS1578-AS1576-AS1739+AS1687&gt;0,'Assumptions (Geo)'!AR25*(AS1577+AS1578-AS1576-AS1739+AS1687)-'Assumptions (Geo)'!AR26*Model!AS1575/10^3,'Assumptions (Geo)'!AR26*Model!AS1575/10^3)</f>
        <v>0</v>
      </c>
      <c r="AT1792" s="160">
        <f>IF(AT1577+AT1578-AT1576-AT1739+AT1687&gt;0,'Assumptions (Geo)'!AS25*(AT1577+AT1578-AT1576-AT1739+AT1687)-'Assumptions (Geo)'!AS26*Model!AT1575/10^3,'Assumptions (Geo)'!AS26*Model!AT1575/10^3)</f>
        <v>0</v>
      </c>
      <c r="AU1792" s="160">
        <f>IF(AU1577+AU1578-AU1576-AU1739+AU1687&gt;0,'Assumptions (Geo)'!AT25*(AU1577+AU1578-AU1576-AU1739+AU1687)-'Assumptions (Geo)'!AT26*Model!AU1575/10^3,'Assumptions (Geo)'!AT26*Model!AU1575/10^3)</f>
        <v>0</v>
      </c>
      <c r="AV1792" s="160">
        <f>IF(AV1577+AV1578-AV1576-AV1739+AV1687&gt;0,'Assumptions (Geo)'!AU25*(AV1577+AV1578-AV1576-AV1739+AV1687)-'Assumptions (Geo)'!AU26*Model!AV1575/10^3,'Assumptions (Geo)'!AU26*Model!AV1575/10^3)</f>
        <v>0</v>
      </c>
      <c r="AW1792" s="160">
        <f>IF(AW1577+AW1578-AW1576-AW1739+AW1687&gt;0,'Assumptions (Geo)'!AV25*(AW1577+AW1578-AW1576-AW1739+AW1687)-'Assumptions (Geo)'!AV26*Model!AW1575/10^3,'Assumptions (Geo)'!AV26*Model!AW1575/10^3)</f>
        <v>0</v>
      </c>
      <c r="AX1792" s="160">
        <f>IF(AX1577+AX1578-AX1576-AX1739+AX1687&gt;0,'Assumptions (Geo)'!AW25*(AX1577+AX1578-AX1576-AX1739+AX1687)-'Assumptions (Geo)'!AW26*Model!AX1575/10^3,'Assumptions (Geo)'!AW26*Model!AX1575/10^3)</f>
        <v>0</v>
      </c>
      <c r="AY1792" s="160">
        <f>IF(AY1577+AY1578-AY1576-AY1739+AY1687&gt;0,'Assumptions (Geo)'!AX25*(AY1577+AY1578-AY1576-AY1739+AY1687)-'Assumptions (Geo)'!AX26*Model!AY1575/10^3,'Assumptions (Geo)'!AX26*Model!AY1575/10^3)</f>
        <v>0</v>
      </c>
      <c r="AZ1792" s="160">
        <f>IF(AZ1577+AZ1578-AZ1576-AZ1739+AZ1687&gt;0,'Assumptions (Geo)'!AY25*(AZ1577+AZ1578-AZ1576-AZ1739+AZ1687)-'Assumptions (Geo)'!AY26*Model!AZ1575/10^3,'Assumptions (Geo)'!AY26*Model!AZ1575/10^3)</f>
        <v>0</v>
      </c>
      <c r="BA1792" s="160">
        <f>IF(BA1577+BA1578-BA1576-BA1739+BA1687&gt;0,'Assumptions (Geo)'!AZ25*(BA1577+BA1578-BA1576-BA1739+BA1687)-'Assumptions (Geo)'!AZ26*Model!BA1575/10^3,'Assumptions (Geo)'!AZ26*Model!BA1575/10^3)</f>
        <v>0</v>
      </c>
    </row>
    <row r="1793" ht="15.75" customHeight="1">
      <c r="A1793" s="298" t="s">
        <v>363</v>
      </c>
      <c r="B1793" s="265" t="s">
        <v>364</v>
      </c>
      <c r="C1793" s="299">
        <f>C1579*'Assumptions (Geo)'!$V$24/1000000000</f>
        <v>0</v>
      </c>
      <c r="D1793" s="299">
        <f>D1579*'Assumptions (Geo)'!$V$24/1000000000</f>
        <v>0</v>
      </c>
      <c r="E1793" s="299">
        <f>E1579*'Assumptions (Geo)'!$V$24/1000000000</f>
        <v>0</v>
      </c>
      <c r="F1793" s="299">
        <f>F1579*'Assumptions (Geo)'!$V$24/1000000000</f>
        <v>0</v>
      </c>
      <c r="G1793" s="299">
        <f>G1579*'Assumptions (Geo)'!$V$24/1000000000</f>
        <v>0</v>
      </c>
      <c r="H1793" s="299">
        <f>H1579*'Assumptions (Geo)'!$V$24/1000000000</f>
        <v>0</v>
      </c>
      <c r="I1793" s="299">
        <f>I1579*'Assumptions (Geo)'!$V$24/1000000000</f>
        <v>0</v>
      </c>
      <c r="J1793" s="299">
        <f>J1579*'Assumptions (Geo)'!$V$24/1000000000</f>
        <v>0</v>
      </c>
      <c r="K1793" s="299">
        <f>K1579*'Assumptions (Geo)'!$V$24/1000000000</f>
        <v>0</v>
      </c>
      <c r="L1793" s="299">
        <f>L1579*'Assumptions (Geo)'!$V$24/1000000000</f>
        <v>0</v>
      </c>
      <c r="M1793" s="299">
        <f>M1579*'Assumptions (Geo)'!$V$24/1000000000</f>
        <v>0</v>
      </c>
      <c r="N1793" s="299">
        <f>N1579*'Assumptions (Geo)'!$V$24/1000000000</f>
        <v>0</v>
      </c>
      <c r="O1793" s="299">
        <f>O1579*'Assumptions (Geo)'!$V$24/1000000000</f>
        <v>0</v>
      </c>
      <c r="P1793" s="299">
        <f>P1579*'Assumptions (Geo)'!$V$24/1000000000</f>
        <v>0</v>
      </c>
      <c r="Q1793" s="299">
        <f>Q1579*'Assumptions (Geo)'!$V$24/1000000000</f>
        <v>0</v>
      </c>
      <c r="R1793" s="299">
        <f>R1579*'Assumptions (Geo)'!$V$24/1000000000</f>
        <v>0</v>
      </c>
      <c r="S1793" s="299">
        <f>S1579*'Assumptions (Geo)'!$V$24/1000000000</f>
        <v>0</v>
      </c>
      <c r="T1793" s="299">
        <f>T1579*'Assumptions (Geo)'!$V$24/1000000000</f>
        <v>0</v>
      </c>
      <c r="U1793" s="299">
        <f>U1579*'Assumptions (Geo)'!$V$24/1000000000</f>
        <v>0</v>
      </c>
      <c r="V1793" s="299">
        <f>V1579*'Assumptions (Geo)'!$V$24/1000000000</f>
        <v>0</v>
      </c>
      <c r="W1793" s="299">
        <f>W1579*'Assumptions (Geo)'!$V$24/1000000000</f>
        <v>0</v>
      </c>
      <c r="X1793" s="299">
        <f>X1579*'Assumptions (Geo)'!$V$24/1000000000</f>
        <v>0</v>
      </c>
      <c r="Y1793" s="299">
        <f>Y1579*'Assumptions (Geo)'!$V$24/1000000000</f>
        <v>0</v>
      </c>
      <c r="Z1793" s="299">
        <f>Z1579*'Assumptions (Geo)'!$V$24/1000000000</f>
        <v>0</v>
      </c>
      <c r="AA1793" s="299">
        <f>AA1579*'Assumptions (Geo)'!$V$24/1000000000</f>
        <v>0</v>
      </c>
      <c r="AB1793" s="299">
        <f>AB1579*'Assumptions (Geo)'!$V$24/1000000000</f>
        <v>0</v>
      </c>
      <c r="AC1793" s="299">
        <f>AC1579*'Assumptions (Geo)'!$V$24/1000000000</f>
        <v>0</v>
      </c>
      <c r="AD1793" s="299">
        <f>AD1579*'Assumptions (Geo)'!$V$24/1000000000</f>
        <v>0</v>
      </c>
      <c r="AE1793" s="299">
        <f>AE1579*'Assumptions (Geo)'!$V$24/1000000000</f>
        <v>0</v>
      </c>
      <c r="AF1793" s="299">
        <f>AF1579*'Assumptions (Geo)'!$V$24/1000000000</f>
        <v>0</v>
      </c>
      <c r="AG1793" s="299">
        <f>AG1579*'Assumptions (Geo)'!$V$24/1000000000</f>
        <v>0</v>
      </c>
      <c r="AH1793" s="299">
        <f>AH1579*'Assumptions (Geo)'!$V$24/1000000000</f>
        <v>0</v>
      </c>
      <c r="AI1793" s="299">
        <f>AI1579*'Assumptions (Geo)'!$V$24/1000000000</f>
        <v>0</v>
      </c>
      <c r="AJ1793" s="299">
        <f>AJ1579*'Assumptions (Geo)'!$V$24/1000000000</f>
        <v>0</v>
      </c>
      <c r="AK1793" s="299">
        <f>AK1579*'Assumptions (Geo)'!$V$24/1000000000</f>
        <v>0</v>
      </c>
      <c r="AL1793" s="299">
        <f>AL1579*'Assumptions (Geo)'!$V$24/1000000000</f>
        <v>0</v>
      </c>
      <c r="AM1793" s="299">
        <f>AM1579*'Assumptions (Geo)'!$V$24/1000000000</f>
        <v>0</v>
      </c>
      <c r="AN1793" s="299">
        <f>AN1579*'Assumptions (Geo)'!$V$24/1000000000</f>
        <v>0</v>
      </c>
      <c r="AO1793" s="299">
        <f>AO1579*'Assumptions (Geo)'!$V$24/1000000000</f>
        <v>0</v>
      </c>
      <c r="AP1793" s="299">
        <f>AP1579*'Assumptions (Geo)'!$V$24/1000000000</f>
        <v>0</v>
      </c>
      <c r="AQ1793" s="299">
        <f>AQ1579*'Assumptions (Geo)'!$V$24/1000000000</f>
        <v>0</v>
      </c>
      <c r="AR1793" s="299">
        <f>AR1579*'Assumptions (Geo)'!$V$24/1000000000</f>
        <v>0</v>
      </c>
      <c r="AS1793" s="299">
        <f>AS1579*'Assumptions (Geo)'!$V$24/1000000000</f>
        <v>0</v>
      </c>
      <c r="AT1793" s="299">
        <f>AT1579*'Assumptions (Geo)'!$V$24/1000000000</f>
        <v>0</v>
      </c>
      <c r="AU1793" s="299">
        <f>AU1579*'Assumptions (Geo)'!$V$24/1000000000</f>
        <v>0</v>
      </c>
      <c r="AV1793" s="299">
        <f>AV1579*'Assumptions (Geo)'!$V$24/1000000000</f>
        <v>0</v>
      </c>
      <c r="AW1793" s="299">
        <f>AW1579*'Assumptions (Geo)'!$V$24/1000000000</f>
        <v>0</v>
      </c>
      <c r="AX1793" s="299">
        <f>AX1579*'Assumptions (Geo)'!$V$24/1000000000</f>
        <v>0</v>
      </c>
      <c r="AY1793" s="299">
        <f>AY1579*'Assumptions (Geo)'!$V$24/1000000000</f>
        <v>0</v>
      </c>
      <c r="AZ1793" s="299">
        <f>AZ1579*'Assumptions (Geo)'!$V$24/1000000000</f>
        <v>0</v>
      </c>
      <c r="BA1793" s="299">
        <f>BA1579*'Assumptions (Geo)'!$V$24/1000000000</f>
        <v>0</v>
      </c>
      <c r="BB1793" s="300"/>
      <c r="BC1793" s="300"/>
      <c r="BD1793" s="268"/>
      <c r="BE1793" s="268"/>
      <c r="BF1793" s="268"/>
      <c r="BG1793" s="268"/>
      <c r="BH1793" s="268"/>
      <c r="BI1793" s="268"/>
      <c r="BJ1793" s="268"/>
      <c r="BK1793" s="268"/>
      <c r="BL1793" s="268"/>
      <c r="BM1793" s="268"/>
      <c r="BN1793" s="268"/>
      <c r="BO1793" s="268"/>
      <c r="BP1793" s="268"/>
      <c r="BQ1793" s="268"/>
      <c r="BR1793" s="268"/>
      <c r="BS1793" s="268"/>
      <c r="BT1793" s="268"/>
      <c r="BU1793" s="268"/>
      <c r="BV1793" s="268"/>
      <c r="BW1793" s="268"/>
      <c r="BX1793" s="268"/>
      <c r="BY1793" s="268"/>
      <c r="BZ1793" s="268"/>
      <c r="CA1793" s="268"/>
      <c r="CB1793" s="268"/>
      <c r="CC1793" s="268"/>
      <c r="CD1793" s="268"/>
    </row>
    <row r="1794" ht="15.75" customHeight="1">
      <c r="A1794" s="301" t="s">
        <v>433</v>
      </c>
      <c r="B1794" s="150"/>
      <c r="C1794" s="174"/>
      <c r="D1794" s="174"/>
      <c r="E1794" s="174"/>
      <c r="F1794" s="174"/>
      <c r="G1794" s="174"/>
      <c r="H1794" s="174"/>
      <c r="I1794" s="174"/>
      <c r="J1794" s="174"/>
      <c r="K1794" s="174"/>
      <c r="L1794" s="174"/>
      <c r="M1794" s="174"/>
      <c r="N1794" s="174"/>
      <c r="O1794" s="174"/>
      <c r="P1794" s="174"/>
      <c r="Q1794" s="174"/>
      <c r="R1794" s="174"/>
      <c r="S1794" s="174"/>
      <c r="T1794" s="174"/>
      <c r="U1794" s="174"/>
      <c r="V1794" s="174"/>
      <c r="W1794" s="139"/>
    </row>
    <row r="1795" ht="15.75" customHeight="1">
      <c r="A1795" s="302"/>
      <c r="B1795" s="159"/>
      <c r="C1795" s="174"/>
      <c r="D1795" s="174"/>
      <c r="E1795" s="174"/>
      <c r="F1795" s="174"/>
      <c r="G1795" s="174"/>
      <c r="H1795" s="174"/>
      <c r="I1795" s="174"/>
      <c r="J1795" s="174"/>
      <c r="K1795" s="174"/>
      <c r="L1795" s="174"/>
      <c r="M1795" s="174"/>
      <c r="N1795" s="174"/>
      <c r="O1795" s="174"/>
      <c r="P1795" s="174"/>
      <c r="Q1795" s="174"/>
      <c r="R1795" s="174"/>
      <c r="S1795" s="174"/>
      <c r="T1795" s="174"/>
      <c r="U1795" s="174"/>
      <c r="V1795" s="174"/>
      <c r="W1795" s="139"/>
    </row>
    <row r="1796" ht="15.75" customHeight="1">
      <c r="A1796" s="301" t="s">
        <v>434</v>
      </c>
      <c r="B1796" s="150"/>
      <c r="C1796" s="174"/>
      <c r="D1796" s="174"/>
      <c r="E1796" s="174"/>
      <c r="F1796" s="174"/>
      <c r="G1796" s="174"/>
      <c r="H1796" s="174"/>
      <c r="I1796" s="174"/>
      <c r="J1796" s="174"/>
      <c r="K1796" s="174"/>
      <c r="L1796" s="174"/>
      <c r="M1796" s="174"/>
      <c r="N1796" s="174"/>
      <c r="O1796" s="174"/>
      <c r="P1796" s="174"/>
      <c r="Q1796" s="174"/>
      <c r="R1796" s="174"/>
      <c r="S1796" s="174"/>
      <c r="T1796" s="174"/>
      <c r="U1796" s="174"/>
      <c r="V1796" s="174"/>
      <c r="W1796" s="139"/>
    </row>
    <row r="1797" ht="15.75" customHeight="1">
      <c r="A1797" s="302"/>
      <c r="B1797" s="159"/>
      <c r="C1797" s="174"/>
      <c r="D1797" s="174"/>
      <c r="E1797" s="174"/>
      <c r="F1797" s="174"/>
      <c r="G1797" s="174"/>
      <c r="H1797" s="174"/>
      <c r="I1797" s="174"/>
      <c r="J1797" s="174"/>
      <c r="K1797" s="174"/>
      <c r="L1797" s="174"/>
      <c r="M1797" s="174"/>
      <c r="N1797" s="174"/>
      <c r="O1797" s="174"/>
      <c r="P1797" s="174"/>
      <c r="Q1797" s="174"/>
      <c r="R1797" s="174"/>
      <c r="S1797" s="174"/>
      <c r="T1797" s="174"/>
      <c r="U1797" s="174"/>
      <c r="V1797" s="174"/>
      <c r="W1797" s="139"/>
    </row>
    <row r="1798" ht="15.75" customHeight="1">
      <c r="A1798" s="301" t="s">
        <v>435</v>
      </c>
      <c r="B1798" s="150"/>
      <c r="C1798" s="174"/>
      <c r="D1798" s="174"/>
      <c r="E1798" s="174"/>
      <c r="F1798" s="174"/>
      <c r="G1798" s="174"/>
      <c r="H1798" s="174"/>
      <c r="I1798" s="174"/>
      <c r="J1798" s="174"/>
      <c r="K1798" s="174"/>
      <c r="L1798" s="174"/>
      <c r="M1798" s="174"/>
      <c r="N1798" s="174"/>
      <c r="O1798" s="174"/>
      <c r="P1798" s="174"/>
      <c r="Q1798" s="174"/>
      <c r="R1798" s="174"/>
      <c r="S1798" s="174"/>
      <c r="T1798" s="174"/>
      <c r="U1798" s="174"/>
      <c r="V1798" s="174"/>
      <c r="W1798" s="139"/>
      <c r="X1798" s="191">
        <f t="shared" ref="X1798:BA1798" si="65">X1800/(X1799*0.00876)</f>
        <v>0.6762907663</v>
      </c>
      <c r="Y1798" s="191">
        <f t="shared" si="65"/>
        <v>0.6762907663</v>
      </c>
      <c r="Z1798" s="191">
        <f t="shared" si="65"/>
        <v>0.6762907663</v>
      </c>
      <c r="AA1798" s="191">
        <f t="shared" si="65"/>
        <v>0.6762907663</v>
      </c>
      <c r="AB1798" s="191">
        <f t="shared" si="65"/>
        <v>0.6762907663</v>
      </c>
      <c r="AC1798" s="191">
        <f t="shared" si="65"/>
        <v>0.6762907663</v>
      </c>
      <c r="AD1798" s="191">
        <f t="shared" si="65"/>
        <v>0.6762907663</v>
      </c>
      <c r="AE1798" s="191">
        <f t="shared" si="65"/>
        <v>0.6762907663</v>
      </c>
      <c r="AF1798" s="191">
        <f t="shared" si="65"/>
        <v>0.6762907663</v>
      </c>
      <c r="AG1798" s="191">
        <f t="shared" si="65"/>
        <v>0.6762907663</v>
      </c>
      <c r="AH1798" s="191">
        <f t="shared" si="65"/>
        <v>0.6762907663</v>
      </c>
      <c r="AI1798" s="191">
        <f t="shared" si="65"/>
        <v>0.6762907663</v>
      </c>
      <c r="AJ1798" s="191">
        <f t="shared" si="65"/>
        <v>0.6762907663</v>
      </c>
      <c r="AK1798" s="191">
        <f t="shared" si="65"/>
        <v>0.6762907663</v>
      </c>
      <c r="AL1798" s="191">
        <f t="shared" si="65"/>
        <v>0.6762907663</v>
      </c>
      <c r="AM1798" s="191">
        <f t="shared" si="65"/>
        <v>0.6762907663</v>
      </c>
      <c r="AN1798" s="191">
        <f t="shared" si="65"/>
        <v>0.6762907663</v>
      </c>
      <c r="AO1798" s="191">
        <f t="shared" si="65"/>
        <v>0.6762907663</v>
      </c>
      <c r="AP1798" s="191">
        <f t="shared" si="65"/>
        <v>0.6762907663</v>
      </c>
      <c r="AQ1798" s="191">
        <f t="shared" si="65"/>
        <v>0.6762907663</v>
      </c>
      <c r="AR1798" s="191">
        <f t="shared" si="65"/>
        <v>0.6762907663</v>
      </c>
      <c r="AS1798" s="191">
        <f t="shared" si="65"/>
        <v>0.6762907663</v>
      </c>
      <c r="AT1798" s="191">
        <f t="shared" si="65"/>
        <v>0.6762907663</v>
      </c>
      <c r="AU1798" s="191">
        <f t="shared" si="65"/>
        <v>0.6762907663</v>
      </c>
      <c r="AV1798" s="191">
        <f t="shared" si="65"/>
        <v>0.6762907663</v>
      </c>
      <c r="AW1798" s="191">
        <f t="shared" si="65"/>
        <v>0.6762907663</v>
      </c>
      <c r="AX1798" s="191">
        <f t="shared" si="65"/>
        <v>0.6762907663</v>
      </c>
      <c r="AY1798" s="191">
        <f t="shared" si="65"/>
        <v>0.6762907663</v>
      </c>
      <c r="AZ1798" s="191">
        <f t="shared" si="65"/>
        <v>0.6762907663</v>
      </c>
      <c r="BA1798" s="191" t="str">
        <f t="shared" si="65"/>
        <v>#DIV/0!</v>
      </c>
    </row>
    <row r="1799" ht="15.75" customHeight="1">
      <c r="A1799" s="303" t="s">
        <v>350</v>
      </c>
      <c r="B1799" s="150" t="s">
        <v>149</v>
      </c>
      <c r="C1799" s="289">
        <v>3723.0</v>
      </c>
      <c r="D1799" s="289">
        <v>3604.0</v>
      </c>
      <c r="E1799" s="289">
        <v>3695.0</v>
      </c>
      <c r="F1799" s="289">
        <v>3649.0</v>
      </c>
      <c r="G1799" s="289">
        <v>3421.0</v>
      </c>
      <c r="H1799" s="289">
        <v>3503.0</v>
      </c>
      <c r="I1799" s="289">
        <v>3617.0</v>
      </c>
      <c r="J1799" s="289">
        <v>4025.0</v>
      </c>
      <c r="K1799" s="289">
        <v>4077.0</v>
      </c>
      <c r="L1799" s="289">
        <v>4100.0</v>
      </c>
      <c r="M1799" s="289">
        <v>4148.0</v>
      </c>
      <c r="N1799" s="289">
        <v>4314.3</v>
      </c>
      <c r="O1799" s="289">
        <v>4583.4</v>
      </c>
      <c r="P1799" s="289">
        <v>4786.4</v>
      </c>
      <c r="Q1799" s="289">
        <v>4912.4</v>
      </c>
      <c r="R1799" s="289">
        <v>4872.4</v>
      </c>
      <c r="S1799" s="289">
        <v>4874.5</v>
      </c>
      <c r="T1799" s="79">
        <v>4240.0</v>
      </c>
      <c r="U1799" s="79">
        <v>4244.0</v>
      </c>
      <c r="V1799" s="79">
        <v>4246.0</v>
      </c>
      <c r="W1799" s="231">
        <v>4246.0</v>
      </c>
      <c r="X1799" s="183">
        <f t="shared" ref="X1799:AZ1799" si="66">W1799+($BA$1799-$W$1799)/($BA$2-$W$2)</f>
        <v>4104.466667</v>
      </c>
      <c r="Y1799" s="183">
        <f t="shared" si="66"/>
        <v>3962.933333</v>
      </c>
      <c r="Z1799" s="183">
        <f t="shared" si="66"/>
        <v>3821.4</v>
      </c>
      <c r="AA1799" s="183">
        <f t="shared" si="66"/>
        <v>3679.866667</v>
      </c>
      <c r="AB1799" s="183">
        <f t="shared" si="66"/>
        <v>3538.333333</v>
      </c>
      <c r="AC1799" s="183">
        <f t="shared" si="66"/>
        <v>3396.8</v>
      </c>
      <c r="AD1799" s="183">
        <f t="shared" si="66"/>
        <v>3255.266667</v>
      </c>
      <c r="AE1799" s="183">
        <f t="shared" si="66"/>
        <v>3113.733333</v>
      </c>
      <c r="AF1799" s="183">
        <f t="shared" si="66"/>
        <v>2972.2</v>
      </c>
      <c r="AG1799" s="183">
        <f t="shared" si="66"/>
        <v>2830.666667</v>
      </c>
      <c r="AH1799" s="183">
        <f t="shared" si="66"/>
        <v>2689.133333</v>
      </c>
      <c r="AI1799" s="183">
        <f t="shared" si="66"/>
        <v>2547.6</v>
      </c>
      <c r="AJ1799" s="183">
        <f t="shared" si="66"/>
        <v>2406.066667</v>
      </c>
      <c r="AK1799" s="183">
        <f t="shared" si="66"/>
        <v>2264.533333</v>
      </c>
      <c r="AL1799" s="183">
        <f t="shared" si="66"/>
        <v>2123</v>
      </c>
      <c r="AM1799" s="183">
        <f t="shared" si="66"/>
        <v>1981.466667</v>
      </c>
      <c r="AN1799" s="183">
        <f t="shared" si="66"/>
        <v>1839.933333</v>
      </c>
      <c r="AO1799" s="183">
        <f t="shared" si="66"/>
        <v>1698.4</v>
      </c>
      <c r="AP1799" s="183">
        <f t="shared" si="66"/>
        <v>1556.866667</v>
      </c>
      <c r="AQ1799" s="183">
        <f t="shared" si="66"/>
        <v>1415.333333</v>
      </c>
      <c r="AR1799" s="183">
        <f t="shared" si="66"/>
        <v>1273.8</v>
      </c>
      <c r="AS1799" s="183">
        <f t="shared" si="66"/>
        <v>1132.266667</v>
      </c>
      <c r="AT1799" s="183">
        <f t="shared" si="66"/>
        <v>990.7333333</v>
      </c>
      <c r="AU1799" s="183">
        <f t="shared" si="66"/>
        <v>849.2</v>
      </c>
      <c r="AV1799" s="183">
        <f t="shared" si="66"/>
        <v>707.6666667</v>
      </c>
      <c r="AW1799" s="183">
        <f t="shared" si="66"/>
        <v>566.1333333</v>
      </c>
      <c r="AX1799" s="183">
        <f t="shared" si="66"/>
        <v>424.6</v>
      </c>
      <c r="AY1799" s="183">
        <f t="shared" si="66"/>
        <v>283.0666667</v>
      </c>
      <c r="AZ1799" s="183">
        <f t="shared" si="66"/>
        <v>141.5333333</v>
      </c>
      <c r="BA1799" s="304" t="str">
        <f>Inputs!$E$11</f>
        <v/>
      </c>
    </row>
    <row r="1800" ht="15.75" customHeight="1">
      <c r="A1800" s="305" t="s">
        <v>28</v>
      </c>
      <c r="B1800" s="159" t="s">
        <v>150</v>
      </c>
      <c r="C1800" s="306">
        <v>22.592967</v>
      </c>
      <c r="D1800" s="306">
        <v>14.260444</v>
      </c>
      <c r="E1800" s="306">
        <v>14.736048</v>
      </c>
      <c r="F1800" s="306">
        <v>15.459811</v>
      </c>
      <c r="G1800" s="306">
        <v>15.082912</v>
      </c>
      <c r="H1800" s="306">
        <v>15.10578</v>
      </c>
      <c r="I1800" s="306">
        <v>15.766682</v>
      </c>
      <c r="J1800" s="306">
        <v>16.22908</v>
      </c>
      <c r="K1800" s="306">
        <v>17.426658</v>
      </c>
      <c r="L1800" s="306">
        <v>18.151652</v>
      </c>
      <c r="M1800" s="306">
        <v>18.627429</v>
      </c>
      <c r="N1800" s="306">
        <v>18.90584973</v>
      </c>
      <c r="O1800" s="306">
        <v>19.539497</v>
      </c>
      <c r="P1800" s="306">
        <v>20.44909339</v>
      </c>
      <c r="Q1800" s="306">
        <v>21.253177</v>
      </c>
      <c r="R1800" s="306">
        <v>21.327535</v>
      </c>
      <c r="S1800" s="306">
        <v>22.45018</v>
      </c>
      <c r="T1800" s="306">
        <v>23.733576</v>
      </c>
      <c r="U1800" s="306">
        <v>24.087973</v>
      </c>
      <c r="V1800" s="306">
        <v>24.840578</v>
      </c>
      <c r="W1800" s="307">
        <v>25.154608</v>
      </c>
      <c r="X1800" s="183">
        <f t="shared" ref="X1800:AZ1800" si="67">W1800+($BA$1800-$W$1800)/($BA$2-$W$2)</f>
        <v>24.31612107</v>
      </c>
      <c r="Y1800" s="183">
        <f t="shared" si="67"/>
        <v>23.47763413</v>
      </c>
      <c r="Z1800" s="183">
        <f t="shared" si="67"/>
        <v>22.6391472</v>
      </c>
      <c r="AA1800" s="183">
        <f t="shared" si="67"/>
        <v>21.80066027</v>
      </c>
      <c r="AB1800" s="183">
        <f t="shared" si="67"/>
        <v>20.96217333</v>
      </c>
      <c r="AC1800" s="183">
        <f t="shared" si="67"/>
        <v>20.1236864</v>
      </c>
      <c r="AD1800" s="183">
        <f t="shared" si="67"/>
        <v>19.28519947</v>
      </c>
      <c r="AE1800" s="183">
        <f t="shared" si="67"/>
        <v>18.44671253</v>
      </c>
      <c r="AF1800" s="183">
        <f t="shared" si="67"/>
        <v>17.6082256</v>
      </c>
      <c r="AG1800" s="183">
        <f t="shared" si="67"/>
        <v>16.76973867</v>
      </c>
      <c r="AH1800" s="183">
        <f t="shared" si="67"/>
        <v>15.93125173</v>
      </c>
      <c r="AI1800" s="183">
        <f t="shared" si="67"/>
        <v>15.0927648</v>
      </c>
      <c r="AJ1800" s="183">
        <f t="shared" si="67"/>
        <v>14.25427787</v>
      </c>
      <c r="AK1800" s="183">
        <f t="shared" si="67"/>
        <v>13.41579093</v>
      </c>
      <c r="AL1800" s="183">
        <f t="shared" si="67"/>
        <v>12.577304</v>
      </c>
      <c r="AM1800" s="183">
        <f t="shared" si="67"/>
        <v>11.73881707</v>
      </c>
      <c r="AN1800" s="183">
        <f t="shared" si="67"/>
        <v>10.90033013</v>
      </c>
      <c r="AO1800" s="183">
        <f t="shared" si="67"/>
        <v>10.0618432</v>
      </c>
      <c r="AP1800" s="183">
        <f t="shared" si="67"/>
        <v>9.223356267</v>
      </c>
      <c r="AQ1800" s="183">
        <f t="shared" si="67"/>
        <v>8.384869333</v>
      </c>
      <c r="AR1800" s="183">
        <f t="shared" si="67"/>
        <v>7.5463824</v>
      </c>
      <c r="AS1800" s="183">
        <f t="shared" si="67"/>
        <v>6.707895467</v>
      </c>
      <c r="AT1800" s="183">
        <f t="shared" si="67"/>
        <v>5.869408533</v>
      </c>
      <c r="AU1800" s="183">
        <f t="shared" si="67"/>
        <v>5.0309216</v>
      </c>
      <c r="AV1800" s="183">
        <f t="shared" si="67"/>
        <v>4.192434667</v>
      </c>
      <c r="AW1800" s="183">
        <f t="shared" si="67"/>
        <v>3.353947733</v>
      </c>
      <c r="AX1800" s="183">
        <f t="shared" si="67"/>
        <v>2.5154608</v>
      </c>
      <c r="AY1800" s="183">
        <f t="shared" si="67"/>
        <v>1.676973867</v>
      </c>
      <c r="AZ1800" s="183">
        <f t="shared" si="67"/>
        <v>0.8384869333</v>
      </c>
      <c r="BA1800" s="308" t="str">
        <f>Inputs!$F$11</f>
        <v/>
      </c>
    </row>
    <row r="1801" ht="15.75" customHeight="1">
      <c r="A1801" s="305" t="s">
        <v>31</v>
      </c>
      <c r="B1801" s="159" t="s">
        <v>351</v>
      </c>
      <c r="C1801" s="160">
        <f>'Assumptions (MSW)'!B17*Model!C1799/10^9+'Assumptions (MSW)'!B18*Model!C1800/10^3</f>
        <v>1.212092326</v>
      </c>
      <c r="D1801" s="160">
        <f>'Assumptions (MSW)'!C17*Model!D1799/10^9+'Assumptions (MSW)'!C18*Model!D1800/10^3</f>
        <v>1.145977751</v>
      </c>
      <c r="E1801" s="160">
        <f>'Assumptions (MSW)'!D17*Model!E1799/10^9+'Assumptions (MSW)'!D18*Model!E1800/10^3</f>
        <v>1.197878753</v>
      </c>
      <c r="F1801" s="160">
        <f>'Assumptions (MSW)'!E17*Model!F1799/10^9+'Assumptions (MSW)'!E18*Model!F1800/10^3</f>
        <v>1.211448299</v>
      </c>
      <c r="G1801" s="160">
        <f>'Assumptions (MSW)'!F17*Model!G1799/10^9+'Assumptions (MSW)'!F18*Model!G1800/10^3</f>
        <v>1.161268934</v>
      </c>
      <c r="H1801" s="160">
        <f>'Assumptions (MSW)'!G17*Model!H1799/10^9+'Assumptions (MSW)'!G18*Model!H1800/10^3</f>
        <v>1.209195295</v>
      </c>
      <c r="I1801" s="160">
        <f>'Assumptions (MSW)'!H17*Model!I1799/10^9+'Assumptions (MSW)'!H18*Model!I1800/10^3</f>
        <v>1.273347392</v>
      </c>
      <c r="J1801" s="160">
        <f>'Assumptions (MSW)'!I17*Model!J1799/10^9+'Assumptions (MSW)'!I18*Model!J1800/10^3</f>
        <v>1.434168903</v>
      </c>
      <c r="K1801" s="160">
        <f>'Assumptions (MSW)'!J17*Model!K1799/10^9+'Assumptions (MSW)'!J18*Model!K1800/10^3</f>
        <v>1.487476255</v>
      </c>
      <c r="L1801" s="160">
        <f>'Assumptions (MSW)'!K17*Model!L1799/10^9+'Assumptions (MSW)'!K18*Model!L1800/10^3</f>
        <v>1.528869517</v>
      </c>
      <c r="M1801" s="160">
        <f>'Assumptions (MSW)'!L17*Model!M1799/10^9+'Assumptions (MSW)'!L18*Model!M1800/10^3</f>
        <v>1.578021758</v>
      </c>
      <c r="N1801" s="160">
        <f>'Assumptions (MSW)'!M17*Model!N1799/10^9+'Assumptions (MSW)'!M18*Model!N1800/10^3</f>
        <v>1.66862139</v>
      </c>
      <c r="O1801" s="160">
        <f>'Assumptions (MSW)'!N17*Model!O1799/10^9+'Assumptions (MSW)'!N18*Model!O1800/10^3</f>
        <v>1.801830129</v>
      </c>
      <c r="P1801" s="160">
        <f>'Assumptions (MSW)'!O17*Model!P1799/10^9+'Assumptions (MSW)'!O18*Model!P1800/10^3</f>
        <v>1.917545781</v>
      </c>
      <c r="Q1801" s="160">
        <f>'Assumptions (MSW)'!P17*Model!Q1799/10^9+'Assumptions (MSW)'!P18*Model!Q1800/10^3</f>
        <v>2.007415416</v>
      </c>
      <c r="R1801" s="160">
        <f>'Assumptions (MSW)'!Q17*Model!R1799/10^9+'Assumptions (MSW)'!Q18*Model!R1800/10^3</f>
        <v>2.030782593</v>
      </c>
      <c r="S1801" s="160">
        <f>'Assumptions (MSW)'!R17*Model!S1799/10^9+'Assumptions (MSW)'!R18*Model!S1800/10^3</f>
        <v>2.079642272</v>
      </c>
      <c r="T1801" s="160">
        <f>'Assumptions (MSW)'!S17*Model!T1799/10^9+'Assumptions (MSW)'!S18*Model!T1800/10^3</f>
        <v>1.880056823</v>
      </c>
      <c r="U1801" s="160">
        <f>'Assumptions (MSW)'!T17*Model!U1799/10^9+'Assumptions (MSW)'!T18*Model!U1800/10^3</f>
        <v>1.920357226</v>
      </c>
      <c r="V1801" s="160">
        <f>'Assumptions (MSW)'!U17*Model!V1799/10^9+'Assumptions (MSW)'!U18*Model!V1800/10^3</f>
        <v>1.964321532</v>
      </c>
      <c r="W1801" s="160">
        <f>'Assumptions (MSW)'!V17*Model!W1799/10^9+'Assumptions (MSW)'!V18*Model!W1800/10^3</f>
        <v>2.004353228</v>
      </c>
      <c r="X1801" s="160">
        <f>'Assumptions (MSW)'!W17*Model!X1799/10^9+'Assumptions (MSW)'!W18*Model!X1800/10^3</f>
        <v>1.974149822</v>
      </c>
      <c r="Y1801" s="160">
        <f>'Assumptions (MSW)'!X17*Model!Y1799/10^9+'Assumptions (MSW)'!X18*Model!Y1800/10^3</f>
        <v>1.942089537</v>
      </c>
      <c r="Z1801" s="160">
        <f>'Assumptions (MSW)'!Y17*Model!Z1799/10^9+'Assumptions (MSW)'!Y18*Model!Z1800/10^3</f>
        <v>1.908112986</v>
      </c>
      <c r="AA1801" s="160">
        <f>'Assumptions (MSW)'!Z17*Model!AA1799/10^9+'Assumptions (MSW)'!Z18*Model!AA1800/10^3</f>
        <v>1.872159203</v>
      </c>
      <c r="AB1801" s="160">
        <f>'Assumptions (MSW)'!AA17*Model!AB1799/10^9+'Assumptions (MSW)'!AA18*Model!AB1800/10^3</f>
        <v>1.834165599</v>
      </c>
      <c r="AC1801" s="160">
        <f>'Assumptions (MSW)'!AB17*Model!AC1799/10^9+'Assumptions (MSW)'!AB18*Model!AC1800/10^3</f>
        <v>1.794067929</v>
      </c>
      <c r="AD1801" s="160">
        <f>'Assumptions (MSW)'!AC17*Model!AD1799/10^9+'Assumptions (MSW)'!AC18*Model!AD1800/10^3</f>
        <v>1.751800246</v>
      </c>
      <c r="AE1801" s="160">
        <f>'Assumptions (MSW)'!AD17*Model!AE1799/10^9+'Assumptions (MSW)'!AD18*Model!AE1800/10^3</f>
        <v>1.707294864</v>
      </c>
      <c r="AF1801" s="160">
        <f>'Assumptions (MSW)'!AE17*Model!AF1799/10^9+'Assumptions (MSW)'!AE18*Model!AF1800/10^3</f>
        <v>1.660482312</v>
      </c>
      <c r="AG1801" s="160">
        <f>'Assumptions (MSW)'!AF17*Model!AG1799/10^9+'Assumptions (MSW)'!AF18*Model!AG1800/10^3</f>
        <v>1.611291294</v>
      </c>
      <c r="AH1801" s="160">
        <f>'Assumptions (MSW)'!AG17*Model!AH1799/10^9+'Assumptions (MSW)'!AG18*Model!AH1800/10^3</f>
        <v>1.559648644</v>
      </c>
      <c r="AI1801" s="160">
        <f>'Assumptions (MSW)'!AH17*Model!AI1799/10^9+'Assumptions (MSW)'!AH18*Model!AI1800/10^3</f>
        <v>1.505479278</v>
      </c>
      <c r="AJ1801" s="160">
        <f>'Assumptions (MSW)'!AI17*Model!AJ1799/10^9+'Assumptions (MSW)'!AI18*Model!AJ1800/10^3</f>
        <v>1.448706152</v>
      </c>
      <c r="AK1801" s="160">
        <f>'Assumptions (MSW)'!AJ17*Model!AK1799/10^9+'Assumptions (MSW)'!AJ18*Model!AK1800/10^3</f>
        <v>1.389250212</v>
      </c>
      <c r="AL1801" s="160">
        <f>'Assumptions (MSW)'!AK17*Model!AL1799/10^9+'Assumptions (MSW)'!AK18*Model!AL1800/10^3</f>
        <v>1.327030345</v>
      </c>
      <c r="AM1801" s="160">
        <f>'Assumptions (MSW)'!AL17*Model!AM1799/10^9+'Assumptions (MSW)'!AL18*Model!AM1800/10^3</f>
        <v>1.261963333</v>
      </c>
      <c r="AN1801" s="160">
        <f>'Assumptions (MSW)'!AM17*Model!AN1799/10^9+'Assumptions (MSW)'!AM18*Model!AN1800/10^3</f>
        <v>1.193963799</v>
      </c>
      <c r="AO1801" s="160">
        <f>'Assumptions (MSW)'!AN17*Model!AO1799/10^9+'Assumptions (MSW)'!AN18*Model!AO1800/10^3</f>
        <v>1.122944155</v>
      </c>
      <c r="AP1801" s="160">
        <f>'Assumptions (MSW)'!AO17*Model!AP1799/10^9+'Assumptions (MSW)'!AO18*Model!AP1800/10^3</f>
        <v>1.048814551</v>
      </c>
      <c r="AQ1801" s="160">
        <f>'Assumptions (MSW)'!AP17*Model!AQ1799/10^9+'Assumptions (MSW)'!AP18*Model!AQ1800/10^3</f>
        <v>0.9714828201</v>
      </c>
      <c r="AR1801" s="160">
        <f>'Assumptions (MSW)'!AQ17*Model!AR1799/10^9+'Assumptions (MSW)'!AQ18*Model!AR1800/10^3</f>
        <v>0.8908544224</v>
      </c>
      <c r="AS1801" s="160">
        <f>'Assumptions (MSW)'!AR17*Model!AS1799/10^9+'Assumptions (MSW)'!AR18*Model!AS1800/10^3</f>
        <v>0.8068323887</v>
      </c>
      <c r="AT1801" s="160">
        <f>'Assumptions (MSW)'!AS17*Model!AT1799/10^9+'Assumptions (MSW)'!AS18*Model!AT1800/10^3</f>
        <v>0.7193172625</v>
      </c>
      <c r="AU1801" s="160">
        <f>'Assumptions (MSW)'!AT17*Model!AU1799/10^9+'Assumptions (MSW)'!AT18*Model!AU1800/10^3</f>
        <v>0.6282070402</v>
      </c>
      <c r="AV1801" s="160">
        <f>'Assumptions (MSW)'!AU17*Model!AV1799/10^9+'Assumptions (MSW)'!AU18*Model!AV1800/10^3</f>
        <v>0.533397111</v>
      </c>
      <c r="AW1801" s="160">
        <f>'Assumptions (MSW)'!AV17*Model!AW1799/10^9+'Assumptions (MSW)'!AV18*Model!AW1800/10^3</f>
        <v>0.4347801941</v>
      </c>
      <c r="AX1801" s="160">
        <f>'Assumptions (MSW)'!AW17*Model!AX1799/10^9+'Assumptions (MSW)'!AW18*Model!AX1800/10^3</f>
        <v>0.3322462757</v>
      </c>
      <c r="AY1801" s="160">
        <f>'Assumptions (MSW)'!AX17*Model!AY1799/10^9+'Assumptions (MSW)'!AX18*Model!AY1800/10^3</f>
        <v>0.2256825438</v>
      </c>
      <c r="AZ1801" s="160">
        <f>'Assumptions (MSW)'!AY17*Model!AZ1799/10^9+'Assumptions (MSW)'!AY18*Model!AZ1800/10^3</f>
        <v>0.1149733217</v>
      </c>
      <c r="BA1801" s="160">
        <f>'Assumptions (MSW)'!AZ17*Model!BA1799/10^9+'Assumptions (MSW)'!AZ18*Model!BA1800/10^3</f>
        <v>0</v>
      </c>
    </row>
    <row r="1802" ht="15.75" customHeight="1">
      <c r="A1802" s="305" t="s">
        <v>36</v>
      </c>
      <c r="B1802" s="159" t="s">
        <v>351</v>
      </c>
      <c r="C1802" s="95">
        <f>C1800*'Assumptions (MSW)'!B30/10^3</f>
        <v>1.512296395</v>
      </c>
      <c r="D1802" s="95">
        <f>D1800*'Assumptions (MSW)'!C30/10^3</f>
        <v>0.9777345438</v>
      </c>
      <c r="E1802" s="95">
        <f>E1800*'Assumptions (MSW)'!D30/10^3</f>
        <v>0.913452249</v>
      </c>
      <c r="F1802" s="95">
        <f>F1800*'Assumptions (MSW)'!E30/10^3</f>
        <v>1.164895213</v>
      </c>
      <c r="G1802" s="95">
        <f>G1800*'Assumptions (MSW)'!F30/10^3</f>
        <v>1.194079452</v>
      </c>
      <c r="H1802" s="95">
        <f>H1800*'Assumptions (MSW)'!G30/10^3</f>
        <v>1.44793282</v>
      </c>
      <c r="I1802" s="95">
        <f>I1800*'Assumptions (MSW)'!H30/10^3</f>
        <v>1.359682392</v>
      </c>
      <c r="J1802" s="95">
        <f>J1800*'Assumptions (MSW)'!I30/10^3</f>
        <v>1.422506451</v>
      </c>
      <c r="K1802" s="95">
        <f>K1800*'Assumptions (MSW)'!J30/10^3</f>
        <v>1.76772882</v>
      </c>
      <c r="L1802" s="95">
        <f>L1800*'Assumptions (MSW)'!K30/10^3</f>
        <v>1.285592568</v>
      </c>
      <c r="M1802" s="95">
        <f>M1800*'Assumptions (MSW)'!L30/10^3</f>
        <v>1.364066135</v>
      </c>
      <c r="N1802" s="95">
        <f>N1800*'Assumptions (MSW)'!M30/10^3</f>
        <v>1.333662123</v>
      </c>
      <c r="O1802" s="95">
        <f>O1800*'Assumptions (MSW)'!N30/10^3</f>
        <v>1.19186633</v>
      </c>
      <c r="P1802" s="95">
        <f>P1800*'Assumptions (MSW)'!O30/10^3</f>
        <v>1.384696045</v>
      </c>
      <c r="Q1802" s="95">
        <f>Q1800*'Assumptions (MSW)'!P30/10^3</f>
        <v>1.544325976</v>
      </c>
      <c r="R1802" s="95">
        <f>R1800*'Assumptions (MSW)'!Q30/10^3</f>
        <v>1.276807007</v>
      </c>
      <c r="S1802" s="95">
        <f>S1800*'Assumptions (MSW)'!R30/10^3</f>
        <v>1.438383033</v>
      </c>
      <c r="T1802" s="95">
        <f>T1800*'Assumptions (MSW)'!S30/10^3</f>
        <v>1.484297843</v>
      </c>
      <c r="U1802" s="95">
        <f>U1800*'Assumptions (MSW)'!T30/10^3</f>
        <v>1.546447867</v>
      </c>
      <c r="V1802" s="95">
        <f>V1800*'Assumptions (MSW)'!U30/10^3</f>
        <v>1.616873222</v>
      </c>
      <c r="W1802" s="95">
        <f>W1800*'Assumptions (MSW)'!V30/10^3</f>
        <v>1.707828844</v>
      </c>
      <c r="X1802" s="95">
        <f>X1800*'Assumptions (MSW)'!W30/10^3</f>
        <v>1.663422803</v>
      </c>
      <c r="Y1802" s="95">
        <f>Y1800*'Assumptions (MSW)'!X30/10^3</f>
        <v>1.620892104</v>
      </c>
      <c r="Z1802" s="95">
        <f>Z1800*'Assumptions (MSW)'!Y30/10^3</f>
        <v>1.588496818</v>
      </c>
      <c r="AA1802" s="95">
        <f>AA1800*'Assumptions (MSW)'!Z30/10^3</f>
        <v>1.558737181</v>
      </c>
      <c r="AB1802" s="95">
        <f>AB1800*'Assumptions (MSW)'!AA30/10^3</f>
        <v>1.541067502</v>
      </c>
      <c r="AC1802" s="95">
        <f>AC1800*'Assumptions (MSW)'!AB30/10^3</f>
        <v>1.503312222</v>
      </c>
      <c r="AD1802" s="95">
        <f>AD1800*'Assumptions (MSW)'!AC30/10^3</f>
        <v>1.468984693</v>
      </c>
      <c r="AE1802" s="95">
        <f>AE1800*'Assumptions (MSW)'!AD30/10^3</f>
        <v>1.429795096</v>
      </c>
      <c r="AF1802" s="95">
        <f>AF1800*'Assumptions (MSW)'!AE30/10^3</f>
        <v>1.389941032</v>
      </c>
      <c r="AG1802" s="95">
        <f>AG1800*'Assumptions (MSW)'!AF30/10^3</f>
        <v>1.348199115</v>
      </c>
      <c r="AH1802" s="95">
        <f>AH1800*'Assumptions (MSW)'!AG30/10^3</f>
        <v>1.306350216</v>
      </c>
      <c r="AI1802" s="95">
        <f>AI1800*'Assumptions (MSW)'!AH30/10^3</f>
        <v>1.257048459</v>
      </c>
      <c r="AJ1802" s="95">
        <f>AJ1800*'Assumptions (MSW)'!AI30/10^3</f>
        <v>1.205230268</v>
      </c>
      <c r="AK1802" s="95">
        <f>AK1800*'Assumptions (MSW)'!AJ30/10^3</f>
        <v>1.151645838</v>
      </c>
      <c r="AL1802" s="95">
        <f>AL1800*'Assumptions (MSW)'!AK30/10^3</f>
        <v>1.097778536</v>
      </c>
      <c r="AM1802" s="95">
        <f>AM1800*'Assumptions (MSW)'!AL30/10^3</f>
        <v>1.045829525</v>
      </c>
      <c r="AN1802" s="95">
        <f>AN1800*'Assumptions (MSW)'!AM30/10^3</f>
        <v>0.99024169</v>
      </c>
      <c r="AO1802" s="95">
        <f>AO1800*'Assumptions (MSW)'!AN30/10^3</f>
        <v>0.9345929976</v>
      </c>
      <c r="AP1802" s="95">
        <f>AP1800*'Assumptions (MSW)'!AO30/10^3</f>
        <v>0.875853416</v>
      </c>
      <c r="AQ1802" s="95">
        <f>AQ1800*'Assumptions (MSW)'!AP30/10^3</f>
        <v>0.8124774879</v>
      </c>
      <c r="AR1802" s="95">
        <f>AR1800*'Assumptions (MSW)'!AQ30/10^3</f>
        <v>0.7455291527</v>
      </c>
      <c r="AS1802" s="95">
        <f>AS1800*'Assumptions (MSW)'!AR30/10^3</f>
        <v>0.6753168395</v>
      </c>
      <c r="AT1802" s="95">
        <f>AT1800*'Assumptions (MSW)'!AS30/10^3</f>
        <v>0.6026110589</v>
      </c>
      <c r="AU1802" s="95">
        <f>AU1800*'Assumptions (MSW)'!AT30/10^3</f>
        <v>0.5272312262</v>
      </c>
      <c r="AV1802" s="95">
        <f>AV1800*'Assumptions (MSW)'!AU30/10^3</f>
        <v>0.4485113981</v>
      </c>
      <c r="AW1802" s="95">
        <f>AW1800*'Assumptions (MSW)'!AV30/10^3</f>
        <v>0.3655111445</v>
      </c>
      <c r="AX1802" s="95">
        <f>AX1800*'Assumptions (MSW)'!AW30/10^3</f>
        <v>0.2801584907</v>
      </c>
      <c r="AY1802" s="95">
        <f>AY1800*'Assumptions (MSW)'!AX30/10^3</f>
        <v>0.1935048574</v>
      </c>
      <c r="AZ1802" s="95">
        <f>AZ1800*'Assumptions (MSW)'!AY30/10^3</f>
        <v>0.09932967758</v>
      </c>
      <c r="BA1802" s="95">
        <f>BA1800*'Assumptions (MSW)'!AZ30/10^3</f>
        <v>0</v>
      </c>
    </row>
    <row r="1803" ht="15.75" customHeight="1">
      <c r="A1803" s="305" t="s">
        <v>38</v>
      </c>
      <c r="B1803" s="159" t="s">
        <v>351</v>
      </c>
      <c r="C1803" s="95">
        <f>C1799*'Assumptions (MSW)'!B33*'Assumptions (MSW)'!B32*365/10^9</f>
        <v>0</v>
      </c>
      <c r="D1803" s="95">
        <f>D1799*'Assumptions (MSW)'!C33*'Assumptions (MSW)'!C32*365/10^9</f>
        <v>0</v>
      </c>
      <c r="E1803" s="95">
        <f>E1799*'Assumptions (MSW)'!D33*'Assumptions (MSW)'!D32*365/10^9</f>
        <v>0</v>
      </c>
      <c r="F1803" s="95">
        <f>F1799*'Assumptions (MSW)'!E33*'Assumptions (MSW)'!E32*365/10^9</f>
        <v>0</v>
      </c>
      <c r="G1803" s="95">
        <f>G1799*'Assumptions (MSW)'!F33*'Assumptions (MSW)'!F32*365/10^9</f>
        <v>0</v>
      </c>
      <c r="H1803" s="95">
        <f>H1799*'Assumptions (MSW)'!G33*'Assumptions (MSW)'!G32*365/10^9</f>
        <v>0</v>
      </c>
      <c r="I1803" s="95">
        <f>I1799*'Assumptions (MSW)'!H33*'Assumptions (MSW)'!H32*365/10^9</f>
        <v>0</v>
      </c>
      <c r="J1803" s="95">
        <f>J1799*'Assumptions (MSW)'!I33*'Assumptions (MSW)'!I32*365/10^9</f>
        <v>0</v>
      </c>
      <c r="K1803" s="95">
        <f>K1799*'Assumptions (MSW)'!J33*'Assumptions (MSW)'!J32*365/10^9</f>
        <v>0</v>
      </c>
      <c r="L1803" s="95">
        <f>L1799*'Assumptions (MSW)'!K33*'Assumptions (MSW)'!K32*365/10^9</f>
        <v>0</v>
      </c>
      <c r="M1803" s="95">
        <f>M1799*'Assumptions (MSW)'!L33*'Assumptions (MSW)'!L32*365/10^9</f>
        <v>0</v>
      </c>
      <c r="N1803" s="95">
        <f>N1799*'Assumptions (MSW)'!M33*'Assumptions (MSW)'!M32*365/10^9</f>
        <v>0</v>
      </c>
      <c r="O1803" s="95">
        <f>O1799*'Assumptions (MSW)'!N33*'Assumptions (MSW)'!N32*365/10^9</f>
        <v>0</v>
      </c>
      <c r="P1803" s="95">
        <f>P1799*'Assumptions (MSW)'!O33*'Assumptions (MSW)'!O32*365/10^9</f>
        <v>0</v>
      </c>
      <c r="Q1803" s="95">
        <f>Q1799*'Assumptions (MSW)'!P33*'Assumptions (MSW)'!P32*365/10^9</f>
        <v>0</v>
      </c>
      <c r="R1803" s="95">
        <f>R1799*'Assumptions (MSW)'!Q33*'Assumptions (MSW)'!Q32*365/10^9</f>
        <v>0</v>
      </c>
      <c r="S1803" s="95">
        <f>S1799*'Assumptions (MSW)'!R33*'Assumptions (MSW)'!R32*365/10^9</f>
        <v>0</v>
      </c>
      <c r="T1803" s="95">
        <f>T1799*'Assumptions (MSW)'!S33*'Assumptions (MSW)'!S32*365/10^9</f>
        <v>0</v>
      </c>
      <c r="U1803" s="95">
        <f>U1799*'Assumptions (MSW)'!T33*'Assumptions (MSW)'!T32*365/10^9</f>
        <v>0</v>
      </c>
      <c r="V1803" s="95">
        <f>V1799*'Assumptions (MSW)'!U33*'Assumptions (MSW)'!U32*365/10^9</f>
        <v>0</v>
      </c>
      <c r="W1803" s="95">
        <f>W1799*'Assumptions (MSW)'!V33*'Assumptions (MSW)'!V32*365/10^9</f>
        <v>0</v>
      </c>
      <c r="X1803" s="95">
        <f>X1799*'Assumptions (MSW)'!W33*'Assumptions (MSW)'!W32*365/10^9</f>
        <v>0</v>
      </c>
      <c r="Y1803" s="95">
        <f>Y1799*'Assumptions (MSW)'!X33*'Assumptions (MSW)'!X32*365/10^9</f>
        <v>0</v>
      </c>
      <c r="Z1803" s="95">
        <f>Z1799*'Assumptions (MSW)'!Y33*'Assumptions (MSW)'!Y32*365/10^9</f>
        <v>0</v>
      </c>
      <c r="AA1803" s="95">
        <f>AA1799*'Assumptions (MSW)'!Z33*'Assumptions (MSW)'!Z32*365/10^9</f>
        <v>0</v>
      </c>
      <c r="AB1803" s="95">
        <f>AB1799*'Assumptions (MSW)'!AA33*'Assumptions (MSW)'!AA32*365/10^9</f>
        <v>0</v>
      </c>
      <c r="AC1803" s="95">
        <f>AC1799*'Assumptions (MSW)'!AB33*'Assumptions (MSW)'!AB32*365/10^9</f>
        <v>0</v>
      </c>
      <c r="AD1803" s="95">
        <f>AD1799*'Assumptions (MSW)'!AC33*'Assumptions (MSW)'!AC32*365/10^9</f>
        <v>0</v>
      </c>
      <c r="AE1803" s="95">
        <f>AE1799*'Assumptions (MSW)'!AD33*'Assumptions (MSW)'!AD32*365/10^9</f>
        <v>0</v>
      </c>
      <c r="AF1803" s="95">
        <f>AF1799*'Assumptions (MSW)'!AE33*'Assumptions (MSW)'!AE32*365/10^9</f>
        <v>0</v>
      </c>
      <c r="AG1803" s="95">
        <f>AG1799*'Assumptions (MSW)'!AF33*'Assumptions (MSW)'!AF32*365/10^9</f>
        <v>0</v>
      </c>
      <c r="AH1803" s="95">
        <f>AH1799*'Assumptions (MSW)'!AG33*'Assumptions (MSW)'!AG32*365/10^9</f>
        <v>0</v>
      </c>
      <c r="AI1803" s="95">
        <f>AI1799*'Assumptions (MSW)'!AH33*'Assumptions (MSW)'!AH32*365/10^9</f>
        <v>0</v>
      </c>
      <c r="AJ1803" s="95">
        <f>AJ1799*'Assumptions (MSW)'!AI33*'Assumptions (MSW)'!AI32*365/10^9</f>
        <v>0</v>
      </c>
      <c r="AK1803" s="95">
        <f>AK1799*'Assumptions (MSW)'!AJ33*'Assumptions (MSW)'!AJ32*365/10^9</f>
        <v>0</v>
      </c>
      <c r="AL1803" s="95">
        <f>AL1799*'Assumptions (MSW)'!AK33*'Assumptions (MSW)'!AK32*365/10^9</f>
        <v>0</v>
      </c>
      <c r="AM1803" s="95">
        <f>AM1799*'Assumptions (MSW)'!AL33*'Assumptions (MSW)'!AL32*365/10^9</f>
        <v>0</v>
      </c>
      <c r="AN1803" s="95">
        <f>AN1799*'Assumptions (MSW)'!AM33*'Assumptions (MSW)'!AM32*365/10^9</f>
        <v>0</v>
      </c>
      <c r="AO1803" s="95">
        <f>AO1799*'Assumptions (MSW)'!AN33*'Assumptions (MSW)'!AN32*365/10^9</f>
        <v>0</v>
      </c>
      <c r="AP1803" s="95">
        <f>AP1799*'Assumptions (MSW)'!AO33*'Assumptions (MSW)'!AO32*365/10^9</f>
        <v>0</v>
      </c>
      <c r="AQ1803" s="95">
        <f>AQ1799*'Assumptions (MSW)'!AP33*'Assumptions (MSW)'!AP32*365/10^9</f>
        <v>0</v>
      </c>
      <c r="AR1803" s="95">
        <f>AR1799*'Assumptions (MSW)'!AQ33*'Assumptions (MSW)'!AQ32*365/10^9</f>
        <v>0</v>
      </c>
      <c r="AS1803" s="95">
        <f>AS1799*'Assumptions (MSW)'!AR33*'Assumptions (MSW)'!AR32*365/10^9</f>
        <v>0</v>
      </c>
      <c r="AT1803" s="95">
        <f>AT1799*'Assumptions (MSW)'!AS33*'Assumptions (MSW)'!AS32*365/10^9</f>
        <v>0</v>
      </c>
      <c r="AU1803" s="95">
        <f>AU1799*'Assumptions (MSW)'!AT33*'Assumptions (MSW)'!AT32*365/10^9</f>
        <v>0</v>
      </c>
      <c r="AV1803" s="95">
        <f>AV1799*'Assumptions (MSW)'!AU33*'Assumptions (MSW)'!AU32*365/10^9</f>
        <v>0</v>
      </c>
      <c r="AW1803" s="95">
        <f>AW1799*'Assumptions (MSW)'!AV33*'Assumptions (MSW)'!AV32*365/10^9</f>
        <v>0</v>
      </c>
      <c r="AX1803" s="95">
        <f>AX1799*'Assumptions (MSW)'!AW33*'Assumptions (MSW)'!AW32*365/10^9</f>
        <v>0</v>
      </c>
      <c r="AY1803" s="95">
        <f>AY1799*'Assumptions (MSW)'!AX33*'Assumptions (MSW)'!AX32*365/10^9</f>
        <v>0</v>
      </c>
      <c r="AZ1803" s="95">
        <f>AZ1799*'Assumptions (MSW)'!AY33*'Assumptions (MSW)'!AY32*365/10^9</f>
        <v>0</v>
      </c>
      <c r="BA1803" s="95">
        <f>BA1799*'Assumptions (MSW)'!AZ33*'Assumptions (MSW)'!AZ32*365/10^9</f>
        <v>0</v>
      </c>
    </row>
    <row r="1804" ht="15.75" customHeight="1">
      <c r="A1804" s="309" t="s">
        <v>46</v>
      </c>
      <c r="B1804" s="159" t="s">
        <v>149</v>
      </c>
      <c r="C1804" s="289">
        <v>24.6</v>
      </c>
      <c r="D1804" s="289">
        <v>91.1</v>
      </c>
      <c r="E1804" s="289">
        <v>24.5</v>
      </c>
      <c r="F1804" s="289">
        <v>82.3</v>
      </c>
      <c r="G1804" s="289">
        <v>41.1</v>
      </c>
      <c r="H1804" s="289">
        <v>44.2</v>
      </c>
      <c r="I1804" s="289">
        <v>123.7</v>
      </c>
      <c r="J1804" s="289">
        <v>130.3</v>
      </c>
      <c r="K1804" s="289">
        <v>131.5</v>
      </c>
      <c r="L1804" s="289">
        <v>132.0</v>
      </c>
      <c r="M1804" s="289">
        <v>142.7</v>
      </c>
      <c r="N1804" s="289">
        <v>143.5</v>
      </c>
      <c r="O1804" s="289">
        <v>173.7</v>
      </c>
      <c r="P1804" s="289">
        <v>140.0</v>
      </c>
      <c r="Q1804" s="289">
        <v>88.3</v>
      </c>
      <c r="R1804" s="289">
        <v>100.8</v>
      </c>
      <c r="S1804" s="289">
        <v>82.3</v>
      </c>
      <c r="T1804" s="289">
        <v>31.5</v>
      </c>
      <c r="U1804" s="289">
        <v>1.6</v>
      </c>
      <c r="V1804" s="289">
        <v>4.6</v>
      </c>
      <c r="W1804" s="175">
        <f>if(W1799-V1799+'Assumptions (MSW)'!V36&gt;0,W1799-V1799+'Assumptions (MSW)'!V36,0)</f>
        <v>0</v>
      </c>
      <c r="X1804" s="175">
        <f>if(X1799-W1799+'Assumptions (MSW)'!W36&gt;0,X1799-W1799+'Assumptions (MSW)'!W36,0)</f>
        <v>0</v>
      </c>
      <c r="Y1804" s="175">
        <f>if(Y1799-X1799+'Assumptions (MSW)'!X36&gt;0,Y1799-X1799+'Assumptions (MSW)'!X36,0)</f>
        <v>0</v>
      </c>
      <c r="Z1804" s="175">
        <f>if(Z1799-Y1799+'Assumptions (MSW)'!Y36&gt;0,Z1799-Y1799+'Assumptions (MSW)'!Y36,0)</f>
        <v>0</v>
      </c>
      <c r="AA1804" s="175">
        <f>if(AA1799-Z1799+'Assumptions (MSW)'!Z36&gt;0,AA1799-Z1799+'Assumptions (MSW)'!Z36,0)</f>
        <v>0</v>
      </c>
      <c r="AB1804" s="175">
        <f>if(AB1799-AA1799+'Assumptions (MSW)'!AA36&gt;0,AB1799-AA1799+'Assumptions (MSW)'!AA36,0)</f>
        <v>0</v>
      </c>
      <c r="AC1804" s="175">
        <f>if(AC1799-AB1799+'Assumptions (MSW)'!AB36&gt;0,AC1799-AB1799+'Assumptions (MSW)'!AB36,0)</f>
        <v>0</v>
      </c>
      <c r="AD1804" s="175">
        <f>if(AD1799-AC1799+'Assumptions (MSW)'!AC36&gt;0,AD1799-AC1799+'Assumptions (MSW)'!AC36,0)</f>
        <v>0</v>
      </c>
      <c r="AE1804" s="175">
        <f>if(AE1799-AD1799+'Assumptions (MSW)'!AD36&gt;0,AE1799-AD1799+'Assumptions (MSW)'!AD36,0)</f>
        <v>0</v>
      </c>
      <c r="AF1804" s="175">
        <f>if(AF1799-AE1799+'Assumptions (MSW)'!AE36&gt;0,AF1799-AE1799+'Assumptions (MSW)'!AE36,0)</f>
        <v>0</v>
      </c>
      <c r="AG1804" s="175">
        <f>if(AG1799-AF1799+'Assumptions (MSW)'!AF36&gt;0,AG1799-AF1799+'Assumptions (MSW)'!AF36,0)</f>
        <v>0</v>
      </c>
      <c r="AH1804" s="175">
        <f>if(AH1799-AG1799+'Assumptions (MSW)'!AG36&gt;0,AH1799-AG1799+'Assumptions (MSW)'!AG36,0)</f>
        <v>0</v>
      </c>
      <c r="AI1804" s="175">
        <f>if(AI1799-AH1799+'Assumptions (MSW)'!AH36&gt;0,AI1799-AH1799+'Assumptions (MSW)'!AH36,0)</f>
        <v>0</v>
      </c>
      <c r="AJ1804" s="175">
        <f>if(AJ1799-AI1799+'Assumptions (MSW)'!AI36&gt;0,AJ1799-AI1799+'Assumptions (MSW)'!AI36,0)</f>
        <v>0</v>
      </c>
      <c r="AK1804" s="175">
        <f>if(AK1799-AJ1799+'Assumptions (MSW)'!AJ36&gt;0,AK1799-AJ1799+'Assumptions (MSW)'!AJ36,0)</f>
        <v>0</v>
      </c>
      <c r="AL1804" s="175">
        <f>if(AL1799-AK1799+'Assumptions (MSW)'!AK36&gt;0,AL1799-AK1799+'Assumptions (MSW)'!AK36,0)</f>
        <v>0</v>
      </c>
      <c r="AM1804" s="175">
        <f>if(AM1799-AL1799+'Assumptions (MSW)'!AL36&gt;0,AM1799-AL1799+'Assumptions (MSW)'!AL36,0)</f>
        <v>0</v>
      </c>
      <c r="AN1804" s="175">
        <f>if(AN1799-AM1799+'Assumptions (MSW)'!AM36&gt;0,AN1799-AM1799+'Assumptions (MSW)'!AM36,0)</f>
        <v>0</v>
      </c>
      <c r="AO1804" s="175">
        <f>if(AO1799-AN1799+'Assumptions (MSW)'!AN36&gt;0,AO1799-AN1799+'Assumptions (MSW)'!AN36,0)</f>
        <v>0</v>
      </c>
      <c r="AP1804" s="175">
        <f>if(AP1799-AO1799+'Assumptions (MSW)'!AO36&gt;0,AP1799-AO1799+'Assumptions (MSW)'!AO36,0)</f>
        <v>0</v>
      </c>
      <c r="AQ1804" s="175">
        <f>if(AQ1799-AP1799+'Assumptions (MSW)'!AP36&gt;0,AQ1799-AP1799+'Assumptions (MSW)'!AP36,0)</f>
        <v>0</v>
      </c>
      <c r="AR1804" s="175">
        <f>if(AR1799-AQ1799+'Assumptions (MSW)'!AQ36&gt;0,AR1799-AQ1799+'Assumptions (MSW)'!AQ36,0)</f>
        <v>0</v>
      </c>
      <c r="AS1804" s="175">
        <f>if(AS1799-AR1799+'Assumptions (MSW)'!AR36&gt;0,AS1799-AR1799+'Assumptions (MSW)'!AR36,0)</f>
        <v>0</v>
      </c>
      <c r="AT1804" s="175">
        <f>if(AT1799-AS1799+'Assumptions (MSW)'!AS36&gt;0,AT1799-AS1799+'Assumptions (MSW)'!AS36,0)</f>
        <v>0</v>
      </c>
      <c r="AU1804" s="175">
        <f>if(AU1799-AT1799+'Assumptions (MSW)'!AT36&gt;0,AU1799-AT1799+'Assumptions (MSW)'!AT36,0)</f>
        <v>0</v>
      </c>
      <c r="AV1804" s="175">
        <f>if(AV1799-AU1799+'Assumptions (MSW)'!AU36&gt;0,AV1799-AU1799+'Assumptions (MSW)'!AU36,0)</f>
        <v>0</v>
      </c>
      <c r="AW1804" s="175">
        <f>if(AW1799-AV1799+'Assumptions (MSW)'!AV36&gt;0,AW1799-AV1799+'Assumptions (MSW)'!AV36,0)</f>
        <v>0</v>
      </c>
      <c r="AX1804" s="175">
        <f>if(AX1799-AW1799+'Assumptions (MSW)'!AW36&gt;0,AX1799-AW1799+'Assumptions (MSW)'!AW36,0)</f>
        <v>0</v>
      </c>
      <c r="AY1804" s="175">
        <f>if(AY1799-AX1799+'Assumptions (MSW)'!AX36&gt;0,AY1799-AX1799+'Assumptions (MSW)'!AX36,0)</f>
        <v>0</v>
      </c>
      <c r="AZ1804" s="175">
        <f>if(AZ1799-AY1799+'Assumptions (MSW)'!AY36&gt;0,AZ1799-AY1799+'Assumptions (MSW)'!AY36,0)</f>
        <v>0</v>
      </c>
      <c r="BA1804" s="175">
        <f>if(BA1799-AZ1799+'Assumptions (MSW)'!AZ36&gt;0,BA1799-AZ1799+'Assumptions (MSW)'!AZ36,0)</f>
        <v>0</v>
      </c>
    </row>
    <row r="1805" ht="15.75" customHeight="1">
      <c r="A1805" s="309" t="s">
        <v>48</v>
      </c>
      <c r="B1805" s="159" t="s">
        <v>150</v>
      </c>
      <c r="C1805" s="276"/>
      <c r="D1805" s="276"/>
      <c r="E1805" s="276"/>
      <c r="F1805" s="276"/>
      <c r="G1805" s="276"/>
      <c r="H1805" s="276"/>
      <c r="I1805" s="276"/>
      <c r="J1805" s="276"/>
      <c r="K1805" s="276"/>
      <c r="L1805" s="276"/>
      <c r="M1805" s="276"/>
      <c r="N1805" s="276"/>
      <c r="O1805" s="276"/>
      <c r="P1805" s="276"/>
      <c r="Q1805" s="276"/>
      <c r="R1805" s="276"/>
      <c r="S1805" s="276"/>
      <c r="T1805" s="276"/>
      <c r="U1805" s="276"/>
      <c r="V1805" s="174"/>
      <c r="W1805" s="175"/>
      <c r="X1805" s="175">
        <f>IF(W1804='Assumptions (MSW)'!$V$11,Model!X1800-Model!X1799*'Assumptions (MSW)'!V$15*0.00876,0)</f>
        <v>0</v>
      </c>
      <c r="Y1805" s="175">
        <f>IF(X1804='Assumptions (MSW)'!$V$11,Model!Y1800-Model!Y1799*'Assumptions (MSW)'!W$15*0.00876,0)</f>
        <v>0</v>
      </c>
      <c r="Z1805" s="175">
        <f>IF(Y1804='Assumptions (MSW)'!$V$11,Model!Z1800-Model!Z1799*'Assumptions (MSW)'!X$15*0.00876,0)</f>
        <v>0</v>
      </c>
      <c r="AA1805" s="175">
        <f>IF(Z1804='Assumptions (MSW)'!$V$11,Model!AA1800-Model!AA1799*'Assumptions (MSW)'!Y$15*0.00876,0)</f>
        <v>0</v>
      </c>
      <c r="AB1805" s="175">
        <f>IF(AA1804='Assumptions (MSW)'!$V$11,Model!AB1800-Model!AB1799*'Assumptions (MSW)'!Z$15*0.00876,0)</f>
        <v>0</v>
      </c>
      <c r="AC1805" s="175">
        <f>IF(AB1804='Assumptions (MSW)'!$V$11,Model!AC1800-Model!AC1799*'Assumptions (MSW)'!AA$15*0.00876,0)</f>
        <v>0</v>
      </c>
      <c r="AD1805" s="175">
        <f>IF(AC1804='Assumptions (MSW)'!$V$11,Model!AD1800-Model!AD1799*'Assumptions (MSW)'!AB$15*0.00876,0)</f>
        <v>0</v>
      </c>
      <c r="AE1805" s="175">
        <f>IF(AD1804='Assumptions (MSW)'!$V$11,Model!AE1800-Model!AE1799*'Assumptions (MSW)'!AC$15*0.00876,0)</f>
        <v>0</v>
      </c>
      <c r="AF1805" s="175">
        <f>IF(AE1804='Assumptions (MSW)'!$V$11,Model!AF1800-Model!AF1799*'Assumptions (MSW)'!AD$15*0.00876,0)</f>
        <v>0</v>
      </c>
      <c r="AG1805" s="175">
        <f>IF(AF1804='Assumptions (MSW)'!$V$11,Model!AG1800-Model!AG1799*'Assumptions (MSW)'!AE$15*0.00876,0)</f>
        <v>0</v>
      </c>
      <c r="AH1805" s="175">
        <f>IF(AG1804='Assumptions (MSW)'!$V$11,Model!AH1800-Model!AH1799*'Assumptions (MSW)'!AF$15*0.00876,0)</f>
        <v>0</v>
      </c>
      <c r="AI1805" s="175">
        <f>IF(AH1804='Assumptions (MSW)'!$V$11,Model!AI1800-Model!AI1799*'Assumptions (MSW)'!AG$15*0.00876,0)</f>
        <v>0</v>
      </c>
      <c r="AJ1805" s="175">
        <f>IF(AI1804='Assumptions (MSW)'!$V$11,Model!AJ1800-Model!AJ1799*'Assumptions (MSW)'!AH$15*0.00876,0)</f>
        <v>0</v>
      </c>
      <c r="AK1805" s="175">
        <f>IF(AJ1804='Assumptions (MSW)'!$V$11,Model!AK1800-Model!AK1799*'Assumptions (MSW)'!AI$15*0.00876,0)</f>
        <v>0</v>
      </c>
      <c r="AL1805" s="175">
        <f>IF(AK1804='Assumptions (MSW)'!$V$11,Model!AL1800-Model!AL1799*'Assumptions (MSW)'!AJ$15*0.00876,0)</f>
        <v>0</v>
      </c>
      <c r="AM1805" s="175">
        <f>IF(AL1804='Assumptions (MSW)'!$V$11,Model!AM1800-Model!AM1799*'Assumptions (MSW)'!AK$15*0.00876,0)</f>
        <v>0</v>
      </c>
      <c r="AN1805" s="175">
        <f>IF(AM1804='Assumptions (MSW)'!$V$11,Model!AN1800-Model!AN1799*'Assumptions (MSW)'!AL$15*0.00876,0)</f>
        <v>0</v>
      </c>
      <c r="AO1805" s="175">
        <f>IF(AN1804='Assumptions (MSW)'!$V$11,Model!AO1800-Model!AO1799*'Assumptions (MSW)'!AM$15*0.00876,0)</f>
        <v>0</v>
      </c>
      <c r="AP1805" s="175">
        <f>IF(AO1804='Assumptions (MSW)'!$V$11,Model!AP1800-Model!AP1799*'Assumptions (MSW)'!AN$15*0.00876,0)</f>
        <v>0</v>
      </c>
      <c r="AQ1805" s="175">
        <f>IF(AP1804='Assumptions (MSW)'!$V$11,Model!AQ1800-Model!AQ1799*'Assumptions (MSW)'!AO$15*0.00876,0)</f>
        <v>0</v>
      </c>
      <c r="AR1805" s="175">
        <f>IF(AQ1804='Assumptions (MSW)'!$V$11,Model!AR1800-Model!AR1799*'Assumptions (MSW)'!AP$15*0.00876,0)</f>
        <v>0</v>
      </c>
      <c r="AS1805" s="175">
        <f>IF(AR1804='Assumptions (MSW)'!$V$11,Model!AS1800-Model!AS1799*'Assumptions (MSW)'!AQ$15*0.00876,0)</f>
        <v>0</v>
      </c>
      <c r="AT1805" s="175">
        <f>IF(AS1804='Assumptions (MSW)'!$V$11,Model!AT1800-Model!AT1799*'Assumptions (MSW)'!AR$15*0.00876,0)</f>
        <v>0</v>
      </c>
      <c r="AU1805" s="175">
        <f>IF(AT1804='Assumptions (MSW)'!$V$11,Model!AU1800-Model!AU1799*'Assumptions (MSW)'!AS$15*0.00876,0)</f>
        <v>0</v>
      </c>
      <c r="AV1805" s="175">
        <f>IF(AU1804='Assumptions (MSW)'!$V$11,Model!AV1800-Model!AV1799*'Assumptions (MSW)'!AT$15*0.00876,0)</f>
        <v>0</v>
      </c>
      <c r="AW1805" s="175">
        <f>IF(AV1804='Assumptions (MSW)'!$V$11,Model!AW1800-Model!AW1799*'Assumptions (MSW)'!AU$15*0.00876,0)</f>
        <v>0</v>
      </c>
      <c r="AX1805" s="175">
        <f>IF(AW1804='Assumptions (MSW)'!$V$11,Model!AX1800-Model!AX1799*'Assumptions (MSW)'!AV$15*0.00876,0)</f>
        <v>0</v>
      </c>
      <c r="AY1805" s="175">
        <f>IF(AX1804='Assumptions (MSW)'!$V$11,Model!AY1800-Model!AY1799*'Assumptions (MSW)'!AW$15*0.00876,0)</f>
        <v>0</v>
      </c>
      <c r="AZ1805" s="175">
        <f>IF(AY1804='Assumptions (MSW)'!$V$11,Model!AZ1800-Model!AZ1799*'Assumptions (MSW)'!AX$15*0.00876,0)</f>
        <v>0</v>
      </c>
      <c r="BA1805" s="175">
        <f>IF(AZ1804='Assumptions (MSW)'!$V$11,Model!BA1800-Model!BA1799*'Assumptions (MSW)'!AY$15*0.00876,0)</f>
        <v>0</v>
      </c>
    </row>
    <row r="1806" ht="15.75" customHeight="1">
      <c r="A1806" s="303" t="s">
        <v>358</v>
      </c>
      <c r="B1806" s="150" t="s">
        <v>351</v>
      </c>
      <c r="C1806" s="177">
        <f t="shared" ref="C1806:BA1806" si="68">SUM(C1807:C1857)</f>
        <v>0.9401084574</v>
      </c>
      <c r="D1806" s="177">
        <f t="shared" si="68"/>
        <v>0.296421773</v>
      </c>
      <c r="E1806" s="177">
        <f t="shared" si="68"/>
        <v>0.3425871577</v>
      </c>
      <c r="F1806" s="177">
        <f t="shared" si="68"/>
        <v>0.4357109642</v>
      </c>
      <c r="G1806" s="177">
        <f t="shared" si="68"/>
        <v>0.6340375507</v>
      </c>
      <c r="H1806" s="177">
        <f t="shared" si="68"/>
        <v>0.8359626245</v>
      </c>
      <c r="I1806" s="177">
        <f t="shared" si="68"/>
        <v>0.8709502099</v>
      </c>
      <c r="J1806" s="177">
        <f t="shared" si="68"/>
        <v>0.9162472272</v>
      </c>
      <c r="K1806" s="177">
        <f t="shared" si="68"/>
        <v>0.9620816264</v>
      </c>
      <c r="L1806" s="177">
        <f t="shared" si="68"/>
        <v>1.079062102</v>
      </c>
      <c r="M1806" s="177">
        <f t="shared" si="68"/>
        <v>1.094068187</v>
      </c>
      <c r="N1806" s="177">
        <f t="shared" si="68"/>
        <v>0.9811137429</v>
      </c>
      <c r="O1806" s="177">
        <f t="shared" si="68"/>
        <v>0.8191743142</v>
      </c>
      <c r="P1806" s="177">
        <f t="shared" si="68"/>
        <v>0.6889908037</v>
      </c>
      <c r="Q1806" s="177">
        <f t="shared" si="68"/>
        <v>0.5556335196</v>
      </c>
      <c r="R1806" s="177">
        <f t="shared" si="68"/>
        <v>0.3047331259</v>
      </c>
      <c r="S1806" s="177">
        <f t="shared" si="68"/>
        <v>0.1015337312</v>
      </c>
      <c r="T1806" s="177">
        <f t="shared" si="68"/>
        <v>0.01703004608</v>
      </c>
      <c r="U1806" s="177">
        <f t="shared" si="68"/>
        <v>0.01288656306</v>
      </c>
      <c r="V1806" s="177">
        <f t="shared" si="68"/>
        <v>0</v>
      </c>
      <c r="W1806" s="177">
        <f t="shared" si="68"/>
        <v>0</v>
      </c>
      <c r="X1806" s="177">
        <f t="shared" si="68"/>
        <v>0</v>
      </c>
      <c r="Y1806" s="177">
        <f t="shared" si="68"/>
        <v>0</v>
      </c>
      <c r="Z1806" s="177">
        <f t="shared" si="68"/>
        <v>0</v>
      </c>
      <c r="AA1806" s="177">
        <f t="shared" si="68"/>
        <v>0</v>
      </c>
      <c r="AB1806" s="177">
        <f t="shared" si="68"/>
        <v>0</v>
      </c>
      <c r="AC1806" s="177">
        <f t="shared" si="68"/>
        <v>0</v>
      </c>
      <c r="AD1806" s="177">
        <f t="shared" si="68"/>
        <v>0</v>
      </c>
      <c r="AE1806" s="177">
        <f t="shared" si="68"/>
        <v>0</v>
      </c>
      <c r="AF1806" s="177">
        <f t="shared" si="68"/>
        <v>0</v>
      </c>
      <c r="AG1806" s="177">
        <f t="shared" si="68"/>
        <v>0</v>
      </c>
      <c r="AH1806" s="177">
        <f t="shared" si="68"/>
        <v>0</v>
      </c>
      <c r="AI1806" s="177">
        <f t="shared" si="68"/>
        <v>0</v>
      </c>
      <c r="AJ1806" s="177">
        <f t="shared" si="68"/>
        <v>0</v>
      </c>
      <c r="AK1806" s="177">
        <f t="shared" si="68"/>
        <v>0</v>
      </c>
      <c r="AL1806" s="177">
        <f t="shared" si="68"/>
        <v>0</v>
      </c>
      <c r="AM1806" s="177">
        <f t="shared" si="68"/>
        <v>0</v>
      </c>
      <c r="AN1806" s="177">
        <f t="shared" si="68"/>
        <v>0</v>
      </c>
      <c r="AO1806" s="177">
        <f t="shared" si="68"/>
        <v>0</v>
      </c>
      <c r="AP1806" s="177">
        <f t="shared" si="68"/>
        <v>0</v>
      </c>
      <c r="AQ1806" s="177">
        <f t="shared" si="68"/>
        <v>0</v>
      </c>
      <c r="AR1806" s="177">
        <f t="shared" si="68"/>
        <v>0</v>
      </c>
      <c r="AS1806" s="177">
        <f t="shared" si="68"/>
        <v>0</v>
      </c>
      <c r="AT1806" s="177">
        <f t="shared" si="68"/>
        <v>0</v>
      </c>
      <c r="AU1806" s="177">
        <f t="shared" si="68"/>
        <v>0</v>
      </c>
      <c r="AV1806" s="177">
        <f t="shared" si="68"/>
        <v>0</v>
      </c>
      <c r="AW1806" s="177">
        <f t="shared" si="68"/>
        <v>0</v>
      </c>
      <c r="AX1806" s="177">
        <f t="shared" si="68"/>
        <v>0</v>
      </c>
      <c r="AY1806" s="177">
        <f t="shared" si="68"/>
        <v>0</v>
      </c>
      <c r="AZ1806" s="177">
        <f t="shared" si="68"/>
        <v>0</v>
      </c>
      <c r="BA1806" s="177">
        <f t="shared" si="68"/>
        <v>0</v>
      </c>
    </row>
    <row r="1807" ht="15.75" hidden="1" customHeight="1" outlineLevel="1">
      <c r="A1807" s="309"/>
      <c r="B1807" s="38"/>
      <c r="C1807" s="177">
        <f>IF($C$1804&gt;0,3*'Assumptions (MSW)'!$V$13*Model!$C$1804*'Assumptions (MSW)'!B$2/10^9,0)</f>
        <v>0.1450250923</v>
      </c>
      <c r="D1807" s="160"/>
      <c r="E1807" s="160"/>
      <c r="F1807" s="160"/>
      <c r="G1807" s="160"/>
      <c r="H1807" s="160"/>
      <c r="I1807" s="160"/>
      <c r="J1807" s="160"/>
      <c r="K1807" s="160"/>
      <c r="L1807" s="160"/>
      <c r="M1807" s="160"/>
      <c r="N1807" s="160"/>
      <c r="O1807" s="160"/>
      <c r="P1807" s="160"/>
      <c r="Q1807" s="160"/>
      <c r="R1807" s="160"/>
      <c r="S1807" s="160"/>
      <c r="T1807" s="160"/>
      <c r="U1807" s="160"/>
      <c r="V1807" s="174"/>
      <c r="W1807" s="95"/>
      <c r="X1807" s="95"/>
      <c r="Y1807" s="95"/>
      <c r="Z1807" s="95"/>
      <c r="AA1807" s="95"/>
      <c r="AB1807" s="95"/>
      <c r="AC1807" s="95"/>
      <c r="AD1807" s="95"/>
      <c r="AE1807" s="95"/>
      <c r="AF1807" s="95"/>
      <c r="AG1807" s="95"/>
      <c r="AH1807" s="95"/>
      <c r="AI1807" s="95"/>
      <c r="AJ1807" s="95"/>
      <c r="AK1807" s="95"/>
      <c r="AL1807" s="95"/>
      <c r="AM1807" s="95"/>
      <c r="AN1807" s="95"/>
      <c r="AO1807" s="95"/>
      <c r="AP1807" s="95"/>
      <c r="AQ1807" s="95"/>
      <c r="AR1807" s="95"/>
      <c r="AS1807" s="95"/>
      <c r="AT1807" s="95"/>
      <c r="AU1807" s="95"/>
      <c r="AV1807" s="95"/>
      <c r="AW1807" s="95"/>
      <c r="AX1807" s="95"/>
      <c r="AY1807" s="95"/>
      <c r="AZ1807" s="95"/>
      <c r="BA1807" s="95"/>
    </row>
    <row r="1808" ht="15.75" hidden="1" customHeight="1" outlineLevel="1">
      <c r="A1808" s="309"/>
      <c r="B1808" s="38"/>
      <c r="C1808" s="177">
        <f>IF($D$1804&gt;0,3*'Assumptions (MSW)'!$V$13*Model!$D$1804*'Assumptions (MSW)'!B$2/10^9,0)</f>
        <v>0.5370644678</v>
      </c>
      <c r="D1808" s="177"/>
      <c r="E1808" s="177"/>
      <c r="F1808" s="177"/>
      <c r="G1808" s="177"/>
      <c r="H1808" s="177"/>
      <c r="I1808" s="177"/>
      <c r="J1808" s="177"/>
      <c r="K1808" s="177"/>
      <c r="L1808" s="177"/>
      <c r="M1808" s="160"/>
      <c r="N1808" s="160"/>
      <c r="O1808" s="160"/>
      <c r="P1808" s="160"/>
      <c r="Q1808" s="160"/>
      <c r="R1808" s="160"/>
      <c r="S1808" s="160"/>
      <c r="T1808" s="160"/>
      <c r="U1808" s="160"/>
      <c r="V1808" s="174"/>
      <c r="W1808" s="95"/>
      <c r="X1808" s="95"/>
      <c r="Y1808" s="95"/>
      <c r="Z1808" s="95"/>
      <c r="AA1808" s="95"/>
      <c r="AB1808" s="95"/>
      <c r="AC1808" s="95"/>
      <c r="AD1808" s="95"/>
      <c r="AE1808" s="95"/>
      <c r="AF1808" s="95"/>
      <c r="AG1808" s="95"/>
      <c r="AH1808" s="95"/>
      <c r="AI1808" s="95"/>
      <c r="AJ1808" s="95"/>
      <c r="AK1808" s="95"/>
      <c r="AL1808" s="95"/>
      <c r="AM1808" s="95"/>
      <c r="AN1808" s="95"/>
      <c r="AO1808" s="95"/>
      <c r="AP1808" s="95"/>
      <c r="AQ1808" s="95"/>
      <c r="AR1808" s="95"/>
      <c r="AS1808" s="95"/>
      <c r="AT1808" s="95"/>
      <c r="AU1808" s="95"/>
      <c r="AV1808" s="95"/>
      <c r="AW1808" s="95"/>
      <c r="AX1808" s="95"/>
      <c r="AY1808" s="95"/>
      <c r="AZ1808" s="95"/>
      <c r="BA1808" s="95"/>
    </row>
    <row r="1809" ht="15.75" hidden="1" customHeight="1" outlineLevel="1">
      <c r="A1809" s="309"/>
      <c r="B1809" s="38"/>
      <c r="C1809" s="177">
        <f>IF($E$1804&gt;0,2*'Assumptions (MSW)'!$V$13*Model!$E$1804*'Assumptions (MSW)'!B$2/10^9,0)</f>
        <v>0.09629037294</v>
      </c>
      <c r="D1809" s="177">
        <f>IF($E$1804&gt;0,'Assumptions (MSW)'!$V$13*Model!$E$1804*'Assumptions (MSW)'!C$2/10^9,0)</f>
        <v>0.04910299824</v>
      </c>
      <c r="E1809" s="177"/>
      <c r="F1809" s="177"/>
      <c r="G1809" s="177"/>
      <c r="H1809" s="177"/>
      <c r="I1809" s="177"/>
      <c r="J1809" s="177"/>
      <c r="K1809" s="177"/>
      <c r="L1809" s="177"/>
      <c r="M1809" s="160"/>
      <c r="N1809" s="160"/>
      <c r="O1809" s="160"/>
      <c r="P1809" s="160"/>
      <c r="Q1809" s="160"/>
      <c r="R1809" s="160"/>
      <c r="S1809" s="160"/>
      <c r="T1809" s="160"/>
      <c r="U1809" s="160"/>
      <c r="V1809" s="174"/>
      <c r="W1809" s="95"/>
      <c r="X1809" s="95"/>
      <c r="Y1809" s="95"/>
      <c r="Z1809" s="95"/>
      <c r="AA1809" s="95"/>
      <c r="AB1809" s="95"/>
      <c r="AC1809" s="95"/>
      <c r="AD1809" s="95"/>
      <c r="AE1809" s="95"/>
      <c r="AF1809" s="95"/>
      <c r="AG1809" s="95"/>
      <c r="AH1809" s="95"/>
      <c r="AI1809" s="95"/>
      <c r="AJ1809" s="95"/>
      <c r="AK1809" s="95"/>
      <c r="AL1809" s="95"/>
      <c r="AM1809" s="95"/>
      <c r="AN1809" s="95"/>
      <c r="AO1809" s="95"/>
      <c r="AP1809" s="95"/>
      <c r="AQ1809" s="95"/>
      <c r="AR1809" s="95"/>
      <c r="AS1809" s="95"/>
      <c r="AT1809" s="95"/>
      <c r="AU1809" s="95"/>
      <c r="AV1809" s="95"/>
      <c r="AW1809" s="95"/>
      <c r="AX1809" s="95"/>
      <c r="AY1809" s="95"/>
      <c r="AZ1809" s="95"/>
      <c r="BA1809" s="95"/>
    </row>
    <row r="1810" ht="15.75" hidden="1" customHeight="1" outlineLevel="1">
      <c r="A1810" s="309"/>
      <c r="B1810" s="38"/>
      <c r="C1810" s="177">
        <f>IF($F$1804&gt;0,'Assumptions (MSW)'!$V$13*Model!$F$1804*'Assumptions (MSW)'!B$2/10^9,0)</f>
        <v>0.1617285243</v>
      </c>
      <c r="D1810" s="177">
        <f>IF($F$1804&gt;0,'Assumptions (MSW)'!$V$13*Model!$F$1804*'Assumptions (MSW)'!C$2/10^9,0)</f>
        <v>0.16494599</v>
      </c>
      <c r="E1810" s="177">
        <f>IF($F$1804&gt;0,'Assumptions (MSW)'!$V$13*Model!$F$1804*'Assumptions (MSW)'!D$2/10^9,0)</f>
        <v>0.1682274647</v>
      </c>
      <c r="F1810" s="177"/>
      <c r="G1810" s="177"/>
      <c r="H1810" s="177"/>
      <c r="I1810" s="177"/>
      <c r="J1810" s="177"/>
      <c r="K1810" s="177"/>
      <c r="L1810" s="177"/>
      <c r="M1810" s="160"/>
      <c r="N1810" s="160"/>
      <c r="O1810" s="160"/>
      <c r="P1810" s="160"/>
      <c r="Q1810" s="160"/>
      <c r="R1810" s="160"/>
      <c r="S1810" s="160"/>
      <c r="T1810" s="160"/>
      <c r="U1810" s="160"/>
      <c r="V1810" s="174"/>
      <c r="W1810" s="95"/>
      <c r="X1810" s="95"/>
      <c r="Y1810" s="95"/>
      <c r="Z1810" s="95"/>
      <c r="AA1810" s="95"/>
      <c r="AB1810" s="95"/>
      <c r="AC1810" s="95"/>
      <c r="AD1810" s="95"/>
      <c r="AE1810" s="95"/>
      <c r="AF1810" s="95"/>
      <c r="AG1810" s="95"/>
      <c r="AH1810" s="95"/>
      <c r="AI1810" s="95"/>
      <c r="AJ1810" s="95"/>
      <c r="AK1810" s="95"/>
      <c r="AL1810" s="95"/>
      <c r="AM1810" s="95"/>
      <c r="AN1810" s="95"/>
      <c r="AO1810" s="95"/>
      <c r="AP1810" s="95"/>
      <c r="AQ1810" s="95"/>
      <c r="AR1810" s="95"/>
      <c r="AS1810" s="95"/>
      <c r="AT1810" s="95"/>
      <c r="AU1810" s="95"/>
      <c r="AV1810" s="95"/>
      <c r="AW1810" s="95"/>
      <c r="AX1810" s="95"/>
      <c r="AY1810" s="95"/>
      <c r="AZ1810" s="95"/>
      <c r="BA1810" s="95"/>
    </row>
    <row r="1811" ht="15.75" hidden="1" customHeight="1" outlineLevel="1">
      <c r="A1811" s="309"/>
      <c r="B1811" s="38"/>
      <c r="C1811" s="177"/>
      <c r="D1811" s="177">
        <f>IF($G$1804&gt;0,'Assumptions (MSW)'!$V$13*Model!$G$1804*'Assumptions (MSW)'!C$2/10^9,0)</f>
        <v>0.0823727848</v>
      </c>
      <c r="E1811" s="177">
        <f>IF($G$1804&gt;0,'Assumptions (MSW)'!$V$13*Model!$G$1804*'Assumptions (MSW)'!D$2/10^9,0)</f>
        <v>0.08401152853</v>
      </c>
      <c r="F1811" s="177">
        <f>IF($G$1804&gt;0,'Assumptions (MSW)'!$V$13*Model!$G$1804*'Assumptions (MSW)'!E$2/10^9,0)</f>
        <v>0.08568287382</v>
      </c>
      <c r="G1811" s="177"/>
      <c r="H1811" s="177"/>
      <c r="I1811" s="177"/>
      <c r="J1811" s="177"/>
      <c r="K1811" s="177"/>
      <c r="L1811" s="177"/>
      <c r="M1811" s="160"/>
      <c r="N1811" s="160"/>
      <c r="O1811" s="160"/>
      <c r="P1811" s="160"/>
      <c r="Q1811" s="160"/>
      <c r="R1811" s="160"/>
      <c r="S1811" s="160"/>
      <c r="T1811" s="160"/>
      <c r="U1811" s="160"/>
      <c r="V1811" s="174"/>
      <c r="W1811" s="95"/>
      <c r="X1811" s="95"/>
      <c r="Y1811" s="95"/>
      <c r="Z1811" s="95"/>
      <c r="AA1811" s="95"/>
      <c r="AB1811" s="95"/>
      <c r="AC1811" s="95"/>
      <c r="AD1811" s="95"/>
      <c r="AE1811" s="95"/>
      <c r="AF1811" s="95"/>
      <c r="AG1811" s="95"/>
      <c r="AH1811" s="95"/>
      <c r="AI1811" s="95"/>
      <c r="AJ1811" s="95"/>
      <c r="AK1811" s="95"/>
      <c r="AL1811" s="95"/>
      <c r="AM1811" s="95"/>
      <c r="AN1811" s="95"/>
      <c r="AO1811" s="95"/>
      <c r="AP1811" s="95"/>
      <c r="AQ1811" s="95"/>
      <c r="AR1811" s="95"/>
      <c r="AS1811" s="95"/>
      <c r="AT1811" s="95"/>
      <c r="AU1811" s="95"/>
      <c r="AV1811" s="95"/>
      <c r="AW1811" s="95"/>
      <c r="AX1811" s="95"/>
      <c r="AY1811" s="95"/>
      <c r="AZ1811" s="95"/>
      <c r="BA1811" s="95"/>
    </row>
    <row r="1812" ht="15.75" hidden="1" customHeight="1" outlineLevel="1">
      <c r="A1812" s="309"/>
      <c r="B1812" s="38"/>
      <c r="C1812" s="177"/>
      <c r="D1812" s="177"/>
      <c r="E1812" s="177">
        <f>IF($H$1804&gt;0,'Assumptions (MSW)'!$V$13*Model!$H$1804*'Assumptions (MSW)'!D$2/10^9,0)</f>
        <v>0.09034816451</v>
      </c>
      <c r="F1812" s="177">
        <f>IF($H$1804&gt;0,'Assumptions (MSW)'!$V$13*Model!$H$1804*'Assumptions (MSW)'!E$2/10^9,0)</f>
        <v>0.09214557234</v>
      </c>
      <c r="G1812" s="177">
        <f>IF($H$1804&gt;0,'Assumptions (MSW)'!$V$13*Model!$H$1804*'Assumptions (MSW)'!F$2/10^9,0)</f>
        <v>0.09397873823</v>
      </c>
      <c r="H1812" s="177"/>
      <c r="I1812" s="177"/>
      <c r="J1812" s="177"/>
      <c r="K1812" s="177"/>
      <c r="L1812" s="177"/>
      <c r="M1812" s="160"/>
      <c r="N1812" s="160"/>
      <c r="O1812" s="160"/>
      <c r="P1812" s="160"/>
      <c r="Q1812" s="160"/>
      <c r="R1812" s="160"/>
      <c r="S1812" s="160"/>
      <c r="T1812" s="160"/>
      <c r="U1812" s="160"/>
      <c r="V1812" s="174"/>
      <c r="W1812" s="95"/>
      <c r="X1812" s="95"/>
      <c r="Y1812" s="95"/>
      <c r="Z1812" s="95"/>
      <c r="AA1812" s="95"/>
      <c r="AB1812" s="95"/>
      <c r="AC1812" s="95"/>
      <c r="AD1812" s="95"/>
      <c r="AE1812" s="95"/>
      <c r="AF1812" s="95"/>
      <c r="AG1812" s="95"/>
      <c r="AH1812" s="95"/>
      <c r="AI1812" s="95"/>
      <c r="AJ1812" s="95"/>
      <c r="AK1812" s="95"/>
      <c r="AL1812" s="95"/>
      <c r="AM1812" s="95"/>
      <c r="AN1812" s="95"/>
      <c r="AO1812" s="95"/>
      <c r="AP1812" s="95"/>
      <c r="AQ1812" s="95"/>
      <c r="AR1812" s="95"/>
      <c r="AS1812" s="95"/>
      <c r="AT1812" s="95"/>
      <c r="AU1812" s="95"/>
      <c r="AV1812" s="95"/>
      <c r="AW1812" s="95"/>
      <c r="AX1812" s="95"/>
      <c r="AY1812" s="95"/>
      <c r="AZ1812" s="95"/>
      <c r="BA1812" s="95"/>
    </row>
    <row r="1813" ht="15.75" hidden="1" customHeight="1" outlineLevel="1">
      <c r="A1813" s="309"/>
      <c r="B1813" s="38"/>
      <c r="C1813" s="177"/>
      <c r="D1813" s="177"/>
      <c r="E1813" s="177"/>
      <c r="F1813" s="177">
        <f>IF($I$1804&gt;0,'Assumptions (MSW)'!$V$13*Model!$I$1804*'Assumptions (MSW)'!E$2/10^9,0)</f>
        <v>0.2578825181</v>
      </c>
      <c r="G1813" s="177">
        <f>IF($I$1804&gt;0,'Assumptions (MSW)'!$V$13*Model!$I$1804*'Assumptions (MSW)'!F$2/10^9,0)</f>
        <v>0.2630128941</v>
      </c>
      <c r="H1813" s="177">
        <f>IF($I$1804&gt;0,'Assumptions (MSW)'!$V$13*Model!$I$1804*'Assumptions (MSW)'!G$2/10^9,0)</f>
        <v>0.268245335</v>
      </c>
      <c r="I1813" s="177"/>
      <c r="J1813" s="177"/>
      <c r="K1813" s="177"/>
      <c r="L1813" s="177"/>
      <c r="M1813" s="160"/>
      <c r="N1813" s="160"/>
      <c r="O1813" s="160"/>
      <c r="P1813" s="160"/>
      <c r="Q1813" s="160"/>
      <c r="R1813" s="160"/>
      <c r="S1813" s="160"/>
      <c r="T1813" s="160"/>
      <c r="U1813" s="160"/>
      <c r="V1813" s="174"/>
      <c r="W1813" s="95"/>
      <c r="X1813" s="95"/>
      <c r="Y1813" s="95"/>
      <c r="Z1813" s="95"/>
      <c r="AA1813" s="95"/>
      <c r="AB1813" s="95"/>
      <c r="AC1813" s="95"/>
      <c r="AD1813" s="95"/>
      <c r="AE1813" s="95"/>
      <c r="AF1813" s="95"/>
      <c r="AG1813" s="95"/>
      <c r="AH1813" s="95"/>
      <c r="AI1813" s="95"/>
      <c r="AJ1813" s="95"/>
      <c r="AK1813" s="95"/>
      <c r="AL1813" s="95"/>
      <c r="AM1813" s="95"/>
      <c r="AN1813" s="95"/>
      <c r="AO1813" s="95"/>
      <c r="AP1813" s="95"/>
      <c r="AQ1813" s="95"/>
      <c r="AR1813" s="95"/>
      <c r="AS1813" s="95"/>
      <c r="AT1813" s="95"/>
      <c r="AU1813" s="95"/>
      <c r="AV1813" s="95"/>
      <c r="AW1813" s="95"/>
      <c r="AX1813" s="95"/>
      <c r="AY1813" s="95"/>
      <c r="AZ1813" s="95"/>
      <c r="BA1813" s="95"/>
    </row>
    <row r="1814" ht="15.75" hidden="1" customHeight="1" outlineLevel="1">
      <c r="A1814" s="309"/>
      <c r="B1814" s="38"/>
      <c r="C1814" s="177"/>
      <c r="D1814" s="177"/>
      <c r="E1814" s="177"/>
      <c r="F1814" s="177"/>
      <c r="G1814" s="177">
        <f>IF($J$1804&gt;0,'Assumptions (MSW)'!$V$13*Model!$J$1804*'Assumptions (MSW)'!F$2/10^9,0)</f>
        <v>0.2770459183</v>
      </c>
      <c r="H1814" s="177">
        <f>IF($J$1804&gt;0,'Assumptions (MSW)'!$V$13*Model!$J$1804*'Assumptions (MSW)'!G$2/10^9,0)</f>
        <v>0.2825575356</v>
      </c>
      <c r="I1814" s="177">
        <f>IF($J$1804&gt;0,'Assumptions (MSW)'!$V$13*Model!$J$1804*'Assumptions (MSW)'!H$2/10^9,0)</f>
        <v>0.2881788023</v>
      </c>
      <c r="J1814" s="177"/>
      <c r="K1814" s="177"/>
      <c r="L1814" s="177"/>
      <c r="M1814" s="160"/>
      <c r="N1814" s="160"/>
      <c r="O1814" s="160"/>
      <c r="P1814" s="160"/>
      <c r="Q1814" s="160"/>
      <c r="R1814" s="160"/>
      <c r="S1814" s="160"/>
      <c r="T1814" s="160"/>
      <c r="U1814" s="160"/>
      <c r="V1814" s="174"/>
      <c r="W1814" s="95"/>
      <c r="X1814" s="95"/>
      <c r="Y1814" s="95"/>
      <c r="Z1814" s="95"/>
      <c r="AA1814" s="95"/>
      <c r="AB1814" s="95"/>
      <c r="AC1814" s="95"/>
      <c r="AD1814" s="95"/>
      <c r="AE1814" s="95"/>
      <c r="AF1814" s="95"/>
      <c r="AG1814" s="95"/>
      <c r="AH1814" s="95"/>
      <c r="AI1814" s="95"/>
      <c r="AJ1814" s="95"/>
      <c r="AK1814" s="95"/>
      <c r="AL1814" s="95"/>
      <c r="AM1814" s="95"/>
      <c r="AN1814" s="95"/>
      <c r="AO1814" s="95"/>
      <c r="AP1814" s="95"/>
      <c r="AQ1814" s="95"/>
      <c r="AR1814" s="95"/>
      <c r="AS1814" s="95"/>
      <c r="AT1814" s="95"/>
      <c r="AU1814" s="95"/>
      <c r="AV1814" s="95"/>
      <c r="AW1814" s="95"/>
      <c r="AX1814" s="95"/>
      <c r="AY1814" s="95"/>
      <c r="AZ1814" s="95"/>
      <c r="BA1814" s="95"/>
    </row>
    <row r="1815" ht="15.75" hidden="1" customHeight="1" outlineLevel="1">
      <c r="A1815" s="309"/>
      <c r="B1815" s="38"/>
      <c r="C1815" s="177"/>
      <c r="D1815" s="177"/>
      <c r="E1815" s="177"/>
      <c r="F1815" s="177"/>
      <c r="G1815" s="177"/>
      <c r="H1815" s="177">
        <f>IF($K$1804&gt;0,'Assumptions (MSW)'!$V$13*Model!$K$1804*'Assumptions (MSW)'!G$2/10^9,0)</f>
        <v>0.2851597539</v>
      </c>
      <c r="I1815" s="177">
        <f>IF($K$1804&gt;0,'Assumptions (MSW)'!$V$13*Model!$K$1804*'Assumptions (MSW)'!H$2/10^9,0)</f>
        <v>0.2908327897</v>
      </c>
      <c r="J1815" s="177">
        <f>IF($K$1804&gt;0,'Assumptions (MSW)'!$V$13*Model!$K$1804*'Assumptions (MSW)'!I$2/10^9,0)</f>
        <v>0.2966186863</v>
      </c>
      <c r="K1815" s="177"/>
      <c r="L1815" s="177"/>
      <c r="M1815" s="160"/>
      <c r="N1815" s="160"/>
      <c r="O1815" s="160"/>
      <c r="P1815" s="160"/>
      <c r="Q1815" s="160"/>
      <c r="R1815" s="160"/>
      <c r="S1815" s="160"/>
      <c r="T1815" s="160"/>
      <c r="U1815" s="160"/>
      <c r="V1815" s="174"/>
      <c r="W1815" s="95"/>
      <c r="X1815" s="95"/>
      <c r="Y1815" s="95"/>
      <c r="Z1815" s="95"/>
      <c r="AA1815" s="95"/>
      <c r="AB1815" s="95"/>
      <c r="AC1815" s="95"/>
      <c r="AD1815" s="95"/>
      <c r="AE1815" s="95"/>
      <c r="AF1815" s="95"/>
      <c r="AG1815" s="95"/>
      <c r="AH1815" s="95"/>
      <c r="AI1815" s="95"/>
      <c r="AJ1815" s="95"/>
      <c r="AK1815" s="95"/>
      <c r="AL1815" s="95"/>
      <c r="AM1815" s="95"/>
      <c r="AN1815" s="95"/>
      <c r="AO1815" s="95"/>
      <c r="AP1815" s="95"/>
      <c r="AQ1815" s="95"/>
      <c r="AR1815" s="95"/>
      <c r="AS1815" s="95"/>
      <c r="AT1815" s="95"/>
      <c r="AU1815" s="95"/>
      <c r="AV1815" s="95"/>
      <c r="AW1815" s="95"/>
      <c r="AX1815" s="95"/>
      <c r="AY1815" s="95"/>
      <c r="AZ1815" s="95"/>
      <c r="BA1815" s="95"/>
    </row>
    <row r="1816" ht="15.75" hidden="1" customHeight="1" outlineLevel="1">
      <c r="A1816" s="309"/>
      <c r="B1816" s="38"/>
      <c r="C1816" s="177"/>
      <c r="D1816" s="177"/>
      <c r="E1816" s="177"/>
      <c r="F1816" s="177"/>
      <c r="G1816" s="177"/>
      <c r="H1816" s="177"/>
      <c r="I1816" s="177">
        <f>IF($L$1804&gt;0,'Assumptions (MSW)'!$V$13*Model!$L$1804*'Assumptions (MSW)'!H$2/10^9,0)</f>
        <v>0.2919386178</v>
      </c>
      <c r="J1816" s="177">
        <f>IF($L$1804&gt;0,'Assumptions (MSW)'!$V$13*Model!$L$1804*'Assumptions (MSW)'!I$2/10^9,0)</f>
        <v>0.297746514</v>
      </c>
      <c r="K1816" s="177">
        <f>IF($L$1804&gt;0,'Assumptions (MSW)'!$V$13*Model!$L$1804*'Assumptions (MSW)'!J$2/10^9,0)</f>
        <v>0.3036699538</v>
      </c>
      <c r="L1816" s="177"/>
      <c r="M1816" s="160"/>
      <c r="N1816" s="160"/>
      <c r="O1816" s="160"/>
      <c r="P1816" s="160"/>
      <c r="Q1816" s="160"/>
      <c r="R1816" s="160"/>
      <c r="S1816" s="160"/>
      <c r="T1816" s="160"/>
      <c r="U1816" s="160"/>
      <c r="V1816" s="174"/>
      <c r="W1816" s="95"/>
      <c r="X1816" s="95"/>
      <c r="Y1816" s="95"/>
      <c r="Z1816" s="95"/>
      <c r="AA1816" s="95"/>
      <c r="AB1816" s="95"/>
      <c r="AC1816" s="95"/>
      <c r="AD1816" s="95"/>
      <c r="AE1816" s="95"/>
      <c r="AF1816" s="95"/>
      <c r="AG1816" s="95"/>
      <c r="AH1816" s="95"/>
      <c r="AI1816" s="95"/>
      <c r="AJ1816" s="95"/>
      <c r="AK1816" s="95"/>
      <c r="AL1816" s="95"/>
      <c r="AM1816" s="95"/>
      <c r="AN1816" s="95"/>
      <c r="AO1816" s="95"/>
      <c r="AP1816" s="95"/>
      <c r="AQ1816" s="95"/>
      <c r="AR1816" s="95"/>
      <c r="AS1816" s="95"/>
      <c r="AT1816" s="95"/>
      <c r="AU1816" s="95"/>
      <c r="AV1816" s="95"/>
      <c r="AW1816" s="95"/>
      <c r="AX1816" s="95"/>
      <c r="AY1816" s="95"/>
      <c r="AZ1816" s="95"/>
      <c r="BA1816" s="95"/>
    </row>
    <row r="1817" ht="15.75" hidden="1" customHeight="1" outlineLevel="1">
      <c r="A1817" s="309"/>
      <c r="B1817" s="38"/>
      <c r="C1817" s="177"/>
      <c r="D1817" s="177"/>
      <c r="E1817" s="177"/>
      <c r="F1817" s="177"/>
      <c r="G1817" s="177"/>
      <c r="H1817" s="177"/>
      <c r="I1817" s="177"/>
      <c r="J1817" s="177">
        <f>IF($M$1804&gt;0,'Assumptions (MSW)'!$V$13*Model!$M$1804*'Assumptions (MSW)'!I$2/10^9,0)</f>
        <v>0.3218820269</v>
      </c>
      <c r="K1817" s="177">
        <f>IF($M$1804&gt;0,'Assumptions (MSW)'!$V$13*Model!$M$1804*'Assumptions (MSW)'!J$2/10^9,0)</f>
        <v>0.3282856243</v>
      </c>
      <c r="L1817" s="177">
        <f>IF($M$1804&gt;0,'Assumptions (MSW)'!$V$13*Model!$M$1804*'Assumptions (MSW)'!K$2/10^9,0)</f>
        <v>0.3348166165</v>
      </c>
      <c r="M1817" s="160"/>
      <c r="N1817" s="160"/>
      <c r="O1817" s="160"/>
      <c r="P1817" s="160"/>
      <c r="Q1817" s="160"/>
      <c r="R1817" s="160"/>
      <c r="S1817" s="160"/>
      <c r="T1817" s="160"/>
      <c r="U1817" s="160"/>
      <c r="V1817" s="174"/>
      <c r="W1817" s="95"/>
      <c r="X1817" s="95"/>
      <c r="Y1817" s="95"/>
      <c r="Z1817" s="95"/>
      <c r="AA1817" s="95"/>
      <c r="AB1817" s="95"/>
      <c r="AC1817" s="95"/>
      <c r="AD1817" s="95"/>
      <c r="AE1817" s="95"/>
      <c r="AF1817" s="95"/>
      <c r="AG1817" s="95"/>
      <c r="AH1817" s="95"/>
      <c r="AI1817" s="95"/>
      <c r="AJ1817" s="95"/>
      <c r="AK1817" s="95"/>
      <c r="AL1817" s="95"/>
      <c r="AM1817" s="95"/>
      <c r="AN1817" s="95"/>
      <c r="AO1817" s="95"/>
      <c r="AP1817" s="95"/>
      <c r="AQ1817" s="95"/>
      <c r="AR1817" s="95"/>
      <c r="AS1817" s="95"/>
      <c r="AT1817" s="95"/>
      <c r="AU1817" s="95"/>
      <c r="AV1817" s="95"/>
      <c r="AW1817" s="95"/>
      <c r="AX1817" s="95"/>
      <c r="AY1817" s="95"/>
      <c r="AZ1817" s="95"/>
      <c r="BA1817" s="95"/>
    </row>
    <row r="1818" ht="15.75" hidden="1" customHeight="1" outlineLevel="1">
      <c r="A1818" s="309"/>
      <c r="B1818" s="38"/>
      <c r="C1818" s="160"/>
      <c r="D1818" s="160"/>
      <c r="E1818" s="160"/>
      <c r="F1818" s="160"/>
      <c r="G1818" s="160"/>
      <c r="H1818" s="160"/>
      <c r="I1818" s="160"/>
      <c r="J1818" s="160"/>
      <c r="K1818" s="160">
        <f>IF($N$1804&gt;0,'Assumptions (MSW)'!$V$13*Model!$N$1804*'Assumptions (MSW)'!J$2/10^9,0)</f>
        <v>0.3301260483</v>
      </c>
      <c r="L1818" s="160">
        <f>IF($N$1804&gt;0,'Assumptions (MSW)'!$V$13*Model!$N$1804*'Assumptions (MSW)'!K$2/10^9,0)</f>
        <v>0.3366936543</v>
      </c>
      <c r="M1818" s="160">
        <f>IF($N$1804&gt;0,'Assumptions (MSW)'!$V$13*Model!$N$1804*'Assumptions (MSW)'!L$2/10^9,0)</f>
        <v>0.3433919177</v>
      </c>
      <c r="N1818" s="160"/>
      <c r="O1818" s="160"/>
      <c r="P1818" s="160"/>
      <c r="Q1818" s="160"/>
      <c r="R1818" s="160"/>
      <c r="S1818" s="160"/>
      <c r="T1818" s="160"/>
      <c r="U1818" s="160"/>
      <c r="V1818" s="174"/>
      <c r="W1818" s="95"/>
      <c r="X1818" s="95"/>
      <c r="Y1818" s="95"/>
      <c r="Z1818" s="95"/>
      <c r="AA1818" s="95"/>
      <c r="AB1818" s="95"/>
      <c r="AC1818" s="95"/>
      <c r="AD1818" s="95"/>
      <c r="AE1818" s="95"/>
      <c r="AF1818" s="95"/>
      <c r="AG1818" s="95"/>
      <c r="AH1818" s="95"/>
      <c r="AI1818" s="95"/>
      <c r="AJ1818" s="95"/>
      <c r="AK1818" s="95"/>
      <c r="AL1818" s="95"/>
      <c r="AM1818" s="95"/>
      <c r="AN1818" s="95"/>
      <c r="AO1818" s="95"/>
      <c r="AP1818" s="95"/>
      <c r="AQ1818" s="95"/>
      <c r="AR1818" s="95"/>
      <c r="AS1818" s="95"/>
      <c r="AT1818" s="95"/>
      <c r="AU1818" s="95"/>
      <c r="AV1818" s="95"/>
      <c r="AW1818" s="95"/>
      <c r="AX1818" s="95"/>
      <c r="AY1818" s="95"/>
      <c r="AZ1818" s="95"/>
      <c r="BA1818" s="95"/>
    </row>
    <row r="1819" ht="15.75" hidden="1" customHeight="1" outlineLevel="1">
      <c r="A1819" s="309"/>
      <c r="B1819" s="38"/>
      <c r="C1819" s="160"/>
      <c r="D1819" s="160"/>
      <c r="E1819" s="160"/>
      <c r="F1819" s="160"/>
      <c r="G1819" s="160"/>
      <c r="H1819" s="160"/>
      <c r="I1819" s="160"/>
      <c r="J1819" s="160"/>
      <c r="K1819" s="160"/>
      <c r="L1819" s="160">
        <f>IF($O$1804&gt;0,'Assumptions (MSW)'!$V$13*Model!$O$1804*'Assumptions (MSW)'!K$2/10^9,0)</f>
        <v>0.407551831</v>
      </c>
      <c r="M1819" s="160">
        <f>IF($O$1804&gt;0,'Assumptions (MSW)'!$V$13*Model!$O$1804*'Assumptions (MSW)'!L$2/10^9,0)</f>
        <v>0.4156597638</v>
      </c>
      <c r="N1819" s="160">
        <f>IF($O$1804&gt;0,'Assumptions (MSW)'!$V$13*Model!$O$1804*'Assumptions (MSW)'!M$2/10^9,0)</f>
        <v>0.4239289979</v>
      </c>
      <c r="O1819" s="160"/>
      <c r="P1819" s="160"/>
      <c r="Q1819" s="160"/>
      <c r="R1819" s="160"/>
      <c r="S1819" s="160"/>
      <c r="T1819" s="160"/>
      <c r="U1819" s="160"/>
      <c r="V1819" s="174"/>
      <c r="W1819" s="95"/>
      <c r="X1819" s="95"/>
      <c r="Y1819" s="95"/>
      <c r="Z1819" s="95"/>
      <c r="AA1819" s="95"/>
      <c r="AB1819" s="95"/>
      <c r="AC1819" s="95"/>
      <c r="AD1819" s="95"/>
      <c r="AE1819" s="95"/>
      <c r="AF1819" s="95"/>
      <c r="AG1819" s="95"/>
      <c r="AH1819" s="95"/>
      <c r="AI1819" s="95"/>
      <c r="AJ1819" s="95"/>
      <c r="AK1819" s="95"/>
      <c r="AL1819" s="95"/>
      <c r="AM1819" s="95"/>
      <c r="AN1819" s="95"/>
      <c r="AO1819" s="95"/>
      <c r="AP1819" s="95"/>
      <c r="AQ1819" s="95"/>
      <c r="AR1819" s="95"/>
      <c r="AS1819" s="95"/>
      <c r="AT1819" s="95"/>
      <c r="AU1819" s="95"/>
      <c r="AV1819" s="95"/>
      <c r="AW1819" s="95"/>
      <c r="AX1819" s="95"/>
      <c r="AY1819" s="95"/>
      <c r="AZ1819" s="95"/>
      <c r="BA1819" s="95"/>
    </row>
    <row r="1820" ht="15.75" hidden="1" customHeight="1" outlineLevel="1">
      <c r="A1820" s="309"/>
      <c r="B1820" s="38"/>
      <c r="C1820" s="160"/>
      <c r="D1820" s="160"/>
      <c r="E1820" s="160"/>
      <c r="F1820" s="160"/>
      <c r="G1820" s="160"/>
      <c r="H1820" s="160"/>
      <c r="I1820" s="160"/>
      <c r="J1820" s="177"/>
      <c r="K1820" s="177"/>
      <c r="L1820" s="177"/>
      <c r="M1820" s="177">
        <f>IF($P$1804&gt;0,'Assumptions (MSW)'!$V$13*Model!$P$1804*'Assumptions (MSW)'!L$2/10^9,0)</f>
        <v>0.3350165051</v>
      </c>
      <c r="N1820" s="177">
        <f>IF($P$1804&gt;0,'Assumptions (MSW)'!$V$13*Model!$P$1804*'Assumptions (MSW)'!M$2/10^9,0)</f>
        <v>0.341681403</v>
      </c>
      <c r="O1820" s="177">
        <f>IF($P$1804&gt;0,'Assumptions (MSW)'!$V$13*Model!$P$1804*'Assumptions (MSW)'!N$2/10^9,0)</f>
        <v>0.3484788939</v>
      </c>
      <c r="P1820" s="177"/>
      <c r="Q1820" s="160"/>
      <c r="R1820" s="177"/>
      <c r="S1820" s="177"/>
      <c r="T1820" s="177"/>
      <c r="U1820" s="177"/>
      <c r="V1820" s="174"/>
      <c r="W1820" s="95"/>
      <c r="X1820" s="95"/>
      <c r="Y1820" s="95"/>
      <c r="Z1820" s="95"/>
      <c r="AA1820" s="95"/>
      <c r="AB1820" s="95"/>
      <c r="AC1820" s="95"/>
      <c r="AD1820" s="95"/>
      <c r="AE1820" s="95"/>
      <c r="AF1820" s="95"/>
      <c r="AG1820" s="95"/>
      <c r="AH1820" s="95"/>
      <c r="AI1820" s="95"/>
      <c r="AJ1820" s="95"/>
      <c r="AK1820" s="95"/>
      <c r="AL1820" s="95"/>
      <c r="AM1820" s="95"/>
      <c r="AN1820" s="95"/>
      <c r="AO1820" s="95"/>
      <c r="AP1820" s="95"/>
      <c r="AQ1820" s="95"/>
      <c r="AR1820" s="95"/>
      <c r="AS1820" s="95"/>
      <c r="AT1820" s="95"/>
      <c r="AU1820" s="95"/>
      <c r="AV1820" s="95"/>
      <c r="AW1820" s="95"/>
      <c r="AX1820" s="95"/>
      <c r="AY1820" s="95"/>
      <c r="AZ1820" s="95"/>
      <c r="BA1820" s="95"/>
    </row>
    <row r="1821" ht="15.75" hidden="1" customHeight="1" outlineLevel="1">
      <c r="A1821" s="309"/>
      <c r="B1821" s="38"/>
      <c r="C1821" s="160"/>
      <c r="D1821" s="160"/>
      <c r="E1821" s="160"/>
      <c r="F1821" s="160"/>
      <c r="G1821" s="160"/>
      <c r="H1821" s="160"/>
      <c r="I1821" s="160"/>
      <c r="J1821" s="160"/>
      <c r="K1821" s="177"/>
      <c r="L1821" s="177"/>
      <c r="M1821" s="177"/>
      <c r="N1821" s="177">
        <f>IF($Q$1804&gt;0,'Assumptions (MSW)'!$V$13*Model!$Q$1804*'Assumptions (MSW)'!M$2/10^9,0)</f>
        <v>0.215503342</v>
      </c>
      <c r="O1821" s="177">
        <f>IF($Q$1804&gt;0,'Assumptions (MSW)'!$V$13*Model!$Q$1804*'Assumptions (MSW)'!N$2/10^9,0)</f>
        <v>0.2197906167</v>
      </c>
      <c r="P1821" s="177">
        <f>IF($Q$1804&gt;0,'Assumptions (MSW)'!$V$13*Model!$Q$1804*'Assumptions (MSW)'!O$2/10^9,0)</f>
        <v>0.2241631834</v>
      </c>
      <c r="Q1821" s="160"/>
      <c r="R1821" s="177"/>
      <c r="S1821" s="177"/>
      <c r="T1821" s="177"/>
      <c r="U1821" s="177"/>
      <c r="V1821" s="174"/>
      <c r="W1821" s="95"/>
      <c r="X1821" s="95"/>
      <c r="Y1821" s="95"/>
      <c r="Z1821" s="95"/>
      <c r="AA1821" s="95"/>
      <c r="AB1821" s="95"/>
      <c r="AC1821" s="95"/>
      <c r="AD1821" s="95"/>
      <c r="AE1821" s="95"/>
      <c r="AF1821" s="95"/>
      <c r="AG1821" s="95"/>
      <c r="AH1821" s="95"/>
      <c r="AI1821" s="95"/>
      <c r="AJ1821" s="95"/>
      <c r="AK1821" s="95"/>
      <c r="AL1821" s="95"/>
      <c r="AM1821" s="95"/>
      <c r="AN1821" s="95"/>
      <c r="AO1821" s="95"/>
      <c r="AP1821" s="95"/>
      <c r="AQ1821" s="95"/>
      <c r="AR1821" s="95"/>
      <c r="AS1821" s="95"/>
      <c r="AT1821" s="95"/>
      <c r="AU1821" s="95"/>
      <c r="AV1821" s="95"/>
      <c r="AW1821" s="95"/>
      <c r="AX1821" s="95"/>
      <c r="AY1821" s="95"/>
      <c r="AZ1821" s="95"/>
      <c r="BA1821" s="95"/>
    </row>
    <row r="1822" ht="15.75" hidden="1" customHeight="1" outlineLevel="1">
      <c r="A1822" s="309"/>
      <c r="B1822" s="38"/>
      <c r="C1822" s="160"/>
      <c r="D1822" s="160"/>
      <c r="E1822" s="160"/>
      <c r="F1822" s="160"/>
      <c r="G1822" s="160"/>
      <c r="H1822" s="160"/>
      <c r="I1822" s="160"/>
      <c r="J1822" s="160"/>
      <c r="K1822" s="160"/>
      <c r="L1822" s="178"/>
      <c r="M1822" s="178"/>
      <c r="N1822" s="178"/>
      <c r="O1822" s="178">
        <f>IF($R$1804&gt;0,'Assumptions (MSW)'!$V$13*Model!$R$1804*'Assumptions (MSW)'!N$2/10^9,0)</f>
        <v>0.2509048036</v>
      </c>
      <c r="P1822" s="178">
        <f>IF($R$1804&gt;0,'Assumptions (MSW)'!$V$13*Model!$R$1804*'Assumptions (MSW)'!O$2/10^9,0)</f>
        <v>0.2558963634</v>
      </c>
      <c r="Q1822" s="178">
        <f>IF($R$1804&gt;0,'Assumptions (MSW)'!$V$13*Model!$R$1804*'Assumptions (MSW)'!P$2/10^9,0)</f>
        <v>0.2609872264</v>
      </c>
      <c r="R1822" s="177"/>
      <c r="S1822" s="177"/>
      <c r="T1822" s="177"/>
      <c r="U1822" s="177"/>
      <c r="V1822" s="174"/>
      <c r="W1822" s="95"/>
      <c r="X1822" s="95"/>
      <c r="Y1822" s="95"/>
      <c r="Z1822" s="95"/>
      <c r="AA1822" s="95"/>
      <c r="AB1822" s="95"/>
      <c r="AC1822" s="95"/>
      <c r="AD1822" s="95"/>
      <c r="AE1822" s="95"/>
      <c r="AF1822" s="95"/>
      <c r="AG1822" s="95"/>
      <c r="AH1822" s="95"/>
      <c r="AI1822" s="95"/>
      <c r="AJ1822" s="95"/>
      <c r="AK1822" s="95"/>
      <c r="AL1822" s="95"/>
      <c r="AM1822" s="95"/>
      <c r="AN1822" s="95"/>
      <c r="AO1822" s="95"/>
      <c r="AP1822" s="95"/>
      <c r="AQ1822" s="95"/>
      <c r="AR1822" s="95"/>
      <c r="AS1822" s="95"/>
      <c r="AT1822" s="95"/>
      <c r="AU1822" s="95"/>
      <c r="AV1822" s="95"/>
      <c r="AW1822" s="95"/>
      <c r="AX1822" s="95"/>
      <c r="AY1822" s="95"/>
      <c r="AZ1822" s="95"/>
      <c r="BA1822" s="95"/>
    </row>
    <row r="1823" ht="15.75" hidden="1" customHeight="1" outlineLevel="1">
      <c r="A1823" s="309"/>
      <c r="B1823" s="38"/>
      <c r="C1823" s="160"/>
      <c r="D1823" s="160"/>
      <c r="E1823" s="160"/>
      <c r="F1823" s="160"/>
      <c r="G1823" s="160"/>
      <c r="H1823" s="160"/>
      <c r="I1823" s="160"/>
      <c r="J1823" s="160"/>
      <c r="K1823" s="160"/>
      <c r="L1823" s="160"/>
      <c r="M1823" s="160"/>
      <c r="N1823" s="160"/>
      <c r="O1823" s="160"/>
      <c r="P1823" s="160">
        <f>IF($S$1804&gt;0,'Assumptions (MSW)'!$V$13*Model!$S$1804*'Assumptions (MSW)'!O$2/10^9,0)</f>
        <v>0.208931257</v>
      </c>
      <c r="Q1823" s="160">
        <f>IF($S$1804&gt;0,'Assumptions (MSW)'!$V$13*Model!$S$1804*'Assumptions (MSW)'!P$2/10^9,0)</f>
        <v>0.213087785</v>
      </c>
      <c r="R1823" s="160">
        <f>IF($S$1804&gt;0,'Assumptions (MSW)'!$V$13*Model!$S$1804*'Assumptions (MSW)'!Q$2/10^9,0)</f>
        <v>0.217327004</v>
      </c>
      <c r="S1823" s="160"/>
      <c r="T1823" s="160"/>
      <c r="U1823" s="160"/>
      <c r="V1823" s="174"/>
      <c r="W1823" s="95"/>
      <c r="X1823" s="95"/>
      <c r="Y1823" s="95"/>
      <c r="Z1823" s="95"/>
      <c r="AA1823" s="95"/>
      <c r="AB1823" s="95"/>
      <c r="AC1823" s="95"/>
      <c r="AD1823" s="95"/>
      <c r="AE1823" s="95"/>
      <c r="AF1823" s="95"/>
      <c r="AG1823" s="95"/>
      <c r="AH1823" s="95"/>
      <c r="AI1823" s="95"/>
      <c r="AJ1823" s="95"/>
      <c r="AK1823" s="95"/>
      <c r="AL1823" s="95"/>
      <c r="AM1823" s="95"/>
      <c r="AN1823" s="95"/>
      <c r="AO1823" s="95"/>
      <c r="AP1823" s="95"/>
      <c r="AQ1823" s="95"/>
      <c r="AR1823" s="95"/>
      <c r="AS1823" s="95"/>
      <c r="AT1823" s="95"/>
      <c r="AU1823" s="95"/>
      <c r="AV1823" s="95"/>
      <c r="AW1823" s="95"/>
      <c r="AX1823" s="95"/>
      <c r="AY1823" s="95"/>
      <c r="AZ1823" s="95"/>
      <c r="BA1823" s="95"/>
    </row>
    <row r="1824" ht="15.75" hidden="1" customHeight="1" outlineLevel="1">
      <c r="A1824" s="309"/>
      <c r="B1824" s="38"/>
      <c r="C1824" s="160"/>
      <c r="D1824" s="160"/>
      <c r="E1824" s="160"/>
      <c r="F1824" s="160"/>
      <c r="G1824" s="160"/>
      <c r="H1824" s="160"/>
      <c r="I1824" s="160"/>
      <c r="J1824" s="160"/>
      <c r="K1824" s="160"/>
      <c r="L1824" s="160"/>
      <c r="M1824" s="160"/>
      <c r="N1824" s="160"/>
      <c r="O1824" s="160"/>
      <c r="P1824" s="160"/>
      <c r="Q1824" s="160">
        <f>IF($T$1804&gt;0,'Assumptions (MSW)'!$V$13*Model!$T$1804*'Assumptions (MSW)'!P$2/10^9,0)</f>
        <v>0.08155850823</v>
      </c>
      <c r="R1824" s="160">
        <f>IF($T$1804&gt;0,'Assumptions (MSW)'!$V$13*Model!$T$1804*'Assumptions (MSW)'!Q$2/10^9,0)</f>
        <v>0.08318105256</v>
      </c>
      <c r="S1824" s="160">
        <f>IF($T$1804&gt;0,'Assumptions (MSW)'!$V$13*Model!$T$1804*'Assumptions (MSW)'!R$2/10^9,0)</f>
        <v>0.08483587616</v>
      </c>
      <c r="T1824" s="160"/>
      <c r="U1824" s="160"/>
      <c r="V1824" s="174"/>
      <c r="W1824" s="95"/>
      <c r="X1824" s="95"/>
      <c r="Y1824" s="95"/>
      <c r="Z1824" s="95"/>
      <c r="AA1824" s="95"/>
      <c r="AB1824" s="95"/>
      <c r="AC1824" s="95"/>
      <c r="AD1824" s="95"/>
      <c r="AE1824" s="95"/>
      <c r="AF1824" s="95"/>
      <c r="AG1824" s="95"/>
      <c r="AH1824" s="95"/>
      <c r="AI1824" s="95"/>
      <c r="AJ1824" s="95"/>
      <c r="AK1824" s="95"/>
      <c r="AL1824" s="95"/>
      <c r="AM1824" s="95"/>
      <c r="AN1824" s="95"/>
      <c r="AO1824" s="95"/>
      <c r="AP1824" s="95"/>
      <c r="AQ1824" s="95"/>
      <c r="AR1824" s="95"/>
      <c r="AS1824" s="95"/>
      <c r="AT1824" s="95"/>
      <c r="AU1824" s="95"/>
      <c r="AV1824" s="95"/>
      <c r="AW1824" s="95"/>
      <c r="AX1824" s="95"/>
      <c r="AY1824" s="95"/>
      <c r="AZ1824" s="95"/>
      <c r="BA1824" s="95"/>
    </row>
    <row r="1825" ht="15.75" hidden="1" customHeight="1" outlineLevel="1">
      <c r="A1825" s="309"/>
      <c r="B1825" s="38"/>
      <c r="C1825" s="160"/>
      <c r="D1825" s="160"/>
      <c r="E1825" s="160"/>
      <c r="F1825" s="160"/>
      <c r="G1825" s="160"/>
      <c r="H1825" s="160"/>
      <c r="I1825" s="160"/>
      <c r="J1825" s="160"/>
      <c r="K1825" s="160"/>
      <c r="L1825" s="160"/>
      <c r="M1825" s="160"/>
      <c r="N1825" s="160"/>
      <c r="O1825" s="177"/>
      <c r="P1825" s="177"/>
      <c r="Q1825" s="177"/>
      <c r="R1825" s="177">
        <f>IF($U$1804&gt;0,'Assumptions (MSW)'!$V$13*Model!$U$1804*'Assumptions (MSW)'!Q$2/10^9,0)</f>
        <v>0.004225069336</v>
      </c>
      <c r="S1825" s="177">
        <f>IF($U$1804&gt;0,'Assumptions (MSW)'!$V$13*Model!$U$1804*'Assumptions (MSW)'!R$2/10^9,0)</f>
        <v>0.004309123869</v>
      </c>
      <c r="T1825" s="177">
        <f>IF($U$1804&gt;0,'Assumptions (MSW)'!$V$13*Model!$U$1804*'Assumptions (MSW)'!S$2/10^9,0)</f>
        <v>0.004394850602</v>
      </c>
      <c r="U1825" s="160"/>
      <c r="V1825" s="174"/>
      <c r="W1825" s="95"/>
      <c r="X1825" s="95"/>
      <c r="Y1825" s="95"/>
      <c r="Z1825" s="95"/>
      <c r="AA1825" s="95"/>
      <c r="AB1825" s="95"/>
      <c r="AC1825" s="95"/>
      <c r="AD1825" s="95"/>
      <c r="AE1825" s="95"/>
      <c r="AF1825" s="95"/>
      <c r="AG1825" s="95"/>
      <c r="AH1825" s="95"/>
      <c r="AI1825" s="95"/>
      <c r="AJ1825" s="95"/>
      <c r="AK1825" s="95"/>
      <c r="AL1825" s="95"/>
      <c r="AM1825" s="95"/>
      <c r="AN1825" s="95"/>
      <c r="AO1825" s="95"/>
      <c r="AP1825" s="95"/>
      <c r="AQ1825" s="95"/>
      <c r="AR1825" s="95"/>
      <c r="AS1825" s="95"/>
      <c r="AT1825" s="95"/>
      <c r="AU1825" s="95"/>
      <c r="AV1825" s="95"/>
      <c r="AW1825" s="95"/>
      <c r="AX1825" s="95"/>
      <c r="AY1825" s="95"/>
      <c r="AZ1825" s="95"/>
      <c r="BA1825" s="95"/>
    </row>
    <row r="1826" ht="15.75" hidden="1" customHeight="1" outlineLevel="1">
      <c r="A1826" s="309"/>
      <c r="B1826" s="38"/>
      <c r="C1826" s="160"/>
      <c r="D1826" s="160"/>
      <c r="E1826" s="160"/>
      <c r="F1826" s="160"/>
      <c r="G1826" s="160"/>
      <c r="H1826" s="160"/>
      <c r="I1826" s="160"/>
      <c r="J1826" s="160"/>
      <c r="K1826" s="160"/>
      <c r="L1826" s="160"/>
      <c r="M1826" s="160"/>
      <c r="N1826" s="160"/>
      <c r="O1826" s="160"/>
      <c r="P1826" s="160"/>
      <c r="Q1826" s="160"/>
      <c r="R1826" s="160"/>
      <c r="S1826" s="160">
        <f>IF($V$1804&gt;0,'Assumptions (MSW)'!$V$13*Model!$V$1804*'Assumptions (MSW)'!R$2/10^9,0)</f>
        <v>0.01238873112</v>
      </c>
      <c r="T1826" s="160">
        <f>IF($V$1804&gt;0,'Assumptions (MSW)'!$V$13*Model!$V$1804*'Assumptions (MSW)'!S$2/10^9,0)</f>
        <v>0.01263519548</v>
      </c>
      <c r="U1826" s="160">
        <f>IF($V$1804&gt;0,'Assumptions (MSW)'!$V$13*Model!$V$1804*'Assumptions (MSW)'!T$2/10^9,0)</f>
        <v>0.01288656306</v>
      </c>
      <c r="V1826" s="174"/>
      <c r="W1826" s="95"/>
      <c r="X1826" s="95"/>
      <c r="Y1826" s="95"/>
      <c r="Z1826" s="95"/>
      <c r="AA1826" s="95"/>
      <c r="AB1826" s="95"/>
      <c r="AC1826" s="95"/>
      <c r="AD1826" s="95"/>
      <c r="AE1826" s="95"/>
      <c r="AF1826" s="95"/>
      <c r="AG1826" s="95"/>
      <c r="AH1826" s="95"/>
      <c r="AI1826" s="95"/>
      <c r="AJ1826" s="95"/>
      <c r="AK1826" s="95"/>
      <c r="AL1826" s="95"/>
      <c r="AM1826" s="95"/>
      <c r="AN1826" s="95"/>
      <c r="AO1826" s="95"/>
      <c r="AP1826" s="95"/>
      <c r="AQ1826" s="95"/>
      <c r="AR1826" s="95"/>
      <c r="AS1826" s="95"/>
      <c r="AT1826" s="95"/>
      <c r="AU1826" s="95"/>
      <c r="AV1826" s="95"/>
      <c r="AW1826" s="95"/>
      <c r="AX1826" s="95"/>
      <c r="AY1826" s="95"/>
      <c r="AZ1826" s="95"/>
      <c r="BA1826" s="95"/>
    </row>
    <row r="1827" ht="15.75" hidden="1" customHeight="1" outlineLevel="1">
      <c r="A1827" s="309"/>
      <c r="B1827" s="38"/>
      <c r="C1827" s="174"/>
      <c r="D1827" s="174"/>
      <c r="E1827" s="174"/>
      <c r="F1827" s="174"/>
      <c r="G1827" s="174"/>
      <c r="H1827" s="174"/>
      <c r="I1827" s="174"/>
      <c r="J1827" s="174"/>
      <c r="K1827" s="174"/>
      <c r="L1827" s="174"/>
      <c r="M1827" s="174"/>
      <c r="N1827" s="174"/>
      <c r="O1827" s="174"/>
      <c r="P1827" s="174"/>
      <c r="Q1827" s="174"/>
      <c r="R1827" s="174"/>
      <c r="S1827" s="174"/>
      <c r="T1827" s="160">
        <f>IF($W$1804&gt;0,'Assumptions (MSW)'!$V$13*Model!$W$1804*'Assumptions (MSW)'!S$2/10^9,0)</f>
        <v>0</v>
      </c>
      <c r="U1827" s="160">
        <f>IF($W$1804&gt;0,'Assumptions (MSW)'!$V$13*Model!$W$1804*'Assumptions (MSW)'!T$2/10^9,0)</f>
        <v>0</v>
      </c>
      <c r="V1827" s="160">
        <f>IF($W$1804&gt;0,'Assumptions (MSW)'!$V$13*Model!$W$1804*'Assumptions (MSW)'!U$2/10^9,0)</f>
        <v>0</v>
      </c>
      <c r="W1827" s="177"/>
      <c r="X1827" s="177"/>
      <c r="Y1827" s="177"/>
      <c r="Z1827" s="177"/>
      <c r="AA1827" s="177"/>
      <c r="AB1827" s="177"/>
      <c r="AC1827" s="177"/>
      <c r="AD1827" s="177"/>
      <c r="AE1827" s="177"/>
      <c r="AF1827" s="177"/>
      <c r="AG1827" s="177"/>
      <c r="AH1827" s="177"/>
      <c r="AI1827" s="177"/>
      <c r="AJ1827" s="177"/>
      <c r="AK1827" s="177"/>
      <c r="AL1827" s="177"/>
      <c r="AM1827" s="177"/>
      <c r="AN1827" s="177"/>
      <c r="AO1827" s="177"/>
      <c r="AP1827" s="177"/>
      <c r="AQ1827" s="177"/>
      <c r="AR1827" s="177"/>
      <c r="AS1827" s="177"/>
      <c r="AT1827" s="177"/>
      <c r="AU1827" s="177"/>
      <c r="AV1827" s="177"/>
      <c r="AW1827" s="177"/>
      <c r="AX1827" s="177"/>
      <c r="AY1827" s="177"/>
      <c r="AZ1827" s="177"/>
      <c r="BA1827" s="177"/>
    </row>
    <row r="1828" ht="15.75" hidden="1" customHeight="1" outlineLevel="1">
      <c r="A1828" s="309"/>
      <c r="B1828" s="38"/>
      <c r="C1828" s="174"/>
      <c r="D1828" s="174"/>
      <c r="E1828" s="174"/>
      <c r="F1828" s="174"/>
      <c r="G1828" s="174"/>
      <c r="H1828" s="174"/>
      <c r="I1828" s="174"/>
      <c r="J1828" s="174"/>
      <c r="K1828" s="174"/>
      <c r="L1828" s="174"/>
      <c r="M1828" s="174"/>
      <c r="N1828" s="174"/>
      <c r="O1828" s="174"/>
      <c r="P1828" s="174"/>
      <c r="Q1828" s="174"/>
      <c r="R1828" s="174"/>
      <c r="S1828" s="174"/>
      <c r="T1828" s="174"/>
      <c r="U1828" s="219">
        <f>IF($X$1804&gt;0,'Assumptions (MSW)'!$V$13*Model!$X$1804*'Assumptions (MSW)'!T$2/10^9,0)</f>
        <v>0</v>
      </c>
      <c r="V1828" s="219">
        <f>IF($X$1804&gt;0,'Assumptions (MSW)'!$V$13*Model!$X$1804*'Assumptions (MSW)'!U$2/10^9,0)</f>
        <v>0</v>
      </c>
      <c r="W1828" s="219">
        <f>IF($X$1804&gt;0,'Assumptions (MSW)'!$V$13*Model!$X$1804*'Assumptions (MSW)'!V$2/10^9,0)</f>
        <v>0</v>
      </c>
      <c r="X1828" s="177"/>
      <c r="Y1828" s="177"/>
      <c r="Z1828" s="177"/>
      <c r="AA1828" s="177"/>
      <c r="AB1828" s="177"/>
      <c r="AC1828" s="177"/>
      <c r="AD1828" s="177"/>
      <c r="AE1828" s="177"/>
      <c r="AF1828" s="177"/>
      <c r="AG1828" s="177"/>
      <c r="AH1828" s="177"/>
      <c r="AI1828" s="177"/>
      <c r="AJ1828" s="177"/>
      <c r="AK1828" s="177"/>
      <c r="AL1828" s="177"/>
      <c r="AM1828" s="177"/>
      <c r="AN1828" s="177"/>
      <c r="AO1828" s="177"/>
      <c r="AP1828" s="177"/>
      <c r="AQ1828" s="177"/>
      <c r="AR1828" s="177"/>
      <c r="AS1828" s="177"/>
      <c r="AT1828" s="177"/>
      <c r="AU1828" s="177"/>
      <c r="AV1828" s="177"/>
      <c r="AW1828" s="177"/>
      <c r="AX1828" s="177"/>
      <c r="AY1828" s="177"/>
      <c r="AZ1828" s="177"/>
      <c r="BA1828" s="177"/>
    </row>
    <row r="1829" ht="15.75" hidden="1" customHeight="1" outlineLevel="1">
      <c r="A1829" s="309"/>
      <c r="B1829" s="38"/>
      <c r="C1829" s="174"/>
      <c r="D1829" s="174"/>
      <c r="E1829" s="174"/>
      <c r="F1829" s="174"/>
      <c r="G1829" s="174"/>
      <c r="H1829" s="174"/>
      <c r="I1829" s="174"/>
      <c r="J1829" s="174"/>
      <c r="K1829" s="174"/>
      <c r="L1829" s="174"/>
      <c r="M1829" s="174"/>
      <c r="N1829" s="174"/>
      <c r="O1829" s="174"/>
      <c r="P1829" s="174"/>
      <c r="Q1829" s="174"/>
      <c r="R1829" s="174"/>
      <c r="S1829" s="174"/>
      <c r="T1829" s="174"/>
      <c r="U1829" s="174"/>
      <c r="V1829" s="219">
        <f>IF($Y$1804&gt;0,'Assumptions (MSW)'!$V$13*Model!$Y$1804*'Assumptions (MSW)'!U$2/10^9,0)</f>
        <v>0</v>
      </c>
      <c r="W1829" s="219">
        <f>IF($Y$1804&gt;0,'Assumptions (MSW)'!$V$13*Model!$Y$1804*'Assumptions (MSW)'!V$2/10^9,0)</f>
        <v>0</v>
      </c>
      <c r="X1829" s="219">
        <f>IF($Y$1804&gt;0,'Assumptions (MSW)'!$V$13*Model!$Y$1804*'Assumptions (MSW)'!W$2/10^9,0)</f>
        <v>0</v>
      </c>
      <c r="Y1829" s="177"/>
      <c r="Z1829" s="177"/>
      <c r="AA1829" s="177"/>
      <c r="AB1829" s="177"/>
      <c r="AC1829" s="177"/>
      <c r="AD1829" s="177"/>
      <c r="AE1829" s="177"/>
      <c r="AF1829" s="177"/>
      <c r="AG1829" s="177"/>
      <c r="AH1829" s="177"/>
      <c r="AI1829" s="177"/>
      <c r="AJ1829" s="177"/>
      <c r="AK1829" s="177"/>
      <c r="AL1829" s="177"/>
      <c r="AM1829" s="177"/>
      <c r="AN1829" s="177"/>
      <c r="AO1829" s="177"/>
      <c r="AP1829" s="177"/>
      <c r="AQ1829" s="177"/>
      <c r="AR1829" s="177"/>
      <c r="AS1829" s="177"/>
      <c r="AT1829" s="177"/>
      <c r="AU1829" s="177"/>
      <c r="AV1829" s="177"/>
      <c r="AW1829" s="177"/>
      <c r="AX1829" s="177"/>
      <c r="AY1829" s="177"/>
      <c r="AZ1829" s="177"/>
      <c r="BA1829" s="177"/>
    </row>
    <row r="1830" ht="15.75" hidden="1" customHeight="1" outlineLevel="1">
      <c r="A1830" s="309"/>
      <c r="B1830" s="38"/>
      <c r="C1830" s="174"/>
      <c r="D1830" s="174"/>
      <c r="E1830" s="174"/>
      <c r="F1830" s="174"/>
      <c r="G1830" s="174"/>
      <c r="H1830" s="174"/>
      <c r="I1830" s="174"/>
      <c r="J1830" s="174"/>
      <c r="K1830" s="174"/>
      <c r="L1830" s="174"/>
      <c r="M1830" s="174"/>
      <c r="N1830" s="174"/>
      <c r="O1830" s="174"/>
      <c r="P1830" s="174"/>
      <c r="Q1830" s="174"/>
      <c r="R1830" s="174"/>
      <c r="S1830" s="174"/>
      <c r="T1830" s="174"/>
      <c r="U1830" s="174"/>
      <c r="V1830" s="174"/>
      <c r="W1830" s="177">
        <f>IF($Z$1804&gt;0,'Assumptions (MSW)'!$V$13*Model!$Z$1804*'Assumptions (MSW)'!V$2/10^9,0)</f>
        <v>0</v>
      </c>
      <c r="X1830" s="177">
        <f>IF($Z$1804&gt;0,'Assumptions (MSW)'!$V$13*Model!$Z$1804*'Assumptions (MSW)'!W$2/10^9,0)</f>
        <v>0</v>
      </c>
      <c r="Y1830" s="177">
        <f>IF($Z$1804&gt;0,'Assumptions (MSW)'!$V$13*Model!$Z$1804*'Assumptions (MSW)'!X$2/10^9,0)</f>
        <v>0</v>
      </c>
      <c r="Z1830" s="177"/>
      <c r="AA1830" s="177"/>
      <c r="AB1830" s="177"/>
      <c r="AC1830" s="177"/>
      <c r="AD1830" s="177"/>
      <c r="AE1830" s="177"/>
      <c r="AF1830" s="177"/>
      <c r="AG1830" s="177"/>
      <c r="AH1830" s="177"/>
      <c r="AI1830" s="177"/>
      <c r="AJ1830" s="177"/>
      <c r="AK1830" s="177"/>
      <c r="AL1830" s="177"/>
      <c r="AM1830" s="177"/>
      <c r="AN1830" s="177"/>
      <c r="AO1830" s="177"/>
      <c r="AP1830" s="177"/>
      <c r="AQ1830" s="177"/>
      <c r="AR1830" s="177"/>
      <c r="AS1830" s="177"/>
      <c r="AT1830" s="177"/>
      <c r="AU1830" s="177"/>
      <c r="AV1830" s="177"/>
      <c r="AW1830" s="177"/>
      <c r="AX1830" s="177"/>
      <c r="AY1830" s="177"/>
      <c r="AZ1830" s="177"/>
      <c r="BA1830" s="177"/>
    </row>
    <row r="1831" ht="15.75" hidden="1" customHeight="1" outlineLevel="1">
      <c r="A1831" s="309"/>
      <c r="B1831" s="38"/>
      <c r="C1831" s="174"/>
      <c r="D1831" s="174"/>
      <c r="E1831" s="174"/>
      <c r="F1831" s="174"/>
      <c r="G1831" s="174"/>
      <c r="H1831" s="174"/>
      <c r="I1831" s="174"/>
      <c r="J1831" s="174"/>
      <c r="K1831" s="174"/>
      <c r="L1831" s="174"/>
      <c r="M1831" s="174"/>
      <c r="N1831" s="174"/>
      <c r="O1831" s="174"/>
      <c r="P1831" s="174"/>
      <c r="Q1831" s="174"/>
      <c r="R1831" s="174"/>
      <c r="S1831" s="174"/>
      <c r="T1831" s="174"/>
      <c r="U1831" s="174"/>
      <c r="V1831" s="174"/>
      <c r="W1831" s="177"/>
      <c r="X1831" s="177">
        <f>IF($AA$1804&gt;0,'Assumptions (MSW)'!$V$13*Model!$AA$1804*'Assumptions (MSW)'!W$2/10^9,0)</f>
        <v>0</v>
      </c>
      <c r="Y1831" s="177">
        <f>IF($AA$1804&gt;0,'Assumptions (MSW)'!$V$13*Model!$AA$1804*'Assumptions (MSW)'!X$2/10^9,0)</f>
        <v>0</v>
      </c>
      <c r="Z1831" s="177">
        <f>IF($AA$1804&gt;0,'Assumptions (MSW)'!$V$13*Model!$AA$1804*'Assumptions (MSW)'!Y$2/10^9,0)</f>
        <v>0</v>
      </c>
      <c r="AA1831" s="177"/>
      <c r="AB1831" s="177"/>
      <c r="AC1831" s="177"/>
      <c r="AD1831" s="177"/>
      <c r="AE1831" s="177"/>
      <c r="AF1831" s="177"/>
      <c r="AG1831" s="177"/>
      <c r="AH1831" s="177"/>
      <c r="AI1831" s="177"/>
      <c r="AJ1831" s="177"/>
      <c r="AK1831" s="177"/>
      <c r="AL1831" s="177"/>
      <c r="AM1831" s="177"/>
      <c r="AN1831" s="177"/>
      <c r="AO1831" s="177"/>
      <c r="AP1831" s="177"/>
      <c r="AQ1831" s="177"/>
      <c r="AR1831" s="177"/>
      <c r="AS1831" s="177"/>
      <c r="AT1831" s="177"/>
      <c r="AU1831" s="177"/>
      <c r="AV1831" s="177"/>
      <c r="AW1831" s="177"/>
      <c r="AX1831" s="177"/>
      <c r="AY1831" s="177"/>
      <c r="AZ1831" s="177"/>
      <c r="BA1831" s="177"/>
    </row>
    <row r="1832" ht="15.75" hidden="1" customHeight="1" outlineLevel="1">
      <c r="A1832" s="309"/>
      <c r="B1832" s="38"/>
      <c r="C1832" s="174"/>
      <c r="D1832" s="174"/>
      <c r="E1832" s="174"/>
      <c r="F1832" s="174"/>
      <c r="G1832" s="174"/>
      <c r="H1832" s="174"/>
      <c r="I1832" s="174"/>
      <c r="J1832" s="174"/>
      <c r="K1832" s="174"/>
      <c r="L1832" s="174"/>
      <c r="M1832" s="174"/>
      <c r="N1832" s="174"/>
      <c r="O1832" s="174"/>
      <c r="P1832" s="174"/>
      <c r="Q1832" s="174"/>
      <c r="R1832" s="174"/>
      <c r="S1832" s="174"/>
      <c r="T1832" s="174"/>
      <c r="U1832" s="174"/>
      <c r="V1832" s="174"/>
      <c r="W1832" s="139"/>
      <c r="Y1832" s="177">
        <f>IF($AB$1804&gt;0,'Assumptions (MSW)'!$V$13*Model!$AB$1804*'Assumptions (MSW)'!X$2/10^9,0)</f>
        <v>0</v>
      </c>
      <c r="Z1832" s="177">
        <f>IF($AB$1804&gt;0,'Assumptions (MSW)'!$V$13*Model!$AB$1804*'Assumptions (MSW)'!Y$2/10^9,0)</f>
        <v>0</v>
      </c>
      <c r="AA1832" s="177">
        <f>IF($AB$1804&gt;0,'Assumptions (MSW)'!$V$13*Model!$AB$1804*'Assumptions (MSW)'!Z$2/10^9,0)</f>
        <v>0</v>
      </c>
    </row>
    <row r="1833" ht="15.75" hidden="1" customHeight="1" outlineLevel="1">
      <c r="A1833" s="309"/>
      <c r="B1833" s="38"/>
      <c r="C1833" s="174"/>
      <c r="D1833" s="174"/>
      <c r="E1833" s="174"/>
      <c r="F1833" s="174"/>
      <c r="G1833" s="174"/>
      <c r="H1833" s="174"/>
      <c r="I1833" s="174"/>
      <c r="J1833" s="174"/>
      <c r="K1833" s="174"/>
      <c r="L1833" s="174"/>
      <c r="M1833" s="174"/>
      <c r="N1833" s="174"/>
      <c r="O1833" s="174"/>
      <c r="P1833" s="174"/>
      <c r="Q1833" s="174"/>
      <c r="R1833" s="174"/>
      <c r="S1833" s="174"/>
      <c r="T1833" s="174"/>
      <c r="U1833" s="174"/>
      <c r="V1833" s="174"/>
      <c r="W1833" s="139"/>
      <c r="Z1833" s="177">
        <f>IF($AC$1804&gt;0,'Assumptions (MSW)'!$V$13*Model!$AC$1804*'Assumptions (MSW)'!Y$2/10^9,0)</f>
        <v>0</v>
      </c>
      <c r="AA1833" s="177">
        <f>IF($AC$1804&gt;0,'Assumptions (MSW)'!$V$13*Model!$AC$1804*'Assumptions (MSW)'!Z$2/10^9,0)</f>
        <v>0</v>
      </c>
      <c r="AB1833" s="177">
        <f>IF($AC$1804&gt;0,'Assumptions (MSW)'!$V$13*Model!$AC$1804*'Assumptions (MSW)'!AA$2/10^9,0)</f>
        <v>0</v>
      </c>
    </row>
    <row r="1834" ht="15.75" hidden="1" customHeight="1" outlineLevel="1">
      <c r="A1834" s="309"/>
      <c r="B1834" s="38"/>
      <c r="C1834" s="174"/>
      <c r="D1834" s="174"/>
      <c r="E1834" s="174"/>
      <c r="F1834" s="174"/>
      <c r="G1834" s="174"/>
      <c r="H1834" s="174"/>
      <c r="I1834" s="174"/>
      <c r="J1834" s="174"/>
      <c r="K1834" s="174"/>
      <c r="L1834" s="174"/>
      <c r="M1834" s="174"/>
      <c r="N1834" s="174"/>
      <c r="O1834" s="174"/>
      <c r="P1834" s="174"/>
      <c r="Q1834" s="174"/>
      <c r="R1834" s="174"/>
      <c r="S1834" s="174"/>
      <c r="T1834" s="174"/>
      <c r="U1834" s="174"/>
      <c r="V1834" s="174"/>
      <c r="W1834" s="139"/>
      <c r="AA1834" s="177">
        <f>IF($AD$1804&gt;0,'Assumptions (MSW)'!$V$13*Model!$AD$1804*'Assumptions (MSW)'!Z$2/10^9,0)</f>
        <v>0</v>
      </c>
      <c r="AB1834" s="177">
        <f>IF($AD$1804&gt;0,'Assumptions (MSW)'!$V$13*Model!$AD$1804*'Assumptions (MSW)'!AA$2/10^9,0)</f>
        <v>0</v>
      </c>
      <c r="AC1834" s="177">
        <f>IF($AD$1804&gt;0,'Assumptions (MSW)'!$V$13*Model!$AD$1804*'Assumptions (MSW)'!AB$2/10^9,0)</f>
        <v>0</v>
      </c>
    </row>
    <row r="1835" ht="15.75" hidden="1" customHeight="1" outlineLevel="1">
      <c r="A1835" s="309"/>
      <c r="B1835" s="38"/>
      <c r="C1835" s="174"/>
      <c r="D1835" s="174"/>
      <c r="E1835" s="174"/>
      <c r="F1835" s="174"/>
      <c r="G1835" s="174"/>
      <c r="H1835" s="174"/>
      <c r="I1835" s="174"/>
      <c r="J1835" s="174"/>
      <c r="K1835" s="174"/>
      <c r="L1835" s="174"/>
      <c r="M1835" s="174"/>
      <c r="N1835" s="174"/>
      <c r="O1835" s="174"/>
      <c r="P1835" s="174"/>
      <c r="Q1835" s="174"/>
      <c r="R1835" s="174"/>
      <c r="S1835" s="174"/>
      <c r="T1835" s="174"/>
      <c r="U1835" s="174"/>
      <c r="V1835" s="174"/>
      <c r="W1835" s="139"/>
      <c r="AB1835" s="177">
        <f>IF($AE$1804&gt;0,'Assumptions (MSW)'!$V$13*Model!$AE$1804*'Assumptions (MSW)'!AA$2/10^9,0)</f>
        <v>0</v>
      </c>
      <c r="AC1835" s="177">
        <f>IF($AE$1804&gt;0,'Assumptions (MSW)'!$V$13*Model!$AE$1804*'Assumptions (MSW)'!AB$2/10^9,0)</f>
        <v>0</v>
      </c>
      <c r="AD1835" s="177">
        <f>IF($AE$1804&gt;0,'Assumptions (MSW)'!$V$13*Model!$AE$1804*'Assumptions (MSW)'!AC$2/10^9,0)</f>
        <v>0</v>
      </c>
    </row>
    <row r="1836" ht="15.75" hidden="1" customHeight="1" outlineLevel="1">
      <c r="A1836" s="309"/>
      <c r="B1836" s="38"/>
      <c r="C1836" s="174"/>
      <c r="D1836" s="174"/>
      <c r="E1836" s="174"/>
      <c r="F1836" s="174"/>
      <c r="G1836" s="174"/>
      <c r="H1836" s="174"/>
      <c r="I1836" s="174"/>
      <c r="J1836" s="174"/>
      <c r="K1836" s="174"/>
      <c r="L1836" s="174"/>
      <c r="M1836" s="174"/>
      <c r="N1836" s="174"/>
      <c r="O1836" s="174"/>
      <c r="P1836" s="174"/>
      <c r="Q1836" s="174"/>
      <c r="R1836" s="174"/>
      <c r="S1836" s="174"/>
      <c r="T1836" s="174"/>
      <c r="U1836" s="174"/>
      <c r="V1836" s="174"/>
      <c r="W1836" s="139"/>
      <c r="AC1836" s="177">
        <f>IF($AF$1804&gt;0,'Assumptions (MSW)'!$V$13*Model!$AF$1804*'Assumptions (MSW)'!AB$2/10^9,0)</f>
        <v>0</v>
      </c>
      <c r="AD1836" s="177">
        <f>IF($AF$1804&gt;0,'Assumptions (MSW)'!$V$13*Model!$AF$1804*'Assumptions (MSW)'!AC$2/10^9,0)</f>
        <v>0</v>
      </c>
      <c r="AE1836" s="177">
        <f>IF($AF$1804&gt;0,'Assumptions (MSW)'!$V$13*Model!$AF$1804*'Assumptions (MSW)'!AD$2/10^9,0)</f>
        <v>0</v>
      </c>
    </row>
    <row r="1837" ht="15.75" hidden="1" customHeight="1" outlineLevel="1">
      <c r="A1837" s="309"/>
      <c r="B1837" s="38"/>
      <c r="C1837" s="174"/>
      <c r="D1837" s="174"/>
      <c r="E1837" s="174"/>
      <c r="F1837" s="174"/>
      <c r="G1837" s="174"/>
      <c r="H1837" s="174"/>
      <c r="I1837" s="174"/>
      <c r="J1837" s="174"/>
      <c r="K1837" s="174"/>
      <c r="L1837" s="174"/>
      <c r="M1837" s="174"/>
      <c r="N1837" s="174"/>
      <c r="O1837" s="174"/>
      <c r="P1837" s="174"/>
      <c r="Q1837" s="174"/>
      <c r="R1837" s="174"/>
      <c r="S1837" s="174"/>
      <c r="T1837" s="174"/>
      <c r="U1837" s="174"/>
      <c r="V1837" s="174"/>
      <c r="W1837" s="139"/>
      <c r="AD1837" s="177">
        <f>IF($AG$1804&gt;0,'Assumptions (MSW)'!$V$13*Model!$AG$1804*'Assumptions (MSW)'!AC$2/10^9,0)</f>
        <v>0</v>
      </c>
      <c r="AE1837" s="177">
        <f>IF($AG$1804&gt;0,'Assumptions (MSW)'!$V$13*Model!$AG$1804*'Assumptions (MSW)'!AD$2/10^9,0)</f>
        <v>0</v>
      </c>
      <c r="AF1837" s="177">
        <f>IF($AG$1804&gt;0,'Assumptions (MSW)'!$V$13*Model!$AG$1804*'Assumptions (MSW)'!AE$2/10^9,0)</f>
        <v>0</v>
      </c>
    </row>
    <row r="1838" ht="15.75" hidden="1" customHeight="1" outlineLevel="1">
      <c r="A1838" s="309"/>
      <c r="B1838" s="38"/>
      <c r="C1838" s="174"/>
      <c r="D1838" s="174"/>
      <c r="E1838" s="174"/>
      <c r="F1838" s="174"/>
      <c r="G1838" s="174"/>
      <c r="H1838" s="174"/>
      <c r="I1838" s="174"/>
      <c r="J1838" s="174"/>
      <c r="K1838" s="174"/>
      <c r="L1838" s="174"/>
      <c r="M1838" s="174"/>
      <c r="N1838" s="174"/>
      <c r="O1838" s="174"/>
      <c r="P1838" s="174"/>
      <c r="Q1838" s="174"/>
      <c r="R1838" s="174"/>
      <c r="S1838" s="174"/>
      <c r="T1838" s="174"/>
      <c r="U1838" s="174"/>
      <c r="V1838" s="174"/>
      <c r="W1838" s="139"/>
      <c r="AE1838" s="177">
        <f>IF($AH$1804&gt;0,'Assumptions (MSW)'!$V$13*Model!$AH$1804*'Assumptions (MSW)'!AD$2/10^9,0)</f>
        <v>0</v>
      </c>
      <c r="AF1838" s="177">
        <f>IF($AH$1804&gt;0,'Assumptions (MSW)'!$V$13*Model!$AH$1804*'Assumptions (MSW)'!AE$2/10^9,0)</f>
        <v>0</v>
      </c>
      <c r="AG1838" s="177">
        <f>IF($AH$1804&gt;0,'Assumptions (MSW)'!$V$13*Model!$AH$1804*'Assumptions (MSW)'!AF$2/10^9,0)</f>
        <v>0</v>
      </c>
    </row>
    <row r="1839" ht="15.75" hidden="1" customHeight="1" outlineLevel="1">
      <c r="A1839" s="309"/>
      <c r="B1839" s="38"/>
      <c r="C1839" s="174"/>
      <c r="D1839" s="174"/>
      <c r="E1839" s="174"/>
      <c r="F1839" s="174"/>
      <c r="G1839" s="174"/>
      <c r="H1839" s="174"/>
      <c r="I1839" s="174"/>
      <c r="J1839" s="174"/>
      <c r="K1839" s="174"/>
      <c r="L1839" s="174"/>
      <c r="M1839" s="174"/>
      <c r="N1839" s="174"/>
      <c r="O1839" s="174"/>
      <c r="P1839" s="174"/>
      <c r="Q1839" s="174"/>
      <c r="R1839" s="174"/>
      <c r="S1839" s="174"/>
      <c r="T1839" s="174"/>
      <c r="U1839" s="174"/>
      <c r="V1839" s="174"/>
      <c r="W1839" s="139"/>
      <c r="AF1839" s="177">
        <f>IF($AI$1804&gt;0,'Assumptions (MSW)'!$V$13*Model!$AI$1804*'Assumptions (MSW)'!AE$2/10^9,0)</f>
        <v>0</v>
      </c>
      <c r="AG1839" s="177">
        <f>IF($AI$1804&gt;0,'Assumptions (MSW)'!$V$13*Model!$AI$1804*'Assumptions (MSW)'!AF$2/10^9,0)</f>
        <v>0</v>
      </c>
      <c r="AH1839" s="177">
        <f>IF($AI$1804&gt;0,'Assumptions (MSW)'!$V$13*Model!$AI$1804*'Assumptions (MSW)'!AG$2/10^9,0)</f>
        <v>0</v>
      </c>
    </row>
    <row r="1840" ht="15.75" hidden="1" customHeight="1" outlineLevel="1">
      <c r="A1840" s="309"/>
      <c r="B1840" s="38"/>
      <c r="C1840" s="174"/>
      <c r="D1840" s="174"/>
      <c r="E1840" s="174"/>
      <c r="F1840" s="174"/>
      <c r="G1840" s="174"/>
      <c r="H1840" s="174"/>
      <c r="I1840" s="174"/>
      <c r="J1840" s="174"/>
      <c r="K1840" s="174"/>
      <c r="L1840" s="174"/>
      <c r="M1840" s="174"/>
      <c r="N1840" s="174"/>
      <c r="O1840" s="174"/>
      <c r="P1840" s="174"/>
      <c r="Q1840" s="174"/>
      <c r="R1840" s="174"/>
      <c r="S1840" s="174"/>
      <c r="T1840" s="174"/>
      <c r="U1840" s="174"/>
      <c r="V1840" s="174"/>
      <c r="W1840" s="139"/>
      <c r="AG1840" s="177">
        <f>IF($AJ$1804&gt;0,'Assumptions (MSW)'!$V$13*Model!$AJ$1804*'Assumptions (MSW)'!AF$2/10^9,0)</f>
        <v>0</v>
      </c>
      <c r="AH1840" s="177">
        <f>IF($AJ$1804&gt;0,'Assumptions (MSW)'!$V$13*Model!$AJ$1804*'Assumptions (MSW)'!AG$2/10^9,0)</f>
        <v>0</v>
      </c>
      <c r="AI1840" s="177">
        <f>IF($AJ$1804&gt;0,'Assumptions (MSW)'!$V$13*Model!$AJ$1804*'Assumptions (MSW)'!AH$2/10^9,0)</f>
        <v>0</v>
      </c>
    </row>
    <row r="1841" ht="15.75" hidden="1" customHeight="1" outlineLevel="1">
      <c r="A1841" s="309"/>
      <c r="B1841" s="38"/>
      <c r="C1841" s="174"/>
      <c r="D1841" s="174"/>
      <c r="E1841" s="174"/>
      <c r="F1841" s="174"/>
      <c r="G1841" s="174"/>
      <c r="H1841" s="174"/>
      <c r="I1841" s="174"/>
      <c r="J1841" s="174"/>
      <c r="K1841" s="174"/>
      <c r="L1841" s="174"/>
      <c r="M1841" s="174"/>
      <c r="N1841" s="174"/>
      <c r="O1841" s="174"/>
      <c r="P1841" s="174"/>
      <c r="Q1841" s="174"/>
      <c r="R1841" s="174"/>
      <c r="S1841" s="174"/>
      <c r="T1841" s="174"/>
      <c r="U1841" s="174"/>
      <c r="V1841" s="174"/>
      <c r="W1841" s="139"/>
      <c r="AH1841" s="177">
        <f>IF($AK$1804&gt;0,'Assumptions (MSW)'!$V$13*Model!$AK$1804*'Assumptions (MSW)'!AG$2/10^9,0)</f>
        <v>0</v>
      </c>
      <c r="AI1841" s="177">
        <f>IF($AK$1804&gt;0,'Assumptions (MSW)'!$V$13*Model!$AK$1804*'Assumptions (MSW)'!AH$2/10^9,0)</f>
        <v>0</v>
      </c>
      <c r="AJ1841" s="177">
        <f>IF($AK$1804&gt;0,'Assumptions (MSW)'!$V$13*Model!$AK$1804*'Assumptions (MSW)'!AI$2/10^9,0)</f>
        <v>0</v>
      </c>
    </row>
    <row r="1842" ht="15.75" hidden="1" customHeight="1" outlineLevel="1">
      <c r="A1842" s="309"/>
      <c r="B1842" s="38"/>
      <c r="C1842" s="174"/>
      <c r="D1842" s="174"/>
      <c r="E1842" s="174"/>
      <c r="F1842" s="174"/>
      <c r="G1842" s="174"/>
      <c r="H1842" s="174"/>
      <c r="I1842" s="174"/>
      <c r="J1842" s="174"/>
      <c r="K1842" s="174"/>
      <c r="L1842" s="174"/>
      <c r="M1842" s="174"/>
      <c r="N1842" s="174"/>
      <c r="O1842" s="174"/>
      <c r="P1842" s="174"/>
      <c r="Q1842" s="174"/>
      <c r="R1842" s="174"/>
      <c r="S1842" s="174"/>
      <c r="T1842" s="174"/>
      <c r="U1842" s="174"/>
      <c r="V1842" s="174"/>
      <c r="W1842" s="139"/>
      <c r="AI1842" s="177">
        <f>IF($AL$1804&gt;0,'Assumptions (MSW)'!$V$13*Model!$AL$1804*'Assumptions (MSW)'!AH$2/10^9,0)</f>
        <v>0</v>
      </c>
      <c r="AJ1842" s="177">
        <f>IF($AL$1804&gt;0,'Assumptions (MSW)'!$V$13*Model!$AL$1804*'Assumptions (MSW)'!AI$2/10^9,0)</f>
        <v>0</v>
      </c>
      <c r="AK1842" s="177">
        <f>IF($AL$1804&gt;0,'Assumptions (MSW)'!$V$13*Model!$AL$1804*'Assumptions (MSW)'!AJ$2/10^9,0)</f>
        <v>0</v>
      </c>
    </row>
    <row r="1843" ht="15.75" hidden="1" customHeight="1" outlineLevel="1">
      <c r="A1843" s="309"/>
      <c r="B1843" s="38"/>
      <c r="C1843" s="174"/>
      <c r="D1843" s="174"/>
      <c r="E1843" s="174"/>
      <c r="F1843" s="174"/>
      <c r="G1843" s="174"/>
      <c r="H1843" s="174"/>
      <c r="I1843" s="174"/>
      <c r="J1843" s="174"/>
      <c r="K1843" s="174"/>
      <c r="L1843" s="174"/>
      <c r="M1843" s="174"/>
      <c r="N1843" s="174"/>
      <c r="O1843" s="174"/>
      <c r="P1843" s="174"/>
      <c r="Q1843" s="174"/>
      <c r="R1843" s="174"/>
      <c r="S1843" s="174"/>
      <c r="T1843" s="174"/>
      <c r="U1843" s="174"/>
      <c r="V1843" s="174"/>
      <c r="W1843" s="139"/>
      <c r="AJ1843" s="177">
        <f>IF($AM$1804&gt;0,'Assumptions (MSW)'!$V$13*Model!$AM$1804*'Assumptions (MSW)'!AI$2/10^9,0)</f>
        <v>0</v>
      </c>
      <c r="AK1843" s="177">
        <f>IF($AM$1804&gt;0,'Assumptions (MSW)'!$V$13*Model!$AM$1804*'Assumptions (MSW)'!AJ$2/10^9,0)</f>
        <v>0</v>
      </c>
      <c r="AL1843" s="177">
        <f>IF($AM$1804&gt;0,'Assumptions (MSW)'!$V$13*Model!$AM$1804*'Assumptions (MSW)'!AK$2/10^9,0)</f>
        <v>0</v>
      </c>
    </row>
    <row r="1844" ht="15.75" hidden="1" customHeight="1" outlineLevel="1">
      <c r="A1844" s="309"/>
      <c r="B1844" s="38"/>
      <c r="C1844" s="174"/>
      <c r="D1844" s="174"/>
      <c r="E1844" s="174"/>
      <c r="F1844" s="174"/>
      <c r="G1844" s="174"/>
      <c r="H1844" s="174"/>
      <c r="I1844" s="174"/>
      <c r="J1844" s="174"/>
      <c r="K1844" s="174"/>
      <c r="L1844" s="174"/>
      <c r="M1844" s="174"/>
      <c r="N1844" s="174"/>
      <c r="O1844" s="174"/>
      <c r="P1844" s="174"/>
      <c r="Q1844" s="174"/>
      <c r="R1844" s="174"/>
      <c r="S1844" s="174"/>
      <c r="T1844" s="174"/>
      <c r="U1844" s="174"/>
      <c r="V1844" s="174"/>
      <c r="W1844" s="139"/>
      <c r="AK1844" s="177">
        <f>IF($AN$1804&gt;0,'Assumptions (MSW)'!$V$13*Model!$AN$1804*'Assumptions (MSW)'!AJ$2/10^9,0)</f>
        <v>0</v>
      </c>
      <c r="AL1844" s="177">
        <f>IF($AN$1804&gt;0,'Assumptions (MSW)'!$V$13*Model!$AN$1804*'Assumptions (MSW)'!AK$2/10^9,0)</f>
        <v>0</v>
      </c>
      <c r="AM1844" s="177">
        <f>IF($AN$1804&gt;0,'Assumptions (MSW)'!$V$13*Model!$AN$1804*'Assumptions (MSW)'!AL$2/10^9,0)</f>
        <v>0</v>
      </c>
    </row>
    <row r="1845" ht="15.75" hidden="1" customHeight="1" outlineLevel="1">
      <c r="A1845" s="309"/>
      <c r="B1845" s="38"/>
      <c r="C1845" s="174"/>
      <c r="D1845" s="174"/>
      <c r="E1845" s="174"/>
      <c r="F1845" s="174"/>
      <c r="G1845" s="174"/>
      <c r="H1845" s="174"/>
      <c r="I1845" s="174"/>
      <c r="J1845" s="174"/>
      <c r="K1845" s="174"/>
      <c r="L1845" s="174"/>
      <c r="M1845" s="174"/>
      <c r="N1845" s="174"/>
      <c r="O1845" s="174"/>
      <c r="P1845" s="174"/>
      <c r="Q1845" s="174"/>
      <c r="R1845" s="174"/>
      <c r="S1845" s="174"/>
      <c r="T1845" s="174"/>
      <c r="U1845" s="174"/>
      <c r="V1845" s="174"/>
      <c r="W1845" s="139"/>
      <c r="AL1845" s="177">
        <f>IF($AO$1804&gt;0,'Assumptions (MSW)'!$V$13*Model!$AO$1804*'Assumptions (MSW)'!AK$2/10^9,0)</f>
        <v>0</v>
      </c>
      <c r="AM1845" s="177">
        <f>IF($AO$1804&gt;0,'Assumptions (MSW)'!$V$13*Model!$AO$1804*'Assumptions (MSW)'!AL$2/10^9,0)</f>
        <v>0</v>
      </c>
      <c r="AN1845" s="177">
        <f>IF($AO$1804&gt;0,'Assumptions (MSW)'!$V$13*Model!$AO$1804*'Assumptions (MSW)'!AM$2/10^9,0)</f>
        <v>0</v>
      </c>
    </row>
    <row r="1846" ht="15.75" hidden="1" customHeight="1" outlineLevel="1">
      <c r="A1846" s="309"/>
      <c r="B1846" s="38"/>
      <c r="C1846" s="174"/>
      <c r="D1846" s="174"/>
      <c r="E1846" s="174"/>
      <c r="F1846" s="174"/>
      <c r="G1846" s="174"/>
      <c r="H1846" s="174"/>
      <c r="I1846" s="174"/>
      <c r="J1846" s="174"/>
      <c r="K1846" s="174"/>
      <c r="L1846" s="174"/>
      <c r="M1846" s="174"/>
      <c r="N1846" s="174"/>
      <c r="O1846" s="174"/>
      <c r="P1846" s="174"/>
      <c r="Q1846" s="174"/>
      <c r="R1846" s="174"/>
      <c r="S1846" s="174"/>
      <c r="T1846" s="174"/>
      <c r="U1846" s="174"/>
      <c r="V1846" s="174"/>
      <c r="W1846" s="139"/>
      <c r="AM1846" s="177">
        <f>IF($AP$1804&gt;0,'Assumptions (MSW)'!$V$13*Model!$AP$1804*'Assumptions (MSW)'!AL$2/10^9,0)</f>
        <v>0</v>
      </c>
      <c r="AN1846" s="177">
        <f>IF($AP$1804&gt;0,'Assumptions (MSW)'!$V$13*Model!$AP$1804*'Assumptions (MSW)'!AM$2/10^9,0)</f>
        <v>0</v>
      </c>
      <c r="AO1846" s="177">
        <f>IF($AP$1804&gt;0,'Assumptions (MSW)'!$V$13*Model!$AP$1804*'Assumptions (MSW)'!AN$2/10^9,0)</f>
        <v>0</v>
      </c>
    </row>
    <row r="1847" ht="15.75" hidden="1" customHeight="1" outlineLevel="1">
      <c r="A1847" s="309"/>
      <c r="B1847" s="38"/>
      <c r="C1847" s="174"/>
      <c r="D1847" s="174"/>
      <c r="E1847" s="174"/>
      <c r="F1847" s="174"/>
      <c r="G1847" s="174"/>
      <c r="H1847" s="174"/>
      <c r="I1847" s="174"/>
      <c r="J1847" s="174"/>
      <c r="K1847" s="174"/>
      <c r="L1847" s="174"/>
      <c r="M1847" s="174"/>
      <c r="N1847" s="174"/>
      <c r="O1847" s="174"/>
      <c r="P1847" s="174"/>
      <c r="Q1847" s="174"/>
      <c r="R1847" s="174"/>
      <c r="S1847" s="174"/>
      <c r="T1847" s="174"/>
      <c r="U1847" s="174"/>
      <c r="V1847" s="174"/>
      <c r="W1847" s="139"/>
      <c r="AN1847" s="177">
        <f>IF($AQ$1804&gt;0,'Assumptions (MSW)'!$V$13*Model!$AQ$1804*'Assumptions (MSW)'!AM$2/10^9,0)</f>
        <v>0</v>
      </c>
      <c r="AO1847" s="177">
        <f>IF($AQ$1804&gt;0,'Assumptions (MSW)'!$V$13*Model!$AQ$1804*'Assumptions (MSW)'!AN$2/10^9,0)</f>
        <v>0</v>
      </c>
      <c r="AP1847" s="177">
        <f>IF($AQ$1804&gt;0,'Assumptions (MSW)'!$V$13*Model!$AQ$1804*'Assumptions (MSW)'!AO$2/10^9,0)</f>
        <v>0</v>
      </c>
    </row>
    <row r="1848" ht="15.75" hidden="1" customHeight="1" outlineLevel="1">
      <c r="A1848" s="309"/>
      <c r="B1848" s="38"/>
      <c r="C1848" s="174"/>
      <c r="D1848" s="174"/>
      <c r="E1848" s="174"/>
      <c r="F1848" s="174"/>
      <c r="G1848" s="174"/>
      <c r="H1848" s="174"/>
      <c r="I1848" s="174"/>
      <c r="J1848" s="174"/>
      <c r="K1848" s="174"/>
      <c r="L1848" s="174"/>
      <c r="M1848" s="174"/>
      <c r="N1848" s="174"/>
      <c r="O1848" s="174"/>
      <c r="P1848" s="174"/>
      <c r="Q1848" s="174"/>
      <c r="R1848" s="174"/>
      <c r="S1848" s="174"/>
      <c r="T1848" s="174"/>
      <c r="U1848" s="174"/>
      <c r="V1848" s="174"/>
      <c r="W1848" s="139"/>
      <c r="AO1848" s="177">
        <f>IF($AR$1804&gt;0,'Assumptions (MSW)'!$V$13*Model!$AR$1804*'Assumptions (MSW)'!AN$2/10^9,0)</f>
        <v>0</v>
      </c>
      <c r="AP1848" s="177">
        <f>IF($AR$1804&gt;0,'Assumptions (MSW)'!$V$13*Model!$AR$1804*'Assumptions (MSW)'!AO$2/10^9,0)</f>
        <v>0</v>
      </c>
      <c r="AQ1848" s="177">
        <f>IF($AR$1804&gt;0,'Assumptions (MSW)'!$V$13*Model!$AR$1804*'Assumptions (MSW)'!AP$2/10^9,0)</f>
        <v>0</v>
      </c>
    </row>
    <row r="1849" ht="15.75" hidden="1" customHeight="1" outlineLevel="1">
      <c r="A1849" s="309"/>
      <c r="B1849" s="38"/>
      <c r="C1849" s="174"/>
      <c r="D1849" s="174"/>
      <c r="E1849" s="174"/>
      <c r="F1849" s="174"/>
      <c r="G1849" s="174"/>
      <c r="H1849" s="174"/>
      <c r="I1849" s="174"/>
      <c r="J1849" s="174"/>
      <c r="K1849" s="174"/>
      <c r="L1849" s="174"/>
      <c r="M1849" s="174"/>
      <c r="N1849" s="174"/>
      <c r="O1849" s="174"/>
      <c r="P1849" s="174"/>
      <c r="Q1849" s="174"/>
      <c r="R1849" s="174"/>
      <c r="S1849" s="174"/>
      <c r="T1849" s="174"/>
      <c r="U1849" s="174"/>
      <c r="V1849" s="174"/>
      <c r="W1849" s="139"/>
      <c r="AP1849" s="177">
        <f>IF($AS$1804&gt;0,'Assumptions (MSW)'!$V$13*Model!$AS$1804*'Assumptions (MSW)'!AO$2/10^9,0)</f>
        <v>0</v>
      </c>
      <c r="AQ1849" s="177">
        <f>IF($AS$1804&gt;0,'Assumptions (MSW)'!$V$13*Model!$AS$1804*'Assumptions (MSW)'!AP$2/10^9,0)</f>
        <v>0</v>
      </c>
      <c r="AR1849" s="177">
        <f>IF($AS$1804&gt;0,'Assumptions (MSW)'!$V$13*Model!$AS$1804*'Assumptions (MSW)'!AQ$2/10^9,0)</f>
        <v>0</v>
      </c>
    </row>
    <row r="1850" ht="15.75" hidden="1" customHeight="1" outlineLevel="1">
      <c r="A1850" s="309"/>
      <c r="B1850" s="38"/>
      <c r="C1850" s="174"/>
      <c r="D1850" s="174"/>
      <c r="E1850" s="174"/>
      <c r="F1850" s="174"/>
      <c r="G1850" s="174"/>
      <c r="H1850" s="174"/>
      <c r="I1850" s="174"/>
      <c r="J1850" s="174"/>
      <c r="K1850" s="174"/>
      <c r="L1850" s="174"/>
      <c r="M1850" s="174"/>
      <c r="N1850" s="174"/>
      <c r="O1850" s="174"/>
      <c r="P1850" s="174"/>
      <c r="Q1850" s="174"/>
      <c r="R1850" s="174"/>
      <c r="S1850" s="174"/>
      <c r="T1850" s="174"/>
      <c r="U1850" s="174"/>
      <c r="V1850" s="174"/>
      <c r="W1850" s="139"/>
      <c r="AQ1850" s="177">
        <f>IF($AT$1804&gt;0,'Assumptions (MSW)'!$V$13*Model!$AT$1804*'Assumptions (MSW)'!AP$2/10^9,0)</f>
        <v>0</v>
      </c>
      <c r="AR1850" s="177">
        <f>IF($AT$1804&gt;0,'Assumptions (MSW)'!$V$13*Model!$AT$1804*'Assumptions (MSW)'!AQ$2/10^9,0)</f>
        <v>0</v>
      </c>
      <c r="AS1850" s="177">
        <f>IF($AT$1804&gt;0,'Assumptions (MSW)'!$V$13*Model!$AT$1804*'Assumptions (MSW)'!AR$2/10^9,0)</f>
        <v>0</v>
      </c>
    </row>
    <row r="1851" ht="15.75" hidden="1" customHeight="1" outlineLevel="1">
      <c r="A1851" s="309"/>
      <c r="B1851" s="38"/>
      <c r="C1851" s="174"/>
      <c r="D1851" s="174"/>
      <c r="E1851" s="174"/>
      <c r="F1851" s="174"/>
      <c r="G1851" s="174"/>
      <c r="H1851" s="174"/>
      <c r="I1851" s="174"/>
      <c r="J1851" s="174"/>
      <c r="K1851" s="174"/>
      <c r="L1851" s="174"/>
      <c r="M1851" s="174"/>
      <c r="N1851" s="174"/>
      <c r="O1851" s="174"/>
      <c r="P1851" s="174"/>
      <c r="Q1851" s="174"/>
      <c r="R1851" s="174"/>
      <c r="S1851" s="174"/>
      <c r="T1851" s="174"/>
      <c r="U1851" s="174"/>
      <c r="V1851" s="174"/>
      <c r="W1851" s="139"/>
      <c r="AR1851" s="177">
        <f>IF($AU$1804&gt;0,'Assumptions (MSW)'!$V$13*Model!$AU$1804*'Assumptions (MSW)'!AQ$2/10^9,0)</f>
        <v>0</v>
      </c>
      <c r="AS1851" s="177">
        <f>IF($AU$1804&gt;0,'Assumptions (MSW)'!$V$13*Model!$AU$1804*'Assumptions (MSW)'!AR$2/10^9,0)</f>
        <v>0</v>
      </c>
      <c r="AT1851" s="177">
        <f>IF($AU$1804&gt;0,'Assumptions (MSW)'!$V$13*Model!$AU$1804*'Assumptions (MSW)'!AS$2/10^9,0)</f>
        <v>0</v>
      </c>
    </row>
    <row r="1852" ht="15.75" hidden="1" customHeight="1" outlineLevel="1">
      <c r="A1852" s="309"/>
      <c r="B1852" s="38"/>
      <c r="C1852" s="174"/>
      <c r="D1852" s="174"/>
      <c r="E1852" s="174"/>
      <c r="F1852" s="174"/>
      <c r="G1852" s="174"/>
      <c r="H1852" s="174"/>
      <c r="I1852" s="174"/>
      <c r="J1852" s="174"/>
      <c r="K1852" s="174"/>
      <c r="L1852" s="174"/>
      <c r="M1852" s="174"/>
      <c r="N1852" s="174"/>
      <c r="O1852" s="174"/>
      <c r="P1852" s="174"/>
      <c r="Q1852" s="174"/>
      <c r="R1852" s="174"/>
      <c r="S1852" s="174"/>
      <c r="T1852" s="174"/>
      <c r="U1852" s="174"/>
      <c r="V1852" s="174"/>
      <c r="W1852" s="139"/>
      <c r="AS1852" s="177">
        <f>IF($AV$1804&gt;0,'Assumptions (MSW)'!$V$13*Model!$AV$1804*'Assumptions (MSW)'!AR$2/10^9,0)</f>
        <v>0</v>
      </c>
      <c r="AT1852" s="177">
        <f>IF($AV$1804&gt;0,'Assumptions (MSW)'!$V$13*Model!$AV$1804*'Assumptions (MSW)'!AS$2/10^9,0)</f>
        <v>0</v>
      </c>
      <c r="AU1852" s="177">
        <f>IF($AV$1804&gt;0,'Assumptions (MSW)'!$V$13*Model!$AV$1804*'Assumptions (MSW)'!AT$2/10^9,0)</f>
        <v>0</v>
      </c>
    </row>
    <row r="1853" ht="15.75" hidden="1" customHeight="1" outlineLevel="1">
      <c r="A1853" s="309"/>
      <c r="B1853" s="38"/>
      <c r="C1853" s="174"/>
      <c r="D1853" s="174"/>
      <c r="E1853" s="174"/>
      <c r="F1853" s="174"/>
      <c r="G1853" s="174"/>
      <c r="H1853" s="174"/>
      <c r="I1853" s="174"/>
      <c r="J1853" s="174"/>
      <c r="K1853" s="174"/>
      <c r="L1853" s="174"/>
      <c r="M1853" s="174"/>
      <c r="N1853" s="174"/>
      <c r="O1853" s="174"/>
      <c r="P1853" s="174"/>
      <c r="Q1853" s="174"/>
      <c r="R1853" s="174"/>
      <c r="S1853" s="174"/>
      <c r="T1853" s="174"/>
      <c r="U1853" s="174"/>
      <c r="V1853" s="174"/>
      <c r="W1853" s="139"/>
      <c r="AT1853" s="177">
        <f>IF($AW$1804&gt;0,'Assumptions (MSW)'!$V$13*Model!$AW$1804*'Assumptions (MSW)'!AS$2/10^9,0)</f>
        <v>0</v>
      </c>
      <c r="AU1853" s="177">
        <f>IF($AW$1804&gt;0,'Assumptions (MSW)'!$V$13*Model!$AW$1804*'Assumptions (MSW)'!AT$2/10^9,0)</f>
        <v>0</v>
      </c>
      <c r="AV1853" s="177">
        <f>IF($AW$1804&gt;0,'Assumptions (MSW)'!$V$13*Model!$AW$1804*'Assumptions (MSW)'!AU$2/10^9,0)</f>
        <v>0</v>
      </c>
    </row>
    <row r="1854" ht="15.75" hidden="1" customHeight="1" outlineLevel="1">
      <c r="A1854" s="309"/>
      <c r="B1854" s="38"/>
      <c r="C1854" s="174"/>
      <c r="D1854" s="174"/>
      <c r="E1854" s="174"/>
      <c r="F1854" s="174"/>
      <c r="G1854" s="174"/>
      <c r="H1854" s="174"/>
      <c r="I1854" s="174"/>
      <c r="J1854" s="174"/>
      <c r="K1854" s="174"/>
      <c r="L1854" s="174"/>
      <c r="M1854" s="174"/>
      <c r="N1854" s="174"/>
      <c r="O1854" s="174"/>
      <c r="P1854" s="174"/>
      <c r="Q1854" s="174"/>
      <c r="R1854" s="174"/>
      <c r="S1854" s="174"/>
      <c r="T1854" s="174"/>
      <c r="U1854" s="174"/>
      <c r="V1854" s="174"/>
      <c r="W1854" s="139"/>
      <c r="AU1854" s="177">
        <f>IF($AX$1804&gt;0,'Assumptions (MSW)'!$V$13*Model!$AX$1804*'Assumptions (MSW)'!AT$2/10^9,0)</f>
        <v>0</v>
      </c>
      <c r="AV1854" s="177">
        <f>IF($AX$1804&gt;0,'Assumptions (MSW)'!$V$13*Model!$AX$1804*'Assumptions (MSW)'!AU$2/10^9,0)</f>
        <v>0</v>
      </c>
      <c r="AW1854" s="177">
        <f>IF($AX$1804&gt;0,'Assumptions (MSW)'!$V$13*Model!$AX$1804*'Assumptions (MSW)'!AV$2/10^9,0)</f>
        <v>0</v>
      </c>
    </row>
    <row r="1855" ht="15.75" hidden="1" customHeight="1" outlineLevel="1">
      <c r="A1855" s="309"/>
      <c r="B1855" s="38"/>
      <c r="C1855" s="174"/>
      <c r="D1855" s="174"/>
      <c r="E1855" s="174"/>
      <c r="F1855" s="174"/>
      <c r="G1855" s="174"/>
      <c r="H1855" s="174"/>
      <c r="I1855" s="174"/>
      <c r="J1855" s="174"/>
      <c r="K1855" s="174"/>
      <c r="L1855" s="174"/>
      <c r="M1855" s="174"/>
      <c r="N1855" s="174"/>
      <c r="O1855" s="174"/>
      <c r="P1855" s="174"/>
      <c r="Q1855" s="174"/>
      <c r="R1855" s="174"/>
      <c r="S1855" s="174"/>
      <c r="T1855" s="174"/>
      <c r="U1855" s="174"/>
      <c r="V1855" s="174"/>
      <c r="W1855" s="139"/>
      <c r="AV1855" s="177">
        <f>IF($AY$1804&gt;0,'Assumptions (MSW)'!$V$13*Model!$AY$1804*'Assumptions (MSW)'!AU$2/10^9,0)</f>
        <v>0</v>
      </c>
      <c r="AW1855" s="177">
        <f>IF($AY$1804&gt;0,'Assumptions (MSW)'!$V$13*Model!$AY$1804*'Assumptions (MSW)'!AV$2/10^9,0)</f>
        <v>0</v>
      </c>
      <c r="AX1855" s="177">
        <f>IF($AY$1804&gt;0,'Assumptions (MSW)'!$V$13*Model!$AY$1804*'Assumptions (MSW)'!AW$2/10^9,0)</f>
        <v>0</v>
      </c>
    </row>
    <row r="1856" ht="15.75" hidden="1" customHeight="1" outlineLevel="1">
      <c r="A1856" s="309"/>
      <c r="B1856" s="38"/>
      <c r="C1856" s="174"/>
      <c r="D1856" s="174"/>
      <c r="E1856" s="174"/>
      <c r="F1856" s="174"/>
      <c r="G1856" s="174"/>
      <c r="H1856" s="174"/>
      <c r="I1856" s="174"/>
      <c r="J1856" s="174"/>
      <c r="K1856" s="174"/>
      <c r="L1856" s="174"/>
      <c r="M1856" s="174"/>
      <c r="N1856" s="174"/>
      <c r="O1856" s="174"/>
      <c r="P1856" s="174"/>
      <c r="Q1856" s="174"/>
      <c r="R1856" s="174"/>
      <c r="S1856" s="174"/>
      <c r="T1856" s="174"/>
      <c r="U1856" s="174"/>
      <c r="V1856" s="174"/>
      <c r="W1856" s="139"/>
      <c r="AW1856" s="177">
        <f>IF($AZ$1804&gt;0,'Assumptions (MSW)'!$V$13*Model!$AZ$1804*'Assumptions (MSW)'!AV$2/10^9,0)</f>
        <v>0</v>
      </c>
      <c r="AX1856" s="177">
        <f>IF($AZ$1804&gt;0,'Assumptions (MSW)'!$V$13*Model!$AZ$1804*'Assumptions (MSW)'!AW$2/10^9,0)</f>
        <v>0</v>
      </c>
      <c r="AY1856" s="177">
        <f>IF($AZ$1804&gt;0,'Assumptions (MSW)'!$V$13*Model!$AZ$1804*'Assumptions (MSW)'!AX$2/10^9,0)</f>
        <v>0</v>
      </c>
    </row>
    <row r="1857" ht="15.75" hidden="1" customHeight="1" outlineLevel="1">
      <c r="A1857" s="309"/>
      <c r="B1857" s="38"/>
      <c r="C1857" s="174"/>
      <c r="D1857" s="174"/>
      <c r="E1857" s="174"/>
      <c r="F1857" s="174"/>
      <c r="G1857" s="174"/>
      <c r="H1857" s="174"/>
      <c r="I1857" s="174"/>
      <c r="J1857" s="174"/>
      <c r="K1857" s="174"/>
      <c r="L1857" s="174"/>
      <c r="M1857" s="174"/>
      <c r="N1857" s="174"/>
      <c r="O1857" s="174"/>
      <c r="P1857" s="174"/>
      <c r="Q1857" s="174"/>
      <c r="R1857" s="174"/>
      <c r="S1857" s="174"/>
      <c r="T1857" s="174"/>
      <c r="U1857" s="174"/>
      <c r="V1857" s="174"/>
      <c r="W1857" s="139"/>
      <c r="AX1857" s="177">
        <f>IF($BA$1804&gt;0,'Assumptions (MSW)'!$V$13*Model!$BA$1804*'Assumptions (MSW)'!AW$2/10^9,0)</f>
        <v>0</v>
      </c>
      <c r="AY1857" s="177">
        <f>IF($BA$1804&gt;0,'Assumptions (MSW)'!$V$13*Model!$BA$1804*'Assumptions (MSW)'!AX$2/10^9,0)</f>
        <v>0</v>
      </c>
      <c r="AZ1857" s="177">
        <f>IF($BA$1804&gt;0,'Assumptions (MSW)'!$V$13*Model!$BA$1804*'Assumptions (MSW)'!AY$2/10^9,0)</f>
        <v>0</v>
      </c>
    </row>
    <row r="1858" ht="15.75" customHeight="1" collapsed="1">
      <c r="A1858" s="310" t="s">
        <v>52</v>
      </c>
      <c r="B1858" s="150" t="s">
        <v>351</v>
      </c>
      <c r="C1858" s="279">
        <f>'Assumptions (MSW)'!$V$4*Model!C1806</f>
        <v>0.5640650745</v>
      </c>
      <c r="D1858" s="279">
        <f>'Assumptions (MSW)'!$V$4*Model!D1806</f>
        <v>0.1778530638</v>
      </c>
      <c r="E1858" s="279">
        <f>'Assumptions (MSW)'!$V$4*Model!E1806</f>
        <v>0.2055522946</v>
      </c>
      <c r="F1858" s="279">
        <f>'Assumptions (MSW)'!$V$4*Model!F1806</f>
        <v>0.2614265785</v>
      </c>
      <c r="G1858" s="279">
        <f>'Assumptions (MSW)'!$V$4*Model!G1806</f>
        <v>0.3804225304</v>
      </c>
      <c r="H1858" s="279">
        <f>'Assumptions (MSW)'!$V$4*Model!H1806</f>
        <v>0.5015775747</v>
      </c>
      <c r="I1858" s="279">
        <f>'Assumptions (MSW)'!$V$4*Model!I1806</f>
        <v>0.5225701259</v>
      </c>
      <c r="J1858" s="279">
        <f>'Assumptions (MSW)'!$V$4*Model!J1806</f>
        <v>0.5497483363</v>
      </c>
      <c r="K1858" s="279">
        <f>'Assumptions (MSW)'!$V$4*Model!K1806</f>
        <v>0.5772489759</v>
      </c>
      <c r="L1858" s="279">
        <f>'Assumptions (MSW)'!$V$4*Model!L1806</f>
        <v>0.647437261</v>
      </c>
      <c r="M1858" s="279">
        <f>'Assumptions (MSW)'!$V$4*Model!M1806</f>
        <v>0.656440912</v>
      </c>
      <c r="N1858" s="279">
        <f>'Assumptions (MSW)'!$V$4*Model!N1806</f>
        <v>0.5886682457</v>
      </c>
      <c r="O1858" s="279">
        <f>'Assumptions (MSW)'!$V$4*Model!O1806</f>
        <v>0.4915045885</v>
      </c>
      <c r="P1858" s="279">
        <f>'Assumptions (MSW)'!$V$4*Model!P1806</f>
        <v>0.4133944822</v>
      </c>
      <c r="Q1858" s="279">
        <f>'Assumptions (MSW)'!$V$4*Model!Q1806</f>
        <v>0.3333801118</v>
      </c>
      <c r="R1858" s="279">
        <f>'Assumptions (MSW)'!$V$4*Model!R1806</f>
        <v>0.1828398755</v>
      </c>
      <c r="S1858" s="279">
        <f>'Assumptions (MSW)'!$V$4*Model!S1806</f>
        <v>0.06092023869</v>
      </c>
      <c r="T1858" s="279">
        <f>'Assumptions (MSW)'!$V$4*Model!T1806</f>
        <v>0.01021802765</v>
      </c>
      <c r="U1858" s="279">
        <f>'Assumptions (MSW)'!$V$4*Model!U1806</f>
        <v>0.007731937835</v>
      </c>
      <c r="V1858" s="279">
        <f>'Assumptions (MSW)'!$V$4*Model!V1806</f>
        <v>0</v>
      </c>
      <c r="W1858" s="279">
        <f>'Assumptions (MSW)'!$V$4*Model!W1806</f>
        <v>0</v>
      </c>
      <c r="X1858" s="279">
        <f>'Assumptions (MSW)'!$V$4*Model!X1806</f>
        <v>0</v>
      </c>
      <c r="Y1858" s="279">
        <f>'Assumptions (MSW)'!$V$4*Model!Y1806</f>
        <v>0</v>
      </c>
      <c r="Z1858" s="279">
        <f>'Assumptions (MSW)'!$V$4*Model!Z1806</f>
        <v>0</v>
      </c>
      <c r="AA1858" s="279">
        <f>'Assumptions (MSW)'!$V$4*Model!AA1806</f>
        <v>0</v>
      </c>
      <c r="AB1858" s="279">
        <f>'Assumptions (MSW)'!$V$4*Model!AB1806</f>
        <v>0</v>
      </c>
      <c r="AC1858" s="279">
        <f>'Assumptions (MSW)'!$V$4*Model!AC1806</f>
        <v>0</v>
      </c>
      <c r="AD1858" s="279">
        <f>'Assumptions (MSW)'!$V$4*Model!AD1806</f>
        <v>0</v>
      </c>
      <c r="AE1858" s="279">
        <f>'Assumptions (MSW)'!$V$4*Model!AE1806</f>
        <v>0</v>
      </c>
      <c r="AF1858" s="279">
        <f>'Assumptions (MSW)'!$V$4*Model!AF1806</f>
        <v>0</v>
      </c>
      <c r="AG1858" s="279">
        <f>'Assumptions (MSW)'!$V$4*Model!AG1806</f>
        <v>0</v>
      </c>
      <c r="AH1858" s="279">
        <f>'Assumptions (MSW)'!$V$4*Model!AH1806</f>
        <v>0</v>
      </c>
      <c r="AI1858" s="279">
        <f>'Assumptions (MSW)'!$V$4*Model!AI1806</f>
        <v>0</v>
      </c>
      <c r="AJ1858" s="279">
        <f>'Assumptions (MSW)'!$V$4*Model!AJ1806</f>
        <v>0</v>
      </c>
      <c r="AK1858" s="279">
        <f>'Assumptions (MSW)'!$V$4*Model!AK1806</f>
        <v>0</v>
      </c>
      <c r="AL1858" s="279">
        <f>'Assumptions (MSW)'!$V$4*Model!AL1806</f>
        <v>0</v>
      </c>
      <c r="AM1858" s="279">
        <f>'Assumptions (MSW)'!$V$4*Model!AM1806</f>
        <v>0</v>
      </c>
      <c r="AN1858" s="279">
        <f>'Assumptions (MSW)'!$V$4*Model!AN1806</f>
        <v>0</v>
      </c>
      <c r="AO1858" s="279">
        <f>'Assumptions (MSW)'!$V$4*Model!AO1806</f>
        <v>0</v>
      </c>
      <c r="AP1858" s="279">
        <f>'Assumptions (MSW)'!$V$4*Model!AP1806</f>
        <v>0</v>
      </c>
      <c r="AQ1858" s="279">
        <f>'Assumptions (MSW)'!$V$4*Model!AQ1806</f>
        <v>0</v>
      </c>
      <c r="AR1858" s="279">
        <f>'Assumptions (MSW)'!$V$4*Model!AR1806</f>
        <v>0</v>
      </c>
      <c r="AS1858" s="279">
        <f>'Assumptions (MSW)'!$V$4*Model!AS1806</f>
        <v>0</v>
      </c>
      <c r="AT1858" s="279">
        <f>'Assumptions (MSW)'!$V$4*Model!AT1806</f>
        <v>0</v>
      </c>
      <c r="AU1858" s="279">
        <f>'Assumptions (MSW)'!$V$4*Model!AU1806</f>
        <v>0</v>
      </c>
      <c r="AV1858" s="279">
        <f>'Assumptions (MSW)'!$V$4*Model!AV1806</f>
        <v>0</v>
      </c>
      <c r="AW1858" s="279">
        <f>'Assumptions (MSW)'!$V$4*Model!AW1806</f>
        <v>0</v>
      </c>
      <c r="AX1858" s="279">
        <f>'Assumptions (MSW)'!$V$4*Model!AX1806</f>
        <v>0</v>
      </c>
      <c r="AY1858" s="279">
        <f>'Assumptions (MSW)'!$V$4*Model!AY1806</f>
        <v>0</v>
      </c>
      <c r="AZ1858" s="279">
        <f>'Assumptions (MSW)'!$V$4*Model!AZ1806</f>
        <v>0</v>
      </c>
      <c r="BA1858" s="279">
        <f>'Assumptions (MSW)'!$V$4*Model!BA1806</f>
        <v>0</v>
      </c>
    </row>
    <row r="1859" ht="15.75" customHeight="1">
      <c r="A1859" s="310" t="s">
        <v>54</v>
      </c>
      <c r="B1859" s="150" t="s">
        <v>351</v>
      </c>
      <c r="C1859" s="176">
        <f>'Assumptions (MSW)'!$V$5*Model!C1806</f>
        <v>0.376043383</v>
      </c>
      <c r="D1859" s="176">
        <f>'Assumptions (MSW)'!$V$5*Model!D1806</f>
        <v>0.1185687092</v>
      </c>
      <c r="E1859" s="176">
        <f>'Assumptions (MSW)'!$V$5*Model!E1806</f>
        <v>0.1370348631</v>
      </c>
      <c r="F1859" s="176">
        <f>'Assumptions (MSW)'!$V$5*Model!F1806</f>
        <v>0.1742843857</v>
      </c>
      <c r="G1859" s="176">
        <f>'Assumptions (MSW)'!$V$5*Model!G1806</f>
        <v>0.2536150203</v>
      </c>
      <c r="H1859" s="176">
        <f>'Assumptions (MSW)'!$V$5*Model!H1806</f>
        <v>0.3343850498</v>
      </c>
      <c r="I1859" s="176">
        <f>'Assumptions (MSW)'!$V$5*Model!I1806</f>
        <v>0.3483800839</v>
      </c>
      <c r="J1859" s="176">
        <f>'Assumptions (MSW)'!$V$5*Model!J1806</f>
        <v>0.3664988909</v>
      </c>
      <c r="K1859" s="176">
        <f>'Assumptions (MSW)'!$V$5*Model!K1806</f>
        <v>0.3848326506</v>
      </c>
      <c r="L1859" s="176">
        <f>'Assumptions (MSW)'!$V$5*Model!L1806</f>
        <v>0.4316248407</v>
      </c>
      <c r="M1859" s="176">
        <f>'Assumptions (MSW)'!$V$5*Model!M1806</f>
        <v>0.4376272747</v>
      </c>
      <c r="N1859" s="176">
        <f>'Assumptions (MSW)'!$V$5*Model!N1806</f>
        <v>0.3924454971</v>
      </c>
      <c r="O1859" s="176">
        <f>'Assumptions (MSW)'!$V$5*Model!O1806</f>
        <v>0.3276697257</v>
      </c>
      <c r="P1859" s="176">
        <f>'Assumptions (MSW)'!$V$5*Model!P1806</f>
        <v>0.2755963215</v>
      </c>
      <c r="Q1859" s="176">
        <f>'Assumptions (MSW)'!$V$5*Model!Q1806</f>
        <v>0.2222534078</v>
      </c>
      <c r="R1859" s="176">
        <f>'Assumptions (MSW)'!$V$5*Model!R1806</f>
        <v>0.1218932504</v>
      </c>
      <c r="S1859" s="176">
        <f>'Assumptions (MSW)'!$V$5*Model!S1806</f>
        <v>0.04061349246</v>
      </c>
      <c r="T1859" s="176">
        <f>'Assumptions (MSW)'!$V$5*Model!T1806</f>
        <v>0.006812018433</v>
      </c>
      <c r="U1859" s="176">
        <f>'Assumptions (MSW)'!$V$5*Model!U1806</f>
        <v>0.005154625223</v>
      </c>
      <c r="V1859" s="176">
        <f>'Assumptions (MSW)'!$V$5*Model!V1806</f>
        <v>0</v>
      </c>
      <c r="W1859" s="176">
        <f>'Assumptions (MSW)'!$V$5*Model!W1806</f>
        <v>0</v>
      </c>
      <c r="X1859" s="176">
        <f>'Assumptions (MSW)'!$V$5*Model!X1806</f>
        <v>0</v>
      </c>
      <c r="Y1859" s="176">
        <f>'Assumptions (MSW)'!$V$5*Model!Y1806</f>
        <v>0</v>
      </c>
      <c r="Z1859" s="176">
        <f>'Assumptions (MSW)'!$V$5*Model!Z1806</f>
        <v>0</v>
      </c>
      <c r="AA1859" s="176">
        <f>'Assumptions (MSW)'!$V$5*Model!AA1806</f>
        <v>0</v>
      </c>
      <c r="AB1859" s="176">
        <f>'Assumptions (MSW)'!$V$5*Model!AB1806</f>
        <v>0</v>
      </c>
      <c r="AC1859" s="176">
        <f>'Assumptions (MSW)'!$V$5*Model!AC1806</f>
        <v>0</v>
      </c>
      <c r="AD1859" s="176">
        <f>'Assumptions (MSW)'!$V$5*Model!AD1806</f>
        <v>0</v>
      </c>
      <c r="AE1859" s="176">
        <f>'Assumptions (MSW)'!$V$5*Model!AE1806</f>
        <v>0</v>
      </c>
      <c r="AF1859" s="176">
        <f>'Assumptions (MSW)'!$V$5*Model!AF1806</f>
        <v>0</v>
      </c>
      <c r="AG1859" s="176">
        <f>'Assumptions (MSW)'!$V$5*Model!AG1806</f>
        <v>0</v>
      </c>
      <c r="AH1859" s="176">
        <f>'Assumptions (MSW)'!$V$5*Model!AH1806</f>
        <v>0</v>
      </c>
      <c r="AI1859" s="176">
        <f>'Assumptions (MSW)'!$V$5*Model!AI1806</f>
        <v>0</v>
      </c>
      <c r="AJ1859" s="176">
        <f>'Assumptions (MSW)'!$V$5*Model!AJ1806</f>
        <v>0</v>
      </c>
      <c r="AK1859" s="176">
        <f>'Assumptions (MSW)'!$V$5*Model!AK1806</f>
        <v>0</v>
      </c>
      <c r="AL1859" s="176">
        <f>'Assumptions (MSW)'!$V$5*Model!AL1806</f>
        <v>0</v>
      </c>
      <c r="AM1859" s="176">
        <f>'Assumptions (MSW)'!$V$5*Model!AM1806</f>
        <v>0</v>
      </c>
      <c r="AN1859" s="176">
        <f>'Assumptions (MSW)'!$V$5*Model!AN1806</f>
        <v>0</v>
      </c>
      <c r="AO1859" s="176">
        <f>'Assumptions (MSW)'!$V$5*Model!AO1806</f>
        <v>0</v>
      </c>
      <c r="AP1859" s="176">
        <f>'Assumptions (MSW)'!$V$5*Model!AP1806</f>
        <v>0</v>
      </c>
      <c r="AQ1859" s="176">
        <f>'Assumptions (MSW)'!$V$5*Model!AQ1806</f>
        <v>0</v>
      </c>
      <c r="AR1859" s="176">
        <f>'Assumptions (MSW)'!$V$5*Model!AR1806</f>
        <v>0</v>
      </c>
      <c r="AS1859" s="176">
        <f>'Assumptions (MSW)'!$V$5*Model!AS1806</f>
        <v>0</v>
      </c>
      <c r="AT1859" s="176">
        <f>'Assumptions (MSW)'!$V$5*Model!AT1806</f>
        <v>0</v>
      </c>
      <c r="AU1859" s="176">
        <f>'Assumptions (MSW)'!$V$5*Model!AU1806</f>
        <v>0</v>
      </c>
      <c r="AV1859" s="176">
        <f>'Assumptions (MSW)'!$V$5*Model!AV1806</f>
        <v>0</v>
      </c>
      <c r="AW1859" s="176">
        <f>'Assumptions (MSW)'!$V$5*Model!AW1806</f>
        <v>0</v>
      </c>
      <c r="AX1859" s="176">
        <f>'Assumptions (MSW)'!$V$5*Model!AX1806</f>
        <v>0</v>
      </c>
      <c r="AY1859" s="176">
        <f>'Assumptions (MSW)'!$V$5*Model!AY1806</f>
        <v>0</v>
      </c>
      <c r="AZ1859" s="176">
        <f>'Assumptions (MSW)'!$V$5*Model!AZ1806</f>
        <v>0</v>
      </c>
      <c r="BA1859" s="176">
        <f>'Assumptions (MSW)'!$V$5*Model!BA1806</f>
        <v>0</v>
      </c>
    </row>
    <row r="1860" ht="15.75" customHeight="1">
      <c r="A1860" s="310" t="s">
        <v>359</v>
      </c>
      <c r="B1860" s="150" t="s">
        <v>351</v>
      </c>
      <c r="C1860" s="177">
        <f t="array" ref="C1860">SUM(IF(ISERROR(C1861:C1911),"",C1861:C1911))</f>
        <v>-0.004108949626</v>
      </c>
      <c r="D1860" s="177">
        <f t="array" ref="D1860">SUM(IF(ISERROR(D1861:D1911),"",D1861:D1911))</f>
        <v>-0.01952060079</v>
      </c>
      <c r="E1860" s="177">
        <f t="array" ref="E1860">SUM(IF(ISERROR(E1861:E1911),"",E1861:E1911))</f>
        <v>-0.02458078197</v>
      </c>
      <c r="F1860" s="177">
        <f t="array" ref="F1860">SUM(IF(ISERROR(F1861:F1911),"",F1861:F1911))</f>
        <v>-0.03977026883</v>
      </c>
      <c r="G1860" s="177">
        <f t="array" ref="G1860">SUM(IF(ISERROR(G1861:G1911),"",G1861:G1911))</f>
        <v>-0.04880109572</v>
      </c>
      <c r="H1860" s="177">
        <f t="array" ref="H1860">SUM(IF(ISERROR(H1861:H1911),"",H1861:H1911))</f>
        <v>-0.05895235411</v>
      </c>
      <c r="I1860" s="177">
        <f t="array" ref="I1860">SUM(IF(ISERROR(I1861:I1911),"",I1861:I1911))</f>
        <v>-0.0841110637</v>
      </c>
      <c r="J1860" s="177">
        <f t="array" ref="J1860">SUM(IF(ISERROR(J1861:J1911),"",J1861:J1911))</f>
        <v>-0.1121262832</v>
      </c>
      <c r="K1860" s="177">
        <f t="array" ref="K1860">SUM(IF(ISERROR(K1861:K1911),"",K1861:K1911))</f>
        <v>-0.1421756969</v>
      </c>
      <c r="L1860" s="177">
        <f t="array" ref="L1860">SUM(IF(ISERROR(L1861:L1911),"",L1861:L1911))</f>
        <v>-0.1742401869</v>
      </c>
      <c r="M1860" s="177">
        <f t="array" ref="M1860">SUM(IF(ISERROR(M1861:M1911),"",M1861:M1911))</f>
        <v>-0.2104238404</v>
      </c>
      <c r="N1860" s="177">
        <f t="array" ref="N1860">SUM(IF(ISERROR(N1861:N1911),"",N1861:N1911))</f>
        <v>-0.2490409761</v>
      </c>
      <c r="O1860" s="177">
        <f t="array" ref="O1860">SUM(IF(ISERROR(O1861:O1911),"",O1861:O1911))</f>
        <v>-0.2962052586</v>
      </c>
      <c r="P1860" s="177">
        <f t="array" ref="P1860">SUM(IF(ISERROR(P1861:P1911),"",P1861:P1911))</f>
        <v>-0.3393210153</v>
      </c>
      <c r="Q1860" s="177">
        <f t="array" ref="Q1860">SUM(IF(ISERROR(Q1861:Q1911),"",Q1861:Q1911))</f>
        <v>-0.3741229521</v>
      </c>
      <c r="R1860" s="177">
        <f t="array" ref="R1860">SUM(IF(ISERROR(R1861:R1911),"",R1861:R1911))</f>
        <v>-0.4054051309</v>
      </c>
      <c r="S1860" s="177">
        <f t="array" ref="S1860">SUM(IF(ISERROR(S1861:S1911),"",S1861:S1911))</f>
        <v>-0.4122534486</v>
      </c>
      <c r="T1860" s="177">
        <f t="array" ref="T1860">SUM(IF(ISERROR(T1861:T1911),"",T1861:T1911))</f>
        <v>-0.430616316</v>
      </c>
      <c r="U1860" s="177">
        <f t="array" ref="U1860">SUM(IF(ISERROR(U1861:U1911),"",U1861:U1911))</f>
        <v>-0.4233102994</v>
      </c>
      <c r="V1860" s="177">
        <f t="array" ref="V1860">SUM(IF(ISERROR(V1861:V1911),"",V1861:V1911))</f>
        <v>-0.4301659905</v>
      </c>
      <c r="W1860" s="177">
        <f t="array" ref="W1860">SUM(IF(ISERROR(W1861:W1911),"",W1861:W1911))</f>
        <v>-0.4348862031</v>
      </c>
      <c r="X1860" s="177">
        <f t="array" ref="X1860">SUM(IF(ISERROR(X1861:X1911),"",X1861:X1911))</f>
        <v>-0.4106943137</v>
      </c>
      <c r="Y1860" s="177">
        <f t="array" ref="Y1860">SUM(IF(ISERROR(Y1861:Y1911),"",Y1861:Y1911))</f>
        <v>-0.3820205554</v>
      </c>
      <c r="Z1860" s="177">
        <f t="array" ref="Z1860">SUM(IF(ISERROR(Z1861:Z1911),"",Z1861:Z1911))</f>
        <v>-0.3505736964</v>
      </c>
      <c r="AA1860" s="177">
        <f t="array" ref="AA1860">SUM(IF(ISERROR(AA1861:AA1911),"",AA1861:AA1911))</f>
        <v>-0.3164541827</v>
      </c>
      <c r="AB1860" s="177">
        <f t="array" ref="AB1860">SUM(IF(ISERROR(AB1861:AB1911),"",AB1861:AB1911))</f>
        <v>-0.2755064601</v>
      </c>
      <c r="AC1860" s="177">
        <f t="array" ref="AC1860">SUM(IF(ISERROR(AC1861:AC1911),"",AC1861:AC1911))</f>
        <v>-0.2311799825</v>
      </c>
      <c r="AD1860" s="177">
        <f t="array" ref="AD1860">SUM(IF(ISERROR(AD1861:AD1911),"",AD1861:AD1911))</f>
        <v>-0.1712826887</v>
      </c>
      <c r="AE1860" s="177">
        <f t="array" ref="AE1860">SUM(IF(ISERROR(AE1861:AE1911),"",AE1861:AE1911))</f>
        <v>-0.1211550706</v>
      </c>
      <c r="AF1860" s="177">
        <f t="array" ref="AF1860">SUM(IF(ISERROR(AF1861:AF1911),"",AF1861:AF1911))</f>
        <v>-0.08943121926</v>
      </c>
      <c r="AG1860" s="177">
        <f t="array" ref="AG1860">SUM(IF(ISERROR(AG1861:AG1911),"",AG1861:AG1911))</f>
        <v>-0.05004372961</v>
      </c>
      <c r="AH1860" s="177">
        <f t="array" ref="AH1860">SUM(IF(ISERROR(AH1861:AH1911),"",AH1861:AH1911))</f>
        <v>-0.01608505712</v>
      </c>
      <c r="AI1860" s="177">
        <f t="array" ref="AI1860">SUM(IF(ISERROR(AI1861:AI1911),"",AI1861:AI1911))</f>
        <v>-0.002665056226</v>
      </c>
      <c r="AJ1860" s="177">
        <f t="array" ref="AJ1860">SUM(IF(ISERROR(AJ1861:AJ1911),"",AJ1861:AJ1911))</f>
        <v>-0.002056854179</v>
      </c>
      <c r="AK1860" s="177">
        <f t="array" ref="AK1860">SUM(IF(ISERROR(AK1861:AK1911),"",AK1861:AK1911))</f>
        <v>0</v>
      </c>
      <c r="AL1860" s="177">
        <f t="array" ref="AL1860">SUM(IF(ISERROR(AL1861:AL1911),"",AL1861:AL1911))</f>
        <v>0</v>
      </c>
      <c r="AM1860" s="177">
        <f t="array" ref="AM1860">SUM(IF(ISERROR(AM1861:AM1911),"",AM1861:AM1911))</f>
        <v>0</v>
      </c>
      <c r="AN1860" s="177">
        <f t="array" ref="AN1860">SUM(IF(ISERROR(AN1861:AN1911),"",AN1861:AN1911))</f>
        <v>0</v>
      </c>
      <c r="AO1860" s="177">
        <f t="array" ref="AO1860">SUM(IF(ISERROR(AO1861:AO1911),"",AO1861:AO1911))</f>
        <v>0</v>
      </c>
      <c r="AP1860" s="177">
        <f t="array" ref="AP1860">SUM(IF(ISERROR(AP1861:AP1911),"",AP1861:AP1911))</f>
        <v>0</v>
      </c>
      <c r="AQ1860" s="177">
        <f t="array" ref="AQ1860">SUM(IF(ISERROR(AQ1861:AQ1911),"",AQ1861:AQ1911))</f>
        <v>0</v>
      </c>
      <c r="AR1860" s="177">
        <f t="array" ref="AR1860">SUM(IF(ISERROR(AR1861:AR1911),"",AR1861:AR1911))</f>
        <v>0</v>
      </c>
      <c r="AS1860" s="177">
        <f t="array" ref="AS1860">SUM(IF(ISERROR(AS1861:AS1911),"",AS1861:AS1911))</f>
        <v>0</v>
      </c>
      <c r="AT1860" s="177">
        <f t="array" ref="AT1860">SUM(IF(ISERROR(AT1861:AT1911),"",AT1861:AT1911))</f>
        <v>0</v>
      </c>
      <c r="AU1860" s="177">
        <f t="array" ref="AU1860">SUM(IF(ISERROR(AU1861:AU1911),"",AU1861:AU1911))</f>
        <v>0</v>
      </c>
      <c r="AV1860" s="177">
        <f t="array" ref="AV1860">SUM(IF(ISERROR(AV1861:AV1911),"",AV1861:AV1911))</f>
        <v>0</v>
      </c>
      <c r="AW1860" s="177">
        <f t="array" ref="AW1860">SUM(IF(ISERROR(AW1861:AW1911),"",AW1861:AW1911))</f>
        <v>0</v>
      </c>
      <c r="AX1860" s="177">
        <f t="array" ref="AX1860">SUM(IF(ISERROR(AX1861:AX1911),"",AX1861:AX1911))</f>
        <v>0</v>
      </c>
      <c r="AY1860" s="177">
        <f t="array" ref="AY1860">SUM(IF(ISERROR(AY1861:AY1911),"",AY1861:AY1911))</f>
        <v>0</v>
      </c>
      <c r="AZ1860" s="177">
        <f t="array" ref="AZ1860">SUM(IF(ISERROR(AZ1861:AZ1911),"",AZ1861:AZ1911))</f>
        <v>0</v>
      </c>
      <c r="BA1860" s="177">
        <f t="array" ref="BA1860">SUM(IF(ISERROR(BA1861:BA1911),"",BA1861:BA1911))</f>
        <v>0</v>
      </c>
      <c r="BB1860" s="177">
        <f t="array" ref="BB1860">SUM(IF(ISERROR(BB1861:BB1911),"",BB1861:BB1911))</f>
        <v>0</v>
      </c>
      <c r="BC1860" s="177">
        <f t="array" ref="BC1860">SUM(IF(ISERROR(BC1861:BC1911),"",BC1861:BC1911))</f>
        <v>0</v>
      </c>
      <c r="BD1860" s="177">
        <f t="array" ref="BD1860">SUM(IF(ISERROR(BD1861:BD1911),"",BD1861:BD1911))</f>
        <v>0</v>
      </c>
      <c r="BE1860" s="177">
        <f t="array" ref="BE1860">SUM(IF(ISERROR(BE1861:BE1911),"",BE1861:BE1911))</f>
        <v>0</v>
      </c>
      <c r="BF1860" s="177">
        <f t="array" ref="BF1860">SUM(IF(ISERROR(BF1861:BF1911),"",BF1861:BF1911))</f>
        <v>0</v>
      </c>
      <c r="BG1860" s="177">
        <f t="array" ref="BG1860">SUM(IF(ISERROR(BG1861:BG1911),"",BG1861:BG1911))</f>
        <v>0</v>
      </c>
      <c r="BH1860" s="177">
        <f t="array" ref="BH1860">SUM(IF(ISERROR(BH1861:BH1911),"",BH1861:BH1911))</f>
        <v>0</v>
      </c>
      <c r="BI1860" s="177">
        <f t="array" ref="BI1860">SUM(IF(ISERROR(BI1861:BI1911),"",BI1861:BI1911))</f>
        <v>0</v>
      </c>
      <c r="BJ1860" s="177">
        <f t="array" ref="BJ1860">SUM(IF(ISERROR(BJ1861:BJ1911),"",BJ1861:BJ1911))</f>
        <v>0</v>
      </c>
      <c r="BK1860" s="177">
        <f t="array" ref="BK1860">SUM(IF(ISERROR(BK1861:BK1911),"",BK1861:BK1911))</f>
        <v>0</v>
      </c>
      <c r="BL1860" s="177">
        <f t="array" ref="BL1860">SUM(IF(ISERROR(BL1861:BL1911),"",BL1861:BL1911))</f>
        <v>0</v>
      </c>
      <c r="BM1860" s="177">
        <f t="array" ref="BM1860">SUM(IF(ISERROR(BM1861:BM1911),"",BM1861:BM1911))</f>
        <v>0</v>
      </c>
      <c r="BN1860" s="177">
        <f t="array" ref="BN1860">SUM(IF(ISERROR(BN1861:BN1911),"",BN1861:BN1911))</f>
        <v>0</v>
      </c>
      <c r="BO1860" s="177">
        <f t="array" ref="BO1860">SUM(IF(ISERROR(BO1861:BO1911),"",BO1861:BO1911))</f>
        <v>0</v>
      </c>
    </row>
    <row r="1861" ht="15.75" hidden="1" customHeight="1" outlineLevel="1">
      <c r="A1861" s="309"/>
      <c r="B1861" s="38"/>
      <c r="C1861" s="177">
        <f>IF($C$1804&gt;0,PPMT('Assumptions (MSW)'!$V$6,Model!W$1,'Assumptions (MSW)'!$V$9,'Assumptions (MSW)'!$V$4*Model!$C$1804*'Assumptions (MSW)'!$B$2/10^9),0)</f>
        <v>-0.004108949626</v>
      </c>
      <c r="D1861" s="177">
        <f>IF($C$1804&gt;0,PPMT('Assumptions (MSW)'!$V$6,Model!X$1,'Assumptions (MSW)'!$V$9,'Assumptions (MSW)'!$V$4*Model!$C$1804*'Assumptions (MSW)'!$B$2/10^9),0)</f>
        <v>-0.004304124733</v>
      </c>
      <c r="E1861" s="177">
        <f>IF($C$1804&gt;0,PPMT('Assumptions (MSW)'!$V$6,Model!Y$1,'Assumptions (MSW)'!$V$9,'Assumptions (MSW)'!$V$4*Model!$C$1804*'Assumptions (MSW)'!$B$2/10^9),0)</f>
        <v>-0.004508570658</v>
      </c>
      <c r="F1861" s="177">
        <f>IF($C$1804&gt;0,PPMT('Assumptions (MSW)'!$V$6,Model!Z$1,'Assumptions (MSW)'!$V$9,'Assumptions (MSW)'!$V$4*Model!$C$1804*'Assumptions (MSW)'!$B$2/10^9),0)</f>
        <v>-0.004722727764</v>
      </c>
      <c r="G1861" s="177">
        <f>IF($C$1804&gt;0,PPMT('Assumptions (MSW)'!$V$6,Model!AA$1,'Assumptions (MSW)'!$V$9,'Assumptions (MSW)'!$V$4*Model!$C$1804*'Assumptions (MSW)'!$B$2/10^9),0)</f>
        <v>-0.004947057333</v>
      </c>
      <c r="H1861" s="177">
        <f>IF($C$1804&gt;0,PPMT('Assumptions (MSW)'!$V$6,Model!AB$1,'Assumptions (MSW)'!$V$9,'Assumptions (MSW)'!$V$4*Model!$C$1804*'Assumptions (MSW)'!$B$2/10^9),0)</f>
        <v>-0.005182042556</v>
      </c>
      <c r="I1861" s="177">
        <f>IF($C$1804&gt;0,PPMT('Assumptions (MSW)'!$V$6,Model!AC$1,'Assumptions (MSW)'!$V$9,'Assumptions (MSW)'!$V$4*Model!$C$1804*'Assumptions (MSW)'!$B$2/10^9),0)</f>
        <v>-0.005428189578</v>
      </c>
      <c r="J1861" s="177">
        <f>IF($C$1804&gt;0,PPMT('Assumptions (MSW)'!$V$6,Model!AD$1,'Assumptions (MSW)'!$V$9,'Assumptions (MSW)'!$V$4*Model!$C$1804*'Assumptions (MSW)'!$B$2/10^9),0)</f>
        <v>-0.005686028583</v>
      </c>
      <c r="K1861" s="177">
        <f>IF($C$1804&gt;0,PPMT('Assumptions (MSW)'!$V$6,Model!AE$1,'Assumptions (MSW)'!$V$9,'Assumptions (MSW)'!$V$4*Model!$C$1804*'Assumptions (MSW)'!$B$2/10^9),0)</f>
        <v>-0.00595611494</v>
      </c>
      <c r="L1861" s="177">
        <f>IF($C$1804&gt;0,PPMT('Assumptions (MSW)'!$V$6,Model!AF$1,'Assumptions (MSW)'!$V$9,'Assumptions (MSW)'!$V$4*Model!$C$1804*'Assumptions (MSW)'!$B$2/10^9),0)</f>
        <v>-0.0062390304</v>
      </c>
      <c r="M1861" s="177">
        <f>IF($C$1804&gt;0,PPMT('Assumptions (MSW)'!$V$6,Model!AG$1,'Assumptions (MSW)'!$V$9,'Assumptions (MSW)'!$V$4*Model!$C$1804*'Assumptions (MSW)'!$B$2/10^9),0)</f>
        <v>-0.006535384344</v>
      </c>
      <c r="N1861" s="177">
        <f>IF($C$1804&gt;0,PPMT('Assumptions (MSW)'!$V$6,Model!AH$1,'Assumptions (MSW)'!$V$9,'Assumptions (MSW)'!$V$4*Model!$C$1804*'Assumptions (MSW)'!$B$2/10^9),0)</f>
        <v>-0.0068458151</v>
      </c>
      <c r="O1861" s="177">
        <f>IF($C$1804&gt;0,PPMT('Assumptions (MSW)'!$V$6,Model!AI$1,'Assumptions (MSW)'!$V$9,'Assumptions (MSW)'!$V$4*Model!$C$1804*'Assumptions (MSW)'!$B$2/10^9),0)</f>
        <v>-0.007170991318</v>
      </c>
      <c r="P1861" s="177">
        <f>IF($C$1804&gt;0,PPMT('Assumptions (MSW)'!$V$6,Model!AJ$1,'Assumptions (MSW)'!$V$9,'Assumptions (MSW)'!$V$4*Model!$C$1804*'Assumptions (MSW)'!$B$2/10^9),0)</f>
        <v>-0.007511613405</v>
      </c>
      <c r="Q1861" s="177">
        <f>IF($C$1804&gt;0,PPMT('Assumptions (MSW)'!$V$6,Model!AK$1,'Assumptions (MSW)'!$V$9,'Assumptions (MSW)'!$V$4*Model!$C$1804*'Assumptions (MSW)'!$B$2/10^9),0)</f>
        <v>-0.007868415042</v>
      </c>
      <c r="R1861" s="177"/>
      <c r="S1861" s="177"/>
      <c r="T1861" s="177"/>
      <c r="U1861" s="177"/>
      <c r="V1861" s="177"/>
      <c r="W1861" s="177"/>
      <c r="X1861" s="177"/>
      <c r="Y1861" s="177"/>
      <c r="Z1861" s="177"/>
      <c r="AA1861" s="177"/>
      <c r="AB1861" s="160"/>
      <c r="AC1861" s="160"/>
      <c r="AD1861" s="160"/>
      <c r="AE1861" s="160"/>
      <c r="AF1861" s="160"/>
      <c r="AG1861" s="160"/>
    </row>
    <row r="1862" ht="15.75" hidden="1" customHeight="1" outlineLevel="1">
      <c r="A1862" s="309"/>
      <c r="B1862" s="38"/>
      <c r="C1862" s="160"/>
      <c r="D1862" s="177">
        <f>IF($D$1804&gt;0,PPMT('Assumptions (MSW)'!$V$6,Model!W$1,'Assumptions (MSW)'!$V$9,'Assumptions (MSW)'!$V$4*Model!$D$1804*'Assumptions (MSW)'!$B$2/10^9),0)</f>
        <v>-0.01521647605</v>
      </c>
      <c r="E1862" s="177">
        <f>IF($D$1804&gt;0,PPMT('Assumptions (MSW)'!$V$6,Model!X$1,'Assumptions (MSW)'!$V$9,'Assumptions (MSW)'!$V$4*Model!$D$1804*'Assumptions (MSW)'!$B$2/10^9),0)</f>
        <v>-0.01593925867</v>
      </c>
      <c r="F1862" s="177">
        <f>IF($D$1804&gt;0,PPMT('Assumptions (MSW)'!$V$6,Model!Y$1,'Assumptions (MSW)'!$V$9,'Assumptions (MSW)'!$V$4*Model!$D$1804*'Assumptions (MSW)'!$B$2/10^9),0)</f>
        <v>-0.01669637345</v>
      </c>
      <c r="G1862" s="177">
        <f>IF($D$1804&gt;0,PPMT('Assumptions (MSW)'!$V$6,Model!Z$1,'Assumptions (MSW)'!$V$9,'Assumptions (MSW)'!$V$4*Model!$D$1804*'Assumptions (MSW)'!$B$2/10^9),0)</f>
        <v>-0.01748945119</v>
      </c>
      <c r="H1862" s="177">
        <f>IF($D$1804&gt;0,PPMT('Assumptions (MSW)'!$V$6,Model!AA$1,'Assumptions (MSW)'!$V$9,'Assumptions (MSW)'!$V$4*Model!$D$1804*'Assumptions (MSW)'!$B$2/10^9),0)</f>
        <v>-0.01832020012</v>
      </c>
      <c r="I1862" s="177">
        <f>IF($D$1804&gt;0,PPMT('Assumptions (MSW)'!$V$6,Model!AB$1,'Assumptions (MSW)'!$V$9,'Assumptions (MSW)'!$V$4*Model!$D$1804*'Assumptions (MSW)'!$B$2/10^9),0)</f>
        <v>-0.01919040963</v>
      </c>
      <c r="J1862" s="177">
        <f>IF($D$1804&gt;0,PPMT('Assumptions (MSW)'!$V$6,Model!AC$1,'Assumptions (MSW)'!$V$9,'Assumptions (MSW)'!$V$4*Model!$D$1804*'Assumptions (MSW)'!$B$2/10^9),0)</f>
        <v>-0.02010195409</v>
      </c>
      <c r="K1862" s="177">
        <f>IF($D$1804&gt;0,PPMT('Assumptions (MSW)'!$V$6,Model!AD$1,'Assumptions (MSW)'!$V$9,'Assumptions (MSW)'!$V$4*Model!$D$1804*'Assumptions (MSW)'!$B$2/10^9),0)</f>
        <v>-0.02105679691</v>
      </c>
      <c r="L1862" s="177">
        <f>IF($D$1804&gt;0,PPMT('Assumptions (MSW)'!$V$6,Model!AE$1,'Assumptions (MSW)'!$V$9,'Assumptions (MSW)'!$V$4*Model!$D$1804*'Assumptions (MSW)'!$B$2/10^9),0)</f>
        <v>-0.02205699476</v>
      </c>
      <c r="M1862" s="177">
        <f>IF($D$1804&gt;0,PPMT('Assumptions (MSW)'!$V$6,Model!AF$1,'Assumptions (MSW)'!$V$9,'Assumptions (MSW)'!$V$4*Model!$D$1804*'Assumptions (MSW)'!$B$2/10^9),0)</f>
        <v>-0.02310470201</v>
      </c>
      <c r="N1862" s="177">
        <f>IF($D$1804&gt;0,PPMT('Assumptions (MSW)'!$V$6,Model!AG$1,'Assumptions (MSW)'!$V$9,'Assumptions (MSW)'!$V$4*Model!$D$1804*'Assumptions (MSW)'!$B$2/10^9),0)</f>
        <v>-0.02420217536</v>
      </c>
      <c r="O1862" s="177">
        <f>IF($D$1804&gt;0,PPMT('Assumptions (MSW)'!$V$6,Model!AH$1,'Assumptions (MSW)'!$V$9,'Assumptions (MSW)'!$V$4*Model!$D$1804*'Assumptions (MSW)'!$B$2/10^9),0)</f>
        <v>-0.02535177869</v>
      </c>
      <c r="P1862" s="177">
        <f>IF($D$1804&gt;0,PPMT('Assumptions (MSW)'!$V$6,Model!AI$1,'Assumptions (MSW)'!$V$9,'Assumptions (MSW)'!$V$4*Model!$D$1804*'Assumptions (MSW)'!$B$2/10^9),0)</f>
        <v>-0.02655598817</v>
      </c>
      <c r="Q1862" s="177">
        <f>IF($D$1804&gt;0,PPMT('Assumptions (MSW)'!$V$6,Model!AJ$1,'Assumptions (MSW)'!$V$9,'Assumptions (MSW)'!$V$4*Model!$D$1804*'Assumptions (MSW)'!$B$2/10^9),0)</f>
        <v>-0.02781739761</v>
      </c>
      <c r="R1862" s="177">
        <f>IF($D$1804&gt;0,PPMT('Assumptions (MSW)'!$V$6,Model!AK$1,'Assumptions (MSW)'!$V$9,'Assumptions (MSW)'!$V$4*Model!$D$1804*'Assumptions (MSW)'!$B$2/10^9),0)</f>
        <v>-0.029138724</v>
      </c>
      <c r="S1862" s="177"/>
      <c r="T1862" s="177"/>
      <c r="U1862" s="177"/>
      <c r="V1862" s="177"/>
      <c r="W1862" s="177"/>
      <c r="X1862" s="177"/>
      <c r="Y1862" s="177"/>
      <c r="Z1862" s="177"/>
      <c r="AA1862" s="177"/>
      <c r="AB1862" s="177"/>
      <c r="AC1862" s="160"/>
      <c r="AD1862" s="160"/>
      <c r="AE1862" s="160"/>
      <c r="AF1862" s="160"/>
      <c r="AG1862" s="160"/>
    </row>
    <row r="1863" ht="15.75" hidden="1" customHeight="1" outlineLevel="1">
      <c r="A1863" s="309"/>
      <c r="B1863" s="38"/>
      <c r="C1863" s="160"/>
      <c r="D1863" s="160"/>
      <c r="E1863" s="160">
        <f>IF($E$1804&gt;0,PPMT('Assumptions (MSW)'!$V$6,Model!W$1,'Assumptions (MSW)'!$V$9,'Assumptions (MSW)'!$V$4*Model!$E$1804*AVERAGE('Assumptions (MSW)'!$B$2:$C$2)/10^9),0)</f>
        <v>-0.004132952641</v>
      </c>
      <c r="F1863" s="160">
        <f>IF($E$1804&gt;0,PPMT('Assumptions (MSW)'!$V$6,Model!X$1,'Assumptions (MSW)'!$V$9,'Assumptions (MSW)'!$V$4*Model!$E$1804*AVERAGE('Assumptions (MSW)'!$B$2:$C$2)/10^9),0)</f>
        <v>-0.004329267892</v>
      </c>
      <c r="G1863" s="160">
        <f>IF($E$1804&gt;0,PPMT('Assumptions (MSW)'!$V$6,Model!Y$1,'Assumptions (MSW)'!$V$9,'Assumptions (MSW)'!$V$4*Model!$E$1804*AVERAGE('Assumptions (MSW)'!$B$2:$C$2)/10^9),0)</f>
        <v>-0.004534908116</v>
      </c>
      <c r="H1863" s="160">
        <f>IF($E$1804&gt;0,PPMT('Assumptions (MSW)'!$V$6,Model!Z$1,'Assumptions (MSW)'!$V$9,'Assumptions (MSW)'!$V$4*Model!$E$1804*AVERAGE('Assumptions (MSW)'!$B$2:$C$2)/10^9),0)</f>
        <v>-0.004750316252</v>
      </c>
      <c r="I1863" s="160">
        <f>IF($E$1804&gt;0,PPMT('Assumptions (MSW)'!$V$6,Model!AA$1,'Assumptions (MSW)'!$V$9,'Assumptions (MSW)'!$V$4*Model!$E$1804*AVERAGE('Assumptions (MSW)'!$B$2:$C$2)/10^9),0)</f>
        <v>-0.004975956274</v>
      </c>
      <c r="J1863" s="160">
        <f>IF($E$1804&gt;0,PPMT('Assumptions (MSW)'!$V$6,Model!AB$1,'Assumptions (MSW)'!$V$9,'Assumptions (MSW)'!$V$4*Model!$E$1804*AVERAGE('Assumptions (MSW)'!$B$2:$C$2)/10^9),0)</f>
        <v>-0.005212314197</v>
      </c>
      <c r="K1863" s="160">
        <f>IF($E$1804&gt;0,PPMT('Assumptions (MSW)'!$V$6,Model!AC$1,'Assumptions (MSW)'!$V$9,'Assumptions (MSW)'!$V$4*Model!$E$1804*AVERAGE('Assumptions (MSW)'!$B$2:$C$2)/10^9),0)</f>
        <v>-0.005459899121</v>
      </c>
      <c r="L1863" s="160">
        <f>IF($E$1804&gt;0,PPMT('Assumptions (MSW)'!$V$6,Model!AD$1,'Assumptions (MSW)'!$V$9,'Assumptions (MSW)'!$V$4*Model!$E$1804*AVERAGE('Assumptions (MSW)'!$B$2:$C$2)/10^9),0)</f>
        <v>-0.00571924433</v>
      </c>
      <c r="M1863" s="160">
        <f>IF($E$1804&gt;0,PPMT('Assumptions (MSW)'!$V$6,Model!AE$1,'Assumptions (MSW)'!$V$9,'Assumptions (MSW)'!$V$4*Model!$E$1804*AVERAGE('Assumptions (MSW)'!$B$2:$C$2)/10^9),0)</f>
        <v>-0.005990908435</v>
      </c>
      <c r="N1863" s="177">
        <f>IF($E$1804&gt;0,PPMT('Assumptions (MSW)'!$V$6,Model!AF$1,'Assumptions (MSW)'!$V$9,'Assumptions (MSW)'!$V$4*Model!$E$1804*AVERAGE('Assumptions (MSW)'!$B$2:$C$2)/10^9),0)</f>
        <v>-0.006275476586</v>
      </c>
      <c r="O1863" s="160">
        <f>IF($E$1804&gt;0,PPMT('Assumptions (MSW)'!$V$6,Model!AG$1,'Assumptions (MSW)'!$V$9,'Assumptions (MSW)'!$V$4*Model!$E$1804*AVERAGE('Assumptions (MSW)'!$B$2:$C$2)/10^9),0)</f>
        <v>-0.006573561724</v>
      </c>
      <c r="P1863" s="160">
        <f>IF($E$1804&gt;0,PPMT('Assumptions (MSW)'!$V$6,Model!AH$1,'Assumptions (MSW)'!$V$9,'Assumptions (MSW)'!$V$4*Model!$E$1804*AVERAGE('Assumptions (MSW)'!$B$2:$C$2)/10^9),0)</f>
        <v>-0.006885805906</v>
      </c>
      <c r="Q1863" s="160">
        <f>IF($E$1804&gt;0,PPMT('Assumptions (MSW)'!$V$6,Model!AI$1,'Assumptions (MSW)'!$V$9,'Assumptions (MSW)'!$V$4*Model!$E$1804*AVERAGE('Assumptions (MSW)'!$B$2:$C$2)/10^9),0)</f>
        <v>-0.007212881686</v>
      </c>
      <c r="R1863" s="160">
        <f>IF($E$1804&gt;0,PPMT('Assumptions (MSW)'!$V$6,Model!AJ$1,'Assumptions (MSW)'!$V$9,'Assumptions (MSW)'!$V$4*Model!$E$1804*AVERAGE('Assumptions (MSW)'!$B$2:$C$2)/10^9),0)</f>
        <v>-0.007555493566</v>
      </c>
      <c r="S1863" s="160">
        <f>IF($E$1804&gt;0,PPMT('Assumptions (MSW)'!$V$6,Model!AK$1,'Assumptions (MSW)'!$V$9,'Assumptions (MSW)'!$V$4*Model!$E$1804*AVERAGE('Assumptions (MSW)'!$B$2:$C$2)/10^9),0)</f>
        <v>-0.007914379511</v>
      </c>
      <c r="T1863" s="160"/>
      <c r="U1863" s="160"/>
      <c r="V1863" s="160"/>
      <c r="W1863" s="160"/>
      <c r="X1863" s="160"/>
      <c r="Y1863" s="160"/>
      <c r="Z1863" s="160"/>
      <c r="AA1863" s="160"/>
      <c r="AB1863" s="160"/>
      <c r="AC1863" s="160"/>
      <c r="AD1863" s="160"/>
      <c r="AE1863" s="160"/>
      <c r="AF1863" s="160"/>
      <c r="AG1863" s="160"/>
    </row>
    <row r="1864" ht="15.75" hidden="1" customHeight="1" outlineLevel="1">
      <c r="A1864" s="309"/>
      <c r="B1864" s="38"/>
      <c r="C1864" s="160"/>
      <c r="D1864" s="160"/>
      <c r="E1864" s="160"/>
      <c r="F1864" s="160">
        <f>IF($F$1804&gt;0,PPMT('Assumptions (MSW)'!$V$6,Model!W$1,'Assumptions (MSW)'!$V$9,'Assumptions (MSW)'!$V$4*Model!$F$1804*AVERAGE('Assumptions (MSW)'!$B$2:$D$2)/10^9),0)</f>
        <v>-0.01402189972</v>
      </c>
      <c r="G1864" s="160">
        <f>IF($F$1804&gt;0,PPMT('Assumptions (MSW)'!$V$6,Model!X$1,'Assumptions (MSW)'!$V$9,'Assumptions (MSW)'!$V$4*Model!$F$1804*AVERAGE('Assumptions (MSW)'!$B$2:$D$2)/10^9),0)</f>
        <v>-0.01468793996</v>
      </c>
      <c r="H1864" s="160">
        <f>IF($F$1804&gt;0,PPMT('Assumptions (MSW)'!$V$6,Model!Y$1,'Assumptions (MSW)'!$V$9,'Assumptions (MSW)'!$V$4*Model!$F$1804*AVERAGE('Assumptions (MSW)'!$B$2:$D$2)/10^9),0)</f>
        <v>-0.01538561711</v>
      </c>
      <c r="I1864" s="160">
        <f>IF($F$1804&gt;0,PPMT('Assumptions (MSW)'!$V$6,Model!Z$1,'Assumptions (MSW)'!$V$9,'Assumptions (MSW)'!$V$4*Model!$F$1804*AVERAGE('Assumptions (MSW)'!$B$2:$D$2)/10^9),0)</f>
        <v>-0.01611643392</v>
      </c>
      <c r="J1864" s="160">
        <f>IF($F$1804&gt;0,PPMT('Assumptions (MSW)'!$V$6,Model!AA$1,'Assumptions (MSW)'!$V$9,'Assumptions (MSW)'!$V$4*Model!$F$1804*AVERAGE('Assumptions (MSW)'!$B$2:$D$2)/10^9),0)</f>
        <v>-0.01688196453</v>
      </c>
      <c r="K1864" s="160">
        <f>IF($F$1804&gt;0,PPMT('Assumptions (MSW)'!$V$6,Model!AB$1,'Assumptions (MSW)'!$V$9,'Assumptions (MSW)'!$V$4*Model!$F$1804*AVERAGE('Assumptions (MSW)'!$B$2:$D$2)/10^9),0)</f>
        <v>-0.01768385785</v>
      </c>
      <c r="L1864" s="160">
        <f>IF($F$1804&gt;0,PPMT('Assumptions (MSW)'!$V$6,Model!AC$1,'Assumptions (MSW)'!$V$9,'Assumptions (MSW)'!$V$4*Model!$F$1804*AVERAGE('Assumptions (MSW)'!$B$2:$D$2)/10^9),0)</f>
        <v>-0.01852384109</v>
      </c>
      <c r="M1864" s="160">
        <f>IF($F$1804&gt;0,PPMT('Assumptions (MSW)'!$V$6,Model!AD$1,'Assumptions (MSW)'!$V$9,'Assumptions (MSW)'!$V$4*Model!$F$1804*AVERAGE('Assumptions (MSW)'!$B$2:$D$2)/10^9),0)</f>
        <v>-0.01940372355</v>
      </c>
      <c r="N1864" s="177">
        <f>IF($F$1804&gt;0,PPMT('Assumptions (MSW)'!$V$6,Model!AE$1,'Assumptions (MSW)'!$V$9,'Assumptions (MSW)'!$V$4*Model!$F$1804*AVERAGE('Assumptions (MSW)'!$B$2:$D$2)/10^9),0)</f>
        <v>-0.02032540042</v>
      </c>
      <c r="O1864" s="160">
        <f>IF($F$1804&gt;0,PPMT('Assumptions (MSW)'!$V$6,Model!AF$1,'Assumptions (MSW)'!$V$9,'Assumptions (MSW)'!$V$4*Model!$F$1804*AVERAGE('Assumptions (MSW)'!$B$2:$D$2)/10^9),0)</f>
        <v>-0.02129085693</v>
      </c>
      <c r="P1864" s="160">
        <f>IF($F$1804&gt;0,PPMT('Assumptions (MSW)'!$V$6,Model!AG$1,'Assumptions (MSW)'!$V$9,'Assumptions (MSW)'!$V$4*Model!$F$1804*AVERAGE('Assumptions (MSW)'!$B$2:$D$2)/10^9),0)</f>
        <v>-0.02230217264</v>
      </c>
      <c r="Q1864" s="160">
        <f>IF($F$1804&gt;0,PPMT('Assumptions (MSW)'!$V$6,Model!AH$1,'Assumptions (MSW)'!$V$9,'Assumptions (MSW)'!$V$4*Model!$F$1804*AVERAGE('Assumptions (MSW)'!$B$2:$D$2)/10^9),0)</f>
        <v>-0.02336152584</v>
      </c>
      <c r="R1864" s="160">
        <f>IF($F$1804&gt;0,PPMT('Assumptions (MSW)'!$V$6,Model!AI$1,'Assumptions (MSW)'!$V$9,'Assumptions (MSW)'!$V$4*Model!$F$1804*AVERAGE('Assumptions (MSW)'!$B$2:$D$2)/10^9),0)</f>
        <v>-0.02447119832</v>
      </c>
      <c r="S1864" s="160">
        <f>IF($F$1804&gt;0,PPMT('Assumptions (MSW)'!$V$6,Model!AJ$1,'Assumptions (MSW)'!$V$9,'Assumptions (MSW)'!$V$4*Model!$F$1804*AVERAGE('Assumptions (MSW)'!$B$2:$D$2)/10^9),0)</f>
        <v>-0.02563358024</v>
      </c>
      <c r="T1864" s="160">
        <f>IF($F$1804&gt;0,PPMT('Assumptions (MSW)'!$V$6,Model!AK$1,'Assumptions (MSW)'!$V$9,'Assumptions (MSW)'!$V$4*Model!$F$1804*AVERAGE('Assumptions (MSW)'!$B$2:$D$2)/10^9),0)</f>
        <v>-0.0268511753</v>
      </c>
      <c r="U1864" s="160"/>
      <c r="V1864" s="160"/>
      <c r="W1864" s="160"/>
      <c r="X1864" s="160"/>
      <c r="Y1864" s="160"/>
      <c r="Z1864" s="160"/>
      <c r="AA1864" s="160"/>
      <c r="AB1864" s="160"/>
      <c r="AC1864" s="160"/>
      <c r="AD1864" s="160"/>
      <c r="AE1864" s="160"/>
      <c r="AF1864" s="160"/>
      <c r="AG1864" s="160"/>
    </row>
    <row r="1865" ht="15.75" hidden="1" customHeight="1" outlineLevel="1">
      <c r="A1865" s="309"/>
      <c r="B1865" s="38"/>
      <c r="C1865" s="160"/>
      <c r="D1865" s="160"/>
      <c r="E1865" s="160"/>
      <c r="F1865" s="160"/>
      <c r="G1865" s="160">
        <f>IF($G$1804&gt;0,PPMT('Assumptions (MSW)'!$V$6,Model!W$1,'Assumptions (MSW)'!$V$9,'Assumptions (MSW)'!$V$4*Model!$G$1804*AVERAGE('Assumptions (MSW)'!$C$2:$E$2)/10^9),0)</f>
        <v>-0.007141739115</v>
      </c>
      <c r="H1865" s="160">
        <f>IF($G$1804&gt;0,PPMT('Assumptions (MSW)'!$V$6,Model!X$1,'Assumptions (MSW)'!$V$9,'Assumptions (MSW)'!$V$4*Model!$G$1804*AVERAGE('Assumptions (MSW)'!$C$2:$E$2)/10^9),0)</f>
        <v>-0.007480971723</v>
      </c>
      <c r="I1865" s="160">
        <f>IF($G$1804&gt;0,PPMT('Assumptions (MSW)'!$V$6,Model!Y$1,'Assumptions (MSW)'!$V$9,'Assumptions (MSW)'!$V$4*Model!$G$1804*AVERAGE('Assumptions (MSW)'!$C$2:$E$2)/10^9),0)</f>
        <v>-0.00783631788</v>
      </c>
      <c r="J1865" s="160">
        <f>IF($G$1804&gt;0,PPMT('Assumptions (MSW)'!$V$6,Model!Z$1,'Assumptions (MSW)'!$V$9,'Assumptions (MSW)'!$V$4*Model!$G$1804*AVERAGE('Assumptions (MSW)'!$C$2:$E$2)/10^9),0)</f>
        <v>-0.008208542979</v>
      </c>
      <c r="K1865" s="160">
        <f>IF($G$1804&gt;0,PPMT('Assumptions (MSW)'!$V$6,Model!AA$1,'Assumptions (MSW)'!$V$9,'Assumptions (MSW)'!$V$4*Model!$G$1804*AVERAGE('Assumptions (MSW)'!$C$2:$E$2)/10^9),0)</f>
        <v>-0.008598448771</v>
      </c>
      <c r="L1865" s="160">
        <f>IF($G$1804&gt;0,PPMT('Assumptions (MSW)'!$V$6,Model!AB$1,'Assumptions (MSW)'!$V$9,'Assumptions (MSW)'!$V$4*Model!$G$1804*AVERAGE('Assumptions (MSW)'!$C$2:$E$2)/10^9),0)</f>
        <v>-0.009006875087</v>
      </c>
      <c r="M1865" s="160">
        <f>IF($G$1804&gt;0,PPMT('Assumptions (MSW)'!$V$6,Model!AC$1,'Assumptions (MSW)'!$V$9,'Assumptions (MSW)'!$V$4*Model!$G$1804*AVERAGE('Assumptions (MSW)'!$C$2:$E$2)/10^9),0)</f>
        <v>-0.009434701654</v>
      </c>
      <c r="N1865" s="160">
        <f>IF($G$1804&gt;0,PPMT('Assumptions (MSW)'!$V$6,Model!AD$1,'Assumptions (MSW)'!$V$9,'Assumptions (MSW)'!$V$4*Model!$G$1804*AVERAGE('Assumptions (MSW)'!$C$2:$E$2)/10^9),0)</f>
        <v>-0.009882849983</v>
      </c>
      <c r="O1865" s="160">
        <f>IF($G$1804&gt;0,PPMT('Assumptions (MSW)'!$V$6,Model!AE$1,'Assumptions (MSW)'!$V$9,'Assumptions (MSW)'!$V$4*Model!$G$1804*AVERAGE('Assumptions (MSW)'!$C$2:$E$2)/10^9),0)</f>
        <v>-0.01035228536</v>
      </c>
      <c r="P1865" s="160">
        <f>IF($G$1804&gt;0,PPMT('Assumptions (MSW)'!$V$6,Model!AF$1,'Assumptions (MSW)'!$V$9,'Assumptions (MSW)'!$V$4*Model!$G$1804*AVERAGE('Assumptions (MSW)'!$C$2:$E$2)/10^9),0)</f>
        <v>-0.01084401891</v>
      </c>
      <c r="Q1865" s="160">
        <f>IF($G$1804&gt;0,PPMT('Assumptions (MSW)'!$V$6,Model!AG$1,'Assumptions (MSW)'!$V$9,'Assumptions (MSW)'!$V$4*Model!$G$1804*AVERAGE('Assumptions (MSW)'!$C$2:$E$2)/10^9),0)</f>
        <v>-0.01135910981</v>
      </c>
      <c r="R1865" s="160">
        <f>IF($G$1804&gt;0,PPMT('Assumptions (MSW)'!$V$6,Model!AH$1,'Assumptions (MSW)'!$V$9,'Assumptions (MSW)'!$V$4*Model!$G$1804*AVERAGE('Assumptions (MSW)'!$C$2:$E$2)/10^9),0)</f>
        <v>-0.01189866753</v>
      </c>
      <c r="S1865" s="160">
        <f>IF($G$1804&gt;0,PPMT('Assumptions (MSW)'!$V$6,Model!AI$1,'Assumptions (MSW)'!$V$9,'Assumptions (MSW)'!$V$4*Model!$G$1804*AVERAGE('Assumptions (MSW)'!$C$2:$E$2)/10^9),0)</f>
        <v>-0.01246385423</v>
      </c>
      <c r="T1865" s="160">
        <f>IF($G$1804&gt;0,PPMT('Assumptions (MSW)'!$V$6,Model!AJ$1,'Assumptions (MSW)'!$V$9,'Assumptions (MSW)'!$V$4*Model!$G$1804*AVERAGE('Assumptions (MSW)'!$C$2:$E$2)/10^9),0)</f>
        <v>-0.01305588731</v>
      </c>
      <c r="U1865" s="160">
        <f>IF($G$1804&gt;0,PPMT('Assumptions (MSW)'!$V$6,Model!AK$1,'Assumptions (MSW)'!$V$9,'Assumptions (MSW)'!$V$4*Model!$G$1804*AVERAGE('Assumptions (MSW)'!$C$2:$E$2)/10^9),0)</f>
        <v>-0.01367604196</v>
      </c>
      <c r="V1865" s="160"/>
      <c r="W1865" s="160"/>
      <c r="X1865" s="160"/>
      <c r="Y1865" s="160"/>
      <c r="Z1865" s="160"/>
      <c r="AA1865" s="160"/>
      <c r="AB1865" s="160"/>
      <c r="AC1865" s="160"/>
      <c r="AD1865" s="160"/>
      <c r="AE1865" s="160"/>
      <c r="AF1865" s="160"/>
      <c r="AG1865" s="160"/>
    </row>
    <row r="1866" ht="15.75" hidden="1" customHeight="1" outlineLevel="1">
      <c r="A1866" s="309"/>
      <c r="B1866" s="38"/>
      <c r="C1866" s="160"/>
      <c r="D1866" s="160"/>
      <c r="E1866" s="160"/>
      <c r="F1866" s="160"/>
      <c r="G1866" s="160"/>
      <c r="H1866" s="160">
        <f>IF($H$1804&gt;0,PPMT('Assumptions (MSW)'!$V$6,Model!W$1,'Assumptions (MSW)'!$V$9,'Assumptions (MSW)'!$V$4*Model!$H$1804*AVERAGE('Assumptions (MSW)'!$D$2:$F$2)/10^9),0)</f>
        <v>-0.007833206344</v>
      </c>
      <c r="I1866" s="160">
        <f>IF($H$1804&gt;0,PPMT('Assumptions (MSW)'!$V$6,Model!X$1,'Assumptions (MSW)'!$V$9,'Assumptions (MSW)'!$V$4*Model!$H$1804*AVERAGE('Assumptions (MSW)'!$D$2:$F$2)/10^9),0)</f>
        <v>-0.008205283645</v>
      </c>
      <c r="J1866" s="160">
        <f>IF($H$1804&gt;0,PPMT('Assumptions (MSW)'!$V$6,Model!Y$1,'Assumptions (MSW)'!$V$9,'Assumptions (MSW)'!$V$4*Model!$H$1804*AVERAGE('Assumptions (MSW)'!$D$2:$F$2)/10^9),0)</f>
        <v>-0.008595034618</v>
      </c>
      <c r="K1866" s="160">
        <f>IF($H$1804&gt;0,PPMT('Assumptions (MSW)'!$V$6,Model!Z$1,'Assumptions (MSW)'!$V$9,'Assumptions (MSW)'!$V$4*Model!$H$1804*AVERAGE('Assumptions (MSW)'!$D$2:$F$2)/10^9),0)</f>
        <v>-0.009003298762</v>
      </c>
      <c r="L1866" s="160">
        <f>IF($H$1804&gt;0,PPMT('Assumptions (MSW)'!$V$6,Model!AA$1,'Assumptions (MSW)'!$V$9,'Assumptions (MSW)'!$V$4*Model!$H$1804*AVERAGE('Assumptions (MSW)'!$D$2:$F$2)/10^9),0)</f>
        <v>-0.009430955454</v>
      </c>
      <c r="M1866" s="160">
        <f>IF($H$1804&gt;0,PPMT('Assumptions (MSW)'!$V$6,Model!AB$1,'Assumptions (MSW)'!$V$9,'Assumptions (MSW)'!$V$4*Model!$H$1804*AVERAGE('Assumptions (MSW)'!$D$2:$F$2)/10^9),0)</f>
        <v>-0.009878925838</v>
      </c>
      <c r="N1866" s="160">
        <f>IF($H$1804&gt;0,PPMT('Assumptions (MSW)'!$V$6,Model!AC$1,'Assumptions (MSW)'!$V$9,'Assumptions (MSW)'!$V$4*Model!$H$1804*AVERAGE('Assumptions (MSW)'!$D$2:$F$2)/10^9),0)</f>
        <v>-0.01034817482</v>
      </c>
      <c r="O1866" s="160">
        <f>IF($H$1804&gt;0,PPMT('Assumptions (MSW)'!$V$6,Model!AD$1,'Assumptions (MSW)'!$V$9,'Assumptions (MSW)'!$V$4*Model!$H$1804*AVERAGE('Assumptions (MSW)'!$D$2:$F$2)/10^9),0)</f>
        <v>-0.01083971312</v>
      </c>
      <c r="P1866" s="160">
        <f>IF($H$1804&gt;0,PPMT('Assumptions (MSW)'!$V$6,Model!AE$1,'Assumptions (MSW)'!$V$9,'Assumptions (MSW)'!$V$4*Model!$H$1804*AVERAGE('Assumptions (MSW)'!$D$2:$F$2)/10^9),0)</f>
        <v>-0.01135459949</v>
      </c>
      <c r="Q1866" s="160">
        <f>IF($H$1804&gt;0,PPMT('Assumptions (MSW)'!$V$6,Model!AF$1,'Assumptions (MSW)'!$V$9,'Assumptions (MSW)'!$V$4*Model!$H$1804*AVERAGE('Assumptions (MSW)'!$D$2:$F$2)/10^9),0)</f>
        <v>-0.01189394297</v>
      </c>
      <c r="R1866" s="160">
        <f>IF($H$1804&gt;0,PPMT('Assumptions (MSW)'!$V$6,Model!AG$1,'Assumptions (MSW)'!$V$9,'Assumptions (MSW)'!$V$4*Model!$H$1804*AVERAGE('Assumptions (MSW)'!$D$2:$F$2)/10^9),0)</f>
        <v>-0.01245890526</v>
      </c>
      <c r="S1866" s="160">
        <f>IF($H$1804&gt;0,PPMT('Assumptions (MSW)'!$V$6,Model!AH$1,'Assumptions (MSW)'!$V$9,'Assumptions (MSW)'!$V$4*Model!$H$1804*AVERAGE('Assumptions (MSW)'!$D$2:$F$2)/10^9),0)</f>
        <v>-0.01305070326</v>
      </c>
      <c r="T1866" s="160">
        <f>IF($H$1804&gt;0,PPMT('Assumptions (MSW)'!$V$6,Model!AI$1,'Assumptions (MSW)'!$V$9,'Assumptions (MSW)'!$V$4*Model!$H$1804*AVERAGE('Assumptions (MSW)'!$D$2:$F$2)/10^9),0)</f>
        <v>-0.01367061166</v>
      </c>
      <c r="U1866" s="160">
        <f>IF($H$1804&gt;0,PPMT('Assumptions (MSW)'!$V$6,Model!AJ$1,'Assumptions (MSW)'!$V$9,'Assumptions (MSW)'!$V$4*Model!$H$1804*AVERAGE('Assumptions (MSW)'!$D$2:$F$2)/10^9),0)</f>
        <v>-0.01431996572</v>
      </c>
      <c r="V1866" s="160">
        <f>IF($H$1804&gt;0,PPMT('Assumptions (MSW)'!$V$6,Model!AK$1,'Assumptions (MSW)'!$V$9,'Assumptions (MSW)'!$V$4*Model!$H$1804*AVERAGE('Assumptions (MSW)'!$D$2:$F$2)/10^9),0)</f>
        <v>-0.01500016409</v>
      </c>
      <c r="W1866" s="160"/>
      <c r="X1866" s="160"/>
      <c r="Y1866" s="160"/>
      <c r="Z1866" s="160"/>
      <c r="AA1866" s="160"/>
      <c r="AB1866" s="160"/>
      <c r="AC1866" s="160"/>
      <c r="AD1866" s="160"/>
      <c r="AE1866" s="160"/>
      <c r="AF1866" s="160"/>
      <c r="AG1866" s="160"/>
    </row>
    <row r="1867" ht="15.75" hidden="1" customHeight="1" outlineLevel="1">
      <c r="A1867" s="309"/>
      <c r="B1867" s="38"/>
      <c r="C1867" s="160"/>
      <c r="D1867" s="160"/>
      <c r="E1867" s="160"/>
      <c r="F1867" s="160"/>
      <c r="G1867" s="160"/>
      <c r="H1867" s="160"/>
      <c r="I1867" s="160">
        <f>IF($I$1804&gt;0,PPMT('Assumptions (MSW)'!$V$6,Model!W$1,'Assumptions (MSW)'!$V$9,'Assumptions (MSW)'!$V$4*Model!$I$1804*AVERAGE('Assumptions (MSW)'!$E$2:$G$2)/10^9),0)</f>
        <v>-0.02235847277</v>
      </c>
      <c r="J1867" s="160">
        <f>IF($I$1804&gt;0,PPMT('Assumptions (MSW)'!$V$6,Model!X$1,'Assumptions (MSW)'!$V$9,'Assumptions (MSW)'!$V$4*Model!$I$1804*AVERAGE('Assumptions (MSW)'!$E$2:$G$2)/10^9),0)</f>
        <v>-0.02342050023</v>
      </c>
      <c r="K1867" s="160">
        <f>IF($I$1804&gt;0,PPMT('Assumptions (MSW)'!$V$6,Model!Y$1,'Assumptions (MSW)'!$V$9,'Assumptions (MSW)'!$V$4*Model!$I$1804*AVERAGE('Assumptions (MSW)'!$E$2:$G$2)/10^9),0)</f>
        <v>-0.02453297399</v>
      </c>
      <c r="L1867" s="160">
        <f>IF($I$1804&gt;0,PPMT('Assumptions (MSW)'!$V$6,Model!Z$1,'Assumptions (MSW)'!$V$9,'Assumptions (MSW)'!$V$4*Model!$I$1804*AVERAGE('Assumptions (MSW)'!$E$2:$G$2)/10^9),0)</f>
        <v>-0.02569829026</v>
      </c>
      <c r="M1867" s="160">
        <f>IF($I$1804&gt;0,PPMT('Assumptions (MSW)'!$V$6,Model!AA$1,'Assumptions (MSW)'!$V$9,'Assumptions (MSW)'!$V$4*Model!$I$1804*AVERAGE('Assumptions (MSW)'!$E$2:$G$2)/10^9),0)</f>
        <v>-0.02691895904</v>
      </c>
      <c r="N1867" s="160">
        <f>IF($I$1804&gt;0,PPMT('Assumptions (MSW)'!$V$6,Model!AB$1,'Assumptions (MSW)'!$V$9,'Assumptions (MSW)'!$V$4*Model!$I$1804*AVERAGE('Assumptions (MSW)'!$E$2:$G$2)/10^9),0)</f>
        <v>-0.0281976096</v>
      </c>
      <c r="O1867" s="160">
        <f>IF($I$1804&gt;0,PPMT('Assumptions (MSW)'!$V$6,Model!AC$1,'Assumptions (MSW)'!$V$9,'Assumptions (MSW)'!$V$4*Model!$I$1804*AVERAGE('Assumptions (MSW)'!$E$2:$G$2)/10^9),0)</f>
        <v>-0.02953699606</v>
      </c>
      <c r="P1867" s="160">
        <f>IF($I$1804&gt;0,PPMT('Assumptions (MSW)'!$V$6,Model!AD$1,'Assumptions (MSW)'!$V$9,'Assumptions (MSW)'!$V$4*Model!$I$1804*AVERAGE('Assumptions (MSW)'!$E$2:$G$2)/10^9),0)</f>
        <v>-0.03094000337</v>
      </c>
      <c r="Q1867" s="160">
        <f>IF($I$1804&gt;0,PPMT('Assumptions (MSW)'!$V$6,Model!AE$1,'Assumptions (MSW)'!$V$9,'Assumptions (MSW)'!$V$4*Model!$I$1804*AVERAGE('Assumptions (MSW)'!$E$2:$G$2)/10^9),0)</f>
        <v>-0.03240965353</v>
      </c>
      <c r="R1867" s="160">
        <f>IF($I$1804&gt;0,PPMT('Assumptions (MSW)'!$V$6,Model!AF$1,'Assumptions (MSW)'!$V$9,'Assumptions (MSW)'!$V$4*Model!$I$1804*AVERAGE('Assumptions (MSW)'!$E$2:$G$2)/10^9),0)</f>
        <v>-0.03394911207</v>
      </c>
      <c r="S1867" s="160">
        <f>IF($I$1804&gt;0,PPMT('Assumptions (MSW)'!$V$6,Model!AG$1,'Assumptions (MSW)'!$V$9,'Assumptions (MSW)'!$V$4*Model!$I$1804*AVERAGE('Assumptions (MSW)'!$E$2:$G$2)/10^9),0)</f>
        <v>-0.03556169489</v>
      </c>
      <c r="T1867" s="160">
        <f>IF($I$1804&gt;0,PPMT('Assumptions (MSW)'!$V$6,Model!AH$1,'Assumptions (MSW)'!$V$9,'Assumptions (MSW)'!$V$4*Model!$I$1804*AVERAGE('Assumptions (MSW)'!$E$2:$G$2)/10^9),0)</f>
        <v>-0.0372508754</v>
      </c>
      <c r="U1867" s="160">
        <f>IF($I$1804&gt;0,PPMT('Assumptions (MSW)'!$V$6,Model!AI$1,'Assumptions (MSW)'!$V$9,'Assumptions (MSW)'!$V$4*Model!$I$1804*AVERAGE('Assumptions (MSW)'!$E$2:$G$2)/10^9),0)</f>
        <v>-0.03902029198</v>
      </c>
      <c r="V1867" s="160">
        <f>IF($I$1804&gt;0,PPMT('Assumptions (MSW)'!$V$6,Model!AJ$1,'Assumptions (MSW)'!$V$9,'Assumptions (MSW)'!$V$4*Model!$I$1804*AVERAGE('Assumptions (MSW)'!$E$2:$G$2)/10^9),0)</f>
        <v>-0.04087375585</v>
      </c>
      <c r="W1867" s="160">
        <f>IF($I$1804&gt;0,PPMT('Assumptions (MSW)'!$V$6,Model!AK$1,'Assumptions (MSW)'!$V$9,'Assumptions (MSW)'!$V$4*Model!$I$1804*AVERAGE('Assumptions (MSW)'!$E$2:$G$2)/10^9),0)</f>
        <v>-0.04281525925</v>
      </c>
      <c r="X1867" s="160"/>
      <c r="Y1867" s="160"/>
      <c r="Z1867" s="160"/>
      <c r="AA1867" s="160"/>
      <c r="AB1867" s="160"/>
      <c r="AC1867" s="160"/>
      <c r="AD1867" s="160"/>
      <c r="AE1867" s="160"/>
      <c r="AF1867" s="160"/>
      <c r="AG1867" s="160"/>
    </row>
    <row r="1868" ht="15.75" hidden="1" customHeight="1" outlineLevel="1">
      <c r="A1868" s="309"/>
      <c r="B1868" s="38"/>
      <c r="C1868" s="160"/>
      <c r="D1868" s="160"/>
      <c r="E1868" s="160"/>
      <c r="F1868" s="160"/>
      <c r="G1868" s="160"/>
      <c r="H1868" s="160"/>
      <c r="I1868" s="160"/>
      <c r="J1868" s="160">
        <f>IF($J$1804&gt;0,PPMT('Assumptions (MSW)'!$V$6,Model!W$1,'Assumptions (MSW)'!$V$9,'Assumptions (MSW)'!$V$4*Model!$J$1804*AVERAGE('Assumptions (MSW)'!$F$2:$H$2)/10^9),0)</f>
        <v>-0.02401994392</v>
      </c>
      <c r="K1868" s="160">
        <f>IF($J$1804&gt;0,PPMT('Assumptions (MSW)'!$V$6,Model!X$1,'Assumptions (MSW)'!$V$9,'Assumptions (MSW)'!$V$4*Model!$J$1804*AVERAGE('Assumptions (MSW)'!$F$2:$H$2)/10^9),0)</f>
        <v>-0.02516089126</v>
      </c>
      <c r="L1868" s="160">
        <f>IF($J$1804&gt;0,PPMT('Assumptions (MSW)'!$V$6,Model!Y$1,'Assumptions (MSW)'!$V$9,'Assumptions (MSW)'!$V$4*Model!$J$1804*AVERAGE('Assumptions (MSW)'!$F$2:$H$2)/10^9),0)</f>
        <v>-0.0263560336</v>
      </c>
      <c r="M1868" s="160">
        <f>IF($J$1804&gt;0,PPMT('Assumptions (MSW)'!$V$6,Model!Z$1,'Assumptions (MSW)'!$V$9,'Assumptions (MSW)'!$V$4*Model!$J$1804*AVERAGE('Assumptions (MSW)'!$F$2:$H$2)/10^9),0)</f>
        <v>-0.02760794519</v>
      </c>
      <c r="N1868" s="160">
        <f>IF($J$1804&gt;0,PPMT('Assumptions (MSW)'!$V$6,Model!AA$1,'Assumptions (MSW)'!$V$9,'Assumptions (MSW)'!$V$4*Model!$J$1804*AVERAGE('Assumptions (MSW)'!$F$2:$H$2)/10^9),0)</f>
        <v>-0.02891932259</v>
      </c>
      <c r="O1868" s="160">
        <f>IF($J$1804&gt;0,PPMT('Assumptions (MSW)'!$V$6,Model!AB$1,'Assumptions (MSW)'!$V$9,'Assumptions (MSW)'!$V$4*Model!$J$1804*AVERAGE('Assumptions (MSW)'!$F$2:$H$2)/10^9),0)</f>
        <v>-0.03029299041</v>
      </c>
      <c r="P1868" s="160">
        <f>IF($J$1804&gt;0,PPMT('Assumptions (MSW)'!$V$6,Model!AC$1,'Assumptions (MSW)'!$V$9,'Assumptions (MSW)'!$V$4*Model!$J$1804*AVERAGE('Assumptions (MSW)'!$F$2:$H$2)/10^9),0)</f>
        <v>-0.03173190746</v>
      </c>
      <c r="Q1868" s="160">
        <f>IF($J$1804&gt;0,PPMT('Assumptions (MSW)'!$V$6,Model!AD$1,'Assumptions (MSW)'!$V$9,'Assumptions (MSW)'!$V$4*Model!$J$1804*AVERAGE('Assumptions (MSW)'!$F$2:$H$2)/10^9),0)</f>
        <v>-0.03323917306</v>
      </c>
      <c r="R1868" s="160">
        <f>IF($J$1804&gt;0,PPMT('Assumptions (MSW)'!$V$6,Model!AE$1,'Assumptions (MSW)'!$V$9,'Assumptions (MSW)'!$V$4*Model!$J$1804*AVERAGE('Assumptions (MSW)'!$F$2:$H$2)/10^9),0)</f>
        <v>-0.03481803378</v>
      </c>
      <c r="S1868" s="160">
        <f>IF($J$1804&gt;0,PPMT('Assumptions (MSW)'!$V$6,Model!AF$1,'Assumptions (MSW)'!$V$9,'Assumptions (MSW)'!$V$4*Model!$J$1804*AVERAGE('Assumptions (MSW)'!$F$2:$H$2)/10^9),0)</f>
        <v>-0.03647189038</v>
      </c>
      <c r="T1868" s="160">
        <f>IF($J$1804&gt;0,PPMT('Assumptions (MSW)'!$V$6,Model!AG$1,'Assumptions (MSW)'!$V$9,'Assumptions (MSW)'!$V$4*Model!$J$1804*AVERAGE('Assumptions (MSW)'!$F$2:$H$2)/10^9),0)</f>
        <v>-0.03820430518</v>
      </c>
      <c r="U1868" s="160">
        <f>IF($J$1804&gt;0,PPMT('Assumptions (MSW)'!$V$6,Model!AH$1,'Assumptions (MSW)'!$V$9,'Assumptions (MSW)'!$V$4*Model!$J$1804*AVERAGE('Assumptions (MSW)'!$F$2:$H$2)/10^9),0)</f>
        <v>-0.04001900967</v>
      </c>
      <c r="V1868" s="160">
        <f>IF($J$1804&gt;0,PPMT('Assumptions (MSW)'!$V$6,Model!AI$1,'Assumptions (MSW)'!$V$9,'Assumptions (MSW)'!$V$4*Model!$J$1804*AVERAGE('Assumptions (MSW)'!$F$2:$H$2)/10^9),0)</f>
        <v>-0.04191991263</v>
      </c>
      <c r="W1868" s="160">
        <f>IF($J$1804&gt;0,PPMT('Assumptions (MSW)'!$V$6,Model!AJ$1,'Assumptions (MSW)'!$V$9,'Assumptions (MSW)'!$V$4*Model!$J$1804*AVERAGE('Assumptions (MSW)'!$F$2:$H$2)/10^9),0)</f>
        <v>-0.04391110848</v>
      </c>
      <c r="X1868" s="160">
        <f>IF($J$1804&gt;0,PPMT('Assumptions (MSW)'!$V$6,Model!AK$1,'Assumptions (MSW)'!$V$9,'Assumptions (MSW)'!$V$4*Model!$J$1804*AVERAGE('Assumptions (MSW)'!$F$2:$H$2)/10^9),0)</f>
        <v>-0.04599688614</v>
      </c>
      <c r="Y1868" s="160"/>
      <c r="Z1868" s="160"/>
      <c r="AA1868" s="160"/>
      <c r="AB1868" s="160"/>
      <c r="AC1868" s="160"/>
      <c r="AD1868" s="160"/>
      <c r="AE1868" s="160"/>
      <c r="AF1868" s="160"/>
      <c r="AG1868" s="160"/>
      <c r="AH1868" s="160"/>
    </row>
    <row r="1869" ht="15.75" hidden="1" customHeight="1" outlineLevel="1">
      <c r="A1869" s="309"/>
      <c r="B1869" s="38"/>
      <c r="C1869" s="160"/>
      <c r="D1869" s="160"/>
      <c r="E1869" s="160"/>
      <c r="F1869" s="160"/>
      <c r="G1869" s="160"/>
      <c r="H1869" s="160"/>
      <c r="I1869" s="160"/>
      <c r="J1869" s="160"/>
      <c r="K1869" s="160">
        <f>IF($K$1804&gt;0,PPMT('Assumptions (MSW)'!$V$6,Model!W$1,'Assumptions (MSW)'!$V$9,'Assumptions (MSW)'!$V$4*Model!$K$1804*AVERAGE('Assumptions (MSW)'!$G$2:$I$2)/10^9),0)</f>
        <v>-0.02472341531</v>
      </c>
      <c r="L1869" s="160">
        <f>IF($K$1804&gt;0,PPMT('Assumptions (MSW)'!$V$6,Model!X$1,'Assumptions (MSW)'!$V$9,'Assumptions (MSW)'!$V$4*Model!$K$1804*AVERAGE('Assumptions (MSW)'!$G$2:$I$2)/10^9),0)</f>
        <v>-0.02589777753</v>
      </c>
      <c r="M1869" s="160">
        <f>IF($K$1804&gt;0,PPMT('Assumptions (MSW)'!$V$6,Model!Y$1,'Assumptions (MSW)'!$V$9,'Assumptions (MSW)'!$V$4*Model!$K$1804*AVERAGE('Assumptions (MSW)'!$G$2:$I$2)/10^9),0)</f>
        <v>-0.02712792197</v>
      </c>
      <c r="N1869" s="160">
        <f>IF($K$1804&gt;0,PPMT('Assumptions (MSW)'!$V$6,Model!Z$1,'Assumptions (MSW)'!$V$9,'Assumptions (MSW)'!$V$4*Model!$K$1804*AVERAGE('Assumptions (MSW)'!$G$2:$I$2)/10^9),0)</f>
        <v>-0.02841649826</v>
      </c>
      <c r="O1869" s="160">
        <f>IF($K$1804&gt;0,PPMT('Assumptions (MSW)'!$V$6,Model!AA$1,'Assumptions (MSW)'!$V$9,'Assumptions (MSW)'!$V$4*Model!$K$1804*AVERAGE('Assumptions (MSW)'!$G$2:$I$2)/10^9),0)</f>
        <v>-0.02976628193</v>
      </c>
      <c r="P1869" s="160">
        <f>IF($K$1804&gt;0,PPMT('Assumptions (MSW)'!$V$6,Model!AB$1,'Assumptions (MSW)'!$V$9,'Assumptions (MSW)'!$V$4*Model!$K$1804*AVERAGE('Assumptions (MSW)'!$G$2:$I$2)/10^9),0)</f>
        <v>-0.03118018032</v>
      </c>
      <c r="Q1869" s="160">
        <f>IF($K$1804&gt;0,PPMT('Assumptions (MSW)'!$V$6,Model!AC$1,'Assumptions (MSW)'!$V$9,'Assumptions (MSW)'!$V$4*Model!$K$1804*AVERAGE('Assumptions (MSW)'!$G$2:$I$2)/10^9),0)</f>
        <v>-0.03266123888</v>
      </c>
      <c r="R1869" s="160">
        <f>IF($K$1804&gt;0,PPMT('Assumptions (MSW)'!$V$6,Model!AD$1,'Assumptions (MSW)'!$V$9,'Assumptions (MSW)'!$V$4*Model!$K$1804*AVERAGE('Assumptions (MSW)'!$G$2:$I$2)/10^9),0)</f>
        <v>-0.03421264773</v>
      </c>
      <c r="S1869" s="160">
        <f>IF($K$1804&gt;0,PPMT('Assumptions (MSW)'!$V$6,Model!AE$1,'Assumptions (MSW)'!$V$9,'Assumptions (MSW)'!$V$4*Model!$K$1804*AVERAGE('Assumptions (MSW)'!$G$2:$I$2)/10^9),0)</f>
        <v>-0.0358377485</v>
      </c>
      <c r="T1869" s="160">
        <f>IF($K$1804&gt;0,PPMT('Assumptions (MSW)'!$V$6,Model!AF$1,'Assumptions (MSW)'!$V$9,'Assumptions (MSW)'!$V$4*Model!$K$1804*AVERAGE('Assumptions (MSW)'!$G$2:$I$2)/10^9),0)</f>
        <v>-0.03754004155</v>
      </c>
      <c r="U1869" s="160">
        <f>IF($K$1804&gt;0,PPMT('Assumptions (MSW)'!$V$6,Model!AG$1,'Assumptions (MSW)'!$V$9,'Assumptions (MSW)'!$V$4*Model!$K$1804*AVERAGE('Assumptions (MSW)'!$G$2:$I$2)/10^9),0)</f>
        <v>-0.03932319352</v>
      </c>
      <c r="V1869" s="160">
        <f>IF($K$1804&gt;0,PPMT('Assumptions (MSW)'!$V$6,Model!AH$1,'Assumptions (MSW)'!$V$9,'Assumptions (MSW)'!$V$4*Model!$K$1804*AVERAGE('Assumptions (MSW)'!$G$2:$I$2)/10^9),0)</f>
        <v>-0.04119104522</v>
      </c>
      <c r="W1869" s="160">
        <f>IF($K$1804&gt;0,PPMT('Assumptions (MSW)'!$V$6,Model!AI$1,'Assumptions (MSW)'!$V$9,'Assumptions (MSW)'!$V$4*Model!$K$1804*AVERAGE('Assumptions (MSW)'!$G$2:$I$2)/10^9),0)</f>
        <v>-0.04314761986</v>
      </c>
      <c r="X1869" s="160">
        <f>IF($K$1804&gt;0,PPMT('Assumptions (MSW)'!$V$6,Model!AJ$1,'Assumptions (MSW)'!$V$9,'Assumptions (MSW)'!$V$4*Model!$K$1804*AVERAGE('Assumptions (MSW)'!$G$2:$I$2)/10^9),0)</f>
        <v>-0.04519713181</v>
      </c>
      <c r="Y1869" s="160">
        <f>IF($K$1804&gt;0,PPMT('Assumptions (MSW)'!$V$6,Model!AK$1,'Assumptions (MSW)'!$V$9,'Assumptions (MSW)'!$V$4*Model!$K$1804*AVERAGE('Assumptions (MSW)'!$G$2:$I$2)/10^9),0)</f>
        <v>-0.04734399557</v>
      </c>
      <c r="Z1869" s="160"/>
      <c r="AA1869" s="160"/>
      <c r="AB1869" s="160"/>
      <c r="AC1869" s="160"/>
      <c r="AD1869" s="160"/>
      <c r="AE1869" s="160"/>
      <c r="AF1869" s="160"/>
      <c r="AG1869" s="160"/>
      <c r="AH1869" s="160"/>
      <c r="AI1869" s="160"/>
    </row>
    <row r="1870" ht="15.75" hidden="1" customHeight="1" outlineLevel="1">
      <c r="A1870" s="309"/>
      <c r="B1870" s="38"/>
      <c r="C1870" s="160"/>
      <c r="D1870" s="160"/>
      <c r="E1870" s="160"/>
      <c r="F1870" s="160"/>
      <c r="G1870" s="160"/>
      <c r="H1870" s="160"/>
      <c r="I1870" s="160"/>
      <c r="J1870" s="160"/>
      <c r="K1870" s="160"/>
      <c r="L1870" s="160">
        <f>IF($L$1804&gt;0,PPMT('Assumptions (MSW)'!$V$6,Model!W$1,'Assumptions (MSW)'!$V$9,'Assumptions (MSW)'!$V$4*Model!$L$1804*AVERAGE('Assumptions (MSW)'!$H$2:$J$2)/10^9),0)</f>
        <v>-0.02531114435</v>
      </c>
      <c r="M1870" s="160">
        <f>IF($L$1804&gt;0,PPMT('Assumptions (MSW)'!$V$6,Model!X$1,'Assumptions (MSW)'!$V$9,'Assumptions (MSW)'!$V$4*Model!$L$1804*AVERAGE('Assumptions (MSW)'!$H$2:$J$2)/10^9),0)</f>
        <v>-0.0265134237</v>
      </c>
      <c r="N1870" s="160">
        <f>IF($L$1804&gt;0,PPMT('Assumptions (MSW)'!$V$6,Model!Y$1,'Assumptions (MSW)'!$V$9,'Assumptions (MSW)'!$V$4*Model!$L$1804*AVERAGE('Assumptions (MSW)'!$H$2:$J$2)/10^9),0)</f>
        <v>-0.02777281133</v>
      </c>
      <c r="O1870" s="160">
        <f>IF($L$1804&gt;0,PPMT('Assumptions (MSW)'!$V$6,Model!Z$1,'Assumptions (MSW)'!$V$9,'Assumptions (MSW)'!$V$4*Model!$L$1804*AVERAGE('Assumptions (MSW)'!$H$2:$J$2)/10^9),0)</f>
        <v>-0.02909201987</v>
      </c>
      <c r="P1870" s="160">
        <f>IF($L$1804&gt;0,PPMT('Assumptions (MSW)'!$V$6,Model!AA$1,'Assumptions (MSW)'!$V$9,'Assumptions (MSW)'!$V$4*Model!$L$1804*AVERAGE('Assumptions (MSW)'!$H$2:$J$2)/10^9),0)</f>
        <v>-0.03047389081</v>
      </c>
      <c r="Q1870" s="160">
        <f>IF($L$1804&gt;0,PPMT('Assumptions (MSW)'!$V$6,Model!AB$1,'Assumptions (MSW)'!$V$9,'Assumptions (MSW)'!$V$4*Model!$L$1804*AVERAGE('Assumptions (MSW)'!$H$2:$J$2)/10^9),0)</f>
        <v>-0.03192140062</v>
      </c>
      <c r="R1870" s="160">
        <f>IF($L$1804&gt;0,PPMT('Assumptions (MSW)'!$V$6,Model!AC$1,'Assumptions (MSW)'!$V$9,'Assumptions (MSW)'!$V$4*Model!$L$1804*AVERAGE('Assumptions (MSW)'!$H$2:$J$2)/10^9),0)</f>
        <v>-0.03343766715</v>
      </c>
      <c r="S1870" s="160">
        <f>IF($L$1804&gt;0,PPMT('Assumptions (MSW)'!$V$6,Model!AD$1,'Assumptions (MSW)'!$V$9,'Assumptions (MSW)'!$V$4*Model!$L$1804*AVERAGE('Assumptions (MSW)'!$H$2:$J$2)/10^9),0)</f>
        <v>-0.03502595634</v>
      </c>
      <c r="T1870" s="160">
        <f>IF($L$1804&gt;0,PPMT('Assumptions (MSW)'!$V$6,Model!AE$1,'Assumptions (MSW)'!$V$9,'Assumptions (MSW)'!$V$4*Model!$L$1804*AVERAGE('Assumptions (MSW)'!$H$2:$J$2)/10^9),0)</f>
        <v>-0.03668968927</v>
      </c>
      <c r="U1870" s="160">
        <f>IF($L$1804&gt;0,PPMT('Assumptions (MSW)'!$V$6,Model!AF$1,'Assumptions (MSW)'!$V$9,'Assumptions (MSW)'!$V$4*Model!$L$1804*AVERAGE('Assumptions (MSW)'!$H$2:$J$2)/10^9),0)</f>
        <v>-0.03843244951</v>
      </c>
      <c r="V1870" s="160">
        <f>IF($L$1804&gt;0,PPMT('Assumptions (MSW)'!$V$6,Model!AG$1,'Assumptions (MSW)'!$V$9,'Assumptions (MSW)'!$V$4*Model!$L$1804*AVERAGE('Assumptions (MSW)'!$H$2:$J$2)/10^9),0)</f>
        <v>-0.04025799086</v>
      </c>
      <c r="W1870" s="160">
        <f>IF($L$1804&gt;0,PPMT('Assumptions (MSW)'!$V$6,Model!AH$1,'Assumptions (MSW)'!$V$9,'Assumptions (MSW)'!$V$4*Model!$L$1804*AVERAGE('Assumptions (MSW)'!$H$2:$J$2)/10^9),0)</f>
        <v>-0.04217024543</v>
      </c>
      <c r="X1870" s="160">
        <f>IF($L$1804&gt;0,PPMT('Assumptions (MSW)'!$V$6,Model!AI$1,'Assumptions (MSW)'!$V$9,'Assumptions (MSW)'!$V$4*Model!$L$1804*AVERAGE('Assumptions (MSW)'!$H$2:$J$2)/10^9),0)</f>
        <v>-0.04417333208</v>
      </c>
      <c r="Y1870" s="160">
        <f>IF($L$1804&gt;0,PPMT('Assumptions (MSW)'!$V$6,Model!AJ$1,'Assumptions (MSW)'!$V$9,'Assumptions (MSW)'!$V$4*Model!$L$1804*AVERAGE('Assumptions (MSW)'!$H$2:$J$2)/10^9),0)</f>
        <v>-0.04627156536</v>
      </c>
      <c r="Z1870" s="160">
        <f>IF($L$1804&gt;0,PPMT('Assumptions (MSW)'!$V$6,Model!AK$1,'Assumptions (MSW)'!$V$9,'Assumptions (MSW)'!$V$4*Model!$L$1804*AVERAGE('Assumptions (MSW)'!$H$2:$J$2)/10^9),0)</f>
        <v>-0.04846946471</v>
      </c>
      <c r="AA1870" s="160"/>
      <c r="AB1870" s="160"/>
      <c r="AC1870" s="160"/>
      <c r="AD1870" s="160"/>
      <c r="AE1870" s="160"/>
      <c r="AF1870" s="160"/>
      <c r="AG1870" s="160"/>
      <c r="AH1870" s="160"/>
      <c r="AI1870" s="160"/>
      <c r="AJ1870" s="160"/>
    </row>
    <row r="1871" ht="15.75" hidden="1" customHeight="1" outlineLevel="1">
      <c r="A1871" s="309"/>
      <c r="B1871" s="38"/>
      <c r="C1871" s="160"/>
      <c r="D1871" s="160"/>
      <c r="E1871" s="160"/>
      <c r="F1871" s="160"/>
      <c r="G1871" s="160"/>
      <c r="H1871" s="160"/>
      <c r="I1871" s="160"/>
      <c r="J1871" s="160"/>
      <c r="K1871" s="160"/>
      <c r="L1871" s="160"/>
      <c r="M1871" s="160">
        <f>IF($M$1804&gt;0,PPMT('Assumptions (MSW)'!$V$6,Model!W$1,'Assumptions (MSW)'!$V$9,'Assumptions (MSW)'!$V$4*Model!$M$1804*AVERAGE('Assumptions (MSW)'!$I$2:$K$2)/10^9),0)</f>
        <v>-0.0279072447</v>
      </c>
      <c r="N1871" s="160">
        <f>IF($M$1804&gt;0,PPMT('Assumptions (MSW)'!$V$6,Model!X$1,'Assumptions (MSW)'!$V$9,'Assumptions (MSW)'!$V$4*Model!$M$1804*AVERAGE('Assumptions (MSW)'!$I$2:$K$2)/10^9),0)</f>
        <v>-0.02923283882</v>
      </c>
      <c r="O1871" s="160">
        <f>IF($M$1804&gt;0,PPMT('Assumptions (MSW)'!$V$6,Model!Y$1,'Assumptions (MSW)'!$V$9,'Assumptions (MSW)'!$V$4*Model!$M$1804*AVERAGE('Assumptions (MSW)'!$I$2:$K$2)/10^9),0)</f>
        <v>-0.03062139866</v>
      </c>
      <c r="P1871" s="160">
        <f>IF($M$1804&gt;0,PPMT('Assumptions (MSW)'!$V$6,Model!Z$1,'Assumptions (MSW)'!$V$9,'Assumptions (MSW)'!$V$4*Model!$M$1804*AVERAGE('Assumptions (MSW)'!$I$2:$K$2)/10^9),0)</f>
        <v>-0.0320759151</v>
      </c>
      <c r="Q1871" s="160">
        <f>IF($M$1804&gt;0,PPMT('Assumptions (MSW)'!$V$6,Model!AA$1,'Assumptions (MSW)'!$V$9,'Assumptions (MSW)'!$V$4*Model!$M$1804*AVERAGE('Assumptions (MSW)'!$I$2:$K$2)/10^9),0)</f>
        <v>-0.03359952107</v>
      </c>
      <c r="R1871" s="160">
        <f>IF($M$1804&gt;0,PPMT('Assumptions (MSW)'!$V$6,Model!AB$1,'Assumptions (MSW)'!$V$9,'Assumptions (MSW)'!$V$4*Model!$M$1804*AVERAGE('Assumptions (MSW)'!$I$2:$K$2)/10^9),0)</f>
        <v>-0.03519549832</v>
      </c>
      <c r="S1871" s="160">
        <f>IF($M$1804&gt;0,PPMT('Assumptions (MSW)'!$V$6,Model!AC$1,'Assumptions (MSW)'!$V$9,'Assumptions (MSW)'!$V$4*Model!$M$1804*AVERAGE('Assumptions (MSW)'!$I$2:$K$2)/10^9),0)</f>
        <v>-0.03686728449</v>
      </c>
      <c r="T1871" s="160">
        <f>IF($M$1804&gt;0,PPMT('Assumptions (MSW)'!$V$6,Model!AD$1,'Assumptions (MSW)'!$V$9,'Assumptions (MSW)'!$V$4*Model!$M$1804*AVERAGE('Assumptions (MSW)'!$I$2:$K$2)/10^9),0)</f>
        <v>-0.0386184805</v>
      </c>
      <c r="U1871" s="160">
        <f>IF($M$1804&gt;0,PPMT('Assumptions (MSW)'!$V$6,Model!AE$1,'Assumptions (MSW)'!$V$9,'Assumptions (MSW)'!$V$4*Model!$M$1804*AVERAGE('Assumptions (MSW)'!$I$2:$K$2)/10^9),0)</f>
        <v>-0.04045285833</v>
      </c>
      <c r="V1871" s="160">
        <f>IF($M$1804&gt;0,PPMT('Assumptions (MSW)'!$V$6,Model!AF$1,'Assumptions (MSW)'!$V$9,'Assumptions (MSW)'!$V$4*Model!$M$1804*AVERAGE('Assumptions (MSW)'!$I$2:$K$2)/10^9),0)</f>
        <v>-0.0423743691</v>
      </c>
      <c r="W1871" s="160">
        <f>IF($M$1804&gt;0,PPMT('Assumptions (MSW)'!$V$6,Model!AG$1,'Assumptions (MSW)'!$V$9,'Assumptions (MSW)'!$V$4*Model!$M$1804*AVERAGE('Assumptions (MSW)'!$I$2:$K$2)/10^9),0)</f>
        <v>-0.04438715163</v>
      </c>
      <c r="X1871" s="160">
        <f>IF($M$1804&gt;0,PPMT('Assumptions (MSW)'!$V$6,Model!AH$1,'Assumptions (MSW)'!$V$9,'Assumptions (MSW)'!$V$4*Model!$M$1804*AVERAGE('Assumptions (MSW)'!$I$2:$K$2)/10^9),0)</f>
        <v>-0.04649554133</v>
      </c>
      <c r="Y1871" s="160">
        <f>IF($M$1804&gt;0,PPMT('Assumptions (MSW)'!$V$6,Model!AI$1,'Assumptions (MSW)'!$V$9,'Assumptions (MSW)'!$V$4*Model!$M$1804*AVERAGE('Assumptions (MSW)'!$I$2:$K$2)/10^9),0)</f>
        <v>-0.04870407954</v>
      </c>
      <c r="Z1871" s="160">
        <f>IF($M$1804&gt;0,PPMT('Assumptions (MSW)'!$V$6,Model!AJ$1,'Assumptions (MSW)'!$V$9,'Assumptions (MSW)'!$V$4*Model!$M$1804*AVERAGE('Assumptions (MSW)'!$I$2:$K$2)/10^9),0)</f>
        <v>-0.05101752332</v>
      </c>
      <c r="AA1871" s="160">
        <f>IF($M$1804&gt;0,PPMT('Assumptions (MSW)'!$V$6,Model!AK$1,'Assumptions (MSW)'!$V$9,'Assumptions (MSW)'!$V$4*Model!$M$1804*AVERAGE('Assumptions (MSW)'!$I$2:$K$2)/10^9),0)</f>
        <v>-0.05344085568</v>
      </c>
      <c r="AB1871" s="160"/>
      <c r="AC1871" s="160"/>
      <c r="AD1871" s="160"/>
      <c r="AE1871" s="160"/>
      <c r="AF1871" s="160"/>
      <c r="AG1871" s="160"/>
      <c r="AH1871" s="160"/>
      <c r="AI1871" s="160"/>
      <c r="AJ1871" s="160"/>
      <c r="AK1871" s="160"/>
    </row>
    <row r="1872" ht="15.75" hidden="1" customHeight="1" outlineLevel="1">
      <c r="A1872" s="309"/>
      <c r="B1872" s="38"/>
      <c r="C1872" s="160"/>
      <c r="D1872" s="160"/>
      <c r="E1872" s="160"/>
      <c r="F1872" s="160"/>
      <c r="G1872" s="160"/>
      <c r="H1872" s="160"/>
      <c r="I1872" s="160"/>
      <c r="J1872" s="160"/>
      <c r="K1872" s="160"/>
      <c r="L1872" s="160"/>
      <c r="M1872" s="160"/>
      <c r="N1872" s="177">
        <f>IF($N$1804&gt;0,PPMT('Assumptions (MSW)'!$V$6,Model!W$1,'Assumptions (MSW)'!$V$9,'Assumptions (MSW)'!$V$4*Model!$N$1804*AVERAGE('Assumptions (MSW)'!$J$2:$L$2)/10^9),0)</f>
        <v>-0.02862200322</v>
      </c>
      <c r="O1872" s="177">
        <f>IF($N$1804&gt;0,PPMT('Assumptions (MSW)'!$V$6,Model!X$1,'Assumptions (MSW)'!$V$9,'Assumptions (MSW)'!$V$4*Model!$N$1804*AVERAGE('Assumptions (MSW)'!$J$2:$L$2)/10^9),0)</f>
        <v>-0.02998154838</v>
      </c>
      <c r="P1872" s="177">
        <f>IF($N$1804&gt;0,PPMT('Assumptions (MSW)'!$V$6,Model!Y$1,'Assumptions (MSW)'!$V$9,'Assumptions (MSW)'!$V$4*Model!$N$1804*AVERAGE('Assumptions (MSW)'!$J$2:$L$2)/10^9),0)</f>
        <v>-0.03140567192</v>
      </c>
      <c r="Q1872" s="177">
        <f>IF($N$1804&gt;0,PPMT('Assumptions (MSW)'!$V$6,Model!Z$1,'Assumptions (MSW)'!$V$9,'Assumptions (MSW)'!$V$4*Model!$N$1804*AVERAGE('Assumptions (MSW)'!$J$2:$L$2)/10^9),0)</f>
        <v>-0.03289744134</v>
      </c>
      <c r="R1872" s="177">
        <f>IF($N$1804&gt;0,PPMT('Assumptions (MSW)'!$V$6,Model!AA$1,'Assumptions (MSW)'!$V$9,'Assumptions (MSW)'!$V$4*Model!$N$1804*AVERAGE('Assumptions (MSW)'!$J$2:$L$2)/10^9),0)</f>
        <v>-0.0344600698</v>
      </c>
      <c r="S1872" s="177">
        <f>IF($N$1804&gt;0,PPMT('Assumptions (MSW)'!$V$6,Model!AB$1,'Assumptions (MSW)'!$V$9,'Assumptions (MSW)'!$V$4*Model!$N$1804*AVERAGE('Assumptions (MSW)'!$J$2:$L$2)/10^9),0)</f>
        <v>-0.03609692312</v>
      </c>
      <c r="T1872" s="177">
        <f>IF($N$1804&gt;0,PPMT('Assumptions (MSW)'!$V$6,Model!AC$1,'Assumptions (MSW)'!$V$9,'Assumptions (MSW)'!$V$4*Model!$N$1804*AVERAGE('Assumptions (MSW)'!$J$2:$L$2)/10^9),0)</f>
        <v>-0.03781152697</v>
      </c>
      <c r="U1872" s="177">
        <f>IF($N$1804&gt;0,PPMT('Assumptions (MSW)'!$V$6,Model!AD$1,'Assumptions (MSW)'!$V$9,'Assumptions (MSW)'!$V$4*Model!$N$1804*AVERAGE('Assumptions (MSW)'!$J$2:$L$2)/10^9),0)</f>
        <v>-0.0396075745</v>
      </c>
      <c r="V1872" s="177">
        <f>IF($N$1804&gt;0,PPMT('Assumptions (MSW)'!$V$6,Model!AE$1,'Assumptions (MSW)'!$V$9,'Assumptions (MSW)'!$V$4*Model!$N$1804*AVERAGE('Assumptions (MSW)'!$J$2:$L$2)/10^9),0)</f>
        <v>-0.04148893429</v>
      </c>
      <c r="W1872" s="177">
        <f>IF($N$1804&gt;0,PPMT('Assumptions (MSW)'!$V$6,Model!AF$1,'Assumptions (MSW)'!$V$9,'Assumptions (MSW)'!$V$4*Model!$N$1804*AVERAGE('Assumptions (MSW)'!$J$2:$L$2)/10^9),0)</f>
        <v>-0.04345965867</v>
      </c>
      <c r="X1872" s="177">
        <f>IF($N$1804&gt;0,PPMT('Assumptions (MSW)'!$V$6,Model!AG$1,'Assumptions (MSW)'!$V$9,'Assumptions (MSW)'!$V$4*Model!$N$1804*AVERAGE('Assumptions (MSW)'!$J$2:$L$2)/10^9),0)</f>
        <v>-0.04552399245</v>
      </c>
      <c r="Y1872" s="177">
        <f>IF($N$1804&gt;0,PPMT('Assumptions (MSW)'!$V$6,Model!AH$1,'Assumptions (MSW)'!$V$9,'Assumptions (MSW)'!$V$4*Model!$N$1804*AVERAGE('Assumptions (MSW)'!$J$2:$L$2)/10^9),0)</f>
        <v>-0.04768638209</v>
      </c>
      <c r="Z1872" s="177">
        <f>IF($N$1804&gt;0,PPMT('Assumptions (MSW)'!$V$6,Model!AI$1,'Assumptions (MSW)'!$V$9,'Assumptions (MSW)'!$V$4*Model!$N$1804*AVERAGE('Assumptions (MSW)'!$J$2:$L$2)/10^9),0)</f>
        <v>-0.04995148524</v>
      </c>
      <c r="AA1872" s="177">
        <f>IF($N$1804&gt;0,PPMT('Assumptions (MSW)'!$V$6,Model!AJ$1,'Assumptions (MSW)'!$V$9,'Assumptions (MSW)'!$V$4*Model!$N$1804*AVERAGE('Assumptions (MSW)'!$J$2:$L$2)/10^9),0)</f>
        <v>-0.05232418079</v>
      </c>
      <c r="AB1872" s="177">
        <f>IF($N$1804&gt;0,PPMT('Assumptions (MSW)'!$V$6,Model!AK$1,'Assumptions (MSW)'!$V$9,'Assumptions (MSW)'!$V$4*Model!$N$1804*AVERAGE('Assumptions (MSW)'!$J$2:$L$2)/10^9),0)</f>
        <v>-0.05480957938</v>
      </c>
      <c r="AC1872" s="177"/>
      <c r="AD1872" s="177"/>
      <c r="AE1872" s="177"/>
      <c r="AF1872" s="177"/>
      <c r="AG1872" s="177"/>
      <c r="AH1872" s="177"/>
      <c r="AI1872" s="177"/>
      <c r="AJ1872" s="177"/>
      <c r="AK1872" s="177"/>
      <c r="AL1872" s="177"/>
    </row>
    <row r="1873" ht="15.75" hidden="1" customHeight="1" outlineLevel="1">
      <c r="A1873" s="309"/>
      <c r="B1873" s="38"/>
      <c r="C1873" s="160"/>
      <c r="D1873" s="160"/>
      <c r="E1873" s="160"/>
      <c r="F1873" s="160"/>
      <c r="G1873" s="160"/>
      <c r="H1873" s="160"/>
      <c r="I1873" s="160"/>
      <c r="J1873" s="160"/>
      <c r="K1873" s="160"/>
      <c r="L1873" s="160"/>
      <c r="M1873" s="160"/>
      <c r="N1873" s="160"/>
      <c r="O1873" s="160">
        <f>IF($O$1804&gt;0,PPMT('Assumptions (MSW)'!$V$6,Model!W$1,'Assumptions (MSW)'!$V$9,'Assumptions (MSW)'!$V$4*Model!$O$1804*AVERAGE('Assumptions (MSW)'!$K$2:$M$2)/10^9),0)</f>
        <v>-0.03533483613</v>
      </c>
      <c r="P1873" s="160">
        <f>IF($O$1804&gt;0,PPMT('Assumptions (MSW)'!$V$6,Model!X$1,'Assumptions (MSW)'!$V$9,'Assumptions (MSW)'!$V$4*Model!$O$1804*AVERAGE('Assumptions (MSW)'!$K$2:$M$2)/10^9),0)</f>
        <v>-0.03701324085</v>
      </c>
      <c r="Q1873" s="160">
        <f>IF($O$1804&gt;0,PPMT('Assumptions (MSW)'!$V$6,Model!Y$1,'Assumptions (MSW)'!$V$9,'Assumptions (MSW)'!$V$4*Model!$O$1804*AVERAGE('Assumptions (MSW)'!$K$2:$M$2)/10^9),0)</f>
        <v>-0.03877136979</v>
      </c>
      <c r="R1873" s="160">
        <f>IF($O$1804&gt;0,PPMT('Assumptions (MSW)'!$V$6,Model!Z$1,'Assumptions (MSW)'!$V$9,'Assumptions (MSW)'!$V$4*Model!$O$1804*AVERAGE('Assumptions (MSW)'!$K$2:$M$2)/10^9),0)</f>
        <v>-0.04061300986</v>
      </c>
      <c r="S1873" s="160">
        <f>IF($O$1804&gt;0,PPMT('Assumptions (MSW)'!$V$6,Model!AA$1,'Assumptions (MSW)'!$V$9,'Assumptions (MSW)'!$V$4*Model!$O$1804*AVERAGE('Assumptions (MSW)'!$K$2:$M$2)/10^9),0)</f>
        <v>-0.04254212782</v>
      </c>
      <c r="T1873" s="160">
        <f>IF($O$1804&gt;0,PPMT('Assumptions (MSW)'!$V$6,Model!AB$1,'Assumptions (MSW)'!$V$9,'Assumptions (MSW)'!$V$4*Model!$O$1804*AVERAGE('Assumptions (MSW)'!$K$2:$M$2)/10^9),0)</f>
        <v>-0.04456287889</v>
      </c>
      <c r="U1873" s="160">
        <f>IF($O$1804&gt;0,PPMT('Assumptions (MSW)'!$V$6,Model!AC$1,'Assumptions (MSW)'!$V$9,'Assumptions (MSW)'!$V$4*Model!$O$1804*AVERAGE('Assumptions (MSW)'!$K$2:$M$2)/10^9),0)</f>
        <v>-0.04667961564</v>
      </c>
      <c r="V1873" s="160">
        <f>IF($O$1804&gt;0,PPMT('Assumptions (MSW)'!$V$6,Model!AD$1,'Assumptions (MSW)'!$V$9,'Assumptions (MSW)'!$V$4*Model!$O$1804*AVERAGE('Assumptions (MSW)'!$K$2:$M$2)/10^9),0)</f>
        <v>-0.04889689739</v>
      </c>
      <c r="W1873" s="160">
        <f>IF($O$1804&gt;0,PPMT('Assumptions (MSW)'!$V$6,Model!AE$1,'Assumptions (MSW)'!$V$9,'Assumptions (MSW)'!$V$4*Model!$O$1804*AVERAGE('Assumptions (MSW)'!$K$2:$M$2)/10^9),0)</f>
        <v>-0.05121950001</v>
      </c>
      <c r="X1873" s="160">
        <f>IF($O$1804&gt;0,PPMT('Assumptions (MSW)'!$V$6,Model!AF$1,'Assumptions (MSW)'!$V$9,'Assumptions (MSW)'!$V$4*Model!$O$1804*AVERAGE('Assumptions (MSW)'!$K$2:$M$2)/10^9),0)</f>
        <v>-0.05365242626</v>
      </c>
      <c r="Y1873" s="160">
        <f>IF($O$1804&gt;0,PPMT('Assumptions (MSW)'!$V$6,Model!AG$1,'Assumptions (MSW)'!$V$9,'Assumptions (MSW)'!$V$4*Model!$O$1804*AVERAGE('Assumptions (MSW)'!$K$2:$M$2)/10^9),0)</f>
        <v>-0.05620091651</v>
      </c>
      <c r="Z1873" s="160">
        <f>IF($O$1804&gt;0,PPMT('Assumptions (MSW)'!$V$6,Model!AH$1,'Assumptions (MSW)'!$V$9,'Assumptions (MSW)'!$V$4*Model!$O$1804*AVERAGE('Assumptions (MSW)'!$K$2:$M$2)/10^9),0)</f>
        <v>-0.05887046004</v>
      </c>
      <c r="AA1873" s="160">
        <f>IF($O$1804&gt;0,PPMT('Assumptions (MSW)'!$V$6,Model!AI$1,'Assumptions (MSW)'!$V$9,'Assumptions (MSW)'!$V$4*Model!$O$1804*AVERAGE('Assumptions (MSW)'!$K$2:$M$2)/10^9),0)</f>
        <v>-0.0616668069</v>
      </c>
      <c r="AB1873" s="160">
        <f>IF($O$1804&gt;0,PPMT('Assumptions (MSW)'!$V$6,Model!AJ$1,'Assumptions (MSW)'!$V$9,'Assumptions (MSW)'!$V$4*Model!$O$1804*AVERAGE('Assumptions (MSW)'!$K$2:$M$2)/10^9),0)</f>
        <v>-0.06459598022</v>
      </c>
      <c r="AC1873" s="160">
        <f>IF($O$1804&gt;0,PPMT('Assumptions (MSW)'!$V$6,Model!AK$1,'Assumptions (MSW)'!$V$9,'Assumptions (MSW)'!$V$4*Model!$O$1804*AVERAGE('Assumptions (MSW)'!$K$2:$M$2)/10^9),0)</f>
        <v>-0.06766428928</v>
      </c>
      <c r="AD1873" s="160"/>
      <c r="AE1873" s="160"/>
      <c r="AF1873" s="160"/>
      <c r="AG1873" s="160"/>
      <c r="AH1873" s="160"/>
      <c r="AI1873" s="160"/>
      <c r="AJ1873" s="160"/>
      <c r="AK1873" s="160"/>
      <c r="AL1873" s="160"/>
      <c r="AM1873" s="160"/>
    </row>
    <row r="1874" ht="15.75" hidden="1" customHeight="1" outlineLevel="1">
      <c r="A1874" s="309"/>
      <c r="B1874" s="38"/>
      <c r="C1874" s="160"/>
      <c r="D1874" s="160"/>
      <c r="E1874" s="160"/>
      <c r="F1874" s="160"/>
      <c r="G1874" s="160"/>
      <c r="H1874" s="160"/>
      <c r="I1874" s="160"/>
      <c r="J1874" s="160"/>
      <c r="K1874" s="160"/>
      <c r="L1874" s="160"/>
      <c r="M1874" s="160"/>
      <c r="N1874" s="160"/>
      <c r="O1874" s="160"/>
      <c r="P1874" s="177">
        <f>IF($P$1804&gt;0,PPMT('Assumptions (MSW)'!$V$6,Model!W$1,'Assumptions (MSW)'!$V$9,'Assumptions (MSW)'!$V$4*Model!$P$1804*AVERAGE('Assumptions (MSW)'!$L$2:$N$2)/10^9),0)</f>
        <v>-0.02904600694</v>
      </c>
      <c r="Q1874" s="177">
        <f>IF($P$1804&gt;0,PPMT('Assumptions (MSW)'!$V$6,Model!X$1,'Assumptions (MSW)'!$V$9,'Assumptions (MSW)'!$V$4*Model!$P$1804*AVERAGE('Assumptions (MSW)'!$L$2:$N$2)/10^9),0)</f>
        <v>-0.03042569227</v>
      </c>
      <c r="R1874" s="177">
        <f>IF($P$1804&gt;0,PPMT('Assumptions (MSW)'!$V$6,Model!Y$1,'Assumptions (MSW)'!$V$9,'Assumptions (MSW)'!$V$4*Model!$P$1804*AVERAGE('Assumptions (MSW)'!$L$2:$N$2)/10^9),0)</f>
        <v>-0.03187091265</v>
      </c>
      <c r="S1874" s="177">
        <f>IF($P$1804&gt;0,PPMT('Assumptions (MSW)'!$V$6,Model!Z$1,'Assumptions (MSW)'!$V$9,'Assumptions (MSW)'!$V$4*Model!$P$1804*AVERAGE('Assumptions (MSW)'!$L$2:$N$2)/10^9),0)</f>
        <v>-0.033384781</v>
      </c>
      <c r="T1874" s="177">
        <f>IF($P$1804&gt;0,PPMT('Assumptions (MSW)'!$V$6,Model!AA$1,'Assumptions (MSW)'!$V$9,'Assumptions (MSW)'!$V$4*Model!$P$1804*AVERAGE('Assumptions (MSW)'!$L$2:$N$2)/10^9),0)</f>
        <v>-0.0349705581</v>
      </c>
      <c r="U1874" s="177">
        <f>IF($P$1804&gt;0,PPMT('Assumptions (MSW)'!$V$6,Model!AB$1,'Assumptions (MSW)'!$V$9,'Assumptions (MSW)'!$V$4*Model!$P$1804*AVERAGE('Assumptions (MSW)'!$L$2:$N$2)/10^9),0)</f>
        <v>-0.03663165961</v>
      </c>
      <c r="V1874" s="177">
        <f>IF($P$1804&gt;0,PPMT('Assumptions (MSW)'!$V$6,Model!AC$1,'Assumptions (MSW)'!$V$9,'Assumptions (MSW)'!$V$4*Model!$P$1804*AVERAGE('Assumptions (MSW)'!$L$2:$N$2)/10^9),0)</f>
        <v>-0.03837166344</v>
      </c>
      <c r="W1874" s="177">
        <f>IF($P$1804&gt;0,PPMT('Assumptions (MSW)'!$V$6,Model!AD$1,'Assumptions (MSW)'!$V$9,'Assumptions (MSW)'!$V$4*Model!$P$1804*AVERAGE('Assumptions (MSW)'!$L$2:$N$2)/10^9),0)</f>
        <v>-0.04019431745</v>
      </c>
      <c r="X1874" s="177">
        <f>IF($P$1804&gt;0,PPMT('Assumptions (MSW)'!$V$6,Model!AE$1,'Assumptions (MSW)'!$V$9,'Assumptions (MSW)'!$V$4*Model!$P$1804*AVERAGE('Assumptions (MSW)'!$L$2:$N$2)/10^9),0)</f>
        <v>-0.04210354753</v>
      </c>
      <c r="Y1874" s="177">
        <f>IF($P$1804&gt;0,PPMT('Assumptions (MSW)'!$V$6,Model!AF$1,'Assumptions (MSW)'!$V$9,'Assumptions (MSW)'!$V$4*Model!$P$1804*AVERAGE('Assumptions (MSW)'!$L$2:$N$2)/10^9),0)</f>
        <v>-0.04410346604</v>
      </c>
      <c r="Z1874" s="177">
        <f>IF($P$1804&gt;0,PPMT('Assumptions (MSW)'!$V$6,Model!AG$1,'Assumptions (MSW)'!$V$9,'Assumptions (MSW)'!$V$4*Model!$P$1804*AVERAGE('Assumptions (MSW)'!$L$2:$N$2)/10^9),0)</f>
        <v>-0.04619838068</v>
      </c>
      <c r="AA1874" s="177">
        <f>IF($P$1804&gt;0,PPMT('Assumptions (MSW)'!$V$6,Model!AH$1,'Assumptions (MSW)'!$V$9,'Assumptions (MSW)'!$V$4*Model!$P$1804*AVERAGE('Assumptions (MSW)'!$L$2:$N$2)/10^9),0)</f>
        <v>-0.04839280376</v>
      </c>
      <c r="AB1874" s="177">
        <f>IF($P$1804&gt;0,PPMT('Assumptions (MSW)'!$V$6,Model!AI$1,'Assumptions (MSW)'!$V$9,'Assumptions (MSW)'!$V$4*Model!$P$1804*AVERAGE('Assumptions (MSW)'!$L$2:$N$2)/10^9),0)</f>
        <v>-0.05069146194</v>
      </c>
      <c r="AC1874" s="177">
        <f>IF($P$1804&gt;0,PPMT('Assumptions (MSW)'!$V$6,Model!AJ$1,'Assumptions (MSW)'!$V$9,'Assumptions (MSW)'!$V$4*Model!$P$1804*AVERAGE('Assumptions (MSW)'!$L$2:$N$2)/10^9),0)</f>
        <v>-0.05309930638</v>
      </c>
      <c r="AD1874" s="177">
        <f>IF($P$1804&gt;0,PPMT('Assumptions (MSW)'!$V$6,Model!AK$1,'Assumptions (MSW)'!$V$9,'Assumptions (MSW)'!$V$4*Model!$P$1804*AVERAGE('Assumptions (MSW)'!$L$2:$N$2)/10^9),0)</f>
        <v>-0.05562152343</v>
      </c>
      <c r="AE1874" s="177"/>
      <c r="AF1874" s="177"/>
      <c r="AG1874" s="177"/>
      <c r="AH1874" s="177"/>
      <c r="AI1874" s="177"/>
      <c r="AJ1874" s="177"/>
      <c r="AK1874" s="177"/>
      <c r="AL1874" s="177"/>
      <c r="AM1874" s="177"/>
      <c r="AN1874" s="177"/>
    </row>
    <row r="1875" ht="15.75" hidden="1" customHeight="1" outlineLevel="1">
      <c r="A1875" s="309"/>
      <c r="B1875" s="38"/>
      <c r="C1875" s="160"/>
      <c r="D1875" s="160"/>
      <c r="E1875" s="160"/>
      <c r="F1875" s="160"/>
      <c r="G1875" s="160"/>
      <c r="H1875" s="160"/>
      <c r="I1875" s="160"/>
      <c r="J1875" s="160"/>
      <c r="K1875" s="160"/>
      <c r="L1875" s="160"/>
      <c r="M1875" s="160"/>
      <c r="N1875" s="160"/>
      <c r="O1875" s="160"/>
      <c r="P1875" s="179"/>
      <c r="Q1875" s="160">
        <f>IF($Q$1804&gt;0,PPMT('Assumptions (MSW)'!$V$6,Model!W$1,'Assumptions (MSW)'!$V$9,'Assumptions (MSW)'!$V$4*Model!$Q$1804*AVERAGE('Assumptions (MSW)'!$M$2:$O$2)/10^9),0)</f>
        <v>-0.01868418861</v>
      </c>
      <c r="R1875" s="160">
        <f>IF($Q$1804&gt;0,PPMT('Assumptions (MSW)'!$V$6,Model!X$1,'Assumptions (MSW)'!$V$9,'Assumptions (MSW)'!$V$4*Model!$Q$1804*AVERAGE('Assumptions (MSW)'!$M$2:$O$2)/10^9),0)</f>
        <v>-0.01957168757</v>
      </c>
      <c r="S1875" s="160">
        <f>IF($Q$1804&gt;0,PPMT('Assumptions (MSW)'!$V$6,Model!Y$1,'Assumptions (MSW)'!$V$9,'Assumptions (MSW)'!$V$4*Model!$Q$1804*AVERAGE('Assumptions (MSW)'!$M$2:$O$2)/10^9),0)</f>
        <v>-0.02050134272</v>
      </c>
      <c r="T1875" s="160">
        <f>IF($Q$1804&gt;0,PPMT('Assumptions (MSW)'!$V$6,Model!Z$1,'Assumptions (MSW)'!$V$9,'Assumptions (MSW)'!$V$4*Model!$Q$1804*AVERAGE('Assumptions (MSW)'!$M$2:$O$2)/10^9),0)</f>
        <v>-0.0214751565</v>
      </c>
      <c r="U1875" s="160">
        <f>IF($Q$1804&gt;0,PPMT('Assumptions (MSW)'!$V$6,Model!AA$1,'Assumptions (MSW)'!$V$9,'Assumptions (MSW)'!$V$4*Model!$Q$1804*AVERAGE('Assumptions (MSW)'!$M$2:$O$2)/10^9),0)</f>
        <v>-0.02249522644</v>
      </c>
      <c r="V1875" s="160">
        <f>IF($Q$1804&gt;0,PPMT('Assumptions (MSW)'!$V$6,Model!AB$1,'Assumptions (MSW)'!$V$9,'Assumptions (MSW)'!$V$4*Model!$Q$1804*AVERAGE('Assumptions (MSW)'!$M$2:$O$2)/10^9),0)</f>
        <v>-0.02356374969</v>
      </c>
      <c r="W1875" s="160">
        <f>IF($Q$1804&gt;0,PPMT('Assumptions (MSW)'!$V$6,Model!AC$1,'Assumptions (MSW)'!$V$9,'Assumptions (MSW)'!$V$4*Model!$Q$1804*AVERAGE('Assumptions (MSW)'!$M$2:$O$2)/10^9),0)</f>
        <v>-0.0246830278</v>
      </c>
      <c r="X1875" s="160">
        <f>IF($Q$1804&gt;0,PPMT('Assumptions (MSW)'!$V$6,Model!AD$1,'Assumptions (MSW)'!$V$9,'Assumptions (MSW)'!$V$4*Model!$Q$1804*AVERAGE('Assumptions (MSW)'!$M$2:$O$2)/10^9),0)</f>
        <v>-0.02585547162</v>
      </c>
      <c r="Y1875" s="160">
        <f>IF($Q$1804&gt;0,PPMT('Assumptions (MSW)'!$V$6,Model!AE$1,'Assumptions (MSW)'!$V$9,'Assumptions (MSW)'!$V$4*Model!$Q$1804*AVERAGE('Assumptions (MSW)'!$M$2:$O$2)/10^9),0)</f>
        <v>-0.02708360653</v>
      </c>
      <c r="Z1875" s="160">
        <f>IF($Q$1804&gt;0,PPMT('Assumptions (MSW)'!$V$6,Model!AF$1,'Assumptions (MSW)'!$V$9,'Assumptions (MSW)'!$V$4*Model!$Q$1804*AVERAGE('Assumptions (MSW)'!$M$2:$O$2)/10^9),0)</f>
        <v>-0.02837007784</v>
      </c>
      <c r="AA1875" s="160">
        <f>IF($Q$1804&gt;0,PPMT('Assumptions (MSW)'!$V$6,Model!AG$1,'Assumptions (MSW)'!$V$9,'Assumptions (MSW)'!$V$4*Model!$Q$1804*AVERAGE('Assumptions (MSW)'!$M$2:$O$2)/10^9),0)</f>
        <v>-0.02971765653</v>
      </c>
      <c r="AB1875" s="160">
        <f>IF($Q$1804&gt;0,PPMT('Assumptions (MSW)'!$V$6,Model!AH$1,'Assumptions (MSW)'!$V$9,'Assumptions (MSW)'!$V$4*Model!$Q$1804*AVERAGE('Assumptions (MSW)'!$M$2:$O$2)/10^9),0)</f>
        <v>-0.03112924522</v>
      </c>
      <c r="AC1875" s="160">
        <f>IF($Q$1804&gt;0,PPMT('Assumptions (MSW)'!$V$6,Model!AI$1,'Assumptions (MSW)'!$V$9,'Assumptions (MSW)'!$V$4*Model!$Q$1804*AVERAGE('Assumptions (MSW)'!$M$2:$O$2)/10^9),0)</f>
        <v>-0.03260788437</v>
      </c>
      <c r="AD1875" s="160">
        <f>IF($Q$1804&gt;0,PPMT('Assumptions (MSW)'!$V$6,Model!AJ$1,'Assumptions (MSW)'!$V$9,'Assumptions (MSW)'!$V$4*Model!$Q$1804*AVERAGE('Assumptions (MSW)'!$M$2:$O$2)/10^9),0)</f>
        <v>-0.03415675888</v>
      </c>
      <c r="AE1875" s="160">
        <f>IF($Q$1804&gt;0,PPMT('Assumptions (MSW)'!$V$6,Model!AK$1,'Assumptions (MSW)'!$V$9,'Assumptions (MSW)'!$V$4*Model!$Q$1804*AVERAGE('Assumptions (MSW)'!$M$2:$O$2)/10^9),0)</f>
        <v>-0.03577920492</v>
      </c>
      <c r="AF1875" s="160"/>
      <c r="AG1875" s="160"/>
      <c r="AH1875" s="160"/>
      <c r="AI1875" s="160"/>
      <c r="AJ1875" s="160"/>
      <c r="AK1875" s="160"/>
      <c r="AL1875" s="160"/>
      <c r="AM1875" s="160"/>
      <c r="AN1875" s="160"/>
      <c r="AO1875" s="160"/>
    </row>
    <row r="1876" ht="15.75" hidden="1" customHeight="1" outlineLevel="1">
      <c r="A1876" s="309"/>
      <c r="B1876" s="38"/>
      <c r="C1876" s="160"/>
      <c r="D1876" s="160"/>
      <c r="E1876" s="160"/>
      <c r="F1876" s="160"/>
      <c r="G1876" s="160"/>
      <c r="H1876" s="160"/>
      <c r="I1876" s="160"/>
      <c r="J1876" s="160"/>
      <c r="K1876" s="160"/>
      <c r="L1876" s="160"/>
      <c r="M1876" s="160"/>
      <c r="N1876" s="160"/>
      <c r="O1876" s="160"/>
      <c r="P1876" s="179"/>
      <c r="Q1876" s="160"/>
      <c r="R1876" s="177">
        <f>IF($R$1804&gt;0,PPMT('Assumptions (MSW)'!$V$6,Model!W$1,'Assumptions (MSW)'!$V$9,'Assumptions (MSW)'!$V$4*Model!$R$1804*AVERAGE('Assumptions (MSW)'!$N$2:$P$2)/10^9),0)</f>
        <v>-0.02175350335</v>
      </c>
      <c r="S1876" s="177">
        <f>IF($R$1804&gt;0,PPMT('Assumptions (MSW)'!$V$6,Model!X$1,'Assumptions (MSW)'!$V$9,'Assumptions (MSW)'!$V$4*Model!$R$1804*AVERAGE('Assumptions (MSW)'!$N$2:$P$2)/10^9),0)</f>
        <v>-0.02278679476</v>
      </c>
      <c r="T1876" s="177">
        <f>IF($R$1804&gt;0,PPMT('Assumptions (MSW)'!$V$6,Model!Y$1,'Assumptions (MSW)'!$V$9,'Assumptions (MSW)'!$V$4*Model!$R$1804*AVERAGE('Assumptions (MSW)'!$N$2:$P$2)/10^9),0)</f>
        <v>-0.02386916751</v>
      </c>
      <c r="U1876" s="177">
        <f>IF($R$1804&gt;0,PPMT('Assumptions (MSW)'!$V$6,Model!Z$1,'Assumptions (MSW)'!$V$9,'Assumptions (MSW)'!$V$4*Model!$R$1804*AVERAGE('Assumptions (MSW)'!$N$2:$P$2)/10^9),0)</f>
        <v>-0.02500295297</v>
      </c>
      <c r="V1876" s="177">
        <f>IF($R$1804&gt;0,PPMT('Assumptions (MSW)'!$V$6,Model!AA$1,'Assumptions (MSW)'!$V$9,'Assumptions (MSW)'!$V$4*Model!$R$1804*AVERAGE('Assumptions (MSW)'!$N$2:$P$2)/10^9),0)</f>
        <v>-0.02619059324</v>
      </c>
      <c r="W1876" s="177">
        <f>IF($R$1804&gt;0,PPMT('Assumptions (MSW)'!$V$6,Model!AB$1,'Assumptions (MSW)'!$V$9,'Assumptions (MSW)'!$V$4*Model!$R$1804*AVERAGE('Assumptions (MSW)'!$N$2:$P$2)/10^9),0)</f>
        <v>-0.02743464641</v>
      </c>
      <c r="X1876" s="177">
        <f>IF($R$1804&gt;0,PPMT('Assumptions (MSW)'!$V$6,Model!AC$1,'Assumptions (MSW)'!$V$9,'Assumptions (MSW)'!$V$4*Model!$R$1804*AVERAGE('Assumptions (MSW)'!$N$2:$P$2)/10^9),0)</f>
        <v>-0.02873779212</v>
      </c>
      <c r="Y1876" s="177">
        <f>IF($R$1804&gt;0,PPMT('Assumptions (MSW)'!$V$6,Model!AD$1,'Assumptions (MSW)'!$V$9,'Assumptions (MSW)'!$V$4*Model!$R$1804*AVERAGE('Assumptions (MSW)'!$N$2:$P$2)/10^9),0)</f>
        <v>-0.03010283724</v>
      </c>
      <c r="Z1876" s="177">
        <f>IF($R$1804&gt;0,PPMT('Assumptions (MSW)'!$V$6,Model!AE$1,'Assumptions (MSW)'!$V$9,'Assumptions (MSW)'!$V$4*Model!$R$1804*AVERAGE('Assumptions (MSW)'!$N$2:$P$2)/10^9),0)</f>
        <v>-0.03153272201</v>
      </c>
      <c r="AA1876" s="177">
        <f>IF($R$1804&gt;0,PPMT('Assumptions (MSW)'!$V$6,Model!AF$1,'Assumptions (MSW)'!$V$9,'Assumptions (MSW)'!$V$4*Model!$R$1804*AVERAGE('Assumptions (MSW)'!$N$2:$P$2)/10^9),0)</f>
        <v>-0.03303052631</v>
      </c>
      <c r="AB1876" s="177">
        <f>IF($R$1804&gt;0,PPMT('Assumptions (MSW)'!$V$6,Model!AG$1,'Assumptions (MSW)'!$V$9,'Assumptions (MSW)'!$V$4*Model!$R$1804*AVERAGE('Assumptions (MSW)'!$N$2:$P$2)/10^9),0)</f>
        <v>-0.03459947631</v>
      </c>
      <c r="AC1876" s="177">
        <f>IF($R$1804&gt;0,PPMT('Assumptions (MSW)'!$V$6,Model!AH$1,'Assumptions (MSW)'!$V$9,'Assumptions (MSW)'!$V$4*Model!$R$1804*AVERAGE('Assumptions (MSW)'!$N$2:$P$2)/10^9),0)</f>
        <v>-0.03624295143</v>
      </c>
      <c r="AD1876" s="177">
        <f>IF($R$1804&gt;0,PPMT('Assumptions (MSW)'!$V$6,Model!AI$1,'Assumptions (MSW)'!$V$9,'Assumptions (MSW)'!$V$4*Model!$R$1804*AVERAGE('Assumptions (MSW)'!$N$2:$P$2)/10^9),0)</f>
        <v>-0.03796449163</v>
      </c>
      <c r="AE1876" s="177">
        <f>IF($R$1804&gt;0,PPMT('Assumptions (MSW)'!$V$6,Model!AJ$1,'Assumptions (MSW)'!$V$9,'Assumptions (MSW)'!$V$4*Model!$R$1804*AVERAGE('Assumptions (MSW)'!$N$2:$P$2)/10^9),0)</f>
        <v>-0.03976780498</v>
      </c>
      <c r="AF1876" s="177">
        <f>IF($R$1804&gt;0,PPMT('Assumptions (MSW)'!$V$6,Model!AK$1,'Assumptions (MSW)'!$V$9,'Assumptions (MSW)'!$V$4*Model!$R$1804*AVERAGE('Assumptions (MSW)'!$N$2:$P$2)/10^9),0)</f>
        <v>-0.04165677572</v>
      </c>
      <c r="AG1876" s="177"/>
      <c r="AH1876" s="177"/>
      <c r="AI1876" s="177"/>
      <c r="AJ1876" s="177"/>
      <c r="AK1876" s="177"/>
      <c r="AL1876" s="177"/>
      <c r="AM1876" s="177"/>
      <c r="AN1876" s="177"/>
      <c r="AO1876" s="177"/>
      <c r="AP1876" s="177"/>
    </row>
    <row r="1877" ht="15.75" hidden="1" customHeight="1" outlineLevel="1">
      <c r="A1877" s="309"/>
      <c r="B1877" s="38"/>
      <c r="C1877" s="160"/>
      <c r="D1877" s="160"/>
      <c r="E1877" s="160"/>
      <c r="F1877" s="160"/>
      <c r="G1877" s="160"/>
      <c r="H1877" s="160"/>
      <c r="I1877" s="160"/>
      <c r="J1877" s="160"/>
      <c r="K1877" s="160"/>
      <c r="L1877" s="160"/>
      <c r="M1877" s="160"/>
      <c r="N1877" s="160"/>
      <c r="O1877" s="160"/>
      <c r="P1877" s="179"/>
      <c r="Q1877" s="160"/>
      <c r="R1877" s="177"/>
      <c r="S1877" s="160">
        <f>IF($S$1804&gt;0,PPMT('Assumptions (MSW)'!$V$6,Model!W$1,'Assumptions (MSW)'!$V$9,'Assumptions (MSW)'!$V$4*Model!$S$1804*AVERAGE('Assumptions (MSW)'!$O$2:$Q$2)/10^9),0)</f>
        <v>-0.01811438734</v>
      </c>
      <c r="T1877" s="160">
        <f>IF($S$1804&gt;0,PPMT('Assumptions (MSW)'!$V$6,Model!X$1,'Assumptions (MSW)'!$V$9,'Assumptions (MSW)'!$V$4*Model!$S$1804*AVERAGE('Assumptions (MSW)'!$O$2:$Q$2)/10^9),0)</f>
        <v>-0.01897482074</v>
      </c>
      <c r="U1877" s="160">
        <f>IF($S$1804&gt;0,PPMT('Assumptions (MSW)'!$V$6,Model!Y$1,'Assumptions (MSW)'!$V$9,'Assumptions (MSW)'!$V$4*Model!$S$1804*AVERAGE('Assumptions (MSW)'!$O$2:$Q$2)/10^9),0)</f>
        <v>-0.01987612473</v>
      </c>
      <c r="V1877" s="160">
        <f>IF($S$1804&gt;0,PPMT('Assumptions (MSW)'!$V$6,Model!Z$1,'Assumptions (MSW)'!$V$9,'Assumptions (MSW)'!$V$4*Model!$S$1804*AVERAGE('Assumptions (MSW)'!$O$2:$Q$2)/10^9),0)</f>
        <v>-0.02082024065</v>
      </c>
      <c r="W1877" s="160">
        <f>IF($S$1804&gt;0,PPMT('Assumptions (MSW)'!$V$6,Model!AA$1,'Assumptions (MSW)'!$V$9,'Assumptions (MSW)'!$V$4*Model!$S$1804*AVERAGE('Assumptions (MSW)'!$O$2:$Q$2)/10^9),0)</f>
        <v>-0.02180920208</v>
      </c>
      <c r="X1877" s="160">
        <f>IF($S$1804&gt;0,PPMT('Assumptions (MSW)'!$V$6,Model!AB$1,'Assumptions (MSW)'!$V$9,'Assumptions (MSW)'!$V$4*Model!$S$1804*AVERAGE('Assumptions (MSW)'!$O$2:$Q$2)/10^9),0)</f>
        <v>-0.02284513918</v>
      </c>
      <c r="Y1877" s="160">
        <f>IF($S$1804&gt;0,PPMT('Assumptions (MSW)'!$V$6,Model!AC$1,'Assumptions (MSW)'!$V$9,'Assumptions (MSW)'!$V$4*Model!$S$1804*AVERAGE('Assumptions (MSW)'!$O$2:$Q$2)/10^9),0)</f>
        <v>-0.02393028329</v>
      </c>
      <c r="Z1877" s="160">
        <f>IF($S$1804&gt;0,PPMT('Assumptions (MSW)'!$V$6,Model!AD$1,'Assumptions (MSW)'!$V$9,'Assumptions (MSW)'!$V$4*Model!$S$1804*AVERAGE('Assumptions (MSW)'!$O$2:$Q$2)/10^9),0)</f>
        <v>-0.02506697175</v>
      </c>
      <c r="AA1877" s="160">
        <f>IF($S$1804&gt;0,PPMT('Assumptions (MSW)'!$V$6,Model!AE$1,'Assumptions (MSW)'!$V$9,'Assumptions (MSW)'!$V$4*Model!$S$1804*AVERAGE('Assumptions (MSW)'!$O$2:$Q$2)/10^9),0)</f>
        <v>-0.02625765291</v>
      </c>
      <c r="AB1877" s="160">
        <f>IF($S$1804&gt;0,PPMT('Assumptions (MSW)'!$V$6,Model!AF$1,'Assumptions (MSW)'!$V$9,'Assumptions (MSW)'!$V$4*Model!$S$1804*AVERAGE('Assumptions (MSW)'!$O$2:$Q$2)/10^9),0)</f>
        <v>-0.02750489142</v>
      </c>
      <c r="AC1877" s="160">
        <f>IF($S$1804&gt;0,PPMT('Assumptions (MSW)'!$V$6,Model!AG$1,'Assumptions (MSW)'!$V$9,'Assumptions (MSW)'!$V$4*Model!$S$1804*AVERAGE('Assumptions (MSW)'!$O$2:$Q$2)/10^9),0)</f>
        <v>-0.02881137376</v>
      </c>
      <c r="AD1877" s="160">
        <f>IF($S$1804&gt;0,PPMT('Assumptions (MSW)'!$V$6,Model!AH$1,'Assumptions (MSW)'!$V$9,'Assumptions (MSW)'!$V$4*Model!$S$1804*AVERAGE('Assumptions (MSW)'!$O$2:$Q$2)/10^9),0)</f>
        <v>-0.03017991402</v>
      </c>
      <c r="AE1877" s="160">
        <f>IF($S$1804&gt;0,PPMT('Assumptions (MSW)'!$V$6,Model!AI$1,'Assumptions (MSW)'!$V$9,'Assumptions (MSW)'!$V$4*Model!$S$1804*AVERAGE('Assumptions (MSW)'!$O$2:$Q$2)/10^9),0)</f>
        <v>-0.03161345993</v>
      </c>
      <c r="AF1877" s="160">
        <f>IF($S$1804&gt;0,PPMT('Assumptions (MSW)'!$V$6,Model!AJ$1,'Assumptions (MSW)'!$V$9,'Assumptions (MSW)'!$V$4*Model!$S$1804*AVERAGE('Assumptions (MSW)'!$O$2:$Q$2)/10^9),0)</f>
        <v>-0.03311509928</v>
      </c>
      <c r="AG1877" s="160">
        <f>IF($S$1804&gt;0,PPMT('Assumptions (MSW)'!$V$6,Model!AK$1,'Assumptions (MSW)'!$V$9,'Assumptions (MSW)'!$V$4*Model!$S$1804*AVERAGE('Assumptions (MSW)'!$O$2:$Q$2)/10^9),0)</f>
        <v>-0.0346880665</v>
      </c>
      <c r="AH1877" s="160"/>
      <c r="AI1877" s="160"/>
      <c r="AJ1877" s="160"/>
      <c r="AK1877" s="160"/>
      <c r="AL1877" s="160"/>
      <c r="AM1877" s="160"/>
      <c r="AN1877" s="160"/>
      <c r="AO1877" s="160"/>
      <c r="AP1877" s="160"/>
      <c r="AQ1877" s="160"/>
    </row>
    <row r="1878" ht="15.75" hidden="1" customHeight="1" outlineLevel="1">
      <c r="A1878" s="309"/>
      <c r="B1878" s="38"/>
      <c r="C1878" s="160"/>
      <c r="D1878" s="160"/>
      <c r="E1878" s="160"/>
      <c r="F1878" s="160"/>
      <c r="G1878" s="160"/>
      <c r="H1878" s="160"/>
      <c r="I1878" s="160"/>
      <c r="J1878" s="160"/>
      <c r="K1878" s="160"/>
      <c r="L1878" s="160"/>
      <c r="M1878" s="160"/>
      <c r="N1878" s="160"/>
      <c r="O1878" s="160"/>
      <c r="P1878" s="179"/>
      <c r="Q1878" s="160"/>
      <c r="R1878" s="177"/>
      <c r="S1878" s="177"/>
      <c r="T1878" s="160">
        <f>IF($T$1804&gt;0,PPMT('Assumptions (MSW)'!$V$6,Model!W$1,'Assumptions (MSW)'!$V$9,'Assumptions (MSW)'!$V$4*Model!$T$1804*AVERAGE('Assumptions (MSW)'!$P$2:$R$2)/10^9),0)</f>
        <v>-0.007071141152</v>
      </c>
      <c r="U1878" s="160">
        <f>IF($T$1804&gt;0,PPMT('Assumptions (MSW)'!$V$6,Model!X$1,'Assumptions (MSW)'!$V$9,'Assumptions (MSW)'!$V$4*Model!$T$1804*AVERAGE('Assumptions (MSW)'!$P$2:$R$2)/10^9),0)</f>
        <v>-0.007407020357</v>
      </c>
      <c r="V1878" s="160">
        <f>IF($T$1804&gt;0,PPMT('Assumptions (MSW)'!$V$6,Model!Y$1,'Assumptions (MSW)'!$V$9,'Assumptions (MSW)'!$V$4*Model!$T$1804*AVERAGE('Assumptions (MSW)'!$P$2:$R$2)/10^9),0)</f>
        <v>-0.007758853824</v>
      </c>
      <c r="W1878" s="160">
        <f>IF($T$1804&gt;0,PPMT('Assumptions (MSW)'!$V$6,Model!Z$1,'Assumptions (MSW)'!$V$9,'Assumptions (MSW)'!$V$4*Model!$T$1804*AVERAGE('Assumptions (MSW)'!$P$2:$R$2)/10^9),0)</f>
        <v>-0.008127399381</v>
      </c>
      <c r="X1878" s="160">
        <f>IF($T$1804&gt;0,PPMT('Assumptions (MSW)'!$V$6,Model!AA$1,'Assumptions (MSW)'!$V$9,'Assumptions (MSW)'!$V$4*Model!$T$1804*AVERAGE('Assumptions (MSW)'!$P$2:$R$2)/10^9),0)</f>
        <v>-0.008513450851</v>
      </c>
      <c r="Y1878" s="160">
        <f>IF($T$1804&gt;0,PPMT('Assumptions (MSW)'!$V$6,Model!AB$1,'Assumptions (MSW)'!$V$9,'Assumptions (MSW)'!$V$4*Model!$T$1804*AVERAGE('Assumptions (MSW)'!$P$2:$R$2)/10^9),0)</f>
        <v>-0.008917839767</v>
      </c>
      <c r="Z1878" s="160">
        <f>IF($T$1804&gt;0,PPMT('Assumptions (MSW)'!$V$6,Model!AC$1,'Assumptions (MSW)'!$V$9,'Assumptions (MSW)'!$V$4*Model!$T$1804*AVERAGE('Assumptions (MSW)'!$P$2:$R$2)/10^9),0)</f>
        <v>-0.009341437156</v>
      </c>
      <c r="AA1878" s="160">
        <f>IF($T$1804&gt;0,PPMT('Assumptions (MSW)'!$V$6,Model!AD$1,'Assumptions (MSW)'!$V$9,'Assumptions (MSW)'!$V$4*Model!$T$1804*AVERAGE('Assumptions (MSW)'!$P$2:$R$2)/10^9),0)</f>
        <v>-0.009785155421</v>
      </c>
      <c r="AB1878" s="160">
        <f>IF($T$1804&gt;0,PPMT('Assumptions (MSW)'!$V$6,Model!AE$1,'Assumptions (MSW)'!$V$9,'Assumptions (MSW)'!$V$4*Model!$T$1804*AVERAGE('Assumptions (MSW)'!$P$2:$R$2)/10^9),0)</f>
        <v>-0.0102499503</v>
      </c>
      <c r="AC1878" s="160">
        <f>IF($T$1804&gt;0,PPMT('Assumptions (MSW)'!$V$6,Model!AF$1,'Assumptions (MSW)'!$V$9,'Assumptions (MSW)'!$V$4*Model!$T$1804*AVERAGE('Assumptions (MSW)'!$P$2:$R$2)/10^9),0)</f>
        <v>-0.01073682294</v>
      </c>
      <c r="AD1878" s="160">
        <f>IF($T$1804&gt;0,PPMT('Assumptions (MSW)'!$V$6,Model!AG$1,'Assumptions (MSW)'!$V$9,'Assumptions (MSW)'!$V$4*Model!$T$1804*AVERAGE('Assumptions (MSW)'!$P$2:$R$2)/10^9),0)</f>
        <v>-0.01124682203</v>
      </c>
      <c r="AE1878" s="160">
        <f>IF($T$1804&gt;0,PPMT('Assumptions (MSW)'!$V$6,Model!AH$1,'Assumptions (MSW)'!$V$9,'Assumptions (MSW)'!$V$4*Model!$T$1804*AVERAGE('Assumptions (MSW)'!$P$2:$R$2)/10^9),0)</f>
        <v>-0.01178104608</v>
      </c>
      <c r="AF1878" s="160">
        <f>IF($T$1804&gt;0,PPMT('Assumptions (MSW)'!$V$6,Model!AI$1,'Assumptions (MSW)'!$V$9,'Assumptions (MSW)'!$V$4*Model!$T$1804*AVERAGE('Assumptions (MSW)'!$P$2:$R$2)/10^9),0)</f>
        <v>-0.01234064577</v>
      </c>
      <c r="AG1878" s="160">
        <f>IF($T$1804&gt;0,PPMT('Assumptions (MSW)'!$V$6,Model!AJ$1,'Assumptions (MSW)'!$V$9,'Assumptions (MSW)'!$V$4*Model!$T$1804*AVERAGE('Assumptions (MSW)'!$P$2:$R$2)/10^9),0)</f>
        <v>-0.01292682644</v>
      </c>
      <c r="AH1878" s="160">
        <f>IF($T$1804&gt;0,PPMT('Assumptions (MSW)'!$V$6,Model!AK$1,'Assumptions (MSW)'!$V$9,'Assumptions (MSW)'!$V$4*Model!$T$1804*AVERAGE('Assumptions (MSW)'!$P$2:$R$2)/10^9),0)</f>
        <v>-0.0135408507</v>
      </c>
      <c r="AI1878" s="160"/>
      <c r="AJ1878" s="160"/>
      <c r="AK1878" s="160"/>
      <c r="AL1878" s="160"/>
      <c r="AM1878" s="160"/>
      <c r="AN1878" s="160"/>
      <c r="AO1878" s="160"/>
      <c r="AP1878" s="160"/>
      <c r="AQ1878" s="160"/>
      <c r="AR1878" s="160"/>
    </row>
    <row r="1879" ht="15.75" hidden="1" customHeight="1" outlineLevel="1">
      <c r="A1879" s="309"/>
      <c r="B1879" s="38"/>
      <c r="C1879" s="160"/>
      <c r="D1879" s="160"/>
      <c r="E1879" s="160"/>
      <c r="F1879" s="160"/>
      <c r="G1879" s="160"/>
      <c r="H1879" s="160"/>
      <c r="I1879" s="160"/>
      <c r="J1879" s="160"/>
      <c r="K1879" s="160"/>
      <c r="L1879" s="160"/>
      <c r="M1879" s="160"/>
      <c r="N1879" s="160"/>
      <c r="O1879" s="160"/>
      <c r="P1879" s="179"/>
      <c r="Q1879" s="160"/>
      <c r="R1879" s="177"/>
      <c r="S1879" s="177"/>
      <c r="T1879" s="177"/>
      <c r="U1879" s="160">
        <f>IF($U$1804&gt;0,PPMT('Assumptions (MSW)'!$V$6,Model!W$1,'Assumptions (MSW)'!$V$9,'Assumptions (MSW)'!$V$4*Model!$U$1804*AVERAGE('Assumptions (MSW)'!$Q$2:$S$2)/10^9),0)</f>
        <v>-0.0003663144692</v>
      </c>
      <c r="V1879" s="160">
        <f>IF($U$1804&gt;0,PPMT('Assumptions (MSW)'!$V$6,Model!X$1,'Assumptions (MSW)'!$V$9,'Assumptions (MSW)'!$V$4*Model!$U$1804*AVERAGE('Assumptions (MSW)'!$Q$2:$S$2)/10^9),0)</f>
        <v>-0.0003837144065</v>
      </c>
      <c r="W1879" s="160">
        <f>IF($U$1804&gt;0,PPMT('Assumptions (MSW)'!$V$6,Model!Y$1,'Assumptions (MSW)'!$V$9,'Assumptions (MSW)'!$V$4*Model!$U$1804*AVERAGE('Assumptions (MSW)'!$Q$2:$S$2)/10^9),0)</f>
        <v>-0.0004019408408</v>
      </c>
      <c r="X1879" s="160">
        <f>IF($U$1804&gt;0,PPMT('Assumptions (MSW)'!$V$6,Model!Z$1,'Assumptions (MSW)'!$V$9,'Assumptions (MSW)'!$V$4*Model!$U$1804*AVERAGE('Assumptions (MSW)'!$Q$2:$S$2)/10^9),0)</f>
        <v>-0.0004210330308</v>
      </c>
      <c r="Y1879" s="160">
        <f>IF($U$1804&gt;0,PPMT('Assumptions (MSW)'!$V$6,Model!AA$1,'Assumptions (MSW)'!$V$9,'Assumptions (MSW)'!$V$4*Model!$U$1804*AVERAGE('Assumptions (MSW)'!$Q$2:$S$2)/10^9),0)</f>
        <v>-0.0004410320997</v>
      </c>
      <c r="Z1879" s="160">
        <f>IF($U$1804&gt;0,PPMT('Assumptions (MSW)'!$V$6,Model!AB$1,'Assumptions (MSW)'!$V$9,'Assumptions (MSW)'!$V$4*Model!$U$1804*AVERAGE('Assumptions (MSW)'!$Q$2:$S$2)/10^9),0)</f>
        <v>-0.0004619811245</v>
      </c>
      <c r="AA1879" s="160">
        <f>IF($U$1804&gt;0,PPMT('Assumptions (MSW)'!$V$6,Model!AC$1,'Assumptions (MSW)'!$V$9,'Assumptions (MSW)'!$V$4*Model!$U$1804*AVERAGE('Assumptions (MSW)'!$Q$2:$S$2)/10^9),0)</f>
        <v>-0.0004839252279</v>
      </c>
      <c r="AB1879" s="160">
        <f>IF($U$1804&gt;0,PPMT('Assumptions (MSW)'!$V$6,Model!AD$1,'Assumptions (MSW)'!$V$9,'Assumptions (MSW)'!$V$4*Model!$U$1804*AVERAGE('Assumptions (MSW)'!$Q$2:$S$2)/10^9),0)</f>
        <v>-0.0005069116762</v>
      </c>
      <c r="AC1879" s="160">
        <f>IF($U$1804&gt;0,PPMT('Assumptions (MSW)'!$V$6,Model!AE$1,'Assumptions (MSW)'!$V$9,'Assumptions (MSW)'!$V$4*Model!$U$1804*AVERAGE('Assumptions (MSW)'!$Q$2:$S$2)/10^9),0)</f>
        <v>-0.0005309899808</v>
      </c>
      <c r="AD1879" s="160">
        <f>IF($U$1804&gt;0,PPMT('Assumptions (MSW)'!$V$6,Model!AF$1,'Assumptions (MSW)'!$V$9,'Assumptions (MSW)'!$V$4*Model!$U$1804*AVERAGE('Assumptions (MSW)'!$Q$2:$S$2)/10^9),0)</f>
        <v>-0.0005562120049</v>
      </c>
      <c r="AE1879" s="160">
        <f>IF($U$1804&gt;0,PPMT('Assumptions (MSW)'!$V$6,Model!AG$1,'Assumptions (MSW)'!$V$9,'Assumptions (MSW)'!$V$4*Model!$U$1804*AVERAGE('Assumptions (MSW)'!$Q$2:$S$2)/10^9),0)</f>
        <v>-0.0005826320752</v>
      </c>
      <c r="AF1879" s="160">
        <f>IF($U$1804&gt;0,PPMT('Assumptions (MSW)'!$V$6,Model!AH$1,'Assumptions (MSW)'!$V$9,'Assumptions (MSW)'!$V$4*Model!$U$1804*AVERAGE('Assumptions (MSW)'!$Q$2:$S$2)/10^9),0)</f>
        <v>-0.0006103070987</v>
      </c>
      <c r="AG1879" s="160">
        <f>IF($U$1804&gt;0,PPMT('Assumptions (MSW)'!$V$6,Model!AI$1,'Assumptions (MSW)'!$V$9,'Assumptions (MSW)'!$V$4*Model!$U$1804*AVERAGE('Assumptions (MSW)'!$Q$2:$S$2)/10^9),0)</f>
        <v>-0.0006392966859</v>
      </c>
      <c r="AH1879" s="160">
        <f>IF($U$1804&gt;0,PPMT('Assumptions (MSW)'!$V$6,Model!AJ$1,'Assumptions (MSW)'!$V$9,'Assumptions (MSW)'!$V$4*Model!$U$1804*AVERAGE('Assumptions (MSW)'!$Q$2:$S$2)/10^9),0)</f>
        <v>-0.0006696632785</v>
      </c>
      <c r="AI1879" s="160">
        <f>IF($U$1804&gt;0,PPMT('Assumptions (MSW)'!$V$6,Model!AK$1,'Assumptions (MSW)'!$V$9,'Assumptions (MSW)'!$V$4*Model!$U$1804*AVERAGE('Assumptions (MSW)'!$Q$2:$S$2)/10^9),0)</f>
        <v>-0.0007014722842</v>
      </c>
      <c r="AJ1879" s="160"/>
      <c r="AK1879" s="160"/>
      <c r="AL1879" s="160"/>
      <c r="AM1879" s="160"/>
      <c r="AN1879" s="160"/>
      <c r="AO1879" s="160"/>
      <c r="AP1879" s="160"/>
      <c r="AQ1879" s="160"/>
      <c r="AR1879" s="160"/>
      <c r="AS1879" s="160"/>
    </row>
    <row r="1880" ht="15.75" hidden="1" customHeight="1" outlineLevel="1">
      <c r="A1880" s="309"/>
      <c r="B1880" s="38"/>
      <c r="C1880" s="160"/>
      <c r="D1880" s="160"/>
      <c r="E1880" s="160"/>
      <c r="F1880" s="160"/>
      <c r="G1880" s="160"/>
      <c r="H1880" s="160"/>
      <c r="I1880" s="160"/>
      <c r="J1880" s="160"/>
      <c r="K1880" s="160"/>
      <c r="L1880" s="160"/>
      <c r="M1880" s="160"/>
      <c r="N1880" s="160"/>
      <c r="O1880" s="160"/>
      <c r="P1880" s="179"/>
      <c r="Q1880" s="160"/>
      <c r="R1880" s="177"/>
      <c r="S1880" s="177"/>
      <c r="T1880" s="177"/>
      <c r="U1880" s="160"/>
      <c r="V1880" s="160">
        <f>IF($V$1804&gt;0,PPMT('Assumptions (MSW)'!$V$6,Model!W$1,'Assumptions (MSW)'!$V$9,'Assumptions (MSW)'!$V$4*Model!$V$1804*AVERAGE('Assumptions (MSW)'!$R$2:$T$2)/10^9),0)</f>
        <v>-0.001074105797</v>
      </c>
      <c r="W1880" s="160">
        <f>IF($V$1804&gt;0,PPMT('Assumptions (MSW)'!$V$6,Model!X$1,'Assumptions (MSW)'!$V$9,'Assumptions (MSW)'!$V$4*Model!$V$1804*AVERAGE('Assumptions (MSW)'!$R$2:$T$2)/10^9),0)</f>
        <v>-0.001125125822</v>
      </c>
      <c r="X1880" s="160">
        <f>IF($V$1804&gt;0,PPMT('Assumptions (MSW)'!$V$6,Model!Y$1,'Assumptions (MSW)'!$V$9,'Assumptions (MSW)'!$V$4*Model!$V$1804*AVERAGE('Assumptions (MSW)'!$R$2:$T$2)/10^9),0)</f>
        <v>-0.001178569299</v>
      </c>
      <c r="Y1880" s="160">
        <f>IF($V$1804&gt;0,PPMT('Assumptions (MSW)'!$V$6,Model!Z$1,'Assumptions (MSW)'!$V$9,'Assumptions (MSW)'!$V$4*Model!$V$1804*AVERAGE('Assumptions (MSW)'!$R$2:$T$2)/10^9),0)</f>
        <v>-0.00123455134</v>
      </c>
      <c r="Z1880" s="160">
        <f>IF($V$1804&gt;0,PPMT('Assumptions (MSW)'!$V$6,Model!AA$1,'Assumptions (MSW)'!$V$9,'Assumptions (MSW)'!$V$4*Model!$V$1804*AVERAGE('Assumptions (MSW)'!$R$2:$T$2)/10^9),0)</f>
        <v>-0.001293192529</v>
      </c>
      <c r="AA1880" s="160">
        <f>IF($V$1804&gt;0,PPMT('Assumptions (MSW)'!$V$6,Model!AB$1,'Assumptions (MSW)'!$V$9,'Assumptions (MSW)'!$V$4*Model!$V$1804*AVERAGE('Assumptions (MSW)'!$R$2:$T$2)/10^9),0)</f>
        <v>-0.001354619174</v>
      </c>
      <c r="AB1880" s="160">
        <f>IF($V$1804&gt;0,PPMT('Assumptions (MSW)'!$V$6,Model!AC$1,'Assumptions (MSW)'!$V$9,'Assumptions (MSW)'!$V$4*Model!$V$1804*AVERAGE('Assumptions (MSW)'!$R$2:$T$2)/10^9),0)</f>
        <v>-0.001418963585</v>
      </c>
      <c r="AC1880" s="160">
        <f>IF($V$1804&gt;0,PPMT('Assumptions (MSW)'!$V$6,Model!AD$1,'Assumptions (MSW)'!$V$9,'Assumptions (MSW)'!$V$4*Model!$V$1804*AVERAGE('Assumptions (MSW)'!$R$2:$T$2)/10^9),0)</f>
        <v>-0.001486364355</v>
      </c>
      <c r="AD1880" s="160">
        <f>IF($V$1804&gt;0,PPMT('Assumptions (MSW)'!$V$6,Model!AE$1,'Assumptions (MSW)'!$V$9,'Assumptions (MSW)'!$V$4*Model!$V$1804*AVERAGE('Assumptions (MSW)'!$R$2:$T$2)/10^9),0)</f>
        <v>-0.001556966662</v>
      </c>
      <c r="AE1880" s="160">
        <f>IF($V$1804&gt;0,PPMT('Assumptions (MSW)'!$V$6,Model!AF$1,'Assumptions (MSW)'!$V$9,'Assumptions (MSW)'!$V$4*Model!$V$1804*AVERAGE('Assumptions (MSW)'!$R$2:$T$2)/10^9),0)</f>
        <v>-0.001630922578</v>
      </c>
      <c r="AF1880" s="160">
        <f>IF($V$1804&gt;0,PPMT('Assumptions (MSW)'!$V$6,Model!AG$1,'Assumptions (MSW)'!$V$9,'Assumptions (MSW)'!$V$4*Model!$V$1804*AVERAGE('Assumptions (MSW)'!$R$2:$T$2)/10^9),0)</f>
        <v>-0.001708391401</v>
      </c>
      <c r="AG1880" s="160">
        <f>IF($V$1804&gt;0,PPMT('Assumptions (MSW)'!$V$6,Model!AH$1,'Assumptions (MSW)'!$V$9,'Assumptions (MSW)'!$V$4*Model!$V$1804*AVERAGE('Assumptions (MSW)'!$R$2:$T$2)/10^9),0)</f>
        <v>-0.001789539992</v>
      </c>
      <c r="AH1880" s="160">
        <f>IF($V$1804&gt;0,PPMT('Assumptions (MSW)'!$V$6,Model!AI$1,'Assumptions (MSW)'!$V$9,'Assumptions (MSW)'!$V$4*Model!$V$1804*AVERAGE('Assumptions (MSW)'!$R$2:$T$2)/10^9),0)</f>
        <v>-0.001874543142</v>
      </c>
      <c r="AI1880" s="160">
        <f>IF($V$1804&gt;0,PPMT('Assumptions (MSW)'!$V$6,Model!AJ$1,'Assumptions (MSW)'!$V$9,'Assumptions (MSW)'!$V$4*Model!$V$1804*AVERAGE('Assumptions (MSW)'!$R$2:$T$2)/10^9),0)</f>
        <v>-0.001963583941</v>
      </c>
      <c r="AJ1880" s="160">
        <f>IF($V$1804&gt;0,PPMT('Assumptions (MSW)'!$V$6,Model!AK$1,'Assumptions (MSW)'!$V$9,'Assumptions (MSW)'!$V$4*Model!$V$1804*AVERAGE('Assumptions (MSW)'!$R$2:$T$2)/10^9),0)</f>
        <v>-0.002056854179</v>
      </c>
      <c r="AK1880" s="160"/>
      <c r="AL1880" s="160"/>
      <c r="AM1880" s="160"/>
      <c r="AN1880" s="160"/>
      <c r="AO1880" s="160"/>
      <c r="AP1880" s="160"/>
      <c r="AQ1880" s="160"/>
      <c r="AR1880" s="160"/>
      <c r="AS1880" s="160"/>
      <c r="AT1880" s="160"/>
    </row>
    <row r="1881" ht="15.75" hidden="1" customHeight="1" outlineLevel="1">
      <c r="A1881" s="309"/>
      <c r="B1881" s="38"/>
      <c r="C1881" s="174"/>
      <c r="D1881" s="174"/>
      <c r="E1881" s="174"/>
      <c r="F1881" s="174"/>
      <c r="G1881" s="174"/>
      <c r="H1881" s="174"/>
      <c r="I1881" s="174"/>
      <c r="J1881" s="174"/>
      <c r="K1881" s="174"/>
      <c r="L1881" s="174"/>
      <c r="M1881" s="174"/>
      <c r="N1881" s="174"/>
      <c r="O1881" s="174"/>
      <c r="P1881" s="174"/>
      <c r="Q1881" s="174"/>
      <c r="R1881" s="174"/>
      <c r="S1881" s="174"/>
      <c r="T1881" s="174"/>
      <c r="U1881" s="174"/>
      <c r="V1881" s="174"/>
      <c r="W1881" s="160">
        <f>IF($W$1804&gt;0,PPMT('Assumptions (MSW)'!$V$6,Model!W$1,'Assumptions (MSW)'!$V$9,'Assumptions (MSW)'!$V$4*Model!$W$1804*average('Assumptions (MSW)'!$S$2:$U$2)/10^9),0)</f>
        <v>0</v>
      </c>
      <c r="X1881" s="160">
        <f>IF($W$1804&gt;0,PPMT('Assumptions (MSW)'!$V$6,Model!X$1,'Assumptions (MSW)'!$V$9,'Assumptions (MSW)'!$V$4*Model!$W$1804*average('Assumptions (MSW)'!$S$2:$U$2)/10^9),0)</f>
        <v>0</v>
      </c>
      <c r="Y1881" s="160">
        <f>IF($W$1804&gt;0,PPMT('Assumptions (MSW)'!$V$6,Model!Y$1,'Assumptions (MSW)'!$V$9,'Assumptions (MSW)'!$V$4*Model!$W$1804*average('Assumptions (MSW)'!$S$2:$U$2)/10^9),0)</f>
        <v>0</v>
      </c>
      <c r="Z1881" s="160">
        <f>IF($W$1804&gt;0,PPMT('Assumptions (MSW)'!$V$6,Model!Z$1,'Assumptions (MSW)'!$V$9,'Assumptions (MSW)'!$V$4*Model!$W$1804*average('Assumptions (MSW)'!$S$2:$U$2)/10^9),0)</f>
        <v>0</v>
      </c>
      <c r="AA1881" s="160">
        <f>IF($W$1804&gt;0,PPMT('Assumptions (MSW)'!$V$6,Model!AA$1,'Assumptions (MSW)'!$V$9,'Assumptions (MSW)'!$V$4*Model!$W$1804*average('Assumptions (MSW)'!$S$2:$U$2)/10^9),0)</f>
        <v>0</v>
      </c>
      <c r="AB1881" s="160">
        <f>IF($W$1804&gt;0,PPMT('Assumptions (MSW)'!$V$6,Model!AB$1,'Assumptions (MSW)'!$V$9,'Assumptions (MSW)'!$V$4*Model!$W$1804*average('Assumptions (MSW)'!$S$2:$U$2)/10^9),0)</f>
        <v>0</v>
      </c>
      <c r="AC1881" s="160">
        <f>IF($W$1804&gt;0,PPMT('Assumptions (MSW)'!$V$6,Model!AC$1,'Assumptions (MSW)'!$V$9,'Assumptions (MSW)'!$V$4*Model!$W$1804*average('Assumptions (MSW)'!$S$2:$U$2)/10^9),0)</f>
        <v>0</v>
      </c>
      <c r="AD1881" s="160">
        <f>IF($W$1804&gt;0,PPMT('Assumptions (MSW)'!$V$6,Model!AD$1,'Assumptions (MSW)'!$V$9,'Assumptions (MSW)'!$V$4*Model!$W$1804*average('Assumptions (MSW)'!$S$2:$U$2)/10^9),0)</f>
        <v>0</v>
      </c>
      <c r="AE1881" s="160">
        <f>IF($W$1804&gt;0,PPMT('Assumptions (MSW)'!$V$6,Model!AE$1,'Assumptions (MSW)'!$V$9,'Assumptions (MSW)'!$V$4*Model!$W$1804*average('Assumptions (MSW)'!$S$2:$U$2)/10^9),0)</f>
        <v>0</v>
      </c>
      <c r="AF1881" s="160">
        <f>IF($W$1804&gt;0,PPMT('Assumptions (MSW)'!$V$6,Model!AF$1,'Assumptions (MSW)'!$V$9,'Assumptions (MSW)'!$V$4*Model!$W$1804*average('Assumptions (MSW)'!$S$2:$U$2)/10^9),0)</f>
        <v>0</v>
      </c>
      <c r="AG1881" s="160">
        <f>IF($W$1804&gt;0,PPMT('Assumptions (MSW)'!$V$6,Model!AG$1,'Assumptions (MSW)'!$V$9,'Assumptions (MSW)'!$V$4*Model!$W$1804*average('Assumptions (MSW)'!$S$2:$U$2)/10^9),0)</f>
        <v>0</v>
      </c>
      <c r="AH1881" s="160">
        <f>IF($W$1804&gt;0,PPMT('Assumptions (MSW)'!$V$6,Model!AH$1,'Assumptions (MSW)'!$V$9,'Assumptions (MSW)'!$V$4*Model!$W$1804*average('Assumptions (MSW)'!$S$2:$U$2)/10^9),0)</f>
        <v>0</v>
      </c>
      <c r="AI1881" s="160">
        <f>IF($W$1804&gt;0,PPMT('Assumptions (MSW)'!$V$6,Model!AI$1,'Assumptions (MSW)'!$V$9,'Assumptions (MSW)'!$V$4*Model!$W$1804*average('Assumptions (MSW)'!$S$2:$U$2)/10^9),0)</f>
        <v>0</v>
      </c>
      <c r="AJ1881" s="160">
        <f>IF($W$1804&gt;0,PPMT('Assumptions (MSW)'!$V$6,Model!AJ$1,'Assumptions (MSW)'!$V$9,'Assumptions (MSW)'!$V$4*Model!$W$1804*average('Assumptions (MSW)'!$S$2:$U$2)/10^9),0)</f>
        <v>0</v>
      </c>
      <c r="AK1881" s="160">
        <f>IF($W$1804&gt;0,PPMT('Assumptions (MSW)'!$V$6,Model!AK$1,'Assumptions (MSW)'!$V$9,'Assumptions (MSW)'!$V$4*Model!$W$1804*average('Assumptions (MSW)'!$S$2:$U$2)/10^9),0)</f>
        <v>0</v>
      </c>
      <c r="AL1881" s="160"/>
      <c r="AM1881" s="160"/>
      <c r="AN1881" s="160"/>
      <c r="AO1881" s="160"/>
      <c r="AP1881" s="160"/>
      <c r="AQ1881" s="160"/>
      <c r="AR1881" s="160"/>
      <c r="AS1881" s="160"/>
      <c r="AT1881" s="160"/>
      <c r="AU1881" s="160"/>
      <c r="AV1881" s="160"/>
      <c r="AW1881" s="160"/>
      <c r="AX1881" s="160"/>
      <c r="AY1881" s="160"/>
      <c r="AZ1881" s="160"/>
      <c r="BA1881" s="160"/>
    </row>
    <row r="1882" ht="15.75" hidden="1" customHeight="1" outlineLevel="1">
      <c r="A1882" s="309"/>
      <c r="B1882" s="38"/>
      <c r="C1882" s="174"/>
      <c r="D1882" s="174"/>
      <c r="E1882" s="174"/>
      <c r="F1882" s="174"/>
      <c r="G1882" s="174"/>
      <c r="H1882" s="174"/>
      <c r="I1882" s="174"/>
      <c r="J1882" s="174"/>
      <c r="K1882" s="174"/>
      <c r="L1882" s="174"/>
      <c r="M1882" s="174"/>
      <c r="N1882" s="174"/>
      <c r="O1882" s="174"/>
      <c r="P1882" s="174"/>
      <c r="Q1882" s="174"/>
      <c r="R1882" s="174"/>
      <c r="S1882" s="174"/>
      <c r="T1882" s="174"/>
      <c r="U1882" s="174"/>
      <c r="V1882" s="174"/>
      <c r="W1882" s="160"/>
      <c r="X1882" s="160">
        <f>IF($X$1804&gt;0,PPMT('Assumptions (MSW)'!$V$6,Model!W$1,'Assumptions (MSW)'!$V$9,'Assumptions (MSW)'!$V$4*Model!$X$1804*average('Assumptions (MSW)'!$T$2:$V$2)/10^9),0)</f>
        <v>0</v>
      </c>
      <c r="Y1882" s="160">
        <f>IF($X$1804&gt;0,PPMT('Assumptions (MSW)'!$V$6,Model!X$1,'Assumptions (MSW)'!$V$9,'Assumptions (MSW)'!$V$4*Model!$X$1804*average('Assumptions (MSW)'!$T$2:$V$2)/10^9),0)</f>
        <v>0</v>
      </c>
      <c r="Z1882" s="160">
        <f>IF($X$1804&gt;0,PPMT('Assumptions (MSW)'!$V$6,Model!Y$1,'Assumptions (MSW)'!$V$9,'Assumptions (MSW)'!$V$4*Model!$X$1804*average('Assumptions (MSW)'!$T$2:$V$2)/10^9),0)</f>
        <v>0</v>
      </c>
      <c r="AA1882" s="160">
        <f>IF($X$1804&gt;0,PPMT('Assumptions (MSW)'!$V$6,Model!Z$1,'Assumptions (MSW)'!$V$9,'Assumptions (MSW)'!$V$4*Model!$X$1804*average('Assumptions (MSW)'!$T$2:$V$2)/10^9),0)</f>
        <v>0</v>
      </c>
      <c r="AB1882" s="160">
        <f>IF($X$1804&gt;0,PPMT('Assumptions (MSW)'!$V$6,Model!AA$1,'Assumptions (MSW)'!$V$9,'Assumptions (MSW)'!$V$4*Model!$X$1804*average('Assumptions (MSW)'!$T$2:$V$2)/10^9),0)</f>
        <v>0</v>
      </c>
      <c r="AC1882" s="160">
        <f>IF($X$1804&gt;0,PPMT('Assumptions (MSW)'!$V$6,Model!AB$1,'Assumptions (MSW)'!$V$9,'Assumptions (MSW)'!$V$4*Model!$X$1804*average('Assumptions (MSW)'!$T$2:$V$2)/10^9),0)</f>
        <v>0</v>
      </c>
      <c r="AD1882" s="160">
        <f>IF($X$1804&gt;0,PPMT('Assumptions (MSW)'!$V$6,Model!AC$1,'Assumptions (MSW)'!$V$9,'Assumptions (MSW)'!$V$4*Model!$X$1804*average('Assumptions (MSW)'!$T$2:$V$2)/10^9),0)</f>
        <v>0</v>
      </c>
      <c r="AE1882" s="160">
        <f>IF($X$1804&gt;0,PPMT('Assumptions (MSW)'!$V$6,Model!AD$1,'Assumptions (MSW)'!$V$9,'Assumptions (MSW)'!$V$4*Model!$X$1804*average('Assumptions (MSW)'!$T$2:$V$2)/10^9),0)</f>
        <v>0</v>
      </c>
      <c r="AF1882" s="160">
        <f>IF($X$1804&gt;0,PPMT('Assumptions (MSW)'!$V$6,Model!AE$1,'Assumptions (MSW)'!$V$9,'Assumptions (MSW)'!$V$4*Model!$X$1804*average('Assumptions (MSW)'!$T$2:$V$2)/10^9),0)</f>
        <v>0</v>
      </c>
      <c r="AG1882" s="160">
        <f>IF($X$1804&gt;0,PPMT('Assumptions (MSW)'!$V$6,Model!AF$1,'Assumptions (MSW)'!$V$9,'Assumptions (MSW)'!$V$4*Model!$X$1804*average('Assumptions (MSW)'!$T$2:$V$2)/10^9),0)</f>
        <v>0</v>
      </c>
      <c r="AH1882" s="160">
        <f>IF($X$1804&gt;0,PPMT('Assumptions (MSW)'!$V$6,Model!AG$1,'Assumptions (MSW)'!$V$9,'Assumptions (MSW)'!$V$4*Model!$X$1804*average('Assumptions (MSW)'!$T$2:$V$2)/10^9),0)</f>
        <v>0</v>
      </c>
      <c r="AI1882" s="160">
        <f>IF($X$1804&gt;0,PPMT('Assumptions (MSW)'!$V$6,Model!AH$1,'Assumptions (MSW)'!$V$9,'Assumptions (MSW)'!$V$4*Model!$X$1804*average('Assumptions (MSW)'!$T$2:$V$2)/10^9),0)</f>
        <v>0</v>
      </c>
      <c r="AJ1882" s="160">
        <f>IF($X$1804&gt;0,PPMT('Assumptions (MSW)'!$V$6,Model!AI$1,'Assumptions (MSW)'!$V$9,'Assumptions (MSW)'!$V$4*Model!$X$1804*average('Assumptions (MSW)'!$T$2:$V$2)/10^9),0)</f>
        <v>0</v>
      </c>
      <c r="AK1882" s="160">
        <f>IF($X$1804&gt;0,PPMT('Assumptions (MSW)'!$V$6,Model!AJ$1,'Assumptions (MSW)'!$V$9,'Assumptions (MSW)'!$V$4*Model!$X$1804*average('Assumptions (MSW)'!$T$2:$V$2)/10^9),0)</f>
        <v>0</v>
      </c>
      <c r="AL1882" s="160">
        <f>IF($X$1804&gt;0,PPMT('Assumptions (MSW)'!$V$6,Model!AK$1,'Assumptions (MSW)'!$V$9,'Assumptions (MSW)'!$V$4*Model!$X$1804*average('Assumptions (MSW)'!$T$2:$V$2)/10^9),0)</f>
        <v>0</v>
      </c>
      <c r="AM1882" s="160"/>
      <c r="AN1882" s="160"/>
      <c r="AO1882" s="160"/>
      <c r="AP1882" s="160"/>
      <c r="AQ1882" s="160"/>
      <c r="AR1882" s="160"/>
      <c r="AS1882" s="160"/>
      <c r="AT1882" s="160"/>
      <c r="AU1882" s="160"/>
      <c r="AV1882" s="160"/>
      <c r="AW1882" s="160"/>
      <c r="AX1882" s="160"/>
      <c r="AY1882" s="160"/>
      <c r="AZ1882" s="160"/>
      <c r="BA1882" s="160"/>
    </row>
    <row r="1883" ht="15.75" hidden="1" customHeight="1" outlineLevel="1">
      <c r="A1883" s="309"/>
      <c r="B1883" s="38"/>
      <c r="C1883" s="174"/>
      <c r="D1883" s="174"/>
      <c r="E1883" s="174"/>
      <c r="F1883" s="174"/>
      <c r="G1883" s="174"/>
      <c r="H1883" s="174"/>
      <c r="I1883" s="174"/>
      <c r="J1883" s="174"/>
      <c r="K1883" s="174"/>
      <c r="L1883" s="174"/>
      <c r="M1883" s="174"/>
      <c r="N1883" s="174"/>
      <c r="O1883" s="174"/>
      <c r="P1883" s="174"/>
      <c r="Q1883" s="174"/>
      <c r="R1883" s="174"/>
      <c r="S1883" s="174"/>
      <c r="T1883" s="174"/>
      <c r="U1883" s="174"/>
      <c r="V1883" s="174"/>
      <c r="W1883" s="160"/>
      <c r="X1883" s="160"/>
      <c r="Y1883" s="160">
        <f>IF($Y$1804&gt;0,PPMT('Assumptions (MSW)'!$V$6,Model!W$1,'Assumptions (MSW)'!$V$9,'Assumptions (MSW)'!$V$4*Model!$Y$1804*AVERAGE('Assumptions (MSW)'!$U$2:$W$2)/10^9),0)</f>
        <v>0</v>
      </c>
      <c r="Z1883" s="160">
        <f>IF($Y$1804&gt;0,PPMT('Assumptions (MSW)'!$V$6,Model!X$1,'Assumptions (MSW)'!$V$9,'Assumptions (MSW)'!$V$4*Model!$Y$1804*AVERAGE('Assumptions (MSW)'!$U$2:$W$2)/10^9),0)</f>
        <v>0</v>
      </c>
      <c r="AA1883" s="160">
        <f>IF($Y$1804&gt;0,PPMT('Assumptions (MSW)'!$V$6,Model!Y$1,'Assumptions (MSW)'!$V$9,'Assumptions (MSW)'!$V$4*Model!$Y$1804*AVERAGE('Assumptions (MSW)'!$U$2:$W$2)/10^9),0)</f>
        <v>0</v>
      </c>
      <c r="AB1883" s="160">
        <f>IF($Y$1804&gt;0,PPMT('Assumptions (MSW)'!$V$6,Model!Z$1,'Assumptions (MSW)'!$V$9,'Assumptions (MSW)'!$V$4*Model!$Y$1804*AVERAGE('Assumptions (MSW)'!$U$2:$W$2)/10^9),0)</f>
        <v>0</v>
      </c>
      <c r="AC1883" s="160">
        <f>IF($Y$1804&gt;0,PPMT('Assumptions (MSW)'!$V$6,Model!AA$1,'Assumptions (MSW)'!$V$9,'Assumptions (MSW)'!$V$4*Model!$Y$1804*AVERAGE('Assumptions (MSW)'!$U$2:$W$2)/10^9),0)</f>
        <v>0</v>
      </c>
      <c r="AD1883" s="160">
        <f>IF($Y$1804&gt;0,PPMT('Assumptions (MSW)'!$V$6,Model!AB$1,'Assumptions (MSW)'!$V$9,'Assumptions (MSW)'!$V$4*Model!$Y$1804*AVERAGE('Assumptions (MSW)'!$U$2:$W$2)/10^9),0)</f>
        <v>0</v>
      </c>
      <c r="AE1883" s="160">
        <f>IF($Y$1804&gt;0,PPMT('Assumptions (MSW)'!$V$6,Model!AC$1,'Assumptions (MSW)'!$V$9,'Assumptions (MSW)'!$V$4*Model!$Y$1804*AVERAGE('Assumptions (MSW)'!$U$2:$W$2)/10^9),0)</f>
        <v>0</v>
      </c>
      <c r="AF1883" s="160">
        <f>IF($Y$1804&gt;0,PPMT('Assumptions (MSW)'!$V$6,Model!AD$1,'Assumptions (MSW)'!$V$9,'Assumptions (MSW)'!$V$4*Model!$Y$1804*AVERAGE('Assumptions (MSW)'!$U$2:$W$2)/10^9),0)</f>
        <v>0</v>
      </c>
      <c r="AG1883" s="160">
        <f>IF($Y$1804&gt;0,PPMT('Assumptions (MSW)'!$V$6,Model!AE$1,'Assumptions (MSW)'!$V$9,'Assumptions (MSW)'!$V$4*Model!$Y$1804*AVERAGE('Assumptions (MSW)'!$U$2:$W$2)/10^9),0)</f>
        <v>0</v>
      </c>
      <c r="AH1883" s="160">
        <f>IF($Y$1804&gt;0,PPMT('Assumptions (MSW)'!$V$6,Model!AF$1,'Assumptions (MSW)'!$V$9,'Assumptions (MSW)'!$V$4*Model!$Y$1804*AVERAGE('Assumptions (MSW)'!$U$2:$W$2)/10^9),0)</f>
        <v>0</v>
      </c>
      <c r="AI1883" s="160">
        <f>IF($Y$1804&gt;0,PPMT('Assumptions (MSW)'!$V$6,Model!AG$1,'Assumptions (MSW)'!$V$9,'Assumptions (MSW)'!$V$4*Model!$Y$1804*AVERAGE('Assumptions (MSW)'!$U$2:$W$2)/10^9),0)</f>
        <v>0</v>
      </c>
      <c r="AJ1883" s="160">
        <f>IF($Y$1804&gt;0,PPMT('Assumptions (MSW)'!$V$6,Model!AH$1,'Assumptions (MSW)'!$V$9,'Assumptions (MSW)'!$V$4*Model!$Y$1804*AVERAGE('Assumptions (MSW)'!$U$2:$W$2)/10^9),0)</f>
        <v>0</v>
      </c>
      <c r="AK1883" s="160">
        <f>IF($Y$1804&gt;0,PPMT('Assumptions (MSW)'!$V$6,Model!AI$1,'Assumptions (MSW)'!$V$9,'Assumptions (MSW)'!$V$4*Model!$Y$1804*AVERAGE('Assumptions (MSW)'!$U$2:$W$2)/10^9),0)</f>
        <v>0</v>
      </c>
      <c r="AL1883" s="160">
        <f>IF($Y$1804&gt;0,PPMT('Assumptions (MSW)'!$V$6,Model!AJ$1,'Assumptions (MSW)'!$V$9,'Assumptions (MSW)'!$V$4*Model!$Y$1804*AVERAGE('Assumptions (MSW)'!$U$2:$W$2)/10^9),0)</f>
        <v>0</v>
      </c>
      <c r="AM1883" s="160">
        <f>IF($Y$1804&gt;0,PPMT('Assumptions (MSW)'!$V$6,Model!AK$1,'Assumptions (MSW)'!$V$9,'Assumptions (MSW)'!$V$4*Model!$Y$1804*AVERAGE('Assumptions (MSW)'!$U$2:$W$2)/10^9),0)</f>
        <v>0</v>
      </c>
      <c r="AN1883" s="160"/>
      <c r="AO1883" s="160"/>
      <c r="AP1883" s="160"/>
      <c r="AQ1883" s="160"/>
      <c r="AR1883" s="160"/>
      <c r="AS1883" s="160"/>
      <c r="AT1883" s="160"/>
      <c r="AU1883" s="160"/>
      <c r="AV1883" s="160"/>
      <c r="AW1883" s="160"/>
      <c r="AX1883" s="160"/>
      <c r="AY1883" s="160"/>
      <c r="AZ1883" s="160"/>
      <c r="BA1883" s="160"/>
    </row>
    <row r="1884" ht="15.75" hidden="1" customHeight="1" outlineLevel="1">
      <c r="A1884" s="309"/>
      <c r="B1884" s="38"/>
      <c r="C1884" s="174"/>
      <c r="D1884" s="174"/>
      <c r="E1884" s="174"/>
      <c r="F1884" s="174"/>
      <c r="G1884" s="174"/>
      <c r="H1884" s="174"/>
      <c r="I1884" s="174"/>
      <c r="J1884" s="174"/>
      <c r="K1884" s="174"/>
      <c r="L1884" s="174"/>
      <c r="M1884" s="174"/>
      <c r="N1884" s="174"/>
      <c r="O1884" s="174"/>
      <c r="P1884" s="174"/>
      <c r="Q1884" s="174"/>
      <c r="R1884" s="174"/>
      <c r="S1884" s="174"/>
      <c r="T1884" s="174"/>
      <c r="U1884" s="174"/>
      <c r="V1884" s="174"/>
      <c r="W1884" s="160"/>
      <c r="X1884" s="160"/>
      <c r="Y1884" s="160"/>
      <c r="Z1884" s="160">
        <f>IF($Z$1804&gt;0,PPMT('Assumptions (MSW)'!$V$6,Model!W$1,'Assumptions (MSW)'!$V$9,'Assumptions (MSW)'!$V$4*Model!$Z$1804*AVERAGE('Assumptions (MSW)'!$V$2:$X$2)/10^9),0)</f>
        <v>0</v>
      </c>
      <c r="AA1884" s="160">
        <f>IF($Z$1804&gt;0,PPMT('Assumptions (MSW)'!$V$6,Model!X$1,'Assumptions (MSW)'!$V$9,'Assumptions (MSW)'!$V$4*Model!$Z$1804*AVERAGE('Assumptions (MSW)'!$V$2:$X$2)/10^9),0)</f>
        <v>0</v>
      </c>
      <c r="AB1884" s="160">
        <f>IF($Z$1804&gt;0,PPMT('Assumptions (MSW)'!$V$6,Model!Y$1,'Assumptions (MSW)'!$V$9,'Assumptions (MSW)'!$V$4*Model!$Z$1804*AVERAGE('Assumptions (MSW)'!$V$2:$X$2)/10^9),0)</f>
        <v>0</v>
      </c>
      <c r="AC1884" s="160">
        <f>IF($Z$1804&gt;0,PPMT('Assumptions (MSW)'!$V$6,Model!Z$1,'Assumptions (MSW)'!$V$9,'Assumptions (MSW)'!$V$4*Model!$Z$1804*AVERAGE('Assumptions (MSW)'!$V$2:$X$2)/10^9),0)</f>
        <v>0</v>
      </c>
      <c r="AD1884" s="160">
        <f>IF($Z$1804&gt;0,PPMT('Assumptions (MSW)'!$V$6,Model!AA$1,'Assumptions (MSW)'!$V$9,'Assumptions (MSW)'!$V$4*Model!$Z$1804*AVERAGE('Assumptions (MSW)'!$V$2:$X$2)/10^9),0)</f>
        <v>0</v>
      </c>
      <c r="AE1884" s="160">
        <f>IF($Z$1804&gt;0,PPMT('Assumptions (MSW)'!$V$6,Model!AB$1,'Assumptions (MSW)'!$V$9,'Assumptions (MSW)'!$V$4*Model!$Z$1804*AVERAGE('Assumptions (MSW)'!$V$2:$X$2)/10^9),0)</f>
        <v>0</v>
      </c>
      <c r="AF1884" s="160">
        <f>IF($Z$1804&gt;0,PPMT('Assumptions (MSW)'!$V$6,Model!AC$1,'Assumptions (MSW)'!$V$9,'Assumptions (MSW)'!$V$4*Model!$Z$1804*AVERAGE('Assumptions (MSW)'!$V$2:$X$2)/10^9),0)</f>
        <v>0</v>
      </c>
      <c r="AG1884" s="160">
        <f>IF($Z$1804&gt;0,PPMT('Assumptions (MSW)'!$V$6,Model!AD$1,'Assumptions (MSW)'!$V$9,'Assumptions (MSW)'!$V$4*Model!$Z$1804*AVERAGE('Assumptions (MSW)'!$V$2:$X$2)/10^9),0)</f>
        <v>0</v>
      </c>
      <c r="AH1884" s="160">
        <f>IF($Z$1804&gt;0,PPMT('Assumptions (MSW)'!$V$6,Model!AE$1,'Assumptions (MSW)'!$V$9,'Assumptions (MSW)'!$V$4*Model!$Z$1804*AVERAGE('Assumptions (MSW)'!$V$2:$X$2)/10^9),0)</f>
        <v>0</v>
      </c>
      <c r="AI1884" s="160">
        <f>IF($Z$1804&gt;0,PPMT('Assumptions (MSW)'!$V$6,Model!AF$1,'Assumptions (MSW)'!$V$9,'Assumptions (MSW)'!$V$4*Model!$Z$1804*AVERAGE('Assumptions (MSW)'!$V$2:$X$2)/10^9),0)</f>
        <v>0</v>
      </c>
      <c r="AJ1884" s="160">
        <f>IF($Z$1804&gt;0,PPMT('Assumptions (MSW)'!$V$6,Model!AG$1,'Assumptions (MSW)'!$V$9,'Assumptions (MSW)'!$V$4*Model!$Z$1804*AVERAGE('Assumptions (MSW)'!$V$2:$X$2)/10^9),0)</f>
        <v>0</v>
      </c>
      <c r="AK1884" s="160">
        <f>IF($Z$1804&gt;0,PPMT('Assumptions (MSW)'!$V$6,Model!AH$1,'Assumptions (MSW)'!$V$9,'Assumptions (MSW)'!$V$4*Model!$Z$1804*AVERAGE('Assumptions (MSW)'!$V$2:$X$2)/10^9),0)</f>
        <v>0</v>
      </c>
      <c r="AL1884" s="160">
        <f>IF($Z$1804&gt;0,PPMT('Assumptions (MSW)'!$V$6,Model!AI$1,'Assumptions (MSW)'!$V$9,'Assumptions (MSW)'!$V$4*Model!$Z$1804*AVERAGE('Assumptions (MSW)'!$V$2:$X$2)/10^9),0)</f>
        <v>0</v>
      </c>
      <c r="AM1884" s="160">
        <f>IF($Z$1804&gt;0,PPMT('Assumptions (MSW)'!$V$6,Model!AJ$1,'Assumptions (MSW)'!$V$9,'Assumptions (MSW)'!$V$4*Model!$Z$1804*AVERAGE('Assumptions (MSW)'!$V$2:$X$2)/10^9),0)</f>
        <v>0</v>
      </c>
      <c r="AN1884" s="160">
        <f>IF($Z$1804&gt;0,PPMT('Assumptions (MSW)'!$V$6,Model!AK$1,'Assumptions (MSW)'!$V$9,'Assumptions (MSW)'!$V$4*Model!$Z$1804*AVERAGE('Assumptions (MSW)'!$V$2:$X$2)/10^9),0)</f>
        <v>0</v>
      </c>
      <c r="AO1884" s="160"/>
      <c r="AP1884" s="160"/>
      <c r="AQ1884" s="160"/>
      <c r="AR1884" s="160"/>
      <c r="AS1884" s="160"/>
      <c r="AT1884" s="160"/>
      <c r="AU1884" s="160"/>
      <c r="AV1884" s="160"/>
      <c r="AW1884" s="160"/>
      <c r="AX1884" s="160"/>
      <c r="AY1884" s="160"/>
      <c r="AZ1884" s="160"/>
      <c r="BA1884" s="160"/>
    </row>
    <row r="1885" ht="15.75" hidden="1" customHeight="1" outlineLevel="1">
      <c r="A1885" s="309"/>
      <c r="B1885" s="38"/>
      <c r="C1885" s="174"/>
      <c r="D1885" s="174"/>
      <c r="E1885" s="174"/>
      <c r="F1885" s="174"/>
      <c r="G1885" s="174"/>
      <c r="H1885" s="174"/>
      <c r="I1885" s="174"/>
      <c r="J1885" s="174"/>
      <c r="K1885" s="174"/>
      <c r="L1885" s="174"/>
      <c r="M1885" s="174"/>
      <c r="N1885" s="174"/>
      <c r="O1885" s="174"/>
      <c r="P1885" s="174"/>
      <c r="Q1885" s="174"/>
      <c r="R1885" s="174"/>
      <c r="S1885" s="174"/>
      <c r="T1885" s="174"/>
      <c r="U1885" s="174"/>
      <c r="V1885" s="174"/>
      <c r="W1885" s="160"/>
      <c r="X1885" s="160"/>
      <c r="Y1885" s="160"/>
      <c r="Z1885" s="160"/>
      <c r="AA1885" s="160">
        <f>IF($AA$1804&gt;0,PPMT('Assumptions (MSW)'!$V$6,Model!W$1,'Assumptions (MSW)'!$V$9,'Assumptions (MSW)'!$V$4*Model!$AA$1804*AVERAGE('Assumptions (MSW)'!$W$2:$Y$2)/10^9),0)</f>
        <v>0</v>
      </c>
      <c r="AB1885" s="160">
        <f>IF($AA$1804&gt;0,PPMT('Assumptions (MSW)'!$V$6,Model!X$1,'Assumptions (MSW)'!$V$9,'Assumptions (MSW)'!$V$4*Model!$AA$1804*AVERAGE('Assumptions (MSW)'!$W$2:$Y$2)/10^9),0)</f>
        <v>0</v>
      </c>
      <c r="AC1885" s="160">
        <f>IF($AA$1804&gt;0,PPMT('Assumptions (MSW)'!$V$6,Model!Y$1,'Assumptions (MSW)'!$V$9,'Assumptions (MSW)'!$V$4*Model!$AA$1804*AVERAGE('Assumptions (MSW)'!$W$2:$Y$2)/10^9),0)</f>
        <v>0</v>
      </c>
      <c r="AD1885" s="160">
        <f>IF($AA$1804&gt;0,PPMT('Assumptions (MSW)'!$V$6,Model!Z$1,'Assumptions (MSW)'!$V$9,'Assumptions (MSW)'!$V$4*Model!$AA$1804*AVERAGE('Assumptions (MSW)'!$W$2:$Y$2)/10^9),0)</f>
        <v>0</v>
      </c>
      <c r="AE1885" s="160">
        <f>IF($AA$1804&gt;0,PPMT('Assumptions (MSW)'!$V$6,Model!AA$1,'Assumptions (MSW)'!$V$9,'Assumptions (MSW)'!$V$4*Model!$AA$1804*AVERAGE('Assumptions (MSW)'!$W$2:$Y$2)/10^9),0)</f>
        <v>0</v>
      </c>
      <c r="AF1885" s="160">
        <f>IF($AA$1804&gt;0,PPMT('Assumptions (MSW)'!$V$6,Model!AB$1,'Assumptions (MSW)'!$V$9,'Assumptions (MSW)'!$V$4*Model!$AA$1804*AVERAGE('Assumptions (MSW)'!$W$2:$Y$2)/10^9),0)</f>
        <v>0</v>
      </c>
      <c r="AG1885" s="160">
        <f>IF($AA$1804&gt;0,PPMT('Assumptions (MSW)'!$V$6,Model!AC$1,'Assumptions (MSW)'!$V$9,'Assumptions (MSW)'!$V$4*Model!$AA$1804*AVERAGE('Assumptions (MSW)'!$W$2:$Y$2)/10^9),0)</f>
        <v>0</v>
      </c>
      <c r="AH1885" s="160">
        <f>IF($AA$1804&gt;0,PPMT('Assumptions (MSW)'!$V$6,Model!AD$1,'Assumptions (MSW)'!$V$9,'Assumptions (MSW)'!$V$4*Model!$AA$1804*AVERAGE('Assumptions (MSW)'!$W$2:$Y$2)/10^9),0)</f>
        <v>0</v>
      </c>
      <c r="AI1885" s="160">
        <f>IF($AA$1804&gt;0,PPMT('Assumptions (MSW)'!$V$6,Model!AE$1,'Assumptions (MSW)'!$V$9,'Assumptions (MSW)'!$V$4*Model!$AA$1804*AVERAGE('Assumptions (MSW)'!$W$2:$Y$2)/10^9),0)</f>
        <v>0</v>
      </c>
      <c r="AJ1885" s="160">
        <f>IF($AA$1804&gt;0,PPMT('Assumptions (MSW)'!$V$6,Model!AF$1,'Assumptions (MSW)'!$V$9,'Assumptions (MSW)'!$V$4*Model!$AA$1804*AVERAGE('Assumptions (MSW)'!$W$2:$Y$2)/10^9),0)</f>
        <v>0</v>
      </c>
      <c r="AK1885" s="160">
        <f>IF($AA$1804&gt;0,PPMT('Assumptions (MSW)'!$V$6,Model!AG$1,'Assumptions (MSW)'!$V$9,'Assumptions (MSW)'!$V$4*Model!$AA$1804*AVERAGE('Assumptions (MSW)'!$W$2:$Y$2)/10^9),0)</f>
        <v>0</v>
      </c>
      <c r="AL1885" s="160">
        <f>IF($AA$1804&gt;0,PPMT('Assumptions (MSW)'!$V$6,Model!AH$1,'Assumptions (MSW)'!$V$9,'Assumptions (MSW)'!$V$4*Model!$AA$1804*AVERAGE('Assumptions (MSW)'!$W$2:$Y$2)/10^9),0)</f>
        <v>0</v>
      </c>
      <c r="AM1885" s="160">
        <f>IF($AA$1804&gt;0,PPMT('Assumptions (MSW)'!$V$6,Model!AI$1,'Assumptions (MSW)'!$V$9,'Assumptions (MSW)'!$V$4*Model!$AA$1804*AVERAGE('Assumptions (MSW)'!$W$2:$Y$2)/10^9),0)</f>
        <v>0</v>
      </c>
      <c r="AN1885" s="160">
        <f>IF($AA$1804&gt;0,PPMT('Assumptions (MSW)'!$V$6,Model!AJ$1,'Assumptions (MSW)'!$V$9,'Assumptions (MSW)'!$V$4*Model!$AA$1804*AVERAGE('Assumptions (MSW)'!$W$2:$Y$2)/10^9),0)</f>
        <v>0</v>
      </c>
      <c r="AO1885" s="160">
        <f>IF($AA$1804&gt;0,PPMT('Assumptions (MSW)'!$V$6,Model!AK$1,'Assumptions (MSW)'!$V$9,'Assumptions (MSW)'!$V$4*Model!$AA$1804*AVERAGE('Assumptions (MSW)'!$W$2:$Y$2)/10^9),0)</f>
        <v>0</v>
      </c>
      <c r="AP1885" s="160"/>
      <c r="AQ1885" s="160"/>
      <c r="AR1885" s="160"/>
      <c r="AS1885" s="160"/>
      <c r="AT1885" s="160"/>
      <c r="AU1885" s="160"/>
      <c r="AV1885" s="160"/>
      <c r="AW1885" s="160"/>
      <c r="AX1885" s="160"/>
      <c r="AY1885" s="160"/>
      <c r="AZ1885" s="160"/>
      <c r="BA1885" s="160"/>
    </row>
    <row r="1886" ht="15.75" hidden="1" customHeight="1" outlineLevel="1">
      <c r="A1886" s="309"/>
      <c r="B1886" s="38"/>
      <c r="C1886" s="174"/>
      <c r="D1886" s="174"/>
      <c r="E1886" s="174"/>
      <c r="F1886" s="174"/>
      <c r="G1886" s="174"/>
      <c r="H1886" s="174"/>
      <c r="I1886" s="174"/>
      <c r="J1886" s="174"/>
      <c r="K1886" s="174"/>
      <c r="L1886" s="174"/>
      <c r="M1886" s="174"/>
      <c r="N1886" s="174"/>
      <c r="O1886" s="174"/>
      <c r="P1886" s="174"/>
      <c r="Q1886" s="174"/>
      <c r="R1886" s="174"/>
      <c r="S1886" s="174"/>
      <c r="T1886" s="174"/>
      <c r="U1886" s="174"/>
      <c r="V1886" s="174"/>
      <c r="W1886" s="160"/>
      <c r="X1886" s="160"/>
      <c r="Y1886" s="160"/>
      <c r="Z1886" s="160"/>
      <c r="AA1886" s="160"/>
      <c r="AB1886" s="160">
        <f>IF($AB$1804&gt;0,PPMT('Assumptions (MSW)'!$V$6,Model!W$1,'Assumptions (MSW)'!$V$9,'Assumptions (MSW)'!$V$4*Model!$AB$1804*AVERAGE('Assumptions (MSW)'!$X$2:$Z$2)/10^9),0)</f>
        <v>0</v>
      </c>
      <c r="AC1886" s="160">
        <f>IF($AB$1804&gt;0,PPMT('Assumptions (MSW)'!$V$6,Model!X$1,'Assumptions (MSW)'!$V$9,'Assumptions (MSW)'!$V$4*Model!$AB$1804*AVERAGE('Assumptions (MSW)'!$X$2:$Z$2)/10^9),0)</f>
        <v>0</v>
      </c>
      <c r="AD1886" s="160">
        <f>IF($AB$1804&gt;0,PPMT('Assumptions (MSW)'!$V$6,Model!Y$1,'Assumptions (MSW)'!$V$9,'Assumptions (MSW)'!$V$4*Model!$AB$1804*AVERAGE('Assumptions (MSW)'!$X$2:$Z$2)/10^9),0)</f>
        <v>0</v>
      </c>
      <c r="AE1886" s="160">
        <f>IF($AB$1804&gt;0,PPMT('Assumptions (MSW)'!$V$6,Model!Z$1,'Assumptions (MSW)'!$V$9,'Assumptions (MSW)'!$V$4*Model!$AB$1804*AVERAGE('Assumptions (MSW)'!$X$2:$Z$2)/10^9),0)</f>
        <v>0</v>
      </c>
      <c r="AF1886" s="160">
        <f>IF($AB$1804&gt;0,PPMT('Assumptions (MSW)'!$V$6,Model!AA$1,'Assumptions (MSW)'!$V$9,'Assumptions (MSW)'!$V$4*Model!$AB$1804*AVERAGE('Assumptions (MSW)'!$X$2:$Z$2)/10^9),0)</f>
        <v>0</v>
      </c>
      <c r="AG1886" s="160">
        <f>IF($AB$1804&gt;0,PPMT('Assumptions (MSW)'!$V$6,Model!AB$1,'Assumptions (MSW)'!$V$9,'Assumptions (MSW)'!$V$4*Model!$AB$1804*AVERAGE('Assumptions (MSW)'!$X$2:$Z$2)/10^9),0)</f>
        <v>0</v>
      </c>
      <c r="AH1886" s="160">
        <f>IF($AB$1804&gt;0,PPMT('Assumptions (MSW)'!$V$6,Model!AC$1,'Assumptions (MSW)'!$V$9,'Assumptions (MSW)'!$V$4*Model!$AB$1804*AVERAGE('Assumptions (MSW)'!$X$2:$Z$2)/10^9),0)</f>
        <v>0</v>
      </c>
      <c r="AI1886" s="160">
        <f>IF($AB$1804&gt;0,PPMT('Assumptions (MSW)'!$V$6,Model!AD$1,'Assumptions (MSW)'!$V$9,'Assumptions (MSW)'!$V$4*Model!$AB$1804*AVERAGE('Assumptions (MSW)'!$X$2:$Z$2)/10^9),0)</f>
        <v>0</v>
      </c>
      <c r="AJ1886" s="160">
        <f>IF($AB$1804&gt;0,PPMT('Assumptions (MSW)'!$V$6,Model!AE$1,'Assumptions (MSW)'!$V$9,'Assumptions (MSW)'!$V$4*Model!$AB$1804*AVERAGE('Assumptions (MSW)'!$X$2:$Z$2)/10^9),0)</f>
        <v>0</v>
      </c>
      <c r="AK1886" s="160">
        <f>IF($AB$1804&gt;0,PPMT('Assumptions (MSW)'!$V$6,Model!AF$1,'Assumptions (MSW)'!$V$9,'Assumptions (MSW)'!$V$4*Model!$AB$1804*AVERAGE('Assumptions (MSW)'!$X$2:$Z$2)/10^9),0)</f>
        <v>0</v>
      </c>
      <c r="AL1886" s="160">
        <f>IF($AB$1804&gt;0,PPMT('Assumptions (MSW)'!$V$6,Model!AG$1,'Assumptions (MSW)'!$V$9,'Assumptions (MSW)'!$V$4*Model!$AB$1804*AVERAGE('Assumptions (MSW)'!$X$2:$Z$2)/10^9),0)</f>
        <v>0</v>
      </c>
      <c r="AM1886" s="160">
        <f>IF($AB$1804&gt;0,PPMT('Assumptions (MSW)'!$V$6,Model!AH$1,'Assumptions (MSW)'!$V$9,'Assumptions (MSW)'!$V$4*Model!$AB$1804*AVERAGE('Assumptions (MSW)'!$X$2:$Z$2)/10^9),0)</f>
        <v>0</v>
      </c>
      <c r="AN1886" s="160">
        <f>IF($AB$1804&gt;0,PPMT('Assumptions (MSW)'!$V$6,Model!AI$1,'Assumptions (MSW)'!$V$9,'Assumptions (MSW)'!$V$4*Model!$AB$1804*AVERAGE('Assumptions (MSW)'!$X$2:$Z$2)/10^9),0)</f>
        <v>0</v>
      </c>
      <c r="AO1886" s="160">
        <f>IF($AB$1804&gt;0,PPMT('Assumptions (MSW)'!$V$6,Model!AJ$1,'Assumptions (MSW)'!$V$9,'Assumptions (MSW)'!$V$4*Model!$AB$1804*AVERAGE('Assumptions (MSW)'!$X$2:$Z$2)/10^9),0)</f>
        <v>0</v>
      </c>
      <c r="AP1886" s="160">
        <f>IF($AB$1804&gt;0,PPMT('Assumptions (MSW)'!$V$6,Model!AK$1,'Assumptions (MSW)'!$V$9,'Assumptions (MSW)'!$V$4*Model!$AB$1804*AVERAGE('Assumptions (MSW)'!$X$2:$Z$2)/10^9),0)</f>
        <v>0</v>
      </c>
      <c r="AQ1886" s="160"/>
      <c r="AR1886" s="160"/>
      <c r="AS1886" s="160"/>
      <c r="AT1886" s="160"/>
      <c r="AU1886" s="160"/>
      <c r="AV1886" s="160"/>
      <c r="AW1886" s="160"/>
      <c r="AX1886" s="160"/>
      <c r="AY1886" s="160"/>
      <c r="AZ1886" s="160"/>
      <c r="BA1886" s="160"/>
    </row>
    <row r="1887" ht="15.75" hidden="1" customHeight="1" outlineLevel="1">
      <c r="A1887" s="309"/>
      <c r="B1887" s="38"/>
      <c r="C1887" s="174"/>
      <c r="D1887" s="174"/>
      <c r="E1887" s="174"/>
      <c r="F1887" s="174"/>
      <c r="G1887" s="174"/>
      <c r="H1887" s="174"/>
      <c r="I1887" s="174"/>
      <c r="J1887" s="174"/>
      <c r="K1887" s="174"/>
      <c r="L1887" s="174"/>
      <c r="M1887" s="174"/>
      <c r="N1887" s="174"/>
      <c r="O1887" s="174"/>
      <c r="P1887" s="174"/>
      <c r="Q1887" s="174"/>
      <c r="R1887" s="174"/>
      <c r="S1887" s="174"/>
      <c r="T1887" s="174"/>
      <c r="U1887" s="174"/>
      <c r="V1887" s="174"/>
      <c r="W1887" s="160"/>
      <c r="X1887" s="160"/>
      <c r="Y1887" s="160"/>
      <c r="Z1887" s="160"/>
      <c r="AA1887" s="160"/>
      <c r="AB1887" s="160"/>
      <c r="AC1887" s="160">
        <f>IF($AC$1804&gt;0,PPMT('Assumptions (MSW)'!$V$6,Model!W$1,'Assumptions (MSW)'!$V$9,'Assumptions (MSW)'!$V$4*Model!$AC$1804*AVERAGE('Assumptions (MSW)'!$Y$2:$AA$2)/10^9),0)</f>
        <v>0</v>
      </c>
      <c r="AD1887" s="160">
        <f>IF($AC$1804&gt;0,PPMT('Assumptions (MSW)'!$V$6,Model!X$1,'Assumptions (MSW)'!$V$9,'Assumptions (MSW)'!$V$4*Model!$AC$1804*AVERAGE('Assumptions (MSW)'!$Y$2:$AA$2)/10^9),0)</f>
        <v>0</v>
      </c>
      <c r="AE1887" s="160">
        <f>IF($AC$1804&gt;0,PPMT('Assumptions (MSW)'!$V$6,Model!Y$1,'Assumptions (MSW)'!$V$9,'Assumptions (MSW)'!$V$4*Model!$AC$1804*AVERAGE('Assumptions (MSW)'!$Y$2:$AA$2)/10^9),0)</f>
        <v>0</v>
      </c>
      <c r="AF1887" s="160">
        <f>IF($AC$1804&gt;0,PPMT('Assumptions (MSW)'!$V$6,Model!Z$1,'Assumptions (MSW)'!$V$9,'Assumptions (MSW)'!$V$4*Model!$AC$1804*AVERAGE('Assumptions (MSW)'!$Y$2:$AA$2)/10^9),0)</f>
        <v>0</v>
      </c>
      <c r="AG1887" s="160">
        <f>IF($AC$1804&gt;0,PPMT('Assumptions (MSW)'!$V$6,Model!AA$1,'Assumptions (MSW)'!$V$9,'Assumptions (MSW)'!$V$4*Model!$AC$1804*AVERAGE('Assumptions (MSW)'!$Y$2:$AA$2)/10^9),0)</f>
        <v>0</v>
      </c>
      <c r="AH1887" s="160">
        <f>IF($AC$1804&gt;0,PPMT('Assumptions (MSW)'!$V$6,Model!AB$1,'Assumptions (MSW)'!$V$9,'Assumptions (MSW)'!$V$4*Model!$AC$1804*AVERAGE('Assumptions (MSW)'!$Y$2:$AA$2)/10^9),0)</f>
        <v>0</v>
      </c>
      <c r="AI1887" s="160">
        <f>IF($AC$1804&gt;0,PPMT('Assumptions (MSW)'!$V$6,Model!AC$1,'Assumptions (MSW)'!$V$9,'Assumptions (MSW)'!$V$4*Model!$AC$1804*AVERAGE('Assumptions (MSW)'!$Y$2:$AA$2)/10^9),0)</f>
        <v>0</v>
      </c>
      <c r="AJ1887" s="160">
        <f>IF($AC$1804&gt;0,PPMT('Assumptions (MSW)'!$V$6,Model!AD$1,'Assumptions (MSW)'!$V$9,'Assumptions (MSW)'!$V$4*Model!$AC$1804*AVERAGE('Assumptions (MSW)'!$Y$2:$AA$2)/10^9),0)</f>
        <v>0</v>
      </c>
      <c r="AK1887" s="160">
        <f>IF($AC$1804&gt;0,PPMT('Assumptions (MSW)'!$V$6,Model!AE$1,'Assumptions (MSW)'!$V$9,'Assumptions (MSW)'!$V$4*Model!$AC$1804*AVERAGE('Assumptions (MSW)'!$Y$2:$AA$2)/10^9),0)</f>
        <v>0</v>
      </c>
      <c r="AL1887" s="160">
        <f>IF($AC$1804&gt;0,PPMT('Assumptions (MSW)'!$V$6,Model!AF$1,'Assumptions (MSW)'!$V$9,'Assumptions (MSW)'!$V$4*Model!$AC$1804*AVERAGE('Assumptions (MSW)'!$Y$2:$AA$2)/10^9),0)</f>
        <v>0</v>
      </c>
      <c r="AM1887" s="160">
        <f>IF($AC$1804&gt;0,PPMT('Assumptions (MSW)'!$V$6,Model!AG$1,'Assumptions (MSW)'!$V$9,'Assumptions (MSW)'!$V$4*Model!$AC$1804*AVERAGE('Assumptions (MSW)'!$Y$2:$AA$2)/10^9),0)</f>
        <v>0</v>
      </c>
      <c r="AN1887" s="160">
        <f>IF($AC$1804&gt;0,PPMT('Assumptions (MSW)'!$V$6,Model!AH$1,'Assumptions (MSW)'!$V$9,'Assumptions (MSW)'!$V$4*Model!$AC$1804*AVERAGE('Assumptions (MSW)'!$Y$2:$AA$2)/10^9),0)</f>
        <v>0</v>
      </c>
      <c r="AO1887" s="160">
        <f>IF($AC$1804&gt;0,PPMT('Assumptions (MSW)'!$V$6,Model!AI$1,'Assumptions (MSW)'!$V$9,'Assumptions (MSW)'!$V$4*Model!$AC$1804*AVERAGE('Assumptions (MSW)'!$Y$2:$AA$2)/10^9),0)</f>
        <v>0</v>
      </c>
      <c r="AP1887" s="160">
        <f>IF($AC$1804&gt;0,PPMT('Assumptions (MSW)'!$V$6,Model!AJ$1,'Assumptions (MSW)'!$V$9,'Assumptions (MSW)'!$V$4*Model!$AC$1804*AVERAGE('Assumptions (MSW)'!$Y$2:$AA$2)/10^9),0)</f>
        <v>0</v>
      </c>
      <c r="AQ1887" s="160">
        <f>IF($AC$1804&gt;0,PPMT('Assumptions (MSW)'!$V$6,Model!AK$1,'Assumptions (MSW)'!$V$9,'Assumptions (MSW)'!$V$4*Model!$AC$1804*AVERAGE('Assumptions (MSW)'!$Y$2:$AA$2)/10^9),0)</f>
        <v>0</v>
      </c>
      <c r="AR1887" s="160"/>
      <c r="AS1887" s="160"/>
      <c r="AT1887" s="160"/>
      <c r="AU1887" s="160"/>
      <c r="AV1887" s="160"/>
      <c r="AW1887" s="160"/>
      <c r="AX1887" s="160"/>
      <c r="AY1887" s="160"/>
      <c r="AZ1887" s="160"/>
      <c r="BA1887" s="160"/>
    </row>
    <row r="1888" ht="15.75" hidden="1" customHeight="1" outlineLevel="1">
      <c r="A1888" s="309"/>
      <c r="B1888" s="38"/>
      <c r="C1888" s="174"/>
      <c r="D1888" s="174"/>
      <c r="E1888" s="174"/>
      <c r="F1888" s="174"/>
      <c r="G1888" s="174"/>
      <c r="H1888" s="174"/>
      <c r="I1888" s="174"/>
      <c r="J1888" s="174"/>
      <c r="K1888" s="174"/>
      <c r="L1888" s="174"/>
      <c r="M1888" s="174"/>
      <c r="N1888" s="174"/>
      <c r="O1888" s="174"/>
      <c r="P1888" s="174"/>
      <c r="Q1888" s="174"/>
      <c r="R1888" s="174"/>
      <c r="S1888" s="174"/>
      <c r="T1888" s="174"/>
      <c r="U1888" s="174"/>
      <c r="V1888" s="174"/>
      <c r="W1888" s="160"/>
      <c r="X1888" s="160"/>
      <c r="Y1888" s="160"/>
      <c r="Z1888" s="160"/>
      <c r="AA1888" s="160"/>
      <c r="AB1888" s="160"/>
      <c r="AC1888" s="160"/>
      <c r="AD1888" s="160">
        <f>IF($AD$1804&gt;0,PPMT('Assumptions (MSW)'!$V$6,Model!W$1,'Assumptions (MSW)'!$V$9,'Assumptions (MSW)'!$V$4*Model!$AD$1804*AVERAGE('Assumptions (MSW)'!$Z$2:$AB$2)/10^9),0)</f>
        <v>0</v>
      </c>
      <c r="AE1888" s="160">
        <f>IF($AD$1804&gt;0,PPMT('Assumptions (MSW)'!$V$6,Model!X$1,'Assumptions (MSW)'!$V$9,'Assumptions (MSW)'!$V$4*Model!$AD$1804*AVERAGE('Assumptions (MSW)'!$Z$2:$AB$2)/10^9),0)</f>
        <v>0</v>
      </c>
      <c r="AF1888" s="160">
        <f>IF($AD$1804&gt;0,PPMT('Assumptions (MSW)'!$V$6,Model!Y$1,'Assumptions (MSW)'!$V$9,'Assumptions (MSW)'!$V$4*Model!$AD$1804*AVERAGE('Assumptions (MSW)'!$Z$2:$AB$2)/10^9),0)</f>
        <v>0</v>
      </c>
      <c r="AG1888" s="160">
        <f>IF($AD$1804&gt;0,PPMT('Assumptions (MSW)'!$V$6,Model!Z$1,'Assumptions (MSW)'!$V$9,'Assumptions (MSW)'!$V$4*Model!$AD$1804*AVERAGE('Assumptions (MSW)'!$Z$2:$AB$2)/10^9),0)</f>
        <v>0</v>
      </c>
      <c r="AH1888" s="160">
        <f>IF($AD$1804&gt;0,PPMT('Assumptions (MSW)'!$V$6,Model!AA$1,'Assumptions (MSW)'!$V$9,'Assumptions (MSW)'!$V$4*Model!$AD$1804*AVERAGE('Assumptions (MSW)'!$Z$2:$AB$2)/10^9),0)</f>
        <v>0</v>
      </c>
      <c r="AI1888" s="160">
        <f>IF($AD$1804&gt;0,PPMT('Assumptions (MSW)'!$V$6,Model!AB$1,'Assumptions (MSW)'!$V$9,'Assumptions (MSW)'!$V$4*Model!$AD$1804*AVERAGE('Assumptions (MSW)'!$Z$2:$AB$2)/10^9),0)</f>
        <v>0</v>
      </c>
      <c r="AJ1888" s="160">
        <f>IF($AD$1804&gt;0,PPMT('Assumptions (MSW)'!$V$6,Model!AC$1,'Assumptions (MSW)'!$V$9,'Assumptions (MSW)'!$V$4*Model!$AD$1804*AVERAGE('Assumptions (MSW)'!$Z$2:$AB$2)/10^9),0)</f>
        <v>0</v>
      </c>
      <c r="AK1888" s="160">
        <f>IF($AD$1804&gt;0,PPMT('Assumptions (MSW)'!$V$6,Model!AD$1,'Assumptions (MSW)'!$V$9,'Assumptions (MSW)'!$V$4*Model!$AD$1804*AVERAGE('Assumptions (MSW)'!$Z$2:$AB$2)/10^9),0)</f>
        <v>0</v>
      </c>
      <c r="AL1888" s="160">
        <f>IF($AD$1804&gt;0,PPMT('Assumptions (MSW)'!$V$6,Model!AE$1,'Assumptions (MSW)'!$V$9,'Assumptions (MSW)'!$V$4*Model!$AD$1804*AVERAGE('Assumptions (MSW)'!$Z$2:$AB$2)/10^9),0)</f>
        <v>0</v>
      </c>
      <c r="AM1888" s="160">
        <f>IF($AD$1804&gt;0,PPMT('Assumptions (MSW)'!$V$6,Model!AF$1,'Assumptions (MSW)'!$V$9,'Assumptions (MSW)'!$V$4*Model!$AD$1804*AVERAGE('Assumptions (MSW)'!$Z$2:$AB$2)/10^9),0)</f>
        <v>0</v>
      </c>
      <c r="AN1888" s="160">
        <f>IF($AD$1804&gt;0,PPMT('Assumptions (MSW)'!$V$6,Model!AG$1,'Assumptions (MSW)'!$V$9,'Assumptions (MSW)'!$V$4*Model!$AD$1804*AVERAGE('Assumptions (MSW)'!$Z$2:$AB$2)/10^9),0)</f>
        <v>0</v>
      </c>
      <c r="AO1888" s="160">
        <f>IF($AD$1804&gt;0,PPMT('Assumptions (MSW)'!$V$6,Model!AH$1,'Assumptions (MSW)'!$V$9,'Assumptions (MSW)'!$V$4*Model!$AD$1804*AVERAGE('Assumptions (MSW)'!$Z$2:$AB$2)/10^9),0)</f>
        <v>0</v>
      </c>
      <c r="AP1888" s="160">
        <f>IF($AD$1804&gt;0,PPMT('Assumptions (MSW)'!$V$6,Model!AI$1,'Assumptions (MSW)'!$V$9,'Assumptions (MSW)'!$V$4*Model!$AD$1804*AVERAGE('Assumptions (MSW)'!$Z$2:$AB$2)/10^9),0)</f>
        <v>0</v>
      </c>
      <c r="AQ1888" s="160">
        <f>IF($AD$1804&gt;0,PPMT('Assumptions (MSW)'!$V$6,Model!AJ$1,'Assumptions (MSW)'!$V$9,'Assumptions (MSW)'!$V$4*Model!$AD$1804*AVERAGE('Assumptions (MSW)'!$Z$2:$AB$2)/10^9),0)</f>
        <v>0</v>
      </c>
      <c r="AR1888" s="160">
        <f>IF($AD$1804&gt;0,PPMT('Assumptions (MSW)'!$V$6,Model!AK$1,'Assumptions (MSW)'!$V$9,'Assumptions (MSW)'!$V$4*Model!$AD$1804*AVERAGE('Assumptions (MSW)'!$Z$2:$AB$2)/10^9),0)</f>
        <v>0</v>
      </c>
      <c r="AS1888" s="160"/>
      <c r="AT1888" s="160"/>
      <c r="AU1888" s="160"/>
      <c r="AV1888" s="160"/>
      <c r="AW1888" s="160"/>
      <c r="AX1888" s="160"/>
      <c r="AY1888" s="160"/>
      <c r="AZ1888" s="160"/>
      <c r="BA1888" s="160"/>
      <c r="BB1888" s="160"/>
    </row>
    <row r="1889" ht="15.75" hidden="1" customHeight="1" outlineLevel="1">
      <c r="A1889" s="309"/>
      <c r="B1889" s="38"/>
      <c r="C1889" s="174"/>
      <c r="D1889" s="174"/>
      <c r="E1889" s="174"/>
      <c r="F1889" s="174"/>
      <c r="G1889" s="174"/>
      <c r="H1889" s="174"/>
      <c r="I1889" s="174"/>
      <c r="J1889" s="174"/>
      <c r="K1889" s="174"/>
      <c r="L1889" s="174"/>
      <c r="M1889" s="174"/>
      <c r="N1889" s="174"/>
      <c r="O1889" s="174"/>
      <c r="P1889" s="174"/>
      <c r="Q1889" s="174"/>
      <c r="R1889" s="174"/>
      <c r="S1889" s="174"/>
      <c r="T1889" s="174"/>
      <c r="U1889" s="174"/>
      <c r="V1889" s="174"/>
      <c r="W1889" s="160"/>
      <c r="X1889" s="160"/>
      <c r="Y1889" s="160"/>
      <c r="Z1889" s="160"/>
      <c r="AA1889" s="160"/>
      <c r="AB1889" s="160"/>
      <c r="AC1889" s="160"/>
      <c r="AD1889" s="160"/>
      <c r="AE1889" s="160">
        <f>IF($AE$1804&gt;0,PPMT('Assumptions (MSW)'!$V$6,Model!W$1,'Assumptions (MSW)'!$V$9,'Assumptions (MSW)'!$V$4*Model!$AE$1804*AVERAGE('Assumptions (MSW)'!$AA$2:$AC$2)/10^9),0)</f>
        <v>0</v>
      </c>
      <c r="AF1889" s="160">
        <f>IF($AE$1804&gt;0,PPMT('Assumptions (MSW)'!$V$6,Model!X$1,'Assumptions (MSW)'!$V$9,'Assumptions (MSW)'!$V$4*Model!$AE$1804*AVERAGE('Assumptions (MSW)'!$AA$2:$AC$2)/10^9),0)</f>
        <v>0</v>
      </c>
      <c r="AG1889" s="160">
        <f>IF($AE$1804&gt;0,PPMT('Assumptions (MSW)'!$V$6,Model!Y$1,'Assumptions (MSW)'!$V$9,'Assumptions (MSW)'!$V$4*Model!$AE$1804*AVERAGE('Assumptions (MSW)'!$AA$2:$AC$2)/10^9),0)</f>
        <v>0</v>
      </c>
      <c r="AH1889" s="160">
        <f>IF($AE$1804&gt;0,PPMT('Assumptions (MSW)'!$V$6,Model!Z$1,'Assumptions (MSW)'!$V$9,'Assumptions (MSW)'!$V$4*Model!$AE$1804*AVERAGE('Assumptions (MSW)'!$AA$2:$AC$2)/10^9),0)</f>
        <v>0</v>
      </c>
      <c r="AI1889" s="160">
        <f>IF($AE$1804&gt;0,PPMT('Assumptions (MSW)'!$V$6,Model!AA$1,'Assumptions (MSW)'!$V$9,'Assumptions (MSW)'!$V$4*Model!$AE$1804*AVERAGE('Assumptions (MSW)'!$AA$2:$AC$2)/10^9),0)</f>
        <v>0</v>
      </c>
      <c r="AJ1889" s="160">
        <f>IF($AE$1804&gt;0,PPMT('Assumptions (MSW)'!$V$6,Model!AB$1,'Assumptions (MSW)'!$V$9,'Assumptions (MSW)'!$V$4*Model!$AE$1804*AVERAGE('Assumptions (MSW)'!$AA$2:$AC$2)/10^9),0)</f>
        <v>0</v>
      </c>
      <c r="AK1889" s="160">
        <f>IF($AE$1804&gt;0,PPMT('Assumptions (MSW)'!$V$6,Model!AC$1,'Assumptions (MSW)'!$V$9,'Assumptions (MSW)'!$V$4*Model!$AE$1804*AVERAGE('Assumptions (MSW)'!$AA$2:$AC$2)/10^9),0)</f>
        <v>0</v>
      </c>
      <c r="AL1889" s="160">
        <f>IF($AE$1804&gt;0,PPMT('Assumptions (MSW)'!$V$6,Model!AD$1,'Assumptions (MSW)'!$V$9,'Assumptions (MSW)'!$V$4*Model!$AE$1804*AVERAGE('Assumptions (MSW)'!$AA$2:$AC$2)/10^9),0)</f>
        <v>0</v>
      </c>
      <c r="AM1889" s="160">
        <f>IF($AE$1804&gt;0,PPMT('Assumptions (MSW)'!$V$6,Model!AE$1,'Assumptions (MSW)'!$V$9,'Assumptions (MSW)'!$V$4*Model!$AE$1804*AVERAGE('Assumptions (MSW)'!$AA$2:$AC$2)/10^9),0)</f>
        <v>0</v>
      </c>
      <c r="AN1889" s="160">
        <f>IF($AE$1804&gt;0,PPMT('Assumptions (MSW)'!$V$6,Model!AF$1,'Assumptions (MSW)'!$V$9,'Assumptions (MSW)'!$V$4*Model!$AE$1804*AVERAGE('Assumptions (MSW)'!$AA$2:$AC$2)/10^9),0)</f>
        <v>0</v>
      </c>
      <c r="AO1889" s="160">
        <f>IF($AE$1804&gt;0,PPMT('Assumptions (MSW)'!$V$6,Model!AG$1,'Assumptions (MSW)'!$V$9,'Assumptions (MSW)'!$V$4*Model!$AE$1804*AVERAGE('Assumptions (MSW)'!$AA$2:$AC$2)/10^9),0)</f>
        <v>0</v>
      </c>
      <c r="AP1889" s="160">
        <f>IF($AE$1804&gt;0,PPMT('Assumptions (MSW)'!$V$6,Model!AH$1,'Assumptions (MSW)'!$V$9,'Assumptions (MSW)'!$V$4*Model!$AE$1804*AVERAGE('Assumptions (MSW)'!$AA$2:$AC$2)/10^9),0)</f>
        <v>0</v>
      </c>
      <c r="AQ1889" s="160">
        <f>IF($AE$1804&gt;0,PPMT('Assumptions (MSW)'!$V$6,Model!AI$1,'Assumptions (MSW)'!$V$9,'Assumptions (MSW)'!$V$4*Model!$AE$1804*AVERAGE('Assumptions (MSW)'!$AA$2:$AC$2)/10^9),0)</f>
        <v>0</v>
      </c>
      <c r="AR1889" s="160">
        <f>IF($AE$1804&gt;0,PPMT('Assumptions (MSW)'!$V$6,Model!AJ$1,'Assumptions (MSW)'!$V$9,'Assumptions (MSW)'!$V$4*Model!$AE$1804*AVERAGE('Assumptions (MSW)'!$AA$2:$AC$2)/10^9),0)</f>
        <v>0</v>
      </c>
      <c r="AS1889" s="160">
        <f>IF($AE$1804&gt;0,PPMT('Assumptions (MSW)'!$V$6,Model!AK$1,'Assumptions (MSW)'!$V$9,'Assumptions (MSW)'!$V$4*Model!$AE$1804*AVERAGE('Assumptions (MSW)'!$AA$2:$AC$2)/10^9),0)</f>
        <v>0</v>
      </c>
      <c r="AT1889" s="160"/>
      <c r="AU1889" s="160"/>
      <c r="AV1889" s="160"/>
      <c r="AW1889" s="160"/>
      <c r="AX1889" s="160"/>
      <c r="AY1889" s="160"/>
      <c r="AZ1889" s="160"/>
      <c r="BA1889" s="160"/>
      <c r="BB1889" s="160"/>
      <c r="BC1889" s="160"/>
    </row>
    <row r="1890" ht="15.75" hidden="1" customHeight="1" outlineLevel="1">
      <c r="A1890" s="309"/>
      <c r="B1890" s="38"/>
      <c r="C1890" s="174"/>
      <c r="D1890" s="174"/>
      <c r="E1890" s="174"/>
      <c r="F1890" s="174"/>
      <c r="G1890" s="174"/>
      <c r="H1890" s="174"/>
      <c r="I1890" s="174"/>
      <c r="J1890" s="174"/>
      <c r="K1890" s="174"/>
      <c r="L1890" s="174"/>
      <c r="M1890" s="174"/>
      <c r="N1890" s="174"/>
      <c r="O1890" s="174"/>
      <c r="P1890" s="174"/>
      <c r="Q1890" s="174"/>
      <c r="R1890" s="174"/>
      <c r="S1890" s="174"/>
      <c r="T1890" s="174"/>
      <c r="U1890" s="174"/>
      <c r="V1890" s="174"/>
      <c r="W1890" s="160"/>
      <c r="X1890" s="160"/>
      <c r="Y1890" s="160"/>
      <c r="Z1890" s="160"/>
      <c r="AA1890" s="160"/>
      <c r="AB1890" s="160"/>
      <c r="AC1890" s="160"/>
      <c r="AD1890" s="160"/>
      <c r="AE1890" s="160"/>
      <c r="AF1890" s="160">
        <f>IF($AF$1804&gt;0,PPMT('Assumptions (MSW)'!$V$6,Model!W$1,'Assumptions (MSW)'!$V$9,'Assumptions (MSW)'!$V$4*Model!$AF$1804*AVERAGE('Assumptions (MSW)'!$AB$2:$AD$2)/10^9),0)</f>
        <v>0</v>
      </c>
      <c r="AG1890" s="160">
        <f>IF($AF$1804&gt;0,PPMT('Assumptions (MSW)'!$V$6,Model!X$1,'Assumptions (MSW)'!$V$9,'Assumptions (MSW)'!$V$4*Model!$AF$1804*AVERAGE('Assumptions (MSW)'!$AB$2:$AD$2)/10^9),0)</f>
        <v>0</v>
      </c>
      <c r="AH1890" s="160">
        <f>IF($AF$1804&gt;0,PPMT('Assumptions (MSW)'!$V$6,Model!Y$1,'Assumptions (MSW)'!$V$9,'Assumptions (MSW)'!$V$4*Model!$AF$1804*AVERAGE('Assumptions (MSW)'!$AB$2:$AD$2)/10^9),0)</f>
        <v>0</v>
      </c>
      <c r="AI1890" s="160">
        <f>IF($AF$1804&gt;0,PPMT('Assumptions (MSW)'!$V$6,Model!Z$1,'Assumptions (MSW)'!$V$9,'Assumptions (MSW)'!$V$4*Model!$AF$1804*AVERAGE('Assumptions (MSW)'!$AB$2:$AD$2)/10^9),0)</f>
        <v>0</v>
      </c>
      <c r="AJ1890" s="160">
        <f>IF($AF$1804&gt;0,PPMT('Assumptions (MSW)'!$V$6,Model!AA$1,'Assumptions (MSW)'!$V$9,'Assumptions (MSW)'!$V$4*Model!$AF$1804*AVERAGE('Assumptions (MSW)'!$AB$2:$AD$2)/10^9),0)</f>
        <v>0</v>
      </c>
      <c r="AK1890" s="160">
        <f>IF($AF$1804&gt;0,PPMT('Assumptions (MSW)'!$V$6,Model!AB$1,'Assumptions (MSW)'!$V$9,'Assumptions (MSW)'!$V$4*Model!$AF$1804*AVERAGE('Assumptions (MSW)'!$AB$2:$AD$2)/10^9),0)</f>
        <v>0</v>
      </c>
      <c r="AL1890" s="160">
        <f>IF($AF$1804&gt;0,PPMT('Assumptions (MSW)'!$V$6,Model!AC$1,'Assumptions (MSW)'!$V$9,'Assumptions (MSW)'!$V$4*Model!$AF$1804*AVERAGE('Assumptions (MSW)'!$AB$2:$AD$2)/10^9),0)</f>
        <v>0</v>
      </c>
      <c r="AM1890" s="160">
        <f>IF($AF$1804&gt;0,PPMT('Assumptions (MSW)'!$V$6,Model!AD$1,'Assumptions (MSW)'!$V$9,'Assumptions (MSW)'!$V$4*Model!$AF$1804*AVERAGE('Assumptions (MSW)'!$AB$2:$AD$2)/10^9),0)</f>
        <v>0</v>
      </c>
      <c r="AN1890" s="160">
        <f>IF($AF$1804&gt;0,PPMT('Assumptions (MSW)'!$V$6,Model!AE$1,'Assumptions (MSW)'!$V$9,'Assumptions (MSW)'!$V$4*Model!$AF$1804*AVERAGE('Assumptions (MSW)'!$AB$2:$AD$2)/10^9),0)</f>
        <v>0</v>
      </c>
      <c r="AO1890" s="160">
        <f>IF($AF$1804&gt;0,PPMT('Assumptions (MSW)'!$V$6,Model!AF$1,'Assumptions (MSW)'!$V$9,'Assumptions (MSW)'!$V$4*Model!$AF$1804*AVERAGE('Assumptions (MSW)'!$AB$2:$AD$2)/10^9),0)</f>
        <v>0</v>
      </c>
      <c r="AP1890" s="160">
        <f>IF($AF$1804&gt;0,PPMT('Assumptions (MSW)'!$V$6,Model!AG$1,'Assumptions (MSW)'!$V$9,'Assumptions (MSW)'!$V$4*Model!$AF$1804*AVERAGE('Assumptions (MSW)'!$AB$2:$AD$2)/10^9),0)</f>
        <v>0</v>
      </c>
      <c r="AQ1890" s="160">
        <f>IF($AF$1804&gt;0,PPMT('Assumptions (MSW)'!$V$6,Model!AH$1,'Assumptions (MSW)'!$V$9,'Assumptions (MSW)'!$V$4*Model!$AF$1804*AVERAGE('Assumptions (MSW)'!$AB$2:$AD$2)/10^9),0)</f>
        <v>0</v>
      </c>
      <c r="AR1890" s="160">
        <f>IF($AF$1804&gt;0,PPMT('Assumptions (MSW)'!$V$6,Model!AI$1,'Assumptions (MSW)'!$V$9,'Assumptions (MSW)'!$V$4*Model!$AF$1804*AVERAGE('Assumptions (MSW)'!$AB$2:$AD$2)/10^9),0)</f>
        <v>0</v>
      </c>
      <c r="AS1890" s="160">
        <f>IF($AF$1804&gt;0,PPMT('Assumptions (MSW)'!$V$6,Model!AJ$1,'Assumptions (MSW)'!$V$9,'Assumptions (MSW)'!$V$4*Model!$AF$1804*AVERAGE('Assumptions (MSW)'!$AB$2:$AD$2)/10^9),0)</f>
        <v>0</v>
      </c>
      <c r="AT1890" s="160">
        <f>IF($AF$1804&gt;0,PPMT('Assumptions (MSW)'!$V$6,Model!AK$1,'Assumptions (MSW)'!$V$9,'Assumptions (MSW)'!$V$4*Model!$AF$1804*AVERAGE('Assumptions (MSW)'!$AB$2:$AD$2)/10^9),0)</f>
        <v>0</v>
      </c>
      <c r="AU1890" s="160"/>
      <c r="AV1890" s="160"/>
      <c r="AW1890" s="160"/>
      <c r="AX1890" s="160"/>
      <c r="AY1890" s="160"/>
      <c r="AZ1890" s="160"/>
      <c r="BA1890" s="160"/>
      <c r="BB1890" s="160"/>
      <c r="BC1890" s="160"/>
      <c r="BD1890" s="160"/>
    </row>
    <row r="1891" ht="15.75" hidden="1" customHeight="1" outlineLevel="1">
      <c r="A1891" s="309"/>
      <c r="B1891" s="38"/>
      <c r="C1891" s="174"/>
      <c r="D1891" s="174"/>
      <c r="E1891" s="174"/>
      <c r="F1891" s="174"/>
      <c r="G1891" s="174"/>
      <c r="H1891" s="174"/>
      <c r="I1891" s="174"/>
      <c r="J1891" s="174"/>
      <c r="K1891" s="174"/>
      <c r="L1891" s="174"/>
      <c r="M1891" s="174"/>
      <c r="N1891" s="174"/>
      <c r="O1891" s="174"/>
      <c r="P1891" s="174"/>
      <c r="Q1891" s="174"/>
      <c r="R1891" s="174"/>
      <c r="S1891" s="174"/>
      <c r="T1891" s="174"/>
      <c r="U1891" s="174"/>
      <c r="V1891" s="174"/>
      <c r="W1891" s="160"/>
      <c r="X1891" s="160"/>
      <c r="Y1891" s="160"/>
      <c r="Z1891" s="160"/>
      <c r="AA1891" s="160"/>
      <c r="AB1891" s="160"/>
      <c r="AC1891" s="160"/>
      <c r="AD1891" s="160"/>
      <c r="AE1891" s="160"/>
      <c r="AF1891" s="160"/>
      <c r="AG1891" s="160">
        <f>IF($AG$1804&gt;0,PPMT('Assumptions (MSW)'!$V$6,Model!W$1,'Assumptions (MSW)'!$V$9,'Assumptions (MSW)'!$V$4*Model!$AG$1804*AVERAGE('Assumptions (MSW)'!$AC$2:$AE$2)/10^9),0)</f>
        <v>0</v>
      </c>
      <c r="AH1891" s="160">
        <f>IF($AG$1804&gt;0,PPMT('Assumptions (MSW)'!$V$6,Model!X$1,'Assumptions (MSW)'!$V$9,'Assumptions (MSW)'!$V$4*Model!$AG$1804*AVERAGE('Assumptions (MSW)'!$AC$2:$AE$2)/10^9),0)</f>
        <v>0</v>
      </c>
      <c r="AI1891" s="160">
        <f>IF($AG$1804&gt;0,PPMT('Assumptions (MSW)'!$V$6,Model!Y$1,'Assumptions (MSW)'!$V$9,'Assumptions (MSW)'!$V$4*Model!$AG$1804*AVERAGE('Assumptions (MSW)'!$AC$2:$AE$2)/10^9),0)</f>
        <v>0</v>
      </c>
      <c r="AJ1891" s="160">
        <f>IF($AG$1804&gt;0,PPMT('Assumptions (MSW)'!$V$6,Model!Z$1,'Assumptions (MSW)'!$V$9,'Assumptions (MSW)'!$V$4*Model!$AG$1804*AVERAGE('Assumptions (MSW)'!$AC$2:$AE$2)/10^9),0)</f>
        <v>0</v>
      </c>
      <c r="AK1891" s="160">
        <f>IF($AG$1804&gt;0,PPMT('Assumptions (MSW)'!$V$6,Model!AA$1,'Assumptions (MSW)'!$V$9,'Assumptions (MSW)'!$V$4*Model!$AG$1804*AVERAGE('Assumptions (MSW)'!$AC$2:$AE$2)/10^9),0)</f>
        <v>0</v>
      </c>
      <c r="AL1891" s="160">
        <f>IF($AG$1804&gt;0,PPMT('Assumptions (MSW)'!$V$6,Model!AB$1,'Assumptions (MSW)'!$V$9,'Assumptions (MSW)'!$V$4*Model!$AG$1804*AVERAGE('Assumptions (MSW)'!$AC$2:$AE$2)/10^9),0)</f>
        <v>0</v>
      </c>
      <c r="AM1891" s="160">
        <f>IF($AG$1804&gt;0,PPMT('Assumptions (MSW)'!$V$6,Model!AC$1,'Assumptions (MSW)'!$V$9,'Assumptions (MSW)'!$V$4*Model!$AG$1804*AVERAGE('Assumptions (MSW)'!$AC$2:$AE$2)/10^9),0)</f>
        <v>0</v>
      </c>
      <c r="AN1891" s="160">
        <f>IF($AG$1804&gt;0,PPMT('Assumptions (MSW)'!$V$6,Model!AD$1,'Assumptions (MSW)'!$V$9,'Assumptions (MSW)'!$V$4*Model!$AG$1804*AVERAGE('Assumptions (MSW)'!$AC$2:$AE$2)/10^9),0)</f>
        <v>0</v>
      </c>
      <c r="AO1891" s="160">
        <f>IF($AG$1804&gt;0,PPMT('Assumptions (MSW)'!$V$6,Model!AE$1,'Assumptions (MSW)'!$V$9,'Assumptions (MSW)'!$V$4*Model!$AG$1804*AVERAGE('Assumptions (MSW)'!$AC$2:$AE$2)/10^9),0)</f>
        <v>0</v>
      </c>
      <c r="AP1891" s="160">
        <f>IF($AG$1804&gt;0,PPMT('Assumptions (MSW)'!$V$6,Model!AF$1,'Assumptions (MSW)'!$V$9,'Assumptions (MSW)'!$V$4*Model!$AG$1804*AVERAGE('Assumptions (MSW)'!$AC$2:$AE$2)/10^9),0)</f>
        <v>0</v>
      </c>
      <c r="AQ1891" s="160">
        <f>IF($AG$1804&gt;0,PPMT('Assumptions (MSW)'!$V$6,Model!AG$1,'Assumptions (MSW)'!$V$9,'Assumptions (MSW)'!$V$4*Model!$AG$1804*AVERAGE('Assumptions (MSW)'!$AC$2:$AE$2)/10^9),0)</f>
        <v>0</v>
      </c>
      <c r="AR1891" s="160">
        <f>IF($AG$1804&gt;0,PPMT('Assumptions (MSW)'!$V$6,Model!AH$1,'Assumptions (MSW)'!$V$9,'Assumptions (MSW)'!$V$4*Model!$AG$1804*AVERAGE('Assumptions (MSW)'!$AC$2:$AE$2)/10^9),0)</f>
        <v>0</v>
      </c>
      <c r="AS1891" s="160">
        <f>IF($AG$1804&gt;0,PPMT('Assumptions (MSW)'!$V$6,Model!AI$1,'Assumptions (MSW)'!$V$9,'Assumptions (MSW)'!$V$4*Model!$AG$1804*AVERAGE('Assumptions (MSW)'!$AC$2:$AE$2)/10^9),0)</f>
        <v>0</v>
      </c>
      <c r="AT1891" s="160">
        <f>IF($AG$1804&gt;0,PPMT('Assumptions (MSW)'!$V$6,Model!AJ$1,'Assumptions (MSW)'!$V$9,'Assumptions (MSW)'!$V$4*Model!$AG$1804*AVERAGE('Assumptions (MSW)'!$AC$2:$AE$2)/10^9),0)</f>
        <v>0</v>
      </c>
      <c r="AU1891" s="160">
        <f>IF($AG$1804&gt;0,PPMT('Assumptions (MSW)'!$V$6,Model!AK$1,'Assumptions (MSW)'!$V$9,'Assumptions (MSW)'!$V$4*Model!$AG$1804*AVERAGE('Assumptions (MSW)'!$AC$2:$AE$2)/10^9),0)</f>
        <v>0</v>
      </c>
      <c r="AV1891" s="160"/>
      <c r="AW1891" s="160"/>
      <c r="AX1891" s="160"/>
      <c r="AY1891" s="160"/>
      <c r="AZ1891" s="160"/>
      <c r="BA1891" s="160"/>
      <c r="BB1891" s="160"/>
      <c r="BC1891" s="160"/>
      <c r="BD1891" s="160"/>
      <c r="BE1891" s="160"/>
    </row>
    <row r="1892" ht="15.75" hidden="1" customHeight="1" outlineLevel="1">
      <c r="A1892" s="309"/>
      <c r="B1892" s="38"/>
      <c r="C1892" s="174"/>
      <c r="D1892" s="174"/>
      <c r="E1892" s="174"/>
      <c r="F1892" s="174"/>
      <c r="G1892" s="174"/>
      <c r="H1892" s="174"/>
      <c r="I1892" s="174"/>
      <c r="J1892" s="174"/>
      <c r="K1892" s="174"/>
      <c r="L1892" s="174"/>
      <c r="M1892" s="174"/>
      <c r="N1892" s="174"/>
      <c r="O1892" s="174"/>
      <c r="P1892" s="174"/>
      <c r="Q1892" s="174"/>
      <c r="R1892" s="174"/>
      <c r="S1892" s="174"/>
      <c r="T1892" s="174"/>
      <c r="U1892" s="174"/>
      <c r="V1892" s="174"/>
      <c r="W1892" s="160"/>
      <c r="X1892" s="160"/>
      <c r="Y1892" s="160"/>
      <c r="Z1892" s="160"/>
      <c r="AA1892" s="160"/>
      <c r="AB1892" s="160"/>
      <c r="AC1892" s="160"/>
      <c r="AD1892" s="160"/>
      <c r="AE1892" s="160"/>
      <c r="AF1892" s="160"/>
      <c r="AG1892" s="160"/>
      <c r="AH1892" s="160">
        <f>IF($AH$1804&gt;0,PPMT('Assumptions (MSW)'!$V$6,Model!W$1,'Assumptions (MSW)'!$V$9,'Assumptions (MSW)'!$V$4*Model!$AH$1804*AVERAGE('Assumptions (MSW)'!$AD$2:$AF$2)/10^9),0)</f>
        <v>0</v>
      </c>
      <c r="AI1892" s="160">
        <f>IF($AH$1804&gt;0,PPMT('Assumptions (MSW)'!$V$6,Model!X$1,'Assumptions (MSW)'!$V$9,'Assumptions (MSW)'!$V$4*Model!$AH$1804*AVERAGE('Assumptions (MSW)'!$AD$2:$AF$2)/10^9),0)</f>
        <v>0</v>
      </c>
      <c r="AJ1892" s="160">
        <f>IF($AH$1804&gt;0,PPMT('Assumptions (MSW)'!$V$6,Model!Y$1,'Assumptions (MSW)'!$V$9,'Assumptions (MSW)'!$V$4*Model!$AH$1804*AVERAGE('Assumptions (MSW)'!$AD$2:$AF$2)/10^9),0)</f>
        <v>0</v>
      </c>
      <c r="AK1892" s="160">
        <f>IF($AH$1804&gt;0,PPMT('Assumptions (MSW)'!$V$6,Model!Z$1,'Assumptions (MSW)'!$V$9,'Assumptions (MSW)'!$V$4*Model!$AH$1804*AVERAGE('Assumptions (MSW)'!$AD$2:$AF$2)/10^9),0)</f>
        <v>0</v>
      </c>
      <c r="AL1892" s="160">
        <f>IF($AH$1804&gt;0,PPMT('Assumptions (MSW)'!$V$6,Model!AA$1,'Assumptions (MSW)'!$V$9,'Assumptions (MSW)'!$V$4*Model!$AH$1804*AVERAGE('Assumptions (MSW)'!$AD$2:$AF$2)/10^9),0)</f>
        <v>0</v>
      </c>
      <c r="AM1892" s="160">
        <f>IF($AH$1804&gt;0,PPMT('Assumptions (MSW)'!$V$6,Model!AB$1,'Assumptions (MSW)'!$V$9,'Assumptions (MSW)'!$V$4*Model!$AH$1804*AVERAGE('Assumptions (MSW)'!$AD$2:$AF$2)/10^9),0)</f>
        <v>0</v>
      </c>
      <c r="AN1892" s="160">
        <f>IF($AH$1804&gt;0,PPMT('Assumptions (MSW)'!$V$6,Model!AC$1,'Assumptions (MSW)'!$V$9,'Assumptions (MSW)'!$V$4*Model!$AH$1804*AVERAGE('Assumptions (MSW)'!$AD$2:$AF$2)/10^9),0)</f>
        <v>0</v>
      </c>
      <c r="AO1892" s="160">
        <f>IF($AH$1804&gt;0,PPMT('Assumptions (MSW)'!$V$6,Model!AD$1,'Assumptions (MSW)'!$V$9,'Assumptions (MSW)'!$V$4*Model!$AH$1804*AVERAGE('Assumptions (MSW)'!$AD$2:$AF$2)/10^9),0)</f>
        <v>0</v>
      </c>
      <c r="AP1892" s="160">
        <f>IF($AH$1804&gt;0,PPMT('Assumptions (MSW)'!$V$6,Model!AE$1,'Assumptions (MSW)'!$V$9,'Assumptions (MSW)'!$V$4*Model!$AH$1804*AVERAGE('Assumptions (MSW)'!$AD$2:$AF$2)/10^9),0)</f>
        <v>0</v>
      </c>
      <c r="AQ1892" s="160">
        <f>IF($AH$1804&gt;0,PPMT('Assumptions (MSW)'!$V$6,Model!AF$1,'Assumptions (MSW)'!$V$9,'Assumptions (MSW)'!$V$4*Model!$AH$1804*AVERAGE('Assumptions (MSW)'!$AD$2:$AF$2)/10^9),0)</f>
        <v>0</v>
      </c>
      <c r="AR1892" s="160">
        <f>IF($AH$1804&gt;0,PPMT('Assumptions (MSW)'!$V$6,Model!AG$1,'Assumptions (MSW)'!$V$9,'Assumptions (MSW)'!$V$4*Model!$AH$1804*AVERAGE('Assumptions (MSW)'!$AD$2:$AF$2)/10^9),0)</f>
        <v>0</v>
      </c>
      <c r="AS1892" s="160">
        <f>IF($AH$1804&gt;0,PPMT('Assumptions (MSW)'!$V$6,Model!AH$1,'Assumptions (MSW)'!$V$9,'Assumptions (MSW)'!$V$4*Model!$AH$1804*AVERAGE('Assumptions (MSW)'!$AD$2:$AF$2)/10^9),0)</f>
        <v>0</v>
      </c>
      <c r="AT1892" s="160">
        <f>IF($AH$1804&gt;0,PPMT('Assumptions (MSW)'!$V$6,Model!AI$1,'Assumptions (MSW)'!$V$9,'Assumptions (MSW)'!$V$4*Model!$AH$1804*AVERAGE('Assumptions (MSW)'!$AD$2:$AF$2)/10^9),0)</f>
        <v>0</v>
      </c>
      <c r="AU1892" s="160">
        <f>IF($AH$1804&gt;0,PPMT('Assumptions (MSW)'!$V$6,Model!AJ$1,'Assumptions (MSW)'!$V$9,'Assumptions (MSW)'!$V$4*Model!$AH$1804*AVERAGE('Assumptions (MSW)'!$AD$2:$AF$2)/10^9),0)</f>
        <v>0</v>
      </c>
      <c r="AV1892" s="160">
        <f>IF($AH$1804&gt;0,PPMT('Assumptions (MSW)'!$V$6,Model!AK$1,'Assumptions (MSW)'!$V$9,'Assumptions (MSW)'!$V$4*Model!$AH$1804*AVERAGE('Assumptions (MSW)'!$AD$2:$AF$2)/10^9),0)</f>
        <v>0</v>
      </c>
      <c r="AW1892" s="160"/>
      <c r="AX1892" s="160"/>
      <c r="AY1892" s="160"/>
      <c r="AZ1892" s="160"/>
      <c r="BA1892" s="160"/>
      <c r="BB1892" s="160"/>
      <c r="BC1892" s="160"/>
      <c r="BD1892" s="160"/>
      <c r="BE1892" s="160"/>
      <c r="BF1892" s="160"/>
    </row>
    <row r="1893" ht="15.75" hidden="1" customHeight="1" outlineLevel="1">
      <c r="A1893" s="309"/>
      <c r="B1893" s="38"/>
      <c r="C1893" s="174"/>
      <c r="D1893" s="174"/>
      <c r="E1893" s="174"/>
      <c r="F1893" s="174"/>
      <c r="G1893" s="174"/>
      <c r="H1893" s="174"/>
      <c r="I1893" s="174"/>
      <c r="J1893" s="174"/>
      <c r="K1893" s="174"/>
      <c r="L1893" s="174"/>
      <c r="M1893" s="174"/>
      <c r="N1893" s="174"/>
      <c r="O1893" s="174"/>
      <c r="P1893" s="174"/>
      <c r="Q1893" s="174"/>
      <c r="R1893" s="174"/>
      <c r="S1893" s="174"/>
      <c r="T1893" s="174"/>
      <c r="U1893" s="174"/>
      <c r="V1893" s="174"/>
      <c r="W1893" s="160"/>
      <c r="X1893" s="160"/>
      <c r="Y1893" s="160"/>
      <c r="Z1893" s="160"/>
      <c r="AA1893" s="160"/>
      <c r="AB1893" s="160"/>
      <c r="AC1893" s="160"/>
      <c r="AD1893" s="160"/>
      <c r="AE1893" s="160"/>
      <c r="AF1893" s="160"/>
      <c r="AG1893" s="160"/>
      <c r="AH1893" s="160"/>
      <c r="AI1893" s="160">
        <f>IF($AI$1804&gt;0,PPMT('Assumptions (MSW)'!$V$6,Model!W$1,'Assumptions (MSW)'!$V$9,'Assumptions (MSW)'!$V$4*Model!$AI$1804*AVERAGE('Assumptions (MSW)'!$AE$2:$AG$2)/10^9),0)</f>
        <v>0</v>
      </c>
      <c r="AJ1893" s="160">
        <f>IF($AI$1804&gt;0,PPMT('Assumptions (MSW)'!$V$6,Model!X$1,'Assumptions (MSW)'!$V$9,'Assumptions (MSW)'!$V$4*Model!$AI$1804*AVERAGE('Assumptions (MSW)'!$AE$2:$AG$2)/10^9),0)</f>
        <v>0</v>
      </c>
      <c r="AK1893" s="160">
        <f>IF($AI$1804&gt;0,PPMT('Assumptions (MSW)'!$V$6,Model!Y$1,'Assumptions (MSW)'!$V$9,'Assumptions (MSW)'!$V$4*Model!$AI$1804*AVERAGE('Assumptions (MSW)'!$AE$2:$AG$2)/10^9),0)</f>
        <v>0</v>
      </c>
      <c r="AL1893" s="160">
        <f>IF($AI$1804&gt;0,PPMT('Assumptions (MSW)'!$V$6,Model!Z$1,'Assumptions (MSW)'!$V$9,'Assumptions (MSW)'!$V$4*Model!$AI$1804*AVERAGE('Assumptions (MSW)'!$AE$2:$AG$2)/10^9),0)</f>
        <v>0</v>
      </c>
      <c r="AM1893" s="160">
        <f>IF($AI$1804&gt;0,PPMT('Assumptions (MSW)'!$V$6,Model!AA$1,'Assumptions (MSW)'!$V$9,'Assumptions (MSW)'!$V$4*Model!$AI$1804*AVERAGE('Assumptions (MSW)'!$AE$2:$AG$2)/10^9),0)</f>
        <v>0</v>
      </c>
      <c r="AN1893" s="160">
        <f>IF($AI$1804&gt;0,PPMT('Assumptions (MSW)'!$V$6,Model!AB$1,'Assumptions (MSW)'!$V$9,'Assumptions (MSW)'!$V$4*Model!$AI$1804*AVERAGE('Assumptions (MSW)'!$AE$2:$AG$2)/10^9),0)</f>
        <v>0</v>
      </c>
      <c r="AO1893" s="160">
        <f>IF($AI$1804&gt;0,PPMT('Assumptions (MSW)'!$V$6,Model!AC$1,'Assumptions (MSW)'!$V$9,'Assumptions (MSW)'!$V$4*Model!$AI$1804*AVERAGE('Assumptions (MSW)'!$AE$2:$AG$2)/10^9),0)</f>
        <v>0</v>
      </c>
      <c r="AP1893" s="160">
        <f>IF($AI$1804&gt;0,PPMT('Assumptions (MSW)'!$V$6,Model!AD$1,'Assumptions (MSW)'!$V$9,'Assumptions (MSW)'!$V$4*Model!$AI$1804*AVERAGE('Assumptions (MSW)'!$AE$2:$AG$2)/10^9),0)</f>
        <v>0</v>
      </c>
      <c r="AQ1893" s="160">
        <f>IF($AI$1804&gt;0,PPMT('Assumptions (MSW)'!$V$6,Model!AE$1,'Assumptions (MSW)'!$V$9,'Assumptions (MSW)'!$V$4*Model!$AI$1804*AVERAGE('Assumptions (MSW)'!$AE$2:$AG$2)/10^9),0)</f>
        <v>0</v>
      </c>
      <c r="AR1893" s="160">
        <f>IF($AI$1804&gt;0,PPMT('Assumptions (MSW)'!$V$6,Model!AF$1,'Assumptions (MSW)'!$V$9,'Assumptions (MSW)'!$V$4*Model!$AI$1804*AVERAGE('Assumptions (MSW)'!$AE$2:$AG$2)/10^9),0)</f>
        <v>0</v>
      </c>
      <c r="AS1893" s="160">
        <f>IF($AI$1804&gt;0,PPMT('Assumptions (MSW)'!$V$6,Model!AG$1,'Assumptions (MSW)'!$V$9,'Assumptions (MSW)'!$V$4*Model!$AI$1804*AVERAGE('Assumptions (MSW)'!$AE$2:$AG$2)/10^9),0)</f>
        <v>0</v>
      </c>
      <c r="AT1893" s="160">
        <f>IF($AI$1804&gt;0,PPMT('Assumptions (MSW)'!$V$6,Model!AH$1,'Assumptions (MSW)'!$V$9,'Assumptions (MSW)'!$V$4*Model!$AI$1804*AVERAGE('Assumptions (MSW)'!$AE$2:$AG$2)/10^9),0)</f>
        <v>0</v>
      </c>
      <c r="AU1893" s="160">
        <f>IF($AI$1804&gt;0,PPMT('Assumptions (MSW)'!$V$6,Model!AI$1,'Assumptions (MSW)'!$V$9,'Assumptions (MSW)'!$V$4*Model!$AI$1804*AVERAGE('Assumptions (MSW)'!$AE$2:$AG$2)/10^9),0)</f>
        <v>0</v>
      </c>
      <c r="AV1893" s="160">
        <f>IF($AI$1804&gt;0,PPMT('Assumptions (MSW)'!$V$6,Model!AJ$1,'Assumptions (MSW)'!$V$9,'Assumptions (MSW)'!$V$4*Model!$AI$1804*AVERAGE('Assumptions (MSW)'!$AE$2:$AG$2)/10^9),0)</f>
        <v>0</v>
      </c>
      <c r="AW1893" s="160">
        <f>IF($AI$1804&gt;0,PPMT('Assumptions (MSW)'!$V$6,Model!AK$1,'Assumptions (MSW)'!$V$9,'Assumptions (MSW)'!$V$4*Model!$AI$1804*AVERAGE('Assumptions (MSW)'!$AE$2:$AG$2)/10^9),0)</f>
        <v>0</v>
      </c>
      <c r="AX1893" s="160"/>
      <c r="AY1893" s="160"/>
      <c r="AZ1893" s="160"/>
      <c r="BA1893" s="160"/>
      <c r="BB1893" s="160"/>
      <c r="BC1893" s="160"/>
      <c r="BD1893" s="160"/>
      <c r="BE1893" s="160"/>
      <c r="BF1893" s="160"/>
      <c r="BG1893" s="160"/>
    </row>
    <row r="1894" ht="15.75" hidden="1" customHeight="1" outlineLevel="1">
      <c r="A1894" s="309"/>
      <c r="B1894" s="38"/>
      <c r="C1894" s="174"/>
      <c r="D1894" s="174"/>
      <c r="E1894" s="174"/>
      <c r="F1894" s="174"/>
      <c r="G1894" s="174"/>
      <c r="H1894" s="174"/>
      <c r="I1894" s="174"/>
      <c r="J1894" s="174"/>
      <c r="K1894" s="174"/>
      <c r="L1894" s="174"/>
      <c r="M1894" s="174"/>
      <c r="N1894" s="174"/>
      <c r="O1894" s="174"/>
      <c r="P1894" s="174"/>
      <c r="Q1894" s="174"/>
      <c r="R1894" s="174"/>
      <c r="S1894" s="174"/>
      <c r="T1894" s="174"/>
      <c r="U1894" s="174"/>
      <c r="V1894" s="174"/>
      <c r="W1894" s="160"/>
      <c r="X1894" s="160"/>
      <c r="Y1894" s="160"/>
      <c r="Z1894" s="160"/>
      <c r="AA1894" s="160"/>
      <c r="AB1894" s="160"/>
      <c r="AC1894" s="160"/>
      <c r="AD1894" s="160"/>
      <c r="AE1894" s="160"/>
      <c r="AF1894" s="160"/>
      <c r="AG1894" s="160"/>
      <c r="AH1894" s="160"/>
      <c r="AI1894" s="160"/>
      <c r="AJ1894" s="177">
        <f>IF($AJ$1804&gt;0,PPMT('Assumptions (MSW)'!$V$6,Model!W$1,'Assumptions (MSW)'!$V$9,'Assumptions (MSW)'!$V$4*Model!$AJ$1804*AVERAGE('Assumptions (MSW)'!$AF$2:$AH$2)/10^9),0)</f>
        <v>0</v>
      </c>
      <c r="AK1894" s="177">
        <f>IF($AJ$1804&gt;0,PPMT('Assumptions (MSW)'!$V$6,Model!X$1,'Assumptions (MSW)'!$V$9,'Assumptions (MSW)'!$V$4*Model!$AJ$1804*AVERAGE('Assumptions (MSW)'!$AF$2:$AH$2)/10^9),0)</f>
        <v>0</v>
      </c>
      <c r="AL1894" s="177">
        <f>IF($AJ$1804&gt;0,PPMT('Assumptions (MSW)'!$V$6,Model!Y$1,'Assumptions (MSW)'!$V$9,'Assumptions (MSW)'!$V$4*Model!$AJ$1804*AVERAGE('Assumptions (MSW)'!$AF$2:$AH$2)/10^9),0)</f>
        <v>0</v>
      </c>
      <c r="AM1894" s="177">
        <f>IF($AJ$1804&gt;0,PPMT('Assumptions (MSW)'!$V$6,Model!Z$1,'Assumptions (MSW)'!$V$9,'Assumptions (MSW)'!$V$4*Model!$AJ$1804*AVERAGE('Assumptions (MSW)'!$AF$2:$AH$2)/10^9),0)</f>
        <v>0</v>
      </c>
      <c r="AN1894" s="177">
        <f>IF($AJ$1804&gt;0,PPMT('Assumptions (MSW)'!$V$6,Model!AA$1,'Assumptions (MSW)'!$V$9,'Assumptions (MSW)'!$V$4*Model!$AJ$1804*AVERAGE('Assumptions (MSW)'!$AF$2:$AH$2)/10^9),0)</f>
        <v>0</v>
      </c>
      <c r="AO1894" s="177">
        <f>IF($AJ$1804&gt;0,PPMT('Assumptions (MSW)'!$V$6,Model!AB$1,'Assumptions (MSW)'!$V$9,'Assumptions (MSW)'!$V$4*Model!$AJ$1804*AVERAGE('Assumptions (MSW)'!$AF$2:$AH$2)/10^9),0)</f>
        <v>0</v>
      </c>
      <c r="AP1894" s="177">
        <f>IF($AJ$1804&gt;0,PPMT('Assumptions (MSW)'!$V$6,Model!AC$1,'Assumptions (MSW)'!$V$9,'Assumptions (MSW)'!$V$4*Model!$AJ$1804*AVERAGE('Assumptions (MSW)'!$AF$2:$AH$2)/10^9),0)</f>
        <v>0</v>
      </c>
      <c r="AQ1894" s="177">
        <f>IF($AJ$1804&gt;0,PPMT('Assumptions (MSW)'!$V$6,Model!AD$1,'Assumptions (MSW)'!$V$9,'Assumptions (MSW)'!$V$4*Model!$AJ$1804*AVERAGE('Assumptions (MSW)'!$AF$2:$AH$2)/10^9),0)</f>
        <v>0</v>
      </c>
      <c r="AR1894" s="177">
        <f>IF($AJ$1804&gt;0,PPMT('Assumptions (MSW)'!$V$6,Model!AE$1,'Assumptions (MSW)'!$V$9,'Assumptions (MSW)'!$V$4*Model!$AJ$1804*AVERAGE('Assumptions (MSW)'!$AF$2:$AH$2)/10^9),0)</f>
        <v>0</v>
      </c>
      <c r="AS1894" s="177">
        <f>IF($AJ$1804&gt;0,PPMT('Assumptions (MSW)'!$V$6,Model!AF$1,'Assumptions (MSW)'!$V$9,'Assumptions (MSW)'!$V$4*Model!$AJ$1804*AVERAGE('Assumptions (MSW)'!$AF$2:$AH$2)/10^9),0)</f>
        <v>0</v>
      </c>
      <c r="AT1894" s="177">
        <f>IF($AJ$1804&gt;0,PPMT('Assumptions (MSW)'!$V$6,Model!AG$1,'Assumptions (MSW)'!$V$9,'Assumptions (MSW)'!$V$4*Model!$AJ$1804*AVERAGE('Assumptions (MSW)'!$AF$2:$AH$2)/10^9),0)</f>
        <v>0</v>
      </c>
      <c r="AU1894" s="177">
        <f>IF($AJ$1804&gt;0,PPMT('Assumptions (MSW)'!$V$6,Model!AH$1,'Assumptions (MSW)'!$V$9,'Assumptions (MSW)'!$V$4*Model!$AJ$1804*AVERAGE('Assumptions (MSW)'!$AF$2:$AH$2)/10^9),0)</f>
        <v>0</v>
      </c>
      <c r="AV1894" s="177">
        <f>IF($AJ$1804&gt;0,PPMT('Assumptions (MSW)'!$V$6,Model!AI$1,'Assumptions (MSW)'!$V$9,'Assumptions (MSW)'!$V$4*Model!$AJ$1804*AVERAGE('Assumptions (MSW)'!$AF$2:$AH$2)/10^9),0)</f>
        <v>0</v>
      </c>
      <c r="AW1894" s="177">
        <f>IF($AJ$1804&gt;0,PPMT('Assumptions (MSW)'!$V$6,Model!AJ$1,'Assumptions (MSW)'!$V$9,'Assumptions (MSW)'!$V$4*Model!$AJ$1804*AVERAGE('Assumptions (MSW)'!$AF$2:$AH$2)/10^9),0)</f>
        <v>0</v>
      </c>
      <c r="AX1894" s="177">
        <f>IF($AJ$1804&gt;0,PPMT('Assumptions (MSW)'!$V$6,Model!AK$1,'Assumptions (MSW)'!$V$9,'Assumptions (MSW)'!$V$4*Model!$AJ$1804*AVERAGE('Assumptions (MSW)'!$AF$2:$AH$2)/10^9),0)</f>
        <v>0</v>
      </c>
      <c r="AY1894" s="177"/>
      <c r="AZ1894" s="177"/>
      <c r="BA1894" s="177"/>
      <c r="BB1894" s="177"/>
      <c r="BC1894" s="177"/>
      <c r="BD1894" s="177"/>
      <c r="BE1894" s="177"/>
      <c r="BF1894" s="177"/>
      <c r="BG1894" s="177"/>
      <c r="BH1894" s="177"/>
    </row>
    <row r="1895" ht="15.75" hidden="1" customHeight="1" outlineLevel="1">
      <c r="A1895" s="309"/>
      <c r="B1895" s="38"/>
      <c r="C1895" s="174"/>
      <c r="D1895" s="174"/>
      <c r="E1895" s="174"/>
      <c r="F1895" s="174"/>
      <c r="G1895" s="174"/>
      <c r="H1895" s="174"/>
      <c r="I1895" s="174"/>
      <c r="J1895" s="174"/>
      <c r="K1895" s="174"/>
      <c r="L1895" s="174"/>
      <c r="M1895" s="174"/>
      <c r="N1895" s="174"/>
      <c r="O1895" s="174"/>
      <c r="P1895" s="174"/>
      <c r="Q1895" s="174"/>
      <c r="R1895" s="174"/>
      <c r="S1895" s="174"/>
      <c r="T1895" s="174"/>
      <c r="U1895" s="174"/>
      <c r="V1895" s="174"/>
      <c r="W1895" s="160"/>
      <c r="X1895" s="160"/>
      <c r="Y1895" s="160"/>
      <c r="Z1895" s="160"/>
      <c r="AA1895" s="160"/>
      <c r="AB1895" s="160"/>
      <c r="AC1895" s="160"/>
      <c r="AD1895" s="160"/>
      <c r="AE1895" s="160"/>
      <c r="AF1895" s="160"/>
      <c r="AG1895" s="160"/>
      <c r="AH1895" s="160"/>
      <c r="AI1895" s="160"/>
      <c r="AJ1895" s="179"/>
      <c r="AK1895" s="160">
        <f>IF($AK$1804&gt;0,PPMT('Assumptions (MSW)'!$V$6,Model!W$1,'Assumptions (MSW)'!$V$9,'Assumptions (MSW)'!$V$4*Model!$AK$1804*AVERAGE('Assumptions (MSW)'!$AG$2:$AI$2)/10^9),0)</f>
        <v>0</v>
      </c>
      <c r="AL1895" s="160">
        <f>IF($AK$1804&gt;0,PPMT('Assumptions (MSW)'!$V$6,Model!X$1,'Assumptions (MSW)'!$V$9,'Assumptions (MSW)'!$V$4*Model!$AK$1804*AVERAGE('Assumptions (MSW)'!$AG$2:$AI$2)/10^9),0)</f>
        <v>0</v>
      </c>
      <c r="AM1895" s="160">
        <f>IF($AK$1804&gt;0,PPMT('Assumptions (MSW)'!$V$6,Model!Y$1,'Assumptions (MSW)'!$V$9,'Assumptions (MSW)'!$V$4*Model!$AK$1804*AVERAGE('Assumptions (MSW)'!$AG$2:$AI$2)/10^9),0)</f>
        <v>0</v>
      </c>
      <c r="AN1895" s="160">
        <f>IF($AK$1804&gt;0,PPMT('Assumptions (MSW)'!$V$6,Model!Z$1,'Assumptions (MSW)'!$V$9,'Assumptions (MSW)'!$V$4*Model!$AK$1804*AVERAGE('Assumptions (MSW)'!$AG$2:$AI$2)/10^9),0)</f>
        <v>0</v>
      </c>
      <c r="AO1895" s="160">
        <f>IF($AK$1804&gt;0,PPMT('Assumptions (MSW)'!$V$6,Model!AA$1,'Assumptions (MSW)'!$V$9,'Assumptions (MSW)'!$V$4*Model!$AK$1804*AVERAGE('Assumptions (MSW)'!$AG$2:$AI$2)/10^9),0)</f>
        <v>0</v>
      </c>
      <c r="AP1895" s="160">
        <f>IF($AK$1804&gt;0,PPMT('Assumptions (MSW)'!$V$6,Model!AB$1,'Assumptions (MSW)'!$V$9,'Assumptions (MSW)'!$V$4*Model!$AK$1804*AVERAGE('Assumptions (MSW)'!$AG$2:$AI$2)/10^9),0)</f>
        <v>0</v>
      </c>
      <c r="AQ1895" s="160">
        <f>IF($AK$1804&gt;0,PPMT('Assumptions (MSW)'!$V$6,Model!AC$1,'Assumptions (MSW)'!$V$9,'Assumptions (MSW)'!$V$4*Model!$AK$1804*AVERAGE('Assumptions (MSW)'!$AG$2:$AI$2)/10^9),0)</f>
        <v>0</v>
      </c>
      <c r="AR1895" s="160">
        <f>IF($AK$1804&gt;0,PPMT('Assumptions (MSW)'!$V$6,Model!AD$1,'Assumptions (MSW)'!$V$9,'Assumptions (MSW)'!$V$4*Model!$AK$1804*AVERAGE('Assumptions (MSW)'!$AG$2:$AI$2)/10^9),0)</f>
        <v>0</v>
      </c>
      <c r="AS1895" s="160">
        <f>IF($AK$1804&gt;0,PPMT('Assumptions (MSW)'!$V$6,Model!AE$1,'Assumptions (MSW)'!$V$9,'Assumptions (MSW)'!$V$4*Model!$AK$1804*AVERAGE('Assumptions (MSW)'!$AG$2:$AI$2)/10^9),0)</f>
        <v>0</v>
      </c>
      <c r="AT1895" s="160">
        <f>IF($AK$1804&gt;0,PPMT('Assumptions (MSW)'!$V$6,Model!AF$1,'Assumptions (MSW)'!$V$9,'Assumptions (MSW)'!$V$4*Model!$AK$1804*AVERAGE('Assumptions (MSW)'!$AG$2:$AI$2)/10^9),0)</f>
        <v>0</v>
      </c>
      <c r="AU1895" s="160">
        <f>IF($AK$1804&gt;0,PPMT('Assumptions (MSW)'!$V$6,Model!AG$1,'Assumptions (MSW)'!$V$9,'Assumptions (MSW)'!$V$4*Model!$AK$1804*AVERAGE('Assumptions (MSW)'!$AG$2:$AI$2)/10^9),0)</f>
        <v>0</v>
      </c>
      <c r="AV1895" s="160">
        <f>IF($AK$1804&gt;0,PPMT('Assumptions (MSW)'!$V$6,Model!AH$1,'Assumptions (MSW)'!$V$9,'Assumptions (MSW)'!$V$4*Model!$AK$1804*AVERAGE('Assumptions (MSW)'!$AG$2:$AI$2)/10^9),0)</f>
        <v>0</v>
      </c>
      <c r="AW1895" s="160">
        <f>IF($AK$1804&gt;0,PPMT('Assumptions (MSW)'!$V$6,Model!AI$1,'Assumptions (MSW)'!$V$9,'Assumptions (MSW)'!$V$4*Model!$AK$1804*AVERAGE('Assumptions (MSW)'!$AG$2:$AI$2)/10^9),0)</f>
        <v>0</v>
      </c>
      <c r="AX1895" s="160">
        <f>IF($AK$1804&gt;0,PPMT('Assumptions (MSW)'!$V$6,Model!AJ$1,'Assumptions (MSW)'!$V$9,'Assumptions (MSW)'!$V$4*Model!$AK$1804*AVERAGE('Assumptions (MSW)'!$AG$2:$AI$2)/10^9),0)</f>
        <v>0</v>
      </c>
      <c r="AY1895" s="160">
        <f>IF($AK$1804&gt;0,PPMT('Assumptions (MSW)'!$V$6,Model!AK$1,'Assumptions (MSW)'!$V$9,'Assumptions (MSW)'!$V$4*Model!$AK$1804*AVERAGE('Assumptions (MSW)'!$AG$2:$AI$2)/10^9),0)</f>
        <v>0</v>
      </c>
      <c r="AZ1895" s="160"/>
      <c r="BA1895" s="160"/>
      <c r="BB1895" s="160"/>
      <c r="BC1895" s="160"/>
      <c r="BD1895" s="160"/>
      <c r="BE1895" s="160"/>
      <c r="BF1895" s="160"/>
      <c r="BG1895" s="160"/>
      <c r="BH1895" s="160"/>
      <c r="BI1895" s="160"/>
    </row>
    <row r="1896" ht="15.75" hidden="1" customHeight="1" outlineLevel="1">
      <c r="A1896" s="309"/>
      <c r="B1896" s="38"/>
      <c r="C1896" s="174"/>
      <c r="D1896" s="174"/>
      <c r="E1896" s="174"/>
      <c r="F1896" s="174"/>
      <c r="G1896" s="174"/>
      <c r="H1896" s="174"/>
      <c r="I1896" s="174"/>
      <c r="J1896" s="174"/>
      <c r="K1896" s="174"/>
      <c r="L1896" s="174"/>
      <c r="M1896" s="174"/>
      <c r="N1896" s="174"/>
      <c r="O1896" s="174"/>
      <c r="P1896" s="174"/>
      <c r="Q1896" s="174"/>
      <c r="R1896" s="174"/>
      <c r="S1896" s="174"/>
      <c r="T1896" s="174"/>
      <c r="U1896" s="174"/>
      <c r="V1896" s="174"/>
      <c r="W1896" s="160"/>
      <c r="X1896" s="160"/>
      <c r="Y1896" s="160"/>
      <c r="Z1896" s="160"/>
      <c r="AA1896" s="160"/>
      <c r="AB1896" s="160"/>
      <c r="AC1896" s="160"/>
      <c r="AD1896" s="160"/>
      <c r="AE1896" s="160"/>
      <c r="AF1896" s="160"/>
      <c r="AG1896" s="160"/>
      <c r="AH1896" s="160"/>
      <c r="AI1896" s="160"/>
      <c r="AJ1896" s="179"/>
      <c r="AK1896" s="160"/>
      <c r="AL1896" s="177">
        <f>IF($AL$1804&gt;0,PPMT('Assumptions (MSW)'!$V$6,Model!W$1,'Assumptions (MSW)'!$V$9,'Assumptions (MSW)'!$V$4*Model!$AL$1804*AVERAGE('Assumptions (MSW)'!$AH$2:$AJ$2)/10^9),0)</f>
        <v>0</v>
      </c>
      <c r="AM1896" s="177">
        <f>IF($AL$1804&gt;0,PPMT('Assumptions (MSW)'!$V$6,Model!X$1,'Assumptions (MSW)'!$V$9,'Assumptions (MSW)'!$V$4*Model!$AL$1804*AVERAGE('Assumptions (MSW)'!$AH$2:$AJ$2)/10^9),0)</f>
        <v>0</v>
      </c>
      <c r="AN1896" s="177">
        <f>IF($AL$1804&gt;0,PPMT('Assumptions (MSW)'!$V$6,Model!Y$1,'Assumptions (MSW)'!$V$9,'Assumptions (MSW)'!$V$4*Model!$AL$1804*AVERAGE('Assumptions (MSW)'!$AH$2:$AJ$2)/10^9),0)</f>
        <v>0</v>
      </c>
      <c r="AO1896" s="177">
        <f>IF($AL$1804&gt;0,PPMT('Assumptions (MSW)'!$V$6,Model!Z$1,'Assumptions (MSW)'!$V$9,'Assumptions (MSW)'!$V$4*Model!$AL$1804*AVERAGE('Assumptions (MSW)'!$AH$2:$AJ$2)/10^9),0)</f>
        <v>0</v>
      </c>
      <c r="AP1896" s="177">
        <f>IF($AL$1804&gt;0,PPMT('Assumptions (MSW)'!$V$6,Model!AA$1,'Assumptions (MSW)'!$V$9,'Assumptions (MSW)'!$V$4*Model!$AL$1804*AVERAGE('Assumptions (MSW)'!$AH$2:$AJ$2)/10^9),0)</f>
        <v>0</v>
      </c>
      <c r="AQ1896" s="177">
        <f>IF($AL$1804&gt;0,PPMT('Assumptions (MSW)'!$V$6,Model!AB$1,'Assumptions (MSW)'!$V$9,'Assumptions (MSW)'!$V$4*Model!$AL$1804*AVERAGE('Assumptions (MSW)'!$AH$2:$AJ$2)/10^9),0)</f>
        <v>0</v>
      </c>
      <c r="AR1896" s="177">
        <f>IF($AL$1804&gt;0,PPMT('Assumptions (MSW)'!$V$6,Model!AC$1,'Assumptions (MSW)'!$V$9,'Assumptions (MSW)'!$V$4*Model!$AL$1804*AVERAGE('Assumptions (MSW)'!$AH$2:$AJ$2)/10^9),0)</f>
        <v>0</v>
      </c>
      <c r="AS1896" s="177">
        <f>IF($AL$1804&gt;0,PPMT('Assumptions (MSW)'!$V$6,Model!AD$1,'Assumptions (MSW)'!$V$9,'Assumptions (MSW)'!$V$4*Model!$AL$1804*AVERAGE('Assumptions (MSW)'!$AH$2:$AJ$2)/10^9),0)</f>
        <v>0</v>
      </c>
      <c r="AT1896" s="177">
        <f>IF($AL$1804&gt;0,PPMT('Assumptions (MSW)'!$V$6,Model!AE$1,'Assumptions (MSW)'!$V$9,'Assumptions (MSW)'!$V$4*Model!$AL$1804*AVERAGE('Assumptions (MSW)'!$AH$2:$AJ$2)/10^9),0)</f>
        <v>0</v>
      </c>
      <c r="AU1896" s="177">
        <f>IF($AL$1804&gt;0,PPMT('Assumptions (MSW)'!$V$6,Model!AF$1,'Assumptions (MSW)'!$V$9,'Assumptions (MSW)'!$V$4*Model!$AL$1804*AVERAGE('Assumptions (MSW)'!$AH$2:$AJ$2)/10^9),0)</f>
        <v>0</v>
      </c>
      <c r="AV1896" s="177">
        <f>IF($AL$1804&gt;0,PPMT('Assumptions (MSW)'!$V$6,Model!AG$1,'Assumptions (MSW)'!$V$9,'Assumptions (MSW)'!$V$4*Model!$AL$1804*AVERAGE('Assumptions (MSW)'!$AH$2:$AJ$2)/10^9),0)</f>
        <v>0</v>
      </c>
      <c r="AW1896" s="177">
        <f>IF($AL$1804&gt;0,PPMT('Assumptions (MSW)'!$V$6,Model!AH$1,'Assumptions (MSW)'!$V$9,'Assumptions (MSW)'!$V$4*Model!$AL$1804*AVERAGE('Assumptions (MSW)'!$AH$2:$AJ$2)/10^9),0)</f>
        <v>0</v>
      </c>
      <c r="AX1896" s="177">
        <f>IF($AL$1804&gt;0,PPMT('Assumptions (MSW)'!$V$6,Model!AI$1,'Assumptions (MSW)'!$V$9,'Assumptions (MSW)'!$V$4*Model!$AL$1804*AVERAGE('Assumptions (MSW)'!$AH$2:$AJ$2)/10^9),0)</f>
        <v>0</v>
      </c>
      <c r="AY1896" s="177">
        <f>IF($AL$1804&gt;0,PPMT('Assumptions (MSW)'!$V$6,Model!AJ$1,'Assumptions (MSW)'!$V$9,'Assumptions (MSW)'!$V$4*Model!$AL$1804*AVERAGE('Assumptions (MSW)'!$AH$2:$AJ$2)/10^9),0)</f>
        <v>0</v>
      </c>
      <c r="AZ1896" s="177">
        <f>IF($AL$1804&gt;0,PPMT('Assumptions (MSW)'!$V$6,Model!AK$1,'Assumptions (MSW)'!$V$9,'Assumptions (MSW)'!$V$4*Model!$AL$1804*AVERAGE('Assumptions (MSW)'!$AH$2:$AJ$2)/10^9),0)</f>
        <v>0</v>
      </c>
      <c r="BA1896" s="177"/>
      <c r="BB1896" s="177"/>
      <c r="BC1896" s="177"/>
      <c r="BD1896" s="177"/>
      <c r="BE1896" s="177"/>
      <c r="BF1896" s="177"/>
      <c r="BG1896" s="177"/>
      <c r="BH1896" s="177"/>
      <c r="BI1896" s="177"/>
      <c r="BJ1896" s="177"/>
    </row>
    <row r="1897" ht="15.75" hidden="1" customHeight="1" outlineLevel="1">
      <c r="A1897" s="309"/>
      <c r="B1897" s="38"/>
      <c r="C1897" s="174"/>
      <c r="D1897" s="174"/>
      <c r="E1897" s="174"/>
      <c r="F1897" s="174"/>
      <c r="G1897" s="174"/>
      <c r="H1897" s="174"/>
      <c r="I1897" s="174"/>
      <c r="J1897" s="174"/>
      <c r="K1897" s="174"/>
      <c r="L1897" s="174"/>
      <c r="M1897" s="174"/>
      <c r="N1897" s="174"/>
      <c r="O1897" s="174"/>
      <c r="P1897" s="174"/>
      <c r="Q1897" s="174"/>
      <c r="R1897" s="174"/>
      <c r="S1897" s="174"/>
      <c r="T1897" s="174"/>
      <c r="U1897" s="174"/>
      <c r="V1897" s="174"/>
      <c r="W1897" s="160"/>
      <c r="X1897" s="160"/>
      <c r="Y1897" s="160"/>
      <c r="Z1897" s="160"/>
      <c r="AA1897" s="160"/>
      <c r="AB1897" s="160"/>
      <c r="AC1897" s="160"/>
      <c r="AD1897" s="160"/>
      <c r="AE1897" s="160"/>
      <c r="AF1897" s="160"/>
      <c r="AG1897" s="160"/>
      <c r="AH1897" s="160"/>
      <c r="AI1897" s="160"/>
      <c r="AJ1897" s="179"/>
      <c r="AK1897" s="160"/>
      <c r="AL1897" s="177"/>
      <c r="AM1897" s="160">
        <f>IF($AM$1804&gt;0,PPMT('Assumptions (MSW)'!$V$6,Model!W$1,'Assumptions (MSW)'!$V$9,'Assumptions (MSW)'!$V$4*Model!$AM$1804*AVERAGE('Assumptions (MSW)'!$AI$2:$AK$2)/10^9),0)</f>
        <v>0</v>
      </c>
      <c r="AN1897" s="160">
        <f>IF($AM$1804&gt;0,PPMT('Assumptions (MSW)'!$V$6,Model!X$1,'Assumptions (MSW)'!$V$9,'Assumptions (MSW)'!$V$4*Model!$AM$1804*AVERAGE('Assumptions (MSW)'!$AI$2:$AK$2)/10^9),0)</f>
        <v>0</v>
      </c>
      <c r="AO1897" s="160">
        <f>IF($AM$1804&gt;0,PPMT('Assumptions (MSW)'!$V$6,Model!Y$1,'Assumptions (MSW)'!$V$9,'Assumptions (MSW)'!$V$4*Model!$AM$1804*AVERAGE('Assumptions (MSW)'!$AI$2:$AK$2)/10^9),0)</f>
        <v>0</v>
      </c>
      <c r="AP1897" s="160">
        <f>IF($AM$1804&gt;0,PPMT('Assumptions (MSW)'!$V$6,Model!Z$1,'Assumptions (MSW)'!$V$9,'Assumptions (MSW)'!$V$4*Model!$AM$1804*AVERAGE('Assumptions (MSW)'!$AI$2:$AK$2)/10^9),0)</f>
        <v>0</v>
      </c>
      <c r="AQ1897" s="160">
        <f>IF($AM$1804&gt;0,PPMT('Assumptions (MSW)'!$V$6,Model!AA$1,'Assumptions (MSW)'!$V$9,'Assumptions (MSW)'!$V$4*Model!$AM$1804*AVERAGE('Assumptions (MSW)'!$AI$2:$AK$2)/10^9),0)</f>
        <v>0</v>
      </c>
      <c r="AR1897" s="160">
        <f>IF($AM$1804&gt;0,PPMT('Assumptions (MSW)'!$V$6,Model!AB$1,'Assumptions (MSW)'!$V$9,'Assumptions (MSW)'!$V$4*Model!$AM$1804*AVERAGE('Assumptions (MSW)'!$AI$2:$AK$2)/10^9),0)</f>
        <v>0</v>
      </c>
      <c r="AS1897" s="160">
        <f>IF($AM$1804&gt;0,PPMT('Assumptions (MSW)'!$V$6,Model!AC$1,'Assumptions (MSW)'!$V$9,'Assumptions (MSW)'!$V$4*Model!$AM$1804*AVERAGE('Assumptions (MSW)'!$AI$2:$AK$2)/10^9),0)</f>
        <v>0</v>
      </c>
      <c r="AT1897" s="160">
        <f>IF($AM$1804&gt;0,PPMT('Assumptions (MSW)'!$V$6,Model!AD$1,'Assumptions (MSW)'!$V$9,'Assumptions (MSW)'!$V$4*Model!$AM$1804*AVERAGE('Assumptions (MSW)'!$AI$2:$AK$2)/10^9),0)</f>
        <v>0</v>
      </c>
      <c r="AU1897" s="160">
        <f>IF($AM$1804&gt;0,PPMT('Assumptions (MSW)'!$V$6,Model!AE$1,'Assumptions (MSW)'!$V$9,'Assumptions (MSW)'!$V$4*Model!$AM$1804*AVERAGE('Assumptions (MSW)'!$AI$2:$AK$2)/10^9),0)</f>
        <v>0</v>
      </c>
      <c r="AV1897" s="160">
        <f>IF($AM$1804&gt;0,PPMT('Assumptions (MSW)'!$V$6,Model!AF$1,'Assumptions (MSW)'!$V$9,'Assumptions (MSW)'!$V$4*Model!$AM$1804*AVERAGE('Assumptions (MSW)'!$AI$2:$AK$2)/10^9),0)</f>
        <v>0</v>
      </c>
      <c r="AW1897" s="160">
        <f>IF($AM$1804&gt;0,PPMT('Assumptions (MSW)'!$V$6,Model!AG$1,'Assumptions (MSW)'!$V$9,'Assumptions (MSW)'!$V$4*Model!$AM$1804*AVERAGE('Assumptions (MSW)'!$AI$2:$AK$2)/10^9),0)</f>
        <v>0</v>
      </c>
      <c r="AX1897" s="160">
        <f>IF($AM$1804&gt;0,PPMT('Assumptions (MSW)'!$V$6,Model!AH$1,'Assumptions (MSW)'!$V$9,'Assumptions (MSW)'!$V$4*Model!$AM$1804*AVERAGE('Assumptions (MSW)'!$AI$2:$AK$2)/10^9),0)</f>
        <v>0</v>
      </c>
      <c r="AY1897" s="160">
        <f>IF($AM$1804&gt;0,PPMT('Assumptions (MSW)'!$V$6,Model!AI$1,'Assumptions (MSW)'!$V$9,'Assumptions (MSW)'!$V$4*Model!$AM$1804*AVERAGE('Assumptions (MSW)'!$AI$2:$AK$2)/10^9),0)</f>
        <v>0</v>
      </c>
      <c r="AZ1897" s="160">
        <f>IF($AM$1804&gt;0,PPMT('Assumptions (MSW)'!$V$6,Model!AJ$1,'Assumptions (MSW)'!$V$9,'Assumptions (MSW)'!$V$4*Model!$AM$1804*AVERAGE('Assumptions (MSW)'!$AI$2:$AK$2)/10^9),0)</f>
        <v>0</v>
      </c>
      <c r="BA1897" s="160">
        <f>IF($AM$1804&gt;0,PPMT('Assumptions (MSW)'!$V$6,Model!AK$1,'Assumptions (MSW)'!$V$9,'Assumptions (MSW)'!$V$4*Model!$AM$1804*AVERAGE('Assumptions (MSW)'!$AI$2:$AK$2)/10^9),0)</f>
        <v>0</v>
      </c>
      <c r="BB1897" s="160"/>
      <c r="BC1897" s="160"/>
      <c r="BD1897" s="160"/>
      <c r="BE1897" s="160"/>
      <c r="BF1897" s="160"/>
      <c r="BG1897" s="160"/>
      <c r="BH1897" s="160"/>
      <c r="BI1897" s="160"/>
      <c r="BJ1897" s="160"/>
      <c r="BK1897" s="160"/>
    </row>
    <row r="1898" ht="15.75" hidden="1" customHeight="1" outlineLevel="1">
      <c r="A1898" s="309"/>
      <c r="B1898" s="38"/>
      <c r="C1898" s="174"/>
      <c r="D1898" s="174"/>
      <c r="E1898" s="174"/>
      <c r="F1898" s="174"/>
      <c r="G1898" s="174"/>
      <c r="H1898" s="174"/>
      <c r="I1898" s="174"/>
      <c r="J1898" s="174"/>
      <c r="K1898" s="174"/>
      <c r="L1898" s="174"/>
      <c r="M1898" s="174"/>
      <c r="N1898" s="174"/>
      <c r="O1898" s="174"/>
      <c r="P1898" s="174"/>
      <c r="Q1898" s="174"/>
      <c r="R1898" s="174"/>
      <c r="S1898" s="174"/>
      <c r="T1898" s="174"/>
      <c r="U1898" s="174"/>
      <c r="V1898" s="174"/>
      <c r="W1898" s="160"/>
      <c r="X1898" s="160"/>
      <c r="Y1898" s="160"/>
      <c r="Z1898" s="160"/>
      <c r="AA1898" s="160"/>
      <c r="AB1898" s="160"/>
      <c r="AC1898" s="160"/>
      <c r="AD1898" s="160"/>
      <c r="AE1898" s="160"/>
      <c r="AF1898" s="160"/>
      <c r="AG1898" s="160"/>
      <c r="AH1898" s="160"/>
      <c r="AI1898" s="160"/>
      <c r="AJ1898" s="179"/>
      <c r="AK1898" s="160"/>
      <c r="AL1898" s="177"/>
      <c r="AM1898" s="177"/>
      <c r="AN1898" s="160">
        <f>IF($AN$1804&gt;0,PPMT('Assumptions (MSW)'!$V$6,Model!W$1,'Assumptions (MSW)'!$V$9,'Assumptions (MSW)'!$V$4*Model!$AN$1804*AVERAGE('Assumptions (MSW)'!$AJ$2:$AL$2)/10^9),0)</f>
        <v>0</v>
      </c>
      <c r="AO1898" s="160">
        <f>IF($AN$1804&gt;0,PPMT('Assumptions (MSW)'!$V$6,Model!X$1,'Assumptions (MSW)'!$V$9,'Assumptions (MSW)'!$V$4*Model!$AN$1804*AVERAGE('Assumptions (MSW)'!$AJ$2:$AL$2)/10^9),0)</f>
        <v>0</v>
      </c>
      <c r="AP1898" s="160">
        <f>IF($AN$1804&gt;0,PPMT('Assumptions (MSW)'!$V$6,Model!Y$1,'Assumptions (MSW)'!$V$9,'Assumptions (MSW)'!$V$4*Model!$AN$1804*AVERAGE('Assumptions (MSW)'!$AJ$2:$AL$2)/10^9),0)</f>
        <v>0</v>
      </c>
      <c r="AQ1898" s="160">
        <f>IF($AN$1804&gt;0,PPMT('Assumptions (MSW)'!$V$6,Model!Z$1,'Assumptions (MSW)'!$V$9,'Assumptions (MSW)'!$V$4*Model!$AN$1804*AVERAGE('Assumptions (MSW)'!$AJ$2:$AL$2)/10^9),0)</f>
        <v>0</v>
      </c>
      <c r="AR1898" s="160">
        <f>IF($AN$1804&gt;0,PPMT('Assumptions (MSW)'!$V$6,Model!AA$1,'Assumptions (MSW)'!$V$9,'Assumptions (MSW)'!$V$4*Model!$AN$1804*AVERAGE('Assumptions (MSW)'!$AJ$2:$AL$2)/10^9),0)</f>
        <v>0</v>
      </c>
      <c r="AS1898" s="160">
        <f>IF($AN$1804&gt;0,PPMT('Assumptions (MSW)'!$V$6,Model!AB$1,'Assumptions (MSW)'!$V$9,'Assumptions (MSW)'!$V$4*Model!$AN$1804*AVERAGE('Assumptions (MSW)'!$AJ$2:$AL$2)/10^9),0)</f>
        <v>0</v>
      </c>
      <c r="AT1898" s="160">
        <f>IF($AN$1804&gt;0,PPMT('Assumptions (MSW)'!$V$6,Model!AC$1,'Assumptions (MSW)'!$V$9,'Assumptions (MSW)'!$V$4*Model!$AN$1804*AVERAGE('Assumptions (MSW)'!$AJ$2:$AL$2)/10^9),0)</f>
        <v>0</v>
      </c>
      <c r="AU1898" s="160">
        <f>IF($AN$1804&gt;0,PPMT('Assumptions (MSW)'!$V$6,Model!AD$1,'Assumptions (MSW)'!$V$9,'Assumptions (MSW)'!$V$4*Model!$AN$1804*AVERAGE('Assumptions (MSW)'!$AJ$2:$AL$2)/10^9),0)</f>
        <v>0</v>
      </c>
      <c r="AV1898" s="160">
        <f>IF($AN$1804&gt;0,PPMT('Assumptions (MSW)'!$V$6,Model!AE$1,'Assumptions (MSW)'!$V$9,'Assumptions (MSW)'!$V$4*Model!$AN$1804*AVERAGE('Assumptions (MSW)'!$AJ$2:$AL$2)/10^9),0)</f>
        <v>0</v>
      </c>
      <c r="AW1898" s="160">
        <f>IF($AN$1804&gt;0,PPMT('Assumptions (MSW)'!$V$6,Model!AF$1,'Assumptions (MSW)'!$V$9,'Assumptions (MSW)'!$V$4*Model!$AN$1804*AVERAGE('Assumptions (MSW)'!$AJ$2:$AL$2)/10^9),0)</f>
        <v>0</v>
      </c>
      <c r="AX1898" s="160">
        <f>IF($AN$1804&gt;0,PPMT('Assumptions (MSW)'!$V$6,Model!AG$1,'Assumptions (MSW)'!$V$9,'Assumptions (MSW)'!$V$4*Model!$AN$1804*AVERAGE('Assumptions (MSW)'!$AJ$2:$AL$2)/10^9),0)</f>
        <v>0</v>
      </c>
      <c r="AY1898" s="160">
        <f>IF($AN$1804&gt;0,PPMT('Assumptions (MSW)'!$V$6,Model!AH$1,'Assumptions (MSW)'!$V$9,'Assumptions (MSW)'!$V$4*Model!$AN$1804*AVERAGE('Assumptions (MSW)'!$AJ$2:$AL$2)/10^9),0)</f>
        <v>0</v>
      </c>
      <c r="AZ1898" s="160">
        <f>IF($AN$1804&gt;0,PPMT('Assumptions (MSW)'!$V$6,Model!AI$1,'Assumptions (MSW)'!$V$9,'Assumptions (MSW)'!$V$4*Model!$AN$1804*AVERAGE('Assumptions (MSW)'!$AJ$2:$AL$2)/10^9),0)</f>
        <v>0</v>
      </c>
      <c r="BA1898" s="160">
        <f>IF($AN$1804&gt;0,PPMT('Assumptions (MSW)'!$V$6,Model!AJ$1,'Assumptions (MSW)'!$V$9,'Assumptions (MSW)'!$V$4*Model!$AN$1804*AVERAGE('Assumptions (MSW)'!$AJ$2:$AL$2)/10^9),0)</f>
        <v>0</v>
      </c>
      <c r="BB1898" s="160">
        <f>IF($AN$1804&gt;0,PPMT('Assumptions (MSW)'!$V$6,Model!AK$1,'Assumptions (MSW)'!$V$9,'Assumptions (MSW)'!$V$4*Model!$AN$1804*AVERAGE('Assumptions (MSW)'!$AJ$2:$AL$2)/10^9),0)</f>
        <v>0</v>
      </c>
      <c r="BC1898" s="160"/>
      <c r="BD1898" s="160"/>
      <c r="BE1898" s="160"/>
      <c r="BF1898" s="160"/>
      <c r="BG1898" s="160"/>
      <c r="BH1898" s="160"/>
      <c r="BI1898" s="160"/>
      <c r="BJ1898" s="160"/>
      <c r="BK1898" s="160"/>
      <c r="BL1898" s="160"/>
    </row>
    <row r="1899" ht="15.75" hidden="1" customHeight="1" outlineLevel="1">
      <c r="A1899" s="309"/>
      <c r="B1899" s="38"/>
      <c r="C1899" s="174"/>
      <c r="D1899" s="174"/>
      <c r="E1899" s="174"/>
      <c r="F1899" s="174"/>
      <c r="G1899" s="174"/>
      <c r="H1899" s="174"/>
      <c r="I1899" s="174"/>
      <c r="J1899" s="174"/>
      <c r="K1899" s="174"/>
      <c r="L1899" s="174"/>
      <c r="M1899" s="174"/>
      <c r="N1899" s="174"/>
      <c r="O1899" s="174"/>
      <c r="P1899" s="174"/>
      <c r="Q1899" s="174"/>
      <c r="R1899" s="174"/>
      <c r="S1899" s="174"/>
      <c r="T1899" s="174"/>
      <c r="U1899" s="174"/>
      <c r="V1899" s="174"/>
      <c r="W1899" s="160"/>
      <c r="X1899" s="160"/>
      <c r="Y1899" s="160"/>
      <c r="Z1899" s="160"/>
      <c r="AA1899" s="160"/>
      <c r="AB1899" s="160"/>
      <c r="AC1899" s="160"/>
      <c r="AD1899" s="160"/>
      <c r="AE1899" s="160"/>
      <c r="AF1899" s="160"/>
      <c r="AG1899" s="160"/>
      <c r="AH1899" s="160"/>
      <c r="AI1899" s="160"/>
      <c r="AJ1899" s="179"/>
      <c r="AK1899" s="160"/>
      <c r="AL1899" s="177"/>
      <c r="AM1899" s="177"/>
      <c r="AN1899" s="177"/>
      <c r="AO1899" s="160">
        <f>IF($AO$1804&gt;0,PPMT('Assumptions (MSW)'!$V$6,Model!W$1,'Assumptions (MSW)'!$V$9,'Assumptions (MSW)'!$V$4*Model!$AO$1804*AVERAGE('Assumptions (MSW)'!$AK$2:$AM$2)/10^9),0)</f>
        <v>0</v>
      </c>
      <c r="AP1899" s="160">
        <f>IF($AO$1804&gt;0,PPMT('Assumptions (MSW)'!$V$6,Model!X$1,'Assumptions (MSW)'!$V$9,'Assumptions (MSW)'!$V$4*Model!$AO$1804*AVERAGE('Assumptions (MSW)'!$AK$2:$AM$2)/10^9),0)</f>
        <v>0</v>
      </c>
      <c r="AQ1899" s="160">
        <f>IF($AO$1804&gt;0,PPMT('Assumptions (MSW)'!$V$6,Model!Y$1,'Assumptions (MSW)'!$V$9,'Assumptions (MSW)'!$V$4*Model!$AO$1804*AVERAGE('Assumptions (MSW)'!$AK$2:$AM$2)/10^9),0)</f>
        <v>0</v>
      </c>
      <c r="AR1899" s="160">
        <f>IF($AO$1804&gt;0,PPMT('Assumptions (MSW)'!$V$6,Model!Z$1,'Assumptions (MSW)'!$V$9,'Assumptions (MSW)'!$V$4*Model!$AO$1804*AVERAGE('Assumptions (MSW)'!$AK$2:$AM$2)/10^9),0)</f>
        <v>0</v>
      </c>
      <c r="AS1899" s="160">
        <f>IF($AO$1804&gt;0,PPMT('Assumptions (MSW)'!$V$6,Model!AA$1,'Assumptions (MSW)'!$V$9,'Assumptions (MSW)'!$V$4*Model!$AO$1804*AVERAGE('Assumptions (MSW)'!$AK$2:$AM$2)/10^9),0)</f>
        <v>0</v>
      </c>
      <c r="AT1899" s="160">
        <f>IF($AO$1804&gt;0,PPMT('Assumptions (MSW)'!$V$6,Model!AB$1,'Assumptions (MSW)'!$V$9,'Assumptions (MSW)'!$V$4*Model!$AO$1804*AVERAGE('Assumptions (MSW)'!$AK$2:$AM$2)/10^9),0)</f>
        <v>0</v>
      </c>
      <c r="AU1899" s="160">
        <f>IF($AO$1804&gt;0,PPMT('Assumptions (MSW)'!$V$6,Model!AC$1,'Assumptions (MSW)'!$V$9,'Assumptions (MSW)'!$V$4*Model!$AO$1804*AVERAGE('Assumptions (MSW)'!$AK$2:$AM$2)/10^9),0)</f>
        <v>0</v>
      </c>
      <c r="AV1899" s="160">
        <f>IF($AO$1804&gt;0,PPMT('Assumptions (MSW)'!$V$6,Model!AD$1,'Assumptions (MSW)'!$V$9,'Assumptions (MSW)'!$V$4*Model!$AO$1804*AVERAGE('Assumptions (MSW)'!$AK$2:$AM$2)/10^9),0)</f>
        <v>0</v>
      </c>
      <c r="AW1899" s="160">
        <f>IF($AO$1804&gt;0,PPMT('Assumptions (MSW)'!$V$6,Model!AE$1,'Assumptions (MSW)'!$V$9,'Assumptions (MSW)'!$V$4*Model!$AO$1804*AVERAGE('Assumptions (MSW)'!$AK$2:$AM$2)/10^9),0)</f>
        <v>0</v>
      </c>
      <c r="AX1899" s="160">
        <f>IF($AO$1804&gt;0,PPMT('Assumptions (MSW)'!$V$6,Model!AF$1,'Assumptions (MSW)'!$V$9,'Assumptions (MSW)'!$V$4*Model!$AO$1804*AVERAGE('Assumptions (MSW)'!$AK$2:$AM$2)/10^9),0)</f>
        <v>0</v>
      </c>
      <c r="AY1899" s="160">
        <f>IF($AO$1804&gt;0,PPMT('Assumptions (MSW)'!$V$6,Model!AG$1,'Assumptions (MSW)'!$V$9,'Assumptions (MSW)'!$V$4*Model!$AO$1804*AVERAGE('Assumptions (MSW)'!$AK$2:$AM$2)/10^9),0)</f>
        <v>0</v>
      </c>
      <c r="AZ1899" s="160">
        <f>IF($AO$1804&gt;0,PPMT('Assumptions (MSW)'!$V$6,Model!AH$1,'Assumptions (MSW)'!$V$9,'Assumptions (MSW)'!$V$4*Model!$AO$1804*AVERAGE('Assumptions (MSW)'!$AK$2:$AM$2)/10^9),0)</f>
        <v>0</v>
      </c>
      <c r="BA1899" s="160">
        <f>IF($AO$1804&gt;0,PPMT('Assumptions (MSW)'!$V$6,Model!AI$1,'Assumptions (MSW)'!$V$9,'Assumptions (MSW)'!$V$4*Model!$AO$1804*AVERAGE('Assumptions (MSW)'!$AK$2:$AM$2)/10^9),0)</f>
        <v>0</v>
      </c>
      <c r="BB1899" s="160">
        <f>IF($AO$1804&gt;0,PPMT('Assumptions (MSW)'!$V$6,Model!AJ$1,'Assumptions (MSW)'!$V$9,'Assumptions (MSW)'!$V$4*Model!$AO$1804*AVERAGE('Assumptions (MSW)'!$AK$2:$AM$2)/10^9),0)</f>
        <v>0</v>
      </c>
      <c r="BC1899" s="160">
        <f>IF($AO$1804&gt;0,PPMT('Assumptions (MSW)'!$V$6,Model!AK$1,'Assumptions (MSW)'!$V$9,'Assumptions (MSW)'!$V$4*Model!$AO$1804*AVERAGE('Assumptions (MSW)'!$AK$2:$AM$2)/10^9),0)</f>
        <v>0</v>
      </c>
      <c r="BD1899" s="160"/>
      <c r="BE1899" s="160"/>
      <c r="BF1899" s="160"/>
      <c r="BG1899" s="160"/>
      <c r="BH1899" s="160"/>
      <c r="BI1899" s="160"/>
      <c r="BJ1899" s="160"/>
      <c r="BK1899" s="160"/>
      <c r="BL1899" s="160"/>
      <c r="BM1899" s="160"/>
    </row>
    <row r="1900" ht="15.75" hidden="1" customHeight="1" outlineLevel="1">
      <c r="A1900" s="309"/>
      <c r="B1900" s="38"/>
      <c r="C1900" s="174"/>
      <c r="D1900" s="174"/>
      <c r="E1900" s="174"/>
      <c r="F1900" s="174"/>
      <c r="G1900" s="174"/>
      <c r="H1900" s="174"/>
      <c r="I1900" s="174"/>
      <c r="J1900" s="174"/>
      <c r="K1900" s="174"/>
      <c r="L1900" s="174"/>
      <c r="M1900" s="174"/>
      <c r="N1900" s="174"/>
      <c r="O1900" s="174"/>
      <c r="P1900" s="174"/>
      <c r="Q1900" s="174"/>
      <c r="R1900" s="174"/>
      <c r="S1900" s="174"/>
      <c r="T1900" s="174"/>
      <c r="U1900" s="174"/>
      <c r="V1900" s="174"/>
      <c r="W1900" s="160"/>
      <c r="X1900" s="160"/>
      <c r="Y1900" s="160"/>
      <c r="Z1900" s="160"/>
      <c r="AA1900" s="160"/>
      <c r="AB1900" s="160"/>
      <c r="AC1900" s="160"/>
      <c r="AD1900" s="160"/>
      <c r="AE1900" s="160"/>
      <c r="AF1900" s="160"/>
      <c r="AG1900" s="160"/>
      <c r="AH1900" s="160"/>
      <c r="AI1900" s="160"/>
      <c r="AJ1900" s="179"/>
      <c r="AK1900" s="160"/>
      <c r="AL1900" s="177"/>
      <c r="AM1900" s="177"/>
      <c r="AN1900" s="177"/>
      <c r="AO1900" s="160"/>
      <c r="AP1900" s="160">
        <f>IF($AP$1804&gt;0,PPMT('Assumptions (MSW)'!$V$6,Model!W$1,'Assumptions (MSW)'!$V$9,'Assumptions (MSW)'!$V$4*Model!$AP$1804*AVERAGE('Assumptions (MSW)'!$AL$2:$AN$2)/10^9),0)</f>
        <v>0</v>
      </c>
      <c r="AQ1900" s="160">
        <f>IF($AP$1804&gt;0,PPMT('Assumptions (MSW)'!$V$6,Model!X$1,'Assumptions (MSW)'!$V$9,'Assumptions (MSW)'!$V$4*Model!$AP$1804*AVERAGE('Assumptions (MSW)'!$AL$2:$AN$2)/10^9),0)</f>
        <v>0</v>
      </c>
      <c r="AR1900" s="160">
        <f>IF($AP$1804&gt;0,PPMT('Assumptions (MSW)'!$V$6,Model!Y$1,'Assumptions (MSW)'!$V$9,'Assumptions (MSW)'!$V$4*Model!$AP$1804*AVERAGE('Assumptions (MSW)'!$AL$2:$AN$2)/10^9),0)</f>
        <v>0</v>
      </c>
      <c r="AS1900" s="160">
        <f>IF($AP$1804&gt;0,PPMT('Assumptions (MSW)'!$V$6,Model!Z$1,'Assumptions (MSW)'!$V$9,'Assumptions (MSW)'!$V$4*Model!$AP$1804*AVERAGE('Assumptions (MSW)'!$AL$2:$AN$2)/10^9),0)</f>
        <v>0</v>
      </c>
      <c r="AT1900" s="160">
        <f>IF($AP$1804&gt;0,PPMT('Assumptions (MSW)'!$V$6,Model!AA$1,'Assumptions (MSW)'!$V$9,'Assumptions (MSW)'!$V$4*Model!$AP$1804*AVERAGE('Assumptions (MSW)'!$AL$2:$AN$2)/10^9),0)</f>
        <v>0</v>
      </c>
      <c r="AU1900" s="160">
        <f>IF($AP$1804&gt;0,PPMT('Assumptions (MSW)'!$V$6,Model!AB$1,'Assumptions (MSW)'!$V$9,'Assumptions (MSW)'!$V$4*Model!$AP$1804*AVERAGE('Assumptions (MSW)'!$AL$2:$AN$2)/10^9),0)</f>
        <v>0</v>
      </c>
      <c r="AV1900" s="160">
        <f>IF($AP$1804&gt;0,PPMT('Assumptions (MSW)'!$V$6,Model!AC$1,'Assumptions (MSW)'!$V$9,'Assumptions (MSW)'!$V$4*Model!$AP$1804*AVERAGE('Assumptions (MSW)'!$AL$2:$AN$2)/10^9),0)</f>
        <v>0</v>
      </c>
      <c r="AW1900" s="160">
        <f>IF($AP$1804&gt;0,PPMT('Assumptions (MSW)'!$V$6,Model!AD$1,'Assumptions (MSW)'!$V$9,'Assumptions (MSW)'!$V$4*Model!$AP$1804*AVERAGE('Assumptions (MSW)'!$AL$2:$AN$2)/10^9),0)</f>
        <v>0</v>
      </c>
      <c r="AX1900" s="160">
        <f>IF($AP$1804&gt;0,PPMT('Assumptions (MSW)'!$V$6,Model!AE$1,'Assumptions (MSW)'!$V$9,'Assumptions (MSW)'!$V$4*Model!$AP$1804*AVERAGE('Assumptions (MSW)'!$AL$2:$AN$2)/10^9),0)</f>
        <v>0</v>
      </c>
      <c r="AY1900" s="160">
        <f>IF($AP$1804&gt;0,PPMT('Assumptions (MSW)'!$V$6,Model!AF$1,'Assumptions (MSW)'!$V$9,'Assumptions (MSW)'!$V$4*Model!$AP$1804*AVERAGE('Assumptions (MSW)'!$AL$2:$AN$2)/10^9),0)</f>
        <v>0</v>
      </c>
      <c r="AZ1900" s="160">
        <f>IF($AP$1804&gt;0,PPMT('Assumptions (MSW)'!$V$6,Model!AG$1,'Assumptions (MSW)'!$V$9,'Assumptions (MSW)'!$V$4*Model!$AP$1804*AVERAGE('Assumptions (MSW)'!$AL$2:$AN$2)/10^9),0)</f>
        <v>0</v>
      </c>
      <c r="BA1900" s="160">
        <f>IF($AP$1804&gt;0,PPMT('Assumptions (MSW)'!$V$6,Model!AH$1,'Assumptions (MSW)'!$V$9,'Assumptions (MSW)'!$V$4*Model!$AP$1804*AVERAGE('Assumptions (MSW)'!$AL$2:$AN$2)/10^9),0)</f>
        <v>0</v>
      </c>
      <c r="BB1900" s="160">
        <f>IF($AP$1804&gt;0,PPMT('Assumptions (MSW)'!$V$6,Model!AI$1,'Assumptions (MSW)'!$V$9,'Assumptions (MSW)'!$V$4*Model!$AP$1804*AVERAGE('Assumptions (MSW)'!$AL$2:$AN$2)/10^9),0)</f>
        <v>0</v>
      </c>
      <c r="BC1900" s="160">
        <f>IF($AP$1804&gt;0,PPMT('Assumptions (MSW)'!$V$6,Model!AJ$1,'Assumptions (MSW)'!$V$9,'Assumptions (MSW)'!$V$4*Model!$AP$1804*AVERAGE('Assumptions (MSW)'!$AL$2:$AN$2)/10^9),0)</f>
        <v>0</v>
      </c>
      <c r="BD1900" s="160">
        <f>IF($AP$1804&gt;0,PPMT('Assumptions (MSW)'!$V$6,Model!AK$1,'Assumptions (MSW)'!$V$9,'Assumptions (MSW)'!$V$4*Model!$AP$1804*AVERAGE('Assumptions (MSW)'!$AL$2:$AN$2)/10^9),0)</f>
        <v>0</v>
      </c>
      <c r="BE1900" s="160"/>
      <c r="BF1900" s="160"/>
      <c r="BG1900" s="160"/>
      <c r="BH1900" s="160"/>
      <c r="BI1900" s="160"/>
      <c r="BJ1900" s="160"/>
      <c r="BK1900" s="160"/>
      <c r="BL1900" s="160"/>
      <c r="BM1900" s="160"/>
      <c r="BN1900" s="160"/>
    </row>
    <row r="1901" ht="15.75" hidden="1" customHeight="1" outlineLevel="1">
      <c r="A1901" s="309"/>
      <c r="B1901" s="38"/>
      <c r="C1901" s="174"/>
      <c r="D1901" s="174"/>
      <c r="E1901" s="174"/>
      <c r="F1901" s="174"/>
      <c r="G1901" s="174"/>
      <c r="H1901" s="174"/>
      <c r="I1901" s="174"/>
      <c r="J1901" s="174"/>
      <c r="K1901" s="174"/>
      <c r="L1901" s="174"/>
      <c r="M1901" s="174"/>
      <c r="N1901" s="174"/>
      <c r="O1901" s="174"/>
      <c r="P1901" s="174"/>
      <c r="Q1901" s="174"/>
      <c r="R1901" s="174"/>
      <c r="S1901" s="174"/>
      <c r="T1901" s="174"/>
      <c r="U1901" s="174"/>
      <c r="V1901" s="174"/>
      <c r="W1901" s="160"/>
      <c r="X1901" s="160"/>
      <c r="Y1901" s="160"/>
      <c r="Z1901" s="160"/>
      <c r="AA1901" s="160"/>
      <c r="AB1901" s="160"/>
      <c r="AC1901" s="160"/>
      <c r="AD1901" s="160"/>
      <c r="AE1901" s="160"/>
      <c r="AF1901" s="160"/>
      <c r="AG1901" s="160"/>
      <c r="AH1901" s="160"/>
      <c r="AI1901" s="160"/>
      <c r="AJ1901" s="179"/>
      <c r="AK1901" s="160"/>
      <c r="AL1901" s="177"/>
      <c r="AM1901" s="177"/>
      <c r="AN1901" s="177"/>
      <c r="AO1901" s="160"/>
      <c r="AP1901" s="160"/>
      <c r="AQ1901" s="160">
        <f>IF($AQ$1804&gt;0,PPMT('Assumptions (MSW)'!$V$6,Model!W$1,'Assumptions (MSW)'!$V$9,'Assumptions (MSW)'!$V$4*Model!$AQ$1804*AVERAGE('Assumptions (MSW)'!$AM$2:$AO$2)/10^9),0)</f>
        <v>0</v>
      </c>
      <c r="AR1901" s="160">
        <f>IF($AQ$1804&gt;0,PPMT('Assumptions (MSW)'!$V$6,Model!X$1,'Assumptions (MSW)'!$V$9,'Assumptions (MSW)'!$V$4*Model!$AQ$1804*AVERAGE('Assumptions (MSW)'!$AM$2:$AO$2)/10^9),0)</f>
        <v>0</v>
      </c>
      <c r="AS1901" s="160">
        <f>IF($AQ$1804&gt;0,PPMT('Assumptions (MSW)'!$V$6,Model!Y$1,'Assumptions (MSW)'!$V$9,'Assumptions (MSW)'!$V$4*Model!$AQ$1804*AVERAGE('Assumptions (MSW)'!$AM$2:$AO$2)/10^9),0)</f>
        <v>0</v>
      </c>
      <c r="AT1901" s="160">
        <f>IF($AQ$1804&gt;0,PPMT('Assumptions (MSW)'!$V$6,Model!Z$1,'Assumptions (MSW)'!$V$9,'Assumptions (MSW)'!$V$4*Model!$AQ$1804*AVERAGE('Assumptions (MSW)'!$AM$2:$AO$2)/10^9),0)</f>
        <v>0</v>
      </c>
      <c r="AU1901" s="160">
        <f>IF($AQ$1804&gt;0,PPMT('Assumptions (MSW)'!$V$6,Model!AA$1,'Assumptions (MSW)'!$V$9,'Assumptions (MSW)'!$V$4*Model!$AQ$1804*AVERAGE('Assumptions (MSW)'!$AM$2:$AO$2)/10^9),0)</f>
        <v>0</v>
      </c>
      <c r="AV1901" s="160">
        <f>IF($AQ$1804&gt;0,PPMT('Assumptions (MSW)'!$V$6,Model!AB$1,'Assumptions (MSW)'!$V$9,'Assumptions (MSW)'!$V$4*Model!$AQ$1804*AVERAGE('Assumptions (MSW)'!$AM$2:$AO$2)/10^9),0)</f>
        <v>0</v>
      </c>
      <c r="AW1901" s="160">
        <f>IF($AQ$1804&gt;0,PPMT('Assumptions (MSW)'!$V$6,Model!AC$1,'Assumptions (MSW)'!$V$9,'Assumptions (MSW)'!$V$4*Model!$AQ$1804*AVERAGE('Assumptions (MSW)'!$AM$2:$AO$2)/10^9),0)</f>
        <v>0</v>
      </c>
      <c r="AX1901" s="160">
        <f>IF($AQ$1804&gt;0,PPMT('Assumptions (MSW)'!$V$6,Model!AD$1,'Assumptions (MSW)'!$V$9,'Assumptions (MSW)'!$V$4*Model!$AQ$1804*AVERAGE('Assumptions (MSW)'!$AM$2:$AO$2)/10^9),0)</f>
        <v>0</v>
      </c>
      <c r="AY1901" s="160">
        <f>IF($AQ$1804&gt;0,PPMT('Assumptions (MSW)'!$V$6,Model!AE$1,'Assumptions (MSW)'!$V$9,'Assumptions (MSW)'!$V$4*Model!$AQ$1804*AVERAGE('Assumptions (MSW)'!$AM$2:$AO$2)/10^9),0)</f>
        <v>0</v>
      </c>
      <c r="AZ1901" s="160">
        <f>IF($AQ$1804&gt;0,PPMT('Assumptions (MSW)'!$V$6,Model!AF$1,'Assumptions (MSW)'!$V$9,'Assumptions (MSW)'!$V$4*Model!$AQ$1804*AVERAGE('Assumptions (MSW)'!$AM$2:$AO$2)/10^9),0)</f>
        <v>0</v>
      </c>
      <c r="BA1901" s="160">
        <f>IF($AQ$1804&gt;0,PPMT('Assumptions (MSW)'!$V$6,Model!AG$1,'Assumptions (MSW)'!$V$9,'Assumptions (MSW)'!$V$4*Model!$AQ$1804*AVERAGE('Assumptions (MSW)'!$AM$2:$AO$2)/10^9),0)</f>
        <v>0</v>
      </c>
      <c r="BB1901" s="160">
        <f>IF($AQ$1804&gt;0,PPMT('Assumptions (MSW)'!$V$6,Model!AH$1,'Assumptions (MSW)'!$V$9,'Assumptions (MSW)'!$V$4*Model!$AQ$1804*AVERAGE('Assumptions (MSW)'!$AM$2:$AO$2)/10^9),0)</f>
        <v>0</v>
      </c>
      <c r="BC1901" s="160">
        <f>IF($AQ$1804&gt;0,PPMT('Assumptions (MSW)'!$V$6,Model!AI$1,'Assumptions (MSW)'!$V$9,'Assumptions (MSW)'!$V$4*Model!$AQ$1804*AVERAGE('Assumptions (MSW)'!$AM$2:$AO$2)/10^9),0)</f>
        <v>0</v>
      </c>
      <c r="BD1901" s="160">
        <f>IF($AQ$1804&gt;0,PPMT('Assumptions (MSW)'!$V$6,Model!AJ$1,'Assumptions (MSW)'!$V$9,'Assumptions (MSW)'!$V$4*Model!$AQ$1804*AVERAGE('Assumptions (MSW)'!$AM$2:$AO$2)/10^9),0)</f>
        <v>0</v>
      </c>
      <c r="BE1901" s="160">
        <f>IF($AQ$1804&gt;0,PPMT('Assumptions (MSW)'!$V$6,Model!AK$1,'Assumptions (MSW)'!$V$9,'Assumptions (MSW)'!$V$4*Model!$AQ$1804*AVERAGE('Assumptions (MSW)'!$AM$2:$AO$2)/10^9),0)</f>
        <v>0</v>
      </c>
      <c r="BF1901" s="160"/>
      <c r="BG1901" s="160"/>
      <c r="BH1901" s="160"/>
      <c r="BI1901" s="160"/>
      <c r="BJ1901" s="160"/>
      <c r="BK1901" s="160"/>
      <c r="BL1901" s="160"/>
      <c r="BM1901" s="160"/>
      <c r="BN1901" s="160"/>
      <c r="BO1901" s="160"/>
    </row>
    <row r="1902" ht="15.75" hidden="1" customHeight="1" outlineLevel="1">
      <c r="A1902" s="309"/>
      <c r="B1902" s="38"/>
      <c r="C1902" s="174"/>
      <c r="D1902" s="174"/>
      <c r="E1902" s="174"/>
      <c r="F1902" s="174"/>
      <c r="G1902" s="174"/>
      <c r="H1902" s="174"/>
      <c r="I1902" s="174"/>
      <c r="J1902" s="174"/>
      <c r="K1902" s="174"/>
      <c r="L1902" s="174"/>
      <c r="M1902" s="174"/>
      <c r="N1902" s="174"/>
      <c r="O1902" s="174"/>
      <c r="P1902" s="174"/>
      <c r="Q1902" s="174"/>
      <c r="R1902" s="174"/>
      <c r="S1902" s="174"/>
      <c r="T1902" s="174"/>
      <c r="U1902" s="174"/>
      <c r="V1902" s="174"/>
      <c r="W1902" s="160"/>
      <c r="X1902" s="160"/>
      <c r="Y1902" s="160"/>
      <c r="Z1902" s="160"/>
      <c r="AA1902" s="160"/>
      <c r="AB1902" s="160"/>
      <c r="AC1902" s="160"/>
      <c r="AD1902" s="160"/>
      <c r="AE1902" s="160"/>
      <c r="AF1902" s="160"/>
      <c r="AG1902" s="160"/>
      <c r="AH1902" s="160"/>
      <c r="AI1902" s="160"/>
      <c r="AJ1902" s="179"/>
      <c r="AK1902" s="160"/>
      <c r="AL1902" s="177"/>
      <c r="AM1902" s="177"/>
      <c r="AN1902" s="177"/>
      <c r="AO1902" s="160"/>
      <c r="AP1902" s="160"/>
      <c r="AQ1902" s="160"/>
      <c r="AR1902" s="160">
        <f>IF($AR$1804&gt;0,PPMT('Assumptions (MSW)'!$V$6,Model!W$1,'Assumptions (MSW)'!$V$9,'Assumptions (MSW)'!$V$4*Model!$AR$1804*AVERAGE('Assumptions (MSW)'!$AN$2:$AP$2)/10^9),0)</f>
        <v>0</v>
      </c>
      <c r="AS1902" s="160">
        <f>IF($AR$1804&gt;0,PPMT('Assumptions (MSW)'!$V$6,Model!X$1,'Assumptions (MSW)'!$V$9,'Assumptions (MSW)'!$V$4*Model!$AR$1804*AVERAGE('Assumptions (MSW)'!$AN$2:$AP$2)/10^9),0)</f>
        <v>0</v>
      </c>
      <c r="AT1902" s="160">
        <f>IF($AR$1804&gt;0,PPMT('Assumptions (MSW)'!$V$6,Model!Y$1,'Assumptions (MSW)'!$V$9,'Assumptions (MSW)'!$V$4*Model!$AR$1804*AVERAGE('Assumptions (MSW)'!$AN$2:$AP$2)/10^9),0)</f>
        <v>0</v>
      </c>
      <c r="AU1902" s="160">
        <f>IF($AR$1804&gt;0,PPMT('Assumptions (MSW)'!$V$6,Model!Z$1,'Assumptions (MSW)'!$V$9,'Assumptions (MSW)'!$V$4*Model!$AR$1804*AVERAGE('Assumptions (MSW)'!$AN$2:$AP$2)/10^9),0)</f>
        <v>0</v>
      </c>
      <c r="AV1902" s="160">
        <f>IF($AR$1804&gt;0,PPMT('Assumptions (MSW)'!$V$6,Model!AA$1,'Assumptions (MSW)'!$V$9,'Assumptions (MSW)'!$V$4*Model!$AR$1804*AVERAGE('Assumptions (MSW)'!$AN$2:$AP$2)/10^9),0)</f>
        <v>0</v>
      </c>
      <c r="AW1902" s="160">
        <f>IF($AR$1804&gt;0,PPMT('Assumptions (MSW)'!$V$6,Model!AB$1,'Assumptions (MSW)'!$V$9,'Assumptions (MSW)'!$V$4*Model!$AR$1804*AVERAGE('Assumptions (MSW)'!$AN$2:$AP$2)/10^9),0)</f>
        <v>0</v>
      </c>
      <c r="AX1902" s="160">
        <f>IF($AR$1804&gt;0,PPMT('Assumptions (MSW)'!$V$6,Model!AC$1,'Assumptions (MSW)'!$V$9,'Assumptions (MSW)'!$V$4*Model!$AR$1804*AVERAGE('Assumptions (MSW)'!$AN$2:$AP$2)/10^9),0)</f>
        <v>0</v>
      </c>
      <c r="AY1902" s="160">
        <f>IF($AR$1804&gt;0,PPMT('Assumptions (MSW)'!$V$6,Model!AD$1,'Assumptions (MSW)'!$V$9,'Assumptions (MSW)'!$V$4*Model!$AR$1804*AVERAGE('Assumptions (MSW)'!$AN$2:$AP$2)/10^9),0)</f>
        <v>0</v>
      </c>
      <c r="AZ1902" s="160">
        <f>IF($AR$1804&gt;0,PPMT('Assumptions (MSW)'!$V$6,Model!AE$1,'Assumptions (MSW)'!$V$9,'Assumptions (MSW)'!$V$4*Model!$AR$1804*AVERAGE('Assumptions (MSW)'!$AN$2:$AP$2)/10^9),0)</f>
        <v>0</v>
      </c>
      <c r="BA1902" s="160">
        <f>IF($AR$1804&gt;0,PPMT('Assumptions (MSW)'!$V$6,Model!AF$1,'Assumptions (MSW)'!$V$9,'Assumptions (MSW)'!$V$4*Model!$AR$1804*AVERAGE('Assumptions (MSW)'!$AN$2:$AP$2)/10^9),0)</f>
        <v>0</v>
      </c>
      <c r="BB1902" s="160">
        <f>IF($AR$1804&gt;0,PPMT('Assumptions (MSW)'!$V$6,Model!AG$1,'Assumptions (MSW)'!$V$9,'Assumptions (MSW)'!$V$4*Model!$AR$1804*AVERAGE('Assumptions (MSW)'!$AN$2:$AP$2)/10^9),0)</f>
        <v>0</v>
      </c>
      <c r="BC1902" s="160">
        <f>IF($AR$1804&gt;0,PPMT('Assumptions (MSW)'!$V$6,Model!AH$1,'Assumptions (MSW)'!$V$9,'Assumptions (MSW)'!$V$4*Model!$AR$1804*AVERAGE('Assumptions (MSW)'!$AN$2:$AP$2)/10^9),0)</f>
        <v>0</v>
      </c>
      <c r="BD1902" s="160">
        <f>IF($AR$1804&gt;0,PPMT('Assumptions (MSW)'!$V$6,Model!AI$1,'Assumptions (MSW)'!$V$9,'Assumptions (MSW)'!$V$4*Model!$AR$1804*AVERAGE('Assumptions (MSW)'!$AN$2:$AP$2)/10^9),0)</f>
        <v>0</v>
      </c>
      <c r="BE1902" s="160">
        <f>IF($AR$1804&gt;0,PPMT('Assumptions (MSW)'!$V$6,Model!AJ$1,'Assumptions (MSW)'!$V$9,'Assumptions (MSW)'!$V$4*Model!$AR$1804*AVERAGE('Assumptions (MSW)'!$AN$2:$AP$2)/10^9),0)</f>
        <v>0</v>
      </c>
      <c r="BF1902" s="160">
        <f>IF($AR$1804&gt;0,PPMT('Assumptions (MSW)'!$V$6,Model!AK$1,'Assumptions (MSW)'!$V$9,'Assumptions (MSW)'!$V$4*Model!$AR$1804*AVERAGE('Assumptions (MSW)'!$AN$2:$AP$2)/10^9),0)</f>
        <v>0</v>
      </c>
      <c r="BG1902" s="160"/>
      <c r="BH1902" s="160"/>
      <c r="BI1902" s="160"/>
      <c r="BJ1902" s="160"/>
      <c r="BK1902" s="160"/>
      <c r="BL1902" s="160"/>
      <c r="BM1902" s="160"/>
      <c r="BN1902" s="160"/>
      <c r="BO1902" s="160"/>
      <c r="BP1902" s="160"/>
    </row>
    <row r="1903" ht="15.75" hidden="1" customHeight="1" outlineLevel="1">
      <c r="A1903" s="309"/>
      <c r="B1903" s="38"/>
      <c r="C1903" s="174"/>
      <c r="D1903" s="174"/>
      <c r="E1903" s="174"/>
      <c r="F1903" s="174"/>
      <c r="G1903" s="174"/>
      <c r="H1903" s="174"/>
      <c r="I1903" s="174"/>
      <c r="J1903" s="174"/>
      <c r="K1903" s="174"/>
      <c r="L1903" s="174"/>
      <c r="M1903" s="174"/>
      <c r="N1903" s="174"/>
      <c r="O1903" s="174"/>
      <c r="P1903" s="174"/>
      <c r="Q1903" s="174"/>
      <c r="R1903" s="174"/>
      <c r="S1903" s="174"/>
      <c r="T1903" s="174"/>
      <c r="U1903" s="174"/>
      <c r="V1903" s="174"/>
      <c r="W1903" s="160"/>
      <c r="X1903" s="160"/>
      <c r="Y1903" s="160"/>
      <c r="Z1903" s="160"/>
      <c r="AA1903" s="160"/>
      <c r="AB1903" s="160"/>
      <c r="AC1903" s="160"/>
      <c r="AD1903" s="160"/>
      <c r="AE1903" s="160"/>
      <c r="AF1903" s="160"/>
      <c r="AG1903" s="160"/>
      <c r="AH1903" s="160"/>
      <c r="AI1903" s="160"/>
      <c r="AJ1903" s="179"/>
      <c r="AK1903" s="160"/>
      <c r="AL1903" s="177"/>
      <c r="AM1903" s="177"/>
      <c r="AN1903" s="177"/>
      <c r="AO1903" s="160"/>
      <c r="AP1903" s="160"/>
      <c r="AQ1903" s="160"/>
      <c r="AR1903" s="160"/>
      <c r="AS1903" s="160">
        <f>IF($AS$1804&gt;0,PPMT('Assumptions (MSW)'!$V$6,Model!W$1,'Assumptions (MSW)'!$V$9,'Assumptions (MSW)'!$V$4*Model!$AS$1804*AVERAGE('Assumptions (MSW)'!$AO$2:$AQ$2)/10^9),0)</f>
        <v>0</v>
      </c>
      <c r="AT1903" s="160">
        <f>IF($AS$1804&gt;0,PPMT('Assumptions (MSW)'!$V$6,Model!X$1,'Assumptions (MSW)'!$V$9,'Assumptions (MSW)'!$V$4*Model!$AS$1804*AVERAGE('Assumptions (MSW)'!$AO$2:$AQ$2)/10^9),0)</f>
        <v>0</v>
      </c>
      <c r="AU1903" s="160">
        <f>IF($AS$1804&gt;0,PPMT('Assumptions (MSW)'!$V$6,Model!Y$1,'Assumptions (MSW)'!$V$9,'Assumptions (MSW)'!$V$4*Model!$AS$1804*AVERAGE('Assumptions (MSW)'!$AO$2:$AQ$2)/10^9),0)</f>
        <v>0</v>
      </c>
      <c r="AV1903" s="160">
        <f>IF($AS$1804&gt;0,PPMT('Assumptions (MSW)'!$V$6,Model!Z$1,'Assumptions (MSW)'!$V$9,'Assumptions (MSW)'!$V$4*Model!$AS$1804*AVERAGE('Assumptions (MSW)'!$AO$2:$AQ$2)/10^9),0)</f>
        <v>0</v>
      </c>
      <c r="AW1903" s="160">
        <f>IF($AS$1804&gt;0,PPMT('Assumptions (MSW)'!$V$6,Model!AA$1,'Assumptions (MSW)'!$V$9,'Assumptions (MSW)'!$V$4*Model!$AS$1804*AVERAGE('Assumptions (MSW)'!$AO$2:$AQ$2)/10^9),0)</f>
        <v>0</v>
      </c>
      <c r="AX1903" s="160">
        <f>IF($AS$1804&gt;0,PPMT('Assumptions (MSW)'!$V$6,Model!AB$1,'Assumptions (MSW)'!$V$9,'Assumptions (MSW)'!$V$4*Model!$AS$1804*AVERAGE('Assumptions (MSW)'!$AO$2:$AQ$2)/10^9),0)</f>
        <v>0</v>
      </c>
      <c r="AY1903" s="160">
        <f>IF($AS$1804&gt;0,PPMT('Assumptions (MSW)'!$V$6,Model!AC$1,'Assumptions (MSW)'!$V$9,'Assumptions (MSW)'!$V$4*Model!$AS$1804*AVERAGE('Assumptions (MSW)'!$AO$2:$AQ$2)/10^9),0)</f>
        <v>0</v>
      </c>
      <c r="AZ1903" s="160">
        <f>IF($AS$1804&gt;0,PPMT('Assumptions (MSW)'!$V$6,Model!AD$1,'Assumptions (MSW)'!$V$9,'Assumptions (MSW)'!$V$4*Model!$AS$1804*AVERAGE('Assumptions (MSW)'!$AO$2:$AQ$2)/10^9),0)</f>
        <v>0</v>
      </c>
      <c r="BA1903" s="160">
        <f>IF($AS$1804&gt;0,PPMT('Assumptions (MSW)'!$V$6,Model!AE$1,'Assumptions (MSW)'!$V$9,'Assumptions (MSW)'!$V$4*Model!$AS$1804*AVERAGE('Assumptions (MSW)'!$AO$2:$AQ$2)/10^9),0)</f>
        <v>0</v>
      </c>
      <c r="BB1903" s="160">
        <f>IF($AS$1804&gt;0,PPMT('Assumptions (MSW)'!$V$6,Model!AF$1,'Assumptions (MSW)'!$V$9,'Assumptions (MSW)'!$V$4*Model!$AS$1804*AVERAGE('Assumptions (MSW)'!$AO$2:$AQ$2)/10^9),0)</f>
        <v>0</v>
      </c>
      <c r="BC1903" s="160">
        <f>IF($AS$1804&gt;0,PPMT('Assumptions (MSW)'!$V$6,Model!AG$1,'Assumptions (MSW)'!$V$9,'Assumptions (MSW)'!$V$4*Model!$AS$1804*AVERAGE('Assumptions (MSW)'!$AO$2:$AQ$2)/10^9),0)</f>
        <v>0</v>
      </c>
      <c r="BD1903" s="160">
        <f>IF($AS$1804&gt;0,PPMT('Assumptions (MSW)'!$V$6,Model!AH$1,'Assumptions (MSW)'!$V$9,'Assumptions (MSW)'!$V$4*Model!$AS$1804*AVERAGE('Assumptions (MSW)'!$AO$2:$AQ$2)/10^9),0)</f>
        <v>0</v>
      </c>
      <c r="BE1903" s="160">
        <f>IF($AS$1804&gt;0,PPMT('Assumptions (MSW)'!$V$6,Model!AI$1,'Assumptions (MSW)'!$V$9,'Assumptions (MSW)'!$V$4*Model!$AS$1804*AVERAGE('Assumptions (MSW)'!$AO$2:$AQ$2)/10^9),0)</f>
        <v>0</v>
      </c>
      <c r="BF1903" s="160">
        <f>IF($AS$1804&gt;0,PPMT('Assumptions (MSW)'!$V$6,Model!AJ$1,'Assumptions (MSW)'!$V$9,'Assumptions (MSW)'!$V$4*Model!$AS$1804*AVERAGE('Assumptions (MSW)'!$AO$2:$AQ$2)/10^9),0)</f>
        <v>0</v>
      </c>
      <c r="BG1903" s="160">
        <f>IF($AS$1804&gt;0,PPMT('Assumptions (MSW)'!$V$6,Model!AK$1,'Assumptions (MSW)'!$V$9,'Assumptions (MSW)'!$V$4*Model!$AS$1804*AVERAGE('Assumptions (MSW)'!$AO$2:$AQ$2)/10^9),0)</f>
        <v>0</v>
      </c>
      <c r="BH1903" s="160"/>
      <c r="BI1903" s="160"/>
      <c r="BJ1903" s="160"/>
      <c r="BK1903" s="160"/>
      <c r="BL1903" s="160"/>
      <c r="BM1903" s="160"/>
      <c r="BN1903" s="160"/>
      <c r="BO1903" s="160"/>
      <c r="BP1903" s="160"/>
    </row>
    <row r="1904" ht="15.75" hidden="1" customHeight="1" outlineLevel="1">
      <c r="A1904" s="309"/>
      <c r="B1904" s="38"/>
      <c r="C1904" s="174"/>
      <c r="D1904" s="174"/>
      <c r="E1904" s="174"/>
      <c r="F1904" s="174"/>
      <c r="G1904" s="174"/>
      <c r="H1904" s="174"/>
      <c r="I1904" s="174"/>
      <c r="J1904" s="174"/>
      <c r="K1904" s="174"/>
      <c r="L1904" s="174"/>
      <c r="M1904" s="174"/>
      <c r="N1904" s="174"/>
      <c r="O1904" s="174"/>
      <c r="P1904" s="174"/>
      <c r="Q1904" s="174"/>
      <c r="R1904" s="174"/>
      <c r="S1904" s="174"/>
      <c r="T1904" s="174"/>
      <c r="U1904" s="174"/>
      <c r="V1904" s="174"/>
      <c r="W1904" s="160"/>
      <c r="X1904" s="160"/>
      <c r="Y1904" s="160"/>
      <c r="Z1904" s="160"/>
      <c r="AA1904" s="160"/>
      <c r="AB1904" s="160"/>
      <c r="AC1904" s="160"/>
      <c r="AD1904" s="160"/>
      <c r="AE1904" s="160"/>
      <c r="AF1904" s="160"/>
      <c r="AG1904" s="160"/>
      <c r="AH1904" s="160"/>
      <c r="AI1904" s="160"/>
      <c r="AJ1904" s="179"/>
      <c r="AK1904" s="160"/>
      <c r="AL1904" s="177"/>
      <c r="AM1904" s="177"/>
      <c r="AN1904" s="177"/>
      <c r="AO1904" s="160"/>
      <c r="AP1904" s="160"/>
      <c r="AQ1904" s="160"/>
      <c r="AR1904" s="160"/>
      <c r="AS1904" s="160"/>
      <c r="AT1904" s="160">
        <f>IF($AT$1804&gt;0,PPMT('Assumptions (MSW)'!$V$6,Model!W$1,'Assumptions (MSW)'!$V$9,'Assumptions (MSW)'!$V$4*Model!$AT$1804*AVERAGE('Assumptions (MSW)'!$AP$2:$AR$2)/10^9),0)</f>
        <v>0</v>
      </c>
      <c r="AU1904" s="160">
        <f>IF($AT$1804&gt;0,PPMT('Assumptions (MSW)'!$V$6,Model!X$1,'Assumptions (MSW)'!$V$9,'Assumptions (MSW)'!$V$4*Model!$AT$1804*AVERAGE('Assumptions (MSW)'!$AP$2:$AR$2)/10^9),0)</f>
        <v>0</v>
      </c>
      <c r="AV1904" s="160">
        <f>IF($AT$1804&gt;0,PPMT('Assumptions (MSW)'!$V$6,Model!Y$1,'Assumptions (MSW)'!$V$9,'Assumptions (MSW)'!$V$4*Model!$AT$1804*AVERAGE('Assumptions (MSW)'!$AP$2:$AR$2)/10^9),0)</f>
        <v>0</v>
      </c>
      <c r="AW1904" s="160">
        <f>IF($AT$1804&gt;0,PPMT('Assumptions (MSW)'!$V$6,Model!Z$1,'Assumptions (MSW)'!$V$9,'Assumptions (MSW)'!$V$4*Model!$AT$1804*AVERAGE('Assumptions (MSW)'!$AP$2:$AR$2)/10^9),0)</f>
        <v>0</v>
      </c>
      <c r="AX1904" s="160">
        <f>IF($AT$1804&gt;0,PPMT('Assumptions (MSW)'!$V$6,Model!AA$1,'Assumptions (MSW)'!$V$9,'Assumptions (MSW)'!$V$4*Model!$AT$1804*AVERAGE('Assumptions (MSW)'!$AP$2:$AR$2)/10^9),0)</f>
        <v>0</v>
      </c>
      <c r="AY1904" s="160">
        <f>IF($AT$1804&gt;0,PPMT('Assumptions (MSW)'!$V$6,Model!AB$1,'Assumptions (MSW)'!$V$9,'Assumptions (MSW)'!$V$4*Model!$AT$1804*AVERAGE('Assumptions (MSW)'!$AP$2:$AR$2)/10^9),0)</f>
        <v>0</v>
      </c>
      <c r="AZ1904" s="160">
        <f>IF($AT$1804&gt;0,PPMT('Assumptions (MSW)'!$V$6,Model!AC$1,'Assumptions (MSW)'!$V$9,'Assumptions (MSW)'!$V$4*Model!$AT$1804*AVERAGE('Assumptions (MSW)'!$AP$2:$AR$2)/10^9),0)</f>
        <v>0</v>
      </c>
      <c r="BA1904" s="160">
        <f>IF($AT$1804&gt;0,PPMT('Assumptions (MSW)'!$V$6,Model!AD$1,'Assumptions (MSW)'!$V$9,'Assumptions (MSW)'!$V$4*Model!$AT$1804*AVERAGE('Assumptions (MSW)'!$AP$2:$AR$2)/10^9),0)</f>
        <v>0</v>
      </c>
      <c r="BB1904" s="160">
        <f>IF($AT$1804&gt;0,PPMT('Assumptions (MSW)'!$V$6,Model!AE$1,'Assumptions (MSW)'!$V$9,'Assumptions (MSW)'!$V$4*Model!$AT$1804*AVERAGE('Assumptions (MSW)'!$AP$2:$AR$2)/10^9),0)</f>
        <v>0</v>
      </c>
      <c r="BC1904" s="160">
        <f>IF($AT$1804&gt;0,PPMT('Assumptions (MSW)'!$V$6,Model!AF$1,'Assumptions (MSW)'!$V$9,'Assumptions (MSW)'!$V$4*Model!$AT$1804*AVERAGE('Assumptions (MSW)'!$AP$2:$AR$2)/10^9),0)</f>
        <v>0</v>
      </c>
      <c r="BD1904" s="160">
        <f>IF($AT$1804&gt;0,PPMT('Assumptions (MSW)'!$V$6,Model!AG$1,'Assumptions (MSW)'!$V$9,'Assumptions (MSW)'!$V$4*Model!$AT$1804*AVERAGE('Assumptions (MSW)'!$AP$2:$AR$2)/10^9),0)</f>
        <v>0</v>
      </c>
      <c r="BE1904" s="160">
        <f>IF($AT$1804&gt;0,PPMT('Assumptions (MSW)'!$V$6,Model!AH$1,'Assumptions (MSW)'!$V$9,'Assumptions (MSW)'!$V$4*Model!$AT$1804*AVERAGE('Assumptions (MSW)'!$AP$2:$AR$2)/10^9),0)</f>
        <v>0</v>
      </c>
      <c r="BF1904" s="160">
        <f>IF($AT$1804&gt;0,PPMT('Assumptions (MSW)'!$V$6,Model!AI$1,'Assumptions (MSW)'!$V$9,'Assumptions (MSW)'!$V$4*Model!$AT$1804*AVERAGE('Assumptions (MSW)'!$AP$2:$AR$2)/10^9),0)</f>
        <v>0</v>
      </c>
      <c r="BG1904" s="160">
        <f>IF($AT$1804&gt;0,PPMT('Assumptions (MSW)'!$V$6,Model!AJ$1,'Assumptions (MSW)'!$V$9,'Assumptions (MSW)'!$V$4*Model!$AT$1804*AVERAGE('Assumptions (MSW)'!$AP$2:$AR$2)/10^9),0)</f>
        <v>0</v>
      </c>
      <c r="BH1904" s="160">
        <f>IF($AT$1804&gt;0,PPMT('Assumptions (MSW)'!$V$6,Model!AK$1,'Assumptions (MSW)'!$V$9,'Assumptions (MSW)'!$V$4*Model!$AT$1804*AVERAGE('Assumptions (MSW)'!$AP$2:$AR$2)/10^9),0)</f>
        <v>0</v>
      </c>
      <c r="BI1904" s="160"/>
      <c r="BJ1904" s="160"/>
      <c r="BK1904" s="160"/>
      <c r="BL1904" s="160"/>
      <c r="BM1904" s="160"/>
      <c r="BN1904" s="160"/>
      <c r="BO1904" s="160"/>
      <c r="BP1904" s="160"/>
    </row>
    <row r="1905" ht="15.75" hidden="1" customHeight="1" outlineLevel="1">
      <c r="A1905" s="309"/>
      <c r="B1905" s="38"/>
      <c r="C1905" s="174"/>
      <c r="D1905" s="174"/>
      <c r="E1905" s="174"/>
      <c r="F1905" s="174"/>
      <c r="G1905" s="174"/>
      <c r="H1905" s="174"/>
      <c r="I1905" s="174"/>
      <c r="J1905" s="174"/>
      <c r="K1905" s="174"/>
      <c r="L1905" s="174"/>
      <c r="M1905" s="174"/>
      <c r="N1905" s="174"/>
      <c r="O1905" s="174"/>
      <c r="P1905" s="174"/>
      <c r="Q1905" s="174"/>
      <c r="R1905" s="174"/>
      <c r="S1905" s="174"/>
      <c r="T1905" s="174"/>
      <c r="U1905" s="174"/>
      <c r="V1905" s="174"/>
      <c r="W1905" s="160"/>
      <c r="X1905" s="160"/>
      <c r="Y1905" s="160"/>
      <c r="Z1905" s="160"/>
      <c r="AA1905" s="160"/>
      <c r="AB1905" s="160"/>
      <c r="AC1905" s="160"/>
      <c r="AD1905" s="160"/>
      <c r="AE1905" s="160"/>
      <c r="AF1905" s="160"/>
      <c r="AG1905" s="160"/>
      <c r="AH1905" s="160"/>
      <c r="AI1905" s="160"/>
      <c r="AJ1905" s="179"/>
      <c r="AK1905" s="160"/>
      <c r="AL1905" s="177"/>
      <c r="AM1905" s="177"/>
      <c r="AN1905" s="177"/>
      <c r="AO1905" s="160"/>
      <c r="AP1905" s="160"/>
      <c r="AQ1905" s="160"/>
      <c r="AR1905" s="160"/>
      <c r="AS1905" s="160"/>
      <c r="AT1905" s="160"/>
      <c r="AU1905" s="160">
        <f>IF($AU$1804&gt;0,PPMT('Assumptions (MSW)'!$V$6,Model!W$1,'Assumptions (MSW)'!$V$9,'Assumptions (MSW)'!$V$4*Model!$AU$1804*AVERAGE('Assumptions (MSW)'!$AQ$2:$AS$2)/10^9),0)</f>
        <v>0</v>
      </c>
      <c r="AV1905" s="160">
        <f>IF($AU$1804&gt;0,PPMT('Assumptions (MSW)'!$V$6,Model!X$1,'Assumptions (MSW)'!$V$9,'Assumptions (MSW)'!$V$4*Model!$AU$1804*AVERAGE('Assumptions (MSW)'!$AQ$2:$AS$2)/10^9),0)</f>
        <v>0</v>
      </c>
      <c r="AW1905" s="160">
        <f>IF($AU$1804&gt;0,PPMT('Assumptions (MSW)'!$V$6,Model!Y$1,'Assumptions (MSW)'!$V$9,'Assumptions (MSW)'!$V$4*Model!$AU$1804*AVERAGE('Assumptions (MSW)'!$AQ$2:$AS$2)/10^9),0)</f>
        <v>0</v>
      </c>
      <c r="AX1905" s="160">
        <f>IF($AU$1804&gt;0,PPMT('Assumptions (MSW)'!$V$6,Model!Z$1,'Assumptions (MSW)'!$V$9,'Assumptions (MSW)'!$V$4*Model!$AU$1804*AVERAGE('Assumptions (MSW)'!$AQ$2:$AS$2)/10^9),0)</f>
        <v>0</v>
      </c>
      <c r="AY1905" s="160">
        <f>IF($AU$1804&gt;0,PPMT('Assumptions (MSW)'!$V$6,Model!AA$1,'Assumptions (MSW)'!$V$9,'Assumptions (MSW)'!$V$4*Model!$AU$1804*AVERAGE('Assumptions (MSW)'!$AQ$2:$AS$2)/10^9),0)</f>
        <v>0</v>
      </c>
      <c r="AZ1905" s="160">
        <f>IF($AU$1804&gt;0,PPMT('Assumptions (MSW)'!$V$6,Model!AB$1,'Assumptions (MSW)'!$V$9,'Assumptions (MSW)'!$V$4*Model!$AU$1804*AVERAGE('Assumptions (MSW)'!$AQ$2:$AS$2)/10^9),0)</f>
        <v>0</v>
      </c>
      <c r="BA1905" s="160">
        <f>IF($AU$1804&gt;0,PPMT('Assumptions (MSW)'!$V$6,Model!AC$1,'Assumptions (MSW)'!$V$9,'Assumptions (MSW)'!$V$4*Model!$AU$1804*AVERAGE('Assumptions (MSW)'!$AQ$2:$AS$2)/10^9),0)</f>
        <v>0</v>
      </c>
      <c r="BB1905" s="160">
        <f>IF($AU$1804&gt;0,PPMT('Assumptions (MSW)'!$V$6,Model!AD$1,'Assumptions (MSW)'!$V$9,'Assumptions (MSW)'!$V$4*Model!$AU$1804*AVERAGE('Assumptions (MSW)'!$AQ$2:$AS$2)/10^9),0)</f>
        <v>0</v>
      </c>
      <c r="BC1905" s="160">
        <f>IF($AU$1804&gt;0,PPMT('Assumptions (MSW)'!$V$6,Model!AE$1,'Assumptions (MSW)'!$V$9,'Assumptions (MSW)'!$V$4*Model!$AU$1804*AVERAGE('Assumptions (MSW)'!$AQ$2:$AS$2)/10^9),0)</f>
        <v>0</v>
      </c>
      <c r="BD1905" s="160">
        <f>IF($AU$1804&gt;0,PPMT('Assumptions (MSW)'!$V$6,Model!AF$1,'Assumptions (MSW)'!$V$9,'Assumptions (MSW)'!$V$4*Model!$AU$1804*AVERAGE('Assumptions (MSW)'!$AQ$2:$AS$2)/10^9),0)</f>
        <v>0</v>
      </c>
      <c r="BE1905" s="160">
        <f>IF($AU$1804&gt;0,PPMT('Assumptions (MSW)'!$V$6,Model!AG$1,'Assumptions (MSW)'!$V$9,'Assumptions (MSW)'!$V$4*Model!$AU$1804*AVERAGE('Assumptions (MSW)'!$AQ$2:$AS$2)/10^9),0)</f>
        <v>0</v>
      </c>
      <c r="BF1905" s="160">
        <f>IF($AU$1804&gt;0,PPMT('Assumptions (MSW)'!$V$6,Model!AH$1,'Assumptions (MSW)'!$V$9,'Assumptions (MSW)'!$V$4*Model!$AU$1804*AVERAGE('Assumptions (MSW)'!$AQ$2:$AS$2)/10^9),0)</f>
        <v>0</v>
      </c>
      <c r="BG1905" s="160">
        <f>IF($AU$1804&gt;0,PPMT('Assumptions (MSW)'!$V$6,Model!AI$1,'Assumptions (MSW)'!$V$9,'Assumptions (MSW)'!$V$4*Model!$AU$1804*AVERAGE('Assumptions (MSW)'!$AQ$2:$AS$2)/10^9),0)</f>
        <v>0</v>
      </c>
      <c r="BH1905" s="160">
        <f>IF($AU$1804&gt;0,PPMT('Assumptions (MSW)'!$V$6,Model!AJ$1,'Assumptions (MSW)'!$V$9,'Assumptions (MSW)'!$V$4*Model!$AU$1804*AVERAGE('Assumptions (MSW)'!$AQ$2:$AS$2)/10^9),0)</f>
        <v>0</v>
      </c>
      <c r="BI1905" s="160">
        <f>IF($AU$1804&gt;0,PPMT('Assumptions (MSW)'!$V$6,Model!AK$1,'Assumptions (MSW)'!$V$9,'Assumptions (MSW)'!$V$4*Model!$AU$1804*AVERAGE('Assumptions (MSW)'!$AQ$2:$AS$2)/10^9),0)</f>
        <v>0</v>
      </c>
      <c r="BJ1905" s="160"/>
      <c r="BK1905" s="160"/>
      <c r="BL1905" s="160"/>
      <c r="BM1905" s="160"/>
      <c r="BN1905" s="160"/>
      <c r="BO1905" s="160"/>
      <c r="BP1905" s="160"/>
    </row>
    <row r="1906" ht="15.75" hidden="1" customHeight="1" outlineLevel="1">
      <c r="A1906" s="309"/>
      <c r="B1906" s="38"/>
      <c r="C1906" s="174"/>
      <c r="D1906" s="174"/>
      <c r="E1906" s="174"/>
      <c r="F1906" s="174"/>
      <c r="G1906" s="174"/>
      <c r="H1906" s="174"/>
      <c r="I1906" s="174"/>
      <c r="J1906" s="174"/>
      <c r="K1906" s="174"/>
      <c r="L1906" s="174"/>
      <c r="M1906" s="174"/>
      <c r="N1906" s="174"/>
      <c r="O1906" s="174"/>
      <c r="P1906" s="174"/>
      <c r="Q1906" s="174"/>
      <c r="R1906" s="174"/>
      <c r="S1906" s="174"/>
      <c r="T1906" s="174"/>
      <c r="U1906" s="174"/>
      <c r="V1906" s="174"/>
      <c r="W1906" s="160"/>
      <c r="X1906" s="160"/>
      <c r="Y1906" s="160"/>
      <c r="Z1906" s="160"/>
      <c r="AA1906" s="160"/>
      <c r="AB1906" s="160"/>
      <c r="AC1906" s="160"/>
      <c r="AD1906" s="160"/>
      <c r="AE1906" s="160"/>
      <c r="AF1906" s="160"/>
      <c r="AG1906" s="160"/>
      <c r="AH1906" s="160"/>
      <c r="AI1906" s="160"/>
      <c r="AJ1906" s="179"/>
      <c r="AK1906" s="160"/>
      <c r="AL1906" s="177"/>
      <c r="AM1906" s="177"/>
      <c r="AN1906" s="177"/>
      <c r="AO1906" s="160"/>
      <c r="AP1906" s="160"/>
      <c r="AQ1906" s="160"/>
      <c r="AR1906" s="160"/>
      <c r="AS1906" s="160"/>
      <c r="AT1906" s="160"/>
      <c r="AU1906" s="160"/>
      <c r="AV1906" s="160">
        <f>IF($AV$1804&gt;0,PPMT('Assumptions (MSW)'!$V$6,Model!W$1,'Assumptions (MSW)'!$V$9,'Assumptions (MSW)'!$V$4*Model!$AV$1804*AVERAGE('Assumptions (MSW)'!$AR$2:$AT$2)/10^9),0)</f>
        <v>0</v>
      </c>
      <c r="AW1906" s="160">
        <f>IF($AV$1804&gt;0,PPMT('Assumptions (MSW)'!$V$6,Model!X$1,'Assumptions (MSW)'!$V$9,'Assumptions (MSW)'!$V$4*Model!$AV$1804*AVERAGE('Assumptions (MSW)'!$AR$2:$AT$2)/10^9),0)</f>
        <v>0</v>
      </c>
      <c r="AX1906" s="160">
        <f>IF($AV$1804&gt;0,PPMT('Assumptions (MSW)'!$V$6,Model!Y$1,'Assumptions (MSW)'!$V$9,'Assumptions (MSW)'!$V$4*Model!$AV$1804*AVERAGE('Assumptions (MSW)'!$AR$2:$AT$2)/10^9),0)</f>
        <v>0</v>
      </c>
      <c r="AY1906" s="160">
        <f>IF($AV$1804&gt;0,PPMT('Assumptions (MSW)'!$V$6,Model!Z$1,'Assumptions (MSW)'!$V$9,'Assumptions (MSW)'!$V$4*Model!$AV$1804*AVERAGE('Assumptions (MSW)'!$AR$2:$AT$2)/10^9),0)</f>
        <v>0</v>
      </c>
      <c r="AZ1906" s="160">
        <f>IF($AV$1804&gt;0,PPMT('Assumptions (MSW)'!$V$6,Model!AA$1,'Assumptions (MSW)'!$V$9,'Assumptions (MSW)'!$V$4*Model!$AV$1804*AVERAGE('Assumptions (MSW)'!$AR$2:$AT$2)/10^9),0)</f>
        <v>0</v>
      </c>
      <c r="BA1906" s="160">
        <f>IF($AV$1804&gt;0,PPMT('Assumptions (MSW)'!$V$6,Model!AB$1,'Assumptions (MSW)'!$V$9,'Assumptions (MSW)'!$V$4*Model!$AV$1804*AVERAGE('Assumptions (MSW)'!$AR$2:$AT$2)/10^9),0)</f>
        <v>0</v>
      </c>
      <c r="BB1906" s="160">
        <f>IF($AV$1804&gt;0,PPMT('Assumptions (MSW)'!$V$6,Model!AC$1,'Assumptions (MSW)'!$V$9,'Assumptions (MSW)'!$V$4*Model!$AV$1804*AVERAGE('Assumptions (MSW)'!$AR$2:$AT$2)/10^9),0)</f>
        <v>0</v>
      </c>
      <c r="BC1906" s="160">
        <f>IF($AV$1804&gt;0,PPMT('Assumptions (MSW)'!$V$6,Model!AD$1,'Assumptions (MSW)'!$V$9,'Assumptions (MSW)'!$V$4*Model!$AV$1804*AVERAGE('Assumptions (MSW)'!$AR$2:$AT$2)/10^9),0)</f>
        <v>0</v>
      </c>
      <c r="BD1906" s="160">
        <f>IF($AV$1804&gt;0,PPMT('Assumptions (MSW)'!$V$6,Model!AE$1,'Assumptions (MSW)'!$V$9,'Assumptions (MSW)'!$V$4*Model!$AV$1804*AVERAGE('Assumptions (MSW)'!$AR$2:$AT$2)/10^9),0)</f>
        <v>0</v>
      </c>
      <c r="BE1906" s="160">
        <f>IF($AV$1804&gt;0,PPMT('Assumptions (MSW)'!$V$6,Model!AF$1,'Assumptions (MSW)'!$V$9,'Assumptions (MSW)'!$V$4*Model!$AV$1804*AVERAGE('Assumptions (MSW)'!$AR$2:$AT$2)/10^9),0)</f>
        <v>0</v>
      </c>
      <c r="BF1906" s="160">
        <f>IF($AV$1804&gt;0,PPMT('Assumptions (MSW)'!$V$6,Model!AG$1,'Assumptions (MSW)'!$V$9,'Assumptions (MSW)'!$V$4*Model!$AV$1804*AVERAGE('Assumptions (MSW)'!$AR$2:$AT$2)/10^9),0)</f>
        <v>0</v>
      </c>
      <c r="BG1906" s="160">
        <f>IF($AV$1804&gt;0,PPMT('Assumptions (MSW)'!$V$6,Model!AH$1,'Assumptions (MSW)'!$V$9,'Assumptions (MSW)'!$V$4*Model!$AV$1804*AVERAGE('Assumptions (MSW)'!$AR$2:$AT$2)/10^9),0)</f>
        <v>0</v>
      </c>
      <c r="BH1906" s="160">
        <f>IF($AV$1804&gt;0,PPMT('Assumptions (MSW)'!$V$6,Model!AI$1,'Assumptions (MSW)'!$V$9,'Assumptions (MSW)'!$V$4*Model!$AV$1804*AVERAGE('Assumptions (MSW)'!$AR$2:$AT$2)/10^9),0)</f>
        <v>0</v>
      </c>
      <c r="BI1906" s="160">
        <f>IF($AV$1804&gt;0,PPMT('Assumptions (MSW)'!$V$6,Model!AJ$1,'Assumptions (MSW)'!$V$9,'Assumptions (MSW)'!$V$4*Model!$AV$1804*AVERAGE('Assumptions (MSW)'!$AR$2:$AT$2)/10^9),0)</f>
        <v>0</v>
      </c>
      <c r="BJ1906" s="160">
        <f>IF($AV$1804&gt;0,PPMT('Assumptions (MSW)'!$V$6,Model!AK$1,'Assumptions (MSW)'!$V$9,'Assumptions (MSW)'!$V$4*Model!$AV$1804*AVERAGE('Assumptions (MSW)'!$AR$2:$AT$2)/10^9),0)</f>
        <v>0</v>
      </c>
      <c r="BK1906" s="160"/>
      <c r="BL1906" s="160"/>
      <c r="BM1906" s="160"/>
      <c r="BN1906" s="160"/>
      <c r="BO1906" s="160"/>
      <c r="BP1906" s="160"/>
    </row>
    <row r="1907" ht="15.75" hidden="1" customHeight="1" outlineLevel="1">
      <c r="A1907" s="309"/>
      <c r="B1907" s="38"/>
      <c r="C1907" s="174"/>
      <c r="D1907" s="174"/>
      <c r="E1907" s="174"/>
      <c r="F1907" s="174"/>
      <c r="G1907" s="174"/>
      <c r="H1907" s="174"/>
      <c r="I1907" s="174"/>
      <c r="J1907" s="174"/>
      <c r="K1907" s="174"/>
      <c r="L1907" s="174"/>
      <c r="M1907" s="174"/>
      <c r="N1907" s="174"/>
      <c r="O1907" s="174"/>
      <c r="P1907" s="174"/>
      <c r="Q1907" s="174"/>
      <c r="R1907" s="174"/>
      <c r="S1907" s="174"/>
      <c r="T1907" s="174"/>
      <c r="U1907" s="174"/>
      <c r="V1907" s="174"/>
      <c r="W1907" s="160"/>
      <c r="X1907" s="160"/>
      <c r="Y1907" s="160"/>
      <c r="Z1907" s="160"/>
      <c r="AA1907" s="160"/>
      <c r="AB1907" s="160"/>
      <c r="AC1907" s="160"/>
      <c r="AD1907" s="160"/>
      <c r="AE1907" s="160"/>
      <c r="AF1907" s="160"/>
      <c r="AG1907" s="160"/>
      <c r="AH1907" s="160"/>
      <c r="AI1907" s="160"/>
      <c r="AJ1907" s="179"/>
      <c r="AK1907" s="160"/>
      <c r="AL1907" s="177"/>
      <c r="AM1907" s="177"/>
      <c r="AN1907" s="177"/>
      <c r="AO1907" s="160"/>
      <c r="AP1907" s="160"/>
      <c r="AQ1907" s="160"/>
      <c r="AR1907" s="160"/>
      <c r="AS1907" s="160"/>
      <c r="AT1907" s="160"/>
      <c r="AU1907" s="160"/>
      <c r="AV1907" s="160"/>
      <c r="AW1907" s="160">
        <f>IF($AW$1804&gt;0,PPMT('Assumptions (MSW)'!$V$6,Model!W$1,'Assumptions (MSW)'!$V$9,'Assumptions (MSW)'!$V$4*Model!$AW$1804*AVERAGE('Assumptions (MSW)'!$AS$2:$AU$2)/10^9),0)</f>
        <v>0</v>
      </c>
      <c r="AX1907" s="160">
        <f>IF($AW$1804&gt;0,PPMT('Assumptions (MSW)'!$V$6,Model!X$1,'Assumptions (MSW)'!$V$9,'Assumptions (MSW)'!$V$4*Model!$AW$1804*AVERAGE('Assumptions (MSW)'!$AS$2:$AU$2)/10^9),0)</f>
        <v>0</v>
      </c>
      <c r="AY1907" s="160">
        <f>IF($AW$1804&gt;0,PPMT('Assumptions (MSW)'!$V$6,Model!Y$1,'Assumptions (MSW)'!$V$9,'Assumptions (MSW)'!$V$4*Model!$AW$1804*AVERAGE('Assumptions (MSW)'!$AS$2:$AU$2)/10^9),0)</f>
        <v>0</v>
      </c>
      <c r="AZ1907" s="160">
        <f>IF($AW$1804&gt;0,PPMT('Assumptions (MSW)'!$V$6,Model!Z$1,'Assumptions (MSW)'!$V$9,'Assumptions (MSW)'!$V$4*Model!$AW$1804*AVERAGE('Assumptions (MSW)'!$AS$2:$AU$2)/10^9),0)</f>
        <v>0</v>
      </c>
      <c r="BA1907" s="160">
        <f>IF($AW$1804&gt;0,PPMT('Assumptions (MSW)'!$V$6,Model!AA$1,'Assumptions (MSW)'!$V$9,'Assumptions (MSW)'!$V$4*Model!$AW$1804*AVERAGE('Assumptions (MSW)'!$AS$2:$AU$2)/10^9),0)</f>
        <v>0</v>
      </c>
      <c r="BB1907" s="160">
        <f>IF($AW$1804&gt;0,PPMT('Assumptions (MSW)'!$V$6,Model!AB$1,'Assumptions (MSW)'!$V$9,'Assumptions (MSW)'!$V$4*Model!$AW$1804*AVERAGE('Assumptions (MSW)'!$AS$2:$AU$2)/10^9),0)</f>
        <v>0</v>
      </c>
      <c r="BC1907" s="160">
        <f>IF($AW$1804&gt;0,PPMT('Assumptions (MSW)'!$V$6,Model!AC$1,'Assumptions (MSW)'!$V$9,'Assumptions (MSW)'!$V$4*Model!$AW$1804*AVERAGE('Assumptions (MSW)'!$AS$2:$AU$2)/10^9),0)</f>
        <v>0</v>
      </c>
      <c r="BD1907" s="160">
        <f>IF($AW$1804&gt;0,PPMT('Assumptions (MSW)'!$V$6,Model!AD$1,'Assumptions (MSW)'!$V$9,'Assumptions (MSW)'!$V$4*Model!$AW$1804*AVERAGE('Assumptions (MSW)'!$AS$2:$AU$2)/10^9),0)</f>
        <v>0</v>
      </c>
      <c r="BE1907" s="160">
        <f>IF($AW$1804&gt;0,PPMT('Assumptions (MSW)'!$V$6,Model!AE$1,'Assumptions (MSW)'!$V$9,'Assumptions (MSW)'!$V$4*Model!$AW$1804*AVERAGE('Assumptions (MSW)'!$AS$2:$AU$2)/10^9),0)</f>
        <v>0</v>
      </c>
      <c r="BF1907" s="160">
        <f>IF($AW$1804&gt;0,PPMT('Assumptions (MSW)'!$V$6,Model!AF$1,'Assumptions (MSW)'!$V$9,'Assumptions (MSW)'!$V$4*Model!$AW$1804*AVERAGE('Assumptions (MSW)'!$AS$2:$AU$2)/10^9),0)</f>
        <v>0</v>
      </c>
      <c r="BG1907" s="160">
        <f>IF($AW$1804&gt;0,PPMT('Assumptions (MSW)'!$V$6,Model!AG$1,'Assumptions (MSW)'!$V$9,'Assumptions (MSW)'!$V$4*Model!$AW$1804*AVERAGE('Assumptions (MSW)'!$AS$2:$AU$2)/10^9),0)</f>
        <v>0</v>
      </c>
      <c r="BH1907" s="160">
        <f>IF($AW$1804&gt;0,PPMT('Assumptions (MSW)'!$V$6,Model!AH$1,'Assumptions (MSW)'!$V$9,'Assumptions (MSW)'!$V$4*Model!$AW$1804*AVERAGE('Assumptions (MSW)'!$AS$2:$AU$2)/10^9),0)</f>
        <v>0</v>
      </c>
      <c r="BI1907" s="160">
        <f>IF($AW$1804&gt;0,PPMT('Assumptions (MSW)'!$V$6,Model!AI$1,'Assumptions (MSW)'!$V$9,'Assumptions (MSW)'!$V$4*Model!$AW$1804*AVERAGE('Assumptions (MSW)'!$AS$2:$AU$2)/10^9),0)</f>
        <v>0</v>
      </c>
      <c r="BJ1907" s="160">
        <f>IF($AW$1804&gt;0,PPMT('Assumptions (MSW)'!$V$6,Model!AJ$1,'Assumptions (MSW)'!$V$9,'Assumptions (MSW)'!$V$4*Model!$AW$1804*AVERAGE('Assumptions (MSW)'!$AS$2:$AU$2)/10^9),0)</f>
        <v>0</v>
      </c>
      <c r="BK1907" s="160">
        <f>IF($AW$1804&gt;0,PPMT('Assumptions (MSW)'!$V$6,Model!AK$1,'Assumptions (MSW)'!$V$9,'Assumptions (MSW)'!$V$4*Model!$AW$1804*AVERAGE('Assumptions (MSW)'!$AS$2:$AU$2)/10^9),0)</f>
        <v>0</v>
      </c>
      <c r="BL1907" s="160"/>
      <c r="BM1907" s="160"/>
      <c r="BN1907" s="160"/>
      <c r="BO1907" s="160"/>
      <c r="BP1907" s="160"/>
    </row>
    <row r="1908" ht="15.75" hidden="1" customHeight="1" outlineLevel="1">
      <c r="A1908" s="309"/>
      <c r="B1908" s="38"/>
      <c r="C1908" s="174"/>
      <c r="D1908" s="174"/>
      <c r="E1908" s="174"/>
      <c r="F1908" s="174"/>
      <c r="G1908" s="174"/>
      <c r="H1908" s="174"/>
      <c r="I1908" s="174"/>
      <c r="J1908" s="174"/>
      <c r="K1908" s="174"/>
      <c r="L1908" s="174"/>
      <c r="M1908" s="174"/>
      <c r="N1908" s="174"/>
      <c r="O1908" s="174"/>
      <c r="P1908" s="174"/>
      <c r="Q1908" s="174"/>
      <c r="R1908" s="174"/>
      <c r="S1908" s="174"/>
      <c r="T1908" s="174"/>
      <c r="U1908" s="174"/>
      <c r="V1908" s="174"/>
      <c r="W1908" s="160"/>
      <c r="X1908" s="160"/>
      <c r="Y1908" s="160"/>
      <c r="Z1908" s="160"/>
      <c r="AA1908" s="160"/>
      <c r="AB1908" s="160"/>
      <c r="AC1908" s="160"/>
      <c r="AD1908" s="160"/>
      <c r="AE1908" s="160"/>
      <c r="AF1908" s="160"/>
      <c r="AG1908" s="160"/>
      <c r="AH1908" s="160"/>
      <c r="AI1908" s="160"/>
      <c r="AJ1908" s="179"/>
      <c r="AK1908" s="160"/>
      <c r="AL1908" s="177"/>
      <c r="AM1908" s="177"/>
      <c r="AN1908" s="177"/>
      <c r="AO1908" s="160"/>
      <c r="AP1908" s="160"/>
      <c r="AQ1908" s="160"/>
      <c r="AR1908" s="160"/>
      <c r="AS1908" s="160"/>
      <c r="AT1908" s="160"/>
      <c r="AU1908" s="160"/>
      <c r="AV1908" s="160"/>
      <c r="AW1908" s="160"/>
      <c r="AX1908" s="160">
        <f>IF($AX$1804&gt;0,PPMT('Assumptions (MSW)'!$V$6,Model!W$1,'Assumptions (MSW)'!$V$9,'Assumptions (MSW)'!$V$4*Model!$AX$1804*AVERAGE('Assumptions (MSW)'!$AT$2:$AV$2)/10^9),0)</f>
        <v>0</v>
      </c>
      <c r="AY1908" s="160">
        <f>IF($AX$1804&gt;0,PPMT('Assumptions (MSW)'!$V$6,Model!X$1,'Assumptions (MSW)'!$V$9,'Assumptions (MSW)'!$V$4*Model!$AX$1804*AVERAGE('Assumptions (MSW)'!$AT$2:$AV$2)/10^9),0)</f>
        <v>0</v>
      </c>
      <c r="AZ1908" s="160">
        <f>IF($AX$1804&gt;0,PPMT('Assumptions (MSW)'!$V$6,Model!Y$1,'Assumptions (MSW)'!$V$9,'Assumptions (MSW)'!$V$4*Model!$AX$1804*AVERAGE('Assumptions (MSW)'!$AT$2:$AV$2)/10^9),0)</f>
        <v>0</v>
      </c>
      <c r="BA1908" s="160">
        <f>IF($AX$1804&gt;0,PPMT('Assumptions (MSW)'!$V$6,Model!Z$1,'Assumptions (MSW)'!$V$9,'Assumptions (MSW)'!$V$4*Model!$AX$1804*AVERAGE('Assumptions (MSW)'!$AT$2:$AV$2)/10^9),0)</f>
        <v>0</v>
      </c>
      <c r="BB1908" s="160">
        <f>IF($AX$1804&gt;0,PPMT('Assumptions (MSW)'!$V$6,Model!AA$1,'Assumptions (MSW)'!$V$9,'Assumptions (MSW)'!$V$4*Model!$AX$1804*AVERAGE('Assumptions (MSW)'!$AT$2:$AV$2)/10^9),0)</f>
        <v>0</v>
      </c>
      <c r="BC1908" s="160">
        <f>IF($AX$1804&gt;0,PPMT('Assumptions (MSW)'!$V$6,Model!AB$1,'Assumptions (MSW)'!$V$9,'Assumptions (MSW)'!$V$4*Model!$AX$1804*AVERAGE('Assumptions (MSW)'!$AT$2:$AV$2)/10^9),0)</f>
        <v>0</v>
      </c>
      <c r="BD1908" s="160">
        <f>IF($AX$1804&gt;0,PPMT('Assumptions (MSW)'!$V$6,Model!AC$1,'Assumptions (MSW)'!$V$9,'Assumptions (MSW)'!$V$4*Model!$AX$1804*AVERAGE('Assumptions (MSW)'!$AT$2:$AV$2)/10^9),0)</f>
        <v>0</v>
      </c>
      <c r="BE1908" s="160">
        <f>IF($AX$1804&gt;0,PPMT('Assumptions (MSW)'!$V$6,Model!AD$1,'Assumptions (MSW)'!$V$9,'Assumptions (MSW)'!$V$4*Model!$AX$1804*AVERAGE('Assumptions (MSW)'!$AT$2:$AV$2)/10^9),0)</f>
        <v>0</v>
      </c>
      <c r="BF1908" s="160">
        <f>IF($AX$1804&gt;0,PPMT('Assumptions (MSW)'!$V$6,Model!AE$1,'Assumptions (MSW)'!$V$9,'Assumptions (MSW)'!$V$4*Model!$AX$1804*AVERAGE('Assumptions (MSW)'!$AT$2:$AV$2)/10^9),0)</f>
        <v>0</v>
      </c>
      <c r="BG1908" s="160">
        <f>IF($AX$1804&gt;0,PPMT('Assumptions (MSW)'!$V$6,Model!AF$1,'Assumptions (MSW)'!$V$9,'Assumptions (MSW)'!$V$4*Model!$AX$1804*AVERAGE('Assumptions (MSW)'!$AT$2:$AV$2)/10^9),0)</f>
        <v>0</v>
      </c>
      <c r="BH1908" s="160">
        <f>IF($AX$1804&gt;0,PPMT('Assumptions (MSW)'!$V$6,Model!AG$1,'Assumptions (MSW)'!$V$9,'Assumptions (MSW)'!$V$4*Model!$AX$1804*AVERAGE('Assumptions (MSW)'!$AT$2:$AV$2)/10^9),0)</f>
        <v>0</v>
      </c>
      <c r="BI1908" s="160">
        <f>IF($AX$1804&gt;0,PPMT('Assumptions (MSW)'!$V$6,Model!AH$1,'Assumptions (MSW)'!$V$9,'Assumptions (MSW)'!$V$4*Model!$AX$1804*AVERAGE('Assumptions (MSW)'!$AT$2:$AV$2)/10^9),0)</f>
        <v>0</v>
      </c>
      <c r="BJ1908" s="160">
        <f>IF($AX$1804&gt;0,PPMT('Assumptions (MSW)'!$V$6,Model!AI$1,'Assumptions (MSW)'!$V$9,'Assumptions (MSW)'!$V$4*Model!$AX$1804*AVERAGE('Assumptions (MSW)'!$AT$2:$AV$2)/10^9),0)</f>
        <v>0</v>
      </c>
      <c r="BK1908" s="160">
        <f>IF($AX$1804&gt;0,PPMT('Assumptions (MSW)'!$V$6,Model!AJ$1,'Assumptions (MSW)'!$V$9,'Assumptions (MSW)'!$V$4*Model!$AX$1804*AVERAGE('Assumptions (MSW)'!$AT$2:$AV$2)/10^9),0)</f>
        <v>0</v>
      </c>
      <c r="BL1908" s="160">
        <f>IF($AX$1804&gt;0,PPMT('Assumptions (MSW)'!$V$6,Model!AK$1,'Assumptions (MSW)'!$V$9,'Assumptions (MSW)'!$V$4*Model!$AX$1804*AVERAGE('Assumptions (MSW)'!$AT$2:$AV$2)/10^9),0)</f>
        <v>0</v>
      </c>
      <c r="BM1908" s="160"/>
      <c r="BN1908" s="160"/>
      <c r="BO1908" s="160"/>
      <c r="BP1908" s="160"/>
    </row>
    <row r="1909" ht="15.75" hidden="1" customHeight="1" outlineLevel="1">
      <c r="A1909" s="309"/>
      <c r="B1909" s="38"/>
      <c r="C1909" s="174"/>
      <c r="D1909" s="174"/>
      <c r="E1909" s="174"/>
      <c r="F1909" s="174"/>
      <c r="G1909" s="174"/>
      <c r="H1909" s="174"/>
      <c r="I1909" s="174"/>
      <c r="J1909" s="174"/>
      <c r="K1909" s="174"/>
      <c r="L1909" s="174"/>
      <c r="M1909" s="174"/>
      <c r="N1909" s="174"/>
      <c r="O1909" s="174"/>
      <c r="P1909" s="174"/>
      <c r="Q1909" s="174"/>
      <c r="R1909" s="174"/>
      <c r="S1909" s="174"/>
      <c r="T1909" s="174"/>
      <c r="U1909" s="174"/>
      <c r="V1909" s="174"/>
      <c r="W1909" s="160"/>
      <c r="X1909" s="160"/>
      <c r="Y1909" s="160"/>
      <c r="Z1909" s="160"/>
      <c r="AA1909" s="160"/>
      <c r="AB1909" s="160"/>
      <c r="AC1909" s="160"/>
      <c r="AD1909" s="160"/>
      <c r="AE1909" s="160"/>
      <c r="AF1909" s="160"/>
      <c r="AG1909" s="160"/>
      <c r="AH1909" s="160"/>
      <c r="AI1909" s="160"/>
      <c r="AJ1909" s="179"/>
      <c r="AK1909" s="160"/>
      <c r="AL1909" s="177"/>
      <c r="AM1909" s="177"/>
      <c r="AN1909" s="177"/>
      <c r="AO1909" s="160"/>
      <c r="AP1909" s="160"/>
      <c r="AQ1909" s="160"/>
      <c r="AR1909" s="160"/>
      <c r="AS1909" s="160"/>
      <c r="AT1909" s="160"/>
      <c r="AU1909" s="160"/>
      <c r="AV1909" s="160"/>
      <c r="AW1909" s="160"/>
      <c r="AX1909" s="160"/>
      <c r="AY1909" s="160">
        <f>IF($AY$1804&gt;0,PPMT('Assumptions (MSW)'!$V$6,Model!W$1,'Assumptions (MSW)'!$V$9,'Assumptions (MSW)'!$V$4*Model!$AY$1804*AVERAGE('Assumptions (MSW)'!$AU$2:$AW$2)/10^9),0)</f>
        <v>0</v>
      </c>
      <c r="AZ1909" s="160">
        <f>IF($AY$1804&gt;0,PPMT('Assumptions (MSW)'!$V$6,Model!X$1,'Assumptions (MSW)'!$V$9,'Assumptions (MSW)'!$V$4*Model!$AY$1804*AVERAGE('Assumptions (MSW)'!$AU$2:$AW$2)/10^9),0)</f>
        <v>0</v>
      </c>
      <c r="BA1909" s="160">
        <f>IF($AY$1804&gt;0,PPMT('Assumptions (MSW)'!$V$6,Model!Y$1,'Assumptions (MSW)'!$V$9,'Assumptions (MSW)'!$V$4*Model!$AY$1804*AVERAGE('Assumptions (MSW)'!$AU$2:$AW$2)/10^9),0)</f>
        <v>0</v>
      </c>
      <c r="BB1909" s="160">
        <f>IF($AY$1804&gt;0,PPMT('Assumptions (MSW)'!$V$6,Model!Z$1,'Assumptions (MSW)'!$V$9,'Assumptions (MSW)'!$V$4*Model!$AY$1804*AVERAGE('Assumptions (MSW)'!$AU$2:$AW$2)/10^9),0)</f>
        <v>0</v>
      </c>
      <c r="BC1909" s="160">
        <f>IF($AY$1804&gt;0,PPMT('Assumptions (MSW)'!$V$6,Model!AA$1,'Assumptions (MSW)'!$V$9,'Assumptions (MSW)'!$V$4*Model!$AY$1804*AVERAGE('Assumptions (MSW)'!$AU$2:$AW$2)/10^9),0)</f>
        <v>0</v>
      </c>
      <c r="BD1909" s="160">
        <f>IF($AY$1804&gt;0,PPMT('Assumptions (MSW)'!$V$6,Model!AB$1,'Assumptions (MSW)'!$V$9,'Assumptions (MSW)'!$V$4*Model!$AY$1804*AVERAGE('Assumptions (MSW)'!$AU$2:$AW$2)/10^9),0)</f>
        <v>0</v>
      </c>
      <c r="BE1909" s="160">
        <f>IF($AY$1804&gt;0,PPMT('Assumptions (MSW)'!$V$6,Model!AC$1,'Assumptions (MSW)'!$V$9,'Assumptions (MSW)'!$V$4*Model!$AY$1804*AVERAGE('Assumptions (MSW)'!$AU$2:$AW$2)/10^9),0)</f>
        <v>0</v>
      </c>
      <c r="BF1909" s="160">
        <f>IF($AY$1804&gt;0,PPMT('Assumptions (MSW)'!$V$6,Model!AD$1,'Assumptions (MSW)'!$V$9,'Assumptions (MSW)'!$V$4*Model!$AY$1804*AVERAGE('Assumptions (MSW)'!$AU$2:$AW$2)/10^9),0)</f>
        <v>0</v>
      </c>
      <c r="BG1909" s="160">
        <f>IF($AY$1804&gt;0,PPMT('Assumptions (MSW)'!$V$6,Model!AE$1,'Assumptions (MSW)'!$V$9,'Assumptions (MSW)'!$V$4*Model!$AY$1804*AVERAGE('Assumptions (MSW)'!$AU$2:$AW$2)/10^9),0)</f>
        <v>0</v>
      </c>
      <c r="BH1909" s="160">
        <f>IF($AY$1804&gt;0,PPMT('Assumptions (MSW)'!$V$6,Model!AF$1,'Assumptions (MSW)'!$V$9,'Assumptions (MSW)'!$V$4*Model!$AY$1804*AVERAGE('Assumptions (MSW)'!$AU$2:$AW$2)/10^9),0)</f>
        <v>0</v>
      </c>
      <c r="BI1909" s="160">
        <f>IF($AY$1804&gt;0,PPMT('Assumptions (MSW)'!$V$6,Model!AG$1,'Assumptions (MSW)'!$V$9,'Assumptions (MSW)'!$V$4*Model!$AY$1804*AVERAGE('Assumptions (MSW)'!$AU$2:$AW$2)/10^9),0)</f>
        <v>0</v>
      </c>
      <c r="BJ1909" s="160">
        <f>IF($AY$1804&gt;0,PPMT('Assumptions (MSW)'!$V$6,Model!AH$1,'Assumptions (MSW)'!$V$9,'Assumptions (MSW)'!$V$4*Model!$AY$1804*AVERAGE('Assumptions (MSW)'!$AU$2:$AW$2)/10^9),0)</f>
        <v>0</v>
      </c>
      <c r="BK1909" s="160">
        <f>IF($AY$1804&gt;0,PPMT('Assumptions (MSW)'!$V$6,Model!AI$1,'Assumptions (MSW)'!$V$9,'Assumptions (MSW)'!$V$4*Model!$AY$1804*AVERAGE('Assumptions (MSW)'!$AU$2:$AW$2)/10^9),0)</f>
        <v>0</v>
      </c>
      <c r="BL1909" s="160">
        <f>IF($AY$1804&gt;0,PPMT('Assumptions (MSW)'!$V$6,Model!AJ$1,'Assumptions (MSW)'!$V$9,'Assumptions (MSW)'!$V$4*Model!$AY$1804*AVERAGE('Assumptions (MSW)'!$AU$2:$AW$2)/10^9),0)</f>
        <v>0</v>
      </c>
      <c r="BM1909" s="160">
        <f>IF($AY$1804&gt;0,PPMT('Assumptions (MSW)'!$V$6,Model!AK$1,'Assumptions (MSW)'!$V$9,'Assumptions (MSW)'!$V$4*Model!$AY$1804*AVERAGE('Assumptions (MSW)'!$AU$2:$AW$2)/10^9),0)</f>
        <v>0</v>
      </c>
      <c r="BN1909" s="160"/>
      <c r="BO1909" s="160"/>
      <c r="BP1909" s="160"/>
    </row>
    <row r="1910" ht="15.75" hidden="1" customHeight="1" outlineLevel="1">
      <c r="A1910" s="309"/>
      <c r="B1910" s="38"/>
      <c r="C1910" s="174"/>
      <c r="D1910" s="174"/>
      <c r="E1910" s="174"/>
      <c r="F1910" s="174"/>
      <c r="G1910" s="174"/>
      <c r="H1910" s="174"/>
      <c r="I1910" s="174"/>
      <c r="J1910" s="174"/>
      <c r="K1910" s="174"/>
      <c r="L1910" s="174"/>
      <c r="M1910" s="174"/>
      <c r="N1910" s="174"/>
      <c r="O1910" s="174"/>
      <c r="P1910" s="174"/>
      <c r="Q1910" s="174"/>
      <c r="R1910" s="174"/>
      <c r="S1910" s="174"/>
      <c r="T1910" s="174"/>
      <c r="U1910" s="174"/>
      <c r="V1910" s="174"/>
      <c r="W1910" s="160"/>
      <c r="X1910" s="160"/>
      <c r="Y1910" s="160"/>
      <c r="Z1910" s="160"/>
      <c r="AA1910" s="160"/>
      <c r="AB1910" s="160"/>
      <c r="AC1910" s="160"/>
      <c r="AD1910" s="160"/>
      <c r="AE1910" s="160"/>
      <c r="AF1910" s="160"/>
      <c r="AG1910" s="160"/>
      <c r="AH1910" s="160"/>
      <c r="AI1910" s="160"/>
      <c r="AJ1910" s="179"/>
      <c r="AK1910" s="160"/>
      <c r="AL1910" s="177"/>
      <c r="AM1910" s="177"/>
      <c r="AN1910" s="177"/>
      <c r="AO1910" s="160"/>
      <c r="AP1910" s="160"/>
      <c r="AQ1910" s="160"/>
      <c r="AR1910" s="160"/>
      <c r="AS1910" s="160"/>
      <c r="AT1910" s="160"/>
      <c r="AU1910" s="160"/>
      <c r="AV1910" s="160"/>
      <c r="AW1910" s="160"/>
      <c r="AX1910" s="160"/>
      <c r="AY1910" s="160"/>
      <c r="AZ1910" s="160">
        <f>IF($AZ$1804&gt;0,PPMT('Assumptions (MSW)'!$V$6,Model!W$1,'Assumptions (MSW)'!$V$9,'Assumptions (MSW)'!$V$4*Model!$AZ$1804*AVERAGE('Assumptions (MSW)'!$AV$2:$AX$2)/10^9),0)</f>
        <v>0</v>
      </c>
      <c r="BA1910" s="160">
        <f>IF($AZ$1804&gt;0,PPMT('Assumptions (MSW)'!$V$6,Model!X$1,'Assumptions (MSW)'!$V$9,'Assumptions (MSW)'!$V$4*Model!$AZ$1804*AVERAGE('Assumptions (MSW)'!$AV$2:$AX$2)/10^9),0)</f>
        <v>0</v>
      </c>
      <c r="BB1910" s="160">
        <f>IF($AZ$1804&gt;0,PPMT('Assumptions (MSW)'!$V$6,Model!Y$1,'Assumptions (MSW)'!$V$9,'Assumptions (MSW)'!$V$4*Model!$AZ$1804*AVERAGE('Assumptions (MSW)'!$AV$2:$AX$2)/10^9),0)</f>
        <v>0</v>
      </c>
      <c r="BC1910" s="160">
        <f>IF($AZ$1804&gt;0,PPMT('Assumptions (MSW)'!$V$6,Model!Z$1,'Assumptions (MSW)'!$V$9,'Assumptions (MSW)'!$V$4*Model!$AZ$1804*AVERAGE('Assumptions (MSW)'!$AV$2:$AX$2)/10^9),0)</f>
        <v>0</v>
      </c>
      <c r="BD1910" s="160">
        <f>IF($AZ$1804&gt;0,PPMT('Assumptions (MSW)'!$V$6,Model!AA$1,'Assumptions (MSW)'!$V$9,'Assumptions (MSW)'!$V$4*Model!$AZ$1804*AVERAGE('Assumptions (MSW)'!$AV$2:$AX$2)/10^9),0)</f>
        <v>0</v>
      </c>
      <c r="BE1910" s="160">
        <f>IF($AZ$1804&gt;0,PPMT('Assumptions (MSW)'!$V$6,Model!AB$1,'Assumptions (MSW)'!$V$9,'Assumptions (MSW)'!$V$4*Model!$AZ$1804*AVERAGE('Assumptions (MSW)'!$AV$2:$AX$2)/10^9),0)</f>
        <v>0</v>
      </c>
      <c r="BF1910" s="160">
        <f>IF($AZ$1804&gt;0,PPMT('Assumptions (MSW)'!$V$6,Model!AC$1,'Assumptions (MSW)'!$V$9,'Assumptions (MSW)'!$V$4*Model!$AZ$1804*AVERAGE('Assumptions (MSW)'!$AV$2:$AX$2)/10^9),0)</f>
        <v>0</v>
      </c>
      <c r="BG1910" s="160">
        <f>IF($AZ$1804&gt;0,PPMT('Assumptions (MSW)'!$V$6,Model!AD$1,'Assumptions (MSW)'!$V$9,'Assumptions (MSW)'!$V$4*Model!$AZ$1804*AVERAGE('Assumptions (MSW)'!$AV$2:$AX$2)/10^9),0)</f>
        <v>0</v>
      </c>
      <c r="BH1910" s="160">
        <f>IF($AZ$1804&gt;0,PPMT('Assumptions (MSW)'!$V$6,Model!AE$1,'Assumptions (MSW)'!$V$9,'Assumptions (MSW)'!$V$4*Model!$AZ$1804*AVERAGE('Assumptions (MSW)'!$AV$2:$AX$2)/10^9),0)</f>
        <v>0</v>
      </c>
      <c r="BI1910" s="160">
        <f>IF($AZ$1804&gt;0,PPMT('Assumptions (MSW)'!$V$6,Model!AF$1,'Assumptions (MSW)'!$V$9,'Assumptions (MSW)'!$V$4*Model!$AZ$1804*AVERAGE('Assumptions (MSW)'!$AV$2:$AX$2)/10^9),0)</f>
        <v>0</v>
      </c>
      <c r="BJ1910" s="160">
        <f>IF($AZ$1804&gt;0,PPMT('Assumptions (MSW)'!$V$6,Model!AG$1,'Assumptions (MSW)'!$V$9,'Assumptions (MSW)'!$V$4*Model!$AZ$1804*AVERAGE('Assumptions (MSW)'!$AV$2:$AX$2)/10^9),0)</f>
        <v>0</v>
      </c>
      <c r="BK1910" s="160">
        <f>IF($AZ$1804&gt;0,PPMT('Assumptions (MSW)'!$V$6,Model!AH$1,'Assumptions (MSW)'!$V$9,'Assumptions (MSW)'!$V$4*Model!$AZ$1804*AVERAGE('Assumptions (MSW)'!$AV$2:$AX$2)/10^9),0)</f>
        <v>0</v>
      </c>
      <c r="BL1910" s="160">
        <f>IF($AZ$1804&gt;0,PPMT('Assumptions (MSW)'!$V$6,Model!AI$1,'Assumptions (MSW)'!$V$9,'Assumptions (MSW)'!$V$4*Model!$AZ$1804*AVERAGE('Assumptions (MSW)'!$AV$2:$AX$2)/10^9),0)</f>
        <v>0</v>
      </c>
      <c r="BM1910" s="160">
        <f>IF($AZ$1804&gt;0,PPMT('Assumptions (MSW)'!$V$6,Model!AJ$1,'Assumptions (MSW)'!$V$9,'Assumptions (MSW)'!$V$4*Model!$AZ$1804*AVERAGE('Assumptions (MSW)'!$AV$2:$AX$2)/10^9),0)</f>
        <v>0</v>
      </c>
      <c r="BN1910" s="160">
        <f>IF($AZ$1804&gt;0,PPMT('Assumptions (MSW)'!$V$6,Model!AK$1,'Assumptions (MSW)'!$V$9,'Assumptions (MSW)'!$V$4*Model!$AZ$1804*AVERAGE('Assumptions (MSW)'!$AV$2:$AX$2)/10^9),0)</f>
        <v>0</v>
      </c>
      <c r="BO1910" s="160"/>
      <c r="BP1910" s="160"/>
    </row>
    <row r="1911" ht="15.75" hidden="1" customHeight="1" outlineLevel="1">
      <c r="A1911" s="309"/>
      <c r="B1911" s="38"/>
      <c r="C1911" s="174"/>
      <c r="D1911" s="174"/>
      <c r="E1911" s="174"/>
      <c r="F1911" s="174"/>
      <c r="G1911" s="174"/>
      <c r="H1911" s="174"/>
      <c r="I1911" s="174"/>
      <c r="J1911" s="174"/>
      <c r="K1911" s="174"/>
      <c r="L1911" s="174"/>
      <c r="M1911" s="174"/>
      <c r="N1911" s="174"/>
      <c r="O1911" s="174"/>
      <c r="P1911" s="174"/>
      <c r="Q1911" s="174"/>
      <c r="R1911" s="174"/>
      <c r="S1911" s="174"/>
      <c r="T1911" s="174"/>
      <c r="U1911" s="174"/>
      <c r="V1911" s="174"/>
      <c r="W1911" s="160"/>
      <c r="X1911" s="160"/>
      <c r="Y1911" s="160"/>
      <c r="Z1911" s="160"/>
      <c r="AA1911" s="160"/>
      <c r="AB1911" s="160"/>
      <c r="AC1911" s="160"/>
      <c r="AD1911" s="160"/>
      <c r="AE1911" s="160"/>
      <c r="AF1911" s="160"/>
      <c r="AG1911" s="160"/>
      <c r="AH1911" s="160"/>
      <c r="AI1911" s="160"/>
      <c r="AJ1911" s="179"/>
      <c r="AK1911" s="160"/>
      <c r="AL1911" s="177"/>
      <c r="AM1911" s="177"/>
      <c r="AN1911" s="177"/>
      <c r="AO1911" s="160"/>
      <c r="AP1911" s="160"/>
      <c r="AQ1911" s="160"/>
      <c r="AR1911" s="160"/>
      <c r="AS1911" s="160"/>
      <c r="AT1911" s="160"/>
      <c r="AU1911" s="160"/>
      <c r="AV1911" s="160"/>
      <c r="AW1911" s="160"/>
      <c r="AX1911" s="160"/>
      <c r="AY1911" s="160"/>
      <c r="AZ1911" s="160"/>
      <c r="BA1911" s="160">
        <f>IF($BA$1804&gt;0,PPMT('Assumptions (MSW)'!$V$6,Model!W$1,'Assumptions (MSW)'!$V$9,'Assumptions (MSW)'!$V$4*Model!$BA$1804*AVERAGE('Assumptions (MSW)'!$AW$2:$AY$2)/10^9),0)</f>
        <v>0</v>
      </c>
      <c r="BB1911" s="160">
        <f>IF($BA$1804&gt;0,PPMT('Assumptions (MSW)'!$V$6,Model!X$1,'Assumptions (MSW)'!$V$9,'Assumptions (MSW)'!$V$4*Model!$BA$1804*AVERAGE('Assumptions (MSW)'!$AW$2:$AY$2)/10^9),0)</f>
        <v>0</v>
      </c>
      <c r="BC1911" s="160">
        <f>IF($BA$1804&gt;0,PPMT('Assumptions (MSW)'!$V$6,Model!Y$1,'Assumptions (MSW)'!$V$9,'Assumptions (MSW)'!$V$4*Model!$BA$1804*AVERAGE('Assumptions (MSW)'!$AW$2:$AY$2)/10^9),0)</f>
        <v>0</v>
      </c>
      <c r="BD1911" s="160">
        <f>IF($BA$1804&gt;0,PPMT('Assumptions (MSW)'!$V$6,Model!Z$1,'Assumptions (MSW)'!$V$9,'Assumptions (MSW)'!$V$4*Model!$BA$1804*AVERAGE('Assumptions (MSW)'!$AW$2:$AY$2)/10^9),0)</f>
        <v>0</v>
      </c>
      <c r="BE1911" s="160">
        <f>IF($BA$1804&gt;0,PPMT('Assumptions (MSW)'!$V$6,Model!AA$1,'Assumptions (MSW)'!$V$9,'Assumptions (MSW)'!$V$4*Model!$BA$1804*AVERAGE('Assumptions (MSW)'!$AW$2:$AY$2)/10^9),0)</f>
        <v>0</v>
      </c>
      <c r="BF1911" s="160">
        <f>IF($BA$1804&gt;0,PPMT('Assumptions (MSW)'!$V$6,Model!AB$1,'Assumptions (MSW)'!$V$9,'Assumptions (MSW)'!$V$4*Model!$BA$1804*AVERAGE('Assumptions (MSW)'!$AW$2:$AY$2)/10^9),0)</f>
        <v>0</v>
      </c>
      <c r="BG1911" s="160">
        <f>IF($BA$1804&gt;0,PPMT('Assumptions (MSW)'!$V$6,Model!AC$1,'Assumptions (MSW)'!$V$9,'Assumptions (MSW)'!$V$4*Model!$BA$1804*AVERAGE('Assumptions (MSW)'!$AW$2:$AY$2)/10^9),0)</f>
        <v>0</v>
      </c>
      <c r="BH1911" s="160">
        <f>IF($BA$1804&gt;0,PPMT('Assumptions (MSW)'!$V$6,Model!AD$1,'Assumptions (MSW)'!$V$9,'Assumptions (MSW)'!$V$4*Model!$BA$1804*AVERAGE('Assumptions (MSW)'!$AW$2:$AY$2)/10^9),0)</f>
        <v>0</v>
      </c>
      <c r="BI1911" s="160">
        <f>IF($BA$1804&gt;0,PPMT('Assumptions (MSW)'!$V$6,Model!AE$1,'Assumptions (MSW)'!$V$9,'Assumptions (MSW)'!$V$4*Model!$BA$1804*AVERAGE('Assumptions (MSW)'!$AW$2:$AY$2)/10^9),0)</f>
        <v>0</v>
      </c>
      <c r="BJ1911" s="160">
        <f>IF($BA$1804&gt;0,PPMT('Assumptions (MSW)'!$V$6,Model!AF$1,'Assumptions (MSW)'!$V$9,'Assumptions (MSW)'!$V$4*Model!$BA$1804*AVERAGE('Assumptions (MSW)'!$AW$2:$AY$2)/10^9),0)</f>
        <v>0</v>
      </c>
      <c r="BK1911" s="160">
        <f>IF($BA$1804&gt;0,PPMT('Assumptions (MSW)'!$V$6,Model!AG$1,'Assumptions (MSW)'!$V$9,'Assumptions (MSW)'!$V$4*Model!$BA$1804*AVERAGE('Assumptions (MSW)'!$AW$2:$AY$2)/10^9),0)</f>
        <v>0</v>
      </c>
      <c r="BL1911" s="160">
        <f>IF($BA$1804&gt;0,PPMT('Assumptions (MSW)'!$V$6,Model!AH$1,'Assumptions (MSW)'!$V$9,'Assumptions (MSW)'!$V$4*Model!$BA$1804*AVERAGE('Assumptions (MSW)'!$AW$2:$AY$2)/10^9),0)</f>
        <v>0</v>
      </c>
      <c r="BM1911" s="160">
        <f>IF($BA$1804&gt;0,PPMT('Assumptions (MSW)'!$V$6,Model!AI$1,'Assumptions (MSW)'!$V$9,'Assumptions (MSW)'!$V$4*Model!$BA$1804*AVERAGE('Assumptions (MSW)'!$AW$2:$AY$2)/10^9),0)</f>
        <v>0</v>
      </c>
      <c r="BN1911" s="160">
        <f>IF($BA$1804&gt;0,PPMT('Assumptions (MSW)'!$V$6,Model!AJ$1,'Assumptions (MSW)'!$V$9,'Assumptions (MSW)'!$V$4*Model!$BA$1804*AVERAGE('Assumptions (MSW)'!$AW$2:$AY$2)/10^9),0)</f>
        <v>0</v>
      </c>
      <c r="BO1911" s="160">
        <f>IF($BA$1804&gt;0,PPMT('Assumptions (MSW)'!$V$6,Model!AK$1,'Assumptions (MSW)'!$V$9,'Assumptions (MSW)'!$V$4*Model!$BA$1804*AVERAGE('Assumptions (MSW)'!$AW$2:$AY$2)/10^9),0)</f>
        <v>0</v>
      </c>
      <c r="BP1911" s="160"/>
    </row>
    <row r="1912" ht="15.75" customHeight="1" collapsed="1">
      <c r="A1912" s="310" t="s">
        <v>360</v>
      </c>
      <c r="B1912" s="150" t="s">
        <v>351</v>
      </c>
      <c r="C1912" s="177">
        <f t="array" ref="C1912">SUM(IF(ISERROR(C1913:C1963),"",C1913:C1963))</f>
        <v>-0.004133215131</v>
      </c>
      <c r="D1912" s="177">
        <f t="array" ref="D1912">SUM(IF(ISERROR(D1913:D1963),"",D1913:D1963))</f>
        <v>-0.01924437736</v>
      </c>
      <c r="E1912" s="177">
        <f t="array" ref="E1912">SUM(IF(ISERROR(E1913:E1963),"",E1913:E1963))</f>
        <v>-0.02247450872</v>
      </c>
      <c r="F1912" s="177">
        <f t="array" ref="F1912">SUM(IF(ISERROR(F1913:F1963),"",F1913:F1963))</f>
        <v>-0.03541162797</v>
      </c>
      <c r="G1912" s="177">
        <f t="array" ref="G1912">SUM(IF(ISERROR(G1913:G1963),"",G1913:G1963))</f>
        <v>-0.04070645504</v>
      </c>
      <c r="H1912" s="177">
        <f t="array" ref="H1912">SUM(IF(ISERROR(H1913:H1963),"",H1913:H1963))</f>
        <v>-0.04626786853</v>
      </c>
      <c r="I1912" s="177">
        <f t="array" ref="I1912">SUM(IF(ISERROR(I1913:I1963),"",I1913:I1963))</f>
        <v>-0.06595814301</v>
      </c>
      <c r="J1912" s="177">
        <f t="array" ref="J1912">SUM(IF(ISERROR(J1913:J1963),"",J1913:J1963))</f>
        <v>-0.08612466178</v>
      </c>
      <c r="K1912" s="177">
        <f t="array" ref="K1912">SUM(IF(ISERROR(K1913:K1963),"",K1913:K1963))</f>
        <v>-0.1056680834</v>
      </c>
      <c r="L1912" s="177">
        <f t="array" ref="L1912">SUM(IF(ISERROR(L1913:L1963),"",L1913:L1963))</f>
        <v>-0.1243753577</v>
      </c>
      <c r="M1912" s="177">
        <f t="array" ref="M1912">SUM(IF(ISERROR(M1913:M1963),"",M1913:M1963))</f>
        <v>-0.1441710005</v>
      </c>
      <c r="N1912" s="177">
        <f t="array" ref="N1912">SUM(IF(ISERROR(N1913:N1963),"",N1913:N1963))</f>
        <v>-0.1629668992</v>
      </c>
      <c r="O1912" s="177">
        <f t="array" ref="O1912">SUM(IF(ISERROR(O1913:O1963),"",O1913:O1963))</f>
        <v>-0.1866809598</v>
      </c>
      <c r="P1912" s="177">
        <f t="array" ref="P1912">SUM(IF(ISERROR(P1913:P1963),"",P1913:P1963))</f>
        <v>-0.2018287488</v>
      </c>
      <c r="Q1912" s="177">
        <f t="array" ref="Q1912">SUM(IF(ISERROR(Q1913:Q1963),"",Q1913:Q1963))</f>
        <v>-0.2045055292</v>
      </c>
      <c r="R1912" s="177">
        <f t="array" ref="R1912">SUM(IF(ISERROR(R1913:R1963),"",R1913:R1963))</f>
        <v>-0.2086166581</v>
      </c>
      <c r="S1912" s="177">
        <f t="array" ref="S1912">SUM(IF(ISERROR(S1913:S1963),"",S1913:S1963))</f>
        <v>-0.2075812767</v>
      </c>
      <c r="T1912" s="177">
        <f t="array" ref="T1912">SUM(IF(ISERROR(T1913:T1963),"",T1913:T1963))</f>
        <v>-0.1951121379</v>
      </c>
      <c r="U1912" s="177">
        <f t="array" ref="U1912">SUM(IF(ISERROR(U1913:U1963),"",U1913:U1963))</f>
        <v>-0.1750263406</v>
      </c>
      <c r="V1912" s="177">
        <f t="array" ref="V1912">SUM(IF(ISERROR(V1913:V1963),"",V1913:V1963))</f>
        <v>-0.1559995503</v>
      </c>
      <c r="W1912" s="177">
        <f t="array" ref="W1912">SUM(IF(ISERROR(W1913:W1963),"",W1913:W1963))</f>
        <v>-0.1355666658</v>
      </c>
      <c r="X1912" s="177">
        <f t="array" ref="X1912">SUM(IF(ISERROR(X1913:X1963),"",X1913:X1963))</f>
        <v>-0.1149095712</v>
      </c>
      <c r="Y1912" s="177">
        <f t="array" ref="Y1912">SUM(IF(ISERROR(Y1913:Y1963),"",Y1913:Y1963))</f>
        <v>-0.09540159125</v>
      </c>
      <c r="Z1912" s="177">
        <f t="array" ref="Z1912">SUM(IF(ISERROR(Z1913:Z1963),"",Z1913:Z1963))</f>
        <v>-0.07725561487</v>
      </c>
      <c r="AA1912" s="177">
        <f t="array" ref="AA1912">SUM(IF(ISERROR(AA1913:AA1963),"",AA1913:AA1963))</f>
        <v>-0.06060336429</v>
      </c>
      <c r="AB1912" s="177">
        <f t="array" ref="AB1912">SUM(IF(ISERROR(AB1913:AB1963),"",AB1913:AB1963))</f>
        <v>-0.04557179061</v>
      </c>
      <c r="AC1912" s="177">
        <f t="array" ref="AC1912">SUM(IF(ISERROR(AC1913:AC1963),"",AC1913:AC1963))</f>
        <v>-0.03248523376</v>
      </c>
      <c r="AD1912" s="177">
        <f t="array" ref="AD1912">SUM(IF(ISERROR(AD1913:AD1963),"",AD1913:AD1963))</f>
        <v>-0.02150418459</v>
      </c>
      <c r="AE1912" s="177">
        <f t="array" ref="AE1912">SUM(IF(ISERROR(AE1913:AE1963),"",AE1913:AE1963))</f>
        <v>-0.01336825688</v>
      </c>
      <c r="AF1912" s="177">
        <f t="array" ref="AF1912">SUM(IF(ISERROR(AF1913:AF1963),"",AF1913:AF1963))</f>
        <v>-0.007613391029</v>
      </c>
      <c r="AG1912" s="177">
        <f t="array" ref="AG1912">SUM(IF(ISERROR(AG1913:AG1963),"",AG1913:AG1963))</f>
        <v>-0.003365408114</v>
      </c>
      <c r="AH1912" s="177">
        <f t="array" ref="AH1912">SUM(IF(ISERROR(AH1913:AH1963),"",AH1913:AH1963))</f>
        <v>-0.0009883309573</v>
      </c>
      <c r="AI1912" s="177">
        <f t="array" ref="AI1912">SUM(IF(ISERROR(AI1913:AI1963),"",AI1913:AI1963))</f>
        <v>-0.0002242907442</v>
      </c>
      <c r="AJ1912" s="177">
        <f t="array" ref="AJ1912">SUM(IF(ISERROR(AJ1913:AJ1963),"",AJ1913:AJ1963))</f>
        <v>-0.00009770057348</v>
      </c>
      <c r="AK1912" s="177">
        <f t="array" ref="AK1912">SUM(IF(ISERROR(AK1913:AK1963),"",AK1913:AK1963))</f>
        <v>0</v>
      </c>
      <c r="AL1912" s="177">
        <f t="array" ref="AL1912">SUM(IF(ISERROR(AL1913:AL1963),"",AL1913:AL1963))</f>
        <v>0</v>
      </c>
      <c r="AM1912" s="177">
        <f t="array" ref="AM1912">SUM(IF(ISERROR(AM1913:AM1963),"",AM1913:AM1963))</f>
        <v>0</v>
      </c>
      <c r="AN1912" s="177">
        <f t="array" ref="AN1912">SUM(IF(ISERROR(AN1913:AN1963),"",AN1913:AN1963))</f>
        <v>0</v>
      </c>
      <c r="AO1912" s="177">
        <f t="array" ref="AO1912">SUM(IF(ISERROR(AO1913:AO1963),"",AO1913:AO1963))</f>
        <v>0</v>
      </c>
      <c r="AP1912" s="177">
        <f t="array" ref="AP1912">SUM(IF(ISERROR(AP1913:AP1963),"",AP1913:AP1963))</f>
        <v>0</v>
      </c>
      <c r="AQ1912" s="177">
        <f t="array" ref="AQ1912">SUM(IF(ISERROR(AQ1913:AQ1963),"",AQ1913:AQ1963))</f>
        <v>0</v>
      </c>
      <c r="AR1912" s="177">
        <f t="array" ref="AR1912">SUM(IF(ISERROR(AR1913:AR1963),"",AR1913:AR1963))</f>
        <v>0</v>
      </c>
      <c r="AS1912" s="177">
        <f t="array" ref="AS1912">SUM(IF(ISERROR(AS1913:AS1963),"",AS1913:AS1963))</f>
        <v>0</v>
      </c>
      <c r="AT1912" s="177">
        <f t="array" ref="AT1912">SUM(IF(ISERROR(AT1913:AT1963),"",AT1913:AT1963))</f>
        <v>0</v>
      </c>
      <c r="AU1912" s="177">
        <f t="array" ref="AU1912">SUM(IF(ISERROR(AU1913:AU1963),"",AU1913:AU1963))</f>
        <v>0</v>
      </c>
      <c r="AV1912" s="177">
        <f t="array" ref="AV1912">SUM(IF(ISERROR(AV1913:AV1963),"",AV1913:AV1963))</f>
        <v>0</v>
      </c>
      <c r="AW1912" s="177">
        <f t="array" ref="AW1912">SUM(IF(ISERROR(AW1913:AW1963),"",AW1913:AW1963))</f>
        <v>0</v>
      </c>
      <c r="AX1912" s="177">
        <f t="array" ref="AX1912">SUM(IF(ISERROR(AX1913:AX1963),"",AX1913:AX1963))</f>
        <v>0</v>
      </c>
      <c r="AY1912" s="177">
        <f t="array" ref="AY1912">SUM(IF(ISERROR(AY1913:AY1963),"",AY1913:AY1963))</f>
        <v>0</v>
      </c>
      <c r="AZ1912" s="177">
        <f t="array" ref="AZ1912">SUM(IF(ISERROR(AZ1913:AZ1963),"",AZ1913:AZ1963))</f>
        <v>0</v>
      </c>
      <c r="BA1912" s="177">
        <f t="array" ref="BA1912">SUM(IF(ISERROR(BA1913:BA1963),"",BA1913:BA1963))</f>
        <v>0</v>
      </c>
      <c r="BB1912" s="177">
        <f t="array" ref="BB1912">SUM(IF(ISERROR(BB1913:BB1963),"",BB1913:BB1963))</f>
        <v>0</v>
      </c>
      <c r="BC1912" s="177">
        <f t="array" ref="BC1912">SUM(IF(ISERROR(BC1913:BC1963),"",BC1913:BC1963))</f>
        <v>0</v>
      </c>
      <c r="BD1912" s="177">
        <f t="array" ref="BD1912">SUM(IF(ISERROR(BD1913:BD1963),"",BD1913:BD1963))</f>
        <v>0</v>
      </c>
      <c r="BE1912" s="177">
        <f t="array" ref="BE1912">SUM(IF(ISERROR(BE1913:BE1963),"",BE1913:BE1963))</f>
        <v>0</v>
      </c>
      <c r="BF1912" s="177">
        <f t="array" ref="BF1912">SUM(IF(ISERROR(BF1913:BF1963),"",BF1913:BF1963))</f>
        <v>0</v>
      </c>
      <c r="BG1912" s="177">
        <f t="array" ref="BG1912">SUM(IF(ISERROR(BG1913:BG1963),"",BG1913:BG1963))</f>
        <v>0</v>
      </c>
      <c r="BH1912" s="177">
        <f t="array" ref="BH1912">SUM(IF(ISERROR(BH1913:BH1963),"",BH1913:BH1963))</f>
        <v>0</v>
      </c>
      <c r="BI1912" s="177">
        <f t="array" ref="BI1912">SUM(IF(ISERROR(BI1913:BI1963),"",BI1913:BI1963))</f>
        <v>0</v>
      </c>
      <c r="BJ1912" s="177">
        <f t="array" ref="BJ1912">SUM(IF(ISERROR(BJ1913:BJ1963),"",BJ1913:BJ1963))</f>
        <v>0</v>
      </c>
      <c r="BK1912" s="177">
        <f t="array" ref="BK1912">SUM(IF(ISERROR(BK1913:BK1963),"",BK1913:BK1963))</f>
        <v>0</v>
      </c>
      <c r="BL1912" s="177">
        <f t="array" ref="BL1912">SUM(IF(ISERROR(BL1913:BL1963),"",BL1913:BL1963))</f>
        <v>0</v>
      </c>
      <c r="BM1912" s="177">
        <f t="array" ref="BM1912">SUM(IF(ISERROR(BM1913:BM1963),"",BM1913:BM1963))</f>
        <v>0</v>
      </c>
      <c r="BN1912" s="177">
        <f t="array" ref="BN1912">SUM(IF(ISERROR(BN1913:BN1963),"",BN1913:BN1963))</f>
        <v>0</v>
      </c>
      <c r="BO1912" s="177">
        <f t="array" ref="BO1912">SUM(IF(ISERROR(BO1913:BO1963),"",BO1913:BO1963))</f>
        <v>0</v>
      </c>
    </row>
    <row r="1913" ht="15.75" hidden="1" customHeight="1" outlineLevel="1">
      <c r="A1913" s="309"/>
      <c r="B1913" s="38"/>
      <c r="C1913" s="177">
        <f>IF($C$1804&gt;0,IPMT('Assumptions (MSW)'!$V$6,Model!W$1,'Assumptions (MSW)'!$V$9,'Assumptions (MSW)'!$V$4*Model!$C$1804*'Assumptions (MSW)'!$B$2/10^9),0)</f>
        <v>-0.004133215131</v>
      </c>
      <c r="D1913" s="177">
        <f>IF($C$1804&gt;0,IPMT('Assumptions (MSW)'!$V$6,Model!X$1,'Assumptions (MSW)'!$V$9,'Assumptions (MSW)'!$V$4*Model!$C$1804*'Assumptions (MSW)'!$B$2/10^9),0)</f>
        <v>-0.003938040023</v>
      </c>
      <c r="E1913" s="177">
        <f>IF($C$1804&gt;0,IPMT('Assumptions (MSW)'!$V$6,Model!Y$1,'Assumptions (MSW)'!$V$9,'Assumptions (MSW)'!$V$4*Model!$C$1804*'Assumptions (MSW)'!$B$2/10^9),0)</f>
        <v>-0.003733594099</v>
      </c>
      <c r="F1913" s="177">
        <f>IF($C$1804&gt;0,IPMT('Assumptions (MSW)'!$V$6,Model!Z$1,'Assumptions (MSW)'!$V$9,'Assumptions (MSW)'!$V$4*Model!$C$1804*'Assumptions (MSW)'!$B$2/10^9),0)</f>
        <v>-0.003519436992</v>
      </c>
      <c r="G1913" s="177">
        <f>IF($C$1804&gt;0,IPMT('Assumptions (MSW)'!$V$6,Model!AA$1,'Assumptions (MSW)'!$V$9,'Assumptions (MSW)'!$V$4*Model!$C$1804*'Assumptions (MSW)'!$B$2/10^9),0)</f>
        <v>-0.003295107424</v>
      </c>
      <c r="H1913" s="177">
        <f>IF($C$1804&gt;0,IPMT('Assumptions (MSW)'!$V$6,Model!AB$1,'Assumptions (MSW)'!$V$9,'Assumptions (MSW)'!$V$4*Model!$C$1804*'Assumptions (MSW)'!$B$2/10^9),0)</f>
        <v>-0.0030601222</v>
      </c>
      <c r="I1913" s="177">
        <f>IF($C$1804&gt;0,IPMT('Assumptions (MSW)'!$V$6,Model!AC$1,'Assumptions (MSW)'!$V$9,'Assumptions (MSW)'!$V$4*Model!$C$1804*'Assumptions (MSW)'!$B$2/10^9),0)</f>
        <v>-0.002813975179</v>
      </c>
      <c r="J1913" s="177">
        <f>IF($C$1804&gt;0,IPMT('Assumptions (MSW)'!$V$6,Model!AD$1,'Assumptions (MSW)'!$V$9,'Assumptions (MSW)'!$V$4*Model!$C$1804*'Assumptions (MSW)'!$B$2/10^9),0)</f>
        <v>-0.002556136174</v>
      </c>
      <c r="K1913" s="177">
        <f>IF($C$1804&gt;0,IPMT('Assumptions (MSW)'!$V$6,Model!AE$1,'Assumptions (MSW)'!$V$9,'Assumptions (MSW)'!$V$4*Model!$C$1804*'Assumptions (MSW)'!$B$2/10^9),0)</f>
        <v>-0.002286049816</v>
      </c>
      <c r="L1913" s="177">
        <f>IF($C$1804&gt;0,IPMT('Assumptions (MSW)'!$V$6,Model!AF$1,'Assumptions (MSW)'!$V$9,'Assumptions (MSW)'!$V$4*Model!$C$1804*'Assumptions (MSW)'!$B$2/10^9),0)</f>
        <v>-0.002003134356</v>
      </c>
      <c r="M1913" s="177">
        <f>IF($C$1804&gt;0,IPMT('Assumptions (MSW)'!$V$6,Model!AG$1,'Assumptions (MSW)'!$V$9,'Assumptions (MSW)'!$V$4*Model!$C$1804*'Assumptions (MSW)'!$B$2/10^9),0)</f>
        <v>-0.001706780412</v>
      </c>
      <c r="N1913" s="177">
        <f>IF($C$1804&gt;0,IPMT('Assumptions (MSW)'!$V$6,Model!AH$1,'Assumptions (MSW)'!$V$9,'Assumptions (MSW)'!$V$4*Model!$C$1804*'Assumptions (MSW)'!$B$2/10^9),0)</f>
        <v>-0.001396349656</v>
      </c>
      <c r="O1913" s="177">
        <f>IF($C$1804&gt;0,IPMT('Assumptions (MSW)'!$V$6,Model!AI$1,'Assumptions (MSW)'!$V$9,'Assumptions (MSW)'!$V$4*Model!$C$1804*'Assumptions (MSW)'!$B$2/10^9),0)</f>
        <v>-0.001071173439</v>
      </c>
      <c r="P1913" s="177">
        <f>IF($C$1804&gt;0,IPMT('Assumptions (MSW)'!$V$6,Model!AJ$1,'Assumptions (MSW)'!$V$9,'Assumptions (MSW)'!$V$4*Model!$C$1804*'Assumptions (MSW)'!$B$2/10^9),0)</f>
        <v>-0.0007305513513</v>
      </c>
      <c r="Q1913" s="177">
        <f>IF($C$1804&gt;0,IPMT('Assumptions (MSW)'!$V$6,Model!AK$1,'Assumptions (MSW)'!$V$9,'Assumptions (MSW)'!$V$4*Model!$C$1804*'Assumptions (MSW)'!$B$2/10^9),0)</f>
        <v>-0.0003737497145</v>
      </c>
      <c r="R1913" s="177"/>
      <c r="S1913" s="177"/>
      <c r="T1913" s="177"/>
      <c r="U1913" s="177"/>
      <c r="V1913" s="177"/>
      <c r="W1913" s="177"/>
      <c r="X1913" s="177"/>
      <c r="Y1913" s="177"/>
      <c r="Z1913" s="177"/>
      <c r="AA1913" s="177"/>
      <c r="AB1913" s="160"/>
      <c r="AC1913" s="160"/>
      <c r="AD1913" s="160"/>
      <c r="AE1913" s="160"/>
      <c r="AF1913" s="160"/>
      <c r="AG1913" s="160"/>
    </row>
    <row r="1914" ht="15.75" hidden="1" customHeight="1" outlineLevel="1">
      <c r="A1914" s="309"/>
      <c r="B1914" s="38"/>
      <c r="C1914" s="160"/>
      <c r="D1914" s="177">
        <f>IF($D$1804&gt;0,IPMT('Assumptions (MSW)'!$V$6,Model!W$1,'Assumptions (MSW)'!$V$9,'Assumptions (MSW)'!$V$4*Model!$D$1804*'Assumptions (MSW)'!$B$2/10^9),0)</f>
        <v>-0.01530633733</v>
      </c>
      <c r="E1914" s="177">
        <f>IF($D$1804&gt;0,IPMT('Assumptions (MSW)'!$V$6,Model!X$1,'Assumptions (MSW)'!$V$9,'Assumptions (MSW)'!$V$4*Model!$D$1804*'Assumptions (MSW)'!$B$2/10^9),0)</f>
        <v>-0.01458355472</v>
      </c>
      <c r="F1914" s="177">
        <f>IF($D$1804&gt;0,IPMT('Assumptions (MSW)'!$V$6,Model!Y$1,'Assumptions (MSW)'!$V$9,'Assumptions (MSW)'!$V$4*Model!$D$1804*'Assumptions (MSW)'!$B$2/10^9),0)</f>
        <v>-0.01382643993</v>
      </c>
      <c r="G1914" s="177">
        <f>IF($D$1804&gt;0,IPMT('Assumptions (MSW)'!$V$6,Model!Z$1,'Assumptions (MSW)'!$V$9,'Assumptions (MSW)'!$V$4*Model!$D$1804*'Assumptions (MSW)'!$B$2/10^9),0)</f>
        <v>-0.0130333622</v>
      </c>
      <c r="H1914" s="177">
        <f>IF($D$1804&gt;0,IPMT('Assumptions (MSW)'!$V$6,Model!AA$1,'Assumptions (MSW)'!$V$9,'Assumptions (MSW)'!$V$4*Model!$D$1804*'Assumptions (MSW)'!$B$2/10^9),0)</f>
        <v>-0.01220261326</v>
      </c>
      <c r="I1914" s="177">
        <f>IF($D$1804&gt;0,IPMT('Assumptions (MSW)'!$V$6,Model!AB$1,'Assumptions (MSW)'!$V$9,'Assumptions (MSW)'!$V$4*Model!$D$1804*'Assumptions (MSW)'!$B$2/10^9),0)</f>
        <v>-0.01133240376</v>
      </c>
      <c r="J1914" s="177">
        <f>IF($D$1804&gt;0,IPMT('Assumptions (MSW)'!$V$6,Model!AC$1,'Assumptions (MSW)'!$V$9,'Assumptions (MSW)'!$V$4*Model!$D$1804*'Assumptions (MSW)'!$B$2/10^9),0)</f>
        <v>-0.0104208593</v>
      </c>
      <c r="K1914" s="177">
        <f>IF($D$1804&gt;0,IPMT('Assumptions (MSW)'!$V$6,Model!AD$1,'Assumptions (MSW)'!$V$9,'Assumptions (MSW)'!$V$4*Model!$D$1804*'Assumptions (MSW)'!$B$2/10^9),0)</f>
        <v>-0.009466016481</v>
      </c>
      <c r="L1914" s="177">
        <f>IF($D$1804&gt;0,IPMT('Assumptions (MSW)'!$V$6,Model!AE$1,'Assumptions (MSW)'!$V$9,'Assumptions (MSW)'!$V$4*Model!$D$1804*'Assumptions (MSW)'!$B$2/10^9),0)</f>
        <v>-0.008465818628</v>
      </c>
      <c r="M1914" s="177">
        <f>IF($D$1804&gt;0,IPMT('Assumptions (MSW)'!$V$6,Model!AF$1,'Assumptions (MSW)'!$V$9,'Assumptions (MSW)'!$V$4*Model!$D$1804*'Assumptions (MSW)'!$B$2/10^9),0)</f>
        <v>-0.007418111377</v>
      </c>
      <c r="N1914" s="177">
        <f>IF($D$1804&gt;0,IPMT('Assumptions (MSW)'!$V$6,Model!AG$1,'Assumptions (MSW)'!$V$9,'Assumptions (MSW)'!$V$4*Model!$D$1804*'Assumptions (MSW)'!$B$2/10^9),0)</f>
        <v>-0.006320638032</v>
      </c>
      <c r="O1914" s="177">
        <f>IF($D$1804&gt;0,IPMT('Assumptions (MSW)'!$V$6,Model!AH$1,'Assumptions (MSW)'!$V$9,'Assumptions (MSW)'!$V$4*Model!$D$1804*'Assumptions (MSW)'!$B$2/10^9),0)</f>
        <v>-0.005171034702</v>
      </c>
      <c r="P1914" s="177">
        <f>IF($D$1804&gt;0,IPMT('Assumptions (MSW)'!$V$6,Model!AI$1,'Assumptions (MSW)'!$V$9,'Assumptions (MSW)'!$V$4*Model!$D$1804*'Assumptions (MSW)'!$B$2/10^9),0)</f>
        <v>-0.003966825215</v>
      </c>
      <c r="Q1914" s="177">
        <f>IF($D$1804&gt;0,IPMT('Assumptions (MSW)'!$V$6,Model!AJ$1,'Assumptions (MSW)'!$V$9,'Assumptions (MSW)'!$V$4*Model!$D$1804*'Assumptions (MSW)'!$B$2/10^9),0)</f>
        <v>-0.002705415776</v>
      </c>
      <c r="R1914" s="177">
        <f>IF($D$1804&gt;0,IPMT('Assumptions (MSW)'!$V$6,Model!AK$1,'Assumptions (MSW)'!$V$9,'Assumptions (MSW)'!$V$4*Model!$D$1804*'Assumptions (MSW)'!$B$2/10^9),0)</f>
        <v>-0.00138408939</v>
      </c>
      <c r="S1914" s="177"/>
      <c r="T1914" s="177"/>
      <c r="U1914" s="177"/>
      <c r="V1914" s="177"/>
      <c r="W1914" s="177"/>
      <c r="X1914" s="177"/>
      <c r="Y1914" s="177"/>
      <c r="Z1914" s="177"/>
      <c r="AA1914" s="177"/>
      <c r="AB1914" s="177"/>
      <c r="AC1914" s="160"/>
      <c r="AD1914" s="160"/>
      <c r="AE1914" s="160"/>
      <c r="AF1914" s="160"/>
      <c r="AG1914" s="160"/>
    </row>
    <row r="1915" ht="15.75" hidden="1" customHeight="1" outlineLevel="1">
      <c r="A1915" s="309"/>
      <c r="B1915" s="38"/>
      <c r="C1915" s="160"/>
      <c r="D1915" s="160"/>
      <c r="E1915" s="160">
        <f>IF($E$1804&gt;0,IPMT('Assumptions (MSW)'!$V$6,Model!W$1,'Assumptions (MSW)'!$V$9,'Assumptions (MSW)'!$V$4*Model!$E$1804*AVERAGE('Assumptions (MSW)'!$B$2:$C$2)/10^9),0)</f>
        <v>-0.004157359896</v>
      </c>
      <c r="F1915" s="160">
        <f>IF($E$1804&gt;0,IPMT('Assumptions (MSW)'!$V$6,Model!X$1,'Assumptions (MSW)'!$V$9,'Assumptions (MSW)'!$V$4*Model!$E$1804*AVERAGE('Assumptions (MSW)'!$B$2:$C$2)/10^9),0)</f>
        <v>-0.003961044646</v>
      </c>
      <c r="G1915" s="160">
        <f>IF($E$1804&gt;0,IPMT('Assumptions (MSW)'!$V$6,Model!Y$1,'Assumptions (MSW)'!$V$9,'Assumptions (MSW)'!$V$4*Model!$E$1804*AVERAGE('Assumptions (MSW)'!$B$2:$C$2)/10^9),0)</f>
        <v>-0.003755404421</v>
      </c>
      <c r="H1915" s="160">
        <f>IF($E$1804&gt;0,IPMT('Assumptions (MSW)'!$V$6,Model!Z$1,'Assumptions (MSW)'!$V$9,'Assumptions (MSW)'!$V$4*Model!$E$1804*AVERAGE('Assumptions (MSW)'!$B$2:$C$2)/10^9),0)</f>
        <v>-0.003539996285</v>
      </c>
      <c r="I1915" s="160">
        <f>IF($E$1804&gt;0,IPMT('Assumptions (MSW)'!$V$6,Model!AA$1,'Assumptions (MSW)'!$V$9,'Assumptions (MSW)'!$V$4*Model!$E$1804*AVERAGE('Assumptions (MSW)'!$B$2:$C$2)/10^9),0)</f>
        <v>-0.003314356263</v>
      </c>
      <c r="J1915" s="160">
        <f>IF($E$1804&gt;0,IPMT('Assumptions (MSW)'!$V$6,Model!AB$1,'Assumptions (MSW)'!$V$9,'Assumptions (MSW)'!$V$4*Model!$E$1804*AVERAGE('Assumptions (MSW)'!$B$2:$C$2)/10^9),0)</f>
        <v>-0.00307799834</v>
      </c>
      <c r="K1915" s="160">
        <f>IF($E$1804&gt;0,IPMT('Assumptions (MSW)'!$V$6,Model!AC$1,'Assumptions (MSW)'!$V$9,'Assumptions (MSW)'!$V$4*Model!$E$1804*AVERAGE('Assumptions (MSW)'!$B$2:$C$2)/10^9),0)</f>
        <v>-0.002830413416</v>
      </c>
      <c r="L1915" s="160">
        <f>IF($E$1804&gt;0,IPMT('Assumptions (MSW)'!$V$6,Model!AD$1,'Assumptions (MSW)'!$V$9,'Assumptions (MSW)'!$V$4*Model!$E$1804*AVERAGE('Assumptions (MSW)'!$B$2:$C$2)/10^9),0)</f>
        <v>-0.002571068208</v>
      </c>
      <c r="M1915" s="160">
        <f>IF($E$1804&gt;0,IPMT('Assumptions (MSW)'!$V$6,Model!AE$1,'Assumptions (MSW)'!$V$9,'Assumptions (MSW)'!$V$4*Model!$E$1804*AVERAGE('Assumptions (MSW)'!$B$2:$C$2)/10^9),0)</f>
        <v>-0.002299404102</v>
      </c>
      <c r="N1915" s="177">
        <f>IF($E$1804&gt;0,IPMT('Assumptions (MSW)'!$V$6,Model!AF$1,'Assumptions (MSW)'!$V$9,'Assumptions (MSW)'!$V$4*Model!$E$1804*AVERAGE('Assumptions (MSW)'!$B$2:$C$2)/10^9),0)</f>
        <v>-0.002014835951</v>
      </c>
      <c r="O1915" s="160">
        <f>IF($E$1804&gt;0,IPMT('Assumptions (MSW)'!$V$6,Model!AG$1,'Assumptions (MSW)'!$V$9,'Assumptions (MSW)'!$V$4*Model!$E$1804*AVERAGE('Assumptions (MSW)'!$B$2:$C$2)/10^9),0)</f>
        <v>-0.001716750814</v>
      </c>
      <c r="P1915" s="160">
        <f>IF($E$1804&gt;0,IPMT('Assumptions (MSW)'!$V$6,Model!AH$1,'Assumptions (MSW)'!$V$9,'Assumptions (MSW)'!$V$4*Model!$E$1804*AVERAGE('Assumptions (MSW)'!$B$2:$C$2)/10^9),0)</f>
        <v>-0.001404506632</v>
      </c>
      <c r="Q1915" s="160">
        <f>IF($E$1804&gt;0,IPMT('Assumptions (MSW)'!$V$6,Model!AI$1,'Assumptions (MSW)'!$V$9,'Assumptions (MSW)'!$V$4*Model!$E$1804*AVERAGE('Assumptions (MSW)'!$B$2:$C$2)/10^9),0)</f>
        <v>-0.001077430851</v>
      </c>
      <c r="R1915" s="160">
        <f>IF($E$1804&gt;0,IPMT('Assumptions (MSW)'!$V$6,Model!AJ$1,'Assumptions (MSW)'!$V$9,'Assumptions (MSW)'!$V$4*Model!$E$1804*AVERAGE('Assumptions (MSW)'!$B$2:$C$2)/10^9),0)</f>
        <v>-0.0007348189711</v>
      </c>
      <c r="S1915" s="160">
        <f>IF($E$1804&gt;0,IPMT('Assumptions (MSW)'!$V$6,Model!AK$1,'Assumptions (MSW)'!$V$9,'Assumptions (MSW)'!$V$4*Model!$E$1804*AVERAGE('Assumptions (MSW)'!$B$2:$C$2)/10^9),0)</f>
        <v>-0.0003759330268</v>
      </c>
      <c r="T1915" s="160"/>
      <c r="U1915" s="160"/>
      <c r="V1915" s="160"/>
      <c r="W1915" s="160"/>
      <c r="X1915" s="160"/>
      <c r="Y1915" s="160"/>
      <c r="Z1915" s="160"/>
      <c r="AA1915" s="160"/>
      <c r="AB1915" s="160"/>
      <c r="AC1915" s="160"/>
      <c r="AD1915" s="160"/>
      <c r="AE1915" s="160"/>
      <c r="AF1915" s="160"/>
      <c r="AG1915" s="160"/>
    </row>
    <row r="1916" ht="15.75" hidden="1" customHeight="1" outlineLevel="1">
      <c r="A1916" s="309"/>
      <c r="B1916" s="38"/>
      <c r="C1916" s="160"/>
      <c r="D1916" s="160"/>
      <c r="E1916" s="160"/>
      <c r="F1916" s="160">
        <f>IF($F$1804&gt;0,IPMT('Assumptions (MSW)'!$V$6,Model!W$1,'Assumptions (MSW)'!$V$9,'Assumptions (MSW)'!$V$4*Model!$F$1804*AVERAGE('Assumptions (MSW)'!$B$2:$D$2)/10^9),0)</f>
        <v>-0.0141047064</v>
      </c>
      <c r="G1916" s="160">
        <f>IF($F$1804&gt;0,IPMT('Assumptions (MSW)'!$V$6,Model!X$1,'Assumptions (MSW)'!$V$9,'Assumptions (MSW)'!$V$4*Model!$F$1804*AVERAGE('Assumptions (MSW)'!$B$2:$D$2)/10^9),0)</f>
        <v>-0.01343866617</v>
      </c>
      <c r="H1916" s="160">
        <f>IF($F$1804&gt;0,IPMT('Assumptions (MSW)'!$V$6,Model!Y$1,'Assumptions (MSW)'!$V$9,'Assumptions (MSW)'!$V$4*Model!$F$1804*AVERAGE('Assumptions (MSW)'!$B$2:$D$2)/10^9),0)</f>
        <v>-0.01274098902</v>
      </c>
      <c r="I1916" s="160">
        <f>IF($F$1804&gt;0,IPMT('Assumptions (MSW)'!$V$6,Model!Z$1,'Assumptions (MSW)'!$V$9,'Assumptions (MSW)'!$V$4*Model!$F$1804*AVERAGE('Assumptions (MSW)'!$B$2:$D$2)/10^9),0)</f>
        <v>-0.0120101722</v>
      </c>
      <c r="J1916" s="160">
        <f>IF($F$1804&gt;0,IPMT('Assumptions (MSW)'!$V$6,Model!AA$1,'Assumptions (MSW)'!$V$9,'Assumptions (MSW)'!$V$4*Model!$F$1804*AVERAGE('Assumptions (MSW)'!$B$2:$D$2)/10^9),0)</f>
        <v>-0.01124464159</v>
      </c>
      <c r="K1916" s="160">
        <f>IF($F$1804&gt;0,IPMT('Assumptions (MSW)'!$V$6,Model!AB$1,'Assumptions (MSW)'!$V$9,'Assumptions (MSW)'!$V$4*Model!$F$1804*AVERAGE('Assumptions (MSW)'!$B$2:$D$2)/10^9),0)</f>
        <v>-0.01044274828</v>
      </c>
      <c r="L1916" s="160">
        <f>IF($F$1804&gt;0,IPMT('Assumptions (MSW)'!$V$6,Model!AC$1,'Assumptions (MSW)'!$V$9,'Assumptions (MSW)'!$V$4*Model!$F$1804*AVERAGE('Assumptions (MSW)'!$B$2:$D$2)/10^9),0)</f>
        <v>-0.00960276503</v>
      </c>
      <c r="M1916" s="160">
        <f>IF($F$1804&gt;0,IPMT('Assumptions (MSW)'!$V$6,Model!AD$1,'Assumptions (MSW)'!$V$9,'Assumptions (MSW)'!$V$4*Model!$F$1804*AVERAGE('Assumptions (MSW)'!$B$2:$D$2)/10^9),0)</f>
        <v>-0.008722882578</v>
      </c>
      <c r="N1916" s="177">
        <f>IF($F$1804&gt;0,IPMT('Assumptions (MSW)'!$V$6,Model!AE$1,'Assumptions (MSW)'!$V$9,'Assumptions (MSW)'!$V$4*Model!$F$1804*AVERAGE('Assumptions (MSW)'!$B$2:$D$2)/10^9),0)</f>
        <v>-0.00780120571</v>
      </c>
      <c r="O1916" s="160">
        <f>IF($F$1804&gt;0,IPMT('Assumptions (MSW)'!$V$6,Model!AF$1,'Assumptions (MSW)'!$V$9,'Assumptions (MSW)'!$V$4*Model!$F$1804*AVERAGE('Assumptions (MSW)'!$B$2:$D$2)/10^9),0)</f>
        <v>-0.00683574919</v>
      </c>
      <c r="P1916" s="160">
        <f>IF($F$1804&gt;0,IPMT('Assumptions (MSW)'!$V$6,Model!AG$1,'Assumptions (MSW)'!$V$9,'Assumptions (MSW)'!$V$4*Model!$F$1804*AVERAGE('Assumptions (MSW)'!$B$2:$D$2)/10^9),0)</f>
        <v>-0.005824433486</v>
      </c>
      <c r="Q1916" s="160">
        <f>IF($F$1804&gt;0,IPMT('Assumptions (MSW)'!$V$6,Model!AH$1,'Assumptions (MSW)'!$V$9,'Assumptions (MSW)'!$V$4*Model!$F$1804*AVERAGE('Assumptions (MSW)'!$B$2:$D$2)/10^9),0)</f>
        <v>-0.004765080285</v>
      </c>
      <c r="R1916" s="160">
        <f>IF($F$1804&gt;0,IPMT('Assumptions (MSW)'!$V$6,Model!AI$1,'Assumptions (MSW)'!$V$9,'Assumptions (MSW)'!$V$4*Model!$F$1804*AVERAGE('Assumptions (MSW)'!$B$2:$D$2)/10^9),0)</f>
        <v>-0.003655407808</v>
      </c>
      <c r="S1916" s="160">
        <f>IF($F$1804&gt;0,IPMT('Assumptions (MSW)'!$V$6,Model!AJ$1,'Assumptions (MSW)'!$V$9,'Assumptions (MSW)'!$V$4*Model!$F$1804*AVERAGE('Assumptions (MSW)'!$B$2:$D$2)/10^9),0)</f>
        <v>-0.002493025888</v>
      </c>
      <c r="T1916" s="160">
        <f>IF($F$1804&gt;0,IPMT('Assumptions (MSW)'!$V$6,Model!AK$1,'Assumptions (MSW)'!$V$9,'Assumptions (MSW)'!$V$4*Model!$F$1804*AVERAGE('Assumptions (MSW)'!$B$2:$D$2)/10^9),0)</f>
        <v>-0.001275430827</v>
      </c>
      <c r="U1916" s="160"/>
      <c r="V1916" s="160"/>
      <c r="W1916" s="160"/>
      <c r="X1916" s="160"/>
      <c r="Y1916" s="160"/>
      <c r="Z1916" s="160"/>
      <c r="AA1916" s="160"/>
      <c r="AB1916" s="160"/>
      <c r="AC1916" s="160"/>
      <c r="AD1916" s="160"/>
      <c r="AE1916" s="160"/>
      <c r="AF1916" s="160"/>
      <c r="AG1916" s="160"/>
    </row>
    <row r="1917" ht="15.75" hidden="1" customHeight="1" outlineLevel="1">
      <c r="A1917" s="309"/>
      <c r="B1917" s="38"/>
      <c r="C1917" s="160"/>
      <c r="D1917" s="160"/>
      <c r="E1917" s="160"/>
      <c r="F1917" s="160"/>
      <c r="G1917" s="160">
        <f>IF($G$1804&gt;0,IPMT('Assumptions (MSW)'!$V$6,Model!W$1,'Assumptions (MSW)'!$V$9,'Assumptions (MSW)'!$V$4*Model!$G$1804*AVERAGE('Assumptions (MSW)'!$C$2:$E$2)/10^9),0)</f>
        <v>-0.007183914834</v>
      </c>
      <c r="H1917" s="160">
        <f>IF($G$1804&gt;0,IPMT('Assumptions (MSW)'!$V$6,Model!X$1,'Assumptions (MSW)'!$V$9,'Assumptions (MSW)'!$V$4*Model!$G$1804*AVERAGE('Assumptions (MSW)'!$C$2:$E$2)/10^9),0)</f>
        <v>-0.006844682226</v>
      </c>
      <c r="I1917" s="160">
        <f>IF($G$1804&gt;0,IPMT('Assumptions (MSW)'!$V$6,Model!Y$1,'Assumptions (MSW)'!$V$9,'Assumptions (MSW)'!$V$4*Model!$G$1804*AVERAGE('Assumptions (MSW)'!$C$2:$E$2)/10^9),0)</f>
        <v>-0.006489336069</v>
      </c>
      <c r="J1917" s="160">
        <f>IF($G$1804&gt;0,IPMT('Assumptions (MSW)'!$V$6,Model!Z$1,'Assumptions (MSW)'!$V$9,'Assumptions (MSW)'!$V$4*Model!$G$1804*AVERAGE('Assumptions (MSW)'!$C$2:$E$2)/10^9),0)</f>
        <v>-0.00611711097</v>
      </c>
      <c r="K1917" s="160">
        <f>IF($G$1804&gt;0,IPMT('Assumptions (MSW)'!$V$6,Model!AA$1,'Assumptions (MSW)'!$V$9,'Assumptions (MSW)'!$V$4*Model!$G$1804*AVERAGE('Assumptions (MSW)'!$C$2:$E$2)/10^9),0)</f>
        <v>-0.005727205178</v>
      </c>
      <c r="L1917" s="160">
        <f>IF($G$1804&gt;0,IPMT('Assumptions (MSW)'!$V$6,Model!AB$1,'Assumptions (MSW)'!$V$9,'Assumptions (MSW)'!$V$4*Model!$G$1804*AVERAGE('Assumptions (MSW)'!$C$2:$E$2)/10^9),0)</f>
        <v>-0.005318778862</v>
      </c>
      <c r="M1917" s="160">
        <f>IF($G$1804&gt;0,IPMT('Assumptions (MSW)'!$V$6,Model!AC$1,'Assumptions (MSW)'!$V$9,'Assumptions (MSW)'!$V$4*Model!$G$1804*AVERAGE('Assumptions (MSW)'!$C$2:$E$2)/10^9),0)</f>
        <v>-0.004890952295</v>
      </c>
      <c r="N1917" s="160">
        <f>IF($G$1804&gt;0,IPMT('Assumptions (MSW)'!$V$6,Model!AD$1,'Assumptions (MSW)'!$V$9,'Assumptions (MSW)'!$V$4*Model!$G$1804*AVERAGE('Assumptions (MSW)'!$C$2:$E$2)/10^9),0)</f>
        <v>-0.004442803966</v>
      </c>
      <c r="O1917" s="160">
        <f>IF($G$1804&gt;0,IPMT('Assumptions (MSW)'!$V$6,Model!AE$1,'Assumptions (MSW)'!$V$9,'Assumptions (MSW)'!$V$4*Model!$G$1804*AVERAGE('Assumptions (MSW)'!$C$2:$E$2)/10^9),0)</f>
        <v>-0.003973368592</v>
      </c>
      <c r="P1917" s="160">
        <f>IF($G$1804&gt;0,IPMT('Assumptions (MSW)'!$V$6,Model!AF$1,'Assumptions (MSW)'!$V$9,'Assumptions (MSW)'!$V$4*Model!$G$1804*AVERAGE('Assumptions (MSW)'!$C$2:$E$2)/10^9),0)</f>
        <v>-0.003481635038</v>
      </c>
      <c r="Q1917" s="160">
        <f>IF($G$1804&gt;0,IPMT('Assumptions (MSW)'!$V$6,Model!AG$1,'Assumptions (MSW)'!$V$9,'Assumptions (MSW)'!$V$4*Model!$G$1804*AVERAGE('Assumptions (MSW)'!$C$2:$E$2)/10^9),0)</f>
        <v>-0.00296654414</v>
      </c>
      <c r="R1917" s="160">
        <f>IF($G$1804&gt;0,IPMT('Assumptions (MSW)'!$V$6,Model!AH$1,'Assumptions (MSW)'!$V$9,'Assumptions (MSW)'!$V$4*Model!$G$1804*AVERAGE('Assumptions (MSW)'!$C$2:$E$2)/10^9),0)</f>
        <v>-0.002426986424</v>
      </c>
      <c r="S1917" s="160">
        <f>IF($G$1804&gt;0,IPMT('Assumptions (MSW)'!$V$6,Model!AI$1,'Assumptions (MSW)'!$V$9,'Assumptions (MSW)'!$V$4*Model!$G$1804*AVERAGE('Assumptions (MSW)'!$C$2:$E$2)/10^9),0)</f>
        <v>-0.001861799716</v>
      </c>
      <c r="T1917" s="160">
        <f>IF($G$1804&gt;0,IPMT('Assumptions (MSW)'!$V$6,Model!AJ$1,'Assumptions (MSW)'!$V$9,'Assumptions (MSW)'!$V$4*Model!$G$1804*AVERAGE('Assumptions (MSW)'!$C$2:$E$2)/10^9),0)</f>
        <v>-0.00126976664</v>
      </c>
      <c r="U1917" s="160">
        <f>IF($G$1804&gt;0,IPMT('Assumptions (MSW)'!$V$6,Model!AK$1,'Assumptions (MSW)'!$V$9,'Assumptions (MSW)'!$V$4*Model!$G$1804*AVERAGE('Assumptions (MSW)'!$C$2:$E$2)/10^9),0)</f>
        <v>-0.0006496119929</v>
      </c>
      <c r="V1917" s="160"/>
      <c r="W1917" s="160"/>
      <c r="X1917" s="160"/>
      <c r="Y1917" s="160"/>
      <c r="Z1917" s="160"/>
      <c r="AA1917" s="160"/>
      <c r="AB1917" s="160"/>
      <c r="AC1917" s="160"/>
      <c r="AD1917" s="160"/>
      <c r="AE1917" s="160"/>
      <c r="AF1917" s="160"/>
      <c r="AG1917" s="160"/>
    </row>
    <row r="1918" ht="15.75" hidden="1" customHeight="1" outlineLevel="1">
      <c r="A1918" s="309"/>
      <c r="B1918" s="38"/>
      <c r="C1918" s="160"/>
      <c r="D1918" s="160"/>
      <c r="E1918" s="160"/>
      <c r="F1918" s="160"/>
      <c r="G1918" s="160"/>
      <c r="H1918" s="160">
        <f>IF($H$1804&gt;0,IPMT('Assumptions (MSW)'!$V$6,Model!W$1,'Assumptions (MSW)'!$V$9,'Assumptions (MSW)'!$V$4*Model!$H$1804*AVERAGE('Assumptions (MSW)'!$D$2:$F$2)/10^9),0)</f>
        <v>-0.007879465539</v>
      </c>
      <c r="I1918" s="160">
        <f>IF($H$1804&gt;0,IPMT('Assumptions (MSW)'!$V$6,Model!X$1,'Assumptions (MSW)'!$V$9,'Assumptions (MSW)'!$V$4*Model!$H$1804*AVERAGE('Assumptions (MSW)'!$D$2:$F$2)/10^9),0)</f>
        <v>-0.007507388238</v>
      </c>
      <c r="J1918" s="160">
        <f>IF($H$1804&gt;0,IPMT('Assumptions (MSW)'!$V$6,Model!Y$1,'Assumptions (MSW)'!$V$9,'Assumptions (MSW)'!$V$4*Model!$H$1804*AVERAGE('Assumptions (MSW)'!$D$2:$F$2)/10^9),0)</f>
        <v>-0.007117637265</v>
      </c>
      <c r="K1918" s="160">
        <f>IF($H$1804&gt;0,IPMT('Assumptions (MSW)'!$V$6,Model!Z$1,'Assumptions (MSW)'!$V$9,'Assumptions (MSW)'!$V$4*Model!$H$1804*AVERAGE('Assumptions (MSW)'!$D$2:$F$2)/10^9),0)</f>
        <v>-0.006709373121</v>
      </c>
      <c r="L1918" s="160">
        <f>IF($H$1804&gt;0,IPMT('Assumptions (MSW)'!$V$6,Model!AA$1,'Assumptions (MSW)'!$V$9,'Assumptions (MSW)'!$V$4*Model!$H$1804*AVERAGE('Assumptions (MSW)'!$D$2:$F$2)/10^9),0)</f>
        <v>-0.006281716429</v>
      </c>
      <c r="M1918" s="160">
        <f>IF($H$1804&gt;0,IPMT('Assumptions (MSW)'!$V$6,Model!AB$1,'Assumptions (MSW)'!$V$9,'Assumptions (MSW)'!$V$4*Model!$H$1804*AVERAGE('Assumptions (MSW)'!$D$2:$F$2)/10^9),0)</f>
        <v>-0.005833746045</v>
      </c>
      <c r="N1918" s="160">
        <f>IF($H$1804&gt;0,IPMT('Assumptions (MSW)'!$V$6,Model!AC$1,'Assumptions (MSW)'!$V$9,'Assumptions (MSW)'!$V$4*Model!$H$1804*AVERAGE('Assumptions (MSW)'!$D$2:$F$2)/10^9),0)</f>
        <v>-0.005364497068</v>
      </c>
      <c r="O1918" s="160">
        <f>IF($H$1804&gt;0,IPMT('Assumptions (MSW)'!$V$6,Model!AD$1,'Assumptions (MSW)'!$V$9,'Assumptions (MSW)'!$V$4*Model!$H$1804*AVERAGE('Assumptions (MSW)'!$D$2:$F$2)/10^9),0)</f>
        <v>-0.004872958764</v>
      </c>
      <c r="P1918" s="160">
        <f>IF($H$1804&gt;0,IPMT('Assumptions (MSW)'!$V$6,Model!AE$1,'Assumptions (MSW)'!$V$9,'Assumptions (MSW)'!$V$4*Model!$H$1804*AVERAGE('Assumptions (MSW)'!$D$2:$F$2)/10^9),0)</f>
        <v>-0.004358072391</v>
      </c>
      <c r="Q1918" s="160">
        <f>IF($H$1804&gt;0,IPMT('Assumptions (MSW)'!$V$6,Model!AF$1,'Assumptions (MSW)'!$V$9,'Assumptions (MSW)'!$V$4*Model!$H$1804*AVERAGE('Assumptions (MSW)'!$D$2:$F$2)/10^9),0)</f>
        <v>-0.003818728915</v>
      </c>
      <c r="R1918" s="160">
        <f>IF($H$1804&gt;0,IPMT('Assumptions (MSW)'!$V$6,Model!AG$1,'Assumptions (MSW)'!$V$9,'Assumptions (MSW)'!$V$4*Model!$H$1804*AVERAGE('Assumptions (MSW)'!$D$2:$F$2)/10^9),0)</f>
        <v>-0.003253766624</v>
      </c>
      <c r="S1918" s="160">
        <f>IF($H$1804&gt;0,IPMT('Assumptions (MSW)'!$V$6,Model!AH$1,'Assumptions (MSW)'!$V$9,'Assumptions (MSW)'!$V$4*Model!$H$1804*AVERAGE('Assumptions (MSW)'!$D$2:$F$2)/10^9),0)</f>
        <v>-0.002661968625</v>
      </c>
      <c r="T1918" s="160">
        <f>IF($H$1804&gt;0,IPMT('Assumptions (MSW)'!$V$6,Model!AI$1,'Assumptions (MSW)'!$V$9,'Assumptions (MSW)'!$V$4*Model!$H$1804*AVERAGE('Assumptions (MSW)'!$D$2:$F$2)/10^9),0)</f>
        <v>-0.00204206022</v>
      </c>
      <c r="U1918" s="160">
        <f>IF($H$1804&gt;0,IPMT('Assumptions (MSW)'!$V$6,Model!AJ$1,'Assumptions (MSW)'!$V$9,'Assumptions (MSW)'!$V$4*Model!$H$1804*AVERAGE('Assumptions (MSW)'!$D$2:$F$2)/10^9),0)</f>
        <v>-0.001392706166</v>
      </c>
      <c r="V1918" s="160">
        <f>IF($H$1804&gt;0,IPMT('Assumptions (MSW)'!$V$6,Model!AK$1,'Assumptions (MSW)'!$V$9,'Assumptions (MSW)'!$V$4*Model!$H$1804*AVERAGE('Assumptions (MSW)'!$D$2:$F$2)/10^9),0)</f>
        <v>-0.0007125077942</v>
      </c>
      <c r="W1918" s="160"/>
      <c r="X1918" s="160"/>
      <c r="Y1918" s="160"/>
      <c r="Z1918" s="160"/>
      <c r="AA1918" s="160"/>
      <c r="AB1918" s="160"/>
      <c r="AC1918" s="160"/>
      <c r="AD1918" s="160"/>
      <c r="AE1918" s="160"/>
      <c r="AF1918" s="160"/>
      <c r="AG1918" s="160"/>
    </row>
    <row r="1919" ht="15.75" hidden="1" customHeight="1" outlineLevel="1">
      <c r="A1919" s="309"/>
      <c r="B1919" s="38"/>
      <c r="C1919" s="160"/>
      <c r="D1919" s="160"/>
      <c r="E1919" s="160"/>
      <c r="F1919" s="160"/>
      <c r="G1919" s="160"/>
      <c r="H1919" s="160"/>
      <c r="I1919" s="160">
        <f>IF($I$1804&gt;0,IPMT('Assumptions (MSW)'!$V$6,Model!W$1,'Assumptions (MSW)'!$V$9,'Assumptions (MSW)'!$V$4*Model!$I$1804*AVERAGE('Assumptions (MSW)'!$E$2:$G$2)/10^9),0)</f>
        <v>-0.02249051129</v>
      </c>
      <c r="J1919" s="160">
        <f>IF($I$1804&gt;0,IPMT('Assumptions (MSW)'!$V$6,Model!X$1,'Assumptions (MSW)'!$V$9,'Assumptions (MSW)'!$V$4*Model!$I$1804*AVERAGE('Assumptions (MSW)'!$E$2:$G$2)/10^9),0)</f>
        <v>-0.02142848384</v>
      </c>
      <c r="K1919" s="160">
        <f>IF($I$1804&gt;0,IPMT('Assumptions (MSW)'!$V$6,Model!Y$1,'Assumptions (MSW)'!$V$9,'Assumptions (MSW)'!$V$4*Model!$I$1804*AVERAGE('Assumptions (MSW)'!$E$2:$G$2)/10^9),0)</f>
        <v>-0.02031601008</v>
      </c>
      <c r="L1919" s="160">
        <f>IF($I$1804&gt;0,IPMT('Assumptions (MSW)'!$V$6,Model!Z$1,'Assumptions (MSW)'!$V$9,'Assumptions (MSW)'!$V$4*Model!$I$1804*AVERAGE('Assumptions (MSW)'!$E$2:$G$2)/10^9),0)</f>
        <v>-0.01915069381</v>
      </c>
      <c r="M1919" s="160">
        <f>IF($I$1804&gt;0,IPMT('Assumptions (MSW)'!$V$6,Model!AA$1,'Assumptions (MSW)'!$V$9,'Assumptions (MSW)'!$V$4*Model!$I$1804*AVERAGE('Assumptions (MSW)'!$E$2:$G$2)/10^9),0)</f>
        <v>-0.01793002502</v>
      </c>
      <c r="N1919" s="160">
        <f>IF($I$1804&gt;0,IPMT('Assumptions (MSW)'!$V$6,Model!AB$1,'Assumptions (MSW)'!$V$9,'Assumptions (MSW)'!$V$4*Model!$I$1804*AVERAGE('Assumptions (MSW)'!$E$2:$G$2)/10^9),0)</f>
        <v>-0.01665137447</v>
      </c>
      <c r="O1919" s="160">
        <f>IF($I$1804&gt;0,IPMT('Assumptions (MSW)'!$V$6,Model!AC$1,'Assumptions (MSW)'!$V$9,'Assumptions (MSW)'!$V$4*Model!$I$1804*AVERAGE('Assumptions (MSW)'!$E$2:$G$2)/10^9),0)</f>
        <v>-0.01531198801</v>
      </c>
      <c r="P1919" s="160">
        <f>IF($I$1804&gt;0,IPMT('Assumptions (MSW)'!$V$6,Model!AD$1,'Assumptions (MSW)'!$V$9,'Assumptions (MSW)'!$V$4*Model!$I$1804*AVERAGE('Assumptions (MSW)'!$E$2:$G$2)/10^9),0)</f>
        <v>-0.0139089807</v>
      </c>
      <c r="Q1919" s="160">
        <f>IF($I$1804&gt;0,IPMT('Assumptions (MSW)'!$V$6,Model!AE$1,'Assumptions (MSW)'!$V$9,'Assumptions (MSW)'!$V$4*Model!$I$1804*AVERAGE('Assumptions (MSW)'!$E$2:$G$2)/10^9),0)</f>
        <v>-0.01243933054</v>
      </c>
      <c r="R1919" s="160">
        <f>IF($I$1804&gt;0,IPMT('Assumptions (MSW)'!$V$6,Model!AF$1,'Assumptions (MSW)'!$V$9,'Assumptions (MSW)'!$V$4*Model!$I$1804*AVERAGE('Assumptions (MSW)'!$E$2:$G$2)/10^9),0)</f>
        <v>-0.010899872</v>
      </c>
      <c r="S1919" s="160">
        <f>IF($I$1804&gt;0,IPMT('Assumptions (MSW)'!$V$6,Model!AG$1,'Assumptions (MSW)'!$V$9,'Assumptions (MSW)'!$V$4*Model!$I$1804*AVERAGE('Assumptions (MSW)'!$E$2:$G$2)/10^9),0)</f>
        <v>-0.009287289176</v>
      </c>
      <c r="T1919" s="160">
        <f>IF($I$1804&gt;0,IPMT('Assumptions (MSW)'!$V$6,Model!AH$1,'Assumptions (MSW)'!$V$9,'Assumptions (MSW)'!$V$4*Model!$I$1804*AVERAGE('Assumptions (MSW)'!$E$2:$G$2)/10^9),0)</f>
        <v>-0.007598108668</v>
      </c>
      <c r="U1919" s="160">
        <f>IF($I$1804&gt;0,IPMT('Assumptions (MSW)'!$V$6,Model!AI$1,'Assumptions (MSW)'!$V$9,'Assumptions (MSW)'!$V$4*Model!$I$1804*AVERAGE('Assumptions (MSW)'!$E$2:$G$2)/10^9),0)</f>
        <v>-0.005828692087</v>
      </c>
      <c r="V1919" s="160">
        <f>IF($I$1804&gt;0,IPMT('Assumptions (MSW)'!$V$6,Model!AJ$1,'Assumptions (MSW)'!$V$9,'Assumptions (MSW)'!$V$4*Model!$I$1804*AVERAGE('Assumptions (MSW)'!$E$2:$G$2)/10^9),0)</f>
        <v>-0.003975228218</v>
      </c>
      <c r="W1919" s="160">
        <f>IF($I$1804&gt;0,IPMT('Assumptions (MSW)'!$V$6,Model!AK$1,'Assumptions (MSW)'!$V$9,'Assumptions (MSW)'!$V$4*Model!$I$1804*AVERAGE('Assumptions (MSW)'!$E$2:$G$2)/10^9),0)</f>
        <v>-0.002033724815</v>
      </c>
      <c r="X1919" s="160"/>
      <c r="Y1919" s="160"/>
      <c r="Z1919" s="160"/>
      <c r="AA1919" s="160"/>
      <c r="AB1919" s="160"/>
      <c r="AC1919" s="160"/>
      <c r="AD1919" s="160"/>
      <c r="AE1919" s="160"/>
      <c r="AF1919" s="160"/>
      <c r="AG1919" s="160"/>
    </row>
    <row r="1920" ht="15.75" hidden="1" customHeight="1" outlineLevel="1">
      <c r="A1920" s="309"/>
      <c r="B1920" s="38"/>
      <c r="C1920" s="160"/>
      <c r="D1920" s="160"/>
      <c r="E1920" s="160"/>
      <c r="F1920" s="160"/>
      <c r="G1920" s="160"/>
      <c r="H1920" s="160"/>
      <c r="I1920" s="160"/>
      <c r="J1920" s="160">
        <f>IF($J$1804&gt;0,IPMT('Assumptions (MSW)'!$V$6,Model!W$1,'Assumptions (MSW)'!$V$9,'Assumptions (MSW)'!$V$4*Model!$J$1804*AVERAGE('Assumptions (MSW)'!$F$2:$H$2)/10^9),0)</f>
        <v>-0.0241617943</v>
      </c>
      <c r="K1920" s="160">
        <f>IF($J$1804&gt;0,IPMT('Assumptions (MSW)'!$V$6,Model!X$1,'Assumptions (MSW)'!$V$9,'Assumptions (MSW)'!$V$4*Model!$J$1804*AVERAGE('Assumptions (MSW)'!$F$2:$H$2)/10^9),0)</f>
        <v>-0.02302084697</v>
      </c>
      <c r="L1920" s="160">
        <f>IF($J$1804&gt;0,IPMT('Assumptions (MSW)'!$V$6,Model!Y$1,'Assumptions (MSW)'!$V$9,'Assumptions (MSW)'!$V$4*Model!$J$1804*AVERAGE('Assumptions (MSW)'!$F$2:$H$2)/10^9),0)</f>
        <v>-0.02182570463</v>
      </c>
      <c r="M1920" s="160">
        <f>IF($J$1804&gt;0,IPMT('Assumptions (MSW)'!$V$6,Model!Z$1,'Assumptions (MSW)'!$V$9,'Assumptions (MSW)'!$V$4*Model!$J$1804*AVERAGE('Assumptions (MSW)'!$F$2:$H$2)/10^9),0)</f>
        <v>-0.02057379304</v>
      </c>
      <c r="N1920" s="160">
        <f>IF($J$1804&gt;0,IPMT('Assumptions (MSW)'!$V$6,Model!AA$1,'Assumptions (MSW)'!$V$9,'Assumptions (MSW)'!$V$4*Model!$J$1804*AVERAGE('Assumptions (MSW)'!$F$2:$H$2)/10^9),0)</f>
        <v>-0.01926241564</v>
      </c>
      <c r="O1920" s="160">
        <f>IF($J$1804&gt;0,IPMT('Assumptions (MSW)'!$V$6,Model!AB$1,'Assumptions (MSW)'!$V$9,'Assumptions (MSW)'!$V$4*Model!$J$1804*AVERAGE('Assumptions (MSW)'!$F$2:$H$2)/10^9),0)</f>
        <v>-0.01788874782</v>
      </c>
      <c r="P1920" s="160">
        <f>IF($J$1804&gt;0,IPMT('Assumptions (MSW)'!$V$6,Model!AC$1,'Assumptions (MSW)'!$V$9,'Assumptions (MSW)'!$V$4*Model!$J$1804*AVERAGE('Assumptions (MSW)'!$F$2:$H$2)/10^9),0)</f>
        <v>-0.01644983077</v>
      </c>
      <c r="Q1920" s="160">
        <f>IF($J$1804&gt;0,IPMT('Assumptions (MSW)'!$V$6,Model!AD$1,'Assumptions (MSW)'!$V$9,'Assumptions (MSW)'!$V$4*Model!$J$1804*AVERAGE('Assumptions (MSW)'!$F$2:$H$2)/10^9),0)</f>
        <v>-0.01494256517</v>
      </c>
      <c r="R1920" s="160">
        <f>IF($J$1804&gt;0,IPMT('Assumptions (MSW)'!$V$6,Model!AE$1,'Assumptions (MSW)'!$V$9,'Assumptions (MSW)'!$V$4*Model!$J$1804*AVERAGE('Assumptions (MSW)'!$F$2:$H$2)/10^9),0)</f>
        <v>-0.01336370445</v>
      </c>
      <c r="S1920" s="160">
        <f>IF($J$1804&gt;0,IPMT('Assumptions (MSW)'!$V$6,Model!AF$1,'Assumptions (MSW)'!$V$9,'Assumptions (MSW)'!$V$4*Model!$J$1804*AVERAGE('Assumptions (MSW)'!$F$2:$H$2)/10^9),0)</f>
        <v>-0.01170984784</v>
      </c>
      <c r="T1920" s="160">
        <f>IF($J$1804&gt;0,IPMT('Assumptions (MSW)'!$V$6,Model!AG$1,'Assumptions (MSW)'!$V$9,'Assumptions (MSW)'!$V$4*Model!$J$1804*AVERAGE('Assumptions (MSW)'!$F$2:$H$2)/10^9),0)</f>
        <v>-0.00997743305</v>
      </c>
      <c r="U1920" s="160">
        <f>IF($J$1804&gt;0,IPMT('Assumptions (MSW)'!$V$6,Model!AH$1,'Assumptions (MSW)'!$V$9,'Assumptions (MSW)'!$V$4*Model!$J$1804*AVERAGE('Assumptions (MSW)'!$F$2:$H$2)/10^9),0)</f>
        <v>-0.008162728554</v>
      </c>
      <c r="V1920" s="160">
        <f>IF($J$1804&gt;0,IPMT('Assumptions (MSW)'!$V$6,Model!AI$1,'Assumptions (MSW)'!$V$9,'Assumptions (MSW)'!$V$4*Model!$J$1804*AVERAGE('Assumptions (MSW)'!$F$2:$H$2)/10^9),0)</f>
        <v>-0.006261825594</v>
      </c>
      <c r="W1920" s="160">
        <f>IF($J$1804&gt;0,IPMT('Assumptions (MSW)'!$V$6,Model!AJ$1,'Assumptions (MSW)'!$V$9,'Assumptions (MSW)'!$V$4*Model!$J$1804*AVERAGE('Assumptions (MSW)'!$F$2:$H$2)/10^9),0)</f>
        <v>-0.004270629744</v>
      </c>
      <c r="X1920" s="160">
        <f>IF($J$1804&gt;0,IPMT('Assumptions (MSW)'!$V$6,Model!AK$1,'Assumptions (MSW)'!$V$9,'Assumptions (MSW)'!$V$4*Model!$J$1804*AVERAGE('Assumptions (MSW)'!$F$2:$H$2)/10^9),0)</f>
        <v>-0.002184852091</v>
      </c>
      <c r="Y1920" s="160"/>
      <c r="Z1920" s="160"/>
      <c r="AA1920" s="160"/>
      <c r="AB1920" s="160"/>
      <c r="AC1920" s="160"/>
      <c r="AD1920" s="160"/>
      <c r="AE1920" s="160"/>
      <c r="AF1920" s="160"/>
      <c r="AG1920" s="160"/>
      <c r="AH1920" s="160"/>
    </row>
    <row r="1921" ht="15.75" hidden="1" customHeight="1" outlineLevel="1">
      <c r="A1921" s="309"/>
      <c r="B1921" s="38"/>
      <c r="C1921" s="160"/>
      <c r="D1921" s="160"/>
      <c r="E1921" s="160"/>
      <c r="F1921" s="160"/>
      <c r="G1921" s="160"/>
      <c r="H1921" s="160"/>
      <c r="I1921" s="160"/>
      <c r="J1921" s="160"/>
      <c r="K1921" s="160">
        <f>IF($K$1804&gt;0,IPMT('Assumptions (MSW)'!$V$6,Model!W$1,'Assumptions (MSW)'!$V$9,'Assumptions (MSW)'!$V$4*Model!$K$1804*AVERAGE('Assumptions (MSW)'!$G$2:$I$2)/10^9),0)</f>
        <v>-0.02486942005</v>
      </c>
      <c r="L1921" s="160">
        <f>IF($K$1804&gt;0,IPMT('Assumptions (MSW)'!$V$6,Model!X$1,'Assumptions (MSW)'!$V$9,'Assumptions (MSW)'!$V$4*Model!$K$1804*AVERAGE('Assumptions (MSW)'!$G$2:$I$2)/10^9),0)</f>
        <v>-0.02369505783</v>
      </c>
      <c r="M1921" s="160">
        <f>IF($K$1804&gt;0,IPMT('Assumptions (MSW)'!$V$6,Model!Y$1,'Assumptions (MSW)'!$V$9,'Assumptions (MSW)'!$V$4*Model!$K$1804*AVERAGE('Assumptions (MSW)'!$G$2:$I$2)/10^9),0)</f>
        <v>-0.02246491339</v>
      </c>
      <c r="N1921" s="160">
        <f>IF($K$1804&gt;0,IPMT('Assumptions (MSW)'!$V$6,Model!Z$1,'Assumptions (MSW)'!$V$9,'Assumptions (MSW)'!$V$4*Model!$K$1804*AVERAGE('Assumptions (MSW)'!$G$2:$I$2)/10^9),0)</f>
        <v>-0.0211763371</v>
      </c>
      <c r="O1921" s="160">
        <f>IF($K$1804&gt;0,IPMT('Assumptions (MSW)'!$V$6,Model!AA$1,'Assumptions (MSW)'!$V$9,'Assumptions (MSW)'!$V$4*Model!$K$1804*AVERAGE('Assumptions (MSW)'!$G$2:$I$2)/10^9),0)</f>
        <v>-0.01982655343</v>
      </c>
      <c r="P1921" s="160">
        <f>IF($K$1804&gt;0,IPMT('Assumptions (MSW)'!$V$6,Model!AB$1,'Assumptions (MSW)'!$V$9,'Assumptions (MSW)'!$V$4*Model!$K$1804*AVERAGE('Assumptions (MSW)'!$G$2:$I$2)/10^9),0)</f>
        <v>-0.01841265504</v>
      </c>
      <c r="Q1921" s="160">
        <f>IF($K$1804&gt;0,IPMT('Assumptions (MSW)'!$V$6,Model!AC$1,'Assumptions (MSW)'!$V$9,'Assumptions (MSW)'!$V$4*Model!$K$1804*AVERAGE('Assumptions (MSW)'!$G$2:$I$2)/10^9),0)</f>
        <v>-0.01693159648</v>
      </c>
      <c r="R1921" s="160">
        <f>IF($K$1804&gt;0,IPMT('Assumptions (MSW)'!$V$6,Model!AD$1,'Assumptions (MSW)'!$V$9,'Assumptions (MSW)'!$V$4*Model!$K$1804*AVERAGE('Assumptions (MSW)'!$G$2:$I$2)/10^9),0)</f>
        <v>-0.01538018763</v>
      </c>
      <c r="S1921" s="160">
        <f>IF($K$1804&gt;0,IPMT('Assumptions (MSW)'!$V$6,Model!AE$1,'Assumptions (MSW)'!$V$9,'Assumptions (MSW)'!$V$4*Model!$K$1804*AVERAGE('Assumptions (MSW)'!$G$2:$I$2)/10^9),0)</f>
        <v>-0.01375508686</v>
      </c>
      <c r="T1921" s="160">
        <f>IF($K$1804&gt;0,IPMT('Assumptions (MSW)'!$V$6,Model!AF$1,'Assumptions (MSW)'!$V$9,'Assumptions (MSW)'!$V$4*Model!$K$1804*AVERAGE('Assumptions (MSW)'!$G$2:$I$2)/10^9),0)</f>
        <v>-0.01205279381</v>
      </c>
      <c r="U1921" s="160">
        <f>IF($K$1804&gt;0,IPMT('Assumptions (MSW)'!$V$6,Model!AG$1,'Assumptions (MSW)'!$V$9,'Assumptions (MSW)'!$V$4*Model!$K$1804*AVERAGE('Assumptions (MSW)'!$G$2:$I$2)/10^9),0)</f>
        <v>-0.01026964183</v>
      </c>
      <c r="V1921" s="160">
        <f>IF($K$1804&gt;0,IPMT('Assumptions (MSW)'!$V$6,Model!AH$1,'Assumptions (MSW)'!$V$9,'Assumptions (MSW)'!$V$4*Model!$K$1804*AVERAGE('Assumptions (MSW)'!$G$2:$I$2)/10^9),0)</f>
        <v>-0.008401790142</v>
      </c>
      <c r="W1921" s="160">
        <f>IF($K$1804&gt;0,IPMT('Assumptions (MSW)'!$V$6,Model!AI$1,'Assumptions (MSW)'!$V$9,'Assumptions (MSW)'!$V$4*Model!$K$1804*AVERAGE('Assumptions (MSW)'!$G$2:$I$2)/10^9),0)</f>
        <v>-0.006445215494</v>
      </c>
      <c r="X1921" s="160">
        <f>IF($K$1804&gt;0,IPMT('Assumptions (MSW)'!$V$6,Model!AJ$1,'Assumptions (MSW)'!$V$9,'Assumptions (MSW)'!$V$4*Model!$K$1804*AVERAGE('Assumptions (MSW)'!$G$2:$I$2)/10^9),0)</f>
        <v>-0.00439570355</v>
      </c>
      <c r="Y1921" s="160">
        <f>IF($K$1804&gt;0,IPMT('Assumptions (MSW)'!$V$6,Model!AK$1,'Assumptions (MSW)'!$V$9,'Assumptions (MSW)'!$V$4*Model!$K$1804*AVERAGE('Assumptions (MSW)'!$G$2:$I$2)/10^9),0)</f>
        <v>-0.00224883979</v>
      </c>
      <c r="Z1921" s="160"/>
      <c r="AA1921" s="160"/>
      <c r="AB1921" s="160"/>
      <c r="AC1921" s="160"/>
      <c r="AD1921" s="160"/>
      <c r="AE1921" s="160"/>
      <c r="AF1921" s="160"/>
      <c r="AG1921" s="160"/>
      <c r="AH1921" s="160"/>
      <c r="AI1921" s="160"/>
    </row>
    <row r="1922" ht="15.75" hidden="1" customHeight="1" outlineLevel="1">
      <c r="A1922" s="309"/>
      <c r="B1922" s="38"/>
      <c r="C1922" s="160"/>
      <c r="D1922" s="160"/>
      <c r="E1922" s="160"/>
      <c r="F1922" s="160"/>
      <c r="G1922" s="160"/>
      <c r="H1922" s="160"/>
      <c r="I1922" s="160"/>
      <c r="J1922" s="160"/>
      <c r="K1922" s="160"/>
      <c r="L1922" s="160">
        <f>IF($L$1804&gt;0,IPMT('Assumptions (MSW)'!$V$6,Model!W$1,'Assumptions (MSW)'!$V$9,'Assumptions (MSW)'!$V$4*Model!$L$1804*AVERAGE('Assumptions (MSW)'!$H$2:$J$2)/10^9),0)</f>
        <v>-0.02546061994</v>
      </c>
      <c r="M1922" s="160">
        <f>IF($L$1804&gt;0,IPMT('Assumptions (MSW)'!$V$6,Model!X$1,'Assumptions (MSW)'!$V$9,'Assumptions (MSW)'!$V$4*Model!$L$1804*AVERAGE('Assumptions (MSW)'!$H$2:$J$2)/10^9),0)</f>
        <v>-0.02425834058</v>
      </c>
      <c r="N1922" s="160">
        <f>IF($L$1804&gt;0,IPMT('Assumptions (MSW)'!$V$6,Model!Y$1,'Assumptions (MSW)'!$V$9,'Assumptions (MSW)'!$V$4*Model!$L$1804*AVERAGE('Assumptions (MSW)'!$H$2:$J$2)/10^9),0)</f>
        <v>-0.02299895296</v>
      </c>
      <c r="O1922" s="160">
        <f>IF($L$1804&gt;0,IPMT('Assumptions (MSW)'!$V$6,Model!Z$1,'Assumptions (MSW)'!$V$9,'Assumptions (MSW)'!$V$4*Model!$L$1804*AVERAGE('Assumptions (MSW)'!$H$2:$J$2)/10^9),0)</f>
        <v>-0.02167974442</v>
      </c>
      <c r="P1922" s="160">
        <f>IF($L$1804&gt;0,IPMT('Assumptions (MSW)'!$V$6,Model!AA$1,'Assumptions (MSW)'!$V$9,'Assumptions (MSW)'!$V$4*Model!$L$1804*AVERAGE('Assumptions (MSW)'!$H$2:$J$2)/10^9),0)</f>
        <v>-0.02029787348</v>
      </c>
      <c r="Q1922" s="160">
        <f>IF($L$1804&gt;0,IPMT('Assumptions (MSW)'!$V$6,Model!AB$1,'Assumptions (MSW)'!$V$9,'Assumptions (MSW)'!$V$4*Model!$L$1804*AVERAGE('Assumptions (MSW)'!$H$2:$J$2)/10^9),0)</f>
        <v>-0.01885036366</v>
      </c>
      <c r="R1922" s="160">
        <f>IF($L$1804&gt;0,IPMT('Assumptions (MSW)'!$V$6,Model!AC$1,'Assumptions (MSW)'!$V$9,'Assumptions (MSW)'!$V$4*Model!$L$1804*AVERAGE('Assumptions (MSW)'!$H$2:$J$2)/10^9),0)</f>
        <v>-0.01733409713</v>
      </c>
      <c r="S1922" s="160">
        <f>IF($L$1804&gt;0,IPMT('Assumptions (MSW)'!$V$6,Model!AD$1,'Assumptions (MSW)'!$V$9,'Assumptions (MSW)'!$V$4*Model!$L$1804*AVERAGE('Assumptions (MSW)'!$H$2:$J$2)/10^9),0)</f>
        <v>-0.01574580794</v>
      </c>
      <c r="T1922" s="160">
        <f>IF($L$1804&gt;0,IPMT('Assumptions (MSW)'!$V$6,Model!AE$1,'Assumptions (MSW)'!$V$9,'Assumptions (MSW)'!$V$4*Model!$L$1804*AVERAGE('Assumptions (MSW)'!$H$2:$J$2)/10^9),0)</f>
        <v>-0.01408207502</v>
      </c>
      <c r="U1922" s="160">
        <f>IF($L$1804&gt;0,IPMT('Assumptions (MSW)'!$V$6,Model!AF$1,'Assumptions (MSW)'!$V$9,'Assumptions (MSW)'!$V$4*Model!$L$1804*AVERAGE('Assumptions (MSW)'!$H$2:$J$2)/10^9),0)</f>
        <v>-0.01233931478</v>
      </c>
      <c r="V1922" s="160">
        <f>IF($L$1804&gt;0,IPMT('Assumptions (MSW)'!$V$6,Model!AG$1,'Assumptions (MSW)'!$V$9,'Assumptions (MSW)'!$V$4*Model!$L$1804*AVERAGE('Assumptions (MSW)'!$H$2:$J$2)/10^9),0)</f>
        <v>-0.01051377343</v>
      </c>
      <c r="W1922" s="160">
        <f>IF($L$1804&gt;0,IPMT('Assumptions (MSW)'!$V$6,Model!AH$1,'Assumptions (MSW)'!$V$9,'Assumptions (MSW)'!$V$4*Model!$L$1804*AVERAGE('Assumptions (MSW)'!$H$2:$J$2)/10^9),0)</f>
        <v>-0.00860151886</v>
      </c>
      <c r="X1922" s="160">
        <f>IF($L$1804&gt;0,IPMT('Assumptions (MSW)'!$V$6,Model!AI$1,'Assumptions (MSW)'!$V$9,'Assumptions (MSW)'!$V$4*Model!$L$1804*AVERAGE('Assumptions (MSW)'!$H$2:$J$2)/10^9),0)</f>
        <v>-0.006598432202</v>
      </c>
      <c r="Y1922" s="160">
        <f>IF($L$1804&gt;0,IPMT('Assumptions (MSW)'!$V$6,Model!AJ$1,'Assumptions (MSW)'!$V$9,'Assumptions (MSW)'!$V$4*Model!$L$1804*AVERAGE('Assumptions (MSW)'!$H$2:$J$2)/10^9),0)</f>
        <v>-0.004500198928</v>
      </c>
      <c r="Z1922" s="160">
        <f>IF($L$1804&gt;0,IPMT('Assumptions (MSW)'!$V$6,Model!AK$1,'Assumptions (MSW)'!$V$9,'Assumptions (MSW)'!$V$4*Model!$L$1804*AVERAGE('Assumptions (MSW)'!$H$2:$J$2)/10^9),0)</f>
        <v>-0.002302299574</v>
      </c>
      <c r="AA1922" s="160"/>
      <c r="AB1922" s="160"/>
      <c r="AC1922" s="160"/>
      <c r="AD1922" s="160"/>
      <c r="AE1922" s="160"/>
      <c r="AF1922" s="160"/>
      <c r="AG1922" s="160"/>
      <c r="AH1922" s="160"/>
      <c r="AI1922" s="160"/>
      <c r="AJ1922" s="160"/>
    </row>
    <row r="1923" ht="15.75" hidden="1" customHeight="1" outlineLevel="1">
      <c r="A1923" s="309"/>
      <c r="B1923" s="38"/>
      <c r="C1923" s="160"/>
      <c r="D1923" s="160"/>
      <c r="E1923" s="160"/>
      <c r="F1923" s="160"/>
      <c r="G1923" s="160"/>
      <c r="H1923" s="160"/>
      <c r="I1923" s="160"/>
      <c r="J1923" s="160"/>
      <c r="K1923" s="160"/>
      <c r="L1923" s="160"/>
      <c r="M1923" s="160">
        <f>IF($M$1804&gt;0,IPMT('Assumptions (MSW)'!$V$6,Model!W$1,'Assumptions (MSW)'!$V$9,'Assumptions (MSW)'!$V$4*Model!$M$1804*AVERAGE('Assumptions (MSW)'!$I$2:$K$2)/10^9),0)</f>
        <v>-0.02807205163</v>
      </c>
      <c r="N1923" s="160">
        <f>IF($M$1804&gt;0,IPMT('Assumptions (MSW)'!$V$6,Model!X$1,'Assumptions (MSW)'!$V$9,'Assumptions (MSW)'!$V$4*Model!$M$1804*AVERAGE('Assumptions (MSW)'!$I$2:$K$2)/10^9),0)</f>
        <v>-0.02674645751</v>
      </c>
      <c r="O1923" s="160">
        <f>IF($M$1804&gt;0,IPMT('Assumptions (MSW)'!$V$6,Model!Y$1,'Assumptions (MSW)'!$V$9,'Assumptions (MSW)'!$V$4*Model!$M$1804*AVERAGE('Assumptions (MSW)'!$I$2:$K$2)/10^9),0)</f>
        <v>-0.02535789766</v>
      </c>
      <c r="P1923" s="160">
        <f>IF($M$1804&gt;0,IPMT('Assumptions (MSW)'!$V$6,Model!Z$1,'Assumptions (MSW)'!$V$9,'Assumptions (MSW)'!$V$4*Model!$M$1804*AVERAGE('Assumptions (MSW)'!$I$2:$K$2)/10^9),0)</f>
        <v>-0.02390338122</v>
      </c>
      <c r="Q1923" s="160">
        <f>IF($M$1804&gt;0,IPMT('Assumptions (MSW)'!$V$6,Model!AA$1,'Assumptions (MSW)'!$V$9,'Assumptions (MSW)'!$V$4*Model!$M$1804*AVERAGE('Assumptions (MSW)'!$I$2:$K$2)/10^9),0)</f>
        <v>-0.02237977526</v>
      </c>
      <c r="R1923" s="160">
        <f>IF($M$1804&gt;0,IPMT('Assumptions (MSW)'!$V$6,Model!AB$1,'Assumptions (MSW)'!$V$9,'Assumptions (MSW)'!$V$4*Model!$M$1804*AVERAGE('Assumptions (MSW)'!$I$2:$K$2)/10^9),0)</f>
        <v>-0.02078379801</v>
      </c>
      <c r="S1923" s="160">
        <f>IF($M$1804&gt;0,IPMT('Assumptions (MSW)'!$V$6,Model!AC$1,'Assumptions (MSW)'!$V$9,'Assumptions (MSW)'!$V$4*Model!$M$1804*AVERAGE('Assumptions (MSW)'!$I$2:$K$2)/10^9),0)</f>
        <v>-0.01911201184</v>
      </c>
      <c r="T1923" s="160">
        <f>IF($M$1804&gt;0,IPMT('Assumptions (MSW)'!$V$6,Model!AD$1,'Assumptions (MSW)'!$V$9,'Assumptions (MSW)'!$V$4*Model!$M$1804*AVERAGE('Assumptions (MSW)'!$I$2:$K$2)/10^9),0)</f>
        <v>-0.01736081582</v>
      </c>
      <c r="U1923" s="160">
        <f>IF($M$1804&gt;0,IPMT('Assumptions (MSW)'!$V$6,Model!AE$1,'Assumptions (MSW)'!$V$9,'Assumptions (MSW)'!$V$4*Model!$M$1804*AVERAGE('Assumptions (MSW)'!$I$2:$K$2)/10^9),0)</f>
        <v>-0.015526438</v>
      </c>
      <c r="V1923" s="160">
        <f>IF($M$1804&gt;0,IPMT('Assumptions (MSW)'!$V$6,Model!AF$1,'Assumptions (MSW)'!$V$9,'Assumptions (MSW)'!$V$4*Model!$M$1804*AVERAGE('Assumptions (MSW)'!$I$2:$K$2)/10^9),0)</f>
        <v>-0.01360492723</v>
      </c>
      <c r="W1923" s="160">
        <f>IF($M$1804&gt;0,IPMT('Assumptions (MSW)'!$V$6,Model!AG$1,'Assumptions (MSW)'!$V$9,'Assumptions (MSW)'!$V$4*Model!$M$1804*AVERAGE('Assumptions (MSW)'!$I$2:$K$2)/10^9),0)</f>
        <v>-0.0115921447</v>
      </c>
      <c r="X1923" s="160">
        <f>IF($M$1804&gt;0,IPMT('Assumptions (MSW)'!$V$6,Model!AH$1,'Assumptions (MSW)'!$V$9,'Assumptions (MSW)'!$V$4*Model!$M$1804*AVERAGE('Assumptions (MSW)'!$I$2:$K$2)/10^9),0)</f>
        <v>-0.009483754994</v>
      </c>
      <c r="Y1923" s="160">
        <f>IF($M$1804&gt;0,IPMT('Assumptions (MSW)'!$V$6,Model!AI$1,'Assumptions (MSW)'!$V$9,'Assumptions (MSW)'!$V$4*Model!$M$1804*AVERAGE('Assumptions (MSW)'!$I$2:$K$2)/10^9),0)</f>
        <v>-0.007275216781</v>
      </c>
      <c r="Z1923" s="160">
        <f>IF($M$1804&gt;0,IPMT('Assumptions (MSW)'!$V$6,Model!AJ$1,'Assumptions (MSW)'!$V$9,'Assumptions (MSW)'!$V$4*Model!$M$1804*AVERAGE('Assumptions (MSW)'!$I$2:$K$2)/10^9),0)</f>
        <v>-0.004961773003</v>
      </c>
      <c r="AA1923" s="160">
        <f>IF($M$1804&gt;0,IPMT('Assumptions (MSW)'!$V$6,Model!AK$1,'Assumptions (MSW)'!$V$9,'Assumptions (MSW)'!$V$4*Model!$M$1804*AVERAGE('Assumptions (MSW)'!$I$2:$K$2)/10^9),0)</f>
        <v>-0.002538440645</v>
      </c>
      <c r="AB1923" s="160"/>
      <c r="AC1923" s="160"/>
      <c r="AD1923" s="160"/>
      <c r="AE1923" s="160"/>
      <c r="AF1923" s="160"/>
      <c r="AG1923" s="160"/>
      <c r="AH1923" s="160"/>
      <c r="AI1923" s="160"/>
      <c r="AJ1923" s="160"/>
      <c r="AK1923" s="160"/>
    </row>
    <row r="1924" ht="15.75" hidden="1" customHeight="1" outlineLevel="1">
      <c r="A1924" s="309"/>
      <c r="B1924" s="38"/>
      <c r="C1924" s="160"/>
      <c r="D1924" s="160"/>
      <c r="E1924" s="160"/>
      <c r="F1924" s="160"/>
      <c r="G1924" s="160"/>
      <c r="H1924" s="160"/>
      <c r="I1924" s="160"/>
      <c r="J1924" s="160"/>
      <c r="K1924" s="160"/>
      <c r="L1924" s="160"/>
      <c r="M1924" s="160"/>
      <c r="N1924" s="177">
        <f>IF($N$1804&gt;0,IPMT('Assumptions (MSW)'!$V$6,Model!W$1,'Assumptions (MSW)'!$V$9,'Assumptions (MSW)'!$V$4*Model!$N$1804*AVERAGE('Assumptions (MSW)'!$J$2:$L$2)/10^9),0)</f>
        <v>-0.02879103118</v>
      </c>
      <c r="O1924" s="177">
        <f>IF($N$1804&gt;0,IPMT('Assumptions (MSW)'!$V$6,Model!X$1,'Assumptions (MSW)'!$V$9,'Assumptions (MSW)'!$V$4*Model!$N$1804*AVERAGE('Assumptions (MSW)'!$J$2:$L$2)/10^9),0)</f>
        <v>-0.02743148602</v>
      </c>
      <c r="P1924" s="177">
        <f>IF($N$1804&gt;0,IPMT('Assumptions (MSW)'!$V$6,Model!Y$1,'Assumptions (MSW)'!$V$9,'Assumptions (MSW)'!$V$4*Model!$N$1804*AVERAGE('Assumptions (MSW)'!$J$2:$L$2)/10^9),0)</f>
        <v>-0.02600736248</v>
      </c>
      <c r="Q1924" s="177">
        <f>IF($N$1804&gt;0,IPMT('Assumptions (MSW)'!$V$6,Model!Z$1,'Assumptions (MSW)'!$V$9,'Assumptions (MSW)'!$V$4*Model!$N$1804*AVERAGE('Assumptions (MSW)'!$J$2:$L$2)/10^9),0)</f>
        <v>-0.02451559306</v>
      </c>
      <c r="R1924" s="177">
        <f>IF($N$1804&gt;0,IPMT('Assumptions (MSW)'!$V$6,Model!AA$1,'Assumptions (MSW)'!$V$9,'Assumptions (MSW)'!$V$4*Model!$N$1804*AVERAGE('Assumptions (MSW)'!$J$2:$L$2)/10^9),0)</f>
        <v>-0.0229529646</v>
      </c>
      <c r="S1924" s="177">
        <f>IF($N$1804&gt;0,IPMT('Assumptions (MSW)'!$V$6,Model!AB$1,'Assumptions (MSW)'!$V$9,'Assumptions (MSW)'!$V$4*Model!$N$1804*AVERAGE('Assumptions (MSW)'!$J$2:$L$2)/10^9),0)</f>
        <v>-0.02131611128</v>
      </c>
      <c r="T1924" s="177">
        <f>IF($N$1804&gt;0,IPMT('Assumptions (MSW)'!$V$6,Model!AC$1,'Assumptions (MSW)'!$V$9,'Assumptions (MSW)'!$V$4*Model!$N$1804*AVERAGE('Assumptions (MSW)'!$J$2:$L$2)/10^9),0)</f>
        <v>-0.01960150743</v>
      </c>
      <c r="U1924" s="177">
        <f>IF($N$1804&gt;0,IPMT('Assumptions (MSW)'!$V$6,Model!AD$1,'Assumptions (MSW)'!$V$9,'Assumptions (MSW)'!$V$4*Model!$N$1804*AVERAGE('Assumptions (MSW)'!$J$2:$L$2)/10^9),0)</f>
        <v>-0.0178054599</v>
      </c>
      <c r="V1924" s="177">
        <f>IF($N$1804&gt;0,IPMT('Assumptions (MSW)'!$V$6,Model!AE$1,'Assumptions (MSW)'!$V$9,'Assumptions (MSW)'!$V$4*Model!$N$1804*AVERAGE('Assumptions (MSW)'!$J$2:$L$2)/10^9),0)</f>
        <v>-0.01592410011</v>
      </c>
      <c r="W1924" s="177">
        <f>IF($N$1804&gt;0,IPMT('Assumptions (MSW)'!$V$6,Model!AF$1,'Assumptions (MSW)'!$V$9,'Assumptions (MSW)'!$V$4*Model!$N$1804*AVERAGE('Assumptions (MSW)'!$J$2:$L$2)/10^9),0)</f>
        <v>-0.01395337573</v>
      </c>
      <c r="X1924" s="177">
        <f>IF($N$1804&gt;0,IPMT('Assumptions (MSW)'!$V$6,Model!AG$1,'Assumptions (MSW)'!$V$9,'Assumptions (MSW)'!$V$4*Model!$N$1804*AVERAGE('Assumptions (MSW)'!$J$2:$L$2)/10^9),0)</f>
        <v>-0.01188904195</v>
      </c>
      <c r="Y1924" s="177">
        <f>IF($N$1804&gt;0,IPMT('Assumptions (MSW)'!$V$6,Model!AH$1,'Assumptions (MSW)'!$V$9,'Assumptions (MSW)'!$V$4*Model!$N$1804*AVERAGE('Assumptions (MSW)'!$J$2:$L$2)/10^9),0)</f>
        <v>-0.009726652307</v>
      </c>
      <c r="Z1924" s="177">
        <f>IF($N$1804&gt;0,IPMT('Assumptions (MSW)'!$V$6,Model!AI$1,'Assumptions (MSW)'!$V$9,'Assumptions (MSW)'!$V$4*Model!$N$1804*AVERAGE('Assumptions (MSW)'!$J$2:$L$2)/10^9),0)</f>
        <v>-0.007461549157</v>
      </c>
      <c r="AA1924" s="177">
        <f>IF($N$1804&gt;0,IPMT('Assumptions (MSW)'!$V$6,Model!AJ$1,'Assumptions (MSW)'!$V$9,'Assumptions (MSW)'!$V$4*Model!$N$1804*AVERAGE('Assumptions (MSW)'!$J$2:$L$2)/10^9),0)</f>
        <v>-0.005088853608</v>
      </c>
      <c r="AB1924" s="177">
        <f>IF($N$1804&gt;0,IPMT('Assumptions (MSW)'!$V$6,Model!AK$1,'Assumptions (MSW)'!$V$9,'Assumptions (MSW)'!$V$4*Model!$N$1804*AVERAGE('Assumptions (MSW)'!$J$2:$L$2)/10^9),0)</f>
        <v>-0.002603455021</v>
      </c>
      <c r="AC1924" s="177"/>
      <c r="AD1924" s="177"/>
      <c r="AE1924" s="177"/>
      <c r="AF1924" s="177"/>
      <c r="AG1924" s="177"/>
      <c r="AH1924" s="177"/>
      <c r="AI1924" s="177"/>
      <c r="AJ1924" s="177"/>
      <c r="AK1924" s="177"/>
      <c r="AL1924" s="177"/>
    </row>
    <row r="1925" ht="15.75" hidden="1" customHeight="1" outlineLevel="1">
      <c r="A1925" s="309"/>
      <c r="B1925" s="38"/>
      <c r="C1925" s="160"/>
      <c r="D1925" s="160"/>
      <c r="E1925" s="160"/>
      <c r="F1925" s="160"/>
      <c r="G1925" s="160"/>
      <c r="H1925" s="160"/>
      <c r="I1925" s="160"/>
      <c r="J1925" s="160"/>
      <c r="K1925" s="160"/>
      <c r="L1925" s="160"/>
      <c r="M1925" s="160"/>
      <c r="N1925" s="160"/>
      <c r="O1925" s="160">
        <f>IF($O$1804&gt;0,IPMT('Assumptions (MSW)'!$V$6,Model!W$1,'Assumptions (MSW)'!$V$9,'Assumptions (MSW)'!$V$4*Model!$O$1804*AVERAGE('Assumptions (MSW)'!$K$2:$M$2)/10^9),0)</f>
        <v>-0.03554350689</v>
      </c>
      <c r="P1925" s="160">
        <f>IF($O$1804&gt;0,IPMT('Assumptions (MSW)'!$V$6,Model!X$1,'Assumptions (MSW)'!$V$9,'Assumptions (MSW)'!$V$4*Model!$O$1804*AVERAGE('Assumptions (MSW)'!$K$2:$M$2)/10^9),0)</f>
        <v>-0.03386510217</v>
      </c>
      <c r="Q1925" s="160">
        <f>IF($O$1804&gt;0,IPMT('Assumptions (MSW)'!$V$6,Model!Y$1,'Assumptions (MSW)'!$V$9,'Assumptions (MSW)'!$V$4*Model!$O$1804*AVERAGE('Assumptions (MSW)'!$K$2:$M$2)/10^9),0)</f>
        <v>-0.03210697323</v>
      </c>
      <c r="R1925" s="160">
        <f>IF($O$1804&gt;0,IPMT('Assumptions (MSW)'!$V$6,Model!Z$1,'Assumptions (MSW)'!$V$9,'Assumptions (MSW)'!$V$4*Model!$O$1804*AVERAGE('Assumptions (MSW)'!$K$2:$M$2)/10^9),0)</f>
        <v>-0.03026533317</v>
      </c>
      <c r="S1925" s="160">
        <f>IF($O$1804&gt;0,IPMT('Assumptions (MSW)'!$V$6,Model!AA$1,'Assumptions (MSW)'!$V$9,'Assumptions (MSW)'!$V$4*Model!$O$1804*AVERAGE('Assumptions (MSW)'!$K$2:$M$2)/10^9),0)</f>
        <v>-0.0283362152</v>
      </c>
      <c r="T1925" s="160">
        <f>IF($O$1804&gt;0,IPMT('Assumptions (MSW)'!$V$6,Model!AB$1,'Assumptions (MSW)'!$V$9,'Assumptions (MSW)'!$V$4*Model!$O$1804*AVERAGE('Assumptions (MSW)'!$K$2:$M$2)/10^9),0)</f>
        <v>-0.02631546413</v>
      </c>
      <c r="U1925" s="160">
        <f>IF($O$1804&gt;0,IPMT('Assumptions (MSW)'!$V$6,Model!AC$1,'Assumptions (MSW)'!$V$9,'Assumptions (MSW)'!$V$4*Model!$O$1804*AVERAGE('Assumptions (MSW)'!$K$2:$M$2)/10^9),0)</f>
        <v>-0.02419872738</v>
      </c>
      <c r="V1925" s="160">
        <f>IF($O$1804&gt;0,IPMT('Assumptions (MSW)'!$V$6,Model!AD$1,'Assumptions (MSW)'!$V$9,'Assumptions (MSW)'!$V$4*Model!$O$1804*AVERAGE('Assumptions (MSW)'!$K$2:$M$2)/10^9),0)</f>
        <v>-0.02198144564</v>
      </c>
      <c r="W1925" s="160">
        <f>IF($O$1804&gt;0,IPMT('Assumptions (MSW)'!$V$6,Model!AE$1,'Assumptions (MSW)'!$V$9,'Assumptions (MSW)'!$V$4*Model!$O$1804*AVERAGE('Assumptions (MSW)'!$K$2:$M$2)/10^9),0)</f>
        <v>-0.01965884301</v>
      </c>
      <c r="X1925" s="160">
        <f>IF($O$1804&gt;0,IPMT('Assumptions (MSW)'!$V$6,Model!AF$1,'Assumptions (MSW)'!$V$9,'Assumptions (MSW)'!$V$4*Model!$O$1804*AVERAGE('Assumptions (MSW)'!$K$2:$M$2)/10^9),0)</f>
        <v>-0.01722591676</v>
      </c>
      <c r="Y1925" s="160">
        <f>IF($O$1804&gt;0,IPMT('Assumptions (MSW)'!$V$6,Model!AG$1,'Assumptions (MSW)'!$V$9,'Assumptions (MSW)'!$V$4*Model!$O$1804*AVERAGE('Assumptions (MSW)'!$K$2:$M$2)/10^9),0)</f>
        <v>-0.01467742652</v>
      </c>
      <c r="Z1925" s="160">
        <f>IF($O$1804&gt;0,IPMT('Assumptions (MSW)'!$V$6,Model!AH$1,'Assumptions (MSW)'!$V$9,'Assumptions (MSW)'!$V$4*Model!$O$1804*AVERAGE('Assumptions (MSW)'!$K$2:$M$2)/10^9),0)</f>
        <v>-0.01200788298</v>
      </c>
      <c r="AA1925" s="160">
        <f>IF($O$1804&gt;0,IPMT('Assumptions (MSW)'!$V$6,Model!AI$1,'Assumptions (MSW)'!$V$9,'Assumptions (MSW)'!$V$4*Model!$O$1804*AVERAGE('Assumptions (MSW)'!$K$2:$M$2)/10^9),0)</f>
        <v>-0.009211536129</v>
      </c>
      <c r="AB1925" s="160">
        <f>IF($O$1804&gt;0,IPMT('Assumptions (MSW)'!$V$6,Model!AJ$1,'Assumptions (MSW)'!$V$9,'Assumptions (MSW)'!$V$4*Model!$O$1804*AVERAGE('Assumptions (MSW)'!$K$2:$M$2)/10^9),0)</f>
        <v>-0.006282362802</v>
      </c>
      <c r="AC1925" s="160">
        <f>IF($O$1804&gt;0,IPMT('Assumptions (MSW)'!$V$6,Model!AK$1,'Assumptions (MSW)'!$V$9,'Assumptions (MSW)'!$V$4*Model!$O$1804*AVERAGE('Assumptions (MSW)'!$K$2:$M$2)/10^9),0)</f>
        <v>-0.003214053741</v>
      </c>
      <c r="AD1925" s="160"/>
      <c r="AE1925" s="160"/>
      <c r="AF1925" s="160"/>
      <c r="AG1925" s="160"/>
      <c r="AH1925" s="160"/>
      <c r="AI1925" s="160"/>
      <c r="AJ1925" s="160"/>
      <c r="AK1925" s="160"/>
      <c r="AL1925" s="160"/>
      <c r="AM1925" s="160"/>
    </row>
    <row r="1926" ht="15.75" hidden="1" customHeight="1" outlineLevel="1">
      <c r="A1926" s="309"/>
      <c r="B1926" s="38"/>
      <c r="C1926" s="160"/>
      <c r="D1926" s="160"/>
      <c r="E1926" s="160"/>
      <c r="F1926" s="160"/>
      <c r="G1926" s="160"/>
      <c r="H1926" s="160"/>
      <c r="I1926" s="160"/>
      <c r="J1926" s="160"/>
      <c r="K1926" s="160"/>
      <c r="L1926" s="160"/>
      <c r="M1926" s="160"/>
      <c r="N1926" s="160"/>
      <c r="O1926" s="160"/>
      <c r="P1926" s="177">
        <f>IF($P$1804&gt;0,IPMT('Assumptions (MSW)'!$V$6,Model!W$1,'Assumptions (MSW)'!$V$9,'Assumptions (MSW)'!$V$4*Model!$P$1804*AVERAGE('Assumptions (MSW)'!$L$2:$N$2)/10^9),0)</f>
        <v>-0.02921753886</v>
      </c>
      <c r="Q1926" s="177">
        <f>IF($P$1804&gt;0,IPMT('Assumptions (MSW)'!$V$6,Model!X$1,'Assumptions (MSW)'!$V$9,'Assumptions (MSW)'!$V$4*Model!$P$1804*AVERAGE('Assumptions (MSW)'!$L$2:$N$2)/10^9),0)</f>
        <v>-0.02783785353</v>
      </c>
      <c r="R1926" s="177">
        <f>IF($P$1804&gt;0,IPMT('Assumptions (MSW)'!$V$6,Model!Y$1,'Assumptions (MSW)'!$V$9,'Assumptions (MSW)'!$V$4*Model!$P$1804*AVERAGE('Assumptions (MSW)'!$L$2:$N$2)/10^9),0)</f>
        <v>-0.02639263315</v>
      </c>
      <c r="S1926" s="177">
        <f>IF($P$1804&gt;0,IPMT('Assumptions (MSW)'!$V$6,Model!Z$1,'Assumptions (MSW)'!$V$9,'Assumptions (MSW)'!$V$4*Model!$P$1804*AVERAGE('Assumptions (MSW)'!$L$2:$N$2)/10^9),0)</f>
        <v>-0.02487876479</v>
      </c>
      <c r="T1926" s="177">
        <f>IF($P$1804&gt;0,IPMT('Assumptions (MSW)'!$V$6,Model!AA$1,'Assumptions (MSW)'!$V$9,'Assumptions (MSW)'!$V$4*Model!$P$1804*AVERAGE('Assumptions (MSW)'!$L$2:$N$2)/10^9),0)</f>
        <v>-0.0232929877</v>
      </c>
      <c r="U1926" s="177">
        <f>IF($P$1804&gt;0,IPMT('Assumptions (MSW)'!$V$6,Model!AB$1,'Assumptions (MSW)'!$V$9,'Assumptions (MSW)'!$V$4*Model!$P$1804*AVERAGE('Assumptions (MSW)'!$L$2:$N$2)/10^9),0)</f>
        <v>-0.02163188619</v>
      </c>
      <c r="V1926" s="177">
        <f>IF($P$1804&gt;0,IPMT('Assumptions (MSW)'!$V$6,Model!AC$1,'Assumptions (MSW)'!$V$9,'Assumptions (MSW)'!$V$4*Model!$P$1804*AVERAGE('Assumptions (MSW)'!$L$2:$N$2)/10^9),0)</f>
        <v>-0.01989188236</v>
      </c>
      <c r="W1926" s="177">
        <f>IF($P$1804&gt;0,IPMT('Assumptions (MSW)'!$V$6,Model!AD$1,'Assumptions (MSW)'!$V$9,'Assumptions (MSW)'!$V$4*Model!$P$1804*AVERAGE('Assumptions (MSW)'!$L$2:$N$2)/10^9),0)</f>
        <v>-0.01806922834</v>
      </c>
      <c r="X1926" s="177">
        <f>IF($P$1804&gt;0,IPMT('Assumptions (MSW)'!$V$6,Model!AE$1,'Assumptions (MSW)'!$V$9,'Assumptions (MSW)'!$V$4*Model!$P$1804*AVERAGE('Assumptions (MSW)'!$L$2:$N$2)/10^9),0)</f>
        <v>-0.01615999826</v>
      </c>
      <c r="Y1926" s="177">
        <f>IF($P$1804&gt;0,IPMT('Assumptions (MSW)'!$V$6,Model!AF$1,'Assumptions (MSW)'!$V$9,'Assumptions (MSW)'!$V$4*Model!$P$1804*AVERAGE('Assumptions (MSW)'!$L$2:$N$2)/10^9),0)</f>
        <v>-0.01416007976</v>
      </c>
      <c r="Z1926" s="177">
        <f>IF($P$1804&gt;0,IPMT('Assumptions (MSW)'!$V$6,Model!AG$1,'Assumptions (MSW)'!$V$9,'Assumptions (MSW)'!$V$4*Model!$P$1804*AVERAGE('Assumptions (MSW)'!$L$2:$N$2)/10^9),0)</f>
        <v>-0.01206516512</v>
      </c>
      <c r="AA1926" s="177">
        <f>IF($P$1804&gt;0,IPMT('Assumptions (MSW)'!$V$6,Model!AH$1,'Assumptions (MSW)'!$V$9,'Assumptions (MSW)'!$V$4*Model!$P$1804*AVERAGE('Assumptions (MSW)'!$L$2:$N$2)/10^9),0)</f>
        <v>-0.009870742037</v>
      </c>
      <c r="AB1926" s="177">
        <f>IF($P$1804&gt;0,IPMT('Assumptions (MSW)'!$V$6,Model!AI$1,'Assumptions (MSW)'!$V$9,'Assumptions (MSW)'!$V$4*Model!$P$1804*AVERAGE('Assumptions (MSW)'!$L$2:$N$2)/10^9),0)</f>
        <v>-0.007572083858</v>
      </c>
      <c r="AC1926" s="177">
        <f>IF($P$1804&gt;0,IPMT('Assumptions (MSW)'!$V$6,Model!AJ$1,'Assumptions (MSW)'!$V$9,'Assumptions (MSW)'!$V$4*Model!$P$1804*AVERAGE('Assumptions (MSW)'!$L$2:$N$2)/10^9),0)</f>
        <v>-0.005164239416</v>
      </c>
      <c r="AD1926" s="177">
        <f>IF($P$1804&gt;0,IPMT('Assumptions (MSW)'!$V$6,Model!AK$1,'Assumptions (MSW)'!$V$9,'Assumptions (MSW)'!$V$4*Model!$P$1804*AVERAGE('Assumptions (MSW)'!$L$2:$N$2)/10^9),0)</f>
        <v>-0.002642022363</v>
      </c>
      <c r="AE1926" s="177"/>
      <c r="AF1926" s="177"/>
      <c r="AG1926" s="177"/>
      <c r="AH1926" s="177"/>
      <c r="AI1926" s="177"/>
      <c r="AJ1926" s="177"/>
      <c r="AK1926" s="177"/>
      <c r="AL1926" s="177"/>
      <c r="AM1926" s="177"/>
      <c r="AN1926" s="177"/>
    </row>
    <row r="1927" ht="15.75" hidden="1" customHeight="1" outlineLevel="1">
      <c r="A1927" s="309"/>
      <c r="B1927" s="38"/>
      <c r="C1927" s="160"/>
      <c r="D1927" s="160"/>
      <c r="E1927" s="160"/>
      <c r="F1927" s="160"/>
      <c r="G1927" s="160"/>
      <c r="H1927" s="160"/>
      <c r="I1927" s="160"/>
      <c r="J1927" s="160"/>
      <c r="K1927" s="160"/>
      <c r="L1927" s="160"/>
      <c r="M1927" s="160"/>
      <c r="N1927" s="160"/>
      <c r="O1927" s="160"/>
      <c r="P1927" s="179"/>
      <c r="Q1927" s="160">
        <f>IF($Q$1804&gt;0,IPMT('Assumptions (MSW)'!$V$6,Model!W$1,'Assumptions (MSW)'!$V$9,'Assumptions (MSW)'!$V$4*Model!$Q$1804*AVERAGE('Assumptions (MSW)'!$M$2:$O$2)/10^9),0)</f>
        <v>-0.01879452855</v>
      </c>
      <c r="R1927" s="160">
        <f>IF($Q$1804&gt;0,IPMT('Assumptions (MSW)'!$V$6,Model!X$1,'Assumptions (MSW)'!$V$9,'Assumptions (MSW)'!$V$4*Model!$Q$1804*AVERAGE('Assumptions (MSW)'!$M$2:$O$2)/10^9),0)</f>
        <v>-0.01790702959</v>
      </c>
      <c r="S1927" s="160">
        <f>IF($Q$1804&gt;0,IPMT('Assumptions (MSW)'!$V$6,Model!Y$1,'Assumptions (MSW)'!$V$9,'Assumptions (MSW)'!$V$4*Model!$Q$1804*AVERAGE('Assumptions (MSW)'!$M$2:$O$2)/10^9),0)</f>
        <v>-0.01697737443</v>
      </c>
      <c r="T1927" s="160">
        <f>IF($Q$1804&gt;0,IPMT('Assumptions (MSW)'!$V$6,Model!Z$1,'Assumptions (MSW)'!$V$9,'Assumptions (MSW)'!$V$4*Model!$Q$1804*AVERAGE('Assumptions (MSW)'!$M$2:$O$2)/10^9),0)</f>
        <v>-0.01600356065</v>
      </c>
      <c r="U1927" s="160">
        <f>IF($Q$1804&gt;0,IPMT('Assumptions (MSW)'!$V$6,Model!AA$1,'Assumptions (MSW)'!$V$9,'Assumptions (MSW)'!$V$4*Model!$Q$1804*AVERAGE('Assumptions (MSW)'!$M$2:$O$2)/10^9),0)</f>
        <v>-0.01498349072</v>
      </c>
      <c r="V1927" s="160">
        <f>IF($Q$1804&gt;0,IPMT('Assumptions (MSW)'!$V$6,Model!AB$1,'Assumptions (MSW)'!$V$9,'Assumptions (MSW)'!$V$4*Model!$Q$1804*AVERAGE('Assumptions (MSW)'!$M$2:$O$2)/10^9),0)</f>
        <v>-0.01391496746</v>
      </c>
      <c r="W1927" s="160">
        <f>IF($Q$1804&gt;0,IPMT('Assumptions (MSW)'!$V$6,Model!AC$1,'Assumptions (MSW)'!$V$9,'Assumptions (MSW)'!$V$4*Model!$Q$1804*AVERAGE('Assumptions (MSW)'!$M$2:$O$2)/10^9),0)</f>
        <v>-0.01279568935</v>
      </c>
      <c r="X1927" s="160">
        <f>IF($Q$1804&gt;0,IPMT('Assumptions (MSW)'!$V$6,Model!AD$1,'Assumptions (MSW)'!$V$9,'Assumptions (MSW)'!$V$4*Model!$Q$1804*AVERAGE('Assumptions (MSW)'!$M$2:$O$2)/10^9),0)</f>
        <v>-0.01162324553</v>
      </c>
      <c r="Y1927" s="160">
        <f>IF($Q$1804&gt;0,IPMT('Assumptions (MSW)'!$V$6,Model!AE$1,'Assumptions (MSW)'!$V$9,'Assumptions (MSW)'!$V$4*Model!$Q$1804*AVERAGE('Assumptions (MSW)'!$M$2:$O$2)/10^9),0)</f>
        <v>-0.01039511063</v>
      </c>
      <c r="Z1927" s="160">
        <f>IF($Q$1804&gt;0,IPMT('Assumptions (MSW)'!$V$6,Model!AF$1,'Assumptions (MSW)'!$V$9,'Assumptions (MSW)'!$V$4*Model!$Q$1804*AVERAGE('Assumptions (MSW)'!$M$2:$O$2)/10^9),0)</f>
        <v>-0.009108639318</v>
      </c>
      <c r="AA1927" s="160">
        <f>IF($Q$1804&gt;0,IPMT('Assumptions (MSW)'!$V$6,Model!AG$1,'Assumptions (MSW)'!$V$9,'Assumptions (MSW)'!$V$4*Model!$Q$1804*AVERAGE('Assumptions (MSW)'!$M$2:$O$2)/10^9),0)</f>
        <v>-0.007761060621</v>
      </c>
      <c r="AB1927" s="160">
        <f>IF($Q$1804&gt;0,IPMT('Assumptions (MSW)'!$V$6,Model!AH$1,'Assumptions (MSW)'!$V$9,'Assumptions (MSW)'!$V$4*Model!$Q$1804*AVERAGE('Assumptions (MSW)'!$M$2:$O$2)/10^9),0)</f>
        <v>-0.006349471936</v>
      </c>
      <c r="AC1927" s="160">
        <f>IF($Q$1804&gt;0,IPMT('Assumptions (MSW)'!$V$6,Model!AI$1,'Assumptions (MSW)'!$V$9,'Assumptions (MSW)'!$V$4*Model!$Q$1804*AVERAGE('Assumptions (MSW)'!$M$2:$O$2)/10^9),0)</f>
        <v>-0.004870832788</v>
      </c>
      <c r="AD1927" s="160">
        <f>IF($Q$1804&gt;0,IPMT('Assumptions (MSW)'!$V$6,Model!AJ$1,'Assumptions (MSW)'!$V$9,'Assumptions (MSW)'!$V$4*Model!$Q$1804*AVERAGE('Assumptions (MSW)'!$M$2:$O$2)/10^9),0)</f>
        <v>-0.00332195828</v>
      </c>
      <c r="AE1927" s="160">
        <f>IF($Q$1804&gt;0,IPMT('Assumptions (MSW)'!$V$6,Model!AK$1,'Assumptions (MSW)'!$V$9,'Assumptions (MSW)'!$V$4*Model!$Q$1804*AVERAGE('Assumptions (MSW)'!$M$2:$O$2)/10^9),0)</f>
        <v>-0.001699512234</v>
      </c>
      <c r="AF1927" s="160"/>
      <c r="AG1927" s="160"/>
      <c r="AH1927" s="160"/>
      <c r="AI1927" s="160"/>
      <c r="AJ1927" s="160"/>
      <c r="AK1927" s="160"/>
      <c r="AL1927" s="160"/>
      <c r="AM1927" s="160"/>
      <c r="AN1927" s="160"/>
      <c r="AO1927" s="160"/>
    </row>
    <row r="1928" ht="15.75" hidden="1" customHeight="1" outlineLevel="1">
      <c r="A1928" s="309"/>
      <c r="B1928" s="38"/>
      <c r="C1928" s="160"/>
      <c r="D1928" s="160"/>
      <c r="E1928" s="160"/>
      <c r="F1928" s="160"/>
      <c r="G1928" s="160"/>
      <c r="H1928" s="160"/>
      <c r="I1928" s="160"/>
      <c r="J1928" s="160"/>
      <c r="K1928" s="160"/>
      <c r="L1928" s="160"/>
      <c r="M1928" s="160"/>
      <c r="N1928" s="160"/>
      <c r="O1928" s="160"/>
      <c r="P1928" s="179"/>
      <c r="Q1928" s="160"/>
      <c r="R1928" s="177">
        <f>IF($R$1804&gt;0,IPMT('Assumptions (MSW)'!$V$6,Model!W$1,'Assumptions (MSW)'!$V$9,'Assumptions (MSW)'!$V$4*Model!$R$1804*AVERAGE('Assumptions (MSW)'!$N$2:$P$2)/10^9),0)</f>
        <v>-0.02188196921</v>
      </c>
      <c r="S1928" s="177">
        <f>IF($R$1804&gt;0,IPMT('Assumptions (MSW)'!$V$6,Model!X$1,'Assumptions (MSW)'!$V$9,'Assumptions (MSW)'!$V$4*Model!$R$1804*AVERAGE('Assumptions (MSW)'!$N$2:$P$2)/10^9),0)</f>
        <v>-0.0208486778</v>
      </c>
      <c r="T1928" s="177">
        <f>IF($R$1804&gt;0,IPMT('Assumptions (MSW)'!$V$6,Model!Y$1,'Assumptions (MSW)'!$V$9,'Assumptions (MSW)'!$V$4*Model!$R$1804*AVERAGE('Assumptions (MSW)'!$N$2:$P$2)/10^9),0)</f>
        <v>-0.01976630505</v>
      </c>
      <c r="U1928" s="177">
        <f>IF($R$1804&gt;0,IPMT('Assumptions (MSW)'!$V$6,Model!Z$1,'Assumptions (MSW)'!$V$9,'Assumptions (MSW)'!$V$4*Model!$R$1804*AVERAGE('Assumptions (MSW)'!$N$2:$P$2)/10^9),0)</f>
        <v>-0.01863251959</v>
      </c>
      <c r="V1928" s="177">
        <f>IF($R$1804&gt;0,IPMT('Assumptions (MSW)'!$V$6,Model!AA$1,'Assumptions (MSW)'!$V$9,'Assumptions (MSW)'!$V$4*Model!$R$1804*AVERAGE('Assumptions (MSW)'!$N$2:$P$2)/10^9),0)</f>
        <v>-0.01744487933</v>
      </c>
      <c r="W1928" s="177">
        <f>IF($R$1804&gt;0,IPMT('Assumptions (MSW)'!$V$6,Model!AB$1,'Assumptions (MSW)'!$V$9,'Assumptions (MSW)'!$V$4*Model!$R$1804*AVERAGE('Assumptions (MSW)'!$N$2:$P$2)/10^9),0)</f>
        <v>-0.01620082615</v>
      </c>
      <c r="X1928" s="177">
        <f>IF($R$1804&gt;0,IPMT('Assumptions (MSW)'!$V$6,Model!AC$1,'Assumptions (MSW)'!$V$9,'Assumptions (MSW)'!$V$4*Model!$R$1804*AVERAGE('Assumptions (MSW)'!$N$2:$P$2)/10^9),0)</f>
        <v>-0.01489768044</v>
      </c>
      <c r="Y1928" s="177">
        <f>IF($R$1804&gt;0,IPMT('Assumptions (MSW)'!$V$6,Model!AD$1,'Assumptions (MSW)'!$V$9,'Assumptions (MSW)'!$V$4*Model!$R$1804*AVERAGE('Assumptions (MSW)'!$N$2:$P$2)/10^9),0)</f>
        <v>-0.01353263532</v>
      </c>
      <c r="Z1928" s="177">
        <f>IF($R$1804&gt;0,IPMT('Assumptions (MSW)'!$V$6,Model!AE$1,'Assumptions (MSW)'!$V$9,'Assumptions (MSW)'!$V$4*Model!$R$1804*AVERAGE('Assumptions (MSW)'!$N$2:$P$2)/10^9),0)</f>
        <v>-0.01210275055</v>
      </c>
      <c r="AA1928" s="177">
        <f>IF($R$1804&gt;0,IPMT('Assumptions (MSW)'!$V$6,Model!AF$1,'Assumptions (MSW)'!$V$9,'Assumptions (MSW)'!$V$4*Model!$R$1804*AVERAGE('Assumptions (MSW)'!$N$2:$P$2)/10^9),0)</f>
        <v>-0.01060494625</v>
      </c>
      <c r="AB1928" s="177">
        <f>IF($R$1804&gt;0,IPMT('Assumptions (MSW)'!$V$6,Model!AG$1,'Assumptions (MSW)'!$V$9,'Assumptions (MSW)'!$V$4*Model!$R$1804*AVERAGE('Assumptions (MSW)'!$N$2:$P$2)/10^9),0)</f>
        <v>-0.009035996253</v>
      </c>
      <c r="AC1928" s="177">
        <f>IF($R$1804&gt;0,IPMT('Assumptions (MSW)'!$V$6,Model!AH$1,'Assumptions (MSW)'!$V$9,'Assumptions (MSW)'!$V$4*Model!$R$1804*AVERAGE('Assumptions (MSW)'!$N$2:$P$2)/10^9),0)</f>
        <v>-0.007392521128</v>
      </c>
      <c r="AD1928" s="177">
        <f>IF($R$1804&gt;0,IPMT('Assumptions (MSW)'!$V$6,Model!AI$1,'Assumptions (MSW)'!$V$9,'Assumptions (MSW)'!$V$4*Model!$R$1804*AVERAGE('Assumptions (MSW)'!$N$2:$P$2)/10^9),0)</f>
        <v>-0.005670980935</v>
      </c>
      <c r="AE1928" s="177">
        <f>IF($R$1804&gt;0,IPMT('Assumptions (MSW)'!$V$6,Model!AJ$1,'Assumptions (MSW)'!$V$9,'Assumptions (MSW)'!$V$4*Model!$R$1804*AVERAGE('Assumptions (MSW)'!$N$2:$P$2)/10^9),0)</f>
        <v>-0.003867667583</v>
      </c>
      <c r="AF1928" s="177">
        <f>IF($R$1804&gt;0,IPMT('Assumptions (MSW)'!$V$6,Model!AK$1,'Assumptions (MSW)'!$V$9,'Assumptions (MSW)'!$V$4*Model!$R$1804*AVERAGE('Assumptions (MSW)'!$N$2:$P$2)/10^9),0)</f>
        <v>-0.001978696847</v>
      </c>
      <c r="AG1928" s="177"/>
      <c r="AH1928" s="177"/>
      <c r="AI1928" s="177"/>
      <c r="AJ1928" s="177"/>
      <c r="AK1928" s="177"/>
      <c r="AL1928" s="177"/>
      <c r="AM1928" s="177"/>
      <c r="AN1928" s="177"/>
      <c r="AO1928" s="177"/>
      <c r="AP1928" s="177"/>
    </row>
    <row r="1929" ht="15.75" hidden="1" customHeight="1" outlineLevel="1">
      <c r="A1929" s="309"/>
      <c r="B1929" s="38"/>
      <c r="C1929" s="160"/>
      <c r="D1929" s="160"/>
      <c r="E1929" s="160"/>
      <c r="F1929" s="160"/>
      <c r="G1929" s="160"/>
      <c r="H1929" s="160"/>
      <c r="I1929" s="160"/>
      <c r="J1929" s="160"/>
      <c r="K1929" s="160"/>
      <c r="L1929" s="160"/>
      <c r="M1929" s="160"/>
      <c r="N1929" s="160"/>
      <c r="O1929" s="160"/>
      <c r="P1929" s="179"/>
      <c r="Q1929" s="160"/>
      <c r="R1929" s="177"/>
      <c r="S1929" s="160">
        <f>IF($S$1804&gt;0,IPMT('Assumptions (MSW)'!$V$6,Model!W$1,'Assumptions (MSW)'!$V$9,'Assumptions (MSW)'!$V$4*Model!$S$1804*AVERAGE('Assumptions (MSW)'!$O$2:$Q$2)/10^9),0)</f>
        <v>-0.01822136231</v>
      </c>
      <c r="T1929" s="160">
        <f>IF($S$1804&gt;0,IPMT('Assumptions (MSW)'!$V$6,Model!X$1,'Assumptions (MSW)'!$V$9,'Assumptions (MSW)'!$V$4*Model!$S$1804*AVERAGE('Assumptions (MSW)'!$O$2:$Q$2)/10^9),0)</f>
        <v>-0.01736092891</v>
      </c>
      <c r="U1929" s="160">
        <f>IF($S$1804&gt;0,IPMT('Assumptions (MSW)'!$V$6,Model!Y$1,'Assumptions (MSW)'!$V$9,'Assumptions (MSW)'!$V$4*Model!$S$1804*AVERAGE('Assumptions (MSW)'!$O$2:$Q$2)/10^9),0)</f>
        <v>-0.01645962493</v>
      </c>
      <c r="V1929" s="160">
        <f>IF($S$1804&gt;0,IPMT('Assumptions (MSW)'!$V$6,Model!Z$1,'Assumptions (MSW)'!$V$9,'Assumptions (MSW)'!$V$4*Model!$S$1804*AVERAGE('Assumptions (MSW)'!$O$2:$Q$2)/10^9),0)</f>
        <v>-0.015515509</v>
      </c>
      <c r="W1929" s="160">
        <f>IF($S$1804&gt;0,IPMT('Assumptions (MSW)'!$V$6,Model!AA$1,'Assumptions (MSW)'!$V$9,'Assumptions (MSW)'!$V$4*Model!$S$1804*AVERAGE('Assumptions (MSW)'!$O$2:$Q$2)/10^9),0)</f>
        <v>-0.01452654757</v>
      </c>
      <c r="X1929" s="160">
        <f>IF($S$1804&gt;0,IPMT('Assumptions (MSW)'!$V$6,Model!AB$1,'Assumptions (MSW)'!$V$9,'Assumptions (MSW)'!$V$4*Model!$S$1804*AVERAGE('Assumptions (MSW)'!$O$2:$Q$2)/10^9),0)</f>
        <v>-0.01349061047</v>
      </c>
      <c r="Y1929" s="160">
        <f>IF($S$1804&gt;0,IPMT('Assumptions (MSW)'!$V$6,Model!AC$1,'Assumptions (MSW)'!$V$9,'Assumptions (MSW)'!$V$4*Model!$S$1804*AVERAGE('Assumptions (MSW)'!$O$2:$Q$2)/10^9),0)</f>
        <v>-0.01240546636</v>
      </c>
      <c r="Z1929" s="160">
        <f>IF($S$1804&gt;0,IPMT('Assumptions (MSW)'!$V$6,Model!AD$1,'Assumptions (MSW)'!$V$9,'Assumptions (MSW)'!$V$4*Model!$S$1804*AVERAGE('Assumptions (MSW)'!$O$2:$Q$2)/10^9),0)</f>
        <v>-0.0112687779</v>
      </c>
      <c r="AA1929" s="160">
        <f>IF($S$1804&gt;0,IPMT('Assumptions (MSW)'!$V$6,Model!AE$1,'Assumptions (MSW)'!$V$9,'Assumptions (MSW)'!$V$4*Model!$S$1804*AVERAGE('Assumptions (MSW)'!$O$2:$Q$2)/10^9),0)</f>
        <v>-0.01007809675</v>
      </c>
      <c r="AB1929" s="160">
        <f>IF($S$1804&gt;0,IPMT('Assumptions (MSW)'!$V$6,Model!AF$1,'Assumptions (MSW)'!$V$9,'Assumptions (MSW)'!$V$4*Model!$S$1804*AVERAGE('Assumptions (MSW)'!$O$2:$Q$2)/10^9),0)</f>
        <v>-0.008830858233</v>
      </c>
      <c r="AC1929" s="160">
        <f>IF($S$1804&gt;0,IPMT('Assumptions (MSW)'!$V$6,Model!AG$1,'Assumptions (MSW)'!$V$9,'Assumptions (MSW)'!$V$4*Model!$S$1804*AVERAGE('Assumptions (MSW)'!$O$2:$Q$2)/10^9),0)</f>
        <v>-0.007524375891</v>
      </c>
      <c r="AD1929" s="160">
        <f>IF($S$1804&gt;0,IPMT('Assumptions (MSW)'!$V$6,Model!AH$1,'Assumptions (MSW)'!$V$9,'Assumptions (MSW)'!$V$4*Model!$S$1804*AVERAGE('Assumptions (MSW)'!$O$2:$Q$2)/10^9),0)</f>
        <v>-0.006155835637</v>
      </c>
      <c r="AE1929" s="160">
        <f>IF($S$1804&gt;0,IPMT('Assumptions (MSW)'!$V$6,Model!AI$1,'Assumptions (MSW)'!$V$9,'Assumptions (MSW)'!$V$4*Model!$S$1804*AVERAGE('Assumptions (MSW)'!$O$2:$Q$2)/10^9),0)</f>
        <v>-0.004722289721</v>
      </c>
      <c r="AF1929" s="160">
        <f>IF($S$1804&gt;0,IPMT('Assumptions (MSW)'!$V$6,Model!AJ$1,'Assumptions (MSW)'!$V$9,'Assumptions (MSW)'!$V$4*Model!$S$1804*AVERAGE('Assumptions (MSW)'!$O$2:$Q$2)/10^9),0)</f>
        <v>-0.003220650374</v>
      </c>
      <c r="AG1929" s="160">
        <f>IF($S$1804&gt;0,IPMT('Assumptions (MSW)'!$V$6,Model!AK$1,'Assumptions (MSW)'!$V$9,'Assumptions (MSW)'!$V$4*Model!$S$1804*AVERAGE('Assumptions (MSW)'!$O$2:$Q$2)/10^9),0)</f>
        <v>-0.001647683159</v>
      </c>
      <c r="AH1929" s="160"/>
      <c r="AI1929" s="160"/>
      <c r="AJ1929" s="160"/>
      <c r="AK1929" s="160"/>
      <c r="AL1929" s="160"/>
      <c r="AM1929" s="160"/>
      <c r="AN1929" s="160"/>
      <c r="AO1929" s="160"/>
      <c r="AP1929" s="160"/>
      <c r="AQ1929" s="160"/>
    </row>
    <row r="1930" ht="15.75" hidden="1" customHeight="1" outlineLevel="1">
      <c r="A1930" s="309"/>
      <c r="B1930" s="38"/>
      <c r="C1930" s="160"/>
      <c r="D1930" s="160"/>
      <c r="E1930" s="160"/>
      <c r="F1930" s="160"/>
      <c r="G1930" s="160"/>
      <c r="H1930" s="160"/>
      <c r="I1930" s="160"/>
      <c r="J1930" s="160"/>
      <c r="K1930" s="160"/>
      <c r="L1930" s="160"/>
      <c r="M1930" s="160"/>
      <c r="N1930" s="160"/>
      <c r="O1930" s="160"/>
      <c r="P1930" s="179"/>
      <c r="Q1930" s="160"/>
      <c r="R1930" s="177"/>
      <c r="S1930" s="177"/>
      <c r="T1930" s="160">
        <f>IF($T$1804&gt;0,IPMT('Assumptions (MSW)'!$V$6,Model!W$1,'Assumptions (MSW)'!$V$9,'Assumptions (MSW)'!$V$4*Model!$T$1804*AVERAGE('Assumptions (MSW)'!$P$2:$R$2)/10^9),0)</f>
        <v>-0.007112899953</v>
      </c>
      <c r="U1930" s="160">
        <f>IF($T$1804&gt;0,IPMT('Assumptions (MSW)'!$V$6,Model!X$1,'Assumptions (MSW)'!$V$9,'Assumptions (MSW)'!$V$4*Model!$T$1804*AVERAGE('Assumptions (MSW)'!$P$2:$R$2)/10^9),0)</f>
        <v>-0.006777020748</v>
      </c>
      <c r="V1930" s="160">
        <f>IF($T$1804&gt;0,IPMT('Assumptions (MSW)'!$V$6,Model!Y$1,'Assumptions (MSW)'!$V$9,'Assumptions (MSW)'!$V$4*Model!$T$1804*AVERAGE('Assumptions (MSW)'!$P$2:$R$2)/10^9),0)</f>
        <v>-0.006425187282</v>
      </c>
      <c r="W1930" s="160">
        <f>IF($T$1804&gt;0,IPMT('Assumptions (MSW)'!$V$6,Model!Z$1,'Assumptions (MSW)'!$V$9,'Assumptions (MSW)'!$V$4*Model!$T$1804*AVERAGE('Assumptions (MSW)'!$P$2:$R$2)/10^9),0)</f>
        <v>-0.006056641725</v>
      </c>
      <c r="X1930" s="160">
        <f>IF($T$1804&gt;0,IPMT('Assumptions (MSW)'!$V$6,Model!AA$1,'Assumptions (MSW)'!$V$9,'Assumptions (MSW)'!$V$4*Model!$T$1804*AVERAGE('Assumptions (MSW)'!$P$2:$R$2)/10^9),0)</f>
        <v>-0.005670590254</v>
      </c>
      <c r="Y1930" s="160">
        <f>IF($T$1804&gt;0,IPMT('Assumptions (MSW)'!$V$6,Model!AB$1,'Assumptions (MSW)'!$V$9,'Assumptions (MSW)'!$V$4*Model!$T$1804*AVERAGE('Assumptions (MSW)'!$P$2:$R$2)/10^9),0)</f>
        <v>-0.005266201339</v>
      </c>
      <c r="Z1930" s="160">
        <f>IF($T$1804&gt;0,IPMT('Assumptions (MSW)'!$V$6,Model!AC$1,'Assumptions (MSW)'!$V$9,'Assumptions (MSW)'!$V$4*Model!$T$1804*AVERAGE('Assumptions (MSW)'!$P$2:$R$2)/10^9),0)</f>
        <v>-0.00484260395</v>
      </c>
      <c r="AA1930" s="160">
        <f>IF($T$1804&gt;0,IPMT('Assumptions (MSW)'!$V$6,Model!AD$1,'Assumptions (MSW)'!$V$9,'Assumptions (MSW)'!$V$4*Model!$T$1804*AVERAGE('Assumptions (MSW)'!$P$2:$R$2)/10^9),0)</f>
        <v>-0.004398885685</v>
      </c>
      <c r="AB1930" s="160">
        <f>IF($T$1804&gt;0,IPMT('Assumptions (MSW)'!$V$6,Model!AE$1,'Assumptions (MSW)'!$V$9,'Assumptions (MSW)'!$V$4*Model!$T$1804*AVERAGE('Assumptions (MSW)'!$P$2:$R$2)/10^9),0)</f>
        <v>-0.003934090803</v>
      </c>
      <c r="AC1930" s="160">
        <f>IF($T$1804&gt;0,IPMT('Assumptions (MSW)'!$V$6,Model!AF$1,'Assumptions (MSW)'!$V$9,'Assumptions (MSW)'!$V$4*Model!$T$1804*AVERAGE('Assumptions (MSW)'!$P$2:$R$2)/10^9),0)</f>
        <v>-0.003447218163</v>
      </c>
      <c r="AD1930" s="160">
        <f>IF($T$1804&gt;0,IPMT('Assumptions (MSW)'!$V$6,Model!AG$1,'Assumptions (MSW)'!$V$9,'Assumptions (MSW)'!$V$4*Model!$T$1804*AVERAGE('Assumptions (MSW)'!$P$2:$R$2)/10^9),0)</f>
        <v>-0.002937219073</v>
      </c>
      <c r="AE1930" s="160">
        <f>IF($T$1804&gt;0,IPMT('Assumptions (MSW)'!$V$6,Model!AH$1,'Assumptions (MSW)'!$V$9,'Assumptions (MSW)'!$V$4*Model!$T$1804*AVERAGE('Assumptions (MSW)'!$P$2:$R$2)/10^9),0)</f>
        <v>-0.002402995027</v>
      </c>
      <c r="AF1930" s="160">
        <f>IF($T$1804&gt;0,IPMT('Assumptions (MSW)'!$V$6,Model!AI$1,'Assumptions (MSW)'!$V$9,'Assumptions (MSW)'!$V$4*Model!$T$1804*AVERAGE('Assumptions (MSW)'!$P$2:$R$2)/10^9),0)</f>
        <v>-0.001843395338</v>
      </c>
      <c r="AG1930" s="160">
        <f>IF($T$1804&gt;0,IPMT('Assumptions (MSW)'!$V$6,Model!AJ$1,'Assumptions (MSW)'!$V$9,'Assumptions (MSW)'!$V$4*Model!$T$1804*AVERAGE('Assumptions (MSW)'!$P$2:$R$2)/10^9),0)</f>
        <v>-0.001257214664</v>
      </c>
      <c r="AH1930" s="160">
        <f>IF($T$1804&gt;0,IPMT('Assumptions (MSW)'!$V$6,Model!AK$1,'Assumptions (MSW)'!$V$9,'Assumptions (MSW)'!$V$4*Model!$T$1804*AVERAGE('Assumptions (MSW)'!$P$2:$R$2)/10^9),0)</f>
        <v>-0.0006431904081</v>
      </c>
      <c r="AI1930" s="160"/>
      <c r="AJ1930" s="160"/>
      <c r="AK1930" s="160"/>
      <c r="AL1930" s="160"/>
      <c r="AM1930" s="160"/>
      <c r="AN1930" s="160"/>
      <c r="AO1930" s="160"/>
      <c r="AP1930" s="160"/>
      <c r="AQ1930" s="160"/>
      <c r="AR1930" s="160"/>
    </row>
    <row r="1931" ht="15.75" hidden="1" customHeight="1" outlineLevel="1">
      <c r="A1931" s="309"/>
      <c r="B1931" s="38"/>
      <c r="C1931" s="160"/>
      <c r="D1931" s="160"/>
      <c r="E1931" s="160"/>
      <c r="F1931" s="160"/>
      <c r="G1931" s="160"/>
      <c r="H1931" s="160"/>
      <c r="I1931" s="160"/>
      <c r="J1931" s="160"/>
      <c r="K1931" s="160"/>
      <c r="L1931" s="160"/>
      <c r="M1931" s="160"/>
      <c r="N1931" s="160"/>
      <c r="O1931" s="160"/>
      <c r="P1931" s="179"/>
      <c r="Q1931" s="160"/>
      <c r="R1931" s="177"/>
      <c r="S1931" s="177"/>
      <c r="T1931" s="177"/>
      <c r="U1931" s="160">
        <f>IF($U$1804&gt;0,IPMT('Assumptions (MSW)'!$V$6,Model!W$1,'Assumptions (MSW)'!$V$9,'Assumptions (MSW)'!$V$4*Model!$U$1804*AVERAGE('Assumptions (MSW)'!$Q$2:$S$2)/10^9),0)</f>
        <v>-0.0003684777485</v>
      </c>
      <c r="V1931" s="160">
        <f>IF($U$1804&gt;0,IPMT('Assumptions (MSW)'!$V$6,Model!X$1,'Assumptions (MSW)'!$V$9,'Assumptions (MSW)'!$V$4*Model!$U$1804*AVERAGE('Assumptions (MSW)'!$Q$2:$S$2)/10^9),0)</f>
        <v>-0.0003510778112</v>
      </c>
      <c r="W1931" s="160">
        <f>IF($U$1804&gt;0,IPMT('Assumptions (MSW)'!$V$6,Model!Y$1,'Assumptions (MSW)'!$V$9,'Assumptions (MSW)'!$V$4*Model!$U$1804*AVERAGE('Assumptions (MSW)'!$Q$2:$S$2)/10^9),0)</f>
        <v>-0.0003328513769</v>
      </c>
      <c r="X1931" s="160">
        <f>IF($U$1804&gt;0,IPMT('Assumptions (MSW)'!$V$6,Model!Z$1,'Assumptions (MSW)'!$V$9,'Assumptions (MSW)'!$V$4*Model!$U$1804*AVERAGE('Assumptions (MSW)'!$Q$2:$S$2)/10^9),0)</f>
        <v>-0.000313759187</v>
      </c>
      <c r="Y1931" s="160">
        <f>IF($U$1804&gt;0,IPMT('Assumptions (MSW)'!$V$6,Model!AA$1,'Assumptions (MSW)'!$V$9,'Assumptions (MSW)'!$V$4*Model!$U$1804*AVERAGE('Assumptions (MSW)'!$Q$2:$S$2)/10^9),0)</f>
        <v>-0.000293760118</v>
      </c>
      <c r="Z1931" s="160">
        <f>IF($U$1804&gt;0,IPMT('Assumptions (MSW)'!$V$6,Model!AB$1,'Assumptions (MSW)'!$V$9,'Assumptions (MSW)'!$V$4*Model!$U$1804*AVERAGE('Assumptions (MSW)'!$Q$2:$S$2)/10^9),0)</f>
        <v>-0.0002728110933</v>
      </c>
      <c r="AA1931" s="160">
        <f>IF($U$1804&gt;0,IPMT('Assumptions (MSW)'!$V$6,Model!AC$1,'Assumptions (MSW)'!$V$9,'Assumptions (MSW)'!$V$4*Model!$U$1804*AVERAGE('Assumptions (MSW)'!$Q$2:$S$2)/10^9),0)</f>
        <v>-0.0002508669898</v>
      </c>
      <c r="AB1931" s="160">
        <f>IF($U$1804&gt;0,IPMT('Assumptions (MSW)'!$V$6,Model!AD$1,'Assumptions (MSW)'!$V$9,'Assumptions (MSW)'!$V$4*Model!$U$1804*AVERAGE('Assumptions (MSW)'!$Q$2:$S$2)/10^9),0)</f>
        <v>-0.0002278805415</v>
      </c>
      <c r="AC1931" s="160">
        <f>IF($U$1804&gt;0,IPMT('Assumptions (MSW)'!$V$6,Model!AE$1,'Assumptions (MSW)'!$V$9,'Assumptions (MSW)'!$V$4*Model!$U$1804*AVERAGE('Assumptions (MSW)'!$Q$2:$S$2)/10^9),0)</f>
        <v>-0.0002038022369</v>
      </c>
      <c r="AD1931" s="160">
        <f>IF($U$1804&gt;0,IPMT('Assumptions (MSW)'!$V$6,Model!AF$1,'Assumptions (MSW)'!$V$9,'Assumptions (MSW)'!$V$4*Model!$U$1804*AVERAGE('Assumptions (MSW)'!$Q$2:$S$2)/10^9),0)</f>
        <v>-0.0001785802128</v>
      </c>
      <c r="AE1931" s="160">
        <f>IF($U$1804&gt;0,IPMT('Assumptions (MSW)'!$V$6,Model!AG$1,'Assumptions (MSW)'!$V$9,'Assumptions (MSW)'!$V$4*Model!$U$1804*AVERAGE('Assumptions (MSW)'!$Q$2:$S$2)/10^9),0)</f>
        <v>-0.0001521601426</v>
      </c>
      <c r="AF1931" s="160">
        <f>IF($U$1804&gt;0,IPMT('Assumptions (MSW)'!$V$6,Model!AH$1,'Assumptions (MSW)'!$V$9,'Assumptions (MSW)'!$V$4*Model!$U$1804*AVERAGE('Assumptions (MSW)'!$Q$2:$S$2)/10^9),0)</f>
        <v>-0.000124485119</v>
      </c>
      <c r="AG1931" s="160">
        <f>IF($U$1804&gt;0,IPMT('Assumptions (MSW)'!$V$6,Model!AI$1,'Assumptions (MSW)'!$V$9,'Assumptions (MSW)'!$V$4*Model!$U$1804*AVERAGE('Assumptions (MSW)'!$Q$2:$S$2)/10^9),0)</f>
        <v>-0.00009549553181</v>
      </c>
      <c r="AH1931" s="160">
        <f>IF($U$1804&gt;0,IPMT('Assumptions (MSW)'!$V$6,Model!AJ$1,'Assumptions (MSW)'!$V$9,'Assumptions (MSW)'!$V$4*Model!$U$1804*AVERAGE('Assumptions (MSW)'!$Q$2:$S$2)/10^9),0)</f>
        <v>-0.00006512893923</v>
      </c>
      <c r="AI1931" s="160">
        <f>IF($U$1804&gt;0,IPMT('Assumptions (MSW)'!$V$6,Model!AK$1,'Assumptions (MSW)'!$V$9,'Assumptions (MSW)'!$V$4*Model!$U$1804*AVERAGE('Assumptions (MSW)'!$Q$2:$S$2)/10^9),0)</f>
        <v>-0.0000333199335</v>
      </c>
      <c r="AJ1931" s="160"/>
      <c r="AK1931" s="160"/>
      <c r="AL1931" s="160"/>
      <c r="AM1931" s="160"/>
      <c r="AN1931" s="160"/>
      <c r="AO1931" s="160"/>
      <c r="AP1931" s="160"/>
      <c r="AQ1931" s="160"/>
      <c r="AR1931" s="160"/>
      <c r="AS1931" s="160"/>
    </row>
    <row r="1932" ht="15.75" hidden="1" customHeight="1" outlineLevel="1">
      <c r="A1932" s="309"/>
      <c r="B1932" s="38"/>
      <c r="C1932" s="160"/>
      <c r="D1932" s="160"/>
      <c r="E1932" s="160"/>
      <c r="F1932" s="160"/>
      <c r="G1932" s="160"/>
      <c r="H1932" s="160"/>
      <c r="I1932" s="160"/>
      <c r="J1932" s="160"/>
      <c r="K1932" s="160"/>
      <c r="L1932" s="160"/>
      <c r="M1932" s="160"/>
      <c r="N1932" s="160"/>
      <c r="O1932" s="160"/>
      <c r="P1932" s="179"/>
      <c r="Q1932" s="160"/>
      <c r="R1932" s="177"/>
      <c r="S1932" s="177"/>
      <c r="T1932" s="177"/>
      <c r="U1932" s="160"/>
      <c r="V1932" s="160">
        <f>IF($V$1804&gt;0,IPMT('Assumptions (MSW)'!$V$6,Model!W$1,'Assumptions (MSW)'!$V$9,'Assumptions (MSW)'!$V$4*Model!$V$1804*AVERAGE('Assumptions (MSW)'!$R$2:$T$2)/10^9),0)</f>
        <v>-0.001080448955</v>
      </c>
      <c r="W1932" s="160">
        <f>IF($V$1804&gt;0,IPMT('Assumptions (MSW)'!$V$6,Model!X$1,'Assumptions (MSW)'!$V$9,'Assumptions (MSW)'!$V$4*Model!$V$1804*AVERAGE('Assumptions (MSW)'!$R$2:$T$2)/10^9),0)</f>
        <v>-0.00102942893</v>
      </c>
      <c r="X1932" s="160">
        <f>IF($V$1804&gt;0,IPMT('Assumptions (MSW)'!$V$6,Model!Y$1,'Assumptions (MSW)'!$V$9,'Assumptions (MSW)'!$V$4*Model!$V$1804*AVERAGE('Assumptions (MSW)'!$R$2:$T$2)/10^9),0)</f>
        <v>-0.0009759854534</v>
      </c>
      <c r="Y1932" s="160">
        <f>IF($V$1804&gt;0,IPMT('Assumptions (MSW)'!$V$6,Model!Z$1,'Assumptions (MSW)'!$V$9,'Assumptions (MSW)'!$V$4*Model!$V$1804*AVERAGE('Assumptions (MSW)'!$R$2:$T$2)/10^9),0)</f>
        <v>-0.0009200034118</v>
      </c>
      <c r="Z1932" s="160">
        <f>IF($V$1804&gt;0,IPMT('Assumptions (MSW)'!$V$6,Model!AA$1,'Assumptions (MSW)'!$V$9,'Assumptions (MSW)'!$V$4*Model!$V$1804*AVERAGE('Assumptions (MSW)'!$R$2:$T$2)/10^9),0)</f>
        <v>-0.0008613622231</v>
      </c>
      <c r="AA1932" s="160">
        <f>IF($V$1804&gt;0,IPMT('Assumptions (MSW)'!$V$6,Model!AB$1,'Assumptions (MSW)'!$V$9,'Assumptions (MSW)'!$V$4*Model!$V$1804*AVERAGE('Assumptions (MSW)'!$R$2:$T$2)/10^9),0)</f>
        <v>-0.000799935578</v>
      </c>
      <c r="AB1932" s="160">
        <f>IF($V$1804&gt;0,IPMT('Assumptions (MSW)'!$V$6,Model!AC$1,'Assumptions (MSW)'!$V$9,'Assumptions (MSW)'!$V$4*Model!$V$1804*AVERAGE('Assumptions (MSW)'!$R$2:$T$2)/10^9),0)</f>
        <v>-0.0007355911672</v>
      </c>
      <c r="AC1932" s="160">
        <f>IF($V$1804&gt;0,IPMT('Assumptions (MSW)'!$V$6,Model!AD$1,'Assumptions (MSW)'!$V$9,'Assumptions (MSW)'!$V$4*Model!$V$1804*AVERAGE('Assumptions (MSW)'!$R$2:$T$2)/10^9),0)</f>
        <v>-0.0006681903969</v>
      </c>
      <c r="AD1932" s="160">
        <f>IF($V$1804&gt;0,IPMT('Assumptions (MSW)'!$V$6,Model!AE$1,'Assumptions (MSW)'!$V$9,'Assumptions (MSW)'!$V$4*Model!$V$1804*AVERAGE('Assumptions (MSW)'!$R$2:$T$2)/10^9),0)</f>
        <v>-0.00059758809</v>
      </c>
      <c r="AE1932" s="160">
        <f>IF($V$1804&gt;0,IPMT('Assumptions (MSW)'!$V$6,Model!AF$1,'Assumptions (MSW)'!$V$9,'Assumptions (MSW)'!$V$4*Model!$V$1804*AVERAGE('Assumptions (MSW)'!$R$2:$T$2)/10^9),0)</f>
        <v>-0.0005236321736</v>
      </c>
      <c r="AF1932" s="160">
        <f>IF($V$1804&gt;0,IPMT('Assumptions (MSW)'!$V$6,Model!AG$1,'Assumptions (MSW)'!$V$9,'Assumptions (MSW)'!$V$4*Model!$V$1804*AVERAGE('Assumptions (MSW)'!$R$2:$T$2)/10^9),0)</f>
        <v>-0.0004461633511</v>
      </c>
      <c r="AG1932" s="160">
        <f>IF($V$1804&gt;0,IPMT('Assumptions (MSW)'!$V$6,Model!AH$1,'Assumptions (MSW)'!$V$9,'Assumptions (MSW)'!$V$4*Model!$V$1804*AVERAGE('Assumptions (MSW)'!$R$2:$T$2)/10^9),0)</f>
        <v>-0.0003650147596</v>
      </c>
      <c r="AH1932" s="160">
        <f>IF($V$1804&gt;0,IPMT('Assumptions (MSW)'!$V$6,Model!AI$1,'Assumptions (MSW)'!$V$9,'Assumptions (MSW)'!$V$4*Model!$V$1804*AVERAGE('Assumptions (MSW)'!$R$2:$T$2)/10^9),0)</f>
        <v>-0.0002800116099</v>
      </c>
      <c r="AI1932" s="160">
        <f>IF($V$1804&gt;0,IPMT('Assumptions (MSW)'!$V$6,Model!AJ$1,'Assumptions (MSW)'!$V$9,'Assumptions (MSW)'!$V$4*Model!$V$1804*AVERAGE('Assumptions (MSW)'!$R$2:$T$2)/10^9),0)</f>
        <v>-0.0001909708107</v>
      </c>
      <c r="AJ1932" s="160">
        <f>IF($V$1804&gt;0,IPMT('Assumptions (MSW)'!$V$6,Model!AK$1,'Assumptions (MSW)'!$V$9,'Assumptions (MSW)'!$V$4*Model!$V$1804*AVERAGE('Assumptions (MSW)'!$R$2:$T$2)/10^9),0)</f>
        <v>-0.00009770057348</v>
      </c>
      <c r="AK1932" s="160"/>
      <c r="AL1932" s="160"/>
      <c r="AM1932" s="160"/>
      <c r="AN1932" s="160"/>
      <c r="AO1932" s="160"/>
      <c r="AP1932" s="160"/>
      <c r="AQ1932" s="160"/>
      <c r="AR1932" s="160"/>
      <c r="AS1932" s="160"/>
      <c r="AT1932" s="160"/>
    </row>
    <row r="1933" ht="15.75" hidden="1" customHeight="1" outlineLevel="1">
      <c r="A1933" s="309"/>
      <c r="B1933" s="38"/>
      <c r="C1933" s="174"/>
      <c r="D1933" s="174"/>
      <c r="E1933" s="174"/>
      <c r="F1933" s="174"/>
      <c r="G1933" s="174"/>
      <c r="H1933" s="174"/>
      <c r="I1933" s="174"/>
      <c r="J1933" s="174"/>
      <c r="K1933" s="174"/>
      <c r="L1933" s="174"/>
      <c r="M1933" s="174"/>
      <c r="N1933" s="174"/>
      <c r="O1933" s="174"/>
      <c r="P1933" s="174"/>
      <c r="Q1933" s="174"/>
      <c r="R1933" s="174"/>
      <c r="S1933" s="174"/>
      <c r="T1933" s="174"/>
      <c r="U1933" s="174"/>
      <c r="V1933" s="174"/>
      <c r="W1933" s="160">
        <f>IF($W$1804&gt;0,IPMT('Assumptions (MSW)'!$V$6,Model!W$1,'Assumptions (MSW)'!$V$9,'Assumptions (MSW)'!$V$4*Model!$W$1804*average('Assumptions (MSW)'!$S$2:$U$2)/10^9),0)</f>
        <v>0</v>
      </c>
      <c r="X1933" s="160">
        <f>IF($W$1804&gt;0,IPMT('Assumptions (MSW)'!$V$6,Model!X$1,'Assumptions (MSW)'!$V$9,'Assumptions (MSW)'!$V$4*Model!$W$1804*average('Assumptions (MSW)'!$S$2:$U$2)/10^9),0)</f>
        <v>0</v>
      </c>
      <c r="Y1933" s="160">
        <f>IF($W$1804&gt;0,IPMT('Assumptions (MSW)'!$V$6,Model!Y$1,'Assumptions (MSW)'!$V$9,'Assumptions (MSW)'!$V$4*Model!$W$1804*average('Assumptions (MSW)'!$S$2:$U$2)/10^9),0)</f>
        <v>0</v>
      </c>
      <c r="Z1933" s="160">
        <f>IF($W$1804&gt;0,IPMT('Assumptions (MSW)'!$V$6,Model!Z$1,'Assumptions (MSW)'!$V$9,'Assumptions (MSW)'!$V$4*Model!$W$1804*average('Assumptions (MSW)'!$S$2:$U$2)/10^9),0)</f>
        <v>0</v>
      </c>
      <c r="AA1933" s="160">
        <f>IF($W$1804&gt;0,IPMT('Assumptions (MSW)'!$V$6,Model!AA$1,'Assumptions (MSW)'!$V$9,'Assumptions (MSW)'!$V$4*Model!$W$1804*average('Assumptions (MSW)'!$S$2:$U$2)/10^9),0)</f>
        <v>0</v>
      </c>
      <c r="AB1933" s="160">
        <f>IF($W$1804&gt;0,IPMT('Assumptions (MSW)'!$V$6,Model!AB$1,'Assumptions (MSW)'!$V$9,'Assumptions (MSW)'!$V$4*Model!$W$1804*average('Assumptions (MSW)'!$S$2:$U$2)/10^9),0)</f>
        <v>0</v>
      </c>
      <c r="AC1933" s="160">
        <f>IF($W$1804&gt;0,IPMT('Assumptions (MSW)'!$V$6,Model!AC$1,'Assumptions (MSW)'!$V$9,'Assumptions (MSW)'!$V$4*Model!$W$1804*average('Assumptions (MSW)'!$S$2:$U$2)/10^9),0)</f>
        <v>0</v>
      </c>
      <c r="AD1933" s="160">
        <f>IF($W$1804&gt;0,IPMT('Assumptions (MSW)'!$V$6,Model!AD$1,'Assumptions (MSW)'!$V$9,'Assumptions (MSW)'!$V$4*Model!$W$1804*average('Assumptions (MSW)'!$S$2:$U$2)/10^9),0)</f>
        <v>0</v>
      </c>
      <c r="AE1933" s="160">
        <f>IF($W$1804&gt;0,IPMT('Assumptions (MSW)'!$V$6,Model!AE$1,'Assumptions (MSW)'!$V$9,'Assumptions (MSW)'!$V$4*Model!$W$1804*average('Assumptions (MSW)'!$S$2:$U$2)/10^9),0)</f>
        <v>0</v>
      </c>
      <c r="AF1933" s="160">
        <f>IF($W$1804&gt;0,IPMT('Assumptions (MSW)'!$V$6,Model!AF$1,'Assumptions (MSW)'!$V$9,'Assumptions (MSW)'!$V$4*Model!$W$1804*average('Assumptions (MSW)'!$S$2:$U$2)/10^9),0)</f>
        <v>0</v>
      </c>
      <c r="AG1933" s="160">
        <f>IF($W$1804&gt;0,IPMT('Assumptions (MSW)'!$V$6,Model!AG$1,'Assumptions (MSW)'!$V$9,'Assumptions (MSW)'!$V$4*Model!$W$1804*average('Assumptions (MSW)'!$S$2:$U$2)/10^9),0)</f>
        <v>0</v>
      </c>
      <c r="AH1933" s="160">
        <f>IF($W$1804&gt;0,IPMT('Assumptions (MSW)'!$V$6,Model!AH$1,'Assumptions (MSW)'!$V$9,'Assumptions (MSW)'!$V$4*Model!$W$1804*average('Assumptions (MSW)'!$S$2:$U$2)/10^9),0)</f>
        <v>0</v>
      </c>
      <c r="AI1933" s="160">
        <f>IF($W$1804&gt;0,IPMT('Assumptions (MSW)'!$V$6,Model!AI$1,'Assumptions (MSW)'!$V$9,'Assumptions (MSW)'!$V$4*Model!$W$1804*average('Assumptions (MSW)'!$S$2:$U$2)/10^9),0)</f>
        <v>0</v>
      </c>
      <c r="AJ1933" s="160">
        <f>IF($W$1804&gt;0,IPMT('Assumptions (MSW)'!$V$6,Model!AJ$1,'Assumptions (MSW)'!$V$9,'Assumptions (MSW)'!$V$4*Model!$W$1804*average('Assumptions (MSW)'!$S$2:$U$2)/10^9),0)</f>
        <v>0</v>
      </c>
      <c r="AK1933" s="160">
        <f>IF($W$1804&gt;0,IPMT('Assumptions (MSW)'!$V$6,Model!AK$1,'Assumptions (MSW)'!$V$9,'Assumptions (MSW)'!$V$4*Model!$W$1804*average('Assumptions (MSW)'!$S$2:$U$2)/10^9),0)</f>
        <v>0</v>
      </c>
      <c r="AL1933" s="160"/>
      <c r="AM1933" s="160"/>
      <c r="AN1933" s="160"/>
      <c r="AO1933" s="160"/>
      <c r="AP1933" s="160"/>
      <c r="AQ1933" s="160"/>
      <c r="AR1933" s="160"/>
      <c r="AS1933" s="160"/>
      <c r="AT1933" s="160"/>
      <c r="AU1933" s="160"/>
      <c r="AV1933" s="160"/>
      <c r="AW1933" s="160"/>
      <c r="AX1933" s="160"/>
      <c r="AY1933" s="160"/>
      <c r="AZ1933" s="160"/>
      <c r="BA1933" s="160"/>
    </row>
    <row r="1934" ht="15.75" hidden="1" customHeight="1" outlineLevel="1">
      <c r="A1934" s="309"/>
      <c r="B1934" s="38"/>
      <c r="C1934" s="174"/>
      <c r="D1934" s="174"/>
      <c r="E1934" s="174"/>
      <c r="F1934" s="174"/>
      <c r="G1934" s="174"/>
      <c r="H1934" s="174"/>
      <c r="I1934" s="174"/>
      <c r="J1934" s="174"/>
      <c r="K1934" s="174"/>
      <c r="L1934" s="174"/>
      <c r="M1934" s="174"/>
      <c r="N1934" s="174"/>
      <c r="O1934" s="174"/>
      <c r="P1934" s="174"/>
      <c r="Q1934" s="174"/>
      <c r="R1934" s="174"/>
      <c r="S1934" s="174"/>
      <c r="T1934" s="174"/>
      <c r="U1934" s="174"/>
      <c r="V1934" s="174"/>
      <c r="W1934" s="160"/>
      <c r="X1934" s="160">
        <f>IF($X$1804&gt;0,IPMT('Assumptions (MSW)'!$V$6,Model!W$1,'Assumptions (MSW)'!$V$9,'Assumptions (MSW)'!$V$4*Model!$X$1804*average('Assumptions (MSW)'!$T$2:$V$2)/10^9),0)</f>
        <v>0</v>
      </c>
      <c r="Y1934" s="160">
        <f>IF($X$1804&gt;0,IPMT('Assumptions (MSW)'!$V$6,Model!X$1,'Assumptions (MSW)'!$V$9,'Assumptions (MSW)'!$V$4*Model!$X$1804*average('Assumptions (MSW)'!$T$2:$V$2)/10^9),0)</f>
        <v>0</v>
      </c>
      <c r="Z1934" s="160">
        <f>IF($X$1804&gt;0,IPMT('Assumptions (MSW)'!$V$6,Model!Y$1,'Assumptions (MSW)'!$V$9,'Assumptions (MSW)'!$V$4*Model!$X$1804*average('Assumptions (MSW)'!$T$2:$V$2)/10^9),0)</f>
        <v>0</v>
      </c>
      <c r="AA1934" s="160">
        <f>IF($X$1804&gt;0,IPMT('Assumptions (MSW)'!$V$6,Model!Z$1,'Assumptions (MSW)'!$V$9,'Assumptions (MSW)'!$V$4*Model!$X$1804*average('Assumptions (MSW)'!$T$2:$V$2)/10^9),0)</f>
        <v>0</v>
      </c>
      <c r="AB1934" s="160">
        <f>IF($X$1804&gt;0,IPMT('Assumptions (MSW)'!$V$6,Model!AA$1,'Assumptions (MSW)'!$V$9,'Assumptions (MSW)'!$V$4*Model!$X$1804*average('Assumptions (MSW)'!$T$2:$V$2)/10^9),0)</f>
        <v>0</v>
      </c>
      <c r="AC1934" s="160">
        <f>IF($X$1804&gt;0,IPMT('Assumptions (MSW)'!$V$6,Model!AB$1,'Assumptions (MSW)'!$V$9,'Assumptions (MSW)'!$V$4*Model!$X$1804*average('Assumptions (MSW)'!$T$2:$V$2)/10^9),0)</f>
        <v>0</v>
      </c>
      <c r="AD1934" s="160">
        <f>IF($X$1804&gt;0,IPMT('Assumptions (MSW)'!$V$6,Model!AC$1,'Assumptions (MSW)'!$V$9,'Assumptions (MSW)'!$V$4*Model!$X$1804*average('Assumptions (MSW)'!$T$2:$V$2)/10^9),0)</f>
        <v>0</v>
      </c>
      <c r="AE1934" s="160">
        <f>IF($X$1804&gt;0,IPMT('Assumptions (MSW)'!$V$6,Model!AD$1,'Assumptions (MSW)'!$V$9,'Assumptions (MSW)'!$V$4*Model!$X$1804*average('Assumptions (MSW)'!$T$2:$V$2)/10^9),0)</f>
        <v>0</v>
      </c>
      <c r="AF1934" s="160">
        <f>IF($X$1804&gt;0,IPMT('Assumptions (MSW)'!$V$6,Model!AE$1,'Assumptions (MSW)'!$V$9,'Assumptions (MSW)'!$V$4*Model!$X$1804*average('Assumptions (MSW)'!$T$2:$V$2)/10^9),0)</f>
        <v>0</v>
      </c>
      <c r="AG1934" s="160">
        <f>IF($X$1804&gt;0,IPMT('Assumptions (MSW)'!$V$6,Model!AF$1,'Assumptions (MSW)'!$V$9,'Assumptions (MSW)'!$V$4*Model!$X$1804*average('Assumptions (MSW)'!$T$2:$V$2)/10^9),0)</f>
        <v>0</v>
      </c>
      <c r="AH1934" s="160">
        <f>IF($X$1804&gt;0,IPMT('Assumptions (MSW)'!$V$6,Model!AG$1,'Assumptions (MSW)'!$V$9,'Assumptions (MSW)'!$V$4*Model!$X$1804*average('Assumptions (MSW)'!$T$2:$V$2)/10^9),0)</f>
        <v>0</v>
      </c>
      <c r="AI1934" s="160">
        <f>IF($X$1804&gt;0,IPMT('Assumptions (MSW)'!$V$6,Model!AH$1,'Assumptions (MSW)'!$V$9,'Assumptions (MSW)'!$V$4*Model!$X$1804*average('Assumptions (MSW)'!$T$2:$V$2)/10^9),0)</f>
        <v>0</v>
      </c>
      <c r="AJ1934" s="160">
        <f>IF($X$1804&gt;0,IPMT('Assumptions (MSW)'!$V$6,Model!AI$1,'Assumptions (MSW)'!$V$9,'Assumptions (MSW)'!$V$4*Model!$X$1804*average('Assumptions (MSW)'!$T$2:$V$2)/10^9),0)</f>
        <v>0</v>
      </c>
      <c r="AK1934" s="160">
        <f>IF($X$1804&gt;0,IPMT('Assumptions (MSW)'!$V$6,Model!AJ$1,'Assumptions (MSW)'!$V$9,'Assumptions (MSW)'!$V$4*Model!$X$1804*average('Assumptions (MSW)'!$T$2:$V$2)/10^9),0)</f>
        <v>0</v>
      </c>
      <c r="AL1934" s="160">
        <f>IF($X$1804&gt;0,IPMT('Assumptions (MSW)'!$V$6,Model!AK$1,'Assumptions (MSW)'!$V$9,'Assumptions (MSW)'!$V$4*Model!$X$1804*average('Assumptions (MSW)'!$T$2:$V$2)/10^9),0)</f>
        <v>0</v>
      </c>
      <c r="AM1934" s="160"/>
      <c r="AN1934" s="160"/>
      <c r="AO1934" s="160"/>
      <c r="AP1934" s="160"/>
      <c r="AQ1934" s="160"/>
      <c r="AR1934" s="160"/>
      <c r="AS1934" s="160"/>
      <c r="AT1934" s="160"/>
      <c r="AU1934" s="160"/>
      <c r="AV1934" s="160"/>
      <c r="AW1934" s="160"/>
      <c r="AX1934" s="160"/>
      <c r="AY1934" s="160"/>
      <c r="AZ1934" s="160"/>
      <c r="BA1934" s="160"/>
    </row>
    <row r="1935" ht="15.75" hidden="1" customHeight="1" outlineLevel="1">
      <c r="A1935" s="309"/>
      <c r="B1935" s="38"/>
      <c r="C1935" s="174"/>
      <c r="D1935" s="174"/>
      <c r="E1935" s="174"/>
      <c r="F1935" s="174"/>
      <c r="G1935" s="174"/>
      <c r="H1935" s="174"/>
      <c r="I1935" s="174"/>
      <c r="J1935" s="174"/>
      <c r="K1935" s="174"/>
      <c r="L1935" s="174"/>
      <c r="M1935" s="174"/>
      <c r="N1935" s="174"/>
      <c r="O1935" s="174"/>
      <c r="P1935" s="174"/>
      <c r="Q1935" s="174"/>
      <c r="R1935" s="174"/>
      <c r="S1935" s="174"/>
      <c r="T1935" s="174"/>
      <c r="U1935" s="174"/>
      <c r="V1935" s="174"/>
      <c r="W1935" s="160"/>
      <c r="X1935" s="160"/>
      <c r="Y1935" s="160">
        <f>IF($Y$1804&gt;0,IPMT('Assumptions (MSW)'!$V$6,Model!W$1,'Assumptions (MSW)'!$V$9,'Assumptions (MSW)'!$V$4*Model!$Y$1804*AVERAGE('Assumptions (MSW)'!$U$2:$W$2)/10^9),0)</f>
        <v>0</v>
      </c>
      <c r="Z1935" s="160">
        <f>IF($Y$1804&gt;0,IPMT('Assumptions (MSW)'!$V$6,Model!X$1,'Assumptions (MSW)'!$V$9,'Assumptions (MSW)'!$V$4*Model!$Y$1804*AVERAGE('Assumptions (MSW)'!$U$2:$W$2)/10^9),0)</f>
        <v>0</v>
      </c>
      <c r="AA1935" s="160">
        <f>IF($Y$1804&gt;0,IPMT('Assumptions (MSW)'!$V$6,Model!Y$1,'Assumptions (MSW)'!$V$9,'Assumptions (MSW)'!$V$4*Model!$Y$1804*AVERAGE('Assumptions (MSW)'!$U$2:$W$2)/10^9),0)</f>
        <v>0</v>
      </c>
      <c r="AB1935" s="160">
        <f>IF($Y$1804&gt;0,IPMT('Assumptions (MSW)'!$V$6,Model!Z$1,'Assumptions (MSW)'!$V$9,'Assumptions (MSW)'!$V$4*Model!$Y$1804*AVERAGE('Assumptions (MSW)'!$U$2:$W$2)/10^9),0)</f>
        <v>0</v>
      </c>
      <c r="AC1935" s="160">
        <f>IF($Y$1804&gt;0,IPMT('Assumptions (MSW)'!$V$6,Model!AA$1,'Assumptions (MSW)'!$V$9,'Assumptions (MSW)'!$V$4*Model!$Y$1804*AVERAGE('Assumptions (MSW)'!$U$2:$W$2)/10^9),0)</f>
        <v>0</v>
      </c>
      <c r="AD1935" s="160">
        <f>IF($Y$1804&gt;0,IPMT('Assumptions (MSW)'!$V$6,Model!AB$1,'Assumptions (MSW)'!$V$9,'Assumptions (MSW)'!$V$4*Model!$Y$1804*AVERAGE('Assumptions (MSW)'!$U$2:$W$2)/10^9),0)</f>
        <v>0</v>
      </c>
      <c r="AE1935" s="160">
        <f>IF($Y$1804&gt;0,IPMT('Assumptions (MSW)'!$V$6,Model!AC$1,'Assumptions (MSW)'!$V$9,'Assumptions (MSW)'!$V$4*Model!$Y$1804*AVERAGE('Assumptions (MSW)'!$U$2:$W$2)/10^9),0)</f>
        <v>0</v>
      </c>
      <c r="AF1935" s="160">
        <f>IF($Y$1804&gt;0,IPMT('Assumptions (MSW)'!$V$6,Model!AD$1,'Assumptions (MSW)'!$V$9,'Assumptions (MSW)'!$V$4*Model!$Y$1804*AVERAGE('Assumptions (MSW)'!$U$2:$W$2)/10^9),0)</f>
        <v>0</v>
      </c>
      <c r="AG1935" s="160">
        <f>IF($Y$1804&gt;0,IPMT('Assumptions (MSW)'!$V$6,Model!AE$1,'Assumptions (MSW)'!$V$9,'Assumptions (MSW)'!$V$4*Model!$Y$1804*AVERAGE('Assumptions (MSW)'!$U$2:$W$2)/10^9),0)</f>
        <v>0</v>
      </c>
      <c r="AH1935" s="160">
        <f>IF($Y$1804&gt;0,IPMT('Assumptions (MSW)'!$V$6,Model!AF$1,'Assumptions (MSW)'!$V$9,'Assumptions (MSW)'!$V$4*Model!$Y$1804*AVERAGE('Assumptions (MSW)'!$U$2:$W$2)/10^9),0)</f>
        <v>0</v>
      </c>
      <c r="AI1935" s="160">
        <f>IF($Y$1804&gt;0,IPMT('Assumptions (MSW)'!$V$6,Model!AG$1,'Assumptions (MSW)'!$V$9,'Assumptions (MSW)'!$V$4*Model!$Y$1804*AVERAGE('Assumptions (MSW)'!$U$2:$W$2)/10^9),0)</f>
        <v>0</v>
      </c>
      <c r="AJ1935" s="160">
        <f>IF($Y$1804&gt;0,IPMT('Assumptions (MSW)'!$V$6,Model!AH$1,'Assumptions (MSW)'!$V$9,'Assumptions (MSW)'!$V$4*Model!$Y$1804*AVERAGE('Assumptions (MSW)'!$U$2:$W$2)/10^9),0)</f>
        <v>0</v>
      </c>
      <c r="AK1935" s="160">
        <f>IF($Y$1804&gt;0,IPMT('Assumptions (MSW)'!$V$6,Model!AI$1,'Assumptions (MSW)'!$V$9,'Assumptions (MSW)'!$V$4*Model!$Y$1804*AVERAGE('Assumptions (MSW)'!$U$2:$W$2)/10^9),0)</f>
        <v>0</v>
      </c>
      <c r="AL1935" s="160">
        <f>IF($Y$1804&gt;0,IPMT('Assumptions (MSW)'!$V$6,Model!AJ$1,'Assumptions (MSW)'!$V$9,'Assumptions (MSW)'!$V$4*Model!$Y$1804*AVERAGE('Assumptions (MSW)'!$U$2:$W$2)/10^9),0)</f>
        <v>0</v>
      </c>
      <c r="AM1935" s="160">
        <f>IF($Y$1804&gt;0,IPMT('Assumptions (MSW)'!$V$6,Model!AK$1,'Assumptions (MSW)'!$V$9,'Assumptions (MSW)'!$V$4*Model!$Y$1804*AVERAGE('Assumptions (MSW)'!$U$2:$W$2)/10^9),0)</f>
        <v>0</v>
      </c>
      <c r="AN1935" s="160"/>
      <c r="AO1935" s="160"/>
      <c r="AP1935" s="160"/>
      <c r="AQ1935" s="160"/>
      <c r="AR1935" s="160"/>
      <c r="AS1935" s="160"/>
      <c r="AT1935" s="160"/>
      <c r="AU1935" s="160"/>
      <c r="AV1935" s="160"/>
      <c r="AW1935" s="160"/>
      <c r="AX1935" s="160"/>
      <c r="AY1935" s="160"/>
      <c r="AZ1935" s="160"/>
      <c r="BA1935" s="160"/>
    </row>
    <row r="1936" ht="15.75" hidden="1" customHeight="1" outlineLevel="1">
      <c r="A1936" s="309"/>
      <c r="B1936" s="38"/>
      <c r="C1936" s="174"/>
      <c r="D1936" s="174"/>
      <c r="E1936" s="174"/>
      <c r="F1936" s="174"/>
      <c r="G1936" s="174"/>
      <c r="H1936" s="174"/>
      <c r="I1936" s="174"/>
      <c r="J1936" s="174"/>
      <c r="K1936" s="174"/>
      <c r="L1936" s="174"/>
      <c r="M1936" s="174"/>
      <c r="N1936" s="174"/>
      <c r="O1936" s="174"/>
      <c r="P1936" s="174"/>
      <c r="Q1936" s="174"/>
      <c r="R1936" s="174"/>
      <c r="S1936" s="174"/>
      <c r="T1936" s="174"/>
      <c r="U1936" s="174"/>
      <c r="V1936" s="174"/>
      <c r="W1936" s="160"/>
      <c r="X1936" s="160"/>
      <c r="Y1936" s="160"/>
      <c r="Z1936" s="160">
        <f>IF($Z$1804&gt;0,IPMT('Assumptions (MSW)'!$V$6,Model!W$1,'Assumptions (MSW)'!$V$9,'Assumptions (MSW)'!$V$4*Model!$Z$1804*AVERAGE('Assumptions (MSW)'!$V$2:$X$2)/10^9),0)</f>
        <v>0</v>
      </c>
      <c r="AA1936" s="160">
        <f>IF($Z$1804&gt;0,IPMT('Assumptions (MSW)'!$V$6,Model!X$1,'Assumptions (MSW)'!$V$9,'Assumptions (MSW)'!$V$4*Model!$Z$1804*AVERAGE('Assumptions (MSW)'!$V$2:$X$2)/10^9),0)</f>
        <v>0</v>
      </c>
      <c r="AB1936" s="160">
        <f>IF($Z$1804&gt;0,IPMT('Assumptions (MSW)'!$V$6,Model!Y$1,'Assumptions (MSW)'!$V$9,'Assumptions (MSW)'!$V$4*Model!$Z$1804*AVERAGE('Assumptions (MSW)'!$V$2:$X$2)/10^9),0)</f>
        <v>0</v>
      </c>
      <c r="AC1936" s="160">
        <f>IF($Z$1804&gt;0,IPMT('Assumptions (MSW)'!$V$6,Model!Z$1,'Assumptions (MSW)'!$V$9,'Assumptions (MSW)'!$V$4*Model!$Z$1804*AVERAGE('Assumptions (MSW)'!$V$2:$X$2)/10^9),0)</f>
        <v>0</v>
      </c>
      <c r="AD1936" s="160">
        <f>IF($Z$1804&gt;0,IPMT('Assumptions (MSW)'!$V$6,Model!AA$1,'Assumptions (MSW)'!$V$9,'Assumptions (MSW)'!$V$4*Model!$Z$1804*AVERAGE('Assumptions (MSW)'!$V$2:$X$2)/10^9),0)</f>
        <v>0</v>
      </c>
      <c r="AE1936" s="160">
        <f>IF($Z$1804&gt;0,IPMT('Assumptions (MSW)'!$V$6,Model!AB$1,'Assumptions (MSW)'!$V$9,'Assumptions (MSW)'!$V$4*Model!$Z$1804*AVERAGE('Assumptions (MSW)'!$V$2:$X$2)/10^9),0)</f>
        <v>0</v>
      </c>
      <c r="AF1936" s="160">
        <f>IF($Z$1804&gt;0,IPMT('Assumptions (MSW)'!$V$6,Model!AC$1,'Assumptions (MSW)'!$V$9,'Assumptions (MSW)'!$V$4*Model!$Z$1804*AVERAGE('Assumptions (MSW)'!$V$2:$X$2)/10^9),0)</f>
        <v>0</v>
      </c>
      <c r="AG1936" s="160">
        <f>IF($Z$1804&gt;0,IPMT('Assumptions (MSW)'!$V$6,Model!AD$1,'Assumptions (MSW)'!$V$9,'Assumptions (MSW)'!$V$4*Model!$Z$1804*AVERAGE('Assumptions (MSW)'!$V$2:$X$2)/10^9),0)</f>
        <v>0</v>
      </c>
      <c r="AH1936" s="160">
        <f>IF($Z$1804&gt;0,IPMT('Assumptions (MSW)'!$V$6,Model!AE$1,'Assumptions (MSW)'!$V$9,'Assumptions (MSW)'!$V$4*Model!$Z$1804*AVERAGE('Assumptions (MSW)'!$V$2:$X$2)/10^9),0)</f>
        <v>0</v>
      </c>
      <c r="AI1936" s="160">
        <f>IF($Z$1804&gt;0,IPMT('Assumptions (MSW)'!$V$6,Model!AF$1,'Assumptions (MSW)'!$V$9,'Assumptions (MSW)'!$V$4*Model!$Z$1804*AVERAGE('Assumptions (MSW)'!$V$2:$X$2)/10^9),0)</f>
        <v>0</v>
      </c>
      <c r="AJ1936" s="160">
        <f>IF($Z$1804&gt;0,IPMT('Assumptions (MSW)'!$V$6,Model!AG$1,'Assumptions (MSW)'!$V$9,'Assumptions (MSW)'!$V$4*Model!$Z$1804*AVERAGE('Assumptions (MSW)'!$V$2:$X$2)/10^9),0)</f>
        <v>0</v>
      </c>
      <c r="AK1936" s="160">
        <f>IF($Z$1804&gt;0,IPMT('Assumptions (MSW)'!$V$6,Model!AH$1,'Assumptions (MSW)'!$V$9,'Assumptions (MSW)'!$V$4*Model!$Z$1804*AVERAGE('Assumptions (MSW)'!$V$2:$X$2)/10^9),0)</f>
        <v>0</v>
      </c>
      <c r="AL1936" s="160">
        <f>IF($Z$1804&gt;0,IPMT('Assumptions (MSW)'!$V$6,Model!AI$1,'Assumptions (MSW)'!$V$9,'Assumptions (MSW)'!$V$4*Model!$Z$1804*AVERAGE('Assumptions (MSW)'!$V$2:$X$2)/10^9),0)</f>
        <v>0</v>
      </c>
      <c r="AM1936" s="160">
        <f>IF($Z$1804&gt;0,IPMT('Assumptions (MSW)'!$V$6,Model!AJ$1,'Assumptions (MSW)'!$V$9,'Assumptions (MSW)'!$V$4*Model!$Z$1804*AVERAGE('Assumptions (MSW)'!$V$2:$X$2)/10^9),0)</f>
        <v>0</v>
      </c>
      <c r="AN1936" s="160">
        <f>IF($Z$1804&gt;0,IPMT('Assumptions (MSW)'!$V$6,Model!AK$1,'Assumptions (MSW)'!$V$9,'Assumptions (MSW)'!$V$4*Model!$Z$1804*AVERAGE('Assumptions (MSW)'!$V$2:$X$2)/10^9),0)</f>
        <v>0</v>
      </c>
      <c r="AO1936" s="160"/>
      <c r="AP1936" s="160"/>
      <c r="AQ1936" s="160"/>
      <c r="AR1936" s="160"/>
      <c r="AS1936" s="160"/>
      <c r="AT1936" s="160"/>
      <c r="AU1936" s="160"/>
      <c r="AV1936" s="160"/>
      <c r="AW1936" s="160"/>
      <c r="AX1936" s="160"/>
      <c r="AY1936" s="160"/>
      <c r="AZ1936" s="160"/>
      <c r="BA1936" s="160"/>
    </row>
    <row r="1937" ht="15.75" hidden="1" customHeight="1" outlineLevel="1">
      <c r="A1937" s="309"/>
      <c r="B1937" s="38"/>
      <c r="C1937" s="174"/>
      <c r="D1937" s="174"/>
      <c r="E1937" s="174"/>
      <c r="F1937" s="174"/>
      <c r="G1937" s="174"/>
      <c r="H1937" s="174"/>
      <c r="I1937" s="174"/>
      <c r="J1937" s="174"/>
      <c r="K1937" s="174"/>
      <c r="L1937" s="174"/>
      <c r="M1937" s="174"/>
      <c r="N1937" s="174"/>
      <c r="O1937" s="174"/>
      <c r="P1937" s="174"/>
      <c r="Q1937" s="174"/>
      <c r="R1937" s="174"/>
      <c r="S1937" s="174"/>
      <c r="T1937" s="174"/>
      <c r="U1937" s="174"/>
      <c r="V1937" s="174"/>
      <c r="W1937" s="160"/>
      <c r="X1937" s="160"/>
      <c r="Y1937" s="160"/>
      <c r="Z1937" s="160"/>
      <c r="AA1937" s="160">
        <f>IF($AA$1804&gt;0,IPMT('Assumptions (MSW)'!$V$6,Model!W$1,'Assumptions (MSW)'!$V$9,'Assumptions (MSW)'!$V$4*Model!$AA$1804*AVERAGE('Assumptions (MSW)'!$W$2:$Y$2)/10^9),0)</f>
        <v>0</v>
      </c>
      <c r="AB1937" s="160">
        <f>IF($AA$1804&gt;0,IPMT('Assumptions (MSW)'!$V$6,Model!X$1,'Assumptions (MSW)'!$V$9,'Assumptions (MSW)'!$V$4*Model!$AA$1804*AVERAGE('Assumptions (MSW)'!$W$2:$Y$2)/10^9),0)</f>
        <v>0</v>
      </c>
      <c r="AC1937" s="160">
        <f>IF($AA$1804&gt;0,IPMT('Assumptions (MSW)'!$V$6,Model!Y$1,'Assumptions (MSW)'!$V$9,'Assumptions (MSW)'!$V$4*Model!$AA$1804*AVERAGE('Assumptions (MSW)'!$W$2:$Y$2)/10^9),0)</f>
        <v>0</v>
      </c>
      <c r="AD1937" s="160">
        <f>IF($AA$1804&gt;0,IPMT('Assumptions (MSW)'!$V$6,Model!Z$1,'Assumptions (MSW)'!$V$9,'Assumptions (MSW)'!$V$4*Model!$AA$1804*AVERAGE('Assumptions (MSW)'!$W$2:$Y$2)/10^9),0)</f>
        <v>0</v>
      </c>
      <c r="AE1937" s="160">
        <f>IF($AA$1804&gt;0,IPMT('Assumptions (MSW)'!$V$6,Model!AA$1,'Assumptions (MSW)'!$V$9,'Assumptions (MSW)'!$V$4*Model!$AA$1804*AVERAGE('Assumptions (MSW)'!$W$2:$Y$2)/10^9),0)</f>
        <v>0</v>
      </c>
      <c r="AF1937" s="160">
        <f>IF($AA$1804&gt;0,IPMT('Assumptions (MSW)'!$V$6,Model!AB$1,'Assumptions (MSW)'!$V$9,'Assumptions (MSW)'!$V$4*Model!$AA$1804*AVERAGE('Assumptions (MSW)'!$W$2:$Y$2)/10^9),0)</f>
        <v>0</v>
      </c>
      <c r="AG1937" s="160">
        <f>IF($AA$1804&gt;0,IPMT('Assumptions (MSW)'!$V$6,Model!AC$1,'Assumptions (MSW)'!$V$9,'Assumptions (MSW)'!$V$4*Model!$AA$1804*AVERAGE('Assumptions (MSW)'!$W$2:$Y$2)/10^9),0)</f>
        <v>0</v>
      </c>
      <c r="AH1937" s="160">
        <f>IF($AA$1804&gt;0,IPMT('Assumptions (MSW)'!$V$6,Model!AD$1,'Assumptions (MSW)'!$V$9,'Assumptions (MSW)'!$V$4*Model!$AA$1804*AVERAGE('Assumptions (MSW)'!$W$2:$Y$2)/10^9),0)</f>
        <v>0</v>
      </c>
      <c r="AI1937" s="160">
        <f>IF($AA$1804&gt;0,IPMT('Assumptions (MSW)'!$V$6,Model!AE$1,'Assumptions (MSW)'!$V$9,'Assumptions (MSW)'!$V$4*Model!$AA$1804*AVERAGE('Assumptions (MSW)'!$W$2:$Y$2)/10^9),0)</f>
        <v>0</v>
      </c>
      <c r="AJ1937" s="160">
        <f>IF($AA$1804&gt;0,IPMT('Assumptions (MSW)'!$V$6,Model!AF$1,'Assumptions (MSW)'!$V$9,'Assumptions (MSW)'!$V$4*Model!$AA$1804*AVERAGE('Assumptions (MSW)'!$W$2:$Y$2)/10^9),0)</f>
        <v>0</v>
      </c>
      <c r="AK1937" s="160">
        <f>IF($AA$1804&gt;0,IPMT('Assumptions (MSW)'!$V$6,Model!AG$1,'Assumptions (MSW)'!$V$9,'Assumptions (MSW)'!$V$4*Model!$AA$1804*AVERAGE('Assumptions (MSW)'!$W$2:$Y$2)/10^9),0)</f>
        <v>0</v>
      </c>
      <c r="AL1937" s="160">
        <f>IF($AA$1804&gt;0,IPMT('Assumptions (MSW)'!$V$6,Model!AH$1,'Assumptions (MSW)'!$V$9,'Assumptions (MSW)'!$V$4*Model!$AA$1804*AVERAGE('Assumptions (MSW)'!$W$2:$Y$2)/10^9),0)</f>
        <v>0</v>
      </c>
      <c r="AM1937" s="160">
        <f>IF($AA$1804&gt;0,IPMT('Assumptions (MSW)'!$V$6,Model!AI$1,'Assumptions (MSW)'!$V$9,'Assumptions (MSW)'!$V$4*Model!$AA$1804*AVERAGE('Assumptions (MSW)'!$W$2:$Y$2)/10^9),0)</f>
        <v>0</v>
      </c>
      <c r="AN1937" s="160">
        <f>IF($AA$1804&gt;0,IPMT('Assumptions (MSW)'!$V$6,Model!AJ$1,'Assumptions (MSW)'!$V$9,'Assumptions (MSW)'!$V$4*Model!$AA$1804*AVERAGE('Assumptions (MSW)'!$W$2:$Y$2)/10^9),0)</f>
        <v>0</v>
      </c>
      <c r="AO1937" s="160">
        <f>IF($AA$1804&gt;0,IPMT('Assumptions (MSW)'!$V$6,Model!AK$1,'Assumptions (MSW)'!$V$9,'Assumptions (MSW)'!$V$4*Model!$AA$1804*AVERAGE('Assumptions (MSW)'!$W$2:$Y$2)/10^9),0)</f>
        <v>0</v>
      </c>
      <c r="AP1937" s="160"/>
      <c r="AQ1937" s="160"/>
      <c r="AR1937" s="160"/>
      <c r="AS1937" s="160"/>
      <c r="AT1937" s="160"/>
      <c r="AU1937" s="160"/>
      <c r="AV1937" s="160"/>
      <c r="AW1937" s="160"/>
      <c r="AX1937" s="160"/>
      <c r="AY1937" s="160"/>
      <c r="AZ1937" s="160"/>
      <c r="BA1937" s="160"/>
    </row>
    <row r="1938" ht="15.75" hidden="1" customHeight="1" outlineLevel="1">
      <c r="A1938" s="309"/>
      <c r="B1938" s="38"/>
      <c r="C1938" s="174"/>
      <c r="D1938" s="174"/>
      <c r="E1938" s="174"/>
      <c r="F1938" s="174"/>
      <c r="G1938" s="174"/>
      <c r="H1938" s="174"/>
      <c r="I1938" s="174"/>
      <c r="J1938" s="174"/>
      <c r="K1938" s="174"/>
      <c r="L1938" s="174"/>
      <c r="M1938" s="174"/>
      <c r="N1938" s="174"/>
      <c r="O1938" s="174"/>
      <c r="P1938" s="174"/>
      <c r="Q1938" s="174"/>
      <c r="R1938" s="174"/>
      <c r="S1938" s="174"/>
      <c r="T1938" s="174"/>
      <c r="U1938" s="174"/>
      <c r="V1938" s="174"/>
      <c r="W1938" s="160"/>
      <c r="X1938" s="160"/>
      <c r="Y1938" s="160"/>
      <c r="Z1938" s="160"/>
      <c r="AA1938" s="160"/>
      <c r="AB1938" s="160">
        <f>IF($AB$1804&gt;0,IPMT('Assumptions (MSW)'!$V$6,Model!W$1,'Assumptions (MSW)'!$V$9,'Assumptions (MSW)'!$V$4*Model!$AB$1804*AVERAGE('Assumptions (MSW)'!$X$2:$Z$2)/10^9),0)</f>
        <v>0</v>
      </c>
      <c r="AC1938" s="160">
        <f>IF($AB$1804&gt;0,IPMT('Assumptions (MSW)'!$V$6,Model!X$1,'Assumptions (MSW)'!$V$9,'Assumptions (MSW)'!$V$4*Model!$AB$1804*AVERAGE('Assumptions (MSW)'!$X$2:$Z$2)/10^9),0)</f>
        <v>0</v>
      </c>
      <c r="AD1938" s="160">
        <f>IF($AB$1804&gt;0,IPMT('Assumptions (MSW)'!$V$6,Model!Y$1,'Assumptions (MSW)'!$V$9,'Assumptions (MSW)'!$V$4*Model!$AB$1804*AVERAGE('Assumptions (MSW)'!$X$2:$Z$2)/10^9),0)</f>
        <v>0</v>
      </c>
      <c r="AE1938" s="160">
        <f>IF($AB$1804&gt;0,IPMT('Assumptions (MSW)'!$V$6,Model!Z$1,'Assumptions (MSW)'!$V$9,'Assumptions (MSW)'!$V$4*Model!$AB$1804*AVERAGE('Assumptions (MSW)'!$X$2:$Z$2)/10^9),0)</f>
        <v>0</v>
      </c>
      <c r="AF1938" s="160">
        <f>IF($AB$1804&gt;0,IPMT('Assumptions (MSW)'!$V$6,Model!AA$1,'Assumptions (MSW)'!$V$9,'Assumptions (MSW)'!$V$4*Model!$AB$1804*AVERAGE('Assumptions (MSW)'!$X$2:$Z$2)/10^9),0)</f>
        <v>0</v>
      </c>
      <c r="AG1938" s="160">
        <f>IF($AB$1804&gt;0,IPMT('Assumptions (MSW)'!$V$6,Model!AB$1,'Assumptions (MSW)'!$V$9,'Assumptions (MSW)'!$V$4*Model!$AB$1804*AVERAGE('Assumptions (MSW)'!$X$2:$Z$2)/10^9),0)</f>
        <v>0</v>
      </c>
      <c r="AH1938" s="160">
        <f>IF($AB$1804&gt;0,IPMT('Assumptions (MSW)'!$V$6,Model!AC$1,'Assumptions (MSW)'!$V$9,'Assumptions (MSW)'!$V$4*Model!$AB$1804*AVERAGE('Assumptions (MSW)'!$X$2:$Z$2)/10^9),0)</f>
        <v>0</v>
      </c>
      <c r="AI1938" s="160">
        <f>IF($AB$1804&gt;0,IPMT('Assumptions (MSW)'!$V$6,Model!AD$1,'Assumptions (MSW)'!$V$9,'Assumptions (MSW)'!$V$4*Model!$AB$1804*AVERAGE('Assumptions (MSW)'!$X$2:$Z$2)/10^9),0)</f>
        <v>0</v>
      </c>
      <c r="AJ1938" s="160">
        <f>IF($AB$1804&gt;0,IPMT('Assumptions (MSW)'!$V$6,Model!AE$1,'Assumptions (MSW)'!$V$9,'Assumptions (MSW)'!$V$4*Model!$AB$1804*AVERAGE('Assumptions (MSW)'!$X$2:$Z$2)/10^9),0)</f>
        <v>0</v>
      </c>
      <c r="AK1938" s="160">
        <f>IF($AB$1804&gt;0,IPMT('Assumptions (MSW)'!$V$6,Model!AF$1,'Assumptions (MSW)'!$V$9,'Assumptions (MSW)'!$V$4*Model!$AB$1804*AVERAGE('Assumptions (MSW)'!$X$2:$Z$2)/10^9),0)</f>
        <v>0</v>
      </c>
      <c r="AL1938" s="160">
        <f>IF($AB$1804&gt;0,IPMT('Assumptions (MSW)'!$V$6,Model!AG$1,'Assumptions (MSW)'!$V$9,'Assumptions (MSW)'!$V$4*Model!$AB$1804*AVERAGE('Assumptions (MSW)'!$X$2:$Z$2)/10^9),0)</f>
        <v>0</v>
      </c>
      <c r="AM1938" s="160">
        <f>IF($AB$1804&gt;0,IPMT('Assumptions (MSW)'!$V$6,Model!AH$1,'Assumptions (MSW)'!$V$9,'Assumptions (MSW)'!$V$4*Model!$AB$1804*AVERAGE('Assumptions (MSW)'!$X$2:$Z$2)/10^9),0)</f>
        <v>0</v>
      </c>
      <c r="AN1938" s="160">
        <f>IF($AB$1804&gt;0,IPMT('Assumptions (MSW)'!$V$6,Model!AI$1,'Assumptions (MSW)'!$V$9,'Assumptions (MSW)'!$V$4*Model!$AB$1804*AVERAGE('Assumptions (MSW)'!$X$2:$Z$2)/10^9),0)</f>
        <v>0</v>
      </c>
      <c r="AO1938" s="160">
        <f>IF($AB$1804&gt;0,IPMT('Assumptions (MSW)'!$V$6,Model!AJ$1,'Assumptions (MSW)'!$V$9,'Assumptions (MSW)'!$V$4*Model!$AB$1804*AVERAGE('Assumptions (MSW)'!$X$2:$Z$2)/10^9),0)</f>
        <v>0</v>
      </c>
      <c r="AP1938" s="160">
        <f>IF($AB$1804&gt;0,IPMT('Assumptions (MSW)'!$V$6,Model!AK$1,'Assumptions (MSW)'!$V$9,'Assumptions (MSW)'!$V$4*Model!$AB$1804*AVERAGE('Assumptions (MSW)'!$X$2:$Z$2)/10^9),0)</f>
        <v>0</v>
      </c>
      <c r="AQ1938" s="160"/>
      <c r="AR1938" s="160"/>
      <c r="AS1938" s="160"/>
      <c r="AT1938" s="160"/>
      <c r="AU1938" s="160"/>
      <c r="AV1938" s="160"/>
      <c r="AW1938" s="160"/>
      <c r="AX1938" s="160"/>
      <c r="AY1938" s="160"/>
      <c r="AZ1938" s="160"/>
      <c r="BA1938" s="160"/>
    </row>
    <row r="1939" ht="15.75" hidden="1" customHeight="1" outlineLevel="1">
      <c r="A1939" s="309"/>
      <c r="B1939" s="38"/>
      <c r="C1939" s="174"/>
      <c r="D1939" s="174"/>
      <c r="E1939" s="174"/>
      <c r="F1939" s="174"/>
      <c r="G1939" s="174"/>
      <c r="H1939" s="174"/>
      <c r="I1939" s="174"/>
      <c r="J1939" s="174"/>
      <c r="K1939" s="174"/>
      <c r="L1939" s="174"/>
      <c r="M1939" s="174"/>
      <c r="N1939" s="174"/>
      <c r="O1939" s="174"/>
      <c r="P1939" s="174"/>
      <c r="Q1939" s="174"/>
      <c r="R1939" s="174"/>
      <c r="S1939" s="174"/>
      <c r="T1939" s="174"/>
      <c r="U1939" s="174"/>
      <c r="V1939" s="174"/>
      <c r="W1939" s="160"/>
      <c r="X1939" s="160"/>
      <c r="Y1939" s="160"/>
      <c r="Z1939" s="160"/>
      <c r="AA1939" s="160"/>
      <c r="AB1939" s="160"/>
      <c r="AC1939" s="160">
        <f>IF($AC$1804&gt;0,IPMT('Assumptions (MSW)'!$V$6,Model!W$1,'Assumptions (MSW)'!$V$9,'Assumptions (MSW)'!$V$4*Model!$AC$1804*AVERAGE('Assumptions (MSW)'!$Y$2:$AA$2)/10^9),0)</f>
        <v>0</v>
      </c>
      <c r="AD1939" s="160">
        <f>IF($AC$1804&gt;0,IPMT('Assumptions (MSW)'!$V$6,Model!X$1,'Assumptions (MSW)'!$V$9,'Assumptions (MSW)'!$V$4*Model!$AC$1804*AVERAGE('Assumptions (MSW)'!$Y$2:$AA$2)/10^9),0)</f>
        <v>0</v>
      </c>
      <c r="AE1939" s="160">
        <f>IF($AC$1804&gt;0,IPMT('Assumptions (MSW)'!$V$6,Model!Y$1,'Assumptions (MSW)'!$V$9,'Assumptions (MSW)'!$V$4*Model!$AC$1804*AVERAGE('Assumptions (MSW)'!$Y$2:$AA$2)/10^9),0)</f>
        <v>0</v>
      </c>
      <c r="AF1939" s="160">
        <f>IF($AC$1804&gt;0,IPMT('Assumptions (MSW)'!$V$6,Model!Z$1,'Assumptions (MSW)'!$V$9,'Assumptions (MSW)'!$V$4*Model!$AC$1804*AVERAGE('Assumptions (MSW)'!$Y$2:$AA$2)/10^9),0)</f>
        <v>0</v>
      </c>
      <c r="AG1939" s="160">
        <f>IF($AC$1804&gt;0,IPMT('Assumptions (MSW)'!$V$6,Model!AA$1,'Assumptions (MSW)'!$V$9,'Assumptions (MSW)'!$V$4*Model!$AC$1804*AVERAGE('Assumptions (MSW)'!$Y$2:$AA$2)/10^9),0)</f>
        <v>0</v>
      </c>
      <c r="AH1939" s="160">
        <f>IF($AC$1804&gt;0,IPMT('Assumptions (MSW)'!$V$6,Model!AB$1,'Assumptions (MSW)'!$V$9,'Assumptions (MSW)'!$V$4*Model!$AC$1804*AVERAGE('Assumptions (MSW)'!$Y$2:$AA$2)/10^9),0)</f>
        <v>0</v>
      </c>
      <c r="AI1939" s="160">
        <f>IF($AC$1804&gt;0,IPMT('Assumptions (MSW)'!$V$6,Model!AC$1,'Assumptions (MSW)'!$V$9,'Assumptions (MSW)'!$V$4*Model!$AC$1804*AVERAGE('Assumptions (MSW)'!$Y$2:$AA$2)/10^9),0)</f>
        <v>0</v>
      </c>
      <c r="AJ1939" s="160">
        <f>IF($AC$1804&gt;0,IPMT('Assumptions (MSW)'!$V$6,Model!AD$1,'Assumptions (MSW)'!$V$9,'Assumptions (MSW)'!$V$4*Model!$AC$1804*AVERAGE('Assumptions (MSW)'!$Y$2:$AA$2)/10^9),0)</f>
        <v>0</v>
      </c>
      <c r="AK1939" s="160">
        <f>IF($AC$1804&gt;0,IPMT('Assumptions (MSW)'!$V$6,Model!AE$1,'Assumptions (MSW)'!$V$9,'Assumptions (MSW)'!$V$4*Model!$AC$1804*AVERAGE('Assumptions (MSW)'!$Y$2:$AA$2)/10^9),0)</f>
        <v>0</v>
      </c>
      <c r="AL1939" s="160">
        <f>IF($AC$1804&gt;0,IPMT('Assumptions (MSW)'!$V$6,Model!AF$1,'Assumptions (MSW)'!$V$9,'Assumptions (MSW)'!$V$4*Model!$AC$1804*AVERAGE('Assumptions (MSW)'!$Y$2:$AA$2)/10^9),0)</f>
        <v>0</v>
      </c>
      <c r="AM1939" s="160">
        <f>IF($AC$1804&gt;0,IPMT('Assumptions (MSW)'!$V$6,Model!AG$1,'Assumptions (MSW)'!$V$9,'Assumptions (MSW)'!$V$4*Model!$AC$1804*AVERAGE('Assumptions (MSW)'!$Y$2:$AA$2)/10^9),0)</f>
        <v>0</v>
      </c>
      <c r="AN1939" s="160">
        <f>IF($AC$1804&gt;0,IPMT('Assumptions (MSW)'!$V$6,Model!AH$1,'Assumptions (MSW)'!$V$9,'Assumptions (MSW)'!$V$4*Model!$AC$1804*AVERAGE('Assumptions (MSW)'!$Y$2:$AA$2)/10^9),0)</f>
        <v>0</v>
      </c>
      <c r="AO1939" s="160">
        <f>IF($AC$1804&gt;0,IPMT('Assumptions (MSW)'!$V$6,Model!AI$1,'Assumptions (MSW)'!$V$9,'Assumptions (MSW)'!$V$4*Model!$AC$1804*AVERAGE('Assumptions (MSW)'!$Y$2:$AA$2)/10^9),0)</f>
        <v>0</v>
      </c>
      <c r="AP1939" s="160">
        <f>IF($AC$1804&gt;0,IPMT('Assumptions (MSW)'!$V$6,Model!AJ$1,'Assumptions (MSW)'!$V$9,'Assumptions (MSW)'!$V$4*Model!$AC$1804*AVERAGE('Assumptions (MSW)'!$Y$2:$AA$2)/10^9),0)</f>
        <v>0</v>
      </c>
      <c r="AQ1939" s="160">
        <f>IF($AC$1804&gt;0,IPMT('Assumptions (MSW)'!$V$6,Model!AK$1,'Assumptions (MSW)'!$V$9,'Assumptions (MSW)'!$V$4*Model!$AC$1804*AVERAGE('Assumptions (MSW)'!$Y$2:$AA$2)/10^9),0)</f>
        <v>0</v>
      </c>
      <c r="AR1939" s="160"/>
      <c r="AS1939" s="160"/>
      <c r="AT1939" s="160"/>
      <c r="AU1939" s="160"/>
      <c r="AV1939" s="160"/>
      <c r="AW1939" s="160"/>
      <c r="AX1939" s="160"/>
      <c r="AY1939" s="160"/>
      <c r="AZ1939" s="160"/>
      <c r="BA1939" s="160"/>
    </row>
    <row r="1940" ht="15.75" hidden="1" customHeight="1" outlineLevel="1">
      <c r="A1940" s="309"/>
      <c r="B1940" s="38"/>
      <c r="C1940" s="174"/>
      <c r="D1940" s="174"/>
      <c r="E1940" s="174"/>
      <c r="F1940" s="174"/>
      <c r="G1940" s="174"/>
      <c r="H1940" s="174"/>
      <c r="I1940" s="174"/>
      <c r="J1940" s="174"/>
      <c r="K1940" s="174"/>
      <c r="L1940" s="174"/>
      <c r="M1940" s="174"/>
      <c r="N1940" s="174"/>
      <c r="O1940" s="174"/>
      <c r="P1940" s="174"/>
      <c r="Q1940" s="174"/>
      <c r="R1940" s="174"/>
      <c r="S1940" s="174"/>
      <c r="T1940" s="174"/>
      <c r="U1940" s="174"/>
      <c r="V1940" s="174"/>
      <c r="W1940" s="160"/>
      <c r="X1940" s="160"/>
      <c r="Y1940" s="160"/>
      <c r="Z1940" s="160"/>
      <c r="AA1940" s="160"/>
      <c r="AB1940" s="160"/>
      <c r="AC1940" s="160"/>
      <c r="AD1940" s="160">
        <f>IF($AD$1804&gt;0,IPMT('Assumptions (MSW)'!$V$6,Model!W$1,'Assumptions (MSW)'!$V$9,'Assumptions (MSW)'!$V$4*Model!$AD$1804*AVERAGE('Assumptions (MSW)'!$Z$2:$AB$2)/10^9),0)</f>
        <v>0</v>
      </c>
      <c r="AE1940" s="160">
        <f>IF($AD$1804&gt;0,IPMT('Assumptions (MSW)'!$V$6,Model!X$1,'Assumptions (MSW)'!$V$9,'Assumptions (MSW)'!$V$4*Model!$AD$1804*AVERAGE('Assumptions (MSW)'!$Z$2:$AB$2)/10^9),0)</f>
        <v>0</v>
      </c>
      <c r="AF1940" s="160">
        <f>IF($AD$1804&gt;0,IPMT('Assumptions (MSW)'!$V$6,Model!Y$1,'Assumptions (MSW)'!$V$9,'Assumptions (MSW)'!$V$4*Model!$AD$1804*AVERAGE('Assumptions (MSW)'!$Z$2:$AB$2)/10^9),0)</f>
        <v>0</v>
      </c>
      <c r="AG1940" s="160">
        <f>IF($AD$1804&gt;0,IPMT('Assumptions (MSW)'!$V$6,Model!Z$1,'Assumptions (MSW)'!$V$9,'Assumptions (MSW)'!$V$4*Model!$AD$1804*AVERAGE('Assumptions (MSW)'!$Z$2:$AB$2)/10^9),0)</f>
        <v>0</v>
      </c>
      <c r="AH1940" s="160">
        <f>IF($AD$1804&gt;0,IPMT('Assumptions (MSW)'!$V$6,Model!AA$1,'Assumptions (MSW)'!$V$9,'Assumptions (MSW)'!$V$4*Model!$AD$1804*AVERAGE('Assumptions (MSW)'!$Z$2:$AB$2)/10^9),0)</f>
        <v>0</v>
      </c>
      <c r="AI1940" s="160">
        <f>IF($AD$1804&gt;0,IPMT('Assumptions (MSW)'!$V$6,Model!AB$1,'Assumptions (MSW)'!$V$9,'Assumptions (MSW)'!$V$4*Model!$AD$1804*AVERAGE('Assumptions (MSW)'!$Z$2:$AB$2)/10^9),0)</f>
        <v>0</v>
      </c>
      <c r="AJ1940" s="160">
        <f>IF($AD$1804&gt;0,IPMT('Assumptions (MSW)'!$V$6,Model!AC$1,'Assumptions (MSW)'!$V$9,'Assumptions (MSW)'!$V$4*Model!$AD$1804*AVERAGE('Assumptions (MSW)'!$Z$2:$AB$2)/10^9),0)</f>
        <v>0</v>
      </c>
      <c r="AK1940" s="160">
        <f>IF($AD$1804&gt;0,IPMT('Assumptions (MSW)'!$V$6,Model!AD$1,'Assumptions (MSW)'!$V$9,'Assumptions (MSW)'!$V$4*Model!$AD$1804*AVERAGE('Assumptions (MSW)'!$Z$2:$AB$2)/10^9),0)</f>
        <v>0</v>
      </c>
      <c r="AL1940" s="160">
        <f>IF($AD$1804&gt;0,IPMT('Assumptions (MSW)'!$V$6,Model!AE$1,'Assumptions (MSW)'!$V$9,'Assumptions (MSW)'!$V$4*Model!$AD$1804*AVERAGE('Assumptions (MSW)'!$Z$2:$AB$2)/10^9),0)</f>
        <v>0</v>
      </c>
      <c r="AM1940" s="160">
        <f>IF($AD$1804&gt;0,IPMT('Assumptions (MSW)'!$V$6,Model!AF$1,'Assumptions (MSW)'!$V$9,'Assumptions (MSW)'!$V$4*Model!$AD$1804*AVERAGE('Assumptions (MSW)'!$Z$2:$AB$2)/10^9),0)</f>
        <v>0</v>
      </c>
      <c r="AN1940" s="160">
        <f>IF($AD$1804&gt;0,IPMT('Assumptions (MSW)'!$V$6,Model!AG$1,'Assumptions (MSW)'!$V$9,'Assumptions (MSW)'!$V$4*Model!$AD$1804*AVERAGE('Assumptions (MSW)'!$Z$2:$AB$2)/10^9),0)</f>
        <v>0</v>
      </c>
      <c r="AO1940" s="160">
        <f>IF($AD$1804&gt;0,IPMT('Assumptions (MSW)'!$V$6,Model!AH$1,'Assumptions (MSW)'!$V$9,'Assumptions (MSW)'!$V$4*Model!$AD$1804*AVERAGE('Assumptions (MSW)'!$Z$2:$AB$2)/10^9),0)</f>
        <v>0</v>
      </c>
      <c r="AP1940" s="160">
        <f>IF($AD$1804&gt;0,IPMT('Assumptions (MSW)'!$V$6,Model!AI$1,'Assumptions (MSW)'!$V$9,'Assumptions (MSW)'!$V$4*Model!$AD$1804*AVERAGE('Assumptions (MSW)'!$Z$2:$AB$2)/10^9),0)</f>
        <v>0</v>
      </c>
      <c r="AQ1940" s="160">
        <f>IF($AD$1804&gt;0,IPMT('Assumptions (MSW)'!$V$6,Model!AJ$1,'Assumptions (MSW)'!$V$9,'Assumptions (MSW)'!$V$4*Model!$AD$1804*AVERAGE('Assumptions (MSW)'!$Z$2:$AB$2)/10^9),0)</f>
        <v>0</v>
      </c>
      <c r="AR1940" s="160">
        <f>IF($AD$1804&gt;0,IPMT('Assumptions (MSW)'!$V$6,Model!AK$1,'Assumptions (MSW)'!$V$9,'Assumptions (MSW)'!$V$4*Model!$AD$1804*AVERAGE('Assumptions (MSW)'!$Z$2:$AB$2)/10^9),0)</f>
        <v>0</v>
      </c>
      <c r="AS1940" s="160"/>
      <c r="AT1940" s="160"/>
      <c r="AU1940" s="160"/>
      <c r="AV1940" s="160"/>
      <c r="AW1940" s="160"/>
      <c r="AX1940" s="160"/>
      <c r="AY1940" s="160"/>
      <c r="AZ1940" s="160"/>
      <c r="BA1940" s="160"/>
      <c r="BB1940" s="160"/>
    </row>
    <row r="1941" ht="15.75" hidden="1" customHeight="1" outlineLevel="1">
      <c r="A1941" s="309"/>
      <c r="B1941" s="38"/>
      <c r="C1941" s="174"/>
      <c r="D1941" s="174"/>
      <c r="E1941" s="174"/>
      <c r="F1941" s="174"/>
      <c r="G1941" s="174"/>
      <c r="H1941" s="174"/>
      <c r="I1941" s="174"/>
      <c r="J1941" s="174"/>
      <c r="K1941" s="174"/>
      <c r="L1941" s="174"/>
      <c r="M1941" s="174"/>
      <c r="N1941" s="174"/>
      <c r="O1941" s="174"/>
      <c r="P1941" s="174"/>
      <c r="Q1941" s="174"/>
      <c r="R1941" s="174"/>
      <c r="S1941" s="174"/>
      <c r="T1941" s="174"/>
      <c r="U1941" s="174"/>
      <c r="V1941" s="174"/>
      <c r="W1941" s="160"/>
      <c r="X1941" s="160"/>
      <c r="Y1941" s="160"/>
      <c r="Z1941" s="160"/>
      <c r="AA1941" s="160"/>
      <c r="AB1941" s="160"/>
      <c r="AC1941" s="160"/>
      <c r="AD1941" s="160"/>
      <c r="AE1941" s="160">
        <f>IF($AE$1804&gt;0,IPMT('Assumptions (MSW)'!$V$6,Model!W$1,'Assumptions (MSW)'!$V$9,'Assumptions (MSW)'!$V$4*Model!$AE$1804*AVERAGE('Assumptions (MSW)'!$AA$2:$AC$2)/10^9),0)</f>
        <v>0</v>
      </c>
      <c r="AF1941" s="160">
        <f>IF($AE$1804&gt;0,IPMT('Assumptions (MSW)'!$V$6,Model!X$1,'Assumptions (MSW)'!$V$9,'Assumptions (MSW)'!$V$4*Model!$AE$1804*AVERAGE('Assumptions (MSW)'!$AA$2:$AC$2)/10^9),0)</f>
        <v>0</v>
      </c>
      <c r="AG1941" s="160">
        <f>IF($AE$1804&gt;0,IPMT('Assumptions (MSW)'!$V$6,Model!Y$1,'Assumptions (MSW)'!$V$9,'Assumptions (MSW)'!$V$4*Model!$AE$1804*AVERAGE('Assumptions (MSW)'!$AA$2:$AC$2)/10^9),0)</f>
        <v>0</v>
      </c>
      <c r="AH1941" s="160">
        <f>IF($AE$1804&gt;0,IPMT('Assumptions (MSW)'!$V$6,Model!Z$1,'Assumptions (MSW)'!$V$9,'Assumptions (MSW)'!$V$4*Model!$AE$1804*AVERAGE('Assumptions (MSW)'!$AA$2:$AC$2)/10^9),0)</f>
        <v>0</v>
      </c>
      <c r="AI1941" s="160">
        <f>IF($AE$1804&gt;0,IPMT('Assumptions (MSW)'!$V$6,Model!AA$1,'Assumptions (MSW)'!$V$9,'Assumptions (MSW)'!$V$4*Model!$AE$1804*AVERAGE('Assumptions (MSW)'!$AA$2:$AC$2)/10^9),0)</f>
        <v>0</v>
      </c>
      <c r="AJ1941" s="160">
        <f>IF($AE$1804&gt;0,IPMT('Assumptions (MSW)'!$V$6,Model!AB$1,'Assumptions (MSW)'!$V$9,'Assumptions (MSW)'!$V$4*Model!$AE$1804*AVERAGE('Assumptions (MSW)'!$AA$2:$AC$2)/10^9),0)</f>
        <v>0</v>
      </c>
      <c r="AK1941" s="160">
        <f>IF($AE$1804&gt;0,IPMT('Assumptions (MSW)'!$V$6,Model!AC$1,'Assumptions (MSW)'!$V$9,'Assumptions (MSW)'!$V$4*Model!$AE$1804*AVERAGE('Assumptions (MSW)'!$AA$2:$AC$2)/10^9),0)</f>
        <v>0</v>
      </c>
      <c r="AL1941" s="160">
        <f>IF($AE$1804&gt;0,IPMT('Assumptions (MSW)'!$V$6,Model!AD$1,'Assumptions (MSW)'!$V$9,'Assumptions (MSW)'!$V$4*Model!$AE$1804*AVERAGE('Assumptions (MSW)'!$AA$2:$AC$2)/10^9),0)</f>
        <v>0</v>
      </c>
      <c r="AM1941" s="160">
        <f>IF($AE$1804&gt;0,IPMT('Assumptions (MSW)'!$V$6,Model!AE$1,'Assumptions (MSW)'!$V$9,'Assumptions (MSW)'!$V$4*Model!$AE$1804*AVERAGE('Assumptions (MSW)'!$AA$2:$AC$2)/10^9),0)</f>
        <v>0</v>
      </c>
      <c r="AN1941" s="160">
        <f>IF($AE$1804&gt;0,IPMT('Assumptions (MSW)'!$V$6,Model!AF$1,'Assumptions (MSW)'!$V$9,'Assumptions (MSW)'!$V$4*Model!$AE$1804*AVERAGE('Assumptions (MSW)'!$AA$2:$AC$2)/10^9),0)</f>
        <v>0</v>
      </c>
      <c r="AO1941" s="160">
        <f>IF($AE$1804&gt;0,IPMT('Assumptions (MSW)'!$V$6,Model!AG$1,'Assumptions (MSW)'!$V$9,'Assumptions (MSW)'!$V$4*Model!$AE$1804*AVERAGE('Assumptions (MSW)'!$AA$2:$AC$2)/10^9),0)</f>
        <v>0</v>
      </c>
      <c r="AP1941" s="160">
        <f>IF($AE$1804&gt;0,IPMT('Assumptions (MSW)'!$V$6,Model!AH$1,'Assumptions (MSW)'!$V$9,'Assumptions (MSW)'!$V$4*Model!$AE$1804*AVERAGE('Assumptions (MSW)'!$AA$2:$AC$2)/10^9),0)</f>
        <v>0</v>
      </c>
      <c r="AQ1941" s="160">
        <f>IF($AE$1804&gt;0,IPMT('Assumptions (MSW)'!$V$6,Model!AI$1,'Assumptions (MSW)'!$V$9,'Assumptions (MSW)'!$V$4*Model!$AE$1804*AVERAGE('Assumptions (MSW)'!$AA$2:$AC$2)/10^9),0)</f>
        <v>0</v>
      </c>
      <c r="AR1941" s="160">
        <f>IF($AE$1804&gt;0,IPMT('Assumptions (MSW)'!$V$6,Model!AJ$1,'Assumptions (MSW)'!$V$9,'Assumptions (MSW)'!$V$4*Model!$AE$1804*AVERAGE('Assumptions (MSW)'!$AA$2:$AC$2)/10^9),0)</f>
        <v>0</v>
      </c>
      <c r="AS1941" s="160">
        <f>IF($AE$1804&gt;0,IPMT('Assumptions (MSW)'!$V$6,Model!AK$1,'Assumptions (MSW)'!$V$9,'Assumptions (MSW)'!$V$4*Model!$AE$1804*AVERAGE('Assumptions (MSW)'!$AA$2:$AC$2)/10^9),0)</f>
        <v>0</v>
      </c>
      <c r="AT1941" s="160"/>
      <c r="AU1941" s="160"/>
      <c r="AV1941" s="160"/>
      <c r="AW1941" s="160"/>
      <c r="AX1941" s="160"/>
      <c r="AY1941" s="160"/>
      <c r="AZ1941" s="160"/>
      <c r="BA1941" s="160"/>
      <c r="BB1941" s="160"/>
      <c r="BC1941" s="160"/>
    </row>
    <row r="1942" ht="15.75" hidden="1" customHeight="1" outlineLevel="1">
      <c r="A1942" s="309"/>
      <c r="B1942" s="38"/>
      <c r="C1942" s="174"/>
      <c r="D1942" s="174"/>
      <c r="E1942" s="174"/>
      <c r="F1942" s="174"/>
      <c r="G1942" s="174"/>
      <c r="H1942" s="174"/>
      <c r="I1942" s="174"/>
      <c r="J1942" s="174"/>
      <c r="K1942" s="174"/>
      <c r="L1942" s="174"/>
      <c r="M1942" s="174"/>
      <c r="N1942" s="174"/>
      <c r="O1942" s="174"/>
      <c r="P1942" s="174"/>
      <c r="Q1942" s="174"/>
      <c r="R1942" s="174"/>
      <c r="S1942" s="174"/>
      <c r="T1942" s="174"/>
      <c r="U1942" s="174"/>
      <c r="V1942" s="174"/>
      <c r="W1942" s="160"/>
      <c r="X1942" s="160"/>
      <c r="Y1942" s="160"/>
      <c r="Z1942" s="160"/>
      <c r="AA1942" s="160"/>
      <c r="AB1942" s="160"/>
      <c r="AC1942" s="160"/>
      <c r="AD1942" s="160"/>
      <c r="AE1942" s="160"/>
      <c r="AF1942" s="160">
        <f>IF($AF$1804&gt;0,IPMT('Assumptions (MSW)'!$V$6,Model!W$1,'Assumptions (MSW)'!$V$9,'Assumptions (MSW)'!$V$4*Model!$AF$1804*AVERAGE('Assumptions (MSW)'!$AB$2:$AD$2)/10^9),0)</f>
        <v>0</v>
      </c>
      <c r="AG1942" s="160">
        <f>IF($AF$1804&gt;0,IPMT('Assumptions (MSW)'!$V$6,Model!X$1,'Assumptions (MSW)'!$V$9,'Assumptions (MSW)'!$V$4*Model!$AF$1804*AVERAGE('Assumptions (MSW)'!$AB$2:$AD$2)/10^9),0)</f>
        <v>0</v>
      </c>
      <c r="AH1942" s="160">
        <f>IF($AF$1804&gt;0,IPMT('Assumptions (MSW)'!$V$6,Model!Y$1,'Assumptions (MSW)'!$V$9,'Assumptions (MSW)'!$V$4*Model!$AF$1804*AVERAGE('Assumptions (MSW)'!$AB$2:$AD$2)/10^9),0)</f>
        <v>0</v>
      </c>
      <c r="AI1942" s="160">
        <f>IF($AF$1804&gt;0,IPMT('Assumptions (MSW)'!$V$6,Model!Z$1,'Assumptions (MSW)'!$V$9,'Assumptions (MSW)'!$V$4*Model!$AF$1804*AVERAGE('Assumptions (MSW)'!$AB$2:$AD$2)/10^9),0)</f>
        <v>0</v>
      </c>
      <c r="AJ1942" s="160">
        <f>IF($AF$1804&gt;0,IPMT('Assumptions (MSW)'!$V$6,Model!AA$1,'Assumptions (MSW)'!$V$9,'Assumptions (MSW)'!$V$4*Model!$AF$1804*AVERAGE('Assumptions (MSW)'!$AB$2:$AD$2)/10^9),0)</f>
        <v>0</v>
      </c>
      <c r="AK1942" s="160">
        <f>IF($AF$1804&gt;0,IPMT('Assumptions (MSW)'!$V$6,Model!AB$1,'Assumptions (MSW)'!$V$9,'Assumptions (MSW)'!$V$4*Model!$AF$1804*AVERAGE('Assumptions (MSW)'!$AB$2:$AD$2)/10^9),0)</f>
        <v>0</v>
      </c>
      <c r="AL1942" s="160">
        <f>IF($AF$1804&gt;0,IPMT('Assumptions (MSW)'!$V$6,Model!AC$1,'Assumptions (MSW)'!$V$9,'Assumptions (MSW)'!$V$4*Model!$AF$1804*AVERAGE('Assumptions (MSW)'!$AB$2:$AD$2)/10^9),0)</f>
        <v>0</v>
      </c>
      <c r="AM1942" s="160">
        <f>IF($AF$1804&gt;0,IPMT('Assumptions (MSW)'!$V$6,Model!AD$1,'Assumptions (MSW)'!$V$9,'Assumptions (MSW)'!$V$4*Model!$AF$1804*AVERAGE('Assumptions (MSW)'!$AB$2:$AD$2)/10^9),0)</f>
        <v>0</v>
      </c>
      <c r="AN1942" s="160">
        <f>IF($AF$1804&gt;0,IPMT('Assumptions (MSW)'!$V$6,Model!AE$1,'Assumptions (MSW)'!$V$9,'Assumptions (MSW)'!$V$4*Model!$AF$1804*AVERAGE('Assumptions (MSW)'!$AB$2:$AD$2)/10^9),0)</f>
        <v>0</v>
      </c>
      <c r="AO1942" s="160">
        <f>IF($AF$1804&gt;0,IPMT('Assumptions (MSW)'!$V$6,Model!AF$1,'Assumptions (MSW)'!$V$9,'Assumptions (MSW)'!$V$4*Model!$AF$1804*AVERAGE('Assumptions (MSW)'!$AB$2:$AD$2)/10^9),0)</f>
        <v>0</v>
      </c>
      <c r="AP1942" s="160">
        <f>IF($AF$1804&gt;0,IPMT('Assumptions (MSW)'!$V$6,Model!AG$1,'Assumptions (MSW)'!$V$9,'Assumptions (MSW)'!$V$4*Model!$AF$1804*AVERAGE('Assumptions (MSW)'!$AB$2:$AD$2)/10^9),0)</f>
        <v>0</v>
      </c>
      <c r="AQ1942" s="160">
        <f>IF($AF$1804&gt;0,IPMT('Assumptions (MSW)'!$V$6,Model!AH$1,'Assumptions (MSW)'!$V$9,'Assumptions (MSW)'!$V$4*Model!$AF$1804*AVERAGE('Assumptions (MSW)'!$AB$2:$AD$2)/10^9),0)</f>
        <v>0</v>
      </c>
      <c r="AR1942" s="160">
        <f>IF($AF$1804&gt;0,IPMT('Assumptions (MSW)'!$V$6,Model!AI$1,'Assumptions (MSW)'!$V$9,'Assumptions (MSW)'!$V$4*Model!$AF$1804*AVERAGE('Assumptions (MSW)'!$AB$2:$AD$2)/10^9),0)</f>
        <v>0</v>
      </c>
      <c r="AS1942" s="160">
        <f>IF($AF$1804&gt;0,IPMT('Assumptions (MSW)'!$V$6,Model!AJ$1,'Assumptions (MSW)'!$V$9,'Assumptions (MSW)'!$V$4*Model!$AF$1804*AVERAGE('Assumptions (MSW)'!$AB$2:$AD$2)/10^9),0)</f>
        <v>0</v>
      </c>
      <c r="AT1942" s="160">
        <f>IF($AF$1804&gt;0,IPMT('Assumptions (MSW)'!$V$6,Model!AK$1,'Assumptions (MSW)'!$V$9,'Assumptions (MSW)'!$V$4*Model!$AF$1804*AVERAGE('Assumptions (MSW)'!$AB$2:$AD$2)/10^9),0)</f>
        <v>0</v>
      </c>
      <c r="AU1942" s="160"/>
      <c r="AV1942" s="160"/>
      <c r="AW1942" s="160"/>
      <c r="AX1942" s="160"/>
      <c r="AY1942" s="160"/>
      <c r="AZ1942" s="160"/>
      <c r="BA1942" s="160"/>
      <c r="BB1942" s="160"/>
      <c r="BC1942" s="160"/>
      <c r="BD1942" s="160"/>
    </row>
    <row r="1943" ht="15.75" hidden="1" customHeight="1" outlineLevel="1">
      <c r="A1943" s="309"/>
      <c r="B1943" s="38"/>
      <c r="C1943" s="174"/>
      <c r="D1943" s="174"/>
      <c r="E1943" s="174"/>
      <c r="F1943" s="174"/>
      <c r="G1943" s="174"/>
      <c r="H1943" s="174"/>
      <c r="I1943" s="174"/>
      <c r="J1943" s="174"/>
      <c r="K1943" s="174"/>
      <c r="L1943" s="174"/>
      <c r="M1943" s="174"/>
      <c r="N1943" s="174"/>
      <c r="O1943" s="174"/>
      <c r="P1943" s="174"/>
      <c r="Q1943" s="174"/>
      <c r="R1943" s="174"/>
      <c r="S1943" s="174"/>
      <c r="T1943" s="174"/>
      <c r="U1943" s="174"/>
      <c r="V1943" s="174"/>
      <c r="W1943" s="160"/>
      <c r="X1943" s="160"/>
      <c r="Y1943" s="160"/>
      <c r="Z1943" s="160"/>
      <c r="AA1943" s="160"/>
      <c r="AB1943" s="160"/>
      <c r="AC1943" s="160"/>
      <c r="AD1943" s="160"/>
      <c r="AE1943" s="160"/>
      <c r="AF1943" s="160"/>
      <c r="AG1943" s="160">
        <f>IF($AG$1804&gt;0,IPMT('Assumptions (MSW)'!$V$6,Model!W$1,'Assumptions (MSW)'!$V$9,'Assumptions (MSW)'!$V$4*Model!$AG$1804*AVERAGE('Assumptions (MSW)'!$AC$2:$AE$2)/10^9),0)</f>
        <v>0</v>
      </c>
      <c r="AH1943" s="160">
        <f>IF($AG$1804&gt;0,IPMT('Assumptions (MSW)'!$V$6,Model!X$1,'Assumptions (MSW)'!$V$9,'Assumptions (MSW)'!$V$4*Model!$AG$1804*AVERAGE('Assumptions (MSW)'!$AC$2:$AE$2)/10^9),0)</f>
        <v>0</v>
      </c>
      <c r="AI1943" s="160">
        <f>IF($AG$1804&gt;0,IPMT('Assumptions (MSW)'!$V$6,Model!Y$1,'Assumptions (MSW)'!$V$9,'Assumptions (MSW)'!$V$4*Model!$AG$1804*AVERAGE('Assumptions (MSW)'!$AC$2:$AE$2)/10^9),0)</f>
        <v>0</v>
      </c>
      <c r="AJ1943" s="160">
        <f>IF($AG$1804&gt;0,IPMT('Assumptions (MSW)'!$V$6,Model!Z$1,'Assumptions (MSW)'!$V$9,'Assumptions (MSW)'!$V$4*Model!$AG$1804*AVERAGE('Assumptions (MSW)'!$AC$2:$AE$2)/10^9),0)</f>
        <v>0</v>
      </c>
      <c r="AK1943" s="160">
        <f>IF($AG$1804&gt;0,IPMT('Assumptions (MSW)'!$V$6,Model!AA$1,'Assumptions (MSW)'!$V$9,'Assumptions (MSW)'!$V$4*Model!$AG$1804*AVERAGE('Assumptions (MSW)'!$AC$2:$AE$2)/10^9),0)</f>
        <v>0</v>
      </c>
      <c r="AL1943" s="160">
        <f>IF($AG$1804&gt;0,IPMT('Assumptions (MSW)'!$V$6,Model!AB$1,'Assumptions (MSW)'!$V$9,'Assumptions (MSW)'!$V$4*Model!$AG$1804*AVERAGE('Assumptions (MSW)'!$AC$2:$AE$2)/10^9),0)</f>
        <v>0</v>
      </c>
      <c r="AM1943" s="160">
        <f>IF($AG$1804&gt;0,IPMT('Assumptions (MSW)'!$V$6,Model!AC$1,'Assumptions (MSW)'!$V$9,'Assumptions (MSW)'!$V$4*Model!$AG$1804*AVERAGE('Assumptions (MSW)'!$AC$2:$AE$2)/10^9),0)</f>
        <v>0</v>
      </c>
      <c r="AN1943" s="160">
        <f>IF($AG$1804&gt;0,IPMT('Assumptions (MSW)'!$V$6,Model!AD$1,'Assumptions (MSW)'!$V$9,'Assumptions (MSW)'!$V$4*Model!$AG$1804*AVERAGE('Assumptions (MSW)'!$AC$2:$AE$2)/10^9),0)</f>
        <v>0</v>
      </c>
      <c r="AO1943" s="160">
        <f>IF($AG$1804&gt;0,IPMT('Assumptions (MSW)'!$V$6,Model!AE$1,'Assumptions (MSW)'!$V$9,'Assumptions (MSW)'!$V$4*Model!$AG$1804*AVERAGE('Assumptions (MSW)'!$AC$2:$AE$2)/10^9),0)</f>
        <v>0</v>
      </c>
      <c r="AP1943" s="160">
        <f>IF($AG$1804&gt;0,IPMT('Assumptions (MSW)'!$V$6,Model!AF$1,'Assumptions (MSW)'!$V$9,'Assumptions (MSW)'!$V$4*Model!$AG$1804*AVERAGE('Assumptions (MSW)'!$AC$2:$AE$2)/10^9),0)</f>
        <v>0</v>
      </c>
      <c r="AQ1943" s="160">
        <f>IF($AG$1804&gt;0,IPMT('Assumptions (MSW)'!$V$6,Model!AG$1,'Assumptions (MSW)'!$V$9,'Assumptions (MSW)'!$V$4*Model!$AG$1804*AVERAGE('Assumptions (MSW)'!$AC$2:$AE$2)/10^9),0)</f>
        <v>0</v>
      </c>
      <c r="AR1943" s="160">
        <f>IF($AG$1804&gt;0,IPMT('Assumptions (MSW)'!$V$6,Model!AH$1,'Assumptions (MSW)'!$V$9,'Assumptions (MSW)'!$V$4*Model!$AG$1804*AVERAGE('Assumptions (MSW)'!$AC$2:$AE$2)/10^9),0)</f>
        <v>0</v>
      </c>
      <c r="AS1943" s="160">
        <f>IF($AG$1804&gt;0,IPMT('Assumptions (MSW)'!$V$6,Model!AI$1,'Assumptions (MSW)'!$V$9,'Assumptions (MSW)'!$V$4*Model!$AG$1804*AVERAGE('Assumptions (MSW)'!$AC$2:$AE$2)/10^9),0)</f>
        <v>0</v>
      </c>
      <c r="AT1943" s="160">
        <f>IF($AG$1804&gt;0,IPMT('Assumptions (MSW)'!$V$6,Model!AJ$1,'Assumptions (MSW)'!$V$9,'Assumptions (MSW)'!$V$4*Model!$AG$1804*AVERAGE('Assumptions (MSW)'!$AC$2:$AE$2)/10^9),0)</f>
        <v>0</v>
      </c>
      <c r="AU1943" s="160">
        <f>IF($AG$1804&gt;0,IPMT('Assumptions (MSW)'!$V$6,Model!AK$1,'Assumptions (MSW)'!$V$9,'Assumptions (MSW)'!$V$4*Model!$AG$1804*AVERAGE('Assumptions (MSW)'!$AC$2:$AE$2)/10^9),0)</f>
        <v>0</v>
      </c>
      <c r="AV1943" s="160"/>
      <c r="AW1943" s="160"/>
      <c r="AX1943" s="160"/>
      <c r="AY1943" s="160"/>
      <c r="AZ1943" s="160"/>
      <c r="BA1943" s="160"/>
      <c r="BB1943" s="160"/>
      <c r="BC1943" s="160"/>
      <c r="BD1943" s="160"/>
      <c r="BE1943" s="160"/>
    </row>
    <row r="1944" ht="15.75" hidden="1" customHeight="1" outlineLevel="1">
      <c r="A1944" s="309"/>
      <c r="B1944" s="38"/>
      <c r="C1944" s="174"/>
      <c r="D1944" s="174"/>
      <c r="E1944" s="174"/>
      <c r="F1944" s="174"/>
      <c r="G1944" s="174"/>
      <c r="H1944" s="174"/>
      <c r="I1944" s="174"/>
      <c r="J1944" s="174"/>
      <c r="K1944" s="174"/>
      <c r="L1944" s="174"/>
      <c r="M1944" s="174"/>
      <c r="N1944" s="174"/>
      <c r="O1944" s="174"/>
      <c r="P1944" s="174"/>
      <c r="Q1944" s="174"/>
      <c r="R1944" s="174"/>
      <c r="S1944" s="174"/>
      <c r="T1944" s="174"/>
      <c r="U1944" s="174"/>
      <c r="V1944" s="174"/>
      <c r="W1944" s="160"/>
      <c r="X1944" s="160"/>
      <c r="Y1944" s="160"/>
      <c r="Z1944" s="160"/>
      <c r="AA1944" s="160"/>
      <c r="AB1944" s="160"/>
      <c r="AC1944" s="160"/>
      <c r="AD1944" s="160"/>
      <c r="AE1944" s="160"/>
      <c r="AF1944" s="160"/>
      <c r="AG1944" s="160"/>
      <c r="AH1944" s="160">
        <f>IF($AH$1804&gt;0,IPMT('Assumptions (MSW)'!$V$6,Model!W$1,'Assumptions (MSW)'!$V$9,'Assumptions (MSW)'!$V$4*Model!$AH$1804*AVERAGE('Assumptions (MSW)'!$AD$2:$AF$2)/10^9),0)</f>
        <v>0</v>
      </c>
      <c r="AI1944" s="160">
        <f>IF($AH$1804&gt;0,IPMT('Assumptions (MSW)'!$V$6,Model!X$1,'Assumptions (MSW)'!$V$9,'Assumptions (MSW)'!$V$4*Model!$AH$1804*AVERAGE('Assumptions (MSW)'!$AD$2:$AF$2)/10^9),0)</f>
        <v>0</v>
      </c>
      <c r="AJ1944" s="160">
        <f>IF($AH$1804&gt;0,IPMT('Assumptions (MSW)'!$V$6,Model!Y$1,'Assumptions (MSW)'!$V$9,'Assumptions (MSW)'!$V$4*Model!$AH$1804*AVERAGE('Assumptions (MSW)'!$AD$2:$AF$2)/10^9),0)</f>
        <v>0</v>
      </c>
      <c r="AK1944" s="160">
        <f>IF($AH$1804&gt;0,IPMT('Assumptions (MSW)'!$V$6,Model!Z$1,'Assumptions (MSW)'!$V$9,'Assumptions (MSW)'!$V$4*Model!$AH$1804*AVERAGE('Assumptions (MSW)'!$AD$2:$AF$2)/10^9),0)</f>
        <v>0</v>
      </c>
      <c r="AL1944" s="160">
        <f>IF($AH$1804&gt;0,IPMT('Assumptions (MSW)'!$V$6,Model!AA$1,'Assumptions (MSW)'!$V$9,'Assumptions (MSW)'!$V$4*Model!$AH$1804*AVERAGE('Assumptions (MSW)'!$AD$2:$AF$2)/10^9),0)</f>
        <v>0</v>
      </c>
      <c r="AM1944" s="160">
        <f>IF($AH$1804&gt;0,IPMT('Assumptions (MSW)'!$V$6,Model!AB$1,'Assumptions (MSW)'!$V$9,'Assumptions (MSW)'!$V$4*Model!$AH$1804*AVERAGE('Assumptions (MSW)'!$AD$2:$AF$2)/10^9),0)</f>
        <v>0</v>
      </c>
      <c r="AN1944" s="160">
        <f>IF($AH$1804&gt;0,IPMT('Assumptions (MSW)'!$V$6,Model!AC$1,'Assumptions (MSW)'!$V$9,'Assumptions (MSW)'!$V$4*Model!$AH$1804*AVERAGE('Assumptions (MSW)'!$AD$2:$AF$2)/10^9),0)</f>
        <v>0</v>
      </c>
      <c r="AO1944" s="160">
        <f>IF($AH$1804&gt;0,IPMT('Assumptions (MSW)'!$V$6,Model!AD$1,'Assumptions (MSW)'!$V$9,'Assumptions (MSW)'!$V$4*Model!$AH$1804*AVERAGE('Assumptions (MSW)'!$AD$2:$AF$2)/10^9),0)</f>
        <v>0</v>
      </c>
      <c r="AP1944" s="160">
        <f>IF($AH$1804&gt;0,IPMT('Assumptions (MSW)'!$V$6,Model!AE$1,'Assumptions (MSW)'!$V$9,'Assumptions (MSW)'!$V$4*Model!$AH$1804*AVERAGE('Assumptions (MSW)'!$AD$2:$AF$2)/10^9),0)</f>
        <v>0</v>
      </c>
      <c r="AQ1944" s="160">
        <f>IF($AH$1804&gt;0,IPMT('Assumptions (MSW)'!$V$6,Model!AF$1,'Assumptions (MSW)'!$V$9,'Assumptions (MSW)'!$V$4*Model!$AH$1804*AVERAGE('Assumptions (MSW)'!$AD$2:$AF$2)/10^9),0)</f>
        <v>0</v>
      </c>
      <c r="AR1944" s="160">
        <f>IF($AH$1804&gt;0,IPMT('Assumptions (MSW)'!$V$6,Model!AG$1,'Assumptions (MSW)'!$V$9,'Assumptions (MSW)'!$V$4*Model!$AH$1804*AVERAGE('Assumptions (MSW)'!$AD$2:$AF$2)/10^9),0)</f>
        <v>0</v>
      </c>
      <c r="AS1944" s="160">
        <f>IF($AH$1804&gt;0,IPMT('Assumptions (MSW)'!$V$6,Model!AH$1,'Assumptions (MSW)'!$V$9,'Assumptions (MSW)'!$V$4*Model!$AH$1804*AVERAGE('Assumptions (MSW)'!$AD$2:$AF$2)/10^9),0)</f>
        <v>0</v>
      </c>
      <c r="AT1944" s="160">
        <f>IF($AH$1804&gt;0,IPMT('Assumptions (MSW)'!$V$6,Model!AI$1,'Assumptions (MSW)'!$V$9,'Assumptions (MSW)'!$V$4*Model!$AH$1804*AVERAGE('Assumptions (MSW)'!$AD$2:$AF$2)/10^9),0)</f>
        <v>0</v>
      </c>
      <c r="AU1944" s="160">
        <f>IF($AH$1804&gt;0,IPMT('Assumptions (MSW)'!$V$6,Model!AJ$1,'Assumptions (MSW)'!$V$9,'Assumptions (MSW)'!$V$4*Model!$AH$1804*AVERAGE('Assumptions (MSW)'!$AD$2:$AF$2)/10^9),0)</f>
        <v>0</v>
      </c>
      <c r="AV1944" s="160">
        <f>IF($AH$1804&gt;0,IPMT('Assumptions (MSW)'!$V$6,Model!AK$1,'Assumptions (MSW)'!$V$9,'Assumptions (MSW)'!$V$4*Model!$AH$1804*AVERAGE('Assumptions (MSW)'!$AD$2:$AF$2)/10^9),0)</f>
        <v>0</v>
      </c>
      <c r="AW1944" s="160"/>
      <c r="AX1944" s="160"/>
      <c r="AY1944" s="160"/>
      <c r="AZ1944" s="160"/>
      <c r="BA1944" s="160"/>
      <c r="BB1944" s="160"/>
      <c r="BC1944" s="160"/>
      <c r="BD1944" s="160"/>
      <c r="BE1944" s="160"/>
      <c r="BF1944" s="160"/>
    </row>
    <row r="1945" ht="15.75" hidden="1" customHeight="1" outlineLevel="1">
      <c r="A1945" s="309"/>
      <c r="B1945" s="38"/>
      <c r="C1945" s="174"/>
      <c r="D1945" s="174"/>
      <c r="E1945" s="174"/>
      <c r="F1945" s="174"/>
      <c r="G1945" s="174"/>
      <c r="H1945" s="174"/>
      <c r="I1945" s="174"/>
      <c r="J1945" s="174"/>
      <c r="K1945" s="174"/>
      <c r="L1945" s="174"/>
      <c r="M1945" s="174"/>
      <c r="N1945" s="174"/>
      <c r="O1945" s="174"/>
      <c r="P1945" s="174"/>
      <c r="Q1945" s="174"/>
      <c r="R1945" s="174"/>
      <c r="S1945" s="174"/>
      <c r="T1945" s="174"/>
      <c r="U1945" s="174"/>
      <c r="V1945" s="174"/>
      <c r="W1945" s="160"/>
      <c r="X1945" s="160"/>
      <c r="Y1945" s="160"/>
      <c r="Z1945" s="160"/>
      <c r="AA1945" s="160"/>
      <c r="AB1945" s="160"/>
      <c r="AC1945" s="160"/>
      <c r="AD1945" s="160"/>
      <c r="AE1945" s="160"/>
      <c r="AF1945" s="160"/>
      <c r="AG1945" s="160"/>
      <c r="AH1945" s="160"/>
      <c r="AI1945" s="160">
        <f>IF($AI$1804&gt;0,IPMT('Assumptions (MSW)'!$V$6,Model!W$1,'Assumptions (MSW)'!$V$9,'Assumptions (MSW)'!$V$4*Model!$AI$1804*AVERAGE('Assumptions (MSW)'!$AE$2:$AG$2)/10^9),0)</f>
        <v>0</v>
      </c>
      <c r="AJ1945" s="160">
        <f>IF($AI$1804&gt;0,IPMT('Assumptions (MSW)'!$V$6,Model!X$1,'Assumptions (MSW)'!$V$9,'Assumptions (MSW)'!$V$4*Model!$AI$1804*AVERAGE('Assumptions (MSW)'!$AE$2:$AG$2)/10^9),0)</f>
        <v>0</v>
      </c>
      <c r="AK1945" s="160">
        <f>IF($AI$1804&gt;0,IPMT('Assumptions (MSW)'!$V$6,Model!Y$1,'Assumptions (MSW)'!$V$9,'Assumptions (MSW)'!$V$4*Model!$AI$1804*AVERAGE('Assumptions (MSW)'!$AE$2:$AG$2)/10^9),0)</f>
        <v>0</v>
      </c>
      <c r="AL1945" s="160">
        <f>IF($AI$1804&gt;0,IPMT('Assumptions (MSW)'!$V$6,Model!Z$1,'Assumptions (MSW)'!$V$9,'Assumptions (MSW)'!$V$4*Model!$AI$1804*AVERAGE('Assumptions (MSW)'!$AE$2:$AG$2)/10^9),0)</f>
        <v>0</v>
      </c>
      <c r="AM1945" s="160">
        <f>IF($AI$1804&gt;0,IPMT('Assumptions (MSW)'!$V$6,Model!AA$1,'Assumptions (MSW)'!$V$9,'Assumptions (MSW)'!$V$4*Model!$AI$1804*AVERAGE('Assumptions (MSW)'!$AE$2:$AG$2)/10^9),0)</f>
        <v>0</v>
      </c>
      <c r="AN1945" s="160">
        <f>IF($AI$1804&gt;0,IPMT('Assumptions (MSW)'!$V$6,Model!AB$1,'Assumptions (MSW)'!$V$9,'Assumptions (MSW)'!$V$4*Model!$AI$1804*AVERAGE('Assumptions (MSW)'!$AE$2:$AG$2)/10^9),0)</f>
        <v>0</v>
      </c>
      <c r="AO1945" s="160">
        <f>IF($AI$1804&gt;0,IPMT('Assumptions (MSW)'!$V$6,Model!AC$1,'Assumptions (MSW)'!$V$9,'Assumptions (MSW)'!$V$4*Model!$AI$1804*AVERAGE('Assumptions (MSW)'!$AE$2:$AG$2)/10^9),0)</f>
        <v>0</v>
      </c>
      <c r="AP1945" s="160">
        <f>IF($AI$1804&gt;0,IPMT('Assumptions (MSW)'!$V$6,Model!AD$1,'Assumptions (MSW)'!$V$9,'Assumptions (MSW)'!$V$4*Model!$AI$1804*AVERAGE('Assumptions (MSW)'!$AE$2:$AG$2)/10^9),0)</f>
        <v>0</v>
      </c>
      <c r="AQ1945" s="160">
        <f>IF($AI$1804&gt;0,IPMT('Assumptions (MSW)'!$V$6,Model!AE$1,'Assumptions (MSW)'!$V$9,'Assumptions (MSW)'!$V$4*Model!$AI$1804*AVERAGE('Assumptions (MSW)'!$AE$2:$AG$2)/10^9),0)</f>
        <v>0</v>
      </c>
      <c r="AR1945" s="160">
        <f>IF($AI$1804&gt;0,IPMT('Assumptions (MSW)'!$V$6,Model!AF$1,'Assumptions (MSW)'!$V$9,'Assumptions (MSW)'!$V$4*Model!$AI$1804*AVERAGE('Assumptions (MSW)'!$AE$2:$AG$2)/10^9),0)</f>
        <v>0</v>
      </c>
      <c r="AS1945" s="160">
        <f>IF($AI$1804&gt;0,IPMT('Assumptions (MSW)'!$V$6,Model!AG$1,'Assumptions (MSW)'!$V$9,'Assumptions (MSW)'!$V$4*Model!$AI$1804*AVERAGE('Assumptions (MSW)'!$AE$2:$AG$2)/10^9),0)</f>
        <v>0</v>
      </c>
      <c r="AT1945" s="160">
        <f>IF($AI$1804&gt;0,IPMT('Assumptions (MSW)'!$V$6,Model!AH$1,'Assumptions (MSW)'!$V$9,'Assumptions (MSW)'!$V$4*Model!$AI$1804*AVERAGE('Assumptions (MSW)'!$AE$2:$AG$2)/10^9),0)</f>
        <v>0</v>
      </c>
      <c r="AU1945" s="160">
        <f>IF($AI$1804&gt;0,IPMT('Assumptions (MSW)'!$V$6,Model!AI$1,'Assumptions (MSW)'!$V$9,'Assumptions (MSW)'!$V$4*Model!$AI$1804*AVERAGE('Assumptions (MSW)'!$AE$2:$AG$2)/10^9),0)</f>
        <v>0</v>
      </c>
      <c r="AV1945" s="160">
        <f>IF($AI$1804&gt;0,IPMT('Assumptions (MSW)'!$V$6,Model!AJ$1,'Assumptions (MSW)'!$V$9,'Assumptions (MSW)'!$V$4*Model!$AI$1804*AVERAGE('Assumptions (MSW)'!$AE$2:$AG$2)/10^9),0)</f>
        <v>0</v>
      </c>
      <c r="AW1945" s="160">
        <f>IF($AI$1804&gt;0,IPMT('Assumptions (MSW)'!$V$6,Model!AK$1,'Assumptions (MSW)'!$V$9,'Assumptions (MSW)'!$V$4*Model!$AI$1804*AVERAGE('Assumptions (MSW)'!$AE$2:$AG$2)/10^9),0)</f>
        <v>0</v>
      </c>
      <c r="AX1945" s="160"/>
      <c r="AY1945" s="160"/>
      <c r="AZ1945" s="160"/>
      <c r="BA1945" s="160"/>
      <c r="BB1945" s="160"/>
      <c r="BC1945" s="160"/>
      <c r="BD1945" s="160"/>
      <c r="BE1945" s="160"/>
      <c r="BF1945" s="160"/>
      <c r="BG1945" s="160"/>
    </row>
    <row r="1946" ht="15.75" hidden="1" customHeight="1" outlineLevel="1">
      <c r="A1946" s="309"/>
      <c r="B1946" s="38"/>
      <c r="C1946" s="174"/>
      <c r="D1946" s="174"/>
      <c r="E1946" s="174"/>
      <c r="F1946" s="174"/>
      <c r="G1946" s="174"/>
      <c r="H1946" s="174"/>
      <c r="I1946" s="174"/>
      <c r="J1946" s="174"/>
      <c r="K1946" s="174"/>
      <c r="L1946" s="174"/>
      <c r="M1946" s="174"/>
      <c r="N1946" s="174"/>
      <c r="O1946" s="174"/>
      <c r="P1946" s="174"/>
      <c r="Q1946" s="174"/>
      <c r="R1946" s="174"/>
      <c r="S1946" s="174"/>
      <c r="T1946" s="174"/>
      <c r="U1946" s="174"/>
      <c r="V1946" s="174"/>
      <c r="W1946" s="160"/>
      <c r="X1946" s="160"/>
      <c r="Y1946" s="160"/>
      <c r="Z1946" s="160"/>
      <c r="AA1946" s="160"/>
      <c r="AB1946" s="160"/>
      <c r="AC1946" s="160"/>
      <c r="AD1946" s="160"/>
      <c r="AE1946" s="160"/>
      <c r="AF1946" s="160"/>
      <c r="AG1946" s="160"/>
      <c r="AH1946" s="160"/>
      <c r="AI1946" s="160"/>
      <c r="AJ1946" s="177">
        <f>IF($AJ$1804&gt;0,IPMT('Assumptions (MSW)'!$V$6,Model!W$1,'Assumptions (MSW)'!$V$9,'Assumptions (MSW)'!$V$4*Model!$AJ$1804*AVERAGE('Assumptions (MSW)'!$AF$2:$AH$2)/10^9),0)</f>
        <v>0</v>
      </c>
      <c r="AK1946" s="177">
        <f>IF($AJ$1804&gt;0,IPMT('Assumptions (MSW)'!$V$6,Model!X$1,'Assumptions (MSW)'!$V$9,'Assumptions (MSW)'!$V$4*Model!$AJ$1804*AVERAGE('Assumptions (MSW)'!$AF$2:$AH$2)/10^9),0)</f>
        <v>0</v>
      </c>
      <c r="AL1946" s="177">
        <f>IF($AJ$1804&gt;0,IPMT('Assumptions (MSW)'!$V$6,Model!Y$1,'Assumptions (MSW)'!$V$9,'Assumptions (MSW)'!$V$4*Model!$AJ$1804*AVERAGE('Assumptions (MSW)'!$AF$2:$AH$2)/10^9),0)</f>
        <v>0</v>
      </c>
      <c r="AM1946" s="177">
        <f>IF($AJ$1804&gt;0,IPMT('Assumptions (MSW)'!$V$6,Model!Z$1,'Assumptions (MSW)'!$V$9,'Assumptions (MSW)'!$V$4*Model!$AJ$1804*AVERAGE('Assumptions (MSW)'!$AF$2:$AH$2)/10^9),0)</f>
        <v>0</v>
      </c>
      <c r="AN1946" s="177">
        <f>IF($AJ$1804&gt;0,IPMT('Assumptions (MSW)'!$V$6,Model!AA$1,'Assumptions (MSW)'!$V$9,'Assumptions (MSW)'!$V$4*Model!$AJ$1804*AVERAGE('Assumptions (MSW)'!$AF$2:$AH$2)/10^9),0)</f>
        <v>0</v>
      </c>
      <c r="AO1946" s="177">
        <f>IF($AJ$1804&gt;0,IPMT('Assumptions (MSW)'!$V$6,Model!AB$1,'Assumptions (MSW)'!$V$9,'Assumptions (MSW)'!$V$4*Model!$AJ$1804*AVERAGE('Assumptions (MSW)'!$AF$2:$AH$2)/10^9),0)</f>
        <v>0</v>
      </c>
      <c r="AP1946" s="177">
        <f>IF($AJ$1804&gt;0,IPMT('Assumptions (MSW)'!$V$6,Model!AC$1,'Assumptions (MSW)'!$V$9,'Assumptions (MSW)'!$V$4*Model!$AJ$1804*AVERAGE('Assumptions (MSW)'!$AF$2:$AH$2)/10^9),0)</f>
        <v>0</v>
      </c>
      <c r="AQ1946" s="177">
        <f>IF($AJ$1804&gt;0,IPMT('Assumptions (MSW)'!$V$6,Model!AD$1,'Assumptions (MSW)'!$V$9,'Assumptions (MSW)'!$V$4*Model!$AJ$1804*AVERAGE('Assumptions (MSW)'!$AF$2:$AH$2)/10^9),0)</f>
        <v>0</v>
      </c>
      <c r="AR1946" s="177">
        <f>IF($AJ$1804&gt;0,IPMT('Assumptions (MSW)'!$V$6,Model!AE$1,'Assumptions (MSW)'!$V$9,'Assumptions (MSW)'!$V$4*Model!$AJ$1804*AVERAGE('Assumptions (MSW)'!$AF$2:$AH$2)/10^9),0)</f>
        <v>0</v>
      </c>
      <c r="AS1946" s="177">
        <f>IF($AJ$1804&gt;0,IPMT('Assumptions (MSW)'!$V$6,Model!AF$1,'Assumptions (MSW)'!$V$9,'Assumptions (MSW)'!$V$4*Model!$AJ$1804*AVERAGE('Assumptions (MSW)'!$AF$2:$AH$2)/10^9),0)</f>
        <v>0</v>
      </c>
      <c r="AT1946" s="177">
        <f>IF($AJ$1804&gt;0,IPMT('Assumptions (MSW)'!$V$6,Model!AG$1,'Assumptions (MSW)'!$V$9,'Assumptions (MSW)'!$V$4*Model!$AJ$1804*AVERAGE('Assumptions (MSW)'!$AF$2:$AH$2)/10^9),0)</f>
        <v>0</v>
      </c>
      <c r="AU1946" s="177">
        <f>IF($AJ$1804&gt;0,IPMT('Assumptions (MSW)'!$V$6,Model!AH$1,'Assumptions (MSW)'!$V$9,'Assumptions (MSW)'!$V$4*Model!$AJ$1804*AVERAGE('Assumptions (MSW)'!$AF$2:$AH$2)/10^9),0)</f>
        <v>0</v>
      </c>
      <c r="AV1946" s="177">
        <f>IF($AJ$1804&gt;0,IPMT('Assumptions (MSW)'!$V$6,Model!AI$1,'Assumptions (MSW)'!$V$9,'Assumptions (MSW)'!$V$4*Model!$AJ$1804*AVERAGE('Assumptions (MSW)'!$AF$2:$AH$2)/10^9),0)</f>
        <v>0</v>
      </c>
      <c r="AW1946" s="177">
        <f>IF($AJ$1804&gt;0,IPMT('Assumptions (MSW)'!$V$6,Model!AJ$1,'Assumptions (MSW)'!$V$9,'Assumptions (MSW)'!$V$4*Model!$AJ$1804*AVERAGE('Assumptions (MSW)'!$AF$2:$AH$2)/10^9),0)</f>
        <v>0</v>
      </c>
      <c r="AX1946" s="177">
        <f>IF($AJ$1804&gt;0,IPMT('Assumptions (MSW)'!$V$6,Model!AK$1,'Assumptions (MSW)'!$V$9,'Assumptions (MSW)'!$V$4*Model!$AJ$1804*AVERAGE('Assumptions (MSW)'!$AF$2:$AH$2)/10^9),0)</f>
        <v>0</v>
      </c>
      <c r="AY1946" s="177"/>
      <c r="AZ1946" s="177"/>
      <c r="BA1946" s="177"/>
      <c r="BB1946" s="177"/>
      <c r="BC1946" s="177"/>
      <c r="BD1946" s="177"/>
      <c r="BE1946" s="177"/>
      <c r="BF1946" s="177"/>
      <c r="BG1946" s="177"/>
      <c r="BH1946" s="177"/>
    </row>
    <row r="1947" ht="15.75" hidden="1" customHeight="1" outlineLevel="1">
      <c r="A1947" s="309"/>
      <c r="B1947" s="38"/>
      <c r="C1947" s="174"/>
      <c r="D1947" s="174"/>
      <c r="E1947" s="174"/>
      <c r="F1947" s="174"/>
      <c r="G1947" s="174"/>
      <c r="H1947" s="174"/>
      <c r="I1947" s="174"/>
      <c r="J1947" s="174"/>
      <c r="K1947" s="174"/>
      <c r="L1947" s="174"/>
      <c r="M1947" s="174"/>
      <c r="N1947" s="174"/>
      <c r="O1947" s="174"/>
      <c r="P1947" s="174"/>
      <c r="Q1947" s="174"/>
      <c r="R1947" s="174"/>
      <c r="S1947" s="174"/>
      <c r="T1947" s="174"/>
      <c r="U1947" s="174"/>
      <c r="V1947" s="174"/>
      <c r="W1947" s="160"/>
      <c r="X1947" s="160"/>
      <c r="Y1947" s="160"/>
      <c r="Z1947" s="160"/>
      <c r="AA1947" s="160"/>
      <c r="AB1947" s="160"/>
      <c r="AC1947" s="160"/>
      <c r="AD1947" s="160"/>
      <c r="AE1947" s="160"/>
      <c r="AF1947" s="160"/>
      <c r="AG1947" s="160"/>
      <c r="AH1947" s="160"/>
      <c r="AI1947" s="160"/>
      <c r="AJ1947" s="179"/>
      <c r="AK1947" s="160">
        <f>IF($AK$1804&gt;0,IPMT('Assumptions (MSW)'!$V$6,Model!W$1,'Assumptions (MSW)'!$V$9,'Assumptions (MSW)'!$V$4*Model!$AK$1804*AVERAGE('Assumptions (MSW)'!$AG$2:$AI$2)/10^9),0)</f>
        <v>0</v>
      </c>
      <c r="AL1947" s="160">
        <f>IF($AK$1804&gt;0,IPMT('Assumptions (MSW)'!$V$6,Model!X$1,'Assumptions (MSW)'!$V$9,'Assumptions (MSW)'!$V$4*Model!$AK$1804*AVERAGE('Assumptions (MSW)'!$AG$2:$AI$2)/10^9),0)</f>
        <v>0</v>
      </c>
      <c r="AM1947" s="160">
        <f>IF($AK$1804&gt;0,IPMT('Assumptions (MSW)'!$V$6,Model!Y$1,'Assumptions (MSW)'!$V$9,'Assumptions (MSW)'!$V$4*Model!$AK$1804*AVERAGE('Assumptions (MSW)'!$AG$2:$AI$2)/10^9),0)</f>
        <v>0</v>
      </c>
      <c r="AN1947" s="160">
        <f>IF($AK$1804&gt;0,IPMT('Assumptions (MSW)'!$V$6,Model!Z$1,'Assumptions (MSW)'!$V$9,'Assumptions (MSW)'!$V$4*Model!$AK$1804*AVERAGE('Assumptions (MSW)'!$AG$2:$AI$2)/10^9),0)</f>
        <v>0</v>
      </c>
      <c r="AO1947" s="160">
        <f>IF($AK$1804&gt;0,IPMT('Assumptions (MSW)'!$V$6,Model!AA$1,'Assumptions (MSW)'!$V$9,'Assumptions (MSW)'!$V$4*Model!$AK$1804*AVERAGE('Assumptions (MSW)'!$AG$2:$AI$2)/10^9),0)</f>
        <v>0</v>
      </c>
      <c r="AP1947" s="160">
        <f>IF($AK$1804&gt;0,IPMT('Assumptions (MSW)'!$V$6,Model!AB$1,'Assumptions (MSW)'!$V$9,'Assumptions (MSW)'!$V$4*Model!$AK$1804*AVERAGE('Assumptions (MSW)'!$AG$2:$AI$2)/10^9),0)</f>
        <v>0</v>
      </c>
      <c r="AQ1947" s="160">
        <f>IF($AK$1804&gt;0,IPMT('Assumptions (MSW)'!$V$6,Model!AC$1,'Assumptions (MSW)'!$V$9,'Assumptions (MSW)'!$V$4*Model!$AK$1804*AVERAGE('Assumptions (MSW)'!$AG$2:$AI$2)/10^9),0)</f>
        <v>0</v>
      </c>
      <c r="AR1947" s="160">
        <f>IF($AK$1804&gt;0,IPMT('Assumptions (MSW)'!$V$6,Model!AD$1,'Assumptions (MSW)'!$V$9,'Assumptions (MSW)'!$V$4*Model!$AK$1804*AVERAGE('Assumptions (MSW)'!$AG$2:$AI$2)/10^9),0)</f>
        <v>0</v>
      </c>
      <c r="AS1947" s="160">
        <f>IF($AK$1804&gt;0,IPMT('Assumptions (MSW)'!$V$6,Model!AE$1,'Assumptions (MSW)'!$V$9,'Assumptions (MSW)'!$V$4*Model!$AK$1804*AVERAGE('Assumptions (MSW)'!$AG$2:$AI$2)/10^9),0)</f>
        <v>0</v>
      </c>
      <c r="AT1947" s="160">
        <f>IF($AK$1804&gt;0,IPMT('Assumptions (MSW)'!$V$6,Model!AF$1,'Assumptions (MSW)'!$V$9,'Assumptions (MSW)'!$V$4*Model!$AK$1804*AVERAGE('Assumptions (MSW)'!$AG$2:$AI$2)/10^9),0)</f>
        <v>0</v>
      </c>
      <c r="AU1947" s="160">
        <f>IF($AK$1804&gt;0,IPMT('Assumptions (MSW)'!$V$6,Model!AG$1,'Assumptions (MSW)'!$V$9,'Assumptions (MSW)'!$V$4*Model!$AK$1804*AVERAGE('Assumptions (MSW)'!$AG$2:$AI$2)/10^9),0)</f>
        <v>0</v>
      </c>
      <c r="AV1947" s="160">
        <f>IF($AK$1804&gt;0,IPMT('Assumptions (MSW)'!$V$6,Model!AH$1,'Assumptions (MSW)'!$V$9,'Assumptions (MSW)'!$V$4*Model!$AK$1804*AVERAGE('Assumptions (MSW)'!$AG$2:$AI$2)/10^9),0)</f>
        <v>0</v>
      </c>
      <c r="AW1947" s="160">
        <f>IF($AK$1804&gt;0,IPMT('Assumptions (MSW)'!$V$6,Model!AI$1,'Assumptions (MSW)'!$V$9,'Assumptions (MSW)'!$V$4*Model!$AK$1804*AVERAGE('Assumptions (MSW)'!$AG$2:$AI$2)/10^9),0)</f>
        <v>0</v>
      </c>
      <c r="AX1947" s="160">
        <f>IF($AK$1804&gt;0,IPMT('Assumptions (MSW)'!$V$6,Model!AJ$1,'Assumptions (MSW)'!$V$9,'Assumptions (MSW)'!$V$4*Model!$AK$1804*AVERAGE('Assumptions (MSW)'!$AG$2:$AI$2)/10^9),0)</f>
        <v>0</v>
      </c>
      <c r="AY1947" s="160">
        <f>IF($AK$1804&gt;0,IPMT('Assumptions (MSW)'!$V$6,Model!AK$1,'Assumptions (MSW)'!$V$9,'Assumptions (MSW)'!$V$4*Model!$AK$1804*AVERAGE('Assumptions (MSW)'!$AG$2:$AI$2)/10^9),0)</f>
        <v>0</v>
      </c>
      <c r="AZ1947" s="160"/>
      <c r="BA1947" s="160"/>
      <c r="BB1947" s="160"/>
      <c r="BC1947" s="160"/>
      <c r="BD1947" s="160"/>
      <c r="BE1947" s="160"/>
      <c r="BF1947" s="160"/>
      <c r="BG1947" s="160"/>
      <c r="BH1947" s="160"/>
      <c r="BI1947" s="160"/>
    </row>
    <row r="1948" ht="15.75" hidden="1" customHeight="1" outlineLevel="1">
      <c r="A1948" s="309"/>
      <c r="B1948" s="38"/>
      <c r="C1948" s="174"/>
      <c r="D1948" s="174"/>
      <c r="E1948" s="174"/>
      <c r="F1948" s="174"/>
      <c r="G1948" s="174"/>
      <c r="H1948" s="174"/>
      <c r="I1948" s="174"/>
      <c r="J1948" s="174"/>
      <c r="K1948" s="174"/>
      <c r="L1948" s="174"/>
      <c r="M1948" s="174"/>
      <c r="N1948" s="174"/>
      <c r="O1948" s="174"/>
      <c r="P1948" s="174"/>
      <c r="Q1948" s="174"/>
      <c r="R1948" s="174"/>
      <c r="S1948" s="174"/>
      <c r="T1948" s="174"/>
      <c r="U1948" s="174"/>
      <c r="V1948" s="174"/>
      <c r="W1948" s="160"/>
      <c r="X1948" s="160"/>
      <c r="Y1948" s="160"/>
      <c r="Z1948" s="160"/>
      <c r="AA1948" s="160"/>
      <c r="AB1948" s="160"/>
      <c r="AC1948" s="160"/>
      <c r="AD1948" s="160"/>
      <c r="AE1948" s="160"/>
      <c r="AF1948" s="160"/>
      <c r="AG1948" s="160"/>
      <c r="AH1948" s="160"/>
      <c r="AI1948" s="160"/>
      <c r="AJ1948" s="179"/>
      <c r="AK1948" s="160"/>
      <c r="AL1948" s="177">
        <f>IF($AL$1804&gt;0,IPMT('Assumptions (MSW)'!$V$6,Model!W$1,'Assumptions (MSW)'!$V$9,'Assumptions (MSW)'!$V$4*Model!$AL$1804*AVERAGE('Assumptions (MSW)'!$AH$2:$AJ$2)/10^9),0)</f>
        <v>0</v>
      </c>
      <c r="AM1948" s="177">
        <f>IF($AL$1804&gt;0,IPMT('Assumptions (MSW)'!$V$6,Model!X$1,'Assumptions (MSW)'!$V$9,'Assumptions (MSW)'!$V$4*Model!$AL$1804*AVERAGE('Assumptions (MSW)'!$AH$2:$AJ$2)/10^9),0)</f>
        <v>0</v>
      </c>
      <c r="AN1948" s="177">
        <f>IF($AL$1804&gt;0,IPMT('Assumptions (MSW)'!$V$6,Model!Y$1,'Assumptions (MSW)'!$V$9,'Assumptions (MSW)'!$V$4*Model!$AL$1804*AVERAGE('Assumptions (MSW)'!$AH$2:$AJ$2)/10^9),0)</f>
        <v>0</v>
      </c>
      <c r="AO1948" s="177">
        <f>IF($AL$1804&gt;0,IPMT('Assumptions (MSW)'!$V$6,Model!Z$1,'Assumptions (MSW)'!$V$9,'Assumptions (MSW)'!$V$4*Model!$AL$1804*AVERAGE('Assumptions (MSW)'!$AH$2:$AJ$2)/10^9),0)</f>
        <v>0</v>
      </c>
      <c r="AP1948" s="177">
        <f>IF($AL$1804&gt;0,IPMT('Assumptions (MSW)'!$V$6,Model!AA$1,'Assumptions (MSW)'!$V$9,'Assumptions (MSW)'!$V$4*Model!$AL$1804*AVERAGE('Assumptions (MSW)'!$AH$2:$AJ$2)/10^9),0)</f>
        <v>0</v>
      </c>
      <c r="AQ1948" s="177">
        <f>IF($AL$1804&gt;0,IPMT('Assumptions (MSW)'!$V$6,Model!AB$1,'Assumptions (MSW)'!$V$9,'Assumptions (MSW)'!$V$4*Model!$AL$1804*AVERAGE('Assumptions (MSW)'!$AH$2:$AJ$2)/10^9),0)</f>
        <v>0</v>
      </c>
      <c r="AR1948" s="177">
        <f>IF($AL$1804&gt;0,IPMT('Assumptions (MSW)'!$V$6,Model!AC$1,'Assumptions (MSW)'!$V$9,'Assumptions (MSW)'!$V$4*Model!$AL$1804*AVERAGE('Assumptions (MSW)'!$AH$2:$AJ$2)/10^9),0)</f>
        <v>0</v>
      </c>
      <c r="AS1948" s="177">
        <f>IF($AL$1804&gt;0,IPMT('Assumptions (MSW)'!$V$6,Model!AD$1,'Assumptions (MSW)'!$V$9,'Assumptions (MSW)'!$V$4*Model!$AL$1804*AVERAGE('Assumptions (MSW)'!$AH$2:$AJ$2)/10^9),0)</f>
        <v>0</v>
      </c>
      <c r="AT1948" s="177">
        <f>IF($AL$1804&gt;0,IPMT('Assumptions (MSW)'!$V$6,Model!AE$1,'Assumptions (MSW)'!$V$9,'Assumptions (MSW)'!$V$4*Model!$AL$1804*AVERAGE('Assumptions (MSW)'!$AH$2:$AJ$2)/10^9),0)</f>
        <v>0</v>
      </c>
      <c r="AU1948" s="177">
        <f>IF($AL$1804&gt;0,IPMT('Assumptions (MSW)'!$V$6,Model!AF$1,'Assumptions (MSW)'!$V$9,'Assumptions (MSW)'!$V$4*Model!$AL$1804*AVERAGE('Assumptions (MSW)'!$AH$2:$AJ$2)/10^9),0)</f>
        <v>0</v>
      </c>
      <c r="AV1948" s="177">
        <f>IF($AL$1804&gt;0,IPMT('Assumptions (MSW)'!$V$6,Model!AG$1,'Assumptions (MSW)'!$V$9,'Assumptions (MSW)'!$V$4*Model!$AL$1804*AVERAGE('Assumptions (MSW)'!$AH$2:$AJ$2)/10^9),0)</f>
        <v>0</v>
      </c>
      <c r="AW1948" s="177">
        <f>IF($AL$1804&gt;0,IPMT('Assumptions (MSW)'!$V$6,Model!AH$1,'Assumptions (MSW)'!$V$9,'Assumptions (MSW)'!$V$4*Model!$AL$1804*AVERAGE('Assumptions (MSW)'!$AH$2:$AJ$2)/10^9),0)</f>
        <v>0</v>
      </c>
      <c r="AX1948" s="177">
        <f>IF($AL$1804&gt;0,IPMT('Assumptions (MSW)'!$V$6,Model!AI$1,'Assumptions (MSW)'!$V$9,'Assumptions (MSW)'!$V$4*Model!$AL$1804*AVERAGE('Assumptions (MSW)'!$AH$2:$AJ$2)/10^9),0)</f>
        <v>0</v>
      </c>
      <c r="AY1948" s="177">
        <f>IF($AL$1804&gt;0,IPMT('Assumptions (MSW)'!$V$6,Model!AJ$1,'Assumptions (MSW)'!$V$9,'Assumptions (MSW)'!$V$4*Model!$AL$1804*AVERAGE('Assumptions (MSW)'!$AH$2:$AJ$2)/10^9),0)</f>
        <v>0</v>
      </c>
      <c r="AZ1948" s="177">
        <f>IF($AL$1804&gt;0,IPMT('Assumptions (MSW)'!$V$6,Model!AK$1,'Assumptions (MSW)'!$V$9,'Assumptions (MSW)'!$V$4*Model!$AL$1804*AVERAGE('Assumptions (MSW)'!$AH$2:$AJ$2)/10^9),0)</f>
        <v>0</v>
      </c>
      <c r="BA1948" s="177"/>
      <c r="BB1948" s="177"/>
      <c r="BC1948" s="177"/>
      <c r="BD1948" s="177"/>
      <c r="BE1948" s="177"/>
      <c r="BF1948" s="177"/>
      <c r="BG1948" s="177"/>
      <c r="BH1948" s="177"/>
      <c r="BI1948" s="177"/>
      <c r="BJ1948" s="177"/>
    </row>
    <row r="1949" ht="15.75" hidden="1" customHeight="1" outlineLevel="1">
      <c r="A1949" s="309"/>
      <c r="B1949" s="38"/>
      <c r="C1949" s="174"/>
      <c r="D1949" s="174"/>
      <c r="E1949" s="174"/>
      <c r="F1949" s="174"/>
      <c r="G1949" s="174"/>
      <c r="H1949" s="174"/>
      <c r="I1949" s="174"/>
      <c r="J1949" s="174"/>
      <c r="K1949" s="174"/>
      <c r="L1949" s="174"/>
      <c r="M1949" s="174"/>
      <c r="N1949" s="174"/>
      <c r="O1949" s="174"/>
      <c r="P1949" s="174"/>
      <c r="Q1949" s="174"/>
      <c r="R1949" s="174"/>
      <c r="S1949" s="174"/>
      <c r="T1949" s="174"/>
      <c r="U1949" s="174"/>
      <c r="V1949" s="174"/>
      <c r="W1949" s="160"/>
      <c r="X1949" s="160"/>
      <c r="Y1949" s="160"/>
      <c r="Z1949" s="160"/>
      <c r="AA1949" s="160"/>
      <c r="AB1949" s="160"/>
      <c r="AC1949" s="160"/>
      <c r="AD1949" s="160"/>
      <c r="AE1949" s="160"/>
      <c r="AF1949" s="160"/>
      <c r="AG1949" s="160"/>
      <c r="AH1949" s="160"/>
      <c r="AI1949" s="160"/>
      <c r="AJ1949" s="179"/>
      <c r="AK1949" s="160"/>
      <c r="AL1949" s="177"/>
      <c r="AM1949" s="160">
        <f>IF($AM$1804&gt;0,IPMT('Assumptions (MSW)'!$V$6,Model!W$1,'Assumptions (MSW)'!$V$9,'Assumptions (MSW)'!$V$4*Model!$AM$1804*AVERAGE('Assumptions (MSW)'!$AI$2:$AK$2)/10^9),0)</f>
        <v>0</v>
      </c>
      <c r="AN1949" s="160">
        <f>IF($AM$1804&gt;0,IPMT('Assumptions (MSW)'!$V$6,Model!X$1,'Assumptions (MSW)'!$V$9,'Assumptions (MSW)'!$V$4*Model!$AM$1804*AVERAGE('Assumptions (MSW)'!$AI$2:$AK$2)/10^9),0)</f>
        <v>0</v>
      </c>
      <c r="AO1949" s="160">
        <f>IF($AM$1804&gt;0,IPMT('Assumptions (MSW)'!$V$6,Model!Y$1,'Assumptions (MSW)'!$V$9,'Assumptions (MSW)'!$V$4*Model!$AM$1804*AVERAGE('Assumptions (MSW)'!$AI$2:$AK$2)/10^9),0)</f>
        <v>0</v>
      </c>
      <c r="AP1949" s="160">
        <f>IF($AM$1804&gt;0,IPMT('Assumptions (MSW)'!$V$6,Model!Z$1,'Assumptions (MSW)'!$V$9,'Assumptions (MSW)'!$V$4*Model!$AM$1804*AVERAGE('Assumptions (MSW)'!$AI$2:$AK$2)/10^9),0)</f>
        <v>0</v>
      </c>
      <c r="AQ1949" s="160">
        <f>IF($AM$1804&gt;0,IPMT('Assumptions (MSW)'!$V$6,Model!AA$1,'Assumptions (MSW)'!$V$9,'Assumptions (MSW)'!$V$4*Model!$AM$1804*AVERAGE('Assumptions (MSW)'!$AI$2:$AK$2)/10^9),0)</f>
        <v>0</v>
      </c>
      <c r="AR1949" s="160">
        <f>IF($AM$1804&gt;0,IPMT('Assumptions (MSW)'!$V$6,Model!AB$1,'Assumptions (MSW)'!$V$9,'Assumptions (MSW)'!$V$4*Model!$AM$1804*AVERAGE('Assumptions (MSW)'!$AI$2:$AK$2)/10^9),0)</f>
        <v>0</v>
      </c>
      <c r="AS1949" s="160">
        <f>IF($AM$1804&gt;0,IPMT('Assumptions (MSW)'!$V$6,Model!AC$1,'Assumptions (MSW)'!$V$9,'Assumptions (MSW)'!$V$4*Model!$AM$1804*AVERAGE('Assumptions (MSW)'!$AI$2:$AK$2)/10^9),0)</f>
        <v>0</v>
      </c>
      <c r="AT1949" s="160">
        <f>IF($AM$1804&gt;0,IPMT('Assumptions (MSW)'!$V$6,Model!AD$1,'Assumptions (MSW)'!$V$9,'Assumptions (MSW)'!$V$4*Model!$AM$1804*AVERAGE('Assumptions (MSW)'!$AI$2:$AK$2)/10^9),0)</f>
        <v>0</v>
      </c>
      <c r="AU1949" s="160">
        <f>IF($AM$1804&gt;0,IPMT('Assumptions (MSW)'!$V$6,Model!AE$1,'Assumptions (MSW)'!$V$9,'Assumptions (MSW)'!$V$4*Model!$AM$1804*AVERAGE('Assumptions (MSW)'!$AI$2:$AK$2)/10^9),0)</f>
        <v>0</v>
      </c>
      <c r="AV1949" s="160">
        <f>IF($AM$1804&gt;0,IPMT('Assumptions (MSW)'!$V$6,Model!AF$1,'Assumptions (MSW)'!$V$9,'Assumptions (MSW)'!$V$4*Model!$AM$1804*AVERAGE('Assumptions (MSW)'!$AI$2:$AK$2)/10^9),0)</f>
        <v>0</v>
      </c>
      <c r="AW1949" s="160">
        <f>IF($AM$1804&gt;0,IPMT('Assumptions (MSW)'!$V$6,Model!AG$1,'Assumptions (MSW)'!$V$9,'Assumptions (MSW)'!$V$4*Model!$AM$1804*AVERAGE('Assumptions (MSW)'!$AI$2:$AK$2)/10^9),0)</f>
        <v>0</v>
      </c>
      <c r="AX1949" s="160">
        <f>IF($AM$1804&gt;0,IPMT('Assumptions (MSW)'!$V$6,Model!AH$1,'Assumptions (MSW)'!$V$9,'Assumptions (MSW)'!$V$4*Model!$AM$1804*AVERAGE('Assumptions (MSW)'!$AI$2:$AK$2)/10^9),0)</f>
        <v>0</v>
      </c>
      <c r="AY1949" s="160">
        <f>IF($AM$1804&gt;0,IPMT('Assumptions (MSW)'!$V$6,Model!AI$1,'Assumptions (MSW)'!$V$9,'Assumptions (MSW)'!$V$4*Model!$AM$1804*AVERAGE('Assumptions (MSW)'!$AI$2:$AK$2)/10^9),0)</f>
        <v>0</v>
      </c>
      <c r="AZ1949" s="160">
        <f>IF($AM$1804&gt;0,IPMT('Assumptions (MSW)'!$V$6,Model!AJ$1,'Assumptions (MSW)'!$V$9,'Assumptions (MSW)'!$V$4*Model!$AM$1804*AVERAGE('Assumptions (MSW)'!$AI$2:$AK$2)/10^9),0)</f>
        <v>0</v>
      </c>
      <c r="BA1949" s="160">
        <f>IF($AM$1804&gt;0,IPMT('Assumptions (MSW)'!$V$6,Model!AK$1,'Assumptions (MSW)'!$V$9,'Assumptions (MSW)'!$V$4*Model!$AM$1804*AVERAGE('Assumptions (MSW)'!$AI$2:$AK$2)/10^9),0)</f>
        <v>0</v>
      </c>
      <c r="BB1949" s="160"/>
      <c r="BC1949" s="160"/>
      <c r="BD1949" s="160"/>
      <c r="BE1949" s="160"/>
      <c r="BF1949" s="160"/>
      <c r="BG1949" s="160"/>
      <c r="BH1949" s="160"/>
      <c r="BI1949" s="160"/>
      <c r="BJ1949" s="160"/>
      <c r="BK1949" s="160"/>
    </row>
    <row r="1950" ht="15.75" hidden="1" customHeight="1" outlineLevel="1">
      <c r="A1950" s="309"/>
      <c r="B1950" s="38"/>
      <c r="C1950" s="174"/>
      <c r="D1950" s="174"/>
      <c r="E1950" s="174"/>
      <c r="F1950" s="174"/>
      <c r="G1950" s="174"/>
      <c r="H1950" s="174"/>
      <c r="I1950" s="174"/>
      <c r="J1950" s="174"/>
      <c r="K1950" s="174"/>
      <c r="L1950" s="174"/>
      <c r="M1950" s="174"/>
      <c r="N1950" s="174"/>
      <c r="O1950" s="174"/>
      <c r="P1950" s="174"/>
      <c r="Q1950" s="174"/>
      <c r="R1950" s="174"/>
      <c r="S1950" s="174"/>
      <c r="T1950" s="174"/>
      <c r="U1950" s="174"/>
      <c r="V1950" s="174"/>
      <c r="W1950" s="160"/>
      <c r="X1950" s="160"/>
      <c r="Y1950" s="160"/>
      <c r="Z1950" s="160"/>
      <c r="AA1950" s="160"/>
      <c r="AB1950" s="160"/>
      <c r="AC1950" s="160"/>
      <c r="AD1950" s="160"/>
      <c r="AE1950" s="160"/>
      <c r="AF1950" s="160"/>
      <c r="AG1950" s="160"/>
      <c r="AH1950" s="160"/>
      <c r="AI1950" s="160"/>
      <c r="AJ1950" s="179"/>
      <c r="AK1950" s="160"/>
      <c r="AL1950" s="177"/>
      <c r="AM1950" s="177"/>
      <c r="AN1950" s="160">
        <f>IF($AN$1804&gt;0,IPMT('Assumptions (MSW)'!$V$6,Model!W$1,'Assumptions (MSW)'!$V$9,'Assumptions (MSW)'!$V$4*Model!$AN$1804*AVERAGE('Assumptions (MSW)'!$AJ$2:$AL$2)/10^9),0)</f>
        <v>0</v>
      </c>
      <c r="AO1950" s="160">
        <f>IF($AN$1804&gt;0,IPMT('Assumptions (MSW)'!$V$6,Model!X$1,'Assumptions (MSW)'!$V$9,'Assumptions (MSW)'!$V$4*Model!$AN$1804*AVERAGE('Assumptions (MSW)'!$AJ$2:$AL$2)/10^9),0)</f>
        <v>0</v>
      </c>
      <c r="AP1950" s="160">
        <f>IF($AN$1804&gt;0,IPMT('Assumptions (MSW)'!$V$6,Model!Y$1,'Assumptions (MSW)'!$V$9,'Assumptions (MSW)'!$V$4*Model!$AN$1804*AVERAGE('Assumptions (MSW)'!$AJ$2:$AL$2)/10^9),0)</f>
        <v>0</v>
      </c>
      <c r="AQ1950" s="160">
        <f>IF($AN$1804&gt;0,IPMT('Assumptions (MSW)'!$V$6,Model!Z$1,'Assumptions (MSW)'!$V$9,'Assumptions (MSW)'!$V$4*Model!$AN$1804*AVERAGE('Assumptions (MSW)'!$AJ$2:$AL$2)/10^9),0)</f>
        <v>0</v>
      </c>
      <c r="AR1950" s="160">
        <f>IF($AN$1804&gt;0,IPMT('Assumptions (MSW)'!$V$6,Model!AA$1,'Assumptions (MSW)'!$V$9,'Assumptions (MSW)'!$V$4*Model!$AN$1804*AVERAGE('Assumptions (MSW)'!$AJ$2:$AL$2)/10^9),0)</f>
        <v>0</v>
      </c>
      <c r="AS1950" s="160">
        <f>IF($AN$1804&gt;0,IPMT('Assumptions (MSW)'!$V$6,Model!AB$1,'Assumptions (MSW)'!$V$9,'Assumptions (MSW)'!$V$4*Model!$AN$1804*AVERAGE('Assumptions (MSW)'!$AJ$2:$AL$2)/10^9),0)</f>
        <v>0</v>
      </c>
      <c r="AT1950" s="160">
        <f>IF($AN$1804&gt;0,IPMT('Assumptions (MSW)'!$V$6,Model!AC$1,'Assumptions (MSW)'!$V$9,'Assumptions (MSW)'!$V$4*Model!$AN$1804*AVERAGE('Assumptions (MSW)'!$AJ$2:$AL$2)/10^9),0)</f>
        <v>0</v>
      </c>
      <c r="AU1950" s="160">
        <f>IF($AN$1804&gt;0,IPMT('Assumptions (MSW)'!$V$6,Model!AD$1,'Assumptions (MSW)'!$V$9,'Assumptions (MSW)'!$V$4*Model!$AN$1804*AVERAGE('Assumptions (MSW)'!$AJ$2:$AL$2)/10^9),0)</f>
        <v>0</v>
      </c>
      <c r="AV1950" s="160">
        <f>IF($AN$1804&gt;0,IPMT('Assumptions (MSW)'!$V$6,Model!AE$1,'Assumptions (MSW)'!$V$9,'Assumptions (MSW)'!$V$4*Model!$AN$1804*AVERAGE('Assumptions (MSW)'!$AJ$2:$AL$2)/10^9),0)</f>
        <v>0</v>
      </c>
      <c r="AW1950" s="160">
        <f>IF($AN$1804&gt;0,IPMT('Assumptions (MSW)'!$V$6,Model!AF$1,'Assumptions (MSW)'!$V$9,'Assumptions (MSW)'!$V$4*Model!$AN$1804*AVERAGE('Assumptions (MSW)'!$AJ$2:$AL$2)/10^9),0)</f>
        <v>0</v>
      </c>
      <c r="AX1950" s="160">
        <f>IF($AN$1804&gt;0,IPMT('Assumptions (MSW)'!$V$6,Model!AG$1,'Assumptions (MSW)'!$V$9,'Assumptions (MSW)'!$V$4*Model!$AN$1804*AVERAGE('Assumptions (MSW)'!$AJ$2:$AL$2)/10^9),0)</f>
        <v>0</v>
      </c>
      <c r="AY1950" s="160">
        <f>IF($AN$1804&gt;0,IPMT('Assumptions (MSW)'!$V$6,Model!AH$1,'Assumptions (MSW)'!$V$9,'Assumptions (MSW)'!$V$4*Model!$AN$1804*AVERAGE('Assumptions (MSW)'!$AJ$2:$AL$2)/10^9),0)</f>
        <v>0</v>
      </c>
      <c r="AZ1950" s="160">
        <f>IF($AN$1804&gt;0,IPMT('Assumptions (MSW)'!$V$6,Model!AI$1,'Assumptions (MSW)'!$V$9,'Assumptions (MSW)'!$V$4*Model!$AN$1804*AVERAGE('Assumptions (MSW)'!$AJ$2:$AL$2)/10^9),0)</f>
        <v>0</v>
      </c>
      <c r="BA1950" s="160">
        <f>IF($AN$1804&gt;0,IPMT('Assumptions (MSW)'!$V$6,Model!AJ$1,'Assumptions (MSW)'!$V$9,'Assumptions (MSW)'!$V$4*Model!$AN$1804*AVERAGE('Assumptions (MSW)'!$AJ$2:$AL$2)/10^9),0)</f>
        <v>0</v>
      </c>
      <c r="BB1950" s="160">
        <f>IF($AN$1804&gt;0,IPMT('Assumptions (MSW)'!$V$6,Model!AK$1,'Assumptions (MSW)'!$V$9,'Assumptions (MSW)'!$V$4*Model!$AN$1804*AVERAGE('Assumptions (MSW)'!$AJ$2:$AL$2)/10^9),0)</f>
        <v>0</v>
      </c>
      <c r="BC1950" s="160"/>
      <c r="BD1950" s="160"/>
      <c r="BE1950" s="160"/>
      <c r="BF1950" s="160"/>
      <c r="BG1950" s="160"/>
      <c r="BH1950" s="160"/>
      <c r="BI1950" s="160"/>
      <c r="BJ1950" s="160"/>
      <c r="BK1950" s="160"/>
      <c r="BL1950" s="160"/>
    </row>
    <row r="1951" ht="15.75" hidden="1" customHeight="1" outlineLevel="1">
      <c r="A1951" s="309"/>
      <c r="B1951" s="38"/>
      <c r="C1951" s="174"/>
      <c r="D1951" s="174"/>
      <c r="E1951" s="174"/>
      <c r="F1951" s="174"/>
      <c r="G1951" s="174"/>
      <c r="H1951" s="174"/>
      <c r="I1951" s="174"/>
      <c r="J1951" s="174"/>
      <c r="K1951" s="174"/>
      <c r="L1951" s="174"/>
      <c r="M1951" s="174"/>
      <c r="N1951" s="174"/>
      <c r="O1951" s="174"/>
      <c r="P1951" s="174"/>
      <c r="Q1951" s="174"/>
      <c r="R1951" s="174"/>
      <c r="S1951" s="174"/>
      <c r="T1951" s="174"/>
      <c r="U1951" s="174"/>
      <c r="V1951" s="174"/>
      <c r="W1951" s="160"/>
      <c r="X1951" s="160"/>
      <c r="Y1951" s="160"/>
      <c r="Z1951" s="160"/>
      <c r="AA1951" s="160"/>
      <c r="AB1951" s="160"/>
      <c r="AC1951" s="160"/>
      <c r="AD1951" s="160"/>
      <c r="AE1951" s="160"/>
      <c r="AF1951" s="160"/>
      <c r="AG1951" s="160"/>
      <c r="AH1951" s="160"/>
      <c r="AI1951" s="160"/>
      <c r="AJ1951" s="179"/>
      <c r="AK1951" s="160"/>
      <c r="AL1951" s="177"/>
      <c r="AM1951" s="177"/>
      <c r="AN1951" s="177"/>
      <c r="AO1951" s="160">
        <f>IF($AO$1804&gt;0,IPMT('Assumptions (MSW)'!$V$6,Model!W$1,'Assumptions (MSW)'!$V$9,'Assumptions (MSW)'!$V$4*Model!$AO$1804*AVERAGE('Assumptions (MSW)'!$AK$2:$AM$2)/10^9),0)</f>
        <v>0</v>
      </c>
      <c r="AP1951" s="160">
        <f>IF($AO$1804&gt;0,IPMT('Assumptions (MSW)'!$V$6,Model!X$1,'Assumptions (MSW)'!$V$9,'Assumptions (MSW)'!$V$4*Model!$AO$1804*AVERAGE('Assumptions (MSW)'!$AK$2:$AM$2)/10^9),0)</f>
        <v>0</v>
      </c>
      <c r="AQ1951" s="160">
        <f>IF($AO$1804&gt;0,IPMT('Assumptions (MSW)'!$V$6,Model!Y$1,'Assumptions (MSW)'!$V$9,'Assumptions (MSW)'!$V$4*Model!$AO$1804*AVERAGE('Assumptions (MSW)'!$AK$2:$AM$2)/10^9),0)</f>
        <v>0</v>
      </c>
      <c r="AR1951" s="160">
        <f>IF($AO$1804&gt;0,IPMT('Assumptions (MSW)'!$V$6,Model!Z$1,'Assumptions (MSW)'!$V$9,'Assumptions (MSW)'!$V$4*Model!$AO$1804*AVERAGE('Assumptions (MSW)'!$AK$2:$AM$2)/10^9),0)</f>
        <v>0</v>
      </c>
      <c r="AS1951" s="160">
        <f>IF($AO$1804&gt;0,IPMT('Assumptions (MSW)'!$V$6,Model!AA$1,'Assumptions (MSW)'!$V$9,'Assumptions (MSW)'!$V$4*Model!$AO$1804*AVERAGE('Assumptions (MSW)'!$AK$2:$AM$2)/10^9),0)</f>
        <v>0</v>
      </c>
      <c r="AT1951" s="160">
        <f>IF($AO$1804&gt;0,IPMT('Assumptions (MSW)'!$V$6,Model!AB$1,'Assumptions (MSW)'!$V$9,'Assumptions (MSW)'!$V$4*Model!$AO$1804*AVERAGE('Assumptions (MSW)'!$AK$2:$AM$2)/10^9),0)</f>
        <v>0</v>
      </c>
      <c r="AU1951" s="160">
        <f>IF($AO$1804&gt;0,IPMT('Assumptions (MSW)'!$V$6,Model!AC$1,'Assumptions (MSW)'!$V$9,'Assumptions (MSW)'!$V$4*Model!$AO$1804*AVERAGE('Assumptions (MSW)'!$AK$2:$AM$2)/10^9),0)</f>
        <v>0</v>
      </c>
      <c r="AV1951" s="160">
        <f>IF($AO$1804&gt;0,IPMT('Assumptions (MSW)'!$V$6,Model!AD$1,'Assumptions (MSW)'!$V$9,'Assumptions (MSW)'!$V$4*Model!$AO$1804*AVERAGE('Assumptions (MSW)'!$AK$2:$AM$2)/10^9),0)</f>
        <v>0</v>
      </c>
      <c r="AW1951" s="160">
        <f>IF($AO$1804&gt;0,IPMT('Assumptions (MSW)'!$V$6,Model!AE$1,'Assumptions (MSW)'!$V$9,'Assumptions (MSW)'!$V$4*Model!$AO$1804*AVERAGE('Assumptions (MSW)'!$AK$2:$AM$2)/10^9),0)</f>
        <v>0</v>
      </c>
      <c r="AX1951" s="160">
        <f>IF($AO$1804&gt;0,IPMT('Assumptions (MSW)'!$V$6,Model!AF$1,'Assumptions (MSW)'!$V$9,'Assumptions (MSW)'!$V$4*Model!$AO$1804*AVERAGE('Assumptions (MSW)'!$AK$2:$AM$2)/10^9),0)</f>
        <v>0</v>
      </c>
      <c r="AY1951" s="160">
        <f>IF($AO$1804&gt;0,IPMT('Assumptions (MSW)'!$V$6,Model!AG$1,'Assumptions (MSW)'!$V$9,'Assumptions (MSW)'!$V$4*Model!$AO$1804*AVERAGE('Assumptions (MSW)'!$AK$2:$AM$2)/10^9),0)</f>
        <v>0</v>
      </c>
      <c r="AZ1951" s="160">
        <f>IF($AO$1804&gt;0,IPMT('Assumptions (MSW)'!$V$6,Model!AH$1,'Assumptions (MSW)'!$V$9,'Assumptions (MSW)'!$V$4*Model!$AO$1804*AVERAGE('Assumptions (MSW)'!$AK$2:$AM$2)/10^9),0)</f>
        <v>0</v>
      </c>
      <c r="BA1951" s="160">
        <f>IF($AO$1804&gt;0,IPMT('Assumptions (MSW)'!$V$6,Model!AI$1,'Assumptions (MSW)'!$V$9,'Assumptions (MSW)'!$V$4*Model!$AO$1804*AVERAGE('Assumptions (MSW)'!$AK$2:$AM$2)/10^9),0)</f>
        <v>0</v>
      </c>
      <c r="BB1951" s="160">
        <f>IF($AO$1804&gt;0,IPMT('Assumptions (MSW)'!$V$6,Model!AJ$1,'Assumptions (MSW)'!$V$9,'Assumptions (MSW)'!$V$4*Model!$AO$1804*AVERAGE('Assumptions (MSW)'!$AK$2:$AM$2)/10^9),0)</f>
        <v>0</v>
      </c>
      <c r="BC1951" s="160">
        <f>IF($AO$1804&gt;0,IPMT('Assumptions (MSW)'!$V$6,Model!AK$1,'Assumptions (MSW)'!$V$9,'Assumptions (MSW)'!$V$4*Model!$AO$1804*AVERAGE('Assumptions (MSW)'!$AK$2:$AM$2)/10^9),0)</f>
        <v>0</v>
      </c>
      <c r="BD1951" s="160"/>
      <c r="BE1951" s="160"/>
      <c r="BF1951" s="160"/>
      <c r="BG1951" s="160"/>
      <c r="BH1951" s="160"/>
      <c r="BI1951" s="160"/>
      <c r="BJ1951" s="160"/>
      <c r="BK1951" s="160"/>
      <c r="BL1951" s="160"/>
      <c r="BM1951" s="160"/>
    </row>
    <row r="1952" ht="15.75" hidden="1" customHeight="1" outlineLevel="1">
      <c r="A1952" s="309"/>
      <c r="B1952" s="38"/>
      <c r="C1952" s="174"/>
      <c r="D1952" s="174"/>
      <c r="E1952" s="174"/>
      <c r="F1952" s="174"/>
      <c r="G1952" s="174"/>
      <c r="H1952" s="174"/>
      <c r="I1952" s="174"/>
      <c r="J1952" s="174"/>
      <c r="K1952" s="174"/>
      <c r="L1952" s="174"/>
      <c r="M1952" s="174"/>
      <c r="N1952" s="174"/>
      <c r="O1952" s="174"/>
      <c r="P1952" s="174"/>
      <c r="Q1952" s="174"/>
      <c r="R1952" s="174"/>
      <c r="S1952" s="174"/>
      <c r="T1952" s="174"/>
      <c r="U1952" s="174"/>
      <c r="V1952" s="174"/>
      <c r="W1952" s="160"/>
      <c r="X1952" s="160"/>
      <c r="Y1952" s="160"/>
      <c r="Z1952" s="160"/>
      <c r="AA1952" s="160"/>
      <c r="AB1952" s="160"/>
      <c r="AC1952" s="160"/>
      <c r="AD1952" s="160"/>
      <c r="AE1952" s="160"/>
      <c r="AF1952" s="160"/>
      <c r="AG1952" s="160"/>
      <c r="AH1952" s="160"/>
      <c r="AI1952" s="160"/>
      <c r="AJ1952" s="179"/>
      <c r="AK1952" s="160"/>
      <c r="AL1952" s="177"/>
      <c r="AM1952" s="177"/>
      <c r="AN1952" s="177"/>
      <c r="AO1952" s="160"/>
      <c r="AP1952" s="160">
        <f>IF($AP$1804&gt;0,IPMT('Assumptions (MSW)'!$V$6,Model!W$1,'Assumptions (MSW)'!$V$9,'Assumptions (MSW)'!$V$4*Model!$AP$1804*AVERAGE('Assumptions (MSW)'!$AL$2:$AN$2)/10^9),0)</f>
        <v>0</v>
      </c>
      <c r="AQ1952" s="160">
        <f>IF($AP$1804&gt;0,IPMT('Assumptions (MSW)'!$V$6,Model!X$1,'Assumptions (MSW)'!$V$9,'Assumptions (MSW)'!$V$4*Model!$AP$1804*AVERAGE('Assumptions (MSW)'!$AL$2:$AN$2)/10^9),0)</f>
        <v>0</v>
      </c>
      <c r="AR1952" s="160">
        <f>IF($AP$1804&gt;0,IPMT('Assumptions (MSW)'!$V$6,Model!Y$1,'Assumptions (MSW)'!$V$9,'Assumptions (MSW)'!$V$4*Model!$AP$1804*AVERAGE('Assumptions (MSW)'!$AL$2:$AN$2)/10^9),0)</f>
        <v>0</v>
      </c>
      <c r="AS1952" s="160">
        <f>IF($AP$1804&gt;0,IPMT('Assumptions (MSW)'!$V$6,Model!Z$1,'Assumptions (MSW)'!$V$9,'Assumptions (MSW)'!$V$4*Model!$AP$1804*AVERAGE('Assumptions (MSW)'!$AL$2:$AN$2)/10^9),0)</f>
        <v>0</v>
      </c>
      <c r="AT1952" s="160">
        <f>IF($AP$1804&gt;0,IPMT('Assumptions (MSW)'!$V$6,Model!AA$1,'Assumptions (MSW)'!$V$9,'Assumptions (MSW)'!$V$4*Model!$AP$1804*AVERAGE('Assumptions (MSW)'!$AL$2:$AN$2)/10^9),0)</f>
        <v>0</v>
      </c>
      <c r="AU1952" s="160">
        <f>IF($AP$1804&gt;0,IPMT('Assumptions (MSW)'!$V$6,Model!AB$1,'Assumptions (MSW)'!$V$9,'Assumptions (MSW)'!$V$4*Model!$AP$1804*AVERAGE('Assumptions (MSW)'!$AL$2:$AN$2)/10^9),0)</f>
        <v>0</v>
      </c>
      <c r="AV1952" s="160">
        <f>IF($AP$1804&gt;0,IPMT('Assumptions (MSW)'!$V$6,Model!AC$1,'Assumptions (MSW)'!$V$9,'Assumptions (MSW)'!$V$4*Model!$AP$1804*AVERAGE('Assumptions (MSW)'!$AL$2:$AN$2)/10^9),0)</f>
        <v>0</v>
      </c>
      <c r="AW1952" s="160">
        <f>IF($AP$1804&gt;0,IPMT('Assumptions (MSW)'!$V$6,Model!AD$1,'Assumptions (MSW)'!$V$9,'Assumptions (MSW)'!$V$4*Model!$AP$1804*AVERAGE('Assumptions (MSW)'!$AL$2:$AN$2)/10^9),0)</f>
        <v>0</v>
      </c>
      <c r="AX1952" s="160">
        <f>IF($AP$1804&gt;0,IPMT('Assumptions (MSW)'!$V$6,Model!AE$1,'Assumptions (MSW)'!$V$9,'Assumptions (MSW)'!$V$4*Model!$AP$1804*AVERAGE('Assumptions (MSW)'!$AL$2:$AN$2)/10^9),0)</f>
        <v>0</v>
      </c>
      <c r="AY1952" s="160">
        <f>IF($AP$1804&gt;0,IPMT('Assumptions (MSW)'!$V$6,Model!AF$1,'Assumptions (MSW)'!$V$9,'Assumptions (MSW)'!$V$4*Model!$AP$1804*AVERAGE('Assumptions (MSW)'!$AL$2:$AN$2)/10^9),0)</f>
        <v>0</v>
      </c>
      <c r="AZ1952" s="160">
        <f>IF($AP$1804&gt;0,IPMT('Assumptions (MSW)'!$V$6,Model!AG$1,'Assumptions (MSW)'!$V$9,'Assumptions (MSW)'!$V$4*Model!$AP$1804*AVERAGE('Assumptions (MSW)'!$AL$2:$AN$2)/10^9),0)</f>
        <v>0</v>
      </c>
      <c r="BA1952" s="160">
        <f>IF($AP$1804&gt;0,IPMT('Assumptions (MSW)'!$V$6,Model!AH$1,'Assumptions (MSW)'!$V$9,'Assumptions (MSW)'!$V$4*Model!$AP$1804*AVERAGE('Assumptions (MSW)'!$AL$2:$AN$2)/10^9),0)</f>
        <v>0</v>
      </c>
      <c r="BB1952" s="160">
        <f>IF($AP$1804&gt;0,IPMT('Assumptions (MSW)'!$V$6,Model!AI$1,'Assumptions (MSW)'!$V$9,'Assumptions (MSW)'!$V$4*Model!$AP$1804*AVERAGE('Assumptions (MSW)'!$AL$2:$AN$2)/10^9),0)</f>
        <v>0</v>
      </c>
      <c r="BC1952" s="160">
        <f>IF($AP$1804&gt;0,IPMT('Assumptions (MSW)'!$V$6,Model!AJ$1,'Assumptions (MSW)'!$V$9,'Assumptions (MSW)'!$V$4*Model!$AP$1804*AVERAGE('Assumptions (MSW)'!$AL$2:$AN$2)/10^9),0)</f>
        <v>0</v>
      </c>
      <c r="BD1952" s="160">
        <f>IF($AP$1804&gt;0,IPMT('Assumptions (MSW)'!$V$6,Model!AK$1,'Assumptions (MSW)'!$V$9,'Assumptions (MSW)'!$V$4*Model!$AP$1804*AVERAGE('Assumptions (MSW)'!$AL$2:$AN$2)/10^9),0)</f>
        <v>0</v>
      </c>
      <c r="BE1952" s="160"/>
      <c r="BF1952" s="160"/>
      <c r="BG1952" s="160"/>
      <c r="BH1952" s="160"/>
      <c r="BI1952" s="160"/>
      <c r="BJ1952" s="160"/>
      <c r="BK1952" s="160"/>
      <c r="BL1952" s="160"/>
      <c r="BM1952" s="160"/>
      <c r="BN1952" s="160"/>
    </row>
    <row r="1953" ht="15.75" hidden="1" customHeight="1" outlineLevel="1">
      <c r="A1953" s="309"/>
      <c r="B1953" s="38"/>
      <c r="C1953" s="174"/>
      <c r="D1953" s="174"/>
      <c r="E1953" s="174"/>
      <c r="F1953" s="174"/>
      <c r="G1953" s="174"/>
      <c r="H1953" s="174"/>
      <c r="I1953" s="174"/>
      <c r="J1953" s="174"/>
      <c r="K1953" s="174"/>
      <c r="L1953" s="174"/>
      <c r="M1953" s="174"/>
      <c r="N1953" s="174"/>
      <c r="O1953" s="174"/>
      <c r="P1953" s="174"/>
      <c r="Q1953" s="174"/>
      <c r="R1953" s="174"/>
      <c r="S1953" s="174"/>
      <c r="T1953" s="174"/>
      <c r="U1953" s="174"/>
      <c r="V1953" s="174"/>
      <c r="W1953" s="160"/>
      <c r="X1953" s="160"/>
      <c r="Y1953" s="160"/>
      <c r="Z1953" s="160"/>
      <c r="AA1953" s="160"/>
      <c r="AB1953" s="160"/>
      <c r="AC1953" s="160"/>
      <c r="AD1953" s="160"/>
      <c r="AE1953" s="160"/>
      <c r="AF1953" s="160"/>
      <c r="AG1953" s="160"/>
      <c r="AH1953" s="160"/>
      <c r="AI1953" s="160"/>
      <c r="AJ1953" s="179"/>
      <c r="AK1953" s="160"/>
      <c r="AL1953" s="177"/>
      <c r="AM1953" s="177"/>
      <c r="AN1953" s="177"/>
      <c r="AO1953" s="160"/>
      <c r="AP1953" s="160"/>
      <c r="AQ1953" s="160">
        <f>IF($AQ$1804&gt;0,IPMT('Assumptions (MSW)'!$V$6,Model!W$1,'Assumptions (MSW)'!$V$9,'Assumptions (MSW)'!$V$4*Model!$AQ$1804*AVERAGE('Assumptions (MSW)'!$AM$2:$AO$2)/10^9),0)</f>
        <v>0</v>
      </c>
      <c r="AR1953" s="160">
        <f>IF($AQ$1804&gt;0,IPMT('Assumptions (MSW)'!$V$6,Model!X$1,'Assumptions (MSW)'!$V$9,'Assumptions (MSW)'!$V$4*Model!$AQ$1804*AVERAGE('Assumptions (MSW)'!$AM$2:$AO$2)/10^9),0)</f>
        <v>0</v>
      </c>
      <c r="AS1953" s="160">
        <f>IF($AQ$1804&gt;0,IPMT('Assumptions (MSW)'!$V$6,Model!Y$1,'Assumptions (MSW)'!$V$9,'Assumptions (MSW)'!$V$4*Model!$AQ$1804*AVERAGE('Assumptions (MSW)'!$AM$2:$AO$2)/10^9),0)</f>
        <v>0</v>
      </c>
      <c r="AT1953" s="160">
        <f>IF($AQ$1804&gt;0,IPMT('Assumptions (MSW)'!$V$6,Model!Z$1,'Assumptions (MSW)'!$V$9,'Assumptions (MSW)'!$V$4*Model!$AQ$1804*AVERAGE('Assumptions (MSW)'!$AM$2:$AO$2)/10^9),0)</f>
        <v>0</v>
      </c>
      <c r="AU1953" s="160">
        <f>IF($AQ$1804&gt;0,IPMT('Assumptions (MSW)'!$V$6,Model!AA$1,'Assumptions (MSW)'!$V$9,'Assumptions (MSW)'!$V$4*Model!$AQ$1804*AVERAGE('Assumptions (MSW)'!$AM$2:$AO$2)/10^9),0)</f>
        <v>0</v>
      </c>
      <c r="AV1953" s="160">
        <f>IF($AQ$1804&gt;0,IPMT('Assumptions (MSW)'!$V$6,Model!AB$1,'Assumptions (MSW)'!$V$9,'Assumptions (MSW)'!$V$4*Model!$AQ$1804*AVERAGE('Assumptions (MSW)'!$AM$2:$AO$2)/10^9),0)</f>
        <v>0</v>
      </c>
      <c r="AW1953" s="160">
        <f>IF($AQ$1804&gt;0,IPMT('Assumptions (MSW)'!$V$6,Model!AC$1,'Assumptions (MSW)'!$V$9,'Assumptions (MSW)'!$V$4*Model!$AQ$1804*AVERAGE('Assumptions (MSW)'!$AM$2:$AO$2)/10^9),0)</f>
        <v>0</v>
      </c>
      <c r="AX1953" s="160">
        <f>IF($AQ$1804&gt;0,IPMT('Assumptions (MSW)'!$V$6,Model!AD$1,'Assumptions (MSW)'!$V$9,'Assumptions (MSW)'!$V$4*Model!$AQ$1804*AVERAGE('Assumptions (MSW)'!$AM$2:$AO$2)/10^9),0)</f>
        <v>0</v>
      </c>
      <c r="AY1953" s="160">
        <f>IF($AQ$1804&gt;0,IPMT('Assumptions (MSW)'!$V$6,Model!AE$1,'Assumptions (MSW)'!$V$9,'Assumptions (MSW)'!$V$4*Model!$AQ$1804*AVERAGE('Assumptions (MSW)'!$AM$2:$AO$2)/10^9),0)</f>
        <v>0</v>
      </c>
      <c r="AZ1953" s="160">
        <f>IF($AQ$1804&gt;0,IPMT('Assumptions (MSW)'!$V$6,Model!AF$1,'Assumptions (MSW)'!$V$9,'Assumptions (MSW)'!$V$4*Model!$AQ$1804*AVERAGE('Assumptions (MSW)'!$AM$2:$AO$2)/10^9),0)</f>
        <v>0</v>
      </c>
      <c r="BA1953" s="160">
        <f>IF($AQ$1804&gt;0,IPMT('Assumptions (MSW)'!$V$6,Model!AG$1,'Assumptions (MSW)'!$V$9,'Assumptions (MSW)'!$V$4*Model!$AQ$1804*AVERAGE('Assumptions (MSW)'!$AM$2:$AO$2)/10^9),0)</f>
        <v>0</v>
      </c>
      <c r="BB1953" s="160">
        <f>IF($AQ$1804&gt;0,IPMT('Assumptions (MSW)'!$V$6,Model!AH$1,'Assumptions (MSW)'!$V$9,'Assumptions (MSW)'!$V$4*Model!$AQ$1804*AVERAGE('Assumptions (MSW)'!$AM$2:$AO$2)/10^9),0)</f>
        <v>0</v>
      </c>
      <c r="BC1953" s="160">
        <f>IF($AQ$1804&gt;0,IPMT('Assumptions (MSW)'!$V$6,Model!AI$1,'Assumptions (MSW)'!$V$9,'Assumptions (MSW)'!$V$4*Model!$AQ$1804*AVERAGE('Assumptions (MSW)'!$AM$2:$AO$2)/10^9),0)</f>
        <v>0</v>
      </c>
      <c r="BD1953" s="160">
        <f>IF($AQ$1804&gt;0,IPMT('Assumptions (MSW)'!$V$6,Model!AJ$1,'Assumptions (MSW)'!$V$9,'Assumptions (MSW)'!$V$4*Model!$AQ$1804*AVERAGE('Assumptions (MSW)'!$AM$2:$AO$2)/10^9),0)</f>
        <v>0</v>
      </c>
      <c r="BE1953" s="160">
        <f>IF($AQ$1804&gt;0,IPMT('Assumptions (MSW)'!$V$6,Model!AK$1,'Assumptions (MSW)'!$V$9,'Assumptions (MSW)'!$V$4*Model!$AQ$1804*AVERAGE('Assumptions (MSW)'!$AM$2:$AO$2)/10^9),0)</f>
        <v>0</v>
      </c>
      <c r="BF1953" s="160"/>
      <c r="BG1953" s="160"/>
      <c r="BH1953" s="160"/>
      <c r="BI1953" s="160"/>
      <c r="BJ1953" s="160"/>
      <c r="BK1953" s="160"/>
      <c r="BL1953" s="160"/>
      <c r="BM1953" s="160"/>
      <c r="BN1953" s="160"/>
      <c r="BO1953" s="160"/>
    </row>
    <row r="1954" ht="15.75" hidden="1" customHeight="1" outlineLevel="1">
      <c r="A1954" s="309"/>
      <c r="B1954" s="38"/>
      <c r="C1954" s="174"/>
      <c r="D1954" s="174"/>
      <c r="E1954" s="174"/>
      <c r="F1954" s="174"/>
      <c r="G1954" s="174"/>
      <c r="H1954" s="174"/>
      <c r="I1954" s="174"/>
      <c r="J1954" s="174"/>
      <c r="K1954" s="174"/>
      <c r="L1954" s="174"/>
      <c r="M1954" s="174"/>
      <c r="N1954" s="174"/>
      <c r="O1954" s="174"/>
      <c r="P1954" s="174"/>
      <c r="Q1954" s="174"/>
      <c r="R1954" s="174"/>
      <c r="S1954" s="174"/>
      <c r="T1954" s="174"/>
      <c r="U1954" s="174"/>
      <c r="V1954" s="174"/>
      <c r="W1954" s="160"/>
      <c r="X1954" s="160"/>
      <c r="Y1954" s="160"/>
      <c r="Z1954" s="160"/>
      <c r="AA1954" s="160"/>
      <c r="AB1954" s="160"/>
      <c r="AC1954" s="160"/>
      <c r="AD1954" s="160"/>
      <c r="AE1954" s="160"/>
      <c r="AF1954" s="160"/>
      <c r="AG1954" s="160"/>
      <c r="AH1954" s="160"/>
      <c r="AI1954" s="160"/>
      <c r="AJ1954" s="179"/>
      <c r="AK1954" s="160"/>
      <c r="AL1954" s="177"/>
      <c r="AM1954" s="177"/>
      <c r="AN1954" s="177"/>
      <c r="AO1954" s="160"/>
      <c r="AP1954" s="160"/>
      <c r="AQ1954" s="160"/>
      <c r="AR1954" s="160">
        <f>IF($AR$1804&gt;0,IPMT('Assumptions (MSW)'!$V$6,Model!W$1,'Assumptions (MSW)'!$V$9,'Assumptions (MSW)'!$V$4*Model!$AR$1804*AVERAGE('Assumptions (MSW)'!$AN$2:$AP$2)/10^9),0)</f>
        <v>0</v>
      </c>
      <c r="AS1954" s="160">
        <f>IF($AR$1804&gt;0,IPMT('Assumptions (MSW)'!$V$6,Model!X$1,'Assumptions (MSW)'!$V$9,'Assumptions (MSW)'!$V$4*Model!$AR$1804*AVERAGE('Assumptions (MSW)'!$AN$2:$AP$2)/10^9),0)</f>
        <v>0</v>
      </c>
      <c r="AT1954" s="160">
        <f>IF($AR$1804&gt;0,IPMT('Assumptions (MSW)'!$V$6,Model!Y$1,'Assumptions (MSW)'!$V$9,'Assumptions (MSW)'!$V$4*Model!$AR$1804*AVERAGE('Assumptions (MSW)'!$AN$2:$AP$2)/10^9),0)</f>
        <v>0</v>
      </c>
      <c r="AU1954" s="160">
        <f>IF($AR$1804&gt;0,IPMT('Assumptions (MSW)'!$V$6,Model!Z$1,'Assumptions (MSW)'!$V$9,'Assumptions (MSW)'!$V$4*Model!$AR$1804*AVERAGE('Assumptions (MSW)'!$AN$2:$AP$2)/10^9),0)</f>
        <v>0</v>
      </c>
      <c r="AV1954" s="160">
        <f>IF($AR$1804&gt;0,IPMT('Assumptions (MSW)'!$V$6,Model!AA$1,'Assumptions (MSW)'!$V$9,'Assumptions (MSW)'!$V$4*Model!$AR$1804*AVERAGE('Assumptions (MSW)'!$AN$2:$AP$2)/10^9),0)</f>
        <v>0</v>
      </c>
      <c r="AW1954" s="160">
        <f>IF($AR$1804&gt;0,IPMT('Assumptions (MSW)'!$V$6,Model!AB$1,'Assumptions (MSW)'!$V$9,'Assumptions (MSW)'!$V$4*Model!$AR$1804*AVERAGE('Assumptions (MSW)'!$AN$2:$AP$2)/10^9),0)</f>
        <v>0</v>
      </c>
      <c r="AX1954" s="160">
        <f>IF($AR$1804&gt;0,IPMT('Assumptions (MSW)'!$V$6,Model!AC$1,'Assumptions (MSW)'!$V$9,'Assumptions (MSW)'!$V$4*Model!$AR$1804*AVERAGE('Assumptions (MSW)'!$AN$2:$AP$2)/10^9),0)</f>
        <v>0</v>
      </c>
      <c r="AY1954" s="160">
        <f>IF($AR$1804&gt;0,IPMT('Assumptions (MSW)'!$V$6,Model!AD$1,'Assumptions (MSW)'!$V$9,'Assumptions (MSW)'!$V$4*Model!$AR$1804*AVERAGE('Assumptions (MSW)'!$AN$2:$AP$2)/10^9),0)</f>
        <v>0</v>
      </c>
      <c r="AZ1954" s="160">
        <f>IF($AR$1804&gt;0,IPMT('Assumptions (MSW)'!$V$6,Model!AE$1,'Assumptions (MSW)'!$V$9,'Assumptions (MSW)'!$V$4*Model!$AR$1804*AVERAGE('Assumptions (MSW)'!$AN$2:$AP$2)/10^9),0)</f>
        <v>0</v>
      </c>
      <c r="BA1954" s="160">
        <f>IF($AR$1804&gt;0,IPMT('Assumptions (MSW)'!$V$6,Model!AF$1,'Assumptions (MSW)'!$V$9,'Assumptions (MSW)'!$V$4*Model!$AR$1804*AVERAGE('Assumptions (MSW)'!$AN$2:$AP$2)/10^9),0)</f>
        <v>0</v>
      </c>
      <c r="BB1954" s="160">
        <f>IF($AR$1804&gt;0,IPMT('Assumptions (MSW)'!$V$6,Model!AG$1,'Assumptions (MSW)'!$V$9,'Assumptions (MSW)'!$V$4*Model!$AR$1804*AVERAGE('Assumptions (MSW)'!$AN$2:$AP$2)/10^9),0)</f>
        <v>0</v>
      </c>
      <c r="BC1954" s="160">
        <f>IF($AR$1804&gt;0,IPMT('Assumptions (MSW)'!$V$6,Model!AH$1,'Assumptions (MSW)'!$V$9,'Assumptions (MSW)'!$V$4*Model!$AR$1804*AVERAGE('Assumptions (MSW)'!$AN$2:$AP$2)/10^9),0)</f>
        <v>0</v>
      </c>
      <c r="BD1954" s="160">
        <f>IF($AR$1804&gt;0,IPMT('Assumptions (MSW)'!$V$6,Model!AI$1,'Assumptions (MSW)'!$V$9,'Assumptions (MSW)'!$V$4*Model!$AR$1804*AVERAGE('Assumptions (MSW)'!$AN$2:$AP$2)/10^9),0)</f>
        <v>0</v>
      </c>
      <c r="BE1954" s="160">
        <f>IF($AR$1804&gt;0,IPMT('Assumptions (MSW)'!$V$6,Model!AJ$1,'Assumptions (MSW)'!$V$9,'Assumptions (MSW)'!$V$4*Model!$AR$1804*AVERAGE('Assumptions (MSW)'!$AN$2:$AP$2)/10^9),0)</f>
        <v>0</v>
      </c>
      <c r="BF1954" s="160">
        <f>IF($AR$1804&gt;0,IPMT('Assumptions (MSW)'!$V$6,Model!AK$1,'Assumptions (MSW)'!$V$9,'Assumptions (MSW)'!$V$4*Model!$AR$1804*AVERAGE('Assumptions (MSW)'!$AN$2:$AP$2)/10^9),0)</f>
        <v>0</v>
      </c>
      <c r="BG1954" s="160"/>
      <c r="BH1954" s="160"/>
      <c r="BI1954" s="160"/>
      <c r="BJ1954" s="160"/>
      <c r="BK1954" s="160"/>
      <c r="BL1954" s="160"/>
      <c r="BM1954" s="160"/>
      <c r="BN1954" s="160"/>
      <c r="BO1954" s="160"/>
      <c r="BP1954" s="160"/>
    </row>
    <row r="1955" ht="15.75" hidden="1" customHeight="1" outlineLevel="1">
      <c r="A1955" s="309"/>
      <c r="B1955" s="38"/>
      <c r="C1955" s="174"/>
      <c r="D1955" s="174"/>
      <c r="E1955" s="174"/>
      <c r="F1955" s="174"/>
      <c r="G1955" s="174"/>
      <c r="H1955" s="174"/>
      <c r="I1955" s="174"/>
      <c r="J1955" s="174"/>
      <c r="K1955" s="174"/>
      <c r="L1955" s="174"/>
      <c r="M1955" s="174"/>
      <c r="N1955" s="174"/>
      <c r="O1955" s="174"/>
      <c r="P1955" s="174"/>
      <c r="Q1955" s="174"/>
      <c r="R1955" s="174"/>
      <c r="S1955" s="174"/>
      <c r="T1955" s="174"/>
      <c r="U1955" s="174"/>
      <c r="V1955" s="174"/>
      <c r="W1955" s="160"/>
      <c r="X1955" s="160"/>
      <c r="Y1955" s="160"/>
      <c r="Z1955" s="160"/>
      <c r="AA1955" s="160"/>
      <c r="AB1955" s="160"/>
      <c r="AC1955" s="160"/>
      <c r="AD1955" s="160"/>
      <c r="AE1955" s="160"/>
      <c r="AF1955" s="160"/>
      <c r="AG1955" s="160"/>
      <c r="AH1955" s="160"/>
      <c r="AI1955" s="160"/>
      <c r="AJ1955" s="179"/>
      <c r="AK1955" s="160"/>
      <c r="AL1955" s="177"/>
      <c r="AM1955" s="177"/>
      <c r="AN1955" s="177"/>
      <c r="AO1955" s="160"/>
      <c r="AP1955" s="160"/>
      <c r="AQ1955" s="160"/>
      <c r="AR1955" s="160"/>
      <c r="AS1955" s="160">
        <f>IF($AS$1804&gt;0,IPMT('Assumptions (MSW)'!$V$6,Model!W$1,'Assumptions (MSW)'!$V$9,'Assumptions (MSW)'!$V$4*Model!$AS$1804*AVERAGE('Assumptions (MSW)'!$AO$2:$AQ$2)/10^9),0)</f>
        <v>0</v>
      </c>
      <c r="AT1955" s="160">
        <f>IF($AS$1804&gt;0,IPMT('Assumptions (MSW)'!$V$6,Model!X$1,'Assumptions (MSW)'!$V$9,'Assumptions (MSW)'!$V$4*Model!$AS$1804*AVERAGE('Assumptions (MSW)'!$AO$2:$AQ$2)/10^9),0)</f>
        <v>0</v>
      </c>
      <c r="AU1955" s="160">
        <f>IF($AS$1804&gt;0,IPMT('Assumptions (MSW)'!$V$6,Model!Y$1,'Assumptions (MSW)'!$V$9,'Assumptions (MSW)'!$V$4*Model!$AS$1804*AVERAGE('Assumptions (MSW)'!$AO$2:$AQ$2)/10^9),0)</f>
        <v>0</v>
      </c>
      <c r="AV1955" s="160">
        <f>IF($AS$1804&gt;0,IPMT('Assumptions (MSW)'!$V$6,Model!Z$1,'Assumptions (MSW)'!$V$9,'Assumptions (MSW)'!$V$4*Model!$AS$1804*AVERAGE('Assumptions (MSW)'!$AO$2:$AQ$2)/10^9),0)</f>
        <v>0</v>
      </c>
      <c r="AW1955" s="160">
        <f>IF($AS$1804&gt;0,IPMT('Assumptions (MSW)'!$V$6,Model!AA$1,'Assumptions (MSW)'!$V$9,'Assumptions (MSW)'!$V$4*Model!$AS$1804*AVERAGE('Assumptions (MSW)'!$AO$2:$AQ$2)/10^9),0)</f>
        <v>0</v>
      </c>
      <c r="AX1955" s="160">
        <f>IF($AS$1804&gt;0,IPMT('Assumptions (MSW)'!$V$6,Model!AB$1,'Assumptions (MSW)'!$V$9,'Assumptions (MSW)'!$V$4*Model!$AS$1804*AVERAGE('Assumptions (MSW)'!$AO$2:$AQ$2)/10^9),0)</f>
        <v>0</v>
      </c>
      <c r="AY1955" s="160">
        <f>IF($AS$1804&gt;0,IPMT('Assumptions (MSW)'!$V$6,Model!AC$1,'Assumptions (MSW)'!$V$9,'Assumptions (MSW)'!$V$4*Model!$AS$1804*AVERAGE('Assumptions (MSW)'!$AO$2:$AQ$2)/10^9),0)</f>
        <v>0</v>
      </c>
      <c r="AZ1955" s="160">
        <f>IF($AS$1804&gt;0,IPMT('Assumptions (MSW)'!$V$6,Model!AD$1,'Assumptions (MSW)'!$V$9,'Assumptions (MSW)'!$V$4*Model!$AS$1804*AVERAGE('Assumptions (MSW)'!$AO$2:$AQ$2)/10^9),0)</f>
        <v>0</v>
      </c>
      <c r="BA1955" s="160">
        <f>IF($AS$1804&gt;0,IPMT('Assumptions (MSW)'!$V$6,Model!AE$1,'Assumptions (MSW)'!$V$9,'Assumptions (MSW)'!$V$4*Model!$AS$1804*AVERAGE('Assumptions (MSW)'!$AO$2:$AQ$2)/10^9),0)</f>
        <v>0</v>
      </c>
      <c r="BB1955" s="160">
        <f>IF($AS$1804&gt;0,IPMT('Assumptions (MSW)'!$V$6,Model!AF$1,'Assumptions (MSW)'!$V$9,'Assumptions (MSW)'!$V$4*Model!$AS$1804*AVERAGE('Assumptions (MSW)'!$AO$2:$AQ$2)/10^9),0)</f>
        <v>0</v>
      </c>
      <c r="BC1955" s="160">
        <f>IF($AS$1804&gt;0,IPMT('Assumptions (MSW)'!$V$6,Model!AG$1,'Assumptions (MSW)'!$V$9,'Assumptions (MSW)'!$V$4*Model!$AS$1804*AVERAGE('Assumptions (MSW)'!$AO$2:$AQ$2)/10^9),0)</f>
        <v>0</v>
      </c>
      <c r="BD1955" s="160">
        <f>IF($AS$1804&gt;0,IPMT('Assumptions (MSW)'!$V$6,Model!AH$1,'Assumptions (MSW)'!$V$9,'Assumptions (MSW)'!$V$4*Model!$AS$1804*AVERAGE('Assumptions (MSW)'!$AO$2:$AQ$2)/10^9),0)</f>
        <v>0</v>
      </c>
      <c r="BE1955" s="160">
        <f>IF($AS$1804&gt;0,IPMT('Assumptions (MSW)'!$V$6,Model!AI$1,'Assumptions (MSW)'!$V$9,'Assumptions (MSW)'!$V$4*Model!$AS$1804*AVERAGE('Assumptions (MSW)'!$AO$2:$AQ$2)/10^9),0)</f>
        <v>0</v>
      </c>
      <c r="BF1955" s="160">
        <f>IF($AS$1804&gt;0,IPMT('Assumptions (MSW)'!$V$6,Model!AJ$1,'Assumptions (MSW)'!$V$9,'Assumptions (MSW)'!$V$4*Model!$AS$1804*AVERAGE('Assumptions (MSW)'!$AO$2:$AQ$2)/10^9),0)</f>
        <v>0</v>
      </c>
      <c r="BG1955" s="160">
        <f>IF($AS$1804&gt;0,IPMT('Assumptions (MSW)'!$V$6,Model!AK$1,'Assumptions (MSW)'!$V$9,'Assumptions (MSW)'!$V$4*Model!$AS$1804*AVERAGE('Assumptions (MSW)'!$AO$2:$AQ$2)/10^9),0)</f>
        <v>0</v>
      </c>
      <c r="BH1955" s="160"/>
      <c r="BI1955" s="160"/>
      <c r="BJ1955" s="160"/>
      <c r="BK1955" s="160"/>
      <c r="BL1955" s="160"/>
      <c r="BM1955" s="160"/>
      <c r="BN1955" s="160"/>
      <c r="BO1955" s="160"/>
      <c r="BP1955" s="160"/>
    </row>
    <row r="1956" ht="15.75" hidden="1" customHeight="1" outlineLevel="1">
      <c r="A1956" s="309"/>
      <c r="B1956" s="38"/>
      <c r="C1956" s="174"/>
      <c r="D1956" s="174"/>
      <c r="E1956" s="174"/>
      <c r="F1956" s="174"/>
      <c r="G1956" s="174"/>
      <c r="H1956" s="174"/>
      <c r="I1956" s="174"/>
      <c r="J1956" s="174"/>
      <c r="K1956" s="174"/>
      <c r="L1956" s="174"/>
      <c r="M1956" s="174"/>
      <c r="N1956" s="174"/>
      <c r="O1956" s="174"/>
      <c r="P1956" s="174"/>
      <c r="Q1956" s="174"/>
      <c r="R1956" s="174"/>
      <c r="S1956" s="174"/>
      <c r="T1956" s="174"/>
      <c r="U1956" s="174"/>
      <c r="V1956" s="174"/>
      <c r="W1956" s="160"/>
      <c r="X1956" s="160"/>
      <c r="Y1956" s="160"/>
      <c r="Z1956" s="160"/>
      <c r="AA1956" s="160"/>
      <c r="AB1956" s="160"/>
      <c r="AC1956" s="160"/>
      <c r="AD1956" s="160"/>
      <c r="AE1956" s="160"/>
      <c r="AF1956" s="160"/>
      <c r="AG1956" s="160"/>
      <c r="AH1956" s="160"/>
      <c r="AI1956" s="160"/>
      <c r="AJ1956" s="179"/>
      <c r="AK1956" s="160"/>
      <c r="AL1956" s="177"/>
      <c r="AM1956" s="177"/>
      <c r="AN1956" s="177"/>
      <c r="AO1956" s="160"/>
      <c r="AP1956" s="160"/>
      <c r="AQ1956" s="160"/>
      <c r="AR1956" s="160"/>
      <c r="AS1956" s="160"/>
      <c r="AT1956" s="160">
        <f>IF($AT$1804&gt;0,IPMT('Assumptions (MSW)'!$V$6,Model!W$1,'Assumptions (MSW)'!$V$9,'Assumptions (MSW)'!$V$4*Model!$AT$1804*AVERAGE('Assumptions (MSW)'!$AP$2:$AR$2)/10^9),0)</f>
        <v>0</v>
      </c>
      <c r="AU1956" s="160">
        <f>IF($AT$1804&gt;0,IPMT('Assumptions (MSW)'!$V$6,Model!X$1,'Assumptions (MSW)'!$V$9,'Assumptions (MSW)'!$V$4*Model!$AT$1804*AVERAGE('Assumptions (MSW)'!$AP$2:$AR$2)/10^9),0)</f>
        <v>0</v>
      </c>
      <c r="AV1956" s="160">
        <f>IF($AT$1804&gt;0,IPMT('Assumptions (MSW)'!$V$6,Model!Y$1,'Assumptions (MSW)'!$V$9,'Assumptions (MSW)'!$V$4*Model!$AT$1804*AVERAGE('Assumptions (MSW)'!$AP$2:$AR$2)/10^9),0)</f>
        <v>0</v>
      </c>
      <c r="AW1956" s="160">
        <f>IF($AT$1804&gt;0,IPMT('Assumptions (MSW)'!$V$6,Model!Z$1,'Assumptions (MSW)'!$V$9,'Assumptions (MSW)'!$V$4*Model!$AT$1804*AVERAGE('Assumptions (MSW)'!$AP$2:$AR$2)/10^9),0)</f>
        <v>0</v>
      </c>
      <c r="AX1956" s="160">
        <f>IF($AT$1804&gt;0,IPMT('Assumptions (MSW)'!$V$6,Model!AA$1,'Assumptions (MSW)'!$V$9,'Assumptions (MSW)'!$V$4*Model!$AT$1804*AVERAGE('Assumptions (MSW)'!$AP$2:$AR$2)/10^9),0)</f>
        <v>0</v>
      </c>
      <c r="AY1956" s="160">
        <f>IF($AT$1804&gt;0,IPMT('Assumptions (MSW)'!$V$6,Model!AB$1,'Assumptions (MSW)'!$V$9,'Assumptions (MSW)'!$V$4*Model!$AT$1804*AVERAGE('Assumptions (MSW)'!$AP$2:$AR$2)/10^9),0)</f>
        <v>0</v>
      </c>
      <c r="AZ1956" s="160">
        <f>IF($AT$1804&gt;0,IPMT('Assumptions (MSW)'!$V$6,Model!AC$1,'Assumptions (MSW)'!$V$9,'Assumptions (MSW)'!$V$4*Model!$AT$1804*AVERAGE('Assumptions (MSW)'!$AP$2:$AR$2)/10^9),0)</f>
        <v>0</v>
      </c>
      <c r="BA1956" s="160">
        <f>IF($AT$1804&gt;0,IPMT('Assumptions (MSW)'!$V$6,Model!AD$1,'Assumptions (MSW)'!$V$9,'Assumptions (MSW)'!$V$4*Model!$AT$1804*AVERAGE('Assumptions (MSW)'!$AP$2:$AR$2)/10^9),0)</f>
        <v>0</v>
      </c>
      <c r="BB1956" s="160">
        <f>IF($AT$1804&gt;0,IPMT('Assumptions (MSW)'!$V$6,Model!AE$1,'Assumptions (MSW)'!$V$9,'Assumptions (MSW)'!$V$4*Model!$AT$1804*AVERAGE('Assumptions (MSW)'!$AP$2:$AR$2)/10^9),0)</f>
        <v>0</v>
      </c>
      <c r="BC1956" s="160">
        <f>IF($AT$1804&gt;0,IPMT('Assumptions (MSW)'!$V$6,Model!AF$1,'Assumptions (MSW)'!$V$9,'Assumptions (MSW)'!$V$4*Model!$AT$1804*AVERAGE('Assumptions (MSW)'!$AP$2:$AR$2)/10^9),0)</f>
        <v>0</v>
      </c>
      <c r="BD1956" s="160">
        <f>IF($AT$1804&gt;0,IPMT('Assumptions (MSW)'!$V$6,Model!AG$1,'Assumptions (MSW)'!$V$9,'Assumptions (MSW)'!$V$4*Model!$AT$1804*AVERAGE('Assumptions (MSW)'!$AP$2:$AR$2)/10^9),0)</f>
        <v>0</v>
      </c>
      <c r="BE1956" s="160">
        <f>IF($AT$1804&gt;0,IPMT('Assumptions (MSW)'!$V$6,Model!AH$1,'Assumptions (MSW)'!$V$9,'Assumptions (MSW)'!$V$4*Model!$AT$1804*AVERAGE('Assumptions (MSW)'!$AP$2:$AR$2)/10^9),0)</f>
        <v>0</v>
      </c>
      <c r="BF1956" s="160">
        <f>IF($AT$1804&gt;0,IPMT('Assumptions (MSW)'!$V$6,Model!AI$1,'Assumptions (MSW)'!$V$9,'Assumptions (MSW)'!$V$4*Model!$AT$1804*AVERAGE('Assumptions (MSW)'!$AP$2:$AR$2)/10^9),0)</f>
        <v>0</v>
      </c>
      <c r="BG1956" s="160">
        <f>IF($AT$1804&gt;0,IPMT('Assumptions (MSW)'!$V$6,Model!AJ$1,'Assumptions (MSW)'!$V$9,'Assumptions (MSW)'!$V$4*Model!$AT$1804*AVERAGE('Assumptions (MSW)'!$AP$2:$AR$2)/10^9),0)</f>
        <v>0</v>
      </c>
      <c r="BH1956" s="160">
        <f>IF($AT$1804&gt;0,IPMT('Assumptions (MSW)'!$V$6,Model!AK$1,'Assumptions (MSW)'!$V$9,'Assumptions (MSW)'!$V$4*Model!$AT$1804*AVERAGE('Assumptions (MSW)'!$AP$2:$AR$2)/10^9),0)</f>
        <v>0</v>
      </c>
      <c r="BI1956" s="160"/>
      <c r="BJ1956" s="160"/>
      <c r="BK1956" s="160"/>
      <c r="BL1956" s="160"/>
      <c r="BM1956" s="160"/>
      <c r="BN1956" s="160"/>
      <c r="BO1956" s="160"/>
      <c r="BP1956" s="160"/>
    </row>
    <row r="1957" ht="15.75" hidden="1" customHeight="1" outlineLevel="1">
      <c r="A1957" s="309"/>
      <c r="B1957" s="38"/>
      <c r="C1957" s="174"/>
      <c r="D1957" s="174"/>
      <c r="E1957" s="174"/>
      <c r="F1957" s="174"/>
      <c r="G1957" s="174"/>
      <c r="H1957" s="174"/>
      <c r="I1957" s="174"/>
      <c r="J1957" s="174"/>
      <c r="K1957" s="174"/>
      <c r="L1957" s="174"/>
      <c r="M1957" s="174"/>
      <c r="N1957" s="174"/>
      <c r="O1957" s="174"/>
      <c r="P1957" s="174"/>
      <c r="Q1957" s="174"/>
      <c r="R1957" s="174"/>
      <c r="S1957" s="174"/>
      <c r="T1957" s="174"/>
      <c r="U1957" s="174"/>
      <c r="V1957" s="174"/>
      <c r="W1957" s="160"/>
      <c r="X1957" s="160"/>
      <c r="Y1957" s="160"/>
      <c r="Z1957" s="160"/>
      <c r="AA1957" s="160"/>
      <c r="AB1957" s="160"/>
      <c r="AC1957" s="160"/>
      <c r="AD1957" s="160"/>
      <c r="AE1957" s="160"/>
      <c r="AF1957" s="160"/>
      <c r="AG1957" s="160"/>
      <c r="AH1957" s="160"/>
      <c r="AI1957" s="160"/>
      <c r="AJ1957" s="179"/>
      <c r="AK1957" s="160"/>
      <c r="AL1957" s="177"/>
      <c r="AM1957" s="177"/>
      <c r="AN1957" s="177"/>
      <c r="AO1957" s="160"/>
      <c r="AP1957" s="160"/>
      <c r="AQ1957" s="160"/>
      <c r="AR1957" s="160"/>
      <c r="AS1957" s="160"/>
      <c r="AT1957" s="160"/>
      <c r="AU1957" s="160">
        <f>IF($AU$1804&gt;0,IPMT('Assumptions (MSW)'!$V$6,Model!W$1,'Assumptions (MSW)'!$V$9,'Assumptions (MSW)'!$V$4*Model!$AU$1804*AVERAGE('Assumptions (MSW)'!$AQ$2:$AS$2)/10^9),0)</f>
        <v>0</v>
      </c>
      <c r="AV1957" s="160">
        <f>IF($AU$1804&gt;0,IPMT('Assumptions (MSW)'!$V$6,Model!X$1,'Assumptions (MSW)'!$V$9,'Assumptions (MSW)'!$V$4*Model!$AU$1804*AVERAGE('Assumptions (MSW)'!$AQ$2:$AS$2)/10^9),0)</f>
        <v>0</v>
      </c>
      <c r="AW1957" s="160">
        <f>IF($AU$1804&gt;0,IPMT('Assumptions (MSW)'!$V$6,Model!Y$1,'Assumptions (MSW)'!$V$9,'Assumptions (MSW)'!$V$4*Model!$AU$1804*AVERAGE('Assumptions (MSW)'!$AQ$2:$AS$2)/10^9),0)</f>
        <v>0</v>
      </c>
      <c r="AX1957" s="160">
        <f>IF($AU$1804&gt;0,IPMT('Assumptions (MSW)'!$V$6,Model!Z$1,'Assumptions (MSW)'!$V$9,'Assumptions (MSW)'!$V$4*Model!$AU$1804*AVERAGE('Assumptions (MSW)'!$AQ$2:$AS$2)/10^9),0)</f>
        <v>0</v>
      </c>
      <c r="AY1957" s="160">
        <f>IF($AU$1804&gt;0,IPMT('Assumptions (MSW)'!$V$6,Model!AA$1,'Assumptions (MSW)'!$V$9,'Assumptions (MSW)'!$V$4*Model!$AU$1804*AVERAGE('Assumptions (MSW)'!$AQ$2:$AS$2)/10^9),0)</f>
        <v>0</v>
      </c>
      <c r="AZ1957" s="160">
        <f>IF($AU$1804&gt;0,IPMT('Assumptions (MSW)'!$V$6,Model!AB$1,'Assumptions (MSW)'!$V$9,'Assumptions (MSW)'!$V$4*Model!$AU$1804*AVERAGE('Assumptions (MSW)'!$AQ$2:$AS$2)/10^9),0)</f>
        <v>0</v>
      </c>
      <c r="BA1957" s="160">
        <f>IF($AU$1804&gt;0,IPMT('Assumptions (MSW)'!$V$6,Model!AC$1,'Assumptions (MSW)'!$V$9,'Assumptions (MSW)'!$V$4*Model!$AU$1804*AVERAGE('Assumptions (MSW)'!$AQ$2:$AS$2)/10^9),0)</f>
        <v>0</v>
      </c>
      <c r="BB1957" s="160">
        <f>IF($AU$1804&gt;0,IPMT('Assumptions (MSW)'!$V$6,Model!AD$1,'Assumptions (MSW)'!$V$9,'Assumptions (MSW)'!$V$4*Model!$AU$1804*AVERAGE('Assumptions (MSW)'!$AQ$2:$AS$2)/10^9),0)</f>
        <v>0</v>
      </c>
      <c r="BC1957" s="160">
        <f>IF($AU$1804&gt;0,IPMT('Assumptions (MSW)'!$V$6,Model!AE$1,'Assumptions (MSW)'!$V$9,'Assumptions (MSW)'!$V$4*Model!$AU$1804*AVERAGE('Assumptions (MSW)'!$AQ$2:$AS$2)/10^9),0)</f>
        <v>0</v>
      </c>
      <c r="BD1957" s="160">
        <f>IF($AU$1804&gt;0,IPMT('Assumptions (MSW)'!$V$6,Model!AF$1,'Assumptions (MSW)'!$V$9,'Assumptions (MSW)'!$V$4*Model!$AU$1804*AVERAGE('Assumptions (MSW)'!$AQ$2:$AS$2)/10^9),0)</f>
        <v>0</v>
      </c>
      <c r="BE1957" s="160">
        <f>IF($AU$1804&gt;0,IPMT('Assumptions (MSW)'!$V$6,Model!AG$1,'Assumptions (MSW)'!$V$9,'Assumptions (MSW)'!$V$4*Model!$AU$1804*AVERAGE('Assumptions (MSW)'!$AQ$2:$AS$2)/10^9),0)</f>
        <v>0</v>
      </c>
      <c r="BF1957" s="160">
        <f>IF($AU$1804&gt;0,IPMT('Assumptions (MSW)'!$V$6,Model!AH$1,'Assumptions (MSW)'!$V$9,'Assumptions (MSW)'!$V$4*Model!$AU$1804*AVERAGE('Assumptions (MSW)'!$AQ$2:$AS$2)/10^9),0)</f>
        <v>0</v>
      </c>
      <c r="BG1957" s="160">
        <f>IF($AU$1804&gt;0,IPMT('Assumptions (MSW)'!$V$6,Model!AI$1,'Assumptions (MSW)'!$V$9,'Assumptions (MSW)'!$V$4*Model!$AU$1804*AVERAGE('Assumptions (MSW)'!$AQ$2:$AS$2)/10^9),0)</f>
        <v>0</v>
      </c>
      <c r="BH1957" s="160">
        <f>IF($AU$1804&gt;0,IPMT('Assumptions (MSW)'!$V$6,Model!AJ$1,'Assumptions (MSW)'!$V$9,'Assumptions (MSW)'!$V$4*Model!$AU$1804*AVERAGE('Assumptions (MSW)'!$AQ$2:$AS$2)/10^9),0)</f>
        <v>0</v>
      </c>
      <c r="BI1957" s="160">
        <f>IF($AU$1804&gt;0,IPMT('Assumptions (MSW)'!$V$6,Model!AK$1,'Assumptions (MSW)'!$V$9,'Assumptions (MSW)'!$V$4*Model!$AU$1804*AVERAGE('Assumptions (MSW)'!$AQ$2:$AS$2)/10^9),0)</f>
        <v>0</v>
      </c>
      <c r="BJ1957" s="160"/>
      <c r="BK1957" s="160"/>
      <c r="BL1957" s="160"/>
      <c r="BM1957" s="160"/>
      <c r="BN1957" s="160"/>
      <c r="BO1957" s="160"/>
      <c r="BP1957" s="160"/>
    </row>
    <row r="1958" ht="15.75" hidden="1" customHeight="1" outlineLevel="1">
      <c r="A1958" s="309"/>
      <c r="B1958" s="38"/>
      <c r="C1958" s="174"/>
      <c r="D1958" s="174"/>
      <c r="E1958" s="174"/>
      <c r="F1958" s="174"/>
      <c r="G1958" s="174"/>
      <c r="H1958" s="174"/>
      <c r="I1958" s="174"/>
      <c r="J1958" s="174"/>
      <c r="K1958" s="174"/>
      <c r="L1958" s="174"/>
      <c r="M1958" s="174"/>
      <c r="N1958" s="174"/>
      <c r="O1958" s="174"/>
      <c r="P1958" s="174"/>
      <c r="Q1958" s="174"/>
      <c r="R1958" s="174"/>
      <c r="S1958" s="174"/>
      <c r="T1958" s="174"/>
      <c r="U1958" s="174"/>
      <c r="V1958" s="174"/>
      <c r="W1958" s="160"/>
      <c r="X1958" s="160"/>
      <c r="Y1958" s="160"/>
      <c r="Z1958" s="160"/>
      <c r="AA1958" s="160"/>
      <c r="AB1958" s="160"/>
      <c r="AC1958" s="160"/>
      <c r="AD1958" s="160"/>
      <c r="AE1958" s="160"/>
      <c r="AF1958" s="160"/>
      <c r="AG1958" s="160"/>
      <c r="AH1958" s="160"/>
      <c r="AI1958" s="160"/>
      <c r="AJ1958" s="179"/>
      <c r="AK1958" s="160"/>
      <c r="AL1958" s="177"/>
      <c r="AM1958" s="177"/>
      <c r="AN1958" s="177"/>
      <c r="AO1958" s="160"/>
      <c r="AP1958" s="160"/>
      <c r="AQ1958" s="160"/>
      <c r="AR1958" s="160"/>
      <c r="AS1958" s="160"/>
      <c r="AT1958" s="160"/>
      <c r="AU1958" s="160"/>
      <c r="AV1958" s="160">
        <f>IF($AV$1804&gt;0,IPMT('Assumptions (MSW)'!$V$6,Model!W$1,'Assumptions (MSW)'!$V$9,'Assumptions (MSW)'!$V$4*Model!$AV$1804*AVERAGE('Assumptions (MSW)'!$AR$2:$AT$2)/10^9),0)</f>
        <v>0</v>
      </c>
      <c r="AW1958" s="160">
        <f>IF($AV$1804&gt;0,IPMT('Assumptions (MSW)'!$V$6,Model!X$1,'Assumptions (MSW)'!$V$9,'Assumptions (MSW)'!$V$4*Model!$AV$1804*AVERAGE('Assumptions (MSW)'!$AR$2:$AT$2)/10^9),0)</f>
        <v>0</v>
      </c>
      <c r="AX1958" s="160">
        <f>IF($AV$1804&gt;0,IPMT('Assumptions (MSW)'!$V$6,Model!Y$1,'Assumptions (MSW)'!$V$9,'Assumptions (MSW)'!$V$4*Model!$AV$1804*AVERAGE('Assumptions (MSW)'!$AR$2:$AT$2)/10^9),0)</f>
        <v>0</v>
      </c>
      <c r="AY1958" s="160">
        <f>IF($AV$1804&gt;0,IPMT('Assumptions (MSW)'!$V$6,Model!Z$1,'Assumptions (MSW)'!$V$9,'Assumptions (MSW)'!$V$4*Model!$AV$1804*AVERAGE('Assumptions (MSW)'!$AR$2:$AT$2)/10^9),0)</f>
        <v>0</v>
      </c>
      <c r="AZ1958" s="160">
        <f>IF($AV$1804&gt;0,IPMT('Assumptions (MSW)'!$V$6,Model!AA$1,'Assumptions (MSW)'!$V$9,'Assumptions (MSW)'!$V$4*Model!$AV$1804*AVERAGE('Assumptions (MSW)'!$AR$2:$AT$2)/10^9),0)</f>
        <v>0</v>
      </c>
      <c r="BA1958" s="160">
        <f>IF($AV$1804&gt;0,IPMT('Assumptions (MSW)'!$V$6,Model!AB$1,'Assumptions (MSW)'!$V$9,'Assumptions (MSW)'!$V$4*Model!$AV$1804*AVERAGE('Assumptions (MSW)'!$AR$2:$AT$2)/10^9),0)</f>
        <v>0</v>
      </c>
      <c r="BB1958" s="160">
        <f>IF($AV$1804&gt;0,IPMT('Assumptions (MSW)'!$V$6,Model!AC$1,'Assumptions (MSW)'!$V$9,'Assumptions (MSW)'!$V$4*Model!$AV$1804*AVERAGE('Assumptions (MSW)'!$AR$2:$AT$2)/10^9),0)</f>
        <v>0</v>
      </c>
      <c r="BC1958" s="160">
        <f>IF($AV$1804&gt;0,IPMT('Assumptions (MSW)'!$V$6,Model!AD$1,'Assumptions (MSW)'!$V$9,'Assumptions (MSW)'!$V$4*Model!$AV$1804*AVERAGE('Assumptions (MSW)'!$AR$2:$AT$2)/10^9),0)</f>
        <v>0</v>
      </c>
      <c r="BD1958" s="160">
        <f>IF($AV$1804&gt;0,IPMT('Assumptions (MSW)'!$V$6,Model!AE$1,'Assumptions (MSW)'!$V$9,'Assumptions (MSW)'!$V$4*Model!$AV$1804*AVERAGE('Assumptions (MSW)'!$AR$2:$AT$2)/10^9),0)</f>
        <v>0</v>
      </c>
      <c r="BE1958" s="160">
        <f>IF($AV$1804&gt;0,IPMT('Assumptions (MSW)'!$V$6,Model!AF$1,'Assumptions (MSW)'!$V$9,'Assumptions (MSW)'!$V$4*Model!$AV$1804*AVERAGE('Assumptions (MSW)'!$AR$2:$AT$2)/10^9),0)</f>
        <v>0</v>
      </c>
      <c r="BF1958" s="160">
        <f>IF($AV$1804&gt;0,IPMT('Assumptions (MSW)'!$V$6,Model!AG$1,'Assumptions (MSW)'!$V$9,'Assumptions (MSW)'!$V$4*Model!$AV$1804*AVERAGE('Assumptions (MSW)'!$AR$2:$AT$2)/10^9),0)</f>
        <v>0</v>
      </c>
      <c r="BG1958" s="160">
        <f>IF($AV$1804&gt;0,IPMT('Assumptions (MSW)'!$V$6,Model!AH$1,'Assumptions (MSW)'!$V$9,'Assumptions (MSW)'!$V$4*Model!$AV$1804*AVERAGE('Assumptions (MSW)'!$AR$2:$AT$2)/10^9),0)</f>
        <v>0</v>
      </c>
      <c r="BH1958" s="160">
        <f>IF($AV$1804&gt;0,IPMT('Assumptions (MSW)'!$V$6,Model!AI$1,'Assumptions (MSW)'!$V$9,'Assumptions (MSW)'!$V$4*Model!$AV$1804*AVERAGE('Assumptions (MSW)'!$AR$2:$AT$2)/10^9),0)</f>
        <v>0</v>
      </c>
      <c r="BI1958" s="160">
        <f>IF($AV$1804&gt;0,IPMT('Assumptions (MSW)'!$V$6,Model!AJ$1,'Assumptions (MSW)'!$V$9,'Assumptions (MSW)'!$V$4*Model!$AV$1804*AVERAGE('Assumptions (MSW)'!$AR$2:$AT$2)/10^9),0)</f>
        <v>0</v>
      </c>
      <c r="BJ1958" s="160">
        <f>IF($AV$1804&gt;0,IPMT('Assumptions (MSW)'!$V$6,Model!AK$1,'Assumptions (MSW)'!$V$9,'Assumptions (MSW)'!$V$4*Model!$AV$1804*AVERAGE('Assumptions (MSW)'!$AR$2:$AT$2)/10^9),0)</f>
        <v>0</v>
      </c>
      <c r="BK1958" s="160"/>
      <c r="BL1958" s="160"/>
      <c r="BM1958" s="160"/>
      <c r="BN1958" s="160"/>
      <c r="BO1958" s="160"/>
      <c r="BP1958" s="160"/>
    </row>
    <row r="1959" ht="15.75" hidden="1" customHeight="1" outlineLevel="1">
      <c r="A1959" s="309"/>
      <c r="B1959" s="38"/>
      <c r="C1959" s="174"/>
      <c r="D1959" s="174"/>
      <c r="E1959" s="174"/>
      <c r="F1959" s="174"/>
      <c r="G1959" s="174"/>
      <c r="H1959" s="174"/>
      <c r="I1959" s="174"/>
      <c r="J1959" s="174"/>
      <c r="K1959" s="174"/>
      <c r="L1959" s="174"/>
      <c r="M1959" s="174"/>
      <c r="N1959" s="174"/>
      <c r="O1959" s="174"/>
      <c r="P1959" s="174"/>
      <c r="Q1959" s="174"/>
      <c r="R1959" s="174"/>
      <c r="S1959" s="174"/>
      <c r="T1959" s="174"/>
      <c r="U1959" s="174"/>
      <c r="V1959" s="174"/>
      <c r="W1959" s="160"/>
      <c r="X1959" s="160"/>
      <c r="Y1959" s="160"/>
      <c r="Z1959" s="160"/>
      <c r="AA1959" s="160"/>
      <c r="AB1959" s="160"/>
      <c r="AC1959" s="160"/>
      <c r="AD1959" s="160"/>
      <c r="AE1959" s="160"/>
      <c r="AF1959" s="160"/>
      <c r="AG1959" s="160"/>
      <c r="AH1959" s="160"/>
      <c r="AI1959" s="160"/>
      <c r="AJ1959" s="179"/>
      <c r="AK1959" s="160"/>
      <c r="AL1959" s="177"/>
      <c r="AM1959" s="177"/>
      <c r="AN1959" s="177"/>
      <c r="AO1959" s="160"/>
      <c r="AP1959" s="160"/>
      <c r="AQ1959" s="160"/>
      <c r="AR1959" s="160"/>
      <c r="AS1959" s="160"/>
      <c r="AT1959" s="160"/>
      <c r="AU1959" s="160"/>
      <c r="AV1959" s="160"/>
      <c r="AW1959" s="160">
        <f>IF($AW$1804&gt;0,IPMT('Assumptions (MSW)'!$V$6,Model!W$1,'Assumptions (MSW)'!$V$9,'Assumptions (MSW)'!$V$4*Model!$AW$1804*AVERAGE('Assumptions (MSW)'!$AS$2:$AU$2)/10^9),0)</f>
        <v>0</v>
      </c>
      <c r="AX1959" s="160">
        <f>IF($AW$1804&gt;0,IPMT('Assumptions (MSW)'!$V$6,Model!X$1,'Assumptions (MSW)'!$V$9,'Assumptions (MSW)'!$V$4*Model!$AW$1804*AVERAGE('Assumptions (MSW)'!$AS$2:$AU$2)/10^9),0)</f>
        <v>0</v>
      </c>
      <c r="AY1959" s="160">
        <f>IF($AW$1804&gt;0,IPMT('Assumptions (MSW)'!$V$6,Model!Y$1,'Assumptions (MSW)'!$V$9,'Assumptions (MSW)'!$V$4*Model!$AW$1804*AVERAGE('Assumptions (MSW)'!$AS$2:$AU$2)/10^9),0)</f>
        <v>0</v>
      </c>
      <c r="AZ1959" s="160">
        <f>IF($AW$1804&gt;0,IPMT('Assumptions (MSW)'!$V$6,Model!Z$1,'Assumptions (MSW)'!$V$9,'Assumptions (MSW)'!$V$4*Model!$AW$1804*AVERAGE('Assumptions (MSW)'!$AS$2:$AU$2)/10^9),0)</f>
        <v>0</v>
      </c>
      <c r="BA1959" s="160">
        <f>IF($AW$1804&gt;0,IPMT('Assumptions (MSW)'!$V$6,Model!AA$1,'Assumptions (MSW)'!$V$9,'Assumptions (MSW)'!$V$4*Model!$AW$1804*AVERAGE('Assumptions (MSW)'!$AS$2:$AU$2)/10^9),0)</f>
        <v>0</v>
      </c>
      <c r="BB1959" s="160">
        <f>IF($AW$1804&gt;0,IPMT('Assumptions (MSW)'!$V$6,Model!AB$1,'Assumptions (MSW)'!$V$9,'Assumptions (MSW)'!$V$4*Model!$AW$1804*AVERAGE('Assumptions (MSW)'!$AS$2:$AU$2)/10^9),0)</f>
        <v>0</v>
      </c>
      <c r="BC1959" s="160">
        <f>IF($AW$1804&gt;0,IPMT('Assumptions (MSW)'!$V$6,Model!AC$1,'Assumptions (MSW)'!$V$9,'Assumptions (MSW)'!$V$4*Model!$AW$1804*AVERAGE('Assumptions (MSW)'!$AS$2:$AU$2)/10^9),0)</f>
        <v>0</v>
      </c>
      <c r="BD1959" s="160">
        <f>IF($AW$1804&gt;0,IPMT('Assumptions (MSW)'!$V$6,Model!AD$1,'Assumptions (MSW)'!$V$9,'Assumptions (MSW)'!$V$4*Model!$AW$1804*AVERAGE('Assumptions (MSW)'!$AS$2:$AU$2)/10^9),0)</f>
        <v>0</v>
      </c>
      <c r="BE1959" s="160">
        <f>IF($AW$1804&gt;0,IPMT('Assumptions (MSW)'!$V$6,Model!AE$1,'Assumptions (MSW)'!$V$9,'Assumptions (MSW)'!$V$4*Model!$AW$1804*AVERAGE('Assumptions (MSW)'!$AS$2:$AU$2)/10^9),0)</f>
        <v>0</v>
      </c>
      <c r="BF1959" s="160">
        <f>IF($AW$1804&gt;0,IPMT('Assumptions (MSW)'!$V$6,Model!AF$1,'Assumptions (MSW)'!$V$9,'Assumptions (MSW)'!$V$4*Model!$AW$1804*AVERAGE('Assumptions (MSW)'!$AS$2:$AU$2)/10^9),0)</f>
        <v>0</v>
      </c>
      <c r="BG1959" s="160">
        <f>IF($AW$1804&gt;0,IPMT('Assumptions (MSW)'!$V$6,Model!AG$1,'Assumptions (MSW)'!$V$9,'Assumptions (MSW)'!$V$4*Model!$AW$1804*AVERAGE('Assumptions (MSW)'!$AS$2:$AU$2)/10^9),0)</f>
        <v>0</v>
      </c>
      <c r="BH1959" s="160">
        <f>IF($AW$1804&gt;0,IPMT('Assumptions (MSW)'!$V$6,Model!AH$1,'Assumptions (MSW)'!$V$9,'Assumptions (MSW)'!$V$4*Model!$AW$1804*AVERAGE('Assumptions (MSW)'!$AS$2:$AU$2)/10^9),0)</f>
        <v>0</v>
      </c>
      <c r="BI1959" s="160">
        <f>IF($AW$1804&gt;0,IPMT('Assumptions (MSW)'!$V$6,Model!AI$1,'Assumptions (MSW)'!$V$9,'Assumptions (MSW)'!$V$4*Model!$AW$1804*AVERAGE('Assumptions (MSW)'!$AS$2:$AU$2)/10^9),0)</f>
        <v>0</v>
      </c>
      <c r="BJ1959" s="160">
        <f>IF($AW$1804&gt;0,IPMT('Assumptions (MSW)'!$V$6,Model!AJ$1,'Assumptions (MSW)'!$V$9,'Assumptions (MSW)'!$V$4*Model!$AW$1804*AVERAGE('Assumptions (MSW)'!$AS$2:$AU$2)/10^9),0)</f>
        <v>0</v>
      </c>
      <c r="BK1959" s="160">
        <f>IF($AW$1804&gt;0,IPMT('Assumptions (MSW)'!$V$6,Model!AK$1,'Assumptions (MSW)'!$V$9,'Assumptions (MSW)'!$V$4*Model!$AW$1804*AVERAGE('Assumptions (MSW)'!$AS$2:$AU$2)/10^9),0)</f>
        <v>0</v>
      </c>
      <c r="BL1959" s="160"/>
      <c r="BM1959" s="160"/>
      <c r="BN1959" s="160"/>
      <c r="BO1959" s="160"/>
      <c r="BP1959" s="160"/>
    </row>
    <row r="1960" ht="15.75" hidden="1" customHeight="1" outlineLevel="1">
      <c r="A1960" s="309"/>
      <c r="B1960" s="38"/>
      <c r="C1960" s="174"/>
      <c r="D1960" s="174"/>
      <c r="E1960" s="174"/>
      <c r="F1960" s="174"/>
      <c r="G1960" s="174"/>
      <c r="H1960" s="174"/>
      <c r="I1960" s="174"/>
      <c r="J1960" s="174"/>
      <c r="K1960" s="174"/>
      <c r="L1960" s="174"/>
      <c r="M1960" s="174"/>
      <c r="N1960" s="174"/>
      <c r="O1960" s="174"/>
      <c r="P1960" s="174"/>
      <c r="Q1960" s="174"/>
      <c r="R1960" s="174"/>
      <c r="S1960" s="174"/>
      <c r="T1960" s="174"/>
      <c r="U1960" s="174"/>
      <c r="V1960" s="174"/>
      <c r="W1960" s="160"/>
      <c r="X1960" s="160"/>
      <c r="Y1960" s="160"/>
      <c r="Z1960" s="160"/>
      <c r="AA1960" s="160"/>
      <c r="AB1960" s="160"/>
      <c r="AC1960" s="160"/>
      <c r="AD1960" s="160"/>
      <c r="AE1960" s="160"/>
      <c r="AF1960" s="160"/>
      <c r="AG1960" s="160"/>
      <c r="AH1960" s="160"/>
      <c r="AI1960" s="160"/>
      <c r="AJ1960" s="179"/>
      <c r="AK1960" s="160"/>
      <c r="AL1960" s="177"/>
      <c r="AM1960" s="177"/>
      <c r="AN1960" s="177"/>
      <c r="AO1960" s="160"/>
      <c r="AP1960" s="160"/>
      <c r="AQ1960" s="160"/>
      <c r="AR1960" s="160"/>
      <c r="AS1960" s="160"/>
      <c r="AT1960" s="160"/>
      <c r="AU1960" s="160"/>
      <c r="AV1960" s="160"/>
      <c r="AW1960" s="160"/>
      <c r="AX1960" s="160">
        <f>IF($AX$1804&gt;0,IPMT('Assumptions (MSW)'!$V$6,Model!W$1,'Assumptions (MSW)'!$V$9,'Assumptions (MSW)'!$V$4*Model!$AX$1804*AVERAGE('Assumptions (MSW)'!$AT$2:$AV$2)/10^9),0)</f>
        <v>0</v>
      </c>
      <c r="AY1960" s="160">
        <f>IF($AX$1804&gt;0,IPMT('Assumptions (MSW)'!$V$6,Model!X$1,'Assumptions (MSW)'!$V$9,'Assumptions (MSW)'!$V$4*Model!$AX$1804*AVERAGE('Assumptions (MSW)'!$AT$2:$AV$2)/10^9),0)</f>
        <v>0</v>
      </c>
      <c r="AZ1960" s="160">
        <f>IF($AX$1804&gt;0,IPMT('Assumptions (MSW)'!$V$6,Model!Y$1,'Assumptions (MSW)'!$V$9,'Assumptions (MSW)'!$V$4*Model!$AX$1804*AVERAGE('Assumptions (MSW)'!$AT$2:$AV$2)/10^9),0)</f>
        <v>0</v>
      </c>
      <c r="BA1960" s="160">
        <f>IF($AX$1804&gt;0,IPMT('Assumptions (MSW)'!$V$6,Model!Z$1,'Assumptions (MSW)'!$V$9,'Assumptions (MSW)'!$V$4*Model!$AX$1804*AVERAGE('Assumptions (MSW)'!$AT$2:$AV$2)/10^9),0)</f>
        <v>0</v>
      </c>
      <c r="BB1960" s="160">
        <f>IF($AX$1804&gt;0,IPMT('Assumptions (MSW)'!$V$6,Model!AA$1,'Assumptions (MSW)'!$V$9,'Assumptions (MSW)'!$V$4*Model!$AX$1804*AVERAGE('Assumptions (MSW)'!$AT$2:$AV$2)/10^9),0)</f>
        <v>0</v>
      </c>
      <c r="BC1960" s="160">
        <f>IF($AX$1804&gt;0,IPMT('Assumptions (MSW)'!$V$6,Model!AB$1,'Assumptions (MSW)'!$V$9,'Assumptions (MSW)'!$V$4*Model!$AX$1804*AVERAGE('Assumptions (MSW)'!$AT$2:$AV$2)/10^9),0)</f>
        <v>0</v>
      </c>
      <c r="BD1960" s="160">
        <f>IF($AX$1804&gt;0,IPMT('Assumptions (MSW)'!$V$6,Model!AC$1,'Assumptions (MSW)'!$V$9,'Assumptions (MSW)'!$V$4*Model!$AX$1804*AVERAGE('Assumptions (MSW)'!$AT$2:$AV$2)/10^9),0)</f>
        <v>0</v>
      </c>
      <c r="BE1960" s="160">
        <f>IF($AX$1804&gt;0,IPMT('Assumptions (MSW)'!$V$6,Model!AD$1,'Assumptions (MSW)'!$V$9,'Assumptions (MSW)'!$V$4*Model!$AX$1804*AVERAGE('Assumptions (MSW)'!$AT$2:$AV$2)/10^9),0)</f>
        <v>0</v>
      </c>
      <c r="BF1960" s="160">
        <f>IF($AX$1804&gt;0,IPMT('Assumptions (MSW)'!$V$6,Model!AE$1,'Assumptions (MSW)'!$V$9,'Assumptions (MSW)'!$V$4*Model!$AX$1804*AVERAGE('Assumptions (MSW)'!$AT$2:$AV$2)/10^9),0)</f>
        <v>0</v>
      </c>
      <c r="BG1960" s="160">
        <f>IF($AX$1804&gt;0,IPMT('Assumptions (MSW)'!$V$6,Model!AF$1,'Assumptions (MSW)'!$V$9,'Assumptions (MSW)'!$V$4*Model!$AX$1804*AVERAGE('Assumptions (MSW)'!$AT$2:$AV$2)/10^9),0)</f>
        <v>0</v>
      </c>
      <c r="BH1960" s="160">
        <f>IF($AX$1804&gt;0,IPMT('Assumptions (MSW)'!$V$6,Model!AG$1,'Assumptions (MSW)'!$V$9,'Assumptions (MSW)'!$V$4*Model!$AX$1804*AVERAGE('Assumptions (MSW)'!$AT$2:$AV$2)/10^9),0)</f>
        <v>0</v>
      </c>
      <c r="BI1960" s="160">
        <f>IF($AX$1804&gt;0,IPMT('Assumptions (MSW)'!$V$6,Model!AH$1,'Assumptions (MSW)'!$V$9,'Assumptions (MSW)'!$V$4*Model!$AX$1804*AVERAGE('Assumptions (MSW)'!$AT$2:$AV$2)/10^9),0)</f>
        <v>0</v>
      </c>
      <c r="BJ1960" s="160">
        <f>IF($AX$1804&gt;0,IPMT('Assumptions (MSW)'!$V$6,Model!AI$1,'Assumptions (MSW)'!$V$9,'Assumptions (MSW)'!$V$4*Model!$AX$1804*AVERAGE('Assumptions (MSW)'!$AT$2:$AV$2)/10^9),0)</f>
        <v>0</v>
      </c>
      <c r="BK1960" s="160">
        <f>IF($AX$1804&gt;0,IPMT('Assumptions (MSW)'!$V$6,Model!AJ$1,'Assumptions (MSW)'!$V$9,'Assumptions (MSW)'!$V$4*Model!$AX$1804*AVERAGE('Assumptions (MSW)'!$AT$2:$AV$2)/10^9),0)</f>
        <v>0</v>
      </c>
      <c r="BL1960" s="160">
        <f>IF($AX$1804&gt;0,IPMT('Assumptions (MSW)'!$V$6,Model!AK$1,'Assumptions (MSW)'!$V$9,'Assumptions (MSW)'!$V$4*Model!$AX$1804*AVERAGE('Assumptions (MSW)'!$AT$2:$AV$2)/10^9),0)</f>
        <v>0</v>
      </c>
      <c r="BM1960" s="160"/>
      <c r="BN1960" s="160"/>
      <c r="BO1960" s="160"/>
      <c r="BP1960" s="160"/>
    </row>
    <row r="1961" ht="15.75" hidden="1" customHeight="1" outlineLevel="1">
      <c r="A1961" s="309"/>
      <c r="B1961" s="38"/>
      <c r="C1961" s="174"/>
      <c r="D1961" s="174"/>
      <c r="E1961" s="174"/>
      <c r="F1961" s="174"/>
      <c r="G1961" s="174"/>
      <c r="H1961" s="174"/>
      <c r="I1961" s="174"/>
      <c r="J1961" s="174"/>
      <c r="K1961" s="174"/>
      <c r="L1961" s="174"/>
      <c r="M1961" s="174"/>
      <c r="N1961" s="174"/>
      <c r="O1961" s="174"/>
      <c r="P1961" s="174"/>
      <c r="Q1961" s="174"/>
      <c r="R1961" s="174"/>
      <c r="S1961" s="174"/>
      <c r="T1961" s="174"/>
      <c r="U1961" s="174"/>
      <c r="V1961" s="174"/>
      <c r="W1961" s="160"/>
      <c r="X1961" s="160"/>
      <c r="Y1961" s="160"/>
      <c r="Z1961" s="160"/>
      <c r="AA1961" s="160"/>
      <c r="AB1961" s="160"/>
      <c r="AC1961" s="160"/>
      <c r="AD1961" s="160"/>
      <c r="AE1961" s="160"/>
      <c r="AF1961" s="160"/>
      <c r="AG1961" s="160"/>
      <c r="AH1961" s="160"/>
      <c r="AI1961" s="160"/>
      <c r="AJ1961" s="179"/>
      <c r="AK1961" s="160"/>
      <c r="AL1961" s="177"/>
      <c r="AM1961" s="177"/>
      <c r="AN1961" s="177"/>
      <c r="AO1961" s="160"/>
      <c r="AP1961" s="160"/>
      <c r="AQ1961" s="160"/>
      <c r="AR1961" s="160"/>
      <c r="AS1961" s="160"/>
      <c r="AT1961" s="160"/>
      <c r="AU1961" s="160"/>
      <c r="AV1961" s="160"/>
      <c r="AW1961" s="160"/>
      <c r="AX1961" s="160"/>
      <c r="AY1961" s="160">
        <f>IF($AY$1804&gt;0,IPMT('Assumptions (MSW)'!$V$6,Model!W$1,'Assumptions (MSW)'!$V$9,'Assumptions (MSW)'!$V$4*Model!$AY$1804*AVERAGE('Assumptions (MSW)'!$AU$2:$AW$2)/10^9),0)</f>
        <v>0</v>
      </c>
      <c r="AZ1961" s="160">
        <f>IF($AY$1804&gt;0,IPMT('Assumptions (MSW)'!$V$6,Model!X$1,'Assumptions (MSW)'!$V$9,'Assumptions (MSW)'!$V$4*Model!$AY$1804*AVERAGE('Assumptions (MSW)'!$AU$2:$AW$2)/10^9),0)</f>
        <v>0</v>
      </c>
      <c r="BA1961" s="160">
        <f>IF($AY$1804&gt;0,IPMT('Assumptions (MSW)'!$V$6,Model!Y$1,'Assumptions (MSW)'!$V$9,'Assumptions (MSW)'!$V$4*Model!$AY$1804*AVERAGE('Assumptions (MSW)'!$AU$2:$AW$2)/10^9),0)</f>
        <v>0</v>
      </c>
      <c r="BB1961" s="160">
        <f>IF($AY$1804&gt;0,IPMT('Assumptions (MSW)'!$V$6,Model!Z$1,'Assumptions (MSW)'!$V$9,'Assumptions (MSW)'!$V$4*Model!$AY$1804*AVERAGE('Assumptions (MSW)'!$AU$2:$AW$2)/10^9),0)</f>
        <v>0</v>
      </c>
      <c r="BC1961" s="160">
        <f>IF($AY$1804&gt;0,IPMT('Assumptions (MSW)'!$V$6,Model!AA$1,'Assumptions (MSW)'!$V$9,'Assumptions (MSW)'!$V$4*Model!$AY$1804*AVERAGE('Assumptions (MSW)'!$AU$2:$AW$2)/10^9),0)</f>
        <v>0</v>
      </c>
      <c r="BD1961" s="160">
        <f>IF($AY$1804&gt;0,IPMT('Assumptions (MSW)'!$V$6,Model!AB$1,'Assumptions (MSW)'!$V$9,'Assumptions (MSW)'!$V$4*Model!$AY$1804*AVERAGE('Assumptions (MSW)'!$AU$2:$AW$2)/10^9),0)</f>
        <v>0</v>
      </c>
      <c r="BE1961" s="160">
        <f>IF($AY$1804&gt;0,IPMT('Assumptions (MSW)'!$V$6,Model!AC$1,'Assumptions (MSW)'!$V$9,'Assumptions (MSW)'!$V$4*Model!$AY$1804*AVERAGE('Assumptions (MSW)'!$AU$2:$AW$2)/10^9),0)</f>
        <v>0</v>
      </c>
      <c r="BF1961" s="160">
        <f>IF($AY$1804&gt;0,IPMT('Assumptions (MSW)'!$V$6,Model!AD$1,'Assumptions (MSW)'!$V$9,'Assumptions (MSW)'!$V$4*Model!$AY$1804*AVERAGE('Assumptions (MSW)'!$AU$2:$AW$2)/10^9),0)</f>
        <v>0</v>
      </c>
      <c r="BG1961" s="160">
        <f>IF($AY$1804&gt;0,IPMT('Assumptions (MSW)'!$V$6,Model!AE$1,'Assumptions (MSW)'!$V$9,'Assumptions (MSW)'!$V$4*Model!$AY$1804*AVERAGE('Assumptions (MSW)'!$AU$2:$AW$2)/10^9),0)</f>
        <v>0</v>
      </c>
      <c r="BH1961" s="160">
        <f>IF($AY$1804&gt;0,IPMT('Assumptions (MSW)'!$V$6,Model!AF$1,'Assumptions (MSW)'!$V$9,'Assumptions (MSW)'!$V$4*Model!$AY$1804*AVERAGE('Assumptions (MSW)'!$AU$2:$AW$2)/10^9),0)</f>
        <v>0</v>
      </c>
      <c r="BI1961" s="160">
        <f>IF($AY$1804&gt;0,IPMT('Assumptions (MSW)'!$V$6,Model!AG$1,'Assumptions (MSW)'!$V$9,'Assumptions (MSW)'!$V$4*Model!$AY$1804*AVERAGE('Assumptions (MSW)'!$AU$2:$AW$2)/10^9),0)</f>
        <v>0</v>
      </c>
      <c r="BJ1961" s="160">
        <f>IF($AY$1804&gt;0,IPMT('Assumptions (MSW)'!$V$6,Model!AH$1,'Assumptions (MSW)'!$V$9,'Assumptions (MSW)'!$V$4*Model!$AY$1804*AVERAGE('Assumptions (MSW)'!$AU$2:$AW$2)/10^9),0)</f>
        <v>0</v>
      </c>
      <c r="BK1961" s="160">
        <f>IF($AY$1804&gt;0,IPMT('Assumptions (MSW)'!$V$6,Model!AI$1,'Assumptions (MSW)'!$V$9,'Assumptions (MSW)'!$V$4*Model!$AY$1804*AVERAGE('Assumptions (MSW)'!$AU$2:$AW$2)/10^9),0)</f>
        <v>0</v>
      </c>
      <c r="BL1961" s="160">
        <f>IF($AY$1804&gt;0,IPMT('Assumptions (MSW)'!$V$6,Model!AJ$1,'Assumptions (MSW)'!$V$9,'Assumptions (MSW)'!$V$4*Model!$AY$1804*AVERAGE('Assumptions (MSW)'!$AU$2:$AW$2)/10^9),0)</f>
        <v>0</v>
      </c>
      <c r="BM1961" s="160">
        <f>IF($AY$1804&gt;0,IPMT('Assumptions (MSW)'!$V$6,Model!AK$1,'Assumptions (MSW)'!$V$9,'Assumptions (MSW)'!$V$4*Model!$AY$1804*AVERAGE('Assumptions (MSW)'!$AU$2:$AW$2)/10^9),0)</f>
        <v>0</v>
      </c>
      <c r="BN1961" s="160"/>
      <c r="BO1961" s="160"/>
      <c r="BP1961" s="160"/>
    </row>
    <row r="1962" ht="15.75" hidden="1" customHeight="1" outlineLevel="1">
      <c r="A1962" s="309"/>
      <c r="B1962" s="38"/>
      <c r="C1962" s="174"/>
      <c r="D1962" s="174"/>
      <c r="E1962" s="174"/>
      <c r="F1962" s="174"/>
      <c r="G1962" s="174"/>
      <c r="H1962" s="174"/>
      <c r="I1962" s="174"/>
      <c r="J1962" s="174"/>
      <c r="K1962" s="174"/>
      <c r="L1962" s="174"/>
      <c r="M1962" s="174"/>
      <c r="N1962" s="174"/>
      <c r="O1962" s="174"/>
      <c r="P1962" s="174"/>
      <c r="Q1962" s="174"/>
      <c r="R1962" s="174"/>
      <c r="S1962" s="174"/>
      <c r="T1962" s="174"/>
      <c r="U1962" s="174"/>
      <c r="V1962" s="174"/>
      <c r="W1962" s="160"/>
      <c r="X1962" s="160"/>
      <c r="Y1962" s="160"/>
      <c r="Z1962" s="160"/>
      <c r="AA1962" s="160"/>
      <c r="AB1962" s="160"/>
      <c r="AC1962" s="160"/>
      <c r="AD1962" s="160"/>
      <c r="AE1962" s="160"/>
      <c r="AF1962" s="160"/>
      <c r="AG1962" s="160"/>
      <c r="AH1962" s="160"/>
      <c r="AI1962" s="160"/>
      <c r="AJ1962" s="179"/>
      <c r="AK1962" s="160"/>
      <c r="AL1962" s="177"/>
      <c r="AM1962" s="177"/>
      <c r="AN1962" s="177"/>
      <c r="AO1962" s="160"/>
      <c r="AP1962" s="160"/>
      <c r="AQ1962" s="160"/>
      <c r="AR1962" s="160"/>
      <c r="AS1962" s="160"/>
      <c r="AT1962" s="160"/>
      <c r="AU1962" s="160"/>
      <c r="AV1962" s="160"/>
      <c r="AW1962" s="160"/>
      <c r="AX1962" s="160"/>
      <c r="AY1962" s="160"/>
      <c r="AZ1962" s="160">
        <f>IF($AZ$1804&gt;0,IPMT('Assumptions (MSW)'!$V$6,Model!W$1,'Assumptions (MSW)'!$V$9,'Assumptions (MSW)'!$V$4*Model!$AZ$1804*AVERAGE('Assumptions (MSW)'!$AV$2:$AX$2)/10^9),0)</f>
        <v>0</v>
      </c>
      <c r="BA1962" s="160">
        <f>IF($AZ$1804&gt;0,IPMT('Assumptions (MSW)'!$V$6,Model!X$1,'Assumptions (MSW)'!$V$9,'Assumptions (MSW)'!$V$4*Model!$AZ$1804*AVERAGE('Assumptions (MSW)'!$AV$2:$AX$2)/10^9),0)</f>
        <v>0</v>
      </c>
      <c r="BB1962" s="160">
        <f>IF($AZ$1804&gt;0,IPMT('Assumptions (MSW)'!$V$6,Model!Y$1,'Assumptions (MSW)'!$V$9,'Assumptions (MSW)'!$V$4*Model!$AZ$1804*AVERAGE('Assumptions (MSW)'!$AV$2:$AX$2)/10^9),0)</f>
        <v>0</v>
      </c>
      <c r="BC1962" s="160">
        <f>IF($AZ$1804&gt;0,IPMT('Assumptions (MSW)'!$V$6,Model!Z$1,'Assumptions (MSW)'!$V$9,'Assumptions (MSW)'!$V$4*Model!$AZ$1804*AVERAGE('Assumptions (MSW)'!$AV$2:$AX$2)/10^9),0)</f>
        <v>0</v>
      </c>
      <c r="BD1962" s="160">
        <f>IF($AZ$1804&gt;0,IPMT('Assumptions (MSW)'!$V$6,Model!AA$1,'Assumptions (MSW)'!$V$9,'Assumptions (MSW)'!$V$4*Model!$AZ$1804*AVERAGE('Assumptions (MSW)'!$AV$2:$AX$2)/10^9),0)</f>
        <v>0</v>
      </c>
      <c r="BE1962" s="160">
        <f>IF($AZ$1804&gt;0,IPMT('Assumptions (MSW)'!$V$6,Model!AB$1,'Assumptions (MSW)'!$V$9,'Assumptions (MSW)'!$V$4*Model!$AZ$1804*AVERAGE('Assumptions (MSW)'!$AV$2:$AX$2)/10^9),0)</f>
        <v>0</v>
      </c>
      <c r="BF1962" s="160">
        <f>IF($AZ$1804&gt;0,IPMT('Assumptions (MSW)'!$V$6,Model!AC$1,'Assumptions (MSW)'!$V$9,'Assumptions (MSW)'!$V$4*Model!$AZ$1804*AVERAGE('Assumptions (MSW)'!$AV$2:$AX$2)/10^9),0)</f>
        <v>0</v>
      </c>
      <c r="BG1962" s="160">
        <f>IF($AZ$1804&gt;0,IPMT('Assumptions (MSW)'!$V$6,Model!AD$1,'Assumptions (MSW)'!$V$9,'Assumptions (MSW)'!$V$4*Model!$AZ$1804*AVERAGE('Assumptions (MSW)'!$AV$2:$AX$2)/10^9),0)</f>
        <v>0</v>
      </c>
      <c r="BH1962" s="160">
        <f>IF($AZ$1804&gt;0,IPMT('Assumptions (MSW)'!$V$6,Model!AE$1,'Assumptions (MSW)'!$V$9,'Assumptions (MSW)'!$V$4*Model!$AZ$1804*AVERAGE('Assumptions (MSW)'!$AV$2:$AX$2)/10^9),0)</f>
        <v>0</v>
      </c>
      <c r="BI1962" s="160">
        <f>IF($AZ$1804&gt;0,IPMT('Assumptions (MSW)'!$V$6,Model!AF$1,'Assumptions (MSW)'!$V$9,'Assumptions (MSW)'!$V$4*Model!$AZ$1804*AVERAGE('Assumptions (MSW)'!$AV$2:$AX$2)/10^9),0)</f>
        <v>0</v>
      </c>
      <c r="BJ1962" s="160">
        <f>IF($AZ$1804&gt;0,IPMT('Assumptions (MSW)'!$V$6,Model!AG$1,'Assumptions (MSW)'!$V$9,'Assumptions (MSW)'!$V$4*Model!$AZ$1804*AVERAGE('Assumptions (MSW)'!$AV$2:$AX$2)/10^9),0)</f>
        <v>0</v>
      </c>
      <c r="BK1962" s="160">
        <f>IF($AZ$1804&gt;0,IPMT('Assumptions (MSW)'!$V$6,Model!AH$1,'Assumptions (MSW)'!$V$9,'Assumptions (MSW)'!$V$4*Model!$AZ$1804*AVERAGE('Assumptions (MSW)'!$AV$2:$AX$2)/10^9),0)</f>
        <v>0</v>
      </c>
      <c r="BL1962" s="160">
        <f>IF($AZ$1804&gt;0,IPMT('Assumptions (MSW)'!$V$6,Model!AI$1,'Assumptions (MSW)'!$V$9,'Assumptions (MSW)'!$V$4*Model!$AZ$1804*AVERAGE('Assumptions (MSW)'!$AV$2:$AX$2)/10^9),0)</f>
        <v>0</v>
      </c>
      <c r="BM1962" s="160">
        <f>IF($AZ$1804&gt;0,IPMT('Assumptions (MSW)'!$V$6,Model!AJ$1,'Assumptions (MSW)'!$V$9,'Assumptions (MSW)'!$V$4*Model!$AZ$1804*AVERAGE('Assumptions (MSW)'!$AV$2:$AX$2)/10^9),0)</f>
        <v>0</v>
      </c>
      <c r="BN1962" s="160">
        <f>IF($AZ$1804&gt;0,IPMT('Assumptions (MSW)'!$V$6,Model!AK$1,'Assumptions (MSW)'!$V$9,'Assumptions (MSW)'!$V$4*Model!$AZ$1804*AVERAGE('Assumptions (MSW)'!$AV$2:$AX$2)/10^9),0)</f>
        <v>0</v>
      </c>
      <c r="BO1962" s="160"/>
      <c r="BP1962" s="160"/>
    </row>
    <row r="1963" ht="15.75" hidden="1" customHeight="1" outlineLevel="1">
      <c r="A1963" s="309"/>
      <c r="B1963" s="38"/>
      <c r="C1963" s="174"/>
      <c r="D1963" s="174"/>
      <c r="E1963" s="174"/>
      <c r="F1963" s="174"/>
      <c r="G1963" s="174"/>
      <c r="H1963" s="174"/>
      <c r="I1963" s="174"/>
      <c r="J1963" s="174"/>
      <c r="K1963" s="174"/>
      <c r="L1963" s="174"/>
      <c r="M1963" s="174"/>
      <c r="N1963" s="174"/>
      <c r="O1963" s="174"/>
      <c r="P1963" s="174"/>
      <c r="Q1963" s="174"/>
      <c r="R1963" s="174"/>
      <c r="S1963" s="174"/>
      <c r="T1963" s="174"/>
      <c r="U1963" s="174"/>
      <c r="V1963" s="174"/>
      <c r="W1963" s="160"/>
      <c r="X1963" s="160"/>
      <c r="Y1963" s="160"/>
      <c r="Z1963" s="160"/>
      <c r="AA1963" s="160"/>
      <c r="AB1963" s="160"/>
      <c r="AC1963" s="160"/>
      <c r="AD1963" s="160"/>
      <c r="AE1963" s="160"/>
      <c r="AF1963" s="160"/>
      <c r="AG1963" s="160"/>
      <c r="AH1963" s="160"/>
      <c r="AI1963" s="160"/>
      <c r="AJ1963" s="179"/>
      <c r="AK1963" s="160"/>
      <c r="AL1963" s="177"/>
      <c r="AM1963" s="177"/>
      <c r="AN1963" s="177"/>
      <c r="AO1963" s="160"/>
      <c r="AP1963" s="160"/>
      <c r="AQ1963" s="160"/>
      <c r="AR1963" s="160"/>
      <c r="AS1963" s="160"/>
      <c r="AT1963" s="160"/>
      <c r="AU1963" s="160"/>
      <c r="AV1963" s="160"/>
      <c r="AW1963" s="160"/>
      <c r="AX1963" s="160"/>
      <c r="AY1963" s="160"/>
      <c r="AZ1963" s="160"/>
      <c r="BA1963" s="160">
        <f>IF($BA$1804&gt;0,IPMT('Assumptions (MSW)'!$V$6,Model!W$1,'Assumptions (MSW)'!$V$9,'Assumptions (MSW)'!$V$4*Model!$BA$1804*AVERAGE('Assumptions (MSW)'!$AW$2:$AY$2)/10^9),0)</f>
        <v>0</v>
      </c>
      <c r="BB1963" s="160">
        <f>IF($BA$1804&gt;0,IPMT('Assumptions (MSW)'!$V$6,Model!X$1,'Assumptions (MSW)'!$V$9,'Assumptions (MSW)'!$V$4*Model!$BA$1804*AVERAGE('Assumptions (MSW)'!$AW$2:$AY$2)/10^9),0)</f>
        <v>0</v>
      </c>
      <c r="BC1963" s="160">
        <f>IF($BA$1804&gt;0,IPMT('Assumptions (MSW)'!$V$6,Model!Y$1,'Assumptions (MSW)'!$V$9,'Assumptions (MSW)'!$V$4*Model!$BA$1804*AVERAGE('Assumptions (MSW)'!$AW$2:$AY$2)/10^9),0)</f>
        <v>0</v>
      </c>
      <c r="BD1963" s="160">
        <f>IF($BA$1804&gt;0,IPMT('Assumptions (MSW)'!$V$6,Model!Z$1,'Assumptions (MSW)'!$V$9,'Assumptions (MSW)'!$V$4*Model!$BA$1804*AVERAGE('Assumptions (MSW)'!$AW$2:$AY$2)/10^9),0)</f>
        <v>0</v>
      </c>
      <c r="BE1963" s="160">
        <f>IF($BA$1804&gt;0,IPMT('Assumptions (MSW)'!$V$6,Model!AA$1,'Assumptions (MSW)'!$V$9,'Assumptions (MSW)'!$V$4*Model!$BA$1804*AVERAGE('Assumptions (MSW)'!$AW$2:$AY$2)/10^9),0)</f>
        <v>0</v>
      </c>
      <c r="BF1963" s="160">
        <f>IF($BA$1804&gt;0,IPMT('Assumptions (MSW)'!$V$6,Model!AB$1,'Assumptions (MSW)'!$V$9,'Assumptions (MSW)'!$V$4*Model!$BA$1804*AVERAGE('Assumptions (MSW)'!$AW$2:$AY$2)/10^9),0)</f>
        <v>0</v>
      </c>
      <c r="BG1963" s="160">
        <f>IF($BA$1804&gt;0,IPMT('Assumptions (MSW)'!$V$6,Model!AC$1,'Assumptions (MSW)'!$V$9,'Assumptions (MSW)'!$V$4*Model!$BA$1804*AVERAGE('Assumptions (MSW)'!$AW$2:$AY$2)/10^9),0)</f>
        <v>0</v>
      </c>
      <c r="BH1963" s="160">
        <f>IF($BA$1804&gt;0,IPMT('Assumptions (MSW)'!$V$6,Model!AD$1,'Assumptions (MSW)'!$V$9,'Assumptions (MSW)'!$V$4*Model!$BA$1804*AVERAGE('Assumptions (MSW)'!$AW$2:$AY$2)/10^9),0)</f>
        <v>0</v>
      </c>
      <c r="BI1963" s="160">
        <f>IF($BA$1804&gt;0,IPMT('Assumptions (MSW)'!$V$6,Model!AE$1,'Assumptions (MSW)'!$V$9,'Assumptions (MSW)'!$V$4*Model!$BA$1804*AVERAGE('Assumptions (MSW)'!$AW$2:$AY$2)/10^9),0)</f>
        <v>0</v>
      </c>
      <c r="BJ1963" s="160">
        <f>IF($BA$1804&gt;0,IPMT('Assumptions (MSW)'!$V$6,Model!AF$1,'Assumptions (MSW)'!$V$9,'Assumptions (MSW)'!$V$4*Model!$BA$1804*AVERAGE('Assumptions (MSW)'!$AW$2:$AY$2)/10^9),0)</f>
        <v>0</v>
      </c>
      <c r="BK1963" s="160">
        <f>IF($BA$1804&gt;0,IPMT('Assumptions (MSW)'!$V$6,Model!AG$1,'Assumptions (MSW)'!$V$9,'Assumptions (MSW)'!$V$4*Model!$BA$1804*AVERAGE('Assumptions (MSW)'!$AW$2:$AY$2)/10^9),0)</f>
        <v>0</v>
      </c>
      <c r="BL1963" s="160">
        <f>IF($BA$1804&gt;0,IPMT('Assumptions (MSW)'!$V$6,Model!AH$1,'Assumptions (MSW)'!$V$9,'Assumptions (MSW)'!$V$4*Model!$BA$1804*AVERAGE('Assumptions (MSW)'!$AW$2:$AY$2)/10^9),0)</f>
        <v>0</v>
      </c>
      <c r="BM1963" s="160">
        <f>IF($BA$1804&gt;0,IPMT('Assumptions (MSW)'!$V$6,Model!AI$1,'Assumptions (MSW)'!$V$9,'Assumptions (MSW)'!$V$4*Model!$BA$1804*AVERAGE('Assumptions (MSW)'!$AW$2:$AY$2)/10^9),0)</f>
        <v>0</v>
      </c>
      <c r="BN1963" s="160">
        <f>IF($BA$1804&gt;0,IPMT('Assumptions (MSW)'!$V$6,Model!AJ$1,'Assumptions (MSW)'!$V$9,'Assumptions (MSW)'!$V$4*Model!$BA$1804*AVERAGE('Assumptions (MSW)'!$AW$2:$AY$2)/10^9),0)</f>
        <v>0</v>
      </c>
      <c r="BO1963" s="160">
        <f>IF($BA$1804&gt;0,IPMT('Assumptions (MSW)'!$V$6,Model!AK$1,'Assumptions (MSW)'!$V$9,'Assumptions (MSW)'!$V$4*Model!$BA$1804*AVERAGE('Assumptions (MSW)'!$AW$2:$AY$2)/10^9),0)</f>
        <v>0</v>
      </c>
      <c r="BP1963" s="160"/>
    </row>
    <row r="1964" ht="15.75" customHeight="1" collapsed="1">
      <c r="A1964" s="310" t="s">
        <v>361</v>
      </c>
      <c r="B1964" s="150" t="s">
        <v>351</v>
      </c>
      <c r="C1964" s="177">
        <f t="shared" ref="C1964:BP1964" si="69">SUM(C1965:C2015)</f>
        <v>0.007251254615</v>
      </c>
      <c r="D1964" s="177">
        <f t="shared" si="69"/>
        <v>0.04063060716</v>
      </c>
      <c r="E1964" s="177">
        <f t="shared" si="69"/>
        <v>0.07071438369</v>
      </c>
      <c r="F1964" s="177">
        <f t="shared" si="69"/>
        <v>0.09568890938</v>
      </c>
      <c r="G1964" s="177">
        <f t="shared" si="69"/>
        <v>0.12349533</v>
      </c>
      <c r="H1964" s="177">
        <f t="shared" si="69"/>
        <v>0.1375699219</v>
      </c>
      <c r="I1964" s="177">
        <f t="shared" si="69"/>
        <v>0.177505665</v>
      </c>
      <c r="J1964" s="177">
        <f t="shared" si="69"/>
        <v>0.2440328879</v>
      </c>
      <c r="K1964" s="177">
        <f t="shared" si="69"/>
        <v>0.3100946906</v>
      </c>
      <c r="L1964" s="177">
        <f t="shared" si="69"/>
        <v>0.3737810415</v>
      </c>
      <c r="M1964" s="177">
        <f t="shared" si="69"/>
        <v>0.4388671483</v>
      </c>
      <c r="N1964" s="177">
        <f t="shared" si="69"/>
        <v>0.5049077917</v>
      </c>
      <c r="O1964" s="177">
        <f t="shared" si="69"/>
        <v>0.5804668286</v>
      </c>
      <c r="P1964" s="177">
        <f t="shared" si="69"/>
        <v>0.6541693719</v>
      </c>
      <c r="Q1964" s="177">
        <f t="shared" si="69"/>
        <v>0.6958059602</v>
      </c>
      <c r="R1964" s="177">
        <f t="shared" si="69"/>
        <v>0.7210541716</v>
      </c>
      <c r="S1964" s="177">
        <f t="shared" si="69"/>
        <v>0.732262838</v>
      </c>
      <c r="T1964" s="177">
        <f t="shared" si="69"/>
        <v>0.7206788934</v>
      </c>
      <c r="U1964" s="177">
        <f t="shared" si="69"/>
        <v>0.6848348505</v>
      </c>
      <c r="V1964" s="177">
        <f t="shared" si="69"/>
        <v>0.6436748392</v>
      </c>
      <c r="W1964" s="177">
        <f t="shared" si="69"/>
        <v>0.6152307471</v>
      </c>
      <c r="X1964" s="177">
        <f t="shared" si="69"/>
        <v>0.5744070697</v>
      </c>
      <c r="Y1964" s="177">
        <f t="shared" si="69"/>
        <v>0.5218373061</v>
      </c>
      <c r="Z1964" s="177">
        <f t="shared" si="69"/>
        <v>0.4698728141</v>
      </c>
      <c r="AA1964" s="177">
        <f t="shared" si="69"/>
        <v>0.4174523131</v>
      </c>
      <c r="AB1964" s="177">
        <f t="shared" si="69"/>
        <v>0.361868275</v>
      </c>
      <c r="AC1964" s="177">
        <f t="shared" si="69"/>
        <v>0.3029607134</v>
      </c>
      <c r="AD1964" s="177">
        <f t="shared" si="69"/>
        <v>0.2363208759</v>
      </c>
      <c r="AE1964" s="177">
        <f t="shared" si="69"/>
        <v>0.1692107459</v>
      </c>
      <c r="AF1964" s="177">
        <f t="shared" si="69"/>
        <v>0.1196767844</v>
      </c>
      <c r="AG1964" s="177">
        <f t="shared" si="69"/>
        <v>0.07794143043</v>
      </c>
      <c r="AH1964" s="177">
        <f t="shared" si="69"/>
        <v>0.0366139402</v>
      </c>
      <c r="AI1964" s="177">
        <f t="shared" si="69"/>
        <v>0.01036330077</v>
      </c>
      <c r="AJ1964" s="177">
        <f t="shared" si="69"/>
        <v>0.002621916731</v>
      </c>
      <c r="AK1964" s="177">
        <f t="shared" si="69"/>
        <v>0.001118359445</v>
      </c>
      <c r="AL1964" s="177">
        <f t="shared" si="69"/>
        <v>0</v>
      </c>
      <c r="AM1964" s="177">
        <f t="shared" si="69"/>
        <v>0</v>
      </c>
      <c r="AN1964" s="177">
        <f t="shared" si="69"/>
        <v>0</v>
      </c>
      <c r="AO1964" s="177">
        <f t="shared" si="69"/>
        <v>0</v>
      </c>
      <c r="AP1964" s="177">
        <f t="shared" si="69"/>
        <v>0</v>
      </c>
      <c r="AQ1964" s="177">
        <f t="shared" si="69"/>
        <v>0</v>
      </c>
      <c r="AR1964" s="177">
        <f t="shared" si="69"/>
        <v>0</v>
      </c>
      <c r="AS1964" s="177">
        <f t="shared" si="69"/>
        <v>0</v>
      </c>
      <c r="AT1964" s="177">
        <f t="shared" si="69"/>
        <v>0</v>
      </c>
      <c r="AU1964" s="177">
        <f t="shared" si="69"/>
        <v>0</v>
      </c>
      <c r="AV1964" s="177">
        <f t="shared" si="69"/>
        <v>0</v>
      </c>
      <c r="AW1964" s="177">
        <f t="shared" si="69"/>
        <v>0</v>
      </c>
      <c r="AX1964" s="177">
        <f t="shared" si="69"/>
        <v>0</v>
      </c>
      <c r="AY1964" s="177">
        <f t="shared" si="69"/>
        <v>0</v>
      </c>
      <c r="AZ1964" s="177">
        <f t="shared" si="69"/>
        <v>0</v>
      </c>
      <c r="BA1964" s="177">
        <f t="shared" si="69"/>
        <v>0</v>
      </c>
      <c r="BB1964" s="177">
        <f t="shared" si="69"/>
        <v>0</v>
      </c>
      <c r="BC1964" s="177">
        <f t="shared" si="69"/>
        <v>0</v>
      </c>
      <c r="BD1964" s="177">
        <f t="shared" si="69"/>
        <v>0</v>
      </c>
      <c r="BE1964" s="177">
        <f t="shared" si="69"/>
        <v>0</v>
      </c>
      <c r="BF1964" s="177">
        <f t="shared" si="69"/>
        <v>0</v>
      </c>
      <c r="BG1964" s="177">
        <f t="shared" si="69"/>
        <v>0</v>
      </c>
      <c r="BH1964" s="177">
        <f t="shared" si="69"/>
        <v>0</v>
      </c>
      <c r="BI1964" s="177">
        <f t="shared" si="69"/>
        <v>0</v>
      </c>
      <c r="BJ1964" s="177">
        <f t="shared" si="69"/>
        <v>0</v>
      </c>
      <c r="BK1964" s="177">
        <f t="shared" si="69"/>
        <v>0</v>
      </c>
      <c r="BL1964" s="177">
        <f t="shared" si="69"/>
        <v>0</v>
      </c>
      <c r="BM1964" s="177">
        <f t="shared" si="69"/>
        <v>0</v>
      </c>
      <c r="BN1964" s="177">
        <f t="shared" si="69"/>
        <v>0</v>
      </c>
      <c r="BO1964" s="177">
        <f t="shared" si="69"/>
        <v>0</v>
      </c>
      <c r="BP1964" s="177">
        <f t="shared" si="69"/>
        <v>0</v>
      </c>
    </row>
    <row r="1965" ht="15.75" hidden="1" customHeight="1" outlineLevel="1">
      <c r="A1965" s="309"/>
      <c r="B1965" s="38"/>
      <c r="C1965" s="178">
        <f>IF($C$1804&gt;0,'Assumptions (MSW)'!V$10*Model!$C$1804*'Assumptions (MSW)'!$B$2/10^9,0)</f>
        <v>0.007251254615</v>
      </c>
      <c r="D1965" s="178">
        <f>IF($C$1804&gt;0,'Assumptions (MSW)'!W$10*Model!$C$1804*'Assumptions (MSW)'!$B$2/10^9,0)</f>
        <v>0.01377738377</v>
      </c>
      <c r="E1965" s="178">
        <f>IF($C$1804&gt;0,'Assumptions (MSW)'!X$10*Model!$C$1804*'Assumptions (MSW)'!$B$2/10^9,0)</f>
        <v>0.01239964539</v>
      </c>
      <c r="F1965" s="178">
        <f>IF($C$1804&gt;0,'Assumptions (MSW)'!Y$10*Model!$C$1804*'Assumptions (MSW)'!$B$2/10^9,0)</f>
        <v>0.01116693211</v>
      </c>
      <c r="G1965" s="178">
        <f>IF($C$1804&gt;0,'Assumptions (MSW)'!Z$10*Model!$C$1804*'Assumptions (MSW)'!$B$2/10^9,0)</f>
        <v>0.0100502389</v>
      </c>
      <c r="H1965" s="178">
        <f>IF($C$1804&gt;0,'Assumptions (MSW)'!AA$10*Model!$C$1804*'Assumptions (MSW)'!$B$2/10^9,0)</f>
        <v>0.00903506325</v>
      </c>
      <c r="I1965" s="178">
        <f>IF($C$1804&gt;0,'Assumptions (MSW)'!AB$10*Model!$C$1804*'Assumptions (MSW)'!$B$2/10^9,0)</f>
        <v>0.008556480446</v>
      </c>
      <c r="J1965" s="178">
        <f>IF($C$1804&gt;0,'Assumptions (MSW)'!AC$10*Model!$C$1804*'Assumptions (MSW)'!$B$2/10^9,0)</f>
        <v>0.008556480446</v>
      </c>
      <c r="K1965" s="178">
        <f>IF($C$1804&gt;0,'Assumptions (MSW)'!AD$10*Model!$C$1804*'Assumptions (MSW)'!$B$2/10^9,0)</f>
        <v>0.008570982955</v>
      </c>
      <c r="L1965" s="178">
        <f>IF($C$1804&gt;0,'Assumptions (MSW)'!AE$10*Model!$C$1804*'Assumptions (MSW)'!$B$2/10^9,0)</f>
        <v>0.008556480446</v>
      </c>
      <c r="M1965" s="178">
        <f>IF($C$1804&gt;0,'Assumptions (MSW)'!AF$10*Model!$C$1804*'Assumptions (MSW)'!$B$2/10^9,0)</f>
        <v>0.008570982955</v>
      </c>
      <c r="N1965" s="178">
        <f>IF($C$1804&gt;0,'Assumptions (MSW)'!AG$10*Model!$C$1804*'Assumptions (MSW)'!$B$2/10^9,0)</f>
        <v>0.008556480446</v>
      </c>
      <c r="O1965" s="178">
        <f>IF($C$1804&gt;0,'Assumptions (MSW)'!AH$10*Model!$C$1804*'Assumptions (MSW)'!$B$2/10^9,0)</f>
        <v>0.008570982955</v>
      </c>
      <c r="P1965" s="178">
        <f>IF($C$1804&gt;0,'Assumptions (MSW)'!AI$10*Model!$C$1804*'Assumptions (MSW)'!$B$2/10^9,0)</f>
        <v>0.008556480446</v>
      </c>
      <c r="Q1965" s="178">
        <f>IF($C$1804&gt;0,'Assumptions (MSW)'!AJ$10*Model!$C$1804*'Assumptions (MSW)'!$B$2/10^9,0)</f>
        <v>0.008570982955</v>
      </c>
      <c r="R1965" s="178">
        <f>IF($C$1804&gt;0,'Assumptions (MSW)'!AK$10*Model!$C$1804*'Assumptions (MSW)'!$B$2/10^9,0)</f>
        <v>0.004278240223</v>
      </c>
      <c r="S1965" s="177"/>
      <c r="T1965" s="177"/>
      <c r="U1965" s="177"/>
      <c r="V1965" s="177"/>
      <c r="W1965" s="177"/>
      <c r="X1965" s="160"/>
      <c r="Y1965" s="160"/>
      <c r="Z1965" s="160"/>
      <c r="AA1965" s="160"/>
      <c r="AB1965" s="160"/>
      <c r="AC1965" s="160"/>
      <c r="AD1965" s="160"/>
      <c r="AE1965" s="160"/>
      <c r="AF1965" s="160"/>
      <c r="AG1965" s="160"/>
    </row>
    <row r="1966" ht="15.75" hidden="1" customHeight="1" outlineLevel="1">
      <c r="A1966" s="309"/>
      <c r="B1966" s="38"/>
      <c r="C1966" s="160"/>
      <c r="D1966" s="160">
        <f>IF($D$1804&gt;0,'Assumptions (MSW)'!V$10*Model!$D$1804*'Assumptions (MSW)'!$B$2/10^9,0)</f>
        <v>0.02685322339</v>
      </c>
      <c r="E1966" s="160">
        <f>IF($D$1804&gt;0,'Assumptions (MSW)'!W$10*Model!$D$1804*'Assumptions (MSW)'!$B$2/10^9,0)</f>
        <v>0.05102112444</v>
      </c>
      <c r="F1966" s="160">
        <f>IF($D$1804&gt;0,'Assumptions (MSW)'!X$10*Model!$D$1804*'Assumptions (MSW)'!$B$2/10^9,0)</f>
        <v>0.045919012</v>
      </c>
      <c r="G1966" s="160">
        <f>IF($D$1804&gt;0,'Assumptions (MSW)'!Y$10*Model!$D$1804*'Assumptions (MSW)'!$B$2/10^9,0)</f>
        <v>0.04135396402</v>
      </c>
      <c r="H1966" s="160">
        <f>IF($D$1804&gt;0,'Assumptions (MSW)'!Z$10*Model!$D$1804*'Assumptions (MSW)'!$B$2/10^9,0)</f>
        <v>0.03721856762</v>
      </c>
      <c r="I1966" s="160">
        <f>IF($D$1804&gt;0,'Assumptions (MSW)'!AA$10*Model!$D$1804*'Assumptions (MSW)'!$B$2/10^9,0)</f>
        <v>0.03345911635</v>
      </c>
      <c r="J1966" s="160">
        <f>IF($D$1804&gt;0,'Assumptions (MSW)'!AB$10*Model!$D$1804*'Assumptions (MSW)'!$B$2/10^9,0)</f>
        <v>0.0316868036</v>
      </c>
      <c r="K1966" s="160">
        <f>IF($D$1804&gt;0,'Assumptions (MSW)'!AC$10*Model!$D$1804*'Assumptions (MSW)'!$B$2/10^9,0)</f>
        <v>0.0316868036</v>
      </c>
      <c r="L1966" s="160">
        <f>IF($D$1804&gt;0,'Assumptions (MSW)'!AD$10*Model!$D$1804*'Assumptions (MSW)'!$B$2/10^9,0)</f>
        <v>0.03174051005</v>
      </c>
      <c r="M1966" s="160">
        <f>IF($D$1804&gt;0,'Assumptions (MSW)'!AE$10*Model!$D$1804*'Assumptions (MSW)'!$B$2/10^9,0)</f>
        <v>0.0316868036</v>
      </c>
      <c r="N1966" s="160">
        <f>IF($D$1804&gt;0,'Assumptions (MSW)'!AF$10*Model!$D$1804*'Assumptions (MSW)'!$B$2/10^9,0)</f>
        <v>0.03174051005</v>
      </c>
      <c r="O1966" s="160">
        <f>IF($D$1804&gt;0,'Assumptions (MSW)'!AG$10*Model!$D$1804*'Assumptions (MSW)'!$B$2/10^9,0)</f>
        <v>0.0316868036</v>
      </c>
      <c r="P1966" s="160">
        <f>IF($D$1804&gt;0,'Assumptions (MSW)'!AH$10*Model!$D$1804*'Assumptions (MSW)'!$B$2/10^9,0)</f>
        <v>0.03174051005</v>
      </c>
      <c r="Q1966" s="160">
        <f>IF($D$1804&gt;0,'Assumptions (MSW)'!AI$10*Model!$D$1804*'Assumptions (MSW)'!$B$2/10^9,0)</f>
        <v>0.0316868036</v>
      </c>
      <c r="R1966" s="160">
        <f>IF($D$1804&gt;0,'Assumptions (MSW)'!AJ$10*Model!$D$1804*'Assumptions (MSW)'!$B$2/10^9,0)</f>
        <v>0.03174051005</v>
      </c>
      <c r="S1966" s="160">
        <f>IF($D$1804&gt;0,'Assumptions (MSW)'!AK$10*Model!$D$1804*'Assumptions (MSW)'!$B$2/10^9,0)</f>
        <v>0.0158434018</v>
      </c>
      <c r="T1966" s="160"/>
      <c r="U1966" s="160"/>
      <c r="V1966" s="160"/>
      <c r="W1966" s="160"/>
      <c r="X1966" s="160"/>
      <c r="Y1966" s="160"/>
      <c r="Z1966" s="160"/>
      <c r="AA1966" s="160"/>
      <c r="AB1966" s="160"/>
      <c r="AC1966" s="160"/>
      <c r="AD1966" s="160"/>
      <c r="AE1966" s="160"/>
      <c r="AF1966" s="160"/>
      <c r="AG1966" s="160"/>
    </row>
    <row r="1967" ht="15.75" hidden="1" customHeight="1" outlineLevel="1">
      <c r="A1967" s="309"/>
      <c r="B1967" s="38"/>
      <c r="C1967" s="160"/>
      <c r="D1967" s="160"/>
      <c r="E1967" s="160">
        <f>IF($E$1804&gt;0,'Assumptions (MSW)'!V$10*Model!$E$1804*AVERAGE('Assumptions (MSW)'!$B$2:$C$2)/10^9,0)</f>
        <v>0.007293613853</v>
      </c>
      <c r="F1967" s="160">
        <f>IF($E$1804&gt;0,'Assumptions (MSW)'!W$10*Model!$E$1804*AVERAGE('Assumptions (MSW)'!$B$2:$C$2)/10^9,0)</f>
        <v>0.01385786632</v>
      </c>
      <c r="G1967" s="160">
        <f>IF($E$1804&gt;0,'Assumptions (MSW)'!X$10*Model!$E$1804*AVERAGE('Assumptions (MSW)'!$B$2:$C$2)/10^9,0)</f>
        <v>0.01247207969</v>
      </c>
      <c r="H1967" s="160">
        <f>IF($E$1804&gt;0,'Assumptions (MSW)'!Y$10*Model!$E$1804*AVERAGE('Assumptions (MSW)'!$B$2:$C$2)/10^9,0)</f>
        <v>0.01123216533</v>
      </c>
      <c r="I1967" s="160">
        <f>IF($E$1804&gt;0,'Assumptions (MSW)'!Z$10*Model!$E$1804*AVERAGE('Assumptions (MSW)'!$B$2:$C$2)/10^9,0)</f>
        <v>0.0101089488</v>
      </c>
      <c r="J1967" s="160">
        <f>IF($E$1804&gt;0,'Assumptions (MSW)'!AA$10*Model!$E$1804*AVERAGE('Assumptions (MSW)'!$B$2:$C$2)/10^9,0)</f>
        <v>0.009087842861</v>
      </c>
      <c r="K1967" s="160">
        <f>IF($E$1804&gt;0,'Assumptions (MSW)'!AB$10*Model!$E$1804*AVERAGE('Assumptions (MSW)'!$B$2:$C$2)/10^9,0)</f>
        <v>0.008606464347</v>
      </c>
      <c r="L1967" s="160">
        <f>IF($E$1804&gt;0,'Assumptions (MSW)'!AC$10*Model!$E$1804*AVERAGE('Assumptions (MSW)'!$B$2:$C$2)/10^9,0)</f>
        <v>0.008606464347</v>
      </c>
      <c r="M1967" s="160">
        <f>IF($E$1804&gt;0,'Assumptions (MSW)'!AD$10*Model!$E$1804*AVERAGE('Assumptions (MSW)'!$B$2:$C$2)/10^9,0)</f>
        <v>0.008621051574</v>
      </c>
      <c r="N1967" s="160">
        <f>IF($E$1804&gt;0,'Assumptions (MSW)'!AE$10*Model!$E$1804*AVERAGE('Assumptions (MSW)'!$B$2:$C$2)/10^9,0)</f>
        <v>0.008606464347</v>
      </c>
      <c r="O1967" s="160">
        <f>IF($E$1804&gt;0,'Assumptions (MSW)'!AF$10*Model!$E$1804*AVERAGE('Assumptions (MSW)'!$B$2:$C$2)/10^9,0)</f>
        <v>0.008621051574</v>
      </c>
      <c r="P1967" s="160">
        <f>IF($E$1804&gt;0,'Assumptions (MSW)'!AG$10*Model!$E$1804*AVERAGE('Assumptions (MSW)'!$B$2:$C$2)/10^9,0)</f>
        <v>0.008606464347</v>
      </c>
      <c r="Q1967" s="160">
        <f>IF($E$1804&gt;0,'Assumptions (MSW)'!AH$10*Model!$E$1804*AVERAGE('Assumptions (MSW)'!$B$2:$C$2)/10^9,0)</f>
        <v>0.008621051574</v>
      </c>
      <c r="R1967" s="160">
        <f>IF($E$1804&gt;0,'Assumptions (MSW)'!AI$10*Model!$E$1804*AVERAGE('Assumptions (MSW)'!$B$2:$C$2)/10^9,0)</f>
        <v>0.008606464347</v>
      </c>
      <c r="S1967" s="160">
        <f>IF($E$1804&gt;0,'Assumptions (MSW)'!AJ$10*Model!$E$1804*AVERAGE('Assumptions (MSW)'!$B$2:$C$2)/10^9,0)</f>
        <v>0.008621051574</v>
      </c>
      <c r="T1967" s="160">
        <f>IF($E$1804&gt;0,'Assumptions (MSW)'!AK$10*Model!$E$1804*AVERAGE('Assumptions (MSW)'!$B$2:$C$2)/10^9,0)</f>
        <v>0.004303232173</v>
      </c>
      <c r="U1967" s="160"/>
      <c r="V1967" s="160"/>
      <c r="W1967" s="160"/>
      <c r="X1967" s="160"/>
      <c r="Y1967" s="160"/>
      <c r="Z1967" s="160"/>
      <c r="AA1967" s="160"/>
      <c r="AB1967" s="160"/>
      <c r="AC1967" s="160"/>
      <c r="AD1967" s="160"/>
      <c r="AE1967" s="160"/>
      <c r="AF1967" s="160"/>
      <c r="AG1967" s="160"/>
    </row>
    <row r="1968" ht="15.75" hidden="1" customHeight="1" outlineLevel="1">
      <c r="A1968" s="309"/>
      <c r="B1968" s="38"/>
      <c r="C1968" s="160"/>
      <c r="D1968" s="160"/>
      <c r="E1968" s="160"/>
      <c r="F1968" s="160">
        <f>IF($F$1804&gt;0,'Assumptions (MSW)'!V$10*Model!$F$1804*AVERAGE('Assumptions (MSW)'!$B$2:$D$2)/10^9,0)</f>
        <v>0.02474509895</v>
      </c>
      <c r="G1968" s="160">
        <f>IF($F$1804&gt;0,'Assumptions (MSW)'!W$10*Model!$F$1804*AVERAGE('Assumptions (MSW)'!$B$2:$D$2)/10^9,0)</f>
        <v>0.04701568801</v>
      </c>
      <c r="H1968" s="160">
        <f>IF($F$1804&gt;0,'Assumptions (MSW)'!X$10*Model!$F$1804*AVERAGE('Assumptions (MSW)'!$B$2:$D$2)/10^9,0)</f>
        <v>0.04231411921</v>
      </c>
      <c r="I1968" s="160">
        <f>IF($F$1804&gt;0,'Assumptions (MSW)'!Y$10*Model!$F$1804*AVERAGE('Assumptions (MSW)'!$B$2:$D$2)/10^9,0)</f>
        <v>0.03810745238</v>
      </c>
      <c r="J1968" s="160">
        <f>IF($F$1804&gt;0,'Assumptions (MSW)'!Z$10*Model!$F$1804*AVERAGE('Assumptions (MSW)'!$B$2:$D$2)/10^9,0)</f>
        <v>0.03429670715</v>
      </c>
      <c r="K1968" s="160">
        <f>IF($F$1804&gt;0,'Assumptions (MSW)'!AA$10*Model!$F$1804*AVERAGE('Assumptions (MSW)'!$B$2:$D$2)/10^9,0)</f>
        <v>0.03083239329</v>
      </c>
      <c r="L1968" s="160">
        <f>IF($F$1804&gt;0,'Assumptions (MSW)'!AB$10*Model!$F$1804*AVERAGE('Assumptions (MSW)'!$B$2:$D$2)/10^9,0)</f>
        <v>0.02919921676</v>
      </c>
      <c r="M1968" s="160">
        <f>IF($F$1804&gt;0,'Assumptions (MSW)'!AC$10*Model!$F$1804*AVERAGE('Assumptions (MSW)'!$B$2:$D$2)/10^9,0)</f>
        <v>0.02919921676</v>
      </c>
      <c r="N1968" s="160">
        <f>IF($F$1804&gt;0,'Assumptions (MSW)'!AD$10*Model!$F$1804*AVERAGE('Assumptions (MSW)'!$B$2:$D$2)/10^9,0)</f>
        <v>0.02924870696</v>
      </c>
      <c r="O1968" s="160">
        <f>IF($F$1804&gt;0,'Assumptions (MSW)'!AE$10*Model!$F$1804*AVERAGE('Assumptions (MSW)'!$B$2:$D$2)/10^9,0)</f>
        <v>0.02919921676</v>
      </c>
      <c r="P1968" s="160">
        <f>IF($F$1804&gt;0,'Assumptions (MSW)'!AF$10*Model!$F$1804*AVERAGE('Assumptions (MSW)'!$B$2:$D$2)/10^9,0)</f>
        <v>0.02924870696</v>
      </c>
      <c r="Q1968" s="160">
        <f>IF($F$1804&gt;0,'Assumptions (MSW)'!AG$10*Model!$F$1804*AVERAGE('Assumptions (MSW)'!$B$2:$D$2)/10^9,0)</f>
        <v>0.02919921676</v>
      </c>
      <c r="R1968" s="160">
        <f>IF($F$1804&gt;0,'Assumptions (MSW)'!AH$10*Model!$F$1804*AVERAGE('Assumptions (MSW)'!$B$2:$D$2)/10^9,0)</f>
        <v>0.02924870696</v>
      </c>
      <c r="S1968" s="160">
        <f>IF($F$1804&gt;0,'Assumptions (MSW)'!AI$10*Model!$F$1804*AVERAGE('Assumptions (MSW)'!$B$2:$D$2)/10^9,0)</f>
        <v>0.02919921676</v>
      </c>
      <c r="T1968" s="160">
        <f>IF($F$1804&gt;0,'Assumptions (MSW)'!AJ$10*Model!$F$1804*AVERAGE('Assumptions (MSW)'!$B$2:$D$2)/10^9,0)</f>
        <v>0.02924870696</v>
      </c>
      <c r="U1968" s="160">
        <f>IF($F$1804&gt;0,'Assumptions (MSW)'!AK$10*Model!$F$1804*AVERAGE('Assumptions (MSW)'!$B$2:$D$2)/10^9,0)</f>
        <v>0.01459960838</v>
      </c>
      <c r="V1968" s="160"/>
      <c r="W1968" s="160"/>
      <c r="X1968" s="160"/>
      <c r="Y1968" s="160"/>
      <c r="Z1968" s="160"/>
      <c r="AA1968" s="160"/>
      <c r="AB1968" s="160"/>
      <c r="AC1968" s="160"/>
      <c r="AD1968" s="160"/>
      <c r="AE1968" s="160"/>
      <c r="AF1968" s="160"/>
      <c r="AG1968" s="160"/>
    </row>
    <row r="1969" ht="15.75" hidden="1" customHeight="1" outlineLevel="1">
      <c r="A1969" s="309"/>
      <c r="B1969" s="38"/>
      <c r="C1969" s="160"/>
      <c r="D1969" s="160"/>
      <c r="E1969" s="160"/>
      <c r="F1969" s="160"/>
      <c r="G1969" s="160">
        <f>IF($G$1804&gt;0,'Assumptions (MSW)'!V$10*Model!$G$1804*AVERAGE('Assumptions (MSW)'!$C$2:$E$2)/10^9,0)</f>
        <v>0.01260335936</v>
      </c>
      <c r="H1969" s="160">
        <f>IF($G$1804&gt;0,'Assumptions (MSW)'!W$10*Model!$G$1804*AVERAGE('Assumptions (MSW)'!$C$2:$E$2)/10^9,0)</f>
        <v>0.02394638278</v>
      </c>
      <c r="I1969" s="160">
        <f>IF($G$1804&gt;0,'Assumptions (MSW)'!X$10*Model!$G$1804*AVERAGE('Assumptions (MSW)'!$C$2:$E$2)/10^9,0)</f>
        <v>0.0215517445</v>
      </c>
      <c r="J1969" s="160">
        <f>IF($G$1804&gt;0,'Assumptions (MSW)'!Y$10*Model!$G$1804*AVERAGE('Assumptions (MSW)'!$C$2:$E$2)/10^9,0)</f>
        <v>0.01940917341</v>
      </c>
      <c r="K1969" s="160">
        <f>IF($G$1804&gt;0,'Assumptions (MSW)'!Z$10*Model!$G$1804*AVERAGE('Assumptions (MSW)'!$C$2:$E$2)/10^9,0)</f>
        <v>0.01746825607</v>
      </c>
      <c r="L1969" s="160">
        <f>IF($G$1804&gt;0,'Assumptions (MSW)'!AA$10*Model!$G$1804*AVERAGE('Assumptions (MSW)'!$C$2:$E$2)/10^9,0)</f>
        <v>0.01570378576</v>
      </c>
      <c r="M1969" s="160">
        <f>IF($G$1804&gt;0,'Assumptions (MSW)'!AB$10*Model!$G$1804*AVERAGE('Assumptions (MSW)'!$C$2:$E$2)/10^9,0)</f>
        <v>0.01487196404</v>
      </c>
      <c r="N1969" s="160">
        <f>IF($G$1804&gt;0,'Assumptions (MSW)'!AC$10*Model!$G$1804*AVERAGE('Assumptions (MSW)'!$C$2:$E$2)/10^9,0)</f>
        <v>0.01487196404</v>
      </c>
      <c r="O1969" s="160">
        <f>IF($G$1804&gt;0,'Assumptions (MSW)'!AD$10*Model!$G$1804*AVERAGE('Assumptions (MSW)'!$C$2:$E$2)/10^9,0)</f>
        <v>0.01489717076</v>
      </c>
      <c r="P1969" s="160">
        <f>IF($G$1804&gt;0,'Assumptions (MSW)'!AE$10*Model!$G$1804*AVERAGE('Assumptions (MSW)'!$C$2:$E$2)/10^9,0)</f>
        <v>0.01487196404</v>
      </c>
      <c r="Q1969" s="160">
        <f>IF($G$1804&gt;0,'Assumptions (MSW)'!AF$10*Model!$G$1804*AVERAGE('Assumptions (MSW)'!$C$2:$E$2)/10^9,0)</f>
        <v>0.01489717076</v>
      </c>
      <c r="R1969" s="160">
        <f>IF($G$1804&gt;0,'Assumptions (MSW)'!AG$10*Model!$G$1804*AVERAGE('Assumptions (MSW)'!$C$2:$E$2)/10^9,0)</f>
        <v>0.01487196404</v>
      </c>
      <c r="S1969" s="160">
        <f>IF($G$1804&gt;0,'Assumptions (MSW)'!AH$10*Model!$G$1804*AVERAGE('Assumptions (MSW)'!$C$2:$E$2)/10^9,0)</f>
        <v>0.01489717076</v>
      </c>
      <c r="T1969" s="160">
        <f>IF($G$1804&gt;0,'Assumptions (MSW)'!AI$10*Model!$G$1804*AVERAGE('Assumptions (MSW)'!$C$2:$E$2)/10^9,0)</f>
        <v>0.01487196404</v>
      </c>
      <c r="U1969" s="160">
        <f>IF($G$1804&gt;0,'Assumptions (MSW)'!AJ$10*Model!$G$1804*AVERAGE('Assumptions (MSW)'!$C$2:$E$2)/10^9,0)</f>
        <v>0.01489717076</v>
      </c>
      <c r="V1969" s="160">
        <f>IF($G$1804&gt;0,'Assumptions (MSW)'!AK$10*Model!$G$1804*AVERAGE('Assumptions (MSW)'!$C$2:$E$2)/10^9,0)</f>
        <v>0.007435982021</v>
      </c>
      <c r="W1969" s="160"/>
      <c r="X1969" s="160"/>
      <c r="Y1969" s="160"/>
      <c r="Z1969" s="160"/>
      <c r="AA1969" s="160"/>
      <c r="AB1969" s="160"/>
      <c r="AC1969" s="160"/>
      <c r="AD1969" s="160"/>
      <c r="AE1969" s="160"/>
      <c r="AF1969" s="160"/>
      <c r="AG1969" s="160"/>
    </row>
    <row r="1970" ht="15.75" hidden="1" customHeight="1" outlineLevel="1">
      <c r="A1970" s="309"/>
      <c r="B1970" s="38"/>
      <c r="C1970" s="160"/>
      <c r="D1970" s="160"/>
      <c r="E1970" s="160"/>
      <c r="F1970" s="160"/>
      <c r="G1970" s="160"/>
      <c r="H1970" s="160">
        <f>IF($H$1804&gt;0,'Assumptions (MSW)'!V$10*Model!$H$1804*AVERAGE('Assumptions (MSW)'!$D$2:$F$2)/10^9,0)</f>
        <v>0.01382362375</v>
      </c>
      <c r="I1970" s="160">
        <f>IF($H$1804&gt;0,'Assumptions (MSW)'!W$10*Model!$H$1804*AVERAGE('Assumptions (MSW)'!$D$2:$F$2)/10^9,0)</f>
        <v>0.02626488513</v>
      </c>
      <c r="J1970" s="160">
        <f>IF($H$1804&gt;0,'Assumptions (MSW)'!X$10*Model!$H$1804*AVERAGE('Assumptions (MSW)'!$D$2:$F$2)/10^9,0)</f>
        <v>0.02363839662</v>
      </c>
      <c r="K1970" s="160">
        <f>IF($H$1804&gt;0,'Assumptions (MSW)'!Y$10*Model!$H$1804*AVERAGE('Assumptions (MSW)'!$D$2:$F$2)/10^9,0)</f>
        <v>0.02128838058</v>
      </c>
      <c r="L1970" s="160">
        <f>IF($H$1804&gt;0,'Assumptions (MSW)'!Z$10*Model!$H$1804*AVERAGE('Assumptions (MSW)'!$D$2:$F$2)/10^9,0)</f>
        <v>0.01915954252</v>
      </c>
      <c r="M1970" s="160">
        <f>IF($H$1804&gt;0,'Assumptions (MSW)'!AA$10*Model!$H$1804*AVERAGE('Assumptions (MSW)'!$D$2:$F$2)/10^9,0)</f>
        <v>0.0172242352</v>
      </c>
      <c r="N1970" s="160">
        <f>IF($H$1804&gt;0,'Assumptions (MSW)'!AB$10*Model!$H$1804*AVERAGE('Assumptions (MSW)'!$D$2:$F$2)/10^9,0)</f>
        <v>0.01631187603</v>
      </c>
      <c r="O1970" s="160">
        <f>IF($H$1804&gt;0,'Assumptions (MSW)'!AC$10*Model!$H$1804*AVERAGE('Assumptions (MSW)'!$D$2:$F$2)/10^9,0)</f>
        <v>0.01631187603</v>
      </c>
      <c r="P1970" s="160">
        <f>IF($H$1804&gt;0,'Assumptions (MSW)'!AD$10*Model!$H$1804*AVERAGE('Assumptions (MSW)'!$D$2:$F$2)/10^9,0)</f>
        <v>0.01633952328</v>
      </c>
      <c r="Q1970" s="160">
        <f>IF($H$1804&gt;0,'Assumptions (MSW)'!AE$10*Model!$H$1804*AVERAGE('Assumptions (MSW)'!$D$2:$F$2)/10^9,0)</f>
        <v>0.01631187603</v>
      </c>
      <c r="R1970" s="160">
        <f>IF($H$1804&gt;0,'Assumptions (MSW)'!AF$10*Model!$H$1804*AVERAGE('Assumptions (MSW)'!$D$2:$F$2)/10^9,0)</f>
        <v>0.01633952328</v>
      </c>
      <c r="S1970" s="160">
        <f>IF($H$1804&gt;0,'Assumptions (MSW)'!AG$10*Model!$H$1804*AVERAGE('Assumptions (MSW)'!$D$2:$F$2)/10^9,0)</f>
        <v>0.01631187603</v>
      </c>
      <c r="T1970" s="160">
        <f>IF($H$1804&gt;0,'Assumptions (MSW)'!AH$10*Model!$H$1804*AVERAGE('Assumptions (MSW)'!$D$2:$F$2)/10^9,0)</f>
        <v>0.01633952328</v>
      </c>
      <c r="U1970" s="160">
        <f>IF($H$1804&gt;0,'Assumptions (MSW)'!AI$10*Model!$H$1804*AVERAGE('Assumptions (MSW)'!$D$2:$F$2)/10^9,0)</f>
        <v>0.01631187603</v>
      </c>
      <c r="V1970" s="160">
        <f>IF($H$1804&gt;0,'Assumptions (MSW)'!AJ$10*Model!$H$1804*AVERAGE('Assumptions (MSW)'!$D$2:$F$2)/10^9,0)</f>
        <v>0.01633952328</v>
      </c>
      <c r="W1970" s="160">
        <f>IF($H$1804&gt;0,'Assumptions (MSW)'!AK$10*Model!$H$1804*AVERAGE('Assumptions (MSW)'!$D$2:$F$2)/10^9,0)</f>
        <v>0.008155938015</v>
      </c>
      <c r="X1970" s="160"/>
      <c r="Y1970" s="160"/>
      <c r="Z1970" s="160"/>
      <c r="AA1970" s="160"/>
      <c r="AB1970" s="160"/>
      <c r="AC1970" s="160"/>
      <c r="AD1970" s="160"/>
      <c r="AE1970" s="160"/>
      <c r="AF1970" s="160"/>
      <c r="AG1970" s="160"/>
    </row>
    <row r="1971" ht="15.75" hidden="1" customHeight="1" outlineLevel="1">
      <c r="A1971" s="309"/>
      <c r="B1971" s="38"/>
      <c r="C1971" s="160"/>
      <c r="D1971" s="160"/>
      <c r="E1971" s="160"/>
      <c r="F1971" s="160"/>
      <c r="G1971" s="160"/>
      <c r="H1971" s="160"/>
      <c r="I1971" s="160">
        <f>IF($I$1804&gt;0,'Assumptions (MSW)'!V$10*Model!$I$1804*AVERAGE('Assumptions (MSW)'!$E$2:$G$2)/10^9,0)</f>
        <v>0.03945703736</v>
      </c>
      <c r="J1971" s="160">
        <f>IF($I$1804&gt;0,'Assumptions (MSW)'!W$10*Model!$I$1804*AVERAGE('Assumptions (MSW)'!$E$2:$G$2)/10^9,0)</f>
        <v>0.07496837098</v>
      </c>
      <c r="K1971" s="160">
        <f>IF($I$1804&gt;0,'Assumptions (MSW)'!X$10*Model!$I$1804*AVERAGE('Assumptions (MSW)'!$E$2:$G$2)/10^9,0)</f>
        <v>0.06747153388</v>
      </c>
      <c r="L1971" s="160">
        <f>IF($I$1804&gt;0,'Assumptions (MSW)'!Y$10*Model!$I$1804*AVERAGE('Assumptions (MSW)'!$E$2:$G$2)/10^9,0)</f>
        <v>0.06076383753</v>
      </c>
      <c r="M1971" s="160">
        <f>IF($I$1804&gt;0,'Assumptions (MSW)'!Z$10*Model!$I$1804*AVERAGE('Assumptions (MSW)'!$E$2:$G$2)/10^9,0)</f>
        <v>0.05468745378</v>
      </c>
      <c r="N1971" s="160">
        <f>IF($I$1804&gt;0,'Assumptions (MSW)'!AA$10*Model!$I$1804*AVERAGE('Assumptions (MSW)'!$E$2:$G$2)/10^9,0)</f>
        <v>0.04916346855</v>
      </c>
      <c r="O1971" s="160">
        <f>IF($I$1804&gt;0,'Assumptions (MSW)'!AB$10*Model!$I$1804*AVERAGE('Assumptions (MSW)'!$E$2:$G$2)/10^9,0)</f>
        <v>0.04655930408</v>
      </c>
      <c r="P1971" s="160">
        <f>IF($I$1804&gt;0,'Assumptions (MSW)'!AC$10*Model!$I$1804*AVERAGE('Assumptions (MSW)'!$E$2:$G$2)/10^9,0)</f>
        <v>0.04655930408</v>
      </c>
      <c r="Q1971" s="160">
        <f>IF($I$1804&gt;0,'Assumptions (MSW)'!AD$10*Model!$I$1804*AVERAGE('Assumptions (MSW)'!$E$2:$G$2)/10^9,0)</f>
        <v>0.04663821816</v>
      </c>
      <c r="R1971" s="160">
        <f>IF($I$1804&gt;0,'Assumptions (MSW)'!AE$10*Model!$I$1804*AVERAGE('Assumptions (MSW)'!$E$2:$G$2)/10^9,0)</f>
        <v>0.04655930408</v>
      </c>
      <c r="S1971" s="160">
        <f>IF($I$1804&gt;0,'Assumptions (MSW)'!AF$10*Model!$I$1804*AVERAGE('Assumptions (MSW)'!$E$2:$G$2)/10^9,0)</f>
        <v>0.04663821816</v>
      </c>
      <c r="T1971" s="160">
        <f>IF($I$1804&gt;0,'Assumptions (MSW)'!AG$10*Model!$I$1804*AVERAGE('Assumptions (MSW)'!$E$2:$G$2)/10^9,0)</f>
        <v>0.04655930408</v>
      </c>
      <c r="U1971" s="160">
        <f>IF($I$1804&gt;0,'Assumptions (MSW)'!AH$10*Model!$I$1804*AVERAGE('Assumptions (MSW)'!$E$2:$G$2)/10^9,0)</f>
        <v>0.04663821816</v>
      </c>
      <c r="V1971" s="160">
        <f>IF($I$1804&gt;0,'Assumptions (MSW)'!AI$10*Model!$I$1804*AVERAGE('Assumptions (MSW)'!$E$2:$G$2)/10^9,0)</f>
        <v>0.04655930408</v>
      </c>
      <c r="W1971" s="160">
        <f>IF($I$1804&gt;0,'Assumptions (MSW)'!AJ$10*Model!$I$1804*AVERAGE('Assumptions (MSW)'!$E$2:$G$2)/10^9,0)</f>
        <v>0.04663821816</v>
      </c>
      <c r="X1971" s="160">
        <f>IF($I$1804&gt;0,'Assumptions (MSW)'!AK$10*Model!$I$1804*AVERAGE('Assumptions (MSW)'!$E$2:$G$2)/10^9,0)</f>
        <v>0.02327965204</v>
      </c>
      <c r="Y1971" s="160"/>
      <c r="Z1971" s="160"/>
      <c r="AA1971" s="160"/>
      <c r="AB1971" s="160"/>
      <c r="AC1971" s="160"/>
      <c r="AD1971" s="160"/>
      <c r="AE1971" s="160"/>
      <c r="AF1971" s="160"/>
      <c r="AG1971" s="160"/>
    </row>
    <row r="1972" ht="15.75" hidden="1" customHeight="1" outlineLevel="1">
      <c r="A1972" s="309"/>
      <c r="B1972" s="38"/>
      <c r="C1972" s="160"/>
      <c r="D1972" s="160"/>
      <c r="E1972" s="160"/>
      <c r="F1972" s="160"/>
      <c r="G1972" s="160"/>
      <c r="H1972" s="160"/>
      <c r="I1972" s="160"/>
      <c r="J1972" s="160">
        <f>IF($J$1804&gt;0,'Assumptions (MSW)'!V$10*Model!$J$1804*AVERAGE('Assumptions (MSW)'!$F$2:$H$2)/10^9,0)</f>
        <v>0.04238911281</v>
      </c>
      <c r="K1972" s="160">
        <f>IF($J$1804&gt;0,'Assumptions (MSW)'!W$10*Model!$J$1804*AVERAGE('Assumptions (MSW)'!$F$2:$H$2)/10^9,0)</f>
        <v>0.08053931434</v>
      </c>
      <c r="L1972" s="160">
        <f>IF($J$1804&gt;0,'Assumptions (MSW)'!X$10*Model!$J$1804*AVERAGE('Assumptions (MSW)'!$F$2:$H$2)/10^9,0)</f>
        <v>0.07248538291</v>
      </c>
      <c r="M1972" s="160">
        <f>IF($J$1804&gt;0,'Assumptions (MSW)'!Y$10*Model!$J$1804*AVERAGE('Assumptions (MSW)'!$F$2:$H$2)/10^9,0)</f>
        <v>0.06527923373</v>
      </c>
      <c r="N1972" s="160">
        <f>IF($J$1804&gt;0,'Assumptions (MSW)'!Z$10*Model!$J$1804*AVERAGE('Assumptions (MSW)'!$F$2:$H$2)/10^9,0)</f>
        <v>0.05875131036</v>
      </c>
      <c r="O1972" s="160">
        <f>IF($J$1804&gt;0,'Assumptions (MSW)'!AA$10*Model!$J$1804*AVERAGE('Assumptions (MSW)'!$F$2:$H$2)/10^9,0)</f>
        <v>0.05281683456</v>
      </c>
      <c r="P1972" s="160">
        <f>IF($J$1804&gt;0,'Assumptions (MSW)'!AB$10*Model!$J$1804*AVERAGE('Assumptions (MSW)'!$F$2:$H$2)/10^9,0)</f>
        <v>0.05001915312</v>
      </c>
      <c r="Q1972" s="160">
        <f>IF($J$1804&gt;0,'Assumptions (MSW)'!AC$10*Model!$J$1804*AVERAGE('Assumptions (MSW)'!$F$2:$H$2)/10^9,0)</f>
        <v>0.05001915312</v>
      </c>
      <c r="R1972" s="160">
        <f>IF($J$1804&gt;0,'Assumptions (MSW)'!AD$10*Model!$J$1804*AVERAGE('Assumptions (MSW)'!$F$2:$H$2)/10^9,0)</f>
        <v>0.05010393134</v>
      </c>
      <c r="S1972" s="160">
        <f>IF($J$1804&gt;0,'Assumptions (MSW)'!AE$10*Model!$J$1804*AVERAGE('Assumptions (MSW)'!$F$2:$H$2)/10^9,0)</f>
        <v>0.05001915312</v>
      </c>
      <c r="T1972" s="160">
        <f>IF($J$1804&gt;0,'Assumptions (MSW)'!AF$10*Model!$J$1804*AVERAGE('Assumptions (MSW)'!$F$2:$H$2)/10^9,0)</f>
        <v>0.05010393134</v>
      </c>
      <c r="U1972" s="160">
        <f>IF($J$1804&gt;0,'Assumptions (MSW)'!AG$10*Model!$J$1804*AVERAGE('Assumptions (MSW)'!$F$2:$H$2)/10^9,0)</f>
        <v>0.05001915312</v>
      </c>
      <c r="V1972" s="160">
        <f>IF($J$1804&gt;0,'Assumptions (MSW)'!AH$10*Model!$J$1804*AVERAGE('Assumptions (MSW)'!$F$2:$H$2)/10^9,0)</f>
        <v>0.05010393134</v>
      </c>
      <c r="W1972" s="160">
        <f>IF($J$1804&gt;0,'Assumptions (MSW)'!AI$10*Model!$J$1804*AVERAGE('Assumptions (MSW)'!$F$2:$H$2)/10^9,0)</f>
        <v>0.05001915312</v>
      </c>
      <c r="X1972" s="160">
        <f>IF($J$1804&gt;0,'Assumptions (MSW)'!AJ$10*Model!$J$1804*AVERAGE('Assumptions (MSW)'!$F$2:$H$2)/10^9,0)</f>
        <v>0.05010393134</v>
      </c>
      <c r="Y1972" s="160">
        <f>IF($J$1804&gt;0,'Assumptions (MSW)'!AK$10*Model!$J$1804*AVERAGE('Assumptions (MSW)'!$F$2:$H$2)/10^9,0)</f>
        <v>0.02500957656</v>
      </c>
      <c r="Z1972" s="160"/>
      <c r="AA1972" s="160"/>
      <c r="AB1972" s="160"/>
      <c r="AC1972" s="160"/>
      <c r="AD1972" s="160"/>
      <c r="AE1972" s="160"/>
      <c r="AF1972" s="160"/>
      <c r="AG1972" s="160"/>
      <c r="AH1972" s="160"/>
    </row>
    <row r="1973" ht="15.75" hidden="1" customHeight="1" outlineLevel="1">
      <c r="A1973" s="309"/>
      <c r="B1973" s="38"/>
      <c r="C1973" s="160"/>
      <c r="D1973" s="160"/>
      <c r="E1973" s="160"/>
      <c r="F1973" s="160"/>
      <c r="G1973" s="160"/>
      <c r="H1973" s="160"/>
      <c r="I1973" s="160"/>
      <c r="J1973" s="160"/>
      <c r="K1973" s="160">
        <f>IF($K$1804&gt;0,'Assumptions (MSW)'!V$10*Model!$K$1804*AVERAGE('Assumptions (MSW)'!$G$2:$I$2)/10^9,0)</f>
        <v>0.0436305615</v>
      </c>
      <c r="L1973" s="160">
        <f>IF($K$1804&gt;0,'Assumptions (MSW)'!W$10*Model!$K$1804*AVERAGE('Assumptions (MSW)'!$G$2:$I$2)/10^9,0)</f>
        <v>0.08289806684</v>
      </c>
      <c r="M1973" s="160">
        <f>IF($K$1804&gt;0,'Assumptions (MSW)'!X$10*Model!$K$1804*AVERAGE('Assumptions (MSW)'!$G$2:$I$2)/10^9,0)</f>
        <v>0.07460826016</v>
      </c>
      <c r="N1973" s="160">
        <f>IF($K$1804&gt;0,'Assumptions (MSW)'!Y$10*Model!$K$1804*AVERAGE('Assumptions (MSW)'!$G$2:$I$2)/10^9,0)</f>
        <v>0.0671910647</v>
      </c>
      <c r="O1973" s="160">
        <f>IF($K$1804&gt;0,'Assumptions (MSW)'!Z$10*Model!$K$1804*AVERAGE('Assumptions (MSW)'!$G$2:$I$2)/10^9,0)</f>
        <v>0.06047195823</v>
      </c>
      <c r="P1973" s="160">
        <f>IF($K$1804&gt;0,'Assumptions (MSW)'!AA$10*Model!$K$1804*AVERAGE('Assumptions (MSW)'!$G$2:$I$2)/10^9,0)</f>
        <v>0.05436367962</v>
      </c>
      <c r="Q1973" s="160">
        <f>IF($K$1804&gt;0,'Assumptions (MSW)'!AB$10*Model!$K$1804*AVERAGE('Assumptions (MSW)'!$G$2:$I$2)/10^9,0)</f>
        <v>0.05148406257</v>
      </c>
      <c r="R1973" s="160">
        <f>IF($K$1804&gt;0,'Assumptions (MSW)'!AC$10*Model!$K$1804*AVERAGE('Assumptions (MSW)'!$G$2:$I$2)/10^9,0)</f>
        <v>0.05148406257</v>
      </c>
      <c r="S1973" s="160">
        <f>IF($K$1804&gt;0,'Assumptions (MSW)'!AD$10*Model!$K$1804*AVERAGE('Assumptions (MSW)'!$G$2:$I$2)/10^9,0)</f>
        <v>0.05157132369</v>
      </c>
      <c r="T1973" s="160">
        <f>IF($K$1804&gt;0,'Assumptions (MSW)'!AE$10*Model!$K$1804*AVERAGE('Assumptions (MSW)'!$G$2:$I$2)/10^9,0)</f>
        <v>0.05148406257</v>
      </c>
      <c r="U1973" s="160">
        <f>IF($K$1804&gt;0,'Assumptions (MSW)'!AF$10*Model!$K$1804*AVERAGE('Assumptions (MSW)'!$G$2:$I$2)/10^9,0)</f>
        <v>0.05157132369</v>
      </c>
      <c r="V1973" s="160">
        <f>IF($K$1804&gt;0,'Assumptions (MSW)'!AG$10*Model!$K$1804*AVERAGE('Assumptions (MSW)'!$G$2:$I$2)/10^9,0)</f>
        <v>0.05148406257</v>
      </c>
      <c r="W1973" s="160">
        <f>IF($K$1804&gt;0,'Assumptions (MSW)'!AH$10*Model!$K$1804*AVERAGE('Assumptions (MSW)'!$G$2:$I$2)/10^9,0)</f>
        <v>0.05157132369</v>
      </c>
      <c r="X1973" s="160">
        <f>IF($K$1804&gt;0,'Assumptions (MSW)'!AI$10*Model!$K$1804*AVERAGE('Assumptions (MSW)'!$G$2:$I$2)/10^9,0)</f>
        <v>0.05148406257</v>
      </c>
      <c r="Y1973" s="160">
        <f>IF($K$1804&gt;0,'Assumptions (MSW)'!AJ$10*Model!$K$1804*AVERAGE('Assumptions (MSW)'!$G$2:$I$2)/10^9,0)</f>
        <v>0.05157132369</v>
      </c>
      <c r="Z1973" s="160">
        <f>IF($K$1804&gt;0,'Assumptions (MSW)'!AK$10*Model!$K$1804*AVERAGE('Assumptions (MSW)'!$G$2:$I$2)/10^9,0)</f>
        <v>0.02574203128</v>
      </c>
      <c r="AA1973" s="160"/>
      <c r="AB1973" s="160"/>
      <c r="AC1973" s="160"/>
      <c r="AD1973" s="160"/>
      <c r="AE1973" s="160"/>
      <c r="AF1973" s="160"/>
      <c r="AG1973" s="160"/>
      <c r="AH1973" s="160"/>
      <c r="AI1973" s="160"/>
    </row>
    <row r="1974" ht="15.75" hidden="1" customHeight="1" outlineLevel="1">
      <c r="A1974" s="309"/>
      <c r="B1974" s="38"/>
      <c r="C1974" s="160"/>
      <c r="D1974" s="160"/>
      <c r="E1974" s="160"/>
      <c r="F1974" s="160"/>
      <c r="G1974" s="160"/>
      <c r="H1974" s="160"/>
      <c r="I1974" s="160"/>
      <c r="J1974" s="160"/>
      <c r="K1974" s="160"/>
      <c r="L1974" s="160">
        <f>IF($L$1804&gt;0,'Assumptions (MSW)'!V$10*Model!$L$1804*AVERAGE('Assumptions (MSW)'!$H$2:$J$2)/10^9,0)</f>
        <v>0.04466775428</v>
      </c>
      <c r="M1974" s="160">
        <f>IF($L$1804&gt;0,'Assumptions (MSW)'!W$10*Model!$L$1804*AVERAGE('Assumptions (MSW)'!$H$2:$J$2)/10^9,0)</f>
        <v>0.08486873314</v>
      </c>
      <c r="N1974" s="160">
        <f>IF($L$1804&gt;0,'Assumptions (MSW)'!X$10*Model!$L$1804*AVERAGE('Assumptions (MSW)'!$H$2:$J$2)/10^9,0)</f>
        <v>0.07638185982</v>
      </c>
      <c r="O1974" s="160">
        <f>IF($L$1804&gt;0,'Assumptions (MSW)'!Y$10*Model!$L$1804*AVERAGE('Assumptions (MSW)'!$H$2:$J$2)/10^9,0)</f>
        <v>0.0687883416</v>
      </c>
      <c r="P1974" s="160">
        <f>IF($L$1804&gt;0,'Assumptions (MSW)'!Z$10*Model!$L$1804*AVERAGE('Assumptions (MSW)'!$H$2:$J$2)/10^9,0)</f>
        <v>0.06190950744</v>
      </c>
      <c r="Q1974" s="160">
        <f>IF($L$1804&gt;0,'Assumptions (MSW)'!AA$10*Model!$L$1804*AVERAGE('Assumptions (MSW)'!$H$2:$J$2)/10^9,0)</f>
        <v>0.05565602184</v>
      </c>
      <c r="R1974" s="160">
        <f>IF($L$1804&gt;0,'Assumptions (MSW)'!AB$10*Model!$L$1804*AVERAGE('Assumptions (MSW)'!$H$2:$J$2)/10^9,0)</f>
        <v>0.05270795005</v>
      </c>
      <c r="S1974" s="160">
        <f>IF($L$1804&gt;0,'Assumptions (MSW)'!AC$10*Model!$L$1804*AVERAGE('Assumptions (MSW)'!$H$2:$J$2)/10^9,0)</f>
        <v>0.05270795005</v>
      </c>
      <c r="T1974" s="160">
        <f>IF($L$1804&gt;0,'Assumptions (MSW)'!AD$10*Model!$L$1804*AVERAGE('Assumptions (MSW)'!$H$2:$J$2)/10^9,0)</f>
        <v>0.05279728556</v>
      </c>
      <c r="U1974" s="160">
        <f>IF($L$1804&gt;0,'Assumptions (MSW)'!AE$10*Model!$L$1804*AVERAGE('Assumptions (MSW)'!$H$2:$J$2)/10^9,0)</f>
        <v>0.05270795005</v>
      </c>
      <c r="V1974" s="160">
        <f>IF($L$1804&gt;0,'Assumptions (MSW)'!AF$10*Model!$L$1804*AVERAGE('Assumptions (MSW)'!$H$2:$J$2)/10^9,0)</f>
        <v>0.05279728556</v>
      </c>
      <c r="W1974" s="160">
        <f>IF($L$1804&gt;0,'Assumptions (MSW)'!AG$10*Model!$L$1804*AVERAGE('Assumptions (MSW)'!$H$2:$J$2)/10^9,0)</f>
        <v>0.05270795005</v>
      </c>
      <c r="X1974" s="160">
        <f>IF($L$1804&gt;0,'Assumptions (MSW)'!AH$10*Model!$L$1804*AVERAGE('Assumptions (MSW)'!$H$2:$J$2)/10^9,0)</f>
        <v>0.05279728556</v>
      </c>
      <c r="Y1974" s="160">
        <f>IF($L$1804&gt;0,'Assumptions (MSW)'!AI$10*Model!$L$1804*AVERAGE('Assumptions (MSW)'!$H$2:$J$2)/10^9,0)</f>
        <v>0.05270795005</v>
      </c>
      <c r="Z1974" s="160">
        <f>IF($L$1804&gt;0,'Assumptions (MSW)'!AJ$10*Model!$L$1804*AVERAGE('Assumptions (MSW)'!$H$2:$J$2)/10^9,0)</f>
        <v>0.05279728556</v>
      </c>
      <c r="AA1974" s="160">
        <f>IF($L$1804&gt;0,'Assumptions (MSW)'!AK$10*Model!$L$1804*AVERAGE('Assumptions (MSW)'!$H$2:$J$2)/10^9,0)</f>
        <v>0.02635397503</v>
      </c>
      <c r="AB1974" s="160"/>
      <c r="AC1974" s="160"/>
      <c r="AD1974" s="160"/>
      <c r="AE1974" s="160"/>
      <c r="AF1974" s="160"/>
      <c r="AG1974" s="160"/>
      <c r="AH1974" s="160"/>
      <c r="AI1974" s="160"/>
      <c r="AJ1974" s="160"/>
    </row>
    <row r="1975" ht="15.75" hidden="1" customHeight="1" outlineLevel="1">
      <c r="A1975" s="309"/>
      <c r="B1975" s="38"/>
      <c r="C1975" s="160"/>
      <c r="D1975" s="160"/>
      <c r="E1975" s="160"/>
      <c r="F1975" s="160"/>
      <c r="G1975" s="160"/>
      <c r="H1975" s="160"/>
      <c r="I1975" s="160"/>
      <c r="J1975" s="160"/>
      <c r="K1975" s="160"/>
      <c r="L1975" s="160"/>
      <c r="M1975" s="160">
        <f>IF($M$1804&gt;0,'Assumptions (MSW)'!V$10*Model!$M$1804*AVERAGE('Assumptions (MSW)'!$I$2:$K$2)/10^9,0)</f>
        <v>0.04924921338</v>
      </c>
      <c r="N1975" s="160">
        <f>IF($M$1804&gt;0,'Assumptions (MSW)'!W$10*Model!$M$1804*AVERAGE('Assumptions (MSW)'!$I$2:$K$2)/10^9,0)</f>
        <v>0.09357350543</v>
      </c>
      <c r="O1975" s="160">
        <f>IF($M$1804&gt;0,'Assumptions (MSW)'!X$10*Model!$M$1804*AVERAGE('Assumptions (MSW)'!$I$2:$K$2)/10^9,0)</f>
        <v>0.08421615488</v>
      </c>
      <c r="P1975" s="160">
        <f>IF($M$1804&gt;0,'Assumptions (MSW)'!Y$10*Model!$M$1804*AVERAGE('Assumptions (MSW)'!$I$2:$K$2)/10^9,0)</f>
        <v>0.07584378861</v>
      </c>
      <c r="Q1975" s="160">
        <f>IF($M$1804&gt;0,'Assumptions (MSW)'!Z$10*Model!$M$1804*AVERAGE('Assumptions (MSW)'!$I$2:$K$2)/10^9,0)</f>
        <v>0.06825940975</v>
      </c>
      <c r="R1975" s="160">
        <f>IF($M$1804&gt;0,'Assumptions (MSW)'!AA$10*Model!$M$1804*AVERAGE('Assumptions (MSW)'!$I$2:$K$2)/10^9,0)</f>
        <v>0.06136451988</v>
      </c>
      <c r="S1975" s="160">
        <f>IF($M$1804&gt;0,'Assumptions (MSW)'!AB$10*Model!$M$1804*AVERAGE('Assumptions (MSW)'!$I$2:$K$2)/10^9,0)</f>
        <v>0.05811407179</v>
      </c>
      <c r="T1975" s="160">
        <f>IF($M$1804&gt;0,'Assumptions (MSW)'!AC$10*Model!$M$1804*AVERAGE('Assumptions (MSW)'!$I$2:$K$2)/10^9,0)</f>
        <v>0.05811407179</v>
      </c>
      <c r="U1975" s="160">
        <f>IF($M$1804&gt;0,'Assumptions (MSW)'!AD$10*Model!$M$1804*AVERAGE('Assumptions (MSW)'!$I$2:$K$2)/10^9,0)</f>
        <v>0.05821257022</v>
      </c>
      <c r="V1975" s="160">
        <f>IF($M$1804&gt;0,'Assumptions (MSW)'!AE$10*Model!$M$1804*AVERAGE('Assumptions (MSW)'!$I$2:$K$2)/10^9,0)</f>
        <v>0.05811407179</v>
      </c>
      <c r="W1975" s="160">
        <f>IF($M$1804&gt;0,'Assumptions (MSW)'!AF$10*Model!$M$1804*AVERAGE('Assumptions (MSW)'!$I$2:$K$2)/10^9,0)</f>
        <v>0.05821257022</v>
      </c>
      <c r="X1975" s="160">
        <f>IF($M$1804&gt;0,'Assumptions (MSW)'!AG$10*Model!$M$1804*AVERAGE('Assumptions (MSW)'!$I$2:$K$2)/10^9,0)</f>
        <v>0.05811407179</v>
      </c>
      <c r="Y1975" s="160">
        <f>IF($M$1804&gt;0,'Assumptions (MSW)'!AH$10*Model!$M$1804*AVERAGE('Assumptions (MSW)'!$I$2:$K$2)/10^9,0)</f>
        <v>0.05821257022</v>
      </c>
      <c r="Z1975" s="160">
        <f>IF($M$1804&gt;0,'Assumptions (MSW)'!AI$10*Model!$M$1804*AVERAGE('Assumptions (MSW)'!$I$2:$K$2)/10^9,0)</f>
        <v>0.05811407179</v>
      </c>
      <c r="AA1975" s="160">
        <f>IF($M$1804&gt;0,'Assumptions (MSW)'!AJ$10*Model!$M$1804*AVERAGE('Assumptions (MSW)'!$I$2:$K$2)/10^9,0)</f>
        <v>0.05821257022</v>
      </c>
      <c r="AB1975" s="160">
        <f>IF($M$1804&gt;0,'Assumptions (MSW)'!AK$10*Model!$M$1804*AVERAGE('Assumptions (MSW)'!$I$2:$K$2)/10^9,0)</f>
        <v>0.0290570359</v>
      </c>
      <c r="AC1975" s="160"/>
      <c r="AD1975" s="160"/>
      <c r="AE1975" s="160"/>
      <c r="AF1975" s="160"/>
      <c r="AG1975" s="160"/>
      <c r="AH1975" s="160"/>
      <c r="AI1975" s="160"/>
      <c r="AJ1975" s="160"/>
      <c r="AK1975" s="160"/>
    </row>
    <row r="1976" ht="15.75" hidden="1" customHeight="1" outlineLevel="1">
      <c r="A1976" s="309"/>
      <c r="B1976" s="38"/>
      <c r="C1976" s="160"/>
      <c r="D1976" s="160"/>
      <c r="E1976" s="160"/>
      <c r="F1976" s="160"/>
      <c r="G1976" s="160"/>
      <c r="H1976" s="160"/>
      <c r="I1976" s="160"/>
      <c r="J1976" s="160"/>
      <c r="K1976" s="160"/>
      <c r="L1976" s="160"/>
      <c r="M1976" s="160"/>
      <c r="N1976" s="160">
        <f>IF($N$1804&gt;0,'Assumptions (MSW)'!V$10*Model!$N$1804*AVERAGE('Assumptions (MSW)'!$J$2:$L$2)/10^9,0)</f>
        <v>0.05051058101</v>
      </c>
      <c r="O1976" s="160">
        <f>IF($N$1804&gt;0,'Assumptions (MSW)'!W$10*Model!$N$1804*AVERAGE('Assumptions (MSW)'!$J$2:$L$2)/10^9,0)</f>
        <v>0.09597010393</v>
      </c>
      <c r="P1976" s="160">
        <f>IF($N$1804&gt;0,'Assumptions (MSW)'!X$10*Model!$N$1804*AVERAGE('Assumptions (MSW)'!$J$2:$L$2)/10^9,0)</f>
        <v>0.08637309353</v>
      </c>
      <c r="Q1976" s="160">
        <f>IF($N$1804&gt;0,'Assumptions (MSW)'!Y$10*Model!$N$1804*AVERAGE('Assumptions (MSW)'!$J$2:$L$2)/10^9,0)</f>
        <v>0.07778629476</v>
      </c>
      <c r="R1976" s="160">
        <f>IF($N$1804&gt;0,'Assumptions (MSW)'!Z$10*Model!$N$1804*AVERAGE('Assumptions (MSW)'!$J$2:$L$2)/10^9,0)</f>
        <v>0.07000766529</v>
      </c>
      <c r="S1976" s="160">
        <f>IF($N$1804&gt;0,'Assumptions (MSW)'!AA$10*Model!$N$1804*AVERAGE('Assumptions (MSW)'!$J$2:$L$2)/10^9,0)</f>
        <v>0.06293618394</v>
      </c>
      <c r="T1976" s="160">
        <f>IF($N$1804&gt;0,'Assumptions (MSW)'!AB$10*Model!$N$1804*AVERAGE('Assumptions (MSW)'!$J$2:$L$2)/10^9,0)</f>
        <v>0.0596024856</v>
      </c>
      <c r="U1976" s="160">
        <f>IF($N$1804&gt;0,'Assumptions (MSW)'!AC$10*Model!$N$1804*AVERAGE('Assumptions (MSW)'!$J$2:$L$2)/10^9,0)</f>
        <v>0.0596024856</v>
      </c>
      <c r="V1976" s="160">
        <f>IF($N$1804&gt;0,'Assumptions (MSW)'!AD$10*Model!$N$1804*AVERAGE('Assumptions (MSW)'!$J$2:$L$2)/10^9,0)</f>
        <v>0.05970350676</v>
      </c>
      <c r="W1976" s="160">
        <f>IF($N$1804&gt;0,'Assumptions (MSW)'!AE$10*Model!$N$1804*AVERAGE('Assumptions (MSW)'!$J$2:$L$2)/10^9,0)</f>
        <v>0.0596024856</v>
      </c>
      <c r="X1976" s="160">
        <f>IF($N$1804&gt;0,'Assumptions (MSW)'!AF$10*Model!$N$1804*AVERAGE('Assumptions (MSW)'!$J$2:$L$2)/10^9,0)</f>
        <v>0.05970350676</v>
      </c>
      <c r="Y1976" s="160">
        <f>IF($N$1804&gt;0,'Assumptions (MSW)'!AG$10*Model!$N$1804*AVERAGE('Assumptions (MSW)'!$J$2:$L$2)/10^9,0)</f>
        <v>0.0596024856</v>
      </c>
      <c r="Z1976" s="160">
        <f>IF($N$1804&gt;0,'Assumptions (MSW)'!AH$10*Model!$N$1804*AVERAGE('Assumptions (MSW)'!$J$2:$L$2)/10^9,0)</f>
        <v>0.05970350676</v>
      </c>
      <c r="AA1976" s="160">
        <f>IF($N$1804&gt;0,'Assumptions (MSW)'!AI$10*Model!$N$1804*AVERAGE('Assumptions (MSW)'!$J$2:$L$2)/10^9,0)</f>
        <v>0.0596024856</v>
      </c>
      <c r="AB1976" s="160">
        <f>IF($N$1804&gt;0,'Assumptions (MSW)'!AJ$10*Model!$N$1804*AVERAGE('Assumptions (MSW)'!$J$2:$L$2)/10^9,0)</f>
        <v>0.05970350676</v>
      </c>
      <c r="AC1976" s="160">
        <f>IF($N$1804&gt;0,'Assumptions (MSW)'!AK$10*Model!$N$1804*AVERAGE('Assumptions (MSW)'!$J$2:$L$2)/10^9,0)</f>
        <v>0.0298012428</v>
      </c>
      <c r="AD1976" s="160"/>
      <c r="AE1976" s="160"/>
      <c r="AF1976" s="160"/>
      <c r="AG1976" s="160"/>
      <c r="AH1976" s="160"/>
      <c r="AI1976" s="160"/>
      <c r="AJ1976" s="160"/>
      <c r="AK1976" s="160"/>
    </row>
    <row r="1977" ht="15.75" hidden="1" customHeight="1" outlineLevel="1">
      <c r="A1977" s="309"/>
      <c r="B1977" s="38"/>
      <c r="C1977" s="160"/>
      <c r="D1977" s="160"/>
      <c r="E1977" s="160"/>
      <c r="F1977" s="160"/>
      <c r="G1977" s="160"/>
      <c r="H1977" s="160"/>
      <c r="I1977" s="160"/>
      <c r="J1977" s="160"/>
      <c r="K1977" s="160"/>
      <c r="L1977" s="160"/>
      <c r="M1977" s="160"/>
      <c r="N1977" s="160"/>
      <c r="O1977" s="160">
        <f>IF($O$1804&gt;0,'Assumptions (MSW)'!V$10*Model!$O$1804*AVERAGE('Assumptions (MSW)'!$K$2:$M$2)/10^9,0)</f>
        <v>0.06235702963</v>
      </c>
      <c r="P1977" s="160">
        <f>IF($O$1804&gt;0,'Assumptions (MSW)'!W$10*Model!$O$1804*AVERAGE('Assumptions (MSW)'!$K$2:$M$2)/10^9,0)</f>
        <v>0.1184783563</v>
      </c>
      <c r="Q1977" s="160">
        <f>IF($O$1804&gt;0,'Assumptions (MSW)'!X$10*Model!$O$1804*AVERAGE('Assumptions (MSW)'!$K$2:$M$2)/10^9,0)</f>
        <v>0.1066305207</v>
      </c>
      <c r="R1977" s="160">
        <f>IF($O$1804&gt;0,'Assumptions (MSW)'!Y$10*Model!$O$1804*AVERAGE('Assumptions (MSW)'!$K$2:$M$2)/10^9,0)</f>
        <v>0.09602982564</v>
      </c>
      <c r="S1977" s="160">
        <f>IF($O$1804&gt;0,'Assumptions (MSW)'!Z$10*Model!$O$1804*AVERAGE('Assumptions (MSW)'!$K$2:$M$2)/10^9,0)</f>
        <v>0.08642684307</v>
      </c>
      <c r="T1977" s="160">
        <f>IF($O$1804&gt;0,'Assumptions (MSW)'!AA$10*Model!$O$1804*AVERAGE('Assumptions (MSW)'!$K$2:$M$2)/10^9,0)</f>
        <v>0.07769685892</v>
      </c>
      <c r="U1977" s="160">
        <f>IF($O$1804&gt;0,'Assumptions (MSW)'!AB$10*Model!$O$1804*AVERAGE('Assumptions (MSW)'!$K$2:$M$2)/10^9,0)</f>
        <v>0.07358129497</v>
      </c>
      <c r="V1977" s="160">
        <f>IF($O$1804&gt;0,'Assumptions (MSW)'!AC$10*Model!$O$1804*AVERAGE('Assumptions (MSW)'!$K$2:$M$2)/10^9,0)</f>
        <v>0.07358129497</v>
      </c>
      <c r="W1977" s="160">
        <f>IF($O$1804&gt;0,'Assumptions (MSW)'!AD$10*Model!$O$1804*AVERAGE('Assumptions (MSW)'!$K$2:$M$2)/10^9,0)</f>
        <v>0.07370600903</v>
      </c>
      <c r="X1977" s="160">
        <f>IF($O$1804&gt;0,'Assumptions (MSW)'!AE$10*Model!$O$1804*AVERAGE('Assumptions (MSW)'!$K$2:$M$2)/10^9,0)</f>
        <v>0.07358129497</v>
      </c>
      <c r="Y1977" s="160">
        <f>IF($O$1804&gt;0,'Assumptions (MSW)'!AF$10*Model!$O$1804*AVERAGE('Assumptions (MSW)'!$K$2:$M$2)/10^9,0)</f>
        <v>0.07370600903</v>
      </c>
      <c r="Z1977" s="160">
        <f>IF($O$1804&gt;0,'Assumptions (MSW)'!AG$10*Model!$O$1804*AVERAGE('Assumptions (MSW)'!$K$2:$M$2)/10^9,0)</f>
        <v>0.07358129497</v>
      </c>
      <c r="AA1977" s="160">
        <f>IF($O$1804&gt;0,'Assumptions (MSW)'!AH$10*Model!$O$1804*AVERAGE('Assumptions (MSW)'!$K$2:$M$2)/10^9,0)</f>
        <v>0.07370600903</v>
      </c>
      <c r="AB1977" s="160">
        <f>IF($O$1804&gt;0,'Assumptions (MSW)'!AI$10*Model!$O$1804*AVERAGE('Assumptions (MSW)'!$K$2:$M$2)/10^9,0)</f>
        <v>0.07358129497</v>
      </c>
      <c r="AC1977" s="160">
        <f>IF($O$1804&gt;0,'Assumptions (MSW)'!AJ$10*Model!$O$1804*AVERAGE('Assumptions (MSW)'!$K$2:$M$2)/10^9,0)</f>
        <v>0.07370600903</v>
      </c>
      <c r="AD1977" s="160">
        <f>IF($O$1804&gt;0,'Assumptions (MSW)'!AK$10*Model!$O$1804*AVERAGE('Assumptions (MSW)'!$K$2:$M$2)/10^9,0)</f>
        <v>0.03679064748</v>
      </c>
      <c r="AE1977" s="160"/>
      <c r="AF1977" s="160"/>
      <c r="AG1977" s="160"/>
      <c r="AH1977" s="160"/>
      <c r="AI1977" s="160"/>
      <c r="AJ1977" s="160"/>
      <c r="AK1977" s="160"/>
    </row>
    <row r="1978" ht="15.75" hidden="1" customHeight="1" outlineLevel="1">
      <c r="A1978" s="309"/>
      <c r="B1978" s="38"/>
      <c r="C1978" s="160"/>
      <c r="D1978" s="160"/>
      <c r="E1978" s="160"/>
      <c r="F1978" s="160"/>
      <c r="G1978" s="160"/>
      <c r="H1978" s="177"/>
      <c r="I1978" s="160"/>
      <c r="J1978" s="160"/>
      <c r="K1978" s="160"/>
      <c r="L1978" s="160"/>
      <c r="M1978" s="160"/>
      <c r="N1978" s="160"/>
      <c r="O1978" s="160"/>
      <c r="P1978" s="177">
        <f>IF($P$1804&gt;0,'Assumptions (MSW)'!V$10*Model!$P$1804*AVERAGE('Assumptions (MSW)'!$L$2:$N$2)/10^9,0)</f>
        <v>0.0512588401</v>
      </c>
      <c r="Q1978" s="177">
        <f>IF($P$1804&gt;0,'Assumptions (MSW)'!W$10*Model!$P$1804*AVERAGE('Assumptions (MSW)'!$L$2:$N$2)/10^9,0)</f>
        <v>0.09739179619</v>
      </c>
      <c r="R1978" s="177">
        <f>IF($P$1804&gt;0,'Assumptions (MSW)'!X$10*Model!$P$1804*AVERAGE('Assumptions (MSW)'!$L$2:$N$2)/10^9,0)</f>
        <v>0.08765261657</v>
      </c>
      <c r="S1978" s="177">
        <f>IF($P$1804&gt;0,'Assumptions (MSW)'!Y$10*Model!$P$1804*AVERAGE('Assumptions (MSW)'!$L$2:$N$2)/10^9,0)</f>
        <v>0.07893861376</v>
      </c>
      <c r="T1978" s="177">
        <f>IF($P$1804&gt;0,'Assumptions (MSW)'!Z$10*Model!$P$1804*AVERAGE('Assumptions (MSW)'!$L$2:$N$2)/10^9,0)</f>
        <v>0.07104475238</v>
      </c>
      <c r="U1978" s="177">
        <f>IF($P$1804&gt;0,'Assumptions (MSW)'!AA$10*Model!$P$1804*AVERAGE('Assumptions (MSW)'!$L$2:$N$2)/10^9,0)</f>
        <v>0.06386851477</v>
      </c>
      <c r="V1978" s="177">
        <f>IF($P$1804&gt;0,'Assumptions (MSW)'!AB$10*Model!$P$1804*AVERAGE('Assumptions (MSW)'!$L$2:$N$2)/10^9,0)</f>
        <v>0.06048543132</v>
      </c>
      <c r="W1978" s="177">
        <f>IF($P$1804&gt;0,'Assumptions (MSW)'!AC$10*Model!$P$1804*AVERAGE('Assumptions (MSW)'!$L$2:$N$2)/10^9,0)</f>
        <v>0.06048543132</v>
      </c>
      <c r="X1978" s="177">
        <f>IF($P$1804&gt;0,'Assumptions (MSW)'!AD$10*Model!$P$1804*AVERAGE('Assumptions (MSW)'!$L$2:$N$2)/10^9,0)</f>
        <v>0.060587949</v>
      </c>
      <c r="Y1978" s="177">
        <f>IF($P$1804&gt;0,'Assumptions (MSW)'!AE$10*Model!$P$1804*AVERAGE('Assumptions (MSW)'!$L$2:$N$2)/10^9,0)</f>
        <v>0.06048543132</v>
      </c>
      <c r="Z1978" s="177">
        <f>IF($P$1804&gt;0,'Assumptions (MSW)'!AF$10*Model!$P$1804*AVERAGE('Assumptions (MSW)'!$L$2:$N$2)/10^9,0)</f>
        <v>0.060587949</v>
      </c>
      <c r="AA1978" s="177">
        <f>IF($P$1804&gt;0,'Assumptions (MSW)'!AG$10*Model!$P$1804*AVERAGE('Assumptions (MSW)'!$L$2:$N$2)/10^9,0)</f>
        <v>0.06048543132</v>
      </c>
      <c r="AB1978" s="177">
        <f>IF($P$1804&gt;0,'Assumptions (MSW)'!AH$10*Model!$P$1804*AVERAGE('Assumptions (MSW)'!$L$2:$N$2)/10^9,0)</f>
        <v>0.060587949</v>
      </c>
      <c r="AC1978" s="177">
        <f>IF($P$1804&gt;0,'Assumptions (MSW)'!AI$10*Model!$P$1804*AVERAGE('Assumptions (MSW)'!$L$2:$N$2)/10^9,0)</f>
        <v>0.06048543132</v>
      </c>
      <c r="AD1978" s="177">
        <f>IF($P$1804&gt;0,'Assumptions (MSW)'!AJ$10*Model!$P$1804*AVERAGE('Assumptions (MSW)'!$L$2:$N$2)/10^9,0)</f>
        <v>0.060587949</v>
      </c>
      <c r="AE1978" s="177">
        <f>IF($P$1804&gt;0,'Assumptions (MSW)'!AK$10*Model!$P$1804*AVERAGE('Assumptions (MSW)'!$L$2:$N$2)/10^9,0)</f>
        <v>0.03024271566</v>
      </c>
      <c r="AF1978" s="177"/>
      <c r="AG1978" s="177"/>
      <c r="AH1978" s="177"/>
      <c r="AI1978" s="177"/>
      <c r="AJ1978" s="177"/>
      <c r="AK1978" s="177"/>
    </row>
    <row r="1979" ht="15.75" hidden="1" customHeight="1" outlineLevel="1">
      <c r="A1979" s="309"/>
      <c r="B1979" s="38"/>
      <c r="C1979" s="160"/>
      <c r="D1979" s="160"/>
      <c r="E1979" s="160"/>
      <c r="F1979" s="160"/>
      <c r="G1979" s="160"/>
      <c r="H1979" s="160"/>
      <c r="I1979" s="160"/>
      <c r="J1979" s="160"/>
      <c r="K1979" s="160"/>
      <c r="L1979" s="160"/>
      <c r="M1979" s="160"/>
      <c r="N1979" s="160"/>
      <c r="O1979" s="160"/>
      <c r="P1979" s="179"/>
      <c r="Q1979" s="160">
        <f>IF($Q$1804&gt;0,'Assumptions (MSW)'!V$10*Model!$Q$1804*AVERAGE('Assumptions (MSW)'!$L$2:$O$2)/10^9,0)</f>
        <v>0.03265338142</v>
      </c>
      <c r="R1979" s="160">
        <f>IF($Q$1804&gt;0,'Assumptions (MSW)'!W$10*Model!$Q$1804*AVERAGE('Assumptions (MSW)'!$L$2:$O$2)/10^9,0)</f>
        <v>0.06204142469</v>
      </c>
      <c r="S1979" s="160">
        <f>IF($Q$1804&gt;0,'Assumptions (MSW)'!X$10*Model!$Q$1804*AVERAGE('Assumptions (MSW)'!$L$2:$O$2)/10^9,0)</f>
        <v>0.05583728222</v>
      </c>
      <c r="T1979" s="160">
        <f>IF($Q$1804&gt;0,'Assumptions (MSW)'!Y$10*Model!$Q$1804*AVERAGE('Assumptions (MSW)'!$L$2:$O$2)/10^9,0)</f>
        <v>0.05028620738</v>
      </c>
      <c r="U1979" s="160">
        <f>IF($Q$1804&gt;0,'Assumptions (MSW)'!Z$10*Model!$Q$1804*AVERAGE('Assumptions (MSW)'!$L$2:$O$2)/10^9,0)</f>
        <v>0.04525758664</v>
      </c>
      <c r="V1979" s="160">
        <f>IF($Q$1804&gt;0,'Assumptions (MSW)'!AA$10*Model!$Q$1804*AVERAGE('Assumptions (MSW)'!$L$2:$O$2)/10^9,0)</f>
        <v>0.04068611325</v>
      </c>
      <c r="W1979" s="160">
        <f>IF($Q$1804&gt;0,'Assumptions (MSW)'!AB$10*Model!$Q$1804*AVERAGE('Assumptions (MSW)'!$L$2:$O$2)/10^9,0)</f>
        <v>0.03853099007</v>
      </c>
      <c r="X1979" s="160">
        <f>IF($Q$1804&gt;0,'Assumptions (MSW)'!AC$10*Model!$Q$1804*AVERAGE('Assumptions (MSW)'!$L$2:$O$2)/10^9,0)</f>
        <v>0.03853099007</v>
      </c>
      <c r="Y1979" s="160">
        <f>IF($Q$1804&gt;0,'Assumptions (MSW)'!AD$10*Model!$Q$1804*AVERAGE('Assumptions (MSW)'!$L$2:$O$2)/10^9,0)</f>
        <v>0.03859629684</v>
      </c>
      <c r="Z1979" s="160">
        <f>IF($Q$1804&gt;0,'Assumptions (MSW)'!AE$10*Model!$Q$1804*AVERAGE('Assumptions (MSW)'!$L$2:$O$2)/10^9,0)</f>
        <v>0.03853099007</v>
      </c>
      <c r="AA1979" s="160">
        <f>IF($Q$1804&gt;0,'Assumptions (MSW)'!AF$10*Model!$Q$1804*AVERAGE('Assumptions (MSW)'!$L$2:$O$2)/10^9,0)</f>
        <v>0.03859629684</v>
      </c>
      <c r="AB1979" s="160">
        <f>IF($Q$1804&gt;0,'Assumptions (MSW)'!AG$10*Model!$Q$1804*AVERAGE('Assumptions (MSW)'!$L$2:$O$2)/10^9,0)</f>
        <v>0.03853099007</v>
      </c>
      <c r="AC1979" s="160">
        <f>IF($Q$1804&gt;0,'Assumptions (MSW)'!AH$10*Model!$Q$1804*AVERAGE('Assumptions (MSW)'!$L$2:$O$2)/10^9,0)</f>
        <v>0.03859629684</v>
      </c>
      <c r="AD1979" s="160">
        <f>IF($Q$1804&gt;0,'Assumptions (MSW)'!AI$10*Model!$Q$1804*AVERAGE('Assumptions (MSW)'!$L$2:$O$2)/10^9,0)</f>
        <v>0.03853099007</v>
      </c>
      <c r="AE1979" s="160">
        <f>IF($Q$1804&gt;0,'Assumptions (MSW)'!AJ$10*Model!$Q$1804*AVERAGE('Assumptions (MSW)'!$L$2:$O$2)/10^9,0)</f>
        <v>0.03859629684</v>
      </c>
      <c r="AF1979" s="160">
        <f>IF($Q$1804&gt;0,'Assumptions (MSW)'!AK$10*Model!$Q$1804*AVERAGE('Assumptions (MSW)'!$L$2:$O$2)/10^9,0)</f>
        <v>0.01926549504</v>
      </c>
      <c r="AG1979" s="160"/>
      <c r="AH1979" s="160"/>
      <c r="AI1979" s="160"/>
      <c r="AJ1979" s="160"/>
      <c r="AK1979" s="160"/>
    </row>
    <row r="1980" ht="15.75" hidden="1" customHeight="1" outlineLevel="1">
      <c r="A1980" s="309"/>
      <c r="B1980" s="38"/>
      <c r="C1980" s="160"/>
      <c r="D1980" s="160"/>
      <c r="E1980" s="160"/>
      <c r="F1980" s="160"/>
      <c r="G1980" s="160"/>
      <c r="H1980" s="160"/>
      <c r="I1980" s="160"/>
      <c r="J1980" s="160"/>
      <c r="K1980" s="160"/>
      <c r="L1980" s="160"/>
      <c r="M1980" s="160"/>
      <c r="N1980" s="160"/>
      <c r="O1980" s="160"/>
      <c r="P1980" s="179"/>
      <c r="Q1980" s="160"/>
      <c r="R1980" s="177">
        <f>IF($R$1804&gt;0,'Assumptions (MSW)'!V$10*Model!$R$1804*AVERAGE('Assumptions (MSW)'!$M$2:$P$2)/10^9,0)</f>
        <v>0.03801746263</v>
      </c>
      <c r="S1980" s="177">
        <f>IF($R$1804&gt;0,'Assumptions (MSW)'!W$10*Model!$R$1804*AVERAGE('Assumptions (MSW)'!$M$2:$P$2)/10^9,0)</f>
        <v>0.072233179</v>
      </c>
      <c r="T1980" s="177">
        <f>IF($R$1804&gt;0,'Assumptions (MSW)'!X$10*Model!$R$1804*AVERAGE('Assumptions (MSW)'!$M$2:$P$2)/10^9,0)</f>
        <v>0.0650098611</v>
      </c>
      <c r="U1980" s="177">
        <f>IF($R$1804&gt;0,'Assumptions (MSW)'!Y$10*Model!$R$1804*AVERAGE('Assumptions (MSW)'!$M$2:$P$2)/10^9,0)</f>
        <v>0.05854689245</v>
      </c>
      <c r="V1980" s="177">
        <f>IF($R$1804&gt;0,'Assumptions (MSW)'!Z$10*Model!$R$1804*AVERAGE('Assumptions (MSW)'!$M$2:$P$2)/10^9,0)</f>
        <v>0.05269220321</v>
      </c>
      <c r="W1980" s="177">
        <f>IF($R$1804&gt;0,'Assumptions (MSW)'!AA$10*Model!$R$1804*AVERAGE('Assumptions (MSW)'!$M$2:$P$2)/10^9,0)</f>
        <v>0.04736975844</v>
      </c>
      <c r="X1980" s="177">
        <f>IF($R$1804&gt;0,'Assumptions (MSW)'!AB$10*Model!$R$1804*AVERAGE('Assumptions (MSW)'!$M$2:$P$2)/10^9,0)</f>
        <v>0.0448606059</v>
      </c>
      <c r="Y1980" s="177">
        <f>IF($R$1804&gt;0,'Assumptions (MSW)'!AC$10*Model!$R$1804*AVERAGE('Assumptions (MSW)'!$M$2:$P$2)/10^9,0)</f>
        <v>0.0448606059</v>
      </c>
      <c r="Z1980" s="177">
        <f>IF($R$1804&gt;0,'Assumptions (MSW)'!AD$10*Model!$R$1804*AVERAGE('Assumptions (MSW)'!$M$2:$P$2)/10^9,0)</f>
        <v>0.04493664083</v>
      </c>
      <c r="AA1980" s="177">
        <f>IF($R$1804&gt;0,'Assumptions (MSW)'!AE$10*Model!$R$1804*AVERAGE('Assumptions (MSW)'!$M$2:$P$2)/10^9,0)</f>
        <v>0.0448606059</v>
      </c>
      <c r="AB1980" s="177">
        <f>IF($R$1804&gt;0,'Assumptions (MSW)'!AF$10*Model!$R$1804*AVERAGE('Assumptions (MSW)'!$M$2:$P$2)/10^9,0)</f>
        <v>0.04493664083</v>
      </c>
      <c r="AC1980" s="177">
        <f>IF($R$1804&gt;0,'Assumptions (MSW)'!AG$10*Model!$R$1804*AVERAGE('Assumptions (MSW)'!$M$2:$P$2)/10^9,0)</f>
        <v>0.0448606059</v>
      </c>
      <c r="AD1980" s="177">
        <f>IF($R$1804&gt;0,'Assumptions (MSW)'!AH$10*Model!$R$1804*AVERAGE('Assumptions (MSW)'!$M$2:$P$2)/10^9,0)</f>
        <v>0.04493664083</v>
      </c>
      <c r="AE1980" s="177">
        <f>IF($R$1804&gt;0,'Assumptions (MSW)'!AI$10*Model!$R$1804*AVERAGE('Assumptions (MSW)'!$M$2:$P$2)/10^9,0)</f>
        <v>0.0448606059</v>
      </c>
      <c r="AF1980" s="177">
        <f>IF($R$1804&gt;0,'Assumptions (MSW)'!AJ$10*Model!$R$1804*AVERAGE('Assumptions (MSW)'!$M$2:$P$2)/10^9,0)</f>
        <v>0.04493664083</v>
      </c>
      <c r="AG1980" s="177">
        <f>IF($R$1804&gt;0,'Assumptions (MSW)'!AK$10*Model!$R$1804*AVERAGE('Assumptions (MSW)'!$M$2:$P$2)/10^9,0)</f>
        <v>0.02243030295</v>
      </c>
      <c r="AH1980" s="177"/>
      <c r="AI1980" s="177"/>
      <c r="AJ1980" s="177"/>
      <c r="AK1980" s="177"/>
    </row>
    <row r="1981" ht="15.75" hidden="1" customHeight="1" outlineLevel="1">
      <c r="A1981" s="309"/>
      <c r="B1981" s="38"/>
      <c r="C1981" s="160"/>
      <c r="D1981" s="160"/>
      <c r="E1981" s="160"/>
      <c r="F1981" s="160"/>
      <c r="G1981" s="160"/>
      <c r="H1981" s="160"/>
      <c r="I1981" s="160"/>
      <c r="J1981" s="160"/>
      <c r="K1981" s="160"/>
      <c r="L1981" s="160"/>
      <c r="M1981" s="160"/>
      <c r="N1981" s="160"/>
      <c r="O1981" s="160"/>
      <c r="P1981" s="179"/>
      <c r="Q1981" s="160"/>
      <c r="R1981" s="177"/>
      <c r="S1981" s="160">
        <f>IF($S$1804&gt;0,'Assumptions (MSW)'!V$10*Model!$S$1804*AVERAGE('Assumptions (MSW)'!$O$2:$Q$2)/10^9,0)</f>
        <v>0.0319673023</v>
      </c>
      <c r="T1981" s="160">
        <f>IF($S$1804&gt;0,'Assumptions (MSW)'!W$10*Model!$S$1804*AVERAGE('Assumptions (MSW)'!$O$2:$Q$2)/10^9,0)</f>
        <v>0.06073787437</v>
      </c>
      <c r="U1981" s="160">
        <f>IF($S$1804&gt;0,'Assumptions (MSW)'!X$10*Model!$S$1804*AVERAGE('Assumptions (MSW)'!$O$2:$Q$2)/10^9,0)</f>
        <v>0.05466408693</v>
      </c>
      <c r="V1981" s="160">
        <f>IF($S$1804&gt;0,'Assumptions (MSW)'!Y$10*Model!$S$1804*AVERAGE('Assumptions (MSW)'!$O$2:$Q$2)/10^9,0)</f>
        <v>0.04922964554</v>
      </c>
      <c r="W1981" s="160">
        <f>IF($S$1804&gt;0,'Assumptions (MSW)'!Z$10*Model!$S$1804*AVERAGE('Assumptions (MSW)'!$O$2:$Q$2)/10^9,0)</f>
        <v>0.04430668099</v>
      </c>
      <c r="X1981" s="160">
        <f>IF($S$1804&gt;0,'Assumptions (MSW)'!AA$10*Model!$S$1804*AVERAGE('Assumptions (MSW)'!$O$2:$Q$2)/10^9,0)</f>
        <v>0.03983125866</v>
      </c>
      <c r="Y1981" s="160">
        <f>IF($S$1804&gt;0,'Assumptions (MSW)'!AB$10*Model!$S$1804*AVERAGE('Assumptions (MSW)'!$O$2:$Q$2)/10^9,0)</f>
        <v>0.03772141671</v>
      </c>
      <c r="Z1981" s="160">
        <f>IF($S$1804&gt;0,'Assumptions (MSW)'!AC$10*Model!$S$1804*AVERAGE('Assumptions (MSW)'!$O$2:$Q$2)/10^9,0)</f>
        <v>0.03772141671</v>
      </c>
      <c r="AA1981" s="160">
        <f>IF($S$1804&gt;0,'Assumptions (MSW)'!AD$10*Model!$S$1804*AVERAGE('Assumptions (MSW)'!$O$2:$Q$2)/10^9,0)</f>
        <v>0.03778535132</v>
      </c>
      <c r="AB1981" s="160">
        <f>IF($S$1804&gt;0,'Assumptions (MSW)'!AE$10*Model!$S$1804*AVERAGE('Assumptions (MSW)'!$O$2:$Q$2)/10^9,0)</f>
        <v>0.03772141671</v>
      </c>
      <c r="AC1981" s="160">
        <f>IF($S$1804&gt;0,'Assumptions (MSW)'!AF$10*Model!$S$1804*AVERAGE('Assumptions (MSW)'!$O$2:$Q$2)/10^9,0)</f>
        <v>0.03778535132</v>
      </c>
      <c r="AD1981" s="160">
        <f>IF($S$1804&gt;0,'Assumptions (MSW)'!AG$10*Model!$S$1804*AVERAGE('Assumptions (MSW)'!$O$2:$Q$2)/10^9,0)</f>
        <v>0.03772141671</v>
      </c>
      <c r="AE1981" s="160">
        <f>IF($S$1804&gt;0,'Assumptions (MSW)'!AH$10*Model!$S$1804*AVERAGE('Assumptions (MSW)'!$O$2:$Q$2)/10^9,0)</f>
        <v>0.03778535132</v>
      </c>
      <c r="AF1981" s="160">
        <f>IF($S$1804&gt;0,'Assumptions (MSW)'!AI$10*Model!$S$1804*AVERAGE('Assumptions (MSW)'!$O$2:$Q$2)/10^9,0)</f>
        <v>0.03772141671</v>
      </c>
      <c r="AG1981" s="160">
        <f>IF($S$1804&gt;0,'Assumptions (MSW)'!AJ$10*Model!$S$1804*AVERAGE('Assumptions (MSW)'!$O$2:$Q$2)/10^9,0)</f>
        <v>0.03778535132</v>
      </c>
      <c r="AH1981" s="160">
        <f>IF($S$1804&gt;0,'Assumptions (MSW)'!AK$10*Model!$S$1804*AVERAGE('Assumptions (MSW)'!$O$2:$Q$2)/10^9,0)</f>
        <v>0.01886070836</v>
      </c>
      <c r="AI1981" s="160"/>
      <c r="AJ1981" s="160"/>
      <c r="AK1981" s="160"/>
    </row>
    <row r="1982" ht="15.75" hidden="1" customHeight="1" outlineLevel="1">
      <c r="A1982" s="309"/>
      <c r="B1982" s="38"/>
      <c r="C1982" s="160"/>
      <c r="D1982" s="160"/>
      <c r="E1982" s="160"/>
      <c r="F1982" s="160"/>
      <c r="G1982" s="160"/>
      <c r="H1982" s="160"/>
      <c r="I1982" s="160"/>
      <c r="J1982" s="160"/>
      <c r="K1982" s="160"/>
      <c r="L1982" s="160"/>
      <c r="M1982" s="160"/>
      <c r="N1982" s="160"/>
      <c r="O1982" s="160"/>
      <c r="P1982" s="179"/>
      <c r="Q1982" s="160"/>
      <c r="R1982" s="177"/>
      <c r="S1982" s="177"/>
      <c r="T1982" s="160">
        <f>IF($T$1804&gt;0,'Assumptions (MSW)'!V$10*Model!$T$1804*AVERAGE('Assumptions (MSW)'!$P$2:$R$2)/10^9,0)</f>
        <v>0.01247877185</v>
      </c>
      <c r="U1982" s="160">
        <f>IF($T$1804&gt;0,'Assumptions (MSW)'!W$10*Model!$T$1804*AVERAGE('Assumptions (MSW)'!$P$2:$R$2)/10^9,0)</f>
        <v>0.02370966651</v>
      </c>
      <c r="V1982" s="160">
        <f>IF($T$1804&gt;0,'Assumptions (MSW)'!X$10*Model!$T$1804*AVERAGE('Assumptions (MSW)'!$P$2:$R$2)/10^9,0)</f>
        <v>0.02133869986</v>
      </c>
      <c r="W1982" s="160">
        <f>IF($T$1804&gt;0,'Assumptions (MSW)'!Y$10*Model!$T$1804*AVERAGE('Assumptions (MSW)'!$P$2:$R$2)/10^9,0)</f>
        <v>0.01921730865</v>
      </c>
      <c r="X1982" s="160">
        <f>IF($T$1804&gt;0,'Assumptions (MSW)'!Z$10*Model!$T$1804*AVERAGE('Assumptions (MSW)'!$P$2:$R$2)/10^9,0)</f>
        <v>0.01729557778</v>
      </c>
      <c r="Y1982" s="160">
        <f>IF($T$1804&gt;0,'Assumptions (MSW)'!AA$10*Model!$T$1804*AVERAGE('Assumptions (MSW)'!$P$2:$R$2)/10^9,0)</f>
        <v>0.01554854972</v>
      </c>
      <c r="Z1982" s="160">
        <f>IF($T$1804&gt;0,'Assumptions (MSW)'!AB$10*Model!$T$1804*AVERAGE('Assumptions (MSW)'!$P$2:$R$2)/10^9,0)</f>
        <v>0.01472495078</v>
      </c>
      <c r="AA1982" s="160">
        <f>IF($T$1804&gt;0,'Assumptions (MSW)'!AC$10*Model!$T$1804*AVERAGE('Assumptions (MSW)'!$P$2:$R$2)/10^9,0)</f>
        <v>0.01472495078</v>
      </c>
      <c r="AB1982" s="160">
        <f>IF($T$1804&gt;0,'Assumptions (MSW)'!AD$10*Model!$T$1804*AVERAGE('Assumptions (MSW)'!$P$2:$R$2)/10^9,0)</f>
        <v>0.01474990832</v>
      </c>
      <c r="AC1982" s="160">
        <f>IF($T$1804&gt;0,'Assumptions (MSW)'!AE$10*Model!$T$1804*AVERAGE('Assumptions (MSW)'!$P$2:$R$2)/10^9,0)</f>
        <v>0.01472495078</v>
      </c>
      <c r="AD1982" s="160">
        <f>IF($T$1804&gt;0,'Assumptions (MSW)'!AF$10*Model!$T$1804*AVERAGE('Assumptions (MSW)'!$P$2:$R$2)/10^9,0)</f>
        <v>0.01474990832</v>
      </c>
      <c r="AE1982" s="160">
        <f>IF($T$1804&gt;0,'Assumptions (MSW)'!AG$10*Model!$T$1804*AVERAGE('Assumptions (MSW)'!$P$2:$R$2)/10^9,0)</f>
        <v>0.01472495078</v>
      </c>
      <c r="AF1982" s="160">
        <f>IF($T$1804&gt;0,'Assumptions (MSW)'!AH$10*Model!$T$1804*AVERAGE('Assumptions (MSW)'!$P$2:$R$2)/10^9,0)</f>
        <v>0.01474990832</v>
      </c>
      <c r="AG1982" s="160">
        <f>IF($T$1804&gt;0,'Assumptions (MSW)'!AI$10*Model!$T$1804*AVERAGE('Assumptions (MSW)'!$P$2:$R$2)/10^9,0)</f>
        <v>0.01472495078</v>
      </c>
      <c r="AH1982" s="160">
        <f>IF($T$1804&gt;0,'Assumptions (MSW)'!AJ$10*Model!$T$1804*AVERAGE('Assumptions (MSW)'!$P$2:$R$2)/10^9,0)</f>
        <v>0.01474990832</v>
      </c>
      <c r="AI1982" s="160">
        <f>IF($T$1804&gt;0,'Assumptions (MSW)'!AK$10*Model!$T$1804*AVERAGE('Assumptions (MSW)'!$P$2:$R$2)/10^9,0)</f>
        <v>0.00736247539</v>
      </c>
      <c r="AJ1982" s="160"/>
      <c r="AK1982" s="160"/>
    </row>
    <row r="1983" ht="15.75" hidden="1" customHeight="1" outlineLevel="1">
      <c r="A1983" s="309"/>
      <c r="B1983" s="38"/>
      <c r="C1983" s="160"/>
      <c r="D1983" s="160"/>
      <c r="E1983" s="160"/>
      <c r="F1983" s="160"/>
      <c r="G1983" s="160"/>
      <c r="H1983" s="160"/>
      <c r="I1983" s="160"/>
      <c r="J1983" s="160"/>
      <c r="K1983" s="160"/>
      <c r="L1983" s="160"/>
      <c r="M1983" s="160"/>
      <c r="N1983" s="160"/>
      <c r="O1983" s="160"/>
      <c r="P1983" s="179"/>
      <c r="Q1983" s="160"/>
      <c r="R1983" s="177"/>
      <c r="S1983" s="177"/>
      <c r="T1983" s="177"/>
      <c r="U1983" s="160">
        <f>IF($U$1804&gt;0,'Assumptions (MSW)'!V$10*Model!$U$1804*AVERAGE('Assumptions (MSW)'!$Q$2:$S$2)/10^9,0)</f>
        <v>0.0006464521903</v>
      </c>
      <c r="V1983" s="160">
        <f>IF($U$1804&gt;0,'Assumptions (MSW)'!W$10*Model!$U$1804*AVERAGE('Assumptions (MSW)'!$Q$2:$S$2)/10^9,0)</f>
        <v>0.001228259162</v>
      </c>
      <c r="W1983" s="160">
        <f>IF($U$1804&gt;0,'Assumptions (MSW)'!X$10*Model!$U$1804*AVERAGE('Assumptions (MSW)'!$Q$2:$S$2)/10^9,0)</f>
        <v>0.001105433245</v>
      </c>
      <c r="X1983" s="160">
        <f>IF($U$1804&gt;0,'Assumptions (MSW)'!Y$10*Model!$U$1804*AVERAGE('Assumptions (MSW)'!$Q$2:$S$2)/10^9,0)</f>
        <v>0.0009955363731</v>
      </c>
      <c r="Y1983" s="160">
        <f>IF($U$1804&gt;0,'Assumptions (MSW)'!Z$10*Model!$U$1804*AVERAGE('Assumptions (MSW)'!$Q$2:$S$2)/10^9,0)</f>
        <v>0.0008959827358</v>
      </c>
      <c r="Z1983" s="160">
        <f>IF($U$1804&gt;0,'Assumptions (MSW)'!AA$10*Model!$U$1804*AVERAGE('Assumptions (MSW)'!$Q$2:$S$2)/10^9,0)</f>
        <v>0.0008054794292</v>
      </c>
      <c r="AA1983" s="160">
        <f>IF($U$1804&gt;0,'Assumptions (MSW)'!AB$10*Model!$U$1804*AVERAGE('Assumptions (MSW)'!$Q$2:$S$2)/10^9,0)</f>
        <v>0.0007628135846</v>
      </c>
      <c r="AB1983" s="160">
        <f>IF($U$1804&gt;0,'Assumptions (MSW)'!AC$10*Model!$U$1804*AVERAGE('Assumptions (MSW)'!$Q$2:$S$2)/10^9,0)</f>
        <v>0.0007628135846</v>
      </c>
      <c r="AC1983" s="160">
        <f>IF($U$1804&gt;0,'Assumptions (MSW)'!AD$10*Model!$U$1804*AVERAGE('Assumptions (MSW)'!$Q$2:$S$2)/10^9,0)</f>
        <v>0.000764106489</v>
      </c>
      <c r="AD1983" s="160">
        <f>IF($U$1804&gt;0,'Assumptions (MSW)'!AE$10*Model!$U$1804*AVERAGE('Assumptions (MSW)'!$Q$2:$S$2)/10^9,0)</f>
        <v>0.0007628135846</v>
      </c>
      <c r="AE1983" s="160">
        <f>IF($U$1804&gt;0,'Assumptions (MSW)'!AF$10*Model!$U$1804*AVERAGE('Assumptions (MSW)'!$Q$2:$S$2)/10^9,0)</f>
        <v>0.000764106489</v>
      </c>
      <c r="AF1983" s="160">
        <f>IF($U$1804&gt;0,'Assumptions (MSW)'!AG$10*Model!$U$1804*AVERAGE('Assumptions (MSW)'!$Q$2:$S$2)/10^9,0)</f>
        <v>0.0007628135846</v>
      </c>
      <c r="AG1983" s="160">
        <f>IF($U$1804&gt;0,'Assumptions (MSW)'!AH$10*Model!$U$1804*AVERAGE('Assumptions (MSW)'!$Q$2:$S$2)/10^9,0)</f>
        <v>0.000764106489</v>
      </c>
      <c r="AH1983" s="160">
        <f>IF($U$1804&gt;0,'Assumptions (MSW)'!AI$10*Model!$U$1804*AVERAGE('Assumptions (MSW)'!$Q$2:$S$2)/10^9,0)</f>
        <v>0.0007628135846</v>
      </c>
      <c r="AI1983" s="160">
        <f>IF($U$1804&gt;0,'Assumptions (MSW)'!AJ$10*Model!$U$1804*AVERAGE('Assumptions (MSW)'!$Q$2:$S$2)/10^9,0)</f>
        <v>0.000764106489</v>
      </c>
      <c r="AJ1983" s="160">
        <f>IF($U$1804&gt;0,'Assumptions (MSW)'!AK$10*Model!$U$1804*AVERAGE('Assumptions (MSW)'!$Q$2:$S$2)/10^9,0)</f>
        <v>0.0003814067923</v>
      </c>
      <c r="AK1983" s="160"/>
    </row>
    <row r="1984" ht="15.75" hidden="1" customHeight="1" outlineLevel="1">
      <c r="A1984" s="309"/>
      <c r="B1984" s="38"/>
      <c r="C1984" s="160"/>
      <c r="D1984" s="160"/>
      <c r="E1984" s="160"/>
      <c r="F1984" s="160"/>
      <c r="G1984" s="160"/>
      <c r="H1984" s="160"/>
      <c r="I1984" s="160"/>
      <c r="J1984" s="160"/>
      <c r="K1984" s="160"/>
      <c r="L1984" s="160"/>
      <c r="M1984" s="160"/>
      <c r="N1984" s="160"/>
      <c r="O1984" s="160"/>
      <c r="P1984" s="179"/>
      <c r="Q1984" s="160"/>
      <c r="R1984" s="177"/>
      <c r="S1984" s="177"/>
      <c r="T1984" s="177"/>
      <c r="U1984" s="160"/>
      <c r="V1984" s="160">
        <f>IF($V$1804&gt;0,'Assumptions (MSW)'!V$10*Model!$V$1804*AVERAGE('Assumptions (MSW)'!$R$2:$T$2)/10^9,0)</f>
        <v>0.001895524483</v>
      </c>
      <c r="W1984" s="160">
        <f>IF($V$1804&gt;0,'Assumptions (MSW)'!W$10*Model!$V$1804*AVERAGE('Assumptions (MSW)'!$R$2:$T$2)/10^9,0)</f>
        <v>0.003601496518</v>
      </c>
      <c r="X1984" s="160">
        <f>IF($V$1804&gt;0,'Assumptions (MSW)'!X$10*Model!$V$1804*AVERAGE('Assumptions (MSW)'!$R$2:$T$2)/10^9,0)</f>
        <v>0.003241346866</v>
      </c>
      <c r="Y1984" s="160">
        <f>IF($V$1804&gt;0,'Assumptions (MSW)'!Y$10*Model!$V$1804*AVERAGE('Assumptions (MSW)'!$R$2:$T$2)/10^9,0)</f>
        <v>0.002919107704</v>
      </c>
      <c r="Z1984" s="160">
        <f>IF($V$1804&gt;0,'Assumptions (MSW)'!Z$10*Model!$V$1804*AVERAGE('Assumptions (MSW)'!$R$2:$T$2)/10^9,0)</f>
        <v>0.002627196933</v>
      </c>
      <c r="AA1984" s="160">
        <f>IF($V$1804&gt;0,'Assumptions (MSW)'!AA$10*Model!$V$1804*AVERAGE('Assumptions (MSW)'!$R$2:$T$2)/10^9,0)</f>
        <v>0.002361823506</v>
      </c>
      <c r="AB1984" s="160">
        <f>IF($V$1804&gt;0,'Assumptions (MSW)'!AB$10*Model!$V$1804*AVERAGE('Assumptions (MSW)'!$R$2:$T$2)/10^9,0)</f>
        <v>0.00223671889</v>
      </c>
      <c r="AC1984" s="160">
        <f>IF($V$1804&gt;0,'Assumptions (MSW)'!AC$10*Model!$V$1804*AVERAGE('Assumptions (MSW)'!$R$2:$T$2)/10^9,0)</f>
        <v>0.00223671889</v>
      </c>
      <c r="AD1984" s="160">
        <f>IF($V$1804&gt;0,'Assumptions (MSW)'!AD$10*Model!$V$1804*AVERAGE('Assumptions (MSW)'!$R$2:$T$2)/10^9,0)</f>
        <v>0.002240509939</v>
      </c>
      <c r="AE1984" s="160">
        <f>IF($V$1804&gt;0,'Assumptions (MSW)'!AE$10*Model!$V$1804*AVERAGE('Assumptions (MSW)'!$R$2:$T$2)/10^9,0)</f>
        <v>0.00223671889</v>
      </c>
      <c r="AF1984" s="160">
        <f>IF($V$1804&gt;0,'Assumptions (MSW)'!AF$10*Model!$V$1804*AVERAGE('Assumptions (MSW)'!$R$2:$T$2)/10^9,0)</f>
        <v>0.002240509939</v>
      </c>
      <c r="AG1984" s="160">
        <f>IF($V$1804&gt;0,'Assumptions (MSW)'!AG$10*Model!$V$1804*AVERAGE('Assumptions (MSW)'!$R$2:$T$2)/10^9,0)</f>
        <v>0.00223671889</v>
      </c>
      <c r="AH1984" s="160">
        <f>IF($V$1804&gt;0,'Assumptions (MSW)'!AH$10*Model!$V$1804*AVERAGE('Assumptions (MSW)'!$R$2:$T$2)/10^9,0)</f>
        <v>0.002240509939</v>
      </c>
      <c r="AI1984" s="160">
        <f>IF($V$1804&gt;0,'Assumptions (MSW)'!AI$10*Model!$V$1804*AVERAGE('Assumptions (MSW)'!$R$2:$T$2)/10^9,0)</f>
        <v>0.00223671889</v>
      </c>
      <c r="AJ1984" s="160">
        <f>IF($V$1804&gt;0,'Assumptions (MSW)'!AJ$10*Model!$V$1804*AVERAGE('Assumptions (MSW)'!$R$2:$T$2)/10^9,0)</f>
        <v>0.002240509939</v>
      </c>
      <c r="AK1984" s="160">
        <f>IF($V$1804&gt;0,'Assumptions (MSW)'!AK$10*Model!$V$1804*AVERAGE('Assumptions (MSW)'!$R$2:$T$2)/10^9,0)</f>
        <v>0.001118359445</v>
      </c>
    </row>
    <row r="1985" ht="15.75" hidden="1" customHeight="1" outlineLevel="1">
      <c r="A1985" s="309"/>
      <c r="B1985" s="38"/>
      <c r="C1985" s="174"/>
      <c r="D1985" s="174"/>
      <c r="E1985" s="174"/>
      <c r="F1985" s="174"/>
      <c r="G1985" s="174"/>
      <c r="H1985" s="174"/>
      <c r="I1985" s="174"/>
      <c r="J1985" s="174"/>
      <c r="K1985" s="174"/>
      <c r="L1985" s="174"/>
      <c r="M1985" s="174"/>
      <c r="N1985" s="174"/>
      <c r="O1985" s="174"/>
      <c r="P1985" s="174"/>
      <c r="Q1985" s="174"/>
      <c r="R1985" s="174"/>
      <c r="S1985" s="174"/>
      <c r="T1985" s="174"/>
      <c r="U1985" s="174"/>
      <c r="V1985" s="174"/>
      <c r="W1985" s="160">
        <f>IF($W$1804&gt;0,'Assumptions (MSW)'!V10*Model!$W$1804*'Assumptions (MSW)'!$V$2/10^9,0)</f>
        <v>0</v>
      </c>
      <c r="X1985" s="160">
        <f>IF($W$1804&gt;0,'Assumptions (MSW)'!W10*Model!$W$1804*'Assumptions (MSW)'!$V$2/10^9,0)</f>
        <v>0</v>
      </c>
      <c r="Y1985" s="160">
        <f>IF($W$1804&gt;0,'Assumptions (MSW)'!X10*Model!$W$1804*'Assumptions (MSW)'!$V$2/10^9,0)</f>
        <v>0</v>
      </c>
      <c r="Z1985" s="160">
        <f>IF($W$1804&gt;0,'Assumptions (MSW)'!Y10*Model!$W$1804*'Assumptions (MSW)'!$V$2/10^9,0)</f>
        <v>0</v>
      </c>
      <c r="AA1985" s="160">
        <f>IF($W$1804&gt;0,'Assumptions (MSW)'!Z10*Model!$W$1804*'Assumptions (MSW)'!$V$2/10^9,0)</f>
        <v>0</v>
      </c>
      <c r="AB1985" s="160">
        <f>IF($W$1804&gt;0,'Assumptions (MSW)'!AA10*Model!$W$1804*'Assumptions (MSW)'!$V$2/10^9,0)</f>
        <v>0</v>
      </c>
      <c r="AC1985" s="160">
        <f>IF($W$1804&gt;0,'Assumptions (MSW)'!AB10*Model!$W$1804*'Assumptions (MSW)'!$V$2/10^9,0)</f>
        <v>0</v>
      </c>
      <c r="AD1985" s="160">
        <f>IF($W$1804&gt;0,'Assumptions (MSW)'!AC10*Model!$W$1804*'Assumptions (MSW)'!$V$2/10^9,0)</f>
        <v>0</v>
      </c>
      <c r="AE1985" s="160">
        <f>IF($W$1804&gt;0,'Assumptions (MSW)'!AD10*Model!$W$1804*'Assumptions (MSW)'!$V$2/10^9,0)</f>
        <v>0</v>
      </c>
      <c r="AF1985" s="160">
        <f>IF($W$1804&gt;0,'Assumptions (MSW)'!AE10*Model!$W$1804*'Assumptions (MSW)'!$V$2/10^9,0)</f>
        <v>0</v>
      </c>
      <c r="AG1985" s="160">
        <f>IF($W$1804&gt;0,'Assumptions (MSW)'!AF10*Model!$W$1804*'Assumptions (MSW)'!$V$2/10^9,0)</f>
        <v>0</v>
      </c>
      <c r="AH1985" s="160">
        <f>IF($W$1804&gt;0,'Assumptions (MSW)'!AG10*Model!$W$1804*'Assumptions (MSW)'!$V$2/10^9,0)</f>
        <v>0</v>
      </c>
      <c r="AI1985" s="160">
        <f>IF($W$1804&gt;0,'Assumptions (MSW)'!AH10*Model!$W$1804*'Assumptions (MSW)'!$V$2/10^9,0)</f>
        <v>0</v>
      </c>
      <c r="AJ1985" s="160">
        <f>IF($W$1804&gt;0,'Assumptions (MSW)'!AI10*Model!$W$1804*'Assumptions (MSW)'!$V$2/10^9,0)</f>
        <v>0</v>
      </c>
      <c r="AK1985" s="160">
        <f>IF($W$1804&gt;0,'Assumptions (MSW)'!AJ10*Model!$W$1804*'Assumptions (MSW)'!$V$2/10^9,0)</f>
        <v>0</v>
      </c>
      <c r="AL1985" s="160">
        <f>IF($W$1804&gt;0,'Assumptions (MSW)'!AK10*Model!$W$1804*'Assumptions (MSW)'!$V$2/10^9,0)</f>
        <v>0</v>
      </c>
      <c r="AM1985" s="160"/>
      <c r="AN1985" s="160"/>
      <c r="AO1985" s="160"/>
      <c r="AP1985" s="160"/>
      <c r="AQ1985" s="160"/>
      <c r="AR1985" s="160"/>
      <c r="AS1985" s="160"/>
      <c r="AT1985" s="160"/>
      <c r="AU1985" s="160"/>
      <c r="AV1985" s="160"/>
      <c r="AW1985" s="160"/>
      <c r="AX1985" s="160"/>
      <c r="AY1985" s="160"/>
      <c r="AZ1985" s="160"/>
      <c r="BA1985" s="160"/>
    </row>
    <row r="1986" ht="15.75" hidden="1" customHeight="1" outlineLevel="1">
      <c r="A1986" s="309"/>
      <c r="B1986" s="38"/>
      <c r="C1986" s="174"/>
      <c r="D1986" s="174"/>
      <c r="E1986" s="174"/>
      <c r="F1986" s="174"/>
      <c r="G1986" s="174"/>
      <c r="H1986" s="174"/>
      <c r="I1986" s="174"/>
      <c r="J1986" s="174"/>
      <c r="K1986" s="174"/>
      <c r="L1986" s="174"/>
      <c r="M1986" s="174"/>
      <c r="N1986" s="174"/>
      <c r="O1986" s="174"/>
      <c r="P1986" s="174"/>
      <c r="Q1986" s="174"/>
      <c r="R1986" s="174"/>
      <c r="S1986" s="174"/>
      <c r="T1986" s="174"/>
      <c r="U1986" s="174"/>
      <c r="V1986" s="174"/>
      <c r="W1986" s="160"/>
      <c r="X1986" s="160">
        <f>IF($X$1804&gt;0,'Assumptions (MSW)'!V10*Model!$X$1804*'Assumptions (MSW)'!$V$2/10^9,0)</f>
        <v>0</v>
      </c>
      <c r="Y1986" s="160">
        <f>IF($X$1804&gt;0,'Assumptions (MSW)'!W10*Model!$X$1804*'Assumptions (MSW)'!$V$2/10^9,0)</f>
        <v>0</v>
      </c>
      <c r="Z1986" s="160">
        <f>IF($X$1804&gt;0,'Assumptions (MSW)'!X10*Model!$X$1804*'Assumptions (MSW)'!$V$2/10^9,0)</f>
        <v>0</v>
      </c>
      <c r="AA1986" s="160">
        <f>IF($X$1804&gt;0,'Assumptions (MSW)'!Y10*Model!$X$1804*'Assumptions (MSW)'!$V$2/10^9,0)</f>
        <v>0</v>
      </c>
      <c r="AB1986" s="160">
        <f>IF($X$1804&gt;0,'Assumptions (MSW)'!Z10*Model!$X$1804*'Assumptions (MSW)'!$V$2/10^9,0)</f>
        <v>0</v>
      </c>
      <c r="AC1986" s="160">
        <f>IF($X$1804&gt;0,'Assumptions (MSW)'!AA10*Model!$X$1804*'Assumptions (MSW)'!$V$2/10^9,0)</f>
        <v>0</v>
      </c>
      <c r="AD1986" s="160">
        <f>IF($X$1804&gt;0,'Assumptions (MSW)'!AB10*Model!$X$1804*'Assumptions (MSW)'!$V$2/10^9,0)</f>
        <v>0</v>
      </c>
      <c r="AE1986" s="160">
        <f>IF($X$1804&gt;0,'Assumptions (MSW)'!AC10*Model!$X$1804*'Assumptions (MSW)'!$V$2/10^9,0)</f>
        <v>0</v>
      </c>
      <c r="AF1986" s="160">
        <f>IF($X$1804&gt;0,'Assumptions (MSW)'!AD10*Model!$X$1804*'Assumptions (MSW)'!$V$2/10^9,0)</f>
        <v>0</v>
      </c>
      <c r="AG1986" s="160">
        <f>IF($X$1804&gt;0,'Assumptions (MSW)'!AE10*Model!$X$1804*'Assumptions (MSW)'!$V$2/10^9,0)</f>
        <v>0</v>
      </c>
      <c r="AH1986" s="160">
        <f>IF($X$1804&gt;0,'Assumptions (MSW)'!AF10*Model!$X$1804*'Assumptions (MSW)'!$V$2/10^9,0)</f>
        <v>0</v>
      </c>
      <c r="AI1986" s="160">
        <f>IF($X$1804&gt;0,'Assumptions (MSW)'!AG10*Model!$X$1804*'Assumptions (MSW)'!$V$2/10^9,0)</f>
        <v>0</v>
      </c>
      <c r="AJ1986" s="160">
        <f>IF($X$1804&gt;0,'Assumptions (MSW)'!AH10*Model!$X$1804*'Assumptions (MSW)'!$V$2/10^9,0)</f>
        <v>0</v>
      </c>
      <c r="AK1986" s="160">
        <f>IF($X$1804&gt;0,'Assumptions (MSW)'!AI10*Model!$X$1804*'Assumptions (MSW)'!$V$2/10^9,0)</f>
        <v>0</v>
      </c>
      <c r="AL1986" s="160">
        <f>IF($X$1804&gt;0,'Assumptions (MSW)'!AJ10*Model!$X$1804*'Assumptions (MSW)'!$V$2/10^9,0)</f>
        <v>0</v>
      </c>
      <c r="AM1986" s="160">
        <f>IF($X$1804&gt;0,'Assumptions (MSW)'!AK10*Model!$X$1804*'Assumptions (MSW)'!$V$2/10^9,0)</f>
        <v>0</v>
      </c>
      <c r="AN1986" s="160"/>
      <c r="AO1986" s="160"/>
      <c r="AP1986" s="160"/>
      <c r="AQ1986" s="160"/>
      <c r="AR1986" s="160"/>
      <c r="AS1986" s="160"/>
      <c r="AT1986" s="160"/>
      <c r="AU1986" s="160"/>
      <c r="AV1986" s="160"/>
      <c r="AW1986" s="160"/>
      <c r="AX1986" s="160"/>
      <c r="AY1986" s="160"/>
      <c r="AZ1986" s="160"/>
      <c r="BA1986" s="160"/>
    </row>
    <row r="1987" ht="15.75" hidden="1" customHeight="1" outlineLevel="1">
      <c r="A1987" s="309"/>
      <c r="B1987" s="38"/>
      <c r="C1987" s="174"/>
      <c r="D1987" s="174"/>
      <c r="E1987" s="174"/>
      <c r="F1987" s="174"/>
      <c r="G1987" s="174"/>
      <c r="H1987" s="174"/>
      <c r="I1987" s="174"/>
      <c r="J1987" s="174"/>
      <c r="K1987" s="174"/>
      <c r="L1987" s="174"/>
      <c r="M1987" s="174"/>
      <c r="N1987" s="174"/>
      <c r="O1987" s="174"/>
      <c r="P1987" s="174"/>
      <c r="Q1987" s="174"/>
      <c r="R1987" s="174"/>
      <c r="S1987" s="174"/>
      <c r="T1987" s="174"/>
      <c r="U1987" s="174"/>
      <c r="V1987" s="174"/>
      <c r="W1987" s="160"/>
      <c r="X1987" s="160"/>
      <c r="Y1987" s="160">
        <f>IF($Y$1804&gt;0,'Assumptions (MSW)'!V10*Model!$Y$1804*AVERAGE('Assumptions (MSW)'!$V$2:$W$2)/10^9,0)</f>
        <v>0</v>
      </c>
      <c r="Z1987" s="160">
        <f>IF($Y$1804&gt;0,'Assumptions (MSW)'!W10*Model!$Y$1804*AVERAGE('Assumptions (MSW)'!$V$2:$W$2)/10^9,0)</f>
        <v>0</v>
      </c>
      <c r="AA1987" s="160">
        <f>IF($Y$1804&gt;0,'Assumptions (MSW)'!X10*Model!$Y$1804*AVERAGE('Assumptions (MSW)'!$V$2:$W$2)/10^9,0)</f>
        <v>0</v>
      </c>
      <c r="AB1987" s="160">
        <f>IF($Y$1804&gt;0,'Assumptions (MSW)'!Y10*Model!$Y$1804*AVERAGE('Assumptions (MSW)'!$V$2:$W$2)/10^9,0)</f>
        <v>0</v>
      </c>
      <c r="AC1987" s="160">
        <f>IF($Y$1804&gt;0,'Assumptions (MSW)'!Z10*Model!$Y$1804*AVERAGE('Assumptions (MSW)'!$V$2:$W$2)/10^9,0)</f>
        <v>0</v>
      </c>
      <c r="AD1987" s="160">
        <f>IF($Y$1804&gt;0,'Assumptions (MSW)'!AA10*Model!$Y$1804*AVERAGE('Assumptions (MSW)'!$V$2:$W$2)/10^9,0)</f>
        <v>0</v>
      </c>
      <c r="AE1987" s="160">
        <f>IF($Y$1804&gt;0,'Assumptions (MSW)'!AB10*Model!$Y$1804*AVERAGE('Assumptions (MSW)'!$V$2:$W$2)/10^9,0)</f>
        <v>0</v>
      </c>
      <c r="AF1987" s="160">
        <f>IF($Y$1804&gt;0,'Assumptions (MSW)'!AC10*Model!$Y$1804*AVERAGE('Assumptions (MSW)'!$V$2:$W$2)/10^9,0)</f>
        <v>0</v>
      </c>
      <c r="AG1987" s="160">
        <f>IF($Y$1804&gt;0,'Assumptions (MSW)'!AD10*Model!$Y$1804*AVERAGE('Assumptions (MSW)'!$V$2:$W$2)/10^9,0)</f>
        <v>0</v>
      </c>
      <c r="AH1987" s="160">
        <f>IF($Y$1804&gt;0,'Assumptions (MSW)'!AE10*Model!$Y$1804*AVERAGE('Assumptions (MSW)'!$V$2:$W$2)/10^9,0)</f>
        <v>0</v>
      </c>
      <c r="AI1987" s="160">
        <f>IF($Y$1804&gt;0,'Assumptions (MSW)'!AF10*Model!$Y$1804*AVERAGE('Assumptions (MSW)'!$V$2:$W$2)/10^9,0)</f>
        <v>0</v>
      </c>
      <c r="AJ1987" s="160">
        <f>IF($Y$1804&gt;0,'Assumptions (MSW)'!AG10*Model!$Y$1804*AVERAGE('Assumptions (MSW)'!$V$2:$W$2)/10^9,0)</f>
        <v>0</v>
      </c>
      <c r="AK1987" s="160">
        <f>IF($Y$1804&gt;0,'Assumptions (MSW)'!AH10*Model!$Y$1804*AVERAGE('Assumptions (MSW)'!$V$2:$W$2)/10^9,0)</f>
        <v>0</v>
      </c>
      <c r="AL1987" s="160">
        <f>IF($Y$1804&gt;0,'Assumptions (MSW)'!AI10*Model!$Y$1804*AVERAGE('Assumptions (MSW)'!$V$2:$W$2)/10^9,0)</f>
        <v>0</v>
      </c>
      <c r="AM1987" s="160">
        <f>IF($Y$1804&gt;0,'Assumptions (MSW)'!AJ10*Model!$Y$1804*AVERAGE('Assumptions (MSW)'!$V$2:$W$2)/10^9,0)</f>
        <v>0</v>
      </c>
      <c r="AN1987" s="160">
        <f>IF($Y$1804&gt;0,'Assumptions (MSW)'!AK10*Model!$Y$1804*AVERAGE('Assumptions (MSW)'!$V$2:$W$2)/10^9,0)</f>
        <v>0</v>
      </c>
      <c r="AO1987" s="160"/>
      <c r="AP1987" s="160"/>
      <c r="AQ1987" s="160"/>
      <c r="AR1987" s="160"/>
      <c r="AS1987" s="160"/>
      <c r="AT1987" s="160"/>
      <c r="AU1987" s="160"/>
      <c r="AV1987" s="160"/>
      <c r="AW1987" s="160"/>
      <c r="AX1987" s="160"/>
      <c r="AY1987" s="160"/>
      <c r="AZ1987" s="160"/>
      <c r="BA1987" s="160"/>
    </row>
    <row r="1988" ht="15.75" hidden="1" customHeight="1" outlineLevel="1">
      <c r="A1988" s="309"/>
      <c r="B1988" s="38"/>
      <c r="C1988" s="174"/>
      <c r="D1988" s="174"/>
      <c r="E1988" s="174"/>
      <c r="F1988" s="174"/>
      <c r="G1988" s="174"/>
      <c r="H1988" s="174"/>
      <c r="I1988" s="174"/>
      <c r="J1988" s="174"/>
      <c r="K1988" s="174"/>
      <c r="L1988" s="174"/>
      <c r="M1988" s="174"/>
      <c r="N1988" s="174"/>
      <c r="O1988" s="174"/>
      <c r="P1988" s="174"/>
      <c r="Q1988" s="174"/>
      <c r="R1988" s="174"/>
      <c r="S1988" s="174"/>
      <c r="T1988" s="174"/>
      <c r="U1988" s="174"/>
      <c r="V1988" s="174"/>
      <c r="W1988" s="160"/>
      <c r="X1988" s="160"/>
      <c r="Y1988" s="160"/>
      <c r="Z1988" s="160">
        <f>IF($Z$1804&gt;0,'Assumptions (MSW)'!V10*Model!$Z$1804*AVERAGE('Assumptions (MSW)'!$V$2:$X$2)/10^9,0)</f>
        <v>0</v>
      </c>
      <c r="AA1988" s="160">
        <f>IF($Z$1804&gt;0,'Assumptions (MSW)'!W10*Model!$Z$1804*AVERAGE('Assumptions (MSW)'!$V$2:$X$2)/10^9,0)</f>
        <v>0</v>
      </c>
      <c r="AB1988" s="160">
        <f>IF($Z$1804&gt;0,'Assumptions (MSW)'!X10*Model!$Z$1804*AVERAGE('Assumptions (MSW)'!$V$2:$X$2)/10^9,0)</f>
        <v>0</v>
      </c>
      <c r="AC1988" s="160">
        <f>IF($Z$1804&gt;0,'Assumptions (MSW)'!Y10*Model!$Z$1804*AVERAGE('Assumptions (MSW)'!$V$2:$X$2)/10^9,0)</f>
        <v>0</v>
      </c>
      <c r="AD1988" s="160">
        <f>IF($Z$1804&gt;0,'Assumptions (MSW)'!Z10*Model!$Z$1804*AVERAGE('Assumptions (MSW)'!$V$2:$X$2)/10^9,0)</f>
        <v>0</v>
      </c>
      <c r="AE1988" s="160">
        <f>IF($Z$1804&gt;0,'Assumptions (MSW)'!AA10*Model!$Z$1804*AVERAGE('Assumptions (MSW)'!$V$2:$X$2)/10^9,0)</f>
        <v>0</v>
      </c>
      <c r="AF1988" s="160">
        <f>IF($Z$1804&gt;0,'Assumptions (MSW)'!AB10*Model!$Z$1804*AVERAGE('Assumptions (MSW)'!$V$2:$X$2)/10^9,0)</f>
        <v>0</v>
      </c>
      <c r="AG1988" s="160">
        <f>IF($Z$1804&gt;0,'Assumptions (MSW)'!AC10*Model!$Z$1804*AVERAGE('Assumptions (MSW)'!$V$2:$X$2)/10^9,0)</f>
        <v>0</v>
      </c>
      <c r="AH1988" s="160">
        <f>IF($Z$1804&gt;0,'Assumptions (MSW)'!AD10*Model!$Z$1804*AVERAGE('Assumptions (MSW)'!$V$2:$X$2)/10^9,0)</f>
        <v>0</v>
      </c>
      <c r="AI1988" s="160">
        <f>IF($Z$1804&gt;0,'Assumptions (MSW)'!AE10*Model!$Z$1804*AVERAGE('Assumptions (MSW)'!$V$2:$X$2)/10^9,0)</f>
        <v>0</v>
      </c>
      <c r="AJ1988" s="160">
        <f>IF($Z$1804&gt;0,'Assumptions (MSW)'!AF10*Model!$Z$1804*AVERAGE('Assumptions (MSW)'!$V$2:$X$2)/10^9,0)</f>
        <v>0</v>
      </c>
      <c r="AK1988" s="160">
        <f>IF($Z$1804&gt;0,'Assumptions (MSW)'!AG10*Model!$Z$1804*AVERAGE('Assumptions (MSW)'!$V$2:$X$2)/10^9,0)</f>
        <v>0</v>
      </c>
      <c r="AL1988" s="160">
        <f>IF($Z$1804&gt;0,'Assumptions (MSW)'!AH10*Model!$Z$1804*AVERAGE('Assumptions (MSW)'!$V$2:$X$2)/10^9,0)</f>
        <v>0</v>
      </c>
      <c r="AM1988" s="160">
        <f>IF($Z$1804&gt;0,'Assumptions (MSW)'!AI10*Model!$Z$1804*AVERAGE('Assumptions (MSW)'!$V$2:$X$2)/10^9,0)</f>
        <v>0</v>
      </c>
      <c r="AN1988" s="160">
        <f>IF($Z$1804&gt;0,'Assumptions (MSW)'!AJ10*Model!$Z$1804*AVERAGE('Assumptions (MSW)'!$V$2:$X$2)/10^9,0)</f>
        <v>0</v>
      </c>
      <c r="AO1988" s="160">
        <f>IF($Z$1804&gt;0,'Assumptions (MSW)'!AK10*Model!$Z$1804*AVERAGE('Assumptions (MSW)'!$V$2:$X$2)/10^9,0)</f>
        <v>0</v>
      </c>
      <c r="AP1988" s="160"/>
      <c r="AQ1988" s="160"/>
      <c r="AR1988" s="160"/>
      <c r="AS1988" s="160"/>
      <c r="AT1988" s="160"/>
      <c r="AU1988" s="160"/>
      <c r="AV1988" s="160"/>
      <c r="AW1988" s="160"/>
      <c r="AX1988" s="160"/>
      <c r="AY1988" s="160"/>
      <c r="AZ1988" s="160"/>
      <c r="BA1988" s="160"/>
    </row>
    <row r="1989" ht="15.75" hidden="1" customHeight="1" outlineLevel="1">
      <c r="A1989" s="309"/>
      <c r="B1989" s="38"/>
      <c r="C1989" s="174"/>
      <c r="D1989" s="174"/>
      <c r="E1989" s="174"/>
      <c r="F1989" s="174"/>
      <c r="G1989" s="174"/>
      <c r="H1989" s="174"/>
      <c r="I1989" s="174"/>
      <c r="J1989" s="174"/>
      <c r="K1989" s="174"/>
      <c r="L1989" s="174"/>
      <c r="M1989" s="174"/>
      <c r="N1989" s="174"/>
      <c r="O1989" s="174"/>
      <c r="P1989" s="174"/>
      <c r="Q1989" s="174"/>
      <c r="R1989" s="174"/>
      <c r="S1989" s="174"/>
      <c r="T1989" s="174"/>
      <c r="U1989" s="174"/>
      <c r="V1989" s="174"/>
      <c r="W1989" s="160"/>
      <c r="X1989" s="160"/>
      <c r="Y1989" s="160"/>
      <c r="Z1989" s="160"/>
      <c r="AA1989" s="160">
        <f>IF($AA$1804&gt;0,'Assumptions (MSW)'!V10*Model!$AA$1804*AVERAGE('Assumptions (MSW)'!$W$2:$Y$2)/10^9,0)</f>
        <v>0</v>
      </c>
      <c r="AB1989" s="160">
        <f>IF($AA$1804&gt;0,'Assumptions (MSW)'!W10*Model!$AA$1804*AVERAGE('Assumptions (MSW)'!$W$2:$Y$2)/10^9,0)</f>
        <v>0</v>
      </c>
      <c r="AC1989" s="160">
        <f>IF($AA$1804&gt;0,'Assumptions (MSW)'!X10*Model!$AA$1804*AVERAGE('Assumptions (MSW)'!$W$2:$Y$2)/10^9,0)</f>
        <v>0</v>
      </c>
      <c r="AD1989" s="160">
        <f>IF($AA$1804&gt;0,'Assumptions (MSW)'!Y10*Model!$AA$1804*AVERAGE('Assumptions (MSW)'!$W$2:$Y$2)/10^9,0)</f>
        <v>0</v>
      </c>
      <c r="AE1989" s="160">
        <f>IF($AA$1804&gt;0,'Assumptions (MSW)'!Z10*Model!$AA$1804*AVERAGE('Assumptions (MSW)'!$W$2:$Y$2)/10^9,0)</f>
        <v>0</v>
      </c>
      <c r="AF1989" s="160">
        <f>IF($AA$1804&gt;0,'Assumptions (MSW)'!AA10*Model!$AA$1804*AVERAGE('Assumptions (MSW)'!$W$2:$Y$2)/10^9,0)</f>
        <v>0</v>
      </c>
      <c r="AG1989" s="160">
        <f>IF($AA$1804&gt;0,'Assumptions (MSW)'!AB10*Model!$AA$1804*AVERAGE('Assumptions (MSW)'!$W$2:$Y$2)/10^9,0)</f>
        <v>0</v>
      </c>
      <c r="AH1989" s="160">
        <f>IF($AA$1804&gt;0,'Assumptions (MSW)'!AC10*Model!$AA$1804*AVERAGE('Assumptions (MSW)'!$W$2:$Y$2)/10^9,0)</f>
        <v>0</v>
      </c>
      <c r="AI1989" s="160">
        <f>IF($AA$1804&gt;0,'Assumptions (MSW)'!AD10*Model!$AA$1804*AVERAGE('Assumptions (MSW)'!$W$2:$Y$2)/10^9,0)</f>
        <v>0</v>
      </c>
      <c r="AJ1989" s="160">
        <f>IF($AA$1804&gt;0,'Assumptions (MSW)'!AE10*Model!$AA$1804*AVERAGE('Assumptions (MSW)'!$W$2:$Y$2)/10^9,0)</f>
        <v>0</v>
      </c>
      <c r="AK1989" s="160">
        <f>IF($AA$1804&gt;0,'Assumptions (MSW)'!AF10*Model!$AA$1804*AVERAGE('Assumptions (MSW)'!$W$2:$Y$2)/10^9,0)</f>
        <v>0</v>
      </c>
      <c r="AL1989" s="160">
        <f>IF($AA$1804&gt;0,'Assumptions (MSW)'!AG10*Model!$AA$1804*AVERAGE('Assumptions (MSW)'!$W$2:$Y$2)/10^9,0)</f>
        <v>0</v>
      </c>
      <c r="AM1989" s="160">
        <f>IF($AA$1804&gt;0,'Assumptions (MSW)'!AH10*Model!$AA$1804*AVERAGE('Assumptions (MSW)'!$W$2:$Y$2)/10^9,0)</f>
        <v>0</v>
      </c>
      <c r="AN1989" s="160">
        <f>IF($AA$1804&gt;0,'Assumptions (MSW)'!AI10*Model!$AA$1804*AVERAGE('Assumptions (MSW)'!$W$2:$Y$2)/10^9,0)</f>
        <v>0</v>
      </c>
      <c r="AO1989" s="160">
        <f>IF($AA$1804&gt;0,'Assumptions (MSW)'!AJ10*Model!$AA$1804*AVERAGE('Assumptions (MSW)'!$W$2:$Y$2)/10^9,0)</f>
        <v>0</v>
      </c>
      <c r="AP1989" s="160">
        <f>IF($AA$1804&gt;0,'Assumptions (MSW)'!AK10*Model!$AA$1804*AVERAGE('Assumptions (MSW)'!$W$2:$Y$2)/10^9,0)</f>
        <v>0</v>
      </c>
      <c r="AQ1989" s="160"/>
      <c r="AR1989" s="160"/>
      <c r="AS1989" s="160"/>
      <c r="AT1989" s="160"/>
      <c r="AU1989" s="160"/>
      <c r="AV1989" s="160"/>
      <c r="AW1989" s="160"/>
      <c r="AX1989" s="160"/>
      <c r="AY1989" s="160"/>
      <c r="AZ1989" s="160"/>
      <c r="BA1989" s="160"/>
    </row>
    <row r="1990" ht="15.75" hidden="1" customHeight="1" outlineLevel="1">
      <c r="A1990" s="309"/>
      <c r="B1990" s="38"/>
      <c r="C1990" s="174"/>
      <c r="D1990" s="174"/>
      <c r="E1990" s="174"/>
      <c r="F1990" s="174"/>
      <c r="G1990" s="174"/>
      <c r="H1990" s="174"/>
      <c r="I1990" s="174"/>
      <c r="J1990" s="174"/>
      <c r="K1990" s="174"/>
      <c r="L1990" s="174"/>
      <c r="M1990" s="174"/>
      <c r="N1990" s="174"/>
      <c r="O1990" s="174"/>
      <c r="P1990" s="174"/>
      <c r="Q1990" s="174"/>
      <c r="R1990" s="174"/>
      <c r="S1990" s="174"/>
      <c r="T1990" s="174"/>
      <c r="U1990" s="174"/>
      <c r="V1990" s="174"/>
      <c r="W1990" s="160"/>
      <c r="X1990" s="160"/>
      <c r="Y1990" s="160"/>
      <c r="Z1990" s="160"/>
      <c r="AA1990" s="160"/>
      <c r="AB1990" s="160">
        <f>IF($AB$1804&gt;0,'Assumptions (MSW)'!V10*Model!$AB$1804*AVERAGE('Assumptions (MSW)'!$X$2:$Z$2)/10^9,0)</f>
        <v>0</v>
      </c>
      <c r="AC1990" s="160">
        <f>IF($AB$1804&gt;0,'Assumptions (MSW)'!W10*Model!$AB$1804*AVERAGE('Assumptions (MSW)'!$X$2:$Z$2)/10^9,0)</f>
        <v>0</v>
      </c>
      <c r="AD1990" s="160">
        <f>IF($AB$1804&gt;0,'Assumptions (MSW)'!X10*Model!$AB$1804*AVERAGE('Assumptions (MSW)'!$X$2:$Z$2)/10^9,0)</f>
        <v>0</v>
      </c>
      <c r="AE1990" s="160">
        <f>IF($AB$1804&gt;0,'Assumptions (MSW)'!Y10*Model!$AB$1804*AVERAGE('Assumptions (MSW)'!$X$2:$Z$2)/10^9,0)</f>
        <v>0</v>
      </c>
      <c r="AF1990" s="160">
        <f>IF($AB$1804&gt;0,'Assumptions (MSW)'!Z10*Model!$AB$1804*AVERAGE('Assumptions (MSW)'!$X$2:$Z$2)/10^9,0)</f>
        <v>0</v>
      </c>
      <c r="AG1990" s="160">
        <f>IF($AB$1804&gt;0,'Assumptions (MSW)'!AA10*Model!$AB$1804*AVERAGE('Assumptions (MSW)'!$X$2:$Z$2)/10^9,0)</f>
        <v>0</v>
      </c>
      <c r="AH1990" s="160">
        <f>IF($AB$1804&gt;0,'Assumptions (MSW)'!AB10*Model!$AB$1804*AVERAGE('Assumptions (MSW)'!$X$2:$Z$2)/10^9,0)</f>
        <v>0</v>
      </c>
      <c r="AI1990" s="160">
        <f>IF($AB$1804&gt;0,'Assumptions (MSW)'!AC10*Model!$AB$1804*AVERAGE('Assumptions (MSW)'!$X$2:$Z$2)/10^9,0)</f>
        <v>0</v>
      </c>
      <c r="AJ1990" s="160">
        <f>IF($AB$1804&gt;0,'Assumptions (MSW)'!AD10*Model!$AB$1804*AVERAGE('Assumptions (MSW)'!$X$2:$Z$2)/10^9,0)</f>
        <v>0</v>
      </c>
      <c r="AK1990" s="160">
        <f>IF($AB$1804&gt;0,'Assumptions (MSW)'!AE10*Model!$AB$1804*AVERAGE('Assumptions (MSW)'!$X$2:$Z$2)/10^9,0)</f>
        <v>0</v>
      </c>
      <c r="AL1990" s="160">
        <f>IF($AB$1804&gt;0,'Assumptions (MSW)'!AF10*Model!$AB$1804*AVERAGE('Assumptions (MSW)'!$X$2:$Z$2)/10^9,0)</f>
        <v>0</v>
      </c>
      <c r="AM1990" s="160">
        <f>IF($AB$1804&gt;0,'Assumptions (MSW)'!AG10*Model!$AB$1804*AVERAGE('Assumptions (MSW)'!$X$2:$Z$2)/10^9,0)</f>
        <v>0</v>
      </c>
      <c r="AN1990" s="160">
        <f>IF($AB$1804&gt;0,'Assumptions (MSW)'!AH10*Model!$AB$1804*AVERAGE('Assumptions (MSW)'!$X$2:$Z$2)/10^9,0)</f>
        <v>0</v>
      </c>
      <c r="AO1990" s="160">
        <f>IF($AB$1804&gt;0,'Assumptions (MSW)'!AI10*Model!$AB$1804*AVERAGE('Assumptions (MSW)'!$X$2:$Z$2)/10^9,0)</f>
        <v>0</v>
      </c>
      <c r="AP1990" s="160">
        <f>IF($AB$1804&gt;0,'Assumptions (MSW)'!AJ10*Model!$AB$1804*AVERAGE('Assumptions (MSW)'!$X$2:$Z$2)/10^9,0)</f>
        <v>0</v>
      </c>
      <c r="AQ1990" s="160">
        <f>IF($AB$1804&gt;0,'Assumptions (MSW)'!AK10*Model!$AB$1804*AVERAGE('Assumptions (MSW)'!$X$2:$Z$2)/10^9,0)</f>
        <v>0</v>
      </c>
      <c r="AR1990" s="160"/>
      <c r="AS1990" s="160"/>
      <c r="AT1990" s="160"/>
      <c r="AU1990" s="160"/>
      <c r="AV1990" s="160"/>
      <c r="AW1990" s="160"/>
      <c r="AX1990" s="160"/>
      <c r="AY1990" s="160"/>
      <c r="AZ1990" s="160"/>
      <c r="BA1990" s="160"/>
    </row>
    <row r="1991" ht="15.75" hidden="1" customHeight="1" outlineLevel="1">
      <c r="A1991" s="309"/>
      <c r="B1991" s="38"/>
      <c r="C1991" s="174"/>
      <c r="D1991" s="174"/>
      <c r="E1991" s="174"/>
      <c r="F1991" s="174"/>
      <c r="G1991" s="174"/>
      <c r="H1991" s="174"/>
      <c r="I1991" s="174"/>
      <c r="J1991" s="174"/>
      <c r="K1991" s="174"/>
      <c r="L1991" s="174"/>
      <c r="M1991" s="174"/>
      <c r="N1991" s="174"/>
      <c r="O1991" s="174"/>
      <c r="P1991" s="174"/>
      <c r="Q1991" s="174"/>
      <c r="R1991" s="174"/>
      <c r="S1991" s="174"/>
      <c r="T1991" s="174"/>
      <c r="U1991" s="174"/>
      <c r="V1991" s="174"/>
      <c r="W1991" s="160"/>
      <c r="X1991" s="160"/>
      <c r="Y1991" s="160"/>
      <c r="Z1991" s="160"/>
      <c r="AA1991" s="160"/>
      <c r="AB1991" s="160"/>
      <c r="AC1991" s="160">
        <f>IF($AC$1804&gt;0,'Assumptions (MSW)'!V10*Model!$AC$1804*AVERAGE('Assumptions (MSW)'!$Y$2:$AA$2)/10^9,0)</f>
        <v>0</v>
      </c>
      <c r="AD1991" s="160">
        <f>IF($AC$1804&gt;0,'Assumptions (MSW)'!W10*Model!$AC$1804*AVERAGE('Assumptions (MSW)'!$Y$2:$AA$2)/10^9,0)</f>
        <v>0</v>
      </c>
      <c r="AE1991" s="160">
        <f>IF($AC$1804&gt;0,'Assumptions (MSW)'!X10*Model!$AC$1804*AVERAGE('Assumptions (MSW)'!$Y$2:$AA$2)/10^9,0)</f>
        <v>0</v>
      </c>
      <c r="AF1991" s="160">
        <f>IF($AC$1804&gt;0,'Assumptions (MSW)'!Y10*Model!$AC$1804*AVERAGE('Assumptions (MSW)'!$Y$2:$AA$2)/10^9,0)</f>
        <v>0</v>
      </c>
      <c r="AG1991" s="160">
        <f>IF($AC$1804&gt;0,'Assumptions (MSW)'!Z10*Model!$AC$1804*AVERAGE('Assumptions (MSW)'!$Y$2:$AA$2)/10^9,0)</f>
        <v>0</v>
      </c>
      <c r="AH1991" s="160">
        <f>IF($AC$1804&gt;0,'Assumptions (MSW)'!AA10*Model!$AC$1804*AVERAGE('Assumptions (MSW)'!$Y$2:$AA$2)/10^9,0)</f>
        <v>0</v>
      </c>
      <c r="AI1991" s="160">
        <f>IF($AC$1804&gt;0,'Assumptions (MSW)'!AB10*Model!$AC$1804*AVERAGE('Assumptions (MSW)'!$Y$2:$AA$2)/10^9,0)</f>
        <v>0</v>
      </c>
      <c r="AJ1991" s="160">
        <f>IF($AC$1804&gt;0,'Assumptions (MSW)'!AC10*Model!$AC$1804*AVERAGE('Assumptions (MSW)'!$Y$2:$AA$2)/10^9,0)</f>
        <v>0</v>
      </c>
      <c r="AK1991" s="160">
        <f>IF($AC$1804&gt;0,'Assumptions (MSW)'!AD10*Model!$AC$1804*AVERAGE('Assumptions (MSW)'!$Y$2:$AA$2)/10^9,0)</f>
        <v>0</v>
      </c>
      <c r="AL1991" s="160">
        <f>IF($AC$1804&gt;0,'Assumptions (MSW)'!AE10*Model!$AC$1804*AVERAGE('Assumptions (MSW)'!$Y$2:$AA$2)/10^9,0)</f>
        <v>0</v>
      </c>
      <c r="AM1991" s="160">
        <f>IF($AC$1804&gt;0,'Assumptions (MSW)'!AF10*Model!$AC$1804*AVERAGE('Assumptions (MSW)'!$Y$2:$AA$2)/10^9,0)</f>
        <v>0</v>
      </c>
      <c r="AN1991" s="160">
        <f>IF($AC$1804&gt;0,'Assumptions (MSW)'!AG10*Model!$AC$1804*AVERAGE('Assumptions (MSW)'!$Y$2:$AA$2)/10^9,0)</f>
        <v>0</v>
      </c>
      <c r="AO1991" s="160">
        <f>IF($AC$1804&gt;0,'Assumptions (MSW)'!AH10*Model!$AC$1804*AVERAGE('Assumptions (MSW)'!$Y$2:$AA$2)/10^9,0)</f>
        <v>0</v>
      </c>
      <c r="AP1991" s="160">
        <f>IF($AC$1804&gt;0,'Assumptions (MSW)'!AI10*Model!$AC$1804*AVERAGE('Assumptions (MSW)'!$Y$2:$AA$2)/10^9,0)</f>
        <v>0</v>
      </c>
      <c r="AQ1991" s="160">
        <f>IF($AC$1804&gt;0,'Assumptions (MSW)'!AJ10*Model!$AC$1804*AVERAGE('Assumptions (MSW)'!$Y$2:$AA$2)/10^9,0)</f>
        <v>0</v>
      </c>
      <c r="AR1991" s="160">
        <f>IF($AC$1804&gt;0,'Assumptions (MSW)'!AK10*Model!$AC$1804*AVERAGE('Assumptions (MSW)'!$Y$2:$AA$2)/10^9,0)</f>
        <v>0</v>
      </c>
      <c r="AS1991" s="160"/>
      <c r="AT1991" s="160"/>
      <c r="AU1991" s="160"/>
      <c r="AV1991" s="160"/>
      <c r="AW1991" s="160"/>
      <c r="AX1991" s="160"/>
      <c r="AY1991" s="160"/>
      <c r="AZ1991" s="160"/>
      <c r="BA1991" s="160"/>
    </row>
    <row r="1992" ht="15.75" hidden="1" customHeight="1" outlineLevel="1">
      <c r="A1992" s="309"/>
      <c r="B1992" s="38"/>
      <c r="C1992" s="174"/>
      <c r="D1992" s="174"/>
      <c r="E1992" s="174"/>
      <c r="F1992" s="174"/>
      <c r="G1992" s="174"/>
      <c r="H1992" s="174"/>
      <c r="I1992" s="174"/>
      <c r="J1992" s="174"/>
      <c r="K1992" s="174"/>
      <c r="L1992" s="174"/>
      <c r="M1992" s="174"/>
      <c r="N1992" s="174"/>
      <c r="O1992" s="174"/>
      <c r="P1992" s="174"/>
      <c r="Q1992" s="174"/>
      <c r="R1992" s="174"/>
      <c r="S1992" s="174"/>
      <c r="T1992" s="174"/>
      <c r="U1992" s="174"/>
      <c r="V1992" s="174"/>
      <c r="W1992" s="160"/>
      <c r="X1992" s="160"/>
      <c r="Y1992" s="160"/>
      <c r="Z1992" s="160"/>
      <c r="AA1992" s="160"/>
      <c r="AB1992" s="160"/>
      <c r="AC1992" s="160"/>
      <c r="AD1992" s="160">
        <f>IF($AD$1804&gt;0,'Assumptions (MSW)'!V10*Model!$AD$1804*AVERAGE('Assumptions (MSW)'!$Z$2:$AB$2)/10^9,0)</f>
        <v>0</v>
      </c>
      <c r="AE1992" s="160">
        <f>IF($AD$1804&gt;0,'Assumptions (MSW)'!W10*Model!$AD$1804*AVERAGE('Assumptions (MSW)'!$Z$2:$AB$2)/10^9,0)</f>
        <v>0</v>
      </c>
      <c r="AF1992" s="160">
        <f>IF($AD$1804&gt;0,'Assumptions (MSW)'!X10*Model!$AD$1804*AVERAGE('Assumptions (MSW)'!$Z$2:$AB$2)/10^9,0)</f>
        <v>0</v>
      </c>
      <c r="AG1992" s="160">
        <f>IF($AD$1804&gt;0,'Assumptions (MSW)'!Y10*Model!$AD$1804*AVERAGE('Assumptions (MSW)'!$Z$2:$AB$2)/10^9,0)</f>
        <v>0</v>
      </c>
      <c r="AH1992" s="160">
        <f>IF($AD$1804&gt;0,'Assumptions (MSW)'!Z10*Model!$AD$1804*AVERAGE('Assumptions (MSW)'!$Z$2:$AB$2)/10^9,0)</f>
        <v>0</v>
      </c>
      <c r="AI1992" s="160">
        <f>IF($AD$1804&gt;0,'Assumptions (MSW)'!AA10*Model!$AD$1804*AVERAGE('Assumptions (MSW)'!$Z$2:$AB$2)/10^9,0)</f>
        <v>0</v>
      </c>
      <c r="AJ1992" s="160">
        <f>IF($AD$1804&gt;0,'Assumptions (MSW)'!AB10*Model!$AD$1804*AVERAGE('Assumptions (MSW)'!$Z$2:$AB$2)/10^9,0)</f>
        <v>0</v>
      </c>
      <c r="AK1992" s="160">
        <f>IF($AD$1804&gt;0,'Assumptions (MSW)'!AC10*Model!$AD$1804*AVERAGE('Assumptions (MSW)'!$Z$2:$AB$2)/10^9,0)</f>
        <v>0</v>
      </c>
      <c r="AL1992" s="160">
        <f>IF($AD$1804&gt;0,'Assumptions (MSW)'!AD10*Model!$AD$1804*AVERAGE('Assumptions (MSW)'!$Z$2:$AB$2)/10^9,0)</f>
        <v>0</v>
      </c>
      <c r="AM1992" s="160">
        <f>IF($AD$1804&gt;0,'Assumptions (MSW)'!AE10*Model!$AD$1804*AVERAGE('Assumptions (MSW)'!$Z$2:$AB$2)/10^9,0)</f>
        <v>0</v>
      </c>
      <c r="AN1992" s="160">
        <f>IF($AD$1804&gt;0,'Assumptions (MSW)'!AF10*Model!$AD$1804*AVERAGE('Assumptions (MSW)'!$Z$2:$AB$2)/10^9,0)</f>
        <v>0</v>
      </c>
      <c r="AO1992" s="160">
        <f>IF($AD$1804&gt;0,'Assumptions (MSW)'!AG10*Model!$AD$1804*AVERAGE('Assumptions (MSW)'!$Z$2:$AB$2)/10^9,0)</f>
        <v>0</v>
      </c>
      <c r="AP1992" s="160">
        <f>IF($AD$1804&gt;0,'Assumptions (MSW)'!AH10*Model!$AD$1804*AVERAGE('Assumptions (MSW)'!$Z$2:$AB$2)/10^9,0)</f>
        <v>0</v>
      </c>
      <c r="AQ1992" s="160">
        <f>IF($AD$1804&gt;0,'Assumptions (MSW)'!AI10*Model!$AD$1804*AVERAGE('Assumptions (MSW)'!$Z$2:$AB$2)/10^9,0)</f>
        <v>0</v>
      </c>
      <c r="AR1992" s="160">
        <f>IF($AD$1804&gt;0,'Assumptions (MSW)'!AJ10*Model!$AD$1804*AVERAGE('Assumptions (MSW)'!$Z$2:$AB$2)/10^9,0)</f>
        <v>0</v>
      </c>
      <c r="AS1992" s="160">
        <f>IF($AD$1804&gt;0,'Assumptions (MSW)'!AK10*Model!$AD$1804*AVERAGE('Assumptions (MSW)'!$Z$2:$AB$2)/10^9,0)</f>
        <v>0</v>
      </c>
      <c r="AT1992" s="160"/>
      <c r="AU1992" s="160"/>
      <c r="AV1992" s="160"/>
      <c r="AW1992" s="160"/>
      <c r="AX1992" s="160"/>
      <c r="AY1992" s="160"/>
      <c r="AZ1992" s="160"/>
      <c r="BA1992" s="160"/>
      <c r="BB1992" s="160"/>
    </row>
    <row r="1993" ht="15.75" hidden="1" customHeight="1" outlineLevel="1">
      <c r="A1993" s="309"/>
      <c r="B1993" s="38"/>
      <c r="C1993" s="174"/>
      <c r="D1993" s="174"/>
      <c r="E1993" s="174"/>
      <c r="F1993" s="174"/>
      <c r="G1993" s="174"/>
      <c r="H1993" s="174"/>
      <c r="I1993" s="174"/>
      <c r="J1993" s="174"/>
      <c r="K1993" s="174"/>
      <c r="L1993" s="174"/>
      <c r="M1993" s="174"/>
      <c r="N1993" s="174"/>
      <c r="O1993" s="174"/>
      <c r="P1993" s="174"/>
      <c r="Q1993" s="174"/>
      <c r="R1993" s="174"/>
      <c r="S1993" s="174"/>
      <c r="T1993" s="174"/>
      <c r="U1993" s="174"/>
      <c r="V1993" s="174"/>
      <c r="W1993" s="160"/>
      <c r="X1993" s="160"/>
      <c r="Y1993" s="160"/>
      <c r="Z1993" s="160"/>
      <c r="AA1993" s="160"/>
      <c r="AB1993" s="160"/>
      <c r="AC1993" s="160"/>
      <c r="AD1993" s="160"/>
      <c r="AE1993" s="160">
        <f>IF($AE$1804&gt;0,'Assumptions (MSW)'!V10*Model!$AE$1804*AVERAGE('Assumptions (MSW)'!$AA$2:$AC$2)/10^9,0)</f>
        <v>0</v>
      </c>
      <c r="AF1993" s="160">
        <f>IF($AE$1804&gt;0,'Assumptions (MSW)'!W10*Model!$AE$1804*AVERAGE('Assumptions (MSW)'!$AA$2:$AC$2)/10^9,0)</f>
        <v>0</v>
      </c>
      <c r="AG1993" s="160">
        <f>IF($AE$1804&gt;0,'Assumptions (MSW)'!X10*Model!$AE$1804*AVERAGE('Assumptions (MSW)'!$AA$2:$AC$2)/10^9,0)</f>
        <v>0</v>
      </c>
      <c r="AH1993" s="160">
        <f>IF($AE$1804&gt;0,'Assumptions (MSW)'!Y10*Model!$AE$1804*AVERAGE('Assumptions (MSW)'!$AA$2:$AC$2)/10^9,0)</f>
        <v>0</v>
      </c>
      <c r="AI1993" s="160">
        <f>IF($AE$1804&gt;0,'Assumptions (MSW)'!Z10*Model!$AE$1804*AVERAGE('Assumptions (MSW)'!$AA$2:$AC$2)/10^9,0)</f>
        <v>0</v>
      </c>
      <c r="AJ1993" s="160">
        <f>IF($AE$1804&gt;0,'Assumptions (MSW)'!AA10*Model!$AE$1804*AVERAGE('Assumptions (MSW)'!$AA$2:$AC$2)/10^9,0)</f>
        <v>0</v>
      </c>
      <c r="AK1993" s="160">
        <f>IF($AE$1804&gt;0,'Assumptions (MSW)'!AB10*Model!$AE$1804*AVERAGE('Assumptions (MSW)'!$AA$2:$AC$2)/10^9,0)</f>
        <v>0</v>
      </c>
      <c r="AL1993" s="160">
        <f>IF($AE$1804&gt;0,'Assumptions (MSW)'!AC10*Model!$AE$1804*AVERAGE('Assumptions (MSW)'!$AA$2:$AC$2)/10^9,0)</f>
        <v>0</v>
      </c>
      <c r="AM1993" s="160">
        <f>IF($AE$1804&gt;0,'Assumptions (MSW)'!AD10*Model!$AE$1804*AVERAGE('Assumptions (MSW)'!$AA$2:$AC$2)/10^9,0)</f>
        <v>0</v>
      </c>
      <c r="AN1993" s="160">
        <f>IF($AE$1804&gt;0,'Assumptions (MSW)'!AE10*Model!$AE$1804*AVERAGE('Assumptions (MSW)'!$AA$2:$AC$2)/10^9,0)</f>
        <v>0</v>
      </c>
      <c r="AO1993" s="160">
        <f>IF($AE$1804&gt;0,'Assumptions (MSW)'!AF10*Model!$AE$1804*AVERAGE('Assumptions (MSW)'!$AA$2:$AC$2)/10^9,0)</f>
        <v>0</v>
      </c>
      <c r="AP1993" s="160">
        <f>IF($AE$1804&gt;0,'Assumptions (MSW)'!AG10*Model!$AE$1804*AVERAGE('Assumptions (MSW)'!$AA$2:$AC$2)/10^9,0)</f>
        <v>0</v>
      </c>
      <c r="AQ1993" s="160">
        <f>IF($AE$1804&gt;0,'Assumptions (MSW)'!AH10*Model!$AE$1804*AVERAGE('Assumptions (MSW)'!$AA$2:$AC$2)/10^9,0)</f>
        <v>0</v>
      </c>
      <c r="AR1993" s="160">
        <f>IF($AE$1804&gt;0,'Assumptions (MSW)'!AI10*Model!$AE$1804*AVERAGE('Assumptions (MSW)'!$AA$2:$AC$2)/10^9,0)</f>
        <v>0</v>
      </c>
      <c r="AS1993" s="160">
        <f>IF($AE$1804&gt;0,'Assumptions (MSW)'!AJ10*Model!$AE$1804*AVERAGE('Assumptions (MSW)'!$AA$2:$AC$2)/10^9,0)</f>
        <v>0</v>
      </c>
      <c r="AT1993" s="160">
        <f>IF($AE$1804&gt;0,'Assumptions (MSW)'!AK10*Model!$AE$1804*AVERAGE('Assumptions (MSW)'!$AA$2:$AC$2)/10^9,0)</f>
        <v>0</v>
      </c>
      <c r="AU1993" s="160"/>
      <c r="AV1993" s="160"/>
      <c r="AW1993" s="160"/>
      <c r="AX1993" s="160"/>
      <c r="AY1993" s="160"/>
      <c r="AZ1993" s="160"/>
      <c r="BA1993" s="160"/>
      <c r="BB1993" s="160"/>
      <c r="BC1993" s="160"/>
    </row>
    <row r="1994" ht="15.75" hidden="1" customHeight="1" outlineLevel="1">
      <c r="A1994" s="309"/>
      <c r="B1994" s="38"/>
      <c r="C1994" s="174"/>
      <c r="D1994" s="174"/>
      <c r="E1994" s="174"/>
      <c r="F1994" s="174"/>
      <c r="G1994" s="174"/>
      <c r="H1994" s="174"/>
      <c r="I1994" s="174"/>
      <c r="J1994" s="174"/>
      <c r="K1994" s="174"/>
      <c r="L1994" s="174"/>
      <c r="M1994" s="174"/>
      <c r="N1994" s="174"/>
      <c r="O1994" s="174"/>
      <c r="P1994" s="174"/>
      <c r="Q1994" s="174"/>
      <c r="R1994" s="174"/>
      <c r="S1994" s="174"/>
      <c r="T1994" s="174"/>
      <c r="U1994" s="174"/>
      <c r="V1994" s="174"/>
      <c r="W1994" s="160"/>
      <c r="X1994" s="160"/>
      <c r="Y1994" s="160"/>
      <c r="Z1994" s="160"/>
      <c r="AA1994" s="160"/>
      <c r="AB1994" s="160"/>
      <c r="AC1994" s="160"/>
      <c r="AD1994" s="160"/>
      <c r="AE1994" s="160"/>
      <c r="AF1994" s="160">
        <f>IF($AF$1804&gt;0,'Assumptions (MSW)'!V10*Model!$AF$1804*AVERAGE('Assumptions (MSW)'!$AB$2:$AD$2)/10^9,0)</f>
        <v>0</v>
      </c>
      <c r="AG1994" s="160">
        <f>IF($AF$1804&gt;0,'Assumptions (MSW)'!W10*Model!$AF$1804*AVERAGE('Assumptions (MSW)'!$AB$2:$AD$2)/10^9,0)</f>
        <v>0</v>
      </c>
      <c r="AH1994" s="160">
        <f>IF($AF$1804&gt;0,'Assumptions (MSW)'!X10*Model!$AF$1804*AVERAGE('Assumptions (MSW)'!$AB$2:$AD$2)/10^9,0)</f>
        <v>0</v>
      </c>
      <c r="AI1994" s="160">
        <f>IF($AF$1804&gt;0,'Assumptions (MSW)'!Y10*Model!$AF$1804*AVERAGE('Assumptions (MSW)'!$AB$2:$AD$2)/10^9,0)</f>
        <v>0</v>
      </c>
      <c r="AJ1994" s="160">
        <f>IF($AF$1804&gt;0,'Assumptions (MSW)'!Z10*Model!$AF$1804*AVERAGE('Assumptions (MSW)'!$AB$2:$AD$2)/10^9,0)</f>
        <v>0</v>
      </c>
      <c r="AK1994" s="160">
        <f>IF($AF$1804&gt;0,'Assumptions (MSW)'!AA10*Model!$AF$1804*AVERAGE('Assumptions (MSW)'!$AB$2:$AD$2)/10^9,0)</f>
        <v>0</v>
      </c>
      <c r="AL1994" s="160">
        <f>IF($AF$1804&gt;0,'Assumptions (MSW)'!AB10*Model!$AF$1804*AVERAGE('Assumptions (MSW)'!$AB$2:$AD$2)/10^9,0)</f>
        <v>0</v>
      </c>
      <c r="AM1994" s="160">
        <f>IF($AF$1804&gt;0,'Assumptions (MSW)'!AC10*Model!$AF$1804*AVERAGE('Assumptions (MSW)'!$AB$2:$AD$2)/10^9,0)</f>
        <v>0</v>
      </c>
      <c r="AN1994" s="160">
        <f>IF($AF$1804&gt;0,'Assumptions (MSW)'!AD10*Model!$AF$1804*AVERAGE('Assumptions (MSW)'!$AB$2:$AD$2)/10^9,0)</f>
        <v>0</v>
      </c>
      <c r="AO1994" s="160">
        <f>IF($AF$1804&gt;0,'Assumptions (MSW)'!AE10*Model!$AF$1804*AVERAGE('Assumptions (MSW)'!$AB$2:$AD$2)/10^9,0)</f>
        <v>0</v>
      </c>
      <c r="AP1994" s="160">
        <f>IF($AF$1804&gt;0,'Assumptions (MSW)'!AF10*Model!$AF$1804*AVERAGE('Assumptions (MSW)'!$AB$2:$AD$2)/10^9,0)</f>
        <v>0</v>
      </c>
      <c r="AQ1994" s="160">
        <f>IF($AF$1804&gt;0,'Assumptions (MSW)'!AG10*Model!$AF$1804*AVERAGE('Assumptions (MSW)'!$AB$2:$AD$2)/10^9,0)</f>
        <v>0</v>
      </c>
      <c r="AR1994" s="160">
        <f>IF($AF$1804&gt;0,'Assumptions (MSW)'!AH10*Model!$AF$1804*AVERAGE('Assumptions (MSW)'!$AB$2:$AD$2)/10^9,0)</f>
        <v>0</v>
      </c>
      <c r="AS1994" s="160">
        <f>IF($AF$1804&gt;0,'Assumptions (MSW)'!AI10*Model!$AF$1804*AVERAGE('Assumptions (MSW)'!$AB$2:$AD$2)/10^9,0)</f>
        <v>0</v>
      </c>
      <c r="AT1994" s="160">
        <f>IF($AF$1804&gt;0,'Assumptions (MSW)'!AJ10*Model!$AF$1804*AVERAGE('Assumptions (MSW)'!$AB$2:$AD$2)/10^9,0)</f>
        <v>0</v>
      </c>
      <c r="AU1994" s="160">
        <f>IF($AF$1804&gt;0,'Assumptions (MSW)'!AK10*Model!$AF$1804*AVERAGE('Assumptions (MSW)'!$AB$2:$AD$2)/10^9,0)</f>
        <v>0</v>
      </c>
      <c r="AV1994" s="160"/>
      <c r="AW1994" s="160"/>
      <c r="AX1994" s="160"/>
      <c r="AY1994" s="160"/>
      <c r="AZ1994" s="160"/>
      <c r="BA1994" s="160"/>
      <c r="BB1994" s="160"/>
      <c r="BC1994" s="160"/>
      <c r="BD1994" s="160"/>
    </row>
    <row r="1995" ht="15.75" hidden="1" customHeight="1" outlineLevel="1">
      <c r="A1995" s="309"/>
      <c r="B1995" s="38"/>
      <c r="C1995" s="174"/>
      <c r="D1995" s="174"/>
      <c r="E1995" s="174"/>
      <c r="F1995" s="174"/>
      <c r="G1995" s="174"/>
      <c r="H1995" s="174"/>
      <c r="I1995" s="174"/>
      <c r="J1995" s="174"/>
      <c r="K1995" s="174"/>
      <c r="L1995" s="174"/>
      <c r="M1995" s="174"/>
      <c r="N1995" s="174"/>
      <c r="O1995" s="174"/>
      <c r="P1995" s="174"/>
      <c r="Q1995" s="174"/>
      <c r="R1995" s="174"/>
      <c r="S1995" s="174"/>
      <c r="T1995" s="174"/>
      <c r="U1995" s="174"/>
      <c r="V1995" s="174"/>
      <c r="W1995" s="160"/>
      <c r="X1995" s="160"/>
      <c r="Y1995" s="160"/>
      <c r="Z1995" s="160"/>
      <c r="AA1995" s="160"/>
      <c r="AB1995" s="160"/>
      <c r="AC1995" s="160"/>
      <c r="AD1995" s="160"/>
      <c r="AE1995" s="160"/>
      <c r="AF1995" s="160"/>
      <c r="AG1995" s="160">
        <f>IF($AG$1804&gt;0,'Assumptions (MSW)'!V10*Model!$AG$1804*AVERAGE('Assumptions (MSW)'!$AC$2:$AE$2)/10^9,0)</f>
        <v>0</v>
      </c>
      <c r="AH1995" s="160">
        <f>IF($AG$1804&gt;0,'Assumptions (MSW)'!W10*Model!$AG$1804*AVERAGE('Assumptions (MSW)'!$AC$2:$AE$2)/10^9,0)</f>
        <v>0</v>
      </c>
      <c r="AI1995" s="160">
        <f>IF($AG$1804&gt;0,'Assumptions (MSW)'!X10*Model!$AG$1804*AVERAGE('Assumptions (MSW)'!$AC$2:$AE$2)/10^9,0)</f>
        <v>0</v>
      </c>
      <c r="AJ1995" s="160">
        <f>IF($AG$1804&gt;0,'Assumptions (MSW)'!Y10*Model!$AG$1804*AVERAGE('Assumptions (MSW)'!$AC$2:$AE$2)/10^9,0)</f>
        <v>0</v>
      </c>
      <c r="AK1995" s="160">
        <f>IF($AG$1804&gt;0,'Assumptions (MSW)'!Z10*Model!$AG$1804*AVERAGE('Assumptions (MSW)'!$AC$2:$AE$2)/10^9,0)</f>
        <v>0</v>
      </c>
      <c r="AL1995" s="160">
        <f>IF($AG$1804&gt;0,'Assumptions (MSW)'!AA10*Model!$AG$1804*AVERAGE('Assumptions (MSW)'!$AC$2:$AE$2)/10^9,0)</f>
        <v>0</v>
      </c>
      <c r="AM1995" s="160">
        <f>IF($AG$1804&gt;0,'Assumptions (MSW)'!AB10*Model!$AG$1804*AVERAGE('Assumptions (MSW)'!$AC$2:$AE$2)/10^9,0)</f>
        <v>0</v>
      </c>
      <c r="AN1995" s="160">
        <f>IF($AG$1804&gt;0,'Assumptions (MSW)'!AC10*Model!$AG$1804*AVERAGE('Assumptions (MSW)'!$AC$2:$AE$2)/10^9,0)</f>
        <v>0</v>
      </c>
      <c r="AO1995" s="160">
        <f>IF($AG$1804&gt;0,'Assumptions (MSW)'!AD10*Model!$AG$1804*AVERAGE('Assumptions (MSW)'!$AC$2:$AE$2)/10^9,0)</f>
        <v>0</v>
      </c>
      <c r="AP1995" s="160">
        <f>IF($AG$1804&gt;0,'Assumptions (MSW)'!AE10*Model!$AG$1804*AVERAGE('Assumptions (MSW)'!$AC$2:$AE$2)/10^9,0)</f>
        <v>0</v>
      </c>
      <c r="AQ1995" s="160">
        <f>IF($AG$1804&gt;0,'Assumptions (MSW)'!AF10*Model!$AG$1804*AVERAGE('Assumptions (MSW)'!$AC$2:$AE$2)/10^9,0)</f>
        <v>0</v>
      </c>
      <c r="AR1995" s="160">
        <f>IF($AG$1804&gt;0,'Assumptions (MSW)'!AG10*Model!$AG$1804*AVERAGE('Assumptions (MSW)'!$AC$2:$AE$2)/10^9,0)</f>
        <v>0</v>
      </c>
      <c r="AS1995" s="160">
        <f>IF($AG$1804&gt;0,'Assumptions (MSW)'!AH10*Model!$AG$1804*AVERAGE('Assumptions (MSW)'!$AC$2:$AE$2)/10^9,0)</f>
        <v>0</v>
      </c>
      <c r="AT1995" s="160">
        <f>IF($AG$1804&gt;0,'Assumptions (MSW)'!AI10*Model!$AG$1804*AVERAGE('Assumptions (MSW)'!$AC$2:$AE$2)/10^9,0)</f>
        <v>0</v>
      </c>
      <c r="AU1995" s="160">
        <f>IF($AG$1804&gt;0,'Assumptions (MSW)'!AJ10*Model!$AG$1804*AVERAGE('Assumptions (MSW)'!$AC$2:$AE$2)/10^9,0)</f>
        <v>0</v>
      </c>
      <c r="AV1995" s="160">
        <f>IF($AG$1804&gt;0,'Assumptions (MSW)'!AK10*Model!$AG$1804*AVERAGE('Assumptions (MSW)'!$AC$2:$AE$2)/10^9,0)</f>
        <v>0</v>
      </c>
      <c r="AW1995" s="160"/>
      <c r="AX1995" s="160"/>
      <c r="AY1995" s="160"/>
      <c r="AZ1995" s="160"/>
      <c r="BA1995" s="160"/>
      <c r="BB1995" s="160"/>
      <c r="BC1995" s="160"/>
      <c r="BD1995" s="160"/>
      <c r="BE1995" s="160"/>
    </row>
    <row r="1996" ht="15.75" hidden="1" customHeight="1" outlineLevel="1">
      <c r="A1996" s="309"/>
      <c r="B1996" s="38"/>
      <c r="C1996" s="174"/>
      <c r="D1996" s="174"/>
      <c r="E1996" s="174"/>
      <c r="F1996" s="174"/>
      <c r="G1996" s="174"/>
      <c r="H1996" s="174"/>
      <c r="I1996" s="174"/>
      <c r="J1996" s="174"/>
      <c r="K1996" s="174"/>
      <c r="L1996" s="174"/>
      <c r="M1996" s="174"/>
      <c r="N1996" s="174"/>
      <c r="O1996" s="174"/>
      <c r="P1996" s="174"/>
      <c r="Q1996" s="174"/>
      <c r="R1996" s="174"/>
      <c r="S1996" s="174"/>
      <c r="T1996" s="174"/>
      <c r="U1996" s="174"/>
      <c r="V1996" s="174"/>
      <c r="W1996" s="160"/>
      <c r="X1996" s="160"/>
      <c r="Y1996" s="160"/>
      <c r="Z1996" s="160"/>
      <c r="AA1996" s="160"/>
      <c r="AB1996" s="160"/>
      <c r="AC1996" s="160"/>
      <c r="AD1996" s="160"/>
      <c r="AE1996" s="160"/>
      <c r="AF1996" s="160"/>
      <c r="AG1996" s="160"/>
      <c r="AH1996" s="160">
        <f>IF($AH$1804&gt;0,'Assumptions (MSW)'!V10*Model!$AH$1804*AVERAGE('Assumptions (MSW)'!$AD$2:$AF$2)/10^9,0)</f>
        <v>0</v>
      </c>
      <c r="AI1996" s="160">
        <f>IF($AH$1804&gt;0,'Assumptions (MSW)'!W10*Model!$AH$1804*AVERAGE('Assumptions (MSW)'!$AD$2:$AF$2)/10^9,0)</f>
        <v>0</v>
      </c>
      <c r="AJ1996" s="160">
        <f>IF($AH$1804&gt;0,'Assumptions (MSW)'!X10*Model!$AH$1804*AVERAGE('Assumptions (MSW)'!$AD$2:$AF$2)/10^9,0)</f>
        <v>0</v>
      </c>
      <c r="AK1996" s="160">
        <f>IF($AH$1804&gt;0,'Assumptions (MSW)'!Y10*Model!$AH$1804*AVERAGE('Assumptions (MSW)'!$AD$2:$AF$2)/10^9,0)</f>
        <v>0</v>
      </c>
      <c r="AL1996" s="160">
        <f>IF($AH$1804&gt;0,'Assumptions (MSW)'!Z10*Model!$AH$1804*AVERAGE('Assumptions (MSW)'!$AD$2:$AF$2)/10^9,0)</f>
        <v>0</v>
      </c>
      <c r="AM1996" s="160">
        <f>IF($AH$1804&gt;0,'Assumptions (MSW)'!AA10*Model!$AH$1804*AVERAGE('Assumptions (MSW)'!$AD$2:$AF$2)/10^9,0)</f>
        <v>0</v>
      </c>
      <c r="AN1996" s="160">
        <f>IF($AH$1804&gt;0,'Assumptions (MSW)'!AB10*Model!$AH$1804*AVERAGE('Assumptions (MSW)'!$AD$2:$AF$2)/10^9,0)</f>
        <v>0</v>
      </c>
      <c r="AO1996" s="160">
        <f>IF($AH$1804&gt;0,'Assumptions (MSW)'!AC10*Model!$AH$1804*AVERAGE('Assumptions (MSW)'!$AD$2:$AF$2)/10^9,0)</f>
        <v>0</v>
      </c>
      <c r="AP1996" s="160">
        <f>IF($AH$1804&gt;0,'Assumptions (MSW)'!AD10*Model!$AH$1804*AVERAGE('Assumptions (MSW)'!$AD$2:$AF$2)/10^9,0)</f>
        <v>0</v>
      </c>
      <c r="AQ1996" s="160">
        <f>IF($AH$1804&gt;0,'Assumptions (MSW)'!AE10*Model!$AH$1804*AVERAGE('Assumptions (MSW)'!$AD$2:$AF$2)/10^9,0)</f>
        <v>0</v>
      </c>
      <c r="AR1996" s="160">
        <f>IF($AH$1804&gt;0,'Assumptions (MSW)'!AF10*Model!$AH$1804*AVERAGE('Assumptions (MSW)'!$AD$2:$AF$2)/10^9,0)</f>
        <v>0</v>
      </c>
      <c r="AS1996" s="160">
        <f>IF($AH$1804&gt;0,'Assumptions (MSW)'!AG10*Model!$AH$1804*AVERAGE('Assumptions (MSW)'!$AD$2:$AF$2)/10^9,0)</f>
        <v>0</v>
      </c>
      <c r="AT1996" s="160">
        <f>IF($AH$1804&gt;0,'Assumptions (MSW)'!AH10*Model!$AH$1804*AVERAGE('Assumptions (MSW)'!$AD$2:$AF$2)/10^9,0)</f>
        <v>0</v>
      </c>
      <c r="AU1996" s="160">
        <f>IF($AH$1804&gt;0,'Assumptions (MSW)'!AI10*Model!$AH$1804*AVERAGE('Assumptions (MSW)'!$AD$2:$AF$2)/10^9,0)</f>
        <v>0</v>
      </c>
      <c r="AV1996" s="160">
        <f>IF($AH$1804&gt;0,'Assumptions (MSW)'!AJ10*Model!$AH$1804*AVERAGE('Assumptions (MSW)'!$AD$2:$AF$2)/10^9,0)</f>
        <v>0</v>
      </c>
      <c r="AW1996" s="160">
        <f>IF($AH$1804&gt;0,'Assumptions (MSW)'!AK10*Model!$AH$1804*AVERAGE('Assumptions (MSW)'!$AD$2:$AF$2)/10^9,0)</f>
        <v>0</v>
      </c>
      <c r="AX1996" s="160"/>
      <c r="AY1996" s="160"/>
      <c r="AZ1996" s="160"/>
      <c r="BA1996" s="160"/>
      <c r="BB1996" s="160"/>
      <c r="BC1996" s="160"/>
      <c r="BD1996" s="160"/>
      <c r="BE1996" s="160"/>
      <c r="BF1996" s="160"/>
    </row>
    <row r="1997" ht="15.75" hidden="1" customHeight="1" outlineLevel="1">
      <c r="A1997" s="309"/>
      <c r="B1997" s="38"/>
      <c r="C1997" s="174"/>
      <c r="D1997" s="174"/>
      <c r="E1997" s="174"/>
      <c r="F1997" s="174"/>
      <c r="G1997" s="174"/>
      <c r="H1997" s="174"/>
      <c r="I1997" s="174"/>
      <c r="J1997" s="174"/>
      <c r="K1997" s="174"/>
      <c r="L1997" s="174"/>
      <c r="M1997" s="174"/>
      <c r="N1997" s="174"/>
      <c r="O1997" s="174"/>
      <c r="P1997" s="174"/>
      <c r="Q1997" s="174"/>
      <c r="R1997" s="174"/>
      <c r="S1997" s="174"/>
      <c r="T1997" s="174"/>
      <c r="U1997" s="174"/>
      <c r="V1997" s="174"/>
      <c r="W1997" s="160"/>
      <c r="X1997" s="160"/>
      <c r="Y1997" s="160"/>
      <c r="Z1997" s="160"/>
      <c r="AA1997" s="160"/>
      <c r="AB1997" s="160"/>
      <c r="AC1997" s="160"/>
      <c r="AD1997" s="160"/>
      <c r="AE1997" s="160"/>
      <c r="AF1997" s="160"/>
      <c r="AG1997" s="160"/>
      <c r="AH1997" s="160"/>
      <c r="AI1997" s="160">
        <f>IF($AI$1804&gt;0,'Assumptions (MSW)'!V10*Model!$AI$1804*AVERAGE('Assumptions (MSW)'!$AE$2:$AG$2)/10^9,0)</f>
        <v>0</v>
      </c>
      <c r="AJ1997" s="160">
        <f>IF($AI$1804&gt;0,'Assumptions (MSW)'!W10*Model!$AI$1804*AVERAGE('Assumptions (MSW)'!$AE$2:$AG$2)/10^9,0)</f>
        <v>0</v>
      </c>
      <c r="AK1997" s="160">
        <f>IF($AI$1804&gt;0,'Assumptions (MSW)'!X10*Model!$AI$1804*AVERAGE('Assumptions (MSW)'!$AE$2:$AG$2)/10^9,0)</f>
        <v>0</v>
      </c>
      <c r="AL1997" s="160">
        <f>IF($AI$1804&gt;0,'Assumptions (MSW)'!Y10*Model!$AI$1804*AVERAGE('Assumptions (MSW)'!$AE$2:$AG$2)/10^9,0)</f>
        <v>0</v>
      </c>
      <c r="AM1997" s="160">
        <f>IF($AI$1804&gt;0,'Assumptions (MSW)'!Z10*Model!$AI$1804*AVERAGE('Assumptions (MSW)'!$AE$2:$AG$2)/10^9,0)</f>
        <v>0</v>
      </c>
      <c r="AN1997" s="160">
        <f>IF($AI$1804&gt;0,'Assumptions (MSW)'!AA10*Model!$AI$1804*AVERAGE('Assumptions (MSW)'!$AE$2:$AG$2)/10^9,0)</f>
        <v>0</v>
      </c>
      <c r="AO1997" s="160">
        <f>IF($AI$1804&gt;0,'Assumptions (MSW)'!AB10*Model!$AI$1804*AVERAGE('Assumptions (MSW)'!$AE$2:$AG$2)/10^9,0)</f>
        <v>0</v>
      </c>
      <c r="AP1997" s="160">
        <f>IF($AI$1804&gt;0,'Assumptions (MSW)'!AC10*Model!$AI$1804*AVERAGE('Assumptions (MSW)'!$AE$2:$AG$2)/10^9,0)</f>
        <v>0</v>
      </c>
      <c r="AQ1997" s="160">
        <f>IF($AI$1804&gt;0,'Assumptions (MSW)'!AD10*Model!$AI$1804*AVERAGE('Assumptions (MSW)'!$AE$2:$AG$2)/10^9,0)</f>
        <v>0</v>
      </c>
      <c r="AR1997" s="160">
        <f>IF($AI$1804&gt;0,'Assumptions (MSW)'!AE10*Model!$AI$1804*AVERAGE('Assumptions (MSW)'!$AE$2:$AG$2)/10^9,0)</f>
        <v>0</v>
      </c>
      <c r="AS1997" s="160">
        <f>IF($AI$1804&gt;0,'Assumptions (MSW)'!AF10*Model!$AI$1804*AVERAGE('Assumptions (MSW)'!$AE$2:$AG$2)/10^9,0)</f>
        <v>0</v>
      </c>
      <c r="AT1997" s="160">
        <f>IF($AI$1804&gt;0,'Assumptions (MSW)'!AG10*Model!$AI$1804*AVERAGE('Assumptions (MSW)'!$AE$2:$AG$2)/10^9,0)</f>
        <v>0</v>
      </c>
      <c r="AU1997" s="160">
        <f>IF($AI$1804&gt;0,'Assumptions (MSW)'!AH10*Model!$AI$1804*AVERAGE('Assumptions (MSW)'!$AE$2:$AG$2)/10^9,0)</f>
        <v>0</v>
      </c>
      <c r="AV1997" s="160">
        <f>IF($AI$1804&gt;0,'Assumptions (MSW)'!AI10*Model!$AI$1804*AVERAGE('Assumptions (MSW)'!$AE$2:$AG$2)/10^9,0)</f>
        <v>0</v>
      </c>
      <c r="AW1997" s="160">
        <f>IF($AI$1804&gt;0,'Assumptions (MSW)'!AJ10*Model!$AI$1804*AVERAGE('Assumptions (MSW)'!$AE$2:$AG$2)/10^9,0)</f>
        <v>0</v>
      </c>
      <c r="AX1997" s="160">
        <f>IF($AI$1804&gt;0,'Assumptions (MSW)'!AK10*Model!$AI$1804*AVERAGE('Assumptions (MSW)'!$AE$2:$AG$2)/10^9,0)</f>
        <v>0</v>
      </c>
      <c r="AY1997" s="160"/>
      <c r="AZ1997" s="160"/>
      <c r="BA1997" s="160"/>
      <c r="BB1997" s="160"/>
      <c r="BC1997" s="160"/>
      <c r="BD1997" s="160"/>
      <c r="BE1997" s="160"/>
      <c r="BF1997" s="160"/>
      <c r="BG1997" s="160"/>
    </row>
    <row r="1998" ht="15.75" hidden="1" customHeight="1" outlineLevel="1">
      <c r="A1998" s="309"/>
      <c r="B1998" s="38"/>
      <c r="C1998" s="174"/>
      <c r="D1998" s="174"/>
      <c r="E1998" s="174"/>
      <c r="F1998" s="174"/>
      <c r="G1998" s="174"/>
      <c r="H1998" s="174"/>
      <c r="I1998" s="174"/>
      <c r="J1998" s="174"/>
      <c r="K1998" s="174"/>
      <c r="L1998" s="174"/>
      <c r="M1998" s="174"/>
      <c r="N1998" s="174"/>
      <c r="O1998" s="174"/>
      <c r="P1998" s="174"/>
      <c r="Q1998" s="174"/>
      <c r="R1998" s="174"/>
      <c r="S1998" s="174"/>
      <c r="T1998" s="174"/>
      <c r="U1998" s="174"/>
      <c r="V1998" s="174"/>
      <c r="W1998" s="160"/>
      <c r="X1998" s="160"/>
      <c r="Y1998" s="160"/>
      <c r="Z1998" s="160"/>
      <c r="AA1998" s="160"/>
      <c r="AB1998" s="177"/>
      <c r="AC1998" s="160"/>
      <c r="AD1998" s="160"/>
      <c r="AE1998" s="160"/>
      <c r="AF1998" s="160"/>
      <c r="AG1998" s="160"/>
      <c r="AH1998" s="160"/>
      <c r="AI1998" s="160"/>
      <c r="AJ1998" s="177">
        <f>IF($AJ$1804&gt;0,'Assumptions (MSW)'!V10*Model!$AJ$1804*AVERAGE('Assumptions (MSW)'!$AF$2:$AH$2)/10^9,0)</f>
        <v>0</v>
      </c>
      <c r="AK1998" s="177">
        <f>IF($AJ$1804&gt;0,'Assumptions (MSW)'!W10*Model!$AJ$1804*AVERAGE('Assumptions (MSW)'!$AF$2:$AH$2)/10^9,0)</f>
        <v>0</v>
      </c>
      <c r="AL1998" s="177">
        <f>IF($AJ$1804&gt;0,'Assumptions (MSW)'!X10*Model!$AJ$1804*AVERAGE('Assumptions (MSW)'!$AF$2:$AH$2)/10^9,0)</f>
        <v>0</v>
      </c>
      <c r="AM1998" s="177">
        <f>IF($AJ$1804&gt;0,'Assumptions (MSW)'!Y10*Model!$AJ$1804*AVERAGE('Assumptions (MSW)'!$AF$2:$AH$2)/10^9,0)</f>
        <v>0</v>
      </c>
      <c r="AN1998" s="177">
        <f>IF($AJ$1804&gt;0,'Assumptions (MSW)'!Z10*Model!$AJ$1804*AVERAGE('Assumptions (MSW)'!$AF$2:$AH$2)/10^9,0)</f>
        <v>0</v>
      </c>
      <c r="AO1998" s="177">
        <f>IF($AJ$1804&gt;0,'Assumptions (MSW)'!AA10*Model!$AJ$1804*AVERAGE('Assumptions (MSW)'!$AF$2:$AH$2)/10^9,0)</f>
        <v>0</v>
      </c>
      <c r="AP1998" s="177">
        <f>IF($AJ$1804&gt;0,'Assumptions (MSW)'!AB10*Model!$AJ$1804*AVERAGE('Assumptions (MSW)'!$AF$2:$AH$2)/10^9,0)</f>
        <v>0</v>
      </c>
      <c r="AQ1998" s="177">
        <f>IF($AJ$1804&gt;0,'Assumptions (MSW)'!AC10*Model!$AJ$1804*AVERAGE('Assumptions (MSW)'!$AF$2:$AH$2)/10^9,0)</f>
        <v>0</v>
      </c>
      <c r="AR1998" s="177">
        <f>IF($AJ$1804&gt;0,'Assumptions (MSW)'!AD10*Model!$AJ$1804*AVERAGE('Assumptions (MSW)'!$AF$2:$AH$2)/10^9,0)</f>
        <v>0</v>
      </c>
      <c r="AS1998" s="177">
        <f>IF($AJ$1804&gt;0,'Assumptions (MSW)'!AE10*Model!$AJ$1804*AVERAGE('Assumptions (MSW)'!$AF$2:$AH$2)/10^9,0)</f>
        <v>0</v>
      </c>
      <c r="AT1998" s="177">
        <f>IF($AJ$1804&gt;0,'Assumptions (MSW)'!AF10*Model!$AJ$1804*AVERAGE('Assumptions (MSW)'!$AF$2:$AH$2)/10^9,0)</f>
        <v>0</v>
      </c>
      <c r="AU1998" s="177">
        <f>IF($AJ$1804&gt;0,'Assumptions (MSW)'!AG10*Model!$AJ$1804*AVERAGE('Assumptions (MSW)'!$AF$2:$AH$2)/10^9,0)</f>
        <v>0</v>
      </c>
      <c r="AV1998" s="177">
        <f>IF($AJ$1804&gt;0,'Assumptions (MSW)'!AH10*Model!$AJ$1804*AVERAGE('Assumptions (MSW)'!$AF$2:$AH$2)/10^9,0)</f>
        <v>0</v>
      </c>
      <c r="AW1998" s="177">
        <f>IF($AJ$1804&gt;0,'Assumptions (MSW)'!AI10*Model!$AJ$1804*AVERAGE('Assumptions (MSW)'!$AF$2:$AH$2)/10^9,0)</f>
        <v>0</v>
      </c>
      <c r="AX1998" s="177">
        <f>IF($AJ$1804&gt;0,'Assumptions (MSW)'!AJ10*Model!$AJ$1804*AVERAGE('Assumptions (MSW)'!$AF$2:$AH$2)/10^9,0)</f>
        <v>0</v>
      </c>
      <c r="AY1998" s="177">
        <f>IF($AJ$1804&gt;0,'Assumptions (MSW)'!AK10*Model!$AJ$1804*AVERAGE('Assumptions (MSW)'!$AF$2:$AH$2)/10^9,0)</f>
        <v>0</v>
      </c>
      <c r="AZ1998" s="177"/>
      <c r="BA1998" s="177"/>
      <c r="BB1998" s="177"/>
      <c r="BC1998" s="177"/>
      <c r="BD1998" s="177"/>
      <c r="BE1998" s="177"/>
      <c r="BF1998" s="177"/>
      <c r="BG1998" s="177"/>
      <c r="BH1998" s="177"/>
    </row>
    <row r="1999" ht="15.75" hidden="1" customHeight="1" outlineLevel="1">
      <c r="A1999" s="309"/>
      <c r="B1999" s="38"/>
      <c r="C1999" s="174"/>
      <c r="D1999" s="174"/>
      <c r="E1999" s="174"/>
      <c r="F1999" s="174"/>
      <c r="G1999" s="174"/>
      <c r="H1999" s="174"/>
      <c r="I1999" s="174"/>
      <c r="J1999" s="174"/>
      <c r="K1999" s="174"/>
      <c r="L1999" s="174"/>
      <c r="M1999" s="174"/>
      <c r="N1999" s="174"/>
      <c r="O1999" s="174"/>
      <c r="P1999" s="174"/>
      <c r="Q1999" s="174"/>
      <c r="R1999" s="174"/>
      <c r="S1999" s="174"/>
      <c r="T1999" s="174"/>
      <c r="U1999" s="174"/>
      <c r="V1999" s="174"/>
      <c r="W1999" s="160"/>
      <c r="X1999" s="160"/>
      <c r="Y1999" s="160"/>
      <c r="Z1999" s="160"/>
      <c r="AA1999" s="160"/>
      <c r="AB1999" s="160"/>
      <c r="AC1999" s="160"/>
      <c r="AD1999" s="160"/>
      <c r="AE1999" s="160"/>
      <c r="AF1999" s="160"/>
      <c r="AG1999" s="160"/>
      <c r="AH1999" s="160"/>
      <c r="AI1999" s="160"/>
      <c r="AJ1999" s="179"/>
      <c r="AK1999" s="177">
        <f>IF($AK$1804&gt;0,'Assumptions (MSW)'!V10*Model!$AK$1804*AVERAGE('Assumptions (MSW)'!$AG$2:$AI$2)/10^9,0)</f>
        <v>0</v>
      </c>
      <c r="AL1999" s="177">
        <f>IF($AK$1804&gt;0,'Assumptions (MSW)'!W10*Model!$AK$1804*AVERAGE('Assumptions (MSW)'!$AG$2:$AI$2)/10^9,0)</f>
        <v>0</v>
      </c>
      <c r="AM1999" s="177">
        <f>IF($AK$1804&gt;0,'Assumptions (MSW)'!X10*Model!$AK$1804*AVERAGE('Assumptions (MSW)'!$AG$2:$AI$2)/10^9,0)</f>
        <v>0</v>
      </c>
      <c r="AN1999" s="177">
        <f>IF($AK$1804&gt;0,'Assumptions (MSW)'!Y10*Model!$AK$1804*AVERAGE('Assumptions (MSW)'!$AG$2:$AI$2)/10^9,0)</f>
        <v>0</v>
      </c>
      <c r="AO1999" s="177">
        <f>IF($AK$1804&gt;0,'Assumptions (MSW)'!Z10*Model!$AK$1804*AVERAGE('Assumptions (MSW)'!$AG$2:$AI$2)/10^9,0)</f>
        <v>0</v>
      </c>
      <c r="AP1999" s="177">
        <f>IF($AK$1804&gt;0,'Assumptions (MSW)'!AA10*Model!$AK$1804*AVERAGE('Assumptions (MSW)'!$AG$2:$AI$2)/10^9,0)</f>
        <v>0</v>
      </c>
      <c r="AQ1999" s="177">
        <f>IF($AK$1804&gt;0,'Assumptions (MSW)'!AB10*Model!$AK$1804*AVERAGE('Assumptions (MSW)'!$AG$2:$AI$2)/10^9,0)</f>
        <v>0</v>
      </c>
      <c r="AR1999" s="177">
        <f>IF($AK$1804&gt;0,'Assumptions (MSW)'!AC10*Model!$AK$1804*AVERAGE('Assumptions (MSW)'!$AG$2:$AI$2)/10^9,0)</f>
        <v>0</v>
      </c>
      <c r="AS1999" s="177">
        <f>IF($AK$1804&gt;0,'Assumptions (MSW)'!AD10*Model!$AK$1804*AVERAGE('Assumptions (MSW)'!$AG$2:$AI$2)/10^9,0)</f>
        <v>0</v>
      </c>
      <c r="AT1999" s="177">
        <f>IF($AK$1804&gt;0,'Assumptions (MSW)'!AE10*Model!$AK$1804*AVERAGE('Assumptions (MSW)'!$AG$2:$AI$2)/10^9,0)</f>
        <v>0</v>
      </c>
      <c r="AU1999" s="177">
        <f>IF($AK$1804&gt;0,'Assumptions (MSW)'!AF10*Model!$AK$1804*AVERAGE('Assumptions (MSW)'!$AG$2:$AI$2)/10^9,0)</f>
        <v>0</v>
      </c>
      <c r="AV1999" s="177">
        <f>IF($AK$1804&gt;0,'Assumptions (MSW)'!AG10*Model!$AK$1804*AVERAGE('Assumptions (MSW)'!$AG$2:$AI$2)/10^9,0)</f>
        <v>0</v>
      </c>
      <c r="AW1999" s="177">
        <f>IF($AK$1804&gt;0,'Assumptions (MSW)'!AH10*Model!$AK$1804*AVERAGE('Assumptions (MSW)'!$AG$2:$AI$2)/10^9,0)</f>
        <v>0</v>
      </c>
      <c r="AX1999" s="177">
        <f>IF($AK$1804&gt;0,'Assumptions (MSW)'!AI10*Model!$AK$1804*AVERAGE('Assumptions (MSW)'!$AG$2:$AI$2)/10^9,0)</f>
        <v>0</v>
      </c>
      <c r="AY1999" s="177">
        <f>IF($AK$1804&gt;0,'Assumptions (MSW)'!AJ10*Model!$AK$1804*AVERAGE('Assumptions (MSW)'!$AG$2:$AI$2)/10^9,0)</f>
        <v>0</v>
      </c>
      <c r="AZ1999" s="177">
        <f>IF($AK$1804&gt;0,'Assumptions (MSW)'!AK10*Model!$AK$1804*AVERAGE('Assumptions (MSW)'!$AG$2:$AI$2)/10^9,0)</f>
        <v>0</v>
      </c>
      <c r="BA1999" s="177"/>
      <c r="BB1999" s="177"/>
      <c r="BC1999" s="177"/>
      <c r="BD1999" s="177"/>
      <c r="BE1999" s="177"/>
      <c r="BF1999" s="177"/>
      <c r="BG1999" s="177"/>
      <c r="BH1999" s="177"/>
      <c r="BI1999" s="177"/>
    </row>
    <row r="2000" ht="15.75" hidden="1" customHeight="1" outlineLevel="1">
      <c r="A2000" s="309"/>
      <c r="B2000" s="38"/>
      <c r="C2000" s="174"/>
      <c r="D2000" s="174"/>
      <c r="E2000" s="174"/>
      <c r="F2000" s="174"/>
      <c r="G2000" s="174"/>
      <c r="H2000" s="174"/>
      <c r="I2000" s="174"/>
      <c r="J2000" s="174"/>
      <c r="K2000" s="174"/>
      <c r="L2000" s="174"/>
      <c r="M2000" s="174"/>
      <c r="N2000" s="174"/>
      <c r="O2000" s="174"/>
      <c r="P2000" s="174"/>
      <c r="Q2000" s="174"/>
      <c r="R2000" s="174"/>
      <c r="S2000" s="174"/>
      <c r="T2000" s="174"/>
      <c r="U2000" s="174"/>
      <c r="V2000" s="174"/>
      <c r="W2000" s="160"/>
      <c r="X2000" s="160"/>
      <c r="Y2000" s="160"/>
      <c r="Z2000" s="160"/>
      <c r="AA2000" s="160"/>
      <c r="AB2000" s="160"/>
      <c r="AC2000" s="160"/>
      <c r="AD2000" s="160"/>
      <c r="AE2000" s="160"/>
      <c r="AF2000" s="160"/>
      <c r="AG2000" s="160"/>
      <c r="AH2000" s="160"/>
      <c r="AI2000" s="160"/>
      <c r="AJ2000" s="179"/>
      <c r="AK2000" s="160"/>
      <c r="AL2000" s="177">
        <f>IF($AL$1804&gt;0,'Assumptions (MSW)'!V10*Model!$AL$1804*AVERAGE('Assumptions (MSW)'!$AH$2:$AJ$2)/10^9,0)</f>
        <v>0</v>
      </c>
      <c r="AM2000" s="177">
        <f>IF($AL$1804&gt;0,'Assumptions (MSW)'!W10*Model!$AL$1804*AVERAGE('Assumptions (MSW)'!$AH$2:$AJ$2)/10^9,0)</f>
        <v>0</v>
      </c>
      <c r="AN2000" s="177">
        <f>IF($AL$1804&gt;0,'Assumptions (MSW)'!X10*Model!$AL$1804*AVERAGE('Assumptions (MSW)'!$AH$2:$AJ$2)/10^9,0)</f>
        <v>0</v>
      </c>
      <c r="AO2000" s="177">
        <f>IF($AL$1804&gt;0,'Assumptions (MSW)'!Y10*Model!$AL$1804*AVERAGE('Assumptions (MSW)'!$AH$2:$AJ$2)/10^9,0)</f>
        <v>0</v>
      </c>
      <c r="AP2000" s="177">
        <f>IF($AL$1804&gt;0,'Assumptions (MSW)'!Z10*Model!$AL$1804*AVERAGE('Assumptions (MSW)'!$AH$2:$AJ$2)/10^9,0)</f>
        <v>0</v>
      </c>
      <c r="AQ2000" s="177">
        <f>IF($AL$1804&gt;0,'Assumptions (MSW)'!AA10*Model!$AL$1804*AVERAGE('Assumptions (MSW)'!$AH$2:$AJ$2)/10^9,0)</f>
        <v>0</v>
      </c>
      <c r="AR2000" s="177">
        <f>IF($AL$1804&gt;0,'Assumptions (MSW)'!AB10*Model!$AL$1804*AVERAGE('Assumptions (MSW)'!$AH$2:$AJ$2)/10^9,0)</f>
        <v>0</v>
      </c>
      <c r="AS2000" s="177">
        <f>IF($AL$1804&gt;0,'Assumptions (MSW)'!AC10*Model!$AL$1804*AVERAGE('Assumptions (MSW)'!$AH$2:$AJ$2)/10^9,0)</f>
        <v>0</v>
      </c>
      <c r="AT2000" s="177">
        <f>IF($AL$1804&gt;0,'Assumptions (MSW)'!AD10*Model!$AL$1804*AVERAGE('Assumptions (MSW)'!$AH$2:$AJ$2)/10^9,0)</f>
        <v>0</v>
      </c>
      <c r="AU2000" s="177">
        <f>IF($AL$1804&gt;0,'Assumptions (MSW)'!AE10*Model!$AL$1804*AVERAGE('Assumptions (MSW)'!$AH$2:$AJ$2)/10^9,0)</f>
        <v>0</v>
      </c>
      <c r="AV2000" s="177">
        <f>IF($AL$1804&gt;0,'Assumptions (MSW)'!AF10*Model!$AL$1804*AVERAGE('Assumptions (MSW)'!$AH$2:$AJ$2)/10^9,0)</f>
        <v>0</v>
      </c>
      <c r="AW2000" s="177">
        <f>IF($AL$1804&gt;0,'Assumptions (MSW)'!AG10*Model!$AL$1804*AVERAGE('Assumptions (MSW)'!$AH$2:$AJ$2)/10^9,0)</f>
        <v>0</v>
      </c>
      <c r="AX2000" s="177">
        <f>IF($AL$1804&gt;0,'Assumptions (MSW)'!AH10*Model!$AL$1804*AVERAGE('Assumptions (MSW)'!$AH$2:$AJ$2)/10^9,0)</f>
        <v>0</v>
      </c>
      <c r="AY2000" s="177">
        <f>IF($AL$1804&gt;0,'Assumptions (MSW)'!AI10*Model!$AL$1804*AVERAGE('Assumptions (MSW)'!$AH$2:$AJ$2)/10^9,0)</f>
        <v>0</v>
      </c>
      <c r="AZ2000" s="177">
        <f>IF($AL$1804&gt;0,'Assumptions (MSW)'!AJ10*Model!$AL$1804*AVERAGE('Assumptions (MSW)'!$AH$2:$AJ$2)/10^9,0)</f>
        <v>0</v>
      </c>
      <c r="BA2000" s="177">
        <f>IF($AL$1804&gt;0,'Assumptions (MSW)'!AK10*Model!$AL$1804*AVERAGE('Assumptions (MSW)'!$AH$2:$AJ$2)/10^9,0)</f>
        <v>0</v>
      </c>
      <c r="BB2000" s="177"/>
      <c r="BC2000" s="177"/>
      <c r="BD2000" s="177"/>
      <c r="BE2000" s="177"/>
      <c r="BF2000" s="177"/>
      <c r="BG2000" s="177"/>
      <c r="BH2000" s="177"/>
      <c r="BI2000" s="177"/>
      <c r="BJ2000" s="177"/>
    </row>
    <row r="2001" ht="15.75" hidden="1" customHeight="1" outlineLevel="1">
      <c r="A2001" s="309"/>
      <c r="B2001" s="38"/>
      <c r="C2001" s="174"/>
      <c r="D2001" s="174"/>
      <c r="E2001" s="174"/>
      <c r="F2001" s="174"/>
      <c r="G2001" s="174"/>
      <c r="H2001" s="174"/>
      <c r="I2001" s="174"/>
      <c r="J2001" s="174"/>
      <c r="K2001" s="174"/>
      <c r="L2001" s="174"/>
      <c r="M2001" s="174"/>
      <c r="N2001" s="174"/>
      <c r="O2001" s="174"/>
      <c r="P2001" s="174"/>
      <c r="Q2001" s="174"/>
      <c r="R2001" s="174"/>
      <c r="S2001" s="174"/>
      <c r="T2001" s="174"/>
      <c r="U2001" s="174"/>
      <c r="V2001" s="174"/>
      <c r="W2001" s="160"/>
      <c r="X2001" s="160"/>
      <c r="Y2001" s="160"/>
      <c r="Z2001" s="160"/>
      <c r="AA2001" s="160"/>
      <c r="AB2001" s="160"/>
      <c r="AC2001" s="160"/>
      <c r="AD2001" s="160"/>
      <c r="AE2001" s="160"/>
      <c r="AF2001" s="160"/>
      <c r="AG2001" s="160"/>
      <c r="AH2001" s="160"/>
      <c r="AI2001" s="160"/>
      <c r="AJ2001" s="179"/>
      <c r="AK2001" s="160"/>
      <c r="AL2001" s="177"/>
      <c r="AM2001" s="160">
        <f>IF($AM$1804&gt;0,'Assumptions (MSW)'!V10*Model!$AM$1804*AVERAGE('Assumptions (MSW)'!$AI$2:$AK$2)/10^9,0)</f>
        <v>0</v>
      </c>
      <c r="AN2001" s="160">
        <f>IF($AM$1804&gt;0,'Assumptions (MSW)'!W10*Model!$AM$1804*AVERAGE('Assumptions (MSW)'!$AI$2:$AK$2)/10^9,0)</f>
        <v>0</v>
      </c>
      <c r="AO2001" s="160">
        <f>IF($AM$1804&gt;0,'Assumptions (MSW)'!X10*Model!$AM$1804*AVERAGE('Assumptions (MSW)'!$AI$2:$AK$2)/10^9,0)</f>
        <v>0</v>
      </c>
      <c r="AP2001" s="160">
        <f>IF($AM$1804&gt;0,'Assumptions (MSW)'!Y10*Model!$AM$1804*AVERAGE('Assumptions (MSW)'!$AI$2:$AK$2)/10^9,0)</f>
        <v>0</v>
      </c>
      <c r="AQ2001" s="160">
        <f>IF($AM$1804&gt;0,'Assumptions (MSW)'!Z10*Model!$AM$1804*AVERAGE('Assumptions (MSW)'!$AI$2:$AK$2)/10^9,0)</f>
        <v>0</v>
      </c>
      <c r="AR2001" s="160">
        <f>IF($AM$1804&gt;0,'Assumptions (MSW)'!AA10*Model!$AM$1804*AVERAGE('Assumptions (MSW)'!$AI$2:$AK$2)/10^9,0)</f>
        <v>0</v>
      </c>
      <c r="AS2001" s="160">
        <f>IF($AM$1804&gt;0,'Assumptions (MSW)'!AB10*Model!$AM$1804*AVERAGE('Assumptions (MSW)'!$AI$2:$AK$2)/10^9,0)</f>
        <v>0</v>
      </c>
      <c r="AT2001" s="160">
        <f>IF($AM$1804&gt;0,'Assumptions (MSW)'!AC10*Model!$AM$1804*AVERAGE('Assumptions (MSW)'!$AI$2:$AK$2)/10^9,0)</f>
        <v>0</v>
      </c>
      <c r="AU2001" s="160">
        <f>IF($AM$1804&gt;0,'Assumptions (MSW)'!AD10*Model!$AM$1804*AVERAGE('Assumptions (MSW)'!$AI$2:$AK$2)/10^9,0)</f>
        <v>0</v>
      </c>
      <c r="AV2001" s="160">
        <f>IF($AM$1804&gt;0,'Assumptions (MSW)'!AE10*Model!$AM$1804*AVERAGE('Assumptions (MSW)'!$AI$2:$AK$2)/10^9,0)</f>
        <v>0</v>
      </c>
      <c r="AW2001" s="160">
        <f>IF($AM$1804&gt;0,'Assumptions (MSW)'!AF10*Model!$AM$1804*AVERAGE('Assumptions (MSW)'!$AI$2:$AK$2)/10^9,0)</f>
        <v>0</v>
      </c>
      <c r="AX2001" s="160">
        <f>IF($AM$1804&gt;0,'Assumptions (MSW)'!AG10*Model!$AM$1804*AVERAGE('Assumptions (MSW)'!$AI$2:$AK$2)/10^9,0)</f>
        <v>0</v>
      </c>
      <c r="AY2001" s="160">
        <f>IF($AM$1804&gt;0,'Assumptions (MSW)'!AH10*Model!$AM$1804*AVERAGE('Assumptions (MSW)'!$AI$2:$AK$2)/10^9,0)</f>
        <v>0</v>
      </c>
      <c r="AZ2001" s="160">
        <f>IF($AM$1804&gt;0,'Assumptions (MSW)'!AI10*Model!$AM$1804*AVERAGE('Assumptions (MSW)'!$AI$2:$AK$2)/10^9,0)</f>
        <v>0</v>
      </c>
      <c r="BA2001" s="160">
        <f>IF($AM$1804&gt;0,'Assumptions (MSW)'!AJ10*Model!$AM$1804*AVERAGE('Assumptions (MSW)'!$AI$2:$AK$2)/10^9,0)</f>
        <v>0</v>
      </c>
      <c r="BB2001" s="160">
        <f>IF($AM$1804&gt;0,'Assumptions (MSW)'!AK10*Model!$AM$1804*AVERAGE('Assumptions (MSW)'!$AI$2:$AK$2)/10^9,0)</f>
        <v>0</v>
      </c>
      <c r="BC2001" s="160"/>
      <c r="BD2001" s="160"/>
      <c r="BE2001" s="160"/>
      <c r="BF2001" s="160"/>
      <c r="BG2001" s="160"/>
      <c r="BH2001" s="160"/>
      <c r="BI2001" s="160"/>
      <c r="BJ2001" s="160"/>
      <c r="BK2001" s="160"/>
    </row>
    <row r="2002" ht="15.75" hidden="1" customHeight="1" outlineLevel="1">
      <c r="A2002" s="309"/>
      <c r="B2002" s="38"/>
      <c r="C2002" s="174"/>
      <c r="D2002" s="174"/>
      <c r="E2002" s="174"/>
      <c r="F2002" s="174"/>
      <c r="G2002" s="174"/>
      <c r="H2002" s="174"/>
      <c r="I2002" s="174"/>
      <c r="J2002" s="174"/>
      <c r="K2002" s="174"/>
      <c r="L2002" s="174"/>
      <c r="M2002" s="174"/>
      <c r="N2002" s="174"/>
      <c r="O2002" s="174"/>
      <c r="P2002" s="174"/>
      <c r="Q2002" s="174"/>
      <c r="R2002" s="174"/>
      <c r="S2002" s="174"/>
      <c r="T2002" s="174"/>
      <c r="U2002" s="174"/>
      <c r="V2002" s="174"/>
      <c r="W2002" s="160"/>
      <c r="X2002" s="160"/>
      <c r="Y2002" s="160"/>
      <c r="Z2002" s="160"/>
      <c r="AA2002" s="160"/>
      <c r="AB2002" s="160"/>
      <c r="AC2002" s="160"/>
      <c r="AD2002" s="160"/>
      <c r="AE2002" s="160"/>
      <c r="AF2002" s="160"/>
      <c r="AG2002" s="160"/>
      <c r="AH2002" s="160"/>
      <c r="AI2002" s="160"/>
      <c r="AJ2002" s="179"/>
      <c r="AK2002" s="160"/>
      <c r="AL2002" s="177"/>
      <c r="AM2002" s="177"/>
      <c r="AN2002" s="160">
        <f>IF($AN$1804&gt;0,'Assumptions (MSW)'!V10*Model!$AN$1804*AVERAGE('Assumptions (MSW)'!$AJ$2:$AL$2)/10^9,0)</f>
        <v>0</v>
      </c>
      <c r="AO2002" s="160">
        <f>IF($AN$1804&gt;0,'Assumptions (MSW)'!W10*Model!$AN$1804*AVERAGE('Assumptions (MSW)'!$AJ$2:$AL$2)/10^9,0)</f>
        <v>0</v>
      </c>
      <c r="AP2002" s="160">
        <f>IF($AN$1804&gt;0,'Assumptions (MSW)'!X10*Model!$AN$1804*AVERAGE('Assumptions (MSW)'!$AJ$2:$AL$2)/10^9,0)</f>
        <v>0</v>
      </c>
      <c r="AQ2002" s="160">
        <f>IF($AN$1804&gt;0,'Assumptions (MSW)'!Y10*Model!$AN$1804*AVERAGE('Assumptions (MSW)'!$AJ$2:$AL$2)/10^9,0)</f>
        <v>0</v>
      </c>
      <c r="AR2002" s="160">
        <f>IF($AN$1804&gt;0,'Assumptions (MSW)'!Z10*Model!$AN$1804*AVERAGE('Assumptions (MSW)'!$AJ$2:$AL$2)/10^9,0)</f>
        <v>0</v>
      </c>
      <c r="AS2002" s="160">
        <f>IF($AN$1804&gt;0,'Assumptions (MSW)'!AA10*Model!$AN$1804*AVERAGE('Assumptions (MSW)'!$AJ$2:$AL$2)/10^9,0)</f>
        <v>0</v>
      </c>
      <c r="AT2002" s="160">
        <f>IF($AN$1804&gt;0,'Assumptions (MSW)'!AB10*Model!$AN$1804*AVERAGE('Assumptions (MSW)'!$AJ$2:$AL$2)/10^9,0)</f>
        <v>0</v>
      </c>
      <c r="AU2002" s="160">
        <f>IF($AN$1804&gt;0,'Assumptions (MSW)'!AC10*Model!$AN$1804*AVERAGE('Assumptions (MSW)'!$AJ$2:$AL$2)/10^9,0)</f>
        <v>0</v>
      </c>
      <c r="AV2002" s="160">
        <f>IF($AN$1804&gt;0,'Assumptions (MSW)'!AD10*Model!$AN$1804*AVERAGE('Assumptions (MSW)'!$AJ$2:$AL$2)/10^9,0)</f>
        <v>0</v>
      </c>
      <c r="AW2002" s="160">
        <f>IF($AN$1804&gt;0,'Assumptions (MSW)'!AE10*Model!$AN$1804*AVERAGE('Assumptions (MSW)'!$AJ$2:$AL$2)/10^9,0)</f>
        <v>0</v>
      </c>
      <c r="AX2002" s="160">
        <f>IF($AN$1804&gt;0,'Assumptions (MSW)'!AF10*Model!$AN$1804*AVERAGE('Assumptions (MSW)'!$AJ$2:$AL$2)/10^9,0)</f>
        <v>0</v>
      </c>
      <c r="AY2002" s="160">
        <f>IF($AN$1804&gt;0,'Assumptions (MSW)'!AG10*Model!$AN$1804*AVERAGE('Assumptions (MSW)'!$AJ$2:$AL$2)/10^9,0)</f>
        <v>0</v>
      </c>
      <c r="AZ2002" s="160">
        <f>IF($AN$1804&gt;0,'Assumptions (MSW)'!AH10*Model!$AN$1804*AVERAGE('Assumptions (MSW)'!$AJ$2:$AL$2)/10^9,0)</f>
        <v>0</v>
      </c>
      <c r="BA2002" s="160">
        <f>IF($AN$1804&gt;0,'Assumptions (MSW)'!AI10*Model!$AN$1804*AVERAGE('Assumptions (MSW)'!$AJ$2:$AL$2)/10^9,0)</f>
        <v>0</v>
      </c>
      <c r="BB2002" s="160">
        <f>IF($AN$1804&gt;0,'Assumptions (MSW)'!AJ10*Model!$AN$1804*AVERAGE('Assumptions (MSW)'!$AJ$2:$AL$2)/10^9,0)</f>
        <v>0</v>
      </c>
      <c r="BC2002" s="160">
        <f>IF($AN$1804&gt;0,'Assumptions (MSW)'!AK10*Model!$AN$1804*AVERAGE('Assumptions (MSW)'!$AJ$2:$AL$2)/10^9,0)</f>
        <v>0</v>
      </c>
      <c r="BD2002" s="160"/>
      <c r="BE2002" s="160"/>
      <c r="BF2002" s="160"/>
      <c r="BG2002" s="160"/>
      <c r="BH2002" s="160"/>
      <c r="BI2002" s="160"/>
      <c r="BJ2002" s="160"/>
      <c r="BK2002" s="160"/>
      <c r="BL2002" s="160"/>
    </row>
    <row r="2003" ht="15.75" hidden="1" customHeight="1" outlineLevel="1">
      <c r="A2003" s="309"/>
      <c r="B2003" s="38"/>
      <c r="C2003" s="174"/>
      <c r="D2003" s="174"/>
      <c r="E2003" s="174"/>
      <c r="F2003" s="174"/>
      <c r="G2003" s="174"/>
      <c r="H2003" s="174"/>
      <c r="I2003" s="174"/>
      <c r="J2003" s="174"/>
      <c r="K2003" s="174"/>
      <c r="L2003" s="174"/>
      <c r="M2003" s="174"/>
      <c r="N2003" s="174"/>
      <c r="O2003" s="174"/>
      <c r="P2003" s="174"/>
      <c r="Q2003" s="174"/>
      <c r="R2003" s="174"/>
      <c r="S2003" s="174"/>
      <c r="T2003" s="174"/>
      <c r="U2003" s="174"/>
      <c r="V2003" s="174"/>
      <c r="W2003" s="160"/>
      <c r="X2003" s="160"/>
      <c r="Y2003" s="160"/>
      <c r="Z2003" s="160"/>
      <c r="AA2003" s="160"/>
      <c r="AB2003" s="160"/>
      <c r="AC2003" s="160"/>
      <c r="AD2003" s="160"/>
      <c r="AE2003" s="160"/>
      <c r="AF2003" s="160"/>
      <c r="AG2003" s="160"/>
      <c r="AH2003" s="160"/>
      <c r="AI2003" s="160"/>
      <c r="AJ2003" s="179"/>
      <c r="AK2003" s="160"/>
      <c r="AL2003" s="177"/>
      <c r="AM2003" s="177"/>
      <c r="AN2003" s="177"/>
      <c r="AO2003" s="160">
        <f>IF($AO$1804&gt;0,'Assumptions (MSW)'!V10*Model!$AO$1804*AVERAGE('Assumptions (MSW)'!$AK$2:$AM$2)/10^9,0)</f>
        <v>0</v>
      </c>
      <c r="AP2003" s="160">
        <f>IF($AO$1804&gt;0,'Assumptions (MSW)'!W10*Model!$AO$1804*AVERAGE('Assumptions (MSW)'!$AK$2:$AM$2)/10^9,0)</f>
        <v>0</v>
      </c>
      <c r="AQ2003" s="160">
        <f>IF($AO$1804&gt;0,'Assumptions (MSW)'!X10*Model!$AO$1804*AVERAGE('Assumptions (MSW)'!$AK$2:$AM$2)/10^9,0)</f>
        <v>0</v>
      </c>
      <c r="AR2003" s="160">
        <f>IF($AO$1804&gt;0,'Assumptions (MSW)'!Y10*Model!$AO$1804*AVERAGE('Assumptions (MSW)'!$AK$2:$AM$2)/10^9,0)</f>
        <v>0</v>
      </c>
      <c r="AS2003" s="160">
        <f>IF($AO$1804&gt;0,'Assumptions (MSW)'!Z10*Model!$AO$1804*AVERAGE('Assumptions (MSW)'!$AK$2:$AM$2)/10^9,0)</f>
        <v>0</v>
      </c>
      <c r="AT2003" s="160">
        <f>IF($AO$1804&gt;0,'Assumptions (MSW)'!AA10*Model!$AO$1804*AVERAGE('Assumptions (MSW)'!$AK$2:$AM$2)/10^9,0)</f>
        <v>0</v>
      </c>
      <c r="AU2003" s="160">
        <f>IF($AO$1804&gt;0,'Assumptions (MSW)'!AB10*Model!$AO$1804*AVERAGE('Assumptions (MSW)'!$AK$2:$AM$2)/10^9,0)</f>
        <v>0</v>
      </c>
      <c r="AV2003" s="160">
        <f>IF($AO$1804&gt;0,'Assumptions (MSW)'!AC10*Model!$AO$1804*AVERAGE('Assumptions (MSW)'!$AK$2:$AM$2)/10^9,0)</f>
        <v>0</v>
      </c>
      <c r="AW2003" s="160">
        <f>IF($AO$1804&gt;0,'Assumptions (MSW)'!AD10*Model!$AO$1804*AVERAGE('Assumptions (MSW)'!$AK$2:$AM$2)/10^9,0)</f>
        <v>0</v>
      </c>
      <c r="AX2003" s="160">
        <f>IF($AO$1804&gt;0,'Assumptions (MSW)'!AE10*Model!$AO$1804*AVERAGE('Assumptions (MSW)'!$AK$2:$AM$2)/10^9,0)</f>
        <v>0</v>
      </c>
      <c r="AY2003" s="160">
        <f>IF($AO$1804&gt;0,'Assumptions (MSW)'!AF10*Model!$AO$1804*AVERAGE('Assumptions (MSW)'!$AK$2:$AM$2)/10^9,0)</f>
        <v>0</v>
      </c>
      <c r="AZ2003" s="160">
        <f>IF($AO$1804&gt;0,'Assumptions (MSW)'!AG10*Model!$AO$1804*AVERAGE('Assumptions (MSW)'!$AK$2:$AM$2)/10^9,0)</f>
        <v>0</v>
      </c>
      <c r="BA2003" s="160">
        <f>IF($AO$1804&gt;0,'Assumptions (MSW)'!AH10*Model!$AO$1804*AVERAGE('Assumptions (MSW)'!$AK$2:$AM$2)/10^9,0)</f>
        <v>0</v>
      </c>
      <c r="BB2003" s="160">
        <f>IF($AO$1804&gt;0,'Assumptions (MSW)'!AI10*Model!$AO$1804*AVERAGE('Assumptions (MSW)'!$AK$2:$AM$2)/10^9,0)</f>
        <v>0</v>
      </c>
      <c r="BC2003" s="160">
        <f>IF($AO$1804&gt;0,'Assumptions (MSW)'!AJ10*Model!$AO$1804*AVERAGE('Assumptions (MSW)'!$AK$2:$AM$2)/10^9,0)</f>
        <v>0</v>
      </c>
      <c r="BD2003" s="160">
        <f>IF($AO$1804&gt;0,'Assumptions (MSW)'!AK10*Model!$AO$1804*AVERAGE('Assumptions (MSW)'!$AK$2:$AM$2)/10^9,0)</f>
        <v>0</v>
      </c>
      <c r="BE2003" s="160"/>
      <c r="BF2003" s="160"/>
      <c r="BG2003" s="160"/>
      <c r="BH2003" s="160"/>
      <c r="BI2003" s="160"/>
      <c r="BJ2003" s="160"/>
      <c r="BK2003" s="160"/>
      <c r="BL2003" s="160"/>
      <c r="BM2003" s="160"/>
    </row>
    <row r="2004" ht="15.75" hidden="1" customHeight="1" outlineLevel="1">
      <c r="A2004" s="309"/>
      <c r="B2004" s="38"/>
      <c r="C2004" s="174"/>
      <c r="D2004" s="174"/>
      <c r="E2004" s="174"/>
      <c r="F2004" s="174"/>
      <c r="G2004" s="174"/>
      <c r="H2004" s="174"/>
      <c r="I2004" s="174"/>
      <c r="J2004" s="174"/>
      <c r="K2004" s="174"/>
      <c r="L2004" s="174"/>
      <c r="M2004" s="174"/>
      <c r="N2004" s="174"/>
      <c r="O2004" s="174"/>
      <c r="P2004" s="174"/>
      <c r="Q2004" s="174"/>
      <c r="R2004" s="174"/>
      <c r="S2004" s="174"/>
      <c r="T2004" s="174"/>
      <c r="U2004" s="174"/>
      <c r="V2004" s="174"/>
      <c r="W2004" s="160"/>
      <c r="X2004" s="160"/>
      <c r="Y2004" s="160"/>
      <c r="Z2004" s="160"/>
      <c r="AA2004" s="160"/>
      <c r="AB2004" s="160"/>
      <c r="AC2004" s="160"/>
      <c r="AD2004" s="160"/>
      <c r="AE2004" s="160"/>
      <c r="AF2004" s="160"/>
      <c r="AG2004" s="160"/>
      <c r="AH2004" s="160"/>
      <c r="AI2004" s="160"/>
      <c r="AJ2004" s="179"/>
      <c r="AK2004" s="160"/>
      <c r="AL2004" s="177"/>
      <c r="AM2004" s="177"/>
      <c r="AN2004" s="177"/>
      <c r="AO2004" s="160"/>
      <c r="AP2004" s="160">
        <f>IF($AP$1804&gt;0,'Assumptions (MSW)'!V10*Model!$AP$1804*AVERAGE('Assumptions (MSW)'!$AL$2:$AN$2)/10^9,0)</f>
        <v>0</v>
      </c>
      <c r="AQ2004" s="160">
        <f>IF($AP$1804&gt;0,'Assumptions (MSW)'!W10*Model!$AP$1804*AVERAGE('Assumptions (MSW)'!$AL$2:$AN$2)/10^9,0)</f>
        <v>0</v>
      </c>
      <c r="AR2004" s="160">
        <f>IF($AP$1804&gt;0,'Assumptions (MSW)'!X10*Model!$AP$1804*AVERAGE('Assumptions (MSW)'!$AL$2:$AN$2)/10^9,0)</f>
        <v>0</v>
      </c>
      <c r="AS2004" s="160">
        <f>IF($AP$1804&gt;0,'Assumptions (MSW)'!Y10*Model!$AP$1804*AVERAGE('Assumptions (MSW)'!$AL$2:$AN$2)/10^9,0)</f>
        <v>0</v>
      </c>
      <c r="AT2004" s="160">
        <f>IF($AP$1804&gt;0,'Assumptions (MSW)'!Z10*Model!$AP$1804*AVERAGE('Assumptions (MSW)'!$AL$2:$AN$2)/10^9,0)</f>
        <v>0</v>
      </c>
      <c r="AU2004" s="160">
        <f>IF($AP$1804&gt;0,'Assumptions (MSW)'!AA10*Model!$AP$1804*AVERAGE('Assumptions (MSW)'!$AL$2:$AN$2)/10^9,0)</f>
        <v>0</v>
      </c>
      <c r="AV2004" s="160">
        <f>IF($AP$1804&gt;0,'Assumptions (MSW)'!AB10*Model!$AP$1804*AVERAGE('Assumptions (MSW)'!$AL$2:$AN$2)/10^9,0)</f>
        <v>0</v>
      </c>
      <c r="AW2004" s="160">
        <f>IF($AP$1804&gt;0,'Assumptions (MSW)'!AC10*Model!$AP$1804*AVERAGE('Assumptions (MSW)'!$AL$2:$AN$2)/10^9,0)</f>
        <v>0</v>
      </c>
      <c r="AX2004" s="160">
        <f>IF($AP$1804&gt;0,'Assumptions (MSW)'!AD10*Model!$AP$1804*AVERAGE('Assumptions (MSW)'!$AL$2:$AN$2)/10^9,0)</f>
        <v>0</v>
      </c>
      <c r="AY2004" s="160">
        <f>IF($AP$1804&gt;0,'Assumptions (MSW)'!AE10*Model!$AP$1804*AVERAGE('Assumptions (MSW)'!$AL$2:$AN$2)/10^9,0)</f>
        <v>0</v>
      </c>
      <c r="AZ2004" s="160">
        <f>IF($AP$1804&gt;0,'Assumptions (MSW)'!AF10*Model!$AP$1804*AVERAGE('Assumptions (MSW)'!$AL$2:$AN$2)/10^9,0)</f>
        <v>0</v>
      </c>
      <c r="BA2004" s="160">
        <f>IF($AP$1804&gt;0,'Assumptions (MSW)'!AG10*Model!$AP$1804*AVERAGE('Assumptions (MSW)'!$AL$2:$AN$2)/10^9,0)</f>
        <v>0</v>
      </c>
      <c r="BB2004" s="160">
        <f>IF($AP$1804&gt;0,'Assumptions (MSW)'!AH10*Model!$AP$1804*AVERAGE('Assumptions (MSW)'!$AL$2:$AN$2)/10^9,0)</f>
        <v>0</v>
      </c>
      <c r="BC2004" s="160">
        <f>IF($AP$1804&gt;0,'Assumptions (MSW)'!AI10*Model!$AP$1804*AVERAGE('Assumptions (MSW)'!$AL$2:$AN$2)/10^9,0)</f>
        <v>0</v>
      </c>
      <c r="BD2004" s="160">
        <f>IF($AP$1804&gt;0,'Assumptions (MSW)'!AJ10*Model!$AP$1804*AVERAGE('Assumptions (MSW)'!$AL$2:$AN$2)/10^9,0)</f>
        <v>0</v>
      </c>
      <c r="BE2004" s="160">
        <f>IF($AP$1804&gt;0,'Assumptions (MSW)'!AK10*Model!$AP$1804*AVERAGE('Assumptions (MSW)'!$AL$2:$AN$2)/10^9,0)</f>
        <v>0</v>
      </c>
      <c r="BF2004" s="160"/>
      <c r="BG2004" s="160"/>
      <c r="BH2004" s="160"/>
      <c r="BI2004" s="160"/>
      <c r="BJ2004" s="160"/>
      <c r="BK2004" s="160"/>
      <c r="BL2004" s="160"/>
      <c r="BM2004" s="160"/>
      <c r="BN2004" s="160"/>
    </row>
    <row r="2005" ht="15.75" hidden="1" customHeight="1" outlineLevel="1">
      <c r="A2005" s="309"/>
      <c r="B2005" s="38"/>
      <c r="C2005" s="174"/>
      <c r="D2005" s="174"/>
      <c r="E2005" s="174"/>
      <c r="F2005" s="174"/>
      <c r="G2005" s="174"/>
      <c r="H2005" s="174"/>
      <c r="I2005" s="174"/>
      <c r="J2005" s="174"/>
      <c r="K2005" s="174"/>
      <c r="L2005" s="174"/>
      <c r="M2005" s="174"/>
      <c r="N2005" s="174"/>
      <c r="O2005" s="174"/>
      <c r="P2005" s="174"/>
      <c r="Q2005" s="174"/>
      <c r="R2005" s="174"/>
      <c r="S2005" s="174"/>
      <c r="T2005" s="174"/>
      <c r="U2005" s="174"/>
      <c r="V2005" s="174"/>
      <c r="W2005" s="160"/>
      <c r="X2005" s="160"/>
      <c r="Y2005" s="160"/>
      <c r="Z2005" s="160"/>
      <c r="AA2005" s="160"/>
      <c r="AB2005" s="160"/>
      <c r="AC2005" s="160"/>
      <c r="AD2005" s="160"/>
      <c r="AE2005" s="160"/>
      <c r="AF2005" s="160"/>
      <c r="AG2005" s="160"/>
      <c r="AH2005" s="160"/>
      <c r="AI2005" s="160"/>
      <c r="AJ2005" s="179"/>
      <c r="AK2005" s="160"/>
      <c r="AL2005" s="177"/>
      <c r="AM2005" s="177"/>
      <c r="AN2005" s="177"/>
      <c r="AO2005" s="160"/>
      <c r="AP2005" s="160"/>
      <c r="AQ2005" s="160">
        <f>IF($AQ$1804&gt;0,'Assumptions (MSW)'!V10*Model!$AQ$1804*AVERAGE('Assumptions (MSW)'!$AM$2:$AO$2)/10^9,0)</f>
        <v>0</v>
      </c>
      <c r="AR2005" s="160">
        <f>IF($AQ$1804&gt;0,'Assumptions (MSW)'!W10*Model!$AQ$1804*AVERAGE('Assumptions (MSW)'!$AM$2:$AO$2)/10^9,0)</f>
        <v>0</v>
      </c>
      <c r="AS2005" s="160">
        <f>IF($AQ$1804&gt;0,'Assumptions (MSW)'!X10*Model!$AQ$1804*AVERAGE('Assumptions (MSW)'!$AM$2:$AO$2)/10^9,0)</f>
        <v>0</v>
      </c>
      <c r="AT2005" s="160">
        <f>IF($AQ$1804&gt;0,'Assumptions (MSW)'!Y10*Model!$AQ$1804*AVERAGE('Assumptions (MSW)'!$AM$2:$AO$2)/10^9,0)</f>
        <v>0</v>
      </c>
      <c r="AU2005" s="160">
        <f>IF($AQ$1804&gt;0,'Assumptions (MSW)'!Z10*Model!$AQ$1804*AVERAGE('Assumptions (MSW)'!$AM$2:$AO$2)/10^9,0)</f>
        <v>0</v>
      </c>
      <c r="AV2005" s="160">
        <f>IF($AQ$1804&gt;0,'Assumptions (MSW)'!AA10*Model!$AQ$1804*AVERAGE('Assumptions (MSW)'!$AM$2:$AO$2)/10^9,0)</f>
        <v>0</v>
      </c>
      <c r="AW2005" s="160">
        <f>IF($AQ$1804&gt;0,'Assumptions (MSW)'!AB10*Model!$AQ$1804*AVERAGE('Assumptions (MSW)'!$AM$2:$AO$2)/10^9,0)</f>
        <v>0</v>
      </c>
      <c r="AX2005" s="160">
        <f>IF($AQ$1804&gt;0,'Assumptions (MSW)'!AC10*Model!$AQ$1804*AVERAGE('Assumptions (MSW)'!$AM$2:$AO$2)/10^9,0)</f>
        <v>0</v>
      </c>
      <c r="AY2005" s="160">
        <f>IF($AQ$1804&gt;0,'Assumptions (MSW)'!AD10*Model!$AQ$1804*AVERAGE('Assumptions (MSW)'!$AM$2:$AO$2)/10^9,0)</f>
        <v>0</v>
      </c>
      <c r="AZ2005" s="160">
        <f>IF($AQ$1804&gt;0,'Assumptions (MSW)'!AE10*Model!$AQ$1804*AVERAGE('Assumptions (MSW)'!$AM$2:$AO$2)/10^9,0)</f>
        <v>0</v>
      </c>
      <c r="BA2005" s="160">
        <f>IF($AQ$1804&gt;0,'Assumptions (MSW)'!AF10*Model!$AQ$1804*AVERAGE('Assumptions (MSW)'!$AM$2:$AO$2)/10^9,0)</f>
        <v>0</v>
      </c>
      <c r="BB2005" s="160">
        <f>IF($AQ$1804&gt;0,'Assumptions (MSW)'!AG10*Model!$AQ$1804*AVERAGE('Assumptions (MSW)'!$AM$2:$AO$2)/10^9,0)</f>
        <v>0</v>
      </c>
      <c r="BC2005" s="160">
        <f>IF($AQ$1804&gt;0,'Assumptions (MSW)'!AH10*Model!$AQ$1804*AVERAGE('Assumptions (MSW)'!$AM$2:$AO$2)/10^9,0)</f>
        <v>0</v>
      </c>
      <c r="BD2005" s="160">
        <f>IF($AQ$1804&gt;0,'Assumptions (MSW)'!AI10*Model!$AQ$1804*AVERAGE('Assumptions (MSW)'!$AM$2:$AO$2)/10^9,0)</f>
        <v>0</v>
      </c>
      <c r="BE2005" s="160">
        <f>IF($AQ$1804&gt;0,'Assumptions (MSW)'!AJ10*Model!$AQ$1804*AVERAGE('Assumptions (MSW)'!$AM$2:$AO$2)/10^9,0)</f>
        <v>0</v>
      </c>
      <c r="BF2005" s="160">
        <f>IF($AQ$1804&gt;0,'Assumptions (MSW)'!AK10*Model!$AQ$1804*AVERAGE('Assumptions (MSW)'!$AM$2:$AO$2)/10^9,0)</f>
        <v>0</v>
      </c>
      <c r="BG2005" s="160"/>
      <c r="BH2005" s="160"/>
      <c r="BI2005" s="160"/>
      <c r="BJ2005" s="160"/>
      <c r="BK2005" s="160"/>
      <c r="BL2005" s="160"/>
      <c r="BM2005" s="160"/>
      <c r="BN2005" s="160"/>
      <c r="BO2005" s="160"/>
    </row>
    <row r="2006" ht="15.75" hidden="1" customHeight="1" outlineLevel="1">
      <c r="A2006" s="309"/>
      <c r="B2006" s="38"/>
      <c r="C2006" s="174"/>
      <c r="D2006" s="174"/>
      <c r="E2006" s="174"/>
      <c r="F2006" s="174"/>
      <c r="G2006" s="174"/>
      <c r="H2006" s="174"/>
      <c r="I2006" s="174"/>
      <c r="J2006" s="174"/>
      <c r="K2006" s="174"/>
      <c r="L2006" s="174"/>
      <c r="M2006" s="174"/>
      <c r="N2006" s="174"/>
      <c r="O2006" s="174"/>
      <c r="P2006" s="174"/>
      <c r="Q2006" s="174"/>
      <c r="R2006" s="174"/>
      <c r="S2006" s="174"/>
      <c r="T2006" s="174"/>
      <c r="U2006" s="174"/>
      <c r="V2006" s="174"/>
      <c r="W2006" s="160"/>
      <c r="X2006" s="160"/>
      <c r="Y2006" s="160"/>
      <c r="Z2006" s="160"/>
      <c r="AA2006" s="160"/>
      <c r="AB2006" s="160"/>
      <c r="AC2006" s="160"/>
      <c r="AD2006" s="160"/>
      <c r="AE2006" s="160"/>
      <c r="AF2006" s="160"/>
      <c r="AG2006" s="160"/>
      <c r="AH2006" s="160"/>
      <c r="AI2006" s="160"/>
      <c r="AJ2006" s="179"/>
      <c r="AK2006" s="160"/>
      <c r="AL2006" s="177"/>
      <c r="AM2006" s="177"/>
      <c r="AN2006" s="177"/>
      <c r="AO2006" s="160"/>
      <c r="AP2006" s="160"/>
      <c r="AQ2006" s="160"/>
      <c r="AR2006" s="160">
        <f>IF($AR$1804&gt;0,'Assumptions (MSW)'!V10*Model!$AR$1804*AVERAGE('Assumptions (MSW)'!$AN$2:$AP$2)/10^9,0)</f>
        <v>0</v>
      </c>
      <c r="AS2006" s="160">
        <f>IF($AR$1804&gt;0,'Assumptions (MSW)'!W10*Model!$AR$1804*AVERAGE('Assumptions (MSW)'!$AN$2:$AP$2)/10^9,0)</f>
        <v>0</v>
      </c>
      <c r="AT2006" s="160">
        <f>IF($AR$1804&gt;0,'Assumptions (MSW)'!X10*Model!$AR$1804*AVERAGE('Assumptions (MSW)'!$AN$2:$AP$2)/10^9,0)</f>
        <v>0</v>
      </c>
      <c r="AU2006" s="160">
        <f>IF($AR$1804&gt;0,'Assumptions (MSW)'!Y10*Model!$AR$1804*AVERAGE('Assumptions (MSW)'!$AN$2:$AP$2)/10^9,0)</f>
        <v>0</v>
      </c>
      <c r="AV2006" s="160">
        <f>IF($AR$1804&gt;0,'Assumptions (MSW)'!Z10*Model!$AR$1804*AVERAGE('Assumptions (MSW)'!$AN$2:$AP$2)/10^9,0)</f>
        <v>0</v>
      </c>
      <c r="AW2006" s="160">
        <f>IF($AR$1804&gt;0,'Assumptions (MSW)'!AA10*Model!$AR$1804*AVERAGE('Assumptions (MSW)'!$AN$2:$AP$2)/10^9,0)</f>
        <v>0</v>
      </c>
      <c r="AX2006" s="160">
        <f>IF($AR$1804&gt;0,'Assumptions (MSW)'!AB10*Model!$AR$1804*AVERAGE('Assumptions (MSW)'!$AN$2:$AP$2)/10^9,0)</f>
        <v>0</v>
      </c>
      <c r="AY2006" s="160">
        <f>IF($AR$1804&gt;0,'Assumptions (MSW)'!AC10*Model!$AR$1804*AVERAGE('Assumptions (MSW)'!$AN$2:$AP$2)/10^9,0)</f>
        <v>0</v>
      </c>
      <c r="AZ2006" s="160">
        <f>IF($AR$1804&gt;0,'Assumptions (MSW)'!AD10*Model!$AR$1804*AVERAGE('Assumptions (MSW)'!$AN$2:$AP$2)/10^9,0)</f>
        <v>0</v>
      </c>
      <c r="BA2006" s="160">
        <f>IF($AR$1804&gt;0,'Assumptions (MSW)'!AE10*Model!$AR$1804*AVERAGE('Assumptions (MSW)'!$AN$2:$AP$2)/10^9,0)</f>
        <v>0</v>
      </c>
      <c r="BB2006" s="160">
        <f>IF($AR$1804&gt;0,'Assumptions (MSW)'!AF10*Model!$AR$1804*AVERAGE('Assumptions (MSW)'!$AN$2:$AP$2)/10^9,0)</f>
        <v>0</v>
      </c>
      <c r="BC2006" s="160">
        <f>IF($AR$1804&gt;0,'Assumptions (MSW)'!AG10*Model!$AR$1804*AVERAGE('Assumptions (MSW)'!$AN$2:$AP$2)/10^9,0)</f>
        <v>0</v>
      </c>
      <c r="BD2006" s="160">
        <f>IF($AR$1804&gt;0,'Assumptions (MSW)'!AH10*Model!$AR$1804*AVERAGE('Assumptions (MSW)'!$AN$2:$AP$2)/10^9,0)</f>
        <v>0</v>
      </c>
      <c r="BE2006" s="160">
        <f>IF($AR$1804&gt;0,'Assumptions (MSW)'!AI10*Model!$AR$1804*AVERAGE('Assumptions (MSW)'!$AN$2:$AP$2)/10^9,0)</f>
        <v>0</v>
      </c>
      <c r="BF2006" s="160">
        <f>IF($AR$1804&gt;0,'Assumptions (MSW)'!AJ10*Model!$AR$1804*AVERAGE('Assumptions (MSW)'!$AN$2:$AP$2)/10^9,0)</f>
        <v>0</v>
      </c>
      <c r="BG2006" s="160">
        <f>IF($AR$1804&gt;0,'Assumptions (MSW)'!AK10*Model!$AR$1804*AVERAGE('Assumptions (MSW)'!$AN$2:$AP$2)/10^9,0)</f>
        <v>0</v>
      </c>
      <c r="BH2006" s="160"/>
      <c r="BI2006" s="160"/>
      <c r="BJ2006" s="160"/>
      <c r="BK2006" s="160"/>
      <c r="BL2006" s="160"/>
      <c r="BM2006" s="160"/>
      <c r="BN2006" s="160"/>
      <c r="BO2006" s="160"/>
      <c r="BP2006" s="160"/>
    </row>
    <row r="2007" ht="15.75" hidden="1" customHeight="1" outlineLevel="1">
      <c r="A2007" s="309"/>
      <c r="B2007" s="38"/>
      <c r="C2007" s="174"/>
      <c r="D2007" s="174"/>
      <c r="E2007" s="174"/>
      <c r="F2007" s="174"/>
      <c r="G2007" s="174"/>
      <c r="H2007" s="174"/>
      <c r="I2007" s="174"/>
      <c r="J2007" s="174"/>
      <c r="K2007" s="174"/>
      <c r="L2007" s="174"/>
      <c r="M2007" s="174"/>
      <c r="N2007" s="174"/>
      <c r="O2007" s="174"/>
      <c r="P2007" s="174"/>
      <c r="Q2007" s="174"/>
      <c r="R2007" s="174"/>
      <c r="S2007" s="174"/>
      <c r="T2007" s="174"/>
      <c r="U2007" s="174"/>
      <c r="V2007" s="174"/>
      <c r="W2007" s="160"/>
      <c r="X2007" s="160"/>
      <c r="Y2007" s="160"/>
      <c r="Z2007" s="160"/>
      <c r="AA2007" s="160"/>
      <c r="AB2007" s="160"/>
      <c r="AC2007" s="160"/>
      <c r="AD2007" s="160"/>
      <c r="AE2007" s="160"/>
      <c r="AF2007" s="160"/>
      <c r="AG2007" s="160"/>
      <c r="AH2007" s="160"/>
      <c r="AI2007" s="160"/>
      <c r="AJ2007" s="179"/>
      <c r="AK2007" s="160"/>
      <c r="AL2007" s="177"/>
      <c r="AM2007" s="177"/>
      <c r="AN2007" s="177"/>
      <c r="AO2007" s="160"/>
      <c r="AP2007" s="160"/>
      <c r="AQ2007" s="160"/>
      <c r="AR2007" s="160"/>
      <c r="AS2007" s="160">
        <f>IF($AS$1804&gt;0,'Assumptions (MSW)'!V10*Model!$AS$1804*AVERAGE('Assumptions (MSW)'!$AO$2:$AQ$2)/10^9,0)</f>
        <v>0</v>
      </c>
      <c r="AT2007" s="160">
        <f>IF($AS$1804&gt;0,'Assumptions (MSW)'!W10*Model!$AS$1804*AVERAGE('Assumptions (MSW)'!$AO$2:$AQ$2)/10^9,0)</f>
        <v>0</v>
      </c>
      <c r="AU2007" s="160">
        <f>IF($AS$1804&gt;0,'Assumptions (MSW)'!X10*Model!$AS$1804*AVERAGE('Assumptions (MSW)'!$AO$2:$AQ$2)/10^9,0)</f>
        <v>0</v>
      </c>
      <c r="AV2007" s="160">
        <f>IF($AS$1804&gt;0,'Assumptions (MSW)'!Y10*Model!$AS$1804*AVERAGE('Assumptions (MSW)'!$AO$2:$AQ$2)/10^9,0)</f>
        <v>0</v>
      </c>
      <c r="AW2007" s="160">
        <f>IF($AS$1804&gt;0,'Assumptions (MSW)'!Z10*Model!$AS$1804*AVERAGE('Assumptions (MSW)'!$AO$2:$AQ$2)/10^9,0)</f>
        <v>0</v>
      </c>
      <c r="AX2007" s="160">
        <f>IF($AS$1804&gt;0,'Assumptions (MSW)'!AA10*Model!$AS$1804*AVERAGE('Assumptions (MSW)'!$AO$2:$AQ$2)/10^9,0)</f>
        <v>0</v>
      </c>
      <c r="AY2007" s="160">
        <f>IF($AS$1804&gt;0,'Assumptions (MSW)'!AB10*Model!$AS$1804*AVERAGE('Assumptions (MSW)'!$AO$2:$AQ$2)/10^9,0)</f>
        <v>0</v>
      </c>
      <c r="AZ2007" s="160">
        <f>IF($AS$1804&gt;0,'Assumptions (MSW)'!AC10*Model!$AS$1804*AVERAGE('Assumptions (MSW)'!$AO$2:$AQ$2)/10^9,0)</f>
        <v>0</v>
      </c>
      <c r="BA2007" s="160">
        <f>IF($AS$1804&gt;0,'Assumptions (MSW)'!AD10*Model!$AS$1804*AVERAGE('Assumptions (MSW)'!$AO$2:$AQ$2)/10^9,0)</f>
        <v>0</v>
      </c>
      <c r="BB2007" s="160">
        <f>IF($AS$1804&gt;0,'Assumptions (MSW)'!AE10*Model!$AS$1804*AVERAGE('Assumptions (MSW)'!$AO$2:$AQ$2)/10^9,0)</f>
        <v>0</v>
      </c>
      <c r="BC2007" s="160">
        <f>IF($AS$1804&gt;0,'Assumptions (MSW)'!AF10*Model!$AS$1804*AVERAGE('Assumptions (MSW)'!$AO$2:$AQ$2)/10^9,0)</f>
        <v>0</v>
      </c>
      <c r="BD2007" s="160">
        <f>IF($AS$1804&gt;0,'Assumptions (MSW)'!AG10*Model!$AS$1804*AVERAGE('Assumptions (MSW)'!$AO$2:$AQ$2)/10^9,0)</f>
        <v>0</v>
      </c>
      <c r="BE2007" s="160">
        <f>IF($AS$1804&gt;0,'Assumptions (MSW)'!AH10*Model!$AS$1804*AVERAGE('Assumptions (MSW)'!$AO$2:$AQ$2)/10^9,0)</f>
        <v>0</v>
      </c>
      <c r="BF2007" s="160">
        <f>IF($AS$1804&gt;0,'Assumptions (MSW)'!AI10*Model!$AS$1804*AVERAGE('Assumptions (MSW)'!$AO$2:$AQ$2)/10^9,0)</f>
        <v>0</v>
      </c>
      <c r="BG2007" s="160">
        <f>IF($AS$1804&gt;0,'Assumptions (MSW)'!AJ10*Model!$AS$1804*AVERAGE('Assumptions (MSW)'!$AO$2:$AQ$2)/10^9,0)</f>
        <v>0</v>
      </c>
      <c r="BH2007" s="160">
        <f>IF($AS$1804&gt;0,'Assumptions (MSW)'!AK10*Model!$AS$1804*AVERAGE('Assumptions (MSW)'!$AO$2:$AQ$2)/10^9,0)</f>
        <v>0</v>
      </c>
      <c r="BI2007" s="160"/>
      <c r="BJ2007" s="160"/>
      <c r="BK2007" s="160"/>
      <c r="BL2007" s="160"/>
      <c r="BM2007" s="160"/>
      <c r="BN2007" s="160"/>
      <c r="BO2007" s="160"/>
      <c r="BP2007" s="160"/>
    </row>
    <row r="2008" ht="15.75" hidden="1" customHeight="1" outlineLevel="1">
      <c r="A2008" s="309"/>
      <c r="B2008" s="38"/>
      <c r="C2008" s="174"/>
      <c r="D2008" s="174"/>
      <c r="E2008" s="174"/>
      <c r="F2008" s="174"/>
      <c r="G2008" s="174"/>
      <c r="H2008" s="174"/>
      <c r="I2008" s="174"/>
      <c r="J2008" s="174"/>
      <c r="K2008" s="174"/>
      <c r="L2008" s="174"/>
      <c r="M2008" s="174"/>
      <c r="N2008" s="174"/>
      <c r="O2008" s="174"/>
      <c r="P2008" s="174"/>
      <c r="Q2008" s="174"/>
      <c r="R2008" s="174"/>
      <c r="S2008" s="174"/>
      <c r="T2008" s="174"/>
      <c r="U2008" s="174"/>
      <c r="V2008" s="174"/>
      <c r="W2008" s="160"/>
      <c r="X2008" s="160"/>
      <c r="Y2008" s="160"/>
      <c r="Z2008" s="160"/>
      <c r="AA2008" s="160"/>
      <c r="AB2008" s="160"/>
      <c r="AC2008" s="160"/>
      <c r="AD2008" s="160"/>
      <c r="AE2008" s="160"/>
      <c r="AF2008" s="160"/>
      <c r="AG2008" s="160"/>
      <c r="AH2008" s="160"/>
      <c r="AI2008" s="160"/>
      <c r="AJ2008" s="179"/>
      <c r="AK2008" s="160"/>
      <c r="AL2008" s="177"/>
      <c r="AM2008" s="177"/>
      <c r="AN2008" s="177"/>
      <c r="AO2008" s="160"/>
      <c r="AP2008" s="160"/>
      <c r="AQ2008" s="160"/>
      <c r="AR2008" s="160"/>
      <c r="AS2008" s="160"/>
      <c r="AT2008" s="160">
        <f>IF($AT$1804&gt;0,'Assumptions (MSW)'!V10*Model!$AT$1804*AVERAGE('Assumptions (MSW)'!$AP$2:$AR$2)/10^9,0)</f>
        <v>0</v>
      </c>
      <c r="AU2008" s="160">
        <f>IF($AT$1804&gt;0,'Assumptions (MSW)'!W10*Model!$AT$1804*AVERAGE('Assumptions (MSW)'!$AP$2:$AR$2)/10^9,0)</f>
        <v>0</v>
      </c>
      <c r="AV2008" s="160">
        <f>IF($AT$1804&gt;0,'Assumptions (MSW)'!X10*Model!$AT$1804*AVERAGE('Assumptions (MSW)'!$AP$2:$AR$2)/10^9,0)</f>
        <v>0</v>
      </c>
      <c r="AW2008" s="160">
        <f>IF($AT$1804&gt;0,'Assumptions (MSW)'!Y10*Model!$AT$1804*AVERAGE('Assumptions (MSW)'!$AP$2:$AR$2)/10^9,0)</f>
        <v>0</v>
      </c>
      <c r="AX2008" s="160">
        <f>IF($AT$1804&gt;0,'Assumptions (MSW)'!Z10*Model!$AT$1804*AVERAGE('Assumptions (MSW)'!$AP$2:$AR$2)/10^9,0)</f>
        <v>0</v>
      </c>
      <c r="AY2008" s="160">
        <f>IF($AT$1804&gt;0,'Assumptions (MSW)'!AA10*Model!$AT$1804*AVERAGE('Assumptions (MSW)'!$AP$2:$AR$2)/10^9,0)</f>
        <v>0</v>
      </c>
      <c r="AZ2008" s="160">
        <f>IF($AT$1804&gt;0,'Assumptions (MSW)'!AB10*Model!$AT$1804*AVERAGE('Assumptions (MSW)'!$AP$2:$AR$2)/10^9,0)</f>
        <v>0</v>
      </c>
      <c r="BA2008" s="160">
        <f>IF($AT$1804&gt;0,'Assumptions (MSW)'!AC10*Model!$AT$1804*AVERAGE('Assumptions (MSW)'!$AP$2:$AR$2)/10^9,0)</f>
        <v>0</v>
      </c>
      <c r="BB2008" s="160">
        <f>IF($AT$1804&gt;0,'Assumptions (MSW)'!AD10*Model!$AT$1804*AVERAGE('Assumptions (MSW)'!$AP$2:$AR$2)/10^9,0)</f>
        <v>0</v>
      </c>
      <c r="BC2008" s="160">
        <f>IF($AT$1804&gt;0,'Assumptions (MSW)'!AE10*Model!$AT$1804*AVERAGE('Assumptions (MSW)'!$AP$2:$AR$2)/10^9,0)</f>
        <v>0</v>
      </c>
      <c r="BD2008" s="160">
        <f>IF($AT$1804&gt;0,'Assumptions (MSW)'!AF10*Model!$AT$1804*AVERAGE('Assumptions (MSW)'!$AP$2:$AR$2)/10^9,0)</f>
        <v>0</v>
      </c>
      <c r="BE2008" s="160">
        <f>IF($AT$1804&gt;0,'Assumptions (MSW)'!AG10*Model!$AT$1804*AVERAGE('Assumptions (MSW)'!$AP$2:$AR$2)/10^9,0)</f>
        <v>0</v>
      </c>
      <c r="BF2008" s="160">
        <f>IF($AT$1804&gt;0,'Assumptions (MSW)'!AH10*Model!$AT$1804*AVERAGE('Assumptions (MSW)'!$AP$2:$AR$2)/10^9,0)</f>
        <v>0</v>
      </c>
      <c r="BG2008" s="160">
        <f>IF($AT$1804&gt;0,'Assumptions (MSW)'!AI10*Model!$AT$1804*AVERAGE('Assumptions (MSW)'!$AP$2:$AR$2)/10^9,0)</f>
        <v>0</v>
      </c>
      <c r="BH2008" s="160">
        <f>IF($AT$1804&gt;0,'Assumptions (MSW)'!AJ10*Model!$AT$1804*AVERAGE('Assumptions (MSW)'!$AP$2:$AR$2)/10^9,0)</f>
        <v>0</v>
      </c>
      <c r="BI2008" s="160">
        <f>IF($AT$1804&gt;0,'Assumptions (MSW)'!AK10*Model!$AT$1804*AVERAGE('Assumptions (MSW)'!$AP$2:$AR$2)/10^9,0)</f>
        <v>0</v>
      </c>
      <c r="BJ2008" s="160"/>
      <c r="BK2008" s="160"/>
      <c r="BL2008" s="160"/>
      <c r="BM2008" s="160"/>
      <c r="BN2008" s="160"/>
      <c r="BO2008" s="160"/>
      <c r="BP2008" s="160"/>
    </row>
    <row r="2009" ht="15.75" hidden="1" customHeight="1" outlineLevel="1">
      <c r="A2009" s="309"/>
      <c r="B2009" s="38"/>
      <c r="C2009" s="174"/>
      <c r="D2009" s="174"/>
      <c r="E2009" s="174"/>
      <c r="F2009" s="174"/>
      <c r="G2009" s="174"/>
      <c r="H2009" s="174"/>
      <c r="I2009" s="174"/>
      <c r="J2009" s="174"/>
      <c r="K2009" s="174"/>
      <c r="L2009" s="174"/>
      <c r="M2009" s="174"/>
      <c r="N2009" s="174"/>
      <c r="O2009" s="174"/>
      <c r="P2009" s="174"/>
      <c r="Q2009" s="174"/>
      <c r="R2009" s="174"/>
      <c r="S2009" s="174"/>
      <c r="T2009" s="174"/>
      <c r="U2009" s="174"/>
      <c r="V2009" s="174"/>
      <c r="W2009" s="160"/>
      <c r="X2009" s="160"/>
      <c r="Y2009" s="160"/>
      <c r="Z2009" s="160"/>
      <c r="AA2009" s="160"/>
      <c r="AB2009" s="160"/>
      <c r="AC2009" s="160"/>
      <c r="AD2009" s="160"/>
      <c r="AE2009" s="160"/>
      <c r="AF2009" s="160"/>
      <c r="AG2009" s="160"/>
      <c r="AH2009" s="160"/>
      <c r="AI2009" s="160"/>
      <c r="AJ2009" s="179"/>
      <c r="AK2009" s="160"/>
      <c r="AL2009" s="177"/>
      <c r="AM2009" s="177"/>
      <c r="AN2009" s="177"/>
      <c r="AO2009" s="160"/>
      <c r="AP2009" s="160"/>
      <c r="AQ2009" s="160"/>
      <c r="AR2009" s="160"/>
      <c r="AS2009" s="160"/>
      <c r="AT2009" s="160"/>
      <c r="AU2009" s="160">
        <f>IF($AU$1804&gt;0,'Assumptions (MSW)'!V10*Model!$AU$1804*AVERAGE('Assumptions (MSW)'!$AQ$2:$AS$2)/10^9,0)</f>
        <v>0</v>
      </c>
      <c r="AV2009" s="160">
        <f>IF($AU$1804&gt;0,'Assumptions (MSW)'!W10*Model!$AU$1804*AVERAGE('Assumptions (MSW)'!$AQ$2:$AS$2)/10^9,0)</f>
        <v>0</v>
      </c>
      <c r="AW2009" s="160">
        <f>IF($AU$1804&gt;0,'Assumptions (MSW)'!X10*Model!$AU$1804*AVERAGE('Assumptions (MSW)'!$AQ$2:$AS$2)/10^9,0)</f>
        <v>0</v>
      </c>
      <c r="AX2009" s="160">
        <f>IF($AU$1804&gt;0,'Assumptions (MSW)'!Y10*Model!$AU$1804*AVERAGE('Assumptions (MSW)'!$AQ$2:$AS$2)/10^9,0)</f>
        <v>0</v>
      </c>
      <c r="AY2009" s="160">
        <f>IF($AU$1804&gt;0,'Assumptions (MSW)'!Z10*Model!$AU$1804*AVERAGE('Assumptions (MSW)'!$AQ$2:$AS$2)/10^9,0)</f>
        <v>0</v>
      </c>
      <c r="AZ2009" s="160">
        <f>IF($AU$1804&gt;0,'Assumptions (MSW)'!AA10*Model!$AU$1804*AVERAGE('Assumptions (MSW)'!$AQ$2:$AS$2)/10^9,0)</f>
        <v>0</v>
      </c>
      <c r="BA2009" s="160">
        <f>IF($AU$1804&gt;0,'Assumptions (MSW)'!AB10*Model!$AU$1804*AVERAGE('Assumptions (MSW)'!$AQ$2:$AS$2)/10^9,0)</f>
        <v>0</v>
      </c>
      <c r="BB2009" s="160">
        <f>IF($AU$1804&gt;0,'Assumptions (MSW)'!AC10*Model!$AU$1804*AVERAGE('Assumptions (MSW)'!$AQ$2:$AS$2)/10^9,0)</f>
        <v>0</v>
      </c>
      <c r="BC2009" s="160">
        <f>IF($AU$1804&gt;0,'Assumptions (MSW)'!AD10*Model!$AU$1804*AVERAGE('Assumptions (MSW)'!$AQ$2:$AS$2)/10^9,0)</f>
        <v>0</v>
      </c>
      <c r="BD2009" s="160">
        <f>IF($AU$1804&gt;0,'Assumptions (MSW)'!AE10*Model!$AU$1804*AVERAGE('Assumptions (MSW)'!$AQ$2:$AS$2)/10^9,0)</f>
        <v>0</v>
      </c>
      <c r="BE2009" s="160">
        <f>IF($AU$1804&gt;0,'Assumptions (MSW)'!AF10*Model!$AU$1804*AVERAGE('Assumptions (MSW)'!$AQ$2:$AS$2)/10^9,0)</f>
        <v>0</v>
      </c>
      <c r="BF2009" s="160">
        <f>IF($AU$1804&gt;0,'Assumptions (MSW)'!AG10*Model!$AU$1804*AVERAGE('Assumptions (MSW)'!$AQ$2:$AS$2)/10^9,0)</f>
        <v>0</v>
      </c>
      <c r="BG2009" s="160">
        <f>IF($AU$1804&gt;0,'Assumptions (MSW)'!AH10*Model!$AU$1804*AVERAGE('Assumptions (MSW)'!$AQ$2:$AS$2)/10^9,0)</f>
        <v>0</v>
      </c>
      <c r="BH2009" s="160">
        <f>IF($AU$1804&gt;0,'Assumptions (MSW)'!AI10*Model!$AU$1804*AVERAGE('Assumptions (MSW)'!$AQ$2:$AS$2)/10^9,0)</f>
        <v>0</v>
      </c>
      <c r="BI2009" s="160">
        <f>IF($AU$1804&gt;0,'Assumptions (MSW)'!AJ10*Model!$AU$1804*AVERAGE('Assumptions (MSW)'!$AQ$2:$AS$2)/10^9,0)</f>
        <v>0</v>
      </c>
      <c r="BJ2009" s="160">
        <f>IF($AU$1804&gt;0,'Assumptions (MSW)'!AK10*Model!$AU$1804*AVERAGE('Assumptions (MSW)'!$AQ$2:$AS$2)/10^9,0)</f>
        <v>0</v>
      </c>
      <c r="BK2009" s="160"/>
      <c r="BL2009" s="160"/>
      <c r="BM2009" s="160"/>
      <c r="BN2009" s="160"/>
      <c r="BO2009" s="160"/>
      <c r="BP2009" s="160"/>
    </row>
    <row r="2010" ht="15.75" hidden="1" customHeight="1" outlineLevel="1">
      <c r="A2010" s="309"/>
      <c r="B2010" s="38"/>
      <c r="C2010" s="174"/>
      <c r="D2010" s="174"/>
      <c r="E2010" s="174"/>
      <c r="F2010" s="174"/>
      <c r="G2010" s="174"/>
      <c r="H2010" s="174"/>
      <c r="I2010" s="174"/>
      <c r="J2010" s="174"/>
      <c r="K2010" s="174"/>
      <c r="L2010" s="174"/>
      <c r="M2010" s="174"/>
      <c r="N2010" s="174"/>
      <c r="O2010" s="174"/>
      <c r="P2010" s="174"/>
      <c r="Q2010" s="174"/>
      <c r="R2010" s="174"/>
      <c r="S2010" s="174"/>
      <c r="T2010" s="174"/>
      <c r="U2010" s="174"/>
      <c r="V2010" s="174"/>
      <c r="W2010" s="160"/>
      <c r="X2010" s="160"/>
      <c r="Y2010" s="160"/>
      <c r="Z2010" s="160"/>
      <c r="AA2010" s="160"/>
      <c r="AB2010" s="160"/>
      <c r="AC2010" s="160"/>
      <c r="AD2010" s="160"/>
      <c r="AE2010" s="160"/>
      <c r="AF2010" s="160"/>
      <c r="AG2010" s="160"/>
      <c r="AH2010" s="160"/>
      <c r="AI2010" s="160"/>
      <c r="AJ2010" s="179"/>
      <c r="AK2010" s="160"/>
      <c r="AL2010" s="177"/>
      <c r="AM2010" s="177"/>
      <c r="AN2010" s="177"/>
      <c r="AO2010" s="160"/>
      <c r="AP2010" s="160"/>
      <c r="AQ2010" s="160"/>
      <c r="AR2010" s="160"/>
      <c r="AS2010" s="160"/>
      <c r="AT2010" s="160"/>
      <c r="AU2010" s="160"/>
      <c r="AV2010" s="160">
        <f>IF($AV$1804&gt;0,'Assumptions (MSW)'!V10*Model!$AV$1804*AVERAGE('Assumptions (MSW)'!$AR$2:$AT$2)/10^9,0)</f>
        <v>0</v>
      </c>
      <c r="AW2010" s="160">
        <f>IF($AV$1804&gt;0,'Assumptions (MSW)'!W10*Model!$AV$1804*AVERAGE('Assumptions (MSW)'!$AR$2:$AT$2)/10^9,0)</f>
        <v>0</v>
      </c>
      <c r="AX2010" s="160">
        <f>IF($AV$1804&gt;0,'Assumptions (MSW)'!X10*Model!$AV$1804*AVERAGE('Assumptions (MSW)'!$AR$2:$AT$2)/10^9,0)</f>
        <v>0</v>
      </c>
      <c r="AY2010" s="160">
        <f>IF($AV$1804&gt;0,'Assumptions (MSW)'!Y10*Model!$AV$1804*AVERAGE('Assumptions (MSW)'!$AR$2:$AT$2)/10^9,0)</f>
        <v>0</v>
      </c>
      <c r="AZ2010" s="160">
        <f>IF($AV$1804&gt;0,'Assumptions (MSW)'!Z10*Model!$AV$1804*AVERAGE('Assumptions (MSW)'!$AR$2:$AT$2)/10^9,0)</f>
        <v>0</v>
      </c>
      <c r="BA2010" s="160">
        <f>IF($AV$1804&gt;0,'Assumptions (MSW)'!AA10*Model!$AV$1804*AVERAGE('Assumptions (MSW)'!$AR$2:$AT$2)/10^9,0)</f>
        <v>0</v>
      </c>
      <c r="BB2010" s="160">
        <f>IF($AV$1804&gt;0,'Assumptions (MSW)'!AB10*Model!$AV$1804*AVERAGE('Assumptions (MSW)'!$AR$2:$AT$2)/10^9,0)</f>
        <v>0</v>
      </c>
      <c r="BC2010" s="160">
        <f>IF($AV$1804&gt;0,'Assumptions (MSW)'!AC10*Model!$AV$1804*AVERAGE('Assumptions (MSW)'!$AR$2:$AT$2)/10^9,0)</f>
        <v>0</v>
      </c>
      <c r="BD2010" s="160">
        <f>IF($AV$1804&gt;0,'Assumptions (MSW)'!AD10*Model!$AV$1804*AVERAGE('Assumptions (MSW)'!$AR$2:$AT$2)/10^9,0)</f>
        <v>0</v>
      </c>
      <c r="BE2010" s="160">
        <f>IF($AV$1804&gt;0,'Assumptions (MSW)'!AE10*Model!$AV$1804*AVERAGE('Assumptions (MSW)'!$AR$2:$AT$2)/10^9,0)</f>
        <v>0</v>
      </c>
      <c r="BF2010" s="160">
        <f>IF($AV$1804&gt;0,'Assumptions (MSW)'!AF10*Model!$AV$1804*AVERAGE('Assumptions (MSW)'!$AR$2:$AT$2)/10^9,0)</f>
        <v>0</v>
      </c>
      <c r="BG2010" s="160">
        <f>IF($AV$1804&gt;0,'Assumptions (MSW)'!AG10*Model!$AV$1804*AVERAGE('Assumptions (MSW)'!$AR$2:$AT$2)/10^9,0)</f>
        <v>0</v>
      </c>
      <c r="BH2010" s="160">
        <f>IF($AV$1804&gt;0,'Assumptions (MSW)'!AH10*Model!$AV$1804*AVERAGE('Assumptions (MSW)'!$AR$2:$AT$2)/10^9,0)</f>
        <v>0</v>
      </c>
      <c r="BI2010" s="160">
        <f>IF($AV$1804&gt;0,'Assumptions (MSW)'!AI10*Model!$AV$1804*AVERAGE('Assumptions (MSW)'!$AR$2:$AT$2)/10^9,0)</f>
        <v>0</v>
      </c>
      <c r="BJ2010" s="160">
        <f>IF($AV$1804&gt;0,'Assumptions (MSW)'!AJ10*Model!$AV$1804*AVERAGE('Assumptions (MSW)'!$AR$2:$AT$2)/10^9,0)</f>
        <v>0</v>
      </c>
      <c r="BK2010" s="160">
        <f>IF($AV$1804&gt;0,'Assumptions (MSW)'!AK10*Model!$AV$1804*AVERAGE('Assumptions (MSW)'!$AR$2:$AT$2)/10^9,0)</f>
        <v>0</v>
      </c>
      <c r="BL2010" s="160"/>
      <c r="BM2010" s="160"/>
      <c r="BN2010" s="160"/>
      <c r="BO2010" s="160"/>
      <c r="BP2010" s="160"/>
    </row>
    <row r="2011" ht="15.75" hidden="1" customHeight="1" outlineLevel="1">
      <c r="A2011" s="309"/>
      <c r="B2011" s="38"/>
      <c r="C2011" s="174"/>
      <c r="D2011" s="174"/>
      <c r="E2011" s="174"/>
      <c r="F2011" s="174"/>
      <c r="G2011" s="174"/>
      <c r="H2011" s="174"/>
      <c r="I2011" s="174"/>
      <c r="J2011" s="174"/>
      <c r="K2011" s="174"/>
      <c r="L2011" s="174"/>
      <c r="M2011" s="174"/>
      <c r="N2011" s="174"/>
      <c r="O2011" s="174"/>
      <c r="P2011" s="174"/>
      <c r="Q2011" s="174"/>
      <c r="R2011" s="174"/>
      <c r="S2011" s="174"/>
      <c r="T2011" s="174"/>
      <c r="U2011" s="174"/>
      <c r="V2011" s="174"/>
      <c r="W2011" s="160"/>
      <c r="X2011" s="160"/>
      <c r="Y2011" s="160"/>
      <c r="Z2011" s="160"/>
      <c r="AA2011" s="160"/>
      <c r="AB2011" s="160"/>
      <c r="AC2011" s="160"/>
      <c r="AD2011" s="160"/>
      <c r="AE2011" s="160"/>
      <c r="AF2011" s="160"/>
      <c r="AG2011" s="160"/>
      <c r="AH2011" s="160"/>
      <c r="AI2011" s="160"/>
      <c r="AJ2011" s="179"/>
      <c r="AK2011" s="160"/>
      <c r="AL2011" s="177"/>
      <c r="AM2011" s="177"/>
      <c r="AN2011" s="177"/>
      <c r="AO2011" s="160"/>
      <c r="AP2011" s="160"/>
      <c r="AQ2011" s="160"/>
      <c r="AR2011" s="160"/>
      <c r="AS2011" s="160"/>
      <c r="AT2011" s="160"/>
      <c r="AU2011" s="160"/>
      <c r="AV2011" s="160"/>
      <c r="AW2011" s="160">
        <f>IF($AW$1804&gt;0,'Assumptions (MSW)'!V10*Model!$AW$1804*AVERAGE('Assumptions (MSW)'!$AS$2:$AU$2)/10^9,0)</f>
        <v>0</v>
      </c>
      <c r="AX2011" s="160">
        <f>IF($AW$1804&gt;0,'Assumptions (MSW)'!W10*Model!$AW$1804*AVERAGE('Assumptions (MSW)'!$AS$2:$AU$2)/10^9,0)</f>
        <v>0</v>
      </c>
      <c r="AY2011" s="160">
        <f>IF($AW$1804&gt;0,'Assumptions (MSW)'!X10*Model!$AW$1804*AVERAGE('Assumptions (MSW)'!$AS$2:$AU$2)/10^9,0)</f>
        <v>0</v>
      </c>
      <c r="AZ2011" s="160">
        <f>IF($AW$1804&gt;0,'Assumptions (MSW)'!Y10*Model!$AW$1804*AVERAGE('Assumptions (MSW)'!$AS$2:$AU$2)/10^9,0)</f>
        <v>0</v>
      </c>
      <c r="BA2011" s="160">
        <f>IF($AW$1804&gt;0,'Assumptions (MSW)'!Z10*Model!$AW$1804*AVERAGE('Assumptions (MSW)'!$AS$2:$AU$2)/10^9,0)</f>
        <v>0</v>
      </c>
      <c r="BB2011" s="160">
        <f>IF($AW$1804&gt;0,'Assumptions (MSW)'!AA10*Model!$AW$1804*AVERAGE('Assumptions (MSW)'!$AS$2:$AU$2)/10^9,0)</f>
        <v>0</v>
      </c>
      <c r="BC2011" s="160">
        <f>IF($AW$1804&gt;0,'Assumptions (MSW)'!AB10*Model!$AW$1804*AVERAGE('Assumptions (MSW)'!$AS$2:$AU$2)/10^9,0)</f>
        <v>0</v>
      </c>
      <c r="BD2011" s="160">
        <f>IF($AW$1804&gt;0,'Assumptions (MSW)'!AC10*Model!$AW$1804*AVERAGE('Assumptions (MSW)'!$AS$2:$AU$2)/10^9,0)</f>
        <v>0</v>
      </c>
      <c r="BE2011" s="160">
        <f>IF($AW$1804&gt;0,'Assumptions (MSW)'!AD10*Model!$AW$1804*AVERAGE('Assumptions (MSW)'!$AS$2:$AU$2)/10^9,0)</f>
        <v>0</v>
      </c>
      <c r="BF2011" s="160">
        <f>IF($AW$1804&gt;0,'Assumptions (MSW)'!AE10*Model!$AW$1804*AVERAGE('Assumptions (MSW)'!$AS$2:$AU$2)/10^9,0)</f>
        <v>0</v>
      </c>
      <c r="BG2011" s="160">
        <f>IF($AW$1804&gt;0,'Assumptions (MSW)'!AF10*Model!$AW$1804*AVERAGE('Assumptions (MSW)'!$AS$2:$AU$2)/10^9,0)</f>
        <v>0</v>
      </c>
      <c r="BH2011" s="160">
        <f>IF($AW$1804&gt;0,'Assumptions (MSW)'!AG10*Model!$AW$1804*AVERAGE('Assumptions (MSW)'!$AS$2:$AU$2)/10^9,0)</f>
        <v>0</v>
      </c>
      <c r="BI2011" s="160">
        <f>IF($AW$1804&gt;0,'Assumptions (MSW)'!AH10*Model!$AW$1804*AVERAGE('Assumptions (MSW)'!$AS$2:$AU$2)/10^9,0)</f>
        <v>0</v>
      </c>
      <c r="BJ2011" s="160">
        <f>IF($AW$1804&gt;0,'Assumptions (MSW)'!AI10*Model!$AW$1804*AVERAGE('Assumptions (MSW)'!$AS$2:$AU$2)/10^9,0)</f>
        <v>0</v>
      </c>
      <c r="BK2011" s="160">
        <f>IF($AW$1804&gt;0,'Assumptions (MSW)'!AJ10*Model!$AW$1804*AVERAGE('Assumptions (MSW)'!$AS$2:$AU$2)/10^9,0)</f>
        <v>0</v>
      </c>
      <c r="BL2011" s="160">
        <f>IF($AW$1804&gt;0,'Assumptions (MSW)'!AK10*Model!$AW$1804*AVERAGE('Assumptions (MSW)'!$AS$2:$AU$2)/10^9,0)</f>
        <v>0</v>
      </c>
      <c r="BM2011" s="160"/>
      <c r="BN2011" s="160"/>
      <c r="BO2011" s="160"/>
      <c r="BP2011" s="160"/>
    </row>
    <row r="2012" ht="15.75" hidden="1" customHeight="1" outlineLevel="1">
      <c r="A2012" s="309"/>
      <c r="B2012" s="38"/>
      <c r="C2012" s="174"/>
      <c r="D2012" s="174"/>
      <c r="E2012" s="174"/>
      <c r="F2012" s="174"/>
      <c r="G2012" s="174"/>
      <c r="H2012" s="174"/>
      <c r="I2012" s="174"/>
      <c r="J2012" s="174"/>
      <c r="K2012" s="174"/>
      <c r="L2012" s="174"/>
      <c r="M2012" s="174"/>
      <c r="N2012" s="174"/>
      <c r="O2012" s="174"/>
      <c r="P2012" s="174"/>
      <c r="Q2012" s="174"/>
      <c r="R2012" s="174"/>
      <c r="S2012" s="174"/>
      <c r="T2012" s="174"/>
      <c r="U2012" s="174"/>
      <c r="V2012" s="174"/>
      <c r="W2012" s="160"/>
      <c r="X2012" s="160"/>
      <c r="Y2012" s="160"/>
      <c r="Z2012" s="160"/>
      <c r="AA2012" s="160"/>
      <c r="AB2012" s="160"/>
      <c r="AC2012" s="160"/>
      <c r="AD2012" s="160"/>
      <c r="AE2012" s="160"/>
      <c r="AF2012" s="160"/>
      <c r="AG2012" s="160"/>
      <c r="AH2012" s="160"/>
      <c r="AI2012" s="160"/>
      <c r="AJ2012" s="179"/>
      <c r="AK2012" s="160"/>
      <c r="AL2012" s="177"/>
      <c r="AM2012" s="177"/>
      <c r="AN2012" s="177"/>
      <c r="AO2012" s="160"/>
      <c r="AP2012" s="160"/>
      <c r="AQ2012" s="160"/>
      <c r="AR2012" s="160"/>
      <c r="AS2012" s="160"/>
      <c r="AT2012" s="160"/>
      <c r="AU2012" s="160"/>
      <c r="AV2012" s="160"/>
      <c r="AW2012" s="160"/>
      <c r="AX2012" s="160">
        <f>IF($AX$1804&gt;0,'Assumptions (MSW)'!V10*Model!$AX$1804*AVERAGE('Assumptions (MSW)'!$AT$2:$AV$2)/10^9,0)</f>
        <v>0</v>
      </c>
      <c r="AY2012" s="160">
        <f>IF($AX$1804&gt;0,'Assumptions (MSW)'!W10*Model!$AX$1804*AVERAGE('Assumptions (MSW)'!$AT$2:$AV$2)/10^9,0)</f>
        <v>0</v>
      </c>
      <c r="AZ2012" s="160">
        <f>IF($AX$1804&gt;0,'Assumptions (MSW)'!X10*Model!$AX$1804*AVERAGE('Assumptions (MSW)'!$AT$2:$AV$2)/10^9,0)</f>
        <v>0</v>
      </c>
      <c r="BA2012" s="160">
        <f>IF($AX$1804&gt;0,'Assumptions (MSW)'!Y10*Model!$AX$1804*AVERAGE('Assumptions (MSW)'!$AT$2:$AV$2)/10^9,0)</f>
        <v>0</v>
      </c>
      <c r="BB2012" s="160">
        <f>IF($AX$1804&gt;0,'Assumptions (MSW)'!Z10*Model!$AX$1804*AVERAGE('Assumptions (MSW)'!$AT$2:$AV$2)/10^9,0)</f>
        <v>0</v>
      </c>
      <c r="BC2012" s="160">
        <f>IF($AX$1804&gt;0,'Assumptions (MSW)'!AA10*Model!$AX$1804*AVERAGE('Assumptions (MSW)'!$AT$2:$AV$2)/10^9,0)</f>
        <v>0</v>
      </c>
      <c r="BD2012" s="160">
        <f>IF($AX$1804&gt;0,'Assumptions (MSW)'!AB10*Model!$AX$1804*AVERAGE('Assumptions (MSW)'!$AT$2:$AV$2)/10^9,0)</f>
        <v>0</v>
      </c>
      <c r="BE2012" s="160">
        <f>IF($AX$1804&gt;0,'Assumptions (MSW)'!AC10*Model!$AX$1804*AVERAGE('Assumptions (MSW)'!$AT$2:$AV$2)/10^9,0)</f>
        <v>0</v>
      </c>
      <c r="BF2012" s="160">
        <f>IF($AX$1804&gt;0,'Assumptions (MSW)'!AD10*Model!$AX$1804*AVERAGE('Assumptions (MSW)'!$AT$2:$AV$2)/10^9,0)</f>
        <v>0</v>
      </c>
      <c r="BG2012" s="160">
        <f>IF($AX$1804&gt;0,'Assumptions (MSW)'!AE10*Model!$AX$1804*AVERAGE('Assumptions (MSW)'!$AT$2:$AV$2)/10^9,0)</f>
        <v>0</v>
      </c>
      <c r="BH2012" s="160">
        <f>IF($AX$1804&gt;0,'Assumptions (MSW)'!AF10*Model!$AX$1804*AVERAGE('Assumptions (MSW)'!$AT$2:$AV$2)/10^9,0)</f>
        <v>0</v>
      </c>
      <c r="BI2012" s="160">
        <f>IF($AX$1804&gt;0,'Assumptions (MSW)'!AG10*Model!$AX$1804*AVERAGE('Assumptions (MSW)'!$AT$2:$AV$2)/10^9,0)</f>
        <v>0</v>
      </c>
      <c r="BJ2012" s="160">
        <f>IF($AX$1804&gt;0,'Assumptions (MSW)'!AH10*Model!$AX$1804*AVERAGE('Assumptions (MSW)'!$AT$2:$AV$2)/10^9,0)</f>
        <v>0</v>
      </c>
      <c r="BK2012" s="160">
        <f>IF($AX$1804&gt;0,'Assumptions (MSW)'!AI10*Model!$AX$1804*AVERAGE('Assumptions (MSW)'!$AT$2:$AV$2)/10^9,0)</f>
        <v>0</v>
      </c>
      <c r="BL2012" s="160">
        <f>IF($AX$1804&gt;0,'Assumptions (MSW)'!AJ10*Model!$AX$1804*AVERAGE('Assumptions (MSW)'!$AT$2:$AV$2)/10^9,0)</f>
        <v>0</v>
      </c>
      <c r="BM2012" s="160">
        <f>IF($AX$1804&gt;0,'Assumptions (MSW)'!AK10*Model!$AX$1804*AVERAGE('Assumptions (MSW)'!$AT$2:$AV$2)/10^9,0)</f>
        <v>0</v>
      </c>
      <c r="BN2012" s="160"/>
      <c r="BO2012" s="160"/>
      <c r="BP2012" s="160"/>
    </row>
    <row r="2013" ht="15.75" hidden="1" customHeight="1" outlineLevel="1">
      <c r="A2013" s="309"/>
      <c r="B2013" s="38"/>
      <c r="C2013" s="174"/>
      <c r="D2013" s="174"/>
      <c r="E2013" s="174"/>
      <c r="F2013" s="174"/>
      <c r="G2013" s="174"/>
      <c r="H2013" s="174"/>
      <c r="I2013" s="174"/>
      <c r="J2013" s="174"/>
      <c r="K2013" s="174"/>
      <c r="L2013" s="174"/>
      <c r="M2013" s="174"/>
      <c r="N2013" s="174"/>
      <c r="O2013" s="174"/>
      <c r="P2013" s="174"/>
      <c r="Q2013" s="174"/>
      <c r="R2013" s="174"/>
      <c r="S2013" s="174"/>
      <c r="T2013" s="174"/>
      <c r="U2013" s="174"/>
      <c r="V2013" s="174"/>
      <c r="W2013" s="160"/>
      <c r="X2013" s="160"/>
      <c r="Y2013" s="160"/>
      <c r="Z2013" s="160"/>
      <c r="AA2013" s="160"/>
      <c r="AB2013" s="160"/>
      <c r="AC2013" s="160"/>
      <c r="AD2013" s="160"/>
      <c r="AE2013" s="160"/>
      <c r="AF2013" s="160"/>
      <c r="AG2013" s="160"/>
      <c r="AH2013" s="160"/>
      <c r="AI2013" s="160"/>
      <c r="AJ2013" s="179"/>
      <c r="AK2013" s="160"/>
      <c r="AL2013" s="177"/>
      <c r="AM2013" s="177"/>
      <c r="AN2013" s="177"/>
      <c r="AO2013" s="160"/>
      <c r="AP2013" s="160"/>
      <c r="AQ2013" s="160"/>
      <c r="AR2013" s="160"/>
      <c r="AS2013" s="160"/>
      <c r="AT2013" s="160"/>
      <c r="AU2013" s="160"/>
      <c r="AV2013" s="160"/>
      <c r="AW2013" s="160"/>
      <c r="AX2013" s="160"/>
      <c r="AY2013" s="160">
        <f>IF($AY$1804&gt;0,'Assumptions (MSW)'!V10*Model!$AY$1804*AVERAGE('Assumptions (MSW)'!$AU$2:$AW$2)/10^9,0)</f>
        <v>0</v>
      </c>
      <c r="AZ2013" s="160">
        <f>IF($AY$1804&gt;0,'Assumptions (MSW)'!W10*Model!$AY$1804*AVERAGE('Assumptions (MSW)'!$AU$2:$AW$2)/10^9,0)</f>
        <v>0</v>
      </c>
      <c r="BA2013" s="160">
        <f>IF($AY$1804&gt;0,'Assumptions (MSW)'!X10*Model!$AY$1804*AVERAGE('Assumptions (MSW)'!$AU$2:$AW$2)/10^9,0)</f>
        <v>0</v>
      </c>
      <c r="BB2013" s="160">
        <f>IF($AY$1804&gt;0,'Assumptions (MSW)'!Y10*Model!$AY$1804*AVERAGE('Assumptions (MSW)'!$AU$2:$AW$2)/10^9,0)</f>
        <v>0</v>
      </c>
      <c r="BC2013" s="160">
        <f>IF($AY$1804&gt;0,'Assumptions (MSW)'!Z10*Model!$AY$1804*AVERAGE('Assumptions (MSW)'!$AU$2:$AW$2)/10^9,0)</f>
        <v>0</v>
      </c>
      <c r="BD2013" s="160">
        <f>IF($AY$1804&gt;0,'Assumptions (MSW)'!AA10*Model!$AY$1804*AVERAGE('Assumptions (MSW)'!$AU$2:$AW$2)/10^9,0)</f>
        <v>0</v>
      </c>
      <c r="BE2013" s="160">
        <f>IF($AY$1804&gt;0,'Assumptions (MSW)'!AB10*Model!$AY$1804*AVERAGE('Assumptions (MSW)'!$AU$2:$AW$2)/10^9,0)</f>
        <v>0</v>
      </c>
      <c r="BF2013" s="160">
        <f>IF($AY$1804&gt;0,'Assumptions (MSW)'!AC10*Model!$AY$1804*AVERAGE('Assumptions (MSW)'!$AU$2:$AW$2)/10^9,0)</f>
        <v>0</v>
      </c>
      <c r="BG2013" s="160">
        <f>IF($AY$1804&gt;0,'Assumptions (MSW)'!AD10*Model!$AY$1804*AVERAGE('Assumptions (MSW)'!$AU$2:$AW$2)/10^9,0)</f>
        <v>0</v>
      </c>
      <c r="BH2013" s="160">
        <f>IF($AY$1804&gt;0,'Assumptions (MSW)'!AE10*Model!$AY$1804*AVERAGE('Assumptions (MSW)'!$AU$2:$AW$2)/10^9,0)</f>
        <v>0</v>
      </c>
      <c r="BI2013" s="160">
        <f>IF($AY$1804&gt;0,'Assumptions (MSW)'!AF10*Model!$AY$1804*AVERAGE('Assumptions (MSW)'!$AU$2:$AW$2)/10^9,0)</f>
        <v>0</v>
      </c>
      <c r="BJ2013" s="160">
        <f>IF($AY$1804&gt;0,'Assumptions (MSW)'!AG10*Model!$AY$1804*AVERAGE('Assumptions (MSW)'!$AU$2:$AW$2)/10^9,0)</f>
        <v>0</v>
      </c>
      <c r="BK2013" s="160">
        <f>IF($AY$1804&gt;0,'Assumptions (MSW)'!AH10*Model!$AY$1804*AVERAGE('Assumptions (MSW)'!$AU$2:$AW$2)/10^9,0)</f>
        <v>0</v>
      </c>
      <c r="BL2013" s="160">
        <f>IF($AY$1804&gt;0,'Assumptions (MSW)'!AI10*Model!$AY$1804*AVERAGE('Assumptions (MSW)'!$AU$2:$AW$2)/10^9,0)</f>
        <v>0</v>
      </c>
      <c r="BM2013" s="160">
        <f>IF($AY$1804&gt;0,'Assumptions (MSW)'!AJ10*Model!$AY$1804*AVERAGE('Assumptions (MSW)'!$AU$2:$AW$2)/10^9,0)</f>
        <v>0</v>
      </c>
      <c r="BN2013" s="160">
        <f>IF($AY$1804&gt;0,'Assumptions (MSW)'!AK10*Model!$AY$1804*AVERAGE('Assumptions (MSW)'!$AU$2:$AW$2)/10^9,0)</f>
        <v>0</v>
      </c>
      <c r="BO2013" s="160"/>
      <c r="BP2013" s="160"/>
    </row>
    <row r="2014" ht="15.75" hidden="1" customHeight="1" outlineLevel="1">
      <c r="A2014" s="309"/>
      <c r="B2014" s="38"/>
      <c r="C2014" s="174"/>
      <c r="D2014" s="174"/>
      <c r="E2014" s="174"/>
      <c r="F2014" s="174"/>
      <c r="G2014" s="174"/>
      <c r="H2014" s="174"/>
      <c r="I2014" s="174"/>
      <c r="J2014" s="174"/>
      <c r="K2014" s="174"/>
      <c r="L2014" s="174"/>
      <c r="M2014" s="174"/>
      <c r="N2014" s="174"/>
      <c r="O2014" s="174"/>
      <c r="P2014" s="174"/>
      <c r="Q2014" s="174"/>
      <c r="R2014" s="174"/>
      <c r="S2014" s="174"/>
      <c r="T2014" s="174"/>
      <c r="U2014" s="174"/>
      <c r="V2014" s="174"/>
      <c r="W2014" s="160"/>
      <c r="X2014" s="160"/>
      <c r="Y2014" s="160"/>
      <c r="Z2014" s="160"/>
      <c r="AA2014" s="160"/>
      <c r="AB2014" s="160"/>
      <c r="AC2014" s="160"/>
      <c r="AD2014" s="160"/>
      <c r="AE2014" s="160"/>
      <c r="AF2014" s="160"/>
      <c r="AG2014" s="160"/>
      <c r="AH2014" s="160"/>
      <c r="AI2014" s="160"/>
      <c r="AJ2014" s="179"/>
      <c r="AK2014" s="160"/>
      <c r="AL2014" s="177"/>
      <c r="AM2014" s="177"/>
      <c r="AN2014" s="177"/>
      <c r="AO2014" s="160"/>
      <c r="AP2014" s="160"/>
      <c r="AQ2014" s="160"/>
      <c r="AR2014" s="160"/>
      <c r="AS2014" s="160"/>
      <c r="AT2014" s="160"/>
      <c r="AU2014" s="160"/>
      <c r="AV2014" s="160"/>
      <c r="AW2014" s="160"/>
      <c r="AX2014" s="160"/>
      <c r="AY2014" s="160"/>
      <c r="AZ2014" s="160">
        <f>IF($AZ$1804&gt;0,'Assumptions (MSW)'!V10*Model!$AZ$1804*AVERAGE('Assumptions (MSW)'!$AV$2:$AX$2)/10^9,0)</f>
        <v>0</v>
      </c>
      <c r="BA2014" s="160">
        <f>IF($AZ$1804&gt;0,'Assumptions (MSW)'!W10*Model!$AZ$1804*AVERAGE('Assumptions (MSW)'!$AV$2:$AX$2)/10^9,0)</f>
        <v>0</v>
      </c>
      <c r="BB2014" s="160">
        <f>IF($AZ$1804&gt;0,'Assumptions (MSW)'!X10*Model!$AZ$1804*AVERAGE('Assumptions (MSW)'!$AV$2:$AX$2)/10^9,0)</f>
        <v>0</v>
      </c>
      <c r="BC2014" s="160">
        <f>IF($AZ$1804&gt;0,'Assumptions (MSW)'!Y10*Model!$AZ$1804*AVERAGE('Assumptions (MSW)'!$AV$2:$AX$2)/10^9,0)</f>
        <v>0</v>
      </c>
      <c r="BD2014" s="160">
        <f>IF($AZ$1804&gt;0,'Assumptions (MSW)'!Z10*Model!$AZ$1804*AVERAGE('Assumptions (MSW)'!$AV$2:$AX$2)/10^9,0)</f>
        <v>0</v>
      </c>
      <c r="BE2014" s="160">
        <f>IF($AZ$1804&gt;0,'Assumptions (MSW)'!AA10*Model!$AZ$1804*AVERAGE('Assumptions (MSW)'!$AV$2:$AX$2)/10^9,0)</f>
        <v>0</v>
      </c>
      <c r="BF2014" s="160">
        <f>IF($AZ$1804&gt;0,'Assumptions (MSW)'!AB10*Model!$AZ$1804*AVERAGE('Assumptions (MSW)'!$AV$2:$AX$2)/10^9,0)</f>
        <v>0</v>
      </c>
      <c r="BG2014" s="160">
        <f>IF($AZ$1804&gt;0,'Assumptions (MSW)'!AC10*Model!$AZ$1804*AVERAGE('Assumptions (MSW)'!$AV$2:$AX$2)/10^9,0)</f>
        <v>0</v>
      </c>
      <c r="BH2014" s="160">
        <f>IF($AZ$1804&gt;0,'Assumptions (MSW)'!AD10*Model!$AZ$1804*AVERAGE('Assumptions (MSW)'!$AV$2:$AX$2)/10^9,0)</f>
        <v>0</v>
      </c>
      <c r="BI2014" s="160">
        <f>IF($AZ$1804&gt;0,'Assumptions (MSW)'!AE10*Model!$AZ$1804*AVERAGE('Assumptions (MSW)'!$AV$2:$AX$2)/10^9,0)</f>
        <v>0</v>
      </c>
      <c r="BJ2014" s="160">
        <f>IF($AZ$1804&gt;0,'Assumptions (MSW)'!AF10*Model!$AZ$1804*AVERAGE('Assumptions (MSW)'!$AV$2:$AX$2)/10^9,0)</f>
        <v>0</v>
      </c>
      <c r="BK2014" s="160">
        <f>IF($AZ$1804&gt;0,'Assumptions (MSW)'!AG10*Model!$AZ$1804*AVERAGE('Assumptions (MSW)'!$AV$2:$AX$2)/10^9,0)</f>
        <v>0</v>
      </c>
      <c r="BL2014" s="160">
        <f>IF($AZ$1804&gt;0,'Assumptions (MSW)'!AH10*Model!$AZ$1804*AVERAGE('Assumptions (MSW)'!$AV$2:$AX$2)/10^9,0)</f>
        <v>0</v>
      </c>
      <c r="BM2014" s="160">
        <f>IF($AZ$1804&gt;0,'Assumptions (MSW)'!AI10*Model!$AZ$1804*AVERAGE('Assumptions (MSW)'!$AV$2:$AX$2)/10^9,0)</f>
        <v>0</v>
      </c>
      <c r="BN2014" s="160">
        <f>IF($AZ$1804&gt;0,'Assumptions (MSW)'!AJ10*Model!$AZ$1804*AVERAGE('Assumptions (MSW)'!$AV$2:$AX$2)/10^9,0)</f>
        <v>0</v>
      </c>
      <c r="BO2014" s="160">
        <f>IF($AZ$1804&gt;0,'Assumptions (MSW)'!AK10*Model!$AZ$1804*AVERAGE('Assumptions (MSW)'!$AV$2:$AX$2)/10^9,0)</f>
        <v>0</v>
      </c>
      <c r="BP2014" s="160"/>
    </row>
    <row r="2015" ht="15.75" hidden="1" customHeight="1" outlineLevel="1">
      <c r="A2015" s="309"/>
      <c r="B2015" s="38"/>
      <c r="C2015" s="174"/>
      <c r="D2015" s="174"/>
      <c r="E2015" s="174"/>
      <c r="F2015" s="174"/>
      <c r="G2015" s="174"/>
      <c r="H2015" s="174"/>
      <c r="I2015" s="174"/>
      <c r="J2015" s="174"/>
      <c r="K2015" s="174"/>
      <c r="L2015" s="174"/>
      <c r="M2015" s="174"/>
      <c r="N2015" s="174"/>
      <c r="O2015" s="174"/>
      <c r="P2015" s="174"/>
      <c r="Q2015" s="174"/>
      <c r="R2015" s="174"/>
      <c r="S2015" s="174"/>
      <c r="T2015" s="174"/>
      <c r="U2015" s="174"/>
      <c r="V2015" s="174"/>
      <c r="W2015" s="160"/>
      <c r="X2015" s="160"/>
      <c r="Y2015" s="160"/>
      <c r="Z2015" s="160"/>
      <c r="AA2015" s="160"/>
      <c r="AB2015" s="160"/>
      <c r="AC2015" s="160"/>
      <c r="AD2015" s="160"/>
      <c r="AE2015" s="160"/>
      <c r="AF2015" s="160"/>
      <c r="AG2015" s="160"/>
      <c r="AH2015" s="160"/>
      <c r="AI2015" s="160"/>
      <c r="AJ2015" s="179"/>
      <c r="AK2015" s="160"/>
      <c r="AL2015" s="177"/>
      <c r="AM2015" s="177"/>
      <c r="AN2015" s="177"/>
      <c r="AO2015" s="160"/>
      <c r="AP2015" s="160"/>
      <c r="AQ2015" s="160"/>
      <c r="AR2015" s="160"/>
      <c r="AS2015" s="160"/>
      <c r="AT2015" s="160"/>
      <c r="AU2015" s="160"/>
      <c r="AV2015" s="160"/>
      <c r="AW2015" s="160"/>
      <c r="AX2015" s="160"/>
      <c r="AY2015" s="160"/>
      <c r="AZ2015" s="160"/>
      <c r="BA2015" s="160">
        <f>IF($BA$1804&gt;0,'Assumptions (MSW)'!V10*Model!$BA$1804*AVERAGE('Assumptions (MSW)'!$AW$2:$AY$2)/10^9,0)</f>
        <v>0</v>
      </c>
      <c r="BB2015" s="160">
        <f>IF($BA$1804&gt;0,'Assumptions (MSW)'!W10*Model!$BA$1804*AVERAGE('Assumptions (MSW)'!$AW$2:$AY$2)/10^9,0)</f>
        <v>0</v>
      </c>
      <c r="BC2015" s="160">
        <f>IF($BA$1804&gt;0,'Assumptions (MSW)'!X10*Model!$BA$1804*AVERAGE('Assumptions (MSW)'!$AW$2:$AY$2)/10^9,0)</f>
        <v>0</v>
      </c>
      <c r="BD2015" s="160">
        <f>IF($BA$1804&gt;0,'Assumptions (MSW)'!Y10*Model!$BA$1804*AVERAGE('Assumptions (MSW)'!$AW$2:$AY$2)/10^9,0)</f>
        <v>0</v>
      </c>
      <c r="BE2015" s="160">
        <f>IF($BA$1804&gt;0,'Assumptions (MSW)'!Z10*Model!$BA$1804*AVERAGE('Assumptions (MSW)'!$AW$2:$AY$2)/10^9,0)</f>
        <v>0</v>
      </c>
      <c r="BF2015" s="160">
        <f>IF($BA$1804&gt;0,'Assumptions (MSW)'!AA10*Model!$BA$1804*AVERAGE('Assumptions (MSW)'!$AW$2:$AY$2)/10^9,0)</f>
        <v>0</v>
      </c>
      <c r="BG2015" s="160">
        <f>IF($BA$1804&gt;0,'Assumptions (MSW)'!AB10*Model!$BA$1804*AVERAGE('Assumptions (MSW)'!$AW$2:$AY$2)/10^9,0)</f>
        <v>0</v>
      </c>
      <c r="BH2015" s="160">
        <f>IF($BA$1804&gt;0,'Assumptions (MSW)'!AC10*Model!$BA$1804*AVERAGE('Assumptions (MSW)'!$AW$2:$AY$2)/10^9,0)</f>
        <v>0</v>
      </c>
      <c r="BI2015" s="160">
        <f>IF($BA$1804&gt;0,'Assumptions (MSW)'!AD10*Model!$BA$1804*AVERAGE('Assumptions (MSW)'!$AW$2:$AY$2)/10^9,0)</f>
        <v>0</v>
      </c>
      <c r="BJ2015" s="160">
        <f>IF($BA$1804&gt;0,'Assumptions (MSW)'!AE10*Model!$BA$1804*AVERAGE('Assumptions (MSW)'!$AW$2:$AY$2)/10^9,0)</f>
        <v>0</v>
      </c>
      <c r="BK2015" s="160">
        <f>IF($BA$1804&gt;0,'Assumptions (MSW)'!AF10*Model!$BA$1804*AVERAGE('Assumptions (MSW)'!$AW$2:$AY$2)/10^9,0)</f>
        <v>0</v>
      </c>
      <c r="BL2015" s="160">
        <f>IF($BA$1804&gt;0,'Assumptions (MSW)'!AG10*Model!$BA$1804*AVERAGE('Assumptions (MSW)'!$AW$2:$AY$2)/10^9,0)</f>
        <v>0</v>
      </c>
      <c r="BM2015" s="160">
        <f>IF($BA$1804&gt;0,'Assumptions (MSW)'!AH10*Model!$BA$1804*AVERAGE('Assumptions (MSW)'!$AW$2:$AY$2)/10^9,0)</f>
        <v>0</v>
      </c>
      <c r="BN2015" s="160">
        <f>IF($BA$1804&gt;0,'Assumptions (MSW)'!AI10*Model!$BA$1804*AVERAGE('Assumptions (MSW)'!$AW$2:$AY$2)/10^9,0)</f>
        <v>0</v>
      </c>
      <c r="BO2015" s="160">
        <f>IF($BA$1804&gt;0,'Assumptions (MSW)'!AJ10*Model!$BA$1804*AVERAGE('Assumptions (MSW)'!$AW$2:$AY$2)/10^9,0)</f>
        <v>0</v>
      </c>
      <c r="BP2015" s="160">
        <f>IF($BA$1804&gt;0,'Assumptions (MSW)'!AK10*Model!$BA$1804*AVERAGE('Assumptions (MSW)'!$AW$2:$AY$2)/10^9,0)</f>
        <v>0</v>
      </c>
    </row>
    <row r="2016" ht="15.75" customHeight="1" collapsed="1">
      <c r="A2016" s="309" t="s">
        <v>62</v>
      </c>
      <c r="B2016" s="159" t="s">
        <v>351</v>
      </c>
      <c r="C2016" s="160">
        <f>IF(Model!C1802+Model!C1803-C1801-C1964+C1912&gt;0,(1-'Assumptions (MSW)'!B22)*(Model!C1802+Model!C1803-C1801-C1964+C1912)+Model!C1964-C1859+Model!C1860,Model!C1802+Model!C1803-C1801+C1912-C1859+Model!C1860)</f>
        <v>-0.1851683383</v>
      </c>
      <c r="D2016" s="160">
        <f>IF(Model!D1802+Model!D1803-D1801-D1964+D1912&gt;0,(1-'Assumptions (MSW)'!C22)*(Model!D1802+Model!D1803-D1801-D1964+D1912)+Model!D1964-D1859+Model!D1860,Model!D1802+Model!D1803-D1801+D1912-D1859+Model!D1860)</f>
        <v>-0.3255768944</v>
      </c>
      <c r="E2016" s="160">
        <f>IF(Model!E1802+Model!E1803-E1801-E1964+E1912&gt;0,(1-'Assumptions (MSW)'!D22)*(Model!E1802+Model!E1803-E1801-E1964+E1912)+Model!E1964-E1859+Model!E1860,Model!E1802+Model!E1803-E1801+E1912-E1859+Model!E1860)</f>
        <v>-0.468516658</v>
      </c>
      <c r="F2016" s="160">
        <f>IF(Model!F1802+Model!F1803-F1801-F1964+F1912&gt;0,(1-'Assumptions (MSW)'!E22)*(Model!F1802+Model!F1803-F1801-F1964+F1912)+Model!F1964-F1859+Model!F1860,Model!F1802+Model!F1803-F1801+F1912-F1859+Model!F1860)</f>
        <v>-0.2960193684</v>
      </c>
      <c r="G2016" s="160">
        <f>IF(Model!G1802+Model!G1803-G1801-G1964+G1912&gt;0,(1-'Assumptions (MSW)'!F22)*(Model!G1802+Model!G1803-G1801-G1964+G1912)+Model!G1964-G1859+Model!G1860,Model!G1802+Model!G1803-G1801+G1912-G1859+Model!G1860)</f>
        <v>-0.3103120527</v>
      </c>
      <c r="H2016" s="160">
        <f>IF(Model!H1802+Model!H1803-H1801-H1964+H1912&gt;0,(1-'Assumptions (MSW)'!G22)*(Model!H1802+Model!H1803-H1801-H1964+H1912)+Model!H1964-H1859+Model!H1860,Model!H1802+Model!H1803-H1801+H1912-H1859+Model!H1860)</f>
        <v>-0.2200826549</v>
      </c>
      <c r="I2016" s="160">
        <f>IF(Model!I1802+Model!I1803-I1801-I1964+I1912&gt;0,(1-'Assumptions (MSW)'!H22)*(Model!I1802+Model!I1803-I1801-I1964+I1912)+Model!I1964-I1859+Model!I1860,Model!I1802+Model!I1803-I1801+I1912-I1859+Model!I1860)</f>
        <v>-0.4121142904</v>
      </c>
      <c r="J2016" s="160">
        <f>IF(Model!J1802+Model!J1803-J1801-J1964+J1912&gt;0,(1-'Assumptions (MSW)'!I22)*(Model!J1802+Model!J1803-J1801-J1964+J1912)+Model!J1964-J1859+Model!J1860,Model!J1802+Model!J1803-J1801+J1912-J1859+Model!J1860)</f>
        <v>-0.5764122876</v>
      </c>
      <c r="K2016" s="160">
        <f>IF(Model!K1802+Model!K1803-K1801-K1964+K1912&gt;0,(1-'Assumptions (MSW)'!J22)*(Model!K1802+Model!K1803-K1801-K1964+K1912)+Model!K1964-K1859+Model!K1860,Model!K1802+Model!K1803-K1801+K1912-K1859+Model!K1860)</f>
        <v>-0.352423866</v>
      </c>
      <c r="L2016" s="160">
        <f>IF(Model!L1802+Model!L1803-L1801-L1964+L1912&gt;0,(1-'Assumptions (MSW)'!K22)*(Model!L1802+Model!L1803-L1801-L1964+L1912)+Model!L1964-L1859+Model!L1860,Model!L1802+Model!L1803-L1801+L1912-L1859+Model!L1860)</f>
        <v>-0.9735173341</v>
      </c>
      <c r="M2016" s="160">
        <f>IF(Model!M1802+Model!M1803-M1801-M1964+M1912&gt;0,(1-'Assumptions (MSW)'!L22)*(Model!M1802+Model!M1803-M1801-M1964+M1912)+Model!M1964-M1859+Model!M1860,Model!M1802+Model!M1803-M1801+M1912-M1859+Model!M1860)</f>
        <v>-1.006177738</v>
      </c>
      <c r="N2016" s="160">
        <f>IF(Model!N1802+Model!N1803-N1801-N1964+N1912&gt;0,(1-'Assumptions (MSW)'!M22)*(Model!N1802+Model!N1803-N1801-N1964+N1912)+Model!N1964-N1859+Model!N1860,Model!N1802+Model!N1803-N1801+N1912-N1859+Model!N1860)</f>
        <v>-1.139412639</v>
      </c>
      <c r="O2016" s="160">
        <f>IF(Model!O1802+Model!O1803-O1801-O1964+O1912&gt;0,(1-'Assumptions (MSW)'!N22)*(Model!O1802+Model!O1803-O1801-O1964+O1912)+Model!O1964-O1859+Model!O1860,Model!O1802+Model!O1803-O1801+O1912-O1859+Model!O1860)</f>
        <v>-1.420519743</v>
      </c>
      <c r="P2016" s="160">
        <f>IF(Model!P1802+Model!P1803-P1801-P1964+P1912&gt;0,(1-'Assumptions (MSW)'!O22)*(Model!P1802+Model!P1803-P1801-P1964+P1912)+Model!P1964-P1859+Model!P1860,Model!P1802+Model!P1803-P1801+P1912-P1859+Model!P1860)</f>
        <v>-1.349595822</v>
      </c>
      <c r="Q2016" s="160">
        <f>IF(Model!Q1802+Model!Q1803-Q1801-Q1964+Q1912&gt;0,(1-'Assumptions (MSW)'!P22)*(Model!Q1802+Model!Q1803-Q1801-Q1964+Q1912)+Model!Q1964-Q1859+Model!Q1860,Model!Q1802+Model!Q1803-Q1801+Q1912-Q1859+Model!Q1860)</f>
        <v>-1.263971329</v>
      </c>
      <c r="R2016" s="160">
        <f>IF(Model!R1802+Model!R1803-R1801-R1964+R1912&gt;0,(1-'Assumptions (MSW)'!Q22)*(Model!R1802+Model!R1803-R1801-R1964+R1912)+Model!R1964-R1859+Model!R1860,Model!R1802+Model!R1803-R1801+R1912-R1859+Model!R1860)</f>
        <v>-1.489890626</v>
      </c>
      <c r="S2016" s="160">
        <f>IF(Model!S1802+Model!S1803-S1801-S1964+S1912&gt;0,(1-'Assumptions (MSW)'!R22)*(Model!S1802+Model!S1803-S1801-S1964+S1912)+Model!S1964-S1859+Model!S1860,Model!S1802+Model!S1803-S1801+S1912-S1859+Model!S1860)</f>
        <v>-1.301707457</v>
      </c>
      <c r="T2016" s="160">
        <f>IF(Model!T1802+Model!T1803-T1801-T1964+T1912&gt;0,(1-'Assumptions (MSW)'!S22)*(Model!T1802+Model!T1803-T1801-T1964+T1912)+Model!T1964-T1859+Model!T1860,Model!T1802+Model!T1803-T1801+T1912-T1859+Model!T1860)</f>
        <v>-1.028299453</v>
      </c>
      <c r="U2016" s="160">
        <f>IF(Model!U1802+Model!U1803-U1801-U1964+U1912&gt;0,(1-'Assumptions (MSW)'!T22)*(Model!U1802+Model!U1803-U1801-U1964+U1912)+Model!U1964-U1859+Model!U1860,Model!U1802+Model!U1803-U1801+U1912-U1859+Model!U1860)</f>
        <v>-0.9774006247</v>
      </c>
      <c r="V2016" s="160">
        <f>IF(Model!V1802+Model!V1803-V1801-V1964+V1912&gt;0,(1-'Assumptions (MSW)'!U22)*(Model!V1802+Model!V1803-V1801-V1964+V1912)+Model!V1964-V1859+Model!V1860,Model!V1802+Model!V1803-V1801+V1912-V1859+Model!V1860)</f>
        <v>-0.9336138511</v>
      </c>
      <c r="W2016" s="160">
        <f>IF(Model!W1802+Model!W1803-W1801-W1964+W1912&gt;0,(1-'Assumptions (MSW)'!V22)*(Model!W1802+Model!W1803-W1801-W1964+W1912)+Model!W1964-W1859+Model!W1860,Model!W1802+Model!W1803-W1801+W1912-W1859+Model!W1860)</f>
        <v>-0.866977253</v>
      </c>
      <c r="X2016" s="160">
        <f>IF(Model!X1802+Model!X1803-X1801-X1964+X1912&gt;0,(1-'Assumptions (MSW)'!W22)*(Model!X1802+Model!X1803-X1801-X1964+X1912)+Model!X1964-X1859+Model!X1860,Model!X1802+Model!X1803-X1801+X1912-X1859+Model!X1860)</f>
        <v>-0.8363309044</v>
      </c>
      <c r="Y2016" s="160">
        <f>IF(Model!Y1802+Model!Y1803-Y1801-Y1964+Y1912&gt;0,(1-'Assumptions (MSW)'!X22)*(Model!Y1802+Model!Y1803-Y1801-Y1964+Y1912)+Model!Y1964-Y1859+Model!Y1860,Model!Y1802+Model!Y1803-Y1801+Y1912-Y1859+Model!Y1860)</f>
        <v>-0.7986195795</v>
      </c>
      <c r="Z2016" s="160">
        <f>IF(Model!Z1802+Model!Z1803-Z1801-Z1964+Z1912&gt;0,(1-'Assumptions (MSW)'!Y22)*(Model!Z1802+Model!Z1803-Z1801-Z1964+Z1912)+Model!Z1964-Z1859+Model!Z1860,Model!Z1802+Model!Z1803-Z1801+Z1912-Z1859+Model!Z1860)</f>
        <v>-0.7474454799</v>
      </c>
      <c r="AA2016" s="160">
        <f>IF(Model!AA1802+Model!AA1803-AA1801-AA1964+AA1912&gt;0,(1-'Assumptions (MSW)'!Z22)*(Model!AA1802+Model!AA1803-AA1801-AA1964+AA1912)+Model!AA1964-AA1859+Model!AA1860,Model!AA1802+Model!AA1803-AA1801+AA1912-AA1859+Model!AA1860)</f>
        <v>-0.6904795691</v>
      </c>
      <c r="AB2016" s="160">
        <f>IF(Model!AB1802+Model!AB1803-AB1801-AB1964+AB1912&gt;0,(1-'Assumptions (MSW)'!AA22)*(Model!AB1802+Model!AB1803-AB1801-AB1964+AB1912)+Model!AB1964-AB1859+Model!AB1860,Model!AB1802+Model!AB1803-AB1801+AB1912-AB1859+Model!AB1860)</f>
        <v>-0.6141763475</v>
      </c>
      <c r="AC2016" s="160">
        <f>IF(Model!AC1802+Model!AC1803-AC1801-AC1964+AC1912&gt;0,(1-'Assumptions (MSW)'!AB22)*(Model!AC1802+Model!AC1803-AC1801-AC1964+AC1912)+Model!AC1964-AC1859+Model!AC1860,Model!AC1802+Model!AC1803-AC1801+AC1912-AC1859+Model!AC1860)</f>
        <v>-0.5544209236</v>
      </c>
      <c r="AD2016" s="160">
        <f>IF(Model!AD1802+Model!AD1803-AD1801-AD1964+AD1912&gt;0,(1-'Assumptions (MSW)'!AC22)*(Model!AD1802+Model!AD1803-AD1801-AD1964+AD1912)+Model!AD1964-AD1859+Model!AD1860,Model!AD1802+Model!AD1803-AD1801+AD1912-AD1859+Model!AD1860)</f>
        <v>-0.4756024271</v>
      </c>
      <c r="AE2016" s="160">
        <f>IF(Model!AE1802+Model!AE1803-AE1801-AE1964+AE1912&gt;0,(1-'Assumptions (MSW)'!AD22)*(Model!AE1802+Model!AE1803-AE1801-AE1964+AE1912)+Model!AE1964-AE1859+Model!AE1860,Model!AE1802+Model!AE1803-AE1801+AE1912-AE1859+Model!AE1860)</f>
        <v>-0.4120230954</v>
      </c>
      <c r="AF2016" s="160">
        <f>IF(Model!AF1802+Model!AF1803-AF1801-AF1964+AF1912&gt;0,(1-'Assumptions (MSW)'!AE22)*(Model!AF1802+Model!AF1803-AF1801-AF1964+AF1912)+Model!AF1964-AF1859+Model!AF1860,Model!AF1802+Model!AF1803-AF1801+AF1912-AF1859+Model!AF1860)</f>
        <v>-0.3675858901</v>
      </c>
      <c r="AG2016" s="160">
        <f>IF(Model!AG1802+Model!AG1803-AG1801-AG1964+AG1912&gt;0,(1-'Assumptions (MSW)'!AF22)*(Model!AG1802+Model!AG1803-AG1801-AG1964+AG1912)+Model!AG1964-AG1859+Model!AG1860,Model!AG1802+Model!AG1803-AG1801+AG1912-AG1859+Model!AG1860)</f>
        <v>-0.3165013168</v>
      </c>
      <c r="AH2016" s="160">
        <f>IF(Model!AH1802+Model!AH1803-AH1801-AH1964+AH1912&gt;0,(1-'Assumptions (MSW)'!AG22)*(Model!AH1802+Model!AH1803-AH1801-AH1964+AH1912)+Model!AH1964-AH1859+Model!AH1860,Model!AH1802+Model!AH1803-AH1801+AH1912-AH1859+Model!AH1860)</f>
        <v>-0.2703718163</v>
      </c>
      <c r="AI2016" s="160">
        <f>IF(Model!AI1802+Model!AI1803-AI1801-AI1964+AI1912&gt;0,(1-'Assumptions (MSW)'!AH22)*(Model!AI1802+Model!AI1803-AI1801-AI1964+AI1912)+Model!AI1964-AI1859+Model!AI1860,Model!AI1802+Model!AI1803-AI1801+AI1912-AI1859+Model!AI1860)</f>
        <v>-0.2513201664</v>
      </c>
      <c r="AJ2016" s="160">
        <f>IF(Model!AJ1802+Model!AJ1803-AJ1801-AJ1964+AJ1912&gt;0,(1-'Assumptions (MSW)'!AI22)*(Model!AJ1802+Model!AJ1803-AJ1801-AJ1964+AJ1912)+Model!AJ1964-AJ1859+Model!AJ1860,Model!AJ1802+Model!AJ1803-AJ1801+AJ1912-AJ1859+Model!AJ1860)</f>
        <v>-0.2456304387</v>
      </c>
      <c r="AK2016" s="160">
        <f>IF(Model!AK1802+Model!AK1803-AK1801-AK1964+AK1912&gt;0,(1-'Assumptions (MSW)'!AJ22)*(Model!AK1802+Model!AK1803-AK1801-AK1964+AK1912)+Model!AK1964-AK1859+Model!AK1860,Model!AK1802+Model!AK1803-AK1801+AK1912-AK1859+Model!AK1860)</f>
        <v>-0.2376043735</v>
      </c>
      <c r="AL2016" s="160">
        <f>IF(Model!AL1802+Model!AL1803-AL1801-AL1964+AL1912&gt;0,(1-'Assumptions (MSW)'!AK22)*(Model!AL1802+Model!AL1803-AL1801-AL1964+AL1912)+Model!AL1964-AL1859+Model!AL1860,Model!AL1802+Model!AL1803-AL1801+AL1912-AL1859+Model!AL1860)</f>
        <v>-0.2292518088</v>
      </c>
      <c r="AM2016" s="160">
        <f>IF(Model!AM1802+Model!AM1803-AM1801-AM1964+AM1912&gt;0,(1-'Assumptions (MSW)'!AL22)*(Model!AM1802+Model!AM1803-AM1801-AM1964+AM1912)+Model!AM1964-AM1859+Model!AM1860,Model!AM1802+Model!AM1803-AM1801+AM1912-AM1859+Model!AM1860)</f>
        <v>-0.2161338084</v>
      </c>
      <c r="AN2016" s="160">
        <f>IF(Model!AN1802+Model!AN1803-AN1801-AN1964+AN1912&gt;0,(1-'Assumptions (MSW)'!AM22)*(Model!AN1802+Model!AN1803-AN1801-AN1964+AN1912)+Model!AN1964-AN1859+Model!AN1860,Model!AN1802+Model!AN1803-AN1801+AN1912-AN1859+Model!AN1860)</f>
        <v>-0.2037221091</v>
      </c>
      <c r="AO2016" s="160">
        <f>IF(Model!AO1802+Model!AO1803-AO1801-AO1964+AO1912&gt;0,(1-'Assumptions (MSW)'!AN22)*(Model!AO1802+Model!AO1803-AO1801-AO1964+AO1912)+Model!AO1964-AO1859+Model!AO1860,Model!AO1802+Model!AO1803-AO1801+AO1912-AO1859+Model!AO1860)</f>
        <v>-0.1883511574</v>
      </c>
      <c r="AP2016" s="160">
        <f>IF(Model!AP1802+Model!AP1803-AP1801-AP1964+AP1912&gt;0,(1-'Assumptions (MSW)'!AO22)*(Model!AP1802+Model!AP1803-AP1801-AP1964+AP1912)+Model!AP1964-AP1859+Model!AP1860,Model!AP1802+Model!AP1803-AP1801+AP1912-AP1859+Model!AP1860)</f>
        <v>-0.1729611351</v>
      </c>
      <c r="AQ2016" s="160">
        <f>IF(Model!AQ1802+Model!AQ1803-AQ1801-AQ1964+AQ1912&gt;0,(1-'Assumptions (MSW)'!AP22)*(Model!AQ1802+Model!AQ1803-AQ1801-AQ1964+AQ1912)+Model!AQ1964-AQ1859+Model!AQ1860,Model!AQ1802+Model!AQ1803-AQ1801+AQ1912-AQ1859+Model!AQ1860)</f>
        <v>-0.1590053322</v>
      </c>
      <c r="AR2016" s="160">
        <f>IF(Model!AR1802+Model!AR1803-AR1801-AR1964+AR1912&gt;0,(1-'Assumptions (MSW)'!AQ22)*(Model!AR1802+Model!AR1803-AR1801-AR1964+AR1912)+Model!AR1964-AR1859+Model!AR1860,Model!AR1802+Model!AR1803-AR1801+AR1912-AR1859+Model!AR1860)</f>
        <v>-0.1453252697</v>
      </c>
      <c r="AS2016" s="160">
        <f>IF(Model!AS1802+Model!AS1803-AS1801-AS1964+AS1912&gt;0,(1-'Assumptions (MSW)'!AR22)*(Model!AS1802+Model!AS1803-AS1801-AS1964+AS1912)+Model!AS1964-AS1859+Model!AS1860,Model!AS1802+Model!AS1803-AS1801+AS1912-AS1859+Model!AS1860)</f>
        <v>-0.1315155493</v>
      </c>
      <c r="AT2016" s="160">
        <f>IF(Model!AT1802+Model!AT1803-AT1801-AT1964+AT1912&gt;0,(1-'Assumptions (MSW)'!AS22)*(Model!AT1802+Model!AT1803-AT1801-AT1964+AT1912)+Model!AT1964-AT1859+Model!AT1860,Model!AT1802+Model!AT1803-AT1801+AT1912-AT1859+Model!AT1860)</f>
        <v>-0.1167062036</v>
      </c>
      <c r="AU2016" s="160">
        <f>IF(Model!AU1802+Model!AU1803-AU1801-AU1964+AU1912&gt;0,(1-'Assumptions (MSW)'!AT22)*(Model!AU1802+Model!AU1803-AU1801-AU1964+AU1912)+Model!AU1964-AU1859+Model!AU1860,Model!AU1802+Model!AU1803-AU1801+AU1912-AU1859+Model!AU1860)</f>
        <v>-0.1009758141</v>
      </c>
      <c r="AV2016" s="160">
        <f>IF(Model!AV1802+Model!AV1803-AV1801-AV1964+AV1912&gt;0,(1-'Assumptions (MSW)'!AU22)*(Model!AV1802+Model!AV1803-AV1801-AV1964+AV1912)+Model!AV1964-AV1859+Model!AV1860,Model!AV1802+Model!AV1803-AV1801+AV1912-AV1859+Model!AV1860)</f>
        <v>-0.08488571289</v>
      </c>
      <c r="AW2016" s="160">
        <f>IF(Model!AW1802+Model!AW1803-AW1801-AW1964+AW1912&gt;0,(1-'Assumptions (MSW)'!AV22)*(Model!AW1802+Model!AW1803-AW1801-AW1964+AW1912)+Model!AW1964-AW1859+Model!AW1860,Model!AW1802+Model!AW1803-AW1801+AW1912-AW1859+Model!AW1860)</f>
        <v>-0.06926904956</v>
      </c>
      <c r="AX2016" s="160">
        <f>IF(Model!AX1802+Model!AX1803-AX1801-AX1964+AX1912&gt;0,(1-'Assumptions (MSW)'!AW22)*(Model!AX1802+Model!AX1803-AX1801-AX1964+AX1912)+Model!AX1964-AX1859+Model!AX1860,Model!AX1802+Model!AX1803-AX1801+AX1912-AX1859+Model!AX1860)</f>
        <v>-0.05208778499</v>
      </c>
      <c r="AY2016" s="160">
        <f>IF(Model!AY1802+Model!AY1803-AY1801-AY1964+AY1912&gt;0,(1-'Assumptions (MSW)'!AX22)*(Model!AY1802+Model!AY1803-AY1801-AY1964+AY1912)+Model!AY1964-AY1859+Model!AY1860,Model!AY1802+Model!AY1803-AY1801+AY1912-AY1859+Model!AY1860)</f>
        <v>-0.03217768645</v>
      </c>
      <c r="AZ2016" s="160">
        <f>IF(Model!AZ1802+Model!AZ1803-AZ1801-AZ1964+AZ1912&gt;0,(1-'Assumptions (MSW)'!AY22)*(Model!AZ1802+Model!AZ1803-AZ1801-AZ1964+AZ1912)+Model!AZ1964-AZ1859+Model!AZ1860,Model!AZ1802+Model!AZ1803-AZ1801+AZ1912-AZ1859+Model!AZ1860)</f>
        <v>-0.0156436441</v>
      </c>
      <c r="BA2016" s="160">
        <f>IF(Model!BA1802+Model!BA1803-BA1801-BA1964+BA1912&gt;0,(1-'Assumptions (MSW)'!AZ22)*(Model!BA1802+Model!BA1803-BA1801-BA1964+BA1912)+Model!BA1964-BA1859+Model!BA1860,Model!BA1802+Model!BA1803-BA1801+BA1912-BA1859+Model!BA1860)</f>
        <v>0</v>
      </c>
    </row>
    <row r="2017" ht="15.75" customHeight="1">
      <c r="A2017" s="309" t="s">
        <v>64</v>
      </c>
      <c r="B2017" s="159" t="s">
        <v>351</v>
      </c>
      <c r="C2017" s="160">
        <f>IF(C1802+C1803-C1801-C1964+C1912&gt;0,'Assumptions (MSW)'!B22*(C1802+C1803-C1801-C1964+C1912)-'Assumptions (MSW)'!B23*Model!C1800/10^3,'Assumptions (MSW)'!B23*Model!C1800/10^3)</f>
        <v>0.1010868598</v>
      </c>
      <c r="D2017" s="160">
        <f>IF(D1802+D1803-D1801-D1964+D1912&gt;0,'Assumptions (MSW)'!C22*(D1802+D1803-D1801-D1964+D1912)-'Assumptions (MSW)'!C23*Model!D1800/10^3,'Assumptions (MSW)'!C23*Model!D1800/10^3)</f>
        <v>0</v>
      </c>
      <c r="E2017" s="160">
        <f>IF(E1802+E1803-E1801-E1964+E1912&gt;0,'Assumptions (MSW)'!D22*(E1802+E1803-E1801-E1964+E1912)-'Assumptions (MSW)'!D23*Model!E1800/10^3,'Assumptions (MSW)'!D23*Model!E1800/10^3)</f>
        <v>0</v>
      </c>
      <c r="F2017" s="160">
        <f>IF(F1802+F1803-F1801-F1964+F1912&gt;0,'Assumptions (MSW)'!E22*(F1802+F1803-F1801-F1964+F1912)-'Assumptions (MSW)'!E23*Model!F1800/10^3,'Assumptions (MSW)'!E23*Model!F1800/10^3)</f>
        <v>0</v>
      </c>
      <c r="G2017" s="160">
        <f>IF(G1802+G1803-G1801-G1964+G1912&gt;0,'Assumptions (MSW)'!F22*(G1802+G1803-G1801-G1964+G1912)-'Assumptions (MSW)'!F23*Model!G1800/10^3,'Assumptions (MSW)'!F23*Model!G1800/10^3)</f>
        <v>0</v>
      </c>
      <c r="H2017" s="160">
        <f>IF(H1802+H1803-H1801-H1964+H1912&gt;0,'Assumptions (MSW)'!G22*(H1802+H1803-H1801-H1964+H1912)-'Assumptions (MSW)'!G23*Model!H1800/10^3,'Assumptions (MSW)'!G23*Model!H1800/10^3)</f>
        <v>0.0192149069</v>
      </c>
      <c r="I2017" s="160">
        <f>IF(I1802+I1803-I1801-I1964+I1912&gt;0,'Assumptions (MSW)'!H22*(I1802+I1803-I1801-I1964+I1912)-'Assumptions (MSW)'!H23*Model!I1800/10^3,'Assumptions (MSW)'!H23*Model!I1800/10^3)</f>
        <v>0</v>
      </c>
      <c r="J2017" s="160">
        <f>IF(J1802+J1803-J1801-J1964+J1912&gt;0,'Assumptions (MSW)'!I22*(J1802+J1803-J1801-J1964+J1912)-'Assumptions (MSW)'!I23*Model!J1800/10^3,'Assumptions (MSW)'!I23*Model!J1800/10^3)</f>
        <v>0</v>
      </c>
      <c r="K2017" s="160">
        <f>IF(K1802+K1803-K1801-K1964+K1912&gt;0,'Assumptions (MSW)'!J22*(K1802+K1803-K1801-K1964+K1912)-'Assumptions (MSW)'!J23*Model!K1800/10^3,'Assumptions (MSW)'!J23*Model!K1800/10^3)</f>
        <v>0</v>
      </c>
      <c r="L2017" s="160">
        <f>IF(L1802+L1803-L1801-L1964+L1912&gt;0,'Assumptions (MSW)'!K22*(L1802+L1803-L1801-L1964+L1912)-'Assumptions (MSW)'!K23*Model!L1800/10^3,'Assumptions (MSW)'!K23*Model!L1800/10^3)</f>
        <v>0</v>
      </c>
      <c r="M2017" s="160">
        <f>IF(M1802+M1803-M1801-M1964+M1912&gt;0,'Assumptions (MSW)'!L22*(M1802+M1803-M1801-M1964+M1912)-'Assumptions (MSW)'!L23*Model!M1800/10^3,'Assumptions (MSW)'!L23*Model!M1800/10^3)</f>
        <v>0</v>
      </c>
      <c r="N2017" s="160">
        <f>IF(N1802+N1803-N1801-N1964+N1912&gt;0,'Assumptions (MSW)'!M22*(N1802+N1803-N1801-N1964+N1912)-'Assumptions (MSW)'!M23*Model!N1800/10^3,'Assumptions (MSW)'!M23*Model!N1800/10^3)</f>
        <v>0</v>
      </c>
      <c r="O2017" s="160">
        <f>IF(O1802+O1803-O1801-O1964+O1912&gt;0,'Assumptions (MSW)'!N22*(O1802+O1803-O1801-O1964+O1912)-'Assumptions (MSW)'!N23*Model!O1800/10^3,'Assumptions (MSW)'!N23*Model!O1800/10^3)</f>
        <v>0</v>
      </c>
      <c r="P2017" s="160">
        <f>IF(P1802+P1803-P1801-P1964+P1912&gt;0,'Assumptions (MSW)'!O22*(P1802+P1803-P1801-P1964+P1912)-'Assumptions (MSW)'!O23*Model!P1800/10^3,'Assumptions (MSW)'!O23*Model!P1800/10^3)</f>
        <v>0</v>
      </c>
      <c r="Q2017" s="160">
        <f>IF(Q1802+Q1803-Q1801-Q1964+Q1912&gt;0,'Assumptions (MSW)'!P22*(Q1802+Q1803-Q1801-Q1964+Q1912)-'Assumptions (MSW)'!P23*Model!Q1800/10^3,'Assumptions (MSW)'!P23*Model!Q1800/10^3)</f>
        <v>0</v>
      </c>
      <c r="R2017" s="160">
        <f>IF(R1802+R1803-R1801-R1964+R1912&gt;0,'Assumptions (MSW)'!Q22*(R1802+R1803-R1801-R1964+R1912)-'Assumptions (MSW)'!Q23*Model!R1800/10^3,'Assumptions (MSW)'!Q23*Model!R1800/10^3)</f>
        <v>0</v>
      </c>
      <c r="S2017" s="160">
        <f>IF(S1802+S1803-S1801-S1964+S1912&gt;0,'Assumptions (MSW)'!R22*(S1802+S1803-S1801-S1964+S1912)-'Assumptions (MSW)'!R23*Model!S1800/10^3,'Assumptions (MSW)'!R23*Model!S1800/10^3)</f>
        <v>0</v>
      </c>
      <c r="T2017" s="160">
        <f>IF(T1802+T1803-T1801-T1964+T1912&gt;0,'Assumptions (MSW)'!S22*(T1802+T1803-T1801-T1964+T1912)-'Assumptions (MSW)'!S23*Model!T1800/10^3,'Assumptions (MSW)'!S23*Model!T1800/10^3)</f>
        <v>0</v>
      </c>
      <c r="U2017" s="160">
        <f>IF(U1802+U1803-U1801-U1964+U1912&gt;0,'Assumptions (MSW)'!T22*(U1802+U1803-U1801-U1964+U1912)-'Assumptions (MSW)'!T23*Model!U1800/10^3,'Assumptions (MSW)'!T23*Model!U1800/10^3)</f>
        <v>0</v>
      </c>
      <c r="V2017" s="160">
        <f>IF(V1802+V1803-V1801-V1964+V1912&gt;0,'Assumptions (MSW)'!U22*(V1802+V1803-V1801-V1964+V1912)-'Assumptions (MSW)'!U23*Model!V1800/10^3,'Assumptions (MSW)'!U23*Model!V1800/10^3)</f>
        <v>0</v>
      </c>
      <c r="W2017" s="160">
        <f>IF(W1802+W1803-W1801-W1964+W1912&gt;0,'Assumptions (MSW)'!V22*(W1802+W1803-W1801-W1964+W1912)-'Assumptions (MSW)'!V23*Model!W1800/10^3,'Assumptions (MSW)'!V23*Model!W1800/10^3)</f>
        <v>0</v>
      </c>
      <c r="X2017" s="160">
        <f>IF(X1802+X1803-X1801-X1964+X1912&gt;0,'Assumptions (MSW)'!W22*(X1802+X1803-X1801-X1964+X1912)-'Assumptions (MSW)'!W23*Model!X1800/10^3,'Assumptions (MSW)'!W23*Model!X1800/10^3)</f>
        <v>0</v>
      </c>
      <c r="Y2017" s="160">
        <f>IF(Y1802+Y1803-Y1801-Y1964+Y1912&gt;0,'Assumptions (MSW)'!X22*(Y1802+Y1803-Y1801-Y1964+Y1912)-'Assumptions (MSW)'!X23*Model!Y1800/10^3,'Assumptions (MSW)'!X23*Model!Y1800/10^3)</f>
        <v>0</v>
      </c>
      <c r="Z2017" s="160">
        <f>IF(Z1802+Z1803-Z1801-Z1964+Z1912&gt;0,'Assumptions (MSW)'!Y22*(Z1802+Z1803-Z1801-Z1964+Z1912)-'Assumptions (MSW)'!Y23*Model!Z1800/10^3,'Assumptions (MSW)'!Y23*Model!Z1800/10^3)</f>
        <v>0</v>
      </c>
      <c r="AA2017" s="160">
        <f>IF(AA1802+AA1803-AA1801-AA1964+AA1912&gt;0,'Assumptions (MSW)'!Z22*(AA1802+AA1803-AA1801-AA1964+AA1912)-'Assumptions (MSW)'!Z23*Model!AA1800/10^3,'Assumptions (MSW)'!Z23*Model!AA1800/10^3)</f>
        <v>0</v>
      </c>
      <c r="AB2017" s="160">
        <f>IF(AB1802+AB1803-AB1801-AB1964+AB1912&gt;0,'Assumptions (MSW)'!AA22*(AB1802+AB1803-AB1801-AB1964+AB1912)-'Assumptions (MSW)'!AA23*Model!AB1800/10^3,'Assumptions (MSW)'!AA23*Model!AB1800/10^3)</f>
        <v>0</v>
      </c>
      <c r="AC2017" s="160">
        <f>IF(AC1802+AC1803-AC1801-AC1964+AC1912&gt;0,'Assumptions (MSW)'!AB22*(AC1802+AC1803-AC1801-AC1964+AC1912)-'Assumptions (MSW)'!AB23*Model!AC1800/10^3,'Assumptions (MSW)'!AB23*Model!AC1800/10^3)</f>
        <v>0</v>
      </c>
      <c r="AD2017" s="160">
        <f>IF(AD1802+AD1803-AD1801-AD1964+AD1912&gt;0,'Assumptions (MSW)'!AC22*(AD1802+AD1803-AD1801-AD1964+AD1912)-'Assumptions (MSW)'!AC23*Model!AD1800/10^3,'Assumptions (MSW)'!AC23*Model!AD1800/10^3)</f>
        <v>0</v>
      </c>
      <c r="AE2017" s="160">
        <f>IF(AE1802+AE1803-AE1801-AE1964+AE1912&gt;0,'Assumptions (MSW)'!AD22*(AE1802+AE1803-AE1801-AE1964+AE1912)-'Assumptions (MSW)'!AD23*Model!AE1800/10^3,'Assumptions (MSW)'!AD23*Model!AE1800/10^3)</f>
        <v>0</v>
      </c>
      <c r="AF2017" s="160">
        <f>IF(AF1802+AF1803-AF1801-AF1964+AF1912&gt;0,'Assumptions (MSW)'!AE22*(AF1802+AF1803-AF1801-AF1964+AF1912)-'Assumptions (MSW)'!AE23*Model!AF1800/10^3,'Assumptions (MSW)'!AE23*Model!AF1800/10^3)</f>
        <v>0</v>
      </c>
      <c r="AG2017" s="160">
        <f>IF(AG1802+AG1803-AG1801-AG1964+AG1912&gt;0,'Assumptions (MSW)'!AF22*(AG1802+AG1803-AG1801-AG1964+AG1912)-'Assumptions (MSW)'!AF23*Model!AG1800/10^3,'Assumptions (MSW)'!AF23*Model!AG1800/10^3)</f>
        <v>0</v>
      </c>
      <c r="AH2017" s="160">
        <f>IF(AH1802+AH1803-AH1801-AH1964+AH1912&gt;0,'Assumptions (MSW)'!AG22*(AH1802+AH1803-AH1801-AH1964+AH1912)-'Assumptions (MSW)'!AG23*Model!AH1800/10^3,'Assumptions (MSW)'!AG23*Model!AH1800/10^3)</f>
        <v>0</v>
      </c>
      <c r="AI2017" s="160">
        <f>IF(AI1802+AI1803-AI1801-AI1964+AI1912&gt;0,'Assumptions (MSW)'!AH22*(AI1802+AI1803-AI1801-AI1964+AI1912)-'Assumptions (MSW)'!AH23*Model!AI1800/10^3,'Assumptions (MSW)'!AH23*Model!AI1800/10^3)</f>
        <v>0</v>
      </c>
      <c r="AJ2017" s="160">
        <f>IF(AJ1802+AJ1803-AJ1801-AJ1964+AJ1912&gt;0,'Assumptions (MSW)'!AI22*(AJ1802+AJ1803-AJ1801-AJ1964+AJ1912)-'Assumptions (MSW)'!AI23*Model!AJ1800/10^3,'Assumptions (MSW)'!AI23*Model!AJ1800/10^3)</f>
        <v>0</v>
      </c>
      <c r="AK2017" s="160">
        <f>IF(AK1802+AK1803-AK1801-AK1964+AK1912&gt;0,'Assumptions (MSW)'!AJ22*(AK1802+AK1803-AK1801-AK1964+AK1912)-'Assumptions (MSW)'!AJ23*Model!AK1800/10^3,'Assumptions (MSW)'!AJ23*Model!AK1800/10^3)</f>
        <v>0</v>
      </c>
      <c r="AL2017" s="160">
        <f>IF(AL1802+AL1803-AL1801-AL1964+AL1912&gt;0,'Assumptions (MSW)'!AK22*(AL1802+AL1803-AL1801-AL1964+AL1912)-'Assumptions (MSW)'!AK23*Model!AL1800/10^3,'Assumptions (MSW)'!AK23*Model!AL1800/10^3)</f>
        <v>0</v>
      </c>
      <c r="AM2017" s="160">
        <f>IF(AM1802+AM1803-AM1801-AM1964+AM1912&gt;0,'Assumptions (MSW)'!AL22*(AM1802+AM1803-AM1801-AM1964+AM1912)-'Assumptions (MSW)'!AL23*Model!AM1800/10^3,'Assumptions (MSW)'!AL23*Model!AM1800/10^3)</f>
        <v>0</v>
      </c>
      <c r="AN2017" s="160">
        <f>IF(AN1802+AN1803-AN1801-AN1964+AN1912&gt;0,'Assumptions (MSW)'!AM22*(AN1802+AN1803-AN1801-AN1964+AN1912)-'Assumptions (MSW)'!AM23*Model!AN1800/10^3,'Assumptions (MSW)'!AM23*Model!AN1800/10^3)</f>
        <v>0</v>
      </c>
      <c r="AO2017" s="160">
        <f>IF(AO1802+AO1803-AO1801-AO1964+AO1912&gt;0,'Assumptions (MSW)'!AN22*(AO1802+AO1803-AO1801-AO1964+AO1912)-'Assumptions (MSW)'!AN23*Model!AO1800/10^3,'Assumptions (MSW)'!AN23*Model!AO1800/10^3)</f>
        <v>0</v>
      </c>
      <c r="AP2017" s="160">
        <f>IF(AP1802+AP1803-AP1801-AP1964+AP1912&gt;0,'Assumptions (MSW)'!AO22*(AP1802+AP1803-AP1801-AP1964+AP1912)-'Assumptions (MSW)'!AO23*Model!AP1800/10^3,'Assumptions (MSW)'!AO23*Model!AP1800/10^3)</f>
        <v>0</v>
      </c>
      <c r="AQ2017" s="160">
        <f>IF(AQ1802+AQ1803-AQ1801-AQ1964+AQ1912&gt;0,'Assumptions (MSW)'!AP22*(AQ1802+AQ1803-AQ1801-AQ1964+AQ1912)-'Assumptions (MSW)'!AP23*Model!AQ1800/10^3,'Assumptions (MSW)'!AP23*Model!AQ1800/10^3)</f>
        <v>0</v>
      </c>
      <c r="AR2017" s="160">
        <f>IF(AR1802+AR1803-AR1801-AR1964+AR1912&gt;0,'Assumptions (MSW)'!AQ22*(AR1802+AR1803-AR1801-AR1964+AR1912)-'Assumptions (MSW)'!AQ23*Model!AR1800/10^3,'Assumptions (MSW)'!AQ23*Model!AR1800/10^3)</f>
        <v>0</v>
      </c>
      <c r="AS2017" s="160">
        <f>IF(AS1802+AS1803-AS1801-AS1964+AS1912&gt;0,'Assumptions (MSW)'!AR22*(AS1802+AS1803-AS1801-AS1964+AS1912)-'Assumptions (MSW)'!AR23*Model!AS1800/10^3,'Assumptions (MSW)'!AR23*Model!AS1800/10^3)</f>
        <v>0</v>
      </c>
      <c r="AT2017" s="160">
        <f>IF(AT1802+AT1803-AT1801-AT1964+AT1912&gt;0,'Assumptions (MSW)'!AS22*(AT1802+AT1803-AT1801-AT1964+AT1912)-'Assumptions (MSW)'!AS23*Model!AT1800/10^3,'Assumptions (MSW)'!AS23*Model!AT1800/10^3)</f>
        <v>0</v>
      </c>
      <c r="AU2017" s="160">
        <f>IF(AU1802+AU1803-AU1801-AU1964+AU1912&gt;0,'Assumptions (MSW)'!AT22*(AU1802+AU1803-AU1801-AU1964+AU1912)-'Assumptions (MSW)'!AT23*Model!AU1800/10^3,'Assumptions (MSW)'!AT23*Model!AU1800/10^3)</f>
        <v>0</v>
      </c>
      <c r="AV2017" s="160">
        <f>IF(AV1802+AV1803-AV1801-AV1964+AV1912&gt;0,'Assumptions (MSW)'!AU22*(AV1802+AV1803-AV1801-AV1964+AV1912)-'Assumptions (MSW)'!AU23*Model!AV1800/10^3,'Assumptions (MSW)'!AU23*Model!AV1800/10^3)</f>
        <v>0</v>
      </c>
      <c r="AW2017" s="160">
        <f>IF(AW1802+AW1803-AW1801-AW1964+AW1912&gt;0,'Assumptions (MSW)'!AV22*(AW1802+AW1803-AW1801-AW1964+AW1912)-'Assumptions (MSW)'!AV23*Model!AW1800/10^3,'Assumptions (MSW)'!AV23*Model!AW1800/10^3)</f>
        <v>0</v>
      </c>
      <c r="AX2017" s="160">
        <f>IF(AX1802+AX1803-AX1801-AX1964+AX1912&gt;0,'Assumptions (MSW)'!AW22*(AX1802+AX1803-AX1801-AX1964+AX1912)-'Assumptions (MSW)'!AW23*Model!AX1800/10^3,'Assumptions (MSW)'!AW23*Model!AX1800/10^3)</f>
        <v>0</v>
      </c>
      <c r="AY2017" s="160">
        <f>IF(AY1802+AY1803-AY1801-AY1964+AY1912&gt;0,'Assumptions (MSW)'!AX22*(AY1802+AY1803-AY1801-AY1964+AY1912)-'Assumptions (MSW)'!AX23*Model!AY1800/10^3,'Assumptions (MSW)'!AX23*Model!AY1800/10^3)</f>
        <v>0</v>
      </c>
      <c r="AZ2017" s="160">
        <f>IF(AZ1802+AZ1803-AZ1801-AZ1964+AZ1912&gt;0,'Assumptions (MSW)'!AY22*(AZ1802+AZ1803-AZ1801-AZ1964+AZ1912)-'Assumptions (MSW)'!AY23*Model!AZ1800/10^3,'Assumptions (MSW)'!AY23*Model!AZ1800/10^3)</f>
        <v>0</v>
      </c>
      <c r="BA2017" s="160">
        <f>IF(BA1802+BA1803-BA1801-BA1964+BA1912&gt;0,'Assumptions (MSW)'!AZ22*(BA1802+BA1803-BA1801-BA1964+BA1912)-'Assumptions (MSW)'!AZ23*Model!BA1800/10^3,'Assumptions (MSW)'!AZ23*Model!BA1800/10^3)</f>
        <v>0</v>
      </c>
    </row>
    <row r="2018" ht="15.75" customHeight="1">
      <c r="A2018" s="309" t="s">
        <v>66</v>
      </c>
      <c r="B2018" s="159"/>
      <c r="C2018" s="174"/>
      <c r="D2018" s="174"/>
      <c r="E2018" s="174"/>
      <c r="F2018" s="174"/>
      <c r="G2018" s="174"/>
      <c r="H2018" s="174"/>
      <c r="I2018" s="174"/>
      <c r="J2018" s="174"/>
      <c r="K2018" s="174"/>
      <c r="L2018" s="174"/>
      <c r="M2018" s="174"/>
      <c r="N2018" s="174"/>
      <c r="O2018" s="174"/>
      <c r="P2018" s="174"/>
      <c r="Q2018" s="174"/>
      <c r="R2018" s="174"/>
      <c r="S2018" s="174"/>
      <c r="T2018" s="174"/>
      <c r="U2018" s="174"/>
      <c r="V2018" s="174"/>
      <c r="W2018" s="139"/>
    </row>
    <row r="2019" ht="15.75" customHeight="1">
      <c r="A2019" s="311" t="s">
        <v>436</v>
      </c>
      <c r="B2019" s="150"/>
      <c r="C2019" s="174"/>
      <c r="D2019" s="174"/>
      <c r="E2019" s="174"/>
      <c r="F2019" s="174"/>
      <c r="G2019" s="174"/>
      <c r="H2019" s="174"/>
      <c r="I2019" s="174"/>
      <c r="J2019" s="174"/>
      <c r="K2019" s="174"/>
      <c r="L2019" s="174"/>
      <c r="M2019" s="174"/>
      <c r="N2019" s="174"/>
      <c r="O2019" s="174"/>
      <c r="P2019" s="174"/>
      <c r="Q2019" s="174"/>
      <c r="R2019" s="174"/>
      <c r="S2019" s="174"/>
      <c r="T2019" s="174"/>
      <c r="U2019" s="174"/>
      <c r="V2019" s="174"/>
      <c r="W2019" s="139"/>
    </row>
    <row r="2020" ht="15.75" customHeight="1">
      <c r="A2020" s="312"/>
      <c r="B2020" s="159"/>
      <c r="C2020" s="174"/>
      <c r="D2020" s="174"/>
      <c r="E2020" s="174"/>
      <c r="F2020" s="174"/>
      <c r="G2020" s="174"/>
      <c r="H2020" s="174"/>
      <c r="I2020" s="174"/>
      <c r="J2020" s="174"/>
      <c r="K2020" s="174"/>
      <c r="L2020" s="174"/>
      <c r="M2020" s="174"/>
      <c r="N2020" s="174"/>
      <c r="O2020" s="174"/>
      <c r="P2020" s="174"/>
      <c r="Q2020" s="174"/>
      <c r="R2020" s="174"/>
      <c r="S2020" s="174"/>
      <c r="T2020" s="174"/>
      <c r="U2020" s="174"/>
      <c r="V2020" s="174"/>
      <c r="W2020" s="139"/>
    </row>
    <row r="2021" ht="15.75" customHeight="1">
      <c r="A2021" s="311" t="s">
        <v>437</v>
      </c>
      <c r="B2021" s="202"/>
      <c r="C2021" s="174"/>
      <c r="D2021" s="174"/>
      <c r="E2021" s="174"/>
      <c r="F2021" s="174"/>
      <c r="G2021" s="174"/>
      <c r="H2021" s="174"/>
      <c r="I2021" s="174"/>
      <c r="J2021" s="174"/>
      <c r="K2021" s="174"/>
      <c r="L2021" s="174"/>
      <c r="M2021" s="174"/>
      <c r="N2021" s="174"/>
      <c r="O2021" s="174"/>
      <c r="P2021" s="174"/>
      <c r="Q2021" s="174"/>
      <c r="R2021" s="174"/>
      <c r="S2021" s="174"/>
      <c r="T2021" s="174"/>
      <c r="U2021" s="174"/>
      <c r="V2021" s="174"/>
      <c r="W2021" s="231"/>
    </row>
    <row r="2022" ht="15.75" customHeight="1">
      <c r="A2022" s="312"/>
      <c r="B2022" s="234" t="s">
        <v>411</v>
      </c>
      <c r="C2022" s="21"/>
      <c r="D2022" s="38"/>
      <c r="E2022" s="38"/>
      <c r="F2022" s="38"/>
      <c r="G2022" s="38"/>
      <c r="H2022" s="38"/>
      <c r="I2022" s="38"/>
      <c r="J2022" s="38"/>
      <c r="K2022" s="38"/>
      <c r="L2022" s="38"/>
      <c r="M2022" s="38"/>
      <c r="N2022" s="38"/>
      <c r="O2022" s="38"/>
      <c r="P2022" s="38"/>
      <c r="Q2022" s="38"/>
      <c r="R2022" s="38"/>
      <c r="S2022" s="38"/>
      <c r="T2022" s="38"/>
      <c r="U2022" s="38"/>
      <c r="V2022" s="38"/>
      <c r="W2022" s="38"/>
      <c r="X2022" s="252">
        <f>'Assumptions (Biomass)'!W42</f>
        <v>0</v>
      </c>
      <c r="Y2022" s="252">
        <f>'Assumptions (Biomass)'!X42</f>
        <v>0</v>
      </c>
      <c r="Z2022" s="252">
        <f>'Assumptions (Biomass)'!Y42</f>
        <v>0</v>
      </c>
      <c r="AA2022" s="252">
        <f>'Assumptions (Biomass)'!Z42</f>
        <v>0</v>
      </c>
      <c r="AB2022" s="252">
        <f>'Assumptions (Biomass)'!AA42</f>
        <v>0</v>
      </c>
      <c r="AC2022" s="252">
        <f>'Assumptions (Biomass)'!AB42</f>
        <v>0</v>
      </c>
      <c r="AD2022" s="252">
        <f>'Assumptions (Biomass)'!AC42</f>
        <v>0</v>
      </c>
      <c r="AE2022" s="252">
        <f>'Assumptions (Biomass)'!AD42</f>
        <v>0</v>
      </c>
      <c r="AF2022" s="252">
        <f>'Assumptions (Biomass)'!AE42</f>
        <v>0</v>
      </c>
      <c r="AG2022" s="252">
        <f>'Assumptions (Biomass)'!AF42</f>
        <v>0</v>
      </c>
      <c r="AH2022" s="252">
        <f>'Assumptions (Biomass)'!AG42</f>
        <v>0</v>
      </c>
      <c r="AI2022" s="252">
        <f>'Assumptions (Biomass)'!AH42</f>
        <v>0</v>
      </c>
      <c r="AJ2022" s="252">
        <f>'Assumptions (Biomass)'!AI42</f>
        <v>0</v>
      </c>
      <c r="AK2022" s="252">
        <f>'Assumptions (Biomass)'!AJ42</f>
        <v>0</v>
      </c>
      <c r="AL2022" s="252">
        <f>'Assumptions (Biomass)'!AK42</f>
        <v>0</v>
      </c>
      <c r="AM2022" s="252">
        <f>'Assumptions (Biomass)'!AL42</f>
        <v>0</v>
      </c>
      <c r="AN2022" s="252">
        <f>'Assumptions (Biomass)'!AM42</f>
        <v>0</v>
      </c>
      <c r="AO2022" s="252">
        <f>'Assumptions (Biomass)'!AN42</f>
        <v>0</v>
      </c>
      <c r="AP2022" s="252">
        <f>'Assumptions (Biomass)'!AO42</f>
        <v>0</v>
      </c>
      <c r="AQ2022" s="252">
        <f>'Assumptions (Biomass)'!AP42</f>
        <v>0</v>
      </c>
      <c r="AR2022" s="252">
        <f>'Assumptions (Biomass)'!AQ42</f>
        <v>0</v>
      </c>
      <c r="AS2022" s="252">
        <f>'Assumptions (Biomass)'!AR42</f>
        <v>0</v>
      </c>
      <c r="AT2022" s="252">
        <f>'Assumptions (Biomass)'!AS42</f>
        <v>0</v>
      </c>
      <c r="AU2022" s="252">
        <f>'Assumptions (Biomass)'!AT42</f>
        <v>0</v>
      </c>
      <c r="AV2022" s="252">
        <f>'Assumptions (Biomass)'!AU42</f>
        <v>0</v>
      </c>
      <c r="AW2022" s="252">
        <f>'Assumptions (Biomass)'!AV42</f>
        <v>0</v>
      </c>
      <c r="AX2022" s="252">
        <f>'Assumptions (Biomass)'!AW42</f>
        <v>0</v>
      </c>
      <c r="AY2022" s="252">
        <f>'Assumptions (Biomass)'!AX42</f>
        <v>0</v>
      </c>
      <c r="AZ2022" s="252">
        <f>'Assumptions (Biomass)'!AY42</f>
        <v>0</v>
      </c>
      <c r="BA2022" s="252">
        <f>'Assumptions (Biomass)'!AZ42</f>
        <v>0</v>
      </c>
    </row>
    <row r="2023" ht="15.75" customHeight="1">
      <c r="A2023" s="311" t="s">
        <v>438</v>
      </c>
      <c r="B2023" s="237" t="s">
        <v>413</v>
      </c>
      <c r="C2023" s="21"/>
      <c r="D2023" s="21"/>
      <c r="E2023" s="21"/>
      <c r="F2023" s="21"/>
      <c r="G2023" s="21"/>
      <c r="H2023" s="21"/>
      <c r="I2023" s="21"/>
      <c r="J2023" s="21"/>
      <c r="K2023" s="38"/>
      <c r="L2023" s="38"/>
      <c r="M2023" s="38"/>
      <c r="N2023" s="38"/>
      <c r="O2023" s="38"/>
      <c r="P2023" s="38"/>
      <c r="Q2023" s="38"/>
      <c r="R2023" s="38"/>
      <c r="S2023" s="38"/>
      <c r="T2023" s="38"/>
      <c r="U2023" s="38"/>
      <c r="V2023" s="38"/>
      <c r="W2023" s="38"/>
      <c r="X2023" s="238">
        <f>W2024-'Assumptions (Biomass)'!W42+W2030</f>
        <v>3404.5</v>
      </c>
      <c r="Y2023" s="167">
        <f>X2023-'Assumptions (Biomass)'!X42+X2030</f>
        <v>3404.5</v>
      </c>
      <c r="Z2023" s="167">
        <f>Y2023-'Assumptions (Biomass)'!Y42+Y2030</f>
        <v>3404.5</v>
      </c>
      <c r="AA2023" s="167">
        <f>Z2023-'Assumptions (Biomass)'!Z42+Z2030</f>
        <v>3404.5</v>
      </c>
      <c r="AB2023" s="167">
        <f>AA2023-'Assumptions (Biomass)'!AA42+AA2030</f>
        <v>3404.5</v>
      </c>
      <c r="AC2023" s="167">
        <f>AB2023-'Assumptions (Biomass)'!AB42+AB2030</f>
        <v>3404.5</v>
      </c>
      <c r="AD2023" s="167">
        <f>AC2023-'Assumptions (Biomass)'!AC42+AC2030</f>
        <v>3404.5</v>
      </c>
      <c r="AE2023" s="167">
        <f>AD2023-'Assumptions (Biomass)'!AD42+AD2030</f>
        <v>3404.5</v>
      </c>
      <c r="AF2023" s="167">
        <f>AE2023-'Assumptions (Biomass)'!AE42+AE2030</f>
        <v>3404.5</v>
      </c>
      <c r="AG2023" s="167">
        <f>AF2023-'Assumptions (Biomass)'!AF42+AF2030</f>
        <v>3404.5</v>
      </c>
      <c r="AH2023" s="167">
        <f>AG2023-'Assumptions (Biomass)'!AG42+AG2030</f>
        <v>3404.5</v>
      </c>
      <c r="AI2023" s="167">
        <f>AH2023-'Assumptions (Biomass)'!AH42+AH2030</f>
        <v>3404.5</v>
      </c>
      <c r="AJ2023" s="167">
        <f>AI2023-'Assumptions (Biomass)'!AI42+AI2030</f>
        <v>3404.5</v>
      </c>
      <c r="AK2023" s="167">
        <f>AJ2023-'Assumptions (Biomass)'!AJ42+AJ2030</f>
        <v>3404.5</v>
      </c>
      <c r="AL2023" s="167">
        <f>AK2023-'Assumptions (Biomass)'!AK42+AK2030</f>
        <v>3404.5</v>
      </c>
      <c r="AM2023" s="167">
        <f>AL2023-'Assumptions (Biomass)'!AL42+AL2030</f>
        <v>3404.5</v>
      </c>
      <c r="AN2023" s="167">
        <f>AM2023-'Assumptions (Biomass)'!AM42+AM2030</f>
        <v>3404.5</v>
      </c>
      <c r="AO2023" s="167">
        <f>AN2023-'Assumptions (Biomass)'!AN42+AN2030</f>
        <v>3404.5</v>
      </c>
      <c r="AP2023" s="167">
        <f>AO2023-'Assumptions (Biomass)'!AO42+AO2030</f>
        <v>3404.5</v>
      </c>
      <c r="AQ2023" s="167">
        <f>AP2023-'Assumptions (Biomass)'!AP42+AP2030</f>
        <v>3404.5</v>
      </c>
      <c r="AR2023" s="167">
        <f>AQ2023-'Assumptions (Biomass)'!AQ42+AQ2030</f>
        <v>3404.5</v>
      </c>
      <c r="AS2023" s="167">
        <f>AR2023-'Assumptions (Biomass)'!AR42+AR2030</f>
        <v>3404.5</v>
      </c>
      <c r="AT2023" s="167">
        <f>AS2023-'Assumptions (Biomass)'!AS42+AS2030</f>
        <v>3404.5</v>
      </c>
      <c r="AU2023" s="167">
        <f>AT2023-'Assumptions (Biomass)'!AT42+AT2030</f>
        <v>3404.5</v>
      </c>
      <c r="AV2023" s="167">
        <f>AU2023-'Assumptions (Biomass)'!AU42+AU2030</f>
        <v>3404.5</v>
      </c>
      <c r="AW2023" s="167">
        <f>AV2023-'Assumptions (Biomass)'!AV42+AV2030</f>
        <v>3404.5</v>
      </c>
      <c r="AX2023" s="167">
        <f>AW2023-'Assumptions (Biomass)'!AW42+AW2030</f>
        <v>3404.5</v>
      </c>
      <c r="AY2023" s="167">
        <f>AX2023-'Assumptions (Biomass)'!AX42+AX2030</f>
        <v>3404.5</v>
      </c>
      <c r="AZ2023" s="167">
        <f>AY2023-'Assumptions (Biomass)'!AY42+AY2030</f>
        <v>3404.5</v>
      </c>
      <c r="BA2023" s="167">
        <f>AZ2023-'Assumptions (Biomass)'!AZ42+AZ2030</f>
        <v>3404.5</v>
      </c>
    </row>
    <row r="2024" ht="15.75" customHeight="1">
      <c r="A2024" s="313" t="s">
        <v>350</v>
      </c>
      <c r="B2024" s="24" t="s">
        <v>149</v>
      </c>
      <c r="C2024" s="171">
        <v>2668.3</v>
      </c>
      <c r="D2024" s="171">
        <v>2655.3</v>
      </c>
      <c r="E2024" s="171">
        <v>2648.7</v>
      </c>
      <c r="F2024" s="171">
        <v>2664.2</v>
      </c>
      <c r="G2024" s="171">
        <v>2689.2</v>
      </c>
      <c r="H2024" s="171">
        <v>2696.9</v>
      </c>
      <c r="I2024" s="171">
        <v>2739.1</v>
      </c>
      <c r="J2024" s="171">
        <v>2759.8</v>
      </c>
      <c r="K2024" s="171">
        <v>2769.4</v>
      </c>
      <c r="L2024" s="171">
        <v>2786.8</v>
      </c>
      <c r="M2024" s="171">
        <v>2893.5</v>
      </c>
      <c r="N2024" s="171">
        <v>2989.3</v>
      </c>
      <c r="O2024" s="171">
        <v>3018.3</v>
      </c>
      <c r="P2024" s="171">
        <v>3190.4</v>
      </c>
      <c r="Q2024" s="171">
        <v>3255.6</v>
      </c>
      <c r="R2024" s="171">
        <v>3301.7</v>
      </c>
      <c r="S2024" s="171">
        <v>3306.1</v>
      </c>
      <c r="T2024" s="171">
        <v>3415.6</v>
      </c>
      <c r="U2024" s="171">
        <v>3404.5</v>
      </c>
      <c r="V2024" s="314">
        <f t="shared" ref="V2024:W2024" si="70">U2024</f>
        <v>3404.5</v>
      </c>
      <c r="W2024" s="314">
        <f t="shared" si="70"/>
        <v>3404.5</v>
      </c>
      <c r="X2024" s="154">
        <f t="shared" ref="X2024:AZ2024" si="71">$W2024+($BA$2024-$W$2024)/($BA$2-$W$2)*W$1</f>
        <v>3324.945831</v>
      </c>
      <c r="Y2024" s="154">
        <f t="shared" si="71"/>
        <v>3245.391662</v>
      </c>
      <c r="Z2024" s="154">
        <f t="shared" si="71"/>
        <v>3165.837492</v>
      </c>
      <c r="AA2024" s="154">
        <f t="shared" si="71"/>
        <v>3086.283323</v>
      </c>
      <c r="AB2024" s="154">
        <f t="shared" si="71"/>
        <v>3006.729154</v>
      </c>
      <c r="AC2024" s="154">
        <f t="shared" si="71"/>
        <v>2927.174985</v>
      </c>
      <c r="AD2024" s="154">
        <f t="shared" si="71"/>
        <v>2847.620815</v>
      </c>
      <c r="AE2024" s="154">
        <f t="shared" si="71"/>
        <v>2768.066646</v>
      </c>
      <c r="AF2024" s="154">
        <f t="shared" si="71"/>
        <v>2688.512477</v>
      </c>
      <c r="AG2024" s="154">
        <f t="shared" si="71"/>
        <v>2608.958308</v>
      </c>
      <c r="AH2024" s="154">
        <f t="shared" si="71"/>
        <v>2529.404139</v>
      </c>
      <c r="AI2024" s="154">
        <f t="shared" si="71"/>
        <v>2449.849969</v>
      </c>
      <c r="AJ2024" s="154">
        <f t="shared" si="71"/>
        <v>2370.2958</v>
      </c>
      <c r="AK2024" s="154">
        <f t="shared" si="71"/>
        <v>2290.741631</v>
      </c>
      <c r="AL2024" s="154">
        <f t="shared" si="71"/>
        <v>2211.187462</v>
      </c>
      <c r="AM2024" s="154">
        <f t="shared" si="71"/>
        <v>2131.633292</v>
      </c>
      <c r="AN2024" s="154">
        <f t="shared" si="71"/>
        <v>2052.079123</v>
      </c>
      <c r="AO2024" s="154">
        <f t="shared" si="71"/>
        <v>1972.524954</v>
      </c>
      <c r="AP2024" s="154">
        <f t="shared" si="71"/>
        <v>1892.970785</v>
      </c>
      <c r="AQ2024" s="154">
        <f t="shared" si="71"/>
        <v>1813.416616</v>
      </c>
      <c r="AR2024" s="154">
        <f t="shared" si="71"/>
        <v>1733.862446</v>
      </c>
      <c r="AS2024" s="154">
        <f t="shared" si="71"/>
        <v>1654.308277</v>
      </c>
      <c r="AT2024" s="154">
        <f t="shared" si="71"/>
        <v>1574.754108</v>
      </c>
      <c r="AU2024" s="154">
        <f t="shared" si="71"/>
        <v>1495.199939</v>
      </c>
      <c r="AV2024" s="154">
        <f t="shared" si="71"/>
        <v>1415.645769</v>
      </c>
      <c r="AW2024" s="154">
        <f t="shared" si="71"/>
        <v>1336.0916</v>
      </c>
      <c r="AX2024" s="154">
        <f t="shared" si="71"/>
        <v>1256.537431</v>
      </c>
      <c r="AY2024" s="154">
        <f t="shared" si="71"/>
        <v>1176.983262</v>
      </c>
      <c r="AZ2024" s="154">
        <f t="shared" si="71"/>
        <v>1097.429092</v>
      </c>
      <c r="BA2024" s="155">
        <f>Inputs!$H$11</f>
        <v>1017.874923</v>
      </c>
    </row>
    <row r="2025" ht="15.75" customHeight="1">
      <c r="A2025" s="315" t="s">
        <v>28</v>
      </c>
      <c r="B2025" s="38" t="s">
        <v>150</v>
      </c>
      <c r="C2025" s="156">
        <v>12.518785</v>
      </c>
      <c r="D2025" s="156">
        <v>11.866572</v>
      </c>
      <c r="E2025" s="156">
        <v>14.545655</v>
      </c>
      <c r="F2025" s="156">
        <v>11.576239</v>
      </c>
      <c r="G2025" s="156">
        <v>12.475156</v>
      </c>
      <c r="H2025" s="156">
        <v>12.470748</v>
      </c>
      <c r="I2025" s="156">
        <v>13.00059</v>
      </c>
      <c r="J2025" s="156">
        <v>12.983243</v>
      </c>
      <c r="K2025" s="156">
        <v>11.745466</v>
      </c>
      <c r="L2025" s="156">
        <v>11.428751</v>
      </c>
      <c r="M2025" s="156">
        <v>11.454709</v>
      </c>
      <c r="N2025" s="156">
        <v>12.251219</v>
      </c>
      <c r="O2025" s="156">
        <v>12.286625</v>
      </c>
      <c r="P2025" s="156">
        <v>12.867942</v>
      </c>
      <c r="Q2025" s="156">
        <v>13.215805</v>
      </c>
      <c r="R2025" s="156">
        <v>14.201896</v>
      </c>
      <c r="S2025" s="156">
        <v>14.111714</v>
      </c>
      <c r="T2025" s="156">
        <v>14.70858</v>
      </c>
      <c r="U2025" s="156">
        <v>14.479003</v>
      </c>
      <c r="V2025" s="242">
        <f t="shared" ref="V2025:W2025" si="72">U2025</f>
        <v>14.479003</v>
      </c>
      <c r="W2025" s="242">
        <f t="shared" si="72"/>
        <v>14.479003</v>
      </c>
      <c r="X2025" s="154">
        <f t="shared" ref="X2025:AZ2025" si="73">$W2025+($BA$2025-$W$2025)/($BA$2-$W$2)*W$1</f>
        <v>14.27692565</v>
      </c>
      <c r="Y2025" s="154">
        <f t="shared" si="73"/>
        <v>14.07484831</v>
      </c>
      <c r="Z2025" s="154">
        <f t="shared" si="73"/>
        <v>13.87277096</v>
      </c>
      <c r="AA2025" s="154">
        <f t="shared" si="73"/>
        <v>13.67069362</v>
      </c>
      <c r="AB2025" s="154">
        <f t="shared" si="73"/>
        <v>13.46861627</v>
      </c>
      <c r="AC2025" s="154">
        <f t="shared" si="73"/>
        <v>13.26653893</v>
      </c>
      <c r="AD2025" s="154">
        <f t="shared" si="73"/>
        <v>13.06446158</v>
      </c>
      <c r="AE2025" s="154">
        <f t="shared" si="73"/>
        <v>12.86238424</v>
      </c>
      <c r="AF2025" s="154">
        <f t="shared" si="73"/>
        <v>12.66030689</v>
      </c>
      <c r="AG2025" s="154">
        <f t="shared" si="73"/>
        <v>12.45822955</v>
      </c>
      <c r="AH2025" s="154">
        <f t="shared" si="73"/>
        <v>12.2561522</v>
      </c>
      <c r="AI2025" s="154">
        <f t="shared" si="73"/>
        <v>12.05407486</v>
      </c>
      <c r="AJ2025" s="154">
        <f t="shared" si="73"/>
        <v>11.85199751</v>
      </c>
      <c r="AK2025" s="154">
        <f t="shared" si="73"/>
        <v>11.64992017</v>
      </c>
      <c r="AL2025" s="154">
        <f t="shared" si="73"/>
        <v>11.44784282</v>
      </c>
      <c r="AM2025" s="154">
        <f t="shared" si="73"/>
        <v>11.24576548</v>
      </c>
      <c r="AN2025" s="154">
        <f t="shared" si="73"/>
        <v>11.04368813</v>
      </c>
      <c r="AO2025" s="154">
        <f t="shared" si="73"/>
        <v>10.84161079</v>
      </c>
      <c r="AP2025" s="154">
        <f t="shared" si="73"/>
        <v>10.63953344</v>
      </c>
      <c r="AQ2025" s="154">
        <f t="shared" si="73"/>
        <v>10.4374561</v>
      </c>
      <c r="AR2025" s="154">
        <f t="shared" si="73"/>
        <v>10.23537875</v>
      </c>
      <c r="AS2025" s="154">
        <f t="shared" si="73"/>
        <v>10.03330141</v>
      </c>
      <c r="AT2025" s="154">
        <f t="shared" si="73"/>
        <v>9.831224065</v>
      </c>
      <c r="AU2025" s="154">
        <f t="shared" si="73"/>
        <v>9.62914672</v>
      </c>
      <c r="AV2025" s="154">
        <f t="shared" si="73"/>
        <v>9.427069375</v>
      </c>
      <c r="AW2025" s="154">
        <f t="shared" si="73"/>
        <v>9.22499203</v>
      </c>
      <c r="AX2025" s="154">
        <f t="shared" si="73"/>
        <v>9.022914685</v>
      </c>
      <c r="AY2025" s="154">
        <f t="shared" si="73"/>
        <v>8.82083734</v>
      </c>
      <c r="AZ2025" s="154">
        <f t="shared" si="73"/>
        <v>8.618759995</v>
      </c>
      <c r="BA2025" s="243">
        <f>Inputs!$I$11</f>
        <v>8.41668265</v>
      </c>
    </row>
    <row r="2026" ht="15.75" customHeight="1">
      <c r="A2026" s="315" t="s">
        <v>31</v>
      </c>
      <c r="B2026" s="159" t="s">
        <v>351</v>
      </c>
      <c r="C2026" s="160">
        <f>'Assumptions (Biomass)'!B18*Model!C2024/10^9+'Assumptions (Biomass)'!B19*Model!C2025/10^3</f>
        <v>0.2538442994</v>
      </c>
      <c r="D2026" s="160">
        <f>'Assumptions (Biomass)'!C18*Model!D2024/10^9+'Assumptions (Biomass)'!C19*Model!D2025/10^3</f>
        <v>0.2550686945</v>
      </c>
      <c r="E2026" s="160">
        <f>'Assumptions (Biomass)'!D18*Model!E2024/10^9+'Assumptions (Biomass)'!D19*Model!E2025/10^3</f>
        <v>0.2700327987</v>
      </c>
      <c r="F2026" s="160">
        <f>'Assumptions (Biomass)'!E18*Model!F2024/10^9+'Assumptions (Biomass)'!E19*Model!F2025/10^3</f>
        <v>0.2643459888</v>
      </c>
      <c r="G2026" s="160">
        <f>'Assumptions (Biomass)'!F18*Model!G2024/10^9+'Assumptions (Biomass)'!F19*Model!G2025/10^3</f>
        <v>0.2751365566</v>
      </c>
      <c r="H2026" s="160">
        <f>'Assumptions (Biomass)'!G18*Model!H2024/10^9+'Assumptions (Biomass)'!G19*Model!H2025/10^3</f>
        <v>0.2809686355</v>
      </c>
      <c r="I2026" s="160">
        <f>'Assumptions (Biomass)'!H18*Model!I2024/10^9+'Assumptions (Biomass)'!H19*Model!I2025/10^3</f>
        <v>0.2921939807</v>
      </c>
      <c r="J2026" s="160">
        <f>'Assumptions (Biomass)'!I18*Model!J2024/10^9+'Assumptions (Biomass)'!I19*Model!J2025/10^3</f>
        <v>0.2994589571</v>
      </c>
      <c r="K2026" s="160">
        <f>'Assumptions (Biomass)'!J18*Model!K2024/10^9+'Assumptions (Biomass)'!J19*Model!K2025/10^3</f>
        <v>0.3004597415</v>
      </c>
      <c r="L2026" s="160">
        <f>'Assumptions (Biomass)'!K18*Model!L2024/10^9+'Assumptions (Biomass)'!K19*Model!L2025/10^3</f>
        <v>0.306286574</v>
      </c>
      <c r="M2026" s="160">
        <f>'Assumptions (Biomass)'!L18*Model!M2024/10^9+'Assumptions (Biomass)'!L19*Model!M2025/10^3</f>
        <v>0.3221174224</v>
      </c>
      <c r="N2026" s="160">
        <f>'Assumptions (Biomass)'!M18*Model!N2024/10^9+'Assumptions (Biomass)'!M19*Model!N2025/10^3</f>
        <v>0.3410373129</v>
      </c>
      <c r="O2026" s="160">
        <f>'Assumptions (Biomass)'!N18*Model!O2024/10^9+'Assumptions (Biomass)'!N19*Model!O2025/10^3</f>
        <v>0.3504510838</v>
      </c>
      <c r="P2026" s="160">
        <f>'Assumptions (Biomass)'!O18*Model!P2024/10^9+'Assumptions (Biomass)'!O19*Model!P2025/10^3</f>
        <v>0.376848749</v>
      </c>
      <c r="Q2026" s="160">
        <f>'Assumptions (Biomass)'!P18*Model!Q2024/10^9+'Assumptions (Biomass)'!P19*Model!Q2025/10^3</f>
        <v>0.3922392931</v>
      </c>
      <c r="R2026" s="160">
        <f>'Assumptions (Biomass)'!Q18*Model!R2024/10^9+'Assumptions (Biomass)'!Q19*Model!R2025/10^3</f>
        <v>0.4093693367</v>
      </c>
      <c r="S2026" s="160">
        <f>'Assumptions (Biomass)'!R18*Model!S2024/10^9+'Assumptions (Biomass)'!R19*Model!S2025/10^3</f>
        <v>0.4170950063</v>
      </c>
      <c r="T2026" s="160">
        <f>'Assumptions (Biomass)'!S18*Model!T2024/10^9+'Assumptions (Biomass)'!S19*Model!T2025/10^3</f>
        <v>0.4397341794</v>
      </c>
      <c r="U2026" s="160">
        <f>'Assumptions (Biomass)'!T18*Model!U2024/10^9+'Assumptions (Biomass)'!T19*Model!U2025/10^3</f>
        <v>0.4456095282</v>
      </c>
      <c r="V2026" s="160">
        <f>'Assumptions (Biomass)'!U18*Model!V2024/10^9+'Assumptions (Biomass)'!U19*Model!V2025/10^3</f>
        <v>0.4540289804</v>
      </c>
      <c r="W2026" s="160">
        <f>'Assumptions (Biomass)'!V18*Model!W2024/10^9+'Assumptions (Biomass)'!V19*Model!W2025/10^3</f>
        <v>0.4626075117</v>
      </c>
      <c r="X2026" s="160">
        <f>'Assumptions (Biomass)'!W18*Model!X2024/10^9+'Assumptions (Biomass)'!W19*Model!X2025/10^3</f>
        <v>0.4611086568</v>
      </c>
      <c r="Y2026" s="160">
        <f>'Assumptions (Biomass)'!X18*Model!Y2024/10^9+'Assumptions (Biomass)'!X19*Model!Y2025/10^3</f>
        <v>0.4593880152</v>
      </c>
      <c r="Z2026" s="160">
        <f>'Assumptions (Biomass)'!Y18*Model!Z2024/10^9+'Assumptions (Biomass)'!Y19*Model!Z2025/10^3</f>
        <v>0.457437741</v>
      </c>
      <c r="AA2026" s="160">
        <f>'Assumptions (Biomass)'!Z18*Model!AA2024/10^9+'Assumptions (Biomass)'!Z19*Model!AA2025/10^3</f>
        <v>0.455249771</v>
      </c>
      <c r="AB2026" s="160">
        <f>'Assumptions (Biomass)'!AA18*Model!AB2024/10^9+'Assumptions (Biomass)'!AA19*Model!AB2025/10^3</f>
        <v>0.4528158191</v>
      </c>
      <c r="AC2026" s="160">
        <f>'Assumptions (Biomass)'!AB18*Model!AC2024/10^9+'Assumptions (Biomass)'!AB19*Model!AC2025/10^3</f>
        <v>0.4501273714</v>
      </c>
      <c r="AD2026" s="160">
        <f>'Assumptions (Biomass)'!AC18*Model!AD2024/10^9+'Assumptions (Biomass)'!AC19*Model!AD2025/10^3</f>
        <v>0.4471756795</v>
      </c>
      <c r="AE2026" s="160">
        <f>'Assumptions (Biomass)'!AD18*Model!AE2024/10^9+'Assumptions (Biomass)'!AD19*Model!AE2025/10^3</f>
        <v>0.4439517558</v>
      </c>
      <c r="AF2026" s="160">
        <f>'Assumptions (Biomass)'!AE18*Model!AF2024/10^9+'Assumptions (Biomass)'!AE19*Model!AF2025/10^3</f>
        <v>0.4404463667</v>
      </c>
      <c r="AG2026" s="160">
        <f>'Assumptions (Biomass)'!AF18*Model!AG2024/10^9+'Assumptions (Biomass)'!AF19*Model!AG2025/10^3</f>
        <v>0.436650027</v>
      </c>
      <c r="AH2026" s="160">
        <f>'Assumptions (Biomass)'!AG18*Model!AH2024/10^9+'Assumptions (Biomass)'!AG19*Model!AH2025/10^3</f>
        <v>0.4325529934</v>
      </c>
      <c r="AI2026" s="160">
        <f>'Assumptions (Biomass)'!AH18*Model!AI2024/10^9+'Assumptions (Biomass)'!AH19*Model!AI2025/10^3</f>
        <v>0.4281452586</v>
      </c>
      <c r="AJ2026" s="160">
        <f>'Assumptions (Biomass)'!AI18*Model!AJ2024/10^9+'Assumptions (Biomass)'!AI19*Model!AJ2025/10^3</f>
        <v>0.4234165441</v>
      </c>
      <c r="AK2026" s="160">
        <f>'Assumptions (Biomass)'!AJ18*Model!AK2024/10^9+'Assumptions (Biomass)'!AJ19*Model!AK2025/10^3</f>
        <v>0.4183562942</v>
      </c>
      <c r="AL2026" s="160">
        <f>'Assumptions (Biomass)'!AK18*Model!AL2024/10^9+'Assumptions (Biomass)'!AK19*Model!AL2025/10^3</f>
        <v>0.4129536688</v>
      </c>
      <c r="AM2026" s="160">
        <f>'Assumptions (Biomass)'!AL18*Model!AM2024/10^9+'Assumptions (Biomass)'!AL19*Model!AM2025/10^3</f>
        <v>0.4071975364</v>
      </c>
      <c r="AN2026" s="160">
        <f>'Assumptions (Biomass)'!AM18*Model!AN2024/10^9+'Assumptions (Biomass)'!AM19*Model!AN2025/10^3</f>
        <v>0.4010764674</v>
      </c>
      <c r="AO2026" s="160">
        <f>'Assumptions (Biomass)'!AN18*Model!AO2024/10^9+'Assumptions (Biomass)'!AN19*Model!AO2025/10^3</f>
        <v>0.3945787261</v>
      </c>
      <c r="AP2026" s="160">
        <f>'Assumptions (Biomass)'!AO18*Model!AP2024/10^9+'Assumptions (Biomass)'!AO19*Model!AP2025/10^3</f>
        <v>0.387692264</v>
      </c>
      <c r="AQ2026" s="160">
        <f>'Assumptions (Biomass)'!AP18*Model!AQ2024/10^9+'Assumptions (Biomass)'!AP19*Model!AQ2025/10^3</f>
        <v>0.3804047114</v>
      </c>
      <c r="AR2026" s="160">
        <f>'Assumptions (Biomass)'!AQ18*Model!AR2024/10^9+'Assumptions (Biomass)'!AQ19*Model!AR2025/10^3</f>
        <v>0.3727033702</v>
      </c>
      <c r="AS2026" s="160">
        <f>'Assumptions (Biomass)'!AR18*Model!AS2024/10^9+'Assumptions (Biomass)'!AR19*Model!AS2025/10^3</f>
        <v>0.3645752055</v>
      </c>
      <c r="AT2026" s="160">
        <f>'Assumptions (Biomass)'!AS18*Model!AT2024/10^9+'Assumptions (Biomass)'!AS19*Model!AT2025/10^3</f>
        <v>0.3560068377</v>
      </c>
      <c r="AU2026" s="160">
        <f>'Assumptions (Biomass)'!AT18*Model!AU2024/10^9+'Assumptions (Biomass)'!AT19*Model!AU2025/10^3</f>
        <v>0.3469845338</v>
      </c>
      <c r="AV2026" s="160">
        <f>'Assumptions (Biomass)'!AU18*Model!AV2024/10^9+'Assumptions (Biomass)'!AU19*Model!AV2025/10^3</f>
        <v>0.3374941992</v>
      </c>
      <c r="AW2026" s="160">
        <f>'Assumptions (Biomass)'!AV18*Model!AW2024/10^9+'Assumptions (Biomass)'!AV19*Model!AW2025/10^3</f>
        <v>0.3275213685</v>
      </c>
      <c r="AX2026" s="160">
        <f>'Assumptions (Biomass)'!AW18*Model!AX2024/10^9+'Assumptions (Biomass)'!AW19*Model!AX2025/10^3</f>
        <v>0.317051197</v>
      </c>
      <c r="AY2026" s="160">
        <f>'Assumptions (Biomass)'!AX18*Model!AY2024/10^9+'Assumptions (Biomass)'!AX19*Model!AY2025/10^3</f>
        <v>0.306068451</v>
      </c>
      <c r="AZ2026" s="160">
        <f>'Assumptions (Biomass)'!AY18*Model!AZ2024/10^9+'Assumptions (Biomass)'!AY19*Model!AZ2025/10^3</f>
        <v>0.2945574991</v>
      </c>
      <c r="BA2026" s="160">
        <f>'Assumptions (Biomass)'!AZ18*Model!BA2024/10^9+'Assumptions (Biomass)'!AZ19*Model!BA2025/10^3</f>
        <v>0.2825023018</v>
      </c>
    </row>
    <row r="2027" ht="15.75" customHeight="1">
      <c r="A2027" s="313" t="s">
        <v>34</v>
      </c>
      <c r="B2027" s="316" t="s">
        <v>351</v>
      </c>
      <c r="C2027" s="317">
        <f>C2025*'Assumptions (Biomass)'!B22*1000*'Assumptions (Biomass)'!B23/10^9</f>
        <v>0.3162332497</v>
      </c>
      <c r="D2027" s="317">
        <f>D2025*'Assumptions (Biomass)'!C22*1000*'Assumptions (Biomass)'!C23/10^9</f>
        <v>0.299757894</v>
      </c>
      <c r="E2027" s="317">
        <f>E2025*'Assumptions (Biomass)'!D22*1000*'Assumptions (Biomass)'!D23/10^9</f>
        <v>0.3674334011</v>
      </c>
      <c r="F2027" s="317">
        <f>F2025*'Assumptions (Biomass)'!E22*1000*'Assumptions (Biomass)'!E23/10^9</f>
        <v>0.2924238797</v>
      </c>
      <c r="G2027" s="317">
        <f>G2025*'Assumptions (Biomass)'!F22*1000*'Assumptions (Biomass)'!F23/10^9</f>
        <v>0.3151311507</v>
      </c>
      <c r="H2027" s="317">
        <f>H2025*'Assumptions (Biomass)'!G22*1000*'Assumptions (Biomass)'!G23/10^9</f>
        <v>0.3150198016</v>
      </c>
      <c r="I2027" s="317">
        <f>I2025*'Assumptions (Biomass)'!H22*1000*'Assumptions (Biomass)'!H23/10^9</f>
        <v>0.3284039804</v>
      </c>
      <c r="J2027" s="317">
        <f>J2025*'Assumptions (Biomass)'!I22*1000*'Assumptions (Biomass)'!I23/10^9</f>
        <v>0.3279657831</v>
      </c>
      <c r="K2027" s="317">
        <f>K2025*'Assumptions (Biomass)'!J22*1000*'Assumptions (Biomass)'!J23/10^9</f>
        <v>0.2966986719</v>
      </c>
      <c r="L2027" s="317">
        <f>L2025*'Assumptions (Biomass)'!K22*1000*'Assumptions (Biomass)'!K23/10^9</f>
        <v>0.2886982298</v>
      </c>
      <c r="M2027" s="317">
        <f>M2025*'Assumptions (Biomass)'!L22*1000*'Assumptions (Biomass)'!L23/10^9</f>
        <v>0.289353947</v>
      </c>
      <c r="N2027" s="317">
        <f>N2025*'Assumptions (Biomass)'!M22*1000*'Assumptions (Biomass)'!M23/10^9</f>
        <v>0.3094743458</v>
      </c>
      <c r="O2027" s="317">
        <f>O2025*'Assumptions (Biomass)'!N22*1000*'Assumptions (Biomass)'!N23/10^9</f>
        <v>0.310368726</v>
      </c>
      <c r="P2027" s="317">
        <f>P2025*'Assumptions (Biomass)'!O22*1000*'Assumptions (Biomass)'!O23/10^9</f>
        <v>0.3250531993</v>
      </c>
      <c r="Q2027" s="317">
        <f>Q2025*'Assumptions (Biomass)'!P22*1000*'Assumptions (Biomass)'!P23/10^9</f>
        <v>0.3338404616</v>
      </c>
      <c r="R2027" s="317">
        <f>R2025*'Assumptions (Biomass)'!Q22*1000*'Assumptions (Biomass)'!Q23/10^9</f>
        <v>0.3587498088</v>
      </c>
      <c r="S2027" s="317">
        <f>S2025*'Assumptions (Biomass)'!R22*1000*'Assumptions (Biomass)'!R23/10^9</f>
        <v>0.3564717485</v>
      </c>
      <c r="T2027" s="317">
        <f>T2025*'Assumptions (Biomass)'!S22*1000*'Assumptions (Biomass)'!S23/10^9</f>
        <v>0.3715490004</v>
      </c>
      <c r="U2027" s="317">
        <f>U2025*'Assumptions (Biomass)'!T22*1000*'Assumptions (Biomass)'!T23/10^9</f>
        <v>0.3837974316</v>
      </c>
      <c r="V2027" s="317">
        <f>V2025*'Assumptions (Biomass)'!U22*1000*'Assumptions (Biomass)'!U23/10^9</f>
        <v>0.3938266776</v>
      </c>
      <c r="W2027" s="317">
        <f>W2025*'Assumptions (Biomass)'!V22*1000*'Assumptions (Biomass)'!V23/10^9</f>
        <v>0.4028301577</v>
      </c>
      <c r="X2027" s="317">
        <f>X2025*'Assumptions (Biomass)'!W22*1000*'Assumptions (Biomass)'!W23/10^9</f>
        <v>0.3999717491</v>
      </c>
      <c r="Y2027" s="317">
        <f>Y2025*'Assumptions (Biomass)'!X22*1000*'Assumptions (Biomass)'!X23/10^9</f>
        <v>0.3968148093</v>
      </c>
      <c r="Z2027" s="317">
        <f>Z2025*'Assumptions (Biomass)'!Y22*1000*'Assumptions (Biomass)'!Y23/10^9</f>
        <v>0.3935302314</v>
      </c>
      <c r="AA2027" s="317">
        <f>AA2025*'Assumptions (Biomass)'!Z22*1000*'Assumptions (Biomass)'!Z23/10^9</f>
        <v>0.3903116848</v>
      </c>
      <c r="AB2027" s="317">
        <f>AB2025*'Assumptions (Biomass)'!AA22*1000*'Assumptions (Biomass)'!AA23/10^9</f>
        <v>0.3864807076</v>
      </c>
      <c r="AC2027" s="317">
        <f>AC2025*'Assumptions (Biomass)'!AB22*1000*'Assumptions (Biomass)'!AB23/10^9</f>
        <v>0.3828643881</v>
      </c>
      <c r="AD2027" s="317">
        <f>AD2025*'Assumptions (Biomass)'!AC22*1000*'Assumptions (Biomass)'!AC23/10^9</f>
        <v>0.3802388468</v>
      </c>
      <c r="AE2027" s="317">
        <f>AE2025*'Assumptions (Biomass)'!AD22*1000*'Assumptions (Biomass)'!AD23/10^9</f>
        <v>0.3765933555</v>
      </c>
      <c r="AF2027" s="317">
        <f>AF2025*'Assumptions (Biomass)'!AE22*1000*'Assumptions (Biomass)'!AE23/10^9</f>
        <v>0.3758769056</v>
      </c>
      <c r="AG2027" s="317">
        <f>AG2025*'Assumptions (Biomass)'!AF22*1000*'Assumptions (Biomass)'!AF23/10^9</f>
        <v>0.3712048061</v>
      </c>
      <c r="AH2027" s="317">
        <f>AH2025*'Assumptions (Biomass)'!AG22*1000*'Assumptions (Biomass)'!AG23/10^9</f>
        <v>0.3675195811</v>
      </c>
      <c r="AI2027" s="317">
        <f>AI2025*'Assumptions (Biomass)'!AH22*1000*'Assumptions (Biomass)'!AH23/10^9</f>
        <v>0.362680841</v>
      </c>
      <c r="AJ2027" s="317">
        <f>AJ2025*'Assumptions (Biomass)'!AI22*1000*'Assumptions (Biomass)'!AI23/10^9</f>
        <v>0.3585479877</v>
      </c>
      <c r="AK2027" s="317">
        <f>AK2025*'Assumptions (Biomass)'!AJ22*1000*'Assumptions (Biomass)'!AJ23/10^9</f>
        <v>0.3536171135</v>
      </c>
      <c r="AL2027" s="317">
        <f>AL2025*'Assumptions (Biomass)'!AK22*1000*'Assumptions (Biomass)'!AK23/10^9</f>
        <v>0.3474748006</v>
      </c>
      <c r="AM2027" s="317">
        <f>AM2025*'Assumptions (Biomass)'!AL22*1000*'Assumptions (Biomass)'!AL23/10^9</f>
        <v>0.3447677971</v>
      </c>
      <c r="AN2027" s="317">
        <f>AN2025*'Assumptions (Biomass)'!AM22*1000*'Assumptions (Biomass)'!AM23/10^9</f>
        <v>0.3375579194</v>
      </c>
      <c r="AO2027" s="317">
        <f>AO2025*'Assumptions (Biomass)'!AN22*1000*'Assumptions (Biomass)'!AN23/10^9</f>
        <v>0.3322550192</v>
      </c>
      <c r="AP2027" s="317">
        <f>AP2025*'Assumptions (Biomass)'!AO22*1000*'Assumptions (Biomass)'!AO23/10^9</f>
        <v>0.3271523158</v>
      </c>
      <c r="AQ2027" s="317">
        <f>AQ2025*'Assumptions (Biomass)'!AP22*1000*'Assumptions (Biomass)'!AP23/10^9</f>
        <v>0.3217809248</v>
      </c>
      <c r="AR2027" s="317">
        <f>AR2025*'Assumptions (Biomass)'!AQ22*1000*'Assumptions (Biomass)'!AQ23/10^9</f>
        <v>0.3167211356</v>
      </c>
      <c r="AS2027" s="317">
        <f>AS2025*'Assumptions (Biomass)'!AR22*1000*'Assumptions (Biomass)'!AR23/10^9</f>
        <v>0.3117116007</v>
      </c>
      <c r="AT2027" s="317">
        <f>AT2025*'Assumptions (Biomass)'!AS22*1000*'Assumptions (Biomass)'!AS23/10^9</f>
        <v>0.306964864</v>
      </c>
      <c r="AU2027" s="317">
        <f>AU2025*'Assumptions (Biomass)'!AT22*1000*'Assumptions (Biomass)'!AT23/10^9</f>
        <v>0.3011136551</v>
      </c>
      <c r="AV2027" s="317">
        <f>AV2025*'Assumptions (Biomass)'!AU22*1000*'Assumptions (Biomass)'!AU23/10^9</f>
        <v>0.2962547354</v>
      </c>
      <c r="AW2027" s="317">
        <f>AW2025*'Assumptions (Biomass)'!AV22*1000*'Assumptions (Biomass)'!AV23/10^9</f>
        <v>0.2906370215</v>
      </c>
      <c r="AX2027" s="317">
        <f>AX2025*'Assumptions (Biomass)'!AW22*1000*'Assumptions (Biomass)'!AW23/10^9</f>
        <v>0.2868086059</v>
      </c>
      <c r="AY2027" s="317">
        <f>AY2025*'Assumptions (Biomass)'!AX22*1000*'Assumptions (Biomass)'!AX23/10^9</f>
        <v>0.2803833473</v>
      </c>
      <c r="AZ2027" s="317">
        <f>AZ2025*'Assumptions (Biomass)'!AY22*1000*'Assumptions (Biomass)'!AY23/10^9</f>
        <v>0.2761280296</v>
      </c>
      <c r="BA2027" s="317">
        <f>BA2025*'Assumptions (Biomass)'!AZ22*1000*'Assumptions (Biomass)'!AZ23/10^9</f>
        <v>0.2713109828</v>
      </c>
    </row>
    <row r="2028" ht="15.75" customHeight="1">
      <c r="A2028" s="315" t="s">
        <v>36</v>
      </c>
      <c r="B2028" s="159" t="s">
        <v>351</v>
      </c>
      <c r="C2028" s="95">
        <f>C2025*'Assumptions (Biomass)'!B36/10^3</f>
        <v>0.837964904</v>
      </c>
      <c r="D2028" s="95">
        <f>D2025*'Assumptions (Biomass)'!C36/10^3</f>
        <v>0.8136042161</v>
      </c>
      <c r="E2028" s="95">
        <f>E2025*'Assumptions (Biomass)'!D36/10^3</f>
        <v>0.9016502439</v>
      </c>
      <c r="F2028" s="95">
        <f>F2025*'Assumptions (Biomass)'!E36/10^3</f>
        <v>0.872268451</v>
      </c>
      <c r="G2028" s="95">
        <f>G2025*'Assumptions (Biomass)'!F36/10^3</f>
        <v>0.9876294077</v>
      </c>
      <c r="H2028" s="95">
        <f>H2025*'Assumptions (Biomass)'!G36/10^3</f>
        <v>1.195357361</v>
      </c>
      <c r="I2028" s="95">
        <f>I2025*'Assumptions (Biomass)'!H36/10^3</f>
        <v>1.12114098</v>
      </c>
      <c r="J2028" s="95">
        <f>J2025*'Assumptions (Biomass)'!I36/10^3</f>
        <v>1.13800332</v>
      </c>
      <c r="K2028" s="95">
        <f>K2025*'Assumptions (Biomass)'!J36/10^3</f>
        <v>1.191438929</v>
      </c>
      <c r="L2028" s="95">
        <f>L2025*'Assumptions (Biomass)'!K36/10^3</f>
        <v>0.8094424325</v>
      </c>
      <c r="M2028" s="95">
        <f>M2025*'Assumptions (Biomass)'!L36/10^3</f>
        <v>0.8388157399</v>
      </c>
      <c r="N2028" s="95">
        <f>N2025*'Assumptions (Biomass)'!M36/10^3</f>
        <v>0.8642291661</v>
      </c>
      <c r="O2028" s="95">
        <f>O2025*'Assumptions (Biomass)'!N36/10^3</f>
        <v>0.7494570944</v>
      </c>
      <c r="P2028" s="95">
        <f>P2025*'Assumptions (Biomass)'!O36/10^3</f>
        <v>0.871343685</v>
      </c>
      <c r="Q2028" s="95">
        <f>Q2025*'Assumptions (Biomass)'!P36/10^3</f>
        <v>0.9603040035</v>
      </c>
      <c r="R2028" s="95">
        <f>R2025*'Assumptions (Biomass)'!Q36/10^3</f>
        <v>0.8502192271</v>
      </c>
      <c r="S2028" s="95">
        <f>S2025*'Assumptions (Biomass)'!R36/10^3</f>
        <v>0.904137516</v>
      </c>
      <c r="T2028" s="95">
        <f>T2025*'Assumptions (Biomass)'!S36/10^3</f>
        <v>0.9198745932</v>
      </c>
      <c r="U2028" s="95">
        <f>U2025*'Assumptions (Biomass)'!T36/10^3</f>
        <v>0.9295519926</v>
      </c>
      <c r="V2028" s="95">
        <f>V2025*'Assumptions (Biomass)'!U36/10^3</f>
        <v>0.9424383053</v>
      </c>
      <c r="W2028" s="95">
        <f>W2025*'Assumptions (Biomass)'!V36/10^3</f>
        <v>0.9830270048</v>
      </c>
      <c r="X2028" s="95">
        <f>X2025*'Assumptions (Biomass)'!W36/10^3</f>
        <v>0.9766592139</v>
      </c>
      <c r="Y2028" s="95">
        <f>Y2025*'Assumptions (Biomass)'!X36/10^3</f>
        <v>0.9717252753</v>
      </c>
      <c r="Z2028" s="95">
        <f>Z2025*'Assumptions (Biomass)'!Y36/10^3</f>
        <v>0.9733958764</v>
      </c>
      <c r="AA2028" s="95">
        <f>AA2025*'Assumptions (Biomass)'!Z36/10^3</f>
        <v>0.9774483053</v>
      </c>
      <c r="AB2028" s="95">
        <f>AB2025*'Assumptions (Biomass)'!AA36/10^3</f>
        <v>0.9901667406</v>
      </c>
      <c r="AC2028" s="95">
        <f>AC2025*'Assumptions (Biomass)'!AB36/10^3</f>
        <v>0.9910584829</v>
      </c>
      <c r="AD2028" s="95">
        <f>AD2025*'Assumptions (Biomass)'!AC36/10^3</f>
        <v>0.9951410727</v>
      </c>
      <c r="AE2028" s="95">
        <f>AE2025*'Assumptions (Biomass)'!AD36/10^3</f>
        <v>0.996956714</v>
      </c>
      <c r="AF2028" s="95">
        <f>AF2025*'Assumptions (Biomass)'!AE36/10^3</f>
        <v>0.9993670252</v>
      </c>
      <c r="AG2028" s="95">
        <f>AG2025*'Assumptions (Biomass)'!AF36/10^3</f>
        <v>1.001576375</v>
      </c>
      <c r="AH2028" s="95">
        <f>AH2025*'Assumptions (Biomass)'!AG36/10^3</f>
        <v>1.004994921</v>
      </c>
      <c r="AI2028" s="95">
        <f>AI2025*'Assumptions (Biomass)'!AH36/10^3</f>
        <v>1.003961595</v>
      </c>
      <c r="AJ2028" s="95">
        <f>AJ2025*'Assumptions (Biomass)'!AI36/10^3</f>
        <v>1.002112227</v>
      </c>
      <c r="AK2028" s="95">
        <f>AK2025*'Assumptions (Biomass)'!AJ36/10^3</f>
        <v>1.000058971</v>
      </c>
      <c r="AL2028" s="95">
        <f>AL2025*'Assumptions (Biomass)'!AK36/10^3</f>
        <v>0.9991963414</v>
      </c>
      <c r="AM2028" s="95">
        <f>AM2025*'Assumptions (Biomass)'!AL36/10^3</f>
        <v>1.00190279</v>
      </c>
      <c r="AN2028" s="95">
        <f>AN2025*'Assumptions (Biomass)'!AM36/10^3</f>
        <v>1.003265063</v>
      </c>
      <c r="AO2028" s="95">
        <f>AO2025*'Assumptions (Biomass)'!AN36/10^3</f>
        <v>1.007021609</v>
      </c>
      <c r="AP2028" s="95">
        <f>AP2025*'Assumptions (Biomass)'!AO36/10^3</f>
        <v>1.010334139</v>
      </c>
      <c r="AQ2028" s="95">
        <f>AQ2025*'Assumptions (Biomass)'!AP36/10^3</f>
        <v>1.011369143</v>
      </c>
      <c r="AR2028" s="95">
        <f>AR2025*'Assumptions (Biomass)'!AQ36/10^3</f>
        <v>1.011182954</v>
      </c>
      <c r="AS2028" s="95">
        <f>AS2025*'Assumptions (Biomass)'!AR36/10^3</f>
        <v>1.010101817</v>
      </c>
      <c r="AT2028" s="95">
        <f>AT2025*'Assumptions (Biomass)'!AS36/10^3</f>
        <v>1.009369907</v>
      </c>
      <c r="AU2028" s="95">
        <f>AU2025*'Assumptions (Biomass)'!AT36/10^3</f>
        <v>1.009116666</v>
      </c>
      <c r="AV2028" s="95">
        <f>AV2025*'Assumptions (Biomass)'!AU36/10^3</f>
        <v>1.008518534</v>
      </c>
      <c r="AW2028" s="95">
        <f>AW2025*'Assumptions (Biomass)'!AV36/10^3</f>
        <v>1.005333912</v>
      </c>
      <c r="AX2028" s="95">
        <f>AX2025*'Assumptions (Biomass)'!AW36/10^3</f>
        <v>1.004923694</v>
      </c>
      <c r="AY2028" s="95">
        <f>AY2025*'Assumptions (Biomass)'!AX36/10^3</f>
        <v>1.017830334</v>
      </c>
      <c r="AZ2028" s="95">
        <f>AZ2025*'Assumptions (Biomass)'!AY36/10^3</f>
        <v>1.021004165</v>
      </c>
      <c r="BA2028" s="95">
        <f>BA2025*'Assumptions (Biomass)'!AZ36/10^3</f>
        <v>1.017403633</v>
      </c>
    </row>
    <row r="2029" ht="15.75" customHeight="1">
      <c r="A2029" s="315" t="s">
        <v>38</v>
      </c>
      <c r="B2029" s="159" t="s">
        <v>351</v>
      </c>
      <c r="C2029" s="95">
        <f>C2024*'Assumptions (Biomass)'!B39*'Assumptions (Biomass)'!B38*365/10^9</f>
        <v>0</v>
      </c>
      <c r="D2029" s="95">
        <f>D2024*'Assumptions (Biomass)'!C39*'Assumptions (Biomass)'!C38*365/10^9</f>
        <v>0</v>
      </c>
      <c r="E2029" s="95">
        <f>E2024*'Assumptions (Biomass)'!D39*'Assumptions (Biomass)'!D38*365/10^9</f>
        <v>0</v>
      </c>
      <c r="F2029" s="95">
        <f>F2024*'Assumptions (Biomass)'!E39*'Assumptions (Biomass)'!E38*365/10^9</f>
        <v>0</v>
      </c>
      <c r="G2029" s="95">
        <f>G2024*'Assumptions (Biomass)'!F39*'Assumptions (Biomass)'!F38*365/10^9</f>
        <v>0</v>
      </c>
      <c r="H2029" s="95">
        <f>H2024*'Assumptions (Biomass)'!G39*'Assumptions (Biomass)'!G38*365/10^9</f>
        <v>0</v>
      </c>
      <c r="I2029" s="95">
        <f>I2024*'Assumptions (Biomass)'!H39*'Assumptions (Biomass)'!H38*365/10^9</f>
        <v>0</v>
      </c>
      <c r="J2029" s="95">
        <f>J2024*'Assumptions (Biomass)'!I39*'Assumptions (Biomass)'!I38*365/10^9</f>
        <v>0</v>
      </c>
      <c r="K2029" s="95">
        <f>K2024*'Assumptions (Biomass)'!J39*'Assumptions (Biomass)'!J38*365/10^9</f>
        <v>0</v>
      </c>
      <c r="L2029" s="95">
        <f>L2024*'Assumptions (Biomass)'!K39*'Assumptions (Biomass)'!K38*365/10^9</f>
        <v>0</v>
      </c>
      <c r="M2029" s="95">
        <f>M2024*'Assumptions (Biomass)'!L39*'Assumptions (Biomass)'!L38*365/10^9</f>
        <v>0</v>
      </c>
      <c r="N2029" s="95">
        <f>N2024*'Assumptions (Biomass)'!M39*'Assumptions (Biomass)'!M38*365/10^9</f>
        <v>0</v>
      </c>
      <c r="O2029" s="95">
        <f>O2024*'Assumptions (Biomass)'!N39*'Assumptions (Biomass)'!N38*365/10^9</f>
        <v>0</v>
      </c>
      <c r="P2029" s="95">
        <f>P2024*'Assumptions (Biomass)'!O39*'Assumptions (Biomass)'!O38*365/10^9</f>
        <v>0</v>
      </c>
      <c r="Q2029" s="95">
        <f>Q2024*'Assumptions (Biomass)'!P39*'Assumptions (Biomass)'!P38*365/10^9</f>
        <v>0</v>
      </c>
      <c r="R2029" s="95">
        <f>R2024*'Assumptions (Biomass)'!Q39*'Assumptions (Biomass)'!Q38*365/10^9</f>
        <v>0</v>
      </c>
      <c r="S2029" s="95">
        <f>S2024*'Assumptions (Biomass)'!R39*'Assumptions (Biomass)'!R38*365/10^9</f>
        <v>0</v>
      </c>
      <c r="T2029" s="95">
        <f>T2024*'Assumptions (Biomass)'!S39*'Assumptions (Biomass)'!S38*365/10^9</f>
        <v>0</v>
      </c>
      <c r="U2029" s="95">
        <f>U2024*'Assumptions (Biomass)'!T39*'Assumptions (Biomass)'!T38*365/10^9</f>
        <v>0</v>
      </c>
      <c r="V2029" s="95">
        <f>V2024*'Assumptions (Biomass)'!U39*'Assumptions (Biomass)'!U38*365/10^9</f>
        <v>0</v>
      </c>
      <c r="W2029" s="95">
        <f>W2024*'Assumptions (Biomass)'!V39*'Assumptions (Biomass)'!V38*365/10^9</f>
        <v>0</v>
      </c>
      <c r="X2029" s="95">
        <f>X2024*'Assumptions (Biomass)'!W39*'Assumptions (Biomass)'!W38*365/10^9</f>
        <v>0</v>
      </c>
      <c r="Y2029" s="95">
        <f>Y2024*'Assumptions (Biomass)'!X39*'Assumptions (Biomass)'!X38*365/10^9</f>
        <v>0</v>
      </c>
      <c r="Z2029" s="95">
        <f>Z2024*'Assumptions (Biomass)'!Y39*'Assumptions (Biomass)'!Y38*365/10^9</f>
        <v>0</v>
      </c>
      <c r="AA2029" s="95">
        <f>AA2024*'Assumptions (Biomass)'!Z39*'Assumptions (Biomass)'!Z38*365/10^9</f>
        <v>0</v>
      </c>
      <c r="AB2029" s="95">
        <f>AB2024*'Assumptions (Biomass)'!AA39*'Assumptions (Biomass)'!AA38*365/10^9</f>
        <v>0</v>
      </c>
      <c r="AC2029" s="95">
        <f>AC2024*'Assumptions (Biomass)'!AB39*'Assumptions (Biomass)'!AB38*365/10^9</f>
        <v>0</v>
      </c>
      <c r="AD2029" s="95">
        <f>AD2024*'Assumptions (Biomass)'!AC39*'Assumptions (Biomass)'!AC38*365/10^9</f>
        <v>0</v>
      </c>
      <c r="AE2029" s="95">
        <f>AE2024*'Assumptions (Biomass)'!AD39*'Assumptions (Biomass)'!AD38*365/10^9</f>
        <v>0</v>
      </c>
      <c r="AF2029" s="95">
        <f>AF2024*'Assumptions (Biomass)'!AE39*'Assumptions (Biomass)'!AE38*365/10^9</f>
        <v>0</v>
      </c>
      <c r="AG2029" s="95">
        <f>AG2024*'Assumptions (Biomass)'!AF39*'Assumptions (Biomass)'!AF38*365/10^9</f>
        <v>0</v>
      </c>
      <c r="AH2029" s="95">
        <f>AH2024*'Assumptions (Biomass)'!AG39*'Assumptions (Biomass)'!AG38*365/10^9</f>
        <v>0</v>
      </c>
      <c r="AI2029" s="95">
        <f>AI2024*'Assumptions (Biomass)'!AH39*'Assumptions (Biomass)'!AH38*365/10^9</f>
        <v>0</v>
      </c>
      <c r="AJ2029" s="95">
        <f>AJ2024*'Assumptions (Biomass)'!AI39*'Assumptions (Biomass)'!AI38*365/10^9</f>
        <v>0</v>
      </c>
      <c r="AK2029" s="95">
        <f>AK2024*'Assumptions (Biomass)'!AJ39*'Assumptions (Biomass)'!AJ38*365/10^9</f>
        <v>0</v>
      </c>
      <c r="AL2029" s="95">
        <f>AL2024*'Assumptions (Biomass)'!AK39*'Assumptions (Biomass)'!AK38*365/10^9</f>
        <v>0</v>
      </c>
      <c r="AM2029" s="95">
        <f>AM2024*'Assumptions (Biomass)'!AL39*'Assumptions (Biomass)'!AL38*365/10^9</f>
        <v>0</v>
      </c>
      <c r="AN2029" s="95">
        <f>AN2024*'Assumptions (Biomass)'!AM39*'Assumptions (Biomass)'!AM38*365/10^9</f>
        <v>0</v>
      </c>
      <c r="AO2029" s="95">
        <f>AO2024*'Assumptions (Biomass)'!AN39*'Assumptions (Biomass)'!AN38*365/10^9</f>
        <v>0</v>
      </c>
      <c r="AP2029" s="95">
        <f>AP2024*'Assumptions (Biomass)'!AO39*'Assumptions (Biomass)'!AO38*365/10^9</f>
        <v>0</v>
      </c>
      <c r="AQ2029" s="95">
        <f>AQ2024*'Assumptions (Biomass)'!AP39*'Assumptions (Biomass)'!AP38*365/10^9</f>
        <v>0</v>
      </c>
      <c r="AR2029" s="95">
        <f>AR2024*'Assumptions (Biomass)'!AQ39*'Assumptions (Biomass)'!AQ38*365/10^9</f>
        <v>0</v>
      </c>
      <c r="AS2029" s="95">
        <f>AS2024*'Assumptions (Biomass)'!AR39*'Assumptions (Biomass)'!AR38*365/10^9</f>
        <v>0</v>
      </c>
      <c r="AT2029" s="95">
        <f>AT2024*'Assumptions (Biomass)'!AS39*'Assumptions (Biomass)'!AS38*365/10^9</f>
        <v>0</v>
      </c>
      <c r="AU2029" s="95">
        <f>AU2024*'Assumptions (Biomass)'!AT39*'Assumptions (Biomass)'!AT38*365/10^9</f>
        <v>0</v>
      </c>
      <c r="AV2029" s="95">
        <f>AV2024*'Assumptions (Biomass)'!AU39*'Assumptions (Biomass)'!AU38*365/10^9</f>
        <v>0</v>
      </c>
      <c r="AW2029" s="95">
        <f>AW2024*'Assumptions (Biomass)'!AV39*'Assumptions (Biomass)'!AV38*365/10^9</f>
        <v>0</v>
      </c>
      <c r="AX2029" s="95">
        <f>AX2024*'Assumptions (Biomass)'!AW39*'Assumptions (Biomass)'!AW38*365/10^9</f>
        <v>0</v>
      </c>
      <c r="AY2029" s="95">
        <f>AY2024*'Assumptions (Biomass)'!AX39*'Assumptions (Biomass)'!AX38*365/10^9</f>
        <v>0</v>
      </c>
      <c r="AZ2029" s="95">
        <f>AZ2024*'Assumptions (Biomass)'!AY39*'Assumptions (Biomass)'!AY38*365/10^9</f>
        <v>0</v>
      </c>
      <c r="BA2029" s="95">
        <f>BA2024*'Assumptions (Biomass)'!AZ39*'Assumptions (Biomass)'!AZ38*365/10^9</f>
        <v>0</v>
      </c>
    </row>
    <row r="2030" ht="15.75" customHeight="1">
      <c r="A2030" s="318" t="s">
        <v>46</v>
      </c>
      <c r="B2030" s="159" t="s">
        <v>149</v>
      </c>
      <c r="C2030" s="319">
        <f t="array" ref="C2030:V2030">transpose('Assumptions (Biomass)'!V114:V133)</f>
        <v>0</v>
      </c>
      <c r="D2030" s="319">
        <v>2.0</v>
      </c>
      <c r="E2030" s="319">
        <v>0.9</v>
      </c>
      <c r="F2030" s="319">
        <v>5.1</v>
      </c>
      <c r="G2030" s="319">
        <v>25.0</v>
      </c>
      <c r="H2030" s="319">
        <v>7.7</v>
      </c>
      <c r="I2030" s="319">
        <v>61.2</v>
      </c>
      <c r="J2030" s="319">
        <v>21.5</v>
      </c>
      <c r="K2030" s="319">
        <v>9.6</v>
      </c>
      <c r="L2030" s="319">
        <v>17.4</v>
      </c>
      <c r="M2030" s="319">
        <v>109.7</v>
      </c>
      <c r="N2030" s="319">
        <v>98.6</v>
      </c>
      <c r="O2030" s="319">
        <v>49.4</v>
      </c>
      <c r="P2030" s="319">
        <v>172.1</v>
      </c>
      <c r="Q2030" s="319">
        <v>96.9</v>
      </c>
      <c r="R2030" s="319">
        <v>46.1</v>
      </c>
      <c r="S2030" s="319">
        <v>29.4</v>
      </c>
      <c r="T2030" s="319">
        <v>134.0</v>
      </c>
      <c r="U2030" s="319">
        <v>0.0</v>
      </c>
      <c r="V2030" s="319">
        <v>0.0</v>
      </c>
      <c r="W2030" s="152">
        <v>0.0</v>
      </c>
      <c r="X2030" s="148">
        <f t="shared" ref="X2030:BA2030" si="74">if(X2024&gt;X2023,X2024-X2023,0)</f>
        <v>0</v>
      </c>
      <c r="Y2030" s="148">
        <f t="shared" si="74"/>
        <v>0</v>
      </c>
      <c r="Z2030" s="148">
        <f t="shared" si="74"/>
        <v>0</v>
      </c>
      <c r="AA2030" s="148">
        <f t="shared" si="74"/>
        <v>0</v>
      </c>
      <c r="AB2030" s="148">
        <f t="shared" si="74"/>
        <v>0</v>
      </c>
      <c r="AC2030" s="148">
        <f t="shared" si="74"/>
        <v>0</v>
      </c>
      <c r="AD2030" s="148">
        <f t="shared" si="74"/>
        <v>0</v>
      </c>
      <c r="AE2030" s="148">
        <f t="shared" si="74"/>
        <v>0</v>
      </c>
      <c r="AF2030" s="148">
        <f t="shared" si="74"/>
        <v>0</v>
      </c>
      <c r="AG2030" s="148">
        <f t="shared" si="74"/>
        <v>0</v>
      </c>
      <c r="AH2030" s="148">
        <f t="shared" si="74"/>
        <v>0</v>
      </c>
      <c r="AI2030" s="148">
        <f t="shared" si="74"/>
        <v>0</v>
      </c>
      <c r="AJ2030" s="148">
        <f t="shared" si="74"/>
        <v>0</v>
      </c>
      <c r="AK2030" s="148">
        <f t="shared" si="74"/>
        <v>0</v>
      </c>
      <c r="AL2030" s="148">
        <f t="shared" si="74"/>
        <v>0</v>
      </c>
      <c r="AM2030" s="148">
        <f t="shared" si="74"/>
        <v>0</v>
      </c>
      <c r="AN2030" s="148">
        <f t="shared" si="74"/>
        <v>0</v>
      </c>
      <c r="AO2030" s="148">
        <f t="shared" si="74"/>
        <v>0</v>
      </c>
      <c r="AP2030" s="148">
        <f t="shared" si="74"/>
        <v>0</v>
      </c>
      <c r="AQ2030" s="148">
        <f t="shared" si="74"/>
        <v>0</v>
      </c>
      <c r="AR2030" s="148">
        <f t="shared" si="74"/>
        <v>0</v>
      </c>
      <c r="AS2030" s="148">
        <f t="shared" si="74"/>
        <v>0</v>
      </c>
      <c r="AT2030" s="148">
        <f t="shared" si="74"/>
        <v>0</v>
      </c>
      <c r="AU2030" s="148">
        <f t="shared" si="74"/>
        <v>0</v>
      </c>
      <c r="AV2030" s="148">
        <f t="shared" si="74"/>
        <v>0</v>
      </c>
      <c r="AW2030" s="148">
        <f t="shared" si="74"/>
        <v>0</v>
      </c>
      <c r="AX2030" s="148">
        <f t="shared" si="74"/>
        <v>0</v>
      </c>
      <c r="AY2030" s="148">
        <f t="shared" si="74"/>
        <v>0</v>
      </c>
      <c r="AZ2030" s="148">
        <f t="shared" si="74"/>
        <v>0</v>
      </c>
      <c r="BA2030" s="148">
        <f t="shared" si="74"/>
        <v>0</v>
      </c>
    </row>
    <row r="2031" ht="15.75" customHeight="1">
      <c r="A2031" s="318" t="s">
        <v>48</v>
      </c>
      <c r="B2031" s="159" t="s">
        <v>150</v>
      </c>
      <c r="C2031" s="276"/>
      <c r="D2031" s="276"/>
      <c r="E2031" s="276"/>
      <c r="F2031" s="276"/>
      <c r="G2031" s="276"/>
      <c r="H2031" s="276"/>
      <c r="I2031" s="276"/>
      <c r="J2031" s="276"/>
      <c r="K2031" s="276"/>
      <c r="L2031" s="276"/>
      <c r="M2031" s="276"/>
      <c r="N2031" s="276"/>
      <c r="O2031" s="276"/>
      <c r="P2031" s="276"/>
      <c r="Q2031" s="276"/>
      <c r="R2031" s="276"/>
      <c r="S2031" s="276"/>
      <c r="T2031" s="276"/>
      <c r="U2031" s="276"/>
      <c r="V2031" s="174"/>
      <c r="W2031" s="175"/>
      <c r="X2031" s="175">
        <f>IF(W2030='Assumptions (Biomass)'!$V$12,Model!X2025-Model!X2024*'Assumptions (Biomass)'!V$16*0.00876,0)</f>
        <v>0</v>
      </c>
      <c r="Y2031" s="175">
        <f>IF(X2030='Assumptions (Biomass)'!$V$12,Model!Y2025-Model!Y2024*'Assumptions (Biomass)'!W$16*0.00876,0)</f>
        <v>0</v>
      </c>
      <c r="Z2031" s="175">
        <f>IF(Y2030='Assumptions (Biomass)'!$V$12,Model!Z2025-Model!Z2024*'Assumptions (Biomass)'!X$16*0.00876,0)</f>
        <v>0</v>
      </c>
      <c r="AA2031" s="175">
        <f>IF(Z2030='Assumptions (Biomass)'!$V$12,Model!AA2025-Model!AA2024*'Assumptions (Biomass)'!Y$16*0.00876,0)</f>
        <v>0</v>
      </c>
      <c r="AB2031" s="175">
        <f>IF(AA2030='Assumptions (Biomass)'!$V$12,Model!AB2025-Model!AB2024*'Assumptions (Biomass)'!Z$16*0.00876,0)</f>
        <v>0</v>
      </c>
      <c r="AC2031" s="175">
        <f>IF(AB2030='Assumptions (Biomass)'!$V$12,Model!AC2025-Model!AC2024*'Assumptions (Biomass)'!AA$16*0.00876,0)</f>
        <v>0</v>
      </c>
      <c r="AD2031" s="175">
        <f>IF(AC2030='Assumptions (Biomass)'!$V$12,Model!AD2025-Model!AD2024*'Assumptions (Biomass)'!AB$16*0.00876,0)</f>
        <v>0</v>
      </c>
      <c r="AE2031" s="175">
        <f>IF(AD2030='Assumptions (Biomass)'!$V$12,Model!AE2025-Model!AE2024*'Assumptions (Biomass)'!AC$16*0.00876,0)</f>
        <v>0</v>
      </c>
      <c r="AF2031" s="175">
        <f>IF(AE2030='Assumptions (Biomass)'!$V$12,Model!AF2025-Model!AF2024*'Assumptions (Biomass)'!AD$16*0.00876,0)</f>
        <v>0</v>
      </c>
      <c r="AG2031" s="175">
        <f>IF(AF2030='Assumptions (Biomass)'!$V$12,Model!AG2025-Model!AG2024*'Assumptions (Biomass)'!AE$16*0.00876,0)</f>
        <v>0</v>
      </c>
      <c r="AH2031" s="175">
        <f>IF(AG2030='Assumptions (Biomass)'!$V$12,Model!AH2025-Model!AH2024*'Assumptions (Biomass)'!AF$16*0.00876,0)</f>
        <v>0</v>
      </c>
      <c r="AI2031" s="175">
        <f>IF(AH2030='Assumptions (Biomass)'!$V$12,Model!AI2025-Model!AI2024*'Assumptions (Biomass)'!AG$16*0.00876,0)</f>
        <v>0</v>
      </c>
      <c r="AJ2031" s="175">
        <f>IF(AI2030='Assumptions (Biomass)'!$V$12,Model!AJ2025-Model!AJ2024*'Assumptions (Biomass)'!AH$16*0.00876,0)</f>
        <v>0</v>
      </c>
      <c r="AK2031" s="175">
        <f>IF(AJ2030='Assumptions (Biomass)'!$V$12,Model!AK2025-Model!AK2024*'Assumptions (Biomass)'!AI$16*0.00876,0)</f>
        <v>0</v>
      </c>
      <c r="AL2031" s="175">
        <f>IF(AK2030='Assumptions (Biomass)'!$V$12,Model!AL2025-Model!AL2024*'Assumptions (Biomass)'!AJ$16*0.00876,0)</f>
        <v>0</v>
      </c>
      <c r="AM2031" s="175">
        <f>IF(AL2030='Assumptions (Biomass)'!$V$12,Model!AM2025-Model!AM2024*'Assumptions (Biomass)'!AK$16*0.00876,0)</f>
        <v>0</v>
      </c>
      <c r="AN2031" s="175">
        <f>IF(AM2030='Assumptions (Biomass)'!$V$12,Model!AN2025-Model!AN2024*'Assumptions (Biomass)'!AL$16*0.00876,0)</f>
        <v>0</v>
      </c>
      <c r="AO2031" s="175">
        <f>IF(AN2030='Assumptions (Biomass)'!$V$12,Model!AO2025-Model!AO2024*'Assumptions (Biomass)'!AM$16*0.00876,0)</f>
        <v>0</v>
      </c>
      <c r="AP2031" s="175">
        <f>IF(AO2030='Assumptions (Biomass)'!$V$12,Model!AP2025-Model!AP2024*'Assumptions (Biomass)'!AN$16*0.00876,0)</f>
        <v>0</v>
      </c>
      <c r="AQ2031" s="175">
        <f>IF(AP2030='Assumptions (Biomass)'!$V$12,Model!AQ2025-Model!AQ2024*'Assumptions (Biomass)'!AO$16*0.00876,0)</f>
        <v>0</v>
      </c>
      <c r="AR2031" s="175">
        <f>IF(AQ2030='Assumptions (Biomass)'!$V$12,Model!AR2025-Model!AR2024*'Assumptions (Biomass)'!AP$16*0.00876,0)</f>
        <v>0</v>
      </c>
      <c r="AS2031" s="175">
        <f>IF(AR2030='Assumptions (Biomass)'!$V$12,Model!AS2025-Model!AS2024*'Assumptions (Biomass)'!AQ$16*0.00876,0)</f>
        <v>0</v>
      </c>
      <c r="AT2031" s="175">
        <f>IF(AS2030='Assumptions (Biomass)'!$V$12,Model!AT2025-Model!AT2024*'Assumptions (Biomass)'!AR$16*0.00876,0)</f>
        <v>0</v>
      </c>
      <c r="AU2031" s="175">
        <f>IF(AT2030='Assumptions (Biomass)'!$V$12,Model!AU2025-Model!AU2024*'Assumptions (Biomass)'!AS$16*0.00876,0)</f>
        <v>0</v>
      </c>
      <c r="AV2031" s="175">
        <f>IF(AU2030='Assumptions (Biomass)'!$V$12,Model!AV2025-Model!AV2024*'Assumptions (Biomass)'!AT$16*0.00876,0)</f>
        <v>0</v>
      </c>
      <c r="AW2031" s="175">
        <f>IF(AV2030='Assumptions (Biomass)'!$V$12,Model!AW2025-Model!AW2024*'Assumptions (Biomass)'!AU$16*0.00876,0)</f>
        <v>0</v>
      </c>
      <c r="AX2031" s="175">
        <f>IF(AW2030='Assumptions (Biomass)'!$V$12,Model!AX2025-Model!AX2024*'Assumptions (Biomass)'!AV$16*0.00876,0)</f>
        <v>0</v>
      </c>
      <c r="AY2031" s="175">
        <f>IF(AX2030='Assumptions (Biomass)'!$V$12,Model!AY2025-Model!AY2024*'Assumptions (Biomass)'!AW$16*0.00876,0)</f>
        <v>0</v>
      </c>
      <c r="AZ2031" s="175">
        <f>IF(AY2030='Assumptions (Biomass)'!$V$12,Model!AZ2025-Model!AZ2024*'Assumptions (Biomass)'!AX$16*0.00876,0)</f>
        <v>0</v>
      </c>
      <c r="BA2031" s="175">
        <f>IF(AZ2030='Assumptions (Biomass)'!$V$12,Model!BA2025-Model!BA2024*'Assumptions (Biomass)'!AY$16*0.00876,0)</f>
        <v>0</v>
      </c>
    </row>
    <row r="2032" ht="15.75" customHeight="1">
      <c r="A2032" s="313" t="s">
        <v>358</v>
      </c>
      <c r="B2032" s="150" t="s">
        <v>351</v>
      </c>
      <c r="C2032" s="177">
        <f t="shared" ref="C2032:BA2032" si="75">SUM(C2033:C2083)</f>
        <v>0.01322016784</v>
      </c>
      <c r="D2032" s="177">
        <f t="shared" si="75"/>
        <v>0.03246623055</v>
      </c>
      <c r="E2032" s="177">
        <f t="shared" si="75"/>
        <v>0.0402140352</v>
      </c>
      <c r="F2032" s="177">
        <f t="shared" si="75"/>
        <v>0.1017519768</v>
      </c>
      <c r="G2032" s="177">
        <f t="shared" si="75"/>
        <v>0.1005965652</v>
      </c>
      <c r="H2032" s="177">
        <f t="shared" si="75"/>
        <v>0.1059102244</v>
      </c>
      <c r="I2032" s="177">
        <f t="shared" si="75"/>
        <v>0.05733577127</v>
      </c>
      <c r="J2032" s="177">
        <f t="shared" si="75"/>
        <v>0.1659453042</v>
      </c>
      <c r="K2032" s="177">
        <f t="shared" si="75"/>
        <v>0.2793151485</v>
      </c>
      <c r="L2032" s="177">
        <f t="shared" si="75"/>
        <v>0.3213479837</v>
      </c>
      <c r="M2032" s="177">
        <f t="shared" si="75"/>
        <v>0.4038110566</v>
      </c>
      <c r="N2032" s="177">
        <f t="shared" si="75"/>
        <v>0.4100569503</v>
      </c>
      <c r="O2032" s="177">
        <f t="shared" si="75"/>
        <v>0.4135897208</v>
      </c>
      <c r="P2032" s="177">
        <f t="shared" si="75"/>
        <v>0.2302576404</v>
      </c>
      <c r="Q2032" s="177">
        <f t="shared" si="75"/>
        <v>0.2849859137</v>
      </c>
      <c r="R2032" s="177">
        <f t="shared" si="75"/>
        <v>0.2245900558</v>
      </c>
      <c r="S2032" s="177">
        <f t="shared" si="75"/>
        <v>0.1860871181</v>
      </c>
      <c r="T2032" s="177">
        <f t="shared" si="75"/>
        <v>0</v>
      </c>
      <c r="U2032" s="177">
        <f t="shared" si="75"/>
        <v>0</v>
      </c>
      <c r="V2032" s="177">
        <f t="shared" si="75"/>
        <v>0</v>
      </c>
      <c r="W2032" s="177">
        <f t="shared" si="75"/>
        <v>0</v>
      </c>
      <c r="X2032" s="177">
        <f t="shared" si="75"/>
        <v>0</v>
      </c>
      <c r="Y2032" s="177">
        <f t="shared" si="75"/>
        <v>0</v>
      </c>
      <c r="Z2032" s="177">
        <f t="shared" si="75"/>
        <v>0</v>
      </c>
      <c r="AA2032" s="177">
        <f t="shared" si="75"/>
        <v>0</v>
      </c>
      <c r="AB2032" s="177">
        <f t="shared" si="75"/>
        <v>0</v>
      </c>
      <c r="AC2032" s="177">
        <f t="shared" si="75"/>
        <v>0</v>
      </c>
      <c r="AD2032" s="177">
        <f t="shared" si="75"/>
        <v>0</v>
      </c>
      <c r="AE2032" s="177">
        <f t="shared" si="75"/>
        <v>0</v>
      </c>
      <c r="AF2032" s="177">
        <f t="shared" si="75"/>
        <v>0</v>
      </c>
      <c r="AG2032" s="177">
        <f t="shared" si="75"/>
        <v>0</v>
      </c>
      <c r="AH2032" s="177">
        <f t="shared" si="75"/>
        <v>0</v>
      </c>
      <c r="AI2032" s="177">
        <f t="shared" si="75"/>
        <v>0</v>
      </c>
      <c r="AJ2032" s="177">
        <f t="shared" si="75"/>
        <v>0</v>
      </c>
      <c r="AK2032" s="177">
        <f t="shared" si="75"/>
        <v>0</v>
      </c>
      <c r="AL2032" s="177">
        <f t="shared" si="75"/>
        <v>0</v>
      </c>
      <c r="AM2032" s="177">
        <f t="shared" si="75"/>
        <v>0</v>
      </c>
      <c r="AN2032" s="177">
        <f t="shared" si="75"/>
        <v>0</v>
      </c>
      <c r="AO2032" s="177">
        <f t="shared" si="75"/>
        <v>0</v>
      </c>
      <c r="AP2032" s="177">
        <f t="shared" si="75"/>
        <v>0</v>
      </c>
      <c r="AQ2032" s="177">
        <f t="shared" si="75"/>
        <v>0</v>
      </c>
      <c r="AR2032" s="177">
        <f t="shared" si="75"/>
        <v>0</v>
      </c>
      <c r="AS2032" s="177">
        <f t="shared" si="75"/>
        <v>0</v>
      </c>
      <c r="AT2032" s="177">
        <f t="shared" si="75"/>
        <v>0</v>
      </c>
      <c r="AU2032" s="177">
        <f t="shared" si="75"/>
        <v>0</v>
      </c>
      <c r="AV2032" s="177">
        <f t="shared" si="75"/>
        <v>0</v>
      </c>
      <c r="AW2032" s="177">
        <f t="shared" si="75"/>
        <v>0</v>
      </c>
      <c r="AX2032" s="177">
        <f t="shared" si="75"/>
        <v>0</v>
      </c>
      <c r="AY2032" s="177">
        <f t="shared" si="75"/>
        <v>0</v>
      </c>
      <c r="AZ2032" s="177">
        <f t="shared" si="75"/>
        <v>0</v>
      </c>
      <c r="BA2032" s="177">
        <f t="shared" si="75"/>
        <v>0</v>
      </c>
    </row>
    <row r="2033" ht="15.75" hidden="1" customHeight="1" outlineLevel="1">
      <c r="A2033" s="318"/>
      <c r="B2033" s="38"/>
      <c r="C2033" s="177">
        <f>IF($C$2030&gt;0,3*'Assumptions (Biomass)'!$V$14*Model!$C$2030*'Assumptions (Biomass)'!B$2/10^9,0)</f>
        <v>0</v>
      </c>
      <c r="D2033" s="160"/>
      <c r="E2033" s="160"/>
      <c r="F2033" s="160"/>
      <c r="G2033" s="160"/>
      <c r="H2033" s="160"/>
      <c r="I2033" s="160"/>
      <c r="J2033" s="160"/>
      <c r="K2033" s="160"/>
      <c r="L2033" s="160"/>
      <c r="M2033" s="160"/>
      <c r="N2033" s="160"/>
      <c r="O2033" s="160"/>
      <c r="P2033" s="160"/>
      <c r="Q2033" s="160"/>
      <c r="R2033" s="160"/>
      <c r="S2033" s="160"/>
      <c r="T2033" s="160"/>
      <c r="U2033" s="160"/>
      <c r="V2033" s="174"/>
      <c r="W2033" s="95"/>
      <c r="X2033" s="95"/>
      <c r="Y2033" s="95"/>
      <c r="Z2033" s="95"/>
      <c r="AA2033" s="95"/>
      <c r="AB2033" s="95"/>
      <c r="AC2033" s="95"/>
      <c r="AD2033" s="95"/>
      <c r="AE2033" s="95"/>
      <c r="AF2033" s="95"/>
      <c r="AG2033" s="95"/>
      <c r="AH2033" s="95"/>
      <c r="AI2033" s="95"/>
      <c r="AJ2033" s="95"/>
      <c r="AK2033" s="95"/>
      <c r="AL2033" s="95"/>
      <c r="AM2033" s="95"/>
      <c r="AN2033" s="95"/>
      <c r="AO2033" s="95"/>
      <c r="AP2033" s="95"/>
      <c r="AQ2033" s="95"/>
      <c r="AR2033" s="95"/>
      <c r="AS2033" s="95"/>
      <c r="AT2033" s="95"/>
      <c r="AU2033" s="95"/>
      <c r="AV2033" s="95"/>
      <c r="AW2033" s="95"/>
      <c r="AX2033" s="95"/>
      <c r="AY2033" s="95"/>
      <c r="AZ2033" s="95"/>
      <c r="BA2033" s="95"/>
    </row>
    <row r="2034" ht="15.75" hidden="1" customHeight="1" outlineLevel="1">
      <c r="A2034" s="318"/>
      <c r="B2034" s="38"/>
      <c r="C2034" s="177">
        <f>IF($D$2030&gt;0,3*'Assumptions (Biomass)'!$V$14*Model!$D$2030*'Assumptions (Biomass)'!B$2/10^9,0)</f>
        <v>0.006148915276</v>
      </c>
      <c r="D2034" s="177"/>
      <c r="E2034" s="177"/>
      <c r="F2034" s="177"/>
      <c r="G2034" s="177"/>
      <c r="H2034" s="177"/>
      <c r="I2034" s="177"/>
      <c r="J2034" s="177"/>
      <c r="K2034" s="177"/>
      <c r="L2034" s="177"/>
      <c r="M2034" s="160"/>
      <c r="N2034" s="160"/>
      <c r="O2034" s="160"/>
      <c r="P2034" s="160"/>
      <c r="Q2034" s="160"/>
      <c r="R2034" s="160"/>
      <c r="S2034" s="160"/>
      <c r="T2034" s="160"/>
      <c r="U2034" s="160"/>
      <c r="V2034" s="174"/>
      <c r="W2034" s="95"/>
      <c r="X2034" s="95"/>
      <c r="Y2034" s="95"/>
      <c r="Z2034" s="95"/>
      <c r="AA2034" s="95"/>
      <c r="AB2034" s="95"/>
      <c r="AC2034" s="95"/>
      <c r="AD2034" s="95"/>
      <c r="AE2034" s="95"/>
      <c r="AF2034" s="95"/>
      <c r="AG2034" s="95"/>
      <c r="AH2034" s="95"/>
      <c r="AI2034" s="95"/>
      <c r="AJ2034" s="95"/>
      <c r="AK2034" s="95"/>
      <c r="AL2034" s="95"/>
      <c r="AM2034" s="95"/>
      <c r="AN2034" s="95"/>
      <c r="AO2034" s="95"/>
      <c r="AP2034" s="95"/>
      <c r="AQ2034" s="95"/>
      <c r="AR2034" s="95"/>
      <c r="AS2034" s="95"/>
      <c r="AT2034" s="95"/>
      <c r="AU2034" s="95"/>
      <c r="AV2034" s="95"/>
      <c r="AW2034" s="95"/>
      <c r="AX2034" s="95"/>
      <c r="AY2034" s="95"/>
      <c r="AZ2034" s="95"/>
      <c r="BA2034" s="95"/>
    </row>
    <row r="2035" ht="15.75" hidden="1" customHeight="1" outlineLevel="1">
      <c r="A2035" s="318"/>
      <c r="B2035" s="38"/>
      <c r="C2035" s="177">
        <f>IF($E$2030&gt;0,2*'Assumptions (Biomass)'!$V$14*Model!$E$2030*'Assumptions (Biomass)'!B$2/10^9,0)</f>
        <v>0.001844674583</v>
      </c>
      <c r="D2035" s="177">
        <f>IF($E$2030&gt;0,'Assumptions (Biomass)'!$V$14*Model!$E$2030*'Assumptions (Biomass)'!C$2/10^9,0)</f>
        <v>0.0009425679836</v>
      </c>
      <c r="E2035" s="177"/>
      <c r="F2035" s="177"/>
      <c r="G2035" s="177"/>
      <c r="H2035" s="177"/>
      <c r="I2035" s="177"/>
      <c r="J2035" s="177"/>
      <c r="K2035" s="177"/>
      <c r="L2035" s="177"/>
      <c r="M2035" s="160"/>
      <c r="N2035" s="160"/>
      <c r="O2035" s="160"/>
      <c r="P2035" s="160"/>
      <c r="Q2035" s="160"/>
      <c r="R2035" s="160"/>
      <c r="S2035" s="160"/>
      <c r="T2035" s="160"/>
      <c r="U2035" s="160"/>
      <c r="V2035" s="174"/>
      <c r="W2035" s="95"/>
      <c r="X2035" s="95"/>
      <c r="Y2035" s="95"/>
      <c r="Z2035" s="95"/>
      <c r="AA2035" s="95"/>
      <c r="AB2035" s="95"/>
      <c r="AC2035" s="95"/>
      <c r="AD2035" s="95"/>
      <c r="AE2035" s="95"/>
      <c r="AF2035" s="95"/>
      <c r="AG2035" s="95"/>
      <c r="AH2035" s="95"/>
      <c r="AI2035" s="95"/>
      <c r="AJ2035" s="95"/>
      <c r="AK2035" s="95"/>
      <c r="AL2035" s="95"/>
      <c r="AM2035" s="95"/>
      <c r="AN2035" s="95"/>
      <c r="AO2035" s="95"/>
      <c r="AP2035" s="95"/>
      <c r="AQ2035" s="95"/>
      <c r="AR2035" s="95"/>
      <c r="AS2035" s="95"/>
      <c r="AT2035" s="95"/>
      <c r="AU2035" s="95"/>
      <c r="AV2035" s="95"/>
      <c r="AW2035" s="95"/>
      <c r="AX2035" s="95"/>
      <c r="AY2035" s="95"/>
      <c r="AZ2035" s="95"/>
      <c r="BA2035" s="95"/>
    </row>
    <row r="2036" ht="15.75" hidden="1" customHeight="1" outlineLevel="1">
      <c r="A2036" s="318"/>
      <c r="B2036" s="38"/>
      <c r="C2036" s="177">
        <f>IF($F$2030&gt;0,'Assumptions (Biomass)'!$V$14*Model!$F$2030*'Assumptions (Biomass)'!B$2/10^9,0)</f>
        <v>0.005226577985</v>
      </c>
      <c r="D2036" s="177">
        <f>IF($F$2030&gt;0,'Assumptions (Biomass)'!$V$14*Model!$F$2030*'Assumptions (Biomass)'!C$2/10^9,0)</f>
        <v>0.005341218574</v>
      </c>
      <c r="E2036" s="177">
        <f>IF($F$2030&gt;0,'Assumptions (Biomass)'!$V$14*Model!$F$2030*'Assumptions (Biomass)'!D$2/10^9,0)</f>
        <v>0.005425703162</v>
      </c>
      <c r="F2036" s="177"/>
      <c r="G2036" s="177"/>
      <c r="H2036" s="177"/>
      <c r="I2036" s="177"/>
      <c r="J2036" s="177"/>
      <c r="K2036" s="177"/>
      <c r="L2036" s="177"/>
      <c r="M2036" s="160"/>
      <c r="N2036" s="160"/>
      <c r="O2036" s="160"/>
      <c r="P2036" s="160"/>
      <c r="Q2036" s="160"/>
      <c r="R2036" s="160"/>
      <c r="S2036" s="160"/>
      <c r="T2036" s="160"/>
      <c r="U2036" s="160"/>
      <c r="V2036" s="174"/>
      <c r="W2036" s="95"/>
      <c r="X2036" s="95"/>
      <c r="Y2036" s="95"/>
      <c r="Z2036" s="95"/>
      <c r="AA2036" s="95"/>
      <c r="AB2036" s="95"/>
      <c r="AC2036" s="95"/>
      <c r="AD2036" s="95"/>
      <c r="AE2036" s="95"/>
      <c r="AF2036" s="95"/>
      <c r="AG2036" s="95"/>
      <c r="AH2036" s="95"/>
      <c r="AI2036" s="95"/>
      <c r="AJ2036" s="95"/>
      <c r="AK2036" s="95"/>
      <c r="AL2036" s="95"/>
      <c r="AM2036" s="95"/>
      <c r="AN2036" s="95"/>
      <c r="AO2036" s="95"/>
      <c r="AP2036" s="95"/>
      <c r="AQ2036" s="95"/>
      <c r="AR2036" s="95"/>
      <c r="AS2036" s="95"/>
      <c r="AT2036" s="95"/>
      <c r="AU2036" s="95"/>
      <c r="AV2036" s="95"/>
      <c r="AW2036" s="95"/>
      <c r="AX2036" s="95"/>
      <c r="AY2036" s="95"/>
      <c r="AZ2036" s="95"/>
      <c r="BA2036" s="95"/>
    </row>
    <row r="2037" ht="15.75" hidden="1" customHeight="1" outlineLevel="1">
      <c r="A2037" s="318"/>
      <c r="B2037" s="38"/>
      <c r="C2037" s="177"/>
      <c r="D2037" s="177">
        <f>IF($G$2030&gt;0,'Assumptions (Biomass)'!$V$14*Model!$G$2030*'Assumptions (Biomass)'!C$2/10^9,0)</f>
        <v>0.02618244399</v>
      </c>
      <c r="E2037" s="177">
        <f>IF($G$2030&gt;0,'Assumptions (Biomass)'!$V$14*Model!$G$2030*'Assumptions (Biomass)'!D$2/10^9,0)</f>
        <v>0.02659658413</v>
      </c>
      <c r="F2037" s="177">
        <f>IF($G$2030&gt;0,'Assumptions (Biomass)'!$V$14*Model!$G$2030*'Assumptions (Biomass)'!E$2/10^9,0)</f>
        <v>0.02709051564</v>
      </c>
      <c r="G2037" s="177"/>
      <c r="H2037" s="177"/>
      <c r="I2037" s="177"/>
      <c r="J2037" s="177"/>
      <c r="K2037" s="177"/>
      <c r="L2037" s="177"/>
      <c r="M2037" s="160"/>
      <c r="N2037" s="160"/>
      <c r="O2037" s="160"/>
      <c r="P2037" s="160"/>
      <c r="Q2037" s="160"/>
      <c r="R2037" s="160"/>
      <c r="S2037" s="160"/>
      <c r="T2037" s="160"/>
      <c r="U2037" s="160"/>
      <c r="V2037" s="174"/>
      <c r="W2037" s="95"/>
      <c r="X2037" s="95"/>
      <c r="Y2037" s="95"/>
      <c r="Z2037" s="95"/>
      <c r="AA2037" s="95"/>
      <c r="AB2037" s="95"/>
      <c r="AC2037" s="95"/>
      <c r="AD2037" s="95"/>
      <c r="AE2037" s="95"/>
      <c r="AF2037" s="95"/>
      <c r="AG2037" s="95"/>
      <c r="AH2037" s="95"/>
      <c r="AI2037" s="95"/>
      <c r="AJ2037" s="95"/>
      <c r="AK2037" s="95"/>
      <c r="AL2037" s="95"/>
      <c r="AM2037" s="95"/>
      <c r="AN2037" s="95"/>
      <c r="AO2037" s="95"/>
      <c r="AP2037" s="95"/>
      <c r="AQ2037" s="95"/>
      <c r="AR2037" s="95"/>
      <c r="AS2037" s="95"/>
      <c r="AT2037" s="95"/>
      <c r="AU2037" s="95"/>
      <c r="AV2037" s="95"/>
      <c r="AW2037" s="95"/>
      <c r="AX2037" s="95"/>
      <c r="AY2037" s="95"/>
      <c r="AZ2037" s="95"/>
      <c r="BA2037" s="95"/>
    </row>
    <row r="2038" ht="15.75" hidden="1" customHeight="1" outlineLevel="1">
      <c r="A2038" s="318"/>
      <c r="B2038" s="38"/>
      <c r="C2038" s="177"/>
      <c r="D2038" s="177"/>
      <c r="E2038" s="177">
        <f>IF($H$2030&gt;0,'Assumptions (Biomass)'!$V$14*Model!$H$2030*'Assumptions (Biomass)'!D$2/10^9,0)</f>
        <v>0.008191747912</v>
      </c>
      <c r="F2038" s="177">
        <f>IF($H$2030&gt;0,'Assumptions (Biomass)'!$V$14*Model!$H$2030*'Assumptions (Biomass)'!E$2/10^9,0)</f>
        <v>0.008343878819</v>
      </c>
      <c r="G2038" s="177">
        <f>IF($H$2030&gt;0,'Assumptions (Biomass)'!$V$14*Model!$H$2030*'Assumptions (Biomass)'!F$2/10^9,0)</f>
        <v>0.008568512747</v>
      </c>
      <c r="H2038" s="177"/>
      <c r="I2038" s="177"/>
      <c r="J2038" s="177"/>
      <c r="K2038" s="177"/>
      <c r="L2038" s="177"/>
      <c r="M2038" s="160"/>
      <c r="N2038" s="160"/>
      <c r="O2038" s="160"/>
      <c r="P2038" s="160"/>
      <c r="Q2038" s="160"/>
      <c r="R2038" s="160"/>
      <c r="S2038" s="160"/>
      <c r="T2038" s="160"/>
      <c r="U2038" s="160"/>
      <c r="V2038" s="174"/>
      <c r="W2038" s="95"/>
      <c r="X2038" s="95"/>
      <c r="Y2038" s="95"/>
      <c r="Z2038" s="95"/>
      <c r="AA2038" s="95"/>
      <c r="AB2038" s="95"/>
      <c r="AC2038" s="95"/>
      <c r="AD2038" s="95"/>
      <c r="AE2038" s="95"/>
      <c r="AF2038" s="95"/>
      <c r="AG2038" s="95"/>
      <c r="AH2038" s="95"/>
      <c r="AI2038" s="95"/>
      <c r="AJ2038" s="95"/>
      <c r="AK2038" s="95"/>
      <c r="AL2038" s="95"/>
      <c r="AM2038" s="95"/>
      <c r="AN2038" s="95"/>
      <c r="AO2038" s="95"/>
      <c r="AP2038" s="95"/>
      <c r="AQ2038" s="95"/>
      <c r="AR2038" s="95"/>
      <c r="AS2038" s="95"/>
      <c r="AT2038" s="95"/>
      <c r="AU2038" s="95"/>
      <c r="AV2038" s="95"/>
      <c r="AW2038" s="95"/>
      <c r="AX2038" s="95"/>
      <c r="AY2038" s="95"/>
      <c r="AZ2038" s="95"/>
      <c r="BA2038" s="95"/>
    </row>
    <row r="2039" ht="15.75" hidden="1" customHeight="1" outlineLevel="1">
      <c r="A2039" s="318"/>
      <c r="B2039" s="38"/>
      <c r="C2039" s="177"/>
      <c r="D2039" s="177"/>
      <c r="E2039" s="177"/>
      <c r="F2039" s="177">
        <f>IF($I$2030&gt;0,'Assumptions (Biomass)'!$V$14*Model!$I$2030*'Assumptions (Biomass)'!E$2/10^9,0)</f>
        <v>0.0663175823</v>
      </c>
      <c r="G2039" s="177">
        <f>IF($I$2030&gt;0,'Assumptions (Biomass)'!$V$14*Model!$I$2030*'Assumptions (Biomass)'!F$2/10^9,0)</f>
        <v>0.06810298443</v>
      </c>
      <c r="H2039" s="177">
        <f>IF($I$2030&gt;0,'Assumptions (Biomass)'!$V$14*Model!$I$2030*'Assumptions (Biomass)'!G$2/10^9,0)</f>
        <v>0.07022433083</v>
      </c>
      <c r="I2039" s="177"/>
      <c r="J2039" s="177"/>
      <c r="K2039" s="177"/>
      <c r="L2039" s="177"/>
      <c r="M2039" s="160"/>
      <c r="N2039" s="160"/>
      <c r="O2039" s="160"/>
      <c r="P2039" s="160"/>
      <c r="Q2039" s="160"/>
      <c r="R2039" s="160"/>
      <c r="S2039" s="160"/>
      <c r="T2039" s="160"/>
      <c r="U2039" s="160"/>
      <c r="V2039" s="174"/>
      <c r="W2039" s="95"/>
      <c r="X2039" s="95"/>
      <c r="Y2039" s="95"/>
      <c r="Z2039" s="95"/>
      <c r="AA2039" s="95"/>
      <c r="AB2039" s="95"/>
      <c r="AC2039" s="95"/>
      <c r="AD2039" s="95"/>
      <c r="AE2039" s="95"/>
      <c r="AF2039" s="95"/>
      <c r="AG2039" s="95"/>
      <c r="AH2039" s="95"/>
      <c r="AI2039" s="95"/>
      <c r="AJ2039" s="95"/>
      <c r="AK2039" s="95"/>
      <c r="AL2039" s="95"/>
      <c r="AM2039" s="95"/>
      <c r="AN2039" s="95"/>
      <c r="AO2039" s="95"/>
      <c r="AP2039" s="95"/>
      <c r="AQ2039" s="95"/>
      <c r="AR2039" s="95"/>
      <c r="AS2039" s="95"/>
      <c r="AT2039" s="95"/>
      <c r="AU2039" s="95"/>
      <c r="AV2039" s="95"/>
      <c r="AW2039" s="95"/>
      <c r="AX2039" s="95"/>
      <c r="AY2039" s="95"/>
      <c r="AZ2039" s="95"/>
      <c r="BA2039" s="95"/>
    </row>
    <row r="2040" ht="15.75" hidden="1" customHeight="1" outlineLevel="1">
      <c r="A2040" s="318"/>
      <c r="B2040" s="38"/>
      <c r="C2040" s="177"/>
      <c r="D2040" s="177"/>
      <c r="E2040" s="177"/>
      <c r="F2040" s="177"/>
      <c r="G2040" s="177">
        <f>IF($J$2030&gt;0,'Assumptions (Biomass)'!$V$14*Model!$J$2030*'Assumptions (Biomass)'!F$2/10^9,0)</f>
        <v>0.02392506806</v>
      </c>
      <c r="H2040" s="177">
        <f>IF($J$2030&gt;0,'Assumptions (Biomass)'!$V$14*Model!$J$2030*'Assumptions (Biomass)'!G$2/10^9,0)</f>
        <v>0.0246703123</v>
      </c>
      <c r="I2040" s="177">
        <f>IF($J$2030&gt;0,'Assumptions (Biomass)'!$V$14*Model!$J$2030*'Assumptions (Biomass)'!H$2/10^9,0)</f>
        <v>0.0254168883</v>
      </c>
      <c r="J2040" s="177"/>
      <c r="K2040" s="177"/>
      <c r="L2040" s="177"/>
      <c r="M2040" s="160"/>
      <c r="N2040" s="160"/>
      <c r="O2040" s="160"/>
      <c r="P2040" s="160"/>
      <c r="Q2040" s="160"/>
      <c r="R2040" s="160"/>
      <c r="S2040" s="160"/>
      <c r="T2040" s="160"/>
      <c r="U2040" s="160"/>
      <c r="V2040" s="174"/>
      <c r="W2040" s="95"/>
      <c r="X2040" s="95"/>
      <c r="Y2040" s="95"/>
      <c r="Z2040" s="95"/>
      <c r="AA2040" s="95"/>
      <c r="AB2040" s="95"/>
      <c r="AC2040" s="95"/>
      <c r="AD2040" s="95"/>
      <c r="AE2040" s="95"/>
      <c r="AF2040" s="95"/>
      <c r="AG2040" s="95"/>
      <c r="AH2040" s="95"/>
      <c r="AI2040" s="95"/>
      <c r="AJ2040" s="95"/>
      <c r="AK2040" s="95"/>
      <c r="AL2040" s="95"/>
      <c r="AM2040" s="95"/>
      <c r="AN2040" s="95"/>
      <c r="AO2040" s="95"/>
      <c r="AP2040" s="95"/>
      <c r="AQ2040" s="95"/>
      <c r="AR2040" s="95"/>
      <c r="AS2040" s="95"/>
      <c r="AT2040" s="95"/>
      <c r="AU2040" s="95"/>
      <c r="AV2040" s="95"/>
      <c r="AW2040" s="95"/>
      <c r="AX2040" s="95"/>
      <c r="AY2040" s="95"/>
      <c r="AZ2040" s="95"/>
      <c r="BA2040" s="95"/>
    </row>
    <row r="2041" ht="15.75" hidden="1" customHeight="1" outlineLevel="1">
      <c r="A2041" s="318"/>
      <c r="B2041" s="38"/>
      <c r="C2041" s="177"/>
      <c r="D2041" s="177"/>
      <c r="E2041" s="177"/>
      <c r="F2041" s="177"/>
      <c r="G2041" s="177"/>
      <c r="H2041" s="177">
        <f>IF($K$2030&gt;0,'Assumptions (Biomass)'!$V$14*Model!$K$2030*'Assumptions (Biomass)'!G$2/10^9,0)</f>
        <v>0.01101558131</v>
      </c>
      <c r="I2041" s="177">
        <f>IF($K$2030&gt;0,'Assumptions (Biomass)'!$V$14*Model!$K$2030*'Assumptions (Biomass)'!H$2/10^9,0)</f>
        <v>0.01134893617</v>
      </c>
      <c r="J2041" s="177">
        <f>IF($K$2030&gt;0,'Assumptions (Biomass)'!$V$14*Model!$K$2030*'Assumptions (Biomass)'!I$2/10^9,0)</f>
        <v>0.01165380337</v>
      </c>
      <c r="K2041" s="177"/>
      <c r="L2041" s="177"/>
      <c r="M2041" s="160"/>
      <c r="N2041" s="160"/>
      <c r="O2041" s="160"/>
      <c r="P2041" s="160"/>
      <c r="Q2041" s="160"/>
      <c r="R2041" s="160"/>
      <c r="S2041" s="160"/>
      <c r="T2041" s="160"/>
      <c r="U2041" s="160"/>
      <c r="V2041" s="174"/>
      <c r="W2041" s="95"/>
      <c r="X2041" s="95"/>
      <c r="Y2041" s="95"/>
      <c r="Z2041" s="95"/>
      <c r="AA2041" s="95"/>
      <c r="AB2041" s="95"/>
      <c r="AC2041" s="95"/>
      <c r="AD2041" s="95"/>
      <c r="AE2041" s="95"/>
      <c r="AF2041" s="95"/>
      <c r="AG2041" s="95"/>
      <c r="AH2041" s="95"/>
      <c r="AI2041" s="95"/>
      <c r="AJ2041" s="95"/>
      <c r="AK2041" s="95"/>
      <c r="AL2041" s="95"/>
      <c r="AM2041" s="95"/>
      <c r="AN2041" s="95"/>
      <c r="AO2041" s="95"/>
      <c r="AP2041" s="95"/>
      <c r="AQ2041" s="95"/>
      <c r="AR2041" s="95"/>
      <c r="AS2041" s="95"/>
      <c r="AT2041" s="95"/>
      <c r="AU2041" s="95"/>
      <c r="AV2041" s="95"/>
      <c r="AW2041" s="95"/>
      <c r="AX2041" s="95"/>
      <c r="AY2041" s="95"/>
      <c r="AZ2041" s="95"/>
      <c r="BA2041" s="95"/>
    </row>
    <row r="2042" ht="15.75" hidden="1" customHeight="1" outlineLevel="1">
      <c r="A2042" s="318"/>
      <c r="B2042" s="38"/>
      <c r="C2042" s="177"/>
      <c r="D2042" s="177"/>
      <c r="E2042" s="177"/>
      <c r="F2042" s="177"/>
      <c r="G2042" s="177"/>
      <c r="H2042" s="177"/>
      <c r="I2042" s="177">
        <f>IF($L$2030&gt;0,'Assumptions (Biomass)'!$V$14*Model!$L$2030*'Assumptions (Biomass)'!H$2/10^9,0)</f>
        <v>0.02056994681</v>
      </c>
      <c r="J2042" s="177">
        <f>IF($L$2030&gt;0,'Assumptions (Biomass)'!$V$14*Model!$L$2030*'Assumptions (Biomass)'!I$2/10^9,0)</f>
        <v>0.0211225186</v>
      </c>
      <c r="K2042" s="177">
        <f>IF($L$2030&gt;0,'Assumptions (Biomass)'!$V$14*Model!$L$2030*'Assumptions (Biomass)'!J$2/10^9,0)</f>
        <v>0.02153337875</v>
      </c>
      <c r="L2042" s="177"/>
      <c r="M2042" s="160"/>
      <c r="N2042" s="160"/>
      <c r="O2042" s="160"/>
      <c r="P2042" s="160"/>
      <c r="Q2042" s="160"/>
      <c r="R2042" s="160"/>
      <c r="S2042" s="160"/>
      <c r="T2042" s="160"/>
      <c r="U2042" s="160"/>
      <c r="V2042" s="174"/>
      <c r="W2042" s="95"/>
      <c r="X2042" s="95"/>
      <c r="Y2042" s="95"/>
      <c r="Z2042" s="95"/>
      <c r="AA2042" s="95"/>
      <c r="AB2042" s="95"/>
      <c r="AC2042" s="95"/>
      <c r="AD2042" s="95"/>
      <c r="AE2042" s="95"/>
      <c r="AF2042" s="95"/>
      <c r="AG2042" s="95"/>
      <c r="AH2042" s="95"/>
      <c r="AI2042" s="95"/>
      <c r="AJ2042" s="95"/>
      <c r="AK2042" s="95"/>
      <c r="AL2042" s="95"/>
      <c r="AM2042" s="95"/>
      <c r="AN2042" s="95"/>
      <c r="AO2042" s="95"/>
      <c r="AP2042" s="95"/>
      <c r="AQ2042" s="95"/>
      <c r="AR2042" s="95"/>
      <c r="AS2042" s="95"/>
      <c r="AT2042" s="95"/>
      <c r="AU2042" s="95"/>
      <c r="AV2042" s="95"/>
      <c r="AW2042" s="95"/>
      <c r="AX2042" s="95"/>
      <c r="AY2042" s="95"/>
      <c r="AZ2042" s="95"/>
      <c r="BA2042" s="95"/>
    </row>
    <row r="2043" ht="15.75" hidden="1" customHeight="1" outlineLevel="1">
      <c r="A2043" s="318"/>
      <c r="B2043" s="38"/>
      <c r="C2043" s="177"/>
      <c r="D2043" s="177"/>
      <c r="E2043" s="177"/>
      <c r="F2043" s="177"/>
      <c r="G2043" s="177"/>
      <c r="H2043" s="177"/>
      <c r="I2043" s="177"/>
      <c r="J2043" s="177">
        <f>IF($M$2030&gt;0,'Assumptions (Biomass)'!$V$14*Model!$M$2030*'Assumptions (Biomass)'!I$2/10^9,0)</f>
        <v>0.1331689822</v>
      </c>
      <c r="K2043" s="177">
        <f>IF($M$2030&gt;0,'Assumptions (Biomass)'!$V$14*Model!$M$2030*'Assumptions (Biomass)'!J$2/10^9,0)</f>
        <v>0.1357592902</v>
      </c>
      <c r="L2043" s="177">
        <f>IF($M$2030&gt;0,'Assumptions (Biomass)'!$V$14*Model!$M$2030*'Assumptions (Biomass)'!K$2/10^9,0)</f>
        <v>0.1367942329</v>
      </c>
      <c r="M2043" s="160"/>
      <c r="N2043" s="160"/>
      <c r="O2043" s="160"/>
      <c r="P2043" s="160"/>
      <c r="Q2043" s="160"/>
      <c r="R2043" s="160"/>
      <c r="S2043" s="160"/>
      <c r="T2043" s="160"/>
      <c r="U2043" s="160"/>
      <c r="V2043" s="174"/>
      <c r="W2043" s="95"/>
      <c r="X2043" s="95"/>
      <c r="Y2043" s="95"/>
      <c r="Z2043" s="95"/>
      <c r="AA2043" s="95"/>
      <c r="AB2043" s="95"/>
      <c r="AC2043" s="95"/>
      <c r="AD2043" s="95"/>
      <c r="AE2043" s="95"/>
      <c r="AF2043" s="95"/>
      <c r="AG2043" s="95"/>
      <c r="AH2043" s="95"/>
      <c r="AI2043" s="95"/>
      <c r="AJ2043" s="95"/>
      <c r="AK2043" s="95"/>
      <c r="AL2043" s="95"/>
      <c r="AM2043" s="95"/>
      <c r="AN2043" s="95"/>
      <c r="AO2043" s="95"/>
      <c r="AP2043" s="95"/>
      <c r="AQ2043" s="95"/>
      <c r="AR2043" s="95"/>
      <c r="AS2043" s="95"/>
      <c r="AT2043" s="95"/>
      <c r="AU2043" s="95"/>
      <c r="AV2043" s="95"/>
      <c r="AW2043" s="95"/>
      <c r="AX2043" s="95"/>
      <c r="AY2043" s="95"/>
      <c r="AZ2043" s="95"/>
      <c r="BA2043" s="95"/>
    </row>
    <row r="2044" ht="15.75" hidden="1" customHeight="1" outlineLevel="1">
      <c r="A2044" s="318"/>
      <c r="B2044" s="38"/>
      <c r="C2044" s="160"/>
      <c r="D2044" s="160"/>
      <c r="E2044" s="160"/>
      <c r="F2044" s="160"/>
      <c r="G2044" s="160"/>
      <c r="H2044" s="160"/>
      <c r="I2044" s="160"/>
      <c r="J2044" s="160"/>
      <c r="K2044" s="160">
        <f>IF($N$2030&gt;0,'Assumptions (Biomass)'!$V$14*Model!$N$2030*'Assumptions (Biomass)'!J$2/10^9,0)</f>
        <v>0.1220224796</v>
      </c>
      <c r="L2044" s="160">
        <f>IF($N$2030&gt;0,'Assumptions (Biomass)'!$V$14*Model!$N$2030*'Assumptions (Biomass)'!K$2/10^9,0)</f>
        <v>0.1229527016</v>
      </c>
      <c r="M2044" s="160">
        <f>IF($N$2030&gt;0,'Assumptions (Biomass)'!$V$14*Model!$N$2030*'Assumptions (Biomass)'!L$2/10^9,0)</f>
        <v>0.1243854114</v>
      </c>
      <c r="N2044" s="160"/>
      <c r="O2044" s="160"/>
      <c r="P2044" s="160"/>
      <c r="Q2044" s="160"/>
      <c r="R2044" s="160"/>
      <c r="S2044" s="160"/>
      <c r="T2044" s="160"/>
      <c r="U2044" s="160"/>
      <c r="V2044" s="174"/>
      <c r="W2044" s="95"/>
      <c r="X2044" s="95"/>
      <c r="Y2044" s="95"/>
      <c r="Z2044" s="95"/>
      <c r="AA2044" s="95"/>
      <c r="AB2044" s="95"/>
      <c r="AC2044" s="95"/>
      <c r="AD2044" s="95"/>
      <c r="AE2044" s="95"/>
      <c r="AF2044" s="95"/>
      <c r="AG2044" s="95"/>
      <c r="AH2044" s="95"/>
      <c r="AI2044" s="95"/>
      <c r="AJ2044" s="95"/>
      <c r="AK2044" s="95"/>
      <c r="AL2044" s="95"/>
      <c r="AM2044" s="95"/>
      <c r="AN2044" s="95"/>
      <c r="AO2044" s="95"/>
      <c r="AP2044" s="95"/>
      <c r="AQ2044" s="95"/>
      <c r="AR2044" s="95"/>
      <c r="AS2044" s="95"/>
      <c r="AT2044" s="95"/>
      <c r="AU2044" s="95"/>
      <c r="AV2044" s="95"/>
      <c r="AW2044" s="95"/>
      <c r="AX2044" s="95"/>
      <c r="AY2044" s="95"/>
      <c r="AZ2044" s="95"/>
      <c r="BA2044" s="95"/>
    </row>
    <row r="2045" ht="15.75" hidden="1" customHeight="1" outlineLevel="1">
      <c r="A2045" s="318"/>
      <c r="B2045" s="38"/>
      <c r="C2045" s="160"/>
      <c r="D2045" s="160"/>
      <c r="E2045" s="160"/>
      <c r="F2045" s="160"/>
      <c r="G2045" s="160"/>
      <c r="H2045" s="160"/>
      <c r="I2045" s="160"/>
      <c r="J2045" s="160"/>
      <c r="K2045" s="160"/>
      <c r="L2045" s="160">
        <f>IF($O$2030&gt;0,'Assumptions (Biomass)'!$V$14*Model!$O$2030*'Assumptions (Biomass)'!K$2/10^9,0)</f>
        <v>0.06160104926</v>
      </c>
      <c r="M2045" s="160">
        <f>IF($O$2030&gt;0,'Assumptions (Biomass)'!$V$14*Model!$O$2030*'Assumptions (Biomass)'!L$2/10^9,0)</f>
        <v>0.06231885722</v>
      </c>
      <c r="N2045" s="160">
        <f>IF($O$2030&gt;0,'Assumptions (Biomass)'!$V$14*Model!$O$2030*'Assumptions (Biomass)'!M$2/10^9,0)</f>
        <v>0.06362064493</v>
      </c>
      <c r="O2045" s="160"/>
      <c r="P2045" s="160"/>
      <c r="Q2045" s="160"/>
      <c r="R2045" s="160"/>
      <c r="S2045" s="160"/>
      <c r="T2045" s="160"/>
      <c r="U2045" s="160"/>
      <c r="V2045" s="174"/>
      <c r="W2045" s="95"/>
      <c r="X2045" s="95"/>
      <c r="Y2045" s="95"/>
      <c r="Z2045" s="95"/>
      <c r="AA2045" s="95"/>
      <c r="AB2045" s="95"/>
      <c r="AC2045" s="95"/>
      <c r="AD2045" s="95"/>
      <c r="AE2045" s="95"/>
      <c r="AF2045" s="95"/>
      <c r="AG2045" s="95"/>
      <c r="AH2045" s="95"/>
      <c r="AI2045" s="95"/>
      <c r="AJ2045" s="95"/>
      <c r="AK2045" s="95"/>
      <c r="AL2045" s="95"/>
      <c r="AM2045" s="95"/>
      <c r="AN2045" s="95"/>
      <c r="AO2045" s="95"/>
      <c r="AP2045" s="95"/>
      <c r="AQ2045" s="95"/>
      <c r="AR2045" s="95"/>
      <c r="AS2045" s="95"/>
      <c r="AT2045" s="95"/>
      <c r="AU2045" s="95"/>
      <c r="AV2045" s="95"/>
      <c r="AW2045" s="95"/>
      <c r="AX2045" s="95"/>
      <c r="AY2045" s="95"/>
      <c r="AZ2045" s="95"/>
      <c r="BA2045" s="95"/>
    </row>
    <row r="2046" ht="15.75" hidden="1" customHeight="1" outlineLevel="1">
      <c r="A2046" s="318"/>
      <c r="B2046" s="38"/>
      <c r="C2046" s="160"/>
      <c r="D2046" s="160"/>
      <c r="E2046" s="160"/>
      <c r="F2046" s="160"/>
      <c r="G2046" s="160"/>
      <c r="H2046" s="160"/>
      <c r="I2046" s="160"/>
      <c r="J2046" s="177"/>
      <c r="K2046" s="177"/>
      <c r="L2046" s="177"/>
      <c r="M2046" s="177">
        <f>IF($P$2030&gt;0,'Assumptions (Biomass)'!$V$14*Model!$P$2030*'Assumptions (Biomass)'!L$2/10^9,0)</f>
        <v>0.217106788</v>
      </c>
      <c r="N2046" s="177">
        <f>IF($P$2030&gt;0,'Assumptions (Biomass)'!$V$14*Model!$P$2030*'Assumptions (Biomass)'!M$2/10^9,0)</f>
        <v>0.2216419634</v>
      </c>
      <c r="O2046" s="177">
        <f>IF($P$2030&gt;0,'Assumptions (Biomass)'!$V$14*Model!$P$2030*'Assumptions (Biomass)'!N$2/10^9,0)</f>
        <v>0.2258927037</v>
      </c>
      <c r="P2046" s="177"/>
      <c r="Q2046" s="160"/>
      <c r="R2046" s="177"/>
      <c r="S2046" s="177"/>
      <c r="T2046" s="177"/>
      <c r="U2046" s="177"/>
      <c r="V2046" s="174"/>
      <c r="W2046" s="95"/>
      <c r="X2046" s="95"/>
      <c r="Y2046" s="95"/>
      <c r="Z2046" s="95"/>
      <c r="AA2046" s="95"/>
      <c r="AB2046" s="95"/>
      <c r="AC2046" s="95"/>
      <c r="AD2046" s="95"/>
      <c r="AE2046" s="95"/>
      <c r="AF2046" s="95"/>
      <c r="AG2046" s="95"/>
      <c r="AH2046" s="95"/>
      <c r="AI2046" s="95"/>
      <c r="AJ2046" s="95"/>
      <c r="AK2046" s="95"/>
      <c r="AL2046" s="95"/>
      <c r="AM2046" s="95"/>
      <c r="AN2046" s="95"/>
      <c r="AO2046" s="95"/>
      <c r="AP2046" s="95"/>
      <c r="AQ2046" s="95"/>
      <c r="AR2046" s="95"/>
      <c r="AS2046" s="95"/>
      <c r="AT2046" s="95"/>
      <c r="AU2046" s="95"/>
      <c r="AV2046" s="95"/>
      <c r="AW2046" s="95"/>
      <c r="AX2046" s="95"/>
      <c r="AY2046" s="95"/>
      <c r="AZ2046" s="95"/>
      <c r="BA2046" s="95"/>
    </row>
    <row r="2047" ht="15.75" hidden="1" customHeight="1" outlineLevel="1">
      <c r="A2047" s="318"/>
      <c r="B2047" s="38"/>
      <c r="C2047" s="160"/>
      <c r="D2047" s="160"/>
      <c r="E2047" s="160"/>
      <c r="F2047" s="160"/>
      <c r="G2047" s="160"/>
      <c r="H2047" s="160"/>
      <c r="I2047" s="160"/>
      <c r="J2047" s="160"/>
      <c r="K2047" s="177"/>
      <c r="L2047" s="177"/>
      <c r="M2047" s="177"/>
      <c r="N2047" s="177">
        <f>IF($Q$2030&gt;0,'Assumptions (Biomass)'!$V$14*Model!$Q$2030*'Assumptions (Biomass)'!M$2/10^9,0)</f>
        <v>0.124794342</v>
      </c>
      <c r="O2047" s="177">
        <f>IF($Q$2030&gt;0,'Assumptions (Biomass)'!$V$14*Model!$Q$2030*'Assumptions (Biomass)'!N$2/10^9,0)</f>
        <v>0.127187699</v>
      </c>
      <c r="P2047" s="177">
        <f>IF($Q$2030&gt;0,'Assumptions (Biomass)'!$V$14*Model!$Q$2030*'Assumptions (Biomass)'!O$2/10^9,0)</f>
        <v>0.1294197527</v>
      </c>
      <c r="Q2047" s="160"/>
      <c r="R2047" s="177"/>
      <c r="S2047" s="177"/>
      <c r="T2047" s="177"/>
      <c r="U2047" s="177"/>
      <c r="V2047" s="174"/>
      <c r="W2047" s="95"/>
      <c r="X2047" s="95"/>
      <c r="Y2047" s="95"/>
      <c r="Z2047" s="95"/>
      <c r="AA2047" s="95"/>
      <c r="AB2047" s="95"/>
      <c r="AC2047" s="95"/>
      <c r="AD2047" s="95"/>
      <c r="AE2047" s="95"/>
      <c r="AF2047" s="95"/>
      <c r="AG2047" s="95"/>
      <c r="AH2047" s="95"/>
      <c r="AI2047" s="95"/>
      <c r="AJ2047" s="95"/>
      <c r="AK2047" s="95"/>
      <c r="AL2047" s="95"/>
      <c r="AM2047" s="95"/>
      <c r="AN2047" s="95"/>
      <c r="AO2047" s="95"/>
      <c r="AP2047" s="95"/>
      <c r="AQ2047" s="95"/>
      <c r="AR2047" s="95"/>
      <c r="AS2047" s="95"/>
      <c r="AT2047" s="95"/>
      <c r="AU2047" s="95"/>
      <c r="AV2047" s="95"/>
      <c r="AW2047" s="95"/>
      <c r="AX2047" s="95"/>
      <c r="AY2047" s="95"/>
      <c r="AZ2047" s="95"/>
      <c r="BA2047" s="95"/>
    </row>
    <row r="2048" ht="15.75" hidden="1" customHeight="1" outlineLevel="1">
      <c r="A2048" s="318"/>
      <c r="B2048" s="38"/>
      <c r="C2048" s="160"/>
      <c r="D2048" s="160"/>
      <c r="E2048" s="160"/>
      <c r="F2048" s="160"/>
      <c r="G2048" s="160"/>
      <c r="H2048" s="160"/>
      <c r="I2048" s="160"/>
      <c r="J2048" s="160"/>
      <c r="K2048" s="160"/>
      <c r="L2048" s="178"/>
      <c r="M2048" s="178"/>
      <c r="N2048" s="178"/>
      <c r="O2048" s="178">
        <f>IF($R$2030&gt;0,'Assumptions (Biomass)'!$V$14*Model!$R$2030*'Assumptions (Biomass)'!N$2/10^9,0)</f>
        <v>0.06050931808</v>
      </c>
      <c r="P2048" s="178">
        <f>IF($R$2030&gt;0,'Assumptions (Biomass)'!$V$14*Model!$R$2030*'Assumptions (Biomass)'!O$2/10^9,0)</f>
        <v>0.0615712136</v>
      </c>
      <c r="Q2048" s="178">
        <f>IF($R$2030&gt;0,'Assumptions (Biomass)'!$V$14*Model!$R$2030*'Assumptions (Biomass)'!P$2/10^9,0)</f>
        <v>0.06271050416</v>
      </c>
      <c r="R2048" s="177"/>
      <c r="S2048" s="177"/>
      <c r="T2048" s="177"/>
      <c r="U2048" s="177"/>
      <c r="V2048" s="174"/>
      <c r="W2048" s="95"/>
      <c r="X2048" s="95"/>
      <c r="Y2048" s="95"/>
      <c r="Z2048" s="95"/>
      <c r="AA2048" s="95"/>
      <c r="AB2048" s="95"/>
      <c r="AC2048" s="95"/>
      <c r="AD2048" s="95"/>
      <c r="AE2048" s="95"/>
      <c r="AF2048" s="95"/>
      <c r="AG2048" s="95"/>
      <c r="AH2048" s="95"/>
      <c r="AI2048" s="95"/>
      <c r="AJ2048" s="95"/>
      <c r="AK2048" s="95"/>
      <c r="AL2048" s="95"/>
      <c r="AM2048" s="95"/>
      <c r="AN2048" s="95"/>
      <c r="AO2048" s="95"/>
      <c r="AP2048" s="95"/>
      <c r="AQ2048" s="95"/>
      <c r="AR2048" s="95"/>
      <c r="AS2048" s="95"/>
      <c r="AT2048" s="95"/>
      <c r="AU2048" s="95"/>
      <c r="AV2048" s="95"/>
      <c r="AW2048" s="95"/>
      <c r="AX2048" s="95"/>
      <c r="AY2048" s="95"/>
      <c r="AZ2048" s="95"/>
      <c r="BA2048" s="95"/>
    </row>
    <row r="2049" ht="15.75" hidden="1" customHeight="1" outlineLevel="1">
      <c r="A2049" s="318"/>
      <c r="B2049" s="38"/>
      <c r="C2049" s="160"/>
      <c r="D2049" s="160"/>
      <c r="E2049" s="160"/>
      <c r="F2049" s="160"/>
      <c r="G2049" s="160"/>
      <c r="H2049" s="160"/>
      <c r="I2049" s="160"/>
      <c r="J2049" s="160"/>
      <c r="K2049" s="160"/>
      <c r="L2049" s="160"/>
      <c r="M2049" s="160"/>
      <c r="N2049" s="160"/>
      <c r="O2049" s="160"/>
      <c r="P2049" s="160">
        <f>IF($S$2030&gt;0,'Assumptions (Biomass)'!$V$14*Model!$S$2030*'Assumptions (Biomass)'!O$2/10^9,0)</f>
        <v>0.03926667418</v>
      </c>
      <c r="Q2049" s="160">
        <f>IF($S$2030&gt;0,'Assumptions (Biomass)'!$V$14*Model!$S$2030*'Assumptions (Biomass)'!P$2/10^9,0)</f>
        <v>0.03999324994</v>
      </c>
      <c r="R2049" s="160">
        <f>IF($S$2030&gt;0,'Assumptions (Biomass)'!$V$14*Model!$S$2030*'Assumptions (Biomass)'!Q$2/10^9,0)</f>
        <v>0.04040971628</v>
      </c>
      <c r="S2049" s="160"/>
      <c r="T2049" s="160"/>
      <c r="U2049" s="160"/>
      <c r="V2049" s="174"/>
      <c r="W2049" s="95"/>
      <c r="X2049" s="95"/>
      <c r="Y2049" s="95"/>
      <c r="Z2049" s="95"/>
      <c r="AA2049" s="95"/>
      <c r="AB2049" s="95"/>
      <c r="AC2049" s="95"/>
      <c r="AD2049" s="95"/>
      <c r="AE2049" s="95"/>
      <c r="AF2049" s="95"/>
      <c r="AG2049" s="95"/>
      <c r="AH2049" s="95"/>
      <c r="AI2049" s="95"/>
      <c r="AJ2049" s="95"/>
      <c r="AK2049" s="95"/>
      <c r="AL2049" s="95"/>
      <c r="AM2049" s="95"/>
      <c r="AN2049" s="95"/>
      <c r="AO2049" s="95"/>
      <c r="AP2049" s="95"/>
      <c r="AQ2049" s="95"/>
      <c r="AR2049" s="95"/>
      <c r="AS2049" s="95"/>
      <c r="AT2049" s="95"/>
      <c r="AU2049" s="95"/>
      <c r="AV2049" s="95"/>
      <c r="AW2049" s="95"/>
      <c r="AX2049" s="95"/>
      <c r="AY2049" s="95"/>
      <c r="AZ2049" s="95"/>
      <c r="BA2049" s="95"/>
    </row>
    <row r="2050" ht="15.75" hidden="1" customHeight="1" outlineLevel="1">
      <c r="A2050" s="318"/>
      <c r="B2050" s="38"/>
      <c r="C2050" s="160"/>
      <c r="D2050" s="160"/>
      <c r="E2050" s="160"/>
      <c r="F2050" s="160"/>
      <c r="G2050" s="160"/>
      <c r="H2050" s="160"/>
      <c r="I2050" s="160"/>
      <c r="J2050" s="160"/>
      <c r="K2050" s="160"/>
      <c r="L2050" s="160"/>
      <c r="M2050" s="160"/>
      <c r="N2050" s="160"/>
      <c r="O2050" s="160"/>
      <c r="P2050" s="160"/>
      <c r="Q2050" s="160">
        <f>IF($T$2030&gt;0,'Assumptions (Biomass)'!$V$14*Model!$T$2030*'Assumptions (Biomass)'!P$2/10^9,0)</f>
        <v>0.1822821596</v>
      </c>
      <c r="R2050" s="160">
        <f>IF($T$2030&gt;0,'Assumptions (Biomass)'!$V$14*Model!$T$2030*'Assumptions (Biomass)'!Q$2/10^9,0)</f>
        <v>0.1841803395</v>
      </c>
      <c r="S2050" s="160">
        <f>IF($T$2030&gt;0,'Assumptions (Biomass)'!$V$14*Model!$T$2030*'Assumptions (Biomass)'!R$2/10^9,0)</f>
        <v>0.1860871181</v>
      </c>
      <c r="T2050" s="160"/>
      <c r="U2050" s="160"/>
      <c r="V2050" s="174"/>
      <c r="W2050" s="95"/>
      <c r="X2050" s="95"/>
      <c r="Y2050" s="95"/>
      <c r="Z2050" s="95"/>
      <c r="AA2050" s="95"/>
      <c r="AB2050" s="95"/>
      <c r="AC2050" s="95"/>
      <c r="AD2050" s="95"/>
      <c r="AE2050" s="95"/>
      <c r="AF2050" s="95"/>
      <c r="AG2050" s="95"/>
      <c r="AH2050" s="95"/>
      <c r="AI2050" s="95"/>
      <c r="AJ2050" s="95"/>
      <c r="AK2050" s="95"/>
      <c r="AL2050" s="95"/>
      <c r="AM2050" s="95"/>
      <c r="AN2050" s="95"/>
      <c r="AO2050" s="95"/>
      <c r="AP2050" s="95"/>
      <c r="AQ2050" s="95"/>
      <c r="AR2050" s="95"/>
      <c r="AS2050" s="95"/>
      <c r="AT2050" s="95"/>
      <c r="AU2050" s="95"/>
      <c r="AV2050" s="95"/>
      <c r="AW2050" s="95"/>
      <c r="AX2050" s="95"/>
      <c r="AY2050" s="95"/>
      <c r="AZ2050" s="95"/>
      <c r="BA2050" s="95"/>
    </row>
    <row r="2051" ht="15.75" hidden="1" customHeight="1" outlineLevel="1">
      <c r="A2051" s="318"/>
      <c r="B2051" s="38"/>
      <c r="C2051" s="160"/>
      <c r="D2051" s="160"/>
      <c r="E2051" s="160"/>
      <c r="F2051" s="160"/>
      <c r="G2051" s="160"/>
      <c r="H2051" s="160"/>
      <c r="I2051" s="160"/>
      <c r="J2051" s="160"/>
      <c r="K2051" s="160"/>
      <c r="L2051" s="160"/>
      <c r="M2051" s="160"/>
      <c r="N2051" s="160"/>
      <c r="O2051" s="177"/>
      <c r="P2051" s="177"/>
      <c r="Q2051" s="177"/>
      <c r="R2051" s="177">
        <f>IF($U$2030&gt;0,'Assumptions (Biomass)'!$V$14*Model!$U$2030*'Assumptions (Biomass)'!Q$2/10^9,0)</f>
        <v>0</v>
      </c>
      <c r="S2051" s="177">
        <f>IF($U$2030&gt;0,'Assumptions (Biomass)'!$V$14*Model!$U$2030*'Assumptions (Biomass)'!R$2/10^9,0)</f>
        <v>0</v>
      </c>
      <c r="T2051" s="177">
        <f>IF($U$2030&gt;0,'Assumptions (Biomass)'!$V$14*Model!$U$2030*'Assumptions (Biomass)'!S$2/10^9,0)</f>
        <v>0</v>
      </c>
      <c r="U2051" s="160"/>
      <c r="V2051" s="174"/>
      <c r="W2051" s="95"/>
      <c r="X2051" s="95"/>
      <c r="Y2051" s="95"/>
      <c r="Z2051" s="95"/>
      <c r="AA2051" s="95"/>
      <c r="AB2051" s="95"/>
      <c r="AC2051" s="95"/>
      <c r="AD2051" s="95"/>
      <c r="AE2051" s="95"/>
      <c r="AF2051" s="95"/>
      <c r="AG2051" s="95"/>
      <c r="AH2051" s="95"/>
      <c r="AI2051" s="95"/>
      <c r="AJ2051" s="95"/>
      <c r="AK2051" s="95"/>
      <c r="AL2051" s="95"/>
      <c r="AM2051" s="95"/>
      <c r="AN2051" s="95"/>
      <c r="AO2051" s="95"/>
      <c r="AP2051" s="95"/>
      <c r="AQ2051" s="95"/>
      <c r="AR2051" s="95"/>
      <c r="AS2051" s="95"/>
      <c r="AT2051" s="95"/>
      <c r="AU2051" s="95"/>
      <c r="AV2051" s="95"/>
      <c r="AW2051" s="95"/>
      <c r="AX2051" s="95"/>
      <c r="AY2051" s="95"/>
      <c r="AZ2051" s="95"/>
      <c r="BA2051" s="95"/>
    </row>
    <row r="2052" ht="15.75" hidden="1" customHeight="1" outlineLevel="1">
      <c r="A2052" s="318"/>
      <c r="B2052" s="38"/>
      <c r="C2052" s="160"/>
      <c r="D2052" s="160"/>
      <c r="E2052" s="160"/>
      <c r="F2052" s="160"/>
      <c r="G2052" s="160"/>
      <c r="H2052" s="160"/>
      <c r="I2052" s="160"/>
      <c r="J2052" s="160"/>
      <c r="K2052" s="160"/>
      <c r="L2052" s="160"/>
      <c r="M2052" s="160"/>
      <c r="N2052" s="160"/>
      <c r="O2052" s="160"/>
      <c r="P2052" s="160"/>
      <c r="Q2052" s="160"/>
      <c r="R2052" s="160"/>
      <c r="S2052" s="160">
        <f>IF($V$2030&gt;0,'Assumptions (Biomass)'!$V$14*Model!$V$2030*'Assumptions (Biomass)'!R$2/10^9,0)</f>
        <v>0</v>
      </c>
      <c r="T2052" s="160">
        <f>IF($V$2030&gt;0,'Assumptions (Biomass)'!$V$14*Model!$V$2030*'Assumptions (Biomass)'!S$2/10^9,0)</f>
        <v>0</v>
      </c>
      <c r="U2052" s="160">
        <f>IF($V$2030&gt;0,'Assumptions (Biomass)'!$V$14*Model!$V$2030*'Assumptions (Biomass)'!T$2/10^9,0)</f>
        <v>0</v>
      </c>
      <c r="V2052" s="174"/>
      <c r="W2052" s="95"/>
      <c r="X2052" s="95"/>
      <c r="Y2052" s="95"/>
      <c r="Z2052" s="95"/>
      <c r="AA2052" s="95"/>
      <c r="AB2052" s="95"/>
      <c r="AC2052" s="95"/>
      <c r="AD2052" s="95"/>
      <c r="AE2052" s="95"/>
      <c r="AF2052" s="95"/>
      <c r="AG2052" s="95"/>
      <c r="AH2052" s="95"/>
      <c r="AI2052" s="95"/>
      <c r="AJ2052" s="95"/>
      <c r="AK2052" s="95"/>
      <c r="AL2052" s="95"/>
      <c r="AM2052" s="95"/>
      <c r="AN2052" s="95"/>
      <c r="AO2052" s="95"/>
      <c r="AP2052" s="95"/>
      <c r="AQ2052" s="95"/>
      <c r="AR2052" s="95"/>
      <c r="AS2052" s="95"/>
      <c r="AT2052" s="95"/>
      <c r="AU2052" s="95"/>
      <c r="AV2052" s="95"/>
      <c r="AW2052" s="95"/>
      <c r="AX2052" s="95"/>
      <c r="AY2052" s="95"/>
      <c r="AZ2052" s="95"/>
      <c r="BA2052" s="95"/>
    </row>
    <row r="2053" ht="15.75" hidden="1" customHeight="1" outlineLevel="1">
      <c r="A2053" s="318"/>
      <c r="B2053" s="38"/>
      <c r="C2053" s="174"/>
      <c r="D2053" s="174"/>
      <c r="E2053" s="174"/>
      <c r="F2053" s="174"/>
      <c r="G2053" s="174"/>
      <c r="H2053" s="174"/>
      <c r="I2053" s="174"/>
      <c r="J2053" s="174"/>
      <c r="K2053" s="174"/>
      <c r="L2053" s="174"/>
      <c r="M2053" s="174"/>
      <c r="N2053" s="174"/>
      <c r="O2053" s="174"/>
      <c r="P2053" s="174"/>
      <c r="Q2053" s="174"/>
      <c r="R2053" s="174"/>
      <c r="S2053" s="174"/>
      <c r="T2053" s="219">
        <f>IF($W$2030&gt;0,'Assumptions (Biomass)'!$V$14*Model!$W$2030*'Assumptions (Biomass)'!S$2/10^9,0)</f>
        <v>0</v>
      </c>
      <c r="U2053" s="219">
        <f>IF($W$2030&gt;0,'Assumptions (Biomass)'!$V$14*Model!$W$2030*'Assumptions (Biomass)'!T$2/10^9,0)</f>
        <v>0</v>
      </c>
      <c r="V2053" s="219">
        <f>IF($W$2030&gt;0,'Assumptions (Biomass)'!$V$14*Model!$W$2030*'Assumptions (Biomass)'!U$2/10^9,0)</f>
        <v>0</v>
      </c>
      <c r="W2053" s="177"/>
      <c r="X2053" s="177"/>
      <c r="Y2053" s="177"/>
      <c r="Z2053" s="177"/>
      <c r="AA2053" s="177"/>
      <c r="AB2053" s="177"/>
      <c r="AC2053" s="177"/>
      <c r="AD2053" s="177"/>
      <c r="AE2053" s="177"/>
      <c r="AF2053" s="177"/>
      <c r="AG2053" s="177"/>
      <c r="AH2053" s="177"/>
      <c r="AI2053" s="177"/>
      <c r="AJ2053" s="177"/>
      <c r="AK2053" s="177"/>
      <c r="AL2053" s="177"/>
      <c r="AM2053" s="177"/>
      <c r="AN2053" s="177"/>
      <c r="AO2053" s="177"/>
      <c r="AP2053" s="177"/>
      <c r="AQ2053" s="177"/>
      <c r="AR2053" s="177"/>
      <c r="AS2053" s="177"/>
      <c r="AT2053" s="177"/>
      <c r="AU2053" s="177"/>
      <c r="AV2053" s="177"/>
      <c r="AW2053" s="177"/>
      <c r="AX2053" s="177"/>
      <c r="AY2053" s="177"/>
      <c r="AZ2053" s="177"/>
      <c r="BA2053" s="177"/>
    </row>
    <row r="2054" ht="15.75" hidden="1" customHeight="1" outlineLevel="1">
      <c r="A2054" s="318"/>
      <c r="B2054" s="38"/>
      <c r="C2054" s="174"/>
      <c r="D2054" s="174"/>
      <c r="E2054" s="174"/>
      <c r="F2054" s="174"/>
      <c r="G2054" s="174"/>
      <c r="H2054" s="174"/>
      <c r="I2054" s="174"/>
      <c r="J2054" s="174"/>
      <c r="K2054" s="174"/>
      <c r="L2054" s="174"/>
      <c r="M2054" s="174"/>
      <c r="N2054" s="174"/>
      <c r="O2054" s="174"/>
      <c r="P2054" s="174"/>
      <c r="Q2054" s="174"/>
      <c r="R2054" s="174"/>
      <c r="S2054" s="174"/>
      <c r="T2054" s="174"/>
      <c r="U2054" s="219">
        <f>IF($X$2030&gt;0,'Assumptions (Biomass)'!$V$14*Model!$X$2030*'Assumptions (Biomass)'!T$2/10^9,0)</f>
        <v>0</v>
      </c>
      <c r="V2054" s="219">
        <f>IF($X$2030&gt;0,'Assumptions (Biomass)'!$V$14*Model!$X$2030*'Assumptions (Biomass)'!U$2/10^9,0)</f>
        <v>0</v>
      </c>
      <c r="W2054" s="219">
        <f>IF($X$2030&gt;0,'Assumptions (Biomass)'!$V$14*Model!$X$2030*'Assumptions (Biomass)'!V$2/10^9,0)</f>
        <v>0</v>
      </c>
      <c r="X2054" s="177"/>
      <c r="Y2054" s="177"/>
      <c r="Z2054" s="177"/>
      <c r="AA2054" s="177"/>
      <c r="AB2054" s="177"/>
      <c r="AC2054" s="177"/>
      <c r="AD2054" s="177"/>
      <c r="AE2054" s="177"/>
      <c r="AF2054" s="177"/>
      <c r="AG2054" s="177"/>
      <c r="AH2054" s="177"/>
      <c r="AI2054" s="177"/>
      <c r="AJ2054" s="177"/>
      <c r="AK2054" s="177"/>
      <c r="AL2054" s="177"/>
      <c r="AM2054" s="177"/>
      <c r="AN2054" s="177"/>
      <c r="AO2054" s="177"/>
      <c r="AP2054" s="177"/>
      <c r="AQ2054" s="177"/>
      <c r="AR2054" s="177"/>
      <c r="AS2054" s="177"/>
      <c r="AT2054" s="177"/>
      <c r="AU2054" s="177"/>
      <c r="AV2054" s="177"/>
      <c r="AW2054" s="177"/>
      <c r="AX2054" s="177"/>
      <c r="AY2054" s="177"/>
      <c r="AZ2054" s="177"/>
      <c r="BA2054" s="177"/>
    </row>
    <row r="2055" ht="15.75" hidden="1" customHeight="1" outlineLevel="1">
      <c r="A2055" s="318"/>
      <c r="B2055" s="38"/>
      <c r="C2055" s="174"/>
      <c r="D2055" s="174"/>
      <c r="E2055" s="174"/>
      <c r="F2055" s="174"/>
      <c r="G2055" s="174"/>
      <c r="H2055" s="174"/>
      <c r="I2055" s="174"/>
      <c r="J2055" s="174"/>
      <c r="K2055" s="174"/>
      <c r="L2055" s="174"/>
      <c r="M2055" s="174"/>
      <c r="N2055" s="174"/>
      <c r="O2055" s="174"/>
      <c r="P2055" s="174"/>
      <c r="Q2055" s="174"/>
      <c r="R2055" s="174"/>
      <c r="S2055" s="174"/>
      <c r="T2055" s="174"/>
      <c r="U2055" s="174"/>
      <c r="V2055" s="219">
        <f>IF($Y$2030&gt;0,'Assumptions (Biomass)'!$V$14*Model!$Y$2030*'Assumptions (Biomass)'!U$2/10^9,0)</f>
        <v>0</v>
      </c>
      <c r="W2055" s="219">
        <f>IF($Y$2030&gt;0,'Assumptions (Biomass)'!$V$14*Model!$Y$2030*'Assumptions (Biomass)'!V$2/10^9,0)</f>
        <v>0</v>
      </c>
      <c r="X2055" s="219">
        <f>IF($Y$2030&gt;0,'Assumptions (Biomass)'!$V$14*Model!$Y$2030*'Assumptions (Biomass)'!W$2/10^9,0)</f>
        <v>0</v>
      </c>
      <c r="Y2055" s="177"/>
      <c r="Z2055" s="177"/>
      <c r="AA2055" s="177"/>
      <c r="AB2055" s="177"/>
      <c r="AC2055" s="177"/>
      <c r="AD2055" s="177"/>
      <c r="AE2055" s="177"/>
      <c r="AF2055" s="177"/>
      <c r="AG2055" s="177"/>
      <c r="AH2055" s="177"/>
      <c r="AI2055" s="177"/>
      <c r="AJ2055" s="177"/>
      <c r="AK2055" s="177"/>
      <c r="AL2055" s="177"/>
      <c r="AM2055" s="177"/>
      <c r="AN2055" s="177"/>
      <c r="AO2055" s="177"/>
      <c r="AP2055" s="177"/>
      <c r="AQ2055" s="177"/>
      <c r="AR2055" s="177"/>
      <c r="AS2055" s="177"/>
      <c r="AT2055" s="177"/>
      <c r="AU2055" s="177"/>
      <c r="AV2055" s="177"/>
      <c r="AW2055" s="177"/>
      <c r="AX2055" s="177"/>
      <c r="AY2055" s="177"/>
      <c r="AZ2055" s="177"/>
      <c r="BA2055" s="177"/>
    </row>
    <row r="2056" ht="15.75" hidden="1" customHeight="1" outlineLevel="1">
      <c r="A2056" s="318"/>
      <c r="B2056" s="38"/>
      <c r="C2056" s="174"/>
      <c r="D2056" s="174"/>
      <c r="E2056" s="174"/>
      <c r="F2056" s="174"/>
      <c r="G2056" s="174"/>
      <c r="H2056" s="174"/>
      <c r="I2056" s="174"/>
      <c r="J2056" s="174"/>
      <c r="K2056" s="174"/>
      <c r="L2056" s="174"/>
      <c r="M2056" s="174"/>
      <c r="N2056" s="174"/>
      <c r="O2056" s="174"/>
      <c r="P2056" s="174"/>
      <c r="Q2056" s="174"/>
      <c r="R2056" s="174"/>
      <c r="S2056" s="174"/>
      <c r="T2056" s="174"/>
      <c r="U2056" s="174"/>
      <c r="V2056" s="174"/>
      <c r="W2056" s="177">
        <f>IF($Z$2030&gt;0,'Assumptions (Biomass)'!$V$14*Model!$Z$2030*'Assumptions (Biomass)'!V$2/10^9,0)</f>
        <v>0</v>
      </c>
      <c r="X2056" s="177">
        <f>IF($Z$2030&gt;0,'Assumptions (Biomass)'!$V$14*Model!$Z$2030*'Assumptions (Biomass)'!W$2/10^9,0)</f>
        <v>0</v>
      </c>
      <c r="Y2056" s="177">
        <f>IF($Z$2030&gt;0,'Assumptions (Biomass)'!$V$14*Model!$Z$2030*'Assumptions (Biomass)'!X$2/10^9,0)</f>
        <v>0</v>
      </c>
      <c r="Z2056" s="177"/>
      <c r="AA2056" s="177"/>
      <c r="AB2056" s="177"/>
      <c r="AC2056" s="177"/>
      <c r="AD2056" s="177"/>
      <c r="AE2056" s="177"/>
      <c r="AF2056" s="177"/>
      <c r="AG2056" s="177"/>
      <c r="AH2056" s="177"/>
      <c r="AI2056" s="177"/>
      <c r="AJ2056" s="177"/>
      <c r="AK2056" s="177"/>
      <c r="AL2056" s="177"/>
      <c r="AM2056" s="177"/>
      <c r="AN2056" s="177"/>
      <c r="AO2056" s="177"/>
      <c r="AP2056" s="177"/>
      <c r="AQ2056" s="177"/>
      <c r="AR2056" s="177"/>
      <c r="AS2056" s="177"/>
      <c r="AT2056" s="177"/>
      <c r="AU2056" s="177"/>
      <c r="AV2056" s="177"/>
      <c r="AW2056" s="177"/>
      <c r="AX2056" s="177"/>
      <c r="AY2056" s="177"/>
      <c r="AZ2056" s="177"/>
      <c r="BA2056" s="177"/>
    </row>
    <row r="2057" ht="15.75" hidden="1" customHeight="1" outlineLevel="1">
      <c r="A2057" s="318"/>
      <c r="B2057" s="38"/>
      <c r="C2057" s="174"/>
      <c r="D2057" s="174"/>
      <c r="E2057" s="174"/>
      <c r="F2057" s="174"/>
      <c r="G2057" s="174"/>
      <c r="H2057" s="174"/>
      <c r="I2057" s="174"/>
      <c r="J2057" s="174"/>
      <c r="K2057" s="174"/>
      <c r="L2057" s="174"/>
      <c r="M2057" s="174"/>
      <c r="N2057" s="174"/>
      <c r="O2057" s="174"/>
      <c r="P2057" s="174"/>
      <c r="Q2057" s="174"/>
      <c r="R2057" s="174"/>
      <c r="S2057" s="174"/>
      <c r="T2057" s="174"/>
      <c r="U2057" s="174"/>
      <c r="V2057" s="174"/>
      <c r="W2057" s="177"/>
      <c r="X2057" s="177">
        <f>IF($AA$2030&gt;0,'Assumptions (Biomass)'!$V$14*Model!$AA$2030*'Assumptions (Biomass)'!W$2/10^9,0)</f>
        <v>0</v>
      </c>
      <c r="Y2057" s="177">
        <f>IF($AA$2030&gt;0,'Assumptions (Biomass)'!$V$14*Model!$AA$2030*'Assumptions (Biomass)'!X$2/10^9,0)</f>
        <v>0</v>
      </c>
      <c r="Z2057" s="177">
        <f>IF($AA$2030&gt;0,'Assumptions (Biomass)'!$V$14*Model!$AA$2030*'Assumptions (Biomass)'!Y$2/10^9,0)</f>
        <v>0</v>
      </c>
      <c r="AA2057" s="177"/>
      <c r="AB2057" s="177"/>
      <c r="AC2057" s="177"/>
      <c r="AD2057" s="177"/>
      <c r="AE2057" s="177"/>
      <c r="AF2057" s="177"/>
      <c r="AG2057" s="177"/>
      <c r="AH2057" s="177"/>
      <c r="AI2057" s="177"/>
      <c r="AJ2057" s="177"/>
      <c r="AK2057" s="177"/>
      <c r="AL2057" s="177"/>
      <c r="AM2057" s="177"/>
      <c r="AN2057" s="177"/>
      <c r="AO2057" s="177"/>
      <c r="AP2057" s="177"/>
      <c r="AQ2057" s="177"/>
      <c r="AR2057" s="177"/>
      <c r="AS2057" s="177"/>
      <c r="AT2057" s="177"/>
      <c r="AU2057" s="177"/>
      <c r="AV2057" s="177"/>
      <c r="AW2057" s="177"/>
      <c r="AX2057" s="177"/>
      <c r="AY2057" s="177"/>
      <c r="AZ2057" s="177"/>
      <c r="BA2057" s="177"/>
    </row>
    <row r="2058" ht="15.75" hidden="1" customHeight="1" outlineLevel="1">
      <c r="A2058" s="318"/>
      <c r="B2058" s="38"/>
      <c r="C2058" s="174"/>
      <c r="D2058" s="174"/>
      <c r="E2058" s="174"/>
      <c r="F2058" s="174"/>
      <c r="G2058" s="174"/>
      <c r="H2058" s="174"/>
      <c r="I2058" s="174"/>
      <c r="J2058" s="174"/>
      <c r="K2058" s="174"/>
      <c r="L2058" s="174"/>
      <c r="M2058" s="174"/>
      <c r="N2058" s="174"/>
      <c r="O2058" s="174"/>
      <c r="P2058" s="174"/>
      <c r="Q2058" s="174"/>
      <c r="R2058" s="174"/>
      <c r="S2058" s="174"/>
      <c r="T2058" s="174"/>
      <c r="U2058" s="174"/>
      <c r="V2058" s="174"/>
      <c r="W2058" s="139"/>
      <c r="Y2058" s="177">
        <f>IF($AB$2030&gt;0,'Assumptions (Biomass)'!$V$14*Model!$AB$2030*'Assumptions (Biomass)'!X$2/10^9,0)</f>
        <v>0</v>
      </c>
      <c r="Z2058" s="177">
        <f>IF($AB$2030&gt;0,'Assumptions (Biomass)'!$V$14*Model!$AB$2030*'Assumptions (Biomass)'!Y$2/10^9,0)</f>
        <v>0</v>
      </c>
      <c r="AA2058" s="177">
        <f>IF($AB$2030&gt;0,'Assumptions (Biomass)'!$V$14*Model!$AB$2030*'Assumptions (Biomass)'!Z$2/10^9,0)</f>
        <v>0</v>
      </c>
    </row>
    <row r="2059" ht="15.75" hidden="1" customHeight="1" outlineLevel="1">
      <c r="A2059" s="318"/>
      <c r="B2059" s="38"/>
      <c r="C2059" s="174"/>
      <c r="D2059" s="174"/>
      <c r="E2059" s="174"/>
      <c r="F2059" s="174"/>
      <c r="G2059" s="174"/>
      <c r="H2059" s="174"/>
      <c r="I2059" s="174"/>
      <c r="J2059" s="174"/>
      <c r="K2059" s="174"/>
      <c r="L2059" s="174"/>
      <c r="M2059" s="174"/>
      <c r="N2059" s="174"/>
      <c r="O2059" s="174"/>
      <c r="P2059" s="174"/>
      <c r="Q2059" s="174"/>
      <c r="R2059" s="174"/>
      <c r="S2059" s="174"/>
      <c r="T2059" s="174"/>
      <c r="U2059" s="174"/>
      <c r="V2059" s="174"/>
      <c r="W2059" s="139"/>
      <c r="Z2059" s="177">
        <f>IF($AC$2030&gt;0,'Assumptions (Biomass)'!$V$14*Model!$AC$2030*'Assumptions (Biomass)'!Y$2/10^9,0)</f>
        <v>0</v>
      </c>
      <c r="AA2059" s="177">
        <f>IF($AC$2030&gt;0,'Assumptions (Biomass)'!$V$14*Model!$AC$2030*'Assumptions (Biomass)'!Z$2/10^9,0)</f>
        <v>0</v>
      </c>
      <c r="AB2059" s="177">
        <f>IF($AC$2030&gt;0,'Assumptions (Biomass)'!$V$14*Model!$AC$2030*'Assumptions (Biomass)'!AA$2/10^9,0)</f>
        <v>0</v>
      </c>
    </row>
    <row r="2060" ht="15.75" hidden="1" customHeight="1" outlineLevel="1">
      <c r="A2060" s="318"/>
      <c r="B2060" s="38"/>
      <c r="C2060" s="174"/>
      <c r="D2060" s="174"/>
      <c r="E2060" s="174"/>
      <c r="F2060" s="174"/>
      <c r="G2060" s="174"/>
      <c r="H2060" s="174"/>
      <c r="I2060" s="174"/>
      <c r="J2060" s="174"/>
      <c r="K2060" s="174"/>
      <c r="L2060" s="174"/>
      <c r="M2060" s="174"/>
      <c r="N2060" s="174"/>
      <c r="O2060" s="174"/>
      <c r="P2060" s="174"/>
      <c r="Q2060" s="174"/>
      <c r="R2060" s="174"/>
      <c r="S2060" s="174"/>
      <c r="T2060" s="174"/>
      <c r="U2060" s="174"/>
      <c r="V2060" s="174"/>
      <c r="W2060" s="139"/>
      <c r="AA2060" s="177">
        <f>IF($AD$2030&gt;0,'Assumptions (Biomass)'!$V$14*Model!$AD$2030*'Assumptions (Biomass)'!Z$2/10^9,0)</f>
        <v>0</v>
      </c>
      <c r="AB2060" s="177">
        <f>IF($AD$2030&gt;0,'Assumptions (Biomass)'!$V$14*Model!$AD$2030*'Assumptions (Biomass)'!AA$2/10^9,0)</f>
        <v>0</v>
      </c>
      <c r="AC2060" s="177">
        <f>IF($AD$2030&gt;0,'Assumptions (Biomass)'!$V$14*Model!$AD$2030*'Assumptions (Biomass)'!AB$2/10^9,0)</f>
        <v>0</v>
      </c>
    </row>
    <row r="2061" ht="15.75" hidden="1" customHeight="1" outlineLevel="1">
      <c r="A2061" s="318"/>
      <c r="B2061" s="38"/>
      <c r="C2061" s="174"/>
      <c r="D2061" s="174"/>
      <c r="E2061" s="174"/>
      <c r="F2061" s="174"/>
      <c r="G2061" s="174"/>
      <c r="H2061" s="174"/>
      <c r="I2061" s="174"/>
      <c r="J2061" s="174"/>
      <c r="K2061" s="174"/>
      <c r="L2061" s="174"/>
      <c r="M2061" s="174"/>
      <c r="N2061" s="174"/>
      <c r="O2061" s="174"/>
      <c r="P2061" s="174"/>
      <c r="Q2061" s="174"/>
      <c r="R2061" s="174"/>
      <c r="S2061" s="174"/>
      <c r="T2061" s="174"/>
      <c r="U2061" s="174"/>
      <c r="V2061" s="174"/>
      <c r="W2061" s="139"/>
      <c r="AB2061" s="177">
        <f>IF($AE$2030&gt;0,'Assumptions (Biomass)'!$V$14*Model!$AE$2030*'Assumptions (Biomass)'!AA$2/10^9,0)</f>
        <v>0</v>
      </c>
      <c r="AC2061" s="177">
        <f>IF($AE$2030&gt;0,'Assumptions (Biomass)'!$V$14*Model!$AE$2030*'Assumptions (Biomass)'!AB$2/10^9,0)</f>
        <v>0</v>
      </c>
      <c r="AD2061" s="177">
        <f>IF($AE$2030&gt;0,'Assumptions (Biomass)'!$V$14*Model!$AE$2030*'Assumptions (Biomass)'!AC$2/10^9,0)</f>
        <v>0</v>
      </c>
    </row>
    <row r="2062" ht="15.75" hidden="1" customHeight="1" outlineLevel="1">
      <c r="A2062" s="318"/>
      <c r="B2062" s="38"/>
      <c r="C2062" s="174"/>
      <c r="D2062" s="174"/>
      <c r="E2062" s="174"/>
      <c r="F2062" s="174"/>
      <c r="G2062" s="174"/>
      <c r="H2062" s="174"/>
      <c r="I2062" s="174"/>
      <c r="J2062" s="174"/>
      <c r="K2062" s="174"/>
      <c r="L2062" s="174"/>
      <c r="M2062" s="174"/>
      <c r="N2062" s="174"/>
      <c r="O2062" s="174"/>
      <c r="P2062" s="174"/>
      <c r="Q2062" s="174"/>
      <c r="R2062" s="174"/>
      <c r="S2062" s="174"/>
      <c r="T2062" s="174"/>
      <c r="U2062" s="174"/>
      <c r="V2062" s="174"/>
      <c r="W2062" s="139"/>
      <c r="AC2062" s="177">
        <f>IF($AF$2030&gt;0,'Assumptions (Biomass)'!$V$14*Model!$AF$2030*'Assumptions (Biomass)'!AB$2/10^9,0)</f>
        <v>0</v>
      </c>
      <c r="AD2062" s="177">
        <f>IF($AF$2030&gt;0,'Assumptions (Biomass)'!$V$14*Model!$AF$2030*'Assumptions (Biomass)'!AC$2/10^9,0)</f>
        <v>0</v>
      </c>
      <c r="AE2062" s="177">
        <f>IF($AF$2030&gt;0,'Assumptions (Biomass)'!$V$14*Model!$AF$2030*'Assumptions (Biomass)'!AD$2/10^9,0)</f>
        <v>0</v>
      </c>
    </row>
    <row r="2063" ht="15.75" hidden="1" customHeight="1" outlineLevel="1">
      <c r="A2063" s="318"/>
      <c r="B2063" s="38"/>
      <c r="C2063" s="174"/>
      <c r="D2063" s="174"/>
      <c r="E2063" s="174"/>
      <c r="F2063" s="174"/>
      <c r="G2063" s="174"/>
      <c r="H2063" s="174"/>
      <c r="I2063" s="174"/>
      <c r="J2063" s="174"/>
      <c r="K2063" s="174"/>
      <c r="L2063" s="174"/>
      <c r="M2063" s="174"/>
      <c r="N2063" s="174"/>
      <c r="O2063" s="174"/>
      <c r="P2063" s="174"/>
      <c r="Q2063" s="174"/>
      <c r="R2063" s="174"/>
      <c r="S2063" s="174"/>
      <c r="T2063" s="174"/>
      <c r="U2063" s="174"/>
      <c r="V2063" s="174"/>
      <c r="W2063" s="139"/>
      <c r="AD2063" s="177">
        <f>IF($AG$2030&gt;0,'Assumptions (Biomass)'!$V$14*Model!$AG$2030*'Assumptions (Biomass)'!AC$2/10^9,0)</f>
        <v>0</v>
      </c>
      <c r="AE2063" s="177">
        <f>IF($AG$2030&gt;0,'Assumptions (Biomass)'!$V$14*Model!$AG$2030*'Assumptions (Biomass)'!AD$2/10^9,0)</f>
        <v>0</v>
      </c>
      <c r="AF2063" s="177">
        <f>IF($AG$2030&gt;0,'Assumptions (Biomass)'!$V$14*Model!$AG$2030*'Assumptions (Biomass)'!AE$2/10^9,0)</f>
        <v>0</v>
      </c>
    </row>
    <row r="2064" ht="15.75" hidden="1" customHeight="1" outlineLevel="1">
      <c r="A2064" s="318"/>
      <c r="B2064" s="38"/>
      <c r="C2064" s="174"/>
      <c r="D2064" s="174"/>
      <c r="E2064" s="174"/>
      <c r="F2064" s="174"/>
      <c r="G2064" s="174"/>
      <c r="H2064" s="174"/>
      <c r="I2064" s="174"/>
      <c r="J2064" s="174"/>
      <c r="K2064" s="174"/>
      <c r="L2064" s="174"/>
      <c r="M2064" s="174"/>
      <c r="N2064" s="174"/>
      <c r="O2064" s="174"/>
      <c r="P2064" s="174"/>
      <c r="Q2064" s="174"/>
      <c r="R2064" s="174"/>
      <c r="S2064" s="174"/>
      <c r="T2064" s="174"/>
      <c r="U2064" s="174"/>
      <c r="V2064" s="174"/>
      <c r="W2064" s="139"/>
      <c r="AE2064" s="177">
        <f>IF($AH$2030&gt;0,'Assumptions (Biomass)'!$V$14*Model!$AH$2030*'Assumptions (Biomass)'!AD$2/10^9,0)</f>
        <v>0</v>
      </c>
      <c r="AF2064" s="177">
        <f>IF($AH$2030&gt;0,'Assumptions (Biomass)'!$V$14*Model!$AH$2030*'Assumptions (Biomass)'!AE$2/10^9,0)</f>
        <v>0</v>
      </c>
      <c r="AG2064" s="177">
        <f>IF($AH$2030&gt;0,'Assumptions (Biomass)'!$V$14*Model!$AH$2030*'Assumptions (Biomass)'!AF$2/10^9,0)</f>
        <v>0</v>
      </c>
    </row>
    <row r="2065" ht="15.75" hidden="1" customHeight="1" outlineLevel="1">
      <c r="A2065" s="318"/>
      <c r="B2065" s="38"/>
      <c r="C2065" s="174"/>
      <c r="D2065" s="174"/>
      <c r="E2065" s="174"/>
      <c r="F2065" s="174"/>
      <c r="G2065" s="174"/>
      <c r="H2065" s="174"/>
      <c r="I2065" s="174"/>
      <c r="J2065" s="174"/>
      <c r="K2065" s="174"/>
      <c r="L2065" s="174"/>
      <c r="M2065" s="174"/>
      <c r="N2065" s="174"/>
      <c r="O2065" s="174"/>
      <c r="P2065" s="174"/>
      <c r="Q2065" s="174"/>
      <c r="R2065" s="174"/>
      <c r="S2065" s="174"/>
      <c r="T2065" s="174"/>
      <c r="U2065" s="174"/>
      <c r="V2065" s="174"/>
      <c r="W2065" s="139"/>
      <c r="AF2065" s="177">
        <f>IF($AI$2030&gt;0,'Assumptions (Biomass)'!$V$14*Model!$AI$2030*'Assumptions (Biomass)'!AE$2/10^9,0)</f>
        <v>0</v>
      </c>
      <c r="AG2065" s="177">
        <f>IF($AI$2030&gt;0,'Assumptions (Biomass)'!$V$14*Model!$AI$2030*'Assumptions (Biomass)'!AF$2/10^9,0)</f>
        <v>0</v>
      </c>
      <c r="AH2065" s="177">
        <f>IF($AI$2030&gt;0,'Assumptions (Biomass)'!$V$14*Model!$AI$2030*'Assumptions (Biomass)'!AG$2/10^9,0)</f>
        <v>0</v>
      </c>
    </row>
    <row r="2066" ht="15.75" hidden="1" customHeight="1" outlineLevel="1">
      <c r="A2066" s="318"/>
      <c r="B2066" s="38"/>
      <c r="C2066" s="174"/>
      <c r="D2066" s="174"/>
      <c r="E2066" s="174"/>
      <c r="F2066" s="174"/>
      <c r="G2066" s="174"/>
      <c r="H2066" s="174"/>
      <c r="I2066" s="174"/>
      <c r="J2066" s="174"/>
      <c r="K2066" s="174"/>
      <c r="L2066" s="174"/>
      <c r="M2066" s="174"/>
      <c r="N2066" s="174"/>
      <c r="O2066" s="174"/>
      <c r="P2066" s="174"/>
      <c r="Q2066" s="174"/>
      <c r="R2066" s="174"/>
      <c r="S2066" s="174"/>
      <c r="T2066" s="174"/>
      <c r="U2066" s="174"/>
      <c r="V2066" s="174"/>
      <c r="W2066" s="139"/>
      <c r="AG2066" s="177">
        <f>IF($AJ$2030&gt;0,'Assumptions (Biomass)'!$V$14*Model!$AJ$2030*'Assumptions (Biomass)'!AF$2/10^9,0)</f>
        <v>0</v>
      </c>
      <c r="AH2066" s="177">
        <f>IF($AJ$2030&gt;0,'Assumptions (Biomass)'!$V$14*Model!$AJ$2030*'Assumptions (Biomass)'!AG$2/10^9,0)</f>
        <v>0</v>
      </c>
      <c r="AI2066" s="177">
        <f>IF($AJ$2030&gt;0,'Assumptions (Biomass)'!$V$14*Model!$AJ$2030*'Assumptions (Biomass)'!AH$2/10^9,0)</f>
        <v>0</v>
      </c>
    </row>
    <row r="2067" ht="15.75" hidden="1" customHeight="1" outlineLevel="1">
      <c r="A2067" s="318"/>
      <c r="B2067" s="38"/>
      <c r="C2067" s="174"/>
      <c r="D2067" s="174"/>
      <c r="E2067" s="174"/>
      <c r="F2067" s="174"/>
      <c r="G2067" s="174"/>
      <c r="H2067" s="174"/>
      <c r="I2067" s="174"/>
      <c r="J2067" s="174"/>
      <c r="K2067" s="174"/>
      <c r="L2067" s="174"/>
      <c r="M2067" s="174"/>
      <c r="N2067" s="174"/>
      <c r="O2067" s="174"/>
      <c r="P2067" s="174"/>
      <c r="Q2067" s="174"/>
      <c r="R2067" s="174"/>
      <c r="S2067" s="174"/>
      <c r="T2067" s="174"/>
      <c r="U2067" s="174"/>
      <c r="V2067" s="174"/>
      <c r="W2067" s="139"/>
      <c r="AH2067" s="177">
        <f>IF($AK$2030&gt;0,'Assumptions (Biomass)'!$V$14*Model!$AK$2030*'Assumptions (Biomass)'!AG$2/10^9,0)</f>
        <v>0</v>
      </c>
      <c r="AI2067" s="177">
        <f>IF($AK$2030&gt;0,'Assumptions (Biomass)'!$V$14*Model!$AK$2030*'Assumptions (Biomass)'!AH$2/10^9,0)</f>
        <v>0</v>
      </c>
      <c r="AJ2067" s="177">
        <f>IF($AK$2030&gt;0,'Assumptions (Biomass)'!$V$14*Model!$AK$2030*'Assumptions (Biomass)'!AI$2/10^9,0)</f>
        <v>0</v>
      </c>
    </row>
    <row r="2068" ht="15.75" hidden="1" customHeight="1" outlineLevel="1">
      <c r="A2068" s="318"/>
      <c r="B2068" s="38"/>
      <c r="C2068" s="174"/>
      <c r="D2068" s="174"/>
      <c r="E2068" s="174"/>
      <c r="F2068" s="174"/>
      <c r="G2068" s="174"/>
      <c r="H2068" s="174"/>
      <c r="I2068" s="174"/>
      <c r="J2068" s="174"/>
      <c r="K2068" s="174"/>
      <c r="L2068" s="174"/>
      <c r="M2068" s="174"/>
      <c r="N2068" s="174"/>
      <c r="O2068" s="174"/>
      <c r="P2068" s="174"/>
      <c r="Q2068" s="174"/>
      <c r="R2068" s="174"/>
      <c r="S2068" s="174"/>
      <c r="T2068" s="174"/>
      <c r="U2068" s="174"/>
      <c r="V2068" s="174"/>
      <c r="W2068" s="139"/>
      <c r="AI2068" s="177">
        <f>IF($AL$2030&gt;0,'Assumptions (Biomass)'!$V$14*Model!$AL$2030*'Assumptions (Biomass)'!AH$2/10^9,0)</f>
        <v>0</v>
      </c>
      <c r="AJ2068" s="177">
        <f>IF($AL$2030&gt;0,'Assumptions (Biomass)'!$V$14*Model!$AL$2030*'Assumptions (Biomass)'!AI$2/10^9,0)</f>
        <v>0</v>
      </c>
      <c r="AK2068" s="177">
        <f>IF($AL$2030&gt;0,'Assumptions (Biomass)'!$V$14*Model!$AL$2030*'Assumptions (Biomass)'!AJ$2/10^9,0)</f>
        <v>0</v>
      </c>
    </row>
    <row r="2069" ht="15.75" hidden="1" customHeight="1" outlineLevel="1">
      <c r="A2069" s="318"/>
      <c r="B2069" s="38"/>
      <c r="C2069" s="174"/>
      <c r="D2069" s="174"/>
      <c r="E2069" s="174"/>
      <c r="F2069" s="174"/>
      <c r="G2069" s="174"/>
      <c r="H2069" s="174"/>
      <c r="I2069" s="174"/>
      <c r="J2069" s="174"/>
      <c r="K2069" s="174"/>
      <c r="L2069" s="174"/>
      <c r="M2069" s="174"/>
      <c r="N2069" s="174"/>
      <c r="O2069" s="174"/>
      <c r="P2069" s="174"/>
      <c r="Q2069" s="174"/>
      <c r="R2069" s="174"/>
      <c r="S2069" s="174"/>
      <c r="T2069" s="174"/>
      <c r="U2069" s="174"/>
      <c r="V2069" s="174"/>
      <c r="W2069" s="139"/>
      <c r="AJ2069" s="177">
        <f>IF($AM$2030&gt;0,'Assumptions (Biomass)'!$V$14*Model!$AM$2030*'Assumptions (Biomass)'!AI$2/10^9,0)</f>
        <v>0</v>
      </c>
      <c r="AK2069" s="177">
        <f>IF($AM$2030&gt;0,'Assumptions (Biomass)'!$V$14*Model!$AM$2030*'Assumptions (Biomass)'!AJ$2/10^9,0)</f>
        <v>0</v>
      </c>
      <c r="AL2069" s="177">
        <f>IF($AM$2030&gt;0,'Assumptions (Biomass)'!$V$14*Model!$AM$2030*'Assumptions (Biomass)'!AK$2/10^9,0)</f>
        <v>0</v>
      </c>
    </row>
    <row r="2070" ht="15.75" hidden="1" customHeight="1" outlineLevel="1">
      <c r="A2070" s="318"/>
      <c r="B2070" s="38"/>
      <c r="C2070" s="174"/>
      <c r="D2070" s="174"/>
      <c r="E2070" s="174"/>
      <c r="F2070" s="174"/>
      <c r="G2070" s="174"/>
      <c r="H2070" s="174"/>
      <c r="I2070" s="174"/>
      <c r="J2070" s="174"/>
      <c r="K2070" s="174"/>
      <c r="L2070" s="174"/>
      <c r="M2070" s="174"/>
      <c r="N2070" s="174"/>
      <c r="O2070" s="174"/>
      <c r="P2070" s="174"/>
      <c r="Q2070" s="174"/>
      <c r="R2070" s="174"/>
      <c r="S2070" s="174"/>
      <c r="T2070" s="174"/>
      <c r="U2070" s="174"/>
      <c r="V2070" s="174"/>
      <c r="W2070" s="139"/>
      <c r="AK2070" s="177">
        <f>IF($AN$2030&gt;0,'Assumptions (Biomass)'!$V$14*Model!$AN$2030*'Assumptions (Biomass)'!AJ$2/10^9,0)</f>
        <v>0</v>
      </c>
      <c r="AL2070" s="177">
        <f>IF($AN$2030&gt;0,'Assumptions (Biomass)'!$V$14*Model!$AN$2030*'Assumptions (Biomass)'!AK$2/10^9,0)</f>
        <v>0</v>
      </c>
      <c r="AM2070" s="177">
        <f>IF($AN$2030&gt;0,'Assumptions (Biomass)'!$V$14*Model!$AN$2030*'Assumptions (Biomass)'!AL$2/10^9,0)</f>
        <v>0</v>
      </c>
    </row>
    <row r="2071" ht="15.75" hidden="1" customHeight="1" outlineLevel="1">
      <c r="A2071" s="318"/>
      <c r="B2071" s="38"/>
      <c r="C2071" s="174"/>
      <c r="D2071" s="174"/>
      <c r="E2071" s="174"/>
      <c r="F2071" s="174"/>
      <c r="G2071" s="174"/>
      <c r="H2071" s="174"/>
      <c r="I2071" s="174"/>
      <c r="J2071" s="174"/>
      <c r="K2071" s="174"/>
      <c r="L2071" s="174"/>
      <c r="M2071" s="174"/>
      <c r="N2071" s="174"/>
      <c r="O2071" s="174"/>
      <c r="P2071" s="174"/>
      <c r="Q2071" s="174"/>
      <c r="R2071" s="174"/>
      <c r="S2071" s="174"/>
      <c r="T2071" s="174"/>
      <c r="U2071" s="174"/>
      <c r="V2071" s="174"/>
      <c r="W2071" s="139"/>
      <c r="AL2071" s="177">
        <f>IF($AO$2030&gt;0,'Assumptions (Biomass)'!$V$14*Model!$AO$2030*'Assumptions (Biomass)'!AK$2/10^9,0)</f>
        <v>0</v>
      </c>
      <c r="AM2071" s="177">
        <f>IF($AO$2030&gt;0,'Assumptions (Biomass)'!$V$14*Model!$AO$2030*'Assumptions (Biomass)'!AL$2/10^9,0)</f>
        <v>0</v>
      </c>
      <c r="AN2071" s="177">
        <f>IF($AO$2030&gt;0,'Assumptions (Biomass)'!$V$14*Model!$AO$2030*'Assumptions (Biomass)'!AM$2/10^9,0)</f>
        <v>0</v>
      </c>
    </row>
    <row r="2072" ht="15.75" hidden="1" customHeight="1" outlineLevel="1">
      <c r="A2072" s="318"/>
      <c r="B2072" s="38"/>
      <c r="C2072" s="174"/>
      <c r="D2072" s="174"/>
      <c r="E2072" s="174"/>
      <c r="F2072" s="174"/>
      <c r="G2072" s="174"/>
      <c r="H2072" s="174"/>
      <c r="I2072" s="174"/>
      <c r="J2072" s="174"/>
      <c r="K2072" s="174"/>
      <c r="L2072" s="174"/>
      <c r="M2072" s="174"/>
      <c r="N2072" s="174"/>
      <c r="O2072" s="174"/>
      <c r="P2072" s="174"/>
      <c r="Q2072" s="174"/>
      <c r="R2072" s="174"/>
      <c r="S2072" s="174"/>
      <c r="T2072" s="174"/>
      <c r="U2072" s="174"/>
      <c r="V2072" s="174"/>
      <c r="W2072" s="139"/>
      <c r="AM2072" s="177">
        <f>IF($AP$2030&gt;0,'Assumptions (Biomass)'!$V$14*Model!$AP$2030*'Assumptions (Biomass)'!AL$2/10^9,0)</f>
        <v>0</v>
      </c>
      <c r="AN2072" s="177">
        <f>IF($AP$2030&gt;0,'Assumptions (Biomass)'!$V$14*Model!$AP$2030*'Assumptions (Biomass)'!AM$2/10^9,0)</f>
        <v>0</v>
      </c>
      <c r="AO2072" s="177">
        <f>IF($AP$2030&gt;0,'Assumptions (Biomass)'!$V$14*Model!$AP$2030*'Assumptions (Biomass)'!AN$2/10^9,0)</f>
        <v>0</v>
      </c>
    </row>
    <row r="2073" ht="15.75" hidden="1" customHeight="1" outlineLevel="1">
      <c r="A2073" s="318"/>
      <c r="B2073" s="38"/>
      <c r="C2073" s="174"/>
      <c r="D2073" s="174"/>
      <c r="E2073" s="174"/>
      <c r="F2073" s="174"/>
      <c r="G2073" s="174"/>
      <c r="H2073" s="174"/>
      <c r="I2073" s="174"/>
      <c r="J2073" s="174"/>
      <c r="K2073" s="174"/>
      <c r="L2073" s="174"/>
      <c r="M2073" s="174"/>
      <c r="N2073" s="174"/>
      <c r="O2073" s="174"/>
      <c r="P2073" s="174"/>
      <c r="Q2073" s="174"/>
      <c r="R2073" s="174"/>
      <c r="S2073" s="174"/>
      <c r="T2073" s="174"/>
      <c r="U2073" s="174"/>
      <c r="V2073" s="174"/>
      <c r="W2073" s="139"/>
      <c r="AN2073" s="177">
        <f>IF($AQ$2030&gt;0,'Assumptions (Biomass)'!$V$14*Model!$AQ$2030*'Assumptions (Biomass)'!AM$2/10^9,0)</f>
        <v>0</v>
      </c>
      <c r="AO2073" s="177">
        <f>IF($AQ$2030&gt;0,'Assumptions (Biomass)'!$V$14*Model!$AQ$2030*'Assumptions (Biomass)'!AN$2/10^9,0)</f>
        <v>0</v>
      </c>
      <c r="AP2073" s="177">
        <f>IF($AQ$2030&gt;0,'Assumptions (Biomass)'!$V$14*Model!$AQ$2030*'Assumptions (Biomass)'!AO$2/10^9,0)</f>
        <v>0</v>
      </c>
    </row>
    <row r="2074" ht="15.75" hidden="1" customHeight="1" outlineLevel="1">
      <c r="A2074" s="318"/>
      <c r="B2074" s="38"/>
      <c r="C2074" s="174"/>
      <c r="D2074" s="174"/>
      <c r="E2074" s="174"/>
      <c r="F2074" s="174"/>
      <c r="G2074" s="174"/>
      <c r="H2074" s="174"/>
      <c r="I2074" s="174"/>
      <c r="J2074" s="174"/>
      <c r="K2074" s="174"/>
      <c r="L2074" s="174"/>
      <c r="M2074" s="174"/>
      <c r="N2074" s="174"/>
      <c r="O2074" s="174"/>
      <c r="P2074" s="174"/>
      <c r="Q2074" s="174"/>
      <c r="R2074" s="174"/>
      <c r="S2074" s="174"/>
      <c r="T2074" s="174"/>
      <c r="U2074" s="174"/>
      <c r="V2074" s="174"/>
      <c r="W2074" s="139"/>
      <c r="AO2074" s="177">
        <f>IF($AR$2030&gt;0,'Assumptions (Biomass)'!$V$14*Model!$AR$2030*'Assumptions (Biomass)'!AN$2/10^9,0)</f>
        <v>0</v>
      </c>
      <c r="AP2074" s="177">
        <f>IF($AR$2030&gt;0,'Assumptions (Biomass)'!$V$14*Model!$AR$2030*'Assumptions (Biomass)'!AO$2/10^9,0)</f>
        <v>0</v>
      </c>
      <c r="AQ2074" s="177">
        <f>IF($AR$2030&gt;0,'Assumptions (Biomass)'!$V$14*Model!$AR$2030*'Assumptions (Biomass)'!AP$2/10^9,0)</f>
        <v>0</v>
      </c>
    </row>
    <row r="2075" ht="15.75" hidden="1" customHeight="1" outlineLevel="1">
      <c r="A2075" s="318"/>
      <c r="B2075" s="38"/>
      <c r="C2075" s="174"/>
      <c r="D2075" s="174"/>
      <c r="E2075" s="174"/>
      <c r="F2075" s="174"/>
      <c r="G2075" s="174"/>
      <c r="H2075" s="174"/>
      <c r="I2075" s="174"/>
      <c r="J2075" s="174"/>
      <c r="K2075" s="174"/>
      <c r="L2075" s="174"/>
      <c r="M2075" s="174"/>
      <c r="N2075" s="174"/>
      <c r="O2075" s="174"/>
      <c r="P2075" s="174"/>
      <c r="Q2075" s="174"/>
      <c r="R2075" s="174"/>
      <c r="S2075" s="174"/>
      <c r="T2075" s="174"/>
      <c r="U2075" s="174"/>
      <c r="V2075" s="174"/>
      <c r="W2075" s="139"/>
      <c r="AP2075" s="177">
        <f>IF($AS$2030&gt;0,'Assumptions (Biomass)'!$V$14*Model!$AS$2030*'Assumptions (Biomass)'!AO$2/10^9,0)</f>
        <v>0</v>
      </c>
      <c r="AQ2075" s="177">
        <f>IF($AS$2030&gt;0,'Assumptions (Biomass)'!$V$14*Model!$AS$2030*'Assumptions (Biomass)'!AP$2/10^9,0)</f>
        <v>0</v>
      </c>
      <c r="AR2075" s="177">
        <f>IF($AS$2030&gt;0,'Assumptions (Biomass)'!$V$14*Model!$AS$2030*'Assumptions (Biomass)'!AQ$2/10^9,0)</f>
        <v>0</v>
      </c>
    </row>
    <row r="2076" ht="15.75" hidden="1" customHeight="1" outlineLevel="1">
      <c r="A2076" s="318"/>
      <c r="B2076" s="38"/>
      <c r="C2076" s="174"/>
      <c r="D2076" s="174"/>
      <c r="E2076" s="174"/>
      <c r="F2076" s="174"/>
      <c r="G2076" s="174"/>
      <c r="H2076" s="174"/>
      <c r="I2076" s="174"/>
      <c r="J2076" s="174"/>
      <c r="K2076" s="174"/>
      <c r="L2076" s="174"/>
      <c r="M2076" s="174"/>
      <c r="N2076" s="174"/>
      <c r="O2076" s="174"/>
      <c r="P2076" s="174"/>
      <c r="Q2076" s="174"/>
      <c r="R2076" s="174"/>
      <c r="S2076" s="174"/>
      <c r="T2076" s="174"/>
      <c r="U2076" s="174"/>
      <c r="V2076" s="174"/>
      <c r="W2076" s="139"/>
      <c r="AQ2076" s="177">
        <f>IF($AT$2030&gt;0,'Assumptions (Biomass)'!$V$14*Model!$AT$2030*'Assumptions (Biomass)'!AP$2/10^9,0)</f>
        <v>0</v>
      </c>
      <c r="AR2076" s="177">
        <f>IF($AT$2030&gt;0,'Assumptions (Biomass)'!$V$14*Model!$AT$2030*'Assumptions (Biomass)'!AQ$2/10^9,0)</f>
        <v>0</v>
      </c>
      <c r="AS2076" s="177">
        <f>IF($AT$2030&gt;0,'Assumptions (Biomass)'!$V$14*Model!$AT$2030*'Assumptions (Biomass)'!AR$2/10^9,0)</f>
        <v>0</v>
      </c>
    </row>
    <row r="2077" ht="15.75" hidden="1" customHeight="1" outlineLevel="1">
      <c r="A2077" s="318"/>
      <c r="B2077" s="38"/>
      <c r="C2077" s="174"/>
      <c r="D2077" s="174"/>
      <c r="E2077" s="174"/>
      <c r="F2077" s="174"/>
      <c r="G2077" s="174"/>
      <c r="H2077" s="174"/>
      <c r="I2077" s="174"/>
      <c r="J2077" s="174"/>
      <c r="K2077" s="174"/>
      <c r="L2077" s="174"/>
      <c r="M2077" s="174"/>
      <c r="N2077" s="174"/>
      <c r="O2077" s="174"/>
      <c r="P2077" s="174"/>
      <c r="Q2077" s="174"/>
      <c r="R2077" s="174"/>
      <c r="S2077" s="174"/>
      <c r="T2077" s="174"/>
      <c r="U2077" s="174"/>
      <c r="V2077" s="174"/>
      <c r="W2077" s="139"/>
      <c r="AR2077" s="177">
        <f>IF($AU$2030&gt;0,'Assumptions (Biomass)'!$V$14*Model!$AU$2030*'Assumptions (Biomass)'!AQ$2/10^9,0)</f>
        <v>0</v>
      </c>
      <c r="AS2077" s="177">
        <f>IF($AU$2030&gt;0,'Assumptions (Biomass)'!$V$14*Model!$AU$2030*'Assumptions (Biomass)'!AR$2/10^9,0)</f>
        <v>0</v>
      </c>
      <c r="AT2077" s="177">
        <f>IF($AU$2030&gt;0,'Assumptions (Biomass)'!$V$14*Model!$AU$2030*'Assumptions (Biomass)'!AS$2/10^9,0)</f>
        <v>0</v>
      </c>
    </row>
    <row r="2078" ht="15.75" hidden="1" customHeight="1" outlineLevel="1">
      <c r="A2078" s="318"/>
      <c r="B2078" s="38"/>
      <c r="C2078" s="174"/>
      <c r="D2078" s="174"/>
      <c r="E2078" s="174"/>
      <c r="F2078" s="174"/>
      <c r="G2078" s="174"/>
      <c r="H2078" s="174"/>
      <c r="I2078" s="174"/>
      <c r="J2078" s="174"/>
      <c r="K2078" s="174"/>
      <c r="L2078" s="174"/>
      <c r="M2078" s="174"/>
      <c r="N2078" s="174"/>
      <c r="O2078" s="174"/>
      <c r="P2078" s="174"/>
      <c r="Q2078" s="174"/>
      <c r="R2078" s="174"/>
      <c r="S2078" s="174"/>
      <c r="T2078" s="174"/>
      <c r="U2078" s="174"/>
      <c r="V2078" s="174"/>
      <c r="W2078" s="139"/>
      <c r="AS2078" s="177">
        <f>IF($AV$2030&gt;0,'Assumptions (Biomass)'!$V$14*Model!$AV$2030*'Assumptions (Biomass)'!AR$2/10^9,0)</f>
        <v>0</v>
      </c>
      <c r="AT2078" s="177">
        <f>IF($AV$2030&gt;0,'Assumptions (Biomass)'!$V$14*Model!$AV$2030*'Assumptions (Biomass)'!AS$2/10^9,0)</f>
        <v>0</v>
      </c>
      <c r="AU2078" s="177">
        <f>IF($AV$2030&gt;0,'Assumptions (Biomass)'!$V$14*Model!$AV$2030*'Assumptions (Biomass)'!AT$2/10^9,0)</f>
        <v>0</v>
      </c>
    </row>
    <row r="2079" ht="15.75" hidden="1" customHeight="1" outlineLevel="1">
      <c r="A2079" s="318"/>
      <c r="B2079" s="38"/>
      <c r="C2079" s="174"/>
      <c r="D2079" s="174"/>
      <c r="E2079" s="174"/>
      <c r="F2079" s="174"/>
      <c r="G2079" s="174"/>
      <c r="H2079" s="174"/>
      <c r="I2079" s="174"/>
      <c r="J2079" s="174"/>
      <c r="K2079" s="174"/>
      <c r="L2079" s="174"/>
      <c r="M2079" s="174"/>
      <c r="N2079" s="174"/>
      <c r="O2079" s="174"/>
      <c r="P2079" s="174"/>
      <c r="Q2079" s="174"/>
      <c r="R2079" s="174"/>
      <c r="S2079" s="174"/>
      <c r="T2079" s="174"/>
      <c r="U2079" s="174"/>
      <c r="V2079" s="174"/>
      <c r="W2079" s="139"/>
      <c r="AT2079" s="177">
        <f>IF($AW$2030&gt;0,'Assumptions (Biomass)'!$V$14*Model!$AW$2030*'Assumptions (Biomass)'!AS$2/10^9,0)</f>
        <v>0</v>
      </c>
      <c r="AU2079" s="177">
        <f>IF($AW$2030&gt;0,'Assumptions (Biomass)'!$V$14*Model!$AW$2030*'Assumptions (Biomass)'!AT$2/10^9,0)</f>
        <v>0</v>
      </c>
      <c r="AV2079" s="177">
        <f>IF($AW$2030&gt;0,'Assumptions (Biomass)'!$V$14*Model!$AW$2030*'Assumptions (Biomass)'!AU$2/10^9,0)</f>
        <v>0</v>
      </c>
    </row>
    <row r="2080" ht="15.75" hidden="1" customHeight="1" outlineLevel="1">
      <c r="A2080" s="318"/>
      <c r="B2080" s="38"/>
      <c r="C2080" s="174"/>
      <c r="D2080" s="174"/>
      <c r="E2080" s="174"/>
      <c r="F2080" s="174"/>
      <c r="G2080" s="174"/>
      <c r="H2080" s="174"/>
      <c r="I2080" s="174"/>
      <c r="J2080" s="174"/>
      <c r="K2080" s="174"/>
      <c r="L2080" s="174"/>
      <c r="M2080" s="174"/>
      <c r="N2080" s="174"/>
      <c r="O2080" s="174"/>
      <c r="P2080" s="174"/>
      <c r="Q2080" s="174"/>
      <c r="R2080" s="174"/>
      <c r="S2080" s="174"/>
      <c r="T2080" s="174"/>
      <c r="U2080" s="174"/>
      <c r="V2080" s="174"/>
      <c r="W2080" s="139"/>
      <c r="AU2080" s="177">
        <f>IF($AX$2030&gt;0,'Assumptions (Biomass)'!$V$14*Model!$AX$2030*'Assumptions (Biomass)'!AT$2/10^9,0)</f>
        <v>0</v>
      </c>
      <c r="AV2080" s="177">
        <f>IF($AX$2030&gt;0,'Assumptions (Biomass)'!$V$14*Model!$AX$2030*'Assumptions (Biomass)'!AU$2/10^9,0)</f>
        <v>0</v>
      </c>
      <c r="AW2080" s="177">
        <f>IF($AX$2030&gt;0,'Assumptions (Biomass)'!$V$14*Model!$AX$2030*'Assumptions (Biomass)'!AV$2/10^9,0)</f>
        <v>0</v>
      </c>
    </row>
    <row r="2081" ht="15.75" hidden="1" customHeight="1" outlineLevel="1">
      <c r="A2081" s="318"/>
      <c r="B2081" s="38"/>
      <c r="C2081" s="174"/>
      <c r="D2081" s="174"/>
      <c r="E2081" s="174"/>
      <c r="F2081" s="174"/>
      <c r="G2081" s="174"/>
      <c r="H2081" s="174"/>
      <c r="I2081" s="174"/>
      <c r="J2081" s="174"/>
      <c r="K2081" s="174"/>
      <c r="L2081" s="174"/>
      <c r="M2081" s="174"/>
      <c r="N2081" s="174"/>
      <c r="O2081" s="174"/>
      <c r="P2081" s="174"/>
      <c r="Q2081" s="174"/>
      <c r="R2081" s="174"/>
      <c r="S2081" s="174"/>
      <c r="T2081" s="174"/>
      <c r="U2081" s="174"/>
      <c r="V2081" s="174"/>
      <c r="W2081" s="139"/>
      <c r="AV2081" s="177">
        <f>IF($AY$2030&gt;0,'Assumptions (Biomass)'!$V$14*Model!$AY$2030*'Assumptions (Biomass)'!AU$2/10^9,0)</f>
        <v>0</v>
      </c>
      <c r="AW2081" s="177">
        <f>IF($AY$2030&gt;0,'Assumptions (Biomass)'!$V$14*Model!$AY$2030*'Assumptions (Biomass)'!AV$2/10^9,0)</f>
        <v>0</v>
      </c>
      <c r="AX2081" s="177">
        <f>IF($AY$2030&gt;0,'Assumptions (Biomass)'!$V$14*Model!$AY$2030*'Assumptions (Biomass)'!AW$2/10^9,0)</f>
        <v>0</v>
      </c>
    </row>
    <row r="2082" ht="15.75" hidden="1" customHeight="1" outlineLevel="1">
      <c r="A2082" s="318"/>
      <c r="B2082" s="38"/>
      <c r="C2082" s="174"/>
      <c r="D2082" s="174"/>
      <c r="E2082" s="174"/>
      <c r="F2082" s="174"/>
      <c r="G2082" s="174"/>
      <c r="H2082" s="174"/>
      <c r="I2082" s="174"/>
      <c r="J2082" s="174"/>
      <c r="K2082" s="174"/>
      <c r="L2082" s="174"/>
      <c r="M2082" s="174"/>
      <c r="N2082" s="174"/>
      <c r="O2082" s="174"/>
      <c r="P2082" s="174"/>
      <c r="Q2082" s="174"/>
      <c r="R2082" s="174"/>
      <c r="S2082" s="174"/>
      <c r="T2082" s="174"/>
      <c r="U2082" s="174"/>
      <c r="V2082" s="174"/>
      <c r="W2082" s="139"/>
      <c r="AW2082" s="177">
        <f>IF($AZ$2030&gt;0,'Assumptions (Biomass)'!$V$14*Model!$AZ$2030*'Assumptions (Biomass)'!AV$2/10^9,0)</f>
        <v>0</v>
      </c>
      <c r="AX2082" s="177">
        <f>IF($AZ$2030&gt;0,'Assumptions (Biomass)'!$V$14*Model!$AZ$2030*'Assumptions (Biomass)'!AW$2/10^9,0)</f>
        <v>0</v>
      </c>
      <c r="AY2082" s="177">
        <f>IF($AZ$2030&gt;0,'Assumptions (Biomass)'!$V$14*Model!$AZ$2030*'Assumptions (Biomass)'!AX$2/10^9,0)</f>
        <v>0</v>
      </c>
    </row>
    <row r="2083" ht="15.75" hidden="1" customHeight="1" outlineLevel="1">
      <c r="A2083" s="318"/>
      <c r="B2083" s="38"/>
      <c r="C2083" s="174"/>
      <c r="D2083" s="174"/>
      <c r="E2083" s="174"/>
      <c r="F2083" s="174"/>
      <c r="G2083" s="174"/>
      <c r="H2083" s="174"/>
      <c r="I2083" s="174"/>
      <c r="J2083" s="174"/>
      <c r="K2083" s="174"/>
      <c r="L2083" s="174"/>
      <c r="M2083" s="174"/>
      <c r="N2083" s="174"/>
      <c r="O2083" s="174"/>
      <c r="P2083" s="174"/>
      <c r="Q2083" s="174"/>
      <c r="R2083" s="174"/>
      <c r="S2083" s="174"/>
      <c r="T2083" s="174"/>
      <c r="U2083" s="174"/>
      <c r="V2083" s="174"/>
      <c r="W2083" s="139"/>
      <c r="AX2083" s="177">
        <f>IF($BA$2030&gt;0,'Assumptions (Biomass)'!$V$14*Model!$BA$2030*'Assumptions (Biomass)'!AW$2/10^9,0)</f>
        <v>0</v>
      </c>
      <c r="AY2083" s="177">
        <f>IF($BA$2030&gt;0,'Assumptions (Biomass)'!$V$14*Model!$BA$2030*'Assumptions (Biomass)'!AX$2/10^9,0)</f>
        <v>0</v>
      </c>
      <c r="AZ2083" s="177">
        <f>IF($BA$2030&gt;0,'Assumptions (Biomass)'!$V$14*Model!$BA$2030*'Assumptions (Biomass)'!AY$2/10^9,0)</f>
        <v>0</v>
      </c>
    </row>
    <row r="2084" ht="15.75" customHeight="1" collapsed="1">
      <c r="A2084" s="320" t="s">
        <v>52</v>
      </c>
      <c r="B2084" s="150" t="s">
        <v>351</v>
      </c>
      <c r="C2084" s="279">
        <f>'Assumptions (Biomass)'!$V$5*Model!C2032</f>
        <v>0.007932100706</v>
      </c>
      <c r="D2084" s="279">
        <f>'Assumptions (Biomass)'!$V$5*Model!D2032</f>
        <v>0.01947973833</v>
      </c>
      <c r="E2084" s="279">
        <f>'Assumptions (Biomass)'!$V$5*Model!E2032</f>
        <v>0.02412842112</v>
      </c>
      <c r="F2084" s="279">
        <f>'Assumptions (Biomass)'!$V$5*Model!F2032</f>
        <v>0.06105118606</v>
      </c>
      <c r="G2084" s="279">
        <f>'Assumptions (Biomass)'!$V$5*Model!G2032</f>
        <v>0.06035793915</v>
      </c>
      <c r="H2084" s="279">
        <f>'Assumptions (Biomass)'!$V$5*Model!H2032</f>
        <v>0.06354613467</v>
      </c>
      <c r="I2084" s="279">
        <f>'Assumptions (Biomass)'!$V$5*Model!I2032</f>
        <v>0.03440146276</v>
      </c>
      <c r="J2084" s="279">
        <f>'Assumptions (Biomass)'!$V$5*Model!J2032</f>
        <v>0.09956718252</v>
      </c>
      <c r="K2084" s="279">
        <f>'Assumptions (Biomass)'!$V$5*Model!K2032</f>
        <v>0.1675890891</v>
      </c>
      <c r="L2084" s="279">
        <f>'Assumptions (Biomass)'!$V$5*Model!L2032</f>
        <v>0.1928087902</v>
      </c>
      <c r="M2084" s="279">
        <f>'Assumptions (Biomass)'!$V$5*Model!M2032</f>
        <v>0.242286634</v>
      </c>
      <c r="N2084" s="279">
        <f>'Assumptions (Biomass)'!$V$5*Model!N2032</f>
        <v>0.2460341702</v>
      </c>
      <c r="O2084" s="279">
        <f>'Assumptions (Biomass)'!$V$5*Model!O2032</f>
        <v>0.2481538325</v>
      </c>
      <c r="P2084" s="279">
        <f>'Assumptions (Biomass)'!$V$5*Model!P2032</f>
        <v>0.1381545843</v>
      </c>
      <c r="Q2084" s="279">
        <f>'Assumptions (Biomass)'!$V$5*Model!Q2032</f>
        <v>0.1709915482</v>
      </c>
      <c r="R2084" s="279">
        <f>'Assumptions (Biomass)'!$V$5*Model!R2032</f>
        <v>0.1347540335</v>
      </c>
      <c r="S2084" s="279">
        <f>'Assumptions (Biomass)'!$V$5*Model!S2032</f>
        <v>0.1116522708</v>
      </c>
      <c r="T2084" s="279">
        <f>'Assumptions (Biomass)'!$V$5*Model!T2032</f>
        <v>0</v>
      </c>
      <c r="U2084" s="279">
        <f>'Assumptions (Biomass)'!$V$5*Model!U2032</f>
        <v>0</v>
      </c>
      <c r="V2084" s="279">
        <f>'Assumptions (Biomass)'!$V$5*Model!V2032</f>
        <v>0</v>
      </c>
      <c r="W2084" s="279">
        <f>'Assumptions (Biomass)'!$V$5*Model!W2032</f>
        <v>0</v>
      </c>
      <c r="X2084" s="279">
        <f>'Assumptions (Biomass)'!$V$5*Model!X2032</f>
        <v>0</v>
      </c>
      <c r="Y2084" s="279">
        <f>'Assumptions (Biomass)'!$V$5*Model!Y2032</f>
        <v>0</v>
      </c>
      <c r="Z2084" s="279">
        <f>'Assumptions (Biomass)'!$V$5*Model!Z2032</f>
        <v>0</v>
      </c>
      <c r="AA2084" s="279">
        <f>'Assumptions (Biomass)'!$V$5*Model!AA2032</f>
        <v>0</v>
      </c>
      <c r="AB2084" s="279">
        <f>'Assumptions (Biomass)'!$V$5*Model!AB2032</f>
        <v>0</v>
      </c>
      <c r="AC2084" s="279">
        <f>'Assumptions (Biomass)'!$V$5*Model!AC2032</f>
        <v>0</v>
      </c>
      <c r="AD2084" s="279">
        <f>'Assumptions (Biomass)'!$V$5*Model!AD2032</f>
        <v>0</v>
      </c>
      <c r="AE2084" s="279">
        <f>'Assumptions (Biomass)'!$V$5*Model!AE2032</f>
        <v>0</v>
      </c>
      <c r="AF2084" s="279">
        <f>'Assumptions (Biomass)'!$V$5*Model!AF2032</f>
        <v>0</v>
      </c>
      <c r="AG2084" s="279">
        <f>'Assumptions (Biomass)'!$V$5*Model!AG2032</f>
        <v>0</v>
      </c>
      <c r="AH2084" s="279">
        <f>'Assumptions (Biomass)'!$V$5*Model!AH2032</f>
        <v>0</v>
      </c>
      <c r="AI2084" s="279">
        <f>'Assumptions (Biomass)'!$V$5*Model!AI2032</f>
        <v>0</v>
      </c>
      <c r="AJ2084" s="279">
        <f>'Assumptions (Biomass)'!$V$5*Model!AJ2032</f>
        <v>0</v>
      </c>
      <c r="AK2084" s="279">
        <f>'Assumptions (Biomass)'!$V$5*Model!AK2032</f>
        <v>0</v>
      </c>
      <c r="AL2084" s="279">
        <f>'Assumptions (Biomass)'!$V$5*Model!AL2032</f>
        <v>0</v>
      </c>
      <c r="AM2084" s="279">
        <f>'Assumptions (Biomass)'!$V$5*Model!AM2032</f>
        <v>0</v>
      </c>
      <c r="AN2084" s="279">
        <f>'Assumptions (Biomass)'!$V$5*Model!AN2032</f>
        <v>0</v>
      </c>
      <c r="AO2084" s="279">
        <f>'Assumptions (Biomass)'!$V$5*Model!AO2032</f>
        <v>0</v>
      </c>
      <c r="AP2084" s="279">
        <f>'Assumptions (Biomass)'!$V$5*Model!AP2032</f>
        <v>0</v>
      </c>
      <c r="AQ2084" s="279">
        <f>'Assumptions (Biomass)'!$V$5*Model!AQ2032</f>
        <v>0</v>
      </c>
      <c r="AR2084" s="279">
        <f>'Assumptions (Biomass)'!$V$5*Model!AR2032</f>
        <v>0</v>
      </c>
      <c r="AS2084" s="279">
        <f>'Assumptions (Biomass)'!$V$5*Model!AS2032</f>
        <v>0</v>
      </c>
      <c r="AT2084" s="279">
        <f>'Assumptions (Biomass)'!$V$5*Model!AT2032</f>
        <v>0</v>
      </c>
      <c r="AU2084" s="279">
        <f>'Assumptions (Biomass)'!$V$5*Model!AU2032</f>
        <v>0</v>
      </c>
      <c r="AV2084" s="279">
        <f>'Assumptions (Biomass)'!$V$5*Model!AV2032</f>
        <v>0</v>
      </c>
      <c r="AW2084" s="279">
        <f>'Assumptions (Biomass)'!$V$5*Model!AW2032</f>
        <v>0</v>
      </c>
      <c r="AX2084" s="279">
        <f>'Assumptions (Biomass)'!$V$5*Model!AX2032</f>
        <v>0</v>
      </c>
      <c r="AY2084" s="279">
        <f>'Assumptions (Biomass)'!$V$5*Model!AY2032</f>
        <v>0</v>
      </c>
      <c r="AZ2084" s="279">
        <f>'Assumptions (Biomass)'!$V$5*Model!AZ2032</f>
        <v>0</v>
      </c>
      <c r="BA2084" s="279">
        <f>'Assumptions (Biomass)'!$V$5*Model!BA2032</f>
        <v>0</v>
      </c>
    </row>
    <row r="2085" ht="15.75" customHeight="1">
      <c r="A2085" s="320" t="s">
        <v>54</v>
      </c>
      <c r="B2085" s="150" t="s">
        <v>351</v>
      </c>
      <c r="C2085" s="176">
        <f>'Assumptions (Biomass)'!$V$6*Model!C2032</f>
        <v>0.005288067137</v>
      </c>
      <c r="D2085" s="176">
        <f>'Assumptions (Biomass)'!$V$6*Model!D2032</f>
        <v>0.01298649222</v>
      </c>
      <c r="E2085" s="176">
        <f>'Assumptions (Biomass)'!$V$6*Model!E2032</f>
        <v>0.01608561408</v>
      </c>
      <c r="F2085" s="176">
        <f>'Assumptions (Biomass)'!$V$6*Model!F2032</f>
        <v>0.0407007907</v>
      </c>
      <c r="G2085" s="176">
        <f>'Assumptions (Biomass)'!$V$6*Model!G2032</f>
        <v>0.0402386261</v>
      </c>
      <c r="H2085" s="176">
        <f>'Assumptions (Biomass)'!$V$6*Model!H2032</f>
        <v>0.04236408978</v>
      </c>
      <c r="I2085" s="176">
        <f>'Assumptions (Biomass)'!$V$6*Model!I2032</f>
        <v>0.02293430851</v>
      </c>
      <c r="J2085" s="176">
        <f>'Assumptions (Biomass)'!$V$6*Model!J2032</f>
        <v>0.06637812168</v>
      </c>
      <c r="K2085" s="176">
        <f>'Assumptions (Biomass)'!$V$6*Model!K2032</f>
        <v>0.1117260594</v>
      </c>
      <c r="L2085" s="176">
        <f>'Assumptions (Biomass)'!$V$6*Model!L2032</f>
        <v>0.1285391935</v>
      </c>
      <c r="M2085" s="176">
        <f>'Assumptions (Biomass)'!$V$6*Model!M2032</f>
        <v>0.1615244226</v>
      </c>
      <c r="N2085" s="176">
        <f>'Assumptions (Biomass)'!$V$6*Model!N2032</f>
        <v>0.1640227801</v>
      </c>
      <c r="O2085" s="176">
        <f>'Assumptions (Biomass)'!$V$6*Model!O2032</f>
        <v>0.1654358883</v>
      </c>
      <c r="P2085" s="176">
        <f>'Assumptions (Biomass)'!$V$6*Model!P2032</f>
        <v>0.09210305618</v>
      </c>
      <c r="Q2085" s="176">
        <f>'Assumptions (Biomass)'!$V$6*Model!Q2032</f>
        <v>0.1139943655</v>
      </c>
      <c r="R2085" s="176">
        <f>'Assumptions (Biomass)'!$V$6*Model!R2032</f>
        <v>0.08983602231</v>
      </c>
      <c r="S2085" s="176">
        <f>'Assumptions (Biomass)'!$V$6*Model!S2032</f>
        <v>0.07443484723</v>
      </c>
      <c r="T2085" s="176">
        <f>'Assumptions (Biomass)'!$V$6*Model!T2032</f>
        <v>0</v>
      </c>
      <c r="U2085" s="176">
        <f>'Assumptions (Biomass)'!$V$6*Model!U2032</f>
        <v>0</v>
      </c>
      <c r="V2085" s="176">
        <f>'Assumptions (Biomass)'!$V$6*Model!V2032</f>
        <v>0</v>
      </c>
      <c r="W2085" s="176">
        <f>'Assumptions (Biomass)'!$V$6*Model!W2032</f>
        <v>0</v>
      </c>
      <c r="X2085" s="176">
        <f>'Assumptions (Biomass)'!$V$6*Model!X2032</f>
        <v>0</v>
      </c>
      <c r="Y2085" s="176">
        <f>'Assumptions (Biomass)'!$V$6*Model!Y2032</f>
        <v>0</v>
      </c>
      <c r="Z2085" s="176">
        <f>'Assumptions (Biomass)'!$V$6*Model!Z2032</f>
        <v>0</v>
      </c>
      <c r="AA2085" s="176">
        <f>'Assumptions (Biomass)'!$V$6*Model!AA2032</f>
        <v>0</v>
      </c>
      <c r="AB2085" s="176">
        <f>'Assumptions (Biomass)'!$V$6*Model!AB2032</f>
        <v>0</v>
      </c>
      <c r="AC2085" s="176">
        <f>'Assumptions (Biomass)'!$V$6*Model!AC2032</f>
        <v>0</v>
      </c>
      <c r="AD2085" s="176">
        <f>'Assumptions (Biomass)'!$V$6*Model!AD2032</f>
        <v>0</v>
      </c>
      <c r="AE2085" s="176">
        <f>'Assumptions (Biomass)'!$V$6*Model!AE2032</f>
        <v>0</v>
      </c>
      <c r="AF2085" s="176">
        <f>'Assumptions (Biomass)'!$V$6*Model!AF2032</f>
        <v>0</v>
      </c>
      <c r="AG2085" s="176">
        <f>'Assumptions (Biomass)'!$V$6*Model!AG2032</f>
        <v>0</v>
      </c>
      <c r="AH2085" s="176">
        <f>'Assumptions (Biomass)'!$V$6*Model!AH2032</f>
        <v>0</v>
      </c>
      <c r="AI2085" s="176">
        <f>'Assumptions (Biomass)'!$V$6*Model!AI2032</f>
        <v>0</v>
      </c>
      <c r="AJ2085" s="176">
        <f>'Assumptions (Biomass)'!$V$6*Model!AJ2032</f>
        <v>0</v>
      </c>
      <c r="AK2085" s="176">
        <f>'Assumptions (Biomass)'!$V$6*Model!AK2032</f>
        <v>0</v>
      </c>
      <c r="AL2085" s="176">
        <f>'Assumptions (Biomass)'!$V$6*Model!AL2032</f>
        <v>0</v>
      </c>
      <c r="AM2085" s="176">
        <f>'Assumptions (Biomass)'!$V$6*Model!AM2032</f>
        <v>0</v>
      </c>
      <c r="AN2085" s="176">
        <f>'Assumptions (Biomass)'!$V$6*Model!AN2032</f>
        <v>0</v>
      </c>
      <c r="AO2085" s="176">
        <f>'Assumptions (Biomass)'!$V$6*Model!AO2032</f>
        <v>0</v>
      </c>
      <c r="AP2085" s="176">
        <f>'Assumptions (Biomass)'!$V$6*Model!AP2032</f>
        <v>0</v>
      </c>
      <c r="AQ2085" s="176">
        <f>'Assumptions (Biomass)'!$V$6*Model!AQ2032</f>
        <v>0</v>
      </c>
      <c r="AR2085" s="176">
        <f>'Assumptions (Biomass)'!$V$6*Model!AR2032</f>
        <v>0</v>
      </c>
      <c r="AS2085" s="176">
        <f>'Assumptions (Biomass)'!$V$6*Model!AS2032</f>
        <v>0</v>
      </c>
      <c r="AT2085" s="176">
        <f>'Assumptions (Biomass)'!$V$6*Model!AT2032</f>
        <v>0</v>
      </c>
      <c r="AU2085" s="176">
        <f>'Assumptions (Biomass)'!$V$6*Model!AU2032</f>
        <v>0</v>
      </c>
      <c r="AV2085" s="176">
        <f>'Assumptions (Biomass)'!$V$6*Model!AV2032</f>
        <v>0</v>
      </c>
      <c r="AW2085" s="176">
        <f>'Assumptions (Biomass)'!$V$6*Model!AW2032</f>
        <v>0</v>
      </c>
      <c r="AX2085" s="176">
        <f>'Assumptions (Biomass)'!$V$6*Model!AX2032</f>
        <v>0</v>
      </c>
      <c r="AY2085" s="176">
        <f>'Assumptions (Biomass)'!$V$6*Model!AY2032</f>
        <v>0</v>
      </c>
      <c r="AZ2085" s="176">
        <f>'Assumptions (Biomass)'!$V$6*Model!AZ2032</f>
        <v>0</v>
      </c>
      <c r="BA2085" s="176">
        <f>'Assumptions (Biomass)'!$V$6*Model!BA2032</f>
        <v>0</v>
      </c>
    </row>
    <row r="2086" ht="15.75" customHeight="1">
      <c r="A2086" s="320" t="s">
        <v>359</v>
      </c>
      <c r="B2086" s="150" t="s">
        <v>351</v>
      </c>
      <c r="C2086" s="177">
        <f t="array" ref="C2086">SUM(IF(ISERROR(C2087:C2137),"",C2087:C2137))</f>
        <v>0</v>
      </c>
      <c r="D2086" s="177">
        <f t="array" ref="D2086">SUM(IF(ISERROR(D2087:D2137),"",D2087:D2137))</f>
        <v>-0.0001742152528</v>
      </c>
      <c r="E2086" s="177">
        <f t="array" ref="E2086">SUM(IF(ISERROR(E2087:E2137),"",E2087:E2137))</f>
        <v>-0.0002617471257</v>
      </c>
      <c r="F2086" s="177">
        <f t="array" ref="F2086">SUM(IF(ISERROR(F2087:F2137),"",F2087:F2137))</f>
        <v>-0.0007273188342</v>
      </c>
      <c r="G2086" s="177">
        <f t="array" ref="G2086">SUM(IF(ISERROR(G2087:G2137),"",G2087:G2137))</f>
        <v>-0.003024784756</v>
      </c>
      <c r="H2086" s="177">
        <f t="array" ref="H2086">SUM(IF(ISERROR(H2087:H2137),"",H2087:H2137))</f>
        <v>-0.003879729598</v>
      </c>
      <c r="I2086" s="177">
        <f t="array" ref="I2086">SUM(IF(ISERROR(I2087:I2137),"",I2087:I2137))</f>
        <v>-0.009862155283</v>
      </c>
      <c r="J2086" s="177">
        <f t="array" ref="J2086">SUM(IF(ISERROR(J2087:J2137),"",J2087:J2137))</f>
        <v>-0.01242757363</v>
      </c>
      <c r="K2086" s="177">
        <f t="array" ref="K2086">SUM(IF(ISERROR(K2087:K2137),"",K2087:K2137))</f>
        <v>-0.0139817136</v>
      </c>
      <c r="L2086" s="177">
        <f t="array" ref="L2086">SUM(IF(ISERROR(L2087:L2137),"",L2087:L2137))</f>
        <v>-0.01643720265</v>
      </c>
      <c r="M2086" s="177">
        <f t="array" ref="M2086">SUM(IF(ISERROR(M2087:M2137),"",M2087:M2137))</f>
        <v>-0.02871317594</v>
      </c>
      <c r="N2086" s="177">
        <f t="array" ref="N2086">SUM(IF(ISERROR(N2087:N2137),"",N2087:N2137))</f>
        <v>-0.04054202751</v>
      </c>
      <c r="O2086" s="177">
        <f t="array" ref="O2086">SUM(IF(ISERROR(O2087:O2137),"",O2087:O2137))</f>
        <v>-0.04778130037</v>
      </c>
      <c r="P2086" s="177">
        <f t="array" ref="P2086">SUM(IF(ISERROR(P2087:P2137),"",P2087:P2137))</f>
        <v>-0.06888198623</v>
      </c>
      <c r="Q2086" s="177">
        <f t="array" ref="Q2086">SUM(IF(ISERROR(Q2087:Q2137),"",Q2087:Q2137))</f>
        <v>-0.08296001579</v>
      </c>
      <c r="R2086" s="177">
        <f t="array" ref="R2086">SUM(IF(ISERROR(R2087:R2137),"",R2087:R2137))</f>
        <v>-0.09213624195</v>
      </c>
      <c r="S2086" s="177">
        <f t="array" ref="S2086">SUM(IF(ISERROR(S2087:S2137),"",S2087:S2137))</f>
        <v>-0.09955381581</v>
      </c>
      <c r="T2086" s="177">
        <f t="array" ref="T2086">SUM(IF(ISERROR(T2087:T2137),"",T2087:T2137))</f>
        <v>-0.1197788526</v>
      </c>
      <c r="U2086" s="177">
        <f t="array" ref="U2086">SUM(IF(ISERROR(U2087:U2137),"",U2087:U2137))</f>
        <v>-0.1245593946</v>
      </c>
      <c r="V2086" s="177">
        <f t="array" ref="V2086">SUM(IF(ISERROR(V2087:V2137),"",V2087:V2137))</f>
        <v>-0.1259367656</v>
      </c>
      <c r="W2086" s="177">
        <f t="array" ref="W2086">SUM(IF(ISERROR(W2087:W2137),"",W2087:W2137))</f>
        <v>-0.1304920264</v>
      </c>
      <c r="X2086" s="177">
        <f t="array" ref="X2086">SUM(IF(ISERROR(X2087:X2137),"",X2087:X2137))</f>
        <v>-0.1250598795</v>
      </c>
      <c r="Y2086" s="177">
        <f t="array" ref="Y2086">SUM(IF(ISERROR(Y2087:Y2137),"",Y2087:Y2137))</f>
        <v>-0.1267939082</v>
      </c>
      <c r="Z2086" s="177">
        <f t="array" ref="Z2086">SUM(IF(ISERROR(Z2087:Z2137),"",Z2087:Z2137))</f>
        <v>-0.1308832664</v>
      </c>
      <c r="AA2086" s="177">
        <f t="array" ref="AA2086">SUM(IF(ISERROR(AA2087:AA2137),"",AA2087:AA2137))</f>
        <v>-0.1335069274</v>
      </c>
      <c r="AB2086" s="177">
        <f t="array" ref="AB2086">SUM(IF(ISERROR(AB2087:AB2137),"",AB2087:AB2137))</f>
        <v>-0.1167902089</v>
      </c>
      <c r="AC2086" s="177">
        <f t="array" ref="AC2086">SUM(IF(ISERROR(AC2087:AC2137),"",AC2087:AC2137))</f>
        <v>-0.1013459912</v>
      </c>
      <c r="AD2086" s="177">
        <f t="array" ref="AD2086">SUM(IF(ISERROR(AD2087:AD2137),"",AD2087:AD2137))</f>
        <v>-0.09550149351</v>
      </c>
      <c r="AE2086" s="177">
        <f t="array" ref="AE2086">SUM(IF(ISERROR(AE2087:AE2137),"",AE2087:AE2137))</f>
        <v>-0.06226445889</v>
      </c>
      <c r="AF2086" s="177">
        <f t="array" ref="AF2086">SUM(IF(ISERROR(AF2087:AF2137),"",AF2087:AF2137))</f>
        <v>-0.04354593435</v>
      </c>
      <c r="AG2086" s="177">
        <f t="array" ref="AG2086">SUM(IF(ISERROR(AG2087:AG2137),"",AG2087:AG2137))</f>
        <v>-0.0351121963</v>
      </c>
      <c r="AH2086" s="177">
        <f t="array" ref="AH2086">SUM(IF(ISERROR(AH2087:AH2137),"",AH2087:AH2137))</f>
        <v>-0.02997887917</v>
      </c>
      <c r="AI2086" s="177">
        <f t="array" ref="AI2086">SUM(IF(ISERROR(AI2087:AI2137),"",AI2087:AI2137))</f>
        <v>0</v>
      </c>
      <c r="AJ2086" s="177">
        <f t="array" ref="AJ2086">SUM(IF(ISERROR(AJ2087:AJ2137),"",AJ2087:AJ2137))</f>
        <v>0</v>
      </c>
      <c r="AK2086" s="177">
        <f t="array" ref="AK2086">SUM(IF(ISERROR(AK2087:AK2137),"",AK2087:AK2137))</f>
        <v>0</v>
      </c>
      <c r="AL2086" s="177">
        <f t="array" ref="AL2086">SUM(IF(ISERROR(AL2087:AL2137),"",AL2087:AL2137))</f>
        <v>0</v>
      </c>
      <c r="AM2086" s="177">
        <f t="array" ref="AM2086">SUM(IF(ISERROR(AM2087:AM2137),"",AM2087:AM2137))</f>
        <v>0</v>
      </c>
      <c r="AN2086" s="177">
        <f t="array" ref="AN2086">SUM(IF(ISERROR(AN2087:AN2137),"",AN2087:AN2137))</f>
        <v>0</v>
      </c>
      <c r="AO2086" s="177">
        <f t="array" ref="AO2086">SUM(IF(ISERROR(AO2087:AO2137),"",AO2087:AO2137))</f>
        <v>0</v>
      </c>
      <c r="AP2086" s="177">
        <f t="array" ref="AP2086">SUM(IF(ISERROR(AP2087:AP2137),"",AP2087:AP2137))</f>
        <v>0</v>
      </c>
      <c r="AQ2086" s="177">
        <f t="array" ref="AQ2086">SUM(IF(ISERROR(AQ2087:AQ2137),"",AQ2087:AQ2137))</f>
        <v>0</v>
      </c>
      <c r="AR2086" s="177">
        <f t="array" ref="AR2086">SUM(IF(ISERROR(AR2087:AR2137),"",AR2087:AR2137))</f>
        <v>0</v>
      </c>
      <c r="AS2086" s="177">
        <f t="array" ref="AS2086">SUM(IF(ISERROR(AS2087:AS2137),"",AS2087:AS2137))</f>
        <v>0</v>
      </c>
      <c r="AT2086" s="177">
        <f t="array" ref="AT2086">SUM(IF(ISERROR(AT2087:AT2137),"",AT2087:AT2137))</f>
        <v>0</v>
      </c>
      <c r="AU2086" s="177">
        <f t="array" ref="AU2086">SUM(IF(ISERROR(AU2087:AU2137),"",AU2087:AU2137))</f>
        <v>0</v>
      </c>
      <c r="AV2086" s="177">
        <f t="array" ref="AV2086">SUM(IF(ISERROR(AV2087:AV2137),"",AV2087:AV2137))</f>
        <v>0</v>
      </c>
      <c r="AW2086" s="177">
        <f t="array" ref="AW2086">SUM(IF(ISERROR(AW2087:AW2137),"",AW2087:AW2137))</f>
        <v>0</v>
      </c>
      <c r="AX2086" s="177">
        <f t="array" ref="AX2086">SUM(IF(ISERROR(AX2087:AX2137),"",AX2087:AX2137))</f>
        <v>0</v>
      </c>
      <c r="AY2086" s="177">
        <f t="array" ref="AY2086">SUM(IF(ISERROR(AY2087:AY2137),"",AY2087:AY2137))</f>
        <v>0</v>
      </c>
      <c r="AZ2086" s="177">
        <f t="array" ref="AZ2086">SUM(IF(ISERROR(AZ2087:AZ2137),"",AZ2087:AZ2137))</f>
        <v>0</v>
      </c>
      <c r="BA2086" s="177">
        <f t="array" ref="BA2086">SUM(IF(ISERROR(BA2087:BA2137),"",BA2087:BA2137))</f>
        <v>0</v>
      </c>
      <c r="BB2086" s="177">
        <f t="array" ref="BB2086">SUM(IF(ISERROR(BB2087:BB2137),"",BB2087:BB2137))</f>
        <v>0</v>
      </c>
      <c r="BC2086" s="177">
        <f t="array" ref="BC2086">SUM(IF(ISERROR(BC2087:BC2137),"",BC2087:BC2137))</f>
        <v>0</v>
      </c>
      <c r="BD2086" s="177">
        <f t="array" ref="BD2086">SUM(IF(ISERROR(BD2087:BD2137),"",BD2087:BD2137))</f>
        <v>0</v>
      </c>
      <c r="BE2086" s="177">
        <f t="array" ref="BE2086">SUM(IF(ISERROR(BE2087:BE2137),"",BE2087:BE2137))</f>
        <v>0</v>
      </c>
      <c r="BF2086" s="177">
        <f t="array" ref="BF2086">SUM(IF(ISERROR(BF2087:BF2137),"",BF2087:BF2137))</f>
        <v>0</v>
      </c>
      <c r="BG2086" s="177">
        <f t="array" ref="BG2086">SUM(IF(ISERROR(BG2087:BG2137),"",BG2087:BG2137))</f>
        <v>0</v>
      </c>
      <c r="BH2086" s="177">
        <f t="array" ref="BH2086">SUM(IF(ISERROR(BH2087:BH2137),"",BH2087:BH2137))</f>
        <v>0</v>
      </c>
      <c r="BI2086" s="177">
        <f t="array" ref="BI2086">SUM(IF(ISERROR(BI2087:BI2137),"",BI2087:BI2137))</f>
        <v>0</v>
      </c>
      <c r="BJ2086" s="177">
        <f t="array" ref="BJ2086">SUM(IF(ISERROR(BJ2087:BJ2137),"",BJ2087:BJ2137))</f>
        <v>0</v>
      </c>
      <c r="BK2086" s="177">
        <f t="array" ref="BK2086">SUM(IF(ISERROR(BK2087:BK2137),"",BK2087:BK2137))</f>
        <v>0</v>
      </c>
      <c r="BL2086" s="177">
        <f t="array" ref="BL2086">SUM(IF(ISERROR(BL2087:BL2137),"",BL2087:BL2137))</f>
        <v>0</v>
      </c>
      <c r="BM2086" s="177">
        <f t="array" ref="BM2086">SUM(IF(ISERROR(BM2087:BM2137),"",BM2087:BM2137))</f>
        <v>0</v>
      </c>
      <c r="BN2086" s="177">
        <f t="array" ref="BN2086">SUM(IF(ISERROR(BN2087:BN2137),"",BN2087:BN2137))</f>
        <v>0</v>
      </c>
      <c r="BO2086" s="177">
        <f t="array" ref="BO2086">SUM(IF(ISERROR(BO2087:BO2137),"",BO2087:BO2137))</f>
        <v>0</v>
      </c>
      <c r="BP2086" s="177"/>
    </row>
    <row r="2087" ht="15.75" hidden="1" customHeight="1" outlineLevel="1">
      <c r="A2087" s="318"/>
      <c r="B2087" s="38"/>
      <c r="C2087" s="177">
        <f>IF($C$2030&gt;0,PPMT('Assumptions (Biomass)'!$V$7,Model!W$1,'Assumptions (Biomass)'!$V$10,'Assumptions (Biomass)'!$V$5*Model!$C$2030*'Assumptions (Biomass)'!$B$2/10^9),0)</f>
        <v>0</v>
      </c>
      <c r="D2087" s="177">
        <f>IF($C$2030&gt;0,PPMT('Assumptions (Biomass)'!$V$7,Model!X$1,'Assumptions (Biomass)'!$V$10,'Assumptions (Biomass)'!$V$5*Model!$C$2030*'Assumptions (Biomass)'!$B$2/10^9),0)</f>
        <v>0</v>
      </c>
      <c r="E2087" s="177">
        <f>IF($C$2030&gt;0,PPMT('Assumptions (Biomass)'!$V$7,Model!Y$1,'Assumptions (Biomass)'!$V$10,'Assumptions (Biomass)'!$V$5*Model!$C$2030*'Assumptions (Biomass)'!$B$2/10^9),0)</f>
        <v>0</v>
      </c>
      <c r="F2087" s="177">
        <f>IF($C$2030&gt;0,PPMT('Assumptions (Biomass)'!$V$7,Model!Z$1,'Assumptions (Biomass)'!$V$10,'Assumptions (Biomass)'!$V$5*Model!$C$2030*'Assumptions (Biomass)'!$B$2/10^9),0)</f>
        <v>0</v>
      </c>
      <c r="G2087" s="177">
        <f>IF($C$2030&gt;0,PPMT('Assumptions (Biomass)'!$V$7,Model!AA$1,'Assumptions (Biomass)'!$V$10,'Assumptions (Biomass)'!$V$5*Model!$C$2030*'Assumptions (Biomass)'!$B$2/10^9),0)</f>
        <v>0</v>
      </c>
      <c r="H2087" s="177">
        <f>IF($C$2030&gt;0,PPMT('Assumptions (Biomass)'!$V$7,Model!AB$1,'Assumptions (Biomass)'!$V$10,'Assumptions (Biomass)'!$V$5*Model!$C$2030*'Assumptions (Biomass)'!$B$2/10^9),0)</f>
        <v>0</v>
      </c>
      <c r="I2087" s="177">
        <f>IF($C$2030&gt;0,PPMT('Assumptions (Biomass)'!$V$7,Model!AC$1,'Assumptions (Biomass)'!$V$10,'Assumptions (Biomass)'!$V$5*Model!$C$2030*'Assumptions (Biomass)'!$B$2/10^9),0)</f>
        <v>0</v>
      </c>
      <c r="J2087" s="177">
        <f>IF($C$2030&gt;0,PPMT('Assumptions (Biomass)'!$V$7,Model!AD$1,'Assumptions (Biomass)'!$V$10,'Assumptions (Biomass)'!$V$5*Model!$C$2030*'Assumptions (Biomass)'!$B$2/10^9),0)</f>
        <v>0</v>
      </c>
      <c r="K2087" s="177">
        <f>IF($C$2030&gt;0,PPMT('Assumptions (Biomass)'!$V$7,Model!AE$1,'Assumptions (Biomass)'!$V$10,'Assumptions (Biomass)'!$V$5*Model!$C$2030*'Assumptions (Biomass)'!$B$2/10^9),0)</f>
        <v>0</v>
      </c>
      <c r="L2087" s="177">
        <f>IF($C$2030&gt;0,PPMT('Assumptions (Biomass)'!$V$7,Model!AF$1,'Assumptions (Biomass)'!$V$10,'Assumptions (Biomass)'!$V$5*Model!$C$2030*'Assumptions (Biomass)'!$B$2/10^9),0)</f>
        <v>0</v>
      </c>
      <c r="M2087" s="177">
        <f>IF($C$2030&gt;0,PPMT('Assumptions (Biomass)'!$V$7,Model!AG$1,'Assumptions (Biomass)'!$V$10,'Assumptions (Biomass)'!$V$5*Model!$C$2030*'Assumptions (Biomass)'!$B$2/10^9),0)</f>
        <v>0</v>
      </c>
      <c r="N2087" s="177">
        <f>IF($C$2030&gt;0,PPMT('Assumptions (Biomass)'!$V$7,Model!AH$1,'Assumptions (Biomass)'!$V$10,'Assumptions (Biomass)'!$V$5*Model!$C$2030*'Assumptions (Biomass)'!$B$2/10^9),0)</f>
        <v>0</v>
      </c>
      <c r="O2087" s="177">
        <f>IF($C$2030&gt;0,PPMT('Assumptions (Biomass)'!$V$7,Model!AI$1,'Assumptions (Biomass)'!$V$10,'Assumptions (Biomass)'!$V$5*Model!$C$2030*'Assumptions (Biomass)'!$B$2/10^9),0)</f>
        <v>0</v>
      </c>
      <c r="P2087" s="177">
        <f>IF($C$2030&gt;0,PPMT('Assumptions (Biomass)'!$V$7,Model!AJ$1,'Assumptions (Biomass)'!$V$10,'Assumptions (Biomass)'!$V$5*Model!$C$2030*'Assumptions (Biomass)'!$B$2/10^9),0)</f>
        <v>0</v>
      </c>
      <c r="Q2087" s="177">
        <f>IF($C$2030&gt;0,PPMT('Assumptions (Biomass)'!$V$7,Model!AK$1,'Assumptions (Biomass)'!$V$10,'Assumptions (Biomass)'!$V$5*Model!$C$2030*'Assumptions (Biomass)'!$B$2/10^9),0)</f>
        <v>0</v>
      </c>
      <c r="R2087" s="177"/>
      <c r="S2087" s="177"/>
      <c r="T2087" s="177"/>
      <c r="U2087" s="177"/>
      <c r="V2087" s="177"/>
      <c r="W2087" s="177"/>
      <c r="X2087" s="177"/>
      <c r="Y2087" s="177"/>
      <c r="Z2087" s="177"/>
      <c r="AA2087" s="177"/>
      <c r="AB2087" s="160"/>
      <c r="AC2087" s="160"/>
      <c r="AD2087" s="160"/>
      <c r="AE2087" s="160"/>
      <c r="AF2087" s="160"/>
      <c r="AG2087" s="160"/>
    </row>
    <row r="2088" ht="15.75" hidden="1" customHeight="1" outlineLevel="1">
      <c r="A2088" s="318"/>
      <c r="B2088" s="38"/>
      <c r="C2088" s="160"/>
      <c r="D2088" s="177">
        <f>IF($D$2030&gt;0,PPMT('Assumptions (Biomass)'!$V$7,Model!W$1,'Assumptions (Biomass)'!$V$10,'Assumptions (Biomass)'!$V$5*Model!$D$2030*'Assumptions (Biomass)'!$B$2/10^9),0)</f>
        <v>-0.0001742152528</v>
      </c>
      <c r="E2088" s="177">
        <f>IF($D$2030&gt;0,PPMT('Assumptions (Biomass)'!$V$7,Model!X$1,'Assumptions (Biomass)'!$V$10,'Assumptions (Biomass)'!$V$5*Model!$D$2030*'Assumptions (Biomass)'!$B$2/10^9),0)</f>
        <v>-0.0001824904774</v>
      </c>
      <c r="F2088" s="177">
        <f>IF($D$2030&gt;0,PPMT('Assumptions (Biomass)'!$V$7,Model!Y$1,'Assumptions (Biomass)'!$V$10,'Assumptions (Biomass)'!$V$5*Model!$D$2030*'Assumptions (Biomass)'!$B$2/10^9),0)</f>
        <v>-0.000191158775</v>
      </c>
      <c r="G2088" s="177">
        <f>IF($D$2030&gt;0,PPMT('Assumptions (Biomass)'!$V$7,Model!Z$1,'Assumptions (Biomass)'!$V$10,'Assumptions (Biomass)'!$V$5*Model!$D$2030*'Assumptions (Biomass)'!$B$2/10^9),0)</f>
        <v>-0.0002002388168</v>
      </c>
      <c r="H2088" s="177">
        <f>IF($D$2030&gt;0,PPMT('Assumptions (Biomass)'!$V$7,Model!AA$1,'Assumptions (Biomass)'!$V$10,'Assumptions (Biomass)'!$V$5*Model!$D$2030*'Assumptions (Biomass)'!$B$2/10^9),0)</f>
        <v>-0.0002097501606</v>
      </c>
      <c r="I2088" s="177">
        <f>IF($D$2030&gt;0,PPMT('Assumptions (Biomass)'!$V$7,Model!AB$1,'Assumptions (Biomass)'!$V$10,'Assumptions (Biomass)'!$V$5*Model!$D$2030*'Assumptions (Biomass)'!$B$2/10^9),0)</f>
        <v>-0.0002197132933</v>
      </c>
      <c r="J2088" s="177">
        <f>IF($D$2030&gt;0,PPMT('Assumptions (Biomass)'!$V$7,Model!AC$1,'Assumptions (Biomass)'!$V$10,'Assumptions (Biomass)'!$V$5*Model!$D$2030*'Assumptions (Biomass)'!$B$2/10^9),0)</f>
        <v>-0.0002301496747</v>
      </c>
      <c r="K2088" s="177">
        <f>IF($D$2030&gt;0,PPMT('Assumptions (Biomass)'!$V$7,Model!AD$1,'Assumptions (Biomass)'!$V$10,'Assumptions (Biomass)'!$V$5*Model!$D$2030*'Assumptions (Biomass)'!$B$2/10^9),0)</f>
        <v>-0.0002410817842</v>
      </c>
      <c r="L2088" s="177">
        <f>IF($D$2030&gt;0,PPMT('Assumptions (Biomass)'!$V$7,Model!AE$1,'Assumptions (Biomass)'!$V$10,'Assumptions (Biomass)'!$V$5*Model!$D$2030*'Assumptions (Biomass)'!$B$2/10^9),0)</f>
        <v>-0.000252533169</v>
      </c>
      <c r="M2088" s="177">
        <f>IF($D$2030&gt;0,PPMT('Assumptions (Biomass)'!$V$7,Model!AF$1,'Assumptions (Biomass)'!$V$10,'Assumptions (Biomass)'!$V$5*Model!$D$2030*'Assumptions (Biomass)'!$B$2/10^9),0)</f>
        <v>-0.0002645284945</v>
      </c>
      <c r="N2088" s="177">
        <f>IF($D$2030&gt;0,PPMT('Assumptions (Biomass)'!$V$7,Model!AG$1,'Assumptions (Biomass)'!$V$10,'Assumptions (Biomass)'!$V$5*Model!$D$2030*'Assumptions (Biomass)'!$B$2/10^9),0)</f>
        <v>-0.000277093598</v>
      </c>
      <c r="O2088" s="177">
        <f>IF($D$2030&gt;0,PPMT('Assumptions (Biomass)'!$V$7,Model!AH$1,'Assumptions (Biomass)'!$V$10,'Assumptions (Biomass)'!$V$5*Model!$D$2030*'Assumptions (Biomass)'!$B$2/10^9),0)</f>
        <v>-0.0002902555439</v>
      </c>
      <c r="P2088" s="177">
        <f>IF($D$2030&gt;0,PPMT('Assumptions (Biomass)'!$V$7,Model!AI$1,'Assumptions (Biomass)'!$V$10,'Assumptions (Biomass)'!$V$5*Model!$D$2030*'Assumptions (Biomass)'!$B$2/10^9),0)</f>
        <v>-0.0003040426823</v>
      </c>
      <c r="Q2088" s="177">
        <f>IF($D$2030&gt;0,PPMT('Assumptions (Biomass)'!$V$7,Model!AJ$1,'Assumptions (Biomass)'!$V$10,'Assumptions (Biomass)'!$V$5*Model!$D$2030*'Assumptions (Biomass)'!$B$2/10^9),0)</f>
        <v>-0.0003184847097</v>
      </c>
      <c r="R2088" s="177">
        <f>IF($D$2030&gt;0,PPMT('Assumptions (Biomass)'!$V$7,Model!AK$1,'Assumptions (Biomass)'!$V$10,'Assumptions (Biomass)'!$V$5*Model!$D$2030*'Assumptions (Biomass)'!$B$2/10^9),0)</f>
        <v>-0.0003336127334</v>
      </c>
      <c r="S2088" s="177"/>
      <c r="T2088" s="177"/>
      <c r="U2088" s="177"/>
      <c r="V2088" s="177"/>
      <c r="W2088" s="177"/>
      <c r="X2088" s="177"/>
      <c r="Y2088" s="177"/>
      <c r="Z2088" s="177"/>
      <c r="AA2088" s="177"/>
      <c r="AB2088" s="177"/>
      <c r="AC2088" s="160"/>
      <c r="AD2088" s="160"/>
      <c r="AE2088" s="160"/>
      <c r="AF2088" s="160"/>
      <c r="AG2088" s="160"/>
    </row>
    <row r="2089" ht="15.75" hidden="1" customHeight="1" outlineLevel="1">
      <c r="A2089" s="318"/>
      <c r="B2089" s="38"/>
      <c r="C2089" s="160"/>
      <c r="D2089" s="160"/>
      <c r="E2089" s="160">
        <f>IF($E$2030&gt;0,PPMT('Assumptions (Biomass)'!$V$7,Model!W$1,'Assumptions (Biomass)'!$V$10,'Assumptions (Biomass)'!$V$5*Model!$E$2030*AVERAGE('Assumptions (Biomass)'!$B$2:$C$2)/10^9),0)</f>
        <v>-0.00007925664839</v>
      </c>
      <c r="F2089" s="160">
        <f>IF($E$2030&gt;0,PPMT('Assumptions (Biomass)'!$V$7,Model!X$1,'Assumptions (Biomass)'!$V$10,'Assumptions (Biomass)'!$V$5*Model!$E$2030*AVERAGE('Assumptions (Biomass)'!$B$2:$C$2)/10^9),0)</f>
        <v>-0.00008302133919</v>
      </c>
      <c r="G2089" s="160">
        <f>IF($E$2030&gt;0,PPMT('Assumptions (Biomass)'!$V$7,Model!Y$1,'Assumptions (Biomass)'!$V$10,'Assumptions (Biomass)'!$V$5*Model!$E$2030*AVERAGE('Assumptions (Biomass)'!$B$2:$C$2)/10^9),0)</f>
        <v>-0.0000869648528</v>
      </c>
      <c r="H2089" s="160">
        <f>IF($E$2030&gt;0,PPMT('Assumptions (Biomass)'!$V$7,Model!Z$1,'Assumptions (Biomass)'!$V$10,'Assumptions (Biomass)'!$V$5*Model!$E$2030*AVERAGE('Assumptions (Biomass)'!$B$2:$C$2)/10^9),0)</f>
        <v>-0.00009109568331</v>
      </c>
      <c r="I2089" s="160">
        <f>IF($E$2030&gt;0,PPMT('Assumptions (Biomass)'!$V$7,Model!AA$1,'Assumptions (Biomass)'!$V$10,'Assumptions (Biomass)'!$V$5*Model!$E$2030*AVERAGE('Assumptions (Biomass)'!$B$2:$C$2)/10^9),0)</f>
        <v>-0.00009542272827</v>
      </c>
      <c r="J2089" s="160">
        <f>IF($E$2030&gt;0,PPMT('Assumptions (Biomass)'!$V$7,Model!AB$1,'Assumptions (Biomass)'!$V$10,'Assumptions (Biomass)'!$V$5*Model!$E$2030*AVERAGE('Assumptions (Biomass)'!$B$2:$C$2)/10^9),0)</f>
        <v>-0.00009995530786</v>
      </c>
      <c r="K2089" s="160">
        <f>IF($E$2030&gt;0,PPMT('Assumptions (Biomass)'!$V$7,Model!AC$1,'Assumptions (Biomass)'!$V$10,'Assumptions (Biomass)'!$V$5*Model!$E$2030*AVERAGE('Assumptions (Biomass)'!$B$2:$C$2)/10^9),0)</f>
        <v>-0.000104703185</v>
      </c>
      <c r="L2089" s="160">
        <f>IF($E$2030&gt;0,PPMT('Assumptions (Biomass)'!$V$7,Model!AD$1,'Assumptions (Biomass)'!$V$10,'Assumptions (Biomass)'!$V$5*Model!$E$2030*AVERAGE('Assumptions (Biomass)'!$B$2:$C$2)/10^9),0)</f>
        <v>-0.0001096765863</v>
      </c>
      <c r="M2089" s="160">
        <f>IF($E$2030&gt;0,PPMT('Assumptions (Biomass)'!$V$7,Model!AE$1,'Assumptions (Biomass)'!$V$10,'Assumptions (Biomass)'!$V$5*Model!$E$2030*AVERAGE('Assumptions (Biomass)'!$B$2:$C$2)/10^9),0)</f>
        <v>-0.0001148862241</v>
      </c>
      <c r="N2089" s="177">
        <f>IF($E$2030&gt;0,PPMT('Assumptions (Biomass)'!$V$7,Model!AF$1,'Assumptions (Biomass)'!$V$10,'Assumptions (Biomass)'!$V$5*Model!$E$2030*AVERAGE('Assumptions (Biomass)'!$B$2:$C$2)/10^9),0)</f>
        <v>-0.0001203433198</v>
      </c>
      <c r="O2089" s="160">
        <f>IF($E$2030&gt;0,PPMT('Assumptions (Biomass)'!$V$7,Model!AG$1,'Assumptions (Biomass)'!$V$10,'Assumptions (Biomass)'!$V$5*Model!$E$2030*AVERAGE('Assumptions (Biomass)'!$B$2:$C$2)/10^9),0)</f>
        <v>-0.0001260596274</v>
      </c>
      <c r="P2089" s="160">
        <f>IF($E$2030&gt;0,PPMT('Assumptions (Biomass)'!$V$7,Model!AH$1,'Assumptions (Biomass)'!$V$10,'Assumptions (Biomass)'!$V$5*Model!$E$2030*AVERAGE('Assumptions (Biomass)'!$B$2:$C$2)/10^9),0)</f>
        <v>-0.0001320474598</v>
      </c>
      <c r="Q2089" s="160">
        <f>IF($E$2030&gt;0,PPMT('Assumptions (Biomass)'!$V$7,Model!AI$1,'Assumptions (Biomass)'!$V$10,'Assumptions (Biomass)'!$V$5*Model!$E$2030*AVERAGE('Assumptions (Biomass)'!$B$2:$C$2)/10^9),0)</f>
        <v>-0.0001383197141</v>
      </c>
      <c r="R2089" s="160">
        <f>IF($E$2030&gt;0,PPMT('Assumptions (Biomass)'!$V$7,Model!AJ$1,'Assumptions (Biomass)'!$V$10,'Assumptions (Biomass)'!$V$5*Model!$E$2030*AVERAGE('Assumptions (Biomass)'!$B$2:$C$2)/10^9),0)</f>
        <v>-0.0001448899005</v>
      </c>
      <c r="S2089" s="160">
        <f>IF($E$2030&gt;0,PPMT('Assumptions (Biomass)'!$V$7,Model!AK$1,'Assumptions (Biomass)'!$V$10,'Assumptions (Biomass)'!$V$5*Model!$E$2030*AVERAGE('Assumptions (Biomass)'!$B$2:$C$2)/10^9),0)</f>
        <v>-0.0001517721708</v>
      </c>
      <c r="T2089" s="160"/>
      <c r="U2089" s="160"/>
      <c r="V2089" s="160"/>
      <c r="W2089" s="160"/>
      <c r="X2089" s="160"/>
      <c r="Y2089" s="160"/>
      <c r="Z2089" s="160"/>
      <c r="AA2089" s="160"/>
      <c r="AB2089" s="160"/>
      <c r="AC2089" s="160"/>
      <c r="AD2089" s="160"/>
      <c r="AE2089" s="160"/>
      <c r="AF2089" s="160"/>
      <c r="AG2089" s="160"/>
    </row>
    <row r="2090" ht="15.75" hidden="1" customHeight="1" outlineLevel="1">
      <c r="A2090" s="318"/>
      <c r="B2090" s="38"/>
      <c r="C2090" s="160"/>
      <c r="D2090" s="160"/>
      <c r="E2090" s="160"/>
      <c r="F2090" s="160">
        <f>IF($F$2030&gt;0,PPMT('Assumptions (Biomass)'!$V$7,Model!W$1,'Assumptions (Biomass)'!$V$10,'Assumptions (Biomass)'!$V$5*Model!$F$2030*AVERAGE('Assumptions (Biomass)'!$B$2:$D$2)/10^9),0)</f>
        <v>-0.00045313872</v>
      </c>
      <c r="G2090" s="160">
        <f>IF($F$2030&gt;0,PPMT('Assumptions (Biomass)'!$V$7,Model!X$1,'Assumptions (Biomass)'!$V$10,'Assumptions (Biomass)'!$V$5*Model!$F$2030*AVERAGE('Assumptions (Biomass)'!$B$2:$D$2)/10^9),0)</f>
        <v>-0.0004746628092</v>
      </c>
      <c r="H2090" s="160">
        <f>IF($F$2030&gt;0,PPMT('Assumptions (Biomass)'!$V$7,Model!Y$1,'Assumptions (Biomass)'!$V$10,'Assumptions (Biomass)'!$V$5*Model!$F$2030*AVERAGE('Assumptions (Biomass)'!$B$2:$D$2)/10^9),0)</f>
        <v>-0.0004972092926</v>
      </c>
      <c r="I2090" s="160">
        <f>IF($F$2030&gt;0,PPMT('Assumptions (Biomass)'!$V$7,Model!Z$1,'Assumptions (Biomass)'!$V$10,'Assumptions (Biomass)'!$V$5*Model!$F$2030*AVERAGE('Assumptions (Biomass)'!$B$2:$D$2)/10^9),0)</f>
        <v>-0.000520826734</v>
      </c>
      <c r="J2090" s="160">
        <f>IF($F$2030&gt;0,PPMT('Assumptions (Biomass)'!$V$7,Model!AA$1,'Assumptions (Biomass)'!$V$10,'Assumptions (Biomass)'!$V$5*Model!$F$2030*AVERAGE('Assumptions (Biomass)'!$B$2:$D$2)/10^9),0)</f>
        <v>-0.0005455660039</v>
      </c>
      <c r="K2090" s="160">
        <f>IF($F$2030&gt;0,PPMT('Assumptions (Biomass)'!$V$7,Model!AB$1,'Assumptions (Biomass)'!$V$10,'Assumptions (Biomass)'!$V$5*Model!$F$2030*AVERAGE('Assumptions (Biomass)'!$B$2:$D$2)/10^9),0)</f>
        <v>-0.0005714803891</v>
      </c>
      <c r="L2090" s="160">
        <f>IF($F$2030&gt;0,PPMT('Assumptions (Biomass)'!$V$7,Model!AC$1,'Assumptions (Biomass)'!$V$10,'Assumptions (Biomass)'!$V$5*Model!$F$2030*AVERAGE('Assumptions (Biomass)'!$B$2:$D$2)/10^9),0)</f>
        <v>-0.0005986257076</v>
      </c>
      <c r="M2090" s="160">
        <f>IF($F$2030&gt;0,PPMT('Assumptions (Biomass)'!$V$7,Model!AD$1,'Assumptions (Biomass)'!$V$10,'Assumptions (Biomass)'!$V$5*Model!$F$2030*AVERAGE('Assumptions (Biomass)'!$B$2:$D$2)/10^9),0)</f>
        <v>-0.0006270604287</v>
      </c>
      <c r="N2090" s="177">
        <f>IF($F$2030&gt;0,PPMT('Assumptions (Biomass)'!$V$7,Model!AE$1,'Assumptions (Biomass)'!$V$10,'Assumptions (Biomass)'!$V$5*Model!$F$2030*AVERAGE('Assumptions (Biomass)'!$B$2:$D$2)/10^9),0)</f>
        <v>-0.0006568457991</v>
      </c>
      <c r="O2090" s="160">
        <f>IF($F$2030&gt;0,PPMT('Assumptions (Biomass)'!$V$7,Model!AF$1,'Assumptions (Biomass)'!$V$10,'Assumptions (Biomass)'!$V$5*Model!$F$2030*AVERAGE('Assumptions (Biomass)'!$B$2:$D$2)/10^9),0)</f>
        <v>-0.0006880459745</v>
      </c>
      <c r="P2090" s="160">
        <f>IF($F$2030&gt;0,PPMT('Assumptions (Biomass)'!$V$7,Model!AG$1,'Assumptions (Biomass)'!$V$10,'Assumptions (Biomass)'!$V$5*Model!$F$2030*AVERAGE('Assumptions (Biomass)'!$B$2:$D$2)/10^9),0)</f>
        <v>-0.0007207281583</v>
      </c>
      <c r="Q2090" s="160">
        <f>IF($F$2030&gt;0,PPMT('Assumptions (Biomass)'!$V$7,Model!AH$1,'Assumptions (Biomass)'!$V$10,'Assumptions (Biomass)'!$V$5*Model!$F$2030*AVERAGE('Assumptions (Biomass)'!$B$2:$D$2)/10^9),0)</f>
        <v>-0.0007549627458</v>
      </c>
      <c r="R2090" s="160">
        <f>IF($F$2030&gt;0,PPMT('Assumptions (Biomass)'!$V$7,Model!AI$1,'Assumptions (Biomass)'!$V$10,'Assumptions (Biomass)'!$V$5*Model!$F$2030*AVERAGE('Assumptions (Biomass)'!$B$2:$D$2)/10^9),0)</f>
        <v>-0.0007908234763</v>
      </c>
      <c r="S2090" s="160">
        <f>IF($F$2030&gt;0,PPMT('Assumptions (Biomass)'!$V$7,Model!AJ$1,'Assumptions (Biomass)'!$V$10,'Assumptions (Biomass)'!$V$5*Model!$F$2030*AVERAGE('Assumptions (Biomass)'!$B$2:$D$2)/10^9),0)</f>
        <v>-0.0008283875914</v>
      </c>
      <c r="T2090" s="160">
        <f>IF($F$2030&gt;0,PPMT('Assumptions (Biomass)'!$V$7,Model!AK$1,'Assumptions (Biomass)'!$V$10,'Assumptions (Biomass)'!$V$5*Model!$F$2030*AVERAGE('Assumptions (Biomass)'!$B$2:$D$2)/10^9),0)</f>
        <v>-0.000867736002</v>
      </c>
      <c r="U2090" s="160"/>
      <c r="V2090" s="160"/>
      <c r="W2090" s="160"/>
      <c r="X2090" s="160"/>
      <c r="Y2090" s="160"/>
      <c r="Z2090" s="160"/>
      <c r="AA2090" s="160"/>
      <c r="AB2090" s="160"/>
      <c r="AC2090" s="160"/>
      <c r="AD2090" s="160"/>
      <c r="AE2090" s="160"/>
      <c r="AF2090" s="160"/>
      <c r="AG2090" s="160"/>
    </row>
    <row r="2091" ht="15.75" hidden="1" customHeight="1" outlineLevel="1">
      <c r="A2091" s="318"/>
      <c r="B2091" s="38"/>
      <c r="C2091" s="160"/>
      <c r="D2091" s="160"/>
      <c r="E2091" s="160"/>
      <c r="F2091" s="160"/>
      <c r="G2091" s="160">
        <f>IF($G$2030&gt;0,PPMT('Assumptions (Biomass)'!$V$7,Model!W$1,'Assumptions (Biomass)'!$V$10,'Assumptions (Biomass)'!$V$5*Model!$G$2030*AVERAGE('Assumptions (Biomass)'!$C$2:$E$2)/10^9),0)</f>
        <v>-0.002262918277</v>
      </c>
      <c r="H2091" s="160">
        <f>IF($G$2030&gt;0,PPMT('Assumptions (Biomass)'!$V$7,Model!X$1,'Assumptions (Biomass)'!$V$10,'Assumptions (Biomass)'!$V$5*Model!$G$2030*AVERAGE('Assumptions (Biomass)'!$C$2:$E$2)/10^9),0)</f>
        <v>-0.002370406895</v>
      </c>
      <c r="I2091" s="160">
        <f>IF($G$2030&gt;0,PPMT('Assumptions (Biomass)'!$V$7,Model!Y$1,'Assumptions (Biomass)'!$V$10,'Assumptions (Biomass)'!$V$5*Model!$G$2030*AVERAGE('Assumptions (Biomass)'!$C$2:$E$2)/10^9),0)</f>
        <v>-0.002483001222</v>
      </c>
      <c r="J2091" s="160">
        <f>IF($G$2030&gt;0,PPMT('Assumptions (Biomass)'!$V$7,Model!Z$1,'Assumptions (Biomass)'!$V$10,'Assumptions (Biomass)'!$V$5*Model!$G$2030*AVERAGE('Assumptions (Biomass)'!$C$2:$E$2)/10^9),0)</f>
        <v>-0.002600943781</v>
      </c>
      <c r="K2091" s="160">
        <f>IF($G$2030&gt;0,PPMT('Assumptions (Biomass)'!$V$7,Model!AA$1,'Assumptions (Biomass)'!$V$10,'Assumptions (Biomass)'!$V$5*Model!$G$2030*AVERAGE('Assumptions (Biomass)'!$C$2:$E$2)/10^9),0)</f>
        <v>-0.00272448861</v>
      </c>
      <c r="L2091" s="160">
        <f>IF($G$2030&gt;0,PPMT('Assumptions (Biomass)'!$V$7,Model!AB$1,'Assumptions (Biomass)'!$V$10,'Assumptions (Biomass)'!$V$5*Model!$G$2030*AVERAGE('Assumptions (Biomass)'!$C$2:$E$2)/10^9),0)</f>
        <v>-0.002853901819</v>
      </c>
      <c r="M2091" s="160">
        <f>IF($G$2030&gt;0,PPMT('Assumptions (Biomass)'!$V$7,Model!AC$1,'Assumptions (Biomass)'!$V$10,'Assumptions (Biomass)'!$V$5*Model!$G$2030*AVERAGE('Assumptions (Biomass)'!$C$2:$E$2)/10^9),0)</f>
        <v>-0.002989462156</v>
      </c>
      <c r="N2091" s="160">
        <f>IF($G$2030&gt;0,PPMT('Assumptions (Biomass)'!$V$7,Model!AD$1,'Assumptions (Biomass)'!$V$10,'Assumptions (Biomass)'!$V$5*Model!$G$2030*AVERAGE('Assumptions (Biomass)'!$C$2:$E$2)/10^9),0)</f>
        <v>-0.003131461608</v>
      </c>
      <c r="O2091" s="160">
        <f>IF($G$2030&gt;0,PPMT('Assumptions (Biomass)'!$V$7,Model!AE$1,'Assumptions (Biomass)'!$V$10,'Assumptions (Biomass)'!$V$5*Model!$G$2030*AVERAGE('Assumptions (Biomass)'!$C$2:$E$2)/10^9),0)</f>
        <v>-0.003280206034</v>
      </c>
      <c r="P2091" s="160">
        <f>IF($G$2030&gt;0,PPMT('Assumptions (Biomass)'!$V$7,Model!AF$1,'Assumptions (Biomass)'!$V$10,'Assumptions (Biomass)'!$V$5*Model!$G$2030*AVERAGE('Assumptions (Biomass)'!$C$2:$E$2)/10^9),0)</f>
        <v>-0.003436015821</v>
      </c>
      <c r="Q2091" s="160">
        <f>IF($G$2030&gt;0,PPMT('Assumptions (Biomass)'!$V$7,Model!AG$1,'Assumptions (Biomass)'!$V$10,'Assumptions (Biomass)'!$V$5*Model!$G$2030*AVERAGE('Assumptions (Biomass)'!$C$2:$E$2)/10^9),0)</f>
        <v>-0.003599226572</v>
      </c>
      <c r="R2091" s="160">
        <f>IF($G$2030&gt;0,PPMT('Assumptions (Biomass)'!$V$7,Model!AH$1,'Assumptions (Biomass)'!$V$10,'Assumptions (Biomass)'!$V$5*Model!$G$2030*AVERAGE('Assumptions (Biomass)'!$C$2:$E$2)/10^9),0)</f>
        <v>-0.003770189835</v>
      </c>
      <c r="S2091" s="160">
        <f>IF($G$2030&gt;0,PPMT('Assumptions (Biomass)'!$V$7,Model!AI$1,'Assumptions (Biomass)'!$V$10,'Assumptions (Biomass)'!$V$5*Model!$G$2030*AVERAGE('Assumptions (Biomass)'!$C$2:$E$2)/10^9),0)</f>
        <v>-0.003949273852</v>
      </c>
      <c r="T2091" s="160">
        <f>IF($G$2030&gt;0,PPMT('Assumptions (Biomass)'!$V$7,Model!AJ$1,'Assumptions (Biomass)'!$V$10,'Assumptions (Biomass)'!$V$5*Model!$G$2030*AVERAGE('Assumptions (Biomass)'!$C$2:$E$2)/10^9),0)</f>
        <v>-0.00413686436</v>
      </c>
      <c r="U2091" s="160">
        <f>IF($G$2030&gt;0,PPMT('Assumptions (Biomass)'!$V$7,Model!AK$1,'Assumptions (Biomass)'!$V$10,'Assumptions (Biomass)'!$V$5*Model!$G$2030*AVERAGE('Assumptions (Biomass)'!$C$2:$E$2)/10^9),0)</f>
        <v>-0.004333365417</v>
      </c>
      <c r="V2091" s="160"/>
      <c r="W2091" s="160"/>
      <c r="X2091" s="160"/>
      <c r="Y2091" s="160"/>
      <c r="Z2091" s="160"/>
      <c r="AA2091" s="160"/>
      <c r="AB2091" s="160"/>
      <c r="AC2091" s="160"/>
      <c r="AD2091" s="160"/>
      <c r="AE2091" s="160"/>
      <c r="AF2091" s="160"/>
      <c r="AG2091" s="160"/>
    </row>
    <row r="2092" ht="15.75" hidden="1" customHeight="1" outlineLevel="1">
      <c r="A2092" s="318"/>
      <c r="B2092" s="38"/>
      <c r="C2092" s="160"/>
      <c r="D2092" s="160"/>
      <c r="E2092" s="160"/>
      <c r="F2092" s="160"/>
      <c r="G2092" s="160"/>
      <c r="H2092" s="160">
        <f>IF($H$2030&gt;0,PPMT('Assumptions (Biomass)'!$V$7,Model!W$1,'Assumptions (Biomass)'!$V$10,'Assumptions (Biomass)'!$V$5*Model!$H$2030*AVERAGE('Assumptions (Biomass)'!$D$2:$F$2)/10^9),0)</f>
        <v>-0.0007112675667</v>
      </c>
      <c r="I2092" s="160">
        <f>IF($H$2030&gt;0,PPMT('Assumptions (Biomass)'!$V$7,Model!X$1,'Assumptions (Biomass)'!$V$10,'Assumptions (Biomass)'!$V$5*Model!$H$2030*AVERAGE('Assumptions (Biomass)'!$D$2:$F$2)/10^9),0)</f>
        <v>-0.0007450527761</v>
      </c>
      <c r="J2092" s="160">
        <f>IF($H$2030&gt;0,PPMT('Assumptions (Biomass)'!$V$7,Model!Y$1,'Assumptions (Biomass)'!$V$10,'Assumptions (Biomass)'!$V$5*Model!$H$2030*AVERAGE('Assumptions (Biomass)'!$D$2:$F$2)/10^9),0)</f>
        <v>-0.000780442783</v>
      </c>
      <c r="K2092" s="160">
        <f>IF($H$2030&gt;0,PPMT('Assumptions (Biomass)'!$V$7,Model!Z$1,'Assumptions (Biomass)'!$V$10,'Assumptions (Biomass)'!$V$5*Model!$H$2030*AVERAGE('Assumptions (Biomass)'!$D$2:$F$2)/10^9),0)</f>
        <v>-0.0008175138152</v>
      </c>
      <c r="L2092" s="160">
        <f>IF($H$2030&gt;0,PPMT('Assumptions (Biomass)'!$V$7,Model!AA$1,'Assumptions (Biomass)'!$V$10,'Assumptions (Biomass)'!$V$5*Model!$H$2030*AVERAGE('Assumptions (Biomass)'!$D$2:$F$2)/10^9),0)</f>
        <v>-0.0008563457214</v>
      </c>
      <c r="M2092" s="160">
        <f>IF($H$2030&gt;0,PPMT('Assumptions (Biomass)'!$V$7,Model!AB$1,'Assumptions (Biomass)'!$V$10,'Assumptions (Biomass)'!$V$5*Model!$H$2030*AVERAGE('Assumptions (Biomass)'!$D$2:$F$2)/10^9),0)</f>
        <v>-0.0008970221432</v>
      </c>
      <c r="N2092" s="160">
        <f>IF($H$2030&gt;0,PPMT('Assumptions (Biomass)'!$V$7,Model!AC$1,'Assumptions (Biomass)'!$V$10,'Assumptions (Biomass)'!$V$5*Model!$H$2030*AVERAGE('Assumptions (Biomass)'!$D$2:$F$2)/10^9),0)</f>
        <v>-0.000939630695</v>
      </c>
      <c r="O2092" s="160">
        <f>IF($H$2030&gt;0,PPMT('Assumptions (Biomass)'!$V$7,Model!AD$1,'Assumptions (Biomass)'!$V$10,'Assumptions (Biomass)'!$V$5*Model!$H$2030*AVERAGE('Assumptions (Biomass)'!$D$2:$F$2)/10^9),0)</f>
        <v>-0.000984263153</v>
      </c>
      <c r="P2092" s="160">
        <f>IF($H$2030&gt;0,PPMT('Assumptions (Biomass)'!$V$7,Model!AE$1,'Assumptions (Biomass)'!$V$10,'Assumptions (Biomass)'!$V$5*Model!$H$2030*AVERAGE('Assumptions (Biomass)'!$D$2:$F$2)/10^9),0)</f>
        <v>-0.001031015653</v>
      </c>
      <c r="Q2092" s="160">
        <f>IF($H$2030&gt;0,PPMT('Assumptions (Biomass)'!$V$7,Model!AF$1,'Assumptions (Biomass)'!$V$10,'Assumptions (Biomass)'!$V$5*Model!$H$2030*AVERAGE('Assumptions (Biomass)'!$D$2:$F$2)/10^9),0)</f>
        <v>-0.001079988896</v>
      </c>
      <c r="R2092" s="160">
        <f>IF($H$2030&gt;0,PPMT('Assumptions (Biomass)'!$V$7,Model!AG$1,'Assumptions (Biomass)'!$V$10,'Assumptions (Biomass)'!$V$5*Model!$H$2030*AVERAGE('Assumptions (Biomass)'!$D$2:$F$2)/10^9),0)</f>
        <v>-0.001131288369</v>
      </c>
      <c r="S2092" s="160">
        <f>IF($H$2030&gt;0,PPMT('Assumptions (Biomass)'!$V$7,Model!AH$1,'Assumptions (Biomass)'!$V$10,'Assumptions (Biomass)'!$V$5*Model!$H$2030*AVERAGE('Assumptions (Biomass)'!$D$2:$F$2)/10^9),0)</f>
        <v>-0.001185024566</v>
      </c>
      <c r="T2092" s="160">
        <f>IF($H$2030&gt;0,PPMT('Assumptions (Biomass)'!$V$7,Model!AI$1,'Assumptions (Biomass)'!$V$10,'Assumptions (Biomass)'!$V$5*Model!$H$2030*AVERAGE('Assumptions (Biomass)'!$D$2:$F$2)/10^9),0)</f>
        <v>-0.001241313233</v>
      </c>
      <c r="U2092" s="160">
        <f>IF($H$2030&gt;0,PPMT('Assumptions (Biomass)'!$V$7,Model!AJ$1,'Assumptions (Biomass)'!$V$10,'Assumptions (Biomass)'!$V$5*Model!$H$2030*AVERAGE('Assumptions (Biomass)'!$D$2:$F$2)/10^9),0)</f>
        <v>-0.001300275612</v>
      </c>
      <c r="V2092" s="160">
        <f>IF($H$2030&gt;0,PPMT('Assumptions (Biomass)'!$V$7,Model!AK$1,'Assumptions (Biomass)'!$V$10,'Assumptions (Biomass)'!$V$5*Model!$H$2030*AVERAGE('Assumptions (Biomass)'!$D$2:$F$2)/10^9),0)</f>
        <v>-0.001362038703</v>
      </c>
      <c r="W2092" s="160"/>
      <c r="X2092" s="160"/>
      <c r="Y2092" s="160"/>
      <c r="Z2092" s="160"/>
      <c r="AA2092" s="160"/>
      <c r="AB2092" s="160"/>
      <c r="AC2092" s="160"/>
      <c r="AD2092" s="160"/>
      <c r="AE2092" s="160"/>
      <c r="AF2092" s="160"/>
      <c r="AG2092" s="160"/>
    </row>
    <row r="2093" ht="15.75" hidden="1" customHeight="1" outlineLevel="1">
      <c r="A2093" s="318"/>
      <c r="B2093" s="38"/>
      <c r="C2093" s="160"/>
      <c r="D2093" s="160"/>
      <c r="E2093" s="160"/>
      <c r="F2093" s="160"/>
      <c r="G2093" s="160"/>
      <c r="H2093" s="160"/>
      <c r="I2093" s="160">
        <f>IF($I$2030&gt;0,PPMT('Assumptions (Biomass)'!$V$7,Model!W$1,'Assumptions (Biomass)'!$V$10,'Assumptions (Biomass)'!$V$5*Model!$I$2030*AVERAGE('Assumptions (Biomass)'!$E$2:$G$2)/10^9),0)</f>
        <v>-0.005798138529</v>
      </c>
      <c r="J2093" s="160">
        <f>IF($I$2030&gt;0,PPMT('Assumptions (Biomass)'!$V$7,Model!X$1,'Assumptions (Biomass)'!$V$10,'Assumptions (Biomass)'!$V$5*Model!$I$2030*AVERAGE('Assumptions (Biomass)'!$E$2:$G$2)/10^9),0)</f>
        <v>-0.006073550109</v>
      </c>
      <c r="K2093" s="160">
        <f>IF($I$2030&gt;0,PPMT('Assumptions (Biomass)'!$V$7,Model!Y$1,'Assumptions (Biomass)'!$V$10,'Assumptions (Biomass)'!$V$5*Model!$I$2030*AVERAGE('Assumptions (Biomass)'!$E$2:$G$2)/10^9),0)</f>
        <v>-0.006362043739</v>
      </c>
      <c r="L2093" s="160">
        <f>IF($I$2030&gt;0,PPMT('Assumptions (Biomass)'!$V$7,Model!Z$1,'Assumptions (Biomass)'!$V$10,'Assumptions (Biomass)'!$V$5*Model!$I$2030*AVERAGE('Assumptions (Biomass)'!$E$2:$G$2)/10^9),0)</f>
        <v>-0.006664240817</v>
      </c>
      <c r="M2093" s="160">
        <f>IF($I$2030&gt;0,PPMT('Assumptions (Biomass)'!$V$7,Model!AA$1,'Assumptions (Biomass)'!$V$10,'Assumptions (Biomass)'!$V$5*Model!$I$2030*AVERAGE('Assumptions (Biomass)'!$E$2:$G$2)/10^9),0)</f>
        <v>-0.006980792255</v>
      </c>
      <c r="N2093" s="160">
        <f>IF($I$2030&gt;0,PPMT('Assumptions (Biomass)'!$V$7,Model!AB$1,'Assumptions (Biomass)'!$V$10,'Assumptions (Biomass)'!$V$5*Model!$I$2030*AVERAGE('Assumptions (Biomass)'!$E$2:$G$2)/10^9),0)</f>
        <v>-0.007312379888</v>
      </c>
      <c r="O2093" s="160">
        <f>IF($I$2030&gt;0,PPMT('Assumptions (Biomass)'!$V$7,Model!AC$1,'Assumptions (Biomass)'!$V$10,'Assumptions (Biomass)'!$V$5*Model!$I$2030*AVERAGE('Assumptions (Biomass)'!$E$2:$G$2)/10^9),0)</f>
        <v>-0.007659717932</v>
      </c>
      <c r="P2093" s="160">
        <f>IF($I$2030&gt;0,PPMT('Assumptions (Biomass)'!$V$7,Model!AD$1,'Assumptions (Biomass)'!$V$10,'Assumptions (Biomass)'!$V$5*Model!$I$2030*AVERAGE('Assumptions (Biomass)'!$E$2:$G$2)/10^9),0)</f>
        <v>-0.008023554534</v>
      </c>
      <c r="Q2093" s="160">
        <f>IF($I$2030&gt;0,PPMT('Assumptions (Biomass)'!$V$7,Model!AE$1,'Assumptions (Biomass)'!$V$10,'Assumptions (Biomass)'!$V$5*Model!$I$2030*AVERAGE('Assumptions (Biomass)'!$E$2:$G$2)/10^9),0)</f>
        <v>-0.008404673374</v>
      </c>
      <c r="R2093" s="160">
        <f>IF($I$2030&gt;0,PPMT('Assumptions (Biomass)'!$V$7,Model!AF$1,'Assumptions (Biomass)'!$V$10,'Assumptions (Biomass)'!$V$5*Model!$I$2030*AVERAGE('Assumptions (Biomass)'!$E$2:$G$2)/10^9),0)</f>
        <v>-0.00880389536</v>
      </c>
      <c r="S2093" s="160">
        <f>IF($I$2030&gt;0,PPMT('Assumptions (Biomass)'!$V$7,Model!AG$1,'Assumptions (Biomass)'!$V$10,'Assumptions (Biomass)'!$V$5*Model!$I$2030*AVERAGE('Assumptions (Biomass)'!$E$2:$G$2)/10^9),0)</f>
        <v>-0.009222080389</v>
      </c>
      <c r="T2093" s="160">
        <f>IF($I$2030&gt;0,PPMT('Assumptions (Biomass)'!$V$7,Model!AH$1,'Assumptions (Biomass)'!$V$10,'Assumptions (Biomass)'!$V$5*Model!$I$2030*AVERAGE('Assumptions (Biomass)'!$E$2:$G$2)/10^9),0)</f>
        <v>-0.009660129208</v>
      </c>
      <c r="U2093" s="160">
        <f>IF($I$2030&gt;0,PPMT('Assumptions (Biomass)'!$V$7,Model!AI$1,'Assumptions (Biomass)'!$V$10,'Assumptions (Biomass)'!$V$5*Model!$I$2030*AVERAGE('Assumptions (Biomass)'!$E$2:$G$2)/10^9),0)</f>
        <v>-0.01011898535</v>
      </c>
      <c r="V2093" s="160">
        <f>IF($I$2030&gt;0,PPMT('Assumptions (Biomass)'!$V$7,Model!AJ$1,'Assumptions (Biomass)'!$V$10,'Assumptions (Biomass)'!$V$5*Model!$I$2030*AVERAGE('Assumptions (Biomass)'!$E$2:$G$2)/10^9),0)</f>
        <v>-0.01059963715</v>
      </c>
      <c r="W2093" s="160">
        <f>IF($I$2030&gt;0,PPMT('Assumptions (Biomass)'!$V$7,Model!AK$1,'Assumptions (Biomass)'!$V$10,'Assumptions (Biomass)'!$V$5*Model!$I$2030*AVERAGE('Assumptions (Biomass)'!$E$2:$G$2)/10^9),0)</f>
        <v>-0.01110311991</v>
      </c>
      <c r="X2093" s="160"/>
      <c r="Y2093" s="160"/>
      <c r="Z2093" s="160"/>
      <c r="AA2093" s="160"/>
      <c r="AB2093" s="160"/>
      <c r="AC2093" s="160"/>
      <c r="AD2093" s="160"/>
      <c r="AE2093" s="160"/>
      <c r="AF2093" s="160"/>
      <c r="AG2093" s="160"/>
    </row>
    <row r="2094" ht="15.75" hidden="1" customHeight="1" outlineLevel="1">
      <c r="A2094" s="318"/>
      <c r="B2094" s="38"/>
      <c r="C2094" s="160"/>
      <c r="D2094" s="160"/>
      <c r="E2094" s="160"/>
      <c r="F2094" s="160"/>
      <c r="G2094" s="160"/>
      <c r="H2094" s="160"/>
      <c r="I2094" s="160"/>
      <c r="J2094" s="160">
        <f>IF($J$2030&gt;0,PPMT('Assumptions (Biomass)'!$V$7,Model!W$1,'Assumptions (Biomass)'!$V$10,'Assumptions (Biomass)'!$V$5*Model!$J$2030*AVERAGE('Assumptions (Biomass)'!$F$2:$H$2)/10^9),0)</f>
        <v>-0.002096965972</v>
      </c>
      <c r="K2094" s="160">
        <f>IF($J$2030&gt;0,PPMT('Assumptions (Biomass)'!$V$7,Model!X$1,'Assumptions (Biomass)'!$V$10,'Assumptions (Biomass)'!$V$5*Model!$J$2030*AVERAGE('Assumptions (Biomass)'!$F$2:$H$2)/10^9),0)</f>
        <v>-0.002196571856</v>
      </c>
      <c r="L2094" s="160">
        <f>IF($J$2030&gt;0,PPMT('Assumptions (Biomass)'!$V$7,Model!Y$1,'Assumptions (Biomass)'!$V$10,'Assumptions (Biomass)'!$V$5*Model!$J$2030*AVERAGE('Assumptions (Biomass)'!$F$2:$H$2)/10^9),0)</f>
        <v>-0.002300909019</v>
      </c>
      <c r="M2094" s="160">
        <f>IF($J$2030&gt;0,PPMT('Assumptions (Biomass)'!$V$7,Model!Z$1,'Assumptions (Biomass)'!$V$10,'Assumptions (Biomass)'!$V$5*Model!$J$2030*AVERAGE('Assumptions (Biomass)'!$F$2:$H$2)/10^9),0)</f>
        <v>-0.002410202197</v>
      </c>
      <c r="N2094" s="160">
        <f>IF($J$2030&gt;0,PPMT('Assumptions (Biomass)'!$V$7,Model!AA$1,'Assumptions (Biomass)'!$V$10,'Assumptions (Biomass)'!$V$5*Model!$J$2030*AVERAGE('Assumptions (Biomass)'!$F$2:$H$2)/10^9),0)</f>
        <v>-0.002524686801</v>
      </c>
      <c r="O2094" s="160">
        <f>IF($J$2030&gt;0,PPMT('Assumptions (Biomass)'!$V$7,Model!AB$1,'Assumptions (Biomass)'!$V$10,'Assumptions (Biomass)'!$V$5*Model!$J$2030*AVERAGE('Assumptions (Biomass)'!$F$2:$H$2)/10^9),0)</f>
        <v>-0.002644609424</v>
      </c>
      <c r="P2094" s="160">
        <f>IF($J$2030&gt;0,PPMT('Assumptions (Biomass)'!$V$7,Model!AC$1,'Assumptions (Biomass)'!$V$10,'Assumptions (Biomass)'!$V$5*Model!$J$2030*AVERAGE('Assumptions (Biomass)'!$F$2:$H$2)/10^9),0)</f>
        <v>-0.002770228372</v>
      </c>
      <c r="Q2094" s="160">
        <f>IF($J$2030&gt;0,PPMT('Assumptions (Biomass)'!$V$7,Model!AD$1,'Assumptions (Biomass)'!$V$10,'Assumptions (Biomass)'!$V$5*Model!$J$2030*AVERAGE('Assumptions (Biomass)'!$F$2:$H$2)/10^9),0)</f>
        <v>-0.00290181422</v>
      </c>
      <c r="R2094" s="160">
        <f>IF($J$2030&gt;0,PPMT('Assumptions (Biomass)'!$V$7,Model!AE$1,'Assumptions (Biomass)'!$V$10,'Assumptions (Biomass)'!$V$5*Model!$J$2030*AVERAGE('Assumptions (Biomass)'!$F$2:$H$2)/10^9),0)</f>
        <v>-0.003039650395</v>
      </c>
      <c r="S2094" s="160">
        <f>IF($J$2030&gt;0,PPMT('Assumptions (Biomass)'!$V$7,Model!AF$1,'Assumptions (Biomass)'!$V$10,'Assumptions (Biomass)'!$V$5*Model!$J$2030*AVERAGE('Assumptions (Biomass)'!$F$2:$H$2)/10^9),0)</f>
        <v>-0.003184033789</v>
      </c>
      <c r="T2094" s="160">
        <f>IF($J$2030&gt;0,PPMT('Assumptions (Biomass)'!$V$7,Model!AG$1,'Assumptions (Biomass)'!$V$10,'Assumptions (Biomass)'!$V$5*Model!$J$2030*AVERAGE('Assumptions (Biomass)'!$F$2:$H$2)/10^9),0)</f>
        <v>-0.003335275394</v>
      </c>
      <c r="U2094" s="160">
        <f>IF($J$2030&gt;0,PPMT('Assumptions (Biomass)'!$V$7,Model!AH$1,'Assumptions (Biomass)'!$V$10,'Assumptions (Biomass)'!$V$5*Model!$J$2030*AVERAGE('Assumptions (Biomass)'!$F$2:$H$2)/10^9),0)</f>
        <v>-0.003493700975</v>
      </c>
      <c r="V2094" s="160">
        <f>IF($J$2030&gt;0,PPMT('Assumptions (Biomass)'!$V$7,Model!AI$1,'Assumptions (Biomass)'!$V$10,'Assumptions (Biomass)'!$V$5*Model!$J$2030*AVERAGE('Assumptions (Biomass)'!$F$2:$H$2)/10^9),0)</f>
        <v>-0.003659651772</v>
      </c>
      <c r="W2094" s="160">
        <f>IF($J$2030&gt;0,PPMT('Assumptions (Biomass)'!$V$7,Model!AJ$1,'Assumptions (Biomass)'!$V$10,'Assumptions (Biomass)'!$V$5*Model!$J$2030*AVERAGE('Assumptions (Biomass)'!$F$2:$H$2)/10^9),0)</f>
        <v>-0.003833485231</v>
      </c>
      <c r="X2094" s="160">
        <f>IF($J$2030&gt;0,PPMT('Assumptions (Biomass)'!$V$7,Model!AK$1,'Assumptions (Biomass)'!$V$10,'Assumptions (Biomass)'!$V$5*Model!$J$2030*AVERAGE('Assumptions (Biomass)'!$F$2:$H$2)/10^9),0)</f>
        <v>-0.004015575779</v>
      </c>
      <c r="Y2094" s="160"/>
      <c r="Z2094" s="160"/>
      <c r="AA2094" s="160"/>
      <c r="AB2094" s="160"/>
      <c r="AC2094" s="160"/>
      <c r="AD2094" s="160"/>
      <c r="AE2094" s="160"/>
      <c r="AF2094" s="160"/>
      <c r="AG2094" s="160"/>
      <c r="AH2094" s="160"/>
    </row>
    <row r="2095" ht="15.75" hidden="1" customHeight="1" outlineLevel="1">
      <c r="A2095" s="318"/>
      <c r="B2095" s="38"/>
      <c r="C2095" s="160"/>
      <c r="D2095" s="160"/>
      <c r="E2095" s="160"/>
      <c r="F2095" s="160"/>
      <c r="G2095" s="160"/>
      <c r="H2095" s="160"/>
      <c r="I2095" s="160"/>
      <c r="J2095" s="160"/>
      <c r="K2095" s="160">
        <f>IF($K$2030&gt;0,PPMT('Assumptions (Biomass)'!$V$7,Model!W$1,'Assumptions (Biomass)'!$V$10,'Assumptions (Biomass)'!$V$5*Model!$K$2030*AVERAGE('Assumptions (Biomass)'!$G$2:$I$2)/10^9),0)</f>
        <v>-0.0009638302206</v>
      </c>
      <c r="L2095" s="160">
        <f>IF($K$2030&gt;0,PPMT('Assumptions (Biomass)'!$V$7,Model!X$1,'Assumptions (Biomass)'!$V$10,'Assumptions (Biomass)'!$V$5*Model!$K$2030*AVERAGE('Assumptions (Biomass)'!$G$2:$I$2)/10^9),0)</f>
        <v>-0.001009612156</v>
      </c>
      <c r="M2095" s="160">
        <f>IF($K$2030&gt;0,PPMT('Assumptions (Biomass)'!$V$7,Model!Y$1,'Assumptions (Biomass)'!$V$10,'Assumptions (Biomass)'!$V$5*Model!$K$2030*AVERAGE('Assumptions (Biomass)'!$G$2:$I$2)/10^9),0)</f>
        <v>-0.001057568733</v>
      </c>
      <c r="N2095" s="160">
        <f>IF($K$2030&gt;0,PPMT('Assumptions (Biomass)'!$V$7,Model!Z$1,'Assumptions (Biomass)'!$V$10,'Assumptions (Biomass)'!$V$5*Model!$K$2030*AVERAGE('Assumptions (Biomass)'!$G$2:$I$2)/10^9),0)</f>
        <v>-0.001107803248</v>
      </c>
      <c r="O2095" s="160">
        <f>IF($K$2030&gt;0,PPMT('Assumptions (Biomass)'!$V$7,Model!AA$1,'Assumptions (Biomass)'!$V$10,'Assumptions (Biomass)'!$V$5*Model!$K$2030*AVERAGE('Assumptions (Biomass)'!$G$2:$I$2)/10^9),0)</f>
        <v>-0.001160423903</v>
      </c>
      <c r="P2095" s="160">
        <f>IF($K$2030&gt;0,PPMT('Assumptions (Biomass)'!$V$7,Model!AB$1,'Assumptions (Biomass)'!$V$10,'Assumptions (Biomass)'!$V$5*Model!$K$2030*AVERAGE('Assumptions (Biomass)'!$G$2:$I$2)/10^9),0)</f>
        <v>-0.001215544038</v>
      </c>
      <c r="Q2095" s="160">
        <f>IF($K$2030&gt;0,PPMT('Assumptions (Biomass)'!$V$7,Model!AC$1,'Assumptions (Biomass)'!$V$10,'Assumptions (Biomass)'!$V$5*Model!$K$2030*AVERAGE('Assumptions (Biomass)'!$G$2:$I$2)/10^9),0)</f>
        <v>-0.00127328238</v>
      </c>
      <c r="R2095" s="160">
        <f>IF($K$2030&gt;0,PPMT('Assumptions (Biomass)'!$V$7,Model!AD$1,'Assumptions (Biomass)'!$V$10,'Assumptions (Biomass)'!$V$5*Model!$K$2030*AVERAGE('Assumptions (Biomass)'!$G$2:$I$2)/10^9),0)</f>
        <v>-0.001333763293</v>
      </c>
      <c r="S2095" s="160">
        <f>IF($K$2030&gt;0,PPMT('Assumptions (Biomass)'!$V$7,Model!AE$1,'Assumptions (Biomass)'!$V$10,'Assumptions (Biomass)'!$V$5*Model!$K$2030*AVERAGE('Assumptions (Biomass)'!$G$2:$I$2)/10^9),0)</f>
        <v>-0.001397117049</v>
      </c>
      <c r="T2095" s="160">
        <f>IF($K$2030&gt;0,PPMT('Assumptions (Biomass)'!$V$7,Model!AF$1,'Assumptions (Biomass)'!$V$10,'Assumptions (Biomass)'!$V$5*Model!$K$2030*AVERAGE('Assumptions (Biomass)'!$G$2:$I$2)/10^9),0)</f>
        <v>-0.001463480109</v>
      </c>
      <c r="U2095" s="160">
        <f>IF($K$2030&gt;0,PPMT('Assumptions (Biomass)'!$V$7,Model!AG$1,'Assumptions (Biomass)'!$V$10,'Assumptions (Biomass)'!$V$5*Model!$K$2030*AVERAGE('Assumptions (Biomass)'!$G$2:$I$2)/10^9),0)</f>
        <v>-0.001532995414</v>
      </c>
      <c r="V2095" s="160">
        <f>IF($K$2030&gt;0,PPMT('Assumptions (Biomass)'!$V$7,Model!AH$1,'Assumptions (Biomass)'!$V$10,'Assumptions (Biomass)'!$V$5*Model!$K$2030*AVERAGE('Assumptions (Biomass)'!$G$2:$I$2)/10^9),0)</f>
        <v>-0.001605812696</v>
      </c>
      <c r="W2095" s="160">
        <f>IF($K$2030&gt;0,PPMT('Assumptions (Biomass)'!$V$7,Model!AI$1,'Assumptions (Biomass)'!$V$10,'Assumptions (Biomass)'!$V$5*Model!$K$2030*AVERAGE('Assumptions (Biomass)'!$G$2:$I$2)/10^9),0)</f>
        <v>-0.0016820888</v>
      </c>
      <c r="X2095" s="160">
        <f>IF($K$2030&gt;0,PPMT('Assumptions (Biomass)'!$V$7,Model!AJ$1,'Assumptions (Biomass)'!$V$10,'Assumptions (Biomass)'!$V$5*Model!$K$2030*AVERAGE('Assumptions (Biomass)'!$G$2:$I$2)/10^9),0)</f>
        <v>-0.001761988018</v>
      </c>
      <c r="Y2095" s="160">
        <f>IF($K$2030&gt;0,PPMT('Assumptions (Biomass)'!$V$7,Model!AK$1,'Assumptions (Biomass)'!$V$10,'Assumptions (Biomass)'!$V$5*Model!$K$2030*AVERAGE('Assumptions (Biomass)'!$G$2:$I$2)/10^9),0)</f>
        <v>-0.001845682448</v>
      </c>
      <c r="Z2095" s="160"/>
      <c r="AA2095" s="160"/>
      <c r="AB2095" s="160"/>
      <c r="AC2095" s="160"/>
      <c r="AD2095" s="160"/>
      <c r="AE2095" s="160"/>
      <c r="AF2095" s="160"/>
      <c r="AG2095" s="160"/>
      <c r="AH2095" s="160"/>
      <c r="AI2095" s="160"/>
    </row>
    <row r="2096" ht="15.75" hidden="1" customHeight="1" outlineLevel="1">
      <c r="A2096" s="318"/>
      <c r="B2096" s="38"/>
      <c r="C2096" s="160"/>
      <c r="D2096" s="160"/>
      <c r="E2096" s="160"/>
      <c r="F2096" s="160"/>
      <c r="G2096" s="160"/>
      <c r="H2096" s="160"/>
      <c r="I2096" s="160"/>
      <c r="J2096" s="160"/>
      <c r="K2096" s="160"/>
      <c r="L2096" s="160">
        <f>IF($L$2030&gt;0,PPMT('Assumptions (Biomass)'!$V$7,Model!W$1,'Assumptions (Biomass)'!$V$10,'Assumptions (Biomass)'!$V$5*Model!$L$2030*AVERAGE('Assumptions (Biomass)'!$H$2:$J$2)/10^9),0)</f>
        <v>-0.001791357651</v>
      </c>
      <c r="M2096" s="160">
        <f>IF($L$2030&gt;0,PPMT('Assumptions (Biomass)'!$V$7,Model!X$1,'Assumptions (Biomass)'!$V$10,'Assumptions (Biomass)'!$V$5*Model!$L$2030*AVERAGE('Assumptions (Biomass)'!$H$2:$J$2)/10^9),0)</f>
        <v>-0.00187644714</v>
      </c>
      <c r="N2096" s="160">
        <f>IF($L$2030&gt;0,PPMT('Assumptions (Biomass)'!$V$7,Model!Y$1,'Assumptions (Biomass)'!$V$10,'Assumptions (Biomass)'!$V$5*Model!$L$2030*AVERAGE('Assumptions (Biomass)'!$H$2:$J$2)/10^9),0)</f>
        <v>-0.001965578379</v>
      </c>
      <c r="O2096" s="160">
        <f>IF($L$2030&gt;0,PPMT('Assumptions (Biomass)'!$V$7,Model!Z$1,'Assumptions (Biomass)'!$V$10,'Assumptions (Biomass)'!$V$5*Model!$L$2030*AVERAGE('Assumptions (Biomass)'!$H$2:$J$2)/10^9),0)</f>
        <v>-0.002058943352</v>
      </c>
      <c r="P2096" s="160">
        <f>IF($L$2030&gt;0,PPMT('Assumptions (Biomass)'!$V$7,Model!AA$1,'Assumptions (Biomass)'!$V$10,'Assumptions (Biomass)'!$V$5*Model!$L$2030*AVERAGE('Assumptions (Biomass)'!$H$2:$J$2)/10^9),0)</f>
        <v>-0.002156743161</v>
      </c>
      <c r="Q2096" s="160">
        <f>IF($L$2030&gt;0,PPMT('Assumptions (Biomass)'!$V$7,Model!AB$1,'Assumptions (Biomass)'!$V$10,'Assumptions (Biomass)'!$V$5*Model!$L$2030*AVERAGE('Assumptions (Biomass)'!$H$2:$J$2)/10^9),0)</f>
        <v>-0.002259188461</v>
      </c>
      <c r="R2096" s="160">
        <f>IF($L$2030&gt;0,PPMT('Assumptions (Biomass)'!$V$7,Model!AC$1,'Assumptions (Biomass)'!$V$10,'Assumptions (Biomass)'!$V$5*Model!$L$2030*AVERAGE('Assumptions (Biomass)'!$H$2:$J$2)/10^9),0)</f>
        <v>-0.002366499913</v>
      </c>
      <c r="S2096" s="160">
        <f>IF($L$2030&gt;0,PPMT('Assumptions (Biomass)'!$V$7,Model!AD$1,'Assumptions (Biomass)'!$V$10,'Assumptions (Biomass)'!$V$5*Model!$L$2030*AVERAGE('Assumptions (Biomass)'!$H$2:$J$2)/10^9),0)</f>
        <v>-0.002478908659</v>
      </c>
      <c r="T2096" s="160">
        <f>IF($L$2030&gt;0,PPMT('Assumptions (Biomass)'!$V$7,Model!AE$1,'Assumptions (Biomass)'!$V$10,'Assumptions (Biomass)'!$V$5*Model!$L$2030*AVERAGE('Assumptions (Biomass)'!$H$2:$J$2)/10^9),0)</f>
        <v>-0.00259665682</v>
      </c>
      <c r="U2096" s="160">
        <f>IF($L$2030&gt;0,PPMT('Assumptions (Biomass)'!$V$7,Model!AF$1,'Assumptions (Biomass)'!$V$10,'Assumptions (Biomass)'!$V$5*Model!$L$2030*AVERAGE('Assumptions (Biomass)'!$H$2:$J$2)/10^9),0)</f>
        <v>-0.002719998019</v>
      </c>
      <c r="V2096" s="160">
        <f>IF($L$2030&gt;0,PPMT('Assumptions (Biomass)'!$V$7,Model!AG$1,'Assumptions (Biomass)'!$V$10,'Assumptions (Biomass)'!$V$5*Model!$L$2030*AVERAGE('Assumptions (Biomass)'!$H$2:$J$2)/10^9),0)</f>
        <v>-0.002849197925</v>
      </c>
      <c r="W2096" s="160">
        <f>IF($L$2030&gt;0,PPMT('Assumptions (Biomass)'!$V$7,Model!AH$1,'Assumptions (Biomass)'!$V$10,'Assumptions (Biomass)'!$V$5*Model!$L$2030*AVERAGE('Assumptions (Biomass)'!$H$2:$J$2)/10^9),0)</f>
        <v>-0.002984534826</v>
      </c>
      <c r="X2096" s="160">
        <f>IF($L$2030&gt;0,PPMT('Assumptions (Biomass)'!$V$7,Model!AI$1,'Assumptions (Biomass)'!$V$10,'Assumptions (Biomass)'!$V$5*Model!$L$2030*AVERAGE('Assumptions (Biomass)'!$H$2:$J$2)/10^9),0)</f>
        <v>-0.003126300231</v>
      </c>
      <c r="Y2096" s="160">
        <f>IF($L$2030&gt;0,PPMT('Assumptions (Biomass)'!$V$7,Model!AJ$1,'Assumptions (Biomass)'!$V$10,'Assumptions (Biomass)'!$V$5*Model!$L$2030*AVERAGE('Assumptions (Biomass)'!$H$2:$J$2)/10^9),0)</f>
        <v>-0.003274799492</v>
      </c>
      <c r="Z2096" s="160">
        <f>IF($L$2030&gt;0,PPMT('Assumptions (Biomass)'!$V$7,Model!AK$1,'Assumptions (Biomass)'!$V$10,'Assumptions (Biomass)'!$V$5*Model!$L$2030*AVERAGE('Assumptions (Biomass)'!$H$2:$J$2)/10^9),0)</f>
        <v>-0.003430352467</v>
      </c>
      <c r="AA2096" s="160"/>
      <c r="AB2096" s="160"/>
      <c r="AC2096" s="160"/>
      <c r="AD2096" s="160"/>
      <c r="AE2096" s="160"/>
      <c r="AF2096" s="160"/>
      <c r="AG2096" s="160"/>
      <c r="AH2096" s="160"/>
      <c r="AI2096" s="160"/>
      <c r="AJ2096" s="160"/>
    </row>
    <row r="2097" ht="15.75" hidden="1" customHeight="1" outlineLevel="1">
      <c r="A2097" s="318"/>
      <c r="B2097" s="38"/>
      <c r="C2097" s="160"/>
      <c r="D2097" s="160"/>
      <c r="E2097" s="160"/>
      <c r="F2097" s="160"/>
      <c r="G2097" s="160"/>
      <c r="H2097" s="160"/>
      <c r="I2097" s="160"/>
      <c r="J2097" s="160"/>
      <c r="K2097" s="160"/>
      <c r="L2097" s="160"/>
      <c r="M2097" s="160">
        <f>IF($M$2030&gt;0,PPMT('Assumptions (Biomass)'!$V$7,Model!W$1,'Assumptions (Biomass)'!$V$10,'Assumptions (Biomass)'!$V$5*Model!$M$2030*AVERAGE('Assumptions (Biomass)'!$I$2:$K$2)/10^9),0)</f>
        <v>-0.01149520617</v>
      </c>
      <c r="N2097" s="160">
        <f>IF($M$2030&gt;0,PPMT('Assumptions (Biomass)'!$V$7,Model!X$1,'Assumptions (Biomass)'!$V$10,'Assumptions (Biomass)'!$V$5*Model!$M$2030*AVERAGE('Assumptions (Biomass)'!$I$2:$K$2)/10^9),0)</f>
        <v>-0.01204122847</v>
      </c>
      <c r="O2097" s="160">
        <f>IF($M$2030&gt;0,PPMT('Assumptions (Biomass)'!$V$7,Model!Y$1,'Assumptions (Biomass)'!$V$10,'Assumptions (Biomass)'!$V$5*Model!$M$2030*AVERAGE('Assumptions (Biomass)'!$I$2:$K$2)/10^9),0)</f>
        <v>-0.01261318682</v>
      </c>
      <c r="P2097" s="160">
        <f>IF($M$2030&gt;0,PPMT('Assumptions (Biomass)'!$V$7,Model!Z$1,'Assumptions (Biomass)'!$V$10,'Assumptions (Biomass)'!$V$5*Model!$M$2030*AVERAGE('Assumptions (Biomass)'!$I$2:$K$2)/10^9),0)</f>
        <v>-0.01321231319</v>
      </c>
      <c r="Q2097" s="160">
        <f>IF($M$2030&gt;0,PPMT('Assumptions (Biomass)'!$V$7,Model!AA$1,'Assumptions (Biomass)'!$V$10,'Assumptions (Biomass)'!$V$5*Model!$M$2030*AVERAGE('Assumptions (Biomass)'!$I$2:$K$2)/10^9),0)</f>
        <v>-0.01383989807</v>
      </c>
      <c r="R2097" s="160">
        <f>IF($M$2030&gt;0,PPMT('Assumptions (Biomass)'!$V$7,Model!AB$1,'Assumptions (Biomass)'!$V$10,'Assumptions (Biomass)'!$V$5*Model!$M$2030*AVERAGE('Assumptions (Biomass)'!$I$2:$K$2)/10^9),0)</f>
        <v>-0.01449729323</v>
      </c>
      <c r="S2097" s="160">
        <f>IF($M$2030&gt;0,PPMT('Assumptions (Biomass)'!$V$7,Model!AC$1,'Assumptions (Biomass)'!$V$10,'Assumptions (Biomass)'!$V$5*Model!$M$2030*AVERAGE('Assumptions (Biomass)'!$I$2:$K$2)/10^9),0)</f>
        <v>-0.01518591465</v>
      </c>
      <c r="T2097" s="160">
        <f>IF($M$2030&gt;0,PPMT('Assumptions (Biomass)'!$V$7,Model!AD$1,'Assumptions (Biomass)'!$V$10,'Assumptions (Biomass)'!$V$5*Model!$M$2030*AVERAGE('Assumptions (Biomass)'!$I$2:$K$2)/10^9),0)</f>
        <v>-0.0159072456</v>
      </c>
      <c r="U2097" s="160">
        <f>IF($M$2030&gt;0,PPMT('Assumptions (Biomass)'!$V$7,Model!AE$1,'Assumptions (Biomass)'!$V$10,'Assumptions (Biomass)'!$V$5*Model!$M$2030*AVERAGE('Assumptions (Biomass)'!$I$2:$K$2)/10^9),0)</f>
        <v>-0.01666283977</v>
      </c>
      <c r="V2097" s="160">
        <f>IF($M$2030&gt;0,PPMT('Assumptions (Biomass)'!$V$7,Model!AF$1,'Assumptions (Biomass)'!$V$10,'Assumptions (Biomass)'!$V$5*Model!$M$2030*AVERAGE('Assumptions (Biomass)'!$I$2:$K$2)/10^9),0)</f>
        <v>-0.01745432466</v>
      </c>
      <c r="W2097" s="160">
        <f>IF($M$2030&gt;0,PPMT('Assumptions (Biomass)'!$V$7,Model!AG$1,'Assumptions (Biomass)'!$V$10,'Assumptions (Biomass)'!$V$5*Model!$M$2030*AVERAGE('Assumptions (Biomass)'!$I$2:$K$2)/10^9),0)</f>
        <v>-0.01828340508</v>
      </c>
      <c r="X2097" s="160">
        <f>IF($M$2030&gt;0,PPMT('Assumptions (Biomass)'!$V$7,Model!AH$1,'Assumptions (Biomass)'!$V$10,'Assumptions (Biomass)'!$V$5*Model!$M$2030*AVERAGE('Assumptions (Biomass)'!$I$2:$K$2)/10^9),0)</f>
        <v>-0.01915186682</v>
      </c>
      <c r="Y2097" s="160">
        <f>IF($M$2030&gt;0,PPMT('Assumptions (Biomass)'!$V$7,Model!AI$1,'Assumptions (Biomass)'!$V$10,'Assumptions (Biomass)'!$V$5*Model!$M$2030*AVERAGE('Assumptions (Biomass)'!$I$2:$K$2)/10^9),0)</f>
        <v>-0.02006158049</v>
      </c>
      <c r="Z2097" s="160">
        <f>IF($M$2030&gt;0,PPMT('Assumptions (Biomass)'!$V$7,Model!AJ$1,'Assumptions (Biomass)'!$V$10,'Assumptions (Biomass)'!$V$5*Model!$M$2030*AVERAGE('Assumptions (Biomass)'!$I$2:$K$2)/10^9),0)</f>
        <v>-0.02101450557</v>
      </c>
      <c r="AA2097" s="160">
        <f>IF($M$2030&gt;0,PPMT('Assumptions (Biomass)'!$V$7,Model!AK$1,'Assumptions (Biomass)'!$V$10,'Assumptions (Biomass)'!$V$5*Model!$M$2030*AVERAGE('Assumptions (Biomass)'!$I$2:$K$2)/10^9),0)</f>
        <v>-0.02201269458</v>
      </c>
      <c r="AB2097" s="160"/>
      <c r="AC2097" s="160"/>
      <c r="AD2097" s="160"/>
      <c r="AE2097" s="160"/>
      <c r="AF2097" s="160"/>
      <c r="AG2097" s="160"/>
      <c r="AH2097" s="160"/>
      <c r="AI2097" s="160"/>
      <c r="AJ2097" s="160"/>
      <c r="AK2097" s="160"/>
    </row>
    <row r="2098" ht="15.75" hidden="1" customHeight="1" outlineLevel="1">
      <c r="A2098" s="318"/>
      <c r="B2098" s="38"/>
      <c r="C2098" s="160"/>
      <c r="D2098" s="160"/>
      <c r="E2098" s="160"/>
      <c r="F2098" s="160"/>
      <c r="G2098" s="160"/>
      <c r="H2098" s="160"/>
      <c r="I2098" s="160"/>
      <c r="J2098" s="160"/>
      <c r="K2098" s="160"/>
      <c r="L2098" s="160"/>
      <c r="M2098" s="160"/>
      <c r="N2098" s="177">
        <f>IF($N$2030&gt;0,PPMT('Assumptions (Biomass)'!$V$7,Model!W$1,'Assumptions (Biomass)'!$V$10,'Assumptions (Biomass)'!$V$5*Model!$N$2030*AVERAGE('Assumptions (Biomass)'!$J$2:$L$2)/10^9),0)</f>
        <v>-0.01046497571</v>
      </c>
      <c r="O2098" s="177">
        <f>IF($N$2030&gt;0,PPMT('Assumptions (Biomass)'!$V$7,Model!X$1,'Assumptions (Biomass)'!$V$10,'Assumptions (Biomass)'!$V$5*Model!$N$2030*AVERAGE('Assumptions (Biomass)'!$J$2:$L$2)/10^9),0)</f>
        <v>-0.01096206206</v>
      </c>
      <c r="P2098" s="177">
        <f>IF($N$2030&gt;0,PPMT('Assumptions (Biomass)'!$V$7,Model!Y$1,'Assumptions (Biomass)'!$V$10,'Assumptions (Biomass)'!$V$5*Model!$N$2030*AVERAGE('Assumptions (Biomass)'!$J$2:$L$2)/10^9),0)</f>
        <v>-0.01148276</v>
      </c>
      <c r="Q2098" s="177">
        <f>IF($N$2030&gt;0,PPMT('Assumptions (Biomass)'!$V$7,Model!Z$1,'Assumptions (Biomass)'!$V$10,'Assumptions (Biomass)'!$V$5*Model!$N$2030*AVERAGE('Assumptions (Biomass)'!$J$2:$L$2)/10^9),0)</f>
        <v>-0.0120281911</v>
      </c>
      <c r="R2098" s="177">
        <f>IF($N$2030&gt;0,PPMT('Assumptions (Biomass)'!$V$7,Model!AA$1,'Assumptions (Biomass)'!$V$10,'Assumptions (Biomass)'!$V$5*Model!$N$2030*AVERAGE('Assumptions (Biomass)'!$J$2:$L$2)/10^9),0)</f>
        <v>-0.01259953018</v>
      </c>
      <c r="S2098" s="177">
        <f>IF($N$2030&gt;0,PPMT('Assumptions (Biomass)'!$V$7,Model!AB$1,'Assumptions (Biomass)'!$V$10,'Assumptions (Biomass)'!$V$5*Model!$N$2030*AVERAGE('Assumptions (Biomass)'!$J$2:$L$2)/10^9),0)</f>
        <v>-0.01319800787</v>
      </c>
      <c r="T2098" s="177">
        <f>IF($N$2030&gt;0,PPMT('Assumptions (Biomass)'!$V$7,Model!AC$1,'Assumptions (Biomass)'!$V$10,'Assumptions (Biomass)'!$V$5*Model!$N$2030*AVERAGE('Assumptions (Biomass)'!$J$2:$L$2)/10^9),0)</f>
        <v>-0.01382491324</v>
      </c>
      <c r="U2098" s="177">
        <f>IF($N$2030&gt;0,PPMT('Assumptions (Biomass)'!$V$7,Model!AD$1,'Assumptions (Biomass)'!$V$10,'Assumptions (Biomass)'!$V$5*Model!$N$2030*AVERAGE('Assumptions (Biomass)'!$J$2:$L$2)/10^9),0)</f>
        <v>-0.01448159662</v>
      </c>
      <c r="V2098" s="177">
        <f>IF($N$2030&gt;0,PPMT('Assumptions (Biomass)'!$V$7,Model!AE$1,'Assumptions (Biomass)'!$V$10,'Assumptions (Biomass)'!$V$5*Model!$N$2030*AVERAGE('Assumptions (Biomass)'!$J$2:$L$2)/10^9),0)</f>
        <v>-0.01516947246</v>
      </c>
      <c r="W2098" s="177">
        <f>IF($N$2030&gt;0,PPMT('Assumptions (Biomass)'!$V$7,Model!AF$1,'Assumptions (Biomass)'!$V$10,'Assumptions (Biomass)'!$V$5*Model!$N$2030*AVERAGE('Assumptions (Biomass)'!$J$2:$L$2)/10^9),0)</f>
        <v>-0.0158900224</v>
      </c>
      <c r="X2098" s="177">
        <f>IF($N$2030&gt;0,PPMT('Assumptions (Biomass)'!$V$7,Model!AG$1,'Assumptions (Biomass)'!$V$10,'Assumptions (Biomass)'!$V$5*Model!$N$2030*AVERAGE('Assumptions (Biomass)'!$J$2:$L$2)/10^9),0)</f>
        <v>-0.01664479846</v>
      </c>
      <c r="Y2098" s="177">
        <f>IF($N$2030&gt;0,PPMT('Assumptions (Biomass)'!$V$7,Model!AH$1,'Assumptions (Biomass)'!$V$10,'Assumptions (Biomass)'!$V$5*Model!$N$2030*AVERAGE('Assumptions (Biomass)'!$J$2:$L$2)/10^9),0)</f>
        <v>-0.01743542639</v>
      </c>
      <c r="Z2098" s="177">
        <f>IF($N$2030&gt;0,PPMT('Assumptions (Biomass)'!$V$7,Model!AI$1,'Assumptions (Biomass)'!$V$10,'Assumptions (Biomass)'!$V$5*Model!$N$2030*AVERAGE('Assumptions (Biomass)'!$J$2:$L$2)/10^9),0)</f>
        <v>-0.01826360914</v>
      </c>
      <c r="AA2098" s="177">
        <f>IF($N$2030&gt;0,PPMT('Assumptions (Biomass)'!$V$7,Model!AJ$1,'Assumptions (Biomass)'!$V$10,'Assumptions (Biomass)'!$V$5*Model!$N$2030*AVERAGE('Assumptions (Biomass)'!$J$2:$L$2)/10^9),0)</f>
        <v>-0.01913113058</v>
      </c>
      <c r="AB2098" s="177">
        <f>IF($N$2030&gt;0,PPMT('Assumptions (Biomass)'!$V$7,Model!AK$1,'Assumptions (Biomass)'!$V$10,'Assumptions (Biomass)'!$V$5*Model!$N$2030*AVERAGE('Assumptions (Biomass)'!$J$2:$L$2)/10^9),0)</f>
        <v>-0.02003985928</v>
      </c>
      <c r="AC2098" s="177"/>
      <c r="AD2098" s="177"/>
      <c r="AE2098" s="177"/>
      <c r="AF2098" s="177"/>
      <c r="AG2098" s="177"/>
      <c r="AH2098" s="177"/>
      <c r="AI2098" s="177"/>
      <c r="AJ2098" s="177"/>
      <c r="AK2098" s="177"/>
      <c r="AL2098" s="177"/>
    </row>
    <row r="2099" ht="15.75" hidden="1" customHeight="1" outlineLevel="1">
      <c r="A2099" s="318"/>
      <c r="B2099" s="38"/>
      <c r="C2099" s="160"/>
      <c r="D2099" s="160"/>
      <c r="E2099" s="160"/>
      <c r="F2099" s="160"/>
      <c r="G2099" s="160"/>
      <c r="H2099" s="160"/>
      <c r="I2099" s="160"/>
      <c r="J2099" s="160"/>
      <c r="K2099" s="160"/>
      <c r="L2099" s="160"/>
      <c r="M2099" s="160"/>
      <c r="N2099" s="160"/>
      <c r="O2099" s="160">
        <f>IF($O$2030&gt;0,PPMT('Assumptions (Biomass)'!$V$7,Model!W$1,'Assumptions (Biomass)'!$V$10,'Assumptions (Biomass)'!$V$5*Model!$O$2030*AVERAGE('Assumptions (Biomass)'!$K$2:$M$2)/10^9),0)</f>
        <v>-0.005313526551</v>
      </c>
      <c r="P2099" s="160">
        <f>IF($O$2030&gt;0,PPMT('Assumptions (Biomass)'!$V$7,Model!X$1,'Assumptions (Biomass)'!$V$10,'Assumptions (Biomass)'!$V$5*Model!$O$2030*AVERAGE('Assumptions (Biomass)'!$K$2:$M$2)/10^9),0)</f>
        <v>-0.005565919062</v>
      </c>
      <c r="Q2099" s="160">
        <f>IF($O$2030&gt;0,PPMT('Assumptions (Biomass)'!$V$7,Model!Y$1,'Assumptions (Biomass)'!$V$10,'Assumptions (Biomass)'!$V$5*Model!$O$2030*AVERAGE('Assumptions (Biomass)'!$K$2:$M$2)/10^9),0)</f>
        <v>-0.005830300218</v>
      </c>
      <c r="R2099" s="160">
        <f>IF($O$2030&gt;0,PPMT('Assumptions (Biomass)'!$V$7,Model!Z$1,'Assumptions (Biomass)'!$V$10,'Assumptions (Biomass)'!$V$5*Model!$O$2030*AVERAGE('Assumptions (Biomass)'!$K$2:$M$2)/10^9),0)</f>
        <v>-0.006107239478</v>
      </c>
      <c r="S2099" s="160">
        <f>IF($O$2030&gt;0,PPMT('Assumptions (Biomass)'!$V$7,Model!AA$1,'Assumptions (Biomass)'!$V$10,'Assumptions (Biomass)'!$V$5*Model!$O$2030*AVERAGE('Assumptions (Biomass)'!$K$2:$M$2)/10^9),0)</f>
        <v>-0.006397333354</v>
      </c>
      <c r="T2099" s="160">
        <f>IF($O$2030&gt;0,PPMT('Assumptions (Biomass)'!$V$7,Model!AB$1,'Assumptions (Biomass)'!$V$10,'Assumptions (Biomass)'!$V$5*Model!$O$2030*AVERAGE('Assumptions (Biomass)'!$K$2:$M$2)/10^9),0)</f>
        <v>-0.006701206688</v>
      </c>
      <c r="U2099" s="160">
        <f>IF($O$2030&gt;0,PPMT('Assumptions (Biomass)'!$V$7,Model!AC$1,'Assumptions (Biomass)'!$V$10,'Assumptions (Biomass)'!$V$5*Model!$O$2030*AVERAGE('Assumptions (Biomass)'!$K$2:$M$2)/10^9),0)</f>
        <v>-0.007019514005</v>
      </c>
      <c r="V2099" s="160">
        <f>IF($O$2030&gt;0,PPMT('Assumptions (Biomass)'!$V$7,Model!AD$1,'Assumptions (Biomass)'!$V$10,'Assumptions (Biomass)'!$V$5*Model!$O$2030*AVERAGE('Assumptions (Biomass)'!$K$2:$M$2)/10^9),0)</f>
        <v>-0.007352940921</v>
      </c>
      <c r="W2099" s="160">
        <f>IF($O$2030&gt;0,PPMT('Assumptions (Biomass)'!$V$7,Model!AE$1,'Assumptions (Biomass)'!$V$10,'Assumptions (Biomass)'!$V$5*Model!$O$2030*AVERAGE('Assumptions (Biomass)'!$K$2:$M$2)/10^9),0)</f>
        <v>-0.007702205614</v>
      </c>
      <c r="X2099" s="160">
        <f>IF($O$2030&gt;0,PPMT('Assumptions (Biomass)'!$V$7,Model!AF$1,'Assumptions (Biomass)'!$V$10,'Assumptions (Biomass)'!$V$5*Model!$O$2030*AVERAGE('Assumptions (Biomass)'!$K$2:$M$2)/10^9),0)</f>
        <v>-0.008068060381</v>
      </c>
      <c r="Y2099" s="160">
        <f>IF($O$2030&gt;0,PPMT('Assumptions (Biomass)'!$V$7,Model!AG$1,'Assumptions (Biomass)'!$V$10,'Assumptions (Biomass)'!$V$5*Model!$O$2030*AVERAGE('Assumptions (Biomass)'!$K$2:$M$2)/10^9),0)</f>
        <v>-0.008451293249</v>
      </c>
      <c r="Z2099" s="160">
        <f>IF($O$2030&gt;0,PPMT('Assumptions (Biomass)'!$V$7,Model!AH$1,'Assumptions (Biomass)'!$V$10,'Assumptions (Biomass)'!$V$5*Model!$O$2030*AVERAGE('Assumptions (Biomass)'!$K$2:$M$2)/10^9),0)</f>
        <v>-0.008852729679</v>
      </c>
      <c r="AA2099" s="160">
        <f>IF($O$2030&gt;0,PPMT('Assumptions (Biomass)'!$V$7,Model!AI$1,'Assumptions (Biomass)'!$V$10,'Assumptions (Biomass)'!$V$5*Model!$O$2030*AVERAGE('Assumptions (Biomass)'!$K$2:$M$2)/10^9),0)</f>
        <v>-0.009273234338</v>
      </c>
      <c r="AB2099" s="160">
        <f>IF($O$2030&gt;0,PPMT('Assumptions (Biomass)'!$V$7,Model!AJ$1,'Assumptions (Biomass)'!$V$10,'Assumptions (Biomass)'!$V$5*Model!$O$2030*AVERAGE('Assumptions (Biomass)'!$K$2:$M$2)/10^9),0)</f>
        <v>-0.009713712969</v>
      </c>
      <c r="AC2099" s="160">
        <f>IF($O$2030&gt;0,PPMT('Assumptions (Biomass)'!$V$7,Model!AK$1,'Assumptions (Biomass)'!$V$10,'Assumptions (Biomass)'!$V$5*Model!$O$2030*AVERAGE('Assumptions (Biomass)'!$K$2:$M$2)/10^9),0)</f>
        <v>-0.01017511434</v>
      </c>
      <c r="AD2099" s="160"/>
      <c r="AE2099" s="160"/>
      <c r="AF2099" s="160"/>
      <c r="AG2099" s="160"/>
      <c r="AH2099" s="160"/>
      <c r="AI2099" s="160"/>
      <c r="AJ2099" s="160"/>
      <c r="AK2099" s="160"/>
      <c r="AL2099" s="160"/>
      <c r="AM2099" s="160"/>
    </row>
    <row r="2100" ht="15.75" hidden="1" customHeight="1" outlineLevel="1">
      <c r="A2100" s="318"/>
      <c r="B2100" s="38"/>
      <c r="C2100" s="160"/>
      <c r="D2100" s="160"/>
      <c r="E2100" s="160"/>
      <c r="F2100" s="160"/>
      <c r="G2100" s="160"/>
      <c r="H2100" s="160"/>
      <c r="I2100" s="160"/>
      <c r="J2100" s="160"/>
      <c r="K2100" s="160"/>
      <c r="L2100" s="160"/>
      <c r="M2100" s="160"/>
      <c r="N2100" s="160"/>
      <c r="O2100" s="160"/>
      <c r="P2100" s="177">
        <f>IF($P$2030&gt;0,PPMT('Assumptions (Biomass)'!$V$7,Model!W$1,'Assumptions (Biomass)'!$V$10,'Assumptions (Biomass)'!$V$5*Model!$P$2030*AVERAGE('Assumptions (Biomass)'!$L$2:$N$2)/10^9),0)</f>
        <v>-0.01883107409</v>
      </c>
      <c r="Q2100" s="177">
        <f>IF($P$2030&gt;0,PPMT('Assumptions (Biomass)'!$V$7,Model!X$1,'Assumptions (Biomass)'!$V$10,'Assumptions (Biomass)'!$V$5*Model!$P$2030*AVERAGE('Assumptions (Biomass)'!$L$2:$N$2)/10^9),0)</f>
        <v>-0.01972555011</v>
      </c>
      <c r="R2100" s="177">
        <f>IF($P$2030&gt;0,PPMT('Assumptions (Biomass)'!$V$7,Model!Y$1,'Assumptions (Biomass)'!$V$10,'Assumptions (Biomass)'!$V$5*Model!$P$2030*AVERAGE('Assumptions (Biomass)'!$L$2:$N$2)/10^9),0)</f>
        <v>-0.02066251374</v>
      </c>
      <c r="S2100" s="177">
        <f>IF($P$2030&gt;0,PPMT('Assumptions (Biomass)'!$V$7,Model!Z$1,'Assumptions (Biomass)'!$V$10,'Assumptions (Biomass)'!$V$5*Model!$P$2030*AVERAGE('Assumptions (Biomass)'!$L$2:$N$2)/10^9),0)</f>
        <v>-0.02164398315</v>
      </c>
      <c r="T2100" s="177">
        <f>IF($P$2030&gt;0,PPMT('Assumptions (Biomass)'!$V$7,Model!AA$1,'Assumptions (Biomass)'!$V$10,'Assumptions (Biomass)'!$V$5*Model!$P$2030*AVERAGE('Assumptions (Biomass)'!$L$2:$N$2)/10^9),0)</f>
        <v>-0.02267207234</v>
      </c>
      <c r="U2100" s="177">
        <f>IF($P$2030&gt;0,PPMT('Assumptions (Biomass)'!$V$7,Model!AB$1,'Assumptions (Biomass)'!$V$10,'Assumptions (Biomass)'!$V$5*Model!$P$2030*AVERAGE('Assumptions (Biomass)'!$L$2:$N$2)/10^9),0)</f>
        <v>-0.02374899578</v>
      </c>
      <c r="V2100" s="177">
        <f>IF($P$2030&gt;0,PPMT('Assumptions (Biomass)'!$V$7,Model!AC$1,'Assumptions (Biomass)'!$V$10,'Assumptions (Biomass)'!$V$5*Model!$P$2030*AVERAGE('Assumptions (Biomass)'!$L$2:$N$2)/10^9),0)</f>
        <v>-0.02487707308</v>
      </c>
      <c r="W2100" s="177">
        <f>IF($P$2030&gt;0,PPMT('Assumptions (Biomass)'!$V$7,Model!AD$1,'Assumptions (Biomass)'!$V$10,'Assumptions (Biomass)'!$V$5*Model!$P$2030*AVERAGE('Assumptions (Biomass)'!$L$2:$N$2)/10^9),0)</f>
        <v>-0.02605873405</v>
      </c>
      <c r="X2100" s="177">
        <f>IF($P$2030&gt;0,PPMT('Assumptions (Biomass)'!$V$7,Model!AE$1,'Assumptions (Biomass)'!$V$10,'Assumptions (Biomass)'!$V$5*Model!$P$2030*AVERAGE('Assumptions (Biomass)'!$L$2:$N$2)/10^9),0)</f>
        <v>-0.02729652392</v>
      </c>
      <c r="Y2100" s="177">
        <f>IF($P$2030&gt;0,PPMT('Assumptions (Biomass)'!$V$7,Model!AF$1,'Assumptions (Biomass)'!$V$10,'Assumptions (Biomass)'!$V$5*Model!$P$2030*AVERAGE('Assumptions (Biomass)'!$L$2:$N$2)/10^9),0)</f>
        <v>-0.02859310881</v>
      </c>
      <c r="Z2100" s="177">
        <f>IF($P$2030&gt;0,PPMT('Assumptions (Biomass)'!$V$7,Model!AG$1,'Assumptions (Biomass)'!$V$10,'Assumptions (Biomass)'!$V$5*Model!$P$2030*AVERAGE('Assumptions (Biomass)'!$L$2:$N$2)/10^9),0)</f>
        <v>-0.02995128147</v>
      </c>
      <c r="AA2100" s="177">
        <f>IF($P$2030&gt;0,PPMT('Assumptions (Biomass)'!$V$7,Model!AH$1,'Assumptions (Biomass)'!$V$10,'Assumptions (Biomass)'!$V$5*Model!$P$2030*AVERAGE('Assumptions (Biomass)'!$L$2:$N$2)/10^9),0)</f>
        <v>-0.03137396734</v>
      </c>
      <c r="AB2100" s="177">
        <f>IF($P$2030&gt;0,PPMT('Assumptions (Biomass)'!$V$7,Model!AI$1,'Assumptions (Biomass)'!$V$10,'Assumptions (Biomass)'!$V$5*Model!$P$2030*AVERAGE('Assumptions (Biomass)'!$L$2:$N$2)/10^9),0)</f>
        <v>-0.03286423079</v>
      </c>
      <c r="AC2100" s="177">
        <f>IF($P$2030&gt;0,PPMT('Assumptions (Biomass)'!$V$7,Model!AJ$1,'Assumptions (Biomass)'!$V$10,'Assumptions (Biomass)'!$V$5*Model!$P$2030*AVERAGE('Assumptions (Biomass)'!$L$2:$N$2)/10^9),0)</f>
        <v>-0.03442528176</v>
      </c>
      <c r="AD2100" s="177">
        <f>IF($P$2030&gt;0,PPMT('Assumptions (Biomass)'!$V$7,Model!AK$1,'Assumptions (Biomass)'!$V$10,'Assumptions (Biomass)'!$V$5*Model!$P$2030*AVERAGE('Assumptions (Biomass)'!$L$2:$N$2)/10^9),0)</f>
        <v>-0.03606048264</v>
      </c>
      <c r="AE2100" s="177"/>
      <c r="AF2100" s="177"/>
      <c r="AG2100" s="177"/>
      <c r="AH2100" s="177"/>
      <c r="AI2100" s="177"/>
      <c r="AJ2100" s="177"/>
      <c r="AK2100" s="177"/>
      <c r="AL2100" s="177"/>
      <c r="AM2100" s="177"/>
      <c r="AN2100" s="177"/>
    </row>
    <row r="2101" ht="15.75" hidden="1" customHeight="1" outlineLevel="1">
      <c r="A2101" s="318"/>
      <c r="B2101" s="38"/>
      <c r="C2101" s="160"/>
      <c r="D2101" s="160"/>
      <c r="E2101" s="160"/>
      <c r="F2101" s="160"/>
      <c r="G2101" s="160"/>
      <c r="H2101" s="160"/>
      <c r="I2101" s="160"/>
      <c r="J2101" s="160"/>
      <c r="K2101" s="160"/>
      <c r="L2101" s="160"/>
      <c r="M2101" s="160"/>
      <c r="N2101" s="160"/>
      <c r="O2101" s="160"/>
      <c r="P2101" s="179"/>
      <c r="Q2101" s="160">
        <f>IF($Q$2030&gt;0,PPMT('Assumptions (Biomass)'!$V$7,Model!W$1,'Assumptions (Biomass)'!$V$10,'Assumptions (Biomass)'!$V$5*Model!$Q$2030*AVERAGE('Assumptions (Biomass)'!$M$2:$O$2)/10^9),0)</f>
        <v>-0.01080613522</v>
      </c>
      <c r="R2101" s="160">
        <f>IF($Q$2030&gt;0,PPMT('Assumptions (Biomass)'!$V$7,Model!X$1,'Assumptions (Biomass)'!$V$10,'Assumptions (Biomass)'!$V$5*Model!$Q$2030*AVERAGE('Assumptions (Biomass)'!$M$2:$O$2)/10^9),0)</f>
        <v>-0.01131942664</v>
      </c>
      <c r="S2101" s="160">
        <f>IF($Q$2030&gt;0,PPMT('Assumptions (Biomass)'!$V$7,Model!Y$1,'Assumptions (Biomass)'!$V$10,'Assumptions (Biomass)'!$V$5*Model!$Q$2030*AVERAGE('Assumptions (Biomass)'!$M$2:$O$2)/10^9),0)</f>
        <v>-0.0118570994</v>
      </c>
      <c r="T2101" s="160">
        <f>IF($Q$2030&gt;0,PPMT('Assumptions (Biomass)'!$V$7,Model!Z$1,'Assumptions (Biomass)'!$V$10,'Assumptions (Biomass)'!$V$5*Model!$Q$2030*AVERAGE('Assumptions (Biomass)'!$M$2:$O$2)/10^9),0)</f>
        <v>-0.01242031163</v>
      </c>
      <c r="U2101" s="160">
        <f>IF($Q$2030&gt;0,PPMT('Assumptions (Biomass)'!$V$7,Model!AA$1,'Assumptions (Biomass)'!$V$10,'Assumptions (Biomass)'!$V$5*Model!$Q$2030*AVERAGE('Assumptions (Biomass)'!$M$2:$O$2)/10^9),0)</f>
        <v>-0.01301027643</v>
      </c>
      <c r="V2101" s="160">
        <f>IF($Q$2030&gt;0,PPMT('Assumptions (Biomass)'!$V$7,Model!AB$1,'Assumptions (Biomass)'!$V$10,'Assumptions (Biomass)'!$V$5*Model!$Q$2030*AVERAGE('Assumptions (Biomass)'!$M$2:$O$2)/10^9),0)</f>
        <v>-0.01362826456</v>
      </c>
      <c r="W2101" s="160">
        <f>IF($Q$2030&gt;0,PPMT('Assumptions (Biomass)'!$V$7,Model!AC$1,'Assumptions (Biomass)'!$V$10,'Assumptions (Biomass)'!$V$5*Model!$Q$2030*AVERAGE('Assumptions (Biomass)'!$M$2:$O$2)/10^9),0)</f>
        <v>-0.01427560713</v>
      </c>
      <c r="X2101" s="160">
        <f>IF($Q$2030&gt;0,PPMT('Assumptions (Biomass)'!$V$7,Model!AD$1,'Assumptions (Biomass)'!$V$10,'Assumptions (Biomass)'!$V$5*Model!$Q$2030*AVERAGE('Assumptions (Biomass)'!$M$2:$O$2)/10^9),0)</f>
        <v>-0.01495369846</v>
      </c>
      <c r="Y2101" s="160">
        <f>IF($Q$2030&gt;0,PPMT('Assumptions (Biomass)'!$V$7,Model!AE$1,'Assumptions (Biomass)'!$V$10,'Assumptions (Biomass)'!$V$5*Model!$Q$2030*AVERAGE('Assumptions (Biomass)'!$M$2:$O$2)/10^9),0)</f>
        <v>-0.01566399914</v>
      </c>
      <c r="Z2101" s="160">
        <f>IF($Q$2030&gt;0,PPMT('Assumptions (Biomass)'!$V$7,Model!AF$1,'Assumptions (Biomass)'!$V$10,'Assumptions (Biomass)'!$V$5*Model!$Q$2030*AVERAGE('Assumptions (Biomass)'!$M$2:$O$2)/10^9),0)</f>
        <v>-0.0164080391</v>
      </c>
      <c r="AA2101" s="160">
        <f>IF($Q$2030&gt;0,PPMT('Assumptions (Biomass)'!$V$7,Model!AG$1,'Assumptions (Biomass)'!$V$10,'Assumptions (Biomass)'!$V$5*Model!$Q$2030*AVERAGE('Assumptions (Biomass)'!$M$2:$O$2)/10^9),0)</f>
        <v>-0.01718742096</v>
      </c>
      <c r="AB2101" s="160">
        <f>IF($Q$2030&gt;0,PPMT('Assumptions (Biomass)'!$V$7,Model!AH$1,'Assumptions (Biomass)'!$V$10,'Assumptions (Biomass)'!$V$5*Model!$Q$2030*AVERAGE('Assumptions (Biomass)'!$M$2:$O$2)/10^9),0)</f>
        <v>-0.01800382345</v>
      </c>
      <c r="AC2101" s="160">
        <f>IF($Q$2030&gt;0,PPMT('Assumptions (Biomass)'!$V$7,Model!AI$1,'Assumptions (Biomass)'!$V$10,'Assumptions (Biomass)'!$V$5*Model!$Q$2030*AVERAGE('Assumptions (Biomass)'!$M$2:$O$2)/10^9),0)</f>
        <v>-0.01885900507</v>
      </c>
      <c r="AD2101" s="160">
        <f>IF($Q$2030&gt;0,PPMT('Assumptions (Biomass)'!$V$7,Model!AJ$1,'Assumptions (Biomass)'!$V$10,'Assumptions (Biomass)'!$V$5*Model!$Q$2030*AVERAGE('Assumptions (Biomass)'!$M$2:$O$2)/10^9),0)</f>
        <v>-0.01975480781</v>
      </c>
      <c r="AE2101" s="160">
        <f>IF($Q$2030&gt;0,PPMT('Assumptions (Biomass)'!$V$7,Model!AK$1,'Assumptions (Biomass)'!$V$10,'Assumptions (Biomass)'!$V$5*Model!$Q$2030*AVERAGE('Assumptions (Biomass)'!$M$2:$O$2)/10^9),0)</f>
        <v>-0.02069316118</v>
      </c>
      <c r="AF2101" s="160"/>
      <c r="AG2101" s="160"/>
      <c r="AH2101" s="160"/>
      <c r="AI2101" s="160"/>
      <c r="AJ2101" s="160"/>
      <c r="AK2101" s="160"/>
      <c r="AL2101" s="160"/>
      <c r="AM2101" s="160"/>
      <c r="AN2101" s="160"/>
      <c r="AO2101" s="160"/>
    </row>
    <row r="2102" ht="15.75" hidden="1" customHeight="1" outlineLevel="1">
      <c r="A2102" s="318"/>
      <c r="B2102" s="38"/>
      <c r="C2102" s="160"/>
      <c r="D2102" s="160"/>
      <c r="E2102" s="160"/>
      <c r="F2102" s="160"/>
      <c r="G2102" s="160"/>
      <c r="H2102" s="160"/>
      <c r="I2102" s="160"/>
      <c r="J2102" s="160"/>
      <c r="K2102" s="160"/>
      <c r="L2102" s="160"/>
      <c r="M2102" s="160"/>
      <c r="N2102" s="160"/>
      <c r="O2102" s="160"/>
      <c r="P2102" s="179"/>
      <c r="Q2102" s="160"/>
      <c r="R2102" s="177">
        <f>IF($R$2030&gt;0,PPMT('Assumptions (Biomass)'!$V$7,Model!W$1,'Assumptions (Biomass)'!$V$10,'Assumptions (Biomass)'!$V$5*Model!$R$2030*AVERAGE('Assumptions (Biomass)'!$N$2:$P$2)/10^9),0)</f>
        <v>-0.005235625405</v>
      </c>
      <c r="S2102" s="177">
        <f>IF($R$2030&gt;0,PPMT('Assumptions (Biomass)'!$V$7,Model!X$1,'Assumptions (Biomass)'!$V$10,'Assumptions (Biomass)'!$V$5*Model!$R$2030*AVERAGE('Assumptions (Biomass)'!$N$2:$P$2)/10^9),0)</f>
        <v>-0.005484317612</v>
      </c>
      <c r="T2102" s="177">
        <f>IF($R$2030&gt;0,PPMT('Assumptions (Biomass)'!$V$7,Model!Y$1,'Assumptions (Biomass)'!$V$10,'Assumptions (Biomass)'!$V$5*Model!$R$2030*AVERAGE('Assumptions (Biomass)'!$N$2:$P$2)/10^9),0)</f>
        <v>-0.005744822698</v>
      </c>
      <c r="U2102" s="177">
        <f>IF($R$2030&gt;0,PPMT('Assumptions (Biomass)'!$V$7,Model!Z$1,'Assumptions (Biomass)'!$V$10,'Assumptions (Biomass)'!$V$5*Model!$R$2030*AVERAGE('Assumptions (Biomass)'!$N$2:$P$2)/10^9),0)</f>
        <v>-0.006017701776</v>
      </c>
      <c r="V2102" s="177">
        <f>IF($R$2030&gt;0,PPMT('Assumptions (Biomass)'!$V$7,Model!AA$1,'Assumptions (Biomass)'!$V$10,'Assumptions (Biomass)'!$V$5*Model!$R$2030*AVERAGE('Assumptions (Biomass)'!$N$2:$P$2)/10^9),0)</f>
        <v>-0.006303542611</v>
      </c>
      <c r="W2102" s="177">
        <f>IF($R$2030&gt;0,PPMT('Assumptions (Biomass)'!$V$7,Model!AB$1,'Assumptions (Biomass)'!$V$10,'Assumptions (Biomass)'!$V$5*Model!$R$2030*AVERAGE('Assumptions (Biomass)'!$N$2:$P$2)/10^9),0)</f>
        <v>-0.006602960885</v>
      </c>
      <c r="X2102" s="177">
        <f>IF($R$2030&gt;0,PPMT('Assumptions (Biomass)'!$V$7,Model!AC$1,'Assumptions (Biomass)'!$V$10,'Assumptions (Biomass)'!$V$5*Model!$R$2030*AVERAGE('Assumptions (Biomass)'!$N$2:$P$2)/10^9),0)</f>
        <v>-0.006916601527</v>
      </c>
      <c r="Y2102" s="177">
        <f>IF($R$2030&gt;0,PPMT('Assumptions (Biomass)'!$V$7,Model!AD$1,'Assumptions (Biomass)'!$V$10,'Assumptions (Biomass)'!$V$5*Model!$R$2030*AVERAGE('Assumptions (Biomass)'!$N$2:$P$2)/10^9),0)</f>
        <v>-0.007245140099</v>
      </c>
      <c r="Z2102" s="177">
        <f>IF($R$2030&gt;0,PPMT('Assumptions (Biomass)'!$V$7,Model!AE$1,'Assumptions (Biomass)'!$V$10,'Assumptions (Biomass)'!$V$5*Model!$R$2030*AVERAGE('Assumptions (Biomass)'!$N$2:$P$2)/10^9),0)</f>
        <v>-0.007589284254</v>
      </c>
      <c r="AA2102" s="177">
        <f>IF($R$2030&gt;0,PPMT('Assumptions (Biomass)'!$V$7,Model!AF$1,'Assumptions (Biomass)'!$V$10,'Assumptions (Biomass)'!$V$5*Model!$R$2030*AVERAGE('Assumptions (Biomass)'!$N$2:$P$2)/10^9),0)</f>
        <v>-0.007949775256</v>
      </c>
      <c r="AB2102" s="177">
        <f>IF($R$2030&gt;0,PPMT('Assumptions (Biomass)'!$V$7,Model!AG$1,'Assumptions (Biomass)'!$V$10,'Assumptions (Biomass)'!$V$5*Model!$R$2030*AVERAGE('Assumptions (Biomass)'!$N$2:$P$2)/10^9),0)</f>
        <v>-0.008327389581</v>
      </c>
      <c r="AC2102" s="177">
        <f>IF($R$2030&gt;0,PPMT('Assumptions (Biomass)'!$V$7,Model!AH$1,'Assumptions (Biomass)'!$V$10,'Assumptions (Biomass)'!$V$5*Model!$R$2030*AVERAGE('Assumptions (Biomass)'!$N$2:$P$2)/10^9),0)</f>
        <v>-0.008722940586</v>
      </c>
      <c r="AD2102" s="177">
        <f>IF($R$2030&gt;0,PPMT('Assumptions (Biomass)'!$V$7,Model!AI$1,'Assumptions (Biomass)'!$V$10,'Assumptions (Biomass)'!$V$5*Model!$R$2030*AVERAGE('Assumptions (Biomass)'!$N$2:$P$2)/10^9),0)</f>
        <v>-0.009137280264</v>
      </c>
      <c r="AE2102" s="177">
        <f>IF($R$2030&gt;0,PPMT('Assumptions (Biomass)'!$V$7,Model!AJ$1,'Assumptions (Biomass)'!$V$10,'Assumptions (Biomass)'!$V$5*Model!$R$2030*AVERAGE('Assumptions (Biomass)'!$N$2:$P$2)/10^9),0)</f>
        <v>-0.009571301076</v>
      </c>
      <c r="AF2102" s="177">
        <f>IF($R$2030&gt;0,PPMT('Assumptions (Biomass)'!$V$7,Model!AK$1,'Assumptions (Biomass)'!$V$10,'Assumptions (Biomass)'!$V$5*Model!$R$2030*AVERAGE('Assumptions (Biomass)'!$N$2:$P$2)/10^9),0)</f>
        <v>-0.01002593788</v>
      </c>
      <c r="AG2102" s="177"/>
      <c r="AH2102" s="177"/>
      <c r="AI2102" s="177"/>
      <c r="AJ2102" s="177"/>
      <c r="AK2102" s="177"/>
      <c r="AL2102" s="177"/>
      <c r="AM2102" s="177"/>
      <c r="AN2102" s="177"/>
      <c r="AO2102" s="177"/>
      <c r="AP2102" s="177"/>
    </row>
    <row r="2103" ht="15.75" hidden="1" customHeight="1" outlineLevel="1">
      <c r="A2103" s="318"/>
      <c r="B2103" s="38"/>
      <c r="C2103" s="160"/>
      <c r="D2103" s="160"/>
      <c r="E2103" s="160"/>
      <c r="F2103" s="160"/>
      <c r="G2103" s="160"/>
      <c r="H2103" s="160"/>
      <c r="I2103" s="160"/>
      <c r="J2103" s="160"/>
      <c r="K2103" s="160"/>
      <c r="L2103" s="160"/>
      <c r="M2103" s="160"/>
      <c r="N2103" s="160"/>
      <c r="O2103" s="160"/>
      <c r="P2103" s="179"/>
      <c r="Q2103" s="160"/>
      <c r="R2103" s="177"/>
      <c r="S2103" s="160">
        <f>IF($S$2030&gt;0,PPMT('Assumptions (Biomass)'!$V$7,Model!W$1,'Assumptions (Biomass)'!$V$10,'Assumptions (Biomass)'!$V$5*Model!$S$2030*AVERAGE('Assumptions (Biomass)'!$O$2:$Q$2)/10^9),0)</f>
        <v>-0.003390561705</v>
      </c>
      <c r="T2103" s="160">
        <f>IF($S$2030&gt;0,PPMT('Assumptions (Biomass)'!$V$7,Model!X$1,'Assumptions (Biomass)'!$V$10,'Assumptions (Biomass)'!$V$5*Model!$S$2030*AVERAGE('Assumptions (Biomass)'!$O$2:$Q$2)/10^9),0)</f>
        <v>-0.003551613386</v>
      </c>
      <c r="U2103" s="160">
        <f>IF($S$2030&gt;0,PPMT('Assumptions (Biomass)'!$V$7,Model!Y$1,'Assumptions (Biomass)'!$V$10,'Assumptions (Biomass)'!$V$5*Model!$S$2030*AVERAGE('Assumptions (Biomass)'!$O$2:$Q$2)/10^9),0)</f>
        <v>-0.003720315021</v>
      </c>
      <c r="V2103" s="160">
        <f>IF($S$2030&gt;0,PPMT('Assumptions (Biomass)'!$V$7,Model!Z$1,'Assumptions (Biomass)'!$V$10,'Assumptions (Biomass)'!$V$5*Model!$S$2030*AVERAGE('Assumptions (Biomass)'!$O$2:$Q$2)/10^9),0)</f>
        <v>-0.003897029985</v>
      </c>
      <c r="W2103" s="160">
        <f>IF($S$2030&gt;0,PPMT('Assumptions (Biomass)'!$V$7,Model!AA$1,'Assumptions (Biomass)'!$V$10,'Assumptions (Biomass)'!$V$5*Model!$S$2030*AVERAGE('Assumptions (Biomass)'!$O$2:$Q$2)/10^9),0)</f>
        <v>-0.004082138909</v>
      </c>
      <c r="X2103" s="160">
        <f>IF($S$2030&gt;0,PPMT('Assumptions (Biomass)'!$V$7,Model!AB$1,'Assumptions (Biomass)'!$V$10,'Assumptions (Biomass)'!$V$5*Model!$S$2030*AVERAGE('Assumptions (Biomass)'!$O$2:$Q$2)/10^9),0)</f>
        <v>-0.004276040507</v>
      </c>
      <c r="Y2103" s="160">
        <f>IF($S$2030&gt;0,PPMT('Assumptions (Biomass)'!$V$7,Model!AC$1,'Assumptions (Biomass)'!$V$10,'Assumptions (Biomass)'!$V$5*Model!$S$2030*AVERAGE('Assumptions (Biomass)'!$O$2:$Q$2)/10^9),0)</f>
        <v>-0.004479152431</v>
      </c>
      <c r="Z2103" s="160">
        <f>IF($S$2030&gt;0,PPMT('Assumptions (Biomass)'!$V$7,Model!AD$1,'Assumptions (Biomass)'!$V$10,'Assumptions (Biomass)'!$V$5*Model!$S$2030*AVERAGE('Assumptions (Biomass)'!$O$2:$Q$2)/10^9),0)</f>
        <v>-0.004691912172</v>
      </c>
      <c r="AA2103" s="160">
        <f>IF($S$2030&gt;0,PPMT('Assumptions (Biomass)'!$V$7,Model!AE$1,'Assumptions (Biomass)'!$V$10,'Assumptions (Biomass)'!$V$5*Model!$S$2030*AVERAGE('Assumptions (Biomass)'!$O$2:$Q$2)/10^9),0)</f>
        <v>-0.004914778</v>
      </c>
      <c r="AB2103" s="160">
        <f>IF($S$2030&gt;0,PPMT('Assumptions (Biomass)'!$V$7,Model!AF$1,'Assumptions (Biomass)'!$V$10,'Assumptions (Biomass)'!$V$5*Model!$S$2030*AVERAGE('Assumptions (Biomass)'!$O$2:$Q$2)/10^9),0)</f>
        <v>-0.005148229955</v>
      </c>
      <c r="AC2103" s="160">
        <f>IF($S$2030&gt;0,PPMT('Assumptions (Biomass)'!$V$7,Model!AG$1,'Assumptions (Biomass)'!$V$10,'Assumptions (Biomass)'!$V$5*Model!$S$2030*AVERAGE('Assumptions (Biomass)'!$O$2:$Q$2)/10^9),0)</f>
        <v>-0.005392770878</v>
      </c>
      <c r="AD2103" s="160">
        <f>IF($S$2030&gt;0,PPMT('Assumptions (Biomass)'!$V$7,Model!AH$1,'Assumptions (Biomass)'!$V$10,'Assumptions (Biomass)'!$V$5*Model!$S$2030*AVERAGE('Assumptions (Biomass)'!$O$2:$Q$2)/10^9),0)</f>
        <v>-0.005648927495</v>
      </c>
      <c r="AE2103" s="160">
        <f>IF($S$2030&gt;0,PPMT('Assumptions (Biomass)'!$V$7,Model!AI$1,'Assumptions (Biomass)'!$V$10,'Assumptions (Biomass)'!$V$5*Model!$S$2030*AVERAGE('Assumptions (Biomass)'!$O$2:$Q$2)/10^9),0)</f>
        <v>-0.005917251551</v>
      </c>
      <c r="AF2103" s="160">
        <f>IF($S$2030&gt;0,PPMT('Assumptions (Biomass)'!$V$7,Model!AJ$1,'Assumptions (Biomass)'!$V$10,'Assumptions (Biomass)'!$V$5*Model!$S$2030*AVERAGE('Assumptions (Biomass)'!$O$2:$Q$2)/10^9),0)</f>
        <v>-0.006198320999</v>
      </c>
      <c r="AG2103" s="160">
        <f>IF($S$2030&gt;0,PPMT('Assumptions (Biomass)'!$V$7,Model!AK$1,'Assumptions (Biomass)'!$V$10,'Assumptions (Biomass)'!$V$5*Model!$S$2030*AVERAGE('Assumptions (Biomass)'!$O$2:$Q$2)/10^9),0)</f>
        <v>-0.006492741247</v>
      </c>
      <c r="AH2103" s="160"/>
      <c r="AI2103" s="160"/>
      <c r="AJ2103" s="160"/>
      <c r="AK2103" s="160"/>
      <c r="AL2103" s="160"/>
      <c r="AM2103" s="160"/>
      <c r="AN2103" s="160"/>
      <c r="AO2103" s="160"/>
      <c r="AP2103" s="160"/>
      <c r="AQ2103" s="160"/>
    </row>
    <row r="2104" ht="15.75" hidden="1" customHeight="1" outlineLevel="1">
      <c r="A2104" s="318"/>
      <c r="B2104" s="38"/>
      <c r="C2104" s="160"/>
      <c r="D2104" s="160"/>
      <c r="E2104" s="160"/>
      <c r="F2104" s="160"/>
      <c r="G2104" s="160"/>
      <c r="H2104" s="160"/>
      <c r="I2104" s="160"/>
      <c r="J2104" s="160"/>
      <c r="K2104" s="160"/>
      <c r="L2104" s="160"/>
      <c r="M2104" s="160"/>
      <c r="N2104" s="160"/>
      <c r="O2104" s="160"/>
      <c r="P2104" s="179"/>
      <c r="Q2104" s="160"/>
      <c r="R2104" s="177"/>
      <c r="S2104" s="177"/>
      <c r="T2104" s="160">
        <f>IF($T$2030&gt;0,PPMT('Assumptions (Biomass)'!$V$7,Model!W$1,'Assumptions (Biomass)'!$V$10,'Assumptions (Biomass)'!$V$5*Model!$T$2030*AVERAGE('Assumptions (Biomass)'!$P$2:$R$2)/10^9),0)</f>
        <v>-0.01565521184</v>
      </c>
      <c r="U2104" s="160">
        <f>IF($T$2030&gt;0,PPMT('Assumptions (Biomass)'!$V$7,Model!X$1,'Assumptions (Biomass)'!$V$10,'Assumptions (Biomass)'!$V$5*Model!$T$2030*AVERAGE('Assumptions (Biomass)'!$P$2:$R$2)/10^9),0)</f>
        <v>-0.01639883441</v>
      </c>
      <c r="V2104" s="160">
        <f>IF($T$2030&gt;0,PPMT('Assumptions (Biomass)'!$V$7,Model!Y$1,'Assumptions (Biomass)'!$V$10,'Assumptions (Biomass)'!$V$5*Model!$T$2030*AVERAGE('Assumptions (Biomass)'!$P$2:$R$2)/10^9),0)</f>
        <v>-0.01717777904</v>
      </c>
      <c r="W2104" s="160">
        <f>IF($T$2030&gt;0,PPMT('Assumptions (Biomass)'!$V$7,Model!Z$1,'Assumptions (Biomass)'!$V$10,'Assumptions (Biomass)'!$V$5*Model!$T$2030*AVERAGE('Assumptions (Biomass)'!$P$2:$R$2)/10^9),0)</f>
        <v>-0.01799372355</v>
      </c>
      <c r="X2104" s="160">
        <f>IF($T$2030&gt;0,PPMT('Assumptions (Biomass)'!$V$7,Model!AA$1,'Assumptions (Biomass)'!$V$10,'Assumptions (Biomass)'!$V$5*Model!$T$2030*AVERAGE('Assumptions (Biomass)'!$P$2:$R$2)/10^9),0)</f>
        <v>-0.01884842541</v>
      </c>
      <c r="Y2104" s="160">
        <f>IF($T$2030&gt;0,PPMT('Assumptions (Biomass)'!$V$7,Model!AB$1,'Assumptions (Biomass)'!$V$10,'Assumptions (Biomass)'!$V$5*Model!$T$2030*AVERAGE('Assumptions (Biomass)'!$P$2:$R$2)/10^9),0)</f>
        <v>-0.01974372562</v>
      </c>
      <c r="Z2104" s="160">
        <f>IF($T$2030&gt;0,PPMT('Assumptions (Biomass)'!$V$7,Model!AC$1,'Assumptions (Biomass)'!$V$10,'Assumptions (Biomass)'!$V$5*Model!$T$2030*AVERAGE('Assumptions (Biomass)'!$P$2:$R$2)/10^9),0)</f>
        <v>-0.02068155259</v>
      </c>
      <c r="AA2104" s="160">
        <f>IF($T$2030&gt;0,PPMT('Assumptions (Biomass)'!$V$7,Model!AD$1,'Assumptions (Biomass)'!$V$10,'Assumptions (Biomass)'!$V$5*Model!$T$2030*AVERAGE('Assumptions (Biomass)'!$P$2:$R$2)/10^9),0)</f>
        <v>-0.02166392634</v>
      </c>
      <c r="AB2104" s="160">
        <f>IF($T$2030&gt;0,PPMT('Assumptions (Biomass)'!$V$7,Model!AE$1,'Assumptions (Biomass)'!$V$10,'Assumptions (Biomass)'!$V$5*Model!$T$2030*AVERAGE('Assumptions (Biomass)'!$P$2:$R$2)/10^9),0)</f>
        <v>-0.02269296284</v>
      </c>
      <c r="AC2104" s="160">
        <f>IF($T$2030&gt;0,PPMT('Assumptions (Biomass)'!$V$7,Model!AF$1,'Assumptions (Biomass)'!$V$10,'Assumptions (Biomass)'!$V$5*Model!$T$2030*AVERAGE('Assumptions (Biomass)'!$P$2:$R$2)/10^9),0)</f>
        <v>-0.02377087857</v>
      </c>
      <c r="AD2104" s="160">
        <f>IF($T$2030&gt;0,PPMT('Assumptions (Biomass)'!$V$7,Model!AG$1,'Assumptions (Biomass)'!$V$10,'Assumptions (Biomass)'!$V$5*Model!$T$2030*AVERAGE('Assumptions (Biomass)'!$P$2:$R$2)/10^9),0)</f>
        <v>-0.0248999953</v>
      </c>
      <c r="AE2104" s="160">
        <f>IF($T$2030&gt;0,PPMT('Assumptions (Biomass)'!$V$7,Model!AH$1,'Assumptions (Biomass)'!$V$10,'Assumptions (Biomass)'!$V$5*Model!$T$2030*AVERAGE('Assumptions (Biomass)'!$P$2:$R$2)/10^9),0)</f>
        <v>-0.02608274508</v>
      </c>
      <c r="AF2104" s="160">
        <f>IF($T$2030&gt;0,PPMT('Assumptions (Biomass)'!$V$7,Model!AI$1,'Assumptions (Biomass)'!$V$10,'Assumptions (Biomass)'!$V$5*Model!$T$2030*AVERAGE('Assumptions (Biomass)'!$P$2:$R$2)/10^9),0)</f>
        <v>-0.02732167547</v>
      </c>
      <c r="AG2104" s="160">
        <f>IF($T$2030&gt;0,PPMT('Assumptions (Biomass)'!$V$7,Model!AJ$1,'Assumptions (Biomass)'!$V$10,'Assumptions (Biomass)'!$V$5*Model!$T$2030*AVERAGE('Assumptions (Biomass)'!$P$2:$R$2)/10^9),0)</f>
        <v>-0.02861945506</v>
      </c>
      <c r="AH2104" s="160">
        <f>IF($T$2030&gt;0,PPMT('Assumptions (Biomass)'!$V$7,Model!AK$1,'Assumptions (Biomass)'!$V$10,'Assumptions (Biomass)'!$V$5*Model!$T$2030*AVERAGE('Assumptions (Biomass)'!$P$2:$R$2)/10^9),0)</f>
        <v>-0.02997887917</v>
      </c>
      <c r="AI2104" s="160"/>
      <c r="AJ2104" s="160"/>
      <c r="AK2104" s="160"/>
      <c r="AL2104" s="160"/>
      <c r="AM2104" s="160"/>
      <c r="AN2104" s="160"/>
      <c r="AO2104" s="160"/>
      <c r="AP2104" s="160"/>
      <c r="AQ2104" s="160"/>
      <c r="AR2104" s="160"/>
    </row>
    <row r="2105" ht="15.75" hidden="1" customHeight="1" outlineLevel="1">
      <c r="A2105" s="318"/>
      <c r="B2105" s="38"/>
      <c r="C2105" s="160"/>
      <c r="D2105" s="160"/>
      <c r="E2105" s="160"/>
      <c r="F2105" s="160"/>
      <c r="G2105" s="160"/>
      <c r="H2105" s="160"/>
      <c r="I2105" s="160"/>
      <c r="J2105" s="160"/>
      <c r="K2105" s="160"/>
      <c r="L2105" s="160"/>
      <c r="M2105" s="160"/>
      <c r="N2105" s="160"/>
      <c r="O2105" s="160"/>
      <c r="P2105" s="179"/>
      <c r="Q2105" s="160"/>
      <c r="R2105" s="177"/>
      <c r="S2105" s="177"/>
      <c r="T2105" s="177"/>
      <c r="U2105" s="160">
        <f>IF($U$2030&gt;0,PPMT('Assumptions (Biomass)'!$V$7,Model!W$1,'Assumptions (Biomass)'!$V$10,'Assumptions (Biomass)'!$V$5*Model!$U$2030*AVERAGE('Assumptions (Biomass)'!$Q$2:$S$2)/10^9),0)</f>
        <v>0</v>
      </c>
      <c r="V2105" s="160">
        <f>IF($U$2030&gt;0,PPMT('Assumptions (Biomass)'!$V$7,Model!X$1,'Assumptions (Biomass)'!$V$10,'Assumptions (Biomass)'!$V$5*Model!$U$2030*AVERAGE('Assumptions (Biomass)'!$Q$2:$S$2)/10^9),0)</f>
        <v>0</v>
      </c>
      <c r="W2105" s="160">
        <f>IF($U$2030&gt;0,PPMT('Assumptions (Biomass)'!$V$7,Model!Y$1,'Assumptions (Biomass)'!$V$10,'Assumptions (Biomass)'!$V$5*Model!$U$2030*AVERAGE('Assumptions (Biomass)'!$Q$2:$S$2)/10^9),0)</f>
        <v>0</v>
      </c>
      <c r="X2105" s="160">
        <f>IF($U$2030&gt;0,PPMT('Assumptions (Biomass)'!$V$7,Model!Z$1,'Assumptions (Biomass)'!$V$10,'Assumptions (Biomass)'!$V$5*Model!$U$2030*AVERAGE('Assumptions (Biomass)'!$Q$2:$S$2)/10^9),0)</f>
        <v>0</v>
      </c>
      <c r="Y2105" s="160">
        <f>IF($U$2030&gt;0,PPMT('Assumptions (Biomass)'!$V$7,Model!AA$1,'Assumptions (Biomass)'!$V$10,'Assumptions (Biomass)'!$V$5*Model!$U$2030*AVERAGE('Assumptions (Biomass)'!$Q$2:$S$2)/10^9),0)</f>
        <v>0</v>
      </c>
      <c r="Z2105" s="160">
        <f>IF($U$2030&gt;0,PPMT('Assumptions (Biomass)'!$V$7,Model!AB$1,'Assumptions (Biomass)'!$V$10,'Assumptions (Biomass)'!$V$5*Model!$U$2030*AVERAGE('Assumptions (Biomass)'!$Q$2:$S$2)/10^9),0)</f>
        <v>0</v>
      </c>
      <c r="AA2105" s="160">
        <f>IF($U$2030&gt;0,PPMT('Assumptions (Biomass)'!$V$7,Model!AC$1,'Assumptions (Biomass)'!$V$10,'Assumptions (Biomass)'!$V$5*Model!$U$2030*AVERAGE('Assumptions (Biomass)'!$Q$2:$S$2)/10^9),0)</f>
        <v>0</v>
      </c>
      <c r="AB2105" s="160">
        <f>IF($U$2030&gt;0,PPMT('Assumptions (Biomass)'!$V$7,Model!AD$1,'Assumptions (Biomass)'!$V$10,'Assumptions (Biomass)'!$V$5*Model!$U$2030*AVERAGE('Assumptions (Biomass)'!$Q$2:$S$2)/10^9),0)</f>
        <v>0</v>
      </c>
      <c r="AC2105" s="160">
        <f>IF($U$2030&gt;0,PPMT('Assumptions (Biomass)'!$V$7,Model!AE$1,'Assumptions (Biomass)'!$V$10,'Assumptions (Biomass)'!$V$5*Model!$U$2030*AVERAGE('Assumptions (Biomass)'!$Q$2:$S$2)/10^9),0)</f>
        <v>0</v>
      </c>
      <c r="AD2105" s="160">
        <f>IF($U$2030&gt;0,PPMT('Assumptions (Biomass)'!$V$7,Model!AF$1,'Assumptions (Biomass)'!$V$10,'Assumptions (Biomass)'!$V$5*Model!$U$2030*AVERAGE('Assumptions (Biomass)'!$Q$2:$S$2)/10^9),0)</f>
        <v>0</v>
      </c>
      <c r="AE2105" s="160">
        <f>IF($U$2030&gt;0,PPMT('Assumptions (Biomass)'!$V$7,Model!AG$1,'Assumptions (Biomass)'!$V$10,'Assumptions (Biomass)'!$V$5*Model!$U$2030*AVERAGE('Assumptions (Biomass)'!$Q$2:$S$2)/10^9),0)</f>
        <v>0</v>
      </c>
      <c r="AF2105" s="160">
        <f>IF($U$2030&gt;0,PPMT('Assumptions (Biomass)'!$V$7,Model!AH$1,'Assumptions (Biomass)'!$V$10,'Assumptions (Biomass)'!$V$5*Model!$U$2030*AVERAGE('Assumptions (Biomass)'!$Q$2:$S$2)/10^9),0)</f>
        <v>0</v>
      </c>
      <c r="AG2105" s="160">
        <f>IF($U$2030&gt;0,PPMT('Assumptions (Biomass)'!$V$7,Model!AI$1,'Assumptions (Biomass)'!$V$10,'Assumptions (Biomass)'!$V$5*Model!$U$2030*AVERAGE('Assumptions (Biomass)'!$Q$2:$S$2)/10^9),0)</f>
        <v>0</v>
      </c>
      <c r="AH2105" s="160">
        <f>IF($U$2030&gt;0,PPMT('Assumptions (Biomass)'!$V$7,Model!AJ$1,'Assumptions (Biomass)'!$V$10,'Assumptions (Biomass)'!$V$5*Model!$U$2030*AVERAGE('Assumptions (Biomass)'!$Q$2:$S$2)/10^9),0)</f>
        <v>0</v>
      </c>
      <c r="AI2105" s="160">
        <f>IF($U$2030&gt;0,PPMT('Assumptions (Biomass)'!$V$7,Model!AK$1,'Assumptions (Biomass)'!$V$10,'Assumptions (Biomass)'!$V$5*Model!$U$2030*AVERAGE('Assumptions (Biomass)'!$Q$2:$S$2)/10^9),0)</f>
        <v>0</v>
      </c>
      <c r="AJ2105" s="160"/>
      <c r="AK2105" s="160"/>
      <c r="AL2105" s="160"/>
      <c r="AM2105" s="160"/>
      <c r="AN2105" s="160"/>
      <c r="AO2105" s="160"/>
      <c r="AP2105" s="160"/>
      <c r="AQ2105" s="160"/>
      <c r="AR2105" s="160"/>
      <c r="AS2105" s="160"/>
    </row>
    <row r="2106" ht="15.75" hidden="1" customHeight="1" outlineLevel="1">
      <c r="A2106" s="318"/>
      <c r="B2106" s="38"/>
      <c r="C2106" s="160"/>
      <c r="D2106" s="160"/>
      <c r="E2106" s="160"/>
      <c r="F2106" s="160"/>
      <c r="G2106" s="160"/>
      <c r="H2106" s="160"/>
      <c r="I2106" s="160"/>
      <c r="J2106" s="160"/>
      <c r="K2106" s="160"/>
      <c r="L2106" s="160"/>
      <c r="M2106" s="160"/>
      <c r="N2106" s="160"/>
      <c r="O2106" s="160"/>
      <c r="P2106" s="179"/>
      <c r="Q2106" s="160"/>
      <c r="R2106" s="177"/>
      <c r="S2106" s="177"/>
      <c r="T2106" s="177"/>
      <c r="U2106" s="160"/>
      <c r="V2106" s="160">
        <f>IF($V$2030&gt;0,PPMT('Assumptions (Biomass)'!$V$7,Model!W$1,'Assumptions (Biomass)'!$V$10,'Assumptions (Biomass)'!$V$5*Model!$V$2030*AVERAGE('Assumptions (Biomass)'!$R$2:$T$2)/10^9),0)</f>
        <v>0</v>
      </c>
      <c r="W2106" s="160">
        <f>IF($V$2030&gt;0,PPMT('Assumptions (Biomass)'!$V$7,Model!X$1,'Assumptions (Biomass)'!$V$10,'Assumptions (Biomass)'!$V$5*Model!$V$2030*AVERAGE('Assumptions (Biomass)'!$R$2:$T$2)/10^9),0)</f>
        <v>0</v>
      </c>
      <c r="X2106" s="160">
        <f>IF($V$2030&gt;0,PPMT('Assumptions (Biomass)'!$V$7,Model!Y$1,'Assumptions (Biomass)'!$V$10,'Assumptions (Biomass)'!$V$5*Model!$V$2030*AVERAGE('Assumptions (Biomass)'!$R$2:$T$2)/10^9),0)</f>
        <v>0</v>
      </c>
      <c r="Y2106" s="160">
        <f>IF($V$2030&gt;0,PPMT('Assumptions (Biomass)'!$V$7,Model!Z$1,'Assumptions (Biomass)'!$V$10,'Assumptions (Biomass)'!$V$5*Model!$V$2030*AVERAGE('Assumptions (Biomass)'!$R$2:$T$2)/10^9),0)</f>
        <v>0</v>
      </c>
      <c r="Z2106" s="160">
        <f>IF($V$2030&gt;0,PPMT('Assumptions (Biomass)'!$V$7,Model!AA$1,'Assumptions (Biomass)'!$V$10,'Assumptions (Biomass)'!$V$5*Model!$V$2030*AVERAGE('Assumptions (Biomass)'!$R$2:$T$2)/10^9),0)</f>
        <v>0</v>
      </c>
      <c r="AA2106" s="160">
        <f>IF($V$2030&gt;0,PPMT('Assumptions (Biomass)'!$V$7,Model!AB$1,'Assumptions (Biomass)'!$V$10,'Assumptions (Biomass)'!$V$5*Model!$V$2030*AVERAGE('Assumptions (Biomass)'!$R$2:$T$2)/10^9),0)</f>
        <v>0</v>
      </c>
      <c r="AB2106" s="160">
        <f>IF($V$2030&gt;0,PPMT('Assumptions (Biomass)'!$V$7,Model!AC$1,'Assumptions (Biomass)'!$V$10,'Assumptions (Biomass)'!$V$5*Model!$V$2030*AVERAGE('Assumptions (Biomass)'!$R$2:$T$2)/10^9),0)</f>
        <v>0</v>
      </c>
      <c r="AC2106" s="160">
        <f>IF($V$2030&gt;0,PPMT('Assumptions (Biomass)'!$V$7,Model!AD$1,'Assumptions (Biomass)'!$V$10,'Assumptions (Biomass)'!$V$5*Model!$V$2030*AVERAGE('Assumptions (Biomass)'!$R$2:$T$2)/10^9),0)</f>
        <v>0</v>
      </c>
      <c r="AD2106" s="160">
        <f>IF($V$2030&gt;0,PPMT('Assumptions (Biomass)'!$V$7,Model!AE$1,'Assumptions (Biomass)'!$V$10,'Assumptions (Biomass)'!$V$5*Model!$V$2030*AVERAGE('Assumptions (Biomass)'!$R$2:$T$2)/10^9),0)</f>
        <v>0</v>
      </c>
      <c r="AE2106" s="160">
        <f>IF($V$2030&gt;0,PPMT('Assumptions (Biomass)'!$V$7,Model!AF$1,'Assumptions (Biomass)'!$V$10,'Assumptions (Biomass)'!$V$5*Model!$V$2030*AVERAGE('Assumptions (Biomass)'!$R$2:$T$2)/10^9),0)</f>
        <v>0</v>
      </c>
      <c r="AF2106" s="160">
        <f>IF($V$2030&gt;0,PPMT('Assumptions (Biomass)'!$V$7,Model!AG$1,'Assumptions (Biomass)'!$V$10,'Assumptions (Biomass)'!$V$5*Model!$V$2030*AVERAGE('Assumptions (Biomass)'!$R$2:$T$2)/10^9),0)</f>
        <v>0</v>
      </c>
      <c r="AG2106" s="160">
        <f>IF($V$2030&gt;0,PPMT('Assumptions (Biomass)'!$V$7,Model!AH$1,'Assumptions (Biomass)'!$V$10,'Assumptions (Biomass)'!$V$5*Model!$V$2030*AVERAGE('Assumptions (Biomass)'!$R$2:$T$2)/10^9),0)</f>
        <v>0</v>
      </c>
      <c r="AH2106" s="160">
        <f>IF($V$2030&gt;0,PPMT('Assumptions (Biomass)'!$V$7,Model!AI$1,'Assumptions (Biomass)'!$V$10,'Assumptions (Biomass)'!$V$5*Model!$V$2030*AVERAGE('Assumptions (Biomass)'!$R$2:$T$2)/10^9),0)</f>
        <v>0</v>
      </c>
      <c r="AI2106" s="160">
        <f>IF($V$2030&gt;0,PPMT('Assumptions (Biomass)'!$V$7,Model!AJ$1,'Assumptions (Biomass)'!$V$10,'Assumptions (Biomass)'!$V$5*Model!$V$2030*AVERAGE('Assumptions (Biomass)'!$R$2:$T$2)/10^9),0)</f>
        <v>0</v>
      </c>
      <c r="AJ2106" s="160">
        <f>IF($V$2030&gt;0,PPMT('Assumptions (Biomass)'!$V$7,Model!AK$1,'Assumptions (Biomass)'!$V$10,'Assumptions (Biomass)'!$V$5*Model!$V$2030*AVERAGE('Assumptions (Biomass)'!$R$2:$T$2)/10^9),0)</f>
        <v>0</v>
      </c>
      <c r="AK2106" s="160"/>
      <c r="AL2106" s="160"/>
      <c r="AM2106" s="160"/>
      <c r="AN2106" s="160"/>
      <c r="AO2106" s="160"/>
      <c r="AP2106" s="160"/>
      <c r="AQ2106" s="160"/>
      <c r="AR2106" s="160"/>
      <c r="AS2106" s="160"/>
      <c r="AT2106" s="160"/>
    </row>
    <row r="2107" ht="15.75" hidden="1" customHeight="1" outlineLevel="1">
      <c r="A2107" s="318"/>
      <c r="B2107" s="38"/>
      <c r="C2107" s="174"/>
      <c r="D2107" s="174"/>
      <c r="E2107" s="174"/>
      <c r="F2107" s="174"/>
      <c r="G2107" s="174"/>
      <c r="H2107" s="174"/>
      <c r="I2107" s="174"/>
      <c r="J2107" s="174"/>
      <c r="K2107" s="174"/>
      <c r="L2107" s="174"/>
      <c r="M2107" s="174"/>
      <c r="N2107" s="174"/>
      <c r="O2107" s="174"/>
      <c r="P2107" s="174"/>
      <c r="Q2107" s="174"/>
      <c r="R2107" s="174"/>
      <c r="S2107" s="174"/>
      <c r="T2107" s="174"/>
      <c r="U2107" s="174"/>
      <c r="V2107" s="174"/>
      <c r="W2107" s="160">
        <f>IF($W$2030&gt;0,PPMT('Assumptions (Biomass)'!$V$7,Model!W$1,'Assumptions (Biomass)'!$V$10,'Assumptions (Biomass)'!$V$5*Model!$W$2030*average('Assumptions (Biomass)'!$S$2:$U$2)/10^9),0)</f>
        <v>0</v>
      </c>
      <c r="X2107" s="160">
        <f>IF($W$2030&gt;0,PPMT('Assumptions (Biomass)'!$V$7,Model!X$1,'Assumptions (Biomass)'!$V$10,'Assumptions (Biomass)'!$V$5*Model!$W$2030*average('Assumptions (Biomass)'!$S$2:$U$2)/10^9),0)</f>
        <v>0</v>
      </c>
      <c r="Y2107" s="160">
        <f>IF($W$2030&gt;0,PPMT('Assumptions (Biomass)'!$V$7,Model!Y$1,'Assumptions (Biomass)'!$V$10,'Assumptions (Biomass)'!$V$5*Model!$W$2030*average('Assumptions (Biomass)'!$S$2:$U$2)/10^9),0)</f>
        <v>0</v>
      </c>
      <c r="Z2107" s="160">
        <f>IF($W$2030&gt;0,PPMT('Assumptions (Biomass)'!$V$7,Model!Z$1,'Assumptions (Biomass)'!$V$10,'Assumptions (Biomass)'!$V$5*Model!$W$2030*average('Assumptions (Biomass)'!$S$2:$U$2)/10^9),0)</f>
        <v>0</v>
      </c>
      <c r="AA2107" s="160">
        <f>IF($W$2030&gt;0,PPMT('Assumptions (Biomass)'!$V$7,Model!AA$1,'Assumptions (Biomass)'!$V$10,'Assumptions (Biomass)'!$V$5*Model!$W$2030*average('Assumptions (Biomass)'!$S$2:$U$2)/10^9),0)</f>
        <v>0</v>
      </c>
      <c r="AB2107" s="160">
        <f>IF($W$2030&gt;0,PPMT('Assumptions (Biomass)'!$V$7,Model!AB$1,'Assumptions (Biomass)'!$V$10,'Assumptions (Biomass)'!$V$5*Model!$W$2030*average('Assumptions (Biomass)'!$S$2:$U$2)/10^9),0)</f>
        <v>0</v>
      </c>
      <c r="AC2107" s="160">
        <f>IF($W$2030&gt;0,PPMT('Assumptions (Biomass)'!$V$7,Model!AC$1,'Assumptions (Biomass)'!$V$10,'Assumptions (Biomass)'!$V$5*Model!$W$2030*average('Assumptions (Biomass)'!$S$2:$U$2)/10^9),0)</f>
        <v>0</v>
      </c>
      <c r="AD2107" s="160">
        <f>IF($W$2030&gt;0,PPMT('Assumptions (Biomass)'!$V$7,Model!AD$1,'Assumptions (Biomass)'!$V$10,'Assumptions (Biomass)'!$V$5*Model!$W$2030*average('Assumptions (Biomass)'!$S$2:$U$2)/10^9),0)</f>
        <v>0</v>
      </c>
      <c r="AE2107" s="160">
        <f>IF($W$2030&gt;0,PPMT('Assumptions (Biomass)'!$V$7,Model!AE$1,'Assumptions (Biomass)'!$V$10,'Assumptions (Biomass)'!$V$5*Model!$W$2030*average('Assumptions (Biomass)'!$S$2:$U$2)/10^9),0)</f>
        <v>0</v>
      </c>
      <c r="AF2107" s="160">
        <f>IF($W$2030&gt;0,PPMT('Assumptions (Biomass)'!$V$7,Model!AF$1,'Assumptions (Biomass)'!$V$10,'Assumptions (Biomass)'!$V$5*Model!$W$2030*average('Assumptions (Biomass)'!$S$2:$U$2)/10^9),0)</f>
        <v>0</v>
      </c>
      <c r="AG2107" s="160">
        <f>IF($W$2030&gt;0,PPMT('Assumptions (Biomass)'!$V$7,Model!AG$1,'Assumptions (Biomass)'!$V$10,'Assumptions (Biomass)'!$V$5*Model!$W$2030*average('Assumptions (Biomass)'!$S$2:$U$2)/10^9),0)</f>
        <v>0</v>
      </c>
      <c r="AH2107" s="160">
        <f>IF($W$2030&gt;0,PPMT('Assumptions (Biomass)'!$V$7,Model!AH$1,'Assumptions (Biomass)'!$V$10,'Assumptions (Biomass)'!$V$5*Model!$W$2030*average('Assumptions (Biomass)'!$S$2:$U$2)/10^9),0)</f>
        <v>0</v>
      </c>
      <c r="AI2107" s="160">
        <f>IF($W$2030&gt;0,PPMT('Assumptions (Biomass)'!$V$7,Model!AI$1,'Assumptions (Biomass)'!$V$10,'Assumptions (Biomass)'!$V$5*Model!$W$2030*average('Assumptions (Biomass)'!$S$2:$U$2)/10^9),0)</f>
        <v>0</v>
      </c>
      <c r="AJ2107" s="160">
        <f>IF($W$2030&gt;0,PPMT('Assumptions (Biomass)'!$V$7,Model!AJ$1,'Assumptions (Biomass)'!$V$10,'Assumptions (Biomass)'!$V$5*Model!$W$2030*average('Assumptions (Biomass)'!$S$2:$U$2)/10^9),0)</f>
        <v>0</v>
      </c>
      <c r="AK2107" s="160">
        <f>IF($W$2030&gt;0,PPMT('Assumptions (Biomass)'!$V$7,Model!AK$1,'Assumptions (Biomass)'!$V$10,'Assumptions (Biomass)'!$V$5*Model!$W$2030*average('Assumptions (Biomass)'!$S$2:$U$2)/10^9),0)</f>
        <v>0</v>
      </c>
      <c r="AL2107" s="160"/>
      <c r="AM2107" s="160"/>
      <c r="AN2107" s="160"/>
      <c r="AO2107" s="160"/>
      <c r="AP2107" s="160"/>
      <c r="AQ2107" s="160"/>
      <c r="AR2107" s="160"/>
      <c r="AS2107" s="160"/>
      <c r="AT2107" s="160"/>
      <c r="AU2107" s="160"/>
      <c r="AV2107" s="160"/>
      <c r="AW2107" s="160"/>
      <c r="AX2107" s="160"/>
      <c r="AY2107" s="160"/>
      <c r="AZ2107" s="160"/>
      <c r="BA2107" s="160"/>
    </row>
    <row r="2108" ht="15.75" hidden="1" customHeight="1" outlineLevel="1">
      <c r="A2108" s="318"/>
      <c r="B2108" s="38"/>
      <c r="C2108" s="174"/>
      <c r="D2108" s="174"/>
      <c r="E2108" s="174"/>
      <c r="F2108" s="174"/>
      <c r="G2108" s="174"/>
      <c r="H2108" s="174"/>
      <c r="I2108" s="174"/>
      <c r="J2108" s="174"/>
      <c r="K2108" s="174"/>
      <c r="L2108" s="174"/>
      <c r="M2108" s="174"/>
      <c r="N2108" s="174"/>
      <c r="O2108" s="174"/>
      <c r="P2108" s="174"/>
      <c r="Q2108" s="174"/>
      <c r="R2108" s="174"/>
      <c r="S2108" s="174"/>
      <c r="T2108" s="174"/>
      <c r="U2108" s="174"/>
      <c r="V2108" s="174"/>
      <c r="W2108" s="160"/>
      <c r="X2108" s="160">
        <f>IF($X$2030&gt;0,PPMT('Assumptions (Biomass)'!$V$7,Model!W$1,'Assumptions (Biomass)'!$V$10,'Assumptions (Biomass)'!$V$5*Model!$X$2030*average('Assumptions (Biomass)'!$T$2:$V$2)/10^9),0)</f>
        <v>0</v>
      </c>
      <c r="Y2108" s="160">
        <f>IF($X$2030&gt;0,PPMT('Assumptions (Biomass)'!$V$7,Model!X$1,'Assumptions (Biomass)'!$V$10,'Assumptions (Biomass)'!$V$5*Model!$X$2030*average('Assumptions (Biomass)'!$T$2:$V$2)/10^9),0)</f>
        <v>0</v>
      </c>
      <c r="Z2108" s="160">
        <f>IF($X$2030&gt;0,PPMT('Assumptions (Biomass)'!$V$7,Model!Y$1,'Assumptions (Biomass)'!$V$10,'Assumptions (Biomass)'!$V$5*Model!$X$2030*average('Assumptions (Biomass)'!$T$2:$V$2)/10^9),0)</f>
        <v>0</v>
      </c>
      <c r="AA2108" s="160">
        <f>IF($X$2030&gt;0,PPMT('Assumptions (Biomass)'!$V$7,Model!Z$1,'Assumptions (Biomass)'!$V$10,'Assumptions (Biomass)'!$V$5*Model!$X$2030*average('Assumptions (Biomass)'!$T$2:$V$2)/10^9),0)</f>
        <v>0</v>
      </c>
      <c r="AB2108" s="160">
        <f>IF($X$2030&gt;0,PPMT('Assumptions (Biomass)'!$V$7,Model!AA$1,'Assumptions (Biomass)'!$V$10,'Assumptions (Biomass)'!$V$5*Model!$X$2030*average('Assumptions (Biomass)'!$T$2:$V$2)/10^9),0)</f>
        <v>0</v>
      </c>
      <c r="AC2108" s="160">
        <f>IF($X$2030&gt;0,PPMT('Assumptions (Biomass)'!$V$7,Model!AB$1,'Assumptions (Biomass)'!$V$10,'Assumptions (Biomass)'!$V$5*Model!$X$2030*average('Assumptions (Biomass)'!$T$2:$V$2)/10^9),0)</f>
        <v>0</v>
      </c>
      <c r="AD2108" s="160">
        <f>IF($X$2030&gt;0,PPMT('Assumptions (Biomass)'!$V$7,Model!AC$1,'Assumptions (Biomass)'!$V$10,'Assumptions (Biomass)'!$V$5*Model!$X$2030*average('Assumptions (Biomass)'!$T$2:$V$2)/10^9),0)</f>
        <v>0</v>
      </c>
      <c r="AE2108" s="160">
        <f>IF($X$2030&gt;0,PPMT('Assumptions (Biomass)'!$V$7,Model!AD$1,'Assumptions (Biomass)'!$V$10,'Assumptions (Biomass)'!$V$5*Model!$X$2030*average('Assumptions (Biomass)'!$T$2:$V$2)/10^9),0)</f>
        <v>0</v>
      </c>
      <c r="AF2108" s="160">
        <f>IF($X$2030&gt;0,PPMT('Assumptions (Biomass)'!$V$7,Model!AE$1,'Assumptions (Biomass)'!$V$10,'Assumptions (Biomass)'!$V$5*Model!$X$2030*average('Assumptions (Biomass)'!$T$2:$V$2)/10^9),0)</f>
        <v>0</v>
      </c>
      <c r="AG2108" s="160">
        <f>IF($X$2030&gt;0,PPMT('Assumptions (Biomass)'!$V$7,Model!AF$1,'Assumptions (Biomass)'!$V$10,'Assumptions (Biomass)'!$V$5*Model!$X$2030*average('Assumptions (Biomass)'!$T$2:$V$2)/10^9),0)</f>
        <v>0</v>
      </c>
      <c r="AH2108" s="160">
        <f>IF($X$2030&gt;0,PPMT('Assumptions (Biomass)'!$V$7,Model!AG$1,'Assumptions (Biomass)'!$V$10,'Assumptions (Biomass)'!$V$5*Model!$X$2030*average('Assumptions (Biomass)'!$T$2:$V$2)/10^9),0)</f>
        <v>0</v>
      </c>
      <c r="AI2108" s="160">
        <f>IF($X$2030&gt;0,PPMT('Assumptions (Biomass)'!$V$7,Model!AH$1,'Assumptions (Biomass)'!$V$10,'Assumptions (Biomass)'!$V$5*Model!$X$2030*average('Assumptions (Biomass)'!$T$2:$V$2)/10^9),0)</f>
        <v>0</v>
      </c>
      <c r="AJ2108" s="160">
        <f>IF($X$2030&gt;0,PPMT('Assumptions (Biomass)'!$V$7,Model!AI$1,'Assumptions (Biomass)'!$V$10,'Assumptions (Biomass)'!$V$5*Model!$X$2030*average('Assumptions (Biomass)'!$T$2:$V$2)/10^9),0)</f>
        <v>0</v>
      </c>
      <c r="AK2108" s="160">
        <f>IF($X$2030&gt;0,PPMT('Assumptions (Biomass)'!$V$7,Model!AJ$1,'Assumptions (Biomass)'!$V$10,'Assumptions (Biomass)'!$V$5*Model!$X$2030*average('Assumptions (Biomass)'!$T$2:$V$2)/10^9),0)</f>
        <v>0</v>
      </c>
      <c r="AL2108" s="160">
        <f>IF($X$2030&gt;0,PPMT('Assumptions (Biomass)'!$V$7,Model!AK$1,'Assumptions (Biomass)'!$V$10,'Assumptions (Biomass)'!$V$5*Model!$X$2030*average('Assumptions (Biomass)'!$T$2:$V$2)/10^9),0)</f>
        <v>0</v>
      </c>
      <c r="AM2108" s="160"/>
      <c r="AN2108" s="160"/>
      <c r="AO2108" s="160"/>
      <c r="AP2108" s="160"/>
      <c r="AQ2108" s="160"/>
      <c r="AR2108" s="160"/>
      <c r="AS2108" s="160"/>
      <c r="AT2108" s="160"/>
      <c r="AU2108" s="160"/>
      <c r="AV2108" s="160"/>
      <c r="AW2108" s="160"/>
      <c r="AX2108" s="160"/>
      <c r="AY2108" s="160"/>
      <c r="AZ2108" s="160"/>
      <c r="BA2108" s="160"/>
    </row>
    <row r="2109" ht="15.75" hidden="1" customHeight="1" outlineLevel="1">
      <c r="A2109" s="318"/>
      <c r="B2109" s="38"/>
      <c r="C2109" s="174"/>
      <c r="D2109" s="174"/>
      <c r="E2109" s="174"/>
      <c r="F2109" s="174"/>
      <c r="G2109" s="174"/>
      <c r="H2109" s="174"/>
      <c r="I2109" s="174"/>
      <c r="J2109" s="174"/>
      <c r="K2109" s="174"/>
      <c r="L2109" s="174"/>
      <c r="M2109" s="174"/>
      <c r="N2109" s="174"/>
      <c r="O2109" s="174"/>
      <c r="P2109" s="174"/>
      <c r="Q2109" s="174"/>
      <c r="R2109" s="174"/>
      <c r="S2109" s="174"/>
      <c r="T2109" s="174"/>
      <c r="U2109" s="174"/>
      <c r="V2109" s="174"/>
      <c r="W2109" s="160"/>
      <c r="X2109" s="160"/>
      <c r="Y2109" s="160">
        <f>IF($Y$2030&gt;0,PPMT('Assumptions (Biomass)'!$V$7,Model!W$1,'Assumptions (Biomass)'!$V$10,'Assumptions (Biomass)'!$V$5*Model!$Y$2030*AVERAGE('Assumptions (Biomass)'!$U$2:$W$2)/10^9),0)</f>
        <v>0</v>
      </c>
      <c r="Z2109" s="160">
        <f>IF($Y$2030&gt;0,PPMT('Assumptions (Biomass)'!$V$7,Model!X$1,'Assumptions (Biomass)'!$V$10,'Assumptions (Biomass)'!$V$5*Model!$Y$2030*AVERAGE('Assumptions (Biomass)'!$U$2:$W$2)/10^9),0)</f>
        <v>0</v>
      </c>
      <c r="AA2109" s="160">
        <f>IF($Y$2030&gt;0,PPMT('Assumptions (Biomass)'!$V$7,Model!Y$1,'Assumptions (Biomass)'!$V$10,'Assumptions (Biomass)'!$V$5*Model!$Y$2030*AVERAGE('Assumptions (Biomass)'!$U$2:$W$2)/10^9),0)</f>
        <v>0</v>
      </c>
      <c r="AB2109" s="160">
        <f>IF($Y$2030&gt;0,PPMT('Assumptions (Biomass)'!$V$7,Model!Z$1,'Assumptions (Biomass)'!$V$10,'Assumptions (Biomass)'!$V$5*Model!$Y$2030*AVERAGE('Assumptions (Biomass)'!$U$2:$W$2)/10^9),0)</f>
        <v>0</v>
      </c>
      <c r="AC2109" s="160">
        <f>IF($Y$2030&gt;0,PPMT('Assumptions (Biomass)'!$V$7,Model!AA$1,'Assumptions (Biomass)'!$V$10,'Assumptions (Biomass)'!$V$5*Model!$Y$2030*AVERAGE('Assumptions (Biomass)'!$U$2:$W$2)/10^9),0)</f>
        <v>0</v>
      </c>
      <c r="AD2109" s="160">
        <f>IF($Y$2030&gt;0,PPMT('Assumptions (Biomass)'!$V$7,Model!AB$1,'Assumptions (Biomass)'!$V$10,'Assumptions (Biomass)'!$V$5*Model!$Y$2030*AVERAGE('Assumptions (Biomass)'!$U$2:$W$2)/10^9),0)</f>
        <v>0</v>
      </c>
      <c r="AE2109" s="160">
        <f>IF($Y$2030&gt;0,PPMT('Assumptions (Biomass)'!$V$7,Model!AC$1,'Assumptions (Biomass)'!$V$10,'Assumptions (Biomass)'!$V$5*Model!$Y$2030*AVERAGE('Assumptions (Biomass)'!$U$2:$W$2)/10^9),0)</f>
        <v>0</v>
      </c>
      <c r="AF2109" s="160">
        <f>IF($Y$2030&gt;0,PPMT('Assumptions (Biomass)'!$V$7,Model!AD$1,'Assumptions (Biomass)'!$V$10,'Assumptions (Biomass)'!$V$5*Model!$Y$2030*AVERAGE('Assumptions (Biomass)'!$U$2:$W$2)/10^9),0)</f>
        <v>0</v>
      </c>
      <c r="AG2109" s="160">
        <f>IF($Y$2030&gt;0,PPMT('Assumptions (Biomass)'!$V$7,Model!AE$1,'Assumptions (Biomass)'!$V$10,'Assumptions (Biomass)'!$V$5*Model!$Y$2030*AVERAGE('Assumptions (Biomass)'!$U$2:$W$2)/10^9),0)</f>
        <v>0</v>
      </c>
      <c r="AH2109" s="160">
        <f>IF($Y$2030&gt;0,PPMT('Assumptions (Biomass)'!$V$7,Model!AF$1,'Assumptions (Biomass)'!$V$10,'Assumptions (Biomass)'!$V$5*Model!$Y$2030*AVERAGE('Assumptions (Biomass)'!$U$2:$W$2)/10^9),0)</f>
        <v>0</v>
      </c>
      <c r="AI2109" s="160">
        <f>IF($Y$2030&gt;0,PPMT('Assumptions (Biomass)'!$V$7,Model!AG$1,'Assumptions (Biomass)'!$V$10,'Assumptions (Biomass)'!$V$5*Model!$Y$2030*AVERAGE('Assumptions (Biomass)'!$U$2:$W$2)/10^9),0)</f>
        <v>0</v>
      </c>
      <c r="AJ2109" s="160">
        <f>IF($Y$2030&gt;0,PPMT('Assumptions (Biomass)'!$V$7,Model!AH$1,'Assumptions (Biomass)'!$V$10,'Assumptions (Biomass)'!$V$5*Model!$Y$2030*AVERAGE('Assumptions (Biomass)'!$U$2:$W$2)/10^9),0)</f>
        <v>0</v>
      </c>
      <c r="AK2109" s="160">
        <f>IF($Y$2030&gt;0,PPMT('Assumptions (Biomass)'!$V$7,Model!AI$1,'Assumptions (Biomass)'!$V$10,'Assumptions (Biomass)'!$V$5*Model!$Y$2030*AVERAGE('Assumptions (Biomass)'!$U$2:$W$2)/10^9),0)</f>
        <v>0</v>
      </c>
      <c r="AL2109" s="160">
        <f>IF($Y$2030&gt;0,PPMT('Assumptions (Biomass)'!$V$7,Model!AJ$1,'Assumptions (Biomass)'!$V$10,'Assumptions (Biomass)'!$V$5*Model!$Y$2030*AVERAGE('Assumptions (Biomass)'!$U$2:$W$2)/10^9),0)</f>
        <v>0</v>
      </c>
      <c r="AM2109" s="160">
        <f>IF($Y$2030&gt;0,PPMT('Assumptions (Biomass)'!$V$7,Model!AK$1,'Assumptions (Biomass)'!$V$10,'Assumptions (Biomass)'!$V$5*Model!$Y$2030*AVERAGE('Assumptions (Biomass)'!$U$2:$W$2)/10^9),0)</f>
        <v>0</v>
      </c>
      <c r="AN2109" s="160"/>
      <c r="AO2109" s="160"/>
      <c r="AP2109" s="160"/>
      <c r="AQ2109" s="160"/>
      <c r="AR2109" s="160"/>
      <c r="AS2109" s="160"/>
      <c r="AT2109" s="160"/>
      <c r="AU2109" s="160"/>
      <c r="AV2109" s="160"/>
      <c r="AW2109" s="160"/>
      <c r="AX2109" s="160"/>
      <c r="AY2109" s="160"/>
      <c r="AZ2109" s="160"/>
      <c r="BA2109" s="160"/>
    </row>
    <row r="2110" ht="15.75" hidden="1" customHeight="1" outlineLevel="1">
      <c r="A2110" s="318"/>
      <c r="B2110" s="38"/>
      <c r="C2110" s="174"/>
      <c r="D2110" s="174"/>
      <c r="E2110" s="174"/>
      <c r="F2110" s="174"/>
      <c r="G2110" s="174"/>
      <c r="H2110" s="174"/>
      <c r="I2110" s="174"/>
      <c r="J2110" s="174"/>
      <c r="K2110" s="174"/>
      <c r="L2110" s="174"/>
      <c r="M2110" s="174"/>
      <c r="N2110" s="174"/>
      <c r="O2110" s="174"/>
      <c r="P2110" s="174"/>
      <c r="Q2110" s="174"/>
      <c r="R2110" s="174"/>
      <c r="S2110" s="174"/>
      <c r="T2110" s="174"/>
      <c r="U2110" s="174"/>
      <c r="V2110" s="174"/>
      <c r="W2110" s="160"/>
      <c r="X2110" s="160"/>
      <c r="Y2110" s="160"/>
      <c r="Z2110" s="160">
        <f>IF($Z$2030&gt;0,PPMT('Assumptions (Biomass)'!$V$7,Model!W$1,'Assumptions (Biomass)'!$V$10,'Assumptions (Biomass)'!$V$5*Model!$Z$2030*AVERAGE('Assumptions (Biomass)'!$V$2:$X$2)/10^9),0)</f>
        <v>0</v>
      </c>
      <c r="AA2110" s="160">
        <f>IF($Z$2030&gt;0,PPMT('Assumptions (Biomass)'!$V$7,Model!X$1,'Assumptions (Biomass)'!$V$10,'Assumptions (Biomass)'!$V$5*Model!$Z$2030*AVERAGE('Assumptions (Biomass)'!$V$2:$X$2)/10^9),0)</f>
        <v>0</v>
      </c>
      <c r="AB2110" s="160">
        <f>IF($Z$2030&gt;0,PPMT('Assumptions (Biomass)'!$V$7,Model!Y$1,'Assumptions (Biomass)'!$V$10,'Assumptions (Biomass)'!$V$5*Model!$Z$2030*AVERAGE('Assumptions (Biomass)'!$V$2:$X$2)/10^9),0)</f>
        <v>0</v>
      </c>
      <c r="AC2110" s="160">
        <f>IF($Z$2030&gt;0,PPMT('Assumptions (Biomass)'!$V$7,Model!Z$1,'Assumptions (Biomass)'!$V$10,'Assumptions (Biomass)'!$V$5*Model!$Z$2030*AVERAGE('Assumptions (Biomass)'!$V$2:$X$2)/10^9),0)</f>
        <v>0</v>
      </c>
      <c r="AD2110" s="160">
        <f>IF($Z$2030&gt;0,PPMT('Assumptions (Biomass)'!$V$7,Model!AA$1,'Assumptions (Biomass)'!$V$10,'Assumptions (Biomass)'!$V$5*Model!$Z$2030*AVERAGE('Assumptions (Biomass)'!$V$2:$X$2)/10^9),0)</f>
        <v>0</v>
      </c>
      <c r="AE2110" s="160">
        <f>IF($Z$2030&gt;0,PPMT('Assumptions (Biomass)'!$V$7,Model!AB$1,'Assumptions (Biomass)'!$V$10,'Assumptions (Biomass)'!$V$5*Model!$Z$2030*AVERAGE('Assumptions (Biomass)'!$V$2:$X$2)/10^9),0)</f>
        <v>0</v>
      </c>
      <c r="AF2110" s="160">
        <f>IF($Z$2030&gt;0,PPMT('Assumptions (Biomass)'!$V$7,Model!AC$1,'Assumptions (Biomass)'!$V$10,'Assumptions (Biomass)'!$V$5*Model!$Z$2030*AVERAGE('Assumptions (Biomass)'!$V$2:$X$2)/10^9),0)</f>
        <v>0</v>
      </c>
      <c r="AG2110" s="160">
        <f>IF($Z$2030&gt;0,PPMT('Assumptions (Biomass)'!$V$7,Model!AD$1,'Assumptions (Biomass)'!$V$10,'Assumptions (Biomass)'!$V$5*Model!$Z$2030*AVERAGE('Assumptions (Biomass)'!$V$2:$X$2)/10^9),0)</f>
        <v>0</v>
      </c>
      <c r="AH2110" s="160">
        <f>IF($Z$2030&gt;0,PPMT('Assumptions (Biomass)'!$V$7,Model!AE$1,'Assumptions (Biomass)'!$V$10,'Assumptions (Biomass)'!$V$5*Model!$Z$2030*AVERAGE('Assumptions (Biomass)'!$V$2:$X$2)/10^9),0)</f>
        <v>0</v>
      </c>
      <c r="AI2110" s="160">
        <f>IF($Z$2030&gt;0,PPMT('Assumptions (Biomass)'!$V$7,Model!AF$1,'Assumptions (Biomass)'!$V$10,'Assumptions (Biomass)'!$V$5*Model!$Z$2030*AVERAGE('Assumptions (Biomass)'!$V$2:$X$2)/10^9),0)</f>
        <v>0</v>
      </c>
      <c r="AJ2110" s="160">
        <f>IF($Z$2030&gt;0,PPMT('Assumptions (Biomass)'!$V$7,Model!AG$1,'Assumptions (Biomass)'!$V$10,'Assumptions (Biomass)'!$V$5*Model!$Z$2030*AVERAGE('Assumptions (Biomass)'!$V$2:$X$2)/10^9),0)</f>
        <v>0</v>
      </c>
      <c r="AK2110" s="160">
        <f>IF($Z$2030&gt;0,PPMT('Assumptions (Biomass)'!$V$7,Model!AH$1,'Assumptions (Biomass)'!$V$10,'Assumptions (Biomass)'!$V$5*Model!$Z$2030*AVERAGE('Assumptions (Biomass)'!$V$2:$X$2)/10^9),0)</f>
        <v>0</v>
      </c>
      <c r="AL2110" s="160">
        <f>IF($Z$2030&gt;0,PPMT('Assumptions (Biomass)'!$V$7,Model!AI$1,'Assumptions (Biomass)'!$V$10,'Assumptions (Biomass)'!$V$5*Model!$Z$2030*AVERAGE('Assumptions (Biomass)'!$V$2:$X$2)/10^9),0)</f>
        <v>0</v>
      </c>
      <c r="AM2110" s="160">
        <f>IF($Z$2030&gt;0,PPMT('Assumptions (Biomass)'!$V$7,Model!AJ$1,'Assumptions (Biomass)'!$V$10,'Assumptions (Biomass)'!$V$5*Model!$Z$2030*AVERAGE('Assumptions (Biomass)'!$V$2:$X$2)/10^9),0)</f>
        <v>0</v>
      </c>
      <c r="AN2110" s="160">
        <f>IF($Z$2030&gt;0,PPMT('Assumptions (Biomass)'!$V$7,Model!AK$1,'Assumptions (Biomass)'!$V$10,'Assumptions (Biomass)'!$V$5*Model!$Z$2030*AVERAGE('Assumptions (Biomass)'!$V$2:$X$2)/10^9),0)</f>
        <v>0</v>
      </c>
      <c r="AO2110" s="160"/>
      <c r="AP2110" s="160"/>
      <c r="AQ2110" s="160"/>
      <c r="AR2110" s="160"/>
      <c r="AS2110" s="160"/>
      <c r="AT2110" s="160"/>
      <c r="AU2110" s="160"/>
      <c r="AV2110" s="160"/>
      <c r="AW2110" s="160"/>
      <c r="AX2110" s="160"/>
      <c r="AY2110" s="160"/>
      <c r="AZ2110" s="160"/>
      <c r="BA2110" s="160"/>
    </row>
    <row r="2111" ht="15.75" hidden="1" customHeight="1" outlineLevel="1">
      <c r="A2111" s="318"/>
      <c r="B2111" s="38"/>
      <c r="C2111" s="174"/>
      <c r="D2111" s="174"/>
      <c r="E2111" s="174"/>
      <c r="F2111" s="174"/>
      <c r="G2111" s="174"/>
      <c r="H2111" s="174"/>
      <c r="I2111" s="174"/>
      <c r="J2111" s="174"/>
      <c r="K2111" s="174"/>
      <c r="L2111" s="174"/>
      <c r="M2111" s="174"/>
      <c r="N2111" s="174"/>
      <c r="O2111" s="174"/>
      <c r="P2111" s="174"/>
      <c r="Q2111" s="174"/>
      <c r="R2111" s="174"/>
      <c r="S2111" s="174"/>
      <c r="T2111" s="174"/>
      <c r="U2111" s="174"/>
      <c r="V2111" s="174"/>
      <c r="W2111" s="160"/>
      <c r="X2111" s="160"/>
      <c r="Y2111" s="160"/>
      <c r="Z2111" s="160"/>
      <c r="AA2111" s="160">
        <f>IF($AA$2030&gt;0,PPMT('Assumptions (Biomass)'!$V$7,Model!W$1,'Assumptions (Biomass)'!$V$10,'Assumptions (Biomass)'!$V$5*Model!$AA$2030*AVERAGE('Assumptions (Biomass)'!$W$2:$Y$2)/10^9),0)</f>
        <v>0</v>
      </c>
      <c r="AB2111" s="160">
        <f>IF($AA$2030&gt;0,PPMT('Assumptions (Biomass)'!$V$7,Model!X$1,'Assumptions (Biomass)'!$V$10,'Assumptions (Biomass)'!$V$5*Model!$AA$2030*AVERAGE('Assumptions (Biomass)'!$W$2:$Y$2)/10^9),0)</f>
        <v>0</v>
      </c>
      <c r="AC2111" s="160">
        <f>IF($AA$2030&gt;0,PPMT('Assumptions (Biomass)'!$V$7,Model!Y$1,'Assumptions (Biomass)'!$V$10,'Assumptions (Biomass)'!$V$5*Model!$AA$2030*AVERAGE('Assumptions (Biomass)'!$W$2:$Y$2)/10^9),0)</f>
        <v>0</v>
      </c>
      <c r="AD2111" s="160">
        <f>IF($AA$2030&gt;0,PPMT('Assumptions (Biomass)'!$V$7,Model!Z$1,'Assumptions (Biomass)'!$V$10,'Assumptions (Biomass)'!$V$5*Model!$AA$2030*AVERAGE('Assumptions (Biomass)'!$W$2:$Y$2)/10^9),0)</f>
        <v>0</v>
      </c>
      <c r="AE2111" s="160">
        <f>IF($AA$2030&gt;0,PPMT('Assumptions (Biomass)'!$V$7,Model!AA$1,'Assumptions (Biomass)'!$V$10,'Assumptions (Biomass)'!$V$5*Model!$AA$2030*AVERAGE('Assumptions (Biomass)'!$W$2:$Y$2)/10^9),0)</f>
        <v>0</v>
      </c>
      <c r="AF2111" s="160">
        <f>IF($AA$2030&gt;0,PPMT('Assumptions (Biomass)'!$V$7,Model!AB$1,'Assumptions (Biomass)'!$V$10,'Assumptions (Biomass)'!$V$5*Model!$AA$2030*AVERAGE('Assumptions (Biomass)'!$W$2:$Y$2)/10^9),0)</f>
        <v>0</v>
      </c>
      <c r="AG2111" s="160">
        <f>IF($AA$2030&gt;0,PPMT('Assumptions (Biomass)'!$V$7,Model!AC$1,'Assumptions (Biomass)'!$V$10,'Assumptions (Biomass)'!$V$5*Model!$AA$2030*AVERAGE('Assumptions (Biomass)'!$W$2:$Y$2)/10^9),0)</f>
        <v>0</v>
      </c>
      <c r="AH2111" s="160">
        <f>IF($AA$2030&gt;0,PPMT('Assumptions (Biomass)'!$V$7,Model!AD$1,'Assumptions (Biomass)'!$V$10,'Assumptions (Biomass)'!$V$5*Model!$AA$2030*AVERAGE('Assumptions (Biomass)'!$W$2:$Y$2)/10^9),0)</f>
        <v>0</v>
      </c>
      <c r="AI2111" s="160">
        <f>IF($AA$2030&gt;0,PPMT('Assumptions (Biomass)'!$V$7,Model!AE$1,'Assumptions (Biomass)'!$V$10,'Assumptions (Biomass)'!$V$5*Model!$AA$2030*AVERAGE('Assumptions (Biomass)'!$W$2:$Y$2)/10^9),0)</f>
        <v>0</v>
      </c>
      <c r="AJ2111" s="160">
        <f>IF($AA$2030&gt;0,PPMT('Assumptions (Biomass)'!$V$7,Model!AF$1,'Assumptions (Biomass)'!$V$10,'Assumptions (Biomass)'!$V$5*Model!$AA$2030*AVERAGE('Assumptions (Biomass)'!$W$2:$Y$2)/10^9),0)</f>
        <v>0</v>
      </c>
      <c r="AK2111" s="160">
        <f>IF($AA$2030&gt;0,PPMT('Assumptions (Biomass)'!$V$7,Model!AG$1,'Assumptions (Biomass)'!$V$10,'Assumptions (Biomass)'!$V$5*Model!$AA$2030*AVERAGE('Assumptions (Biomass)'!$W$2:$Y$2)/10^9),0)</f>
        <v>0</v>
      </c>
      <c r="AL2111" s="160">
        <f>IF($AA$2030&gt;0,PPMT('Assumptions (Biomass)'!$V$7,Model!AH$1,'Assumptions (Biomass)'!$V$10,'Assumptions (Biomass)'!$V$5*Model!$AA$2030*AVERAGE('Assumptions (Biomass)'!$W$2:$Y$2)/10^9),0)</f>
        <v>0</v>
      </c>
      <c r="AM2111" s="160">
        <f>IF($AA$2030&gt;0,PPMT('Assumptions (Biomass)'!$V$7,Model!AI$1,'Assumptions (Biomass)'!$V$10,'Assumptions (Biomass)'!$V$5*Model!$AA$2030*AVERAGE('Assumptions (Biomass)'!$W$2:$Y$2)/10^9),0)</f>
        <v>0</v>
      </c>
      <c r="AN2111" s="160">
        <f>IF($AA$2030&gt;0,PPMT('Assumptions (Biomass)'!$V$7,Model!AJ$1,'Assumptions (Biomass)'!$V$10,'Assumptions (Biomass)'!$V$5*Model!$AA$2030*AVERAGE('Assumptions (Biomass)'!$W$2:$Y$2)/10^9),0)</f>
        <v>0</v>
      </c>
      <c r="AO2111" s="160">
        <f>IF($AA$2030&gt;0,PPMT('Assumptions (Biomass)'!$V$7,Model!AK$1,'Assumptions (Biomass)'!$V$10,'Assumptions (Biomass)'!$V$5*Model!$AA$2030*AVERAGE('Assumptions (Biomass)'!$W$2:$Y$2)/10^9),0)</f>
        <v>0</v>
      </c>
      <c r="AP2111" s="160"/>
      <c r="AQ2111" s="160"/>
      <c r="AR2111" s="160"/>
      <c r="AS2111" s="160"/>
      <c r="AT2111" s="160"/>
      <c r="AU2111" s="160"/>
      <c r="AV2111" s="160"/>
      <c r="AW2111" s="160"/>
      <c r="AX2111" s="160"/>
      <c r="AY2111" s="160"/>
      <c r="AZ2111" s="160"/>
      <c r="BA2111" s="160"/>
    </row>
    <row r="2112" ht="15.75" hidden="1" customHeight="1" outlineLevel="1">
      <c r="A2112" s="318"/>
      <c r="B2112" s="38"/>
      <c r="C2112" s="174"/>
      <c r="D2112" s="174"/>
      <c r="E2112" s="174"/>
      <c r="F2112" s="174"/>
      <c r="G2112" s="174"/>
      <c r="H2112" s="174"/>
      <c r="I2112" s="174"/>
      <c r="J2112" s="174"/>
      <c r="K2112" s="174"/>
      <c r="L2112" s="174"/>
      <c r="M2112" s="174"/>
      <c r="N2112" s="174"/>
      <c r="O2112" s="174"/>
      <c r="P2112" s="174"/>
      <c r="Q2112" s="174"/>
      <c r="R2112" s="174"/>
      <c r="S2112" s="174"/>
      <c r="T2112" s="174"/>
      <c r="U2112" s="174"/>
      <c r="V2112" s="174"/>
      <c r="W2112" s="160"/>
      <c r="X2112" s="160"/>
      <c r="Y2112" s="160"/>
      <c r="Z2112" s="160"/>
      <c r="AA2112" s="160"/>
      <c r="AB2112" s="160">
        <f>IF($AB$2030&gt;0,PPMT('Assumptions (Biomass)'!$V$7,Model!W$1,'Assumptions (Biomass)'!$V$10,'Assumptions (Biomass)'!$V$5*Model!$AB$2030*AVERAGE('Assumptions (Biomass)'!$X$2:$Z$2)/10^9),0)</f>
        <v>0</v>
      </c>
      <c r="AC2112" s="160">
        <f>IF($AB$2030&gt;0,PPMT('Assumptions (Biomass)'!$V$7,Model!X$1,'Assumptions (Biomass)'!$V$10,'Assumptions (Biomass)'!$V$5*Model!$AB$2030*AVERAGE('Assumptions (Biomass)'!$X$2:$Z$2)/10^9),0)</f>
        <v>0</v>
      </c>
      <c r="AD2112" s="160">
        <f>IF($AB$2030&gt;0,PPMT('Assumptions (Biomass)'!$V$7,Model!Y$1,'Assumptions (Biomass)'!$V$10,'Assumptions (Biomass)'!$V$5*Model!$AB$2030*AVERAGE('Assumptions (Biomass)'!$X$2:$Z$2)/10^9),0)</f>
        <v>0</v>
      </c>
      <c r="AE2112" s="160">
        <f>IF($AB$2030&gt;0,PPMT('Assumptions (Biomass)'!$V$7,Model!Z$1,'Assumptions (Biomass)'!$V$10,'Assumptions (Biomass)'!$V$5*Model!$AB$2030*AVERAGE('Assumptions (Biomass)'!$X$2:$Z$2)/10^9),0)</f>
        <v>0</v>
      </c>
      <c r="AF2112" s="160">
        <f>IF($AB$2030&gt;0,PPMT('Assumptions (Biomass)'!$V$7,Model!AA$1,'Assumptions (Biomass)'!$V$10,'Assumptions (Biomass)'!$V$5*Model!$AB$2030*AVERAGE('Assumptions (Biomass)'!$X$2:$Z$2)/10^9),0)</f>
        <v>0</v>
      </c>
      <c r="AG2112" s="160">
        <f>IF($AB$2030&gt;0,PPMT('Assumptions (Biomass)'!$V$7,Model!AB$1,'Assumptions (Biomass)'!$V$10,'Assumptions (Biomass)'!$V$5*Model!$AB$2030*AVERAGE('Assumptions (Biomass)'!$X$2:$Z$2)/10^9),0)</f>
        <v>0</v>
      </c>
      <c r="AH2112" s="160">
        <f>IF($AB$2030&gt;0,PPMT('Assumptions (Biomass)'!$V$7,Model!AC$1,'Assumptions (Biomass)'!$V$10,'Assumptions (Biomass)'!$V$5*Model!$AB$2030*AVERAGE('Assumptions (Biomass)'!$X$2:$Z$2)/10^9),0)</f>
        <v>0</v>
      </c>
      <c r="AI2112" s="160">
        <f>IF($AB$2030&gt;0,PPMT('Assumptions (Biomass)'!$V$7,Model!AD$1,'Assumptions (Biomass)'!$V$10,'Assumptions (Biomass)'!$V$5*Model!$AB$2030*AVERAGE('Assumptions (Biomass)'!$X$2:$Z$2)/10^9),0)</f>
        <v>0</v>
      </c>
      <c r="AJ2112" s="160">
        <f>IF($AB$2030&gt;0,PPMT('Assumptions (Biomass)'!$V$7,Model!AE$1,'Assumptions (Biomass)'!$V$10,'Assumptions (Biomass)'!$V$5*Model!$AB$2030*AVERAGE('Assumptions (Biomass)'!$X$2:$Z$2)/10^9),0)</f>
        <v>0</v>
      </c>
      <c r="AK2112" s="160">
        <f>IF($AB$2030&gt;0,PPMT('Assumptions (Biomass)'!$V$7,Model!AF$1,'Assumptions (Biomass)'!$V$10,'Assumptions (Biomass)'!$V$5*Model!$AB$2030*AVERAGE('Assumptions (Biomass)'!$X$2:$Z$2)/10^9),0)</f>
        <v>0</v>
      </c>
      <c r="AL2112" s="160">
        <f>IF($AB$2030&gt;0,PPMT('Assumptions (Biomass)'!$V$7,Model!AG$1,'Assumptions (Biomass)'!$V$10,'Assumptions (Biomass)'!$V$5*Model!$AB$2030*AVERAGE('Assumptions (Biomass)'!$X$2:$Z$2)/10^9),0)</f>
        <v>0</v>
      </c>
      <c r="AM2112" s="160">
        <f>IF($AB$2030&gt;0,PPMT('Assumptions (Biomass)'!$V$7,Model!AH$1,'Assumptions (Biomass)'!$V$10,'Assumptions (Biomass)'!$V$5*Model!$AB$2030*AVERAGE('Assumptions (Biomass)'!$X$2:$Z$2)/10^9),0)</f>
        <v>0</v>
      </c>
      <c r="AN2112" s="160">
        <f>IF($AB$2030&gt;0,PPMT('Assumptions (Biomass)'!$V$7,Model!AI$1,'Assumptions (Biomass)'!$V$10,'Assumptions (Biomass)'!$V$5*Model!$AB$2030*AVERAGE('Assumptions (Biomass)'!$X$2:$Z$2)/10^9),0)</f>
        <v>0</v>
      </c>
      <c r="AO2112" s="160">
        <f>IF($AB$2030&gt;0,PPMT('Assumptions (Biomass)'!$V$7,Model!AJ$1,'Assumptions (Biomass)'!$V$10,'Assumptions (Biomass)'!$V$5*Model!$AB$2030*AVERAGE('Assumptions (Biomass)'!$X$2:$Z$2)/10^9),0)</f>
        <v>0</v>
      </c>
      <c r="AP2112" s="160">
        <f>IF($AB$2030&gt;0,PPMT('Assumptions (Biomass)'!$V$7,Model!AK$1,'Assumptions (Biomass)'!$V$10,'Assumptions (Biomass)'!$V$5*Model!$AB$2030*AVERAGE('Assumptions (Biomass)'!$X$2:$Z$2)/10^9),0)</f>
        <v>0</v>
      </c>
      <c r="AQ2112" s="160"/>
      <c r="AR2112" s="160"/>
      <c r="AS2112" s="160"/>
      <c r="AT2112" s="160"/>
      <c r="AU2112" s="160"/>
      <c r="AV2112" s="160"/>
      <c r="AW2112" s="160"/>
      <c r="AX2112" s="160"/>
      <c r="AY2112" s="160"/>
      <c r="AZ2112" s="160"/>
      <c r="BA2112" s="160"/>
    </row>
    <row r="2113" ht="15.75" hidden="1" customHeight="1" outlineLevel="1">
      <c r="A2113" s="318"/>
      <c r="B2113" s="38"/>
      <c r="C2113" s="174"/>
      <c r="D2113" s="174"/>
      <c r="E2113" s="174"/>
      <c r="F2113" s="174"/>
      <c r="G2113" s="174"/>
      <c r="H2113" s="174"/>
      <c r="I2113" s="174"/>
      <c r="J2113" s="174"/>
      <c r="K2113" s="174"/>
      <c r="L2113" s="174"/>
      <c r="M2113" s="174"/>
      <c r="N2113" s="174"/>
      <c r="O2113" s="174"/>
      <c r="P2113" s="174"/>
      <c r="Q2113" s="174"/>
      <c r="R2113" s="174"/>
      <c r="S2113" s="174"/>
      <c r="T2113" s="174"/>
      <c r="U2113" s="174"/>
      <c r="V2113" s="174"/>
      <c r="W2113" s="160"/>
      <c r="X2113" s="160"/>
      <c r="Y2113" s="160"/>
      <c r="Z2113" s="160"/>
      <c r="AA2113" s="160"/>
      <c r="AB2113" s="160"/>
      <c r="AC2113" s="160">
        <f>IF($AC$2030&gt;0,PPMT('Assumptions (Biomass)'!$V$7,Model!W$1,'Assumptions (Biomass)'!$V$10,'Assumptions (Biomass)'!$V$5*Model!$AC$2030*AVERAGE('Assumptions (Biomass)'!$Y$2:$AA$2)/10^9),0)</f>
        <v>0</v>
      </c>
      <c r="AD2113" s="160">
        <f>IF($AC$2030&gt;0,PPMT('Assumptions (Biomass)'!$V$7,Model!X$1,'Assumptions (Biomass)'!$V$10,'Assumptions (Biomass)'!$V$5*Model!$AC$2030*AVERAGE('Assumptions (Biomass)'!$Y$2:$AA$2)/10^9),0)</f>
        <v>0</v>
      </c>
      <c r="AE2113" s="160">
        <f>IF($AC$2030&gt;0,PPMT('Assumptions (Biomass)'!$V$7,Model!Y$1,'Assumptions (Biomass)'!$V$10,'Assumptions (Biomass)'!$V$5*Model!$AC$2030*AVERAGE('Assumptions (Biomass)'!$Y$2:$AA$2)/10^9),0)</f>
        <v>0</v>
      </c>
      <c r="AF2113" s="160">
        <f>IF($AC$2030&gt;0,PPMT('Assumptions (Biomass)'!$V$7,Model!Z$1,'Assumptions (Biomass)'!$V$10,'Assumptions (Biomass)'!$V$5*Model!$AC$2030*AVERAGE('Assumptions (Biomass)'!$Y$2:$AA$2)/10^9),0)</f>
        <v>0</v>
      </c>
      <c r="AG2113" s="160">
        <f>IF($AC$2030&gt;0,PPMT('Assumptions (Biomass)'!$V$7,Model!AA$1,'Assumptions (Biomass)'!$V$10,'Assumptions (Biomass)'!$V$5*Model!$AC$2030*AVERAGE('Assumptions (Biomass)'!$Y$2:$AA$2)/10^9),0)</f>
        <v>0</v>
      </c>
      <c r="AH2113" s="160">
        <f>IF($AC$2030&gt;0,PPMT('Assumptions (Biomass)'!$V$7,Model!AB$1,'Assumptions (Biomass)'!$V$10,'Assumptions (Biomass)'!$V$5*Model!$AC$2030*AVERAGE('Assumptions (Biomass)'!$Y$2:$AA$2)/10^9),0)</f>
        <v>0</v>
      </c>
      <c r="AI2113" s="160">
        <f>IF($AC$2030&gt;0,PPMT('Assumptions (Biomass)'!$V$7,Model!AC$1,'Assumptions (Biomass)'!$V$10,'Assumptions (Biomass)'!$V$5*Model!$AC$2030*AVERAGE('Assumptions (Biomass)'!$Y$2:$AA$2)/10^9),0)</f>
        <v>0</v>
      </c>
      <c r="AJ2113" s="160">
        <f>IF($AC$2030&gt;0,PPMT('Assumptions (Biomass)'!$V$7,Model!AD$1,'Assumptions (Biomass)'!$V$10,'Assumptions (Biomass)'!$V$5*Model!$AC$2030*AVERAGE('Assumptions (Biomass)'!$Y$2:$AA$2)/10^9),0)</f>
        <v>0</v>
      </c>
      <c r="AK2113" s="160">
        <f>IF($AC$2030&gt;0,PPMT('Assumptions (Biomass)'!$V$7,Model!AE$1,'Assumptions (Biomass)'!$V$10,'Assumptions (Biomass)'!$V$5*Model!$AC$2030*AVERAGE('Assumptions (Biomass)'!$Y$2:$AA$2)/10^9),0)</f>
        <v>0</v>
      </c>
      <c r="AL2113" s="160">
        <f>IF($AC$2030&gt;0,PPMT('Assumptions (Biomass)'!$V$7,Model!AF$1,'Assumptions (Biomass)'!$V$10,'Assumptions (Biomass)'!$V$5*Model!$AC$2030*AVERAGE('Assumptions (Biomass)'!$Y$2:$AA$2)/10^9),0)</f>
        <v>0</v>
      </c>
      <c r="AM2113" s="160">
        <f>IF($AC$2030&gt;0,PPMT('Assumptions (Biomass)'!$V$7,Model!AG$1,'Assumptions (Biomass)'!$V$10,'Assumptions (Biomass)'!$V$5*Model!$AC$2030*AVERAGE('Assumptions (Biomass)'!$Y$2:$AA$2)/10^9),0)</f>
        <v>0</v>
      </c>
      <c r="AN2113" s="160">
        <f>IF($AC$2030&gt;0,PPMT('Assumptions (Biomass)'!$V$7,Model!AH$1,'Assumptions (Biomass)'!$V$10,'Assumptions (Biomass)'!$V$5*Model!$AC$2030*AVERAGE('Assumptions (Biomass)'!$Y$2:$AA$2)/10^9),0)</f>
        <v>0</v>
      </c>
      <c r="AO2113" s="160">
        <f>IF($AC$2030&gt;0,PPMT('Assumptions (Biomass)'!$V$7,Model!AI$1,'Assumptions (Biomass)'!$V$10,'Assumptions (Biomass)'!$V$5*Model!$AC$2030*AVERAGE('Assumptions (Biomass)'!$Y$2:$AA$2)/10^9),0)</f>
        <v>0</v>
      </c>
      <c r="AP2113" s="160">
        <f>IF($AC$2030&gt;0,PPMT('Assumptions (Biomass)'!$V$7,Model!AJ$1,'Assumptions (Biomass)'!$V$10,'Assumptions (Biomass)'!$V$5*Model!$AC$2030*AVERAGE('Assumptions (Biomass)'!$Y$2:$AA$2)/10^9),0)</f>
        <v>0</v>
      </c>
      <c r="AQ2113" s="160">
        <f>IF($AC$2030&gt;0,PPMT('Assumptions (Biomass)'!$V$7,Model!AK$1,'Assumptions (Biomass)'!$V$10,'Assumptions (Biomass)'!$V$5*Model!$AC$2030*AVERAGE('Assumptions (Biomass)'!$Y$2:$AA$2)/10^9),0)</f>
        <v>0</v>
      </c>
      <c r="AR2113" s="160"/>
      <c r="AS2113" s="160"/>
      <c r="AT2113" s="160"/>
      <c r="AU2113" s="160"/>
      <c r="AV2113" s="160"/>
      <c r="AW2113" s="160"/>
      <c r="AX2113" s="160"/>
      <c r="AY2113" s="160"/>
      <c r="AZ2113" s="160"/>
      <c r="BA2113" s="160"/>
    </row>
    <row r="2114" ht="15.75" hidden="1" customHeight="1" outlineLevel="1">
      <c r="A2114" s="318"/>
      <c r="B2114" s="38"/>
      <c r="C2114" s="174"/>
      <c r="D2114" s="174"/>
      <c r="E2114" s="174"/>
      <c r="F2114" s="174"/>
      <c r="G2114" s="174"/>
      <c r="H2114" s="174"/>
      <c r="I2114" s="174"/>
      <c r="J2114" s="174"/>
      <c r="K2114" s="174"/>
      <c r="L2114" s="174"/>
      <c r="M2114" s="174"/>
      <c r="N2114" s="174"/>
      <c r="O2114" s="174"/>
      <c r="P2114" s="174"/>
      <c r="Q2114" s="174"/>
      <c r="R2114" s="174"/>
      <c r="S2114" s="174"/>
      <c r="T2114" s="174"/>
      <c r="U2114" s="174"/>
      <c r="V2114" s="174"/>
      <c r="W2114" s="160"/>
      <c r="X2114" s="160"/>
      <c r="Y2114" s="160"/>
      <c r="Z2114" s="160"/>
      <c r="AA2114" s="160"/>
      <c r="AB2114" s="160"/>
      <c r="AC2114" s="160"/>
      <c r="AD2114" s="160">
        <f>IF($AD$2030&gt;0,PPMT('Assumptions (Biomass)'!$V$7,Model!W$1,'Assumptions (Biomass)'!$V$10,'Assumptions (Biomass)'!$V$5*Model!$AD$2030*AVERAGE('Assumptions (Biomass)'!$Z$2:$AB$2)/10^9),0)</f>
        <v>0</v>
      </c>
      <c r="AE2114" s="160">
        <f>IF($AD$2030&gt;0,PPMT('Assumptions (Biomass)'!$V$7,Model!X$1,'Assumptions (Biomass)'!$V$10,'Assumptions (Biomass)'!$V$5*Model!$AD$2030*AVERAGE('Assumptions (Biomass)'!$Z$2:$AB$2)/10^9),0)</f>
        <v>0</v>
      </c>
      <c r="AF2114" s="160">
        <f>IF($AD$2030&gt;0,PPMT('Assumptions (Biomass)'!$V$7,Model!Y$1,'Assumptions (Biomass)'!$V$10,'Assumptions (Biomass)'!$V$5*Model!$AD$2030*AVERAGE('Assumptions (Biomass)'!$Z$2:$AB$2)/10^9),0)</f>
        <v>0</v>
      </c>
      <c r="AG2114" s="160">
        <f>IF($AD$2030&gt;0,PPMT('Assumptions (Biomass)'!$V$7,Model!Z$1,'Assumptions (Biomass)'!$V$10,'Assumptions (Biomass)'!$V$5*Model!$AD$2030*AVERAGE('Assumptions (Biomass)'!$Z$2:$AB$2)/10^9),0)</f>
        <v>0</v>
      </c>
      <c r="AH2114" s="160">
        <f>IF($AD$2030&gt;0,PPMT('Assumptions (Biomass)'!$V$7,Model!AA$1,'Assumptions (Biomass)'!$V$10,'Assumptions (Biomass)'!$V$5*Model!$AD$2030*AVERAGE('Assumptions (Biomass)'!$Z$2:$AB$2)/10^9),0)</f>
        <v>0</v>
      </c>
      <c r="AI2114" s="160">
        <f>IF($AD$2030&gt;0,PPMT('Assumptions (Biomass)'!$V$7,Model!AB$1,'Assumptions (Biomass)'!$V$10,'Assumptions (Biomass)'!$V$5*Model!$AD$2030*AVERAGE('Assumptions (Biomass)'!$Z$2:$AB$2)/10^9),0)</f>
        <v>0</v>
      </c>
      <c r="AJ2114" s="160">
        <f>IF($AD$2030&gt;0,PPMT('Assumptions (Biomass)'!$V$7,Model!AC$1,'Assumptions (Biomass)'!$V$10,'Assumptions (Biomass)'!$V$5*Model!$AD$2030*AVERAGE('Assumptions (Biomass)'!$Z$2:$AB$2)/10^9),0)</f>
        <v>0</v>
      </c>
      <c r="AK2114" s="160">
        <f>IF($AD$2030&gt;0,PPMT('Assumptions (Biomass)'!$V$7,Model!AD$1,'Assumptions (Biomass)'!$V$10,'Assumptions (Biomass)'!$V$5*Model!$AD$2030*AVERAGE('Assumptions (Biomass)'!$Z$2:$AB$2)/10^9),0)</f>
        <v>0</v>
      </c>
      <c r="AL2114" s="160">
        <f>IF($AD$2030&gt;0,PPMT('Assumptions (Biomass)'!$V$7,Model!AE$1,'Assumptions (Biomass)'!$V$10,'Assumptions (Biomass)'!$V$5*Model!$AD$2030*AVERAGE('Assumptions (Biomass)'!$Z$2:$AB$2)/10^9),0)</f>
        <v>0</v>
      </c>
      <c r="AM2114" s="160">
        <f>IF($AD$2030&gt;0,PPMT('Assumptions (Biomass)'!$V$7,Model!AF$1,'Assumptions (Biomass)'!$V$10,'Assumptions (Biomass)'!$V$5*Model!$AD$2030*AVERAGE('Assumptions (Biomass)'!$Z$2:$AB$2)/10^9),0)</f>
        <v>0</v>
      </c>
      <c r="AN2114" s="160">
        <f>IF($AD$2030&gt;0,PPMT('Assumptions (Biomass)'!$V$7,Model!AG$1,'Assumptions (Biomass)'!$V$10,'Assumptions (Biomass)'!$V$5*Model!$AD$2030*AVERAGE('Assumptions (Biomass)'!$Z$2:$AB$2)/10^9),0)</f>
        <v>0</v>
      </c>
      <c r="AO2114" s="160">
        <f>IF($AD$2030&gt;0,PPMT('Assumptions (Biomass)'!$V$7,Model!AH$1,'Assumptions (Biomass)'!$V$10,'Assumptions (Biomass)'!$V$5*Model!$AD$2030*AVERAGE('Assumptions (Biomass)'!$Z$2:$AB$2)/10^9),0)</f>
        <v>0</v>
      </c>
      <c r="AP2114" s="160">
        <f>IF($AD$2030&gt;0,PPMT('Assumptions (Biomass)'!$V$7,Model!AI$1,'Assumptions (Biomass)'!$V$10,'Assumptions (Biomass)'!$V$5*Model!$AD$2030*AVERAGE('Assumptions (Biomass)'!$Z$2:$AB$2)/10^9),0)</f>
        <v>0</v>
      </c>
      <c r="AQ2114" s="160">
        <f>IF($AD$2030&gt;0,PPMT('Assumptions (Biomass)'!$V$7,Model!AJ$1,'Assumptions (Biomass)'!$V$10,'Assumptions (Biomass)'!$V$5*Model!$AD$2030*AVERAGE('Assumptions (Biomass)'!$Z$2:$AB$2)/10^9),0)</f>
        <v>0</v>
      </c>
      <c r="AR2114" s="160">
        <f>IF($AD$2030&gt;0,PPMT('Assumptions (Biomass)'!$V$7,Model!AK$1,'Assumptions (Biomass)'!$V$10,'Assumptions (Biomass)'!$V$5*Model!$AD$2030*AVERAGE('Assumptions (Biomass)'!$Z$2:$AB$2)/10^9),0)</f>
        <v>0</v>
      </c>
      <c r="AS2114" s="160"/>
      <c r="AT2114" s="160"/>
      <c r="AU2114" s="160"/>
      <c r="AV2114" s="160"/>
      <c r="AW2114" s="160"/>
      <c r="AX2114" s="160"/>
      <c r="AY2114" s="160"/>
      <c r="AZ2114" s="160"/>
      <c r="BA2114" s="160"/>
      <c r="BB2114" s="160"/>
    </row>
    <row r="2115" ht="15.75" hidden="1" customHeight="1" outlineLevel="1">
      <c r="A2115" s="318"/>
      <c r="B2115" s="38"/>
      <c r="C2115" s="174"/>
      <c r="D2115" s="174"/>
      <c r="E2115" s="174"/>
      <c r="F2115" s="174"/>
      <c r="G2115" s="174"/>
      <c r="H2115" s="174"/>
      <c r="I2115" s="174"/>
      <c r="J2115" s="174"/>
      <c r="K2115" s="174"/>
      <c r="L2115" s="174"/>
      <c r="M2115" s="174"/>
      <c r="N2115" s="174"/>
      <c r="O2115" s="174"/>
      <c r="P2115" s="174"/>
      <c r="Q2115" s="174"/>
      <c r="R2115" s="174"/>
      <c r="S2115" s="174"/>
      <c r="T2115" s="174"/>
      <c r="U2115" s="174"/>
      <c r="V2115" s="174"/>
      <c r="W2115" s="160"/>
      <c r="X2115" s="160"/>
      <c r="Y2115" s="160"/>
      <c r="Z2115" s="160"/>
      <c r="AA2115" s="160"/>
      <c r="AB2115" s="160"/>
      <c r="AC2115" s="160"/>
      <c r="AD2115" s="160"/>
      <c r="AE2115" s="160">
        <f>IF($AE$2030&gt;0,PPMT('Assumptions (Biomass)'!$V$7,Model!W$1,'Assumptions (Biomass)'!$V$10,'Assumptions (Biomass)'!$V$5*Model!$AE$2030*AVERAGE('Assumptions (Biomass)'!$AA$2:$AC$2)/10^9),0)</f>
        <v>0</v>
      </c>
      <c r="AF2115" s="160">
        <f>IF($AE$2030&gt;0,PPMT('Assumptions (Biomass)'!$V$7,Model!X$1,'Assumptions (Biomass)'!$V$10,'Assumptions (Biomass)'!$V$5*Model!$AE$2030*AVERAGE('Assumptions (Biomass)'!$AA$2:$AC$2)/10^9),0)</f>
        <v>0</v>
      </c>
      <c r="AG2115" s="160">
        <f>IF($AE$2030&gt;0,PPMT('Assumptions (Biomass)'!$V$7,Model!Y$1,'Assumptions (Biomass)'!$V$10,'Assumptions (Biomass)'!$V$5*Model!$AE$2030*AVERAGE('Assumptions (Biomass)'!$AA$2:$AC$2)/10^9),0)</f>
        <v>0</v>
      </c>
      <c r="AH2115" s="160">
        <f>IF($AE$2030&gt;0,PPMT('Assumptions (Biomass)'!$V$7,Model!Z$1,'Assumptions (Biomass)'!$V$10,'Assumptions (Biomass)'!$V$5*Model!$AE$2030*AVERAGE('Assumptions (Biomass)'!$AA$2:$AC$2)/10^9),0)</f>
        <v>0</v>
      </c>
      <c r="AI2115" s="160">
        <f>IF($AE$2030&gt;0,PPMT('Assumptions (Biomass)'!$V$7,Model!AA$1,'Assumptions (Biomass)'!$V$10,'Assumptions (Biomass)'!$V$5*Model!$AE$2030*AVERAGE('Assumptions (Biomass)'!$AA$2:$AC$2)/10^9),0)</f>
        <v>0</v>
      </c>
      <c r="AJ2115" s="160">
        <f>IF($AE$2030&gt;0,PPMT('Assumptions (Biomass)'!$V$7,Model!AB$1,'Assumptions (Biomass)'!$V$10,'Assumptions (Biomass)'!$V$5*Model!$AE$2030*AVERAGE('Assumptions (Biomass)'!$AA$2:$AC$2)/10^9),0)</f>
        <v>0</v>
      </c>
      <c r="AK2115" s="160">
        <f>IF($AE$2030&gt;0,PPMT('Assumptions (Biomass)'!$V$7,Model!AC$1,'Assumptions (Biomass)'!$V$10,'Assumptions (Biomass)'!$V$5*Model!$AE$2030*AVERAGE('Assumptions (Biomass)'!$AA$2:$AC$2)/10^9),0)</f>
        <v>0</v>
      </c>
      <c r="AL2115" s="160">
        <f>IF($AE$2030&gt;0,PPMT('Assumptions (Biomass)'!$V$7,Model!AD$1,'Assumptions (Biomass)'!$V$10,'Assumptions (Biomass)'!$V$5*Model!$AE$2030*AVERAGE('Assumptions (Biomass)'!$AA$2:$AC$2)/10^9),0)</f>
        <v>0</v>
      </c>
      <c r="AM2115" s="160">
        <f>IF($AE$2030&gt;0,PPMT('Assumptions (Biomass)'!$V$7,Model!AE$1,'Assumptions (Biomass)'!$V$10,'Assumptions (Biomass)'!$V$5*Model!$AE$2030*AVERAGE('Assumptions (Biomass)'!$AA$2:$AC$2)/10^9),0)</f>
        <v>0</v>
      </c>
      <c r="AN2115" s="160">
        <f>IF($AE$2030&gt;0,PPMT('Assumptions (Biomass)'!$V$7,Model!AF$1,'Assumptions (Biomass)'!$V$10,'Assumptions (Biomass)'!$V$5*Model!$AE$2030*AVERAGE('Assumptions (Biomass)'!$AA$2:$AC$2)/10^9),0)</f>
        <v>0</v>
      </c>
      <c r="AO2115" s="160">
        <f>IF($AE$2030&gt;0,PPMT('Assumptions (Biomass)'!$V$7,Model!AG$1,'Assumptions (Biomass)'!$V$10,'Assumptions (Biomass)'!$V$5*Model!$AE$2030*AVERAGE('Assumptions (Biomass)'!$AA$2:$AC$2)/10^9),0)</f>
        <v>0</v>
      </c>
      <c r="AP2115" s="160">
        <f>IF($AE$2030&gt;0,PPMT('Assumptions (Biomass)'!$V$7,Model!AH$1,'Assumptions (Biomass)'!$V$10,'Assumptions (Biomass)'!$V$5*Model!$AE$2030*AVERAGE('Assumptions (Biomass)'!$AA$2:$AC$2)/10^9),0)</f>
        <v>0</v>
      </c>
      <c r="AQ2115" s="160">
        <f>IF($AE$2030&gt;0,PPMT('Assumptions (Biomass)'!$V$7,Model!AI$1,'Assumptions (Biomass)'!$V$10,'Assumptions (Biomass)'!$V$5*Model!$AE$2030*AVERAGE('Assumptions (Biomass)'!$AA$2:$AC$2)/10^9),0)</f>
        <v>0</v>
      </c>
      <c r="AR2115" s="160">
        <f>IF($AE$2030&gt;0,PPMT('Assumptions (Biomass)'!$V$7,Model!AJ$1,'Assumptions (Biomass)'!$V$10,'Assumptions (Biomass)'!$V$5*Model!$AE$2030*AVERAGE('Assumptions (Biomass)'!$AA$2:$AC$2)/10^9),0)</f>
        <v>0</v>
      </c>
      <c r="AS2115" s="160">
        <f>IF($AE$2030&gt;0,PPMT('Assumptions (Biomass)'!$V$7,Model!AK$1,'Assumptions (Biomass)'!$V$10,'Assumptions (Biomass)'!$V$5*Model!$AE$2030*AVERAGE('Assumptions (Biomass)'!$AA$2:$AC$2)/10^9),0)</f>
        <v>0</v>
      </c>
      <c r="AT2115" s="160"/>
      <c r="AU2115" s="160"/>
      <c r="AV2115" s="160"/>
      <c r="AW2115" s="160"/>
      <c r="AX2115" s="160"/>
      <c r="AY2115" s="160"/>
      <c r="AZ2115" s="160"/>
      <c r="BA2115" s="160"/>
      <c r="BB2115" s="160"/>
      <c r="BC2115" s="160"/>
    </row>
    <row r="2116" ht="15.75" hidden="1" customHeight="1" outlineLevel="1">
      <c r="A2116" s="318"/>
      <c r="B2116" s="38"/>
      <c r="C2116" s="174"/>
      <c r="D2116" s="174"/>
      <c r="E2116" s="174"/>
      <c r="F2116" s="174"/>
      <c r="G2116" s="174"/>
      <c r="H2116" s="174"/>
      <c r="I2116" s="174"/>
      <c r="J2116" s="174"/>
      <c r="K2116" s="174"/>
      <c r="L2116" s="174"/>
      <c r="M2116" s="174"/>
      <c r="N2116" s="174"/>
      <c r="O2116" s="174"/>
      <c r="P2116" s="174"/>
      <c r="Q2116" s="174"/>
      <c r="R2116" s="174"/>
      <c r="S2116" s="174"/>
      <c r="T2116" s="174"/>
      <c r="U2116" s="174"/>
      <c r="V2116" s="174"/>
      <c r="W2116" s="160"/>
      <c r="X2116" s="160"/>
      <c r="Y2116" s="160"/>
      <c r="Z2116" s="160"/>
      <c r="AA2116" s="160"/>
      <c r="AB2116" s="160"/>
      <c r="AC2116" s="160"/>
      <c r="AD2116" s="160"/>
      <c r="AE2116" s="160"/>
      <c r="AF2116" s="160">
        <f>IF($AF$2030&gt;0,PPMT('Assumptions (Biomass)'!$V$7,Model!W$1,'Assumptions (Biomass)'!$V$10,'Assumptions (Biomass)'!$V$5*Model!$AF$2030*AVERAGE('Assumptions (Biomass)'!$AB$2:$AD$2)/10^9),0)</f>
        <v>0</v>
      </c>
      <c r="AG2116" s="160">
        <f>IF($AF$2030&gt;0,PPMT('Assumptions (Biomass)'!$V$7,Model!X$1,'Assumptions (Biomass)'!$V$10,'Assumptions (Biomass)'!$V$5*Model!$AF$2030*AVERAGE('Assumptions (Biomass)'!$AB$2:$AD$2)/10^9),0)</f>
        <v>0</v>
      </c>
      <c r="AH2116" s="160">
        <f>IF($AF$2030&gt;0,PPMT('Assumptions (Biomass)'!$V$7,Model!Y$1,'Assumptions (Biomass)'!$V$10,'Assumptions (Biomass)'!$V$5*Model!$AF$2030*AVERAGE('Assumptions (Biomass)'!$AB$2:$AD$2)/10^9),0)</f>
        <v>0</v>
      </c>
      <c r="AI2116" s="160">
        <f>IF($AF$2030&gt;0,PPMT('Assumptions (Biomass)'!$V$7,Model!Z$1,'Assumptions (Biomass)'!$V$10,'Assumptions (Biomass)'!$V$5*Model!$AF$2030*AVERAGE('Assumptions (Biomass)'!$AB$2:$AD$2)/10^9),0)</f>
        <v>0</v>
      </c>
      <c r="AJ2116" s="160">
        <f>IF($AF$2030&gt;0,PPMT('Assumptions (Biomass)'!$V$7,Model!AA$1,'Assumptions (Biomass)'!$V$10,'Assumptions (Biomass)'!$V$5*Model!$AF$2030*AVERAGE('Assumptions (Biomass)'!$AB$2:$AD$2)/10^9),0)</f>
        <v>0</v>
      </c>
      <c r="AK2116" s="160">
        <f>IF($AF$2030&gt;0,PPMT('Assumptions (Biomass)'!$V$7,Model!AB$1,'Assumptions (Biomass)'!$V$10,'Assumptions (Biomass)'!$V$5*Model!$AF$2030*AVERAGE('Assumptions (Biomass)'!$AB$2:$AD$2)/10^9),0)</f>
        <v>0</v>
      </c>
      <c r="AL2116" s="160">
        <f>IF($AF$2030&gt;0,PPMT('Assumptions (Biomass)'!$V$7,Model!AC$1,'Assumptions (Biomass)'!$V$10,'Assumptions (Biomass)'!$V$5*Model!$AF$2030*AVERAGE('Assumptions (Biomass)'!$AB$2:$AD$2)/10^9),0)</f>
        <v>0</v>
      </c>
      <c r="AM2116" s="160">
        <f>IF($AF$2030&gt;0,PPMT('Assumptions (Biomass)'!$V$7,Model!AD$1,'Assumptions (Biomass)'!$V$10,'Assumptions (Biomass)'!$V$5*Model!$AF$2030*AVERAGE('Assumptions (Biomass)'!$AB$2:$AD$2)/10^9),0)</f>
        <v>0</v>
      </c>
      <c r="AN2116" s="160">
        <f>IF($AF$2030&gt;0,PPMT('Assumptions (Biomass)'!$V$7,Model!AE$1,'Assumptions (Biomass)'!$V$10,'Assumptions (Biomass)'!$V$5*Model!$AF$2030*AVERAGE('Assumptions (Biomass)'!$AB$2:$AD$2)/10^9),0)</f>
        <v>0</v>
      </c>
      <c r="AO2116" s="160">
        <f>IF($AF$2030&gt;0,PPMT('Assumptions (Biomass)'!$V$7,Model!AF$1,'Assumptions (Biomass)'!$V$10,'Assumptions (Biomass)'!$V$5*Model!$AF$2030*AVERAGE('Assumptions (Biomass)'!$AB$2:$AD$2)/10^9),0)</f>
        <v>0</v>
      </c>
      <c r="AP2116" s="160">
        <f>IF($AF$2030&gt;0,PPMT('Assumptions (Biomass)'!$V$7,Model!AG$1,'Assumptions (Biomass)'!$V$10,'Assumptions (Biomass)'!$V$5*Model!$AF$2030*AVERAGE('Assumptions (Biomass)'!$AB$2:$AD$2)/10^9),0)</f>
        <v>0</v>
      </c>
      <c r="AQ2116" s="160">
        <f>IF($AF$2030&gt;0,PPMT('Assumptions (Biomass)'!$V$7,Model!AH$1,'Assumptions (Biomass)'!$V$10,'Assumptions (Biomass)'!$V$5*Model!$AF$2030*AVERAGE('Assumptions (Biomass)'!$AB$2:$AD$2)/10^9),0)</f>
        <v>0</v>
      </c>
      <c r="AR2116" s="160">
        <f>IF($AF$2030&gt;0,PPMT('Assumptions (Biomass)'!$V$7,Model!AI$1,'Assumptions (Biomass)'!$V$10,'Assumptions (Biomass)'!$V$5*Model!$AF$2030*AVERAGE('Assumptions (Biomass)'!$AB$2:$AD$2)/10^9),0)</f>
        <v>0</v>
      </c>
      <c r="AS2116" s="160">
        <f>IF($AF$2030&gt;0,PPMT('Assumptions (Biomass)'!$V$7,Model!AJ$1,'Assumptions (Biomass)'!$V$10,'Assumptions (Biomass)'!$V$5*Model!$AF$2030*AVERAGE('Assumptions (Biomass)'!$AB$2:$AD$2)/10^9),0)</f>
        <v>0</v>
      </c>
      <c r="AT2116" s="160">
        <f>IF($AF$2030&gt;0,PPMT('Assumptions (Biomass)'!$V$7,Model!AK$1,'Assumptions (Biomass)'!$V$10,'Assumptions (Biomass)'!$V$5*Model!$AF$2030*AVERAGE('Assumptions (Biomass)'!$AB$2:$AD$2)/10^9),0)</f>
        <v>0</v>
      </c>
      <c r="AU2116" s="160"/>
      <c r="AV2116" s="160"/>
      <c r="AW2116" s="160"/>
      <c r="AX2116" s="160"/>
      <c r="AY2116" s="160"/>
      <c r="AZ2116" s="160"/>
      <c r="BA2116" s="160"/>
      <c r="BB2116" s="160"/>
      <c r="BC2116" s="160"/>
      <c r="BD2116" s="160"/>
    </row>
    <row r="2117" ht="15.75" hidden="1" customHeight="1" outlineLevel="1">
      <c r="A2117" s="318"/>
      <c r="B2117" s="38"/>
      <c r="C2117" s="174"/>
      <c r="D2117" s="174"/>
      <c r="E2117" s="174"/>
      <c r="F2117" s="174"/>
      <c r="G2117" s="174"/>
      <c r="H2117" s="174"/>
      <c r="I2117" s="174"/>
      <c r="J2117" s="174"/>
      <c r="K2117" s="174"/>
      <c r="L2117" s="174"/>
      <c r="M2117" s="174"/>
      <c r="N2117" s="174"/>
      <c r="O2117" s="174"/>
      <c r="P2117" s="174"/>
      <c r="Q2117" s="174"/>
      <c r="R2117" s="174"/>
      <c r="S2117" s="174"/>
      <c r="T2117" s="174"/>
      <c r="U2117" s="174"/>
      <c r="V2117" s="174"/>
      <c r="W2117" s="160"/>
      <c r="X2117" s="160"/>
      <c r="Y2117" s="160"/>
      <c r="Z2117" s="160"/>
      <c r="AA2117" s="160"/>
      <c r="AB2117" s="160"/>
      <c r="AC2117" s="160"/>
      <c r="AD2117" s="160"/>
      <c r="AE2117" s="160"/>
      <c r="AF2117" s="160"/>
      <c r="AG2117" s="160">
        <f>IF($AG$2030&gt;0,PPMT('Assumptions (Biomass)'!$V$7,Model!W$1,'Assumptions (Biomass)'!$V$10,'Assumptions (Biomass)'!$V$5*Model!$AG$2030*AVERAGE('Assumptions (Biomass)'!$AC$2:$AE$2)/10^9),0)</f>
        <v>0</v>
      </c>
      <c r="AH2117" s="160">
        <f>IF($AG$2030&gt;0,PPMT('Assumptions (Biomass)'!$V$7,Model!X$1,'Assumptions (Biomass)'!$V$10,'Assumptions (Biomass)'!$V$5*Model!$AG$2030*AVERAGE('Assumptions (Biomass)'!$AC$2:$AE$2)/10^9),0)</f>
        <v>0</v>
      </c>
      <c r="AI2117" s="160">
        <f>IF($AG$2030&gt;0,PPMT('Assumptions (Biomass)'!$V$7,Model!Y$1,'Assumptions (Biomass)'!$V$10,'Assumptions (Biomass)'!$V$5*Model!$AG$2030*AVERAGE('Assumptions (Biomass)'!$AC$2:$AE$2)/10^9),0)</f>
        <v>0</v>
      </c>
      <c r="AJ2117" s="160">
        <f>IF($AG$2030&gt;0,PPMT('Assumptions (Biomass)'!$V$7,Model!Z$1,'Assumptions (Biomass)'!$V$10,'Assumptions (Biomass)'!$V$5*Model!$AG$2030*AVERAGE('Assumptions (Biomass)'!$AC$2:$AE$2)/10^9),0)</f>
        <v>0</v>
      </c>
      <c r="AK2117" s="160">
        <f>IF($AG$2030&gt;0,PPMT('Assumptions (Biomass)'!$V$7,Model!AA$1,'Assumptions (Biomass)'!$V$10,'Assumptions (Biomass)'!$V$5*Model!$AG$2030*AVERAGE('Assumptions (Biomass)'!$AC$2:$AE$2)/10^9),0)</f>
        <v>0</v>
      </c>
      <c r="AL2117" s="160">
        <f>IF($AG$2030&gt;0,PPMT('Assumptions (Biomass)'!$V$7,Model!AB$1,'Assumptions (Biomass)'!$V$10,'Assumptions (Biomass)'!$V$5*Model!$AG$2030*AVERAGE('Assumptions (Biomass)'!$AC$2:$AE$2)/10^9),0)</f>
        <v>0</v>
      </c>
      <c r="AM2117" s="160">
        <f>IF($AG$2030&gt;0,PPMT('Assumptions (Biomass)'!$V$7,Model!AC$1,'Assumptions (Biomass)'!$V$10,'Assumptions (Biomass)'!$V$5*Model!$AG$2030*AVERAGE('Assumptions (Biomass)'!$AC$2:$AE$2)/10^9),0)</f>
        <v>0</v>
      </c>
      <c r="AN2117" s="160">
        <f>IF($AG$2030&gt;0,PPMT('Assumptions (Biomass)'!$V$7,Model!AD$1,'Assumptions (Biomass)'!$V$10,'Assumptions (Biomass)'!$V$5*Model!$AG$2030*AVERAGE('Assumptions (Biomass)'!$AC$2:$AE$2)/10^9),0)</f>
        <v>0</v>
      </c>
      <c r="AO2117" s="160">
        <f>IF($AG$2030&gt;0,PPMT('Assumptions (Biomass)'!$V$7,Model!AE$1,'Assumptions (Biomass)'!$V$10,'Assumptions (Biomass)'!$V$5*Model!$AG$2030*AVERAGE('Assumptions (Biomass)'!$AC$2:$AE$2)/10^9),0)</f>
        <v>0</v>
      </c>
      <c r="AP2117" s="160">
        <f>IF($AG$2030&gt;0,PPMT('Assumptions (Biomass)'!$V$7,Model!AF$1,'Assumptions (Biomass)'!$V$10,'Assumptions (Biomass)'!$V$5*Model!$AG$2030*AVERAGE('Assumptions (Biomass)'!$AC$2:$AE$2)/10^9),0)</f>
        <v>0</v>
      </c>
      <c r="AQ2117" s="160">
        <f>IF($AG$2030&gt;0,PPMT('Assumptions (Biomass)'!$V$7,Model!AG$1,'Assumptions (Biomass)'!$V$10,'Assumptions (Biomass)'!$V$5*Model!$AG$2030*AVERAGE('Assumptions (Biomass)'!$AC$2:$AE$2)/10^9),0)</f>
        <v>0</v>
      </c>
      <c r="AR2117" s="160">
        <f>IF($AG$2030&gt;0,PPMT('Assumptions (Biomass)'!$V$7,Model!AH$1,'Assumptions (Biomass)'!$V$10,'Assumptions (Biomass)'!$V$5*Model!$AG$2030*AVERAGE('Assumptions (Biomass)'!$AC$2:$AE$2)/10^9),0)</f>
        <v>0</v>
      </c>
      <c r="AS2117" s="160">
        <f>IF($AG$2030&gt;0,PPMT('Assumptions (Biomass)'!$V$7,Model!AI$1,'Assumptions (Biomass)'!$V$10,'Assumptions (Biomass)'!$V$5*Model!$AG$2030*AVERAGE('Assumptions (Biomass)'!$AC$2:$AE$2)/10^9),0)</f>
        <v>0</v>
      </c>
      <c r="AT2117" s="160">
        <f>IF($AG$2030&gt;0,PPMT('Assumptions (Biomass)'!$V$7,Model!AJ$1,'Assumptions (Biomass)'!$V$10,'Assumptions (Biomass)'!$V$5*Model!$AG$2030*AVERAGE('Assumptions (Biomass)'!$AC$2:$AE$2)/10^9),0)</f>
        <v>0</v>
      </c>
      <c r="AU2117" s="160">
        <f>IF($AG$2030&gt;0,PPMT('Assumptions (Biomass)'!$V$7,Model!AK$1,'Assumptions (Biomass)'!$V$10,'Assumptions (Biomass)'!$V$5*Model!$AG$2030*AVERAGE('Assumptions (Biomass)'!$AC$2:$AE$2)/10^9),0)</f>
        <v>0</v>
      </c>
      <c r="AV2117" s="160"/>
      <c r="AW2117" s="160"/>
      <c r="AX2117" s="160"/>
      <c r="AY2117" s="160"/>
      <c r="AZ2117" s="160"/>
      <c r="BA2117" s="160"/>
      <c r="BB2117" s="160"/>
      <c r="BC2117" s="160"/>
      <c r="BD2117" s="160"/>
      <c r="BE2117" s="160"/>
    </row>
    <row r="2118" ht="15.75" hidden="1" customHeight="1" outlineLevel="1">
      <c r="A2118" s="318"/>
      <c r="B2118" s="38"/>
      <c r="C2118" s="174"/>
      <c r="D2118" s="174"/>
      <c r="E2118" s="174"/>
      <c r="F2118" s="174"/>
      <c r="G2118" s="174"/>
      <c r="H2118" s="174"/>
      <c r="I2118" s="174"/>
      <c r="J2118" s="174"/>
      <c r="K2118" s="174"/>
      <c r="L2118" s="174"/>
      <c r="M2118" s="174"/>
      <c r="N2118" s="174"/>
      <c r="O2118" s="174"/>
      <c r="P2118" s="174"/>
      <c r="Q2118" s="174"/>
      <c r="R2118" s="174"/>
      <c r="S2118" s="174"/>
      <c r="T2118" s="174"/>
      <c r="U2118" s="174"/>
      <c r="V2118" s="174"/>
      <c r="W2118" s="160"/>
      <c r="X2118" s="160"/>
      <c r="Y2118" s="160"/>
      <c r="Z2118" s="160"/>
      <c r="AA2118" s="160"/>
      <c r="AB2118" s="160"/>
      <c r="AC2118" s="160"/>
      <c r="AD2118" s="160"/>
      <c r="AE2118" s="160"/>
      <c r="AF2118" s="160"/>
      <c r="AG2118" s="160"/>
      <c r="AH2118" s="160">
        <f>IF($AH$2030&gt;0,PPMT('Assumptions (Biomass)'!$V$7,Model!W$1,'Assumptions (Biomass)'!$V$10,'Assumptions (Biomass)'!$V$5*Model!$AH$2030*AVERAGE('Assumptions (Biomass)'!$AD$2:$AF$2)/10^9),0)</f>
        <v>0</v>
      </c>
      <c r="AI2118" s="160">
        <f>IF($AH$2030&gt;0,PPMT('Assumptions (Biomass)'!$V$7,Model!X$1,'Assumptions (Biomass)'!$V$10,'Assumptions (Biomass)'!$V$5*Model!$AH$2030*AVERAGE('Assumptions (Biomass)'!$AD$2:$AF$2)/10^9),0)</f>
        <v>0</v>
      </c>
      <c r="AJ2118" s="160">
        <f>IF($AH$2030&gt;0,PPMT('Assumptions (Biomass)'!$V$7,Model!Y$1,'Assumptions (Biomass)'!$V$10,'Assumptions (Biomass)'!$V$5*Model!$AH$2030*AVERAGE('Assumptions (Biomass)'!$AD$2:$AF$2)/10^9),0)</f>
        <v>0</v>
      </c>
      <c r="AK2118" s="160">
        <f>IF($AH$2030&gt;0,PPMT('Assumptions (Biomass)'!$V$7,Model!Z$1,'Assumptions (Biomass)'!$V$10,'Assumptions (Biomass)'!$V$5*Model!$AH$2030*AVERAGE('Assumptions (Biomass)'!$AD$2:$AF$2)/10^9),0)</f>
        <v>0</v>
      </c>
      <c r="AL2118" s="160">
        <f>IF($AH$2030&gt;0,PPMT('Assumptions (Biomass)'!$V$7,Model!AA$1,'Assumptions (Biomass)'!$V$10,'Assumptions (Biomass)'!$V$5*Model!$AH$2030*AVERAGE('Assumptions (Biomass)'!$AD$2:$AF$2)/10^9),0)</f>
        <v>0</v>
      </c>
      <c r="AM2118" s="160">
        <f>IF($AH$2030&gt;0,PPMT('Assumptions (Biomass)'!$V$7,Model!AB$1,'Assumptions (Biomass)'!$V$10,'Assumptions (Biomass)'!$V$5*Model!$AH$2030*AVERAGE('Assumptions (Biomass)'!$AD$2:$AF$2)/10^9),0)</f>
        <v>0</v>
      </c>
      <c r="AN2118" s="160">
        <f>IF($AH$2030&gt;0,PPMT('Assumptions (Biomass)'!$V$7,Model!AC$1,'Assumptions (Biomass)'!$V$10,'Assumptions (Biomass)'!$V$5*Model!$AH$2030*AVERAGE('Assumptions (Biomass)'!$AD$2:$AF$2)/10^9),0)</f>
        <v>0</v>
      </c>
      <c r="AO2118" s="160">
        <f>IF($AH$2030&gt;0,PPMT('Assumptions (Biomass)'!$V$7,Model!AD$1,'Assumptions (Biomass)'!$V$10,'Assumptions (Biomass)'!$V$5*Model!$AH$2030*AVERAGE('Assumptions (Biomass)'!$AD$2:$AF$2)/10^9),0)</f>
        <v>0</v>
      </c>
      <c r="AP2118" s="160">
        <f>IF($AH$2030&gt;0,PPMT('Assumptions (Biomass)'!$V$7,Model!AE$1,'Assumptions (Biomass)'!$V$10,'Assumptions (Biomass)'!$V$5*Model!$AH$2030*AVERAGE('Assumptions (Biomass)'!$AD$2:$AF$2)/10^9),0)</f>
        <v>0</v>
      </c>
      <c r="AQ2118" s="160">
        <f>IF($AH$2030&gt;0,PPMT('Assumptions (Biomass)'!$V$7,Model!AF$1,'Assumptions (Biomass)'!$V$10,'Assumptions (Biomass)'!$V$5*Model!$AH$2030*AVERAGE('Assumptions (Biomass)'!$AD$2:$AF$2)/10^9),0)</f>
        <v>0</v>
      </c>
      <c r="AR2118" s="160">
        <f>IF($AH$2030&gt;0,PPMT('Assumptions (Biomass)'!$V$7,Model!AG$1,'Assumptions (Biomass)'!$V$10,'Assumptions (Biomass)'!$V$5*Model!$AH$2030*AVERAGE('Assumptions (Biomass)'!$AD$2:$AF$2)/10^9),0)</f>
        <v>0</v>
      </c>
      <c r="AS2118" s="160">
        <f>IF($AH$2030&gt;0,PPMT('Assumptions (Biomass)'!$V$7,Model!AH$1,'Assumptions (Biomass)'!$V$10,'Assumptions (Biomass)'!$V$5*Model!$AH$2030*AVERAGE('Assumptions (Biomass)'!$AD$2:$AF$2)/10^9),0)</f>
        <v>0</v>
      </c>
      <c r="AT2118" s="160">
        <f>IF($AH$2030&gt;0,PPMT('Assumptions (Biomass)'!$V$7,Model!AI$1,'Assumptions (Biomass)'!$V$10,'Assumptions (Biomass)'!$V$5*Model!$AH$2030*AVERAGE('Assumptions (Biomass)'!$AD$2:$AF$2)/10^9),0)</f>
        <v>0</v>
      </c>
      <c r="AU2118" s="160">
        <f>IF($AH$2030&gt;0,PPMT('Assumptions (Biomass)'!$V$7,Model!AJ$1,'Assumptions (Biomass)'!$V$10,'Assumptions (Biomass)'!$V$5*Model!$AH$2030*AVERAGE('Assumptions (Biomass)'!$AD$2:$AF$2)/10^9),0)</f>
        <v>0</v>
      </c>
      <c r="AV2118" s="160">
        <f>IF($AH$2030&gt;0,PPMT('Assumptions (Biomass)'!$V$7,Model!AK$1,'Assumptions (Biomass)'!$V$10,'Assumptions (Biomass)'!$V$5*Model!$AH$2030*AVERAGE('Assumptions (Biomass)'!$AD$2:$AF$2)/10^9),0)</f>
        <v>0</v>
      </c>
      <c r="AW2118" s="160"/>
      <c r="AX2118" s="160"/>
      <c r="AY2118" s="160"/>
      <c r="AZ2118" s="160"/>
      <c r="BA2118" s="160"/>
      <c r="BB2118" s="160"/>
      <c r="BC2118" s="160"/>
      <c r="BD2118" s="160"/>
      <c r="BE2118" s="160"/>
      <c r="BF2118" s="160"/>
    </row>
    <row r="2119" ht="15.75" hidden="1" customHeight="1" outlineLevel="1">
      <c r="A2119" s="318"/>
      <c r="B2119" s="38"/>
      <c r="C2119" s="174"/>
      <c r="D2119" s="174"/>
      <c r="E2119" s="174"/>
      <c r="F2119" s="174"/>
      <c r="G2119" s="174"/>
      <c r="H2119" s="174"/>
      <c r="I2119" s="174"/>
      <c r="J2119" s="174"/>
      <c r="K2119" s="174"/>
      <c r="L2119" s="174"/>
      <c r="M2119" s="174"/>
      <c r="N2119" s="174"/>
      <c r="O2119" s="174"/>
      <c r="P2119" s="174"/>
      <c r="Q2119" s="174"/>
      <c r="R2119" s="174"/>
      <c r="S2119" s="174"/>
      <c r="T2119" s="174"/>
      <c r="U2119" s="174"/>
      <c r="V2119" s="174"/>
      <c r="W2119" s="160"/>
      <c r="X2119" s="160"/>
      <c r="Y2119" s="160"/>
      <c r="Z2119" s="160"/>
      <c r="AA2119" s="160"/>
      <c r="AB2119" s="160"/>
      <c r="AC2119" s="160"/>
      <c r="AD2119" s="160"/>
      <c r="AE2119" s="160"/>
      <c r="AF2119" s="160"/>
      <c r="AG2119" s="160"/>
      <c r="AH2119" s="160"/>
      <c r="AI2119" s="160">
        <f>IF($AI$2030&gt;0,PPMT('Assumptions (Biomass)'!$V$7,Model!W$1,'Assumptions (Biomass)'!$V$10,'Assumptions (Biomass)'!$V$5*Model!$AI$2030*AVERAGE('Assumptions (Biomass)'!$AE$2:$AG$2)/10^9),0)</f>
        <v>0</v>
      </c>
      <c r="AJ2119" s="160">
        <f>IF($AI$2030&gt;0,PPMT('Assumptions (Biomass)'!$V$7,Model!X$1,'Assumptions (Biomass)'!$V$10,'Assumptions (Biomass)'!$V$5*Model!$AI$2030*AVERAGE('Assumptions (Biomass)'!$AE$2:$AG$2)/10^9),0)</f>
        <v>0</v>
      </c>
      <c r="AK2119" s="160">
        <f>IF($AI$2030&gt;0,PPMT('Assumptions (Biomass)'!$V$7,Model!Y$1,'Assumptions (Biomass)'!$V$10,'Assumptions (Biomass)'!$V$5*Model!$AI$2030*AVERAGE('Assumptions (Biomass)'!$AE$2:$AG$2)/10^9),0)</f>
        <v>0</v>
      </c>
      <c r="AL2119" s="160">
        <f>IF($AI$2030&gt;0,PPMT('Assumptions (Biomass)'!$V$7,Model!Z$1,'Assumptions (Biomass)'!$V$10,'Assumptions (Biomass)'!$V$5*Model!$AI$2030*AVERAGE('Assumptions (Biomass)'!$AE$2:$AG$2)/10^9),0)</f>
        <v>0</v>
      </c>
      <c r="AM2119" s="160">
        <f>IF($AI$2030&gt;0,PPMT('Assumptions (Biomass)'!$V$7,Model!AA$1,'Assumptions (Biomass)'!$V$10,'Assumptions (Biomass)'!$V$5*Model!$AI$2030*AVERAGE('Assumptions (Biomass)'!$AE$2:$AG$2)/10^9),0)</f>
        <v>0</v>
      </c>
      <c r="AN2119" s="160">
        <f>IF($AI$2030&gt;0,PPMT('Assumptions (Biomass)'!$V$7,Model!AB$1,'Assumptions (Biomass)'!$V$10,'Assumptions (Biomass)'!$V$5*Model!$AI$2030*AVERAGE('Assumptions (Biomass)'!$AE$2:$AG$2)/10^9),0)</f>
        <v>0</v>
      </c>
      <c r="AO2119" s="160">
        <f>IF($AI$2030&gt;0,PPMT('Assumptions (Biomass)'!$V$7,Model!AC$1,'Assumptions (Biomass)'!$V$10,'Assumptions (Biomass)'!$V$5*Model!$AI$2030*AVERAGE('Assumptions (Biomass)'!$AE$2:$AG$2)/10^9),0)</f>
        <v>0</v>
      </c>
      <c r="AP2119" s="160">
        <f>IF($AI$2030&gt;0,PPMT('Assumptions (Biomass)'!$V$7,Model!AD$1,'Assumptions (Biomass)'!$V$10,'Assumptions (Biomass)'!$V$5*Model!$AI$2030*AVERAGE('Assumptions (Biomass)'!$AE$2:$AG$2)/10^9),0)</f>
        <v>0</v>
      </c>
      <c r="AQ2119" s="160">
        <f>IF($AI$2030&gt;0,PPMT('Assumptions (Biomass)'!$V$7,Model!AE$1,'Assumptions (Biomass)'!$V$10,'Assumptions (Biomass)'!$V$5*Model!$AI$2030*AVERAGE('Assumptions (Biomass)'!$AE$2:$AG$2)/10^9),0)</f>
        <v>0</v>
      </c>
      <c r="AR2119" s="160">
        <f>IF($AI$2030&gt;0,PPMT('Assumptions (Biomass)'!$V$7,Model!AF$1,'Assumptions (Biomass)'!$V$10,'Assumptions (Biomass)'!$V$5*Model!$AI$2030*AVERAGE('Assumptions (Biomass)'!$AE$2:$AG$2)/10^9),0)</f>
        <v>0</v>
      </c>
      <c r="AS2119" s="160">
        <f>IF($AI$2030&gt;0,PPMT('Assumptions (Biomass)'!$V$7,Model!AG$1,'Assumptions (Biomass)'!$V$10,'Assumptions (Biomass)'!$V$5*Model!$AI$2030*AVERAGE('Assumptions (Biomass)'!$AE$2:$AG$2)/10^9),0)</f>
        <v>0</v>
      </c>
      <c r="AT2119" s="160">
        <f>IF($AI$2030&gt;0,PPMT('Assumptions (Biomass)'!$V$7,Model!AH$1,'Assumptions (Biomass)'!$V$10,'Assumptions (Biomass)'!$V$5*Model!$AI$2030*AVERAGE('Assumptions (Biomass)'!$AE$2:$AG$2)/10^9),0)</f>
        <v>0</v>
      </c>
      <c r="AU2119" s="160">
        <f>IF($AI$2030&gt;0,PPMT('Assumptions (Biomass)'!$V$7,Model!AI$1,'Assumptions (Biomass)'!$V$10,'Assumptions (Biomass)'!$V$5*Model!$AI$2030*AVERAGE('Assumptions (Biomass)'!$AE$2:$AG$2)/10^9),0)</f>
        <v>0</v>
      </c>
      <c r="AV2119" s="160">
        <f>IF($AI$2030&gt;0,PPMT('Assumptions (Biomass)'!$V$7,Model!AJ$1,'Assumptions (Biomass)'!$V$10,'Assumptions (Biomass)'!$V$5*Model!$AI$2030*AVERAGE('Assumptions (Biomass)'!$AE$2:$AG$2)/10^9),0)</f>
        <v>0</v>
      </c>
      <c r="AW2119" s="160">
        <f>IF($AI$2030&gt;0,PPMT('Assumptions (Biomass)'!$V$7,Model!AK$1,'Assumptions (Biomass)'!$V$10,'Assumptions (Biomass)'!$V$5*Model!$AI$2030*AVERAGE('Assumptions (Biomass)'!$AE$2:$AG$2)/10^9),0)</f>
        <v>0</v>
      </c>
      <c r="AX2119" s="160"/>
      <c r="AY2119" s="160"/>
      <c r="AZ2119" s="160"/>
      <c r="BA2119" s="160"/>
      <c r="BB2119" s="160"/>
      <c r="BC2119" s="160"/>
      <c r="BD2119" s="160"/>
      <c r="BE2119" s="160"/>
      <c r="BF2119" s="160"/>
      <c r="BG2119" s="160"/>
    </row>
    <row r="2120" ht="15.75" hidden="1" customHeight="1" outlineLevel="1">
      <c r="A2120" s="318"/>
      <c r="B2120" s="38"/>
      <c r="C2120" s="174"/>
      <c r="D2120" s="174"/>
      <c r="E2120" s="174"/>
      <c r="F2120" s="174"/>
      <c r="G2120" s="174"/>
      <c r="H2120" s="174"/>
      <c r="I2120" s="174"/>
      <c r="J2120" s="174"/>
      <c r="K2120" s="174"/>
      <c r="L2120" s="174"/>
      <c r="M2120" s="174"/>
      <c r="N2120" s="174"/>
      <c r="O2120" s="174"/>
      <c r="P2120" s="174"/>
      <c r="Q2120" s="174"/>
      <c r="R2120" s="174"/>
      <c r="S2120" s="174"/>
      <c r="T2120" s="174"/>
      <c r="U2120" s="174"/>
      <c r="V2120" s="174"/>
      <c r="W2120" s="160"/>
      <c r="X2120" s="160"/>
      <c r="Y2120" s="160"/>
      <c r="Z2120" s="160"/>
      <c r="AA2120" s="160"/>
      <c r="AB2120" s="160"/>
      <c r="AC2120" s="160"/>
      <c r="AD2120" s="160"/>
      <c r="AE2120" s="160"/>
      <c r="AF2120" s="160"/>
      <c r="AG2120" s="160"/>
      <c r="AH2120" s="160"/>
      <c r="AI2120" s="160"/>
      <c r="AJ2120" s="177">
        <f>IF($AJ$2030&gt;0,PPMT('Assumptions (Biomass)'!$V$7,Model!W$1,'Assumptions (Biomass)'!$V$10,'Assumptions (Biomass)'!$V$5*Model!$AJ$2030*AVERAGE('Assumptions (Biomass)'!$AF$2:$AH$2)/10^9),0)</f>
        <v>0</v>
      </c>
      <c r="AK2120" s="177">
        <f>IF($AJ$2030&gt;0,PPMT('Assumptions (Biomass)'!$V$7,Model!X$1,'Assumptions (Biomass)'!$V$10,'Assumptions (Biomass)'!$V$5*Model!$AJ$2030*AVERAGE('Assumptions (Biomass)'!$AF$2:$AH$2)/10^9),0)</f>
        <v>0</v>
      </c>
      <c r="AL2120" s="177">
        <f>IF($AJ$2030&gt;0,PPMT('Assumptions (Biomass)'!$V$7,Model!Y$1,'Assumptions (Biomass)'!$V$10,'Assumptions (Biomass)'!$V$5*Model!$AJ$2030*AVERAGE('Assumptions (Biomass)'!$AF$2:$AH$2)/10^9),0)</f>
        <v>0</v>
      </c>
      <c r="AM2120" s="177">
        <f>IF($AJ$2030&gt;0,PPMT('Assumptions (Biomass)'!$V$7,Model!Z$1,'Assumptions (Biomass)'!$V$10,'Assumptions (Biomass)'!$V$5*Model!$AJ$2030*AVERAGE('Assumptions (Biomass)'!$AF$2:$AH$2)/10^9),0)</f>
        <v>0</v>
      </c>
      <c r="AN2120" s="177">
        <f>IF($AJ$2030&gt;0,PPMT('Assumptions (Biomass)'!$V$7,Model!AA$1,'Assumptions (Biomass)'!$V$10,'Assumptions (Biomass)'!$V$5*Model!$AJ$2030*AVERAGE('Assumptions (Biomass)'!$AF$2:$AH$2)/10^9),0)</f>
        <v>0</v>
      </c>
      <c r="AO2120" s="177">
        <f>IF($AJ$2030&gt;0,PPMT('Assumptions (Biomass)'!$V$7,Model!AB$1,'Assumptions (Biomass)'!$V$10,'Assumptions (Biomass)'!$V$5*Model!$AJ$2030*AVERAGE('Assumptions (Biomass)'!$AF$2:$AH$2)/10^9),0)</f>
        <v>0</v>
      </c>
      <c r="AP2120" s="177">
        <f>IF($AJ$2030&gt;0,PPMT('Assumptions (Biomass)'!$V$7,Model!AC$1,'Assumptions (Biomass)'!$V$10,'Assumptions (Biomass)'!$V$5*Model!$AJ$2030*AVERAGE('Assumptions (Biomass)'!$AF$2:$AH$2)/10^9),0)</f>
        <v>0</v>
      </c>
      <c r="AQ2120" s="177">
        <f>IF($AJ$2030&gt;0,PPMT('Assumptions (Biomass)'!$V$7,Model!AD$1,'Assumptions (Biomass)'!$V$10,'Assumptions (Biomass)'!$V$5*Model!$AJ$2030*AVERAGE('Assumptions (Biomass)'!$AF$2:$AH$2)/10^9),0)</f>
        <v>0</v>
      </c>
      <c r="AR2120" s="177">
        <f>IF($AJ$2030&gt;0,PPMT('Assumptions (Biomass)'!$V$7,Model!AE$1,'Assumptions (Biomass)'!$V$10,'Assumptions (Biomass)'!$V$5*Model!$AJ$2030*AVERAGE('Assumptions (Biomass)'!$AF$2:$AH$2)/10^9),0)</f>
        <v>0</v>
      </c>
      <c r="AS2120" s="177">
        <f>IF($AJ$2030&gt;0,PPMT('Assumptions (Biomass)'!$V$7,Model!AF$1,'Assumptions (Biomass)'!$V$10,'Assumptions (Biomass)'!$V$5*Model!$AJ$2030*AVERAGE('Assumptions (Biomass)'!$AF$2:$AH$2)/10^9),0)</f>
        <v>0</v>
      </c>
      <c r="AT2120" s="177">
        <f>IF($AJ$2030&gt;0,PPMT('Assumptions (Biomass)'!$V$7,Model!AG$1,'Assumptions (Biomass)'!$V$10,'Assumptions (Biomass)'!$V$5*Model!$AJ$2030*AVERAGE('Assumptions (Biomass)'!$AF$2:$AH$2)/10^9),0)</f>
        <v>0</v>
      </c>
      <c r="AU2120" s="177">
        <f>IF($AJ$2030&gt;0,PPMT('Assumptions (Biomass)'!$V$7,Model!AH$1,'Assumptions (Biomass)'!$V$10,'Assumptions (Biomass)'!$V$5*Model!$AJ$2030*AVERAGE('Assumptions (Biomass)'!$AF$2:$AH$2)/10^9),0)</f>
        <v>0</v>
      </c>
      <c r="AV2120" s="177">
        <f>IF($AJ$2030&gt;0,PPMT('Assumptions (Biomass)'!$V$7,Model!AI$1,'Assumptions (Biomass)'!$V$10,'Assumptions (Biomass)'!$V$5*Model!$AJ$2030*AVERAGE('Assumptions (Biomass)'!$AF$2:$AH$2)/10^9),0)</f>
        <v>0</v>
      </c>
      <c r="AW2120" s="177">
        <f>IF($AJ$2030&gt;0,PPMT('Assumptions (Biomass)'!$V$7,Model!AJ$1,'Assumptions (Biomass)'!$V$10,'Assumptions (Biomass)'!$V$5*Model!$AJ$2030*AVERAGE('Assumptions (Biomass)'!$AF$2:$AH$2)/10^9),0)</f>
        <v>0</v>
      </c>
      <c r="AX2120" s="177">
        <f>IF($AJ$2030&gt;0,PPMT('Assumptions (Biomass)'!$V$7,Model!AK$1,'Assumptions (Biomass)'!$V$10,'Assumptions (Biomass)'!$V$5*Model!$AJ$2030*AVERAGE('Assumptions (Biomass)'!$AF$2:$AH$2)/10^9),0)</f>
        <v>0</v>
      </c>
      <c r="AY2120" s="177"/>
      <c r="AZ2120" s="177"/>
      <c r="BA2120" s="177"/>
      <c r="BB2120" s="177"/>
      <c r="BC2120" s="177"/>
      <c r="BD2120" s="177"/>
      <c r="BE2120" s="177"/>
      <c r="BF2120" s="177"/>
      <c r="BG2120" s="177"/>
      <c r="BH2120" s="177"/>
    </row>
    <row r="2121" ht="15.75" hidden="1" customHeight="1" outlineLevel="1">
      <c r="A2121" s="318"/>
      <c r="B2121" s="38"/>
      <c r="C2121" s="174"/>
      <c r="D2121" s="174"/>
      <c r="E2121" s="174"/>
      <c r="F2121" s="174"/>
      <c r="G2121" s="174"/>
      <c r="H2121" s="174"/>
      <c r="I2121" s="174"/>
      <c r="J2121" s="174"/>
      <c r="K2121" s="174"/>
      <c r="L2121" s="174"/>
      <c r="M2121" s="174"/>
      <c r="N2121" s="174"/>
      <c r="O2121" s="174"/>
      <c r="P2121" s="174"/>
      <c r="Q2121" s="174"/>
      <c r="R2121" s="174"/>
      <c r="S2121" s="174"/>
      <c r="T2121" s="174"/>
      <c r="U2121" s="174"/>
      <c r="V2121" s="174"/>
      <c r="W2121" s="160"/>
      <c r="X2121" s="160"/>
      <c r="Y2121" s="160"/>
      <c r="Z2121" s="160"/>
      <c r="AA2121" s="160"/>
      <c r="AB2121" s="160"/>
      <c r="AC2121" s="160"/>
      <c r="AD2121" s="160"/>
      <c r="AE2121" s="160"/>
      <c r="AF2121" s="160"/>
      <c r="AG2121" s="160"/>
      <c r="AH2121" s="160"/>
      <c r="AI2121" s="160"/>
      <c r="AJ2121" s="179"/>
      <c r="AK2121" s="160">
        <f>IF($AK$2030&gt;0,PPMT('Assumptions (Biomass)'!$V$7,Model!W$1,'Assumptions (Biomass)'!$V$10,'Assumptions (Biomass)'!$V$5*Model!$AK$2030*AVERAGE('Assumptions (Biomass)'!$AG$2:$AI$2)/10^9),0)</f>
        <v>0</v>
      </c>
      <c r="AL2121" s="160">
        <f>IF($AK$2030&gt;0,PPMT('Assumptions (Biomass)'!$V$7,Model!X$1,'Assumptions (Biomass)'!$V$10,'Assumptions (Biomass)'!$V$5*Model!$AK$2030*AVERAGE('Assumptions (Biomass)'!$AG$2:$AI$2)/10^9),0)</f>
        <v>0</v>
      </c>
      <c r="AM2121" s="160">
        <f>IF($AK$2030&gt;0,PPMT('Assumptions (Biomass)'!$V$7,Model!Y$1,'Assumptions (Biomass)'!$V$10,'Assumptions (Biomass)'!$V$5*Model!$AK$2030*AVERAGE('Assumptions (Biomass)'!$AG$2:$AI$2)/10^9),0)</f>
        <v>0</v>
      </c>
      <c r="AN2121" s="160">
        <f>IF($AK$2030&gt;0,PPMT('Assumptions (Biomass)'!$V$7,Model!Z$1,'Assumptions (Biomass)'!$V$10,'Assumptions (Biomass)'!$V$5*Model!$AK$2030*AVERAGE('Assumptions (Biomass)'!$AG$2:$AI$2)/10^9),0)</f>
        <v>0</v>
      </c>
      <c r="AO2121" s="160">
        <f>IF($AK$2030&gt;0,PPMT('Assumptions (Biomass)'!$V$7,Model!AA$1,'Assumptions (Biomass)'!$V$10,'Assumptions (Biomass)'!$V$5*Model!$AK$2030*AVERAGE('Assumptions (Biomass)'!$AG$2:$AI$2)/10^9),0)</f>
        <v>0</v>
      </c>
      <c r="AP2121" s="160">
        <f>IF($AK$2030&gt;0,PPMT('Assumptions (Biomass)'!$V$7,Model!AB$1,'Assumptions (Biomass)'!$V$10,'Assumptions (Biomass)'!$V$5*Model!$AK$2030*AVERAGE('Assumptions (Biomass)'!$AG$2:$AI$2)/10^9),0)</f>
        <v>0</v>
      </c>
      <c r="AQ2121" s="160">
        <f>IF($AK$2030&gt;0,PPMT('Assumptions (Biomass)'!$V$7,Model!AC$1,'Assumptions (Biomass)'!$V$10,'Assumptions (Biomass)'!$V$5*Model!$AK$2030*AVERAGE('Assumptions (Biomass)'!$AG$2:$AI$2)/10^9),0)</f>
        <v>0</v>
      </c>
      <c r="AR2121" s="160">
        <f>IF($AK$2030&gt;0,PPMT('Assumptions (Biomass)'!$V$7,Model!AD$1,'Assumptions (Biomass)'!$V$10,'Assumptions (Biomass)'!$V$5*Model!$AK$2030*AVERAGE('Assumptions (Biomass)'!$AG$2:$AI$2)/10^9),0)</f>
        <v>0</v>
      </c>
      <c r="AS2121" s="160">
        <f>IF($AK$2030&gt;0,PPMT('Assumptions (Biomass)'!$V$7,Model!AE$1,'Assumptions (Biomass)'!$V$10,'Assumptions (Biomass)'!$V$5*Model!$AK$2030*AVERAGE('Assumptions (Biomass)'!$AG$2:$AI$2)/10^9),0)</f>
        <v>0</v>
      </c>
      <c r="AT2121" s="160">
        <f>IF($AK$2030&gt;0,PPMT('Assumptions (Biomass)'!$V$7,Model!AF$1,'Assumptions (Biomass)'!$V$10,'Assumptions (Biomass)'!$V$5*Model!$AK$2030*AVERAGE('Assumptions (Biomass)'!$AG$2:$AI$2)/10^9),0)</f>
        <v>0</v>
      </c>
      <c r="AU2121" s="160">
        <f>IF($AK$2030&gt;0,PPMT('Assumptions (Biomass)'!$V$7,Model!AG$1,'Assumptions (Biomass)'!$V$10,'Assumptions (Biomass)'!$V$5*Model!$AK$2030*AVERAGE('Assumptions (Biomass)'!$AG$2:$AI$2)/10^9),0)</f>
        <v>0</v>
      </c>
      <c r="AV2121" s="160">
        <f>IF($AK$2030&gt;0,PPMT('Assumptions (Biomass)'!$V$7,Model!AH$1,'Assumptions (Biomass)'!$V$10,'Assumptions (Biomass)'!$V$5*Model!$AK$2030*AVERAGE('Assumptions (Biomass)'!$AG$2:$AI$2)/10^9),0)</f>
        <v>0</v>
      </c>
      <c r="AW2121" s="160">
        <f>IF($AK$2030&gt;0,PPMT('Assumptions (Biomass)'!$V$7,Model!AI$1,'Assumptions (Biomass)'!$V$10,'Assumptions (Biomass)'!$V$5*Model!$AK$2030*AVERAGE('Assumptions (Biomass)'!$AG$2:$AI$2)/10^9),0)</f>
        <v>0</v>
      </c>
      <c r="AX2121" s="160">
        <f>IF($AK$2030&gt;0,PPMT('Assumptions (Biomass)'!$V$7,Model!AJ$1,'Assumptions (Biomass)'!$V$10,'Assumptions (Biomass)'!$V$5*Model!$AK$2030*AVERAGE('Assumptions (Biomass)'!$AG$2:$AI$2)/10^9),0)</f>
        <v>0</v>
      </c>
      <c r="AY2121" s="160">
        <f>IF($AK$2030&gt;0,PPMT('Assumptions (Biomass)'!$V$7,Model!AK$1,'Assumptions (Biomass)'!$V$10,'Assumptions (Biomass)'!$V$5*Model!$AK$2030*AVERAGE('Assumptions (Biomass)'!$AG$2:$AI$2)/10^9),0)</f>
        <v>0</v>
      </c>
      <c r="AZ2121" s="160"/>
      <c r="BA2121" s="160"/>
      <c r="BB2121" s="160"/>
      <c r="BC2121" s="160"/>
      <c r="BD2121" s="160"/>
      <c r="BE2121" s="160"/>
      <c r="BF2121" s="160"/>
      <c r="BG2121" s="160"/>
      <c r="BH2121" s="160"/>
      <c r="BI2121" s="160"/>
    </row>
    <row r="2122" ht="15.75" hidden="1" customHeight="1" outlineLevel="1">
      <c r="A2122" s="318"/>
      <c r="B2122" s="38"/>
      <c r="C2122" s="174"/>
      <c r="D2122" s="174"/>
      <c r="E2122" s="174"/>
      <c r="F2122" s="174"/>
      <c r="G2122" s="174"/>
      <c r="H2122" s="174"/>
      <c r="I2122" s="174"/>
      <c r="J2122" s="174"/>
      <c r="K2122" s="174"/>
      <c r="L2122" s="174"/>
      <c r="M2122" s="174"/>
      <c r="N2122" s="174"/>
      <c r="O2122" s="174"/>
      <c r="P2122" s="174"/>
      <c r="Q2122" s="174"/>
      <c r="R2122" s="174"/>
      <c r="S2122" s="174"/>
      <c r="T2122" s="174"/>
      <c r="U2122" s="174"/>
      <c r="V2122" s="174"/>
      <c r="W2122" s="160"/>
      <c r="X2122" s="160"/>
      <c r="Y2122" s="160"/>
      <c r="Z2122" s="160"/>
      <c r="AA2122" s="160"/>
      <c r="AB2122" s="160"/>
      <c r="AC2122" s="160"/>
      <c r="AD2122" s="160"/>
      <c r="AE2122" s="160"/>
      <c r="AF2122" s="160"/>
      <c r="AG2122" s="160"/>
      <c r="AH2122" s="160"/>
      <c r="AI2122" s="160"/>
      <c r="AJ2122" s="179"/>
      <c r="AK2122" s="160"/>
      <c r="AL2122" s="177">
        <f>IF($AL$2030&gt;0,PPMT('Assumptions (Biomass)'!$V$7,Model!W$1,'Assumptions (Biomass)'!$V$10,'Assumptions (Biomass)'!$V$5*Model!$AL$2030*AVERAGE('Assumptions (Biomass)'!$AH$2:$AJ$2)/10^9),0)</f>
        <v>0</v>
      </c>
      <c r="AM2122" s="177">
        <f>IF($AL$2030&gt;0,PPMT('Assumptions (Biomass)'!$V$7,Model!X$1,'Assumptions (Biomass)'!$V$10,'Assumptions (Biomass)'!$V$5*Model!$AL$2030*AVERAGE('Assumptions (Biomass)'!$AH$2:$AJ$2)/10^9),0)</f>
        <v>0</v>
      </c>
      <c r="AN2122" s="177">
        <f>IF($AL$2030&gt;0,PPMT('Assumptions (Biomass)'!$V$7,Model!Y$1,'Assumptions (Biomass)'!$V$10,'Assumptions (Biomass)'!$V$5*Model!$AL$2030*AVERAGE('Assumptions (Biomass)'!$AH$2:$AJ$2)/10^9),0)</f>
        <v>0</v>
      </c>
      <c r="AO2122" s="177">
        <f>IF($AL$2030&gt;0,PPMT('Assumptions (Biomass)'!$V$7,Model!Z$1,'Assumptions (Biomass)'!$V$10,'Assumptions (Biomass)'!$V$5*Model!$AL$2030*AVERAGE('Assumptions (Biomass)'!$AH$2:$AJ$2)/10^9),0)</f>
        <v>0</v>
      </c>
      <c r="AP2122" s="177">
        <f>IF($AL$2030&gt;0,PPMT('Assumptions (Biomass)'!$V$7,Model!AA$1,'Assumptions (Biomass)'!$V$10,'Assumptions (Biomass)'!$V$5*Model!$AL$2030*AVERAGE('Assumptions (Biomass)'!$AH$2:$AJ$2)/10^9),0)</f>
        <v>0</v>
      </c>
      <c r="AQ2122" s="177">
        <f>IF($AL$2030&gt;0,PPMT('Assumptions (Biomass)'!$V$7,Model!AB$1,'Assumptions (Biomass)'!$V$10,'Assumptions (Biomass)'!$V$5*Model!$AL$2030*AVERAGE('Assumptions (Biomass)'!$AH$2:$AJ$2)/10^9),0)</f>
        <v>0</v>
      </c>
      <c r="AR2122" s="177">
        <f>IF($AL$2030&gt;0,PPMT('Assumptions (Biomass)'!$V$7,Model!AC$1,'Assumptions (Biomass)'!$V$10,'Assumptions (Biomass)'!$V$5*Model!$AL$2030*AVERAGE('Assumptions (Biomass)'!$AH$2:$AJ$2)/10^9),0)</f>
        <v>0</v>
      </c>
      <c r="AS2122" s="177">
        <f>IF($AL$2030&gt;0,PPMT('Assumptions (Biomass)'!$V$7,Model!AD$1,'Assumptions (Biomass)'!$V$10,'Assumptions (Biomass)'!$V$5*Model!$AL$2030*AVERAGE('Assumptions (Biomass)'!$AH$2:$AJ$2)/10^9),0)</f>
        <v>0</v>
      </c>
      <c r="AT2122" s="177">
        <f>IF($AL$2030&gt;0,PPMT('Assumptions (Biomass)'!$V$7,Model!AE$1,'Assumptions (Biomass)'!$V$10,'Assumptions (Biomass)'!$V$5*Model!$AL$2030*AVERAGE('Assumptions (Biomass)'!$AH$2:$AJ$2)/10^9),0)</f>
        <v>0</v>
      </c>
      <c r="AU2122" s="177">
        <f>IF($AL$2030&gt;0,PPMT('Assumptions (Biomass)'!$V$7,Model!AF$1,'Assumptions (Biomass)'!$V$10,'Assumptions (Biomass)'!$V$5*Model!$AL$2030*AVERAGE('Assumptions (Biomass)'!$AH$2:$AJ$2)/10^9),0)</f>
        <v>0</v>
      </c>
      <c r="AV2122" s="177">
        <f>IF($AL$2030&gt;0,PPMT('Assumptions (Biomass)'!$V$7,Model!AG$1,'Assumptions (Biomass)'!$V$10,'Assumptions (Biomass)'!$V$5*Model!$AL$2030*AVERAGE('Assumptions (Biomass)'!$AH$2:$AJ$2)/10^9),0)</f>
        <v>0</v>
      </c>
      <c r="AW2122" s="177">
        <f>IF($AL$2030&gt;0,PPMT('Assumptions (Biomass)'!$V$7,Model!AH$1,'Assumptions (Biomass)'!$V$10,'Assumptions (Biomass)'!$V$5*Model!$AL$2030*AVERAGE('Assumptions (Biomass)'!$AH$2:$AJ$2)/10^9),0)</f>
        <v>0</v>
      </c>
      <c r="AX2122" s="177">
        <f>IF($AL$2030&gt;0,PPMT('Assumptions (Biomass)'!$V$7,Model!AI$1,'Assumptions (Biomass)'!$V$10,'Assumptions (Biomass)'!$V$5*Model!$AL$2030*AVERAGE('Assumptions (Biomass)'!$AH$2:$AJ$2)/10^9),0)</f>
        <v>0</v>
      </c>
      <c r="AY2122" s="177">
        <f>IF($AL$2030&gt;0,PPMT('Assumptions (Biomass)'!$V$7,Model!AJ$1,'Assumptions (Biomass)'!$V$10,'Assumptions (Biomass)'!$V$5*Model!$AL$2030*AVERAGE('Assumptions (Biomass)'!$AH$2:$AJ$2)/10^9),0)</f>
        <v>0</v>
      </c>
      <c r="AZ2122" s="177">
        <f>IF($AL$2030&gt;0,PPMT('Assumptions (Biomass)'!$V$7,Model!AK$1,'Assumptions (Biomass)'!$V$10,'Assumptions (Biomass)'!$V$5*Model!$AL$2030*AVERAGE('Assumptions (Biomass)'!$AH$2:$AJ$2)/10^9),0)</f>
        <v>0</v>
      </c>
      <c r="BA2122" s="177"/>
      <c r="BB2122" s="177"/>
      <c r="BC2122" s="177"/>
      <c r="BD2122" s="177"/>
      <c r="BE2122" s="177"/>
      <c r="BF2122" s="177"/>
      <c r="BG2122" s="177"/>
      <c r="BH2122" s="177"/>
      <c r="BI2122" s="177"/>
      <c r="BJ2122" s="177"/>
    </row>
    <row r="2123" ht="15.75" hidden="1" customHeight="1" outlineLevel="1">
      <c r="A2123" s="318"/>
      <c r="B2123" s="38"/>
      <c r="C2123" s="174"/>
      <c r="D2123" s="174"/>
      <c r="E2123" s="174"/>
      <c r="F2123" s="174"/>
      <c r="G2123" s="174"/>
      <c r="H2123" s="174"/>
      <c r="I2123" s="174"/>
      <c r="J2123" s="174"/>
      <c r="K2123" s="174"/>
      <c r="L2123" s="174"/>
      <c r="M2123" s="174"/>
      <c r="N2123" s="174"/>
      <c r="O2123" s="174"/>
      <c r="P2123" s="174"/>
      <c r="Q2123" s="174"/>
      <c r="R2123" s="174"/>
      <c r="S2123" s="174"/>
      <c r="T2123" s="174"/>
      <c r="U2123" s="174"/>
      <c r="V2123" s="174"/>
      <c r="W2123" s="160"/>
      <c r="X2123" s="160"/>
      <c r="Y2123" s="160"/>
      <c r="Z2123" s="160"/>
      <c r="AA2123" s="160"/>
      <c r="AB2123" s="160"/>
      <c r="AC2123" s="160"/>
      <c r="AD2123" s="160"/>
      <c r="AE2123" s="160"/>
      <c r="AF2123" s="160"/>
      <c r="AG2123" s="160"/>
      <c r="AH2123" s="160"/>
      <c r="AI2123" s="160"/>
      <c r="AJ2123" s="179"/>
      <c r="AK2123" s="160"/>
      <c r="AL2123" s="177"/>
      <c r="AM2123" s="160">
        <f>IF($AM$2030&gt;0,PPMT('Assumptions (Biomass)'!$V$7,Model!W$1,'Assumptions (Biomass)'!$V$10,'Assumptions (Biomass)'!$V$5*Model!$AM$2030*AVERAGE('Assumptions (Biomass)'!$AI$2:$AK$2)/10^9),0)</f>
        <v>0</v>
      </c>
      <c r="AN2123" s="160">
        <f>IF($AM$2030&gt;0,PPMT('Assumptions (Biomass)'!$V$7,Model!X$1,'Assumptions (Biomass)'!$V$10,'Assumptions (Biomass)'!$V$5*Model!$AM$2030*AVERAGE('Assumptions (Biomass)'!$AI$2:$AK$2)/10^9),0)</f>
        <v>0</v>
      </c>
      <c r="AO2123" s="160">
        <f>IF($AM$2030&gt;0,PPMT('Assumptions (Biomass)'!$V$7,Model!Y$1,'Assumptions (Biomass)'!$V$10,'Assumptions (Biomass)'!$V$5*Model!$AM$2030*AVERAGE('Assumptions (Biomass)'!$AI$2:$AK$2)/10^9),0)</f>
        <v>0</v>
      </c>
      <c r="AP2123" s="160">
        <f>IF($AM$2030&gt;0,PPMT('Assumptions (Biomass)'!$V$7,Model!Z$1,'Assumptions (Biomass)'!$V$10,'Assumptions (Biomass)'!$V$5*Model!$AM$2030*AVERAGE('Assumptions (Biomass)'!$AI$2:$AK$2)/10^9),0)</f>
        <v>0</v>
      </c>
      <c r="AQ2123" s="160">
        <f>IF($AM$2030&gt;0,PPMT('Assumptions (Biomass)'!$V$7,Model!AA$1,'Assumptions (Biomass)'!$V$10,'Assumptions (Biomass)'!$V$5*Model!$AM$2030*AVERAGE('Assumptions (Biomass)'!$AI$2:$AK$2)/10^9),0)</f>
        <v>0</v>
      </c>
      <c r="AR2123" s="160">
        <f>IF($AM$2030&gt;0,PPMT('Assumptions (Biomass)'!$V$7,Model!AB$1,'Assumptions (Biomass)'!$V$10,'Assumptions (Biomass)'!$V$5*Model!$AM$2030*AVERAGE('Assumptions (Biomass)'!$AI$2:$AK$2)/10^9),0)</f>
        <v>0</v>
      </c>
      <c r="AS2123" s="160">
        <f>IF($AM$2030&gt;0,PPMT('Assumptions (Biomass)'!$V$7,Model!AC$1,'Assumptions (Biomass)'!$V$10,'Assumptions (Biomass)'!$V$5*Model!$AM$2030*AVERAGE('Assumptions (Biomass)'!$AI$2:$AK$2)/10^9),0)</f>
        <v>0</v>
      </c>
      <c r="AT2123" s="160">
        <f>IF($AM$2030&gt;0,PPMT('Assumptions (Biomass)'!$V$7,Model!AD$1,'Assumptions (Biomass)'!$V$10,'Assumptions (Biomass)'!$V$5*Model!$AM$2030*AVERAGE('Assumptions (Biomass)'!$AI$2:$AK$2)/10^9),0)</f>
        <v>0</v>
      </c>
      <c r="AU2123" s="160">
        <f>IF($AM$2030&gt;0,PPMT('Assumptions (Biomass)'!$V$7,Model!AE$1,'Assumptions (Biomass)'!$V$10,'Assumptions (Biomass)'!$V$5*Model!$AM$2030*AVERAGE('Assumptions (Biomass)'!$AI$2:$AK$2)/10^9),0)</f>
        <v>0</v>
      </c>
      <c r="AV2123" s="160">
        <f>IF($AM$2030&gt;0,PPMT('Assumptions (Biomass)'!$V$7,Model!AF$1,'Assumptions (Biomass)'!$V$10,'Assumptions (Biomass)'!$V$5*Model!$AM$2030*AVERAGE('Assumptions (Biomass)'!$AI$2:$AK$2)/10^9),0)</f>
        <v>0</v>
      </c>
      <c r="AW2123" s="160">
        <f>IF($AM$2030&gt;0,PPMT('Assumptions (Biomass)'!$V$7,Model!AG$1,'Assumptions (Biomass)'!$V$10,'Assumptions (Biomass)'!$V$5*Model!$AM$2030*AVERAGE('Assumptions (Biomass)'!$AI$2:$AK$2)/10^9),0)</f>
        <v>0</v>
      </c>
      <c r="AX2123" s="160">
        <f>IF($AM$2030&gt;0,PPMT('Assumptions (Biomass)'!$V$7,Model!AH$1,'Assumptions (Biomass)'!$V$10,'Assumptions (Biomass)'!$V$5*Model!$AM$2030*AVERAGE('Assumptions (Biomass)'!$AI$2:$AK$2)/10^9),0)</f>
        <v>0</v>
      </c>
      <c r="AY2123" s="160">
        <f>IF($AM$2030&gt;0,PPMT('Assumptions (Biomass)'!$V$7,Model!AI$1,'Assumptions (Biomass)'!$V$10,'Assumptions (Biomass)'!$V$5*Model!$AM$2030*AVERAGE('Assumptions (Biomass)'!$AI$2:$AK$2)/10^9),0)</f>
        <v>0</v>
      </c>
      <c r="AZ2123" s="160">
        <f>IF($AM$2030&gt;0,PPMT('Assumptions (Biomass)'!$V$7,Model!AJ$1,'Assumptions (Biomass)'!$V$10,'Assumptions (Biomass)'!$V$5*Model!$AM$2030*AVERAGE('Assumptions (Biomass)'!$AI$2:$AK$2)/10^9),0)</f>
        <v>0</v>
      </c>
      <c r="BA2123" s="160">
        <f>IF($AM$2030&gt;0,PPMT('Assumptions (Biomass)'!$V$7,Model!AK$1,'Assumptions (Biomass)'!$V$10,'Assumptions (Biomass)'!$V$5*Model!$AM$2030*AVERAGE('Assumptions (Biomass)'!$AI$2:$AK$2)/10^9),0)</f>
        <v>0</v>
      </c>
      <c r="BB2123" s="160"/>
      <c r="BC2123" s="160"/>
      <c r="BD2123" s="160"/>
      <c r="BE2123" s="160"/>
      <c r="BF2123" s="160"/>
      <c r="BG2123" s="160"/>
      <c r="BH2123" s="160"/>
      <c r="BI2123" s="160"/>
      <c r="BJ2123" s="160"/>
      <c r="BK2123" s="160"/>
    </row>
    <row r="2124" ht="15.75" hidden="1" customHeight="1" outlineLevel="1">
      <c r="A2124" s="318"/>
      <c r="B2124" s="38"/>
      <c r="C2124" s="174"/>
      <c r="D2124" s="174"/>
      <c r="E2124" s="174"/>
      <c r="F2124" s="174"/>
      <c r="G2124" s="174"/>
      <c r="H2124" s="174"/>
      <c r="I2124" s="174"/>
      <c r="J2124" s="174"/>
      <c r="K2124" s="174"/>
      <c r="L2124" s="174"/>
      <c r="M2124" s="174"/>
      <c r="N2124" s="174"/>
      <c r="O2124" s="174"/>
      <c r="P2124" s="174"/>
      <c r="Q2124" s="174"/>
      <c r="R2124" s="174"/>
      <c r="S2124" s="174"/>
      <c r="T2124" s="174"/>
      <c r="U2124" s="174"/>
      <c r="V2124" s="174"/>
      <c r="W2124" s="160"/>
      <c r="X2124" s="160"/>
      <c r="Y2124" s="160"/>
      <c r="Z2124" s="160"/>
      <c r="AA2124" s="160"/>
      <c r="AB2124" s="160"/>
      <c r="AC2124" s="160"/>
      <c r="AD2124" s="160"/>
      <c r="AE2124" s="160"/>
      <c r="AF2124" s="160"/>
      <c r="AG2124" s="160"/>
      <c r="AH2124" s="160"/>
      <c r="AI2124" s="160"/>
      <c r="AJ2124" s="179"/>
      <c r="AK2124" s="160"/>
      <c r="AL2124" s="177"/>
      <c r="AM2124" s="177"/>
      <c r="AN2124" s="160">
        <f>IF($AN$2030&gt;0,PPMT('Assumptions (Biomass)'!$V$7,Model!W$1,'Assumptions (Biomass)'!$V$10,'Assumptions (Biomass)'!$V$5*Model!$AN$2030*AVERAGE('Assumptions (Biomass)'!$AJ$2:$AL$2)/10^9),0)</f>
        <v>0</v>
      </c>
      <c r="AO2124" s="160">
        <f>IF($AN$2030&gt;0,PPMT('Assumptions (Biomass)'!$V$7,Model!X$1,'Assumptions (Biomass)'!$V$10,'Assumptions (Biomass)'!$V$5*Model!$AN$2030*AVERAGE('Assumptions (Biomass)'!$AJ$2:$AL$2)/10^9),0)</f>
        <v>0</v>
      </c>
      <c r="AP2124" s="160">
        <f>IF($AN$2030&gt;0,PPMT('Assumptions (Biomass)'!$V$7,Model!Y$1,'Assumptions (Biomass)'!$V$10,'Assumptions (Biomass)'!$V$5*Model!$AN$2030*AVERAGE('Assumptions (Biomass)'!$AJ$2:$AL$2)/10^9),0)</f>
        <v>0</v>
      </c>
      <c r="AQ2124" s="160">
        <f>IF($AN$2030&gt;0,PPMT('Assumptions (Biomass)'!$V$7,Model!Z$1,'Assumptions (Biomass)'!$V$10,'Assumptions (Biomass)'!$V$5*Model!$AN$2030*AVERAGE('Assumptions (Biomass)'!$AJ$2:$AL$2)/10^9),0)</f>
        <v>0</v>
      </c>
      <c r="AR2124" s="160">
        <f>IF($AN$2030&gt;0,PPMT('Assumptions (Biomass)'!$V$7,Model!AA$1,'Assumptions (Biomass)'!$V$10,'Assumptions (Biomass)'!$V$5*Model!$AN$2030*AVERAGE('Assumptions (Biomass)'!$AJ$2:$AL$2)/10^9),0)</f>
        <v>0</v>
      </c>
      <c r="AS2124" s="160">
        <f>IF($AN$2030&gt;0,PPMT('Assumptions (Biomass)'!$V$7,Model!AB$1,'Assumptions (Biomass)'!$V$10,'Assumptions (Biomass)'!$V$5*Model!$AN$2030*AVERAGE('Assumptions (Biomass)'!$AJ$2:$AL$2)/10^9),0)</f>
        <v>0</v>
      </c>
      <c r="AT2124" s="160">
        <f>IF($AN$2030&gt;0,PPMT('Assumptions (Biomass)'!$V$7,Model!AC$1,'Assumptions (Biomass)'!$V$10,'Assumptions (Biomass)'!$V$5*Model!$AN$2030*AVERAGE('Assumptions (Biomass)'!$AJ$2:$AL$2)/10^9),0)</f>
        <v>0</v>
      </c>
      <c r="AU2124" s="160">
        <f>IF($AN$2030&gt;0,PPMT('Assumptions (Biomass)'!$V$7,Model!AD$1,'Assumptions (Biomass)'!$V$10,'Assumptions (Biomass)'!$V$5*Model!$AN$2030*AVERAGE('Assumptions (Biomass)'!$AJ$2:$AL$2)/10^9),0)</f>
        <v>0</v>
      </c>
      <c r="AV2124" s="160">
        <f>IF($AN$2030&gt;0,PPMT('Assumptions (Biomass)'!$V$7,Model!AE$1,'Assumptions (Biomass)'!$V$10,'Assumptions (Biomass)'!$V$5*Model!$AN$2030*AVERAGE('Assumptions (Biomass)'!$AJ$2:$AL$2)/10^9),0)</f>
        <v>0</v>
      </c>
      <c r="AW2124" s="160">
        <f>IF($AN$2030&gt;0,PPMT('Assumptions (Biomass)'!$V$7,Model!AF$1,'Assumptions (Biomass)'!$V$10,'Assumptions (Biomass)'!$V$5*Model!$AN$2030*AVERAGE('Assumptions (Biomass)'!$AJ$2:$AL$2)/10^9),0)</f>
        <v>0</v>
      </c>
      <c r="AX2124" s="160">
        <f>IF($AN$2030&gt;0,PPMT('Assumptions (Biomass)'!$V$7,Model!AG$1,'Assumptions (Biomass)'!$V$10,'Assumptions (Biomass)'!$V$5*Model!$AN$2030*AVERAGE('Assumptions (Biomass)'!$AJ$2:$AL$2)/10^9),0)</f>
        <v>0</v>
      </c>
      <c r="AY2124" s="160">
        <f>IF($AN$2030&gt;0,PPMT('Assumptions (Biomass)'!$V$7,Model!AH$1,'Assumptions (Biomass)'!$V$10,'Assumptions (Biomass)'!$V$5*Model!$AN$2030*AVERAGE('Assumptions (Biomass)'!$AJ$2:$AL$2)/10^9),0)</f>
        <v>0</v>
      </c>
      <c r="AZ2124" s="160">
        <f>IF($AN$2030&gt;0,PPMT('Assumptions (Biomass)'!$V$7,Model!AI$1,'Assumptions (Biomass)'!$V$10,'Assumptions (Biomass)'!$V$5*Model!$AN$2030*AVERAGE('Assumptions (Biomass)'!$AJ$2:$AL$2)/10^9),0)</f>
        <v>0</v>
      </c>
      <c r="BA2124" s="160">
        <f>IF($AN$2030&gt;0,PPMT('Assumptions (Biomass)'!$V$7,Model!AJ$1,'Assumptions (Biomass)'!$V$10,'Assumptions (Biomass)'!$V$5*Model!$AN$2030*AVERAGE('Assumptions (Biomass)'!$AJ$2:$AL$2)/10^9),0)</f>
        <v>0</v>
      </c>
      <c r="BB2124" s="160">
        <f>IF($AN$2030&gt;0,PPMT('Assumptions (Biomass)'!$V$7,Model!AK$1,'Assumptions (Biomass)'!$V$10,'Assumptions (Biomass)'!$V$5*Model!$AN$2030*AVERAGE('Assumptions (Biomass)'!$AJ$2:$AL$2)/10^9),0)</f>
        <v>0</v>
      </c>
      <c r="BC2124" s="160"/>
      <c r="BD2124" s="160"/>
      <c r="BE2124" s="160"/>
      <c r="BF2124" s="160"/>
      <c r="BG2124" s="160"/>
      <c r="BH2124" s="160"/>
      <c r="BI2124" s="160"/>
      <c r="BJ2124" s="160"/>
      <c r="BK2124" s="160"/>
      <c r="BL2124" s="160"/>
    </row>
    <row r="2125" ht="15.75" hidden="1" customHeight="1" outlineLevel="1">
      <c r="A2125" s="318"/>
      <c r="B2125" s="38"/>
      <c r="C2125" s="174"/>
      <c r="D2125" s="174"/>
      <c r="E2125" s="174"/>
      <c r="F2125" s="174"/>
      <c r="G2125" s="174"/>
      <c r="H2125" s="174"/>
      <c r="I2125" s="174"/>
      <c r="J2125" s="174"/>
      <c r="K2125" s="174"/>
      <c r="L2125" s="174"/>
      <c r="M2125" s="174"/>
      <c r="N2125" s="174"/>
      <c r="O2125" s="174"/>
      <c r="P2125" s="174"/>
      <c r="Q2125" s="174"/>
      <c r="R2125" s="174"/>
      <c r="S2125" s="174"/>
      <c r="T2125" s="174"/>
      <c r="U2125" s="174"/>
      <c r="V2125" s="174"/>
      <c r="W2125" s="160"/>
      <c r="X2125" s="160"/>
      <c r="Y2125" s="160"/>
      <c r="Z2125" s="160"/>
      <c r="AA2125" s="160"/>
      <c r="AB2125" s="160"/>
      <c r="AC2125" s="160"/>
      <c r="AD2125" s="160"/>
      <c r="AE2125" s="160"/>
      <c r="AF2125" s="160"/>
      <c r="AG2125" s="160"/>
      <c r="AH2125" s="160"/>
      <c r="AI2125" s="160"/>
      <c r="AJ2125" s="179"/>
      <c r="AK2125" s="160"/>
      <c r="AL2125" s="177"/>
      <c r="AM2125" s="177"/>
      <c r="AN2125" s="177"/>
      <c r="AO2125" s="160">
        <f>IF($AO$2030&gt;0,PPMT('Assumptions (Biomass)'!$V$7,Model!W$1,'Assumptions (Biomass)'!$V$10,'Assumptions (Biomass)'!$V$5*Model!$AO$2030*AVERAGE('Assumptions (Biomass)'!$AK$2:$AM$2)/10^9),0)</f>
        <v>0</v>
      </c>
      <c r="AP2125" s="160">
        <f>IF($AO$2030&gt;0,PPMT('Assumptions (Biomass)'!$V$7,Model!X$1,'Assumptions (Biomass)'!$V$10,'Assumptions (Biomass)'!$V$5*Model!$AO$2030*AVERAGE('Assumptions (Biomass)'!$AK$2:$AM$2)/10^9),0)</f>
        <v>0</v>
      </c>
      <c r="AQ2125" s="160">
        <f>IF($AO$2030&gt;0,PPMT('Assumptions (Biomass)'!$V$7,Model!Y$1,'Assumptions (Biomass)'!$V$10,'Assumptions (Biomass)'!$V$5*Model!$AO$2030*AVERAGE('Assumptions (Biomass)'!$AK$2:$AM$2)/10^9),0)</f>
        <v>0</v>
      </c>
      <c r="AR2125" s="160">
        <f>IF($AO$2030&gt;0,PPMT('Assumptions (Biomass)'!$V$7,Model!Z$1,'Assumptions (Biomass)'!$V$10,'Assumptions (Biomass)'!$V$5*Model!$AO$2030*AVERAGE('Assumptions (Biomass)'!$AK$2:$AM$2)/10^9),0)</f>
        <v>0</v>
      </c>
      <c r="AS2125" s="160">
        <f>IF($AO$2030&gt;0,PPMT('Assumptions (Biomass)'!$V$7,Model!AA$1,'Assumptions (Biomass)'!$V$10,'Assumptions (Biomass)'!$V$5*Model!$AO$2030*AVERAGE('Assumptions (Biomass)'!$AK$2:$AM$2)/10^9),0)</f>
        <v>0</v>
      </c>
      <c r="AT2125" s="160">
        <f>IF($AO$2030&gt;0,PPMT('Assumptions (Biomass)'!$V$7,Model!AB$1,'Assumptions (Biomass)'!$V$10,'Assumptions (Biomass)'!$V$5*Model!$AO$2030*AVERAGE('Assumptions (Biomass)'!$AK$2:$AM$2)/10^9),0)</f>
        <v>0</v>
      </c>
      <c r="AU2125" s="160">
        <f>IF($AO$2030&gt;0,PPMT('Assumptions (Biomass)'!$V$7,Model!AC$1,'Assumptions (Biomass)'!$V$10,'Assumptions (Biomass)'!$V$5*Model!$AO$2030*AVERAGE('Assumptions (Biomass)'!$AK$2:$AM$2)/10^9),0)</f>
        <v>0</v>
      </c>
      <c r="AV2125" s="160">
        <f>IF($AO$2030&gt;0,PPMT('Assumptions (Biomass)'!$V$7,Model!AD$1,'Assumptions (Biomass)'!$V$10,'Assumptions (Biomass)'!$V$5*Model!$AO$2030*AVERAGE('Assumptions (Biomass)'!$AK$2:$AM$2)/10^9),0)</f>
        <v>0</v>
      </c>
      <c r="AW2125" s="160">
        <f>IF($AO$2030&gt;0,PPMT('Assumptions (Biomass)'!$V$7,Model!AE$1,'Assumptions (Biomass)'!$V$10,'Assumptions (Biomass)'!$V$5*Model!$AO$2030*AVERAGE('Assumptions (Biomass)'!$AK$2:$AM$2)/10^9),0)</f>
        <v>0</v>
      </c>
      <c r="AX2125" s="160">
        <f>IF($AO$2030&gt;0,PPMT('Assumptions (Biomass)'!$V$7,Model!AF$1,'Assumptions (Biomass)'!$V$10,'Assumptions (Biomass)'!$V$5*Model!$AO$2030*AVERAGE('Assumptions (Biomass)'!$AK$2:$AM$2)/10^9),0)</f>
        <v>0</v>
      </c>
      <c r="AY2125" s="160">
        <f>IF($AO$2030&gt;0,PPMT('Assumptions (Biomass)'!$V$7,Model!AG$1,'Assumptions (Biomass)'!$V$10,'Assumptions (Biomass)'!$V$5*Model!$AO$2030*AVERAGE('Assumptions (Biomass)'!$AK$2:$AM$2)/10^9),0)</f>
        <v>0</v>
      </c>
      <c r="AZ2125" s="160">
        <f>IF($AO$2030&gt;0,PPMT('Assumptions (Biomass)'!$V$7,Model!AH$1,'Assumptions (Biomass)'!$V$10,'Assumptions (Biomass)'!$V$5*Model!$AO$2030*AVERAGE('Assumptions (Biomass)'!$AK$2:$AM$2)/10^9),0)</f>
        <v>0</v>
      </c>
      <c r="BA2125" s="160">
        <f>IF($AO$2030&gt;0,PPMT('Assumptions (Biomass)'!$V$7,Model!AI$1,'Assumptions (Biomass)'!$V$10,'Assumptions (Biomass)'!$V$5*Model!$AO$2030*AVERAGE('Assumptions (Biomass)'!$AK$2:$AM$2)/10^9),0)</f>
        <v>0</v>
      </c>
      <c r="BB2125" s="160">
        <f>IF($AO$2030&gt;0,PPMT('Assumptions (Biomass)'!$V$7,Model!AJ$1,'Assumptions (Biomass)'!$V$10,'Assumptions (Biomass)'!$V$5*Model!$AO$2030*AVERAGE('Assumptions (Biomass)'!$AK$2:$AM$2)/10^9),0)</f>
        <v>0</v>
      </c>
      <c r="BC2125" s="160">
        <f>IF($AO$2030&gt;0,PPMT('Assumptions (Biomass)'!$V$7,Model!AK$1,'Assumptions (Biomass)'!$V$10,'Assumptions (Biomass)'!$V$5*Model!$AO$2030*AVERAGE('Assumptions (Biomass)'!$AK$2:$AM$2)/10^9),0)</f>
        <v>0</v>
      </c>
      <c r="BD2125" s="160"/>
      <c r="BE2125" s="160"/>
      <c r="BF2125" s="160"/>
      <c r="BG2125" s="160"/>
      <c r="BH2125" s="160"/>
      <c r="BI2125" s="160"/>
      <c r="BJ2125" s="160"/>
      <c r="BK2125" s="160"/>
      <c r="BL2125" s="160"/>
      <c r="BM2125" s="160"/>
    </row>
    <row r="2126" ht="15.75" hidden="1" customHeight="1" outlineLevel="1">
      <c r="A2126" s="318"/>
      <c r="B2126" s="38"/>
      <c r="C2126" s="174"/>
      <c r="D2126" s="174"/>
      <c r="E2126" s="174"/>
      <c r="F2126" s="174"/>
      <c r="G2126" s="174"/>
      <c r="H2126" s="174"/>
      <c r="I2126" s="174"/>
      <c r="J2126" s="174"/>
      <c r="K2126" s="174"/>
      <c r="L2126" s="174"/>
      <c r="M2126" s="174"/>
      <c r="N2126" s="174"/>
      <c r="O2126" s="174"/>
      <c r="P2126" s="174"/>
      <c r="Q2126" s="174"/>
      <c r="R2126" s="174"/>
      <c r="S2126" s="174"/>
      <c r="T2126" s="174"/>
      <c r="U2126" s="174"/>
      <c r="V2126" s="174"/>
      <c r="W2126" s="160"/>
      <c r="X2126" s="160"/>
      <c r="Y2126" s="160"/>
      <c r="Z2126" s="160"/>
      <c r="AA2126" s="160"/>
      <c r="AB2126" s="160"/>
      <c r="AC2126" s="160"/>
      <c r="AD2126" s="160"/>
      <c r="AE2126" s="160"/>
      <c r="AF2126" s="160"/>
      <c r="AG2126" s="160"/>
      <c r="AH2126" s="160"/>
      <c r="AI2126" s="160"/>
      <c r="AJ2126" s="179"/>
      <c r="AK2126" s="160"/>
      <c r="AL2126" s="177"/>
      <c r="AM2126" s="177"/>
      <c r="AN2126" s="177"/>
      <c r="AO2126" s="160"/>
      <c r="AP2126" s="160">
        <f>IF($AP$2030&gt;0,PPMT('Assumptions (Biomass)'!$V$7,Model!W$1,'Assumptions (Biomass)'!$V$10,'Assumptions (Biomass)'!$V$5*Model!$AP$2030*AVERAGE('Assumptions (Biomass)'!$AL$2:$AN$2)/10^9),0)</f>
        <v>0</v>
      </c>
      <c r="AQ2126" s="160">
        <f>IF($AP$2030&gt;0,PPMT('Assumptions (Biomass)'!$V$7,Model!X$1,'Assumptions (Biomass)'!$V$10,'Assumptions (Biomass)'!$V$5*Model!$AP$2030*AVERAGE('Assumptions (Biomass)'!$AL$2:$AN$2)/10^9),0)</f>
        <v>0</v>
      </c>
      <c r="AR2126" s="160">
        <f>IF($AP$2030&gt;0,PPMT('Assumptions (Biomass)'!$V$7,Model!Y$1,'Assumptions (Biomass)'!$V$10,'Assumptions (Biomass)'!$V$5*Model!$AP$2030*AVERAGE('Assumptions (Biomass)'!$AL$2:$AN$2)/10^9),0)</f>
        <v>0</v>
      </c>
      <c r="AS2126" s="160">
        <f>IF($AP$2030&gt;0,PPMT('Assumptions (Biomass)'!$V$7,Model!Z$1,'Assumptions (Biomass)'!$V$10,'Assumptions (Biomass)'!$V$5*Model!$AP$2030*AVERAGE('Assumptions (Biomass)'!$AL$2:$AN$2)/10^9),0)</f>
        <v>0</v>
      </c>
      <c r="AT2126" s="160">
        <f>IF($AP$2030&gt;0,PPMT('Assumptions (Biomass)'!$V$7,Model!AA$1,'Assumptions (Biomass)'!$V$10,'Assumptions (Biomass)'!$V$5*Model!$AP$2030*AVERAGE('Assumptions (Biomass)'!$AL$2:$AN$2)/10^9),0)</f>
        <v>0</v>
      </c>
      <c r="AU2126" s="160">
        <f>IF($AP$2030&gt;0,PPMT('Assumptions (Biomass)'!$V$7,Model!AB$1,'Assumptions (Biomass)'!$V$10,'Assumptions (Biomass)'!$V$5*Model!$AP$2030*AVERAGE('Assumptions (Biomass)'!$AL$2:$AN$2)/10^9),0)</f>
        <v>0</v>
      </c>
      <c r="AV2126" s="160">
        <f>IF($AP$2030&gt;0,PPMT('Assumptions (Biomass)'!$V$7,Model!AC$1,'Assumptions (Biomass)'!$V$10,'Assumptions (Biomass)'!$V$5*Model!$AP$2030*AVERAGE('Assumptions (Biomass)'!$AL$2:$AN$2)/10^9),0)</f>
        <v>0</v>
      </c>
      <c r="AW2126" s="160">
        <f>IF($AP$2030&gt;0,PPMT('Assumptions (Biomass)'!$V$7,Model!AD$1,'Assumptions (Biomass)'!$V$10,'Assumptions (Biomass)'!$V$5*Model!$AP$2030*AVERAGE('Assumptions (Biomass)'!$AL$2:$AN$2)/10^9),0)</f>
        <v>0</v>
      </c>
      <c r="AX2126" s="160">
        <f>IF($AP$2030&gt;0,PPMT('Assumptions (Biomass)'!$V$7,Model!AE$1,'Assumptions (Biomass)'!$V$10,'Assumptions (Biomass)'!$V$5*Model!$AP$2030*AVERAGE('Assumptions (Biomass)'!$AL$2:$AN$2)/10^9),0)</f>
        <v>0</v>
      </c>
      <c r="AY2126" s="160">
        <f>IF($AP$2030&gt;0,PPMT('Assumptions (Biomass)'!$V$7,Model!AF$1,'Assumptions (Biomass)'!$V$10,'Assumptions (Biomass)'!$V$5*Model!$AP$2030*AVERAGE('Assumptions (Biomass)'!$AL$2:$AN$2)/10^9),0)</f>
        <v>0</v>
      </c>
      <c r="AZ2126" s="160">
        <f>IF($AP$2030&gt;0,PPMT('Assumptions (Biomass)'!$V$7,Model!AG$1,'Assumptions (Biomass)'!$V$10,'Assumptions (Biomass)'!$V$5*Model!$AP$2030*AVERAGE('Assumptions (Biomass)'!$AL$2:$AN$2)/10^9),0)</f>
        <v>0</v>
      </c>
      <c r="BA2126" s="160">
        <f>IF($AP$2030&gt;0,PPMT('Assumptions (Biomass)'!$V$7,Model!AH$1,'Assumptions (Biomass)'!$V$10,'Assumptions (Biomass)'!$V$5*Model!$AP$2030*AVERAGE('Assumptions (Biomass)'!$AL$2:$AN$2)/10^9),0)</f>
        <v>0</v>
      </c>
      <c r="BB2126" s="160">
        <f>IF($AP$2030&gt;0,PPMT('Assumptions (Biomass)'!$V$7,Model!AI$1,'Assumptions (Biomass)'!$V$10,'Assumptions (Biomass)'!$V$5*Model!$AP$2030*AVERAGE('Assumptions (Biomass)'!$AL$2:$AN$2)/10^9),0)</f>
        <v>0</v>
      </c>
      <c r="BC2126" s="160">
        <f>IF($AP$2030&gt;0,PPMT('Assumptions (Biomass)'!$V$7,Model!AJ$1,'Assumptions (Biomass)'!$V$10,'Assumptions (Biomass)'!$V$5*Model!$AP$2030*AVERAGE('Assumptions (Biomass)'!$AL$2:$AN$2)/10^9),0)</f>
        <v>0</v>
      </c>
      <c r="BD2126" s="160">
        <f>IF($AP$2030&gt;0,PPMT('Assumptions (Biomass)'!$V$7,Model!AK$1,'Assumptions (Biomass)'!$V$10,'Assumptions (Biomass)'!$V$5*Model!$AP$2030*AVERAGE('Assumptions (Biomass)'!$AL$2:$AN$2)/10^9),0)</f>
        <v>0</v>
      </c>
      <c r="BE2126" s="160"/>
      <c r="BF2126" s="160"/>
      <c r="BG2126" s="160"/>
      <c r="BH2126" s="160"/>
      <c r="BI2126" s="160"/>
      <c r="BJ2126" s="160"/>
      <c r="BK2126" s="160"/>
      <c r="BL2126" s="160"/>
      <c r="BM2126" s="160"/>
      <c r="BN2126" s="160"/>
    </row>
    <row r="2127" ht="15.75" hidden="1" customHeight="1" outlineLevel="1">
      <c r="A2127" s="318"/>
      <c r="B2127" s="38"/>
      <c r="C2127" s="174"/>
      <c r="D2127" s="174"/>
      <c r="E2127" s="174"/>
      <c r="F2127" s="174"/>
      <c r="G2127" s="174"/>
      <c r="H2127" s="174"/>
      <c r="I2127" s="174"/>
      <c r="J2127" s="174"/>
      <c r="K2127" s="174"/>
      <c r="L2127" s="174"/>
      <c r="M2127" s="174"/>
      <c r="N2127" s="174"/>
      <c r="O2127" s="174"/>
      <c r="P2127" s="174"/>
      <c r="Q2127" s="174"/>
      <c r="R2127" s="174"/>
      <c r="S2127" s="174"/>
      <c r="T2127" s="174"/>
      <c r="U2127" s="174"/>
      <c r="V2127" s="174"/>
      <c r="W2127" s="160"/>
      <c r="X2127" s="160"/>
      <c r="Y2127" s="160"/>
      <c r="Z2127" s="160"/>
      <c r="AA2127" s="160"/>
      <c r="AB2127" s="160"/>
      <c r="AC2127" s="160"/>
      <c r="AD2127" s="160"/>
      <c r="AE2127" s="160"/>
      <c r="AF2127" s="160"/>
      <c r="AG2127" s="160"/>
      <c r="AH2127" s="160"/>
      <c r="AI2127" s="160"/>
      <c r="AJ2127" s="179"/>
      <c r="AK2127" s="160"/>
      <c r="AL2127" s="177"/>
      <c r="AM2127" s="177"/>
      <c r="AN2127" s="177"/>
      <c r="AO2127" s="160"/>
      <c r="AP2127" s="160"/>
      <c r="AQ2127" s="160">
        <f>IF($AQ$2030&gt;0,PPMT('Assumptions (Biomass)'!$V$7,Model!W$1,'Assumptions (Biomass)'!$V$10,'Assumptions (Biomass)'!$V$5*Model!$AQ$2030*AVERAGE('Assumptions (Biomass)'!$AM$2:$AO$2)/10^9),0)</f>
        <v>0</v>
      </c>
      <c r="AR2127" s="160">
        <f>IF($AQ$2030&gt;0,PPMT('Assumptions (Biomass)'!$V$7,Model!X$1,'Assumptions (Biomass)'!$V$10,'Assumptions (Biomass)'!$V$5*Model!$AQ$2030*AVERAGE('Assumptions (Biomass)'!$AM$2:$AO$2)/10^9),0)</f>
        <v>0</v>
      </c>
      <c r="AS2127" s="160">
        <f>IF($AQ$2030&gt;0,PPMT('Assumptions (Biomass)'!$V$7,Model!Y$1,'Assumptions (Biomass)'!$V$10,'Assumptions (Biomass)'!$V$5*Model!$AQ$2030*AVERAGE('Assumptions (Biomass)'!$AM$2:$AO$2)/10^9),0)</f>
        <v>0</v>
      </c>
      <c r="AT2127" s="160">
        <f>IF($AQ$2030&gt;0,PPMT('Assumptions (Biomass)'!$V$7,Model!Z$1,'Assumptions (Biomass)'!$V$10,'Assumptions (Biomass)'!$V$5*Model!$AQ$2030*AVERAGE('Assumptions (Biomass)'!$AM$2:$AO$2)/10^9),0)</f>
        <v>0</v>
      </c>
      <c r="AU2127" s="160">
        <f>IF($AQ$2030&gt;0,PPMT('Assumptions (Biomass)'!$V$7,Model!AA$1,'Assumptions (Biomass)'!$V$10,'Assumptions (Biomass)'!$V$5*Model!$AQ$2030*AVERAGE('Assumptions (Biomass)'!$AM$2:$AO$2)/10^9),0)</f>
        <v>0</v>
      </c>
      <c r="AV2127" s="160">
        <f>IF($AQ$2030&gt;0,PPMT('Assumptions (Biomass)'!$V$7,Model!AB$1,'Assumptions (Biomass)'!$V$10,'Assumptions (Biomass)'!$V$5*Model!$AQ$2030*AVERAGE('Assumptions (Biomass)'!$AM$2:$AO$2)/10^9),0)</f>
        <v>0</v>
      </c>
      <c r="AW2127" s="160">
        <f>IF($AQ$2030&gt;0,PPMT('Assumptions (Biomass)'!$V$7,Model!AC$1,'Assumptions (Biomass)'!$V$10,'Assumptions (Biomass)'!$V$5*Model!$AQ$2030*AVERAGE('Assumptions (Biomass)'!$AM$2:$AO$2)/10^9),0)</f>
        <v>0</v>
      </c>
      <c r="AX2127" s="160">
        <f>IF($AQ$2030&gt;0,PPMT('Assumptions (Biomass)'!$V$7,Model!AD$1,'Assumptions (Biomass)'!$V$10,'Assumptions (Biomass)'!$V$5*Model!$AQ$2030*AVERAGE('Assumptions (Biomass)'!$AM$2:$AO$2)/10^9),0)</f>
        <v>0</v>
      </c>
      <c r="AY2127" s="160">
        <f>IF($AQ$2030&gt;0,PPMT('Assumptions (Biomass)'!$V$7,Model!AE$1,'Assumptions (Biomass)'!$V$10,'Assumptions (Biomass)'!$V$5*Model!$AQ$2030*AVERAGE('Assumptions (Biomass)'!$AM$2:$AO$2)/10^9),0)</f>
        <v>0</v>
      </c>
      <c r="AZ2127" s="160">
        <f>IF($AQ$2030&gt;0,PPMT('Assumptions (Biomass)'!$V$7,Model!AF$1,'Assumptions (Biomass)'!$V$10,'Assumptions (Biomass)'!$V$5*Model!$AQ$2030*AVERAGE('Assumptions (Biomass)'!$AM$2:$AO$2)/10^9),0)</f>
        <v>0</v>
      </c>
      <c r="BA2127" s="160">
        <f>IF($AQ$2030&gt;0,PPMT('Assumptions (Biomass)'!$V$7,Model!AG$1,'Assumptions (Biomass)'!$V$10,'Assumptions (Biomass)'!$V$5*Model!$AQ$2030*AVERAGE('Assumptions (Biomass)'!$AM$2:$AO$2)/10^9),0)</f>
        <v>0</v>
      </c>
      <c r="BB2127" s="160">
        <f>IF($AQ$2030&gt;0,PPMT('Assumptions (Biomass)'!$V$7,Model!AH$1,'Assumptions (Biomass)'!$V$10,'Assumptions (Biomass)'!$V$5*Model!$AQ$2030*AVERAGE('Assumptions (Biomass)'!$AM$2:$AO$2)/10^9),0)</f>
        <v>0</v>
      </c>
      <c r="BC2127" s="160">
        <f>IF($AQ$2030&gt;0,PPMT('Assumptions (Biomass)'!$V$7,Model!AI$1,'Assumptions (Biomass)'!$V$10,'Assumptions (Biomass)'!$V$5*Model!$AQ$2030*AVERAGE('Assumptions (Biomass)'!$AM$2:$AO$2)/10^9),0)</f>
        <v>0</v>
      </c>
      <c r="BD2127" s="160">
        <f>IF($AQ$2030&gt;0,PPMT('Assumptions (Biomass)'!$V$7,Model!AJ$1,'Assumptions (Biomass)'!$V$10,'Assumptions (Biomass)'!$V$5*Model!$AQ$2030*AVERAGE('Assumptions (Biomass)'!$AM$2:$AO$2)/10^9),0)</f>
        <v>0</v>
      </c>
      <c r="BE2127" s="160">
        <f>IF($AQ$2030&gt;0,PPMT('Assumptions (Biomass)'!$V$7,Model!AK$1,'Assumptions (Biomass)'!$V$10,'Assumptions (Biomass)'!$V$5*Model!$AQ$2030*AVERAGE('Assumptions (Biomass)'!$AM$2:$AO$2)/10^9),0)</f>
        <v>0</v>
      </c>
      <c r="BF2127" s="160"/>
      <c r="BG2127" s="160"/>
      <c r="BH2127" s="160"/>
      <c r="BI2127" s="160"/>
      <c r="BJ2127" s="160"/>
      <c r="BK2127" s="160"/>
      <c r="BL2127" s="160"/>
      <c r="BM2127" s="160"/>
      <c r="BN2127" s="160"/>
      <c r="BO2127" s="160"/>
    </row>
    <row r="2128" ht="15.75" hidden="1" customHeight="1" outlineLevel="1">
      <c r="A2128" s="318"/>
      <c r="B2128" s="38"/>
      <c r="C2128" s="174"/>
      <c r="D2128" s="174"/>
      <c r="E2128" s="174"/>
      <c r="F2128" s="174"/>
      <c r="G2128" s="174"/>
      <c r="H2128" s="174"/>
      <c r="I2128" s="174"/>
      <c r="J2128" s="174"/>
      <c r="K2128" s="174"/>
      <c r="L2128" s="174"/>
      <c r="M2128" s="174"/>
      <c r="N2128" s="174"/>
      <c r="O2128" s="174"/>
      <c r="P2128" s="174"/>
      <c r="Q2128" s="174"/>
      <c r="R2128" s="174"/>
      <c r="S2128" s="174"/>
      <c r="T2128" s="174"/>
      <c r="U2128" s="174"/>
      <c r="V2128" s="174"/>
      <c r="W2128" s="160"/>
      <c r="X2128" s="160"/>
      <c r="Y2128" s="160"/>
      <c r="Z2128" s="160"/>
      <c r="AA2128" s="160"/>
      <c r="AB2128" s="160"/>
      <c r="AC2128" s="160"/>
      <c r="AD2128" s="160"/>
      <c r="AE2128" s="160"/>
      <c r="AF2128" s="160"/>
      <c r="AG2128" s="160"/>
      <c r="AH2128" s="160"/>
      <c r="AI2128" s="160"/>
      <c r="AJ2128" s="179"/>
      <c r="AK2128" s="160"/>
      <c r="AL2128" s="177"/>
      <c r="AM2128" s="177"/>
      <c r="AN2128" s="177"/>
      <c r="AO2128" s="160"/>
      <c r="AP2128" s="160"/>
      <c r="AQ2128" s="160"/>
      <c r="AR2128" s="160">
        <f>IF($AR$2030&gt;0,PPMT('Assumptions (Biomass)'!$V$7,Model!W$1,'Assumptions (Biomass)'!$V$10,'Assumptions (Biomass)'!$V$5*Model!$AR$2030*AVERAGE('Assumptions (Biomass)'!$AN$2:$AP$2)/10^9),0)</f>
        <v>0</v>
      </c>
      <c r="AS2128" s="160">
        <f>IF($AR$2030&gt;0,PPMT('Assumptions (Biomass)'!$V$7,Model!X$1,'Assumptions (Biomass)'!$V$10,'Assumptions (Biomass)'!$V$5*Model!$AR$2030*AVERAGE('Assumptions (Biomass)'!$AN$2:$AP$2)/10^9),0)</f>
        <v>0</v>
      </c>
      <c r="AT2128" s="160">
        <f>IF($AR$2030&gt;0,PPMT('Assumptions (Biomass)'!$V$7,Model!Y$1,'Assumptions (Biomass)'!$V$10,'Assumptions (Biomass)'!$V$5*Model!$AR$2030*AVERAGE('Assumptions (Biomass)'!$AN$2:$AP$2)/10^9),0)</f>
        <v>0</v>
      </c>
      <c r="AU2128" s="160">
        <f>IF($AR$2030&gt;0,PPMT('Assumptions (Biomass)'!$V$7,Model!Z$1,'Assumptions (Biomass)'!$V$10,'Assumptions (Biomass)'!$V$5*Model!$AR$2030*AVERAGE('Assumptions (Biomass)'!$AN$2:$AP$2)/10^9),0)</f>
        <v>0</v>
      </c>
      <c r="AV2128" s="160">
        <f>IF($AR$2030&gt;0,PPMT('Assumptions (Biomass)'!$V$7,Model!AA$1,'Assumptions (Biomass)'!$V$10,'Assumptions (Biomass)'!$V$5*Model!$AR$2030*AVERAGE('Assumptions (Biomass)'!$AN$2:$AP$2)/10^9),0)</f>
        <v>0</v>
      </c>
      <c r="AW2128" s="160">
        <f>IF($AR$2030&gt;0,PPMT('Assumptions (Biomass)'!$V$7,Model!AB$1,'Assumptions (Biomass)'!$V$10,'Assumptions (Biomass)'!$V$5*Model!$AR$2030*AVERAGE('Assumptions (Biomass)'!$AN$2:$AP$2)/10^9),0)</f>
        <v>0</v>
      </c>
      <c r="AX2128" s="160">
        <f>IF($AR$2030&gt;0,PPMT('Assumptions (Biomass)'!$V$7,Model!AC$1,'Assumptions (Biomass)'!$V$10,'Assumptions (Biomass)'!$V$5*Model!$AR$2030*AVERAGE('Assumptions (Biomass)'!$AN$2:$AP$2)/10^9),0)</f>
        <v>0</v>
      </c>
      <c r="AY2128" s="160">
        <f>IF($AR$2030&gt;0,PPMT('Assumptions (Biomass)'!$V$7,Model!AD$1,'Assumptions (Biomass)'!$V$10,'Assumptions (Biomass)'!$V$5*Model!$AR$2030*AVERAGE('Assumptions (Biomass)'!$AN$2:$AP$2)/10^9),0)</f>
        <v>0</v>
      </c>
      <c r="AZ2128" s="160">
        <f>IF($AR$2030&gt;0,PPMT('Assumptions (Biomass)'!$V$7,Model!AE$1,'Assumptions (Biomass)'!$V$10,'Assumptions (Biomass)'!$V$5*Model!$AR$2030*AVERAGE('Assumptions (Biomass)'!$AN$2:$AP$2)/10^9),0)</f>
        <v>0</v>
      </c>
      <c r="BA2128" s="160">
        <f>IF($AR$2030&gt;0,PPMT('Assumptions (Biomass)'!$V$7,Model!AF$1,'Assumptions (Biomass)'!$V$10,'Assumptions (Biomass)'!$V$5*Model!$AR$2030*AVERAGE('Assumptions (Biomass)'!$AN$2:$AP$2)/10^9),0)</f>
        <v>0</v>
      </c>
      <c r="BB2128" s="160">
        <f>IF($AR$2030&gt;0,PPMT('Assumptions (Biomass)'!$V$7,Model!AG$1,'Assumptions (Biomass)'!$V$10,'Assumptions (Biomass)'!$V$5*Model!$AR$2030*AVERAGE('Assumptions (Biomass)'!$AN$2:$AP$2)/10^9),0)</f>
        <v>0</v>
      </c>
      <c r="BC2128" s="160">
        <f>IF($AR$2030&gt;0,PPMT('Assumptions (Biomass)'!$V$7,Model!AH$1,'Assumptions (Biomass)'!$V$10,'Assumptions (Biomass)'!$V$5*Model!$AR$2030*AVERAGE('Assumptions (Biomass)'!$AN$2:$AP$2)/10^9),0)</f>
        <v>0</v>
      </c>
      <c r="BD2128" s="160">
        <f>IF($AR$2030&gt;0,PPMT('Assumptions (Biomass)'!$V$7,Model!AI$1,'Assumptions (Biomass)'!$V$10,'Assumptions (Biomass)'!$V$5*Model!$AR$2030*AVERAGE('Assumptions (Biomass)'!$AN$2:$AP$2)/10^9),0)</f>
        <v>0</v>
      </c>
      <c r="BE2128" s="160">
        <f>IF($AR$2030&gt;0,PPMT('Assumptions (Biomass)'!$V$7,Model!AJ$1,'Assumptions (Biomass)'!$V$10,'Assumptions (Biomass)'!$V$5*Model!$AR$2030*AVERAGE('Assumptions (Biomass)'!$AN$2:$AP$2)/10^9),0)</f>
        <v>0</v>
      </c>
      <c r="BF2128" s="160">
        <f>IF($AR$2030&gt;0,PPMT('Assumptions (Biomass)'!$V$7,Model!AK$1,'Assumptions (Biomass)'!$V$10,'Assumptions (Biomass)'!$V$5*Model!$AR$2030*AVERAGE('Assumptions (Biomass)'!$AN$2:$AP$2)/10^9),0)</f>
        <v>0</v>
      </c>
      <c r="BG2128" s="160"/>
      <c r="BH2128" s="160"/>
      <c r="BI2128" s="160"/>
      <c r="BJ2128" s="160"/>
      <c r="BK2128" s="160"/>
      <c r="BL2128" s="160"/>
      <c r="BM2128" s="160"/>
      <c r="BN2128" s="160"/>
      <c r="BO2128" s="160"/>
      <c r="BP2128" s="160"/>
    </row>
    <row r="2129" ht="15.75" hidden="1" customHeight="1" outlineLevel="1">
      <c r="A2129" s="318"/>
      <c r="B2129" s="38"/>
      <c r="C2129" s="174"/>
      <c r="D2129" s="174"/>
      <c r="E2129" s="174"/>
      <c r="F2129" s="174"/>
      <c r="G2129" s="174"/>
      <c r="H2129" s="174"/>
      <c r="I2129" s="174"/>
      <c r="J2129" s="174"/>
      <c r="K2129" s="174"/>
      <c r="L2129" s="174"/>
      <c r="M2129" s="174"/>
      <c r="N2129" s="174"/>
      <c r="O2129" s="174"/>
      <c r="P2129" s="174"/>
      <c r="Q2129" s="174"/>
      <c r="R2129" s="174"/>
      <c r="S2129" s="174"/>
      <c r="T2129" s="174"/>
      <c r="U2129" s="174"/>
      <c r="V2129" s="174"/>
      <c r="W2129" s="160"/>
      <c r="X2129" s="160"/>
      <c r="Y2129" s="160"/>
      <c r="Z2129" s="160"/>
      <c r="AA2129" s="160"/>
      <c r="AB2129" s="160"/>
      <c r="AC2129" s="160"/>
      <c r="AD2129" s="160"/>
      <c r="AE2129" s="160"/>
      <c r="AF2129" s="160"/>
      <c r="AG2129" s="160"/>
      <c r="AH2129" s="160"/>
      <c r="AI2129" s="160"/>
      <c r="AJ2129" s="179"/>
      <c r="AK2129" s="160"/>
      <c r="AL2129" s="177"/>
      <c r="AM2129" s="177"/>
      <c r="AN2129" s="177"/>
      <c r="AO2129" s="160"/>
      <c r="AP2129" s="160"/>
      <c r="AQ2129" s="160"/>
      <c r="AR2129" s="160"/>
      <c r="AS2129" s="160">
        <f>IF($AS$2030&gt;0,PPMT('Assumptions (Biomass)'!$V$7,Model!W$1,'Assumptions (Biomass)'!$V$10,'Assumptions (Biomass)'!$V$5*Model!$AS$2030*AVERAGE('Assumptions (Biomass)'!$AO$2:$AQ$2)/10^9),0)</f>
        <v>0</v>
      </c>
      <c r="AT2129" s="160">
        <f>IF($AS$2030&gt;0,PPMT('Assumptions (Biomass)'!$V$7,Model!X$1,'Assumptions (Biomass)'!$V$10,'Assumptions (Biomass)'!$V$5*Model!$AS$2030*AVERAGE('Assumptions (Biomass)'!$AO$2:$AQ$2)/10^9),0)</f>
        <v>0</v>
      </c>
      <c r="AU2129" s="160">
        <f>IF($AS$2030&gt;0,PPMT('Assumptions (Biomass)'!$V$7,Model!Y$1,'Assumptions (Biomass)'!$V$10,'Assumptions (Biomass)'!$V$5*Model!$AS$2030*AVERAGE('Assumptions (Biomass)'!$AO$2:$AQ$2)/10^9),0)</f>
        <v>0</v>
      </c>
      <c r="AV2129" s="160">
        <f>IF($AS$2030&gt;0,PPMT('Assumptions (Biomass)'!$V$7,Model!Z$1,'Assumptions (Biomass)'!$V$10,'Assumptions (Biomass)'!$V$5*Model!$AS$2030*AVERAGE('Assumptions (Biomass)'!$AO$2:$AQ$2)/10^9),0)</f>
        <v>0</v>
      </c>
      <c r="AW2129" s="160">
        <f>IF($AS$2030&gt;0,PPMT('Assumptions (Biomass)'!$V$7,Model!AA$1,'Assumptions (Biomass)'!$V$10,'Assumptions (Biomass)'!$V$5*Model!$AS$2030*AVERAGE('Assumptions (Biomass)'!$AO$2:$AQ$2)/10^9),0)</f>
        <v>0</v>
      </c>
      <c r="AX2129" s="160">
        <f>IF($AS$2030&gt;0,PPMT('Assumptions (Biomass)'!$V$7,Model!AB$1,'Assumptions (Biomass)'!$V$10,'Assumptions (Biomass)'!$V$5*Model!$AS$2030*AVERAGE('Assumptions (Biomass)'!$AO$2:$AQ$2)/10^9),0)</f>
        <v>0</v>
      </c>
      <c r="AY2129" s="160">
        <f>IF($AS$2030&gt;0,PPMT('Assumptions (Biomass)'!$V$7,Model!AC$1,'Assumptions (Biomass)'!$V$10,'Assumptions (Biomass)'!$V$5*Model!$AS$2030*AVERAGE('Assumptions (Biomass)'!$AO$2:$AQ$2)/10^9),0)</f>
        <v>0</v>
      </c>
      <c r="AZ2129" s="160">
        <f>IF($AS$2030&gt;0,PPMT('Assumptions (Biomass)'!$V$7,Model!AD$1,'Assumptions (Biomass)'!$V$10,'Assumptions (Biomass)'!$V$5*Model!$AS$2030*AVERAGE('Assumptions (Biomass)'!$AO$2:$AQ$2)/10^9),0)</f>
        <v>0</v>
      </c>
      <c r="BA2129" s="160">
        <f>IF($AS$2030&gt;0,PPMT('Assumptions (Biomass)'!$V$7,Model!AE$1,'Assumptions (Biomass)'!$V$10,'Assumptions (Biomass)'!$V$5*Model!$AS$2030*AVERAGE('Assumptions (Biomass)'!$AO$2:$AQ$2)/10^9),0)</f>
        <v>0</v>
      </c>
      <c r="BB2129" s="160">
        <f>IF($AS$2030&gt;0,PPMT('Assumptions (Biomass)'!$V$7,Model!AF$1,'Assumptions (Biomass)'!$V$10,'Assumptions (Biomass)'!$V$5*Model!$AS$2030*AVERAGE('Assumptions (Biomass)'!$AO$2:$AQ$2)/10^9),0)</f>
        <v>0</v>
      </c>
      <c r="BC2129" s="160">
        <f>IF($AS$2030&gt;0,PPMT('Assumptions (Biomass)'!$V$7,Model!AG$1,'Assumptions (Biomass)'!$V$10,'Assumptions (Biomass)'!$V$5*Model!$AS$2030*AVERAGE('Assumptions (Biomass)'!$AO$2:$AQ$2)/10^9),0)</f>
        <v>0</v>
      </c>
      <c r="BD2129" s="160">
        <f>IF($AS$2030&gt;0,PPMT('Assumptions (Biomass)'!$V$7,Model!AH$1,'Assumptions (Biomass)'!$V$10,'Assumptions (Biomass)'!$V$5*Model!$AS$2030*AVERAGE('Assumptions (Biomass)'!$AO$2:$AQ$2)/10^9),0)</f>
        <v>0</v>
      </c>
      <c r="BE2129" s="160">
        <f>IF($AS$2030&gt;0,PPMT('Assumptions (Biomass)'!$V$7,Model!AI$1,'Assumptions (Biomass)'!$V$10,'Assumptions (Biomass)'!$V$5*Model!$AS$2030*AVERAGE('Assumptions (Biomass)'!$AO$2:$AQ$2)/10^9),0)</f>
        <v>0</v>
      </c>
      <c r="BF2129" s="160">
        <f>IF($AS$2030&gt;0,PPMT('Assumptions (Biomass)'!$V$7,Model!AJ$1,'Assumptions (Biomass)'!$V$10,'Assumptions (Biomass)'!$V$5*Model!$AS$2030*AVERAGE('Assumptions (Biomass)'!$AO$2:$AQ$2)/10^9),0)</f>
        <v>0</v>
      </c>
      <c r="BG2129" s="160">
        <f>IF($AS$2030&gt;0,PPMT('Assumptions (Biomass)'!$V$7,Model!AK$1,'Assumptions (Biomass)'!$V$10,'Assumptions (Biomass)'!$V$5*Model!$AS$2030*AVERAGE('Assumptions (Biomass)'!$AO$2:$AQ$2)/10^9),0)</f>
        <v>0</v>
      </c>
      <c r="BH2129" s="160"/>
      <c r="BI2129" s="160"/>
      <c r="BJ2129" s="160"/>
      <c r="BK2129" s="160"/>
      <c r="BL2129" s="160"/>
      <c r="BM2129" s="160"/>
      <c r="BN2129" s="160"/>
      <c r="BO2129" s="160"/>
      <c r="BP2129" s="160"/>
    </row>
    <row r="2130" ht="15.75" hidden="1" customHeight="1" outlineLevel="1">
      <c r="A2130" s="318"/>
      <c r="B2130" s="38"/>
      <c r="C2130" s="174"/>
      <c r="D2130" s="174"/>
      <c r="E2130" s="174"/>
      <c r="F2130" s="174"/>
      <c r="G2130" s="174"/>
      <c r="H2130" s="174"/>
      <c r="I2130" s="174"/>
      <c r="J2130" s="174"/>
      <c r="K2130" s="174"/>
      <c r="L2130" s="174"/>
      <c r="M2130" s="174"/>
      <c r="N2130" s="174"/>
      <c r="O2130" s="174"/>
      <c r="P2130" s="174"/>
      <c r="Q2130" s="174"/>
      <c r="R2130" s="174"/>
      <c r="S2130" s="174"/>
      <c r="T2130" s="174"/>
      <c r="U2130" s="174"/>
      <c r="V2130" s="174"/>
      <c r="W2130" s="160"/>
      <c r="X2130" s="160"/>
      <c r="Y2130" s="160"/>
      <c r="Z2130" s="160"/>
      <c r="AA2130" s="160"/>
      <c r="AB2130" s="160"/>
      <c r="AC2130" s="160"/>
      <c r="AD2130" s="160"/>
      <c r="AE2130" s="160"/>
      <c r="AF2130" s="160"/>
      <c r="AG2130" s="160"/>
      <c r="AH2130" s="160"/>
      <c r="AI2130" s="160"/>
      <c r="AJ2130" s="179"/>
      <c r="AK2130" s="160"/>
      <c r="AL2130" s="177"/>
      <c r="AM2130" s="177"/>
      <c r="AN2130" s="177"/>
      <c r="AO2130" s="160"/>
      <c r="AP2130" s="160"/>
      <c r="AQ2130" s="160"/>
      <c r="AR2130" s="160"/>
      <c r="AS2130" s="160"/>
      <c r="AT2130" s="160">
        <f>IF($AT$2030&gt;0,PPMT('Assumptions (Biomass)'!$V$7,Model!W$1,'Assumptions (Biomass)'!$V$10,'Assumptions (Biomass)'!$V$5*Model!$AT$2030*AVERAGE('Assumptions (Biomass)'!$AP$2:$AR$2)/10^9),0)</f>
        <v>0</v>
      </c>
      <c r="AU2130" s="160">
        <f>IF($AT$2030&gt;0,PPMT('Assumptions (Biomass)'!$V$7,Model!X$1,'Assumptions (Biomass)'!$V$10,'Assumptions (Biomass)'!$V$5*Model!$AT$2030*AVERAGE('Assumptions (Biomass)'!$AP$2:$AR$2)/10^9),0)</f>
        <v>0</v>
      </c>
      <c r="AV2130" s="160">
        <f>IF($AT$2030&gt;0,PPMT('Assumptions (Biomass)'!$V$7,Model!Y$1,'Assumptions (Biomass)'!$V$10,'Assumptions (Biomass)'!$V$5*Model!$AT$2030*AVERAGE('Assumptions (Biomass)'!$AP$2:$AR$2)/10^9),0)</f>
        <v>0</v>
      </c>
      <c r="AW2130" s="160">
        <f>IF($AT$2030&gt;0,PPMT('Assumptions (Biomass)'!$V$7,Model!Z$1,'Assumptions (Biomass)'!$V$10,'Assumptions (Biomass)'!$V$5*Model!$AT$2030*AVERAGE('Assumptions (Biomass)'!$AP$2:$AR$2)/10^9),0)</f>
        <v>0</v>
      </c>
      <c r="AX2130" s="160">
        <f>IF($AT$2030&gt;0,PPMT('Assumptions (Biomass)'!$V$7,Model!AA$1,'Assumptions (Biomass)'!$V$10,'Assumptions (Biomass)'!$V$5*Model!$AT$2030*AVERAGE('Assumptions (Biomass)'!$AP$2:$AR$2)/10^9),0)</f>
        <v>0</v>
      </c>
      <c r="AY2130" s="160">
        <f>IF($AT$2030&gt;0,PPMT('Assumptions (Biomass)'!$V$7,Model!AB$1,'Assumptions (Biomass)'!$V$10,'Assumptions (Biomass)'!$V$5*Model!$AT$2030*AVERAGE('Assumptions (Biomass)'!$AP$2:$AR$2)/10^9),0)</f>
        <v>0</v>
      </c>
      <c r="AZ2130" s="160">
        <f>IF($AT$2030&gt;0,PPMT('Assumptions (Biomass)'!$V$7,Model!AC$1,'Assumptions (Biomass)'!$V$10,'Assumptions (Biomass)'!$V$5*Model!$AT$2030*AVERAGE('Assumptions (Biomass)'!$AP$2:$AR$2)/10^9),0)</f>
        <v>0</v>
      </c>
      <c r="BA2130" s="160">
        <f>IF($AT$2030&gt;0,PPMT('Assumptions (Biomass)'!$V$7,Model!AD$1,'Assumptions (Biomass)'!$V$10,'Assumptions (Biomass)'!$V$5*Model!$AT$2030*AVERAGE('Assumptions (Biomass)'!$AP$2:$AR$2)/10^9),0)</f>
        <v>0</v>
      </c>
      <c r="BB2130" s="160">
        <f>IF($AT$2030&gt;0,PPMT('Assumptions (Biomass)'!$V$7,Model!AE$1,'Assumptions (Biomass)'!$V$10,'Assumptions (Biomass)'!$V$5*Model!$AT$2030*AVERAGE('Assumptions (Biomass)'!$AP$2:$AR$2)/10^9),0)</f>
        <v>0</v>
      </c>
      <c r="BC2130" s="160">
        <f>IF($AT$2030&gt;0,PPMT('Assumptions (Biomass)'!$V$7,Model!AF$1,'Assumptions (Biomass)'!$V$10,'Assumptions (Biomass)'!$V$5*Model!$AT$2030*AVERAGE('Assumptions (Biomass)'!$AP$2:$AR$2)/10^9),0)</f>
        <v>0</v>
      </c>
      <c r="BD2130" s="160">
        <f>IF($AT$2030&gt;0,PPMT('Assumptions (Biomass)'!$V$7,Model!AG$1,'Assumptions (Biomass)'!$V$10,'Assumptions (Biomass)'!$V$5*Model!$AT$2030*AVERAGE('Assumptions (Biomass)'!$AP$2:$AR$2)/10^9),0)</f>
        <v>0</v>
      </c>
      <c r="BE2130" s="160">
        <f>IF($AT$2030&gt;0,PPMT('Assumptions (Biomass)'!$V$7,Model!AH$1,'Assumptions (Biomass)'!$V$10,'Assumptions (Biomass)'!$V$5*Model!$AT$2030*AVERAGE('Assumptions (Biomass)'!$AP$2:$AR$2)/10^9),0)</f>
        <v>0</v>
      </c>
      <c r="BF2130" s="160">
        <f>IF($AT$2030&gt;0,PPMT('Assumptions (Biomass)'!$V$7,Model!AI$1,'Assumptions (Biomass)'!$V$10,'Assumptions (Biomass)'!$V$5*Model!$AT$2030*AVERAGE('Assumptions (Biomass)'!$AP$2:$AR$2)/10^9),0)</f>
        <v>0</v>
      </c>
      <c r="BG2130" s="160">
        <f>IF($AT$2030&gt;0,PPMT('Assumptions (Biomass)'!$V$7,Model!AJ$1,'Assumptions (Biomass)'!$V$10,'Assumptions (Biomass)'!$V$5*Model!$AT$2030*AVERAGE('Assumptions (Biomass)'!$AP$2:$AR$2)/10^9),0)</f>
        <v>0</v>
      </c>
      <c r="BH2130" s="160">
        <f>IF($AT$2030&gt;0,PPMT('Assumptions (Biomass)'!$V$7,Model!AK$1,'Assumptions (Biomass)'!$V$10,'Assumptions (Biomass)'!$V$5*Model!$AT$2030*AVERAGE('Assumptions (Biomass)'!$AP$2:$AR$2)/10^9),0)</f>
        <v>0</v>
      </c>
      <c r="BI2130" s="160"/>
      <c r="BJ2130" s="160"/>
      <c r="BK2130" s="160"/>
      <c r="BL2130" s="160"/>
      <c r="BM2130" s="160"/>
      <c r="BN2130" s="160"/>
      <c r="BO2130" s="160"/>
      <c r="BP2130" s="160"/>
    </row>
    <row r="2131" ht="15.75" hidden="1" customHeight="1" outlineLevel="1">
      <c r="A2131" s="318"/>
      <c r="B2131" s="38"/>
      <c r="C2131" s="174"/>
      <c r="D2131" s="174"/>
      <c r="E2131" s="174"/>
      <c r="F2131" s="174"/>
      <c r="G2131" s="174"/>
      <c r="H2131" s="174"/>
      <c r="I2131" s="174"/>
      <c r="J2131" s="174"/>
      <c r="K2131" s="174"/>
      <c r="L2131" s="174"/>
      <c r="M2131" s="174"/>
      <c r="N2131" s="174"/>
      <c r="O2131" s="174"/>
      <c r="P2131" s="174"/>
      <c r="Q2131" s="174"/>
      <c r="R2131" s="174"/>
      <c r="S2131" s="174"/>
      <c r="T2131" s="174"/>
      <c r="U2131" s="174"/>
      <c r="V2131" s="174"/>
      <c r="W2131" s="160"/>
      <c r="X2131" s="160"/>
      <c r="Y2131" s="160"/>
      <c r="Z2131" s="160"/>
      <c r="AA2131" s="160"/>
      <c r="AB2131" s="160"/>
      <c r="AC2131" s="160"/>
      <c r="AD2131" s="160"/>
      <c r="AE2131" s="160"/>
      <c r="AF2131" s="160"/>
      <c r="AG2131" s="160"/>
      <c r="AH2131" s="160"/>
      <c r="AI2131" s="160"/>
      <c r="AJ2131" s="179"/>
      <c r="AK2131" s="160"/>
      <c r="AL2131" s="177"/>
      <c r="AM2131" s="177"/>
      <c r="AN2131" s="177"/>
      <c r="AO2131" s="160"/>
      <c r="AP2131" s="160"/>
      <c r="AQ2131" s="160"/>
      <c r="AR2131" s="160"/>
      <c r="AS2131" s="160"/>
      <c r="AT2131" s="160"/>
      <c r="AU2131" s="160">
        <f>IF($AU$2030&gt;0,PPMT('Assumptions (Biomass)'!$V$7,Model!W$1,'Assumptions (Biomass)'!$V$10,'Assumptions (Biomass)'!$V$5*Model!$AU$2030*AVERAGE('Assumptions (Biomass)'!$AQ$2:$AS$2)/10^9),0)</f>
        <v>0</v>
      </c>
      <c r="AV2131" s="160">
        <f>IF($AU$2030&gt;0,PPMT('Assumptions (Biomass)'!$V$7,Model!X$1,'Assumptions (Biomass)'!$V$10,'Assumptions (Biomass)'!$V$5*Model!$AU$2030*AVERAGE('Assumptions (Biomass)'!$AQ$2:$AS$2)/10^9),0)</f>
        <v>0</v>
      </c>
      <c r="AW2131" s="160">
        <f>IF($AU$2030&gt;0,PPMT('Assumptions (Biomass)'!$V$7,Model!Y$1,'Assumptions (Biomass)'!$V$10,'Assumptions (Biomass)'!$V$5*Model!$AU$2030*AVERAGE('Assumptions (Biomass)'!$AQ$2:$AS$2)/10^9),0)</f>
        <v>0</v>
      </c>
      <c r="AX2131" s="160">
        <f>IF($AU$2030&gt;0,PPMT('Assumptions (Biomass)'!$V$7,Model!Z$1,'Assumptions (Biomass)'!$V$10,'Assumptions (Biomass)'!$V$5*Model!$AU$2030*AVERAGE('Assumptions (Biomass)'!$AQ$2:$AS$2)/10^9),0)</f>
        <v>0</v>
      </c>
      <c r="AY2131" s="160">
        <f>IF($AU$2030&gt;0,PPMT('Assumptions (Biomass)'!$V$7,Model!AA$1,'Assumptions (Biomass)'!$V$10,'Assumptions (Biomass)'!$V$5*Model!$AU$2030*AVERAGE('Assumptions (Biomass)'!$AQ$2:$AS$2)/10^9),0)</f>
        <v>0</v>
      </c>
      <c r="AZ2131" s="160">
        <f>IF($AU$2030&gt;0,PPMT('Assumptions (Biomass)'!$V$7,Model!AB$1,'Assumptions (Biomass)'!$V$10,'Assumptions (Biomass)'!$V$5*Model!$AU$2030*AVERAGE('Assumptions (Biomass)'!$AQ$2:$AS$2)/10^9),0)</f>
        <v>0</v>
      </c>
      <c r="BA2131" s="160">
        <f>IF($AU$2030&gt;0,PPMT('Assumptions (Biomass)'!$V$7,Model!AC$1,'Assumptions (Biomass)'!$V$10,'Assumptions (Biomass)'!$V$5*Model!$AU$2030*AVERAGE('Assumptions (Biomass)'!$AQ$2:$AS$2)/10^9),0)</f>
        <v>0</v>
      </c>
      <c r="BB2131" s="160">
        <f>IF($AU$2030&gt;0,PPMT('Assumptions (Biomass)'!$V$7,Model!AD$1,'Assumptions (Biomass)'!$V$10,'Assumptions (Biomass)'!$V$5*Model!$AU$2030*AVERAGE('Assumptions (Biomass)'!$AQ$2:$AS$2)/10^9),0)</f>
        <v>0</v>
      </c>
      <c r="BC2131" s="160">
        <f>IF($AU$2030&gt;0,PPMT('Assumptions (Biomass)'!$V$7,Model!AE$1,'Assumptions (Biomass)'!$V$10,'Assumptions (Biomass)'!$V$5*Model!$AU$2030*AVERAGE('Assumptions (Biomass)'!$AQ$2:$AS$2)/10^9),0)</f>
        <v>0</v>
      </c>
      <c r="BD2131" s="160">
        <f>IF($AU$2030&gt;0,PPMT('Assumptions (Biomass)'!$V$7,Model!AF$1,'Assumptions (Biomass)'!$V$10,'Assumptions (Biomass)'!$V$5*Model!$AU$2030*AVERAGE('Assumptions (Biomass)'!$AQ$2:$AS$2)/10^9),0)</f>
        <v>0</v>
      </c>
      <c r="BE2131" s="160">
        <f>IF($AU$2030&gt;0,PPMT('Assumptions (Biomass)'!$V$7,Model!AG$1,'Assumptions (Biomass)'!$V$10,'Assumptions (Biomass)'!$V$5*Model!$AU$2030*AVERAGE('Assumptions (Biomass)'!$AQ$2:$AS$2)/10^9),0)</f>
        <v>0</v>
      </c>
      <c r="BF2131" s="160">
        <f>IF($AU$2030&gt;0,PPMT('Assumptions (Biomass)'!$V$7,Model!AH$1,'Assumptions (Biomass)'!$V$10,'Assumptions (Biomass)'!$V$5*Model!$AU$2030*AVERAGE('Assumptions (Biomass)'!$AQ$2:$AS$2)/10^9),0)</f>
        <v>0</v>
      </c>
      <c r="BG2131" s="160">
        <f>IF($AU$2030&gt;0,PPMT('Assumptions (Biomass)'!$V$7,Model!AI$1,'Assumptions (Biomass)'!$V$10,'Assumptions (Biomass)'!$V$5*Model!$AU$2030*AVERAGE('Assumptions (Biomass)'!$AQ$2:$AS$2)/10^9),0)</f>
        <v>0</v>
      </c>
      <c r="BH2131" s="160">
        <f>IF($AU$2030&gt;0,PPMT('Assumptions (Biomass)'!$V$7,Model!AJ$1,'Assumptions (Biomass)'!$V$10,'Assumptions (Biomass)'!$V$5*Model!$AU$2030*AVERAGE('Assumptions (Biomass)'!$AQ$2:$AS$2)/10^9),0)</f>
        <v>0</v>
      </c>
      <c r="BI2131" s="160">
        <f>IF($AU$2030&gt;0,PPMT('Assumptions (Biomass)'!$V$7,Model!AK$1,'Assumptions (Biomass)'!$V$10,'Assumptions (Biomass)'!$V$5*Model!$AU$2030*AVERAGE('Assumptions (Biomass)'!$AQ$2:$AS$2)/10^9),0)</f>
        <v>0</v>
      </c>
      <c r="BJ2131" s="160"/>
      <c r="BK2131" s="160"/>
      <c r="BL2131" s="160"/>
      <c r="BM2131" s="160"/>
      <c r="BN2131" s="160"/>
      <c r="BO2131" s="160"/>
      <c r="BP2131" s="160"/>
    </row>
    <row r="2132" ht="15.75" hidden="1" customHeight="1" outlineLevel="1">
      <c r="A2132" s="318"/>
      <c r="B2132" s="38"/>
      <c r="C2132" s="174"/>
      <c r="D2132" s="174"/>
      <c r="E2132" s="174"/>
      <c r="F2132" s="174"/>
      <c r="G2132" s="174"/>
      <c r="H2132" s="174"/>
      <c r="I2132" s="174"/>
      <c r="J2132" s="174"/>
      <c r="K2132" s="174"/>
      <c r="L2132" s="174"/>
      <c r="M2132" s="174"/>
      <c r="N2132" s="174"/>
      <c r="O2132" s="174"/>
      <c r="P2132" s="174"/>
      <c r="Q2132" s="174"/>
      <c r="R2132" s="174"/>
      <c r="S2132" s="174"/>
      <c r="T2132" s="174"/>
      <c r="U2132" s="174"/>
      <c r="V2132" s="174"/>
      <c r="W2132" s="160"/>
      <c r="X2132" s="160"/>
      <c r="Y2132" s="160"/>
      <c r="Z2132" s="160"/>
      <c r="AA2132" s="160"/>
      <c r="AB2132" s="160"/>
      <c r="AC2132" s="160"/>
      <c r="AD2132" s="160"/>
      <c r="AE2132" s="160"/>
      <c r="AF2132" s="160"/>
      <c r="AG2132" s="160"/>
      <c r="AH2132" s="160"/>
      <c r="AI2132" s="160"/>
      <c r="AJ2132" s="179"/>
      <c r="AK2132" s="160"/>
      <c r="AL2132" s="177"/>
      <c r="AM2132" s="177"/>
      <c r="AN2132" s="177"/>
      <c r="AO2132" s="160"/>
      <c r="AP2132" s="160"/>
      <c r="AQ2132" s="160"/>
      <c r="AR2132" s="160"/>
      <c r="AS2132" s="160"/>
      <c r="AT2132" s="160"/>
      <c r="AU2132" s="160"/>
      <c r="AV2132" s="160">
        <f>IF($AV$2030&gt;0,PPMT('Assumptions (Biomass)'!$V$7,Model!W$1,'Assumptions (Biomass)'!$V$10,'Assumptions (Biomass)'!$V$5*Model!$AV$2030*AVERAGE('Assumptions (Biomass)'!$AR$2:$AT$2)/10^9),0)</f>
        <v>0</v>
      </c>
      <c r="AW2132" s="160">
        <f>IF($AV$2030&gt;0,PPMT('Assumptions (Biomass)'!$V$7,Model!X$1,'Assumptions (Biomass)'!$V$10,'Assumptions (Biomass)'!$V$5*Model!$AV$2030*AVERAGE('Assumptions (Biomass)'!$AR$2:$AT$2)/10^9),0)</f>
        <v>0</v>
      </c>
      <c r="AX2132" s="160">
        <f>IF($AV$2030&gt;0,PPMT('Assumptions (Biomass)'!$V$7,Model!Y$1,'Assumptions (Biomass)'!$V$10,'Assumptions (Biomass)'!$V$5*Model!$AV$2030*AVERAGE('Assumptions (Biomass)'!$AR$2:$AT$2)/10^9),0)</f>
        <v>0</v>
      </c>
      <c r="AY2132" s="160">
        <f>IF($AV$2030&gt;0,PPMT('Assumptions (Biomass)'!$V$7,Model!Z$1,'Assumptions (Biomass)'!$V$10,'Assumptions (Biomass)'!$V$5*Model!$AV$2030*AVERAGE('Assumptions (Biomass)'!$AR$2:$AT$2)/10^9),0)</f>
        <v>0</v>
      </c>
      <c r="AZ2132" s="160">
        <f>IF($AV$2030&gt;0,PPMT('Assumptions (Biomass)'!$V$7,Model!AA$1,'Assumptions (Biomass)'!$V$10,'Assumptions (Biomass)'!$V$5*Model!$AV$2030*AVERAGE('Assumptions (Biomass)'!$AR$2:$AT$2)/10^9),0)</f>
        <v>0</v>
      </c>
      <c r="BA2132" s="160">
        <f>IF($AV$2030&gt;0,PPMT('Assumptions (Biomass)'!$V$7,Model!AB$1,'Assumptions (Biomass)'!$V$10,'Assumptions (Biomass)'!$V$5*Model!$AV$2030*AVERAGE('Assumptions (Biomass)'!$AR$2:$AT$2)/10^9),0)</f>
        <v>0</v>
      </c>
      <c r="BB2132" s="160">
        <f>IF($AV$2030&gt;0,PPMT('Assumptions (Biomass)'!$V$7,Model!AC$1,'Assumptions (Biomass)'!$V$10,'Assumptions (Biomass)'!$V$5*Model!$AV$2030*AVERAGE('Assumptions (Biomass)'!$AR$2:$AT$2)/10^9),0)</f>
        <v>0</v>
      </c>
      <c r="BC2132" s="160">
        <f>IF($AV$2030&gt;0,PPMT('Assumptions (Biomass)'!$V$7,Model!AD$1,'Assumptions (Biomass)'!$V$10,'Assumptions (Biomass)'!$V$5*Model!$AV$2030*AVERAGE('Assumptions (Biomass)'!$AR$2:$AT$2)/10^9),0)</f>
        <v>0</v>
      </c>
      <c r="BD2132" s="160">
        <f>IF($AV$2030&gt;0,PPMT('Assumptions (Biomass)'!$V$7,Model!AE$1,'Assumptions (Biomass)'!$V$10,'Assumptions (Biomass)'!$V$5*Model!$AV$2030*AVERAGE('Assumptions (Biomass)'!$AR$2:$AT$2)/10^9),0)</f>
        <v>0</v>
      </c>
      <c r="BE2132" s="160">
        <f>IF($AV$2030&gt;0,PPMT('Assumptions (Biomass)'!$V$7,Model!AF$1,'Assumptions (Biomass)'!$V$10,'Assumptions (Biomass)'!$V$5*Model!$AV$2030*AVERAGE('Assumptions (Biomass)'!$AR$2:$AT$2)/10^9),0)</f>
        <v>0</v>
      </c>
      <c r="BF2132" s="160">
        <f>IF($AV$2030&gt;0,PPMT('Assumptions (Biomass)'!$V$7,Model!AG$1,'Assumptions (Biomass)'!$V$10,'Assumptions (Biomass)'!$V$5*Model!$AV$2030*AVERAGE('Assumptions (Biomass)'!$AR$2:$AT$2)/10^9),0)</f>
        <v>0</v>
      </c>
      <c r="BG2132" s="160">
        <f>IF($AV$2030&gt;0,PPMT('Assumptions (Biomass)'!$V$7,Model!AH$1,'Assumptions (Biomass)'!$V$10,'Assumptions (Biomass)'!$V$5*Model!$AV$2030*AVERAGE('Assumptions (Biomass)'!$AR$2:$AT$2)/10^9),0)</f>
        <v>0</v>
      </c>
      <c r="BH2132" s="160">
        <f>IF($AV$2030&gt;0,PPMT('Assumptions (Biomass)'!$V$7,Model!AI$1,'Assumptions (Biomass)'!$V$10,'Assumptions (Biomass)'!$V$5*Model!$AV$2030*AVERAGE('Assumptions (Biomass)'!$AR$2:$AT$2)/10^9),0)</f>
        <v>0</v>
      </c>
      <c r="BI2132" s="160">
        <f>IF($AV$2030&gt;0,PPMT('Assumptions (Biomass)'!$V$7,Model!AJ$1,'Assumptions (Biomass)'!$V$10,'Assumptions (Biomass)'!$V$5*Model!$AV$2030*AVERAGE('Assumptions (Biomass)'!$AR$2:$AT$2)/10^9),0)</f>
        <v>0</v>
      </c>
      <c r="BJ2132" s="160">
        <f>IF($AV$2030&gt;0,PPMT('Assumptions (Biomass)'!$V$7,Model!AK$1,'Assumptions (Biomass)'!$V$10,'Assumptions (Biomass)'!$V$5*Model!$AV$2030*AVERAGE('Assumptions (Biomass)'!$AR$2:$AT$2)/10^9),0)</f>
        <v>0</v>
      </c>
      <c r="BK2132" s="160"/>
      <c r="BL2132" s="160"/>
      <c r="BM2132" s="160"/>
      <c r="BN2132" s="160"/>
      <c r="BO2132" s="160"/>
      <c r="BP2132" s="160"/>
    </row>
    <row r="2133" ht="15.75" hidden="1" customHeight="1" outlineLevel="1">
      <c r="A2133" s="318"/>
      <c r="B2133" s="38"/>
      <c r="C2133" s="174"/>
      <c r="D2133" s="174"/>
      <c r="E2133" s="174"/>
      <c r="F2133" s="174"/>
      <c r="G2133" s="174"/>
      <c r="H2133" s="174"/>
      <c r="I2133" s="174"/>
      <c r="J2133" s="174"/>
      <c r="K2133" s="174"/>
      <c r="L2133" s="174"/>
      <c r="M2133" s="174"/>
      <c r="N2133" s="174"/>
      <c r="O2133" s="174"/>
      <c r="P2133" s="174"/>
      <c r="Q2133" s="174"/>
      <c r="R2133" s="174"/>
      <c r="S2133" s="174"/>
      <c r="T2133" s="174"/>
      <c r="U2133" s="174"/>
      <c r="V2133" s="174"/>
      <c r="W2133" s="160"/>
      <c r="X2133" s="160"/>
      <c r="Y2133" s="160"/>
      <c r="Z2133" s="160"/>
      <c r="AA2133" s="160"/>
      <c r="AB2133" s="160"/>
      <c r="AC2133" s="160"/>
      <c r="AD2133" s="160"/>
      <c r="AE2133" s="160"/>
      <c r="AF2133" s="160"/>
      <c r="AG2133" s="160"/>
      <c r="AH2133" s="160"/>
      <c r="AI2133" s="160"/>
      <c r="AJ2133" s="179"/>
      <c r="AK2133" s="160"/>
      <c r="AL2133" s="177"/>
      <c r="AM2133" s="177"/>
      <c r="AN2133" s="177"/>
      <c r="AO2133" s="160"/>
      <c r="AP2133" s="160"/>
      <c r="AQ2133" s="160"/>
      <c r="AR2133" s="160"/>
      <c r="AS2133" s="160"/>
      <c r="AT2133" s="160"/>
      <c r="AU2133" s="160"/>
      <c r="AV2133" s="160"/>
      <c r="AW2133" s="160">
        <f>IF($AW$2030&gt;0,PPMT('Assumptions (Biomass)'!$V$7,Model!W$1,'Assumptions (Biomass)'!$V$10,'Assumptions (Biomass)'!$V$5*Model!$AW$2030*AVERAGE('Assumptions (Biomass)'!$AS$2:$AU$2)/10^9),0)</f>
        <v>0</v>
      </c>
      <c r="AX2133" s="160">
        <f>IF($AW$2030&gt;0,PPMT('Assumptions (Biomass)'!$V$7,Model!X$1,'Assumptions (Biomass)'!$V$10,'Assumptions (Biomass)'!$V$5*Model!$AW$2030*AVERAGE('Assumptions (Biomass)'!$AS$2:$AU$2)/10^9),0)</f>
        <v>0</v>
      </c>
      <c r="AY2133" s="160">
        <f>IF($AW$2030&gt;0,PPMT('Assumptions (Biomass)'!$V$7,Model!Y$1,'Assumptions (Biomass)'!$V$10,'Assumptions (Biomass)'!$V$5*Model!$AW$2030*AVERAGE('Assumptions (Biomass)'!$AS$2:$AU$2)/10^9),0)</f>
        <v>0</v>
      </c>
      <c r="AZ2133" s="160">
        <f>IF($AW$2030&gt;0,PPMT('Assumptions (Biomass)'!$V$7,Model!Z$1,'Assumptions (Biomass)'!$V$10,'Assumptions (Biomass)'!$V$5*Model!$AW$2030*AVERAGE('Assumptions (Biomass)'!$AS$2:$AU$2)/10^9),0)</f>
        <v>0</v>
      </c>
      <c r="BA2133" s="160">
        <f>IF($AW$2030&gt;0,PPMT('Assumptions (Biomass)'!$V$7,Model!AA$1,'Assumptions (Biomass)'!$V$10,'Assumptions (Biomass)'!$V$5*Model!$AW$2030*AVERAGE('Assumptions (Biomass)'!$AS$2:$AU$2)/10^9),0)</f>
        <v>0</v>
      </c>
      <c r="BB2133" s="160">
        <f>IF($AW$2030&gt;0,PPMT('Assumptions (Biomass)'!$V$7,Model!AB$1,'Assumptions (Biomass)'!$V$10,'Assumptions (Biomass)'!$V$5*Model!$AW$2030*AVERAGE('Assumptions (Biomass)'!$AS$2:$AU$2)/10^9),0)</f>
        <v>0</v>
      </c>
      <c r="BC2133" s="160">
        <f>IF($AW$2030&gt;0,PPMT('Assumptions (Biomass)'!$V$7,Model!AC$1,'Assumptions (Biomass)'!$V$10,'Assumptions (Biomass)'!$V$5*Model!$AW$2030*AVERAGE('Assumptions (Biomass)'!$AS$2:$AU$2)/10^9),0)</f>
        <v>0</v>
      </c>
      <c r="BD2133" s="160">
        <f>IF($AW$2030&gt;0,PPMT('Assumptions (Biomass)'!$V$7,Model!AD$1,'Assumptions (Biomass)'!$V$10,'Assumptions (Biomass)'!$V$5*Model!$AW$2030*AVERAGE('Assumptions (Biomass)'!$AS$2:$AU$2)/10^9),0)</f>
        <v>0</v>
      </c>
      <c r="BE2133" s="160">
        <f>IF($AW$2030&gt;0,PPMT('Assumptions (Biomass)'!$V$7,Model!AE$1,'Assumptions (Biomass)'!$V$10,'Assumptions (Biomass)'!$V$5*Model!$AW$2030*AVERAGE('Assumptions (Biomass)'!$AS$2:$AU$2)/10^9),0)</f>
        <v>0</v>
      </c>
      <c r="BF2133" s="160">
        <f>IF($AW$2030&gt;0,PPMT('Assumptions (Biomass)'!$V$7,Model!AF$1,'Assumptions (Biomass)'!$V$10,'Assumptions (Biomass)'!$V$5*Model!$AW$2030*AVERAGE('Assumptions (Biomass)'!$AS$2:$AU$2)/10^9),0)</f>
        <v>0</v>
      </c>
      <c r="BG2133" s="160">
        <f>IF($AW$2030&gt;0,PPMT('Assumptions (Biomass)'!$V$7,Model!AG$1,'Assumptions (Biomass)'!$V$10,'Assumptions (Biomass)'!$V$5*Model!$AW$2030*AVERAGE('Assumptions (Biomass)'!$AS$2:$AU$2)/10^9),0)</f>
        <v>0</v>
      </c>
      <c r="BH2133" s="160">
        <f>IF($AW$2030&gt;0,PPMT('Assumptions (Biomass)'!$V$7,Model!AH$1,'Assumptions (Biomass)'!$V$10,'Assumptions (Biomass)'!$V$5*Model!$AW$2030*AVERAGE('Assumptions (Biomass)'!$AS$2:$AU$2)/10^9),0)</f>
        <v>0</v>
      </c>
      <c r="BI2133" s="160">
        <f>IF($AW$2030&gt;0,PPMT('Assumptions (Biomass)'!$V$7,Model!AI$1,'Assumptions (Biomass)'!$V$10,'Assumptions (Biomass)'!$V$5*Model!$AW$2030*AVERAGE('Assumptions (Biomass)'!$AS$2:$AU$2)/10^9),0)</f>
        <v>0</v>
      </c>
      <c r="BJ2133" s="160">
        <f>IF($AW$2030&gt;0,PPMT('Assumptions (Biomass)'!$V$7,Model!AJ$1,'Assumptions (Biomass)'!$V$10,'Assumptions (Biomass)'!$V$5*Model!$AW$2030*AVERAGE('Assumptions (Biomass)'!$AS$2:$AU$2)/10^9),0)</f>
        <v>0</v>
      </c>
      <c r="BK2133" s="160">
        <f>IF($AW$2030&gt;0,PPMT('Assumptions (Biomass)'!$V$7,Model!AK$1,'Assumptions (Biomass)'!$V$10,'Assumptions (Biomass)'!$V$5*Model!$AW$2030*AVERAGE('Assumptions (Biomass)'!$AS$2:$AU$2)/10^9),0)</f>
        <v>0</v>
      </c>
      <c r="BL2133" s="160"/>
      <c r="BM2133" s="160"/>
      <c r="BN2133" s="160"/>
      <c r="BO2133" s="160"/>
      <c r="BP2133" s="160"/>
    </row>
    <row r="2134" ht="15.75" hidden="1" customHeight="1" outlineLevel="1">
      <c r="A2134" s="318"/>
      <c r="B2134" s="38"/>
      <c r="C2134" s="174"/>
      <c r="D2134" s="174"/>
      <c r="E2134" s="174"/>
      <c r="F2134" s="174"/>
      <c r="G2134" s="174"/>
      <c r="H2134" s="174"/>
      <c r="I2134" s="174"/>
      <c r="J2134" s="174"/>
      <c r="K2134" s="174"/>
      <c r="L2134" s="174"/>
      <c r="M2134" s="174"/>
      <c r="N2134" s="174"/>
      <c r="O2134" s="174"/>
      <c r="P2134" s="174"/>
      <c r="Q2134" s="174"/>
      <c r="R2134" s="174"/>
      <c r="S2134" s="174"/>
      <c r="T2134" s="174"/>
      <c r="U2134" s="174"/>
      <c r="V2134" s="174"/>
      <c r="W2134" s="160"/>
      <c r="X2134" s="160"/>
      <c r="Y2134" s="160"/>
      <c r="Z2134" s="160"/>
      <c r="AA2134" s="160"/>
      <c r="AB2134" s="160"/>
      <c r="AC2134" s="160"/>
      <c r="AD2134" s="160"/>
      <c r="AE2134" s="160"/>
      <c r="AF2134" s="160"/>
      <c r="AG2134" s="160"/>
      <c r="AH2134" s="160"/>
      <c r="AI2134" s="160"/>
      <c r="AJ2134" s="179"/>
      <c r="AK2134" s="160"/>
      <c r="AL2134" s="177"/>
      <c r="AM2134" s="177"/>
      <c r="AN2134" s="177"/>
      <c r="AO2134" s="160"/>
      <c r="AP2134" s="160"/>
      <c r="AQ2134" s="160"/>
      <c r="AR2134" s="160"/>
      <c r="AS2134" s="160"/>
      <c r="AT2134" s="160"/>
      <c r="AU2134" s="160"/>
      <c r="AV2134" s="160"/>
      <c r="AW2134" s="160"/>
      <c r="AX2134" s="160">
        <f>IF($AX$2030&gt;0,PPMT('Assumptions (Biomass)'!$V$7,Model!W$1,'Assumptions (Biomass)'!$V$10,'Assumptions (Biomass)'!$V$5*Model!$AX$2030*AVERAGE('Assumptions (Biomass)'!$AT$2:$AV$2)/10^9),0)</f>
        <v>0</v>
      </c>
      <c r="AY2134" s="160">
        <f>IF($AX$2030&gt;0,PPMT('Assumptions (Biomass)'!$V$7,Model!X$1,'Assumptions (Biomass)'!$V$10,'Assumptions (Biomass)'!$V$5*Model!$AX$2030*AVERAGE('Assumptions (Biomass)'!$AT$2:$AV$2)/10^9),0)</f>
        <v>0</v>
      </c>
      <c r="AZ2134" s="160">
        <f>IF($AX$2030&gt;0,PPMT('Assumptions (Biomass)'!$V$7,Model!Y$1,'Assumptions (Biomass)'!$V$10,'Assumptions (Biomass)'!$V$5*Model!$AX$2030*AVERAGE('Assumptions (Biomass)'!$AT$2:$AV$2)/10^9),0)</f>
        <v>0</v>
      </c>
      <c r="BA2134" s="160">
        <f>IF($AX$2030&gt;0,PPMT('Assumptions (Biomass)'!$V$7,Model!Z$1,'Assumptions (Biomass)'!$V$10,'Assumptions (Biomass)'!$V$5*Model!$AX$2030*AVERAGE('Assumptions (Biomass)'!$AT$2:$AV$2)/10^9),0)</f>
        <v>0</v>
      </c>
      <c r="BB2134" s="160">
        <f>IF($AX$2030&gt;0,PPMT('Assumptions (Biomass)'!$V$7,Model!AA$1,'Assumptions (Biomass)'!$V$10,'Assumptions (Biomass)'!$V$5*Model!$AX$2030*AVERAGE('Assumptions (Biomass)'!$AT$2:$AV$2)/10^9),0)</f>
        <v>0</v>
      </c>
      <c r="BC2134" s="160">
        <f>IF($AX$2030&gt;0,PPMT('Assumptions (Biomass)'!$V$7,Model!AB$1,'Assumptions (Biomass)'!$V$10,'Assumptions (Biomass)'!$V$5*Model!$AX$2030*AVERAGE('Assumptions (Biomass)'!$AT$2:$AV$2)/10^9),0)</f>
        <v>0</v>
      </c>
      <c r="BD2134" s="160">
        <f>IF($AX$2030&gt;0,PPMT('Assumptions (Biomass)'!$V$7,Model!AC$1,'Assumptions (Biomass)'!$V$10,'Assumptions (Biomass)'!$V$5*Model!$AX$2030*AVERAGE('Assumptions (Biomass)'!$AT$2:$AV$2)/10^9),0)</f>
        <v>0</v>
      </c>
      <c r="BE2134" s="160">
        <f>IF($AX$2030&gt;0,PPMT('Assumptions (Biomass)'!$V$7,Model!AD$1,'Assumptions (Biomass)'!$V$10,'Assumptions (Biomass)'!$V$5*Model!$AX$2030*AVERAGE('Assumptions (Biomass)'!$AT$2:$AV$2)/10^9),0)</f>
        <v>0</v>
      </c>
      <c r="BF2134" s="160">
        <f>IF($AX$2030&gt;0,PPMT('Assumptions (Biomass)'!$V$7,Model!AE$1,'Assumptions (Biomass)'!$V$10,'Assumptions (Biomass)'!$V$5*Model!$AX$2030*AVERAGE('Assumptions (Biomass)'!$AT$2:$AV$2)/10^9),0)</f>
        <v>0</v>
      </c>
      <c r="BG2134" s="160">
        <f>IF($AX$2030&gt;0,PPMT('Assumptions (Biomass)'!$V$7,Model!AF$1,'Assumptions (Biomass)'!$V$10,'Assumptions (Biomass)'!$V$5*Model!$AX$2030*AVERAGE('Assumptions (Biomass)'!$AT$2:$AV$2)/10^9),0)</f>
        <v>0</v>
      </c>
      <c r="BH2134" s="160">
        <f>IF($AX$2030&gt;0,PPMT('Assumptions (Biomass)'!$V$7,Model!AG$1,'Assumptions (Biomass)'!$V$10,'Assumptions (Biomass)'!$V$5*Model!$AX$2030*AVERAGE('Assumptions (Biomass)'!$AT$2:$AV$2)/10^9),0)</f>
        <v>0</v>
      </c>
      <c r="BI2134" s="160">
        <f>IF($AX$2030&gt;0,PPMT('Assumptions (Biomass)'!$V$7,Model!AH$1,'Assumptions (Biomass)'!$V$10,'Assumptions (Biomass)'!$V$5*Model!$AX$2030*AVERAGE('Assumptions (Biomass)'!$AT$2:$AV$2)/10^9),0)</f>
        <v>0</v>
      </c>
      <c r="BJ2134" s="160">
        <f>IF($AX$2030&gt;0,PPMT('Assumptions (Biomass)'!$V$7,Model!AI$1,'Assumptions (Biomass)'!$V$10,'Assumptions (Biomass)'!$V$5*Model!$AX$2030*AVERAGE('Assumptions (Biomass)'!$AT$2:$AV$2)/10^9),0)</f>
        <v>0</v>
      </c>
      <c r="BK2134" s="160">
        <f>IF($AX$2030&gt;0,PPMT('Assumptions (Biomass)'!$V$7,Model!AJ$1,'Assumptions (Biomass)'!$V$10,'Assumptions (Biomass)'!$V$5*Model!$AX$2030*AVERAGE('Assumptions (Biomass)'!$AT$2:$AV$2)/10^9),0)</f>
        <v>0</v>
      </c>
      <c r="BL2134" s="160">
        <f>IF($AX$2030&gt;0,PPMT('Assumptions (Biomass)'!$V$7,Model!AK$1,'Assumptions (Biomass)'!$V$10,'Assumptions (Biomass)'!$V$5*Model!$AX$2030*AVERAGE('Assumptions (Biomass)'!$AT$2:$AV$2)/10^9),0)</f>
        <v>0</v>
      </c>
      <c r="BM2134" s="160"/>
      <c r="BN2134" s="160"/>
      <c r="BO2134" s="160"/>
      <c r="BP2134" s="160"/>
    </row>
    <row r="2135" ht="15.75" hidden="1" customHeight="1" outlineLevel="1">
      <c r="A2135" s="318"/>
      <c r="B2135" s="38"/>
      <c r="C2135" s="174"/>
      <c r="D2135" s="174"/>
      <c r="E2135" s="174"/>
      <c r="F2135" s="174"/>
      <c r="G2135" s="174"/>
      <c r="H2135" s="174"/>
      <c r="I2135" s="174"/>
      <c r="J2135" s="174"/>
      <c r="K2135" s="174"/>
      <c r="L2135" s="174"/>
      <c r="M2135" s="174"/>
      <c r="N2135" s="174"/>
      <c r="O2135" s="174"/>
      <c r="P2135" s="174"/>
      <c r="Q2135" s="174"/>
      <c r="R2135" s="174"/>
      <c r="S2135" s="174"/>
      <c r="T2135" s="174"/>
      <c r="U2135" s="174"/>
      <c r="V2135" s="174"/>
      <c r="W2135" s="160"/>
      <c r="X2135" s="160"/>
      <c r="Y2135" s="160"/>
      <c r="Z2135" s="160"/>
      <c r="AA2135" s="160"/>
      <c r="AB2135" s="160"/>
      <c r="AC2135" s="160"/>
      <c r="AD2135" s="160"/>
      <c r="AE2135" s="160"/>
      <c r="AF2135" s="160"/>
      <c r="AG2135" s="160"/>
      <c r="AH2135" s="160"/>
      <c r="AI2135" s="160"/>
      <c r="AJ2135" s="179"/>
      <c r="AK2135" s="160"/>
      <c r="AL2135" s="177"/>
      <c r="AM2135" s="177"/>
      <c r="AN2135" s="177"/>
      <c r="AO2135" s="160"/>
      <c r="AP2135" s="160"/>
      <c r="AQ2135" s="160"/>
      <c r="AR2135" s="160"/>
      <c r="AS2135" s="160"/>
      <c r="AT2135" s="160"/>
      <c r="AU2135" s="160"/>
      <c r="AV2135" s="160"/>
      <c r="AW2135" s="160"/>
      <c r="AX2135" s="160"/>
      <c r="AY2135" s="160">
        <f>IF($AY$2030&gt;0,PPMT('Assumptions (Biomass)'!$V$7,Model!W$1,'Assumptions (Biomass)'!$V$10,'Assumptions (Biomass)'!$V$5*Model!$AY$2030*AVERAGE('Assumptions (Biomass)'!$AU$2:$AW$2)/10^9),0)</f>
        <v>0</v>
      </c>
      <c r="AZ2135" s="160">
        <f>IF($AY$2030&gt;0,PPMT('Assumptions (Biomass)'!$V$7,Model!X$1,'Assumptions (Biomass)'!$V$10,'Assumptions (Biomass)'!$V$5*Model!$AY$2030*AVERAGE('Assumptions (Biomass)'!$AU$2:$AW$2)/10^9),0)</f>
        <v>0</v>
      </c>
      <c r="BA2135" s="160">
        <f>IF($AY$2030&gt;0,PPMT('Assumptions (Biomass)'!$V$7,Model!Y$1,'Assumptions (Biomass)'!$V$10,'Assumptions (Biomass)'!$V$5*Model!$AY$2030*AVERAGE('Assumptions (Biomass)'!$AU$2:$AW$2)/10^9),0)</f>
        <v>0</v>
      </c>
      <c r="BB2135" s="160">
        <f>IF($AY$2030&gt;0,PPMT('Assumptions (Biomass)'!$V$7,Model!Z$1,'Assumptions (Biomass)'!$V$10,'Assumptions (Biomass)'!$V$5*Model!$AY$2030*AVERAGE('Assumptions (Biomass)'!$AU$2:$AW$2)/10^9),0)</f>
        <v>0</v>
      </c>
      <c r="BC2135" s="160">
        <f>IF($AY$2030&gt;0,PPMT('Assumptions (Biomass)'!$V$7,Model!AA$1,'Assumptions (Biomass)'!$V$10,'Assumptions (Biomass)'!$V$5*Model!$AY$2030*AVERAGE('Assumptions (Biomass)'!$AU$2:$AW$2)/10^9),0)</f>
        <v>0</v>
      </c>
      <c r="BD2135" s="160">
        <f>IF($AY$2030&gt;0,PPMT('Assumptions (Biomass)'!$V$7,Model!AB$1,'Assumptions (Biomass)'!$V$10,'Assumptions (Biomass)'!$V$5*Model!$AY$2030*AVERAGE('Assumptions (Biomass)'!$AU$2:$AW$2)/10^9),0)</f>
        <v>0</v>
      </c>
      <c r="BE2135" s="160">
        <f>IF($AY$2030&gt;0,PPMT('Assumptions (Biomass)'!$V$7,Model!AC$1,'Assumptions (Biomass)'!$V$10,'Assumptions (Biomass)'!$V$5*Model!$AY$2030*AVERAGE('Assumptions (Biomass)'!$AU$2:$AW$2)/10^9),0)</f>
        <v>0</v>
      </c>
      <c r="BF2135" s="160">
        <f>IF($AY$2030&gt;0,PPMT('Assumptions (Biomass)'!$V$7,Model!AD$1,'Assumptions (Biomass)'!$V$10,'Assumptions (Biomass)'!$V$5*Model!$AY$2030*AVERAGE('Assumptions (Biomass)'!$AU$2:$AW$2)/10^9),0)</f>
        <v>0</v>
      </c>
      <c r="BG2135" s="160">
        <f>IF($AY$2030&gt;0,PPMT('Assumptions (Biomass)'!$V$7,Model!AE$1,'Assumptions (Biomass)'!$V$10,'Assumptions (Biomass)'!$V$5*Model!$AY$2030*AVERAGE('Assumptions (Biomass)'!$AU$2:$AW$2)/10^9),0)</f>
        <v>0</v>
      </c>
      <c r="BH2135" s="160">
        <f>IF($AY$2030&gt;0,PPMT('Assumptions (Biomass)'!$V$7,Model!AF$1,'Assumptions (Biomass)'!$V$10,'Assumptions (Biomass)'!$V$5*Model!$AY$2030*AVERAGE('Assumptions (Biomass)'!$AU$2:$AW$2)/10^9),0)</f>
        <v>0</v>
      </c>
      <c r="BI2135" s="160">
        <f>IF($AY$2030&gt;0,PPMT('Assumptions (Biomass)'!$V$7,Model!AG$1,'Assumptions (Biomass)'!$V$10,'Assumptions (Biomass)'!$V$5*Model!$AY$2030*AVERAGE('Assumptions (Biomass)'!$AU$2:$AW$2)/10^9),0)</f>
        <v>0</v>
      </c>
      <c r="BJ2135" s="160">
        <f>IF($AY$2030&gt;0,PPMT('Assumptions (Biomass)'!$V$7,Model!AH$1,'Assumptions (Biomass)'!$V$10,'Assumptions (Biomass)'!$V$5*Model!$AY$2030*AVERAGE('Assumptions (Biomass)'!$AU$2:$AW$2)/10^9),0)</f>
        <v>0</v>
      </c>
      <c r="BK2135" s="160">
        <f>IF($AY$2030&gt;0,PPMT('Assumptions (Biomass)'!$V$7,Model!AI$1,'Assumptions (Biomass)'!$V$10,'Assumptions (Biomass)'!$V$5*Model!$AY$2030*AVERAGE('Assumptions (Biomass)'!$AU$2:$AW$2)/10^9),0)</f>
        <v>0</v>
      </c>
      <c r="BL2135" s="160">
        <f>IF($AY$2030&gt;0,PPMT('Assumptions (Biomass)'!$V$7,Model!AJ$1,'Assumptions (Biomass)'!$V$10,'Assumptions (Biomass)'!$V$5*Model!$AY$2030*AVERAGE('Assumptions (Biomass)'!$AU$2:$AW$2)/10^9),0)</f>
        <v>0</v>
      </c>
      <c r="BM2135" s="160">
        <f>IF($AY$2030&gt;0,PPMT('Assumptions (Biomass)'!$V$7,Model!AK$1,'Assumptions (Biomass)'!$V$10,'Assumptions (Biomass)'!$V$5*Model!$AY$2030*AVERAGE('Assumptions (Biomass)'!$AU$2:$AW$2)/10^9),0)</f>
        <v>0</v>
      </c>
      <c r="BN2135" s="160"/>
      <c r="BO2135" s="160"/>
      <c r="BP2135" s="160"/>
    </row>
    <row r="2136" ht="15.75" hidden="1" customHeight="1" outlineLevel="1">
      <c r="A2136" s="318"/>
      <c r="B2136" s="38"/>
      <c r="C2136" s="174"/>
      <c r="D2136" s="174"/>
      <c r="E2136" s="174"/>
      <c r="F2136" s="174"/>
      <c r="G2136" s="174"/>
      <c r="H2136" s="174"/>
      <c r="I2136" s="174"/>
      <c r="J2136" s="174"/>
      <c r="K2136" s="174"/>
      <c r="L2136" s="174"/>
      <c r="M2136" s="174"/>
      <c r="N2136" s="174"/>
      <c r="O2136" s="174"/>
      <c r="P2136" s="174"/>
      <c r="Q2136" s="174"/>
      <c r="R2136" s="174"/>
      <c r="S2136" s="174"/>
      <c r="T2136" s="174"/>
      <c r="U2136" s="174"/>
      <c r="V2136" s="174"/>
      <c r="W2136" s="160"/>
      <c r="X2136" s="160"/>
      <c r="Y2136" s="160"/>
      <c r="Z2136" s="160"/>
      <c r="AA2136" s="160"/>
      <c r="AB2136" s="160"/>
      <c r="AC2136" s="160"/>
      <c r="AD2136" s="160"/>
      <c r="AE2136" s="160"/>
      <c r="AF2136" s="160"/>
      <c r="AG2136" s="160"/>
      <c r="AH2136" s="160"/>
      <c r="AI2136" s="160"/>
      <c r="AJ2136" s="179"/>
      <c r="AK2136" s="160"/>
      <c r="AL2136" s="177"/>
      <c r="AM2136" s="177"/>
      <c r="AN2136" s="177"/>
      <c r="AO2136" s="160"/>
      <c r="AP2136" s="160"/>
      <c r="AQ2136" s="160"/>
      <c r="AR2136" s="160"/>
      <c r="AS2136" s="160"/>
      <c r="AT2136" s="160"/>
      <c r="AU2136" s="160"/>
      <c r="AV2136" s="160"/>
      <c r="AW2136" s="160"/>
      <c r="AX2136" s="160"/>
      <c r="AY2136" s="160"/>
      <c r="AZ2136" s="160">
        <f>IF($AZ$2030&gt;0,PPMT('Assumptions (Biomass)'!$V$7,Model!W$1,'Assumptions (Biomass)'!$V$10,'Assumptions (Biomass)'!$V$5*Model!$AZ$2030*AVERAGE('Assumptions (Biomass)'!$AV$2:$AX$2)/10^9),0)</f>
        <v>0</v>
      </c>
      <c r="BA2136" s="160">
        <f>IF($AZ$2030&gt;0,PPMT('Assumptions (Biomass)'!$V$7,Model!X$1,'Assumptions (Biomass)'!$V$10,'Assumptions (Biomass)'!$V$5*Model!$AZ$2030*AVERAGE('Assumptions (Biomass)'!$AV$2:$AX$2)/10^9),0)</f>
        <v>0</v>
      </c>
      <c r="BB2136" s="160">
        <f>IF($AZ$2030&gt;0,PPMT('Assumptions (Biomass)'!$V$7,Model!Y$1,'Assumptions (Biomass)'!$V$10,'Assumptions (Biomass)'!$V$5*Model!$AZ$2030*AVERAGE('Assumptions (Biomass)'!$AV$2:$AX$2)/10^9),0)</f>
        <v>0</v>
      </c>
      <c r="BC2136" s="160">
        <f>IF($AZ$2030&gt;0,PPMT('Assumptions (Biomass)'!$V$7,Model!Z$1,'Assumptions (Biomass)'!$V$10,'Assumptions (Biomass)'!$V$5*Model!$AZ$2030*AVERAGE('Assumptions (Biomass)'!$AV$2:$AX$2)/10^9),0)</f>
        <v>0</v>
      </c>
      <c r="BD2136" s="160">
        <f>IF($AZ$2030&gt;0,PPMT('Assumptions (Biomass)'!$V$7,Model!AA$1,'Assumptions (Biomass)'!$V$10,'Assumptions (Biomass)'!$V$5*Model!$AZ$2030*AVERAGE('Assumptions (Biomass)'!$AV$2:$AX$2)/10^9),0)</f>
        <v>0</v>
      </c>
      <c r="BE2136" s="160">
        <f>IF($AZ$2030&gt;0,PPMT('Assumptions (Biomass)'!$V$7,Model!AB$1,'Assumptions (Biomass)'!$V$10,'Assumptions (Biomass)'!$V$5*Model!$AZ$2030*AVERAGE('Assumptions (Biomass)'!$AV$2:$AX$2)/10^9),0)</f>
        <v>0</v>
      </c>
      <c r="BF2136" s="160">
        <f>IF($AZ$2030&gt;0,PPMT('Assumptions (Biomass)'!$V$7,Model!AC$1,'Assumptions (Biomass)'!$V$10,'Assumptions (Biomass)'!$V$5*Model!$AZ$2030*AVERAGE('Assumptions (Biomass)'!$AV$2:$AX$2)/10^9),0)</f>
        <v>0</v>
      </c>
      <c r="BG2136" s="160">
        <f>IF($AZ$2030&gt;0,PPMT('Assumptions (Biomass)'!$V$7,Model!AD$1,'Assumptions (Biomass)'!$V$10,'Assumptions (Biomass)'!$V$5*Model!$AZ$2030*AVERAGE('Assumptions (Biomass)'!$AV$2:$AX$2)/10^9),0)</f>
        <v>0</v>
      </c>
      <c r="BH2136" s="160">
        <f>IF($AZ$2030&gt;0,PPMT('Assumptions (Biomass)'!$V$7,Model!AE$1,'Assumptions (Biomass)'!$V$10,'Assumptions (Biomass)'!$V$5*Model!$AZ$2030*AVERAGE('Assumptions (Biomass)'!$AV$2:$AX$2)/10^9),0)</f>
        <v>0</v>
      </c>
      <c r="BI2136" s="160">
        <f>IF($AZ$2030&gt;0,PPMT('Assumptions (Biomass)'!$V$7,Model!AF$1,'Assumptions (Biomass)'!$V$10,'Assumptions (Biomass)'!$V$5*Model!$AZ$2030*AVERAGE('Assumptions (Biomass)'!$AV$2:$AX$2)/10^9),0)</f>
        <v>0</v>
      </c>
      <c r="BJ2136" s="160">
        <f>IF($AZ$2030&gt;0,PPMT('Assumptions (Biomass)'!$V$7,Model!AG$1,'Assumptions (Biomass)'!$V$10,'Assumptions (Biomass)'!$V$5*Model!$AZ$2030*AVERAGE('Assumptions (Biomass)'!$AV$2:$AX$2)/10^9),0)</f>
        <v>0</v>
      </c>
      <c r="BK2136" s="160">
        <f>IF($AZ$2030&gt;0,PPMT('Assumptions (Biomass)'!$V$7,Model!AH$1,'Assumptions (Biomass)'!$V$10,'Assumptions (Biomass)'!$V$5*Model!$AZ$2030*AVERAGE('Assumptions (Biomass)'!$AV$2:$AX$2)/10^9),0)</f>
        <v>0</v>
      </c>
      <c r="BL2136" s="160">
        <f>IF($AZ$2030&gt;0,PPMT('Assumptions (Biomass)'!$V$7,Model!AI$1,'Assumptions (Biomass)'!$V$10,'Assumptions (Biomass)'!$V$5*Model!$AZ$2030*AVERAGE('Assumptions (Biomass)'!$AV$2:$AX$2)/10^9),0)</f>
        <v>0</v>
      </c>
      <c r="BM2136" s="160">
        <f>IF($AZ$2030&gt;0,PPMT('Assumptions (Biomass)'!$V$7,Model!AJ$1,'Assumptions (Biomass)'!$V$10,'Assumptions (Biomass)'!$V$5*Model!$AZ$2030*AVERAGE('Assumptions (Biomass)'!$AV$2:$AX$2)/10^9),0)</f>
        <v>0</v>
      </c>
      <c r="BN2136" s="160">
        <f>IF($AZ$2030&gt;0,PPMT('Assumptions (Biomass)'!$V$7,Model!AK$1,'Assumptions (Biomass)'!$V$10,'Assumptions (Biomass)'!$V$5*Model!$AZ$2030*AVERAGE('Assumptions (Biomass)'!$AV$2:$AX$2)/10^9),0)</f>
        <v>0</v>
      </c>
      <c r="BO2136" s="160"/>
      <c r="BP2136" s="160"/>
    </row>
    <row r="2137" ht="15.75" hidden="1" customHeight="1" outlineLevel="1">
      <c r="A2137" s="318"/>
      <c r="B2137" s="38"/>
      <c r="C2137" s="174"/>
      <c r="D2137" s="174"/>
      <c r="E2137" s="174"/>
      <c r="F2137" s="174"/>
      <c r="G2137" s="174"/>
      <c r="H2137" s="174"/>
      <c r="I2137" s="174"/>
      <c r="J2137" s="174"/>
      <c r="K2137" s="174"/>
      <c r="L2137" s="174"/>
      <c r="M2137" s="174"/>
      <c r="N2137" s="174"/>
      <c r="O2137" s="174"/>
      <c r="P2137" s="174"/>
      <c r="Q2137" s="174"/>
      <c r="R2137" s="174"/>
      <c r="S2137" s="174"/>
      <c r="T2137" s="174"/>
      <c r="U2137" s="174"/>
      <c r="V2137" s="174"/>
      <c r="W2137" s="160"/>
      <c r="X2137" s="160"/>
      <c r="Y2137" s="160"/>
      <c r="Z2137" s="160"/>
      <c r="AA2137" s="160"/>
      <c r="AB2137" s="160"/>
      <c r="AC2137" s="160"/>
      <c r="AD2137" s="160"/>
      <c r="AE2137" s="160"/>
      <c r="AF2137" s="160"/>
      <c r="AG2137" s="160"/>
      <c r="AH2137" s="160"/>
      <c r="AI2137" s="160"/>
      <c r="AJ2137" s="179"/>
      <c r="AK2137" s="160"/>
      <c r="AL2137" s="177"/>
      <c r="AM2137" s="177"/>
      <c r="AN2137" s="177"/>
      <c r="AO2137" s="160"/>
      <c r="AP2137" s="160"/>
      <c r="AQ2137" s="160"/>
      <c r="AR2137" s="160"/>
      <c r="AS2137" s="160"/>
      <c r="AT2137" s="160"/>
      <c r="AU2137" s="160"/>
      <c r="AV2137" s="160"/>
      <c r="AW2137" s="160"/>
      <c r="AX2137" s="160"/>
      <c r="AY2137" s="160"/>
      <c r="AZ2137" s="160"/>
      <c r="BA2137" s="160">
        <f>IF($BA$2030&gt;0,PPMT('Assumptions (Biomass)'!$V$7,Model!W$1,'Assumptions (Biomass)'!$V$10,'Assumptions (Biomass)'!$V$5*Model!$BA$2030*AVERAGE('Assumptions (Biomass)'!$AW$2:$AY$2)/10^9),0)</f>
        <v>0</v>
      </c>
      <c r="BB2137" s="160">
        <f>IF($BA$2030&gt;0,PPMT('Assumptions (Biomass)'!$V$7,Model!X$1,'Assumptions (Biomass)'!$V$10,'Assumptions (Biomass)'!$V$5*Model!$BA$2030*AVERAGE('Assumptions (Biomass)'!$AW$2:$AY$2)/10^9),0)</f>
        <v>0</v>
      </c>
      <c r="BC2137" s="160">
        <f>IF($BA$2030&gt;0,PPMT('Assumptions (Biomass)'!$V$7,Model!Y$1,'Assumptions (Biomass)'!$V$10,'Assumptions (Biomass)'!$V$5*Model!$BA$2030*AVERAGE('Assumptions (Biomass)'!$AW$2:$AY$2)/10^9),0)</f>
        <v>0</v>
      </c>
      <c r="BD2137" s="160">
        <f>IF($BA$2030&gt;0,PPMT('Assumptions (Biomass)'!$V$7,Model!Z$1,'Assumptions (Biomass)'!$V$10,'Assumptions (Biomass)'!$V$5*Model!$BA$2030*AVERAGE('Assumptions (Biomass)'!$AW$2:$AY$2)/10^9),0)</f>
        <v>0</v>
      </c>
      <c r="BE2137" s="160">
        <f>IF($BA$2030&gt;0,PPMT('Assumptions (Biomass)'!$V$7,Model!AA$1,'Assumptions (Biomass)'!$V$10,'Assumptions (Biomass)'!$V$5*Model!$BA$2030*AVERAGE('Assumptions (Biomass)'!$AW$2:$AY$2)/10^9),0)</f>
        <v>0</v>
      </c>
      <c r="BF2137" s="160">
        <f>IF($BA$2030&gt;0,PPMT('Assumptions (Biomass)'!$V$7,Model!AB$1,'Assumptions (Biomass)'!$V$10,'Assumptions (Biomass)'!$V$5*Model!$BA$2030*AVERAGE('Assumptions (Biomass)'!$AW$2:$AY$2)/10^9),0)</f>
        <v>0</v>
      </c>
      <c r="BG2137" s="160">
        <f>IF($BA$2030&gt;0,PPMT('Assumptions (Biomass)'!$V$7,Model!AC$1,'Assumptions (Biomass)'!$V$10,'Assumptions (Biomass)'!$V$5*Model!$BA$2030*AVERAGE('Assumptions (Biomass)'!$AW$2:$AY$2)/10^9),0)</f>
        <v>0</v>
      </c>
      <c r="BH2137" s="160">
        <f>IF($BA$2030&gt;0,PPMT('Assumptions (Biomass)'!$V$7,Model!AD$1,'Assumptions (Biomass)'!$V$10,'Assumptions (Biomass)'!$V$5*Model!$BA$2030*AVERAGE('Assumptions (Biomass)'!$AW$2:$AY$2)/10^9),0)</f>
        <v>0</v>
      </c>
      <c r="BI2137" s="160">
        <f>IF($BA$2030&gt;0,PPMT('Assumptions (Biomass)'!$V$7,Model!AE$1,'Assumptions (Biomass)'!$V$10,'Assumptions (Biomass)'!$V$5*Model!$BA$2030*AVERAGE('Assumptions (Biomass)'!$AW$2:$AY$2)/10^9),0)</f>
        <v>0</v>
      </c>
      <c r="BJ2137" s="160">
        <f>IF($BA$2030&gt;0,PPMT('Assumptions (Biomass)'!$V$7,Model!AF$1,'Assumptions (Biomass)'!$V$10,'Assumptions (Biomass)'!$V$5*Model!$BA$2030*AVERAGE('Assumptions (Biomass)'!$AW$2:$AY$2)/10^9),0)</f>
        <v>0</v>
      </c>
      <c r="BK2137" s="160">
        <f>IF($BA$2030&gt;0,PPMT('Assumptions (Biomass)'!$V$7,Model!AG$1,'Assumptions (Biomass)'!$V$10,'Assumptions (Biomass)'!$V$5*Model!$BA$2030*AVERAGE('Assumptions (Biomass)'!$AW$2:$AY$2)/10^9),0)</f>
        <v>0</v>
      </c>
      <c r="BL2137" s="160">
        <f>IF($BA$2030&gt;0,PPMT('Assumptions (Biomass)'!$V$7,Model!AH$1,'Assumptions (Biomass)'!$V$10,'Assumptions (Biomass)'!$V$5*Model!$BA$2030*AVERAGE('Assumptions (Biomass)'!$AW$2:$AY$2)/10^9),0)</f>
        <v>0</v>
      </c>
      <c r="BM2137" s="160">
        <f>IF($BA$2030&gt;0,PPMT('Assumptions (Biomass)'!$V$7,Model!AI$1,'Assumptions (Biomass)'!$V$10,'Assumptions (Biomass)'!$V$5*Model!$BA$2030*AVERAGE('Assumptions (Biomass)'!$AW$2:$AY$2)/10^9),0)</f>
        <v>0</v>
      </c>
      <c r="BN2137" s="160">
        <f>IF($BA$2030&gt;0,PPMT('Assumptions (Biomass)'!$V$7,Model!AJ$1,'Assumptions (Biomass)'!$V$10,'Assumptions (Biomass)'!$V$5*Model!$BA$2030*AVERAGE('Assumptions (Biomass)'!$AW$2:$AY$2)/10^9),0)</f>
        <v>0</v>
      </c>
      <c r="BO2137" s="160">
        <f>IF($BA$2030&gt;0,PPMT('Assumptions (Biomass)'!$V$7,Model!AK$1,'Assumptions (Biomass)'!$V$10,'Assumptions (Biomass)'!$V$5*Model!$BA$2030*AVERAGE('Assumptions (Biomass)'!$AW$2:$AY$2)/10^9),0)</f>
        <v>0</v>
      </c>
      <c r="BP2137" s="160"/>
    </row>
    <row r="2138" ht="15.75" customHeight="1" collapsed="1">
      <c r="A2138" s="320" t="s">
        <v>360</v>
      </c>
      <c r="B2138" s="150" t="s">
        <v>351</v>
      </c>
      <c r="C2138" s="177">
        <f t="array" ref="C2138">SUM(IF(ISERROR(C2139:C2189),"",C2139:C2189))</f>
        <v>0</v>
      </c>
      <c r="D2138" s="177">
        <f t="array" ref="D2138">SUM(IF(ISERROR(D2139:D2189),"",D2139:D2189))</f>
        <v>-0.0001752440854</v>
      </c>
      <c r="E2138" s="177">
        <f t="array" ref="E2138">SUM(IF(ISERROR(E2139:E2189),"",E2139:E2189))</f>
        <v>-0.0002466935614</v>
      </c>
      <c r="F2138" s="177">
        <f t="array" ref="F2138">SUM(IF(ISERROR(F2139:F2189),"",F2139:F2189))</f>
        <v>-0.0006900753149</v>
      </c>
      <c r="G2138" s="177">
        <f t="array" ref="G2138">SUM(IF(ISERROR(G2139:G2189),"",G2139:G2189))</f>
        <v>-0.002931809668</v>
      </c>
      <c r="H2138" s="177">
        <f t="array" ref="H2138">SUM(IF(ISERROR(H2139:H2189),"",H2139:H2189))</f>
        <v>-0.003503600367</v>
      </c>
      <c r="I2138" s="177">
        <f t="array" ref="I2138">SUM(IF(ISERROR(I2139:I2189),"",I2139:I2189))</f>
        <v>-0.009151692792</v>
      </c>
      <c r="J2138" s="177">
        <f t="array" ref="J2138">SUM(IF(ISERROR(J2139:J2189),"",J2139:J2189))</f>
        <v>-0.01079259007</v>
      </c>
      <c r="K2138" s="177">
        <f t="array" ref="K2138">SUM(IF(ISERROR(K2139:K2189),"",K2139:K2189))</f>
        <v>-0.01117180247</v>
      </c>
      <c r="L2138" s="177">
        <f t="array" ref="L2138">SUM(IF(ISERROR(L2139:L2189),"",L2139:L2189))</f>
        <v>-0.01230960763</v>
      </c>
      <c r="M2138" s="177">
        <f t="array" ref="M2138">SUM(IF(ISERROR(M2139:M2189),"",M2139:M2189))</f>
        <v>-0.02309193191</v>
      </c>
      <c r="N2138" s="177">
        <f t="array" ref="N2138">SUM(IF(ISERROR(N2139:N2189),"",N2139:N2189))</f>
        <v>-0.03225483293</v>
      </c>
      <c r="O2138" s="177">
        <f t="array" ref="O2138">SUM(IF(ISERROR(O2139:O2189),"",O2139:O2189))</f>
        <v>-0.03567399234</v>
      </c>
      <c r="P2138" s="177">
        <f t="array" ref="P2138">SUM(IF(ISERROR(P2139:P2189),"",P2139:P2189))</f>
        <v>-0.05234666205</v>
      </c>
      <c r="Q2138" s="177">
        <f t="array" ref="Q2138">SUM(IF(ISERROR(Q2139:Q2189),"",Q2139:Q2189))</f>
        <v>-0.05994471882</v>
      </c>
      <c r="R2138" s="177">
        <f t="array" ref="R2138">SUM(IF(ISERROR(R2139:R2189),"",R2139:R2189))</f>
        <v>-0.06127066259</v>
      </c>
      <c r="S2138" s="177">
        <f t="array" ref="S2138">SUM(IF(ISERROR(S2139:S2189),"",S2139:S2189))</f>
        <v>-0.06030477585</v>
      </c>
      <c r="T2138" s="177">
        <f t="array" ref="T2138">SUM(IF(ISERROR(T2139:T2189),"",T2139:T2189))</f>
        <v>-0.07132363369</v>
      </c>
      <c r="U2138" s="177">
        <f t="array" ref="U2138">SUM(IF(ISERROR(U2139:U2189),"",U2139:U2189))</f>
        <v>-0.06563413819</v>
      </c>
      <c r="V2138" s="177">
        <f t="array" ref="V2138">SUM(IF(ISERROR(V2139:V2189),"",V2139:V2189))</f>
        <v>-0.05971756695</v>
      </c>
      <c r="W2138" s="177">
        <f t="array" ref="W2138">SUM(IF(ISERROR(W2139:W2189),"",W2139:W2189))</f>
        <v>-0.05373557058</v>
      </c>
      <c r="X2138" s="177">
        <f t="array" ref="X2138">SUM(IF(ISERROR(X2139:X2189),"",X2139:X2189))</f>
        <v>-0.04753719933</v>
      </c>
      <c r="Y2138" s="177">
        <f t="array" ref="Y2138">SUM(IF(ISERROR(Y2139:Y2189),"",Y2139:Y2189))</f>
        <v>-0.04159685505</v>
      </c>
      <c r="Z2138" s="177">
        <f t="array" ref="Z2138">SUM(IF(ISERROR(Z2139:Z2189),"",Z2139:Z2189))</f>
        <v>-0.03557414442</v>
      </c>
      <c r="AA2138" s="177">
        <f t="array" ref="AA2138">SUM(IF(ISERROR(AA2139:AA2189),"",AA2139:AA2189))</f>
        <v>-0.02935718926</v>
      </c>
      <c r="AB2138" s="177">
        <f t="array" ref="AB2138">SUM(IF(ISERROR(AB2139:AB2189),"",AB2139:AB2189))</f>
        <v>-0.02301561021</v>
      </c>
      <c r="AC2138" s="177">
        <f t="array" ref="AC2138">SUM(IF(ISERROR(AC2139:AC2189),"",AC2139:AC2189))</f>
        <v>-0.01746807529</v>
      </c>
      <c r="AD2138" s="177">
        <f t="array" ref="AD2138">SUM(IF(ISERROR(AD2139:AD2189),"",AD2139:AD2189))</f>
        <v>-0.01265414071</v>
      </c>
      <c r="AE2138" s="177">
        <f t="array" ref="AE2138">SUM(IF(ISERROR(AE2139:AE2189),"",AE2139:AE2189))</f>
        <v>-0.008117819764</v>
      </c>
      <c r="AF2138" s="177">
        <f t="array" ref="AF2138">SUM(IF(ISERROR(AF2139:AF2189),"",AF2139:AF2189))</f>
        <v>-0.005160257967</v>
      </c>
      <c r="AG2138" s="177">
        <f t="array" ref="AG2138">SUM(IF(ISERROR(AG2139:AG2189),"",AG2139:AG2189))</f>
        <v>-0.003091826085</v>
      </c>
      <c r="AH2138" s="177">
        <f t="array" ref="AH2138">SUM(IF(ISERROR(AH2139:AH2189),"",AH2139:AH2189))</f>
        <v>-0.001423996761</v>
      </c>
      <c r="AI2138" s="177">
        <f t="array" ref="AI2138">SUM(IF(ISERROR(AI2139:AI2189),"",AI2139:AI2189))</f>
        <v>0</v>
      </c>
      <c r="AJ2138" s="177">
        <f t="array" ref="AJ2138">SUM(IF(ISERROR(AJ2139:AJ2189),"",AJ2139:AJ2189))</f>
        <v>0</v>
      </c>
      <c r="AK2138" s="177">
        <f t="array" ref="AK2138">SUM(IF(ISERROR(AK2139:AK2189),"",AK2139:AK2189))</f>
        <v>0</v>
      </c>
      <c r="AL2138" s="177">
        <f t="array" ref="AL2138">SUM(IF(ISERROR(AL2139:AL2189),"",AL2139:AL2189))</f>
        <v>0</v>
      </c>
      <c r="AM2138" s="177">
        <f t="array" ref="AM2138">SUM(IF(ISERROR(AM2139:AM2189),"",AM2139:AM2189))</f>
        <v>0</v>
      </c>
      <c r="AN2138" s="177">
        <f t="array" ref="AN2138">SUM(IF(ISERROR(AN2139:AN2189),"",AN2139:AN2189))</f>
        <v>0</v>
      </c>
      <c r="AO2138" s="177">
        <f t="array" ref="AO2138">SUM(IF(ISERROR(AO2139:AO2189),"",AO2139:AO2189))</f>
        <v>0</v>
      </c>
      <c r="AP2138" s="177">
        <f t="array" ref="AP2138">SUM(IF(ISERROR(AP2139:AP2189),"",AP2139:AP2189))</f>
        <v>0</v>
      </c>
      <c r="AQ2138" s="177">
        <f t="array" ref="AQ2138">SUM(IF(ISERROR(AQ2139:AQ2189),"",AQ2139:AQ2189))</f>
        <v>0</v>
      </c>
      <c r="AR2138" s="177">
        <f t="array" ref="AR2138">SUM(IF(ISERROR(AR2139:AR2189),"",AR2139:AR2189))</f>
        <v>0</v>
      </c>
      <c r="AS2138" s="177">
        <f t="array" ref="AS2138">SUM(IF(ISERROR(AS2139:AS2189),"",AS2139:AS2189))</f>
        <v>0</v>
      </c>
      <c r="AT2138" s="177">
        <f t="array" ref="AT2138">SUM(IF(ISERROR(AT2139:AT2189),"",AT2139:AT2189))</f>
        <v>0</v>
      </c>
      <c r="AU2138" s="177">
        <f t="array" ref="AU2138">SUM(IF(ISERROR(AU2139:AU2189),"",AU2139:AU2189))</f>
        <v>0</v>
      </c>
      <c r="AV2138" s="177">
        <f t="array" ref="AV2138">SUM(IF(ISERROR(AV2139:AV2189),"",AV2139:AV2189))</f>
        <v>0</v>
      </c>
      <c r="AW2138" s="177">
        <f t="array" ref="AW2138">SUM(IF(ISERROR(AW2139:AW2189),"",AW2139:AW2189))</f>
        <v>0</v>
      </c>
      <c r="AX2138" s="177">
        <f t="array" ref="AX2138">SUM(IF(ISERROR(AX2139:AX2189),"",AX2139:AX2189))</f>
        <v>0</v>
      </c>
      <c r="AY2138" s="177">
        <f t="array" ref="AY2138">SUM(IF(ISERROR(AY2139:AY2189),"",AY2139:AY2189))</f>
        <v>0</v>
      </c>
      <c r="AZ2138" s="177">
        <f t="array" ref="AZ2138">SUM(IF(ISERROR(AZ2139:AZ2189),"",AZ2139:AZ2189))</f>
        <v>0</v>
      </c>
      <c r="BA2138" s="177">
        <f t="array" ref="BA2138">SUM(IF(ISERROR(BA2139:BA2189),"",BA2139:BA2189))</f>
        <v>0</v>
      </c>
      <c r="BB2138" s="177">
        <f t="array" ref="BB2138">SUM(IF(ISERROR(BB2139:BB2189),"",BB2139:BB2189))</f>
        <v>0</v>
      </c>
      <c r="BC2138" s="177">
        <f t="array" ref="BC2138">SUM(IF(ISERROR(BC2139:BC2189),"",BC2139:BC2189))</f>
        <v>0</v>
      </c>
      <c r="BD2138" s="177">
        <f t="array" ref="BD2138">SUM(IF(ISERROR(BD2139:BD2189),"",BD2139:BD2189))</f>
        <v>0</v>
      </c>
      <c r="BE2138" s="177">
        <f t="array" ref="BE2138">SUM(IF(ISERROR(BE2139:BE2189),"",BE2139:BE2189))</f>
        <v>0</v>
      </c>
      <c r="BF2138" s="177">
        <f t="array" ref="BF2138">SUM(IF(ISERROR(BF2139:BF2189),"",BF2139:BF2189))</f>
        <v>0</v>
      </c>
      <c r="BG2138" s="177">
        <f t="array" ref="BG2138">SUM(IF(ISERROR(BG2139:BG2189),"",BG2139:BG2189))</f>
        <v>0</v>
      </c>
      <c r="BH2138" s="177">
        <f t="array" ref="BH2138">SUM(IF(ISERROR(BH2139:BH2189),"",BH2139:BH2189))</f>
        <v>0</v>
      </c>
      <c r="BI2138" s="177">
        <f t="array" ref="BI2138">SUM(IF(ISERROR(BI2139:BI2189),"",BI2139:BI2189))</f>
        <v>0</v>
      </c>
      <c r="BJ2138" s="177">
        <f t="array" ref="BJ2138">SUM(IF(ISERROR(BJ2139:BJ2189),"",BJ2139:BJ2189))</f>
        <v>0</v>
      </c>
      <c r="BK2138" s="177">
        <f t="array" ref="BK2138">SUM(IF(ISERROR(BK2139:BK2189),"",BK2139:BK2189))</f>
        <v>0</v>
      </c>
      <c r="BL2138" s="177">
        <f t="array" ref="BL2138">SUM(IF(ISERROR(BL2139:BL2189),"",BL2139:BL2189))</f>
        <v>0</v>
      </c>
      <c r="BM2138" s="177">
        <f t="array" ref="BM2138">SUM(IF(ISERROR(BM2139:BM2189),"",BM2139:BM2189))</f>
        <v>0</v>
      </c>
      <c r="BN2138" s="177">
        <f t="array" ref="BN2138">SUM(IF(ISERROR(BN2139:BN2189),"",BN2139:BN2189))</f>
        <v>0</v>
      </c>
      <c r="BO2138" s="177">
        <f t="array" ref="BO2138">SUM(IF(ISERROR(BO2139:BO2189),"",BO2139:BO2189))</f>
        <v>0</v>
      </c>
    </row>
    <row r="2139" ht="15.75" hidden="1" customHeight="1" outlineLevel="1">
      <c r="A2139" s="318"/>
      <c r="B2139" s="38"/>
      <c r="C2139" s="177">
        <f>IF($C$2030&gt;0,IPMT('Assumptions (Biomass)'!$V$7,Model!W$1,'Assumptions (Biomass)'!$V$10,'Assumptions (Biomass)'!$V$5*Model!$C$2030*'Assumptions (Biomass)'!$B$2/10^9),0)</f>
        <v>0</v>
      </c>
      <c r="D2139" s="177">
        <f>IF($C$2030&gt;0,IPMT('Assumptions (Biomass)'!$V$7,Model!X$1,'Assumptions (Biomass)'!$V$10,'Assumptions (Biomass)'!$V$5*Model!$C$2030*'Assumptions (Biomass)'!$B$2/10^9),0)</f>
        <v>0</v>
      </c>
      <c r="E2139" s="177">
        <f>IF($C$2030&gt;0,IPMT('Assumptions (Biomass)'!$V$7,Model!Y$1,'Assumptions (Biomass)'!$V$10,'Assumptions (Biomass)'!$V$5*Model!$C$2030*'Assumptions (Biomass)'!$B$2/10^9),0)</f>
        <v>0</v>
      </c>
      <c r="F2139" s="177">
        <f>IF($C$2030&gt;0,IPMT('Assumptions (Biomass)'!$V$7,Model!Z$1,'Assumptions (Biomass)'!$V$10,'Assumptions (Biomass)'!$V$5*Model!$C$2030*'Assumptions (Biomass)'!$B$2/10^9),0)</f>
        <v>0</v>
      </c>
      <c r="G2139" s="177">
        <f>IF($C$2030&gt;0,IPMT('Assumptions (Biomass)'!$V$7,Model!AA$1,'Assumptions (Biomass)'!$V$10,'Assumptions (Biomass)'!$V$5*Model!$C$2030*'Assumptions (Biomass)'!$B$2/10^9),0)</f>
        <v>0</v>
      </c>
      <c r="H2139" s="177">
        <f>IF($C$2030&gt;0,IPMT('Assumptions (Biomass)'!$V$7,Model!AB$1,'Assumptions (Biomass)'!$V$10,'Assumptions (Biomass)'!$V$5*Model!$C$2030*'Assumptions (Biomass)'!$B$2/10^9),0)</f>
        <v>0</v>
      </c>
      <c r="I2139" s="177">
        <f>IF($C$2030&gt;0,IPMT('Assumptions (Biomass)'!$V$7,Model!AC$1,'Assumptions (Biomass)'!$V$10,'Assumptions (Biomass)'!$V$5*Model!$C$2030*'Assumptions (Biomass)'!$B$2/10^9),0)</f>
        <v>0</v>
      </c>
      <c r="J2139" s="177">
        <f>IF($C$2030&gt;0,IPMT('Assumptions (Biomass)'!$V$7,Model!AD$1,'Assumptions (Biomass)'!$V$10,'Assumptions (Biomass)'!$V$5*Model!$C$2030*'Assumptions (Biomass)'!$B$2/10^9),0)</f>
        <v>0</v>
      </c>
      <c r="K2139" s="177">
        <f>IF($C$2030&gt;0,IPMT('Assumptions (Biomass)'!$V$7,Model!AE$1,'Assumptions (Biomass)'!$V$10,'Assumptions (Biomass)'!$V$5*Model!$C$2030*'Assumptions (Biomass)'!$B$2/10^9),0)</f>
        <v>0</v>
      </c>
      <c r="L2139" s="177">
        <f>IF($C$2030&gt;0,IPMT('Assumptions (Biomass)'!$V$7,Model!AF$1,'Assumptions (Biomass)'!$V$10,'Assumptions (Biomass)'!$V$5*Model!$C$2030*'Assumptions (Biomass)'!$B$2/10^9),0)</f>
        <v>0</v>
      </c>
      <c r="M2139" s="177">
        <f>IF($C$2030&gt;0,IPMT('Assumptions (Biomass)'!$V$7,Model!AG$1,'Assumptions (Biomass)'!$V$10,'Assumptions (Biomass)'!$V$5*Model!$C$2030*'Assumptions (Biomass)'!$B$2/10^9),0)</f>
        <v>0</v>
      </c>
      <c r="N2139" s="177">
        <f>IF($C$2030&gt;0,IPMT('Assumptions (Biomass)'!$V$7,Model!AH$1,'Assumptions (Biomass)'!$V$10,'Assumptions (Biomass)'!$V$5*Model!$C$2030*'Assumptions (Biomass)'!$B$2/10^9),0)</f>
        <v>0</v>
      </c>
      <c r="O2139" s="177">
        <f>IF($C$2030&gt;0,IPMT('Assumptions (Biomass)'!$V$7,Model!AI$1,'Assumptions (Biomass)'!$V$10,'Assumptions (Biomass)'!$V$5*Model!$C$2030*'Assumptions (Biomass)'!$B$2/10^9),0)</f>
        <v>0</v>
      </c>
      <c r="P2139" s="177">
        <f>IF($C$2030&gt;0,IPMT('Assumptions (Biomass)'!$V$7,Model!AJ$1,'Assumptions (Biomass)'!$V$10,'Assumptions (Biomass)'!$V$5*Model!$C$2030*'Assumptions (Biomass)'!$B$2/10^9),0)</f>
        <v>0</v>
      </c>
      <c r="Q2139" s="177">
        <f>IF($C$2030&gt;0,IPMT('Assumptions (Biomass)'!$V$7,Model!AK$1,'Assumptions (Biomass)'!$V$10,'Assumptions (Biomass)'!$V$5*Model!$C$2030*'Assumptions (Biomass)'!$B$2/10^9),0)</f>
        <v>0</v>
      </c>
      <c r="R2139" s="177"/>
      <c r="S2139" s="177"/>
      <c r="T2139" s="177"/>
      <c r="U2139" s="177"/>
      <c r="V2139" s="177"/>
      <c r="W2139" s="177"/>
      <c r="X2139" s="177"/>
      <c r="Y2139" s="177"/>
      <c r="Z2139" s="177"/>
      <c r="AA2139" s="177"/>
      <c r="AB2139" s="160"/>
      <c r="AC2139" s="160"/>
      <c r="AD2139" s="160"/>
      <c r="AE2139" s="160"/>
      <c r="AF2139" s="160"/>
      <c r="AG2139" s="160"/>
    </row>
    <row r="2140" ht="15.75" hidden="1" customHeight="1" outlineLevel="1">
      <c r="A2140" s="318"/>
      <c r="B2140" s="38"/>
      <c r="C2140" s="160"/>
      <c r="D2140" s="177">
        <f>IF($D$2030&gt;0,IPMT('Assumptions (Biomass)'!$V$7,Model!W$1,'Assumptions (Biomass)'!$V$10,'Assumptions (Biomass)'!$V$5*Model!$D$2030*'Assumptions (Biomass)'!$B$2/10^9),0)</f>
        <v>-0.0001752440854</v>
      </c>
      <c r="E2140" s="177">
        <f>IF($D$2030&gt;0,IPMT('Assumptions (Biomass)'!$V$7,Model!X$1,'Assumptions (Biomass)'!$V$10,'Assumptions (Biomass)'!$V$5*Model!$D$2030*'Assumptions (Biomass)'!$B$2/10^9),0)</f>
        <v>-0.0001669688609</v>
      </c>
      <c r="F2140" s="177">
        <f>IF($D$2030&gt;0,IPMT('Assumptions (Biomass)'!$V$7,Model!Y$1,'Assumptions (Biomass)'!$V$10,'Assumptions (Biomass)'!$V$5*Model!$D$2030*'Assumptions (Biomass)'!$B$2/10^9),0)</f>
        <v>-0.0001583005632</v>
      </c>
      <c r="G2140" s="177">
        <f>IF($D$2030&gt;0,IPMT('Assumptions (Biomass)'!$V$7,Model!Z$1,'Assumptions (Biomass)'!$V$10,'Assumptions (Biomass)'!$V$5*Model!$D$2030*'Assumptions (Biomass)'!$B$2/10^9),0)</f>
        <v>-0.0001492205214</v>
      </c>
      <c r="H2140" s="177">
        <f>IF($D$2030&gt;0,IPMT('Assumptions (Biomass)'!$V$7,Model!AA$1,'Assumptions (Biomass)'!$V$10,'Assumptions (Biomass)'!$V$5*Model!$D$2030*'Assumptions (Biomass)'!$B$2/10^9),0)</f>
        <v>-0.0001397091776</v>
      </c>
      <c r="I2140" s="177">
        <f>IF($D$2030&gt;0,IPMT('Assumptions (Biomass)'!$V$7,Model!AB$1,'Assumptions (Biomass)'!$V$10,'Assumptions (Biomass)'!$V$5*Model!$D$2030*'Assumptions (Biomass)'!$B$2/10^9),0)</f>
        <v>-0.0001297460449</v>
      </c>
      <c r="J2140" s="177">
        <f>IF($D$2030&gt;0,IPMT('Assumptions (Biomass)'!$V$7,Model!AC$1,'Assumptions (Biomass)'!$V$10,'Assumptions (Biomass)'!$V$5*Model!$D$2030*'Assumptions (Biomass)'!$B$2/10^9),0)</f>
        <v>-0.0001193096635</v>
      </c>
      <c r="K2140" s="177">
        <f>IF($D$2030&gt;0,IPMT('Assumptions (Biomass)'!$V$7,Model!AD$1,'Assumptions (Biomass)'!$V$10,'Assumptions (Biomass)'!$V$5*Model!$D$2030*'Assumptions (Biomass)'!$B$2/10^9),0)</f>
        <v>-0.000108377554</v>
      </c>
      <c r="L2140" s="177">
        <f>IF($D$2030&gt;0,IPMT('Assumptions (Biomass)'!$V$7,Model!AE$1,'Assumptions (Biomass)'!$V$10,'Assumptions (Biomass)'!$V$5*Model!$D$2030*'Assumptions (Biomass)'!$B$2/10^9),0)</f>
        <v>-0.00009692616921</v>
      </c>
      <c r="M2140" s="177">
        <f>IF($D$2030&gt;0,IPMT('Assumptions (Biomass)'!$V$7,Model!AF$1,'Assumptions (Biomass)'!$V$10,'Assumptions (Biomass)'!$V$5*Model!$D$2030*'Assumptions (Biomass)'!$B$2/10^9),0)</f>
        <v>-0.00008493084368</v>
      </c>
      <c r="N2140" s="177">
        <f>IF($D$2030&gt;0,IPMT('Assumptions (Biomass)'!$V$7,Model!AG$1,'Assumptions (Biomass)'!$V$10,'Assumptions (Biomass)'!$V$5*Model!$D$2030*'Assumptions (Biomass)'!$B$2/10^9),0)</f>
        <v>-0.00007236574019</v>
      </c>
      <c r="O2140" s="177">
        <f>IF($D$2030&gt;0,IPMT('Assumptions (Biomass)'!$V$7,Model!AH$1,'Assumptions (Biomass)'!$V$10,'Assumptions (Biomass)'!$V$5*Model!$D$2030*'Assumptions (Biomass)'!$B$2/10^9),0)</f>
        <v>-0.00005920379429</v>
      </c>
      <c r="P2140" s="177">
        <f>IF($D$2030&gt;0,IPMT('Assumptions (Biomass)'!$V$7,Model!AI$1,'Assumptions (Biomass)'!$V$10,'Assumptions (Biomass)'!$V$5*Model!$D$2030*'Assumptions (Biomass)'!$B$2/10^9),0)</f>
        <v>-0.00004541665595</v>
      </c>
      <c r="Q2140" s="177">
        <f>IF($D$2030&gt;0,IPMT('Assumptions (Biomass)'!$V$7,Model!AJ$1,'Assumptions (Biomass)'!$V$10,'Assumptions (Biomass)'!$V$5*Model!$D$2030*'Assumptions (Biomass)'!$B$2/10^9),0)</f>
        <v>-0.00003097462854</v>
      </c>
      <c r="R2140" s="177">
        <f>IF($D$2030&gt;0,IPMT('Assumptions (Biomass)'!$V$7,Model!AK$1,'Assumptions (Biomass)'!$V$10,'Assumptions (Biomass)'!$V$5*Model!$D$2030*'Assumptions (Biomass)'!$B$2/10^9),0)</f>
        <v>-0.00001584660484</v>
      </c>
      <c r="S2140" s="177"/>
      <c r="T2140" s="177"/>
      <c r="U2140" s="177"/>
      <c r="V2140" s="177"/>
      <c r="W2140" s="177"/>
      <c r="X2140" s="177"/>
      <c r="Y2140" s="177"/>
      <c r="Z2140" s="177"/>
      <c r="AA2140" s="177"/>
      <c r="AB2140" s="177"/>
      <c r="AC2140" s="160"/>
      <c r="AD2140" s="160"/>
      <c r="AE2140" s="160"/>
      <c r="AF2140" s="160"/>
      <c r="AG2140" s="160"/>
    </row>
    <row r="2141" ht="15.75" hidden="1" customHeight="1" outlineLevel="1">
      <c r="A2141" s="318"/>
      <c r="B2141" s="38"/>
      <c r="C2141" s="160"/>
      <c r="D2141" s="160"/>
      <c r="E2141" s="160">
        <f>IF($E$2030&gt;0,IPMT('Assumptions (Biomass)'!$V$7,Model!W$1,'Assumptions (Biomass)'!$V$10,'Assumptions (Biomass)'!$V$5*Model!$E$2030*AVERAGE('Assumptions (Biomass)'!$B$2:$C$2)/10^9),0)</f>
        <v>-0.00007972470051</v>
      </c>
      <c r="F2141" s="160">
        <f>IF($E$2030&gt;0,IPMT('Assumptions (Biomass)'!$V$7,Model!X$1,'Assumptions (Biomass)'!$V$10,'Assumptions (Biomass)'!$V$5*Model!$E$2030*AVERAGE('Assumptions (Biomass)'!$B$2:$C$2)/10^9),0)</f>
        <v>-0.00007596000971</v>
      </c>
      <c r="G2141" s="160">
        <f>IF($E$2030&gt;0,IPMT('Assumptions (Biomass)'!$V$7,Model!Y$1,'Assumptions (Biomass)'!$V$10,'Assumptions (Biomass)'!$V$5*Model!$E$2030*AVERAGE('Assumptions (Biomass)'!$B$2:$C$2)/10^9),0)</f>
        <v>-0.0000720164961</v>
      </c>
      <c r="H2141" s="160">
        <f>IF($E$2030&gt;0,IPMT('Assumptions (Biomass)'!$V$7,Model!Z$1,'Assumptions (Biomass)'!$V$10,'Assumptions (Biomass)'!$V$5*Model!$E$2030*AVERAGE('Assumptions (Biomass)'!$B$2:$C$2)/10^9),0)</f>
        <v>-0.00006788566559</v>
      </c>
      <c r="I2141" s="160">
        <f>IF($E$2030&gt;0,IPMT('Assumptions (Biomass)'!$V$7,Model!AA$1,'Assumptions (Biomass)'!$V$10,'Assumptions (Biomass)'!$V$5*Model!$E$2030*AVERAGE('Assumptions (Biomass)'!$B$2:$C$2)/10^9),0)</f>
        <v>-0.00006355862063</v>
      </c>
      <c r="J2141" s="160">
        <f>IF($E$2030&gt;0,IPMT('Assumptions (Biomass)'!$V$7,Model!AB$1,'Assumptions (Biomass)'!$V$10,'Assumptions (Biomass)'!$V$5*Model!$E$2030*AVERAGE('Assumptions (Biomass)'!$B$2:$C$2)/10^9),0)</f>
        <v>-0.00005902604104</v>
      </c>
      <c r="K2141" s="160">
        <f>IF($E$2030&gt;0,IPMT('Assumptions (Biomass)'!$V$7,Model!AC$1,'Assumptions (Biomass)'!$V$10,'Assumptions (Biomass)'!$V$5*Model!$E$2030*AVERAGE('Assumptions (Biomass)'!$B$2:$C$2)/10^9),0)</f>
        <v>-0.00005427816392</v>
      </c>
      <c r="L2141" s="160">
        <f>IF($E$2030&gt;0,IPMT('Assumptions (Biomass)'!$V$7,Model!AD$1,'Assumptions (Biomass)'!$V$10,'Assumptions (Biomass)'!$V$5*Model!$E$2030*AVERAGE('Assumptions (Biomass)'!$B$2:$C$2)/10^9),0)</f>
        <v>-0.00004930476263</v>
      </c>
      <c r="M2141" s="160">
        <f>IF($E$2030&gt;0,IPMT('Assumptions (Biomass)'!$V$7,Model!AE$1,'Assumptions (Biomass)'!$V$10,'Assumptions (Biomass)'!$V$5*Model!$E$2030*AVERAGE('Assumptions (Biomass)'!$B$2:$C$2)/10^9),0)</f>
        <v>-0.00004409512478</v>
      </c>
      <c r="N2141" s="177">
        <f>IF($E$2030&gt;0,IPMT('Assumptions (Biomass)'!$V$7,Model!AF$1,'Assumptions (Biomass)'!$V$10,'Assumptions (Biomass)'!$V$5*Model!$E$2030*AVERAGE('Assumptions (Biomass)'!$B$2:$C$2)/10^9),0)</f>
        <v>-0.00003863802914</v>
      </c>
      <c r="O2141" s="160">
        <f>IF($E$2030&gt;0,IPMT('Assumptions (Biomass)'!$V$7,Model!AG$1,'Assumptions (Biomass)'!$V$10,'Assumptions (Biomass)'!$V$5*Model!$E$2030*AVERAGE('Assumptions (Biomass)'!$B$2:$C$2)/10^9),0)</f>
        <v>-0.00003292172145</v>
      </c>
      <c r="P2141" s="160">
        <f>IF($E$2030&gt;0,IPMT('Assumptions (Biomass)'!$V$7,Model!AH$1,'Assumptions (Biomass)'!$V$10,'Assumptions (Biomass)'!$V$5*Model!$E$2030*AVERAGE('Assumptions (Biomass)'!$B$2:$C$2)/10^9),0)</f>
        <v>-0.00002693388914</v>
      </c>
      <c r="Q2141" s="160">
        <f>IF($E$2030&gt;0,IPMT('Assumptions (Biomass)'!$V$7,Model!AI$1,'Assumptions (Biomass)'!$V$10,'Assumptions (Biomass)'!$V$5*Model!$E$2030*AVERAGE('Assumptions (Biomass)'!$B$2:$C$2)/10^9),0)</f>
        <v>-0.00002066163481</v>
      </c>
      <c r="R2141" s="160">
        <f>IF($E$2030&gt;0,IPMT('Assumptions (Biomass)'!$V$7,Model!AJ$1,'Assumptions (Biomass)'!$V$10,'Assumptions (Biomass)'!$V$5*Model!$E$2030*AVERAGE('Assumptions (Biomass)'!$B$2:$C$2)/10^9),0)</f>
        <v>-0.00001409144839</v>
      </c>
      <c r="S2141" s="160">
        <f>IF($E$2030&gt;0,IPMT('Assumptions (Biomass)'!$V$7,Model!AK$1,'Assumptions (Biomass)'!$V$10,'Assumptions (Biomass)'!$V$5*Model!$E$2030*AVERAGE('Assumptions (Biomass)'!$B$2:$C$2)/10^9),0)</f>
        <v>-0.000007209178112</v>
      </c>
      <c r="T2141" s="160"/>
      <c r="U2141" s="160"/>
      <c r="V2141" s="160"/>
      <c r="W2141" s="160"/>
      <c r="X2141" s="160"/>
      <c r="Y2141" s="160"/>
      <c r="Z2141" s="160"/>
      <c r="AA2141" s="160"/>
      <c r="AB2141" s="160"/>
      <c r="AC2141" s="160"/>
      <c r="AD2141" s="160"/>
      <c r="AE2141" s="160"/>
      <c r="AF2141" s="160"/>
      <c r="AG2141" s="160"/>
    </row>
    <row r="2142" ht="15.75" hidden="1" customHeight="1" outlineLevel="1">
      <c r="A2142" s="318"/>
      <c r="B2142" s="38"/>
      <c r="C2142" s="160"/>
      <c r="D2142" s="160"/>
      <c r="E2142" s="160"/>
      <c r="F2142" s="160">
        <f>IF($F$2030&gt;0,IPMT('Assumptions (Biomass)'!$V$7,Model!W$1,'Assumptions (Biomass)'!$V$10,'Assumptions (Biomass)'!$V$5*Model!$F$2030*AVERAGE('Assumptions (Biomass)'!$B$2:$D$2)/10^9),0)</f>
        <v>-0.000455814742</v>
      </c>
      <c r="G2142" s="160">
        <f>IF($F$2030&gt;0,IPMT('Assumptions (Biomass)'!$V$7,Model!X$1,'Assumptions (Biomass)'!$V$10,'Assumptions (Biomass)'!$V$5*Model!$F$2030*AVERAGE('Assumptions (Biomass)'!$B$2:$D$2)/10^9),0)</f>
        <v>-0.0004342906528</v>
      </c>
      <c r="H2142" s="160">
        <f>IF($F$2030&gt;0,IPMT('Assumptions (Biomass)'!$V$7,Model!Y$1,'Assumptions (Biomass)'!$V$10,'Assumptions (Biomass)'!$V$5*Model!$F$2030*AVERAGE('Assumptions (Biomass)'!$B$2:$D$2)/10^9),0)</f>
        <v>-0.0004117441694</v>
      </c>
      <c r="I2142" s="160">
        <f>IF($F$2030&gt;0,IPMT('Assumptions (Biomass)'!$V$7,Model!Z$1,'Assumptions (Biomass)'!$V$10,'Assumptions (Biomass)'!$V$5*Model!$F$2030*AVERAGE('Assumptions (Biomass)'!$B$2:$D$2)/10^9),0)</f>
        <v>-0.000388126728</v>
      </c>
      <c r="J2142" s="160">
        <f>IF($F$2030&gt;0,IPMT('Assumptions (Biomass)'!$V$7,Model!AA$1,'Assumptions (Biomass)'!$V$10,'Assumptions (Biomass)'!$V$5*Model!$F$2030*AVERAGE('Assumptions (Biomass)'!$B$2:$D$2)/10^9),0)</f>
        <v>-0.0003633874581</v>
      </c>
      <c r="K2142" s="160">
        <f>IF($F$2030&gt;0,IPMT('Assumptions (Biomass)'!$V$7,Model!AB$1,'Assumptions (Biomass)'!$V$10,'Assumptions (Biomass)'!$V$5*Model!$F$2030*AVERAGE('Assumptions (Biomass)'!$B$2:$D$2)/10^9),0)</f>
        <v>-0.000337473073</v>
      </c>
      <c r="L2142" s="160">
        <f>IF($F$2030&gt;0,IPMT('Assumptions (Biomass)'!$V$7,Model!AC$1,'Assumptions (Biomass)'!$V$10,'Assumptions (Biomass)'!$V$5*Model!$F$2030*AVERAGE('Assumptions (Biomass)'!$B$2:$D$2)/10^9),0)</f>
        <v>-0.0003103277545</v>
      </c>
      <c r="M2142" s="160">
        <f>IF($F$2030&gt;0,IPMT('Assumptions (Biomass)'!$V$7,Model!AD$1,'Assumptions (Biomass)'!$V$10,'Assumptions (Biomass)'!$V$5*Model!$F$2030*AVERAGE('Assumptions (Biomass)'!$B$2:$D$2)/10^9),0)</f>
        <v>-0.0002818930334</v>
      </c>
      <c r="N2142" s="177">
        <f>IF($F$2030&gt;0,IPMT('Assumptions (Biomass)'!$V$7,Model!AE$1,'Assumptions (Biomass)'!$V$10,'Assumptions (Biomass)'!$V$5*Model!$F$2030*AVERAGE('Assumptions (Biomass)'!$B$2:$D$2)/10^9),0)</f>
        <v>-0.000252107663</v>
      </c>
      <c r="O2142" s="160">
        <f>IF($F$2030&gt;0,IPMT('Assumptions (Biomass)'!$V$7,Model!AF$1,'Assumptions (Biomass)'!$V$10,'Assumptions (Biomass)'!$V$5*Model!$F$2030*AVERAGE('Assumptions (Biomass)'!$B$2:$D$2)/10^9),0)</f>
        <v>-0.0002209074875</v>
      </c>
      <c r="P2142" s="160">
        <f>IF($F$2030&gt;0,IPMT('Assumptions (Biomass)'!$V$7,Model!AG$1,'Assumptions (Biomass)'!$V$10,'Assumptions (Biomass)'!$V$5*Model!$F$2030*AVERAGE('Assumptions (Biomass)'!$B$2:$D$2)/10^9),0)</f>
        <v>-0.0001882253038</v>
      </c>
      <c r="Q2142" s="160">
        <f>IF($F$2030&gt;0,IPMT('Assumptions (Biomass)'!$V$7,Model!AH$1,'Assumptions (Biomass)'!$V$10,'Assumptions (Biomass)'!$V$5*Model!$F$2030*AVERAGE('Assumptions (Biomass)'!$B$2:$D$2)/10^9),0)</f>
        <v>-0.0001539907162</v>
      </c>
      <c r="R2142" s="160">
        <f>IF($F$2030&gt;0,IPMT('Assumptions (Biomass)'!$V$7,Model!AI$1,'Assumptions (Biomass)'!$V$10,'Assumptions (Biomass)'!$V$5*Model!$F$2030*AVERAGE('Assumptions (Biomass)'!$B$2:$D$2)/10^9),0)</f>
        <v>-0.0001181299858</v>
      </c>
      <c r="S2142" s="160">
        <f>IF($F$2030&gt;0,IPMT('Assumptions (Biomass)'!$V$7,Model!AJ$1,'Assumptions (Biomass)'!$V$10,'Assumptions (Biomass)'!$V$5*Model!$F$2030*AVERAGE('Assumptions (Biomass)'!$B$2:$D$2)/10^9),0)</f>
        <v>-0.00008056587068</v>
      </c>
      <c r="T2142" s="160">
        <f>IF($F$2030&gt;0,IPMT('Assumptions (Biomass)'!$V$7,Model!AK$1,'Assumptions (Biomass)'!$V$10,'Assumptions (Biomass)'!$V$5*Model!$F$2030*AVERAGE('Assumptions (Biomass)'!$B$2:$D$2)/10^9),0)</f>
        <v>-0.00004121746009</v>
      </c>
      <c r="U2142" s="160"/>
      <c r="V2142" s="160"/>
      <c r="W2142" s="160"/>
      <c r="X2142" s="160"/>
      <c r="Y2142" s="160"/>
      <c r="Z2142" s="160"/>
      <c r="AA2142" s="160"/>
      <c r="AB2142" s="160"/>
      <c r="AC2142" s="160"/>
      <c r="AD2142" s="160"/>
      <c r="AE2142" s="160"/>
      <c r="AF2142" s="160"/>
      <c r="AG2142" s="160"/>
    </row>
    <row r="2143" ht="15.75" hidden="1" customHeight="1" outlineLevel="1">
      <c r="A2143" s="318"/>
      <c r="B2143" s="38"/>
      <c r="C2143" s="160"/>
      <c r="D2143" s="160"/>
      <c r="E2143" s="160"/>
      <c r="F2143" s="160"/>
      <c r="G2143" s="160">
        <f>IF($G$2030&gt;0,IPMT('Assumptions (Biomass)'!$V$7,Model!W$1,'Assumptions (Biomass)'!$V$10,'Assumptions (Biomass)'!$V$5*Model!$G$2030*AVERAGE('Assumptions (Biomass)'!$C$2:$E$2)/10^9),0)</f>
        <v>-0.002276281997</v>
      </c>
      <c r="H2143" s="160">
        <f>IF($G$2030&gt;0,IPMT('Assumptions (Biomass)'!$V$7,Model!X$1,'Assumptions (Biomass)'!$V$10,'Assumptions (Biomass)'!$V$5*Model!$G$2030*AVERAGE('Assumptions (Biomass)'!$C$2:$E$2)/10^9),0)</f>
        <v>-0.002168793379</v>
      </c>
      <c r="I2143" s="160">
        <f>IF($G$2030&gt;0,IPMT('Assumptions (Biomass)'!$V$7,Model!Y$1,'Assumptions (Biomass)'!$V$10,'Assumptions (Biomass)'!$V$5*Model!$G$2030*AVERAGE('Assumptions (Biomass)'!$C$2:$E$2)/10^9),0)</f>
        <v>-0.002056199052</v>
      </c>
      <c r="J2143" s="160">
        <f>IF($G$2030&gt;0,IPMT('Assumptions (Biomass)'!$V$7,Model!Z$1,'Assumptions (Biomass)'!$V$10,'Assumptions (Biomass)'!$V$5*Model!$G$2030*AVERAGE('Assumptions (Biomass)'!$C$2:$E$2)/10^9),0)</f>
        <v>-0.001938256494</v>
      </c>
      <c r="K2143" s="160">
        <f>IF($G$2030&gt;0,IPMT('Assumptions (Biomass)'!$V$7,Model!AA$1,'Assumptions (Biomass)'!$V$10,'Assumptions (Biomass)'!$V$5*Model!$G$2030*AVERAGE('Assumptions (Biomass)'!$C$2:$E$2)/10^9),0)</f>
        <v>-0.001814711664</v>
      </c>
      <c r="L2143" s="160">
        <f>IF($G$2030&gt;0,IPMT('Assumptions (Biomass)'!$V$7,Model!AB$1,'Assumptions (Biomass)'!$V$10,'Assumptions (Biomass)'!$V$5*Model!$G$2030*AVERAGE('Assumptions (Biomass)'!$C$2:$E$2)/10^9),0)</f>
        <v>-0.001685298455</v>
      </c>
      <c r="M2143" s="160">
        <f>IF($G$2030&gt;0,IPMT('Assumptions (Biomass)'!$V$7,Model!AC$1,'Assumptions (Biomass)'!$V$10,'Assumptions (Biomass)'!$V$5*Model!$G$2030*AVERAGE('Assumptions (Biomass)'!$C$2:$E$2)/10^9),0)</f>
        <v>-0.001549738119</v>
      </c>
      <c r="N2143" s="160">
        <f>IF($G$2030&gt;0,IPMT('Assumptions (Biomass)'!$V$7,Model!AD$1,'Assumptions (Biomass)'!$V$10,'Assumptions (Biomass)'!$V$5*Model!$G$2030*AVERAGE('Assumptions (Biomass)'!$C$2:$E$2)/10^9),0)</f>
        <v>-0.001407738666</v>
      </c>
      <c r="O2143" s="160">
        <f>IF($G$2030&gt;0,IPMT('Assumptions (Biomass)'!$V$7,Model!AE$1,'Assumptions (Biomass)'!$V$10,'Assumptions (Biomass)'!$V$5*Model!$G$2030*AVERAGE('Assumptions (Biomass)'!$C$2:$E$2)/10^9),0)</f>
        <v>-0.00125899424</v>
      </c>
      <c r="P2143" s="160">
        <f>IF($G$2030&gt;0,IPMT('Assumptions (Biomass)'!$V$7,Model!AF$1,'Assumptions (Biomass)'!$V$10,'Assumptions (Biomass)'!$V$5*Model!$G$2030*AVERAGE('Assumptions (Biomass)'!$C$2:$E$2)/10^9),0)</f>
        <v>-0.001103184453</v>
      </c>
      <c r="Q2143" s="160">
        <f>IF($G$2030&gt;0,IPMT('Assumptions (Biomass)'!$V$7,Model!AG$1,'Assumptions (Biomass)'!$V$10,'Assumptions (Biomass)'!$V$5*Model!$G$2030*AVERAGE('Assumptions (Biomass)'!$C$2:$E$2)/10^9),0)</f>
        <v>-0.0009399737017</v>
      </c>
      <c r="R2143" s="160">
        <f>IF($G$2030&gt;0,IPMT('Assumptions (Biomass)'!$V$7,Model!AH$1,'Assumptions (Biomass)'!$V$10,'Assumptions (Biomass)'!$V$5*Model!$G$2030*AVERAGE('Assumptions (Biomass)'!$C$2:$E$2)/10^9),0)</f>
        <v>-0.0007690104395</v>
      </c>
      <c r="S2143" s="160">
        <f>IF($G$2030&gt;0,IPMT('Assumptions (Biomass)'!$V$7,Model!AI$1,'Assumptions (Biomass)'!$V$10,'Assumptions (Biomass)'!$V$5*Model!$G$2030*AVERAGE('Assumptions (Biomass)'!$C$2:$E$2)/10^9),0)</f>
        <v>-0.0005899264223</v>
      </c>
      <c r="T2143" s="160">
        <f>IF($G$2030&gt;0,IPMT('Assumptions (Biomass)'!$V$7,Model!AJ$1,'Assumptions (Biomass)'!$V$10,'Assumptions (Biomass)'!$V$5*Model!$G$2030*AVERAGE('Assumptions (Biomass)'!$C$2:$E$2)/10^9),0)</f>
        <v>-0.0004023359144</v>
      </c>
      <c r="U2143" s="160">
        <f>IF($G$2030&gt;0,IPMT('Assumptions (Biomass)'!$V$7,Model!AK$1,'Assumptions (Biomass)'!$V$10,'Assumptions (Biomass)'!$V$5*Model!$G$2030*AVERAGE('Assumptions (Biomass)'!$C$2:$E$2)/10^9),0)</f>
        <v>-0.0002058348573</v>
      </c>
      <c r="V2143" s="160"/>
      <c r="W2143" s="160"/>
      <c r="X2143" s="160"/>
      <c r="Y2143" s="160"/>
      <c r="Z2143" s="160"/>
      <c r="AA2143" s="160"/>
      <c r="AB2143" s="160"/>
      <c r="AC2143" s="160"/>
      <c r="AD2143" s="160"/>
      <c r="AE2143" s="160"/>
      <c r="AF2143" s="160"/>
      <c r="AG2143" s="160"/>
    </row>
    <row r="2144" ht="15.75" hidden="1" customHeight="1" outlineLevel="1">
      <c r="A2144" s="318"/>
      <c r="B2144" s="38"/>
      <c r="C2144" s="160"/>
      <c r="D2144" s="160"/>
      <c r="E2144" s="160"/>
      <c r="F2144" s="160"/>
      <c r="G2144" s="160"/>
      <c r="H2144" s="160">
        <f>IF($H$2030&gt;0,IPMT('Assumptions (Biomass)'!$V$7,Model!W$1,'Assumptions (Biomass)'!$V$10,'Assumptions (Biomass)'!$V$5*Model!$H$2030*AVERAGE('Assumptions (Biomass)'!$D$2:$F$2)/10^9),0)</f>
        <v>-0.0007154679751</v>
      </c>
      <c r="I2144" s="160">
        <f>IF($H$2030&gt;0,IPMT('Assumptions (Biomass)'!$V$7,Model!X$1,'Assumptions (Biomass)'!$V$10,'Assumptions (Biomass)'!$V$5*Model!$H$2030*AVERAGE('Assumptions (Biomass)'!$D$2:$F$2)/10^9),0)</f>
        <v>-0.0006816827657</v>
      </c>
      <c r="J2144" s="160">
        <f>IF($H$2030&gt;0,IPMT('Assumptions (Biomass)'!$V$7,Model!Y$1,'Assumptions (Biomass)'!$V$10,'Assumptions (Biomass)'!$V$5*Model!$H$2030*AVERAGE('Assumptions (Biomass)'!$D$2:$F$2)/10^9),0)</f>
        <v>-0.0006462927588</v>
      </c>
      <c r="K2144" s="160">
        <f>IF($H$2030&gt;0,IPMT('Assumptions (Biomass)'!$V$7,Model!Z$1,'Assumptions (Biomass)'!$V$10,'Assumptions (Biomass)'!$V$5*Model!$H$2030*AVERAGE('Assumptions (Biomass)'!$D$2:$F$2)/10^9),0)</f>
        <v>-0.0006092217266</v>
      </c>
      <c r="L2144" s="160">
        <f>IF($H$2030&gt;0,IPMT('Assumptions (Biomass)'!$V$7,Model!AA$1,'Assumptions (Biomass)'!$V$10,'Assumptions (Biomass)'!$V$5*Model!$H$2030*AVERAGE('Assumptions (Biomass)'!$D$2:$F$2)/10^9),0)</f>
        <v>-0.0005703898204</v>
      </c>
      <c r="M2144" s="160">
        <f>IF($H$2030&gt;0,IPMT('Assumptions (Biomass)'!$V$7,Model!AB$1,'Assumptions (Biomass)'!$V$10,'Assumptions (Biomass)'!$V$5*Model!$H$2030*AVERAGE('Assumptions (Biomass)'!$D$2:$F$2)/10^9),0)</f>
        <v>-0.0005297133986</v>
      </c>
      <c r="N2144" s="160">
        <f>IF($H$2030&gt;0,IPMT('Assumptions (Biomass)'!$V$7,Model!AC$1,'Assumptions (Biomass)'!$V$10,'Assumptions (Biomass)'!$V$5*Model!$H$2030*AVERAGE('Assumptions (Biomass)'!$D$2:$F$2)/10^9),0)</f>
        <v>-0.0004871048468</v>
      </c>
      <c r="O2144" s="160">
        <f>IF($H$2030&gt;0,IPMT('Assumptions (Biomass)'!$V$7,Model!AD$1,'Assumptions (Biomass)'!$V$10,'Assumptions (Biomass)'!$V$5*Model!$H$2030*AVERAGE('Assumptions (Biomass)'!$D$2:$F$2)/10^9),0)</f>
        <v>-0.0004424723888</v>
      </c>
      <c r="P2144" s="160">
        <f>IF($H$2030&gt;0,IPMT('Assumptions (Biomass)'!$V$7,Model!AE$1,'Assumptions (Biomass)'!$V$10,'Assumptions (Biomass)'!$V$5*Model!$H$2030*AVERAGE('Assumptions (Biomass)'!$D$2:$F$2)/10^9),0)</f>
        <v>-0.0003957198891</v>
      </c>
      <c r="Q2144" s="160">
        <f>IF($H$2030&gt;0,IPMT('Assumptions (Biomass)'!$V$7,Model!AF$1,'Assumptions (Biomass)'!$V$10,'Assumptions (Biomass)'!$V$5*Model!$H$2030*AVERAGE('Assumptions (Biomass)'!$D$2:$F$2)/10^9),0)</f>
        <v>-0.0003467466456</v>
      </c>
      <c r="R2144" s="160">
        <f>IF($H$2030&gt;0,IPMT('Assumptions (Biomass)'!$V$7,Model!AG$1,'Assumptions (Biomass)'!$V$10,'Assumptions (Biomass)'!$V$5*Model!$H$2030*AVERAGE('Assumptions (Biomass)'!$D$2:$F$2)/10^9),0)</f>
        <v>-0.000295447173</v>
      </c>
      <c r="S2144" s="160">
        <f>IF($H$2030&gt;0,IPMT('Assumptions (Biomass)'!$V$7,Model!AH$1,'Assumptions (Biomass)'!$V$10,'Assumptions (Biomass)'!$V$5*Model!$H$2030*AVERAGE('Assumptions (Biomass)'!$D$2:$F$2)/10^9),0)</f>
        <v>-0.0002417109755</v>
      </c>
      <c r="T2144" s="160">
        <f>IF($H$2030&gt;0,IPMT('Assumptions (Biomass)'!$V$7,Model!AI$1,'Assumptions (Biomass)'!$V$10,'Assumptions (Biomass)'!$V$5*Model!$H$2030*AVERAGE('Assumptions (Biomass)'!$D$2:$F$2)/10^9),0)</f>
        <v>-0.0001854223086</v>
      </c>
      <c r="U2144" s="160">
        <f>IF($H$2030&gt;0,IPMT('Assumptions (Biomass)'!$V$7,Model!AJ$1,'Assumptions (Biomass)'!$V$10,'Assumptions (Biomass)'!$V$5*Model!$H$2030*AVERAGE('Assumptions (Biomass)'!$D$2:$F$2)/10^9),0)</f>
        <v>-0.00012645993</v>
      </c>
      <c r="V2144" s="160">
        <f>IF($H$2030&gt;0,IPMT('Assumptions (Biomass)'!$V$7,Model!AK$1,'Assumptions (Biomass)'!$V$10,'Assumptions (Biomass)'!$V$5*Model!$H$2030*AVERAGE('Assumptions (Biomass)'!$D$2:$F$2)/10^9),0)</f>
        <v>-0.00006469683841</v>
      </c>
      <c r="W2144" s="160"/>
      <c r="X2144" s="160"/>
      <c r="Y2144" s="160"/>
      <c r="Z2144" s="160"/>
      <c r="AA2144" s="160"/>
      <c r="AB2144" s="160"/>
      <c r="AC2144" s="160"/>
      <c r="AD2144" s="160"/>
      <c r="AE2144" s="160"/>
      <c r="AF2144" s="160"/>
      <c r="AG2144" s="160"/>
    </row>
    <row r="2145" ht="15.75" hidden="1" customHeight="1" outlineLevel="1">
      <c r="A2145" s="318"/>
      <c r="B2145" s="38"/>
      <c r="C2145" s="160"/>
      <c r="D2145" s="160"/>
      <c r="E2145" s="160"/>
      <c r="F2145" s="160"/>
      <c r="G2145" s="160"/>
      <c r="H2145" s="160"/>
      <c r="I2145" s="160">
        <f>IF($I$2030&gt;0,IPMT('Assumptions (Biomass)'!$V$7,Model!W$1,'Assumptions (Biomass)'!$V$10,'Assumptions (Biomass)'!$V$5*Model!$I$2030*AVERAGE('Assumptions (Biomass)'!$E$2:$G$2)/10^9),0)</f>
        <v>-0.005832379581</v>
      </c>
      <c r="J2145" s="160">
        <f>IF($I$2030&gt;0,IPMT('Assumptions (Biomass)'!$V$7,Model!X$1,'Assumptions (Biomass)'!$V$10,'Assumptions (Biomass)'!$V$5*Model!$I$2030*AVERAGE('Assumptions (Biomass)'!$E$2:$G$2)/10^9),0)</f>
        <v>-0.005556968001</v>
      </c>
      <c r="K2145" s="160">
        <f>IF($I$2030&gt;0,IPMT('Assumptions (Biomass)'!$V$7,Model!Y$1,'Assumptions (Biomass)'!$V$10,'Assumptions (Biomass)'!$V$5*Model!$I$2030*AVERAGE('Assumptions (Biomass)'!$E$2:$G$2)/10^9),0)</f>
        <v>-0.00526847437</v>
      </c>
      <c r="L2145" s="160">
        <f>IF($I$2030&gt;0,IPMT('Assumptions (Biomass)'!$V$7,Model!Z$1,'Assumptions (Biomass)'!$V$10,'Assumptions (Biomass)'!$V$5*Model!$I$2030*AVERAGE('Assumptions (Biomass)'!$E$2:$G$2)/10^9),0)</f>
        <v>-0.004966277293</v>
      </c>
      <c r="M2145" s="160">
        <f>IF($I$2030&gt;0,IPMT('Assumptions (Biomass)'!$V$7,Model!AA$1,'Assumptions (Biomass)'!$V$10,'Assumptions (Biomass)'!$V$5*Model!$I$2030*AVERAGE('Assumptions (Biomass)'!$E$2:$G$2)/10^9),0)</f>
        <v>-0.004649725854</v>
      </c>
      <c r="N2145" s="160">
        <f>IF($I$2030&gt;0,IPMT('Assumptions (Biomass)'!$V$7,Model!AB$1,'Assumptions (Biomass)'!$V$10,'Assumptions (Biomass)'!$V$5*Model!$I$2030*AVERAGE('Assumptions (Biomass)'!$E$2:$G$2)/10^9),0)</f>
        <v>-0.004318138222</v>
      </c>
      <c r="O2145" s="160">
        <f>IF($I$2030&gt;0,IPMT('Assumptions (Biomass)'!$V$7,Model!AC$1,'Assumptions (Biomass)'!$V$10,'Assumptions (Biomass)'!$V$5*Model!$I$2030*AVERAGE('Assumptions (Biomass)'!$E$2:$G$2)/10^9),0)</f>
        <v>-0.003970800177</v>
      </c>
      <c r="P2145" s="160">
        <f>IF($I$2030&gt;0,IPMT('Assumptions (Biomass)'!$V$7,Model!AD$1,'Assumptions (Biomass)'!$V$10,'Assumptions (Biomass)'!$V$5*Model!$I$2030*AVERAGE('Assumptions (Biomass)'!$E$2:$G$2)/10^9),0)</f>
        <v>-0.003606963575</v>
      </c>
      <c r="Q2145" s="160">
        <f>IF($I$2030&gt;0,IPMT('Assumptions (Biomass)'!$V$7,Model!AE$1,'Assumptions (Biomass)'!$V$10,'Assumptions (Biomass)'!$V$5*Model!$I$2030*AVERAGE('Assumptions (Biomass)'!$E$2:$G$2)/10^9),0)</f>
        <v>-0.003225844735</v>
      </c>
      <c r="R2145" s="160">
        <f>IF($I$2030&gt;0,IPMT('Assumptions (Biomass)'!$V$7,Model!AF$1,'Assumptions (Biomass)'!$V$10,'Assumptions (Biomass)'!$V$5*Model!$I$2030*AVERAGE('Assumptions (Biomass)'!$E$2:$G$2)/10^9),0)</f>
        <v>-0.00282662275</v>
      </c>
      <c r="S2145" s="160">
        <f>IF($I$2030&gt;0,IPMT('Assumptions (Biomass)'!$V$7,Model!AG$1,'Assumptions (Biomass)'!$V$10,'Assumptions (Biomass)'!$V$5*Model!$I$2030*AVERAGE('Assumptions (Biomass)'!$E$2:$G$2)/10^9),0)</f>
        <v>-0.00240843772</v>
      </c>
      <c r="T2145" s="160">
        <f>IF($I$2030&gt;0,IPMT('Assumptions (Biomass)'!$V$7,Model!AH$1,'Assumptions (Biomass)'!$V$10,'Assumptions (Biomass)'!$V$5*Model!$I$2030*AVERAGE('Assumptions (Biomass)'!$E$2:$G$2)/10^9),0)</f>
        <v>-0.001970388902</v>
      </c>
      <c r="U2145" s="160">
        <f>IF($I$2030&gt;0,IPMT('Assumptions (Biomass)'!$V$7,Model!AI$1,'Assumptions (Biomass)'!$V$10,'Assumptions (Biomass)'!$V$5*Model!$I$2030*AVERAGE('Assumptions (Biomass)'!$E$2:$G$2)/10^9),0)</f>
        <v>-0.001511532764</v>
      </c>
      <c r="V2145" s="160">
        <f>IF($I$2030&gt;0,IPMT('Assumptions (Biomass)'!$V$7,Model!AJ$1,'Assumptions (Biomass)'!$V$10,'Assumptions (Biomass)'!$V$5*Model!$I$2030*AVERAGE('Assumptions (Biomass)'!$E$2:$G$2)/10^9),0)</f>
        <v>-0.00103088096</v>
      </c>
      <c r="W2145" s="160">
        <f>IF($I$2030&gt;0,IPMT('Assumptions (Biomass)'!$V$7,Model!AK$1,'Assumptions (Biomass)'!$V$10,'Assumptions (Biomass)'!$V$5*Model!$I$2030*AVERAGE('Assumptions (Biomass)'!$E$2:$G$2)/10^9),0)</f>
        <v>-0.0005273981959</v>
      </c>
      <c r="X2145" s="160"/>
      <c r="Y2145" s="160"/>
      <c r="Z2145" s="160"/>
      <c r="AA2145" s="160"/>
      <c r="AB2145" s="160"/>
      <c r="AC2145" s="160"/>
      <c r="AD2145" s="160"/>
      <c r="AE2145" s="160"/>
      <c r="AF2145" s="160"/>
      <c r="AG2145" s="160"/>
    </row>
    <row r="2146" ht="15.75" hidden="1" customHeight="1" outlineLevel="1">
      <c r="A2146" s="318"/>
      <c r="B2146" s="38"/>
      <c r="C2146" s="160"/>
      <c r="D2146" s="160"/>
      <c r="E2146" s="160"/>
      <c r="F2146" s="160"/>
      <c r="G2146" s="160"/>
      <c r="H2146" s="160"/>
      <c r="I2146" s="160"/>
      <c r="J2146" s="160">
        <f>IF($J$2030&gt;0,IPMT('Assumptions (Biomass)'!$V$7,Model!W$1,'Assumptions (Biomass)'!$V$10,'Assumptions (Biomass)'!$V$5*Model!$J$2030*AVERAGE('Assumptions (Biomass)'!$F$2:$H$2)/10^9),0)</f>
        <v>-0.002109349657</v>
      </c>
      <c r="K2146" s="160">
        <f>IF($J$2030&gt;0,IPMT('Assumptions (Biomass)'!$V$7,Model!X$1,'Assumptions (Biomass)'!$V$10,'Assumptions (Biomass)'!$V$5*Model!$J$2030*AVERAGE('Assumptions (Biomass)'!$F$2:$H$2)/10^9),0)</f>
        <v>-0.002009743773</v>
      </c>
      <c r="L2146" s="160">
        <f>IF($J$2030&gt;0,IPMT('Assumptions (Biomass)'!$V$7,Model!Y$1,'Assumptions (Biomass)'!$V$10,'Assumptions (Biomass)'!$V$5*Model!$J$2030*AVERAGE('Assumptions (Biomass)'!$F$2:$H$2)/10^9),0)</f>
        <v>-0.00190540661</v>
      </c>
      <c r="M2146" s="160">
        <f>IF($J$2030&gt;0,IPMT('Assumptions (Biomass)'!$V$7,Model!Z$1,'Assumptions (Biomass)'!$V$10,'Assumptions (Biomass)'!$V$5*Model!$J$2030*AVERAGE('Assumptions (Biomass)'!$F$2:$H$2)/10^9),0)</f>
        <v>-0.001796113432</v>
      </c>
      <c r="N2146" s="160">
        <f>IF($J$2030&gt;0,IPMT('Assumptions (Biomass)'!$V$7,Model!AA$1,'Assumptions (Biomass)'!$V$10,'Assumptions (Biomass)'!$V$5*Model!$J$2030*AVERAGE('Assumptions (Biomass)'!$F$2:$H$2)/10^9),0)</f>
        <v>-0.001681628827</v>
      </c>
      <c r="O2146" s="160">
        <f>IF($J$2030&gt;0,IPMT('Assumptions (Biomass)'!$V$7,Model!AB$1,'Assumptions (Biomass)'!$V$10,'Assumptions (Biomass)'!$V$5*Model!$J$2030*AVERAGE('Assumptions (Biomass)'!$F$2:$H$2)/10^9),0)</f>
        <v>-0.001561706204</v>
      </c>
      <c r="P2146" s="160">
        <f>IF($J$2030&gt;0,IPMT('Assumptions (Biomass)'!$V$7,Model!AC$1,'Assumptions (Biomass)'!$V$10,'Assumptions (Biomass)'!$V$5*Model!$J$2030*AVERAGE('Assumptions (Biomass)'!$F$2:$H$2)/10^9),0)</f>
        <v>-0.001436087257</v>
      </c>
      <c r="Q2146" s="160">
        <f>IF($J$2030&gt;0,IPMT('Assumptions (Biomass)'!$V$7,Model!AD$1,'Assumptions (Biomass)'!$V$10,'Assumptions (Biomass)'!$V$5*Model!$J$2030*AVERAGE('Assumptions (Biomass)'!$F$2:$H$2)/10^9),0)</f>
        <v>-0.001304501409</v>
      </c>
      <c r="R2146" s="160">
        <f>IF($J$2030&gt;0,IPMT('Assumptions (Biomass)'!$V$7,Model!AE$1,'Assumptions (Biomass)'!$V$10,'Assumptions (Biomass)'!$V$5*Model!$J$2030*AVERAGE('Assumptions (Biomass)'!$F$2:$H$2)/10^9),0)</f>
        <v>-0.001166665233</v>
      </c>
      <c r="S2146" s="160">
        <f>IF($J$2030&gt;0,IPMT('Assumptions (Biomass)'!$V$7,Model!AF$1,'Assumptions (Biomass)'!$V$10,'Assumptions (Biomass)'!$V$5*Model!$J$2030*AVERAGE('Assumptions (Biomass)'!$F$2:$H$2)/10^9),0)</f>
        <v>-0.00102228184</v>
      </c>
      <c r="T2146" s="160">
        <f>IF($J$2030&gt;0,IPMT('Assumptions (Biomass)'!$V$7,Model!AG$1,'Assumptions (Biomass)'!$V$10,'Assumptions (Biomass)'!$V$5*Model!$J$2030*AVERAGE('Assumptions (Biomass)'!$F$2:$H$2)/10^9),0)</f>
        <v>-0.0008710402347</v>
      </c>
      <c r="U2146" s="160">
        <f>IF($J$2030&gt;0,IPMT('Assumptions (Biomass)'!$V$7,Model!AH$1,'Assumptions (Biomass)'!$V$10,'Assumptions (Biomass)'!$V$5*Model!$J$2030*AVERAGE('Assumptions (Biomass)'!$F$2:$H$2)/10^9),0)</f>
        <v>-0.0007126146534</v>
      </c>
      <c r="V2146" s="160">
        <f>IF($J$2030&gt;0,IPMT('Assumptions (Biomass)'!$V$7,Model!AI$1,'Assumptions (Biomass)'!$V$10,'Assumptions (Biomass)'!$V$5*Model!$J$2030*AVERAGE('Assumptions (Biomass)'!$F$2:$H$2)/10^9),0)</f>
        <v>-0.0005466638571</v>
      </c>
      <c r="W2146" s="160">
        <f>IF($J$2030&gt;0,IPMT('Assumptions (Biomass)'!$V$7,Model!AJ$1,'Assumptions (Biomass)'!$V$10,'Assumptions (Biomass)'!$V$5*Model!$J$2030*AVERAGE('Assumptions (Biomass)'!$F$2:$H$2)/10^9),0)</f>
        <v>-0.000372830398</v>
      </c>
      <c r="X2146" s="160">
        <f>IF($J$2030&gt;0,IPMT('Assumptions (Biomass)'!$V$7,Model!AK$1,'Assumptions (Biomass)'!$V$10,'Assumptions (Biomass)'!$V$5*Model!$J$2030*AVERAGE('Assumptions (Biomass)'!$F$2:$H$2)/10^9),0)</f>
        <v>-0.0001907398495</v>
      </c>
      <c r="Y2146" s="160"/>
      <c r="Z2146" s="160"/>
      <c r="AA2146" s="160"/>
      <c r="AB2146" s="160"/>
      <c r="AC2146" s="160"/>
      <c r="AD2146" s="160"/>
      <c r="AE2146" s="160"/>
      <c r="AF2146" s="160"/>
      <c r="AG2146" s="160"/>
      <c r="AH2146" s="160"/>
    </row>
    <row r="2147" ht="15.75" hidden="1" customHeight="1" outlineLevel="1">
      <c r="A2147" s="318"/>
      <c r="B2147" s="38"/>
      <c r="C2147" s="160"/>
      <c r="D2147" s="160"/>
      <c r="E2147" s="160"/>
      <c r="F2147" s="160"/>
      <c r="G2147" s="160"/>
      <c r="H2147" s="160"/>
      <c r="I2147" s="160"/>
      <c r="J2147" s="160"/>
      <c r="K2147" s="160">
        <f>IF($K$2030&gt;0,IPMT('Assumptions (Biomass)'!$V$7,Model!W$1,'Assumptions (Biomass)'!$V$10,'Assumptions (Biomass)'!$V$5*Model!$K$2030*AVERAGE('Assumptions (Biomass)'!$G$2:$I$2)/10^9),0)</f>
        <v>-0.0009695221441</v>
      </c>
      <c r="L2147" s="160">
        <f>IF($K$2030&gt;0,IPMT('Assumptions (Biomass)'!$V$7,Model!X$1,'Assumptions (Biomass)'!$V$10,'Assumptions (Biomass)'!$V$5*Model!$K$2030*AVERAGE('Assumptions (Biomass)'!$G$2:$I$2)/10^9),0)</f>
        <v>-0.0009237402086</v>
      </c>
      <c r="M2147" s="160">
        <f>IF($K$2030&gt;0,IPMT('Assumptions (Biomass)'!$V$7,Model!Y$1,'Assumptions (Biomass)'!$V$10,'Assumptions (Biomass)'!$V$5*Model!$K$2030*AVERAGE('Assumptions (Biomass)'!$G$2:$I$2)/10^9),0)</f>
        <v>-0.0008757836312</v>
      </c>
      <c r="N2147" s="160">
        <f>IF($K$2030&gt;0,IPMT('Assumptions (Biomass)'!$V$7,Model!Z$1,'Assumptions (Biomass)'!$V$10,'Assumptions (Biomass)'!$V$5*Model!$K$2030*AVERAGE('Assumptions (Biomass)'!$G$2:$I$2)/10^9),0)</f>
        <v>-0.0008255491163</v>
      </c>
      <c r="O2147" s="160">
        <f>IF($K$2030&gt;0,IPMT('Assumptions (Biomass)'!$V$7,Model!AA$1,'Assumptions (Biomass)'!$V$10,'Assumptions (Biomass)'!$V$5*Model!$K$2030*AVERAGE('Assumptions (Biomass)'!$G$2:$I$2)/10^9),0)</f>
        <v>-0.000772928462</v>
      </c>
      <c r="P2147" s="160">
        <f>IF($K$2030&gt;0,IPMT('Assumptions (Biomass)'!$V$7,Model!AB$1,'Assumptions (Biomass)'!$V$10,'Assumptions (Biomass)'!$V$5*Model!$K$2030*AVERAGE('Assumptions (Biomass)'!$G$2:$I$2)/10^9),0)</f>
        <v>-0.0007178083267</v>
      </c>
      <c r="Q2147" s="160">
        <f>IF($K$2030&gt;0,IPMT('Assumptions (Biomass)'!$V$7,Model!AC$1,'Assumptions (Biomass)'!$V$10,'Assumptions (Biomass)'!$V$5*Model!$K$2030*AVERAGE('Assumptions (Biomass)'!$G$2:$I$2)/10^9),0)</f>
        <v>-0.0006600699848</v>
      </c>
      <c r="R2147" s="160">
        <f>IF($K$2030&gt;0,IPMT('Assumptions (Biomass)'!$V$7,Model!AD$1,'Assumptions (Biomass)'!$V$10,'Assumptions (Biomass)'!$V$5*Model!$K$2030*AVERAGE('Assumptions (Biomass)'!$G$2:$I$2)/10^9),0)</f>
        <v>-0.0005995890718</v>
      </c>
      <c r="S2147" s="160">
        <f>IF($K$2030&gt;0,IPMT('Assumptions (Biomass)'!$V$7,Model!AE$1,'Assumptions (Biomass)'!$V$10,'Assumptions (Biomass)'!$V$5*Model!$K$2030*AVERAGE('Assumptions (Biomass)'!$G$2:$I$2)/10^9),0)</f>
        <v>-0.0005362353154</v>
      </c>
      <c r="T2147" s="160">
        <f>IF($K$2030&gt;0,IPMT('Assumptions (Biomass)'!$V$7,Model!AF$1,'Assumptions (Biomass)'!$V$10,'Assumptions (Biomass)'!$V$5*Model!$K$2030*AVERAGE('Assumptions (Biomass)'!$G$2:$I$2)/10^9),0)</f>
        <v>-0.0004698722556</v>
      </c>
      <c r="U2147" s="160">
        <f>IF($K$2030&gt;0,IPMT('Assumptions (Biomass)'!$V$7,Model!AG$1,'Assumptions (Biomass)'!$V$10,'Assumptions (Biomass)'!$V$5*Model!$K$2030*AVERAGE('Assumptions (Biomass)'!$G$2:$I$2)/10^9),0)</f>
        <v>-0.0004003569504</v>
      </c>
      <c r="V2147" s="160">
        <f>IF($K$2030&gt;0,IPMT('Assumptions (Biomass)'!$V$7,Model!AH$1,'Assumptions (Biomass)'!$V$10,'Assumptions (Biomass)'!$V$5*Model!$K$2030*AVERAGE('Assumptions (Biomass)'!$G$2:$I$2)/10^9),0)</f>
        <v>-0.0003275396682</v>
      </c>
      <c r="W2147" s="160">
        <f>IF($K$2030&gt;0,IPMT('Assumptions (Biomass)'!$V$7,Model!AI$1,'Assumptions (Biomass)'!$V$10,'Assumptions (Biomass)'!$V$5*Model!$K$2030*AVERAGE('Assumptions (Biomass)'!$G$2:$I$2)/10^9),0)</f>
        <v>-0.0002512635651</v>
      </c>
      <c r="X2147" s="160">
        <f>IF($K$2030&gt;0,IPMT('Assumptions (Biomass)'!$V$7,Model!AJ$1,'Assumptions (Biomass)'!$V$10,'Assumptions (Biomass)'!$V$5*Model!$K$2030*AVERAGE('Assumptions (Biomass)'!$G$2:$I$2)/10^9),0)</f>
        <v>-0.0001713643471</v>
      </c>
      <c r="Y2147" s="160">
        <f>IF($K$2030&gt;0,IPMT('Assumptions (Biomass)'!$V$7,Model!AK$1,'Assumptions (Biomass)'!$V$10,'Assumptions (Biomass)'!$V$5*Model!$K$2030*AVERAGE('Assumptions (Biomass)'!$G$2:$I$2)/10^9),0)</f>
        <v>-0.0000876699163</v>
      </c>
      <c r="Z2147" s="160"/>
      <c r="AA2147" s="160"/>
      <c r="AB2147" s="160"/>
      <c r="AC2147" s="160"/>
      <c r="AD2147" s="160"/>
      <c r="AE2147" s="160"/>
      <c r="AF2147" s="160"/>
      <c r="AG2147" s="160"/>
      <c r="AH2147" s="160"/>
      <c r="AI2147" s="160"/>
    </row>
    <row r="2148" ht="15.75" hidden="1" customHeight="1" outlineLevel="1">
      <c r="A2148" s="318"/>
      <c r="B2148" s="38"/>
      <c r="C2148" s="160"/>
      <c r="D2148" s="160"/>
      <c r="E2148" s="160"/>
      <c r="F2148" s="160"/>
      <c r="G2148" s="160"/>
      <c r="H2148" s="160"/>
      <c r="I2148" s="160"/>
      <c r="J2148" s="160"/>
      <c r="K2148" s="160"/>
      <c r="L2148" s="160">
        <f>IF($L$2030&gt;0,IPMT('Assumptions (Biomass)'!$V$7,Model!W$1,'Assumptions (Biomass)'!$V$10,'Assumptions (Biomass)'!$V$5*Model!$L$2030*AVERAGE('Assumptions (Biomass)'!$H$2:$J$2)/10^9),0)</f>
        <v>-0.001801936559</v>
      </c>
      <c r="M2148" s="160">
        <f>IF($L$2030&gt;0,IPMT('Assumptions (Biomass)'!$V$7,Model!X$1,'Assumptions (Biomass)'!$V$10,'Assumptions (Biomass)'!$V$5*Model!$L$2030*AVERAGE('Assumptions (Biomass)'!$H$2:$J$2)/10^9),0)</f>
        <v>-0.00171684707</v>
      </c>
      <c r="N2148" s="160">
        <f>IF($L$2030&gt;0,IPMT('Assumptions (Biomass)'!$V$7,Model!Y$1,'Assumptions (Biomass)'!$V$10,'Assumptions (Biomass)'!$V$5*Model!$L$2030*AVERAGE('Assumptions (Biomass)'!$H$2:$J$2)/10^9),0)</f>
        <v>-0.001627715831</v>
      </c>
      <c r="O2148" s="160">
        <f>IF($L$2030&gt;0,IPMT('Assumptions (Biomass)'!$V$7,Model!Z$1,'Assumptions (Biomass)'!$V$10,'Assumptions (Biomass)'!$V$5*Model!$L$2030*AVERAGE('Assumptions (Biomass)'!$H$2:$J$2)/10^9),0)</f>
        <v>-0.001534350858</v>
      </c>
      <c r="P2148" s="160">
        <f>IF($L$2030&gt;0,IPMT('Assumptions (Biomass)'!$V$7,Model!AA$1,'Assumptions (Biomass)'!$V$10,'Assumptions (Biomass)'!$V$5*Model!$L$2030*AVERAGE('Assumptions (Biomass)'!$H$2:$J$2)/10^9),0)</f>
        <v>-0.001436551049</v>
      </c>
      <c r="Q2148" s="160">
        <f>IF($L$2030&gt;0,IPMT('Assumptions (Biomass)'!$V$7,Model!AB$1,'Assumptions (Biomass)'!$V$10,'Assumptions (Biomass)'!$V$5*Model!$L$2030*AVERAGE('Assumptions (Biomass)'!$H$2:$J$2)/10^9),0)</f>
        <v>-0.001334105749</v>
      </c>
      <c r="R2148" s="160">
        <f>IF($L$2030&gt;0,IPMT('Assumptions (Biomass)'!$V$7,Model!AC$1,'Assumptions (Biomass)'!$V$10,'Assumptions (Biomass)'!$V$5*Model!$L$2030*AVERAGE('Assumptions (Biomass)'!$H$2:$J$2)/10^9),0)</f>
        <v>-0.001226794297</v>
      </c>
      <c r="S2148" s="160">
        <f>IF($L$2030&gt;0,IPMT('Assumptions (Biomass)'!$V$7,Model!AD$1,'Assumptions (Biomass)'!$V$10,'Assumptions (Biomass)'!$V$5*Model!$L$2030*AVERAGE('Assumptions (Biomass)'!$H$2:$J$2)/10^9),0)</f>
        <v>-0.001114385551</v>
      </c>
      <c r="T2148" s="160">
        <f>IF($L$2030&gt;0,IPMT('Assumptions (Biomass)'!$V$7,Model!AE$1,'Assumptions (Biomass)'!$V$10,'Assumptions (Biomass)'!$V$5*Model!$L$2030*AVERAGE('Assumptions (Biomass)'!$H$2:$J$2)/10^9),0)</f>
        <v>-0.0009966373896</v>
      </c>
      <c r="U2148" s="160">
        <f>IF($L$2030&gt;0,IPMT('Assumptions (Biomass)'!$V$7,Model!AF$1,'Assumptions (Biomass)'!$V$10,'Assumptions (Biomass)'!$V$5*Model!$L$2030*AVERAGE('Assumptions (Biomass)'!$H$2:$J$2)/10^9),0)</f>
        <v>-0.0008732961906</v>
      </c>
      <c r="V2148" s="160">
        <f>IF($L$2030&gt;0,IPMT('Assumptions (Biomass)'!$V$7,Model!AG$1,'Assumptions (Biomass)'!$V$10,'Assumptions (Biomass)'!$V$5*Model!$L$2030*AVERAGE('Assumptions (Biomass)'!$H$2:$J$2)/10^9),0)</f>
        <v>-0.0007440962847</v>
      </c>
      <c r="W2148" s="160">
        <f>IF($L$2030&gt;0,IPMT('Assumptions (Biomass)'!$V$7,Model!AH$1,'Assumptions (Biomass)'!$V$10,'Assumptions (Biomass)'!$V$5*Model!$L$2030*AVERAGE('Assumptions (Biomass)'!$H$2:$J$2)/10^9),0)</f>
        <v>-0.0006087593833</v>
      </c>
      <c r="X2148" s="160">
        <f>IF($L$2030&gt;0,IPMT('Assumptions (Biomass)'!$V$7,Model!AI$1,'Assumptions (Biomass)'!$V$10,'Assumptions (Biomass)'!$V$5*Model!$L$2030*AVERAGE('Assumptions (Biomass)'!$H$2:$J$2)/10^9),0)</f>
        <v>-0.000466993979</v>
      </c>
      <c r="Y2148" s="160">
        <f>IF($L$2030&gt;0,IPMT('Assumptions (Biomass)'!$V$7,Model!AJ$1,'Assumptions (Biomass)'!$V$10,'Assumptions (Biomass)'!$V$5*Model!$L$2030*AVERAGE('Assumptions (Biomass)'!$H$2:$J$2)/10^9),0)</f>
        <v>-0.0003184947181</v>
      </c>
      <c r="Z2148" s="160">
        <f>IF($L$2030&gt;0,IPMT('Assumptions (Biomass)'!$V$7,Model!AK$1,'Assumptions (Biomass)'!$V$10,'Assumptions (Biomass)'!$V$5*Model!$L$2030*AVERAGE('Assumptions (Biomass)'!$H$2:$J$2)/10^9),0)</f>
        <v>-0.0001629417422</v>
      </c>
      <c r="AA2148" s="160"/>
      <c r="AB2148" s="160"/>
      <c r="AC2148" s="160"/>
      <c r="AD2148" s="160"/>
      <c r="AE2148" s="160"/>
      <c r="AF2148" s="160"/>
      <c r="AG2148" s="160"/>
      <c r="AH2148" s="160"/>
      <c r="AI2148" s="160"/>
      <c r="AJ2148" s="160"/>
    </row>
    <row r="2149" ht="15.75" hidden="1" customHeight="1" outlineLevel="1">
      <c r="A2149" s="318"/>
      <c r="B2149" s="38"/>
      <c r="C2149" s="160"/>
      <c r="D2149" s="160"/>
      <c r="E2149" s="160"/>
      <c r="F2149" s="160"/>
      <c r="G2149" s="160"/>
      <c r="H2149" s="160"/>
      <c r="I2149" s="160"/>
      <c r="J2149" s="160"/>
      <c r="K2149" s="160"/>
      <c r="L2149" s="160"/>
      <c r="M2149" s="160">
        <f>IF($M$2030&gt;0,IPMT('Assumptions (Biomass)'!$V$7,Model!W$1,'Assumptions (Biomass)'!$V$10,'Assumptions (Biomass)'!$V$5*Model!$M$2030*AVERAGE('Assumptions (Biomass)'!$I$2:$K$2)/10^9),0)</f>
        <v>-0.0115630914</v>
      </c>
      <c r="N2149" s="160">
        <f>IF($M$2030&gt;0,IPMT('Assumptions (Biomass)'!$V$7,Model!X$1,'Assumptions (Biomass)'!$V$10,'Assumptions (Biomass)'!$V$5*Model!$M$2030*AVERAGE('Assumptions (Biomass)'!$I$2:$K$2)/10^9),0)</f>
        <v>-0.01101706911</v>
      </c>
      <c r="O2149" s="160">
        <f>IF($M$2030&gt;0,IPMT('Assumptions (Biomass)'!$V$7,Model!Y$1,'Assumptions (Biomass)'!$V$10,'Assumptions (Biomass)'!$V$5*Model!$M$2030*AVERAGE('Assumptions (Biomass)'!$I$2:$K$2)/10^9),0)</f>
        <v>-0.01044511075</v>
      </c>
      <c r="P2149" s="160">
        <f>IF($M$2030&gt;0,IPMT('Assumptions (Biomass)'!$V$7,Model!Z$1,'Assumptions (Biomass)'!$V$10,'Assumptions (Biomass)'!$V$5*Model!$M$2030*AVERAGE('Assumptions (Biomass)'!$I$2:$K$2)/10^9),0)</f>
        <v>-0.00984598438</v>
      </c>
      <c r="Q2149" s="160">
        <f>IF($M$2030&gt;0,IPMT('Assumptions (Biomass)'!$V$7,Model!AA$1,'Assumptions (Biomass)'!$V$10,'Assumptions (Biomass)'!$V$5*Model!$M$2030*AVERAGE('Assumptions (Biomass)'!$I$2:$K$2)/10^9),0)</f>
        <v>-0.009218399504</v>
      </c>
      <c r="R2149" s="160">
        <f>IF($M$2030&gt;0,IPMT('Assumptions (Biomass)'!$V$7,Model!AB$1,'Assumptions (Biomass)'!$V$10,'Assumptions (Biomass)'!$V$5*Model!$M$2030*AVERAGE('Assumptions (Biomass)'!$I$2:$K$2)/10^9),0)</f>
        <v>-0.008561004346</v>
      </c>
      <c r="S2149" s="160">
        <f>IF($M$2030&gt;0,IPMT('Assumptions (Biomass)'!$V$7,Model!AC$1,'Assumptions (Biomass)'!$V$10,'Assumptions (Biomass)'!$V$5*Model!$M$2030*AVERAGE('Assumptions (Biomass)'!$I$2:$K$2)/10^9),0)</f>
        <v>-0.007872382917</v>
      </c>
      <c r="T2149" s="160">
        <f>IF($M$2030&gt;0,IPMT('Assumptions (Biomass)'!$V$7,Model!AD$1,'Assumptions (Biomass)'!$V$10,'Assumptions (Biomass)'!$V$5*Model!$M$2030*AVERAGE('Assumptions (Biomass)'!$I$2:$K$2)/10^9),0)</f>
        <v>-0.007151051971</v>
      </c>
      <c r="U2149" s="160">
        <f>IF($M$2030&gt;0,IPMT('Assumptions (Biomass)'!$V$7,Model!AE$1,'Assumptions (Biomass)'!$V$10,'Assumptions (Biomass)'!$V$5*Model!$M$2030*AVERAGE('Assumptions (Biomass)'!$I$2:$K$2)/10^9),0)</f>
        <v>-0.006395457805</v>
      </c>
      <c r="V2149" s="160">
        <f>IF($M$2030&gt;0,IPMT('Assumptions (Biomass)'!$V$7,Model!AF$1,'Assumptions (Biomass)'!$V$10,'Assumptions (Biomass)'!$V$5*Model!$M$2030*AVERAGE('Assumptions (Biomass)'!$I$2:$K$2)/10^9),0)</f>
        <v>-0.005603972916</v>
      </c>
      <c r="W2149" s="160">
        <f>IF($M$2030&gt;0,IPMT('Assumptions (Biomass)'!$V$7,Model!AG$1,'Assumptions (Biomass)'!$V$10,'Assumptions (Biomass)'!$V$5*Model!$M$2030*AVERAGE('Assumptions (Biomass)'!$I$2:$K$2)/10^9),0)</f>
        <v>-0.004774892495</v>
      </c>
      <c r="X2149" s="160">
        <f>IF($M$2030&gt;0,IPMT('Assumptions (Biomass)'!$V$7,Model!AH$1,'Assumptions (Biomass)'!$V$10,'Assumptions (Biomass)'!$V$5*Model!$M$2030*AVERAGE('Assumptions (Biomass)'!$I$2:$K$2)/10^9),0)</f>
        <v>-0.003906430754</v>
      </c>
      <c r="Y2149" s="160">
        <f>IF($M$2030&gt;0,IPMT('Assumptions (Biomass)'!$V$7,Model!AI$1,'Assumptions (Biomass)'!$V$10,'Assumptions (Biomass)'!$V$5*Model!$M$2030*AVERAGE('Assumptions (Biomass)'!$I$2:$K$2)/10^9),0)</f>
        <v>-0.00299671708</v>
      </c>
      <c r="Z2149" s="160">
        <f>IF($M$2030&gt;0,IPMT('Assumptions (Biomass)'!$V$7,Model!AJ$1,'Assumptions (Biomass)'!$V$10,'Assumptions (Biomass)'!$V$5*Model!$M$2030*AVERAGE('Assumptions (Biomass)'!$I$2:$K$2)/10^9),0)</f>
        <v>-0.002043792007</v>
      </c>
      <c r="AA2149" s="160">
        <f>IF($M$2030&gt;0,IPMT('Assumptions (Biomass)'!$V$7,Model!AK$1,'Assumptions (Biomass)'!$V$10,'Assumptions (Biomass)'!$V$5*Model!$M$2030*AVERAGE('Assumptions (Biomass)'!$I$2:$K$2)/10^9),0)</f>
        <v>-0.001045602993</v>
      </c>
      <c r="AB2149" s="160"/>
      <c r="AC2149" s="160"/>
      <c r="AD2149" s="160"/>
      <c r="AE2149" s="160"/>
      <c r="AF2149" s="160"/>
      <c r="AG2149" s="160"/>
      <c r="AH2149" s="160"/>
      <c r="AI2149" s="160"/>
      <c r="AJ2149" s="160"/>
      <c r="AK2149" s="160"/>
    </row>
    <row r="2150" ht="15.75" hidden="1" customHeight="1" outlineLevel="1">
      <c r="A2150" s="318"/>
      <c r="B2150" s="38"/>
      <c r="C2150" s="160"/>
      <c r="D2150" s="160"/>
      <c r="E2150" s="160"/>
      <c r="F2150" s="160"/>
      <c r="G2150" s="160"/>
      <c r="H2150" s="160"/>
      <c r="I2150" s="160"/>
      <c r="J2150" s="160"/>
      <c r="K2150" s="160"/>
      <c r="L2150" s="160"/>
      <c r="M2150" s="160"/>
      <c r="N2150" s="177">
        <f>IF($N$2030&gt;0,IPMT('Assumptions (Biomass)'!$V$7,Model!W$1,'Assumptions (Biomass)'!$V$10,'Assumptions (Biomass)'!$V$5*Model!$N$2030*AVERAGE('Assumptions (Biomass)'!$J$2:$L$2)/10^9),0)</f>
        <v>-0.01052677689</v>
      </c>
      <c r="O2150" s="177">
        <f>IF($N$2030&gt;0,IPMT('Assumptions (Biomass)'!$V$7,Model!X$1,'Assumptions (Biomass)'!$V$10,'Assumptions (Biomass)'!$V$5*Model!$N$2030*AVERAGE('Assumptions (Biomass)'!$J$2:$L$2)/10^9),0)</f>
        <v>-0.01002969054</v>
      </c>
      <c r="P2150" s="177">
        <f>IF($N$2030&gt;0,IPMT('Assumptions (Biomass)'!$V$7,Model!Y$1,'Assumptions (Biomass)'!$V$10,'Assumptions (Biomass)'!$V$5*Model!$N$2030*AVERAGE('Assumptions (Biomass)'!$J$2:$L$2)/10^9),0)</f>
        <v>-0.009508992592</v>
      </c>
      <c r="Q2150" s="177">
        <f>IF($N$2030&gt;0,IPMT('Assumptions (Biomass)'!$V$7,Model!Z$1,'Assumptions (Biomass)'!$V$10,'Assumptions (Biomass)'!$V$5*Model!$N$2030*AVERAGE('Assumptions (Biomass)'!$J$2:$L$2)/10^9),0)</f>
        <v>-0.008963561492</v>
      </c>
      <c r="R2150" s="177">
        <f>IF($N$2030&gt;0,IPMT('Assumptions (Biomass)'!$V$7,Model!AA$1,'Assumptions (Biomass)'!$V$10,'Assumptions (Biomass)'!$V$5*Model!$N$2030*AVERAGE('Assumptions (Biomass)'!$J$2:$L$2)/10^9),0)</f>
        <v>-0.008392222414</v>
      </c>
      <c r="S2150" s="177">
        <f>IF($N$2030&gt;0,IPMT('Assumptions (Biomass)'!$V$7,Model!AB$1,'Assumptions (Biomass)'!$V$10,'Assumptions (Biomass)'!$V$5*Model!$N$2030*AVERAGE('Assumptions (Biomass)'!$J$2:$L$2)/10^9),0)</f>
        <v>-0.007793744731</v>
      </c>
      <c r="T2150" s="177">
        <f>IF($N$2030&gt;0,IPMT('Assumptions (Biomass)'!$V$7,Model!AC$1,'Assumptions (Biomass)'!$V$10,'Assumptions (Biomass)'!$V$5*Model!$N$2030*AVERAGE('Assumptions (Biomass)'!$J$2:$L$2)/10^9),0)</f>
        <v>-0.007166839357</v>
      </c>
      <c r="U2150" s="177">
        <f>IF($N$2030&gt;0,IPMT('Assumptions (Biomass)'!$V$7,Model!AD$1,'Assumptions (Biomass)'!$V$10,'Assumptions (Biomass)'!$V$5*Model!$N$2030*AVERAGE('Assumptions (Biomass)'!$J$2:$L$2)/10^9),0)</f>
        <v>-0.006510155978</v>
      </c>
      <c r="V2150" s="177">
        <f>IF($N$2030&gt;0,IPMT('Assumptions (Biomass)'!$V$7,Model!AE$1,'Assumptions (Biomass)'!$V$10,'Assumptions (Biomass)'!$V$5*Model!$N$2030*AVERAGE('Assumptions (Biomass)'!$J$2:$L$2)/10^9),0)</f>
        <v>-0.005822280139</v>
      </c>
      <c r="W2150" s="177">
        <f>IF($N$2030&gt;0,IPMT('Assumptions (Biomass)'!$V$7,Model!AF$1,'Assumptions (Biomass)'!$V$10,'Assumptions (Biomass)'!$V$5*Model!$N$2030*AVERAGE('Assumptions (Biomass)'!$J$2:$L$2)/10^9),0)</f>
        <v>-0.005101730197</v>
      </c>
      <c r="X2150" s="177">
        <f>IF($N$2030&gt;0,IPMT('Assumptions (Biomass)'!$V$7,Model!AG$1,'Assumptions (Biomass)'!$V$10,'Assumptions (Biomass)'!$V$5*Model!$N$2030*AVERAGE('Assumptions (Biomass)'!$J$2:$L$2)/10^9),0)</f>
        <v>-0.004346954133</v>
      </c>
      <c r="Y2150" s="177">
        <f>IF($N$2030&gt;0,IPMT('Assumptions (Biomass)'!$V$7,Model!AH$1,'Assumptions (Biomass)'!$V$10,'Assumptions (Biomass)'!$V$5*Model!$N$2030*AVERAGE('Assumptions (Biomass)'!$J$2:$L$2)/10^9),0)</f>
        <v>-0.003556326206</v>
      </c>
      <c r="Z2150" s="177">
        <f>IF($N$2030&gt;0,IPMT('Assumptions (Biomass)'!$V$7,Model!AI$1,'Assumptions (Biomass)'!$V$10,'Assumptions (Biomass)'!$V$5*Model!$N$2030*AVERAGE('Assumptions (Biomass)'!$J$2:$L$2)/10^9),0)</f>
        <v>-0.002728143453</v>
      </c>
      <c r="AA2150" s="177">
        <f>IF($N$2030&gt;0,IPMT('Assumptions (Biomass)'!$V$7,Model!AJ$1,'Assumptions (Biomass)'!$V$10,'Assumptions (Biomass)'!$V$5*Model!$N$2030*AVERAGE('Assumptions (Biomass)'!$J$2:$L$2)/10^9),0)</f>
        <v>-0.001860622018</v>
      </c>
      <c r="AB2150" s="177">
        <f>IF($N$2030&gt;0,IPMT('Assumptions (Biomass)'!$V$7,Model!AK$1,'Assumptions (Biomass)'!$V$10,'Assumptions (Biomass)'!$V$5*Model!$N$2030*AVERAGE('Assumptions (Biomass)'!$J$2:$L$2)/10^9),0)</f>
        <v>-0.0009518933158</v>
      </c>
      <c r="AC2150" s="177"/>
      <c r="AD2150" s="177"/>
      <c r="AE2150" s="177"/>
      <c r="AF2150" s="177"/>
      <c r="AG2150" s="177"/>
      <c r="AH2150" s="177"/>
      <c r="AI2150" s="177"/>
      <c r="AJ2150" s="177"/>
      <c r="AK2150" s="177"/>
      <c r="AL2150" s="177"/>
    </row>
    <row r="2151" ht="15.75" hidden="1" customHeight="1" outlineLevel="1">
      <c r="A2151" s="318"/>
      <c r="B2151" s="38"/>
      <c r="C2151" s="160"/>
      <c r="D2151" s="160"/>
      <c r="E2151" s="160"/>
      <c r="F2151" s="160"/>
      <c r="G2151" s="160"/>
      <c r="H2151" s="160"/>
      <c r="I2151" s="160"/>
      <c r="J2151" s="160"/>
      <c r="K2151" s="160"/>
      <c r="L2151" s="160"/>
      <c r="M2151" s="160"/>
      <c r="N2151" s="160"/>
      <c r="O2151" s="160">
        <f>IF($O$2030&gt;0,IPMT('Assumptions (Biomass)'!$V$7,Model!W$1,'Assumptions (Biomass)'!$V$10,'Assumptions (Biomass)'!$V$5*Model!$O$2030*AVERAGE('Assumptions (Biomass)'!$K$2:$M$2)/10^9),0)</f>
        <v>-0.005344905715</v>
      </c>
      <c r="P2151" s="160">
        <f>IF($O$2030&gt;0,IPMT('Assumptions (Biomass)'!$V$7,Model!X$1,'Assumptions (Biomass)'!$V$10,'Assumptions (Biomass)'!$V$5*Model!$O$2030*AVERAGE('Assumptions (Biomass)'!$K$2:$M$2)/10^9),0)</f>
        <v>-0.005092513204</v>
      </c>
      <c r="Q2151" s="160">
        <f>IF($O$2030&gt;0,IPMT('Assumptions (Biomass)'!$V$7,Model!Y$1,'Assumptions (Biomass)'!$V$10,'Assumptions (Biomass)'!$V$5*Model!$O$2030*AVERAGE('Assumptions (Biomass)'!$K$2:$M$2)/10^9),0)</f>
        <v>-0.004828132048</v>
      </c>
      <c r="R2151" s="160">
        <f>IF($O$2030&gt;0,IPMT('Assumptions (Biomass)'!$V$7,Model!Z$1,'Assumptions (Biomass)'!$V$10,'Assumptions (Biomass)'!$V$5*Model!$O$2030*AVERAGE('Assumptions (Biomass)'!$K$2:$M$2)/10^9),0)</f>
        <v>-0.004551192788</v>
      </c>
      <c r="S2151" s="160">
        <f>IF($O$2030&gt;0,IPMT('Assumptions (Biomass)'!$V$7,Model!AA$1,'Assumptions (Biomass)'!$V$10,'Assumptions (Biomass)'!$V$5*Model!$O$2030*AVERAGE('Assumptions (Biomass)'!$K$2:$M$2)/10^9),0)</f>
        <v>-0.004261098913</v>
      </c>
      <c r="T2151" s="160">
        <f>IF($O$2030&gt;0,IPMT('Assumptions (Biomass)'!$V$7,Model!AB$1,'Assumptions (Biomass)'!$V$10,'Assumptions (Biomass)'!$V$5*Model!$O$2030*AVERAGE('Assumptions (Biomass)'!$K$2:$M$2)/10^9),0)</f>
        <v>-0.003957225579</v>
      </c>
      <c r="U2151" s="160">
        <f>IF($O$2030&gt;0,IPMT('Assumptions (Biomass)'!$V$7,Model!AC$1,'Assumptions (Biomass)'!$V$10,'Assumptions (Biomass)'!$V$5*Model!$O$2030*AVERAGE('Assumptions (Biomass)'!$K$2:$M$2)/10^9),0)</f>
        <v>-0.003638918261</v>
      </c>
      <c r="V2151" s="160">
        <f>IF($O$2030&gt;0,IPMT('Assumptions (Biomass)'!$V$7,Model!AD$1,'Assumptions (Biomass)'!$V$10,'Assumptions (Biomass)'!$V$5*Model!$O$2030*AVERAGE('Assumptions (Biomass)'!$K$2:$M$2)/10^9),0)</f>
        <v>-0.003305491346</v>
      </c>
      <c r="W2151" s="160">
        <f>IF($O$2030&gt;0,IPMT('Assumptions (Biomass)'!$V$7,Model!AE$1,'Assumptions (Biomass)'!$V$10,'Assumptions (Biomass)'!$V$5*Model!$O$2030*AVERAGE('Assumptions (Biomass)'!$K$2:$M$2)/10^9),0)</f>
        <v>-0.002956226652</v>
      </c>
      <c r="X2151" s="160">
        <f>IF($O$2030&gt;0,IPMT('Assumptions (Biomass)'!$V$7,Model!AF$1,'Assumptions (Biomass)'!$V$10,'Assumptions (Biomass)'!$V$5*Model!$O$2030*AVERAGE('Assumptions (Biomass)'!$K$2:$M$2)/10^9),0)</f>
        <v>-0.002590371885</v>
      </c>
      <c r="Y2151" s="160">
        <f>IF($O$2030&gt;0,IPMT('Assumptions (Biomass)'!$V$7,Model!AG$1,'Assumptions (Biomass)'!$V$10,'Assumptions (Biomass)'!$V$5*Model!$O$2030*AVERAGE('Assumptions (Biomass)'!$K$2:$M$2)/10^9),0)</f>
        <v>-0.002207139017</v>
      </c>
      <c r="Z2151" s="160">
        <f>IF($O$2030&gt;0,IPMT('Assumptions (Biomass)'!$V$7,Model!AH$1,'Assumptions (Biomass)'!$V$10,'Assumptions (Biomass)'!$V$5*Model!$O$2030*AVERAGE('Assumptions (Biomass)'!$K$2:$M$2)/10^9),0)</f>
        <v>-0.001805702588</v>
      </c>
      <c r="AA2151" s="160">
        <f>IF($O$2030&gt;0,IPMT('Assumptions (Biomass)'!$V$7,Model!AI$1,'Assumptions (Biomass)'!$V$10,'Assumptions (Biomass)'!$V$5*Model!$O$2030*AVERAGE('Assumptions (Biomass)'!$K$2:$M$2)/10^9),0)</f>
        <v>-0.001385197928</v>
      </c>
      <c r="AB2151" s="160">
        <f>IF($O$2030&gt;0,IPMT('Assumptions (Biomass)'!$V$7,Model!AJ$1,'Assumptions (Biomass)'!$V$10,'Assumptions (Biomass)'!$V$5*Model!$O$2030*AVERAGE('Assumptions (Biomass)'!$K$2:$M$2)/10^9),0)</f>
        <v>-0.000944719297</v>
      </c>
      <c r="AC2151" s="160">
        <f>IF($O$2030&gt;0,IPMT('Assumptions (Biomass)'!$V$7,Model!AK$1,'Assumptions (Biomass)'!$V$10,'Assumptions (Biomass)'!$V$5*Model!$O$2030*AVERAGE('Assumptions (Biomass)'!$K$2:$M$2)/10^9),0)</f>
        <v>-0.0004833179309</v>
      </c>
      <c r="AD2151" s="160"/>
      <c r="AE2151" s="160"/>
      <c r="AF2151" s="160"/>
      <c r="AG2151" s="160"/>
      <c r="AH2151" s="160"/>
      <c r="AI2151" s="160"/>
      <c r="AJ2151" s="160"/>
      <c r="AK2151" s="160"/>
      <c r="AL2151" s="160"/>
      <c r="AM2151" s="160"/>
    </row>
    <row r="2152" ht="15.75" hidden="1" customHeight="1" outlineLevel="1">
      <c r="A2152" s="318"/>
      <c r="B2152" s="38"/>
      <c r="C2152" s="160"/>
      <c r="D2152" s="160"/>
      <c r="E2152" s="160"/>
      <c r="F2152" s="160"/>
      <c r="G2152" s="160"/>
      <c r="H2152" s="160"/>
      <c r="I2152" s="160"/>
      <c r="J2152" s="160"/>
      <c r="K2152" s="160"/>
      <c r="L2152" s="160"/>
      <c r="M2152" s="160"/>
      <c r="N2152" s="160"/>
      <c r="O2152" s="160"/>
      <c r="P2152" s="177">
        <f>IF($P$2030&gt;0,IPMT('Assumptions (Biomass)'!$V$7,Model!W$1,'Assumptions (Biomass)'!$V$10,'Assumptions (Biomass)'!$V$5*Model!$P$2030*AVERAGE('Assumptions (Biomass)'!$L$2:$N$2)/10^9),0)</f>
        <v>-0.01894228147</v>
      </c>
      <c r="Q2152" s="177">
        <f>IF($P$2030&gt;0,IPMT('Assumptions (Biomass)'!$V$7,Model!X$1,'Assumptions (Biomass)'!$V$10,'Assumptions (Biomass)'!$V$5*Model!$P$2030*AVERAGE('Assumptions (Biomass)'!$L$2:$N$2)/10^9),0)</f>
        <v>-0.01804780545</v>
      </c>
      <c r="R2152" s="177">
        <f>IF($P$2030&gt;0,IPMT('Assumptions (Biomass)'!$V$7,Model!Y$1,'Assumptions (Biomass)'!$V$10,'Assumptions (Biomass)'!$V$5*Model!$P$2030*AVERAGE('Assumptions (Biomass)'!$L$2:$N$2)/10^9),0)</f>
        <v>-0.01711084182</v>
      </c>
      <c r="S2152" s="177">
        <f>IF($P$2030&gt;0,IPMT('Assumptions (Biomass)'!$V$7,Model!Z$1,'Assumptions (Biomass)'!$V$10,'Assumptions (Biomass)'!$V$5*Model!$P$2030*AVERAGE('Assumptions (Biomass)'!$L$2:$N$2)/10^9),0)</f>
        <v>-0.01612937242</v>
      </c>
      <c r="T2152" s="177">
        <f>IF($P$2030&gt;0,IPMT('Assumptions (Biomass)'!$V$7,Model!AA$1,'Assumptions (Biomass)'!$V$10,'Assumptions (Biomass)'!$V$5*Model!$P$2030*AVERAGE('Assumptions (Biomass)'!$L$2:$N$2)/10^9),0)</f>
        <v>-0.01510128322</v>
      </c>
      <c r="U2152" s="177">
        <f>IF($P$2030&gt;0,IPMT('Assumptions (Biomass)'!$V$7,Model!AB$1,'Assumptions (Biomass)'!$V$10,'Assumptions (Biomass)'!$V$5*Model!$P$2030*AVERAGE('Assumptions (Biomass)'!$L$2:$N$2)/10^9),0)</f>
        <v>-0.01402435978</v>
      </c>
      <c r="V2152" s="177">
        <f>IF($P$2030&gt;0,IPMT('Assumptions (Biomass)'!$V$7,Model!AC$1,'Assumptions (Biomass)'!$V$10,'Assumptions (Biomass)'!$V$5*Model!$P$2030*AVERAGE('Assumptions (Biomass)'!$L$2:$N$2)/10^9),0)</f>
        <v>-0.01289628248</v>
      </c>
      <c r="W2152" s="177">
        <f>IF($P$2030&gt;0,IPMT('Assumptions (Biomass)'!$V$7,Model!AD$1,'Assumptions (Biomass)'!$V$10,'Assumptions (Biomass)'!$V$5*Model!$P$2030*AVERAGE('Assumptions (Biomass)'!$L$2:$N$2)/10^9),0)</f>
        <v>-0.01171462151</v>
      </c>
      <c r="X2152" s="177">
        <f>IF($P$2030&gt;0,IPMT('Assumptions (Biomass)'!$V$7,Model!AE$1,'Assumptions (Biomass)'!$V$10,'Assumptions (Biomass)'!$V$5*Model!$P$2030*AVERAGE('Assumptions (Biomass)'!$L$2:$N$2)/10^9),0)</f>
        <v>-0.01047683164</v>
      </c>
      <c r="Y2152" s="177">
        <f>IF($P$2030&gt;0,IPMT('Assumptions (Biomass)'!$V$7,Model!AF$1,'Assumptions (Biomass)'!$V$10,'Assumptions (Biomass)'!$V$5*Model!$P$2030*AVERAGE('Assumptions (Biomass)'!$L$2:$N$2)/10^9),0)</f>
        <v>-0.009180246759</v>
      </c>
      <c r="Z2152" s="177">
        <f>IF($P$2030&gt;0,IPMT('Assumptions (Biomass)'!$V$7,Model!AG$1,'Assumptions (Biomass)'!$V$10,'Assumptions (Biomass)'!$V$5*Model!$P$2030*AVERAGE('Assumptions (Biomass)'!$L$2:$N$2)/10^9),0)</f>
        <v>-0.00782207409</v>
      </c>
      <c r="AA2152" s="177">
        <f>IF($P$2030&gt;0,IPMT('Assumptions (Biomass)'!$V$7,Model!AH$1,'Assumptions (Biomass)'!$V$10,'Assumptions (Biomass)'!$V$5*Model!$P$2030*AVERAGE('Assumptions (Biomass)'!$L$2:$N$2)/10^9),0)</f>
        <v>-0.00639938822</v>
      </c>
      <c r="AB2152" s="177">
        <f>IF($P$2030&gt;0,IPMT('Assumptions (Biomass)'!$V$7,Model!AI$1,'Assumptions (Biomass)'!$V$10,'Assumptions (Biomass)'!$V$5*Model!$P$2030*AVERAGE('Assumptions (Biomass)'!$L$2:$N$2)/10^9),0)</f>
        <v>-0.004909124771</v>
      </c>
      <c r="AC2152" s="177">
        <f>IF($P$2030&gt;0,IPMT('Assumptions (Biomass)'!$V$7,Model!AJ$1,'Assumptions (Biomass)'!$V$10,'Assumptions (Biomass)'!$V$5*Model!$P$2030*AVERAGE('Assumptions (Biomass)'!$L$2:$N$2)/10^9),0)</f>
        <v>-0.003348073809</v>
      </c>
      <c r="AD2152" s="177">
        <f>IF($P$2030&gt;0,IPMT('Assumptions (Biomass)'!$V$7,Model!AK$1,'Assumptions (Biomass)'!$V$10,'Assumptions (Biomass)'!$V$5*Model!$P$2030*AVERAGE('Assumptions (Biomass)'!$L$2:$N$2)/10^9),0)</f>
        <v>-0.001712872925</v>
      </c>
      <c r="AE2152" s="177"/>
      <c r="AF2152" s="177"/>
      <c r="AG2152" s="177"/>
      <c r="AH2152" s="177"/>
      <c r="AI2152" s="177"/>
      <c r="AJ2152" s="177"/>
      <c r="AK2152" s="177"/>
      <c r="AL2152" s="177"/>
      <c r="AM2152" s="177"/>
      <c r="AN2152" s="177"/>
    </row>
    <row r="2153" ht="15.75" hidden="1" customHeight="1" outlineLevel="1">
      <c r="A2153" s="318"/>
      <c r="B2153" s="38"/>
      <c r="C2153" s="160"/>
      <c r="D2153" s="160"/>
      <c r="E2153" s="160"/>
      <c r="F2153" s="160"/>
      <c r="G2153" s="160"/>
      <c r="H2153" s="160"/>
      <c r="I2153" s="160"/>
      <c r="J2153" s="160"/>
      <c r="K2153" s="160"/>
      <c r="L2153" s="160"/>
      <c r="M2153" s="160"/>
      <c r="N2153" s="160"/>
      <c r="O2153" s="160"/>
      <c r="P2153" s="179"/>
      <c r="Q2153" s="160">
        <f>IF($Q$2030&gt;0,IPMT('Assumptions (Biomass)'!$V$7,Model!W$1,'Assumptions (Biomass)'!$V$10,'Assumptions (Biomass)'!$V$5*Model!$Q$2030*AVERAGE('Assumptions (Biomass)'!$M$2:$O$2)/10^9),0)</f>
        <v>-0.01086995112</v>
      </c>
      <c r="R2153" s="160">
        <f>IF($Q$2030&gt;0,IPMT('Assumptions (Biomass)'!$V$7,Model!X$1,'Assumptions (Biomass)'!$V$10,'Assumptions (Biomass)'!$V$5*Model!$Q$2030*AVERAGE('Assumptions (Biomass)'!$M$2:$O$2)/10^9),0)</f>
        <v>-0.01035665969</v>
      </c>
      <c r="S2153" s="160">
        <f>IF($Q$2030&gt;0,IPMT('Assumptions (Biomass)'!$V$7,Model!Y$1,'Assumptions (Biomass)'!$V$10,'Assumptions (Biomass)'!$V$5*Model!$Q$2030*AVERAGE('Assumptions (Biomass)'!$M$2:$O$2)/10^9),0)</f>
        <v>-0.00981898693</v>
      </c>
      <c r="T2153" s="160">
        <f>IF($Q$2030&gt;0,IPMT('Assumptions (Biomass)'!$V$7,Model!Z$1,'Assumptions (Biomass)'!$V$10,'Assumptions (Biomass)'!$V$5*Model!$Q$2030*AVERAGE('Assumptions (Biomass)'!$M$2:$O$2)/10^9),0)</f>
        <v>-0.009255774708</v>
      </c>
      <c r="U2153" s="160">
        <f>IF($Q$2030&gt;0,IPMT('Assumptions (Biomass)'!$V$7,Model!AA$1,'Assumptions (Biomass)'!$V$10,'Assumptions (Biomass)'!$V$5*Model!$Q$2030*AVERAGE('Assumptions (Biomass)'!$M$2:$O$2)/10^9),0)</f>
        <v>-0.008665809906</v>
      </c>
      <c r="V2153" s="160">
        <f>IF($Q$2030&gt;0,IPMT('Assumptions (Biomass)'!$V$7,Model!AB$1,'Assumptions (Biomass)'!$V$10,'Assumptions (Biomass)'!$V$5*Model!$Q$2030*AVERAGE('Assumptions (Biomass)'!$M$2:$O$2)/10^9),0)</f>
        <v>-0.008047821775</v>
      </c>
      <c r="W2153" s="160">
        <f>IF($Q$2030&gt;0,IPMT('Assumptions (Biomass)'!$V$7,Model!AC$1,'Assumptions (Biomass)'!$V$10,'Assumptions (Biomass)'!$V$5*Model!$Q$2030*AVERAGE('Assumptions (Biomass)'!$M$2:$O$2)/10^9),0)</f>
        <v>-0.007400479209</v>
      </c>
      <c r="X2153" s="160">
        <f>IF($Q$2030&gt;0,IPMT('Assumptions (Biomass)'!$V$7,Model!AD$1,'Assumptions (Biomass)'!$V$10,'Assumptions (Biomass)'!$V$5*Model!$Q$2030*AVERAGE('Assumptions (Biomass)'!$M$2:$O$2)/10^9),0)</f>
        <v>-0.00672238787</v>
      </c>
      <c r="Y2153" s="160">
        <f>IF($Q$2030&gt;0,IPMT('Assumptions (Biomass)'!$V$7,Model!AE$1,'Assumptions (Biomass)'!$V$10,'Assumptions (Biomass)'!$V$5*Model!$Q$2030*AVERAGE('Assumptions (Biomass)'!$M$2:$O$2)/10^9),0)</f>
        <v>-0.006012087193</v>
      </c>
      <c r="Z2153" s="160">
        <f>IF($Q$2030&gt;0,IPMT('Assumptions (Biomass)'!$V$7,Model!AF$1,'Assumptions (Biomass)'!$V$10,'Assumptions (Biomass)'!$V$5*Model!$Q$2030*AVERAGE('Assumptions (Biomass)'!$M$2:$O$2)/10^9),0)</f>
        <v>-0.005268047234</v>
      </c>
      <c r="AA2153" s="160">
        <f>IF($Q$2030&gt;0,IPMT('Assumptions (Biomass)'!$V$7,Model!AG$1,'Assumptions (Biomass)'!$V$10,'Assumptions (Biomass)'!$V$5*Model!$Q$2030*AVERAGE('Assumptions (Biomass)'!$M$2:$O$2)/10^9),0)</f>
        <v>-0.004488665377</v>
      </c>
      <c r="AB2153" s="160">
        <f>IF($Q$2030&gt;0,IPMT('Assumptions (Biomass)'!$V$7,Model!AH$1,'Assumptions (Biomass)'!$V$10,'Assumptions (Biomass)'!$V$5*Model!$Q$2030*AVERAGE('Assumptions (Biomass)'!$M$2:$O$2)/10^9),0)</f>
        <v>-0.003672262881</v>
      </c>
      <c r="AC2153" s="160">
        <f>IF($Q$2030&gt;0,IPMT('Assumptions (Biomass)'!$V$7,Model!AI$1,'Assumptions (Biomass)'!$V$10,'Assumptions (Biomass)'!$V$5*Model!$Q$2030*AVERAGE('Assumptions (Biomass)'!$M$2:$O$2)/10^9),0)</f>
        <v>-0.002817081267</v>
      </c>
      <c r="AD2153" s="160">
        <f>IF($Q$2030&gt;0,IPMT('Assumptions (Biomass)'!$V$7,Model!AJ$1,'Assumptions (Biomass)'!$V$10,'Assumptions (Biomass)'!$V$5*Model!$Q$2030*AVERAGE('Assumptions (Biomass)'!$M$2:$O$2)/10^9),0)</f>
        <v>-0.001921278527</v>
      </c>
      <c r="AE2153" s="160">
        <f>IF($Q$2030&gt;0,IPMT('Assumptions (Biomass)'!$V$7,Model!AK$1,'Assumptions (Biomass)'!$V$10,'Assumptions (Biomass)'!$V$5*Model!$Q$2030*AVERAGE('Assumptions (Biomass)'!$M$2:$O$2)/10^9),0)</f>
        <v>-0.000982925156</v>
      </c>
      <c r="AF2153" s="160"/>
      <c r="AG2153" s="160"/>
      <c r="AH2153" s="160"/>
      <c r="AI2153" s="160"/>
      <c r="AJ2153" s="160"/>
      <c r="AK2153" s="160"/>
      <c r="AL2153" s="160"/>
      <c r="AM2153" s="160"/>
      <c r="AN2153" s="160"/>
      <c r="AO2153" s="160"/>
    </row>
    <row r="2154" ht="15.75" hidden="1" customHeight="1" outlineLevel="1">
      <c r="A2154" s="318"/>
      <c r="B2154" s="38"/>
      <c r="C2154" s="160"/>
      <c r="D2154" s="160"/>
      <c r="E2154" s="160"/>
      <c r="F2154" s="160"/>
      <c r="G2154" s="160"/>
      <c r="H2154" s="160"/>
      <c r="I2154" s="160"/>
      <c r="J2154" s="160"/>
      <c r="K2154" s="160"/>
      <c r="L2154" s="160"/>
      <c r="M2154" s="160"/>
      <c r="N2154" s="160"/>
      <c r="O2154" s="160"/>
      <c r="P2154" s="179"/>
      <c r="Q2154" s="160"/>
      <c r="R2154" s="177">
        <f>IF($R$2030&gt;0,IPMT('Assumptions (Biomass)'!$V$7,Model!W$1,'Assumptions (Biomass)'!$V$10,'Assumptions (Biomass)'!$V$5*Model!$R$2030*AVERAGE('Assumptions (Biomass)'!$N$2:$P$2)/10^9),0)</f>
        <v>-0.005266544521</v>
      </c>
      <c r="S2154" s="177">
        <f>IF($R$2030&gt;0,IPMT('Assumptions (Biomass)'!$V$7,Model!X$1,'Assumptions (Biomass)'!$V$10,'Assumptions (Biomass)'!$V$5*Model!$R$2030*AVERAGE('Assumptions (Biomass)'!$N$2:$P$2)/10^9),0)</f>
        <v>-0.005017852315</v>
      </c>
      <c r="T2154" s="177">
        <f>IF($R$2030&gt;0,IPMT('Assumptions (Biomass)'!$V$7,Model!Y$1,'Assumptions (Biomass)'!$V$10,'Assumptions (Biomass)'!$V$5*Model!$R$2030*AVERAGE('Assumptions (Biomass)'!$N$2:$P$2)/10^9),0)</f>
        <v>-0.004757347228</v>
      </c>
      <c r="U2154" s="177">
        <f>IF($R$2030&gt;0,IPMT('Assumptions (Biomass)'!$V$7,Model!Z$1,'Assumptions (Biomass)'!$V$10,'Assumptions (Biomass)'!$V$5*Model!$R$2030*AVERAGE('Assumptions (Biomass)'!$N$2:$P$2)/10^9),0)</f>
        <v>-0.00448446815</v>
      </c>
      <c r="V2154" s="177">
        <f>IF($R$2030&gt;0,IPMT('Assumptions (Biomass)'!$V$7,Model!AA$1,'Assumptions (Biomass)'!$V$10,'Assumptions (Biomass)'!$V$5*Model!$R$2030*AVERAGE('Assumptions (Biomass)'!$N$2:$P$2)/10^9),0)</f>
        <v>-0.004198627316</v>
      </c>
      <c r="W2154" s="177">
        <f>IF($R$2030&gt;0,IPMT('Assumptions (Biomass)'!$V$7,Model!AB$1,'Assumptions (Biomass)'!$V$10,'Assumptions (Biomass)'!$V$5*Model!$R$2030*AVERAGE('Assumptions (Biomass)'!$N$2:$P$2)/10^9),0)</f>
        <v>-0.003899209042</v>
      </c>
      <c r="X2154" s="177">
        <f>IF($R$2030&gt;0,IPMT('Assumptions (Biomass)'!$V$7,Model!AC$1,'Assumptions (Biomass)'!$V$10,'Assumptions (Biomass)'!$V$5*Model!$R$2030*AVERAGE('Assumptions (Biomass)'!$N$2:$P$2)/10^9),0)</f>
        <v>-0.0035855684</v>
      </c>
      <c r="Y2154" s="177">
        <f>IF($R$2030&gt;0,IPMT('Assumptions (Biomass)'!$V$7,Model!AD$1,'Assumptions (Biomass)'!$V$10,'Assumptions (Biomass)'!$V$5*Model!$R$2030*AVERAGE('Assumptions (Biomass)'!$N$2:$P$2)/10^9),0)</f>
        <v>-0.003257029827</v>
      </c>
      <c r="Z2154" s="177">
        <f>IF($R$2030&gt;0,IPMT('Assumptions (Biomass)'!$V$7,Model!AE$1,'Assumptions (Biomass)'!$V$10,'Assumptions (Biomass)'!$V$5*Model!$R$2030*AVERAGE('Assumptions (Biomass)'!$N$2:$P$2)/10^9),0)</f>
        <v>-0.002912885672</v>
      </c>
      <c r="AA2154" s="177">
        <f>IF($R$2030&gt;0,IPMT('Assumptions (Biomass)'!$V$7,Model!AF$1,'Assumptions (Biomass)'!$V$10,'Assumptions (Biomass)'!$V$5*Model!$R$2030*AVERAGE('Assumptions (Biomass)'!$N$2:$P$2)/10^9),0)</f>
        <v>-0.00255239467</v>
      </c>
      <c r="AB2154" s="177">
        <f>IF($R$2030&gt;0,IPMT('Assumptions (Biomass)'!$V$7,Model!AG$1,'Assumptions (Biomass)'!$V$10,'Assumptions (Biomass)'!$V$5*Model!$R$2030*AVERAGE('Assumptions (Biomass)'!$N$2:$P$2)/10^9),0)</f>
        <v>-0.002174780346</v>
      </c>
      <c r="AC2154" s="177">
        <f>IF($R$2030&gt;0,IPMT('Assumptions (Biomass)'!$V$7,Model!AH$1,'Assumptions (Biomass)'!$V$10,'Assumptions (Biomass)'!$V$5*Model!$R$2030*AVERAGE('Assumptions (Biomass)'!$N$2:$P$2)/10^9),0)</f>
        <v>-0.001779229341</v>
      </c>
      <c r="AD2154" s="177">
        <f>IF($R$2030&gt;0,IPMT('Assumptions (Biomass)'!$V$7,Model!AI$1,'Assumptions (Biomass)'!$V$10,'Assumptions (Biomass)'!$V$5*Model!$R$2030*AVERAGE('Assumptions (Biomass)'!$N$2:$P$2)/10^9),0)</f>
        <v>-0.001364889663</v>
      </c>
      <c r="AE2154" s="177">
        <f>IF($R$2030&gt;0,IPMT('Assumptions (Biomass)'!$V$7,Model!AJ$1,'Assumptions (Biomass)'!$V$10,'Assumptions (Biomass)'!$V$5*Model!$R$2030*AVERAGE('Assumptions (Biomass)'!$N$2:$P$2)/10^9),0)</f>
        <v>-0.0009308688503</v>
      </c>
      <c r="AF2154" s="177">
        <f>IF($R$2030&gt;0,IPMT('Assumptions (Biomass)'!$V$7,Model!AK$1,'Assumptions (Biomass)'!$V$10,'Assumptions (Biomass)'!$V$5*Model!$R$2030*AVERAGE('Assumptions (Biomass)'!$N$2:$P$2)/10^9),0)</f>
        <v>-0.0004762320492</v>
      </c>
      <c r="AG2154" s="177"/>
      <c r="AH2154" s="177"/>
      <c r="AI2154" s="177"/>
      <c r="AJ2154" s="177"/>
      <c r="AK2154" s="177"/>
      <c r="AL2154" s="177"/>
      <c r="AM2154" s="177"/>
      <c r="AN2154" s="177"/>
      <c r="AO2154" s="177"/>
      <c r="AP2154" s="177"/>
    </row>
    <row r="2155" ht="15.75" hidden="1" customHeight="1" outlineLevel="1">
      <c r="A2155" s="318"/>
      <c r="B2155" s="38"/>
      <c r="C2155" s="160"/>
      <c r="D2155" s="160"/>
      <c r="E2155" s="160"/>
      <c r="F2155" s="160"/>
      <c r="G2155" s="160"/>
      <c r="H2155" s="160"/>
      <c r="I2155" s="160"/>
      <c r="J2155" s="160"/>
      <c r="K2155" s="160"/>
      <c r="L2155" s="160"/>
      <c r="M2155" s="160"/>
      <c r="N2155" s="160"/>
      <c r="O2155" s="160"/>
      <c r="P2155" s="179"/>
      <c r="Q2155" s="160"/>
      <c r="R2155" s="177"/>
      <c r="S2155" s="160">
        <f>IF($S$2030&gt;0,IPMT('Assumptions (Biomass)'!$V$7,Model!W$1,'Assumptions (Biomass)'!$V$10,'Assumptions (Biomass)'!$V$5*Model!$S$2030*AVERAGE('Assumptions (Biomass)'!$O$2:$Q$2)/10^9),0)</f>
        <v>-0.003410584751</v>
      </c>
      <c r="T2155" s="160">
        <f>IF($S$2030&gt;0,IPMT('Assumptions (Biomass)'!$V$7,Model!X$1,'Assumptions (Biomass)'!$V$10,'Assumptions (Biomass)'!$V$5*Model!$S$2030*AVERAGE('Assumptions (Biomass)'!$O$2:$Q$2)/10^9),0)</f>
        <v>-0.003249533071</v>
      </c>
      <c r="U2155" s="160">
        <f>IF($S$2030&gt;0,IPMT('Assumptions (Biomass)'!$V$7,Model!Y$1,'Assumptions (Biomass)'!$V$10,'Assumptions (Biomass)'!$V$5*Model!$S$2030*AVERAGE('Assumptions (Biomass)'!$O$2:$Q$2)/10^9),0)</f>
        <v>-0.003080831435</v>
      </c>
      <c r="V2155" s="160">
        <f>IF($S$2030&gt;0,IPMT('Assumptions (Biomass)'!$V$7,Model!Z$1,'Assumptions (Biomass)'!$V$10,'Assumptions (Biomass)'!$V$5*Model!$S$2030*AVERAGE('Assumptions (Biomass)'!$O$2:$Q$2)/10^9),0)</f>
        <v>-0.002904116471</v>
      </c>
      <c r="W2155" s="160">
        <f>IF($S$2030&gt;0,IPMT('Assumptions (Biomass)'!$V$7,Model!AA$1,'Assumptions (Biomass)'!$V$10,'Assumptions (Biomass)'!$V$5*Model!$S$2030*AVERAGE('Assumptions (Biomass)'!$O$2:$Q$2)/10^9),0)</f>
        <v>-0.002719007547</v>
      </c>
      <c r="X2155" s="160">
        <f>IF($S$2030&gt;0,IPMT('Assumptions (Biomass)'!$V$7,Model!AB$1,'Assumptions (Biomass)'!$V$10,'Assumptions (Biomass)'!$V$5*Model!$S$2030*AVERAGE('Assumptions (Biomass)'!$O$2:$Q$2)/10^9),0)</f>
        <v>-0.002525105949</v>
      </c>
      <c r="Y2155" s="160">
        <f>IF($S$2030&gt;0,IPMT('Assumptions (Biomass)'!$V$7,Model!AC$1,'Assumptions (Biomass)'!$V$10,'Assumptions (Biomass)'!$V$5*Model!$S$2030*AVERAGE('Assumptions (Biomass)'!$O$2:$Q$2)/10^9),0)</f>
        <v>-0.002321994025</v>
      </c>
      <c r="Z2155" s="160">
        <f>IF($S$2030&gt;0,IPMT('Assumptions (Biomass)'!$V$7,Model!AD$1,'Assumptions (Biomass)'!$V$10,'Assumptions (Biomass)'!$V$5*Model!$S$2030*AVERAGE('Assumptions (Biomass)'!$O$2:$Q$2)/10^9),0)</f>
        <v>-0.002109234284</v>
      </c>
      <c r="AA2155" s="160">
        <f>IF($S$2030&gt;0,IPMT('Assumptions (Biomass)'!$V$7,Model!AE$1,'Assumptions (Biomass)'!$V$10,'Assumptions (Biomass)'!$V$5*Model!$S$2030*AVERAGE('Assumptions (Biomass)'!$O$2:$Q$2)/10^9),0)</f>
        <v>-0.001886368456</v>
      </c>
      <c r="AB2155" s="160">
        <f>IF($S$2030&gt;0,IPMT('Assumptions (Biomass)'!$V$7,Model!AF$1,'Assumptions (Biomass)'!$V$10,'Assumptions (Biomass)'!$V$5*Model!$S$2030*AVERAGE('Assumptions (Biomass)'!$O$2:$Q$2)/10^9),0)</f>
        <v>-0.001652916501</v>
      </c>
      <c r="AC2155" s="160">
        <f>IF($S$2030&gt;0,IPMT('Assumptions (Biomass)'!$V$7,Model!AG$1,'Assumptions (Biomass)'!$V$10,'Assumptions (Biomass)'!$V$5*Model!$S$2030*AVERAGE('Assumptions (Biomass)'!$O$2:$Q$2)/10^9),0)</f>
        <v>-0.001408375578</v>
      </c>
      <c r="AD2155" s="160">
        <f>IF($S$2030&gt;0,IPMT('Assumptions (Biomass)'!$V$7,Model!AH$1,'Assumptions (Biomass)'!$V$10,'Assumptions (Biomass)'!$V$5*Model!$S$2030*AVERAGE('Assumptions (Biomass)'!$O$2:$Q$2)/10^9),0)</f>
        <v>-0.001152218961</v>
      </c>
      <c r="AE2155" s="160">
        <f>IF($S$2030&gt;0,IPMT('Assumptions (Biomass)'!$V$7,Model!AI$1,'Assumptions (Biomass)'!$V$10,'Assumptions (Biomass)'!$V$5*Model!$S$2030*AVERAGE('Assumptions (Biomass)'!$O$2:$Q$2)/10^9),0)</f>
        <v>-0.0008838949054</v>
      </c>
      <c r="AF2155" s="160">
        <f>IF($S$2030&gt;0,IPMT('Assumptions (Biomass)'!$V$7,Model!AJ$1,'Assumptions (Biomass)'!$V$10,'Assumptions (Biomass)'!$V$5*Model!$S$2030*AVERAGE('Assumptions (Biomass)'!$O$2:$Q$2)/10^9),0)</f>
        <v>-0.0006028254567</v>
      </c>
      <c r="AG2155" s="160">
        <f>IF($S$2030&gt;0,IPMT('Assumptions (Biomass)'!$V$7,Model!AK$1,'Assumptions (Biomass)'!$V$10,'Assumptions (Biomass)'!$V$5*Model!$S$2030*AVERAGE('Assumptions (Biomass)'!$O$2:$Q$2)/10^9),0)</f>
        <v>-0.0003084052092</v>
      </c>
      <c r="AH2155" s="160"/>
      <c r="AI2155" s="160"/>
      <c r="AJ2155" s="160"/>
      <c r="AK2155" s="160"/>
      <c r="AL2155" s="160"/>
      <c r="AM2155" s="160"/>
      <c r="AN2155" s="160"/>
      <c r="AO2155" s="160"/>
      <c r="AP2155" s="160"/>
      <c r="AQ2155" s="160"/>
    </row>
    <row r="2156" ht="15.75" hidden="1" customHeight="1" outlineLevel="1">
      <c r="A2156" s="318"/>
      <c r="B2156" s="38"/>
      <c r="C2156" s="160"/>
      <c r="D2156" s="160"/>
      <c r="E2156" s="160"/>
      <c r="F2156" s="160"/>
      <c r="G2156" s="160"/>
      <c r="H2156" s="160"/>
      <c r="I2156" s="160"/>
      <c r="J2156" s="160"/>
      <c r="K2156" s="160"/>
      <c r="L2156" s="160"/>
      <c r="M2156" s="160"/>
      <c r="N2156" s="160"/>
      <c r="O2156" s="160"/>
      <c r="P2156" s="179"/>
      <c r="Q2156" s="160"/>
      <c r="R2156" s="177"/>
      <c r="S2156" s="177"/>
      <c r="T2156" s="160">
        <f>IF($T$2030&gt;0,IPMT('Assumptions (Biomass)'!$V$7,Model!W$1,'Assumptions (Biomass)'!$V$10,'Assumptions (Biomass)'!$V$5*Model!$T$2030*AVERAGE('Assumptions (Biomass)'!$P$2:$R$2)/10^9),0)</f>
        <v>-0.01574766409</v>
      </c>
      <c r="U2156" s="160">
        <f>IF($T$2030&gt;0,IPMT('Assumptions (Biomass)'!$V$7,Model!X$1,'Assumptions (Biomass)'!$V$10,'Assumptions (Biomass)'!$V$5*Model!$T$2030*AVERAGE('Assumptions (Biomass)'!$P$2:$R$2)/10^9),0)</f>
        <v>-0.01500404153</v>
      </c>
      <c r="V2156" s="160">
        <f>IF($T$2030&gt;0,IPMT('Assumptions (Biomass)'!$V$7,Model!Y$1,'Assumptions (Biomass)'!$V$10,'Assumptions (Biomass)'!$V$5*Model!$T$2030*AVERAGE('Assumptions (Biomass)'!$P$2:$R$2)/10^9),0)</f>
        <v>-0.01422509689</v>
      </c>
      <c r="W2156" s="160">
        <f>IF($T$2030&gt;0,IPMT('Assumptions (Biomass)'!$V$7,Model!Z$1,'Assumptions (Biomass)'!$V$10,'Assumptions (Biomass)'!$V$5*Model!$T$2030*AVERAGE('Assumptions (Biomass)'!$P$2:$R$2)/10^9),0)</f>
        <v>-0.01340915239</v>
      </c>
      <c r="X2156" s="160">
        <f>IF($T$2030&gt;0,IPMT('Assumptions (Biomass)'!$V$7,Model!AA$1,'Assumptions (Biomass)'!$V$10,'Assumptions (Biomass)'!$V$5*Model!$T$2030*AVERAGE('Assumptions (Biomass)'!$P$2:$R$2)/10^9),0)</f>
        <v>-0.01255445052</v>
      </c>
      <c r="Y2156" s="160">
        <f>IF($T$2030&gt;0,IPMT('Assumptions (Biomass)'!$V$7,Model!AB$1,'Assumptions (Biomass)'!$V$10,'Assumptions (Biomass)'!$V$5*Model!$T$2030*AVERAGE('Assumptions (Biomass)'!$P$2:$R$2)/10^9),0)</f>
        <v>-0.01165915031</v>
      </c>
      <c r="Z2156" s="160">
        <f>IF($T$2030&gt;0,IPMT('Assumptions (Biomass)'!$V$7,Model!AC$1,'Assumptions (Biomass)'!$V$10,'Assumptions (Biomass)'!$V$5*Model!$T$2030*AVERAGE('Assumptions (Biomass)'!$P$2:$R$2)/10^9),0)</f>
        <v>-0.01072132335</v>
      </c>
      <c r="AA2156" s="160">
        <f>IF($T$2030&gt;0,IPMT('Assumptions (Biomass)'!$V$7,Model!AD$1,'Assumptions (Biomass)'!$V$10,'Assumptions (Biomass)'!$V$5*Model!$T$2030*AVERAGE('Assumptions (Biomass)'!$P$2:$R$2)/10^9),0)</f>
        <v>-0.009738949597</v>
      </c>
      <c r="AB2156" s="160">
        <f>IF($T$2030&gt;0,IPMT('Assumptions (Biomass)'!$V$7,Model!AE$1,'Assumptions (Biomass)'!$V$10,'Assumptions (Biomass)'!$V$5*Model!$T$2030*AVERAGE('Assumptions (Biomass)'!$P$2:$R$2)/10^9),0)</f>
        <v>-0.008709913096</v>
      </c>
      <c r="AC2156" s="160">
        <f>IF($T$2030&gt;0,IPMT('Assumptions (Biomass)'!$V$7,Model!AF$1,'Assumptions (Biomass)'!$V$10,'Assumptions (Biomass)'!$V$5*Model!$T$2030*AVERAGE('Assumptions (Biomass)'!$P$2:$R$2)/10^9),0)</f>
        <v>-0.007631997361</v>
      </c>
      <c r="AD2156" s="160">
        <f>IF($T$2030&gt;0,IPMT('Assumptions (Biomass)'!$V$7,Model!AG$1,'Assumptions (Biomass)'!$V$10,'Assumptions (Biomass)'!$V$5*Model!$T$2030*AVERAGE('Assumptions (Biomass)'!$P$2:$R$2)/10^9),0)</f>
        <v>-0.006502880629</v>
      </c>
      <c r="AE2156" s="160">
        <f>IF($T$2030&gt;0,IPMT('Assumptions (Biomass)'!$V$7,Model!AH$1,'Assumptions (Biomass)'!$V$10,'Assumptions (Biomass)'!$V$5*Model!$T$2030*AVERAGE('Assumptions (Biomass)'!$P$2:$R$2)/10^9),0)</f>
        <v>-0.005320130852</v>
      </c>
      <c r="AF2156" s="160">
        <f>IF($T$2030&gt;0,IPMT('Assumptions (Biomass)'!$V$7,Model!AI$1,'Assumptions (Biomass)'!$V$10,'Assumptions (Biomass)'!$V$5*Model!$T$2030*AVERAGE('Assumptions (Biomass)'!$P$2:$R$2)/10^9),0)</f>
        <v>-0.004081200461</v>
      </c>
      <c r="AG2156" s="160">
        <f>IF($T$2030&gt;0,IPMT('Assumptions (Biomass)'!$V$7,Model!AJ$1,'Assumptions (Biomass)'!$V$10,'Assumptions (Biomass)'!$V$5*Model!$T$2030*AVERAGE('Assumptions (Biomass)'!$P$2:$R$2)/10^9),0)</f>
        <v>-0.002783420876</v>
      </c>
      <c r="AH2156" s="160">
        <f>IF($T$2030&gt;0,IPMT('Assumptions (Biomass)'!$V$7,Model!AK$1,'Assumptions (Biomass)'!$V$10,'Assumptions (Biomass)'!$V$5*Model!$T$2030*AVERAGE('Assumptions (Biomass)'!$P$2:$R$2)/10^9),0)</f>
        <v>-0.001423996761</v>
      </c>
      <c r="AI2156" s="160"/>
      <c r="AJ2156" s="160"/>
      <c r="AK2156" s="160"/>
      <c r="AL2156" s="160"/>
      <c r="AM2156" s="160"/>
      <c r="AN2156" s="160"/>
      <c r="AO2156" s="160"/>
      <c r="AP2156" s="160"/>
      <c r="AQ2156" s="160"/>
      <c r="AR2156" s="160"/>
    </row>
    <row r="2157" ht="15.75" hidden="1" customHeight="1" outlineLevel="1">
      <c r="A2157" s="318"/>
      <c r="B2157" s="38"/>
      <c r="C2157" s="160"/>
      <c r="D2157" s="160"/>
      <c r="E2157" s="160"/>
      <c r="F2157" s="160"/>
      <c r="G2157" s="160"/>
      <c r="H2157" s="160"/>
      <c r="I2157" s="160"/>
      <c r="J2157" s="160"/>
      <c r="K2157" s="160"/>
      <c r="L2157" s="160"/>
      <c r="M2157" s="160"/>
      <c r="N2157" s="160"/>
      <c r="O2157" s="160"/>
      <c r="P2157" s="179"/>
      <c r="Q2157" s="160"/>
      <c r="R2157" s="177"/>
      <c r="S2157" s="177"/>
      <c r="T2157" s="177"/>
      <c r="U2157" s="160">
        <f>IF($U$2030&gt;0,IPMT('Assumptions (Biomass)'!$V$7,Model!W$1,'Assumptions (Biomass)'!$V$10,'Assumptions (Biomass)'!$V$5*Model!$U$2030*AVERAGE('Assumptions (Biomass)'!$Q$2:$S$2)/10^9),0)</f>
        <v>0</v>
      </c>
      <c r="V2157" s="160">
        <f>IF($U$2030&gt;0,IPMT('Assumptions (Biomass)'!$V$7,Model!X$1,'Assumptions (Biomass)'!$V$10,'Assumptions (Biomass)'!$V$5*Model!$U$2030*AVERAGE('Assumptions (Biomass)'!$Q$2:$S$2)/10^9),0)</f>
        <v>0</v>
      </c>
      <c r="W2157" s="160">
        <f>IF($U$2030&gt;0,IPMT('Assumptions (Biomass)'!$V$7,Model!Y$1,'Assumptions (Biomass)'!$V$10,'Assumptions (Biomass)'!$V$5*Model!$U$2030*AVERAGE('Assumptions (Biomass)'!$Q$2:$S$2)/10^9),0)</f>
        <v>0</v>
      </c>
      <c r="X2157" s="160">
        <f>IF($U$2030&gt;0,IPMT('Assumptions (Biomass)'!$V$7,Model!Z$1,'Assumptions (Biomass)'!$V$10,'Assumptions (Biomass)'!$V$5*Model!$U$2030*AVERAGE('Assumptions (Biomass)'!$Q$2:$S$2)/10^9),0)</f>
        <v>0</v>
      </c>
      <c r="Y2157" s="160">
        <f>IF($U$2030&gt;0,IPMT('Assumptions (Biomass)'!$V$7,Model!AA$1,'Assumptions (Biomass)'!$V$10,'Assumptions (Biomass)'!$V$5*Model!$U$2030*AVERAGE('Assumptions (Biomass)'!$Q$2:$S$2)/10^9),0)</f>
        <v>0</v>
      </c>
      <c r="Z2157" s="160">
        <f>IF($U$2030&gt;0,IPMT('Assumptions (Biomass)'!$V$7,Model!AB$1,'Assumptions (Biomass)'!$V$10,'Assumptions (Biomass)'!$V$5*Model!$U$2030*AVERAGE('Assumptions (Biomass)'!$Q$2:$S$2)/10^9),0)</f>
        <v>0</v>
      </c>
      <c r="AA2157" s="160">
        <f>IF($U$2030&gt;0,IPMT('Assumptions (Biomass)'!$V$7,Model!AC$1,'Assumptions (Biomass)'!$V$10,'Assumptions (Biomass)'!$V$5*Model!$U$2030*AVERAGE('Assumptions (Biomass)'!$Q$2:$S$2)/10^9),0)</f>
        <v>0</v>
      </c>
      <c r="AB2157" s="160">
        <f>IF($U$2030&gt;0,IPMT('Assumptions (Biomass)'!$V$7,Model!AD$1,'Assumptions (Biomass)'!$V$10,'Assumptions (Biomass)'!$V$5*Model!$U$2030*AVERAGE('Assumptions (Biomass)'!$Q$2:$S$2)/10^9),0)</f>
        <v>0</v>
      </c>
      <c r="AC2157" s="160">
        <f>IF($U$2030&gt;0,IPMT('Assumptions (Biomass)'!$V$7,Model!AE$1,'Assumptions (Biomass)'!$V$10,'Assumptions (Biomass)'!$V$5*Model!$U$2030*AVERAGE('Assumptions (Biomass)'!$Q$2:$S$2)/10^9),0)</f>
        <v>0</v>
      </c>
      <c r="AD2157" s="160">
        <f>IF($U$2030&gt;0,IPMT('Assumptions (Biomass)'!$V$7,Model!AF$1,'Assumptions (Biomass)'!$V$10,'Assumptions (Biomass)'!$V$5*Model!$U$2030*AVERAGE('Assumptions (Biomass)'!$Q$2:$S$2)/10^9),0)</f>
        <v>0</v>
      </c>
      <c r="AE2157" s="160">
        <f>IF($U$2030&gt;0,IPMT('Assumptions (Biomass)'!$V$7,Model!AG$1,'Assumptions (Biomass)'!$V$10,'Assumptions (Biomass)'!$V$5*Model!$U$2030*AVERAGE('Assumptions (Biomass)'!$Q$2:$S$2)/10^9),0)</f>
        <v>0</v>
      </c>
      <c r="AF2157" s="160">
        <f>IF($U$2030&gt;0,IPMT('Assumptions (Biomass)'!$V$7,Model!AH$1,'Assumptions (Biomass)'!$V$10,'Assumptions (Biomass)'!$V$5*Model!$U$2030*AVERAGE('Assumptions (Biomass)'!$Q$2:$S$2)/10^9),0)</f>
        <v>0</v>
      </c>
      <c r="AG2157" s="160">
        <f>IF($U$2030&gt;0,IPMT('Assumptions (Biomass)'!$V$7,Model!AI$1,'Assumptions (Biomass)'!$V$10,'Assumptions (Biomass)'!$V$5*Model!$U$2030*AVERAGE('Assumptions (Biomass)'!$Q$2:$S$2)/10^9),0)</f>
        <v>0</v>
      </c>
      <c r="AH2157" s="160">
        <f>IF($U$2030&gt;0,IPMT('Assumptions (Biomass)'!$V$7,Model!AJ$1,'Assumptions (Biomass)'!$V$10,'Assumptions (Biomass)'!$V$5*Model!$U$2030*AVERAGE('Assumptions (Biomass)'!$Q$2:$S$2)/10^9),0)</f>
        <v>0</v>
      </c>
      <c r="AI2157" s="160">
        <f>IF($U$2030&gt;0,IPMT('Assumptions (Biomass)'!$V$7,Model!AK$1,'Assumptions (Biomass)'!$V$10,'Assumptions (Biomass)'!$V$5*Model!$U$2030*AVERAGE('Assumptions (Biomass)'!$Q$2:$S$2)/10^9),0)</f>
        <v>0</v>
      </c>
      <c r="AJ2157" s="160"/>
      <c r="AK2157" s="160"/>
      <c r="AL2157" s="160"/>
      <c r="AM2157" s="160"/>
      <c r="AN2157" s="160"/>
      <c r="AO2157" s="160"/>
      <c r="AP2157" s="160"/>
      <c r="AQ2157" s="160"/>
      <c r="AR2157" s="160"/>
      <c r="AS2157" s="160"/>
    </row>
    <row r="2158" ht="15.75" hidden="1" customHeight="1" outlineLevel="1">
      <c r="A2158" s="318"/>
      <c r="B2158" s="38"/>
      <c r="C2158" s="160"/>
      <c r="D2158" s="160"/>
      <c r="E2158" s="160"/>
      <c r="F2158" s="160"/>
      <c r="G2158" s="160"/>
      <c r="H2158" s="160"/>
      <c r="I2158" s="160"/>
      <c r="J2158" s="160"/>
      <c r="K2158" s="160"/>
      <c r="L2158" s="160"/>
      <c r="M2158" s="160"/>
      <c r="N2158" s="160"/>
      <c r="O2158" s="160"/>
      <c r="P2158" s="179"/>
      <c r="Q2158" s="160"/>
      <c r="R2158" s="177"/>
      <c r="S2158" s="177"/>
      <c r="T2158" s="177"/>
      <c r="U2158" s="160"/>
      <c r="V2158" s="160">
        <f>IF($V$2030&gt;0,IPMT('Assumptions (Biomass)'!$V$7,Model!W$1,'Assumptions (Biomass)'!$V$10,'Assumptions (Biomass)'!$V$5*Model!$V$2030*AVERAGE('Assumptions (Biomass)'!$R$2:$T$2)/10^9),0)</f>
        <v>0</v>
      </c>
      <c r="W2158" s="160">
        <f>IF($V$2030&gt;0,IPMT('Assumptions (Biomass)'!$V$7,Model!X$1,'Assumptions (Biomass)'!$V$10,'Assumptions (Biomass)'!$V$5*Model!$V$2030*AVERAGE('Assumptions (Biomass)'!$R$2:$T$2)/10^9),0)</f>
        <v>0</v>
      </c>
      <c r="X2158" s="160">
        <f>IF($V$2030&gt;0,IPMT('Assumptions (Biomass)'!$V$7,Model!Y$1,'Assumptions (Biomass)'!$V$10,'Assumptions (Biomass)'!$V$5*Model!$V$2030*AVERAGE('Assumptions (Biomass)'!$R$2:$T$2)/10^9),0)</f>
        <v>0</v>
      </c>
      <c r="Y2158" s="160">
        <f>IF($V$2030&gt;0,IPMT('Assumptions (Biomass)'!$V$7,Model!Z$1,'Assumptions (Biomass)'!$V$10,'Assumptions (Biomass)'!$V$5*Model!$V$2030*AVERAGE('Assumptions (Biomass)'!$R$2:$T$2)/10^9),0)</f>
        <v>0</v>
      </c>
      <c r="Z2158" s="160">
        <f>IF($V$2030&gt;0,IPMT('Assumptions (Biomass)'!$V$7,Model!AA$1,'Assumptions (Biomass)'!$V$10,'Assumptions (Biomass)'!$V$5*Model!$V$2030*AVERAGE('Assumptions (Biomass)'!$R$2:$T$2)/10^9),0)</f>
        <v>0</v>
      </c>
      <c r="AA2158" s="160">
        <f>IF($V$2030&gt;0,IPMT('Assumptions (Biomass)'!$V$7,Model!AB$1,'Assumptions (Biomass)'!$V$10,'Assumptions (Biomass)'!$V$5*Model!$V$2030*AVERAGE('Assumptions (Biomass)'!$R$2:$T$2)/10^9),0)</f>
        <v>0</v>
      </c>
      <c r="AB2158" s="160">
        <f>IF($V$2030&gt;0,IPMT('Assumptions (Biomass)'!$V$7,Model!AC$1,'Assumptions (Biomass)'!$V$10,'Assumptions (Biomass)'!$V$5*Model!$V$2030*AVERAGE('Assumptions (Biomass)'!$R$2:$T$2)/10^9),0)</f>
        <v>0</v>
      </c>
      <c r="AC2158" s="160">
        <f>IF($V$2030&gt;0,IPMT('Assumptions (Biomass)'!$V$7,Model!AD$1,'Assumptions (Biomass)'!$V$10,'Assumptions (Biomass)'!$V$5*Model!$V$2030*AVERAGE('Assumptions (Biomass)'!$R$2:$T$2)/10^9),0)</f>
        <v>0</v>
      </c>
      <c r="AD2158" s="160">
        <f>IF($V$2030&gt;0,IPMT('Assumptions (Biomass)'!$V$7,Model!AE$1,'Assumptions (Biomass)'!$V$10,'Assumptions (Biomass)'!$V$5*Model!$V$2030*AVERAGE('Assumptions (Biomass)'!$R$2:$T$2)/10^9),0)</f>
        <v>0</v>
      </c>
      <c r="AE2158" s="160">
        <f>IF($V$2030&gt;0,IPMT('Assumptions (Biomass)'!$V$7,Model!AF$1,'Assumptions (Biomass)'!$V$10,'Assumptions (Biomass)'!$V$5*Model!$V$2030*AVERAGE('Assumptions (Biomass)'!$R$2:$T$2)/10^9),0)</f>
        <v>0</v>
      </c>
      <c r="AF2158" s="160">
        <f>IF($V$2030&gt;0,IPMT('Assumptions (Biomass)'!$V$7,Model!AG$1,'Assumptions (Biomass)'!$V$10,'Assumptions (Biomass)'!$V$5*Model!$V$2030*AVERAGE('Assumptions (Biomass)'!$R$2:$T$2)/10^9),0)</f>
        <v>0</v>
      </c>
      <c r="AG2158" s="160">
        <f>IF($V$2030&gt;0,IPMT('Assumptions (Biomass)'!$V$7,Model!AH$1,'Assumptions (Biomass)'!$V$10,'Assumptions (Biomass)'!$V$5*Model!$V$2030*AVERAGE('Assumptions (Biomass)'!$R$2:$T$2)/10^9),0)</f>
        <v>0</v>
      </c>
      <c r="AH2158" s="160">
        <f>IF($V$2030&gt;0,IPMT('Assumptions (Biomass)'!$V$7,Model!AI$1,'Assumptions (Biomass)'!$V$10,'Assumptions (Biomass)'!$V$5*Model!$V$2030*AVERAGE('Assumptions (Biomass)'!$R$2:$T$2)/10^9),0)</f>
        <v>0</v>
      </c>
      <c r="AI2158" s="160">
        <f>IF($V$2030&gt;0,IPMT('Assumptions (Biomass)'!$V$7,Model!AJ$1,'Assumptions (Biomass)'!$V$10,'Assumptions (Biomass)'!$V$5*Model!$V$2030*AVERAGE('Assumptions (Biomass)'!$R$2:$T$2)/10^9),0)</f>
        <v>0</v>
      </c>
      <c r="AJ2158" s="160">
        <f>IF($V$2030&gt;0,IPMT('Assumptions (Biomass)'!$V$7,Model!AK$1,'Assumptions (Biomass)'!$V$10,'Assumptions (Biomass)'!$V$5*Model!$V$2030*AVERAGE('Assumptions (Biomass)'!$R$2:$T$2)/10^9),0)</f>
        <v>0</v>
      </c>
      <c r="AK2158" s="160"/>
      <c r="AL2158" s="160"/>
      <c r="AM2158" s="160"/>
      <c r="AN2158" s="160"/>
      <c r="AO2158" s="160"/>
      <c r="AP2158" s="160"/>
      <c r="AQ2158" s="160"/>
      <c r="AR2158" s="160"/>
      <c r="AS2158" s="160"/>
      <c r="AT2158" s="160"/>
    </row>
    <row r="2159" ht="15.75" hidden="1" customHeight="1" outlineLevel="1">
      <c r="A2159" s="318"/>
      <c r="B2159" s="38"/>
      <c r="C2159" s="174"/>
      <c r="D2159" s="174"/>
      <c r="E2159" s="174"/>
      <c r="F2159" s="174"/>
      <c r="G2159" s="174"/>
      <c r="H2159" s="174"/>
      <c r="I2159" s="174"/>
      <c r="J2159" s="174"/>
      <c r="K2159" s="174"/>
      <c r="L2159" s="174"/>
      <c r="M2159" s="174"/>
      <c r="N2159" s="174"/>
      <c r="O2159" s="174"/>
      <c r="P2159" s="174"/>
      <c r="Q2159" s="174"/>
      <c r="R2159" s="174"/>
      <c r="S2159" s="174"/>
      <c r="T2159" s="174"/>
      <c r="U2159" s="174"/>
      <c r="V2159" s="174"/>
      <c r="W2159" s="160">
        <f>IF($W$2030&gt;0,IPMT('Assumptions (Biomass)'!$V$7,Model!W$1,'Assumptions (Biomass)'!$V$10,'Assumptions (Biomass)'!$V$5*Model!$W$2030*average('Assumptions (Biomass)'!$S$2:$U$2)/10^9),0)</f>
        <v>0</v>
      </c>
      <c r="X2159" s="160">
        <f>IF($W$2030&gt;0,IPMT('Assumptions (Biomass)'!$V$7,Model!X$1,'Assumptions (Biomass)'!$V$10,'Assumptions (Biomass)'!$V$5*Model!$W$2030*average('Assumptions (Biomass)'!$S$2:$U$2)/10^9),0)</f>
        <v>0</v>
      </c>
      <c r="Y2159" s="160">
        <f>IF($W$2030&gt;0,IPMT('Assumptions (Biomass)'!$V$7,Model!Y$1,'Assumptions (Biomass)'!$V$10,'Assumptions (Biomass)'!$V$5*Model!$W$2030*average('Assumptions (Biomass)'!$S$2:$U$2)/10^9),0)</f>
        <v>0</v>
      </c>
      <c r="Z2159" s="160">
        <f>IF($W$2030&gt;0,IPMT('Assumptions (Biomass)'!$V$7,Model!Z$1,'Assumptions (Biomass)'!$V$10,'Assumptions (Biomass)'!$V$5*Model!$W$2030*average('Assumptions (Biomass)'!$S$2:$U$2)/10^9),0)</f>
        <v>0</v>
      </c>
      <c r="AA2159" s="160">
        <f>IF($W$2030&gt;0,IPMT('Assumptions (Biomass)'!$V$7,Model!AA$1,'Assumptions (Biomass)'!$V$10,'Assumptions (Biomass)'!$V$5*Model!$W$2030*average('Assumptions (Biomass)'!$S$2:$U$2)/10^9),0)</f>
        <v>0</v>
      </c>
      <c r="AB2159" s="160">
        <f>IF($W$2030&gt;0,IPMT('Assumptions (Biomass)'!$V$7,Model!AB$1,'Assumptions (Biomass)'!$V$10,'Assumptions (Biomass)'!$V$5*Model!$W$2030*average('Assumptions (Biomass)'!$S$2:$U$2)/10^9),0)</f>
        <v>0</v>
      </c>
      <c r="AC2159" s="160">
        <f>IF($W$2030&gt;0,IPMT('Assumptions (Biomass)'!$V$7,Model!AC$1,'Assumptions (Biomass)'!$V$10,'Assumptions (Biomass)'!$V$5*Model!$W$2030*average('Assumptions (Biomass)'!$S$2:$U$2)/10^9),0)</f>
        <v>0</v>
      </c>
      <c r="AD2159" s="160">
        <f>IF($W$2030&gt;0,IPMT('Assumptions (Biomass)'!$V$7,Model!AD$1,'Assumptions (Biomass)'!$V$10,'Assumptions (Biomass)'!$V$5*Model!$W$2030*average('Assumptions (Biomass)'!$S$2:$U$2)/10^9),0)</f>
        <v>0</v>
      </c>
      <c r="AE2159" s="160">
        <f>IF($W$2030&gt;0,IPMT('Assumptions (Biomass)'!$V$7,Model!AE$1,'Assumptions (Biomass)'!$V$10,'Assumptions (Biomass)'!$V$5*Model!$W$2030*average('Assumptions (Biomass)'!$S$2:$U$2)/10^9),0)</f>
        <v>0</v>
      </c>
      <c r="AF2159" s="160">
        <f>IF($W$2030&gt;0,IPMT('Assumptions (Biomass)'!$V$7,Model!AF$1,'Assumptions (Biomass)'!$V$10,'Assumptions (Biomass)'!$V$5*Model!$W$2030*average('Assumptions (Biomass)'!$S$2:$U$2)/10^9),0)</f>
        <v>0</v>
      </c>
      <c r="AG2159" s="160">
        <f>IF($W$2030&gt;0,IPMT('Assumptions (Biomass)'!$V$7,Model!AG$1,'Assumptions (Biomass)'!$V$10,'Assumptions (Biomass)'!$V$5*Model!$W$2030*average('Assumptions (Biomass)'!$S$2:$U$2)/10^9),0)</f>
        <v>0</v>
      </c>
      <c r="AH2159" s="160">
        <f>IF($W$2030&gt;0,IPMT('Assumptions (Biomass)'!$V$7,Model!AH$1,'Assumptions (Biomass)'!$V$10,'Assumptions (Biomass)'!$V$5*Model!$W$2030*average('Assumptions (Biomass)'!$S$2:$U$2)/10^9),0)</f>
        <v>0</v>
      </c>
      <c r="AI2159" s="160">
        <f>IF($W$2030&gt;0,IPMT('Assumptions (Biomass)'!$V$7,Model!AI$1,'Assumptions (Biomass)'!$V$10,'Assumptions (Biomass)'!$V$5*Model!$W$2030*average('Assumptions (Biomass)'!$S$2:$U$2)/10^9),0)</f>
        <v>0</v>
      </c>
      <c r="AJ2159" s="160">
        <f>IF($W$2030&gt;0,IPMT('Assumptions (Biomass)'!$V$7,Model!AJ$1,'Assumptions (Biomass)'!$V$10,'Assumptions (Biomass)'!$V$5*Model!$W$2030*average('Assumptions (Biomass)'!$S$2:$U$2)/10^9),0)</f>
        <v>0</v>
      </c>
      <c r="AK2159" s="160">
        <f>IF($W$2030&gt;0,IPMT('Assumptions (Biomass)'!$V$7,Model!AK$1,'Assumptions (Biomass)'!$V$10,'Assumptions (Biomass)'!$V$5*Model!$W$2030*average('Assumptions (Biomass)'!$S$2:$U$2)/10^9),0)</f>
        <v>0</v>
      </c>
      <c r="AL2159" s="160"/>
      <c r="AM2159" s="160"/>
      <c r="AN2159" s="160"/>
      <c r="AO2159" s="160"/>
      <c r="AP2159" s="160"/>
      <c r="AQ2159" s="160"/>
      <c r="AR2159" s="160"/>
      <c r="AS2159" s="160"/>
      <c r="AT2159" s="160"/>
      <c r="AU2159" s="160"/>
      <c r="AV2159" s="160"/>
      <c r="AW2159" s="160"/>
      <c r="AX2159" s="160"/>
      <c r="AY2159" s="160"/>
      <c r="AZ2159" s="160"/>
      <c r="BA2159" s="160"/>
    </row>
    <row r="2160" ht="15.75" hidden="1" customHeight="1" outlineLevel="1">
      <c r="A2160" s="318"/>
      <c r="B2160" s="38"/>
      <c r="C2160" s="174"/>
      <c r="D2160" s="174"/>
      <c r="E2160" s="174"/>
      <c r="F2160" s="174"/>
      <c r="G2160" s="174"/>
      <c r="H2160" s="174"/>
      <c r="I2160" s="174"/>
      <c r="J2160" s="174"/>
      <c r="K2160" s="174"/>
      <c r="L2160" s="174"/>
      <c r="M2160" s="174"/>
      <c r="N2160" s="174"/>
      <c r="O2160" s="174"/>
      <c r="P2160" s="174"/>
      <c r="Q2160" s="174"/>
      <c r="R2160" s="174"/>
      <c r="S2160" s="174"/>
      <c r="T2160" s="174"/>
      <c r="U2160" s="174"/>
      <c r="V2160" s="174"/>
      <c r="W2160" s="160"/>
      <c r="X2160" s="160">
        <f>IF($X$2030&gt;0,IPMT('Assumptions (Biomass)'!$V$7,Model!W$1,'Assumptions (Biomass)'!$V$10,'Assumptions (Biomass)'!$V$5*Model!$X$2030*average('Assumptions (Biomass)'!$T$2:$V$2)/10^9),0)</f>
        <v>0</v>
      </c>
      <c r="Y2160" s="160">
        <f>IF($X$2030&gt;0,IPMT('Assumptions (Biomass)'!$V$7,Model!X$1,'Assumptions (Biomass)'!$V$10,'Assumptions (Biomass)'!$V$5*Model!$X$2030*average('Assumptions (Biomass)'!$T$2:$V$2)/10^9),0)</f>
        <v>0</v>
      </c>
      <c r="Z2160" s="160">
        <f>IF($X$2030&gt;0,IPMT('Assumptions (Biomass)'!$V$7,Model!Y$1,'Assumptions (Biomass)'!$V$10,'Assumptions (Biomass)'!$V$5*Model!$X$2030*average('Assumptions (Biomass)'!$T$2:$V$2)/10^9),0)</f>
        <v>0</v>
      </c>
      <c r="AA2160" s="160">
        <f>IF($X$2030&gt;0,IPMT('Assumptions (Biomass)'!$V$7,Model!Z$1,'Assumptions (Biomass)'!$V$10,'Assumptions (Biomass)'!$V$5*Model!$X$2030*average('Assumptions (Biomass)'!$T$2:$V$2)/10^9),0)</f>
        <v>0</v>
      </c>
      <c r="AB2160" s="160">
        <f>IF($X$2030&gt;0,IPMT('Assumptions (Biomass)'!$V$7,Model!AA$1,'Assumptions (Biomass)'!$V$10,'Assumptions (Biomass)'!$V$5*Model!$X$2030*average('Assumptions (Biomass)'!$T$2:$V$2)/10^9),0)</f>
        <v>0</v>
      </c>
      <c r="AC2160" s="160">
        <f>IF($X$2030&gt;0,IPMT('Assumptions (Biomass)'!$V$7,Model!AB$1,'Assumptions (Biomass)'!$V$10,'Assumptions (Biomass)'!$V$5*Model!$X$2030*average('Assumptions (Biomass)'!$T$2:$V$2)/10^9),0)</f>
        <v>0</v>
      </c>
      <c r="AD2160" s="160">
        <f>IF($X$2030&gt;0,IPMT('Assumptions (Biomass)'!$V$7,Model!AC$1,'Assumptions (Biomass)'!$V$10,'Assumptions (Biomass)'!$V$5*Model!$X$2030*average('Assumptions (Biomass)'!$T$2:$V$2)/10^9),0)</f>
        <v>0</v>
      </c>
      <c r="AE2160" s="160">
        <f>IF($X$2030&gt;0,IPMT('Assumptions (Biomass)'!$V$7,Model!AD$1,'Assumptions (Biomass)'!$V$10,'Assumptions (Biomass)'!$V$5*Model!$X$2030*average('Assumptions (Biomass)'!$T$2:$V$2)/10^9),0)</f>
        <v>0</v>
      </c>
      <c r="AF2160" s="160">
        <f>IF($X$2030&gt;0,IPMT('Assumptions (Biomass)'!$V$7,Model!AE$1,'Assumptions (Biomass)'!$V$10,'Assumptions (Biomass)'!$V$5*Model!$X$2030*average('Assumptions (Biomass)'!$T$2:$V$2)/10^9),0)</f>
        <v>0</v>
      </c>
      <c r="AG2160" s="160">
        <f>IF($X$2030&gt;0,IPMT('Assumptions (Biomass)'!$V$7,Model!AF$1,'Assumptions (Biomass)'!$V$10,'Assumptions (Biomass)'!$V$5*Model!$X$2030*average('Assumptions (Biomass)'!$T$2:$V$2)/10^9),0)</f>
        <v>0</v>
      </c>
      <c r="AH2160" s="160">
        <f>IF($X$2030&gt;0,IPMT('Assumptions (Biomass)'!$V$7,Model!AG$1,'Assumptions (Biomass)'!$V$10,'Assumptions (Biomass)'!$V$5*Model!$X$2030*average('Assumptions (Biomass)'!$T$2:$V$2)/10^9),0)</f>
        <v>0</v>
      </c>
      <c r="AI2160" s="160">
        <f>IF($X$2030&gt;0,IPMT('Assumptions (Biomass)'!$V$7,Model!AH$1,'Assumptions (Biomass)'!$V$10,'Assumptions (Biomass)'!$V$5*Model!$X$2030*average('Assumptions (Biomass)'!$T$2:$V$2)/10^9),0)</f>
        <v>0</v>
      </c>
      <c r="AJ2160" s="160">
        <f>IF($X$2030&gt;0,IPMT('Assumptions (Biomass)'!$V$7,Model!AI$1,'Assumptions (Biomass)'!$V$10,'Assumptions (Biomass)'!$V$5*Model!$X$2030*average('Assumptions (Biomass)'!$T$2:$V$2)/10^9),0)</f>
        <v>0</v>
      </c>
      <c r="AK2160" s="160">
        <f>IF($X$2030&gt;0,IPMT('Assumptions (Biomass)'!$V$7,Model!AJ$1,'Assumptions (Biomass)'!$V$10,'Assumptions (Biomass)'!$V$5*Model!$X$2030*average('Assumptions (Biomass)'!$T$2:$V$2)/10^9),0)</f>
        <v>0</v>
      </c>
      <c r="AL2160" s="160">
        <f>IF($X$2030&gt;0,IPMT('Assumptions (Biomass)'!$V$7,Model!AK$1,'Assumptions (Biomass)'!$V$10,'Assumptions (Biomass)'!$V$5*Model!$X$2030*average('Assumptions (Biomass)'!$T$2:$V$2)/10^9),0)</f>
        <v>0</v>
      </c>
      <c r="AM2160" s="160"/>
      <c r="AN2160" s="160"/>
      <c r="AO2160" s="160"/>
      <c r="AP2160" s="160"/>
      <c r="AQ2160" s="160"/>
      <c r="AR2160" s="160"/>
      <c r="AS2160" s="160"/>
      <c r="AT2160" s="160"/>
      <c r="AU2160" s="160"/>
      <c r="AV2160" s="160"/>
      <c r="AW2160" s="160"/>
      <c r="AX2160" s="160"/>
      <c r="AY2160" s="160"/>
      <c r="AZ2160" s="160"/>
      <c r="BA2160" s="160"/>
    </row>
    <row r="2161" ht="15.75" hidden="1" customHeight="1" outlineLevel="1">
      <c r="A2161" s="318"/>
      <c r="B2161" s="38"/>
      <c r="C2161" s="174"/>
      <c r="D2161" s="174"/>
      <c r="E2161" s="174"/>
      <c r="F2161" s="174"/>
      <c r="G2161" s="174"/>
      <c r="H2161" s="174"/>
      <c r="I2161" s="174"/>
      <c r="J2161" s="174"/>
      <c r="K2161" s="174"/>
      <c r="L2161" s="174"/>
      <c r="M2161" s="174"/>
      <c r="N2161" s="174"/>
      <c r="O2161" s="174"/>
      <c r="P2161" s="174"/>
      <c r="Q2161" s="174"/>
      <c r="R2161" s="174"/>
      <c r="S2161" s="174"/>
      <c r="T2161" s="174"/>
      <c r="U2161" s="174"/>
      <c r="V2161" s="174"/>
      <c r="W2161" s="160"/>
      <c r="X2161" s="160"/>
      <c r="Y2161" s="160">
        <f>IF($Y$2030&gt;0,IPMT('Assumptions (Biomass)'!$V$7,Model!W$1,'Assumptions (Biomass)'!$V$10,'Assumptions (Biomass)'!$V$5*Model!$Y$2030*AVERAGE('Assumptions (Biomass)'!$U$2:$W$2)/10^9),0)</f>
        <v>0</v>
      </c>
      <c r="Z2161" s="160">
        <f>IF($Y$2030&gt;0,IPMT('Assumptions (Biomass)'!$V$7,Model!X$1,'Assumptions (Biomass)'!$V$10,'Assumptions (Biomass)'!$V$5*Model!$Y$2030*AVERAGE('Assumptions (Biomass)'!$U$2:$W$2)/10^9),0)</f>
        <v>0</v>
      </c>
      <c r="AA2161" s="160">
        <f>IF($Y$2030&gt;0,IPMT('Assumptions (Biomass)'!$V$7,Model!Y$1,'Assumptions (Biomass)'!$V$10,'Assumptions (Biomass)'!$V$5*Model!$Y$2030*AVERAGE('Assumptions (Biomass)'!$U$2:$W$2)/10^9),0)</f>
        <v>0</v>
      </c>
      <c r="AB2161" s="160">
        <f>IF($Y$2030&gt;0,IPMT('Assumptions (Biomass)'!$V$7,Model!Z$1,'Assumptions (Biomass)'!$V$10,'Assumptions (Biomass)'!$V$5*Model!$Y$2030*AVERAGE('Assumptions (Biomass)'!$U$2:$W$2)/10^9),0)</f>
        <v>0</v>
      </c>
      <c r="AC2161" s="160">
        <f>IF($Y$2030&gt;0,IPMT('Assumptions (Biomass)'!$V$7,Model!AA$1,'Assumptions (Biomass)'!$V$10,'Assumptions (Biomass)'!$V$5*Model!$Y$2030*AVERAGE('Assumptions (Biomass)'!$U$2:$W$2)/10^9),0)</f>
        <v>0</v>
      </c>
      <c r="AD2161" s="160">
        <f>IF($Y$2030&gt;0,IPMT('Assumptions (Biomass)'!$V$7,Model!AB$1,'Assumptions (Biomass)'!$V$10,'Assumptions (Biomass)'!$V$5*Model!$Y$2030*AVERAGE('Assumptions (Biomass)'!$U$2:$W$2)/10^9),0)</f>
        <v>0</v>
      </c>
      <c r="AE2161" s="160">
        <f>IF($Y$2030&gt;0,IPMT('Assumptions (Biomass)'!$V$7,Model!AC$1,'Assumptions (Biomass)'!$V$10,'Assumptions (Biomass)'!$V$5*Model!$Y$2030*AVERAGE('Assumptions (Biomass)'!$U$2:$W$2)/10^9),0)</f>
        <v>0</v>
      </c>
      <c r="AF2161" s="160">
        <f>IF($Y$2030&gt;0,IPMT('Assumptions (Biomass)'!$V$7,Model!AD$1,'Assumptions (Biomass)'!$V$10,'Assumptions (Biomass)'!$V$5*Model!$Y$2030*AVERAGE('Assumptions (Biomass)'!$U$2:$W$2)/10^9),0)</f>
        <v>0</v>
      </c>
      <c r="AG2161" s="160">
        <f>IF($Y$2030&gt;0,IPMT('Assumptions (Biomass)'!$V$7,Model!AE$1,'Assumptions (Biomass)'!$V$10,'Assumptions (Biomass)'!$V$5*Model!$Y$2030*AVERAGE('Assumptions (Biomass)'!$U$2:$W$2)/10^9),0)</f>
        <v>0</v>
      </c>
      <c r="AH2161" s="160">
        <f>IF($Y$2030&gt;0,IPMT('Assumptions (Biomass)'!$V$7,Model!AF$1,'Assumptions (Biomass)'!$V$10,'Assumptions (Biomass)'!$V$5*Model!$Y$2030*AVERAGE('Assumptions (Biomass)'!$U$2:$W$2)/10^9),0)</f>
        <v>0</v>
      </c>
      <c r="AI2161" s="160">
        <f>IF($Y$2030&gt;0,IPMT('Assumptions (Biomass)'!$V$7,Model!AG$1,'Assumptions (Biomass)'!$V$10,'Assumptions (Biomass)'!$V$5*Model!$Y$2030*AVERAGE('Assumptions (Biomass)'!$U$2:$W$2)/10^9),0)</f>
        <v>0</v>
      </c>
      <c r="AJ2161" s="160">
        <f>IF($Y$2030&gt;0,IPMT('Assumptions (Biomass)'!$V$7,Model!AH$1,'Assumptions (Biomass)'!$V$10,'Assumptions (Biomass)'!$V$5*Model!$Y$2030*AVERAGE('Assumptions (Biomass)'!$U$2:$W$2)/10^9),0)</f>
        <v>0</v>
      </c>
      <c r="AK2161" s="160">
        <f>IF($Y$2030&gt;0,IPMT('Assumptions (Biomass)'!$V$7,Model!AI$1,'Assumptions (Biomass)'!$V$10,'Assumptions (Biomass)'!$V$5*Model!$Y$2030*AVERAGE('Assumptions (Biomass)'!$U$2:$W$2)/10^9),0)</f>
        <v>0</v>
      </c>
      <c r="AL2161" s="160">
        <f>IF($Y$2030&gt;0,IPMT('Assumptions (Biomass)'!$V$7,Model!AJ$1,'Assumptions (Biomass)'!$V$10,'Assumptions (Biomass)'!$V$5*Model!$Y$2030*AVERAGE('Assumptions (Biomass)'!$U$2:$W$2)/10^9),0)</f>
        <v>0</v>
      </c>
      <c r="AM2161" s="160">
        <f>IF($Y$2030&gt;0,IPMT('Assumptions (Biomass)'!$V$7,Model!AK$1,'Assumptions (Biomass)'!$V$10,'Assumptions (Biomass)'!$V$5*Model!$Y$2030*AVERAGE('Assumptions (Biomass)'!$U$2:$W$2)/10^9),0)</f>
        <v>0</v>
      </c>
      <c r="AN2161" s="160"/>
      <c r="AO2161" s="160"/>
      <c r="AP2161" s="160"/>
      <c r="AQ2161" s="160"/>
      <c r="AR2161" s="160"/>
      <c r="AS2161" s="160"/>
      <c r="AT2161" s="160"/>
      <c r="AU2161" s="160"/>
      <c r="AV2161" s="160"/>
      <c r="AW2161" s="160"/>
      <c r="AX2161" s="160"/>
      <c r="AY2161" s="160"/>
      <c r="AZ2161" s="160"/>
      <c r="BA2161" s="160"/>
    </row>
    <row r="2162" ht="15.75" hidden="1" customHeight="1" outlineLevel="1">
      <c r="A2162" s="318"/>
      <c r="B2162" s="38"/>
      <c r="C2162" s="174"/>
      <c r="D2162" s="174"/>
      <c r="E2162" s="174"/>
      <c r="F2162" s="174"/>
      <c r="G2162" s="174"/>
      <c r="H2162" s="174"/>
      <c r="I2162" s="174"/>
      <c r="J2162" s="174"/>
      <c r="K2162" s="174"/>
      <c r="L2162" s="174"/>
      <c r="M2162" s="174"/>
      <c r="N2162" s="174"/>
      <c r="O2162" s="174"/>
      <c r="P2162" s="174"/>
      <c r="Q2162" s="174"/>
      <c r="R2162" s="174"/>
      <c r="S2162" s="174"/>
      <c r="T2162" s="174"/>
      <c r="U2162" s="174"/>
      <c r="V2162" s="174"/>
      <c r="W2162" s="160"/>
      <c r="X2162" s="160"/>
      <c r="Y2162" s="160"/>
      <c r="Z2162" s="160">
        <f>IF($Z$2030&gt;0,IPMT('Assumptions (Biomass)'!$V$7,Model!W$1,'Assumptions (Biomass)'!$V$10,'Assumptions (Biomass)'!$V$5*Model!$Z$2030*AVERAGE('Assumptions (Biomass)'!$V$2:$X$2)/10^9),0)</f>
        <v>0</v>
      </c>
      <c r="AA2162" s="160">
        <f>IF($Z$2030&gt;0,IPMT('Assumptions (Biomass)'!$V$7,Model!X$1,'Assumptions (Biomass)'!$V$10,'Assumptions (Biomass)'!$V$5*Model!$Z$2030*AVERAGE('Assumptions (Biomass)'!$V$2:$X$2)/10^9),0)</f>
        <v>0</v>
      </c>
      <c r="AB2162" s="160">
        <f>IF($Z$2030&gt;0,IPMT('Assumptions (Biomass)'!$V$7,Model!Y$1,'Assumptions (Biomass)'!$V$10,'Assumptions (Biomass)'!$V$5*Model!$Z$2030*AVERAGE('Assumptions (Biomass)'!$V$2:$X$2)/10^9),0)</f>
        <v>0</v>
      </c>
      <c r="AC2162" s="160">
        <f>IF($Z$2030&gt;0,IPMT('Assumptions (Biomass)'!$V$7,Model!Z$1,'Assumptions (Biomass)'!$V$10,'Assumptions (Biomass)'!$V$5*Model!$Z$2030*AVERAGE('Assumptions (Biomass)'!$V$2:$X$2)/10^9),0)</f>
        <v>0</v>
      </c>
      <c r="AD2162" s="160">
        <f>IF($Z$2030&gt;0,IPMT('Assumptions (Biomass)'!$V$7,Model!AA$1,'Assumptions (Biomass)'!$V$10,'Assumptions (Biomass)'!$V$5*Model!$Z$2030*AVERAGE('Assumptions (Biomass)'!$V$2:$X$2)/10^9),0)</f>
        <v>0</v>
      </c>
      <c r="AE2162" s="160">
        <f>IF($Z$2030&gt;0,IPMT('Assumptions (Biomass)'!$V$7,Model!AB$1,'Assumptions (Biomass)'!$V$10,'Assumptions (Biomass)'!$V$5*Model!$Z$2030*AVERAGE('Assumptions (Biomass)'!$V$2:$X$2)/10^9),0)</f>
        <v>0</v>
      </c>
      <c r="AF2162" s="160">
        <f>IF($Z$2030&gt;0,IPMT('Assumptions (Biomass)'!$V$7,Model!AC$1,'Assumptions (Biomass)'!$V$10,'Assumptions (Biomass)'!$V$5*Model!$Z$2030*AVERAGE('Assumptions (Biomass)'!$V$2:$X$2)/10^9),0)</f>
        <v>0</v>
      </c>
      <c r="AG2162" s="160">
        <f>IF($Z$2030&gt;0,IPMT('Assumptions (Biomass)'!$V$7,Model!AD$1,'Assumptions (Biomass)'!$V$10,'Assumptions (Biomass)'!$V$5*Model!$Z$2030*AVERAGE('Assumptions (Biomass)'!$V$2:$X$2)/10^9),0)</f>
        <v>0</v>
      </c>
      <c r="AH2162" s="160">
        <f>IF($Z$2030&gt;0,IPMT('Assumptions (Biomass)'!$V$7,Model!AE$1,'Assumptions (Biomass)'!$V$10,'Assumptions (Biomass)'!$V$5*Model!$Z$2030*AVERAGE('Assumptions (Biomass)'!$V$2:$X$2)/10^9),0)</f>
        <v>0</v>
      </c>
      <c r="AI2162" s="160">
        <f>IF($Z$2030&gt;0,IPMT('Assumptions (Biomass)'!$V$7,Model!AF$1,'Assumptions (Biomass)'!$V$10,'Assumptions (Biomass)'!$V$5*Model!$Z$2030*AVERAGE('Assumptions (Biomass)'!$V$2:$X$2)/10^9),0)</f>
        <v>0</v>
      </c>
      <c r="AJ2162" s="160">
        <f>IF($Z$2030&gt;0,IPMT('Assumptions (Biomass)'!$V$7,Model!AG$1,'Assumptions (Biomass)'!$V$10,'Assumptions (Biomass)'!$V$5*Model!$Z$2030*AVERAGE('Assumptions (Biomass)'!$V$2:$X$2)/10^9),0)</f>
        <v>0</v>
      </c>
      <c r="AK2162" s="160">
        <f>IF($Z$2030&gt;0,IPMT('Assumptions (Biomass)'!$V$7,Model!AH$1,'Assumptions (Biomass)'!$V$10,'Assumptions (Biomass)'!$V$5*Model!$Z$2030*AVERAGE('Assumptions (Biomass)'!$V$2:$X$2)/10^9),0)</f>
        <v>0</v>
      </c>
      <c r="AL2162" s="160">
        <f>IF($Z$2030&gt;0,IPMT('Assumptions (Biomass)'!$V$7,Model!AI$1,'Assumptions (Biomass)'!$V$10,'Assumptions (Biomass)'!$V$5*Model!$Z$2030*AVERAGE('Assumptions (Biomass)'!$V$2:$X$2)/10^9),0)</f>
        <v>0</v>
      </c>
      <c r="AM2162" s="160">
        <f>IF($Z$2030&gt;0,IPMT('Assumptions (Biomass)'!$V$7,Model!AJ$1,'Assumptions (Biomass)'!$V$10,'Assumptions (Biomass)'!$V$5*Model!$Z$2030*AVERAGE('Assumptions (Biomass)'!$V$2:$X$2)/10^9),0)</f>
        <v>0</v>
      </c>
      <c r="AN2162" s="160">
        <f>IF($Z$2030&gt;0,IPMT('Assumptions (Biomass)'!$V$7,Model!AK$1,'Assumptions (Biomass)'!$V$10,'Assumptions (Biomass)'!$V$5*Model!$Z$2030*AVERAGE('Assumptions (Biomass)'!$V$2:$X$2)/10^9),0)</f>
        <v>0</v>
      </c>
      <c r="AO2162" s="160"/>
      <c r="AP2162" s="160"/>
      <c r="AQ2162" s="160"/>
      <c r="AR2162" s="160"/>
      <c r="AS2162" s="160"/>
      <c r="AT2162" s="160"/>
      <c r="AU2162" s="160"/>
      <c r="AV2162" s="160"/>
      <c r="AW2162" s="160"/>
      <c r="AX2162" s="160"/>
      <c r="AY2162" s="160"/>
      <c r="AZ2162" s="160"/>
      <c r="BA2162" s="160"/>
    </row>
    <row r="2163" ht="15.75" hidden="1" customHeight="1" outlineLevel="1">
      <c r="A2163" s="318"/>
      <c r="B2163" s="38"/>
      <c r="C2163" s="174"/>
      <c r="D2163" s="174"/>
      <c r="E2163" s="174"/>
      <c r="F2163" s="174"/>
      <c r="G2163" s="174"/>
      <c r="H2163" s="174"/>
      <c r="I2163" s="174"/>
      <c r="J2163" s="174"/>
      <c r="K2163" s="174"/>
      <c r="L2163" s="174"/>
      <c r="M2163" s="174"/>
      <c r="N2163" s="174"/>
      <c r="O2163" s="174"/>
      <c r="P2163" s="174"/>
      <c r="Q2163" s="174"/>
      <c r="R2163" s="174"/>
      <c r="S2163" s="174"/>
      <c r="T2163" s="174"/>
      <c r="U2163" s="174"/>
      <c r="V2163" s="174"/>
      <c r="W2163" s="160"/>
      <c r="X2163" s="160"/>
      <c r="Y2163" s="160"/>
      <c r="Z2163" s="160"/>
      <c r="AA2163" s="160">
        <f>IF($AA$2030&gt;0,IPMT('Assumptions (Biomass)'!$V$7,Model!W$1,'Assumptions (Biomass)'!$V$10,'Assumptions (Biomass)'!$V$5*Model!$AA$2030*AVERAGE('Assumptions (Biomass)'!$W$2:$Y$2)/10^9),0)</f>
        <v>0</v>
      </c>
      <c r="AB2163" s="160">
        <f>IF($AA$2030&gt;0,IPMT('Assumptions (Biomass)'!$V$7,Model!X$1,'Assumptions (Biomass)'!$V$10,'Assumptions (Biomass)'!$V$5*Model!$AA$2030*AVERAGE('Assumptions (Biomass)'!$W$2:$Y$2)/10^9),0)</f>
        <v>0</v>
      </c>
      <c r="AC2163" s="160">
        <f>IF($AA$2030&gt;0,IPMT('Assumptions (Biomass)'!$V$7,Model!Y$1,'Assumptions (Biomass)'!$V$10,'Assumptions (Biomass)'!$V$5*Model!$AA$2030*AVERAGE('Assumptions (Biomass)'!$W$2:$Y$2)/10^9),0)</f>
        <v>0</v>
      </c>
      <c r="AD2163" s="160">
        <f>IF($AA$2030&gt;0,IPMT('Assumptions (Biomass)'!$V$7,Model!Z$1,'Assumptions (Biomass)'!$V$10,'Assumptions (Biomass)'!$V$5*Model!$AA$2030*AVERAGE('Assumptions (Biomass)'!$W$2:$Y$2)/10^9),0)</f>
        <v>0</v>
      </c>
      <c r="AE2163" s="160">
        <f>IF($AA$2030&gt;0,IPMT('Assumptions (Biomass)'!$V$7,Model!AA$1,'Assumptions (Biomass)'!$V$10,'Assumptions (Biomass)'!$V$5*Model!$AA$2030*AVERAGE('Assumptions (Biomass)'!$W$2:$Y$2)/10^9),0)</f>
        <v>0</v>
      </c>
      <c r="AF2163" s="160">
        <f>IF($AA$2030&gt;0,IPMT('Assumptions (Biomass)'!$V$7,Model!AB$1,'Assumptions (Biomass)'!$V$10,'Assumptions (Biomass)'!$V$5*Model!$AA$2030*AVERAGE('Assumptions (Biomass)'!$W$2:$Y$2)/10^9),0)</f>
        <v>0</v>
      </c>
      <c r="AG2163" s="160">
        <f>IF($AA$2030&gt;0,IPMT('Assumptions (Biomass)'!$V$7,Model!AC$1,'Assumptions (Biomass)'!$V$10,'Assumptions (Biomass)'!$V$5*Model!$AA$2030*AVERAGE('Assumptions (Biomass)'!$W$2:$Y$2)/10^9),0)</f>
        <v>0</v>
      </c>
      <c r="AH2163" s="160">
        <f>IF($AA$2030&gt;0,IPMT('Assumptions (Biomass)'!$V$7,Model!AD$1,'Assumptions (Biomass)'!$V$10,'Assumptions (Biomass)'!$V$5*Model!$AA$2030*AVERAGE('Assumptions (Biomass)'!$W$2:$Y$2)/10^9),0)</f>
        <v>0</v>
      </c>
      <c r="AI2163" s="160">
        <f>IF($AA$2030&gt;0,IPMT('Assumptions (Biomass)'!$V$7,Model!AE$1,'Assumptions (Biomass)'!$V$10,'Assumptions (Biomass)'!$V$5*Model!$AA$2030*AVERAGE('Assumptions (Biomass)'!$W$2:$Y$2)/10^9),0)</f>
        <v>0</v>
      </c>
      <c r="AJ2163" s="160">
        <f>IF($AA$2030&gt;0,IPMT('Assumptions (Biomass)'!$V$7,Model!AF$1,'Assumptions (Biomass)'!$V$10,'Assumptions (Biomass)'!$V$5*Model!$AA$2030*AVERAGE('Assumptions (Biomass)'!$W$2:$Y$2)/10^9),0)</f>
        <v>0</v>
      </c>
      <c r="AK2163" s="160">
        <f>IF($AA$2030&gt;0,IPMT('Assumptions (Biomass)'!$V$7,Model!AG$1,'Assumptions (Biomass)'!$V$10,'Assumptions (Biomass)'!$V$5*Model!$AA$2030*AVERAGE('Assumptions (Biomass)'!$W$2:$Y$2)/10^9),0)</f>
        <v>0</v>
      </c>
      <c r="AL2163" s="160">
        <f>IF($AA$2030&gt;0,IPMT('Assumptions (Biomass)'!$V$7,Model!AH$1,'Assumptions (Biomass)'!$V$10,'Assumptions (Biomass)'!$V$5*Model!$AA$2030*AVERAGE('Assumptions (Biomass)'!$W$2:$Y$2)/10^9),0)</f>
        <v>0</v>
      </c>
      <c r="AM2163" s="160">
        <f>IF($AA$2030&gt;0,IPMT('Assumptions (Biomass)'!$V$7,Model!AI$1,'Assumptions (Biomass)'!$V$10,'Assumptions (Biomass)'!$V$5*Model!$AA$2030*AVERAGE('Assumptions (Biomass)'!$W$2:$Y$2)/10^9),0)</f>
        <v>0</v>
      </c>
      <c r="AN2163" s="160">
        <f>IF($AA$2030&gt;0,IPMT('Assumptions (Biomass)'!$V$7,Model!AJ$1,'Assumptions (Biomass)'!$V$10,'Assumptions (Biomass)'!$V$5*Model!$AA$2030*AVERAGE('Assumptions (Biomass)'!$W$2:$Y$2)/10^9),0)</f>
        <v>0</v>
      </c>
      <c r="AO2163" s="160">
        <f>IF($AA$2030&gt;0,IPMT('Assumptions (Biomass)'!$V$7,Model!AK$1,'Assumptions (Biomass)'!$V$10,'Assumptions (Biomass)'!$V$5*Model!$AA$2030*AVERAGE('Assumptions (Biomass)'!$W$2:$Y$2)/10^9),0)</f>
        <v>0</v>
      </c>
      <c r="AP2163" s="160"/>
      <c r="AQ2163" s="160"/>
      <c r="AR2163" s="160"/>
      <c r="AS2163" s="160"/>
      <c r="AT2163" s="160"/>
      <c r="AU2163" s="160"/>
      <c r="AV2163" s="160"/>
      <c r="AW2163" s="160"/>
      <c r="AX2163" s="160"/>
      <c r="AY2163" s="160"/>
      <c r="AZ2163" s="160"/>
      <c r="BA2163" s="160"/>
    </row>
    <row r="2164" ht="15.75" hidden="1" customHeight="1" outlineLevel="1">
      <c r="A2164" s="318"/>
      <c r="B2164" s="38"/>
      <c r="C2164" s="174"/>
      <c r="D2164" s="174"/>
      <c r="E2164" s="174"/>
      <c r="F2164" s="174"/>
      <c r="G2164" s="174"/>
      <c r="H2164" s="174"/>
      <c r="I2164" s="174"/>
      <c r="J2164" s="174"/>
      <c r="K2164" s="174"/>
      <c r="L2164" s="174"/>
      <c r="M2164" s="174"/>
      <c r="N2164" s="174"/>
      <c r="O2164" s="174"/>
      <c r="P2164" s="174"/>
      <c r="Q2164" s="174"/>
      <c r="R2164" s="174"/>
      <c r="S2164" s="174"/>
      <c r="T2164" s="174"/>
      <c r="U2164" s="174"/>
      <c r="V2164" s="174"/>
      <c r="W2164" s="160"/>
      <c r="X2164" s="160"/>
      <c r="Y2164" s="160"/>
      <c r="Z2164" s="160"/>
      <c r="AA2164" s="160"/>
      <c r="AB2164" s="160">
        <f>IF($AB$2030&gt;0,IPMT('Assumptions (Biomass)'!$V$7,Model!W$1,'Assumptions (Biomass)'!$V$10,'Assumptions (Biomass)'!$V$5*Model!$AB$2030*AVERAGE('Assumptions (Biomass)'!$X$2:$Z$2)/10^9),0)</f>
        <v>0</v>
      </c>
      <c r="AC2164" s="160">
        <f>IF($AB$2030&gt;0,IPMT('Assumptions (Biomass)'!$V$7,Model!X$1,'Assumptions (Biomass)'!$V$10,'Assumptions (Biomass)'!$V$5*Model!$AB$2030*AVERAGE('Assumptions (Biomass)'!$X$2:$Z$2)/10^9),0)</f>
        <v>0</v>
      </c>
      <c r="AD2164" s="160">
        <f>IF($AB$2030&gt;0,IPMT('Assumptions (Biomass)'!$V$7,Model!Y$1,'Assumptions (Biomass)'!$V$10,'Assumptions (Biomass)'!$V$5*Model!$AB$2030*AVERAGE('Assumptions (Biomass)'!$X$2:$Z$2)/10^9),0)</f>
        <v>0</v>
      </c>
      <c r="AE2164" s="160">
        <f>IF($AB$2030&gt;0,IPMT('Assumptions (Biomass)'!$V$7,Model!Z$1,'Assumptions (Biomass)'!$V$10,'Assumptions (Biomass)'!$V$5*Model!$AB$2030*AVERAGE('Assumptions (Biomass)'!$X$2:$Z$2)/10^9),0)</f>
        <v>0</v>
      </c>
      <c r="AF2164" s="160">
        <f>IF($AB$2030&gt;0,IPMT('Assumptions (Biomass)'!$V$7,Model!AA$1,'Assumptions (Biomass)'!$V$10,'Assumptions (Biomass)'!$V$5*Model!$AB$2030*AVERAGE('Assumptions (Biomass)'!$X$2:$Z$2)/10^9),0)</f>
        <v>0</v>
      </c>
      <c r="AG2164" s="160">
        <f>IF($AB$2030&gt;0,IPMT('Assumptions (Biomass)'!$V$7,Model!AB$1,'Assumptions (Biomass)'!$V$10,'Assumptions (Biomass)'!$V$5*Model!$AB$2030*AVERAGE('Assumptions (Biomass)'!$X$2:$Z$2)/10^9),0)</f>
        <v>0</v>
      </c>
      <c r="AH2164" s="160">
        <f>IF($AB$2030&gt;0,IPMT('Assumptions (Biomass)'!$V$7,Model!AC$1,'Assumptions (Biomass)'!$V$10,'Assumptions (Biomass)'!$V$5*Model!$AB$2030*AVERAGE('Assumptions (Biomass)'!$X$2:$Z$2)/10^9),0)</f>
        <v>0</v>
      </c>
      <c r="AI2164" s="160">
        <f>IF($AB$2030&gt;0,IPMT('Assumptions (Biomass)'!$V$7,Model!AD$1,'Assumptions (Biomass)'!$V$10,'Assumptions (Biomass)'!$V$5*Model!$AB$2030*AVERAGE('Assumptions (Biomass)'!$X$2:$Z$2)/10^9),0)</f>
        <v>0</v>
      </c>
      <c r="AJ2164" s="160">
        <f>IF($AB$2030&gt;0,IPMT('Assumptions (Biomass)'!$V$7,Model!AE$1,'Assumptions (Biomass)'!$V$10,'Assumptions (Biomass)'!$V$5*Model!$AB$2030*AVERAGE('Assumptions (Biomass)'!$X$2:$Z$2)/10^9),0)</f>
        <v>0</v>
      </c>
      <c r="AK2164" s="160">
        <f>IF($AB$2030&gt;0,IPMT('Assumptions (Biomass)'!$V$7,Model!AF$1,'Assumptions (Biomass)'!$V$10,'Assumptions (Biomass)'!$V$5*Model!$AB$2030*AVERAGE('Assumptions (Biomass)'!$X$2:$Z$2)/10^9),0)</f>
        <v>0</v>
      </c>
      <c r="AL2164" s="160">
        <f>IF($AB$2030&gt;0,IPMT('Assumptions (Biomass)'!$V$7,Model!AG$1,'Assumptions (Biomass)'!$V$10,'Assumptions (Biomass)'!$V$5*Model!$AB$2030*AVERAGE('Assumptions (Biomass)'!$X$2:$Z$2)/10^9),0)</f>
        <v>0</v>
      </c>
      <c r="AM2164" s="160">
        <f>IF($AB$2030&gt;0,IPMT('Assumptions (Biomass)'!$V$7,Model!AH$1,'Assumptions (Biomass)'!$V$10,'Assumptions (Biomass)'!$V$5*Model!$AB$2030*AVERAGE('Assumptions (Biomass)'!$X$2:$Z$2)/10^9),0)</f>
        <v>0</v>
      </c>
      <c r="AN2164" s="160">
        <f>IF($AB$2030&gt;0,IPMT('Assumptions (Biomass)'!$V$7,Model!AI$1,'Assumptions (Biomass)'!$V$10,'Assumptions (Biomass)'!$V$5*Model!$AB$2030*AVERAGE('Assumptions (Biomass)'!$X$2:$Z$2)/10^9),0)</f>
        <v>0</v>
      </c>
      <c r="AO2164" s="160">
        <f>IF($AB$2030&gt;0,IPMT('Assumptions (Biomass)'!$V$7,Model!AJ$1,'Assumptions (Biomass)'!$V$10,'Assumptions (Biomass)'!$V$5*Model!$AB$2030*AVERAGE('Assumptions (Biomass)'!$X$2:$Z$2)/10^9),0)</f>
        <v>0</v>
      </c>
      <c r="AP2164" s="160">
        <f>IF($AB$2030&gt;0,IPMT('Assumptions (Biomass)'!$V$7,Model!AK$1,'Assumptions (Biomass)'!$V$10,'Assumptions (Biomass)'!$V$5*Model!$AB$2030*AVERAGE('Assumptions (Biomass)'!$X$2:$Z$2)/10^9),0)</f>
        <v>0</v>
      </c>
      <c r="AQ2164" s="160"/>
      <c r="AR2164" s="160"/>
      <c r="AS2164" s="160"/>
      <c r="AT2164" s="160"/>
      <c r="AU2164" s="160"/>
      <c r="AV2164" s="160"/>
      <c r="AW2164" s="160"/>
      <c r="AX2164" s="160"/>
      <c r="AY2164" s="160"/>
      <c r="AZ2164" s="160"/>
      <c r="BA2164" s="160"/>
    </row>
    <row r="2165" ht="15.75" hidden="1" customHeight="1" outlineLevel="1">
      <c r="A2165" s="318"/>
      <c r="B2165" s="38"/>
      <c r="C2165" s="174"/>
      <c r="D2165" s="174"/>
      <c r="E2165" s="174"/>
      <c r="F2165" s="174"/>
      <c r="G2165" s="174"/>
      <c r="H2165" s="174"/>
      <c r="I2165" s="174"/>
      <c r="J2165" s="174"/>
      <c r="K2165" s="174"/>
      <c r="L2165" s="174"/>
      <c r="M2165" s="174"/>
      <c r="N2165" s="174"/>
      <c r="O2165" s="174"/>
      <c r="P2165" s="174"/>
      <c r="Q2165" s="174"/>
      <c r="R2165" s="174"/>
      <c r="S2165" s="174"/>
      <c r="T2165" s="174"/>
      <c r="U2165" s="174"/>
      <c r="V2165" s="174"/>
      <c r="W2165" s="160"/>
      <c r="X2165" s="160"/>
      <c r="Y2165" s="160"/>
      <c r="Z2165" s="160"/>
      <c r="AA2165" s="160"/>
      <c r="AB2165" s="160"/>
      <c r="AC2165" s="160">
        <f>IF($AC$2030&gt;0,IPMT('Assumptions (Biomass)'!$V$7,Model!W$1,'Assumptions (Biomass)'!$V$10,'Assumptions (Biomass)'!$V$5*Model!$AC$2030*AVERAGE('Assumptions (Biomass)'!$Y$2:$AA$2)/10^9),0)</f>
        <v>0</v>
      </c>
      <c r="AD2165" s="160">
        <f>IF($AC$2030&gt;0,IPMT('Assumptions (Biomass)'!$V$7,Model!X$1,'Assumptions (Biomass)'!$V$10,'Assumptions (Biomass)'!$V$5*Model!$AC$2030*AVERAGE('Assumptions (Biomass)'!$Y$2:$AA$2)/10^9),0)</f>
        <v>0</v>
      </c>
      <c r="AE2165" s="160">
        <f>IF($AC$2030&gt;0,IPMT('Assumptions (Biomass)'!$V$7,Model!Y$1,'Assumptions (Biomass)'!$V$10,'Assumptions (Biomass)'!$V$5*Model!$AC$2030*AVERAGE('Assumptions (Biomass)'!$Y$2:$AA$2)/10^9),0)</f>
        <v>0</v>
      </c>
      <c r="AF2165" s="160">
        <f>IF($AC$2030&gt;0,IPMT('Assumptions (Biomass)'!$V$7,Model!Z$1,'Assumptions (Biomass)'!$V$10,'Assumptions (Biomass)'!$V$5*Model!$AC$2030*AVERAGE('Assumptions (Biomass)'!$Y$2:$AA$2)/10^9),0)</f>
        <v>0</v>
      </c>
      <c r="AG2165" s="160">
        <f>IF($AC$2030&gt;0,IPMT('Assumptions (Biomass)'!$V$7,Model!AA$1,'Assumptions (Biomass)'!$V$10,'Assumptions (Biomass)'!$V$5*Model!$AC$2030*AVERAGE('Assumptions (Biomass)'!$Y$2:$AA$2)/10^9),0)</f>
        <v>0</v>
      </c>
      <c r="AH2165" s="160">
        <f>IF($AC$2030&gt;0,IPMT('Assumptions (Biomass)'!$V$7,Model!AB$1,'Assumptions (Biomass)'!$V$10,'Assumptions (Biomass)'!$V$5*Model!$AC$2030*AVERAGE('Assumptions (Biomass)'!$Y$2:$AA$2)/10^9),0)</f>
        <v>0</v>
      </c>
      <c r="AI2165" s="160">
        <f>IF($AC$2030&gt;0,IPMT('Assumptions (Biomass)'!$V$7,Model!AC$1,'Assumptions (Biomass)'!$V$10,'Assumptions (Biomass)'!$V$5*Model!$AC$2030*AVERAGE('Assumptions (Biomass)'!$Y$2:$AA$2)/10^9),0)</f>
        <v>0</v>
      </c>
      <c r="AJ2165" s="160">
        <f>IF($AC$2030&gt;0,IPMT('Assumptions (Biomass)'!$V$7,Model!AD$1,'Assumptions (Biomass)'!$V$10,'Assumptions (Biomass)'!$V$5*Model!$AC$2030*AVERAGE('Assumptions (Biomass)'!$Y$2:$AA$2)/10^9),0)</f>
        <v>0</v>
      </c>
      <c r="AK2165" s="160">
        <f>IF($AC$2030&gt;0,IPMT('Assumptions (Biomass)'!$V$7,Model!AE$1,'Assumptions (Biomass)'!$V$10,'Assumptions (Biomass)'!$V$5*Model!$AC$2030*AVERAGE('Assumptions (Biomass)'!$Y$2:$AA$2)/10^9),0)</f>
        <v>0</v>
      </c>
      <c r="AL2165" s="160">
        <f>IF($AC$2030&gt;0,IPMT('Assumptions (Biomass)'!$V$7,Model!AF$1,'Assumptions (Biomass)'!$V$10,'Assumptions (Biomass)'!$V$5*Model!$AC$2030*AVERAGE('Assumptions (Biomass)'!$Y$2:$AA$2)/10^9),0)</f>
        <v>0</v>
      </c>
      <c r="AM2165" s="160">
        <f>IF($AC$2030&gt;0,IPMT('Assumptions (Biomass)'!$V$7,Model!AG$1,'Assumptions (Biomass)'!$V$10,'Assumptions (Biomass)'!$V$5*Model!$AC$2030*AVERAGE('Assumptions (Biomass)'!$Y$2:$AA$2)/10^9),0)</f>
        <v>0</v>
      </c>
      <c r="AN2165" s="160">
        <f>IF($AC$2030&gt;0,IPMT('Assumptions (Biomass)'!$V$7,Model!AH$1,'Assumptions (Biomass)'!$V$10,'Assumptions (Biomass)'!$V$5*Model!$AC$2030*AVERAGE('Assumptions (Biomass)'!$Y$2:$AA$2)/10^9),0)</f>
        <v>0</v>
      </c>
      <c r="AO2165" s="160">
        <f>IF($AC$2030&gt;0,IPMT('Assumptions (Biomass)'!$V$7,Model!AI$1,'Assumptions (Biomass)'!$V$10,'Assumptions (Biomass)'!$V$5*Model!$AC$2030*AVERAGE('Assumptions (Biomass)'!$Y$2:$AA$2)/10^9),0)</f>
        <v>0</v>
      </c>
      <c r="AP2165" s="160">
        <f>IF($AC$2030&gt;0,IPMT('Assumptions (Biomass)'!$V$7,Model!AJ$1,'Assumptions (Biomass)'!$V$10,'Assumptions (Biomass)'!$V$5*Model!$AC$2030*AVERAGE('Assumptions (Biomass)'!$Y$2:$AA$2)/10^9),0)</f>
        <v>0</v>
      </c>
      <c r="AQ2165" s="160">
        <f>IF($AC$2030&gt;0,IPMT('Assumptions (Biomass)'!$V$7,Model!AK$1,'Assumptions (Biomass)'!$V$10,'Assumptions (Biomass)'!$V$5*Model!$AC$2030*AVERAGE('Assumptions (Biomass)'!$Y$2:$AA$2)/10^9),0)</f>
        <v>0</v>
      </c>
      <c r="AR2165" s="160"/>
      <c r="AS2165" s="160"/>
      <c r="AT2165" s="160"/>
      <c r="AU2165" s="160"/>
      <c r="AV2165" s="160"/>
      <c r="AW2165" s="160"/>
      <c r="AX2165" s="160"/>
      <c r="AY2165" s="160"/>
      <c r="AZ2165" s="160"/>
      <c r="BA2165" s="160"/>
    </row>
    <row r="2166" ht="15.75" hidden="1" customHeight="1" outlineLevel="1">
      <c r="A2166" s="318"/>
      <c r="B2166" s="38"/>
      <c r="C2166" s="174"/>
      <c r="D2166" s="174"/>
      <c r="E2166" s="174"/>
      <c r="F2166" s="174"/>
      <c r="G2166" s="174"/>
      <c r="H2166" s="174"/>
      <c r="I2166" s="174"/>
      <c r="J2166" s="174"/>
      <c r="K2166" s="174"/>
      <c r="L2166" s="174"/>
      <c r="M2166" s="174"/>
      <c r="N2166" s="174"/>
      <c r="O2166" s="174"/>
      <c r="P2166" s="174"/>
      <c r="Q2166" s="174"/>
      <c r="R2166" s="174"/>
      <c r="S2166" s="174"/>
      <c r="T2166" s="174"/>
      <c r="U2166" s="174"/>
      <c r="V2166" s="174"/>
      <c r="W2166" s="160"/>
      <c r="X2166" s="160"/>
      <c r="Y2166" s="160"/>
      <c r="Z2166" s="160"/>
      <c r="AA2166" s="160"/>
      <c r="AB2166" s="160"/>
      <c r="AC2166" s="160"/>
      <c r="AD2166" s="160">
        <f>IF($AD$2030&gt;0,IPMT('Assumptions (Biomass)'!$V$7,Model!W$1,'Assumptions (Biomass)'!$V$10,'Assumptions (Biomass)'!$V$5*Model!$AD$2030*AVERAGE('Assumptions (Biomass)'!$Z$2:$AB$2)/10^9),0)</f>
        <v>0</v>
      </c>
      <c r="AE2166" s="160">
        <f>IF($AD$2030&gt;0,IPMT('Assumptions (Biomass)'!$V$7,Model!X$1,'Assumptions (Biomass)'!$V$10,'Assumptions (Biomass)'!$V$5*Model!$AD$2030*AVERAGE('Assumptions (Biomass)'!$Z$2:$AB$2)/10^9),0)</f>
        <v>0</v>
      </c>
      <c r="AF2166" s="160">
        <f>IF($AD$2030&gt;0,IPMT('Assumptions (Biomass)'!$V$7,Model!Y$1,'Assumptions (Biomass)'!$V$10,'Assumptions (Biomass)'!$V$5*Model!$AD$2030*AVERAGE('Assumptions (Biomass)'!$Z$2:$AB$2)/10^9),0)</f>
        <v>0</v>
      </c>
      <c r="AG2166" s="160">
        <f>IF($AD$2030&gt;0,IPMT('Assumptions (Biomass)'!$V$7,Model!Z$1,'Assumptions (Biomass)'!$V$10,'Assumptions (Biomass)'!$V$5*Model!$AD$2030*AVERAGE('Assumptions (Biomass)'!$Z$2:$AB$2)/10^9),0)</f>
        <v>0</v>
      </c>
      <c r="AH2166" s="160">
        <f>IF($AD$2030&gt;0,IPMT('Assumptions (Biomass)'!$V$7,Model!AA$1,'Assumptions (Biomass)'!$V$10,'Assumptions (Biomass)'!$V$5*Model!$AD$2030*AVERAGE('Assumptions (Biomass)'!$Z$2:$AB$2)/10^9),0)</f>
        <v>0</v>
      </c>
      <c r="AI2166" s="160">
        <f>IF($AD$2030&gt;0,IPMT('Assumptions (Biomass)'!$V$7,Model!AB$1,'Assumptions (Biomass)'!$V$10,'Assumptions (Biomass)'!$V$5*Model!$AD$2030*AVERAGE('Assumptions (Biomass)'!$Z$2:$AB$2)/10^9),0)</f>
        <v>0</v>
      </c>
      <c r="AJ2166" s="160">
        <f>IF($AD$2030&gt;0,IPMT('Assumptions (Biomass)'!$V$7,Model!AC$1,'Assumptions (Biomass)'!$V$10,'Assumptions (Biomass)'!$V$5*Model!$AD$2030*AVERAGE('Assumptions (Biomass)'!$Z$2:$AB$2)/10^9),0)</f>
        <v>0</v>
      </c>
      <c r="AK2166" s="160">
        <f>IF($AD$2030&gt;0,IPMT('Assumptions (Biomass)'!$V$7,Model!AD$1,'Assumptions (Biomass)'!$V$10,'Assumptions (Biomass)'!$V$5*Model!$AD$2030*AVERAGE('Assumptions (Biomass)'!$Z$2:$AB$2)/10^9),0)</f>
        <v>0</v>
      </c>
      <c r="AL2166" s="160">
        <f>IF($AD$2030&gt;0,IPMT('Assumptions (Biomass)'!$V$7,Model!AE$1,'Assumptions (Biomass)'!$V$10,'Assumptions (Biomass)'!$V$5*Model!$AD$2030*AVERAGE('Assumptions (Biomass)'!$Z$2:$AB$2)/10^9),0)</f>
        <v>0</v>
      </c>
      <c r="AM2166" s="160">
        <f>IF($AD$2030&gt;0,IPMT('Assumptions (Biomass)'!$V$7,Model!AF$1,'Assumptions (Biomass)'!$V$10,'Assumptions (Biomass)'!$V$5*Model!$AD$2030*AVERAGE('Assumptions (Biomass)'!$Z$2:$AB$2)/10^9),0)</f>
        <v>0</v>
      </c>
      <c r="AN2166" s="160">
        <f>IF($AD$2030&gt;0,IPMT('Assumptions (Biomass)'!$V$7,Model!AG$1,'Assumptions (Biomass)'!$V$10,'Assumptions (Biomass)'!$V$5*Model!$AD$2030*AVERAGE('Assumptions (Biomass)'!$Z$2:$AB$2)/10^9),0)</f>
        <v>0</v>
      </c>
      <c r="AO2166" s="160">
        <f>IF($AD$2030&gt;0,IPMT('Assumptions (Biomass)'!$V$7,Model!AH$1,'Assumptions (Biomass)'!$V$10,'Assumptions (Biomass)'!$V$5*Model!$AD$2030*AVERAGE('Assumptions (Biomass)'!$Z$2:$AB$2)/10^9),0)</f>
        <v>0</v>
      </c>
      <c r="AP2166" s="160">
        <f>IF($AD$2030&gt;0,IPMT('Assumptions (Biomass)'!$V$7,Model!AI$1,'Assumptions (Biomass)'!$V$10,'Assumptions (Biomass)'!$V$5*Model!$AD$2030*AVERAGE('Assumptions (Biomass)'!$Z$2:$AB$2)/10^9),0)</f>
        <v>0</v>
      </c>
      <c r="AQ2166" s="160">
        <f>IF($AD$2030&gt;0,IPMT('Assumptions (Biomass)'!$V$7,Model!AJ$1,'Assumptions (Biomass)'!$V$10,'Assumptions (Biomass)'!$V$5*Model!$AD$2030*AVERAGE('Assumptions (Biomass)'!$Z$2:$AB$2)/10^9),0)</f>
        <v>0</v>
      </c>
      <c r="AR2166" s="160">
        <f>IF($AD$2030&gt;0,IPMT('Assumptions (Biomass)'!$V$7,Model!AK$1,'Assumptions (Biomass)'!$V$10,'Assumptions (Biomass)'!$V$5*Model!$AD$2030*AVERAGE('Assumptions (Biomass)'!$Z$2:$AB$2)/10^9),0)</f>
        <v>0</v>
      </c>
      <c r="AS2166" s="160"/>
      <c r="AT2166" s="160"/>
      <c r="AU2166" s="160"/>
      <c r="AV2166" s="160"/>
      <c r="AW2166" s="160"/>
      <c r="AX2166" s="160"/>
      <c r="AY2166" s="160"/>
      <c r="AZ2166" s="160"/>
      <c r="BA2166" s="160"/>
      <c r="BB2166" s="160"/>
    </row>
    <row r="2167" ht="15.75" hidden="1" customHeight="1" outlineLevel="1">
      <c r="A2167" s="318"/>
      <c r="B2167" s="38"/>
      <c r="C2167" s="174"/>
      <c r="D2167" s="174"/>
      <c r="E2167" s="174"/>
      <c r="F2167" s="174"/>
      <c r="G2167" s="174"/>
      <c r="H2167" s="174"/>
      <c r="I2167" s="174"/>
      <c r="J2167" s="174"/>
      <c r="K2167" s="174"/>
      <c r="L2167" s="174"/>
      <c r="M2167" s="174"/>
      <c r="N2167" s="174"/>
      <c r="O2167" s="174"/>
      <c r="P2167" s="174"/>
      <c r="Q2167" s="174"/>
      <c r="R2167" s="174"/>
      <c r="S2167" s="174"/>
      <c r="T2167" s="174"/>
      <c r="U2167" s="174"/>
      <c r="V2167" s="174"/>
      <c r="W2167" s="160"/>
      <c r="X2167" s="160"/>
      <c r="Y2167" s="160"/>
      <c r="Z2167" s="160"/>
      <c r="AA2167" s="160"/>
      <c r="AB2167" s="160"/>
      <c r="AC2167" s="160"/>
      <c r="AD2167" s="160"/>
      <c r="AE2167" s="160">
        <f>IF($AE$2030&gt;0,IPMT('Assumptions (Biomass)'!$V$7,Model!W$1,'Assumptions (Biomass)'!$V$10,'Assumptions (Biomass)'!$V$5*Model!$AE$2030*AVERAGE('Assumptions (Biomass)'!$AA$2:$AC$2)/10^9),0)</f>
        <v>0</v>
      </c>
      <c r="AF2167" s="160">
        <f>IF($AE$2030&gt;0,IPMT('Assumptions (Biomass)'!$V$7,Model!X$1,'Assumptions (Biomass)'!$V$10,'Assumptions (Biomass)'!$V$5*Model!$AE$2030*AVERAGE('Assumptions (Biomass)'!$AA$2:$AC$2)/10^9),0)</f>
        <v>0</v>
      </c>
      <c r="AG2167" s="160">
        <f>IF($AE$2030&gt;0,IPMT('Assumptions (Biomass)'!$V$7,Model!Y$1,'Assumptions (Biomass)'!$V$10,'Assumptions (Biomass)'!$V$5*Model!$AE$2030*AVERAGE('Assumptions (Biomass)'!$AA$2:$AC$2)/10^9),0)</f>
        <v>0</v>
      </c>
      <c r="AH2167" s="160">
        <f>IF($AE$2030&gt;0,IPMT('Assumptions (Biomass)'!$V$7,Model!Z$1,'Assumptions (Biomass)'!$V$10,'Assumptions (Biomass)'!$V$5*Model!$AE$2030*AVERAGE('Assumptions (Biomass)'!$AA$2:$AC$2)/10^9),0)</f>
        <v>0</v>
      </c>
      <c r="AI2167" s="160">
        <f>IF($AE$2030&gt;0,IPMT('Assumptions (Biomass)'!$V$7,Model!AA$1,'Assumptions (Biomass)'!$V$10,'Assumptions (Biomass)'!$V$5*Model!$AE$2030*AVERAGE('Assumptions (Biomass)'!$AA$2:$AC$2)/10^9),0)</f>
        <v>0</v>
      </c>
      <c r="AJ2167" s="160">
        <f>IF($AE$2030&gt;0,IPMT('Assumptions (Biomass)'!$V$7,Model!AB$1,'Assumptions (Biomass)'!$V$10,'Assumptions (Biomass)'!$V$5*Model!$AE$2030*AVERAGE('Assumptions (Biomass)'!$AA$2:$AC$2)/10^9),0)</f>
        <v>0</v>
      </c>
      <c r="AK2167" s="160">
        <f>IF($AE$2030&gt;0,IPMT('Assumptions (Biomass)'!$V$7,Model!AC$1,'Assumptions (Biomass)'!$V$10,'Assumptions (Biomass)'!$V$5*Model!$AE$2030*AVERAGE('Assumptions (Biomass)'!$AA$2:$AC$2)/10^9),0)</f>
        <v>0</v>
      </c>
      <c r="AL2167" s="160">
        <f>IF($AE$2030&gt;0,IPMT('Assumptions (Biomass)'!$V$7,Model!AD$1,'Assumptions (Biomass)'!$V$10,'Assumptions (Biomass)'!$V$5*Model!$AE$2030*AVERAGE('Assumptions (Biomass)'!$AA$2:$AC$2)/10^9),0)</f>
        <v>0</v>
      </c>
      <c r="AM2167" s="160">
        <f>IF($AE$2030&gt;0,IPMT('Assumptions (Biomass)'!$V$7,Model!AE$1,'Assumptions (Biomass)'!$V$10,'Assumptions (Biomass)'!$V$5*Model!$AE$2030*AVERAGE('Assumptions (Biomass)'!$AA$2:$AC$2)/10^9),0)</f>
        <v>0</v>
      </c>
      <c r="AN2167" s="160">
        <f>IF($AE$2030&gt;0,IPMT('Assumptions (Biomass)'!$V$7,Model!AF$1,'Assumptions (Biomass)'!$V$10,'Assumptions (Biomass)'!$V$5*Model!$AE$2030*AVERAGE('Assumptions (Biomass)'!$AA$2:$AC$2)/10^9),0)</f>
        <v>0</v>
      </c>
      <c r="AO2167" s="160">
        <f>IF($AE$2030&gt;0,IPMT('Assumptions (Biomass)'!$V$7,Model!AG$1,'Assumptions (Biomass)'!$V$10,'Assumptions (Biomass)'!$V$5*Model!$AE$2030*AVERAGE('Assumptions (Biomass)'!$AA$2:$AC$2)/10^9),0)</f>
        <v>0</v>
      </c>
      <c r="AP2167" s="160">
        <f>IF($AE$2030&gt;0,IPMT('Assumptions (Biomass)'!$V$7,Model!AH$1,'Assumptions (Biomass)'!$V$10,'Assumptions (Biomass)'!$V$5*Model!$AE$2030*AVERAGE('Assumptions (Biomass)'!$AA$2:$AC$2)/10^9),0)</f>
        <v>0</v>
      </c>
      <c r="AQ2167" s="160">
        <f>IF($AE$2030&gt;0,IPMT('Assumptions (Biomass)'!$V$7,Model!AI$1,'Assumptions (Biomass)'!$V$10,'Assumptions (Biomass)'!$V$5*Model!$AE$2030*AVERAGE('Assumptions (Biomass)'!$AA$2:$AC$2)/10^9),0)</f>
        <v>0</v>
      </c>
      <c r="AR2167" s="160">
        <f>IF($AE$2030&gt;0,IPMT('Assumptions (Biomass)'!$V$7,Model!AJ$1,'Assumptions (Biomass)'!$V$10,'Assumptions (Biomass)'!$V$5*Model!$AE$2030*AVERAGE('Assumptions (Biomass)'!$AA$2:$AC$2)/10^9),0)</f>
        <v>0</v>
      </c>
      <c r="AS2167" s="160">
        <f>IF($AE$2030&gt;0,IPMT('Assumptions (Biomass)'!$V$7,Model!AK$1,'Assumptions (Biomass)'!$V$10,'Assumptions (Biomass)'!$V$5*Model!$AE$2030*AVERAGE('Assumptions (Biomass)'!$AA$2:$AC$2)/10^9),0)</f>
        <v>0</v>
      </c>
      <c r="AT2167" s="160"/>
      <c r="AU2167" s="160"/>
      <c r="AV2167" s="160"/>
      <c r="AW2167" s="160"/>
      <c r="AX2167" s="160"/>
      <c r="AY2167" s="160"/>
      <c r="AZ2167" s="160"/>
      <c r="BA2167" s="160"/>
      <c r="BB2167" s="160"/>
      <c r="BC2167" s="160"/>
    </row>
    <row r="2168" ht="15.75" hidden="1" customHeight="1" outlineLevel="1">
      <c r="A2168" s="318"/>
      <c r="B2168" s="38"/>
      <c r="C2168" s="174"/>
      <c r="D2168" s="174"/>
      <c r="E2168" s="174"/>
      <c r="F2168" s="174"/>
      <c r="G2168" s="174"/>
      <c r="H2168" s="174"/>
      <c r="I2168" s="174"/>
      <c r="J2168" s="174"/>
      <c r="K2168" s="174"/>
      <c r="L2168" s="174"/>
      <c r="M2168" s="174"/>
      <c r="N2168" s="174"/>
      <c r="O2168" s="174"/>
      <c r="P2168" s="174"/>
      <c r="Q2168" s="174"/>
      <c r="R2168" s="174"/>
      <c r="S2168" s="174"/>
      <c r="T2168" s="174"/>
      <c r="U2168" s="174"/>
      <c r="V2168" s="174"/>
      <c r="W2168" s="160"/>
      <c r="X2168" s="160"/>
      <c r="Y2168" s="160"/>
      <c r="Z2168" s="160"/>
      <c r="AA2168" s="160"/>
      <c r="AB2168" s="160"/>
      <c r="AC2168" s="160"/>
      <c r="AD2168" s="160"/>
      <c r="AE2168" s="160"/>
      <c r="AF2168" s="160">
        <f>IF($AF$2030&gt;0,IPMT('Assumptions (Biomass)'!$V$7,Model!W$1,'Assumptions (Biomass)'!$V$10,'Assumptions (Biomass)'!$V$5*Model!$AF$2030*AVERAGE('Assumptions (Biomass)'!$AB$2:$AD$2)/10^9),0)</f>
        <v>0</v>
      </c>
      <c r="AG2168" s="160">
        <f>IF($AF$2030&gt;0,IPMT('Assumptions (Biomass)'!$V$7,Model!X$1,'Assumptions (Biomass)'!$V$10,'Assumptions (Biomass)'!$V$5*Model!$AF$2030*AVERAGE('Assumptions (Biomass)'!$AB$2:$AD$2)/10^9),0)</f>
        <v>0</v>
      </c>
      <c r="AH2168" s="160">
        <f>IF($AF$2030&gt;0,IPMT('Assumptions (Biomass)'!$V$7,Model!Y$1,'Assumptions (Biomass)'!$V$10,'Assumptions (Biomass)'!$V$5*Model!$AF$2030*AVERAGE('Assumptions (Biomass)'!$AB$2:$AD$2)/10^9),0)</f>
        <v>0</v>
      </c>
      <c r="AI2168" s="160">
        <f>IF($AF$2030&gt;0,IPMT('Assumptions (Biomass)'!$V$7,Model!Z$1,'Assumptions (Biomass)'!$V$10,'Assumptions (Biomass)'!$V$5*Model!$AF$2030*AVERAGE('Assumptions (Biomass)'!$AB$2:$AD$2)/10^9),0)</f>
        <v>0</v>
      </c>
      <c r="AJ2168" s="160">
        <f>IF($AF$2030&gt;0,IPMT('Assumptions (Biomass)'!$V$7,Model!AA$1,'Assumptions (Biomass)'!$V$10,'Assumptions (Biomass)'!$V$5*Model!$AF$2030*AVERAGE('Assumptions (Biomass)'!$AB$2:$AD$2)/10^9),0)</f>
        <v>0</v>
      </c>
      <c r="AK2168" s="160">
        <f>IF($AF$2030&gt;0,IPMT('Assumptions (Biomass)'!$V$7,Model!AB$1,'Assumptions (Biomass)'!$V$10,'Assumptions (Biomass)'!$V$5*Model!$AF$2030*AVERAGE('Assumptions (Biomass)'!$AB$2:$AD$2)/10^9),0)</f>
        <v>0</v>
      </c>
      <c r="AL2168" s="160">
        <f>IF($AF$2030&gt;0,IPMT('Assumptions (Biomass)'!$V$7,Model!AC$1,'Assumptions (Biomass)'!$V$10,'Assumptions (Biomass)'!$V$5*Model!$AF$2030*AVERAGE('Assumptions (Biomass)'!$AB$2:$AD$2)/10^9),0)</f>
        <v>0</v>
      </c>
      <c r="AM2168" s="160">
        <f>IF($AF$2030&gt;0,IPMT('Assumptions (Biomass)'!$V$7,Model!AD$1,'Assumptions (Biomass)'!$V$10,'Assumptions (Biomass)'!$V$5*Model!$AF$2030*AVERAGE('Assumptions (Biomass)'!$AB$2:$AD$2)/10^9),0)</f>
        <v>0</v>
      </c>
      <c r="AN2168" s="160">
        <f>IF($AF$2030&gt;0,IPMT('Assumptions (Biomass)'!$V$7,Model!AE$1,'Assumptions (Biomass)'!$V$10,'Assumptions (Biomass)'!$V$5*Model!$AF$2030*AVERAGE('Assumptions (Biomass)'!$AB$2:$AD$2)/10^9),0)</f>
        <v>0</v>
      </c>
      <c r="AO2168" s="160">
        <f>IF($AF$2030&gt;0,IPMT('Assumptions (Biomass)'!$V$7,Model!AF$1,'Assumptions (Biomass)'!$V$10,'Assumptions (Biomass)'!$V$5*Model!$AF$2030*AVERAGE('Assumptions (Biomass)'!$AB$2:$AD$2)/10^9),0)</f>
        <v>0</v>
      </c>
      <c r="AP2168" s="160">
        <f>IF($AF$2030&gt;0,IPMT('Assumptions (Biomass)'!$V$7,Model!AG$1,'Assumptions (Biomass)'!$V$10,'Assumptions (Biomass)'!$V$5*Model!$AF$2030*AVERAGE('Assumptions (Biomass)'!$AB$2:$AD$2)/10^9),0)</f>
        <v>0</v>
      </c>
      <c r="AQ2168" s="160">
        <f>IF($AF$2030&gt;0,IPMT('Assumptions (Biomass)'!$V$7,Model!AH$1,'Assumptions (Biomass)'!$V$10,'Assumptions (Biomass)'!$V$5*Model!$AF$2030*AVERAGE('Assumptions (Biomass)'!$AB$2:$AD$2)/10^9),0)</f>
        <v>0</v>
      </c>
      <c r="AR2168" s="160">
        <f>IF($AF$2030&gt;0,IPMT('Assumptions (Biomass)'!$V$7,Model!AI$1,'Assumptions (Biomass)'!$V$10,'Assumptions (Biomass)'!$V$5*Model!$AF$2030*AVERAGE('Assumptions (Biomass)'!$AB$2:$AD$2)/10^9),0)</f>
        <v>0</v>
      </c>
      <c r="AS2168" s="160">
        <f>IF($AF$2030&gt;0,IPMT('Assumptions (Biomass)'!$V$7,Model!AJ$1,'Assumptions (Biomass)'!$V$10,'Assumptions (Biomass)'!$V$5*Model!$AF$2030*AVERAGE('Assumptions (Biomass)'!$AB$2:$AD$2)/10^9),0)</f>
        <v>0</v>
      </c>
      <c r="AT2168" s="160">
        <f>IF($AF$2030&gt;0,IPMT('Assumptions (Biomass)'!$V$7,Model!AK$1,'Assumptions (Biomass)'!$V$10,'Assumptions (Biomass)'!$V$5*Model!$AF$2030*AVERAGE('Assumptions (Biomass)'!$AB$2:$AD$2)/10^9),0)</f>
        <v>0</v>
      </c>
      <c r="AU2168" s="160"/>
      <c r="AV2168" s="160"/>
      <c r="AW2168" s="160"/>
      <c r="AX2168" s="160"/>
      <c r="AY2168" s="160"/>
      <c r="AZ2168" s="160"/>
      <c r="BA2168" s="160"/>
      <c r="BB2168" s="160"/>
      <c r="BC2168" s="160"/>
      <c r="BD2168" s="160"/>
    </row>
    <row r="2169" ht="15.75" hidden="1" customHeight="1" outlineLevel="1">
      <c r="A2169" s="318"/>
      <c r="B2169" s="38"/>
      <c r="C2169" s="174"/>
      <c r="D2169" s="174"/>
      <c r="E2169" s="174"/>
      <c r="F2169" s="174"/>
      <c r="G2169" s="174"/>
      <c r="H2169" s="174"/>
      <c r="I2169" s="174"/>
      <c r="J2169" s="174"/>
      <c r="K2169" s="174"/>
      <c r="L2169" s="174"/>
      <c r="M2169" s="174"/>
      <c r="N2169" s="174"/>
      <c r="O2169" s="174"/>
      <c r="P2169" s="174"/>
      <c r="Q2169" s="174"/>
      <c r="R2169" s="174"/>
      <c r="S2169" s="174"/>
      <c r="T2169" s="174"/>
      <c r="U2169" s="174"/>
      <c r="V2169" s="174"/>
      <c r="W2169" s="160"/>
      <c r="X2169" s="160"/>
      <c r="Y2169" s="160"/>
      <c r="Z2169" s="160"/>
      <c r="AA2169" s="160"/>
      <c r="AB2169" s="160"/>
      <c r="AC2169" s="160"/>
      <c r="AD2169" s="160"/>
      <c r="AE2169" s="160"/>
      <c r="AF2169" s="160"/>
      <c r="AG2169" s="160">
        <f>IF($AG$2030&gt;0,IPMT('Assumptions (Biomass)'!$V$7,Model!W$1,'Assumptions (Biomass)'!$V$10,'Assumptions (Biomass)'!$V$5*Model!$AG$2030*AVERAGE('Assumptions (Biomass)'!$AC$2:$AE$2)/10^9),0)</f>
        <v>0</v>
      </c>
      <c r="AH2169" s="160">
        <f>IF($AG$2030&gt;0,IPMT('Assumptions (Biomass)'!$V$7,Model!X$1,'Assumptions (Biomass)'!$V$10,'Assumptions (Biomass)'!$V$5*Model!$AG$2030*AVERAGE('Assumptions (Biomass)'!$AC$2:$AE$2)/10^9),0)</f>
        <v>0</v>
      </c>
      <c r="AI2169" s="160">
        <f>IF($AG$2030&gt;0,IPMT('Assumptions (Biomass)'!$V$7,Model!Y$1,'Assumptions (Biomass)'!$V$10,'Assumptions (Biomass)'!$V$5*Model!$AG$2030*AVERAGE('Assumptions (Biomass)'!$AC$2:$AE$2)/10^9),0)</f>
        <v>0</v>
      </c>
      <c r="AJ2169" s="160">
        <f>IF($AG$2030&gt;0,IPMT('Assumptions (Biomass)'!$V$7,Model!Z$1,'Assumptions (Biomass)'!$V$10,'Assumptions (Biomass)'!$V$5*Model!$AG$2030*AVERAGE('Assumptions (Biomass)'!$AC$2:$AE$2)/10^9),0)</f>
        <v>0</v>
      </c>
      <c r="AK2169" s="160">
        <f>IF($AG$2030&gt;0,IPMT('Assumptions (Biomass)'!$V$7,Model!AA$1,'Assumptions (Biomass)'!$V$10,'Assumptions (Biomass)'!$V$5*Model!$AG$2030*AVERAGE('Assumptions (Biomass)'!$AC$2:$AE$2)/10^9),0)</f>
        <v>0</v>
      </c>
      <c r="AL2169" s="160">
        <f>IF($AG$2030&gt;0,IPMT('Assumptions (Biomass)'!$V$7,Model!AB$1,'Assumptions (Biomass)'!$V$10,'Assumptions (Biomass)'!$V$5*Model!$AG$2030*AVERAGE('Assumptions (Biomass)'!$AC$2:$AE$2)/10^9),0)</f>
        <v>0</v>
      </c>
      <c r="AM2169" s="160">
        <f>IF($AG$2030&gt;0,IPMT('Assumptions (Biomass)'!$V$7,Model!AC$1,'Assumptions (Biomass)'!$V$10,'Assumptions (Biomass)'!$V$5*Model!$AG$2030*AVERAGE('Assumptions (Biomass)'!$AC$2:$AE$2)/10^9),0)</f>
        <v>0</v>
      </c>
      <c r="AN2169" s="160">
        <f>IF($AG$2030&gt;0,IPMT('Assumptions (Biomass)'!$V$7,Model!AD$1,'Assumptions (Biomass)'!$V$10,'Assumptions (Biomass)'!$V$5*Model!$AG$2030*AVERAGE('Assumptions (Biomass)'!$AC$2:$AE$2)/10^9),0)</f>
        <v>0</v>
      </c>
      <c r="AO2169" s="160">
        <f>IF($AG$2030&gt;0,IPMT('Assumptions (Biomass)'!$V$7,Model!AE$1,'Assumptions (Biomass)'!$V$10,'Assumptions (Biomass)'!$V$5*Model!$AG$2030*AVERAGE('Assumptions (Biomass)'!$AC$2:$AE$2)/10^9),0)</f>
        <v>0</v>
      </c>
      <c r="AP2169" s="160">
        <f>IF($AG$2030&gt;0,IPMT('Assumptions (Biomass)'!$V$7,Model!AF$1,'Assumptions (Biomass)'!$V$10,'Assumptions (Biomass)'!$V$5*Model!$AG$2030*AVERAGE('Assumptions (Biomass)'!$AC$2:$AE$2)/10^9),0)</f>
        <v>0</v>
      </c>
      <c r="AQ2169" s="160">
        <f>IF($AG$2030&gt;0,IPMT('Assumptions (Biomass)'!$V$7,Model!AG$1,'Assumptions (Biomass)'!$V$10,'Assumptions (Biomass)'!$V$5*Model!$AG$2030*AVERAGE('Assumptions (Biomass)'!$AC$2:$AE$2)/10^9),0)</f>
        <v>0</v>
      </c>
      <c r="AR2169" s="160">
        <f>IF($AG$2030&gt;0,IPMT('Assumptions (Biomass)'!$V$7,Model!AH$1,'Assumptions (Biomass)'!$V$10,'Assumptions (Biomass)'!$V$5*Model!$AG$2030*AVERAGE('Assumptions (Biomass)'!$AC$2:$AE$2)/10^9),0)</f>
        <v>0</v>
      </c>
      <c r="AS2169" s="160">
        <f>IF($AG$2030&gt;0,IPMT('Assumptions (Biomass)'!$V$7,Model!AI$1,'Assumptions (Biomass)'!$V$10,'Assumptions (Biomass)'!$V$5*Model!$AG$2030*AVERAGE('Assumptions (Biomass)'!$AC$2:$AE$2)/10^9),0)</f>
        <v>0</v>
      </c>
      <c r="AT2169" s="160">
        <f>IF($AG$2030&gt;0,IPMT('Assumptions (Biomass)'!$V$7,Model!AJ$1,'Assumptions (Biomass)'!$V$10,'Assumptions (Biomass)'!$V$5*Model!$AG$2030*AVERAGE('Assumptions (Biomass)'!$AC$2:$AE$2)/10^9),0)</f>
        <v>0</v>
      </c>
      <c r="AU2169" s="160">
        <f>IF($AG$2030&gt;0,IPMT('Assumptions (Biomass)'!$V$7,Model!AK$1,'Assumptions (Biomass)'!$V$10,'Assumptions (Biomass)'!$V$5*Model!$AG$2030*AVERAGE('Assumptions (Biomass)'!$AC$2:$AE$2)/10^9),0)</f>
        <v>0</v>
      </c>
      <c r="AV2169" s="160"/>
      <c r="AW2169" s="160"/>
      <c r="AX2169" s="160"/>
      <c r="AY2169" s="160"/>
      <c r="AZ2169" s="160"/>
      <c r="BA2169" s="160"/>
      <c r="BB2169" s="160"/>
      <c r="BC2169" s="160"/>
      <c r="BD2169" s="160"/>
      <c r="BE2169" s="160"/>
    </row>
    <row r="2170" ht="15.75" hidden="1" customHeight="1" outlineLevel="1">
      <c r="A2170" s="318"/>
      <c r="B2170" s="38"/>
      <c r="C2170" s="174"/>
      <c r="D2170" s="174"/>
      <c r="E2170" s="174"/>
      <c r="F2170" s="174"/>
      <c r="G2170" s="174"/>
      <c r="H2170" s="174"/>
      <c r="I2170" s="174"/>
      <c r="J2170" s="174"/>
      <c r="K2170" s="174"/>
      <c r="L2170" s="174"/>
      <c r="M2170" s="174"/>
      <c r="N2170" s="174"/>
      <c r="O2170" s="174"/>
      <c r="P2170" s="174"/>
      <c r="Q2170" s="174"/>
      <c r="R2170" s="174"/>
      <c r="S2170" s="174"/>
      <c r="T2170" s="174"/>
      <c r="U2170" s="174"/>
      <c r="V2170" s="174"/>
      <c r="W2170" s="160"/>
      <c r="X2170" s="160"/>
      <c r="Y2170" s="160"/>
      <c r="Z2170" s="160"/>
      <c r="AA2170" s="160"/>
      <c r="AB2170" s="160"/>
      <c r="AC2170" s="160"/>
      <c r="AD2170" s="160"/>
      <c r="AE2170" s="160"/>
      <c r="AF2170" s="160"/>
      <c r="AG2170" s="160"/>
      <c r="AH2170" s="160">
        <f>IF($AH$2030&gt;0,IPMT('Assumptions (Biomass)'!$V$7,Model!W$1,'Assumptions (Biomass)'!$V$10,'Assumptions (Biomass)'!$V$5*Model!$AH$2030*AVERAGE('Assumptions (Biomass)'!$AD$2:$AF$2)/10^9),0)</f>
        <v>0</v>
      </c>
      <c r="AI2170" s="160">
        <f>IF($AH$2030&gt;0,IPMT('Assumptions (Biomass)'!$V$7,Model!X$1,'Assumptions (Biomass)'!$V$10,'Assumptions (Biomass)'!$V$5*Model!$AH$2030*AVERAGE('Assumptions (Biomass)'!$AD$2:$AF$2)/10^9),0)</f>
        <v>0</v>
      </c>
      <c r="AJ2170" s="160">
        <f>IF($AH$2030&gt;0,IPMT('Assumptions (Biomass)'!$V$7,Model!Y$1,'Assumptions (Biomass)'!$V$10,'Assumptions (Biomass)'!$V$5*Model!$AH$2030*AVERAGE('Assumptions (Biomass)'!$AD$2:$AF$2)/10^9),0)</f>
        <v>0</v>
      </c>
      <c r="AK2170" s="160">
        <f>IF($AH$2030&gt;0,IPMT('Assumptions (Biomass)'!$V$7,Model!Z$1,'Assumptions (Biomass)'!$V$10,'Assumptions (Biomass)'!$V$5*Model!$AH$2030*AVERAGE('Assumptions (Biomass)'!$AD$2:$AF$2)/10^9),0)</f>
        <v>0</v>
      </c>
      <c r="AL2170" s="160">
        <f>IF($AH$2030&gt;0,IPMT('Assumptions (Biomass)'!$V$7,Model!AA$1,'Assumptions (Biomass)'!$V$10,'Assumptions (Biomass)'!$V$5*Model!$AH$2030*AVERAGE('Assumptions (Biomass)'!$AD$2:$AF$2)/10^9),0)</f>
        <v>0</v>
      </c>
      <c r="AM2170" s="160">
        <f>IF($AH$2030&gt;0,IPMT('Assumptions (Biomass)'!$V$7,Model!AB$1,'Assumptions (Biomass)'!$V$10,'Assumptions (Biomass)'!$V$5*Model!$AH$2030*AVERAGE('Assumptions (Biomass)'!$AD$2:$AF$2)/10^9),0)</f>
        <v>0</v>
      </c>
      <c r="AN2170" s="160">
        <f>IF($AH$2030&gt;0,IPMT('Assumptions (Biomass)'!$V$7,Model!AC$1,'Assumptions (Biomass)'!$V$10,'Assumptions (Biomass)'!$V$5*Model!$AH$2030*AVERAGE('Assumptions (Biomass)'!$AD$2:$AF$2)/10^9),0)</f>
        <v>0</v>
      </c>
      <c r="AO2170" s="160">
        <f>IF($AH$2030&gt;0,IPMT('Assumptions (Biomass)'!$V$7,Model!AD$1,'Assumptions (Biomass)'!$V$10,'Assumptions (Biomass)'!$V$5*Model!$AH$2030*AVERAGE('Assumptions (Biomass)'!$AD$2:$AF$2)/10^9),0)</f>
        <v>0</v>
      </c>
      <c r="AP2170" s="160">
        <f>IF($AH$2030&gt;0,IPMT('Assumptions (Biomass)'!$V$7,Model!AE$1,'Assumptions (Biomass)'!$V$10,'Assumptions (Biomass)'!$V$5*Model!$AH$2030*AVERAGE('Assumptions (Biomass)'!$AD$2:$AF$2)/10^9),0)</f>
        <v>0</v>
      </c>
      <c r="AQ2170" s="160">
        <f>IF($AH$2030&gt;0,IPMT('Assumptions (Biomass)'!$V$7,Model!AF$1,'Assumptions (Biomass)'!$V$10,'Assumptions (Biomass)'!$V$5*Model!$AH$2030*AVERAGE('Assumptions (Biomass)'!$AD$2:$AF$2)/10^9),0)</f>
        <v>0</v>
      </c>
      <c r="AR2170" s="160">
        <f>IF($AH$2030&gt;0,IPMT('Assumptions (Biomass)'!$V$7,Model!AG$1,'Assumptions (Biomass)'!$V$10,'Assumptions (Biomass)'!$V$5*Model!$AH$2030*AVERAGE('Assumptions (Biomass)'!$AD$2:$AF$2)/10^9),0)</f>
        <v>0</v>
      </c>
      <c r="AS2170" s="160">
        <f>IF($AH$2030&gt;0,IPMT('Assumptions (Biomass)'!$V$7,Model!AH$1,'Assumptions (Biomass)'!$V$10,'Assumptions (Biomass)'!$V$5*Model!$AH$2030*AVERAGE('Assumptions (Biomass)'!$AD$2:$AF$2)/10^9),0)</f>
        <v>0</v>
      </c>
      <c r="AT2170" s="160">
        <f>IF($AH$2030&gt;0,IPMT('Assumptions (Biomass)'!$V$7,Model!AI$1,'Assumptions (Biomass)'!$V$10,'Assumptions (Biomass)'!$V$5*Model!$AH$2030*AVERAGE('Assumptions (Biomass)'!$AD$2:$AF$2)/10^9),0)</f>
        <v>0</v>
      </c>
      <c r="AU2170" s="160">
        <f>IF($AH$2030&gt;0,IPMT('Assumptions (Biomass)'!$V$7,Model!AJ$1,'Assumptions (Biomass)'!$V$10,'Assumptions (Biomass)'!$V$5*Model!$AH$2030*AVERAGE('Assumptions (Biomass)'!$AD$2:$AF$2)/10^9),0)</f>
        <v>0</v>
      </c>
      <c r="AV2170" s="160">
        <f>IF($AH$2030&gt;0,IPMT('Assumptions (Biomass)'!$V$7,Model!AK$1,'Assumptions (Biomass)'!$V$10,'Assumptions (Biomass)'!$V$5*Model!$AH$2030*AVERAGE('Assumptions (Biomass)'!$AD$2:$AF$2)/10^9),0)</f>
        <v>0</v>
      </c>
      <c r="AW2170" s="160"/>
      <c r="AX2170" s="160"/>
      <c r="AY2170" s="160"/>
      <c r="AZ2170" s="160"/>
      <c r="BA2170" s="160"/>
      <c r="BB2170" s="160"/>
      <c r="BC2170" s="160"/>
      <c r="BD2170" s="160"/>
      <c r="BE2170" s="160"/>
      <c r="BF2170" s="160"/>
    </row>
    <row r="2171" ht="15.75" hidden="1" customHeight="1" outlineLevel="1">
      <c r="A2171" s="318"/>
      <c r="B2171" s="38"/>
      <c r="C2171" s="174"/>
      <c r="D2171" s="174"/>
      <c r="E2171" s="174"/>
      <c r="F2171" s="174"/>
      <c r="G2171" s="174"/>
      <c r="H2171" s="174"/>
      <c r="I2171" s="174"/>
      <c r="J2171" s="174"/>
      <c r="K2171" s="174"/>
      <c r="L2171" s="174"/>
      <c r="M2171" s="174"/>
      <c r="N2171" s="174"/>
      <c r="O2171" s="174"/>
      <c r="P2171" s="174"/>
      <c r="Q2171" s="174"/>
      <c r="R2171" s="174"/>
      <c r="S2171" s="174"/>
      <c r="T2171" s="174"/>
      <c r="U2171" s="174"/>
      <c r="V2171" s="174"/>
      <c r="W2171" s="160"/>
      <c r="X2171" s="160"/>
      <c r="Y2171" s="160"/>
      <c r="Z2171" s="160"/>
      <c r="AA2171" s="160"/>
      <c r="AB2171" s="160"/>
      <c r="AC2171" s="160"/>
      <c r="AD2171" s="160"/>
      <c r="AE2171" s="160"/>
      <c r="AF2171" s="160"/>
      <c r="AG2171" s="160"/>
      <c r="AH2171" s="160"/>
      <c r="AI2171" s="160">
        <f>IF($AI$2030&gt;0,IPMT('Assumptions (Biomass)'!$V$7,Model!W$1,'Assumptions (Biomass)'!$V$10,'Assumptions (Biomass)'!$V$5*Model!$AI$2030*AVERAGE('Assumptions (Biomass)'!$AE$2:$AG$2)/10^9),0)</f>
        <v>0</v>
      </c>
      <c r="AJ2171" s="160">
        <f>IF($AI$2030&gt;0,IPMT('Assumptions (Biomass)'!$V$7,Model!X$1,'Assumptions (Biomass)'!$V$10,'Assumptions (Biomass)'!$V$5*Model!$AI$2030*AVERAGE('Assumptions (Biomass)'!$AE$2:$AG$2)/10^9),0)</f>
        <v>0</v>
      </c>
      <c r="AK2171" s="160">
        <f>IF($AI$2030&gt;0,IPMT('Assumptions (Biomass)'!$V$7,Model!Y$1,'Assumptions (Biomass)'!$V$10,'Assumptions (Biomass)'!$V$5*Model!$AI$2030*AVERAGE('Assumptions (Biomass)'!$AE$2:$AG$2)/10^9),0)</f>
        <v>0</v>
      </c>
      <c r="AL2171" s="160">
        <f>IF($AI$2030&gt;0,IPMT('Assumptions (Biomass)'!$V$7,Model!Z$1,'Assumptions (Biomass)'!$V$10,'Assumptions (Biomass)'!$V$5*Model!$AI$2030*AVERAGE('Assumptions (Biomass)'!$AE$2:$AG$2)/10^9),0)</f>
        <v>0</v>
      </c>
      <c r="AM2171" s="160">
        <f>IF($AI$2030&gt;0,IPMT('Assumptions (Biomass)'!$V$7,Model!AA$1,'Assumptions (Biomass)'!$V$10,'Assumptions (Biomass)'!$V$5*Model!$AI$2030*AVERAGE('Assumptions (Biomass)'!$AE$2:$AG$2)/10^9),0)</f>
        <v>0</v>
      </c>
      <c r="AN2171" s="160">
        <f>IF($AI$2030&gt;0,IPMT('Assumptions (Biomass)'!$V$7,Model!AB$1,'Assumptions (Biomass)'!$V$10,'Assumptions (Biomass)'!$V$5*Model!$AI$2030*AVERAGE('Assumptions (Biomass)'!$AE$2:$AG$2)/10^9),0)</f>
        <v>0</v>
      </c>
      <c r="AO2171" s="160">
        <f>IF($AI$2030&gt;0,IPMT('Assumptions (Biomass)'!$V$7,Model!AC$1,'Assumptions (Biomass)'!$V$10,'Assumptions (Biomass)'!$V$5*Model!$AI$2030*AVERAGE('Assumptions (Biomass)'!$AE$2:$AG$2)/10^9),0)</f>
        <v>0</v>
      </c>
      <c r="AP2171" s="160">
        <f>IF($AI$2030&gt;0,IPMT('Assumptions (Biomass)'!$V$7,Model!AD$1,'Assumptions (Biomass)'!$V$10,'Assumptions (Biomass)'!$V$5*Model!$AI$2030*AVERAGE('Assumptions (Biomass)'!$AE$2:$AG$2)/10^9),0)</f>
        <v>0</v>
      </c>
      <c r="AQ2171" s="160">
        <f>IF($AI$2030&gt;0,IPMT('Assumptions (Biomass)'!$V$7,Model!AE$1,'Assumptions (Biomass)'!$V$10,'Assumptions (Biomass)'!$V$5*Model!$AI$2030*AVERAGE('Assumptions (Biomass)'!$AE$2:$AG$2)/10^9),0)</f>
        <v>0</v>
      </c>
      <c r="AR2171" s="160">
        <f>IF($AI$2030&gt;0,IPMT('Assumptions (Biomass)'!$V$7,Model!AF$1,'Assumptions (Biomass)'!$V$10,'Assumptions (Biomass)'!$V$5*Model!$AI$2030*AVERAGE('Assumptions (Biomass)'!$AE$2:$AG$2)/10^9),0)</f>
        <v>0</v>
      </c>
      <c r="AS2171" s="160">
        <f>IF($AI$2030&gt;0,IPMT('Assumptions (Biomass)'!$V$7,Model!AG$1,'Assumptions (Biomass)'!$V$10,'Assumptions (Biomass)'!$V$5*Model!$AI$2030*AVERAGE('Assumptions (Biomass)'!$AE$2:$AG$2)/10^9),0)</f>
        <v>0</v>
      </c>
      <c r="AT2171" s="160">
        <f>IF($AI$2030&gt;0,IPMT('Assumptions (Biomass)'!$V$7,Model!AH$1,'Assumptions (Biomass)'!$V$10,'Assumptions (Biomass)'!$V$5*Model!$AI$2030*AVERAGE('Assumptions (Biomass)'!$AE$2:$AG$2)/10^9),0)</f>
        <v>0</v>
      </c>
      <c r="AU2171" s="160">
        <f>IF($AI$2030&gt;0,IPMT('Assumptions (Biomass)'!$V$7,Model!AI$1,'Assumptions (Biomass)'!$V$10,'Assumptions (Biomass)'!$V$5*Model!$AI$2030*AVERAGE('Assumptions (Biomass)'!$AE$2:$AG$2)/10^9),0)</f>
        <v>0</v>
      </c>
      <c r="AV2171" s="160">
        <f>IF($AI$2030&gt;0,IPMT('Assumptions (Biomass)'!$V$7,Model!AJ$1,'Assumptions (Biomass)'!$V$10,'Assumptions (Biomass)'!$V$5*Model!$AI$2030*AVERAGE('Assumptions (Biomass)'!$AE$2:$AG$2)/10^9),0)</f>
        <v>0</v>
      </c>
      <c r="AW2171" s="160">
        <f>IF($AI$2030&gt;0,IPMT('Assumptions (Biomass)'!$V$7,Model!AK$1,'Assumptions (Biomass)'!$V$10,'Assumptions (Biomass)'!$V$5*Model!$AI$2030*AVERAGE('Assumptions (Biomass)'!$AE$2:$AG$2)/10^9),0)</f>
        <v>0</v>
      </c>
      <c r="AX2171" s="160"/>
      <c r="AY2171" s="160"/>
      <c r="AZ2171" s="160"/>
      <c r="BA2171" s="160"/>
      <c r="BB2171" s="160"/>
      <c r="BC2171" s="160"/>
      <c r="BD2171" s="160"/>
      <c r="BE2171" s="160"/>
      <c r="BF2171" s="160"/>
      <c r="BG2171" s="160"/>
    </row>
    <row r="2172" ht="15.75" hidden="1" customHeight="1" outlineLevel="1">
      <c r="A2172" s="318"/>
      <c r="B2172" s="38"/>
      <c r="C2172" s="174"/>
      <c r="D2172" s="174"/>
      <c r="E2172" s="174"/>
      <c r="F2172" s="174"/>
      <c r="G2172" s="174"/>
      <c r="H2172" s="174"/>
      <c r="I2172" s="174"/>
      <c r="J2172" s="174"/>
      <c r="K2172" s="174"/>
      <c r="L2172" s="174"/>
      <c r="M2172" s="174"/>
      <c r="N2172" s="174"/>
      <c r="O2172" s="174"/>
      <c r="P2172" s="174"/>
      <c r="Q2172" s="174"/>
      <c r="R2172" s="174"/>
      <c r="S2172" s="174"/>
      <c r="T2172" s="174"/>
      <c r="U2172" s="174"/>
      <c r="V2172" s="174"/>
      <c r="W2172" s="160"/>
      <c r="X2172" s="160"/>
      <c r="Y2172" s="160"/>
      <c r="Z2172" s="160"/>
      <c r="AA2172" s="160"/>
      <c r="AB2172" s="160"/>
      <c r="AC2172" s="160"/>
      <c r="AD2172" s="160"/>
      <c r="AE2172" s="160"/>
      <c r="AF2172" s="160"/>
      <c r="AG2172" s="160"/>
      <c r="AH2172" s="160"/>
      <c r="AI2172" s="160"/>
      <c r="AJ2172" s="177">
        <f>IF($AJ$2030&gt;0,IPMT('Assumptions (Biomass)'!$V$7,Model!W$1,'Assumptions (Biomass)'!$V$10,'Assumptions (Biomass)'!$V$5*Model!$AJ$2030*AVERAGE('Assumptions (Biomass)'!$AF$2:$AH$2)/10^9),0)</f>
        <v>0</v>
      </c>
      <c r="AK2172" s="177">
        <f>IF($AJ$2030&gt;0,IPMT('Assumptions (Biomass)'!$V$7,Model!X$1,'Assumptions (Biomass)'!$V$10,'Assumptions (Biomass)'!$V$5*Model!$AJ$2030*AVERAGE('Assumptions (Biomass)'!$AF$2:$AH$2)/10^9),0)</f>
        <v>0</v>
      </c>
      <c r="AL2172" s="177">
        <f>IF($AJ$2030&gt;0,IPMT('Assumptions (Biomass)'!$V$7,Model!Y$1,'Assumptions (Biomass)'!$V$10,'Assumptions (Biomass)'!$V$5*Model!$AJ$2030*AVERAGE('Assumptions (Biomass)'!$AF$2:$AH$2)/10^9),0)</f>
        <v>0</v>
      </c>
      <c r="AM2172" s="177">
        <f>IF($AJ$2030&gt;0,IPMT('Assumptions (Biomass)'!$V$7,Model!Z$1,'Assumptions (Biomass)'!$V$10,'Assumptions (Biomass)'!$V$5*Model!$AJ$2030*AVERAGE('Assumptions (Biomass)'!$AF$2:$AH$2)/10^9),0)</f>
        <v>0</v>
      </c>
      <c r="AN2172" s="177">
        <f>IF($AJ$2030&gt;0,IPMT('Assumptions (Biomass)'!$V$7,Model!AA$1,'Assumptions (Biomass)'!$V$10,'Assumptions (Biomass)'!$V$5*Model!$AJ$2030*AVERAGE('Assumptions (Biomass)'!$AF$2:$AH$2)/10^9),0)</f>
        <v>0</v>
      </c>
      <c r="AO2172" s="177">
        <f>IF($AJ$2030&gt;0,IPMT('Assumptions (Biomass)'!$V$7,Model!AB$1,'Assumptions (Biomass)'!$V$10,'Assumptions (Biomass)'!$V$5*Model!$AJ$2030*AVERAGE('Assumptions (Biomass)'!$AF$2:$AH$2)/10^9),0)</f>
        <v>0</v>
      </c>
      <c r="AP2172" s="177">
        <f>IF($AJ$2030&gt;0,IPMT('Assumptions (Biomass)'!$V$7,Model!AC$1,'Assumptions (Biomass)'!$V$10,'Assumptions (Biomass)'!$V$5*Model!$AJ$2030*AVERAGE('Assumptions (Biomass)'!$AF$2:$AH$2)/10^9),0)</f>
        <v>0</v>
      </c>
      <c r="AQ2172" s="177">
        <f>IF($AJ$2030&gt;0,IPMT('Assumptions (Biomass)'!$V$7,Model!AD$1,'Assumptions (Biomass)'!$V$10,'Assumptions (Biomass)'!$V$5*Model!$AJ$2030*AVERAGE('Assumptions (Biomass)'!$AF$2:$AH$2)/10^9),0)</f>
        <v>0</v>
      </c>
      <c r="AR2172" s="177">
        <f>IF($AJ$2030&gt;0,IPMT('Assumptions (Biomass)'!$V$7,Model!AE$1,'Assumptions (Biomass)'!$V$10,'Assumptions (Biomass)'!$V$5*Model!$AJ$2030*AVERAGE('Assumptions (Biomass)'!$AF$2:$AH$2)/10^9),0)</f>
        <v>0</v>
      </c>
      <c r="AS2172" s="177">
        <f>IF($AJ$2030&gt;0,IPMT('Assumptions (Biomass)'!$V$7,Model!AF$1,'Assumptions (Biomass)'!$V$10,'Assumptions (Biomass)'!$V$5*Model!$AJ$2030*AVERAGE('Assumptions (Biomass)'!$AF$2:$AH$2)/10^9),0)</f>
        <v>0</v>
      </c>
      <c r="AT2172" s="177">
        <f>IF($AJ$2030&gt;0,IPMT('Assumptions (Biomass)'!$V$7,Model!AG$1,'Assumptions (Biomass)'!$V$10,'Assumptions (Biomass)'!$V$5*Model!$AJ$2030*AVERAGE('Assumptions (Biomass)'!$AF$2:$AH$2)/10^9),0)</f>
        <v>0</v>
      </c>
      <c r="AU2172" s="177">
        <f>IF($AJ$2030&gt;0,IPMT('Assumptions (Biomass)'!$V$7,Model!AH$1,'Assumptions (Biomass)'!$V$10,'Assumptions (Biomass)'!$V$5*Model!$AJ$2030*AVERAGE('Assumptions (Biomass)'!$AF$2:$AH$2)/10^9),0)</f>
        <v>0</v>
      </c>
      <c r="AV2172" s="177">
        <f>IF($AJ$2030&gt;0,IPMT('Assumptions (Biomass)'!$V$7,Model!AI$1,'Assumptions (Biomass)'!$V$10,'Assumptions (Biomass)'!$V$5*Model!$AJ$2030*AVERAGE('Assumptions (Biomass)'!$AF$2:$AH$2)/10^9),0)</f>
        <v>0</v>
      </c>
      <c r="AW2172" s="177">
        <f>IF($AJ$2030&gt;0,IPMT('Assumptions (Biomass)'!$V$7,Model!AJ$1,'Assumptions (Biomass)'!$V$10,'Assumptions (Biomass)'!$V$5*Model!$AJ$2030*AVERAGE('Assumptions (Biomass)'!$AF$2:$AH$2)/10^9),0)</f>
        <v>0</v>
      </c>
      <c r="AX2172" s="177">
        <f>IF($AJ$2030&gt;0,IPMT('Assumptions (Biomass)'!$V$7,Model!AK$1,'Assumptions (Biomass)'!$V$10,'Assumptions (Biomass)'!$V$5*Model!$AJ$2030*AVERAGE('Assumptions (Biomass)'!$AF$2:$AH$2)/10^9),0)</f>
        <v>0</v>
      </c>
      <c r="AY2172" s="177"/>
      <c r="AZ2172" s="177"/>
      <c r="BA2172" s="177"/>
      <c r="BB2172" s="177"/>
      <c r="BC2172" s="177"/>
      <c r="BD2172" s="177"/>
      <c r="BE2172" s="177"/>
      <c r="BF2172" s="177"/>
      <c r="BG2172" s="177"/>
      <c r="BH2172" s="177"/>
    </row>
    <row r="2173" ht="15.75" hidden="1" customHeight="1" outlineLevel="1">
      <c r="A2173" s="318"/>
      <c r="B2173" s="38"/>
      <c r="C2173" s="174"/>
      <c r="D2173" s="174"/>
      <c r="E2173" s="174"/>
      <c r="F2173" s="174"/>
      <c r="G2173" s="174"/>
      <c r="H2173" s="174"/>
      <c r="I2173" s="174"/>
      <c r="J2173" s="174"/>
      <c r="K2173" s="174"/>
      <c r="L2173" s="174"/>
      <c r="M2173" s="174"/>
      <c r="N2173" s="174"/>
      <c r="O2173" s="174"/>
      <c r="P2173" s="174"/>
      <c r="Q2173" s="174"/>
      <c r="R2173" s="174"/>
      <c r="S2173" s="174"/>
      <c r="T2173" s="174"/>
      <c r="U2173" s="174"/>
      <c r="V2173" s="174"/>
      <c r="W2173" s="160"/>
      <c r="X2173" s="160"/>
      <c r="Y2173" s="160"/>
      <c r="Z2173" s="160"/>
      <c r="AA2173" s="160"/>
      <c r="AB2173" s="160"/>
      <c r="AC2173" s="160"/>
      <c r="AD2173" s="160"/>
      <c r="AE2173" s="160"/>
      <c r="AF2173" s="160"/>
      <c r="AG2173" s="160"/>
      <c r="AH2173" s="160"/>
      <c r="AI2173" s="160"/>
      <c r="AJ2173" s="179"/>
      <c r="AK2173" s="160">
        <f>IF($AK$2030&gt;0,IPMT('Assumptions (Biomass)'!$V$7,Model!W$1,'Assumptions (Biomass)'!$V$10,'Assumptions (Biomass)'!$V$5*Model!$AK$2030*AVERAGE('Assumptions (Biomass)'!$AG$2:$AI$2)/10^9),0)</f>
        <v>0</v>
      </c>
      <c r="AL2173" s="160">
        <f>IF($AK$2030&gt;0,IPMT('Assumptions (Biomass)'!$V$7,Model!X$1,'Assumptions (Biomass)'!$V$10,'Assumptions (Biomass)'!$V$5*Model!$AK$2030*AVERAGE('Assumptions (Biomass)'!$AG$2:$AI$2)/10^9),0)</f>
        <v>0</v>
      </c>
      <c r="AM2173" s="160">
        <f>IF($AK$2030&gt;0,IPMT('Assumptions (Biomass)'!$V$7,Model!Y$1,'Assumptions (Biomass)'!$V$10,'Assumptions (Biomass)'!$V$5*Model!$AK$2030*AVERAGE('Assumptions (Biomass)'!$AG$2:$AI$2)/10^9),0)</f>
        <v>0</v>
      </c>
      <c r="AN2173" s="160">
        <f>IF($AK$2030&gt;0,IPMT('Assumptions (Biomass)'!$V$7,Model!Z$1,'Assumptions (Biomass)'!$V$10,'Assumptions (Biomass)'!$V$5*Model!$AK$2030*AVERAGE('Assumptions (Biomass)'!$AG$2:$AI$2)/10^9),0)</f>
        <v>0</v>
      </c>
      <c r="AO2173" s="160">
        <f>IF($AK$2030&gt;0,IPMT('Assumptions (Biomass)'!$V$7,Model!AA$1,'Assumptions (Biomass)'!$V$10,'Assumptions (Biomass)'!$V$5*Model!$AK$2030*AVERAGE('Assumptions (Biomass)'!$AG$2:$AI$2)/10^9),0)</f>
        <v>0</v>
      </c>
      <c r="AP2173" s="160">
        <f>IF($AK$2030&gt;0,IPMT('Assumptions (Biomass)'!$V$7,Model!AB$1,'Assumptions (Biomass)'!$V$10,'Assumptions (Biomass)'!$V$5*Model!$AK$2030*AVERAGE('Assumptions (Biomass)'!$AG$2:$AI$2)/10^9),0)</f>
        <v>0</v>
      </c>
      <c r="AQ2173" s="160">
        <f>IF($AK$2030&gt;0,IPMT('Assumptions (Biomass)'!$V$7,Model!AC$1,'Assumptions (Biomass)'!$V$10,'Assumptions (Biomass)'!$V$5*Model!$AK$2030*AVERAGE('Assumptions (Biomass)'!$AG$2:$AI$2)/10^9),0)</f>
        <v>0</v>
      </c>
      <c r="AR2173" s="160">
        <f>IF($AK$2030&gt;0,IPMT('Assumptions (Biomass)'!$V$7,Model!AD$1,'Assumptions (Biomass)'!$V$10,'Assumptions (Biomass)'!$V$5*Model!$AK$2030*AVERAGE('Assumptions (Biomass)'!$AG$2:$AI$2)/10^9),0)</f>
        <v>0</v>
      </c>
      <c r="AS2173" s="160">
        <f>IF($AK$2030&gt;0,IPMT('Assumptions (Biomass)'!$V$7,Model!AE$1,'Assumptions (Biomass)'!$V$10,'Assumptions (Biomass)'!$V$5*Model!$AK$2030*AVERAGE('Assumptions (Biomass)'!$AG$2:$AI$2)/10^9),0)</f>
        <v>0</v>
      </c>
      <c r="AT2173" s="160">
        <f>IF($AK$2030&gt;0,IPMT('Assumptions (Biomass)'!$V$7,Model!AF$1,'Assumptions (Biomass)'!$V$10,'Assumptions (Biomass)'!$V$5*Model!$AK$2030*AVERAGE('Assumptions (Biomass)'!$AG$2:$AI$2)/10^9),0)</f>
        <v>0</v>
      </c>
      <c r="AU2173" s="160">
        <f>IF($AK$2030&gt;0,IPMT('Assumptions (Biomass)'!$V$7,Model!AG$1,'Assumptions (Biomass)'!$V$10,'Assumptions (Biomass)'!$V$5*Model!$AK$2030*AVERAGE('Assumptions (Biomass)'!$AG$2:$AI$2)/10^9),0)</f>
        <v>0</v>
      </c>
      <c r="AV2173" s="160">
        <f>IF($AK$2030&gt;0,IPMT('Assumptions (Biomass)'!$V$7,Model!AH$1,'Assumptions (Biomass)'!$V$10,'Assumptions (Biomass)'!$V$5*Model!$AK$2030*AVERAGE('Assumptions (Biomass)'!$AG$2:$AI$2)/10^9),0)</f>
        <v>0</v>
      </c>
      <c r="AW2173" s="160">
        <f>IF($AK$2030&gt;0,IPMT('Assumptions (Biomass)'!$V$7,Model!AI$1,'Assumptions (Biomass)'!$V$10,'Assumptions (Biomass)'!$V$5*Model!$AK$2030*AVERAGE('Assumptions (Biomass)'!$AG$2:$AI$2)/10^9),0)</f>
        <v>0</v>
      </c>
      <c r="AX2173" s="160">
        <f>IF($AK$2030&gt;0,IPMT('Assumptions (Biomass)'!$V$7,Model!AJ$1,'Assumptions (Biomass)'!$V$10,'Assumptions (Biomass)'!$V$5*Model!$AK$2030*AVERAGE('Assumptions (Biomass)'!$AG$2:$AI$2)/10^9),0)</f>
        <v>0</v>
      </c>
      <c r="AY2173" s="160">
        <f>IF($AK$2030&gt;0,IPMT('Assumptions (Biomass)'!$V$7,Model!AK$1,'Assumptions (Biomass)'!$V$10,'Assumptions (Biomass)'!$V$5*Model!$AK$2030*AVERAGE('Assumptions (Biomass)'!$AG$2:$AI$2)/10^9),0)</f>
        <v>0</v>
      </c>
      <c r="AZ2173" s="160"/>
      <c r="BA2173" s="160"/>
      <c r="BB2173" s="160"/>
      <c r="BC2173" s="160"/>
      <c r="BD2173" s="160"/>
      <c r="BE2173" s="160"/>
      <c r="BF2173" s="160"/>
      <c r="BG2173" s="160"/>
      <c r="BH2173" s="160"/>
      <c r="BI2173" s="160"/>
    </row>
    <row r="2174" ht="15.75" hidden="1" customHeight="1" outlineLevel="1">
      <c r="A2174" s="318"/>
      <c r="B2174" s="38"/>
      <c r="C2174" s="174"/>
      <c r="D2174" s="174"/>
      <c r="E2174" s="174"/>
      <c r="F2174" s="174"/>
      <c r="G2174" s="174"/>
      <c r="H2174" s="174"/>
      <c r="I2174" s="174"/>
      <c r="J2174" s="174"/>
      <c r="K2174" s="174"/>
      <c r="L2174" s="174"/>
      <c r="M2174" s="174"/>
      <c r="N2174" s="174"/>
      <c r="O2174" s="174"/>
      <c r="P2174" s="174"/>
      <c r="Q2174" s="174"/>
      <c r="R2174" s="174"/>
      <c r="S2174" s="174"/>
      <c r="T2174" s="174"/>
      <c r="U2174" s="174"/>
      <c r="V2174" s="174"/>
      <c r="W2174" s="160"/>
      <c r="X2174" s="160"/>
      <c r="Y2174" s="160"/>
      <c r="Z2174" s="160"/>
      <c r="AA2174" s="160"/>
      <c r="AB2174" s="160"/>
      <c r="AC2174" s="160"/>
      <c r="AD2174" s="160"/>
      <c r="AE2174" s="160"/>
      <c r="AF2174" s="160"/>
      <c r="AG2174" s="160"/>
      <c r="AH2174" s="160"/>
      <c r="AI2174" s="160"/>
      <c r="AJ2174" s="179"/>
      <c r="AK2174" s="160"/>
      <c r="AL2174" s="177">
        <f>IF($AL$2030&gt;0,IPMT('Assumptions (Biomass)'!$V$7,Model!W$1,'Assumptions (Biomass)'!$V$10,'Assumptions (Biomass)'!$V$5*Model!$AL$2030*AVERAGE('Assumptions (Biomass)'!$AH$2:$AJ$2)/10^9),0)</f>
        <v>0</v>
      </c>
      <c r="AM2174" s="177">
        <f>IF($AL$2030&gt;0,IPMT('Assumptions (Biomass)'!$V$7,Model!X$1,'Assumptions (Biomass)'!$V$10,'Assumptions (Biomass)'!$V$5*Model!$AL$2030*AVERAGE('Assumptions (Biomass)'!$AH$2:$AJ$2)/10^9),0)</f>
        <v>0</v>
      </c>
      <c r="AN2174" s="177">
        <f>IF($AL$2030&gt;0,IPMT('Assumptions (Biomass)'!$V$7,Model!Y$1,'Assumptions (Biomass)'!$V$10,'Assumptions (Biomass)'!$V$5*Model!$AL$2030*AVERAGE('Assumptions (Biomass)'!$AH$2:$AJ$2)/10^9),0)</f>
        <v>0</v>
      </c>
      <c r="AO2174" s="177">
        <f>IF($AL$2030&gt;0,IPMT('Assumptions (Biomass)'!$V$7,Model!Z$1,'Assumptions (Biomass)'!$V$10,'Assumptions (Biomass)'!$V$5*Model!$AL$2030*AVERAGE('Assumptions (Biomass)'!$AH$2:$AJ$2)/10^9),0)</f>
        <v>0</v>
      </c>
      <c r="AP2174" s="177">
        <f>IF($AL$2030&gt;0,IPMT('Assumptions (Biomass)'!$V$7,Model!AA$1,'Assumptions (Biomass)'!$V$10,'Assumptions (Biomass)'!$V$5*Model!$AL$2030*AVERAGE('Assumptions (Biomass)'!$AH$2:$AJ$2)/10^9),0)</f>
        <v>0</v>
      </c>
      <c r="AQ2174" s="177">
        <f>IF($AL$2030&gt;0,IPMT('Assumptions (Biomass)'!$V$7,Model!AB$1,'Assumptions (Biomass)'!$V$10,'Assumptions (Biomass)'!$V$5*Model!$AL$2030*AVERAGE('Assumptions (Biomass)'!$AH$2:$AJ$2)/10^9),0)</f>
        <v>0</v>
      </c>
      <c r="AR2174" s="177">
        <f>IF($AL$2030&gt;0,IPMT('Assumptions (Biomass)'!$V$7,Model!AC$1,'Assumptions (Biomass)'!$V$10,'Assumptions (Biomass)'!$V$5*Model!$AL$2030*AVERAGE('Assumptions (Biomass)'!$AH$2:$AJ$2)/10^9),0)</f>
        <v>0</v>
      </c>
      <c r="AS2174" s="177">
        <f>IF($AL$2030&gt;0,IPMT('Assumptions (Biomass)'!$V$7,Model!AD$1,'Assumptions (Biomass)'!$V$10,'Assumptions (Biomass)'!$V$5*Model!$AL$2030*AVERAGE('Assumptions (Biomass)'!$AH$2:$AJ$2)/10^9),0)</f>
        <v>0</v>
      </c>
      <c r="AT2174" s="177">
        <f>IF($AL$2030&gt;0,IPMT('Assumptions (Biomass)'!$V$7,Model!AE$1,'Assumptions (Biomass)'!$V$10,'Assumptions (Biomass)'!$V$5*Model!$AL$2030*AVERAGE('Assumptions (Biomass)'!$AH$2:$AJ$2)/10^9),0)</f>
        <v>0</v>
      </c>
      <c r="AU2174" s="177">
        <f>IF($AL$2030&gt;0,IPMT('Assumptions (Biomass)'!$V$7,Model!AF$1,'Assumptions (Biomass)'!$V$10,'Assumptions (Biomass)'!$V$5*Model!$AL$2030*AVERAGE('Assumptions (Biomass)'!$AH$2:$AJ$2)/10^9),0)</f>
        <v>0</v>
      </c>
      <c r="AV2174" s="177">
        <f>IF($AL$2030&gt;0,IPMT('Assumptions (Biomass)'!$V$7,Model!AG$1,'Assumptions (Biomass)'!$V$10,'Assumptions (Biomass)'!$V$5*Model!$AL$2030*AVERAGE('Assumptions (Biomass)'!$AH$2:$AJ$2)/10^9),0)</f>
        <v>0</v>
      </c>
      <c r="AW2174" s="177">
        <f>IF($AL$2030&gt;0,IPMT('Assumptions (Biomass)'!$V$7,Model!AH$1,'Assumptions (Biomass)'!$V$10,'Assumptions (Biomass)'!$V$5*Model!$AL$2030*AVERAGE('Assumptions (Biomass)'!$AH$2:$AJ$2)/10^9),0)</f>
        <v>0</v>
      </c>
      <c r="AX2174" s="177">
        <f>IF($AL$2030&gt;0,IPMT('Assumptions (Biomass)'!$V$7,Model!AI$1,'Assumptions (Biomass)'!$V$10,'Assumptions (Biomass)'!$V$5*Model!$AL$2030*AVERAGE('Assumptions (Biomass)'!$AH$2:$AJ$2)/10^9),0)</f>
        <v>0</v>
      </c>
      <c r="AY2174" s="177">
        <f>IF($AL$2030&gt;0,IPMT('Assumptions (Biomass)'!$V$7,Model!AJ$1,'Assumptions (Biomass)'!$V$10,'Assumptions (Biomass)'!$V$5*Model!$AL$2030*AVERAGE('Assumptions (Biomass)'!$AH$2:$AJ$2)/10^9),0)</f>
        <v>0</v>
      </c>
      <c r="AZ2174" s="177">
        <f>IF($AL$2030&gt;0,IPMT('Assumptions (Biomass)'!$V$7,Model!AK$1,'Assumptions (Biomass)'!$V$10,'Assumptions (Biomass)'!$V$5*Model!$AL$2030*AVERAGE('Assumptions (Biomass)'!$AH$2:$AJ$2)/10^9),0)</f>
        <v>0</v>
      </c>
      <c r="BA2174" s="177"/>
      <c r="BB2174" s="177"/>
      <c r="BC2174" s="177"/>
      <c r="BD2174" s="177"/>
      <c r="BE2174" s="177"/>
      <c r="BF2174" s="177"/>
      <c r="BG2174" s="177"/>
      <c r="BH2174" s="177"/>
      <c r="BI2174" s="177"/>
      <c r="BJ2174" s="177"/>
    </row>
    <row r="2175" ht="15.75" hidden="1" customHeight="1" outlineLevel="1">
      <c r="A2175" s="318"/>
      <c r="B2175" s="38"/>
      <c r="C2175" s="174"/>
      <c r="D2175" s="174"/>
      <c r="E2175" s="174"/>
      <c r="F2175" s="174"/>
      <c r="G2175" s="174"/>
      <c r="H2175" s="174"/>
      <c r="I2175" s="174"/>
      <c r="J2175" s="174"/>
      <c r="K2175" s="174"/>
      <c r="L2175" s="174"/>
      <c r="M2175" s="174"/>
      <c r="N2175" s="174"/>
      <c r="O2175" s="174"/>
      <c r="P2175" s="174"/>
      <c r="Q2175" s="174"/>
      <c r="R2175" s="174"/>
      <c r="S2175" s="174"/>
      <c r="T2175" s="174"/>
      <c r="U2175" s="174"/>
      <c r="V2175" s="174"/>
      <c r="W2175" s="160"/>
      <c r="X2175" s="160"/>
      <c r="Y2175" s="160"/>
      <c r="Z2175" s="160"/>
      <c r="AA2175" s="160"/>
      <c r="AB2175" s="160"/>
      <c r="AC2175" s="160"/>
      <c r="AD2175" s="160"/>
      <c r="AE2175" s="160"/>
      <c r="AF2175" s="160"/>
      <c r="AG2175" s="160"/>
      <c r="AH2175" s="160"/>
      <c r="AI2175" s="160"/>
      <c r="AJ2175" s="179"/>
      <c r="AK2175" s="160"/>
      <c r="AL2175" s="177"/>
      <c r="AM2175" s="160">
        <f>IF($AM$2030&gt;0,IPMT('Assumptions (Biomass)'!$V$7,Model!W$1,'Assumptions (Biomass)'!$V$10,'Assumptions (Biomass)'!$V$5*Model!$AM$2030*AVERAGE('Assumptions (Biomass)'!$AI$2:$AK$2)/10^9),0)</f>
        <v>0</v>
      </c>
      <c r="AN2175" s="160">
        <f>IF($AM$2030&gt;0,IPMT('Assumptions (Biomass)'!$V$7,Model!X$1,'Assumptions (Biomass)'!$V$10,'Assumptions (Biomass)'!$V$5*Model!$AM$2030*AVERAGE('Assumptions (Biomass)'!$AI$2:$AK$2)/10^9),0)</f>
        <v>0</v>
      </c>
      <c r="AO2175" s="160">
        <f>IF($AM$2030&gt;0,IPMT('Assumptions (Biomass)'!$V$7,Model!Y$1,'Assumptions (Biomass)'!$V$10,'Assumptions (Biomass)'!$V$5*Model!$AM$2030*AVERAGE('Assumptions (Biomass)'!$AI$2:$AK$2)/10^9),0)</f>
        <v>0</v>
      </c>
      <c r="AP2175" s="160">
        <f>IF($AM$2030&gt;0,IPMT('Assumptions (Biomass)'!$V$7,Model!Z$1,'Assumptions (Biomass)'!$V$10,'Assumptions (Biomass)'!$V$5*Model!$AM$2030*AVERAGE('Assumptions (Biomass)'!$AI$2:$AK$2)/10^9),0)</f>
        <v>0</v>
      </c>
      <c r="AQ2175" s="160">
        <f>IF($AM$2030&gt;0,IPMT('Assumptions (Biomass)'!$V$7,Model!AA$1,'Assumptions (Biomass)'!$V$10,'Assumptions (Biomass)'!$V$5*Model!$AM$2030*AVERAGE('Assumptions (Biomass)'!$AI$2:$AK$2)/10^9),0)</f>
        <v>0</v>
      </c>
      <c r="AR2175" s="160">
        <f>IF($AM$2030&gt;0,IPMT('Assumptions (Biomass)'!$V$7,Model!AB$1,'Assumptions (Biomass)'!$V$10,'Assumptions (Biomass)'!$V$5*Model!$AM$2030*AVERAGE('Assumptions (Biomass)'!$AI$2:$AK$2)/10^9),0)</f>
        <v>0</v>
      </c>
      <c r="AS2175" s="160">
        <f>IF($AM$2030&gt;0,IPMT('Assumptions (Biomass)'!$V$7,Model!AC$1,'Assumptions (Biomass)'!$V$10,'Assumptions (Biomass)'!$V$5*Model!$AM$2030*AVERAGE('Assumptions (Biomass)'!$AI$2:$AK$2)/10^9),0)</f>
        <v>0</v>
      </c>
      <c r="AT2175" s="160">
        <f>IF($AM$2030&gt;0,IPMT('Assumptions (Biomass)'!$V$7,Model!AD$1,'Assumptions (Biomass)'!$V$10,'Assumptions (Biomass)'!$V$5*Model!$AM$2030*AVERAGE('Assumptions (Biomass)'!$AI$2:$AK$2)/10^9),0)</f>
        <v>0</v>
      </c>
      <c r="AU2175" s="160">
        <f>IF($AM$2030&gt;0,IPMT('Assumptions (Biomass)'!$V$7,Model!AE$1,'Assumptions (Biomass)'!$V$10,'Assumptions (Biomass)'!$V$5*Model!$AM$2030*AVERAGE('Assumptions (Biomass)'!$AI$2:$AK$2)/10^9),0)</f>
        <v>0</v>
      </c>
      <c r="AV2175" s="160">
        <f>IF($AM$2030&gt;0,IPMT('Assumptions (Biomass)'!$V$7,Model!AF$1,'Assumptions (Biomass)'!$V$10,'Assumptions (Biomass)'!$V$5*Model!$AM$2030*AVERAGE('Assumptions (Biomass)'!$AI$2:$AK$2)/10^9),0)</f>
        <v>0</v>
      </c>
      <c r="AW2175" s="160">
        <f>IF($AM$2030&gt;0,IPMT('Assumptions (Biomass)'!$V$7,Model!AG$1,'Assumptions (Biomass)'!$V$10,'Assumptions (Biomass)'!$V$5*Model!$AM$2030*AVERAGE('Assumptions (Biomass)'!$AI$2:$AK$2)/10^9),0)</f>
        <v>0</v>
      </c>
      <c r="AX2175" s="160">
        <f>IF($AM$2030&gt;0,IPMT('Assumptions (Biomass)'!$V$7,Model!AH$1,'Assumptions (Biomass)'!$V$10,'Assumptions (Biomass)'!$V$5*Model!$AM$2030*AVERAGE('Assumptions (Biomass)'!$AI$2:$AK$2)/10^9),0)</f>
        <v>0</v>
      </c>
      <c r="AY2175" s="160">
        <f>IF($AM$2030&gt;0,IPMT('Assumptions (Biomass)'!$V$7,Model!AI$1,'Assumptions (Biomass)'!$V$10,'Assumptions (Biomass)'!$V$5*Model!$AM$2030*AVERAGE('Assumptions (Biomass)'!$AI$2:$AK$2)/10^9),0)</f>
        <v>0</v>
      </c>
      <c r="AZ2175" s="160">
        <f>IF($AM$2030&gt;0,IPMT('Assumptions (Biomass)'!$V$7,Model!AJ$1,'Assumptions (Biomass)'!$V$10,'Assumptions (Biomass)'!$V$5*Model!$AM$2030*AVERAGE('Assumptions (Biomass)'!$AI$2:$AK$2)/10^9),0)</f>
        <v>0</v>
      </c>
      <c r="BA2175" s="160">
        <f>IF($AM$2030&gt;0,IPMT('Assumptions (Biomass)'!$V$7,Model!AK$1,'Assumptions (Biomass)'!$V$10,'Assumptions (Biomass)'!$V$5*Model!$AM$2030*AVERAGE('Assumptions (Biomass)'!$AI$2:$AK$2)/10^9),0)</f>
        <v>0</v>
      </c>
      <c r="BB2175" s="160"/>
      <c r="BC2175" s="160"/>
      <c r="BD2175" s="160"/>
      <c r="BE2175" s="160"/>
      <c r="BF2175" s="160"/>
      <c r="BG2175" s="160"/>
      <c r="BH2175" s="160"/>
      <c r="BI2175" s="160"/>
      <c r="BJ2175" s="160"/>
      <c r="BK2175" s="160"/>
    </row>
    <row r="2176" ht="15.75" hidden="1" customHeight="1" outlineLevel="1">
      <c r="A2176" s="318"/>
      <c r="B2176" s="38"/>
      <c r="C2176" s="174"/>
      <c r="D2176" s="174"/>
      <c r="E2176" s="174"/>
      <c r="F2176" s="174"/>
      <c r="G2176" s="174"/>
      <c r="H2176" s="174"/>
      <c r="I2176" s="174"/>
      <c r="J2176" s="174"/>
      <c r="K2176" s="174"/>
      <c r="L2176" s="174"/>
      <c r="M2176" s="174"/>
      <c r="N2176" s="174"/>
      <c r="O2176" s="174"/>
      <c r="P2176" s="174"/>
      <c r="Q2176" s="174"/>
      <c r="R2176" s="174"/>
      <c r="S2176" s="174"/>
      <c r="T2176" s="174"/>
      <c r="U2176" s="174"/>
      <c r="V2176" s="174"/>
      <c r="W2176" s="160"/>
      <c r="X2176" s="160"/>
      <c r="Y2176" s="160"/>
      <c r="Z2176" s="160"/>
      <c r="AA2176" s="160"/>
      <c r="AB2176" s="160"/>
      <c r="AC2176" s="160"/>
      <c r="AD2176" s="160"/>
      <c r="AE2176" s="160"/>
      <c r="AF2176" s="160"/>
      <c r="AG2176" s="160"/>
      <c r="AH2176" s="160"/>
      <c r="AI2176" s="160"/>
      <c r="AJ2176" s="179"/>
      <c r="AK2176" s="160"/>
      <c r="AL2176" s="177"/>
      <c r="AM2176" s="177"/>
      <c r="AN2176" s="160">
        <f>IF($AN$2030&gt;0,IPMT('Assumptions (Biomass)'!$V$7,Model!W$1,'Assumptions (Biomass)'!$V$10,'Assumptions (Biomass)'!$V$5*Model!$AN$2030*AVERAGE('Assumptions (Biomass)'!$AJ$2:$AL$2)/10^9),0)</f>
        <v>0</v>
      </c>
      <c r="AO2176" s="160">
        <f>IF($AN$2030&gt;0,IPMT('Assumptions (Biomass)'!$V$7,Model!X$1,'Assumptions (Biomass)'!$V$10,'Assumptions (Biomass)'!$V$5*Model!$AN$2030*AVERAGE('Assumptions (Biomass)'!$AJ$2:$AL$2)/10^9),0)</f>
        <v>0</v>
      </c>
      <c r="AP2176" s="160">
        <f>IF($AN$2030&gt;0,IPMT('Assumptions (Biomass)'!$V$7,Model!Y$1,'Assumptions (Biomass)'!$V$10,'Assumptions (Biomass)'!$V$5*Model!$AN$2030*AVERAGE('Assumptions (Biomass)'!$AJ$2:$AL$2)/10^9),0)</f>
        <v>0</v>
      </c>
      <c r="AQ2176" s="160">
        <f>IF($AN$2030&gt;0,IPMT('Assumptions (Biomass)'!$V$7,Model!Z$1,'Assumptions (Biomass)'!$V$10,'Assumptions (Biomass)'!$V$5*Model!$AN$2030*AVERAGE('Assumptions (Biomass)'!$AJ$2:$AL$2)/10^9),0)</f>
        <v>0</v>
      </c>
      <c r="AR2176" s="160">
        <f>IF($AN$2030&gt;0,IPMT('Assumptions (Biomass)'!$V$7,Model!AA$1,'Assumptions (Biomass)'!$V$10,'Assumptions (Biomass)'!$V$5*Model!$AN$2030*AVERAGE('Assumptions (Biomass)'!$AJ$2:$AL$2)/10^9),0)</f>
        <v>0</v>
      </c>
      <c r="AS2176" s="160">
        <f>IF($AN$2030&gt;0,IPMT('Assumptions (Biomass)'!$V$7,Model!AB$1,'Assumptions (Biomass)'!$V$10,'Assumptions (Biomass)'!$V$5*Model!$AN$2030*AVERAGE('Assumptions (Biomass)'!$AJ$2:$AL$2)/10^9),0)</f>
        <v>0</v>
      </c>
      <c r="AT2176" s="160">
        <f>IF($AN$2030&gt;0,IPMT('Assumptions (Biomass)'!$V$7,Model!AC$1,'Assumptions (Biomass)'!$V$10,'Assumptions (Biomass)'!$V$5*Model!$AN$2030*AVERAGE('Assumptions (Biomass)'!$AJ$2:$AL$2)/10^9),0)</f>
        <v>0</v>
      </c>
      <c r="AU2176" s="160">
        <f>IF($AN$2030&gt;0,IPMT('Assumptions (Biomass)'!$V$7,Model!AD$1,'Assumptions (Biomass)'!$V$10,'Assumptions (Biomass)'!$V$5*Model!$AN$2030*AVERAGE('Assumptions (Biomass)'!$AJ$2:$AL$2)/10^9),0)</f>
        <v>0</v>
      </c>
      <c r="AV2176" s="160">
        <f>IF($AN$2030&gt;0,IPMT('Assumptions (Biomass)'!$V$7,Model!AE$1,'Assumptions (Biomass)'!$V$10,'Assumptions (Biomass)'!$V$5*Model!$AN$2030*AVERAGE('Assumptions (Biomass)'!$AJ$2:$AL$2)/10^9),0)</f>
        <v>0</v>
      </c>
      <c r="AW2176" s="160">
        <f>IF($AN$2030&gt;0,IPMT('Assumptions (Biomass)'!$V$7,Model!AF$1,'Assumptions (Biomass)'!$V$10,'Assumptions (Biomass)'!$V$5*Model!$AN$2030*AVERAGE('Assumptions (Biomass)'!$AJ$2:$AL$2)/10^9),0)</f>
        <v>0</v>
      </c>
      <c r="AX2176" s="160">
        <f>IF($AN$2030&gt;0,IPMT('Assumptions (Biomass)'!$V$7,Model!AG$1,'Assumptions (Biomass)'!$V$10,'Assumptions (Biomass)'!$V$5*Model!$AN$2030*AVERAGE('Assumptions (Biomass)'!$AJ$2:$AL$2)/10^9),0)</f>
        <v>0</v>
      </c>
      <c r="AY2176" s="160">
        <f>IF($AN$2030&gt;0,IPMT('Assumptions (Biomass)'!$V$7,Model!AH$1,'Assumptions (Biomass)'!$V$10,'Assumptions (Biomass)'!$V$5*Model!$AN$2030*AVERAGE('Assumptions (Biomass)'!$AJ$2:$AL$2)/10^9),0)</f>
        <v>0</v>
      </c>
      <c r="AZ2176" s="160">
        <f>IF($AN$2030&gt;0,IPMT('Assumptions (Biomass)'!$V$7,Model!AI$1,'Assumptions (Biomass)'!$V$10,'Assumptions (Biomass)'!$V$5*Model!$AN$2030*AVERAGE('Assumptions (Biomass)'!$AJ$2:$AL$2)/10^9),0)</f>
        <v>0</v>
      </c>
      <c r="BA2176" s="160">
        <f>IF($AN$2030&gt;0,IPMT('Assumptions (Biomass)'!$V$7,Model!AJ$1,'Assumptions (Biomass)'!$V$10,'Assumptions (Biomass)'!$V$5*Model!$AN$2030*AVERAGE('Assumptions (Biomass)'!$AJ$2:$AL$2)/10^9),0)</f>
        <v>0</v>
      </c>
      <c r="BB2176" s="160">
        <f>IF($AN$2030&gt;0,IPMT('Assumptions (Biomass)'!$V$7,Model!AK$1,'Assumptions (Biomass)'!$V$10,'Assumptions (Biomass)'!$V$5*Model!$AN$2030*AVERAGE('Assumptions (Biomass)'!$AJ$2:$AL$2)/10^9),0)</f>
        <v>0</v>
      </c>
      <c r="BC2176" s="160"/>
      <c r="BD2176" s="160"/>
      <c r="BE2176" s="160"/>
      <c r="BF2176" s="160"/>
      <c r="BG2176" s="160"/>
      <c r="BH2176" s="160"/>
      <c r="BI2176" s="160"/>
      <c r="BJ2176" s="160"/>
      <c r="BK2176" s="160"/>
      <c r="BL2176" s="160"/>
    </row>
    <row r="2177" ht="15.75" hidden="1" customHeight="1" outlineLevel="1">
      <c r="A2177" s="318"/>
      <c r="B2177" s="38"/>
      <c r="C2177" s="174"/>
      <c r="D2177" s="174"/>
      <c r="E2177" s="174"/>
      <c r="F2177" s="174"/>
      <c r="G2177" s="174"/>
      <c r="H2177" s="174"/>
      <c r="I2177" s="174"/>
      <c r="J2177" s="174"/>
      <c r="K2177" s="174"/>
      <c r="L2177" s="174"/>
      <c r="M2177" s="174"/>
      <c r="N2177" s="174"/>
      <c r="O2177" s="174"/>
      <c r="P2177" s="174"/>
      <c r="Q2177" s="174"/>
      <c r="R2177" s="174"/>
      <c r="S2177" s="174"/>
      <c r="T2177" s="174"/>
      <c r="U2177" s="174"/>
      <c r="V2177" s="174"/>
      <c r="W2177" s="160"/>
      <c r="X2177" s="160"/>
      <c r="Y2177" s="160"/>
      <c r="Z2177" s="160"/>
      <c r="AA2177" s="160"/>
      <c r="AB2177" s="160"/>
      <c r="AC2177" s="160"/>
      <c r="AD2177" s="160"/>
      <c r="AE2177" s="160"/>
      <c r="AF2177" s="160"/>
      <c r="AG2177" s="160"/>
      <c r="AH2177" s="160"/>
      <c r="AI2177" s="160"/>
      <c r="AJ2177" s="179"/>
      <c r="AK2177" s="160"/>
      <c r="AL2177" s="177"/>
      <c r="AM2177" s="177"/>
      <c r="AN2177" s="177"/>
      <c r="AO2177" s="160">
        <f>IF($AO$2030&gt;0,IPMT('Assumptions (Biomass)'!$V$7,Model!W$1,'Assumptions (Biomass)'!$V$10,'Assumptions (Biomass)'!$V$5*Model!$AO$2030*AVERAGE('Assumptions (Biomass)'!$AK$2:$AM$2)/10^9),0)</f>
        <v>0</v>
      </c>
      <c r="AP2177" s="160">
        <f>IF($AO$2030&gt;0,IPMT('Assumptions (Biomass)'!$V$7,Model!X$1,'Assumptions (Biomass)'!$V$10,'Assumptions (Biomass)'!$V$5*Model!$AO$2030*AVERAGE('Assumptions (Biomass)'!$AK$2:$AM$2)/10^9),0)</f>
        <v>0</v>
      </c>
      <c r="AQ2177" s="160">
        <f>IF($AO$2030&gt;0,IPMT('Assumptions (Biomass)'!$V$7,Model!Y$1,'Assumptions (Biomass)'!$V$10,'Assumptions (Biomass)'!$V$5*Model!$AO$2030*AVERAGE('Assumptions (Biomass)'!$AK$2:$AM$2)/10^9),0)</f>
        <v>0</v>
      </c>
      <c r="AR2177" s="160">
        <f>IF($AO$2030&gt;0,IPMT('Assumptions (Biomass)'!$V$7,Model!Z$1,'Assumptions (Biomass)'!$V$10,'Assumptions (Biomass)'!$V$5*Model!$AO$2030*AVERAGE('Assumptions (Biomass)'!$AK$2:$AM$2)/10^9),0)</f>
        <v>0</v>
      </c>
      <c r="AS2177" s="160">
        <f>IF($AO$2030&gt;0,IPMT('Assumptions (Biomass)'!$V$7,Model!AA$1,'Assumptions (Biomass)'!$V$10,'Assumptions (Biomass)'!$V$5*Model!$AO$2030*AVERAGE('Assumptions (Biomass)'!$AK$2:$AM$2)/10^9),0)</f>
        <v>0</v>
      </c>
      <c r="AT2177" s="160">
        <f>IF($AO$2030&gt;0,IPMT('Assumptions (Biomass)'!$V$7,Model!AB$1,'Assumptions (Biomass)'!$V$10,'Assumptions (Biomass)'!$V$5*Model!$AO$2030*AVERAGE('Assumptions (Biomass)'!$AK$2:$AM$2)/10^9),0)</f>
        <v>0</v>
      </c>
      <c r="AU2177" s="160">
        <f>IF($AO$2030&gt;0,IPMT('Assumptions (Biomass)'!$V$7,Model!AC$1,'Assumptions (Biomass)'!$V$10,'Assumptions (Biomass)'!$V$5*Model!$AO$2030*AVERAGE('Assumptions (Biomass)'!$AK$2:$AM$2)/10^9),0)</f>
        <v>0</v>
      </c>
      <c r="AV2177" s="160">
        <f>IF($AO$2030&gt;0,IPMT('Assumptions (Biomass)'!$V$7,Model!AD$1,'Assumptions (Biomass)'!$V$10,'Assumptions (Biomass)'!$V$5*Model!$AO$2030*AVERAGE('Assumptions (Biomass)'!$AK$2:$AM$2)/10^9),0)</f>
        <v>0</v>
      </c>
      <c r="AW2177" s="160">
        <f>IF($AO$2030&gt;0,IPMT('Assumptions (Biomass)'!$V$7,Model!AE$1,'Assumptions (Biomass)'!$V$10,'Assumptions (Biomass)'!$V$5*Model!$AO$2030*AVERAGE('Assumptions (Biomass)'!$AK$2:$AM$2)/10^9),0)</f>
        <v>0</v>
      </c>
      <c r="AX2177" s="160">
        <f>IF($AO$2030&gt;0,IPMT('Assumptions (Biomass)'!$V$7,Model!AF$1,'Assumptions (Biomass)'!$V$10,'Assumptions (Biomass)'!$V$5*Model!$AO$2030*AVERAGE('Assumptions (Biomass)'!$AK$2:$AM$2)/10^9),0)</f>
        <v>0</v>
      </c>
      <c r="AY2177" s="160">
        <f>IF($AO$2030&gt;0,IPMT('Assumptions (Biomass)'!$V$7,Model!AG$1,'Assumptions (Biomass)'!$V$10,'Assumptions (Biomass)'!$V$5*Model!$AO$2030*AVERAGE('Assumptions (Biomass)'!$AK$2:$AM$2)/10^9),0)</f>
        <v>0</v>
      </c>
      <c r="AZ2177" s="160">
        <f>IF($AO$2030&gt;0,IPMT('Assumptions (Biomass)'!$V$7,Model!AH$1,'Assumptions (Biomass)'!$V$10,'Assumptions (Biomass)'!$V$5*Model!$AO$2030*AVERAGE('Assumptions (Biomass)'!$AK$2:$AM$2)/10^9),0)</f>
        <v>0</v>
      </c>
      <c r="BA2177" s="160">
        <f>IF($AO$2030&gt;0,IPMT('Assumptions (Biomass)'!$V$7,Model!AI$1,'Assumptions (Biomass)'!$V$10,'Assumptions (Biomass)'!$V$5*Model!$AO$2030*AVERAGE('Assumptions (Biomass)'!$AK$2:$AM$2)/10^9),0)</f>
        <v>0</v>
      </c>
      <c r="BB2177" s="160">
        <f>IF($AO$2030&gt;0,IPMT('Assumptions (Biomass)'!$V$7,Model!AJ$1,'Assumptions (Biomass)'!$V$10,'Assumptions (Biomass)'!$V$5*Model!$AO$2030*AVERAGE('Assumptions (Biomass)'!$AK$2:$AM$2)/10^9),0)</f>
        <v>0</v>
      </c>
      <c r="BC2177" s="160">
        <f>IF($AO$2030&gt;0,IPMT('Assumptions (Biomass)'!$V$7,Model!AK$1,'Assumptions (Biomass)'!$V$10,'Assumptions (Biomass)'!$V$5*Model!$AO$2030*AVERAGE('Assumptions (Biomass)'!$AK$2:$AM$2)/10^9),0)</f>
        <v>0</v>
      </c>
      <c r="BD2177" s="160"/>
      <c r="BE2177" s="160"/>
      <c r="BF2177" s="160"/>
      <c r="BG2177" s="160"/>
      <c r="BH2177" s="160"/>
      <c r="BI2177" s="160"/>
      <c r="BJ2177" s="160"/>
      <c r="BK2177" s="160"/>
      <c r="BL2177" s="160"/>
      <c r="BM2177" s="160"/>
    </row>
    <row r="2178" ht="15.75" hidden="1" customHeight="1" outlineLevel="1">
      <c r="A2178" s="318"/>
      <c r="B2178" s="38"/>
      <c r="C2178" s="174"/>
      <c r="D2178" s="174"/>
      <c r="E2178" s="174"/>
      <c r="F2178" s="174"/>
      <c r="G2178" s="174"/>
      <c r="H2178" s="174"/>
      <c r="I2178" s="174"/>
      <c r="J2178" s="174"/>
      <c r="K2178" s="174"/>
      <c r="L2178" s="174"/>
      <c r="M2178" s="174"/>
      <c r="N2178" s="174"/>
      <c r="O2178" s="174"/>
      <c r="P2178" s="174"/>
      <c r="Q2178" s="174"/>
      <c r="R2178" s="174"/>
      <c r="S2178" s="174"/>
      <c r="T2178" s="174"/>
      <c r="U2178" s="174"/>
      <c r="V2178" s="174"/>
      <c r="W2178" s="160"/>
      <c r="X2178" s="160"/>
      <c r="Y2178" s="160"/>
      <c r="Z2178" s="160"/>
      <c r="AA2178" s="160"/>
      <c r="AB2178" s="160"/>
      <c r="AC2178" s="160"/>
      <c r="AD2178" s="160"/>
      <c r="AE2178" s="160"/>
      <c r="AF2178" s="160"/>
      <c r="AG2178" s="160"/>
      <c r="AH2178" s="160"/>
      <c r="AI2178" s="160"/>
      <c r="AJ2178" s="179"/>
      <c r="AK2178" s="160"/>
      <c r="AL2178" s="177"/>
      <c r="AM2178" s="177"/>
      <c r="AN2178" s="177"/>
      <c r="AO2178" s="160"/>
      <c r="AP2178" s="160">
        <f>IF($AP$2030&gt;0,IPMT('Assumptions (Biomass)'!$V$7,Model!W$1,'Assumptions (Biomass)'!$V$10,'Assumptions (Biomass)'!$V$5*Model!$AP$2030*AVERAGE('Assumptions (Biomass)'!$AL$2:$AN$2)/10^9),0)</f>
        <v>0</v>
      </c>
      <c r="AQ2178" s="160">
        <f>IF($AP$2030&gt;0,IPMT('Assumptions (Biomass)'!$V$7,Model!X$1,'Assumptions (Biomass)'!$V$10,'Assumptions (Biomass)'!$V$5*Model!$AP$2030*AVERAGE('Assumptions (Biomass)'!$AL$2:$AN$2)/10^9),0)</f>
        <v>0</v>
      </c>
      <c r="AR2178" s="160">
        <f>IF($AP$2030&gt;0,IPMT('Assumptions (Biomass)'!$V$7,Model!Y$1,'Assumptions (Biomass)'!$V$10,'Assumptions (Biomass)'!$V$5*Model!$AP$2030*AVERAGE('Assumptions (Biomass)'!$AL$2:$AN$2)/10^9),0)</f>
        <v>0</v>
      </c>
      <c r="AS2178" s="160">
        <f>IF($AP$2030&gt;0,IPMT('Assumptions (Biomass)'!$V$7,Model!Z$1,'Assumptions (Biomass)'!$V$10,'Assumptions (Biomass)'!$V$5*Model!$AP$2030*AVERAGE('Assumptions (Biomass)'!$AL$2:$AN$2)/10^9),0)</f>
        <v>0</v>
      </c>
      <c r="AT2178" s="160">
        <f>IF($AP$2030&gt;0,IPMT('Assumptions (Biomass)'!$V$7,Model!AA$1,'Assumptions (Biomass)'!$V$10,'Assumptions (Biomass)'!$V$5*Model!$AP$2030*AVERAGE('Assumptions (Biomass)'!$AL$2:$AN$2)/10^9),0)</f>
        <v>0</v>
      </c>
      <c r="AU2178" s="160">
        <f>IF($AP$2030&gt;0,IPMT('Assumptions (Biomass)'!$V$7,Model!AB$1,'Assumptions (Biomass)'!$V$10,'Assumptions (Biomass)'!$V$5*Model!$AP$2030*AVERAGE('Assumptions (Biomass)'!$AL$2:$AN$2)/10^9),0)</f>
        <v>0</v>
      </c>
      <c r="AV2178" s="160">
        <f>IF($AP$2030&gt;0,IPMT('Assumptions (Biomass)'!$V$7,Model!AC$1,'Assumptions (Biomass)'!$V$10,'Assumptions (Biomass)'!$V$5*Model!$AP$2030*AVERAGE('Assumptions (Biomass)'!$AL$2:$AN$2)/10^9),0)</f>
        <v>0</v>
      </c>
      <c r="AW2178" s="160">
        <f>IF($AP$2030&gt;0,IPMT('Assumptions (Biomass)'!$V$7,Model!AD$1,'Assumptions (Biomass)'!$V$10,'Assumptions (Biomass)'!$V$5*Model!$AP$2030*AVERAGE('Assumptions (Biomass)'!$AL$2:$AN$2)/10^9),0)</f>
        <v>0</v>
      </c>
      <c r="AX2178" s="160">
        <f>IF($AP$2030&gt;0,IPMT('Assumptions (Biomass)'!$V$7,Model!AE$1,'Assumptions (Biomass)'!$V$10,'Assumptions (Biomass)'!$V$5*Model!$AP$2030*AVERAGE('Assumptions (Biomass)'!$AL$2:$AN$2)/10^9),0)</f>
        <v>0</v>
      </c>
      <c r="AY2178" s="160">
        <f>IF($AP$2030&gt;0,IPMT('Assumptions (Biomass)'!$V$7,Model!AF$1,'Assumptions (Biomass)'!$V$10,'Assumptions (Biomass)'!$V$5*Model!$AP$2030*AVERAGE('Assumptions (Biomass)'!$AL$2:$AN$2)/10^9),0)</f>
        <v>0</v>
      </c>
      <c r="AZ2178" s="160">
        <f>IF($AP$2030&gt;0,IPMT('Assumptions (Biomass)'!$V$7,Model!AG$1,'Assumptions (Biomass)'!$V$10,'Assumptions (Biomass)'!$V$5*Model!$AP$2030*AVERAGE('Assumptions (Biomass)'!$AL$2:$AN$2)/10^9),0)</f>
        <v>0</v>
      </c>
      <c r="BA2178" s="160">
        <f>IF($AP$2030&gt;0,IPMT('Assumptions (Biomass)'!$V$7,Model!AH$1,'Assumptions (Biomass)'!$V$10,'Assumptions (Biomass)'!$V$5*Model!$AP$2030*AVERAGE('Assumptions (Biomass)'!$AL$2:$AN$2)/10^9),0)</f>
        <v>0</v>
      </c>
      <c r="BB2178" s="160">
        <f>IF($AP$2030&gt;0,IPMT('Assumptions (Biomass)'!$V$7,Model!AI$1,'Assumptions (Biomass)'!$V$10,'Assumptions (Biomass)'!$V$5*Model!$AP$2030*AVERAGE('Assumptions (Biomass)'!$AL$2:$AN$2)/10^9),0)</f>
        <v>0</v>
      </c>
      <c r="BC2178" s="160">
        <f>IF($AP$2030&gt;0,IPMT('Assumptions (Biomass)'!$V$7,Model!AJ$1,'Assumptions (Biomass)'!$V$10,'Assumptions (Biomass)'!$V$5*Model!$AP$2030*AVERAGE('Assumptions (Biomass)'!$AL$2:$AN$2)/10^9),0)</f>
        <v>0</v>
      </c>
      <c r="BD2178" s="160">
        <f>IF($AP$2030&gt;0,IPMT('Assumptions (Biomass)'!$V$7,Model!AK$1,'Assumptions (Biomass)'!$V$10,'Assumptions (Biomass)'!$V$5*Model!$AP$2030*AVERAGE('Assumptions (Biomass)'!$AL$2:$AN$2)/10^9),0)</f>
        <v>0</v>
      </c>
      <c r="BE2178" s="160"/>
      <c r="BF2178" s="160"/>
      <c r="BG2178" s="160"/>
      <c r="BH2178" s="160"/>
      <c r="BI2178" s="160"/>
      <c r="BJ2178" s="160"/>
      <c r="BK2178" s="160"/>
      <c r="BL2178" s="160"/>
      <c r="BM2178" s="160"/>
      <c r="BN2178" s="160"/>
    </row>
    <row r="2179" ht="15.75" hidden="1" customHeight="1" outlineLevel="1">
      <c r="A2179" s="318"/>
      <c r="B2179" s="38"/>
      <c r="C2179" s="174"/>
      <c r="D2179" s="174"/>
      <c r="E2179" s="174"/>
      <c r="F2179" s="174"/>
      <c r="G2179" s="174"/>
      <c r="H2179" s="174"/>
      <c r="I2179" s="174"/>
      <c r="J2179" s="174"/>
      <c r="K2179" s="174"/>
      <c r="L2179" s="174"/>
      <c r="M2179" s="174"/>
      <c r="N2179" s="174"/>
      <c r="O2179" s="174"/>
      <c r="P2179" s="174"/>
      <c r="Q2179" s="174"/>
      <c r="R2179" s="174"/>
      <c r="S2179" s="174"/>
      <c r="T2179" s="174"/>
      <c r="U2179" s="174"/>
      <c r="V2179" s="174"/>
      <c r="W2179" s="160"/>
      <c r="X2179" s="160"/>
      <c r="Y2179" s="160"/>
      <c r="Z2179" s="160"/>
      <c r="AA2179" s="160"/>
      <c r="AB2179" s="160"/>
      <c r="AC2179" s="160"/>
      <c r="AD2179" s="160"/>
      <c r="AE2179" s="160"/>
      <c r="AF2179" s="160"/>
      <c r="AG2179" s="160"/>
      <c r="AH2179" s="160"/>
      <c r="AI2179" s="160"/>
      <c r="AJ2179" s="179"/>
      <c r="AK2179" s="160"/>
      <c r="AL2179" s="177"/>
      <c r="AM2179" s="177"/>
      <c r="AN2179" s="177"/>
      <c r="AO2179" s="160"/>
      <c r="AP2179" s="160"/>
      <c r="AQ2179" s="160">
        <f>IF($AQ$2030&gt;0,IPMT('Assumptions (Biomass)'!$V$7,Model!W$1,'Assumptions (Biomass)'!$V$10,'Assumptions (Biomass)'!$V$5*Model!$AQ$2030*AVERAGE('Assumptions (Biomass)'!$AM$2:$AO$2)/10^9),0)</f>
        <v>0</v>
      </c>
      <c r="AR2179" s="160">
        <f>IF($AQ$2030&gt;0,IPMT('Assumptions (Biomass)'!$V$7,Model!X$1,'Assumptions (Biomass)'!$V$10,'Assumptions (Biomass)'!$V$5*Model!$AQ$2030*AVERAGE('Assumptions (Biomass)'!$AM$2:$AO$2)/10^9),0)</f>
        <v>0</v>
      </c>
      <c r="AS2179" s="160">
        <f>IF($AQ$2030&gt;0,IPMT('Assumptions (Biomass)'!$V$7,Model!Y$1,'Assumptions (Biomass)'!$V$10,'Assumptions (Biomass)'!$V$5*Model!$AQ$2030*AVERAGE('Assumptions (Biomass)'!$AM$2:$AO$2)/10^9),0)</f>
        <v>0</v>
      </c>
      <c r="AT2179" s="160">
        <f>IF($AQ$2030&gt;0,IPMT('Assumptions (Biomass)'!$V$7,Model!Z$1,'Assumptions (Biomass)'!$V$10,'Assumptions (Biomass)'!$V$5*Model!$AQ$2030*AVERAGE('Assumptions (Biomass)'!$AM$2:$AO$2)/10^9),0)</f>
        <v>0</v>
      </c>
      <c r="AU2179" s="160">
        <f>IF($AQ$2030&gt;0,IPMT('Assumptions (Biomass)'!$V$7,Model!AA$1,'Assumptions (Biomass)'!$V$10,'Assumptions (Biomass)'!$V$5*Model!$AQ$2030*AVERAGE('Assumptions (Biomass)'!$AM$2:$AO$2)/10^9),0)</f>
        <v>0</v>
      </c>
      <c r="AV2179" s="160">
        <f>IF($AQ$2030&gt;0,IPMT('Assumptions (Biomass)'!$V$7,Model!AB$1,'Assumptions (Biomass)'!$V$10,'Assumptions (Biomass)'!$V$5*Model!$AQ$2030*AVERAGE('Assumptions (Biomass)'!$AM$2:$AO$2)/10^9),0)</f>
        <v>0</v>
      </c>
      <c r="AW2179" s="160">
        <f>IF($AQ$2030&gt;0,IPMT('Assumptions (Biomass)'!$V$7,Model!AC$1,'Assumptions (Biomass)'!$V$10,'Assumptions (Biomass)'!$V$5*Model!$AQ$2030*AVERAGE('Assumptions (Biomass)'!$AM$2:$AO$2)/10^9),0)</f>
        <v>0</v>
      </c>
      <c r="AX2179" s="160">
        <f>IF($AQ$2030&gt;0,IPMT('Assumptions (Biomass)'!$V$7,Model!AD$1,'Assumptions (Biomass)'!$V$10,'Assumptions (Biomass)'!$V$5*Model!$AQ$2030*AVERAGE('Assumptions (Biomass)'!$AM$2:$AO$2)/10^9),0)</f>
        <v>0</v>
      </c>
      <c r="AY2179" s="160">
        <f>IF($AQ$2030&gt;0,IPMT('Assumptions (Biomass)'!$V$7,Model!AE$1,'Assumptions (Biomass)'!$V$10,'Assumptions (Biomass)'!$V$5*Model!$AQ$2030*AVERAGE('Assumptions (Biomass)'!$AM$2:$AO$2)/10^9),0)</f>
        <v>0</v>
      </c>
      <c r="AZ2179" s="160">
        <f>IF($AQ$2030&gt;0,IPMT('Assumptions (Biomass)'!$V$7,Model!AF$1,'Assumptions (Biomass)'!$V$10,'Assumptions (Biomass)'!$V$5*Model!$AQ$2030*AVERAGE('Assumptions (Biomass)'!$AM$2:$AO$2)/10^9),0)</f>
        <v>0</v>
      </c>
      <c r="BA2179" s="160">
        <f>IF($AQ$2030&gt;0,IPMT('Assumptions (Biomass)'!$V$7,Model!AG$1,'Assumptions (Biomass)'!$V$10,'Assumptions (Biomass)'!$V$5*Model!$AQ$2030*AVERAGE('Assumptions (Biomass)'!$AM$2:$AO$2)/10^9),0)</f>
        <v>0</v>
      </c>
      <c r="BB2179" s="160">
        <f>IF($AQ$2030&gt;0,IPMT('Assumptions (Biomass)'!$V$7,Model!AH$1,'Assumptions (Biomass)'!$V$10,'Assumptions (Biomass)'!$V$5*Model!$AQ$2030*AVERAGE('Assumptions (Biomass)'!$AM$2:$AO$2)/10^9),0)</f>
        <v>0</v>
      </c>
      <c r="BC2179" s="160">
        <f>IF($AQ$2030&gt;0,IPMT('Assumptions (Biomass)'!$V$7,Model!AI$1,'Assumptions (Biomass)'!$V$10,'Assumptions (Biomass)'!$V$5*Model!$AQ$2030*AVERAGE('Assumptions (Biomass)'!$AM$2:$AO$2)/10^9),0)</f>
        <v>0</v>
      </c>
      <c r="BD2179" s="160">
        <f>IF($AQ$2030&gt;0,IPMT('Assumptions (Biomass)'!$V$7,Model!AJ$1,'Assumptions (Biomass)'!$V$10,'Assumptions (Biomass)'!$V$5*Model!$AQ$2030*AVERAGE('Assumptions (Biomass)'!$AM$2:$AO$2)/10^9),0)</f>
        <v>0</v>
      </c>
      <c r="BE2179" s="160">
        <f>IF($AQ$2030&gt;0,IPMT('Assumptions (Biomass)'!$V$7,Model!AK$1,'Assumptions (Biomass)'!$V$10,'Assumptions (Biomass)'!$V$5*Model!$AQ$2030*AVERAGE('Assumptions (Biomass)'!$AM$2:$AO$2)/10^9),0)</f>
        <v>0</v>
      </c>
      <c r="BF2179" s="160"/>
      <c r="BG2179" s="160"/>
      <c r="BH2179" s="160"/>
      <c r="BI2179" s="160"/>
      <c r="BJ2179" s="160"/>
      <c r="BK2179" s="160"/>
      <c r="BL2179" s="160"/>
      <c r="BM2179" s="160"/>
      <c r="BN2179" s="160"/>
      <c r="BO2179" s="160"/>
    </row>
    <row r="2180" ht="15.75" hidden="1" customHeight="1" outlineLevel="1">
      <c r="A2180" s="318"/>
      <c r="B2180" s="38"/>
      <c r="C2180" s="174"/>
      <c r="D2180" s="174"/>
      <c r="E2180" s="174"/>
      <c r="F2180" s="174"/>
      <c r="G2180" s="174"/>
      <c r="H2180" s="174"/>
      <c r="I2180" s="174"/>
      <c r="J2180" s="174"/>
      <c r="K2180" s="174"/>
      <c r="L2180" s="174"/>
      <c r="M2180" s="174"/>
      <c r="N2180" s="174"/>
      <c r="O2180" s="174"/>
      <c r="P2180" s="174"/>
      <c r="Q2180" s="174"/>
      <c r="R2180" s="174"/>
      <c r="S2180" s="174"/>
      <c r="T2180" s="174"/>
      <c r="U2180" s="174"/>
      <c r="V2180" s="174"/>
      <c r="W2180" s="160"/>
      <c r="X2180" s="160"/>
      <c r="Y2180" s="160"/>
      <c r="Z2180" s="160"/>
      <c r="AA2180" s="160"/>
      <c r="AB2180" s="160"/>
      <c r="AC2180" s="160"/>
      <c r="AD2180" s="160"/>
      <c r="AE2180" s="160"/>
      <c r="AF2180" s="160"/>
      <c r="AG2180" s="160"/>
      <c r="AH2180" s="160"/>
      <c r="AI2180" s="160"/>
      <c r="AJ2180" s="179"/>
      <c r="AK2180" s="160"/>
      <c r="AL2180" s="177"/>
      <c r="AM2180" s="177"/>
      <c r="AN2180" s="177"/>
      <c r="AO2180" s="160"/>
      <c r="AP2180" s="160"/>
      <c r="AQ2180" s="160"/>
      <c r="AR2180" s="160">
        <f>IF($AR$2030&gt;0,IPMT('Assumptions (Biomass)'!$V$7,Model!W$1,'Assumptions (Biomass)'!$V$10,'Assumptions (Biomass)'!$V$5*Model!$AR$2030*AVERAGE('Assumptions (Biomass)'!$AN$2:$AP$2)/10^9),0)</f>
        <v>0</v>
      </c>
      <c r="AS2180" s="160">
        <f>IF($AR$2030&gt;0,IPMT('Assumptions (Biomass)'!$V$7,Model!X$1,'Assumptions (Biomass)'!$V$10,'Assumptions (Biomass)'!$V$5*Model!$AR$2030*AVERAGE('Assumptions (Biomass)'!$AN$2:$AP$2)/10^9),0)</f>
        <v>0</v>
      </c>
      <c r="AT2180" s="160">
        <f>IF($AR$2030&gt;0,IPMT('Assumptions (Biomass)'!$V$7,Model!Y$1,'Assumptions (Biomass)'!$V$10,'Assumptions (Biomass)'!$V$5*Model!$AR$2030*AVERAGE('Assumptions (Biomass)'!$AN$2:$AP$2)/10^9),0)</f>
        <v>0</v>
      </c>
      <c r="AU2180" s="160">
        <f>IF($AR$2030&gt;0,IPMT('Assumptions (Biomass)'!$V$7,Model!Z$1,'Assumptions (Biomass)'!$V$10,'Assumptions (Biomass)'!$V$5*Model!$AR$2030*AVERAGE('Assumptions (Biomass)'!$AN$2:$AP$2)/10^9),0)</f>
        <v>0</v>
      </c>
      <c r="AV2180" s="160">
        <f>IF($AR$2030&gt;0,IPMT('Assumptions (Biomass)'!$V$7,Model!AA$1,'Assumptions (Biomass)'!$V$10,'Assumptions (Biomass)'!$V$5*Model!$AR$2030*AVERAGE('Assumptions (Biomass)'!$AN$2:$AP$2)/10^9),0)</f>
        <v>0</v>
      </c>
      <c r="AW2180" s="160">
        <f>IF($AR$2030&gt;0,IPMT('Assumptions (Biomass)'!$V$7,Model!AB$1,'Assumptions (Biomass)'!$V$10,'Assumptions (Biomass)'!$V$5*Model!$AR$2030*AVERAGE('Assumptions (Biomass)'!$AN$2:$AP$2)/10^9),0)</f>
        <v>0</v>
      </c>
      <c r="AX2180" s="160">
        <f>IF($AR$2030&gt;0,IPMT('Assumptions (Biomass)'!$V$7,Model!AC$1,'Assumptions (Biomass)'!$V$10,'Assumptions (Biomass)'!$V$5*Model!$AR$2030*AVERAGE('Assumptions (Biomass)'!$AN$2:$AP$2)/10^9),0)</f>
        <v>0</v>
      </c>
      <c r="AY2180" s="160">
        <f>IF($AR$2030&gt;0,IPMT('Assumptions (Biomass)'!$V$7,Model!AD$1,'Assumptions (Biomass)'!$V$10,'Assumptions (Biomass)'!$V$5*Model!$AR$2030*AVERAGE('Assumptions (Biomass)'!$AN$2:$AP$2)/10^9),0)</f>
        <v>0</v>
      </c>
      <c r="AZ2180" s="160">
        <f>IF($AR$2030&gt;0,IPMT('Assumptions (Biomass)'!$V$7,Model!AE$1,'Assumptions (Biomass)'!$V$10,'Assumptions (Biomass)'!$V$5*Model!$AR$2030*AVERAGE('Assumptions (Biomass)'!$AN$2:$AP$2)/10^9),0)</f>
        <v>0</v>
      </c>
      <c r="BA2180" s="160">
        <f>IF($AR$2030&gt;0,IPMT('Assumptions (Biomass)'!$V$7,Model!AF$1,'Assumptions (Biomass)'!$V$10,'Assumptions (Biomass)'!$V$5*Model!$AR$2030*AVERAGE('Assumptions (Biomass)'!$AN$2:$AP$2)/10^9),0)</f>
        <v>0</v>
      </c>
      <c r="BB2180" s="160">
        <f>IF($AR$2030&gt;0,IPMT('Assumptions (Biomass)'!$V$7,Model!AG$1,'Assumptions (Biomass)'!$V$10,'Assumptions (Biomass)'!$V$5*Model!$AR$2030*AVERAGE('Assumptions (Biomass)'!$AN$2:$AP$2)/10^9),0)</f>
        <v>0</v>
      </c>
      <c r="BC2180" s="160">
        <f>IF($AR$2030&gt;0,IPMT('Assumptions (Biomass)'!$V$7,Model!AH$1,'Assumptions (Biomass)'!$V$10,'Assumptions (Biomass)'!$V$5*Model!$AR$2030*AVERAGE('Assumptions (Biomass)'!$AN$2:$AP$2)/10^9),0)</f>
        <v>0</v>
      </c>
      <c r="BD2180" s="160">
        <f>IF($AR$2030&gt;0,IPMT('Assumptions (Biomass)'!$V$7,Model!AI$1,'Assumptions (Biomass)'!$V$10,'Assumptions (Biomass)'!$V$5*Model!$AR$2030*AVERAGE('Assumptions (Biomass)'!$AN$2:$AP$2)/10^9),0)</f>
        <v>0</v>
      </c>
      <c r="BE2180" s="160">
        <f>IF($AR$2030&gt;0,IPMT('Assumptions (Biomass)'!$V$7,Model!AJ$1,'Assumptions (Biomass)'!$V$10,'Assumptions (Biomass)'!$V$5*Model!$AR$2030*AVERAGE('Assumptions (Biomass)'!$AN$2:$AP$2)/10^9),0)</f>
        <v>0</v>
      </c>
      <c r="BF2180" s="160">
        <f>IF($AR$2030&gt;0,IPMT('Assumptions (Biomass)'!$V$7,Model!AK$1,'Assumptions (Biomass)'!$V$10,'Assumptions (Biomass)'!$V$5*Model!$AR$2030*AVERAGE('Assumptions (Biomass)'!$AN$2:$AP$2)/10^9),0)</f>
        <v>0</v>
      </c>
      <c r="BG2180" s="160"/>
      <c r="BH2180" s="160"/>
      <c r="BI2180" s="160"/>
      <c r="BJ2180" s="160"/>
      <c r="BK2180" s="160"/>
      <c r="BL2180" s="160"/>
      <c r="BM2180" s="160"/>
      <c r="BN2180" s="160"/>
      <c r="BO2180" s="160"/>
      <c r="BP2180" s="160"/>
    </row>
    <row r="2181" ht="15.75" hidden="1" customHeight="1" outlineLevel="1">
      <c r="A2181" s="318"/>
      <c r="B2181" s="38"/>
      <c r="C2181" s="174"/>
      <c r="D2181" s="174"/>
      <c r="E2181" s="174"/>
      <c r="F2181" s="174"/>
      <c r="G2181" s="174"/>
      <c r="H2181" s="174"/>
      <c r="I2181" s="174"/>
      <c r="J2181" s="174"/>
      <c r="K2181" s="174"/>
      <c r="L2181" s="174"/>
      <c r="M2181" s="174"/>
      <c r="N2181" s="174"/>
      <c r="O2181" s="174"/>
      <c r="P2181" s="174"/>
      <c r="Q2181" s="174"/>
      <c r="R2181" s="174"/>
      <c r="S2181" s="174"/>
      <c r="T2181" s="174"/>
      <c r="U2181" s="174"/>
      <c r="V2181" s="174"/>
      <c r="W2181" s="160"/>
      <c r="X2181" s="160"/>
      <c r="Y2181" s="160"/>
      <c r="Z2181" s="160"/>
      <c r="AA2181" s="160"/>
      <c r="AB2181" s="160"/>
      <c r="AC2181" s="160"/>
      <c r="AD2181" s="160"/>
      <c r="AE2181" s="160"/>
      <c r="AF2181" s="160"/>
      <c r="AG2181" s="160"/>
      <c r="AH2181" s="160"/>
      <c r="AI2181" s="160"/>
      <c r="AJ2181" s="179"/>
      <c r="AK2181" s="160"/>
      <c r="AL2181" s="177"/>
      <c r="AM2181" s="177"/>
      <c r="AN2181" s="177"/>
      <c r="AO2181" s="160"/>
      <c r="AP2181" s="160"/>
      <c r="AQ2181" s="160"/>
      <c r="AR2181" s="160"/>
      <c r="AS2181" s="160">
        <f>IF($AS$2030&gt;0,IPMT('Assumptions (Biomass)'!$V$7,Model!W$1,'Assumptions (Biomass)'!$V$10,'Assumptions (Biomass)'!$V$5*Model!$AS$2030*AVERAGE('Assumptions (Biomass)'!$AO$2:$AQ$2)/10^9),0)</f>
        <v>0</v>
      </c>
      <c r="AT2181" s="160">
        <f>IF($AS$2030&gt;0,IPMT('Assumptions (Biomass)'!$V$7,Model!X$1,'Assumptions (Biomass)'!$V$10,'Assumptions (Biomass)'!$V$5*Model!$AS$2030*AVERAGE('Assumptions (Biomass)'!$AO$2:$AQ$2)/10^9),0)</f>
        <v>0</v>
      </c>
      <c r="AU2181" s="160">
        <f>IF($AS$2030&gt;0,IPMT('Assumptions (Biomass)'!$V$7,Model!Y$1,'Assumptions (Biomass)'!$V$10,'Assumptions (Biomass)'!$V$5*Model!$AS$2030*AVERAGE('Assumptions (Biomass)'!$AO$2:$AQ$2)/10^9),0)</f>
        <v>0</v>
      </c>
      <c r="AV2181" s="160">
        <f>IF($AS$2030&gt;0,IPMT('Assumptions (Biomass)'!$V$7,Model!Z$1,'Assumptions (Biomass)'!$V$10,'Assumptions (Biomass)'!$V$5*Model!$AS$2030*AVERAGE('Assumptions (Biomass)'!$AO$2:$AQ$2)/10^9),0)</f>
        <v>0</v>
      </c>
      <c r="AW2181" s="160">
        <f>IF($AS$2030&gt;0,IPMT('Assumptions (Biomass)'!$V$7,Model!AA$1,'Assumptions (Biomass)'!$V$10,'Assumptions (Biomass)'!$V$5*Model!$AS$2030*AVERAGE('Assumptions (Biomass)'!$AO$2:$AQ$2)/10^9),0)</f>
        <v>0</v>
      </c>
      <c r="AX2181" s="160">
        <f>IF($AS$2030&gt;0,IPMT('Assumptions (Biomass)'!$V$7,Model!AB$1,'Assumptions (Biomass)'!$V$10,'Assumptions (Biomass)'!$V$5*Model!$AS$2030*AVERAGE('Assumptions (Biomass)'!$AO$2:$AQ$2)/10^9),0)</f>
        <v>0</v>
      </c>
      <c r="AY2181" s="160">
        <f>IF($AS$2030&gt;0,IPMT('Assumptions (Biomass)'!$V$7,Model!AC$1,'Assumptions (Biomass)'!$V$10,'Assumptions (Biomass)'!$V$5*Model!$AS$2030*AVERAGE('Assumptions (Biomass)'!$AO$2:$AQ$2)/10^9),0)</f>
        <v>0</v>
      </c>
      <c r="AZ2181" s="160">
        <f>IF($AS$2030&gt;0,IPMT('Assumptions (Biomass)'!$V$7,Model!AD$1,'Assumptions (Biomass)'!$V$10,'Assumptions (Biomass)'!$V$5*Model!$AS$2030*AVERAGE('Assumptions (Biomass)'!$AO$2:$AQ$2)/10^9),0)</f>
        <v>0</v>
      </c>
      <c r="BA2181" s="160">
        <f>IF($AS$2030&gt;0,IPMT('Assumptions (Biomass)'!$V$7,Model!AE$1,'Assumptions (Biomass)'!$V$10,'Assumptions (Biomass)'!$V$5*Model!$AS$2030*AVERAGE('Assumptions (Biomass)'!$AO$2:$AQ$2)/10^9),0)</f>
        <v>0</v>
      </c>
      <c r="BB2181" s="160">
        <f>IF($AS$2030&gt;0,IPMT('Assumptions (Biomass)'!$V$7,Model!AF$1,'Assumptions (Biomass)'!$V$10,'Assumptions (Biomass)'!$V$5*Model!$AS$2030*AVERAGE('Assumptions (Biomass)'!$AO$2:$AQ$2)/10^9),0)</f>
        <v>0</v>
      </c>
      <c r="BC2181" s="160">
        <f>IF($AS$2030&gt;0,IPMT('Assumptions (Biomass)'!$V$7,Model!AG$1,'Assumptions (Biomass)'!$V$10,'Assumptions (Biomass)'!$V$5*Model!$AS$2030*AVERAGE('Assumptions (Biomass)'!$AO$2:$AQ$2)/10^9),0)</f>
        <v>0</v>
      </c>
      <c r="BD2181" s="160">
        <f>IF($AS$2030&gt;0,IPMT('Assumptions (Biomass)'!$V$7,Model!AH$1,'Assumptions (Biomass)'!$V$10,'Assumptions (Biomass)'!$V$5*Model!$AS$2030*AVERAGE('Assumptions (Biomass)'!$AO$2:$AQ$2)/10^9),0)</f>
        <v>0</v>
      </c>
      <c r="BE2181" s="160">
        <f>IF($AS$2030&gt;0,IPMT('Assumptions (Biomass)'!$V$7,Model!AI$1,'Assumptions (Biomass)'!$V$10,'Assumptions (Biomass)'!$V$5*Model!$AS$2030*AVERAGE('Assumptions (Biomass)'!$AO$2:$AQ$2)/10^9),0)</f>
        <v>0</v>
      </c>
      <c r="BF2181" s="160">
        <f>IF($AS$2030&gt;0,IPMT('Assumptions (Biomass)'!$V$7,Model!AJ$1,'Assumptions (Biomass)'!$V$10,'Assumptions (Biomass)'!$V$5*Model!$AS$2030*AVERAGE('Assumptions (Biomass)'!$AO$2:$AQ$2)/10^9),0)</f>
        <v>0</v>
      </c>
      <c r="BG2181" s="160">
        <f>IF($AS$2030&gt;0,IPMT('Assumptions (Biomass)'!$V$7,Model!AK$1,'Assumptions (Biomass)'!$V$10,'Assumptions (Biomass)'!$V$5*Model!$AS$2030*AVERAGE('Assumptions (Biomass)'!$AO$2:$AQ$2)/10^9),0)</f>
        <v>0</v>
      </c>
      <c r="BH2181" s="160"/>
      <c r="BI2181" s="160"/>
      <c r="BJ2181" s="160"/>
      <c r="BK2181" s="160"/>
      <c r="BL2181" s="160"/>
      <c r="BM2181" s="160"/>
      <c r="BN2181" s="160"/>
      <c r="BO2181" s="160"/>
      <c r="BP2181" s="160"/>
    </row>
    <row r="2182" ht="15.75" hidden="1" customHeight="1" outlineLevel="1">
      <c r="A2182" s="318"/>
      <c r="B2182" s="38"/>
      <c r="C2182" s="174"/>
      <c r="D2182" s="174"/>
      <c r="E2182" s="174"/>
      <c r="F2182" s="174"/>
      <c r="G2182" s="174"/>
      <c r="H2182" s="174"/>
      <c r="I2182" s="174"/>
      <c r="J2182" s="174"/>
      <c r="K2182" s="174"/>
      <c r="L2182" s="174"/>
      <c r="M2182" s="174"/>
      <c r="N2182" s="174"/>
      <c r="O2182" s="174"/>
      <c r="P2182" s="174"/>
      <c r="Q2182" s="174"/>
      <c r="R2182" s="174"/>
      <c r="S2182" s="174"/>
      <c r="T2182" s="174"/>
      <c r="U2182" s="174"/>
      <c r="V2182" s="174"/>
      <c r="W2182" s="160"/>
      <c r="X2182" s="160"/>
      <c r="Y2182" s="160"/>
      <c r="Z2182" s="160"/>
      <c r="AA2182" s="160"/>
      <c r="AB2182" s="160"/>
      <c r="AC2182" s="160"/>
      <c r="AD2182" s="160"/>
      <c r="AE2182" s="160"/>
      <c r="AF2182" s="160"/>
      <c r="AG2182" s="160"/>
      <c r="AH2182" s="160"/>
      <c r="AI2182" s="160"/>
      <c r="AJ2182" s="179"/>
      <c r="AK2182" s="160"/>
      <c r="AL2182" s="177"/>
      <c r="AM2182" s="177"/>
      <c r="AN2182" s="177"/>
      <c r="AO2182" s="160"/>
      <c r="AP2182" s="160"/>
      <c r="AQ2182" s="160"/>
      <c r="AR2182" s="160"/>
      <c r="AS2182" s="160"/>
      <c r="AT2182" s="160">
        <f>IF($AT$2030&gt;0,IPMT('Assumptions (Biomass)'!$V$7,Model!W$1,'Assumptions (Biomass)'!$V$10,'Assumptions (Biomass)'!$V$5*Model!$AT$2030*AVERAGE('Assumptions (Biomass)'!$AP$2:$AR$2)/10^9),0)</f>
        <v>0</v>
      </c>
      <c r="AU2182" s="160">
        <f>IF($AT$2030&gt;0,IPMT('Assumptions (Biomass)'!$V$7,Model!X$1,'Assumptions (Biomass)'!$V$10,'Assumptions (Biomass)'!$V$5*Model!$AT$2030*AVERAGE('Assumptions (Biomass)'!$AP$2:$AR$2)/10^9),0)</f>
        <v>0</v>
      </c>
      <c r="AV2182" s="160">
        <f>IF($AT$2030&gt;0,IPMT('Assumptions (Biomass)'!$V$7,Model!Y$1,'Assumptions (Biomass)'!$V$10,'Assumptions (Biomass)'!$V$5*Model!$AT$2030*AVERAGE('Assumptions (Biomass)'!$AP$2:$AR$2)/10^9),0)</f>
        <v>0</v>
      </c>
      <c r="AW2182" s="160">
        <f>IF($AT$2030&gt;0,IPMT('Assumptions (Biomass)'!$V$7,Model!Z$1,'Assumptions (Biomass)'!$V$10,'Assumptions (Biomass)'!$V$5*Model!$AT$2030*AVERAGE('Assumptions (Biomass)'!$AP$2:$AR$2)/10^9),0)</f>
        <v>0</v>
      </c>
      <c r="AX2182" s="160">
        <f>IF($AT$2030&gt;0,IPMT('Assumptions (Biomass)'!$V$7,Model!AA$1,'Assumptions (Biomass)'!$V$10,'Assumptions (Biomass)'!$V$5*Model!$AT$2030*AVERAGE('Assumptions (Biomass)'!$AP$2:$AR$2)/10^9),0)</f>
        <v>0</v>
      </c>
      <c r="AY2182" s="160">
        <f>IF($AT$2030&gt;0,IPMT('Assumptions (Biomass)'!$V$7,Model!AB$1,'Assumptions (Biomass)'!$V$10,'Assumptions (Biomass)'!$V$5*Model!$AT$2030*AVERAGE('Assumptions (Biomass)'!$AP$2:$AR$2)/10^9),0)</f>
        <v>0</v>
      </c>
      <c r="AZ2182" s="160">
        <f>IF($AT$2030&gt;0,IPMT('Assumptions (Biomass)'!$V$7,Model!AC$1,'Assumptions (Biomass)'!$V$10,'Assumptions (Biomass)'!$V$5*Model!$AT$2030*AVERAGE('Assumptions (Biomass)'!$AP$2:$AR$2)/10^9),0)</f>
        <v>0</v>
      </c>
      <c r="BA2182" s="160">
        <f>IF($AT$2030&gt;0,IPMT('Assumptions (Biomass)'!$V$7,Model!AD$1,'Assumptions (Biomass)'!$V$10,'Assumptions (Biomass)'!$V$5*Model!$AT$2030*AVERAGE('Assumptions (Biomass)'!$AP$2:$AR$2)/10^9),0)</f>
        <v>0</v>
      </c>
      <c r="BB2182" s="160">
        <f>IF($AT$2030&gt;0,IPMT('Assumptions (Biomass)'!$V$7,Model!AE$1,'Assumptions (Biomass)'!$V$10,'Assumptions (Biomass)'!$V$5*Model!$AT$2030*AVERAGE('Assumptions (Biomass)'!$AP$2:$AR$2)/10^9),0)</f>
        <v>0</v>
      </c>
      <c r="BC2182" s="160">
        <f>IF($AT$2030&gt;0,IPMT('Assumptions (Biomass)'!$V$7,Model!AF$1,'Assumptions (Biomass)'!$V$10,'Assumptions (Biomass)'!$V$5*Model!$AT$2030*AVERAGE('Assumptions (Biomass)'!$AP$2:$AR$2)/10^9),0)</f>
        <v>0</v>
      </c>
      <c r="BD2182" s="160">
        <f>IF($AT$2030&gt;0,IPMT('Assumptions (Biomass)'!$V$7,Model!AG$1,'Assumptions (Biomass)'!$V$10,'Assumptions (Biomass)'!$V$5*Model!$AT$2030*AVERAGE('Assumptions (Biomass)'!$AP$2:$AR$2)/10^9),0)</f>
        <v>0</v>
      </c>
      <c r="BE2182" s="160">
        <f>IF($AT$2030&gt;0,IPMT('Assumptions (Biomass)'!$V$7,Model!AH$1,'Assumptions (Biomass)'!$V$10,'Assumptions (Biomass)'!$V$5*Model!$AT$2030*AVERAGE('Assumptions (Biomass)'!$AP$2:$AR$2)/10^9),0)</f>
        <v>0</v>
      </c>
      <c r="BF2182" s="160">
        <f>IF($AT$2030&gt;0,IPMT('Assumptions (Biomass)'!$V$7,Model!AI$1,'Assumptions (Biomass)'!$V$10,'Assumptions (Biomass)'!$V$5*Model!$AT$2030*AVERAGE('Assumptions (Biomass)'!$AP$2:$AR$2)/10^9),0)</f>
        <v>0</v>
      </c>
      <c r="BG2182" s="160">
        <f>IF($AT$2030&gt;0,IPMT('Assumptions (Biomass)'!$V$7,Model!AJ$1,'Assumptions (Biomass)'!$V$10,'Assumptions (Biomass)'!$V$5*Model!$AT$2030*AVERAGE('Assumptions (Biomass)'!$AP$2:$AR$2)/10^9),0)</f>
        <v>0</v>
      </c>
      <c r="BH2182" s="160">
        <f>IF($AT$2030&gt;0,IPMT('Assumptions (Biomass)'!$V$7,Model!AK$1,'Assumptions (Biomass)'!$V$10,'Assumptions (Biomass)'!$V$5*Model!$AT$2030*AVERAGE('Assumptions (Biomass)'!$AP$2:$AR$2)/10^9),0)</f>
        <v>0</v>
      </c>
      <c r="BI2182" s="160"/>
      <c r="BJ2182" s="160"/>
      <c r="BK2182" s="160"/>
      <c r="BL2182" s="160"/>
      <c r="BM2182" s="160"/>
      <c r="BN2182" s="160"/>
      <c r="BO2182" s="160"/>
      <c r="BP2182" s="160"/>
    </row>
    <row r="2183" ht="15.75" hidden="1" customHeight="1" outlineLevel="1">
      <c r="A2183" s="318"/>
      <c r="B2183" s="38"/>
      <c r="C2183" s="174"/>
      <c r="D2183" s="174"/>
      <c r="E2183" s="174"/>
      <c r="F2183" s="174"/>
      <c r="G2183" s="174"/>
      <c r="H2183" s="174"/>
      <c r="I2183" s="174"/>
      <c r="J2183" s="174"/>
      <c r="K2183" s="174"/>
      <c r="L2183" s="174"/>
      <c r="M2183" s="174"/>
      <c r="N2183" s="174"/>
      <c r="O2183" s="174"/>
      <c r="P2183" s="174"/>
      <c r="Q2183" s="174"/>
      <c r="R2183" s="174"/>
      <c r="S2183" s="174"/>
      <c r="T2183" s="174"/>
      <c r="U2183" s="174"/>
      <c r="V2183" s="174"/>
      <c r="W2183" s="160"/>
      <c r="X2183" s="160"/>
      <c r="Y2183" s="160"/>
      <c r="Z2183" s="160"/>
      <c r="AA2183" s="160"/>
      <c r="AB2183" s="160"/>
      <c r="AC2183" s="160"/>
      <c r="AD2183" s="160"/>
      <c r="AE2183" s="160"/>
      <c r="AF2183" s="160"/>
      <c r="AG2183" s="160"/>
      <c r="AH2183" s="160"/>
      <c r="AI2183" s="160"/>
      <c r="AJ2183" s="179"/>
      <c r="AK2183" s="160"/>
      <c r="AL2183" s="177"/>
      <c r="AM2183" s="177"/>
      <c r="AN2183" s="177"/>
      <c r="AO2183" s="160"/>
      <c r="AP2183" s="160"/>
      <c r="AQ2183" s="160"/>
      <c r="AR2183" s="160"/>
      <c r="AS2183" s="160"/>
      <c r="AT2183" s="160"/>
      <c r="AU2183" s="160">
        <f>IF($AU$2030&gt;0,IPMT('Assumptions (Biomass)'!$V$7,Model!W$1,'Assumptions (Biomass)'!$V$10,'Assumptions (Biomass)'!$V$5*Model!$AU$2030*AVERAGE('Assumptions (Biomass)'!$AQ$2:$AS$2)/10^9),0)</f>
        <v>0</v>
      </c>
      <c r="AV2183" s="160">
        <f>IF($AU$2030&gt;0,IPMT('Assumptions (Biomass)'!$V$7,Model!X$1,'Assumptions (Biomass)'!$V$10,'Assumptions (Biomass)'!$V$5*Model!$AU$2030*AVERAGE('Assumptions (Biomass)'!$AQ$2:$AS$2)/10^9),0)</f>
        <v>0</v>
      </c>
      <c r="AW2183" s="160">
        <f>IF($AU$2030&gt;0,IPMT('Assumptions (Biomass)'!$V$7,Model!Y$1,'Assumptions (Biomass)'!$V$10,'Assumptions (Biomass)'!$V$5*Model!$AU$2030*AVERAGE('Assumptions (Biomass)'!$AQ$2:$AS$2)/10^9),0)</f>
        <v>0</v>
      </c>
      <c r="AX2183" s="160">
        <f>IF($AU$2030&gt;0,IPMT('Assumptions (Biomass)'!$V$7,Model!Z$1,'Assumptions (Biomass)'!$V$10,'Assumptions (Biomass)'!$V$5*Model!$AU$2030*AVERAGE('Assumptions (Biomass)'!$AQ$2:$AS$2)/10^9),0)</f>
        <v>0</v>
      </c>
      <c r="AY2183" s="160">
        <f>IF($AU$2030&gt;0,IPMT('Assumptions (Biomass)'!$V$7,Model!AA$1,'Assumptions (Biomass)'!$V$10,'Assumptions (Biomass)'!$V$5*Model!$AU$2030*AVERAGE('Assumptions (Biomass)'!$AQ$2:$AS$2)/10^9),0)</f>
        <v>0</v>
      </c>
      <c r="AZ2183" s="160">
        <f>IF($AU$2030&gt;0,IPMT('Assumptions (Biomass)'!$V$7,Model!AB$1,'Assumptions (Biomass)'!$V$10,'Assumptions (Biomass)'!$V$5*Model!$AU$2030*AVERAGE('Assumptions (Biomass)'!$AQ$2:$AS$2)/10^9),0)</f>
        <v>0</v>
      </c>
      <c r="BA2183" s="160">
        <f>IF($AU$2030&gt;0,IPMT('Assumptions (Biomass)'!$V$7,Model!AC$1,'Assumptions (Biomass)'!$V$10,'Assumptions (Biomass)'!$V$5*Model!$AU$2030*AVERAGE('Assumptions (Biomass)'!$AQ$2:$AS$2)/10^9),0)</f>
        <v>0</v>
      </c>
      <c r="BB2183" s="160">
        <f>IF($AU$2030&gt;0,IPMT('Assumptions (Biomass)'!$V$7,Model!AD$1,'Assumptions (Biomass)'!$V$10,'Assumptions (Biomass)'!$V$5*Model!$AU$2030*AVERAGE('Assumptions (Biomass)'!$AQ$2:$AS$2)/10^9),0)</f>
        <v>0</v>
      </c>
      <c r="BC2183" s="160">
        <f>IF($AU$2030&gt;0,IPMT('Assumptions (Biomass)'!$V$7,Model!AE$1,'Assumptions (Biomass)'!$V$10,'Assumptions (Biomass)'!$V$5*Model!$AU$2030*AVERAGE('Assumptions (Biomass)'!$AQ$2:$AS$2)/10^9),0)</f>
        <v>0</v>
      </c>
      <c r="BD2183" s="160">
        <f>IF($AU$2030&gt;0,IPMT('Assumptions (Biomass)'!$V$7,Model!AF$1,'Assumptions (Biomass)'!$V$10,'Assumptions (Biomass)'!$V$5*Model!$AU$2030*AVERAGE('Assumptions (Biomass)'!$AQ$2:$AS$2)/10^9),0)</f>
        <v>0</v>
      </c>
      <c r="BE2183" s="160">
        <f>IF($AU$2030&gt;0,IPMT('Assumptions (Biomass)'!$V$7,Model!AG$1,'Assumptions (Biomass)'!$V$10,'Assumptions (Biomass)'!$V$5*Model!$AU$2030*AVERAGE('Assumptions (Biomass)'!$AQ$2:$AS$2)/10^9),0)</f>
        <v>0</v>
      </c>
      <c r="BF2183" s="160">
        <f>IF($AU$2030&gt;0,IPMT('Assumptions (Biomass)'!$V$7,Model!AH$1,'Assumptions (Biomass)'!$V$10,'Assumptions (Biomass)'!$V$5*Model!$AU$2030*AVERAGE('Assumptions (Biomass)'!$AQ$2:$AS$2)/10^9),0)</f>
        <v>0</v>
      </c>
      <c r="BG2183" s="160">
        <f>IF($AU$2030&gt;0,IPMT('Assumptions (Biomass)'!$V$7,Model!AI$1,'Assumptions (Biomass)'!$V$10,'Assumptions (Biomass)'!$V$5*Model!$AU$2030*AVERAGE('Assumptions (Biomass)'!$AQ$2:$AS$2)/10^9),0)</f>
        <v>0</v>
      </c>
      <c r="BH2183" s="160">
        <f>IF($AU$2030&gt;0,IPMT('Assumptions (Biomass)'!$V$7,Model!AJ$1,'Assumptions (Biomass)'!$V$10,'Assumptions (Biomass)'!$V$5*Model!$AU$2030*AVERAGE('Assumptions (Biomass)'!$AQ$2:$AS$2)/10^9),0)</f>
        <v>0</v>
      </c>
      <c r="BI2183" s="160">
        <f>IF($AU$2030&gt;0,IPMT('Assumptions (Biomass)'!$V$7,Model!AK$1,'Assumptions (Biomass)'!$V$10,'Assumptions (Biomass)'!$V$5*Model!$AU$2030*AVERAGE('Assumptions (Biomass)'!$AQ$2:$AS$2)/10^9),0)</f>
        <v>0</v>
      </c>
      <c r="BJ2183" s="160"/>
      <c r="BK2183" s="160"/>
      <c r="BL2183" s="160"/>
      <c r="BM2183" s="160"/>
      <c r="BN2183" s="160"/>
      <c r="BO2183" s="160"/>
      <c r="BP2183" s="160"/>
    </row>
    <row r="2184" ht="15.75" hidden="1" customHeight="1" outlineLevel="1">
      <c r="A2184" s="318"/>
      <c r="B2184" s="38"/>
      <c r="C2184" s="174"/>
      <c r="D2184" s="174"/>
      <c r="E2184" s="174"/>
      <c r="F2184" s="174"/>
      <c r="G2184" s="174"/>
      <c r="H2184" s="174"/>
      <c r="I2184" s="174"/>
      <c r="J2184" s="174"/>
      <c r="K2184" s="174"/>
      <c r="L2184" s="174"/>
      <c r="M2184" s="174"/>
      <c r="N2184" s="174"/>
      <c r="O2184" s="174"/>
      <c r="P2184" s="174"/>
      <c r="Q2184" s="174"/>
      <c r="R2184" s="174"/>
      <c r="S2184" s="174"/>
      <c r="T2184" s="174"/>
      <c r="U2184" s="174"/>
      <c r="V2184" s="174"/>
      <c r="W2184" s="160"/>
      <c r="X2184" s="160"/>
      <c r="Y2184" s="160"/>
      <c r="Z2184" s="160"/>
      <c r="AA2184" s="160"/>
      <c r="AB2184" s="160"/>
      <c r="AC2184" s="160"/>
      <c r="AD2184" s="160"/>
      <c r="AE2184" s="160"/>
      <c r="AF2184" s="160"/>
      <c r="AG2184" s="160"/>
      <c r="AH2184" s="160"/>
      <c r="AI2184" s="160"/>
      <c r="AJ2184" s="179"/>
      <c r="AK2184" s="160"/>
      <c r="AL2184" s="177"/>
      <c r="AM2184" s="177"/>
      <c r="AN2184" s="177"/>
      <c r="AO2184" s="160"/>
      <c r="AP2184" s="160"/>
      <c r="AQ2184" s="160"/>
      <c r="AR2184" s="160"/>
      <c r="AS2184" s="160"/>
      <c r="AT2184" s="160"/>
      <c r="AU2184" s="160"/>
      <c r="AV2184" s="160">
        <f>IF($AV$2030&gt;0,IPMT('Assumptions (Biomass)'!$V$7,Model!W$1,'Assumptions (Biomass)'!$V$10,'Assumptions (Biomass)'!$V$5*Model!$AV$2030*AVERAGE('Assumptions (Biomass)'!$AR$2:$AT$2)/10^9),0)</f>
        <v>0</v>
      </c>
      <c r="AW2184" s="160">
        <f>IF($AV$2030&gt;0,IPMT('Assumptions (Biomass)'!$V$7,Model!X$1,'Assumptions (Biomass)'!$V$10,'Assumptions (Biomass)'!$V$5*Model!$AV$2030*AVERAGE('Assumptions (Biomass)'!$AR$2:$AT$2)/10^9),0)</f>
        <v>0</v>
      </c>
      <c r="AX2184" s="160">
        <f>IF($AV$2030&gt;0,IPMT('Assumptions (Biomass)'!$V$7,Model!Y$1,'Assumptions (Biomass)'!$V$10,'Assumptions (Biomass)'!$V$5*Model!$AV$2030*AVERAGE('Assumptions (Biomass)'!$AR$2:$AT$2)/10^9),0)</f>
        <v>0</v>
      </c>
      <c r="AY2184" s="160">
        <f>IF($AV$2030&gt;0,IPMT('Assumptions (Biomass)'!$V$7,Model!Z$1,'Assumptions (Biomass)'!$V$10,'Assumptions (Biomass)'!$V$5*Model!$AV$2030*AVERAGE('Assumptions (Biomass)'!$AR$2:$AT$2)/10^9),0)</f>
        <v>0</v>
      </c>
      <c r="AZ2184" s="160">
        <f>IF($AV$2030&gt;0,IPMT('Assumptions (Biomass)'!$V$7,Model!AA$1,'Assumptions (Biomass)'!$V$10,'Assumptions (Biomass)'!$V$5*Model!$AV$2030*AVERAGE('Assumptions (Biomass)'!$AR$2:$AT$2)/10^9),0)</f>
        <v>0</v>
      </c>
      <c r="BA2184" s="160">
        <f>IF($AV$2030&gt;0,IPMT('Assumptions (Biomass)'!$V$7,Model!AB$1,'Assumptions (Biomass)'!$V$10,'Assumptions (Biomass)'!$V$5*Model!$AV$2030*AVERAGE('Assumptions (Biomass)'!$AR$2:$AT$2)/10^9),0)</f>
        <v>0</v>
      </c>
      <c r="BB2184" s="160">
        <f>IF($AV$2030&gt;0,IPMT('Assumptions (Biomass)'!$V$7,Model!AC$1,'Assumptions (Biomass)'!$V$10,'Assumptions (Biomass)'!$V$5*Model!$AV$2030*AVERAGE('Assumptions (Biomass)'!$AR$2:$AT$2)/10^9),0)</f>
        <v>0</v>
      </c>
      <c r="BC2184" s="160">
        <f>IF($AV$2030&gt;0,IPMT('Assumptions (Biomass)'!$V$7,Model!AD$1,'Assumptions (Biomass)'!$V$10,'Assumptions (Biomass)'!$V$5*Model!$AV$2030*AVERAGE('Assumptions (Biomass)'!$AR$2:$AT$2)/10^9),0)</f>
        <v>0</v>
      </c>
      <c r="BD2184" s="160">
        <f>IF($AV$2030&gt;0,IPMT('Assumptions (Biomass)'!$V$7,Model!AE$1,'Assumptions (Biomass)'!$V$10,'Assumptions (Biomass)'!$V$5*Model!$AV$2030*AVERAGE('Assumptions (Biomass)'!$AR$2:$AT$2)/10^9),0)</f>
        <v>0</v>
      </c>
      <c r="BE2184" s="160">
        <f>IF($AV$2030&gt;0,IPMT('Assumptions (Biomass)'!$V$7,Model!AF$1,'Assumptions (Biomass)'!$V$10,'Assumptions (Biomass)'!$V$5*Model!$AV$2030*AVERAGE('Assumptions (Biomass)'!$AR$2:$AT$2)/10^9),0)</f>
        <v>0</v>
      </c>
      <c r="BF2184" s="160">
        <f>IF($AV$2030&gt;0,IPMT('Assumptions (Biomass)'!$V$7,Model!AG$1,'Assumptions (Biomass)'!$V$10,'Assumptions (Biomass)'!$V$5*Model!$AV$2030*AVERAGE('Assumptions (Biomass)'!$AR$2:$AT$2)/10^9),0)</f>
        <v>0</v>
      </c>
      <c r="BG2184" s="160">
        <f>IF($AV$2030&gt;0,IPMT('Assumptions (Biomass)'!$V$7,Model!AH$1,'Assumptions (Biomass)'!$V$10,'Assumptions (Biomass)'!$V$5*Model!$AV$2030*AVERAGE('Assumptions (Biomass)'!$AR$2:$AT$2)/10^9),0)</f>
        <v>0</v>
      </c>
      <c r="BH2184" s="160">
        <f>IF($AV$2030&gt;0,IPMT('Assumptions (Biomass)'!$V$7,Model!AI$1,'Assumptions (Biomass)'!$V$10,'Assumptions (Biomass)'!$V$5*Model!$AV$2030*AVERAGE('Assumptions (Biomass)'!$AR$2:$AT$2)/10^9),0)</f>
        <v>0</v>
      </c>
      <c r="BI2184" s="160">
        <f>IF($AV$2030&gt;0,IPMT('Assumptions (Biomass)'!$V$7,Model!AJ$1,'Assumptions (Biomass)'!$V$10,'Assumptions (Biomass)'!$V$5*Model!$AV$2030*AVERAGE('Assumptions (Biomass)'!$AR$2:$AT$2)/10^9),0)</f>
        <v>0</v>
      </c>
      <c r="BJ2184" s="160">
        <f>IF($AV$2030&gt;0,IPMT('Assumptions (Biomass)'!$V$7,Model!AK$1,'Assumptions (Biomass)'!$V$10,'Assumptions (Biomass)'!$V$5*Model!$AV$2030*AVERAGE('Assumptions (Biomass)'!$AR$2:$AT$2)/10^9),0)</f>
        <v>0</v>
      </c>
      <c r="BK2184" s="160"/>
      <c r="BL2184" s="160"/>
      <c r="BM2184" s="160"/>
      <c r="BN2184" s="160"/>
      <c r="BO2184" s="160"/>
      <c r="BP2184" s="160"/>
    </row>
    <row r="2185" ht="15.75" hidden="1" customHeight="1" outlineLevel="1">
      <c r="A2185" s="318"/>
      <c r="B2185" s="38"/>
      <c r="C2185" s="174"/>
      <c r="D2185" s="174"/>
      <c r="E2185" s="174"/>
      <c r="F2185" s="174"/>
      <c r="G2185" s="174"/>
      <c r="H2185" s="174"/>
      <c r="I2185" s="174"/>
      <c r="J2185" s="174"/>
      <c r="K2185" s="174"/>
      <c r="L2185" s="174"/>
      <c r="M2185" s="174"/>
      <c r="N2185" s="174"/>
      <c r="O2185" s="174"/>
      <c r="P2185" s="174"/>
      <c r="Q2185" s="174"/>
      <c r="R2185" s="174"/>
      <c r="S2185" s="174"/>
      <c r="T2185" s="174"/>
      <c r="U2185" s="174"/>
      <c r="V2185" s="174"/>
      <c r="W2185" s="160"/>
      <c r="X2185" s="160"/>
      <c r="Y2185" s="160"/>
      <c r="Z2185" s="160"/>
      <c r="AA2185" s="160"/>
      <c r="AB2185" s="160"/>
      <c r="AC2185" s="160"/>
      <c r="AD2185" s="160"/>
      <c r="AE2185" s="160"/>
      <c r="AF2185" s="160"/>
      <c r="AG2185" s="160"/>
      <c r="AH2185" s="160"/>
      <c r="AI2185" s="160"/>
      <c r="AJ2185" s="179"/>
      <c r="AK2185" s="160"/>
      <c r="AL2185" s="177"/>
      <c r="AM2185" s="177"/>
      <c r="AN2185" s="177"/>
      <c r="AO2185" s="160"/>
      <c r="AP2185" s="160"/>
      <c r="AQ2185" s="160"/>
      <c r="AR2185" s="160"/>
      <c r="AS2185" s="160"/>
      <c r="AT2185" s="160"/>
      <c r="AU2185" s="160"/>
      <c r="AV2185" s="160"/>
      <c r="AW2185" s="160">
        <f>IF($AW$2030&gt;0,IPMT('Assumptions (Biomass)'!$V$7,Model!W$1,'Assumptions (Biomass)'!$V$10,'Assumptions (Biomass)'!$V$5*Model!$AW$2030*AVERAGE('Assumptions (Biomass)'!$AS$2:$AU$2)/10^9),0)</f>
        <v>0</v>
      </c>
      <c r="AX2185" s="160">
        <f>IF($AW$2030&gt;0,IPMT('Assumptions (Biomass)'!$V$7,Model!X$1,'Assumptions (Biomass)'!$V$10,'Assumptions (Biomass)'!$V$5*Model!$AW$2030*AVERAGE('Assumptions (Biomass)'!$AS$2:$AU$2)/10^9),0)</f>
        <v>0</v>
      </c>
      <c r="AY2185" s="160">
        <f>IF($AW$2030&gt;0,IPMT('Assumptions (Biomass)'!$V$7,Model!Y$1,'Assumptions (Biomass)'!$V$10,'Assumptions (Biomass)'!$V$5*Model!$AW$2030*AVERAGE('Assumptions (Biomass)'!$AS$2:$AU$2)/10^9),0)</f>
        <v>0</v>
      </c>
      <c r="AZ2185" s="160">
        <f>IF($AW$2030&gt;0,IPMT('Assumptions (Biomass)'!$V$7,Model!Z$1,'Assumptions (Biomass)'!$V$10,'Assumptions (Biomass)'!$V$5*Model!$AW$2030*AVERAGE('Assumptions (Biomass)'!$AS$2:$AU$2)/10^9),0)</f>
        <v>0</v>
      </c>
      <c r="BA2185" s="160">
        <f>IF($AW$2030&gt;0,IPMT('Assumptions (Biomass)'!$V$7,Model!AA$1,'Assumptions (Biomass)'!$V$10,'Assumptions (Biomass)'!$V$5*Model!$AW$2030*AVERAGE('Assumptions (Biomass)'!$AS$2:$AU$2)/10^9),0)</f>
        <v>0</v>
      </c>
      <c r="BB2185" s="160">
        <f>IF($AW$2030&gt;0,IPMT('Assumptions (Biomass)'!$V$7,Model!AB$1,'Assumptions (Biomass)'!$V$10,'Assumptions (Biomass)'!$V$5*Model!$AW$2030*AVERAGE('Assumptions (Biomass)'!$AS$2:$AU$2)/10^9),0)</f>
        <v>0</v>
      </c>
      <c r="BC2185" s="160">
        <f>IF($AW$2030&gt;0,IPMT('Assumptions (Biomass)'!$V$7,Model!AC$1,'Assumptions (Biomass)'!$V$10,'Assumptions (Biomass)'!$V$5*Model!$AW$2030*AVERAGE('Assumptions (Biomass)'!$AS$2:$AU$2)/10^9),0)</f>
        <v>0</v>
      </c>
      <c r="BD2185" s="160">
        <f>IF($AW$2030&gt;0,IPMT('Assumptions (Biomass)'!$V$7,Model!AD$1,'Assumptions (Biomass)'!$V$10,'Assumptions (Biomass)'!$V$5*Model!$AW$2030*AVERAGE('Assumptions (Biomass)'!$AS$2:$AU$2)/10^9),0)</f>
        <v>0</v>
      </c>
      <c r="BE2185" s="160">
        <f>IF($AW$2030&gt;0,IPMT('Assumptions (Biomass)'!$V$7,Model!AE$1,'Assumptions (Biomass)'!$V$10,'Assumptions (Biomass)'!$V$5*Model!$AW$2030*AVERAGE('Assumptions (Biomass)'!$AS$2:$AU$2)/10^9),0)</f>
        <v>0</v>
      </c>
      <c r="BF2185" s="160">
        <f>IF($AW$2030&gt;0,IPMT('Assumptions (Biomass)'!$V$7,Model!AF$1,'Assumptions (Biomass)'!$V$10,'Assumptions (Biomass)'!$V$5*Model!$AW$2030*AVERAGE('Assumptions (Biomass)'!$AS$2:$AU$2)/10^9),0)</f>
        <v>0</v>
      </c>
      <c r="BG2185" s="160">
        <f>IF($AW$2030&gt;0,IPMT('Assumptions (Biomass)'!$V$7,Model!AG$1,'Assumptions (Biomass)'!$V$10,'Assumptions (Biomass)'!$V$5*Model!$AW$2030*AVERAGE('Assumptions (Biomass)'!$AS$2:$AU$2)/10^9),0)</f>
        <v>0</v>
      </c>
      <c r="BH2185" s="160">
        <f>IF($AW$2030&gt;0,IPMT('Assumptions (Biomass)'!$V$7,Model!AH$1,'Assumptions (Biomass)'!$V$10,'Assumptions (Biomass)'!$V$5*Model!$AW$2030*AVERAGE('Assumptions (Biomass)'!$AS$2:$AU$2)/10^9),0)</f>
        <v>0</v>
      </c>
      <c r="BI2185" s="160">
        <f>IF($AW$2030&gt;0,IPMT('Assumptions (Biomass)'!$V$7,Model!AI$1,'Assumptions (Biomass)'!$V$10,'Assumptions (Biomass)'!$V$5*Model!$AW$2030*AVERAGE('Assumptions (Biomass)'!$AS$2:$AU$2)/10^9),0)</f>
        <v>0</v>
      </c>
      <c r="BJ2185" s="160">
        <f>IF($AW$2030&gt;0,IPMT('Assumptions (Biomass)'!$V$7,Model!AJ$1,'Assumptions (Biomass)'!$V$10,'Assumptions (Biomass)'!$V$5*Model!$AW$2030*AVERAGE('Assumptions (Biomass)'!$AS$2:$AU$2)/10^9),0)</f>
        <v>0</v>
      </c>
      <c r="BK2185" s="160">
        <f>IF($AW$2030&gt;0,IPMT('Assumptions (Biomass)'!$V$7,Model!AK$1,'Assumptions (Biomass)'!$V$10,'Assumptions (Biomass)'!$V$5*Model!$AW$2030*AVERAGE('Assumptions (Biomass)'!$AS$2:$AU$2)/10^9),0)</f>
        <v>0</v>
      </c>
      <c r="BL2185" s="160"/>
      <c r="BM2185" s="160"/>
      <c r="BN2185" s="160"/>
      <c r="BO2185" s="160"/>
      <c r="BP2185" s="160"/>
    </row>
    <row r="2186" ht="15.75" hidden="1" customHeight="1" outlineLevel="1">
      <c r="A2186" s="318"/>
      <c r="B2186" s="38"/>
      <c r="C2186" s="174"/>
      <c r="D2186" s="174"/>
      <c r="E2186" s="174"/>
      <c r="F2186" s="174"/>
      <c r="G2186" s="174"/>
      <c r="H2186" s="174"/>
      <c r="I2186" s="174"/>
      <c r="J2186" s="174"/>
      <c r="K2186" s="174"/>
      <c r="L2186" s="174"/>
      <c r="M2186" s="174"/>
      <c r="N2186" s="174"/>
      <c r="O2186" s="174"/>
      <c r="P2186" s="174"/>
      <c r="Q2186" s="174"/>
      <c r="R2186" s="174"/>
      <c r="S2186" s="174"/>
      <c r="T2186" s="174"/>
      <c r="U2186" s="174"/>
      <c r="V2186" s="174"/>
      <c r="W2186" s="160"/>
      <c r="X2186" s="160"/>
      <c r="Y2186" s="160"/>
      <c r="Z2186" s="160"/>
      <c r="AA2186" s="160"/>
      <c r="AB2186" s="160"/>
      <c r="AC2186" s="160"/>
      <c r="AD2186" s="160"/>
      <c r="AE2186" s="160"/>
      <c r="AF2186" s="160"/>
      <c r="AG2186" s="160"/>
      <c r="AH2186" s="160"/>
      <c r="AI2186" s="160"/>
      <c r="AJ2186" s="179"/>
      <c r="AK2186" s="160"/>
      <c r="AL2186" s="177"/>
      <c r="AM2186" s="177"/>
      <c r="AN2186" s="177"/>
      <c r="AO2186" s="160"/>
      <c r="AP2186" s="160"/>
      <c r="AQ2186" s="160"/>
      <c r="AR2186" s="160"/>
      <c r="AS2186" s="160"/>
      <c r="AT2186" s="160"/>
      <c r="AU2186" s="160"/>
      <c r="AV2186" s="160"/>
      <c r="AW2186" s="160"/>
      <c r="AX2186" s="160">
        <f>IF($AX$2030&gt;0,IPMT('Assumptions (Biomass)'!$V$7,Model!W$1,'Assumptions (Biomass)'!$V$10,'Assumptions (Biomass)'!$V$5*Model!$AX$2030*AVERAGE('Assumptions (Biomass)'!$AT$2:$AV$2)/10^9),0)</f>
        <v>0</v>
      </c>
      <c r="AY2186" s="160">
        <f>IF($AX$2030&gt;0,IPMT('Assumptions (Biomass)'!$V$7,Model!X$1,'Assumptions (Biomass)'!$V$10,'Assumptions (Biomass)'!$V$5*Model!$AX$2030*AVERAGE('Assumptions (Biomass)'!$AT$2:$AV$2)/10^9),0)</f>
        <v>0</v>
      </c>
      <c r="AZ2186" s="160">
        <f>IF($AX$2030&gt;0,IPMT('Assumptions (Biomass)'!$V$7,Model!Y$1,'Assumptions (Biomass)'!$V$10,'Assumptions (Biomass)'!$V$5*Model!$AX$2030*AVERAGE('Assumptions (Biomass)'!$AT$2:$AV$2)/10^9),0)</f>
        <v>0</v>
      </c>
      <c r="BA2186" s="160">
        <f>IF($AX$2030&gt;0,IPMT('Assumptions (Biomass)'!$V$7,Model!Z$1,'Assumptions (Biomass)'!$V$10,'Assumptions (Biomass)'!$V$5*Model!$AX$2030*AVERAGE('Assumptions (Biomass)'!$AT$2:$AV$2)/10^9),0)</f>
        <v>0</v>
      </c>
      <c r="BB2186" s="160">
        <f>IF($AX$2030&gt;0,IPMT('Assumptions (Biomass)'!$V$7,Model!AA$1,'Assumptions (Biomass)'!$V$10,'Assumptions (Biomass)'!$V$5*Model!$AX$2030*AVERAGE('Assumptions (Biomass)'!$AT$2:$AV$2)/10^9),0)</f>
        <v>0</v>
      </c>
      <c r="BC2186" s="160">
        <f>IF($AX$2030&gt;0,IPMT('Assumptions (Biomass)'!$V$7,Model!AB$1,'Assumptions (Biomass)'!$V$10,'Assumptions (Biomass)'!$V$5*Model!$AX$2030*AVERAGE('Assumptions (Biomass)'!$AT$2:$AV$2)/10^9),0)</f>
        <v>0</v>
      </c>
      <c r="BD2186" s="160">
        <f>IF($AX$2030&gt;0,IPMT('Assumptions (Biomass)'!$V$7,Model!AC$1,'Assumptions (Biomass)'!$V$10,'Assumptions (Biomass)'!$V$5*Model!$AX$2030*AVERAGE('Assumptions (Biomass)'!$AT$2:$AV$2)/10^9),0)</f>
        <v>0</v>
      </c>
      <c r="BE2186" s="160">
        <f>IF($AX$2030&gt;0,IPMT('Assumptions (Biomass)'!$V$7,Model!AD$1,'Assumptions (Biomass)'!$V$10,'Assumptions (Biomass)'!$V$5*Model!$AX$2030*AVERAGE('Assumptions (Biomass)'!$AT$2:$AV$2)/10^9),0)</f>
        <v>0</v>
      </c>
      <c r="BF2186" s="160">
        <f>IF($AX$2030&gt;0,IPMT('Assumptions (Biomass)'!$V$7,Model!AE$1,'Assumptions (Biomass)'!$V$10,'Assumptions (Biomass)'!$V$5*Model!$AX$2030*AVERAGE('Assumptions (Biomass)'!$AT$2:$AV$2)/10^9),0)</f>
        <v>0</v>
      </c>
      <c r="BG2186" s="160">
        <f>IF($AX$2030&gt;0,IPMT('Assumptions (Biomass)'!$V$7,Model!AF$1,'Assumptions (Biomass)'!$V$10,'Assumptions (Biomass)'!$V$5*Model!$AX$2030*AVERAGE('Assumptions (Biomass)'!$AT$2:$AV$2)/10^9),0)</f>
        <v>0</v>
      </c>
      <c r="BH2186" s="160">
        <f>IF($AX$2030&gt;0,IPMT('Assumptions (Biomass)'!$V$7,Model!AG$1,'Assumptions (Biomass)'!$V$10,'Assumptions (Biomass)'!$V$5*Model!$AX$2030*AVERAGE('Assumptions (Biomass)'!$AT$2:$AV$2)/10^9),0)</f>
        <v>0</v>
      </c>
      <c r="BI2186" s="160">
        <f>IF($AX$2030&gt;0,IPMT('Assumptions (Biomass)'!$V$7,Model!AH$1,'Assumptions (Biomass)'!$V$10,'Assumptions (Biomass)'!$V$5*Model!$AX$2030*AVERAGE('Assumptions (Biomass)'!$AT$2:$AV$2)/10^9),0)</f>
        <v>0</v>
      </c>
      <c r="BJ2186" s="160">
        <f>IF($AX$2030&gt;0,IPMT('Assumptions (Biomass)'!$V$7,Model!AI$1,'Assumptions (Biomass)'!$V$10,'Assumptions (Biomass)'!$V$5*Model!$AX$2030*AVERAGE('Assumptions (Biomass)'!$AT$2:$AV$2)/10^9),0)</f>
        <v>0</v>
      </c>
      <c r="BK2186" s="160">
        <f>IF($AX$2030&gt;0,IPMT('Assumptions (Biomass)'!$V$7,Model!AJ$1,'Assumptions (Biomass)'!$V$10,'Assumptions (Biomass)'!$V$5*Model!$AX$2030*AVERAGE('Assumptions (Biomass)'!$AT$2:$AV$2)/10^9),0)</f>
        <v>0</v>
      </c>
      <c r="BL2186" s="160">
        <f>IF($AX$2030&gt;0,IPMT('Assumptions (Biomass)'!$V$7,Model!AK$1,'Assumptions (Biomass)'!$V$10,'Assumptions (Biomass)'!$V$5*Model!$AX$2030*AVERAGE('Assumptions (Biomass)'!$AT$2:$AV$2)/10^9),0)</f>
        <v>0</v>
      </c>
      <c r="BM2186" s="160"/>
      <c r="BN2186" s="160"/>
      <c r="BO2186" s="160"/>
      <c r="BP2186" s="160"/>
    </row>
    <row r="2187" ht="15.75" hidden="1" customHeight="1" outlineLevel="1">
      <c r="A2187" s="318"/>
      <c r="B2187" s="38"/>
      <c r="C2187" s="174"/>
      <c r="D2187" s="174"/>
      <c r="E2187" s="174"/>
      <c r="F2187" s="174"/>
      <c r="G2187" s="174"/>
      <c r="H2187" s="174"/>
      <c r="I2187" s="174"/>
      <c r="J2187" s="174"/>
      <c r="K2187" s="174"/>
      <c r="L2187" s="174"/>
      <c r="M2187" s="174"/>
      <c r="N2187" s="174"/>
      <c r="O2187" s="174"/>
      <c r="P2187" s="174"/>
      <c r="Q2187" s="174"/>
      <c r="R2187" s="174"/>
      <c r="S2187" s="174"/>
      <c r="T2187" s="174"/>
      <c r="U2187" s="174"/>
      <c r="V2187" s="174"/>
      <c r="W2187" s="160"/>
      <c r="X2187" s="160"/>
      <c r="Y2187" s="160"/>
      <c r="Z2187" s="160"/>
      <c r="AA2187" s="160"/>
      <c r="AB2187" s="160"/>
      <c r="AC2187" s="160"/>
      <c r="AD2187" s="160"/>
      <c r="AE2187" s="160"/>
      <c r="AF2187" s="160"/>
      <c r="AG2187" s="160"/>
      <c r="AH2187" s="160"/>
      <c r="AI2187" s="160"/>
      <c r="AJ2187" s="179"/>
      <c r="AK2187" s="160"/>
      <c r="AL2187" s="177"/>
      <c r="AM2187" s="177"/>
      <c r="AN2187" s="177"/>
      <c r="AO2187" s="160"/>
      <c r="AP2187" s="160"/>
      <c r="AQ2187" s="160"/>
      <c r="AR2187" s="160"/>
      <c r="AS2187" s="160"/>
      <c r="AT2187" s="160"/>
      <c r="AU2187" s="160"/>
      <c r="AV2187" s="160"/>
      <c r="AW2187" s="160"/>
      <c r="AX2187" s="160"/>
      <c r="AY2187" s="160">
        <f>IF($AY$2030&gt;0,IPMT('Assumptions (Biomass)'!$V$7,Model!W$1,'Assumptions (Biomass)'!$V$10,'Assumptions (Biomass)'!$V$5*Model!$AY$2030*AVERAGE('Assumptions (Biomass)'!$AU$2:$AW$2)/10^9),0)</f>
        <v>0</v>
      </c>
      <c r="AZ2187" s="160">
        <f>IF($AY$2030&gt;0,IPMT('Assumptions (Biomass)'!$V$7,Model!X$1,'Assumptions (Biomass)'!$V$10,'Assumptions (Biomass)'!$V$5*Model!$AY$2030*AVERAGE('Assumptions (Biomass)'!$AU$2:$AW$2)/10^9),0)</f>
        <v>0</v>
      </c>
      <c r="BA2187" s="160">
        <f>IF($AY$2030&gt;0,IPMT('Assumptions (Biomass)'!$V$7,Model!Y$1,'Assumptions (Biomass)'!$V$10,'Assumptions (Biomass)'!$V$5*Model!$AY$2030*AVERAGE('Assumptions (Biomass)'!$AU$2:$AW$2)/10^9),0)</f>
        <v>0</v>
      </c>
      <c r="BB2187" s="160">
        <f>IF($AY$2030&gt;0,IPMT('Assumptions (Biomass)'!$V$7,Model!Z$1,'Assumptions (Biomass)'!$V$10,'Assumptions (Biomass)'!$V$5*Model!$AY$2030*AVERAGE('Assumptions (Biomass)'!$AU$2:$AW$2)/10^9),0)</f>
        <v>0</v>
      </c>
      <c r="BC2187" s="160">
        <f>IF($AY$2030&gt;0,IPMT('Assumptions (Biomass)'!$V$7,Model!AA$1,'Assumptions (Biomass)'!$V$10,'Assumptions (Biomass)'!$V$5*Model!$AY$2030*AVERAGE('Assumptions (Biomass)'!$AU$2:$AW$2)/10^9),0)</f>
        <v>0</v>
      </c>
      <c r="BD2187" s="160">
        <f>IF($AY$2030&gt;0,IPMT('Assumptions (Biomass)'!$V$7,Model!AB$1,'Assumptions (Biomass)'!$V$10,'Assumptions (Biomass)'!$V$5*Model!$AY$2030*AVERAGE('Assumptions (Biomass)'!$AU$2:$AW$2)/10^9),0)</f>
        <v>0</v>
      </c>
      <c r="BE2187" s="160">
        <f>IF($AY$2030&gt;0,IPMT('Assumptions (Biomass)'!$V$7,Model!AC$1,'Assumptions (Biomass)'!$V$10,'Assumptions (Biomass)'!$V$5*Model!$AY$2030*AVERAGE('Assumptions (Biomass)'!$AU$2:$AW$2)/10^9),0)</f>
        <v>0</v>
      </c>
      <c r="BF2187" s="160">
        <f>IF($AY$2030&gt;0,IPMT('Assumptions (Biomass)'!$V$7,Model!AD$1,'Assumptions (Biomass)'!$V$10,'Assumptions (Biomass)'!$V$5*Model!$AY$2030*AVERAGE('Assumptions (Biomass)'!$AU$2:$AW$2)/10^9),0)</f>
        <v>0</v>
      </c>
      <c r="BG2187" s="160">
        <f>IF($AY$2030&gt;0,IPMT('Assumptions (Biomass)'!$V$7,Model!AE$1,'Assumptions (Biomass)'!$V$10,'Assumptions (Biomass)'!$V$5*Model!$AY$2030*AVERAGE('Assumptions (Biomass)'!$AU$2:$AW$2)/10^9),0)</f>
        <v>0</v>
      </c>
      <c r="BH2187" s="160">
        <f>IF($AY$2030&gt;0,IPMT('Assumptions (Biomass)'!$V$7,Model!AF$1,'Assumptions (Biomass)'!$V$10,'Assumptions (Biomass)'!$V$5*Model!$AY$2030*AVERAGE('Assumptions (Biomass)'!$AU$2:$AW$2)/10^9),0)</f>
        <v>0</v>
      </c>
      <c r="BI2187" s="160">
        <f>IF($AY$2030&gt;0,IPMT('Assumptions (Biomass)'!$V$7,Model!AG$1,'Assumptions (Biomass)'!$V$10,'Assumptions (Biomass)'!$V$5*Model!$AY$2030*AVERAGE('Assumptions (Biomass)'!$AU$2:$AW$2)/10^9),0)</f>
        <v>0</v>
      </c>
      <c r="BJ2187" s="160">
        <f>IF($AY$2030&gt;0,IPMT('Assumptions (Biomass)'!$V$7,Model!AH$1,'Assumptions (Biomass)'!$V$10,'Assumptions (Biomass)'!$V$5*Model!$AY$2030*AVERAGE('Assumptions (Biomass)'!$AU$2:$AW$2)/10^9),0)</f>
        <v>0</v>
      </c>
      <c r="BK2187" s="160">
        <f>IF($AY$2030&gt;0,IPMT('Assumptions (Biomass)'!$V$7,Model!AI$1,'Assumptions (Biomass)'!$V$10,'Assumptions (Biomass)'!$V$5*Model!$AY$2030*AVERAGE('Assumptions (Biomass)'!$AU$2:$AW$2)/10^9),0)</f>
        <v>0</v>
      </c>
      <c r="BL2187" s="160">
        <f>IF($AY$2030&gt;0,IPMT('Assumptions (Biomass)'!$V$7,Model!AJ$1,'Assumptions (Biomass)'!$V$10,'Assumptions (Biomass)'!$V$5*Model!$AY$2030*AVERAGE('Assumptions (Biomass)'!$AU$2:$AW$2)/10^9),0)</f>
        <v>0</v>
      </c>
      <c r="BM2187" s="160">
        <f>IF($AY$2030&gt;0,IPMT('Assumptions (Biomass)'!$V$7,Model!AK$1,'Assumptions (Biomass)'!$V$10,'Assumptions (Biomass)'!$V$5*Model!$AY$2030*AVERAGE('Assumptions (Biomass)'!$AU$2:$AW$2)/10^9),0)</f>
        <v>0</v>
      </c>
      <c r="BN2187" s="160"/>
      <c r="BO2187" s="160"/>
      <c r="BP2187" s="160"/>
    </row>
    <row r="2188" ht="15.75" hidden="1" customHeight="1" outlineLevel="1">
      <c r="A2188" s="318"/>
      <c r="B2188" s="38"/>
      <c r="C2188" s="174"/>
      <c r="D2188" s="174"/>
      <c r="E2188" s="174"/>
      <c r="F2188" s="174"/>
      <c r="G2188" s="174"/>
      <c r="H2188" s="174"/>
      <c r="I2188" s="174"/>
      <c r="J2188" s="174"/>
      <c r="K2188" s="174"/>
      <c r="L2188" s="174"/>
      <c r="M2188" s="174"/>
      <c r="N2188" s="174"/>
      <c r="O2188" s="174"/>
      <c r="P2188" s="174"/>
      <c r="Q2188" s="174"/>
      <c r="R2188" s="174"/>
      <c r="S2188" s="174"/>
      <c r="T2188" s="174"/>
      <c r="U2188" s="174"/>
      <c r="V2188" s="174"/>
      <c r="W2188" s="160"/>
      <c r="X2188" s="160"/>
      <c r="Y2188" s="160"/>
      <c r="Z2188" s="160"/>
      <c r="AA2188" s="160"/>
      <c r="AB2188" s="160"/>
      <c r="AC2188" s="160"/>
      <c r="AD2188" s="160"/>
      <c r="AE2188" s="160"/>
      <c r="AF2188" s="160"/>
      <c r="AG2188" s="160"/>
      <c r="AH2188" s="160"/>
      <c r="AI2188" s="160"/>
      <c r="AJ2188" s="179"/>
      <c r="AK2188" s="160"/>
      <c r="AL2188" s="177"/>
      <c r="AM2188" s="177"/>
      <c r="AN2188" s="177"/>
      <c r="AO2188" s="160"/>
      <c r="AP2188" s="160"/>
      <c r="AQ2188" s="160"/>
      <c r="AR2188" s="160"/>
      <c r="AS2188" s="160"/>
      <c r="AT2188" s="160"/>
      <c r="AU2188" s="160"/>
      <c r="AV2188" s="160"/>
      <c r="AW2188" s="160"/>
      <c r="AX2188" s="160"/>
      <c r="AY2188" s="160"/>
      <c r="AZ2188" s="160">
        <f>IF($AZ$2030&gt;0,IPMT('Assumptions (Biomass)'!$V$7,Model!W$1,'Assumptions (Biomass)'!$V$10,'Assumptions (Biomass)'!$V$5*Model!$AZ$2030*AVERAGE('Assumptions (Biomass)'!$AV$2:$AX$2)/10^9),0)</f>
        <v>0</v>
      </c>
      <c r="BA2188" s="160">
        <f>IF($AZ$2030&gt;0,IPMT('Assumptions (Biomass)'!$V$7,Model!X$1,'Assumptions (Biomass)'!$V$10,'Assumptions (Biomass)'!$V$5*Model!$AZ$2030*AVERAGE('Assumptions (Biomass)'!$AV$2:$AX$2)/10^9),0)</f>
        <v>0</v>
      </c>
      <c r="BB2188" s="160">
        <f>IF($AZ$2030&gt;0,IPMT('Assumptions (Biomass)'!$V$7,Model!Y$1,'Assumptions (Biomass)'!$V$10,'Assumptions (Biomass)'!$V$5*Model!$AZ$2030*AVERAGE('Assumptions (Biomass)'!$AV$2:$AX$2)/10^9),0)</f>
        <v>0</v>
      </c>
      <c r="BC2188" s="160">
        <f>IF($AZ$2030&gt;0,IPMT('Assumptions (Biomass)'!$V$7,Model!Z$1,'Assumptions (Biomass)'!$V$10,'Assumptions (Biomass)'!$V$5*Model!$AZ$2030*AVERAGE('Assumptions (Biomass)'!$AV$2:$AX$2)/10^9),0)</f>
        <v>0</v>
      </c>
      <c r="BD2188" s="160">
        <f>IF($AZ$2030&gt;0,IPMT('Assumptions (Biomass)'!$V$7,Model!AA$1,'Assumptions (Biomass)'!$V$10,'Assumptions (Biomass)'!$V$5*Model!$AZ$2030*AVERAGE('Assumptions (Biomass)'!$AV$2:$AX$2)/10^9),0)</f>
        <v>0</v>
      </c>
      <c r="BE2188" s="160">
        <f>IF($AZ$2030&gt;0,IPMT('Assumptions (Biomass)'!$V$7,Model!AB$1,'Assumptions (Biomass)'!$V$10,'Assumptions (Biomass)'!$V$5*Model!$AZ$2030*AVERAGE('Assumptions (Biomass)'!$AV$2:$AX$2)/10^9),0)</f>
        <v>0</v>
      </c>
      <c r="BF2188" s="160">
        <f>IF($AZ$2030&gt;0,IPMT('Assumptions (Biomass)'!$V$7,Model!AC$1,'Assumptions (Biomass)'!$V$10,'Assumptions (Biomass)'!$V$5*Model!$AZ$2030*AVERAGE('Assumptions (Biomass)'!$AV$2:$AX$2)/10^9),0)</f>
        <v>0</v>
      </c>
      <c r="BG2188" s="160">
        <f>IF($AZ$2030&gt;0,IPMT('Assumptions (Biomass)'!$V$7,Model!AD$1,'Assumptions (Biomass)'!$V$10,'Assumptions (Biomass)'!$V$5*Model!$AZ$2030*AVERAGE('Assumptions (Biomass)'!$AV$2:$AX$2)/10^9),0)</f>
        <v>0</v>
      </c>
      <c r="BH2188" s="160">
        <f>IF($AZ$2030&gt;0,IPMT('Assumptions (Biomass)'!$V$7,Model!AE$1,'Assumptions (Biomass)'!$V$10,'Assumptions (Biomass)'!$V$5*Model!$AZ$2030*AVERAGE('Assumptions (Biomass)'!$AV$2:$AX$2)/10^9),0)</f>
        <v>0</v>
      </c>
      <c r="BI2188" s="160">
        <f>IF($AZ$2030&gt;0,IPMT('Assumptions (Biomass)'!$V$7,Model!AF$1,'Assumptions (Biomass)'!$V$10,'Assumptions (Biomass)'!$V$5*Model!$AZ$2030*AVERAGE('Assumptions (Biomass)'!$AV$2:$AX$2)/10^9),0)</f>
        <v>0</v>
      </c>
      <c r="BJ2188" s="160">
        <f>IF($AZ$2030&gt;0,IPMT('Assumptions (Biomass)'!$V$7,Model!AG$1,'Assumptions (Biomass)'!$V$10,'Assumptions (Biomass)'!$V$5*Model!$AZ$2030*AVERAGE('Assumptions (Biomass)'!$AV$2:$AX$2)/10^9),0)</f>
        <v>0</v>
      </c>
      <c r="BK2188" s="160">
        <f>IF($AZ$2030&gt;0,IPMT('Assumptions (Biomass)'!$V$7,Model!AH$1,'Assumptions (Biomass)'!$V$10,'Assumptions (Biomass)'!$V$5*Model!$AZ$2030*AVERAGE('Assumptions (Biomass)'!$AV$2:$AX$2)/10^9),0)</f>
        <v>0</v>
      </c>
      <c r="BL2188" s="160">
        <f>IF($AZ$2030&gt;0,IPMT('Assumptions (Biomass)'!$V$7,Model!AI$1,'Assumptions (Biomass)'!$V$10,'Assumptions (Biomass)'!$V$5*Model!$AZ$2030*AVERAGE('Assumptions (Biomass)'!$AV$2:$AX$2)/10^9),0)</f>
        <v>0</v>
      </c>
      <c r="BM2188" s="160">
        <f>IF($AZ$2030&gt;0,IPMT('Assumptions (Biomass)'!$V$7,Model!AJ$1,'Assumptions (Biomass)'!$V$10,'Assumptions (Biomass)'!$V$5*Model!$AZ$2030*AVERAGE('Assumptions (Biomass)'!$AV$2:$AX$2)/10^9),0)</f>
        <v>0</v>
      </c>
      <c r="BN2188" s="160">
        <f>IF($AZ$2030&gt;0,IPMT('Assumptions (Biomass)'!$V$7,Model!AK$1,'Assumptions (Biomass)'!$V$10,'Assumptions (Biomass)'!$V$5*Model!$AZ$2030*AVERAGE('Assumptions (Biomass)'!$AV$2:$AX$2)/10^9),0)</f>
        <v>0</v>
      </c>
      <c r="BO2188" s="160"/>
      <c r="BP2188" s="160"/>
    </row>
    <row r="2189" ht="15.75" hidden="1" customHeight="1" outlineLevel="1">
      <c r="A2189" s="318"/>
      <c r="B2189" s="38"/>
      <c r="C2189" s="174"/>
      <c r="D2189" s="174"/>
      <c r="E2189" s="174"/>
      <c r="F2189" s="174"/>
      <c r="G2189" s="174"/>
      <c r="H2189" s="174"/>
      <c r="I2189" s="174"/>
      <c r="J2189" s="174"/>
      <c r="K2189" s="174"/>
      <c r="L2189" s="174"/>
      <c r="M2189" s="174"/>
      <c r="N2189" s="174"/>
      <c r="O2189" s="174"/>
      <c r="P2189" s="174"/>
      <c r="Q2189" s="174"/>
      <c r="R2189" s="174"/>
      <c r="S2189" s="174"/>
      <c r="T2189" s="174"/>
      <c r="U2189" s="174"/>
      <c r="V2189" s="174"/>
      <c r="W2189" s="160"/>
      <c r="X2189" s="160"/>
      <c r="Y2189" s="160"/>
      <c r="Z2189" s="160"/>
      <c r="AA2189" s="160"/>
      <c r="AB2189" s="160"/>
      <c r="AC2189" s="160"/>
      <c r="AD2189" s="160"/>
      <c r="AE2189" s="160"/>
      <c r="AF2189" s="160"/>
      <c r="AG2189" s="160"/>
      <c r="AH2189" s="160"/>
      <c r="AI2189" s="160"/>
      <c r="AJ2189" s="179"/>
      <c r="AK2189" s="160"/>
      <c r="AL2189" s="177"/>
      <c r="AM2189" s="177"/>
      <c r="AN2189" s="177"/>
      <c r="AO2189" s="160"/>
      <c r="AP2189" s="160"/>
      <c r="AQ2189" s="160"/>
      <c r="AR2189" s="160"/>
      <c r="AS2189" s="160"/>
      <c r="AT2189" s="160"/>
      <c r="AU2189" s="160"/>
      <c r="AV2189" s="160"/>
      <c r="AW2189" s="160"/>
      <c r="AX2189" s="160"/>
      <c r="AY2189" s="160"/>
      <c r="AZ2189" s="160"/>
      <c r="BA2189" s="160">
        <f>IF($BA$2030&gt;0,IPMT('Assumptions (Biomass)'!$V$7,Model!W$1,'Assumptions (Biomass)'!$V$10,'Assumptions (Biomass)'!$V$5*Model!$BA$2030*AVERAGE('Assumptions (Biomass)'!$AW$2:$AY$2)/10^9),0)</f>
        <v>0</v>
      </c>
      <c r="BB2189" s="160">
        <f>IF($BA$2030&gt;0,IPMT('Assumptions (Biomass)'!$V$7,Model!X$1,'Assumptions (Biomass)'!$V$10,'Assumptions (Biomass)'!$V$5*Model!$BA$2030*AVERAGE('Assumptions (Biomass)'!$AW$2:$AY$2)/10^9),0)</f>
        <v>0</v>
      </c>
      <c r="BC2189" s="160">
        <f>IF($BA$2030&gt;0,IPMT('Assumptions (Biomass)'!$V$7,Model!Y$1,'Assumptions (Biomass)'!$V$10,'Assumptions (Biomass)'!$V$5*Model!$BA$2030*AVERAGE('Assumptions (Biomass)'!$AW$2:$AY$2)/10^9),0)</f>
        <v>0</v>
      </c>
      <c r="BD2189" s="160">
        <f>IF($BA$2030&gt;0,IPMT('Assumptions (Biomass)'!$V$7,Model!Z$1,'Assumptions (Biomass)'!$V$10,'Assumptions (Biomass)'!$V$5*Model!$BA$2030*AVERAGE('Assumptions (Biomass)'!$AW$2:$AY$2)/10^9),0)</f>
        <v>0</v>
      </c>
      <c r="BE2189" s="160">
        <f>IF($BA$2030&gt;0,IPMT('Assumptions (Biomass)'!$V$7,Model!AA$1,'Assumptions (Biomass)'!$V$10,'Assumptions (Biomass)'!$V$5*Model!$BA$2030*AVERAGE('Assumptions (Biomass)'!$AW$2:$AY$2)/10^9),0)</f>
        <v>0</v>
      </c>
      <c r="BF2189" s="160">
        <f>IF($BA$2030&gt;0,IPMT('Assumptions (Biomass)'!$V$7,Model!AB$1,'Assumptions (Biomass)'!$V$10,'Assumptions (Biomass)'!$V$5*Model!$BA$2030*AVERAGE('Assumptions (Biomass)'!$AW$2:$AY$2)/10^9),0)</f>
        <v>0</v>
      </c>
      <c r="BG2189" s="160">
        <f>IF($BA$2030&gt;0,IPMT('Assumptions (Biomass)'!$V$7,Model!AC$1,'Assumptions (Biomass)'!$V$10,'Assumptions (Biomass)'!$V$5*Model!$BA$2030*AVERAGE('Assumptions (Biomass)'!$AW$2:$AY$2)/10^9),0)</f>
        <v>0</v>
      </c>
      <c r="BH2189" s="160">
        <f>IF($BA$2030&gt;0,IPMT('Assumptions (Biomass)'!$V$7,Model!AD$1,'Assumptions (Biomass)'!$V$10,'Assumptions (Biomass)'!$V$5*Model!$BA$2030*AVERAGE('Assumptions (Biomass)'!$AW$2:$AY$2)/10^9),0)</f>
        <v>0</v>
      </c>
      <c r="BI2189" s="160">
        <f>IF($BA$2030&gt;0,IPMT('Assumptions (Biomass)'!$V$7,Model!AE$1,'Assumptions (Biomass)'!$V$10,'Assumptions (Biomass)'!$V$5*Model!$BA$2030*AVERAGE('Assumptions (Biomass)'!$AW$2:$AY$2)/10^9),0)</f>
        <v>0</v>
      </c>
      <c r="BJ2189" s="160">
        <f>IF($BA$2030&gt;0,IPMT('Assumptions (Biomass)'!$V$7,Model!AF$1,'Assumptions (Biomass)'!$V$10,'Assumptions (Biomass)'!$V$5*Model!$BA$2030*AVERAGE('Assumptions (Biomass)'!$AW$2:$AY$2)/10^9),0)</f>
        <v>0</v>
      </c>
      <c r="BK2189" s="160">
        <f>IF($BA$2030&gt;0,IPMT('Assumptions (Biomass)'!$V$7,Model!AG$1,'Assumptions (Biomass)'!$V$10,'Assumptions (Biomass)'!$V$5*Model!$BA$2030*AVERAGE('Assumptions (Biomass)'!$AW$2:$AY$2)/10^9),0)</f>
        <v>0</v>
      </c>
      <c r="BL2189" s="160">
        <f>IF($BA$2030&gt;0,IPMT('Assumptions (Biomass)'!$V$7,Model!AH$1,'Assumptions (Biomass)'!$V$10,'Assumptions (Biomass)'!$V$5*Model!$BA$2030*AVERAGE('Assumptions (Biomass)'!$AW$2:$AY$2)/10^9),0)</f>
        <v>0</v>
      </c>
      <c r="BM2189" s="160">
        <f>IF($BA$2030&gt;0,IPMT('Assumptions (Biomass)'!$V$7,Model!AI$1,'Assumptions (Biomass)'!$V$10,'Assumptions (Biomass)'!$V$5*Model!$BA$2030*AVERAGE('Assumptions (Biomass)'!$AW$2:$AY$2)/10^9),0)</f>
        <v>0</v>
      </c>
      <c r="BN2189" s="160">
        <f>IF($BA$2030&gt;0,IPMT('Assumptions (Biomass)'!$V$7,Model!AJ$1,'Assumptions (Biomass)'!$V$10,'Assumptions (Biomass)'!$V$5*Model!$BA$2030*AVERAGE('Assumptions (Biomass)'!$AW$2:$AY$2)/10^9),0)</f>
        <v>0</v>
      </c>
      <c r="BO2189" s="160">
        <f>IF($BA$2030&gt;0,IPMT('Assumptions (Biomass)'!$V$7,Model!AK$1,'Assumptions (Biomass)'!$V$10,'Assumptions (Biomass)'!$V$5*Model!$BA$2030*AVERAGE('Assumptions (Biomass)'!$AW$2:$AY$2)/10^9),0)</f>
        <v>0</v>
      </c>
      <c r="BP2189" s="160"/>
    </row>
    <row r="2190" ht="15.75" customHeight="1" collapsed="1">
      <c r="A2190" s="320" t="s">
        <v>361</v>
      </c>
      <c r="B2190" s="150" t="s">
        <v>351</v>
      </c>
      <c r="C2190" s="177">
        <f t="shared" ref="C2190:BP2190" si="76">SUM(C2191:C2241)</f>
        <v>0</v>
      </c>
      <c r="D2190" s="177">
        <f t="shared" si="76"/>
        <v>0.0003074457638</v>
      </c>
      <c r="E2190" s="177">
        <f t="shared" si="76"/>
        <v>0.0007240148469</v>
      </c>
      <c r="F2190" s="177">
        <f t="shared" si="76"/>
        <v>0.001591156244</v>
      </c>
      <c r="G2190" s="177">
        <f t="shared" si="76"/>
        <v>0.006225500239</v>
      </c>
      <c r="H2190" s="177">
        <f t="shared" si="76"/>
        <v>0.01085177425</v>
      </c>
      <c r="I2190" s="177">
        <f t="shared" si="76"/>
        <v>0.02125441792</v>
      </c>
      <c r="J2190" s="177">
        <f t="shared" si="76"/>
        <v>0.03308364843</v>
      </c>
      <c r="K2190" s="177">
        <f t="shared" si="76"/>
        <v>0.03522142358</v>
      </c>
      <c r="L2190" s="177">
        <f t="shared" si="76"/>
        <v>0.03666638971</v>
      </c>
      <c r="M2190" s="177">
        <f t="shared" si="76"/>
        <v>0.05683000029</v>
      </c>
      <c r="N2190" s="177">
        <f t="shared" si="76"/>
        <v>0.09058242349</v>
      </c>
      <c r="O2190" s="177">
        <f t="shared" si="76"/>
        <v>0.1107395916</v>
      </c>
      <c r="P2190" s="177">
        <f t="shared" si="76"/>
        <v>0.1444806725</v>
      </c>
      <c r="Q2190" s="177">
        <f t="shared" si="76"/>
        <v>0.1847000381</v>
      </c>
      <c r="R2190" s="177">
        <f t="shared" si="76"/>
        <v>0.1970364681</v>
      </c>
      <c r="S2190" s="177">
        <f t="shared" si="76"/>
        <v>0.1964926455</v>
      </c>
      <c r="T2190" s="177">
        <f t="shared" si="76"/>
        <v>0.2166272587</v>
      </c>
      <c r="U2190" s="177">
        <f t="shared" si="76"/>
        <v>0.2301189504</v>
      </c>
      <c r="V2190" s="177">
        <f t="shared" si="76"/>
        <v>0.2147578475</v>
      </c>
      <c r="W2190" s="177">
        <f t="shared" si="76"/>
        <v>0.2035446537</v>
      </c>
      <c r="X2190" s="177">
        <f t="shared" si="76"/>
        <v>0.1911043687</v>
      </c>
      <c r="Y2190" s="177">
        <f t="shared" si="76"/>
        <v>0.1786046025</v>
      </c>
      <c r="Z2190" s="177">
        <f t="shared" si="76"/>
        <v>0.1736218199</v>
      </c>
      <c r="AA2190" s="177">
        <f t="shared" si="76"/>
        <v>0.1707341486</v>
      </c>
      <c r="AB2190" s="177">
        <f t="shared" si="76"/>
        <v>0.1569680731</v>
      </c>
      <c r="AC2190" s="177">
        <f t="shared" si="76"/>
        <v>0.1339946487</v>
      </c>
      <c r="AD2190" s="177">
        <f t="shared" si="76"/>
        <v>0.1176376019</v>
      </c>
      <c r="AE2190" s="177">
        <f t="shared" si="76"/>
        <v>0.09240794167</v>
      </c>
      <c r="AF2190" s="177">
        <f t="shared" si="76"/>
        <v>0.0616817525</v>
      </c>
      <c r="AG2190" s="177">
        <f t="shared" si="76"/>
        <v>0.04507498119</v>
      </c>
      <c r="AH2190" s="177">
        <f t="shared" si="76"/>
        <v>0.03618593677</v>
      </c>
      <c r="AI2190" s="177">
        <f t="shared" si="76"/>
        <v>0.01630021371</v>
      </c>
      <c r="AJ2190" s="177">
        <f t="shared" si="76"/>
        <v>0</v>
      </c>
      <c r="AK2190" s="177">
        <f t="shared" si="76"/>
        <v>0</v>
      </c>
      <c r="AL2190" s="177">
        <f t="shared" si="76"/>
        <v>0</v>
      </c>
      <c r="AM2190" s="177">
        <f t="shared" si="76"/>
        <v>0</v>
      </c>
      <c r="AN2190" s="177">
        <f t="shared" si="76"/>
        <v>0</v>
      </c>
      <c r="AO2190" s="177">
        <f t="shared" si="76"/>
        <v>0</v>
      </c>
      <c r="AP2190" s="177">
        <f t="shared" si="76"/>
        <v>0</v>
      </c>
      <c r="AQ2190" s="177">
        <f t="shared" si="76"/>
        <v>0</v>
      </c>
      <c r="AR2190" s="177">
        <f t="shared" si="76"/>
        <v>0</v>
      </c>
      <c r="AS2190" s="177">
        <f t="shared" si="76"/>
        <v>0</v>
      </c>
      <c r="AT2190" s="177">
        <f t="shared" si="76"/>
        <v>0</v>
      </c>
      <c r="AU2190" s="177">
        <f t="shared" si="76"/>
        <v>0</v>
      </c>
      <c r="AV2190" s="177">
        <f t="shared" si="76"/>
        <v>0</v>
      </c>
      <c r="AW2190" s="177">
        <f t="shared" si="76"/>
        <v>0</v>
      </c>
      <c r="AX2190" s="177">
        <f t="shared" si="76"/>
        <v>0</v>
      </c>
      <c r="AY2190" s="177">
        <f t="shared" si="76"/>
        <v>0</v>
      </c>
      <c r="AZ2190" s="177">
        <f t="shared" si="76"/>
        <v>0</v>
      </c>
      <c r="BA2190" s="177">
        <f t="shared" si="76"/>
        <v>0</v>
      </c>
      <c r="BB2190" s="177">
        <f t="shared" si="76"/>
        <v>0</v>
      </c>
      <c r="BC2190" s="177">
        <f t="shared" si="76"/>
        <v>0</v>
      </c>
      <c r="BD2190" s="177">
        <f t="shared" si="76"/>
        <v>0</v>
      </c>
      <c r="BE2190" s="177">
        <f t="shared" si="76"/>
        <v>0</v>
      </c>
      <c r="BF2190" s="177">
        <f t="shared" si="76"/>
        <v>0</v>
      </c>
      <c r="BG2190" s="177">
        <f t="shared" si="76"/>
        <v>0</v>
      </c>
      <c r="BH2190" s="177">
        <f t="shared" si="76"/>
        <v>0</v>
      </c>
      <c r="BI2190" s="177">
        <f t="shared" si="76"/>
        <v>0</v>
      </c>
      <c r="BJ2190" s="177">
        <f t="shared" si="76"/>
        <v>0</v>
      </c>
      <c r="BK2190" s="177">
        <f t="shared" si="76"/>
        <v>0</v>
      </c>
      <c r="BL2190" s="177">
        <f t="shared" si="76"/>
        <v>0</v>
      </c>
      <c r="BM2190" s="177">
        <f t="shared" si="76"/>
        <v>0</v>
      </c>
      <c r="BN2190" s="177">
        <f t="shared" si="76"/>
        <v>0</v>
      </c>
      <c r="BO2190" s="177">
        <f t="shared" si="76"/>
        <v>0</v>
      </c>
      <c r="BP2190" s="177">
        <f t="shared" si="76"/>
        <v>0</v>
      </c>
      <c r="BQ2190" s="177"/>
    </row>
    <row r="2191" ht="15.75" hidden="1" customHeight="1" outlineLevel="1">
      <c r="A2191" s="318"/>
      <c r="B2191" s="38"/>
      <c r="C2191" s="178">
        <f>IF($C$2030&gt;0,'Assumptions (Biomass)'!V$11*Model!$C$2030*'Assumptions (Biomass)'!$B$2/10^9,0)</f>
        <v>0</v>
      </c>
      <c r="D2191" s="178">
        <f>IF($C$2030&gt;0,'Assumptions (Biomass)'!W$11*Model!$C$2030*'Assumptions (Biomass)'!$B$2/10^9,0)</f>
        <v>0</v>
      </c>
      <c r="E2191" s="178">
        <f>IF($C$2030&gt;0,'Assumptions (Biomass)'!X$11*Model!$C$2030*'Assumptions (Biomass)'!$B$2/10^9,0)</f>
        <v>0</v>
      </c>
      <c r="F2191" s="178">
        <f>IF($C$2030&gt;0,'Assumptions (Biomass)'!Y$11*Model!$C$2030*'Assumptions (Biomass)'!$B$2/10^9,0)</f>
        <v>0</v>
      </c>
      <c r="G2191" s="178">
        <f>IF($C$2030&gt;0,'Assumptions (Biomass)'!Z$11*Model!$C$2030*'Assumptions (Biomass)'!$B$2/10^9,0)</f>
        <v>0</v>
      </c>
      <c r="H2191" s="178">
        <f>IF($C$2030&gt;0,'Assumptions (Biomass)'!AA$11*Model!$C$2030*'Assumptions (Biomass)'!$B$2/10^9,0)</f>
        <v>0</v>
      </c>
      <c r="I2191" s="178">
        <f>IF($C$2030&gt;0,'Assumptions (Biomass)'!AB$11*Model!$C$2030*'Assumptions (Biomass)'!$B$2/10^9,0)</f>
        <v>0</v>
      </c>
      <c r="J2191" s="178">
        <f>IF($C$2030&gt;0,'Assumptions (Biomass)'!AC$11*Model!$C$2030*'Assumptions (Biomass)'!$B$2/10^9,0)</f>
        <v>0</v>
      </c>
      <c r="K2191" s="178">
        <f>IF($C$2030&gt;0,'Assumptions (Biomass)'!AD$11*Model!$C$2030*'Assumptions (Biomass)'!$B$2/10^9,0)</f>
        <v>0</v>
      </c>
      <c r="L2191" s="178">
        <f>IF($C$2030&gt;0,'Assumptions (Biomass)'!AE$11*Model!$C$2030*'Assumptions (Biomass)'!$B$2/10^9,0)</f>
        <v>0</v>
      </c>
      <c r="M2191" s="178">
        <f>IF($C$2030&gt;0,'Assumptions (Biomass)'!AF$11*Model!$C$2030*'Assumptions (Biomass)'!$B$2/10^9,0)</f>
        <v>0</v>
      </c>
      <c r="N2191" s="178">
        <f>IF($C$2030&gt;0,'Assumptions (Biomass)'!AG$11*Model!$C$2030*'Assumptions (Biomass)'!$B$2/10^9,0)</f>
        <v>0</v>
      </c>
      <c r="O2191" s="178">
        <f>IF($C$2030&gt;0,'Assumptions (Biomass)'!AH$11*Model!$C$2030*'Assumptions (Biomass)'!$B$2/10^9,0)</f>
        <v>0</v>
      </c>
      <c r="P2191" s="178">
        <f>IF($C$2030&gt;0,'Assumptions (Biomass)'!AI$11*Model!$C$2030*'Assumptions (Biomass)'!$B$2/10^9,0)</f>
        <v>0</v>
      </c>
      <c r="Q2191" s="178">
        <f>IF($C$2030&gt;0,'Assumptions (Biomass)'!AJ$11*Model!$C$2030*'Assumptions (Biomass)'!$B$2/10^9,0)</f>
        <v>0</v>
      </c>
      <c r="R2191" s="178">
        <f>IF($C$2030&gt;0,'Assumptions (Biomass)'!AK$11*Model!$C$2030*'Assumptions (Biomass)'!$B$2/10^9,0)</f>
        <v>0</v>
      </c>
      <c r="S2191" s="177"/>
      <c r="T2191" s="177"/>
      <c r="U2191" s="177"/>
      <c r="V2191" s="177"/>
      <c r="W2191" s="177"/>
      <c r="X2191" s="160"/>
      <c r="Y2191" s="160"/>
      <c r="Z2191" s="160"/>
      <c r="AA2191" s="160"/>
      <c r="AB2191" s="160"/>
      <c r="AC2191" s="160"/>
      <c r="AD2191" s="160"/>
      <c r="AE2191" s="160"/>
      <c r="AF2191" s="160"/>
      <c r="AG2191" s="160"/>
    </row>
    <row r="2192" ht="15.75" hidden="1" customHeight="1" outlineLevel="1">
      <c r="A2192" s="318"/>
      <c r="B2192" s="38"/>
      <c r="C2192" s="160"/>
      <c r="D2192" s="160">
        <f>IF($D$2030&gt;0,'Assumptions (Biomass)'!V$11*Model!$D$2030*'Assumptions (Biomass)'!$B$2/10^9,0)</f>
        <v>0.0003074457638</v>
      </c>
      <c r="E2192" s="160">
        <f>IF($D$2030&gt;0,'Assumptions (Biomass)'!W$11*Model!$D$2030*'Assumptions (Biomass)'!$B$2/10^9,0)</f>
        <v>0.0005841469512</v>
      </c>
      <c r="F2192" s="160">
        <f>IF($D$2030&gt;0,'Assumptions (Biomass)'!X$11*Model!$D$2030*'Assumptions (Biomass)'!$B$2/10^9,0)</f>
        <v>0.0005257322561</v>
      </c>
      <c r="G2192" s="160">
        <f>IF($D$2030&gt;0,'Assumptions (Biomass)'!Y$11*Model!$D$2030*'Assumptions (Biomass)'!$B$2/10^9,0)</f>
        <v>0.0004734664763</v>
      </c>
      <c r="H2192" s="160">
        <f>IF($D$2030&gt;0,'Assumptions (Biomass)'!Z$11*Model!$D$2030*'Assumptions (Biomass)'!$B$2/10^9,0)</f>
        <v>0.0004261198286</v>
      </c>
      <c r="I2192" s="160">
        <f>IF($D$2030&gt;0,'Assumptions (Biomass)'!AA$11*Model!$D$2030*'Assumptions (Biomass)'!$B$2/10^9,0)</f>
        <v>0.0003830774217</v>
      </c>
      <c r="J2192" s="160">
        <f>IF($D$2030&gt;0,'Assumptions (Biomass)'!AB$11*Model!$D$2030*'Assumptions (Biomass)'!$B$2/10^9,0)</f>
        <v>0.0003627860013</v>
      </c>
      <c r="K2192" s="160">
        <f>IF($D$2030&gt;0,'Assumptions (Biomass)'!AC$11*Model!$D$2030*'Assumptions (Biomass)'!$B$2/10^9,0)</f>
        <v>0.0003627860013</v>
      </c>
      <c r="L2192" s="160">
        <f>IF($D$2030&gt;0,'Assumptions (Biomass)'!AD$11*Model!$D$2030*'Assumptions (Biomass)'!$B$2/10^9,0)</f>
        <v>0.0003634008928</v>
      </c>
      <c r="M2192" s="160">
        <f>IF($D$2030&gt;0,'Assumptions (Biomass)'!AE$11*Model!$D$2030*'Assumptions (Biomass)'!$B$2/10^9,0)</f>
        <v>0.0003627860013</v>
      </c>
      <c r="N2192" s="160">
        <f>IF($D$2030&gt;0,'Assumptions (Biomass)'!AF$11*Model!$D$2030*'Assumptions (Biomass)'!$B$2/10^9,0)</f>
        <v>0.0003634008928</v>
      </c>
      <c r="O2192" s="160">
        <f>IF($D$2030&gt;0,'Assumptions (Biomass)'!AG$11*Model!$D$2030*'Assumptions (Biomass)'!$B$2/10^9,0)</f>
        <v>0.0003627860013</v>
      </c>
      <c r="P2192" s="160">
        <f>IF($D$2030&gt;0,'Assumptions (Biomass)'!AH$11*Model!$D$2030*'Assumptions (Biomass)'!$B$2/10^9,0)</f>
        <v>0.0003634008928</v>
      </c>
      <c r="Q2192" s="160">
        <f>IF($D$2030&gt;0,'Assumptions (Biomass)'!AI$11*Model!$D$2030*'Assumptions (Biomass)'!$B$2/10^9,0)</f>
        <v>0.0003627860013</v>
      </c>
      <c r="R2192" s="160">
        <f>IF($D$2030&gt;0,'Assumptions (Biomass)'!AJ$11*Model!$D$2030*'Assumptions (Biomass)'!$B$2/10^9,0)</f>
        <v>0.0003634008928</v>
      </c>
      <c r="S2192" s="160">
        <f>IF($D$2030&gt;0,'Assumptions (Biomass)'!AK$11*Model!$D$2030*'Assumptions (Biomass)'!$B$2/10^9,0)</f>
        <v>0.0001813930006</v>
      </c>
      <c r="T2192" s="160"/>
      <c r="U2192" s="160"/>
      <c r="V2192" s="160"/>
      <c r="W2192" s="160"/>
      <c r="X2192" s="160"/>
      <c r="Y2192" s="160"/>
      <c r="Z2192" s="160"/>
      <c r="AA2192" s="160"/>
      <c r="AB2192" s="160"/>
      <c r="AC2192" s="160"/>
      <c r="AD2192" s="160"/>
      <c r="AE2192" s="160"/>
      <c r="AF2192" s="160"/>
      <c r="AG2192" s="160"/>
    </row>
    <row r="2193" ht="15.75" hidden="1" customHeight="1" outlineLevel="1">
      <c r="A2193" s="318"/>
      <c r="B2193" s="38"/>
      <c r="C2193" s="160"/>
      <c r="D2193" s="160"/>
      <c r="E2193" s="160">
        <f>IF($E$2030&gt;0,'Assumptions (Biomass)'!V$11*Model!$E$2030*AVERAGE('Assumptions (Biomass)'!$B$2:$C$2)/10^9,0)</f>
        <v>0.0001398678956</v>
      </c>
      <c r="F2193" s="160">
        <f>IF($E$2030&gt;0,'Assumptions (Biomass)'!W$11*Model!$E$2030*AVERAGE('Assumptions (Biomass)'!$B$2:$C$2)/10^9,0)</f>
        <v>0.0002657490017</v>
      </c>
      <c r="G2193" s="160">
        <f>IF($E$2030&gt;0,'Assumptions (Biomass)'!X$11*Model!$E$2030*AVERAGE('Assumptions (Biomass)'!$B$2:$C$2)/10^9,0)</f>
        <v>0.0002391741015</v>
      </c>
      <c r="H2193" s="160">
        <f>IF($E$2030&gt;0,'Assumptions (Biomass)'!Y$11*Model!$E$2030*AVERAGE('Assumptions (Biomass)'!$B$2:$C$2)/10^9,0)</f>
        <v>0.0002153965593</v>
      </c>
      <c r="I2193" s="160">
        <f>IF($E$2030&gt;0,'Assumptions (Biomass)'!Z$11*Model!$E$2030*AVERAGE('Assumptions (Biomass)'!$B$2:$C$2)/10^9,0)</f>
        <v>0.0001938569033</v>
      </c>
      <c r="J2193" s="160">
        <f>IF($E$2030&gt;0,'Assumptions (Biomass)'!AA$11*Model!$E$2030*AVERAGE('Assumptions (Biomass)'!$B$2:$C$2)/10^9,0)</f>
        <v>0.000174275398</v>
      </c>
      <c r="K2193" s="160">
        <f>IF($E$2030&gt;0,'Assumptions (Biomass)'!AB$11*Model!$E$2030*AVERAGE('Assumptions (Biomass)'!$B$2:$C$2)/10^9,0)</f>
        <v>0.0001650441168</v>
      </c>
      <c r="L2193" s="160">
        <f>IF($E$2030&gt;0,'Assumptions (Biomass)'!AC$11*Model!$E$2030*AVERAGE('Assumptions (Biomass)'!$B$2:$C$2)/10^9,0)</f>
        <v>0.0001650441168</v>
      </c>
      <c r="M2193" s="160">
        <f>IF($E$2030&gt;0,'Assumptions (Biomass)'!AD$11*Model!$E$2030*AVERAGE('Assumptions (Biomass)'!$B$2:$C$2)/10^9,0)</f>
        <v>0.0001653238526</v>
      </c>
      <c r="N2193" s="160">
        <f>IF($E$2030&gt;0,'Assumptions (Biomass)'!AE$11*Model!$E$2030*AVERAGE('Assumptions (Biomass)'!$B$2:$C$2)/10^9,0)</f>
        <v>0.0001650441168</v>
      </c>
      <c r="O2193" s="160">
        <f>IF($E$2030&gt;0,'Assumptions (Biomass)'!AF$11*Model!$E$2030*AVERAGE('Assumptions (Biomass)'!$B$2:$C$2)/10^9,0)</f>
        <v>0.0001653238526</v>
      </c>
      <c r="P2193" s="160">
        <f>IF($E$2030&gt;0,'Assumptions (Biomass)'!AG$11*Model!$E$2030*AVERAGE('Assumptions (Biomass)'!$B$2:$C$2)/10^9,0)</f>
        <v>0.0001650441168</v>
      </c>
      <c r="Q2193" s="160">
        <f>IF($E$2030&gt;0,'Assumptions (Biomass)'!AH$11*Model!$E$2030*AVERAGE('Assumptions (Biomass)'!$B$2:$C$2)/10^9,0)</f>
        <v>0.0001653238526</v>
      </c>
      <c r="R2193" s="160">
        <f>IF($E$2030&gt;0,'Assumptions (Biomass)'!AI$11*Model!$E$2030*AVERAGE('Assumptions (Biomass)'!$B$2:$C$2)/10^9,0)</f>
        <v>0.0001650441168</v>
      </c>
      <c r="S2193" s="160">
        <f>IF($E$2030&gt;0,'Assumptions (Biomass)'!AJ$11*Model!$E$2030*AVERAGE('Assumptions (Biomass)'!$B$2:$C$2)/10^9,0)</f>
        <v>0.0001653238526</v>
      </c>
      <c r="T2193" s="160">
        <f>IF($E$2030&gt;0,'Assumptions (Biomass)'!AK$11*Model!$E$2030*AVERAGE('Assumptions (Biomass)'!$B$2:$C$2)/10^9,0)</f>
        <v>0.00008252205842</v>
      </c>
      <c r="U2193" s="160"/>
      <c r="V2193" s="160"/>
      <c r="W2193" s="160"/>
      <c r="X2193" s="160"/>
      <c r="Y2193" s="160"/>
      <c r="Z2193" s="160"/>
      <c r="AA2193" s="160"/>
      <c r="AB2193" s="160"/>
      <c r="AC2193" s="160"/>
      <c r="AD2193" s="160"/>
      <c r="AE2193" s="160"/>
      <c r="AF2193" s="160"/>
      <c r="AG2193" s="160"/>
    </row>
    <row r="2194" ht="15.75" hidden="1" customHeight="1" outlineLevel="1">
      <c r="A2194" s="318"/>
      <c r="B2194" s="38"/>
      <c r="C2194" s="160"/>
      <c r="D2194" s="160"/>
      <c r="E2194" s="160"/>
      <c r="F2194" s="160">
        <f>IF($F$2030&gt;0,'Assumptions (Biomass)'!V$11*Model!$F$2030*AVERAGE('Assumptions (Biomass)'!$B$2:$D$2)/10^9,0)</f>
        <v>0.000799674986</v>
      </c>
      <c r="G2194" s="160">
        <f>IF($F$2030&gt;0,'Assumptions (Biomass)'!W$11*Model!$F$2030*AVERAGE('Assumptions (Biomass)'!$B$2:$D$2)/10^9,0)</f>
        <v>0.001519382473</v>
      </c>
      <c r="H2194" s="160">
        <f>IF($F$2030&gt;0,'Assumptions (Biomass)'!X$11*Model!$F$2030*AVERAGE('Assumptions (Biomass)'!$B$2:$D$2)/10^9,0)</f>
        <v>0.001367444226</v>
      </c>
      <c r="I2194" s="160">
        <f>IF($F$2030&gt;0,'Assumptions (Biomass)'!Y$11*Model!$F$2030*AVERAGE('Assumptions (Biomass)'!$B$2:$D$2)/10^9,0)</f>
        <v>0.001231499479</v>
      </c>
      <c r="J2194" s="160">
        <f>IF($F$2030&gt;0,'Assumptions (Biomass)'!Z$11*Model!$F$2030*AVERAGE('Assumptions (Biomass)'!$B$2:$D$2)/10^9,0)</f>
        <v>0.001108349531</v>
      </c>
      <c r="K2194" s="160">
        <f>IF($F$2030&gt;0,'Assumptions (Biomass)'!AA$11*Model!$F$2030*AVERAGE('Assumptions (Biomass)'!$B$2:$D$2)/10^9,0)</f>
        <v>0.0009963950326</v>
      </c>
      <c r="L2194" s="160">
        <f>IF($F$2030&gt;0,'Assumptions (Biomass)'!AB$11*Model!$F$2030*AVERAGE('Assumptions (Biomass)'!$B$2:$D$2)/10^9,0)</f>
        <v>0.0009436164835</v>
      </c>
      <c r="M2194" s="160">
        <f>IF($F$2030&gt;0,'Assumptions (Biomass)'!AC$11*Model!$F$2030*AVERAGE('Assumptions (Biomass)'!$B$2:$D$2)/10^9,0)</f>
        <v>0.0009436164835</v>
      </c>
      <c r="N2194" s="160">
        <f>IF($F$2030&gt;0,'Assumptions (Biomass)'!AD$11*Model!$F$2030*AVERAGE('Assumptions (Biomass)'!$B$2:$D$2)/10^9,0)</f>
        <v>0.0009452158335</v>
      </c>
      <c r="O2194" s="160">
        <f>IF($F$2030&gt;0,'Assumptions (Biomass)'!AE$11*Model!$F$2030*AVERAGE('Assumptions (Biomass)'!$B$2:$D$2)/10^9,0)</f>
        <v>0.0009436164835</v>
      </c>
      <c r="P2194" s="160">
        <f>IF($F$2030&gt;0,'Assumptions (Biomass)'!AF$11*Model!$F$2030*AVERAGE('Assumptions (Biomass)'!$B$2:$D$2)/10^9,0)</f>
        <v>0.0009452158335</v>
      </c>
      <c r="Q2194" s="160">
        <f>IF($F$2030&gt;0,'Assumptions (Biomass)'!AG$11*Model!$F$2030*AVERAGE('Assumptions (Biomass)'!$B$2:$D$2)/10^9,0)</f>
        <v>0.0009436164835</v>
      </c>
      <c r="R2194" s="160">
        <f>IF($F$2030&gt;0,'Assumptions (Biomass)'!AH$11*Model!$F$2030*AVERAGE('Assumptions (Biomass)'!$B$2:$D$2)/10^9,0)</f>
        <v>0.0009452158335</v>
      </c>
      <c r="S2194" s="160">
        <f>IF($F$2030&gt;0,'Assumptions (Biomass)'!AI$11*Model!$F$2030*AVERAGE('Assumptions (Biomass)'!$B$2:$D$2)/10^9,0)</f>
        <v>0.0009436164835</v>
      </c>
      <c r="T2194" s="160">
        <f>IF($F$2030&gt;0,'Assumptions (Biomass)'!AJ$11*Model!$F$2030*AVERAGE('Assumptions (Biomass)'!$B$2:$D$2)/10^9,0)</f>
        <v>0.0009452158335</v>
      </c>
      <c r="U2194" s="160">
        <f>IF($F$2030&gt;0,'Assumptions (Biomass)'!AK$11*Model!$F$2030*AVERAGE('Assumptions (Biomass)'!$B$2:$D$2)/10^9,0)</f>
        <v>0.0004718082418</v>
      </c>
      <c r="V2194" s="160"/>
      <c r="W2194" s="160"/>
      <c r="X2194" s="160"/>
      <c r="Y2194" s="160"/>
      <c r="Z2194" s="160"/>
      <c r="AA2194" s="160"/>
      <c r="AB2194" s="160"/>
      <c r="AC2194" s="160"/>
      <c r="AD2194" s="160"/>
      <c r="AE2194" s="160"/>
      <c r="AF2194" s="160"/>
      <c r="AG2194" s="160"/>
    </row>
    <row r="2195" ht="15.75" hidden="1" customHeight="1" outlineLevel="1">
      <c r="A2195" s="318"/>
      <c r="B2195" s="38"/>
      <c r="C2195" s="160"/>
      <c r="D2195" s="160"/>
      <c r="E2195" s="160"/>
      <c r="F2195" s="160"/>
      <c r="G2195" s="160">
        <f>IF($G$2030&gt;0,'Assumptions (Biomass)'!V$11*Model!$G$2030*AVERAGE('Assumptions (Biomass)'!$C$2:$E$2)/10^9,0)</f>
        <v>0.003993477188</v>
      </c>
      <c r="H2195" s="160">
        <f>IF($G$2030&gt;0,'Assumptions (Biomass)'!W$11*Model!$G$2030*AVERAGE('Assumptions (Biomass)'!$C$2:$E$2)/10^9,0)</f>
        <v>0.007587606658</v>
      </c>
      <c r="I2195" s="160">
        <f>IF($G$2030&gt;0,'Assumptions (Biomass)'!X$11*Model!$G$2030*AVERAGE('Assumptions (Biomass)'!$C$2:$E$2)/10^9,0)</f>
        <v>0.006828845992</v>
      </c>
      <c r="J2195" s="160">
        <f>IF($G$2030&gt;0,'Assumptions (Biomass)'!Y$11*Model!$G$2030*AVERAGE('Assumptions (Biomass)'!$C$2:$E$2)/10^9,0)</f>
        <v>0.00614995487</v>
      </c>
      <c r="K2195" s="160">
        <f>IF($G$2030&gt;0,'Assumptions (Biomass)'!Z$11*Model!$G$2030*AVERAGE('Assumptions (Biomass)'!$C$2:$E$2)/10^9,0)</f>
        <v>0.005534959383</v>
      </c>
      <c r="L2195" s="160">
        <f>IF($G$2030&gt;0,'Assumptions (Biomass)'!AA$11*Model!$G$2030*AVERAGE('Assumptions (Biomass)'!$C$2:$E$2)/10^9,0)</f>
        <v>0.004975872576</v>
      </c>
      <c r="M2195" s="160">
        <f>IF($G$2030&gt;0,'Assumptions (Biomass)'!AB$11*Model!$G$2030*AVERAGE('Assumptions (Biomass)'!$C$2:$E$2)/10^9,0)</f>
        <v>0.004712303082</v>
      </c>
      <c r="N2195" s="160">
        <f>IF($G$2030&gt;0,'Assumptions (Biomass)'!AC$11*Model!$G$2030*AVERAGE('Assumptions (Biomass)'!$C$2:$E$2)/10^9,0)</f>
        <v>0.004712303082</v>
      </c>
      <c r="O2195" s="160">
        <f>IF($G$2030&gt;0,'Assumptions (Biomass)'!AD$11*Model!$G$2030*AVERAGE('Assumptions (Biomass)'!$C$2:$E$2)/10^9,0)</f>
        <v>0.004720290036</v>
      </c>
      <c r="P2195" s="160">
        <f>IF($G$2030&gt;0,'Assumptions (Biomass)'!AE$11*Model!$G$2030*AVERAGE('Assumptions (Biomass)'!$C$2:$E$2)/10^9,0)</f>
        <v>0.004712303082</v>
      </c>
      <c r="Q2195" s="160">
        <f>IF($G$2030&gt;0,'Assumptions (Biomass)'!AF$11*Model!$G$2030*AVERAGE('Assumptions (Biomass)'!$C$2:$E$2)/10^9,0)</f>
        <v>0.004720290036</v>
      </c>
      <c r="R2195" s="160">
        <f>IF($G$2030&gt;0,'Assumptions (Biomass)'!AG$11*Model!$G$2030*AVERAGE('Assumptions (Biomass)'!$C$2:$E$2)/10^9,0)</f>
        <v>0.004712303082</v>
      </c>
      <c r="S2195" s="160">
        <f>IF($G$2030&gt;0,'Assumptions (Biomass)'!AH$11*Model!$G$2030*AVERAGE('Assumptions (Biomass)'!$C$2:$E$2)/10^9,0)</f>
        <v>0.004720290036</v>
      </c>
      <c r="T2195" s="160">
        <f>IF($G$2030&gt;0,'Assumptions (Biomass)'!AI$11*Model!$G$2030*AVERAGE('Assumptions (Biomass)'!$C$2:$E$2)/10^9,0)</f>
        <v>0.004712303082</v>
      </c>
      <c r="U2195" s="160">
        <f>IF($G$2030&gt;0,'Assumptions (Biomass)'!AJ$11*Model!$G$2030*AVERAGE('Assumptions (Biomass)'!$C$2:$E$2)/10^9,0)</f>
        <v>0.004720290036</v>
      </c>
      <c r="V2195" s="160">
        <f>IF($G$2030&gt;0,'Assumptions (Biomass)'!AK$11*Model!$G$2030*AVERAGE('Assumptions (Biomass)'!$C$2:$E$2)/10^9,0)</f>
        <v>0.002356151541</v>
      </c>
      <c r="W2195" s="160"/>
      <c r="X2195" s="160"/>
      <c r="Y2195" s="160"/>
      <c r="Z2195" s="160"/>
      <c r="AA2195" s="160"/>
      <c r="AB2195" s="160"/>
      <c r="AC2195" s="160"/>
      <c r="AD2195" s="160"/>
      <c r="AE2195" s="160"/>
      <c r="AF2195" s="160"/>
      <c r="AG2195" s="160"/>
    </row>
    <row r="2196" ht="15.75" hidden="1" customHeight="1" outlineLevel="1">
      <c r="A2196" s="318"/>
      <c r="B2196" s="38"/>
      <c r="C2196" s="160"/>
      <c r="D2196" s="160"/>
      <c r="E2196" s="160"/>
      <c r="F2196" s="160"/>
      <c r="G2196" s="160"/>
      <c r="H2196" s="160">
        <f>IF($H$2030&gt;0,'Assumptions (Biomass)'!V$11*Model!$H$2030*AVERAGE('Assumptions (Biomass)'!$D$2:$F$2)/10^9,0)</f>
        <v>0.001255206974</v>
      </c>
      <c r="I2196" s="160">
        <f>IF($H$2030&gt;0,'Assumptions (Biomass)'!W$11*Model!$H$2030*AVERAGE('Assumptions (Biomass)'!$D$2:$F$2)/10^9,0)</f>
        <v>0.00238489325</v>
      </c>
      <c r="J2196" s="160">
        <f>IF($H$2030&gt;0,'Assumptions (Biomass)'!X$11*Model!$H$2030*AVERAGE('Assumptions (Biomass)'!$D$2:$F$2)/10^9,0)</f>
        <v>0.002146403925</v>
      </c>
      <c r="K2196" s="160">
        <f>IF($H$2030&gt;0,'Assumptions (Biomass)'!Y$11*Model!$H$2030*AVERAGE('Assumptions (Biomass)'!$D$2:$F$2)/10^9,0)</f>
        <v>0.00193301874</v>
      </c>
      <c r="L2196" s="160">
        <f>IF($H$2030&gt;0,'Assumptions (Biomass)'!Z$11*Model!$H$2030*AVERAGE('Assumptions (Biomass)'!$D$2:$F$2)/10^9,0)</f>
        <v>0.001739716866</v>
      </c>
      <c r="M2196" s="160">
        <f>IF($H$2030&gt;0,'Assumptions (Biomass)'!AA$11*Model!$H$2030*AVERAGE('Assumptions (Biomass)'!$D$2:$F$2)/10^9,0)</f>
        <v>0.001563987889</v>
      </c>
      <c r="N2196" s="160">
        <f>IF($H$2030&gt;0,'Assumptions (Biomass)'!AB$11*Model!$H$2030*AVERAGE('Assumptions (Biomass)'!$D$2:$F$2)/10^9,0)</f>
        <v>0.001481144229</v>
      </c>
      <c r="O2196" s="160">
        <f>IF($H$2030&gt;0,'Assumptions (Biomass)'!AC$11*Model!$H$2030*AVERAGE('Assumptions (Biomass)'!$D$2:$F$2)/10^9,0)</f>
        <v>0.001481144229</v>
      </c>
      <c r="P2196" s="160">
        <f>IF($H$2030&gt;0,'Assumptions (Biomass)'!AD$11*Model!$H$2030*AVERAGE('Assumptions (Biomass)'!$D$2:$F$2)/10^9,0)</f>
        <v>0.001483654643</v>
      </c>
      <c r="Q2196" s="160">
        <f>IF($H$2030&gt;0,'Assumptions (Biomass)'!AE$11*Model!$H$2030*AVERAGE('Assumptions (Biomass)'!$D$2:$F$2)/10^9,0)</f>
        <v>0.001481144229</v>
      </c>
      <c r="R2196" s="160">
        <f>IF($H$2030&gt;0,'Assumptions (Biomass)'!AF$11*Model!$H$2030*AVERAGE('Assumptions (Biomass)'!$D$2:$F$2)/10^9,0)</f>
        <v>0.001483654643</v>
      </c>
      <c r="S2196" s="160">
        <f>IF($H$2030&gt;0,'Assumptions (Biomass)'!AG$11*Model!$H$2030*AVERAGE('Assumptions (Biomass)'!$D$2:$F$2)/10^9,0)</f>
        <v>0.001481144229</v>
      </c>
      <c r="T2196" s="160">
        <f>IF($H$2030&gt;0,'Assumptions (Biomass)'!AH$11*Model!$H$2030*AVERAGE('Assumptions (Biomass)'!$D$2:$F$2)/10^9,0)</f>
        <v>0.001483654643</v>
      </c>
      <c r="U2196" s="160">
        <f>IF($H$2030&gt;0,'Assumptions (Biomass)'!AI$11*Model!$H$2030*AVERAGE('Assumptions (Biomass)'!$D$2:$F$2)/10^9,0)</f>
        <v>0.001481144229</v>
      </c>
      <c r="V2196" s="160">
        <f>IF($H$2030&gt;0,'Assumptions (Biomass)'!AJ$11*Model!$H$2030*AVERAGE('Assumptions (Biomass)'!$D$2:$F$2)/10^9,0)</f>
        <v>0.001483654643</v>
      </c>
      <c r="W2196" s="160">
        <f>IF($H$2030&gt;0,'Assumptions (Biomass)'!AK$11*Model!$H$2030*AVERAGE('Assumptions (Biomass)'!$D$2:$F$2)/10^9,0)</f>
        <v>0.0007405721146</v>
      </c>
      <c r="X2196" s="160"/>
      <c r="Y2196" s="160"/>
      <c r="Z2196" s="160"/>
      <c r="AA2196" s="160"/>
      <c r="AB2196" s="160"/>
      <c r="AC2196" s="160"/>
      <c r="AD2196" s="160"/>
      <c r="AE2196" s="160"/>
      <c r="AF2196" s="160"/>
      <c r="AG2196" s="160"/>
    </row>
    <row r="2197" ht="15.75" hidden="1" customHeight="1" outlineLevel="1">
      <c r="A2197" s="318"/>
      <c r="B2197" s="38"/>
      <c r="C2197" s="160"/>
      <c r="D2197" s="160"/>
      <c r="E2197" s="160"/>
      <c r="F2197" s="160"/>
      <c r="G2197" s="160"/>
      <c r="H2197" s="160"/>
      <c r="I2197" s="160">
        <f>IF($I$2030&gt;0,'Assumptions (Biomass)'!V$11*Model!$I$2030*AVERAGE('Assumptions (Biomass)'!$E$2:$G$2)/10^9,0)</f>
        <v>0.01023224488</v>
      </c>
      <c r="J2197" s="160">
        <f>IF($I$2030&gt;0,'Assumptions (Biomass)'!W$11*Model!$I$2030*AVERAGE('Assumptions (Biomass)'!$E$2:$G$2)/10^9,0)</f>
        <v>0.01944126527</v>
      </c>
      <c r="K2197" s="160">
        <f>IF($I$2030&gt;0,'Assumptions (Biomass)'!X$11*Model!$I$2030*AVERAGE('Assumptions (Biomass)'!$E$2:$G$2)/10^9,0)</f>
        <v>0.01749713874</v>
      </c>
      <c r="L2197" s="160">
        <f>IF($I$2030&gt;0,'Assumptions (Biomass)'!Y$11*Model!$I$2030*AVERAGE('Assumptions (Biomass)'!$E$2:$G$2)/10^9,0)</f>
        <v>0.01575765711</v>
      </c>
      <c r="M2197" s="160">
        <f>IF($I$2030&gt;0,'Assumptions (Biomass)'!Z$11*Model!$I$2030*AVERAGE('Assumptions (Biomass)'!$E$2:$G$2)/10^9,0)</f>
        <v>0.0141818914</v>
      </c>
      <c r="N2197" s="160">
        <f>IF($I$2030&gt;0,'Assumptions (Biomass)'!AA$11*Model!$I$2030*AVERAGE('Assumptions (Biomass)'!$E$2:$G$2)/10^9,0)</f>
        <v>0.01274937712</v>
      </c>
      <c r="O2197" s="160">
        <f>IF($I$2030&gt;0,'Assumptions (Biomass)'!AB$11*Model!$I$2030*AVERAGE('Assumptions (Biomass)'!$E$2:$G$2)/10^9,0)</f>
        <v>0.01207404896</v>
      </c>
      <c r="P2197" s="160">
        <f>IF($I$2030&gt;0,'Assumptions (Biomass)'!AC$11*Model!$I$2030*AVERAGE('Assumptions (Biomass)'!$E$2:$G$2)/10^9,0)</f>
        <v>0.01207404896</v>
      </c>
      <c r="Q2197" s="160">
        <f>IF($I$2030&gt;0,'Assumptions (Biomass)'!AD$11*Model!$I$2030*AVERAGE('Assumptions (Biomass)'!$E$2:$G$2)/10^9,0)</f>
        <v>0.01209451345</v>
      </c>
      <c r="R2197" s="160">
        <f>IF($I$2030&gt;0,'Assumptions (Biomass)'!AE$11*Model!$I$2030*AVERAGE('Assumptions (Biomass)'!$E$2:$G$2)/10^9,0)</f>
        <v>0.01207404896</v>
      </c>
      <c r="S2197" s="160">
        <f>IF($I$2030&gt;0,'Assumptions (Biomass)'!AF$11*Model!$I$2030*AVERAGE('Assumptions (Biomass)'!$E$2:$G$2)/10^9,0)</f>
        <v>0.01209451345</v>
      </c>
      <c r="T2197" s="160">
        <f>IF($I$2030&gt;0,'Assumptions (Biomass)'!AG$11*Model!$I$2030*AVERAGE('Assumptions (Biomass)'!$E$2:$G$2)/10^9,0)</f>
        <v>0.01207404896</v>
      </c>
      <c r="U2197" s="160">
        <f>IF($I$2030&gt;0,'Assumptions (Biomass)'!AH$11*Model!$I$2030*AVERAGE('Assumptions (Biomass)'!$E$2:$G$2)/10^9,0)</f>
        <v>0.01209451345</v>
      </c>
      <c r="V2197" s="160">
        <f>IF($I$2030&gt;0,'Assumptions (Biomass)'!AI$11*Model!$I$2030*AVERAGE('Assumptions (Biomass)'!$E$2:$G$2)/10^9,0)</f>
        <v>0.01207404896</v>
      </c>
      <c r="W2197" s="160">
        <f>IF($I$2030&gt;0,'Assumptions (Biomass)'!AJ$11*Model!$I$2030*AVERAGE('Assumptions (Biomass)'!$E$2:$G$2)/10^9,0)</f>
        <v>0.01209451345</v>
      </c>
      <c r="X2197" s="160">
        <f>IF($I$2030&gt;0,'Assumptions (Biomass)'!AK$11*Model!$I$2030*AVERAGE('Assumptions (Biomass)'!$E$2:$G$2)/10^9,0)</f>
        <v>0.006037024478</v>
      </c>
      <c r="Y2197" s="160"/>
      <c r="Z2197" s="160"/>
      <c r="AA2197" s="160"/>
      <c r="AB2197" s="160"/>
      <c r="AC2197" s="160"/>
      <c r="AD2197" s="160"/>
      <c r="AE2197" s="160"/>
      <c r="AF2197" s="160"/>
      <c r="AG2197" s="160"/>
    </row>
    <row r="2198" ht="15.75" hidden="1" customHeight="1" outlineLevel="1">
      <c r="A2198" s="318"/>
      <c r="B2198" s="38"/>
      <c r="C2198" s="160"/>
      <c r="D2198" s="160"/>
      <c r="E2198" s="160"/>
      <c r="F2198" s="160"/>
      <c r="G2198" s="160"/>
      <c r="H2198" s="160"/>
      <c r="I2198" s="160"/>
      <c r="J2198" s="160">
        <f>IF($J$2030&gt;0,'Assumptions (Biomass)'!V$11*Model!$J$2030*AVERAGE('Assumptions (Biomass)'!$F$2:$H$2)/10^9,0)</f>
        <v>0.003700613433</v>
      </c>
      <c r="K2198" s="160">
        <f>IF($J$2030&gt;0,'Assumptions (Biomass)'!W$11*Model!$J$2030*AVERAGE('Assumptions (Biomass)'!$F$2:$H$2)/10^9,0)</f>
        <v>0.007031165523</v>
      </c>
      <c r="L2198" s="160">
        <f>IF($J$2030&gt;0,'Assumptions (Biomass)'!X$11*Model!$J$2030*AVERAGE('Assumptions (Biomass)'!$F$2:$H$2)/10^9,0)</f>
        <v>0.00632804897</v>
      </c>
      <c r="M2198" s="160">
        <f>IF($J$2030&gt;0,'Assumptions (Biomass)'!Y$11*Model!$J$2030*AVERAGE('Assumptions (Biomass)'!$F$2:$H$2)/10^9,0)</f>
        <v>0.005698944687</v>
      </c>
      <c r="N2198" s="160">
        <f>IF($J$2030&gt;0,'Assumptions (Biomass)'!Z$11*Model!$J$2030*AVERAGE('Assumptions (Biomass)'!$F$2:$H$2)/10^9,0)</f>
        <v>0.005129050218</v>
      </c>
      <c r="O2198" s="160">
        <f>IF($J$2030&gt;0,'Assumptions (Biomass)'!AA$11*Model!$J$2030*AVERAGE('Assumptions (Biomass)'!$F$2:$H$2)/10^9,0)</f>
        <v>0.004610964337</v>
      </c>
      <c r="P2198" s="160">
        <f>IF($J$2030&gt;0,'Assumptions (Biomass)'!AB$11*Model!$J$2030*AVERAGE('Assumptions (Biomass)'!$F$2:$H$2)/10^9,0)</f>
        <v>0.004366723851</v>
      </c>
      <c r="Q2198" s="160">
        <f>IF($J$2030&gt;0,'Assumptions (Biomass)'!AC$11*Model!$J$2030*AVERAGE('Assumptions (Biomass)'!$F$2:$H$2)/10^9,0)</f>
        <v>0.004366723851</v>
      </c>
      <c r="R2198" s="160">
        <f>IF($J$2030&gt;0,'Assumptions (Biomass)'!AD$11*Model!$J$2030*AVERAGE('Assumptions (Biomass)'!$F$2:$H$2)/10^9,0)</f>
        <v>0.004374125078</v>
      </c>
      <c r="S2198" s="160">
        <f>IF($J$2030&gt;0,'Assumptions (Biomass)'!AE$11*Model!$J$2030*AVERAGE('Assumptions (Biomass)'!$F$2:$H$2)/10^9,0)</f>
        <v>0.004366723851</v>
      </c>
      <c r="T2198" s="160">
        <f>IF($J$2030&gt;0,'Assumptions (Biomass)'!AF$11*Model!$J$2030*AVERAGE('Assumptions (Biomass)'!$F$2:$H$2)/10^9,0)</f>
        <v>0.004374125078</v>
      </c>
      <c r="U2198" s="160">
        <f>IF($J$2030&gt;0,'Assumptions (Biomass)'!AG$11*Model!$J$2030*AVERAGE('Assumptions (Biomass)'!$F$2:$H$2)/10^9,0)</f>
        <v>0.004366723851</v>
      </c>
      <c r="V2198" s="160">
        <f>IF($J$2030&gt;0,'Assumptions (Biomass)'!AH$11*Model!$J$2030*AVERAGE('Assumptions (Biomass)'!$F$2:$H$2)/10^9,0)</f>
        <v>0.004374125078</v>
      </c>
      <c r="W2198" s="160">
        <f>IF($J$2030&gt;0,'Assumptions (Biomass)'!AI$11*Model!$J$2030*AVERAGE('Assumptions (Biomass)'!$F$2:$H$2)/10^9,0)</f>
        <v>0.004366723851</v>
      </c>
      <c r="X2198" s="160">
        <f>IF($J$2030&gt;0,'Assumptions (Biomass)'!AJ$11*Model!$J$2030*AVERAGE('Assumptions (Biomass)'!$F$2:$H$2)/10^9,0)</f>
        <v>0.004374125078</v>
      </c>
      <c r="Y2198" s="160">
        <f>IF($J$2030&gt;0,'Assumptions (Biomass)'!AK$11*Model!$J$2030*AVERAGE('Assumptions (Biomass)'!$F$2:$H$2)/10^9,0)</f>
        <v>0.002183361925</v>
      </c>
      <c r="Z2198" s="160"/>
      <c r="AA2198" s="160"/>
      <c r="AB2198" s="160"/>
      <c r="AC2198" s="160"/>
      <c r="AD2198" s="160"/>
      <c r="AE2198" s="160"/>
      <c r="AF2198" s="160"/>
      <c r="AG2198" s="160"/>
      <c r="AH2198" s="160"/>
    </row>
    <row r="2199" ht="15.75" hidden="1" customHeight="1" outlineLevel="1">
      <c r="A2199" s="318"/>
      <c r="B2199" s="38"/>
      <c r="C2199" s="160"/>
      <c r="D2199" s="160"/>
      <c r="E2199" s="160"/>
      <c r="F2199" s="160"/>
      <c r="G2199" s="160"/>
      <c r="H2199" s="160"/>
      <c r="I2199" s="160"/>
      <c r="J2199" s="160"/>
      <c r="K2199" s="160">
        <f>IF($K$2030&gt;0,'Assumptions (Biomass)'!V$11*Model!$K$2030*AVERAGE('Assumptions (Biomass)'!$G$2:$I$2)/10^9,0)</f>
        <v>0.001700916042</v>
      </c>
      <c r="L2199" s="160">
        <f>IF($K$2030&gt;0,'Assumptions (Biomass)'!W$11*Model!$K$2030*AVERAGE('Assumptions (Biomass)'!$G$2:$I$2)/10^9,0)</f>
        <v>0.00323174048</v>
      </c>
      <c r="M2199" s="160">
        <f>IF($K$2030&gt;0,'Assumptions (Biomass)'!X$11*Model!$K$2030*AVERAGE('Assumptions (Biomass)'!$G$2:$I$2)/10^9,0)</f>
        <v>0.002908566432</v>
      </c>
      <c r="N2199" s="160">
        <f>IF($K$2030&gt;0,'Assumptions (Biomass)'!Y$11*Model!$K$2030*AVERAGE('Assumptions (Biomass)'!$G$2:$I$2)/10^9,0)</f>
        <v>0.002619410705</v>
      </c>
      <c r="O2199" s="160">
        <f>IF($K$2030&gt;0,'Assumptions (Biomass)'!Z$11*Model!$K$2030*AVERAGE('Assumptions (Biomass)'!$G$2:$I$2)/10^9,0)</f>
        <v>0.002357469634</v>
      </c>
      <c r="P2199" s="160">
        <f>IF($K$2030&gt;0,'Assumptions (Biomass)'!AA$11*Model!$K$2030*AVERAGE('Assumptions (Biomass)'!$G$2:$I$2)/10^9,0)</f>
        <v>0.002119341389</v>
      </c>
      <c r="Q2199" s="160">
        <f>IF($K$2030&gt;0,'Assumptions (Biomass)'!AB$11*Model!$K$2030*AVERAGE('Assumptions (Biomass)'!$G$2:$I$2)/10^9,0)</f>
        <v>0.00200708093</v>
      </c>
      <c r="R2199" s="160">
        <f>IF($K$2030&gt;0,'Assumptions (Biomass)'!AC$11*Model!$K$2030*AVERAGE('Assumptions (Biomass)'!$G$2:$I$2)/10^9,0)</f>
        <v>0.00200708093</v>
      </c>
      <c r="S2199" s="160">
        <f>IF($K$2030&gt;0,'Assumptions (Biomass)'!AD$11*Model!$K$2030*AVERAGE('Assumptions (Biomass)'!$G$2:$I$2)/10^9,0)</f>
        <v>0.002010482762</v>
      </c>
      <c r="T2199" s="160">
        <f>IF($K$2030&gt;0,'Assumptions (Biomass)'!AE$11*Model!$K$2030*AVERAGE('Assumptions (Biomass)'!$G$2:$I$2)/10^9,0)</f>
        <v>0.00200708093</v>
      </c>
      <c r="U2199" s="160">
        <f>IF($K$2030&gt;0,'Assumptions (Biomass)'!AF$11*Model!$K$2030*AVERAGE('Assumptions (Biomass)'!$G$2:$I$2)/10^9,0)</f>
        <v>0.002010482762</v>
      </c>
      <c r="V2199" s="160">
        <f>IF($K$2030&gt;0,'Assumptions (Biomass)'!AG$11*Model!$K$2030*AVERAGE('Assumptions (Biomass)'!$G$2:$I$2)/10^9,0)</f>
        <v>0.00200708093</v>
      </c>
      <c r="W2199" s="160">
        <f>IF($K$2030&gt;0,'Assumptions (Biomass)'!AH$11*Model!$K$2030*AVERAGE('Assumptions (Biomass)'!$G$2:$I$2)/10^9,0)</f>
        <v>0.002010482762</v>
      </c>
      <c r="X2199" s="160">
        <f>IF($K$2030&gt;0,'Assumptions (Biomass)'!AI$11*Model!$K$2030*AVERAGE('Assumptions (Biomass)'!$G$2:$I$2)/10^9,0)</f>
        <v>0.00200708093</v>
      </c>
      <c r="Y2199" s="160">
        <f>IF($K$2030&gt;0,'Assumptions (Biomass)'!AJ$11*Model!$K$2030*AVERAGE('Assumptions (Biomass)'!$G$2:$I$2)/10^9,0)</f>
        <v>0.002010482762</v>
      </c>
      <c r="Z2199" s="160">
        <f>IF($K$2030&gt;0,'Assumptions (Biomass)'!AK$11*Model!$K$2030*AVERAGE('Assumptions (Biomass)'!$G$2:$I$2)/10^9,0)</f>
        <v>0.001003540465</v>
      </c>
      <c r="AA2199" s="160"/>
      <c r="AB2199" s="160"/>
      <c r="AC2199" s="160"/>
      <c r="AD2199" s="160"/>
      <c r="AE2199" s="160"/>
      <c r="AF2199" s="160"/>
      <c r="AG2199" s="160"/>
      <c r="AH2199" s="160"/>
      <c r="AI2199" s="160"/>
    </row>
    <row r="2200" ht="15.75" hidden="1" customHeight="1" outlineLevel="1">
      <c r="A2200" s="318"/>
      <c r="B2200" s="38"/>
      <c r="C2200" s="160"/>
      <c r="D2200" s="160"/>
      <c r="E2200" s="160"/>
      <c r="F2200" s="160"/>
      <c r="G2200" s="160"/>
      <c r="H2200" s="160"/>
      <c r="I2200" s="160"/>
      <c r="J2200" s="160"/>
      <c r="K2200" s="160"/>
      <c r="L2200" s="160">
        <f>IF($L$2030&gt;0,'Assumptions (Biomass)'!V$11*Model!$L$2030*AVERAGE('Assumptions (Biomass)'!$H$2:$J$2)/10^9,0)</f>
        <v>0.003161292208</v>
      </c>
      <c r="M2200" s="160">
        <f>IF($L$2030&gt;0,'Assumptions (Biomass)'!W$11*Model!$L$2030*AVERAGE('Assumptions (Biomass)'!$H$2:$J$2)/10^9,0)</f>
        <v>0.006006455195</v>
      </c>
      <c r="N2200" s="160">
        <f>IF($L$2030&gt;0,'Assumptions (Biomass)'!X$11*Model!$L$2030*AVERAGE('Assumptions (Biomass)'!$H$2:$J$2)/10^9,0)</f>
        <v>0.005405809676</v>
      </c>
      <c r="O2200" s="160">
        <f>IF($L$2030&gt;0,'Assumptions (Biomass)'!Y$11*Model!$L$2030*AVERAGE('Assumptions (Biomass)'!$H$2:$J$2)/10^9,0)</f>
        <v>0.00486839</v>
      </c>
      <c r="P2200" s="160">
        <f>IF($L$2030&gt;0,'Assumptions (Biomass)'!Z$11*Model!$L$2030*AVERAGE('Assumptions (Biomass)'!$H$2:$J$2)/10^9,0)</f>
        <v>0.004381551</v>
      </c>
      <c r="Q2200" s="160">
        <f>IF($L$2030&gt;0,'Assumptions (Biomass)'!AA$11*Model!$L$2030*AVERAGE('Assumptions (Biomass)'!$H$2:$J$2)/10^9,0)</f>
        <v>0.003938970091</v>
      </c>
      <c r="R2200" s="160">
        <f>IF($L$2030&gt;0,'Assumptions (Biomass)'!AB$11*Model!$L$2030*AVERAGE('Assumptions (Biomass)'!$H$2:$J$2)/10^9,0)</f>
        <v>0.003730324805</v>
      </c>
      <c r="S2200" s="160">
        <f>IF($L$2030&gt;0,'Assumptions (Biomass)'!AC$11*Model!$L$2030*AVERAGE('Assumptions (Biomass)'!$H$2:$J$2)/10^9,0)</f>
        <v>0.003730324805</v>
      </c>
      <c r="T2200" s="160">
        <f>IF($L$2030&gt;0,'Assumptions (Biomass)'!AD$11*Model!$L$2030*AVERAGE('Assumptions (Biomass)'!$H$2:$J$2)/10^9,0)</f>
        <v>0.00373664739</v>
      </c>
      <c r="U2200" s="160">
        <f>IF($L$2030&gt;0,'Assumptions (Biomass)'!AE$11*Model!$L$2030*AVERAGE('Assumptions (Biomass)'!$H$2:$J$2)/10^9,0)</f>
        <v>0.003730324805</v>
      </c>
      <c r="V2200" s="160">
        <f>IF($L$2030&gt;0,'Assumptions (Biomass)'!AF$11*Model!$L$2030*AVERAGE('Assumptions (Biomass)'!$H$2:$J$2)/10^9,0)</f>
        <v>0.00373664739</v>
      </c>
      <c r="W2200" s="160">
        <f>IF($L$2030&gt;0,'Assumptions (Biomass)'!AG$11*Model!$L$2030*AVERAGE('Assumptions (Biomass)'!$H$2:$J$2)/10^9,0)</f>
        <v>0.003730324805</v>
      </c>
      <c r="X2200" s="160">
        <f>IF($L$2030&gt;0,'Assumptions (Biomass)'!AH$11*Model!$L$2030*AVERAGE('Assumptions (Biomass)'!$H$2:$J$2)/10^9,0)</f>
        <v>0.00373664739</v>
      </c>
      <c r="Y2200" s="160">
        <f>IF($L$2030&gt;0,'Assumptions (Biomass)'!AI$11*Model!$L$2030*AVERAGE('Assumptions (Biomass)'!$H$2:$J$2)/10^9,0)</f>
        <v>0.003730324805</v>
      </c>
      <c r="Z2200" s="160">
        <f>IF($L$2030&gt;0,'Assumptions (Biomass)'!AJ$11*Model!$L$2030*AVERAGE('Assumptions (Biomass)'!$H$2:$J$2)/10^9,0)</f>
        <v>0.00373664739</v>
      </c>
      <c r="AA2200" s="160">
        <f>IF($L$2030&gt;0,'Assumptions (Biomass)'!AK$11*Model!$L$2030*AVERAGE('Assumptions (Biomass)'!$H$2:$J$2)/10^9,0)</f>
        <v>0.001865162403</v>
      </c>
      <c r="AB2200" s="160"/>
      <c r="AC2200" s="160"/>
      <c r="AD2200" s="160"/>
      <c r="AE2200" s="160"/>
      <c r="AF2200" s="160"/>
      <c r="AG2200" s="160"/>
      <c r="AH2200" s="160"/>
      <c r="AI2200" s="160"/>
      <c r="AJ2200" s="160"/>
    </row>
    <row r="2201" ht="15.75" hidden="1" customHeight="1" outlineLevel="1">
      <c r="A2201" s="318"/>
      <c r="B2201" s="38"/>
      <c r="C2201" s="160"/>
      <c r="D2201" s="160"/>
      <c r="E2201" s="160"/>
      <c r="F2201" s="160"/>
      <c r="G2201" s="160"/>
      <c r="H2201" s="160"/>
      <c r="I2201" s="160"/>
      <c r="J2201" s="160"/>
      <c r="K2201" s="160"/>
      <c r="L2201" s="160"/>
      <c r="M2201" s="160">
        <f>IF($M$2030&gt;0,'Assumptions (Biomass)'!V$11*Model!$M$2030*AVERAGE('Assumptions (Biomass)'!$I$2:$K$2)/10^9,0)</f>
        <v>0.02028612526</v>
      </c>
      <c r="N2201" s="160">
        <f>IF($M$2030&gt;0,'Assumptions (Biomass)'!W$11*Model!$M$2030*AVERAGE('Assumptions (Biomass)'!$I$2:$K$2)/10^9,0)</f>
        <v>0.038543638</v>
      </c>
      <c r="O2201" s="160">
        <f>IF($M$2030&gt;0,'Assumptions (Biomass)'!X$11*Model!$M$2030*AVERAGE('Assumptions (Biomass)'!$I$2:$K$2)/10^9,0)</f>
        <v>0.0346892742</v>
      </c>
      <c r="P2201" s="160">
        <f>IF($M$2030&gt;0,'Assumptions (Biomass)'!Y$11*Model!$M$2030*AVERAGE('Assumptions (Biomass)'!$I$2:$K$2)/10^9,0)</f>
        <v>0.0312406329</v>
      </c>
      <c r="Q2201" s="160">
        <f>IF($M$2030&gt;0,'Assumptions (Biomass)'!Z$11*Model!$M$2030*AVERAGE('Assumptions (Biomass)'!$I$2:$K$2)/10^9,0)</f>
        <v>0.02811656961</v>
      </c>
      <c r="R2201" s="160">
        <f>IF($M$2030&gt;0,'Assumptions (Biomass)'!AA$11*Model!$M$2030*AVERAGE('Assumptions (Biomass)'!$I$2:$K$2)/10^9,0)</f>
        <v>0.02527651208</v>
      </c>
      <c r="S2201" s="160">
        <f>IF($M$2030&gt;0,'Assumptions (Biomass)'!AB$11*Model!$M$2030*AVERAGE('Assumptions (Biomass)'!$I$2:$K$2)/10^9,0)</f>
        <v>0.02393762781</v>
      </c>
      <c r="T2201" s="160">
        <f>IF($M$2030&gt;0,'Assumptions (Biomass)'!AC$11*Model!$M$2030*AVERAGE('Assumptions (Biomass)'!$I$2:$K$2)/10^9,0)</f>
        <v>0.02393762781</v>
      </c>
      <c r="U2201" s="160">
        <f>IF($M$2030&gt;0,'Assumptions (Biomass)'!AD$11*Model!$M$2030*AVERAGE('Assumptions (Biomass)'!$I$2:$K$2)/10^9,0)</f>
        <v>0.02397820006</v>
      </c>
      <c r="V2201" s="160">
        <f>IF($M$2030&gt;0,'Assumptions (Biomass)'!AE$11*Model!$M$2030*AVERAGE('Assumptions (Biomass)'!$I$2:$K$2)/10^9,0)</f>
        <v>0.02393762781</v>
      </c>
      <c r="W2201" s="160">
        <f>IF($M$2030&gt;0,'Assumptions (Biomass)'!AF$11*Model!$M$2030*AVERAGE('Assumptions (Biomass)'!$I$2:$K$2)/10^9,0)</f>
        <v>0.02397820006</v>
      </c>
      <c r="X2201" s="160">
        <f>IF($M$2030&gt;0,'Assumptions (Biomass)'!AG$11*Model!$M$2030*AVERAGE('Assumptions (Biomass)'!$I$2:$K$2)/10^9,0)</f>
        <v>0.02393762781</v>
      </c>
      <c r="Y2201" s="160">
        <f>IF($M$2030&gt;0,'Assumptions (Biomass)'!AH$11*Model!$M$2030*AVERAGE('Assumptions (Biomass)'!$I$2:$K$2)/10^9,0)</f>
        <v>0.02397820006</v>
      </c>
      <c r="Z2201" s="160">
        <f>IF($M$2030&gt;0,'Assumptions (Biomass)'!AI$11*Model!$M$2030*AVERAGE('Assumptions (Biomass)'!$I$2:$K$2)/10^9,0)</f>
        <v>0.02393762781</v>
      </c>
      <c r="AA2201" s="160">
        <f>IF($M$2030&gt;0,'Assumptions (Biomass)'!AJ$11*Model!$M$2030*AVERAGE('Assumptions (Biomass)'!$I$2:$K$2)/10^9,0)</f>
        <v>0.02397820006</v>
      </c>
      <c r="AB2201" s="160">
        <f>IF($M$2030&gt;0,'Assumptions (Biomass)'!AK$11*Model!$M$2030*AVERAGE('Assumptions (Biomass)'!$I$2:$K$2)/10^9,0)</f>
        <v>0.0119688139</v>
      </c>
      <c r="AC2201" s="160"/>
      <c r="AD2201" s="160"/>
      <c r="AE2201" s="160"/>
      <c r="AF2201" s="160"/>
      <c r="AG2201" s="160"/>
      <c r="AH2201" s="160"/>
      <c r="AI2201" s="160"/>
      <c r="AJ2201" s="160"/>
      <c r="AK2201" s="160"/>
    </row>
    <row r="2202" ht="15.75" hidden="1" customHeight="1" outlineLevel="1">
      <c r="A2202" s="318"/>
      <c r="B2202" s="38"/>
      <c r="C2202" s="160"/>
      <c r="D2202" s="160"/>
      <c r="E2202" s="160"/>
      <c r="F2202" s="160"/>
      <c r="G2202" s="160"/>
      <c r="H2202" s="160"/>
      <c r="I2202" s="160"/>
      <c r="J2202" s="160"/>
      <c r="K2202" s="160"/>
      <c r="L2202" s="160"/>
      <c r="M2202" s="160"/>
      <c r="N2202" s="160">
        <f>IF($N$2030&gt;0,'Assumptions (Biomass)'!V$11*Model!$N$2030*AVERAGE('Assumptions (Biomass)'!$J$2:$L$2)/10^9,0)</f>
        <v>0.01846802962</v>
      </c>
      <c r="O2202" s="160">
        <f>IF($N$2030&gt;0,'Assumptions (Biomass)'!W$11*Model!$N$2030*AVERAGE('Assumptions (Biomass)'!$J$2:$L$2)/10^9,0)</f>
        <v>0.03508925629</v>
      </c>
      <c r="P2202" s="160">
        <f>IF($N$2030&gt;0,'Assumptions (Biomass)'!X$11*Model!$N$2030*AVERAGE('Assumptions (Biomass)'!$J$2:$L$2)/10^9,0)</f>
        <v>0.03158033066</v>
      </c>
      <c r="Q2202" s="160">
        <f>IF($N$2030&gt;0,'Assumptions (Biomass)'!Y$11*Model!$N$2030*AVERAGE('Assumptions (Biomass)'!$J$2:$L$2)/10^9,0)</f>
        <v>0.02844076562</v>
      </c>
      <c r="R2202" s="160">
        <f>IF($N$2030&gt;0,'Assumptions (Biomass)'!Z$11*Model!$N$2030*AVERAGE('Assumptions (Biomass)'!$J$2:$L$2)/10^9,0)</f>
        <v>0.02559668906</v>
      </c>
      <c r="S2202" s="160">
        <f>IF($N$2030&gt;0,'Assumptions (Biomass)'!AA$11*Model!$N$2030*AVERAGE('Assumptions (Biomass)'!$J$2:$L$2)/10^9,0)</f>
        <v>0.02301116491</v>
      </c>
      <c r="T2202" s="160">
        <f>IF($N$2030&gt;0,'Assumptions (Biomass)'!AB$11*Model!$N$2030*AVERAGE('Assumptions (Biomass)'!$J$2:$L$2)/10^9,0)</f>
        <v>0.02179227496</v>
      </c>
      <c r="U2202" s="160">
        <f>IF($N$2030&gt;0,'Assumptions (Biomass)'!AC$11*Model!$N$2030*AVERAGE('Assumptions (Biomass)'!$J$2:$L$2)/10^9,0)</f>
        <v>0.02179227496</v>
      </c>
      <c r="V2202" s="160">
        <f>IF($N$2030&gt;0,'Assumptions (Biomass)'!AD$11*Model!$N$2030*AVERAGE('Assumptions (Biomass)'!$J$2:$L$2)/10^9,0)</f>
        <v>0.02182921102</v>
      </c>
      <c r="W2202" s="160">
        <f>IF($N$2030&gt;0,'Assumptions (Biomass)'!AE$11*Model!$N$2030*AVERAGE('Assumptions (Biomass)'!$J$2:$L$2)/10^9,0)</f>
        <v>0.02179227496</v>
      </c>
      <c r="X2202" s="160">
        <f>IF($N$2030&gt;0,'Assumptions (Biomass)'!AF$11*Model!$N$2030*AVERAGE('Assumptions (Biomass)'!$J$2:$L$2)/10^9,0)</f>
        <v>0.02182921102</v>
      </c>
      <c r="Y2202" s="160">
        <f>IF($N$2030&gt;0,'Assumptions (Biomass)'!AG$11*Model!$N$2030*AVERAGE('Assumptions (Biomass)'!$J$2:$L$2)/10^9,0)</f>
        <v>0.02179227496</v>
      </c>
      <c r="Z2202" s="160">
        <f>IF($N$2030&gt;0,'Assumptions (Biomass)'!AH$11*Model!$N$2030*AVERAGE('Assumptions (Biomass)'!$J$2:$L$2)/10^9,0)</f>
        <v>0.02182921102</v>
      </c>
      <c r="AA2202" s="160">
        <f>IF($N$2030&gt;0,'Assumptions (Biomass)'!AI$11*Model!$N$2030*AVERAGE('Assumptions (Biomass)'!$J$2:$L$2)/10^9,0)</f>
        <v>0.02179227496</v>
      </c>
      <c r="AB2202" s="160">
        <f>IF($N$2030&gt;0,'Assumptions (Biomass)'!AJ$11*Model!$N$2030*AVERAGE('Assumptions (Biomass)'!$J$2:$L$2)/10^9,0)</f>
        <v>0.02182921102</v>
      </c>
      <c r="AC2202" s="160">
        <f>IF($N$2030&gt;0,'Assumptions (Biomass)'!AK$11*Model!$N$2030*AVERAGE('Assumptions (Biomass)'!$J$2:$L$2)/10^9,0)</f>
        <v>0.01089613748</v>
      </c>
      <c r="AD2202" s="160"/>
      <c r="AE2202" s="160"/>
      <c r="AF2202" s="160"/>
      <c r="AG2202" s="160"/>
      <c r="AH2202" s="160"/>
      <c r="AI2202" s="160"/>
      <c r="AJ2202" s="160"/>
      <c r="AK2202" s="160"/>
    </row>
    <row r="2203" ht="15.75" hidden="1" customHeight="1" outlineLevel="1">
      <c r="A2203" s="318"/>
      <c r="B2203" s="38"/>
      <c r="C2203" s="160"/>
      <c r="D2203" s="160"/>
      <c r="E2203" s="160"/>
      <c r="F2203" s="160"/>
      <c r="G2203" s="160"/>
      <c r="H2203" s="160"/>
      <c r="I2203" s="160"/>
      <c r="J2203" s="160"/>
      <c r="K2203" s="160"/>
      <c r="L2203" s="160"/>
      <c r="M2203" s="160"/>
      <c r="N2203" s="160"/>
      <c r="O2203" s="160">
        <f>IF($O$2030&gt;0,'Assumptions (Biomass)'!V$11*Model!$O$2030*AVERAGE('Assumptions (Biomass)'!$K$2:$M$2)/10^9,0)</f>
        <v>0.00937702757</v>
      </c>
      <c r="P2203" s="160">
        <f>IF($O$2030&gt;0,'Assumptions (Biomass)'!W$11*Model!$O$2030*AVERAGE('Assumptions (Biomass)'!$K$2:$M$2)/10^9,0)</f>
        <v>0.01781635238</v>
      </c>
      <c r="Q2203" s="160">
        <f>IF($O$2030&gt;0,'Assumptions (Biomass)'!X$11*Model!$O$2030*AVERAGE('Assumptions (Biomass)'!$K$2:$M$2)/10^9,0)</f>
        <v>0.01603471715</v>
      </c>
      <c r="R2203" s="160">
        <f>IF($O$2030&gt;0,'Assumptions (Biomass)'!Y$11*Model!$O$2030*AVERAGE('Assumptions (Biomass)'!$K$2:$M$2)/10^9,0)</f>
        <v>0.01444062246</v>
      </c>
      <c r="S2203" s="160">
        <f>IF($O$2030&gt;0,'Assumptions (Biomass)'!Z$11*Model!$O$2030*AVERAGE('Assumptions (Biomass)'!$K$2:$M$2)/10^9,0)</f>
        <v>0.01299656021</v>
      </c>
      <c r="T2203" s="160">
        <f>IF($O$2030&gt;0,'Assumptions (Biomass)'!AA$11*Model!$O$2030*AVERAGE('Assumptions (Biomass)'!$K$2:$M$2)/10^9,0)</f>
        <v>0.01168377635</v>
      </c>
      <c r="U2203" s="160">
        <f>IF($O$2030&gt;0,'Assumptions (Biomass)'!AB$11*Model!$O$2030*AVERAGE('Assumptions (Biomass)'!$K$2:$M$2)/10^9,0)</f>
        <v>0.01106489253</v>
      </c>
      <c r="V2203" s="160">
        <f>IF($O$2030&gt;0,'Assumptions (Biomass)'!AC$11*Model!$O$2030*AVERAGE('Assumptions (Biomass)'!$K$2:$M$2)/10^9,0)</f>
        <v>0.01106489253</v>
      </c>
      <c r="W2203" s="160">
        <f>IF($O$2030&gt;0,'Assumptions (Biomass)'!AD$11*Model!$O$2030*AVERAGE('Assumptions (Biomass)'!$K$2:$M$2)/10^9,0)</f>
        <v>0.01108364659</v>
      </c>
      <c r="X2203" s="160">
        <f>IF($O$2030&gt;0,'Assumptions (Biomass)'!AE$11*Model!$O$2030*AVERAGE('Assumptions (Biomass)'!$K$2:$M$2)/10^9,0)</f>
        <v>0.01106489253</v>
      </c>
      <c r="Y2203" s="160">
        <f>IF($O$2030&gt;0,'Assumptions (Biomass)'!AF$11*Model!$O$2030*AVERAGE('Assumptions (Biomass)'!$K$2:$M$2)/10^9,0)</f>
        <v>0.01108364659</v>
      </c>
      <c r="Z2203" s="160">
        <f>IF($O$2030&gt;0,'Assumptions (Biomass)'!AG$11*Model!$O$2030*AVERAGE('Assumptions (Biomass)'!$K$2:$M$2)/10^9,0)</f>
        <v>0.01106489253</v>
      </c>
      <c r="AA2203" s="160">
        <f>IF($O$2030&gt;0,'Assumptions (Biomass)'!AH$11*Model!$O$2030*AVERAGE('Assumptions (Biomass)'!$K$2:$M$2)/10^9,0)</f>
        <v>0.01108364659</v>
      </c>
      <c r="AB2203" s="160">
        <f>IF($O$2030&gt;0,'Assumptions (Biomass)'!AI$11*Model!$O$2030*AVERAGE('Assumptions (Biomass)'!$K$2:$M$2)/10^9,0)</f>
        <v>0.01106489253</v>
      </c>
      <c r="AC2203" s="160">
        <f>IF($O$2030&gt;0,'Assumptions (Biomass)'!AJ$11*Model!$O$2030*AVERAGE('Assumptions (Biomass)'!$K$2:$M$2)/10^9,0)</f>
        <v>0.01108364659</v>
      </c>
      <c r="AD2203" s="160">
        <f>IF($O$2030&gt;0,'Assumptions (Biomass)'!AK$11*Model!$O$2030*AVERAGE('Assumptions (Biomass)'!$K$2:$M$2)/10^9,0)</f>
        <v>0.005532446267</v>
      </c>
      <c r="AE2203" s="160"/>
      <c r="AF2203" s="160"/>
      <c r="AG2203" s="160"/>
      <c r="AH2203" s="160"/>
      <c r="AI2203" s="160"/>
      <c r="AJ2203" s="160"/>
      <c r="AK2203" s="160"/>
    </row>
    <row r="2204" ht="15.75" hidden="1" customHeight="1" outlineLevel="1">
      <c r="A2204" s="318"/>
      <c r="B2204" s="38"/>
      <c r="C2204" s="160"/>
      <c r="D2204" s="160"/>
      <c r="E2204" s="160"/>
      <c r="F2204" s="160"/>
      <c r="G2204" s="160"/>
      <c r="H2204" s="177"/>
      <c r="I2204" s="160"/>
      <c r="J2204" s="160"/>
      <c r="K2204" s="160"/>
      <c r="L2204" s="160"/>
      <c r="M2204" s="160"/>
      <c r="N2204" s="160"/>
      <c r="O2204" s="160"/>
      <c r="P2204" s="177">
        <f>IF($P$2030&gt;0,'Assumptions (Biomass)'!V$11*Model!$P$2030*AVERAGE('Assumptions (Biomass)'!$L$2:$N$2)/10^9,0)</f>
        <v>0.03323207276</v>
      </c>
      <c r="Q2204" s="177">
        <f>IF($P$2030&gt;0,'Assumptions (Biomass)'!W$11*Model!$P$2030*AVERAGE('Assumptions (Biomass)'!$L$2:$N$2)/10^9,0)</f>
        <v>0.06314093824</v>
      </c>
      <c r="R2204" s="177">
        <f>IF($P$2030&gt;0,'Assumptions (Biomass)'!X$11*Model!$P$2030*AVERAGE('Assumptions (Biomass)'!$L$2:$N$2)/10^9,0)</f>
        <v>0.05682684441</v>
      </c>
      <c r="S2204" s="177">
        <f>IF($P$2030&gt;0,'Assumptions (Biomass)'!Y$11*Model!$P$2030*AVERAGE('Assumptions (Biomass)'!$L$2:$N$2)/10^9,0)</f>
        <v>0.05117739205</v>
      </c>
      <c r="T2204" s="177">
        <f>IF($P$2030&gt;0,'Assumptions (Biomass)'!Z$11*Model!$P$2030*AVERAGE('Assumptions (Biomass)'!$L$2:$N$2)/10^9,0)</f>
        <v>0.04605965284</v>
      </c>
      <c r="U2204" s="177">
        <f>IF($P$2030&gt;0,'Assumptions (Biomass)'!AA$11*Model!$P$2030*AVERAGE('Assumptions (Biomass)'!$L$2:$N$2)/10^9,0)</f>
        <v>0.04140716266</v>
      </c>
      <c r="V2204" s="177">
        <f>IF($P$2030&gt;0,'Assumptions (Biomass)'!AB$11*Model!$P$2030*AVERAGE('Assumptions (Biomass)'!$L$2:$N$2)/10^9,0)</f>
        <v>0.03921384585</v>
      </c>
      <c r="W2204" s="177">
        <f>IF($P$2030&gt;0,'Assumptions (Biomass)'!AC$11*Model!$P$2030*AVERAGE('Assumptions (Biomass)'!$L$2:$N$2)/10^9,0)</f>
        <v>0.03921384585</v>
      </c>
      <c r="X2204" s="177">
        <f>IF($P$2030&gt;0,'Assumptions (Biomass)'!AD$11*Model!$P$2030*AVERAGE('Assumptions (Biomass)'!$L$2:$N$2)/10^9,0)</f>
        <v>0.03928031</v>
      </c>
      <c r="Y2204" s="177">
        <f>IF($P$2030&gt;0,'Assumptions (Biomass)'!AE$11*Model!$P$2030*AVERAGE('Assumptions (Biomass)'!$L$2:$N$2)/10^9,0)</f>
        <v>0.03921384585</v>
      </c>
      <c r="Z2204" s="177">
        <f>IF($P$2030&gt;0,'Assumptions (Biomass)'!AF$11*Model!$P$2030*AVERAGE('Assumptions (Biomass)'!$L$2:$N$2)/10^9,0)</f>
        <v>0.03928031</v>
      </c>
      <c r="AA2204" s="177">
        <f>IF($P$2030&gt;0,'Assumptions (Biomass)'!AG$11*Model!$P$2030*AVERAGE('Assumptions (Biomass)'!$L$2:$N$2)/10^9,0)</f>
        <v>0.03921384585</v>
      </c>
      <c r="AB2204" s="177">
        <f>IF($P$2030&gt;0,'Assumptions (Biomass)'!AH$11*Model!$P$2030*AVERAGE('Assumptions (Biomass)'!$L$2:$N$2)/10^9,0)</f>
        <v>0.03928031</v>
      </c>
      <c r="AC2204" s="177">
        <f>IF($P$2030&gt;0,'Assumptions (Biomass)'!AI$11*Model!$P$2030*AVERAGE('Assumptions (Biomass)'!$L$2:$N$2)/10^9,0)</f>
        <v>0.03921384585</v>
      </c>
      <c r="AD2204" s="177">
        <f>IF($P$2030&gt;0,'Assumptions (Biomass)'!AJ$11*Model!$P$2030*AVERAGE('Assumptions (Biomass)'!$L$2:$N$2)/10^9,0)</f>
        <v>0.03928031</v>
      </c>
      <c r="AE2204" s="177">
        <f>IF($P$2030&gt;0,'Assumptions (Biomass)'!AK$11*Model!$P$2030*AVERAGE('Assumptions (Biomass)'!$L$2:$N$2)/10^9,0)</f>
        <v>0.01960692293</v>
      </c>
      <c r="AF2204" s="177"/>
      <c r="AG2204" s="177"/>
      <c r="AH2204" s="177"/>
      <c r="AI2204" s="177"/>
      <c r="AJ2204" s="177"/>
      <c r="AK2204" s="177"/>
    </row>
    <row r="2205" ht="15.75" hidden="1" customHeight="1" outlineLevel="1">
      <c r="A2205" s="318"/>
      <c r="B2205" s="38"/>
      <c r="C2205" s="160"/>
      <c r="D2205" s="160"/>
      <c r="E2205" s="160"/>
      <c r="F2205" s="160"/>
      <c r="G2205" s="160"/>
      <c r="H2205" s="160"/>
      <c r="I2205" s="160"/>
      <c r="J2205" s="160"/>
      <c r="K2205" s="160"/>
      <c r="L2205" s="160"/>
      <c r="M2205" s="160"/>
      <c r="N2205" s="160"/>
      <c r="O2205" s="160"/>
      <c r="P2205" s="179"/>
      <c r="Q2205" s="160">
        <f>IF($Q$2030&gt;0,'Assumptions (Biomass)'!V$11*Model!$Q$2030*AVERAGE('Assumptions (Biomass)'!$L$2:$O$2)/10^9,0)</f>
        <v>0.01888659858</v>
      </c>
      <c r="R2205" s="160">
        <f>IF($Q$2030&gt;0,'Assumptions (Biomass)'!W$11*Model!$Q$2030*AVERAGE('Assumptions (Biomass)'!$L$2:$O$2)/10^9,0)</f>
        <v>0.03588453731</v>
      </c>
      <c r="S2205" s="160">
        <f>IF($Q$2030&gt;0,'Assumptions (Biomass)'!X$11*Model!$Q$2030*AVERAGE('Assumptions (Biomass)'!$L$2:$O$2)/10^9,0)</f>
        <v>0.03229608358</v>
      </c>
      <c r="T2205" s="160">
        <f>IF($Q$2030&gt;0,'Assumptions (Biomass)'!Y$11*Model!$Q$2030*AVERAGE('Assumptions (Biomass)'!$L$2:$O$2)/10^9,0)</f>
        <v>0.02908536182</v>
      </c>
      <c r="U2205" s="160">
        <f>IF($Q$2030&gt;0,'Assumptions (Biomass)'!Z$11*Model!$Q$2030*AVERAGE('Assumptions (Biomass)'!$L$2:$O$2)/10^9,0)</f>
        <v>0.02617682564</v>
      </c>
      <c r="V2205" s="160">
        <f>IF($Q$2030&gt;0,'Assumptions (Biomass)'!AA$11*Model!$Q$2030*AVERAGE('Assumptions (Biomass)'!$L$2:$O$2)/10^9,0)</f>
        <v>0.02353270184</v>
      </c>
      <c r="W2205" s="160">
        <f>IF($Q$2030&gt;0,'Assumptions (Biomass)'!AB$11*Model!$Q$2030*AVERAGE('Assumptions (Biomass)'!$L$2:$O$2)/10^9,0)</f>
        <v>0.02228618633</v>
      </c>
      <c r="X2205" s="160">
        <f>IF($Q$2030&gt;0,'Assumptions (Biomass)'!AC$11*Model!$Q$2030*AVERAGE('Assumptions (Biomass)'!$L$2:$O$2)/10^9,0)</f>
        <v>0.02228618633</v>
      </c>
      <c r="Y2205" s="160">
        <f>IF($Q$2030&gt;0,'Assumptions (Biomass)'!AD$11*Model!$Q$2030*AVERAGE('Assumptions (Biomass)'!$L$2:$O$2)/10^9,0)</f>
        <v>0.02232395953</v>
      </c>
      <c r="Z2205" s="160">
        <f>IF($Q$2030&gt;0,'Assumptions (Biomass)'!AE$11*Model!$Q$2030*AVERAGE('Assumptions (Biomass)'!$L$2:$O$2)/10^9,0)</f>
        <v>0.02228618633</v>
      </c>
      <c r="AA2205" s="160">
        <f>IF($Q$2030&gt;0,'Assumptions (Biomass)'!AF$11*Model!$Q$2030*AVERAGE('Assumptions (Biomass)'!$L$2:$O$2)/10^9,0)</f>
        <v>0.02232395953</v>
      </c>
      <c r="AB2205" s="160">
        <f>IF($Q$2030&gt;0,'Assumptions (Biomass)'!AG$11*Model!$Q$2030*AVERAGE('Assumptions (Biomass)'!$L$2:$O$2)/10^9,0)</f>
        <v>0.02228618633</v>
      </c>
      <c r="AC2205" s="160">
        <f>IF($Q$2030&gt;0,'Assumptions (Biomass)'!AH$11*Model!$Q$2030*AVERAGE('Assumptions (Biomass)'!$L$2:$O$2)/10^9,0)</f>
        <v>0.02232395953</v>
      </c>
      <c r="AD2205" s="160">
        <f>IF($Q$2030&gt;0,'Assumptions (Biomass)'!AI$11*Model!$Q$2030*AVERAGE('Assumptions (Biomass)'!$L$2:$O$2)/10^9,0)</f>
        <v>0.02228618633</v>
      </c>
      <c r="AE2205" s="160">
        <f>IF($Q$2030&gt;0,'Assumptions (Biomass)'!AJ$11*Model!$Q$2030*AVERAGE('Assumptions (Biomass)'!$L$2:$O$2)/10^9,0)</f>
        <v>0.02232395953</v>
      </c>
      <c r="AF2205" s="160">
        <f>IF($Q$2030&gt;0,'Assumptions (Biomass)'!AK$11*Model!$Q$2030*AVERAGE('Assumptions (Biomass)'!$L$2:$O$2)/10^9,0)</f>
        <v>0.01114309316</v>
      </c>
      <c r="AG2205" s="160"/>
      <c r="AH2205" s="160"/>
      <c r="AI2205" s="160"/>
      <c r="AJ2205" s="160"/>
      <c r="AK2205" s="160"/>
    </row>
    <row r="2206" ht="15.75" hidden="1" customHeight="1" outlineLevel="1">
      <c r="A2206" s="318"/>
      <c r="B2206" s="38"/>
      <c r="C2206" s="160"/>
      <c r="D2206" s="160"/>
      <c r="E2206" s="160"/>
      <c r="F2206" s="160"/>
      <c r="G2206" s="160"/>
      <c r="H2206" s="160"/>
      <c r="I2206" s="160"/>
      <c r="J2206" s="160"/>
      <c r="K2206" s="160"/>
      <c r="L2206" s="160"/>
      <c r="M2206" s="160"/>
      <c r="N2206" s="160"/>
      <c r="O2206" s="160"/>
      <c r="P2206" s="179"/>
      <c r="Q2206" s="160"/>
      <c r="R2206" s="177">
        <f>IF($R$2030&gt;0,'Assumptions (Biomass)'!V$11*Model!$R$2030*AVERAGE('Assumptions (Biomass)'!$M$2:$P$2)/10^9,0)</f>
        <v>0.00915606445</v>
      </c>
      <c r="S2206" s="177">
        <f>IF($R$2030&gt;0,'Assumptions (Biomass)'!W$11*Model!$R$2030*AVERAGE('Assumptions (Biomass)'!$M$2:$P$2)/10^9,0)</f>
        <v>0.01739652245</v>
      </c>
      <c r="T2206" s="177">
        <f>IF($R$2030&gt;0,'Assumptions (Biomass)'!X$11*Model!$R$2030*AVERAGE('Assumptions (Biomass)'!$M$2:$P$2)/10^9,0)</f>
        <v>0.01565687021</v>
      </c>
      <c r="U2206" s="177">
        <f>IF($R$2030&gt;0,'Assumptions (Biomass)'!Y$11*Model!$R$2030*AVERAGE('Assumptions (Biomass)'!$M$2:$P$2)/10^9,0)</f>
        <v>0.01410033925</v>
      </c>
      <c r="V2206" s="177">
        <f>IF($R$2030&gt;0,'Assumptions (Biomass)'!Z$11*Model!$R$2030*AVERAGE('Assumptions (Biomass)'!$M$2:$P$2)/10^9,0)</f>
        <v>0.01269030533</v>
      </c>
      <c r="W2206" s="177">
        <f>IF($R$2030&gt;0,'Assumptions (Biomass)'!AA$11*Model!$R$2030*AVERAGE('Assumptions (Biomass)'!$M$2:$P$2)/10^9,0)</f>
        <v>0.0114084563</v>
      </c>
      <c r="X2206" s="177">
        <f>IF($R$2030&gt;0,'Assumptions (Biomass)'!AB$11*Model!$R$2030*AVERAGE('Assumptions (Biomass)'!$M$2:$P$2)/10^9,0)</f>
        <v>0.01080415605</v>
      </c>
      <c r="Y2206" s="177">
        <f>IF($R$2030&gt;0,'Assumptions (Biomass)'!AC$11*Model!$R$2030*AVERAGE('Assumptions (Biomass)'!$M$2:$P$2)/10^9,0)</f>
        <v>0.01080415605</v>
      </c>
      <c r="Z2206" s="177">
        <f>IF($R$2030&gt;0,'Assumptions (Biomass)'!AD$11*Model!$R$2030*AVERAGE('Assumptions (Biomass)'!$M$2:$P$2)/10^9,0)</f>
        <v>0.01082246818</v>
      </c>
      <c r="AA2206" s="177">
        <f>IF($R$2030&gt;0,'Assumptions (Biomass)'!AE$11*Model!$R$2030*AVERAGE('Assumptions (Biomass)'!$M$2:$P$2)/10^9,0)</f>
        <v>0.01080415605</v>
      </c>
      <c r="AB2206" s="177">
        <f>IF($R$2030&gt;0,'Assumptions (Biomass)'!AF$11*Model!$R$2030*AVERAGE('Assumptions (Biomass)'!$M$2:$P$2)/10^9,0)</f>
        <v>0.01082246818</v>
      </c>
      <c r="AC2206" s="177">
        <f>IF($R$2030&gt;0,'Assumptions (Biomass)'!AG$11*Model!$R$2030*AVERAGE('Assumptions (Biomass)'!$M$2:$P$2)/10^9,0)</f>
        <v>0.01080415605</v>
      </c>
      <c r="AD2206" s="177">
        <f>IF($R$2030&gt;0,'Assumptions (Biomass)'!AH$11*Model!$R$2030*AVERAGE('Assumptions (Biomass)'!$M$2:$P$2)/10^9,0)</f>
        <v>0.01082246818</v>
      </c>
      <c r="AE2206" s="177">
        <f>IF($R$2030&gt;0,'Assumptions (Biomass)'!AI$11*Model!$R$2030*AVERAGE('Assumptions (Biomass)'!$M$2:$P$2)/10^9,0)</f>
        <v>0.01080415605</v>
      </c>
      <c r="AF2206" s="177">
        <f>IF($R$2030&gt;0,'Assumptions (Biomass)'!AJ$11*Model!$R$2030*AVERAGE('Assumptions (Biomass)'!$M$2:$P$2)/10^9,0)</f>
        <v>0.01082246818</v>
      </c>
      <c r="AG2206" s="177">
        <f>IF($R$2030&gt;0,'Assumptions (Biomass)'!AK$11*Model!$R$2030*AVERAGE('Assumptions (Biomass)'!$M$2:$P$2)/10^9,0)</f>
        <v>0.005402078025</v>
      </c>
      <c r="AH2206" s="177"/>
      <c r="AI2206" s="177"/>
      <c r="AJ2206" s="177"/>
      <c r="AK2206" s="177"/>
    </row>
    <row r="2207" ht="15.75" hidden="1" customHeight="1" outlineLevel="1">
      <c r="A2207" s="318"/>
      <c r="B2207" s="38"/>
      <c r="C2207" s="160"/>
      <c r="D2207" s="160"/>
      <c r="E2207" s="160"/>
      <c r="F2207" s="160"/>
      <c r="G2207" s="160"/>
      <c r="H2207" s="160"/>
      <c r="I2207" s="160"/>
      <c r="J2207" s="160"/>
      <c r="K2207" s="160"/>
      <c r="L2207" s="160"/>
      <c r="M2207" s="160"/>
      <c r="N2207" s="160"/>
      <c r="O2207" s="160"/>
      <c r="P2207" s="179"/>
      <c r="Q2207" s="160"/>
      <c r="R2207" s="177"/>
      <c r="S2207" s="160">
        <f>IF($S$2030&gt;0,'Assumptions (Biomass)'!V$11*Model!$S$2030*AVERAGE('Assumptions (Biomass)'!$O$2:$Q$2)/10^9,0)</f>
        <v>0.00598348202</v>
      </c>
      <c r="T2207" s="160">
        <f>IF($S$2030&gt;0,'Assumptions (Biomass)'!W$11*Model!$S$2030*AVERAGE('Assumptions (Biomass)'!$O$2:$Q$2)/10^9,0)</f>
        <v>0.01136861584</v>
      </c>
      <c r="U2207" s="160">
        <f>IF($S$2030&gt;0,'Assumptions (Biomass)'!X$11*Model!$S$2030*AVERAGE('Assumptions (Biomass)'!$O$2:$Q$2)/10^9,0)</f>
        <v>0.01023175425</v>
      </c>
      <c r="V2207" s="160">
        <f>IF($S$2030&gt;0,'Assumptions (Biomass)'!Y$11*Model!$S$2030*AVERAGE('Assumptions (Biomass)'!$O$2:$Q$2)/10^9,0)</f>
        <v>0.009214562311</v>
      </c>
      <c r="W2207" s="160">
        <f>IF($S$2030&gt;0,'Assumptions (Biomass)'!Z$11*Model!$S$2030*AVERAGE('Assumptions (Biomass)'!$O$2:$Q$2)/10^9,0)</f>
        <v>0.00829310608</v>
      </c>
      <c r="X2207" s="160">
        <f>IF($S$2030&gt;0,'Assumptions (Biomass)'!AA$11*Model!$S$2030*AVERAGE('Assumptions (Biomass)'!$O$2:$Q$2)/10^9,0)</f>
        <v>0.007455418597</v>
      </c>
      <c r="Y2207" s="160">
        <f>IF($S$2030&gt;0,'Assumptions (Biomass)'!AB$11*Model!$S$2030*AVERAGE('Assumptions (Biomass)'!$O$2:$Q$2)/10^9,0)</f>
        <v>0.007060508784</v>
      </c>
      <c r="Z2207" s="160">
        <f>IF($S$2030&gt;0,'Assumptions (Biomass)'!AC$11*Model!$S$2030*AVERAGE('Assumptions (Biomass)'!$O$2:$Q$2)/10^9,0)</f>
        <v>0.007060508784</v>
      </c>
      <c r="AA2207" s="160">
        <f>IF($S$2030&gt;0,'Assumptions (Biomass)'!AD$11*Model!$S$2030*AVERAGE('Assumptions (Biomass)'!$O$2:$Q$2)/10^9,0)</f>
        <v>0.007072475748</v>
      </c>
      <c r="AB2207" s="160">
        <f>IF($S$2030&gt;0,'Assumptions (Biomass)'!AE$11*Model!$S$2030*AVERAGE('Assumptions (Biomass)'!$O$2:$Q$2)/10^9,0)</f>
        <v>0.007060508784</v>
      </c>
      <c r="AC2207" s="160">
        <f>IF($S$2030&gt;0,'Assumptions (Biomass)'!AF$11*Model!$S$2030*AVERAGE('Assumptions (Biomass)'!$O$2:$Q$2)/10^9,0)</f>
        <v>0.007072475748</v>
      </c>
      <c r="AD2207" s="160">
        <f>IF($S$2030&gt;0,'Assumptions (Biomass)'!AG$11*Model!$S$2030*AVERAGE('Assumptions (Biomass)'!$O$2:$Q$2)/10^9,0)</f>
        <v>0.007060508784</v>
      </c>
      <c r="AE2207" s="160">
        <f>IF($S$2030&gt;0,'Assumptions (Biomass)'!AH$11*Model!$S$2030*AVERAGE('Assumptions (Biomass)'!$O$2:$Q$2)/10^9,0)</f>
        <v>0.007072475748</v>
      </c>
      <c r="AF2207" s="160">
        <f>IF($S$2030&gt;0,'Assumptions (Biomass)'!AI$11*Model!$S$2030*AVERAGE('Assumptions (Biomass)'!$O$2:$Q$2)/10^9,0)</f>
        <v>0.007060508784</v>
      </c>
      <c r="AG2207" s="160">
        <f>IF($S$2030&gt;0,'Assumptions (Biomass)'!AJ$11*Model!$S$2030*AVERAGE('Assumptions (Biomass)'!$O$2:$Q$2)/10^9,0)</f>
        <v>0.007072475748</v>
      </c>
      <c r="AH2207" s="160">
        <f>IF($S$2030&gt;0,'Assumptions (Biomass)'!AK$11*Model!$S$2030*AVERAGE('Assumptions (Biomass)'!$O$2:$Q$2)/10^9,0)</f>
        <v>0.003530254392</v>
      </c>
      <c r="AI2207" s="160"/>
      <c r="AJ2207" s="160"/>
      <c r="AK2207" s="160"/>
    </row>
    <row r="2208" ht="15.75" hidden="1" customHeight="1" outlineLevel="1">
      <c r="A2208" s="318"/>
      <c r="B2208" s="38"/>
      <c r="C2208" s="160"/>
      <c r="D2208" s="160"/>
      <c r="E2208" s="160"/>
      <c r="F2208" s="160"/>
      <c r="G2208" s="160"/>
      <c r="H2208" s="160"/>
      <c r="I2208" s="160"/>
      <c r="J2208" s="160"/>
      <c r="K2208" s="160"/>
      <c r="L2208" s="160"/>
      <c r="M2208" s="160"/>
      <c r="N2208" s="160"/>
      <c r="O2208" s="160"/>
      <c r="P2208" s="179"/>
      <c r="Q2208" s="160"/>
      <c r="R2208" s="177"/>
      <c r="S2208" s="177"/>
      <c r="T2208" s="160">
        <f>IF($T$2030&gt;0,'Assumptions (Biomass)'!V$11*Model!$T$2030*AVERAGE('Assumptions (Biomass)'!$P$2:$R$2)/10^9,0)</f>
        <v>0.02762748086</v>
      </c>
      <c r="U2208" s="160">
        <f>IF($T$2030&gt;0,'Assumptions (Biomass)'!W$11*Model!$T$2030*AVERAGE('Assumptions (Biomass)'!$P$2:$R$2)/10^9,0)</f>
        <v>0.05249221363</v>
      </c>
      <c r="V2208" s="160">
        <f>IF($T$2030&gt;0,'Assumptions (Biomass)'!X$11*Model!$T$2030*AVERAGE('Assumptions (Biomass)'!$P$2:$R$2)/10^9,0)</f>
        <v>0.04724299227</v>
      </c>
      <c r="W2208" s="160">
        <f>IF($T$2030&gt;0,'Assumptions (Biomass)'!Y$11*Model!$T$2030*AVERAGE('Assumptions (Biomass)'!$P$2:$R$2)/10^9,0)</f>
        <v>0.04254632052</v>
      </c>
      <c r="X2208" s="160">
        <f>IF($T$2030&gt;0,'Assumptions (Biomass)'!Z$11*Model!$T$2030*AVERAGE('Assumptions (Biomass)'!$P$2:$R$2)/10^9,0)</f>
        <v>0.03829168847</v>
      </c>
      <c r="Y2208" s="160">
        <f>IF($T$2030&gt;0,'Assumptions (Biomass)'!AA$11*Model!$T$2030*AVERAGE('Assumptions (Biomass)'!$P$2:$R$2)/10^9,0)</f>
        <v>0.03442384115</v>
      </c>
      <c r="Z2208" s="160">
        <f>IF($T$2030&gt;0,'Assumptions (Biomass)'!AB$11*Model!$T$2030*AVERAGE('Assumptions (Biomass)'!$P$2:$R$2)/10^9,0)</f>
        <v>0.03260042741</v>
      </c>
      <c r="AA2208" s="160">
        <f>IF($T$2030&gt;0,'Assumptions (Biomass)'!AC$11*Model!$T$2030*AVERAGE('Assumptions (Biomass)'!$P$2:$R$2)/10^9,0)</f>
        <v>0.03260042741</v>
      </c>
      <c r="AB2208" s="160">
        <f>IF($T$2030&gt;0,'Assumptions (Biomass)'!AD$11*Model!$T$2030*AVERAGE('Assumptions (Biomass)'!$P$2:$R$2)/10^9,0)</f>
        <v>0.03265568237</v>
      </c>
      <c r="AC2208" s="160">
        <f>IF($T$2030&gt;0,'Assumptions (Biomass)'!AE$11*Model!$T$2030*AVERAGE('Assumptions (Biomass)'!$P$2:$R$2)/10^9,0)</f>
        <v>0.03260042741</v>
      </c>
      <c r="AD2208" s="160">
        <f>IF($T$2030&gt;0,'Assumptions (Biomass)'!AF$11*Model!$T$2030*AVERAGE('Assumptions (Biomass)'!$P$2:$R$2)/10^9,0)</f>
        <v>0.03265568237</v>
      </c>
      <c r="AE2208" s="160">
        <f>IF($T$2030&gt;0,'Assumptions (Biomass)'!AG$11*Model!$T$2030*AVERAGE('Assumptions (Biomass)'!$P$2:$R$2)/10^9,0)</f>
        <v>0.03260042741</v>
      </c>
      <c r="AF2208" s="160">
        <f>IF($T$2030&gt;0,'Assumptions (Biomass)'!AH$11*Model!$T$2030*AVERAGE('Assumptions (Biomass)'!$P$2:$R$2)/10^9,0)</f>
        <v>0.03265568237</v>
      </c>
      <c r="AG2208" s="160">
        <f>IF($T$2030&gt;0,'Assumptions (Biomass)'!AI$11*Model!$T$2030*AVERAGE('Assumptions (Biomass)'!$P$2:$R$2)/10^9,0)</f>
        <v>0.03260042741</v>
      </c>
      <c r="AH2208" s="160">
        <f>IF($T$2030&gt;0,'Assumptions (Biomass)'!AJ$11*Model!$T$2030*AVERAGE('Assumptions (Biomass)'!$P$2:$R$2)/10^9,0)</f>
        <v>0.03265568237</v>
      </c>
      <c r="AI2208" s="160">
        <f>IF($T$2030&gt;0,'Assumptions (Biomass)'!AK$11*Model!$T$2030*AVERAGE('Assumptions (Biomass)'!$P$2:$R$2)/10^9,0)</f>
        <v>0.01630021371</v>
      </c>
      <c r="AJ2208" s="160"/>
      <c r="AK2208" s="160"/>
    </row>
    <row r="2209" ht="15.75" hidden="1" customHeight="1" outlineLevel="1">
      <c r="A2209" s="318"/>
      <c r="B2209" s="38"/>
      <c r="C2209" s="160"/>
      <c r="D2209" s="160"/>
      <c r="E2209" s="160"/>
      <c r="F2209" s="160"/>
      <c r="G2209" s="160"/>
      <c r="H2209" s="160"/>
      <c r="I2209" s="160"/>
      <c r="J2209" s="160"/>
      <c r="K2209" s="160"/>
      <c r="L2209" s="160"/>
      <c r="M2209" s="160"/>
      <c r="N2209" s="160"/>
      <c r="O2209" s="160"/>
      <c r="P2209" s="179"/>
      <c r="Q2209" s="160"/>
      <c r="R2209" s="177"/>
      <c r="S2209" s="177"/>
      <c r="T2209" s="177"/>
      <c r="U2209" s="160">
        <f>IF($U$2030&gt;0,'Assumptions (Biomass)'!V$11*Model!$U$2030*AVERAGE('Assumptions (Biomass)'!$Q$2:$S$2)/10^9,0)</f>
        <v>0</v>
      </c>
      <c r="V2209" s="160">
        <f>IF($U$2030&gt;0,'Assumptions (Biomass)'!W$11*Model!$U$2030*AVERAGE('Assumptions (Biomass)'!$Q$2:$S$2)/10^9,0)</f>
        <v>0</v>
      </c>
      <c r="W2209" s="160">
        <f>IF($U$2030&gt;0,'Assumptions (Biomass)'!X$11*Model!$U$2030*AVERAGE('Assumptions (Biomass)'!$Q$2:$S$2)/10^9,0)</f>
        <v>0</v>
      </c>
      <c r="X2209" s="160">
        <f>IF($U$2030&gt;0,'Assumptions (Biomass)'!Y$11*Model!$U$2030*AVERAGE('Assumptions (Biomass)'!$Q$2:$S$2)/10^9,0)</f>
        <v>0</v>
      </c>
      <c r="Y2209" s="160">
        <f>IF($U$2030&gt;0,'Assumptions (Biomass)'!Z$11*Model!$U$2030*AVERAGE('Assumptions (Biomass)'!$Q$2:$S$2)/10^9,0)</f>
        <v>0</v>
      </c>
      <c r="Z2209" s="160">
        <f>IF($U$2030&gt;0,'Assumptions (Biomass)'!AA$11*Model!$U$2030*AVERAGE('Assumptions (Biomass)'!$Q$2:$S$2)/10^9,0)</f>
        <v>0</v>
      </c>
      <c r="AA2209" s="160">
        <f>IF($U$2030&gt;0,'Assumptions (Biomass)'!AB$11*Model!$U$2030*AVERAGE('Assumptions (Biomass)'!$Q$2:$S$2)/10^9,0)</f>
        <v>0</v>
      </c>
      <c r="AB2209" s="160">
        <f>IF($U$2030&gt;0,'Assumptions (Biomass)'!AC$11*Model!$U$2030*AVERAGE('Assumptions (Biomass)'!$Q$2:$S$2)/10^9,0)</f>
        <v>0</v>
      </c>
      <c r="AC2209" s="160">
        <f>IF($U$2030&gt;0,'Assumptions (Biomass)'!AD$11*Model!$U$2030*AVERAGE('Assumptions (Biomass)'!$Q$2:$S$2)/10^9,0)</f>
        <v>0</v>
      </c>
      <c r="AD2209" s="160">
        <f>IF($U$2030&gt;0,'Assumptions (Biomass)'!AE$11*Model!$U$2030*AVERAGE('Assumptions (Biomass)'!$Q$2:$S$2)/10^9,0)</f>
        <v>0</v>
      </c>
      <c r="AE2209" s="160">
        <f>IF($U$2030&gt;0,'Assumptions (Biomass)'!AF$11*Model!$U$2030*AVERAGE('Assumptions (Biomass)'!$Q$2:$S$2)/10^9,0)</f>
        <v>0</v>
      </c>
      <c r="AF2209" s="160">
        <f>IF($U$2030&gt;0,'Assumptions (Biomass)'!AG$11*Model!$U$2030*AVERAGE('Assumptions (Biomass)'!$Q$2:$S$2)/10^9,0)</f>
        <v>0</v>
      </c>
      <c r="AG2209" s="160">
        <f>IF($U$2030&gt;0,'Assumptions (Biomass)'!AH$11*Model!$U$2030*AVERAGE('Assumptions (Biomass)'!$Q$2:$S$2)/10^9,0)</f>
        <v>0</v>
      </c>
      <c r="AH2209" s="160">
        <f>IF($U$2030&gt;0,'Assumptions (Biomass)'!AI$11*Model!$U$2030*AVERAGE('Assumptions (Biomass)'!$Q$2:$S$2)/10^9,0)</f>
        <v>0</v>
      </c>
      <c r="AI2209" s="160">
        <f>IF($U$2030&gt;0,'Assumptions (Biomass)'!AJ$11*Model!$U$2030*AVERAGE('Assumptions (Biomass)'!$Q$2:$S$2)/10^9,0)</f>
        <v>0</v>
      </c>
      <c r="AJ2209" s="160">
        <f>IF($U$2030&gt;0,'Assumptions (Biomass)'!AK$11*Model!$U$2030*AVERAGE('Assumptions (Biomass)'!$Q$2:$S$2)/10^9,0)</f>
        <v>0</v>
      </c>
      <c r="AK2209" s="160"/>
    </row>
    <row r="2210" ht="15.75" hidden="1" customHeight="1" outlineLevel="1">
      <c r="A2210" s="318"/>
      <c r="B2210" s="38"/>
      <c r="C2210" s="160"/>
      <c r="D2210" s="160"/>
      <c r="E2210" s="160"/>
      <c r="F2210" s="160"/>
      <c r="G2210" s="160"/>
      <c r="H2210" s="160"/>
      <c r="I2210" s="160"/>
      <c r="J2210" s="160"/>
      <c r="K2210" s="160"/>
      <c r="L2210" s="160"/>
      <c r="M2210" s="160"/>
      <c r="N2210" s="160"/>
      <c r="O2210" s="160"/>
      <c r="P2210" s="179"/>
      <c r="Q2210" s="160"/>
      <c r="R2210" s="177"/>
      <c r="S2210" s="177"/>
      <c r="T2210" s="177"/>
      <c r="U2210" s="160"/>
      <c r="V2210" s="160">
        <f>IF($V$2030&gt;0,'Assumptions (Biomass)'!V$11*Model!$V$2030*AVERAGE('Assumptions (Biomass)'!$R$2:$T$2)/10^9,0)</f>
        <v>0</v>
      </c>
      <c r="W2210" s="160">
        <f>IF($V$2030&gt;0,'Assumptions (Biomass)'!W$11*Model!$V$2030*AVERAGE('Assumptions (Biomass)'!$R$2:$T$2)/10^9,0)</f>
        <v>0</v>
      </c>
      <c r="X2210" s="160">
        <f>IF($V$2030&gt;0,'Assumptions (Biomass)'!X$11*Model!$V$2030*AVERAGE('Assumptions (Biomass)'!$R$2:$T$2)/10^9,0)</f>
        <v>0</v>
      </c>
      <c r="Y2210" s="160">
        <f>IF($V$2030&gt;0,'Assumptions (Biomass)'!Y$11*Model!$V$2030*AVERAGE('Assumptions (Biomass)'!$R$2:$T$2)/10^9,0)</f>
        <v>0</v>
      </c>
      <c r="Z2210" s="160">
        <f>IF($V$2030&gt;0,'Assumptions (Biomass)'!Z$11*Model!$V$2030*AVERAGE('Assumptions (Biomass)'!$R$2:$T$2)/10^9,0)</f>
        <v>0</v>
      </c>
      <c r="AA2210" s="160">
        <f>IF($V$2030&gt;0,'Assumptions (Biomass)'!AA$11*Model!$V$2030*AVERAGE('Assumptions (Biomass)'!$R$2:$T$2)/10^9,0)</f>
        <v>0</v>
      </c>
      <c r="AB2210" s="160">
        <f>IF($V$2030&gt;0,'Assumptions (Biomass)'!AB$11*Model!$V$2030*AVERAGE('Assumptions (Biomass)'!$R$2:$T$2)/10^9,0)</f>
        <v>0</v>
      </c>
      <c r="AC2210" s="160">
        <f>IF($V$2030&gt;0,'Assumptions (Biomass)'!AC$11*Model!$V$2030*AVERAGE('Assumptions (Biomass)'!$R$2:$T$2)/10^9,0)</f>
        <v>0</v>
      </c>
      <c r="AD2210" s="160">
        <f>IF($V$2030&gt;0,'Assumptions (Biomass)'!AD$11*Model!$V$2030*AVERAGE('Assumptions (Biomass)'!$R$2:$T$2)/10^9,0)</f>
        <v>0</v>
      </c>
      <c r="AE2210" s="160">
        <f>IF($V$2030&gt;0,'Assumptions (Biomass)'!AE$11*Model!$V$2030*AVERAGE('Assumptions (Biomass)'!$R$2:$T$2)/10^9,0)</f>
        <v>0</v>
      </c>
      <c r="AF2210" s="160">
        <f>IF($V$2030&gt;0,'Assumptions (Biomass)'!AF$11*Model!$V$2030*AVERAGE('Assumptions (Biomass)'!$R$2:$T$2)/10^9,0)</f>
        <v>0</v>
      </c>
      <c r="AG2210" s="160">
        <f>IF($V$2030&gt;0,'Assumptions (Biomass)'!AG$11*Model!$V$2030*AVERAGE('Assumptions (Biomass)'!$R$2:$T$2)/10^9,0)</f>
        <v>0</v>
      </c>
      <c r="AH2210" s="160">
        <f>IF($V$2030&gt;0,'Assumptions (Biomass)'!AH$11*Model!$V$2030*AVERAGE('Assumptions (Biomass)'!$R$2:$T$2)/10^9,0)</f>
        <v>0</v>
      </c>
      <c r="AI2210" s="160">
        <f>IF($V$2030&gt;0,'Assumptions (Biomass)'!AI$11*Model!$V$2030*AVERAGE('Assumptions (Biomass)'!$R$2:$T$2)/10^9,0)</f>
        <v>0</v>
      </c>
      <c r="AJ2210" s="160">
        <f>IF($V$2030&gt;0,'Assumptions (Biomass)'!AJ$11*Model!$V$2030*AVERAGE('Assumptions (Biomass)'!$R$2:$T$2)/10^9,0)</f>
        <v>0</v>
      </c>
      <c r="AK2210" s="160">
        <f>IF($V$2030&gt;0,'Assumptions (Biomass)'!AK$11*Model!$V$2030*AVERAGE('Assumptions (Biomass)'!$R$2:$T$2)/10^9,0)</f>
        <v>0</v>
      </c>
    </row>
    <row r="2211" ht="15.75" hidden="1" customHeight="1" outlineLevel="1">
      <c r="A2211" s="318"/>
      <c r="B2211" s="38"/>
      <c r="C2211" s="174"/>
      <c r="D2211" s="174"/>
      <c r="E2211" s="174"/>
      <c r="F2211" s="174"/>
      <c r="G2211" s="174"/>
      <c r="H2211" s="174"/>
      <c r="I2211" s="174"/>
      <c r="J2211" s="174"/>
      <c r="K2211" s="174"/>
      <c r="L2211" s="174"/>
      <c r="M2211" s="174"/>
      <c r="N2211" s="174"/>
      <c r="O2211" s="174"/>
      <c r="P2211" s="174"/>
      <c r="Q2211" s="174"/>
      <c r="R2211" s="174"/>
      <c r="S2211" s="174"/>
      <c r="T2211" s="174"/>
      <c r="U2211" s="174"/>
      <c r="V2211" s="174"/>
      <c r="W2211" s="160">
        <f>IF($W$2030&gt;0,'Assumptions (Biomass)'!V11*Model!$W$2030*average('Assumptions (Biomass)'!$S$2:$U$2)/10^9,0)</f>
        <v>0</v>
      </c>
      <c r="X2211" s="160">
        <f>IF($W$2030&gt;0,'Assumptions (Biomass)'!W11*Model!$W$2030*average('Assumptions (Biomass)'!$S$2:$U$2)/10^9,0)</f>
        <v>0</v>
      </c>
      <c r="Y2211" s="160">
        <f>IF($W$2030&gt;0,'Assumptions (Biomass)'!X11*Model!$W$2030*average('Assumptions (Biomass)'!$S$2:$U$2)/10^9,0)</f>
        <v>0</v>
      </c>
      <c r="Z2211" s="160">
        <f>IF($W$2030&gt;0,'Assumptions (Biomass)'!Y11*Model!$W$2030*average('Assumptions (Biomass)'!$S$2:$U$2)/10^9,0)</f>
        <v>0</v>
      </c>
      <c r="AA2211" s="160">
        <f>IF($W$2030&gt;0,'Assumptions (Biomass)'!Z11*Model!$W$2030*average('Assumptions (Biomass)'!$S$2:$U$2)/10^9,0)</f>
        <v>0</v>
      </c>
      <c r="AB2211" s="160">
        <f>IF($W$2030&gt;0,'Assumptions (Biomass)'!AA11*Model!$W$2030*average('Assumptions (Biomass)'!$S$2:$U$2)/10^9,0)</f>
        <v>0</v>
      </c>
      <c r="AC2211" s="160">
        <f>IF($W$2030&gt;0,'Assumptions (Biomass)'!AB11*Model!$W$2030*average('Assumptions (Biomass)'!$S$2:$U$2)/10^9,0)</f>
        <v>0</v>
      </c>
      <c r="AD2211" s="160">
        <f>IF($W$2030&gt;0,'Assumptions (Biomass)'!AC11*Model!$W$2030*average('Assumptions (Biomass)'!$S$2:$U$2)/10^9,0)</f>
        <v>0</v>
      </c>
      <c r="AE2211" s="160">
        <f>IF($W$2030&gt;0,'Assumptions (Biomass)'!AD11*Model!$W$2030*average('Assumptions (Biomass)'!$S$2:$U$2)/10^9,0)</f>
        <v>0</v>
      </c>
      <c r="AF2211" s="160">
        <f>IF($W$2030&gt;0,'Assumptions (Biomass)'!AE11*Model!$W$2030*average('Assumptions (Biomass)'!$S$2:$U$2)/10^9,0)</f>
        <v>0</v>
      </c>
      <c r="AG2211" s="160">
        <f>IF($W$2030&gt;0,'Assumptions (Biomass)'!AF11*Model!$W$2030*average('Assumptions (Biomass)'!$S$2:$U$2)/10^9,0)</f>
        <v>0</v>
      </c>
      <c r="AH2211" s="160">
        <f>IF($W$2030&gt;0,'Assumptions (Biomass)'!AG11*Model!$W$2030*average('Assumptions (Biomass)'!$S$2:$U$2)/10^9,0)</f>
        <v>0</v>
      </c>
      <c r="AI2211" s="160">
        <f>IF($W$2030&gt;0,'Assumptions (Biomass)'!AH11*Model!$W$2030*average('Assumptions (Biomass)'!$S$2:$U$2)/10^9,0)</f>
        <v>0</v>
      </c>
      <c r="AJ2211" s="160">
        <f>IF($W$2030&gt;0,'Assumptions (Biomass)'!AI11*Model!$W$2030*average('Assumptions (Biomass)'!$S$2:$U$2)/10^9,0)</f>
        <v>0</v>
      </c>
      <c r="AK2211" s="160">
        <f>IF($W$2030&gt;0,'Assumptions (Biomass)'!AJ11*Model!$W$2030*average('Assumptions (Biomass)'!$S$2:$U$2)/10^9,0)</f>
        <v>0</v>
      </c>
      <c r="AL2211" s="160">
        <f>IF($W$2030&gt;0,'Assumptions (Biomass)'!AK11*Model!$W$2030*average('Assumptions (Biomass)'!$S$2:$U$2)/10^9,0)</f>
        <v>0</v>
      </c>
      <c r="AM2211" s="160"/>
      <c r="AN2211" s="160"/>
      <c r="AO2211" s="160"/>
      <c r="AP2211" s="160"/>
      <c r="AQ2211" s="160"/>
      <c r="AR2211" s="160"/>
      <c r="AS2211" s="160"/>
      <c r="AT2211" s="160"/>
      <c r="AU2211" s="160"/>
      <c r="AV2211" s="160"/>
      <c r="AW2211" s="160"/>
      <c r="AX2211" s="160"/>
      <c r="AY2211" s="160"/>
      <c r="AZ2211" s="160"/>
      <c r="BA2211" s="160"/>
    </row>
    <row r="2212" ht="15.75" hidden="1" customHeight="1" outlineLevel="1">
      <c r="A2212" s="318"/>
      <c r="B2212" s="38"/>
      <c r="C2212" s="174"/>
      <c r="D2212" s="174"/>
      <c r="E2212" s="174"/>
      <c r="F2212" s="174"/>
      <c r="G2212" s="174"/>
      <c r="H2212" s="174"/>
      <c r="I2212" s="174"/>
      <c r="J2212" s="174"/>
      <c r="K2212" s="174"/>
      <c r="L2212" s="174"/>
      <c r="M2212" s="174"/>
      <c r="N2212" s="174"/>
      <c r="O2212" s="174"/>
      <c r="P2212" s="174"/>
      <c r="Q2212" s="174"/>
      <c r="R2212" s="174"/>
      <c r="S2212" s="174"/>
      <c r="T2212" s="174"/>
      <c r="U2212" s="174"/>
      <c r="V2212" s="174"/>
      <c r="W2212" s="160"/>
      <c r="X2212" s="160">
        <f>IF($X$2030&gt;0,'Assumptions (Biomass)'!V11*Model!$X$2030*average('Assumptions (Biomass)'!$T$2:$V$2)/10^9,0)</f>
        <v>0</v>
      </c>
      <c r="Y2212" s="160">
        <f>IF($X$2030&gt;0,'Assumptions (Biomass)'!W11*Model!$X$2030*average('Assumptions (Biomass)'!$T$2:$V$2)/10^9,0)</f>
        <v>0</v>
      </c>
      <c r="Z2212" s="160">
        <f>IF($X$2030&gt;0,'Assumptions (Biomass)'!X11*Model!$X$2030*average('Assumptions (Biomass)'!$T$2:$V$2)/10^9,0)</f>
        <v>0</v>
      </c>
      <c r="AA2212" s="160">
        <f>IF($X$2030&gt;0,'Assumptions (Biomass)'!Y11*Model!$X$2030*average('Assumptions (Biomass)'!$T$2:$V$2)/10^9,0)</f>
        <v>0</v>
      </c>
      <c r="AB2212" s="160">
        <f>IF($X$2030&gt;0,'Assumptions (Biomass)'!Z11*Model!$X$2030*average('Assumptions (Biomass)'!$T$2:$V$2)/10^9,0)</f>
        <v>0</v>
      </c>
      <c r="AC2212" s="160">
        <f>IF($X$2030&gt;0,'Assumptions (Biomass)'!AA11*Model!$X$2030*average('Assumptions (Biomass)'!$T$2:$V$2)/10^9,0)</f>
        <v>0</v>
      </c>
      <c r="AD2212" s="160">
        <f>IF($X$2030&gt;0,'Assumptions (Biomass)'!AB11*Model!$X$2030*average('Assumptions (Biomass)'!$T$2:$V$2)/10^9,0)</f>
        <v>0</v>
      </c>
      <c r="AE2212" s="160">
        <f>IF($X$2030&gt;0,'Assumptions (Biomass)'!AC11*Model!$X$2030*average('Assumptions (Biomass)'!$T$2:$V$2)/10^9,0)</f>
        <v>0</v>
      </c>
      <c r="AF2212" s="160">
        <f>IF($X$2030&gt;0,'Assumptions (Biomass)'!AD11*Model!$X$2030*average('Assumptions (Biomass)'!$T$2:$V$2)/10^9,0)</f>
        <v>0</v>
      </c>
      <c r="AG2212" s="160">
        <f>IF($X$2030&gt;0,'Assumptions (Biomass)'!AE11*Model!$X$2030*average('Assumptions (Biomass)'!$T$2:$V$2)/10^9,0)</f>
        <v>0</v>
      </c>
      <c r="AH2212" s="160">
        <f>IF($X$2030&gt;0,'Assumptions (Biomass)'!AF11*Model!$X$2030*average('Assumptions (Biomass)'!$T$2:$V$2)/10^9,0)</f>
        <v>0</v>
      </c>
      <c r="AI2212" s="160">
        <f>IF($X$2030&gt;0,'Assumptions (Biomass)'!AG11*Model!$X$2030*average('Assumptions (Biomass)'!$T$2:$V$2)/10^9,0)</f>
        <v>0</v>
      </c>
      <c r="AJ2212" s="160">
        <f>IF($X$2030&gt;0,'Assumptions (Biomass)'!AH11*Model!$X$2030*average('Assumptions (Biomass)'!$T$2:$V$2)/10^9,0)</f>
        <v>0</v>
      </c>
      <c r="AK2212" s="160">
        <f>IF($X$2030&gt;0,'Assumptions (Biomass)'!AI11*Model!$X$2030*average('Assumptions (Biomass)'!$T$2:$V$2)/10^9,0)</f>
        <v>0</v>
      </c>
      <c r="AL2212" s="160">
        <f>IF($X$2030&gt;0,'Assumptions (Biomass)'!AJ11*Model!$X$2030*average('Assumptions (Biomass)'!$T$2:$V$2)/10^9,0)</f>
        <v>0</v>
      </c>
      <c r="AM2212" s="160">
        <f>IF($X$2030&gt;0,'Assumptions (Biomass)'!AK11*Model!$X$2030*average('Assumptions (Biomass)'!$T$2:$V$2)/10^9,0)</f>
        <v>0</v>
      </c>
      <c r="AN2212" s="160"/>
      <c r="AO2212" s="160"/>
      <c r="AP2212" s="160"/>
      <c r="AQ2212" s="160"/>
      <c r="AR2212" s="160"/>
      <c r="AS2212" s="160"/>
      <c r="AT2212" s="160"/>
      <c r="AU2212" s="160"/>
      <c r="AV2212" s="160"/>
      <c r="AW2212" s="160"/>
      <c r="AX2212" s="160"/>
      <c r="AY2212" s="160"/>
      <c r="AZ2212" s="160"/>
      <c r="BA2212" s="160"/>
    </row>
    <row r="2213" ht="15.75" hidden="1" customHeight="1" outlineLevel="1">
      <c r="A2213" s="318"/>
      <c r="B2213" s="38"/>
      <c r="C2213" s="174"/>
      <c r="D2213" s="174"/>
      <c r="E2213" s="174"/>
      <c r="F2213" s="174"/>
      <c r="G2213" s="174"/>
      <c r="H2213" s="174"/>
      <c r="I2213" s="174"/>
      <c r="J2213" s="174"/>
      <c r="K2213" s="174"/>
      <c r="L2213" s="174"/>
      <c r="M2213" s="174"/>
      <c r="N2213" s="174"/>
      <c r="O2213" s="174"/>
      <c r="P2213" s="174"/>
      <c r="Q2213" s="174"/>
      <c r="R2213" s="174"/>
      <c r="S2213" s="174"/>
      <c r="T2213" s="174"/>
      <c r="U2213" s="174"/>
      <c r="V2213" s="174"/>
      <c r="W2213" s="160"/>
      <c r="X2213" s="160"/>
      <c r="Y2213" s="160">
        <f>IF($Y$2030&gt;0,'Assumptions (Biomass)'!V11*Model!$Y$2030*AVERAGE('Assumptions (Biomass)'!$U$2:$W$2)/10^9,0)</f>
        <v>0</v>
      </c>
      <c r="Z2213" s="160">
        <f>IF($Y$2030&gt;0,'Assumptions (Biomass)'!W11*Model!$Y$2030*AVERAGE('Assumptions (Biomass)'!$U$2:$W$2)/10^9,0)</f>
        <v>0</v>
      </c>
      <c r="AA2213" s="160">
        <f>IF($Y$2030&gt;0,'Assumptions (Biomass)'!X11*Model!$Y$2030*AVERAGE('Assumptions (Biomass)'!$U$2:$W$2)/10^9,0)</f>
        <v>0</v>
      </c>
      <c r="AB2213" s="160">
        <f>IF($Y$2030&gt;0,'Assumptions (Biomass)'!Y11*Model!$Y$2030*AVERAGE('Assumptions (Biomass)'!$U$2:$W$2)/10^9,0)</f>
        <v>0</v>
      </c>
      <c r="AC2213" s="160">
        <f>IF($Y$2030&gt;0,'Assumptions (Biomass)'!Z11*Model!$Y$2030*AVERAGE('Assumptions (Biomass)'!$U$2:$W$2)/10^9,0)</f>
        <v>0</v>
      </c>
      <c r="AD2213" s="160">
        <f>IF($Y$2030&gt;0,'Assumptions (Biomass)'!AA11*Model!$Y$2030*AVERAGE('Assumptions (Biomass)'!$U$2:$W$2)/10^9,0)</f>
        <v>0</v>
      </c>
      <c r="AE2213" s="160">
        <f>IF($Y$2030&gt;0,'Assumptions (Biomass)'!AB11*Model!$Y$2030*AVERAGE('Assumptions (Biomass)'!$U$2:$W$2)/10^9,0)</f>
        <v>0</v>
      </c>
      <c r="AF2213" s="160">
        <f>IF($Y$2030&gt;0,'Assumptions (Biomass)'!AC11*Model!$Y$2030*AVERAGE('Assumptions (Biomass)'!$U$2:$W$2)/10^9,0)</f>
        <v>0</v>
      </c>
      <c r="AG2213" s="160">
        <f>IF($Y$2030&gt;0,'Assumptions (Biomass)'!AD11*Model!$Y$2030*AVERAGE('Assumptions (Biomass)'!$U$2:$W$2)/10^9,0)</f>
        <v>0</v>
      </c>
      <c r="AH2213" s="160">
        <f>IF($Y$2030&gt;0,'Assumptions (Biomass)'!AE11*Model!$Y$2030*AVERAGE('Assumptions (Biomass)'!$U$2:$W$2)/10^9,0)</f>
        <v>0</v>
      </c>
      <c r="AI2213" s="160">
        <f>IF($Y$2030&gt;0,'Assumptions (Biomass)'!AF11*Model!$Y$2030*AVERAGE('Assumptions (Biomass)'!$U$2:$W$2)/10^9,0)</f>
        <v>0</v>
      </c>
      <c r="AJ2213" s="160">
        <f>IF($Y$2030&gt;0,'Assumptions (Biomass)'!AG11*Model!$Y$2030*AVERAGE('Assumptions (Biomass)'!$U$2:$W$2)/10^9,0)</f>
        <v>0</v>
      </c>
      <c r="AK2213" s="160">
        <f>IF($Y$2030&gt;0,'Assumptions (Biomass)'!AH11*Model!$Y$2030*AVERAGE('Assumptions (Biomass)'!$U$2:$W$2)/10^9,0)</f>
        <v>0</v>
      </c>
      <c r="AL2213" s="160">
        <f>IF($Y$2030&gt;0,'Assumptions (Biomass)'!AI11*Model!$Y$2030*AVERAGE('Assumptions (Biomass)'!$U$2:$W$2)/10^9,0)</f>
        <v>0</v>
      </c>
      <c r="AM2213" s="160">
        <f>IF($Y$2030&gt;0,'Assumptions (Biomass)'!AJ11*Model!$Y$2030*AVERAGE('Assumptions (Biomass)'!$U$2:$W$2)/10^9,0)</f>
        <v>0</v>
      </c>
      <c r="AN2213" s="160">
        <f>IF($Y$2030&gt;0,'Assumptions (Biomass)'!AK11*Model!$Y$2030*AVERAGE('Assumptions (Biomass)'!$U$2:$W$2)/10^9,0)</f>
        <v>0</v>
      </c>
      <c r="AO2213" s="160"/>
      <c r="AP2213" s="160"/>
      <c r="AQ2213" s="160"/>
      <c r="AR2213" s="160"/>
      <c r="AS2213" s="160"/>
      <c r="AT2213" s="160"/>
      <c r="AU2213" s="160"/>
      <c r="AV2213" s="160"/>
      <c r="AW2213" s="160"/>
      <c r="AX2213" s="160"/>
      <c r="AY2213" s="160"/>
      <c r="AZ2213" s="160"/>
      <c r="BA2213" s="160"/>
    </row>
    <row r="2214" ht="15.75" hidden="1" customHeight="1" outlineLevel="1">
      <c r="A2214" s="318"/>
      <c r="B2214" s="38"/>
      <c r="C2214" s="174"/>
      <c r="D2214" s="174"/>
      <c r="E2214" s="174"/>
      <c r="F2214" s="174"/>
      <c r="G2214" s="174"/>
      <c r="H2214" s="174"/>
      <c r="I2214" s="174"/>
      <c r="J2214" s="174"/>
      <c r="K2214" s="174"/>
      <c r="L2214" s="174"/>
      <c r="M2214" s="174"/>
      <c r="N2214" s="174"/>
      <c r="O2214" s="174"/>
      <c r="P2214" s="174"/>
      <c r="Q2214" s="174"/>
      <c r="R2214" s="174"/>
      <c r="S2214" s="174"/>
      <c r="T2214" s="174"/>
      <c r="U2214" s="174"/>
      <c r="V2214" s="174"/>
      <c r="W2214" s="160"/>
      <c r="X2214" s="160"/>
      <c r="Y2214" s="160"/>
      <c r="Z2214" s="160">
        <f>IF($Z$2030&gt;0,'Assumptions (Biomass)'!V11*Model!$Z$2030*AVERAGE('Assumptions (Biomass)'!$V$2:$X$2)/10^9,0)</f>
        <v>0</v>
      </c>
      <c r="AA2214" s="160">
        <f>IF($Z$2030&gt;0,'Assumptions (Biomass)'!W11*Model!$Z$2030*AVERAGE('Assumptions (Biomass)'!$V$2:$X$2)/10^9,0)</f>
        <v>0</v>
      </c>
      <c r="AB2214" s="160">
        <f>IF($Z$2030&gt;0,'Assumptions (Biomass)'!X11*Model!$Z$2030*AVERAGE('Assumptions (Biomass)'!$V$2:$X$2)/10^9,0)</f>
        <v>0</v>
      </c>
      <c r="AC2214" s="160">
        <f>IF($Z$2030&gt;0,'Assumptions (Biomass)'!Y11*Model!$Z$2030*AVERAGE('Assumptions (Biomass)'!$V$2:$X$2)/10^9,0)</f>
        <v>0</v>
      </c>
      <c r="AD2214" s="160">
        <f>IF($Z$2030&gt;0,'Assumptions (Biomass)'!Z11*Model!$Z$2030*AVERAGE('Assumptions (Biomass)'!$V$2:$X$2)/10^9,0)</f>
        <v>0</v>
      </c>
      <c r="AE2214" s="160">
        <f>IF($Z$2030&gt;0,'Assumptions (Biomass)'!AA11*Model!$Z$2030*AVERAGE('Assumptions (Biomass)'!$V$2:$X$2)/10^9,0)</f>
        <v>0</v>
      </c>
      <c r="AF2214" s="160">
        <f>IF($Z$2030&gt;0,'Assumptions (Biomass)'!AB11*Model!$Z$2030*AVERAGE('Assumptions (Biomass)'!$V$2:$X$2)/10^9,0)</f>
        <v>0</v>
      </c>
      <c r="AG2214" s="160">
        <f>IF($Z$2030&gt;0,'Assumptions (Biomass)'!AC11*Model!$Z$2030*AVERAGE('Assumptions (Biomass)'!$V$2:$X$2)/10^9,0)</f>
        <v>0</v>
      </c>
      <c r="AH2214" s="160">
        <f>IF($Z$2030&gt;0,'Assumptions (Biomass)'!AD11*Model!$Z$2030*AVERAGE('Assumptions (Biomass)'!$V$2:$X$2)/10^9,0)</f>
        <v>0</v>
      </c>
      <c r="AI2214" s="160">
        <f>IF($Z$2030&gt;0,'Assumptions (Biomass)'!AE11*Model!$Z$2030*AVERAGE('Assumptions (Biomass)'!$V$2:$X$2)/10^9,0)</f>
        <v>0</v>
      </c>
      <c r="AJ2214" s="160">
        <f>IF($Z$2030&gt;0,'Assumptions (Biomass)'!AF11*Model!$Z$2030*AVERAGE('Assumptions (Biomass)'!$V$2:$X$2)/10^9,0)</f>
        <v>0</v>
      </c>
      <c r="AK2214" s="160">
        <f>IF($Z$2030&gt;0,'Assumptions (Biomass)'!AG11*Model!$Z$2030*AVERAGE('Assumptions (Biomass)'!$V$2:$X$2)/10^9,0)</f>
        <v>0</v>
      </c>
      <c r="AL2214" s="160">
        <f>IF($Z$2030&gt;0,'Assumptions (Biomass)'!AH11*Model!$Z$2030*AVERAGE('Assumptions (Biomass)'!$V$2:$X$2)/10^9,0)</f>
        <v>0</v>
      </c>
      <c r="AM2214" s="160">
        <f>IF($Z$2030&gt;0,'Assumptions (Biomass)'!AI11*Model!$Z$2030*AVERAGE('Assumptions (Biomass)'!$V$2:$X$2)/10^9,0)</f>
        <v>0</v>
      </c>
      <c r="AN2214" s="160">
        <f>IF($Z$2030&gt;0,'Assumptions (Biomass)'!AJ11*Model!$Z$2030*AVERAGE('Assumptions (Biomass)'!$V$2:$X$2)/10^9,0)</f>
        <v>0</v>
      </c>
      <c r="AO2214" s="160">
        <f>IF($Z$2030&gt;0,'Assumptions (Biomass)'!AK11*Model!$Z$2030*AVERAGE('Assumptions (Biomass)'!$V$2:$X$2)/10^9,0)</f>
        <v>0</v>
      </c>
      <c r="AP2214" s="160"/>
      <c r="AQ2214" s="160"/>
      <c r="AR2214" s="160"/>
      <c r="AS2214" s="160"/>
      <c r="AT2214" s="160"/>
      <c r="AU2214" s="160"/>
      <c r="AV2214" s="160"/>
      <c r="AW2214" s="160"/>
      <c r="AX2214" s="160"/>
      <c r="AY2214" s="160"/>
      <c r="AZ2214" s="160"/>
      <c r="BA2214" s="160"/>
    </row>
    <row r="2215" ht="15.75" hidden="1" customHeight="1" outlineLevel="1">
      <c r="A2215" s="318"/>
      <c r="B2215" s="38"/>
      <c r="C2215" s="174"/>
      <c r="D2215" s="174"/>
      <c r="E2215" s="174"/>
      <c r="F2215" s="174"/>
      <c r="G2215" s="174"/>
      <c r="H2215" s="174"/>
      <c r="I2215" s="174"/>
      <c r="J2215" s="174"/>
      <c r="K2215" s="174"/>
      <c r="L2215" s="174"/>
      <c r="M2215" s="174"/>
      <c r="N2215" s="174"/>
      <c r="O2215" s="174"/>
      <c r="P2215" s="174"/>
      <c r="Q2215" s="174"/>
      <c r="R2215" s="174"/>
      <c r="S2215" s="174"/>
      <c r="T2215" s="174"/>
      <c r="U2215" s="174"/>
      <c r="V2215" s="174"/>
      <c r="W2215" s="160"/>
      <c r="X2215" s="160"/>
      <c r="Y2215" s="160"/>
      <c r="Z2215" s="160"/>
      <c r="AA2215" s="160">
        <f>IF($AA$2030&gt;0,'Assumptions (Biomass)'!V11*Model!$AA$2030*AVERAGE('Assumptions (Biomass)'!$W$2:$Y$2)/10^9,0)</f>
        <v>0</v>
      </c>
      <c r="AB2215" s="160">
        <f>IF($AA$2030&gt;0,'Assumptions (Biomass)'!W11*Model!$AA$2030*AVERAGE('Assumptions (Biomass)'!$W$2:$Y$2)/10^9,0)</f>
        <v>0</v>
      </c>
      <c r="AC2215" s="160">
        <f>IF($AA$2030&gt;0,'Assumptions (Biomass)'!X11*Model!$AA$2030*AVERAGE('Assumptions (Biomass)'!$W$2:$Y$2)/10^9,0)</f>
        <v>0</v>
      </c>
      <c r="AD2215" s="160">
        <f>IF($AA$2030&gt;0,'Assumptions (Biomass)'!Y11*Model!$AA$2030*AVERAGE('Assumptions (Biomass)'!$W$2:$Y$2)/10^9,0)</f>
        <v>0</v>
      </c>
      <c r="AE2215" s="160">
        <f>IF($AA$2030&gt;0,'Assumptions (Biomass)'!Z11*Model!$AA$2030*AVERAGE('Assumptions (Biomass)'!$W$2:$Y$2)/10^9,0)</f>
        <v>0</v>
      </c>
      <c r="AF2215" s="160">
        <f>IF($AA$2030&gt;0,'Assumptions (Biomass)'!AA11*Model!$AA$2030*AVERAGE('Assumptions (Biomass)'!$W$2:$Y$2)/10^9,0)</f>
        <v>0</v>
      </c>
      <c r="AG2215" s="160">
        <f>IF($AA$2030&gt;0,'Assumptions (Biomass)'!AB11*Model!$AA$2030*AVERAGE('Assumptions (Biomass)'!$W$2:$Y$2)/10^9,0)</f>
        <v>0</v>
      </c>
      <c r="AH2215" s="160">
        <f>IF($AA$2030&gt;0,'Assumptions (Biomass)'!AC11*Model!$AA$2030*AVERAGE('Assumptions (Biomass)'!$W$2:$Y$2)/10^9,0)</f>
        <v>0</v>
      </c>
      <c r="AI2215" s="160">
        <f>IF($AA$2030&gt;0,'Assumptions (Biomass)'!AD11*Model!$AA$2030*AVERAGE('Assumptions (Biomass)'!$W$2:$Y$2)/10^9,0)</f>
        <v>0</v>
      </c>
      <c r="AJ2215" s="160">
        <f>IF($AA$2030&gt;0,'Assumptions (Biomass)'!AE11*Model!$AA$2030*AVERAGE('Assumptions (Biomass)'!$W$2:$Y$2)/10^9,0)</f>
        <v>0</v>
      </c>
      <c r="AK2215" s="160">
        <f>IF($AA$2030&gt;0,'Assumptions (Biomass)'!AF11*Model!$AA$2030*AVERAGE('Assumptions (Biomass)'!$W$2:$Y$2)/10^9,0)</f>
        <v>0</v>
      </c>
      <c r="AL2215" s="160">
        <f>IF($AA$2030&gt;0,'Assumptions (Biomass)'!AG11*Model!$AA$2030*AVERAGE('Assumptions (Biomass)'!$W$2:$Y$2)/10^9,0)</f>
        <v>0</v>
      </c>
      <c r="AM2215" s="160">
        <f>IF($AA$2030&gt;0,'Assumptions (Biomass)'!AH11*Model!$AA$2030*AVERAGE('Assumptions (Biomass)'!$W$2:$Y$2)/10^9,0)</f>
        <v>0</v>
      </c>
      <c r="AN2215" s="160">
        <f>IF($AA$2030&gt;0,'Assumptions (Biomass)'!AI11*Model!$AA$2030*AVERAGE('Assumptions (Biomass)'!$W$2:$Y$2)/10^9,0)</f>
        <v>0</v>
      </c>
      <c r="AO2215" s="160">
        <f>IF($AA$2030&gt;0,'Assumptions (Biomass)'!AJ11*Model!$AA$2030*AVERAGE('Assumptions (Biomass)'!$W$2:$Y$2)/10^9,0)</f>
        <v>0</v>
      </c>
      <c r="AP2215" s="160">
        <f>IF($AA$2030&gt;0,'Assumptions (Biomass)'!AK11*Model!$AA$2030*AVERAGE('Assumptions (Biomass)'!$W$2:$Y$2)/10^9,0)</f>
        <v>0</v>
      </c>
      <c r="AQ2215" s="160"/>
      <c r="AR2215" s="160"/>
      <c r="AS2215" s="160"/>
      <c r="AT2215" s="160"/>
      <c r="AU2215" s="160"/>
      <c r="AV2215" s="160"/>
      <c r="AW2215" s="160"/>
      <c r="AX2215" s="160"/>
      <c r="AY2215" s="160"/>
      <c r="AZ2215" s="160"/>
      <c r="BA2215" s="160"/>
    </row>
    <row r="2216" ht="15.75" hidden="1" customHeight="1" outlineLevel="1">
      <c r="A2216" s="318"/>
      <c r="B2216" s="38"/>
      <c r="C2216" s="174"/>
      <c r="D2216" s="174"/>
      <c r="E2216" s="174"/>
      <c r="F2216" s="174"/>
      <c r="G2216" s="174"/>
      <c r="H2216" s="174"/>
      <c r="I2216" s="174"/>
      <c r="J2216" s="174"/>
      <c r="K2216" s="174"/>
      <c r="L2216" s="174"/>
      <c r="M2216" s="174"/>
      <c r="N2216" s="174"/>
      <c r="O2216" s="174"/>
      <c r="P2216" s="174"/>
      <c r="Q2216" s="174"/>
      <c r="R2216" s="174"/>
      <c r="S2216" s="174"/>
      <c r="T2216" s="174"/>
      <c r="U2216" s="174"/>
      <c r="V2216" s="174"/>
      <c r="W2216" s="160"/>
      <c r="X2216" s="160"/>
      <c r="Y2216" s="160"/>
      <c r="Z2216" s="160"/>
      <c r="AA2216" s="160"/>
      <c r="AB2216" s="160">
        <f>IF($AB$2030&gt;0,'Assumptions (Biomass)'!V11*Model!$AB$2030*AVERAGE('Assumptions (Biomass)'!$X$2:$Z$2)/10^9,0)</f>
        <v>0</v>
      </c>
      <c r="AC2216" s="160">
        <f>IF($AB$2030&gt;0,'Assumptions (Biomass)'!W11*Model!$AB$2030*AVERAGE('Assumptions (Biomass)'!$X$2:$Z$2)/10^9,0)</f>
        <v>0</v>
      </c>
      <c r="AD2216" s="160">
        <f>IF($AB$2030&gt;0,'Assumptions (Biomass)'!X11*Model!$AB$2030*AVERAGE('Assumptions (Biomass)'!$X$2:$Z$2)/10^9,0)</f>
        <v>0</v>
      </c>
      <c r="AE2216" s="160">
        <f>IF($AB$2030&gt;0,'Assumptions (Biomass)'!Y11*Model!$AB$2030*AVERAGE('Assumptions (Biomass)'!$X$2:$Z$2)/10^9,0)</f>
        <v>0</v>
      </c>
      <c r="AF2216" s="160">
        <f>IF($AB$2030&gt;0,'Assumptions (Biomass)'!Z11*Model!$AB$2030*AVERAGE('Assumptions (Biomass)'!$X$2:$Z$2)/10^9,0)</f>
        <v>0</v>
      </c>
      <c r="AG2216" s="160">
        <f>IF($AB$2030&gt;0,'Assumptions (Biomass)'!AA11*Model!$AB$2030*AVERAGE('Assumptions (Biomass)'!$X$2:$Z$2)/10^9,0)</f>
        <v>0</v>
      </c>
      <c r="AH2216" s="160">
        <f>IF($AB$2030&gt;0,'Assumptions (Biomass)'!AB11*Model!$AB$2030*AVERAGE('Assumptions (Biomass)'!$X$2:$Z$2)/10^9,0)</f>
        <v>0</v>
      </c>
      <c r="AI2216" s="160">
        <f>IF($AB$2030&gt;0,'Assumptions (Biomass)'!AC11*Model!$AB$2030*AVERAGE('Assumptions (Biomass)'!$X$2:$Z$2)/10^9,0)</f>
        <v>0</v>
      </c>
      <c r="AJ2216" s="160">
        <f>IF($AB$2030&gt;0,'Assumptions (Biomass)'!AD11*Model!$AB$2030*AVERAGE('Assumptions (Biomass)'!$X$2:$Z$2)/10^9,0)</f>
        <v>0</v>
      </c>
      <c r="AK2216" s="160">
        <f>IF($AB$2030&gt;0,'Assumptions (Biomass)'!AE11*Model!$AB$2030*AVERAGE('Assumptions (Biomass)'!$X$2:$Z$2)/10^9,0)</f>
        <v>0</v>
      </c>
      <c r="AL2216" s="160">
        <f>IF($AB$2030&gt;0,'Assumptions (Biomass)'!AF11*Model!$AB$2030*AVERAGE('Assumptions (Biomass)'!$X$2:$Z$2)/10^9,0)</f>
        <v>0</v>
      </c>
      <c r="AM2216" s="160">
        <f>IF($AB$2030&gt;0,'Assumptions (Biomass)'!AG11*Model!$AB$2030*AVERAGE('Assumptions (Biomass)'!$X$2:$Z$2)/10^9,0)</f>
        <v>0</v>
      </c>
      <c r="AN2216" s="160">
        <f>IF($AB$2030&gt;0,'Assumptions (Biomass)'!AH11*Model!$AB$2030*AVERAGE('Assumptions (Biomass)'!$X$2:$Z$2)/10^9,0)</f>
        <v>0</v>
      </c>
      <c r="AO2216" s="160">
        <f>IF($AB$2030&gt;0,'Assumptions (Biomass)'!AI11*Model!$AB$2030*AVERAGE('Assumptions (Biomass)'!$X$2:$Z$2)/10^9,0)</f>
        <v>0</v>
      </c>
      <c r="AP2216" s="160">
        <f>IF($AB$2030&gt;0,'Assumptions (Biomass)'!AJ11*Model!$AB$2030*AVERAGE('Assumptions (Biomass)'!$X$2:$Z$2)/10^9,0)</f>
        <v>0</v>
      </c>
      <c r="AQ2216" s="160">
        <f>IF($AB$2030&gt;0,'Assumptions (Biomass)'!AK11*Model!$AB$2030*AVERAGE('Assumptions (Biomass)'!$X$2:$Z$2)/10^9,0)</f>
        <v>0</v>
      </c>
      <c r="AR2216" s="160"/>
      <c r="AS2216" s="160"/>
      <c r="AT2216" s="160"/>
      <c r="AU2216" s="160"/>
      <c r="AV2216" s="160"/>
      <c r="AW2216" s="160"/>
      <c r="AX2216" s="160"/>
      <c r="AY2216" s="160"/>
      <c r="AZ2216" s="160"/>
      <c r="BA2216" s="160"/>
    </row>
    <row r="2217" ht="15.75" hidden="1" customHeight="1" outlineLevel="1">
      <c r="A2217" s="318"/>
      <c r="B2217" s="38"/>
      <c r="C2217" s="174"/>
      <c r="D2217" s="174"/>
      <c r="E2217" s="174"/>
      <c r="F2217" s="174"/>
      <c r="G2217" s="174"/>
      <c r="H2217" s="174"/>
      <c r="I2217" s="174"/>
      <c r="J2217" s="174"/>
      <c r="K2217" s="174"/>
      <c r="L2217" s="174"/>
      <c r="M2217" s="174"/>
      <c r="N2217" s="174"/>
      <c r="O2217" s="174"/>
      <c r="P2217" s="174"/>
      <c r="Q2217" s="174"/>
      <c r="R2217" s="174"/>
      <c r="S2217" s="174"/>
      <c r="T2217" s="174"/>
      <c r="U2217" s="174"/>
      <c r="V2217" s="174"/>
      <c r="W2217" s="160"/>
      <c r="X2217" s="160"/>
      <c r="Y2217" s="160"/>
      <c r="Z2217" s="160"/>
      <c r="AA2217" s="160"/>
      <c r="AB2217" s="160"/>
      <c r="AC2217" s="160">
        <f>IF($AC$2030&gt;0,'Assumptions (Biomass)'!V11*Model!$AC$2030*AVERAGE('Assumptions (Biomass)'!$Y$2:$AA$2)/10^9,0)</f>
        <v>0</v>
      </c>
      <c r="AD2217" s="160">
        <f>IF($AC$2030&gt;0,'Assumptions (Biomass)'!W11*Model!$AC$2030*AVERAGE('Assumptions (Biomass)'!$Y$2:$AA$2)/10^9,0)</f>
        <v>0</v>
      </c>
      <c r="AE2217" s="160">
        <f>IF($AC$2030&gt;0,'Assumptions (Biomass)'!X11*Model!$AC$2030*AVERAGE('Assumptions (Biomass)'!$Y$2:$AA$2)/10^9,0)</f>
        <v>0</v>
      </c>
      <c r="AF2217" s="160">
        <f>IF($AC$2030&gt;0,'Assumptions (Biomass)'!Y11*Model!$AC$2030*AVERAGE('Assumptions (Biomass)'!$Y$2:$AA$2)/10^9,0)</f>
        <v>0</v>
      </c>
      <c r="AG2217" s="160">
        <f>IF($AC$2030&gt;0,'Assumptions (Biomass)'!Z11*Model!$AC$2030*AVERAGE('Assumptions (Biomass)'!$Y$2:$AA$2)/10^9,0)</f>
        <v>0</v>
      </c>
      <c r="AH2217" s="160">
        <f>IF($AC$2030&gt;0,'Assumptions (Biomass)'!AA11*Model!$AC$2030*AVERAGE('Assumptions (Biomass)'!$Y$2:$AA$2)/10^9,0)</f>
        <v>0</v>
      </c>
      <c r="AI2217" s="160">
        <f>IF($AC$2030&gt;0,'Assumptions (Biomass)'!AB11*Model!$AC$2030*AVERAGE('Assumptions (Biomass)'!$Y$2:$AA$2)/10^9,0)</f>
        <v>0</v>
      </c>
      <c r="AJ2217" s="160">
        <f>IF($AC$2030&gt;0,'Assumptions (Biomass)'!AC11*Model!$AC$2030*AVERAGE('Assumptions (Biomass)'!$Y$2:$AA$2)/10^9,0)</f>
        <v>0</v>
      </c>
      <c r="AK2217" s="160">
        <f>IF($AC$2030&gt;0,'Assumptions (Biomass)'!AD11*Model!$AC$2030*AVERAGE('Assumptions (Biomass)'!$Y$2:$AA$2)/10^9,0)</f>
        <v>0</v>
      </c>
      <c r="AL2217" s="160">
        <f>IF($AC$2030&gt;0,'Assumptions (Biomass)'!AE11*Model!$AC$2030*AVERAGE('Assumptions (Biomass)'!$Y$2:$AA$2)/10^9,0)</f>
        <v>0</v>
      </c>
      <c r="AM2217" s="160">
        <f>IF($AC$2030&gt;0,'Assumptions (Biomass)'!AF11*Model!$AC$2030*AVERAGE('Assumptions (Biomass)'!$Y$2:$AA$2)/10^9,0)</f>
        <v>0</v>
      </c>
      <c r="AN2217" s="160">
        <f>IF($AC$2030&gt;0,'Assumptions (Biomass)'!AG11*Model!$AC$2030*AVERAGE('Assumptions (Biomass)'!$Y$2:$AA$2)/10^9,0)</f>
        <v>0</v>
      </c>
      <c r="AO2217" s="160">
        <f>IF($AC$2030&gt;0,'Assumptions (Biomass)'!AH11*Model!$AC$2030*AVERAGE('Assumptions (Biomass)'!$Y$2:$AA$2)/10^9,0)</f>
        <v>0</v>
      </c>
      <c r="AP2217" s="160">
        <f>IF($AC$2030&gt;0,'Assumptions (Biomass)'!AI11*Model!$AC$2030*AVERAGE('Assumptions (Biomass)'!$Y$2:$AA$2)/10^9,0)</f>
        <v>0</v>
      </c>
      <c r="AQ2217" s="160">
        <f>IF($AC$2030&gt;0,'Assumptions (Biomass)'!AJ11*Model!$AC$2030*AVERAGE('Assumptions (Biomass)'!$Y$2:$AA$2)/10^9,0)</f>
        <v>0</v>
      </c>
      <c r="AR2217" s="160">
        <f>IF($AC$2030&gt;0,'Assumptions (Biomass)'!AK11*Model!$AC$2030*AVERAGE('Assumptions (Biomass)'!$Y$2:$AA$2)/10^9,0)</f>
        <v>0</v>
      </c>
      <c r="AS2217" s="160"/>
      <c r="AT2217" s="160"/>
      <c r="AU2217" s="160"/>
      <c r="AV2217" s="160"/>
      <c r="AW2217" s="160"/>
      <c r="AX2217" s="160"/>
      <c r="AY2217" s="160"/>
      <c r="AZ2217" s="160"/>
      <c r="BA2217" s="160"/>
    </row>
    <row r="2218" ht="15.75" hidden="1" customHeight="1" outlineLevel="1">
      <c r="A2218" s="318"/>
      <c r="B2218" s="38"/>
      <c r="C2218" s="174"/>
      <c r="D2218" s="174"/>
      <c r="E2218" s="174"/>
      <c r="F2218" s="174"/>
      <c r="G2218" s="174"/>
      <c r="H2218" s="174"/>
      <c r="I2218" s="174"/>
      <c r="J2218" s="174"/>
      <c r="K2218" s="174"/>
      <c r="L2218" s="174"/>
      <c r="M2218" s="174"/>
      <c r="N2218" s="174"/>
      <c r="O2218" s="174"/>
      <c r="P2218" s="174"/>
      <c r="Q2218" s="174"/>
      <c r="R2218" s="174"/>
      <c r="S2218" s="174"/>
      <c r="T2218" s="174"/>
      <c r="U2218" s="174"/>
      <c r="V2218" s="174"/>
      <c r="W2218" s="160"/>
      <c r="X2218" s="160"/>
      <c r="Y2218" s="160"/>
      <c r="Z2218" s="160"/>
      <c r="AA2218" s="160"/>
      <c r="AB2218" s="160"/>
      <c r="AC2218" s="160"/>
      <c r="AD2218" s="160">
        <f>IF($AD$2030&gt;0,'Assumptions (Biomass)'!V11*Model!$AD$2030*AVERAGE('Assumptions (Biomass)'!$Z$2:$AB$2)/10^9,0)</f>
        <v>0</v>
      </c>
      <c r="AE2218" s="160">
        <f>IF($AD$2030&gt;0,'Assumptions (Biomass)'!W11*Model!$AD$2030*AVERAGE('Assumptions (Biomass)'!$Z$2:$AB$2)/10^9,0)</f>
        <v>0</v>
      </c>
      <c r="AF2218" s="160">
        <f>IF($AD$2030&gt;0,'Assumptions (Biomass)'!X11*Model!$AD$2030*AVERAGE('Assumptions (Biomass)'!$Z$2:$AB$2)/10^9,0)</f>
        <v>0</v>
      </c>
      <c r="AG2218" s="160">
        <f>IF($AD$2030&gt;0,'Assumptions (Biomass)'!Y11*Model!$AD$2030*AVERAGE('Assumptions (Biomass)'!$Z$2:$AB$2)/10^9,0)</f>
        <v>0</v>
      </c>
      <c r="AH2218" s="160">
        <f>IF($AD$2030&gt;0,'Assumptions (Biomass)'!Z11*Model!$AD$2030*AVERAGE('Assumptions (Biomass)'!$Z$2:$AB$2)/10^9,0)</f>
        <v>0</v>
      </c>
      <c r="AI2218" s="160">
        <f>IF($AD$2030&gt;0,'Assumptions (Biomass)'!AA11*Model!$AD$2030*AVERAGE('Assumptions (Biomass)'!$Z$2:$AB$2)/10^9,0)</f>
        <v>0</v>
      </c>
      <c r="AJ2218" s="160">
        <f>IF($AD$2030&gt;0,'Assumptions (Biomass)'!AB11*Model!$AD$2030*AVERAGE('Assumptions (Biomass)'!$Z$2:$AB$2)/10^9,0)</f>
        <v>0</v>
      </c>
      <c r="AK2218" s="160">
        <f>IF($AD$2030&gt;0,'Assumptions (Biomass)'!AC11*Model!$AD$2030*AVERAGE('Assumptions (Biomass)'!$Z$2:$AB$2)/10^9,0)</f>
        <v>0</v>
      </c>
      <c r="AL2218" s="160">
        <f>IF($AD$2030&gt;0,'Assumptions (Biomass)'!AD11*Model!$AD$2030*AVERAGE('Assumptions (Biomass)'!$Z$2:$AB$2)/10^9,0)</f>
        <v>0</v>
      </c>
      <c r="AM2218" s="160">
        <f>IF($AD$2030&gt;0,'Assumptions (Biomass)'!AE11*Model!$AD$2030*AVERAGE('Assumptions (Biomass)'!$Z$2:$AB$2)/10^9,0)</f>
        <v>0</v>
      </c>
      <c r="AN2218" s="160">
        <f>IF($AD$2030&gt;0,'Assumptions (Biomass)'!AF11*Model!$AD$2030*AVERAGE('Assumptions (Biomass)'!$Z$2:$AB$2)/10^9,0)</f>
        <v>0</v>
      </c>
      <c r="AO2218" s="160">
        <f>IF($AD$2030&gt;0,'Assumptions (Biomass)'!AG11*Model!$AD$2030*AVERAGE('Assumptions (Biomass)'!$Z$2:$AB$2)/10^9,0)</f>
        <v>0</v>
      </c>
      <c r="AP2218" s="160">
        <f>IF($AD$2030&gt;0,'Assumptions (Biomass)'!AH11*Model!$AD$2030*AVERAGE('Assumptions (Biomass)'!$Z$2:$AB$2)/10^9,0)</f>
        <v>0</v>
      </c>
      <c r="AQ2218" s="160">
        <f>IF($AD$2030&gt;0,'Assumptions (Biomass)'!AI11*Model!$AD$2030*AVERAGE('Assumptions (Biomass)'!$Z$2:$AB$2)/10^9,0)</f>
        <v>0</v>
      </c>
      <c r="AR2218" s="160">
        <f>IF($AD$2030&gt;0,'Assumptions (Biomass)'!AJ11*Model!$AD$2030*AVERAGE('Assumptions (Biomass)'!$Z$2:$AB$2)/10^9,0)</f>
        <v>0</v>
      </c>
      <c r="AS2218" s="160">
        <f>IF($AD$2030&gt;0,'Assumptions (Biomass)'!AK11*Model!$AD$2030*AVERAGE('Assumptions (Biomass)'!$Z$2:$AB$2)/10^9,0)</f>
        <v>0</v>
      </c>
      <c r="AT2218" s="160"/>
      <c r="AU2218" s="160"/>
      <c r="AV2218" s="160"/>
      <c r="AW2218" s="160"/>
      <c r="AX2218" s="160"/>
      <c r="AY2218" s="160"/>
      <c r="AZ2218" s="160"/>
      <c r="BA2218" s="160"/>
      <c r="BB2218" s="160"/>
    </row>
    <row r="2219" ht="15.75" hidden="1" customHeight="1" outlineLevel="1">
      <c r="A2219" s="318"/>
      <c r="B2219" s="38"/>
      <c r="C2219" s="174"/>
      <c r="D2219" s="174"/>
      <c r="E2219" s="174"/>
      <c r="F2219" s="174"/>
      <c r="G2219" s="174"/>
      <c r="H2219" s="174"/>
      <c r="I2219" s="174"/>
      <c r="J2219" s="174"/>
      <c r="K2219" s="174"/>
      <c r="L2219" s="174"/>
      <c r="M2219" s="174"/>
      <c r="N2219" s="174"/>
      <c r="O2219" s="174"/>
      <c r="P2219" s="174"/>
      <c r="Q2219" s="174"/>
      <c r="R2219" s="174"/>
      <c r="S2219" s="174"/>
      <c r="T2219" s="174"/>
      <c r="U2219" s="174"/>
      <c r="V2219" s="174"/>
      <c r="W2219" s="160"/>
      <c r="X2219" s="160"/>
      <c r="Y2219" s="160"/>
      <c r="Z2219" s="160"/>
      <c r="AA2219" s="160"/>
      <c r="AB2219" s="160"/>
      <c r="AC2219" s="160"/>
      <c r="AD2219" s="160"/>
      <c r="AE2219" s="160">
        <f>IF($AE$2030&gt;0,'Assumptions (Biomass)'!V11*Model!$AE$2030*AVERAGE('Assumptions (Biomass)'!$AA$2:$AC$2)/10^9,0)</f>
        <v>0</v>
      </c>
      <c r="AF2219" s="160">
        <f>IF($AE$2030&gt;0,'Assumptions (Biomass)'!W11*Model!$AE$2030*AVERAGE('Assumptions (Biomass)'!$AA$2:$AC$2)/10^9,0)</f>
        <v>0</v>
      </c>
      <c r="AG2219" s="160">
        <f>IF($AE$2030&gt;0,'Assumptions (Biomass)'!X11*Model!$AE$2030*AVERAGE('Assumptions (Biomass)'!$AA$2:$AC$2)/10^9,0)</f>
        <v>0</v>
      </c>
      <c r="AH2219" s="160">
        <f>IF($AE$2030&gt;0,'Assumptions (Biomass)'!Y11*Model!$AE$2030*AVERAGE('Assumptions (Biomass)'!$AA$2:$AC$2)/10^9,0)</f>
        <v>0</v>
      </c>
      <c r="AI2219" s="160">
        <f>IF($AE$2030&gt;0,'Assumptions (Biomass)'!Z11*Model!$AE$2030*AVERAGE('Assumptions (Biomass)'!$AA$2:$AC$2)/10^9,0)</f>
        <v>0</v>
      </c>
      <c r="AJ2219" s="160">
        <f>IF($AE$2030&gt;0,'Assumptions (Biomass)'!AA11*Model!$AE$2030*AVERAGE('Assumptions (Biomass)'!$AA$2:$AC$2)/10^9,0)</f>
        <v>0</v>
      </c>
      <c r="AK2219" s="160">
        <f>IF($AE$2030&gt;0,'Assumptions (Biomass)'!AB11*Model!$AE$2030*AVERAGE('Assumptions (Biomass)'!$AA$2:$AC$2)/10^9,0)</f>
        <v>0</v>
      </c>
      <c r="AL2219" s="160">
        <f>IF($AE$2030&gt;0,'Assumptions (Biomass)'!AC11*Model!$AE$2030*AVERAGE('Assumptions (Biomass)'!$AA$2:$AC$2)/10^9,0)</f>
        <v>0</v>
      </c>
      <c r="AM2219" s="160">
        <f>IF($AE$2030&gt;0,'Assumptions (Biomass)'!AD11*Model!$AE$2030*AVERAGE('Assumptions (Biomass)'!$AA$2:$AC$2)/10^9,0)</f>
        <v>0</v>
      </c>
      <c r="AN2219" s="160">
        <f>IF($AE$2030&gt;0,'Assumptions (Biomass)'!AE11*Model!$AE$2030*AVERAGE('Assumptions (Biomass)'!$AA$2:$AC$2)/10^9,0)</f>
        <v>0</v>
      </c>
      <c r="AO2219" s="160">
        <f>IF($AE$2030&gt;0,'Assumptions (Biomass)'!AF11*Model!$AE$2030*AVERAGE('Assumptions (Biomass)'!$AA$2:$AC$2)/10^9,0)</f>
        <v>0</v>
      </c>
      <c r="AP2219" s="160">
        <f>IF($AE$2030&gt;0,'Assumptions (Biomass)'!AG11*Model!$AE$2030*AVERAGE('Assumptions (Biomass)'!$AA$2:$AC$2)/10^9,0)</f>
        <v>0</v>
      </c>
      <c r="AQ2219" s="160">
        <f>IF($AE$2030&gt;0,'Assumptions (Biomass)'!AH11*Model!$AE$2030*AVERAGE('Assumptions (Biomass)'!$AA$2:$AC$2)/10^9,0)</f>
        <v>0</v>
      </c>
      <c r="AR2219" s="160">
        <f>IF($AE$2030&gt;0,'Assumptions (Biomass)'!AI11*Model!$AE$2030*AVERAGE('Assumptions (Biomass)'!$AA$2:$AC$2)/10^9,0)</f>
        <v>0</v>
      </c>
      <c r="AS2219" s="160">
        <f>IF($AE$2030&gt;0,'Assumptions (Biomass)'!AJ11*Model!$AE$2030*AVERAGE('Assumptions (Biomass)'!$AA$2:$AC$2)/10^9,0)</f>
        <v>0</v>
      </c>
      <c r="AT2219" s="160">
        <f>IF($AE$2030&gt;0,'Assumptions (Biomass)'!AK11*Model!$AE$2030*AVERAGE('Assumptions (Biomass)'!$AA$2:$AC$2)/10^9,0)</f>
        <v>0</v>
      </c>
      <c r="AU2219" s="160"/>
      <c r="AV2219" s="160"/>
      <c r="AW2219" s="160"/>
      <c r="AX2219" s="160"/>
      <c r="AY2219" s="160"/>
      <c r="AZ2219" s="160"/>
      <c r="BA2219" s="160"/>
      <c r="BB2219" s="160"/>
      <c r="BC2219" s="160"/>
    </row>
    <row r="2220" ht="15.75" hidden="1" customHeight="1" outlineLevel="1">
      <c r="A2220" s="318"/>
      <c r="B2220" s="38"/>
      <c r="C2220" s="174"/>
      <c r="D2220" s="174"/>
      <c r="E2220" s="174"/>
      <c r="F2220" s="174"/>
      <c r="G2220" s="174"/>
      <c r="H2220" s="174"/>
      <c r="I2220" s="174"/>
      <c r="J2220" s="174"/>
      <c r="K2220" s="174"/>
      <c r="L2220" s="174"/>
      <c r="M2220" s="174"/>
      <c r="N2220" s="174"/>
      <c r="O2220" s="174"/>
      <c r="P2220" s="174"/>
      <c r="Q2220" s="174"/>
      <c r="R2220" s="174"/>
      <c r="S2220" s="174"/>
      <c r="T2220" s="174"/>
      <c r="U2220" s="174"/>
      <c r="V2220" s="174"/>
      <c r="W2220" s="160"/>
      <c r="X2220" s="160"/>
      <c r="Y2220" s="160"/>
      <c r="Z2220" s="160"/>
      <c r="AA2220" s="160"/>
      <c r="AB2220" s="160"/>
      <c r="AC2220" s="160"/>
      <c r="AD2220" s="160"/>
      <c r="AE2220" s="160"/>
      <c r="AF2220" s="160">
        <f>IF($AF$2030&gt;0,'Assumptions (Biomass)'!V11*Model!$AF$2030*AVERAGE('Assumptions (Biomass)'!$AB$2:$AD$2)/10^9,0)</f>
        <v>0</v>
      </c>
      <c r="AG2220" s="160">
        <f>IF($AF$2030&gt;0,'Assumptions (Biomass)'!W11*Model!$AF$2030*AVERAGE('Assumptions (Biomass)'!$AB$2:$AD$2)/10^9,0)</f>
        <v>0</v>
      </c>
      <c r="AH2220" s="160">
        <f>IF($AF$2030&gt;0,'Assumptions (Biomass)'!X11*Model!$AF$2030*AVERAGE('Assumptions (Biomass)'!$AB$2:$AD$2)/10^9,0)</f>
        <v>0</v>
      </c>
      <c r="AI2220" s="160">
        <f>IF($AF$2030&gt;0,'Assumptions (Biomass)'!Y11*Model!$AF$2030*AVERAGE('Assumptions (Biomass)'!$AB$2:$AD$2)/10^9,0)</f>
        <v>0</v>
      </c>
      <c r="AJ2220" s="160">
        <f>IF($AF$2030&gt;0,'Assumptions (Biomass)'!Z11*Model!$AF$2030*AVERAGE('Assumptions (Biomass)'!$AB$2:$AD$2)/10^9,0)</f>
        <v>0</v>
      </c>
      <c r="AK2220" s="160">
        <f>IF($AF$2030&gt;0,'Assumptions (Biomass)'!AA11*Model!$AF$2030*AVERAGE('Assumptions (Biomass)'!$AB$2:$AD$2)/10^9,0)</f>
        <v>0</v>
      </c>
      <c r="AL2220" s="160">
        <f>IF($AF$2030&gt;0,'Assumptions (Biomass)'!AB11*Model!$AF$2030*AVERAGE('Assumptions (Biomass)'!$AB$2:$AD$2)/10^9,0)</f>
        <v>0</v>
      </c>
      <c r="AM2220" s="160">
        <f>IF($AF$2030&gt;0,'Assumptions (Biomass)'!AC11*Model!$AF$2030*AVERAGE('Assumptions (Biomass)'!$AB$2:$AD$2)/10^9,0)</f>
        <v>0</v>
      </c>
      <c r="AN2220" s="160">
        <f>IF($AF$2030&gt;0,'Assumptions (Biomass)'!AD11*Model!$AF$2030*AVERAGE('Assumptions (Biomass)'!$AB$2:$AD$2)/10^9,0)</f>
        <v>0</v>
      </c>
      <c r="AO2220" s="160">
        <f>IF($AF$2030&gt;0,'Assumptions (Biomass)'!AE11*Model!$AF$2030*AVERAGE('Assumptions (Biomass)'!$AB$2:$AD$2)/10^9,0)</f>
        <v>0</v>
      </c>
      <c r="AP2220" s="160">
        <f>IF($AF$2030&gt;0,'Assumptions (Biomass)'!AF11*Model!$AF$2030*AVERAGE('Assumptions (Biomass)'!$AB$2:$AD$2)/10^9,0)</f>
        <v>0</v>
      </c>
      <c r="AQ2220" s="160">
        <f>IF($AF$2030&gt;0,'Assumptions (Biomass)'!AG11*Model!$AF$2030*AVERAGE('Assumptions (Biomass)'!$AB$2:$AD$2)/10^9,0)</f>
        <v>0</v>
      </c>
      <c r="AR2220" s="160">
        <f>IF($AF$2030&gt;0,'Assumptions (Biomass)'!AH11*Model!$AF$2030*AVERAGE('Assumptions (Biomass)'!$AB$2:$AD$2)/10^9,0)</f>
        <v>0</v>
      </c>
      <c r="AS2220" s="160">
        <f>IF($AF$2030&gt;0,'Assumptions (Biomass)'!AI11*Model!$AF$2030*AVERAGE('Assumptions (Biomass)'!$AB$2:$AD$2)/10^9,0)</f>
        <v>0</v>
      </c>
      <c r="AT2220" s="160">
        <f>IF($AF$2030&gt;0,'Assumptions (Biomass)'!AJ11*Model!$AF$2030*AVERAGE('Assumptions (Biomass)'!$AB$2:$AD$2)/10^9,0)</f>
        <v>0</v>
      </c>
      <c r="AU2220" s="160">
        <f>IF($AF$2030&gt;0,'Assumptions (Biomass)'!AK11*Model!$AF$2030*AVERAGE('Assumptions (Biomass)'!$AB$2:$AD$2)/10^9,0)</f>
        <v>0</v>
      </c>
      <c r="AV2220" s="160"/>
      <c r="AW2220" s="160"/>
      <c r="AX2220" s="160"/>
      <c r="AY2220" s="160"/>
      <c r="AZ2220" s="160"/>
      <c r="BA2220" s="160"/>
      <c r="BB2220" s="160"/>
      <c r="BC2220" s="160"/>
      <c r="BD2220" s="160"/>
    </row>
    <row r="2221" ht="15.75" hidden="1" customHeight="1" outlineLevel="1">
      <c r="A2221" s="318"/>
      <c r="B2221" s="38"/>
      <c r="C2221" s="174"/>
      <c r="D2221" s="174"/>
      <c r="E2221" s="174"/>
      <c r="F2221" s="174"/>
      <c r="G2221" s="174"/>
      <c r="H2221" s="174"/>
      <c r="I2221" s="174"/>
      <c r="J2221" s="174"/>
      <c r="K2221" s="174"/>
      <c r="L2221" s="174"/>
      <c r="M2221" s="174"/>
      <c r="N2221" s="174"/>
      <c r="O2221" s="174"/>
      <c r="P2221" s="174"/>
      <c r="Q2221" s="174"/>
      <c r="R2221" s="174"/>
      <c r="S2221" s="174"/>
      <c r="T2221" s="174"/>
      <c r="U2221" s="174"/>
      <c r="V2221" s="174"/>
      <c r="W2221" s="160"/>
      <c r="X2221" s="160"/>
      <c r="Y2221" s="160"/>
      <c r="Z2221" s="160"/>
      <c r="AA2221" s="160"/>
      <c r="AB2221" s="160"/>
      <c r="AC2221" s="160"/>
      <c r="AD2221" s="160"/>
      <c r="AE2221" s="160"/>
      <c r="AF2221" s="160"/>
      <c r="AG2221" s="160">
        <f>IF($AG$2030&gt;0,'Assumptions (Biomass)'!V11*Model!$AG$2030*AVERAGE('Assumptions (Biomass)'!$AC$2:$AE$2)/10^9,0)</f>
        <v>0</v>
      </c>
      <c r="AH2221" s="160">
        <f>IF($AG$2030&gt;0,'Assumptions (Biomass)'!W11*Model!$AG$2030*AVERAGE('Assumptions (Biomass)'!$AC$2:$AE$2)/10^9,0)</f>
        <v>0</v>
      </c>
      <c r="AI2221" s="160">
        <f>IF($AG$2030&gt;0,'Assumptions (Biomass)'!X11*Model!$AG$2030*AVERAGE('Assumptions (Biomass)'!$AC$2:$AE$2)/10^9,0)</f>
        <v>0</v>
      </c>
      <c r="AJ2221" s="160">
        <f>IF($AG$2030&gt;0,'Assumptions (Biomass)'!Y11*Model!$AG$2030*AVERAGE('Assumptions (Biomass)'!$AC$2:$AE$2)/10^9,0)</f>
        <v>0</v>
      </c>
      <c r="AK2221" s="160">
        <f>IF($AG$2030&gt;0,'Assumptions (Biomass)'!Z11*Model!$AG$2030*AVERAGE('Assumptions (Biomass)'!$AC$2:$AE$2)/10^9,0)</f>
        <v>0</v>
      </c>
      <c r="AL2221" s="160">
        <f>IF($AG$2030&gt;0,'Assumptions (Biomass)'!AA11*Model!$AG$2030*AVERAGE('Assumptions (Biomass)'!$AC$2:$AE$2)/10^9,0)</f>
        <v>0</v>
      </c>
      <c r="AM2221" s="160">
        <f>IF($AG$2030&gt;0,'Assumptions (Biomass)'!AB11*Model!$AG$2030*AVERAGE('Assumptions (Biomass)'!$AC$2:$AE$2)/10^9,0)</f>
        <v>0</v>
      </c>
      <c r="AN2221" s="160">
        <f>IF($AG$2030&gt;0,'Assumptions (Biomass)'!AC11*Model!$AG$2030*AVERAGE('Assumptions (Biomass)'!$AC$2:$AE$2)/10^9,0)</f>
        <v>0</v>
      </c>
      <c r="AO2221" s="160">
        <f>IF($AG$2030&gt;0,'Assumptions (Biomass)'!AD11*Model!$AG$2030*AVERAGE('Assumptions (Biomass)'!$AC$2:$AE$2)/10^9,0)</f>
        <v>0</v>
      </c>
      <c r="AP2221" s="160">
        <f>IF($AG$2030&gt;0,'Assumptions (Biomass)'!AE11*Model!$AG$2030*AVERAGE('Assumptions (Biomass)'!$AC$2:$AE$2)/10^9,0)</f>
        <v>0</v>
      </c>
      <c r="AQ2221" s="160">
        <f>IF($AG$2030&gt;0,'Assumptions (Biomass)'!AF11*Model!$AG$2030*AVERAGE('Assumptions (Biomass)'!$AC$2:$AE$2)/10^9,0)</f>
        <v>0</v>
      </c>
      <c r="AR2221" s="160">
        <f>IF($AG$2030&gt;0,'Assumptions (Biomass)'!AG11*Model!$AG$2030*AVERAGE('Assumptions (Biomass)'!$AC$2:$AE$2)/10^9,0)</f>
        <v>0</v>
      </c>
      <c r="AS2221" s="160">
        <f>IF($AG$2030&gt;0,'Assumptions (Biomass)'!AH11*Model!$AG$2030*AVERAGE('Assumptions (Biomass)'!$AC$2:$AE$2)/10^9,0)</f>
        <v>0</v>
      </c>
      <c r="AT2221" s="160">
        <f>IF($AG$2030&gt;0,'Assumptions (Biomass)'!AI11*Model!$AG$2030*AVERAGE('Assumptions (Biomass)'!$AC$2:$AE$2)/10^9,0)</f>
        <v>0</v>
      </c>
      <c r="AU2221" s="160">
        <f>IF($AG$2030&gt;0,'Assumptions (Biomass)'!AJ11*Model!$AG$2030*AVERAGE('Assumptions (Biomass)'!$AC$2:$AE$2)/10^9,0)</f>
        <v>0</v>
      </c>
      <c r="AV2221" s="160">
        <f>IF($AG$2030&gt;0,'Assumptions (Biomass)'!AK11*Model!$AG$2030*AVERAGE('Assumptions (Biomass)'!$AC$2:$AE$2)/10^9,0)</f>
        <v>0</v>
      </c>
      <c r="AW2221" s="160"/>
      <c r="AX2221" s="160"/>
      <c r="AY2221" s="160"/>
      <c r="AZ2221" s="160"/>
      <c r="BA2221" s="160"/>
      <c r="BB2221" s="160"/>
      <c r="BC2221" s="160"/>
      <c r="BD2221" s="160"/>
      <c r="BE2221" s="160"/>
    </row>
    <row r="2222" ht="15.75" hidden="1" customHeight="1" outlineLevel="1">
      <c r="A2222" s="318"/>
      <c r="B2222" s="38"/>
      <c r="C2222" s="174"/>
      <c r="D2222" s="174"/>
      <c r="E2222" s="174"/>
      <c r="F2222" s="174"/>
      <c r="G2222" s="174"/>
      <c r="H2222" s="174"/>
      <c r="I2222" s="174"/>
      <c r="J2222" s="174"/>
      <c r="K2222" s="174"/>
      <c r="L2222" s="174"/>
      <c r="M2222" s="174"/>
      <c r="N2222" s="174"/>
      <c r="O2222" s="174"/>
      <c r="P2222" s="174"/>
      <c r="Q2222" s="174"/>
      <c r="R2222" s="174"/>
      <c r="S2222" s="174"/>
      <c r="T2222" s="174"/>
      <c r="U2222" s="174"/>
      <c r="V2222" s="174"/>
      <c r="W2222" s="160"/>
      <c r="X2222" s="160"/>
      <c r="Y2222" s="160"/>
      <c r="Z2222" s="160"/>
      <c r="AA2222" s="160"/>
      <c r="AB2222" s="160"/>
      <c r="AC2222" s="160"/>
      <c r="AD2222" s="160"/>
      <c r="AE2222" s="160"/>
      <c r="AF2222" s="160"/>
      <c r="AG2222" s="160"/>
      <c r="AH2222" s="160">
        <f>IF($AH$2030&gt;0,'Assumptions (Biomass)'!V11*Model!$AH$2030*AVERAGE('Assumptions (Biomass)'!$AD$2:$AF$2)/10^9,0)</f>
        <v>0</v>
      </c>
      <c r="AI2222" s="160">
        <f>IF($AH$2030&gt;0,'Assumptions (Biomass)'!W11*Model!$AH$2030*AVERAGE('Assumptions (Biomass)'!$AD$2:$AF$2)/10^9,0)</f>
        <v>0</v>
      </c>
      <c r="AJ2222" s="160">
        <f>IF($AH$2030&gt;0,'Assumptions (Biomass)'!X11*Model!$AH$2030*AVERAGE('Assumptions (Biomass)'!$AD$2:$AF$2)/10^9,0)</f>
        <v>0</v>
      </c>
      <c r="AK2222" s="160">
        <f>IF($AH$2030&gt;0,'Assumptions (Biomass)'!Y11*Model!$AH$2030*AVERAGE('Assumptions (Biomass)'!$AD$2:$AF$2)/10^9,0)</f>
        <v>0</v>
      </c>
      <c r="AL2222" s="160">
        <f>IF($AH$2030&gt;0,'Assumptions (Biomass)'!Z11*Model!$AH$2030*AVERAGE('Assumptions (Biomass)'!$AD$2:$AF$2)/10^9,0)</f>
        <v>0</v>
      </c>
      <c r="AM2222" s="160">
        <f>IF($AH$2030&gt;0,'Assumptions (Biomass)'!AA11*Model!$AH$2030*AVERAGE('Assumptions (Biomass)'!$AD$2:$AF$2)/10^9,0)</f>
        <v>0</v>
      </c>
      <c r="AN2222" s="160">
        <f>IF($AH$2030&gt;0,'Assumptions (Biomass)'!AB11*Model!$AH$2030*AVERAGE('Assumptions (Biomass)'!$AD$2:$AF$2)/10^9,0)</f>
        <v>0</v>
      </c>
      <c r="AO2222" s="160">
        <f>IF($AH$2030&gt;0,'Assumptions (Biomass)'!AC11*Model!$AH$2030*AVERAGE('Assumptions (Biomass)'!$AD$2:$AF$2)/10^9,0)</f>
        <v>0</v>
      </c>
      <c r="AP2222" s="160">
        <f>IF($AH$2030&gt;0,'Assumptions (Biomass)'!AD11*Model!$AH$2030*AVERAGE('Assumptions (Biomass)'!$AD$2:$AF$2)/10^9,0)</f>
        <v>0</v>
      </c>
      <c r="AQ2222" s="160">
        <f>IF($AH$2030&gt;0,'Assumptions (Biomass)'!AE11*Model!$AH$2030*AVERAGE('Assumptions (Biomass)'!$AD$2:$AF$2)/10^9,0)</f>
        <v>0</v>
      </c>
      <c r="AR2222" s="160">
        <f>IF($AH$2030&gt;0,'Assumptions (Biomass)'!AF11*Model!$AH$2030*AVERAGE('Assumptions (Biomass)'!$AD$2:$AF$2)/10^9,0)</f>
        <v>0</v>
      </c>
      <c r="AS2222" s="160">
        <f>IF($AH$2030&gt;0,'Assumptions (Biomass)'!AG11*Model!$AH$2030*AVERAGE('Assumptions (Biomass)'!$AD$2:$AF$2)/10^9,0)</f>
        <v>0</v>
      </c>
      <c r="AT2222" s="160">
        <f>IF($AH$2030&gt;0,'Assumptions (Biomass)'!AH11*Model!$AH$2030*AVERAGE('Assumptions (Biomass)'!$AD$2:$AF$2)/10^9,0)</f>
        <v>0</v>
      </c>
      <c r="AU2222" s="160">
        <f>IF($AH$2030&gt;0,'Assumptions (Biomass)'!AI11*Model!$AH$2030*AVERAGE('Assumptions (Biomass)'!$AD$2:$AF$2)/10^9,0)</f>
        <v>0</v>
      </c>
      <c r="AV2222" s="160">
        <f>IF($AH$2030&gt;0,'Assumptions (Biomass)'!AJ11*Model!$AH$2030*AVERAGE('Assumptions (Biomass)'!$AD$2:$AF$2)/10^9,0)</f>
        <v>0</v>
      </c>
      <c r="AW2222" s="160">
        <f>IF($AH$2030&gt;0,'Assumptions (Biomass)'!AK11*Model!$AH$2030*AVERAGE('Assumptions (Biomass)'!$AD$2:$AF$2)/10^9,0)</f>
        <v>0</v>
      </c>
      <c r="AX2222" s="160"/>
      <c r="AY2222" s="160"/>
      <c r="AZ2222" s="160"/>
      <c r="BA2222" s="160"/>
      <c r="BB2222" s="160"/>
      <c r="BC2222" s="160"/>
      <c r="BD2222" s="160"/>
      <c r="BE2222" s="160"/>
      <c r="BF2222" s="160"/>
    </row>
    <row r="2223" ht="15.75" hidden="1" customHeight="1" outlineLevel="1">
      <c r="A2223" s="318"/>
      <c r="B2223" s="38"/>
      <c r="C2223" s="174"/>
      <c r="D2223" s="174"/>
      <c r="E2223" s="174"/>
      <c r="F2223" s="174"/>
      <c r="G2223" s="174"/>
      <c r="H2223" s="174"/>
      <c r="I2223" s="174"/>
      <c r="J2223" s="174"/>
      <c r="K2223" s="174"/>
      <c r="L2223" s="174"/>
      <c r="M2223" s="174"/>
      <c r="N2223" s="174"/>
      <c r="O2223" s="174"/>
      <c r="P2223" s="174"/>
      <c r="Q2223" s="174"/>
      <c r="R2223" s="174"/>
      <c r="S2223" s="174"/>
      <c r="T2223" s="174"/>
      <c r="U2223" s="174"/>
      <c r="V2223" s="174"/>
      <c r="W2223" s="160"/>
      <c r="X2223" s="160"/>
      <c r="Y2223" s="160"/>
      <c r="Z2223" s="160"/>
      <c r="AA2223" s="160"/>
      <c r="AB2223" s="160"/>
      <c r="AC2223" s="160"/>
      <c r="AD2223" s="160"/>
      <c r="AE2223" s="160"/>
      <c r="AF2223" s="160"/>
      <c r="AG2223" s="160"/>
      <c r="AH2223" s="160"/>
      <c r="AI2223" s="160">
        <f>IF($AI$2030&gt;0,'Assumptions (Biomass)'!V11*Model!$AI$2030*AVERAGE('Assumptions (Biomass)'!$AE$2:$AG$2)/10^9,0)</f>
        <v>0</v>
      </c>
      <c r="AJ2223" s="160">
        <f>IF($AI$2030&gt;0,'Assumptions (Biomass)'!W11*Model!$AI$2030*AVERAGE('Assumptions (Biomass)'!$AE$2:$AG$2)/10^9,0)</f>
        <v>0</v>
      </c>
      <c r="AK2223" s="160">
        <f>IF($AI$2030&gt;0,'Assumptions (Biomass)'!X11*Model!$AI$2030*AVERAGE('Assumptions (Biomass)'!$AE$2:$AG$2)/10^9,0)</f>
        <v>0</v>
      </c>
      <c r="AL2223" s="160">
        <f>IF($AI$2030&gt;0,'Assumptions (Biomass)'!Y11*Model!$AI$2030*AVERAGE('Assumptions (Biomass)'!$AE$2:$AG$2)/10^9,0)</f>
        <v>0</v>
      </c>
      <c r="AM2223" s="160">
        <f>IF($AI$2030&gt;0,'Assumptions (Biomass)'!Z11*Model!$AI$2030*AVERAGE('Assumptions (Biomass)'!$AE$2:$AG$2)/10^9,0)</f>
        <v>0</v>
      </c>
      <c r="AN2223" s="160">
        <f>IF($AI$2030&gt;0,'Assumptions (Biomass)'!AA11*Model!$AI$2030*AVERAGE('Assumptions (Biomass)'!$AE$2:$AG$2)/10^9,0)</f>
        <v>0</v>
      </c>
      <c r="AO2223" s="160">
        <f>IF($AI$2030&gt;0,'Assumptions (Biomass)'!AB11*Model!$AI$2030*AVERAGE('Assumptions (Biomass)'!$AE$2:$AG$2)/10^9,0)</f>
        <v>0</v>
      </c>
      <c r="AP2223" s="160">
        <f>IF($AI$2030&gt;0,'Assumptions (Biomass)'!AC11*Model!$AI$2030*AVERAGE('Assumptions (Biomass)'!$AE$2:$AG$2)/10^9,0)</f>
        <v>0</v>
      </c>
      <c r="AQ2223" s="160">
        <f>IF($AI$2030&gt;0,'Assumptions (Biomass)'!AD11*Model!$AI$2030*AVERAGE('Assumptions (Biomass)'!$AE$2:$AG$2)/10^9,0)</f>
        <v>0</v>
      </c>
      <c r="AR2223" s="160">
        <f>IF($AI$2030&gt;0,'Assumptions (Biomass)'!AE11*Model!$AI$2030*AVERAGE('Assumptions (Biomass)'!$AE$2:$AG$2)/10^9,0)</f>
        <v>0</v>
      </c>
      <c r="AS2223" s="160">
        <f>IF($AI$2030&gt;0,'Assumptions (Biomass)'!AF11*Model!$AI$2030*AVERAGE('Assumptions (Biomass)'!$AE$2:$AG$2)/10^9,0)</f>
        <v>0</v>
      </c>
      <c r="AT2223" s="160">
        <f>IF($AI$2030&gt;0,'Assumptions (Biomass)'!AG11*Model!$AI$2030*AVERAGE('Assumptions (Biomass)'!$AE$2:$AG$2)/10^9,0)</f>
        <v>0</v>
      </c>
      <c r="AU2223" s="160">
        <f>IF($AI$2030&gt;0,'Assumptions (Biomass)'!AH11*Model!$AI$2030*AVERAGE('Assumptions (Biomass)'!$AE$2:$AG$2)/10^9,0)</f>
        <v>0</v>
      </c>
      <c r="AV2223" s="160">
        <f>IF($AI$2030&gt;0,'Assumptions (Biomass)'!AI11*Model!$AI$2030*AVERAGE('Assumptions (Biomass)'!$AE$2:$AG$2)/10^9,0)</f>
        <v>0</v>
      </c>
      <c r="AW2223" s="160">
        <f>IF($AI$2030&gt;0,'Assumptions (Biomass)'!AJ11*Model!$AI$2030*AVERAGE('Assumptions (Biomass)'!$AE$2:$AG$2)/10^9,0)</f>
        <v>0</v>
      </c>
      <c r="AX2223" s="160">
        <f>IF($AI$2030&gt;0,'Assumptions (Biomass)'!AK11*Model!$AI$2030*AVERAGE('Assumptions (Biomass)'!$AE$2:$AG$2)/10^9,0)</f>
        <v>0</v>
      </c>
      <c r="AY2223" s="160"/>
      <c r="AZ2223" s="160"/>
      <c r="BA2223" s="160"/>
      <c r="BB2223" s="160"/>
      <c r="BC2223" s="160"/>
      <c r="BD2223" s="160"/>
      <c r="BE2223" s="160"/>
      <c r="BF2223" s="160"/>
      <c r="BG2223" s="160"/>
    </row>
    <row r="2224" ht="15.75" hidden="1" customHeight="1" outlineLevel="1">
      <c r="A2224" s="318"/>
      <c r="B2224" s="38"/>
      <c r="C2224" s="174"/>
      <c r="D2224" s="174"/>
      <c r="E2224" s="174"/>
      <c r="F2224" s="174"/>
      <c r="G2224" s="174"/>
      <c r="H2224" s="174"/>
      <c r="I2224" s="174"/>
      <c r="J2224" s="174"/>
      <c r="K2224" s="174"/>
      <c r="L2224" s="174"/>
      <c r="M2224" s="174"/>
      <c r="N2224" s="174"/>
      <c r="O2224" s="174"/>
      <c r="P2224" s="174"/>
      <c r="Q2224" s="174"/>
      <c r="R2224" s="174"/>
      <c r="S2224" s="174"/>
      <c r="T2224" s="174"/>
      <c r="U2224" s="174"/>
      <c r="V2224" s="174"/>
      <c r="W2224" s="160"/>
      <c r="X2224" s="160"/>
      <c r="Y2224" s="160"/>
      <c r="Z2224" s="160"/>
      <c r="AA2224" s="160"/>
      <c r="AB2224" s="177"/>
      <c r="AC2224" s="160"/>
      <c r="AD2224" s="160"/>
      <c r="AE2224" s="160"/>
      <c r="AF2224" s="160"/>
      <c r="AG2224" s="160"/>
      <c r="AH2224" s="160"/>
      <c r="AI2224" s="160"/>
      <c r="AJ2224" s="177">
        <f>IF($AJ$2030&gt;0,'Assumptions (Biomass)'!V11*Model!$AJ$2030*AVERAGE('Assumptions (Biomass)'!$AF$2:$AH$2)/10^9,0)</f>
        <v>0</v>
      </c>
      <c r="AK2224" s="177">
        <f>IF($AJ$2030&gt;0,'Assumptions (Biomass)'!W11*Model!$AJ$2030*AVERAGE('Assumptions (Biomass)'!$AF$2:$AH$2)/10^9,0)</f>
        <v>0</v>
      </c>
      <c r="AL2224" s="177">
        <f>IF($AJ$2030&gt;0,'Assumptions (Biomass)'!X11*Model!$AJ$2030*AVERAGE('Assumptions (Biomass)'!$AF$2:$AH$2)/10^9,0)</f>
        <v>0</v>
      </c>
      <c r="AM2224" s="177">
        <f>IF($AJ$2030&gt;0,'Assumptions (Biomass)'!Y11*Model!$AJ$2030*AVERAGE('Assumptions (Biomass)'!$AF$2:$AH$2)/10^9,0)</f>
        <v>0</v>
      </c>
      <c r="AN2224" s="177">
        <f>IF($AJ$2030&gt;0,'Assumptions (Biomass)'!Z11*Model!$AJ$2030*AVERAGE('Assumptions (Biomass)'!$AF$2:$AH$2)/10^9,0)</f>
        <v>0</v>
      </c>
      <c r="AO2224" s="177">
        <f>IF($AJ$2030&gt;0,'Assumptions (Biomass)'!AA11*Model!$AJ$2030*AVERAGE('Assumptions (Biomass)'!$AF$2:$AH$2)/10^9,0)</f>
        <v>0</v>
      </c>
      <c r="AP2224" s="177">
        <f>IF($AJ$2030&gt;0,'Assumptions (Biomass)'!AB11*Model!$AJ$2030*AVERAGE('Assumptions (Biomass)'!$AF$2:$AH$2)/10^9,0)</f>
        <v>0</v>
      </c>
      <c r="AQ2224" s="177">
        <f>IF($AJ$2030&gt;0,'Assumptions (Biomass)'!AC11*Model!$AJ$2030*AVERAGE('Assumptions (Biomass)'!$AF$2:$AH$2)/10^9,0)</f>
        <v>0</v>
      </c>
      <c r="AR2224" s="177">
        <f>IF($AJ$2030&gt;0,'Assumptions (Biomass)'!AD11*Model!$AJ$2030*AVERAGE('Assumptions (Biomass)'!$AF$2:$AH$2)/10^9,0)</f>
        <v>0</v>
      </c>
      <c r="AS2224" s="177">
        <f>IF($AJ$2030&gt;0,'Assumptions (Biomass)'!AE11*Model!$AJ$2030*AVERAGE('Assumptions (Biomass)'!$AF$2:$AH$2)/10^9,0)</f>
        <v>0</v>
      </c>
      <c r="AT2224" s="177">
        <f>IF($AJ$2030&gt;0,'Assumptions (Biomass)'!AF11*Model!$AJ$2030*AVERAGE('Assumptions (Biomass)'!$AF$2:$AH$2)/10^9,0)</f>
        <v>0</v>
      </c>
      <c r="AU2224" s="177">
        <f>IF($AJ$2030&gt;0,'Assumptions (Biomass)'!AG11*Model!$AJ$2030*AVERAGE('Assumptions (Biomass)'!$AF$2:$AH$2)/10^9,0)</f>
        <v>0</v>
      </c>
      <c r="AV2224" s="177">
        <f>IF($AJ$2030&gt;0,'Assumptions (Biomass)'!AH11*Model!$AJ$2030*AVERAGE('Assumptions (Biomass)'!$AF$2:$AH$2)/10^9,0)</f>
        <v>0</v>
      </c>
      <c r="AW2224" s="177">
        <f>IF($AJ$2030&gt;0,'Assumptions (Biomass)'!AI11*Model!$AJ$2030*AVERAGE('Assumptions (Biomass)'!$AF$2:$AH$2)/10^9,0)</f>
        <v>0</v>
      </c>
      <c r="AX2224" s="177">
        <f>IF($AJ$2030&gt;0,'Assumptions (Biomass)'!AJ11*Model!$AJ$2030*AVERAGE('Assumptions (Biomass)'!$AF$2:$AH$2)/10^9,0)</f>
        <v>0</v>
      </c>
      <c r="AY2224" s="177">
        <f>IF($AJ$2030&gt;0,'Assumptions (Biomass)'!AK11*Model!$AJ$2030*AVERAGE('Assumptions (Biomass)'!$AF$2:$AH$2)/10^9,0)</f>
        <v>0</v>
      </c>
      <c r="AZ2224" s="177"/>
      <c r="BA2224" s="177"/>
      <c r="BB2224" s="177"/>
      <c r="BC2224" s="177"/>
      <c r="BD2224" s="177"/>
      <c r="BE2224" s="177"/>
      <c r="BF2224" s="177"/>
      <c r="BG2224" s="177"/>
      <c r="BH2224" s="177"/>
    </row>
    <row r="2225" ht="15.75" hidden="1" customHeight="1" outlineLevel="1">
      <c r="A2225" s="318"/>
      <c r="B2225" s="38"/>
      <c r="C2225" s="174"/>
      <c r="D2225" s="174"/>
      <c r="E2225" s="174"/>
      <c r="F2225" s="174"/>
      <c r="G2225" s="174"/>
      <c r="H2225" s="174"/>
      <c r="I2225" s="174"/>
      <c r="J2225" s="174"/>
      <c r="K2225" s="174"/>
      <c r="L2225" s="174"/>
      <c r="M2225" s="174"/>
      <c r="N2225" s="174"/>
      <c r="O2225" s="174"/>
      <c r="P2225" s="174"/>
      <c r="Q2225" s="174"/>
      <c r="R2225" s="174"/>
      <c r="S2225" s="174"/>
      <c r="T2225" s="174"/>
      <c r="U2225" s="174"/>
      <c r="V2225" s="174"/>
      <c r="W2225" s="160"/>
      <c r="X2225" s="160"/>
      <c r="Y2225" s="160"/>
      <c r="Z2225" s="160"/>
      <c r="AA2225" s="160"/>
      <c r="AB2225" s="160"/>
      <c r="AC2225" s="160"/>
      <c r="AD2225" s="160"/>
      <c r="AE2225" s="160"/>
      <c r="AF2225" s="160"/>
      <c r="AG2225" s="160"/>
      <c r="AH2225" s="160"/>
      <c r="AI2225" s="160"/>
      <c r="AJ2225" s="179"/>
      <c r="AK2225" s="177">
        <f>IF($AK$2030&gt;0,'Assumptions (Biomass)'!V11*Model!$AK$2030*AVERAGE('Assumptions (Biomass)'!$AG$2:$AI$2)/10^9,0)</f>
        <v>0</v>
      </c>
      <c r="AL2225" s="177">
        <f>IF($AK$2030&gt;0,'Assumptions (Biomass)'!W11*Model!$AK$2030*AVERAGE('Assumptions (Biomass)'!$AG$2:$AI$2)/10^9,0)</f>
        <v>0</v>
      </c>
      <c r="AM2225" s="177">
        <f>IF($AK$2030&gt;0,'Assumptions (Biomass)'!X11*Model!$AK$2030*AVERAGE('Assumptions (Biomass)'!$AG$2:$AI$2)/10^9,0)</f>
        <v>0</v>
      </c>
      <c r="AN2225" s="177">
        <f>IF($AK$2030&gt;0,'Assumptions (Biomass)'!Y11*Model!$AK$2030*AVERAGE('Assumptions (Biomass)'!$AG$2:$AI$2)/10^9,0)</f>
        <v>0</v>
      </c>
      <c r="AO2225" s="177">
        <f>IF($AK$2030&gt;0,'Assumptions (Biomass)'!Z11*Model!$AK$2030*AVERAGE('Assumptions (Biomass)'!$AG$2:$AI$2)/10^9,0)</f>
        <v>0</v>
      </c>
      <c r="AP2225" s="177">
        <f>IF($AK$2030&gt;0,'Assumptions (Biomass)'!AA11*Model!$AK$2030*AVERAGE('Assumptions (Biomass)'!$AG$2:$AI$2)/10^9,0)</f>
        <v>0</v>
      </c>
      <c r="AQ2225" s="177">
        <f>IF($AK$2030&gt;0,'Assumptions (Biomass)'!AB11*Model!$AK$2030*AVERAGE('Assumptions (Biomass)'!$AG$2:$AI$2)/10^9,0)</f>
        <v>0</v>
      </c>
      <c r="AR2225" s="177">
        <f>IF($AK$2030&gt;0,'Assumptions (Biomass)'!AC11*Model!$AK$2030*AVERAGE('Assumptions (Biomass)'!$AG$2:$AI$2)/10^9,0)</f>
        <v>0</v>
      </c>
      <c r="AS2225" s="177">
        <f>IF($AK$2030&gt;0,'Assumptions (Biomass)'!AD11*Model!$AK$2030*AVERAGE('Assumptions (Biomass)'!$AG$2:$AI$2)/10^9,0)</f>
        <v>0</v>
      </c>
      <c r="AT2225" s="177">
        <f>IF($AK$2030&gt;0,'Assumptions (Biomass)'!AE11*Model!$AK$2030*AVERAGE('Assumptions (Biomass)'!$AG$2:$AI$2)/10^9,0)</f>
        <v>0</v>
      </c>
      <c r="AU2225" s="177">
        <f>IF($AK$2030&gt;0,'Assumptions (Biomass)'!AF11*Model!$AK$2030*AVERAGE('Assumptions (Biomass)'!$AG$2:$AI$2)/10^9,0)</f>
        <v>0</v>
      </c>
      <c r="AV2225" s="177">
        <f>IF($AK$2030&gt;0,'Assumptions (Biomass)'!AG11*Model!$AK$2030*AVERAGE('Assumptions (Biomass)'!$AG$2:$AI$2)/10^9,0)</f>
        <v>0</v>
      </c>
      <c r="AW2225" s="177">
        <f>IF($AK$2030&gt;0,'Assumptions (Biomass)'!AH11*Model!$AK$2030*AVERAGE('Assumptions (Biomass)'!$AG$2:$AI$2)/10^9,0)</f>
        <v>0</v>
      </c>
      <c r="AX2225" s="177">
        <f>IF($AK$2030&gt;0,'Assumptions (Biomass)'!AI11*Model!$AK$2030*AVERAGE('Assumptions (Biomass)'!$AG$2:$AI$2)/10^9,0)</f>
        <v>0</v>
      </c>
      <c r="AY2225" s="177">
        <f>IF($AK$2030&gt;0,'Assumptions (Biomass)'!AJ11*Model!$AK$2030*AVERAGE('Assumptions (Biomass)'!$AG$2:$AI$2)/10^9,0)</f>
        <v>0</v>
      </c>
      <c r="AZ2225" s="177">
        <f>IF($AK$2030&gt;0,'Assumptions (Biomass)'!AK11*Model!$AK$2030*AVERAGE('Assumptions (Biomass)'!$AG$2:$AI$2)/10^9,0)</f>
        <v>0</v>
      </c>
      <c r="BA2225" s="177"/>
      <c r="BB2225" s="177"/>
      <c r="BC2225" s="177"/>
      <c r="BD2225" s="177"/>
      <c r="BE2225" s="177"/>
      <c r="BF2225" s="177"/>
      <c r="BG2225" s="177"/>
      <c r="BH2225" s="177"/>
      <c r="BI2225" s="177"/>
    </row>
    <row r="2226" ht="15.75" hidden="1" customHeight="1" outlineLevel="1">
      <c r="A2226" s="318"/>
      <c r="B2226" s="38"/>
      <c r="C2226" s="174"/>
      <c r="D2226" s="174"/>
      <c r="E2226" s="174"/>
      <c r="F2226" s="174"/>
      <c r="G2226" s="174"/>
      <c r="H2226" s="174"/>
      <c r="I2226" s="174"/>
      <c r="J2226" s="174"/>
      <c r="K2226" s="174"/>
      <c r="L2226" s="174"/>
      <c r="M2226" s="174"/>
      <c r="N2226" s="174"/>
      <c r="O2226" s="174"/>
      <c r="P2226" s="174"/>
      <c r="Q2226" s="174"/>
      <c r="R2226" s="174"/>
      <c r="S2226" s="174"/>
      <c r="T2226" s="174"/>
      <c r="U2226" s="174"/>
      <c r="V2226" s="174"/>
      <c r="W2226" s="160"/>
      <c r="X2226" s="160"/>
      <c r="Y2226" s="160"/>
      <c r="Z2226" s="160"/>
      <c r="AA2226" s="160"/>
      <c r="AB2226" s="160"/>
      <c r="AC2226" s="160"/>
      <c r="AD2226" s="160"/>
      <c r="AE2226" s="160"/>
      <c r="AF2226" s="160"/>
      <c r="AG2226" s="160"/>
      <c r="AH2226" s="160"/>
      <c r="AI2226" s="160"/>
      <c r="AJ2226" s="179"/>
      <c r="AK2226" s="160"/>
      <c r="AL2226" s="177">
        <f>IF($AL$2030&gt;0,'Assumptions (Biomass)'!V11*Model!$AL$2030*AVERAGE('Assumptions (Biomass)'!$AH$2:$AJ$2)/10^9,0)</f>
        <v>0</v>
      </c>
      <c r="AM2226" s="177">
        <f>IF($AL$2030&gt;0,'Assumptions (Biomass)'!W11*Model!$AL$2030*AVERAGE('Assumptions (Biomass)'!$AH$2:$AJ$2)/10^9,0)</f>
        <v>0</v>
      </c>
      <c r="AN2226" s="177">
        <f>IF($AL$2030&gt;0,'Assumptions (Biomass)'!X11*Model!$AL$2030*AVERAGE('Assumptions (Biomass)'!$AH$2:$AJ$2)/10^9,0)</f>
        <v>0</v>
      </c>
      <c r="AO2226" s="177">
        <f>IF($AL$2030&gt;0,'Assumptions (Biomass)'!Y11*Model!$AL$2030*AVERAGE('Assumptions (Biomass)'!$AH$2:$AJ$2)/10^9,0)</f>
        <v>0</v>
      </c>
      <c r="AP2226" s="177">
        <f>IF($AL$2030&gt;0,'Assumptions (Biomass)'!Z11*Model!$AL$2030*AVERAGE('Assumptions (Biomass)'!$AH$2:$AJ$2)/10^9,0)</f>
        <v>0</v>
      </c>
      <c r="AQ2226" s="177">
        <f>IF($AL$2030&gt;0,'Assumptions (Biomass)'!AA11*Model!$AL$2030*AVERAGE('Assumptions (Biomass)'!$AH$2:$AJ$2)/10^9,0)</f>
        <v>0</v>
      </c>
      <c r="AR2226" s="177">
        <f>IF($AL$2030&gt;0,'Assumptions (Biomass)'!AB11*Model!$AL$2030*AVERAGE('Assumptions (Biomass)'!$AH$2:$AJ$2)/10^9,0)</f>
        <v>0</v>
      </c>
      <c r="AS2226" s="177">
        <f>IF($AL$2030&gt;0,'Assumptions (Biomass)'!AC11*Model!$AL$2030*AVERAGE('Assumptions (Biomass)'!$AH$2:$AJ$2)/10^9,0)</f>
        <v>0</v>
      </c>
      <c r="AT2226" s="177">
        <f>IF($AL$2030&gt;0,'Assumptions (Biomass)'!AD11*Model!$AL$2030*AVERAGE('Assumptions (Biomass)'!$AH$2:$AJ$2)/10^9,0)</f>
        <v>0</v>
      </c>
      <c r="AU2226" s="177">
        <f>IF($AL$2030&gt;0,'Assumptions (Biomass)'!AE11*Model!$AL$2030*AVERAGE('Assumptions (Biomass)'!$AH$2:$AJ$2)/10^9,0)</f>
        <v>0</v>
      </c>
      <c r="AV2226" s="177">
        <f>IF($AL$2030&gt;0,'Assumptions (Biomass)'!AF11*Model!$AL$2030*AVERAGE('Assumptions (Biomass)'!$AH$2:$AJ$2)/10^9,0)</f>
        <v>0</v>
      </c>
      <c r="AW2226" s="177">
        <f>IF($AL$2030&gt;0,'Assumptions (Biomass)'!AG11*Model!$AL$2030*AVERAGE('Assumptions (Biomass)'!$AH$2:$AJ$2)/10^9,0)</f>
        <v>0</v>
      </c>
      <c r="AX2226" s="177">
        <f>IF($AL$2030&gt;0,'Assumptions (Biomass)'!AH11*Model!$AL$2030*AVERAGE('Assumptions (Biomass)'!$AH$2:$AJ$2)/10^9,0)</f>
        <v>0</v>
      </c>
      <c r="AY2226" s="177">
        <f>IF($AL$2030&gt;0,'Assumptions (Biomass)'!AI11*Model!$AL$2030*AVERAGE('Assumptions (Biomass)'!$AH$2:$AJ$2)/10^9,0)</f>
        <v>0</v>
      </c>
      <c r="AZ2226" s="177">
        <f>IF($AL$2030&gt;0,'Assumptions (Biomass)'!AJ11*Model!$AL$2030*AVERAGE('Assumptions (Biomass)'!$AH$2:$AJ$2)/10^9,0)</f>
        <v>0</v>
      </c>
      <c r="BA2226" s="177">
        <f>IF($AL$2030&gt;0,'Assumptions (Biomass)'!AK11*Model!$AL$2030*AVERAGE('Assumptions (Biomass)'!$AH$2:$AJ$2)/10^9,0)</f>
        <v>0</v>
      </c>
      <c r="BB2226" s="177"/>
      <c r="BC2226" s="177"/>
      <c r="BD2226" s="177"/>
      <c r="BE2226" s="177"/>
      <c r="BF2226" s="177"/>
      <c r="BG2226" s="177"/>
      <c r="BH2226" s="177"/>
      <c r="BI2226" s="177"/>
      <c r="BJ2226" s="177"/>
    </row>
    <row r="2227" ht="15.75" hidden="1" customHeight="1" outlineLevel="1">
      <c r="A2227" s="318"/>
      <c r="B2227" s="38"/>
      <c r="C2227" s="174"/>
      <c r="D2227" s="174"/>
      <c r="E2227" s="174"/>
      <c r="F2227" s="174"/>
      <c r="G2227" s="174"/>
      <c r="H2227" s="174"/>
      <c r="I2227" s="174"/>
      <c r="J2227" s="174"/>
      <c r="K2227" s="174"/>
      <c r="L2227" s="174"/>
      <c r="M2227" s="174"/>
      <c r="N2227" s="174"/>
      <c r="O2227" s="174"/>
      <c r="P2227" s="174"/>
      <c r="Q2227" s="174"/>
      <c r="R2227" s="174"/>
      <c r="S2227" s="174"/>
      <c r="T2227" s="174"/>
      <c r="U2227" s="174"/>
      <c r="V2227" s="174"/>
      <c r="W2227" s="160"/>
      <c r="X2227" s="160"/>
      <c r="Y2227" s="160"/>
      <c r="Z2227" s="160"/>
      <c r="AA2227" s="160"/>
      <c r="AB2227" s="160"/>
      <c r="AC2227" s="160"/>
      <c r="AD2227" s="160"/>
      <c r="AE2227" s="160"/>
      <c r="AF2227" s="160"/>
      <c r="AG2227" s="160"/>
      <c r="AH2227" s="160"/>
      <c r="AI2227" s="160"/>
      <c r="AJ2227" s="179"/>
      <c r="AK2227" s="160"/>
      <c r="AL2227" s="177"/>
      <c r="AM2227" s="160">
        <f>IF($AM$2030&gt;0,'Assumptions (Biomass)'!V11*Model!$AM$2030*AVERAGE('Assumptions (Biomass)'!$AI$2:$AK$2)/10^9,0)</f>
        <v>0</v>
      </c>
      <c r="AN2227" s="160">
        <f>IF($AM$2030&gt;0,'Assumptions (Biomass)'!W11*Model!$AM$2030*AVERAGE('Assumptions (Biomass)'!$AI$2:$AK$2)/10^9,0)</f>
        <v>0</v>
      </c>
      <c r="AO2227" s="160">
        <f>IF($AM$2030&gt;0,'Assumptions (Biomass)'!X11*Model!$AM$2030*AVERAGE('Assumptions (Biomass)'!$AI$2:$AK$2)/10^9,0)</f>
        <v>0</v>
      </c>
      <c r="AP2227" s="160">
        <f>IF($AM$2030&gt;0,'Assumptions (Biomass)'!Y11*Model!$AM$2030*AVERAGE('Assumptions (Biomass)'!$AI$2:$AK$2)/10^9,0)</f>
        <v>0</v>
      </c>
      <c r="AQ2227" s="160">
        <f>IF($AM$2030&gt;0,'Assumptions (Biomass)'!Z11*Model!$AM$2030*AVERAGE('Assumptions (Biomass)'!$AI$2:$AK$2)/10^9,0)</f>
        <v>0</v>
      </c>
      <c r="AR2227" s="160">
        <f>IF($AM$2030&gt;0,'Assumptions (Biomass)'!AA11*Model!$AM$2030*AVERAGE('Assumptions (Biomass)'!$AI$2:$AK$2)/10^9,0)</f>
        <v>0</v>
      </c>
      <c r="AS2227" s="160">
        <f>IF($AM$2030&gt;0,'Assumptions (Biomass)'!AB11*Model!$AM$2030*AVERAGE('Assumptions (Biomass)'!$AI$2:$AK$2)/10^9,0)</f>
        <v>0</v>
      </c>
      <c r="AT2227" s="160">
        <f>IF($AM$2030&gt;0,'Assumptions (Biomass)'!AC11*Model!$AM$2030*AVERAGE('Assumptions (Biomass)'!$AI$2:$AK$2)/10^9,0)</f>
        <v>0</v>
      </c>
      <c r="AU2227" s="160">
        <f>IF($AM$2030&gt;0,'Assumptions (Biomass)'!AD11*Model!$AM$2030*AVERAGE('Assumptions (Biomass)'!$AI$2:$AK$2)/10^9,0)</f>
        <v>0</v>
      </c>
      <c r="AV2227" s="160">
        <f>IF($AM$2030&gt;0,'Assumptions (Biomass)'!AE11*Model!$AM$2030*AVERAGE('Assumptions (Biomass)'!$AI$2:$AK$2)/10^9,0)</f>
        <v>0</v>
      </c>
      <c r="AW2227" s="160">
        <f>IF($AM$2030&gt;0,'Assumptions (Biomass)'!AF11*Model!$AM$2030*AVERAGE('Assumptions (Biomass)'!$AI$2:$AK$2)/10^9,0)</f>
        <v>0</v>
      </c>
      <c r="AX2227" s="160">
        <f>IF($AM$2030&gt;0,'Assumptions (Biomass)'!AG11*Model!$AM$2030*AVERAGE('Assumptions (Biomass)'!$AI$2:$AK$2)/10^9,0)</f>
        <v>0</v>
      </c>
      <c r="AY2227" s="160">
        <f>IF($AM$2030&gt;0,'Assumptions (Biomass)'!AH11*Model!$AM$2030*AVERAGE('Assumptions (Biomass)'!$AI$2:$AK$2)/10^9,0)</f>
        <v>0</v>
      </c>
      <c r="AZ2227" s="160">
        <f>IF($AM$2030&gt;0,'Assumptions (Biomass)'!AI11*Model!$AM$2030*AVERAGE('Assumptions (Biomass)'!$AI$2:$AK$2)/10^9,0)</f>
        <v>0</v>
      </c>
      <c r="BA2227" s="160">
        <f>IF($AM$2030&gt;0,'Assumptions (Biomass)'!AJ11*Model!$AM$2030*AVERAGE('Assumptions (Biomass)'!$AI$2:$AK$2)/10^9,0)</f>
        <v>0</v>
      </c>
      <c r="BB2227" s="160">
        <f>IF($AM$2030&gt;0,'Assumptions (Biomass)'!AK11*Model!$AM$2030*AVERAGE('Assumptions (Biomass)'!$AI$2:$AK$2)/10^9,0)</f>
        <v>0</v>
      </c>
      <c r="BC2227" s="160"/>
      <c r="BD2227" s="160"/>
      <c r="BE2227" s="160"/>
      <c r="BF2227" s="160"/>
      <c r="BG2227" s="160"/>
      <c r="BH2227" s="160"/>
      <c r="BI2227" s="160"/>
      <c r="BJ2227" s="160"/>
      <c r="BK2227" s="160"/>
    </row>
    <row r="2228" ht="15.75" hidden="1" customHeight="1" outlineLevel="1">
      <c r="A2228" s="318"/>
      <c r="B2228" s="38"/>
      <c r="C2228" s="174"/>
      <c r="D2228" s="174"/>
      <c r="E2228" s="174"/>
      <c r="F2228" s="174"/>
      <c r="G2228" s="174"/>
      <c r="H2228" s="174"/>
      <c r="I2228" s="174"/>
      <c r="J2228" s="174"/>
      <c r="K2228" s="174"/>
      <c r="L2228" s="174"/>
      <c r="M2228" s="174"/>
      <c r="N2228" s="174"/>
      <c r="O2228" s="174"/>
      <c r="P2228" s="174"/>
      <c r="Q2228" s="174"/>
      <c r="R2228" s="174"/>
      <c r="S2228" s="174"/>
      <c r="T2228" s="174"/>
      <c r="U2228" s="174"/>
      <c r="V2228" s="174"/>
      <c r="W2228" s="160"/>
      <c r="X2228" s="160"/>
      <c r="Y2228" s="160"/>
      <c r="Z2228" s="160"/>
      <c r="AA2228" s="160"/>
      <c r="AB2228" s="160"/>
      <c r="AC2228" s="160"/>
      <c r="AD2228" s="160"/>
      <c r="AE2228" s="160"/>
      <c r="AF2228" s="160"/>
      <c r="AG2228" s="160"/>
      <c r="AH2228" s="160"/>
      <c r="AI2228" s="160"/>
      <c r="AJ2228" s="179"/>
      <c r="AK2228" s="160"/>
      <c r="AL2228" s="177"/>
      <c r="AM2228" s="177"/>
      <c r="AN2228" s="160">
        <f>IF($AN$2030&gt;0,'Assumptions (Biomass)'!V11*Model!$AN$2030*AVERAGE('Assumptions (Biomass)'!$AJ$2:$AL$2)/10^9,0)</f>
        <v>0</v>
      </c>
      <c r="AO2228" s="160">
        <f>IF($AN$2030&gt;0,'Assumptions (Biomass)'!W11*Model!$AN$2030*AVERAGE('Assumptions (Biomass)'!$AJ$2:$AL$2)/10^9,0)</f>
        <v>0</v>
      </c>
      <c r="AP2228" s="160">
        <f>IF($AN$2030&gt;0,'Assumptions (Biomass)'!X11*Model!$AN$2030*AVERAGE('Assumptions (Biomass)'!$AJ$2:$AL$2)/10^9,0)</f>
        <v>0</v>
      </c>
      <c r="AQ2228" s="160">
        <f>IF($AN$2030&gt;0,'Assumptions (Biomass)'!Y11*Model!$AN$2030*AVERAGE('Assumptions (Biomass)'!$AJ$2:$AL$2)/10^9,0)</f>
        <v>0</v>
      </c>
      <c r="AR2228" s="160">
        <f>IF($AN$2030&gt;0,'Assumptions (Biomass)'!Z11*Model!$AN$2030*AVERAGE('Assumptions (Biomass)'!$AJ$2:$AL$2)/10^9,0)</f>
        <v>0</v>
      </c>
      <c r="AS2228" s="160">
        <f>IF($AN$2030&gt;0,'Assumptions (Biomass)'!AA11*Model!$AN$2030*AVERAGE('Assumptions (Biomass)'!$AJ$2:$AL$2)/10^9,0)</f>
        <v>0</v>
      </c>
      <c r="AT2228" s="160">
        <f>IF($AN$2030&gt;0,'Assumptions (Biomass)'!AB11*Model!$AN$2030*AVERAGE('Assumptions (Biomass)'!$AJ$2:$AL$2)/10^9,0)</f>
        <v>0</v>
      </c>
      <c r="AU2228" s="160">
        <f>IF($AN$2030&gt;0,'Assumptions (Biomass)'!AC11*Model!$AN$2030*AVERAGE('Assumptions (Biomass)'!$AJ$2:$AL$2)/10^9,0)</f>
        <v>0</v>
      </c>
      <c r="AV2228" s="160">
        <f>IF($AN$2030&gt;0,'Assumptions (Biomass)'!AD11*Model!$AN$2030*AVERAGE('Assumptions (Biomass)'!$AJ$2:$AL$2)/10^9,0)</f>
        <v>0</v>
      </c>
      <c r="AW2228" s="160">
        <f>IF($AN$2030&gt;0,'Assumptions (Biomass)'!AE11*Model!$AN$2030*AVERAGE('Assumptions (Biomass)'!$AJ$2:$AL$2)/10^9,0)</f>
        <v>0</v>
      </c>
      <c r="AX2228" s="160">
        <f>IF($AN$2030&gt;0,'Assumptions (Biomass)'!AF11*Model!$AN$2030*AVERAGE('Assumptions (Biomass)'!$AJ$2:$AL$2)/10^9,0)</f>
        <v>0</v>
      </c>
      <c r="AY2228" s="160">
        <f>IF($AN$2030&gt;0,'Assumptions (Biomass)'!AG11*Model!$AN$2030*AVERAGE('Assumptions (Biomass)'!$AJ$2:$AL$2)/10^9,0)</f>
        <v>0</v>
      </c>
      <c r="AZ2228" s="160">
        <f>IF($AN$2030&gt;0,'Assumptions (Biomass)'!AH11*Model!$AN$2030*AVERAGE('Assumptions (Biomass)'!$AJ$2:$AL$2)/10^9,0)</f>
        <v>0</v>
      </c>
      <c r="BA2228" s="160">
        <f>IF($AN$2030&gt;0,'Assumptions (Biomass)'!AI11*Model!$AN$2030*AVERAGE('Assumptions (Biomass)'!$AJ$2:$AL$2)/10^9,0)</f>
        <v>0</v>
      </c>
      <c r="BB2228" s="160">
        <f>IF($AN$2030&gt;0,'Assumptions (Biomass)'!AJ11*Model!$AN$2030*AVERAGE('Assumptions (Biomass)'!$AJ$2:$AL$2)/10^9,0)</f>
        <v>0</v>
      </c>
      <c r="BC2228" s="160">
        <f>IF($AN$2030&gt;0,'Assumptions (Biomass)'!AK11*Model!$AN$2030*AVERAGE('Assumptions (Biomass)'!$AJ$2:$AL$2)/10^9,0)</f>
        <v>0</v>
      </c>
      <c r="BD2228" s="160"/>
      <c r="BE2228" s="160"/>
      <c r="BF2228" s="160"/>
      <c r="BG2228" s="160"/>
      <c r="BH2228" s="160"/>
      <c r="BI2228" s="160"/>
      <c r="BJ2228" s="160"/>
      <c r="BK2228" s="160"/>
      <c r="BL2228" s="160"/>
    </row>
    <row r="2229" ht="15.75" hidden="1" customHeight="1" outlineLevel="1">
      <c r="A2229" s="318"/>
      <c r="B2229" s="38"/>
      <c r="C2229" s="174"/>
      <c r="D2229" s="174"/>
      <c r="E2229" s="174"/>
      <c r="F2229" s="174"/>
      <c r="G2229" s="174"/>
      <c r="H2229" s="174"/>
      <c r="I2229" s="174"/>
      <c r="J2229" s="174"/>
      <c r="K2229" s="174"/>
      <c r="L2229" s="174"/>
      <c r="M2229" s="174"/>
      <c r="N2229" s="174"/>
      <c r="O2229" s="174"/>
      <c r="P2229" s="174"/>
      <c r="Q2229" s="174"/>
      <c r="R2229" s="174"/>
      <c r="S2229" s="174"/>
      <c r="T2229" s="174"/>
      <c r="U2229" s="174"/>
      <c r="V2229" s="174"/>
      <c r="W2229" s="160"/>
      <c r="X2229" s="160"/>
      <c r="Y2229" s="160"/>
      <c r="Z2229" s="160"/>
      <c r="AA2229" s="160"/>
      <c r="AB2229" s="160"/>
      <c r="AC2229" s="160"/>
      <c r="AD2229" s="160"/>
      <c r="AE2229" s="160"/>
      <c r="AF2229" s="160"/>
      <c r="AG2229" s="160"/>
      <c r="AH2229" s="160"/>
      <c r="AI2229" s="160"/>
      <c r="AJ2229" s="179"/>
      <c r="AK2229" s="160"/>
      <c r="AL2229" s="177"/>
      <c r="AM2229" s="177"/>
      <c r="AN2229" s="177"/>
      <c r="AO2229" s="160">
        <f>IF($AO$2030&gt;0,'Assumptions (Biomass)'!V11*Model!$AO$2030*AVERAGE('Assumptions (Biomass)'!$AK$2:$AM$2)/10^9,0)</f>
        <v>0</v>
      </c>
      <c r="AP2229" s="160">
        <f>IF($AO$2030&gt;0,'Assumptions (Biomass)'!W11*Model!$AO$2030*AVERAGE('Assumptions (Biomass)'!$AK$2:$AM$2)/10^9,0)</f>
        <v>0</v>
      </c>
      <c r="AQ2229" s="160">
        <f>IF($AO$2030&gt;0,'Assumptions (Biomass)'!X11*Model!$AO$2030*AVERAGE('Assumptions (Biomass)'!$AK$2:$AM$2)/10^9,0)</f>
        <v>0</v>
      </c>
      <c r="AR2229" s="160">
        <f>IF($AO$2030&gt;0,'Assumptions (Biomass)'!Y11*Model!$AO$2030*AVERAGE('Assumptions (Biomass)'!$AK$2:$AM$2)/10^9,0)</f>
        <v>0</v>
      </c>
      <c r="AS2229" s="160">
        <f>IF($AO$2030&gt;0,'Assumptions (Biomass)'!Z11*Model!$AO$2030*AVERAGE('Assumptions (Biomass)'!$AK$2:$AM$2)/10^9,0)</f>
        <v>0</v>
      </c>
      <c r="AT2229" s="160">
        <f>IF($AO$2030&gt;0,'Assumptions (Biomass)'!AA11*Model!$AO$2030*AVERAGE('Assumptions (Biomass)'!$AK$2:$AM$2)/10^9,0)</f>
        <v>0</v>
      </c>
      <c r="AU2229" s="160">
        <f>IF($AO$2030&gt;0,'Assumptions (Biomass)'!AB11*Model!$AO$2030*AVERAGE('Assumptions (Biomass)'!$AK$2:$AM$2)/10^9,0)</f>
        <v>0</v>
      </c>
      <c r="AV2229" s="160">
        <f>IF($AO$2030&gt;0,'Assumptions (Biomass)'!AC11*Model!$AO$2030*AVERAGE('Assumptions (Biomass)'!$AK$2:$AM$2)/10^9,0)</f>
        <v>0</v>
      </c>
      <c r="AW2229" s="160">
        <f>IF($AO$2030&gt;0,'Assumptions (Biomass)'!AD11*Model!$AO$2030*AVERAGE('Assumptions (Biomass)'!$AK$2:$AM$2)/10^9,0)</f>
        <v>0</v>
      </c>
      <c r="AX2229" s="160">
        <f>IF($AO$2030&gt;0,'Assumptions (Biomass)'!AE11*Model!$AO$2030*AVERAGE('Assumptions (Biomass)'!$AK$2:$AM$2)/10^9,0)</f>
        <v>0</v>
      </c>
      <c r="AY2229" s="160">
        <f>IF($AO$2030&gt;0,'Assumptions (Biomass)'!AF11*Model!$AO$2030*AVERAGE('Assumptions (Biomass)'!$AK$2:$AM$2)/10^9,0)</f>
        <v>0</v>
      </c>
      <c r="AZ2229" s="160">
        <f>IF($AO$2030&gt;0,'Assumptions (Biomass)'!AG11*Model!$AO$2030*AVERAGE('Assumptions (Biomass)'!$AK$2:$AM$2)/10^9,0)</f>
        <v>0</v>
      </c>
      <c r="BA2229" s="160">
        <f>IF($AO$2030&gt;0,'Assumptions (Biomass)'!AH11*Model!$AO$2030*AVERAGE('Assumptions (Biomass)'!$AK$2:$AM$2)/10^9,0)</f>
        <v>0</v>
      </c>
      <c r="BB2229" s="160">
        <f>IF($AO$2030&gt;0,'Assumptions (Biomass)'!AI11*Model!$AO$2030*AVERAGE('Assumptions (Biomass)'!$AK$2:$AM$2)/10^9,0)</f>
        <v>0</v>
      </c>
      <c r="BC2229" s="160">
        <f>IF($AO$2030&gt;0,'Assumptions (Biomass)'!AJ11*Model!$AO$2030*AVERAGE('Assumptions (Biomass)'!$AK$2:$AM$2)/10^9,0)</f>
        <v>0</v>
      </c>
      <c r="BD2229" s="160">
        <f>IF($AO$2030&gt;0,'Assumptions (Biomass)'!AK11*Model!$AO$2030*AVERAGE('Assumptions (Biomass)'!$AK$2:$AM$2)/10^9,0)</f>
        <v>0</v>
      </c>
      <c r="BE2229" s="160"/>
      <c r="BF2229" s="160"/>
      <c r="BG2229" s="160"/>
      <c r="BH2229" s="160"/>
      <c r="BI2229" s="160"/>
      <c r="BJ2229" s="160"/>
      <c r="BK2229" s="160"/>
      <c r="BL2229" s="160"/>
      <c r="BM2229" s="160"/>
    </row>
    <row r="2230" ht="15.75" hidden="1" customHeight="1" outlineLevel="1">
      <c r="A2230" s="318"/>
      <c r="B2230" s="38"/>
      <c r="C2230" s="174"/>
      <c r="D2230" s="174"/>
      <c r="E2230" s="174"/>
      <c r="F2230" s="174"/>
      <c r="G2230" s="174"/>
      <c r="H2230" s="174"/>
      <c r="I2230" s="174"/>
      <c r="J2230" s="174"/>
      <c r="K2230" s="174"/>
      <c r="L2230" s="174"/>
      <c r="M2230" s="174"/>
      <c r="N2230" s="174"/>
      <c r="O2230" s="174"/>
      <c r="P2230" s="174"/>
      <c r="Q2230" s="174"/>
      <c r="R2230" s="174"/>
      <c r="S2230" s="174"/>
      <c r="T2230" s="174"/>
      <c r="U2230" s="174"/>
      <c r="V2230" s="174"/>
      <c r="W2230" s="160"/>
      <c r="X2230" s="160"/>
      <c r="Y2230" s="160"/>
      <c r="Z2230" s="160"/>
      <c r="AA2230" s="160"/>
      <c r="AB2230" s="160"/>
      <c r="AC2230" s="160"/>
      <c r="AD2230" s="160"/>
      <c r="AE2230" s="160"/>
      <c r="AF2230" s="160"/>
      <c r="AG2230" s="160"/>
      <c r="AH2230" s="160"/>
      <c r="AI2230" s="160"/>
      <c r="AJ2230" s="179"/>
      <c r="AK2230" s="160"/>
      <c r="AL2230" s="177"/>
      <c r="AM2230" s="177"/>
      <c r="AN2230" s="177"/>
      <c r="AO2230" s="160"/>
      <c r="AP2230" s="160">
        <f>IF($AP$2030&gt;0,'Assumptions (Biomass)'!V11*Model!$AP$2030*AVERAGE('Assumptions (Biomass)'!$AL$2:$AN$2)/10^9,0)</f>
        <v>0</v>
      </c>
      <c r="AQ2230" s="160">
        <f>IF($AP$2030&gt;0,'Assumptions (Biomass)'!W11*Model!$AP$2030*AVERAGE('Assumptions (Biomass)'!$AL$2:$AN$2)/10^9,0)</f>
        <v>0</v>
      </c>
      <c r="AR2230" s="160">
        <f>IF($AP$2030&gt;0,'Assumptions (Biomass)'!X11*Model!$AP$2030*AVERAGE('Assumptions (Biomass)'!$AL$2:$AN$2)/10^9,0)</f>
        <v>0</v>
      </c>
      <c r="AS2230" s="160">
        <f>IF($AP$2030&gt;0,'Assumptions (Biomass)'!Y11*Model!$AP$2030*AVERAGE('Assumptions (Biomass)'!$AL$2:$AN$2)/10^9,0)</f>
        <v>0</v>
      </c>
      <c r="AT2230" s="160">
        <f>IF($AP$2030&gt;0,'Assumptions (Biomass)'!Z11*Model!$AP$2030*AVERAGE('Assumptions (Biomass)'!$AL$2:$AN$2)/10^9,0)</f>
        <v>0</v>
      </c>
      <c r="AU2230" s="160">
        <f>IF($AP$2030&gt;0,'Assumptions (Biomass)'!AA11*Model!$AP$2030*AVERAGE('Assumptions (Biomass)'!$AL$2:$AN$2)/10^9,0)</f>
        <v>0</v>
      </c>
      <c r="AV2230" s="160">
        <f>IF($AP$2030&gt;0,'Assumptions (Biomass)'!AB11*Model!$AP$2030*AVERAGE('Assumptions (Biomass)'!$AL$2:$AN$2)/10^9,0)</f>
        <v>0</v>
      </c>
      <c r="AW2230" s="160">
        <f>IF($AP$2030&gt;0,'Assumptions (Biomass)'!AC11*Model!$AP$2030*AVERAGE('Assumptions (Biomass)'!$AL$2:$AN$2)/10^9,0)</f>
        <v>0</v>
      </c>
      <c r="AX2230" s="160">
        <f>IF($AP$2030&gt;0,'Assumptions (Biomass)'!AD11*Model!$AP$2030*AVERAGE('Assumptions (Biomass)'!$AL$2:$AN$2)/10^9,0)</f>
        <v>0</v>
      </c>
      <c r="AY2230" s="160">
        <f>IF($AP$2030&gt;0,'Assumptions (Biomass)'!AE11*Model!$AP$2030*AVERAGE('Assumptions (Biomass)'!$AL$2:$AN$2)/10^9,0)</f>
        <v>0</v>
      </c>
      <c r="AZ2230" s="160">
        <f>IF($AP$2030&gt;0,'Assumptions (Biomass)'!AF11*Model!$AP$2030*AVERAGE('Assumptions (Biomass)'!$AL$2:$AN$2)/10^9,0)</f>
        <v>0</v>
      </c>
      <c r="BA2230" s="160">
        <f>IF($AP$2030&gt;0,'Assumptions (Biomass)'!AG11*Model!$AP$2030*AVERAGE('Assumptions (Biomass)'!$AL$2:$AN$2)/10^9,0)</f>
        <v>0</v>
      </c>
      <c r="BB2230" s="160">
        <f>IF($AP$2030&gt;0,'Assumptions (Biomass)'!AH11*Model!$AP$2030*AVERAGE('Assumptions (Biomass)'!$AL$2:$AN$2)/10^9,0)</f>
        <v>0</v>
      </c>
      <c r="BC2230" s="160">
        <f>IF($AP$2030&gt;0,'Assumptions (Biomass)'!AI11*Model!$AP$2030*AVERAGE('Assumptions (Biomass)'!$AL$2:$AN$2)/10^9,0)</f>
        <v>0</v>
      </c>
      <c r="BD2230" s="160">
        <f>IF($AP$2030&gt;0,'Assumptions (Biomass)'!AJ11*Model!$AP$2030*AVERAGE('Assumptions (Biomass)'!$AL$2:$AN$2)/10^9,0)</f>
        <v>0</v>
      </c>
      <c r="BE2230" s="160">
        <f>IF($AP$2030&gt;0,'Assumptions (Biomass)'!AK11*Model!$AP$2030*AVERAGE('Assumptions (Biomass)'!$AL$2:$AN$2)/10^9,0)</f>
        <v>0</v>
      </c>
      <c r="BF2230" s="160"/>
      <c r="BG2230" s="160"/>
      <c r="BH2230" s="160"/>
      <c r="BI2230" s="160"/>
      <c r="BJ2230" s="160"/>
      <c r="BK2230" s="160"/>
      <c r="BL2230" s="160"/>
      <c r="BM2230" s="160"/>
      <c r="BN2230" s="160"/>
    </row>
    <row r="2231" ht="15.75" hidden="1" customHeight="1" outlineLevel="1">
      <c r="A2231" s="318"/>
      <c r="B2231" s="38"/>
      <c r="C2231" s="174"/>
      <c r="D2231" s="174"/>
      <c r="E2231" s="174"/>
      <c r="F2231" s="174"/>
      <c r="G2231" s="174"/>
      <c r="H2231" s="174"/>
      <c r="I2231" s="174"/>
      <c r="J2231" s="174"/>
      <c r="K2231" s="174"/>
      <c r="L2231" s="174"/>
      <c r="M2231" s="174"/>
      <c r="N2231" s="174"/>
      <c r="O2231" s="174"/>
      <c r="P2231" s="174"/>
      <c r="Q2231" s="174"/>
      <c r="R2231" s="174"/>
      <c r="S2231" s="174"/>
      <c r="T2231" s="174"/>
      <c r="U2231" s="174"/>
      <c r="V2231" s="174"/>
      <c r="W2231" s="160"/>
      <c r="X2231" s="160"/>
      <c r="Y2231" s="160"/>
      <c r="Z2231" s="160"/>
      <c r="AA2231" s="160"/>
      <c r="AB2231" s="160"/>
      <c r="AC2231" s="160"/>
      <c r="AD2231" s="160"/>
      <c r="AE2231" s="160"/>
      <c r="AF2231" s="160"/>
      <c r="AG2231" s="160"/>
      <c r="AH2231" s="160"/>
      <c r="AI2231" s="160"/>
      <c r="AJ2231" s="179"/>
      <c r="AK2231" s="160"/>
      <c r="AL2231" s="177"/>
      <c r="AM2231" s="177"/>
      <c r="AN2231" s="177"/>
      <c r="AO2231" s="160"/>
      <c r="AP2231" s="160"/>
      <c r="AQ2231" s="160">
        <f>IF($AQ$2030&gt;0,'Assumptions (Biomass)'!V11*Model!$AQ$2030*AVERAGE('Assumptions (Biomass)'!$AM$2:$AO$2)/10^9,0)</f>
        <v>0</v>
      </c>
      <c r="AR2231" s="160">
        <f>IF($AQ$2030&gt;0,'Assumptions (Biomass)'!W11*Model!$AQ$2030*AVERAGE('Assumptions (Biomass)'!$AM$2:$AO$2)/10^9,0)</f>
        <v>0</v>
      </c>
      <c r="AS2231" s="160">
        <f>IF($AQ$2030&gt;0,'Assumptions (Biomass)'!X11*Model!$AQ$2030*AVERAGE('Assumptions (Biomass)'!$AM$2:$AO$2)/10^9,0)</f>
        <v>0</v>
      </c>
      <c r="AT2231" s="160">
        <f>IF($AQ$2030&gt;0,'Assumptions (Biomass)'!Y11*Model!$AQ$2030*AVERAGE('Assumptions (Biomass)'!$AM$2:$AO$2)/10^9,0)</f>
        <v>0</v>
      </c>
      <c r="AU2231" s="160">
        <f>IF($AQ$2030&gt;0,'Assumptions (Biomass)'!Z11*Model!$AQ$2030*AVERAGE('Assumptions (Biomass)'!$AM$2:$AO$2)/10^9,0)</f>
        <v>0</v>
      </c>
      <c r="AV2231" s="160">
        <f>IF($AQ$2030&gt;0,'Assumptions (Biomass)'!AA11*Model!$AQ$2030*AVERAGE('Assumptions (Biomass)'!$AM$2:$AO$2)/10^9,0)</f>
        <v>0</v>
      </c>
      <c r="AW2231" s="160">
        <f>IF($AQ$2030&gt;0,'Assumptions (Biomass)'!AB11*Model!$AQ$2030*AVERAGE('Assumptions (Biomass)'!$AM$2:$AO$2)/10^9,0)</f>
        <v>0</v>
      </c>
      <c r="AX2231" s="160">
        <f>IF($AQ$2030&gt;0,'Assumptions (Biomass)'!AC11*Model!$AQ$2030*AVERAGE('Assumptions (Biomass)'!$AM$2:$AO$2)/10^9,0)</f>
        <v>0</v>
      </c>
      <c r="AY2231" s="160">
        <f>IF($AQ$2030&gt;0,'Assumptions (Biomass)'!AD11*Model!$AQ$2030*AVERAGE('Assumptions (Biomass)'!$AM$2:$AO$2)/10^9,0)</f>
        <v>0</v>
      </c>
      <c r="AZ2231" s="160">
        <f>IF($AQ$2030&gt;0,'Assumptions (Biomass)'!AE11*Model!$AQ$2030*AVERAGE('Assumptions (Biomass)'!$AM$2:$AO$2)/10^9,0)</f>
        <v>0</v>
      </c>
      <c r="BA2231" s="160">
        <f>IF($AQ$2030&gt;0,'Assumptions (Biomass)'!AF11*Model!$AQ$2030*AVERAGE('Assumptions (Biomass)'!$AM$2:$AO$2)/10^9,0)</f>
        <v>0</v>
      </c>
      <c r="BB2231" s="160">
        <f>IF($AQ$2030&gt;0,'Assumptions (Biomass)'!AG11*Model!$AQ$2030*AVERAGE('Assumptions (Biomass)'!$AM$2:$AO$2)/10^9,0)</f>
        <v>0</v>
      </c>
      <c r="BC2231" s="160">
        <f>IF($AQ$2030&gt;0,'Assumptions (Biomass)'!AH11*Model!$AQ$2030*AVERAGE('Assumptions (Biomass)'!$AM$2:$AO$2)/10^9,0)</f>
        <v>0</v>
      </c>
      <c r="BD2231" s="160">
        <f>IF($AQ$2030&gt;0,'Assumptions (Biomass)'!AI11*Model!$AQ$2030*AVERAGE('Assumptions (Biomass)'!$AM$2:$AO$2)/10^9,0)</f>
        <v>0</v>
      </c>
      <c r="BE2231" s="160">
        <f>IF($AQ$2030&gt;0,'Assumptions (Biomass)'!AJ11*Model!$AQ$2030*AVERAGE('Assumptions (Biomass)'!$AM$2:$AO$2)/10^9,0)</f>
        <v>0</v>
      </c>
      <c r="BF2231" s="160">
        <f>IF($AQ$2030&gt;0,'Assumptions (Biomass)'!AK11*Model!$AQ$2030*AVERAGE('Assumptions (Biomass)'!$AM$2:$AO$2)/10^9,0)</f>
        <v>0</v>
      </c>
      <c r="BG2231" s="160"/>
      <c r="BH2231" s="160"/>
      <c r="BI2231" s="160"/>
      <c r="BJ2231" s="160"/>
      <c r="BK2231" s="160"/>
      <c r="BL2231" s="160"/>
      <c r="BM2231" s="160"/>
      <c r="BN2231" s="160"/>
      <c r="BO2231" s="160"/>
    </row>
    <row r="2232" ht="15.75" hidden="1" customHeight="1" outlineLevel="1">
      <c r="A2232" s="318"/>
      <c r="B2232" s="38"/>
      <c r="C2232" s="174"/>
      <c r="D2232" s="174"/>
      <c r="E2232" s="174"/>
      <c r="F2232" s="174"/>
      <c r="G2232" s="174"/>
      <c r="H2232" s="174"/>
      <c r="I2232" s="174"/>
      <c r="J2232" s="174"/>
      <c r="K2232" s="174"/>
      <c r="L2232" s="174"/>
      <c r="M2232" s="174"/>
      <c r="N2232" s="174"/>
      <c r="O2232" s="174"/>
      <c r="P2232" s="174"/>
      <c r="Q2232" s="174"/>
      <c r="R2232" s="174"/>
      <c r="S2232" s="174"/>
      <c r="T2232" s="174"/>
      <c r="U2232" s="174"/>
      <c r="V2232" s="174"/>
      <c r="W2232" s="160"/>
      <c r="X2232" s="160"/>
      <c r="Y2232" s="160"/>
      <c r="Z2232" s="160"/>
      <c r="AA2232" s="160"/>
      <c r="AB2232" s="160"/>
      <c r="AC2232" s="160"/>
      <c r="AD2232" s="160"/>
      <c r="AE2232" s="160"/>
      <c r="AF2232" s="160"/>
      <c r="AG2232" s="160"/>
      <c r="AH2232" s="160"/>
      <c r="AI2232" s="160"/>
      <c r="AJ2232" s="179"/>
      <c r="AK2232" s="160"/>
      <c r="AL2232" s="177"/>
      <c r="AM2232" s="177"/>
      <c r="AN2232" s="177"/>
      <c r="AO2232" s="160"/>
      <c r="AP2232" s="160"/>
      <c r="AQ2232" s="160"/>
      <c r="AR2232" s="160">
        <f>IF($AR$2030&gt;0,'Assumptions (Biomass)'!V11*Model!$AR$2030*AVERAGE('Assumptions (Biomass)'!$AN$2:$AP$2)/10^9,0)</f>
        <v>0</v>
      </c>
      <c r="AS2232" s="160">
        <f>IF($AR$2030&gt;0,'Assumptions (Biomass)'!W11*Model!$AR$2030*AVERAGE('Assumptions (Biomass)'!$AN$2:$AP$2)/10^9,0)</f>
        <v>0</v>
      </c>
      <c r="AT2232" s="160">
        <f>IF($AR$2030&gt;0,'Assumptions (Biomass)'!X11*Model!$AR$2030*AVERAGE('Assumptions (Biomass)'!$AN$2:$AP$2)/10^9,0)</f>
        <v>0</v>
      </c>
      <c r="AU2232" s="160">
        <f>IF($AR$2030&gt;0,'Assumptions (Biomass)'!Y11*Model!$AR$2030*AVERAGE('Assumptions (Biomass)'!$AN$2:$AP$2)/10^9,0)</f>
        <v>0</v>
      </c>
      <c r="AV2232" s="160">
        <f>IF($AR$2030&gt;0,'Assumptions (Biomass)'!Z11*Model!$AR$2030*AVERAGE('Assumptions (Biomass)'!$AN$2:$AP$2)/10^9,0)</f>
        <v>0</v>
      </c>
      <c r="AW2232" s="160">
        <f>IF($AR$2030&gt;0,'Assumptions (Biomass)'!AA11*Model!$AR$2030*AVERAGE('Assumptions (Biomass)'!$AN$2:$AP$2)/10^9,0)</f>
        <v>0</v>
      </c>
      <c r="AX2232" s="160">
        <f>IF($AR$2030&gt;0,'Assumptions (Biomass)'!AB11*Model!$AR$2030*AVERAGE('Assumptions (Biomass)'!$AN$2:$AP$2)/10^9,0)</f>
        <v>0</v>
      </c>
      <c r="AY2232" s="160">
        <f>IF($AR$2030&gt;0,'Assumptions (Biomass)'!AC11*Model!$AR$2030*AVERAGE('Assumptions (Biomass)'!$AN$2:$AP$2)/10^9,0)</f>
        <v>0</v>
      </c>
      <c r="AZ2232" s="160">
        <f>IF($AR$2030&gt;0,'Assumptions (Biomass)'!AD11*Model!$AR$2030*AVERAGE('Assumptions (Biomass)'!$AN$2:$AP$2)/10^9,0)</f>
        <v>0</v>
      </c>
      <c r="BA2232" s="160">
        <f>IF($AR$2030&gt;0,'Assumptions (Biomass)'!AE11*Model!$AR$2030*AVERAGE('Assumptions (Biomass)'!$AN$2:$AP$2)/10^9,0)</f>
        <v>0</v>
      </c>
      <c r="BB2232" s="160">
        <f>IF($AR$2030&gt;0,'Assumptions (Biomass)'!AF11*Model!$AR$2030*AVERAGE('Assumptions (Biomass)'!$AN$2:$AP$2)/10^9,0)</f>
        <v>0</v>
      </c>
      <c r="BC2232" s="160">
        <f>IF($AR$2030&gt;0,'Assumptions (Biomass)'!AG11*Model!$AR$2030*AVERAGE('Assumptions (Biomass)'!$AN$2:$AP$2)/10^9,0)</f>
        <v>0</v>
      </c>
      <c r="BD2232" s="160">
        <f>IF($AR$2030&gt;0,'Assumptions (Biomass)'!AH11*Model!$AR$2030*AVERAGE('Assumptions (Biomass)'!$AN$2:$AP$2)/10^9,0)</f>
        <v>0</v>
      </c>
      <c r="BE2232" s="160">
        <f>IF($AR$2030&gt;0,'Assumptions (Biomass)'!AI11*Model!$AR$2030*AVERAGE('Assumptions (Biomass)'!$AN$2:$AP$2)/10^9,0)</f>
        <v>0</v>
      </c>
      <c r="BF2232" s="160">
        <f>IF($AR$2030&gt;0,'Assumptions (Biomass)'!AJ11*Model!$AR$2030*AVERAGE('Assumptions (Biomass)'!$AN$2:$AP$2)/10^9,0)</f>
        <v>0</v>
      </c>
      <c r="BG2232" s="160">
        <f>IF($AR$2030&gt;0,'Assumptions (Biomass)'!AK11*Model!$AR$2030*AVERAGE('Assumptions (Biomass)'!$AN$2:$AP$2)/10^9,0)</f>
        <v>0</v>
      </c>
      <c r="BH2232" s="160"/>
      <c r="BI2232" s="160"/>
      <c r="BJ2232" s="160"/>
      <c r="BK2232" s="160"/>
      <c r="BL2232" s="160"/>
      <c r="BM2232" s="160"/>
      <c r="BN2232" s="160"/>
      <c r="BO2232" s="160"/>
      <c r="BP2232" s="160"/>
    </row>
    <row r="2233" ht="15.75" hidden="1" customHeight="1" outlineLevel="1">
      <c r="A2233" s="318"/>
      <c r="B2233" s="38"/>
      <c r="C2233" s="174"/>
      <c r="D2233" s="174"/>
      <c r="E2233" s="174"/>
      <c r="F2233" s="174"/>
      <c r="G2233" s="174"/>
      <c r="H2233" s="174"/>
      <c r="I2233" s="174"/>
      <c r="J2233" s="174"/>
      <c r="K2233" s="174"/>
      <c r="L2233" s="174"/>
      <c r="M2233" s="174"/>
      <c r="N2233" s="174"/>
      <c r="O2233" s="174"/>
      <c r="P2233" s="174"/>
      <c r="Q2233" s="174"/>
      <c r="R2233" s="174"/>
      <c r="S2233" s="174"/>
      <c r="T2233" s="174"/>
      <c r="U2233" s="174"/>
      <c r="V2233" s="174"/>
      <c r="W2233" s="160"/>
      <c r="X2233" s="160"/>
      <c r="Y2233" s="160"/>
      <c r="Z2233" s="160"/>
      <c r="AA2233" s="160"/>
      <c r="AB2233" s="160"/>
      <c r="AC2233" s="160"/>
      <c r="AD2233" s="160"/>
      <c r="AE2233" s="160"/>
      <c r="AF2233" s="160"/>
      <c r="AG2233" s="160"/>
      <c r="AH2233" s="160"/>
      <c r="AI2233" s="160"/>
      <c r="AJ2233" s="179"/>
      <c r="AK2233" s="160"/>
      <c r="AL2233" s="177"/>
      <c r="AM2233" s="177"/>
      <c r="AN2233" s="177"/>
      <c r="AO2233" s="160"/>
      <c r="AP2233" s="160"/>
      <c r="AQ2233" s="160"/>
      <c r="AR2233" s="160"/>
      <c r="AS2233" s="160">
        <f>IF($AS$2030&gt;0,'Assumptions (Biomass)'!V11*Model!$AS$2030*AVERAGE('Assumptions (Biomass)'!$AO$2:$AQ$2)/10^9,0)</f>
        <v>0</v>
      </c>
      <c r="AT2233" s="160">
        <f>IF($AS$2030&gt;0,'Assumptions (Biomass)'!W11*Model!$AS$2030*AVERAGE('Assumptions (Biomass)'!$AO$2:$AQ$2)/10^9,0)</f>
        <v>0</v>
      </c>
      <c r="AU2233" s="160">
        <f>IF($AS$2030&gt;0,'Assumptions (Biomass)'!X11*Model!$AS$2030*AVERAGE('Assumptions (Biomass)'!$AO$2:$AQ$2)/10^9,0)</f>
        <v>0</v>
      </c>
      <c r="AV2233" s="160">
        <f>IF($AS$2030&gt;0,'Assumptions (Biomass)'!Y11*Model!$AS$2030*AVERAGE('Assumptions (Biomass)'!$AO$2:$AQ$2)/10^9,0)</f>
        <v>0</v>
      </c>
      <c r="AW2233" s="160">
        <f>IF($AS$2030&gt;0,'Assumptions (Biomass)'!Z11*Model!$AS$2030*AVERAGE('Assumptions (Biomass)'!$AO$2:$AQ$2)/10^9,0)</f>
        <v>0</v>
      </c>
      <c r="AX2233" s="160">
        <f>IF($AS$2030&gt;0,'Assumptions (Biomass)'!AA11*Model!$AS$2030*AVERAGE('Assumptions (Biomass)'!$AO$2:$AQ$2)/10^9,0)</f>
        <v>0</v>
      </c>
      <c r="AY2233" s="160">
        <f>IF($AS$2030&gt;0,'Assumptions (Biomass)'!AB11*Model!$AS$2030*AVERAGE('Assumptions (Biomass)'!$AO$2:$AQ$2)/10^9,0)</f>
        <v>0</v>
      </c>
      <c r="AZ2233" s="160">
        <f>IF($AS$2030&gt;0,'Assumptions (Biomass)'!AC11*Model!$AS$2030*AVERAGE('Assumptions (Biomass)'!$AO$2:$AQ$2)/10^9,0)</f>
        <v>0</v>
      </c>
      <c r="BA2233" s="160">
        <f>IF($AS$2030&gt;0,'Assumptions (Biomass)'!AD11*Model!$AS$2030*AVERAGE('Assumptions (Biomass)'!$AO$2:$AQ$2)/10^9,0)</f>
        <v>0</v>
      </c>
      <c r="BB2233" s="160">
        <f>IF($AS$2030&gt;0,'Assumptions (Biomass)'!AE11*Model!$AS$2030*AVERAGE('Assumptions (Biomass)'!$AO$2:$AQ$2)/10^9,0)</f>
        <v>0</v>
      </c>
      <c r="BC2233" s="160">
        <f>IF($AS$2030&gt;0,'Assumptions (Biomass)'!AF11*Model!$AS$2030*AVERAGE('Assumptions (Biomass)'!$AO$2:$AQ$2)/10^9,0)</f>
        <v>0</v>
      </c>
      <c r="BD2233" s="160">
        <f>IF($AS$2030&gt;0,'Assumptions (Biomass)'!AG11*Model!$AS$2030*AVERAGE('Assumptions (Biomass)'!$AO$2:$AQ$2)/10^9,0)</f>
        <v>0</v>
      </c>
      <c r="BE2233" s="160">
        <f>IF($AS$2030&gt;0,'Assumptions (Biomass)'!AH11*Model!$AS$2030*AVERAGE('Assumptions (Biomass)'!$AO$2:$AQ$2)/10^9,0)</f>
        <v>0</v>
      </c>
      <c r="BF2233" s="160">
        <f>IF($AS$2030&gt;0,'Assumptions (Biomass)'!AI11*Model!$AS$2030*AVERAGE('Assumptions (Biomass)'!$AO$2:$AQ$2)/10^9,0)</f>
        <v>0</v>
      </c>
      <c r="BG2233" s="160">
        <f>IF($AS$2030&gt;0,'Assumptions (Biomass)'!AJ11*Model!$AS$2030*AVERAGE('Assumptions (Biomass)'!$AO$2:$AQ$2)/10^9,0)</f>
        <v>0</v>
      </c>
      <c r="BH2233" s="160">
        <f>IF($AS$2030&gt;0,'Assumptions (Biomass)'!AK11*Model!$AS$2030*AVERAGE('Assumptions (Biomass)'!$AO$2:$AQ$2)/10^9,0)</f>
        <v>0</v>
      </c>
      <c r="BI2233" s="160"/>
      <c r="BJ2233" s="160"/>
      <c r="BK2233" s="160"/>
      <c r="BL2233" s="160"/>
      <c r="BM2233" s="160"/>
      <c r="BN2233" s="160"/>
      <c r="BO2233" s="160"/>
      <c r="BP2233" s="160"/>
    </row>
    <row r="2234" ht="15.75" hidden="1" customHeight="1" outlineLevel="1">
      <c r="A2234" s="318"/>
      <c r="B2234" s="38"/>
      <c r="C2234" s="174"/>
      <c r="D2234" s="174"/>
      <c r="E2234" s="174"/>
      <c r="F2234" s="174"/>
      <c r="G2234" s="174"/>
      <c r="H2234" s="174"/>
      <c r="I2234" s="174"/>
      <c r="J2234" s="174"/>
      <c r="K2234" s="174"/>
      <c r="L2234" s="174"/>
      <c r="M2234" s="174"/>
      <c r="N2234" s="174"/>
      <c r="O2234" s="174"/>
      <c r="P2234" s="174"/>
      <c r="Q2234" s="174"/>
      <c r="R2234" s="174"/>
      <c r="S2234" s="174"/>
      <c r="T2234" s="174"/>
      <c r="U2234" s="174"/>
      <c r="V2234" s="174"/>
      <c r="W2234" s="160"/>
      <c r="X2234" s="160"/>
      <c r="Y2234" s="160"/>
      <c r="Z2234" s="160"/>
      <c r="AA2234" s="160"/>
      <c r="AB2234" s="160"/>
      <c r="AC2234" s="160"/>
      <c r="AD2234" s="160"/>
      <c r="AE2234" s="160"/>
      <c r="AF2234" s="160"/>
      <c r="AG2234" s="160"/>
      <c r="AH2234" s="160"/>
      <c r="AI2234" s="160"/>
      <c r="AJ2234" s="179"/>
      <c r="AK2234" s="160"/>
      <c r="AL2234" s="177"/>
      <c r="AM2234" s="177"/>
      <c r="AN2234" s="177"/>
      <c r="AO2234" s="160"/>
      <c r="AP2234" s="160"/>
      <c r="AQ2234" s="160"/>
      <c r="AR2234" s="160"/>
      <c r="AS2234" s="160"/>
      <c r="AT2234" s="160">
        <f>IF($AT$2030&gt;0,'Assumptions (Biomass)'!V11*Model!$AT$2030*AVERAGE('Assumptions (Biomass)'!$AP$2:$AR$2)/10^9,0)</f>
        <v>0</v>
      </c>
      <c r="AU2234" s="160">
        <f>IF($AT$2030&gt;0,'Assumptions (Biomass)'!W11*Model!$AT$2030*AVERAGE('Assumptions (Biomass)'!$AP$2:$AR$2)/10^9,0)</f>
        <v>0</v>
      </c>
      <c r="AV2234" s="160">
        <f>IF($AT$2030&gt;0,'Assumptions (Biomass)'!X11*Model!$AT$2030*AVERAGE('Assumptions (Biomass)'!$AP$2:$AR$2)/10^9,0)</f>
        <v>0</v>
      </c>
      <c r="AW2234" s="160">
        <f>IF($AT$2030&gt;0,'Assumptions (Biomass)'!Y11*Model!$AT$2030*AVERAGE('Assumptions (Biomass)'!$AP$2:$AR$2)/10^9,0)</f>
        <v>0</v>
      </c>
      <c r="AX2234" s="160">
        <f>IF($AT$2030&gt;0,'Assumptions (Biomass)'!Z11*Model!$AT$2030*AVERAGE('Assumptions (Biomass)'!$AP$2:$AR$2)/10^9,0)</f>
        <v>0</v>
      </c>
      <c r="AY2234" s="160">
        <f>IF($AT$2030&gt;0,'Assumptions (Biomass)'!AA11*Model!$AT$2030*AVERAGE('Assumptions (Biomass)'!$AP$2:$AR$2)/10^9,0)</f>
        <v>0</v>
      </c>
      <c r="AZ2234" s="160">
        <f>IF($AT$2030&gt;0,'Assumptions (Biomass)'!AB11*Model!$AT$2030*AVERAGE('Assumptions (Biomass)'!$AP$2:$AR$2)/10^9,0)</f>
        <v>0</v>
      </c>
      <c r="BA2234" s="160">
        <f>IF($AT$2030&gt;0,'Assumptions (Biomass)'!AC11*Model!$AT$2030*AVERAGE('Assumptions (Biomass)'!$AP$2:$AR$2)/10^9,0)</f>
        <v>0</v>
      </c>
      <c r="BB2234" s="160">
        <f>IF($AT$2030&gt;0,'Assumptions (Biomass)'!AD11*Model!$AT$2030*AVERAGE('Assumptions (Biomass)'!$AP$2:$AR$2)/10^9,0)</f>
        <v>0</v>
      </c>
      <c r="BC2234" s="160">
        <f>IF($AT$2030&gt;0,'Assumptions (Biomass)'!AE11*Model!$AT$2030*AVERAGE('Assumptions (Biomass)'!$AP$2:$AR$2)/10^9,0)</f>
        <v>0</v>
      </c>
      <c r="BD2234" s="160">
        <f>IF($AT$2030&gt;0,'Assumptions (Biomass)'!AF11*Model!$AT$2030*AVERAGE('Assumptions (Biomass)'!$AP$2:$AR$2)/10^9,0)</f>
        <v>0</v>
      </c>
      <c r="BE2234" s="160">
        <f>IF($AT$2030&gt;0,'Assumptions (Biomass)'!AG11*Model!$AT$2030*AVERAGE('Assumptions (Biomass)'!$AP$2:$AR$2)/10^9,0)</f>
        <v>0</v>
      </c>
      <c r="BF2234" s="160">
        <f>IF($AT$2030&gt;0,'Assumptions (Biomass)'!AH11*Model!$AT$2030*AVERAGE('Assumptions (Biomass)'!$AP$2:$AR$2)/10^9,0)</f>
        <v>0</v>
      </c>
      <c r="BG2234" s="160">
        <f>IF($AT$2030&gt;0,'Assumptions (Biomass)'!AI11*Model!$AT$2030*AVERAGE('Assumptions (Biomass)'!$AP$2:$AR$2)/10^9,0)</f>
        <v>0</v>
      </c>
      <c r="BH2234" s="160">
        <f>IF($AT$2030&gt;0,'Assumptions (Biomass)'!AJ11*Model!$AT$2030*AVERAGE('Assumptions (Biomass)'!$AP$2:$AR$2)/10^9,0)</f>
        <v>0</v>
      </c>
      <c r="BI2234" s="160">
        <f>IF($AT$2030&gt;0,'Assumptions (Biomass)'!AK11*Model!$AT$2030*AVERAGE('Assumptions (Biomass)'!$AP$2:$AR$2)/10^9,0)</f>
        <v>0</v>
      </c>
      <c r="BJ2234" s="160"/>
      <c r="BK2234" s="160"/>
      <c r="BL2234" s="160"/>
      <c r="BM2234" s="160"/>
      <c r="BN2234" s="160"/>
      <c r="BO2234" s="160"/>
      <c r="BP2234" s="160"/>
    </row>
    <row r="2235" ht="15.75" hidden="1" customHeight="1" outlineLevel="1">
      <c r="A2235" s="318"/>
      <c r="B2235" s="38"/>
      <c r="C2235" s="174"/>
      <c r="D2235" s="174"/>
      <c r="E2235" s="174"/>
      <c r="F2235" s="174"/>
      <c r="G2235" s="174"/>
      <c r="H2235" s="174"/>
      <c r="I2235" s="174"/>
      <c r="J2235" s="174"/>
      <c r="K2235" s="174"/>
      <c r="L2235" s="174"/>
      <c r="M2235" s="174"/>
      <c r="N2235" s="174"/>
      <c r="O2235" s="174"/>
      <c r="P2235" s="174"/>
      <c r="Q2235" s="174"/>
      <c r="R2235" s="174"/>
      <c r="S2235" s="174"/>
      <c r="T2235" s="174"/>
      <c r="U2235" s="174"/>
      <c r="V2235" s="174"/>
      <c r="W2235" s="160"/>
      <c r="X2235" s="160"/>
      <c r="Y2235" s="160"/>
      <c r="Z2235" s="160"/>
      <c r="AA2235" s="160"/>
      <c r="AB2235" s="160"/>
      <c r="AC2235" s="160"/>
      <c r="AD2235" s="160"/>
      <c r="AE2235" s="160"/>
      <c r="AF2235" s="160"/>
      <c r="AG2235" s="160"/>
      <c r="AH2235" s="160"/>
      <c r="AI2235" s="160"/>
      <c r="AJ2235" s="179"/>
      <c r="AK2235" s="160"/>
      <c r="AL2235" s="177"/>
      <c r="AM2235" s="177"/>
      <c r="AN2235" s="177"/>
      <c r="AO2235" s="160"/>
      <c r="AP2235" s="160"/>
      <c r="AQ2235" s="160"/>
      <c r="AR2235" s="160"/>
      <c r="AS2235" s="160"/>
      <c r="AT2235" s="160"/>
      <c r="AU2235" s="160">
        <f>IF($AU$2030&gt;0,'Assumptions (Biomass)'!V11*Model!$AU$2030*AVERAGE('Assumptions (Biomass)'!$AQ$2:$AS$2)/10^9,0)</f>
        <v>0</v>
      </c>
      <c r="AV2235" s="160">
        <f>IF($AU$2030&gt;0,'Assumptions (Biomass)'!W11*Model!$AU$2030*AVERAGE('Assumptions (Biomass)'!$AQ$2:$AS$2)/10^9,0)</f>
        <v>0</v>
      </c>
      <c r="AW2235" s="160">
        <f>IF($AU$2030&gt;0,'Assumptions (Biomass)'!X11*Model!$AU$2030*AVERAGE('Assumptions (Biomass)'!$AQ$2:$AS$2)/10^9,0)</f>
        <v>0</v>
      </c>
      <c r="AX2235" s="160">
        <f>IF($AU$2030&gt;0,'Assumptions (Biomass)'!Y11*Model!$AU$2030*AVERAGE('Assumptions (Biomass)'!$AQ$2:$AS$2)/10^9,0)</f>
        <v>0</v>
      </c>
      <c r="AY2235" s="160">
        <f>IF($AU$2030&gt;0,'Assumptions (Biomass)'!Z11*Model!$AU$2030*AVERAGE('Assumptions (Biomass)'!$AQ$2:$AS$2)/10^9,0)</f>
        <v>0</v>
      </c>
      <c r="AZ2235" s="160">
        <f>IF($AU$2030&gt;0,'Assumptions (Biomass)'!AA11*Model!$AU$2030*AVERAGE('Assumptions (Biomass)'!$AQ$2:$AS$2)/10^9,0)</f>
        <v>0</v>
      </c>
      <c r="BA2235" s="160">
        <f>IF($AU$2030&gt;0,'Assumptions (Biomass)'!AB11*Model!$AU$2030*AVERAGE('Assumptions (Biomass)'!$AQ$2:$AS$2)/10^9,0)</f>
        <v>0</v>
      </c>
      <c r="BB2235" s="160">
        <f>IF($AU$2030&gt;0,'Assumptions (Biomass)'!AC11*Model!$AU$2030*AVERAGE('Assumptions (Biomass)'!$AQ$2:$AS$2)/10^9,0)</f>
        <v>0</v>
      </c>
      <c r="BC2235" s="160">
        <f>IF($AU$2030&gt;0,'Assumptions (Biomass)'!AD11*Model!$AU$2030*AVERAGE('Assumptions (Biomass)'!$AQ$2:$AS$2)/10^9,0)</f>
        <v>0</v>
      </c>
      <c r="BD2235" s="160">
        <f>IF($AU$2030&gt;0,'Assumptions (Biomass)'!AE11*Model!$AU$2030*AVERAGE('Assumptions (Biomass)'!$AQ$2:$AS$2)/10^9,0)</f>
        <v>0</v>
      </c>
      <c r="BE2235" s="160">
        <f>IF($AU$2030&gt;0,'Assumptions (Biomass)'!AF11*Model!$AU$2030*AVERAGE('Assumptions (Biomass)'!$AQ$2:$AS$2)/10^9,0)</f>
        <v>0</v>
      </c>
      <c r="BF2235" s="160">
        <f>IF($AU$2030&gt;0,'Assumptions (Biomass)'!AG11*Model!$AU$2030*AVERAGE('Assumptions (Biomass)'!$AQ$2:$AS$2)/10^9,0)</f>
        <v>0</v>
      </c>
      <c r="BG2235" s="160">
        <f>IF($AU$2030&gt;0,'Assumptions (Biomass)'!AH11*Model!$AU$2030*AVERAGE('Assumptions (Biomass)'!$AQ$2:$AS$2)/10^9,0)</f>
        <v>0</v>
      </c>
      <c r="BH2235" s="160">
        <f>IF($AU$2030&gt;0,'Assumptions (Biomass)'!AI11*Model!$AU$2030*AVERAGE('Assumptions (Biomass)'!$AQ$2:$AS$2)/10^9,0)</f>
        <v>0</v>
      </c>
      <c r="BI2235" s="160">
        <f>IF($AU$2030&gt;0,'Assumptions (Biomass)'!AJ11*Model!$AU$2030*AVERAGE('Assumptions (Biomass)'!$AQ$2:$AS$2)/10^9,0)</f>
        <v>0</v>
      </c>
      <c r="BJ2235" s="160">
        <f>IF($AU$2030&gt;0,'Assumptions (Biomass)'!AK11*Model!$AU$2030*AVERAGE('Assumptions (Biomass)'!$AQ$2:$AS$2)/10^9,0)</f>
        <v>0</v>
      </c>
      <c r="BK2235" s="160"/>
      <c r="BL2235" s="160"/>
      <c r="BM2235" s="160"/>
      <c r="BN2235" s="160"/>
      <c r="BO2235" s="160"/>
      <c r="BP2235" s="160"/>
    </row>
    <row r="2236" ht="15.75" hidden="1" customHeight="1" outlineLevel="1">
      <c r="A2236" s="318"/>
      <c r="B2236" s="38"/>
      <c r="C2236" s="174"/>
      <c r="D2236" s="174"/>
      <c r="E2236" s="174"/>
      <c r="F2236" s="174"/>
      <c r="G2236" s="174"/>
      <c r="H2236" s="174"/>
      <c r="I2236" s="174"/>
      <c r="J2236" s="174"/>
      <c r="K2236" s="174"/>
      <c r="L2236" s="174"/>
      <c r="M2236" s="174"/>
      <c r="N2236" s="174"/>
      <c r="O2236" s="174"/>
      <c r="P2236" s="174"/>
      <c r="Q2236" s="174"/>
      <c r="R2236" s="174"/>
      <c r="S2236" s="174"/>
      <c r="T2236" s="174"/>
      <c r="U2236" s="174"/>
      <c r="V2236" s="174"/>
      <c r="W2236" s="160"/>
      <c r="X2236" s="160"/>
      <c r="Y2236" s="160"/>
      <c r="Z2236" s="160"/>
      <c r="AA2236" s="160"/>
      <c r="AB2236" s="160"/>
      <c r="AC2236" s="160"/>
      <c r="AD2236" s="160"/>
      <c r="AE2236" s="160"/>
      <c r="AF2236" s="160"/>
      <c r="AG2236" s="160"/>
      <c r="AH2236" s="160"/>
      <c r="AI2236" s="160"/>
      <c r="AJ2236" s="179"/>
      <c r="AK2236" s="160"/>
      <c r="AL2236" s="177"/>
      <c r="AM2236" s="177"/>
      <c r="AN2236" s="177"/>
      <c r="AO2236" s="160"/>
      <c r="AP2236" s="160"/>
      <c r="AQ2236" s="160"/>
      <c r="AR2236" s="160"/>
      <c r="AS2236" s="160"/>
      <c r="AT2236" s="160"/>
      <c r="AU2236" s="160"/>
      <c r="AV2236" s="160">
        <f>IF($AV$2030&gt;0,'Assumptions (Biomass)'!V11*Model!$AV$2030*AVERAGE('Assumptions (Biomass)'!$AR$2:$AT$2)/10^9,0)</f>
        <v>0</v>
      </c>
      <c r="AW2236" s="160">
        <f>IF($AV$2030&gt;0,'Assumptions (Biomass)'!W11*Model!$AV$2030*AVERAGE('Assumptions (Biomass)'!$AR$2:$AT$2)/10^9,0)</f>
        <v>0</v>
      </c>
      <c r="AX2236" s="160">
        <f>IF($AV$2030&gt;0,'Assumptions (Biomass)'!X11*Model!$AV$2030*AVERAGE('Assumptions (Biomass)'!$AR$2:$AT$2)/10^9,0)</f>
        <v>0</v>
      </c>
      <c r="AY2236" s="160">
        <f>IF($AV$2030&gt;0,'Assumptions (Biomass)'!Y11*Model!$AV$2030*AVERAGE('Assumptions (Biomass)'!$AR$2:$AT$2)/10^9,0)</f>
        <v>0</v>
      </c>
      <c r="AZ2236" s="160">
        <f>IF($AV$2030&gt;0,'Assumptions (Biomass)'!Z11*Model!$AV$2030*AVERAGE('Assumptions (Biomass)'!$AR$2:$AT$2)/10^9,0)</f>
        <v>0</v>
      </c>
      <c r="BA2236" s="160">
        <f>IF($AV$2030&gt;0,'Assumptions (Biomass)'!AA11*Model!$AV$2030*AVERAGE('Assumptions (Biomass)'!$AR$2:$AT$2)/10^9,0)</f>
        <v>0</v>
      </c>
      <c r="BB2236" s="160">
        <f>IF($AV$2030&gt;0,'Assumptions (Biomass)'!AB11*Model!$AV$2030*AVERAGE('Assumptions (Biomass)'!$AR$2:$AT$2)/10^9,0)</f>
        <v>0</v>
      </c>
      <c r="BC2236" s="160">
        <f>IF($AV$2030&gt;0,'Assumptions (Biomass)'!AC11*Model!$AV$2030*AVERAGE('Assumptions (Biomass)'!$AR$2:$AT$2)/10^9,0)</f>
        <v>0</v>
      </c>
      <c r="BD2236" s="160">
        <f>IF($AV$2030&gt;0,'Assumptions (Biomass)'!AD11*Model!$AV$2030*AVERAGE('Assumptions (Biomass)'!$AR$2:$AT$2)/10^9,0)</f>
        <v>0</v>
      </c>
      <c r="BE2236" s="160">
        <f>IF($AV$2030&gt;0,'Assumptions (Biomass)'!AE11*Model!$AV$2030*AVERAGE('Assumptions (Biomass)'!$AR$2:$AT$2)/10^9,0)</f>
        <v>0</v>
      </c>
      <c r="BF2236" s="160">
        <f>IF($AV$2030&gt;0,'Assumptions (Biomass)'!AF11*Model!$AV$2030*AVERAGE('Assumptions (Biomass)'!$AR$2:$AT$2)/10^9,0)</f>
        <v>0</v>
      </c>
      <c r="BG2236" s="160">
        <f>IF($AV$2030&gt;0,'Assumptions (Biomass)'!AG11*Model!$AV$2030*AVERAGE('Assumptions (Biomass)'!$AR$2:$AT$2)/10^9,0)</f>
        <v>0</v>
      </c>
      <c r="BH2236" s="160">
        <f>IF($AV$2030&gt;0,'Assumptions (Biomass)'!AH11*Model!$AV$2030*AVERAGE('Assumptions (Biomass)'!$AR$2:$AT$2)/10^9,0)</f>
        <v>0</v>
      </c>
      <c r="BI2236" s="160">
        <f>IF($AV$2030&gt;0,'Assumptions (Biomass)'!AI11*Model!$AV$2030*AVERAGE('Assumptions (Biomass)'!$AR$2:$AT$2)/10^9,0)</f>
        <v>0</v>
      </c>
      <c r="BJ2236" s="160">
        <f>IF($AV$2030&gt;0,'Assumptions (Biomass)'!AJ11*Model!$AV$2030*AVERAGE('Assumptions (Biomass)'!$AR$2:$AT$2)/10^9,0)</f>
        <v>0</v>
      </c>
      <c r="BK2236" s="160">
        <f>IF($AV$2030&gt;0,'Assumptions (Biomass)'!AK11*Model!$AV$2030*AVERAGE('Assumptions (Biomass)'!$AR$2:$AT$2)/10^9,0)</f>
        <v>0</v>
      </c>
      <c r="BL2236" s="160"/>
      <c r="BM2236" s="160"/>
      <c r="BN2236" s="160"/>
      <c r="BO2236" s="160"/>
      <c r="BP2236" s="160"/>
    </row>
    <row r="2237" ht="15.75" hidden="1" customHeight="1" outlineLevel="1">
      <c r="A2237" s="318"/>
      <c r="B2237" s="38"/>
      <c r="C2237" s="174"/>
      <c r="D2237" s="174"/>
      <c r="E2237" s="174"/>
      <c r="F2237" s="174"/>
      <c r="G2237" s="174"/>
      <c r="H2237" s="174"/>
      <c r="I2237" s="174"/>
      <c r="J2237" s="174"/>
      <c r="K2237" s="174"/>
      <c r="L2237" s="174"/>
      <c r="M2237" s="174"/>
      <c r="N2237" s="174"/>
      <c r="O2237" s="174"/>
      <c r="P2237" s="174"/>
      <c r="Q2237" s="174"/>
      <c r="R2237" s="174"/>
      <c r="S2237" s="174"/>
      <c r="T2237" s="174"/>
      <c r="U2237" s="174"/>
      <c r="V2237" s="174"/>
      <c r="W2237" s="160"/>
      <c r="X2237" s="160"/>
      <c r="Y2237" s="160"/>
      <c r="Z2237" s="160"/>
      <c r="AA2237" s="160"/>
      <c r="AB2237" s="160"/>
      <c r="AC2237" s="160"/>
      <c r="AD2237" s="160"/>
      <c r="AE2237" s="160"/>
      <c r="AF2237" s="160"/>
      <c r="AG2237" s="160"/>
      <c r="AH2237" s="160"/>
      <c r="AI2237" s="160"/>
      <c r="AJ2237" s="179"/>
      <c r="AK2237" s="160"/>
      <c r="AL2237" s="177"/>
      <c r="AM2237" s="177"/>
      <c r="AN2237" s="177"/>
      <c r="AO2237" s="160"/>
      <c r="AP2237" s="160"/>
      <c r="AQ2237" s="160"/>
      <c r="AR2237" s="160"/>
      <c r="AS2237" s="160"/>
      <c r="AT2237" s="160"/>
      <c r="AU2237" s="160"/>
      <c r="AV2237" s="160"/>
      <c r="AW2237" s="160">
        <f>IF($AW$2030&gt;0,'Assumptions (Biomass)'!V11*Model!$AW$2030*AVERAGE('Assumptions (Biomass)'!$AS$2:$AU$2)/10^9,0)</f>
        <v>0</v>
      </c>
      <c r="AX2237" s="160">
        <f>IF($AW$2030&gt;0,'Assumptions (Biomass)'!W11*Model!$AW$2030*AVERAGE('Assumptions (Biomass)'!$AS$2:$AU$2)/10^9,0)</f>
        <v>0</v>
      </c>
      <c r="AY2237" s="160">
        <f>IF($AW$2030&gt;0,'Assumptions (Biomass)'!X11*Model!$AW$2030*AVERAGE('Assumptions (Biomass)'!$AS$2:$AU$2)/10^9,0)</f>
        <v>0</v>
      </c>
      <c r="AZ2237" s="160">
        <f>IF($AW$2030&gt;0,'Assumptions (Biomass)'!Y11*Model!$AW$2030*AVERAGE('Assumptions (Biomass)'!$AS$2:$AU$2)/10^9,0)</f>
        <v>0</v>
      </c>
      <c r="BA2237" s="160">
        <f>IF($AW$2030&gt;0,'Assumptions (Biomass)'!Z11*Model!$AW$2030*AVERAGE('Assumptions (Biomass)'!$AS$2:$AU$2)/10^9,0)</f>
        <v>0</v>
      </c>
      <c r="BB2237" s="160">
        <f>IF($AW$2030&gt;0,'Assumptions (Biomass)'!AA11*Model!$AW$2030*AVERAGE('Assumptions (Biomass)'!$AS$2:$AU$2)/10^9,0)</f>
        <v>0</v>
      </c>
      <c r="BC2237" s="160">
        <f>IF($AW$2030&gt;0,'Assumptions (Biomass)'!AB11*Model!$AW$2030*AVERAGE('Assumptions (Biomass)'!$AS$2:$AU$2)/10^9,0)</f>
        <v>0</v>
      </c>
      <c r="BD2237" s="160">
        <f>IF($AW$2030&gt;0,'Assumptions (Biomass)'!AC11*Model!$AW$2030*AVERAGE('Assumptions (Biomass)'!$AS$2:$AU$2)/10^9,0)</f>
        <v>0</v>
      </c>
      <c r="BE2237" s="160">
        <f>IF($AW$2030&gt;0,'Assumptions (Biomass)'!AD11*Model!$AW$2030*AVERAGE('Assumptions (Biomass)'!$AS$2:$AU$2)/10^9,0)</f>
        <v>0</v>
      </c>
      <c r="BF2237" s="160">
        <f>IF($AW$2030&gt;0,'Assumptions (Biomass)'!AE11*Model!$AW$2030*AVERAGE('Assumptions (Biomass)'!$AS$2:$AU$2)/10^9,0)</f>
        <v>0</v>
      </c>
      <c r="BG2237" s="160">
        <f>IF($AW$2030&gt;0,'Assumptions (Biomass)'!AF11*Model!$AW$2030*AVERAGE('Assumptions (Biomass)'!$AS$2:$AU$2)/10^9,0)</f>
        <v>0</v>
      </c>
      <c r="BH2237" s="160">
        <f>IF($AW$2030&gt;0,'Assumptions (Biomass)'!AG11*Model!$AW$2030*AVERAGE('Assumptions (Biomass)'!$AS$2:$AU$2)/10^9,0)</f>
        <v>0</v>
      </c>
      <c r="BI2237" s="160">
        <f>IF($AW$2030&gt;0,'Assumptions (Biomass)'!AH11*Model!$AW$2030*AVERAGE('Assumptions (Biomass)'!$AS$2:$AU$2)/10^9,0)</f>
        <v>0</v>
      </c>
      <c r="BJ2237" s="160">
        <f>IF($AW$2030&gt;0,'Assumptions (Biomass)'!AI11*Model!$AW$2030*AVERAGE('Assumptions (Biomass)'!$AS$2:$AU$2)/10^9,0)</f>
        <v>0</v>
      </c>
      <c r="BK2237" s="160">
        <f>IF($AW$2030&gt;0,'Assumptions (Biomass)'!AJ11*Model!$AW$2030*AVERAGE('Assumptions (Biomass)'!$AS$2:$AU$2)/10^9,0)</f>
        <v>0</v>
      </c>
      <c r="BL2237" s="160">
        <f>IF($AW$2030&gt;0,'Assumptions (Biomass)'!AK11*Model!$AW$2030*AVERAGE('Assumptions (Biomass)'!$AS$2:$AU$2)/10^9,0)</f>
        <v>0</v>
      </c>
      <c r="BM2237" s="160"/>
      <c r="BN2237" s="160"/>
      <c r="BO2237" s="160"/>
      <c r="BP2237" s="160"/>
    </row>
    <row r="2238" ht="15.75" hidden="1" customHeight="1" outlineLevel="1">
      <c r="A2238" s="318"/>
      <c r="B2238" s="38"/>
      <c r="C2238" s="174"/>
      <c r="D2238" s="174"/>
      <c r="E2238" s="174"/>
      <c r="F2238" s="174"/>
      <c r="G2238" s="174"/>
      <c r="H2238" s="174"/>
      <c r="I2238" s="174"/>
      <c r="J2238" s="174"/>
      <c r="K2238" s="174"/>
      <c r="L2238" s="174"/>
      <c r="M2238" s="174"/>
      <c r="N2238" s="174"/>
      <c r="O2238" s="174"/>
      <c r="P2238" s="174"/>
      <c r="Q2238" s="174"/>
      <c r="R2238" s="174"/>
      <c r="S2238" s="174"/>
      <c r="T2238" s="174"/>
      <c r="U2238" s="174"/>
      <c r="V2238" s="174"/>
      <c r="W2238" s="160"/>
      <c r="X2238" s="160"/>
      <c r="Y2238" s="160"/>
      <c r="Z2238" s="160"/>
      <c r="AA2238" s="160"/>
      <c r="AB2238" s="160"/>
      <c r="AC2238" s="160"/>
      <c r="AD2238" s="160"/>
      <c r="AE2238" s="160"/>
      <c r="AF2238" s="160"/>
      <c r="AG2238" s="160"/>
      <c r="AH2238" s="160"/>
      <c r="AI2238" s="160"/>
      <c r="AJ2238" s="179"/>
      <c r="AK2238" s="160"/>
      <c r="AL2238" s="177"/>
      <c r="AM2238" s="177"/>
      <c r="AN2238" s="177"/>
      <c r="AO2238" s="160"/>
      <c r="AP2238" s="160"/>
      <c r="AQ2238" s="160"/>
      <c r="AR2238" s="160"/>
      <c r="AS2238" s="160"/>
      <c r="AT2238" s="160"/>
      <c r="AU2238" s="160"/>
      <c r="AV2238" s="160"/>
      <c r="AW2238" s="160"/>
      <c r="AX2238" s="160">
        <f>IF($AX$2030&gt;0,'Assumptions (Biomass)'!V11*Model!$AX$2030*AVERAGE('Assumptions (Biomass)'!$AT$2:$AV$2)/10^9,0)</f>
        <v>0</v>
      </c>
      <c r="AY2238" s="160">
        <f>IF($AX$2030&gt;0,'Assumptions (Biomass)'!W11*Model!$AX$2030*AVERAGE('Assumptions (Biomass)'!$AT$2:$AV$2)/10^9,0)</f>
        <v>0</v>
      </c>
      <c r="AZ2238" s="160">
        <f>IF($AX$2030&gt;0,'Assumptions (Biomass)'!X11*Model!$AX$2030*AVERAGE('Assumptions (Biomass)'!$AT$2:$AV$2)/10^9,0)</f>
        <v>0</v>
      </c>
      <c r="BA2238" s="160">
        <f>IF($AX$2030&gt;0,'Assumptions (Biomass)'!Y11*Model!$AX$2030*AVERAGE('Assumptions (Biomass)'!$AT$2:$AV$2)/10^9,0)</f>
        <v>0</v>
      </c>
      <c r="BB2238" s="160">
        <f>IF($AX$2030&gt;0,'Assumptions (Biomass)'!Z11*Model!$AX$2030*AVERAGE('Assumptions (Biomass)'!$AT$2:$AV$2)/10^9,0)</f>
        <v>0</v>
      </c>
      <c r="BC2238" s="160">
        <f>IF($AX$2030&gt;0,'Assumptions (Biomass)'!AA11*Model!$AX$2030*AVERAGE('Assumptions (Biomass)'!$AT$2:$AV$2)/10^9,0)</f>
        <v>0</v>
      </c>
      <c r="BD2238" s="160">
        <f>IF($AX$2030&gt;0,'Assumptions (Biomass)'!AB11*Model!$AX$2030*AVERAGE('Assumptions (Biomass)'!$AT$2:$AV$2)/10^9,0)</f>
        <v>0</v>
      </c>
      <c r="BE2238" s="160">
        <f>IF($AX$2030&gt;0,'Assumptions (Biomass)'!AC11*Model!$AX$2030*AVERAGE('Assumptions (Biomass)'!$AT$2:$AV$2)/10^9,0)</f>
        <v>0</v>
      </c>
      <c r="BF2238" s="160">
        <f>IF($AX$2030&gt;0,'Assumptions (Biomass)'!AD11*Model!$AX$2030*AVERAGE('Assumptions (Biomass)'!$AT$2:$AV$2)/10^9,0)</f>
        <v>0</v>
      </c>
      <c r="BG2238" s="160">
        <f>IF($AX$2030&gt;0,'Assumptions (Biomass)'!AE11*Model!$AX$2030*AVERAGE('Assumptions (Biomass)'!$AT$2:$AV$2)/10^9,0)</f>
        <v>0</v>
      </c>
      <c r="BH2238" s="160">
        <f>IF($AX$2030&gt;0,'Assumptions (Biomass)'!AF11*Model!$AX$2030*AVERAGE('Assumptions (Biomass)'!$AT$2:$AV$2)/10^9,0)</f>
        <v>0</v>
      </c>
      <c r="BI2238" s="160">
        <f>IF($AX$2030&gt;0,'Assumptions (Biomass)'!AG11*Model!$AX$2030*AVERAGE('Assumptions (Biomass)'!$AT$2:$AV$2)/10^9,0)</f>
        <v>0</v>
      </c>
      <c r="BJ2238" s="160">
        <f>IF($AX$2030&gt;0,'Assumptions (Biomass)'!AH11*Model!$AX$2030*AVERAGE('Assumptions (Biomass)'!$AT$2:$AV$2)/10^9,0)</f>
        <v>0</v>
      </c>
      <c r="BK2238" s="160">
        <f>IF($AX$2030&gt;0,'Assumptions (Biomass)'!AI11*Model!$AX$2030*AVERAGE('Assumptions (Biomass)'!$AT$2:$AV$2)/10^9,0)</f>
        <v>0</v>
      </c>
      <c r="BL2238" s="160">
        <f>IF($AX$2030&gt;0,'Assumptions (Biomass)'!AJ11*Model!$AX$2030*AVERAGE('Assumptions (Biomass)'!$AT$2:$AV$2)/10^9,0)</f>
        <v>0</v>
      </c>
      <c r="BM2238" s="160">
        <f>IF($AX$2030&gt;0,'Assumptions (Biomass)'!AK11*Model!$AX$2030*AVERAGE('Assumptions (Biomass)'!$AT$2:$AV$2)/10^9,0)</f>
        <v>0</v>
      </c>
      <c r="BN2238" s="160"/>
      <c r="BO2238" s="160"/>
      <c r="BP2238" s="160"/>
    </row>
    <row r="2239" ht="15.75" hidden="1" customHeight="1" outlineLevel="1">
      <c r="A2239" s="318"/>
      <c r="B2239" s="38"/>
      <c r="C2239" s="174"/>
      <c r="D2239" s="174"/>
      <c r="E2239" s="174"/>
      <c r="F2239" s="174"/>
      <c r="G2239" s="174"/>
      <c r="H2239" s="174"/>
      <c r="I2239" s="174"/>
      <c r="J2239" s="174"/>
      <c r="K2239" s="174"/>
      <c r="L2239" s="174"/>
      <c r="M2239" s="174"/>
      <c r="N2239" s="174"/>
      <c r="O2239" s="174"/>
      <c r="P2239" s="174"/>
      <c r="Q2239" s="174"/>
      <c r="R2239" s="174"/>
      <c r="S2239" s="174"/>
      <c r="T2239" s="174"/>
      <c r="U2239" s="174"/>
      <c r="V2239" s="174"/>
      <c r="W2239" s="160"/>
      <c r="X2239" s="160"/>
      <c r="Y2239" s="160"/>
      <c r="Z2239" s="160"/>
      <c r="AA2239" s="160"/>
      <c r="AB2239" s="160"/>
      <c r="AC2239" s="160"/>
      <c r="AD2239" s="160"/>
      <c r="AE2239" s="160"/>
      <c r="AF2239" s="160"/>
      <c r="AG2239" s="160"/>
      <c r="AH2239" s="160"/>
      <c r="AI2239" s="160"/>
      <c r="AJ2239" s="179"/>
      <c r="AK2239" s="160"/>
      <c r="AL2239" s="177"/>
      <c r="AM2239" s="177"/>
      <c r="AN2239" s="177"/>
      <c r="AO2239" s="160"/>
      <c r="AP2239" s="160"/>
      <c r="AQ2239" s="160"/>
      <c r="AR2239" s="160"/>
      <c r="AS2239" s="160"/>
      <c r="AT2239" s="160"/>
      <c r="AU2239" s="160"/>
      <c r="AV2239" s="160"/>
      <c r="AW2239" s="160"/>
      <c r="AX2239" s="160"/>
      <c r="AY2239" s="160">
        <f>IF($AY$2030&gt;0,'Assumptions (Biomass)'!V11*Model!$AY$2030*AVERAGE('Assumptions (Biomass)'!$AU$2:$AW$2)/10^9,0)</f>
        <v>0</v>
      </c>
      <c r="AZ2239" s="160">
        <f>IF($AY$2030&gt;0,'Assumptions (Biomass)'!W11*Model!$AY$2030*AVERAGE('Assumptions (Biomass)'!$AU$2:$AW$2)/10^9,0)</f>
        <v>0</v>
      </c>
      <c r="BA2239" s="160">
        <f>IF($AY$2030&gt;0,'Assumptions (Biomass)'!X11*Model!$AY$2030*AVERAGE('Assumptions (Biomass)'!$AU$2:$AW$2)/10^9,0)</f>
        <v>0</v>
      </c>
      <c r="BB2239" s="160">
        <f>IF($AY$2030&gt;0,'Assumptions (Biomass)'!Y11*Model!$AY$2030*AVERAGE('Assumptions (Biomass)'!$AU$2:$AW$2)/10^9,0)</f>
        <v>0</v>
      </c>
      <c r="BC2239" s="160">
        <f>IF($AY$2030&gt;0,'Assumptions (Biomass)'!Z11*Model!$AY$2030*AVERAGE('Assumptions (Biomass)'!$AU$2:$AW$2)/10^9,0)</f>
        <v>0</v>
      </c>
      <c r="BD2239" s="160">
        <f>IF($AY$2030&gt;0,'Assumptions (Biomass)'!AA11*Model!$AY$2030*AVERAGE('Assumptions (Biomass)'!$AU$2:$AW$2)/10^9,0)</f>
        <v>0</v>
      </c>
      <c r="BE2239" s="160">
        <f>IF($AY$2030&gt;0,'Assumptions (Biomass)'!AB11*Model!$AY$2030*AVERAGE('Assumptions (Biomass)'!$AU$2:$AW$2)/10^9,0)</f>
        <v>0</v>
      </c>
      <c r="BF2239" s="160">
        <f>IF($AY$2030&gt;0,'Assumptions (Biomass)'!AC11*Model!$AY$2030*AVERAGE('Assumptions (Biomass)'!$AU$2:$AW$2)/10^9,0)</f>
        <v>0</v>
      </c>
      <c r="BG2239" s="160">
        <f>IF($AY$2030&gt;0,'Assumptions (Biomass)'!AD11*Model!$AY$2030*AVERAGE('Assumptions (Biomass)'!$AU$2:$AW$2)/10^9,0)</f>
        <v>0</v>
      </c>
      <c r="BH2239" s="160">
        <f>IF($AY$2030&gt;0,'Assumptions (Biomass)'!AE11*Model!$AY$2030*AVERAGE('Assumptions (Biomass)'!$AU$2:$AW$2)/10^9,0)</f>
        <v>0</v>
      </c>
      <c r="BI2239" s="160">
        <f>IF($AY$2030&gt;0,'Assumptions (Biomass)'!AF11*Model!$AY$2030*AVERAGE('Assumptions (Biomass)'!$AU$2:$AW$2)/10^9,0)</f>
        <v>0</v>
      </c>
      <c r="BJ2239" s="160">
        <f>IF($AY$2030&gt;0,'Assumptions (Biomass)'!AG11*Model!$AY$2030*AVERAGE('Assumptions (Biomass)'!$AU$2:$AW$2)/10^9,0)</f>
        <v>0</v>
      </c>
      <c r="BK2239" s="160">
        <f>IF($AY$2030&gt;0,'Assumptions (Biomass)'!AH11*Model!$AY$2030*AVERAGE('Assumptions (Biomass)'!$AU$2:$AW$2)/10^9,0)</f>
        <v>0</v>
      </c>
      <c r="BL2239" s="160">
        <f>IF($AY$2030&gt;0,'Assumptions (Biomass)'!AI11*Model!$AY$2030*AVERAGE('Assumptions (Biomass)'!$AU$2:$AW$2)/10^9,0)</f>
        <v>0</v>
      </c>
      <c r="BM2239" s="160">
        <f>IF($AY$2030&gt;0,'Assumptions (Biomass)'!AJ11*Model!$AY$2030*AVERAGE('Assumptions (Biomass)'!$AU$2:$AW$2)/10^9,0)</f>
        <v>0</v>
      </c>
      <c r="BN2239" s="160">
        <f>IF($AY$2030&gt;0,'Assumptions (Biomass)'!AK11*Model!$AY$2030*AVERAGE('Assumptions (Biomass)'!$AU$2:$AW$2)/10^9,0)</f>
        <v>0</v>
      </c>
      <c r="BO2239" s="160"/>
      <c r="BP2239" s="160"/>
    </row>
    <row r="2240" ht="15.75" hidden="1" customHeight="1" outlineLevel="1">
      <c r="A2240" s="318"/>
      <c r="B2240" s="38"/>
      <c r="C2240" s="174"/>
      <c r="D2240" s="174"/>
      <c r="E2240" s="174"/>
      <c r="F2240" s="174"/>
      <c r="G2240" s="174"/>
      <c r="H2240" s="174"/>
      <c r="I2240" s="174"/>
      <c r="J2240" s="174"/>
      <c r="K2240" s="174"/>
      <c r="L2240" s="174"/>
      <c r="M2240" s="174"/>
      <c r="N2240" s="174"/>
      <c r="O2240" s="174"/>
      <c r="P2240" s="174"/>
      <c r="Q2240" s="174"/>
      <c r="R2240" s="174"/>
      <c r="S2240" s="174"/>
      <c r="T2240" s="174"/>
      <c r="U2240" s="174"/>
      <c r="V2240" s="174"/>
      <c r="W2240" s="160"/>
      <c r="X2240" s="160"/>
      <c r="Y2240" s="160"/>
      <c r="Z2240" s="160"/>
      <c r="AA2240" s="160"/>
      <c r="AB2240" s="160"/>
      <c r="AC2240" s="160"/>
      <c r="AD2240" s="160"/>
      <c r="AE2240" s="160"/>
      <c r="AF2240" s="160"/>
      <c r="AG2240" s="160"/>
      <c r="AH2240" s="160"/>
      <c r="AI2240" s="160"/>
      <c r="AJ2240" s="179"/>
      <c r="AK2240" s="160"/>
      <c r="AL2240" s="177"/>
      <c r="AM2240" s="177"/>
      <c r="AN2240" s="177"/>
      <c r="AO2240" s="160"/>
      <c r="AP2240" s="160"/>
      <c r="AQ2240" s="160"/>
      <c r="AR2240" s="160"/>
      <c r="AS2240" s="160"/>
      <c r="AT2240" s="160"/>
      <c r="AU2240" s="160"/>
      <c r="AV2240" s="160"/>
      <c r="AW2240" s="160"/>
      <c r="AX2240" s="160"/>
      <c r="AY2240" s="160"/>
      <c r="AZ2240" s="160">
        <f>IF($AZ$2030&gt;0,'Assumptions (Biomass)'!V11*Model!$AZ$2030*AVERAGE('Assumptions (Biomass)'!$AV$2:$AX$2)/10^9,0)</f>
        <v>0</v>
      </c>
      <c r="BA2240" s="160">
        <f>IF($AZ$2030&gt;0,'Assumptions (Biomass)'!W11*Model!$AZ$2030*AVERAGE('Assumptions (Biomass)'!$AV$2:$AX$2)/10^9,0)</f>
        <v>0</v>
      </c>
      <c r="BB2240" s="160">
        <f>IF($AZ$2030&gt;0,'Assumptions (Biomass)'!X11*Model!$AZ$2030*AVERAGE('Assumptions (Biomass)'!$AV$2:$AX$2)/10^9,0)</f>
        <v>0</v>
      </c>
      <c r="BC2240" s="160">
        <f>IF($AZ$2030&gt;0,'Assumptions (Biomass)'!Y11*Model!$AZ$2030*AVERAGE('Assumptions (Biomass)'!$AV$2:$AX$2)/10^9,0)</f>
        <v>0</v>
      </c>
      <c r="BD2240" s="160">
        <f>IF($AZ$2030&gt;0,'Assumptions (Biomass)'!Z11*Model!$AZ$2030*AVERAGE('Assumptions (Biomass)'!$AV$2:$AX$2)/10^9,0)</f>
        <v>0</v>
      </c>
      <c r="BE2240" s="160">
        <f>IF($AZ$2030&gt;0,'Assumptions (Biomass)'!AA11*Model!$AZ$2030*AVERAGE('Assumptions (Biomass)'!$AV$2:$AX$2)/10^9,0)</f>
        <v>0</v>
      </c>
      <c r="BF2240" s="160">
        <f>IF($AZ$2030&gt;0,'Assumptions (Biomass)'!AB11*Model!$AZ$2030*AVERAGE('Assumptions (Biomass)'!$AV$2:$AX$2)/10^9,0)</f>
        <v>0</v>
      </c>
      <c r="BG2240" s="160">
        <f>IF($AZ$2030&gt;0,'Assumptions (Biomass)'!AC11*Model!$AZ$2030*AVERAGE('Assumptions (Biomass)'!$AV$2:$AX$2)/10^9,0)</f>
        <v>0</v>
      </c>
      <c r="BH2240" s="160">
        <f>IF($AZ$2030&gt;0,'Assumptions (Biomass)'!AD11*Model!$AZ$2030*AVERAGE('Assumptions (Biomass)'!$AV$2:$AX$2)/10^9,0)</f>
        <v>0</v>
      </c>
      <c r="BI2240" s="160">
        <f>IF($AZ$2030&gt;0,'Assumptions (Biomass)'!AE11*Model!$AZ$2030*AVERAGE('Assumptions (Biomass)'!$AV$2:$AX$2)/10^9,0)</f>
        <v>0</v>
      </c>
      <c r="BJ2240" s="160">
        <f>IF($AZ$2030&gt;0,'Assumptions (Biomass)'!AF11*Model!$AZ$2030*AVERAGE('Assumptions (Biomass)'!$AV$2:$AX$2)/10^9,0)</f>
        <v>0</v>
      </c>
      <c r="BK2240" s="160">
        <f>IF($AZ$2030&gt;0,'Assumptions (Biomass)'!AG11*Model!$AZ$2030*AVERAGE('Assumptions (Biomass)'!$AV$2:$AX$2)/10^9,0)</f>
        <v>0</v>
      </c>
      <c r="BL2240" s="160">
        <f>IF($AZ$2030&gt;0,'Assumptions (Biomass)'!AH11*Model!$AZ$2030*AVERAGE('Assumptions (Biomass)'!$AV$2:$AX$2)/10^9,0)</f>
        <v>0</v>
      </c>
      <c r="BM2240" s="160">
        <f>IF($AZ$2030&gt;0,'Assumptions (Biomass)'!AI11*Model!$AZ$2030*AVERAGE('Assumptions (Biomass)'!$AV$2:$AX$2)/10^9,0)</f>
        <v>0</v>
      </c>
      <c r="BN2240" s="160">
        <f>IF($AZ$2030&gt;0,'Assumptions (Biomass)'!AJ11*Model!$AZ$2030*AVERAGE('Assumptions (Biomass)'!$AV$2:$AX$2)/10^9,0)</f>
        <v>0</v>
      </c>
      <c r="BO2240" s="160">
        <f>IF($AZ$2030&gt;0,'Assumptions (Biomass)'!AK11*Model!$AZ$2030*AVERAGE('Assumptions (Biomass)'!$AV$2:$AX$2)/10^9,0)</f>
        <v>0</v>
      </c>
      <c r="BP2240" s="160"/>
    </row>
    <row r="2241" ht="15.75" hidden="1" customHeight="1" outlineLevel="1">
      <c r="A2241" s="318"/>
      <c r="B2241" s="38"/>
      <c r="C2241" s="174"/>
      <c r="D2241" s="174"/>
      <c r="E2241" s="174"/>
      <c r="F2241" s="174"/>
      <c r="G2241" s="174"/>
      <c r="H2241" s="174"/>
      <c r="I2241" s="174"/>
      <c r="J2241" s="174"/>
      <c r="K2241" s="174"/>
      <c r="L2241" s="174"/>
      <c r="M2241" s="174"/>
      <c r="N2241" s="174"/>
      <c r="O2241" s="174"/>
      <c r="P2241" s="174"/>
      <c r="Q2241" s="174"/>
      <c r="R2241" s="174"/>
      <c r="S2241" s="174"/>
      <c r="T2241" s="174"/>
      <c r="U2241" s="174"/>
      <c r="V2241" s="174"/>
      <c r="W2241" s="160"/>
      <c r="X2241" s="160"/>
      <c r="Y2241" s="160"/>
      <c r="Z2241" s="160"/>
      <c r="AA2241" s="160"/>
      <c r="AB2241" s="160"/>
      <c r="AC2241" s="160"/>
      <c r="AD2241" s="160"/>
      <c r="AE2241" s="160"/>
      <c r="AF2241" s="160"/>
      <c r="AG2241" s="160"/>
      <c r="AH2241" s="160"/>
      <c r="AI2241" s="160"/>
      <c r="AJ2241" s="179"/>
      <c r="AK2241" s="160"/>
      <c r="AL2241" s="177"/>
      <c r="AM2241" s="177"/>
      <c r="AN2241" s="177"/>
      <c r="AO2241" s="160"/>
      <c r="AP2241" s="160"/>
      <c r="AQ2241" s="160"/>
      <c r="AR2241" s="160"/>
      <c r="AS2241" s="160"/>
      <c r="AT2241" s="160"/>
      <c r="AU2241" s="160"/>
      <c r="AV2241" s="160"/>
      <c r="AW2241" s="160"/>
      <c r="AX2241" s="160"/>
      <c r="AY2241" s="160"/>
      <c r="AZ2241" s="160"/>
      <c r="BA2241" s="160">
        <f>IF($BA$2030&gt;0,'Assumptions (Biomass)'!V11*Model!$BA$2030*AVERAGE('Assumptions (Biomass)'!$AW$2:$AY$2)/10^9,0)</f>
        <v>0</v>
      </c>
      <c r="BB2241" s="160">
        <f>IF($BA$2030&gt;0,'Assumptions (Biomass)'!W11*Model!$BA$2030*AVERAGE('Assumptions (Biomass)'!$AW$2:$AY$2)/10^9,0)</f>
        <v>0</v>
      </c>
      <c r="BC2241" s="160">
        <f>IF($BA$2030&gt;0,'Assumptions (Biomass)'!X11*Model!$BA$2030*AVERAGE('Assumptions (Biomass)'!$AW$2:$AY$2)/10^9,0)</f>
        <v>0</v>
      </c>
      <c r="BD2241" s="160">
        <f>IF($BA$2030&gt;0,'Assumptions (Biomass)'!Y11*Model!$BA$2030*AVERAGE('Assumptions (Biomass)'!$AW$2:$AY$2)/10^9,0)</f>
        <v>0</v>
      </c>
      <c r="BE2241" s="160">
        <f>IF($BA$2030&gt;0,'Assumptions (Biomass)'!Z11*Model!$BA$2030*AVERAGE('Assumptions (Biomass)'!$AW$2:$AY$2)/10^9,0)</f>
        <v>0</v>
      </c>
      <c r="BF2241" s="160">
        <f>IF($BA$2030&gt;0,'Assumptions (Biomass)'!AA11*Model!$BA$2030*AVERAGE('Assumptions (Biomass)'!$AW$2:$AY$2)/10^9,0)</f>
        <v>0</v>
      </c>
      <c r="BG2241" s="160">
        <f>IF($BA$2030&gt;0,'Assumptions (Biomass)'!AB11*Model!$BA$2030*AVERAGE('Assumptions (Biomass)'!$AW$2:$AY$2)/10^9,0)</f>
        <v>0</v>
      </c>
      <c r="BH2241" s="160">
        <f>IF($BA$2030&gt;0,'Assumptions (Biomass)'!AC11*Model!$BA$2030*AVERAGE('Assumptions (Biomass)'!$AW$2:$AY$2)/10^9,0)</f>
        <v>0</v>
      </c>
      <c r="BI2241" s="160">
        <f>IF($BA$2030&gt;0,'Assumptions (Biomass)'!AD11*Model!$BA$2030*AVERAGE('Assumptions (Biomass)'!$AW$2:$AY$2)/10^9,0)</f>
        <v>0</v>
      </c>
      <c r="BJ2241" s="160">
        <f>IF($BA$2030&gt;0,'Assumptions (Biomass)'!AE11*Model!$BA$2030*AVERAGE('Assumptions (Biomass)'!$AW$2:$AY$2)/10^9,0)</f>
        <v>0</v>
      </c>
      <c r="BK2241" s="160">
        <f>IF($BA$2030&gt;0,'Assumptions (Biomass)'!AF11*Model!$BA$2030*AVERAGE('Assumptions (Biomass)'!$AW$2:$AY$2)/10^9,0)</f>
        <v>0</v>
      </c>
      <c r="BL2241" s="160">
        <f>IF($BA$2030&gt;0,'Assumptions (Biomass)'!AG11*Model!$BA$2030*AVERAGE('Assumptions (Biomass)'!$AW$2:$AY$2)/10^9,0)</f>
        <v>0</v>
      </c>
      <c r="BM2241" s="160">
        <f>IF($BA$2030&gt;0,'Assumptions (Biomass)'!AH11*Model!$BA$2030*AVERAGE('Assumptions (Biomass)'!$AW$2:$AY$2)/10^9,0)</f>
        <v>0</v>
      </c>
      <c r="BN2241" s="160">
        <f>IF($BA$2030&gt;0,'Assumptions (Biomass)'!AI11*Model!$BA$2030*AVERAGE('Assumptions (Biomass)'!$AW$2:$AY$2)/10^9,0)</f>
        <v>0</v>
      </c>
      <c r="BO2241" s="160">
        <f>IF($BA$2030&gt;0,'Assumptions (Biomass)'!AJ11*Model!$BA$2030*AVERAGE('Assumptions (Biomass)'!$AW$2:$AY$2)/10^9,0)</f>
        <v>0</v>
      </c>
      <c r="BP2241" s="160">
        <f>IF($BA$2030&gt;0,'Assumptions (Biomass)'!AK11*Model!$BA$2030*AVERAGE('Assumptions (Biomass)'!$AW$2:$AY$2)/10^9,0)</f>
        <v>0</v>
      </c>
    </row>
    <row r="2242" ht="15.75" customHeight="1" collapsed="1">
      <c r="A2242" s="318" t="s">
        <v>62</v>
      </c>
      <c r="B2242" s="159" t="s">
        <v>351</v>
      </c>
      <c r="C2242" s="181">
        <f>IF(Model!C2028+Model!C2029-C2026-C2190+C2138&gt;0,(1-'Assumptions (Biomass)'!B28)*(Model!C2028+Model!C2029-C2026-C2190+C2138)+Model!C2190-C2085+Model!C2086,Model!C2028+Model!C2029-C2026+C2138-C2085+Model!C2086)</f>
        <v>0.3743903259</v>
      </c>
      <c r="D2242" s="181">
        <f>IF(Model!D2028+Model!D2029-D2026-D2190+D2138&gt;0,(1-'Assumptions (Biomass)'!C28)*(Model!D2028+Model!D2029-D2026-D2190+D2138)+Model!D2190-D2085+Model!D2086,Model!D2028+Model!D2029-D2026+D2138-D2085+Model!D2086)</f>
        <v>0.3498810789</v>
      </c>
      <c r="E2242" s="181">
        <f>IF(Model!E2028+Model!E2029-E2026-E2190+E2138&gt;0,(1-'Assumptions (Biomass)'!D28)*(Model!E2028+Model!E2029-E2026-E2190+E2138)+Model!E2190-E2085+Model!E2086,Model!E2028+Model!E2029-E2026+E2138-E2085+Model!E2086)</f>
        <v>0.3942970325</v>
      </c>
      <c r="F2242" s="181">
        <f>IF(Model!F2028+Model!F2029-F2026-F2190+F2138&gt;0,(1-'Assumptions (Biomass)'!E28)*(Model!F2028+Model!F2029-F2026-F2190+F2138)+Model!F2190-F2085+Model!F2086,Model!F2028+Model!F2029-F2026+F2138-F2085+Model!F2086)</f>
        <v>0.3538298466</v>
      </c>
      <c r="G2242" s="181">
        <f>IF(Model!G2028+Model!G2029-G2026-G2190+G2138&gt;0,(1-'Assumptions (Biomass)'!F28)*(Model!G2028+Model!G2029-G2026-G2190+G2138)+Model!G2190-G2085+Model!G2086,Model!G2028+Model!G2029-G2026+G2138-G2085+Model!G2086)</f>
        <v>0.4201301911</v>
      </c>
      <c r="H2242" s="181">
        <f>IF(Model!H2028+Model!H2029-H2026-H2190+H2138&gt;0,(1-'Assumptions (Biomass)'!G28)*(Model!H2028+Model!H2029-H2026-H2190+H2138)+Model!H2190-H2085+Model!H2086,Model!H2028+Model!H2029-H2026+H2138-H2085+Model!H2086)</f>
        <v>0.5496296329</v>
      </c>
      <c r="I2242" s="181">
        <f>IF(Model!I2028+Model!I2029-I2026-I2190+I2138&gt;0,(1-'Assumptions (Biomass)'!H28)*(Model!I2028+Model!I2029-I2026-I2190+I2138)+Model!I2190-I2085+Model!I2086,Model!I2028+Model!I2029-I2026+I2138-I2085+Model!I2086)</f>
        <v>0.5075095319</v>
      </c>
      <c r="J2242" s="181">
        <f>IF(Model!J2028+Model!J2029-J2026-J2190+J2138&gt;0,(1-'Assumptions (Biomass)'!I28)*(Model!J2028+Model!J2029-J2026-J2190+J2138)+Model!J2190-J2085+Model!J2086,Model!J2028+Model!J2029-J2026+J2138-J2085+Model!J2086)</f>
        <v>0.4708122343</v>
      </c>
      <c r="K2242" s="181">
        <f>IF(Model!K2028+Model!K2029-K2026-K2190+K2138&gt;0,(1-'Assumptions (Biomass)'!J28)*(Model!K2028+Model!K2029-K2026-K2190+K2138)+Model!K2190-K2085+Model!K2086,Model!K2028+Model!K2029-K2026+K2138-K2085+Model!K2086)</f>
        <v>0.4584945256</v>
      </c>
      <c r="L2242" s="181">
        <f>IF(Model!L2028+Model!L2029-L2026-L2190+L2138&gt;0,(1-'Assumptions (Biomass)'!K28)*(Model!L2028+Model!L2029-L2026-L2190+L2138)+Model!L2190-L2085+Model!L2086,Model!L2028+Model!L2029-L2026+L2138-L2085+Model!L2086)</f>
        <v>0.1869069033</v>
      </c>
      <c r="M2242" s="181">
        <f>IF(Model!M2028+Model!M2029-M2026-M2190+M2138&gt;0,(1-'Assumptions (Biomass)'!L28)*(Model!M2028+Model!M2029-M2026-M2190+M2138)+Model!M2190-M2085+Model!M2086,Model!M2028+Model!M2029-M2026+M2138-M2085+Model!M2086)</f>
        <v>0.1504970522</v>
      </c>
      <c r="N2242" s="181">
        <f>IF(Model!N2028+Model!N2029-N2026-N2190+N2138&gt;0,(1-'Assumptions (Biomass)'!M28)*(Model!N2028+Model!N2029-N2026-N2190+N2138)+Model!N2190-N2085+Model!N2086,Model!N2028+Model!N2029-N2026+N2138-N2085+Model!N2086)</f>
        <v>0.1462481037</v>
      </c>
      <c r="O2242" s="181">
        <f>IF(Model!O2028+Model!O2029-O2026-O2190+O2138&gt;0,(1-'Assumptions (Biomass)'!N28)*(Model!O2028+Model!O2029-O2026-O2190+O2138)+Model!O2190-O2085+Model!O2086,Model!O2028+Model!O2029-O2026+O2138-O2085+Model!O2086)</f>
        <v>0.06170748024</v>
      </c>
      <c r="P2242" s="181">
        <f>IF(Model!P2028+Model!P2029-P2026-P2190+P2138&gt;0,(1-'Assumptions (Biomass)'!O28)*(Model!P2028+Model!P2029-P2026-P2190+P2138)+Model!P2190-P2085+Model!P2086,Model!P2028+Model!P2029-P2026+P2138-P2085+Model!P2086)</f>
        <v>0.176979571</v>
      </c>
      <c r="Q2242" s="181">
        <f>IF(Model!Q2028+Model!Q2029-Q2026-Q2190+Q2138&gt;0,(1-'Assumptions (Biomass)'!P28)*(Model!Q2028+Model!Q2029-Q2026-Q2190+Q2138)+Model!Q2190-Q2085+Model!Q2086,Model!Q2028+Model!Q2029-Q2026+Q2138-Q2085+Model!Q2086)</f>
        <v>0.1979686266</v>
      </c>
      <c r="R2242" s="181">
        <f>IF(Model!R2028+Model!R2029-R2026-R2190+R2138&gt;0,(1-'Assumptions (Biomass)'!Q28)*(Model!R2028+Model!R2029-R2026-R2190+R2138)+Model!R2190-R2085+Model!R2086,Model!R2028+Model!R2029-R2026+R2138-R2085+Model!R2086)</f>
        <v>0.1337169976</v>
      </c>
      <c r="S2242" s="181">
        <f>IF(Model!S2028+Model!S2029-S2026-S2190+S2138&gt;0,(1-'Assumptions (Biomass)'!R28)*(Model!S2028+Model!S2029-S2026-S2190+S2138)+Model!S2190-S2085+Model!S2086,Model!S2028+Model!S2029-S2026+S2138-S2085+Model!S2086)</f>
        <v>0.1721632899</v>
      </c>
      <c r="T2242" s="181">
        <f>IF(Model!T2028+Model!T2029-T2026-T2190+T2138&gt;0,(1-'Assumptions (Biomass)'!S28)*(Model!T2028+Model!T2029-T2026-T2190+T2138)+Model!T2190-T2085+Model!T2086,Model!T2028+Model!T2029-T2026+T2138-T2085+Model!T2086)</f>
        <v>0.221771595</v>
      </c>
      <c r="U2242" s="181">
        <f>IF(Model!U2028+Model!U2029-U2026-U2190+U2138&gt;0,(1-'Assumptions (Biomass)'!T28)*(Model!U2028+Model!U2029-U2026-U2190+U2138)+Model!U2190-U2085+Model!U2086,Model!U2028+Model!U2029-U2026+U2138-U2085+Model!U2086)</f>
        <v>0.2542291627</v>
      </c>
      <c r="V2242" s="181">
        <f>IF(Model!V2028+Model!V2029-V2026-V2190+V2138&gt;0,(1-'Assumptions (Biomass)'!U28)*(Model!V2028+Model!V2029-V2026-V2190+V2138)+Model!V2190-V2085+Model!V2086,Model!V2028+Model!V2029-V2026+V2138-V2085+Model!V2086)</f>
        <v>0.2578288712</v>
      </c>
      <c r="W2242" s="181">
        <f>IF(Model!W2028+Model!W2029-W2026-W2190+W2138&gt;0,(1-'Assumptions (Biomass)'!V28)*(Model!W2028+Model!W2029-W2026-W2190+W2138)+Model!W2190-W2085+Model!W2086,Model!W2028+Model!W2029-W2026+W2138-W2085+Model!W2086)</f>
        <v>0.2809326496</v>
      </c>
      <c r="X2242" s="181">
        <f>IF(Model!X2028+Model!X2029-X2026-X2190+X2138&gt;0,(1-'Assumptions (Biomass)'!W28)*(Model!X2028+Model!X2029-X2026-X2190+X2138)+Model!X2190-X2085+Model!X2086,Model!X2028+Model!X2029-X2026+X2138-X2085+Model!X2086)</f>
        <v>0.2848025905</v>
      </c>
      <c r="Y2242" s="181">
        <f>IF(Model!Y2028+Model!Y2029-Y2026-Y2190+Y2138&gt;0,(1-'Assumptions (Biomass)'!X28)*(Model!Y2028+Model!Y2029-Y2026-Y2190+Y2138)+Model!Y2190-Y2085+Model!Y2086,Model!Y2028+Model!Y2029-Y2026+Y2138-Y2085+Model!Y2086)</f>
        <v>0.2825979783</v>
      </c>
      <c r="Z2242" s="181">
        <f>IF(Model!Z2028+Model!Z2029-Z2026-Z2190+Z2138&gt;0,(1-'Assumptions (Biomass)'!Y28)*(Model!Z2028+Model!Z2029-Z2026-Z2190+Z2138)+Model!Z2190-Z2085+Model!Z2086,Model!Z2028+Model!Z2029-Z2026+Z2138-Z2085+Model!Z2086)</f>
        <v>0.2850806686</v>
      </c>
      <c r="AA2242" s="181">
        <f>IF(Model!AA2028+Model!AA2029-AA2026-AA2190+AA2138&gt;0,(1-'Assumptions (Biomass)'!Z28)*(Model!AA2028+Model!AA2029-AA2026-AA2190+AA2138)+Model!AA2190-AA2085+Model!AA2086,Model!AA2028+Model!AA2029-AA2026+AA2138-AA2085+Model!AA2086)</f>
        <v>0.2916919064</v>
      </c>
      <c r="AB2242" s="181">
        <f>IF(Model!AB2028+Model!AB2029-AB2026-AB2190+AB2138&gt;0,(1-'Assumptions (Biomass)'!AA28)*(Model!AB2028+Model!AB2029-AB2026-AB2190+AB2138)+Model!AB2190-AB2085+Model!AB2086,Model!AB2028+Model!AB2029-AB2026+AB2138-AB2085+Model!AB2086)</f>
        <v>0.3224979823</v>
      </c>
      <c r="AC2242" s="181">
        <f>IF(Model!AC2028+Model!AC2029-AC2026-AC2190+AC2138&gt;0,(1-'Assumptions (Biomass)'!AB28)*(Model!AC2028+Model!AC2029-AC2026-AC2190+AC2138)+Model!AC2190-AC2085+Model!AC2086,Model!AC2028+Model!AC2029-AC2026+AC2138-AC2085+Model!AC2086)</f>
        <v>0.3403286837</v>
      </c>
      <c r="AD2242" s="181">
        <f>IF(Model!AD2028+Model!AD2029-AD2026-AD2190+AD2138&gt;0,(1-'Assumptions (Biomass)'!AC28)*(Model!AD2028+Model!AD2029-AD2026-AD2190+AD2138)+Model!AD2190-AD2085+Model!AD2086,Model!AD2028+Model!AD2029-AD2026+AD2138-AD2085+Model!AD2086)</f>
        <v>0.3520982923</v>
      </c>
      <c r="AE2242" s="181">
        <f>IF(Model!AE2028+Model!AE2029-AE2026-AE2190+AE2138&gt;0,(1-'Assumptions (Biomass)'!AD28)*(Model!AE2028+Model!AE2029-AE2026-AE2190+AE2138)+Model!AE2190-AE2085+Model!AE2086,Model!AE2028+Model!AE2029-AE2026+AE2138-AE2085+Model!AE2086)</f>
        <v>0.3876020482</v>
      </c>
      <c r="AF2242" s="181">
        <f>IF(Model!AF2028+Model!AF2029-AF2026-AF2190+AF2138&gt;0,(1-'Assumptions (Biomass)'!AE28)*(Model!AF2028+Model!AF2029-AF2026-AF2190+AF2138)+Model!AF2190-AF2085+Model!AF2086,Model!AF2028+Model!AF2029-AF2026+AF2138-AF2085+Model!AF2086)</f>
        <v>0.4068779501</v>
      </c>
      <c r="AG2242" s="181">
        <f>IF(Model!AG2028+Model!AG2029-AG2026-AG2190+AG2138&gt;0,(1-'Assumptions (Biomass)'!AF28)*(Model!AG2028+Model!AG2029-AG2026-AG2190+AG2138)+Model!AG2190-AG2085+Model!AG2086,Model!AG2028+Model!AG2029-AG2026+AG2138-AG2085+Model!AG2086)</f>
        <v>0.4182028218</v>
      </c>
      <c r="AH2242" s="181">
        <f>IF(Model!AH2028+Model!AH2029-AH2026-AH2190+AH2138&gt;0,(1-'Assumptions (Biomass)'!AG28)*(Model!AH2028+Model!AH2029-AH2026-AH2190+AH2138)+Model!AH2190-AH2085+Model!AH2086,Model!AH2028+Model!AH2029-AH2026+AH2138-AH2085+Model!AH2086)</f>
        <v>0.4287243329</v>
      </c>
      <c r="AI2242" s="181">
        <f>IF(Model!AI2028+Model!AI2029-AI2026-AI2190+AI2138&gt;0,(1-'Assumptions (Biomass)'!AH28)*(Model!AI2028+Model!AI2029-AI2026-AI2190+AI2138)+Model!AI2190-AI2085+Model!AI2086,Model!AI2028+Model!AI2029-AI2026+AI2138-AI2085+Model!AI2086)</f>
        <v>0.4583179507</v>
      </c>
      <c r="AJ2242" s="181">
        <f>IF(Model!AJ2028+Model!AJ2029-AJ2026-AJ2190+AJ2138&gt;0,(1-'Assumptions (Biomass)'!AI28)*(Model!AJ2028+Model!AJ2029-AJ2026-AJ2190+AJ2138)+Model!AJ2190-AJ2085+Model!AJ2086,Model!AJ2028+Model!AJ2029-AJ2026+AJ2138-AJ2085+Model!AJ2086)</f>
        <v>0.4571695897</v>
      </c>
      <c r="AK2242" s="181">
        <f>IF(Model!AK2028+Model!AK2029-AK2026-AK2190+AK2138&gt;0,(1-'Assumptions (Biomass)'!AJ28)*(Model!AK2028+Model!AK2029-AK2026-AK2190+AK2138)+Model!AK2190-AK2085+Model!AK2086,Model!AK2028+Model!AK2029-AK2026+AK2138-AK2085+Model!AK2086)</f>
        <v>0.4595451148</v>
      </c>
      <c r="AL2242" s="181">
        <f>IF(Model!AL2028+Model!AL2029-AL2026-AL2190+AL2138&gt;0,(1-'Assumptions (Biomass)'!AK28)*(Model!AL2028+Model!AL2029-AL2026-AL2190+AL2138)+Model!AL2190-AL2085+Model!AL2086,Model!AL2028+Model!AL2029-AL2026+AL2138-AL2085+Model!AL2086)</f>
        <v>0.4631317113</v>
      </c>
      <c r="AM2242" s="181">
        <f>IF(Model!AM2028+Model!AM2029-AM2026-AM2190+AM2138&gt;0,(1-'Assumptions (Biomass)'!AL28)*(Model!AM2028+Model!AM2029-AM2026-AM2190+AM2138)+Model!AM2190-AM2085+Model!AM2086,Model!AM2028+Model!AM2029-AM2026+AM2138-AM2085+Model!AM2086)</f>
        <v>0.4698171503</v>
      </c>
      <c r="AN2242" s="181">
        <f>IF(Model!AN2028+Model!AN2029-AN2026-AN2190+AN2138&gt;0,(1-'Assumptions (Biomass)'!AM28)*(Model!AN2028+Model!AN2029-AN2026-AN2190+AN2138)+Model!AN2190-AN2085+Model!AN2086,Model!AN2028+Model!AN2029-AN2026+AN2138-AN2085+Model!AN2086)</f>
        <v>0.4757289909</v>
      </c>
      <c r="AO2242" s="181">
        <f>IF(Model!AO2028+Model!AO2029-AO2026-AO2190+AO2138&gt;0,(1-'Assumptions (Biomass)'!AN28)*(Model!AO2028+Model!AO2029-AO2026-AO2190+AO2138)+Model!AO2190-AO2085+Model!AO2086,Model!AO2028+Model!AO2029-AO2026+AO2138-AO2085+Model!AO2086)</f>
        <v>0.4838298773</v>
      </c>
      <c r="AP2242" s="181">
        <f>IF(Model!AP2028+Model!AP2029-AP2026-AP2190+AP2138&gt;0,(1-'Assumptions (Biomass)'!AO28)*(Model!AP2028+Model!AP2029-AP2026-AP2190+AP2138)+Model!AP2190-AP2085+Model!AP2086,Model!AP2028+Model!AP2029-AP2026+AP2138-AP2085+Model!AP2086)</f>
        <v>0.4918870812</v>
      </c>
      <c r="AQ2242" s="181">
        <f>IF(Model!AQ2028+Model!AQ2029-AQ2026-AQ2190+AQ2138&gt;0,(1-'Assumptions (Biomass)'!AP28)*(Model!AQ2028+Model!AQ2029-AQ2026-AQ2190+AQ2138)+Model!AQ2190-AQ2085+Model!AQ2086,Model!AQ2028+Model!AQ2029-AQ2026+AQ2138-AQ2085+Model!AQ2086)</f>
        <v>0.498461901</v>
      </c>
      <c r="AR2242" s="181">
        <f>IF(Model!AR2028+Model!AR2029-AR2026-AR2190+AR2138&gt;0,(1-'Assumptions (Biomass)'!AQ28)*(Model!AR2028+Model!AR2029-AR2026-AR2190+AR2138)+Model!AR2190-AR2085+Model!AR2086,Model!AR2028+Model!AR2029-AR2026+AR2138-AR2085+Model!AR2086)</f>
        <v>0.5043988716</v>
      </c>
      <c r="AS2242" s="181">
        <f>IF(Model!AS2028+Model!AS2029-AS2026-AS2190+AS2138&gt;0,(1-'Assumptions (Biomass)'!AR28)*(Model!AS2028+Model!AS2029-AS2026-AS2190+AS2138)+Model!AS2190-AS2085+Model!AS2086,Model!AS2028+Model!AS2029-AS2026+AS2138-AS2085+Model!AS2086)</f>
        <v>0.5099660229</v>
      </c>
      <c r="AT2242" s="181">
        <f>IF(Model!AT2028+Model!AT2029-AT2026-AT2190+AT2138&gt;0,(1-'Assumptions (Biomass)'!AS28)*(Model!AT2028+Model!AT2029-AT2026-AT2190+AT2138)+Model!AT2190-AT2085+Model!AT2086,Model!AT2028+Model!AT2029-AT2026+AT2138-AT2085+Model!AT2086)</f>
        <v>0.5161568246</v>
      </c>
      <c r="AU2242" s="181">
        <f>IF(Model!AU2028+Model!AU2029-AU2026-AU2190+AU2138&gt;0,(1-'Assumptions (Biomass)'!AT28)*(Model!AU2028+Model!AU2029-AU2026-AU2190+AU2138)+Model!AU2190-AU2085+Model!AU2086,Model!AU2028+Model!AU2029-AU2026+AU2138-AU2085+Model!AU2086)</f>
        <v>0.5230843844</v>
      </c>
      <c r="AV2242" s="181">
        <f>IF(Model!AV2028+Model!AV2029-AV2026-AV2190+AV2138&gt;0,(1-'Assumptions (Biomass)'!AU28)*(Model!AV2028+Model!AV2029-AV2026-AV2190+AV2138)+Model!AV2190-AV2085+Model!AV2086,Model!AV2028+Model!AV2029-AV2026+AV2138-AV2085+Model!AV2086)</f>
        <v>0.5301092247</v>
      </c>
      <c r="AW2242" s="181">
        <f>IF(Model!AW2028+Model!AW2029-AW2026-AW2190+AW2138&gt;0,(1-'Assumptions (Biomass)'!AV28)*(Model!AW2028+Model!AW2029-AW2026-AW2190+AW2138)+Model!AW2190-AW2085+Model!AW2086,Model!AW2028+Model!AW2029-AW2026+AW2138-AW2085+Model!AW2086)</f>
        <v>0.5354719093</v>
      </c>
      <c r="AX2242" s="181">
        <f>IF(Model!AX2028+Model!AX2029-AX2026-AX2190+AX2138&gt;0,(1-'Assumptions (Biomass)'!AW28)*(Model!AX2028+Model!AX2029-AX2026-AX2190+AX2138)+Model!AX2190-AX2085+Model!AX2086,Model!AX2028+Model!AX2029-AX2026+AX2138-AX2085+Model!AX2086)</f>
        <v>0.5434192729</v>
      </c>
      <c r="AY2242" s="181">
        <f>IF(Model!AY2028+Model!AY2029-AY2026-AY2190+AY2138&gt;0,(1-'Assumptions (Biomass)'!AX28)*(Model!AY2028+Model!AY2029-AY2026-AY2190+AY2138)+Model!AY2190-AY2085+Model!AY2086,Model!AY2028+Model!AY2029-AY2026+AY2138-AY2085+Model!AY2086)</f>
        <v>0.5622918877</v>
      </c>
      <c r="AZ2242" s="181">
        <f>IF(Model!AZ2028+Model!AZ2029-AZ2026-AZ2190+AZ2138&gt;0,(1-'Assumptions (Biomass)'!AY28)*(Model!AZ2028+Model!AZ2029-AZ2026-AZ2190+AZ2138)+Model!AZ2190-AZ2085+Model!AZ2086,Model!AZ2028+Model!AZ2029-AZ2026+AZ2138-AZ2085+Model!AZ2086)</f>
        <v>0.5738928662</v>
      </c>
      <c r="BA2242" s="181">
        <f>IF(Model!BA2028+Model!BA2029-BA2026-BA2190+BA2138&gt;0,(1-'Assumptions (Biomass)'!AZ28)*(Model!BA2028+Model!BA2029-BA2026-BA2190+BA2138)+Model!BA2190-BA2085+Model!BA2086,Model!BA2028+Model!BA2029-BA2026+BA2138-BA2085+Model!BA2086)</f>
        <v>0.5805720515</v>
      </c>
    </row>
    <row r="2243" ht="15.75" customHeight="1">
      <c r="A2243" s="318" t="s">
        <v>64</v>
      </c>
      <c r="B2243" s="159" t="s">
        <v>351</v>
      </c>
      <c r="C2243" s="181">
        <f>IF(C2028+C2029-C2026-C2190+C2138&gt;0,'Assumptions (Biomass)'!B28*(C2028+C2029-C2026-C2190+C2138)-'Assumptions (Biomass)'!B29*Model!C2025/10^3,'Assumptions (Biomass)'!B29*Model!C2025/10^3)</f>
        <v>0.2044422116</v>
      </c>
      <c r="D2243" s="181">
        <f>IF(D2028+D2029-D2026-D2190+D2138&gt;0,'Assumptions (Biomass)'!C28*(D2028+D2029-D2026-D2190+D2138)-'Assumptions (Biomass)'!C29*Model!D2025/10^3,'Assumptions (Biomass)'!C29*Model!D2025/10^3)</f>
        <v>0.1953184911</v>
      </c>
      <c r="E2243" s="181">
        <f>IF(E2028+E2029-E2026-E2190+E2138&gt;0,'Assumptions (Biomass)'!D28*(E2028+E2029-E2026-E2190+E2138)-'Assumptions (Biomass)'!D29*Model!E2025/10^3,'Assumptions (Biomass)'!D29*Model!E2025/10^3)</f>
        <v>0.2207263579</v>
      </c>
      <c r="F2243" s="181">
        <f>IF(F2028+F2029-F2026-F2190+F2138&gt;0,'Assumptions (Biomass)'!E28*(F2028+F2029-F2026-F2190+F2138)-'Assumptions (Biomass)'!E29*Model!F2025/10^3,'Assumptions (Biomass)'!E29*Model!F2025/10^3)</f>
        <v>0.2119744307</v>
      </c>
      <c r="G2243" s="181">
        <f>IF(G2028+G2029-G2026-G2190+G2138&gt;0,'Assumptions (Biomass)'!F28*(G2028+G2029-G2026-G2190+G2138)-'Assumptions (Biomass)'!F29*Model!G2025/10^3,'Assumptions (Biomass)'!F29*Model!G2025/10^3)</f>
        <v>0.2461674394</v>
      </c>
      <c r="H2243" s="181">
        <f>IF(H2028+H2029-H2026-H2190+H2138&gt;0,'Assumptions (Biomass)'!G28*(H2028+H2029-H2026-H2190+H2138)-'Assumptions (Biomass)'!G29*Model!H2025/10^3,'Assumptions (Biomass)'!G29*Model!H2025/10^3)</f>
        <v>0.3150116728</v>
      </c>
      <c r="I2243" s="181">
        <f>IF(I2028+I2029-I2026-I2190+I2138&gt;0,'Assumptions (Biomass)'!H28*(I2028+I2029-I2026-I2190+I2138)-'Assumptions (Biomass)'!H29*Model!I2025/10^3,'Assumptions (Biomass)'!H29*Model!I2025/10^3)</f>
        <v>0.2794893111</v>
      </c>
      <c r="J2243" s="181">
        <f>IF(J2028+J2029-J2026-J2190+J2138&gt;0,'Assumptions (Biomass)'!I28*(J2028+J2029-J2026-J2190+J2138)-'Assumptions (Biomass)'!I29*Model!J2025/10^3,'Assumptions (Biomass)'!I29*Model!J2025/10^3)</f>
        <v>0.2781338437</v>
      </c>
      <c r="K2243" s="181">
        <f>IF(K2028+K2029-K2026-K2190+K2138&gt;0,'Assumptions (Biomass)'!J28*(K2028+K2029-K2026-K2190+K2138)-'Assumptions (Biomass)'!J29*Model!K2025/10^3,'Assumptions (Biomass)'!J29*Model!K2025/10^3)</f>
        <v>0.2956050866</v>
      </c>
      <c r="L2243" s="181">
        <f>IF(L2028+L2029-L2026-L2190+L2138&gt;0,'Assumptions (Biomass)'!K28*(L2028+L2029-L2026-L2190+L2138)-'Assumptions (Biomass)'!K29*Model!L2025/10^3,'Assumptions (Biomass)'!K29*Model!L2025/10^3)</f>
        <v>0.1589629514</v>
      </c>
      <c r="M2243" s="181">
        <f>IF(M2028+M2029-M2026-M2190+M2138&gt;0,'Assumptions (Biomass)'!L28*(M2028+M2029-M2026-M2190+M2138)-'Assumptions (Biomass)'!L29*Model!M2025/10^3,'Assumptions (Biomass)'!L29*Model!M2025/10^3)</f>
        <v>0.1528717349</v>
      </c>
      <c r="N2243" s="181">
        <f>IF(N2028+N2029-N2026-N2190+N2138&gt;0,'Assumptions (Biomass)'!M28*(N2028+N2029-N2026-N2190+N2138)-'Assumptions (Biomass)'!M29*Model!N2025/10^3,'Assumptions (Biomass)'!M29*Model!N2025/10^3)</f>
        <v>0.1401241089</v>
      </c>
      <c r="O2243" s="181">
        <f>IF(O2028+O2029-O2026-O2190+O2138&gt;0,'Assumptions (Biomass)'!N28*(O2028+O2029-O2026-O2190+O2138)-'Assumptions (Biomass)'!N29*Model!O2025/10^3,'Assumptions (Biomass)'!N29*Model!O2025/10^3)</f>
        <v>0.08840734933</v>
      </c>
      <c r="P2243" s="181">
        <f>IF(P2028+P2029-P2026-P2190+P2138&gt;0,'Assumptions (Biomass)'!O28*(P2028+P2029-P2026-P2190+P2138)-'Assumptions (Biomass)'!O29*Model!P2025/10^3,'Assumptions (Biomass)'!O29*Model!P2025/10^3)</f>
        <v>0.1041836605</v>
      </c>
      <c r="Q2243" s="181">
        <f>IF(Q2028+Q2029-Q2026-Q2190+Q2138&gt;0,'Assumptions (Biomass)'!P28*(Q2028+Q2029-Q2026-Q2190+Q2138)-'Assumptions (Biomass)'!P29*Model!Q2025/10^3,'Assumptions (Biomass)'!P29*Model!Q2025/10^3)</f>
        <v>0.1131969837</v>
      </c>
      <c r="R2243" s="181">
        <f>IF(R2028+R2029-R2026-R2190+R2138&gt;0,'Assumptions (Biomass)'!Q28*(R2028+R2029-R2026-R2190+R2138)-'Assumptions (Biomass)'!Q29*Model!R2025/10^3,'Assumptions (Biomass)'!Q29*Model!R2025/10^3)</f>
        <v>0.06388996588</v>
      </c>
      <c r="S2243" s="181">
        <f>IF(S2028+S2029-S2026-S2190+S2138&gt;0,'Assumptions (Biomass)'!R28*(S2028+S2029-S2026-S2190+S2138)-'Assumptions (Biomass)'!R29*Model!S2025/10^3,'Assumptions (Biomass)'!R29*Model!S2025/10^3)</f>
        <v>0.0805857809</v>
      </c>
      <c r="T2243" s="181">
        <f>IF(T2028+T2029-T2026-T2190+T2138&gt;0,'Assumptions (Biomass)'!S28*(T2028+T2029-T2026-T2190+T2138)-'Assumptions (Biomass)'!S29*Model!T2025/10^3,'Assumptions (Biomass)'!S29*Model!T2025/10^3)</f>
        <v>0.0672663325</v>
      </c>
      <c r="U2243" s="181">
        <f>IF(U2028+U2029-U2026-U2190+U2138&gt;0,'Assumptions (Biomass)'!T28*(U2028+U2029-U2026-U2190+U2138)-'Assumptions (Biomass)'!T29*Model!U2025/10^3,'Assumptions (Biomass)'!T29*Model!U2025/10^3)</f>
        <v>0.03951976893</v>
      </c>
      <c r="V2243" s="181">
        <f>IF(V2028+V2029-V2026-V2190+V2138&gt;0,'Assumptions (Biomass)'!U28*(V2028+V2029-V2026-V2190+V2138)-'Assumptions (Biomass)'!U29*Model!V2025/10^3,'Assumptions (Biomass)'!U29*Model!V2025/10^3)</f>
        <v>0.04492612119</v>
      </c>
      <c r="W2243" s="181">
        <f>IF(W2028+W2029-W2026-W2190+W2138&gt;0,'Assumptions (Biomass)'!V28*(W2028+W2029-W2026-W2190+W2138)-'Assumptions (Biomass)'!V29*Model!W2025/10^3,'Assumptions (Biomass)'!V29*Model!W2025/10^3)</f>
        <v>0.05525924645</v>
      </c>
      <c r="X2243" s="181">
        <f>IF(X2028+X2029-X2026-X2190+X2138&gt;0,'Assumptions (Biomass)'!W28*(X2028+X2029-X2026-X2190+X2138)-'Assumptions (Biomass)'!W29*Model!X2025/10^3,'Assumptions (Biomass)'!W29*Model!X2025/10^3)</f>
        <v>0.0581508877</v>
      </c>
      <c r="Y2243" s="181">
        <f>IF(Y2028+Y2029-Y2026-Y2190+Y2138&gt;0,'Assumptions (Biomass)'!X28*(Y2028+Y2029-Y2026-Y2190+Y2138)-'Assumptions (Biomass)'!X29*Model!Y2025/10^3,'Assumptions (Biomass)'!X29*Model!Y2025/10^3)</f>
        <v>0.06134851854</v>
      </c>
      <c r="Z2243" s="181">
        <f>IF(Z2028+Z2029-Z2026-Z2190+Z2138&gt;0,'Assumptions (Biomass)'!Y28*(Z2028+Z2029-Z2026-Z2190+Z2138)-'Assumptions (Biomass)'!Y29*Model!Z2025/10^3,'Assumptions (Biomass)'!Y29*Model!Z2025/10^3)</f>
        <v>0.06442005593</v>
      </c>
      <c r="AA2243" s="181">
        <f>IF(AA2028+AA2029-AA2026-AA2190+AA2138&gt;0,'Assumptions (Biomass)'!Z28*(AA2028+AA2029-AA2026-AA2190+AA2138)-'Assumptions (Biomass)'!Z29*Model!AA2025/10^3,'Assumptions (Biomass)'!Z29*Model!AA2025/10^3)</f>
        <v>0.06764251126</v>
      </c>
      <c r="AB2243" s="181">
        <f>IF(AB2028+AB2029-AB2026-AB2190+AB2138&gt;0,'Assumptions (Biomass)'!AA28*(AB2028+AB2029-AB2026-AB2190+AB2138)-'Assumptions (Biomass)'!AA29*Model!AB2025/10^3,'Assumptions (Biomass)'!AA29*Model!AB2025/10^3)</f>
        <v>0.07504712</v>
      </c>
      <c r="AC2243" s="181">
        <f>IF(AC2028+AC2029-AC2026-AC2190+AC2138&gt;0,'Assumptions (Biomass)'!AB28*(AC2028+AC2029-AC2026-AC2190+AC2138)-'Assumptions (Biomass)'!AB29*Model!AC2025/10^3,'Assumptions (Biomass)'!AB29*Model!AC2025/10^3)</f>
        <v>0.0817883614</v>
      </c>
      <c r="AD2243" s="181">
        <f>IF(AD2028+AD2029-AD2026-AD2190+AD2138&gt;0,'Assumptions (Biomass)'!AC28*(AD2028+AD2029-AD2026-AD2190+AD2138)-'Assumptions (Biomass)'!AC29*Model!AD2025/10^3,'Assumptions (Biomass)'!AC29*Model!AD2025/10^3)</f>
        <v>0.08771146661</v>
      </c>
      <c r="AE2243" s="181">
        <f>IF(AE2028+AE2029-AE2026-AE2190+AE2138&gt;0,'Assumptions (Biomass)'!AD28*(AE2028+AE2029-AE2026-AE2190+AE2138)-'Assumptions (Biomass)'!AD29*Model!AE2025/10^3,'Assumptions (Biomass)'!AD29*Model!AE2025/10^3)</f>
        <v>0.09502063131</v>
      </c>
      <c r="AF2243" s="181">
        <f>IF(AF2028+AF2029-AF2026-AF2190+AF2138&gt;0,'Assumptions (Biomass)'!AE28*(AF2028+AF2029-AF2026-AF2190+AF2138)-'Assumptions (Biomass)'!AE29*Model!AF2025/10^3,'Assumptions (Biomass)'!AE29*Model!AF2025/10^3)</f>
        <v>0.1033365161</v>
      </c>
      <c r="AG2243" s="181">
        <f>IF(AG2028+AG2029-AG2026-AG2190+AG2138&gt;0,'Assumptions (Biomass)'!AF28*(AG2028+AG2029-AG2026-AG2190+AG2138)-'Assumptions (Biomass)'!AF29*Model!AG2025/10^3,'Assumptions (Biomass)'!AF29*Model!AG2025/10^3)</f>
        <v>0.1085195035</v>
      </c>
      <c r="AH2243" s="181">
        <f>IF(AH2028+AH2029-AH2026-AH2190+AH2138&gt;0,'Assumptions (Biomass)'!AG28*(AH2028+AH2029-AH2026-AH2190+AH2138)-'Assumptions (Biomass)'!AG29*Model!AH2025/10^3,'Assumptions (Biomass)'!AG29*Model!AH2025/10^3)</f>
        <v>0.1123147187</v>
      </c>
      <c r="AI2243" s="181">
        <f>IF(AI2028+AI2029-AI2026-AI2190+AI2138&gt;0,'Assumptions (Biomass)'!AH28*(AI2028+AI2029-AI2026-AI2190+AI2138)-'Assumptions (Biomass)'!AH29*Model!AI2025/10^3,'Assumptions (Biomass)'!AH29*Model!AI2025/10^3)</f>
        <v>0.1174983858</v>
      </c>
      <c r="AJ2243" s="181">
        <f>IF(AJ2028+AJ2029-AJ2026-AJ2190+AJ2138&gt;0,'Assumptions (Biomass)'!AI28*(AJ2028+AJ2029-AJ2026-AJ2190+AJ2138)-'Assumptions (Biomass)'!AI29*Model!AJ2025/10^3,'Assumptions (Biomass)'!AI29*Model!AJ2025/10^3)</f>
        <v>0.1215260935</v>
      </c>
      <c r="AK2243" s="181">
        <f>IF(AK2028+AK2029-AK2026-AK2190+AK2138&gt;0,'Assumptions (Biomass)'!AJ28*(AK2028+AK2029-AK2026-AK2190+AK2138)-'Assumptions (Biomass)'!AJ29*Model!AK2025/10^3,'Assumptions (Biomass)'!AJ29*Model!AK2025/10^3)</f>
        <v>0.1221575622</v>
      </c>
      <c r="AL2243" s="181">
        <f>IF(AL2028+AL2029-AL2026-AL2190+AL2138&gt;0,'Assumptions (Biomass)'!AK28*(AL2028+AL2029-AL2026-AL2190+AL2138)-'Assumptions (Biomass)'!AK29*Model!AL2025/10^3,'Assumptions (Biomass)'!AK29*Model!AL2025/10^3)</f>
        <v>0.1231109612</v>
      </c>
      <c r="AM2243" s="181">
        <f>IF(AM2028+AM2029-AM2026-AM2190+AM2138&gt;0,'Assumptions (Biomass)'!AL28*(AM2028+AM2029-AM2026-AM2190+AM2138)-'Assumptions (Biomass)'!AL29*Model!AM2025/10^3,'Assumptions (Biomass)'!AL29*Model!AM2025/10^3)</f>
        <v>0.1248881032</v>
      </c>
      <c r="AN2243" s="181">
        <f>IF(AN2028+AN2029-AN2026-AN2190+AN2138&gt;0,'Assumptions (Biomass)'!AM28*(AN2028+AN2029-AN2026-AN2190+AN2138)-'Assumptions (Biomass)'!AM29*Model!AN2025/10^3,'Assumptions (Biomass)'!AM29*Model!AN2025/10^3)</f>
        <v>0.1264596052</v>
      </c>
      <c r="AO2243" s="181">
        <f>IF(AO2028+AO2029-AO2026-AO2190+AO2138&gt;0,'Assumptions (Biomass)'!AN28*(AO2028+AO2029-AO2026-AO2190+AO2138)-'Assumptions (Biomass)'!AN29*Model!AO2025/10^3,'Assumptions (Biomass)'!AN29*Model!AO2025/10^3)</f>
        <v>0.1286130054</v>
      </c>
      <c r="AP2243" s="181">
        <f>IF(AP2028+AP2029-AP2026-AP2190+AP2138&gt;0,'Assumptions (Biomass)'!AO28*(AP2028+AP2029-AP2026-AP2190+AP2138)-'Assumptions (Biomass)'!AO29*Model!AP2025/10^3,'Assumptions (Biomass)'!AO29*Model!AP2025/10^3)</f>
        <v>0.1307547937</v>
      </c>
      <c r="AQ2243" s="181">
        <f>IF(AQ2028+AQ2029-AQ2026-AQ2190+AQ2138&gt;0,'Assumptions (Biomass)'!AP28*(AQ2028+AQ2029-AQ2026-AQ2190+AQ2138)-'Assumptions (Biomass)'!AP29*Model!AQ2025/10^3,'Assumptions (Biomass)'!AP29*Model!AQ2025/10^3)</f>
        <v>0.1325025306</v>
      </c>
      <c r="AR2243" s="181">
        <f>IF(AR2028+AR2029-AR2026-AR2190+AR2138&gt;0,'Assumptions (Biomass)'!AQ28*(AR2028+AR2029-AR2026-AR2190+AR2138)-'Assumptions (Biomass)'!AQ29*Model!AR2025/10^3,'Assumptions (Biomass)'!AQ29*Model!AR2025/10^3)</f>
        <v>0.1340807127</v>
      </c>
      <c r="AS2243" s="181">
        <f>IF(AS2028+AS2029-AS2026-AS2190+AS2138&gt;0,'Assumptions (Biomass)'!AR28*(AS2028+AS2029-AS2026-AS2190+AS2138)-'Assumptions (Biomass)'!AR29*Model!AS2025/10^3,'Assumptions (Biomass)'!AR29*Model!AS2025/10^3)</f>
        <v>0.1355605884</v>
      </c>
      <c r="AT2243" s="181">
        <f>IF(AT2028+AT2029-AT2026-AT2190+AT2138&gt;0,'Assumptions (Biomass)'!AS28*(AT2028+AT2029-AT2026-AT2190+AT2138)-'Assumptions (Biomass)'!AS29*Model!AT2025/10^3,'Assumptions (Biomass)'!AS29*Model!AT2025/10^3)</f>
        <v>0.1372062445</v>
      </c>
      <c r="AU2243" s="181">
        <f>IF(AU2028+AU2029-AU2026-AU2190+AU2138&gt;0,'Assumptions (Biomass)'!AT28*(AU2028+AU2029-AU2026-AU2190+AU2138)-'Assumptions (Biomass)'!AT29*Model!AU2025/10^3,'Assumptions (Biomass)'!AT29*Model!AU2025/10^3)</f>
        <v>0.1390477478</v>
      </c>
      <c r="AV2243" s="181">
        <f>IF(AV2028+AV2029-AV2026-AV2190+AV2138&gt;0,'Assumptions (Biomass)'!AU28*(AV2028+AV2029-AV2026-AV2190+AV2138)-'Assumptions (Biomass)'!AU29*Model!AV2025/10^3,'Assumptions (Biomass)'!AU29*Model!AV2025/10^3)</f>
        <v>0.1409151104</v>
      </c>
      <c r="AW2243" s="181">
        <f>IF(AW2028+AW2029-AW2026-AW2190+AW2138&gt;0,'Assumptions (Biomass)'!AV28*(AW2028+AW2029-AW2026-AW2190+AW2138)-'Assumptions (Biomass)'!AV29*Model!AW2025/10^3,'Assumptions (Biomass)'!AV29*Model!AW2025/10^3)</f>
        <v>0.1423406341</v>
      </c>
      <c r="AX2243" s="181">
        <f>IF(AX2028+AX2029-AX2026-AX2190+AX2138&gt;0,'Assumptions (Biomass)'!AW28*(AX2028+AX2029-AX2026-AX2190+AX2138)-'Assumptions (Biomass)'!AW29*Model!AX2025/10^3,'Assumptions (Biomass)'!AW29*Model!AX2025/10^3)</f>
        <v>0.1444532244</v>
      </c>
      <c r="AY2243" s="181">
        <f>IF(AY2028+AY2029-AY2026-AY2190+AY2138&gt;0,'Assumptions (Biomass)'!AX28*(AY2028+AY2029-AY2026-AY2190+AY2138)-'Assumptions (Biomass)'!AX29*Model!AY2025/10^3,'Assumptions (Biomass)'!AX29*Model!AY2025/10^3)</f>
        <v>0.1494699955</v>
      </c>
      <c r="AZ2243" s="181">
        <f>IF(AZ2028+AZ2029-AZ2026-AZ2190+AZ2138&gt;0,'Assumptions (Biomass)'!AY28*(AZ2028+AZ2029-AZ2026-AZ2190+AZ2138)-'Assumptions (Biomass)'!AY29*Model!AZ2025/10^3,'Assumptions (Biomass)'!AY29*Model!AZ2025/10^3)</f>
        <v>0.1525537999</v>
      </c>
      <c r="BA2243" s="181">
        <f>IF(BA2028+BA2029-BA2026-BA2190+BA2138&gt;0,'Assumptions (Biomass)'!AZ28*(BA2028+BA2029-BA2026-BA2190+BA2138)-'Assumptions (Biomass)'!AZ29*Model!BA2025/10^3,'Assumptions (Biomass)'!AZ29*Model!BA2025/10^3)</f>
        <v>0.1543292795</v>
      </c>
    </row>
    <row r="2244" ht="15.75" customHeight="1">
      <c r="A2244" s="321" t="s">
        <v>363</v>
      </c>
      <c r="B2244" s="322" t="s">
        <v>364</v>
      </c>
      <c r="C2244" s="256">
        <f>C2030*'Assumptions (Biomass)'!$V$27/1000000000</f>
        <v>0</v>
      </c>
      <c r="D2244" s="256">
        <f>D2030*'Assumptions (Biomass)'!$V$27/1000000000</f>
        <v>0.000516</v>
      </c>
      <c r="E2244" s="256">
        <f>E2030*'Assumptions (Biomass)'!$V$27/1000000000</f>
        <v>0.0002322</v>
      </c>
      <c r="F2244" s="256">
        <f>F2030*'Assumptions (Biomass)'!$V$27/1000000000</f>
        <v>0.0013158</v>
      </c>
      <c r="G2244" s="256">
        <f>G2030*'Assumptions (Biomass)'!$V$27/1000000000</f>
        <v>0.00645</v>
      </c>
      <c r="H2244" s="256">
        <f>H2030*'Assumptions (Biomass)'!$V$27/1000000000</f>
        <v>0.0019866</v>
      </c>
      <c r="I2244" s="256">
        <f>I2030*'Assumptions (Biomass)'!$V$27/1000000000</f>
        <v>0.0157896</v>
      </c>
      <c r="J2244" s="256">
        <f>J2030*'Assumptions (Biomass)'!$V$27/1000000000</f>
        <v>0.005547</v>
      </c>
      <c r="K2244" s="256">
        <f>K2030*'Assumptions (Biomass)'!$V$27/1000000000</f>
        <v>0.0024768</v>
      </c>
      <c r="L2244" s="256">
        <f>L2030*'Assumptions (Biomass)'!$V$27/1000000000</f>
        <v>0.0044892</v>
      </c>
      <c r="M2244" s="256">
        <f>M2030*'Assumptions (Biomass)'!$V$27/1000000000</f>
        <v>0.0283026</v>
      </c>
      <c r="N2244" s="256">
        <f>N2030*'Assumptions (Biomass)'!$V$27/1000000000</f>
        <v>0.0254388</v>
      </c>
      <c r="O2244" s="256">
        <f>O2030*'Assumptions (Biomass)'!$V$27/1000000000</f>
        <v>0.0127452</v>
      </c>
      <c r="P2244" s="256">
        <f>P2030*'Assumptions (Biomass)'!$V$27/1000000000</f>
        <v>0.0444018</v>
      </c>
      <c r="Q2244" s="256">
        <f>Q2030*'Assumptions (Biomass)'!$V$27/1000000000</f>
        <v>0.0250002</v>
      </c>
      <c r="R2244" s="256">
        <f>R2030*'Assumptions (Biomass)'!$V$27/1000000000</f>
        <v>0.0118938</v>
      </c>
      <c r="S2244" s="256">
        <f>S2030*'Assumptions (Biomass)'!$V$27/1000000000</f>
        <v>0.0075852</v>
      </c>
      <c r="T2244" s="256">
        <f>T2030*'Assumptions (Biomass)'!$V$27/1000000000</f>
        <v>0.034572</v>
      </c>
      <c r="U2244" s="256">
        <f>U2030*'Assumptions (Biomass)'!$V$27/1000000000</f>
        <v>0</v>
      </c>
      <c r="V2244" s="256">
        <f>V2030*'Assumptions (Biomass)'!$V$27/1000000000</f>
        <v>0</v>
      </c>
      <c r="W2244" s="256">
        <f>W2030*'Assumptions (Biomass)'!$V$27/1000000000</f>
        <v>0</v>
      </c>
      <c r="X2244" s="256">
        <f>X2030*'Assumptions (Biomass)'!$V$27/1000000000</f>
        <v>0</v>
      </c>
      <c r="Y2244" s="256">
        <f>Y2030*'Assumptions (Biomass)'!$V$27/1000000000</f>
        <v>0</v>
      </c>
      <c r="Z2244" s="256">
        <f>Z2030*'Assumptions (Biomass)'!$V$27/1000000000</f>
        <v>0</v>
      </c>
      <c r="AA2244" s="256">
        <f>AA2030*'Assumptions (Biomass)'!$V$27/1000000000</f>
        <v>0</v>
      </c>
      <c r="AB2244" s="256">
        <f>AB2030*'Assumptions (Biomass)'!$V$27/1000000000</f>
        <v>0</v>
      </c>
      <c r="AC2244" s="256">
        <f>AC2030*'Assumptions (Biomass)'!$V$27/1000000000</f>
        <v>0</v>
      </c>
      <c r="AD2244" s="256">
        <f>AD2030*'Assumptions (Biomass)'!$V$27/1000000000</f>
        <v>0</v>
      </c>
      <c r="AE2244" s="256">
        <f>AE2030*'Assumptions (Biomass)'!$V$27/1000000000</f>
        <v>0</v>
      </c>
      <c r="AF2244" s="256">
        <f>AF2030*'Assumptions (Biomass)'!$V$27/1000000000</f>
        <v>0</v>
      </c>
      <c r="AG2244" s="256">
        <f>AG2030*'Assumptions (Biomass)'!$V$27/1000000000</f>
        <v>0</v>
      </c>
      <c r="AH2244" s="256">
        <f>AH2030*'Assumptions (Biomass)'!$V$27/1000000000</f>
        <v>0</v>
      </c>
      <c r="AI2244" s="256">
        <f>AI2030*'Assumptions (Biomass)'!$V$27/1000000000</f>
        <v>0</v>
      </c>
      <c r="AJ2244" s="256">
        <f>AJ2030*'Assumptions (Biomass)'!$V$27/1000000000</f>
        <v>0</v>
      </c>
      <c r="AK2244" s="256">
        <f>AK2030*'Assumptions (Biomass)'!$V$27/1000000000</f>
        <v>0</v>
      </c>
      <c r="AL2244" s="256">
        <f>AL2030*'Assumptions (Biomass)'!$V$27/1000000000</f>
        <v>0</v>
      </c>
      <c r="AM2244" s="256">
        <f>AM2030*'Assumptions (Biomass)'!$V$27/1000000000</f>
        <v>0</v>
      </c>
      <c r="AN2244" s="256">
        <f>AN2030*'Assumptions (Biomass)'!$V$27/1000000000</f>
        <v>0</v>
      </c>
      <c r="AO2244" s="256">
        <f>AO2030*'Assumptions (Biomass)'!$V$27/1000000000</f>
        <v>0</v>
      </c>
      <c r="AP2244" s="256">
        <f>AP2030*'Assumptions (Biomass)'!$V$27/1000000000</f>
        <v>0</v>
      </c>
      <c r="AQ2244" s="256">
        <f>AQ2030*'Assumptions (Biomass)'!$V$27/1000000000</f>
        <v>0</v>
      </c>
      <c r="AR2244" s="256">
        <f>AR2030*'Assumptions (Biomass)'!$V$27/1000000000</f>
        <v>0</v>
      </c>
      <c r="AS2244" s="256">
        <f>AS2030*'Assumptions (Biomass)'!$V$27/1000000000</f>
        <v>0</v>
      </c>
      <c r="AT2244" s="256">
        <f>AT2030*'Assumptions (Biomass)'!$V$27/1000000000</f>
        <v>0</v>
      </c>
      <c r="AU2244" s="256">
        <f>AU2030*'Assumptions (Biomass)'!$V$27/1000000000</f>
        <v>0</v>
      </c>
      <c r="AV2244" s="256">
        <f>AV2030*'Assumptions (Biomass)'!$V$27/1000000000</f>
        <v>0</v>
      </c>
      <c r="AW2244" s="256">
        <f>AW2030*'Assumptions (Biomass)'!$V$27/1000000000</f>
        <v>0</v>
      </c>
      <c r="AX2244" s="256">
        <f>AX2030*'Assumptions (Biomass)'!$V$27/1000000000</f>
        <v>0</v>
      </c>
      <c r="AY2244" s="256">
        <f>AY2030*'Assumptions (Biomass)'!$V$27/1000000000</f>
        <v>0</v>
      </c>
      <c r="AZ2244" s="256">
        <f>AZ2030*'Assumptions (Biomass)'!$V$27/1000000000</f>
        <v>0</v>
      </c>
      <c r="BA2244" s="256">
        <f>BA2030*'Assumptions (Biomass)'!$V$27/1000000000</f>
        <v>0</v>
      </c>
      <c r="BB2244" s="256"/>
      <c r="BC2244" s="268"/>
      <c r="BD2244" s="268"/>
      <c r="BE2244" s="268"/>
      <c r="BF2244" s="268"/>
      <c r="BG2244" s="268"/>
      <c r="BH2244" s="268"/>
      <c r="BI2244" s="268"/>
      <c r="BJ2244" s="268"/>
      <c r="BK2244" s="268"/>
      <c r="BL2244" s="268"/>
      <c r="BM2244" s="268"/>
      <c r="BN2244" s="268"/>
      <c r="BO2244" s="268"/>
      <c r="BP2244" s="268"/>
      <c r="BQ2244" s="268"/>
      <c r="BR2244" s="268"/>
      <c r="BS2244" s="268"/>
      <c r="BT2244" s="268"/>
      <c r="BU2244" s="268"/>
      <c r="BV2244" s="268"/>
      <c r="BW2244" s="268"/>
      <c r="BX2244" s="268"/>
      <c r="BY2244" s="268"/>
      <c r="BZ2244" s="268"/>
      <c r="CA2244" s="268"/>
      <c r="CB2244" s="268"/>
      <c r="CC2244" s="268"/>
      <c r="CD2244" s="268"/>
    </row>
    <row r="2245" ht="15.75" customHeight="1">
      <c r="A2245" s="323"/>
      <c r="B2245" s="237" t="s">
        <v>411</v>
      </c>
      <c r="C2245" s="21"/>
      <c r="D2245" s="38"/>
      <c r="E2245" s="38"/>
      <c r="F2245" s="38"/>
      <c r="G2245" s="38"/>
      <c r="H2245" s="38"/>
      <c r="I2245" s="38"/>
      <c r="J2245" s="38"/>
      <c r="K2245" s="38"/>
      <c r="L2245" s="38"/>
      <c r="M2245" s="38"/>
      <c r="N2245" s="38"/>
      <c r="O2245" s="38"/>
      <c r="P2245" s="38"/>
      <c r="Q2245" s="38"/>
      <c r="R2245" s="38"/>
      <c r="S2245" s="38"/>
      <c r="T2245" s="38"/>
      <c r="U2245" s="38"/>
      <c r="V2245" s="38"/>
      <c r="W2245" s="38"/>
      <c r="X2245" s="167">
        <f>'Assumptions (Petroleum)'!W38</f>
        <v>1883.6</v>
      </c>
      <c r="Y2245" s="167">
        <f>'Assumptions (Petroleum)'!X38</f>
        <v>180</v>
      </c>
      <c r="Z2245" s="167">
        <f>'Assumptions (Petroleum)'!Y38</f>
        <v>26.8</v>
      </c>
      <c r="AA2245" s="167">
        <f>'Assumptions (Petroleum)'!Z38</f>
        <v>1.7</v>
      </c>
      <c r="AB2245" s="167">
        <f>'Assumptions (Petroleum)'!AA38</f>
        <v>16.9</v>
      </c>
      <c r="AC2245" s="167">
        <f>'Assumptions (Petroleum)'!AB38</f>
        <v>5.2</v>
      </c>
      <c r="AD2245" s="167">
        <f>'Assumptions (Petroleum)'!AC38</f>
        <v>12.5</v>
      </c>
      <c r="AE2245" s="167">
        <f>'Assumptions (Petroleum)'!AD38</f>
        <v>1.5</v>
      </c>
      <c r="AF2245" s="167">
        <f>'Assumptions (Petroleum)'!AE38</f>
        <v>1.6</v>
      </c>
      <c r="AG2245" s="167">
        <f>'Assumptions (Petroleum)'!AF38</f>
        <v>47.3</v>
      </c>
      <c r="AH2245" s="167">
        <f>'Assumptions (Petroleum)'!AG38</f>
        <v>3</v>
      </c>
      <c r="AI2245" s="167">
        <f>'Assumptions (Petroleum)'!AH38</f>
        <v>106</v>
      </c>
      <c r="AJ2245" s="167">
        <f>'Assumptions (Petroleum)'!AI38</f>
        <v>28.2</v>
      </c>
      <c r="AK2245" s="167">
        <f>'Assumptions (Petroleum)'!AJ38</f>
        <v>19.4</v>
      </c>
      <c r="AL2245" s="167">
        <f>'Assumptions (Petroleum)'!AK38</f>
        <v>24.6</v>
      </c>
      <c r="AM2245" s="167">
        <f>'Assumptions (Petroleum)'!AL38</f>
        <v>16.9</v>
      </c>
      <c r="AN2245" s="167">
        <f>'Assumptions (Petroleum)'!AM38</f>
        <v>19</v>
      </c>
      <c r="AO2245" s="167">
        <f>'Assumptions (Petroleum)'!AN38</f>
        <v>23.4</v>
      </c>
      <c r="AP2245" s="167">
        <f>'Assumptions (Petroleum)'!AO38</f>
        <v>23.2</v>
      </c>
      <c r="AQ2245" s="167">
        <f>'Assumptions (Petroleum)'!AP38</f>
        <v>10.1</v>
      </c>
      <c r="AR2245" s="167">
        <f>'Assumptions (Petroleum)'!AQ38</f>
        <v>1.3</v>
      </c>
      <c r="AS2245" s="167">
        <f>'Assumptions (Petroleum)'!AR38</f>
        <v>0</v>
      </c>
      <c r="AT2245" s="167">
        <f>'Assumptions (Petroleum)'!AS38</f>
        <v>10.5</v>
      </c>
      <c r="AU2245" s="167">
        <f>'Assumptions (Petroleum)'!AT38</f>
        <v>3.6</v>
      </c>
      <c r="AV2245" s="167">
        <f>'Assumptions (Petroleum)'!AU38</f>
        <v>19.9</v>
      </c>
      <c r="AW2245" s="167">
        <f>'Assumptions (Petroleum)'!AV38</f>
        <v>1.2</v>
      </c>
      <c r="AX2245" s="167">
        <f>'Assumptions (Petroleum)'!AW38</f>
        <v>0.7</v>
      </c>
      <c r="AY2245" s="167">
        <f>'Assumptions (Petroleum)'!AX38</f>
        <v>0</v>
      </c>
      <c r="AZ2245" s="167">
        <f>'Assumptions (Petroleum)'!AY38</f>
        <v>0</v>
      </c>
      <c r="BA2245" s="167">
        <f>'Assumptions (Petroleum)'!AZ38</f>
        <v>0</v>
      </c>
    </row>
    <row r="2246" ht="15.75" customHeight="1">
      <c r="A2246" s="324" t="s">
        <v>439</v>
      </c>
      <c r="B2246" s="237" t="s">
        <v>413</v>
      </c>
      <c r="C2246" s="21"/>
      <c r="D2246" s="21"/>
      <c r="E2246" s="21"/>
      <c r="F2246" s="21"/>
      <c r="G2246" s="21"/>
      <c r="H2246" s="21"/>
      <c r="I2246" s="21"/>
      <c r="J2246" s="21"/>
      <c r="K2246" s="38"/>
      <c r="L2246" s="38"/>
      <c r="M2246" s="38"/>
      <c r="N2246" s="38"/>
      <c r="O2246" s="38"/>
      <c r="P2246" s="38"/>
      <c r="Q2246" s="38"/>
      <c r="R2246" s="38"/>
      <c r="S2246" s="38"/>
      <c r="T2246" s="38"/>
      <c r="U2246" s="38"/>
      <c r="V2246" s="38"/>
      <c r="W2246" s="38"/>
      <c r="X2246" s="238">
        <f>W2247-'Assumptions (Petroleum)'!W44+W2253</f>
        <v>2488.1</v>
      </c>
      <c r="Y2246" s="167">
        <f>X2246-'Assumptions (Petroleum)'!X44+X2253</f>
        <v>2488.1</v>
      </c>
      <c r="Z2246" s="167">
        <f>Y2246-'Assumptions (Petroleum)'!Y44+Y2253</f>
        <v>2488.1</v>
      </c>
      <c r="AA2246" s="167">
        <f>Z2246-'Assumptions (Petroleum)'!Z44+Z2253</f>
        <v>2488.1</v>
      </c>
      <c r="AB2246" s="167">
        <f>AA2246-'Assumptions (Petroleum)'!AA44+AA2253</f>
        <v>2488.1</v>
      </c>
      <c r="AC2246" s="167">
        <f>AB2246-'Assumptions (Petroleum)'!AB44+AB2253</f>
        <v>2488.1</v>
      </c>
      <c r="AD2246" s="167">
        <f>AC2246-'Assumptions (Petroleum)'!AC44+AC2253</f>
        <v>2488.1</v>
      </c>
      <c r="AE2246" s="167">
        <f>AD2246-'Assumptions (Petroleum)'!AD44+AD2253</f>
        <v>2488.1</v>
      </c>
      <c r="AF2246" s="167">
        <f>AE2246-'Assumptions (Petroleum)'!AE44+AE2253</f>
        <v>2488.1</v>
      </c>
      <c r="AG2246" s="167">
        <f>AF2246-'Assumptions (Petroleum)'!AF44+AF2253</f>
        <v>2488.1</v>
      </c>
      <c r="AH2246" s="167">
        <f>AG2246-'Assumptions (Petroleum)'!AG44+AG2253</f>
        <v>2488.1</v>
      </c>
      <c r="AI2246" s="167">
        <f>AH2246-'Assumptions (Petroleum)'!AH44+AH2253</f>
        <v>2488.1</v>
      </c>
      <c r="AJ2246" s="167">
        <f>AI2246-'Assumptions (Petroleum)'!AI44+AI2253</f>
        <v>2488.1</v>
      </c>
      <c r="AK2246" s="167">
        <f>AJ2246-'Assumptions (Petroleum)'!AJ44+AJ2253</f>
        <v>2488.1</v>
      </c>
      <c r="AL2246" s="167">
        <f>AK2246-'Assumptions (Petroleum)'!AK44+AK2253</f>
        <v>2488.1</v>
      </c>
      <c r="AM2246" s="167">
        <f>AL2246-'Assumptions (Petroleum)'!AL44+AL2253</f>
        <v>2488.1</v>
      </c>
      <c r="AN2246" s="167">
        <f>AM2246-'Assumptions (Petroleum)'!AM44+AM2253</f>
        <v>2488.1</v>
      </c>
      <c r="AO2246" s="167">
        <f>AN2246-'Assumptions (Petroleum)'!AN44+AN2253</f>
        <v>2488.1</v>
      </c>
      <c r="AP2246" s="167">
        <f>AO2246-'Assumptions (Petroleum)'!AO44+AO2253</f>
        <v>2488.1</v>
      </c>
      <c r="AQ2246" s="167">
        <f>AP2246-'Assumptions (Petroleum)'!AP44+AP2253</f>
        <v>2488.1</v>
      </c>
      <c r="AR2246" s="167">
        <f>AQ2246-'Assumptions (Petroleum)'!AQ44+AQ2253</f>
        <v>2488.1</v>
      </c>
      <c r="AS2246" s="167">
        <f>AR2246-'Assumptions (Petroleum)'!AR44+AR2253</f>
        <v>2488.1</v>
      </c>
      <c r="AT2246" s="167">
        <f>AS2246-'Assumptions (Petroleum)'!AS44+AS2253</f>
        <v>2488.1</v>
      </c>
      <c r="AU2246" s="167">
        <f>AT2246-'Assumptions (Petroleum)'!AT44+AT2253</f>
        <v>2488.1</v>
      </c>
      <c r="AV2246" s="167">
        <f>AU2246-'Assumptions (Petroleum)'!AU44+AU2253</f>
        <v>2488.1</v>
      </c>
      <c r="AW2246" s="167">
        <f>AV2246-'Assumptions (Petroleum)'!AV44+AV2253</f>
        <v>2488.1</v>
      </c>
      <c r="AX2246" s="167">
        <f>AW2246-'Assumptions (Petroleum)'!AW44+AW2253</f>
        <v>2488.1</v>
      </c>
      <c r="AY2246" s="167">
        <f>AX2246-'Assumptions (Petroleum)'!AX44+AX2253</f>
        <v>2488.1</v>
      </c>
      <c r="AZ2246" s="167">
        <f>AY2246-'Assumptions (Petroleum)'!AY44+AY2253</f>
        <v>2488.1</v>
      </c>
      <c r="BA2246" s="167">
        <f>AZ2246-'Assumptions (Petroleum)'!AZ44+AZ2253</f>
        <v>2488.1</v>
      </c>
    </row>
    <row r="2247" ht="15.75" customHeight="1">
      <c r="A2247" s="325" t="s">
        <v>350</v>
      </c>
      <c r="B2247" s="24" t="s">
        <v>149</v>
      </c>
      <c r="C2247" s="171">
        <v>3365.9</v>
      </c>
      <c r="D2247" s="171">
        <v>3403.1</v>
      </c>
      <c r="E2247" s="171">
        <v>3398.9</v>
      </c>
      <c r="F2247" s="171">
        <v>3342.8</v>
      </c>
      <c r="G2247" s="171">
        <v>3369.7</v>
      </c>
      <c r="H2247" s="171">
        <v>3388.7</v>
      </c>
      <c r="I2247" s="171">
        <v>3410.2</v>
      </c>
      <c r="J2247" s="171">
        <v>3415.3</v>
      </c>
      <c r="K2247" s="171">
        <v>3425.4</v>
      </c>
      <c r="L2247" s="171">
        <v>3424.4</v>
      </c>
      <c r="M2247" s="171">
        <v>3419.3</v>
      </c>
      <c r="N2247" s="171">
        <v>3379.4</v>
      </c>
      <c r="O2247" s="171">
        <v>3193.7</v>
      </c>
      <c r="P2247" s="171">
        <v>3078.6</v>
      </c>
      <c r="Q2247" s="171">
        <v>3079.8</v>
      </c>
      <c r="R2247" s="171">
        <v>2769.4</v>
      </c>
      <c r="S2247" s="171">
        <v>2675.8</v>
      </c>
      <c r="T2247" s="171">
        <v>2497.1</v>
      </c>
      <c r="U2247" s="171">
        <v>2488.1</v>
      </c>
      <c r="V2247" s="319">
        <f t="shared" ref="V2247:W2247" si="77">U2247+V2253</f>
        <v>2488.1</v>
      </c>
      <c r="W2247" s="153">
        <f t="shared" si="77"/>
        <v>2488.1</v>
      </c>
      <c r="X2247" s="154">
        <f t="shared" ref="X2247:AZ2247" si="78">W2247+($BA$2247-$W$2247)/($BA$2-$W$2)</f>
        <v>2405.163333</v>
      </c>
      <c r="Y2247" s="154">
        <f t="shared" si="78"/>
        <v>2322.226667</v>
      </c>
      <c r="Z2247" s="154">
        <f t="shared" si="78"/>
        <v>2239.29</v>
      </c>
      <c r="AA2247" s="154">
        <f t="shared" si="78"/>
        <v>2156.353333</v>
      </c>
      <c r="AB2247" s="154">
        <f t="shared" si="78"/>
        <v>2073.416667</v>
      </c>
      <c r="AC2247" s="154">
        <f t="shared" si="78"/>
        <v>1990.48</v>
      </c>
      <c r="AD2247" s="154">
        <f t="shared" si="78"/>
        <v>1907.543333</v>
      </c>
      <c r="AE2247" s="154">
        <f t="shared" si="78"/>
        <v>1824.606667</v>
      </c>
      <c r="AF2247" s="154">
        <f t="shared" si="78"/>
        <v>1741.67</v>
      </c>
      <c r="AG2247" s="154">
        <f t="shared" si="78"/>
        <v>1658.733333</v>
      </c>
      <c r="AH2247" s="154">
        <f t="shared" si="78"/>
        <v>1575.796667</v>
      </c>
      <c r="AI2247" s="154">
        <f t="shared" si="78"/>
        <v>1492.86</v>
      </c>
      <c r="AJ2247" s="154">
        <f t="shared" si="78"/>
        <v>1409.923333</v>
      </c>
      <c r="AK2247" s="154">
        <f t="shared" si="78"/>
        <v>1326.986667</v>
      </c>
      <c r="AL2247" s="154">
        <f t="shared" si="78"/>
        <v>1244.05</v>
      </c>
      <c r="AM2247" s="154">
        <f t="shared" si="78"/>
        <v>1161.113333</v>
      </c>
      <c r="AN2247" s="154">
        <f t="shared" si="78"/>
        <v>1078.176667</v>
      </c>
      <c r="AO2247" s="154">
        <f t="shared" si="78"/>
        <v>995.24</v>
      </c>
      <c r="AP2247" s="154">
        <f t="shared" si="78"/>
        <v>912.3033333</v>
      </c>
      <c r="AQ2247" s="154">
        <f t="shared" si="78"/>
        <v>829.3666667</v>
      </c>
      <c r="AR2247" s="154">
        <f t="shared" si="78"/>
        <v>746.43</v>
      </c>
      <c r="AS2247" s="154">
        <f t="shared" si="78"/>
        <v>663.4933333</v>
      </c>
      <c r="AT2247" s="154">
        <f t="shared" si="78"/>
        <v>580.5566667</v>
      </c>
      <c r="AU2247" s="154">
        <f t="shared" si="78"/>
        <v>497.62</v>
      </c>
      <c r="AV2247" s="154">
        <f t="shared" si="78"/>
        <v>414.6833333</v>
      </c>
      <c r="AW2247" s="154">
        <f t="shared" si="78"/>
        <v>331.7466667</v>
      </c>
      <c r="AX2247" s="154">
        <f t="shared" si="78"/>
        <v>248.81</v>
      </c>
      <c r="AY2247" s="154">
        <f t="shared" si="78"/>
        <v>165.8733333</v>
      </c>
      <c r="AZ2247" s="154">
        <f t="shared" si="78"/>
        <v>82.93666667</v>
      </c>
      <c r="BA2247" s="155">
        <f>Inputs!$H$13</f>
        <v>0</v>
      </c>
    </row>
    <row r="2248" ht="15.75" customHeight="1">
      <c r="A2248" s="326" t="s">
        <v>28</v>
      </c>
      <c r="B2248" s="38" t="s">
        <v>150</v>
      </c>
      <c r="C2248" s="156">
        <v>6.801496</v>
      </c>
      <c r="D2248" s="156">
        <v>8.112691</v>
      </c>
      <c r="E2248" s="156">
        <v>2.708891</v>
      </c>
      <c r="F2248" s="156">
        <v>4.808934</v>
      </c>
      <c r="G2248" s="156">
        <v>5.691424</v>
      </c>
      <c r="H2248" s="156">
        <v>4.17888</v>
      </c>
      <c r="I2248" s="156">
        <v>2.261379</v>
      </c>
      <c r="J2248" s="156">
        <v>2.289593</v>
      </c>
      <c r="K2248" s="156">
        <v>1.738479</v>
      </c>
      <c r="L2248" s="156">
        <v>1.892822</v>
      </c>
      <c r="M2248" s="156">
        <v>1.62292</v>
      </c>
      <c r="N2248" s="156">
        <v>1.232469</v>
      </c>
      <c r="O2248" s="156">
        <v>0.935877</v>
      </c>
      <c r="P2248" s="156">
        <v>0.814465</v>
      </c>
      <c r="Q2248" s="156">
        <v>1.380399</v>
      </c>
      <c r="R2248" s="156">
        <v>1.121623</v>
      </c>
      <c r="S2248" s="156">
        <v>0.762098</v>
      </c>
      <c r="T2248" s="156">
        <v>0.802641</v>
      </c>
      <c r="U2248" s="156">
        <v>1.635287</v>
      </c>
      <c r="V2248" s="157">
        <f t="shared" ref="V2248:W2248" si="79">U2248</f>
        <v>1.635287</v>
      </c>
      <c r="W2248" s="157">
        <f t="shared" si="79"/>
        <v>1.635287</v>
      </c>
      <c r="X2248" s="154">
        <f t="shared" ref="X2248:AZ2248" si="80">W2248+($BA$2248-$W$2248)/($BA$2-$W$2)</f>
        <v>1.580777433</v>
      </c>
      <c r="Y2248" s="154">
        <f t="shared" si="80"/>
        <v>1.526267867</v>
      </c>
      <c r="Z2248" s="154">
        <f t="shared" si="80"/>
        <v>1.4717583</v>
      </c>
      <c r="AA2248" s="154">
        <f t="shared" si="80"/>
        <v>1.417248733</v>
      </c>
      <c r="AB2248" s="154">
        <f t="shared" si="80"/>
        <v>1.362739167</v>
      </c>
      <c r="AC2248" s="154">
        <f t="shared" si="80"/>
        <v>1.3082296</v>
      </c>
      <c r="AD2248" s="154">
        <f t="shared" si="80"/>
        <v>1.253720033</v>
      </c>
      <c r="AE2248" s="154">
        <f t="shared" si="80"/>
        <v>1.199210467</v>
      </c>
      <c r="AF2248" s="154">
        <f t="shared" si="80"/>
        <v>1.1447009</v>
      </c>
      <c r="AG2248" s="154">
        <f t="shared" si="80"/>
        <v>1.090191333</v>
      </c>
      <c r="AH2248" s="154">
        <f t="shared" si="80"/>
        <v>1.035681767</v>
      </c>
      <c r="AI2248" s="154">
        <f t="shared" si="80"/>
        <v>0.9811722</v>
      </c>
      <c r="AJ2248" s="154">
        <f t="shared" si="80"/>
        <v>0.9266626333</v>
      </c>
      <c r="AK2248" s="154">
        <f t="shared" si="80"/>
        <v>0.8721530667</v>
      </c>
      <c r="AL2248" s="154">
        <f t="shared" si="80"/>
        <v>0.8176435</v>
      </c>
      <c r="AM2248" s="154">
        <f t="shared" si="80"/>
        <v>0.7631339333</v>
      </c>
      <c r="AN2248" s="154">
        <f t="shared" si="80"/>
        <v>0.7086243667</v>
      </c>
      <c r="AO2248" s="154">
        <f t="shared" si="80"/>
        <v>0.6541148</v>
      </c>
      <c r="AP2248" s="154">
        <f t="shared" si="80"/>
        <v>0.5996052333</v>
      </c>
      <c r="AQ2248" s="154">
        <f t="shared" si="80"/>
        <v>0.5450956667</v>
      </c>
      <c r="AR2248" s="154">
        <f t="shared" si="80"/>
        <v>0.4905861</v>
      </c>
      <c r="AS2248" s="154">
        <f t="shared" si="80"/>
        <v>0.4360765333</v>
      </c>
      <c r="AT2248" s="154">
        <f t="shared" si="80"/>
        <v>0.3815669667</v>
      </c>
      <c r="AU2248" s="154">
        <f t="shared" si="80"/>
        <v>0.3270574</v>
      </c>
      <c r="AV2248" s="154">
        <f t="shared" si="80"/>
        <v>0.2725478333</v>
      </c>
      <c r="AW2248" s="154">
        <f t="shared" si="80"/>
        <v>0.2180382667</v>
      </c>
      <c r="AX2248" s="154">
        <f t="shared" si="80"/>
        <v>0.1635287</v>
      </c>
      <c r="AY2248" s="154">
        <f t="shared" si="80"/>
        <v>0.1090191333</v>
      </c>
      <c r="AZ2248" s="154">
        <f t="shared" si="80"/>
        <v>0.05450956667</v>
      </c>
      <c r="BA2248" s="243">
        <f>Inputs!$I$13</f>
        <v>0</v>
      </c>
    </row>
    <row r="2249" ht="15.75" customHeight="1">
      <c r="A2249" s="325" t="s">
        <v>34</v>
      </c>
      <c r="B2249" s="150" t="s">
        <v>351</v>
      </c>
      <c r="C2249" s="327">
        <f>C2248*'Assumptions (Petroleum)'!B22/10^3</f>
        <v>0.4530579856</v>
      </c>
      <c r="D2249" s="327">
        <f>D2248*'Assumptions (Petroleum)'!C22/10^3</f>
        <v>0.5522518675</v>
      </c>
      <c r="E2249" s="327">
        <f>E2248*'Assumptions (Petroleum)'!D22/10^3</f>
        <v>0.1721858063</v>
      </c>
      <c r="F2249" s="327">
        <f>F2248*'Assumptions (Petroleum)'!E22/10^3</f>
        <v>0.3785095875</v>
      </c>
      <c r="G2249" s="327">
        <f>G2248*'Assumptions (Petroleum)'!F22/10^3</f>
        <v>0.6646002279</v>
      </c>
      <c r="H2249" s="327">
        <f>H2248*'Assumptions (Petroleum)'!G22/10^3</f>
        <v>0.6851449284</v>
      </c>
      <c r="I2249" s="327">
        <f>I2248*'Assumptions (Petroleum)'!H22/10^3</f>
        <v>0.4434486753</v>
      </c>
      <c r="J2249" s="327">
        <f>J2248*'Assumptions (Petroleum)'!I22/10^3</f>
        <v>0.4973066017</v>
      </c>
      <c r="K2249" s="327">
        <f>K2248*'Assumptions (Petroleum)'!J22/10^3</f>
        <v>0.4982583813</v>
      </c>
      <c r="L2249" s="327">
        <f>L2248*'Assumptions (Petroleum)'!K22/10^3</f>
        <v>0.3196027584</v>
      </c>
      <c r="M2249" s="327">
        <f>M2248*'Assumptions (Petroleum)'!L22/10^3</f>
        <v>0.3594777418</v>
      </c>
      <c r="N2249" s="327">
        <f>N2248*'Assumptions (Petroleum)'!M22/10^3</f>
        <v>0.3852736948</v>
      </c>
      <c r="O2249" s="327">
        <f>O2248*'Assumptions (Petroleum)'!N22/10^3</f>
        <v>0.3036416818</v>
      </c>
      <c r="P2249" s="327">
        <f>P2248*'Assumptions (Petroleum)'!O22/10^3</f>
        <v>0.2604928082</v>
      </c>
      <c r="Q2249" s="327">
        <f>Q2248*'Assumptions (Petroleum)'!P22/10^3</f>
        <v>0.4156053754</v>
      </c>
      <c r="R2249" s="327">
        <f>R2248*'Assumptions (Petroleum)'!Q22/10^3</f>
        <v>0.2031073955</v>
      </c>
      <c r="S2249" s="327">
        <f>S2248*'Assumptions (Petroleum)'!R22/10^3</f>
        <v>0.1170353778</v>
      </c>
      <c r="T2249" s="327">
        <f>T2248*'Assumptions (Petroleum)'!S22/10^3</f>
        <v>0.1552330194</v>
      </c>
      <c r="U2249" s="327">
        <f>U2248*'Assumptions (Petroleum)'!T22/10^3</f>
        <v>0.3855090985</v>
      </c>
      <c r="V2249" s="327">
        <f>V2248*'Assumptions (Petroleum)'!U22/10^3</f>
        <v>0.4000988704</v>
      </c>
      <c r="W2249" s="327">
        <f>W2248*'Assumptions (Petroleum)'!V22/10^3</f>
        <v>0.3994364094</v>
      </c>
      <c r="X2249" s="327">
        <f>X2248*'Assumptions (Petroleum)'!W22/10^3</f>
        <v>0.3799824387</v>
      </c>
      <c r="Y2249" s="327">
        <f>Y2248*'Assumptions (Petroleum)'!X22/10^3</f>
        <v>0.3570830254</v>
      </c>
      <c r="Z2249" s="327">
        <f>Z2248*'Assumptions (Petroleum)'!Y22/10^3</f>
        <v>0.3422842842</v>
      </c>
      <c r="AA2249" s="327">
        <f>AA2248*'Assumptions (Petroleum)'!Z22/10^3</f>
        <v>0.3331695959</v>
      </c>
      <c r="AB2249" s="327">
        <f>AB2248*'Assumptions (Petroleum)'!AA22/10^3</f>
        <v>0.3323931257</v>
      </c>
      <c r="AC2249" s="327">
        <f>AC2248*'Assumptions (Petroleum)'!AB22/10^3</f>
        <v>0.3317967466</v>
      </c>
      <c r="AD2249" s="327">
        <f>AD2248*'Assumptions (Petroleum)'!AC22/10^3</f>
        <v>0.3339795104</v>
      </c>
      <c r="AE2249" s="327">
        <f>AE2248*'Assumptions (Petroleum)'!AD22/10^3</f>
        <v>0.326924651</v>
      </c>
      <c r="AF2249" s="327">
        <f>AF2248*'Assumptions (Petroleum)'!AE22/10^3</f>
        <v>0.3259562373</v>
      </c>
      <c r="AG2249" s="327">
        <f>AG2248*'Assumptions (Petroleum)'!AF22/10^3</f>
        <v>0.3182393386</v>
      </c>
      <c r="AH2249" s="327">
        <f>AH2248*'Assumptions (Petroleum)'!AG22/10^3</f>
        <v>0.3092133708</v>
      </c>
      <c r="AI2249" s="327">
        <f>AI2248*'Assumptions (Petroleum)'!AH22/10^3</f>
        <v>0.3021979668</v>
      </c>
      <c r="AJ2249" s="327">
        <f>AJ2248*'Assumptions (Petroleum)'!AI22/10^3</f>
        <v>0.2953084218</v>
      </c>
      <c r="AK2249" s="327">
        <f>AK2248*'Assumptions (Petroleum)'!AJ22/10^3</f>
        <v>0.2837374235</v>
      </c>
      <c r="AL2249" s="327">
        <f>AL2248*'Assumptions (Petroleum)'!AK22/10^3</f>
        <v>0.2739618034</v>
      </c>
      <c r="AM2249" s="327">
        <f>AM2248*'Assumptions (Petroleum)'!AL22/10^3</f>
        <v>0.2649239497</v>
      </c>
      <c r="AN2249" s="327">
        <f>AN2248*'Assumptions (Petroleum)'!AM22/10^3</f>
        <v>0.2500410197</v>
      </c>
      <c r="AO2249" s="327">
        <f>AO2248*'Assumptions (Petroleum)'!AN22/10^3</f>
        <v>0.2364323719</v>
      </c>
      <c r="AP2249" s="327">
        <f>AP2248*'Assumptions (Petroleum)'!AO22/10^3</f>
        <v>0.2226743958</v>
      </c>
      <c r="AQ2249" s="327">
        <f>AQ2248*'Assumptions (Petroleum)'!AP22/10^3</f>
        <v>0.2079714371</v>
      </c>
      <c r="AR2249" s="327">
        <f>AR2248*'Assumptions (Petroleum)'!AQ22/10^3</f>
        <v>0.1914746637</v>
      </c>
      <c r="AS2249" s="327">
        <f>AS2248*'Assumptions (Petroleum)'!AR22/10^3</f>
        <v>0.1752104924</v>
      </c>
      <c r="AT2249" s="327">
        <f>AT2248*'Assumptions (Petroleum)'!AS22/10^3</f>
        <v>0.1565623343</v>
      </c>
      <c r="AU2249" s="327">
        <f>AU2248*'Assumptions (Petroleum)'!AT22/10^3</f>
        <v>0.1366997336</v>
      </c>
      <c r="AV2249" s="327">
        <f>AV2248*'Assumptions (Petroleum)'!AU22/10^3</f>
        <v>0.1164795636</v>
      </c>
      <c r="AW2249" s="327">
        <f>AW2248*'Assumptions (Petroleum)'!AV22/10^3</f>
        <v>0.09504126812</v>
      </c>
      <c r="AX2249" s="327">
        <f>AX2248*'Assumptions (Petroleum)'!AW22/10^3</f>
        <v>0.07276263649</v>
      </c>
      <c r="AY2249" s="327">
        <f>AY2248*'Assumptions (Petroleum)'!AX22/10^3</f>
        <v>0.04959919757</v>
      </c>
      <c r="AZ2249" s="327">
        <f>AZ2248*'Assumptions (Petroleum)'!AY22/10^3</f>
        <v>0.02522031017</v>
      </c>
      <c r="BA2249" s="327">
        <f>BA2248*'Assumptions (Petroleum)'!AZ22/10^3</f>
        <v>0</v>
      </c>
    </row>
    <row r="2250" ht="15.75" customHeight="1">
      <c r="A2250" s="326" t="s">
        <v>31</v>
      </c>
      <c r="B2250" s="159" t="s">
        <v>351</v>
      </c>
      <c r="C2250" s="219">
        <f>'Assumptions (Petroleum)'!B17*Model!C2247/10^9+'Assumptions (Petroleum)'!B18*Model!C2248/10^3</f>
        <v>0.04227643581</v>
      </c>
      <c r="D2250" s="219">
        <f>'Assumptions (Petroleum)'!C17*Model!D2247/10^9+'Assumptions (Petroleum)'!C18*Model!D2248/10^3</f>
        <v>0.04661732215</v>
      </c>
      <c r="E2250" s="219">
        <f>'Assumptions (Petroleum)'!D17*Model!E2247/10^9+'Assumptions (Petroleum)'!D18*Model!E2248/10^3</f>
        <v>0.03380707284</v>
      </c>
      <c r="F2250" s="219">
        <f>'Assumptions (Petroleum)'!E17*Model!F2247/10^9+'Assumptions (Petroleum)'!E18*Model!F2248/10^3</f>
        <v>0.03940043063</v>
      </c>
      <c r="G2250" s="219">
        <f>'Assumptions (Petroleum)'!F17*Model!G2247/10^9+'Assumptions (Petroleum)'!F18*Model!G2248/10^3</f>
        <v>0.04268189917</v>
      </c>
      <c r="H2250" s="219">
        <f>'Assumptions (Petroleum)'!G17*Model!H2247/10^9+'Assumptions (Petroleum)'!G18*Model!H2248/10^3</f>
        <v>0.03960409626</v>
      </c>
      <c r="I2250" s="219">
        <f>'Assumptions (Petroleum)'!H17*Model!I2247/10^9+'Assumptions (Petroleum)'!H18*Model!I2248/10^3</f>
        <v>0.03531304874</v>
      </c>
      <c r="J2250" s="219">
        <f>'Assumptions (Petroleum)'!I17*Model!J2247/10^9+'Assumptions (Petroleum)'!I18*Model!J2248/10^3</f>
        <v>0.03610298966</v>
      </c>
      <c r="K2250" s="219">
        <f>'Assumptions (Petroleum)'!J17*Model!K2247/10^9+'Assumptions (Petroleum)'!J18*Model!K2248/10^3</f>
        <v>0.03531630569</v>
      </c>
      <c r="L2250" s="219">
        <f>'Assumptions (Petroleum)'!K17*Model!L2247/10^9+'Assumptions (Petroleum)'!K18*Model!L2248/10^3</f>
        <v>0.03641924072</v>
      </c>
      <c r="M2250" s="219">
        <f>'Assumptions (Petroleum)'!L17*Model!M2247/10^9+'Assumptions (Petroleum)'!L18*Model!M2248/10^3</f>
        <v>0.03626801356</v>
      </c>
      <c r="N2250" s="219">
        <f>'Assumptions (Petroleum)'!M17*Model!N2247/10^9+'Assumptions (Petroleum)'!M18*Model!N2248/10^3</f>
        <v>0.03541080102</v>
      </c>
      <c r="O2250" s="219">
        <f>'Assumptions (Petroleum)'!N17*Model!O2247/10^9+'Assumptions (Petroleum)'!N18*Model!O2248/10^3</f>
        <v>0.0333997363</v>
      </c>
      <c r="P2250" s="219">
        <f>'Assumptions (Petroleum)'!O17*Model!P2247/10^9+'Assumptions (Petroleum)'!O18*Model!P2248/10^3</f>
        <v>0.03253205863</v>
      </c>
      <c r="Q2250" s="219">
        <f>'Assumptions (Petroleum)'!P17*Model!Q2247/10^9+'Assumptions (Petroleum)'!P18*Model!Q2248/10^3</f>
        <v>0.03494922562</v>
      </c>
      <c r="R2250" s="219">
        <f>'Assumptions (Petroleum)'!Q17*Model!R2247/10^9+'Assumptions (Petroleum)'!Q18*Model!R2248/10^3</f>
        <v>0.03163490428</v>
      </c>
      <c r="S2250" s="219">
        <f>'Assumptions (Petroleum)'!R17*Model!S2247/10^9+'Assumptions (Petroleum)'!R18*Model!S2248/10^3</f>
        <v>0.03008683363</v>
      </c>
      <c r="T2250" s="219">
        <f>'Assumptions (Petroleum)'!S17*Model!T2247/10^9+'Assumptions (Petroleum)'!S18*Model!T2248/10^3</f>
        <v>0.0289140425</v>
      </c>
      <c r="U2250" s="219">
        <f>'Assumptions (Petroleum)'!T17*Model!U2247/10^9+'Assumptions (Petroleum)'!T18*Model!U2248/10^3</f>
        <v>0.03220329717</v>
      </c>
      <c r="V2250" s="219">
        <f>'Assumptions (Petroleum)'!U17*Model!V2247/10^9+'Assumptions (Petroleum)'!U18*Model!V2248/10^3</f>
        <v>0.03281175391</v>
      </c>
      <c r="W2250" s="219">
        <f>'Assumptions (Petroleum)'!V17*Model!W2247/10^9+'Assumptions (Petroleum)'!V18*Model!W2248/10^3</f>
        <v>0.03343170698</v>
      </c>
      <c r="X2250" s="219">
        <f>'Assumptions (Petroleum)'!W17*Model!X2247/10^9+'Assumptions (Petroleum)'!W18*Model!X2248/10^3</f>
        <v>0.0329279278</v>
      </c>
      <c r="Y2250" s="219">
        <f>'Assumptions (Petroleum)'!X17*Model!Y2247/10^9+'Assumptions (Petroleum)'!X18*Model!Y2248/10^3</f>
        <v>0.03239317672</v>
      </c>
      <c r="Z2250" s="219">
        <f>'Assumptions (Petroleum)'!Y17*Model!Z2247/10^9+'Assumptions (Petroleum)'!Y18*Model!Z2248/10^3</f>
        <v>0.03182646319</v>
      </c>
      <c r="AA2250" s="219">
        <f>'Assumptions (Petroleum)'!Z17*Model!AA2247/10^9+'Assumptions (Petroleum)'!Z18*Model!AA2248/10^3</f>
        <v>0.03122677031</v>
      </c>
      <c r="AB2250" s="219">
        <f>'Assumptions (Petroleum)'!AA17*Model!AB2247/10^9+'Assumptions (Petroleum)'!AA18*Model!AB2248/10^3</f>
        <v>0.03059305416</v>
      </c>
      <c r="AC2250" s="219">
        <f>'Assumptions (Petroleum)'!AB17*Model!AC2247/10^9+'Assumptions (Petroleum)'!AB18*Model!AC2248/10^3</f>
        <v>0.02992424312</v>
      </c>
      <c r="AD2250" s="219">
        <f>'Assumptions (Petroleum)'!AC17*Model!AD2247/10^9+'Assumptions (Petroleum)'!AC18*Model!AD2248/10^3</f>
        <v>0.02921923726</v>
      </c>
      <c r="AE2250" s="219">
        <f>'Assumptions (Petroleum)'!AD17*Model!AE2247/10^9+'Assumptions (Petroleum)'!AD18*Model!AE2248/10^3</f>
        <v>0.02847690757</v>
      </c>
      <c r="AF2250" s="219">
        <f>'Assumptions (Petroleum)'!AE17*Model!AF2247/10^9+'Assumptions (Petroleum)'!AE18*Model!AF2248/10^3</f>
        <v>0.02769609534</v>
      </c>
      <c r="AG2250" s="219">
        <f>'Assumptions (Petroleum)'!AF17*Model!AG2247/10^9+'Assumptions (Petroleum)'!AF18*Model!AG2248/10^3</f>
        <v>0.02687561137</v>
      </c>
      <c r="AH2250" s="219">
        <f>'Assumptions (Petroleum)'!AG17*Model!AH2247/10^9+'Assumptions (Petroleum)'!AG18*Model!AH2248/10^3</f>
        <v>0.02601423528</v>
      </c>
      <c r="AI2250" s="219">
        <f>'Assumptions (Petroleum)'!AH17*Model!AI2247/10^9+'Assumptions (Petroleum)'!AH18*Model!AI2248/10^3</f>
        <v>0.02511071471</v>
      </c>
      <c r="AJ2250" s="219">
        <f>'Assumptions (Petroleum)'!AI17*Model!AJ2247/10^9+'Assumptions (Petroleum)'!AI18*Model!AJ2248/10^3</f>
        <v>0.02416376459</v>
      </c>
      <c r="AK2250" s="219">
        <f>'Assumptions (Petroleum)'!AJ17*Model!AK2247/10^9+'Assumptions (Petroleum)'!AJ18*Model!AK2248/10^3</f>
        <v>0.02317206635</v>
      </c>
      <c r="AL2250" s="219">
        <f>'Assumptions (Petroleum)'!AK17*Model!AL2247/10^9+'Assumptions (Petroleum)'!AK18*Model!AL2248/10^3</f>
        <v>0.02213426707</v>
      </c>
      <c r="AM2250" s="219">
        <f>'Assumptions (Petroleum)'!AL17*Model!AM2247/10^9+'Assumptions (Petroleum)'!AL18*Model!AM2248/10^3</f>
        <v>0.02104897869</v>
      </c>
      <c r="AN2250" s="219">
        <f>'Assumptions (Petroleum)'!AM17*Model!AN2247/10^9+'Assumptions (Petroleum)'!AM18*Model!AN2248/10^3</f>
        <v>0.01991477715</v>
      </c>
      <c r="AO2250" s="219">
        <f>'Assumptions (Petroleum)'!AN17*Model!AO2247/10^9+'Assumptions (Petroleum)'!AN18*Model!AO2248/10^3</f>
        <v>0.01873020155</v>
      </c>
      <c r="AP2250" s="219">
        <f>'Assumptions (Petroleum)'!AO17*Model!AP2247/10^9+'Assumptions (Petroleum)'!AO18*Model!AP2248/10^3</f>
        <v>0.01749375322</v>
      </c>
      <c r="AQ2250" s="219">
        <f>'Assumptions (Petroleum)'!AP17*Model!AQ2247/10^9+'Assumptions (Petroleum)'!AP18*Model!AQ2248/10^3</f>
        <v>0.01620389486</v>
      </c>
      <c r="AR2250" s="219">
        <f>'Assumptions (Petroleum)'!AQ17*Model!AR2247/10^9+'Assumptions (Petroleum)'!AQ18*Model!AR2248/10^3</f>
        <v>0.01485904959</v>
      </c>
      <c r="AS2250" s="219">
        <f>'Assumptions (Petroleum)'!AR17*Model!AS2247/10^9+'Assumptions (Petroleum)'!AR18*Model!AS2248/10^3</f>
        <v>0.0134576</v>
      </c>
      <c r="AT2250" s="219">
        <f>'Assumptions (Petroleum)'!AS17*Model!AT2247/10^9+'Assumptions (Petroleum)'!AS18*Model!AT2248/10^3</f>
        <v>0.0119978872</v>
      </c>
      <c r="AU2250" s="219">
        <f>'Assumptions (Petroleum)'!AT17*Model!AU2247/10^9+'Assumptions (Petroleum)'!AT18*Model!AU2248/10^3</f>
        <v>0.01047820983</v>
      </c>
      <c r="AV2250" s="219">
        <f>'Assumptions (Petroleum)'!AU17*Model!AV2247/10^9+'Assumptions (Petroleum)'!AU18*Model!AV2248/10^3</f>
        <v>0.008896823008</v>
      </c>
      <c r="AW2250" s="219">
        <f>'Assumptions (Petroleum)'!AV17*Model!AW2247/10^9+'Assumptions (Petroleum)'!AV18*Model!AW2248/10^3</f>
        <v>0.007251937355</v>
      </c>
      <c r="AX2250" s="219">
        <f>'Assumptions (Petroleum)'!AW17*Model!AX2247/10^9+'Assumptions (Petroleum)'!AW18*Model!AX2248/10^3</f>
        <v>0.005541717886</v>
      </c>
      <c r="AY2250" s="219">
        <f>'Assumptions (Petroleum)'!AX17*Model!AY2247/10^9+'Assumptions (Petroleum)'!AX18*Model!AY2248/10^3</f>
        <v>0.003764282946</v>
      </c>
      <c r="AZ2250" s="219">
        <f>'Assumptions (Petroleum)'!AY17*Model!AZ2247/10^9+'Assumptions (Petroleum)'!AY18*Model!AZ2248/10^3</f>
        <v>0.001917703101</v>
      </c>
      <c r="BA2250" s="219">
        <f>'Assumptions (Petroleum)'!AZ17*Model!BA2247/10^9+'Assumptions (Petroleum)'!AZ18*Model!BA2248/10^3</f>
        <v>0</v>
      </c>
    </row>
    <row r="2251" ht="15.75" customHeight="1">
      <c r="A2251" s="326" t="s">
        <v>36</v>
      </c>
      <c r="B2251" s="159" t="s">
        <v>351</v>
      </c>
      <c r="C2251" s="95">
        <f>C2248*'Assumptions (Petroleum)'!B32/10^3</f>
        <v>0.4552690172</v>
      </c>
      <c r="D2251" s="95">
        <f>D2248*'Assumptions (Petroleum)'!C32/10^3</f>
        <v>0.5562279992</v>
      </c>
      <c r="E2251" s="95">
        <f>E2248*'Assumptions (Petroleum)'!D32/10^3</f>
        <v>0.1679176518</v>
      </c>
      <c r="F2251" s="95">
        <f>F2248*'Assumptions (Petroleum)'!E32/10^3</f>
        <v>0.362352696</v>
      </c>
      <c r="G2251" s="95">
        <f>G2248*'Assumptions (Petroleum)'!F32/10^3</f>
        <v>0.4505769478</v>
      </c>
      <c r="H2251" s="95">
        <f>H2248*'Assumptions (Petroleum)'!G32/10^3</f>
        <v>0.4005577668</v>
      </c>
      <c r="I2251" s="95">
        <f>I2248*'Assumptions (Petroleum)'!H32/10^3</f>
        <v>0.1950161238</v>
      </c>
      <c r="J2251" s="95">
        <f>J2248*'Assumptions (Petroleum)'!I32/10^3</f>
        <v>0.2006867188</v>
      </c>
      <c r="K2251" s="95">
        <f>K2248*'Assumptions (Petroleum)'!J32/10^3</f>
        <v>0.1763481805</v>
      </c>
      <c r="L2251" s="95">
        <f>L2248*'Assumptions (Petroleum)'!K32/10^3</f>
        <v>0.1340593074</v>
      </c>
      <c r="M2251" s="95">
        <f>M2248*'Assumptions (Petroleum)'!L32/10^3</f>
        <v>0.1188446464</v>
      </c>
      <c r="N2251" s="95">
        <f>N2248*'Assumptions (Petroleum)'!M32/10^3</f>
        <v>0.08694119794</v>
      </c>
      <c r="O2251" s="95">
        <f>O2248*'Assumptions (Petroleum)'!N32/10^3</f>
        <v>0.05708643807</v>
      </c>
      <c r="P2251" s="95">
        <f>P2248*'Assumptions (Petroleum)'!O32/10^3</f>
        <v>0.05515092735</v>
      </c>
      <c r="Q2251" s="95">
        <f>Q2248*'Assumptions (Petroleum)'!P32/10^3</f>
        <v>0.1003043467</v>
      </c>
      <c r="R2251" s="95">
        <f>R2248*'Assumptions (Petroleum)'!Q32/10^3</f>
        <v>0.06714775549</v>
      </c>
      <c r="S2251" s="95">
        <f>S2248*'Assumptions (Petroleum)'!R32/10^3</f>
        <v>0.04882761886</v>
      </c>
      <c r="T2251" s="95">
        <f>T2248*'Assumptions (Petroleum)'!S32/10^3</f>
        <v>0.05019716814</v>
      </c>
      <c r="U2251" s="95">
        <f>U2248*'Assumptions (Petroleum)'!T32/10^3</f>
        <v>0.1049854254</v>
      </c>
      <c r="V2251" s="95">
        <f>V2248*'Assumptions (Petroleum)'!U32/10^3</f>
        <v>0.1064408308</v>
      </c>
      <c r="W2251" s="95">
        <f>W2248*'Assumptions (Petroleum)'!V32/10^3</f>
        <v>0.1110249982</v>
      </c>
      <c r="X2251" s="95">
        <f>X2248*'Assumptions (Petroleum)'!W32/10^3</f>
        <v>0.1081381862</v>
      </c>
      <c r="Y2251" s="95">
        <f>Y2248*'Assumptions (Petroleum)'!X32/10^3</f>
        <v>0.1053732893</v>
      </c>
      <c r="Z2251" s="95">
        <f>Z2248*'Assumptions (Petroleum)'!Y32/10^3</f>
        <v>0.1032672899</v>
      </c>
      <c r="AA2251" s="95">
        <f>AA2248*'Assumptions (Petroleum)'!Z32/10^3</f>
        <v>0.1013326325</v>
      </c>
      <c r="AB2251" s="95">
        <f>AB2248*'Assumptions (Petroleum)'!AA32/10^3</f>
        <v>0.1001839366</v>
      </c>
      <c r="AC2251" s="95">
        <f>AC2248*'Assumptions (Petroleum)'!AB32/10^3</f>
        <v>0.09772948691</v>
      </c>
      <c r="AD2251" s="95">
        <f>AD2248*'Assumptions (Petroleum)'!AC32/10^3</f>
        <v>0.09549787343</v>
      </c>
      <c r="AE2251" s="95">
        <f>AE2248*'Assumptions (Petroleum)'!AD32/10^3</f>
        <v>0.09295017968</v>
      </c>
      <c r="AF2251" s="95">
        <f>AF2248*'Assumptions (Petroleum)'!AE32/10^3</f>
        <v>0.09035928928</v>
      </c>
      <c r="AG2251" s="95">
        <f>AG2248*'Assumptions (Petroleum)'!AF32/10^3</f>
        <v>0.0876456706</v>
      </c>
      <c r="AH2251" s="95">
        <f>AH2248*'Assumptions (Petroleum)'!AG32/10^3</f>
        <v>0.08492509703</v>
      </c>
      <c r="AI2251" s="95">
        <f>AI2248*'Assumptions (Petroleum)'!AH32/10^3</f>
        <v>0.08172001737</v>
      </c>
      <c r="AJ2251" s="95">
        <f>AJ2248*'Assumptions (Petroleum)'!AI32/10^3</f>
        <v>0.07835134577</v>
      </c>
      <c r="AK2251" s="95">
        <f>AK2248*'Assumptions (Petroleum)'!AJ32/10^3</f>
        <v>0.07486785195</v>
      </c>
      <c r="AL2251" s="95">
        <f>AL2248*'Assumptions (Petroleum)'!AK32/10^3</f>
        <v>0.07136596879</v>
      </c>
      <c r="AM2251" s="95">
        <f>AM2248*'Assumptions (Petroleum)'!AL32/10^3</f>
        <v>0.06798879261</v>
      </c>
      <c r="AN2251" s="95">
        <f>AN2248*'Assumptions (Petroleum)'!AM32/10^3</f>
        <v>0.06437505854</v>
      </c>
      <c r="AO2251" s="95">
        <f>AO2248*'Assumptions (Petroleum)'!AN32/10^3</f>
        <v>0.06075736816</v>
      </c>
      <c r="AP2251" s="95">
        <f>AP2248*'Assumptions (Petroleum)'!AO32/10^3</f>
        <v>0.05693874081</v>
      </c>
      <c r="AQ2251" s="95">
        <f>AQ2248*'Assumptions (Petroleum)'!AP32/10^3</f>
        <v>0.05281870716</v>
      </c>
      <c r="AR2251" s="95">
        <f>AR2248*'Assumptions (Petroleum)'!AQ32/10^3</f>
        <v>0.04846643333</v>
      </c>
      <c r="AS2251" s="95">
        <f>AS2248*'Assumptions (Petroleum)'!AR32/10^3</f>
        <v>0.04390197011</v>
      </c>
      <c r="AT2251" s="95">
        <f>AT2248*'Assumptions (Petroleum)'!AS32/10^3</f>
        <v>0.03917540797</v>
      </c>
      <c r="AU2251" s="95">
        <f>AU2248*'Assumptions (Petroleum)'!AT32/10^3</f>
        <v>0.03427500719</v>
      </c>
      <c r="AV2251" s="95">
        <f>AV2248*'Assumptions (Petroleum)'!AU32/10^3</f>
        <v>0.02915747519</v>
      </c>
      <c r="AW2251" s="95">
        <f>AW2248*'Assumptions (Petroleum)'!AV32/10^3</f>
        <v>0.02376167512</v>
      </c>
      <c r="AX2251" s="95">
        <f>AX2248*'Assumptions (Petroleum)'!AW32/10^3</f>
        <v>0.01821294682</v>
      </c>
      <c r="AY2251" s="95">
        <f>AY2248*'Assumptions (Petroleum)'!AX32/10^3</f>
        <v>0.01257964257</v>
      </c>
      <c r="AZ2251" s="95">
        <f>AZ2248*'Assumptions (Petroleum)'!AY32/10^3</f>
        <v>0.006457366796</v>
      </c>
      <c r="BA2251" s="95">
        <f>BA2248*'Assumptions (Petroleum)'!AZ32/10^3</f>
        <v>0</v>
      </c>
    </row>
    <row r="2252" ht="15.75" customHeight="1">
      <c r="A2252" s="326" t="s">
        <v>38</v>
      </c>
      <c r="B2252" s="159" t="s">
        <v>351</v>
      </c>
      <c r="C2252" s="95">
        <f>C2247*'Assumptions (Petroleum)'!B35*'Assumptions (Petroleum)'!B34*365/10^9</f>
        <v>0</v>
      </c>
      <c r="D2252" s="95">
        <f>D2247*'Assumptions (Petroleum)'!C35*'Assumptions (Petroleum)'!C34*365/10^9</f>
        <v>0</v>
      </c>
      <c r="E2252" s="95">
        <f>E2247*'Assumptions (Petroleum)'!D35*'Assumptions (Petroleum)'!D34*365/10^9</f>
        <v>0</v>
      </c>
      <c r="F2252" s="95">
        <f>F2247*'Assumptions (Petroleum)'!E35*'Assumptions (Petroleum)'!E34*365/10^9</f>
        <v>0</v>
      </c>
      <c r="G2252" s="95">
        <f>G2247*'Assumptions (Petroleum)'!F35*'Assumptions (Petroleum)'!F34*365/10^9</f>
        <v>0</v>
      </c>
      <c r="H2252" s="95">
        <f>H2247*'Assumptions (Petroleum)'!G35*'Assumptions (Petroleum)'!G34*365/10^9</f>
        <v>0</v>
      </c>
      <c r="I2252" s="95">
        <f>I2247*'Assumptions (Petroleum)'!H35*'Assumptions (Petroleum)'!H34*365/10^9</f>
        <v>0</v>
      </c>
      <c r="J2252" s="95">
        <f>J2247*'Assumptions (Petroleum)'!I35*'Assumptions (Petroleum)'!I34*365/10^9</f>
        <v>0</v>
      </c>
      <c r="K2252" s="95">
        <f>K2247*'Assumptions (Petroleum)'!J35*'Assumptions (Petroleum)'!J34*365/10^9</f>
        <v>0</v>
      </c>
      <c r="L2252" s="95">
        <f>L2247*'Assumptions (Petroleum)'!K35*'Assumptions (Petroleum)'!K34*365/10^9</f>
        <v>0</v>
      </c>
      <c r="M2252" s="95">
        <f>M2247*'Assumptions (Petroleum)'!L35*'Assumptions (Petroleum)'!L34*365/10^9</f>
        <v>0</v>
      </c>
      <c r="N2252" s="95">
        <f>N2247*'Assumptions (Petroleum)'!M35*'Assumptions (Petroleum)'!M34*365/10^9</f>
        <v>0</v>
      </c>
      <c r="O2252" s="95">
        <f>O2247*'Assumptions (Petroleum)'!N35*'Assumptions (Petroleum)'!N34*365/10^9</f>
        <v>0</v>
      </c>
      <c r="P2252" s="95">
        <f>P2247*'Assumptions (Petroleum)'!O35*'Assumptions (Petroleum)'!O34*365/10^9</f>
        <v>0</v>
      </c>
      <c r="Q2252" s="95">
        <f>Q2247*'Assumptions (Petroleum)'!P35*'Assumptions (Petroleum)'!P34*365/10^9</f>
        <v>0</v>
      </c>
      <c r="R2252" s="95">
        <f>R2247*'Assumptions (Petroleum)'!Q35*'Assumptions (Petroleum)'!Q34*365/10^9</f>
        <v>0</v>
      </c>
      <c r="S2252" s="95">
        <f>S2247*'Assumptions (Petroleum)'!R35*'Assumptions (Petroleum)'!R34*365/10^9</f>
        <v>0</v>
      </c>
      <c r="T2252" s="95">
        <f>T2247*'Assumptions (Petroleum)'!S35*'Assumptions (Petroleum)'!S34*365/10^9</f>
        <v>0</v>
      </c>
      <c r="U2252" s="95">
        <f>U2247*'Assumptions (Petroleum)'!T35*'Assumptions (Petroleum)'!T34*365/10^9</f>
        <v>0</v>
      </c>
      <c r="V2252" s="95">
        <f>V2247*'Assumptions (Petroleum)'!U35*'Assumptions (Petroleum)'!U34*365/10^9</f>
        <v>0</v>
      </c>
      <c r="W2252" s="95">
        <f>W2247*'Assumptions (Petroleum)'!V35*'Assumptions (Petroleum)'!V34*365/10^9</f>
        <v>0</v>
      </c>
      <c r="X2252" s="95">
        <f>X2247*'Assumptions (Petroleum)'!W35*'Assumptions (Petroleum)'!W34*365/10^9</f>
        <v>0</v>
      </c>
      <c r="Y2252" s="95">
        <f>Y2247*'Assumptions (Petroleum)'!X35*'Assumptions (Petroleum)'!X34*365/10^9</f>
        <v>0</v>
      </c>
      <c r="Z2252" s="95">
        <f>Z2247*'Assumptions (Petroleum)'!Y35*'Assumptions (Petroleum)'!Y34*365/10^9</f>
        <v>0</v>
      </c>
      <c r="AA2252" s="95">
        <f>AA2247*'Assumptions (Petroleum)'!Z35*'Assumptions (Petroleum)'!Z34*365/10^9</f>
        <v>0</v>
      </c>
      <c r="AB2252" s="95">
        <f>AB2247*'Assumptions (Petroleum)'!AA35*'Assumptions (Petroleum)'!AA34*365/10^9</f>
        <v>0</v>
      </c>
      <c r="AC2252" s="95">
        <f>AC2247*'Assumptions (Petroleum)'!AB35*'Assumptions (Petroleum)'!AB34*365/10^9</f>
        <v>0</v>
      </c>
      <c r="AD2252" s="95">
        <f>AD2247*'Assumptions (Petroleum)'!AC35*'Assumptions (Petroleum)'!AC34*365/10^9</f>
        <v>0</v>
      </c>
      <c r="AE2252" s="95">
        <f>AE2247*'Assumptions (Petroleum)'!AD35*'Assumptions (Petroleum)'!AD34*365/10^9</f>
        <v>0</v>
      </c>
      <c r="AF2252" s="95">
        <f>AF2247*'Assumptions (Petroleum)'!AE35*'Assumptions (Petroleum)'!AE34*365/10^9</f>
        <v>0</v>
      </c>
      <c r="AG2252" s="95">
        <f>AG2247*'Assumptions (Petroleum)'!AF35*'Assumptions (Petroleum)'!AF34*365/10^9</f>
        <v>0</v>
      </c>
      <c r="AH2252" s="95">
        <f>AH2247*'Assumptions (Petroleum)'!AG35*'Assumptions (Petroleum)'!AG34*365/10^9</f>
        <v>0</v>
      </c>
      <c r="AI2252" s="95">
        <f>AI2247*'Assumptions (Petroleum)'!AH35*'Assumptions (Petroleum)'!AH34*365/10^9</f>
        <v>0</v>
      </c>
      <c r="AJ2252" s="95">
        <f>AJ2247*'Assumptions (Petroleum)'!AI35*'Assumptions (Petroleum)'!AI34*365/10^9</f>
        <v>0</v>
      </c>
      <c r="AK2252" s="95">
        <f>AK2247*'Assumptions (Petroleum)'!AJ35*'Assumptions (Petroleum)'!AJ34*365/10^9</f>
        <v>0</v>
      </c>
      <c r="AL2252" s="95">
        <f>AL2247*'Assumptions (Petroleum)'!AK35*'Assumptions (Petroleum)'!AK34*365/10^9</f>
        <v>0</v>
      </c>
      <c r="AM2252" s="95">
        <f>AM2247*'Assumptions (Petroleum)'!AL35*'Assumptions (Petroleum)'!AL34*365/10^9</f>
        <v>0</v>
      </c>
      <c r="AN2252" s="95">
        <f>AN2247*'Assumptions (Petroleum)'!AM35*'Assumptions (Petroleum)'!AM34*365/10^9</f>
        <v>0</v>
      </c>
      <c r="AO2252" s="95">
        <f>AO2247*'Assumptions (Petroleum)'!AN35*'Assumptions (Petroleum)'!AN34*365/10^9</f>
        <v>0</v>
      </c>
      <c r="AP2252" s="95">
        <f>AP2247*'Assumptions (Petroleum)'!AO35*'Assumptions (Petroleum)'!AO34*365/10^9</f>
        <v>0</v>
      </c>
      <c r="AQ2252" s="95">
        <f>AQ2247*'Assumptions (Petroleum)'!AP35*'Assumptions (Petroleum)'!AP34*365/10^9</f>
        <v>0</v>
      </c>
      <c r="AR2252" s="95">
        <f>AR2247*'Assumptions (Petroleum)'!AQ35*'Assumptions (Petroleum)'!AQ34*365/10^9</f>
        <v>0</v>
      </c>
      <c r="AS2252" s="95">
        <f>AS2247*'Assumptions (Petroleum)'!AR35*'Assumptions (Petroleum)'!AR34*365/10^9</f>
        <v>0</v>
      </c>
      <c r="AT2252" s="95">
        <f>AT2247*'Assumptions (Petroleum)'!AS35*'Assumptions (Petroleum)'!AS34*365/10^9</f>
        <v>0</v>
      </c>
      <c r="AU2252" s="95">
        <f>AU2247*'Assumptions (Petroleum)'!AT35*'Assumptions (Petroleum)'!AT34*365/10^9</f>
        <v>0</v>
      </c>
      <c r="AV2252" s="95">
        <f>AV2247*'Assumptions (Petroleum)'!AU35*'Assumptions (Petroleum)'!AU34*365/10^9</f>
        <v>0</v>
      </c>
      <c r="AW2252" s="95">
        <f>AW2247*'Assumptions (Petroleum)'!AV35*'Assumptions (Petroleum)'!AV34*365/10^9</f>
        <v>0</v>
      </c>
      <c r="AX2252" s="95">
        <f>AX2247*'Assumptions (Petroleum)'!AW35*'Assumptions (Petroleum)'!AW34*365/10^9</f>
        <v>0</v>
      </c>
      <c r="AY2252" s="95">
        <f>AY2247*'Assumptions (Petroleum)'!AX35*'Assumptions (Petroleum)'!AX34*365/10^9</f>
        <v>0</v>
      </c>
      <c r="AZ2252" s="95">
        <f>AZ2247*'Assumptions (Petroleum)'!AY35*'Assumptions (Petroleum)'!AY34*365/10^9</f>
        <v>0</v>
      </c>
      <c r="BA2252" s="95">
        <f>BA2247*'Assumptions (Petroleum)'!AZ35*'Assumptions (Petroleum)'!AZ34*365/10^9</f>
        <v>0</v>
      </c>
    </row>
    <row r="2253" ht="15.75" customHeight="1">
      <c r="A2253" s="328" t="s">
        <v>46</v>
      </c>
      <c r="B2253" s="159" t="s">
        <v>149</v>
      </c>
      <c r="C2253" s="329">
        <f t="array" ref="C2253:V2253">transpose('Assumptions (Petroleum)'!V110:V129)</f>
        <v>106</v>
      </c>
      <c r="D2253" s="319">
        <v>28.2</v>
      </c>
      <c r="E2253" s="319">
        <v>19.4</v>
      </c>
      <c r="F2253" s="319">
        <v>24.6</v>
      </c>
      <c r="G2253" s="319">
        <v>16.9</v>
      </c>
      <c r="H2253" s="319">
        <v>19.0</v>
      </c>
      <c r="I2253" s="319">
        <v>23.4</v>
      </c>
      <c r="J2253" s="319">
        <v>23.2</v>
      </c>
      <c r="K2253" s="319">
        <v>10.1</v>
      </c>
      <c r="L2253" s="319">
        <v>1.3</v>
      </c>
      <c r="M2253" s="319">
        <v>0.0</v>
      </c>
      <c r="N2253" s="319">
        <v>10.5</v>
      </c>
      <c r="O2253" s="319">
        <v>3.6</v>
      </c>
      <c r="P2253" s="319">
        <v>19.9</v>
      </c>
      <c r="Q2253" s="319">
        <v>1.2</v>
      </c>
      <c r="R2253" s="319">
        <v>0.7</v>
      </c>
      <c r="S2253" s="319">
        <v>0.0</v>
      </c>
      <c r="T2253" s="319">
        <v>0.0</v>
      </c>
      <c r="U2253" s="319">
        <v>0.0</v>
      </c>
      <c r="V2253" s="319">
        <v>0.0</v>
      </c>
      <c r="W2253" s="173">
        <v>0.0</v>
      </c>
      <c r="X2253" s="148">
        <f t="shared" ref="X2253:BA2253" si="81">if(X2247&gt;X2246,X2247-X2246,0)</f>
        <v>0</v>
      </c>
      <c r="Y2253" s="148">
        <f t="shared" si="81"/>
        <v>0</v>
      </c>
      <c r="Z2253" s="148">
        <f t="shared" si="81"/>
        <v>0</v>
      </c>
      <c r="AA2253" s="148">
        <f t="shared" si="81"/>
        <v>0</v>
      </c>
      <c r="AB2253" s="148">
        <f t="shared" si="81"/>
        <v>0</v>
      </c>
      <c r="AC2253" s="148">
        <f t="shared" si="81"/>
        <v>0</v>
      </c>
      <c r="AD2253" s="148">
        <f t="shared" si="81"/>
        <v>0</v>
      </c>
      <c r="AE2253" s="148">
        <f t="shared" si="81"/>
        <v>0</v>
      </c>
      <c r="AF2253" s="148">
        <f t="shared" si="81"/>
        <v>0</v>
      </c>
      <c r="AG2253" s="148">
        <f t="shared" si="81"/>
        <v>0</v>
      </c>
      <c r="AH2253" s="148">
        <f t="shared" si="81"/>
        <v>0</v>
      </c>
      <c r="AI2253" s="148">
        <f t="shared" si="81"/>
        <v>0</v>
      </c>
      <c r="AJ2253" s="148">
        <f t="shared" si="81"/>
        <v>0</v>
      </c>
      <c r="AK2253" s="148">
        <f t="shared" si="81"/>
        <v>0</v>
      </c>
      <c r="AL2253" s="148">
        <f t="shared" si="81"/>
        <v>0</v>
      </c>
      <c r="AM2253" s="148">
        <f t="shared" si="81"/>
        <v>0</v>
      </c>
      <c r="AN2253" s="148">
        <f t="shared" si="81"/>
        <v>0</v>
      </c>
      <c r="AO2253" s="148">
        <f t="shared" si="81"/>
        <v>0</v>
      </c>
      <c r="AP2253" s="148">
        <f t="shared" si="81"/>
        <v>0</v>
      </c>
      <c r="AQ2253" s="148">
        <f t="shared" si="81"/>
        <v>0</v>
      </c>
      <c r="AR2253" s="148">
        <f t="shared" si="81"/>
        <v>0</v>
      </c>
      <c r="AS2253" s="148">
        <f t="shared" si="81"/>
        <v>0</v>
      </c>
      <c r="AT2253" s="148">
        <f t="shared" si="81"/>
        <v>0</v>
      </c>
      <c r="AU2253" s="148">
        <f t="shared" si="81"/>
        <v>0</v>
      </c>
      <c r="AV2253" s="148">
        <f t="shared" si="81"/>
        <v>0</v>
      </c>
      <c r="AW2253" s="148">
        <f t="shared" si="81"/>
        <v>0</v>
      </c>
      <c r="AX2253" s="148">
        <f t="shared" si="81"/>
        <v>0</v>
      </c>
      <c r="AY2253" s="148">
        <f t="shared" si="81"/>
        <v>0</v>
      </c>
      <c r="AZ2253" s="148">
        <f t="shared" si="81"/>
        <v>0</v>
      </c>
      <c r="BA2253" s="148">
        <f t="shared" si="81"/>
        <v>0</v>
      </c>
    </row>
    <row r="2254" ht="15.75" customHeight="1">
      <c r="A2254" s="328" t="s">
        <v>48</v>
      </c>
      <c r="B2254" s="159" t="s">
        <v>150</v>
      </c>
      <c r="C2254" s="276"/>
      <c r="D2254" s="276"/>
      <c r="E2254" s="276"/>
      <c r="F2254" s="276"/>
      <c r="G2254" s="276"/>
      <c r="H2254" s="276"/>
      <c r="I2254" s="276"/>
      <c r="J2254" s="276"/>
      <c r="K2254" s="276"/>
      <c r="L2254" s="276"/>
      <c r="M2254" s="276"/>
      <c r="N2254" s="276"/>
      <c r="O2254" s="276"/>
      <c r="P2254" s="276"/>
      <c r="Q2254" s="276"/>
      <c r="R2254" s="276"/>
      <c r="S2254" s="276"/>
      <c r="T2254" s="276"/>
      <c r="U2254" s="276"/>
      <c r="V2254" s="174"/>
      <c r="W2254" s="175"/>
      <c r="X2254" s="175">
        <f>IF(W2253='Assumptions (Petroleum)'!$V$11,Model!X2248-Model!X2247*'Assumptions (Petroleum)'!V$15*0.00876,0)</f>
        <v>0</v>
      </c>
      <c r="Y2254" s="175">
        <f>IF(X2253='Assumptions (Petroleum)'!$V$11,Model!Y2248-Model!Y2247*'Assumptions (Petroleum)'!W$15*0.00876,0)</f>
        <v>0</v>
      </c>
      <c r="Z2254" s="175">
        <f>IF(Y2253='Assumptions (Petroleum)'!$V$11,Model!Z2248-Model!Z2247*'Assumptions (Petroleum)'!X$15*0.00876,0)</f>
        <v>0</v>
      </c>
      <c r="AA2254" s="175">
        <f>IF(Z2253='Assumptions (Petroleum)'!$V$11,Model!AA2248-Model!AA2247*'Assumptions (Petroleum)'!Y$15*0.00876,0)</f>
        <v>0</v>
      </c>
      <c r="AB2254" s="175">
        <f>IF(AA2253='Assumptions (Petroleum)'!$V$11,Model!AB2248-Model!AB2247*'Assumptions (Petroleum)'!Z$15*0.00876,0)</f>
        <v>0</v>
      </c>
      <c r="AC2254" s="175">
        <f>IF(AB2253='Assumptions (Petroleum)'!$V$11,Model!AC2248-Model!AC2247*'Assumptions (Petroleum)'!AA$15*0.00876,0)</f>
        <v>0</v>
      </c>
      <c r="AD2254" s="175">
        <f>IF(AC2253='Assumptions (Petroleum)'!$V$11,Model!AD2248-Model!AD2247*'Assumptions (Petroleum)'!AB$15*0.00876,0)</f>
        <v>0</v>
      </c>
      <c r="AE2254" s="175">
        <f>IF(AD2253='Assumptions (Petroleum)'!$V$11,Model!AE2248-Model!AE2247*'Assumptions (Petroleum)'!AC$15*0.00876,0)</f>
        <v>0</v>
      </c>
      <c r="AF2254" s="175">
        <f>IF(AE2253='Assumptions (Petroleum)'!$V$11,Model!AF2248-Model!AF2247*'Assumptions (Petroleum)'!AD$15*0.00876,0)</f>
        <v>0</v>
      </c>
      <c r="AG2254" s="175">
        <f>IF(AF2253='Assumptions (Petroleum)'!$V$11,Model!AG2248-Model!AG2247*'Assumptions (Petroleum)'!AE$15*0.00876,0)</f>
        <v>0</v>
      </c>
      <c r="AH2254" s="175">
        <f>IF(AG2253='Assumptions (Petroleum)'!$V$11,Model!AH2248-Model!AH2247*'Assumptions (Petroleum)'!AF$15*0.00876,0)</f>
        <v>0</v>
      </c>
      <c r="AI2254" s="175">
        <f>IF(AH2253='Assumptions (Petroleum)'!$V$11,Model!AI2248-Model!AI2247*'Assumptions (Petroleum)'!AG$15*0.00876,0)</f>
        <v>0</v>
      </c>
      <c r="AJ2254" s="175">
        <f>IF(AI2253='Assumptions (Petroleum)'!$V$11,Model!AJ2248-Model!AJ2247*'Assumptions (Petroleum)'!AH$15*0.00876,0)</f>
        <v>0</v>
      </c>
      <c r="AK2254" s="175">
        <f>IF(AJ2253='Assumptions (Petroleum)'!$V$11,Model!AK2248-Model!AK2247*'Assumptions (Petroleum)'!AI$15*0.00876,0)</f>
        <v>0</v>
      </c>
      <c r="AL2254" s="175">
        <f>IF(AK2253='Assumptions (Petroleum)'!$V$11,Model!AL2248-Model!AL2247*'Assumptions (Petroleum)'!AJ$15*0.00876,0)</f>
        <v>0</v>
      </c>
      <c r="AM2254" s="175">
        <f>IF(AL2253='Assumptions (Petroleum)'!$V$11,Model!AM2248-Model!AM2247*'Assumptions (Petroleum)'!AK$15*0.00876,0)</f>
        <v>0</v>
      </c>
      <c r="AN2254" s="175">
        <f>IF(AM2253='Assumptions (Petroleum)'!$V$11,Model!AN2248-Model!AN2247*'Assumptions (Petroleum)'!AL$15*0.00876,0)</f>
        <v>0</v>
      </c>
      <c r="AO2254" s="175">
        <f>IF(AN2253='Assumptions (Petroleum)'!$V$11,Model!AO2248-Model!AO2247*'Assumptions (Petroleum)'!AM$15*0.00876,0)</f>
        <v>0</v>
      </c>
      <c r="AP2254" s="175">
        <f>IF(AO2253='Assumptions (Petroleum)'!$V$11,Model!AP2248-Model!AP2247*'Assumptions (Petroleum)'!AN$15*0.00876,0)</f>
        <v>0</v>
      </c>
      <c r="AQ2254" s="175">
        <f>IF(AP2253='Assumptions (Petroleum)'!$V$11,Model!AQ2248-Model!AQ2247*'Assumptions (Petroleum)'!AO$15*0.00876,0)</f>
        <v>0</v>
      </c>
      <c r="AR2254" s="175">
        <f>IF(AQ2253='Assumptions (Petroleum)'!$V$11,Model!AR2248-Model!AR2247*'Assumptions (Petroleum)'!AP$15*0.00876,0)</f>
        <v>0</v>
      </c>
      <c r="AS2254" s="175">
        <f>IF(AR2253='Assumptions (Petroleum)'!$V$11,Model!AS2248-Model!AS2247*'Assumptions (Petroleum)'!AQ$15*0.00876,0)</f>
        <v>0</v>
      </c>
      <c r="AT2254" s="175">
        <f>IF(AS2253='Assumptions (Petroleum)'!$V$11,Model!AT2248-Model!AT2247*'Assumptions (Petroleum)'!AR$15*0.00876,0)</f>
        <v>0</v>
      </c>
      <c r="AU2254" s="175">
        <f>IF(AT2253='Assumptions (Petroleum)'!$V$11,Model!AU2248-Model!AU2247*'Assumptions (Petroleum)'!AS$15*0.00876,0)</f>
        <v>0</v>
      </c>
      <c r="AV2254" s="175">
        <f>IF(AU2253='Assumptions (Petroleum)'!$V$11,Model!AV2248-Model!AV2247*'Assumptions (Petroleum)'!AT$15*0.00876,0)</f>
        <v>0</v>
      </c>
      <c r="AW2254" s="175">
        <f>IF(AV2253='Assumptions (Petroleum)'!$V$11,Model!AW2248-Model!AW2247*'Assumptions (Petroleum)'!AU$15*0.00876,0)</f>
        <v>0</v>
      </c>
      <c r="AX2254" s="175">
        <f>IF(AW2253='Assumptions (Petroleum)'!$V$11,Model!AX2248-Model!AX2247*'Assumptions (Petroleum)'!AV$15*0.00876,0)</f>
        <v>0</v>
      </c>
      <c r="AY2254" s="175">
        <f>IF(AX2253='Assumptions (Petroleum)'!$V$11,Model!AY2248-Model!AY2247*'Assumptions (Petroleum)'!AW$15*0.00876,0)</f>
        <v>0</v>
      </c>
      <c r="AZ2254" s="175">
        <f>IF(AY2253='Assumptions (Petroleum)'!$V$11,Model!AZ2248-Model!AZ2247*'Assumptions (Petroleum)'!AX$15*0.00876,0)</f>
        <v>0</v>
      </c>
      <c r="BA2254" s="175">
        <f>IF(AZ2253='Assumptions (Petroleum)'!$V$11,Model!BA2248-Model!BA2247*'Assumptions (Petroleum)'!AY$15*0.00876,0)</f>
        <v>0</v>
      </c>
    </row>
    <row r="2255" ht="15.75" customHeight="1">
      <c r="A2255" s="325" t="s">
        <v>358</v>
      </c>
      <c r="B2255" s="150" t="s">
        <v>351</v>
      </c>
      <c r="C2255" s="177">
        <f t="shared" ref="C2255:BA2255" si="82">SUM(C2256:C2306)</f>
        <v>0.1028663644</v>
      </c>
      <c r="D2255" s="177">
        <f t="shared" si="82"/>
        <v>0.01371070873</v>
      </c>
      <c r="E2255" s="177">
        <f t="shared" si="82"/>
        <v>0.01389162736</v>
      </c>
      <c r="F2255" s="177">
        <f t="shared" si="82"/>
        <v>0.01388697269</v>
      </c>
      <c r="G2255" s="177">
        <f t="shared" si="82"/>
        <v>0.01566793876</v>
      </c>
      <c r="H2255" s="177">
        <f t="shared" si="82"/>
        <v>0.01381167094</v>
      </c>
      <c r="I2255" s="177">
        <f t="shared" si="82"/>
        <v>0.008595960294</v>
      </c>
      <c r="J2255" s="177">
        <f t="shared" si="82"/>
        <v>0.00288853937</v>
      </c>
      <c r="K2255" s="177">
        <f t="shared" si="82"/>
        <v>0.003049373242</v>
      </c>
      <c r="L2255" s="177">
        <f t="shared" si="82"/>
        <v>0.003716232084</v>
      </c>
      <c r="M2255" s="177">
        <f t="shared" si="82"/>
        <v>0.009139401798</v>
      </c>
      <c r="N2255" s="177">
        <f t="shared" si="82"/>
        <v>0.006771594521</v>
      </c>
      <c r="O2255" s="177">
        <f t="shared" si="82"/>
        <v>0.006095447895</v>
      </c>
      <c r="P2255" s="177">
        <f t="shared" si="82"/>
        <v>0.0005418235388</v>
      </c>
      <c r="Q2255" s="177">
        <f t="shared" si="82"/>
        <v>0.0002035904702</v>
      </c>
      <c r="R2255" s="177">
        <f t="shared" si="82"/>
        <v>0</v>
      </c>
      <c r="S2255" s="177">
        <f t="shared" si="82"/>
        <v>0</v>
      </c>
      <c r="T2255" s="177">
        <f t="shared" si="82"/>
        <v>0</v>
      </c>
      <c r="U2255" s="177">
        <f t="shared" si="82"/>
        <v>0</v>
      </c>
      <c r="V2255" s="177">
        <f t="shared" si="82"/>
        <v>0</v>
      </c>
      <c r="W2255" s="177">
        <f t="shared" si="82"/>
        <v>0</v>
      </c>
      <c r="X2255" s="177">
        <f t="shared" si="82"/>
        <v>0</v>
      </c>
      <c r="Y2255" s="177">
        <f t="shared" si="82"/>
        <v>0</v>
      </c>
      <c r="Z2255" s="177">
        <f t="shared" si="82"/>
        <v>0</v>
      </c>
      <c r="AA2255" s="177">
        <f t="shared" si="82"/>
        <v>0</v>
      </c>
      <c r="AB2255" s="177">
        <f t="shared" si="82"/>
        <v>0</v>
      </c>
      <c r="AC2255" s="177">
        <f t="shared" si="82"/>
        <v>0</v>
      </c>
      <c r="AD2255" s="177">
        <f t="shared" si="82"/>
        <v>0</v>
      </c>
      <c r="AE2255" s="177">
        <f t="shared" si="82"/>
        <v>0</v>
      </c>
      <c r="AF2255" s="177">
        <f t="shared" si="82"/>
        <v>0</v>
      </c>
      <c r="AG2255" s="177">
        <f t="shared" si="82"/>
        <v>0</v>
      </c>
      <c r="AH2255" s="177">
        <f t="shared" si="82"/>
        <v>0</v>
      </c>
      <c r="AI2255" s="177">
        <f t="shared" si="82"/>
        <v>0</v>
      </c>
      <c r="AJ2255" s="177">
        <f t="shared" si="82"/>
        <v>0</v>
      </c>
      <c r="AK2255" s="177">
        <f t="shared" si="82"/>
        <v>0</v>
      </c>
      <c r="AL2255" s="177">
        <f t="shared" si="82"/>
        <v>0</v>
      </c>
      <c r="AM2255" s="177">
        <f t="shared" si="82"/>
        <v>0</v>
      </c>
      <c r="AN2255" s="177">
        <f t="shared" si="82"/>
        <v>0</v>
      </c>
      <c r="AO2255" s="177">
        <f t="shared" si="82"/>
        <v>0</v>
      </c>
      <c r="AP2255" s="177">
        <f t="shared" si="82"/>
        <v>0</v>
      </c>
      <c r="AQ2255" s="177">
        <f t="shared" si="82"/>
        <v>0</v>
      </c>
      <c r="AR2255" s="177">
        <f t="shared" si="82"/>
        <v>0</v>
      </c>
      <c r="AS2255" s="177">
        <f t="shared" si="82"/>
        <v>0</v>
      </c>
      <c r="AT2255" s="177">
        <f t="shared" si="82"/>
        <v>0</v>
      </c>
      <c r="AU2255" s="177">
        <f t="shared" si="82"/>
        <v>0</v>
      </c>
      <c r="AV2255" s="177">
        <f t="shared" si="82"/>
        <v>0</v>
      </c>
      <c r="AW2255" s="177">
        <f t="shared" si="82"/>
        <v>0</v>
      </c>
      <c r="AX2255" s="177">
        <f t="shared" si="82"/>
        <v>0</v>
      </c>
      <c r="AY2255" s="177">
        <f t="shared" si="82"/>
        <v>0</v>
      </c>
      <c r="AZ2255" s="177">
        <f t="shared" si="82"/>
        <v>0</v>
      </c>
      <c r="BA2255" s="177">
        <f t="shared" si="82"/>
        <v>0</v>
      </c>
    </row>
    <row r="2256" ht="15.75" hidden="1" customHeight="1" outlineLevel="1">
      <c r="A2256" s="328"/>
      <c r="B2256" s="38"/>
      <c r="C2256" s="177">
        <f>IF($C$2253&gt;0,3*'Assumptions (Petroleum)'!$V$13*Model!$C$2253*'Assumptions (Petroleum)'!B$2/10^9,0)</f>
        <v>0.07019636029</v>
      </c>
      <c r="D2256" s="160"/>
      <c r="E2256" s="160"/>
      <c r="F2256" s="160"/>
      <c r="G2256" s="160"/>
      <c r="H2256" s="160"/>
      <c r="I2256" s="160"/>
      <c r="J2256" s="160"/>
      <c r="K2256" s="160"/>
      <c r="L2256" s="160"/>
      <c r="M2256" s="160"/>
      <c r="N2256" s="160"/>
      <c r="O2256" s="160"/>
      <c r="P2256" s="160"/>
      <c r="Q2256" s="160"/>
      <c r="R2256" s="160"/>
      <c r="S2256" s="160"/>
      <c r="T2256" s="160"/>
      <c r="U2256" s="160"/>
      <c r="V2256" s="174"/>
      <c r="W2256" s="177"/>
      <c r="X2256" s="95"/>
      <c r="Y2256" s="95"/>
      <c r="Z2256" s="95"/>
      <c r="AA2256" s="95"/>
      <c r="AB2256" s="95"/>
      <c r="AC2256" s="95"/>
      <c r="AD2256" s="95"/>
      <c r="AE2256" s="95"/>
      <c r="AF2256" s="95"/>
      <c r="AG2256" s="95"/>
      <c r="AH2256" s="95"/>
      <c r="AI2256" s="95"/>
      <c r="AJ2256" s="95"/>
      <c r="AK2256" s="95"/>
      <c r="AL2256" s="95"/>
      <c r="AM2256" s="95"/>
      <c r="AN2256" s="95"/>
      <c r="AO2256" s="95"/>
      <c r="AP2256" s="95"/>
      <c r="AQ2256" s="95"/>
      <c r="AR2256" s="95"/>
      <c r="AS2256" s="95"/>
      <c r="AT2256" s="95"/>
      <c r="AU2256" s="95"/>
      <c r="AV2256" s="95"/>
      <c r="AW2256" s="95"/>
      <c r="AX2256" s="95"/>
      <c r="AY2256" s="95"/>
      <c r="AZ2256" s="95"/>
      <c r="BA2256" s="95"/>
    </row>
    <row r="2257" ht="15.75" hidden="1" customHeight="1" outlineLevel="1">
      <c r="A2257" s="328"/>
      <c r="B2257" s="38"/>
      <c r="C2257" s="177">
        <f>IF($D$2253&gt;0,3*'Assumptions (Petroleum)'!$V$13*Model!$D$2253*'Assumptions (Petroleum)'!B$2/10^9,0)</f>
        <v>0.01867488076</v>
      </c>
      <c r="D2257" s="177"/>
      <c r="E2257" s="177"/>
      <c r="F2257" s="177"/>
      <c r="G2257" s="177"/>
      <c r="H2257" s="177"/>
      <c r="I2257" s="177"/>
      <c r="J2257" s="177"/>
      <c r="K2257" s="177"/>
      <c r="L2257" s="177"/>
      <c r="M2257" s="160"/>
      <c r="N2257" s="160"/>
      <c r="O2257" s="160"/>
      <c r="P2257" s="160"/>
      <c r="Q2257" s="160"/>
      <c r="R2257" s="160"/>
      <c r="S2257" s="160"/>
      <c r="T2257" s="160"/>
      <c r="U2257" s="160"/>
      <c r="V2257" s="174"/>
      <c r="W2257" s="177"/>
      <c r="X2257" s="95"/>
      <c r="Y2257" s="95"/>
      <c r="Z2257" s="95"/>
      <c r="AA2257" s="95"/>
      <c r="AB2257" s="95"/>
      <c r="AC2257" s="95"/>
      <c r="AD2257" s="95"/>
      <c r="AE2257" s="95"/>
      <c r="AF2257" s="95"/>
      <c r="AG2257" s="95"/>
      <c r="AH2257" s="95"/>
      <c r="AI2257" s="95"/>
      <c r="AJ2257" s="95"/>
      <c r="AK2257" s="95"/>
      <c r="AL2257" s="95"/>
      <c r="AM2257" s="95"/>
      <c r="AN2257" s="95"/>
      <c r="AO2257" s="95"/>
      <c r="AP2257" s="95"/>
      <c r="AQ2257" s="95"/>
      <c r="AR2257" s="95"/>
      <c r="AS2257" s="95"/>
      <c r="AT2257" s="95"/>
      <c r="AU2257" s="95"/>
      <c r="AV2257" s="95"/>
      <c r="AW2257" s="95"/>
      <c r="AX2257" s="95"/>
      <c r="AY2257" s="95"/>
      <c r="AZ2257" s="95"/>
      <c r="BA2257" s="95"/>
    </row>
    <row r="2258" ht="15.75" hidden="1" customHeight="1" outlineLevel="1">
      <c r="A2258" s="328"/>
      <c r="B2258" s="38"/>
      <c r="C2258" s="177">
        <f>IF($E$2253&gt;0,2*'Assumptions (Petroleum)'!$V$13*Model!$E$2253*'Assumptions (Petroleum)'!B$2/10^9,0)</f>
        <v>0.008564838928</v>
      </c>
      <c r="D2258" s="177">
        <f>IF($E$2253&gt;0,'Assumptions (Petroleum)'!$V$13*Model!$E$2253*'Assumptions (Petroleum)'!C$2/10^9,0)</f>
        <v>0.004367614933</v>
      </c>
      <c r="E2258" s="177"/>
      <c r="F2258" s="177"/>
      <c r="G2258" s="177"/>
      <c r="H2258" s="177"/>
      <c r="I2258" s="177"/>
      <c r="J2258" s="177"/>
      <c r="K2258" s="177"/>
      <c r="L2258" s="177"/>
      <c r="M2258" s="160"/>
      <c r="N2258" s="160"/>
      <c r="O2258" s="160"/>
      <c r="P2258" s="160"/>
      <c r="Q2258" s="160"/>
      <c r="R2258" s="160"/>
      <c r="S2258" s="160"/>
      <c r="T2258" s="160"/>
      <c r="U2258" s="160"/>
      <c r="V2258" s="174"/>
      <c r="W2258" s="177"/>
      <c r="X2258" s="95"/>
      <c r="Y2258" s="95"/>
      <c r="Z2258" s="95"/>
      <c r="AA2258" s="95"/>
      <c r="AB2258" s="95"/>
      <c r="AC2258" s="95"/>
      <c r="AD2258" s="95"/>
      <c r="AE2258" s="95"/>
      <c r="AF2258" s="95"/>
      <c r="AG2258" s="95"/>
      <c r="AH2258" s="95"/>
      <c r="AI2258" s="95"/>
      <c r="AJ2258" s="95"/>
      <c r="AK2258" s="95"/>
      <c r="AL2258" s="95"/>
      <c r="AM2258" s="95"/>
      <c r="AN2258" s="95"/>
      <c r="AO2258" s="95"/>
      <c r="AP2258" s="95"/>
      <c r="AQ2258" s="95"/>
      <c r="AR2258" s="95"/>
      <c r="AS2258" s="95"/>
      <c r="AT2258" s="95"/>
      <c r="AU2258" s="95"/>
      <c r="AV2258" s="95"/>
      <c r="AW2258" s="95"/>
      <c r="AX2258" s="95"/>
      <c r="AY2258" s="95"/>
      <c r="AZ2258" s="95"/>
      <c r="BA2258" s="95"/>
    </row>
    <row r="2259" ht="15.75" hidden="1" customHeight="1" outlineLevel="1">
      <c r="A2259" s="328"/>
      <c r="B2259" s="38"/>
      <c r="C2259" s="177">
        <f>IF($F$2253&gt;0,'Assumptions (Petroleum)'!$V$13*Model!$F$2253*'Assumptions (Petroleum)'!B$2/10^9,0)</f>
        <v>0.005430284475</v>
      </c>
      <c r="D2259" s="177">
        <f>IF($F$2253&gt;0,'Assumptions (Petroleum)'!$V$13*Model!$F$2253*'Assumptions (Petroleum)'!C$2/10^9,0)</f>
        <v>0.005538315843</v>
      </c>
      <c r="E2259" s="177">
        <f>IF($F$2253&gt;0,'Assumptions (Petroleum)'!$V$13*Model!$F$2253*'Assumptions (Petroleum)'!D$2/10^9,0)</f>
        <v>0.005648496413</v>
      </c>
      <c r="F2259" s="177"/>
      <c r="G2259" s="177"/>
      <c r="H2259" s="177"/>
      <c r="I2259" s="177"/>
      <c r="J2259" s="177"/>
      <c r="K2259" s="177"/>
      <c r="L2259" s="177"/>
      <c r="M2259" s="160"/>
      <c r="N2259" s="160"/>
      <c r="O2259" s="160"/>
      <c r="P2259" s="160"/>
      <c r="Q2259" s="160"/>
      <c r="R2259" s="160"/>
      <c r="S2259" s="160"/>
      <c r="T2259" s="160"/>
      <c r="U2259" s="160"/>
      <c r="V2259" s="174"/>
      <c r="W2259" s="177"/>
      <c r="X2259" s="95"/>
      <c r="Y2259" s="95"/>
      <c r="Z2259" s="95"/>
      <c r="AA2259" s="95"/>
      <c r="AB2259" s="95"/>
      <c r="AC2259" s="95"/>
      <c r="AD2259" s="95"/>
      <c r="AE2259" s="95"/>
      <c r="AF2259" s="95"/>
      <c r="AG2259" s="95"/>
      <c r="AH2259" s="95"/>
      <c r="AI2259" s="95"/>
      <c r="AJ2259" s="95"/>
      <c r="AK2259" s="95"/>
      <c r="AL2259" s="95"/>
      <c r="AM2259" s="95"/>
      <c r="AN2259" s="95"/>
      <c r="AO2259" s="95"/>
      <c r="AP2259" s="95"/>
      <c r="AQ2259" s="95"/>
      <c r="AR2259" s="95"/>
      <c r="AS2259" s="95"/>
      <c r="AT2259" s="95"/>
      <c r="AU2259" s="95"/>
      <c r="AV2259" s="95"/>
      <c r="AW2259" s="95"/>
      <c r="AX2259" s="95"/>
      <c r="AY2259" s="95"/>
      <c r="AZ2259" s="95"/>
      <c r="BA2259" s="95"/>
    </row>
    <row r="2260" ht="15.75" hidden="1" customHeight="1" outlineLevel="1">
      <c r="A2260" s="328"/>
      <c r="B2260" s="38"/>
      <c r="C2260" s="177"/>
      <c r="D2260" s="177">
        <f>IF($G$2253&gt;0,'Assumptions (Petroleum)'!$V$13*Model!$G$2253*'Assumptions (Petroleum)'!C$2/10^9,0)</f>
        <v>0.003804777957</v>
      </c>
      <c r="E2260" s="177">
        <f>IF($G$2253&gt;0,'Assumptions (Petroleum)'!$V$13*Model!$G$2253*'Assumptions (Petroleum)'!D$2/10^9,0)</f>
        <v>0.003880471113</v>
      </c>
      <c r="F2260" s="177">
        <f>IF($G$2253&gt;0,'Assumptions (Petroleum)'!$V$13*Model!$G$2253*'Assumptions (Petroleum)'!E$2/10^9,0)</f>
        <v>0.003957670127</v>
      </c>
      <c r="G2260" s="177"/>
      <c r="H2260" s="177"/>
      <c r="I2260" s="177"/>
      <c r="J2260" s="177"/>
      <c r="K2260" s="177"/>
      <c r="L2260" s="177"/>
      <c r="M2260" s="160"/>
      <c r="N2260" s="160"/>
      <c r="O2260" s="160"/>
      <c r="P2260" s="160"/>
      <c r="Q2260" s="160"/>
      <c r="R2260" s="160"/>
      <c r="S2260" s="160"/>
      <c r="T2260" s="160"/>
      <c r="U2260" s="160"/>
      <c r="V2260" s="174"/>
      <c r="W2260" s="177"/>
      <c r="X2260" s="95"/>
      <c r="Y2260" s="95"/>
      <c r="Z2260" s="95"/>
      <c r="AA2260" s="95"/>
      <c r="AB2260" s="95"/>
      <c r="AC2260" s="95"/>
      <c r="AD2260" s="95"/>
      <c r="AE2260" s="95"/>
      <c r="AF2260" s="95"/>
      <c r="AG2260" s="95"/>
      <c r="AH2260" s="95"/>
      <c r="AI2260" s="95"/>
      <c r="AJ2260" s="95"/>
      <c r="AK2260" s="95"/>
      <c r="AL2260" s="95"/>
      <c r="AM2260" s="95"/>
      <c r="AN2260" s="95"/>
      <c r="AO2260" s="95"/>
      <c r="AP2260" s="95"/>
      <c r="AQ2260" s="95"/>
      <c r="AR2260" s="95"/>
      <c r="AS2260" s="95"/>
      <c r="AT2260" s="95"/>
      <c r="AU2260" s="95"/>
      <c r="AV2260" s="95"/>
      <c r="AW2260" s="95"/>
      <c r="AX2260" s="95"/>
      <c r="AY2260" s="95"/>
      <c r="AZ2260" s="95"/>
      <c r="BA2260" s="95"/>
    </row>
    <row r="2261" ht="15.75" hidden="1" customHeight="1" outlineLevel="1">
      <c r="A2261" s="328"/>
      <c r="B2261" s="38"/>
      <c r="C2261" s="177"/>
      <c r="D2261" s="177"/>
      <c r="E2261" s="177">
        <f>IF($H$2253&gt;0,'Assumptions (Petroleum)'!$V$13*Model!$H$2253*'Assumptions (Petroleum)'!D$2/10^9,0)</f>
        <v>0.004362659832</v>
      </c>
      <c r="F2261" s="177">
        <f>IF($H$2253&gt;0,'Assumptions (Petroleum)'!$V$13*Model!$H$2253*'Assumptions (Petroleum)'!E$2/10^9,0)</f>
        <v>0.004449451622</v>
      </c>
      <c r="G2261" s="177">
        <f>IF($H$2253&gt;0,'Assumptions (Petroleum)'!$V$13*Model!$H$2253*'Assumptions (Petroleum)'!F$2/10^9,0)</f>
        <v>0.004537970069</v>
      </c>
      <c r="H2261" s="177"/>
      <c r="I2261" s="177"/>
      <c r="J2261" s="177"/>
      <c r="K2261" s="177"/>
      <c r="L2261" s="177"/>
      <c r="M2261" s="160"/>
      <c r="N2261" s="160"/>
      <c r="O2261" s="160"/>
      <c r="P2261" s="160"/>
      <c r="Q2261" s="160"/>
      <c r="R2261" s="160"/>
      <c r="S2261" s="160"/>
      <c r="T2261" s="160"/>
      <c r="U2261" s="160"/>
      <c r="V2261" s="174"/>
      <c r="W2261" s="177"/>
      <c r="X2261" s="95"/>
      <c r="Y2261" s="95"/>
      <c r="Z2261" s="95"/>
      <c r="AA2261" s="95"/>
      <c r="AB2261" s="95"/>
      <c r="AC2261" s="95"/>
      <c r="AD2261" s="95"/>
      <c r="AE2261" s="95"/>
      <c r="AF2261" s="95"/>
      <c r="AG2261" s="95"/>
      <c r="AH2261" s="95"/>
      <c r="AI2261" s="95"/>
      <c r="AJ2261" s="95"/>
      <c r="AK2261" s="95"/>
      <c r="AL2261" s="95"/>
      <c r="AM2261" s="95"/>
      <c r="AN2261" s="95"/>
      <c r="AO2261" s="95"/>
      <c r="AP2261" s="95"/>
      <c r="AQ2261" s="95"/>
      <c r="AR2261" s="95"/>
      <c r="AS2261" s="95"/>
      <c r="AT2261" s="95"/>
      <c r="AU2261" s="95"/>
      <c r="AV2261" s="95"/>
      <c r="AW2261" s="95"/>
      <c r="AX2261" s="95"/>
      <c r="AY2261" s="95"/>
      <c r="AZ2261" s="95"/>
      <c r="BA2261" s="95"/>
    </row>
    <row r="2262" ht="15.75" hidden="1" customHeight="1" outlineLevel="1">
      <c r="A2262" s="328"/>
      <c r="B2262" s="38"/>
      <c r="C2262" s="177"/>
      <c r="D2262" s="177"/>
      <c r="E2262" s="177"/>
      <c r="F2262" s="177">
        <f>IF($I$2253&gt;0,'Assumptions (Petroleum)'!$V$13*Model!$I$2253*'Assumptions (Petroleum)'!E$2/10^9,0)</f>
        <v>0.005479850945</v>
      </c>
      <c r="G2262" s="177">
        <f>IF($I$2253&gt;0,'Assumptions (Petroleum)'!$V$13*Model!$I$2253*'Assumptions (Petroleum)'!F$2/10^9,0)</f>
        <v>0.0055888684</v>
      </c>
      <c r="H2262" s="177">
        <f>IF($I$2253&gt;0,'Assumptions (Petroleum)'!$V$13*Model!$I$2253*'Assumptions (Petroleum)'!G$2/10^9,0)</f>
        <v>0.005700054675</v>
      </c>
      <c r="I2262" s="177"/>
      <c r="J2262" s="177"/>
      <c r="K2262" s="177"/>
      <c r="L2262" s="177"/>
      <c r="M2262" s="160"/>
      <c r="N2262" s="160"/>
      <c r="O2262" s="160"/>
      <c r="P2262" s="160"/>
      <c r="Q2262" s="160"/>
      <c r="R2262" s="160"/>
      <c r="S2262" s="160"/>
      <c r="T2262" s="160"/>
      <c r="U2262" s="160"/>
      <c r="V2262" s="174"/>
      <c r="W2262" s="177"/>
      <c r="X2262" s="95"/>
      <c r="Y2262" s="95"/>
      <c r="Z2262" s="95"/>
      <c r="AA2262" s="95"/>
      <c r="AB2262" s="95"/>
      <c r="AC2262" s="95"/>
      <c r="AD2262" s="95"/>
      <c r="AE2262" s="95"/>
      <c r="AF2262" s="95"/>
      <c r="AG2262" s="95"/>
      <c r="AH2262" s="95"/>
      <c r="AI2262" s="95"/>
      <c r="AJ2262" s="95"/>
      <c r="AK2262" s="95"/>
      <c r="AL2262" s="95"/>
      <c r="AM2262" s="95"/>
      <c r="AN2262" s="95"/>
      <c r="AO2262" s="95"/>
      <c r="AP2262" s="95"/>
      <c r="AQ2262" s="95"/>
      <c r="AR2262" s="95"/>
      <c r="AS2262" s="95"/>
      <c r="AT2262" s="95"/>
      <c r="AU2262" s="95"/>
      <c r="AV2262" s="95"/>
      <c r="AW2262" s="95"/>
      <c r="AX2262" s="95"/>
      <c r="AY2262" s="95"/>
      <c r="AZ2262" s="95"/>
      <c r="BA2262" s="95"/>
    </row>
    <row r="2263" ht="15.75" hidden="1" customHeight="1" outlineLevel="1">
      <c r="A2263" s="328"/>
      <c r="B2263" s="38"/>
      <c r="C2263" s="177"/>
      <c r="D2263" s="177"/>
      <c r="E2263" s="177"/>
      <c r="F2263" s="177"/>
      <c r="G2263" s="177">
        <f>IF($J$2253&gt;0,'Assumptions (Petroleum)'!$V$13*Model!$J$2253*'Assumptions (Petroleum)'!F$2/10^9,0)</f>
        <v>0.005541100294</v>
      </c>
      <c r="H2263" s="177">
        <f>IF($J$2253&gt;0,'Assumptions (Petroleum)'!$V$13*Model!$J$2253*'Assumptions (Petroleum)'!G$2/10^9,0)</f>
        <v>0.005651336259</v>
      </c>
      <c r="I2263" s="177">
        <f>IF($J$2253&gt;0,'Assumptions (Petroleum)'!$V$13*Model!$J$2253*'Assumptions (Petroleum)'!H$2/10^9,0)</f>
        <v>0.005763765284</v>
      </c>
      <c r="J2263" s="177"/>
      <c r="K2263" s="177"/>
      <c r="L2263" s="177"/>
      <c r="M2263" s="160"/>
      <c r="N2263" s="160"/>
      <c r="O2263" s="160"/>
      <c r="P2263" s="160"/>
      <c r="Q2263" s="160"/>
      <c r="R2263" s="160"/>
      <c r="S2263" s="160"/>
      <c r="T2263" s="160"/>
      <c r="U2263" s="160"/>
      <c r="V2263" s="174"/>
      <c r="W2263" s="177"/>
      <c r="X2263" s="95"/>
      <c r="Y2263" s="95"/>
      <c r="Z2263" s="95"/>
      <c r="AA2263" s="95"/>
      <c r="AB2263" s="95"/>
      <c r="AC2263" s="95"/>
      <c r="AD2263" s="95"/>
      <c r="AE2263" s="95"/>
      <c r="AF2263" s="95"/>
      <c r="AG2263" s="95"/>
      <c r="AH2263" s="95"/>
      <c r="AI2263" s="95"/>
      <c r="AJ2263" s="95"/>
      <c r="AK2263" s="95"/>
      <c r="AL2263" s="95"/>
      <c r="AM2263" s="95"/>
      <c r="AN2263" s="95"/>
      <c r="AO2263" s="95"/>
      <c r="AP2263" s="95"/>
      <c r="AQ2263" s="95"/>
      <c r="AR2263" s="95"/>
      <c r="AS2263" s="95"/>
      <c r="AT2263" s="95"/>
      <c r="AU2263" s="95"/>
      <c r="AV2263" s="95"/>
      <c r="AW2263" s="95"/>
      <c r="AX2263" s="95"/>
      <c r="AY2263" s="95"/>
      <c r="AZ2263" s="95"/>
      <c r="BA2263" s="95"/>
    </row>
    <row r="2264" ht="15.75" hidden="1" customHeight="1" outlineLevel="1">
      <c r="A2264" s="328"/>
      <c r="B2264" s="38"/>
      <c r="C2264" s="177"/>
      <c r="D2264" s="177"/>
      <c r="E2264" s="177"/>
      <c r="F2264" s="177"/>
      <c r="G2264" s="177"/>
      <c r="H2264" s="177">
        <f>IF($K$2253&gt;0,'Assumptions (Petroleum)'!$V$13*Model!$K$2253*'Assumptions (Petroleum)'!G$2/10^9,0)</f>
        <v>0.002460280009</v>
      </c>
      <c r="I2264" s="177">
        <f>IF($K$2253&gt;0,'Assumptions (Petroleum)'!$V$13*Model!$K$2253*'Assumptions (Petroleum)'!H$2/10^9,0)</f>
        <v>0.002509225404</v>
      </c>
      <c r="J2264" s="177">
        <f>IF($K$2253&gt;0,'Assumptions (Petroleum)'!$V$13*Model!$K$2253*'Assumptions (Petroleum)'!I$2/10^9,0)</f>
        <v>0.00255914453</v>
      </c>
      <c r="K2264" s="177"/>
      <c r="L2264" s="177"/>
      <c r="M2264" s="160"/>
      <c r="N2264" s="160"/>
      <c r="O2264" s="160"/>
      <c r="P2264" s="160"/>
      <c r="Q2264" s="160"/>
      <c r="R2264" s="160"/>
      <c r="S2264" s="160"/>
      <c r="T2264" s="160"/>
      <c r="U2264" s="160"/>
      <c r="V2264" s="174"/>
      <c r="W2264" s="177"/>
      <c r="X2264" s="95"/>
      <c r="Y2264" s="95"/>
      <c r="Z2264" s="95"/>
      <c r="AA2264" s="95"/>
      <c r="AB2264" s="95"/>
      <c r="AC2264" s="95"/>
      <c r="AD2264" s="95"/>
      <c r="AE2264" s="95"/>
      <c r="AF2264" s="95"/>
      <c r="AG2264" s="95"/>
      <c r="AH2264" s="95"/>
      <c r="AI2264" s="95"/>
      <c r="AJ2264" s="95"/>
      <c r="AK2264" s="95"/>
      <c r="AL2264" s="95"/>
      <c r="AM2264" s="95"/>
      <c r="AN2264" s="95"/>
      <c r="AO2264" s="95"/>
      <c r="AP2264" s="95"/>
      <c r="AQ2264" s="95"/>
      <c r="AR2264" s="95"/>
      <c r="AS2264" s="95"/>
      <c r="AT2264" s="95"/>
      <c r="AU2264" s="95"/>
      <c r="AV2264" s="95"/>
      <c r="AW2264" s="95"/>
      <c r="AX2264" s="95"/>
      <c r="AY2264" s="95"/>
      <c r="AZ2264" s="95"/>
      <c r="BA2264" s="95"/>
    </row>
    <row r="2265" ht="15.75" hidden="1" customHeight="1" outlineLevel="1">
      <c r="A2265" s="328"/>
      <c r="B2265" s="38"/>
      <c r="C2265" s="177"/>
      <c r="D2265" s="177"/>
      <c r="E2265" s="177"/>
      <c r="F2265" s="177"/>
      <c r="G2265" s="177"/>
      <c r="H2265" s="177"/>
      <c r="I2265" s="177">
        <f>IF($L$2253&gt;0,'Assumptions (Petroleum)'!$V$13*Model!$L$2253*'Assumptions (Petroleum)'!H$2/10^9,0)</f>
        <v>0.0003229696064</v>
      </c>
      <c r="J2265" s="177">
        <f>IF($L$2253&gt;0,'Assumptions (Petroleum)'!$V$13*Model!$L$2253*'Assumptions (Petroleum)'!I$2/10^9,0)</f>
        <v>0.0003293948404</v>
      </c>
      <c r="K2265" s="177">
        <f>IF($L$2253&gt;0,'Assumptions (Petroleum)'!$V$13*Model!$L$2253*'Assumptions (Petroleum)'!J$2/10^9,0)</f>
        <v>0.0003359478996</v>
      </c>
      <c r="L2265" s="177"/>
      <c r="M2265" s="160"/>
      <c r="N2265" s="160"/>
      <c r="O2265" s="160"/>
      <c r="P2265" s="160"/>
      <c r="Q2265" s="160"/>
      <c r="R2265" s="160"/>
      <c r="S2265" s="160"/>
      <c r="T2265" s="160"/>
      <c r="U2265" s="160"/>
      <c r="V2265" s="174"/>
      <c r="W2265" s="177"/>
      <c r="X2265" s="95"/>
      <c r="Y2265" s="95"/>
      <c r="Z2265" s="95"/>
      <c r="AA2265" s="95"/>
      <c r="AB2265" s="95"/>
      <c r="AC2265" s="95"/>
      <c r="AD2265" s="95"/>
      <c r="AE2265" s="95"/>
      <c r="AF2265" s="95"/>
      <c r="AG2265" s="95"/>
      <c r="AH2265" s="95"/>
      <c r="AI2265" s="95"/>
      <c r="AJ2265" s="95"/>
      <c r="AK2265" s="95"/>
      <c r="AL2265" s="95"/>
      <c r="AM2265" s="95"/>
      <c r="AN2265" s="95"/>
      <c r="AO2265" s="95"/>
      <c r="AP2265" s="95"/>
      <c r="AQ2265" s="95"/>
      <c r="AR2265" s="95"/>
      <c r="AS2265" s="95"/>
      <c r="AT2265" s="95"/>
      <c r="AU2265" s="95"/>
      <c r="AV2265" s="95"/>
      <c r="AW2265" s="95"/>
      <c r="AX2265" s="95"/>
      <c r="AY2265" s="95"/>
      <c r="AZ2265" s="95"/>
      <c r="BA2265" s="95"/>
    </row>
    <row r="2266" ht="15.75" hidden="1" customHeight="1" outlineLevel="1">
      <c r="A2266" s="328"/>
      <c r="B2266" s="38"/>
      <c r="C2266" s="177"/>
      <c r="D2266" s="177"/>
      <c r="E2266" s="177"/>
      <c r="F2266" s="177"/>
      <c r="G2266" s="177"/>
      <c r="H2266" s="177"/>
      <c r="I2266" s="177"/>
      <c r="J2266" s="177">
        <f>IF($M$2253&gt;0,'Assumptions (Petroleum)'!$V$13*Model!$M$2253*'Assumptions (Petroleum)'!I$2/10^9,0)</f>
        <v>0</v>
      </c>
      <c r="K2266" s="177">
        <f>IF($M$2253&gt;0,'Assumptions (Petroleum)'!$V$13*Model!$M$2253*'Assumptions (Petroleum)'!J$2/10^9,0)</f>
        <v>0</v>
      </c>
      <c r="L2266" s="177">
        <f>IF($M$2253&gt;0,'Assumptions (Petroleum)'!$V$13*Model!$M$2253*'Assumptions (Petroleum)'!K$2/10^9,0)</f>
        <v>0</v>
      </c>
      <c r="M2266" s="160"/>
      <c r="N2266" s="160"/>
      <c r="O2266" s="160"/>
      <c r="P2266" s="160"/>
      <c r="Q2266" s="160"/>
      <c r="R2266" s="160"/>
      <c r="S2266" s="160"/>
      <c r="T2266" s="160"/>
      <c r="U2266" s="160"/>
      <c r="V2266" s="174"/>
      <c r="W2266" s="177"/>
      <c r="X2266" s="95"/>
      <c r="Y2266" s="95"/>
      <c r="Z2266" s="95"/>
      <c r="AA2266" s="95"/>
      <c r="AB2266" s="95"/>
      <c r="AC2266" s="95"/>
      <c r="AD2266" s="95"/>
      <c r="AE2266" s="95"/>
      <c r="AF2266" s="95"/>
      <c r="AG2266" s="95"/>
      <c r="AH2266" s="95"/>
      <c r="AI2266" s="95"/>
      <c r="AJ2266" s="95"/>
      <c r="AK2266" s="95"/>
      <c r="AL2266" s="95"/>
      <c r="AM2266" s="95"/>
      <c r="AN2266" s="95"/>
      <c r="AO2266" s="95"/>
      <c r="AP2266" s="95"/>
      <c r="AQ2266" s="95"/>
      <c r="AR2266" s="95"/>
      <c r="AS2266" s="95"/>
      <c r="AT2266" s="95"/>
      <c r="AU2266" s="95"/>
      <c r="AV2266" s="95"/>
      <c r="AW2266" s="95"/>
      <c r="AX2266" s="95"/>
      <c r="AY2266" s="95"/>
      <c r="AZ2266" s="95"/>
      <c r="BA2266" s="95"/>
    </row>
    <row r="2267" ht="15.75" hidden="1" customHeight="1" outlineLevel="1">
      <c r="A2267" s="328"/>
      <c r="B2267" s="38"/>
      <c r="C2267" s="160"/>
      <c r="D2267" s="160"/>
      <c r="E2267" s="160"/>
      <c r="F2267" s="160"/>
      <c r="G2267" s="160"/>
      <c r="H2267" s="160"/>
      <c r="I2267" s="160"/>
      <c r="J2267" s="160"/>
      <c r="K2267" s="160">
        <f>IF($N$2253&gt;0,'Assumptions (Petroleum)'!$V$13*Model!$N$2253*'Assumptions (Petroleum)'!J$2/10^9,0)</f>
        <v>0.002713425343</v>
      </c>
      <c r="L2267" s="160">
        <f>IF($N$2253&gt;0,'Assumptions (Petroleum)'!$V$13*Model!$N$2253*'Assumptions (Petroleum)'!K$2/10^9,0)</f>
        <v>0.002767406871</v>
      </c>
      <c r="M2267" s="160">
        <f>IF($N$2253&gt;0,'Assumptions (Petroleum)'!$V$13*Model!$N$2253*'Assumptions (Petroleum)'!L$2/10^9,0)</f>
        <v>0.00282246232</v>
      </c>
      <c r="N2267" s="160"/>
      <c r="O2267" s="160"/>
      <c r="P2267" s="160"/>
      <c r="Q2267" s="160"/>
      <c r="R2267" s="160"/>
      <c r="S2267" s="160"/>
      <c r="T2267" s="160"/>
      <c r="U2267" s="160"/>
      <c r="V2267" s="174"/>
      <c r="W2267" s="177"/>
      <c r="X2267" s="95"/>
      <c r="Y2267" s="95"/>
      <c r="Z2267" s="95"/>
      <c r="AA2267" s="95"/>
      <c r="AB2267" s="95"/>
      <c r="AC2267" s="95"/>
      <c r="AD2267" s="95"/>
      <c r="AE2267" s="95"/>
      <c r="AF2267" s="95"/>
      <c r="AG2267" s="95"/>
      <c r="AH2267" s="95"/>
      <c r="AI2267" s="95"/>
      <c r="AJ2267" s="95"/>
      <c r="AK2267" s="95"/>
      <c r="AL2267" s="95"/>
      <c r="AM2267" s="95"/>
      <c r="AN2267" s="95"/>
      <c r="AO2267" s="95"/>
      <c r="AP2267" s="95"/>
      <c r="AQ2267" s="95"/>
      <c r="AR2267" s="95"/>
      <c r="AS2267" s="95"/>
      <c r="AT2267" s="95"/>
      <c r="AU2267" s="95"/>
      <c r="AV2267" s="95"/>
      <c r="AW2267" s="95"/>
      <c r="AX2267" s="95"/>
      <c r="AY2267" s="95"/>
      <c r="AZ2267" s="95"/>
      <c r="BA2267" s="95"/>
    </row>
    <row r="2268" ht="15.75" hidden="1" customHeight="1" outlineLevel="1">
      <c r="A2268" s="328"/>
      <c r="B2268" s="38"/>
      <c r="C2268" s="160"/>
      <c r="D2268" s="160"/>
      <c r="E2268" s="160"/>
      <c r="F2268" s="160"/>
      <c r="G2268" s="160"/>
      <c r="H2268" s="160"/>
      <c r="I2268" s="160"/>
      <c r="J2268" s="160"/>
      <c r="K2268" s="160"/>
      <c r="L2268" s="160">
        <f>IF($O$2253&gt;0,'Assumptions (Petroleum)'!$V$13*Model!$O$2253*'Assumptions (Petroleum)'!K$2/10^9,0)</f>
        <v>0.0009488252128</v>
      </c>
      <c r="M2268" s="160">
        <f>IF($O$2253&gt;0,'Assumptions (Petroleum)'!$V$13*Model!$O$2253*'Assumptions (Petroleum)'!L$2/10^9,0)</f>
        <v>0.0009677013669</v>
      </c>
      <c r="N2268" s="160">
        <f>IF($O$2253&gt;0,'Assumptions (Petroleum)'!$V$13*Model!$O$2253*'Assumptions (Petroleum)'!M$2/10^9,0)</f>
        <v>0.0009869530476</v>
      </c>
      <c r="O2268" s="160"/>
      <c r="P2268" s="160"/>
      <c r="Q2268" s="160"/>
      <c r="R2268" s="160"/>
      <c r="S2268" s="160"/>
      <c r="T2268" s="160"/>
      <c r="U2268" s="160"/>
      <c r="V2268" s="174"/>
      <c r="W2268" s="177"/>
      <c r="X2268" s="95"/>
      <c r="Y2268" s="95"/>
      <c r="Z2268" s="95"/>
      <c r="AA2268" s="95"/>
      <c r="AB2268" s="95"/>
      <c r="AC2268" s="95"/>
      <c r="AD2268" s="95"/>
      <c r="AE2268" s="95"/>
      <c r="AF2268" s="95"/>
      <c r="AG2268" s="95"/>
      <c r="AH2268" s="95"/>
      <c r="AI2268" s="95"/>
      <c r="AJ2268" s="95"/>
      <c r="AK2268" s="95"/>
      <c r="AL2268" s="95"/>
      <c r="AM2268" s="95"/>
      <c r="AN2268" s="95"/>
      <c r="AO2268" s="95"/>
      <c r="AP2268" s="95"/>
      <c r="AQ2268" s="95"/>
      <c r="AR2268" s="95"/>
      <c r="AS2268" s="95"/>
      <c r="AT2268" s="95"/>
      <c r="AU2268" s="95"/>
      <c r="AV2268" s="95"/>
      <c r="AW2268" s="95"/>
      <c r="AX2268" s="95"/>
      <c r="AY2268" s="95"/>
      <c r="AZ2268" s="95"/>
      <c r="BA2268" s="95"/>
    </row>
    <row r="2269" ht="15.75" hidden="1" customHeight="1" outlineLevel="1">
      <c r="A2269" s="328"/>
      <c r="B2269" s="38"/>
      <c r="C2269" s="160"/>
      <c r="D2269" s="160"/>
      <c r="E2269" s="160"/>
      <c r="F2269" s="160"/>
      <c r="G2269" s="160"/>
      <c r="H2269" s="160"/>
      <c r="I2269" s="160"/>
      <c r="J2269" s="177"/>
      <c r="K2269" s="177"/>
      <c r="L2269" s="177"/>
      <c r="M2269" s="177">
        <f>IF($P$2253&gt;0,'Assumptions (Petroleum)'!$V$13*Model!$P$2253*'Assumptions (Petroleum)'!L$2/10^9,0)</f>
        <v>0.005349238111</v>
      </c>
      <c r="N2269" s="177">
        <f>IF($P$2253&gt;0,'Assumptions (Petroleum)'!$V$13*Model!$P$2253*'Assumptions (Petroleum)'!M$2/10^9,0)</f>
        <v>0.005455657124</v>
      </c>
      <c r="O2269" s="177">
        <f>IF($P$2253&gt;0,'Assumptions (Petroleum)'!$V$13*Model!$P$2253*'Assumptions (Petroleum)'!N$2/10^9,0)</f>
        <v>0.005564193262</v>
      </c>
      <c r="P2269" s="177"/>
      <c r="Q2269" s="160"/>
      <c r="R2269" s="177"/>
      <c r="S2269" s="177"/>
      <c r="T2269" s="177"/>
      <c r="U2269" s="177"/>
      <c r="V2269" s="174"/>
      <c r="W2269" s="177"/>
      <c r="X2269" s="95"/>
      <c r="Y2269" s="95"/>
      <c r="Z2269" s="95"/>
      <c r="AA2269" s="95"/>
      <c r="AB2269" s="95"/>
      <c r="AC2269" s="95"/>
      <c r="AD2269" s="95"/>
      <c r="AE2269" s="95"/>
      <c r="AF2269" s="95"/>
      <c r="AG2269" s="95"/>
      <c r="AH2269" s="95"/>
      <c r="AI2269" s="95"/>
      <c r="AJ2269" s="95"/>
      <c r="AK2269" s="95"/>
      <c r="AL2269" s="95"/>
      <c r="AM2269" s="95"/>
      <c r="AN2269" s="95"/>
      <c r="AO2269" s="95"/>
      <c r="AP2269" s="95"/>
      <c r="AQ2269" s="95"/>
      <c r="AR2269" s="95"/>
      <c r="AS2269" s="95"/>
      <c r="AT2269" s="95"/>
      <c r="AU2269" s="95"/>
      <c r="AV2269" s="95"/>
      <c r="AW2269" s="95"/>
      <c r="AX2269" s="95"/>
      <c r="AY2269" s="95"/>
      <c r="AZ2269" s="95"/>
      <c r="BA2269" s="95"/>
    </row>
    <row r="2270" ht="15.75" hidden="1" customHeight="1" outlineLevel="1">
      <c r="A2270" s="328"/>
      <c r="B2270" s="38"/>
      <c r="C2270" s="160"/>
      <c r="D2270" s="160"/>
      <c r="E2270" s="160"/>
      <c r="F2270" s="160"/>
      <c r="G2270" s="160"/>
      <c r="H2270" s="160"/>
      <c r="I2270" s="160"/>
      <c r="J2270" s="160"/>
      <c r="K2270" s="177"/>
      <c r="L2270" s="177"/>
      <c r="M2270" s="177"/>
      <c r="N2270" s="177">
        <f>IF($Q$2253&gt;0,'Assumptions (Petroleum)'!$V$13*Model!$Q$2253*'Assumptions (Petroleum)'!M$2/10^9,0)</f>
        <v>0.0003289843492</v>
      </c>
      <c r="O2270" s="177">
        <f>IF($Q$2253&gt;0,'Assumptions (Petroleum)'!$V$13*Model!$Q$2253*'Assumptions (Petroleum)'!N$2/10^9,0)</f>
        <v>0.0003355292419</v>
      </c>
      <c r="P2270" s="177">
        <f>IF($Q$2253&gt;0,'Assumptions (Petroleum)'!$V$13*Model!$Q$2253*'Assumptions (Petroleum)'!O$2/10^9,0)</f>
        <v>0.0003422043403</v>
      </c>
      <c r="Q2270" s="160"/>
      <c r="R2270" s="177"/>
      <c r="S2270" s="177"/>
      <c r="T2270" s="177"/>
      <c r="U2270" s="177"/>
      <c r="V2270" s="174"/>
      <c r="W2270" s="177"/>
      <c r="X2270" s="95"/>
      <c r="Y2270" s="95"/>
      <c r="Z2270" s="95"/>
      <c r="AA2270" s="95"/>
      <c r="AB2270" s="95"/>
      <c r="AC2270" s="95"/>
      <c r="AD2270" s="95"/>
      <c r="AE2270" s="95"/>
      <c r="AF2270" s="95"/>
      <c r="AG2270" s="95"/>
      <c r="AH2270" s="95"/>
      <c r="AI2270" s="95"/>
      <c r="AJ2270" s="95"/>
      <c r="AK2270" s="95"/>
      <c r="AL2270" s="95"/>
      <c r="AM2270" s="95"/>
      <c r="AN2270" s="95"/>
      <c r="AO2270" s="95"/>
      <c r="AP2270" s="95"/>
      <c r="AQ2270" s="95"/>
      <c r="AR2270" s="95"/>
      <c r="AS2270" s="95"/>
      <c r="AT2270" s="95"/>
      <c r="AU2270" s="95"/>
      <c r="AV2270" s="95"/>
      <c r="AW2270" s="95"/>
      <c r="AX2270" s="95"/>
      <c r="AY2270" s="95"/>
      <c r="AZ2270" s="95"/>
      <c r="BA2270" s="95"/>
    </row>
    <row r="2271" ht="15.75" hidden="1" customHeight="1" outlineLevel="1">
      <c r="A2271" s="328"/>
      <c r="B2271" s="38"/>
      <c r="C2271" s="160"/>
      <c r="D2271" s="160"/>
      <c r="E2271" s="160"/>
      <c r="F2271" s="160"/>
      <c r="G2271" s="160"/>
      <c r="H2271" s="160"/>
      <c r="I2271" s="160"/>
      <c r="J2271" s="160"/>
      <c r="K2271" s="160"/>
      <c r="L2271" s="178"/>
      <c r="M2271" s="178"/>
      <c r="N2271" s="178"/>
      <c r="O2271" s="178">
        <f>IF($R$2253&gt;0,'Assumptions (Petroleum)'!$V$13*Model!$R$2253*'Assumptions (Petroleum)'!N$2/10^9,0)</f>
        <v>0.0001957253911</v>
      </c>
      <c r="P2271" s="178">
        <f>IF($R$2253&gt;0,'Assumptions (Petroleum)'!$V$13*Model!$R$2253*'Assumptions (Petroleum)'!O$2/10^9,0)</f>
        <v>0.0001996191985</v>
      </c>
      <c r="Q2271" s="178">
        <f>IF($R$2253&gt;0,'Assumptions (Petroleum)'!$V$13*Model!$R$2253*'Assumptions (Petroleum)'!P$2/10^9,0)</f>
        <v>0.0002035904702</v>
      </c>
      <c r="R2271" s="177"/>
      <c r="S2271" s="177"/>
      <c r="T2271" s="177"/>
      <c r="U2271" s="177"/>
      <c r="V2271" s="174"/>
      <c r="W2271" s="177"/>
      <c r="X2271" s="95"/>
      <c r="Y2271" s="95"/>
      <c r="Z2271" s="95"/>
      <c r="AA2271" s="95"/>
      <c r="AB2271" s="95"/>
      <c r="AC2271" s="95"/>
      <c r="AD2271" s="95"/>
      <c r="AE2271" s="95"/>
      <c r="AF2271" s="95"/>
      <c r="AG2271" s="95"/>
      <c r="AH2271" s="95"/>
      <c r="AI2271" s="95"/>
      <c r="AJ2271" s="95"/>
      <c r="AK2271" s="95"/>
      <c r="AL2271" s="95"/>
      <c r="AM2271" s="95"/>
      <c r="AN2271" s="95"/>
      <c r="AO2271" s="95"/>
      <c r="AP2271" s="95"/>
      <c r="AQ2271" s="95"/>
      <c r="AR2271" s="95"/>
      <c r="AS2271" s="95"/>
      <c r="AT2271" s="95"/>
      <c r="AU2271" s="95"/>
      <c r="AV2271" s="95"/>
      <c r="AW2271" s="95"/>
      <c r="AX2271" s="95"/>
      <c r="AY2271" s="95"/>
      <c r="AZ2271" s="95"/>
      <c r="BA2271" s="95"/>
    </row>
    <row r="2272" ht="15.75" hidden="1" customHeight="1" outlineLevel="1">
      <c r="A2272" s="328"/>
      <c r="B2272" s="38"/>
      <c r="C2272" s="160"/>
      <c r="D2272" s="160"/>
      <c r="E2272" s="160"/>
      <c r="F2272" s="160"/>
      <c r="G2272" s="160"/>
      <c r="H2272" s="160"/>
      <c r="I2272" s="160"/>
      <c r="J2272" s="160"/>
      <c r="K2272" s="160"/>
      <c r="L2272" s="160"/>
      <c r="M2272" s="160"/>
      <c r="N2272" s="160"/>
      <c r="O2272" s="160"/>
      <c r="P2272" s="160">
        <f>IF($S$2253&gt;0,'Assumptions (Petroleum)'!$V$13*Model!$S$2253*'Assumptions (Petroleum)'!O$2/10^9,0)</f>
        <v>0</v>
      </c>
      <c r="Q2272" s="160">
        <f>IF($S$2253&gt;0,'Assumptions (Petroleum)'!$V$13*Model!$S$2253*'Assumptions (Petroleum)'!P$2/10^9,0)</f>
        <v>0</v>
      </c>
      <c r="R2272" s="160">
        <f>IF($S$2253&gt;0,'Assumptions (Petroleum)'!$V$13*Model!$S$2253*'Assumptions (Petroleum)'!Q$2/10^9,0)</f>
        <v>0</v>
      </c>
      <c r="S2272" s="160"/>
      <c r="T2272" s="160"/>
      <c r="U2272" s="160"/>
      <c r="V2272" s="174"/>
      <c r="W2272" s="177"/>
      <c r="X2272" s="95"/>
      <c r="Y2272" s="95"/>
      <c r="Z2272" s="95"/>
      <c r="AA2272" s="95"/>
      <c r="AB2272" s="95"/>
      <c r="AC2272" s="95"/>
      <c r="AD2272" s="95"/>
      <c r="AE2272" s="95"/>
      <c r="AF2272" s="95"/>
      <c r="AG2272" s="95"/>
      <c r="AH2272" s="95"/>
      <c r="AI2272" s="95"/>
      <c r="AJ2272" s="95"/>
      <c r="AK2272" s="95"/>
      <c r="AL2272" s="95"/>
      <c r="AM2272" s="95"/>
      <c r="AN2272" s="95"/>
      <c r="AO2272" s="95"/>
      <c r="AP2272" s="95"/>
      <c r="AQ2272" s="95"/>
      <c r="AR2272" s="95"/>
      <c r="AS2272" s="95"/>
      <c r="AT2272" s="95"/>
      <c r="AU2272" s="95"/>
      <c r="AV2272" s="95"/>
      <c r="AW2272" s="95"/>
      <c r="AX2272" s="95"/>
      <c r="AY2272" s="95"/>
      <c r="AZ2272" s="95"/>
      <c r="BA2272" s="95"/>
    </row>
    <row r="2273" ht="15.75" hidden="1" customHeight="1" outlineLevel="1">
      <c r="A2273" s="328"/>
      <c r="B2273" s="38"/>
      <c r="C2273" s="160"/>
      <c r="D2273" s="160"/>
      <c r="E2273" s="160"/>
      <c r="F2273" s="160"/>
      <c r="G2273" s="160"/>
      <c r="H2273" s="160"/>
      <c r="I2273" s="160"/>
      <c r="J2273" s="160"/>
      <c r="K2273" s="160"/>
      <c r="L2273" s="160"/>
      <c r="M2273" s="160"/>
      <c r="N2273" s="160"/>
      <c r="O2273" s="160"/>
      <c r="P2273" s="160"/>
      <c r="Q2273" s="160">
        <f>IF($T$2253&gt;0,'Assumptions (Petroleum)'!$V$13*Model!$T$2253*'Assumptions (Petroleum)'!P$2/10^9,0)</f>
        <v>0</v>
      </c>
      <c r="R2273" s="160">
        <f>IF($T$2253&gt;0,'Assumptions (Petroleum)'!$V$13*Model!$T$2253*'Assumptions (Petroleum)'!Q$2/10^9,0)</f>
        <v>0</v>
      </c>
      <c r="S2273" s="160">
        <f>IF($T$2253&gt;0,'Assumptions (Petroleum)'!$V$13*Model!$T$2253*'Assumptions (Petroleum)'!R$2/10^9,0)</f>
        <v>0</v>
      </c>
      <c r="T2273" s="160"/>
      <c r="U2273" s="160"/>
      <c r="V2273" s="174"/>
      <c r="W2273" s="177"/>
      <c r="X2273" s="95"/>
      <c r="Y2273" s="95"/>
      <c r="Z2273" s="95"/>
      <c r="AA2273" s="95"/>
      <c r="AB2273" s="95"/>
      <c r="AC2273" s="95"/>
      <c r="AD2273" s="95"/>
      <c r="AE2273" s="95"/>
      <c r="AF2273" s="95"/>
      <c r="AG2273" s="95"/>
      <c r="AH2273" s="95"/>
      <c r="AI2273" s="95"/>
      <c r="AJ2273" s="95"/>
      <c r="AK2273" s="95"/>
      <c r="AL2273" s="95"/>
      <c r="AM2273" s="95"/>
      <c r="AN2273" s="95"/>
      <c r="AO2273" s="95"/>
      <c r="AP2273" s="95"/>
      <c r="AQ2273" s="95"/>
      <c r="AR2273" s="95"/>
      <c r="AS2273" s="95"/>
      <c r="AT2273" s="95"/>
      <c r="AU2273" s="95"/>
      <c r="AV2273" s="95"/>
      <c r="AW2273" s="95"/>
      <c r="AX2273" s="95"/>
      <c r="AY2273" s="95"/>
      <c r="AZ2273" s="95"/>
      <c r="BA2273" s="95"/>
    </row>
    <row r="2274" ht="15.75" hidden="1" customHeight="1" outlineLevel="1">
      <c r="A2274" s="328"/>
      <c r="B2274" s="38"/>
      <c r="C2274" s="160"/>
      <c r="D2274" s="160"/>
      <c r="E2274" s="160"/>
      <c r="F2274" s="160"/>
      <c r="G2274" s="160"/>
      <c r="H2274" s="160"/>
      <c r="I2274" s="160"/>
      <c r="J2274" s="160"/>
      <c r="K2274" s="160"/>
      <c r="L2274" s="160"/>
      <c r="M2274" s="160"/>
      <c r="N2274" s="160"/>
      <c r="O2274" s="177"/>
      <c r="P2274" s="177"/>
      <c r="Q2274" s="177"/>
      <c r="R2274" s="177">
        <f>IF($U$2253&gt;0,'Assumptions (Petroleum)'!$V$13*Model!$U$2253*'Assumptions (Petroleum)'!Q$2/10^9,0)</f>
        <v>0</v>
      </c>
      <c r="S2274" s="177">
        <f>IF($U$2253&gt;0,'Assumptions (Petroleum)'!$V$13*Model!$U$2253*'Assumptions (Petroleum)'!R$2/10^9,0)</f>
        <v>0</v>
      </c>
      <c r="T2274" s="177">
        <f>IF($U$2253&gt;0,'Assumptions (Petroleum)'!$V$13*Model!$U$2253*'Assumptions (Petroleum)'!S$2/10^9,0)</f>
        <v>0</v>
      </c>
      <c r="U2274" s="160"/>
      <c r="V2274" s="174"/>
      <c r="W2274" s="177"/>
      <c r="X2274" s="95"/>
      <c r="Y2274" s="95"/>
      <c r="Z2274" s="95"/>
      <c r="AA2274" s="95"/>
      <c r="AB2274" s="95"/>
      <c r="AC2274" s="95"/>
      <c r="AD2274" s="95"/>
      <c r="AE2274" s="95"/>
      <c r="AF2274" s="95"/>
      <c r="AG2274" s="95"/>
      <c r="AH2274" s="95"/>
      <c r="AI2274" s="95"/>
      <c r="AJ2274" s="95"/>
      <c r="AK2274" s="95"/>
      <c r="AL2274" s="95"/>
      <c r="AM2274" s="95"/>
      <c r="AN2274" s="95"/>
      <c r="AO2274" s="95"/>
      <c r="AP2274" s="95"/>
      <c r="AQ2274" s="95"/>
      <c r="AR2274" s="95"/>
      <c r="AS2274" s="95"/>
      <c r="AT2274" s="95"/>
      <c r="AU2274" s="95"/>
      <c r="AV2274" s="95"/>
      <c r="AW2274" s="95"/>
      <c r="AX2274" s="95"/>
      <c r="AY2274" s="95"/>
      <c r="AZ2274" s="95"/>
      <c r="BA2274" s="95"/>
    </row>
    <row r="2275" ht="15.75" hidden="1" customHeight="1" outlineLevel="1">
      <c r="A2275" s="328"/>
      <c r="B2275" s="38"/>
      <c r="C2275" s="160"/>
      <c r="D2275" s="160"/>
      <c r="E2275" s="160"/>
      <c r="F2275" s="160"/>
      <c r="G2275" s="160"/>
      <c r="H2275" s="160"/>
      <c r="I2275" s="160"/>
      <c r="J2275" s="160"/>
      <c r="K2275" s="160"/>
      <c r="L2275" s="160"/>
      <c r="M2275" s="160"/>
      <c r="N2275" s="160"/>
      <c r="O2275" s="160"/>
      <c r="P2275" s="160"/>
      <c r="Q2275" s="160"/>
      <c r="R2275" s="160"/>
      <c r="S2275" s="160">
        <f>IF($V$2253&gt;0,'Assumptions (Petroleum)'!$V$13*Model!$V$2253*'Assumptions (Petroleum)'!R$2/10^9,0)</f>
        <v>0</v>
      </c>
      <c r="T2275" s="160">
        <f>IF($V$2253&gt;0,'Assumptions (Petroleum)'!$V$13*Model!$V$2253*'Assumptions (Petroleum)'!S$2/10^9,0)</f>
        <v>0</v>
      </c>
      <c r="U2275" s="160">
        <f>IF($V$2253&gt;0,'Assumptions (Petroleum)'!$V$13*Model!$V$2253*'Assumptions (Petroleum)'!T$2/10^9,0)</f>
        <v>0</v>
      </c>
      <c r="V2275" s="174"/>
      <c r="W2275" s="177"/>
      <c r="X2275" s="95"/>
      <c r="Y2275" s="95"/>
      <c r="Z2275" s="95"/>
      <c r="AA2275" s="95"/>
      <c r="AB2275" s="95"/>
      <c r="AC2275" s="95"/>
      <c r="AD2275" s="95"/>
      <c r="AE2275" s="95"/>
      <c r="AF2275" s="95"/>
      <c r="AG2275" s="95"/>
      <c r="AH2275" s="95"/>
      <c r="AI2275" s="95"/>
      <c r="AJ2275" s="95"/>
      <c r="AK2275" s="95"/>
      <c r="AL2275" s="95"/>
      <c r="AM2275" s="95"/>
      <c r="AN2275" s="95"/>
      <c r="AO2275" s="95"/>
      <c r="AP2275" s="95"/>
      <c r="AQ2275" s="95"/>
      <c r="AR2275" s="95"/>
      <c r="AS2275" s="95"/>
      <c r="AT2275" s="95"/>
      <c r="AU2275" s="95"/>
      <c r="AV2275" s="95"/>
      <c r="AW2275" s="95"/>
      <c r="AX2275" s="95"/>
      <c r="AY2275" s="95"/>
      <c r="AZ2275" s="95"/>
      <c r="BA2275" s="95"/>
    </row>
    <row r="2276" ht="15.75" hidden="1" customHeight="1" outlineLevel="1">
      <c r="A2276" s="328"/>
      <c r="B2276" s="38"/>
      <c r="C2276" s="174"/>
      <c r="D2276" s="174"/>
      <c r="E2276" s="174"/>
      <c r="F2276" s="174"/>
      <c r="G2276" s="174"/>
      <c r="H2276" s="174"/>
      <c r="I2276" s="174"/>
      <c r="J2276" s="174"/>
      <c r="K2276" s="174"/>
      <c r="L2276" s="174"/>
      <c r="M2276" s="174"/>
      <c r="N2276" s="174"/>
      <c r="O2276" s="174"/>
      <c r="P2276" s="174"/>
      <c r="Q2276" s="174"/>
      <c r="R2276" s="174"/>
      <c r="S2276" s="174"/>
      <c r="T2276" s="160">
        <f>IF($W$2253&gt;0,'Assumptions (Petroleum)'!$V$13*Model!$W$2253*'Assumptions (Petroleum)'!S$2/10^9,0)</f>
        <v>0</v>
      </c>
      <c r="U2276" s="160">
        <f>IF($W$2253&gt;0,'Assumptions (Petroleum)'!$V$13*Model!$W$2253*'Assumptions (Petroleum)'!T$2/10^9,0)</f>
        <v>0</v>
      </c>
      <c r="V2276" s="160">
        <f>IF($W$2253&gt;0,'Assumptions (Petroleum)'!$V$13*Model!$W$2253*'Assumptions (Petroleum)'!U$2/10^9,0)</f>
        <v>0</v>
      </c>
      <c r="W2276" s="177"/>
      <c r="X2276" s="177"/>
      <c r="Y2276" s="177"/>
      <c r="Z2276" s="177"/>
      <c r="AA2276" s="177"/>
      <c r="AB2276" s="177"/>
      <c r="AC2276" s="177"/>
      <c r="AD2276" s="177"/>
      <c r="AE2276" s="177"/>
      <c r="AF2276" s="177"/>
      <c r="AG2276" s="177"/>
      <c r="AH2276" s="177"/>
      <c r="AI2276" s="177"/>
      <c r="AJ2276" s="177"/>
      <c r="AK2276" s="177"/>
      <c r="AL2276" s="177"/>
      <c r="AM2276" s="177"/>
      <c r="AN2276" s="177"/>
      <c r="AO2276" s="177"/>
      <c r="AP2276" s="177"/>
      <c r="AQ2276" s="177"/>
      <c r="AR2276" s="177"/>
      <c r="AS2276" s="177"/>
      <c r="AT2276" s="177"/>
      <c r="AU2276" s="177"/>
      <c r="AV2276" s="177"/>
      <c r="AW2276" s="177"/>
      <c r="AX2276" s="177"/>
      <c r="AY2276" s="177"/>
      <c r="AZ2276" s="177"/>
      <c r="BA2276" s="177"/>
    </row>
    <row r="2277" ht="15.75" hidden="1" customHeight="1" outlineLevel="1">
      <c r="A2277" s="328"/>
      <c r="B2277" s="38"/>
      <c r="C2277" s="174"/>
      <c r="D2277" s="174"/>
      <c r="E2277" s="174"/>
      <c r="F2277" s="174"/>
      <c r="G2277" s="174"/>
      <c r="H2277" s="174"/>
      <c r="I2277" s="174"/>
      <c r="J2277" s="174"/>
      <c r="K2277" s="174"/>
      <c r="L2277" s="174"/>
      <c r="M2277" s="174"/>
      <c r="N2277" s="174"/>
      <c r="O2277" s="174"/>
      <c r="P2277" s="174"/>
      <c r="Q2277" s="174"/>
      <c r="R2277" s="174"/>
      <c r="S2277" s="174"/>
      <c r="T2277" s="174"/>
      <c r="U2277" s="219">
        <f>IF($X$2253&gt;0,'Assumptions (Petroleum)'!$V$13*Model!$X$2253*'Assumptions (Petroleum)'!T$2/10^9,0)</f>
        <v>0</v>
      </c>
      <c r="V2277" s="219">
        <f>IF($X$2253&gt;0,'Assumptions (Petroleum)'!$V$13*Model!$X$2253*'Assumptions (Petroleum)'!U$2/10^9,0)</f>
        <v>0</v>
      </c>
      <c r="W2277" s="219">
        <f>IF($X$2253&gt;0,'Assumptions (Petroleum)'!$V$13*Model!$X$2253*'Assumptions (Petroleum)'!V$2/10^9,0)</f>
        <v>0</v>
      </c>
      <c r="X2277" s="177"/>
      <c r="Y2277" s="177"/>
      <c r="Z2277" s="177"/>
      <c r="AA2277" s="177"/>
      <c r="AB2277" s="177"/>
      <c r="AC2277" s="177"/>
      <c r="AD2277" s="177"/>
      <c r="AE2277" s="177"/>
      <c r="AF2277" s="177"/>
      <c r="AG2277" s="177"/>
      <c r="AH2277" s="177"/>
      <c r="AI2277" s="177"/>
      <c r="AJ2277" s="177"/>
      <c r="AK2277" s="177"/>
      <c r="AL2277" s="177"/>
      <c r="AM2277" s="177"/>
      <c r="AN2277" s="177"/>
      <c r="AO2277" s="177"/>
      <c r="AP2277" s="177"/>
      <c r="AQ2277" s="177"/>
      <c r="AR2277" s="177"/>
      <c r="AS2277" s="177"/>
      <c r="AT2277" s="177"/>
      <c r="AU2277" s="177"/>
      <c r="AV2277" s="177"/>
      <c r="AW2277" s="177"/>
      <c r="AX2277" s="177"/>
      <c r="AY2277" s="177"/>
      <c r="AZ2277" s="177"/>
      <c r="BA2277" s="177"/>
    </row>
    <row r="2278" ht="15.75" hidden="1" customHeight="1" outlineLevel="1">
      <c r="A2278" s="328"/>
      <c r="B2278" s="38"/>
      <c r="C2278" s="174"/>
      <c r="D2278" s="174"/>
      <c r="E2278" s="174"/>
      <c r="F2278" s="174"/>
      <c r="G2278" s="174"/>
      <c r="H2278" s="174"/>
      <c r="I2278" s="174"/>
      <c r="J2278" s="174"/>
      <c r="K2278" s="174"/>
      <c r="L2278" s="174"/>
      <c r="M2278" s="174"/>
      <c r="N2278" s="174"/>
      <c r="O2278" s="174"/>
      <c r="P2278" s="174"/>
      <c r="Q2278" s="174"/>
      <c r="R2278" s="174"/>
      <c r="S2278" s="174"/>
      <c r="T2278" s="174"/>
      <c r="U2278" s="174"/>
      <c r="V2278" s="219">
        <f>IF($Y$2253&gt;0,'Assumptions (Petroleum)'!$V$13*Model!$Y$2253*'Assumptions (Petroleum)'!U$2/10^9,0)</f>
        <v>0</v>
      </c>
      <c r="W2278" s="219">
        <f>IF($Y$2253&gt;0,'Assumptions (Petroleum)'!$V$13*Model!$Y$2253*'Assumptions (Petroleum)'!V$2/10^9,0)</f>
        <v>0</v>
      </c>
      <c r="X2278" s="219">
        <f>IF($Y$2253&gt;0,'Assumptions (Petroleum)'!$V$13*Model!$Y$2253*'Assumptions (Petroleum)'!W$2/10^9,0)</f>
        <v>0</v>
      </c>
      <c r="Y2278" s="177"/>
      <c r="Z2278" s="177"/>
      <c r="AA2278" s="177"/>
      <c r="AB2278" s="177"/>
      <c r="AC2278" s="177"/>
      <c r="AD2278" s="177"/>
      <c r="AE2278" s="177"/>
      <c r="AF2278" s="177"/>
      <c r="AG2278" s="177"/>
      <c r="AH2278" s="177"/>
      <c r="AI2278" s="177"/>
      <c r="AJ2278" s="177"/>
      <c r="AK2278" s="177"/>
      <c r="AL2278" s="177"/>
      <c r="AM2278" s="177"/>
      <c r="AN2278" s="177"/>
      <c r="AO2278" s="177"/>
      <c r="AP2278" s="177"/>
      <c r="AQ2278" s="177"/>
      <c r="AR2278" s="177"/>
      <c r="AS2278" s="177"/>
      <c r="AT2278" s="177"/>
      <c r="AU2278" s="177"/>
      <c r="AV2278" s="177"/>
      <c r="AW2278" s="177"/>
      <c r="AX2278" s="177"/>
      <c r="AY2278" s="177"/>
      <c r="AZ2278" s="177"/>
      <c r="BA2278" s="177"/>
    </row>
    <row r="2279" ht="15.75" hidden="1" customHeight="1" outlineLevel="1">
      <c r="A2279" s="328"/>
      <c r="B2279" s="38"/>
      <c r="C2279" s="174"/>
      <c r="D2279" s="174"/>
      <c r="E2279" s="174"/>
      <c r="F2279" s="174"/>
      <c r="G2279" s="174"/>
      <c r="H2279" s="174"/>
      <c r="I2279" s="174"/>
      <c r="J2279" s="174"/>
      <c r="K2279" s="174"/>
      <c r="L2279" s="174"/>
      <c r="M2279" s="174"/>
      <c r="N2279" s="174"/>
      <c r="O2279" s="174"/>
      <c r="P2279" s="174"/>
      <c r="Q2279" s="174"/>
      <c r="R2279" s="174"/>
      <c r="S2279" s="174"/>
      <c r="T2279" s="174"/>
      <c r="U2279" s="174"/>
      <c r="V2279" s="174"/>
      <c r="W2279" s="177">
        <f>IF($Z$2253&gt;0,'Assumptions (Petroleum)'!$V$13*Model!$Z$2253*'Assumptions (Petroleum)'!V$2/10^9,0)</f>
        <v>0</v>
      </c>
      <c r="X2279" s="177">
        <f>IF($Z$2253&gt;0,'Assumptions (Petroleum)'!$V$13*Model!$Z$2253*'Assumptions (Petroleum)'!W$2/10^9,0)</f>
        <v>0</v>
      </c>
      <c r="Y2279" s="177">
        <f>IF($Z$2253&gt;0,'Assumptions (Petroleum)'!$V$13*Model!$Z$2253*'Assumptions (Petroleum)'!X$2/10^9,0)</f>
        <v>0</v>
      </c>
      <c r="Z2279" s="177"/>
      <c r="AA2279" s="177"/>
      <c r="AB2279" s="177"/>
      <c r="AC2279" s="177"/>
      <c r="AD2279" s="177"/>
      <c r="AE2279" s="177"/>
      <c r="AF2279" s="177"/>
      <c r="AG2279" s="177"/>
      <c r="AH2279" s="177"/>
      <c r="AI2279" s="177"/>
      <c r="AJ2279" s="177"/>
      <c r="AK2279" s="177"/>
      <c r="AL2279" s="177"/>
      <c r="AM2279" s="177"/>
      <c r="AN2279" s="177"/>
      <c r="AO2279" s="177"/>
      <c r="AP2279" s="177"/>
      <c r="AQ2279" s="177"/>
      <c r="AR2279" s="177"/>
      <c r="AS2279" s="177"/>
      <c r="AT2279" s="177"/>
      <c r="AU2279" s="177"/>
      <c r="AV2279" s="177"/>
      <c r="AW2279" s="177"/>
      <c r="AX2279" s="177"/>
      <c r="AY2279" s="177"/>
      <c r="AZ2279" s="177"/>
      <c r="BA2279" s="177"/>
    </row>
    <row r="2280" ht="15.75" hidden="1" customHeight="1" outlineLevel="1">
      <c r="A2280" s="328"/>
      <c r="B2280" s="38"/>
      <c r="C2280" s="174"/>
      <c r="D2280" s="174"/>
      <c r="E2280" s="174"/>
      <c r="F2280" s="174"/>
      <c r="G2280" s="174"/>
      <c r="H2280" s="174"/>
      <c r="I2280" s="174"/>
      <c r="J2280" s="174"/>
      <c r="K2280" s="174"/>
      <c r="L2280" s="174"/>
      <c r="M2280" s="174"/>
      <c r="N2280" s="174"/>
      <c r="O2280" s="174"/>
      <c r="P2280" s="174"/>
      <c r="Q2280" s="174"/>
      <c r="R2280" s="174"/>
      <c r="S2280" s="174"/>
      <c r="T2280" s="174"/>
      <c r="U2280" s="174"/>
      <c r="V2280" s="174"/>
      <c r="W2280" s="177"/>
      <c r="X2280" s="177">
        <f>IF($AA$2253&gt;0,'Assumptions (Petroleum)'!$V$13*Model!$AA$2253*'Assumptions (Petroleum)'!W$2/10^9,0)</f>
        <v>0</v>
      </c>
      <c r="Y2280" s="177">
        <f>IF($AA$2253&gt;0,'Assumptions (Petroleum)'!$V$13*Model!$AA$2253*'Assumptions (Petroleum)'!X$2/10^9,0)</f>
        <v>0</v>
      </c>
      <c r="Z2280" s="177">
        <f>IF($AA$2253&gt;0,'Assumptions (Petroleum)'!$V$13*Model!$AA$2253*'Assumptions (Petroleum)'!Y$2/10^9,0)</f>
        <v>0</v>
      </c>
      <c r="AA2280" s="177"/>
      <c r="AB2280" s="177"/>
      <c r="AC2280" s="177"/>
      <c r="AD2280" s="177"/>
      <c r="AE2280" s="177"/>
      <c r="AF2280" s="177"/>
      <c r="AG2280" s="177"/>
      <c r="AH2280" s="177"/>
      <c r="AI2280" s="177"/>
      <c r="AJ2280" s="177"/>
      <c r="AK2280" s="177"/>
      <c r="AL2280" s="177"/>
      <c r="AM2280" s="177"/>
      <c r="AN2280" s="177"/>
      <c r="AO2280" s="177"/>
      <c r="AP2280" s="177"/>
      <c r="AQ2280" s="177"/>
      <c r="AR2280" s="177"/>
      <c r="AS2280" s="177"/>
      <c r="AT2280" s="177"/>
      <c r="AU2280" s="177"/>
      <c r="AV2280" s="177"/>
      <c r="AW2280" s="177"/>
      <c r="AX2280" s="177"/>
      <c r="AY2280" s="177"/>
      <c r="AZ2280" s="177"/>
      <c r="BA2280" s="177"/>
    </row>
    <row r="2281" ht="15.75" hidden="1" customHeight="1" outlineLevel="1">
      <c r="A2281" s="328"/>
      <c r="B2281" s="38"/>
      <c r="C2281" s="174"/>
      <c r="D2281" s="174"/>
      <c r="E2281" s="174"/>
      <c r="F2281" s="174"/>
      <c r="G2281" s="174"/>
      <c r="H2281" s="174"/>
      <c r="I2281" s="174"/>
      <c r="J2281" s="174"/>
      <c r="K2281" s="174"/>
      <c r="L2281" s="174"/>
      <c r="M2281" s="174"/>
      <c r="N2281" s="174"/>
      <c r="O2281" s="174"/>
      <c r="P2281" s="174"/>
      <c r="Q2281" s="174"/>
      <c r="R2281" s="174"/>
      <c r="S2281" s="174"/>
      <c r="T2281" s="174"/>
      <c r="U2281" s="174"/>
      <c r="V2281" s="174"/>
      <c r="W2281" s="177"/>
      <c r="Y2281" s="177">
        <f>IF($AB$2253&gt;0,'Assumptions (Petroleum)'!$V$13*Model!$AB$2253*'Assumptions (Petroleum)'!X$2/10^9,0)</f>
        <v>0</v>
      </c>
      <c r="Z2281" s="177">
        <f>IF($AB$2253&gt;0,'Assumptions (Petroleum)'!$V$13*Model!$AB$2253*'Assumptions (Petroleum)'!Y$2/10^9,0)</f>
        <v>0</v>
      </c>
      <c r="AA2281" s="177">
        <f>IF($AB$2253&gt;0,'Assumptions (Petroleum)'!$V$13*Model!$AB$2253*'Assumptions (Petroleum)'!Z$2/10^9,0)</f>
        <v>0</v>
      </c>
    </row>
    <row r="2282" ht="15.75" hidden="1" customHeight="1" outlineLevel="1">
      <c r="A2282" s="328"/>
      <c r="B2282" s="38"/>
      <c r="C2282" s="174"/>
      <c r="D2282" s="174"/>
      <c r="E2282" s="174"/>
      <c r="F2282" s="174"/>
      <c r="G2282" s="174"/>
      <c r="H2282" s="174"/>
      <c r="I2282" s="174"/>
      <c r="J2282" s="174"/>
      <c r="K2282" s="174"/>
      <c r="L2282" s="174"/>
      <c r="M2282" s="174"/>
      <c r="N2282" s="174"/>
      <c r="O2282" s="174"/>
      <c r="P2282" s="174"/>
      <c r="Q2282" s="174"/>
      <c r="R2282" s="174"/>
      <c r="S2282" s="174"/>
      <c r="T2282" s="174"/>
      <c r="U2282" s="174"/>
      <c r="V2282" s="174"/>
      <c r="W2282" s="177"/>
      <c r="Z2282" s="177">
        <f>IF($AC$2253&gt;0,'Assumptions (Petroleum)'!$V$13*Model!$AC$2253*'Assumptions (Petroleum)'!Y$2/10^9,0)</f>
        <v>0</v>
      </c>
      <c r="AA2282" s="177">
        <f>IF($AC$2253&gt;0,'Assumptions (Petroleum)'!$V$13*Model!$AC$2253*'Assumptions (Petroleum)'!Z$2/10^9,0)</f>
        <v>0</v>
      </c>
      <c r="AB2282" s="177">
        <f>IF($AC$2253&gt;0,'Assumptions (Petroleum)'!$V$13*Model!$AC$2253*'Assumptions (Petroleum)'!AA$2/10^9,0)</f>
        <v>0</v>
      </c>
    </row>
    <row r="2283" ht="15.75" hidden="1" customHeight="1" outlineLevel="1">
      <c r="A2283" s="328"/>
      <c r="B2283" s="38"/>
      <c r="C2283" s="174"/>
      <c r="D2283" s="174"/>
      <c r="E2283" s="174"/>
      <c r="F2283" s="174"/>
      <c r="G2283" s="174"/>
      <c r="H2283" s="174"/>
      <c r="I2283" s="174"/>
      <c r="J2283" s="174"/>
      <c r="K2283" s="174"/>
      <c r="L2283" s="174"/>
      <c r="M2283" s="174"/>
      <c r="N2283" s="174"/>
      <c r="O2283" s="174"/>
      <c r="P2283" s="174"/>
      <c r="Q2283" s="174"/>
      <c r="R2283" s="174"/>
      <c r="S2283" s="174"/>
      <c r="T2283" s="174"/>
      <c r="U2283" s="174"/>
      <c r="V2283" s="174"/>
      <c r="W2283" s="177"/>
      <c r="AA2283" s="177">
        <f>IF($AD$2253&gt;0,'Assumptions (Petroleum)'!$V$13*Model!$AD$2253*'Assumptions (Petroleum)'!Z$2/10^9,0)</f>
        <v>0</v>
      </c>
      <c r="AB2283" s="177">
        <f>IF($AD$2253&gt;0,'Assumptions (Petroleum)'!$V$13*Model!$AD$2253*'Assumptions (Petroleum)'!AA$2/10^9,0)</f>
        <v>0</v>
      </c>
      <c r="AC2283" s="177">
        <f>IF($AD$2253&gt;0,'Assumptions (Petroleum)'!$V$13*Model!$AD$2253*'Assumptions (Petroleum)'!AB$2/10^9,0)</f>
        <v>0</v>
      </c>
    </row>
    <row r="2284" ht="15.75" hidden="1" customHeight="1" outlineLevel="1">
      <c r="A2284" s="328"/>
      <c r="B2284" s="38"/>
      <c r="C2284" s="174"/>
      <c r="D2284" s="174"/>
      <c r="E2284" s="174"/>
      <c r="F2284" s="174"/>
      <c r="G2284" s="174"/>
      <c r="H2284" s="174"/>
      <c r="I2284" s="174"/>
      <c r="J2284" s="174"/>
      <c r="K2284" s="174"/>
      <c r="L2284" s="174"/>
      <c r="M2284" s="174"/>
      <c r="N2284" s="174"/>
      <c r="O2284" s="174"/>
      <c r="P2284" s="174"/>
      <c r="Q2284" s="174"/>
      <c r="R2284" s="174"/>
      <c r="S2284" s="174"/>
      <c r="T2284" s="174"/>
      <c r="U2284" s="174"/>
      <c r="V2284" s="174"/>
      <c r="W2284" s="177"/>
      <c r="AB2284" s="177">
        <f>IF($AE$2253&gt;0,'Assumptions (Petroleum)'!$V$13*Model!$AE$2253*'Assumptions (Petroleum)'!AA$2/10^9,0)</f>
        <v>0</v>
      </c>
      <c r="AC2284" s="177">
        <f>IF($AE$2253&gt;0,'Assumptions (Petroleum)'!$V$13*Model!$AE$2253*'Assumptions (Petroleum)'!AB$2/10^9,0)</f>
        <v>0</v>
      </c>
      <c r="AD2284" s="177">
        <f>IF($AE$2253&gt;0,'Assumptions (Petroleum)'!$V$13*Model!$AE$2253*'Assumptions (Petroleum)'!AC$2/10^9,0)</f>
        <v>0</v>
      </c>
    </row>
    <row r="2285" ht="15.75" hidden="1" customHeight="1" outlineLevel="1">
      <c r="A2285" s="328"/>
      <c r="B2285" s="38"/>
      <c r="C2285" s="174"/>
      <c r="D2285" s="174"/>
      <c r="E2285" s="174"/>
      <c r="F2285" s="174"/>
      <c r="G2285" s="174"/>
      <c r="H2285" s="174"/>
      <c r="I2285" s="174"/>
      <c r="J2285" s="174"/>
      <c r="K2285" s="174"/>
      <c r="L2285" s="174"/>
      <c r="M2285" s="174"/>
      <c r="N2285" s="174"/>
      <c r="O2285" s="174"/>
      <c r="P2285" s="174"/>
      <c r="Q2285" s="174"/>
      <c r="R2285" s="174"/>
      <c r="S2285" s="174"/>
      <c r="T2285" s="174"/>
      <c r="U2285" s="174"/>
      <c r="V2285" s="174"/>
      <c r="W2285" s="177"/>
      <c r="AC2285" s="177">
        <f>IF($AF$2253&gt;0,'Assumptions (Petroleum)'!$V$13*Model!$AF$2253*'Assumptions (Petroleum)'!AB$2/10^9,0)</f>
        <v>0</v>
      </c>
      <c r="AD2285" s="177">
        <f>IF($AF$2253&gt;0,'Assumptions (Petroleum)'!$V$13*Model!$AF$2253*'Assumptions (Petroleum)'!AC$2/10^9,0)</f>
        <v>0</v>
      </c>
      <c r="AE2285" s="177">
        <f>IF($AF$2253&gt;0,'Assumptions (Petroleum)'!$V$13*Model!$AF$2253*'Assumptions (Petroleum)'!AD$2/10^9,0)</f>
        <v>0</v>
      </c>
    </row>
    <row r="2286" ht="15.75" hidden="1" customHeight="1" outlineLevel="1">
      <c r="A2286" s="328"/>
      <c r="B2286" s="38"/>
      <c r="C2286" s="174"/>
      <c r="D2286" s="174"/>
      <c r="E2286" s="174"/>
      <c r="F2286" s="174"/>
      <c r="G2286" s="174"/>
      <c r="H2286" s="174"/>
      <c r="I2286" s="174"/>
      <c r="J2286" s="174"/>
      <c r="K2286" s="174"/>
      <c r="L2286" s="174"/>
      <c r="M2286" s="174"/>
      <c r="N2286" s="174"/>
      <c r="O2286" s="174"/>
      <c r="P2286" s="174"/>
      <c r="Q2286" s="174"/>
      <c r="R2286" s="174"/>
      <c r="S2286" s="174"/>
      <c r="T2286" s="174"/>
      <c r="U2286" s="174"/>
      <c r="V2286" s="174"/>
      <c r="W2286" s="177"/>
      <c r="AD2286" s="177">
        <f>IF($AG$2253&gt;0,'Assumptions (Petroleum)'!$V$13*Model!$AG$2253*'Assumptions (Petroleum)'!AC$2/10^9,0)</f>
        <v>0</v>
      </c>
      <c r="AE2286" s="177">
        <f>IF($AG$2253&gt;0,'Assumptions (Petroleum)'!$V$13*Model!$AG$2253*'Assumptions (Petroleum)'!AD$2/10^9,0)</f>
        <v>0</v>
      </c>
      <c r="AF2286" s="177">
        <f>IF($AG$2253&gt;0,'Assumptions (Petroleum)'!$V$13*Model!$AG$2253*'Assumptions (Petroleum)'!AE$2/10^9,0)</f>
        <v>0</v>
      </c>
    </row>
    <row r="2287" ht="15.75" hidden="1" customHeight="1" outlineLevel="1">
      <c r="A2287" s="328"/>
      <c r="B2287" s="38"/>
      <c r="C2287" s="174"/>
      <c r="D2287" s="174"/>
      <c r="E2287" s="174"/>
      <c r="F2287" s="174"/>
      <c r="G2287" s="174"/>
      <c r="H2287" s="174"/>
      <c r="I2287" s="174"/>
      <c r="J2287" s="174"/>
      <c r="K2287" s="174"/>
      <c r="L2287" s="174"/>
      <c r="M2287" s="174"/>
      <c r="N2287" s="174"/>
      <c r="O2287" s="174"/>
      <c r="P2287" s="174"/>
      <c r="Q2287" s="174"/>
      <c r="R2287" s="174"/>
      <c r="S2287" s="174"/>
      <c r="T2287" s="174"/>
      <c r="U2287" s="174"/>
      <c r="V2287" s="174"/>
      <c r="W2287" s="177"/>
      <c r="AE2287" s="177">
        <f>IF($AH$2253&gt;0,'Assumptions (Petroleum)'!$V$13*Model!$AH$2253*'Assumptions (Petroleum)'!AD$2/10^9,0)</f>
        <v>0</v>
      </c>
      <c r="AF2287" s="177">
        <f>IF($AH$2253&gt;0,'Assumptions (Petroleum)'!$V$13*Model!$AH$2253*'Assumptions (Petroleum)'!AE$2/10^9,0)</f>
        <v>0</v>
      </c>
      <c r="AG2287" s="177">
        <f>IF($AH$2253&gt;0,'Assumptions (Petroleum)'!$V$13*Model!$AH$2253*'Assumptions (Petroleum)'!AF$2/10^9,0)</f>
        <v>0</v>
      </c>
    </row>
    <row r="2288" ht="15.75" hidden="1" customHeight="1" outlineLevel="1">
      <c r="A2288" s="328"/>
      <c r="B2288" s="38"/>
      <c r="C2288" s="174"/>
      <c r="D2288" s="174"/>
      <c r="E2288" s="174"/>
      <c r="F2288" s="174"/>
      <c r="G2288" s="174"/>
      <c r="H2288" s="174"/>
      <c r="I2288" s="174"/>
      <c r="J2288" s="174"/>
      <c r="K2288" s="174"/>
      <c r="L2288" s="174"/>
      <c r="M2288" s="174"/>
      <c r="N2288" s="174"/>
      <c r="O2288" s="174"/>
      <c r="P2288" s="174"/>
      <c r="Q2288" s="174"/>
      <c r="R2288" s="174"/>
      <c r="S2288" s="174"/>
      <c r="T2288" s="174"/>
      <c r="U2288" s="174"/>
      <c r="V2288" s="174"/>
      <c r="W2288" s="177"/>
      <c r="AF2288" s="177">
        <f>IF($AI$2253&gt;0,'Assumptions (Petroleum)'!$V$13*Model!$AI$2253*'Assumptions (Petroleum)'!AE$2/10^9,0)</f>
        <v>0</v>
      </c>
      <c r="AG2288" s="177">
        <f>IF($AI$2253&gt;0,'Assumptions (Petroleum)'!$V$13*Model!$AI$2253*'Assumptions (Petroleum)'!AF$2/10^9,0)</f>
        <v>0</v>
      </c>
      <c r="AH2288" s="177">
        <f>IF($AI$2253&gt;0,'Assumptions (Petroleum)'!$V$13*Model!$AI$2253*'Assumptions (Petroleum)'!AG$2/10^9,0)</f>
        <v>0</v>
      </c>
    </row>
    <row r="2289" ht="15.75" hidden="1" customHeight="1" outlineLevel="1">
      <c r="A2289" s="328"/>
      <c r="B2289" s="38"/>
      <c r="C2289" s="174"/>
      <c r="D2289" s="174"/>
      <c r="E2289" s="174"/>
      <c r="F2289" s="174"/>
      <c r="G2289" s="174"/>
      <c r="H2289" s="174"/>
      <c r="I2289" s="174"/>
      <c r="J2289" s="174"/>
      <c r="K2289" s="174"/>
      <c r="L2289" s="174"/>
      <c r="M2289" s="174"/>
      <c r="N2289" s="174"/>
      <c r="O2289" s="174"/>
      <c r="P2289" s="174"/>
      <c r="Q2289" s="174"/>
      <c r="R2289" s="174"/>
      <c r="S2289" s="174"/>
      <c r="T2289" s="174"/>
      <c r="U2289" s="174"/>
      <c r="V2289" s="174"/>
      <c r="W2289" s="177"/>
      <c r="AG2289" s="177">
        <f>IF($AJ$2253&gt;0,'Assumptions (Petroleum)'!$V$13*Model!$AJ$2253*'Assumptions (Petroleum)'!AF$2/10^9,0)</f>
        <v>0</v>
      </c>
      <c r="AH2289" s="177">
        <f>IF($AJ$2253&gt;0,'Assumptions (Petroleum)'!$V$13*Model!$AJ$2253*'Assumptions (Petroleum)'!AG$2/10^9,0)</f>
        <v>0</v>
      </c>
      <c r="AI2289" s="177">
        <f>IF($AJ$2253&gt;0,'Assumptions (Petroleum)'!$V$13*Model!$AJ$2253*'Assumptions (Petroleum)'!AH$2/10^9,0)</f>
        <v>0</v>
      </c>
    </row>
    <row r="2290" ht="15.75" hidden="1" customHeight="1" outlineLevel="1">
      <c r="A2290" s="328"/>
      <c r="B2290" s="38"/>
      <c r="C2290" s="174"/>
      <c r="D2290" s="174"/>
      <c r="E2290" s="174"/>
      <c r="F2290" s="174"/>
      <c r="G2290" s="174"/>
      <c r="H2290" s="174"/>
      <c r="I2290" s="174"/>
      <c r="J2290" s="174"/>
      <c r="K2290" s="174"/>
      <c r="L2290" s="174"/>
      <c r="M2290" s="174"/>
      <c r="N2290" s="174"/>
      <c r="O2290" s="174"/>
      <c r="P2290" s="174"/>
      <c r="Q2290" s="174"/>
      <c r="R2290" s="174"/>
      <c r="S2290" s="174"/>
      <c r="T2290" s="174"/>
      <c r="U2290" s="174"/>
      <c r="V2290" s="174"/>
      <c r="W2290" s="177"/>
      <c r="AH2290" s="177">
        <f>IF($AK$2253&gt;0,'Assumptions (Petroleum)'!$V$13*Model!$AK$2253*'Assumptions (Petroleum)'!AG$2/10^9,0)</f>
        <v>0</v>
      </c>
      <c r="AI2290" s="177">
        <f>IF($AK$2253&gt;0,'Assumptions (Petroleum)'!$V$13*Model!$AK$2253*'Assumptions (Petroleum)'!AH$2/10^9,0)</f>
        <v>0</v>
      </c>
      <c r="AJ2290" s="177">
        <f>IF($AK$2253&gt;0,'Assumptions (Petroleum)'!$V$13*Model!$AK$2253*'Assumptions (Petroleum)'!AI$2/10^9,0)</f>
        <v>0</v>
      </c>
    </row>
    <row r="2291" ht="15.75" hidden="1" customHeight="1" outlineLevel="1">
      <c r="A2291" s="328"/>
      <c r="B2291" s="38"/>
      <c r="C2291" s="174"/>
      <c r="D2291" s="174"/>
      <c r="E2291" s="174"/>
      <c r="F2291" s="174"/>
      <c r="G2291" s="174"/>
      <c r="H2291" s="174"/>
      <c r="I2291" s="174"/>
      <c r="J2291" s="174"/>
      <c r="K2291" s="174"/>
      <c r="L2291" s="174"/>
      <c r="M2291" s="174"/>
      <c r="N2291" s="174"/>
      <c r="O2291" s="174"/>
      <c r="P2291" s="174"/>
      <c r="Q2291" s="174"/>
      <c r="R2291" s="174"/>
      <c r="S2291" s="174"/>
      <c r="T2291" s="174"/>
      <c r="U2291" s="174"/>
      <c r="V2291" s="174"/>
      <c r="W2291" s="177"/>
      <c r="AI2291" s="177">
        <f>IF($AL$2253&gt;0,'Assumptions (Petroleum)'!$V$13*Model!$AL$2253*'Assumptions (Petroleum)'!AH$2/10^9,0)</f>
        <v>0</v>
      </c>
      <c r="AJ2291" s="177">
        <f>IF($AL$2253&gt;0,'Assumptions (Petroleum)'!$V$13*Model!$AL$2253*'Assumptions (Petroleum)'!AI$2/10^9,0)</f>
        <v>0</v>
      </c>
      <c r="AK2291" s="177">
        <f>IF($AL$2253&gt;0,'Assumptions (Petroleum)'!$V$13*Model!$AL$2253*'Assumptions (Petroleum)'!AJ$2/10^9,0)</f>
        <v>0</v>
      </c>
    </row>
    <row r="2292" ht="15.75" hidden="1" customHeight="1" outlineLevel="1">
      <c r="A2292" s="328"/>
      <c r="B2292" s="38"/>
      <c r="C2292" s="174"/>
      <c r="D2292" s="174"/>
      <c r="E2292" s="174"/>
      <c r="F2292" s="174"/>
      <c r="G2292" s="174"/>
      <c r="H2292" s="174"/>
      <c r="I2292" s="174"/>
      <c r="J2292" s="174"/>
      <c r="K2292" s="174"/>
      <c r="L2292" s="174"/>
      <c r="M2292" s="174"/>
      <c r="N2292" s="174"/>
      <c r="O2292" s="174"/>
      <c r="P2292" s="174"/>
      <c r="Q2292" s="174"/>
      <c r="R2292" s="174"/>
      <c r="S2292" s="174"/>
      <c r="T2292" s="174"/>
      <c r="U2292" s="174"/>
      <c r="V2292" s="174"/>
      <c r="W2292" s="177"/>
      <c r="AJ2292" s="177">
        <f>IF($AM$2253&gt;0,'Assumptions (Petroleum)'!$V$13*Model!$AM$2253*'Assumptions (Petroleum)'!AI$2/10^9,0)</f>
        <v>0</v>
      </c>
      <c r="AK2292" s="177">
        <f>IF($AM$2253&gt;0,'Assumptions (Petroleum)'!$V$13*Model!$AM$2253*'Assumptions (Petroleum)'!AJ$2/10^9,0)</f>
        <v>0</v>
      </c>
      <c r="AL2292" s="177">
        <f>IF($AM$2253&gt;0,'Assumptions (Petroleum)'!$V$13*Model!$AM$2253*'Assumptions (Petroleum)'!AK$2/10^9,0)</f>
        <v>0</v>
      </c>
    </row>
    <row r="2293" ht="15.75" hidden="1" customHeight="1" outlineLevel="1">
      <c r="A2293" s="328"/>
      <c r="B2293" s="38"/>
      <c r="C2293" s="174"/>
      <c r="D2293" s="174"/>
      <c r="E2293" s="174"/>
      <c r="F2293" s="174"/>
      <c r="G2293" s="174"/>
      <c r="H2293" s="174"/>
      <c r="I2293" s="174"/>
      <c r="J2293" s="174"/>
      <c r="K2293" s="174"/>
      <c r="L2293" s="174"/>
      <c r="M2293" s="174"/>
      <c r="N2293" s="174"/>
      <c r="O2293" s="174"/>
      <c r="P2293" s="174"/>
      <c r="Q2293" s="174"/>
      <c r="R2293" s="174"/>
      <c r="S2293" s="174"/>
      <c r="T2293" s="174"/>
      <c r="U2293" s="174"/>
      <c r="V2293" s="174"/>
      <c r="W2293" s="177"/>
      <c r="AK2293" s="177">
        <f>IF($AN$2253&gt;0,'Assumptions (Petroleum)'!$V$13*Model!$AN$2253*'Assumptions (Petroleum)'!AJ$2/10^9,0)</f>
        <v>0</v>
      </c>
      <c r="AL2293" s="177">
        <f>IF($AN$2253&gt;0,'Assumptions (Petroleum)'!$V$13*Model!$AN$2253*'Assumptions (Petroleum)'!AK$2/10^9,0)</f>
        <v>0</v>
      </c>
      <c r="AM2293" s="177">
        <f>IF($AN$2253&gt;0,'Assumptions (Petroleum)'!$V$13*Model!$AN$2253*'Assumptions (Petroleum)'!AL$2/10^9,0)</f>
        <v>0</v>
      </c>
    </row>
    <row r="2294" ht="15.75" hidden="1" customHeight="1" outlineLevel="1">
      <c r="A2294" s="328"/>
      <c r="B2294" s="38"/>
      <c r="C2294" s="174"/>
      <c r="D2294" s="174"/>
      <c r="E2294" s="174"/>
      <c r="F2294" s="174"/>
      <c r="G2294" s="174"/>
      <c r="H2294" s="174"/>
      <c r="I2294" s="174"/>
      <c r="J2294" s="174"/>
      <c r="K2294" s="174"/>
      <c r="L2294" s="174"/>
      <c r="M2294" s="174"/>
      <c r="N2294" s="174"/>
      <c r="O2294" s="174"/>
      <c r="P2294" s="174"/>
      <c r="Q2294" s="174"/>
      <c r="R2294" s="174"/>
      <c r="S2294" s="174"/>
      <c r="T2294" s="174"/>
      <c r="U2294" s="174"/>
      <c r="V2294" s="174"/>
      <c r="W2294" s="177"/>
      <c r="AL2294" s="177">
        <f>IF($AO$2253&gt;0,'Assumptions (Petroleum)'!$V$13*Model!$AO$2253*'Assumptions (Petroleum)'!AK$2/10^9,0)</f>
        <v>0</v>
      </c>
      <c r="AM2294" s="177">
        <f>IF($AO$2253&gt;0,'Assumptions (Petroleum)'!$V$13*Model!$AO$2253*'Assumptions (Petroleum)'!AL$2/10^9,0)</f>
        <v>0</v>
      </c>
      <c r="AN2294" s="177">
        <f>IF($AO$2253&gt;0,'Assumptions (Petroleum)'!$V$13*Model!$AO$2253*'Assumptions (Petroleum)'!AM$2/10^9,0)</f>
        <v>0</v>
      </c>
    </row>
    <row r="2295" ht="15.75" hidden="1" customHeight="1" outlineLevel="1">
      <c r="A2295" s="328"/>
      <c r="B2295" s="38"/>
      <c r="C2295" s="174"/>
      <c r="D2295" s="174"/>
      <c r="E2295" s="174"/>
      <c r="F2295" s="174"/>
      <c r="G2295" s="174"/>
      <c r="H2295" s="174"/>
      <c r="I2295" s="174"/>
      <c r="J2295" s="174"/>
      <c r="K2295" s="174"/>
      <c r="L2295" s="174"/>
      <c r="M2295" s="174"/>
      <c r="N2295" s="174"/>
      <c r="O2295" s="174"/>
      <c r="P2295" s="174"/>
      <c r="Q2295" s="174"/>
      <c r="R2295" s="174"/>
      <c r="S2295" s="174"/>
      <c r="T2295" s="174"/>
      <c r="U2295" s="174"/>
      <c r="V2295" s="174"/>
      <c r="W2295" s="177"/>
      <c r="AM2295" s="177">
        <f>IF($AP$2253&gt;0,'Assumptions (Petroleum)'!$V$13*Model!$AP$2253*'Assumptions (Petroleum)'!AL$2/10^9,0)</f>
        <v>0</v>
      </c>
      <c r="AN2295" s="177">
        <f>IF($AP$2253&gt;0,'Assumptions (Petroleum)'!$V$13*Model!$AP$2253*'Assumptions (Petroleum)'!AM$2/10^9,0)</f>
        <v>0</v>
      </c>
      <c r="AO2295" s="177">
        <f>IF($AP$2253&gt;0,'Assumptions (Petroleum)'!$V$13*Model!$AP$2253*'Assumptions (Petroleum)'!AN$2/10^9,0)</f>
        <v>0</v>
      </c>
    </row>
    <row r="2296" ht="15.75" hidden="1" customHeight="1" outlineLevel="1">
      <c r="A2296" s="328"/>
      <c r="B2296" s="38"/>
      <c r="C2296" s="174"/>
      <c r="D2296" s="174"/>
      <c r="E2296" s="174"/>
      <c r="F2296" s="174"/>
      <c r="G2296" s="174"/>
      <c r="H2296" s="174"/>
      <c r="I2296" s="174"/>
      <c r="J2296" s="174"/>
      <c r="K2296" s="174"/>
      <c r="L2296" s="174"/>
      <c r="M2296" s="174"/>
      <c r="N2296" s="174"/>
      <c r="O2296" s="174"/>
      <c r="P2296" s="174"/>
      <c r="Q2296" s="174"/>
      <c r="R2296" s="174"/>
      <c r="S2296" s="174"/>
      <c r="T2296" s="174"/>
      <c r="U2296" s="174"/>
      <c r="V2296" s="174"/>
      <c r="W2296" s="177"/>
      <c r="AN2296" s="177">
        <f>IF($AQ$2253&gt;0,'Assumptions (Petroleum)'!$V$13*Model!$AQ$2253*'Assumptions (Petroleum)'!AM$2/10^9,0)</f>
        <v>0</v>
      </c>
      <c r="AO2296" s="177">
        <f>IF($AQ$2253&gt;0,'Assumptions (Petroleum)'!$V$13*Model!$AQ$2253*'Assumptions (Petroleum)'!AN$2/10^9,0)</f>
        <v>0</v>
      </c>
      <c r="AP2296" s="177">
        <f>IF($AQ$2253&gt;0,'Assumptions (Petroleum)'!$V$13*Model!$AQ$2253*'Assumptions (Petroleum)'!AO$2/10^9,0)</f>
        <v>0</v>
      </c>
    </row>
    <row r="2297" ht="15.75" hidden="1" customHeight="1" outlineLevel="1">
      <c r="A2297" s="328"/>
      <c r="B2297" s="38"/>
      <c r="C2297" s="174"/>
      <c r="D2297" s="174"/>
      <c r="E2297" s="174"/>
      <c r="F2297" s="174"/>
      <c r="G2297" s="174"/>
      <c r="H2297" s="174"/>
      <c r="I2297" s="174"/>
      <c r="J2297" s="174"/>
      <c r="K2297" s="174"/>
      <c r="L2297" s="174"/>
      <c r="M2297" s="174"/>
      <c r="N2297" s="174"/>
      <c r="O2297" s="174"/>
      <c r="P2297" s="174"/>
      <c r="Q2297" s="174"/>
      <c r="R2297" s="174"/>
      <c r="S2297" s="174"/>
      <c r="T2297" s="174"/>
      <c r="U2297" s="174"/>
      <c r="V2297" s="174"/>
      <c r="W2297" s="177"/>
      <c r="AO2297" s="177">
        <f>IF($AR$2253&gt;0,'Assumptions (Petroleum)'!$V$13*Model!$AR$2253*'Assumptions (Petroleum)'!AN$2/10^9,0)</f>
        <v>0</v>
      </c>
      <c r="AP2297" s="177">
        <f>IF($AR$2253&gt;0,'Assumptions (Petroleum)'!$V$13*Model!$AR$2253*'Assumptions (Petroleum)'!AO$2/10^9,0)</f>
        <v>0</v>
      </c>
      <c r="AQ2297" s="177">
        <f>IF($AR$2253&gt;0,'Assumptions (Petroleum)'!$V$13*Model!$AR$2253*'Assumptions (Petroleum)'!AP$2/10^9,0)</f>
        <v>0</v>
      </c>
    </row>
    <row r="2298" ht="15.75" hidden="1" customHeight="1" outlineLevel="1">
      <c r="A2298" s="328"/>
      <c r="B2298" s="38"/>
      <c r="C2298" s="174"/>
      <c r="D2298" s="174"/>
      <c r="E2298" s="174"/>
      <c r="F2298" s="174"/>
      <c r="G2298" s="174"/>
      <c r="H2298" s="174"/>
      <c r="I2298" s="174"/>
      <c r="J2298" s="174"/>
      <c r="K2298" s="174"/>
      <c r="L2298" s="174"/>
      <c r="M2298" s="174"/>
      <c r="N2298" s="174"/>
      <c r="O2298" s="174"/>
      <c r="P2298" s="174"/>
      <c r="Q2298" s="174"/>
      <c r="R2298" s="174"/>
      <c r="S2298" s="174"/>
      <c r="T2298" s="174"/>
      <c r="U2298" s="174"/>
      <c r="V2298" s="174"/>
      <c r="W2298" s="177"/>
      <c r="AP2298" s="177">
        <f>IF($AS$2253&gt;0,'Assumptions (Petroleum)'!$V$13*Model!$AS$2253*'Assumptions (Petroleum)'!AO$2/10^9,0)</f>
        <v>0</v>
      </c>
      <c r="AQ2298" s="177">
        <f>IF($AS$2253&gt;0,'Assumptions (Petroleum)'!$V$13*Model!$AS$2253*'Assumptions (Petroleum)'!AP$2/10^9,0)</f>
        <v>0</v>
      </c>
      <c r="AR2298" s="177">
        <f>IF($AS$2253&gt;0,'Assumptions (Petroleum)'!$V$13*Model!$AS$2253*'Assumptions (Petroleum)'!AQ$2/10^9,0)</f>
        <v>0</v>
      </c>
    </row>
    <row r="2299" ht="15.75" hidden="1" customHeight="1" outlineLevel="1">
      <c r="A2299" s="328"/>
      <c r="B2299" s="38"/>
      <c r="C2299" s="174"/>
      <c r="D2299" s="174"/>
      <c r="E2299" s="174"/>
      <c r="F2299" s="174"/>
      <c r="G2299" s="174"/>
      <c r="H2299" s="174"/>
      <c r="I2299" s="174"/>
      <c r="J2299" s="174"/>
      <c r="K2299" s="174"/>
      <c r="L2299" s="174"/>
      <c r="M2299" s="174"/>
      <c r="N2299" s="174"/>
      <c r="O2299" s="174"/>
      <c r="P2299" s="174"/>
      <c r="Q2299" s="174"/>
      <c r="R2299" s="174"/>
      <c r="S2299" s="174"/>
      <c r="T2299" s="174"/>
      <c r="U2299" s="174"/>
      <c r="V2299" s="174"/>
      <c r="W2299" s="177"/>
      <c r="AQ2299" s="177">
        <f>IF($AT$2253&gt;0,'Assumptions (Petroleum)'!$V$13*Model!$AT$2253*'Assumptions (Petroleum)'!AP$2/10^9,0)</f>
        <v>0</v>
      </c>
      <c r="AR2299" s="177">
        <f>IF($AT$2253&gt;0,'Assumptions (Petroleum)'!$V$13*Model!$AT$2253*'Assumptions (Petroleum)'!AQ$2/10^9,0)</f>
        <v>0</v>
      </c>
      <c r="AS2299" s="177">
        <f>IF($AT$2253&gt;0,'Assumptions (Petroleum)'!$V$13*Model!$AT$2253*'Assumptions (Petroleum)'!AR$2/10^9,0)</f>
        <v>0</v>
      </c>
    </row>
    <row r="2300" ht="15.75" hidden="1" customHeight="1" outlineLevel="1">
      <c r="A2300" s="328"/>
      <c r="B2300" s="38"/>
      <c r="C2300" s="174"/>
      <c r="D2300" s="174"/>
      <c r="E2300" s="174"/>
      <c r="F2300" s="174"/>
      <c r="G2300" s="174"/>
      <c r="H2300" s="174"/>
      <c r="I2300" s="174"/>
      <c r="J2300" s="174"/>
      <c r="K2300" s="174"/>
      <c r="L2300" s="174"/>
      <c r="M2300" s="174"/>
      <c r="N2300" s="174"/>
      <c r="O2300" s="174"/>
      <c r="P2300" s="174"/>
      <c r="Q2300" s="174"/>
      <c r="R2300" s="174"/>
      <c r="S2300" s="174"/>
      <c r="T2300" s="174"/>
      <c r="U2300" s="174"/>
      <c r="V2300" s="174"/>
      <c r="W2300" s="177"/>
      <c r="AR2300" s="177">
        <f>IF($AU$2253&gt;0,'Assumptions (Petroleum)'!$V$13*Model!$AU$2253*'Assumptions (Petroleum)'!AQ$2/10^9,0)</f>
        <v>0</v>
      </c>
      <c r="AS2300" s="177">
        <f>IF($AU$2253&gt;0,'Assumptions (Petroleum)'!$V$13*Model!$AU$2253*'Assumptions (Petroleum)'!AR$2/10^9,0)</f>
        <v>0</v>
      </c>
      <c r="AT2300" s="177">
        <f>IF($AU$2253&gt;0,'Assumptions (Petroleum)'!$V$13*Model!$AU$2253*'Assumptions (Petroleum)'!AS$2/10^9,0)</f>
        <v>0</v>
      </c>
    </row>
    <row r="2301" ht="15.75" hidden="1" customHeight="1" outlineLevel="1">
      <c r="A2301" s="328"/>
      <c r="B2301" s="38"/>
      <c r="C2301" s="174"/>
      <c r="D2301" s="174"/>
      <c r="E2301" s="174"/>
      <c r="F2301" s="174"/>
      <c r="G2301" s="174"/>
      <c r="H2301" s="174"/>
      <c r="I2301" s="174"/>
      <c r="J2301" s="174"/>
      <c r="K2301" s="174"/>
      <c r="L2301" s="174"/>
      <c r="M2301" s="174"/>
      <c r="N2301" s="174"/>
      <c r="O2301" s="174"/>
      <c r="P2301" s="174"/>
      <c r="Q2301" s="174"/>
      <c r="R2301" s="174"/>
      <c r="S2301" s="174"/>
      <c r="T2301" s="174"/>
      <c r="U2301" s="174"/>
      <c r="V2301" s="174"/>
      <c r="W2301" s="177"/>
      <c r="AS2301" s="177">
        <f>IF($AV$2253&gt;0,'Assumptions (Petroleum)'!$V$13*Model!$AV$2253*'Assumptions (Petroleum)'!AR$2/10^9,0)</f>
        <v>0</v>
      </c>
      <c r="AT2301" s="177">
        <f>IF($AV$2253&gt;0,'Assumptions (Petroleum)'!$V$13*Model!$AV$2253*'Assumptions (Petroleum)'!AS$2/10^9,0)</f>
        <v>0</v>
      </c>
      <c r="AU2301" s="177">
        <f>IF($AV$2253&gt;0,'Assumptions (Petroleum)'!$V$13*Model!$AV$2253*'Assumptions (Petroleum)'!AT$2/10^9,0)</f>
        <v>0</v>
      </c>
    </row>
    <row r="2302" ht="15.75" hidden="1" customHeight="1" outlineLevel="1">
      <c r="A2302" s="328"/>
      <c r="B2302" s="38"/>
      <c r="C2302" s="174"/>
      <c r="D2302" s="174"/>
      <c r="E2302" s="174"/>
      <c r="F2302" s="174"/>
      <c r="G2302" s="174"/>
      <c r="H2302" s="174"/>
      <c r="I2302" s="174"/>
      <c r="J2302" s="174"/>
      <c r="K2302" s="174"/>
      <c r="L2302" s="174"/>
      <c r="M2302" s="174"/>
      <c r="N2302" s="174"/>
      <c r="O2302" s="174"/>
      <c r="P2302" s="174"/>
      <c r="Q2302" s="174"/>
      <c r="R2302" s="174"/>
      <c r="S2302" s="174"/>
      <c r="T2302" s="174"/>
      <c r="U2302" s="174"/>
      <c r="V2302" s="174"/>
      <c r="W2302" s="177"/>
      <c r="AT2302" s="177">
        <f>IF($AW$2253&gt;0,'Assumptions (Petroleum)'!$V$13*Model!$AW$2253*'Assumptions (Petroleum)'!AS$2/10^9,0)</f>
        <v>0</v>
      </c>
      <c r="AU2302" s="177">
        <f>IF($AW$2253&gt;0,'Assumptions (Petroleum)'!$V$13*Model!$AW$2253*'Assumptions (Petroleum)'!AT$2/10^9,0)</f>
        <v>0</v>
      </c>
      <c r="AV2302" s="177">
        <f>IF($AW$2253&gt;0,'Assumptions (Petroleum)'!$V$13*Model!$AW$2253*'Assumptions (Petroleum)'!AU$2/10^9,0)</f>
        <v>0</v>
      </c>
    </row>
    <row r="2303" ht="15.75" hidden="1" customHeight="1" outlineLevel="1">
      <c r="A2303" s="328"/>
      <c r="B2303" s="38"/>
      <c r="C2303" s="174"/>
      <c r="D2303" s="174"/>
      <c r="E2303" s="174"/>
      <c r="F2303" s="174"/>
      <c r="G2303" s="174"/>
      <c r="H2303" s="174"/>
      <c r="I2303" s="174"/>
      <c r="J2303" s="174"/>
      <c r="K2303" s="174"/>
      <c r="L2303" s="174"/>
      <c r="M2303" s="174"/>
      <c r="N2303" s="174"/>
      <c r="O2303" s="174"/>
      <c r="P2303" s="174"/>
      <c r="Q2303" s="174"/>
      <c r="R2303" s="174"/>
      <c r="S2303" s="174"/>
      <c r="T2303" s="174"/>
      <c r="U2303" s="174"/>
      <c r="V2303" s="174"/>
      <c r="W2303" s="177"/>
      <c r="AU2303" s="177">
        <f>IF($AX$2253&gt;0,'Assumptions (Petroleum)'!$V$13*Model!$AX$2253*'Assumptions (Petroleum)'!AT$2/10^9,0)</f>
        <v>0</v>
      </c>
      <c r="AV2303" s="177">
        <f>IF($AX$2253&gt;0,'Assumptions (Petroleum)'!$V$13*Model!$AX$2253*'Assumptions (Petroleum)'!AU$2/10^9,0)</f>
        <v>0</v>
      </c>
      <c r="AW2303" s="177">
        <f>IF($AX$2253&gt;0,'Assumptions (Petroleum)'!$V$13*Model!$AX$2253*'Assumptions (Petroleum)'!AV$2/10^9,0)</f>
        <v>0</v>
      </c>
    </row>
    <row r="2304" ht="15.75" hidden="1" customHeight="1" outlineLevel="1">
      <c r="A2304" s="328"/>
      <c r="B2304" s="38"/>
      <c r="C2304" s="174"/>
      <c r="D2304" s="174"/>
      <c r="E2304" s="174"/>
      <c r="F2304" s="174"/>
      <c r="G2304" s="174"/>
      <c r="H2304" s="174"/>
      <c r="I2304" s="174"/>
      <c r="J2304" s="174"/>
      <c r="K2304" s="174"/>
      <c r="L2304" s="174"/>
      <c r="M2304" s="174"/>
      <c r="N2304" s="174"/>
      <c r="O2304" s="174"/>
      <c r="P2304" s="174"/>
      <c r="Q2304" s="174"/>
      <c r="R2304" s="174"/>
      <c r="S2304" s="174"/>
      <c r="T2304" s="174"/>
      <c r="U2304" s="174"/>
      <c r="V2304" s="174"/>
      <c r="W2304" s="177"/>
      <c r="AV2304" s="177">
        <f>IF($AY$2253&gt;0,'Assumptions (Petroleum)'!$V$13*Model!$AY$2253*'Assumptions (Petroleum)'!AU$2/10^9,0)</f>
        <v>0</v>
      </c>
      <c r="AW2304" s="177">
        <f>IF($AY$2253&gt;0,'Assumptions (Petroleum)'!$V$13*Model!$AY$2253*'Assumptions (Petroleum)'!AV$2/10^9,0)</f>
        <v>0</v>
      </c>
      <c r="AX2304" s="177">
        <f>IF($AY$2253&gt;0,'Assumptions (Petroleum)'!$V$13*Model!$AY$2253*'Assumptions (Petroleum)'!AW$2/10^9,0)</f>
        <v>0</v>
      </c>
    </row>
    <row r="2305" ht="15.75" hidden="1" customHeight="1" outlineLevel="1">
      <c r="A2305" s="328"/>
      <c r="B2305" s="38"/>
      <c r="C2305" s="174"/>
      <c r="D2305" s="174"/>
      <c r="E2305" s="174"/>
      <c r="F2305" s="174"/>
      <c r="G2305" s="174"/>
      <c r="H2305" s="174"/>
      <c r="I2305" s="174"/>
      <c r="J2305" s="174"/>
      <c r="K2305" s="174"/>
      <c r="L2305" s="174"/>
      <c r="M2305" s="174"/>
      <c r="N2305" s="174"/>
      <c r="O2305" s="174"/>
      <c r="P2305" s="174"/>
      <c r="Q2305" s="174"/>
      <c r="R2305" s="174"/>
      <c r="S2305" s="174"/>
      <c r="T2305" s="174"/>
      <c r="U2305" s="174"/>
      <c r="V2305" s="174"/>
      <c r="W2305" s="177"/>
      <c r="AW2305" s="177">
        <f>IF($AZ$2253&gt;0,'Assumptions (Petroleum)'!$V$13*Model!$AZ$2253*'Assumptions (Petroleum)'!AV$2/10^9,0)</f>
        <v>0</v>
      </c>
      <c r="AX2305" s="177">
        <f>IF($AZ$2253&gt;0,'Assumptions (Petroleum)'!$V$13*Model!$AZ$2253*'Assumptions (Petroleum)'!AW$2/10^9,0)</f>
        <v>0</v>
      </c>
      <c r="AY2305" s="177">
        <f>IF($AZ$2253&gt;0,'Assumptions (Petroleum)'!$V$13*Model!$AZ$2253*'Assumptions (Petroleum)'!AX$2/10^9,0)</f>
        <v>0</v>
      </c>
    </row>
    <row r="2306" ht="15.75" hidden="1" customHeight="1" outlineLevel="1">
      <c r="A2306" s="328"/>
      <c r="B2306" s="38"/>
      <c r="C2306" s="174"/>
      <c r="D2306" s="174"/>
      <c r="E2306" s="174"/>
      <c r="F2306" s="174"/>
      <c r="G2306" s="174"/>
      <c r="H2306" s="174"/>
      <c r="I2306" s="174"/>
      <c r="J2306" s="174"/>
      <c r="K2306" s="174"/>
      <c r="L2306" s="174"/>
      <c r="M2306" s="174"/>
      <c r="N2306" s="174"/>
      <c r="O2306" s="174"/>
      <c r="P2306" s="174"/>
      <c r="Q2306" s="174"/>
      <c r="R2306" s="174"/>
      <c r="S2306" s="174"/>
      <c r="T2306" s="174"/>
      <c r="U2306" s="174"/>
      <c r="V2306" s="174"/>
      <c r="W2306" s="177"/>
      <c r="AX2306" s="177">
        <f>IF($BA$2253&gt;0,'Assumptions (Petroleum)'!$V$13*Model!$BA$2253*'Assumptions (Petroleum)'!AW$2/10^9,0)</f>
        <v>0</v>
      </c>
      <c r="AY2306" s="177">
        <f>IF($BA$2253&gt;0,'Assumptions (Petroleum)'!$V$13*Model!$BA$2253*'Assumptions (Petroleum)'!AX$2/10^9,0)</f>
        <v>0</v>
      </c>
      <c r="AZ2306" s="177">
        <f>IF($BA$2253&gt;0,'Assumptions (Petroleum)'!$V$13*Model!$BA$2253*'Assumptions (Petroleum)'!AY$2/10^9,0)</f>
        <v>0</v>
      </c>
    </row>
    <row r="2307" ht="15.75" customHeight="1" collapsed="1">
      <c r="A2307" s="330" t="s">
        <v>52</v>
      </c>
      <c r="B2307" s="150" t="s">
        <v>351</v>
      </c>
      <c r="C2307" s="279">
        <f>'Assumptions (Petroleum)'!$V$4*Model!C2255</f>
        <v>0.06171981867</v>
      </c>
      <c r="D2307" s="279">
        <f>'Assumptions (Petroleum)'!$V$4*Model!D2255</f>
        <v>0.008226425241</v>
      </c>
      <c r="E2307" s="279">
        <f>'Assumptions (Petroleum)'!$V$4*Model!E2255</f>
        <v>0.008334976415</v>
      </c>
      <c r="F2307" s="279">
        <f>'Assumptions (Petroleum)'!$V$4*Model!F2255</f>
        <v>0.008332183616</v>
      </c>
      <c r="G2307" s="279">
        <f>'Assumptions (Petroleum)'!$V$4*Model!G2255</f>
        <v>0.009400763258</v>
      </c>
      <c r="H2307" s="279">
        <f>'Assumptions (Petroleum)'!$V$4*Model!H2255</f>
        <v>0.008287002566</v>
      </c>
      <c r="I2307" s="279">
        <f>'Assumptions (Petroleum)'!$V$4*Model!I2255</f>
        <v>0.005157576177</v>
      </c>
      <c r="J2307" s="279">
        <f>'Assumptions (Petroleum)'!$V$4*Model!J2255</f>
        <v>0.001733123622</v>
      </c>
      <c r="K2307" s="279">
        <f>'Assumptions (Petroleum)'!$V$4*Model!K2255</f>
        <v>0.001829623945</v>
      </c>
      <c r="L2307" s="279">
        <f>'Assumptions (Petroleum)'!$V$4*Model!L2255</f>
        <v>0.00222973925</v>
      </c>
      <c r="M2307" s="279">
        <f>'Assumptions (Petroleum)'!$V$4*Model!M2255</f>
        <v>0.005483641079</v>
      </c>
      <c r="N2307" s="279">
        <f>'Assumptions (Petroleum)'!$V$4*Model!N2255</f>
        <v>0.004062956712</v>
      </c>
      <c r="O2307" s="279">
        <f>'Assumptions (Petroleum)'!$V$4*Model!O2255</f>
        <v>0.003657268737</v>
      </c>
      <c r="P2307" s="279">
        <f>'Assumptions (Petroleum)'!$V$4*Model!P2255</f>
        <v>0.0003250941233</v>
      </c>
      <c r="Q2307" s="279">
        <f>'Assumptions (Petroleum)'!$V$4*Model!Q2255</f>
        <v>0.0001221542821</v>
      </c>
      <c r="R2307" s="279">
        <f>'Assumptions (Petroleum)'!$V$4*Model!R2255</f>
        <v>0</v>
      </c>
      <c r="S2307" s="279">
        <f>'Assumptions (Petroleum)'!$V$4*Model!S2255</f>
        <v>0</v>
      </c>
      <c r="T2307" s="279">
        <f>'Assumptions (Petroleum)'!$V$4*Model!T2255</f>
        <v>0</v>
      </c>
      <c r="U2307" s="279">
        <f>'Assumptions (Petroleum)'!$V$4*Model!U2255</f>
        <v>0</v>
      </c>
      <c r="V2307" s="279">
        <f>'Assumptions (Petroleum)'!$V$4*Model!V2255</f>
        <v>0</v>
      </c>
      <c r="W2307" s="279">
        <f>'Assumptions (Petroleum)'!$V$4*Model!W2255</f>
        <v>0</v>
      </c>
      <c r="X2307" s="279">
        <f>'Assumptions (Petroleum)'!$V$4*Model!X2255</f>
        <v>0</v>
      </c>
      <c r="Y2307" s="279">
        <f>'Assumptions (Petroleum)'!$V$4*Model!Y2255</f>
        <v>0</v>
      </c>
      <c r="Z2307" s="279">
        <f>'Assumptions (Petroleum)'!$V$4*Model!Z2255</f>
        <v>0</v>
      </c>
      <c r="AA2307" s="279">
        <f>'Assumptions (Petroleum)'!$V$4*Model!AA2255</f>
        <v>0</v>
      </c>
      <c r="AB2307" s="279">
        <f>'Assumptions (Petroleum)'!$V$4*Model!AB2255</f>
        <v>0</v>
      </c>
      <c r="AC2307" s="279">
        <f>'Assumptions (Petroleum)'!$V$4*Model!AC2255</f>
        <v>0</v>
      </c>
      <c r="AD2307" s="279">
        <f>'Assumptions (Petroleum)'!$V$4*Model!AD2255</f>
        <v>0</v>
      </c>
      <c r="AE2307" s="279">
        <f>'Assumptions (Petroleum)'!$V$4*Model!AE2255</f>
        <v>0</v>
      </c>
      <c r="AF2307" s="279">
        <f>'Assumptions (Petroleum)'!$V$4*Model!AF2255</f>
        <v>0</v>
      </c>
      <c r="AG2307" s="279">
        <f>'Assumptions (Petroleum)'!$V$4*Model!AG2255</f>
        <v>0</v>
      </c>
      <c r="AH2307" s="279">
        <f>'Assumptions (Petroleum)'!$V$4*Model!AH2255</f>
        <v>0</v>
      </c>
      <c r="AI2307" s="279">
        <f>'Assumptions (Petroleum)'!$V$4*Model!AI2255</f>
        <v>0</v>
      </c>
      <c r="AJ2307" s="279">
        <f>'Assumptions (Petroleum)'!$V$4*Model!AJ2255</f>
        <v>0</v>
      </c>
      <c r="AK2307" s="279">
        <f>'Assumptions (Petroleum)'!$V$4*Model!AK2255</f>
        <v>0</v>
      </c>
      <c r="AL2307" s="279">
        <f>'Assumptions (Petroleum)'!$V$4*Model!AL2255</f>
        <v>0</v>
      </c>
      <c r="AM2307" s="279">
        <f>'Assumptions (Petroleum)'!$V$4*Model!AM2255</f>
        <v>0</v>
      </c>
      <c r="AN2307" s="279">
        <f>'Assumptions (Petroleum)'!$V$4*Model!AN2255</f>
        <v>0</v>
      </c>
      <c r="AO2307" s="279">
        <f>'Assumptions (Petroleum)'!$V$4*Model!AO2255</f>
        <v>0</v>
      </c>
      <c r="AP2307" s="279">
        <f>'Assumptions (Petroleum)'!$V$4*Model!AP2255</f>
        <v>0</v>
      </c>
      <c r="AQ2307" s="279">
        <f>'Assumptions (Petroleum)'!$V$4*Model!AQ2255</f>
        <v>0</v>
      </c>
      <c r="AR2307" s="279">
        <f>'Assumptions (Petroleum)'!$V$4*Model!AR2255</f>
        <v>0</v>
      </c>
      <c r="AS2307" s="279">
        <f>'Assumptions (Petroleum)'!$V$4*Model!AS2255</f>
        <v>0</v>
      </c>
      <c r="AT2307" s="279">
        <f>'Assumptions (Petroleum)'!$V$4*Model!AT2255</f>
        <v>0</v>
      </c>
      <c r="AU2307" s="279">
        <f>'Assumptions (Petroleum)'!$V$4*Model!AU2255</f>
        <v>0</v>
      </c>
      <c r="AV2307" s="279">
        <f>'Assumptions (Petroleum)'!$V$4*Model!AV2255</f>
        <v>0</v>
      </c>
      <c r="AW2307" s="279">
        <f>'Assumptions (Petroleum)'!$V$4*Model!AW2255</f>
        <v>0</v>
      </c>
      <c r="AX2307" s="279">
        <f>'Assumptions (Petroleum)'!$V$4*Model!AX2255</f>
        <v>0</v>
      </c>
      <c r="AY2307" s="279">
        <f>'Assumptions (Petroleum)'!$V$4*Model!AY2255</f>
        <v>0</v>
      </c>
      <c r="AZ2307" s="279">
        <f>'Assumptions (Petroleum)'!$V$4*Model!AZ2255</f>
        <v>0</v>
      </c>
      <c r="BA2307" s="279">
        <f>'Assumptions (Petroleum)'!$V$4*Model!BA2255</f>
        <v>0</v>
      </c>
    </row>
    <row r="2308" ht="15.75" customHeight="1">
      <c r="A2308" s="330" t="s">
        <v>54</v>
      </c>
      <c r="B2308" s="150" t="s">
        <v>351</v>
      </c>
      <c r="C2308" s="279">
        <f>'Assumptions (Petroleum)'!$V$5*Model!C2255</f>
        <v>0.04114654578</v>
      </c>
      <c r="D2308" s="279">
        <f>'Assumptions (Petroleum)'!$V$5*Model!D2255</f>
        <v>0.005484283494</v>
      </c>
      <c r="E2308" s="279">
        <f>'Assumptions (Petroleum)'!$V$5*Model!E2255</f>
        <v>0.005556650943</v>
      </c>
      <c r="F2308" s="279">
        <f>'Assumptions (Petroleum)'!$V$5*Model!F2255</f>
        <v>0.005554789077</v>
      </c>
      <c r="G2308" s="279">
        <f>'Assumptions (Petroleum)'!$V$5*Model!G2255</f>
        <v>0.006267175505</v>
      </c>
      <c r="H2308" s="279">
        <f>'Assumptions (Petroleum)'!$V$5*Model!H2255</f>
        <v>0.005524668377</v>
      </c>
      <c r="I2308" s="279">
        <f>'Assumptions (Petroleum)'!$V$5*Model!I2255</f>
        <v>0.003438384118</v>
      </c>
      <c r="J2308" s="279">
        <f>'Assumptions (Petroleum)'!$V$5*Model!J2255</f>
        <v>0.001155415748</v>
      </c>
      <c r="K2308" s="279">
        <f>'Assumptions (Petroleum)'!$V$5*Model!K2255</f>
        <v>0.001219749297</v>
      </c>
      <c r="L2308" s="279">
        <f>'Assumptions (Petroleum)'!$V$5*Model!L2255</f>
        <v>0.001486492833</v>
      </c>
      <c r="M2308" s="279">
        <f>'Assumptions (Petroleum)'!$V$5*Model!M2255</f>
        <v>0.003655760719</v>
      </c>
      <c r="N2308" s="279">
        <f>'Assumptions (Petroleum)'!$V$5*Model!N2255</f>
        <v>0.002708637808</v>
      </c>
      <c r="O2308" s="279">
        <f>'Assumptions (Petroleum)'!$V$5*Model!O2255</f>
        <v>0.002438179158</v>
      </c>
      <c r="P2308" s="279">
        <f>'Assumptions (Petroleum)'!$V$5*Model!P2255</f>
        <v>0.0002167294155</v>
      </c>
      <c r="Q2308" s="279">
        <f>'Assumptions (Petroleum)'!$V$5*Model!Q2255</f>
        <v>0.00008143618809</v>
      </c>
      <c r="R2308" s="279">
        <f>'Assumptions (Petroleum)'!$V$5*Model!R2255</f>
        <v>0</v>
      </c>
      <c r="S2308" s="279">
        <f>'Assumptions (Petroleum)'!$V$5*Model!S2255</f>
        <v>0</v>
      </c>
      <c r="T2308" s="279">
        <f>'Assumptions (Petroleum)'!$V$5*Model!T2255</f>
        <v>0</v>
      </c>
      <c r="U2308" s="279">
        <f>'Assumptions (Petroleum)'!$V$5*Model!U2255</f>
        <v>0</v>
      </c>
      <c r="V2308" s="279">
        <f>'Assumptions (Petroleum)'!$V$5*Model!V2255</f>
        <v>0</v>
      </c>
      <c r="W2308" s="279">
        <f>'Assumptions (Petroleum)'!$V$5*Model!W2255</f>
        <v>0</v>
      </c>
      <c r="X2308" s="279">
        <f>'Assumptions (Petroleum)'!$V$5*Model!X2255</f>
        <v>0</v>
      </c>
      <c r="Y2308" s="279">
        <f>'Assumptions (Petroleum)'!$V$5*Model!Y2255</f>
        <v>0</v>
      </c>
      <c r="Z2308" s="279">
        <f>'Assumptions (Petroleum)'!$V$5*Model!Z2255</f>
        <v>0</v>
      </c>
      <c r="AA2308" s="279">
        <f>'Assumptions (Petroleum)'!$V$5*Model!AA2255</f>
        <v>0</v>
      </c>
      <c r="AB2308" s="279">
        <f>'Assumptions (Petroleum)'!$V$5*Model!AB2255</f>
        <v>0</v>
      </c>
      <c r="AC2308" s="279">
        <f>'Assumptions (Petroleum)'!$V$5*Model!AC2255</f>
        <v>0</v>
      </c>
      <c r="AD2308" s="279">
        <f>'Assumptions (Petroleum)'!$V$5*Model!AD2255</f>
        <v>0</v>
      </c>
      <c r="AE2308" s="279">
        <f>'Assumptions (Petroleum)'!$V$5*Model!AE2255</f>
        <v>0</v>
      </c>
      <c r="AF2308" s="279">
        <f>'Assumptions (Petroleum)'!$V$5*Model!AF2255</f>
        <v>0</v>
      </c>
      <c r="AG2308" s="279">
        <f>'Assumptions (Petroleum)'!$V$5*Model!AG2255</f>
        <v>0</v>
      </c>
      <c r="AH2308" s="279">
        <f>'Assumptions (Petroleum)'!$V$5*Model!AH2255</f>
        <v>0</v>
      </c>
      <c r="AI2308" s="279">
        <f>'Assumptions (Petroleum)'!$V$5*Model!AI2255</f>
        <v>0</v>
      </c>
      <c r="AJ2308" s="279">
        <f>'Assumptions (Petroleum)'!$V$5*Model!AJ2255</f>
        <v>0</v>
      </c>
      <c r="AK2308" s="279">
        <f>'Assumptions (Petroleum)'!$V$5*Model!AK2255</f>
        <v>0</v>
      </c>
      <c r="AL2308" s="279">
        <f>'Assumptions (Petroleum)'!$V$5*Model!AL2255</f>
        <v>0</v>
      </c>
      <c r="AM2308" s="279">
        <f>'Assumptions (Petroleum)'!$V$5*Model!AM2255</f>
        <v>0</v>
      </c>
      <c r="AN2308" s="279">
        <f>'Assumptions (Petroleum)'!$V$5*Model!AN2255</f>
        <v>0</v>
      </c>
      <c r="AO2308" s="279">
        <f>'Assumptions (Petroleum)'!$V$5*Model!AO2255</f>
        <v>0</v>
      </c>
      <c r="AP2308" s="279">
        <f>'Assumptions (Petroleum)'!$V$5*Model!AP2255</f>
        <v>0</v>
      </c>
      <c r="AQ2308" s="279">
        <f>'Assumptions (Petroleum)'!$V$5*Model!AQ2255</f>
        <v>0</v>
      </c>
      <c r="AR2308" s="279">
        <f>'Assumptions (Petroleum)'!$V$5*Model!AR2255</f>
        <v>0</v>
      </c>
      <c r="AS2308" s="279">
        <f>'Assumptions (Petroleum)'!$V$5*Model!AS2255</f>
        <v>0</v>
      </c>
      <c r="AT2308" s="279">
        <f>'Assumptions (Petroleum)'!$V$5*Model!AT2255</f>
        <v>0</v>
      </c>
      <c r="AU2308" s="279">
        <f>'Assumptions (Petroleum)'!$V$5*Model!AU2255</f>
        <v>0</v>
      </c>
      <c r="AV2308" s="279">
        <f>'Assumptions (Petroleum)'!$V$5*Model!AV2255</f>
        <v>0</v>
      </c>
      <c r="AW2308" s="279">
        <f>'Assumptions (Petroleum)'!$V$5*Model!AW2255</f>
        <v>0</v>
      </c>
      <c r="AX2308" s="279">
        <f>'Assumptions (Petroleum)'!$V$5*Model!AX2255</f>
        <v>0</v>
      </c>
      <c r="AY2308" s="279">
        <f>'Assumptions (Petroleum)'!$V$5*Model!AY2255</f>
        <v>0</v>
      </c>
      <c r="AZ2308" s="279">
        <f>'Assumptions (Petroleum)'!$V$5*Model!AZ2255</f>
        <v>0</v>
      </c>
      <c r="BA2308" s="279">
        <f>'Assumptions (Petroleum)'!$V$5*Model!BA2255</f>
        <v>0</v>
      </c>
    </row>
    <row r="2309" ht="15.75" customHeight="1">
      <c r="A2309" s="330" t="s">
        <v>359</v>
      </c>
      <c r="B2309" s="150" t="s">
        <v>351</v>
      </c>
      <c r="C2309" s="177">
        <f t="array" ref="C2309">SUM(IF(ISERROR(C2310:C2360),"",C2310:C2360))</f>
        <v>-0.001988851059</v>
      </c>
      <c r="D2309" s="177">
        <f t="array" ref="D2309">SUM(IF(ISERROR(D2310:D2360),"",D2310:D2360))</f>
        <v>-0.002612430916</v>
      </c>
      <c r="E2309" s="177">
        <f t="array" ref="E2309">SUM(IF(ISERROR(E2310:E2360),"",E2310:E2360))</f>
        <v>-0.003104139378</v>
      </c>
      <c r="F2309" s="177">
        <f t="array" ref="F2309">SUM(IF(ISERROR(F2310:F2360),"",F2310:F2360))</f>
        <v>-0.003722392894</v>
      </c>
      <c r="G2309" s="177">
        <f t="array" ref="G2309">SUM(IF(ISERROR(G2310:G2360),"",G2310:G2360))</f>
        <v>-0.004229081667</v>
      </c>
      <c r="H2309" s="177">
        <f t="array" ref="H2309">SUM(IF(ISERROR(H2310:H2360),"",H2310:H2360))</f>
        <v>-0.004808206643</v>
      </c>
      <c r="I2309" s="177">
        <f t="array" ref="I2309">SUM(IF(ISERROR(I2310:I2360),"",I2310:I2360))</f>
        <v>-0.005511700778</v>
      </c>
      <c r="J2309" s="177">
        <f t="array" ref="J2309">SUM(IF(ISERROR(J2310:J2360),"",J2310:J2360))</f>
        <v>-0.006253921216</v>
      </c>
      <c r="K2309" s="177">
        <f t="array" ref="K2309">SUM(IF(ISERROR(K2310:K2360),"",K2310:K2360))</f>
        <v>-0.006764289309</v>
      </c>
      <c r="L2309" s="177">
        <f t="array" ref="L2309">SUM(IF(ISERROR(L2310:L2360),"",L2310:L2360))</f>
        <v>-0.007113594589</v>
      </c>
      <c r="M2309" s="177">
        <f t="array" ref="M2309">SUM(IF(ISERROR(M2310:M2360),"",M2310:M2360))</f>
        <v>-0.007451490332</v>
      </c>
      <c r="N2309" s="177">
        <f t="array" ref="N2309">SUM(IF(ISERROR(N2310:N2360),"",N2310:N2360))</f>
        <v>-0.008040690715</v>
      </c>
      <c r="O2309" s="177">
        <f t="array" ref="O2309">SUM(IF(ISERROR(O2310:O2360),"",O2310:O2360))</f>
        <v>-0.008504886885</v>
      </c>
      <c r="P2309" s="177">
        <f t="array" ref="P2309">SUM(IF(ISERROR(P2310:P2360),"",P2310:P2360))</f>
        <v>-0.009372649169</v>
      </c>
      <c r="Q2309" s="177">
        <f t="array" ref="Q2309">SUM(IF(ISERROR(Q2310:Q2360),"",Q2310:Q2360))</f>
        <v>-0.009846373022</v>
      </c>
      <c r="R2309" s="177">
        <f t="array" ref="R2309">SUM(IF(ISERROR(R2310:R2360),"",R2310:R2360))</f>
        <v>-0.00634159785</v>
      </c>
      <c r="S2309" s="177">
        <f t="array" ref="S2309">SUM(IF(ISERROR(S2310:S2360),"",S2310:S2360))</f>
        <v>-0.005581480213</v>
      </c>
      <c r="T2309" s="177">
        <f t="array" ref="T2309">SUM(IF(ISERROR(T2310:T2360),"",T2310:T2360))</f>
        <v>-0.00510919356</v>
      </c>
      <c r="U2309" s="177">
        <f t="array" ref="U2309">SUM(IF(ISERROR(U2310:U2360),"",U2310:U2360))</f>
        <v>-0.004407486102</v>
      </c>
      <c r="V2309" s="177">
        <f t="array" ref="V2309">SUM(IF(ISERROR(V2310:V2360),"",V2310:V2360))</f>
        <v>-0.003955143383</v>
      </c>
      <c r="W2309" s="177">
        <f t="array" ref="W2309">SUM(IF(ISERROR(W2310:W2360),"",W2310:W2360))</f>
        <v>-0.003384291774</v>
      </c>
      <c r="X2309" s="177">
        <f t="array" ref="X2309">SUM(IF(ISERROR(X2310:X2360),"",X2310:X2360))</f>
        <v>-0.002592031255</v>
      </c>
      <c r="Y2309" s="177">
        <f t="array" ref="Y2309">SUM(IF(ISERROR(Y2310:Y2360),"",Y2310:Y2360))</f>
        <v>-0.001751486335</v>
      </c>
      <c r="Z2309" s="177">
        <f t="array" ref="Z2309">SUM(IF(ISERROR(Z2310:Z2360),"",Z2310:Z2360))</f>
        <v>-0.001406808578</v>
      </c>
      <c r="AA2309" s="177">
        <f t="array" ref="AA2309">SUM(IF(ISERROR(AA2310:AA2360),"",AA2310:AA2360))</f>
        <v>-0.001417463546</v>
      </c>
      <c r="AB2309" s="177">
        <f t="array" ref="AB2309">SUM(IF(ISERROR(AB2310:AB2360),"",AB2310:AB2360))</f>
        <v>-0.001484793064</v>
      </c>
      <c r="AC2309" s="177">
        <f t="array" ref="AC2309">SUM(IF(ISERROR(AC2310:AC2360),"",AC2310:AC2360))</f>
        <v>-0.001083422248</v>
      </c>
      <c r="AD2309" s="177">
        <f t="array" ref="AD2309">SUM(IF(ISERROR(AD2310:AD2360),"",AD2310:AD2360))</f>
        <v>-0.0009698722748</v>
      </c>
      <c r="AE2309" s="177">
        <f t="array" ref="AE2309">SUM(IF(ISERROR(AE2310:AE2360),"",AE2310:AE2360))</f>
        <v>-0.00008564202885</v>
      </c>
      <c r="AF2309" s="177">
        <f t="array" ref="AF2309">SUM(IF(ISERROR(AF2310:AF2360),"",AF2310:AF2360))</f>
        <v>-0.00003249554653</v>
      </c>
      <c r="AG2309" s="177">
        <f t="array" ref="AG2309">SUM(IF(ISERROR(AG2310:AG2360),"",AG2310:AG2360))</f>
        <v>0</v>
      </c>
      <c r="AH2309" s="177">
        <f t="array" ref="AH2309">SUM(IF(ISERROR(AH2310:AH2360),"",AH2310:AH2360))</f>
        <v>0</v>
      </c>
      <c r="AI2309" s="177">
        <f t="array" ref="AI2309">SUM(IF(ISERROR(AI2310:AI2360),"",AI2310:AI2360))</f>
        <v>0</v>
      </c>
      <c r="AJ2309" s="177">
        <f t="array" ref="AJ2309">SUM(IF(ISERROR(AJ2310:AJ2360),"",AJ2310:AJ2360))</f>
        <v>0</v>
      </c>
      <c r="AK2309" s="177">
        <f t="array" ref="AK2309">SUM(IF(ISERROR(AK2310:AK2360),"",AK2310:AK2360))</f>
        <v>0</v>
      </c>
      <c r="AL2309" s="177">
        <f t="array" ref="AL2309">SUM(IF(ISERROR(AL2310:AL2360),"",AL2310:AL2360))</f>
        <v>0</v>
      </c>
      <c r="AM2309" s="177">
        <f t="array" ref="AM2309">SUM(IF(ISERROR(AM2310:AM2360),"",AM2310:AM2360))</f>
        <v>0</v>
      </c>
      <c r="AN2309" s="177">
        <f t="array" ref="AN2309">SUM(IF(ISERROR(AN2310:AN2360),"",AN2310:AN2360))</f>
        <v>0</v>
      </c>
      <c r="AO2309" s="177">
        <f t="array" ref="AO2309">SUM(IF(ISERROR(AO2310:AO2360),"",AO2310:AO2360))</f>
        <v>0</v>
      </c>
      <c r="AP2309" s="177">
        <f t="array" ref="AP2309">SUM(IF(ISERROR(AP2310:AP2360),"",AP2310:AP2360))</f>
        <v>0</v>
      </c>
      <c r="AQ2309" s="177">
        <f t="array" ref="AQ2309">SUM(IF(ISERROR(AQ2310:AQ2360),"",AQ2310:AQ2360))</f>
        <v>0</v>
      </c>
      <c r="AR2309" s="177">
        <f t="array" ref="AR2309">SUM(IF(ISERROR(AR2310:AR2360),"",AR2310:AR2360))</f>
        <v>0</v>
      </c>
      <c r="AS2309" s="177">
        <f t="array" ref="AS2309">SUM(IF(ISERROR(AS2310:AS2360),"",AS2310:AS2360))</f>
        <v>0</v>
      </c>
      <c r="AT2309" s="177">
        <f t="array" ref="AT2309">SUM(IF(ISERROR(AT2310:AT2360),"",AT2310:AT2360))</f>
        <v>0</v>
      </c>
      <c r="AU2309" s="177">
        <f t="array" ref="AU2309">SUM(IF(ISERROR(AU2310:AU2360),"",AU2310:AU2360))</f>
        <v>0</v>
      </c>
      <c r="AV2309" s="177">
        <f t="array" ref="AV2309">SUM(IF(ISERROR(AV2310:AV2360),"",AV2310:AV2360))</f>
        <v>0</v>
      </c>
      <c r="AW2309" s="177">
        <f t="array" ref="AW2309">SUM(IF(ISERROR(AW2310:AW2360),"",AW2310:AW2360))</f>
        <v>0</v>
      </c>
      <c r="AX2309" s="177">
        <f t="array" ref="AX2309">SUM(IF(ISERROR(AX2310:AX2360),"",AX2310:AX2360))</f>
        <v>0</v>
      </c>
      <c r="AY2309" s="177">
        <f t="array" ref="AY2309">SUM(IF(ISERROR(AY2310:AY2360),"",AY2310:AY2360))</f>
        <v>0</v>
      </c>
      <c r="AZ2309" s="177">
        <f t="array" ref="AZ2309">SUM(IF(ISERROR(AZ2310:AZ2360),"",AZ2310:AZ2360))</f>
        <v>0</v>
      </c>
      <c r="BA2309" s="177">
        <f t="array" ref="BA2309">SUM(IF(ISERROR(BA2310:BA2360),"",BA2310:BA2360))</f>
        <v>0</v>
      </c>
      <c r="BB2309" s="177">
        <f t="array" ref="BB2309">SUM(IF(ISERROR(BB2310:BB2360),"",BB2310:BB2360))</f>
        <v>0</v>
      </c>
      <c r="BC2309" s="177">
        <f t="array" ref="BC2309">SUM(IF(ISERROR(BC2310:BC2360),"",BC2310:BC2360))</f>
        <v>0</v>
      </c>
      <c r="BD2309" s="177">
        <f t="array" ref="BD2309">SUM(IF(ISERROR(BD2310:BD2360),"",BD2310:BD2360))</f>
        <v>0</v>
      </c>
      <c r="BE2309" s="177">
        <f t="array" ref="BE2309">SUM(IF(ISERROR(BE2310:BE2360),"",BE2310:BE2360))</f>
        <v>0</v>
      </c>
      <c r="BF2309" s="177">
        <f t="array" ref="BF2309">SUM(IF(ISERROR(BF2310:BF2360),"",BF2310:BF2360))</f>
        <v>0</v>
      </c>
      <c r="BG2309" s="177">
        <f t="array" ref="BG2309">SUM(IF(ISERROR(BG2310:BG2360),"",BG2310:BG2360))</f>
        <v>0</v>
      </c>
      <c r="BH2309" s="177">
        <f t="array" ref="BH2309">SUM(IF(ISERROR(BH2310:BH2360),"",BH2310:BH2360))</f>
        <v>0</v>
      </c>
      <c r="BI2309" s="177">
        <f t="array" ref="BI2309">SUM(IF(ISERROR(BI2310:BI2360),"",BI2310:BI2360))</f>
        <v>0</v>
      </c>
      <c r="BJ2309" s="177">
        <f t="array" ref="BJ2309">SUM(IF(ISERROR(BJ2310:BJ2360),"",BJ2310:BJ2360))</f>
        <v>0</v>
      </c>
      <c r="BK2309" s="177">
        <f t="array" ref="BK2309">SUM(IF(ISERROR(BK2310:BK2360),"",BK2310:BK2360))</f>
        <v>0</v>
      </c>
      <c r="BL2309" s="177">
        <f t="array" ref="BL2309">SUM(IF(ISERROR(BL2310:BL2360),"",BL2310:BL2360))</f>
        <v>0</v>
      </c>
      <c r="BM2309" s="177">
        <f t="array" ref="BM2309">SUM(IF(ISERROR(BM2310:BM2360),"",BM2310:BM2360))</f>
        <v>0</v>
      </c>
      <c r="BN2309" s="177">
        <f t="array" ref="BN2309">SUM(IF(ISERROR(BN2310:BN2360),"",BN2310:BN2360))</f>
        <v>0</v>
      </c>
      <c r="BO2309" s="177">
        <f t="array" ref="BO2309">SUM(IF(ISERROR(BO2310:BO2360),"",BO2310:BO2360))</f>
        <v>0</v>
      </c>
    </row>
    <row r="2310" ht="15.75" hidden="1" customHeight="1" outlineLevel="1">
      <c r="A2310" s="328"/>
      <c r="B2310" s="38"/>
      <c r="C2310" s="177">
        <f>IF($C$2253&gt;0,PPMT('Assumptions (Petroleum)'!$V$6,Model!W$1,'Assumptions (Petroleum)'!$V$9,'Assumptions (Petroleum)'!$V$4*Model!$C$2253*'Assumptions (Petroleum)'!$B$2/10^9),0)</f>
        <v>-0.001988851059</v>
      </c>
      <c r="D2310" s="177">
        <f>IF($C$2253&gt;0,PPMT('Assumptions (Petroleum)'!$V$6,Model!X$1,'Assumptions (Petroleum)'!$V$9,'Assumptions (Petroleum)'!$V$4*Model!$C$2253*'Assumptions (Petroleum)'!$B$2/10^9),0)</f>
        <v>-0.002083321484</v>
      </c>
      <c r="E2310" s="177">
        <f>IF($C$2253&gt;0,PPMT('Assumptions (Petroleum)'!$V$6,Model!Y$1,'Assumptions (Petroleum)'!$V$9,'Assumptions (Petroleum)'!$V$4*Model!$C$2253*'Assumptions (Petroleum)'!$B$2/10^9),0)</f>
        <v>-0.002182279254</v>
      </c>
      <c r="F2310" s="177">
        <f>IF($C$2253&gt;0,PPMT('Assumptions (Petroleum)'!$V$6,Model!Z$1,'Assumptions (Petroleum)'!$V$9,'Assumptions (Petroleum)'!$V$4*Model!$C$2253*'Assumptions (Petroleum)'!$B$2/10^9),0)</f>
        <v>-0.002285937519</v>
      </c>
      <c r="G2310" s="177">
        <f>IF($C$2253&gt;0,PPMT('Assumptions (Petroleum)'!$V$6,Model!AA$1,'Assumptions (Petroleum)'!$V$9,'Assumptions (Petroleum)'!$V$4*Model!$C$2253*'Assumptions (Petroleum)'!$B$2/10^9),0)</f>
        <v>-0.002394519551</v>
      </c>
      <c r="H2310" s="177">
        <f>IF($C$2253&gt;0,PPMT('Assumptions (Petroleum)'!$V$6,Model!AB$1,'Assumptions (Petroleum)'!$V$9,'Assumptions (Petroleum)'!$V$4*Model!$C$2253*'Assumptions (Petroleum)'!$B$2/10^9),0)</f>
        <v>-0.00250825923</v>
      </c>
      <c r="I2310" s="177">
        <f>IF($C$2253&gt;0,PPMT('Assumptions (Petroleum)'!$V$6,Model!AC$1,'Assumptions (Petroleum)'!$V$9,'Assumptions (Petroleum)'!$V$4*Model!$C$2253*'Assumptions (Petroleum)'!$B$2/10^9),0)</f>
        <v>-0.002627401543</v>
      </c>
      <c r="J2310" s="177">
        <f>IF($C$2253&gt;0,PPMT('Assumptions (Petroleum)'!$V$6,Model!AD$1,'Assumptions (Petroleum)'!$V$9,'Assumptions (Petroleum)'!$V$4*Model!$C$2253*'Assumptions (Petroleum)'!$B$2/10^9),0)</f>
        <v>-0.002752203116</v>
      </c>
      <c r="K2310" s="177">
        <f>IF($C$2253&gt;0,PPMT('Assumptions (Petroleum)'!$V$6,Model!AE$1,'Assumptions (Petroleum)'!$V$9,'Assumptions (Petroleum)'!$V$4*Model!$C$2253*'Assumptions (Petroleum)'!$B$2/10^9),0)</f>
        <v>-0.002882932764</v>
      </c>
      <c r="L2310" s="177">
        <f>IF($C$2253&gt;0,PPMT('Assumptions (Petroleum)'!$V$6,Model!AF$1,'Assumptions (Petroleum)'!$V$9,'Assumptions (Petroleum)'!$V$4*Model!$C$2253*'Assumptions (Petroleum)'!$B$2/10^9),0)</f>
        <v>-0.003019872071</v>
      </c>
      <c r="M2310" s="177">
        <f>IF($C$2253&gt;0,PPMT('Assumptions (Petroleum)'!$V$6,Model!AG$1,'Assumptions (Petroleum)'!$V$9,'Assumptions (Petroleum)'!$V$4*Model!$C$2253*'Assumptions (Petroleum)'!$B$2/10^9),0)</f>
        <v>-0.003163315994</v>
      </c>
      <c r="N2310" s="177">
        <f>IF($C$2253&gt;0,PPMT('Assumptions (Petroleum)'!$V$6,Model!AH$1,'Assumptions (Petroleum)'!$V$9,'Assumptions (Petroleum)'!$V$4*Model!$C$2253*'Assumptions (Petroleum)'!$B$2/10^9),0)</f>
        <v>-0.003313573504</v>
      </c>
      <c r="O2310" s="177">
        <f>IF($C$2253&gt;0,PPMT('Assumptions (Petroleum)'!$V$6,Model!AI$1,'Assumptions (Petroleum)'!$V$9,'Assumptions (Petroleum)'!$V$4*Model!$C$2253*'Assumptions (Petroleum)'!$B$2/10^9),0)</f>
        <v>-0.003470968245</v>
      </c>
      <c r="P2310" s="177">
        <f>IF($C$2253&gt;0,PPMT('Assumptions (Petroleum)'!$V$6,Model!AJ$1,'Assumptions (Petroleum)'!$V$9,'Assumptions (Petroleum)'!$V$4*Model!$C$2253*'Assumptions (Petroleum)'!$B$2/10^9),0)</f>
        <v>-0.003635839237</v>
      </c>
      <c r="Q2310" s="177">
        <f>IF($C$2253&gt;0,PPMT('Assumptions (Petroleum)'!$V$6,Model!AK$1,'Assumptions (Petroleum)'!$V$9,'Assumptions (Petroleum)'!$V$4*Model!$C$2253*'Assumptions (Petroleum)'!$B$2/10^9),0)</f>
        <v>-0.003808541601</v>
      </c>
      <c r="R2310" s="177"/>
      <c r="S2310" s="177"/>
      <c r="T2310" s="177"/>
      <c r="U2310" s="177"/>
      <c r="V2310" s="177"/>
      <c r="W2310" s="177"/>
      <c r="X2310" s="177"/>
      <c r="Y2310" s="177"/>
      <c r="Z2310" s="177"/>
      <c r="AA2310" s="177"/>
      <c r="AB2310" s="160"/>
      <c r="AC2310" s="160"/>
      <c r="AD2310" s="160"/>
      <c r="AE2310" s="160"/>
      <c r="AF2310" s="160"/>
      <c r="AG2310" s="160"/>
    </row>
    <row r="2311" ht="15.75" hidden="1" customHeight="1" outlineLevel="1">
      <c r="A2311" s="328"/>
      <c r="B2311" s="38"/>
      <c r="C2311" s="160"/>
      <c r="D2311" s="177">
        <f>IF($D$2253&gt;0,PPMT('Assumptions (Petroleum)'!$V$6,Model!W$1,'Assumptions (Petroleum)'!$V$9,'Assumptions (Petroleum)'!$V$4*Model!$D$2253*'Assumptions (Petroleum)'!$B$2/10^9),0)</f>
        <v>-0.0005291094326</v>
      </c>
      <c r="E2311" s="177">
        <f>IF($D$2253&gt;0,PPMT('Assumptions (Petroleum)'!$V$6,Model!X$1,'Assumptions (Petroleum)'!$V$9,'Assumptions (Petroleum)'!$V$4*Model!$D$2253*'Assumptions (Petroleum)'!$B$2/10^9),0)</f>
        <v>-0.0005542421306</v>
      </c>
      <c r="F2311" s="177">
        <f>IF($D$2253&gt;0,PPMT('Assumptions (Petroleum)'!$V$6,Model!Y$1,'Assumptions (Petroleum)'!$V$9,'Assumptions (Petroleum)'!$V$4*Model!$D$2253*'Assumptions (Petroleum)'!$B$2/10^9),0)</f>
        <v>-0.0005805686318</v>
      </c>
      <c r="G2311" s="177">
        <f>IF($D$2253&gt;0,PPMT('Assumptions (Petroleum)'!$V$6,Model!Z$1,'Assumptions (Petroleum)'!$V$9,'Assumptions (Petroleum)'!$V$4*Model!$D$2253*'Assumptions (Petroleum)'!$B$2/10^9),0)</f>
        <v>-0.0006081456418</v>
      </c>
      <c r="H2311" s="177">
        <f>IF($D$2253&gt;0,PPMT('Assumptions (Petroleum)'!$V$6,Model!AA$1,'Assumptions (Petroleum)'!$V$9,'Assumptions (Petroleum)'!$V$4*Model!$D$2253*'Assumptions (Petroleum)'!$B$2/10^9),0)</f>
        <v>-0.0006370325598</v>
      </c>
      <c r="I2311" s="177">
        <f>IF($D$2253&gt;0,PPMT('Assumptions (Petroleum)'!$V$6,Model!AB$1,'Assumptions (Petroleum)'!$V$9,'Assumptions (Petroleum)'!$V$4*Model!$D$2253*'Assumptions (Petroleum)'!$B$2/10^9),0)</f>
        <v>-0.0006672916064</v>
      </c>
      <c r="J2311" s="177">
        <f>IF($D$2253&gt;0,PPMT('Assumptions (Petroleum)'!$V$6,Model!AC$1,'Assumptions (Petroleum)'!$V$9,'Assumptions (Petroleum)'!$V$4*Model!$D$2253*'Assumptions (Petroleum)'!$B$2/10^9),0)</f>
        <v>-0.0006989879577</v>
      </c>
      <c r="K2311" s="177">
        <f>IF($D$2253&gt;0,PPMT('Assumptions (Petroleum)'!$V$6,Model!AD$1,'Assumptions (Petroleum)'!$V$9,'Assumptions (Petroleum)'!$V$4*Model!$D$2253*'Assumptions (Petroleum)'!$B$2/10^9),0)</f>
        <v>-0.0007321898857</v>
      </c>
      <c r="L2311" s="177">
        <f>IF($D$2253&gt;0,PPMT('Assumptions (Petroleum)'!$V$6,Model!AE$1,'Assumptions (Petroleum)'!$V$9,'Assumptions (Petroleum)'!$V$4*Model!$D$2253*'Assumptions (Petroleum)'!$B$2/10^9),0)</f>
        <v>-0.0007669689053</v>
      </c>
      <c r="M2311" s="177">
        <f>IF($D$2253&gt;0,PPMT('Assumptions (Petroleum)'!$V$6,Model!AF$1,'Assumptions (Petroleum)'!$V$9,'Assumptions (Petroleum)'!$V$4*Model!$D$2253*'Assumptions (Petroleum)'!$B$2/10^9),0)</f>
        <v>-0.0008033999283</v>
      </c>
      <c r="N2311" s="177">
        <f>IF($D$2253&gt;0,PPMT('Assumptions (Petroleum)'!$V$6,Model!AG$1,'Assumptions (Petroleum)'!$V$9,'Assumptions (Petroleum)'!$V$4*Model!$D$2253*'Assumptions (Petroleum)'!$B$2/10^9),0)</f>
        <v>-0.0008415614249</v>
      </c>
      <c r="O2311" s="177">
        <f>IF($D$2253&gt;0,PPMT('Assumptions (Petroleum)'!$V$6,Model!AH$1,'Assumptions (Petroleum)'!$V$9,'Assumptions (Petroleum)'!$V$4*Model!$D$2253*'Assumptions (Petroleum)'!$B$2/10^9),0)</f>
        <v>-0.0008815355925</v>
      </c>
      <c r="P2311" s="177">
        <f>IF($D$2253&gt;0,PPMT('Assumptions (Petroleum)'!$V$6,Model!AI$1,'Assumptions (Petroleum)'!$V$9,'Assumptions (Petroleum)'!$V$4*Model!$D$2253*'Assumptions (Petroleum)'!$B$2/10^9),0)</f>
        <v>-0.0009234085332</v>
      </c>
      <c r="Q2311" s="177">
        <f>IF($D$2253&gt;0,PPMT('Assumptions (Petroleum)'!$V$6,Model!AJ$1,'Assumptions (Petroleum)'!$V$9,'Assumptions (Petroleum)'!$V$4*Model!$D$2253*'Assumptions (Petroleum)'!$B$2/10^9),0)</f>
        <v>-0.0009672704385</v>
      </c>
      <c r="R2311" s="177">
        <f>IF($D$2253&gt;0,PPMT('Assumptions (Petroleum)'!$V$6,Model!AK$1,'Assumptions (Petroleum)'!$V$9,'Assumptions (Petroleum)'!$V$4*Model!$D$2253*'Assumptions (Petroleum)'!$B$2/10^9),0)</f>
        <v>-0.001013215784</v>
      </c>
      <c r="S2311" s="177"/>
      <c r="T2311" s="177"/>
      <c r="U2311" s="177"/>
      <c r="V2311" s="177"/>
      <c r="W2311" s="177"/>
      <c r="X2311" s="177"/>
      <c r="Y2311" s="177"/>
      <c r="Z2311" s="177"/>
      <c r="AA2311" s="177"/>
      <c r="AB2311" s="177"/>
      <c r="AC2311" s="160"/>
      <c r="AD2311" s="160"/>
      <c r="AE2311" s="160"/>
      <c r="AF2311" s="160"/>
      <c r="AG2311" s="160"/>
    </row>
    <row r="2312" ht="15.75" hidden="1" customHeight="1" outlineLevel="1">
      <c r="A2312" s="328"/>
      <c r="B2312" s="38"/>
      <c r="C2312" s="160"/>
      <c r="D2312" s="160"/>
      <c r="E2312" s="160">
        <f>IF($E$2253&gt;0,PPMT('Assumptions (Petroleum)'!$V$6,Model!W$1,'Assumptions (Petroleum)'!$V$9,'Assumptions (Petroleum)'!$V$4*Model!$E$2253*AVERAGE('Assumptions (Petroleum)'!$B$2:$C$2)/10^9),0)</f>
        <v>-0.0003676179932</v>
      </c>
      <c r="F2312" s="160">
        <f>IF($E$2253&gt;0,PPMT('Assumptions (Petroleum)'!$V$6,Model!X$1,'Assumptions (Petroleum)'!$V$9,'Assumptions (Petroleum)'!$V$4*Model!$E$2253*AVERAGE('Assumptions (Petroleum)'!$B$2:$C$2)/10^9),0)</f>
        <v>-0.0003850798479</v>
      </c>
      <c r="G2312" s="160">
        <f>IF($E$2253&gt;0,PPMT('Assumptions (Petroleum)'!$V$6,Model!Y$1,'Assumptions (Petroleum)'!$V$9,'Assumptions (Petroleum)'!$V$4*Model!$E$2253*AVERAGE('Assumptions (Petroleum)'!$B$2:$C$2)/10^9),0)</f>
        <v>-0.0004033711407</v>
      </c>
      <c r="H2312" s="160">
        <f>IF($E$2253&gt;0,PPMT('Assumptions (Petroleum)'!$V$6,Model!Z$1,'Assumptions (Petroleum)'!$V$9,'Assumptions (Petroleum)'!$V$4*Model!$E$2253*AVERAGE('Assumptions (Petroleum)'!$B$2:$C$2)/10^9),0)</f>
        <v>-0.0004225312699</v>
      </c>
      <c r="I2312" s="160">
        <f>IF($E$2253&gt;0,PPMT('Assumptions (Petroleum)'!$V$6,Model!AA$1,'Assumptions (Petroleum)'!$V$9,'Assumptions (Petroleum)'!$V$4*Model!$E$2253*AVERAGE('Assumptions (Petroleum)'!$B$2:$C$2)/10^9),0)</f>
        <v>-0.0004426015052</v>
      </c>
      <c r="J2312" s="160">
        <f>IF($E$2253&gt;0,PPMT('Assumptions (Petroleum)'!$V$6,Model!AB$1,'Assumptions (Petroleum)'!$V$9,'Assumptions (Petroleum)'!$V$4*Model!$E$2253*AVERAGE('Assumptions (Petroleum)'!$B$2:$C$2)/10^9),0)</f>
        <v>-0.0004636250767</v>
      </c>
      <c r="K2312" s="160">
        <f>IF($E$2253&gt;0,PPMT('Assumptions (Petroleum)'!$V$6,Model!AC$1,'Assumptions (Petroleum)'!$V$9,'Assumptions (Petroleum)'!$V$4*Model!$E$2253*AVERAGE('Assumptions (Petroleum)'!$B$2:$C$2)/10^9),0)</f>
        <v>-0.0004856472678</v>
      </c>
      <c r="L2312" s="160">
        <f>IF($E$2253&gt;0,PPMT('Assumptions (Petroleum)'!$V$6,Model!AD$1,'Assumptions (Petroleum)'!$V$9,'Assumptions (Petroleum)'!$V$4*Model!$E$2253*AVERAGE('Assumptions (Petroleum)'!$B$2:$C$2)/10^9),0)</f>
        <v>-0.0005087155131</v>
      </c>
      <c r="M2312" s="160">
        <f>IF($E$2253&gt;0,PPMT('Assumptions (Petroleum)'!$V$6,Model!AE$1,'Assumptions (Petroleum)'!$V$9,'Assumptions (Petroleum)'!$V$4*Model!$E$2253*AVERAGE('Assumptions (Petroleum)'!$B$2:$C$2)/10^9),0)</f>
        <v>-0.0005328794999</v>
      </c>
      <c r="N2312" s="177">
        <f>IF($E$2253&gt;0,PPMT('Assumptions (Petroleum)'!$V$6,Model!AF$1,'Assumptions (Petroleum)'!$V$9,'Assumptions (Petroleum)'!$V$4*Model!$E$2253*AVERAGE('Assumptions (Petroleum)'!$B$2:$C$2)/10^9),0)</f>
        <v>-0.0005581912762</v>
      </c>
      <c r="O2312" s="160">
        <f>IF($E$2253&gt;0,PPMT('Assumptions (Petroleum)'!$V$6,Model!AG$1,'Assumptions (Petroleum)'!$V$9,'Assumptions (Petroleum)'!$V$4*Model!$E$2253*AVERAGE('Assumptions (Petroleum)'!$B$2:$C$2)/10^9),0)</f>
        <v>-0.0005847053618</v>
      </c>
      <c r="P2312" s="160">
        <f>IF($E$2253&gt;0,PPMT('Assumptions (Petroleum)'!$V$6,Model!AH$1,'Assumptions (Petroleum)'!$V$9,'Assumptions (Petroleum)'!$V$4*Model!$E$2253*AVERAGE('Assumptions (Petroleum)'!$B$2:$C$2)/10^9),0)</f>
        <v>-0.0006124788665</v>
      </c>
      <c r="Q2312" s="160">
        <f>IF($E$2253&gt;0,PPMT('Assumptions (Petroleum)'!$V$6,Model!AI$1,'Assumptions (Petroleum)'!$V$9,'Assumptions (Petroleum)'!$V$4*Model!$E$2253*AVERAGE('Assumptions (Petroleum)'!$B$2:$C$2)/10^9),0)</f>
        <v>-0.0006415716126</v>
      </c>
      <c r="R2312" s="160">
        <f>IF($E$2253&gt;0,PPMT('Assumptions (Petroleum)'!$V$6,Model!AJ$1,'Assumptions (Petroleum)'!$V$9,'Assumptions (Petroleum)'!$V$4*Model!$E$2253*AVERAGE('Assumptions (Petroleum)'!$B$2:$C$2)/10^9),0)</f>
        <v>-0.0006720462642</v>
      </c>
      <c r="S2312" s="160">
        <f>IF($E$2253&gt;0,PPMT('Assumptions (Petroleum)'!$V$6,Model!AK$1,'Assumptions (Petroleum)'!$V$9,'Assumptions (Petroleum)'!$V$4*Model!$E$2253*AVERAGE('Assumptions (Petroleum)'!$B$2:$C$2)/10^9),0)</f>
        <v>-0.0007039684618</v>
      </c>
      <c r="T2312" s="160"/>
      <c r="U2312" s="160"/>
      <c r="V2312" s="160"/>
      <c r="W2312" s="160"/>
      <c r="X2312" s="160"/>
      <c r="Y2312" s="160"/>
      <c r="Z2312" s="160"/>
      <c r="AA2312" s="160"/>
      <c r="AB2312" s="160"/>
      <c r="AC2312" s="160"/>
      <c r="AD2312" s="160"/>
      <c r="AE2312" s="160"/>
      <c r="AF2312" s="160"/>
      <c r="AG2312" s="160"/>
    </row>
    <row r="2313" ht="15.75" hidden="1" customHeight="1" outlineLevel="1">
      <c r="A2313" s="328"/>
      <c r="B2313" s="38"/>
      <c r="C2313" s="160"/>
      <c r="D2313" s="160"/>
      <c r="E2313" s="160"/>
      <c r="F2313" s="160">
        <f>IF($F$2253&gt;0,PPMT('Assumptions (Petroleum)'!$V$6,Model!W$1,'Assumptions (Petroleum)'!$V$9,'Assumptions (Petroleum)'!$V$4*Model!$F$2253*AVERAGE('Assumptions (Petroleum)'!$B$2:$D$2)/10^9),0)</f>
        <v>-0.000470806895</v>
      </c>
      <c r="G2313" s="160">
        <f>IF($F$2253&gt;0,PPMT('Assumptions (Petroleum)'!$V$6,Model!X$1,'Assumptions (Petroleum)'!$V$9,'Assumptions (Petroleum)'!$V$4*Model!$F$2253*AVERAGE('Assumptions (Petroleum)'!$B$2:$D$2)/10^9),0)</f>
        <v>-0.0004931702225</v>
      </c>
      <c r="H2313" s="160">
        <f>IF($F$2253&gt;0,PPMT('Assumptions (Petroleum)'!$V$6,Model!Y$1,'Assumptions (Petroleum)'!$V$9,'Assumptions (Petroleum)'!$V$4*Model!$F$2253*AVERAGE('Assumptions (Petroleum)'!$B$2:$D$2)/10^9),0)</f>
        <v>-0.0005165958081</v>
      </c>
      <c r="I2313" s="160">
        <f>IF($F$2253&gt;0,PPMT('Assumptions (Petroleum)'!$V$6,Model!Z$1,'Assumptions (Petroleum)'!$V$9,'Assumptions (Petroleum)'!$V$4*Model!$F$2253*AVERAGE('Assumptions (Petroleum)'!$B$2:$D$2)/10^9),0)</f>
        <v>-0.0005411341089</v>
      </c>
      <c r="J2313" s="160">
        <f>IF($F$2253&gt;0,PPMT('Assumptions (Petroleum)'!$V$6,Model!AA$1,'Assumptions (Petroleum)'!$V$9,'Assumptions (Petroleum)'!$V$4*Model!$F$2253*AVERAGE('Assumptions (Petroleum)'!$B$2:$D$2)/10^9),0)</f>
        <v>-0.0005668379791</v>
      </c>
      <c r="K2313" s="160">
        <f>IF($F$2253&gt;0,PPMT('Assumptions (Petroleum)'!$V$6,Model!AB$1,'Assumptions (Petroleum)'!$V$9,'Assumptions (Petroleum)'!$V$4*Model!$F$2253*AVERAGE('Assumptions (Petroleum)'!$B$2:$D$2)/10^9),0)</f>
        <v>-0.0005937627831</v>
      </c>
      <c r="L2313" s="160">
        <f>IF($F$2253&gt;0,PPMT('Assumptions (Petroleum)'!$V$6,Model!AC$1,'Assumptions (Petroleum)'!$V$9,'Assumptions (Petroleum)'!$V$4*Model!$F$2253*AVERAGE('Assumptions (Petroleum)'!$B$2:$D$2)/10^9),0)</f>
        <v>-0.0006219665153</v>
      </c>
      <c r="M2313" s="160">
        <f>IF($F$2253&gt;0,PPMT('Assumptions (Petroleum)'!$V$6,Model!AD$1,'Assumptions (Petroleum)'!$V$9,'Assumptions (Petroleum)'!$V$4*Model!$F$2253*AVERAGE('Assumptions (Petroleum)'!$B$2:$D$2)/10^9),0)</f>
        <v>-0.0006515099248</v>
      </c>
      <c r="N2313" s="177">
        <f>IF($F$2253&gt;0,PPMT('Assumptions (Petroleum)'!$V$6,Model!AE$1,'Assumptions (Petroleum)'!$V$9,'Assumptions (Petroleum)'!$V$4*Model!$F$2253*AVERAGE('Assumptions (Petroleum)'!$B$2:$D$2)/10^9),0)</f>
        <v>-0.0006824566462</v>
      </c>
      <c r="O2313" s="160">
        <f>IF($F$2253&gt;0,PPMT('Assumptions (Petroleum)'!$V$6,Model!AF$1,'Assumptions (Petroleum)'!$V$9,'Assumptions (Petroleum)'!$V$4*Model!$F$2253*AVERAGE('Assumptions (Petroleum)'!$B$2:$D$2)/10^9),0)</f>
        <v>-0.0007148733369</v>
      </c>
      <c r="P2313" s="160">
        <f>IF($F$2253&gt;0,PPMT('Assumptions (Petroleum)'!$V$6,Model!AG$1,'Assumptions (Petroleum)'!$V$9,'Assumptions (Petroleum)'!$V$4*Model!$F$2253*AVERAGE('Assumptions (Petroleum)'!$B$2:$D$2)/10^9),0)</f>
        <v>-0.0007488298204</v>
      </c>
      <c r="Q2313" s="160">
        <f>IF($F$2253&gt;0,PPMT('Assumptions (Petroleum)'!$V$6,Model!AH$1,'Assumptions (Petroleum)'!$V$9,'Assumptions (Petroleum)'!$V$4*Model!$F$2253*AVERAGE('Assumptions (Petroleum)'!$B$2:$D$2)/10^9),0)</f>
        <v>-0.0007843992369</v>
      </c>
      <c r="R2313" s="160">
        <f>IF($F$2253&gt;0,PPMT('Assumptions (Petroleum)'!$V$6,Model!AI$1,'Assumptions (Petroleum)'!$V$9,'Assumptions (Petroleum)'!$V$4*Model!$F$2253*AVERAGE('Assumptions (Petroleum)'!$B$2:$D$2)/10^9),0)</f>
        <v>-0.0008216582006</v>
      </c>
      <c r="S2313" s="160">
        <f>IF($F$2253&gt;0,PPMT('Assumptions (Petroleum)'!$V$6,Model!AJ$1,'Assumptions (Petroleum)'!$V$9,'Assumptions (Petroleum)'!$V$4*Model!$F$2253*AVERAGE('Assumptions (Petroleum)'!$B$2:$D$2)/10^9),0)</f>
        <v>-0.0008606869652</v>
      </c>
      <c r="T2313" s="160">
        <f>IF($F$2253&gt;0,PPMT('Assumptions (Petroleum)'!$V$6,Model!AK$1,'Assumptions (Petroleum)'!$V$9,'Assumptions (Petroleum)'!$V$4*Model!$F$2253*AVERAGE('Assumptions (Petroleum)'!$B$2:$D$2)/10^9),0)</f>
        <v>-0.000901569596</v>
      </c>
      <c r="U2313" s="160"/>
      <c r="V2313" s="160"/>
      <c r="W2313" s="160"/>
      <c r="X2313" s="160"/>
      <c r="Y2313" s="160"/>
      <c r="Z2313" s="160"/>
      <c r="AA2313" s="160"/>
      <c r="AB2313" s="160"/>
      <c r="AC2313" s="160"/>
      <c r="AD2313" s="160"/>
      <c r="AE2313" s="160"/>
      <c r="AF2313" s="160"/>
      <c r="AG2313" s="160"/>
    </row>
    <row r="2314" ht="15.75" hidden="1" customHeight="1" outlineLevel="1">
      <c r="A2314" s="328"/>
      <c r="B2314" s="38"/>
      <c r="C2314" s="160"/>
      <c r="D2314" s="160"/>
      <c r="E2314" s="160"/>
      <c r="F2314" s="160"/>
      <c r="G2314" s="160">
        <f>IF($G$2253&gt;0,PPMT('Assumptions (Petroleum)'!$V$6,Model!W$1,'Assumptions (Petroleum)'!$V$9,'Assumptions (Petroleum)'!$V$4*Model!$G$2253*AVERAGE('Assumptions (Petroleum)'!$C$2:$E$2)/10^9),0)</f>
        <v>-0.0003298751114</v>
      </c>
      <c r="H2314" s="160">
        <f>IF($G$2253&gt;0,PPMT('Assumptions (Petroleum)'!$V$6,Model!X$1,'Assumptions (Petroleum)'!$V$9,'Assumptions (Petroleum)'!$V$4*Model!$G$2253*AVERAGE('Assumptions (Petroleum)'!$C$2:$E$2)/10^9),0)</f>
        <v>-0.0003455441792</v>
      </c>
      <c r="I2314" s="160">
        <f>IF($G$2253&gt;0,PPMT('Assumptions (Petroleum)'!$V$6,Model!Y$1,'Assumptions (Petroleum)'!$V$9,'Assumptions (Petroleum)'!$V$4*Model!$G$2253*AVERAGE('Assumptions (Petroleum)'!$C$2:$E$2)/10^9),0)</f>
        <v>-0.0003619575277</v>
      </c>
      <c r="J2314" s="160">
        <f>IF($G$2253&gt;0,PPMT('Assumptions (Petroleum)'!$V$6,Model!Z$1,'Assumptions (Petroleum)'!$V$9,'Assumptions (Petroleum)'!$V$4*Model!$G$2253*AVERAGE('Assumptions (Petroleum)'!$C$2:$E$2)/10^9),0)</f>
        <v>-0.0003791505103</v>
      </c>
      <c r="K2314" s="160">
        <f>IF($G$2253&gt;0,PPMT('Assumptions (Petroleum)'!$V$6,Model!AA$1,'Assumptions (Petroleum)'!$V$9,'Assumptions (Petroleum)'!$V$4*Model!$G$2253*AVERAGE('Assumptions (Petroleum)'!$C$2:$E$2)/10^9),0)</f>
        <v>-0.0003971601595</v>
      </c>
      <c r="L2314" s="160">
        <f>IF($G$2253&gt;0,PPMT('Assumptions (Petroleum)'!$V$6,Model!AB$1,'Assumptions (Petroleum)'!$V$9,'Assumptions (Petroleum)'!$V$4*Model!$G$2253*AVERAGE('Assumptions (Petroleum)'!$C$2:$E$2)/10^9),0)</f>
        <v>-0.0004160252671</v>
      </c>
      <c r="M2314" s="160">
        <f>IF($G$2253&gt;0,PPMT('Assumptions (Petroleum)'!$V$6,Model!AC$1,'Assumptions (Petroleum)'!$V$9,'Assumptions (Petroleum)'!$V$4*Model!$G$2253*AVERAGE('Assumptions (Petroleum)'!$C$2:$E$2)/10^9),0)</f>
        <v>-0.0004357864673</v>
      </c>
      <c r="N2314" s="160">
        <f>IF($G$2253&gt;0,PPMT('Assumptions (Petroleum)'!$V$6,Model!AD$1,'Assumptions (Petroleum)'!$V$9,'Assumptions (Petroleum)'!$V$4*Model!$G$2253*AVERAGE('Assumptions (Petroleum)'!$C$2:$E$2)/10^9),0)</f>
        <v>-0.0004564863245</v>
      </c>
      <c r="O2314" s="160">
        <f>IF($G$2253&gt;0,PPMT('Assumptions (Petroleum)'!$V$6,Model!AE$1,'Assumptions (Petroleum)'!$V$9,'Assumptions (Petroleum)'!$V$4*Model!$G$2253*AVERAGE('Assumptions (Petroleum)'!$C$2:$E$2)/10^9),0)</f>
        <v>-0.0004781694249</v>
      </c>
      <c r="P2314" s="160">
        <f>IF($G$2253&gt;0,PPMT('Assumptions (Petroleum)'!$V$6,Model!AF$1,'Assumptions (Petroleum)'!$V$9,'Assumptions (Petroleum)'!$V$4*Model!$G$2253*AVERAGE('Assumptions (Petroleum)'!$C$2:$E$2)/10^9),0)</f>
        <v>-0.0005008824726</v>
      </c>
      <c r="Q2314" s="160">
        <f>IF($G$2253&gt;0,PPMT('Assumptions (Petroleum)'!$V$6,Model!AG$1,'Assumptions (Petroleum)'!$V$9,'Assumptions (Petroleum)'!$V$4*Model!$G$2253*AVERAGE('Assumptions (Petroleum)'!$C$2:$E$2)/10^9),0)</f>
        <v>-0.00052467439</v>
      </c>
      <c r="R2314" s="160">
        <f>IF($G$2253&gt;0,PPMT('Assumptions (Petroleum)'!$V$6,Model!AH$1,'Assumptions (Petroleum)'!$V$9,'Assumptions (Petroleum)'!$V$4*Model!$G$2253*AVERAGE('Assumptions (Petroleum)'!$C$2:$E$2)/10^9),0)</f>
        <v>-0.0005495964236</v>
      </c>
      <c r="S2314" s="160">
        <f>IF($G$2253&gt;0,PPMT('Assumptions (Petroleum)'!$V$6,Model!AI$1,'Assumptions (Petroleum)'!$V$9,'Assumptions (Petroleum)'!$V$4*Model!$G$2253*AVERAGE('Assumptions (Petroleum)'!$C$2:$E$2)/10^9),0)</f>
        <v>-0.0005757022537</v>
      </c>
      <c r="T2314" s="160">
        <f>IF($G$2253&gt;0,PPMT('Assumptions (Petroleum)'!$V$6,Model!AJ$1,'Assumptions (Petroleum)'!$V$9,'Assumptions (Petroleum)'!$V$4*Model!$G$2253*AVERAGE('Assumptions (Petroleum)'!$C$2:$E$2)/10^9),0)</f>
        <v>-0.0006030481107</v>
      </c>
      <c r="U2314" s="160">
        <f>IF($G$2253&gt;0,PPMT('Assumptions (Petroleum)'!$V$6,Model!AK$1,'Assumptions (Petroleum)'!$V$9,'Assumptions (Petroleum)'!$V$4*Model!$G$2253*AVERAGE('Assumptions (Petroleum)'!$C$2:$E$2)/10^9),0)</f>
        <v>-0.000631692896</v>
      </c>
      <c r="V2314" s="160"/>
      <c r="W2314" s="160"/>
      <c r="X2314" s="160"/>
      <c r="Y2314" s="160"/>
      <c r="Z2314" s="160"/>
      <c r="AA2314" s="160"/>
      <c r="AB2314" s="160"/>
      <c r="AC2314" s="160"/>
      <c r="AD2314" s="160"/>
      <c r="AE2314" s="160"/>
      <c r="AF2314" s="160"/>
      <c r="AG2314" s="160"/>
    </row>
    <row r="2315" ht="15.75" hidden="1" customHeight="1" outlineLevel="1">
      <c r="A2315" s="328"/>
      <c r="B2315" s="38"/>
      <c r="C2315" s="160"/>
      <c r="D2315" s="160"/>
      <c r="E2315" s="160"/>
      <c r="F2315" s="160"/>
      <c r="G2315" s="160"/>
      <c r="H2315" s="160">
        <f>IF($H$2253&gt;0,PPMT('Assumptions (Petroleum)'!$V$6,Model!W$1,'Assumptions (Petroleum)'!$V$9,'Assumptions (Petroleum)'!$V$4*Model!$H$2253*AVERAGE('Assumptions (Petroleum)'!$D$2:$F$2)/10^9),0)</f>
        <v>-0.0003782435964</v>
      </c>
      <c r="I2315" s="160">
        <f>IF($H$2253&gt;0,PPMT('Assumptions (Petroleum)'!$V$6,Model!X$1,'Assumptions (Petroleum)'!$V$9,'Assumptions (Petroleum)'!$V$4*Model!$H$2253*AVERAGE('Assumptions (Petroleum)'!$D$2:$F$2)/10^9),0)</f>
        <v>-0.0003962101672</v>
      </c>
      <c r="J2315" s="160">
        <f>IF($H$2253&gt;0,PPMT('Assumptions (Petroleum)'!$V$6,Model!Y$1,'Assumptions (Petroleum)'!$V$9,'Assumptions (Petroleum)'!$V$4*Model!$H$2253*AVERAGE('Assumptions (Petroleum)'!$D$2:$F$2)/10^9),0)</f>
        <v>-0.0004150301501</v>
      </c>
      <c r="K2315" s="160">
        <f>IF($H$2253&gt;0,PPMT('Assumptions (Petroleum)'!$V$6,Model!Z$1,'Assumptions (Petroleum)'!$V$9,'Assumptions (Petroleum)'!$V$4*Model!$H$2253*AVERAGE('Assumptions (Petroleum)'!$D$2:$F$2)/10^9),0)</f>
        <v>-0.0004347440823</v>
      </c>
      <c r="L2315" s="160">
        <f>IF($H$2253&gt;0,PPMT('Assumptions (Petroleum)'!$V$6,Model!AA$1,'Assumptions (Petroleum)'!$V$9,'Assumptions (Petroleum)'!$V$4*Model!$H$2253*AVERAGE('Assumptions (Petroleum)'!$D$2:$F$2)/10^9),0)</f>
        <v>-0.0004553944262</v>
      </c>
      <c r="M2315" s="160">
        <f>IF($H$2253&gt;0,PPMT('Assumptions (Petroleum)'!$V$6,Model!AB$1,'Assumptions (Petroleum)'!$V$9,'Assumptions (Petroleum)'!$V$4*Model!$H$2253*AVERAGE('Assumptions (Petroleum)'!$D$2:$F$2)/10^9),0)</f>
        <v>-0.0004770256614</v>
      </c>
      <c r="N2315" s="160">
        <f>IF($H$2253&gt;0,PPMT('Assumptions (Petroleum)'!$V$6,Model!AC$1,'Assumptions (Petroleum)'!$V$9,'Assumptions (Petroleum)'!$V$4*Model!$H$2253*AVERAGE('Assumptions (Petroleum)'!$D$2:$F$2)/10^9),0)</f>
        <v>-0.0004996843803</v>
      </c>
      <c r="O2315" s="160">
        <f>IF($H$2253&gt;0,PPMT('Assumptions (Petroleum)'!$V$6,Model!AD$1,'Assumptions (Petroleum)'!$V$9,'Assumptions (Petroleum)'!$V$4*Model!$H$2253*AVERAGE('Assumptions (Petroleum)'!$D$2:$F$2)/10^9),0)</f>
        <v>-0.0005234193884</v>
      </c>
      <c r="P2315" s="160">
        <f>IF($H$2253&gt;0,PPMT('Assumptions (Petroleum)'!$V$6,Model!AE$1,'Assumptions (Petroleum)'!$V$9,'Assumptions (Petroleum)'!$V$4*Model!$H$2253*AVERAGE('Assumptions (Petroleum)'!$D$2:$F$2)/10^9),0)</f>
        <v>-0.0005482818094</v>
      </c>
      <c r="Q2315" s="160">
        <f>IF($H$2253&gt;0,PPMT('Assumptions (Petroleum)'!$V$6,Model!AF$1,'Assumptions (Petroleum)'!$V$9,'Assumptions (Petroleum)'!$V$4*Model!$H$2253*AVERAGE('Assumptions (Petroleum)'!$D$2:$F$2)/10^9),0)</f>
        <v>-0.0005743251953</v>
      </c>
      <c r="R2315" s="160">
        <f>IF($H$2253&gt;0,PPMT('Assumptions (Petroleum)'!$V$6,Model!AG$1,'Assumptions (Petroleum)'!$V$9,'Assumptions (Petroleum)'!$V$4*Model!$H$2253*AVERAGE('Assumptions (Petroleum)'!$D$2:$F$2)/10^9),0)</f>
        <v>-0.0006016056421</v>
      </c>
      <c r="S2315" s="160">
        <f>IF($H$2253&gt;0,PPMT('Assumptions (Petroleum)'!$V$6,Model!AH$1,'Assumptions (Petroleum)'!$V$9,'Assumptions (Petroleum)'!$V$4*Model!$H$2253*AVERAGE('Assumptions (Petroleum)'!$D$2:$F$2)/10^9),0)</f>
        <v>-0.0006301819101</v>
      </c>
      <c r="T2315" s="160">
        <f>IF($H$2253&gt;0,PPMT('Assumptions (Petroleum)'!$V$6,Model!AI$1,'Assumptions (Petroleum)'!$V$9,'Assumptions (Petroleum)'!$V$4*Model!$H$2253*AVERAGE('Assumptions (Petroleum)'!$D$2:$F$2)/10^9),0)</f>
        <v>-0.0006601155508</v>
      </c>
      <c r="U2315" s="160">
        <f>IF($H$2253&gt;0,PPMT('Assumptions (Petroleum)'!$V$6,Model!AJ$1,'Assumptions (Petroleum)'!$V$9,'Assumptions (Petroleum)'!$V$4*Model!$H$2253*AVERAGE('Assumptions (Petroleum)'!$D$2:$F$2)/10^9),0)</f>
        <v>-0.0006914710395</v>
      </c>
      <c r="V2315" s="160">
        <f>IF($H$2253&gt;0,PPMT('Assumptions (Petroleum)'!$V$6,Model!AK$1,'Assumptions (Petroleum)'!$V$9,'Assumptions (Petroleum)'!$V$4*Model!$H$2253*AVERAGE('Assumptions (Petroleum)'!$D$2:$F$2)/10^9),0)</f>
        <v>-0.0007243159138</v>
      </c>
      <c r="W2315" s="160"/>
      <c r="X2315" s="160"/>
      <c r="Y2315" s="160"/>
      <c r="Z2315" s="160"/>
      <c r="AA2315" s="160"/>
      <c r="AB2315" s="160"/>
      <c r="AC2315" s="160"/>
      <c r="AD2315" s="160"/>
      <c r="AE2315" s="160"/>
      <c r="AF2315" s="160"/>
      <c r="AG2315" s="160"/>
    </row>
    <row r="2316" ht="15.75" hidden="1" customHeight="1" outlineLevel="1">
      <c r="A2316" s="328"/>
      <c r="B2316" s="38"/>
      <c r="C2316" s="160"/>
      <c r="D2316" s="160"/>
      <c r="E2316" s="160"/>
      <c r="F2316" s="160"/>
      <c r="G2316" s="160"/>
      <c r="H2316" s="160"/>
      <c r="I2316" s="160">
        <f>IF($I$2253&gt;0,PPMT('Assumptions (Petroleum)'!$V$6,Model!W$1,'Assumptions (Petroleum)'!$V$9,'Assumptions (Petroleum)'!$V$4*Model!$I$2253*AVERAGE('Assumptions (Petroleum)'!$E$2:$G$2)/10^9),0)</f>
        <v>-0.0004751043191</v>
      </c>
      <c r="J2316" s="160">
        <f>IF($I$2253&gt;0,PPMT('Assumptions (Petroleum)'!$V$6,Model!X$1,'Assumptions (Petroleum)'!$V$9,'Assumptions (Petroleum)'!$V$4*Model!$I$2253*AVERAGE('Assumptions (Petroleum)'!$E$2:$G$2)/10^9),0)</f>
        <v>-0.0004976717743</v>
      </c>
      <c r="K2316" s="160">
        <f>IF($I$2253&gt;0,PPMT('Assumptions (Petroleum)'!$V$6,Model!Y$1,'Assumptions (Petroleum)'!$V$9,'Assumptions (Petroleum)'!$V$4*Model!$I$2253*AVERAGE('Assumptions (Petroleum)'!$E$2:$G$2)/10^9),0)</f>
        <v>-0.0005213111836</v>
      </c>
      <c r="L2316" s="160">
        <f>IF($I$2253&gt;0,PPMT('Assumptions (Petroleum)'!$V$6,Model!Z$1,'Assumptions (Petroleum)'!$V$9,'Assumptions (Petroleum)'!$V$4*Model!$I$2253*AVERAGE('Assumptions (Petroleum)'!$E$2:$G$2)/10^9),0)</f>
        <v>-0.0005460734648</v>
      </c>
      <c r="M2316" s="160">
        <f>IF($I$2253&gt;0,PPMT('Assumptions (Petroleum)'!$V$6,Model!AA$1,'Assumptions (Petroleum)'!$V$9,'Assumptions (Petroleum)'!$V$4*Model!$I$2253*AVERAGE('Assumptions (Petroleum)'!$E$2:$G$2)/10^9),0)</f>
        <v>-0.0005720119544</v>
      </c>
      <c r="N2316" s="160">
        <f>IF($I$2253&gt;0,PPMT('Assumptions (Petroleum)'!$V$6,Model!AB$1,'Assumptions (Petroleum)'!$V$9,'Assumptions (Petroleum)'!$V$4*Model!$I$2253*AVERAGE('Assumptions (Petroleum)'!$E$2:$G$2)/10^9),0)</f>
        <v>-0.0005991825222</v>
      </c>
      <c r="O2316" s="160">
        <f>IF($I$2253&gt;0,PPMT('Assumptions (Petroleum)'!$V$6,Model!AC$1,'Assumptions (Petroleum)'!$V$9,'Assumptions (Petroleum)'!$V$4*Model!$I$2253*AVERAGE('Assumptions (Petroleum)'!$E$2:$G$2)/10^9),0)</f>
        <v>-0.000627643692</v>
      </c>
      <c r="P2316" s="160">
        <f>IF($I$2253&gt;0,PPMT('Assumptions (Petroleum)'!$V$6,Model!AD$1,'Assumptions (Petroleum)'!$V$9,'Assumptions (Petroleum)'!$V$4*Model!$I$2253*AVERAGE('Assumptions (Petroleum)'!$E$2:$G$2)/10^9),0)</f>
        <v>-0.0006574567674</v>
      </c>
      <c r="Q2316" s="160">
        <f>IF($I$2253&gt;0,PPMT('Assumptions (Petroleum)'!$V$6,Model!AE$1,'Assumptions (Petroleum)'!$V$9,'Assumptions (Petroleum)'!$V$4*Model!$I$2253*AVERAGE('Assumptions (Petroleum)'!$E$2:$G$2)/10^9),0)</f>
        <v>-0.0006886859638</v>
      </c>
      <c r="R2316" s="160">
        <f>IF($I$2253&gt;0,PPMT('Assumptions (Petroleum)'!$V$6,Model!AF$1,'Assumptions (Petroleum)'!$V$9,'Assumptions (Petroleum)'!$V$4*Model!$I$2253*AVERAGE('Assumptions (Petroleum)'!$E$2:$G$2)/10^9),0)</f>
        <v>-0.0007213985471</v>
      </c>
      <c r="S2316" s="160">
        <f>IF($I$2253&gt;0,PPMT('Assumptions (Petroleum)'!$V$6,Model!AG$1,'Assumptions (Petroleum)'!$V$9,'Assumptions (Petroleum)'!$V$4*Model!$I$2253*AVERAGE('Assumptions (Petroleum)'!$E$2:$G$2)/10^9),0)</f>
        <v>-0.0007556649781</v>
      </c>
      <c r="T2316" s="160">
        <f>IF($I$2253&gt;0,PPMT('Assumptions (Petroleum)'!$V$6,Model!AH$1,'Assumptions (Petroleum)'!$V$9,'Assumptions (Petroleum)'!$V$4*Model!$I$2253*AVERAGE('Assumptions (Petroleum)'!$E$2:$G$2)/10^9),0)</f>
        <v>-0.0007915590646</v>
      </c>
      <c r="U2316" s="160">
        <f>IF($I$2253&gt;0,PPMT('Assumptions (Petroleum)'!$V$6,Model!AI$1,'Assumptions (Petroleum)'!$V$9,'Assumptions (Petroleum)'!$V$4*Model!$I$2253*AVERAGE('Assumptions (Petroleum)'!$E$2:$G$2)/10^9),0)</f>
        <v>-0.0008291581201</v>
      </c>
      <c r="V2316" s="160">
        <f>IF($I$2253&gt;0,PPMT('Assumptions (Petroleum)'!$V$6,Model!AJ$1,'Assumptions (Petroleum)'!$V$9,'Assumptions (Petroleum)'!$V$4*Model!$I$2253*AVERAGE('Assumptions (Petroleum)'!$E$2:$G$2)/10^9),0)</f>
        <v>-0.0008685431308</v>
      </c>
      <c r="W2316" s="160">
        <f>IF($I$2253&gt;0,PPMT('Assumptions (Petroleum)'!$V$6,Model!AK$1,'Assumptions (Petroleum)'!$V$9,'Assumptions (Petroleum)'!$V$4*Model!$I$2253*AVERAGE('Assumptions (Petroleum)'!$E$2:$G$2)/10^9),0)</f>
        <v>-0.0009097989296</v>
      </c>
      <c r="X2316" s="160"/>
      <c r="Y2316" s="160"/>
      <c r="Z2316" s="160"/>
      <c r="AA2316" s="160"/>
      <c r="AB2316" s="160"/>
      <c r="AC2316" s="160"/>
      <c r="AD2316" s="160"/>
      <c r="AE2316" s="160"/>
      <c r="AF2316" s="160"/>
      <c r="AG2316" s="160"/>
    </row>
    <row r="2317" ht="15.75" hidden="1" customHeight="1" outlineLevel="1">
      <c r="A2317" s="328"/>
      <c r="B2317" s="38"/>
      <c r="C2317" s="160"/>
      <c r="D2317" s="160"/>
      <c r="E2317" s="160"/>
      <c r="F2317" s="160"/>
      <c r="G2317" s="160"/>
      <c r="H2317" s="160"/>
      <c r="I2317" s="160"/>
      <c r="J2317" s="160">
        <f>IF($J$2253&gt;0,PPMT('Assumptions (Petroleum)'!$V$6,Model!W$1,'Assumptions (Petroleum)'!$V$9,'Assumptions (Petroleum)'!$V$4*Model!$J$2253*AVERAGE('Assumptions (Petroleum)'!$F$2:$H$2)/10^9),0)</f>
        <v>-0.0004804146516</v>
      </c>
      <c r="K2317" s="160">
        <f>IF($J$2253&gt;0,PPMT('Assumptions (Petroleum)'!$V$6,Model!X$1,'Assumptions (Petroleum)'!$V$9,'Assumptions (Petroleum)'!$V$4*Model!$J$2253*AVERAGE('Assumptions (Petroleum)'!$F$2:$H$2)/10^9),0)</f>
        <v>-0.0005032343476</v>
      </c>
      <c r="L2317" s="160">
        <f>IF($J$2253&gt;0,PPMT('Assumptions (Petroleum)'!$V$6,Model!Y$1,'Assumptions (Petroleum)'!$V$9,'Assumptions (Petroleum)'!$V$4*Model!$J$2253*AVERAGE('Assumptions (Petroleum)'!$F$2:$H$2)/10^9),0)</f>
        <v>-0.0005271379791</v>
      </c>
      <c r="M2317" s="160">
        <f>IF($J$2253&gt;0,PPMT('Assumptions (Petroleum)'!$V$6,Model!Z$1,'Assumptions (Petroleum)'!$V$9,'Assumptions (Petroleum)'!$V$4*Model!$J$2253*AVERAGE('Assumptions (Petroleum)'!$F$2:$H$2)/10^9),0)</f>
        <v>-0.0005521770331</v>
      </c>
      <c r="N2317" s="160">
        <f>IF($J$2253&gt;0,PPMT('Assumptions (Petroleum)'!$V$6,Model!AA$1,'Assumptions (Petroleum)'!$V$9,'Assumptions (Petroleum)'!$V$4*Model!$J$2253*AVERAGE('Assumptions (Petroleum)'!$F$2:$H$2)/10^9),0)</f>
        <v>-0.0005784054422</v>
      </c>
      <c r="O2317" s="160">
        <f>IF($J$2253&gt;0,PPMT('Assumptions (Petroleum)'!$V$6,Model!AB$1,'Assumptions (Petroleum)'!$V$9,'Assumptions (Petroleum)'!$V$4*Model!$J$2253*AVERAGE('Assumptions (Petroleum)'!$F$2:$H$2)/10^9),0)</f>
        <v>-0.0006058797007</v>
      </c>
      <c r="P2317" s="160">
        <f>IF($J$2253&gt;0,PPMT('Assumptions (Petroleum)'!$V$6,Model!AC$1,'Assumptions (Petroleum)'!$V$9,'Assumptions (Petroleum)'!$V$4*Model!$J$2253*AVERAGE('Assumptions (Petroleum)'!$F$2:$H$2)/10^9),0)</f>
        <v>-0.0006346589865</v>
      </c>
      <c r="Q2317" s="160">
        <f>IF($J$2253&gt;0,PPMT('Assumptions (Petroleum)'!$V$6,Model!AD$1,'Assumptions (Petroleum)'!$V$9,'Assumptions (Petroleum)'!$V$4*Model!$J$2253*AVERAGE('Assumptions (Petroleum)'!$F$2:$H$2)/10^9),0)</f>
        <v>-0.0006648052883</v>
      </c>
      <c r="R2317" s="160">
        <f>IF($J$2253&gt;0,PPMT('Assumptions (Petroleum)'!$V$6,Model!AE$1,'Assumptions (Petroleum)'!$V$9,'Assumptions (Petroleum)'!$V$4*Model!$J$2253*AVERAGE('Assumptions (Petroleum)'!$F$2:$H$2)/10^9),0)</f>
        <v>-0.0006963835395</v>
      </c>
      <c r="S2317" s="160">
        <f>IF($J$2253&gt;0,PPMT('Assumptions (Petroleum)'!$V$6,Model!AF$1,'Assumptions (Petroleum)'!$V$9,'Assumptions (Petroleum)'!$V$4*Model!$J$2253*AVERAGE('Assumptions (Petroleum)'!$F$2:$H$2)/10^9),0)</f>
        <v>-0.0007294617576</v>
      </c>
      <c r="T2317" s="160">
        <f>IF($J$2253&gt;0,PPMT('Assumptions (Petroleum)'!$V$6,Model!AG$1,'Assumptions (Petroleum)'!$V$9,'Assumptions (Petroleum)'!$V$4*Model!$J$2253*AVERAGE('Assumptions (Petroleum)'!$F$2:$H$2)/10^9),0)</f>
        <v>-0.0007641111911</v>
      </c>
      <c r="U2317" s="160">
        <f>IF($J$2253&gt;0,PPMT('Assumptions (Petroleum)'!$V$6,Model!AH$1,'Assumptions (Petroleum)'!$V$9,'Assumptions (Petroleum)'!$V$4*Model!$J$2253*AVERAGE('Assumptions (Petroleum)'!$F$2:$H$2)/10^9),0)</f>
        <v>-0.0008004064727</v>
      </c>
      <c r="V2317" s="160">
        <f>IF($J$2253&gt;0,PPMT('Assumptions (Petroleum)'!$V$6,Model!AI$1,'Assumptions (Petroleum)'!$V$9,'Assumptions (Petroleum)'!$V$4*Model!$J$2253*AVERAGE('Assumptions (Petroleum)'!$F$2:$H$2)/10^9),0)</f>
        <v>-0.0008384257802</v>
      </c>
      <c r="W2317" s="160">
        <f>IF($J$2253&gt;0,PPMT('Assumptions (Petroleum)'!$V$6,Model!AJ$1,'Assumptions (Petroleum)'!$V$9,'Assumptions (Petroleum)'!$V$4*Model!$J$2253*AVERAGE('Assumptions (Petroleum)'!$F$2:$H$2)/10^9),0)</f>
        <v>-0.0008782510047</v>
      </c>
      <c r="X2317" s="160">
        <f>IF($J$2253&gt;0,PPMT('Assumptions (Petroleum)'!$V$6,Model!AK$1,'Assumptions (Petroleum)'!$V$9,'Assumptions (Petroleum)'!$V$4*Model!$J$2253*AVERAGE('Assumptions (Petroleum)'!$F$2:$H$2)/10^9),0)</f>
        <v>-0.0009199679274</v>
      </c>
      <c r="Y2317" s="160"/>
      <c r="Z2317" s="160"/>
      <c r="AA2317" s="160"/>
      <c r="AB2317" s="160"/>
      <c r="AC2317" s="160"/>
      <c r="AD2317" s="160"/>
      <c r="AE2317" s="160"/>
      <c r="AF2317" s="160"/>
      <c r="AG2317" s="160"/>
      <c r="AH2317" s="160"/>
    </row>
    <row r="2318" ht="15.75" hidden="1" customHeight="1" outlineLevel="1">
      <c r="A2318" s="328"/>
      <c r="B2318" s="38"/>
      <c r="C2318" s="160"/>
      <c r="D2318" s="160"/>
      <c r="E2318" s="160"/>
      <c r="F2318" s="160"/>
      <c r="G2318" s="160"/>
      <c r="H2318" s="160"/>
      <c r="I2318" s="160"/>
      <c r="J2318" s="160"/>
      <c r="K2318" s="160">
        <f>IF($K$2253&gt;0,PPMT('Assumptions (Petroleum)'!$V$6,Model!W$1,'Assumptions (Petroleum)'!$V$9,'Assumptions (Petroleum)'!$V$4*Model!$K$2253*AVERAGE('Assumptions (Petroleum)'!$G$2:$I$2)/10^9),0)</f>
        <v>-0.0002133068345</v>
      </c>
      <c r="L2318" s="160">
        <f>IF($K$2253&gt;0,PPMT('Assumptions (Petroleum)'!$V$6,Model!X$1,'Assumptions (Petroleum)'!$V$9,'Assumptions (Petroleum)'!$V$4*Model!$K$2253*AVERAGE('Assumptions (Petroleum)'!$G$2:$I$2)/10^9),0)</f>
        <v>-0.0002234389092</v>
      </c>
      <c r="M2318" s="160">
        <f>IF($K$2253&gt;0,PPMT('Assumptions (Petroleum)'!$V$6,Model!Y$1,'Assumptions (Petroleum)'!$V$9,'Assumptions (Petroleum)'!$V$4*Model!$K$2253*AVERAGE('Assumptions (Petroleum)'!$G$2:$I$2)/10^9),0)</f>
        <v>-0.0002340522574</v>
      </c>
      <c r="N2318" s="160">
        <f>IF($K$2253&gt;0,PPMT('Assumptions (Petroleum)'!$V$6,Model!Z$1,'Assumptions (Petroleum)'!$V$9,'Assumptions (Petroleum)'!$V$4*Model!$K$2253*AVERAGE('Assumptions (Petroleum)'!$G$2:$I$2)/10^9),0)</f>
        <v>-0.0002451697396</v>
      </c>
      <c r="O2318" s="160">
        <f>IF($K$2253&gt;0,PPMT('Assumptions (Petroleum)'!$V$6,Model!AA$1,'Assumptions (Petroleum)'!$V$9,'Assumptions (Petroleum)'!$V$4*Model!$K$2253*AVERAGE('Assumptions (Petroleum)'!$G$2:$I$2)/10^9),0)</f>
        <v>-0.0002568153022</v>
      </c>
      <c r="P2318" s="160">
        <f>IF($K$2253&gt;0,PPMT('Assumptions (Petroleum)'!$V$6,Model!AB$1,'Assumptions (Petroleum)'!$V$9,'Assumptions (Petroleum)'!$V$4*Model!$K$2253*AVERAGE('Assumptions (Petroleum)'!$G$2:$I$2)/10^9),0)</f>
        <v>-0.0002690140291</v>
      </c>
      <c r="Q2318" s="160">
        <f>IF($K$2253&gt;0,PPMT('Assumptions (Petroleum)'!$V$6,Model!AC$1,'Assumptions (Petroleum)'!$V$9,'Assumptions (Petroleum)'!$V$4*Model!$K$2253*AVERAGE('Assumptions (Petroleum)'!$G$2:$I$2)/10^9),0)</f>
        <v>-0.0002817921954</v>
      </c>
      <c r="R2318" s="160">
        <f>IF($K$2253&gt;0,PPMT('Assumptions (Petroleum)'!$V$6,Model!AD$1,'Assumptions (Petroleum)'!$V$9,'Assumptions (Petroleum)'!$V$4*Model!$K$2253*AVERAGE('Assumptions (Petroleum)'!$G$2:$I$2)/10^9),0)</f>
        <v>-0.0002951773247</v>
      </c>
      <c r="S2318" s="160">
        <f>IF($K$2253&gt;0,PPMT('Assumptions (Petroleum)'!$V$6,Model!AE$1,'Assumptions (Petroleum)'!$V$9,'Assumptions (Petroleum)'!$V$4*Model!$K$2253*AVERAGE('Assumptions (Petroleum)'!$G$2:$I$2)/10^9),0)</f>
        <v>-0.0003091982476</v>
      </c>
      <c r="T2318" s="160">
        <f>IF($K$2253&gt;0,PPMT('Assumptions (Petroleum)'!$V$6,Model!AF$1,'Assumptions (Petroleum)'!$V$9,'Assumptions (Petroleum)'!$V$4*Model!$K$2253*AVERAGE('Assumptions (Petroleum)'!$G$2:$I$2)/10^9),0)</f>
        <v>-0.0003238851644</v>
      </c>
      <c r="U2318" s="160">
        <f>IF($K$2253&gt;0,PPMT('Assumptions (Petroleum)'!$V$6,Model!AG$1,'Assumptions (Petroleum)'!$V$9,'Assumptions (Petroleum)'!$V$4*Model!$K$2253*AVERAGE('Assumptions (Petroleum)'!$G$2:$I$2)/10^9),0)</f>
        <v>-0.0003392697097</v>
      </c>
      <c r="V2318" s="160">
        <f>IF($K$2253&gt;0,PPMT('Assumptions (Petroleum)'!$V$6,Model!AH$1,'Assumptions (Petroleum)'!$V$9,'Assumptions (Petroleum)'!$V$4*Model!$K$2253*AVERAGE('Assumptions (Petroleum)'!$G$2:$I$2)/10^9),0)</f>
        <v>-0.0003553850209</v>
      </c>
      <c r="W2318" s="160">
        <f>IF($K$2253&gt;0,PPMT('Assumptions (Petroleum)'!$V$6,Model!AI$1,'Assumptions (Petroleum)'!$V$9,'Assumptions (Petroleum)'!$V$4*Model!$K$2253*AVERAGE('Assumptions (Petroleum)'!$G$2:$I$2)/10^9),0)</f>
        <v>-0.0003722658094</v>
      </c>
      <c r="X2318" s="160">
        <f>IF($K$2253&gt;0,PPMT('Assumptions (Petroleum)'!$V$6,Model!AJ$1,'Assumptions (Petroleum)'!$V$9,'Assumptions (Petroleum)'!$V$4*Model!$K$2253*AVERAGE('Assumptions (Petroleum)'!$G$2:$I$2)/10^9),0)</f>
        <v>-0.0003899484354</v>
      </c>
      <c r="Y2318" s="160">
        <f>IF($K$2253&gt;0,PPMT('Assumptions (Petroleum)'!$V$6,Model!AK$1,'Assumptions (Petroleum)'!$V$9,'Assumptions (Petroleum)'!$V$4*Model!$K$2253*AVERAGE('Assumptions (Petroleum)'!$G$2:$I$2)/10^9),0)</f>
        <v>-0.0004084709861</v>
      </c>
      <c r="Z2318" s="160"/>
      <c r="AA2318" s="160"/>
      <c r="AB2318" s="160"/>
      <c r="AC2318" s="160"/>
      <c r="AD2318" s="160"/>
      <c r="AE2318" s="160"/>
      <c r="AF2318" s="160"/>
      <c r="AG2318" s="160"/>
      <c r="AH2318" s="160"/>
      <c r="AI2318" s="160"/>
    </row>
    <row r="2319" ht="15.75" hidden="1" customHeight="1" outlineLevel="1">
      <c r="A2319" s="328"/>
      <c r="B2319" s="38"/>
      <c r="C2319" s="160"/>
      <c r="D2319" s="160"/>
      <c r="E2319" s="160"/>
      <c r="F2319" s="160"/>
      <c r="G2319" s="160"/>
      <c r="H2319" s="160"/>
      <c r="I2319" s="160"/>
      <c r="J2319" s="160"/>
      <c r="K2319" s="160"/>
      <c r="L2319" s="160">
        <f>IF($L$2253&gt;0,PPMT('Assumptions (Petroleum)'!$V$6,Model!W$1,'Assumptions (Petroleum)'!$V$9,'Assumptions (Petroleum)'!$V$4*Model!$L$2253*AVERAGE('Assumptions (Petroleum)'!$H$2:$J$2)/10^9),0)</f>
        <v>-0.00002800153809</v>
      </c>
      <c r="M2319" s="160">
        <f>IF($L$2253&gt;0,PPMT('Assumptions (Petroleum)'!$V$6,Model!X$1,'Assumptions (Petroleum)'!$V$9,'Assumptions (Petroleum)'!$V$4*Model!$L$2253*AVERAGE('Assumptions (Petroleum)'!$H$2:$J$2)/10^9),0)</f>
        <v>-0.00002933161115</v>
      </c>
      <c r="N2319" s="160">
        <f>IF($L$2253&gt;0,PPMT('Assumptions (Petroleum)'!$V$6,Model!Y$1,'Assumptions (Petroleum)'!$V$9,'Assumptions (Petroleum)'!$V$4*Model!$L$2253*AVERAGE('Assumptions (Petroleum)'!$H$2:$J$2)/10^9),0)</f>
        <v>-0.00003072486268</v>
      </c>
      <c r="O2319" s="160">
        <f>IF($L$2253&gt;0,PPMT('Assumptions (Petroleum)'!$V$6,Model!Z$1,'Assumptions (Petroleum)'!$V$9,'Assumptions (Petroleum)'!$V$4*Model!$L$2253*AVERAGE('Assumptions (Petroleum)'!$H$2:$J$2)/10^9),0)</f>
        <v>-0.00003218429366</v>
      </c>
      <c r="P2319" s="160">
        <f>IF($L$2253&gt;0,PPMT('Assumptions (Petroleum)'!$V$6,Model!AA$1,'Assumptions (Petroleum)'!$V$9,'Assumptions (Petroleum)'!$V$4*Model!$L$2253*AVERAGE('Assumptions (Petroleum)'!$H$2:$J$2)/10^9),0)</f>
        <v>-0.00003371304761</v>
      </c>
      <c r="Q2319" s="160">
        <f>IF($L$2253&gt;0,PPMT('Assumptions (Petroleum)'!$V$6,Model!AB$1,'Assumptions (Petroleum)'!$V$9,'Assumptions (Petroleum)'!$V$4*Model!$L$2253*AVERAGE('Assumptions (Petroleum)'!$H$2:$J$2)/10^9),0)</f>
        <v>-0.00003531441737</v>
      </c>
      <c r="R2319" s="160">
        <f>IF($L$2253&gt;0,PPMT('Assumptions (Petroleum)'!$V$6,Model!AC$1,'Assumptions (Petroleum)'!$V$9,'Assumptions (Petroleum)'!$V$4*Model!$L$2253*AVERAGE('Assumptions (Petroleum)'!$H$2:$J$2)/10^9),0)</f>
        <v>-0.00003699185219</v>
      </c>
      <c r="S2319" s="160">
        <f>IF($L$2253&gt;0,PPMT('Assumptions (Petroleum)'!$V$6,Model!AD$1,'Assumptions (Petroleum)'!$V$9,'Assumptions (Petroleum)'!$V$4*Model!$L$2253*AVERAGE('Assumptions (Petroleum)'!$H$2:$J$2)/10^9),0)</f>
        <v>-0.00003874896517</v>
      </c>
      <c r="T2319" s="160">
        <f>IF($L$2253&gt;0,PPMT('Assumptions (Petroleum)'!$V$6,Model!AE$1,'Assumptions (Petroleum)'!$V$9,'Assumptions (Petroleum)'!$V$4*Model!$L$2253*AVERAGE('Assumptions (Petroleum)'!$H$2:$J$2)/10^9),0)</f>
        <v>-0.00004058954102</v>
      </c>
      <c r="U2319" s="160">
        <f>IF($L$2253&gt;0,PPMT('Assumptions (Petroleum)'!$V$6,Model!AF$1,'Assumptions (Petroleum)'!$V$9,'Assumptions (Petroleum)'!$V$4*Model!$L$2253*AVERAGE('Assumptions (Petroleum)'!$H$2:$J$2)/10^9),0)</f>
        <v>-0.00004251754422</v>
      </c>
      <c r="V2319" s="160">
        <f>IF($L$2253&gt;0,PPMT('Assumptions (Petroleum)'!$V$6,Model!AG$1,'Assumptions (Petroleum)'!$V$9,'Assumptions (Petroleum)'!$V$4*Model!$L$2253*AVERAGE('Assumptions (Petroleum)'!$H$2:$J$2)/10^9),0)</f>
        <v>-0.00004453712757</v>
      </c>
      <c r="W2319" s="160">
        <f>IF($L$2253&gt;0,PPMT('Assumptions (Petroleum)'!$V$6,Model!AH$1,'Assumptions (Petroleum)'!$V$9,'Assumptions (Petroleum)'!$V$4*Model!$L$2253*AVERAGE('Assumptions (Petroleum)'!$H$2:$J$2)/10^9),0)</f>
        <v>-0.00004665264113</v>
      </c>
      <c r="X2319" s="160">
        <f>IF($L$2253&gt;0,PPMT('Assumptions (Petroleum)'!$V$6,Model!AI$1,'Assumptions (Petroleum)'!$V$9,'Assumptions (Petroleum)'!$V$4*Model!$L$2253*AVERAGE('Assumptions (Petroleum)'!$H$2:$J$2)/10^9),0)</f>
        <v>-0.00004886864158</v>
      </c>
      <c r="Y2319" s="160">
        <f>IF($L$2253&gt;0,PPMT('Assumptions (Petroleum)'!$V$6,Model!AJ$1,'Assumptions (Petroleum)'!$V$9,'Assumptions (Petroleum)'!$V$4*Model!$L$2253*AVERAGE('Assumptions (Petroleum)'!$H$2:$J$2)/10^9),0)</f>
        <v>-0.00005118990205</v>
      </c>
      <c r="Z2319" s="160">
        <f>IF($L$2253&gt;0,PPMT('Assumptions (Petroleum)'!$V$6,Model!AK$1,'Assumptions (Petroleum)'!$V$9,'Assumptions (Petroleum)'!$V$4*Model!$L$2253*AVERAGE('Assumptions (Petroleum)'!$H$2:$J$2)/10^9),0)</f>
        <v>-0.0000536214224</v>
      </c>
      <c r="AA2319" s="160"/>
      <c r="AB2319" s="160"/>
      <c r="AC2319" s="160"/>
      <c r="AD2319" s="160"/>
      <c r="AE2319" s="160"/>
      <c r="AF2319" s="160"/>
      <c r="AG2319" s="160"/>
      <c r="AH2319" s="160"/>
      <c r="AI2319" s="160"/>
      <c r="AJ2319" s="160"/>
    </row>
    <row r="2320" ht="15.75" hidden="1" customHeight="1" outlineLevel="1">
      <c r="A2320" s="328"/>
      <c r="B2320" s="38"/>
      <c r="C2320" s="160"/>
      <c r="D2320" s="160"/>
      <c r="E2320" s="160"/>
      <c r="F2320" s="160"/>
      <c r="G2320" s="160"/>
      <c r="H2320" s="160"/>
      <c r="I2320" s="160"/>
      <c r="J2320" s="160"/>
      <c r="K2320" s="160"/>
      <c r="L2320" s="160"/>
      <c r="M2320" s="160">
        <f>IF($M$2253&gt;0,PPMT('Assumptions (Petroleum)'!$V$6,Model!W$1,'Assumptions (Petroleum)'!$V$9,'Assumptions (Petroleum)'!$V$4*Model!$M$2253*AVERAGE('Assumptions (Petroleum)'!$I$2:$K$2)/10^9),0)</f>
        <v>0</v>
      </c>
      <c r="N2320" s="160">
        <f>IF($M$2253&gt;0,PPMT('Assumptions (Petroleum)'!$V$6,Model!X$1,'Assumptions (Petroleum)'!$V$9,'Assumptions (Petroleum)'!$V$4*Model!$M$2253*AVERAGE('Assumptions (Petroleum)'!$I$2:$K$2)/10^9),0)</f>
        <v>0</v>
      </c>
      <c r="O2320" s="160">
        <f>IF($M$2253&gt;0,PPMT('Assumptions (Petroleum)'!$V$6,Model!Y$1,'Assumptions (Petroleum)'!$V$9,'Assumptions (Petroleum)'!$V$4*Model!$M$2253*AVERAGE('Assumptions (Petroleum)'!$I$2:$K$2)/10^9),0)</f>
        <v>0</v>
      </c>
      <c r="P2320" s="160">
        <f>IF($M$2253&gt;0,PPMT('Assumptions (Petroleum)'!$V$6,Model!Z$1,'Assumptions (Petroleum)'!$V$9,'Assumptions (Petroleum)'!$V$4*Model!$M$2253*AVERAGE('Assumptions (Petroleum)'!$I$2:$K$2)/10^9),0)</f>
        <v>0</v>
      </c>
      <c r="Q2320" s="160">
        <f>IF($M$2253&gt;0,PPMT('Assumptions (Petroleum)'!$V$6,Model!AA$1,'Assumptions (Petroleum)'!$V$9,'Assumptions (Petroleum)'!$V$4*Model!$M$2253*AVERAGE('Assumptions (Petroleum)'!$I$2:$K$2)/10^9),0)</f>
        <v>0</v>
      </c>
      <c r="R2320" s="160">
        <f>IF($M$2253&gt;0,PPMT('Assumptions (Petroleum)'!$V$6,Model!AB$1,'Assumptions (Petroleum)'!$V$9,'Assumptions (Petroleum)'!$V$4*Model!$M$2253*AVERAGE('Assumptions (Petroleum)'!$I$2:$K$2)/10^9),0)</f>
        <v>0</v>
      </c>
      <c r="S2320" s="160">
        <f>IF($M$2253&gt;0,PPMT('Assumptions (Petroleum)'!$V$6,Model!AC$1,'Assumptions (Petroleum)'!$V$9,'Assumptions (Petroleum)'!$V$4*Model!$M$2253*AVERAGE('Assumptions (Petroleum)'!$I$2:$K$2)/10^9),0)</f>
        <v>0</v>
      </c>
      <c r="T2320" s="160">
        <f>IF($M$2253&gt;0,PPMT('Assumptions (Petroleum)'!$V$6,Model!AD$1,'Assumptions (Petroleum)'!$V$9,'Assumptions (Petroleum)'!$V$4*Model!$M$2253*AVERAGE('Assumptions (Petroleum)'!$I$2:$K$2)/10^9),0)</f>
        <v>0</v>
      </c>
      <c r="U2320" s="160">
        <f>IF($M$2253&gt;0,PPMT('Assumptions (Petroleum)'!$V$6,Model!AE$1,'Assumptions (Petroleum)'!$V$9,'Assumptions (Petroleum)'!$V$4*Model!$M$2253*AVERAGE('Assumptions (Petroleum)'!$I$2:$K$2)/10^9),0)</f>
        <v>0</v>
      </c>
      <c r="V2320" s="160">
        <f>IF($M$2253&gt;0,PPMT('Assumptions (Petroleum)'!$V$6,Model!AF$1,'Assumptions (Petroleum)'!$V$9,'Assumptions (Petroleum)'!$V$4*Model!$M$2253*AVERAGE('Assumptions (Petroleum)'!$I$2:$K$2)/10^9),0)</f>
        <v>0</v>
      </c>
      <c r="W2320" s="160">
        <f>IF($M$2253&gt;0,PPMT('Assumptions (Petroleum)'!$V$6,Model!AG$1,'Assumptions (Petroleum)'!$V$9,'Assumptions (Petroleum)'!$V$4*Model!$M$2253*AVERAGE('Assumptions (Petroleum)'!$I$2:$K$2)/10^9),0)</f>
        <v>0</v>
      </c>
      <c r="X2320" s="160">
        <f>IF($M$2253&gt;0,PPMT('Assumptions (Petroleum)'!$V$6,Model!AH$1,'Assumptions (Petroleum)'!$V$9,'Assumptions (Petroleum)'!$V$4*Model!$M$2253*AVERAGE('Assumptions (Petroleum)'!$I$2:$K$2)/10^9),0)</f>
        <v>0</v>
      </c>
      <c r="Y2320" s="160">
        <f>IF($M$2253&gt;0,PPMT('Assumptions (Petroleum)'!$V$6,Model!AI$1,'Assumptions (Petroleum)'!$V$9,'Assumptions (Petroleum)'!$V$4*Model!$M$2253*AVERAGE('Assumptions (Petroleum)'!$I$2:$K$2)/10^9),0)</f>
        <v>0</v>
      </c>
      <c r="Z2320" s="160">
        <f>IF($M$2253&gt;0,PPMT('Assumptions (Petroleum)'!$V$6,Model!AJ$1,'Assumptions (Petroleum)'!$V$9,'Assumptions (Petroleum)'!$V$4*Model!$M$2253*AVERAGE('Assumptions (Petroleum)'!$I$2:$K$2)/10^9),0)</f>
        <v>0</v>
      </c>
      <c r="AA2320" s="160">
        <f>IF($M$2253&gt;0,PPMT('Assumptions (Petroleum)'!$V$6,Model!AK$1,'Assumptions (Petroleum)'!$V$9,'Assumptions (Petroleum)'!$V$4*Model!$M$2253*AVERAGE('Assumptions (Petroleum)'!$I$2:$K$2)/10^9),0)</f>
        <v>0</v>
      </c>
      <c r="AB2320" s="160"/>
      <c r="AC2320" s="160"/>
      <c r="AD2320" s="160"/>
      <c r="AE2320" s="160"/>
      <c r="AF2320" s="160"/>
      <c r="AG2320" s="160"/>
      <c r="AH2320" s="160"/>
      <c r="AI2320" s="160"/>
      <c r="AJ2320" s="160"/>
      <c r="AK2320" s="160"/>
    </row>
    <row r="2321" ht="15.75" hidden="1" customHeight="1" outlineLevel="1">
      <c r="A2321" s="328"/>
      <c r="B2321" s="38"/>
      <c r="C2321" s="160"/>
      <c r="D2321" s="160"/>
      <c r="E2321" s="160"/>
      <c r="F2321" s="160"/>
      <c r="G2321" s="160"/>
      <c r="H2321" s="160"/>
      <c r="I2321" s="160"/>
      <c r="J2321" s="160"/>
      <c r="K2321" s="160"/>
      <c r="L2321" s="160"/>
      <c r="M2321" s="160"/>
      <c r="N2321" s="177">
        <f>IF($N$2253&gt;0,PPMT('Assumptions (Petroleum)'!$V$6,Model!W$1,'Assumptions (Petroleum)'!$V$9,'Assumptions (Petroleum)'!$V$4*Model!$N$2253*AVERAGE('Assumptions (Petroleum)'!$J$2:$L$2)/10^9),0)</f>
        <v>-0.0002352545923</v>
      </c>
      <c r="O2321" s="177">
        <f>IF($N$2253&gt;0,PPMT('Assumptions (Petroleum)'!$V$6,Model!X$1,'Assumptions (Petroleum)'!$V$9,'Assumptions (Petroleum)'!$V$4*Model!$N$2253*AVERAGE('Assumptions (Petroleum)'!$J$2:$L$2)/10^9),0)</f>
        <v>-0.0002464291855</v>
      </c>
      <c r="P2321" s="177">
        <f>IF($N$2253&gt;0,PPMT('Assumptions (Petroleum)'!$V$6,Model!Y$1,'Assumptions (Petroleum)'!$V$9,'Assumptions (Petroleum)'!$V$4*Model!$N$2253*AVERAGE('Assumptions (Petroleum)'!$J$2:$L$2)/10^9),0)</f>
        <v>-0.0002581345718</v>
      </c>
      <c r="Q2321" s="177">
        <f>IF($N$2253&gt;0,PPMT('Assumptions (Petroleum)'!$V$6,Model!Z$1,'Assumptions (Petroleum)'!$V$9,'Assumptions (Petroleum)'!$V$4*Model!$N$2253*AVERAGE('Assumptions (Petroleum)'!$J$2:$L$2)/10^9),0)</f>
        <v>-0.0002703959639</v>
      </c>
      <c r="R2321" s="177">
        <f>IF($N$2253&gt;0,PPMT('Assumptions (Petroleum)'!$V$6,Model!AA$1,'Assumptions (Petroleum)'!$V$9,'Assumptions (Petroleum)'!$V$4*Model!$N$2253*AVERAGE('Assumptions (Petroleum)'!$J$2:$L$2)/10^9),0)</f>
        <v>-0.0002832397722</v>
      </c>
      <c r="S2321" s="177">
        <f>IF($N$2253&gt;0,PPMT('Assumptions (Petroleum)'!$V$6,Model!AB$1,'Assumptions (Petroleum)'!$V$9,'Assumptions (Petroleum)'!$V$4*Model!$N$2253*AVERAGE('Assumptions (Petroleum)'!$J$2:$L$2)/10^9),0)</f>
        <v>-0.0002966936614</v>
      </c>
      <c r="T2321" s="177">
        <f>IF($N$2253&gt;0,PPMT('Assumptions (Petroleum)'!$V$6,Model!AC$1,'Assumptions (Petroleum)'!$V$9,'Assumptions (Petroleum)'!$V$4*Model!$N$2253*AVERAGE('Assumptions (Petroleum)'!$J$2:$L$2)/10^9),0)</f>
        <v>-0.0003107866103</v>
      </c>
      <c r="U2321" s="177">
        <f>IF($N$2253&gt;0,PPMT('Assumptions (Petroleum)'!$V$6,Model!AD$1,'Assumptions (Petroleum)'!$V$9,'Assumptions (Petroleum)'!$V$4*Model!$N$2253*AVERAGE('Assumptions (Petroleum)'!$J$2:$L$2)/10^9),0)</f>
        <v>-0.0003255489743</v>
      </c>
      <c r="V2321" s="177">
        <f>IF($N$2253&gt;0,PPMT('Assumptions (Petroleum)'!$V$6,Model!AE$1,'Assumptions (Petroleum)'!$V$9,'Assumptions (Petroleum)'!$V$4*Model!$N$2253*AVERAGE('Assumptions (Petroleum)'!$J$2:$L$2)/10^9),0)</f>
        <v>-0.0003410125506</v>
      </c>
      <c r="W2321" s="177">
        <f>IF($N$2253&gt;0,PPMT('Assumptions (Petroleum)'!$V$6,Model!AF$1,'Assumptions (Petroleum)'!$V$9,'Assumptions (Petroleum)'!$V$4*Model!$N$2253*AVERAGE('Assumptions (Petroleum)'!$J$2:$L$2)/10^9),0)</f>
        <v>-0.0003572106468</v>
      </c>
      <c r="X2321" s="177">
        <f>IF($N$2253&gt;0,PPMT('Assumptions (Petroleum)'!$V$6,Model!AG$1,'Assumptions (Petroleum)'!$V$9,'Assumptions (Petroleum)'!$V$4*Model!$N$2253*AVERAGE('Assumptions (Petroleum)'!$J$2:$L$2)/10^9),0)</f>
        <v>-0.0003741781525</v>
      </c>
      <c r="Y2321" s="177">
        <f>IF($N$2253&gt;0,PPMT('Assumptions (Petroleum)'!$V$6,Model!AH$1,'Assumptions (Petroleum)'!$V$9,'Assumptions (Petroleum)'!$V$4*Model!$N$2253*AVERAGE('Assumptions (Petroleum)'!$J$2:$L$2)/10^9),0)</f>
        <v>-0.0003919516147</v>
      </c>
      <c r="Z2321" s="177">
        <f>IF($N$2253&gt;0,PPMT('Assumptions (Petroleum)'!$V$6,Model!AI$1,'Assumptions (Petroleum)'!$V$9,'Assumptions (Petroleum)'!$V$4*Model!$N$2253*AVERAGE('Assumptions (Petroleum)'!$J$2:$L$2)/10^9),0)</f>
        <v>-0.0004105693164</v>
      </c>
      <c r="AA2321" s="177">
        <f>IF($N$2253&gt;0,PPMT('Assumptions (Petroleum)'!$V$6,Model!AJ$1,'Assumptions (Petroleum)'!$V$9,'Assumptions (Petroleum)'!$V$4*Model!$N$2253*AVERAGE('Assumptions (Petroleum)'!$J$2:$L$2)/10^9),0)</f>
        <v>-0.0004300713589</v>
      </c>
      <c r="AB2321" s="177">
        <f>IF($N$2253&gt;0,PPMT('Assumptions (Petroleum)'!$V$6,Model!AK$1,'Assumptions (Petroleum)'!$V$9,'Assumptions (Petroleum)'!$V$4*Model!$N$2253*AVERAGE('Assumptions (Petroleum)'!$J$2:$L$2)/10^9),0)</f>
        <v>-0.0004504997485</v>
      </c>
      <c r="AC2321" s="177"/>
      <c r="AD2321" s="177"/>
      <c r="AE2321" s="177"/>
      <c r="AF2321" s="177"/>
      <c r="AG2321" s="177"/>
      <c r="AH2321" s="177"/>
      <c r="AI2321" s="177"/>
      <c r="AJ2321" s="177"/>
      <c r="AK2321" s="177"/>
      <c r="AL2321" s="177"/>
    </row>
    <row r="2322" ht="15.75" hidden="1" customHeight="1" outlineLevel="1">
      <c r="A2322" s="328"/>
      <c r="B2322" s="38"/>
      <c r="C2322" s="160"/>
      <c r="D2322" s="160"/>
      <c r="E2322" s="160"/>
      <c r="F2322" s="160"/>
      <c r="G2322" s="160"/>
      <c r="H2322" s="160"/>
      <c r="I2322" s="160"/>
      <c r="J2322" s="160"/>
      <c r="K2322" s="160"/>
      <c r="L2322" s="160"/>
      <c r="M2322" s="160"/>
      <c r="N2322" s="160"/>
      <c r="O2322" s="160">
        <f>IF($O$2253&gt;0,PPMT('Assumptions (Petroleum)'!$V$6,Model!W$1,'Assumptions (Petroleum)'!$V$9,'Assumptions (Petroleum)'!$V$4*Model!$O$2253*AVERAGE('Assumptions (Petroleum)'!$K$2:$M$2)/10^9),0)</f>
        <v>-0.00008226336104</v>
      </c>
      <c r="P2322" s="160">
        <f>IF($O$2253&gt;0,PPMT('Assumptions (Petroleum)'!$V$6,Model!X$1,'Assumptions (Petroleum)'!$V$9,'Assumptions (Petroleum)'!$V$4*Model!$O$2253*AVERAGE('Assumptions (Petroleum)'!$K$2:$M$2)/10^9),0)</f>
        <v>-0.00008617087069</v>
      </c>
      <c r="Q2322" s="160">
        <f>IF($O$2253&gt;0,PPMT('Assumptions (Petroleum)'!$V$6,Model!Y$1,'Assumptions (Petroleum)'!$V$9,'Assumptions (Petroleum)'!$V$4*Model!$O$2253*AVERAGE('Assumptions (Petroleum)'!$K$2:$M$2)/10^9),0)</f>
        <v>-0.00009026398705</v>
      </c>
      <c r="R2322" s="160">
        <f>IF($O$2253&gt;0,PPMT('Assumptions (Petroleum)'!$V$6,Model!Z$1,'Assumptions (Petroleum)'!$V$9,'Assumptions (Petroleum)'!$V$4*Model!$O$2253*AVERAGE('Assumptions (Petroleum)'!$K$2:$M$2)/10^9),0)</f>
        <v>-0.00009455152644</v>
      </c>
      <c r="S2322" s="160">
        <f>IF($O$2253&gt;0,PPMT('Assumptions (Petroleum)'!$V$6,Model!AA$1,'Assumptions (Petroleum)'!$V$9,'Assumptions (Petroleum)'!$V$4*Model!$O$2253*AVERAGE('Assumptions (Petroleum)'!$K$2:$M$2)/10^9),0)</f>
        <v>-0.00009904272394</v>
      </c>
      <c r="T2322" s="160">
        <f>IF($O$2253&gt;0,PPMT('Assumptions (Petroleum)'!$V$6,Model!AB$1,'Assumptions (Petroleum)'!$V$9,'Assumptions (Petroleum)'!$V$4*Model!$O$2253*AVERAGE('Assumptions (Petroleum)'!$K$2:$M$2)/10^9),0)</f>
        <v>-0.0001037472533</v>
      </c>
      <c r="U2322" s="160">
        <f>IF($O$2253&gt;0,PPMT('Assumptions (Petroleum)'!$V$6,Model!AC$1,'Assumptions (Petroleum)'!$V$9,'Assumptions (Petroleum)'!$V$4*Model!$O$2253*AVERAGE('Assumptions (Petroleum)'!$K$2:$M$2)/10^9),0)</f>
        <v>-0.0001086752479</v>
      </c>
      <c r="V2322" s="160">
        <f>IF($O$2253&gt;0,PPMT('Assumptions (Petroleum)'!$V$6,Model!AD$1,'Assumptions (Petroleum)'!$V$9,'Assumptions (Petroleum)'!$V$4*Model!$O$2253*AVERAGE('Assumptions (Petroleum)'!$K$2:$M$2)/10^9),0)</f>
        <v>-0.0001138373221</v>
      </c>
      <c r="W2322" s="160">
        <f>IF($O$2253&gt;0,PPMT('Assumptions (Petroleum)'!$V$6,Model!AE$1,'Assumptions (Petroleum)'!$V$9,'Assumptions (Petroleum)'!$V$4*Model!$O$2253*AVERAGE('Assumptions (Petroleum)'!$K$2:$M$2)/10^9),0)</f>
        <v>-0.0001192445949</v>
      </c>
      <c r="X2322" s="160">
        <f>IF($O$2253&gt;0,PPMT('Assumptions (Petroleum)'!$V$6,Model!AF$1,'Assumptions (Petroleum)'!$V$9,'Assumptions (Petroleum)'!$V$4*Model!$O$2253*AVERAGE('Assumptions (Petroleum)'!$K$2:$M$2)/10^9),0)</f>
        <v>-0.0001249087132</v>
      </c>
      <c r="Y2322" s="160">
        <f>IF($O$2253&gt;0,PPMT('Assumptions (Petroleum)'!$V$6,Model!AG$1,'Assumptions (Petroleum)'!$V$9,'Assumptions (Petroleum)'!$V$4*Model!$O$2253*AVERAGE('Assumptions (Petroleum)'!$K$2:$M$2)/10^9),0)</f>
        <v>-0.0001308418771</v>
      </c>
      <c r="Z2322" s="160">
        <f>IF($O$2253&gt;0,PPMT('Assumptions (Petroleum)'!$V$6,Model!AH$1,'Assumptions (Petroleum)'!$V$9,'Assumptions (Petroleum)'!$V$4*Model!$O$2253*AVERAGE('Assumptions (Petroleum)'!$K$2:$M$2)/10^9),0)</f>
        <v>-0.0001370568662</v>
      </c>
      <c r="AA2322" s="160">
        <f>IF($O$2253&gt;0,PPMT('Assumptions (Petroleum)'!$V$6,Model!AI$1,'Assumptions (Petroleum)'!$V$9,'Assumptions (Petroleum)'!$V$4*Model!$O$2253*AVERAGE('Assumptions (Petroleum)'!$K$2:$M$2)/10^9),0)</f>
        <v>-0.0001435670674</v>
      </c>
      <c r="AB2322" s="160">
        <f>IF($O$2253&gt;0,PPMT('Assumptions (Petroleum)'!$V$6,Model!AJ$1,'Assumptions (Petroleum)'!$V$9,'Assumptions (Petroleum)'!$V$4*Model!$O$2253*AVERAGE('Assumptions (Petroleum)'!$K$2:$M$2)/10^9),0)</f>
        <v>-0.0001503865031</v>
      </c>
      <c r="AC2322" s="160">
        <f>IF($O$2253&gt;0,PPMT('Assumptions (Petroleum)'!$V$6,Model!AK$1,'Assumptions (Petroleum)'!$V$9,'Assumptions (Petroleum)'!$V$4*Model!$O$2253*AVERAGE('Assumptions (Petroleum)'!$K$2:$M$2)/10^9),0)</f>
        <v>-0.000157529862</v>
      </c>
      <c r="AD2322" s="160"/>
      <c r="AE2322" s="160"/>
      <c r="AF2322" s="160"/>
      <c r="AG2322" s="160"/>
      <c r="AH2322" s="160"/>
      <c r="AI2322" s="160"/>
      <c r="AJ2322" s="160"/>
      <c r="AK2322" s="160"/>
      <c r="AL2322" s="160"/>
      <c r="AM2322" s="160"/>
    </row>
    <row r="2323" ht="15.75" hidden="1" customHeight="1" outlineLevel="1">
      <c r="A2323" s="328"/>
      <c r="B2323" s="38"/>
      <c r="C2323" s="160"/>
      <c r="D2323" s="160"/>
      <c r="E2323" s="160"/>
      <c r="F2323" s="160"/>
      <c r="G2323" s="160"/>
      <c r="H2323" s="160"/>
      <c r="I2323" s="160"/>
      <c r="J2323" s="160"/>
      <c r="K2323" s="160"/>
      <c r="L2323" s="160"/>
      <c r="M2323" s="160"/>
      <c r="N2323" s="160"/>
      <c r="O2323" s="160"/>
      <c r="P2323" s="177">
        <f>IF($P$2253&gt;0,PPMT('Assumptions (Petroleum)'!$V$6,Model!W$1,'Assumptions (Petroleum)'!$V$9,'Assumptions (Petroleum)'!$V$4*Model!$P$2253*AVERAGE('Assumptions (Petroleum)'!$L$2:$N$2)/10^9),0)</f>
        <v>-0.0004637801569</v>
      </c>
      <c r="Q2323" s="177">
        <f>IF($P$2253&gt;0,PPMT('Assumptions (Petroleum)'!$V$6,Model!X$1,'Assumptions (Petroleum)'!$V$9,'Assumptions (Petroleum)'!$V$4*Model!$P$2253*AVERAGE('Assumptions (Petroleum)'!$L$2:$N$2)/10^9),0)</f>
        <v>-0.0004858097143</v>
      </c>
      <c r="R2323" s="177">
        <f>IF($P$2253&gt;0,PPMT('Assumptions (Petroleum)'!$V$6,Model!Y$1,'Assumptions (Petroleum)'!$V$9,'Assumptions (Petroleum)'!$V$4*Model!$P$2253*AVERAGE('Assumptions (Petroleum)'!$L$2:$N$2)/10^9),0)</f>
        <v>-0.0005088856757</v>
      </c>
      <c r="S2323" s="177">
        <f>IF($P$2253&gt;0,PPMT('Assumptions (Petroleum)'!$V$6,Model!Z$1,'Assumptions (Petroleum)'!$V$9,'Assumptions (Petroleum)'!$V$4*Model!$P$2253*AVERAGE('Assumptions (Petroleum)'!$L$2:$N$2)/10^9),0)</f>
        <v>-0.0005330577453</v>
      </c>
      <c r="T2323" s="177">
        <f>IF($P$2253&gt;0,PPMT('Assumptions (Petroleum)'!$V$6,Model!AA$1,'Assumptions (Petroleum)'!$V$9,'Assumptions (Petroleum)'!$V$4*Model!$P$2253*AVERAGE('Assumptions (Petroleum)'!$L$2:$N$2)/10^9),0)</f>
        <v>-0.0005583779882</v>
      </c>
      <c r="U2323" s="177">
        <f>IF($P$2253&gt;0,PPMT('Assumptions (Petroleum)'!$V$6,Model!AB$1,'Assumptions (Petroleum)'!$V$9,'Assumptions (Petroleum)'!$V$4*Model!$P$2253*AVERAGE('Assumptions (Petroleum)'!$L$2:$N$2)/10^9),0)</f>
        <v>-0.0005849009427</v>
      </c>
      <c r="V2323" s="177">
        <f>IF($P$2253&gt;0,PPMT('Assumptions (Petroleum)'!$V$6,Model!AC$1,'Assumptions (Petroleum)'!$V$9,'Assumptions (Petroleum)'!$V$4*Model!$P$2253*AVERAGE('Assumptions (Petroleum)'!$L$2:$N$2)/10^9),0)</f>
        <v>-0.0006126837375</v>
      </c>
      <c r="W2323" s="177">
        <f>IF($P$2253&gt;0,PPMT('Assumptions (Petroleum)'!$V$6,Model!AD$1,'Assumptions (Petroleum)'!$V$9,'Assumptions (Petroleum)'!$V$4*Model!$P$2253*AVERAGE('Assumptions (Petroleum)'!$L$2:$N$2)/10^9),0)</f>
        <v>-0.000641786215</v>
      </c>
      <c r="X2323" s="177">
        <f>IF($P$2253&gt;0,PPMT('Assumptions (Petroleum)'!$V$6,Model!AE$1,'Assumptions (Petroleum)'!$V$9,'Assumptions (Petroleum)'!$V$4*Model!$P$2253*AVERAGE('Assumptions (Petroleum)'!$L$2:$N$2)/10^9),0)</f>
        <v>-0.0006722710602</v>
      </c>
      <c r="Y2323" s="177">
        <f>IF($P$2253&gt;0,PPMT('Assumptions (Petroleum)'!$V$6,Model!AF$1,'Assumptions (Petroleum)'!$V$9,'Assumptions (Petroleum)'!$V$4*Model!$P$2253*AVERAGE('Assumptions (Petroleum)'!$L$2:$N$2)/10^9),0)</f>
        <v>-0.0007042039356</v>
      </c>
      <c r="Z2323" s="177">
        <f>IF($P$2253&gt;0,PPMT('Assumptions (Petroleum)'!$V$6,Model!AG$1,'Assumptions (Petroleum)'!$V$9,'Assumptions (Petroleum)'!$V$4*Model!$P$2253*AVERAGE('Assumptions (Petroleum)'!$L$2:$N$2)/10^9),0)</f>
        <v>-0.0007376536225</v>
      </c>
      <c r="AA2323" s="177">
        <f>IF($P$2253&gt;0,PPMT('Assumptions (Petroleum)'!$V$6,Model!AH$1,'Assumptions (Petroleum)'!$V$9,'Assumptions (Petroleum)'!$V$4*Model!$P$2253*AVERAGE('Assumptions (Petroleum)'!$L$2:$N$2)/10^9),0)</f>
        <v>-0.0007726921696</v>
      </c>
      <c r="AB2323" s="177">
        <f>IF($P$2253&gt;0,PPMT('Assumptions (Petroleum)'!$V$6,Model!AI$1,'Assumptions (Petroleum)'!$V$9,'Assumptions (Petroleum)'!$V$4*Model!$P$2253*AVERAGE('Assumptions (Petroleum)'!$L$2:$N$2)/10^9),0)</f>
        <v>-0.0008093950476</v>
      </c>
      <c r="AC2323" s="177">
        <f>IF($P$2253&gt;0,PPMT('Assumptions (Petroleum)'!$V$6,Model!AJ$1,'Assumptions (Petroleum)'!$V$9,'Assumptions (Petroleum)'!$V$4*Model!$P$2253*AVERAGE('Assumptions (Petroleum)'!$L$2:$N$2)/10^9),0)</f>
        <v>-0.0008478413124</v>
      </c>
      <c r="AD2323" s="177">
        <f>IF($P$2253&gt;0,PPMT('Assumptions (Petroleum)'!$V$6,Model!AK$1,'Assumptions (Petroleum)'!$V$9,'Assumptions (Petroleum)'!$V$4*Model!$P$2253*AVERAGE('Assumptions (Petroleum)'!$L$2:$N$2)/10^9),0)</f>
        <v>-0.0008881137747</v>
      </c>
      <c r="AE2323" s="177"/>
      <c r="AF2323" s="177"/>
      <c r="AG2323" s="177"/>
      <c r="AH2323" s="177"/>
      <c r="AI2323" s="177"/>
      <c r="AJ2323" s="177"/>
      <c r="AK2323" s="177"/>
      <c r="AL2323" s="177"/>
      <c r="AM2323" s="177"/>
      <c r="AN2323" s="177"/>
    </row>
    <row r="2324" ht="15.75" hidden="1" customHeight="1" outlineLevel="1">
      <c r="A2324" s="328"/>
      <c r="B2324" s="38"/>
      <c r="C2324" s="160"/>
      <c r="D2324" s="160"/>
      <c r="E2324" s="160"/>
      <c r="F2324" s="160"/>
      <c r="G2324" s="160"/>
      <c r="H2324" s="160"/>
      <c r="I2324" s="160"/>
      <c r="J2324" s="160"/>
      <c r="K2324" s="160"/>
      <c r="L2324" s="160"/>
      <c r="M2324" s="160"/>
      <c r="N2324" s="160"/>
      <c r="O2324" s="160"/>
      <c r="P2324" s="179"/>
      <c r="Q2324" s="160">
        <f>IF($Q$2253&gt;0,PPMT('Assumptions (Petroleum)'!$V$6,Model!W$1,'Assumptions (Petroleum)'!$V$9,'Assumptions (Petroleum)'!$V$4*Model!$Q$2253*AVERAGE('Assumptions (Petroleum)'!$M$2:$O$2)/10^9),0)</f>
        <v>-0.00002852301765</v>
      </c>
      <c r="R2324" s="160">
        <f>IF($Q$2253&gt;0,PPMT('Assumptions (Petroleum)'!$V$6,Model!X$1,'Assumptions (Petroleum)'!$V$9,'Assumptions (Petroleum)'!$V$4*Model!$Q$2253*AVERAGE('Assumptions (Petroleum)'!$M$2:$O$2)/10^9),0)</f>
        <v>-0.00002987786099</v>
      </c>
      <c r="S2324" s="160">
        <f>IF($Q$2253&gt;0,PPMT('Assumptions (Petroleum)'!$V$6,Model!Y$1,'Assumptions (Petroleum)'!$V$9,'Assumptions (Petroleum)'!$V$4*Model!$Q$2253*AVERAGE('Assumptions (Petroleum)'!$M$2:$O$2)/10^9),0)</f>
        <v>-0.00003129705939</v>
      </c>
      <c r="T2324" s="160">
        <f>IF($Q$2253&gt;0,PPMT('Assumptions (Petroleum)'!$V$6,Model!Z$1,'Assumptions (Petroleum)'!$V$9,'Assumptions (Petroleum)'!$V$4*Model!$Q$2253*AVERAGE('Assumptions (Petroleum)'!$M$2:$O$2)/10^9),0)</f>
        <v>-0.00003278366971</v>
      </c>
      <c r="U2324" s="160">
        <f>IF($Q$2253&gt;0,PPMT('Assumptions (Petroleum)'!$V$6,Model!AA$1,'Assumptions (Petroleum)'!$V$9,'Assumptions (Petroleum)'!$V$4*Model!$Q$2253*AVERAGE('Assumptions (Petroleum)'!$M$2:$O$2)/10^9),0)</f>
        <v>-0.00003434089402</v>
      </c>
      <c r="V2324" s="160">
        <f>IF($Q$2253&gt;0,PPMT('Assumptions (Petroleum)'!$V$6,Model!AB$1,'Assumptions (Petroleum)'!$V$9,'Assumptions (Petroleum)'!$V$4*Model!$Q$2253*AVERAGE('Assumptions (Petroleum)'!$M$2:$O$2)/10^9),0)</f>
        <v>-0.00003597208649</v>
      </c>
      <c r="W2324" s="160">
        <f>IF($Q$2253&gt;0,PPMT('Assumptions (Petroleum)'!$V$6,Model!AC$1,'Assumptions (Petroleum)'!$V$9,'Assumptions (Petroleum)'!$V$4*Model!$Q$2253*AVERAGE('Assumptions (Petroleum)'!$M$2:$O$2)/10^9),0)</f>
        <v>-0.00003768076059</v>
      </c>
      <c r="X2324" s="160">
        <f>IF($Q$2253&gt;0,PPMT('Assumptions (Petroleum)'!$V$6,Model!AD$1,'Assumptions (Petroleum)'!$V$9,'Assumptions (Petroleum)'!$V$4*Model!$Q$2253*AVERAGE('Assumptions (Petroleum)'!$M$2:$O$2)/10^9),0)</f>
        <v>-0.00003947059672</v>
      </c>
      <c r="Y2324" s="160">
        <f>IF($Q$2253&gt;0,PPMT('Assumptions (Petroleum)'!$V$6,Model!AE$1,'Assumptions (Petroleum)'!$V$9,'Assumptions (Petroleum)'!$V$4*Model!$Q$2253*AVERAGE('Assumptions (Petroleum)'!$M$2:$O$2)/10^9),0)</f>
        <v>-0.00004134545007</v>
      </c>
      <c r="Z2324" s="160">
        <f>IF($Q$2253&gt;0,PPMT('Assumptions (Petroleum)'!$V$6,Model!AF$1,'Assumptions (Petroleum)'!$V$9,'Assumptions (Petroleum)'!$V$4*Model!$Q$2253*AVERAGE('Assumptions (Petroleum)'!$M$2:$O$2)/10^9),0)</f>
        <v>-0.00004330935894</v>
      </c>
      <c r="AA2324" s="160">
        <f>IF($Q$2253&gt;0,PPMT('Assumptions (Petroleum)'!$V$6,Model!AG$1,'Assumptions (Petroleum)'!$V$9,'Assumptions (Petroleum)'!$V$4*Model!$Q$2253*AVERAGE('Assumptions (Petroleum)'!$M$2:$O$2)/10^9),0)</f>
        <v>-0.00004536655349</v>
      </c>
      <c r="AB2324" s="160">
        <f>IF($Q$2253&gt;0,PPMT('Assumptions (Petroleum)'!$V$6,Model!AH$1,'Assumptions (Petroleum)'!$V$9,'Assumptions (Petroleum)'!$V$4*Model!$Q$2253*AVERAGE('Assumptions (Petroleum)'!$M$2:$O$2)/10^9),0)</f>
        <v>-0.00004752146479</v>
      </c>
      <c r="AC2324" s="160">
        <f>IF($Q$2253&gt;0,PPMT('Assumptions (Petroleum)'!$V$6,Model!AI$1,'Assumptions (Petroleum)'!$V$9,'Assumptions (Petroleum)'!$V$4*Model!$Q$2253*AVERAGE('Assumptions (Petroleum)'!$M$2:$O$2)/10^9),0)</f>
        <v>-0.00004977873436</v>
      </c>
      <c r="AD2324" s="160">
        <f>IF($Q$2253&gt;0,PPMT('Assumptions (Petroleum)'!$V$6,Model!AJ$1,'Assumptions (Petroleum)'!$V$9,'Assumptions (Petroleum)'!$V$4*Model!$Q$2253*AVERAGE('Assumptions (Petroleum)'!$M$2:$O$2)/10^9),0)</f>
        <v>-0.00005214322424</v>
      </c>
      <c r="AE2324" s="160">
        <f>IF($Q$2253&gt;0,PPMT('Assumptions (Petroleum)'!$V$6,Model!AK$1,'Assumptions (Petroleum)'!$V$9,'Assumptions (Petroleum)'!$V$4*Model!$Q$2253*AVERAGE('Assumptions (Petroleum)'!$M$2:$O$2)/10^9),0)</f>
        <v>-0.0000546200274</v>
      </c>
      <c r="AF2324" s="160"/>
      <c r="AG2324" s="160"/>
      <c r="AH2324" s="160"/>
      <c r="AI2324" s="160"/>
      <c r="AJ2324" s="160"/>
      <c r="AK2324" s="160"/>
      <c r="AL2324" s="160"/>
      <c r="AM2324" s="160"/>
      <c r="AN2324" s="160"/>
      <c r="AO2324" s="160"/>
    </row>
    <row r="2325" ht="15.75" hidden="1" customHeight="1" outlineLevel="1">
      <c r="A2325" s="328"/>
      <c r="B2325" s="38"/>
      <c r="C2325" s="160"/>
      <c r="D2325" s="160"/>
      <c r="E2325" s="160"/>
      <c r="F2325" s="160"/>
      <c r="G2325" s="160"/>
      <c r="H2325" s="160"/>
      <c r="I2325" s="160"/>
      <c r="J2325" s="160"/>
      <c r="K2325" s="160"/>
      <c r="L2325" s="160"/>
      <c r="M2325" s="160"/>
      <c r="N2325" s="160"/>
      <c r="O2325" s="160"/>
      <c r="P2325" s="179"/>
      <c r="Q2325" s="160"/>
      <c r="R2325" s="177">
        <f>IF($R$2253&gt;0,PPMT('Assumptions (Petroleum)'!$V$6,Model!W$1,'Assumptions (Petroleum)'!$V$9,'Assumptions (Petroleum)'!$V$4*Model!$R$2253*AVERAGE('Assumptions (Petroleum)'!$N$2:$P$2)/10^9),0)</f>
        <v>-0.00001696943578</v>
      </c>
      <c r="S2325" s="177">
        <f>IF($R$2253&gt;0,PPMT('Assumptions (Petroleum)'!$V$6,Model!X$1,'Assumptions (Petroleum)'!$V$9,'Assumptions (Petroleum)'!$V$4*Model!$R$2253*AVERAGE('Assumptions (Petroleum)'!$N$2:$P$2)/10^9),0)</f>
        <v>-0.00001777548398</v>
      </c>
      <c r="T2325" s="177">
        <f>IF($R$2253&gt;0,PPMT('Assumptions (Petroleum)'!$V$6,Model!Y$1,'Assumptions (Petroleum)'!$V$9,'Assumptions (Petroleum)'!$V$4*Model!$R$2253*AVERAGE('Assumptions (Petroleum)'!$N$2:$P$2)/10^9),0)</f>
        <v>-0.00001861981947</v>
      </c>
      <c r="U2325" s="177">
        <f>IF($R$2253&gt;0,PPMT('Assumptions (Petroleum)'!$V$6,Model!Z$1,'Assumptions (Petroleum)'!$V$9,'Assumptions (Petroleum)'!$V$4*Model!$R$2253*AVERAGE('Assumptions (Petroleum)'!$N$2:$P$2)/10^9),0)</f>
        <v>-0.00001950426089</v>
      </c>
      <c r="V2325" s="177">
        <f>IF($R$2253&gt;0,PPMT('Assumptions (Petroleum)'!$V$6,Model!AA$1,'Assumptions (Petroleum)'!$V$9,'Assumptions (Petroleum)'!$V$4*Model!$R$2253*AVERAGE('Assumptions (Petroleum)'!$N$2:$P$2)/10^9),0)</f>
        <v>-0.00002043071329</v>
      </c>
      <c r="W2325" s="177">
        <f>IF($R$2253&gt;0,PPMT('Assumptions (Petroleum)'!$V$6,Model!AB$1,'Assumptions (Petroleum)'!$V$9,'Assumptions (Petroleum)'!$V$4*Model!$R$2253*AVERAGE('Assumptions (Petroleum)'!$N$2:$P$2)/10^9),0)</f>
        <v>-0.00002140117217</v>
      </c>
      <c r="X2325" s="177">
        <f>IF($R$2253&gt;0,PPMT('Assumptions (Petroleum)'!$V$6,Model!AC$1,'Assumptions (Petroleum)'!$V$9,'Assumptions (Petroleum)'!$V$4*Model!$R$2253*AVERAGE('Assumptions (Petroleum)'!$N$2:$P$2)/10^9),0)</f>
        <v>-0.00002241772784</v>
      </c>
      <c r="Y2325" s="177">
        <f>IF($R$2253&gt;0,PPMT('Assumptions (Petroleum)'!$V$6,Model!AD$1,'Assumptions (Petroleum)'!$V$9,'Assumptions (Petroleum)'!$V$4*Model!$R$2253*AVERAGE('Assumptions (Petroleum)'!$N$2:$P$2)/10^9),0)</f>
        <v>-0.00002348256992</v>
      </c>
      <c r="Z2325" s="177">
        <f>IF($R$2253&gt;0,PPMT('Assumptions (Petroleum)'!$V$6,Model!AE$1,'Assumptions (Petroleum)'!$V$9,'Assumptions (Petroleum)'!$V$4*Model!$R$2253*AVERAGE('Assumptions (Petroleum)'!$N$2:$P$2)/10^9),0)</f>
        <v>-0.00002459799199</v>
      </c>
      <c r="AA2325" s="177">
        <f>IF($R$2253&gt;0,PPMT('Assumptions (Petroleum)'!$V$6,Model!AF$1,'Assumptions (Petroleum)'!$V$9,'Assumptions (Petroleum)'!$V$4*Model!$R$2253*AVERAGE('Assumptions (Petroleum)'!$N$2:$P$2)/10^9),0)</f>
        <v>-0.00002576639661</v>
      </c>
      <c r="AB2325" s="177">
        <f>IF($R$2253&gt;0,PPMT('Assumptions (Petroleum)'!$V$6,Model!AG$1,'Assumptions (Petroleum)'!$V$9,'Assumptions (Petroleum)'!$V$4*Model!$R$2253*AVERAGE('Assumptions (Petroleum)'!$N$2:$P$2)/10^9),0)</f>
        <v>-0.00002699030045</v>
      </c>
      <c r="AC2325" s="177">
        <f>IF($R$2253&gt;0,PPMT('Assumptions (Petroleum)'!$V$6,Model!AH$1,'Assumptions (Petroleum)'!$V$9,'Assumptions (Petroleum)'!$V$4*Model!$R$2253*AVERAGE('Assumptions (Petroleum)'!$N$2:$P$2)/10^9),0)</f>
        <v>-0.00002827233972</v>
      </c>
      <c r="AD2325" s="177">
        <f>IF($R$2253&gt;0,PPMT('Assumptions (Petroleum)'!$V$6,Model!AI$1,'Assumptions (Petroleum)'!$V$9,'Assumptions (Petroleum)'!$V$4*Model!$R$2253*AVERAGE('Assumptions (Petroleum)'!$N$2:$P$2)/10^9),0)</f>
        <v>-0.00002961527585</v>
      </c>
      <c r="AE2325" s="177">
        <f>IF($R$2253&gt;0,PPMT('Assumptions (Petroleum)'!$V$6,Model!AJ$1,'Assumptions (Petroleum)'!$V$9,'Assumptions (Petroleum)'!$V$4*Model!$R$2253*AVERAGE('Assumptions (Petroleum)'!$N$2:$P$2)/10^9),0)</f>
        <v>-0.00003102200146</v>
      </c>
      <c r="AF2325" s="177">
        <f>IF($R$2253&gt;0,PPMT('Assumptions (Petroleum)'!$V$6,Model!AK$1,'Assumptions (Petroleum)'!$V$9,'Assumptions (Petroleum)'!$V$4*Model!$R$2253*AVERAGE('Assumptions (Petroleum)'!$N$2:$P$2)/10^9),0)</f>
        <v>-0.00003249554653</v>
      </c>
      <c r="AG2325" s="177"/>
      <c r="AH2325" s="177"/>
      <c r="AI2325" s="177"/>
      <c r="AJ2325" s="177"/>
      <c r="AK2325" s="177"/>
      <c r="AL2325" s="177"/>
      <c r="AM2325" s="177"/>
      <c r="AN2325" s="177"/>
      <c r="AO2325" s="177"/>
      <c r="AP2325" s="177"/>
    </row>
    <row r="2326" ht="15.75" hidden="1" customHeight="1" outlineLevel="1">
      <c r="A2326" s="328"/>
      <c r="B2326" s="38"/>
      <c r="C2326" s="160"/>
      <c r="D2326" s="160"/>
      <c r="E2326" s="160"/>
      <c r="F2326" s="160"/>
      <c r="G2326" s="160"/>
      <c r="H2326" s="160"/>
      <c r="I2326" s="160"/>
      <c r="J2326" s="160"/>
      <c r="K2326" s="160"/>
      <c r="L2326" s="160"/>
      <c r="M2326" s="160"/>
      <c r="N2326" s="160"/>
      <c r="O2326" s="160"/>
      <c r="P2326" s="179"/>
      <c r="Q2326" s="160"/>
      <c r="R2326" s="177"/>
      <c r="S2326" s="160">
        <f>IF($S$2253&gt;0,PPMT('Assumptions (Petroleum)'!$V$6,Model!W$1,'Assumptions (Petroleum)'!$V$9,'Assumptions (Petroleum)'!$V$4*Model!$S$2253*AVERAGE('Assumptions (Petroleum)'!$O$2:$Q$2)/10^9),0)</f>
        <v>0</v>
      </c>
      <c r="T2326" s="160">
        <f>IF($S$2253&gt;0,PPMT('Assumptions (Petroleum)'!$V$6,Model!X$1,'Assumptions (Petroleum)'!$V$9,'Assumptions (Petroleum)'!$V$4*Model!$S$2253*AVERAGE('Assumptions (Petroleum)'!$O$2:$Q$2)/10^9),0)</f>
        <v>0</v>
      </c>
      <c r="U2326" s="160">
        <f>IF($S$2253&gt;0,PPMT('Assumptions (Petroleum)'!$V$6,Model!Y$1,'Assumptions (Petroleum)'!$V$9,'Assumptions (Petroleum)'!$V$4*Model!$S$2253*AVERAGE('Assumptions (Petroleum)'!$O$2:$Q$2)/10^9),0)</f>
        <v>0</v>
      </c>
      <c r="V2326" s="160">
        <f>IF($S$2253&gt;0,PPMT('Assumptions (Petroleum)'!$V$6,Model!Z$1,'Assumptions (Petroleum)'!$V$9,'Assumptions (Petroleum)'!$V$4*Model!$S$2253*AVERAGE('Assumptions (Petroleum)'!$O$2:$Q$2)/10^9),0)</f>
        <v>0</v>
      </c>
      <c r="W2326" s="160">
        <f>IF($S$2253&gt;0,PPMT('Assumptions (Petroleum)'!$V$6,Model!AA$1,'Assumptions (Petroleum)'!$V$9,'Assumptions (Petroleum)'!$V$4*Model!$S$2253*AVERAGE('Assumptions (Petroleum)'!$O$2:$Q$2)/10^9),0)</f>
        <v>0</v>
      </c>
      <c r="X2326" s="160">
        <f>IF($S$2253&gt;0,PPMT('Assumptions (Petroleum)'!$V$6,Model!AB$1,'Assumptions (Petroleum)'!$V$9,'Assumptions (Petroleum)'!$V$4*Model!$S$2253*AVERAGE('Assumptions (Petroleum)'!$O$2:$Q$2)/10^9),0)</f>
        <v>0</v>
      </c>
      <c r="Y2326" s="160">
        <f>IF($S$2253&gt;0,PPMT('Assumptions (Petroleum)'!$V$6,Model!AC$1,'Assumptions (Petroleum)'!$V$9,'Assumptions (Petroleum)'!$V$4*Model!$S$2253*AVERAGE('Assumptions (Petroleum)'!$O$2:$Q$2)/10^9),0)</f>
        <v>0</v>
      </c>
      <c r="Z2326" s="160">
        <f>IF($S$2253&gt;0,PPMT('Assumptions (Petroleum)'!$V$6,Model!AD$1,'Assumptions (Petroleum)'!$V$9,'Assumptions (Petroleum)'!$V$4*Model!$S$2253*AVERAGE('Assumptions (Petroleum)'!$O$2:$Q$2)/10^9),0)</f>
        <v>0</v>
      </c>
      <c r="AA2326" s="160">
        <f>IF($S$2253&gt;0,PPMT('Assumptions (Petroleum)'!$V$6,Model!AE$1,'Assumptions (Petroleum)'!$V$9,'Assumptions (Petroleum)'!$V$4*Model!$S$2253*AVERAGE('Assumptions (Petroleum)'!$O$2:$Q$2)/10^9),0)</f>
        <v>0</v>
      </c>
      <c r="AB2326" s="160">
        <f>IF($S$2253&gt;0,PPMT('Assumptions (Petroleum)'!$V$6,Model!AF$1,'Assumptions (Petroleum)'!$V$9,'Assumptions (Petroleum)'!$V$4*Model!$S$2253*AVERAGE('Assumptions (Petroleum)'!$O$2:$Q$2)/10^9),0)</f>
        <v>0</v>
      </c>
      <c r="AC2326" s="160">
        <f>IF($S$2253&gt;0,PPMT('Assumptions (Petroleum)'!$V$6,Model!AG$1,'Assumptions (Petroleum)'!$V$9,'Assumptions (Petroleum)'!$V$4*Model!$S$2253*AVERAGE('Assumptions (Petroleum)'!$O$2:$Q$2)/10^9),0)</f>
        <v>0</v>
      </c>
      <c r="AD2326" s="160">
        <f>IF($S$2253&gt;0,PPMT('Assumptions (Petroleum)'!$V$6,Model!AH$1,'Assumptions (Petroleum)'!$V$9,'Assumptions (Petroleum)'!$V$4*Model!$S$2253*AVERAGE('Assumptions (Petroleum)'!$O$2:$Q$2)/10^9),0)</f>
        <v>0</v>
      </c>
      <c r="AE2326" s="160">
        <f>IF($S$2253&gt;0,PPMT('Assumptions (Petroleum)'!$V$6,Model!AI$1,'Assumptions (Petroleum)'!$V$9,'Assumptions (Petroleum)'!$V$4*Model!$S$2253*AVERAGE('Assumptions (Petroleum)'!$O$2:$Q$2)/10^9),0)</f>
        <v>0</v>
      </c>
      <c r="AF2326" s="160">
        <f>IF($S$2253&gt;0,PPMT('Assumptions (Petroleum)'!$V$6,Model!AJ$1,'Assumptions (Petroleum)'!$V$9,'Assumptions (Petroleum)'!$V$4*Model!$S$2253*AVERAGE('Assumptions (Petroleum)'!$O$2:$Q$2)/10^9),0)</f>
        <v>0</v>
      </c>
      <c r="AG2326" s="160">
        <f>IF($S$2253&gt;0,PPMT('Assumptions (Petroleum)'!$V$6,Model!AK$1,'Assumptions (Petroleum)'!$V$9,'Assumptions (Petroleum)'!$V$4*Model!$S$2253*AVERAGE('Assumptions (Petroleum)'!$O$2:$Q$2)/10^9),0)</f>
        <v>0</v>
      </c>
      <c r="AH2326" s="160"/>
      <c r="AI2326" s="160"/>
      <c r="AJ2326" s="160"/>
      <c r="AK2326" s="160"/>
      <c r="AL2326" s="160"/>
      <c r="AM2326" s="160"/>
      <c r="AN2326" s="160"/>
      <c r="AO2326" s="160"/>
      <c r="AP2326" s="160"/>
      <c r="AQ2326" s="160"/>
    </row>
    <row r="2327" ht="15.75" hidden="1" customHeight="1" outlineLevel="1">
      <c r="A2327" s="328"/>
      <c r="B2327" s="38"/>
      <c r="C2327" s="160"/>
      <c r="D2327" s="160"/>
      <c r="E2327" s="160"/>
      <c r="F2327" s="160"/>
      <c r="G2327" s="160"/>
      <c r="H2327" s="160"/>
      <c r="I2327" s="160"/>
      <c r="J2327" s="160"/>
      <c r="K2327" s="160"/>
      <c r="L2327" s="160"/>
      <c r="M2327" s="160"/>
      <c r="N2327" s="160"/>
      <c r="O2327" s="160"/>
      <c r="P2327" s="179"/>
      <c r="Q2327" s="160"/>
      <c r="R2327" s="177"/>
      <c r="S2327" s="177"/>
      <c r="T2327" s="160">
        <f>IF($T$2253&gt;0,PPMT('Assumptions (Petroleum)'!$V$6,Model!W$1,'Assumptions (Petroleum)'!$V$9,'Assumptions (Petroleum)'!$V$4*Model!$T$2253*AVERAGE('Assumptions (Petroleum)'!$P$2:$R$2)/10^9),0)</f>
        <v>0</v>
      </c>
      <c r="U2327" s="160">
        <f>IF($T$2253&gt;0,PPMT('Assumptions (Petroleum)'!$V$6,Model!X$1,'Assumptions (Petroleum)'!$V$9,'Assumptions (Petroleum)'!$V$4*Model!$T$2253*AVERAGE('Assumptions (Petroleum)'!$P$2:$R$2)/10^9),0)</f>
        <v>0</v>
      </c>
      <c r="V2327" s="160">
        <f>IF($T$2253&gt;0,PPMT('Assumptions (Petroleum)'!$V$6,Model!Y$1,'Assumptions (Petroleum)'!$V$9,'Assumptions (Petroleum)'!$V$4*Model!$T$2253*AVERAGE('Assumptions (Petroleum)'!$P$2:$R$2)/10^9),0)</f>
        <v>0</v>
      </c>
      <c r="W2327" s="160">
        <f>IF($T$2253&gt;0,PPMT('Assumptions (Petroleum)'!$V$6,Model!Z$1,'Assumptions (Petroleum)'!$V$9,'Assumptions (Petroleum)'!$V$4*Model!$T$2253*AVERAGE('Assumptions (Petroleum)'!$P$2:$R$2)/10^9),0)</f>
        <v>0</v>
      </c>
      <c r="X2327" s="160">
        <f>IF($T$2253&gt;0,PPMT('Assumptions (Petroleum)'!$V$6,Model!AA$1,'Assumptions (Petroleum)'!$V$9,'Assumptions (Petroleum)'!$V$4*Model!$T$2253*AVERAGE('Assumptions (Petroleum)'!$P$2:$R$2)/10^9),0)</f>
        <v>0</v>
      </c>
      <c r="Y2327" s="160">
        <f>IF($T$2253&gt;0,PPMT('Assumptions (Petroleum)'!$V$6,Model!AB$1,'Assumptions (Petroleum)'!$V$9,'Assumptions (Petroleum)'!$V$4*Model!$T$2253*AVERAGE('Assumptions (Petroleum)'!$P$2:$R$2)/10^9),0)</f>
        <v>0</v>
      </c>
      <c r="Z2327" s="160">
        <f>IF($T$2253&gt;0,PPMT('Assumptions (Petroleum)'!$V$6,Model!AC$1,'Assumptions (Petroleum)'!$V$9,'Assumptions (Petroleum)'!$V$4*Model!$T$2253*AVERAGE('Assumptions (Petroleum)'!$P$2:$R$2)/10^9),0)</f>
        <v>0</v>
      </c>
      <c r="AA2327" s="160">
        <f>IF($T$2253&gt;0,PPMT('Assumptions (Petroleum)'!$V$6,Model!AD$1,'Assumptions (Petroleum)'!$V$9,'Assumptions (Petroleum)'!$V$4*Model!$T$2253*AVERAGE('Assumptions (Petroleum)'!$P$2:$R$2)/10^9),0)</f>
        <v>0</v>
      </c>
      <c r="AB2327" s="160">
        <f>IF($T$2253&gt;0,PPMT('Assumptions (Petroleum)'!$V$6,Model!AE$1,'Assumptions (Petroleum)'!$V$9,'Assumptions (Petroleum)'!$V$4*Model!$T$2253*AVERAGE('Assumptions (Petroleum)'!$P$2:$R$2)/10^9),0)</f>
        <v>0</v>
      </c>
      <c r="AC2327" s="160">
        <f>IF($T$2253&gt;0,PPMT('Assumptions (Petroleum)'!$V$6,Model!AF$1,'Assumptions (Petroleum)'!$V$9,'Assumptions (Petroleum)'!$V$4*Model!$T$2253*AVERAGE('Assumptions (Petroleum)'!$P$2:$R$2)/10^9),0)</f>
        <v>0</v>
      </c>
      <c r="AD2327" s="160">
        <f>IF($T$2253&gt;0,PPMT('Assumptions (Petroleum)'!$V$6,Model!AG$1,'Assumptions (Petroleum)'!$V$9,'Assumptions (Petroleum)'!$V$4*Model!$T$2253*AVERAGE('Assumptions (Petroleum)'!$P$2:$R$2)/10^9),0)</f>
        <v>0</v>
      </c>
      <c r="AE2327" s="160">
        <f>IF($T$2253&gt;0,PPMT('Assumptions (Petroleum)'!$V$6,Model!AH$1,'Assumptions (Petroleum)'!$V$9,'Assumptions (Petroleum)'!$V$4*Model!$T$2253*AVERAGE('Assumptions (Petroleum)'!$P$2:$R$2)/10^9),0)</f>
        <v>0</v>
      </c>
      <c r="AF2327" s="160">
        <f>IF($T$2253&gt;0,PPMT('Assumptions (Petroleum)'!$V$6,Model!AI$1,'Assumptions (Petroleum)'!$V$9,'Assumptions (Petroleum)'!$V$4*Model!$T$2253*AVERAGE('Assumptions (Petroleum)'!$P$2:$R$2)/10^9),0)</f>
        <v>0</v>
      </c>
      <c r="AG2327" s="160">
        <f>IF($T$2253&gt;0,PPMT('Assumptions (Petroleum)'!$V$6,Model!AJ$1,'Assumptions (Petroleum)'!$V$9,'Assumptions (Petroleum)'!$V$4*Model!$T$2253*AVERAGE('Assumptions (Petroleum)'!$P$2:$R$2)/10^9),0)</f>
        <v>0</v>
      </c>
      <c r="AH2327" s="160">
        <f>IF($T$2253&gt;0,PPMT('Assumptions (Petroleum)'!$V$6,Model!AK$1,'Assumptions (Petroleum)'!$V$9,'Assumptions (Petroleum)'!$V$4*Model!$T$2253*AVERAGE('Assumptions (Petroleum)'!$P$2:$R$2)/10^9),0)</f>
        <v>0</v>
      </c>
      <c r="AI2327" s="160"/>
      <c r="AJ2327" s="160"/>
      <c r="AK2327" s="160"/>
      <c r="AL2327" s="160"/>
      <c r="AM2327" s="160"/>
      <c r="AN2327" s="160"/>
      <c r="AO2327" s="160"/>
      <c r="AP2327" s="160"/>
      <c r="AQ2327" s="160"/>
      <c r="AR2327" s="160"/>
    </row>
    <row r="2328" ht="15.75" hidden="1" customHeight="1" outlineLevel="1">
      <c r="A2328" s="328"/>
      <c r="B2328" s="38"/>
      <c r="C2328" s="160"/>
      <c r="D2328" s="160"/>
      <c r="E2328" s="160"/>
      <c r="F2328" s="160"/>
      <c r="G2328" s="160"/>
      <c r="H2328" s="160"/>
      <c r="I2328" s="160"/>
      <c r="J2328" s="160"/>
      <c r="K2328" s="160"/>
      <c r="L2328" s="160"/>
      <c r="M2328" s="160"/>
      <c r="N2328" s="160"/>
      <c r="O2328" s="160"/>
      <c r="P2328" s="179"/>
      <c r="Q2328" s="160"/>
      <c r="R2328" s="177"/>
      <c r="S2328" s="177"/>
      <c r="T2328" s="177"/>
      <c r="U2328" s="160">
        <f>IF($U$2253&gt;0,PPMT('Assumptions (Petroleum)'!$V$6,Model!W$1,'Assumptions (Petroleum)'!$V$9,'Assumptions (Petroleum)'!$V$4*Model!$U$2253*AVERAGE('Assumptions (Petroleum)'!$Q$2:$S$2)/10^9),0)</f>
        <v>0</v>
      </c>
      <c r="V2328" s="160">
        <f>IF($U$2253&gt;0,PPMT('Assumptions (Petroleum)'!$V$6,Model!X$1,'Assumptions (Petroleum)'!$V$9,'Assumptions (Petroleum)'!$V$4*Model!$U$2253*AVERAGE('Assumptions (Petroleum)'!$Q$2:$S$2)/10^9),0)</f>
        <v>0</v>
      </c>
      <c r="W2328" s="160">
        <f>IF($U$2253&gt;0,PPMT('Assumptions (Petroleum)'!$V$6,Model!Y$1,'Assumptions (Petroleum)'!$V$9,'Assumptions (Petroleum)'!$V$4*Model!$U$2253*AVERAGE('Assumptions (Petroleum)'!$Q$2:$S$2)/10^9),0)</f>
        <v>0</v>
      </c>
      <c r="X2328" s="160">
        <f>IF($U$2253&gt;0,PPMT('Assumptions (Petroleum)'!$V$6,Model!Z$1,'Assumptions (Petroleum)'!$V$9,'Assumptions (Petroleum)'!$V$4*Model!$U$2253*AVERAGE('Assumptions (Petroleum)'!$Q$2:$S$2)/10^9),0)</f>
        <v>0</v>
      </c>
      <c r="Y2328" s="160">
        <f>IF($U$2253&gt;0,PPMT('Assumptions (Petroleum)'!$V$6,Model!AA$1,'Assumptions (Petroleum)'!$V$9,'Assumptions (Petroleum)'!$V$4*Model!$U$2253*AVERAGE('Assumptions (Petroleum)'!$Q$2:$S$2)/10^9),0)</f>
        <v>0</v>
      </c>
      <c r="Z2328" s="160">
        <f>IF($U$2253&gt;0,PPMT('Assumptions (Petroleum)'!$V$6,Model!AB$1,'Assumptions (Petroleum)'!$V$9,'Assumptions (Petroleum)'!$V$4*Model!$U$2253*AVERAGE('Assumptions (Petroleum)'!$Q$2:$S$2)/10^9),0)</f>
        <v>0</v>
      </c>
      <c r="AA2328" s="160">
        <f>IF($U$2253&gt;0,PPMT('Assumptions (Petroleum)'!$V$6,Model!AC$1,'Assumptions (Petroleum)'!$V$9,'Assumptions (Petroleum)'!$V$4*Model!$U$2253*AVERAGE('Assumptions (Petroleum)'!$Q$2:$S$2)/10^9),0)</f>
        <v>0</v>
      </c>
      <c r="AB2328" s="160">
        <f>IF($U$2253&gt;0,PPMT('Assumptions (Petroleum)'!$V$6,Model!AD$1,'Assumptions (Petroleum)'!$V$9,'Assumptions (Petroleum)'!$V$4*Model!$U$2253*AVERAGE('Assumptions (Petroleum)'!$Q$2:$S$2)/10^9),0)</f>
        <v>0</v>
      </c>
      <c r="AC2328" s="160">
        <f>IF($U$2253&gt;0,PPMT('Assumptions (Petroleum)'!$V$6,Model!AE$1,'Assumptions (Petroleum)'!$V$9,'Assumptions (Petroleum)'!$V$4*Model!$U$2253*AVERAGE('Assumptions (Petroleum)'!$Q$2:$S$2)/10^9),0)</f>
        <v>0</v>
      </c>
      <c r="AD2328" s="160">
        <f>IF($U$2253&gt;0,PPMT('Assumptions (Petroleum)'!$V$6,Model!AF$1,'Assumptions (Petroleum)'!$V$9,'Assumptions (Petroleum)'!$V$4*Model!$U$2253*AVERAGE('Assumptions (Petroleum)'!$Q$2:$S$2)/10^9),0)</f>
        <v>0</v>
      </c>
      <c r="AE2328" s="160">
        <f>IF($U$2253&gt;0,PPMT('Assumptions (Petroleum)'!$V$6,Model!AG$1,'Assumptions (Petroleum)'!$V$9,'Assumptions (Petroleum)'!$V$4*Model!$U$2253*AVERAGE('Assumptions (Petroleum)'!$Q$2:$S$2)/10^9),0)</f>
        <v>0</v>
      </c>
      <c r="AF2328" s="160">
        <f>IF($U$2253&gt;0,PPMT('Assumptions (Petroleum)'!$V$6,Model!AH$1,'Assumptions (Petroleum)'!$V$9,'Assumptions (Petroleum)'!$V$4*Model!$U$2253*AVERAGE('Assumptions (Petroleum)'!$Q$2:$S$2)/10^9),0)</f>
        <v>0</v>
      </c>
      <c r="AG2328" s="160">
        <f>IF($U$2253&gt;0,PPMT('Assumptions (Petroleum)'!$V$6,Model!AI$1,'Assumptions (Petroleum)'!$V$9,'Assumptions (Petroleum)'!$V$4*Model!$U$2253*AVERAGE('Assumptions (Petroleum)'!$Q$2:$S$2)/10^9),0)</f>
        <v>0</v>
      </c>
      <c r="AH2328" s="160">
        <f>IF($U$2253&gt;0,PPMT('Assumptions (Petroleum)'!$V$6,Model!AJ$1,'Assumptions (Petroleum)'!$V$9,'Assumptions (Petroleum)'!$V$4*Model!$U$2253*AVERAGE('Assumptions (Petroleum)'!$Q$2:$S$2)/10^9),0)</f>
        <v>0</v>
      </c>
      <c r="AI2328" s="160">
        <f>IF($U$2253&gt;0,PPMT('Assumptions (Petroleum)'!$V$6,Model!AK$1,'Assumptions (Petroleum)'!$V$9,'Assumptions (Petroleum)'!$V$4*Model!$U$2253*AVERAGE('Assumptions (Petroleum)'!$Q$2:$S$2)/10^9),0)</f>
        <v>0</v>
      </c>
      <c r="AJ2328" s="160"/>
      <c r="AK2328" s="160"/>
      <c r="AL2328" s="160"/>
      <c r="AM2328" s="160"/>
      <c r="AN2328" s="160"/>
      <c r="AO2328" s="160"/>
      <c r="AP2328" s="160"/>
      <c r="AQ2328" s="160"/>
      <c r="AR2328" s="160"/>
      <c r="AS2328" s="160"/>
    </row>
    <row r="2329" ht="15.75" hidden="1" customHeight="1" outlineLevel="1">
      <c r="A2329" s="328"/>
      <c r="B2329" s="38"/>
      <c r="C2329" s="160"/>
      <c r="D2329" s="160"/>
      <c r="E2329" s="160"/>
      <c r="F2329" s="160"/>
      <c r="G2329" s="160"/>
      <c r="H2329" s="160"/>
      <c r="I2329" s="160"/>
      <c r="J2329" s="160"/>
      <c r="K2329" s="160"/>
      <c r="L2329" s="160"/>
      <c r="M2329" s="160"/>
      <c r="N2329" s="160"/>
      <c r="O2329" s="160"/>
      <c r="P2329" s="179"/>
      <c r="Q2329" s="160"/>
      <c r="R2329" s="177"/>
      <c r="S2329" s="177"/>
      <c r="T2329" s="177"/>
      <c r="U2329" s="160"/>
      <c r="V2329" s="160">
        <f>IF($V$2253&gt;0,PPMT('Assumptions (Petroleum)'!$V$6,Model!W$1,'Assumptions (Petroleum)'!$V$9,'Assumptions (Petroleum)'!$V$4*Model!$V$2253*AVERAGE('Assumptions (Petroleum)'!$R$2:$T$2)/10^9),0)</f>
        <v>0</v>
      </c>
      <c r="W2329" s="160">
        <f>IF($V$2253&gt;0,PPMT('Assumptions (Petroleum)'!$V$6,Model!X$1,'Assumptions (Petroleum)'!$V$9,'Assumptions (Petroleum)'!$V$4*Model!$V$2253*AVERAGE('Assumptions (Petroleum)'!$R$2:$T$2)/10^9),0)</f>
        <v>0</v>
      </c>
      <c r="X2329" s="160">
        <f>IF($V$2253&gt;0,PPMT('Assumptions (Petroleum)'!$V$6,Model!Y$1,'Assumptions (Petroleum)'!$V$9,'Assumptions (Petroleum)'!$V$4*Model!$V$2253*AVERAGE('Assumptions (Petroleum)'!$R$2:$T$2)/10^9),0)</f>
        <v>0</v>
      </c>
      <c r="Y2329" s="160">
        <f>IF($V$2253&gt;0,PPMT('Assumptions (Petroleum)'!$V$6,Model!Z$1,'Assumptions (Petroleum)'!$V$9,'Assumptions (Petroleum)'!$V$4*Model!$V$2253*AVERAGE('Assumptions (Petroleum)'!$R$2:$T$2)/10^9),0)</f>
        <v>0</v>
      </c>
      <c r="Z2329" s="160">
        <f>IF($V$2253&gt;0,PPMT('Assumptions (Petroleum)'!$V$6,Model!AA$1,'Assumptions (Petroleum)'!$V$9,'Assumptions (Petroleum)'!$V$4*Model!$V$2253*AVERAGE('Assumptions (Petroleum)'!$R$2:$T$2)/10^9),0)</f>
        <v>0</v>
      </c>
      <c r="AA2329" s="160">
        <f>IF($V$2253&gt;0,PPMT('Assumptions (Petroleum)'!$V$6,Model!AB$1,'Assumptions (Petroleum)'!$V$9,'Assumptions (Petroleum)'!$V$4*Model!$V$2253*AVERAGE('Assumptions (Petroleum)'!$R$2:$T$2)/10^9),0)</f>
        <v>0</v>
      </c>
      <c r="AB2329" s="160">
        <f>IF($V$2253&gt;0,PPMT('Assumptions (Petroleum)'!$V$6,Model!AC$1,'Assumptions (Petroleum)'!$V$9,'Assumptions (Petroleum)'!$V$4*Model!$V$2253*AVERAGE('Assumptions (Petroleum)'!$R$2:$T$2)/10^9),0)</f>
        <v>0</v>
      </c>
      <c r="AC2329" s="160">
        <f>IF($V$2253&gt;0,PPMT('Assumptions (Petroleum)'!$V$6,Model!AD$1,'Assumptions (Petroleum)'!$V$9,'Assumptions (Petroleum)'!$V$4*Model!$V$2253*AVERAGE('Assumptions (Petroleum)'!$R$2:$T$2)/10^9),0)</f>
        <v>0</v>
      </c>
      <c r="AD2329" s="160">
        <f>IF($V$2253&gt;0,PPMT('Assumptions (Petroleum)'!$V$6,Model!AE$1,'Assumptions (Petroleum)'!$V$9,'Assumptions (Petroleum)'!$V$4*Model!$V$2253*AVERAGE('Assumptions (Petroleum)'!$R$2:$T$2)/10^9),0)</f>
        <v>0</v>
      </c>
      <c r="AE2329" s="160">
        <f>IF($V$2253&gt;0,PPMT('Assumptions (Petroleum)'!$V$6,Model!AF$1,'Assumptions (Petroleum)'!$V$9,'Assumptions (Petroleum)'!$V$4*Model!$V$2253*AVERAGE('Assumptions (Petroleum)'!$R$2:$T$2)/10^9),0)</f>
        <v>0</v>
      </c>
      <c r="AF2329" s="160">
        <f>IF($V$2253&gt;0,PPMT('Assumptions (Petroleum)'!$V$6,Model!AG$1,'Assumptions (Petroleum)'!$V$9,'Assumptions (Petroleum)'!$V$4*Model!$V$2253*AVERAGE('Assumptions (Petroleum)'!$R$2:$T$2)/10^9),0)</f>
        <v>0</v>
      </c>
      <c r="AG2329" s="160">
        <f>IF($V$2253&gt;0,PPMT('Assumptions (Petroleum)'!$V$6,Model!AH$1,'Assumptions (Petroleum)'!$V$9,'Assumptions (Petroleum)'!$V$4*Model!$V$2253*AVERAGE('Assumptions (Petroleum)'!$R$2:$T$2)/10^9),0)</f>
        <v>0</v>
      </c>
      <c r="AH2329" s="160">
        <f>IF($V$2253&gt;0,PPMT('Assumptions (Petroleum)'!$V$6,Model!AI$1,'Assumptions (Petroleum)'!$V$9,'Assumptions (Petroleum)'!$V$4*Model!$V$2253*AVERAGE('Assumptions (Petroleum)'!$R$2:$T$2)/10^9),0)</f>
        <v>0</v>
      </c>
      <c r="AI2329" s="160">
        <f>IF($V$2253&gt;0,PPMT('Assumptions (Petroleum)'!$V$6,Model!AJ$1,'Assumptions (Petroleum)'!$V$9,'Assumptions (Petroleum)'!$V$4*Model!$V$2253*AVERAGE('Assumptions (Petroleum)'!$R$2:$T$2)/10^9),0)</f>
        <v>0</v>
      </c>
      <c r="AJ2329" s="160">
        <f>IF($V$2253&gt;0,PPMT('Assumptions (Petroleum)'!$V$6,Model!AK$1,'Assumptions (Petroleum)'!$V$9,'Assumptions (Petroleum)'!$V$4*Model!$V$2253*AVERAGE('Assumptions (Petroleum)'!$R$2:$T$2)/10^9),0)</f>
        <v>0</v>
      </c>
      <c r="AK2329" s="160"/>
      <c r="AL2329" s="160"/>
      <c r="AM2329" s="160"/>
      <c r="AN2329" s="160"/>
      <c r="AO2329" s="160"/>
      <c r="AP2329" s="160"/>
      <c r="AQ2329" s="160"/>
      <c r="AR2329" s="160"/>
      <c r="AS2329" s="160"/>
      <c r="AT2329" s="160"/>
    </row>
    <row r="2330" ht="15.75" hidden="1" customHeight="1" outlineLevel="1">
      <c r="A2330" s="328"/>
      <c r="B2330" s="38"/>
      <c r="C2330" s="174"/>
      <c r="D2330" s="174"/>
      <c r="E2330" s="174"/>
      <c r="F2330" s="174"/>
      <c r="G2330" s="174"/>
      <c r="H2330" s="174"/>
      <c r="I2330" s="174"/>
      <c r="J2330" s="174"/>
      <c r="K2330" s="174"/>
      <c r="L2330" s="174"/>
      <c r="M2330" s="174"/>
      <c r="N2330" s="174"/>
      <c r="O2330" s="174"/>
      <c r="P2330" s="174"/>
      <c r="Q2330" s="174"/>
      <c r="R2330" s="174"/>
      <c r="S2330" s="174"/>
      <c r="T2330" s="174"/>
      <c r="U2330" s="174"/>
      <c r="V2330" s="174"/>
      <c r="W2330" s="160">
        <f>IF($W$2253&gt;0,PPMT('Assumptions (Petroleum)'!$V$6,Model!W$1,'Assumptions (Petroleum)'!$V$9,'Assumptions (Petroleum)'!$V$4*Model!$W$2253*average('Assumptions (Petroleum)'!$S$2:$U$2)/10^9),0)</f>
        <v>0</v>
      </c>
      <c r="X2330" s="160">
        <f>IF($W$2253&gt;0,PPMT('Assumptions (Petroleum)'!$V$6,Model!X$1,'Assumptions (Petroleum)'!$V$9,'Assumptions (Petroleum)'!$V$4*Model!$W$2253*average('Assumptions (Petroleum)'!$S$2:$U$2)/10^9),0)</f>
        <v>0</v>
      </c>
      <c r="Y2330" s="160">
        <f>IF($W$2253&gt;0,PPMT('Assumptions (Petroleum)'!$V$6,Model!Y$1,'Assumptions (Petroleum)'!$V$9,'Assumptions (Petroleum)'!$V$4*Model!$W$2253*average('Assumptions (Petroleum)'!$S$2:$U$2)/10^9),0)</f>
        <v>0</v>
      </c>
      <c r="Z2330" s="160">
        <f>IF($W$2253&gt;0,PPMT('Assumptions (Petroleum)'!$V$6,Model!Z$1,'Assumptions (Petroleum)'!$V$9,'Assumptions (Petroleum)'!$V$4*Model!$W$2253*average('Assumptions (Petroleum)'!$S$2:$U$2)/10^9),0)</f>
        <v>0</v>
      </c>
      <c r="AA2330" s="160">
        <f>IF($W$2253&gt;0,PPMT('Assumptions (Petroleum)'!$V$6,Model!AA$1,'Assumptions (Petroleum)'!$V$9,'Assumptions (Petroleum)'!$V$4*Model!$W$2253*average('Assumptions (Petroleum)'!$S$2:$U$2)/10^9),0)</f>
        <v>0</v>
      </c>
      <c r="AB2330" s="160">
        <f>IF($W$2253&gt;0,PPMT('Assumptions (Petroleum)'!$V$6,Model!AB$1,'Assumptions (Petroleum)'!$V$9,'Assumptions (Petroleum)'!$V$4*Model!$W$2253*average('Assumptions (Petroleum)'!$S$2:$U$2)/10^9),0)</f>
        <v>0</v>
      </c>
      <c r="AC2330" s="160">
        <f>IF($W$2253&gt;0,PPMT('Assumptions (Petroleum)'!$V$6,Model!AC$1,'Assumptions (Petroleum)'!$V$9,'Assumptions (Petroleum)'!$V$4*Model!$W$2253*average('Assumptions (Petroleum)'!$S$2:$U$2)/10^9),0)</f>
        <v>0</v>
      </c>
      <c r="AD2330" s="160">
        <f>IF($W$2253&gt;0,PPMT('Assumptions (Petroleum)'!$V$6,Model!AD$1,'Assumptions (Petroleum)'!$V$9,'Assumptions (Petroleum)'!$V$4*Model!$W$2253*average('Assumptions (Petroleum)'!$S$2:$U$2)/10^9),0)</f>
        <v>0</v>
      </c>
      <c r="AE2330" s="160">
        <f>IF($W$2253&gt;0,PPMT('Assumptions (Petroleum)'!$V$6,Model!AE$1,'Assumptions (Petroleum)'!$V$9,'Assumptions (Petroleum)'!$V$4*Model!$W$2253*average('Assumptions (Petroleum)'!$S$2:$U$2)/10^9),0)</f>
        <v>0</v>
      </c>
      <c r="AF2330" s="160">
        <f>IF($W$2253&gt;0,PPMT('Assumptions (Petroleum)'!$V$6,Model!AF$1,'Assumptions (Petroleum)'!$V$9,'Assumptions (Petroleum)'!$V$4*Model!$W$2253*average('Assumptions (Petroleum)'!$S$2:$U$2)/10^9),0)</f>
        <v>0</v>
      </c>
      <c r="AG2330" s="160">
        <f>IF($W$2253&gt;0,PPMT('Assumptions (Petroleum)'!$V$6,Model!AG$1,'Assumptions (Petroleum)'!$V$9,'Assumptions (Petroleum)'!$V$4*Model!$W$2253*average('Assumptions (Petroleum)'!$S$2:$U$2)/10^9),0)</f>
        <v>0</v>
      </c>
      <c r="AH2330" s="160">
        <f>IF($W$2253&gt;0,PPMT('Assumptions (Petroleum)'!$V$6,Model!AH$1,'Assumptions (Petroleum)'!$V$9,'Assumptions (Petroleum)'!$V$4*Model!$W$2253*average('Assumptions (Petroleum)'!$S$2:$U$2)/10^9),0)</f>
        <v>0</v>
      </c>
      <c r="AI2330" s="160">
        <f>IF($W$2253&gt;0,PPMT('Assumptions (Petroleum)'!$V$6,Model!AI$1,'Assumptions (Petroleum)'!$V$9,'Assumptions (Petroleum)'!$V$4*Model!$W$2253*average('Assumptions (Petroleum)'!$S$2:$U$2)/10^9),0)</f>
        <v>0</v>
      </c>
      <c r="AJ2330" s="160">
        <f>IF($W$2253&gt;0,PPMT('Assumptions (Petroleum)'!$V$6,Model!AJ$1,'Assumptions (Petroleum)'!$V$9,'Assumptions (Petroleum)'!$V$4*Model!$W$2253*average('Assumptions (Petroleum)'!$S$2:$U$2)/10^9),0)</f>
        <v>0</v>
      </c>
      <c r="AK2330" s="160">
        <f>IF($W$2253&gt;0,PPMT('Assumptions (Petroleum)'!$V$6,Model!AK$1,'Assumptions (Petroleum)'!$V$9,'Assumptions (Petroleum)'!$V$4*Model!$W$2253*average('Assumptions (Petroleum)'!$S$2:$U$2)/10^9),0)</f>
        <v>0</v>
      </c>
      <c r="AL2330" s="160"/>
      <c r="AM2330" s="160"/>
      <c r="AN2330" s="160"/>
      <c r="AO2330" s="160"/>
      <c r="AP2330" s="160"/>
      <c r="AQ2330" s="160"/>
      <c r="AR2330" s="160"/>
      <c r="AS2330" s="160"/>
      <c r="AT2330" s="160"/>
      <c r="AU2330" s="160"/>
      <c r="AV2330" s="160"/>
      <c r="AW2330" s="160"/>
      <c r="AX2330" s="160"/>
      <c r="AY2330" s="160"/>
      <c r="AZ2330" s="160"/>
      <c r="BA2330" s="160"/>
    </row>
    <row r="2331" ht="15.75" hidden="1" customHeight="1" outlineLevel="1">
      <c r="A2331" s="328"/>
      <c r="B2331" s="38"/>
      <c r="C2331" s="174"/>
      <c r="D2331" s="174"/>
      <c r="E2331" s="174"/>
      <c r="F2331" s="174"/>
      <c r="G2331" s="174"/>
      <c r="H2331" s="174"/>
      <c r="I2331" s="174"/>
      <c r="J2331" s="174"/>
      <c r="K2331" s="174"/>
      <c r="L2331" s="174"/>
      <c r="M2331" s="174"/>
      <c r="N2331" s="174"/>
      <c r="O2331" s="174"/>
      <c r="P2331" s="174"/>
      <c r="Q2331" s="174"/>
      <c r="R2331" s="174"/>
      <c r="S2331" s="174"/>
      <c r="T2331" s="174"/>
      <c r="U2331" s="174"/>
      <c r="V2331" s="174"/>
      <c r="W2331" s="160"/>
      <c r="X2331" s="160">
        <f>IF($X$2253&gt;0,PPMT('Assumptions (Petroleum)'!$V$6,Model!W$1,'Assumptions (Petroleum)'!$V$9,'Assumptions (Petroleum)'!$V$4*Model!$X$2253*average('Assumptions (Petroleum)'!$T$2:$V$2)/10^9),0)</f>
        <v>0</v>
      </c>
      <c r="Y2331" s="160">
        <f>IF($X$2253&gt;0,PPMT('Assumptions (Petroleum)'!$V$6,Model!X$1,'Assumptions (Petroleum)'!$V$9,'Assumptions (Petroleum)'!$V$4*Model!$X$2253*average('Assumptions (Petroleum)'!$T$2:$V$2)/10^9),0)</f>
        <v>0</v>
      </c>
      <c r="Z2331" s="160">
        <f>IF($X$2253&gt;0,PPMT('Assumptions (Petroleum)'!$V$6,Model!Y$1,'Assumptions (Petroleum)'!$V$9,'Assumptions (Petroleum)'!$V$4*Model!$X$2253*average('Assumptions (Petroleum)'!$T$2:$V$2)/10^9),0)</f>
        <v>0</v>
      </c>
      <c r="AA2331" s="160">
        <f>IF($X$2253&gt;0,PPMT('Assumptions (Petroleum)'!$V$6,Model!Z$1,'Assumptions (Petroleum)'!$V$9,'Assumptions (Petroleum)'!$V$4*Model!$X$2253*average('Assumptions (Petroleum)'!$T$2:$V$2)/10^9),0)</f>
        <v>0</v>
      </c>
      <c r="AB2331" s="160">
        <f>IF($X$2253&gt;0,PPMT('Assumptions (Petroleum)'!$V$6,Model!AA$1,'Assumptions (Petroleum)'!$V$9,'Assumptions (Petroleum)'!$V$4*Model!$X$2253*average('Assumptions (Petroleum)'!$T$2:$V$2)/10^9),0)</f>
        <v>0</v>
      </c>
      <c r="AC2331" s="160">
        <f>IF($X$2253&gt;0,PPMT('Assumptions (Petroleum)'!$V$6,Model!AB$1,'Assumptions (Petroleum)'!$V$9,'Assumptions (Petroleum)'!$V$4*Model!$X$2253*average('Assumptions (Petroleum)'!$T$2:$V$2)/10^9),0)</f>
        <v>0</v>
      </c>
      <c r="AD2331" s="160">
        <f>IF($X$2253&gt;0,PPMT('Assumptions (Petroleum)'!$V$6,Model!AC$1,'Assumptions (Petroleum)'!$V$9,'Assumptions (Petroleum)'!$V$4*Model!$X$2253*average('Assumptions (Petroleum)'!$T$2:$V$2)/10^9),0)</f>
        <v>0</v>
      </c>
      <c r="AE2331" s="160">
        <f>IF($X$2253&gt;0,PPMT('Assumptions (Petroleum)'!$V$6,Model!AD$1,'Assumptions (Petroleum)'!$V$9,'Assumptions (Petroleum)'!$V$4*Model!$X$2253*average('Assumptions (Petroleum)'!$T$2:$V$2)/10^9),0)</f>
        <v>0</v>
      </c>
      <c r="AF2331" s="160">
        <f>IF($X$2253&gt;0,PPMT('Assumptions (Petroleum)'!$V$6,Model!AE$1,'Assumptions (Petroleum)'!$V$9,'Assumptions (Petroleum)'!$V$4*Model!$X$2253*average('Assumptions (Petroleum)'!$T$2:$V$2)/10^9),0)</f>
        <v>0</v>
      </c>
      <c r="AG2331" s="160">
        <f>IF($X$2253&gt;0,PPMT('Assumptions (Petroleum)'!$V$6,Model!AF$1,'Assumptions (Petroleum)'!$V$9,'Assumptions (Petroleum)'!$V$4*Model!$X$2253*average('Assumptions (Petroleum)'!$T$2:$V$2)/10^9),0)</f>
        <v>0</v>
      </c>
      <c r="AH2331" s="160">
        <f>IF($X$2253&gt;0,PPMT('Assumptions (Petroleum)'!$V$6,Model!AG$1,'Assumptions (Petroleum)'!$V$9,'Assumptions (Petroleum)'!$V$4*Model!$X$2253*average('Assumptions (Petroleum)'!$T$2:$V$2)/10^9),0)</f>
        <v>0</v>
      </c>
      <c r="AI2331" s="160">
        <f>IF($X$2253&gt;0,PPMT('Assumptions (Petroleum)'!$V$6,Model!AH$1,'Assumptions (Petroleum)'!$V$9,'Assumptions (Petroleum)'!$V$4*Model!$X$2253*average('Assumptions (Petroleum)'!$T$2:$V$2)/10^9),0)</f>
        <v>0</v>
      </c>
      <c r="AJ2331" s="160">
        <f>IF($X$2253&gt;0,PPMT('Assumptions (Petroleum)'!$V$6,Model!AI$1,'Assumptions (Petroleum)'!$V$9,'Assumptions (Petroleum)'!$V$4*Model!$X$2253*average('Assumptions (Petroleum)'!$T$2:$V$2)/10^9),0)</f>
        <v>0</v>
      </c>
      <c r="AK2331" s="160">
        <f>IF($X$2253&gt;0,PPMT('Assumptions (Petroleum)'!$V$6,Model!AJ$1,'Assumptions (Petroleum)'!$V$9,'Assumptions (Petroleum)'!$V$4*Model!$X$2253*average('Assumptions (Petroleum)'!$T$2:$V$2)/10^9),0)</f>
        <v>0</v>
      </c>
      <c r="AL2331" s="160">
        <f>IF($X$2253&gt;0,PPMT('Assumptions (Petroleum)'!$V$6,Model!AK$1,'Assumptions (Petroleum)'!$V$9,'Assumptions (Petroleum)'!$V$4*Model!$X$2253*average('Assumptions (Petroleum)'!$T$2:$V$2)/10^9),0)</f>
        <v>0</v>
      </c>
      <c r="AM2331" s="160"/>
      <c r="AN2331" s="160"/>
      <c r="AO2331" s="160"/>
      <c r="AP2331" s="160"/>
      <c r="AQ2331" s="160"/>
      <c r="AR2331" s="160"/>
      <c r="AS2331" s="160"/>
      <c r="AT2331" s="160"/>
      <c r="AU2331" s="160"/>
      <c r="AV2331" s="160"/>
      <c r="AW2331" s="160"/>
      <c r="AX2331" s="160"/>
      <c r="AY2331" s="160"/>
      <c r="AZ2331" s="160"/>
      <c r="BA2331" s="160"/>
    </row>
    <row r="2332" ht="15.75" hidden="1" customHeight="1" outlineLevel="1">
      <c r="A2332" s="328"/>
      <c r="B2332" s="38"/>
      <c r="C2332" s="174"/>
      <c r="D2332" s="174"/>
      <c r="E2332" s="174"/>
      <c r="F2332" s="174"/>
      <c r="G2332" s="174"/>
      <c r="H2332" s="174"/>
      <c r="I2332" s="174"/>
      <c r="J2332" s="174"/>
      <c r="K2332" s="174"/>
      <c r="L2332" s="174"/>
      <c r="M2332" s="174"/>
      <c r="N2332" s="174"/>
      <c r="O2332" s="174"/>
      <c r="P2332" s="174"/>
      <c r="Q2332" s="174"/>
      <c r="R2332" s="174"/>
      <c r="S2332" s="174"/>
      <c r="T2332" s="174"/>
      <c r="U2332" s="174"/>
      <c r="V2332" s="174"/>
      <c r="W2332" s="160"/>
      <c r="X2332" s="160"/>
      <c r="Y2332" s="160">
        <f>IF($Y$2253&gt;0,PPMT('Assumptions (Petroleum)'!$V$6,Model!W$1,'Assumptions (Petroleum)'!$V$9,'Assumptions (Petroleum)'!$V$4*Model!$Y$2253*AVERAGE('Assumptions (Petroleum)'!$U$2:$W$2)/10^9),0)</f>
        <v>0</v>
      </c>
      <c r="Z2332" s="160">
        <f>IF($Y$2253&gt;0,PPMT('Assumptions (Petroleum)'!$V$6,Model!X$1,'Assumptions (Petroleum)'!$V$9,'Assumptions (Petroleum)'!$V$4*Model!$Y$2253*AVERAGE('Assumptions (Petroleum)'!$U$2:$W$2)/10^9),0)</f>
        <v>0</v>
      </c>
      <c r="AA2332" s="160">
        <f>IF($Y$2253&gt;0,PPMT('Assumptions (Petroleum)'!$V$6,Model!Y$1,'Assumptions (Petroleum)'!$V$9,'Assumptions (Petroleum)'!$V$4*Model!$Y$2253*AVERAGE('Assumptions (Petroleum)'!$U$2:$W$2)/10^9),0)</f>
        <v>0</v>
      </c>
      <c r="AB2332" s="160">
        <f>IF($Y$2253&gt;0,PPMT('Assumptions (Petroleum)'!$V$6,Model!Z$1,'Assumptions (Petroleum)'!$V$9,'Assumptions (Petroleum)'!$V$4*Model!$Y$2253*AVERAGE('Assumptions (Petroleum)'!$U$2:$W$2)/10^9),0)</f>
        <v>0</v>
      </c>
      <c r="AC2332" s="160">
        <f>IF($Y$2253&gt;0,PPMT('Assumptions (Petroleum)'!$V$6,Model!AA$1,'Assumptions (Petroleum)'!$V$9,'Assumptions (Petroleum)'!$V$4*Model!$Y$2253*AVERAGE('Assumptions (Petroleum)'!$U$2:$W$2)/10^9),0)</f>
        <v>0</v>
      </c>
      <c r="AD2332" s="160">
        <f>IF($Y$2253&gt;0,PPMT('Assumptions (Petroleum)'!$V$6,Model!AB$1,'Assumptions (Petroleum)'!$V$9,'Assumptions (Petroleum)'!$V$4*Model!$Y$2253*AVERAGE('Assumptions (Petroleum)'!$U$2:$W$2)/10^9),0)</f>
        <v>0</v>
      </c>
      <c r="AE2332" s="160">
        <f>IF($Y$2253&gt;0,PPMT('Assumptions (Petroleum)'!$V$6,Model!AC$1,'Assumptions (Petroleum)'!$V$9,'Assumptions (Petroleum)'!$V$4*Model!$Y$2253*AVERAGE('Assumptions (Petroleum)'!$U$2:$W$2)/10^9),0)</f>
        <v>0</v>
      </c>
      <c r="AF2332" s="160">
        <f>IF($Y$2253&gt;0,PPMT('Assumptions (Petroleum)'!$V$6,Model!AD$1,'Assumptions (Petroleum)'!$V$9,'Assumptions (Petroleum)'!$V$4*Model!$Y$2253*AVERAGE('Assumptions (Petroleum)'!$U$2:$W$2)/10^9),0)</f>
        <v>0</v>
      </c>
      <c r="AG2332" s="160">
        <f>IF($Y$2253&gt;0,PPMT('Assumptions (Petroleum)'!$V$6,Model!AE$1,'Assumptions (Petroleum)'!$V$9,'Assumptions (Petroleum)'!$V$4*Model!$Y$2253*AVERAGE('Assumptions (Petroleum)'!$U$2:$W$2)/10^9),0)</f>
        <v>0</v>
      </c>
      <c r="AH2332" s="160">
        <f>IF($Y$2253&gt;0,PPMT('Assumptions (Petroleum)'!$V$6,Model!AF$1,'Assumptions (Petroleum)'!$V$9,'Assumptions (Petroleum)'!$V$4*Model!$Y$2253*AVERAGE('Assumptions (Petroleum)'!$U$2:$W$2)/10^9),0)</f>
        <v>0</v>
      </c>
      <c r="AI2332" s="160">
        <f>IF($Y$2253&gt;0,PPMT('Assumptions (Petroleum)'!$V$6,Model!AG$1,'Assumptions (Petroleum)'!$V$9,'Assumptions (Petroleum)'!$V$4*Model!$Y$2253*AVERAGE('Assumptions (Petroleum)'!$U$2:$W$2)/10^9),0)</f>
        <v>0</v>
      </c>
      <c r="AJ2332" s="160">
        <f>IF($Y$2253&gt;0,PPMT('Assumptions (Petroleum)'!$V$6,Model!AH$1,'Assumptions (Petroleum)'!$V$9,'Assumptions (Petroleum)'!$V$4*Model!$Y$2253*AVERAGE('Assumptions (Petroleum)'!$U$2:$W$2)/10^9),0)</f>
        <v>0</v>
      </c>
      <c r="AK2332" s="160">
        <f>IF($Y$2253&gt;0,PPMT('Assumptions (Petroleum)'!$V$6,Model!AI$1,'Assumptions (Petroleum)'!$V$9,'Assumptions (Petroleum)'!$V$4*Model!$Y$2253*AVERAGE('Assumptions (Petroleum)'!$U$2:$W$2)/10^9),0)</f>
        <v>0</v>
      </c>
      <c r="AL2332" s="160">
        <f>IF($Y$2253&gt;0,PPMT('Assumptions (Petroleum)'!$V$6,Model!AJ$1,'Assumptions (Petroleum)'!$V$9,'Assumptions (Petroleum)'!$V$4*Model!$Y$2253*AVERAGE('Assumptions (Petroleum)'!$U$2:$W$2)/10^9),0)</f>
        <v>0</v>
      </c>
      <c r="AM2332" s="160">
        <f>IF($Y$2253&gt;0,PPMT('Assumptions (Petroleum)'!$V$6,Model!AK$1,'Assumptions (Petroleum)'!$V$9,'Assumptions (Petroleum)'!$V$4*Model!$Y$2253*AVERAGE('Assumptions (Petroleum)'!$U$2:$W$2)/10^9),0)</f>
        <v>0</v>
      </c>
      <c r="AN2332" s="160"/>
      <c r="AO2332" s="160"/>
      <c r="AP2332" s="160"/>
      <c r="AQ2332" s="160"/>
      <c r="AR2332" s="160"/>
      <c r="AS2332" s="160"/>
      <c r="AT2332" s="160"/>
      <c r="AU2332" s="160"/>
      <c r="AV2332" s="160"/>
      <c r="AW2332" s="160"/>
      <c r="AX2332" s="160"/>
      <c r="AY2332" s="160"/>
      <c r="AZ2332" s="160"/>
      <c r="BA2332" s="160"/>
    </row>
    <row r="2333" ht="15.75" hidden="1" customHeight="1" outlineLevel="1">
      <c r="A2333" s="328"/>
      <c r="B2333" s="38"/>
      <c r="C2333" s="174"/>
      <c r="D2333" s="174"/>
      <c r="E2333" s="174"/>
      <c r="F2333" s="174"/>
      <c r="G2333" s="174"/>
      <c r="H2333" s="174"/>
      <c r="I2333" s="174"/>
      <c r="J2333" s="174"/>
      <c r="K2333" s="174"/>
      <c r="L2333" s="174"/>
      <c r="M2333" s="174"/>
      <c r="N2333" s="174"/>
      <c r="O2333" s="174"/>
      <c r="P2333" s="174"/>
      <c r="Q2333" s="174"/>
      <c r="R2333" s="174"/>
      <c r="S2333" s="174"/>
      <c r="T2333" s="174"/>
      <c r="U2333" s="174"/>
      <c r="V2333" s="174"/>
      <c r="W2333" s="160"/>
      <c r="X2333" s="160"/>
      <c r="Y2333" s="160"/>
      <c r="Z2333" s="160">
        <f>IF($Z$2253&gt;0,PPMT('Assumptions (Petroleum)'!$V$6,Model!W$1,'Assumptions (Petroleum)'!$V$9,'Assumptions (Petroleum)'!$V$4*Model!$Z$2253*AVERAGE('Assumptions (Petroleum)'!$V$2:$X$2)/10^9),0)</f>
        <v>0</v>
      </c>
      <c r="AA2333" s="160">
        <f>IF($Z$2253&gt;0,PPMT('Assumptions (Petroleum)'!$V$6,Model!X$1,'Assumptions (Petroleum)'!$V$9,'Assumptions (Petroleum)'!$V$4*Model!$Z$2253*AVERAGE('Assumptions (Petroleum)'!$V$2:$X$2)/10^9),0)</f>
        <v>0</v>
      </c>
      <c r="AB2333" s="160">
        <f>IF($Z$2253&gt;0,PPMT('Assumptions (Petroleum)'!$V$6,Model!Y$1,'Assumptions (Petroleum)'!$V$9,'Assumptions (Petroleum)'!$V$4*Model!$Z$2253*AVERAGE('Assumptions (Petroleum)'!$V$2:$X$2)/10^9),0)</f>
        <v>0</v>
      </c>
      <c r="AC2333" s="160">
        <f>IF($Z$2253&gt;0,PPMT('Assumptions (Petroleum)'!$V$6,Model!Z$1,'Assumptions (Petroleum)'!$V$9,'Assumptions (Petroleum)'!$V$4*Model!$Z$2253*AVERAGE('Assumptions (Petroleum)'!$V$2:$X$2)/10^9),0)</f>
        <v>0</v>
      </c>
      <c r="AD2333" s="160">
        <f>IF($Z$2253&gt;0,PPMT('Assumptions (Petroleum)'!$V$6,Model!AA$1,'Assumptions (Petroleum)'!$V$9,'Assumptions (Petroleum)'!$V$4*Model!$Z$2253*AVERAGE('Assumptions (Petroleum)'!$V$2:$X$2)/10^9),0)</f>
        <v>0</v>
      </c>
      <c r="AE2333" s="160">
        <f>IF($Z$2253&gt;0,PPMT('Assumptions (Petroleum)'!$V$6,Model!AB$1,'Assumptions (Petroleum)'!$V$9,'Assumptions (Petroleum)'!$V$4*Model!$Z$2253*AVERAGE('Assumptions (Petroleum)'!$V$2:$X$2)/10^9),0)</f>
        <v>0</v>
      </c>
      <c r="AF2333" s="160">
        <f>IF($Z$2253&gt;0,PPMT('Assumptions (Petroleum)'!$V$6,Model!AC$1,'Assumptions (Petroleum)'!$V$9,'Assumptions (Petroleum)'!$V$4*Model!$Z$2253*AVERAGE('Assumptions (Petroleum)'!$V$2:$X$2)/10^9),0)</f>
        <v>0</v>
      </c>
      <c r="AG2333" s="160">
        <f>IF($Z$2253&gt;0,PPMT('Assumptions (Petroleum)'!$V$6,Model!AD$1,'Assumptions (Petroleum)'!$V$9,'Assumptions (Petroleum)'!$V$4*Model!$Z$2253*AVERAGE('Assumptions (Petroleum)'!$V$2:$X$2)/10^9),0)</f>
        <v>0</v>
      </c>
      <c r="AH2333" s="160">
        <f>IF($Z$2253&gt;0,PPMT('Assumptions (Petroleum)'!$V$6,Model!AE$1,'Assumptions (Petroleum)'!$V$9,'Assumptions (Petroleum)'!$V$4*Model!$Z$2253*AVERAGE('Assumptions (Petroleum)'!$V$2:$X$2)/10^9),0)</f>
        <v>0</v>
      </c>
      <c r="AI2333" s="160">
        <f>IF($Z$2253&gt;0,PPMT('Assumptions (Petroleum)'!$V$6,Model!AF$1,'Assumptions (Petroleum)'!$V$9,'Assumptions (Petroleum)'!$V$4*Model!$Z$2253*AVERAGE('Assumptions (Petroleum)'!$V$2:$X$2)/10^9),0)</f>
        <v>0</v>
      </c>
      <c r="AJ2333" s="160">
        <f>IF($Z$2253&gt;0,PPMT('Assumptions (Petroleum)'!$V$6,Model!AG$1,'Assumptions (Petroleum)'!$V$9,'Assumptions (Petroleum)'!$V$4*Model!$Z$2253*AVERAGE('Assumptions (Petroleum)'!$V$2:$X$2)/10^9),0)</f>
        <v>0</v>
      </c>
      <c r="AK2333" s="160">
        <f>IF($Z$2253&gt;0,PPMT('Assumptions (Petroleum)'!$V$6,Model!AH$1,'Assumptions (Petroleum)'!$V$9,'Assumptions (Petroleum)'!$V$4*Model!$Z$2253*AVERAGE('Assumptions (Petroleum)'!$V$2:$X$2)/10^9),0)</f>
        <v>0</v>
      </c>
      <c r="AL2333" s="160">
        <f>IF($Z$2253&gt;0,PPMT('Assumptions (Petroleum)'!$V$6,Model!AI$1,'Assumptions (Petroleum)'!$V$9,'Assumptions (Petroleum)'!$V$4*Model!$Z$2253*AVERAGE('Assumptions (Petroleum)'!$V$2:$X$2)/10^9),0)</f>
        <v>0</v>
      </c>
      <c r="AM2333" s="160">
        <f>IF($Z$2253&gt;0,PPMT('Assumptions (Petroleum)'!$V$6,Model!AJ$1,'Assumptions (Petroleum)'!$V$9,'Assumptions (Petroleum)'!$V$4*Model!$Z$2253*AVERAGE('Assumptions (Petroleum)'!$V$2:$X$2)/10^9),0)</f>
        <v>0</v>
      </c>
      <c r="AN2333" s="160">
        <f>IF($Z$2253&gt;0,PPMT('Assumptions (Petroleum)'!$V$6,Model!AK$1,'Assumptions (Petroleum)'!$V$9,'Assumptions (Petroleum)'!$V$4*Model!$Z$2253*AVERAGE('Assumptions (Petroleum)'!$V$2:$X$2)/10^9),0)</f>
        <v>0</v>
      </c>
      <c r="AO2333" s="160"/>
      <c r="AP2333" s="160"/>
      <c r="AQ2333" s="160"/>
      <c r="AR2333" s="160"/>
      <c r="AS2333" s="160"/>
      <c r="AT2333" s="160"/>
      <c r="AU2333" s="160"/>
      <c r="AV2333" s="160"/>
      <c r="AW2333" s="160"/>
      <c r="AX2333" s="160"/>
      <c r="AY2333" s="160"/>
      <c r="AZ2333" s="160"/>
      <c r="BA2333" s="160"/>
    </row>
    <row r="2334" ht="15.75" hidden="1" customHeight="1" outlineLevel="1">
      <c r="A2334" s="328"/>
      <c r="B2334" s="38"/>
      <c r="C2334" s="174"/>
      <c r="D2334" s="174"/>
      <c r="E2334" s="174"/>
      <c r="F2334" s="174"/>
      <c r="G2334" s="174"/>
      <c r="H2334" s="174"/>
      <c r="I2334" s="174"/>
      <c r="J2334" s="174"/>
      <c r="K2334" s="174"/>
      <c r="L2334" s="174"/>
      <c r="M2334" s="174"/>
      <c r="N2334" s="174"/>
      <c r="O2334" s="174"/>
      <c r="P2334" s="174"/>
      <c r="Q2334" s="174"/>
      <c r="R2334" s="174"/>
      <c r="S2334" s="174"/>
      <c r="T2334" s="174"/>
      <c r="U2334" s="174"/>
      <c r="V2334" s="174"/>
      <c r="W2334" s="160"/>
      <c r="X2334" s="160"/>
      <c r="Y2334" s="160"/>
      <c r="Z2334" s="160"/>
      <c r="AA2334" s="160">
        <f>IF($AA$2253&gt;0,PPMT('Assumptions (Petroleum)'!$V$6,Model!W$1,'Assumptions (Petroleum)'!$V$9,'Assumptions (Petroleum)'!$V$4*Model!$AA$2253*AVERAGE('Assumptions (Petroleum)'!$W$2:$Y$2)/10^9),0)</f>
        <v>0</v>
      </c>
      <c r="AB2334" s="160">
        <f>IF($AA$2253&gt;0,PPMT('Assumptions (Petroleum)'!$V$6,Model!X$1,'Assumptions (Petroleum)'!$V$9,'Assumptions (Petroleum)'!$V$4*Model!$AA$2253*AVERAGE('Assumptions (Petroleum)'!$W$2:$Y$2)/10^9),0)</f>
        <v>0</v>
      </c>
      <c r="AC2334" s="160">
        <f>IF($AA$2253&gt;0,PPMT('Assumptions (Petroleum)'!$V$6,Model!Y$1,'Assumptions (Petroleum)'!$V$9,'Assumptions (Petroleum)'!$V$4*Model!$AA$2253*AVERAGE('Assumptions (Petroleum)'!$W$2:$Y$2)/10^9),0)</f>
        <v>0</v>
      </c>
      <c r="AD2334" s="160">
        <f>IF($AA$2253&gt;0,PPMT('Assumptions (Petroleum)'!$V$6,Model!Z$1,'Assumptions (Petroleum)'!$V$9,'Assumptions (Petroleum)'!$V$4*Model!$AA$2253*AVERAGE('Assumptions (Petroleum)'!$W$2:$Y$2)/10^9),0)</f>
        <v>0</v>
      </c>
      <c r="AE2334" s="160">
        <f>IF($AA$2253&gt;0,PPMT('Assumptions (Petroleum)'!$V$6,Model!AA$1,'Assumptions (Petroleum)'!$V$9,'Assumptions (Petroleum)'!$V$4*Model!$AA$2253*AVERAGE('Assumptions (Petroleum)'!$W$2:$Y$2)/10^9),0)</f>
        <v>0</v>
      </c>
      <c r="AF2334" s="160">
        <f>IF($AA$2253&gt;0,PPMT('Assumptions (Petroleum)'!$V$6,Model!AB$1,'Assumptions (Petroleum)'!$V$9,'Assumptions (Petroleum)'!$V$4*Model!$AA$2253*AVERAGE('Assumptions (Petroleum)'!$W$2:$Y$2)/10^9),0)</f>
        <v>0</v>
      </c>
      <c r="AG2334" s="160">
        <f>IF($AA$2253&gt;0,PPMT('Assumptions (Petroleum)'!$V$6,Model!AC$1,'Assumptions (Petroleum)'!$V$9,'Assumptions (Petroleum)'!$V$4*Model!$AA$2253*AVERAGE('Assumptions (Petroleum)'!$W$2:$Y$2)/10^9),0)</f>
        <v>0</v>
      </c>
      <c r="AH2334" s="160">
        <f>IF($AA$2253&gt;0,PPMT('Assumptions (Petroleum)'!$V$6,Model!AD$1,'Assumptions (Petroleum)'!$V$9,'Assumptions (Petroleum)'!$V$4*Model!$AA$2253*AVERAGE('Assumptions (Petroleum)'!$W$2:$Y$2)/10^9),0)</f>
        <v>0</v>
      </c>
      <c r="AI2334" s="160">
        <f>IF($AA$2253&gt;0,PPMT('Assumptions (Petroleum)'!$V$6,Model!AE$1,'Assumptions (Petroleum)'!$V$9,'Assumptions (Petroleum)'!$V$4*Model!$AA$2253*AVERAGE('Assumptions (Petroleum)'!$W$2:$Y$2)/10^9),0)</f>
        <v>0</v>
      </c>
      <c r="AJ2334" s="160">
        <f>IF($AA$2253&gt;0,PPMT('Assumptions (Petroleum)'!$V$6,Model!AF$1,'Assumptions (Petroleum)'!$V$9,'Assumptions (Petroleum)'!$V$4*Model!$AA$2253*AVERAGE('Assumptions (Petroleum)'!$W$2:$Y$2)/10^9),0)</f>
        <v>0</v>
      </c>
      <c r="AK2334" s="160">
        <f>IF($AA$2253&gt;0,PPMT('Assumptions (Petroleum)'!$V$6,Model!AG$1,'Assumptions (Petroleum)'!$V$9,'Assumptions (Petroleum)'!$V$4*Model!$AA$2253*AVERAGE('Assumptions (Petroleum)'!$W$2:$Y$2)/10^9),0)</f>
        <v>0</v>
      </c>
      <c r="AL2334" s="160">
        <f>IF($AA$2253&gt;0,PPMT('Assumptions (Petroleum)'!$V$6,Model!AH$1,'Assumptions (Petroleum)'!$V$9,'Assumptions (Petroleum)'!$V$4*Model!$AA$2253*AVERAGE('Assumptions (Petroleum)'!$W$2:$Y$2)/10^9),0)</f>
        <v>0</v>
      </c>
      <c r="AM2334" s="160">
        <f>IF($AA$2253&gt;0,PPMT('Assumptions (Petroleum)'!$V$6,Model!AI$1,'Assumptions (Petroleum)'!$V$9,'Assumptions (Petroleum)'!$V$4*Model!$AA$2253*AVERAGE('Assumptions (Petroleum)'!$W$2:$Y$2)/10^9),0)</f>
        <v>0</v>
      </c>
      <c r="AN2334" s="160">
        <f>IF($AA$2253&gt;0,PPMT('Assumptions (Petroleum)'!$V$6,Model!AJ$1,'Assumptions (Petroleum)'!$V$9,'Assumptions (Petroleum)'!$V$4*Model!$AA$2253*AVERAGE('Assumptions (Petroleum)'!$W$2:$Y$2)/10^9),0)</f>
        <v>0</v>
      </c>
      <c r="AO2334" s="160">
        <f>IF($AA$2253&gt;0,PPMT('Assumptions (Petroleum)'!$V$6,Model!AK$1,'Assumptions (Petroleum)'!$V$9,'Assumptions (Petroleum)'!$V$4*Model!$AA$2253*AVERAGE('Assumptions (Petroleum)'!$W$2:$Y$2)/10^9),0)</f>
        <v>0</v>
      </c>
      <c r="AP2334" s="160"/>
      <c r="AQ2334" s="160"/>
      <c r="AR2334" s="160"/>
      <c r="AS2334" s="160"/>
      <c r="AT2334" s="160"/>
      <c r="AU2334" s="160"/>
      <c r="AV2334" s="160"/>
      <c r="AW2334" s="160"/>
      <c r="AX2334" s="160"/>
      <c r="AY2334" s="160"/>
      <c r="AZ2334" s="160"/>
      <c r="BA2334" s="160"/>
    </row>
    <row r="2335" ht="15.75" hidden="1" customHeight="1" outlineLevel="1">
      <c r="A2335" s="328"/>
      <c r="B2335" s="38"/>
      <c r="C2335" s="174"/>
      <c r="D2335" s="174"/>
      <c r="E2335" s="174"/>
      <c r="F2335" s="174"/>
      <c r="G2335" s="174"/>
      <c r="H2335" s="174"/>
      <c r="I2335" s="174"/>
      <c r="J2335" s="174"/>
      <c r="K2335" s="174"/>
      <c r="L2335" s="174"/>
      <c r="M2335" s="174"/>
      <c r="N2335" s="174"/>
      <c r="O2335" s="174"/>
      <c r="P2335" s="174"/>
      <c r="Q2335" s="174"/>
      <c r="R2335" s="174"/>
      <c r="S2335" s="174"/>
      <c r="T2335" s="174"/>
      <c r="U2335" s="174"/>
      <c r="V2335" s="174"/>
      <c r="W2335" s="160"/>
      <c r="X2335" s="160"/>
      <c r="Y2335" s="160"/>
      <c r="Z2335" s="160"/>
      <c r="AA2335" s="160"/>
      <c r="AB2335" s="160">
        <f>IF($AB$2253&gt;0,PPMT('Assumptions (Petroleum)'!$V$6,Model!W$1,'Assumptions (Petroleum)'!$V$9,'Assumptions (Petroleum)'!$V$4*Model!$AB$2253*AVERAGE('Assumptions (Petroleum)'!$X$2:$Z$2)/10^9),0)</f>
        <v>0</v>
      </c>
      <c r="AC2335" s="160">
        <f>IF($AB$2253&gt;0,PPMT('Assumptions (Petroleum)'!$V$6,Model!X$1,'Assumptions (Petroleum)'!$V$9,'Assumptions (Petroleum)'!$V$4*Model!$AB$2253*AVERAGE('Assumptions (Petroleum)'!$X$2:$Z$2)/10^9),0)</f>
        <v>0</v>
      </c>
      <c r="AD2335" s="160">
        <f>IF($AB$2253&gt;0,PPMT('Assumptions (Petroleum)'!$V$6,Model!Y$1,'Assumptions (Petroleum)'!$V$9,'Assumptions (Petroleum)'!$V$4*Model!$AB$2253*AVERAGE('Assumptions (Petroleum)'!$X$2:$Z$2)/10^9),0)</f>
        <v>0</v>
      </c>
      <c r="AE2335" s="160">
        <f>IF($AB$2253&gt;0,PPMT('Assumptions (Petroleum)'!$V$6,Model!Z$1,'Assumptions (Petroleum)'!$V$9,'Assumptions (Petroleum)'!$V$4*Model!$AB$2253*AVERAGE('Assumptions (Petroleum)'!$X$2:$Z$2)/10^9),0)</f>
        <v>0</v>
      </c>
      <c r="AF2335" s="160">
        <f>IF($AB$2253&gt;0,PPMT('Assumptions (Petroleum)'!$V$6,Model!AA$1,'Assumptions (Petroleum)'!$V$9,'Assumptions (Petroleum)'!$V$4*Model!$AB$2253*AVERAGE('Assumptions (Petroleum)'!$X$2:$Z$2)/10^9),0)</f>
        <v>0</v>
      </c>
      <c r="AG2335" s="160">
        <f>IF($AB$2253&gt;0,PPMT('Assumptions (Petroleum)'!$V$6,Model!AB$1,'Assumptions (Petroleum)'!$V$9,'Assumptions (Petroleum)'!$V$4*Model!$AB$2253*AVERAGE('Assumptions (Petroleum)'!$X$2:$Z$2)/10^9),0)</f>
        <v>0</v>
      </c>
      <c r="AH2335" s="160">
        <f>IF($AB$2253&gt;0,PPMT('Assumptions (Petroleum)'!$V$6,Model!AC$1,'Assumptions (Petroleum)'!$V$9,'Assumptions (Petroleum)'!$V$4*Model!$AB$2253*AVERAGE('Assumptions (Petroleum)'!$X$2:$Z$2)/10^9),0)</f>
        <v>0</v>
      </c>
      <c r="AI2335" s="160">
        <f>IF($AB$2253&gt;0,PPMT('Assumptions (Petroleum)'!$V$6,Model!AD$1,'Assumptions (Petroleum)'!$V$9,'Assumptions (Petroleum)'!$V$4*Model!$AB$2253*AVERAGE('Assumptions (Petroleum)'!$X$2:$Z$2)/10^9),0)</f>
        <v>0</v>
      </c>
      <c r="AJ2335" s="160">
        <f>IF($AB$2253&gt;0,PPMT('Assumptions (Petroleum)'!$V$6,Model!AE$1,'Assumptions (Petroleum)'!$V$9,'Assumptions (Petroleum)'!$V$4*Model!$AB$2253*AVERAGE('Assumptions (Petroleum)'!$X$2:$Z$2)/10^9),0)</f>
        <v>0</v>
      </c>
      <c r="AK2335" s="160">
        <f>IF($AB$2253&gt;0,PPMT('Assumptions (Petroleum)'!$V$6,Model!AF$1,'Assumptions (Petroleum)'!$V$9,'Assumptions (Petroleum)'!$V$4*Model!$AB$2253*AVERAGE('Assumptions (Petroleum)'!$X$2:$Z$2)/10^9),0)</f>
        <v>0</v>
      </c>
      <c r="AL2335" s="160">
        <f>IF($AB$2253&gt;0,PPMT('Assumptions (Petroleum)'!$V$6,Model!AG$1,'Assumptions (Petroleum)'!$V$9,'Assumptions (Petroleum)'!$V$4*Model!$AB$2253*AVERAGE('Assumptions (Petroleum)'!$X$2:$Z$2)/10^9),0)</f>
        <v>0</v>
      </c>
      <c r="AM2335" s="160">
        <f>IF($AB$2253&gt;0,PPMT('Assumptions (Petroleum)'!$V$6,Model!AH$1,'Assumptions (Petroleum)'!$V$9,'Assumptions (Petroleum)'!$V$4*Model!$AB$2253*AVERAGE('Assumptions (Petroleum)'!$X$2:$Z$2)/10^9),0)</f>
        <v>0</v>
      </c>
      <c r="AN2335" s="160">
        <f>IF($AB$2253&gt;0,PPMT('Assumptions (Petroleum)'!$V$6,Model!AI$1,'Assumptions (Petroleum)'!$V$9,'Assumptions (Petroleum)'!$V$4*Model!$AB$2253*AVERAGE('Assumptions (Petroleum)'!$X$2:$Z$2)/10^9),0)</f>
        <v>0</v>
      </c>
      <c r="AO2335" s="160">
        <f>IF($AB$2253&gt;0,PPMT('Assumptions (Petroleum)'!$V$6,Model!AJ$1,'Assumptions (Petroleum)'!$V$9,'Assumptions (Petroleum)'!$V$4*Model!$AB$2253*AVERAGE('Assumptions (Petroleum)'!$X$2:$Z$2)/10^9),0)</f>
        <v>0</v>
      </c>
      <c r="AP2335" s="160">
        <f>IF($AB$2253&gt;0,PPMT('Assumptions (Petroleum)'!$V$6,Model!AK$1,'Assumptions (Petroleum)'!$V$9,'Assumptions (Petroleum)'!$V$4*Model!$AB$2253*AVERAGE('Assumptions (Petroleum)'!$X$2:$Z$2)/10^9),0)</f>
        <v>0</v>
      </c>
      <c r="AQ2335" s="160"/>
      <c r="AR2335" s="160"/>
      <c r="AS2335" s="160"/>
      <c r="AT2335" s="160"/>
      <c r="AU2335" s="160"/>
      <c r="AV2335" s="160"/>
      <c r="AW2335" s="160"/>
      <c r="AX2335" s="160"/>
      <c r="AY2335" s="160"/>
      <c r="AZ2335" s="160"/>
      <c r="BA2335" s="160"/>
    </row>
    <row r="2336" ht="15.75" hidden="1" customHeight="1" outlineLevel="1">
      <c r="A2336" s="328"/>
      <c r="B2336" s="38"/>
      <c r="C2336" s="174"/>
      <c r="D2336" s="174"/>
      <c r="E2336" s="174"/>
      <c r="F2336" s="174"/>
      <c r="G2336" s="174"/>
      <c r="H2336" s="174"/>
      <c r="I2336" s="174"/>
      <c r="J2336" s="174"/>
      <c r="K2336" s="174"/>
      <c r="L2336" s="174"/>
      <c r="M2336" s="174"/>
      <c r="N2336" s="174"/>
      <c r="O2336" s="174"/>
      <c r="P2336" s="174"/>
      <c r="Q2336" s="174"/>
      <c r="R2336" s="174"/>
      <c r="S2336" s="174"/>
      <c r="T2336" s="174"/>
      <c r="U2336" s="174"/>
      <c r="V2336" s="174"/>
      <c r="W2336" s="160"/>
      <c r="X2336" s="160"/>
      <c r="Y2336" s="160"/>
      <c r="Z2336" s="160"/>
      <c r="AA2336" s="160"/>
      <c r="AB2336" s="160"/>
      <c r="AC2336" s="160">
        <f>IF($AC$2253&gt;0,PPMT('Assumptions (Petroleum)'!$V$6,Model!W$1,'Assumptions (Petroleum)'!$V$9,'Assumptions (Petroleum)'!$V$4*Model!$AC$2253*AVERAGE('Assumptions (Petroleum)'!$Y$2:$AA$2)/10^9),0)</f>
        <v>0</v>
      </c>
      <c r="AD2336" s="160">
        <f>IF($AC$2253&gt;0,PPMT('Assumptions (Petroleum)'!$V$6,Model!X$1,'Assumptions (Petroleum)'!$V$9,'Assumptions (Petroleum)'!$V$4*Model!$AC$2253*AVERAGE('Assumptions (Petroleum)'!$Y$2:$AA$2)/10^9),0)</f>
        <v>0</v>
      </c>
      <c r="AE2336" s="160">
        <f>IF($AC$2253&gt;0,PPMT('Assumptions (Petroleum)'!$V$6,Model!Y$1,'Assumptions (Petroleum)'!$V$9,'Assumptions (Petroleum)'!$V$4*Model!$AC$2253*AVERAGE('Assumptions (Petroleum)'!$Y$2:$AA$2)/10^9),0)</f>
        <v>0</v>
      </c>
      <c r="AF2336" s="160">
        <f>IF($AC$2253&gt;0,PPMT('Assumptions (Petroleum)'!$V$6,Model!Z$1,'Assumptions (Petroleum)'!$V$9,'Assumptions (Petroleum)'!$V$4*Model!$AC$2253*AVERAGE('Assumptions (Petroleum)'!$Y$2:$AA$2)/10^9),0)</f>
        <v>0</v>
      </c>
      <c r="AG2336" s="160">
        <f>IF($AC$2253&gt;0,PPMT('Assumptions (Petroleum)'!$V$6,Model!AA$1,'Assumptions (Petroleum)'!$V$9,'Assumptions (Petroleum)'!$V$4*Model!$AC$2253*AVERAGE('Assumptions (Petroleum)'!$Y$2:$AA$2)/10^9),0)</f>
        <v>0</v>
      </c>
      <c r="AH2336" s="160">
        <f>IF($AC$2253&gt;0,PPMT('Assumptions (Petroleum)'!$V$6,Model!AB$1,'Assumptions (Petroleum)'!$V$9,'Assumptions (Petroleum)'!$V$4*Model!$AC$2253*AVERAGE('Assumptions (Petroleum)'!$Y$2:$AA$2)/10^9),0)</f>
        <v>0</v>
      </c>
      <c r="AI2336" s="160">
        <f>IF($AC$2253&gt;0,PPMT('Assumptions (Petroleum)'!$V$6,Model!AC$1,'Assumptions (Petroleum)'!$V$9,'Assumptions (Petroleum)'!$V$4*Model!$AC$2253*AVERAGE('Assumptions (Petroleum)'!$Y$2:$AA$2)/10^9),0)</f>
        <v>0</v>
      </c>
      <c r="AJ2336" s="160">
        <f>IF($AC$2253&gt;0,PPMT('Assumptions (Petroleum)'!$V$6,Model!AD$1,'Assumptions (Petroleum)'!$V$9,'Assumptions (Petroleum)'!$V$4*Model!$AC$2253*AVERAGE('Assumptions (Petroleum)'!$Y$2:$AA$2)/10^9),0)</f>
        <v>0</v>
      </c>
      <c r="AK2336" s="160">
        <f>IF($AC$2253&gt;0,PPMT('Assumptions (Petroleum)'!$V$6,Model!AE$1,'Assumptions (Petroleum)'!$V$9,'Assumptions (Petroleum)'!$V$4*Model!$AC$2253*AVERAGE('Assumptions (Petroleum)'!$Y$2:$AA$2)/10^9),0)</f>
        <v>0</v>
      </c>
      <c r="AL2336" s="160">
        <f>IF($AC$2253&gt;0,PPMT('Assumptions (Petroleum)'!$V$6,Model!AF$1,'Assumptions (Petroleum)'!$V$9,'Assumptions (Petroleum)'!$V$4*Model!$AC$2253*AVERAGE('Assumptions (Petroleum)'!$Y$2:$AA$2)/10^9),0)</f>
        <v>0</v>
      </c>
      <c r="AM2336" s="160">
        <f>IF($AC$2253&gt;0,PPMT('Assumptions (Petroleum)'!$V$6,Model!AG$1,'Assumptions (Petroleum)'!$V$9,'Assumptions (Petroleum)'!$V$4*Model!$AC$2253*AVERAGE('Assumptions (Petroleum)'!$Y$2:$AA$2)/10^9),0)</f>
        <v>0</v>
      </c>
      <c r="AN2336" s="160">
        <f>IF($AC$2253&gt;0,PPMT('Assumptions (Petroleum)'!$V$6,Model!AH$1,'Assumptions (Petroleum)'!$V$9,'Assumptions (Petroleum)'!$V$4*Model!$AC$2253*AVERAGE('Assumptions (Petroleum)'!$Y$2:$AA$2)/10^9),0)</f>
        <v>0</v>
      </c>
      <c r="AO2336" s="160">
        <f>IF($AC$2253&gt;0,PPMT('Assumptions (Petroleum)'!$V$6,Model!AI$1,'Assumptions (Petroleum)'!$V$9,'Assumptions (Petroleum)'!$V$4*Model!$AC$2253*AVERAGE('Assumptions (Petroleum)'!$Y$2:$AA$2)/10^9),0)</f>
        <v>0</v>
      </c>
      <c r="AP2336" s="160">
        <f>IF($AC$2253&gt;0,PPMT('Assumptions (Petroleum)'!$V$6,Model!AJ$1,'Assumptions (Petroleum)'!$V$9,'Assumptions (Petroleum)'!$V$4*Model!$AC$2253*AVERAGE('Assumptions (Petroleum)'!$Y$2:$AA$2)/10^9),0)</f>
        <v>0</v>
      </c>
      <c r="AQ2336" s="160">
        <f>IF($AC$2253&gt;0,PPMT('Assumptions (Petroleum)'!$V$6,Model!AK$1,'Assumptions (Petroleum)'!$V$9,'Assumptions (Petroleum)'!$V$4*Model!$AC$2253*AVERAGE('Assumptions (Petroleum)'!$Y$2:$AA$2)/10^9),0)</f>
        <v>0</v>
      </c>
      <c r="AR2336" s="160"/>
      <c r="AS2336" s="160"/>
      <c r="AT2336" s="160"/>
      <c r="AU2336" s="160"/>
      <c r="AV2336" s="160"/>
      <c r="AW2336" s="160"/>
      <c r="AX2336" s="160"/>
      <c r="AY2336" s="160"/>
      <c r="AZ2336" s="160"/>
      <c r="BA2336" s="160"/>
    </row>
    <row r="2337" ht="15.75" hidden="1" customHeight="1" outlineLevel="1">
      <c r="A2337" s="328"/>
      <c r="B2337" s="38"/>
      <c r="C2337" s="174"/>
      <c r="D2337" s="174"/>
      <c r="E2337" s="174"/>
      <c r="F2337" s="174"/>
      <c r="G2337" s="174"/>
      <c r="H2337" s="174"/>
      <c r="I2337" s="174"/>
      <c r="J2337" s="174"/>
      <c r="K2337" s="174"/>
      <c r="L2337" s="174"/>
      <c r="M2337" s="174"/>
      <c r="N2337" s="174"/>
      <c r="O2337" s="174"/>
      <c r="P2337" s="174"/>
      <c r="Q2337" s="174"/>
      <c r="R2337" s="174"/>
      <c r="S2337" s="174"/>
      <c r="T2337" s="174"/>
      <c r="U2337" s="174"/>
      <c r="V2337" s="174"/>
      <c r="W2337" s="160"/>
      <c r="X2337" s="160"/>
      <c r="Y2337" s="160"/>
      <c r="Z2337" s="160"/>
      <c r="AA2337" s="160"/>
      <c r="AB2337" s="160"/>
      <c r="AC2337" s="160"/>
      <c r="AD2337" s="160">
        <f>IF($AD$2253&gt;0,PPMT('Assumptions (Petroleum)'!$V$6,Model!W$1,'Assumptions (Petroleum)'!$V$9,'Assumptions (Petroleum)'!$V$4*Model!$AD$2253*AVERAGE('Assumptions (Petroleum)'!$Z$2:$AB$2)/10^9),0)</f>
        <v>0</v>
      </c>
      <c r="AE2337" s="160">
        <f>IF($AD$2253&gt;0,PPMT('Assumptions (Petroleum)'!$V$6,Model!X$1,'Assumptions (Petroleum)'!$V$9,'Assumptions (Petroleum)'!$V$4*Model!$AD$2253*AVERAGE('Assumptions (Petroleum)'!$Z$2:$AB$2)/10^9),0)</f>
        <v>0</v>
      </c>
      <c r="AF2337" s="160">
        <f>IF($AD$2253&gt;0,PPMT('Assumptions (Petroleum)'!$V$6,Model!Y$1,'Assumptions (Petroleum)'!$V$9,'Assumptions (Petroleum)'!$V$4*Model!$AD$2253*AVERAGE('Assumptions (Petroleum)'!$Z$2:$AB$2)/10^9),0)</f>
        <v>0</v>
      </c>
      <c r="AG2337" s="160">
        <f>IF($AD$2253&gt;0,PPMT('Assumptions (Petroleum)'!$V$6,Model!Z$1,'Assumptions (Petroleum)'!$V$9,'Assumptions (Petroleum)'!$V$4*Model!$AD$2253*AVERAGE('Assumptions (Petroleum)'!$Z$2:$AB$2)/10^9),0)</f>
        <v>0</v>
      </c>
      <c r="AH2337" s="160">
        <f>IF($AD$2253&gt;0,PPMT('Assumptions (Petroleum)'!$V$6,Model!AA$1,'Assumptions (Petroleum)'!$V$9,'Assumptions (Petroleum)'!$V$4*Model!$AD$2253*AVERAGE('Assumptions (Petroleum)'!$Z$2:$AB$2)/10^9),0)</f>
        <v>0</v>
      </c>
      <c r="AI2337" s="160">
        <f>IF($AD$2253&gt;0,PPMT('Assumptions (Petroleum)'!$V$6,Model!AB$1,'Assumptions (Petroleum)'!$V$9,'Assumptions (Petroleum)'!$V$4*Model!$AD$2253*AVERAGE('Assumptions (Petroleum)'!$Z$2:$AB$2)/10^9),0)</f>
        <v>0</v>
      </c>
      <c r="AJ2337" s="160">
        <f>IF($AD$2253&gt;0,PPMT('Assumptions (Petroleum)'!$V$6,Model!AC$1,'Assumptions (Petroleum)'!$V$9,'Assumptions (Petroleum)'!$V$4*Model!$AD$2253*AVERAGE('Assumptions (Petroleum)'!$Z$2:$AB$2)/10^9),0)</f>
        <v>0</v>
      </c>
      <c r="AK2337" s="160">
        <f>IF($AD$2253&gt;0,PPMT('Assumptions (Petroleum)'!$V$6,Model!AD$1,'Assumptions (Petroleum)'!$V$9,'Assumptions (Petroleum)'!$V$4*Model!$AD$2253*AVERAGE('Assumptions (Petroleum)'!$Z$2:$AB$2)/10^9),0)</f>
        <v>0</v>
      </c>
      <c r="AL2337" s="160">
        <f>IF($AD$2253&gt;0,PPMT('Assumptions (Petroleum)'!$V$6,Model!AE$1,'Assumptions (Petroleum)'!$V$9,'Assumptions (Petroleum)'!$V$4*Model!$AD$2253*AVERAGE('Assumptions (Petroleum)'!$Z$2:$AB$2)/10^9),0)</f>
        <v>0</v>
      </c>
      <c r="AM2337" s="160">
        <f>IF($AD$2253&gt;0,PPMT('Assumptions (Petroleum)'!$V$6,Model!AF$1,'Assumptions (Petroleum)'!$V$9,'Assumptions (Petroleum)'!$V$4*Model!$AD$2253*AVERAGE('Assumptions (Petroleum)'!$Z$2:$AB$2)/10^9),0)</f>
        <v>0</v>
      </c>
      <c r="AN2337" s="160">
        <f>IF($AD$2253&gt;0,PPMT('Assumptions (Petroleum)'!$V$6,Model!AG$1,'Assumptions (Petroleum)'!$V$9,'Assumptions (Petroleum)'!$V$4*Model!$AD$2253*AVERAGE('Assumptions (Petroleum)'!$Z$2:$AB$2)/10^9),0)</f>
        <v>0</v>
      </c>
      <c r="AO2337" s="160">
        <f>IF($AD$2253&gt;0,PPMT('Assumptions (Petroleum)'!$V$6,Model!AH$1,'Assumptions (Petroleum)'!$V$9,'Assumptions (Petroleum)'!$V$4*Model!$AD$2253*AVERAGE('Assumptions (Petroleum)'!$Z$2:$AB$2)/10^9),0)</f>
        <v>0</v>
      </c>
      <c r="AP2337" s="160">
        <f>IF($AD$2253&gt;0,PPMT('Assumptions (Petroleum)'!$V$6,Model!AI$1,'Assumptions (Petroleum)'!$V$9,'Assumptions (Petroleum)'!$V$4*Model!$AD$2253*AVERAGE('Assumptions (Petroleum)'!$Z$2:$AB$2)/10^9),0)</f>
        <v>0</v>
      </c>
      <c r="AQ2337" s="160">
        <f>IF($AD$2253&gt;0,PPMT('Assumptions (Petroleum)'!$V$6,Model!AJ$1,'Assumptions (Petroleum)'!$V$9,'Assumptions (Petroleum)'!$V$4*Model!$AD$2253*AVERAGE('Assumptions (Petroleum)'!$Z$2:$AB$2)/10^9),0)</f>
        <v>0</v>
      </c>
      <c r="AR2337" s="160">
        <f>IF($AD$2253&gt;0,PPMT('Assumptions (Petroleum)'!$V$6,Model!AK$1,'Assumptions (Petroleum)'!$V$9,'Assumptions (Petroleum)'!$V$4*Model!$AD$2253*AVERAGE('Assumptions (Petroleum)'!$Z$2:$AB$2)/10^9),0)</f>
        <v>0</v>
      </c>
      <c r="AS2337" s="160"/>
      <c r="AT2337" s="160"/>
      <c r="AU2337" s="160"/>
      <c r="AV2337" s="160"/>
      <c r="AW2337" s="160"/>
      <c r="AX2337" s="160"/>
      <c r="AY2337" s="160"/>
      <c r="AZ2337" s="160"/>
      <c r="BA2337" s="160"/>
      <c r="BB2337" s="160"/>
    </row>
    <row r="2338" ht="15.75" hidden="1" customHeight="1" outlineLevel="1">
      <c r="A2338" s="328"/>
      <c r="B2338" s="38"/>
      <c r="C2338" s="174"/>
      <c r="D2338" s="174"/>
      <c r="E2338" s="174"/>
      <c r="F2338" s="174"/>
      <c r="G2338" s="174"/>
      <c r="H2338" s="174"/>
      <c r="I2338" s="174"/>
      <c r="J2338" s="174"/>
      <c r="K2338" s="174"/>
      <c r="L2338" s="174"/>
      <c r="M2338" s="174"/>
      <c r="N2338" s="174"/>
      <c r="O2338" s="174"/>
      <c r="P2338" s="174"/>
      <c r="Q2338" s="174"/>
      <c r="R2338" s="174"/>
      <c r="S2338" s="174"/>
      <c r="T2338" s="174"/>
      <c r="U2338" s="174"/>
      <c r="V2338" s="174"/>
      <c r="W2338" s="160"/>
      <c r="X2338" s="160"/>
      <c r="Y2338" s="160"/>
      <c r="Z2338" s="160"/>
      <c r="AA2338" s="160"/>
      <c r="AB2338" s="160"/>
      <c r="AC2338" s="160"/>
      <c r="AD2338" s="160"/>
      <c r="AE2338" s="160">
        <f>IF($AE$2253&gt;0,PPMT('Assumptions (Petroleum)'!$V$6,Model!W$1,'Assumptions (Petroleum)'!$V$9,'Assumptions (Petroleum)'!$V$4*Model!$AE$2253*AVERAGE('Assumptions (Petroleum)'!$AA$2:$AC$2)/10^9),0)</f>
        <v>0</v>
      </c>
      <c r="AF2338" s="160">
        <f>IF($AE$2253&gt;0,PPMT('Assumptions (Petroleum)'!$V$6,Model!X$1,'Assumptions (Petroleum)'!$V$9,'Assumptions (Petroleum)'!$V$4*Model!$AE$2253*AVERAGE('Assumptions (Petroleum)'!$AA$2:$AC$2)/10^9),0)</f>
        <v>0</v>
      </c>
      <c r="AG2338" s="160">
        <f>IF($AE$2253&gt;0,PPMT('Assumptions (Petroleum)'!$V$6,Model!Y$1,'Assumptions (Petroleum)'!$V$9,'Assumptions (Petroleum)'!$V$4*Model!$AE$2253*AVERAGE('Assumptions (Petroleum)'!$AA$2:$AC$2)/10^9),0)</f>
        <v>0</v>
      </c>
      <c r="AH2338" s="160">
        <f>IF($AE$2253&gt;0,PPMT('Assumptions (Petroleum)'!$V$6,Model!Z$1,'Assumptions (Petroleum)'!$V$9,'Assumptions (Petroleum)'!$V$4*Model!$AE$2253*AVERAGE('Assumptions (Petroleum)'!$AA$2:$AC$2)/10^9),0)</f>
        <v>0</v>
      </c>
      <c r="AI2338" s="160">
        <f>IF($AE$2253&gt;0,PPMT('Assumptions (Petroleum)'!$V$6,Model!AA$1,'Assumptions (Petroleum)'!$V$9,'Assumptions (Petroleum)'!$V$4*Model!$AE$2253*AVERAGE('Assumptions (Petroleum)'!$AA$2:$AC$2)/10^9),0)</f>
        <v>0</v>
      </c>
      <c r="AJ2338" s="160">
        <f>IF($AE$2253&gt;0,PPMT('Assumptions (Petroleum)'!$V$6,Model!AB$1,'Assumptions (Petroleum)'!$V$9,'Assumptions (Petroleum)'!$V$4*Model!$AE$2253*AVERAGE('Assumptions (Petroleum)'!$AA$2:$AC$2)/10^9),0)</f>
        <v>0</v>
      </c>
      <c r="AK2338" s="160">
        <f>IF($AE$2253&gt;0,PPMT('Assumptions (Petroleum)'!$V$6,Model!AC$1,'Assumptions (Petroleum)'!$V$9,'Assumptions (Petroleum)'!$V$4*Model!$AE$2253*AVERAGE('Assumptions (Petroleum)'!$AA$2:$AC$2)/10^9),0)</f>
        <v>0</v>
      </c>
      <c r="AL2338" s="160">
        <f>IF($AE$2253&gt;0,PPMT('Assumptions (Petroleum)'!$V$6,Model!AD$1,'Assumptions (Petroleum)'!$V$9,'Assumptions (Petroleum)'!$V$4*Model!$AE$2253*AVERAGE('Assumptions (Petroleum)'!$AA$2:$AC$2)/10^9),0)</f>
        <v>0</v>
      </c>
      <c r="AM2338" s="160">
        <f>IF($AE$2253&gt;0,PPMT('Assumptions (Petroleum)'!$V$6,Model!AE$1,'Assumptions (Petroleum)'!$V$9,'Assumptions (Petroleum)'!$V$4*Model!$AE$2253*AVERAGE('Assumptions (Petroleum)'!$AA$2:$AC$2)/10^9),0)</f>
        <v>0</v>
      </c>
      <c r="AN2338" s="160">
        <f>IF($AE$2253&gt;0,PPMT('Assumptions (Petroleum)'!$V$6,Model!AF$1,'Assumptions (Petroleum)'!$V$9,'Assumptions (Petroleum)'!$V$4*Model!$AE$2253*AVERAGE('Assumptions (Petroleum)'!$AA$2:$AC$2)/10^9),0)</f>
        <v>0</v>
      </c>
      <c r="AO2338" s="160">
        <f>IF($AE$2253&gt;0,PPMT('Assumptions (Petroleum)'!$V$6,Model!AG$1,'Assumptions (Petroleum)'!$V$9,'Assumptions (Petroleum)'!$V$4*Model!$AE$2253*AVERAGE('Assumptions (Petroleum)'!$AA$2:$AC$2)/10^9),0)</f>
        <v>0</v>
      </c>
      <c r="AP2338" s="160">
        <f>IF($AE$2253&gt;0,PPMT('Assumptions (Petroleum)'!$V$6,Model!AH$1,'Assumptions (Petroleum)'!$V$9,'Assumptions (Petroleum)'!$V$4*Model!$AE$2253*AVERAGE('Assumptions (Petroleum)'!$AA$2:$AC$2)/10^9),0)</f>
        <v>0</v>
      </c>
      <c r="AQ2338" s="160">
        <f>IF($AE$2253&gt;0,PPMT('Assumptions (Petroleum)'!$V$6,Model!AI$1,'Assumptions (Petroleum)'!$V$9,'Assumptions (Petroleum)'!$V$4*Model!$AE$2253*AVERAGE('Assumptions (Petroleum)'!$AA$2:$AC$2)/10^9),0)</f>
        <v>0</v>
      </c>
      <c r="AR2338" s="160">
        <f>IF($AE$2253&gt;0,PPMT('Assumptions (Petroleum)'!$V$6,Model!AJ$1,'Assumptions (Petroleum)'!$V$9,'Assumptions (Petroleum)'!$V$4*Model!$AE$2253*AVERAGE('Assumptions (Petroleum)'!$AA$2:$AC$2)/10^9),0)</f>
        <v>0</v>
      </c>
      <c r="AS2338" s="160">
        <f>IF($AE$2253&gt;0,PPMT('Assumptions (Petroleum)'!$V$6,Model!AK$1,'Assumptions (Petroleum)'!$V$9,'Assumptions (Petroleum)'!$V$4*Model!$AE$2253*AVERAGE('Assumptions (Petroleum)'!$AA$2:$AC$2)/10^9),0)</f>
        <v>0</v>
      </c>
      <c r="AT2338" s="160"/>
      <c r="AU2338" s="160"/>
      <c r="AV2338" s="160"/>
      <c r="AW2338" s="160"/>
      <c r="AX2338" s="160"/>
      <c r="AY2338" s="160"/>
      <c r="AZ2338" s="160"/>
      <c r="BA2338" s="160"/>
      <c r="BB2338" s="160"/>
      <c r="BC2338" s="160"/>
    </row>
    <row r="2339" ht="15.75" hidden="1" customHeight="1" outlineLevel="1">
      <c r="A2339" s="328"/>
      <c r="B2339" s="38"/>
      <c r="C2339" s="174"/>
      <c r="D2339" s="174"/>
      <c r="E2339" s="174"/>
      <c r="F2339" s="174"/>
      <c r="G2339" s="174"/>
      <c r="H2339" s="174"/>
      <c r="I2339" s="174"/>
      <c r="J2339" s="174"/>
      <c r="K2339" s="174"/>
      <c r="L2339" s="174"/>
      <c r="M2339" s="174"/>
      <c r="N2339" s="174"/>
      <c r="O2339" s="174"/>
      <c r="P2339" s="174"/>
      <c r="Q2339" s="174"/>
      <c r="R2339" s="174"/>
      <c r="S2339" s="174"/>
      <c r="T2339" s="174"/>
      <c r="U2339" s="174"/>
      <c r="V2339" s="174"/>
      <c r="W2339" s="160"/>
      <c r="X2339" s="160"/>
      <c r="Y2339" s="160"/>
      <c r="Z2339" s="160"/>
      <c r="AA2339" s="160"/>
      <c r="AB2339" s="160"/>
      <c r="AC2339" s="160"/>
      <c r="AD2339" s="160"/>
      <c r="AE2339" s="160"/>
      <c r="AF2339" s="160">
        <f>IF($AF$2253&gt;0,PPMT('Assumptions (Petroleum)'!$V$6,Model!W$1,'Assumptions (Petroleum)'!$V$9,'Assumptions (Petroleum)'!$V$4*Model!$AF$2253*AVERAGE('Assumptions (Petroleum)'!$AB$2:$AD$2)/10^9),0)</f>
        <v>0</v>
      </c>
      <c r="AG2339" s="160">
        <f>IF($AF$2253&gt;0,PPMT('Assumptions (Petroleum)'!$V$6,Model!X$1,'Assumptions (Petroleum)'!$V$9,'Assumptions (Petroleum)'!$V$4*Model!$AF$2253*AVERAGE('Assumptions (Petroleum)'!$AB$2:$AD$2)/10^9),0)</f>
        <v>0</v>
      </c>
      <c r="AH2339" s="160">
        <f>IF($AF$2253&gt;0,PPMT('Assumptions (Petroleum)'!$V$6,Model!Y$1,'Assumptions (Petroleum)'!$V$9,'Assumptions (Petroleum)'!$V$4*Model!$AF$2253*AVERAGE('Assumptions (Petroleum)'!$AB$2:$AD$2)/10^9),0)</f>
        <v>0</v>
      </c>
      <c r="AI2339" s="160">
        <f>IF($AF$2253&gt;0,PPMT('Assumptions (Petroleum)'!$V$6,Model!Z$1,'Assumptions (Petroleum)'!$V$9,'Assumptions (Petroleum)'!$V$4*Model!$AF$2253*AVERAGE('Assumptions (Petroleum)'!$AB$2:$AD$2)/10^9),0)</f>
        <v>0</v>
      </c>
      <c r="AJ2339" s="160">
        <f>IF($AF$2253&gt;0,PPMT('Assumptions (Petroleum)'!$V$6,Model!AA$1,'Assumptions (Petroleum)'!$V$9,'Assumptions (Petroleum)'!$V$4*Model!$AF$2253*AVERAGE('Assumptions (Petroleum)'!$AB$2:$AD$2)/10^9),0)</f>
        <v>0</v>
      </c>
      <c r="AK2339" s="160">
        <f>IF($AF$2253&gt;0,PPMT('Assumptions (Petroleum)'!$V$6,Model!AB$1,'Assumptions (Petroleum)'!$V$9,'Assumptions (Petroleum)'!$V$4*Model!$AF$2253*AVERAGE('Assumptions (Petroleum)'!$AB$2:$AD$2)/10^9),0)</f>
        <v>0</v>
      </c>
      <c r="AL2339" s="160">
        <f>IF($AF$2253&gt;0,PPMT('Assumptions (Petroleum)'!$V$6,Model!AC$1,'Assumptions (Petroleum)'!$V$9,'Assumptions (Petroleum)'!$V$4*Model!$AF$2253*AVERAGE('Assumptions (Petroleum)'!$AB$2:$AD$2)/10^9),0)</f>
        <v>0</v>
      </c>
      <c r="AM2339" s="160">
        <f>IF($AF$2253&gt;0,PPMT('Assumptions (Petroleum)'!$V$6,Model!AD$1,'Assumptions (Petroleum)'!$V$9,'Assumptions (Petroleum)'!$V$4*Model!$AF$2253*AVERAGE('Assumptions (Petroleum)'!$AB$2:$AD$2)/10^9),0)</f>
        <v>0</v>
      </c>
      <c r="AN2339" s="160">
        <f>IF($AF$2253&gt;0,PPMT('Assumptions (Petroleum)'!$V$6,Model!AE$1,'Assumptions (Petroleum)'!$V$9,'Assumptions (Petroleum)'!$V$4*Model!$AF$2253*AVERAGE('Assumptions (Petroleum)'!$AB$2:$AD$2)/10^9),0)</f>
        <v>0</v>
      </c>
      <c r="AO2339" s="160">
        <f>IF($AF$2253&gt;0,PPMT('Assumptions (Petroleum)'!$V$6,Model!AF$1,'Assumptions (Petroleum)'!$V$9,'Assumptions (Petroleum)'!$V$4*Model!$AF$2253*AVERAGE('Assumptions (Petroleum)'!$AB$2:$AD$2)/10^9),0)</f>
        <v>0</v>
      </c>
      <c r="AP2339" s="160">
        <f>IF($AF$2253&gt;0,PPMT('Assumptions (Petroleum)'!$V$6,Model!AG$1,'Assumptions (Petroleum)'!$V$9,'Assumptions (Petroleum)'!$V$4*Model!$AF$2253*AVERAGE('Assumptions (Petroleum)'!$AB$2:$AD$2)/10^9),0)</f>
        <v>0</v>
      </c>
      <c r="AQ2339" s="160">
        <f>IF($AF$2253&gt;0,PPMT('Assumptions (Petroleum)'!$V$6,Model!AH$1,'Assumptions (Petroleum)'!$V$9,'Assumptions (Petroleum)'!$V$4*Model!$AF$2253*AVERAGE('Assumptions (Petroleum)'!$AB$2:$AD$2)/10^9),0)</f>
        <v>0</v>
      </c>
      <c r="AR2339" s="160">
        <f>IF($AF$2253&gt;0,PPMT('Assumptions (Petroleum)'!$V$6,Model!AI$1,'Assumptions (Petroleum)'!$V$9,'Assumptions (Petroleum)'!$V$4*Model!$AF$2253*AVERAGE('Assumptions (Petroleum)'!$AB$2:$AD$2)/10^9),0)</f>
        <v>0</v>
      </c>
      <c r="AS2339" s="160">
        <f>IF($AF$2253&gt;0,PPMT('Assumptions (Petroleum)'!$V$6,Model!AJ$1,'Assumptions (Petroleum)'!$V$9,'Assumptions (Petroleum)'!$V$4*Model!$AF$2253*AVERAGE('Assumptions (Petroleum)'!$AB$2:$AD$2)/10^9),0)</f>
        <v>0</v>
      </c>
      <c r="AT2339" s="160">
        <f>IF($AF$2253&gt;0,PPMT('Assumptions (Petroleum)'!$V$6,Model!AK$1,'Assumptions (Petroleum)'!$V$9,'Assumptions (Petroleum)'!$V$4*Model!$AF$2253*AVERAGE('Assumptions (Petroleum)'!$AB$2:$AD$2)/10^9),0)</f>
        <v>0</v>
      </c>
      <c r="AU2339" s="160"/>
      <c r="AV2339" s="160"/>
      <c r="AW2339" s="160"/>
      <c r="AX2339" s="160"/>
      <c r="AY2339" s="160"/>
      <c r="AZ2339" s="160"/>
      <c r="BA2339" s="160"/>
      <c r="BB2339" s="160"/>
      <c r="BC2339" s="160"/>
      <c r="BD2339" s="160"/>
    </row>
    <row r="2340" ht="15.75" hidden="1" customHeight="1" outlineLevel="1">
      <c r="A2340" s="328"/>
      <c r="B2340" s="38"/>
      <c r="C2340" s="174"/>
      <c r="D2340" s="174"/>
      <c r="E2340" s="174"/>
      <c r="F2340" s="174"/>
      <c r="G2340" s="174"/>
      <c r="H2340" s="174"/>
      <c r="I2340" s="174"/>
      <c r="J2340" s="174"/>
      <c r="K2340" s="174"/>
      <c r="L2340" s="174"/>
      <c r="M2340" s="174"/>
      <c r="N2340" s="174"/>
      <c r="O2340" s="174"/>
      <c r="P2340" s="174"/>
      <c r="Q2340" s="174"/>
      <c r="R2340" s="174"/>
      <c r="S2340" s="174"/>
      <c r="T2340" s="174"/>
      <c r="U2340" s="174"/>
      <c r="V2340" s="174"/>
      <c r="W2340" s="160"/>
      <c r="X2340" s="160"/>
      <c r="Y2340" s="160"/>
      <c r="Z2340" s="160"/>
      <c r="AA2340" s="160"/>
      <c r="AB2340" s="160"/>
      <c r="AC2340" s="160"/>
      <c r="AD2340" s="160"/>
      <c r="AE2340" s="160"/>
      <c r="AF2340" s="160"/>
      <c r="AG2340" s="160">
        <f>IF($AG$2253&gt;0,PPMT('Assumptions (Petroleum)'!$V$6,Model!W$1,'Assumptions (Petroleum)'!$V$9,'Assumptions (Petroleum)'!$V$4*Model!$AG$2253*AVERAGE('Assumptions (Petroleum)'!$AC$2:$AE$2)/10^9),0)</f>
        <v>0</v>
      </c>
      <c r="AH2340" s="160">
        <f>IF($AG$2253&gt;0,PPMT('Assumptions (Petroleum)'!$V$6,Model!X$1,'Assumptions (Petroleum)'!$V$9,'Assumptions (Petroleum)'!$V$4*Model!$AG$2253*AVERAGE('Assumptions (Petroleum)'!$AC$2:$AE$2)/10^9),0)</f>
        <v>0</v>
      </c>
      <c r="AI2340" s="160">
        <f>IF($AG$2253&gt;0,PPMT('Assumptions (Petroleum)'!$V$6,Model!Y$1,'Assumptions (Petroleum)'!$V$9,'Assumptions (Petroleum)'!$V$4*Model!$AG$2253*AVERAGE('Assumptions (Petroleum)'!$AC$2:$AE$2)/10^9),0)</f>
        <v>0</v>
      </c>
      <c r="AJ2340" s="160">
        <f>IF($AG$2253&gt;0,PPMT('Assumptions (Petroleum)'!$V$6,Model!Z$1,'Assumptions (Petroleum)'!$V$9,'Assumptions (Petroleum)'!$V$4*Model!$AG$2253*AVERAGE('Assumptions (Petroleum)'!$AC$2:$AE$2)/10^9),0)</f>
        <v>0</v>
      </c>
      <c r="AK2340" s="160">
        <f>IF($AG$2253&gt;0,PPMT('Assumptions (Petroleum)'!$V$6,Model!AA$1,'Assumptions (Petroleum)'!$V$9,'Assumptions (Petroleum)'!$V$4*Model!$AG$2253*AVERAGE('Assumptions (Petroleum)'!$AC$2:$AE$2)/10^9),0)</f>
        <v>0</v>
      </c>
      <c r="AL2340" s="160">
        <f>IF($AG$2253&gt;0,PPMT('Assumptions (Petroleum)'!$V$6,Model!AB$1,'Assumptions (Petroleum)'!$V$9,'Assumptions (Petroleum)'!$V$4*Model!$AG$2253*AVERAGE('Assumptions (Petroleum)'!$AC$2:$AE$2)/10^9),0)</f>
        <v>0</v>
      </c>
      <c r="AM2340" s="160">
        <f>IF($AG$2253&gt;0,PPMT('Assumptions (Petroleum)'!$V$6,Model!AC$1,'Assumptions (Petroleum)'!$V$9,'Assumptions (Petroleum)'!$V$4*Model!$AG$2253*AVERAGE('Assumptions (Petroleum)'!$AC$2:$AE$2)/10^9),0)</f>
        <v>0</v>
      </c>
      <c r="AN2340" s="160">
        <f>IF($AG$2253&gt;0,PPMT('Assumptions (Petroleum)'!$V$6,Model!AD$1,'Assumptions (Petroleum)'!$V$9,'Assumptions (Petroleum)'!$V$4*Model!$AG$2253*AVERAGE('Assumptions (Petroleum)'!$AC$2:$AE$2)/10^9),0)</f>
        <v>0</v>
      </c>
      <c r="AO2340" s="160">
        <f>IF($AG$2253&gt;0,PPMT('Assumptions (Petroleum)'!$V$6,Model!AE$1,'Assumptions (Petroleum)'!$V$9,'Assumptions (Petroleum)'!$V$4*Model!$AG$2253*AVERAGE('Assumptions (Petroleum)'!$AC$2:$AE$2)/10^9),0)</f>
        <v>0</v>
      </c>
      <c r="AP2340" s="160">
        <f>IF($AG$2253&gt;0,PPMT('Assumptions (Petroleum)'!$V$6,Model!AF$1,'Assumptions (Petroleum)'!$V$9,'Assumptions (Petroleum)'!$V$4*Model!$AG$2253*AVERAGE('Assumptions (Petroleum)'!$AC$2:$AE$2)/10^9),0)</f>
        <v>0</v>
      </c>
      <c r="AQ2340" s="160">
        <f>IF($AG$2253&gt;0,PPMT('Assumptions (Petroleum)'!$V$6,Model!AG$1,'Assumptions (Petroleum)'!$V$9,'Assumptions (Petroleum)'!$V$4*Model!$AG$2253*AVERAGE('Assumptions (Petroleum)'!$AC$2:$AE$2)/10^9),0)</f>
        <v>0</v>
      </c>
      <c r="AR2340" s="160">
        <f>IF($AG$2253&gt;0,PPMT('Assumptions (Petroleum)'!$V$6,Model!AH$1,'Assumptions (Petroleum)'!$V$9,'Assumptions (Petroleum)'!$V$4*Model!$AG$2253*AVERAGE('Assumptions (Petroleum)'!$AC$2:$AE$2)/10^9),0)</f>
        <v>0</v>
      </c>
      <c r="AS2340" s="160">
        <f>IF($AG$2253&gt;0,PPMT('Assumptions (Petroleum)'!$V$6,Model!AI$1,'Assumptions (Petroleum)'!$V$9,'Assumptions (Petroleum)'!$V$4*Model!$AG$2253*AVERAGE('Assumptions (Petroleum)'!$AC$2:$AE$2)/10^9),0)</f>
        <v>0</v>
      </c>
      <c r="AT2340" s="160">
        <f>IF($AG$2253&gt;0,PPMT('Assumptions (Petroleum)'!$V$6,Model!AJ$1,'Assumptions (Petroleum)'!$V$9,'Assumptions (Petroleum)'!$V$4*Model!$AG$2253*AVERAGE('Assumptions (Petroleum)'!$AC$2:$AE$2)/10^9),0)</f>
        <v>0</v>
      </c>
      <c r="AU2340" s="160">
        <f>IF($AG$2253&gt;0,PPMT('Assumptions (Petroleum)'!$V$6,Model!AK$1,'Assumptions (Petroleum)'!$V$9,'Assumptions (Petroleum)'!$V$4*Model!$AG$2253*AVERAGE('Assumptions (Petroleum)'!$AC$2:$AE$2)/10^9),0)</f>
        <v>0</v>
      </c>
      <c r="AV2340" s="160"/>
      <c r="AW2340" s="160"/>
      <c r="AX2340" s="160"/>
      <c r="AY2340" s="160"/>
      <c r="AZ2340" s="160"/>
      <c r="BA2340" s="160"/>
      <c r="BB2340" s="160"/>
      <c r="BC2340" s="160"/>
      <c r="BD2340" s="160"/>
      <c r="BE2340" s="160"/>
    </row>
    <row r="2341" ht="15.75" hidden="1" customHeight="1" outlineLevel="1">
      <c r="A2341" s="328"/>
      <c r="B2341" s="38"/>
      <c r="C2341" s="174"/>
      <c r="D2341" s="174"/>
      <c r="E2341" s="174"/>
      <c r="F2341" s="174"/>
      <c r="G2341" s="174"/>
      <c r="H2341" s="174"/>
      <c r="I2341" s="174"/>
      <c r="J2341" s="174"/>
      <c r="K2341" s="174"/>
      <c r="L2341" s="174"/>
      <c r="M2341" s="174"/>
      <c r="N2341" s="174"/>
      <c r="O2341" s="174"/>
      <c r="P2341" s="174"/>
      <c r="Q2341" s="174"/>
      <c r="R2341" s="174"/>
      <c r="S2341" s="174"/>
      <c r="T2341" s="174"/>
      <c r="U2341" s="174"/>
      <c r="V2341" s="174"/>
      <c r="W2341" s="160"/>
      <c r="X2341" s="160"/>
      <c r="Y2341" s="160"/>
      <c r="Z2341" s="160"/>
      <c r="AA2341" s="160"/>
      <c r="AB2341" s="160"/>
      <c r="AC2341" s="160"/>
      <c r="AD2341" s="160"/>
      <c r="AE2341" s="160"/>
      <c r="AF2341" s="160"/>
      <c r="AG2341" s="160"/>
      <c r="AH2341" s="160">
        <f>IF($AH$2253&gt;0,PPMT('Assumptions (Petroleum)'!$V$6,Model!W$1,'Assumptions (Petroleum)'!$V$9,'Assumptions (Petroleum)'!$V$4*Model!$AH$2253*AVERAGE('Assumptions (Petroleum)'!$AD$2:$AF$2)/10^9),0)</f>
        <v>0</v>
      </c>
      <c r="AI2341" s="160">
        <f>IF($AH$2253&gt;0,PPMT('Assumptions (Petroleum)'!$V$6,Model!X$1,'Assumptions (Petroleum)'!$V$9,'Assumptions (Petroleum)'!$V$4*Model!$AH$2253*AVERAGE('Assumptions (Petroleum)'!$AD$2:$AF$2)/10^9),0)</f>
        <v>0</v>
      </c>
      <c r="AJ2341" s="160">
        <f>IF($AH$2253&gt;0,PPMT('Assumptions (Petroleum)'!$V$6,Model!Y$1,'Assumptions (Petroleum)'!$V$9,'Assumptions (Petroleum)'!$V$4*Model!$AH$2253*AVERAGE('Assumptions (Petroleum)'!$AD$2:$AF$2)/10^9),0)</f>
        <v>0</v>
      </c>
      <c r="AK2341" s="160">
        <f>IF($AH$2253&gt;0,PPMT('Assumptions (Petroleum)'!$V$6,Model!Z$1,'Assumptions (Petroleum)'!$V$9,'Assumptions (Petroleum)'!$V$4*Model!$AH$2253*AVERAGE('Assumptions (Petroleum)'!$AD$2:$AF$2)/10^9),0)</f>
        <v>0</v>
      </c>
      <c r="AL2341" s="160">
        <f>IF($AH$2253&gt;0,PPMT('Assumptions (Petroleum)'!$V$6,Model!AA$1,'Assumptions (Petroleum)'!$V$9,'Assumptions (Petroleum)'!$V$4*Model!$AH$2253*AVERAGE('Assumptions (Petroleum)'!$AD$2:$AF$2)/10^9),0)</f>
        <v>0</v>
      </c>
      <c r="AM2341" s="160">
        <f>IF($AH$2253&gt;0,PPMT('Assumptions (Petroleum)'!$V$6,Model!AB$1,'Assumptions (Petroleum)'!$V$9,'Assumptions (Petroleum)'!$V$4*Model!$AH$2253*AVERAGE('Assumptions (Petroleum)'!$AD$2:$AF$2)/10^9),0)</f>
        <v>0</v>
      </c>
      <c r="AN2341" s="160">
        <f>IF($AH$2253&gt;0,PPMT('Assumptions (Petroleum)'!$V$6,Model!AC$1,'Assumptions (Petroleum)'!$V$9,'Assumptions (Petroleum)'!$V$4*Model!$AH$2253*AVERAGE('Assumptions (Petroleum)'!$AD$2:$AF$2)/10^9),0)</f>
        <v>0</v>
      </c>
      <c r="AO2341" s="160">
        <f>IF($AH$2253&gt;0,PPMT('Assumptions (Petroleum)'!$V$6,Model!AD$1,'Assumptions (Petroleum)'!$V$9,'Assumptions (Petroleum)'!$V$4*Model!$AH$2253*AVERAGE('Assumptions (Petroleum)'!$AD$2:$AF$2)/10^9),0)</f>
        <v>0</v>
      </c>
      <c r="AP2341" s="160">
        <f>IF($AH$2253&gt;0,PPMT('Assumptions (Petroleum)'!$V$6,Model!AE$1,'Assumptions (Petroleum)'!$V$9,'Assumptions (Petroleum)'!$V$4*Model!$AH$2253*AVERAGE('Assumptions (Petroleum)'!$AD$2:$AF$2)/10^9),0)</f>
        <v>0</v>
      </c>
      <c r="AQ2341" s="160">
        <f>IF($AH$2253&gt;0,PPMT('Assumptions (Petroleum)'!$V$6,Model!AF$1,'Assumptions (Petroleum)'!$V$9,'Assumptions (Petroleum)'!$V$4*Model!$AH$2253*AVERAGE('Assumptions (Petroleum)'!$AD$2:$AF$2)/10^9),0)</f>
        <v>0</v>
      </c>
      <c r="AR2341" s="160">
        <f>IF($AH$2253&gt;0,PPMT('Assumptions (Petroleum)'!$V$6,Model!AG$1,'Assumptions (Petroleum)'!$V$9,'Assumptions (Petroleum)'!$V$4*Model!$AH$2253*AVERAGE('Assumptions (Petroleum)'!$AD$2:$AF$2)/10^9),0)</f>
        <v>0</v>
      </c>
      <c r="AS2341" s="160">
        <f>IF($AH$2253&gt;0,PPMT('Assumptions (Petroleum)'!$V$6,Model!AH$1,'Assumptions (Petroleum)'!$V$9,'Assumptions (Petroleum)'!$V$4*Model!$AH$2253*AVERAGE('Assumptions (Petroleum)'!$AD$2:$AF$2)/10^9),0)</f>
        <v>0</v>
      </c>
      <c r="AT2341" s="160">
        <f>IF($AH$2253&gt;0,PPMT('Assumptions (Petroleum)'!$V$6,Model!AI$1,'Assumptions (Petroleum)'!$V$9,'Assumptions (Petroleum)'!$V$4*Model!$AH$2253*AVERAGE('Assumptions (Petroleum)'!$AD$2:$AF$2)/10^9),0)</f>
        <v>0</v>
      </c>
      <c r="AU2341" s="160">
        <f>IF($AH$2253&gt;0,PPMT('Assumptions (Petroleum)'!$V$6,Model!AJ$1,'Assumptions (Petroleum)'!$V$9,'Assumptions (Petroleum)'!$V$4*Model!$AH$2253*AVERAGE('Assumptions (Petroleum)'!$AD$2:$AF$2)/10^9),0)</f>
        <v>0</v>
      </c>
      <c r="AV2341" s="160">
        <f>IF($AH$2253&gt;0,PPMT('Assumptions (Petroleum)'!$V$6,Model!AK$1,'Assumptions (Petroleum)'!$V$9,'Assumptions (Petroleum)'!$V$4*Model!$AH$2253*AVERAGE('Assumptions (Petroleum)'!$AD$2:$AF$2)/10^9),0)</f>
        <v>0</v>
      </c>
      <c r="AW2341" s="160"/>
      <c r="AX2341" s="160"/>
      <c r="AY2341" s="160"/>
      <c r="AZ2341" s="160"/>
      <c r="BA2341" s="160"/>
      <c r="BB2341" s="160"/>
      <c r="BC2341" s="160"/>
      <c r="BD2341" s="160"/>
      <c r="BE2341" s="160"/>
      <c r="BF2341" s="160"/>
    </row>
    <row r="2342" ht="15.75" hidden="1" customHeight="1" outlineLevel="1">
      <c r="A2342" s="328"/>
      <c r="B2342" s="38"/>
      <c r="C2342" s="174"/>
      <c r="D2342" s="174"/>
      <c r="E2342" s="174"/>
      <c r="F2342" s="174"/>
      <c r="G2342" s="174"/>
      <c r="H2342" s="174"/>
      <c r="I2342" s="174"/>
      <c r="J2342" s="174"/>
      <c r="K2342" s="174"/>
      <c r="L2342" s="174"/>
      <c r="M2342" s="174"/>
      <c r="N2342" s="174"/>
      <c r="O2342" s="174"/>
      <c r="P2342" s="174"/>
      <c r="Q2342" s="174"/>
      <c r="R2342" s="174"/>
      <c r="S2342" s="174"/>
      <c r="T2342" s="174"/>
      <c r="U2342" s="174"/>
      <c r="V2342" s="174"/>
      <c r="W2342" s="160"/>
      <c r="X2342" s="160"/>
      <c r="Y2342" s="160"/>
      <c r="Z2342" s="160"/>
      <c r="AA2342" s="160"/>
      <c r="AB2342" s="160"/>
      <c r="AC2342" s="160"/>
      <c r="AD2342" s="160"/>
      <c r="AE2342" s="160"/>
      <c r="AF2342" s="160"/>
      <c r="AG2342" s="160"/>
      <c r="AH2342" s="160"/>
      <c r="AI2342" s="160">
        <f>IF($AI$2253&gt;0,PPMT('Assumptions (Petroleum)'!$V$6,Model!W$1,'Assumptions (Petroleum)'!$V$9,'Assumptions (Petroleum)'!$V$4*Model!$AI$2253*AVERAGE('Assumptions (Petroleum)'!$AE$2:$AG$2)/10^9),0)</f>
        <v>0</v>
      </c>
      <c r="AJ2342" s="160">
        <f>IF($AI$2253&gt;0,PPMT('Assumptions (Petroleum)'!$V$6,Model!X$1,'Assumptions (Petroleum)'!$V$9,'Assumptions (Petroleum)'!$V$4*Model!$AI$2253*AVERAGE('Assumptions (Petroleum)'!$AE$2:$AG$2)/10^9),0)</f>
        <v>0</v>
      </c>
      <c r="AK2342" s="160">
        <f>IF($AI$2253&gt;0,PPMT('Assumptions (Petroleum)'!$V$6,Model!Y$1,'Assumptions (Petroleum)'!$V$9,'Assumptions (Petroleum)'!$V$4*Model!$AI$2253*AVERAGE('Assumptions (Petroleum)'!$AE$2:$AG$2)/10^9),0)</f>
        <v>0</v>
      </c>
      <c r="AL2342" s="160">
        <f>IF($AI$2253&gt;0,PPMT('Assumptions (Petroleum)'!$V$6,Model!Z$1,'Assumptions (Petroleum)'!$V$9,'Assumptions (Petroleum)'!$V$4*Model!$AI$2253*AVERAGE('Assumptions (Petroleum)'!$AE$2:$AG$2)/10^9),0)</f>
        <v>0</v>
      </c>
      <c r="AM2342" s="160">
        <f>IF($AI$2253&gt;0,PPMT('Assumptions (Petroleum)'!$V$6,Model!AA$1,'Assumptions (Petroleum)'!$V$9,'Assumptions (Petroleum)'!$V$4*Model!$AI$2253*AVERAGE('Assumptions (Petroleum)'!$AE$2:$AG$2)/10^9),0)</f>
        <v>0</v>
      </c>
      <c r="AN2342" s="160">
        <f>IF($AI$2253&gt;0,PPMT('Assumptions (Petroleum)'!$V$6,Model!AB$1,'Assumptions (Petroleum)'!$V$9,'Assumptions (Petroleum)'!$V$4*Model!$AI$2253*AVERAGE('Assumptions (Petroleum)'!$AE$2:$AG$2)/10^9),0)</f>
        <v>0</v>
      </c>
      <c r="AO2342" s="160">
        <f>IF($AI$2253&gt;0,PPMT('Assumptions (Petroleum)'!$V$6,Model!AC$1,'Assumptions (Petroleum)'!$V$9,'Assumptions (Petroleum)'!$V$4*Model!$AI$2253*AVERAGE('Assumptions (Petroleum)'!$AE$2:$AG$2)/10^9),0)</f>
        <v>0</v>
      </c>
      <c r="AP2342" s="160">
        <f>IF($AI$2253&gt;0,PPMT('Assumptions (Petroleum)'!$V$6,Model!AD$1,'Assumptions (Petroleum)'!$V$9,'Assumptions (Petroleum)'!$V$4*Model!$AI$2253*AVERAGE('Assumptions (Petroleum)'!$AE$2:$AG$2)/10^9),0)</f>
        <v>0</v>
      </c>
      <c r="AQ2342" s="160">
        <f>IF($AI$2253&gt;0,PPMT('Assumptions (Petroleum)'!$V$6,Model!AE$1,'Assumptions (Petroleum)'!$V$9,'Assumptions (Petroleum)'!$V$4*Model!$AI$2253*AVERAGE('Assumptions (Petroleum)'!$AE$2:$AG$2)/10^9),0)</f>
        <v>0</v>
      </c>
      <c r="AR2342" s="160">
        <f>IF($AI$2253&gt;0,PPMT('Assumptions (Petroleum)'!$V$6,Model!AF$1,'Assumptions (Petroleum)'!$V$9,'Assumptions (Petroleum)'!$V$4*Model!$AI$2253*AVERAGE('Assumptions (Petroleum)'!$AE$2:$AG$2)/10^9),0)</f>
        <v>0</v>
      </c>
      <c r="AS2342" s="160">
        <f>IF($AI$2253&gt;0,PPMT('Assumptions (Petroleum)'!$V$6,Model!AG$1,'Assumptions (Petroleum)'!$V$9,'Assumptions (Petroleum)'!$V$4*Model!$AI$2253*AVERAGE('Assumptions (Petroleum)'!$AE$2:$AG$2)/10^9),0)</f>
        <v>0</v>
      </c>
      <c r="AT2342" s="160">
        <f>IF($AI$2253&gt;0,PPMT('Assumptions (Petroleum)'!$V$6,Model!AH$1,'Assumptions (Petroleum)'!$V$9,'Assumptions (Petroleum)'!$V$4*Model!$AI$2253*AVERAGE('Assumptions (Petroleum)'!$AE$2:$AG$2)/10^9),0)</f>
        <v>0</v>
      </c>
      <c r="AU2342" s="160">
        <f>IF($AI$2253&gt;0,PPMT('Assumptions (Petroleum)'!$V$6,Model!AI$1,'Assumptions (Petroleum)'!$V$9,'Assumptions (Petroleum)'!$V$4*Model!$AI$2253*AVERAGE('Assumptions (Petroleum)'!$AE$2:$AG$2)/10^9),0)</f>
        <v>0</v>
      </c>
      <c r="AV2342" s="160">
        <f>IF($AI$2253&gt;0,PPMT('Assumptions (Petroleum)'!$V$6,Model!AJ$1,'Assumptions (Petroleum)'!$V$9,'Assumptions (Petroleum)'!$V$4*Model!$AI$2253*AVERAGE('Assumptions (Petroleum)'!$AE$2:$AG$2)/10^9),0)</f>
        <v>0</v>
      </c>
      <c r="AW2342" s="160">
        <f>IF($AI$2253&gt;0,PPMT('Assumptions (Petroleum)'!$V$6,Model!AK$1,'Assumptions (Petroleum)'!$V$9,'Assumptions (Petroleum)'!$V$4*Model!$AI$2253*AVERAGE('Assumptions (Petroleum)'!$AE$2:$AG$2)/10^9),0)</f>
        <v>0</v>
      </c>
      <c r="AX2342" s="160"/>
      <c r="AY2342" s="160"/>
      <c r="AZ2342" s="160"/>
      <c r="BA2342" s="160"/>
      <c r="BB2342" s="160"/>
      <c r="BC2342" s="160"/>
      <c r="BD2342" s="160"/>
      <c r="BE2342" s="160"/>
      <c r="BF2342" s="160"/>
      <c r="BG2342" s="160"/>
    </row>
    <row r="2343" ht="15.75" hidden="1" customHeight="1" outlineLevel="1">
      <c r="A2343" s="328"/>
      <c r="B2343" s="38"/>
      <c r="C2343" s="174"/>
      <c r="D2343" s="174"/>
      <c r="E2343" s="174"/>
      <c r="F2343" s="174"/>
      <c r="G2343" s="174"/>
      <c r="H2343" s="174"/>
      <c r="I2343" s="174"/>
      <c r="J2343" s="174"/>
      <c r="K2343" s="174"/>
      <c r="L2343" s="174"/>
      <c r="M2343" s="174"/>
      <c r="N2343" s="174"/>
      <c r="O2343" s="174"/>
      <c r="P2343" s="174"/>
      <c r="Q2343" s="174"/>
      <c r="R2343" s="174"/>
      <c r="S2343" s="174"/>
      <c r="T2343" s="174"/>
      <c r="U2343" s="174"/>
      <c r="V2343" s="174"/>
      <c r="W2343" s="160"/>
      <c r="X2343" s="160"/>
      <c r="Y2343" s="160"/>
      <c r="Z2343" s="160"/>
      <c r="AA2343" s="160"/>
      <c r="AB2343" s="160"/>
      <c r="AC2343" s="160"/>
      <c r="AD2343" s="160"/>
      <c r="AE2343" s="160"/>
      <c r="AF2343" s="160"/>
      <c r="AG2343" s="160"/>
      <c r="AH2343" s="160"/>
      <c r="AI2343" s="160"/>
      <c r="AJ2343" s="177">
        <f>IF($AJ$2253&gt;0,PPMT('Assumptions (Petroleum)'!$V$6,Model!W$1,'Assumptions (Petroleum)'!$V$9,'Assumptions (Petroleum)'!$V$4*Model!$AJ$2253*AVERAGE('Assumptions (Petroleum)'!$AF$2:$AH$2)/10^9),0)</f>
        <v>0</v>
      </c>
      <c r="AK2343" s="177">
        <f>IF($AJ$2253&gt;0,PPMT('Assumptions (Petroleum)'!$V$6,Model!X$1,'Assumptions (Petroleum)'!$V$9,'Assumptions (Petroleum)'!$V$4*Model!$AJ$2253*AVERAGE('Assumptions (Petroleum)'!$AF$2:$AH$2)/10^9),0)</f>
        <v>0</v>
      </c>
      <c r="AL2343" s="177">
        <f>IF($AJ$2253&gt;0,PPMT('Assumptions (Petroleum)'!$V$6,Model!Y$1,'Assumptions (Petroleum)'!$V$9,'Assumptions (Petroleum)'!$V$4*Model!$AJ$2253*AVERAGE('Assumptions (Petroleum)'!$AF$2:$AH$2)/10^9),0)</f>
        <v>0</v>
      </c>
      <c r="AM2343" s="177">
        <f>IF($AJ$2253&gt;0,PPMT('Assumptions (Petroleum)'!$V$6,Model!Z$1,'Assumptions (Petroleum)'!$V$9,'Assumptions (Petroleum)'!$V$4*Model!$AJ$2253*AVERAGE('Assumptions (Petroleum)'!$AF$2:$AH$2)/10^9),0)</f>
        <v>0</v>
      </c>
      <c r="AN2343" s="177">
        <f>IF($AJ$2253&gt;0,PPMT('Assumptions (Petroleum)'!$V$6,Model!AA$1,'Assumptions (Petroleum)'!$V$9,'Assumptions (Petroleum)'!$V$4*Model!$AJ$2253*AVERAGE('Assumptions (Petroleum)'!$AF$2:$AH$2)/10^9),0)</f>
        <v>0</v>
      </c>
      <c r="AO2343" s="177">
        <f>IF($AJ$2253&gt;0,PPMT('Assumptions (Petroleum)'!$V$6,Model!AB$1,'Assumptions (Petroleum)'!$V$9,'Assumptions (Petroleum)'!$V$4*Model!$AJ$2253*AVERAGE('Assumptions (Petroleum)'!$AF$2:$AH$2)/10^9),0)</f>
        <v>0</v>
      </c>
      <c r="AP2343" s="177">
        <f>IF($AJ$2253&gt;0,PPMT('Assumptions (Petroleum)'!$V$6,Model!AC$1,'Assumptions (Petroleum)'!$V$9,'Assumptions (Petroleum)'!$V$4*Model!$AJ$2253*AVERAGE('Assumptions (Petroleum)'!$AF$2:$AH$2)/10^9),0)</f>
        <v>0</v>
      </c>
      <c r="AQ2343" s="177">
        <f>IF($AJ$2253&gt;0,PPMT('Assumptions (Petroleum)'!$V$6,Model!AD$1,'Assumptions (Petroleum)'!$V$9,'Assumptions (Petroleum)'!$V$4*Model!$AJ$2253*AVERAGE('Assumptions (Petroleum)'!$AF$2:$AH$2)/10^9),0)</f>
        <v>0</v>
      </c>
      <c r="AR2343" s="177">
        <f>IF($AJ$2253&gt;0,PPMT('Assumptions (Petroleum)'!$V$6,Model!AE$1,'Assumptions (Petroleum)'!$V$9,'Assumptions (Petroleum)'!$V$4*Model!$AJ$2253*AVERAGE('Assumptions (Petroleum)'!$AF$2:$AH$2)/10^9),0)</f>
        <v>0</v>
      </c>
      <c r="AS2343" s="177">
        <f>IF($AJ$2253&gt;0,PPMT('Assumptions (Petroleum)'!$V$6,Model!AF$1,'Assumptions (Petroleum)'!$V$9,'Assumptions (Petroleum)'!$V$4*Model!$AJ$2253*AVERAGE('Assumptions (Petroleum)'!$AF$2:$AH$2)/10^9),0)</f>
        <v>0</v>
      </c>
      <c r="AT2343" s="177">
        <f>IF($AJ$2253&gt;0,PPMT('Assumptions (Petroleum)'!$V$6,Model!AG$1,'Assumptions (Petroleum)'!$V$9,'Assumptions (Petroleum)'!$V$4*Model!$AJ$2253*AVERAGE('Assumptions (Petroleum)'!$AF$2:$AH$2)/10^9),0)</f>
        <v>0</v>
      </c>
      <c r="AU2343" s="177">
        <f>IF($AJ$2253&gt;0,PPMT('Assumptions (Petroleum)'!$V$6,Model!AH$1,'Assumptions (Petroleum)'!$V$9,'Assumptions (Petroleum)'!$V$4*Model!$AJ$2253*AVERAGE('Assumptions (Petroleum)'!$AF$2:$AH$2)/10^9),0)</f>
        <v>0</v>
      </c>
      <c r="AV2343" s="177">
        <f>IF($AJ$2253&gt;0,PPMT('Assumptions (Petroleum)'!$V$6,Model!AI$1,'Assumptions (Petroleum)'!$V$9,'Assumptions (Petroleum)'!$V$4*Model!$AJ$2253*AVERAGE('Assumptions (Petroleum)'!$AF$2:$AH$2)/10^9),0)</f>
        <v>0</v>
      </c>
      <c r="AW2343" s="177">
        <f>IF($AJ$2253&gt;0,PPMT('Assumptions (Petroleum)'!$V$6,Model!AJ$1,'Assumptions (Petroleum)'!$V$9,'Assumptions (Petroleum)'!$V$4*Model!$AJ$2253*AVERAGE('Assumptions (Petroleum)'!$AF$2:$AH$2)/10^9),0)</f>
        <v>0</v>
      </c>
      <c r="AX2343" s="177">
        <f>IF($AJ$2253&gt;0,PPMT('Assumptions (Petroleum)'!$V$6,Model!AK$1,'Assumptions (Petroleum)'!$V$9,'Assumptions (Petroleum)'!$V$4*Model!$AJ$2253*AVERAGE('Assumptions (Petroleum)'!$AF$2:$AH$2)/10^9),0)</f>
        <v>0</v>
      </c>
      <c r="AY2343" s="177"/>
      <c r="AZ2343" s="177"/>
      <c r="BA2343" s="177"/>
      <c r="BB2343" s="177"/>
      <c r="BC2343" s="177"/>
      <c r="BD2343" s="177"/>
      <c r="BE2343" s="177"/>
      <c r="BF2343" s="177"/>
      <c r="BG2343" s="177"/>
      <c r="BH2343" s="177"/>
    </row>
    <row r="2344" ht="15.75" hidden="1" customHeight="1" outlineLevel="1">
      <c r="A2344" s="328"/>
      <c r="B2344" s="38"/>
      <c r="C2344" s="174"/>
      <c r="D2344" s="174"/>
      <c r="E2344" s="174"/>
      <c r="F2344" s="174"/>
      <c r="G2344" s="174"/>
      <c r="H2344" s="174"/>
      <c r="I2344" s="174"/>
      <c r="J2344" s="174"/>
      <c r="K2344" s="174"/>
      <c r="L2344" s="174"/>
      <c r="M2344" s="174"/>
      <c r="N2344" s="174"/>
      <c r="O2344" s="174"/>
      <c r="P2344" s="174"/>
      <c r="Q2344" s="174"/>
      <c r="R2344" s="174"/>
      <c r="S2344" s="174"/>
      <c r="T2344" s="174"/>
      <c r="U2344" s="174"/>
      <c r="V2344" s="174"/>
      <c r="W2344" s="160"/>
      <c r="X2344" s="160"/>
      <c r="Y2344" s="160"/>
      <c r="Z2344" s="160"/>
      <c r="AA2344" s="160"/>
      <c r="AB2344" s="160"/>
      <c r="AC2344" s="160"/>
      <c r="AD2344" s="160"/>
      <c r="AE2344" s="160"/>
      <c r="AF2344" s="160"/>
      <c r="AG2344" s="160"/>
      <c r="AH2344" s="160"/>
      <c r="AI2344" s="160"/>
      <c r="AJ2344" s="179"/>
      <c r="AK2344" s="160">
        <f>IF($AK$2253&gt;0,PPMT('Assumptions (Petroleum)'!$V$6,Model!W$1,'Assumptions (Petroleum)'!$V$9,'Assumptions (Petroleum)'!$V$4*Model!$AK$2253*AVERAGE('Assumptions (Petroleum)'!$AG$2:$AI$2)/10^9),0)</f>
        <v>0</v>
      </c>
      <c r="AL2344" s="160">
        <f>IF($AK$2253&gt;0,PPMT('Assumptions (Petroleum)'!$V$6,Model!X$1,'Assumptions (Petroleum)'!$V$9,'Assumptions (Petroleum)'!$V$4*Model!$AK$2253*AVERAGE('Assumptions (Petroleum)'!$AG$2:$AI$2)/10^9),0)</f>
        <v>0</v>
      </c>
      <c r="AM2344" s="160">
        <f>IF($AK$2253&gt;0,PPMT('Assumptions (Petroleum)'!$V$6,Model!Y$1,'Assumptions (Petroleum)'!$V$9,'Assumptions (Petroleum)'!$V$4*Model!$AK$2253*AVERAGE('Assumptions (Petroleum)'!$AG$2:$AI$2)/10^9),0)</f>
        <v>0</v>
      </c>
      <c r="AN2344" s="160">
        <f>IF($AK$2253&gt;0,PPMT('Assumptions (Petroleum)'!$V$6,Model!Z$1,'Assumptions (Petroleum)'!$V$9,'Assumptions (Petroleum)'!$V$4*Model!$AK$2253*AVERAGE('Assumptions (Petroleum)'!$AG$2:$AI$2)/10^9),0)</f>
        <v>0</v>
      </c>
      <c r="AO2344" s="160">
        <f>IF($AK$2253&gt;0,PPMT('Assumptions (Petroleum)'!$V$6,Model!AA$1,'Assumptions (Petroleum)'!$V$9,'Assumptions (Petroleum)'!$V$4*Model!$AK$2253*AVERAGE('Assumptions (Petroleum)'!$AG$2:$AI$2)/10^9),0)</f>
        <v>0</v>
      </c>
      <c r="AP2344" s="160">
        <f>IF($AK$2253&gt;0,PPMT('Assumptions (Petroleum)'!$V$6,Model!AB$1,'Assumptions (Petroleum)'!$V$9,'Assumptions (Petroleum)'!$V$4*Model!$AK$2253*AVERAGE('Assumptions (Petroleum)'!$AG$2:$AI$2)/10^9),0)</f>
        <v>0</v>
      </c>
      <c r="AQ2344" s="160">
        <f>IF($AK$2253&gt;0,PPMT('Assumptions (Petroleum)'!$V$6,Model!AC$1,'Assumptions (Petroleum)'!$V$9,'Assumptions (Petroleum)'!$V$4*Model!$AK$2253*AVERAGE('Assumptions (Petroleum)'!$AG$2:$AI$2)/10^9),0)</f>
        <v>0</v>
      </c>
      <c r="AR2344" s="160">
        <f>IF($AK$2253&gt;0,PPMT('Assumptions (Petroleum)'!$V$6,Model!AD$1,'Assumptions (Petroleum)'!$V$9,'Assumptions (Petroleum)'!$V$4*Model!$AK$2253*AVERAGE('Assumptions (Petroleum)'!$AG$2:$AI$2)/10^9),0)</f>
        <v>0</v>
      </c>
      <c r="AS2344" s="160">
        <f>IF($AK$2253&gt;0,PPMT('Assumptions (Petroleum)'!$V$6,Model!AE$1,'Assumptions (Petroleum)'!$V$9,'Assumptions (Petroleum)'!$V$4*Model!$AK$2253*AVERAGE('Assumptions (Petroleum)'!$AG$2:$AI$2)/10^9),0)</f>
        <v>0</v>
      </c>
      <c r="AT2344" s="160">
        <f>IF($AK$2253&gt;0,PPMT('Assumptions (Petroleum)'!$V$6,Model!AF$1,'Assumptions (Petroleum)'!$V$9,'Assumptions (Petroleum)'!$V$4*Model!$AK$2253*AVERAGE('Assumptions (Petroleum)'!$AG$2:$AI$2)/10^9),0)</f>
        <v>0</v>
      </c>
      <c r="AU2344" s="160">
        <f>IF($AK$2253&gt;0,PPMT('Assumptions (Petroleum)'!$V$6,Model!AG$1,'Assumptions (Petroleum)'!$V$9,'Assumptions (Petroleum)'!$V$4*Model!$AK$2253*AVERAGE('Assumptions (Petroleum)'!$AG$2:$AI$2)/10^9),0)</f>
        <v>0</v>
      </c>
      <c r="AV2344" s="160">
        <f>IF($AK$2253&gt;0,PPMT('Assumptions (Petroleum)'!$V$6,Model!AH$1,'Assumptions (Petroleum)'!$V$9,'Assumptions (Petroleum)'!$V$4*Model!$AK$2253*AVERAGE('Assumptions (Petroleum)'!$AG$2:$AI$2)/10^9),0)</f>
        <v>0</v>
      </c>
      <c r="AW2344" s="160">
        <f>IF($AK$2253&gt;0,PPMT('Assumptions (Petroleum)'!$V$6,Model!AI$1,'Assumptions (Petroleum)'!$V$9,'Assumptions (Petroleum)'!$V$4*Model!$AK$2253*AVERAGE('Assumptions (Petroleum)'!$AG$2:$AI$2)/10^9),0)</f>
        <v>0</v>
      </c>
      <c r="AX2344" s="160">
        <f>IF($AK$2253&gt;0,PPMT('Assumptions (Petroleum)'!$V$6,Model!AJ$1,'Assumptions (Petroleum)'!$V$9,'Assumptions (Petroleum)'!$V$4*Model!$AK$2253*AVERAGE('Assumptions (Petroleum)'!$AG$2:$AI$2)/10^9),0)</f>
        <v>0</v>
      </c>
      <c r="AY2344" s="160">
        <f>IF($AK$2253&gt;0,PPMT('Assumptions (Petroleum)'!$V$6,Model!AK$1,'Assumptions (Petroleum)'!$V$9,'Assumptions (Petroleum)'!$V$4*Model!$AK$2253*AVERAGE('Assumptions (Petroleum)'!$AG$2:$AI$2)/10^9),0)</f>
        <v>0</v>
      </c>
      <c r="AZ2344" s="160"/>
      <c r="BA2344" s="160"/>
      <c r="BB2344" s="160"/>
      <c r="BC2344" s="160"/>
      <c r="BD2344" s="160"/>
      <c r="BE2344" s="160"/>
      <c r="BF2344" s="160"/>
      <c r="BG2344" s="160"/>
      <c r="BH2344" s="160"/>
      <c r="BI2344" s="160"/>
    </row>
    <row r="2345" ht="15.75" hidden="1" customHeight="1" outlineLevel="1">
      <c r="A2345" s="328"/>
      <c r="B2345" s="38"/>
      <c r="C2345" s="174"/>
      <c r="D2345" s="174"/>
      <c r="E2345" s="174"/>
      <c r="F2345" s="174"/>
      <c r="G2345" s="174"/>
      <c r="H2345" s="174"/>
      <c r="I2345" s="174"/>
      <c r="J2345" s="174"/>
      <c r="K2345" s="174"/>
      <c r="L2345" s="174"/>
      <c r="M2345" s="174"/>
      <c r="N2345" s="174"/>
      <c r="O2345" s="174"/>
      <c r="P2345" s="174"/>
      <c r="Q2345" s="174"/>
      <c r="R2345" s="174"/>
      <c r="S2345" s="174"/>
      <c r="T2345" s="174"/>
      <c r="U2345" s="174"/>
      <c r="V2345" s="174"/>
      <c r="W2345" s="160"/>
      <c r="X2345" s="160"/>
      <c r="Y2345" s="160"/>
      <c r="Z2345" s="160"/>
      <c r="AA2345" s="160"/>
      <c r="AB2345" s="160"/>
      <c r="AC2345" s="160"/>
      <c r="AD2345" s="160"/>
      <c r="AE2345" s="160"/>
      <c r="AF2345" s="160"/>
      <c r="AG2345" s="160"/>
      <c r="AH2345" s="160"/>
      <c r="AI2345" s="160"/>
      <c r="AJ2345" s="179"/>
      <c r="AK2345" s="160"/>
      <c r="AL2345" s="177">
        <f>IF($AL$2253&gt;0,PPMT('Assumptions (Petroleum)'!$V$6,Model!W$1,'Assumptions (Petroleum)'!$V$9,'Assumptions (Petroleum)'!$V$4*Model!$AL$2253*AVERAGE('Assumptions (Petroleum)'!$AH$2:$AJ$2)/10^9),0)</f>
        <v>0</v>
      </c>
      <c r="AM2345" s="177">
        <f>IF($AL$2253&gt;0,PPMT('Assumptions (Petroleum)'!$V$6,Model!X$1,'Assumptions (Petroleum)'!$V$9,'Assumptions (Petroleum)'!$V$4*Model!$AL$2253*AVERAGE('Assumptions (Petroleum)'!$AH$2:$AJ$2)/10^9),0)</f>
        <v>0</v>
      </c>
      <c r="AN2345" s="177">
        <f>IF($AL$2253&gt;0,PPMT('Assumptions (Petroleum)'!$V$6,Model!Y$1,'Assumptions (Petroleum)'!$V$9,'Assumptions (Petroleum)'!$V$4*Model!$AL$2253*AVERAGE('Assumptions (Petroleum)'!$AH$2:$AJ$2)/10^9),0)</f>
        <v>0</v>
      </c>
      <c r="AO2345" s="177">
        <f>IF($AL$2253&gt;0,PPMT('Assumptions (Petroleum)'!$V$6,Model!Z$1,'Assumptions (Petroleum)'!$V$9,'Assumptions (Petroleum)'!$V$4*Model!$AL$2253*AVERAGE('Assumptions (Petroleum)'!$AH$2:$AJ$2)/10^9),0)</f>
        <v>0</v>
      </c>
      <c r="AP2345" s="177">
        <f>IF($AL$2253&gt;0,PPMT('Assumptions (Petroleum)'!$V$6,Model!AA$1,'Assumptions (Petroleum)'!$V$9,'Assumptions (Petroleum)'!$V$4*Model!$AL$2253*AVERAGE('Assumptions (Petroleum)'!$AH$2:$AJ$2)/10^9),0)</f>
        <v>0</v>
      </c>
      <c r="AQ2345" s="177">
        <f>IF($AL$2253&gt;0,PPMT('Assumptions (Petroleum)'!$V$6,Model!AB$1,'Assumptions (Petroleum)'!$V$9,'Assumptions (Petroleum)'!$V$4*Model!$AL$2253*AVERAGE('Assumptions (Petroleum)'!$AH$2:$AJ$2)/10^9),0)</f>
        <v>0</v>
      </c>
      <c r="AR2345" s="177">
        <f>IF($AL$2253&gt;0,PPMT('Assumptions (Petroleum)'!$V$6,Model!AC$1,'Assumptions (Petroleum)'!$V$9,'Assumptions (Petroleum)'!$V$4*Model!$AL$2253*AVERAGE('Assumptions (Petroleum)'!$AH$2:$AJ$2)/10^9),0)</f>
        <v>0</v>
      </c>
      <c r="AS2345" s="177">
        <f>IF($AL$2253&gt;0,PPMT('Assumptions (Petroleum)'!$V$6,Model!AD$1,'Assumptions (Petroleum)'!$V$9,'Assumptions (Petroleum)'!$V$4*Model!$AL$2253*AVERAGE('Assumptions (Petroleum)'!$AH$2:$AJ$2)/10^9),0)</f>
        <v>0</v>
      </c>
      <c r="AT2345" s="177">
        <f>IF($AL$2253&gt;0,PPMT('Assumptions (Petroleum)'!$V$6,Model!AE$1,'Assumptions (Petroleum)'!$V$9,'Assumptions (Petroleum)'!$V$4*Model!$AL$2253*AVERAGE('Assumptions (Petroleum)'!$AH$2:$AJ$2)/10^9),0)</f>
        <v>0</v>
      </c>
      <c r="AU2345" s="177">
        <f>IF($AL$2253&gt;0,PPMT('Assumptions (Petroleum)'!$V$6,Model!AF$1,'Assumptions (Petroleum)'!$V$9,'Assumptions (Petroleum)'!$V$4*Model!$AL$2253*AVERAGE('Assumptions (Petroleum)'!$AH$2:$AJ$2)/10^9),0)</f>
        <v>0</v>
      </c>
      <c r="AV2345" s="177">
        <f>IF($AL$2253&gt;0,PPMT('Assumptions (Petroleum)'!$V$6,Model!AG$1,'Assumptions (Petroleum)'!$V$9,'Assumptions (Petroleum)'!$V$4*Model!$AL$2253*AVERAGE('Assumptions (Petroleum)'!$AH$2:$AJ$2)/10^9),0)</f>
        <v>0</v>
      </c>
      <c r="AW2345" s="177">
        <f>IF($AL$2253&gt;0,PPMT('Assumptions (Petroleum)'!$V$6,Model!AH$1,'Assumptions (Petroleum)'!$V$9,'Assumptions (Petroleum)'!$V$4*Model!$AL$2253*AVERAGE('Assumptions (Petroleum)'!$AH$2:$AJ$2)/10^9),0)</f>
        <v>0</v>
      </c>
      <c r="AX2345" s="177">
        <f>IF($AL$2253&gt;0,PPMT('Assumptions (Petroleum)'!$V$6,Model!AI$1,'Assumptions (Petroleum)'!$V$9,'Assumptions (Petroleum)'!$V$4*Model!$AL$2253*AVERAGE('Assumptions (Petroleum)'!$AH$2:$AJ$2)/10^9),0)</f>
        <v>0</v>
      </c>
      <c r="AY2345" s="177">
        <f>IF($AL$2253&gt;0,PPMT('Assumptions (Petroleum)'!$V$6,Model!AJ$1,'Assumptions (Petroleum)'!$V$9,'Assumptions (Petroleum)'!$V$4*Model!$AL$2253*AVERAGE('Assumptions (Petroleum)'!$AH$2:$AJ$2)/10^9),0)</f>
        <v>0</v>
      </c>
      <c r="AZ2345" s="177">
        <f>IF($AL$2253&gt;0,PPMT('Assumptions (Petroleum)'!$V$6,Model!AK$1,'Assumptions (Petroleum)'!$V$9,'Assumptions (Petroleum)'!$V$4*Model!$AL$2253*AVERAGE('Assumptions (Petroleum)'!$AH$2:$AJ$2)/10^9),0)</f>
        <v>0</v>
      </c>
      <c r="BA2345" s="177"/>
      <c r="BB2345" s="177"/>
      <c r="BC2345" s="177"/>
      <c r="BD2345" s="177"/>
      <c r="BE2345" s="177"/>
      <c r="BF2345" s="177"/>
      <c r="BG2345" s="177"/>
      <c r="BH2345" s="177"/>
      <c r="BI2345" s="177"/>
      <c r="BJ2345" s="177"/>
    </row>
    <row r="2346" ht="15.75" hidden="1" customHeight="1" outlineLevel="1">
      <c r="A2346" s="328"/>
      <c r="B2346" s="38"/>
      <c r="C2346" s="174"/>
      <c r="D2346" s="174"/>
      <c r="E2346" s="174"/>
      <c r="F2346" s="174"/>
      <c r="G2346" s="174"/>
      <c r="H2346" s="174"/>
      <c r="I2346" s="174"/>
      <c r="J2346" s="174"/>
      <c r="K2346" s="174"/>
      <c r="L2346" s="174"/>
      <c r="M2346" s="174"/>
      <c r="N2346" s="174"/>
      <c r="O2346" s="174"/>
      <c r="P2346" s="174"/>
      <c r="Q2346" s="174"/>
      <c r="R2346" s="174"/>
      <c r="S2346" s="174"/>
      <c r="T2346" s="174"/>
      <c r="U2346" s="174"/>
      <c r="V2346" s="174"/>
      <c r="W2346" s="160"/>
      <c r="X2346" s="160"/>
      <c r="Y2346" s="160"/>
      <c r="Z2346" s="160"/>
      <c r="AA2346" s="160"/>
      <c r="AB2346" s="160"/>
      <c r="AC2346" s="160"/>
      <c r="AD2346" s="160"/>
      <c r="AE2346" s="160"/>
      <c r="AF2346" s="160"/>
      <c r="AG2346" s="160"/>
      <c r="AH2346" s="160"/>
      <c r="AI2346" s="160"/>
      <c r="AJ2346" s="179"/>
      <c r="AK2346" s="160"/>
      <c r="AL2346" s="177"/>
      <c r="AM2346" s="160">
        <f>IF($AM$2253&gt;0,PPMT('Assumptions (Petroleum)'!$V$6,Model!W$1,'Assumptions (Petroleum)'!$V$9,'Assumptions (Petroleum)'!$V$4*Model!$AM$2253*AVERAGE('Assumptions (Petroleum)'!$AI$2:$AK$2)/10^9),0)</f>
        <v>0</v>
      </c>
      <c r="AN2346" s="160">
        <f>IF($AM$2253&gt;0,PPMT('Assumptions (Petroleum)'!$V$6,Model!X$1,'Assumptions (Petroleum)'!$V$9,'Assumptions (Petroleum)'!$V$4*Model!$AM$2253*AVERAGE('Assumptions (Petroleum)'!$AI$2:$AK$2)/10^9),0)</f>
        <v>0</v>
      </c>
      <c r="AO2346" s="160">
        <f>IF($AM$2253&gt;0,PPMT('Assumptions (Petroleum)'!$V$6,Model!Y$1,'Assumptions (Petroleum)'!$V$9,'Assumptions (Petroleum)'!$V$4*Model!$AM$2253*AVERAGE('Assumptions (Petroleum)'!$AI$2:$AK$2)/10^9),0)</f>
        <v>0</v>
      </c>
      <c r="AP2346" s="160">
        <f>IF($AM$2253&gt;0,PPMT('Assumptions (Petroleum)'!$V$6,Model!Z$1,'Assumptions (Petroleum)'!$V$9,'Assumptions (Petroleum)'!$V$4*Model!$AM$2253*AVERAGE('Assumptions (Petroleum)'!$AI$2:$AK$2)/10^9),0)</f>
        <v>0</v>
      </c>
      <c r="AQ2346" s="160">
        <f>IF($AM$2253&gt;0,PPMT('Assumptions (Petroleum)'!$V$6,Model!AA$1,'Assumptions (Petroleum)'!$V$9,'Assumptions (Petroleum)'!$V$4*Model!$AM$2253*AVERAGE('Assumptions (Petroleum)'!$AI$2:$AK$2)/10^9),0)</f>
        <v>0</v>
      </c>
      <c r="AR2346" s="160">
        <f>IF($AM$2253&gt;0,PPMT('Assumptions (Petroleum)'!$V$6,Model!AB$1,'Assumptions (Petroleum)'!$V$9,'Assumptions (Petroleum)'!$V$4*Model!$AM$2253*AVERAGE('Assumptions (Petroleum)'!$AI$2:$AK$2)/10^9),0)</f>
        <v>0</v>
      </c>
      <c r="AS2346" s="160">
        <f>IF($AM$2253&gt;0,PPMT('Assumptions (Petroleum)'!$V$6,Model!AC$1,'Assumptions (Petroleum)'!$V$9,'Assumptions (Petroleum)'!$V$4*Model!$AM$2253*AVERAGE('Assumptions (Petroleum)'!$AI$2:$AK$2)/10^9),0)</f>
        <v>0</v>
      </c>
      <c r="AT2346" s="160">
        <f>IF($AM$2253&gt;0,PPMT('Assumptions (Petroleum)'!$V$6,Model!AD$1,'Assumptions (Petroleum)'!$V$9,'Assumptions (Petroleum)'!$V$4*Model!$AM$2253*AVERAGE('Assumptions (Petroleum)'!$AI$2:$AK$2)/10^9),0)</f>
        <v>0</v>
      </c>
      <c r="AU2346" s="160">
        <f>IF($AM$2253&gt;0,PPMT('Assumptions (Petroleum)'!$V$6,Model!AE$1,'Assumptions (Petroleum)'!$V$9,'Assumptions (Petroleum)'!$V$4*Model!$AM$2253*AVERAGE('Assumptions (Petroleum)'!$AI$2:$AK$2)/10^9),0)</f>
        <v>0</v>
      </c>
      <c r="AV2346" s="160">
        <f>IF($AM$2253&gt;0,PPMT('Assumptions (Petroleum)'!$V$6,Model!AF$1,'Assumptions (Petroleum)'!$V$9,'Assumptions (Petroleum)'!$V$4*Model!$AM$2253*AVERAGE('Assumptions (Petroleum)'!$AI$2:$AK$2)/10^9),0)</f>
        <v>0</v>
      </c>
      <c r="AW2346" s="160">
        <f>IF($AM$2253&gt;0,PPMT('Assumptions (Petroleum)'!$V$6,Model!AG$1,'Assumptions (Petroleum)'!$V$9,'Assumptions (Petroleum)'!$V$4*Model!$AM$2253*AVERAGE('Assumptions (Petroleum)'!$AI$2:$AK$2)/10^9),0)</f>
        <v>0</v>
      </c>
      <c r="AX2346" s="160">
        <f>IF($AM$2253&gt;0,PPMT('Assumptions (Petroleum)'!$V$6,Model!AH$1,'Assumptions (Petroleum)'!$V$9,'Assumptions (Petroleum)'!$V$4*Model!$AM$2253*AVERAGE('Assumptions (Petroleum)'!$AI$2:$AK$2)/10^9),0)</f>
        <v>0</v>
      </c>
      <c r="AY2346" s="160">
        <f>IF($AM$2253&gt;0,PPMT('Assumptions (Petroleum)'!$V$6,Model!AI$1,'Assumptions (Petroleum)'!$V$9,'Assumptions (Petroleum)'!$V$4*Model!$AM$2253*AVERAGE('Assumptions (Petroleum)'!$AI$2:$AK$2)/10^9),0)</f>
        <v>0</v>
      </c>
      <c r="AZ2346" s="160">
        <f>IF($AM$2253&gt;0,PPMT('Assumptions (Petroleum)'!$V$6,Model!AJ$1,'Assumptions (Petroleum)'!$V$9,'Assumptions (Petroleum)'!$V$4*Model!$AM$2253*AVERAGE('Assumptions (Petroleum)'!$AI$2:$AK$2)/10^9),0)</f>
        <v>0</v>
      </c>
      <c r="BA2346" s="160">
        <f>IF($AM$2253&gt;0,PPMT('Assumptions (Petroleum)'!$V$6,Model!AK$1,'Assumptions (Petroleum)'!$V$9,'Assumptions (Petroleum)'!$V$4*Model!$AM$2253*AVERAGE('Assumptions (Petroleum)'!$AI$2:$AK$2)/10^9),0)</f>
        <v>0</v>
      </c>
      <c r="BB2346" s="160"/>
      <c r="BC2346" s="160"/>
      <c r="BD2346" s="160"/>
      <c r="BE2346" s="160"/>
      <c r="BF2346" s="160"/>
      <c r="BG2346" s="160"/>
      <c r="BH2346" s="160"/>
      <c r="BI2346" s="160"/>
      <c r="BJ2346" s="160"/>
      <c r="BK2346" s="160"/>
    </row>
    <row r="2347" ht="15.75" hidden="1" customHeight="1" outlineLevel="1">
      <c r="A2347" s="328"/>
      <c r="B2347" s="38"/>
      <c r="C2347" s="174"/>
      <c r="D2347" s="174"/>
      <c r="E2347" s="174"/>
      <c r="F2347" s="174"/>
      <c r="G2347" s="174"/>
      <c r="H2347" s="174"/>
      <c r="I2347" s="174"/>
      <c r="J2347" s="174"/>
      <c r="K2347" s="174"/>
      <c r="L2347" s="174"/>
      <c r="M2347" s="174"/>
      <c r="N2347" s="174"/>
      <c r="O2347" s="174"/>
      <c r="P2347" s="174"/>
      <c r="Q2347" s="174"/>
      <c r="R2347" s="174"/>
      <c r="S2347" s="174"/>
      <c r="T2347" s="174"/>
      <c r="U2347" s="174"/>
      <c r="V2347" s="174"/>
      <c r="W2347" s="160"/>
      <c r="X2347" s="160"/>
      <c r="Y2347" s="160"/>
      <c r="Z2347" s="160"/>
      <c r="AA2347" s="160"/>
      <c r="AB2347" s="160"/>
      <c r="AC2347" s="160"/>
      <c r="AD2347" s="160"/>
      <c r="AE2347" s="160"/>
      <c r="AF2347" s="160"/>
      <c r="AG2347" s="160"/>
      <c r="AH2347" s="160"/>
      <c r="AI2347" s="160"/>
      <c r="AJ2347" s="179"/>
      <c r="AK2347" s="160"/>
      <c r="AL2347" s="177"/>
      <c r="AM2347" s="177"/>
      <c r="AN2347" s="160">
        <f>IF($AN$2253&gt;0,PPMT('Assumptions (Petroleum)'!$V$6,Model!W$1,'Assumptions (Petroleum)'!$V$9,'Assumptions (Petroleum)'!$V$4*Model!$AN$2253*AVERAGE('Assumptions (Petroleum)'!$AJ$2:$AL$2)/10^9),0)</f>
        <v>0</v>
      </c>
      <c r="AO2347" s="160">
        <f>IF($AN$2253&gt;0,PPMT('Assumptions (Petroleum)'!$V$6,Model!X$1,'Assumptions (Petroleum)'!$V$9,'Assumptions (Petroleum)'!$V$4*Model!$AN$2253*AVERAGE('Assumptions (Petroleum)'!$AJ$2:$AL$2)/10^9),0)</f>
        <v>0</v>
      </c>
      <c r="AP2347" s="160">
        <f>IF($AN$2253&gt;0,PPMT('Assumptions (Petroleum)'!$V$6,Model!Y$1,'Assumptions (Petroleum)'!$V$9,'Assumptions (Petroleum)'!$V$4*Model!$AN$2253*AVERAGE('Assumptions (Petroleum)'!$AJ$2:$AL$2)/10^9),0)</f>
        <v>0</v>
      </c>
      <c r="AQ2347" s="160">
        <f>IF($AN$2253&gt;0,PPMT('Assumptions (Petroleum)'!$V$6,Model!Z$1,'Assumptions (Petroleum)'!$V$9,'Assumptions (Petroleum)'!$V$4*Model!$AN$2253*AVERAGE('Assumptions (Petroleum)'!$AJ$2:$AL$2)/10^9),0)</f>
        <v>0</v>
      </c>
      <c r="AR2347" s="160">
        <f>IF($AN$2253&gt;0,PPMT('Assumptions (Petroleum)'!$V$6,Model!AA$1,'Assumptions (Petroleum)'!$V$9,'Assumptions (Petroleum)'!$V$4*Model!$AN$2253*AVERAGE('Assumptions (Petroleum)'!$AJ$2:$AL$2)/10^9),0)</f>
        <v>0</v>
      </c>
      <c r="AS2347" s="160">
        <f>IF($AN$2253&gt;0,PPMT('Assumptions (Petroleum)'!$V$6,Model!AB$1,'Assumptions (Petroleum)'!$V$9,'Assumptions (Petroleum)'!$V$4*Model!$AN$2253*AVERAGE('Assumptions (Petroleum)'!$AJ$2:$AL$2)/10^9),0)</f>
        <v>0</v>
      </c>
      <c r="AT2347" s="160">
        <f>IF($AN$2253&gt;0,PPMT('Assumptions (Petroleum)'!$V$6,Model!AC$1,'Assumptions (Petroleum)'!$V$9,'Assumptions (Petroleum)'!$V$4*Model!$AN$2253*AVERAGE('Assumptions (Petroleum)'!$AJ$2:$AL$2)/10^9),0)</f>
        <v>0</v>
      </c>
      <c r="AU2347" s="160">
        <f>IF($AN$2253&gt;0,PPMT('Assumptions (Petroleum)'!$V$6,Model!AD$1,'Assumptions (Petroleum)'!$V$9,'Assumptions (Petroleum)'!$V$4*Model!$AN$2253*AVERAGE('Assumptions (Petroleum)'!$AJ$2:$AL$2)/10^9),0)</f>
        <v>0</v>
      </c>
      <c r="AV2347" s="160">
        <f>IF($AN$2253&gt;0,PPMT('Assumptions (Petroleum)'!$V$6,Model!AE$1,'Assumptions (Petroleum)'!$V$9,'Assumptions (Petroleum)'!$V$4*Model!$AN$2253*AVERAGE('Assumptions (Petroleum)'!$AJ$2:$AL$2)/10^9),0)</f>
        <v>0</v>
      </c>
      <c r="AW2347" s="160">
        <f>IF($AN$2253&gt;0,PPMT('Assumptions (Petroleum)'!$V$6,Model!AF$1,'Assumptions (Petroleum)'!$V$9,'Assumptions (Petroleum)'!$V$4*Model!$AN$2253*AVERAGE('Assumptions (Petroleum)'!$AJ$2:$AL$2)/10^9),0)</f>
        <v>0</v>
      </c>
      <c r="AX2347" s="160">
        <f>IF($AN$2253&gt;0,PPMT('Assumptions (Petroleum)'!$V$6,Model!AG$1,'Assumptions (Petroleum)'!$V$9,'Assumptions (Petroleum)'!$V$4*Model!$AN$2253*AVERAGE('Assumptions (Petroleum)'!$AJ$2:$AL$2)/10^9),0)</f>
        <v>0</v>
      </c>
      <c r="AY2347" s="160">
        <f>IF($AN$2253&gt;0,PPMT('Assumptions (Petroleum)'!$V$6,Model!AH$1,'Assumptions (Petroleum)'!$V$9,'Assumptions (Petroleum)'!$V$4*Model!$AN$2253*AVERAGE('Assumptions (Petroleum)'!$AJ$2:$AL$2)/10^9),0)</f>
        <v>0</v>
      </c>
      <c r="AZ2347" s="160">
        <f>IF($AN$2253&gt;0,PPMT('Assumptions (Petroleum)'!$V$6,Model!AI$1,'Assumptions (Petroleum)'!$V$9,'Assumptions (Petroleum)'!$V$4*Model!$AN$2253*AVERAGE('Assumptions (Petroleum)'!$AJ$2:$AL$2)/10^9),0)</f>
        <v>0</v>
      </c>
      <c r="BA2347" s="160">
        <f>IF($AN$2253&gt;0,PPMT('Assumptions (Petroleum)'!$V$6,Model!AJ$1,'Assumptions (Petroleum)'!$V$9,'Assumptions (Petroleum)'!$V$4*Model!$AN$2253*AVERAGE('Assumptions (Petroleum)'!$AJ$2:$AL$2)/10^9),0)</f>
        <v>0</v>
      </c>
      <c r="BB2347" s="160">
        <f>IF($AN$2253&gt;0,PPMT('Assumptions (Petroleum)'!$V$6,Model!AK$1,'Assumptions (Petroleum)'!$V$9,'Assumptions (Petroleum)'!$V$4*Model!$AN$2253*AVERAGE('Assumptions (Petroleum)'!$AJ$2:$AL$2)/10^9),0)</f>
        <v>0</v>
      </c>
      <c r="BC2347" s="160"/>
      <c r="BD2347" s="160"/>
      <c r="BE2347" s="160"/>
      <c r="BF2347" s="160"/>
      <c r="BG2347" s="160"/>
      <c r="BH2347" s="160"/>
      <c r="BI2347" s="160"/>
      <c r="BJ2347" s="160"/>
      <c r="BK2347" s="160"/>
      <c r="BL2347" s="160"/>
    </row>
    <row r="2348" ht="15.75" hidden="1" customHeight="1" outlineLevel="1">
      <c r="A2348" s="328"/>
      <c r="B2348" s="38"/>
      <c r="C2348" s="174"/>
      <c r="D2348" s="174"/>
      <c r="E2348" s="174"/>
      <c r="F2348" s="174"/>
      <c r="G2348" s="174"/>
      <c r="H2348" s="174"/>
      <c r="I2348" s="174"/>
      <c r="J2348" s="174"/>
      <c r="K2348" s="174"/>
      <c r="L2348" s="174"/>
      <c r="M2348" s="174"/>
      <c r="N2348" s="174"/>
      <c r="O2348" s="174"/>
      <c r="P2348" s="174"/>
      <c r="Q2348" s="174"/>
      <c r="R2348" s="174"/>
      <c r="S2348" s="174"/>
      <c r="T2348" s="174"/>
      <c r="U2348" s="174"/>
      <c r="V2348" s="174"/>
      <c r="W2348" s="160"/>
      <c r="X2348" s="160"/>
      <c r="Y2348" s="160"/>
      <c r="Z2348" s="160"/>
      <c r="AA2348" s="160"/>
      <c r="AB2348" s="160"/>
      <c r="AC2348" s="160"/>
      <c r="AD2348" s="160"/>
      <c r="AE2348" s="160"/>
      <c r="AF2348" s="160"/>
      <c r="AG2348" s="160"/>
      <c r="AH2348" s="160"/>
      <c r="AI2348" s="160"/>
      <c r="AJ2348" s="179"/>
      <c r="AK2348" s="160"/>
      <c r="AL2348" s="177"/>
      <c r="AM2348" s="177"/>
      <c r="AN2348" s="177"/>
      <c r="AO2348" s="160">
        <f>IF($AO$2253&gt;0,PPMT('Assumptions (Petroleum)'!$V$6,Model!W$1,'Assumptions (Petroleum)'!$V$9,'Assumptions (Petroleum)'!$V$4*Model!$AO$2253*AVERAGE('Assumptions (Petroleum)'!$AK$2:$AM$2)/10^9),0)</f>
        <v>0</v>
      </c>
      <c r="AP2348" s="160">
        <f>IF($AO$2253&gt;0,PPMT('Assumptions (Petroleum)'!$V$6,Model!X$1,'Assumptions (Petroleum)'!$V$9,'Assumptions (Petroleum)'!$V$4*Model!$AO$2253*AVERAGE('Assumptions (Petroleum)'!$AK$2:$AM$2)/10^9),0)</f>
        <v>0</v>
      </c>
      <c r="AQ2348" s="160">
        <f>IF($AO$2253&gt;0,PPMT('Assumptions (Petroleum)'!$V$6,Model!Y$1,'Assumptions (Petroleum)'!$V$9,'Assumptions (Petroleum)'!$V$4*Model!$AO$2253*AVERAGE('Assumptions (Petroleum)'!$AK$2:$AM$2)/10^9),0)</f>
        <v>0</v>
      </c>
      <c r="AR2348" s="160">
        <f>IF($AO$2253&gt;0,PPMT('Assumptions (Petroleum)'!$V$6,Model!Z$1,'Assumptions (Petroleum)'!$V$9,'Assumptions (Petroleum)'!$V$4*Model!$AO$2253*AVERAGE('Assumptions (Petroleum)'!$AK$2:$AM$2)/10^9),0)</f>
        <v>0</v>
      </c>
      <c r="AS2348" s="160">
        <f>IF($AO$2253&gt;0,PPMT('Assumptions (Petroleum)'!$V$6,Model!AA$1,'Assumptions (Petroleum)'!$V$9,'Assumptions (Petroleum)'!$V$4*Model!$AO$2253*AVERAGE('Assumptions (Petroleum)'!$AK$2:$AM$2)/10^9),0)</f>
        <v>0</v>
      </c>
      <c r="AT2348" s="160">
        <f>IF($AO$2253&gt;0,PPMT('Assumptions (Petroleum)'!$V$6,Model!AB$1,'Assumptions (Petroleum)'!$V$9,'Assumptions (Petroleum)'!$V$4*Model!$AO$2253*AVERAGE('Assumptions (Petroleum)'!$AK$2:$AM$2)/10^9),0)</f>
        <v>0</v>
      </c>
      <c r="AU2348" s="160">
        <f>IF($AO$2253&gt;0,PPMT('Assumptions (Petroleum)'!$V$6,Model!AC$1,'Assumptions (Petroleum)'!$V$9,'Assumptions (Petroleum)'!$V$4*Model!$AO$2253*AVERAGE('Assumptions (Petroleum)'!$AK$2:$AM$2)/10^9),0)</f>
        <v>0</v>
      </c>
      <c r="AV2348" s="160">
        <f>IF($AO$2253&gt;0,PPMT('Assumptions (Petroleum)'!$V$6,Model!AD$1,'Assumptions (Petroleum)'!$V$9,'Assumptions (Petroleum)'!$V$4*Model!$AO$2253*AVERAGE('Assumptions (Petroleum)'!$AK$2:$AM$2)/10^9),0)</f>
        <v>0</v>
      </c>
      <c r="AW2348" s="160">
        <f>IF($AO$2253&gt;0,PPMT('Assumptions (Petroleum)'!$V$6,Model!AE$1,'Assumptions (Petroleum)'!$V$9,'Assumptions (Petroleum)'!$V$4*Model!$AO$2253*AVERAGE('Assumptions (Petroleum)'!$AK$2:$AM$2)/10^9),0)</f>
        <v>0</v>
      </c>
      <c r="AX2348" s="160">
        <f>IF($AO$2253&gt;0,PPMT('Assumptions (Petroleum)'!$V$6,Model!AF$1,'Assumptions (Petroleum)'!$V$9,'Assumptions (Petroleum)'!$V$4*Model!$AO$2253*AVERAGE('Assumptions (Petroleum)'!$AK$2:$AM$2)/10^9),0)</f>
        <v>0</v>
      </c>
      <c r="AY2348" s="160">
        <f>IF($AO$2253&gt;0,PPMT('Assumptions (Petroleum)'!$V$6,Model!AG$1,'Assumptions (Petroleum)'!$V$9,'Assumptions (Petroleum)'!$V$4*Model!$AO$2253*AVERAGE('Assumptions (Petroleum)'!$AK$2:$AM$2)/10^9),0)</f>
        <v>0</v>
      </c>
      <c r="AZ2348" s="160">
        <f>IF($AO$2253&gt;0,PPMT('Assumptions (Petroleum)'!$V$6,Model!AH$1,'Assumptions (Petroleum)'!$V$9,'Assumptions (Petroleum)'!$V$4*Model!$AO$2253*AVERAGE('Assumptions (Petroleum)'!$AK$2:$AM$2)/10^9),0)</f>
        <v>0</v>
      </c>
      <c r="BA2348" s="160">
        <f>IF($AO$2253&gt;0,PPMT('Assumptions (Petroleum)'!$V$6,Model!AI$1,'Assumptions (Petroleum)'!$V$9,'Assumptions (Petroleum)'!$V$4*Model!$AO$2253*AVERAGE('Assumptions (Petroleum)'!$AK$2:$AM$2)/10^9),0)</f>
        <v>0</v>
      </c>
      <c r="BB2348" s="160">
        <f>IF($AO$2253&gt;0,PPMT('Assumptions (Petroleum)'!$V$6,Model!AJ$1,'Assumptions (Petroleum)'!$V$9,'Assumptions (Petroleum)'!$V$4*Model!$AO$2253*AVERAGE('Assumptions (Petroleum)'!$AK$2:$AM$2)/10^9),0)</f>
        <v>0</v>
      </c>
      <c r="BC2348" s="160">
        <f>IF($AO$2253&gt;0,PPMT('Assumptions (Petroleum)'!$V$6,Model!AK$1,'Assumptions (Petroleum)'!$V$9,'Assumptions (Petroleum)'!$V$4*Model!$AO$2253*AVERAGE('Assumptions (Petroleum)'!$AK$2:$AM$2)/10^9),0)</f>
        <v>0</v>
      </c>
      <c r="BD2348" s="160"/>
      <c r="BE2348" s="160"/>
      <c r="BF2348" s="160"/>
      <c r="BG2348" s="160"/>
      <c r="BH2348" s="160"/>
      <c r="BI2348" s="160"/>
      <c r="BJ2348" s="160"/>
      <c r="BK2348" s="160"/>
      <c r="BL2348" s="160"/>
      <c r="BM2348" s="160"/>
    </row>
    <row r="2349" ht="15.75" hidden="1" customHeight="1" outlineLevel="1">
      <c r="A2349" s="328"/>
      <c r="B2349" s="38"/>
      <c r="C2349" s="174"/>
      <c r="D2349" s="174"/>
      <c r="E2349" s="174"/>
      <c r="F2349" s="174"/>
      <c r="G2349" s="174"/>
      <c r="H2349" s="174"/>
      <c r="I2349" s="174"/>
      <c r="J2349" s="174"/>
      <c r="K2349" s="174"/>
      <c r="L2349" s="174"/>
      <c r="M2349" s="174"/>
      <c r="N2349" s="174"/>
      <c r="O2349" s="174"/>
      <c r="P2349" s="174"/>
      <c r="Q2349" s="174"/>
      <c r="R2349" s="174"/>
      <c r="S2349" s="174"/>
      <c r="T2349" s="174"/>
      <c r="U2349" s="174"/>
      <c r="V2349" s="174"/>
      <c r="W2349" s="160"/>
      <c r="X2349" s="160"/>
      <c r="Y2349" s="160"/>
      <c r="Z2349" s="160"/>
      <c r="AA2349" s="160"/>
      <c r="AB2349" s="160"/>
      <c r="AC2349" s="160"/>
      <c r="AD2349" s="160"/>
      <c r="AE2349" s="160"/>
      <c r="AF2349" s="160"/>
      <c r="AG2349" s="160"/>
      <c r="AH2349" s="160"/>
      <c r="AI2349" s="160"/>
      <c r="AJ2349" s="179"/>
      <c r="AK2349" s="160"/>
      <c r="AL2349" s="177"/>
      <c r="AM2349" s="177"/>
      <c r="AN2349" s="177"/>
      <c r="AO2349" s="160"/>
      <c r="AP2349" s="160">
        <f>IF($AP$2253&gt;0,PPMT('Assumptions (Petroleum)'!$V$6,Model!W$1,'Assumptions (Petroleum)'!$V$9,'Assumptions (Petroleum)'!$V$4*Model!$AP$2253*AVERAGE('Assumptions (Petroleum)'!$AL$2:$AN$2)/10^9),0)</f>
        <v>0</v>
      </c>
      <c r="AQ2349" s="160">
        <f>IF($AP$2253&gt;0,PPMT('Assumptions (Petroleum)'!$V$6,Model!X$1,'Assumptions (Petroleum)'!$V$9,'Assumptions (Petroleum)'!$V$4*Model!$AP$2253*AVERAGE('Assumptions (Petroleum)'!$AL$2:$AN$2)/10^9),0)</f>
        <v>0</v>
      </c>
      <c r="AR2349" s="160">
        <f>IF($AP$2253&gt;0,PPMT('Assumptions (Petroleum)'!$V$6,Model!Y$1,'Assumptions (Petroleum)'!$V$9,'Assumptions (Petroleum)'!$V$4*Model!$AP$2253*AVERAGE('Assumptions (Petroleum)'!$AL$2:$AN$2)/10^9),0)</f>
        <v>0</v>
      </c>
      <c r="AS2349" s="160">
        <f>IF($AP$2253&gt;0,PPMT('Assumptions (Petroleum)'!$V$6,Model!Z$1,'Assumptions (Petroleum)'!$V$9,'Assumptions (Petroleum)'!$V$4*Model!$AP$2253*AVERAGE('Assumptions (Petroleum)'!$AL$2:$AN$2)/10^9),0)</f>
        <v>0</v>
      </c>
      <c r="AT2349" s="160">
        <f>IF($AP$2253&gt;0,PPMT('Assumptions (Petroleum)'!$V$6,Model!AA$1,'Assumptions (Petroleum)'!$V$9,'Assumptions (Petroleum)'!$V$4*Model!$AP$2253*AVERAGE('Assumptions (Petroleum)'!$AL$2:$AN$2)/10^9),0)</f>
        <v>0</v>
      </c>
      <c r="AU2349" s="160">
        <f>IF($AP$2253&gt;0,PPMT('Assumptions (Petroleum)'!$V$6,Model!AB$1,'Assumptions (Petroleum)'!$V$9,'Assumptions (Petroleum)'!$V$4*Model!$AP$2253*AVERAGE('Assumptions (Petroleum)'!$AL$2:$AN$2)/10^9),0)</f>
        <v>0</v>
      </c>
      <c r="AV2349" s="160">
        <f>IF($AP$2253&gt;0,PPMT('Assumptions (Petroleum)'!$V$6,Model!AC$1,'Assumptions (Petroleum)'!$V$9,'Assumptions (Petroleum)'!$V$4*Model!$AP$2253*AVERAGE('Assumptions (Petroleum)'!$AL$2:$AN$2)/10^9),0)</f>
        <v>0</v>
      </c>
      <c r="AW2349" s="160">
        <f>IF($AP$2253&gt;0,PPMT('Assumptions (Petroleum)'!$V$6,Model!AD$1,'Assumptions (Petroleum)'!$V$9,'Assumptions (Petroleum)'!$V$4*Model!$AP$2253*AVERAGE('Assumptions (Petroleum)'!$AL$2:$AN$2)/10^9),0)</f>
        <v>0</v>
      </c>
      <c r="AX2349" s="160">
        <f>IF($AP$2253&gt;0,PPMT('Assumptions (Petroleum)'!$V$6,Model!AE$1,'Assumptions (Petroleum)'!$V$9,'Assumptions (Petroleum)'!$V$4*Model!$AP$2253*AVERAGE('Assumptions (Petroleum)'!$AL$2:$AN$2)/10^9),0)</f>
        <v>0</v>
      </c>
      <c r="AY2349" s="160">
        <f>IF($AP$2253&gt;0,PPMT('Assumptions (Petroleum)'!$V$6,Model!AF$1,'Assumptions (Petroleum)'!$V$9,'Assumptions (Petroleum)'!$V$4*Model!$AP$2253*AVERAGE('Assumptions (Petroleum)'!$AL$2:$AN$2)/10^9),0)</f>
        <v>0</v>
      </c>
      <c r="AZ2349" s="160">
        <f>IF($AP$2253&gt;0,PPMT('Assumptions (Petroleum)'!$V$6,Model!AG$1,'Assumptions (Petroleum)'!$V$9,'Assumptions (Petroleum)'!$V$4*Model!$AP$2253*AVERAGE('Assumptions (Petroleum)'!$AL$2:$AN$2)/10^9),0)</f>
        <v>0</v>
      </c>
      <c r="BA2349" s="160">
        <f>IF($AP$2253&gt;0,PPMT('Assumptions (Petroleum)'!$V$6,Model!AH$1,'Assumptions (Petroleum)'!$V$9,'Assumptions (Petroleum)'!$V$4*Model!$AP$2253*AVERAGE('Assumptions (Petroleum)'!$AL$2:$AN$2)/10^9),0)</f>
        <v>0</v>
      </c>
      <c r="BB2349" s="160">
        <f>IF($AP$2253&gt;0,PPMT('Assumptions (Petroleum)'!$V$6,Model!AI$1,'Assumptions (Petroleum)'!$V$9,'Assumptions (Petroleum)'!$V$4*Model!$AP$2253*AVERAGE('Assumptions (Petroleum)'!$AL$2:$AN$2)/10^9),0)</f>
        <v>0</v>
      </c>
      <c r="BC2349" s="160">
        <f>IF($AP$2253&gt;0,PPMT('Assumptions (Petroleum)'!$V$6,Model!AJ$1,'Assumptions (Petroleum)'!$V$9,'Assumptions (Petroleum)'!$V$4*Model!$AP$2253*AVERAGE('Assumptions (Petroleum)'!$AL$2:$AN$2)/10^9),0)</f>
        <v>0</v>
      </c>
      <c r="BD2349" s="160">
        <f>IF($AP$2253&gt;0,PPMT('Assumptions (Petroleum)'!$V$6,Model!AK$1,'Assumptions (Petroleum)'!$V$9,'Assumptions (Petroleum)'!$V$4*Model!$AP$2253*AVERAGE('Assumptions (Petroleum)'!$AL$2:$AN$2)/10^9),0)</f>
        <v>0</v>
      </c>
      <c r="BE2349" s="160"/>
      <c r="BF2349" s="160"/>
      <c r="BG2349" s="160"/>
      <c r="BH2349" s="160"/>
      <c r="BI2349" s="160"/>
      <c r="BJ2349" s="160"/>
      <c r="BK2349" s="160"/>
      <c r="BL2349" s="160"/>
      <c r="BM2349" s="160"/>
      <c r="BN2349" s="160"/>
    </row>
    <row r="2350" ht="15.75" hidden="1" customHeight="1" outlineLevel="1">
      <c r="A2350" s="328"/>
      <c r="B2350" s="38"/>
      <c r="C2350" s="174"/>
      <c r="D2350" s="174"/>
      <c r="E2350" s="174"/>
      <c r="F2350" s="174"/>
      <c r="G2350" s="174"/>
      <c r="H2350" s="174"/>
      <c r="I2350" s="174"/>
      <c r="J2350" s="174"/>
      <c r="K2350" s="174"/>
      <c r="L2350" s="174"/>
      <c r="M2350" s="174"/>
      <c r="N2350" s="174"/>
      <c r="O2350" s="174"/>
      <c r="P2350" s="174"/>
      <c r="Q2350" s="174"/>
      <c r="R2350" s="174"/>
      <c r="S2350" s="174"/>
      <c r="T2350" s="174"/>
      <c r="U2350" s="174"/>
      <c r="V2350" s="174"/>
      <c r="W2350" s="160"/>
      <c r="X2350" s="160"/>
      <c r="Y2350" s="160"/>
      <c r="Z2350" s="160"/>
      <c r="AA2350" s="160"/>
      <c r="AB2350" s="160"/>
      <c r="AC2350" s="160"/>
      <c r="AD2350" s="160"/>
      <c r="AE2350" s="160"/>
      <c r="AF2350" s="160"/>
      <c r="AG2350" s="160"/>
      <c r="AH2350" s="160"/>
      <c r="AI2350" s="160"/>
      <c r="AJ2350" s="179"/>
      <c r="AK2350" s="160"/>
      <c r="AL2350" s="177"/>
      <c r="AM2350" s="177"/>
      <c r="AN2350" s="177"/>
      <c r="AO2350" s="160"/>
      <c r="AP2350" s="160"/>
      <c r="AQ2350" s="160">
        <f>IF($AQ$2253&gt;0,PPMT('Assumptions (Petroleum)'!$V$6,Model!W$1,'Assumptions (Petroleum)'!$V$9,'Assumptions (Petroleum)'!$V$4*Model!$AQ$2253*AVERAGE('Assumptions (Petroleum)'!$AM$2:$AO$2)/10^9),0)</f>
        <v>0</v>
      </c>
      <c r="AR2350" s="160">
        <f>IF($AQ$2253&gt;0,PPMT('Assumptions (Petroleum)'!$V$6,Model!X$1,'Assumptions (Petroleum)'!$V$9,'Assumptions (Petroleum)'!$V$4*Model!$AQ$2253*AVERAGE('Assumptions (Petroleum)'!$AM$2:$AO$2)/10^9),0)</f>
        <v>0</v>
      </c>
      <c r="AS2350" s="160">
        <f>IF($AQ$2253&gt;0,PPMT('Assumptions (Petroleum)'!$V$6,Model!Y$1,'Assumptions (Petroleum)'!$V$9,'Assumptions (Petroleum)'!$V$4*Model!$AQ$2253*AVERAGE('Assumptions (Petroleum)'!$AM$2:$AO$2)/10^9),0)</f>
        <v>0</v>
      </c>
      <c r="AT2350" s="160">
        <f>IF($AQ$2253&gt;0,PPMT('Assumptions (Petroleum)'!$V$6,Model!Z$1,'Assumptions (Petroleum)'!$V$9,'Assumptions (Petroleum)'!$V$4*Model!$AQ$2253*AVERAGE('Assumptions (Petroleum)'!$AM$2:$AO$2)/10^9),0)</f>
        <v>0</v>
      </c>
      <c r="AU2350" s="160">
        <f>IF($AQ$2253&gt;0,PPMT('Assumptions (Petroleum)'!$V$6,Model!AA$1,'Assumptions (Petroleum)'!$V$9,'Assumptions (Petroleum)'!$V$4*Model!$AQ$2253*AVERAGE('Assumptions (Petroleum)'!$AM$2:$AO$2)/10^9),0)</f>
        <v>0</v>
      </c>
      <c r="AV2350" s="160">
        <f>IF($AQ$2253&gt;0,PPMT('Assumptions (Petroleum)'!$V$6,Model!AB$1,'Assumptions (Petroleum)'!$V$9,'Assumptions (Petroleum)'!$V$4*Model!$AQ$2253*AVERAGE('Assumptions (Petroleum)'!$AM$2:$AO$2)/10^9),0)</f>
        <v>0</v>
      </c>
      <c r="AW2350" s="160">
        <f>IF($AQ$2253&gt;0,PPMT('Assumptions (Petroleum)'!$V$6,Model!AC$1,'Assumptions (Petroleum)'!$V$9,'Assumptions (Petroleum)'!$V$4*Model!$AQ$2253*AVERAGE('Assumptions (Petroleum)'!$AM$2:$AO$2)/10^9),0)</f>
        <v>0</v>
      </c>
      <c r="AX2350" s="160">
        <f>IF($AQ$2253&gt;0,PPMT('Assumptions (Petroleum)'!$V$6,Model!AD$1,'Assumptions (Petroleum)'!$V$9,'Assumptions (Petroleum)'!$V$4*Model!$AQ$2253*AVERAGE('Assumptions (Petroleum)'!$AM$2:$AO$2)/10^9),0)</f>
        <v>0</v>
      </c>
      <c r="AY2350" s="160">
        <f>IF($AQ$2253&gt;0,PPMT('Assumptions (Petroleum)'!$V$6,Model!AE$1,'Assumptions (Petroleum)'!$V$9,'Assumptions (Petroleum)'!$V$4*Model!$AQ$2253*AVERAGE('Assumptions (Petroleum)'!$AM$2:$AO$2)/10^9),0)</f>
        <v>0</v>
      </c>
      <c r="AZ2350" s="160">
        <f>IF($AQ$2253&gt;0,PPMT('Assumptions (Petroleum)'!$V$6,Model!AF$1,'Assumptions (Petroleum)'!$V$9,'Assumptions (Petroleum)'!$V$4*Model!$AQ$2253*AVERAGE('Assumptions (Petroleum)'!$AM$2:$AO$2)/10^9),0)</f>
        <v>0</v>
      </c>
      <c r="BA2350" s="160">
        <f>IF($AQ$2253&gt;0,PPMT('Assumptions (Petroleum)'!$V$6,Model!AG$1,'Assumptions (Petroleum)'!$V$9,'Assumptions (Petroleum)'!$V$4*Model!$AQ$2253*AVERAGE('Assumptions (Petroleum)'!$AM$2:$AO$2)/10^9),0)</f>
        <v>0</v>
      </c>
      <c r="BB2350" s="160">
        <f>IF($AQ$2253&gt;0,PPMT('Assumptions (Petroleum)'!$V$6,Model!AH$1,'Assumptions (Petroleum)'!$V$9,'Assumptions (Petroleum)'!$V$4*Model!$AQ$2253*AVERAGE('Assumptions (Petroleum)'!$AM$2:$AO$2)/10^9),0)</f>
        <v>0</v>
      </c>
      <c r="BC2350" s="160">
        <f>IF($AQ$2253&gt;0,PPMT('Assumptions (Petroleum)'!$V$6,Model!AI$1,'Assumptions (Petroleum)'!$V$9,'Assumptions (Petroleum)'!$V$4*Model!$AQ$2253*AVERAGE('Assumptions (Petroleum)'!$AM$2:$AO$2)/10^9),0)</f>
        <v>0</v>
      </c>
      <c r="BD2350" s="160">
        <f>IF($AQ$2253&gt;0,PPMT('Assumptions (Petroleum)'!$V$6,Model!AJ$1,'Assumptions (Petroleum)'!$V$9,'Assumptions (Petroleum)'!$V$4*Model!$AQ$2253*AVERAGE('Assumptions (Petroleum)'!$AM$2:$AO$2)/10^9),0)</f>
        <v>0</v>
      </c>
      <c r="BE2350" s="160">
        <f>IF($AQ$2253&gt;0,PPMT('Assumptions (Petroleum)'!$V$6,Model!AK$1,'Assumptions (Petroleum)'!$V$9,'Assumptions (Petroleum)'!$V$4*Model!$AQ$2253*AVERAGE('Assumptions (Petroleum)'!$AM$2:$AO$2)/10^9),0)</f>
        <v>0</v>
      </c>
      <c r="BF2350" s="160"/>
      <c r="BG2350" s="160"/>
      <c r="BH2350" s="160"/>
      <c r="BI2350" s="160"/>
      <c r="BJ2350" s="160"/>
      <c r="BK2350" s="160"/>
      <c r="BL2350" s="160"/>
      <c r="BM2350" s="160"/>
      <c r="BN2350" s="160"/>
      <c r="BO2350" s="160"/>
    </row>
    <row r="2351" ht="15.75" hidden="1" customHeight="1" outlineLevel="1">
      <c r="A2351" s="328"/>
      <c r="B2351" s="38"/>
      <c r="C2351" s="174"/>
      <c r="D2351" s="174"/>
      <c r="E2351" s="174"/>
      <c r="F2351" s="174"/>
      <c r="G2351" s="174"/>
      <c r="H2351" s="174"/>
      <c r="I2351" s="174"/>
      <c r="J2351" s="174"/>
      <c r="K2351" s="174"/>
      <c r="L2351" s="174"/>
      <c r="M2351" s="174"/>
      <c r="N2351" s="174"/>
      <c r="O2351" s="174"/>
      <c r="P2351" s="174"/>
      <c r="Q2351" s="174"/>
      <c r="R2351" s="174"/>
      <c r="S2351" s="174"/>
      <c r="T2351" s="174"/>
      <c r="U2351" s="174"/>
      <c r="V2351" s="174"/>
      <c r="W2351" s="160"/>
      <c r="X2351" s="160"/>
      <c r="Y2351" s="160"/>
      <c r="Z2351" s="160"/>
      <c r="AA2351" s="160"/>
      <c r="AB2351" s="160"/>
      <c r="AC2351" s="160"/>
      <c r="AD2351" s="160"/>
      <c r="AE2351" s="160"/>
      <c r="AF2351" s="160"/>
      <c r="AG2351" s="160"/>
      <c r="AH2351" s="160"/>
      <c r="AI2351" s="160"/>
      <c r="AJ2351" s="179"/>
      <c r="AK2351" s="160"/>
      <c r="AL2351" s="177"/>
      <c r="AM2351" s="177"/>
      <c r="AN2351" s="177"/>
      <c r="AO2351" s="160"/>
      <c r="AP2351" s="160"/>
      <c r="AQ2351" s="160"/>
      <c r="AR2351" s="160">
        <f>IF($AR$2253&gt;0,PPMT('Assumptions (Petroleum)'!$V$6,Model!W$1,'Assumptions (Petroleum)'!$V$9,'Assumptions (Petroleum)'!$V$4*Model!$AR$2253*AVERAGE('Assumptions (Petroleum)'!$AN$2:$AP$2)/10^9),0)</f>
        <v>0</v>
      </c>
      <c r="AS2351" s="160">
        <f>IF($AR$2253&gt;0,PPMT('Assumptions (Petroleum)'!$V$6,Model!X$1,'Assumptions (Petroleum)'!$V$9,'Assumptions (Petroleum)'!$V$4*Model!$AR$2253*AVERAGE('Assumptions (Petroleum)'!$AN$2:$AP$2)/10^9),0)</f>
        <v>0</v>
      </c>
      <c r="AT2351" s="160">
        <f>IF($AR$2253&gt;0,PPMT('Assumptions (Petroleum)'!$V$6,Model!Y$1,'Assumptions (Petroleum)'!$V$9,'Assumptions (Petroleum)'!$V$4*Model!$AR$2253*AVERAGE('Assumptions (Petroleum)'!$AN$2:$AP$2)/10^9),0)</f>
        <v>0</v>
      </c>
      <c r="AU2351" s="160">
        <f>IF($AR$2253&gt;0,PPMT('Assumptions (Petroleum)'!$V$6,Model!Z$1,'Assumptions (Petroleum)'!$V$9,'Assumptions (Petroleum)'!$V$4*Model!$AR$2253*AVERAGE('Assumptions (Petroleum)'!$AN$2:$AP$2)/10^9),0)</f>
        <v>0</v>
      </c>
      <c r="AV2351" s="160">
        <f>IF($AR$2253&gt;0,PPMT('Assumptions (Petroleum)'!$V$6,Model!AA$1,'Assumptions (Petroleum)'!$V$9,'Assumptions (Petroleum)'!$V$4*Model!$AR$2253*AVERAGE('Assumptions (Petroleum)'!$AN$2:$AP$2)/10^9),0)</f>
        <v>0</v>
      </c>
      <c r="AW2351" s="160">
        <f>IF($AR$2253&gt;0,PPMT('Assumptions (Petroleum)'!$V$6,Model!AB$1,'Assumptions (Petroleum)'!$V$9,'Assumptions (Petroleum)'!$V$4*Model!$AR$2253*AVERAGE('Assumptions (Petroleum)'!$AN$2:$AP$2)/10^9),0)</f>
        <v>0</v>
      </c>
      <c r="AX2351" s="160">
        <f>IF($AR$2253&gt;0,PPMT('Assumptions (Petroleum)'!$V$6,Model!AC$1,'Assumptions (Petroleum)'!$V$9,'Assumptions (Petroleum)'!$V$4*Model!$AR$2253*AVERAGE('Assumptions (Petroleum)'!$AN$2:$AP$2)/10^9),0)</f>
        <v>0</v>
      </c>
      <c r="AY2351" s="160">
        <f>IF($AR$2253&gt;0,PPMT('Assumptions (Petroleum)'!$V$6,Model!AD$1,'Assumptions (Petroleum)'!$V$9,'Assumptions (Petroleum)'!$V$4*Model!$AR$2253*AVERAGE('Assumptions (Petroleum)'!$AN$2:$AP$2)/10^9),0)</f>
        <v>0</v>
      </c>
      <c r="AZ2351" s="160">
        <f>IF($AR$2253&gt;0,PPMT('Assumptions (Petroleum)'!$V$6,Model!AE$1,'Assumptions (Petroleum)'!$V$9,'Assumptions (Petroleum)'!$V$4*Model!$AR$2253*AVERAGE('Assumptions (Petroleum)'!$AN$2:$AP$2)/10^9),0)</f>
        <v>0</v>
      </c>
      <c r="BA2351" s="160">
        <f>IF($AR$2253&gt;0,PPMT('Assumptions (Petroleum)'!$V$6,Model!AF$1,'Assumptions (Petroleum)'!$V$9,'Assumptions (Petroleum)'!$V$4*Model!$AR$2253*AVERAGE('Assumptions (Petroleum)'!$AN$2:$AP$2)/10^9),0)</f>
        <v>0</v>
      </c>
      <c r="BB2351" s="160">
        <f>IF($AR$2253&gt;0,PPMT('Assumptions (Petroleum)'!$V$6,Model!AG$1,'Assumptions (Petroleum)'!$V$9,'Assumptions (Petroleum)'!$V$4*Model!$AR$2253*AVERAGE('Assumptions (Petroleum)'!$AN$2:$AP$2)/10^9),0)</f>
        <v>0</v>
      </c>
      <c r="BC2351" s="160">
        <f>IF($AR$2253&gt;0,PPMT('Assumptions (Petroleum)'!$V$6,Model!AH$1,'Assumptions (Petroleum)'!$V$9,'Assumptions (Petroleum)'!$V$4*Model!$AR$2253*AVERAGE('Assumptions (Petroleum)'!$AN$2:$AP$2)/10^9),0)</f>
        <v>0</v>
      </c>
      <c r="BD2351" s="160">
        <f>IF($AR$2253&gt;0,PPMT('Assumptions (Petroleum)'!$V$6,Model!AI$1,'Assumptions (Petroleum)'!$V$9,'Assumptions (Petroleum)'!$V$4*Model!$AR$2253*AVERAGE('Assumptions (Petroleum)'!$AN$2:$AP$2)/10^9),0)</f>
        <v>0</v>
      </c>
      <c r="BE2351" s="160">
        <f>IF($AR$2253&gt;0,PPMT('Assumptions (Petroleum)'!$V$6,Model!AJ$1,'Assumptions (Petroleum)'!$V$9,'Assumptions (Petroleum)'!$V$4*Model!$AR$2253*AVERAGE('Assumptions (Petroleum)'!$AN$2:$AP$2)/10^9),0)</f>
        <v>0</v>
      </c>
      <c r="BF2351" s="160">
        <f>IF($AR$2253&gt;0,PPMT('Assumptions (Petroleum)'!$V$6,Model!AK$1,'Assumptions (Petroleum)'!$V$9,'Assumptions (Petroleum)'!$V$4*Model!$AR$2253*AVERAGE('Assumptions (Petroleum)'!$AN$2:$AP$2)/10^9),0)</f>
        <v>0</v>
      </c>
      <c r="BG2351" s="160"/>
      <c r="BH2351" s="160"/>
      <c r="BI2351" s="160"/>
      <c r="BJ2351" s="160"/>
      <c r="BK2351" s="160"/>
      <c r="BL2351" s="160"/>
      <c r="BM2351" s="160"/>
      <c r="BN2351" s="160"/>
      <c r="BO2351" s="160"/>
      <c r="BP2351" s="160"/>
    </row>
    <row r="2352" ht="15.75" hidden="1" customHeight="1" outlineLevel="1">
      <c r="A2352" s="328"/>
      <c r="B2352" s="38"/>
      <c r="C2352" s="174"/>
      <c r="D2352" s="174"/>
      <c r="E2352" s="174"/>
      <c r="F2352" s="174"/>
      <c r="G2352" s="174"/>
      <c r="H2352" s="174"/>
      <c r="I2352" s="174"/>
      <c r="J2352" s="174"/>
      <c r="K2352" s="174"/>
      <c r="L2352" s="174"/>
      <c r="M2352" s="174"/>
      <c r="N2352" s="174"/>
      <c r="O2352" s="174"/>
      <c r="P2352" s="174"/>
      <c r="Q2352" s="174"/>
      <c r="R2352" s="174"/>
      <c r="S2352" s="174"/>
      <c r="T2352" s="174"/>
      <c r="U2352" s="174"/>
      <c r="V2352" s="174"/>
      <c r="W2352" s="160"/>
      <c r="X2352" s="160"/>
      <c r="Y2352" s="160"/>
      <c r="Z2352" s="160"/>
      <c r="AA2352" s="160"/>
      <c r="AB2352" s="160"/>
      <c r="AC2352" s="160"/>
      <c r="AD2352" s="160"/>
      <c r="AE2352" s="160"/>
      <c r="AF2352" s="160"/>
      <c r="AG2352" s="160"/>
      <c r="AH2352" s="160"/>
      <c r="AI2352" s="160"/>
      <c r="AJ2352" s="179"/>
      <c r="AK2352" s="160"/>
      <c r="AL2352" s="177"/>
      <c r="AM2352" s="177"/>
      <c r="AN2352" s="177"/>
      <c r="AO2352" s="160"/>
      <c r="AP2352" s="160"/>
      <c r="AQ2352" s="160"/>
      <c r="AR2352" s="160"/>
      <c r="AS2352" s="160">
        <f>IF($AS$2253&gt;0,PPMT('Assumptions (Petroleum)'!$V$6,Model!W$1,'Assumptions (Petroleum)'!$V$9,'Assumptions (Petroleum)'!$V$4*Model!$AS$2253*AVERAGE('Assumptions (Petroleum)'!$AO$2:$AQ$2)/10^9),0)</f>
        <v>0</v>
      </c>
      <c r="AT2352" s="160">
        <f>IF($AS$2253&gt;0,PPMT('Assumptions (Petroleum)'!$V$6,Model!X$1,'Assumptions (Petroleum)'!$V$9,'Assumptions (Petroleum)'!$V$4*Model!$AS$2253*AVERAGE('Assumptions (Petroleum)'!$AO$2:$AQ$2)/10^9),0)</f>
        <v>0</v>
      </c>
      <c r="AU2352" s="160">
        <f>IF($AS$2253&gt;0,PPMT('Assumptions (Petroleum)'!$V$6,Model!Y$1,'Assumptions (Petroleum)'!$V$9,'Assumptions (Petroleum)'!$V$4*Model!$AS$2253*AVERAGE('Assumptions (Petroleum)'!$AO$2:$AQ$2)/10^9),0)</f>
        <v>0</v>
      </c>
      <c r="AV2352" s="160">
        <f>IF($AS$2253&gt;0,PPMT('Assumptions (Petroleum)'!$V$6,Model!Z$1,'Assumptions (Petroleum)'!$V$9,'Assumptions (Petroleum)'!$V$4*Model!$AS$2253*AVERAGE('Assumptions (Petroleum)'!$AO$2:$AQ$2)/10^9),0)</f>
        <v>0</v>
      </c>
      <c r="AW2352" s="160">
        <f>IF($AS$2253&gt;0,PPMT('Assumptions (Petroleum)'!$V$6,Model!AA$1,'Assumptions (Petroleum)'!$V$9,'Assumptions (Petroleum)'!$V$4*Model!$AS$2253*AVERAGE('Assumptions (Petroleum)'!$AO$2:$AQ$2)/10^9),0)</f>
        <v>0</v>
      </c>
      <c r="AX2352" s="160">
        <f>IF($AS$2253&gt;0,PPMT('Assumptions (Petroleum)'!$V$6,Model!AB$1,'Assumptions (Petroleum)'!$V$9,'Assumptions (Petroleum)'!$V$4*Model!$AS$2253*AVERAGE('Assumptions (Petroleum)'!$AO$2:$AQ$2)/10^9),0)</f>
        <v>0</v>
      </c>
      <c r="AY2352" s="160">
        <f>IF($AS$2253&gt;0,PPMT('Assumptions (Petroleum)'!$V$6,Model!AC$1,'Assumptions (Petroleum)'!$V$9,'Assumptions (Petroleum)'!$V$4*Model!$AS$2253*AVERAGE('Assumptions (Petroleum)'!$AO$2:$AQ$2)/10^9),0)</f>
        <v>0</v>
      </c>
      <c r="AZ2352" s="160">
        <f>IF($AS$2253&gt;0,PPMT('Assumptions (Petroleum)'!$V$6,Model!AD$1,'Assumptions (Petroleum)'!$V$9,'Assumptions (Petroleum)'!$V$4*Model!$AS$2253*AVERAGE('Assumptions (Petroleum)'!$AO$2:$AQ$2)/10^9),0)</f>
        <v>0</v>
      </c>
      <c r="BA2352" s="160">
        <f>IF($AS$2253&gt;0,PPMT('Assumptions (Petroleum)'!$V$6,Model!AE$1,'Assumptions (Petroleum)'!$V$9,'Assumptions (Petroleum)'!$V$4*Model!$AS$2253*AVERAGE('Assumptions (Petroleum)'!$AO$2:$AQ$2)/10^9),0)</f>
        <v>0</v>
      </c>
      <c r="BB2352" s="160">
        <f>IF($AS$2253&gt;0,PPMT('Assumptions (Petroleum)'!$V$6,Model!AF$1,'Assumptions (Petroleum)'!$V$9,'Assumptions (Petroleum)'!$V$4*Model!$AS$2253*AVERAGE('Assumptions (Petroleum)'!$AO$2:$AQ$2)/10^9),0)</f>
        <v>0</v>
      </c>
      <c r="BC2352" s="160">
        <f>IF($AS$2253&gt;0,PPMT('Assumptions (Petroleum)'!$V$6,Model!AG$1,'Assumptions (Petroleum)'!$V$9,'Assumptions (Petroleum)'!$V$4*Model!$AS$2253*AVERAGE('Assumptions (Petroleum)'!$AO$2:$AQ$2)/10^9),0)</f>
        <v>0</v>
      </c>
      <c r="BD2352" s="160">
        <f>IF($AS$2253&gt;0,PPMT('Assumptions (Petroleum)'!$V$6,Model!AH$1,'Assumptions (Petroleum)'!$V$9,'Assumptions (Petroleum)'!$V$4*Model!$AS$2253*AVERAGE('Assumptions (Petroleum)'!$AO$2:$AQ$2)/10^9),0)</f>
        <v>0</v>
      </c>
      <c r="BE2352" s="160">
        <f>IF($AS$2253&gt;0,PPMT('Assumptions (Petroleum)'!$V$6,Model!AI$1,'Assumptions (Petroleum)'!$V$9,'Assumptions (Petroleum)'!$V$4*Model!$AS$2253*AVERAGE('Assumptions (Petroleum)'!$AO$2:$AQ$2)/10^9),0)</f>
        <v>0</v>
      </c>
      <c r="BF2352" s="160">
        <f>IF($AS$2253&gt;0,PPMT('Assumptions (Petroleum)'!$V$6,Model!AJ$1,'Assumptions (Petroleum)'!$V$9,'Assumptions (Petroleum)'!$V$4*Model!$AS$2253*AVERAGE('Assumptions (Petroleum)'!$AO$2:$AQ$2)/10^9),0)</f>
        <v>0</v>
      </c>
      <c r="BG2352" s="160">
        <f>IF($AS$2253&gt;0,PPMT('Assumptions (Petroleum)'!$V$6,Model!AK$1,'Assumptions (Petroleum)'!$V$9,'Assumptions (Petroleum)'!$V$4*Model!$AS$2253*AVERAGE('Assumptions (Petroleum)'!$AO$2:$AQ$2)/10^9),0)</f>
        <v>0</v>
      </c>
      <c r="BH2352" s="160"/>
      <c r="BI2352" s="160"/>
      <c r="BJ2352" s="160"/>
      <c r="BK2352" s="160"/>
      <c r="BL2352" s="160"/>
      <c r="BM2352" s="160"/>
      <c r="BN2352" s="160"/>
      <c r="BO2352" s="160"/>
      <c r="BP2352" s="160"/>
    </row>
    <row r="2353" ht="15.75" hidden="1" customHeight="1" outlineLevel="1">
      <c r="A2353" s="328"/>
      <c r="B2353" s="38"/>
      <c r="C2353" s="174"/>
      <c r="D2353" s="174"/>
      <c r="E2353" s="174"/>
      <c r="F2353" s="174"/>
      <c r="G2353" s="174"/>
      <c r="H2353" s="174"/>
      <c r="I2353" s="174"/>
      <c r="J2353" s="174"/>
      <c r="K2353" s="174"/>
      <c r="L2353" s="174"/>
      <c r="M2353" s="174"/>
      <c r="N2353" s="174"/>
      <c r="O2353" s="174"/>
      <c r="P2353" s="174"/>
      <c r="Q2353" s="174"/>
      <c r="R2353" s="174"/>
      <c r="S2353" s="174"/>
      <c r="T2353" s="174"/>
      <c r="U2353" s="174"/>
      <c r="V2353" s="174"/>
      <c r="W2353" s="160"/>
      <c r="X2353" s="160"/>
      <c r="Y2353" s="160"/>
      <c r="Z2353" s="160"/>
      <c r="AA2353" s="160"/>
      <c r="AB2353" s="160"/>
      <c r="AC2353" s="160"/>
      <c r="AD2353" s="160"/>
      <c r="AE2353" s="160"/>
      <c r="AF2353" s="160"/>
      <c r="AG2353" s="160"/>
      <c r="AH2353" s="160"/>
      <c r="AI2353" s="160"/>
      <c r="AJ2353" s="179"/>
      <c r="AK2353" s="160"/>
      <c r="AL2353" s="177"/>
      <c r="AM2353" s="177"/>
      <c r="AN2353" s="177"/>
      <c r="AO2353" s="160"/>
      <c r="AP2353" s="160"/>
      <c r="AQ2353" s="160"/>
      <c r="AR2353" s="160"/>
      <c r="AS2353" s="160"/>
      <c r="AT2353" s="160">
        <f>IF($AT$2253&gt;0,PPMT('Assumptions (Petroleum)'!$V$6,Model!W$1,'Assumptions (Petroleum)'!$V$9,'Assumptions (Petroleum)'!$V$4*Model!$AT$2253*AVERAGE('Assumptions (Petroleum)'!$AP$2:$AR$2)/10^9),0)</f>
        <v>0</v>
      </c>
      <c r="AU2353" s="160">
        <f>IF($AT$2253&gt;0,PPMT('Assumptions (Petroleum)'!$V$6,Model!X$1,'Assumptions (Petroleum)'!$V$9,'Assumptions (Petroleum)'!$V$4*Model!$AT$2253*AVERAGE('Assumptions (Petroleum)'!$AP$2:$AR$2)/10^9),0)</f>
        <v>0</v>
      </c>
      <c r="AV2353" s="160">
        <f>IF($AT$2253&gt;0,PPMT('Assumptions (Petroleum)'!$V$6,Model!Y$1,'Assumptions (Petroleum)'!$V$9,'Assumptions (Petroleum)'!$V$4*Model!$AT$2253*AVERAGE('Assumptions (Petroleum)'!$AP$2:$AR$2)/10^9),0)</f>
        <v>0</v>
      </c>
      <c r="AW2353" s="160">
        <f>IF($AT$2253&gt;0,PPMT('Assumptions (Petroleum)'!$V$6,Model!Z$1,'Assumptions (Petroleum)'!$V$9,'Assumptions (Petroleum)'!$V$4*Model!$AT$2253*AVERAGE('Assumptions (Petroleum)'!$AP$2:$AR$2)/10^9),0)</f>
        <v>0</v>
      </c>
      <c r="AX2353" s="160">
        <f>IF($AT$2253&gt;0,PPMT('Assumptions (Petroleum)'!$V$6,Model!AA$1,'Assumptions (Petroleum)'!$V$9,'Assumptions (Petroleum)'!$V$4*Model!$AT$2253*AVERAGE('Assumptions (Petroleum)'!$AP$2:$AR$2)/10^9),0)</f>
        <v>0</v>
      </c>
      <c r="AY2353" s="160">
        <f>IF($AT$2253&gt;0,PPMT('Assumptions (Petroleum)'!$V$6,Model!AB$1,'Assumptions (Petroleum)'!$V$9,'Assumptions (Petroleum)'!$V$4*Model!$AT$2253*AVERAGE('Assumptions (Petroleum)'!$AP$2:$AR$2)/10^9),0)</f>
        <v>0</v>
      </c>
      <c r="AZ2353" s="160">
        <f>IF($AT$2253&gt;0,PPMT('Assumptions (Petroleum)'!$V$6,Model!AC$1,'Assumptions (Petroleum)'!$V$9,'Assumptions (Petroleum)'!$V$4*Model!$AT$2253*AVERAGE('Assumptions (Petroleum)'!$AP$2:$AR$2)/10^9),0)</f>
        <v>0</v>
      </c>
      <c r="BA2353" s="160">
        <f>IF($AT$2253&gt;0,PPMT('Assumptions (Petroleum)'!$V$6,Model!AD$1,'Assumptions (Petroleum)'!$V$9,'Assumptions (Petroleum)'!$V$4*Model!$AT$2253*AVERAGE('Assumptions (Petroleum)'!$AP$2:$AR$2)/10^9),0)</f>
        <v>0</v>
      </c>
      <c r="BB2353" s="160">
        <f>IF($AT$2253&gt;0,PPMT('Assumptions (Petroleum)'!$V$6,Model!AE$1,'Assumptions (Petroleum)'!$V$9,'Assumptions (Petroleum)'!$V$4*Model!$AT$2253*AVERAGE('Assumptions (Petroleum)'!$AP$2:$AR$2)/10^9),0)</f>
        <v>0</v>
      </c>
      <c r="BC2353" s="160">
        <f>IF($AT$2253&gt;0,PPMT('Assumptions (Petroleum)'!$V$6,Model!AF$1,'Assumptions (Petroleum)'!$V$9,'Assumptions (Petroleum)'!$V$4*Model!$AT$2253*AVERAGE('Assumptions (Petroleum)'!$AP$2:$AR$2)/10^9),0)</f>
        <v>0</v>
      </c>
      <c r="BD2353" s="160">
        <f>IF($AT$2253&gt;0,PPMT('Assumptions (Petroleum)'!$V$6,Model!AG$1,'Assumptions (Petroleum)'!$V$9,'Assumptions (Petroleum)'!$V$4*Model!$AT$2253*AVERAGE('Assumptions (Petroleum)'!$AP$2:$AR$2)/10^9),0)</f>
        <v>0</v>
      </c>
      <c r="BE2353" s="160">
        <f>IF($AT$2253&gt;0,PPMT('Assumptions (Petroleum)'!$V$6,Model!AH$1,'Assumptions (Petroleum)'!$V$9,'Assumptions (Petroleum)'!$V$4*Model!$AT$2253*AVERAGE('Assumptions (Petroleum)'!$AP$2:$AR$2)/10^9),0)</f>
        <v>0</v>
      </c>
      <c r="BF2353" s="160">
        <f>IF($AT$2253&gt;0,PPMT('Assumptions (Petroleum)'!$V$6,Model!AI$1,'Assumptions (Petroleum)'!$V$9,'Assumptions (Petroleum)'!$V$4*Model!$AT$2253*AVERAGE('Assumptions (Petroleum)'!$AP$2:$AR$2)/10^9),0)</f>
        <v>0</v>
      </c>
      <c r="BG2353" s="160">
        <f>IF($AT$2253&gt;0,PPMT('Assumptions (Petroleum)'!$V$6,Model!AJ$1,'Assumptions (Petroleum)'!$V$9,'Assumptions (Petroleum)'!$V$4*Model!$AT$2253*AVERAGE('Assumptions (Petroleum)'!$AP$2:$AR$2)/10^9),0)</f>
        <v>0</v>
      </c>
      <c r="BH2353" s="160">
        <f>IF($AT$2253&gt;0,PPMT('Assumptions (Petroleum)'!$V$6,Model!AK$1,'Assumptions (Petroleum)'!$V$9,'Assumptions (Petroleum)'!$V$4*Model!$AT$2253*AVERAGE('Assumptions (Petroleum)'!$AP$2:$AR$2)/10^9),0)</f>
        <v>0</v>
      </c>
      <c r="BI2353" s="160"/>
      <c r="BJ2353" s="160"/>
      <c r="BK2353" s="160"/>
      <c r="BL2353" s="160"/>
      <c r="BM2353" s="160"/>
      <c r="BN2353" s="160"/>
      <c r="BO2353" s="160"/>
      <c r="BP2353" s="160"/>
    </row>
    <row r="2354" ht="15.75" hidden="1" customHeight="1" outlineLevel="1">
      <c r="A2354" s="328"/>
      <c r="B2354" s="38"/>
      <c r="C2354" s="174"/>
      <c r="D2354" s="174"/>
      <c r="E2354" s="174"/>
      <c r="F2354" s="174"/>
      <c r="G2354" s="174"/>
      <c r="H2354" s="174"/>
      <c r="I2354" s="174"/>
      <c r="J2354" s="174"/>
      <c r="K2354" s="174"/>
      <c r="L2354" s="174"/>
      <c r="M2354" s="174"/>
      <c r="N2354" s="174"/>
      <c r="O2354" s="174"/>
      <c r="P2354" s="174"/>
      <c r="Q2354" s="174"/>
      <c r="R2354" s="174"/>
      <c r="S2354" s="174"/>
      <c r="T2354" s="174"/>
      <c r="U2354" s="174"/>
      <c r="V2354" s="174"/>
      <c r="W2354" s="160"/>
      <c r="X2354" s="160"/>
      <c r="Y2354" s="160"/>
      <c r="Z2354" s="160"/>
      <c r="AA2354" s="160"/>
      <c r="AB2354" s="160"/>
      <c r="AC2354" s="160"/>
      <c r="AD2354" s="160"/>
      <c r="AE2354" s="160"/>
      <c r="AF2354" s="160"/>
      <c r="AG2354" s="160"/>
      <c r="AH2354" s="160"/>
      <c r="AI2354" s="160"/>
      <c r="AJ2354" s="179"/>
      <c r="AK2354" s="160"/>
      <c r="AL2354" s="177"/>
      <c r="AM2354" s="177"/>
      <c r="AN2354" s="177"/>
      <c r="AO2354" s="160"/>
      <c r="AP2354" s="160"/>
      <c r="AQ2354" s="160"/>
      <c r="AR2354" s="160"/>
      <c r="AS2354" s="160"/>
      <c r="AT2354" s="160"/>
      <c r="AU2354" s="160">
        <f>IF($AU$2253&gt;0,PPMT('Assumptions (Petroleum)'!$V$6,Model!W$1,'Assumptions (Petroleum)'!$V$9,'Assumptions (Petroleum)'!$V$4*Model!$AU$2253*AVERAGE('Assumptions (Petroleum)'!$AQ$2:$AS$2)/10^9),0)</f>
        <v>0</v>
      </c>
      <c r="AV2354" s="160">
        <f>IF($AU$2253&gt;0,PPMT('Assumptions (Petroleum)'!$V$6,Model!X$1,'Assumptions (Petroleum)'!$V$9,'Assumptions (Petroleum)'!$V$4*Model!$AU$2253*AVERAGE('Assumptions (Petroleum)'!$AQ$2:$AS$2)/10^9),0)</f>
        <v>0</v>
      </c>
      <c r="AW2354" s="160">
        <f>IF($AU$2253&gt;0,PPMT('Assumptions (Petroleum)'!$V$6,Model!Y$1,'Assumptions (Petroleum)'!$V$9,'Assumptions (Petroleum)'!$V$4*Model!$AU$2253*AVERAGE('Assumptions (Petroleum)'!$AQ$2:$AS$2)/10^9),0)</f>
        <v>0</v>
      </c>
      <c r="AX2354" s="160">
        <f>IF($AU$2253&gt;0,PPMT('Assumptions (Petroleum)'!$V$6,Model!Z$1,'Assumptions (Petroleum)'!$V$9,'Assumptions (Petroleum)'!$V$4*Model!$AU$2253*AVERAGE('Assumptions (Petroleum)'!$AQ$2:$AS$2)/10^9),0)</f>
        <v>0</v>
      </c>
      <c r="AY2354" s="160">
        <f>IF($AU$2253&gt;0,PPMT('Assumptions (Petroleum)'!$V$6,Model!AA$1,'Assumptions (Petroleum)'!$V$9,'Assumptions (Petroleum)'!$V$4*Model!$AU$2253*AVERAGE('Assumptions (Petroleum)'!$AQ$2:$AS$2)/10^9),0)</f>
        <v>0</v>
      </c>
      <c r="AZ2354" s="160">
        <f>IF($AU$2253&gt;0,PPMT('Assumptions (Petroleum)'!$V$6,Model!AB$1,'Assumptions (Petroleum)'!$V$9,'Assumptions (Petroleum)'!$V$4*Model!$AU$2253*AVERAGE('Assumptions (Petroleum)'!$AQ$2:$AS$2)/10^9),0)</f>
        <v>0</v>
      </c>
      <c r="BA2354" s="160">
        <f>IF($AU$2253&gt;0,PPMT('Assumptions (Petroleum)'!$V$6,Model!AC$1,'Assumptions (Petroleum)'!$V$9,'Assumptions (Petroleum)'!$V$4*Model!$AU$2253*AVERAGE('Assumptions (Petroleum)'!$AQ$2:$AS$2)/10^9),0)</f>
        <v>0</v>
      </c>
      <c r="BB2354" s="160">
        <f>IF($AU$2253&gt;0,PPMT('Assumptions (Petroleum)'!$V$6,Model!AD$1,'Assumptions (Petroleum)'!$V$9,'Assumptions (Petroleum)'!$V$4*Model!$AU$2253*AVERAGE('Assumptions (Petroleum)'!$AQ$2:$AS$2)/10^9),0)</f>
        <v>0</v>
      </c>
      <c r="BC2354" s="160">
        <f>IF($AU$2253&gt;0,PPMT('Assumptions (Petroleum)'!$V$6,Model!AE$1,'Assumptions (Petroleum)'!$V$9,'Assumptions (Petroleum)'!$V$4*Model!$AU$2253*AVERAGE('Assumptions (Petroleum)'!$AQ$2:$AS$2)/10^9),0)</f>
        <v>0</v>
      </c>
      <c r="BD2354" s="160">
        <f>IF($AU$2253&gt;0,PPMT('Assumptions (Petroleum)'!$V$6,Model!AF$1,'Assumptions (Petroleum)'!$V$9,'Assumptions (Petroleum)'!$V$4*Model!$AU$2253*AVERAGE('Assumptions (Petroleum)'!$AQ$2:$AS$2)/10^9),0)</f>
        <v>0</v>
      </c>
      <c r="BE2354" s="160">
        <f>IF($AU$2253&gt;0,PPMT('Assumptions (Petroleum)'!$V$6,Model!AG$1,'Assumptions (Petroleum)'!$V$9,'Assumptions (Petroleum)'!$V$4*Model!$AU$2253*AVERAGE('Assumptions (Petroleum)'!$AQ$2:$AS$2)/10^9),0)</f>
        <v>0</v>
      </c>
      <c r="BF2354" s="160">
        <f>IF($AU$2253&gt;0,PPMT('Assumptions (Petroleum)'!$V$6,Model!AH$1,'Assumptions (Petroleum)'!$V$9,'Assumptions (Petroleum)'!$V$4*Model!$AU$2253*AVERAGE('Assumptions (Petroleum)'!$AQ$2:$AS$2)/10^9),0)</f>
        <v>0</v>
      </c>
      <c r="BG2354" s="160">
        <f>IF($AU$2253&gt;0,PPMT('Assumptions (Petroleum)'!$V$6,Model!AI$1,'Assumptions (Petroleum)'!$V$9,'Assumptions (Petroleum)'!$V$4*Model!$AU$2253*AVERAGE('Assumptions (Petroleum)'!$AQ$2:$AS$2)/10^9),0)</f>
        <v>0</v>
      </c>
      <c r="BH2354" s="160">
        <f>IF($AU$2253&gt;0,PPMT('Assumptions (Petroleum)'!$V$6,Model!AJ$1,'Assumptions (Petroleum)'!$V$9,'Assumptions (Petroleum)'!$V$4*Model!$AU$2253*AVERAGE('Assumptions (Petroleum)'!$AQ$2:$AS$2)/10^9),0)</f>
        <v>0</v>
      </c>
      <c r="BI2354" s="160">
        <f>IF($AU$2253&gt;0,PPMT('Assumptions (Petroleum)'!$V$6,Model!AK$1,'Assumptions (Petroleum)'!$V$9,'Assumptions (Petroleum)'!$V$4*Model!$AU$2253*AVERAGE('Assumptions (Petroleum)'!$AQ$2:$AS$2)/10^9),0)</f>
        <v>0</v>
      </c>
      <c r="BJ2354" s="160"/>
      <c r="BK2354" s="160"/>
      <c r="BL2354" s="160"/>
      <c r="BM2354" s="160"/>
      <c r="BN2354" s="160"/>
      <c r="BO2354" s="160"/>
      <c r="BP2354" s="160"/>
    </row>
    <row r="2355" ht="15.75" hidden="1" customHeight="1" outlineLevel="1">
      <c r="A2355" s="328"/>
      <c r="B2355" s="38"/>
      <c r="C2355" s="174"/>
      <c r="D2355" s="174"/>
      <c r="E2355" s="174"/>
      <c r="F2355" s="174"/>
      <c r="G2355" s="174"/>
      <c r="H2355" s="174"/>
      <c r="I2355" s="174"/>
      <c r="J2355" s="174"/>
      <c r="K2355" s="174"/>
      <c r="L2355" s="174"/>
      <c r="M2355" s="174"/>
      <c r="N2355" s="174"/>
      <c r="O2355" s="174"/>
      <c r="P2355" s="174"/>
      <c r="Q2355" s="174"/>
      <c r="R2355" s="174"/>
      <c r="S2355" s="174"/>
      <c r="T2355" s="174"/>
      <c r="U2355" s="174"/>
      <c r="V2355" s="174"/>
      <c r="W2355" s="160"/>
      <c r="X2355" s="160"/>
      <c r="Y2355" s="160"/>
      <c r="Z2355" s="160"/>
      <c r="AA2355" s="160"/>
      <c r="AB2355" s="160"/>
      <c r="AC2355" s="160"/>
      <c r="AD2355" s="160"/>
      <c r="AE2355" s="160"/>
      <c r="AF2355" s="160"/>
      <c r="AG2355" s="160"/>
      <c r="AH2355" s="160"/>
      <c r="AI2355" s="160"/>
      <c r="AJ2355" s="179"/>
      <c r="AK2355" s="160"/>
      <c r="AL2355" s="177"/>
      <c r="AM2355" s="177"/>
      <c r="AN2355" s="177"/>
      <c r="AO2355" s="160"/>
      <c r="AP2355" s="160"/>
      <c r="AQ2355" s="160"/>
      <c r="AR2355" s="160"/>
      <c r="AS2355" s="160"/>
      <c r="AT2355" s="160"/>
      <c r="AU2355" s="160"/>
      <c r="AV2355" s="160">
        <f>IF($AV$2253&gt;0,PPMT('Assumptions (Petroleum)'!$V$6,Model!W$1,'Assumptions (Petroleum)'!$V$9,'Assumptions (Petroleum)'!$V$4*Model!$AV$2253*AVERAGE('Assumptions (Petroleum)'!$AR$2:$AT$2)/10^9),0)</f>
        <v>0</v>
      </c>
      <c r="AW2355" s="160">
        <f>IF($AV$2253&gt;0,PPMT('Assumptions (Petroleum)'!$V$6,Model!X$1,'Assumptions (Petroleum)'!$V$9,'Assumptions (Petroleum)'!$V$4*Model!$AV$2253*AVERAGE('Assumptions (Petroleum)'!$AR$2:$AT$2)/10^9),0)</f>
        <v>0</v>
      </c>
      <c r="AX2355" s="160">
        <f>IF($AV$2253&gt;0,PPMT('Assumptions (Petroleum)'!$V$6,Model!Y$1,'Assumptions (Petroleum)'!$V$9,'Assumptions (Petroleum)'!$V$4*Model!$AV$2253*AVERAGE('Assumptions (Petroleum)'!$AR$2:$AT$2)/10^9),0)</f>
        <v>0</v>
      </c>
      <c r="AY2355" s="160">
        <f>IF($AV$2253&gt;0,PPMT('Assumptions (Petroleum)'!$V$6,Model!Z$1,'Assumptions (Petroleum)'!$V$9,'Assumptions (Petroleum)'!$V$4*Model!$AV$2253*AVERAGE('Assumptions (Petroleum)'!$AR$2:$AT$2)/10^9),0)</f>
        <v>0</v>
      </c>
      <c r="AZ2355" s="160">
        <f>IF($AV$2253&gt;0,PPMT('Assumptions (Petroleum)'!$V$6,Model!AA$1,'Assumptions (Petroleum)'!$V$9,'Assumptions (Petroleum)'!$V$4*Model!$AV$2253*AVERAGE('Assumptions (Petroleum)'!$AR$2:$AT$2)/10^9),0)</f>
        <v>0</v>
      </c>
      <c r="BA2355" s="160">
        <f>IF($AV$2253&gt;0,PPMT('Assumptions (Petroleum)'!$V$6,Model!AB$1,'Assumptions (Petroleum)'!$V$9,'Assumptions (Petroleum)'!$V$4*Model!$AV$2253*AVERAGE('Assumptions (Petroleum)'!$AR$2:$AT$2)/10^9),0)</f>
        <v>0</v>
      </c>
      <c r="BB2355" s="160">
        <f>IF($AV$2253&gt;0,PPMT('Assumptions (Petroleum)'!$V$6,Model!AC$1,'Assumptions (Petroleum)'!$V$9,'Assumptions (Petroleum)'!$V$4*Model!$AV$2253*AVERAGE('Assumptions (Petroleum)'!$AR$2:$AT$2)/10^9),0)</f>
        <v>0</v>
      </c>
      <c r="BC2355" s="160">
        <f>IF($AV$2253&gt;0,PPMT('Assumptions (Petroleum)'!$V$6,Model!AD$1,'Assumptions (Petroleum)'!$V$9,'Assumptions (Petroleum)'!$V$4*Model!$AV$2253*AVERAGE('Assumptions (Petroleum)'!$AR$2:$AT$2)/10^9),0)</f>
        <v>0</v>
      </c>
      <c r="BD2355" s="160">
        <f>IF($AV$2253&gt;0,PPMT('Assumptions (Petroleum)'!$V$6,Model!AE$1,'Assumptions (Petroleum)'!$V$9,'Assumptions (Petroleum)'!$V$4*Model!$AV$2253*AVERAGE('Assumptions (Petroleum)'!$AR$2:$AT$2)/10^9),0)</f>
        <v>0</v>
      </c>
      <c r="BE2355" s="160">
        <f>IF($AV$2253&gt;0,PPMT('Assumptions (Petroleum)'!$V$6,Model!AF$1,'Assumptions (Petroleum)'!$V$9,'Assumptions (Petroleum)'!$V$4*Model!$AV$2253*AVERAGE('Assumptions (Petroleum)'!$AR$2:$AT$2)/10^9),0)</f>
        <v>0</v>
      </c>
      <c r="BF2355" s="160">
        <f>IF($AV$2253&gt;0,PPMT('Assumptions (Petroleum)'!$V$6,Model!AG$1,'Assumptions (Petroleum)'!$V$9,'Assumptions (Petroleum)'!$V$4*Model!$AV$2253*AVERAGE('Assumptions (Petroleum)'!$AR$2:$AT$2)/10^9),0)</f>
        <v>0</v>
      </c>
      <c r="BG2355" s="160">
        <f>IF($AV$2253&gt;0,PPMT('Assumptions (Petroleum)'!$V$6,Model!AH$1,'Assumptions (Petroleum)'!$V$9,'Assumptions (Petroleum)'!$V$4*Model!$AV$2253*AVERAGE('Assumptions (Petroleum)'!$AR$2:$AT$2)/10^9),0)</f>
        <v>0</v>
      </c>
      <c r="BH2355" s="160">
        <f>IF($AV$2253&gt;0,PPMT('Assumptions (Petroleum)'!$V$6,Model!AI$1,'Assumptions (Petroleum)'!$V$9,'Assumptions (Petroleum)'!$V$4*Model!$AV$2253*AVERAGE('Assumptions (Petroleum)'!$AR$2:$AT$2)/10^9),0)</f>
        <v>0</v>
      </c>
      <c r="BI2355" s="160">
        <f>IF($AV$2253&gt;0,PPMT('Assumptions (Petroleum)'!$V$6,Model!AJ$1,'Assumptions (Petroleum)'!$V$9,'Assumptions (Petroleum)'!$V$4*Model!$AV$2253*AVERAGE('Assumptions (Petroleum)'!$AR$2:$AT$2)/10^9),0)</f>
        <v>0</v>
      </c>
      <c r="BJ2355" s="160">
        <f>IF($AV$2253&gt;0,PPMT('Assumptions (Petroleum)'!$V$6,Model!AK$1,'Assumptions (Petroleum)'!$V$9,'Assumptions (Petroleum)'!$V$4*Model!$AV$2253*AVERAGE('Assumptions (Petroleum)'!$AR$2:$AT$2)/10^9),0)</f>
        <v>0</v>
      </c>
      <c r="BK2355" s="160"/>
      <c r="BL2355" s="160"/>
      <c r="BM2355" s="160"/>
      <c r="BN2355" s="160"/>
      <c r="BO2355" s="160"/>
      <c r="BP2355" s="160"/>
    </row>
    <row r="2356" ht="15.75" hidden="1" customHeight="1" outlineLevel="1">
      <c r="A2356" s="328"/>
      <c r="B2356" s="38"/>
      <c r="C2356" s="174"/>
      <c r="D2356" s="174"/>
      <c r="E2356" s="174"/>
      <c r="F2356" s="174"/>
      <c r="G2356" s="174"/>
      <c r="H2356" s="174"/>
      <c r="I2356" s="174"/>
      <c r="J2356" s="174"/>
      <c r="K2356" s="174"/>
      <c r="L2356" s="174"/>
      <c r="M2356" s="174"/>
      <c r="N2356" s="174"/>
      <c r="O2356" s="174"/>
      <c r="P2356" s="174"/>
      <c r="Q2356" s="174"/>
      <c r="R2356" s="174"/>
      <c r="S2356" s="174"/>
      <c r="T2356" s="174"/>
      <c r="U2356" s="174"/>
      <c r="V2356" s="174"/>
      <c r="W2356" s="160"/>
      <c r="X2356" s="160"/>
      <c r="Y2356" s="160"/>
      <c r="Z2356" s="160"/>
      <c r="AA2356" s="160"/>
      <c r="AB2356" s="160"/>
      <c r="AC2356" s="160"/>
      <c r="AD2356" s="160"/>
      <c r="AE2356" s="160"/>
      <c r="AF2356" s="160"/>
      <c r="AG2356" s="160"/>
      <c r="AH2356" s="160"/>
      <c r="AI2356" s="160"/>
      <c r="AJ2356" s="179"/>
      <c r="AK2356" s="160"/>
      <c r="AL2356" s="177"/>
      <c r="AM2356" s="177"/>
      <c r="AN2356" s="177"/>
      <c r="AO2356" s="160"/>
      <c r="AP2356" s="160"/>
      <c r="AQ2356" s="160"/>
      <c r="AR2356" s="160"/>
      <c r="AS2356" s="160"/>
      <c r="AT2356" s="160"/>
      <c r="AU2356" s="160"/>
      <c r="AV2356" s="160"/>
      <c r="AW2356" s="160">
        <f>IF($AW$2253&gt;0,PPMT('Assumptions (Petroleum)'!$V$6,Model!W$1,'Assumptions (Petroleum)'!$V$9,'Assumptions (Petroleum)'!$V$4*Model!$AW$2253*AVERAGE('Assumptions (Petroleum)'!$AS$2:$AU$2)/10^9),0)</f>
        <v>0</v>
      </c>
      <c r="AX2356" s="160">
        <f>IF($AW$2253&gt;0,PPMT('Assumptions (Petroleum)'!$V$6,Model!X$1,'Assumptions (Petroleum)'!$V$9,'Assumptions (Petroleum)'!$V$4*Model!$AW$2253*AVERAGE('Assumptions (Petroleum)'!$AS$2:$AU$2)/10^9),0)</f>
        <v>0</v>
      </c>
      <c r="AY2356" s="160">
        <f>IF($AW$2253&gt;0,PPMT('Assumptions (Petroleum)'!$V$6,Model!Y$1,'Assumptions (Petroleum)'!$V$9,'Assumptions (Petroleum)'!$V$4*Model!$AW$2253*AVERAGE('Assumptions (Petroleum)'!$AS$2:$AU$2)/10^9),0)</f>
        <v>0</v>
      </c>
      <c r="AZ2356" s="160">
        <f>IF($AW$2253&gt;0,PPMT('Assumptions (Petroleum)'!$V$6,Model!Z$1,'Assumptions (Petroleum)'!$V$9,'Assumptions (Petroleum)'!$V$4*Model!$AW$2253*AVERAGE('Assumptions (Petroleum)'!$AS$2:$AU$2)/10^9),0)</f>
        <v>0</v>
      </c>
      <c r="BA2356" s="160">
        <f>IF($AW$2253&gt;0,PPMT('Assumptions (Petroleum)'!$V$6,Model!AA$1,'Assumptions (Petroleum)'!$V$9,'Assumptions (Petroleum)'!$V$4*Model!$AW$2253*AVERAGE('Assumptions (Petroleum)'!$AS$2:$AU$2)/10^9),0)</f>
        <v>0</v>
      </c>
      <c r="BB2356" s="160">
        <f>IF($AW$2253&gt;0,PPMT('Assumptions (Petroleum)'!$V$6,Model!AB$1,'Assumptions (Petroleum)'!$V$9,'Assumptions (Petroleum)'!$V$4*Model!$AW$2253*AVERAGE('Assumptions (Petroleum)'!$AS$2:$AU$2)/10^9),0)</f>
        <v>0</v>
      </c>
      <c r="BC2356" s="160">
        <f>IF($AW$2253&gt;0,PPMT('Assumptions (Petroleum)'!$V$6,Model!AC$1,'Assumptions (Petroleum)'!$V$9,'Assumptions (Petroleum)'!$V$4*Model!$AW$2253*AVERAGE('Assumptions (Petroleum)'!$AS$2:$AU$2)/10^9),0)</f>
        <v>0</v>
      </c>
      <c r="BD2356" s="160">
        <f>IF($AW$2253&gt;0,PPMT('Assumptions (Petroleum)'!$V$6,Model!AD$1,'Assumptions (Petroleum)'!$V$9,'Assumptions (Petroleum)'!$V$4*Model!$AW$2253*AVERAGE('Assumptions (Petroleum)'!$AS$2:$AU$2)/10^9),0)</f>
        <v>0</v>
      </c>
      <c r="BE2356" s="160">
        <f>IF($AW$2253&gt;0,PPMT('Assumptions (Petroleum)'!$V$6,Model!AE$1,'Assumptions (Petroleum)'!$V$9,'Assumptions (Petroleum)'!$V$4*Model!$AW$2253*AVERAGE('Assumptions (Petroleum)'!$AS$2:$AU$2)/10^9),0)</f>
        <v>0</v>
      </c>
      <c r="BF2356" s="160">
        <f>IF($AW$2253&gt;0,PPMT('Assumptions (Petroleum)'!$V$6,Model!AF$1,'Assumptions (Petroleum)'!$V$9,'Assumptions (Petroleum)'!$V$4*Model!$AW$2253*AVERAGE('Assumptions (Petroleum)'!$AS$2:$AU$2)/10^9),0)</f>
        <v>0</v>
      </c>
      <c r="BG2356" s="160">
        <f>IF($AW$2253&gt;0,PPMT('Assumptions (Petroleum)'!$V$6,Model!AG$1,'Assumptions (Petroleum)'!$V$9,'Assumptions (Petroleum)'!$V$4*Model!$AW$2253*AVERAGE('Assumptions (Petroleum)'!$AS$2:$AU$2)/10^9),0)</f>
        <v>0</v>
      </c>
      <c r="BH2356" s="160">
        <f>IF($AW$2253&gt;0,PPMT('Assumptions (Petroleum)'!$V$6,Model!AH$1,'Assumptions (Petroleum)'!$V$9,'Assumptions (Petroleum)'!$V$4*Model!$AW$2253*AVERAGE('Assumptions (Petroleum)'!$AS$2:$AU$2)/10^9),0)</f>
        <v>0</v>
      </c>
      <c r="BI2356" s="160">
        <f>IF($AW$2253&gt;0,PPMT('Assumptions (Petroleum)'!$V$6,Model!AI$1,'Assumptions (Petroleum)'!$V$9,'Assumptions (Petroleum)'!$V$4*Model!$AW$2253*AVERAGE('Assumptions (Petroleum)'!$AS$2:$AU$2)/10^9),0)</f>
        <v>0</v>
      </c>
      <c r="BJ2356" s="160">
        <f>IF($AW$2253&gt;0,PPMT('Assumptions (Petroleum)'!$V$6,Model!AJ$1,'Assumptions (Petroleum)'!$V$9,'Assumptions (Petroleum)'!$V$4*Model!$AW$2253*AVERAGE('Assumptions (Petroleum)'!$AS$2:$AU$2)/10^9),0)</f>
        <v>0</v>
      </c>
      <c r="BK2356" s="160">
        <f>IF($AW$2253&gt;0,PPMT('Assumptions (Petroleum)'!$V$6,Model!AK$1,'Assumptions (Petroleum)'!$V$9,'Assumptions (Petroleum)'!$V$4*Model!$AW$2253*AVERAGE('Assumptions (Petroleum)'!$AS$2:$AU$2)/10^9),0)</f>
        <v>0</v>
      </c>
      <c r="BL2356" s="160"/>
      <c r="BM2356" s="160"/>
      <c r="BN2356" s="160"/>
      <c r="BO2356" s="160"/>
      <c r="BP2356" s="160"/>
    </row>
    <row r="2357" ht="15.75" hidden="1" customHeight="1" outlineLevel="1">
      <c r="A2357" s="328"/>
      <c r="B2357" s="38"/>
      <c r="C2357" s="174"/>
      <c r="D2357" s="174"/>
      <c r="E2357" s="174"/>
      <c r="F2357" s="174"/>
      <c r="G2357" s="174"/>
      <c r="H2357" s="174"/>
      <c r="I2357" s="174"/>
      <c r="J2357" s="174"/>
      <c r="K2357" s="174"/>
      <c r="L2357" s="174"/>
      <c r="M2357" s="174"/>
      <c r="N2357" s="174"/>
      <c r="O2357" s="174"/>
      <c r="P2357" s="174"/>
      <c r="Q2357" s="174"/>
      <c r="R2357" s="174"/>
      <c r="S2357" s="174"/>
      <c r="T2357" s="174"/>
      <c r="U2357" s="174"/>
      <c r="V2357" s="174"/>
      <c r="W2357" s="160"/>
      <c r="X2357" s="160"/>
      <c r="Y2357" s="160"/>
      <c r="Z2357" s="160"/>
      <c r="AA2357" s="160"/>
      <c r="AB2357" s="160"/>
      <c r="AC2357" s="160"/>
      <c r="AD2357" s="160"/>
      <c r="AE2357" s="160"/>
      <c r="AF2357" s="160"/>
      <c r="AG2357" s="160"/>
      <c r="AH2357" s="160"/>
      <c r="AI2357" s="160"/>
      <c r="AJ2357" s="179"/>
      <c r="AK2357" s="160"/>
      <c r="AL2357" s="177"/>
      <c r="AM2357" s="177"/>
      <c r="AN2357" s="177"/>
      <c r="AO2357" s="160"/>
      <c r="AP2357" s="160"/>
      <c r="AQ2357" s="160"/>
      <c r="AR2357" s="160"/>
      <c r="AS2357" s="160"/>
      <c r="AT2357" s="160"/>
      <c r="AU2357" s="160"/>
      <c r="AV2357" s="160"/>
      <c r="AW2357" s="160"/>
      <c r="AX2357" s="160">
        <f>IF($AX$2253&gt;0,PPMT('Assumptions (Petroleum)'!$V$6,Model!W$1,'Assumptions (Petroleum)'!$V$9,'Assumptions (Petroleum)'!$V$4*Model!$AX$2253*AVERAGE('Assumptions (Petroleum)'!$AT$2:$AV$2)/10^9),0)</f>
        <v>0</v>
      </c>
      <c r="AY2357" s="160">
        <f>IF($AX$2253&gt;0,PPMT('Assumptions (Petroleum)'!$V$6,Model!X$1,'Assumptions (Petroleum)'!$V$9,'Assumptions (Petroleum)'!$V$4*Model!$AX$2253*AVERAGE('Assumptions (Petroleum)'!$AT$2:$AV$2)/10^9),0)</f>
        <v>0</v>
      </c>
      <c r="AZ2357" s="160">
        <f>IF($AX$2253&gt;0,PPMT('Assumptions (Petroleum)'!$V$6,Model!Y$1,'Assumptions (Petroleum)'!$V$9,'Assumptions (Petroleum)'!$V$4*Model!$AX$2253*AVERAGE('Assumptions (Petroleum)'!$AT$2:$AV$2)/10^9),0)</f>
        <v>0</v>
      </c>
      <c r="BA2357" s="160">
        <f>IF($AX$2253&gt;0,PPMT('Assumptions (Petroleum)'!$V$6,Model!Z$1,'Assumptions (Petroleum)'!$V$9,'Assumptions (Petroleum)'!$V$4*Model!$AX$2253*AVERAGE('Assumptions (Petroleum)'!$AT$2:$AV$2)/10^9),0)</f>
        <v>0</v>
      </c>
      <c r="BB2357" s="160">
        <f>IF($AX$2253&gt;0,PPMT('Assumptions (Petroleum)'!$V$6,Model!AA$1,'Assumptions (Petroleum)'!$V$9,'Assumptions (Petroleum)'!$V$4*Model!$AX$2253*AVERAGE('Assumptions (Petroleum)'!$AT$2:$AV$2)/10^9),0)</f>
        <v>0</v>
      </c>
      <c r="BC2357" s="160">
        <f>IF($AX$2253&gt;0,PPMT('Assumptions (Petroleum)'!$V$6,Model!AB$1,'Assumptions (Petroleum)'!$V$9,'Assumptions (Petroleum)'!$V$4*Model!$AX$2253*AVERAGE('Assumptions (Petroleum)'!$AT$2:$AV$2)/10^9),0)</f>
        <v>0</v>
      </c>
      <c r="BD2357" s="160">
        <f>IF($AX$2253&gt;0,PPMT('Assumptions (Petroleum)'!$V$6,Model!AC$1,'Assumptions (Petroleum)'!$V$9,'Assumptions (Petroleum)'!$V$4*Model!$AX$2253*AVERAGE('Assumptions (Petroleum)'!$AT$2:$AV$2)/10^9),0)</f>
        <v>0</v>
      </c>
      <c r="BE2357" s="160">
        <f>IF($AX$2253&gt;0,PPMT('Assumptions (Petroleum)'!$V$6,Model!AD$1,'Assumptions (Petroleum)'!$V$9,'Assumptions (Petroleum)'!$V$4*Model!$AX$2253*AVERAGE('Assumptions (Petroleum)'!$AT$2:$AV$2)/10^9),0)</f>
        <v>0</v>
      </c>
      <c r="BF2357" s="160">
        <f>IF($AX$2253&gt;0,PPMT('Assumptions (Petroleum)'!$V$6,Model!AE$1,'Assumptions (Petroleum)'!$V$9,'Assumptions (Petroleum)'!$V$4*Model!$AX$2253*AVERAGE('Assumptions (Petroleum)'!$AT$2:$AV$2)/10^9),0)</f>
        <v>0</v>
      </c>
      <c r="BG2357" s="160">
        <f>IF($AX$2253&gt;0,PPMT('Assumptions (Petroleum)'!$V$6,Model!AF$1,'Assumptions (Petroleum)'!$V$9,'Assumptions (Petroleum)'!$V$4*Model!$AX$2253*AVERAGE('Assumptions (Petroleum)'!$AT$2:$AV$2)/10^9),0)</f>
        <v>0</v>
      </c>
      <c r="BH2357" s="160">
        <f>IF($AX$2253&gt;0,PPMT('Assumptions (Petroleum)'!$V$6,Model!AG$1,'Assumptions (Petroleum)'!$V$9,'Assumptions (Petroleum)'!$V$4*Model!$AX$2253*AVERAGE('Assumptions (Petroleum)'!$AT$2:$AV$2)/10^9),0)</f>
        <v>0</v>
      </c>
      <c r="BI2357" s="160">
        <f>IF($AX$2253&gt;0,PPMT('Assumptions (Petroleum)'!$V$6,Model!AH$1,'Assumptions (Petroleum)'!$V$9,'Assumptions (Petroleum)'!$V$4*Model!$AX$2253*AVERAGE('Assumptions (Petroleum)'!$AT$2:$AV$2)/10^9),0)</f>
        <v>0</v>
      </c>
      <c r="BJ2357" s="160">
        <f>IF($AX$2253&gt;0,PPMT('Assumptions (Petroleum)'!$V$6,Model!AI$1,'Assumptions (Petroleum)'!$V$9,'Assumptions (Petroleum)'!$V$4*Model!$AX$2253*AVERAGE('Assumptions (Petroleum)'!$AT$2:$AV$2)/10^9),0)</f>
        <v>0</v>
      </c>
      <c r="BK2357" s="160">
        <f>IF($AX$2253&gt;0,PPMT('Assumptions (Petroleum)'!$V$6,Model!AJ$1,'Assumptions (Petroleum)'!$V$9,'Assumptions (Petroleum)'!$V$4*Model!$AX$2253*AVERAGE('Assumptions (Petroleum)'!$AT$2:$AV$2)/10^9),0)</f>
        <v>0</v>
      </c>
      <c r="BL2357" s="160">
        <f>IF($AX$2253&gt;0,PPMT('Assumptions (Petroleum)'!$V$6,Model!AK$1,'Assumptions (Petroleum)'!$V$9,'Assumptions (Petroleum)'!$V$4*Model!$AX$2253*AVERAGE('Assumptions (Petroleum)'!$AT$2:$AV$2)/10^9),0)</f>
        <v>0</v>
      </c>
      <c r="BM2357" s="160"/>
      <c r="BN2357" s="160"/>
      <c r="BO2357" s="160"/>
      <c r="BP2357" s="160"/>
    </row>
    <row r="2358" ht="15.75" hidden="1" customHeight="1" outlineLevel="1">
      <c r="A2358" s="328"/>
      <c r="B2358" s="38"/>
      <c r="C2358" s="174"/>
      <c r="D2358" s="174"/>
      <c r="E2358" s="174"/>
      <c r="F2358" s="174"/>
      <c r="G2358" s="174"/>
      <c r="H2358" s="174"/>
      <c r="I2358" s="174"/>
      <c r="J2358" s="174"/>
      <c r="K2358" s="174"/>
      <c r="L2358" s="174"/>
      <c r="M2358" s="174"/>
      <c r="N2358" s="174"/>
      <c r="O2358" s="174"/>
      <c r="P2358" s="174"/>
      <c r="Q2358" s="174"/>
      <c r="R2358" s="174"/>
      <c r="S2358" s="174"/>
      <c r="T2358" s="174"/>
      <c r="U2358" s="174"/>
      <c r="V2358" s="174"/>
      <c r="W2358" s="160"/>
      <c r="X2358" s="160"/>
      <c r="Y2358" s="160"/>
      <c r="Z2358" s="160"/>
      <c r="AA2358" s="160"/>
      <c r="AB2358" s="160"/>
      <c r="AC2358" s="160"/>
      <c r="AD2358" s="160"/>
      <c r="AE2358" s="160"/>
      <c r="AF2358" s="160"/>
      <c r="AG2358" s="160"/>
      <c r="AH2358" s="160"/>
      <c r="AI2358" s="160"/>
      <c r="AJ2358" s="179"/>
      <c r="AK2358" s="160"/>
      <c r="AL2358" s="177"/>
      <c r="AM2358" s="177"/>
      <c r="AN2358" s="177"/>
      <c r="AO2358" s="160"/>
      <c r="AP2358" s="160"/>
      <c r="AQ2358" s="160"/>
      <c r="AR2358" s="160"/>
      <c r="AS2358" s="160"/>
      <c r="AT2358" s="160"/>
      <c r="AU2358" s="160"/>
      <c r="AV2358" s="160"/>
      <c r="AW2358" s="160"/>
      <c r="AX2358" s="160"/>
      <c r="AY2358" s="160">
        <f>IF($AY$2253&gt;0,PPMT('Assumptions (Petroleum)'!$V$6,Model!W$1,'Assumptions (Petroleum)'!$V$9,'Assumptions (Petroleum)'!$V$4*Model!$AY$2253*AVERAGE('Assumptions (Petroleum)'!$AU$2:$AW$2)/10^9),0)</f>
        <v>0</v>
      </c>
      <c r="AZ2358" s="160">
        <f>IF($AY$2253&gt;0,PPMT('Assumptions (Petroleum)'!$V$6,Model!X$1,'Assumptions (Petroleum)'!$V$9,'Assumptions (Petroleum)'!$V$4*Model!$AY$2253*AVERAGE('Assumptions (Petroleum)'!$AU$2:$AW$2)/10^9),0)</f>
        <v>0</v>
      </c>
      <c r="BA2358" s="160">
        <f>IF($AY$2253&gt;0,PPMT('Assumptions (Petroleum)'!$V$6,Model!Y$1,'Assumptions (Petroleum)'!$V$9,'Assumptions (Petroleum)'!$V$4*Model!$AY$2253*AVERAGE('Assumptions (Petroleum)'!$AU$2:$AW$2)/10^9),0)</f>
        <v>0</v>
      </c>
      <c r="BB2358" s="160">
        <f>IF($AY$2253&gt;0,PPMT('Assumptions (Petroleum)'!$V$6,Model!Z$1,'Assumptions (Petroleum)'!$V$9,'Assumptions (Petroleum)'!$V$4*Model!$AY$2253*AVERAGE('Assumptions (Petroleum)'!$AU$2:$AW$2)/10^9),0)</f>
        <v>0</v>
      </c>
      <c r="BC2358" s="160">
        <f>IF($AY$2253&gt;0,PPMT('Assumptions (Petroleum)'!$V$6,Model!AA$1,'Assumptions (Petroleum)'!$V$9,'Assumptions (Petroleum)'!$V$4*Model!$AY$2253*AVERAGE('Assumptions (Petroleum)'!$AU$2:$AW$2)/10^9),0)</f>
        <v>0</v>
      </c>
      <c r="BD2358" s="160">
        <f>IF($AY$2253&gt;0,PPMT('Assumptions (Petroleum)'!$V$6,Model!AB$1,'Assumptions (Petroleum)'!$V$9,'Assumptions (Petroleum)'!$V$4*Model!$AY$2253*AVERAGE('Assumptions (Petroleum)'!$AU$2:$AW$2)/10^9),0)</f>
        <v>0</v>
      </c>
      <c r="BE2358" s="160">
        <f>IF($AY$2253&gt;0,PPMT('Assumptions (Petroleum)'!$V$6,Model!AC$1,'Assumptions (Petroleum)'!$V$9,'Assumptions (Petroleum)'!$V$4*Model!$AY$2253*AVERAGE('Assumptions (Petroleum)'!$AU$2:$AW$2)/10^9),0)</f>
        <v>0</v>
      </c>
      <c r="BF2358" s="160">
        <f>IF($AY$2253&gt;0,PPMT('Assumptions (Petroleum)'!$V$6,Model!AD$1,'Assumptions (Petroleum)'!$V$9,'Assumptions (Petroleum)'!$V$4*Model!$AY$2253*AVERAGE('Assumptions (Petroleum)'!$AU$2:$AW$2)/10^9),0)</f>
        <v>0</v>
      </c>
      <c r="BG2358" s="160">
        <f>IF($AY$2253&gt;0,PPMT('Assumptions (Petroleum)'!$V$6,Model!AE$1,'Assumptions (Petroleum)'!$V$9,'Assumptions (Petroleum)'!$V$4*Model!$AY$2253*AVERAGE('Assumptions (Petroleum)'!$AU$2:$AW$2)/10^9),0)</f>
        <v>0</v>
      </c>
      <c r="BH2358" s="160">
        <f>IF($AY$2253&gt;0,PPMT('Assumptions (Petroleum)'!$V$6,Model!AF$1,'Assumptions (Petroleum)'!$V$9,'Assumptions (Petroleum)'!$V$4*Model!$AY$2253*AVERAGE('Assumptions (Petroleum)'!$AU$2:$AW$2)/10^9),0)</f>
        <v>0</v>
      </c>
      <c r="BI2358" s="160">
        <f>IF($AY$2253&gt;0,PPMT('Assumptions (Petroleum)'!$V$6,Model!AG$1,'Assumptions (Petroleum)'!$V$9,'Assumptions (Petroleum)'!$V$4*Model!$AY$2253*AVERAGE('Assumptions (Petroleum)'!$AU$2:$AW$2)/10^9),0)</f>
        <v>0</v>
      </c>
      <c r="BJ2358" s="160">
        <f>IF($AY$2253&gt;0,PPMT('Assumptions (Petroleum)'!$V$6,Model!AH$1,'Assumptions (Petroleum)'!$V$9,'Assumptions (Petroleum)'!$V$4*Model!$AY$2253*AVERAGE('Assumptions (Petroleum)'!$AU$2:$AW$2)/10^9),0)</f>
        <v>0</v>
      </c>
      <c r="BK2358" s="160">
        <f>IF($AY$2253&gt;0,PPMT('Assumptions (Petroleum)'!$V$6,Model!AI$1,'Assumptions (Petroleum)'!$V$9,'Assumptions (Petroleum)'!$V$4*Model!$AY$2253*AVERAGE('Assumptions (Petroleum)'!$AU$2:$AW$2)/10^9),0)</f>
        <v>0</v>
      </c>
      <c r="BL2358" s="160">
        <f>IF($AY$2253&gt;0,PPMT('Assumptions (Petroleum)'!$V$6,Model!AJ$1,'Assumptions (Petroleum)'!$V$9,'Assumptions (Petroleum)'!$V$4*Model!$AY$2253*AVERAGE('Assumptions (Petroleum)'!$AU$2:$AW$2)/10^9),0)</f>
        <v>0</v>
      </c>
      <c r="BM2358" s="160">
        <f>IF($AY$2253&gt;0,PPMT('Assumptions (Petroleum)'!$V$6,Model!AK$1,'Assumptions (Petroleum)'!$V$9,'Assumptions (Petroleum)'!$V$4*Model!$AY$2253*AVERAGE('Assumptions (Petroleum)'!$AU$2:$AW$2)/10^9),0)</f>
        <v>0</v>
      </c>
      <c r="BN2358" s="160"/>
      <c r="BO2358" s="160"/>
      <c r="BP2358" s="160"/>
    </row>
    <row r="2359" ht="15.75" hidden="1" customHeight="1" outlineLevel="1">
      <c r="A2359" s="328"/>
      <c r="B2359" s="38"/>
      <c r="C2359" s="174"/>
      <c r="D2359" s="174"/>
      <c r="E2359" s="174"/>
      <c r="F2359" s="174"/>
      <c r="G2359" s="174"/>
      <c r="H2359" s="174"/>
      <c r="I2359" s="174"/>
      <c r="J2359" s="174"/>
      <c r="K2359" s="174"/>
      <c r="L2359" s="174"/>
      <c r="M2359" s="174"/>
      <c r="N2359" s="174"/>
      <c r="O2359" s="174"/>
      <c r="P2359" s="174"/>
      <c r="Q2359" s="174"/>
      <c r="R2359" s="174"/>
      <c r="S2359" s="174"/>
      <c r="T2359" s="174"/>
      <c r="U2359" s="174"/>
      <c r="V2359" s="174"/>
      <c r="W2359" s="160"/>
      <c r="X2359" s="160"/>
      <c r="Y2359" s="160"/>
      <c r="Z2359" s="160"/>
      <c r="AA2359" s="160"/>
      <c r="AB2359" s="160"/>
      <c r="AC2359" s="160"/>
      <c r="AD2359" s="160"/>
      <c r="AE2359" s="160"/>
      <c r="AF2359" s="160"/>
      <c r="AG2359" s="160"/>
      <c r="AH2359" s="160"/>
      <c r="AI2359" s="160"/>
      <c r="AJ2359" s="179"/>
      <c r="AK2359" s="160"/>
      <c r="AL2359" s="177"/>
      <c r="AM2359" s="177"/>
      <c r="AN2359" s="177"/>
      <c r="AO2359" s="160"/>
      <c r="AP2359" s="160"/>
      <c r="AQ2359" s="160"/>
      <c r="AR2359" s="160"/>
      <c r="AS2359" s="160"/>
      <c r="AT2359" s="160"/>
      <c r="AU2359" s="160"/>
      <c r="AV2359" s="160"/>
      <c r="AW2359" s="160"/>
      <c r="AX2359" s="160"/>
      <c r="AY2359" s="160"/>
      <c r="AZ2359" s="160">
        <f>IF($AZ$2253&gt;0,PPMT('Assumptions (Petroleum)'!$V$6,Model!W$1,'Assumptions (Petroleum)'!$V$9,'Assumptions (Petroleum)'!$V$4*Model!$AZ$2253*AVERAGE('Assumptions (Petroleum)'!$AV$2:$AX$2)/10^9),0)</f>
        <v>0</v>
      </c>
      <c r="BA2359" s="160">
        <f>IF($AZ$2253&gt;0,PPMT('Assumptions (Petroleum)'!$V$6,Model!X$1,'Assumptions (Petroleum)'!$V$9,'Assumptions (Petroleum)'!$V$4*Model!$AZ$2253*AVERAGE('Assumptions (Petroleum)'!$AV$2:$AX$2)/10^9),0)</f>
        <v>0</v>
      </c>
      <c r="BB2359" s="160">
        <f>IF($AZ$2253&gt;0,PPMT('Assumptions (Petroleum)'!$V$6,Model!Y$1,'Assumptions (Petroleum)'!$V$9,'Assumptions (Petroleum)'!$V$4*Model!$AZ$2253*AVERAGE('Assumptions (Petroleum)'!$AV$2:$AX$2)/10^9),0)</f>
        <v>0</v>
      </c>
      <c r="BC2359" s="160">
        <f>IF($AZ$2253&gt;0,PPMT('Assumptions (Petroleum)'!$V$6,Model!Z$1,'Assumptions (Petroleum)'!$V$9,'Assumptions (Petroleum)'!$V$4*Model!$AZ$2253*AVERAGE('Assumptions (Petroleum)'!$AV$2:$AX$2)/10^9),0)</f>
        <v>0</v>
      </c>
      <c r="BD2359" s="160">
        <f>IF($AZ$2253&gt;0,PPMT('Assumptions (Petroleum)'!$V$6,Model!AA$1,'Assumptions (Petroleum)'!$V$9,'Assumptions (Petroleum)'!$V$4*Model!$AZ$2253*AVERAGE('Assumptions (Petroleum)'!$AV$2:$AX$2)/10^9),0)</f>
        <v>0</v>
      </c>
      <c r="BE2359" s="160">
        <f>IF($AZ$2253&gt;0,PPMT('Assumptions (Petroleum)'!$V$6,Model!AB$1,'Assumptions (Petroleum)'!$V$9,'Assumptions (Petroleum)'!$V$4*Model!$AZ$2253*AVERAGE('Assumptions (Petroleum)'!$AV$2:$AX$2)/10^9),0)</f>
        <v>0</v>
      </c>
      <c r="BF2359" s="160">
        <f>IF($AZ$2253&gt;0,PPMT('Assumptions (Petroleum)'!$V$6,Model!AC$1,'Assumptions (Petroleum)'!$V$9,'Assumptions (Petroleum)'!$V$4*Model!$AZ$2253*AVERAGE('Assumptions (Petroleum)'!$AV$2:$AX$2)/10^9),0)</f>
        <v>0</v>
      </c>
      <c r="BG2359" s="160">
        <f>IF($AZ$2253&gt;0,PPMT('Assumptions (Petroleum)'!$V$6,Model!AD$1,'Assumptions (Petroleum)'!$V$9,'Assumptions (Petroleum)'!$V$4*Model!$AZ$2253*AVERAGE('Assumptions (Petroleum)'!$AV$2:$AX$2)/10^9),0)</f>
        <v>0</v>
      </c>
      <c r="BH2359" s="160">
        <f>IF($AZ$2253&gt;0,PPMT('Assumptions (Petroleum)'!$V$6,Model!AE$1,'Assumptions (Petroleum)'!$V$9,'Assumptions (Petroleum)'!$V$4*Model!$AZ$2253*AVERAGE('Assumptions (Petroleum)'!$AV$2:$AX$2)/10^9),0)</f>
        <v>0</v>
      </c>
      <c r="BI2359" s="160">
        <f>IF($AZ$2253&gt;0,PPMT('Assumptions (Petroleum)'!$V$6,Model!AF$1,'Assumptions (Petroleum)'!$V$9,'Assumptions (Petroleum)'!$V$4*Model!$AZ$2253*AVERAGE('Assumptions (Petroleum)'!$AV$2:$AX$2)/10^9),0)</f>
        <v>0</v>
      </c>
      <c r="BJ2359" s="160">
        <f>IF($AZ$2253&gt;0,PPMT('Assumptions (Petroleum)'!$V$6,Model!AG$1,'Assumptions (Petroleum)'!$V$9,'Assumptions (Petroleum)'!$V$4*Model!$AZ$2253*AVERAGE('Assumptions (Petroleum)'!$AV$2:$AX$2)/10^9),0)</f>
        <v>0</v>
      </c>
      <c r="BK2359" s="160">
        <f>IF($AZ$2253&gt;0,PPMT('Assumptions (Petroleum)'!$V$6,Model!AH$1,'Assumptions (Petroleum)'!$V$9,'Assumptions (Petroleum)'!$V$4*Model!$AZ$2253*AVERAGE('Assumptions (Petroleum)'!$AV$2:$AX$2)/10^9),0)</f>
        <v>0</v>
      </c>
      <c r="BL2359" s="160">
        <f>IF($AZ$2253&gt;0,PPMT('Assumptions (Petroleum)'!$V$6,Model!AI$1,'Assumptions (Petroleum)'!$V$9,'Assumptions (Petroleum)'!$V$4*Model!$AZ$2253*AVERAGE('Assumptions (Petroleum)'!$AV$2:$AX$2)/10^9),0)</f>
        <v>0</v>
      </c>
      <c r="BM2359" s="160">
        <f>IF($AZ$2253&gt;0,PPMT('Assumptions (Petroleum)'!$V$6,Model!AJ$1,'Assumptions (Petroleum)'!$V$9,'Assumptions (Petroleum)'!$V$4*Model!$AZ$2253*AVERAGE('Assumptions (Petroleum)'!$AV$2:$AX$2)/10^9),0)</f>
        <v>0</v>
      </c>
      <c r="BN2359" s="160">
        <f>IF($AZ$2253&gt;0,PPMT('Assumptions (Petroleum)'!$V$6,Model!AK$1,'Assumptions (Petroleum)'!$V$9,'Assumptions (Petroleum)'!$V$4*Model!$AZ$2253*AVERAGE('Assumptions (Petroleum)'!$AV$2:$AX$2)/10^9),0)</f>
        <v>0</v>
      </c>
      <c r="BO2359" s="160"/>
      <c r="BP2359" s="160"/>
    </row>
    <row r="2360" ht="15.75" hidden="1" customHeight="1" outlineLevel="1">
      <c r="A2360" s="328"/>
      <c r="B2360" s="38"/>
      <c r="C2360" s="174"/>
      <c r="D2360" s="174"/>
      <c r="E2360" s="174"/>
      <c r="F2360" s="174"/>
      <c r="G2360" s="174"/>
      <c r="H2360" s="174"/>
      <c r="I2360" s="174"/>
      <c r="J2360" s="174"/>
      <c r="K2360" s="174"/>
      <c r="L2360" s="174"/>
      <c r="M2360" s="174"/>
      <c r="N2360" s="174"/>
      <c r="O2360" s="174"/>
      <c r="P2360" s="174"/>
      <c r="Q2360" s="174"/>
      <c r="R2360" s="174"/>
      <c r="S2360" s="174"/>
      <c r="T2360" s="174"/>
      <c r="U2360" s="174"/>
      <c r="V2360" s="174"/>
      <c r="W2360" s="160"/>
      <c r="X2360" s="160"/>
      <c r="Y2360" s="160"/>
      <c r="Z2360" s="160"/>
      <c r="AA2360" s="160"/>
      <c r="AB2360" s="160"/>
      <c r="AC2360" s="160"/>
      <c r="AD2360" s="160"/>
      <c r="AE2360" s="160"/>
      <c r="AF2360" s="160"/>
      <c r="AG2360" s="160"/>
      <c r="AH2360" s="160"/>
      <c r="AI2360" s="160"/>
      <c r="AJ2360" s="179"/>
      <c r="AK2360" s="160"/>
      <c r="AL2360" s="177"/>
      <c r="AM2360" s="177"/>
      <c r="AN2360" s="177"/>
      <c r="AO2360" s="160"/>
      <c r="AP2360" s="160"/>
      <c r="AQ2360" s="160"/>
      <c r="AR2360" s="160"/>
      <c r="AS2360" s="160"/>
      <c r="AT2360" s="160"/>
      <c r="AU2360" s="160"/>
      <c r="AV2360" s="160"/>
      <c r="AW2360" s="160"/>
      <c r="AX2360" s="160"/>
      <c r="AY2360" s="160"/>
      <c r="AZ2360" s="160"/>
      <c r="BA2360" s="160">
        <f>IF($BA$2253&gt;0,PPMT('Assumptions (Petroleum)'!$V$6,Model!W$1,'Assumptions (Petroleum)'!$V$9,'Assumptions (Petroleum)'!$V$4*Model!$BA$2253*AVERAGE('Assumptions (Petroleum)'!$AW$2:$AY$2)/10^9),0)</f>
        <v>0</v>
      </c>
      <c r="BB2360" s="160">
        <f>IF($BA$2253&gt;0,PPMT('Assumptions (Petroleum)'!$V$6,Model!X$1,'Assumptions (Petroleum)'!$V$9,'Assumptions (Petroleum)'!$V$4*Model!$BA$2253*AVERAGE('Assumptions (Petroleum)'!$AW$2:$AY$2)/10^9),0)</f>
        <v>0</v>
      </c>
      <c r="BC2360" s="160">
        <f>IF($BA$2253&gt;0,PPMT('Assumptions (Petroleum)'!$V$6,Model!Y$1,'Assumptions (Petroleum)'!$V$9,'Assumptions (Petroleum)'!$V$4*Model!$BA$2253*AVERAGE('Assumptions (Petroleum)'!$AW$2:$AY$2)/10^9),0)</f>
        <v>0</v>
      </c>
      <c r="BD2360" s="160">
        <f>IF($BA$2253&gt;0,PPMT('Assumptions (Petroleum)'!$V$6,Model!Z$1,'Assumptions (Petroleum)'!$V$9,'Assumptions (Petroleum)'!$V$4*Model!$BA$2253*AVERAGE('Assumptions (Petroleum)'!$AW$2:$AY$2)/10^9),0)</f>
        <v>0</v>
      </c>
      <c r="BE2360" s="160">
        <f>IF($BA$2253&gt;0,PPMT('Assumptions (Petroleum)'!$V$6,Model!AA$1,'Assumptions (Petroleum)'!$V$9,'Assumptions (Petroleum)'!$V$4*Model!$BA$2253*AVERAGE('Assumptions (Petroleum)'!$AW$2:$AY$2)/10^9),0)</f>
        <v>0</v>
      </c>
      <c r="BF2360" s="160">
        <f>IF($BA$2253&gt;0,PPMT('Assumptions (Petroleum)'!$V$6,Model!AB$1,'Assumptions (Petroleum)'!$V$9,'Assumptions (Petroleum)'!$V$4*Model!$BA$2253*AVERAGE('Assumptions (Petroleum)'!$AW$2:$AY$2)/10^9),0)</f>
        <v>0</v>
      </c>
      <c r="BG2360" s="160">
        <f>IF($BA$2253&gt;0,PPMT('Assumptions (Petroleum)'!$V$6,Model!AC$1,'Assumptions (Petroleum)'!$V$9,'Assumptions (Petroleum)'!$V$4*Model!$BA$2253*AVERAGE('Assumptions (Petroleum)'!$AW$2:$AY$2)/10^9),0)</f>
        <v>0</v>
      </c>
      <c r="BH2360" s="160">
        <f>IF($BA$2253&gt;0,PPMT('Assumptions (Petroleum)'!$V$6,Model!AD$1,'Assumptions (Petroleum)'!$V$9,'Assumptions (Petroleum)'!$V$4*Model!$BA$2253*AVERAGE('Assumptions (Petroleum)'!$AW$2:$AY$2)/10^9),0)</f>
        <v>0</v>
      </c>
      <c r="BI2360" s="160">
        <f>IF($BA$2253&gt;0,PPMT('Assumptions (Petroleum)'!$V$6,Model!AE$1,'Assumptions (Petroleum)'!$V$9,'Assumptions (Petroleum)'!$V$4*Model!$BA$2253*AVERAGE('Assumptions (Petroleum)'!$AW$2:$AY$2)/10^9),0)</f>
        <v>0</v>
      </c>
      <c r="BJ2360" s="160">
        <f>IF($BA$2253&gt;0,PPMT('Assumptions (Petroleum)'!$V$6,Model!AF$1,'Assumptions (Petroleum)'!$V$9,'Assumptions (Petroleum)'!$V$4*Model!$BA$2253*AVERAGE('Assumptions (Petroleum)'!$AW$2:$AY$2)/10^9),0)</f>
        <v>0</v>
      </c>
      <c r="BK2360" s="160">
        <f>IF($BA$2253&gt;0,PPMT('Assumptions (Petroleum)'!$V$6,Model!AG$1,'Assumptions (Petroleum)'!$V$9,'Assumptions (Petroleum)'!$V$4*Model!$BA$2253*AVERAGE('Assumptions (Petroleum)'!$AW$2:$AY$2)/10^9),0)</f>
        <v>0</v>
      </c>
      <c r="BL2360" s="160">
        <f>IF($BA$2253&gt;0,PPMT('Assumptions (Petroleum)'!$V$6,Model!AH$1,'Assumptions (Petroleum)'!$V$9,'Assumptions (Petroleum)'!$V$4*Model!$BA$2253*AVERAGE('Assumptions (Petroleum)'!$AW$2:$AY$2)/10^9),0)</f>
        <v>0</v>
      </c>
      <c r="BM2360" s="160">
        <f>IF($BA$2253&gt;0,PPMT('Assumptions (Petroleum)'!$V$6,Model!AI$1,'Assumptions (Petroleum)'!$V$9,'Assumptions (Petroleum)'!$V$4*Model!$BA$2253*AVERAGE('Assumptions (Petroleum)'!$AW$2:$AY$2)/10^9),0)</f>
        <v>0</v>
      </c>
      <c r="BN2360" s="160">
        <f>IF($BA$2253&gt;0,PPMT('Assumptions (Petroleum)'!$V$6,Model!AJ$1,'Assumptions (Petroleum)'!$V$9,'Assumptions (Petroleum)'!$V$4*Model!$BA$2253*AVERAGE('Assumptions (Petroleum)'!$AW$2:$AY$2)/10^9),0)</f>
        <v>0</v>
      </c>
      <c r="BO2360" s="160">
        <f>IF($BA$2253&gt;0,PPMT('Assumptions (Petroleum)'!$V$6,Model!AK$1,'Assumptions (Petroleum)'!$V$9,'Assumptions (Petroleum)'!$V$4*Model!$BA$2253*AVERAGE('Assumptions (Petroleum)'!$AW$2:$AY$2)/10^9),0)</f>
        <v>0</v>
      </c>
      <c r="BP2360" s="160"/>
    </row>
    <row r="2361" ht="15.75" customHeight="1" collapsed="1">
      <c r="A2361" s="330" t="s">
        <v>360</v>
      </c>
      <c r="B2361" s="150" t="s">
        <v>351</v>
      </c>
      <c r="C2361" s="177">
        <f t="array" ref="C2361">SUM(IF(ISERROR(C2362:C2412),"",C2362:C2412))</f>
        <v>-0.002000596268</v>
      </c>
      <c r="D2361" s="177">
        <f t="array" ref="D2361">SUM(IF(ISERROR(D2362:D2412),"",D2362:D2412))</f>
        <v>-0.002438359944</v>
      </c>
      <c r="E2361" s="177">
        <f t="array" ref="E2361">SUM(IF(ISERROR(E2362:E2412),"",E2362:E2412))</f>
        <v>-0.002684058446</v>
      </c>
      <c r="F2361" s="177">
        <f t="array" ref="F2361">SUM(IF(ISERROR(F2362:F2412),"",F2362:F2412))</f>
        <v>-0.003010199083</v>
      </c>
      <c r="G2361" s="177">
        <f t="array" ref="G2361">SUM(IF(ISERROR(G2362:G2412),"",G2362:G2412))</f>
        <v>-0.003165208617</v>
      </c>
      <c r="H2361" s="177">
        <f t="array" ref="H2361">SUM(IF(ISERROR(H2362:H2412),"",H2362:H2412))</f>
        <v>-0.003344804562</v>
      </c>
      <c r="I2361" s="177">
        <f t="array" ref="I2361">SUM(IF(ISERROR(I2362:I2412),"",I2362:I2412))</f>
        <v>-0.003594324806</v>
      </c>
      <c r="J2361" s="177">
        <f t="array" ref="J2361">SUM(IF(ISERROR(J2362:J2412),"",J2362:J2412))</f>
        <v>-0.003815770771</v>
      </c>
      <c r="K2361" s="177">
        <f t="array" ref="K2361">SUM(IF(ISERROR(K2362:K2412),"",K2362:K2412))</f>
        <v>-0.003733276037</v>
      </c>
      <c r="L2361" s="177">
        <f t="array" ref="L2361">SUM(IF(ISERROR(L2362:L2412),"",L2362:L2412))</f>
        <v>-0.003440139196</v>
      </c>
      <c r="M2361" s="177">
        <f t="array" ref="M2361">SUM(IF(ISERROR(M2362:M2412),"",M2362:M2412))</f>
        <v>-0.003102243453</v>
      </c>
      <c r="N2361" s="177">
        <f t="array" ref="N2361">SUM(IF(ISERROR(N2362:N2412),"",N2362:N2412))</f>
        <v>-0.002984941557</v>
      </c>
      <c r="O2361" s="177">
        <f t="array" ref="O2361">SUM(IF(ISERROR(O2362:O2412),"",O2362:O2412))</f>
        <v>-0.002685757917</v>
      </c>
      <c r="P2361" s="177">
        <f t="array" ref="P2361">SUM(IF(ISERROR(P2362:P2412),"",P2362:P2412))</f>
        <v>-0.002748294812</v>
      </c>
      <c r="Q2361" s="177">
        <f t="array" ref="Q2361">SUM(IF(ISERROR(Q2362:Q2412),"",Q2362:Q2412))</f>
        <v>-0.002331785438</v>
      </c>
      <c r="R2361" s="177">
        <f t="array" ref="R2361">SUM(IF(ISERROR(R2362:R2412),"",R2362:R2412))</f>
        <v>-0.001881152369</v>
      </c>
      <c r="S2361" s="177">
        <f t="array" ref="S2361">SUM(IF(ISERROR(S2362:S2412),"",S2362:S2412))</f>
        <v>-0.001579926471</v>
      </c>
      <c r="T2361" s="177">
        <f t="array" ref="T2361">SUM(IF(ISERROR(T2362:T2412),"",T2362:T2412))</f>
        <v>-0.001314806161</v>
      </c>
      <c r="U2361" s="177">
        <f t="array" ref="U2361">SUM(IF(ISERROR(U2362:U2412),"",U2362:U2412))</f>
        <v>-0.001072119467</v>
      </c>
      <c r="V2361" s="177">
        <f t="array" ref="V2361">SUM(IF(ISERROR(V2362:V2412),"",V2362:V2412))</f>
        <v>-0.0008627638767</v>
      </c>
      <c r="W2361" s="177">
        <f t="array" ref="W2361">SUM(IF(ISERROR(W2362:W2412),"",W2362:W2412))</f>
        <v>-0.000674894566</v>
      </c>
      <c r="X2361" s="177">
        <f t="array" ref="X2361">SUM(IF(ISERROR(X2362:X2412),"",X2362:X2412))</f>
        <v>-0.0005141407067</v>
      </c>
      <c r="Y2361" s="177">
        <f t="array" ref="Y2361">SUM(IF(ISERROR(Y2362:Y2412),"",Y2362:Y2412))</f>
        <v>-0.0003910192221</v>
      </c>
      <c r="Z2361" s="177">
        <f t="array" ref="Z2361">SUM(IF(ISERROR(Z2362:Z2412),"",Z2362:Z2412))</f>
        <v>-0.0003078236212</v>
      </c>
      <c r="AA2361" s="177">
        <f t="array" ref="AA2361">SUM(IF(ISERROR(AA2362:AA2412),"",AA2362:AA2412))</f>
        <v>-0.0002410002137</v>
      </c>
      <c r="AB2361" s="177">
        <f t="array" ref="AB2361">SUM(IF(ISERROR(AB2362:AB2412),"",AB2362:AB2412))</f>
        <v>-0.0001736706952</v>
      </c>
      <c r="AC2361" s="177">
        <f t="array" ref="AC2361">SUM(IF(ISERROR(AC2362:AC2412),"",AC2362:AC2412))</f>
        <v>-0.0001031430247</v>
      </c>
      <c r="AD2361" s="177">
        <f t="array" ref="AD2361">SUM(IF(ISERROR(AD2362:AD2412),"",AD2362:AD2412))</f>
        <v>-0.00005168046789</v>
      </c>
      <c r="AE2361" s="177">
        <f t="array" ref="AE2361">SUM(IF(ISERROR(AE2362:AE2412),"",AE2362:AE2412))</f>
        <v>-0.000005611534831</v>
      </c>
      <c r="AF2361" s="177">
        <f t="array" ref="AF2361">SUM(IF(ISERROR(AF2362:AF2412),"",AF2362:AF2412))</f>
        <v>-0.00000154353846</v>
      </c>
      <c r="AG2361" s="177">
        <f t="array" ref="AG2361">SUM(IF(ISERROR(AG2362:AG2412),"",AG2362:AG2412))</f>
        <v>0</v>
      </c>
      <c r="AH2361" s="177">
        <f t="array" ref="AH2361">SUM(IF(ISERROR(AH2362:AH2412),"",AH2362:AH2412))</f>
        <v>0</v>
      </c>
      <c r="AI2361" s="177">
        <f t="array" ref="AI2361">SUM(IF(ISERROR(AI2362:AI2412),"",AI2362:AI2412))</f>
        <v>0</v>
      </c>
      <c r="AJ2361" s="177">
        <f t="array" ref="AJ2361">SUM(IF(ISERROR(AJ2362:AJ2412),"",AJ2362:AJ2412))</f>
        <v>0</v>
      </c>
      <c r="AK2361" s="177">
        <f t="array" ref="AK2361">SUM(IF(ISERROR(AK2362:AK2412),"",AK2362:AK2412))</f>
        <v>0</v>
      </c>
      <c r="AL2361" s="177">
        <f t="array" ref="AL2361">SUM(IF(ISERROR(AL2362:AL2412),"",AL2362:AL2412))</f>
        <v>0</v>
      </c>
      <c r="AM2361" s="177">
        <f t="array" ref="AM2361">SUM(IF(ISERROR(AM2362:AM2412),"",AM2362:AM2412))</f>
        <v>0</v>
      </c>
      <c r="AN2361" s="177">
        <f t="array" ref="AN2361">SUM(IF(ISERROR(AN2362:AN2412),"",AN2362:AN2412))</f>
        <v>0</v>
      </c>
      <c r="AO2361" s="177">
        <f t="array" ref="AO2361">SUM(IF(ISERROR(AO2362:AO2412),"",AO2362:AO2412))</f>
        <v>0</v>
      </c>
      <c r="AP2361" s="177">
        <f t="array" ref="AP2361">SUM(IF(ISERROR(AP2362:AP2412),"",AP2362:AP2412))</f>
        <v>0</v>
      </c>
      <c r="AQ2361" s="177">
        <f t="array" ref="AQ2361">SUM(IF(ISERROR(AQ2362:AQ2412),"",AQ2362:AQ2412))</f>
        <v>0</v>
      </c>
      <c r="AR2361" s="177">
        <f t="array" ref="AR2361">SUM(IF(ISERROR(AR2362:AR2412),"",AR2362:AR2412))</f>
        <v>0</v>
      </c>
      <c r="AS2361" s="177">
        <f t="array" ref="AS2361">SUM(IF(ISERROR(AS2362:AS2412),"",AS2362:AS2412))</f>
        <v>0</v>
      </c>
      <c r="AT2361" s="177">
        <f t="array" ref="AT2361">SUM(IF(ISERROR(AT2362:AT2412),"",AT2362:AT2412))</f>
        <v>0</v>
      </c>
      <c r="AU2361" s="177">
        <f t="array" ref="AU2361">SUM(IF(ISERROR(AU2362:AU2412),"",AU2362:AU2412))</f>
        <v>0</v>
      </c>
      <c r="AV2361" s="177">
        <f t="array" ref="AV2361">SUM(IF(ISERROR(AV2362:AV2412),"",AV2362:AV2412))</f>
        <v>0</v>
      </c>
      <c r="AW2361" s="177">
        <f t="array" ref="AW2361">SUM(IF(ISERROR(AW2362:AW2412),"",AW2362:AW2412))</f>
        <v>0</v>
      </c>
      <c r="AX2361" s="177">
        <f t="array" ref="AX2361">SUM(IF(ISERROR(AX2362:AX2412),"",AX2362:AX2412))</f>
        <v>0</v>
      </c>
      <c r="AY2361" s="177">
        <f t="array" ref="AY2361">SUM(IF(ISERROR(AY2362:AY2412),"",AY2362:AY2412))</f>
        <v>0</v>
      </c>
      <c r="AZ2361" s="177">
        <f t="array" ref="AZ2361">SUM(IF(ISERROR(AZ2362:AZ2412),"",AZ2362:AZ2412))</f>
        <v>0</v>
      </c>
      <c r="BA2361" s="177">
        <f t="array" ref="BA2361">SUM(IF(ISERROR(BA2362:BA2412),"",BA2362:BA2412))</f>
        <v>0</v>
      </c>
      <c r="BB2361" s="177">
        <f t="array" ref="BB2361">SUM(IF(ISERROR(BB2362:BB2412),"",BB2362:BB2412))</f>
        <v>0</v>
      </c>
      <c r="BC2361" s="177">
        <f t="array" ref="BC2361">SUM(IF(ISERROR(BC2362:BC2412),"",BC2362:BC2412))</f>
        <v>0</v>
      </c>
      <c r="BD2361" s="177">
        <f t="array" ref="BD2361">SUM(IF(ISERROR(BD2362:BD2412),"",BD2362:BD2412))</f>
        <v>0</v>
      </c>
      <c r="BE2361" s="177">
        <f t="array" ref="BE2361">SUM(IF(ISERROR(BE2362:BE2412),"",BE2362:BE2412))</f>
        <v>0</v>
      </c>
      <c r="BF2361" s="177">
        <f t="array" ref="BF2361">SUM(IF(ISERROR(BF2362:BF2412),"",BF2362:BF2412))</f>
        <v>0</v>
      </c>
      <c r="BG2361" s="177">
        <f t="array" ref="BG2361">SUM(IF(ISERROR(BG2362:BG2412),"",BG2362:BG2412))</f>
        <v>0</v>
      </c>
      <c r="BH2361" s="177">
        <f t="array" ref="BH2361">SUM(IF(ISERROR(BH2362:BH2412),"",BH2362:BH2412))</f>
        <v>0</v>
      </c>
      <c r="BI2361" s="177">
        <f t="array" ref="BI2361">SUM(IF(ISERROR(BI2362:BI2412),"",BI2362:BI2412))</f>
        <v>0</v>
      </c>
      <c r="BJ2361" s="177">
        <f t="array" ref="BJ2361">SUM(IF(ISERROR(BJ2362:BJ2412),"",BJ2362:BJ2412))</f>
        <v>0</v>
      </c>
      <c r="BK2361" s="177">
        <f t="array" ref="BK2361">SUM(IF(ISERROR(BK2362:BK2412),"",BK2362:BK2412))</f>
        <v>0</v>
      </c>
      <c r="BL2361" s="177">
        <f t="array" ref="BL2361">SUM(IF(ISERROR(BL2362:BL2412),"",BL2362:BL2412))</f>
        <v>0</v>
      </c>
      <c r="BM2361" s="177">
        <f t="array" ref="BM2361">SUM(IF(ISERROR(BM2362:BM2412),"",BM2362:BM2412))</f>
        <v>0</v>
      </c>
      <c r="BN2361" s="177">
        <f t="array" ref="BN2361">SUM(IF(ISERROR(BN2362:BN2412),"",BN2362:BN2412))</f>
        <v>0</v>
      </c>
      <c r="BO2361" s="177">
        <f t="array" ref="BO2361">SUM(IF(ISERROR(BO2362:BO2412),"",BO2362:BO2412))</f>
        <v>0</v>
      </c>
    </row>
    <row r="2362" ht="15.75" hidden="1" customHeight="1" outlineLevel="1">
      <c r="A2362" s="328"/>
      <c r="B2362" s="38"/>
      <c r="C2362" s="177">
        <f>IF($C$2253&gt;0,IPMT('Assumptions (Petroleum)'!$V$6,Model!W$1,'Assumptions (Petroleum)'!$V$9,'Assumptions (Petroleum)'!$V$4*Model!$C$2253*'Assumptions (Petroleum)'!$B$2/10^9),0)</f>
        <v>-0.002000596268</v>
      </c>
      <c r="D2362" s="177">
        <f>IF($C$2253&gt;0,IPMT('Assumptions (Petroleum)'!$V$6,Model!X$1,'Assumptions (Petroleum)'!$V$9,'Assumptions (Petroleum)'!$V$4*Model!$C$2253*'Assumptions (Petroleum)'!$B$2/10^9),0)</f>
        <v>-0.001906125843</v>
      </c>
      <c r="E2362" s="177">
        <f>IF($C$2253&gt;0,IPMT('Assumptions (Petroleum)'!$V$6,Model!Y$1,'Assumptions (Petroleum)'!$V$9,'Assumptions (Petroleum)'!$V$4*Model!$C$2253*'Assumptions (Petroleum)'!$B$2/10^9),0)</f>
        <v>-0.001807168072</v>
      </c>
      <c r="F2362" s="177">
        <f>IF($C$2253&gt;0,IPMT('Assumptions (Petroleum)'!$V$6,Model!Z$1,'Assumptions (Petroleum)'!$V$9,'Assumptions (Petroleum)'!$V$4*Model!$C$2253*'Assumptions (Petroleum)'!$B$2/10^9),0)</f>
        <v>-0.001703509808</v>
      </c>
      <c r="G2362" s="177">
        <f>IF($C$2253&gt;0,IPMT('Assumptions (Petroleum)'!$V$6,Model!AA$1,'Assumptions (Petroleum)'!$V$9,'Assumptions (Petroleum)'!$V$4*Model!$C$2253*'Assumptions (Petroleum)'!$B$2/10^9),0)</f>
        <v>-0.001594927776</v>
      </c>
      <c r="H2362" s="177">
        <f>IF($C$2253&gt;0,IPMT('Assumptions (Petroleum)'!$V$6,Model!AB$1,'Assumptions (Petroleum)'!$V$9,'Assumptions (Petroleum)'!$V$4*Model!$C$2253*'Assumptions (Petroleum)'!$B$2/10^9),0)</f>
        <v>-0.001481188097</v>
      </c>
      <c r="I2362" s="177">
        <f>IF($C$2253&gt;0,IPMT('Assumptions (Petroleum)'!$V$6,Model!AC$1,'Assumptions (Petroleum)'!$V$9,'Assumptions (Petroleum)'!$V$4*Model!$C$2253*'Assumptions (Petroleum)'!$B$2/10^9),0)</f>
        <v>-0.001362045784</v>
      </c>
      <c r="J2362" s="177">
        <f>IF($C$2253&gt;0,IPMT('Assumptions (Petroleum)'!$V$6,Model!AD$1,'Assumptions (Petroleum)'!$V$9,'Assumptions (Petroleum)'!$V$4*Model!$C$2253*'Assumptions (Petroleum)'!$B$2/10^9),0)</f>
        <v>-0.00123724421</v>
      </c>
      <c r="K2362" s="177">
        <f>IF($C$2253&gt;0,IPMT('Assumptions (Petroleum)'!$V$6,Model!AE$1,'Assumptions (Petroleum)'!$V$9,'Assumptions (Petroleum)'!$V$4*Model!$C$2253*'Assumptions (Petroleum)'!$B$2/10^9),0)</f>
        <v>-0.001106514562</v>
      </c>
      <c r="L2362" s="177">
        <f>IF($C$2253&gt;0,IPMT('Assumptions (Petroleum)'!$V$6,Model!AF$1,'Assumptions (Petroleum)'!$V$9,'Assumptions (Petroleum)'!$V$4*Model!$C$2253*'Assumptions (Petroleum)'!$B$2/10^9),0)</f>
        <v>-0.000969575256</v>
      </c>
      <c r="M2362" s="177">
        <f>IF($C$2253&gt;0,IPMT('Assumptions (Petroleum)'!$V$6,Model!AG$1,'Assumptions (Petroleum)'!$V$9,'Assumptions (Petroleum)'!$V$4*Model!$C$2253*'Assumptions (Petroleum)'!$B$2/10^9),0)</f>
        <v>-0.0008261313326</v>
      </c>
      <c r="N2362" s="177">
        <f>IF($C$2253&gt;0,IPMT('Assumptions (Petroleum)'!$V$6,Model!AH$1,'Assumptions (Petroleum)'!$V$9,'Assumptions (Petroleum)'!$V$4*Model!$C$2253*'Assumptions (Petroleum)'!$B$2/10^9),0)</f>
        <v>-0.0006758738229</v>
      </c>
      <c r="O2362" s="177">
        <f>IF($C$2253&gt;0,IPMT('Assumptions (Petroleum)'!$V$6,Model!AI$1,'Assumptions (Petroleum)'!$V$9,'Assumptions (Petroleum)'!$V$4*Model!$C$2253*'Assumptions (Petroleum)'!$B$2/10^9),0)</f>
        <v>-0.0005184790814</v>
      </c>
      <c r="P2362" s="177">
        <f>IF($C$2253&gt;0,IPMT('Assumptions (Petroleum)'!$V$6,Model!AJ$1,'Assumptions (Petroleum)'!$V$9,'Assumptions (Petroleum)'!$V$4*Model!$C$2253*'Assumptions (Petroleum)'!$B$2/10^9),0)</f>
        <v>-0.0003536080898</v>
      </c>
      <c r="Q2362" s="177">
        <f>IF($C$2253&gt;0,IPMT('Assumptions (Petroleum)'!$V$6,Model!AK$1,'Assumptions (Petroleum)'!$V$9,'Assumptions (Petroleum)'!$V$4*Model!$C$2253*'Assumptions (Petroleum)'!$B$2/10^9),0)</f>
        <v>-0.000180905726</v>
      </c>
      <c r="R2362" s="177"/>
      <c r="S2362" s="177"/>
      <c r="T2362" s="177"/>
      <c r="U2362" s="177"/>
      <c r="V2362" s="177"/>
      <c r="W2362" s="177"/>
      <c r="X2362" s="177"/>
      <c r="Y2362" s="177"/>
      <c r="Z2362" s="177"/>
      <c r="AA2362" s="177"/>
      <c r="AB2362" s="160"/>
      <c r="AC2362" s="160"/>
      <c r="AD2362" s="160"/>
      <c r="AE2362" s="160"/>
      <c r="AF2362" s="160"/>
      <c r="AG2362" s="160"/>
    </row>
    <row r="2363" ht="15.75" hidden="1" customHeight="1" outlineLevel="1">
      <c r="A2363" s="328"/>
      <c r="B2363" s="38"/>
      <c r="C2363" s="160"/>
      <c r="D2363" s="177">
        <f>IF($D$2253&gt;0,IPMT('Assumptions (Petroleum)'!$V$6,Model!W$1,'Assumptions (Petroleum)'!$V$9,'Assumptions (Petroleum)'!$V$4*Model!$D$2253*'Assumptions (Petroleum)'!$B$2/10^9),0)</f>
        <v>-0.0005322341015</v>
      </c>
      <c r="E2363" s="177">
        <f>IF($D$2253&gt;0,IPMT('Assumptions (Petroleum)'!$V$6,Model!X$1,'Assumptions (Petroleum)'!$V$9,'Assumptions (Petroleum)'!$V$4*Model!$D$2253*'Assumptions (Petroleum)'!$B$2/10^9),0)</f>
        <v>-0.0005071014035</v>
      </c>
      <c r="F2363" s="177">
        <f>IF($D$2253&gt;0,IPMT('Assumptions (Petroleum)'!$V$6,Model!Y$1,'Assumptions (Petroleum)'!$V$9,'Assumptions (Petroleum)'!$V$4*Model!$D$2253*'Assumptions (Petroleum)'!$B$2/10^9),0)</f>
        <v>-0.0004807749023</v>
      </c>
      <c r="G2363" s="177">
        <f>IF($D$2253&gt;0,IPMT('Assumptions (Petroleum)'!$V$6,Model!Z$1,'Assumptions (Petroleum)'!$V$9,'Assumptions (Petroleum)'!$V$4*Model!$D$2253*'Assumptions (Petroleum)'!$B$2/10^9),0)</f>
        <v>-0.0004531978923</v>
      </c>
      <c r="H2363" s="177">
        <f>IF($D$2253&gt;0,IPMT('Assumptions (Petroleum)'!$V$6,Model!AA$1,'Assumptions (Petroleum)'!$V$9,'Assumptions (Petroleum)'!$V$4*Model!$D$2253*'Assumptions (Petroleum)'!$B$2/10^9),0)</f>
        <v>-0.0004243109743</v>
      </c>
      <c r="I2363" s="177">
        <f>IF($D$2253&gt;0,IPMT('Assumptions (Petroleum)'!$V$6,Model!AB$1,'Assumptions (Petroleum)'!$V$9,'Assumptions (Petroleum)'!$V$4*Model!$D$2253*'Assumptions (Petroleum)'!$B$2/10^9),0)</f>
        <v>-0.0003940519277</v>
      </c>
      <c r="J2363" s="177">
        <f>IF($D$2253&gt;0,IPMT('Assumptions (Petroleum)'!$V$6,Model!AC$1,'Assumptions (Petroleum)'!$V$9,'Assumptions (Petroleum)'!$V$4*Model!$D$2253*'Assumptions (Petroleum)'!$B$2/10^9),0)</f>
        <v>-0.0003623555764</v>
      </c>
      <c r="K2363" s="177">
        <f>IF($D$2253&gt;0,IPMT('Assumptions (Petroleum)'!$V$6,Model!AD$1,'Assumptions (Petroleum)'!$V$9,'Assumptions (Petroleum)'!$V$4*Model!$D$2253*'Assumptions (Petroleum)'!$B$2/10^9),0)</f>
        <v>-0.0003291536484</v>
      </c>
      <c r="L2363" s="177">
        <f>IF($D$2253&gt;0,IPMT('Assumptions (Petroleum)'!$V$6,Model!AE$1,'Assumptions (Petroleum)'!$V$9,'Assumptions (Petroleum)'!$V$4*Model!$D$2253*'Assumptions (Petroleum)'!$B$2/10^9),0)</f>
        <v>-0.0002943746288</v>
      </c>
      <c r="M2363" s="177">
        <f>IF($D$2253&gt;0,IPMT('Assumptions (Petroleum)'!$V$6,Model!AF$1,'Assumptions (Petroleum)'!$V$9,'Assumptions (Petroleum)'!$V$4*Model!$D$2253*'Assumptions (Petroleum)'!$B$2/10^9),0)</f>
        <v>-0.0002579436058</v>
      </c>
      <c r="N2363" s="177">
        <f>IF($D$2253&gt;0,IPMT('Assumptions (Petroleum)'!$V$6,Model!AG$1,'Assumptions (Petroleum)'!$V$9,'Assumptions (Petroleum)'!$V$4*Model!$D$2253*'Assumptions (Petroleum)'!$B$2/10^9),0)</f>
        <v>-0.0002197821092</v>
      </c>
      <c r="O2363" s="177">
        <f>IF($D$2253&gt;0,IPMT('Assumptions (Petroleum)'!$V$6,Model!AH$1,'Assumptions (Petroleum)'!$V$9,'Assumptions (Petroleum)'!$V$4*Model!$D$2253*'Assumptions (Petroleum)'!$B$2/10^9),0)</f>
        <v>-0.0001798079416</v>
      </c>
      <c r="P2363" s="177">
        <f>IF($D$2253&gt;0,IPMT('Assumptions (Petroleum)'!$V$6,Model!AI$1,'Assumptions (Petroleum)'!$V$9,'Assumptions (Petroleum)'!$V$4*Model!$D$2253*'Assumptions (Petroleum)'!$B$2/10^9),0)</f>
        <v>-0.0001379350009</v>
      </c>
      <c r="Q2363" s="177">
        <f>IF($D$2253&gt;0,IPMT('Assumptions (Petroleum)'!$V$6,Model!AJ$1,'Assumptions (Petroleum)'!$V$9,'Assumptions (Petroleum)'!$V$4*Model!$D$2253*'Assumptions (Petroleum)'!$B$2/10^9),0)</f>
        <v>-0.00009407309558</v>
      </c>
      <c r="R2363" s="177">
        <f>IF($D$2253&gt;0,IPMT('Assumptions (Petroleum)'!$V$6,Model!AK$1,'Assumptions (Petroleum)'!$V$9,'Assumptions (Petroleum)'!$V$4*Model!$D$2253*'Assumptions (Petroleum)'!$B$2/10^9),0)</f>
        <v>-0.00004812774976</v>
      </c>
      <c r="S2363" s="177"/>
      <c r="T2363" s="177"/>
      <c r="U2363" s="177"/>
      <c r="V2363" s="177"/>
      <c r="W2363" s="177"/>
      <c r="X2363" s="177"/>
      <c r="Y2363" s="177"/>
      <c r="Z2363" s="177"/>
      <c r="AA2363" s="177"/>
      <c r="AB2363" s="177"/>
      <c r="AC2363" s="160"/>
      <c r="AD2363" s="160"/>
      <c r="AE2363" s="160"/>
      <c r="AF2363" s="160"/>
      <c r="AG2363" s="160"/>
    </row>
    <row r="2364" ht="15.75" hidden="1" customHeight="1" outlineLevel="1">
      <c r="A2364" s="328"/>
      <c r="B2364" s="38"/>
      <c r="C2364" s="160"/>
      <c r="D2364" s="160"/>
      <c r="E2364" s="160">
        <f>IF($E$2253&gt;0,IPMT('Assumptions (Petroleum)'!$V$6,Model!W$1,'Assumptions (Petroleum)'!$V$9,'Assumptions (Petroleum)'!$V$4*Model!$E$2253*AVERAGE('Assumptions (Petroleum)'!$B$2:$C$2)/10^9),0)</f>
        <v>-0.0003697889705</v>
      </c>
      <c r="F2364" s="160">
        <f>IF($E$2253&gt;0,IPMT('Assumptions (Petroleum)'!$V$6,Model!X$1,'Assumptions (Petroleum)'!$V$9,'Assumptions (Petroleum)'!$V$4*Model!$E$2253*AVERAGE('Assumptions (Petroleum)'!$B$2:$C$2)/10^9),0)</f>
        <v>-0.0003523271158</v>
      </c>
      <c r="G2364" s="160">
        <f>IF($E$2253&gt;0,IPMT('Assumptions (Petroleum)'!$V$6,Model!Y$1,'Assumptions (Petroleum)'!$V$9,'Assumptions (Petroleum)'!$V$4*Model!$E$2253*AVERAGE('Assumptions (Petroleum)'!$B$2:$C$2)/10^9),0)</f>
        <v>-0.000334035823</v>
      </c>
      <c r="H2364" s="160">
        <f>IF($E$2253&gt;0,IPMT('Assumptions (Petroleum)'!$V$6,Model!Z$1,'Assumptions (Petroleum)'!$V$9,'Assumptions (Petroleum)'!$V$4*Model!$E$2253*AVERAGE('Assumptions (Petroleum)'!$B$2:$C$2)/10^9),0)</f>
        <v>-0.0003148756939</v>
      </c>
      <c r="I2364" s="160">
        <f>IF($E$2253&gt;0,IPMT('Assumptions (Petroleum)'!$V$6,Model!AA$1,'Assumptions (Petroleum)'!$V$9,'Assumptions (Petroleum)'!$V$4*Model!$E$2253*AVERAGE('Assumptions (Petroleum)'!$B$2:$C$2)/10^9),0)</f>
        <v>-0.0002948054585</v>
      </c>
      <c r="J2364" s="160">
        <f>IF($E$2253&gt;0,IPMT('Assumptions (Petroleum)'!$V$6,Model!AB$1,'Assumptions (Petroleum)'!$V$9,'Assumptions (Petroleum)'!$V$4*Model!$E$2253*AVERAGE('Assumptions (Petroleum)'!$B$2:$C$2)/10^9),0)</f>
        <v>-0.000273781887</v>
      </c>
      <c r="K2364" s="160">
        <f>IF($E$2253&gt;0,IPMT('Assumptions (Petroleum)'!$V$6,Model!AC$1,'Assumptions (Petroleum)'!$V$9,'Assumptions (Petroleum)'!$V$4*Model!$E$2253*AVERAGE('Assumptions (Petroleum)'!$B$2:$C$2)/10^9),0)</f>
        <v>-0.0002517596959</v>
      </c>
      <c r="L2364" s="160">
        <f>IF($E$2253&gt;0,IPMT('Assumptions (Petroleum)'!$V$6,Model!AD$1,'Assumptions (Petroleum)'!$V$9,'Assumptions (Petroleum)'!$V$4*Model!$E$2253*AVERAGE('Assumptions (Petroleum)'!$B$2:$C$2)/10^9),0)</f>
        <v>-0.0002286914507</v>
      </c>
      <c r="M2364" s="160">
        <f>IF($E$2253&gt;0,IPMT('Assumptions (Petroleum)'!$V$6,Model!AE$1,'Assumptions (Petroleum)'!$V$9,'Assumptions (Petroleum)'!$V$4*Model!$E$2253*AVERAGE('Assumptions (Petroleum)'!$B$2:$C$2)/10^9),0)</f>
        <v>-0.0002045274638</v>
      </c>
      <c r="N2364" s="177">
        <f>IF($E$2253&gt;0,IPMT('Assumptions (Petroleum)'!$V$6,Model!AF$1,'Assumptions (Petroleum)'!$V$9,'Assumptions (Petroleum)'!$V$4*Model!$E$2253*AVERAGE('Assumptions (Petroleum)'!$B$2:$C$2)/10^9),0)</f>
        <v>-0.0001792156876</v>
      </c>
      <c r="O2364" s="160">
        <f>IF($E$2253&gt;0,IPMT('Assumptions (Petroleum)'!$V$6,Model!AG$1,'Assumptions (Petroleum)'!$V$9,'Assumptions (Petroleum)'!$V$4*Model!$E$2253*AVERAGE('Assumptions (Petroleum)'!$B$2:$C$2)/10^9),0)</f>
        <v>-0.0001527016019</v>
      </c>
      <c r="P2364" s="160">
        <f>IF($E$2253&gt;0,IPMT('Assumptions (Petroleum)'!$V$6,Model!AH$1,'Assumptions (Petroleum)'!$V$9,'Assumptions (Petroleum)'!$V$4*Model!$E$2253*AVERAGE('Assumptions (Petroleum)'!$B$2:$C$2)/10^9),0)</f>
        <v>-0.0001249280972</v>
      </c>
      <c r="Q2364" s="160">
        <f>IF($E$2253&gt;0,IPMT('Assumptions (Petroleum)'!$V$6,Model!AI$1,'Assumptions (Petroleum)'!$V$9,'Assumptions (Petroleum)'!$V$4*Model!$E$2253*AVERAGE('Assumptions (Petroleum)'!$B$2:$C$2)/10^9),0)</f>
        <v>-0.00009583535109</v>
      </c>
      <c r="R2364" s="160">
        <f>IF($E$2253&gt;0,IPMT('Assumptions (Petroleum)'!$V$6,Model!AJ$1,'Assumptions (Petroleum)'!$V$9,'Assumptions (Petroleum)'!$V$4*Model!$E$2253*AVERAGE('Assumptions (Petroleum)'!$B$2:$C$2)/10^9),0)</f>
        <v>-0.00006536069949</v>
      </c>
      <c r="S2364" s="160">
        <f>IF($E$2253&gt;0,IPMT('Assumptions (Petroleum)'!$V$6,Model!AK$1,'Assumptions (Petroleum)'!$V$9,'Assumptions (Petroleum)'!$V$4*Model!$E$2253*AVERAGE('Assumptions (Petroleum)'!$B$2:$C$2)/10^9),0)</f>
        <v>-0.00003343850194</v>
      </c>
      <c r="T2364" s="160"/>
      <c r="U2364" s="160"/>
      <c r="V2364" s="160"/>
      <c r="W2364" s="160"/>
      <c r="X2364" s="160"/>
      <c r="Y2364" s="160"/>
      <c r="Z2364" s="160"/>
      <c r="AA2364" s="160"/>
      <c r="AB2364" s="160"/>
      <c r="AC2364" s="160"/>
      <c r="AD2364" s="160"/>
      <c r="AE2364" s="160"/>
      <c r="AF2364" s="160"/>
      <c r="AG2364" s="160"/>
    </row>
    <row r="2365" ht="15.75" hidden="1" customHeight="1" outlineLevel="1">
      <c r="A2365" s="328"/>
      <c r="B2365" s="38"/>
      <c r="C2365" s="160"/>
      <c r="D2365" s="160"/>
      <c r="E2365" s="160"/>
      <c r="F2365" s="160">
        <f>IF($F$2253&gt;0,IPMT('Assumptions (Petroleum)'!$V$6,Model!W$1,'Assumptions (Petroleum)'!$V$9,'Assumptions (Petroleum)'!$V$4*Model!$F$2253*AVERAGE('Assumptions (Petroleum)'!$B$2:$D$2)/10^9),0)</f>
        <v>-0.0004735872569</v>
      </c>
      <c r="G2365" s="160">
        <f>IF($F$2253&gt;0,IPMT('Assumptions (Petroleum)'!$V$6,Model!X$1,'Assumptions (Petroleum)'!$V$9,'Assumptions (Petroleum)'!$V$4*Model!$F$2253*AVERAGE('Assumptions (Petroleum)'!$B$2:$D$2)/10^9),0)</f>
        <v>-0.0004512239293</v>
      </c>
      <c r="H2365" s="160">
        <f>IF($F$2253&gt;0,IPMT('Assumptions (Petroleum)'!$V$6,Model!Y$1,'Assumptions (Petroleum)'!$V$9,'Assumptions (Petroleum)'!$V$4*Model!$F$2253*AVERAGE('Assumptions (Petroleum)'!$B$2:$D$2)/10^9),0)</f>
        <v>-0.0004277983438</v>
      </c>
      <c r="I2365" s="160">
        <f>IF($F$2253&gt;0,IPMT('Assumptions (Petroleum)'!$V$6,Model!Z$1,'Assumptions (Petroleum)'!$V$9,'Assumptions (Petroleum)'!$V$4*Model!$F$2253*AVERAGE('Assumptions (Petroleum)'!$B$2:$D$2)/10^9),0)</f>
        <v>-0.0004032600429</v>
      </c>
      <c r="J2365" s="160">
        <f>IF($F$2253&gt;0,IPMT('Assumptions (Petroleum)'!$V$6,Model!AA$1,'Assumptions (Petroleum)'!$V$9,'Assumptions (Petroleum)'!$V$4*Model!$F$2253*AVERAGE('Assumptions (Petroleum)'!$B$2:$D$2)/10^9),0)</f>
        <v>-0.0003775561727</v>
      </c>
      <c r="K2365" s="160">
        <f>IF($F$2253&gt;0,IPMT('Assumptions (Petroleum)'!$V$6,Model!AB$1,'Assumptions (Petroleum)'!$V$9,'Assumptions (Petroleum)'!$V$4*Model!$F$2253*AVERAGE('Assumptions (Petroleum)'!$B$2:$D$2)/10^9),0)</f>
        <v>-0.0003506313687</v>
      </c>
      <c r="L2365" s="160">
        <f>IF($F$2253&gt;0,IPMT('Assumptions (Petroleum)'!$V$6,Model!AC$1,'Assumptions (Petroleum)'!$V$9,'Assumptions (Petroleum)'!$V$4*Model!$F$2253*AVERAGE('Assumptions (Petroleum)'!$B$2:$D$2)/10^9),0)</f>
        <v>-0.0003224276365</v>
      </c>
      <c r="M2365" s="160">
        <f>IF($F$2253&gt;0,IPMT('Assumptions (Petroleum)'!$V$6,Model!AD$1,'Assumptions (Petroleum)'!$V$9,'Assumptions (Petroleum)'!$V$4*Model!$F$2253*AVERAGE('Assumptions (Petroleum)'!$B$2:$D$2)/10^9),0)</f>
        <v>-0.000292884227</v>
      </c>
      <c r="N2365" s="177">
        <f>IF($F$2253&gt;0,IPMT('Assumptions (Petroleum)'!$V$6,Model!AE$1,'Assumptions (Petroleum)'!$V$9,'Assumptions (Petroleum)'!$V$4*Model!$F$2253*AVERAGE('Assumptions (Petroleum)'!$B$2:$D$2)/10^9),0)</f>
        <v>-0.0002619375056</v>
      </c>
      <c r="O2365" s="160">
        <f>IF($F$2253&gt;0,IPMT('Assumptions (Petroleum)'!$V$6,Model!AF$1,'Assumptions (Petroleum)'!$V$9,'Assumptions (Petroleum)'!$V$4*Model!$F$2253*AVERAGE('Assumptions (Petroleum)'!$B$2:$D$2)/10^9),0)</f>
        <v>-0.0002295208149</v>
      </c>
      <c r="P2365" s="160">
        <f>IF($F$2253&gt;0,IPMT('Assumptions (Petroleum)'!$V$6,Model!AG$1,'Assumptions (Petroleum)'!$V$9,'Assumptions (Petroleum)'!$V$4*Model!$F$2253*AVERAGE('Assumptions (Petroleum)'!$B$2:$D$2)/10^9),0)</f>
        <v>-0.0001955643314</v>
      </c>
      <c r="Q2365" s="160">
        <f>IF($F$2253&gt;0,IPMT('Assumptions (Petroleum)'!$V$6,Model!AH$1,'Assumptions (Petroleum)'!$V$9,'Assumptions (Petroleum)'!$V$4*Model!$F$2253*AVERAGE('Assumptions (Petroleum)'!$B$2:$D$2)/10^9),0)</f>
        <v>-0.0001599949149</v>
      </c>
      <c r="R2365" s="160">
        <f>IF($F$2253&gt;0,IPMT('Assumptions (Petroleum)'!$V$6,Model!AI$1,'Assumptions (Petroleum)'!$V$9,'Assumptions (Petroleum)'!$V$4*Model!$F$2253*AVERAGE('Assumptions (Petroleum)'!$B$2:$D$2)/10^9),0)</f>
        <v>-0.0001227359512</v>
      </c>
      <c r="S2365" s="160">
        <f>IF($F$2253&gt;0,IPMT('Assumptions (Petroleum)'!$V$6,Model!AJ$1,'Assumptions (Petroleum)'!$V$9,'Assumptions (Petroleum)'!$V$4*Model!$F$2253*AVERAGE('Assumptions (Petroleum)'!$B$2:$D$2)/10^9),0)</f>
        <v>-0.00008370718666</v>
      </c>
      <c r="T2365" s="160">
        <f>IF($F$2253&gt;0,IPMT('Assumptions (Petroleum)'!$V$6,Model!AK$1,'Assumptions (Petroleum)'!$V$9,'Assumptions (Petroleum)'!$V$4*Model!$F$2253*AVERAGE('Assumptions (Petroleum)'!$B$2:$D$2)/10^9),0)</f>
        <v>-0.00004282455581</v>
      </c>
      <c r="U2365" s="160"/>
      <c r="V2365" s="160"/>
      <c r="W2365" s="160"/>
      <c r="X2365" s="160"/>
      <c r="Y2365" s="160"/>
      <c r="Z2365" s="160"/>
      <c r="AA2365" s="160"/>
      <c r="AB2365" s="160"/>
      <c r="AC2365" s="160"/>
      <c r="AD2365" s="160"/>
      <c r="AE2365" s="160"/>
      <c r="AF2365" s="160"/>
      <c r="AG2365" s="160"/>
    </row>
    <row r="2366" ht="15.75" hidden="1" customHeight="1" outlineLevel="1">
      <c r="A2366" s="328"/>
      <c r="B2366" s="38"/>
      <c r="C2366" s="160"/>
      <c r="D2366" s="160"/>
      <c r="E2366" s="160"/>
      <c r="F2366" s="160"/>
      <c r="G2366" s="160">
        <f>IF($G$2253&gt;0,IPMT('Assumptions (Petroleum)'!$V$6,Model!W$1,'Assumptions (Petroleum)'!$V$9,'Assumptions (Petroleum)'!$V$4*Model!$G$2253*AVERAGE('Assumptions (Petroleum)'!$C$2:$E$2)/10^9),0)</f>
        <v>-0.0003318231971</v>
      </c>
      <c r="H2366" s="160">
        <f>IF($G$2253&gt;0,IPMT('Assumptions (Petroleum)'!$V$6,Model!X$1,'Assumptions (Petroleum)'!$V$9,'Assumptions (Petroleum)'!$V$4*Model!$G$2253*AVERAGE('Assumptions (Petroleum)'!$C$2:$E$2)/10^9),0)</f>
        <v>-0.0003161541293</v>
      </c>
      <c r="I2366" s="160">
        <f>IF($G$2253&gt;0,IPMT('Assumptions (Petroleum)'!$V$6,Model!Y$1,'Assumptions (Petroleum)'!$V$9,'Assumptions (Petroleum)'!$V$4*Model!$G$2253*AVERAGE('Assumptions (Petroleum)'!$C$2:$E$2)/10^9),0)</f>
        <v>-0.0002997407808</v>
      </c>
      <c r="J2366" s="160">
        <f>IF($G$2253&gt;0,IPMT('Assumptions (Petroleum)'!$V$6,Model!Z$1,'Assumptions (Petroleum)'!$V$9,'Assumptions (Petroleum)'!$V$4*Model!$G$2253*AVERAGE('Assumptions (Petroleum)'!$C$2:$E$2)/10^9),0)</f>
        <v>-0.0002825477983</v>
      </c>
      <c r="K2366" s="160">
        <f>IF($G$2253&gt;0,IPMT('Assumptions (Petroleum)'!$V$6,Model!AA$1,'Assumptions (Petroleum)'!$V$9,'Assumptions (Petroleum)'!$V$4*Model!$G$2253*AVERAGE('Assumptions (Petroleum)'!$C$2:$E$2)/10^9),0)</f>
        <v>-0.000264538149</v>
      </c>
      <c r="L2366" s="160">
        <f>IF($G$2253&gt;0,IPMT('Assumptions (Petroleum)'!$V$6,Model!AB$1,'Assumptions (Petroleum)'!$V$9,'Assumptions (Petroleum)'!$V$4*Model!$G$2253*AVERAGE('Assumptions (Petroleum)'!$C$2:$E$2)/10^9),0)</f>
        <v>-0.0002456730414</v>
      </c>
      <c r="M2366" s="160">
        <f>IF($G$2253&gt;0,IPMT('Assumptions (Petroleum)'!$V$6,Model!AC$1,'Assumptions (Petroleum)'!$V$9,'Assumptions (Petroleum)'!$V$4*Model!$G$2253*AVERAGE('Assumptions (Petroleum)'!$C$2:$E$2)/10^9),0)</f>
        <v>-0.0002259118413</v>
      </c>
      <c r="N2366" s="160">
        <f>IF($G$2253&gt;0,IPMT('Assumptions (Petroleum)'!$V$6,Model!AD$1,'Assumptions (Petroleum)'!$V$9,'Assumptions (Petroleum)'!$V$4*Model!$G$2253*AVERAGE('Assumptions (Petroleum)'!$C$2:$E$2)/10^9),0)</f>
        <v>-0.0002052119841</v>
      </c>
      <c r="O2366" s="160">
        <f>IF($G$2253&gt;0,IPMT('Assumptions (Petroleum)'!$V$6,Model!AE$1,'Assumptions (Petroleum)'!$V$9,'Assumptions (Petroleum)'!$V$4*Model!$G$2253*AVERAGE('Assumptions (Petroleum)'!$C$2:$E$2)/10^9),0)</f>
        <v>-0.0001835288836</v>
      </c>
      <c r="P2366" s="160">
        <f>IF($G$2253&gt;0,IPMT('Assumptions (Petroleum)'!$V$6,Model!AF$1,'Assumptions (Petroleum)'!$V$9,'Assumptions (Petroleum)'!$V$4*Model!$G$2253*AVERAGE('Assumptions (Petroleum)'!$C$2:$E$2)/10^9),0)</f>
        <v>-0.000160815836</v>
      </c>
      <c r="Q2366" s="160">
        <f>IF($G$2253&gt;0,IPMT('Assumptions (Petroleum)'!$V$6,Model!AG$1,'Assumptions (Petroleum)'!$V$9,'Assumptions (Petroleum)'!$V$4*Model!$G$2253*AVERAGE('Assumptions (Petroleum)'!$C$2:$E$2)/10^9),0)</f>
        <v>-0.0001370239185</v>
      </c>
      <c r="R2366" s="160">
        <f>IF($G$2253&gt;0,IPMT('Assumptions (Petroleum)'!$V$6,Model!AH$1,'Assumptions (Petroleum)'!$V$9,'Assumptions (Petroleum)'!$V$4*Model!$G$2253*AVERAGE('Assumptions (Petroleum)'!$C$2:$E$2)/10^9),0)</f>
        <v>-0.000112101885</v>
      </c>
      <c r="S2366" s="160">
        <f>IF($G$2253&gt;0,IPMT('Assumptions (Petroleum)'!$V$6,Model!AI$1,'Assumptions (Petroleum)'!$V$9,'Assumptions (Petroleum)'!$V$4*Model!$G$2253*AVERAGE('Assumptions (Petroleum)'!$C$2:$E$2)/10^9),0)</f>
        <v>-0.00008599605487</v>
      </c>
      <c r="T2366" s="160">
        <f>IF($G$2253&gt;0,IPMT('Assumptions (Petroleum)'!$V$6,Model!AJ$1,'Assumptions (Petroleum)'!$V$9,'Assumptions (Petroleum)'!$V$4*Model!$G$2253*AVERAGE('Assumptions (Petroleum)'!$C$2:$E$2)/10^9),0)</f>
        <v>-0.00005865019782</v>
      </c>
      <c r="U2366" s="160">
        <f>IF($G$2253&gt;0,IPMT('Assumptions (Petroleum)'!$V$6,Model!AK$1,'Assumptions (Petroleum)'!$V$9,'Assumptions (Petroleum)'!$V$4*Model!$G$2253*AVERAGE('Assumptions (Petroleum)'!$C$2:$E$2)/10^9),0)</f>
        <v>-0.00003000541256</v>
      </c>
      <c r="V2366" s="160"/>
      <c r="W2366" s="160"/>
      <c r="X2366" s="160"/>
      <c r="Y2366" s="160"/>
      <c r="Z2366" s="160"/>
      <c r="AA2366" s="160"/>
      <c r="AB2366" s="160"/>
      <c r="AC2366" s="160"/>
      <c r="AD2366" s="160"/>
      <c r="AE2366" s="160"/>
      <c r="AF2366" s="160"/>
      <c r="AG2366" s="160"/>
    </row>
    <row r="2367" ht="15.75" hidden="1" customHeight="1" outlineLevel="1">
      <c r="A2367" s="328"/>
      <c r="B2367" s="38"/>
      <c r="C2367" s="160"/>
      <c r="D2367" s="160"/>
      <c r="E2367" s="160"/>
      <c r="F2367" s="160"/>
      <c r="G2367" s="160"/>
      <c r="H2367" s="160">
        <f>IF($H$2253&gt;0,IPMT('Assumptions (Petroleum)'!$V$6,Model!W$1,'Assumptions (Petroleum)'!$V$9,'Assumptions (Petroleum)'!$V$4*Model!$H$2253*AVERAGE('Assumptions (Petroleum)'!$D$2:$F$2)/10^9),0)</f>
        <v>-0.0003804773234</v>
      </c>
      <c r="I2367" s="160">
        <f>IF($H$2253&gt;0,IPMT('Assumptions (Petroleum)'!$V$6,Model!X$1,'Assumptions (Petroleum)'!$V$9,'Assumptions (Petroleum)'!$V$4*Model!$H$2253*AVERAGE('Assumptions (Petroleum)'!$D$2:$F$2)/10^9),0)</f>
        <v>-0.0003625107526</v>
      </c>
      <c r="J2367" s="160">
        <f>IF($H$2253&gt;0,IPMT('Assumptions (Petroleum)'!$V$6,Model!Y$1,'Assumptions (Petroleum)'!$V$9,'Assumptions (Petroleum)'!$V$4*Model!$H$2253*AVERAGE('Assumptions (Petroleum)'!$D$2:$F$2)/10^9),0)</f>
        <v>-0.0003436907696</v>
      </c>
      <c r="K2367" s="160">
        <f>IF($H$2253&gt;0,IPMT('Assumptions (Petroleum)'!$V$6,Model!Z$1,'Assumptions (Petroleum)'!$V$9,'Assumptions (Petroleum)'!$V$4*Model!$H$2253*AVERAGE('Assumptions (Petroleum)'!$D$2:$F$2)/10^9),0)</f>
        <v>-0.0003239768375</v>
      </c>
      <c r="L2367" s="160">
        <f>IF($H$2253&gt;0,IPMT('Assumptions (Petroleum)'!$V$6,Model!AA$1,'Assumptions (Petroleum)'!$V$9,'Assumptions (Petroleum)'!$V$4*Model!$H$2253*AVERAGE('Assumptions (Petroleum)'!$D$2:$F$2)/10^9),0)</f>
        <v>-0.0003033264936</v>
      </c>
      <c r="M2367" s="160">
        <f>IF($H$2253&gt;0,IPMT('Assumptions (Petroleum)'!$V$6,Model!AB$1,'Assumptions (Petroleum)'!$V$9,'Assumptions (Petroleum)'!$V$4*Model!$H$2253*AVERAGE('Assumptions (Petroleum)'!$D$2:$F$2)/10^9),0)</f>
        <v>-0.0002816952583</v>
      </c>
      <c r="N2367" s="160">
        <f>IF($H$2253&gt;0,IPMT('Assumptions (Petroleum)'!$V$6,Model!AC$1,'Assumptions (Petroleum)'!$V$9,'Assumptions (Petroleum)'!$V$4*Model!$H$2253*AVERAGE('Assumptions (Petroleum)'!$D$2:$F$2)/10^9),0)</f>
        <v>-0.0002590365394</v>
      </c>
      <c r="O2367" s="160">
        <f>IF($H$2253&gt;0,IPMT('Assumptions (Petroleum)'!$V$6,Model!AD$1,'Assumptions (Petroleum)'!$V$9,'Assumptions (Petroleum)'!$V$4*Model!$H$2253*AVERAGE('Assumptions (Petroleum)'!$D$2:$F$2)/10^9),0)</f>
        <v>-0.0002353015313</v>
      </c>
      <c r="P2367" s="160">
        <f>IF($H$2253&gt;0,IPMT('Assumptions (Petroleum)'!$V$6,Model!AE$1,'Assumptions (Petroleum)'!$V$9,'Assumptions (Petroleum)'!$V$4*Model!$H$2253*AVERAGE('Assumptions (Petroleum)'!$D$2:$F$2)/10^9),0)</f>
        <v>-0.0002104391104</v>
      </c>
      <c r="Q2367" s="160">
        <f>IF($H$2253&gt;0,IPMT('Assumptions (Petroleum)'!$V$6,Model!AF$1,'Assumptions (Petroleum)'!$V$9,'Assumptions (Petroleum)'!$V$4*Model!$H$2253*AVERAGE('Assumptions (Petroleum)'!$D$2:$F$2)/10^9),0)</f>
        <v>-0.0001843957244</v>
      </c>
      <c r="R2367" s="160">
        <f>IF($H$2253&gt;0,IPMT('Assumptions (Petroleum)'!$V$6,Model!AG$1,'Assumptions (Petroleum)'!$V$9,'Assumptions (Petroleum)'!$V$4*Model!$H$2253*AVERAGE('Assumptions (Petroleum)'!$D$2:$F$2)/10^9),0)</f>
        <v>-0.0001571152777</v>
      </c>
      <c r="S2367" s="160">
        <f>IF($H$2253&gt;0,IPMT('Assumptions (Petroleum)'!$V$6,Model!AH$1,'Assumptions (Petroleum)'!$V$9,'Assumptions (Petroleum)'!$V$4*Model!$H$2253*AVERAGE('Assumptions (Petroleum)'!$D$2:$F$2)/10^9),0)</f>
        <v>-0.0001285390097</v>
      </c>
      <c r="T2367" s="160">
        <f>IF($H$2253&gt;0,IPMT('Assumptions (Petroleum)'!$V$6,Model!AI$1,'Assumptions (Petroleum)'!$V$9,'Assumptions (Petroleum)'!$V$4*Model!$H$2253*AVERAGE('Assumptions (Petroleum)'!$D$2:$F$2)/10^9),0)</f>
        <v>-0.00009860536895</v>
      </c>
      <c r="U2367" s="160">
        <f>IF($H$2253&gt;0,IPMT('Assumptions (Petroleum)'!$V$6,Model!AJ$1,'Assumptions (Petroleum)'!$V$9,'Assumptions (Petroleum)'!$V$4*Model!$H$2253*AVERAGE('Assumptions (Petroleum)'!$D$2:$F$2)/10^9),0)</f>
        <v>-0.00006724988028</v>
      </c>
      <c r="V2367" s="160">
        <f>IF($H$2253&gt;0,IPMT('Assumptions (Petroleum)'!$V$6,Model!AK$1,'Assumptions (Petroleum)'!$V$9,'Assumptions (Petroleum)'!$V$4*Model!$H$2253*AVERAGE('Assumptions (Petroleum)'!$D$2:$F$2)/10^9),0)</f>
        <v>-0.00003440500591</v>
      </c>
      <c r="W2367" s="160"/>
      <c r="X2367" s="160"/>
      <c r="Y2367" s="160"/>
      <c r="Z2367" s="160"/>
      <c r="AA2367" s="160"/>
      <c r="AB2367" s="160"/>
      <c r="AC2367" s="160"/>
      <c r="AD2367" s="160"/>
      <c r="AE2367" s="160"/>
      <c r="AF2367" s="160"/>
      <c r="AG2367" s="160"/>
    </row>
    <row r="2368" ht="15.75" hidden="1" customHeight="1" outlineLevel="1">
      <c r="A2368" s="328"/>
      <c r="B2368" s="38"/>
      <c r="C2368" s="160"/>
      <c r="D2368" s="160"/>
      <c r="E2368" s="160"/>
      <c r="F2368" s="160"/>
      <c r="G2368" s="160"/>
      <c r="H2368" s="160"/>
      <c r="I2368" s="160">
        <f>IF($I$2253&gt;0,IPMT('Assumptions (Petroleum)'!$V$6,Model!W$1,'Assumptions (Petroleum)'!$V$9,'Assumptions (Petroleum)'!$V$4*Model!$I$2253*AVERAGE('Assumptions (Petroleum)'!$E$2:$G$2)/10^9),0)</f>
        <v>-0.0004779100596</v>
      </c>
      <c r="J2368" s="160">
        <f>IF($I$2253&gt;0,IPMT('Assumptions (Petroleum)'!$V$6,Model!X$1,'Assumptions (Petroleum)'!$V$9,'Assumptions (Petroleum)'!$V$4*Model!$I$2253*AVERAGE('Assumptions (Petroleum)'!$E$2:$G$2)/10^9),0)</f>
        <v>-0.0004553426044</v>
      </c>
      <c r="K2368" s="160">
        <f>IF($I$2253&gt;0,IPMT('Assumptions (Petroleum)'!$V$6,Model!Y$1,'Assumptions (Petroleum)'!$V$9,'Assumptions (Petroleum)'!$V$4*Model!$I$2253*AVERAGE('Assumptions (Petroleum)'!$E$2:$G$2)/10^9),0)</f>
        <v>-0.0004317031951</v>
      </c>
      <c r="L2368" s="160">
        <f>IF($I$2253&gt;0,IPMT('Assumptions (Petroleum)'!$V$6,Model!Z$1,'Assumptions (Petroleum)'!$V$9,'Assumptions (Petroleum)'!$V$4*Model!$I$2253*AVERAGE('Assumptions (Petroleum)'!$E$2:$G$2)/10^9),0)</f>
        <v>-0.0004069409139</v>
      </c>
      <c r="M2368" s="160">
        <f>IF($I$2253&gt;0,IPMT('Assumptions (Petroleum)'!$V$6,Model!AA$1,'Assumptions (Petroleum)'!$V$9,'Assumptions (Petroleum)'!$V$4*Model!$I$2253*AVERAGE('Assumptions (Petroleum)'!$E$2:$G$2)/10^9),0)</f>
        <v>-0.0003810024243</v>
      </c>
      <c r="N2368" s="160">
        <f>IF($I$2253&gt;0,IPMT('Assumptions (Petroleum)'!$V$6,Model!AB$1,'Assumptions (Petroleum)'!$V$9,'Assumptions (Petroleum)'!$V$4*Model!$I$2253*AVERAGE('Assumptions (Petroleum)'!$E$2:$G$2)/10^9),0)</f>
        <v>-0.0003538318565</v>
      </c>
      <c r="O2368" s="160">
        <f>IF($I$2253&gt;0,IPMT('Assumptions (Petroleum)'!$V$6,Model!AC$1,'Assumptions (Petroleum)'!$V$9,'Assumptions (Petroleum)'!$V$4*Model!$I$2253*AVERAGE('Assumptions (Petroleum)'!$E$2:$G$2)/10^9),0)</f>
        <v>-0.0003253706867</v>
      </c>
      <c r="P2368" s="160">
        <f>IF($I$2253&gt;0,IPMT('Assumptions (Petroleum)'!$V$6,Model!AD$1,'Assumptions (Petroleum)'!$V$9,'Assumptions (Petroleum)'!$V$4*Model!$I$2253*AVERAGE('Assumptions (Petroleum)'!$E$2:$G$2)/10^9),0)</f>
        <v>-0.0002955576113</v>
      </c>
      <c r="Q2368" s="160">
        <f>IF($I$2253&gt;0,IPMT('Assumptions (Petroleum)'!$V$6,Model!AE$1,'Assumptions (Petroleum)'!$V$9,'Assumptions (Petroleum)'!$V$4*Model!$I$2253*AVERAGE('Assumptions (Petroleum)'!$E$2:$G$2)/10^9),0)</f>
        <v>-0.0002643284149</v>
      </c>
      <c r="R2368" s="160">
        <f>IF($I$2253&gt;0,IPMT('Assumptions (Petroleum)'!$V$6,Model!AF$1,'Assumptions (Petroleum)'!$V$9,'Assumptions (Petroleum)'!$V$4*Model!$I$2253*AVERAGE('Assumptions (Petroleum)'!$E$2:$G$2)/10^9),0)</f>
        <v>-0.0002316158316</v>
      </c>
      <c r="S2368" s="160">
        <f>IF($I$2253&gt;0,IPMT('Assumptions (Petroleum)'!$V$6,Model!AG$1,'Assumptions (Petroleum)'!$V$9,'Assumptions (Petroleum)'!$V$4*Model!$I$2253*AVERAGE('Assumptions (Petroleum)'!$E$2:$G$2)/10^9),0)</f>
        <v>-0.0001973494006</v>
      </c>
      <c r="T2368" s="160">
        <f>IF($I$2253&gt;0,IPMT('Assumptions (Petroleum)'!$V$6,Model!AH$1,'Assumptions (Petroleum)'!$V$9,'Assumptions (Petroleum)'!$V$4*Model!$I$2253*AVERAGE('Assumptions (Petroleum)'!$E$2:$G$2)/10^9),0)</f>
        <v>-0.0001614553141</v>
      </c>
      <c r="U2368" s="160">
        <f>IF($I$2253&gt;0,IPMT('Assumptions (Petroleum)'!$V$6,Model!AI$1,'Assumptions (Petroleum)'!$V$9,'Assumptions (Petroleum)'!$V$4*Model!$I$2253*AVERAGE('Assumptions (Petroleum)'!$E$2:$G$2)/10^9),0)</f>
        <v>-0.0001238562586</v>
      </c>
      <c r="V2368" s="160">
        <f>IF($I$2253&gt;0,IPMT('Assumptions (Petroleum)'!$V$6,Model!AJ$1,'Assumptions (Petroleum)'!$V$9,'Assumptions (Petroleum)'!$V$4*Model!$I$2253*AVERAGE('Assumptions (Petroleum)'!$E$2:$G$2)/10^9),0)</f>
        <v>-0.00008447124787</v>
      </c>
      <c r="W2368" s="160">
        <f>IF($I$2253&gt;0,IPMT('Assumptions (Petroleum)'!$V$6,Model!AK$1,'Assumptions (Petroleum)'!$V$9,'Assumptions (Petroleum)'!$V$4*Model!$I$2253*AVERAGE('Assumptions (Petroleum)'!$E$2:$G$2)/10^9),0)</f>
        <v>-0.00004321544915</v>
      </c>
      <c r="X2368" s="160"/>
      <c r="Y2368" s="160"/>
      <c r="Z2368" s="160"/>
      <c r="AA2368" s="160"/>
      <c r="AB2368" s="160"/>
      <c r="AC2368" s="160"/>
      <c r="AD2368" s="160"/>
      <c r="AE2368" s="160"/>
      <c r="AF2368" s="160"/>
      <c r="AG2368" s="160"/>
    </row>
    <row r="2369" ht="15.75" hidden="1" customHeight="1" outlineLevel="1">
      <c r="A2369" s="328"/>
      <c r="B2369" s="38"/>
      <c r="C2369" s="160"/>
      <c r="D2369" s="160"/>
      <c r="E2369" s="160"/>
      <c r="F2369" s="160"/>
      <c r="G2369" s="160"/>
      <c r="H2369" s="160"/>
      <c r="I2369" s="160"/>
      <c r="J2369" s="160">
        <f>IF($J$2253&gt;0,IPMT('Assumptions (Petroleum)'!$V$6,Model!W$1,'Assumptions (Petroleum)'!$V$9,'Assumptions (Petroleum)'!$V$4*Model!$J$2253*AVERAGE('Assumptions (Petroleum)'!$F$2:$H$2)/10^9),0)</f>
        <v>-0.0004832517524</v>
      </c>
      <c r="K2369" s="160">
        <f>IF($J$2253&gt;0,IPMT('Assumptions (Petroleum)'!$V$6,Model!X$1,'Assumptions (Petroleum)'!$V$9,'Assumptions (Petroleum)'!$V$4*Model!$J$2253*AVERAGE('Assumptions (Petroleum)'!$F$2:$H$2)/10^9),0)</f>
        <v>-0.0004604320564</v>
      </c>
      <c r="L2369" s="160">
        <f>IF($J$2253&gt;0,IPMT('Assumptions (Petroleum)'!$V$6,Model!Y$1,'Assumptions (Petroleum)'!$V$9,'Assumptions (Petroleum)'!$V$4*Model!$J$2253*AVERAGE('Assumptions (Petroleum)'!$F$2:$H$2)/10^9),0)</f>
        <v>-0.0004365284249</v>
      </c>
      <c r="M2369" s="160">
        <f>IF($J$2253&gt;0,IPMT('Assumptions (Petroleum)'!$V$6,Model!Z$1,'Assumptions (Petroleum)'!$V$9,'Assumptions (Petroleum)'!$V$4*Model!$J$2253*AVERAGE('Assumptions (Petroleum)'!$F$2:$H$2)/10^9),0)</f>
        <v>-0.0004114893709</v>
      </c>
      <c r="N2369" s="160">
        <f>IF($J$2253&gt;0,IPMT('Assumptions (Petroleum)'!$V$6,Model!AA$1,'Assumptions (Petroleum)'!$V$9,'Assumptions (Petroleum)'!$V$4*Model!$J$2253*AVERAGE('Assumptions (Petroleum)'!$F$2:$H$2)/10^9),0)</f>
        <v>-0.0003852609618</v>
      </c>
      <c r="O2369" s="160">
        <f>IF($J$2253&gt;0,IPMT('Assumptions (Petroleum)'!$V$6,Model!AB$1,'Assumptions (Petroleum)'!$V$9,'Assumptions (Petroleum)'!$V$4*Model!$J$2253*AVERAGE('Assumptions (Petroleum)'!$F$2:$H$2)/10^9),0)</f>
        <v>-0.0003577867033</v>
      </c>
      <c r="P2369" s="160">
        <f>IF($J$2253&gt;0,IPMT('Assumptions (Petroleum)'!$V$6,Model!AC$1,'Assumptions (Petroleum)'!$V$9,'Assumptions (Petroleum)'!$V$4*Model!$J$2253*AVERAGE('Assumptions (Petroleum)'!$F$2:$H$2)/10^9),0)</f>
        <v>-0.0003290074175</v>
      </c>
      <c r="Q2369" s="160">
        <f>IF($J$2253&gt;0,IPMT('Assumptions (Petroleum)'!$V$6,Model!AD$1,'Assumptions (Petroleum)'!$V$9,'Assumptions (Petroleum)'!$V$4*Model!$J$2253*AVERAGE('Assumptions (Petroleum)'!$F$2:$H$2)/10^9),0)</f>
        <v>-0.0002988611157</v>
      </c>
      <c r="R2369" s="160">
        <f>IF($J$2253&gt;0,IPMT('Assumptions (Petroleum)'!$V$6,Model!AE$1,'Assumptions (Petroleum)'!$V$9,'Assumptions (Petroleum)'!$V$4*Model!$J$2253*AVERAGE('Assumptions (Petroleum)'!$F$2:$H$2)/10^9),0)</f>
        <v>-0.0002672828645</v>
      </c>
      <c r="S2369" s="160">
        <f>IF($J$2253&gt;0,IPMT('Assumptions (Petroleum)'!$V$6,Model!AF$1,'Assumptions (Petroleum)'!$V$9,'Assumptions (Petroleum)'!$V$4*Model!$J$2253*AVERAGE('Assumptions (Petroleum)'!$F$2:$H$2)/10^9),0)</f>
        <v>-0.0002342046464</v>
      </c>
      <c r="T2369" s="160">
        <f>IF($J$2253&gt;0,IPMT('Assumptions (Petroleum)'!$V$6,Model!AG$1,'Assumptions (Petroleum)'!$V$9,'Assumptions (Petroleum)'!$V$4*Model!$J$2253*AVERAGE('Assumptions (Petroleum)'!$F$2:$H$2)/10^9),0)</f>
        <v>-0.0001995552129</v>
      </c>
      <c r="U2369" s="160">
        <f>IF($J$2253&gt;0,IPMT('Assumptions (Petroleum)'!$V$6,Model!AH$1,'Assumptions (Petroleum)'!$V$9,'Assumptions (Petroleum)'!$V$4*Model!$J$2253*AVERAGE('Assumptions (Petroleum)'!$F$2:$H$2)/10^9),0)</f>
        <v>-0.0001632599313</v>
      </c>
      <c r="V2369" s="160">
        <f>IF($J$2253&gt;0,IPMT('Assumptions (Petroleum)'!$V$6,Model!AI$1,'Assumptions (Petroleum)'!$V$9,'Assumptions (Petroleum)'!$V$4*Model!$J$2253*AVERAGE('Assumptions (Petroleum)'!$F$2:$H$2)/10^9),0)</f>
        <v>-0.0001252406238</v>
      </c>
      <c r="W2369" s="160">
        <f>IF($J$2253&gt;0,IPMT('Assumptions (Petroleum)'!$V$6,Model!AJ$1,'Assumptions (Petroleum)'!$V$9,'Assumptions (Petroleum)'!$V$4*Model!$J$2253*AVERAGE('Assumptions (Petroleum)'!$F$2:$H$2)/10^9),0)</f>
        <v>-0.00008541539928</v>
      </c>
      <c r="X2369" s="160">
        <f>IF($J$2253&gt;0,IPMT('Assumptions (Petroleum)'!$V$6,Model!AK$1,'Assumptions (Petroleum)'!$V$9,'Assumptions (Petroleum)'!$V$4*Model!$J$2253*AVERAGE('Assumptions (Petroleum)'!$F$2:$H$2)/10^9),0)</f>
        <v>-0.00004369847655</v>
      </c>
      <c r="Y2369" s="160"/>
      <c r="Z2369" s="160"/>
      <c r="AA2369" s="160"/>
      <c r="AB2369" s="160"/>
      <c r="AC2369" s="160"/>
      <c r="AD2369" s="160"/>
      <c r="AE2369" s="160"/>
      <c r="AF2369" s="160"/>
      <c r="AG2369" s="160"/>
      <c r="AH2369" s="160"/>
    </row>
    <row r="2370" ht="15.75" hidden="1" customHeight="1" outlineLevel="1">
      <c r="A2370" s="328"/>
      <c r="B2370" s="38"/>
      <c r="C2370" s="160"/>
      <c r="D2370" s="160"/>
      <c r="E2370" s="160"/>
      <c r="F2370" s="160"/>
      <c r="G2370" s="160"/>
      <c r="H2370" s="160"/>
      <c r="I2370" s="160"/>
      <c r="J2370" s="160"/>
      <c r="K2370" s="160">
        <f>IF($K$2253&gt;0,IPMT('Assumptions (Petroleum)'!$V$6,Model!W$1,'Assumptions (Petroleum)'!$V$9,'Assumptions (Petroleum)'!$V$4*Model!$K$2253*AVERAGE('Assumptions (Petroleum)'!$G$2:$I$2)/10^9),0)</f>
        <v>-0.0002145665234</v>
      </c>
      <c r="L2370" s="160">
        <f>IF($K$2253&gt;0,IPMT('Assumptions (Petroleum)'!$V$6,Model!X$1,'Assumptions (Petroleum)'!$V$9,'Assumptions (Petroleum)'!$V$4*Model!$K$2253*AVERAGE('Assumptions (Petroleum)'!$G$2:$I$2)/10^9),0)</f>
        <v>-0.0002044344487</v>
      </c>
      <c r="M2370" s="160">
        <f>IF($K$2253&gt;0,IPMT('Assumptions (Petroleum)'!$V$6,Model!Y$1,'Assumptions (Petroleum)'!$V$9,'Assumptions (Petroleum)'!$V$4*Model!$K$2253*AVERAGE('Assumptions (Petroleum)'!$G$2:$I$2)/10^9),0)</f>
        <v>-0.0001938211005</v>
      </c>
      <c r="N2370" s="160">
        <f>IF($K$2253&gt;0,IPMT('Assumptions (Petroleum)'!$V$6,Model!Z$1,'Assumptions (Petroleum)'!$V$9,'Assumptions (Petroleum)'!$V$4*Model!$K$2253*AVERAGE('Assumptions (Petroleum)'!$G$2:$I$2)/10^9),0)</f>
        <v>-0.0001827036183</v>
      </c>
      <c r="O2370" s="160">
        <f>IF($K$2253&gt;0,IPMT('Assumptions (Petroleum)'!$V$6,Model!AA$1,'Assumptions (Petroleum)'!$V$9,'Assumptions (Petroleum)'!$V$4*Model!$K$2253*AVERAGE('Assumptions (Petroleum)'!$G$2:$I$2)/10^9),0)</f>
        <v>-0.0001710580557</v>
      </c>
      <c r="P2370" s="160">
        <f>IF($K$2253&gt;0,IPMT('Assumptions (Petroleum)'!$V$6,Model!AB$1,'Assumptions (Petroleum)'!$V$9,'Assumptions (Petroleum)'!$V$4*Model!$K$2253*AVERAGE('Assumptions (Petroleum)'!$G$2:$I$2)/10^9),0)</f>
        <v>-0.0001588593288</v>
      </c>
      <c r="Q2370" s="160">
        <f>IF($K$2253&gt;0,IPMT('Assumptions (Petroleum)'!$V$6,Model!AC$1,'Assumptions (Petroleum)'!$V$9,'Assumptions (Petroleum)'!$V$4*Model!$K$2253*AVERAGE('Assumptions (Petroleum)'!$G$2:$I$2)/10^9),0)</f>
        <v>-0.0001460811625</v>
      </c>
      <c r="R2370" s="160">
        <f>IF($K$2253&gt;0,IPMT('Assumptions (Petroleum)'!$V$6,Model!AD$1,'Assumptions (Petroleum)'!$V$9,'Assumptions (Petroleum)'!$V$4*Model!$K$2253*AVERAGE('Assumptions (Petroleum)'!$G$2:$I$2)/10^9),0)</f>
        <v>-0.0001326960332</v>
      </c>
      <c r="S2370" s="160">
        <f>IF($K$2253&gt;0,IPMT('Assumptions (Petroleum)'!$V$6,Model!AE$1,'Assumptions (Petroleum)'!$V$9,'Assumptions (Petroleum)'!$V$4*Model!$K$2253*AVERAGE('Assumptions (Petroleum)'!$G$2:$I$2)/10^9),0)</f>
        <v>-0.0001186751102</v>
      </c>
      <c r="T2370" s="160">
        <f>IF($K$2253&gt;0,IPMT('Assumptions (Petroleum)'!$V$6,Model!AF$1,'Assumptions (Petroleum)'!$V$9,'Assumptions (Petroleum)'!$V$4*Model!$K$2253*AVERAGE('Assumptions (Petroleum)'!$G$2:$I$2)/10^9),0)</f>
        <v>-0.0001039881935</v>
      </c>
      <c r="U2370" s="160">
        <f>IF($K$2253&gt;0,IPMT('Assumptions (Petroleum)'!$V$6,Model!AG$1,'Assumptions (Petroleum)'!$V$9,'Assumptions (Petroleum)'!$V$4*Model!$K$2253*AVERAGE('Assumptions (Petroleum)'!$G$2:$I$2)/10^9),0)</f>
        <v>-0.00008860364817</v>
      </c>
      <c r="V2370" s="160">
        <f>IF($K$2253&gt;0,IPMT('Assumptions (Petroleum)'!$V$6,Model!AH$1,'Assumptions (Petroleum)'!$V$9,'Assumptions (Petroleum)'!$V$4*Model!$K$2253*AVERAGE('Assumptions (Petroleum)'!$G$2:$I$2)/10^9),0)</f>
        <v>-0.00007248833696</v>
      </c>
      <c r="W2370" s="160">
        <f>IF($K$2253&gt;0,IPMT('Assumptions (Petroleum)'!$V$6,Model!AI$1,'Assumptions (Petroleum)'!$V$9,'Assumptions (Petroleum)'!$V$4*Model!$K$2253*AVERAGE('Assumptions (Petroleum)'!$G$2:$I$2)/10^9),0)</f>
        <v>-0.00005560754847</v>
      </c>
      <c r="X2370" s="160">
        <f>IF($K$2253&gt;0,IPMT('Assumptions (Petroleum)'!$V$6,Model!AJ$1,'Assumptions (Petroleum)'!$V$9,'Assumptions (Petroleum)'!$V$4*Model!$K$2253*AVERAGE('Assumptions (Petroleum)'!$G$2:$I$2)/10^9),0)</f>
        <v>-0.00003792492252</v>
      </c>
      <c r="Y2370" s="160">
        <f>IF($K$2253&gt;0,IPMT('Assumptions (Petroleum)'!$V$6,Model!AK$1,'Assumptions (Petroleum)'!$V$9,'Assumptions (Petroleum)'!$V$4*Model!$K$2253*AVERAGE('Assumptions (Petroleum)'!$G$2:$I$2)/10^9),0)</f>
        <v>-0.00001940237184</v>
      </c>
      <c r="Z2370" s="160"/>
      <c r="AA2370" s="160"/>
      <c r="AB2370" s="160"/>
      <c r="AC2370" s="160"/>
      <c r="AD2370" s="160"/>
      <c r="AE2370" s="160"/>
      <c r="AF2370" s="160"/>
      <c r="AG2370" s="160"/>
      <c r="AH2370" s="160"/>
      <c r="AI2370" s="160"/>
    </row>
    <row r="2371" ht="15.75" hidden="1" customHeight="1" outlineLevel="1">
      <c r="A2371" s="328"/>
      <c r="B2371" s="38"/>
      <c r="C2371" s="160"/>
      <c r="D2371" s="160"/>
      <c r="E2371" s="160"/>
      <c r="F2371" s="160"/>
      <c r="G2371" s="160"/>
      <c r="H2371" s="160"/>
      <c r="I2371" s="160"/>
      <c r="J2371" s="160"/>
      <c r="K2371" s="160"/>
      <c r="L2371" s="160">
        <f>IF($L$2253&gt;0,IPMT('Assumptions (Petroleum)'!$V$6,Model!W$1,'Assumptions (Petroleum)'!$V$9,'Assumptions (Petroleum)'!$V$4*Model!$L$2253*AVERAGE('Assumptions (Petroleum)'!$H$2:$J$2)/10^9),0)</f>
        <v>-0.00002816690187</v>
      </c>
      <c r="M2371" s="160">
        <f>IF($L$2253&gt;0,IPMT('Assumptions (Petroleum)'!$V$6,Model!X$1,'Assumptions (Petroleum)'!$V$9,'Assumptions (Petroleum)'!$V$4*Model!$L$2253*AVERAGE('Assumptions (Petroleum)'!$H$2:$J$2)/10^9),0)</f>
        <v>-0.00002683682882</v>
      </c>
      <c r="N2371" s="160">
        <f>IF($L$2253&gt;0,IPMT('Assumptions (Petroleum)'!$V$6,Model!Y$1,'Assumptions (Petroleum)'!$V$9,'Assumptions (Petroleum)'!$V$4*Model!$L$2253*AVERAGE('Assumptions (Petroleum)'!$H$2:$J$2)/10^9),0)</f>
        <v>-0.00002544357729</v>
      </c>
      <c r="O2371" s="160">
        <f>IF($L$2253&gt;0,IPMT('Assumptions (Petroleum)'!$V$6,Model!Z$1,'Assumptions (Petroleum)'!$V$9,'Assumptions (Petroleum)'!$V$4*Model!$L$2253*AVERAGE('Assumptions (Petroleum)'!$H$2:$J$2)/10^9),0)</f>
        <v>-0.00002398414631</v>
      </c>
      <c r="P2371" s="160">
        <f>IF($L$2253&gt;0,IPMT('Assumptions (Petroleum)'!$V$6,Model!AA$1,'Assumptions (Petroleum)'!$V$9,'Assumptions (Petroleum)'!$V$4*Model!$L$2253*AVERAGE('Assumptions (Petroleum)'!$H$2:$J$2)/10^9),0)</f>
        <v>-0.00002245539236</v>
      </c>
      <c r="Q2371" s="160">
        <f>IF($L$2253&gt;0,IPMT('Assumptions (Petroleum)'!$V$6,Model!AB$1,'Assumptions (Petroleum)'!$V$9,'Assumptions (Petroleum)'!$V$4*Model!$L$2253*AVERAGE('Assumptions (Petroleum)'!$H$2:$J$2)/10^9),0)</f>
        <v>-0.0000208540226</v>
      </c>
      <c r="R2371" s="160">
        <f>IF($L$2253&gt;0,IPMT('Assumptions (Petroleum)'!$V$6,Model!AC$1,'Assumptions (Petroleum)'!$V$9,'Assumptions (Petroleum)'!$V$4*Model!$L$2253*AVERAGE('Assumptions (Petroleum)'!$H$2:$J$2)/10^9),0)</f>
        <v>-0.00001917658777</v>
      </c>
      <c r="S2371" s="160">
        <f>IF($L$2253&gt;0,IPMT('Assumptions (Petroleum)'!$V$6,Model!AD$1,'Assumptions (Petroleum)'!$V$9,'Assumptions (Petroleum)'!$V$4*Model!$L$2253*AVERAGE('Assumptions (Petroleum)'!$H$2:$J$2)/10^9),0)</f>
        <v>-0.00001741947479</v>
      </c>
      <c r="T2371" s="160">
        <f>IF($L$2253&gt;0,IPMT('Assumptions (Petroleum)'!$V$6,Model!AE$1,'Assumptions (Petroleum)'!$V$9,'Assumptions (Petroleum)'!$V$4*Model!$L$2253*AVERAGE('Assumptions (Petroleum)'!$H$2:$J$2)/10^9),0)</f>
        <v>-0.00001557889895</v>
      </c>
      <c r="U2371" s="160">
        <f>IF($L$2253&gt;0,IPMT('Assumptions (Petroleum)'!$V$6,Model!AF$1,'Assumptions (Petroleum)'!$V$9,'Assumptions (Petroleum)'!$V$4*Model!$L$2253*AVERAGE('Assumptions (Petroleum)'!$H$2:$J$2)/10^9),0)</f>
        <v>-0.00001365089575</v>
      </c>
      <c r="V2371" s="160">
        <f>IF($L$2253&gt;0,IPMT('Assumptions (Petroleum)'!$V$6,Model!AG$1,'Assumptions (Petroleum)'!$V$9,'Assumptions (Petroleum)'!$V$4*Model!$L$2253*AVERAGE('Assumptions (Petroleum)'!$H$2:$J$2)/10^9),0)</f>
        <v>-0.0000116313124</v>
      </c>
      <c r="W2371" s="160">
        <f>IF($L$2253&gt;0,IPMT('Assumptions (Petroleum)'!$V$6,Model!AH$1,'Assumptions (Petroleum)'!$V$9,'Assumptions (Petroleum)'!$V$4*Model!$L$2253*AVERAGE('Assumptions (Petroleum)'!$H$2:$J$2)/10^9),0)</f>
        <v>-0.00000951579884</v>
      </c>
      <c r="X2371" s="160">
        <f>IF($L$2253&gt;0,IPMT('Assumptions (Petroleum)'!$V$6,Model!AI$1,'Assumptions (Petroleum)'!$V$9,'Assumptions (Petroleum)'!$V$4*Model!$L$2253*AVERAGE('Assumptions (Petroleum)'!$H$2:$J$2)/10^9),0)</f>
        <v>-0.000007299798387</v>
      </c>
      <c r="Y2371" s="160">
        <f>IF($L$2253&gt;0,IPMT('Assumptions (Petroleum)'!$V$6,Model!AJ$1,'Assumptions (Petroleum)'!$V$9,'Assumptions (Petroleum)'!$V$4*Model!$L$2253*AVERAGE('Assumptions (Petroleum)'!$H$2:$J$2)/10^9),0)</f>
        <v>-0.000004978537912</v>
      </c>
      <c r="Z2371" s="160">
        <f>IF($L$2253&gt;0,IPMT('Assumptions (Petroleum)'!$V$6,Model!AK$1,'Assumptions (Petroleum)'!$V$9,'Assumptions (Petroleum)'!$V$4*Model!$L$2253*AVERAGE('Assumptions (Petroleum)'!$H$2:$J$2)/10^9),0)</f>
        <v>-0.000002547017564</v>
      </c>
      <c r="AA2371" s="160"/>
      <c r="AB2371" s="160"/>
      <c r="AC2371" s="160"/>
      <c r="AD2371" s="160"/>
      <c r="AE2371" s="160"/>
      <c r="AF2371" s="160"/>
      <c r="AG2371" s="160"/>
      <c r="AH2371" s="160"/>
      <c r="AI2371" s="160"/>
      <c r="AJ2371" s="160"/>
    </row>
    <row r="2372" ht="15.75" hidden="1" customHeight="1" outlineLevel="1">
      <c r="A2372" s="328"/>
      <c r="B2372" s="38"/>
      <c r="C2372" s="160"/>
      <c r="D2372" s="160"/>
      <c r="E2372" s="160"/>
      <c r="F2372" s="160"/>
      <c r="G2372" s="160"/>
      <c r="H2372" s="160"/>
      <c r="I2372" s="160"/>
      <c r="J2372" s="160"/>
      <c r="K2372" s="160"/>
      <c r="L2372" s="160"/>
      <c r="M2372" s="160">
        <f>IF($M$2253&gt;0,IPMT('Assumptions (Petroleum)'!$V$6,Model!W$1,'Assumptions (Petroleum)'!$V$9,'Assumptions (Petroleum)'!$V$4*Model!$M$2253*AVERAGE('Assumptions (Petroleum)'!$I$2:$K$2)/10^9),0)</f>
        <v>0</v>
      </c>
      <c r="N2372" s="160">
        <f>IF($M$2253&gt;0,IPMT('Assumptions (Petroleum)'!$V$6,Model!X$1,'Assumptions (Petroleum)'!$V$9,'Assumptions (Petroleum)'!$V$4*Model!$M$2253*AVERAGE('Assumptions (Petroleum)'!$I$2:$K$2)/10^9),0)</f>
        <v>0</v>
      </c>
      <c r="O2372" s="160">
        <f>IF($M$2253&gt;0,IPMT('Assumptions (Petroleum)'!$V$6,Model!Y$1,'Assumptions (Petroleum)'!$V$9,'Assumptions (Petroleum)'!$V$4*Model!$M$2253*AVERAGE('Assumptions (Petroleum)'!$I$2:$K$2)/10^9),0)</f>
        <v>0</v>
      </c>
      <c r="P2372" s="160">
        <f>IF($M$2253&gt;0,IPMT('Assumptions (Petroleum)'!$V$6,Model!Z$1,'Assumptions (Petroleum)'!$V$9,'Assumptions (Petroleum)'!$V$4*Model!$M$2253*AVERAGE('Assumptions (Petroleum)'!$I$2:$K$2)/10^9),0)</f>
        <v>0</v>
      </c>
      <c r="Q2372" s="160">
        <f>IF($M$2253&gt;0,IPMT('Assumptions (Petroleum)'!$V$6,Model!AA$1,'Assumptions (Petroleum)'!$V$9,'Assumptions (Petroleum)'!$V$4*Model!$M$2253*AVERAGE('Assumptions (Petroleum)'!$I$2:$K$2)/10^9),0)</f>
        <v>0</v>
      </c>
      <c r="R2372" s="160">
        <f>IF($M$2253&gt;0,IPMT('Assumptions (Petroleum)'!$V$6,Model!AB$1,'Assumptions (Petroleum)'!$V$9,'Assumptions (Petroleum)'!$V$4*Model!$M$2253*AVERAGE('Assumptions (Petroleum)'!$I$2:$K$2)/10^9),0)</f>
        <v>0</v>
      </c>
      <c r="S2372" s="160">
        <f>IF($M$2253&gt;0,IPMT('Assumptions (Petroleum)'!$V$6,Model!AC$1,'Assumptions (Petroleum)'!$V$9,'Assumptions (Petroleum)'!$V$4*Model!$M$2253*AVERAGE('Assumptions (Petroleum)'!$I$2:$K$2)/10^9),0)</f>
        <v>0</v>
      </c>
      <c r="T2372" s="160">
        <f>IF($M$2253&gt;0,IPMT('Assumptions (Petroleum)'!$V$6,Model!AD$1,'Assumptions (Petroleum)'!$V$9,'Assumptions (Petroleum)'!$V$4*Model!$M$2253*AVERAGE('Assumptions (Petroleum)'!$I$2:$K$2)/10^9),0)</f>
        <v>0</v>
      </c>
      <c r="U2372" s="160">
        <f>IF($M$2253&gt;0,IPMT('Assumptions (Petroleum)'!$V$6,Model!AE$1,'Assumptions (Petroleum)'!$V$9,'Assumptions (Petroleum)'!$V$4*Model!$M$2253*AVERAGE('Assumptions (Petroleum)'!$I$2:$K$2)/10^9),0)</f>
        <v>0</v>
      </c>
      <c r="V2372" s="160">
        <f>IF($M$2253&gt;0,IPMT('Assumptions (Petroleum)'!$V$6,Model!AF$1,'Assumptions (Petroleum)'!$V$9,'Assumptions (Petroleum)'!$V$4*Model!$M$2253*AVERAGE('Assumptions (Petroleum)'!$I$2:$K$2)/10^9),0)</f>
        <v>0</v>
      </c>
      <c r="W2372" s="160">
        <f>IF($M$2253&gt;0,IPMT('Assumptions (Petroleum)'!$V$6,Model!AG$1,'Assumptions (Petroleum)'!$V$9,'Assumptions (Petroleum)'!$V$4*Model!$M$2253*AVERAGE('Assumptions (Petroleum)'!$I$2:$K$2)/10^9),0)</f>
        <v>0</v>
      </c>
      <c r="X2372" s="160">
        <f>IF($M$2253&gt;0,IPMT('Assumptions (Petroleum)'!$V$6,Model!AH$1,'Assumptions (Petroleum)'!$V$9,'Assumptions (Petroleum)'!$V$4*Model!$M$2253*AVERAGE('Assumptions (Petroleum)'!$I$2:$K$2)/10^9),0)</f>
        <v>0</v>
      </c>
      <c r="Y2372" s="160">
        <f>IF($M$2253&gt;0,IPMT('Assumptions (Petroleum)'!$V$6,Model!AI$1,'Assumptions (Petroleum)'!$V$9,'Assumptions (Petroleum)'!$V$4*Model!$M$2253*AVERAGE('Assumptions (Petroleum)'!$I$2:$K$2)/10^9),0)</f>
        <v>0</v>
      </c>
      <c r="Z2372" s="160">
        <f>IF($M$2253&gt;0,IPMT('Assumptions (Petroleum)'!$V$6,Model!AJ$1,'Assumptions (Petroleum)'!$V$9,'Assumptions (Petroleum)'!$V$4*Model!$M$2253*AVERAGE('Assumptions (Petroleum)'!$I$2:$K$2)/10^9),0)</f>
        <v>0</v>
      </c>
      <c r="AA2372" s="160">
        <f>IF($M$2253&gt;0,IPMT('Assumptions (Petroleum)'!$V$6,Model!AK$1,'Assumptions (Petroleum)'!$V$9,'Assumptions (Petroleum)'!$V$4*Model!$M$2253*AVERAGE('Assumptions (Petroleum)'!$I$2:$K$2)/10^9),0)</f>
        <v>0</v>
      </c>
      <c r="AB2372" s="160"/>
      <c r="AC2372" s="160"/>
      <c r="AD2372" s="160"/>
      <c r="AE2372" s="160"/>
      <c r="AF2372" s="160"/>
      <c r="AG2372" s="160"/>
      <c r="AH2372" s="160"/>
      <c r="AI2372" s="160"/>
      <c r="AJ2372" s="160"/>
      <c r="AK2372" s="160"/>
    </row>
    <row r="2373" ht="15.75" hidden="1" customHeight="1" outlineLevel="1">
      <c r="A2373" s="328"/>
      <c r="B2373" s="38"/>
      <c r="C2373" s="160"/>
      <c r="D2373" s="160"/>
      <c r="E2373" s="160"/>
      <c r="F2373" s="160"/>
      <c r="G2373" s="160"/>
      <c r="H2373" s="160"/>
      <c r="I2373" s="160"/>
      <c r="J2373" s="160"/>
      <c r="K2373" s="160"/>
      <c r="L2373" s="160"/>
      <c r="M2373" s="160"/>
      <c r="N2373" s="177">
        <f>IF($N$2253&gt;0,IPMT('Assumptions (Petroleum)'!$V$6,Model!W$1,'Assumptions (Petroleum)'!$V$9,'Assumptions (Petroleum)'!$V$4*Model!$N$2253*AVERAGE('Assumptions (Petroleum)'!$J$2:$L$2)/10^9),0)</f>
        <v>-0.0002366438942</v>
      </c>
      <c r="O2373" s="177">
        <f>IF($N$2253&gt;0,IPMT('Assumptions (Petroleum)'!$V$6,Model!X$1,'Assumptions (Petroleum)'!$V$9,'Assumptions (Petroleum)'!$V$4*Model!$N$2253*AVERAGE('Assumptions (Petroleum)'!$J$2:$L$2)/10^9),0)</f>
        <v>-0.0002254693011</v>
      </c>
      <c r="P2373" s="177">
        <f>IF($N$2253&gt;0,IPMT('Assumptions (Petroleum)'!$V$6,Model!Y$1,'Assumptions (Petroleum)'!$V$9,'Assumptions (Petroleum)'!$V$4*Model!$N$2253*AVERAGE('Assumptions (Petroleum)'!$J$2:$L$2)/10^9),0)</f>
        <v>-0.0002137639148</v>
      </c>
      <c r="Q2373" s="177">
        <f>IF($N$2253&gt;0,IPMT('Assumptions (Petroleum)'!$V$6,Model!Z$1,'Assumptions (Petroleum)'!$V$9,'Assumptions (Petroleum)'!$V$4*Model!$N$2253*AVERAGE('Assumptions (Petroleum)'!$J$2:$L$2)/10^9),0)</f>
        <v>-0.0002015025226</v>
      </c>
      <c r="R2373" s="177">
        <f>IF($N$2253&gt;0,IPMT('Assumptions (Petroleum)'!$V$6,Model!AA$1,'Assumptions (Petroleum)'!$V$9,'Assumptions (Petroleum)'!$V$4*Model!$N$2253*AVERAGE('Assumptions (Petroleum)'!$J$2:$L$2)/10^9),0)</f>
        <v>-0.0001886587143</v>
      </c>
      <c r="S2373" s="177">
        <f>IF($N$2253&gt;0,IPMT('Assumptions (Petroleum)'!$V$6,Model!AB$1,'Assumptions (Petroleum)'!$V$9,'Assumptions (Petroleum)'!$V$4*Model!$N$2253*AVERAGE('Assumptions (Petroleum)'!$J$2:$L$2)/10^9),0)</f>
        <v>-0.0001752048251</v>
      </c>
      <c r="T2373" s="177">
        <f>IF($N$2253&gt;0,IPMT('Assumptions (Petroleum)'!$V$6,Model!AC$1,'Assumptions (Petroleum)'!$V$9,'Assumptions (Petroleum)'!$V$4*Model!$N$2253*AVERAGE('Assumptions (Petroleum)'!$J$2:$L$2)/10^9),0)</f>
        <v>-0.0001611118762</v>
      </c>
      <c r="U2373" s="177">
        <f>IF($N$2253&gt;0,IPMT('Assumptions (Petroleum)'!$V$6,Model!AD$1,'Assumptions (Petroleum)'!$V$9,'Assumptions (Petroleum)'!$V$4*Model!$N$2253*AVERAGE('Assumptions (Petroleum)'!$J$2:$L$2)/10^9),0)</f>
        <v>-0.0001463495122</v>
      </c>
      <c r="V2373" s="177">
        <f>IF($N$2253&gt;0,IPMT('Assumptions (Petroleum)'!$V$6,Model!AE$1,'Assumptions (Petroleum)'!$V$9,'Assumptions (Petroleum)'!$V$4*Model!$N$2253*AVERAGE('Assumptions (Petroleum)'!$J$2:$L$2)/10^9),0)</f>
        <v>-0.0001308859359</v>
      </c>
      <c r="W2373" s="177">
        <f>IF($N$2253&gt;0,IPMT('Assumptions (Petroleum)'!$V$6,Model!AF$1,'Assumptions (Petroleum)'!$V$9,'Assumptions (Petroleum)'!$V$4*Model!$N$2253*AVERAGE('Assumptions (Petroleum)'!$J$2:$L$2)/10^9),0)</f>
        <v>-0.0001146878398</v>
      </c>
      <c r="X2373" s="177">
        <f>IF($N$2253&gt;0,IPMT('Assumptions (Petroleum)'!$V$6,Model!AG$1,'Assumptions (Petroleum)'!$V$9,'Assumptions (Petroleum)'!$V$4*Model!$N$2253*AVERAGE('Assumptions (Petroleum)'!$J$2:$L$2)/10^9),0)</f>
        <v>-0.00009772033407</v>
      </c>
      <c r="Y2373" s="177">
        <f>IF($N$2253&gt;0,IPMT('Assumptions (Petroleum)'!$V$6,Model!AH$1,'Assumptions (Petroleum)'!$V$9,'Assumptions (Petroleum)'!$V$4*Model!$N$2253*AVERAGE('Assumptions (Petroleum)'!$J$2:$L$2)/10^9),0)</f>
        <v>-0.00007994687183</v>
      </c>
      <c r="Z2373" s="177">
        <f>IF($N$2253&gt;0,IPMT('Assumptions (Petroleum)'!$V$6,Model!AI$1,'Assumptions (Petroleum)'!$V$9,'Assumptions (Petroleum)'!$V$4*Model!$N$2253*AVERAGE('Assumptions (Petroleum)'!$J$2:$L$2)/10^9),0)</f>
        <v>-0.00006132917013</v>
      </c>
      <c r="AA2373" s="177">
        <f>IF($N$2253&gt;0,IPMT('Assumptions (Petroleum)'!$V$6,Model!AJ$1,'Assumptions (Petroleum)'!$V$9,'Assumptions (Petroleum)'!$V$4*Model!$N$2253*AVERAGE('Assumptions (Petroleum)'!$J$2:$L$2)/10^9),0)</f>
        <v>-0.0000418271276</v>
      </c>
      <c r="AB2373" s="177">
        <f>IF($N$2253&gt;0,IPMT('Assumptions (Petroleum)'!$V$6,Model!AK$1,'Assumptions (Petroleum)'!$V$9,'Assumptions (Petroleum)'!$V$4*Model!$N$2253*AVERAGE('Assumptions (Petroleum)'!$J$2:$L$2)/10^9),0)</f>
        <v>-0.00002139873805</v>
      </c>
      <c r="AC2373" s="177"/>
      <c r="AD2373" s="177"/>
      <c r="AE2373" s="177"/>
      <c r="AF2373" s="177"/>
      <c r="AG2373" s="177"/>
      <c r="AH2373" s="177"/>
      <c r="AI2373" s="177"/>
      <c r="AJ2373" s="177"/>
      <c r="AK2373" s="177"/>
      <c r="AL2373" s="177"/>
    </row>
    <row r="2374" ht="15.75" hidden="1" customHeight="1" outlineLevel="1">
      <c r="A2374" s="328"/>
      <c r="B2374" s="38"/>
      <c r="C2374" s="160"/>
      <c r="D2374" s="160"/>
      <c r="E2374" s="160"/>
      <c r="F2374" s="160"/>
      <c r="G2374" s="160"/>
      <c r="H2374" s="160"/>
      <c r="I2374" s="160"/>
      <c r="J2374" s="160"/>
      <c r="K2374" s="160"/>
      <c r="L2374" s="160"/>
      <c r="M2374" s="160"/>
      <c r="N2374" s="160"/>
      <c r="O2374" s="160">
        <f>IF($O$2253&gt;0,IPMT('Assumptions (Petroleum)'!$V$6,Model!W$1,'Assumptions (Petroleum)'!$V$9,'Assumptions (Petroleum)'!$V$4*Model!$O$2253*AVERAGE('Assumptions (Petroleum)'!$K$2:$M$2)/10^9),0)</f>
        <v>-0.00008274916938</v>
      </c>
      <c r="P2374" s="160">
        <f>IF($O$2253&gt;0,IPMT('Assumptions (Petroleum)'!$V$6,Model!X$1,'Assumptions (Petroleum)'!$V$9,'Assumptions (Petroleum)'!$V$4*Model!$O$2253*AVERAGE('Assumptions (Petroleum)'!$K$2:$M$2)/10^9),0)</f>
        <v>-0.00007884165973</v>
      </c>
      <c r="Q2374" s="160">
        <f>IF($O$2253&gt;0,IPMT('Assumptions (Petroleum)'!$V$6,Model!Y$1,'Assumptions (Petroleum)'!$V$9,'Assumptions (Petroleum)'!$V$4*Model!$O$2253*AVERAGE('Assumptions (Petroleum)'!$K$2:$M$2)/10^9),0)</f>
        <v>-0.00007474854337</v>
      </c>
      <c r="R2374" s="160">
        <f>IF($O$2253&gt;0,IPMT('Assumptions (Petroleum)'!$V$6,Model!Z$1,'Assumptions (Petroleum)'!$V$9,'Assumptions (Petroleum)'!$V$4*Model!$O$2253*AVERAGE('Assumptions (Petroleum)'!$K$2:$M$2)/10^9),0)</f>
        <v>-0.00007046100398</v>
      </c>
      <c r="S2374" s="160">
        <f>IF($O$2253&gt;0,IPMT('Assumptions (Petroleum)'!$V$6,Model!AA$1,'Assumptions (Petroleum)'!$V$9,'Assumptions (Petroleum)'!$V$4*Model!$O$2253*AVERAGE('Assumptions (Petroleum)'!$K$2:$M$2)/10^9),0)</f>
        <v>-0.00006596980648</v>
      </c>
      <c r="T2374" s="160">
        <f>IF($O$2253&gt;0,IPMT('Assumptions (Petroleum)'!$V$6,Model!AB$1,'Assumptions (Petroleum)'!$V$9,'Assumptions (Petroleum)'!$V$4*Model!$O$2253*AVERAGE('Assumptions (Petroleum)'!$K$2:$M$2)/10^9),0)</f>
        <v>-0.00006126527709</v>
      </c>
      <c r="U2374" s="160">
        <f>IF($O$2253&gt;0,IPMT('Assumptions (Petroleum)'!$V$6,Model!AC$1,'Assumptions (Petroleum)'!$V$9,'Assumptions (Petroleum)'!$V$4*Model!$O$2253*AVERAGE('Assumptions (Petroleum)'!$K$2:$M$2)/10^9),0)</f>
        <v>-0.00005633728256</v>
      </c>
      <c r="V2374" s="160">
        <f>IF($O$2253&gt;0,IPMT('Assumptions (Petroleum)'!$V$6,Model!AD$1,'Assumptions (Petroleum)'!$V$9,'Assumptions (Petroleum)'!$V$4*Model!$O$2253*AVERAGE('Assumptions (Petroleum)'!$K$2:$M$2)/10^9),0)</f>
        <v>-0.00005117520829</v>
      </c>
      <c r="W2374" s="160">
        <f>IF($O$2253&gt;0,IPMT('Assumptions (Petroleum)'!$V$6,Model!AE$1,'Assumptions (Petroleum)'!$V$9,'Assumptions (Petroleum)'!$V$4*Model!$O$2253*AVERAGE('Assumptions (Petroleum)'!$K$2:$M$2)/10^9),0)</f>
        <v>-0.00004576793548</v>
      </c>
      <c r="X2374" s="160">
        <f>IF($O$2253&gt;0,IPMT('Assumptions (Petroleum)'!$V$6,Model!AF$1,'Assumptions (Petroleum)'!$V$9,'Assumptions (Petroleum)'!$V$4*Model!$O$2253*AVERAGE('Assumptions (Petroleum)'!$K$2:$M$2)/10^9),0)</f>
        <v>-0.00004010381722</v>
      </c>
      <c r="Y2374" s="160">
        <f>IF($O$2253&gt;0,IPMT('Assumptions (Petroleum)'!$V$6,Model!AG$1,'Assumptions (Petroleum)'!$V$9,'Assumptions (Petroleum)'!$V$4*Model!$O$2253*AVERAGE('Assumptions (Petroleum)'!$K$2:$M$2)/10^9),0)</f>
        <v>-0.00003417065335</v>
      </c>
      <c r="Z2374" s="160">
        <f>IF($O$2253&gt;0,IPMT('Assumptions (Petroleum)'!$V$6,Model!AH$1,'Assumptions (Petroleum)'!$V$9,'Assumptions (Petroleum)'!$V$4*Model!$O$2253*AVERAGE('Assumptions (Petroleum)'!$K$2:$M$2)/10^9),0)</f>
        <v>-0.00002795566419</v>
      </c>
      <c r="AA2374" s="160">
        <f>IF($O$2253&gt;0,IPMT('Assumptions (Petroleum)'!$V$6,Model!AI$1,'Assumptions (Petroleum)'!$V$9,'Assumptions (Petroleum)'!$V$4*Model!$O$2253*AVERAGE('Assumptions (Petroleum)'!$K$2:$M$2)/10^9),0)</f>
        <v>-0.00002144546304</v>
      </c>
      <c r="AB2374" s="160">
        <f>IF($O$2253&gt;0,IPMT('Assumptions (Petroleum)'!$V$6,Model!AJ$1,'Assumptions (Petroleum)'!$V$9,'Assumptions (Petroleum)'!$V$4*Model!$O$2253*AVERAGE('Assumptions (Petroleum)'!$K$2:$M$2)/10^9),0)</f>
        <v>-0.00001462602734</v>
      </c>
      <c r="AC2374" s="160">
        <f>IF($O$2253&gt;0,IPMT('Assumptions (Petroleum)'!$V$6,Model!AK$1,'Assumptions (Petroleum)'!$V$9,'Assumptions (Petroleum)'!$V$4*Model!$O$2253*AVERAGE('Assumptions (Petroleum)'!$K$2:$M$2)/10^9),0)</f>
        <v>-0.000007482668444</v>
      </c>
      <c r="AD2374" s="160"/>
      <c r="AE2374" s="160"/>
      <c r="AF2374" s="160"/>
      <c r="AG2374" s="160"/>
      <c r="AH2374" s="160"/>
      <c r="AI2374" s="160"/>
      <c r="AJ2374" s="160"/>
      <c r="AK2374" s="160"/>
      <c r="AL2374" s="160"/>
      <c r="AM2374" s="160"/>
    </row>
    <row r="2375" ht="15.75" hidden="1" customHeight="1" outlineLevel="1">
      <c r="A2375" s="328"/>
      <c r="B2375" s="38"/>
      <c r="C2375" s="160"/>
      <c r="D2375" s="160"/>
      <c r="E2375" s="160"/>
      <c r="F2375" s="160"/>
      <c r="G2375" s="160"/>
      <c r="H2375" s="160"/>
      <c r="I2375" s="160"/>
      <c r="J2375" s="160"/>
      <c r="K2375" s="160"/>
      <c r="L2375" s="160"/>
      <c r="M2375" s="160"/>
      <c r="N2375" s="160"/>
      <c r="O2375" s="160"/>
      <c r="P2375" s="177">
        <f>IF($P$2253&gt;0,IPMT('Assumptions (Petroleum)'!$V$6,Model!W$1,'Assumptions (Petroleum)'!$V$9,'Assumptions (Petroleum)'!$V$4*Model!$P$2253*AVERAGE('Assumptions (Petroleum)'!$L$2:$N$2)/10^9),0)</f>
        <v>-0.0004665190222</v>
      </c>
      <c r="Q2375" s="177">
        <f>IF($P$2253&gt;0,IPMT('Assumptions (Petroleum)'!$V$6,Model!X$1,'Assumptions (Petroleum)'!$V$9,'Assumptions (Petroleum)'!$V$4*Model!$P$2253*AVERAGE('Assumptions (Petroleum)'!$L$2:$N$2)/10^9),0)</f>
        <v>-0.0004444894647</v>
      </c>
      <c r="R2375" s="177">
        <f>IF($P$2253&gt;0,IPMT('Assumptions (Petroleum)'!$V$6,Model!Y$1,'Assumptions (Petroleum)'!$V$9,'Assumptions (Petroleum)'!$V$4*Model!$P$2253*AVERAGE('Assumptions (Petroleum)'!$L$2:$N$2)/10^9),0)</f>
        <v>-0.0004214135033</v>
      </c>
      <c r="S2375" s="177">
        <f>IF($P$2253&gt;0,IPMT('Assumptions (Petroleum)'!$V$6,Model!Z$1,'Assumptions (Petroleum)'!$V$9,'Assumptions (Petroleum)'!$V$4*Model!$P$2253*AVERAGE('Assumptions (Petroleum)'!$L$2:$N$2)/10^9),0)</f>
        <v>-0.0003972414337</v>
      </c>
      <c r="T2375" s="177">
        <f>IF($P$2253&gt;0,IPMT('Assumptions (Petroleum)'!$V$6,Model!AA$1,'Assumptions (Petroleum)'!$V$9,'Assumptions (Petroleum)'!$V$4*Model!$P$2253*AVERAGE('Assumptions (Petroleum)'!$L$2:$N$2)/10^9),0)</f>
        <v>-0.0003719211908</v>
      </c>
      <c r="U2375" s="177">
        <f>IF($P$2253&gt;0,IPMT('Assumptions (Petroleum)'!$V$6,Model!AB$1,'Assumptions (Petroleum)'!$V$9,'Assumptions (Petroleum)'!$V$4*Model!$P$2253*AVERAGE('Assumptions (Petroleum)'!$L$2:$N$2)/10^9),0)</f>
        <v>-0.0003453982363</v>
      </c>
      <c r="V2375" s="177">
        <f>IF($P$2253&gt;0,IPMT('Assumptions (Petroleum)'!$V$6,Model!AC$1,'Assumptions (Petroleum)'!$V$9,'Assumptions (Petroleum)'!$V$4*Model!$P$2253*AVERAGE('Assumptions (Petroleum)'!$L$2:$N$2)/10^9),0)</f>
        <v>-0.0003176154416</v>
      </c>
      <c r="W2375" s="177">
        <f>IF($P$2253&gt;0,IPMT('Assumptions (Petroleum)'!$V$6,Model!AD$1,'Assumptions (Petroleum)'!$V$9,'Assumptions (Petroleum)'!$V$4*Model!$P$2253*AVERAGE('Assumptions (Petroleum)'!$L$2:$N$2)/10^9),0)</f>
        <v>-0.000288512964</v>
      </c>
      <c r="X2375" s="177">
        <f>IF($P$2253&gt;0,IPMT('Assumptions (Petroleum)'!$V$6,Model!AE$1,'Assumptions (Petroleum)'!$V$9,'Assumptions (Petroleum)'!$V$4*Model!$P$2253*AVERAGE('Assumptions (Petroleum)'!$L$2:$N$2)/10^9),0)</f>
        <v>-0.0002580281188</v>
      </c>
      <c r="Y2375" s="177">
        <f>IF($P$2253&gt;0,IPMT('Assumptions (Petroleum)'!$V$6,Model!AF$1,'Assumptions (Petroleum)'!$V$9,'Assumptions (Petroleum)'!$V$4*Model!$P$2253*AVERAGE('Assumptions (Petroleum)'!$L$2:$N$2)/10^9),0)</f>
        <v>-0.0002260952435</v>
      </c>
      <c r="Z2375" s="177">
        <f>IF($P$2253&gt;0,IPMT('Assumptions (Petroleum)'!$V$6,Model!AG$1,'Assumptions (Petroleum)'!$V$9,'Assumptions (Petroleum)'!$V$4*Model!$P$2253*AVERAGE('Assumptions (Petroleum)'!$L$2:$N$2)/10^9),0)</f>
        <v>-0.0001926455565</v>
      </c>
      <c r="AA2375" s="177">
        <f>IF($P$2253&gt;0,IPMT('Assumptions (Petroleum)'!$V$6,Model!AH$1,'Assumptions (Petroleum)'!$V$9,'Assumptions (Petroleum)'!$V$4*Model!$P$2253*AVERAGE('Assumptions (Petroleum)'!$L$2:$N$2)/10^9),0)</f>
        <v>-0.0001576070095</v>
      </c>
      <c r="AB2375" s="177">
        <f>IF($P$2253&gt;0,IPMT('Assumptions (Petroleum)'!$V$6,Model!AI$1,'Assumptions (Petroleum)'!$V$9,'Assumptions (Petroleum)'!$V$4*Model!$P$2253*AVERAGE('Assumptions (Petroleum)'!$L$2:$N$2)/10^9),0)</f>
        <v>-0.0001209041314</v>
      </c>
      <c r="AC2375" s="177">
        <f>IF($P$2253&gt;0,IPMT('Assumptions (Petroleum)'!$V$6,Model!AJ$1,'Assumptions (Petroleum)'!$V$9,'Assumptions (Petroleum)'!$V$4*Model!$P$2253*AVERAGE('Assumptions (Petroleum)'!$L$2:$N$2)/10^9),0)</f>
        <v>-0.00008245786664</v>
      </c>
      <c r="AD2375" s="177">
        <f>IF($P$2253&gt;0,IPMT('Assumptions (Petroleum)'!$V$6,Model!AK$1,'Assumptions (Petroleum)'!$V$9,'Assumptions (Petroleum)'!$V$4*Model!$P$2253*AVERAGE('Assumptions (Petroleum)'!$L$2:$N$2)/10^9),0)</f>
        <v>-0.0000421854043</v>
      </c>
      <c r="AE2375" s="177"/>
      <c r="AF2375" s="177"/>
      <c r="AG2375" s="177"/>
      <c r="AH2375" s="177"/>
      <c r="AI2375" s="177"/>
      <c r="AJ2375" s="177"/>
      <c r="AK2375" s="177"/>
      <c r="AL2375" s="177"/>
      <c r="AM2375" s="177"/>
      <c r="AN2375" s="177"/>
    </row>
    <row r="2376" ht="15.75" hidden="1" customHeight="1" outlineLevel="1">
      <c r="A2376" s="328"/>
      <c r="B2376" s="38"/>
      <c r="C2376" s="160"/>
      <c r="D2376" s="160"/>
      <c r="E2376" s="160"/>
      <c r="F2376" s="160"/>
      <c r="G2376" s="160"/>
      <c r="H2376" s="160"/>
      <c r="I2376" s="160"/>
      <c r="J2376" s="160"/>
      <c r="K2376" s="160"/>
      <c r="L2376" s="160"/>
      <c r="M2376" s="160"/>
      <c r="N2376" s="160"/>
      <c r="O2376" s="160"/>
      <c r="P2376" s="179"/>
      <c r="Q2376" s="160">
        <f>IF($Q$2253&gt;0,IPMT('Assumptions (Petroleum)'!$V$6,Model!W$1,'Assumptions (Petroleum)'!$V$9,'Assumptions (Petroleum)'!$V$4*Model!$Q$2253*AVERAGE('Assumptions (Petroleum)'!$M$2:$O$2)/10^9),0)</f>
        <v>-0.00002869146105</v>
      </c>
      <c r="R2376" s="160">
        <f>IF($Q$2253&gt;0,IPMT('Assumptions (Petroleum)'!$V$6,Model!X$1,'Assumptions (Petroleum)'!$V$9,'Assumptions (Petroleum)'!$V$4*Model!$Q$2253*AVERAGE('Assumptions (Petroleum)'!$M$2:$O$2)/10^9),0)</f>
        <v>-0.00002733661771</v>
      </c>
      <c r="S2376" s="160">
        <f>IF($Q$2253&gt;0,IPMT('Assumptions (Petroleum)'!$V$6,Model!Y$1,'Assumptions (Petroleum)'!$V$9,'Assumptions (Petroleum)'!$V$4*Model!$Q$2253*AVERAGE('Assumptions (Petroleum)'!$M$2:$O$2)/10^9),0)</f>
        <v>-0.00002591741931</v>
      </c>
      <c r="T2376" s="160">
        <f>IF($Q$2253&gt;0,IPMT('Assumptions (Petroleum)'!$V$6,Model!Z$1,'Assumptions (Petroleum)'!$V$9,'Assumptions (Petroleum)'!$V$4*Model!$Q$2253*AVERAGE('Assumptions (Petroleum)'!$M$2:$O$2)/10^9),0)</f>
        <v>-0.00002443080899</v>
      </c>
      <c r="U2376" s="160">
        <f>IF($Q$2253&gt;0,IPMT('Assumptions (Petroleum)'!$V$6,Model!AA$1,'Assumptions (Petroleum)'!$V$9,'Assumptions (Petroleum)'!$V$4*Model!$Q$2253*AVERAGE('Assumptions (Petroleum)'!$M$2:$O$2)/10^9),0)</f>
        <v>-0.00002287358468</v>
      </c>
      <c r="V2376" s="160">
        <f>IF($Q$2253&gt;0,IPMT('Assumptions (Petroleum)'!$V$6,Model!AB$1,'Assumptions (Petroleum)'!$V$9,'Assumptions (Petroleum)'!$V$4*Model!$Q$2253*AVERAGE('Assumptions (Petroleum)'!$M$2:$O$2)/10^9),0)</f>
        <v>-0.00002124239221</v>
      </c>
      <c r="W2376" s="160">
        <f>IF($Q$2253&gt;0,IPMT('Assumptions (Petroleum)'!$V$6,Model!AC$1,'Assumptions (Petroleum)'!$V$9,'Assumptions (Petroleum)'!$V$4*Model!$Q$2253*AVERAGE('Assumptions (Petroleum)'!$M$2:$O$2)/10^9),0)</f>
        <v>-0.0000195337181</v>
      </c>
      <c r="X2376" s="160">
        <f>IF($Q$2253&gt;0,IPMT('Assumptions (Petroleum)'!$V$6,Model!AD$1,'Assumptions (Petroleum)'!$V$9,'Assumptions (Petroleum)'!$V$4*Model!$Q$2253*AVERAGE('Assumptions (Petroleum)'!$M$2:$O$2)/10^9),0)</f>
        <v>-0.00001774388198</v>
      </c>
      <c r="Y2376" s="160">
        <f>IF($Q$2253&gt;0,IPMT('Assumptions (Petroleum)'!$V$6,Model!AE$1,'Assumptions (Petroleum)'!$V$9,'Assumptions (Petroleum)'!$V$4*Model!$Q$2253*AVERAGE('Assumptions (Petroleum)'!$M$2:$O$2)/10^9),0)</f>
        <v>-0.00001586902863</v>
      </c>
      <c r="Z2376" s="160">
        <f>IF($Q$2253&gt;0,IPMT('Assumptions (Petroleum)'!$V$6,Model!AF$1,'Assumptions (Petroleum)'!$V$9,'Assumptions (Petroleum)'!$V$4*Model!$Q$2253*AVERAGE('Assumptions (Petroleum)'!$M$2:$O$2)/10^9),0)</f>
        <v>-0.00001390511975</v>
      </c>
      <c r="AA2376" s="160">
        <f>IF($Q$2253&gt;0,IPMT('Assumptions (Petroleum)'!$V$6,Model!AG$1,'Assumptions (Petroleum)'!$V$9,'Assumptions (Petroleum)'!$V$4*Model!$Q$2253*AVERAGE('Assumptions (Petroleum)'!$M$2:$O$2)/10^9),0)</f>
        <v>-0.0000118479252</v>
      </c>
      <c r="AB2376" s="160">
        <f>IF($Q$2253&gt;0,IPMT('Assumptions (Petroleum)'!$V$6,Model!AH$1,'Assumptions (Petroleum)'!$V$9,'Assumptions (Petroleum)'!$V$4*Model!$Q$2253*AVERAGE('Assumptions (Petroleum)'!$M$2:$O$2)/10^9),0)</f>
        <v>-0.000009693013912</v>
      </c>
      <c r="AC2376" s="160">
        <f>IF($Q$2253&gt;0,IPMT('Assumptions (Petroleum)'!$V$6,Model!AI$1,'Assumptions (Petroleum)'!$V$9,'Assumptions (Petroleum)'!$V$4*Model!$Q$2253*AVERAGE('Assumptions (Petroleum)'!$M$2:$O$2)/10^9),0)</f>
        <v>-0.000007435744335</v>
      </c>
      <c r="AD2376" s="160">
        <f>IF($Q$2253&gt;0,IPMT('Assumptions (Petroleum)'!$V$6,Model!AJ$1,'Assumptions (Petroleum)'!$V$9,'Assumptions (Petroleum)'!$V$4*Model!$Q$2253*AVERAGE('Assumptions (Petroleum)'!$M$2:$O$2)/10^9),0)</f>
        <v>-0.000005071254453</v>
      </c>
      <c r="AE2376" s="160">
        <f>IF($Q$2253&gt;0,IPMT('Assumptions (Petroleum)'!$V$6,Model!AK$1,'Assumptions (Petroleum)'!$V$9,'Assumptions (Petroleum)'!$V$4*Model!$Q$2253*AVERAGE('Assumptions (Petroleum)'!$M$2:$O$2)/10^9),0)</f>
        <v>-0.000002594451301</v>
      </c>
      <c r="AF2376" s="160"/>
      <c r="AG2376" s="160"/>
      <c r="AH2376" s="160"/>
      <c r="AI2376" s="160"/>
      <c r="AJ2376" s="160"/>
      <c r="AK2376" s="160"/>
      <c r="AL2376" s="160"/>
      <c r="AM2376" s="160"/>
      <c r="AN2376" s="160"/>
      <c r="AO2376" s="160"/>
    </row>
    <row r="2377" ht="15.75" hidden="1" customHeight="1" outlineLevel="1">
      <c r="A2377" s="328"/>
      <c r="B2377" s="38"/>
      <c r="C2377" s="160"/>
      <c r="D2377" s="160"/>
      <c r="E2377" s="160"/>
      <c r="F2377" s="160"/>
      <c r="G2377" s="160"/>
      <c r="H2377" s="160"/>
      <c r="I2377" s="160"/>
      <c r="J2377" s="160"/>
      <c r="K2377" s="160"/>
      <c r="L2377" s="160"/>
      <c r="M2377" s="160"/>
      <c r="N2377" s="160"/>
      <c r="O2377" s="160"/>
      <c r="P2377" s="179"/>
      <c r="Q2377" s="160"/>
      <c r="R2377" s="177">
        <f>IF($R$2253&gt;0,IPMT('Assumptions (Petroleum)'!$V$6,Model!W$1,'Assumptions (Petroleum)'!$V$9,'Assumptions (Petroleum)'!$V$4*Model!$R$2253*AVERAGE('Assumptions (Petroleum)'!$N$2:$P$2)/10^9),0)</f>
        <v>-0.00001706964921</v>
      </c>
      <c r="S2377" s="177">
        <f>IF($R$2253&gt;0,IPMT('Assumptions (Petroleum)'!$V$6,Model!X$1,'Assumptions (Petroleum)'!$V$9,'Assumptions (Petroleum)'!$V$4*Model!$R$2253*AVERAGE('Assumptions (Petroleum)'!$N$2:$P$2)/10^9),0)</f>
        <v>-0.00001626360101</v>
      </c>
      <c r="T2377" s="177">
        <f>IF($R$2253&gt;0,IPMT('Assumptions (Petroleum)'!$V$6,Model!Y$1,'Assumptions (Petroleum)'!$V$9,'Assumptions (Petroleum)'!$V$4*Model!$R$2253*AVERAGE('Assumptions (Petroleum)'!$N$2:$P$2)/10^9),0)</f>
        <v>-0.00001541926552</v>
      </c>
      <c r="U2377" s="177">
        <f>IF($R$2253&gt;0,IPMT('Assumptions (Petroleum)'!$V$6,Model!Z$1,'Assumptions (Petroleum)'!$V$9,'Assumptions (Petroleum)'!$V$4*Model!$R$2253*AVERAGE('Assumptions (Petroleum)'!$N$2:$P$2)/10^9),0)</f>
        <v>-0.00001453482409</v>
      </c>
      <c r="V2377" s="177">
        <f>IF($R$2253&gt;0,IPMT('Assumptions (Petroleum)'!$V$6,Model!AA$1,'Assumptions (Petroleum)'!$V$9,'Assumptions (Petroleum)'!$V$4*Model!$R$2253*AVERAGE('Assumptions (Petroleum)'!$N$2:$P$2)/10^9),0)</f>
        <v>-0.0000136083717</v>
      </c>
      <c r="W2377" s="177">
        <f>IF($R$2253&gt;0,IPMT('Assumptions (Petroleum)'!$V$6,Model!AB$1,'Assumptions (Petroleum)'!$V$9,'Assumptions (Petroleum)'!$V$4*Model!$R$2253*AVERAGE('Assumptions (Petroleum)'!$N$2:$P$2)/10^9),0)</f>
        <v>-0.00001263791282</v>
      </c>
      <c r="X2377" s="177">
        <f>IF($R$2253&gt;0,IPMT('Assumptions (Petroleum)'!$V$6,Model!AC$1,'Assumptions (Petroleum)'!$V$9,'Assumptions (Petroleum)'!$V$4*Model!$R$2253*AVERAGE('Assumptions (Petroleum)'!$N$2:$P$2)/10^9),0)</f>
        <v>-0.00001162135714</v>
      </c>
      <c r="Y2377" s="177">
        <f>IF($R$2253&gt;0,IPMT('Assumptions (Petroleum)'!$V$6,Model!AD$1,'Assumptions (Petroleum)'!$V$9,'Assumptions (Petroleum)'!$V$4*Model!$R$2253*AVERAGE('Assumptions (Petroleum)'!$N$2:$P$2)/10^9),0)</f>
        <v>-0.00001055651507</v>
      </c>
      <c r="Z2377" s="177">
        <f>IF($R$2253&gt;0,IPMT('Assumptions (Petroleum)'!$V$6,Model!AE$1,'Assumptions (Petroleum)'!$V$9,'Assumptions (Petroleum)'!$V$4*Model!$R$2253*AVERAGE('Assumptions (Petroleum)'!$N$2:$P$2)/10^9),0)</f>
        <v>-0.000009441092998</v>
      </c>
      <c r="AA2377" s="177">
        <f>IF($R$2253&gt;0,IPMT('Assumptions (Petroleum)'!$V$6,Model!AF$1,'Assumptions (Petroleum)'!$V$9,'Assumptions (Petroleum)'!$V$4*Model!$R$2253*AVERAGE('Assumptions (Petroleum)'!$N$2:$P$2)/10^9),0)</f>
        <v>-0.000008272688379</v>
      </c>
      <c r="AB2377" s="177">
        <f>IF($R$2253&gt;0,IPMT('Assumptions (Petroleum)'!$V$6,Model!AG$1,'Assumptions (Petroleum)'!$V$9,'Assumptions (Petroleum)'!$V$4*Model!$R$2253*AVERAGE('Assumptions (Petroleum)'!$N$2:$P$2)/10^9),0)</f>
        <v>-0.00000704878454</v>
      </c>
      <c r="AC2377" s="177">
        <f>IF($R$2253&gt;0,IPMT('Assumptions (Petroleum)'!$V$6,Model!AH$1,'Assumptions (Petroleum)'!$V$9,'Assumptions (Petroleum)'!$V$4*Model!$R$2253*AVERAGE('Assumptions (Petroleum)'!$N$2:$P$2)/10^9),0)</f>
        <v>-0.000005766745269</v>
      </c>
      <c r="AD2377" s="177">
        <f>IF($R$2253&gt;0,IPMT('Assumptions (Petroleum)'!$V$6,Model!AI$1,'Assumptions (Petroleum)'!$V$9,'Assumptions (Petroleum)'!$V$4*Model!$R$2253*AVERAGE('Assumptions (Petroleum)'!$N$2:$P$2)/10^9),0)</f>
        <v>-0.000004423809132</v>
      </c>
      <c r="AE2377" s="177">
        <f>IF($R$2253&gt;0,IPMT('Assumptions (Petroleum)'!$V$6,Model!AJ$1,'Assumptions (Petroleum)'!$V$9,'Assumptions (Petroleum)'!$V$4*Model!$R$2253*AVERAGE('Assumptions (Petroleum)'!$N$2:$P$2)/10^9),0)</f>
        <v>-0.000003017083529</v>
      </c>
      <c r="AF2377" s="177">
        <f>IF($R$2253&gt;0,IPMT('Assumptions (Petroleum)'!$V$6,Model!AK$1,'Assumptions (Petroleum)'!$V$9,'Assumptions (Petroleum)'!$V$4*Model!$R$2253*AVERAGE('Assumptions (Petroleum)'!$N$2:$P$2)/10^9),0)</f>
        <v>-0.00000154353846</v>
      </c>
      <c r="AG2377" s="177"/>
      <c r="AH2377" s="177"/>
      <c r="AI2377" s="177"/>
      <c r="AJ2377" s="177"/>
      <c r="AK2377" s="177"/>
      <c r="AL2377" s="177"/>
      <c r="AM2377" s="177"/>
      <c r="AN2377" s="177"/>
      <c r="AO2377" s="177"/>
      <c r="AP2377" s="177"/>
    </row>
    <row r="2378" ht="15.75" hidden="1" customHeight="1" outlineLevel="1">
      <c r="A2378" s="328"/>
      <c r="B2378" s="38"/>
      <c r="C2378" s="160"/>
      <c r="D2378" s="160"/>
      <c r="E2378" s="160"/>
      <c r="F2378" s="160"/>
      <c r="G2378" s="160"/>
      <c r="H2378" s="160"/>
      <c r="I2378" s="160"/>
      <c r="J2378" s="160"/>
      <c r="K2378" s="160"/>
      <c r="L2378" s="160"/>
      <c r="M2378" s="160"/>
      <c r="N2378" s="160"/>
      <c r="O2378" s="160"/>
      <c r="P2378" s="179"/>
      <c r="Q2378" s="160"/>
      <c r="R2378" s="177"/>
      <c r="S2378" s="160">
        <f>IF($S$2253&gt;0,IPMT('Assumptions (Petroleum)'!$V$6,Model!W$1,'Assumptions (Petroleum)'!$V$9,'Assumptions (Petroleum)'!$V$4*Model!$S$2253*AVERAGE('Assumptions (Petroleum)'!$O$2:$Q$2)/10^9),0)</f>
        <v>0</v>
      </c>
      <c r="T2378" s="160">
        <f>IF($S$2253&gt;0,IPMT('Assumptions (Petroleum)'!$V$6,Model!X$1,'Assumptions (Petroleum)'!$V$9,'Assumptions (Petroleum)'!$V$4*Model!$S$2253*AVERAGE('Assumptions (Petroleum)'!$O$2:$Q$2)/10^9),0)</f>
        <v>0</v>
      </c>
      <c r="U2378" s="160">
        <f>IF($S$2253&gt;0,IPMT('Assumptions (Petroleum)'!$V$6,Model!Y$1,'Assumptions (Petroleum)'!$V$9,'Assumptions (Petroleum)'!$V$4*Model!$S$2253*AVERAGE('Assumptions (Petroleum)'!$O$2:$Q$2)/10^9),0)</f>
        <v>0</v>
      </c>
      <c r="V2378" s="160">
        <f>IF($S$2253&gt;0,IPMT('Assumptions (Petroleum)'!$V$6,Model!Z$1,'Assumptions (Petroleum)'!$V$9,'Assumptions (Petroleum)'!$V$4*Model!$S$2253*AVERAGE('Assumptions (Petroleum)'!$O$2:$Q$2)/10^9),0)</f>
        <v>0</v>
      </c>
      <c r="W2378" s="160">
        <f>IF($S$2253&gt;0,IPMT('Assumptions (Petroleum)'!$V$6,Model!AA$1,'Assumptions (Petroleum)'!$V$9,'Assumptions (Petroleum)'!$V$4*Model!$S$2253*AVERAGE('Assumptions (Petroleum)'!$O$2:$Q$2)/10^9),0)</f>
        <v>0</v>
      </c>
      <c r="X2378" s="160">
        <f>IF($S$2253&gt;0,IPMT('Assumptions (Petroleum)'!$V$6,Model!AB$1,'Assumptions (Petroleum)'!$V$9,'Assumptions (Petroleum)'!$V$4*Model!$S$2253*AVERAGE('Assumptions (Petroleum)'!$O$2:$Q$2)/10^9),0)</f>
        <v>0</v>
      </c>
      <c r="Y2378" s="160">
        <f>IF($S$2253&gt;0,IPMT('Assumptions (Petroleum)'!$V$6,Model!AC$1,'Assumptions (Petroleum)'!$V$9,'Assumptions (Petroleum)'!$V$4*Model!$S$2253*AVERAGE('Assumptions (Petroleum)'!$O$2:$Q$2)/10^9),0)</f>
        <v>0</v>
      </c>
      <c r="Z2378" s="160">
        <f>IF($S$2253&gt;0,IPMT('Assumptions (Petroleum)'!$V$6,Model!AD$1,'Assumptions (Petroleum)'!$V$9,'Assumptions (Petroleum)'!$V$4*Model!$S$2253*AVERAGE('Assumptions (Petroleum)'!$O$2:$Q$2)/10^9),0)</f>
        <v>0</v>
      </c>
      <c r="AA2378" s="160">
        <f>IF($S$2253&gt;0,IPMT('Assumptions (Petroleum)'!$V$6,Model!AE$1,'Assumptions (Petroleum)'!$V$9,'Assumptions (Petroleum)'!$V$4*Model!$S$2253*AVERAGE('Assumptions (Petroleum)'!$O$2:$Q$2)/10^9),0)</f>
        <v>0</v>
      </c>
      <c r="AB2378" s="160">
        <f>IF($S$2253&gt;0,IPMT('Assumptions (Petroleum)'!$V$6,Model!AF$1,'Assumptions (Petroleum)'!$V$9,'Assumptions (Petroleum)'!$V$4*Model!$S$2253*AVERAGE('Assumptions (Petroleum)'!$O$2:$Q$2)/10^9),0)</f>
        <v>0</v>
      </c>
      <c r="AC2378" s="160">
        <f>IF($S$2253&gt;0,IPMT('Assumptions (Petroleum)'!$V$6,Model!AG$1,'Assumptions (Petroleum)'!$V$9,'Assumptions (Petroleum)'!$V$4*Model!$S$2253*AVERAGE('Assumptions (Petroleum)'!$O$2:$Q$2)/10^9),0)</f>
        <v>0</v>
      </c>
      <c r="AD2378" s="160">
        <f>IF($S$2253&gt;0,IPMT('Assumptions (Petroleum)'!$V$6,Model!AH$1,'Assumptions (Petroleum)'!$V$9,'Assumptions (Petroleum)'!$V$4*Model!$S$2253*AVERAGE('Assumptions (Petroleum)'!$O$2:$Q$2)/10^9),0)</f>
        <v>0</v>
      </c>
      <c r="AE2378" s="160">
        <f>IF($S$2253&gt;0,IPMT('Assumptions (Petroleum)'!$V$6,Model!AI$1,'Assumptions (Petroleum)'!$V$9,'Assumptions (Petroleum)'!$V$4*Model!$S$2253*AVERAGE('Assumptions (Petroleum)'!$O$2:$Q$2)/10^9),0)</f>
        <v>0</v>
      </c>
      <c r="AF2378" s="160">
        <f>IF($S$2253&gt;0,IPMT('Assumptions (Petroleum)'!$V$6,Model!AJ$1,'Assumptions (Petroleum)'!$V$9,'Assumptions (Petroleum)'!$V$4*Model!$S$2253*AVERAGE('Assumptions (Petroleum)'!$O$2:$Q$2)/10^9),0)</f>
        <v>0</v>
      </c>
      <c r="AG2378" s="160">
        <f>IF($S$2253&gt;0,IPMT('Assumptions (Petroleum)'!$V$6,Model!AK$1,'Assumptions (Petroleum)'!$V$9,'Assumptions (Petroleum)'!$V$4*Model!$S$2253*AVERAGE('Assumptions (Petroleum)'!$O$2:$Q$2)/10^9),0)</f>
        <v>0</v>
      </c>
      <c r="AH2378" s="160"/>
      <c r="AI2378" s="160"/>
      <c r="AJ2378" s="160"/>
      <c r="AK2378" s="160"/>
      <c r="AL2378" s="160"/>
      <c r="AM2378" s="160"/>
      <c r="AN2378" s="160"/>
      <c r="AO2378" s="160"/>
      <c r="AP2378" s="160"/>
      <c r="AQ2378" s="160"/>
    </row>
    <row r="2379" ht="15.75" hidden="1" customHeight="1" outlineLevel="1">
      <c r="A2379" s="328"/>
      <c r="B2379" s="38"/>
      <c r="C2379" s="160"/>
      <c r="D2379" s="160"/>
      <c r="E2379" s="160"/>
      <c r="F2379" s="160"/>
      <c r="G2379" s="160"/>
      <c r="H2379" s="160"/>
      <c r="I2379" s="160"/>
      <c r="J2379" s="160"/>
      <c r="K2379" s="160"/>
      <c r="L2379" s="160"/>
      <c r="M2379" s="160"/>
      <c r="N2379" s="160"/>
      <c r="O2379" s="160"/>
      <c r="P2379" s="179"/>
      <c r="Q2379" s="160"/>
      <c r="R2379" s="177"/>
      <c r="S2379" s="177"/>
      <c r="T2379" s="160">
        <f>IF($T$2253&gt;0,IPMT('Assumptions (Petroleum)'!$V$6,Model!W$1,'Assumptions (Petroleum)'!$V$9,'Assumptions (Petroleum)'!$V$4*Model!$T$2253*AVERAGE('Assumptions (Petroleum)'!$P$2:$R$2)/10^9),0)</f>
        <v>0</v>
      </c>
      <c r="U2379" s="160">
        <f>IF($T$2253&gt;0,IPMT('Assumptions (Petroleum)'!$V$6,Model!X$1,'Assumptions (Petroleum)'!$V$9,'Assumptions (Petroleum)'!$V$4*Model!$T$2253*AVERAGE('Assumptions (Petroleum)'!$P$2:$R$2)/10^9),0)</f>
        <v>0</v>
      </c>
      <c r="V2379" s="160">
        <f>IF($T$2253&gt;0,IPMT('Assumptions (Petroleum)'!$V$6,Model!Y$1,'Assumptions (Petroleum)'!$V$9,'Assumptions (Petroleum)'!$V$4*Model!$T$2253*AVERAGE('Assumptions (Petroleum)'!$P$2:$R$2)/10^9),0)</f>
        <v>0</v>
      </c>
      <c r="W2379" s="160">
        <f>IF($T$2253&gt;0,IPMT('Assumptions (Petroleum)'!$V$6,Model!Z$1,'Assumptions (Petroleum)'!$V$9,'Assumptions (Petroleum)'!$V$4*Model!$T$2253*AVERAGE('Assumptions (Petroleum)'!$P$2:$R$2)/10^9),0)</f>
        <v>0</v>
      </c>
      <c r="X2379" s="160">
        <f>IF($T$2253&gt;0,IPMT('Assumptions (Petroleum)'!$V$6,Model!AA$1,'Assumptions (Petroleum)'!$V$9,'Assumptions (Petroleum)'!$V$4*Model!$T$2253*AVERAGE('Assumptions (Petroleum)'!$P$2:$R$2)/10^9),0)</f>
        <v>0</v>
      </c>
      <c r="Y2379" s="160">
        <f>IF($T$2253&gt;0,IPMT('Assumptions (Petroleum)'!$V$6,Model!AB$1,'Assumptions (Petroleum)'!$V$9,'Assumptions (Petroleum)'!$V$4*Model!$T$2253*AVERAGE('Assumptions (Petroleum)'!$P$2:$R$2)/10^9),0)</f>
        <v>0</v>
      </c>
      <c r="Z2379" s="160">
        <f>IF($T$2253&gt;0,IPMT('Assumptions (Petroleum)'!$V$6,Model!AC$1,'Assumptions (Petroleum)'!$V$9,'Assumptions (Petroleum)'!$V$4*Model!$T$2253*AVERAGE('Assumptions (Petroleum)'!$P$2:$R$2)/10^9),0)</f>
        <v>0</v>
      </c>
      <c r="AA2379" s="160">
        <f>IF($T$2253&gt;0,IPMT('Assumptions (Petroleum)'!$V$6,Model!AD$1,'Assumptions (Petroleum)'!$V$9,'Assumptions (Petroleum)'!$V$4*Model!$T$2253*AVERAGE('Assumptions (Petroleum)'!$P$2:$R$2)/10^9),0)</f>
        <v>0</v>
      </c>
      <c r="AB2379" s="160">
        <f>IF($T$2253&gt;0,IPMT('Assumptions (Petroleum)'!$V$6,Model!AE$1,'Assumptions (Petroleum)'!$V$9,'Assumptions (Petroleum)'!$V$4*Model!$T$2253*AVERAGE('Assumptions (Petroleum)'!$P$2:$R$2)/10^9),0)</f>
        <v>0</v>
      </c>
      <c r="AC2379" s="160">
        <f>IF($T$2253&gt;0,IPMT('Assumptions (Petroleum)'!$V$6,Model!AF$1,'Assumptions (Petroleum)'!$V$9,'Assumptions (Petroleum)'!$V$4*Model!$T$2253*AVERAGE('Assumptions (Petroleum)'!$P$2:$R$2)/10^9),0)</f>
        <v>0</v>
      </c>
      <c r="AD2379" s="160">
        <f>IF($T$2253&gt;0,IPMT('Assumptions (Petroleum)'!$V$6,Model!AG$1,'Assumptions (Petroleum)'!$V$9,'Assumptions (Petroleum)'!$V$4*Model!$T$2253*AVERAGE('Assumptions (Petroleum)'!$P$2:$R$2)/10^9),0)</f>
        <v>0</v>
      </c>
      <c r="AE2379" s="160">
        <f>IF($T$2253&gt;0,IPMT('Assumptions (Petroleum)'!$V$6,Model!AH$1,'Assumptions (Petroleum)'!$V$9,'Assumptions (Petroleum)'!$V$4*Model!$T$2253*AVERAGE('Assumptions (Petroleum)'!$P$2:$R$2)/10^9),0)</f>
        <v>0</v>
      </c>
      <c r="AF2379" s="160">
        <f>IF($T$2253&gt;0,IPMT('Assumptions (Petroleum)'!$V$6,Model!AI$1,'Assumptions (Petroleum)'!$V$9,'Assumptions (Petroleum)'!$V$4*Model!$T$2253*AVERAGE('Assumptions (Petroleum)'!$P$2:$R$2)/10^9),0)</f>
        <v>0</v>
      </c>
      <c r="AG2379" s="160">
        <f>IF($T$2253&gt;0,IPMT('Assumptions (Petroleum)'!$V$6,Model!AJ$1,'Assumptions (Petroleum)'!$V$9,'Assumptions (Petroleum)'!$V$4*Model!$T$2253*AVERAGE('Assumptions (Petroleum)'!$P$2:$R$2)/10^9),0)</f>
        <v>0</v>
      </c>
      <c r="AH2379" s="160">
        <f>IF($T$2253&gt;0,IPMT('Assumptions (Petroleum)'!$V$6,Model!AK$1,'Assumptions (Petroleum)'!$V$9,'Assumptions (Petroleum)'!$V$4*Model!$T$2253*AVERAGE('Assumptions (Petroleum)'!$P$2:$R$2)/10^9),0)</f>
        <v>0</v>
      </c>
      <c r="AI2379" s="160"/>
      <c r="AJ2379" s="160"/>
      <c r="AK2379" s="160"/>
      <c r="AL2379" s="160"/>
      <c r="AM2379" s="160"/>
      <c r="AN2379" s="160"/>
      <c r="AO2379" s="160"/>
      <c r="AP2379" s="160"/>
      <c r="AQ2379" s="160"/>
      <c r="AR2379" s="160"/>
    </row>
    <row r="2380" ht="15.75" hidden="1" customHeight="1" outlineLevel="1">
      <c r="A2380" s="328"/>
      <c r="B2380" s="38"/>
      <c r="C2380" s="160"/>
      <c r="D2380" s="160"/>
      <c r="E2380" s="160"/>
      <c r="F2380" s="160"/>
      <c r="G2380" s="160"/>
      <c r="H2380" s="160"/>
      <c r="I2380" s="160"/>
      <c r="J2380" s="160"/>
      <c r="K2380" s="160"/>
      <c r="L2380" s="160"/>
      <c r="M2380" s="160"/>
      <c r="N2380" s="160"/>
      <c r="O2380" s="160"/>
      <c r="P2380" s="179"/>
      <c r="Q2380" s="160"/>
      <c r="R2380" s="177"/>
      <c r="S2380" s="177"/>
      <c r="T2380" s="177"/>
      <c r="U2380" s="160">
        <f>IF($U$2253&gt;0,IPMT('Assumptions (Petroleum)'!$V$6,Model!W$1,'Assumptions (Petroleum)'!$V$9,'Assumptions (Petroleum)'!$V$4*Model!$U$2253*AVERAGE('Assumptions (Petroleum)'!$Q$2:$S$2)/10^9),0)</f>
        <v>0</v>
      </c>
      <c r="V2380" s="160">
        <f>IF($U$2253&gt;0,IPMT('Assumptions (Petroleum)'!$V$6,Model!X$1,'Assumptions (Petroleum)'!$V$9,'Assumptions (Petroleum)'!$V$4*Model!$U$2253*AVERAGE('Assumptions (Petroleum)'!$Q$2:$S$2)/10^9),0)</f>
        <v>0</v>
      </c>
      <c r="W2380" s="160">
        <f>IF($U$2253&gt;0,IPMT('Assumptions (Petroleum)'!$V$6,Model!Y$1,'Assumptions (Petroleum)'!$V$9,'Assumptions (Petroleum)'!$V$4*Model!$U$2253*AVERAGE('Assumptions (Petroleum)'!$Q$2:$S$2)/10^9),0)</f>
        <v>0</v>
      </c>
      <c r="X2380" s="160">
        <f>IF($U$2253&gt;0,IPMT('Assumptions (Petroleum)'!$V$6,Model!Z$1,'Assumptions (Petroleum)'!$V$9,'Assumptions (Petroleum)'!$V$4*Model!$U$2253*AVERAGE('Assumptions (Petroleum)'!$Q$2:$S$2)/10^9),0)</f>
        <v>0</v>
      </c>
      <c r="Y2380" s="160">
        <f>IF($U$2253&gt;0,IPMT('Assumptions (Petroleum)'!$V$6,Model!AA$1,'Assumptions (Petroleum)'!$V$9,'Assumptions (Petroleum)'!$V$4*Model!$U$2253*AVERAGE('Assumptions (Petroleum)'!$Q$2:$S$2)/10^9),0)</f>
        <v>0</v>
      </c>
      <c r="Z2380" s="160">
        <f>IF($U$2253&gt;0,IPMT('Assumptions (Petroleum)'!$V$6,Model!AB$1,'Assumptions (Petroleum)'!$V$9,'Assumptions (Petroleum)'!$V$4*Model!$U$2253*AVERAGE('Assumptions (Petroleum)'!$Q$2:$S$2)/10^9),0)</f>
        <v>0</v>
      </c>
      <c r="AA2380" s="160">
        <f>IF($U$2253&gt;0,IPMT('Assumptions (Petroleum)'!$V$6,Model!AC$1,'Assumptions (Petroleum)'!$V$9,'Assumptions (Petroleum)'!$V$4*Model!$U$2253*AVERAGE('Assumptions (Petroleum)'!$Q$2:$S$2)/10^9),0)</f>
        <v>0</v>
      </c>
      <c r="AB2380" s="160">
        <f>IF($U$2253&gt;0,IPMT('Assumptions (Petroleum)'!$V$6,Model!AD$1,'Assumptions (Petroleum)'!$V$9,'Assumptions (Petroleum)'!$V$4*Model!$U$2253*AVERAGE('Assumptions (Petroleum)'!$Q$2:$S$2)/10^9),0)</f>
        <v>0</v>
      </c>
      <c r="AC2380" s="160">
        <f>IF($U$2253&gt;0,IPMT('Assumptions (Petroleum)'!$V$6,Model!AE$1,'Assumptions (Petroleum)'!$V$9,'Assumptions (Petroleum)'!$V$4*Model!$U$2253*AVERAGE('Assumptions (Petroleum)'!$Q$2:$S$2)/10^9),0)</f>
        <v>0</v>
      </c>
      <c r="AD2380" s="160">
        <f>IF($U$2253&gt;0,IPMT('Assumptions (Petroleum)'!$V$6,Model!AF$1,'Assumptions (Petroleum)'!$V$9,'Assumptions (Petroleum)'!$V$4*Model!$U$2253*AVERAGE('Assumptions (Petroleum)'!$Q$2:$S$2)/10^9),0)</f>
        <v>0</v>
      </c>
      <c r="AE2380" s="160">
        <f>IF($U$2253&gt;0,IPMT('Assumptions (Petroleum)'!$V$6,Model!AG$1,'Assumptions (Petroleum)'!$V$9,'Assumptions (Petroleum)'!$V$4*Model!$U$2253*AVERAGE('Assumptions (Petroleum)'!$Q$2:$S$2)/10^9),0)</f>
        <v>0</v>
      </c>
      <c r="AF2380" s="160">
        <f>IF($U$2253&gt;0,IPMT('Assumptions (Petroleum)'!$V$6,Model!AH$1,'Assumptions (Petroleum)'!$V$9,'Assumptions (Petroleum)'!$V$4*Model!$U$2253*AVERAGE('Assumptions (Petroleum)'!$Q$2:$S$2)/10^9),0)</f>
        <v>0</v>
      </c>
      <c r="AG2380" s="160">
        <f>IF($U$2253&gt;0,IPMT('Assumptions (Petroleum)'!$V$6,Model!AI$1,'Assumptions (Petroleum)'!$V$9,'Assumptions (Petroleum)'!$V$4*Model!$U$2253*AVERAGE('Assumptions (Petroleum)'!$Q$2:$S$2)/10^9),0)</f>
        <v>0</v>
      </c>
      <c r="AH2380" s="160">
        <f>IF($U$2253&gt;0,IPMT('Assumptions (Petroleum)'!$V$6,Model!AJ$1,'Assumptions (Petroleum)'!$V$9,'Assumptions (Petroleum)'!$V$4*Model!$U$2253*AVERAGE('Assumptions (Petroleum)'!$Q$2:$S$2)/10^9),0)</f>
        <v>0</v>
      </c>
      <c r="AI2380" s="160">
        <f>IF($U$2253&gt;0,IPMT('Assumptions (Petroleum)'!$V$6,Model!AK$1,'Assumptions (Petroleum)'!$V$9,'Assumptions (Petroleum)'!$V$4*Model!$U$2253*AVERAGE('Assumptions (Petroleum)'!$Q$2:$S$2)/10^9),0)</f>
        <v>0</v>
      </c>
      <c r="AJ2380" s="160"/>
      <c r="AK2380" s="160"/>
      <c r="AL2380" s="160"/>
      <c r="AM2380" s="160"/>
      <c r="AN2380" s="160"/>
      <c r="AO2380" s="160"/>
      <c r="AP2380" s="160"/>
      <c r="AQ2380" s="160"/>
      <c r="AR2380" s="160"/>
      <c r="AS2380" s="160"/>
    </row>
    <row r="2381" ht="15.75" hidden="1" customHeight="1" outlineLevel="1">
      <c r="A2381" s="328"/>
      <c r="B2381" s="38"/>
      <c r="C2381" s="160"/>
      <c r="D2381" s="160"/>
      <c r="E2381" s="160"/>
      <c r="F2381" s="160"/>
      <c r="G2381" s="160"/>
      <c r="H2381" s="160"/>
      <c r="I2381" s="160"/>
      <c r="J2381" s="160"/>
      <c r="K2381" s="160"/>
      <c r="L2381" s="160"/>
      <c r="M2381" s="160"/>
      <c r="N2381" s="160"/>
      <c r="O2381" s="160"/>
      <c r="P2381" s="179"/>
      <c r="Q2381" s="160"/>
      <c r="R2381" s="177"/>
      <c r="S2381" s="177"/>
      <c r="T2381" s="177"/>
      <c r="U2381" s="160"/>
      <c r="V2381" s="160">
        <f>IF($V$2253&gt;0,IPMT('Assumptions (Petroleum)'!$V$6,Model!W$1,'Assumptions (Petroleum)'!$V$9,'Assumptions (Petroleum)'!$V$4*Model!$V$2253*AVERAGE('Assumptions (Petroleum)'!$R$2:$T$2)/10^9),0)</f>
        <v>0</v>
      </c>
      <c r="W2381" s="160">
        <f>IF($V$2253&gt;0,IPMT('Assumptions (Petroleum)'!$V$6,Model!X$1,'Assumptions (Petroleum)'!$V$9,'Assumptions (Petroleum)'!$V$4*Model!$V$2253*AVERAGE('Assumptions (Petroleum)'!$R$2:$T$2)/10^9),0)</f>
        <v>0</v>
      </c>
      <c r="X2381" s="160">
        <f>IF($V$2253&gt;0,IPMT('Assumptions (Petroleum)'!$V$6,Model!Y$1,'Assumptions (Petroleum)'!$V$9,'Assumptions (Petroleum)'!$V$4*Model!$V$2253*AVERAGE('Assumptions (Petroleum)'!$R$2:$T$2)/10^9),0)</f>
        <v>0</v>
      </c>
      <c r="Y2381" s="160">
        <f>IF($V$2253&gt;0,IPMT('Assumptions (Petroleum)'!$V$6,Model!Z$1,'Assumptions (Petroleum)'!$V$9,'Assumptions (Petroleum)'!$V$4*Model!$V$2253*AVERAGE('Assumptions (Petroleum)'!$R$2:$T$2)/10^9),0)</f>
        <v>0</v>
      </c>
      <c r="Z2381" s="160">
        <f>IF($V$2253&gt;0,IPMT('Assumptions (Petroleum)'!$V$6,Model!AA$1,'Assumptions (Petroleum)'!$V$9,'Assumptions (Petroleum)'!$V$4*Model!$V$2253*AVERAGE('Assumptions (Petroleum)'!$R$2:$T$2)/10^9),0)</f>
        <v>0</v>
      </c>
      <c r="AA2381" s="160">
        <f>IF($V$2253&gt;0,IPMT('Assumptions (Petroleum)'!$V$6,Model!AB$1,'Assumptions (Petroleum)'!$V$9,'Assumptions (Petroleum)'!$V$4*Model!$V$2253*AVERAGE('Assumptions (Petroleum)'!$R$2:$T$2)/10^9),0)</f>
        <v>0</v>
      </c>
      <c r="AB2381" s="160">
        <f>IF($V$2253&gt;0,IPMT('Assumptions (Petroleum)'!$V$6,Model!AC$1,'Assumptions (Petroleum)'!$V$9,'Assumptions (Petroleum)'!$V$4*Model!$V$2253*AVERAGE('Assumptions (Petroleum)'!$R$2:$T$2)/10^9),0)</f>
        <v>0</v>
      </c>
      <c r="AC2381" s="160">
        <f>IF($V$2253&gt;0,IPMT('Assumptions (Petroleum)'!$V$6,Model!AD$1,'Assumptions (Petroleum)'!$V$9,'Assumptions (Petroleum)'!$V$4*Model!$V$2253*AVERAGE('Assumptions (Petroleum)'!$R$2:$T$2)/10^9),0)</f>
        <v>0</v>
      </c>
      <c r="AD2381" s="160">
        <f>IF($V$2253&gt;0,IPMT('Assumptions (Petroleum)'!$V$6,Model!AE$1,'Assumptions (Petroleum)'!$V$9,'Assumptions (Petroleum)'!$V$4*Model!$V$2253*AVERAGE('Assumptions (Petroleum)'!$R$2:$T$2)/10^9),0)</f>
        <v>0</v>
      </c>
      <c r="AE2381" s="160">
        <f>IF($V$2253&gt;0,IPMT('Assumptions (Petroleum)'!$V$6,Model!AF$1,'Assumptions (Petroleum)'!$V$9,'Assumptions (Petroleum)'!$V$4*Model!$V$2253*AVERAGE('Assumptions (Petroleum)'!$R$2:$T$2)/10^9),0)</f>
        <v>0</v>
      </c>
      <c r="AF2381" s="160">
        <f>IF($V$2253&gt;0,IPMT('Assumptions (Petroleum)'!$V$6,Model!AG$1,'Assumptions (Petroleum)'!$V$9,'Assumptions (Petroleum)'!$V$4*Model!$V$2253*AVERAGE('Assumptions (Petroleum)'!$R$2:$T$2)/10^9),0)</f>
        <v>0</v>
      </c>
      <c r="AG2381" s="160">
        <f>IF($V$2253&gt;0,IPMT('Assumptions (Petroleum)'!$V$6,Model!AH$1,'Assumptions (Petroleum)'!$V$9,'Assumptions (Petroleum)'!$V$4*Model!$V$2253*AVERAGE('Assumptions (Petroleum)'!$R$2:$T$2)/10^9),0)</f>
        <v>0</v>
      </c>
      <c r="AH2381" s="160">
        <f>IF($V$2253&gt;0,IPMT('Assumptions (Petroleum)'!$V$6,Model!AI$1,'Assumptions (Petroleum)'!$V$9,'Assumptions (Petroleum)'!$V$4*Model!$V$2253*AVERAGE('Assumptions (Petroleum)'!$R$2:$T$2)/10^9),0)</f>
        <v>0</v>
      </c>
      <c r="AI2381" s="160">
        <f>IF($V$2253&gt;0,IPMT('Assumptions (Petroleum)'!$V$6,Model!AJ$1,'Assumptions (Petroleum)'!$V$9,'Assumptions (Petroleum)'!$V$4*Model!$V$2253*AVERAGE('Assumptions (Petroleum)'!$R$2:$T$2)/10^9),0)</f>
        <v>0</v>
      </c>
      <c r="AJ2381" s="160">
        <f>IF($V$2253&gt;0,IPMT('Assumptions (Petroleum)'!$V$6,Model!AK$1,'Assumptions (Petroleum)'!$V$9,'Assumptions (Petroleum)'!$V$4*Model!$V$2253*AVERAGE('Assumptions (Petroleum)'!$R$2:$T$2)/10^9),0)</f>
        <v>0</v>
      </c>
      <c r="AK2381" s="160"/>
      <c r="AL2381" s="160"/>
      <c r="AM2381" s="160"/>
      <c r="AN2381" s="160"/>
      <c r="AO2381" s="160"/>
      <c r="AP2381" s="160"/>
      <c r="AQ2381" s="160"/>
      <c r="AR2381" s="160"/>
      <c r="AS2381" s="160"/>
      <c r="AT2381" s="160"/>
    </row>
    <row r="2382" ht="15.75" hidden="1" customHeight="1" outlineLevel="1">
      <c r="A2382" s="328"/>
      <c r="B2382" s="38"/>
      <c r="C2382" s="174"/>
      <c r="D2382" s="174"/>
      <c r="E2382" s="174"/>
      <c r="F2382" s="174"/>
      <c r="G2382" s="174"/>
      <c r="H2382" s="174"/>
      <c r="I2382" s="174"/>
      <c r="J2382" s="174"/>
      <c r="K2382" s="174"/>
      <c r="L2382" s="174"/>
      <c r="M2382" s="174"/>
      <c r="N2382" s="174"/>
      <c r="O2382" s="174"/>
      <c r="P2382" s="174"/>
      <c r="Q2382" s="174"/>
      <c r="R2382" s="174"/>
      <c r="S2382" s="174"/>
      <c r="T2382" s="174"/>
      <c r="U2382" s="174"/>
      <c r="V2382" s="174"/>
      <c r="W2382" s="160">
        <f>IF($W$2253&gt;0,IPMT('Assumptions (Petroleum)'!$V$6,Model!W$1,'Assumptions (Petroleum)'!$V$9,'Assumptions (Petroleum)'!$V$4*Model!$W$2253*average('Assumptions (Petroleum)'!$S$2:$U$2)/10^9),0)</f>
        <v>0</v>
      </c>
      <c r="X2382" s="160">
        <f>IF($W$2253&gt;0,IPMT('Assumptions (Petroleum)'!$V$6,Model!X$1,'Assumptions (Petroleum)'!$V$9,'Assumptions (Petroleum)'!$V$4*Model!$W$2253*average('Assumptions (Petroleum)'!$S$2:$U$2)/10^9),0)</f>
        <v>0</v>
      </c>
      <c r="Y2382" s="160">
        <f>IF($W$2253&gt;0,IPMT('Assumptions (Petroleum)'!$V$6,Model!Y$1,'Assumptions (Petroleum)'!$V$9,'Assumptions (Petroleum)'!$V$4*Model!$W$2253*average('Assumptions (Petroleum)'!$S$2:$U$2)/10^9),0)</f>
        <v>0</v>
      </c>
      <c r="Z2382" s="160">
        <f>IF($W$2253&gt;0,IPMT('Assumptions (Petroleum)'!$V$6,Model!Z$1,'Assumptions (Petroleum)'!$V$9,'Assumptions (Petroleum)'!$V$4*Model!$W$2253*average('Assumptions (Petroleum)'!$S$2:$U$2)/10^9),0)</f>
        <v>0</v>
      </c>
      <c r="AA2382" s="160">
        <f>IF($W$2253&gt;0,IPMT('Assumptions (Petroleum)'!$V$6,Model!AA$1,'Assumptions (Petroleum)'!$V$9,'Assumptions (Petroleum)'!$V$4*Model!$W$2253*average('Assumptions (Petroleum)'!$S$2:$U$2)/10^9),0)</f>
        <v>0</v>
      </c>
      <c r="AB2382" s="160">
        <f>IF($W$2253&gt;0,IPMT('Assumptions (Petroleum)'!$V$6,Model!AB$1,'Assumptions (Petroleum)'!$V$9,'Assumptions (Petroleum)'!$V$4*Model!$W$2253*average('Assumptions (Petroleum)'!$S$2:$U$2)/10^9),0)</f>
        <v>0</v>
      </c>
      <c r="AC2382" s="160">
        <f>IF($W$2253&gt;0,IPMT('Assumptions (Petroleum)'!$V$6,Model!AC$1,'Assumptions (Petroleum)'!$V$9,'Assumptions (Petroleum)'!$V$4*Model!$W$2253*average('Assumptions (Petroleum)'!$S$2:$U$2)/10^9),0)</f>
        <v>0</v>
      </c>
      <c r="AD2382" s="160">
        <f>IF($W$2253&gt;0,IPMT('Assumptions (Petroleum)'!$V$6,Model!AD$1,'Assumptions (Petroleum)'!$V$9,'Assumptions (Petroleum)'!$V$4*Model!$W$2253*average('Assumptions (Petroleum)'!$S$2:$U$2)/10^9),0)</f>
        <v>0</v>
      </c>
      <c r="AE2382" s="160">
        <f>IF($W$2253&gt;0,IPMT('Assumptions (Petroleum)'!$V$6,Model!AE$1,'Assumptions (Petroleum)'!$V$9,'Assumptions (Petroleum)'!$V$4*Model!$W$2253*average('Assumptions (Petroleum)'!$S$2:$U$2)/10^9),0)</f>
        <v>0</v>
      </c>
      <c r="AF2382" s="160">
        <f>IF($W$2253&gt;0,IPMT('Assumptions (Petroleum)'!$V$6,Model!AF$1,'Assumptions (Petroleum)'!$V$9,'Assumptions (Petroleum)'!$V$4*Model!$W$2253*average('Assumptions (Petroleum)'!$S$2:$U$2)/10^9),0)</f>
        <v>0</v>
      </c>
      <c r="AG2382" s="160">
        <f>IF($W$2253&gt;0,IPMT('Assumptions (Petroleum)'!$V$6,Model!AG$1,'Assumptions (Petroleum)'!$V$9,'Assumptions (Petroleum)'!$V$4*Model!$W$2253*average('Assumptions (Petroleum)'!$S$2:$U$2)/10^9),0)</f>
        <v>0</v>
      </c>
      <c r="AH2382" s="160">
        <f>IF($W$2253&gt;0,IPMT('Assumptions (Petroleum)'!$V$6,Model!AH$1,'Assumptions (Petroleum)'!$V$9,'Assumptions (Petroleum)'!$V$4*Model!$W$2253*average('Assumptions (Petroleum)'!$S$2:$U$2)/10^9),0)</f>
        <v>0</v>
      </c>
      <c r="AI2382" s="160">
        <f>IF($W$2253&gt;0,IPMT('Assumptions (Petroleum)'!$V$6,Model!AI$1,'Assumptions (Petroleum)'!$V$9,'Assumptions (Petroleum)'!$V$4*Model!$W$2253*average('Assumptions (Petroleum)'!$S$2:$U$2)/10^9),0)</f>
        <v>0</v>
      </c>
      <c r="AJ2382" s="160">
        <f>IF($W$2253&gt;0,IPMT('Assumptions (Petroleum)'!$V$6,Model!AJ$1,'Assumptions (Petroleum)'!$V$9,'Assumptions (Petroleum)'!$V$4*Model!$W$2253*average('Assumptions (Petroleum)'!$S$2:$U$2)/10^9),0)</f>
        <v>0</v>
      </c>
      <c r="AK2382" s="160">
        <f>IF($W$2253&gt;0,IPMT('Assumptions (Petroleum)'!$V$6,Model!AK$1,'Assumptions (Petroleum)'!$V$9,'Assumptions (Petroleum)'!$V$4*Model!$W$2253*average('Assumptions (Petroleum)'!$S$2:$U$2)/10^9),0)</f>
        <v>0</v>
      </c>
      <c r="AL2382" s="160"/>
      <c r="AM2382" s="160"/>
      <c r="AN2382" s="160"/>
      <c r="AO2382" s="160"/>
      <c r="AP2382" s="160"/>
      <c r="AQ2382" s="160"/>
      <c r="AR2382" s="160"/>
      <c r="AS2382" s="160"/>
      <c r="AT2382" s="160"/>
      <c r="AU2382" s="160"/>
      <c r="AV2382" s="160"/>
      <c r="AW2382" s="160"/>
      <c r="AX2382" s="160"/>
      <c r="AY2382" s="160"/>
      <c r="AZ2382" s="160"/>
      <c r="BA2382" s="160"/>
    </row>
    <row r="2383" ht="15.75" hidden="1" customHeight="1" outlineLevel="1">
      <c r="A2383" s="328"/>
      <c r="B2383" s="38"/>
      <c r="C2383" s="174"/>
      <c r="D2383" s="174"/>
      <c r="E2383" s="174"/>
      <c r="F2383" s="174"/>
      <c r="G2383" s="174"/>
      <c r="H2383" s="174"/>
      <c r="I2383" s="174"/>
      <c r="J2383" s="174"/>
      <c r="K2383" s="174"/>
      <c r="L2383" s="174"/>
      <c r="M2383" s="174"/>
      <c r="N2383" s="174"/>
      <c r="O2383" s="174"/>
      <c r="P2383" s="174"/>
      <c r="Q2383" s="174"/>
      <c r="R2383" s="174"/>
      <c r="S2383" s="174"/>
      <c r="T2383" s="174"/>
      <c r="U2383" s="174"/>
      <c r="V2383" s="174"/>
      <c r="W2383" s="160"/>
      <c r="X2383" s="160">
        <f>IF($X$2253&gt;0,IPMT('Assumptions (Petroleum)'!$V$6,Model!W$1,'Assumptions (Petroleum)'!$V$9,'Assumptions (Petroleum)'!$V$4*Model!$X$2253*average('Assumptions (Petroleum)'!$T$2:$V$2)/10^9),0)</f>
        <v>0</v>
      </c>
      <c r="Y2383" s="160">
        <f>IF($X$2253&gt;0,IPMT('Assumptions (Petroleum)'!$V$6,Model!X$1,'Assumptions (Petroleum)'!$V$9,'Assumptions (Petroleum)'!$V$4*Model!$X$2253*average('Assumptions (Petroleum)'!$T$2:$V$2)/10^9),0)</f>
        <v>0</v>
      </c>
      <c r="Z2383" s="160">
        <f>IF($X$2253&gt;0,IPMT('Assumptions (Petroleum)'!$V$6,Model!Y$1,'Assumptions (Petroleum)'!$V$9,'Assumptions (Petroleum)'!$V$4*Model!$X$2253*average('Assumptions (Petroleum)'!$T$2:$V$2)/10^9),0)</f>
        <v>0</v>
      </c>
      <c r="AA2383" s="160">
        <f>IF($X$2253&gt;0,IPMT('Assumptions (Petroleum)'!$V$6,Model!Z$1,'Assumptions (Petroleum)'!$V$9,'Assumptions (Petroleum)'!$V$4*Model!$X$2253*average('Assumptions (Petroleum)'!$T$2:$V$2)/10^9),0)</f>
        <v>0</v>
      </c>
      <c r="AB2383" s="160">
        <f>IF($X$2253&gt;0,IPMT('Assumptions (Petroleum)'!$V$6,Model!AA$1,'Assumptions (Petroleum)'!$V$9,'Assumptions (Petroleum)'!$V$4*Model!$X$2253*average('Assumptions (Petroleum)'!$T$2:$V$2)/10^9),0)</f>
        <v>0</v>
      </c>
      <c r="AC2383" s="160">
        <f>IF($X$2253&gt;0,IPMT('Assumptions (Petroleum)'!$V$6,Model!AB$1,'Assumptions (Petroleum)'!$V$9,'Assumptions (Petroleum)'!$V$4*Model!$X$2253*average('Assumptions (Petroleum)'!$T$2:$V$2)/10^9),0)</f>
        <v>0</v>
      </c>
      <c r="AD2383" s="160">
        <f>IF($X$2253&gt;0,IPMT('Assumptions (Petroleum)'!$V$6,Model!AC$1,'Assumptions (Petroleum)'!$V$9,'Assumptions (Petroleum)'!$V$4*Model!$X$2253*average('Assumptions (Petroleum)'!$T$2:$V$2)/10^9),0)</f>
        <v>0</v>
      </c>
      <c r="AE2383" s="160">
        <f>IF($X$2253&gt;0,IPMT('Assumptions (Petroleum)'!$V$6,Model!AD$1,'Assumptions (Petroleum)'!$V$9,'Assumptions (Petroleum)'!$V$4*Model!$X$2253*average('Assumptions (Petroleum)'!$T$2:$V$2)/10^9),0)</f>
        <v>0</v>
      </c>
      <c r="AF2383" s="160">
        <f>IF($X$2253&gt;0,IPMT('Assumptions (Petroleum)'!$V$6,Model!AE$1,'Assumptions (Petroleum)'!$V$9,'Assumptions (Petroleum)'!$V$4*Model!$X$2253*average('Assumptions (Petroleum)'!$T$2:$V$2)/10^9),0)</f>
        <v>0</v>
      </c>
      <c r="AG2383" s="160">
        <f>IF($X$2253&gt;0,IPMT('Assumptions (Petroleum)'!$V$6,Model!AF$1,'Assumptions (Petroleum)'!$V$9,'Assumptions (Petroleum)'!$V$4*Model!$X$2253*average('Assumptions (Petroleum)'!$T$2:$V$2)/10^9),0)</f>
        <v>0</v>
      </c>
      <c r="AH2383" s="160">
        <f>IF($X$2253&gt;0,IPMT('Assumptions (Petroleum)'!$V$6,Model!AG$1,'Assumptions (Petroleum)'!$V$9,'Assumptions (Petroleum)'!$V$4*Model!$X$2253*average('Assumptions (Petroleum)'!$T$2:$V$2)/10^9),0)</f>
        <v>0</v>
      </c>
      <c r="AI2383" s="160">
        <f>IF($X$2253&gt;0,IPMT('Assumptions (Petroleum)'!$V$6,Model!AH$1,'Assumptions (Petroleum)'!$V$9,'Assumptions (Petroleum)'!$V$4*Model!$X$2253*average('Assumptions (Petroleum)'!$T$2:$V$2)/10^9),0)</f>
        <v>0</v>
      </c>
      <c r="AJ2383" s="160">
        <f>IF($X$2253&gt;0,IPMT('Assumptions (Petroleum)'!$V$6,Model!AI$1,'Assumptions (Petroleum)'!$V$9,'Assumptions (Petroleum)'!$V$4*Model!$X$2253*average('Assumptions (Petroleum)'!$T$2:$V$2)/10^9),0)</f>
        <v>0</v>
      </c>
      <c r="AK2383" s="160">
        <f>IF($X$2253&gt;0,IPMT('Assumptions (Petroleum)'!$V$6,Model!AJ$1,'Assumptions (Petroleum)'!$V$9,'Assumptions (Petroleum)'!$V$4*Model!$X$2253*average('Assumptions (Petroleum)'!$T$2:$V$2)/10^9),0)</f>
        <v>0</v>
      </c>
      <c r="AL2383" s="160">
        <f>IF($X$2253&gt;0,IPMT('Assumptions (Petroleum)'!$V$6,Model!AK$1,'Assumptions (Petroleum)'!$V$9,'Assumptions (Petroleum)'!$V$4*Model!$X$2253*average('Assumptions (Petroleum)'!$T$2:$V$2)/10^9),0)</f>
        <v>0</v>
      </c>
      <c r="AM2383" s="160"/>
      <c r="AN2383" s="160"/>
      <c r="AO2383" s="160"/>
      <c r="AP2383" s="160"/>
      <c r="AQ2383" s="160"/>
      <c r="AR2383" s="160"/>
      <c r="AS2383" s="160"/>
      <c r="AT2383" s="160"/>
      <c r="AU2383" s="160"/>
      <c r="AV2383" s="160"/>
      <c r="AW2383" s="160"/>
      <c r="AX2383" s="160"/>
      <c r="AY2383" s="160"/>
      <c r="AZ2383" s="160"/>
      <c r="BA2383" s="160"/>
    </row>
    <row r="2384" ht="15.75" hidden="1" customHeight="1" outlineLevel="1">
      <c r="A2384" s="328"/>
      <c r="B2384" s="38"/>
      <c r="C2384" s="174"/>
      <c r="D2384" s="174"/>
      <c r="E2384" s="174"/>
      <c r="F2384" s="174"/>
      <c r="G2384" s="174"/>
      <c r="H2384" s="174"/>
      <c r="I2384" s="174"/>
      <c r="J2384" s="174"/>
      <c r="K2384" s="174"/>
      <c r="L2384" s="174"/>
      <c r="M2384" s="174"/>
      <c r="N2384" s="174"/>
      <c r="O2384" s="174"/>
      <c r="P2384" s="174"/>
      <c r="Q2384" s="174"/>
      <c r="R2384" s="174"/>
      <c r="S2384" s="174"/>
      <c r="T2384" s="174"/>
      <c r="U2384" s="174"/>
      <c r="V2384" s="174"/>
      <c r="W2384" s="160"/>
      <c r="X2384" s="160"/>
      <c r="Y2384" s="160">
        <f>IF($Y$2253&gt;0,IPMT('Assumptions (Petroleum)'!$V$6,Model!W$1,'Assumptions (Petroleum)'!$V$9,'Assumptions (Petroleum)'!$V$4*Model!$Y$2253*AVERAGE('Assumptions (Petroleum)'!$U$2:$W$2)/10^9),0)</f>
        <v>0</v>
      </c>
      <c r="Z2384" s="160">
        <f>IF($Y$2253&gt;0,IPMT('Assumptions (Petroleum)'!$V$6,Model!X$1,'Assumptions (Petroleum)'!$V$9,'Assumptions (Petroleum)'!$V$4*Model!$Y$2253*AVERAGE('Assumptions (Petroleum)'!$U$2:$W$2)/10^9),0)</f>
        <v>0</v>
      </c>
      <c r="AA2384" s="160">
        <f>IF($Y$2253&gt;0,IPMT('Assumptions (Petroleum)'!$V$6,Model!Y$1,'Assumptions (Petroleum)'!$V$9,'Assumptions (Petroleum)'!$V$4*Model!$Y$2253*AVERAGE('Assumptions (Petroleum)'!$U$2:$W$2)/10^9),0)</f>
        <v>0</v>
      </c>
      <c r="AB2384" s="160">
        <f>IF($Y$2253&gt;0,IPMT('Assumptions (Petroleum)'!$V$6,Model!Z$1,'Assumptions (Petroleum)'!$V$9,'Assumptions (Petroleum)'!$V$4*Model!$Y$2253*AVERAGE('Assumptions (Petroleum)'!$U$2:$W$2)/10^9),0)</f>
        <v>0</v>
      </c>
      <c r="AC2384" s="160">
        <f>IF($Y$2253&gt;0,IPMT('Assumptions (Petroleum)'!$V$6,Model!AA$1,'Assumptions (Petroleum)'!$V$9,'Assumptions (Petroleum)'!$V$4*Model!$Y$2253*AVERAGE('Assumptions (Petroleum)'!$U$2:$W$2)/10^9),0)</f>
        <v>0</v>
      </c>
      <c r="AD2384" s="160">
        <f>IF($Y$2253&gt;0,IPMT('Assumptions (Petroleum)'!$V$6,Model!AB$1,'Assumptions (Petroleum)'!$V$9,'Assumptions (Petroleum)'!$V$4*Model!$Y$2253*AVERAGE('Assumptions (Petroleum)'!$U$2:$W$2)/10^9),0)</f>
        <v>0</v>
      </c>
      <c r="AE2384" s="160">
        <f>IF($Y$2253&gt;0,IPMT('Assumptions (Petroleum)'!$V$6,Model!AC$1,'Assumptions (Petroleum)'!$V$9,'Assumptions (Petroleum)'!$V$4*Model!$Y$2253*AVERAGE('Assumptions (Petroleum)'!$U$2:$W$2)/10^9),0)</f>
        <v>0</v>
      </c>
      <c r="AF2384" s="160">
        <f>IF($Y$2253&gt;0,IPMT('Assumptions (Petroleum)'!$V$6,Model!AD$1,'Assumptions (Petroleum)'!$V$9,'Assumptions (Petroleum)'!$V$4*Model!$Y$2253*AVERAGE('Assumptions (Petroleum)'!$U$2:$W$2)/10^9),0)</f>
        <v>0</v>
      </c>
      <c r="AG2384" s="160">
        <f>IF($Y$2253&gt;0,IPMT('Assumptions (Petroleum)'!$V$6,Model!AE$1,'Assumptions (Petroleum)'!$V$9,'Assumptions (Petroleum)'!$V$4*Model!$Y$2253*AVERAGE('Assumptions (Petroleum)'!$U$2:$W$2)/10^9),0)</f>
        <v>0</v>
      </c>
      <c r="AH2384" s="160">
        <f>IF($Y$2253&gt;0,IPMT('Assumptions (Petroleum)'!$V$6,Model!AF$1,'Assumptions (Petroleum)'!$V$9,'Assumptions (Petroleum)'!$V$4*Model!$Y$2253*AVERAGE('Assumptions (Petroleum)'!$U$2:$W$2)/10^9),0)</f>
        <v>0</v>
      </c>
      <c r="AI2384" s="160">
        <f>IF($Y$2253&gt;0,IPMT('Assumptions (Petroleum)'!$V$6,Model!AG$1,'Assumptions (Petroleum)'!$V$9,'Assumptions (Petroleum)'!$V$4*Model!$Y$2253*AVERAGE('Assumptions (Petroleum)'!$U$2:$W$2)/10^9),0)</f>
        <v>0</v>
      </c>
      <c r="AJ2384" s="160">
        <f>IF($Y$2253&gt;0,IPMT('Assumptions (Petroleum)'!$V$6,Model!AH$1,'Assumptions (Petroleum)'!$V$9,'Assumptions (Petroleum)'!$V$4*Model!$Y$2253*AVERAGE('Assumptions (Petroleum)'!$U$2:$W$2)/10^9),0)</f>
        <v>0</v>
      </c>
      <c r="AK2384" s="160">
        <f>IF($Y$2253&gt;0,IPMT('Assumptions (Petroleum)'!$V$6,Model!AI$1,'Assumptions (Petroleum)'!$V$9,'Assumptions (Petroleum)'!$V$4*Model!$Y$2253*AVERAGE('Assumptions (Petroleum)'!$U$2:$W$2)/10^9),0)</f>
        <v>0</v>
      </c>
      <c r="AL2384" s="160">
        <f>IF($Y$2253&gt;0,IPMT('Assumptions (Petroleum)'!$V$6,Model!AJ$1,'Assumptions (Petroleum)'!$V$9,'Assumptions (Petroleum)'!$V$4*Model!$Y$2253*AVERAGE('Assumptions (Petroleum)'!$U$2:$W$2)/10^9),0)</f>
        <v>0</v>
      </c>
      <c r="AM2384" s="160">
        <f>IF($Y$2253&gt;0,IPMT('Assumptions (Petroleum)'!$V$6,Model!AK$1,'Assumptions (Petroleum)'!$V$9,'Assumptions (Petroleum)'!$V$4*Model!$Y$2253*AVERAGE('Assumptions (Petroleum)'!$U$2:$W$2)/10^9),0)</f>
        <v>0</v>
      </c>
      <c r="AN2384" s="160"/>
      <c r="AO2384" s="160"/>
      <c r="AP2384" s="160"/>
      <c r="AQ2384" s="160"/>
      <c r="AR2384" s="160"/>
      <c r="AS2384" s="160"/>
      <c r="AT2384" s="160"/>
      <c r="AU2384" s="160"/>
      <c r="AV2384" s="160"/>
      <c r="AW2384" s="160"/>
      <c r="AX2384" s="160"/>
      <c r="AY2384" s="160"/>
      <c r="AZ2384" s="160"/>
      <c r="BA2384" s="160"/>
    </row>
    <row r="2385" ht="15.75" hidden="1" customHeight="1" outlineLevel="1">
      <c r="A2385" s="328"/>
      <c r="B2385" s="38"/>
      <c r="C2385" s="174"/>
      <c r="D2385" s="174"/>
      <c r="E2385" s="174"/>
      <c r="F2385" s="174"/>
      <c r="G2385" s="174"/>
      <c r="H2385" s="174"/>
      <c r="I2385" s="174"/>
      <c r="J2385" s="174"/>
      <c r="K2385" s="174"/>
      <c r="L2385" s="174"/>
      <c r="M2385" s="174"/>
      <c r="N2385" s="174"/>
      <c r="O2385" s="174"/>
      <c r="P2385" s="174"/>
      <c r="Q2385" s="174"/>
      <c r="R2385" s="174"/>
      <c r="S2385" s="174"/>
      <c r="T2385" s="174"/>
      <c r="U2385" s="174"/>
      <c r="V2385" s="174"/>
      <c r="W2385" s="160"/>
      <c r="X2385" s="160"/>
      <c r="Y2385" s="160"/>
      <c r="Z2385" s="160">
        <f>IF($Z$2253&gt;0,IPMT('Assumptions (Petroleum)'!$V$6,Model!W$1,'Assumptions (Petroleum)'!$V$9,'Assumptions (Petroleum)'!$V$4*Model!$Z$2253*AVERAGE('Assumptions (Petroleum)'!$V$2:$X$2)/10^9),0)</f>
        <v>0</v>
      </c>
      <c r="AA2385" s="160">
        <f>IF($Z$2253&gt;0,IPMT('Assumptions (Petroleum)'!$V$6,Model!X$1,'Assumptions (Petroleum)'!$V$9,'Assumptions (Petroleum)'!$V$4*Model!$Z$2253*AVERAGE('Assumptions (Petroleum)'!$V$2:$X$2)/10^9),0)</f>
        <v>0</v>
      </c>
      <c r="AB2385" s="160">
        <f>IF($Z$2253&gt;0,IPMT('Assumptions (Petroleum)'!$V$6,Model!Y$1,'Assumptions (Petroleum)'!$V$9,'Assumptions (Petroleum)'!$V$4*Model!$Z$2253*AVERAGE('Assumptions (Petroleum)'!$V$2:$X$2)/10^9),0)</f>
        <v>0</v>
      </c>
      <c r="AC2385" s="160">
        <f>IF($Z$2253&gt;0,IPMT('Assumptions (Petroleum)'!$V$6,Model!Z$1,'Assumptions (Petroleum)'!$V$9,'Assumptions (Petroleum)'!$V$4*Model!$Z$2253*AVERAGE('Assumptions (Petroleum)'!$V$2:$X$2)/10^9),0)</f>
        <v>0</v>
      </c>
      <c r="AD2385" s="160">
        <f>IF($Z$2253&gt;0,IPMT('Assumptions (Petroleum)'!$V$6,Model!AA$1,'Assumptions (Petroleum)'!$V$9,'Assumptions (Petroleum)'!$V$4*Model!$Z$2253*AVERAGE('Assumptions (Petroleum)'!$V$2:$X$2)/10^9),0)</f>
        <v>0</v>
      </c>
      <c r="AE2385" s="160">
        <f>IF($Z$2253&gt;0,IPMT('Assumptions (Petroleum)'!$V$6,Model!AB$1,'Assumptions (Petroleum)'!$V$9,'Assumptions (Petroleum)'!$V$4*Model!$Z$2253*AVERAGE('Assumptions (Petroleum)'!$V$2:$X$2)/10^9),0)</f>
        <v>0</v>
      </c>
      <c r="AF2385" s="160">
        <f>IF($Z$2253&gt;0,IPMT('Assumptions (Petroleum)'!$V$6,Model!AC$1,'Assumptions (Petroleum)'!$V$9,'Assumptions (Petroleum)'!$V$4*Model!$Z$2253*AVERAGE('Assumptions (Petroleum)'!$V$2:$X$2)/10^9),0)</f>
        <v>0</v>
      </c>
      <c r="AG2385" s="160">
        <f>IF($Z$2253&gt;0,IPMT('Assumptions (Petroleum)'!$V$6,Model!AD$1,'Assumptions (Petroleum)'!$V$9,'Assumptions (Petroleum)'!$V$4*Model!$Z$2253*AVERAGE('Assumptions (Petroleum)'!$V$2:$X$2)/10^9),0)</f>
        <v>0</v>
      </c>
      <c r="AH2385" s="160">
        <f>IF($Z$2253&gt;0,IPMT('Assumptions (Petroleum)'!$V$6,Model!AE$1,'Assumptions (Petroleum)'!$V$9,'Assumptions (Petroleum)'!$V$4*Model!$Z$2253*AVERAGE('Assumptions (Petroleum)'!$V$2:$X$2)/10^9),0)</f>
        <v>0</v>
      </c>
      <c r="AI2385" s="160">
        <f>IF($Z$2253&gt;0,IPMT('Assumptions (Petroleum)'!$V$6,Model!AF$1,'Assumptions (Petroleum)'!$V$9,'Assumptions (Petroleum)'!$V$4*Model!$Z$2253*AVERAGE('Assumptions (Petroleum)'!$V$2:$X$2)/10^9),0)</f>
        <v>0</v>
      </c>
      <c r="AJ2385" s="160">
        <f>IF($Z$2253&gt;0,IPMT('Assumptions (Petroleum)'!$V$6,Model!AG$1,'Assumptions (Petroleum)'!$V$9,'Assumptions (Petroleum)'!$V$4*Model!$Z$2253*AVERAGE('Assumptions (Petroleum)'!$V$2:$X$2)/10^9),0)</f>
        <v>0</v>
      </c>
      <c r="AK2385" s="160">
        <f>IF($Z$2253&gt;0,IPMT('Assumptions (Petroleum)'!$V$6,Model!AH$1,'Assumptions (Petroleum)'!$V$9,'Assumptions (Petroleum)'!$V$4*Model!$Z$2253*AVERAGE('Assumptions (Petroleum)'!$V$2:$X$2)/10^9),0)</f>
        <v>0</v>
      </c>
      <c r="AL2385" s="160">
        <f>IF($Z$2253&gt;0,IPMT('Assumptions (Petroleum)'!$V$6,Model!AI$1,'Assumptions (Petroleum)'!$V$9,'Assumptions (Petroleum)'!$V$4*Model!$Z$2253*AVERAGE('Assumptions (Petroleum)'!$V$2:$X$2)/10^9),0)</f>
        <v>0</v>
      </c>
      <c r="AM2385" s="160">
        <f>IF($Z$2253&gt;0,IPMT('Assumptions (Petroleum)'!$V$6,Model!AJ$1,'Assumptions (Petroleum)'!$V$9,'Assumptions (Petroleum)'!$V$4*Model!$Z$2253*AVERAGE('Assumptions (Petroleum)'!$V$2:$X$2)/10^9),0)</f>
        <v>0</v>
      </c>
      <c r="AN2385" s="160">
        <f>IF($Z$2253&gt;0,IPMT('Assumptions (Petroleum)'!$V$6,Model!AK$1,'Assumptions (Petroleum)'!$V$9,'Assumptions (Petroleum)'!$V$4*Model!$Z$2253*AVERAGE('Assumptions (Petroleum)'!$V$2:$X$2)/10^9),0)</f>
        <v>0</v>
      </c>
      <c r="AO2385" s="160"/>
      <c r="AP2385" s="160"/>
      <c r="AQ2385" s="160"/>
      <c r="AR2385" s="160"/>
      <c r="AS2385" s="160"/>
      <c r="AT2385" s="160"/>
      <c r="AU2385" s="160"/>
      <c r="AV2385" s="160"/>
      <c r="AW2385" s="160"/>
      <c r="AX2385" s="160"/>
      <c r="AY2385" s="160"/>
      <c r="AZ2385" s="160"/>
      <c r="BA2385" s="160"/>
    </row>
    <row r="2386" ht="15.75" hidden="1" customHeight="1" outlineLevel="1">
      <c r="A2386" s="328"/>
      <c r="B2386" s="38"/>
      <c r="C2386" s="174"/>
      <c r="D2386" s="174"/>
      <c r="E2386" s="174"/>
      <c r="F2386" s="174"/>
      <c r="G2386" s="174"/>
      <c r="H2386" s="174"/>
      <c r="I2386" s="174"/>
      <c r="J2386" s="174"/>
      <c r="K2386" s="174"/>
      <c r="L2386" s="174"/>
      <c r="M2386" s="174"/>
      <c r="N2386" s="174"/>
      <c r="O2386" s="174"/>
      <c r="P2386" s="174"/>
      <c r="Q2386" s="174"/>
      <c r="R2386" s="174"/>
      <c r="S2386" s="174"/>
      <c r="T2386" s="174"/>
      <c r="U2386" s="174"/>
      <c r="V2386" s="174"/>
      <c r="W2386" s="160"/>
      <c r="X2386" s="160"/>
      <c r="Y2386" s="160"/>
      <c r="Z2386" s="160"/>
      <c r="AA2386" s="160">
        <f>IF($AA$2253&gt;0,IPMT('Assumptions (Petroleum)'!$V$6,Model!W$1,'Assumptions (Petroleum)'!$V$9,'Assumptions (Petroleum)'!$V$4*Model!$AA$2253*AVERAGE('Assumptions (Petroleum)'!$W$2:$Y$2)/10^9),0)</f>
        <v>0</v>
      </c>
      <c r="AB2386" s="160">
        <f>IF($AA$2253&gt;0,IPMT('Assumptions (Petroleum)'!$V$6,Model!X$1,'Assumptions (Petroleum)'!$V$9,'Assumptions (Petroleum)'!$V$4*Model!$AA$2253*AVERAGE('Assumptions (Petroleum)'!$W$2:$Y$2)/10^9),0)</f>
        <v>0</v>
      </c>
      <c r="AC2386" s="160">
        <f>IF($AA$2253&gt;0,IPMT('Assumptions (Petroleum)'!$V$6,Model!Y$1,'Assumptions (Petroleum)'!$V$9,'Assumptions (Petroleum)'!$V$4*Model!$AA$2253*AVERAGE('Assumptions (Petroleum)'!$W$2:$Y$2)/10^9),0)</f>
        <v>0</v>
      </c>
      <c r="AD2386" s="160">
        <f>IF($AA$2253&gt;0,IPMT('Assumptions (Petroleum)'!$V$6,Model!Z$1,'Assumptions (Petroleum)'!$V$9,'Assumptions (Petroleum)'!$V$4*Model!$AA$2253*AVERAGE('Assumptions (Petroleum)'!$W$2:$Y$2)/10^9),0)</f>
        <v>0</v>
      </c>
      <c r="AE2386" s="160">
        <f>IF($AA$2253&gt;0,IPMT('Assumptions (Petroleum)'!$V$6,Model!AA$1,'Assumptions (Petroleum)'!$V$9,'Assumptions (Petroleum)'!$V$4*Model!$AA$2253*AVERAGE('Assumptions (Petroleum)'!$W$2:$Y$2)/10^9),0)</f>
        <v>0</v>
      </c>
      <c r="AF2386" s="160">
        <f>IF($AA$2253&gt;0,IPMT('Assumptions (Petroleum)'!$V$6,Model!AB$1,'Assumptions (Petroleum)'!$V$9,'Assumptions (Petroleum)'!$V$4*Model!$AA$2253*AVERAGE('Assumptions (Petroleum)'!$W$2:$Y$2)/10^9),0)</f>
        <v>0</v>
      </c>
      <c r="AG2386" s="160">
        <f>IF($AA$2253&gt;0,IPMT('Assumptions (Petroleum)'!$V$6,Model!AC$1,'Assumptions (Petroleum)'!$V$9,'Assumptions (Petroleum)'!$V$4*Model!$AA$2253*AVERAGE('Assumptions (Petroleum)'!$W$2:$Y$2)/10^9),0)</f>
        <v>0</v>
      </c>
      <c r="AH2386" s="160">
        <f>IF($AA$2253&gt;0,IPMT('Assumptions (Petroleum)'!$V$6,Model!AD$1,'Assumptions (Petroleum)'!$V$9,'Assumptions (Petroleum)'!$V$4*Model!$AA$2253*AVERAGE('Assumptions (Petroleum)'!$W$2:$Y$2)/10^9),0)</f>
        <v>0</v>
      </c>
      <c r="AI2386" s="160">
        <f>IF($AA$2253&gt;0,IPMT('Assumptions (Petroleum)'!$V$6,Model!AE$1,'Assumptions (Petroleum)'!$V$9,'Assumptions (Petroleum)'!$V$4*Model!$AA$2253*AVERAGE('Assumptions (Petroleum)'!$W$2:$Y$2)/10^9),0)</f>
        <v>0</v>
      </c>
      <c r="AJ2386" s="160">
        <f>IF($AA$2253&gt;0,IPMT('Assumptions (Petroleum)'!$V$6,Model!AF$1,'Assumptions (Petroleum)'!$V$9,'Assumptions (Petroleum)'!$V$4*Model!$AA$2253*AVERAGE('Assumptions (Petroleum)'!$W$2:$Y$2)/10^9),0)</f>
        <v>0</v>
      </c>
      <c r="AK2386" s="160">
        <f>IF($AA$2253&gt;0,IPMT('Assumptions (Petroleum)'!$V$6,Model!AG$1,'Assumptions (Petroleum)'!$V$9,'Assumptions (Petroleum)'!$V$4*Model!$AA$2253*AVERAGE('Assumptions (Petroleum)'!$W$2:$Y$2)/10^9),0)</f>
        <v>0</v>
      </c>
      <c r="AL2386" s="160">
        <f>IF($AA$2253&gt;0,IPMT('Assumptions (Petroleum)'!$V$6,Model!AH$1,'Assumptions (Petroleum)'!$V$9,'Assumptions (Petroleum)'!$V$4*Model!$AA$2253*AVERAGE('Assumptions (Petroleum)'!$W$2:$Y$2)/10^9),0)</f>
        <v>0</v>
      </c>
      <c r="AM2386" s="160">
        <f>IF($AA$2253&gt;0,IPMT('Assumptions (Petroleum)'!$V$6,Model!AI$1,'Assumptions (Petroleum)'!$V$9,'Assumptions (Petroleum)'!$V$4*Model!$AA$2253*AVERAGE('Assumptions (Petroleum)'!$W$2:$Y$2)/10^9),0)</f>
        <v>0</v>
      </c>
      <c r="AN2386" s="160">
        <f>IF($AA$2253&gt;0,IPMT('Assumptions (Petroleum)'!$V$6,Model!AJ$1,'Assumptions (Petroleum)'!$V$9,'Assumptions (Petroleum)'!$V$4*Model!$AA$2253*AVERAGE('Assumptions (Petroleum)'!$W$2:$Y$2)/10^9),0)</f>
        <v>0</v>
      </c>
      <c r="AO2386" s="160">
        <f>IF($AA$2253&gt;0,IPMT('Assumptions (Petroleum)'!$V$6,Model!AK$1,'Assumptions (Petroleum)'!$V$9,'Assumptions (Petroleum)'!$V$4*Model!$AA$2253*AVERAGE('Assumptions (Petroleum)'!$W$2:$Y$2)/10^9),0)</f>
        <v>0</v>
      </c>
      <c r="AP2386" s="160"/>
      <c r="AQ2386" s="160"/>
      <c r="AR2386" s="160"/>
      <c r="AS2386" s="160"/>
      <c r="AT2386" s="160"/>
      <c r="AU2386" s="160"/>
      <c r="AV2386" s="160"/>
      <c r="AW2386" s="160"/>
      <c r="AX2386" s="160"/>
      <c r="AY2386" s="160"/>
      <c r="AZ2386" s="160"/>
      <c r="BA2386" s="160"/>
    </row>
    <row r="2387" ht="15.75" hidden="1" customHeight="1" outlineLevel="1">
      <c r="A2387" s="328"/>
      <c r="B2387" s="38"/>
      <c r="C2387" s="174"/>
      <c r="D2387" s="174"/>
      <c r="E2387" s="174"/>
      <c r="F2387" s="174"/>
      <c r="G2387" s="174"/>
      <c r="H2387" s="174"/>
      <c r="I2387" s="174"/>
      <c r="J2387" s="174"/>
      <c r="K2387" s="174"/>
      <c r="L2387" s="174"/>
      <c r="M2387" s="174"/>
      <c r="N2387" s="174"/>
      <c r="O2387" s="174"/>
      <c r="P2387" s="174"/>
      <c r="Q2387" s="174"/>
      <c r="R2387" s="174"/>
      <c r="S2387" s="174"/>
      <c r="T2387" s="174"/>
      <c r="U2387" s="174"/>
      <c r="V2387" s="174"/>
      <c r="W2387" s="160"/>
      <c r="X2387" s="160"/>
      <c r="Y2387" s="160"/>
      <c r="Z2387" s="160"/>
      <c r="AA2387" s="160"/>
      <c r="AB2387" s="160">
        <f>IF($AB$2253&gt;0,IPMT('Assumptions (Petroleum)'!$V$6,Model!W$1,'Assumptions (Petroleum)'!$V$9,'Assumptions (Petroleum)'!$V$4*Model!$AB$2253*AVERAGE('Assumptions (Petroleum)'!$X$2:$Z$2)/10^9),0)</f>
        <v>0</v>
      </c>
      <c r="AC2387" s="160">
        <f>IF($AB$2253&gt;0,IPMT('Assumptions (Petroleum)'!$V$6,Model!X$1,'Assumptions (Petroleum)'!$V$9,'Assumptions (Petroleum)'!$V$4*Model!$AB$2253*AVERAGE('Assumptions (Petroleum)'!$X$2:$Z$2)/10^9),0)</f>
        <v>0</v>
      </c>
      <c r="AD2387" s="160">
        <f>IF($AB$2253&gt;0,IPMT('Assumptions (Petroleum)'!$V$6,Model!Y$1,'Assumptions (Petroleum)'!$V$9,'Assumptions (Petroleum)'!$V$4*Model!$AB$2253*AVERAGE('Assumptions (Petroleum)'!$X$2:$Z$2)/10^9),0)</f>
        <v>0</v>
      </c>
      <c r="AE2387" s="160">
        <f>IF($AB$2253&gt;0,IPMT('Assumptions (Petroleum)'!$V$6,Model!Z$1,'Assumptions (Petroleum)'!$V$9,'Assumptions (Petroleum)'!$V$4*Model!$AB$2253*AVERAGE('Assumptions (Petroleum)'!$X$2:$Z$2)/10^9),0)</f>
        <v>0</v>
      </c>
      <c r="AF2387" s="160">
        <f>IF($AB$2253&gt;0,IPMT('Assumptions (Petroleum)'!$V$6,Model!AA$1,'Assumptions (Petroleum)'!$V$9,'Assumptions (Petroleum)'!$V$4*Model!$AB$2253*AVERAGE('Assumptions (Petroleum)'!$X$2:$Z$2)/10^9),0)</f>
        <v>0</v>
      </c>
      <c r="AG2387" s="160">
        <f>IF($AB$2253&gt;0,IPMT('Assumptions (Petroleum)'!$V$6,Model!AB$1,'Assumptions (Petroleum)'!$V$9,'Assumptions (Petroleum)'!$V$4*Model!$AB$2253*AVERAGE('Assumptions (Petroleum)'!$X$2:$Z$2)/10^9),0)</f>
        <v>0</v>
      </c>
      <c r="AH2387" s="160">
        <f>IF($AB$2253&gt;0,IPMT('Assumptions (Petroleum)'!$V$6,Model!AC$1,'Assumptions (Petroleum)'!$V$9,'Assumptions (Petroleum)'!$V$4*Model!$AB$2253*AVERAGE('Assumptions (Petroleum)'!$X$2:$Z$2)/10^9),0)</f>
        <v>0</v>
      </c>
      <c r="AI2387" s="160">
        <f>IF($AB$2253&gt;0,IPMT('Assumptions (Petroleum)'!$V$6,Model!AD$1,'Assumptions (Petroleum)'!$V$9,'Assumptions (Petroleum)'!$V$4*Model!$AB$2253*AVERAGE('Assumptions (Petroleum)'!$X$2:$Z$2)/10^9),0)</f>
        <v>0</v>
      </c>
      <c r="AJ2387" s="160">
        <f>IF($AB$2253&gt;0,IPMT('Assumptions (Petroleum)'!$V$6,Model!AE$1,'Assumptions (Petroleum)'!$V$9,'Assumptions (Petroleum)'!$V$4*Model!$AB$2253*AVERAGE('Assumptions (Petroleum)'!$X$2:$Z$2)/10^9),0)</f>
        <v>0</v>
      </c>
      <c r="AK2387" s="160">
        <f>IF($AB$2253&gt;0,IPMT('Assumptions (Petroleum)'!$V$6,Model!AF$1,'Assumptions (Petroleum)'!$V$9,'Assumptions (Petroleum)'!$V$4*Model!$AB$2253*AVERAGE('Assumptions (Petroleum)'!$X$2:$Z$2)/10^9),0)</f>
        <v>0</v>
      </c>
      <c r="AL2387" s="160">
        <f>IF($AB$2253&gt;0,IPMT('Assumptions (Petroleum)'!$V$6,Model!AG$1,'Assumptions (Petroleum)'!$V$9,'Assumptions (Petroleum)'!$V$4*Model!$AB$2253*AVERAGE('Assumptions (Petroleum)'!$X$2:$Z$2)/10^9),0)</f>
        <v>0</v>
      </c>
      <c r="AM2387" s="160">
        <f>IF($AB$2253&gt;0,IPMT('Assumptions (Petroleum)'!$V$6,Model!AH$1,'Assumptions (Petroleum)'!$V$9,'Assumptions (Petroleum)'!$V$4*Model!$AB$2253*AVERAGE('Assumptions (Petroleum)'!$X$2:$Z$2)/10^9),0)</f>
        <v>0</v>
      </c>
      <c r="AN2387" s="160">
        <f>IF($AB$2253&gt;0,IPMT('Assumptions (Petroleum)'!$V$6,Model!AI$1,'Assumptions (Petroleum)'!$V$9,'Assumptions (Petroleum)'!$V$4*Model!$AB$2253*AVERAGE('Assumptions (Petroleum)'!$X$2:$Z$2)/10^9),0)</f>
        <v>0</v>
      </c>
      <c r="AO2387" s="160">
        <f>IF($AB$2253&gt;0,IPMT('Assumptions (Petroleum)'!$V$6,Model!AJ$1,'Assumptions (Petroleum)'!$V$9,'Assumptions (Petroleum)'!$V$4*Model!$AB$2253*AVERAGE('Assumptions (Petroleum)'!$X$2:$Z$2)/10^9),0)</f>
        <v>0</v>
      </c>
      <c r="AP2387" s="160">
        <f>IF($AB$2253&gt;0,IPMT('Assumptions (Petroleum)'!$V$6,Model!AK$1,'Assumptions (Petroleum)'!$V$9,'Assumptions (Petroleum)'!$V$4*Model!$AB$2253*AVERAGE('Assumptions (Petroleum)'!$X$2:$Z$2)/10^9),0)</f>
        <v>0</v>
      </c>
      <c r="AQ2387" s="160"/>
      <c r="AR2387" s="160"/>
      <c r="AS2387" s="160"/>
      <c r="AT2387" s="160"/>
      <c r="AU2387" s="160"/>
      <c r="AV2387" s="160"/>
      <c r="AW2387" s="160"/>
      <c r="AX2387" s="160"/>
      <c r="AY2387" s="160"/>
      <c r="AZ2387" s="160"/>
      <c r="BA2387" s="160"/>
    </row>
    <row r="2388" ht="15.75" hidden="1" customHeight="1" outlineLevel="1">
      <c r="A2388" s="328"/>
      <c r="B2388" s="38"/>
      <c r="C2388" s="174"/>
      <c r="D2388" s="174"/>
      <c r="E2388" s="174"/>
      <c r="F2388" s="174"/>
      <c r="G2388" s="174"/>
      <c r="H2388" s="174"/>
      <c r="I2388" s="174"/>
      <c r="J2388" s="174"/>
      <c r="K2388" s="174"/>
      <c r="L2388" s="174"/>
      <c r="M2388" s="174"/>
      <c r="N2388" s="174"/>
      <c r="O2388" s="174"/>
      <c r="P2388" s="174"/>
      <c r="Q2388" s="174"/>
      <c r="R2388" s="174"/>
      <c r="S2388" s="174"/>
      <c r="T2388" s="174"/>
      <c r="U2388" s="174"/>
      <c r="V2388" s="174"/>
      <c r="W2388" s="160"/>
      <c r="X2388" s="160"/>
      <c r="Y2388" s="160"/>
      <c r="Z2388" s="160"/>
      <c r="AA2388" s="160"/>
      <c r="AB2388" s="160"/>
      <c r="AC2388" s="160">
        <f>IF($AC$2253&gt;0,IPMT('Assumptions (Petroleum)'!$V$6,Model!W$1,'Assumptions (Petroleum)'!$V$9,'Assumptions (Petroleum)'!$V$4*Model!$AC$2253*AVERAGE('Assumptions (Petroleum)'!$Y$2:$AA$2)/10^9),0)</f>
        <v>0</v>
      </c>
      <c r="AD2388" s="160">
        <f>IF($AC$2253&gt;0,IPMT('Assumptions (Petroleum)'!$V$6,Model!X$1,'Assumptions (Petroleum)'!$V$9,'Assumptions (Petroleum)'!$V$4*Model!$AC$2253*AVERAGE('Assumptions (Petroleum)'!$Y$2:$AA$2)/10^9),0)</f>
        <v>0</v>
      </c>
      <c r="AE2388" s="160">
        <f>IF($AC$2253&gt;0,IPMT('Assumptions (Petroleum)'!$V$6,Model!Y$1,'Assumptions (Petroleum)'!$V$9,'Assumptions (Petroleum)'!$V$4*Model!$AC$2253*AVERAGE('Assumptions (Petroleum)'!$Y$2:$AA$2)/10^9),0)</f>
        <v>0</v>
      </c>
      <c r="AF2388" s="160">
        <f>IF($AC$2253&gt;0,IPMT('Assumptions (Petroleum)'!$V$6,Model!Z$1,'Assumptions (Petroleum)'!$V$9,'Assumptions (Petroleum)'!$V$4*Model!$AC$2253*AVERAGE('Assumptions (Petroleum)'!$Y$2:$AA$2)/10^9),0)</f>
        <v>0</v>
      </c>
      <c r="AG2388" s="160">
        <f>IF($AC$2253&gt;0,IPMT('Assumptions (Petroleum)'!$V$6,Model!AA$1,'Assumptions (Petroleum)'!$V$9,'Assumptions (Petroleum)'!$V$4*Model!$AC$2253*AVERAGE('Assumptions (Petroleum)'!$Y$2:$AA$2)/10^9),0)</f>
        <v>0</v>
      </c>
      <c r="AH2388" s="160">
        <f>IF($AC$2253&gt;0,IPMT('Assumptions (Petroleum)'!$V$6,Model!AB$1,'Assumptions (Petroleum)'!$V$9,'Assumptions (Petroleum)'!$V$4*Model!$AC$2253*AVERAGE('Assumptions (Petroleum)'!$Y$2:$AA$2)/10^9),0)</f>
        <v>0</v>
      </c>
      <c r="AI2388" s="160">
        <f>IF($AC$2253&gt;0,IPMT('Assumptions (Petroleum)'!$V$6,Model!AC$1,'Assumptions (Petroleum)'!$V$9,'Assumptions (Petroleum)'!$V$4*Model!$AC$2253*AVERAGE('Assumptions (Petroleum)'!$Y$2:$AA$2)/10^9),0)</f>
        <v>0</v>
      </c>
      <c r="AJ2388" s="160">
        <f>IF($AC$2253&gt;0,IPMT('Assumptions (Petroleum)'!$V$6,Model!AD$1,'Assumptions (Petroleum)'!$V$9,'Assumptions (Petroleum)'!$V$4*Model!$AC$2253*AVERAGE('Assumptions (Petroleum)'!$Y$2:$AA$2)/10^9),0)</f>
        <v>0</v>
      </c>
      <c r="AK2388" s="160">
        <f>IF($AC$2253&gt;0,IPMT('Assumptions (Petroleum)'!$V$6,Model!AE$1,'Assumptions (Petroleum)'!$V$9,'Assumptions (Petroleum)'!$V$4*Model!$AC$2253*AVERAGE('Assumptions (Petroleum)'!$Y$2:$AA$2)/10^9),0)</f>
        <v>0</v>
      </c>
      <c r="AL2388" s="160">
        <f>IF($AC$2253&gt;0,IPMT('Assumptions (Petroleum)'!$V$6,Model!AF$1,'Assumptions (Petroleum)'!$V$9,'Assumptions (Petroleum)'!$V$4*Model!$AC$2253*AVERAGE('Assumptions (Petroleum)'!$Y$2:$AA$2)/10^9),0)</f>
        <v>0</v>
      </c>
      <c r="AM2388" s="160">
        <f>IF($AC$2253&gt;0,IPMT('Assumptions (Petroleum)'!$V$6,Model!AG$1,'Assumptions (Petroleum)'!$V$9,'Assumptions (Petroleum)'!$V$4*Model!$AC$2253*AVERAGE('Assumptions (Petroleum)'!$Y$2:$AA$2)/10^9),0)</f>
        <v>0</v>
      </c>
      <c r="AN2388" s="160">
        <f>IF($AC$2253&gt;0,IPMT('Assumptions (Petroleum)'!$V$6,Model!AH$1,'Assumptions (Petroleum)'!$V$9,'Assumptions (Petroleum)'!$V$4*Model!$AC$2253*AVERAGE('Assumptions (Petroleum)'!$Y$2:$AA$2)/10^9),0)</f>
        <v>0</v>
      </c>
      <c r="AO2388" s="160">
        <f>IF($AC$2253&gt;0,IPMT('Assumptions (Petroleum)'!$V$6,Model!AI$1,'Assumptions (Petroleum)'!$V$9,'Assumptions (Petroleum)'!$V$4*Model!$AC$2253*AVERAGE('Assumptions (Petroleum)'!$Y$2:$AA$2)/10^9),0)</f>
        <v>0</v>
      </c>
      <c r="AP2388" s="160">
        <f>IF($AC$2253&gt;0,IPMT('Assumptions (Petroleum)'!$V$6,Model!AJ$1,'Assumptions (Petroleum)'!$V$9,'Assumptions (Petroleum)'!$V$4*Model!$AC$2253*AVERAGE('Assumptions (Petroleum)'!$Y$2:$AA$2)/10^9),0)</f>
        <v>0</v>
      </c>
      <c r="AQ2388" s="160">
        <f>IF($AC$2253&gt;0,IPMT('Assumptions (Petroleum)'!$V$6,Model!AK$1,'Assumptions (Petroleum)'!$V$9,'Assumptions (Petroleum)'!$V$4*Model!$AC$2253*AVERAGE('Assumptions (Petroleum)'!$Y$2:$AA$2)/10^9),0)</f>
        <v>0</v>
      </c>
      <c r="AR2388" s="160"/>
      <c r="AS2388" s="160"/>
      <c r="AT2388" s="160"/>
      <c r="AU2388" s="160"/>
      <c r="AV2388" s="160"/>
      <c r="AW2388" s="160"/>
      <c r="AX2388" s="160"/>
      <c r="AY2388" s="160"/>
      <c r="AZ2388" s="160"/>
      <c r="BA2388" s="160"/>
    </row>
    <row r="2389" ht="15.75" hidden="1" customHeight="1" outlineLevel="1">
      <c r="A2389" s="328"/>
      <c r="B2389" s="38"/>
      <c r="C2389" s="174"/>
      <c r="D2389" s="174"/>
      <c r="E2389" s="174"/>
      <c r="F2389" s="174"/>
      <c r="G2389" s="174"/>
      <c r="H2389" s="174"/>
      <c r="I2389" s="174"/>
      <c r="J2389" s="174"/>
      <c r="K2389" s="174"/>
      <c r="L2389" s="174"/>
      <c r="M2389" s="174"/>
      <c r="N2389" s="174"/>
      <c r="O2389" s="174"/>
      <c r="P2389" s="174"/>
      <c r="Q2389" s="174"/>
      <c r="R2389" s="174"/>
      <c r="S2389" s="174"/>
      <c r="T2389" s="174"/>
      <c r="U2389" s="174"/>
      <c r="V2389" s="174"/>
      <c r="W2389" s="160"/>
      <c r="X2389" s="160"/>
      <c r="Y2389" s="160"/>
      <c r="Z2389" s="160"/>
      <c r="AA2389" s="160"/>
      <c r="AB2389" s="160"/>
      <c r="AC2389" s="160"/>
      <c r="AD2389" s="160">
        <f>IF($AD$2253&gt;0,IPMT('Assumptions (Petroleum)'!$V$6,Model!W$1,'Assumptions (Petroleum)'!$V$9,'Assumptions (Petroleum)'!$V$4*Model!$AD$2253*AVERAGE('Assumptions (Petroleum)'!$Z$2:$AB$2)/10^9),0)</f>
        <v>0</v>
      </c>
      <c r="AE2389" s="160">
        <f>IF($AD$2253&gt;0,IPMT('Assumptions (Petroleum)'!$V$6,Model!X$1,'Assumptions (Petroleum)'!$V$9,'Assumptions (Petroleum)'!$V$4*Model!$AD$2253*AVERAGE('Assumptions (Petroleum)'!$Z$2:$AB$2)/10^9),0)</f>
        <v>0</v>
      </c>
      <c r="AF2389" s="160">
        <f>IF($AD$2253&gt;0,IPMT('Assumptions (Petroleum)'!$V$6,Model!Y$1,'Assumptions (Petroleum)'!$V$9,'Assumptions (Petroleum)'!$V$4*Model!$AD$2253*AVERAGE('Assumptions (Petroleum)'!$Z$2:$AB$2)/10^9),0)</f>
        <v>0</v>
      </c>
      <c r="AG2389" s="160">
        <f>IF($AD$2253&gt;0,IPMT('Assumptions (Petroleum)'!$V$6,Model!Z$1,'Assumptions (Petroleum)'!$V$9,'Assumptions (Petroleum)'!$V$4*Model!$AD$2253*AVERAGE('Assumptions (Petroleum)'!$Z$2:$AB$2)/10^9),0)</f>
        <v>0</v>
      </c>
      <c r="AH2389" s="160">
        <f>IF($AD$2253&gt;0,IPMT('Assumptions (Petroleum)'!$V$6,Model!AA$1,'Assumptions (Petroleum)'!$V$9,'Assumptions (Petroleum)'!$V$4*Model!$AD$2253*AVERAGE('Assumptions (Petroleum)'!$Z$2:$AB$2)/10^9),0)</f>
        <v>0</v>
      </c>
      <c r="AI2389" s="160">
        <f>IF($AD$2253&gt;0,IPMT('Assumptions (Petroleum)'!$V$6,Model!AB$1,'Assumptions (Petroleum)'!$V$9,'Assumptions (Petroleum)'!$V$4*Model!$AD$2253*AVERAGE('Assumptions (Petroleum)'!$Z$2:$AB$2)/10^9),0)</f>
        <v>0</v>
      </c>
      <c r="AJ2389" s="160">
        <f>IF($AD$2253&gt;0,IPMT('Assumptions (Petroleum)'!$V$6,Model!AC$1,'Assumptions (Petroleum)'!$V$9,'Assumptions (Petroleum)'!$V$4*Model!$AD$2253*AVERAGE('Assumptions (Petroleum)'!$Z$2:$AB$2)/10^9),0)</f>
        <v>0</v>
      </c>
      <c r="AK2389" s="160">
        <f>IF($AD$2253&gt;0,IPMT('Assumptions (Petroleum)'!$V$6,Model!AD$1,'Assumptions (Petroleum)'!$V$9,'Assumptions (Petroleum)'!$V$4*Model!$AD$2253*AVERAGE('Assumptions (Petroleum)'!$Z$2:$AB$2)/10^9),0)</f>
        <v>0</v>
      </c>
      <c r="AL2389" s="160">
        <f>IF($AD$2253&gt;0,IPMT('Assumptions (Petroleum)'!$V$6,Model!AE$1,'Assumptions (Petroleum)'!$V$9,'Assumptions (Petroleum)'!$V$4*Model!$AD$2253*AVERAGE('Assumptions (Petroleum)'!$Z$2:$AB$2)/10^9),0)</f>
        <v>0</v>
      </c>
      <c r="AM2389" s="160">
        <f>IF($AD$2253&gt;0,IPMT('Assumptions (Petroleum)'!$V$6,Model!AF$1,'Assumptions (Petroleum)'!$V$9,'Assumptions (Petroleum)'!$V$4*Model!$AD$2253*AVERAGE('Assumptions (Petroleum)'!$Z$2:$AB$2)/10^9),0)</f>
        <v>0</v>
      </c>
      <c r="AN2389" s="160">
        <f>IF($AD$2253&gt;0,IPMT('Assumptions (Petroleum)'!$V$6,Model!AG$1,'Assumptions (Petroleum)'!$V$9,'Assumptions (Petroleum)'!$V$4*Model!$AD$2253*AVERAGE('Assumptions (Petroleum)'!$Z$2:$AB$2)/10^9),0)</f>
        <v>0</v>
      </c>
      <c r="AO2389" s="160">
        <f>IF($AD$2253&gt;0,IPMT('Assumptions (Petroleum)'!$V$6,Model!AH$1,'Assumptions (Petroleum)'!$V$9,'Assumptions (Petroleum)'!$V$4*Model!$AD$2253*AVERAGE('Assumptions (Petroleum)'!$Z$2:$AB$2)/10^9),0)</f>
        <v>0</v>
      </c>
      <c r="AP2389" s="160">
        <f>IF($AD$2253&gt;0,IPMT('Assumptions (Petroleum)'!$V$6,Model!AI$1,'Assumptions (Petroleum)'!$V$9,'Assumptions (Petroleum)'!$V$4*Model!$AD$2253*AVERAGE('Assumptions (Petroleum)'!$Z$2:$AB$2)/10^9),0)</f>
        <v>0</v>
      </c>
      <c r="AQ2389" s="160">
        <f>IF($AD$2253&gt;0,IPMT('Assumptions (Petroleum)'!$V$6,Model!AJ$1,'Assumptions (Petroleum)'!$V$9,'Assumptions (Petroleum)'!$V$4*Model!$AD$2253*AVERAGE('Assumptions (Petroleum)'!$Z$2:$AB$2)/10^9),0)</f>
        <v>0</v>
      </c>
      <c r="AR2389" s="160">
        <f>IF($AD$2253&gt;0,IPMT('Assumptions (Petroleum)'!$V$6,Model!AK$1,'Assumptions (Petroleum)'!$V$9,'Assumptions (Petroleum)'!$V$4*Model!$AD$2253*AVERAGE('Assumptions (Petroleum)'!$Z$2:$AB$2)/10^9),0)</f>
        <v>0</v>
      </c>
      <c r="AS2389" s="160"/>
      <c r="AT2389" s="160"/>
      <c r="AU2389" s="160"/>
      <c r="AV2389" s="160"/>
      <c r="AW2389" s="160"/>
      <c r="AX2389" s="160"/>
      <c r="AY2389" s="160"/>
      <c r="AZ2389" s="160"/>
      <c r="BA2389" s="160"/>
      <c r="BB2389" s="160"/>
    </row>
    <row r="2390" ht="15.75" hidden="1" customHeight="1" outlineLevel="1">
      <c r="A2390" s="328"/>
      <c r="B2390" s="38"/>
      <c r="C2390" s="174"/>
      <c r="D2390" s="174"/>
      <c r="E2390" s="174"/>
      <c r="F2390" s="174"/>
      <c r="G2390" s="174"/>
      <c r="H2390" s="174"/>
      <c r="I2390" s="174"/>
      <c r="J2390" s="174"/>
      <c r="K2390" s="174"/>
      <c r="L2390" s="174"/>
      <c r="M2390" s="174"/>
      <c r="N2390" s="174"/>
      <c r="O2390" s="174"/>
      <c r="P2390" s="174"/>
      <c r="Q2390" s="174"/>
      <c r="R2390" s="174"/>
      <c r="S2390" s="174"/>
      <c r="T2390" s="174"/>
      <c r="U2390" s="174"/>
      <c r="V2390" s="174"/>
      <c r="W2390" s="160"/>
      <c r="X2390" s="160"/>
      <c r="Y2390" s="160"/>
      <c r="Z2390" s="160"/>
      <c r="AA2390" s="160"/>
      <c r="AB2390" s="160"/>
      <c r="AC2390" s="160"/>
      <c r="AD2390" s="160"/>
      <c r="AE2390" s="160">
        <f>IF($AE$2253&gt;0,IPMT('Assumptions (Petroleum)'!$V$6,Model!W$1,'Assumptions (Petroleum)'!$V$9,'Assumptions (Petroleum)'!$V$4*Model!$AE$2253*AVERAGE('Assumptions (Petroleum)'!$AA$2:$AC$2)/10^9),0)</f>
        <v>0</v>
      </c>
      <c r="AF2390" s="160">
        <f>IF($AE$2253&gt;0,IPMT('Assumptions (Petroleum)'!$V$6,Model!X$1,'Assumptions (Petroleum)'!$V$9,'Assumptions (Petroleum)'!$V$4*Model!$AE$2253*AVERAGE('Assumptions (Petroleum)'!$AA$2:$AC$2)/10^9),0)</f>
        <v>0</v>
      </c>
      <c r="AG2390" s="160">
        <f>IF($AE$2253&gt;0,IPMT('Assumptions (Petroleum)'!$V$6,Model!Y$1,'Assumptions (Petroleum)'!$V$9,'Assumptions (Petroleum)'!$V$4*Model!$AE$2253*AVERAGE('Assumptions (Petroleum)'!$AA$2:$AC$2)/10^9),0)</f>
        <v>0</v>
      </c>
      <c r="AH2390" s="160">
        <f>IF($AE$2253&gt;0,IPMT('Assumptions (Petroleum)'!$V$6,Model!Z$1,'Assumptions (Petroleum)'!$V$9,'Assumptions (Petroleum)'!$V$4*Model!$AE$2253*AVERAGE('Assumptions (Petroleum)'!$AA$2:$AC$2)/10^9),0)</f>
        <v>0</v>
      </c>
      <c r="AI2390" s="160">
        <f>IF($AE$2253&gt;0,IPMT('Assumptions (Petroleum)'!$V$6,Model!AA$1,'Assumptions (Petroleum)'!$V$9,'Assumptions (Petroleum)'!$V$4*Model!$AE$2253*AVERAGE('Assumptions (Petroleum)'!$AA$2:$AC$2)/10^9),0)</f>
        <v>0</v>
      </c>
      <c r="AJ2390" s="160">
        <f>IF($AE$2253&gt;0,IPMT('Assumptions (Petroleum)'!$V$6,Model!AB$1,'Assumptions (Petroleum)'!$V$9,'Assumptions (Petroleum)'!$V$4*Model!$AE$2253*AVERAGE('Assumptions (Petroleum)'!$AA$2:$AC$2)/10^9),0)</f>
        <v>0</v>
      </c>
      <c r="AK2390" s="160">
        <f>IF($AE$2253&gt;0,IPMT('Assumptions (Petroleum)'!$V$6,Model!AC$1,'Assumptions (Petroleum)'!$V$9,'Assumptions (Petroleum)'!$V$4*Model!$AE$2253*AVERAGE('Assumptions (Petroleum)'!$AA$2:$AC$2)/10^9),0)</f>
        <v>0</v>
      </c>
      <c r="AL2390" s="160">
        <f>IF($AE$2253&gt;0,IPMT('Assumptions (Petroleum)'!$V$6,Model!AD$1,'Assumptions (Petroleum)'!$V$9,'Assumptions (Petroleum)'!$V$4*Model!$AE$2253*AVERAGE('Assumptions (Petroleum)'!$AA$2:$AC$2)/10^9),0)</f>
        <v>0</v>
      </c>
      <c r="AM2390" s="160">
        <f>IF($AE$2253&gt;0,IPMT('Assumptions (Petroleum)'!$V$6,Model!AE$1,'Assumptions (Petroleum)'!$V$9,'Assumptions (Petroleum)'!$V$4*Model!$AE$2253*AVERAGE('Assumptions (Petroleum)'!$AA$2:$AC$2)/10^9),0)</f>
        <v>0</v>
      </c>
      <c r="AN2390" s="160">
        <f>IF($AE$2253&gt;0,IPMT('Assumptions (Petroleum)'!$V$6,Model!AF$1,'Assumptions (Petroleum)'!$V$9,'Assumptions (Petroleum)'!$V$4*Model!$AE$2253*AVERAGE('Assumptions (Petroleum)'!$AA$2:$AC$2)/10^9),0)</f>
        <v>0</v>
      </c>
      <c r="AO2390" s="160">
        <f>IF($AE$2253&gt;0,IPMT('Assumptions (Petroleum)'!$V$6,Model!AG$1,'Assumptions (Petroleum)'!$V$9,'Assumptions (Petroleum)'!$V$4*Model!$AE$2253*AVERAGE('Assumptions (Petroleum)'!$AA$2:$AC$2)/10^9),0)</f>
        <v>0</v>
      </c>
      <c r="AP2390" s="160">
        <f>IF($AE$2253&gt;0,IPMT('Assumptions (Petroleum)'!$V$6,Model!AH$1,'Assumptions (Petroleum)'!$V$9,'Assumptions (Petroleum)'!$V$4*Model!$AE$2253*AVERAGE('Assumptions (Petroleum)'!$AA$2:$AC$2)/10^9),0)</f>
        <v>0</v>
      </c>
      <c r="AQ2390" s="160">
        <f>IF($AE$2253&gt;0,IPMT('Assumptions (Petroleum)'!$V$6,Model!AI$1,'Assumptions (Petroleum)'!$V$9,'Assumptions (Petroleum)'!$V$4*Model!$AE$2253*AVERAGE('Assumptions (Petroleum)'!$AA$2:$AC$2)/10^9),0)</f>
        <v>0</v>
      </c>
      <c r="AR2390" s="160">
        <f>IF($AE$2253&gt;0,IPMT('Assumptions (Petroleum)'!$V$6,Model!AJ$1,'Assumptions (Petroleum)'!$V$9,'Assumptions (Petroleum)'!$V$4*Model!$AE$2253*AVERAGE('Assumptions (Petroleum)'!$AA$2:$AC$2)/10^9),0)</f>
        <v>0</v>
      </c>
      <c r="AS2390" s="160">
        <f>IF($AE$2253&gt;0,IPMT('Assumptions (Petroleum)'!$V$6,Model!AK$1,'Assumptions (Petroleum)'!$V$9,'Assumptions (Petroleum)'!$V$4*Model!$AE$2253*AVERAGE('Assumptions (Petroleum)'!$AA$2:$AC$2)/10^9),0)</f>
        <v>0</v>
      </c>
      <c r="AT2390" s="160"/>
      <c r="AU2390" s="160"/>
      <c r="AV2390" s="160"/>
      <c r="AW2390" s="160"/>
      <c r="AX2390" s="160"/>
      <c r="AY2390" s="160"/>
      <c r="AZ2390" s="160"/>
      <c r="BA2390" s="160"/>
      <c r="BB2390" s="160"/>
      <c r="BC2390" s="160"/>
    </row>
    <row r="2391" ht="15.75" hidden="1" customHeight="1" outlineLevel="1">
      <c r="A2391" s="328"/>
      <c r="B2391" s="38"/>
      <c r="C2391" s="174"/>
      <c r="D2391" s="174"/>
      <c r="E2391" s="174"/>
      <c r="F2391" s="174"/>
      <c r="G2391" s="174"/>
      <c r="H2391" s="174"/>
      <c r="I2391" s="174"/>
      <c r="J2391" s="174"/>
      <c r="K2391" s="174"/>
      <c r="L2391" s="174"/>
      <c r="M2391" s="174"/>
      <c r="N2391" s="174"/>
      <c r="O2391" s="174"/>
      <c r="P2391" s="174"/>
      <c r="Q2391" s="174"/>
      <c r="R2391" s="174"/>
      <c r="S2391" s="174"/>
      <c r="T2391" s="174"/>
      <c r="U2391" s="174"/>
      <c r="V2391" s="174"/>
      <c r="W2391" s="160"/>
      <c r="X2391" s="160"/>
      <c r="Y2391" s="160"/>
      <c r="Z2391" s="160"/>
      <c r="AA2391" s="160"/>
      <c r="AB2391" s="160"/>
      <c r="AC2391" s="160"/>
      <c r="AD2391" s="160"/>
      <c r="AE2391" s="160"/>
      <c r="AF2391" s="160">
        <f>IF($AF$2253&gt;0,IPMT('Assumptions (Petroleum)'!$V$6,Model!W$1,'Assumptions (Petroleum)'!$V$9,'Assumptions (Petroleum)'!$V$4*Model!$AF$2253*AVERAGE('Assumptions (Petroleum)'!$AB$2:$AD$2)/10^9),0)</f>
        <v>0</v>
      </c>
      <c r="AG2391" s="160">
        <f>IF($AF$2253&gt;0,IPMT('Assumptions (Petroleum)'!$V$6,Model!X$1,'Assumptions (Petroleum)'!$V$9,'Assumptions (Petroleum)'!$V$4*Model!$AF$2253*AVERAGE('Assumptions (Petroleum)'!$AB$2:$AD$2)/10^9),0)</f>
        <v>0</v>
      </c>
      <c r="AH2391" s="160">
        <f>IF($AF$2253&gt;0,IPMT('Assumptions (Petroleum)'!$V$6,Model!Y$1,'Assumptions (Petroleum)'!$V$9,'Assumptions (Petroleum)'!$V$4*Model!$AF$2253*AVERAGE('Assumptions (Petroleum)'!$AB$2:$AD$2)/10^9),0)</f>
        <v>0</v>
      </c>
      <c r="AI2391" s="160">
        <f>IF($AF$2253&gt;0,IPMT('Assumptions (Petroleum)'!$V$6,Model!Z$1,'Assumptions (Petroleum)'!$V$9,'Assumptions (Petroleum)'!$V$4*Model!$AF$2253*AVERAGE('Assumptions (Petroleum)'!$AB$2:$AD$2)/10^9),0)</f>
        <v>0</v>
      </c>
      <c r="AJ2391" s="160">
        <f>IF($AF$2253&gt;0,IPMT('Assumptions (Petroleum)'!$V$6,Model!AA$1,'Assumptions (Petroleum)'!$V$9,'Assumptions (Petroleum)'!$V$4*Model!$AF$2253*AVERAGE('Assumptions (Petroleum)'!$AB$2:$AD$2)/10^9),0)</f>
        <v>0</v>
      </c>
      <c r="AK2391" s="160">
        <f>IF($AF$2253&gt;0,IPMT('Assumptions (Petroleum)'!$V$6,Model!AB$1,'Assumptions (Petroleum)'!$V$9,'Assumptions (Petroleum)'!$V$4*Model!$AF$2253*AVERAGE('Assumptions (Petroleum)'!$AB$2:$AD$2)/10^9),0)</f>
        <v>0</v>
      </c>
      <c r="AL2391" s="160">
        <f>IF($AF$2253&gt;0,IPMT('Assumptions (Petroleum)'!$V$6,Model!AC$1,'Assumptions (Petroleum)'!$V$9,'Assumptions (Petroleum)'!$V$4*Model!$AF$2253*AVERAGE('Assumptions (Petroleum)'!$AB$2:$AD$2)/10^9),0)</f>
        <v>0</v>
      </c>
      <c r="AM2391" s="160">
        <f>IF($AF$2253&gt;0,IPMT('Assumptions (Petroleum)'!$V$6,Model!AD$1,'Assumptions (Petroleum)'!$V$9,'Assumptions (Petroleum)'!$V$4*Model!$AF$2253*AVERAGE('Assumptions (Petroleum)'!$AB$2:$AD$2)/10^9),0)</f>
        <v>0</v>
      </c>
      <c r="AN2391" s="160">
        <f>IF($AF$2253&gt;0,IPMT('Assumptions (Petroleum)'!$V$6,Model!AE$1,'Assumptions (Petroleum)'!$V$9,'Assumptions (Petroleum)'!$V$4*Model!$AF$2253*AVERAGE('Assumptions (Petroleum)'!$AB$2:$AD$2)/10^9),0)</f>
        <v>0</v>
      </c>
      <c r="AO2391" s="160">
        <f>IF($AF$2253&gt;0,IPMT('Assumptions (Petroleum)'!$V$6,Model!AF$1,'Assumptions (Petroleum)'!$V$9,'Assumptions (Petroleum)'!$V$4*Model!$AF$2253*AVERAGE('Assumptions (Petroleum)'!$AB$2:$AD$2)/10^9),0)</f>
        <v>0</v>
      </c>
      <c r="AP2391" s="160">
        <f>IF($AF$2253&gt;0,IPMT('Assumptions (Petroleum)'!$V$6,Model!AG$1,'Assumptions (Petroleum)'!$V$9,'Assumptions (Petroleum)'!$V$4*Model!$AF$2253*AVERAGE('Assumptions (Petroleum)'!$AB$2:$AD$2)/10^9),0)</f>
        <v>0</v>
      </c>
      <c r="AQ2391" s="160">
        <f>IF($AF$2253&gt;0,IPMT('Assumptions (Petroleum)'!$V$6,Model!AH$1,'Assumptions (Petroleum)'!$V$9,'Assumptions (Petroleum)'!$V$4*Model!$AF$2253*AVERAGE('Assumptions (Petroleum)'!$AB$2:$AD$2)/10^9),0)</f>
        <v>0</v>
      </c>
      <c r="AR2391" s="160">
        <f>IF($AF$2253&gt;0,IPMT('Assumptions (Petroleum)'!$V$6,Model!AI$1,'Assumptions (Petroleum)'!$V$9,'Assumptions (Petroleum)'!$V$4*Model!$AF$2253*AVERAGE('Assumptions (Petroleum)'!$AB$2:$AD$2)/10^9),0)</f>
        <v>0</v>
      </c>
      <c r="AS2391" s="160">
        <f>IF($AF$2253&gt;0,IPMT('Assumptions (Petroleum)'!$V$6,Model!AJ$1,'Assumptions (Petroleum)'!$V$9,'Assumptions (Petroleum)'!$V$4*Model!$AF$2253*AVERAGE('Assumptions (Petroleum)'!$AB$2:$AD$2)/10^9),0)</f>
        <v>0</v>
      </c>
      <c r="AT2391" s="160">
        <f>IF($AF$2253&gt;0,IPMT('Assumptions (Petroleum)'!$V$6,Model!AK$1,'Assumptions (Petroleum)'!$V$9,'Assumptions (Petroleum)'!$V$4*Model!$AF$2253*AVERAGE('Assumptions (Petroleum)'!$AB$2:$AD$2)/10^9),0)</f>
        <v>0</v>
      </c>
      <c r="AU2391" s="160"/>
      <c r="AV2391" s="160"/>
      <c r="AW2391" s="160"/>
      <c r="AX2391" s="160"/>
      <c r="AY2391" s="160"/>
      <c r="AZ2391" s="160"/>
      <c r="BA2391" s="160"/>
      <c r="BB2391" s="160"/>
      <c r="BC2391" s="160"/>
      <c r="BD2391" s="160"/>
    </row>
    <row r="2392" ht="15.75" hidden="1" customHeight="1" outlineLevel="1">
      <c r="A2392" s="328"/>
      <c r="B2392" s="38"/>
      <c r="C2392" s="174"/>
      <c r="D2392" s="174"/>
      <c r="E2392" s="174"/>
      <c r="F2392" s="174"/>
      <c r="G2392" s="174"/>
      <c r="H2392" s="174"/>
      <c r="I2392" s="174"/>
      <c r="J2392" s="174"/>
      <c r="K2392" s="174"/>
      <c r="L2392" s="174"/>
      <c r="M2392" s="174"/>
      <c r="N2392" s="174"/>
      <c r="O2392" s="174"/>
      <c r="P2392" s="174"/>
      <c r="Q2392" s="174"/>
      <c r="R2392" s="174"/>
      <c r="S2392" s="174"/>
      <c r="T2392" s="174"/>
      <c r="U2392" s="174"/>
      <c r="V2392" s="174"/>
      <c r="W2392" s="160"/>
      <c r="X2392" s="160"/>
      <c r="Y2392" s="160"/>
      <c r="Z2392" s="160"/>
      <c r="AA2392" s="160"/>
      <c r="AB2392" s="160"/>
      <c r="AC2392" s="160"/>
      <c r="AD2392" s="160"/>
      <c r="AE2392" s="160"/>
      <c r="AF2392" s="160"/>
      <c r="AG2392" s="160">
        <f>IF($AG$2253&gt;0,IPMT('Assumptions (Petroleum)'!$V$6,Model!W$1,'Assumptions (Petroleum)'!$V$9,'Assumptions (Petroleum)'!$V$4*Model!$AG$2253*AVERAGE('Assumptions (Petroleum)'!$AC$2:$AE$2)/10^9),0)</f>
        <v>0</v>
      </c>
      <c r="AH2392" s="160">
        <f>IF($AG$2253&gt;0,IPMT('Assumptions (Petroleum)'!$V$6,Model!X$1,'Assumptions (Petroleum)'!$V$9,'Assumptions (Petroleum)'!$V$4*Model!$AG$2253*AVERAGE('Assumptions (Petroleum)'!$AC$2:$AE$2)/10^9),0)</f>
        <v>0</v>
      </c>
      <c r="AI2392" s="160">
        <f>IF($AG$2253&gt;0,IPMT('Assumptions (Petroleum)'!$V$6,Model!Y$1,'Assumptions (Petroleum)'!$V$9,'Assumptions (Petroleum)'!$V$4*Model!$AG$2253*AVERAGE('Assumptions (Petroleum)'!$AC$2:$AE$2)/10^9),0)</f>
        <v>0</v>
      </c>
      <c r="AJ2392" s="160">
        <f>IF($AG$2253&gt;0,IPMT('Assumptions (Petroleum)'!$V$6,Model!Z$1,'Assumptions (Petroleum)'!$V$9,'Assumptions (Petroleum)'!$V$4*Model!$AG$2253*AVERAGE('Assumptions (Petroleum)'!$AC$2:$AE$2)/10^9),0)</f>
        <v>0</v>
      </c>
      <c r="AK2392" s="160">
        <f>IF($AG$2253&gt;0,IPMT('Assumptions (Petroleum)'!$V$6,Model!AA$1,'Assumptions (Petroleum)'!$V$9,'Assumptions (Petroleum)'!$V$4*Model!$AG$2253*AVERAGE('Assumptions (Petroleum)'!$AC$2:$AE$2)/10^9),0)</f>
        <v>0</v>
      </c>
      <c r="AL2392" s="160">
        <f>IF($AG$2253&gt;0,IPMT('Assumptions (Petroleum)'!$V$6,Model!AB$1,'Assumptions (Petroleum)'!$V$9,'Assumptions (Petroleum)'!$V$4*Model!$AG$2253*AVERAGE('Assumptions (Petroleum)'!$AC$2:$AE$2)/10^9),0)</f>
        <v>0</v>
      </c>
      <c r="AM2392" s="160">
        <f>IF($AG$2253&gt;0,IPMT('Assumptions (Petroleum)'!$V$6,Model!AC$1,'Assumptions (Petroleum)'!$V$9,'Assumptions (Petroleum)'!$V$4*Model!$AG$2253*AVERAGE('Assumptions (Petroleum)'!$AC$2:$AE$2)/10^9),0)</f>
        <v>0</v>
      </c>
      <c r="AN2392" s="160">
        <f>IF($AG$2253&gt;0,IPMT('Assumptions (Petroleum)'!$V$6,Model!AD$1,'Assumptions (Petroleum)'!$V$9,'Assumptions (Petroleum)'!$V$4*Model!$AG$2253*AVERAGE('Assumptions (Petroleum)'!$AC$2:$AE$2)/10^9),0)</f>
        <v>0</v>
      </c>
      <c r="AO2392" s="160">
        <f>IF($AG$2253&gt;0,IPMT('Assumptions (Petroleum)'!$V$6,Model!AE$1,'Assumptions (Petroleum)'!$V$9,'Assumptions (Petroleum)'!$V$4*Model!$AG$2253*AVERAGE('Assumptions (Petroleum)'!$AC$2:$AE$2)/10^9),0)</f>
        <v>0</v>
      </c>
      <c r="AP2392" s="160">
        <f>IF($AG$2253&gt;0,IPMT('Assumptions (Petroleum)'!$V$6,Model!AF$1,'Assumptions (Petroleum)'!$V$9,'Assumptions (Petroleum)'!$V$4*Model!$AG$2253*AVERAGE('Assumptions (Petroleum)'!$AC$2:$AE$2)/10^9),0)</f>
        <v>0</v>
      </c>
      <c r="AQ2392" s="160">
        <f>IF($AG$2253&gt;0,IPMT('Assumptions (Petroleum)'!$V$6,Model!AG$1,'Assumptions (Petroleum)'!$V$9,'Assumptions (Petroleum)'!$V$4*Model!$AG$2253*AVERAGE('Assumptions (Petroleum)'!$AC$2:$AE$2)/10^9),0)</f>
        <v>0</v>
      </c>
      <c r="AR2392" s="160">
        <f>IF($AG$2253&gt;0,IPMT('Assumptions (Petroleum)'!$V$6,Model!AH$1,'Assumptions (Petroleum)'!$V$9,'Assumptions (Petroleum)'!$V$4*Model!$AG$2253*AVERAGE('Assumptions (Petroleum)'!$AC$2:$AE$2)/10^9),0)</f>
        <v>0</v>
      </c>
      <c r="AS2392" s="160">
        <f>IF($AG$2253&gt;0,IPMT('Assumptions (Petroleum)'!$V$6,Model!AI$1,'Assumptions (Petroleum)'!$V$9,'Assumptions (Petroleum)'!$V$4*Model!$AG$2253*AVERAGE('Assumptions (Petroleum)'!$AC$2:$AE$2)/10^9),0)</f>
        <v>0</v>
      </c>
      <c r="AT2392" s="160">
        <f>IF($AG$2253&gt;0,IPMT('Assumptions (Petroleum)'!$V$6,Model!AJ$1,'Assumptions (Petroleum)'!$V$9,'Assumptions (Petroleum)'!$V$4*Model!$AG$2253*AVERAGE('Assumptions (Petroleum)'!$AC$2:$AE$2)/10^9),0)</f>
        <v>0</v>
      </c>
      <c r="AU2392" s="160">
        <f>IF($AG$2253&gt;0,IPMT('Assumptions (Petroleum)'!$V$6,Model!AK$1,'Assumptions (Petroleum)'!$V$9,'Assumptions (Petroleum)'!$V$4*Model!$AG$2253*AVERAGE('Assumptions (Petroleum)'!$AC$2:$AE$2)/10^9),0)</f>
        <v>0</v>
      </c>
      <c r="AV2392" s="160"/>
      <c r="AW2392" s="160"/>
      <c r="AX2392" s="160"/>
      <c r="AY2392" s="160"/>
      <c r="AZ2392" s="160"/>
      <c r="BA2392" s="160"/>
      <c r="BB2392" s="160"/>
      <c r="BC2392" s="160"/>
      <c r="BD2392" s="160"/>
      <c r="BE2392" s="160"/>
    </row>
    <row r="2393" ht="15.75" hidden="1" customHeight="1" outlineLevel="1">
      <c r="A2393" s="328"/>
      <c r="B2393" s="38"/>
      <c r="C2393" s="174"/>
      <c r="D2393" s="174"/>
      <c r="E2393" s="174"/>
      <c r="F2393" s="174"/>
      <c r="G2393" s="174"/>
      <c r="H2393" s="174"/>
      <c r="I2393" s="174"/>
      <c r="J2393" s="174"/>
      <c r="K2393" s="174"/>
      <c r="L2393" s="174"/>
      <c r="M2393" s="174"/>
      <c r="N2393" s="174"/>
      <c r="O2393" s="174"/>
      <c r="P2393" s="174"/>
      <c r="Q2393" s="174"/>
      <c r="R2393" s="174"/>
      <c r="S2393" s="174"/>
      <c r="T2393" s="174"/>
      <c r="U2393" s="174"/>
      <c r="V2393" s="174"/>
      <c r="W2393" s="160"/>
      <c r="X2393" s="160"/>
      <c r="Y2393" s="160"/>
      <c r="Z2393" s="160"/>
      <c r="AA2393" s="160"/>
      <c r="AB2393" s="160"/>
      <c r="AC2393" s="160"/>
      <c r="AD2393" s="160"/>
      <c r="AE2393" s="160"/>
      <c r="AF2393" s="160"/>
      <c r="AG2393" s="160"/>
      <c r="AH2393" s="160">
        <f>IF($AH$2253&gt;0,IPMT('Assumptions (Petroleum)'!$V$6,Model!W$1,'Assumptions (Petroleum)'!$V$9,'Assumptions (Petroleum)'!$V$4*Model!$AH$2253*AVERAGE('Assumptions (Petroleum)'!$AD$2:$AF$2)/10^9),0)</f>
        <v>0</v>
      </c>
      <c r="AI2393" s="160">
        <f>IF($AH$2253&gt;0,IPMT('Assumptions (Petroleum)'!$V$6,Model!X$1,'Assumptions (Petroleum)'!$V$9,'Assumptions (Petroleum)'!$V$4*Model!$AH$2253*AVERAGE('Assumptions (Petroleum)'!$AD$2:$AF$2)/10^9),0)</f>
        <v>0</v>
      </c>
      <c r="AJ2393" s="160">
        <f>IF($AH$2253&gt;0,IPMT('Assumptions (Petroleum)'!$V$6,Model!Y$1,'Assumptions (Petroleum)'!$V$9,'Assumptions (Petroleum)'!$V$4*Model!$AH$2253*AVERAGE('Assumptions (Petroleum)'!$AD$2:$AF$2)/10^9),0)</f>
        <v>0</v>
      </c>
      <c r="AK2393" s="160">
        <f>IF($AH$2253&gt;0,IPMT('Assumptions (Petroleum)'!$V$6,Model!Z$1,'Assumptions (Petroleum)'!$V$9,'Assumptions (Petroleum)'!$V$4*Model!$AH$2253*AVERAGE('Assumptions (Petroleum)'!$AD$2:$AF$2)/10^9),0)</f>
        <v>0</v>
      </c>
      <c r="AL2393" s="160">
        <f>IF($AH$2253&gt;0,IPMT('Assumptions (Petroleum)'!$V$6,Model!AA$1,'Assumptions (Petroleum)'!$V$9,'Assumptions (Petroleum)'!$V$4*Model!$AH$2253*AVERAGE('Assumptions (Petroleum)'!$AD$2:$AF$2)/10^9),0)</f>
        <v>0</v>
      </c>
      <c r="AM2393" s="160">
        <f>IF($AH$2253&gt;0,IPMT('Assumptions (Petroleum)'!$V$6,Model!AB$1,'Assumptions (Petroleum)'!$V$9,'Assumptions (Petroleum)'!$V$4*Model!$AH$2253*AVERAGE('Assumptions (Petroleum)'!$AD$2:$AF$2)/10^9),0)</f>
        <v>0</v>
      </c>
      <c r="AN2393" s="160">
        <f>IF($AH$2253&gt;0,IPMT('Assumptions (Petroleum)'!$V$6,Model!AC$1,'Assumptions (Petroleum)'!$V$9,'Assumptions (Petroleum)'!$V$4*Model!$AH$2253*AVERAGE('Assumptions (Petroleum)'!$AD$2:$AF$2)/10^9),0)</f>
        <v>0</v>
      </c>
      <c r="AO2393" s="160">
        <f>IF($AH$2253&gt;0,IPMT('Assumptions (Petroleum)'!$V$6,Model!AD$1,'Assumptions (Petroleum)'!$V$9,'Assumptions (Petroleum)'!$V$4*Model!$AH$2253*AVERAGE('Assumptions (Petroleum)'!$AD$2:$AF$2)/10^9),0)</f>
        <v>0</v>
      </c>
      <c r="AP2393" s="160">
        <f>IF($AH$2253&gt;0,IPMT('Assumptions (Petroleum)'!$V$6,Model!AE$1,'Assumptions (Petroleum)'!$V$9,'Assumptions (Petroleum)'!$V$4*Model!$AH$2253*AVERAGE('Assumptions (Petroleum)'!$AD$2:$AF$2)/10^9),0)</f>
        <v>0</v>
      </c>
      <c r="AQ2393" s="160">
        <f>IF($AH$2253&gt;0,IPMT('Assumptions (Petroleum)'!$V$6,Model!AF$1,'Assumptions (Petroleum)'!$V$9,'Assumptions (Petroleum)'!$V$4*Model!$AH$2253*AVERAGE('Assumptions (Petroleum)'!$AD$2:$AF$2)/10^9),0)</f>
        <v>0</v>
      </c>
      <c r="AR2393" s="160">
        <f>IF($AH$2253&gt;0,IPMT('Assumptions (Petroleum)'!$V$6,Model!AG$1,'Assumptions (Petroleum)'!$V$9,'Assumptions (Petroleum)'!$V$4*Model!$AH$2253*AVERAGE('Assumptions (Petroleum)'!$AD$2:$AF$2)/10^9),0)</f>
        <v>0</v>
      </c>
      <c r="AS2393" s="160">
        <f>IF($AH$2253&gt;0,IPMT('Assumptions (Petroleum)'!$V$6,Model!AH$1,'Assumptions (Petroleum)'!$V$9,'Assumptions (Petroleum)'!$V$4*Model!$AH$2253*AVERAGE('Assumptions (Petroleum)'!$AD$2:$AF$2)/10^9),0)</f>
        <v>0</v>
      </c>
      <c r="AT2393" s="160">
        <f>IF($AH$2253&gt;0,IPMT('Assumptions (Petroleum)'!$V$6,Model!AI$1,'Assumptions (Petroleum)'!$V$9,'Assumptions (Petroleum)'!$V$4*Model!$AH$2253*AVERAGE('Assumptions (Petroleum)'!$AD$2:$AF$2)/10^9),0)</f>
        <v>0</v>
      </c>
      <c r="AU2393" s="160">
        <f>IF($AH$2253&gt;0,IPMT('Assumptions (Petroleum)'!$V$6,Model!AJ$1,'Assumptions (Petroleum)'!$V$9,'Assumptions (Petroleum)'!$V$4*Model!$AH$2253*AVERAGE('Assumptions (Petroleum)'!$AD$2:$AF$2)/10^9),0)</f>
        <v>0</v>
      </c>
      <c r="AV2393" s="160">
        <f>IF($AH$2253&gt;0,IPMT('Assumptions (Petroleum)'!$V$6,Model!AK$1,'Assumptions (Petroleum)'!$V$9,'Assumptions (Petroleum)'!$V$4*Model!$AH$2253*AVERAGE('Assumptions (Petroleum)'!$AD$2:$AF$2)/10^9),0)</f>
        <v>0</v>
      </c>
      <c r="AW2393" s="160"/>
      <c r="AX2393" s="160"/>
      <c r="AY2393" s="160"/>
      <c r="AZ2393" s="160"/>
      <c r="BA2393" s="160"/>
      <c r="BB2393" s="160"/>
      <c r="BC2393" s="160"/>
      <c r="BD2393" s="160"/>
      <c r="BE2393" s="160"/>
      <c r="BF2393" s="160"/>
    </row>
    <row r="2394" ht="15.75" hidden="1" customHeight="1" outlineLevel="1">
      <c r="A2394" s="328"/>
      <c r="B2394" s="38"/>
      <c r="C2394" s="174"/>
      <c r="D2394" s="174"/>
      <c r="E2394" s="174"/>
      <c r="F2394" s="174"/>
      <c r="G2394" s="174"/>
      <c r="H2394" s="174"/>
      <c r="I2394" s="174"/>
      <c r="J2394" s="174"/>
      <c r="K2394" s="174"/>
      <c r="L2394" s="174"/>
      <c r="M2394" s="174"/>
      <c r="N2394" s="174"/>
      <c r="O2394" s="174"/>
      <c r="P2394" s="174"/>
      <c r="Q2394" s="174"/>
      <c r="R2394" s="174"/>
      <c r="S2394" s="174"/>
      <c r="T2394" s="174"/>
      <c r="U2394" s="174"/>
      <c r="V2394" s="174"/>
      <c r="W2394" s="160"/>
      <c r="X2394" s="160"/>
      <c r="Y2394" s="160"/>
      <c r="Z2394" s="160"/>
      <c r="AA2394" s="160"/>
      <c r="AB2394" s="160"/>
      <c r="AC2394" s="160"/>
      <c r="AD2394" s="160"/>
      <c r="AE2394" s="160"/>
      <c r="AF2394" s="160"/>
      <c r="AG2394" s="160"/>
      <c r="AH2394" s="160"/>
      <c r="AI2394" s="160">
        <f>IF($AI$2253&gt;0,IPMT('Assumptions (Petroleum)'!$V$6,Model!W$1,'Assumptions (Petroleum)'!$V$9,'Assumptions (Petroleum)'!$V$4*Model!$AI$2253*AVERAGE('Assumptions (Petroleum)'!$AE$2:$AG$2)/10^9),0)</f>
        <v>0</v>
      </c>
      <c r="AJ2394" s="160">
        <f>IF($AI$2253&gt;0,IPMT('Assumptions (Petroleum)'!$V$6,Model!X$1,'Assumptions (Petroleum)'!$V$9,'Assumptions (Petroleum)'!$V$4*Model!$AI$2253*AVERAGE('Assumptions (Petroleum)'!$AE$2:$AG$2)/10^9),0)</f>
        <v>0</v>
      </c>
      <c r="AK2394" s="160">
        <f>IF($AI$2253&gt;0,IPMT('Assumptions (Petroleum)'!$V$6,Model!Y$1,'Assumptions (Petroleum)'!$V$9,'Assumptions (Petroleum)'!$V$4*Model!$AI$2253*AVERAGE('Assumptions (Petroleum)'!$AE$2:$AG$2)/10^9),0)</f>
        <v>0</v>
      </c>
      <c r="AL2394" s="160">
        <f>IF($AI$2253&gt;0,IPMT('Assumptions (Petroleum)'!$V$6,Model!Z$1,'Assumptions (Petroleum)'!$V$9,'Assumptions (Petroleum)'!$V$4*Model!$AI$2253*AVERAGE('Assumptions (Petroleum)'!$AE$2:$AG$2)/10^9),0)</f>
        <v>0</v>
      </c>
      <c r="AM2394" s="160">
        <f>IF($AI$2253&gt;0,IPMT('Assumptions (Petroleum)'!$V$6,Model!AA$1,'Assumptions (Petroleum)'!$V$9,'Assumptions (Petroleum)'!$V$4*Model!$AI$2253*AVERAGE('Assumptions (Petroleum)'!$AE$2:$AG$2)/10^9),0)</f>
        <v>0</v>
      </c>
      <c r="AN2394" s="160">
        <f>IF($AI$2253&gt;0,IPMT('Assumptions (Petroleum)'!$V$6,Model!AB$1,'Assumptions (Petroleum)'!$V$9,'Assumptions (Petroleum)'!$V$4*Model!$AI$2253*AVERAGE('Assumptions (Petroleum)'!$AE$2:$AG$2)/10^9),0)</f>
        <v>0</v>
      </c>
      <c r="AO2394" s="160">
        <f>IF($AI$2253&gt;0,IPMT('Assumptions (Petroleum)'!$V$6,Model!AC$1,'Assumptions (Petroleum)'!$V$9,'Assumptions (Petroleum)'!$V$4*Model!$AI$2253*AVERAGE('Assumptions (Petroleum)'!$AE$2:$AG$2)/10^9),0)</f>
        <v>0</v>
      </c>
      <c r="AP2394" s="160">
        <f>IF($AI$2253&gt;0,IPMT('Assumptions (Petroleum)'!$V$6,Model!AD$1,'Assumptions (Petroleum)'!$V$9,'Assumptions (Petroleum)'!$V$4*Model!$AI$2253*AVERAGE('Assumptions (Petroleum)'!$AE$2:$AG$2)/10^9),0)</f>
        <v>0</v>
      </c>
      <c r="AQ2394" s="160">
        <f>IF($AI$2253&gt;0,IPMT('Assumptions (Petroleum)'!$V$6,Model!AE$1,'Assumptions (Petroleum)'!$V$9,'Assumptions (Petroleum)'!$V$4*Model!$AI$2253*AVERAGE('Assumptions (Petroleum)'!$AE$2:$AG$2)/10^9),0)</f>
        <v>0</v>
      </c>
      <c r="AR2394" s="160">
        <f>IF($AI$2253&gt;0,IPMT('Assumptions (Petroleum)'!$V$6,Model!AF$1,'Assumptions (Petroleum)'!$V$9,'Assumptions (Petroleum)'!$V$4*Model!$AI$2253*AVERAGE('Assumptions (Petroleum)'!$AE$2:$AG$2)/10^9),0)</f>
        <v>0</v>
      </c>
      <c r="AS2394" s="160">
        <f>IF($AI$2253&gt;0,IPMT('Assumptions (Petroleum)'!$V$6,Model!AG$1,'Assumptions (Petroleum)'!$V$9,'Assumptions (Petroleum)'!$V$4*Model!$AI$2253*AVERAGE('Assumptions (Petroleum)'!$AE$2:$AG$2)/10^9),0)</f>
        <v>0</v>
      </c>
      <c r="AT2394" s="160">
        <f>IF($AI$2253&gt;0,IPMT('Assumptions (Petroleum)'!$V$6,Model!AH$1,'Assumptions (Petroleum)'!$V$9,'Assumptions (Petroleum)'!$V$4*Model!$AI$2253*AVERAGE('Assumptions (Petroleum)'!$AE$2:$AG$2)/10^9),0)</f>
        <v>0</v>
      </c>
      <c r="AU2394" s="160">
        <f>IF($AI$2253&gt;0,IPMT('Assumptions (Petroleum)'!$V$6,Model!AI$1,'Assumptions (Petroleum)'!$V$9,'Assumptions (Petroleum)'!$V$4*Model!$AI$2253*AVERAGE('Assumptions (Petroleum)'!$AE$2:$AG$2)/10^9),0)</f>
        <v>0</v>
      </c>
      <c r="AV2394" s="160">
        <f>IF($AI$2253&gt;0,IPMT('Assumptions (Petroleum)'!$V$6,Model!AJ$1,'Assumptions (Petroleum)'!$V$9,'Assumptions (Petroleum)'!$V$4*Model!$AI$2253*AVERAGE('Assumptions (Petroleum)'!$AE$2:$AG$2)/10^9),0)</f>
        <v>0</v>
      </c>
      <c r="AW2394" s="160">
        <f>IF($AI$2253&gt;0,IPMT('Assumptions (Petroleum)'!$V$6,Model!AK$1,'Assumptions (Petroleum)'!$V$9,'Assumptions (Petroleum)'!$V$4*Model!$AI$2253*AVERAGE('Assumptions (Petroleum)'!$AE$2:$AG$2)/10^9),0)</f>
        <v>0</v>
      </c>
      <c r="AX2394" s="160"/>
      <c r="AY2394" s="160"/>
      <c r="AZ2394" s="160"/>
      <c r="BA2394" s="160"/>
      <c r="BB2394" s="160"/>
      <c r="BC2394" s="160"/>
      <c r="BD2394" s="160"/>
      <c r="BE2394" s="160"/>
      <c r="BF2394" s="160"/>
      <c r="BG2394" s="160"/>
    </row>
    <row r="2395" ht="15.75" hidden="1" customHeight="1" outlineLevel="1">
      <c r="A2395" s="328"/>
      <c r="B2395" s="38"/>
      <c r="C2395" s="174"/>
      <c r="D2395" s="174"/>
      <c r="E2395" s="174"/>
      <c r="F2395" s="174"/>
      <c r="G2395" s="174"/>
      <c r="H2395" s="174"/>
      <c r="I2395" s="174"/>
      <c r="J2395" s="174"/>
      <c r="K2395" s="174"/>
      <c r="L2395" s="174"/>
      <c r="M2395" s="174"/>
      <c r="N2395" s="174"/>
      <c r="O2395" s="174"/>
      <c r="P2395" s="174"/>
      <c r="Q2395" s="174"/>
      <c r="R2395" s="174"/>
      <c r="S2395" s="174"/>
      <c r="T2395" s="174"/>
      <c r="U2395" s="174"/>
      <c r="V2395" s="174"/>
      <c r="W2395" s="160"/>
      <c r="X2395" s="160"/>
      <c r="Y2395" s="160"/>
      <c r="Z2395" s="160"/>
      <c r="AA2395" s="160"/>
      <c r="AB2395" s="160"/>
      <c r="AC2395" s="160"/>
      <c r="AD2395" s="160"/>
      <c r="AE2395" s="160"/>
      <c r="AF2395" s="160"/>
      <c r="AG2395" s="160"/>
      <c r="AH2395" s="160"/>
      <c r="AI2395" s="160"/>
      <c r="AJ2395" s="177">
        <f>IF($AJ$2253&gt;0,IPMT('Assumptions (Petroleum)'!$V$6,Model!W$1,'Assumptions (Petroleum)'!$V$9,'Assumptions (Petroleum)'!$V$4*Model!$AJ$2253*AVERAGE('Assumptions (Petroleum)'!$AF$2:$AH$2)/10^9),0)</f>
        <v>0</v>
      </c>
      <c r="AK2395" s="177">
        <f>IF($AJ$2253&gt;0,IPMT('Assumptions (Petroleum)'!$V$6,Model!X$1,'Assumptions (Petroleum)'!$V$9,'Assumptions (Petroleum)'!$V$4*Model!$AJ$2253*AVERAGE('Assumptions (Petroleum)'!$AF$2:$AH$2)/10^9),0)</f>
        <v>0</v>
      </c>
      <c r="AL2395" s="177">
        <f>IF($AJ$2253&gt;0,IPMT('Assumptions (Petroleum)'!$V$6,Model!Y$1,'Assumptions (Petroleum)'!$V$9,'Assumptions (Petroleum)'!$V$4*Model!$AJ$2253*AVERAGE('Assumptions (Petroleum)'!$AF$2:$AH$2)/10^9),0)</f>
        <v>0</v>
      </c>
      <c r="AM2395" s="177">
        <f>IF($AJ$2253&gt;0,IPMT('Assumptions (Petroleum)'!$V$6,Model!Z$1,'Assumptions (Petroleum)'!$V$9,'Assumptions (Petroleum)'!$V$4*Model!$AJ$2253*AVERAGE('Assumptions (Petroleum)'!$AF$2:$AH$2)/10^9),0)</f>
        <v>0</v>
      </c>
      <c r="AN2395" s="177">
        <f>IF($AJ$2253&gt;0,IPMT('Assumptions (Petroleum)'!$V$6,Model!AA$1,'Assumptions (Petroleum)'!$V$9,'Assumptions (Petroleum)'!$V$4*Model!$AJ$2253*AVERAGE('Assumptions (Petroleum)'!$AF$2:$AH$2)/10^9),0)</f>
        <v>0</v>
      </c>
      <c r="AO2395" s="177">
        <f>IF($AJ$2253&gt;0,IPMT('Assumptions (Petroleum)'!$V$6,Model!AB$1,'Assumptions (Petroleum)'!$V$9,'Assumptions (Petroleum)'!$V$4*Model!$AJ$2253*AVERAGE('Assumptions (Petroleum)'!$AF$2:$AH$2)/10^9),0)</f>
        <v>0</v>
      </c>
      <c r="AP2395" s="177">
        <f>IF($AJ$2253&gt;0,IPMT('Assumptions (Petroleum)'!$V$6,Model!AC$1,'Assumptions (Petroleum)'!$V$9,'Assumptions (Petroleum)'!$V$4*Model!$AJ$2253*AVERAGE('Assumptions (Petroleum)'!$AF$2:$AH$2)/10^9),0)</f>
        <v>0</v>
      </c>
      <c r="AQ2395" s="177">
        <f>IF($AJ$2253&gt;0,IPMT('Assumptions (Petroleum)'!$V$6,Model!AD$1,'Assumptions (Petroleum)'!$V$9,'Assumptions (Petroleum)'!$V$4*Model!$AJ$2253*AVERAGE('Assumptions (Petroleum)'!$AF$2:$AH$2)/10^9),0)</f>
        <v>0</v>
      </c>
      <c r="AR2395" s="177">
        <f>IF($AJ$2253&gt;0,IPMT('Assumptions (Petroleum)'!$V$6,Model!AE$1,'Assumptions (Petroleum)'!$V$9,'Assumptions (Petroleum)'!$V$4*Model!$AJ$2253*AVERAGE('Assumptions (Petroleum)'!$AF$2:$AH$2)/10^9),0)</f>
        <v>0</v>
      </c>
      <c r="AS2395" s="177">
        <f>IF($AJ$2253&gt;0,IPMT('Assumptions (Petroleum)'!$V$6,Model!AF$1,'Assumptions (Petroleum)'!$V$9,'Assumptions (Petroleum)'!$V$4*Model!$AJ$2253*AVERAGE('Assumptions (Petroleum)'!$AF$2:$AH$2)/10^9),0)</f>
        <v>0</v>
      </c>
      <c r="AT2395" s="177">
        <f>IF($AJ$2253&gt;0,IPMT('Assumptions (Petroleum)'!$V$6,Model!AG$1,'Assumptions (Petroleum)'!$V$9,'Assumptions (Petroleum)'!$V$4*Model!$AJ$2253*AVERAGE('Assumptions (Petroleum)'!$AF$2:$AH$2)/10^9),0)</f>
        <v>0</v>
      </c>
      <c r="AU2395" s="177">
        <f>IF($AJ$2253&gt;0,IPMT('Assumptions (Petroleum)'!$V$6,Model!AH$1,'Assumptions (Petroleum)'!$V$9,'Assumptions (Petroleum)'!$V$4*Model!$AJ$2253*AVERAGE('Assumptions (Petroleum)'!$AF$2:$AH$2)/10^9),0)</f>
        <v>0</v>
      </c>
      <c r="AV2395" s="177">
        <f>IF($AJ$2253&gt;0,IPMT('Assumptions (Petroleum)'!$V$6,Model!AI$1,'Assumptions (Petroleum)'!$V$9,'Assumptions (Petroleum)'!$V$4*Model!$AJ$2253*AVERAGE('Assumptions (Petroleum)'!$AF$2:$AH$2)/10^9),0)</f>
        <v>0</v>
      </c>
      <c r="AW2395" s="177">
        <f>IF($AJ$2253&gt;0,IPMT('Assumptions (Petroleum)'!$V$6,Model!AJ$1,'Assumptions (Petroleum)'!$V$9,'Assumptions (Petroleum)'!$V$4*Model!$AJ$2253*AVERAGE('Assumptions (Petroleum)'!$AF$2:$AH$2)/10^9),0)</f>
        <v>0</v>
      </c>
      <c r="AX2395" s="177">
        <f>IF($AJ$2253&gt;0,IPMT('Assumptions (Petroleum)'!$V$6,Model!AK$1,'Assumptions (Petroleum)'!$V$9,'Assumptions (Petroleum)'!$V$4*Model!$AJ$2253*AVERAGE('Assumptions (Petroleum)'!$AF$2:$AH$2)/10^9),0)</f>
        <v>0</v>
      </c>
      <c r="AY2395" s="177"/>
      <c r="AZ2395" s="177"/>
      <c r="BA2395" s="177"/>
      <c r="BB2395" s="177"/>
      <c r="BC2395" s="177"/>
      <c r="BD2395" s="177"/>
      <c r="BE2395" s="177"/>
      <c r="BF2395" s="177"/>
      <c r="BG2395" s="177"/>
      <c r="BH2395" s="177"/>
    </row>
    <row r="2396" ht="15.75" hidden="1" customHeight="1" outlineLevel="1">
      <c r="A2396" s="328"/>
      <c r="B2396" s="38"/>
      <c r="C2396" s="174"/>
      <c r="D2396" s="174"/>
      <c r="E2396" s="174"/>
      <c r="F2396" s="174"/>
      <c r="G2396" s="174"/>
      <c r="H2396" s="174"/>
      <c r="I2396" s="174"/>
      <c r="J2396" s="174"/>
      <c r="K2396" s="174"/>
      <c r="L2396" s="174"/>
      <c r="M2396" s="174"/>
      <c r="N2396" s="174"/>
      <c r="O2396" s="174"/>
      <c r="P2396" s="174"/>
      <c r="Q2396" s="174"/>
      <c r="R2396" s="174"/>
      <c r="S2396" s="174"/>
      <c r="T2396" s="174"/>
      <c r="U2396" s="174"/>
      <c r="V2396" s="174"/>
      <c r="W2396" s="160"/>
      <c r="X2396" s="160"/>
      <c r="Y2396" s="160"/>
      <c r="Z2396" s="160"/>
      <c r="AA2396" s="160"/>
      <c r="AB2396" s="160"/>
      <c r="AC2396" s="160"/>
      <c r="AD2396" s="160"/>
      <c r="AE2396" s="160"/>
      <c r="AF2396" s="160"/>
      <c r="AG2396" s="160"/>
      <c r="AH2396" s="160"/>
      <c r="AI2396" s="160"/>
      <c r="AJ2396" s="179"/>
      <c r="AK2396" s="160">
        <f>IF($AK$2253&gt;0,IPMT('Assumptions (Petroleum)'!$V$6,Model!W$1,'Assumptions (Petroleum)'!$V$9,'Assumptions (Petroleum)'!$V$4*Model!$AK$2253*AVERAGE('Assumptions (Petroleum)'!$AG$2:$AI$2)/10^9),0)</f>
        <v>0</v>
      </c>
      <c r="AL2396" s="160">
        <f>IF($AK$2253&gt;0,IPMT('Assumptions (Petroleum)'!$V$6,Model!X$1,'Assumptions (Petroleum)'!$V$9,'Assumptions (Petroleum)'!$V$4*Model!$AK$2253*AVERAGE('Assumptions (Petroleum)'!$AG$2:$AI$2)/10^9),0)</f>
        <v>0</v>
      </c>
      <c r="AM2396" s="160">
        <f>IF($AK$2253&gt;0,IPMT('Assumptions (Petroleum)'!$V$6,Model!Y$1,'Assumptions (Petroleum)'!$V$9,'Assumptions (Petroleum)'!$V$4*Model!$AK$2253*AVERAGE('Assumptions (Petroleum)'!$AG$2:$AI$2)/10^9),0)</f>
        <v>0</v>
      </c>
      <c r="AN2396" s="160">
        <f>IF($AK$2253&gt;0,IPMT('Assumptions (Petroleum)'!$V$6,Model!Z$1,'Assumptions (Petroleum)'!$V$9,'Assumptions (Petroleum)'!$V$4*Model!$AK$2253*AVERAGE('Assumptions (Petroleum)'!$AG$2:$AI$2)/10^9),0)</f>
        <v>0</v>
      </c>
      <c r="AO2396" s="160">
        <f>IF($AK$2253&gt;0,IPMT('Assumptions (Petroleum)'!$V$6,Model!AA$1,'Assumptions (Petroleum)'!$V$9,'Assumptions (Petroleum)'!$V$4*Model!$AK$2253*AVERAGE('Assumptions (Petroleum)'!$AG$2:$AI$2)/10^9),0)</f>
        <v>0</v>
      </c>
      <c r="AP2396" s="160">
        <f>IF($AK$2253&gt;0,IPMT('Assumptions (Petroleum)'!$V$6,Model!AB$1,'Assumptions (Petroleum)'!$V$9,'Assumptions (Petroleum)'!$V$4*Model!$AK$2253*AVERAGE('Assumptions (Petroleum)'!$AG$2:$AI$2)/10^9),0)</f>
        <v>0</v>
      </c>
      <c r="AQ2396" s="160">
        <f>IF($AK$2253&gt;0,IPMT('Assumptions (Petroleum)'!$V$6,Model!AC$1,'Assumptions (Petroleum)'!$V$9,'Assumptions (Petroleum)'!$V$4*Model!$AK$2253*AVERAGE('Assumptions (Petroleum)'!$AG$2:$AI$2)/10^9),0)</f>
        <v>0</v>
      </c>
      <c r="AR2396" s="160">
        <f>IF($AK$2253&gt;0,IPMT('Assumptions (Petroleum)'!$V$6,Model!AD$1,'Assumptions (Petroleum)'!$V$9,'Assumptions (Petroleum)'!$V$4*Model!$AK$2253*AVERAGE('Assumptions (Petroleum)'!$AG$2:$AI$2)/10^9),0)</f>
        <v>0</v>
      </c>
      <c r="AS2396" s="160">
        <f>IF($AK$2253&gt;0,IPMT('Assumptions (Petroleum)'!$V$6,Model!AE$1,'Assumptions (Petroleum)'!$V$9,'Assumptions (Petroleum)'!$V$4*Model!$AK$2253*AVERAGE('Assumptions (Petroleum)'!$AG$2:$AI$2)/10^9),0)</f>
        <v>0</v>
      </c>
      <c r="AT2396" s="160">
        <f>IF($AK$2253&gt;0,IPMT('Assumptions (Petroleum)'!$V$6,Model!AF$1,'Assumptions (Petroleum)'!$V$9,'Assumptions (Petroleum)'!$V$4*Model!$AK$2253*AVERAGE('Assumptions (Petroleum)'!$AG$2:$AI$2)/10^9),0)</f>
        <v>0</v>
      </c>
      <c r="AU2396" s="160">
        <f>IF($AK$2253&gt;0,IPMT('Assumptions (Petroleum)'!$V$6,Model!AG$1,'Assumptions (Petroleum)'!$V$9,'Assumptions (Petroleum)'!$V$4*Model!$AK$2253*AVERAGE('Assumptions (Petroleum)'!$AG$2:$AI$2)/10^9),0)</f>
        <v>0</v>
      </c>
      <c r="AV2396" s="160">
        <f>IF($AK$2253&gt;0,IPMT('Assumptions (Petroleum)'!$V$6,Model!AH$1,'Assumptions (Petroleum)'!$V$9,'Assumptions (Petroleum)'!$V$4*Model!$AK$2253*AVERAGE('Assumptions (Petroleum)'!$AG$2:$AI$2)/10^9),0)</f>
        <v>0</v>
      </c>
      <c r="AW2396" s="160">
        <f>IF($AK$2253&gt;0,IPMT('Assumptions (Petroleum)'!$V$6,Model!AI$1,'Assumptions (Petroleum)'!$V$9,'Assumptions (Petroleum)'!$V$4*Model!$AK$2253*AVERAGE('Assumptions (Petroleum)'!$AG$2:$AI$2)/10^9),0)</f>
        <v>0</v>
      </c>
      <c r="AX2396" s="160">
        <f>IF($AK$2253&gt;0,IPMT('Assumptions (Petroleum)'!$V$6,Model!AJ$1,'Assumptions (Petroleum)'!$V$9,'Assumptions (Petroleum)'!$V$4*Model!$AK$2253*AVERAGE('Assumptions (Petroleum)'!$AG$2:$AI$2)/10^9),0)</f>
        <v>0</v>
      </c>
      <c r="AY2396" s="160">
        <f>IF($AK$2253&gt;0,IPMT('Assumptions (Petroleum)'!$V$6,Model!AK$1,'Assumptions (Petroleum)'!$V$9,'Assumptions (Petroleum)'!$V$4*Model!$AK$2253*AVERAGE('Assumptions (Petroleum)'!$AG$2:$AI$2)/10^9),0)</f>
        <v>0</v>
      </c>
      <c r="AZ2396" s="160"/>
      <c r="BA2396" s="160"/>
      <c r="BB2396" s="160"/>
      <c r="BC2396" s="160"/>
      <c r="BD2396" s="160"/>
      <c r="BE2396" s="160"/>
      <c r="BF2396" s="160"/>
      <c r="BG2396" s="160"/>
      <c r="BH2396" s="160"/>
      <c r="BI2396" s="160"/>
    </row>
    <row r="2397" ht="15.75" hidden="1" customHeight="1" outlineLevel="1">
      <c r="A2397" s="328"/>
      <c r="B2397" s="38"/>
      <c r="C2397" s="174"/>
      <c r="D2397" s="174"/>
      <c r="E2397" s="174"/>
      <c r="F2397" s="174"/>
      <c r="G2397" s="174"/>
      <c r="H2397" s="174"/>
      <c r="I2397" s="174"/>
      <c r="J2397" s="174"/>
      <c r="K2397" s="174"/>
      <c r="L2397" s="174"/>
      <c r="M2397" s="174"/>
      <c r="N2397" s="174"/>
      <c r="O2397" s="174"/>
      <c r="P2397" s="174"/>
      <c r="Q2397" s="174"/>
      <c r="R2397" s="174"/>
      <c r="S2397" s="174"/>
      <c r="T2397" s="174"/>
      <c r="U2397" s="174"/>
      <c r="V2397" s="174"/>
      <c r="W2397" s="160"/>
      <c r="X2397" s="160"/>
      <c r="Y2397" s="160"/>
      <c r="Z2397" s="160"/>
      <c r="AA2397" s="160"/>
      <c r="AB2397" s="160"/>
      <c r="AC2397" s="160"/>
      <c r="AD2397" s="160"/>
      <c r="AE2397" s="160"/>
      <c r="AF2397" s="160"/>
      <c r="AG2397" s="160"/>
      <c r="AH2397" s="160"/>
      <c r="AI2397" s="160"/>
      <c r="AJ2397" s="179"/>
      <c r="AK2397" s="160"/>
      <c r="AL2397" s="177">
        <f>IF($AL$2253&gt;0,IPMT('Assumptions (Petroleum)'!$V$6,Model!W$1,'Assumptions (Petroleum)'!$V$9,'Assumptions (Petroleum)'!$V$4*Model!$AL$2253*AVERAGE('Assumptions (Petroleum)'!$AH$2:$AJ$2)/10^9),0)</f>
        <v>0</v>
      </c>
      <c r="AM2397" s="177">
        <f>IF($AL$2253&gt;0,IPMT('Assumptions (Petroleum)'!$V$6,Model!X$1,'Assumptions (Petroleum)'!$V$9,'Assumptions (Petroleum)'!$V$4*Model!$AL$2253*AVERAGE('Assumptions (Petroleum)'!$AH$2:$AJ$2)/10^9),0)</f>
        <v>0</v>
      </c>
      <c r="AN2397" s="177">
        <f>IF($AL$2253&gt;0,IPMT('Assumptions (Petroleum)'!$V$6,Model!Y$1,'Assumptions (Petroleum)'!$V$9,'Assumptions (Petroleum)'!$V$4*Model!$AL$2253*AVERAGE('Assumptions (Petroleum)'!$AH$2:$AJ$2)/10^9),0)</f>
        <v>0</v>
      </c>
      <c r="AO2397" s="177">
        <f>IF($AL$2253&gt;0,IPMT('Assumptions (Petroleum)'!$V$6,Model!Z$1,'Assumptions (Petroleum)'!$V$9,'Assumptions (Petroleum)'!$V$4*Model!$AL$2253*AVERAGE('Assumptions (Petroleum)'!$AH$2:$AJ$2)/10^9),0)</f>
        <v>0</v>
      </c>
      <c r="AP2397" s="177">
        <f>IF($AL$2253&gt;0,IPMT('Assumptions (Petroleum)'!$V$6,Model!AA$1,'Assumptions (Petroleum)'!$V$9,'Assumptions (Petroleum)'!$V$4*Model!$AL$2253*AVERAGE('Assumptions (Petroleum)'!$AH$2:$AJ$2)/10^9),0)</f>
        <v>0</v>
      </c>
      <c r="AQ2397" s="177">
        <f>IF($AL$2253&gt;0,IPMT('Assumptions (Petroleum)'!$V$6,Model!AB$1,'Assumptions (Petroleum)'!$V$9,'Assumptions (Petroleum)'!$V$4*Model!$AL$2253*AVERAGE('Assumptions (Petroleum)'!$AH$2:$AJ$2)/10^9),0)</f>
        <v>0</v>
      </c>
      <c r="AR2397" s="177">
        <f>IF($AL$2253&gt;0,IPMT('Assumptions (Petroleum)'!$V$6,Model!AC$1,'Assumptions (Petroleum)'!$V$9,'Assumptions (Petroleum)'!$V$4*Model!$AL$2253*AVERAGE('Assumptions (Petroleum)'!$AH$2:$AJ$2)/10^9),0)</f>
        <v>0</v>
      </c>
      <c r="AS2397" s="177">
        <f>IF($AL$2253&gt;0,IPMT('Assumptions (Petroleum)'!$V$6,Model!AD$1,'Assumptions (Petroleum)'!$V$9,'Assumptions (Petroleum)'!$V$4*Model!$AL$2253*AVERAGE('Assumptions (Petroleum)'!$AH$2:$AJ$2)/10^9),0)</f>
        <v>0</v>
      </c>
      <c r="AT2397" s="177">
        <f>IF($AL$2253&gt;0,IPMT('Assumptions (Petroleum)'!$V$6,Model!AE$1,'Assumptions (Petroleum)'!$V$9,'Assumptions (Petroleum)'!$V$4*Model!$AL$2253*AVERAGE('Assumptions (Petroleum)'!$AH$2:$AJ$2)/10^9),0)</f>
        <v>0</v>
      </c>
      <c r="AU2397" s="177">
        <f>IF($AL$2253&gt;0,IPMT('Assumptions (Petroleum)'!$V$6,Model!AF$1,'Assumptions (Petroleum)'!$V$9,'Assumptions (Petroleum)'!$V$4*Model!$AL$2253*AVERAGE('Assumptions (Petroleum)'!$AH$2:$AJ$2)/10^9),0)</f>
        <v>0</v>
      </c>
      <c r="AV2397" s="177">
        <f>IF($AL$2253&gt;0,IPMT('Assumptions (Petroleum)'!$V$6,Model!AG$1,'Assumptions (Petroleum)'!$V$9,'Assumptions (Petroleum)'!$V$4*Model!$AL$2253*AVERAGE('Assumptions (Petroleum)'!$AH$2:$AJ$2)/10^9),0)</f>
        <v>0</v>
      </c>
      <c r="AW2397" s="177">
        <f>IF($AL$2253&gt;0,IPMT('Assumptions (Petroleum)'!$V$6,Model!AH$1,'Assumptions (Petroleum)'!$V$9,'Assumptions (Petroleum)'!$V$4*Model!$AL$2253*AVERAGE('Assumptions (Petroleum)'!$AH$2:$AJ$2)/10^9),0)</f>
        <v>0</v>
      </c>
      <c r="AX2397" s="177">
        <f>IF($AL$2253&gt;0,IPMT('Assumptions (Petroleum)'!$V$6,Model!AI$1,'Assumptions (Petroleum)'!$V$9,'Assumptions (Petroleum)'!$V$4*Model!$AL$2253*AVERAGE('Assumptions (Petroleum)'!$AH$2:$AJ$2)/10^9),0)</f>
        <v>0</v>
      </c>
      <c r="AY2397" s="177">
        <f>IF($AL$2253&gt;0,IPMT('Assumptions (Petroleum)'!$V$6,Model!AJ$1,'Assumptions (Petroleum)'!$V$9,'Assumptions (Petroleum)'!$V$4*Model!$AL$2253*AVERAGE('Assumptions (Petroleum)'!$AH$2:$AJ$2)/10^9),0)</f>
        <v>0</v>
      </c>
      <c r="AZ2397" s="177">
        <f>IF($AL$2253&gt;0,IPMT('Assumptions (Petroleum)'!$V$6,Model!AK$1,'Assumptions (Petroleum)'!$V$9,'Assumptions (Petroleum)'!$V$4*Model!$AL$2253*AVERAGE('Assumptions (Petroleum)'!$AH$2:$AJ$2)/10^9),0)</f>
        <v>0</v>
      </c>
      <c r="BA2397" s="177"/>
      <c r="BB2397" s="177"/>
      <c r="BC2397" s="177"/>
      <c r="BD2397" s="177"/>
      <c r="BE2397" s="177"/>
      <c r="BF2397" s="177"/>
      <c r="BG2397" s="177"/>
      <c r="BH2397" s="177"/>
      <c r="BI2397" s="177"/>
      <c r="BJ2397" s="177"/>
    </row>
    <row r="2398" ht="15.75" hidden="1" customHeight="1" outlineLevel="1">
      <c r="A2398" s="328"/>
      <c r="B2398" s="38"/>
      <c r="C2398" s="174"/>
      <c r="D2398" s="174"/>
      <c r="E2398" s="174"/>
      <c r="F2398" s="174"/>
      <c r="G2398" s="174"/>
      <c r="H2398" s="174"/>
      <c r="I2398" s="174"/>
      <c r="J2398" s="174"/>
      <c r="K2398" s="174"/>
      <c r="L2398" s="174"/>
      <c r="M2398" s="174"/>
      <c r="N2398" s="174"/>
      <c r="O2398" s="174"/>
      <c r="P2398" s="174"/>
      <c r="Q2398" s="174"/>
      <c r="R2398" s="174"/>
      <c r="S2398" s="174"/>
      <c r="T2398" s="174"/>
      <c r="U2398" s="174"/>
      <c r="V2398" s="174"/>
      <c r="W2398" s="160"/>
      <c r="X2398" s="160"/>
      <c r="Y2398" s="160"/>
      <c r="Z2398" s="160"/>
      <c r="AA2398" s="160"/>
      <c r="AB2398" s="160"/>
      <c r="AC2398" s="160"/>
      <c r="AD2398" s="160"/>
      <c r="AE2398" s="160"/>
      <c r="AF2398" s="160"/>
      <c r="AG2398" s="160"/>
      <c r="AH2398" s="160"/>
      <c r="AI2398" s="160"/>
      <c r="AJ2398" s="179"/>
      <c r="AK2398" s="160"/>
      <c r="AL2398" s="177"/>
      <c r="AM2398" s="160">
        <f>IF($AM$2253&gt;0,IPMT('Assumptions (Petroleum)'!$V$6,Model!W$1,'Assumptions (Petroleum)'!$V$9,'Assumptions (Petroleum)'!$V$4*Model!$AM$2253*AVERAGE('Assumptions (Petroleum)'!$AI$2:$AK$2)/10^9),0)</f>
        <v>0</v>
      </c>
      <c r="AN2398" s="160">
        <f>IF($AM$2253&gt;0,IPMT('Assumptions (Petroleum)'!$V$6,Model!X$1,'Assumptions (Petroleum)'!$V$9,'Assumptions (Petroleum)'!$V$4*Model!$AM$2253*AVERAGE('Assumptions (Petroleum)'!$AI$2:$AK$2)/10^9),0)</f>
        <v>0</v>
      </c>
      <c r="AO2398" s="160">
        <f>IF($AM$2253&gt;0,IPMT('Assumptions (Petroleum)'!$V$6,Model!Y$1,'Assumptions (Petroleum)'!$V$9,'Assumptions (Petroleum)'!$V$4*Model!$AM$2253*AVERAGE('Assumptions (Petroleum)'!$AI$2:$AK$2)/10^9),0)</f>
        <v>0</v>
      </c>
      <c r="AP2398" s="160">
        <f>IF($AM$2253&gt;0,IPMT('Assumptions (Petroleum)'!$V$6,Model!Z$1,'Assumptions (Petroleum)'!$V$9,'Assumptions (Petroleum)'!$V$4*Model!$AM$2253*AVERAGE('Assumptions (Petroleum)'!$AI$2:$AK$2)/10^9),0)</f>
        <v>0</v>
      </c>
      <c r="AQ2398" s="160">
        <f>IF($AM$2253&gt;0,IPMT('Assumptions (Petroleum)'!$V$6,Model!AA$1,'Assumptions (Petroleum)'!$V$9,'Assumptions (Petroleum)'!$V$4*Model!$AM$2253*AVERAGE('Assumptions (Petroleum)'!$AI$2:$AK$2)/10^9),0)</f>
        <v>0</v>
      </c>
      <c r="AR2398" s="160">
        <f>IF($AM$2253&gt;0,IPMT('Assumptions (Petroleum)'!$V$6,Model!AB$1,'Assumptions (Petroleum)'!$V$9,'Assumptions (Petroleum)'!$V$4*Model!$AM$2253*AVERAGE('Assumptions (Petroleum)'!$AI$2:$AK$2)/10^9),0)</f>
        <v>0</v>
      </c>
      <c r="AS2398" s="160">
        <f>IF($AM$2253&gt;0,IPMT('Assumptions (Petroleum)'!$V$6,Model!AC$1,'Assumptions (Petroleum)'!$V$9,'Assumptions (Petroleum)'!$V$4*Model!$AM$2253*AVERAGE('Assumptions (Petroleum)'!$AI$2:$AK$2)/10^9),0)</f>
        <v>0</v>
      </c>
      <c r="AT2398" s="160">
        <f>IF($AM$2253&gt;0,IPMT('Assumptions (Petroleum)'!$V$6,Model!AD$1,'Assumptions (Petroleum)'!$V$9,'Assumptions (Petroleum)'!$V$4*Model!$AM$2253*AVERAGE('Assumptions (Petroleum)'!$AI$2:$AK$2)/10^9),0)</f>
        <v>0</v>
      </c>
      <c r="AU2398" s="160">
        <f>IF($AM$2253&gt;0,IPMT('Assumptions (Petroleum)'!$V$6,Model!AE$1,'Assumptions (Petroleum)'!$V$9,'Assumptions (Petroleum)'!$V$4*Model!$AM$2253*AVERAGE('Assumptions (Petroleum)'!$AI$2:$AK$2)/10^9),0)</f>
        <v>0</v>
      </c>
      <c r="AV2398" s="160">
        <f>IF($AM$2253&gt;0,IPMT('Assumptions (Petroleum)'!$V$6,Model!AF$1,'Assumptions (Petroleum)'!$V$9,'Assumptions (Petroleum)'!$V$4*Model!$AM$2253*AVERAGE('Assumptions (Petroleum)'!$AI$2:$AK$2)/10^9),0)</f>
        <v>0</v>
      </c>
      <c r="AW2398" s="160">
        <f>IF($AM$2253&gt;0,IPMT('Assumptions (Petroleum)'!$V$6,Model!AG$1,'Assumptions (Petroleum)'!$V$9,'Assumptions (Petroleum)'!$V$4*Model!$AM$2253*AVERAGE('Assumptions (Petroleum)'!$AI$2:$AK$2)/10^9),0)</f>
        <v>0</v>
      </c>
      <c r="AX2398" s="160">
        <f>IF($AM$2253&gt;0,IPMT('Assumptions (Petroleum)'!$V$6,Model!AH$1,'Assumptions (Petroleum)'!$V$9,'Assumptions (Petroleum)'!$V$4*Model!$AM$2253*AVERAGE('Assumptions (Petroleum)'!$AI$2:$AK$2)/10^9),0)</f>
        <v>0</v>
      </c>
      <c r="AY2398" s="160">
        <f>IF($AM$2253&gt;0,IPMT('Assumptions (Petroleum)'!$V$6,Model!AI$1,'Assumptions (Petroleum)'!$V$9,'Assumptions (Petroleum)'!$V$4*Model!$AM$2253*AVERAGE('Assumptions (Petroleum)'!$AI$2:$AK$2)/10^9),0)</f>
        <v>0</v>
      </c>
      <c r="AZ2398" s="160">
        <f>IF($AM$2253&gt;0,IPMT('Assumptions (Petroleum)'!$V$6,Model!AJ$1,'Assumptions (Petroleum)'!$V$9,'Assumptions (Petroleum)'!$V$4*Model!$AM$2253*AVERAGE('Assumptions (Petroleum)'!$AI$2:$AK$2)/10^9),0)</f>
        <v>0</v>
      </c>
      <c r="BA2398" s="160">
        <f>IF($AM$2253&gt;0,IPMT('Assumptions (Petroleum)'!$V$6,Model!AK$1,'Assumptions (Petroleum)'!$V$9,'Assumptions (Petroleum)'!$V$4*Model!$AM$2253*AVERAGE('Assumptions (Petroleum)'!$AI$2:$AK$2)/10^9),0)</f>
        <v>0</v>
      </c>
      <c r="BB2398" s="160"/>
      <c r="BC2398" s="160"/>
      <c r="BD2398" s="160"/>
      <c r="BE2398" s="160"/>
      <c r="BF2398" s="160"/>
      <c r="BG2398" s="160"/>
      <c r="BH2398" s="160"/>
      <c r="BI2398" s="160"/>
      <c r="BJ2398" s="160"/>
      <c r="BK2398" s="160"/>
    </row>
    <row r="2399" ht="15.75" hidden="1" customHeight="1" outlineLevel="1">
      <c r="A2399" s="328"/>
      <c r="B2399" s="38"/>
      <c r="C2399" s="174"/>
      <c r="D2399" s="174"/>
      <c r="E2399" s="174"/>
      <c r="F2399" s="174"/>
      <c r="G2399" s="174"/>
      <c r="H2399" s="174"/>
      <c r="I2399" s="174"/>
      <c r="J2399" s="174"/>
      <c r="K2399" s="174"/>
      <c r="L2399" s="174"/>
      <c r="M2399" s="174"/>
      <c r="N2399" s="174"/>
      <c r="O2399" s="174"/>
      <c r="P2399" s="174"/>
      <c r="Q2399" s="174"/>
      <c r="R2399" s="174"/>
      <c r="S2399" s="174"/>
      <c r="T2399" s="174"/>
      <c r="U2399" s="174"/>
      <c r="V2399" s="174"/>
      <c r="W2399" s="160"/>
      <c r="X2399" s="160"/>
      <c r="Y2399" s="160"/>
      <c r="Z2399" s="160"/>
      <c r="AA2399" s="160"/>
      <c r="AB2399" s="160"/>
      <c r="AC2399" s="160"/>
      <c r="AD2399" s="160"/>
      <c r="AE2399" s="160"/>
      <c r="AF2399" s="160"/>
      <c r="AG2399" s="160"/>
      <c r="AH2399" s="160"/>
      <c r="AI2399" s="160"/>
      <c r="AJ2399" s="179"/>
      <c r="AK2399" s="160"/>
      <c r="AL2399" s="177"/>
      <c r="AM2399" s="177"/>
      <c r="AN2399" s="160">
        <f>IF($AN$2253&gt;0,IPMT('Assumptions (Petroleum)'!$V$6,Model!W$1,'Assumptions (Petroleum)'!$V$9,'Assumptions (Petroleum)'!$V$4*Model!$AN$2253*AVERAGE('Assumptions (Petroleum)'!$AJ$2:$AL$2)/10^9),0)</f>
        <v>0</v>
      </c>
      <c r="AO2399" s="160">
        <f>IF($AN$2253&gt;0,IPMT('Assumptions (Petroleum)'!$V$6,Model!X$1,'Assumptions (Petroleum)'!$V$9,'Assumptions (Petroleum)'!$V$4*Model!$AN$2253*AVERAGE('Assumptions (Petroleum)'!$AJ$2:$AL$2)/10^9),0)</f>
        <v>0</v>
      </c>
      <c r="AP2399" s="160">
        <f>IF($AN$2253&gt;0,IPMT('Assumptions (Petroleum)'!$V$6,Model!Y$1,'Assumptions (Petroleum)'!$V$9,'Assumptions (Petroleum)'!$V$4*Model!$AN$2253*AVERAGE('Assumptions (Petroleum)'!$AJ$2:$AL$2)/10^9),0)</f>
        <v>0</v>
      </c>
      <c r="AQ2399" s="160">
        <f>IF($AN$2253&gt;0,IPMT('Assumptions (Petroleum)'!$V$6,Model!Z$1,'Assumptions (Petroleum)'!$V$9,'Assumptions (Petroleum)'!$V$4*Model!$AN$2253*AVERAGE('Assumptions (Petroleum)'!$AJ$2:$AL$2)/10^9),0)</f>
        <v>0</v>
      </c>
      <c r="AR2399" s="160">
        <f>IF($AN$2253&gt;0,IPMT('Assumptions (Petroleum)'!$V$6,Model!AA$1,'Assumptions (Petroleum)'!$V$9,'Assumptions (Petroleum)'!$V$4*Model!$AN$2253*AVERAGE('Assumptions (Petroleum)'!$AJ$2:$AL$2)/10^9),0)</f>
        <v>0</v>
      </c>
      <c r="AS2399" s="160">
        <f>IF($AN$2253&gt;0,IPMT('Assumptions (Petroleum)'!$V$6,Model!AB$1,'Assumptions (Petroleum)'!$V$9,'Assumptions (Petroleum)'!$V$4*Model!$AN$2253*AVERAGE('Assumptions (Petroleum)'!$AJ$2:$AL$2)/10^9),0)</f>
        <v>0</v>
      </c>
      <c r="AT2399" s="160">
        <f>IF($AN$2253&gt;0,IPMT('Assumptions (Petroleum)'!$V$6,Model!AC$1,'Assumptions (Petroleum)'!$V$9,'Assumptions (Petroleum)'!$V$4*Model!$AN$2253*AVERAGE('Assumptions (Petroleum)'!$AJ$2:$AL$2)/10^9),0)</f>
        <v>0</v>
      </c>
      <c r="AU2399" s="160">
        <f>IF($AN$2253&gt;0,IPMT('Assumptions (Petroleum)'!$V$6,Model!AD$1,'Assumptions (Petroleum)'!$V$9,'Assumptions (Petroleum)'!$V$4*Model!$AN$2253*AVERAGE('Assumptions (Petroleum)'!$AJ$2:$AL$2)/10^9),0)</f>
        <v>0</v>
      </c>
      <c r="AV2399" s="160">
        <f>IF($AN$2253&gt;0,IPMT('Assumptions (Petroleum)'!$V$6,Model!AE$1,'Assumptions (Petroleum)'!$V$9,'Assumptions (Petroleum)'!$V$4*Model!$AN$2253*AVERAGE('Assumptions (Petroleum)'!$AJ$2:$AL$2)/10^9),0)</f>
        <v>0</v>
      </c>
      <c r="AW2399" s="160">
        <f>IF($AN$2253&gt;0,IPMT('Assumptions (Petroleum)'!$V$6,Model!AF$1,'Assumptions (Petroleum)'!$V$9,'Assumptions (Petroleum)'!$V$4*Model!$AN$2253*AVERAGE('Assumptions (Petroleum)'!$AJ$2:$AL$2)/10^9),0)</f>
        <v>0</v>
      </c>
      <c r="AX2399" s="160">
        <f>IF($AN$2253&gt;0,IPMT('Assumptions (Petroleum)'!$V$6,Model!AG$1,'Assumptions (Petroleum)'!$V$9,'Assumptions (Petroleum)'!$V$4*Model!$AN$2253*AVERAGE('Assumptions (Petroleum)'!$AJ$2:$AL$2)/10^9),0)</f>
        <v>0</v>
      </c>
      <c r="AY2399" s="160">
        <f>IF($AN$2253&gt;0,IPMT('Assumptions (Petroleum)'!$V$6,Model!AH$1,'Assumptions (Petroleum)'!$V$9,'Assumptions (Petroleum)'!$V$4*Model!$AN$2253*AVERAGE('Assumptions (Petroleum)'!$AJ$2:$AL$2)/10^9),0)</f>
        <v>0</v>
      </c>
      <c r="AZ2399" s="160">
        <f>IF($AN$2253&gt;0,IPMT('Assumptions (Petroleum)'!$V$6,Model!AI$1,'Assumptions (Petroleum)'!$V$9,'Assumptions (Petroleum)'!$V$4*Model!$AN$2253*AVERAGE('Assumptions (Petroleum)'!$AJ$2:$AL$2)/10^9),0)</f>
        <v>0</v>
      </c>
      <c r="BA2399" s="160">
        <f>IF($AN$2253&gt;0,IPMT('Assumptions (Petroleum)'!$V$6,Model!AJ$1,'Assumptions (Petroleum)'!$V$9,'Assumptions (Petroleum)'!$V$4*Model!$AN$2253*AVERAGE('Assumptions (Petroleum)'!$AJ$2:$AL$2)/10^9),0)</f>
        <v>0</v>
      </c>
      <c r="BB2399" s="160">
        <f>IF($AN$2253&gt;0,IPMT('Assumptions (Petroleum)'!$V$6,Model!AK$1,'Assumptions (Petroleum)'!$V$9,'Assumptions (Petroleum)'!$V$4*Model!$AN$2253*AVERAGE('Assumptions (Petroleum)'!$AJ$2:$AL$2)/10^9),0)</f>
        <v>0</v>
      </c>
      <c r="BC2399" s="160"/>
      <c r="BD2399" s="160"/>
      <c r="BE2399" s="160"/>
      <c r="BF2399" s="160"/>
      <c r="BG2399" s="160"/>
      <c r="BH2399" s="160"/>
      <c r="BI2399" s="160"/>
      <c r="BJ2399" s="160"/>
      <c r="BK2399" s="160"/>
      <c r="BL2399" s="160"/>
    </row>
    <row r="2400" ht="15.75" hidden="1" customHeight="1" outlineLevel="1">
      <c r="A2400" s="328"/>
      <c r="B2400" s="38"/>
      <c r="C2400" s="174"/>
      <c r="D2400" s="174"/>
      <c r="E2400" s="174"/>
      <c r="F2400" s="174"/>
      <c r="G2400" s="174"/>
      <c r="H2400" s="174"/>
      <c r="I2400" s="174"/>
      <c r="J2400" s="174"/>
      <c r="K2400" s="174"/>
      <c r="L2400" s="174"/>
      <c r="M2400" s="174"/>
      <c r="N2400" s="174"/>
      <c r="O2400" s="174"/>
      <c r="P2400" s="174"/>
      <c r="Q2400" s="174"/>
      <c r="R2400" s="174"/>
      <c r="S2400" s="174"/>
      <c r="T2400" s="174"/>
      <c r="U2400" s="174"/>
      <c r="V2400" s="174"/>
      <c r="W2400" s="160"/>
      <c r="X2400" s="160"/>
      <c r="Y2400" s="160"/>
      <c r="Z2400" s="160"/>
      <c r="AA2400" s="160"/>
      <c r="AB2400" s="160"/>
      <c r="AC2400" s="160"/>
      <c r="AD2400" s="160"/>
      <c r="AE2400" s="160"/>
      <c r="AF2400" s="160"/>
      <c r="AG2400" s="160"/>
      <c r="AH2400" s="160"/>
      <c r="AI2400" s="160"/>
      <c r="AJ2400" s="179"/>
      <c r="AK2400" s="160"/>
      <c r="AL2400" s="177"/>
      <c r="AM2400" s="177"/>
      <c r="AN2400" s="177"/>
      <c r="AO2400" s="160">
        <f>IF($AO$2253&gt;0,IPMT('Assumptions (Petroleum)'!$V$6,Model!W$1,'Assumptions (Petroleum)'!$V$9,'Assumptions (Petroleum)'!$V$4*Model!$AO$2253*AVERAGE('Assumptions (Petroleum)'!$AK$2:$AM$2)/10^9),0)</f>
        <v>0</v>
      </c>
      <c r="AP2400" s="160">
        <f>IF($AO$2253&gt;0,IPMT('Assumptions (Petroleum)'!$V$6,Model!X$1,'Assumptions (Petroleum)'!$V$9,'Assumptions (Petroleum)'!$V$4*Model!$AO$2253*AVERAGE('Assumptions (Petroleum)'!$AK$2:$AM$2)/10^9),0)</f>
        <v>0</v>
      </c>
      <c r="AQ2400" s="160">
        <f>IF($AO$2253&gt;0,IPMT('Assumptions (Petroleum)'!$V$6,Model!Y$1,'Assumptions (Petroleum)'!$V$9,'Assumptions (Petroleum)'!$V$4*Model!$AO$2253*AVERAGE('Assumptions (Petroleum)'!$AK$2:$AM$2)/10^9),0)</f>
        <v>0</v>
      </c>
      <c r="AR2400" s="160">
        <f>IF($AO$2253&gt;0,IPMT('Assumptions (Petroleum)'!$V$6,Model!Z$1,'Assumptions (Petroleum)'!$V$9,'Assumptions (Petroleum)'!$V$4*Model!$AO$2253*AVERAGE('Assumptions (Petroleum)'!$AK$2:$AM$2)/10^9),0)</f>
        <v>0</v>
      </c>
      <c r="AS2400" s="160">
        <f>IF($AO$2253&gt;0,IPMT('Assumptions (Petroleum)'!$V$6,Model!AA$1,'Assumptions (Petroleum)'!$V$9,'Assumptions (Petroleum)'!$V$4*Model!$AO$2253*AVERAGE('Assumptions (Petroleum)'!$AK$2:$AM$2)/10^9),0)</f>
        <v>0</v>
      </c>
      <c r="AT2400" s="160">
        <f>IF($AO$2253&gt;0,IPMT('Assumptions (Petroleum)'!$V$6,Model!AB$1,'Assumptions (Petroleum)'!$V$9,'Assumptions (Petroleum)'!$V$4*Model!$AO$2253*AVERAGE('Assumptions (Petroleum)'!$AK$2:$AM$2)/10^9),0)</f>
        <v>0</v>
      </c>
      <c r="AU2400" s="160">
        <f>IF($AO$2253&gt;0,IPMT('Assumptions (Petroleum)'!$V$6,Model!AC$1,'Assumptions (Petroleum)'!$V$9,'Assumptions (Petroleum)'!$V$4*Model!$AO$2253*AVERAGE('Assumptions (Petroleum)'!$AK$2:$AM$2)/10^9),0)</f>
        <v>0</v>
      </c>
      <c r="AV2400" s="160">
        <f>IF($AO$2253&gt;0,IPMT('Assumptions (Petroleum)'!$V$6,Model!AD$1,'Assumptions (Petroleum)'!$V$9,'Assumptions (Petroleum)'!$V$4*Model!$AO$2253*AVERAGE('Assumptions (Petroleum)'!$AK$2:$AM$2)/10^9),0)</f>
        <v>0</v>
      </c>
      <c r="AW2400" s="160">
        <f>IF($AO$2253&gt;0,IPMT('Assumptions (Petroleum)'!$V$6,Model!AE$1,'Assumptions (Petroleum)'!$V$9,'Assumptions (Petroleum)'!$V$4*Model!$AO$2253*AVERAGE('Assumptions (Petroleum)'!$AK$2:$AM$2)/10^9),0)</f>
        <v>0</v>
      </c>
      <c r="AX2400" s="160">
        <f>IF($AO$2253&gt;0,IPMT('Assumptions (Petroleum)'!$V$6,Model!AF$1,'Assumptions (Petroleum)'!$V$9,'Assumptions (Petroleum)'!$V$4*Model!$AO$2253*AVERAGE('Assumptions (Petroleum)'!$AK$2:$AM$2)/10^9),0)</f>
        <v>0</v>
      </c>
      <c r="AY2400" s="160">
        <f>IF($AO$2253&gt;0,IPMT('Assumptions (Petroleum)'!$V$6,Model!AG$1,'Assumptions (Petroleum)'!$V$9,'Assumptions (Petroleum)'!$V$4*Model!$AO$2253*AVERAGE('Assumptions (Petroleum)'!$AK$2:$AM$2)/10^9),0)</f>
        <v>0</v>
      </c>
      <c r="AZ2400" s="160">
        <f>IF($AO$2253&gt;0,IPMT('Assumptions (Petroleum)'!$V$6,Model!AH$1,'Assumptions (Petroleum)'!$V$9,'Assumptions (Petroleum)'!$V$4*Model!$AO$2253*AVERAGE('Assumptions (Petroleum)'!$AK$2:$AM$2)/10^9),0)</f>
        <v>0</v>
      </c>
      <c r="BA2400" s="160">
        <f>IF($AO$2253&gt;0,IPMT('Assumptions (Petroleum)'!$V$6,Model!AI$1,'Assumptions (Petroleum)'!$V$9,'Assumptions (Petroleum)'!$V$4*Model!$AO$2253*AVERAGE('Assumptions (Petroleum)'!$AK$2:$AM$2)/10^9),0)</f>
        <v>0</v>
      </c>
      <c r="BB2400" s="160">
        <f>IF($AO$2253&gt;0,IPMT('Assumptions (Petroleum)'!$V$6,Model!AJ$1,'Assumptions (Petroleum)'!$V$9,'Assumptions (Petroleum)'!$V$4*Model!$AO$2253*AVERAGE('Assumptions (Petroleum)'!$AK$2:$AM$2)/10^9),0)</f>
        <v>0</v>
      </c>
      <c r="BC2400" s="160">
        <f>IF($AO$2253&gt;0,IPMT('Assumptions (Petroleum)'!$V$6,Model!AK$1,'Assumptions (Petroleum)'!$V$9,'Assumptions (Petroleum)'!$V$4*Model!$AO$2253*AVERAGE('Assumptions (Petroleum)'!$AK$2:$AM$2)/10^9),0)</f>
        <v>0</v>
      </c>
      <c r="BD2400" s="160"/>
      <c r="BE2400" s="160"/>
      <c r="BF2400" s="160"/>
      <c r="BG2400" s="160"/>
      <c r="BH2400" s="160"/>
      <c r="BI2400" s="160"/>
      <c r="BJ2400" s="160"/>
      <c r="BK2400" s="160"/>
      <c r="BL2400" s="160"/>
      <c r="BM2400" s="160"/>
    </row>
    <row r="2401" ht="15.75" hidden="1" customHeight="1" outlineLevel="1">
      <c r="A2401" s="328"/>
      <c r="B2401" s="38"/>
      <c r="C2401" s="174"/>
      <c r="D2401" s="174"/>
      <c r="E2401" s="174"/>
      <c r="F2401" s="174"/>
      <c r="G2401" s="174"/>
      <c r="H2401" s="174"/>
      <c r="I2401" s="174"/>
      <c r="J2401" s="174"/>
      <c r="K2401" s="174"/>
      <c r="L2401" s="174"/>
      <c r="M2401" s="174"/>
      <c r="N2401" s="174"/>
      <c r="O2401" s="174"/>
      <c r="P2401" s="174"/>
      <c r="Q2401" s="174"/>
      <c r="R2401" s="174"/>
      <c r="S2401" s="174"/>
      <c r="T2401" s="174"/>
      <c r="U2401" s="174"/>
      <c r="V2401" s="174"/>
      <c r="W2401" s="160"/>
      <c r="X2401" s="160"/>
      <c r="Y2401" s="160"/>
      <c r="Z2401" s="160"/>
      <c r="AA2401" s="160"/>
      <c r="AB2401" s="160"/>
      <c r="AC2401" s="160"/>
      <c r="AD2401" s="160"/>
      <c r="AE2401" s="160"/>
      <c r="AF2401" s="160"/>
      <c r="AG2401" s="160"/>
      <c r="AH2401" s="160"/>
      <c r="AI2401" s="160"/>
      <c r="AJ2401" s="179"/>
      <c r="AK2401" s="160"/>
      <c r="AL2401" s="177"/>
      <c r="AM2401" s="177"/>
      <c r="AN2401" s="177"/>
      <c r="AO2401" s="160"/>
      <c r="AP2401" s="160">
        <f>IF($AP$2253&gt;0,IPMT('Assumptions (Petroleum)'!$V$6,Model!W$1,'Assumptions (Petroleum)'!$V$9,'Assumptions (Petroleum)'!$V$4*Model!$AP$2253*AVERAGE('Assumptions (Petroleum)'!$AL$2:$AN$2)/10^9),0)</f>
        <v>0</v>
      </c>
      <c r="AQ2401" s="160">
        <f>IF($AP$2253&gt;0,IPMT('Assumptions (Petroleum)'!$V$6,Model!X$1,'Assumptions (Petroleum)'!$V$9,'Assumptions (Petroleum)'!$V$4*Model!$AP$2253*AVERAGE('Assumptions (Petroleum)'!$AL$2:$AN$2)/10^9),0)</f>
        <v>0</v>
      </c>
      <c r="AR2401" s="160">
        <f>IF($AP$2253&gt;0,IPMT('Assumptions (Petroleum)'!$V$6,Model!Y$1,'Assumptions (Petroleum)'!$V$9,'Assumptions (Petroleum)'!$V$4*Model!$AP$2253*AVERAGE('Assumptions (Petroleum)'!$AL$2:$AN$2)/10^9),0)</f>
        <v>0</v>
      </c>
      <c r="AS2401" s="160">
        <f>IF($AP$2253&gt;0,IPMT('Assumptions (Petroleum)'!$V$6,Model!Z$1,'Assumptions (Petroleum)'!$V$9,'Assumptions (Petroleum)'!$V$4*Model!$AP$2253*AVERAGE('Assumptions (Petroleum)'!$AL$2:$AN$2)/10^9),0)</f>
        <v>0</v>
      </c>
      <c r="AT2401" s="160">
        <f>IF($AP$2253&gt;0,IPMT('Assumptions (Petroleum)'!$V$6,Model!AA$1,'Assumptions (Petroleum)'!$V$9,'Assumptions (Petroleum)'!$V$4*Model!$AP$2253*AVERAGE('Assumptions (Petroleum)'!$AL$2:$AN$2)/10^9),0)</f>
        <v>0</v>
      </c>
      <c r="AU2401" s="160">
        <f>IF($AP$2253&gt;0,IPMT('Assumptions (Petroleum)'!$V$6,Model!AB$1,'Assumptions (Petroleum)'!$V$9,'Assumptions (Petroleum)'!$V$4*Model!$AP$2253*AVERAGE('Assumptions (Petroleum)'!$AL$2:$AN$2)/10^9),0)</f>
        <v>0</v>
      </c>
      <c r="AV2401" s="160">
        <f>IF($AP$2253&gt;0,IPMT('Assumptions (Petroleum)'!$V$6,Model!AC$1,'Assumptions (Petroleum)'!$V$9,'Assumptions (Petroleum)'!$V$4*Model!$AP$2253*AVERAGE('Assumptions (Petroleum)'!$AL$2:$AN$2)/10^9),0)</f>
        <v>0</v>
      </c>
      <c r="AW2401" s="160">
        <f>IF($AP$2253&gt;0,IPMT('Assumptions (Petroleum)'!$V$6,Model!AD$1,'Assumptions (Petroleum)'!$V$9,'Assumptions (Petroleum)'!$V$4*Model!$AP$2253*AVERAGE('Assumptions (Petroleum)'!$AL$2:$AN$2)/10^9),0)</f>
        <v>0</v>
      </c>
      <c r="AX2401" s="160">
        <f>IF($AP$2253&gt;0,IPMT('Assumptions (Petroleum)'!$V$6,Model!AE$1,'Assumptions (Petroleum)'!$V$9,'Assumptions (Petroleum)'!$V$4*Model!$AP$2253*AVERAGE('Assumptions (Petroleum)'!$AL$2:$AN$2)/10^9),0)</f>
        <v>0</v>
      </c>
      <c r="AY2401" s="160">
        <f>IF($AP$2253&gt;0,IPMT('Assumptions (Petroleum)'!$V$6,Model!AF$1,'Assumptions (Petroleum)'!$V$9,'Assumptions (Petroleum)'!$V$4*Model!$AP$2253*AVERAGE('Assumptions (Petroleum)'!$AL$2:$AN$2)/10^9),0)</f>
        <v>0</v>
      </c>
      <c r="AZ2401" s="160">
        <f>IF($AP$2253&gt;0,IPMT('Assumptions (Petroleum)'!$V$6,Model!AG$1,'Assumptions (Petroleum)'!$V$9,'Assumptions (Petroleum)'!$V$4*Model!$AP$2253*AVERAGE('Assumptions (Petroleum)'!$AL$2:$AN$2)/10^9),0)</f>
        <v>0</v>
      </c>
      <c r="BA2401" s="160">
        <f>IF($AP$2253&gt;0,IPMT('Assumptions (Petroleum)'!$V$6,Model!AH$1,'Assumptions (Petroleum)'!$V$9,'Assumptions (Petroleum)'!$V$4*Model!$AP$2253*AVERAGE('Assumptions (Petroleum)'!$AL$2:$AN$2)/10^9),0)</f>
        <v>0</v>
      </c>
      <c r="BB2401" s="160">
        <f>IF($AP$2253&gt;0,IPMT('Assumptions (Petroleum)'!$V$6,Model!AI$1,'Assumptions (Petroleum)'!$V$9,'Assumptions (Petroleum)'!$V$4*Model!$AP$2253*AVERAGE('Assumptions (Petroleum)'!$AL$2:$AN$2)/10^9),0)</f>
        <v>0</v>
      </c>
      <c r="BC2401" s="160">
        <f>IF($AP$2253&gt;0,IPMT('Assumptions (Petroleum)'!$V$6,Model!AJ$1,'Assumptions (Petroleum)'!$V$9,'Assumptions (Petroleum)'!$V$4*Model!$AP$2253*AVERAGE('Assumptions (Petroleum)'!$AL$2:$AN$2)/10^9),0)</f>
        <v>0</v>
      </c>
      <c r="BD2401" s="160">
        <f>IF($AP$2253&gt;0,IPMT('Assumptions (Petroleum)'!$V$6,Model!AK$1,'Assumptions (Petroleum)'!$V$9,'Assumptions (Petroleum)'!$V$4*Model!$AP$2253*AVERAGE('Assumptions (Petroleum)'!$AL$2:$AN$2)/10^9),0)</f>
        <v>0</v>
      </c>
      <c r="BE2401" s="160"/>
      <c r="BF2401" s="160"/>
      <c r="BG2401" s="160"/>
      <c r="BH2401" s="160"/>
      <c r="BI2401" s="160"/>
      <c r="BJ2401" s="160"/>
      <c r="BK2401" s="160"/>
      <c r="BL2401" s="160"/>
      <c r="BM2401" s="160"/>
      <c r="BN2401" s="160"/>
    </row>
    <row r="2402" ht="15.75" hidden="1" customHeight="1" outlineLevel="1">
      <c r="A2402" s="328"/>
      <c r="B2402" s="38"/>
      <c r="C2402" s="174"/>
      <c r="D2402" s="174"/>
      <c r="E2402" s="174"/>
      <c r="F2402" s="174"/>
      <c r="G2402" s="174"/>
      <c r="H2402" s="174"/>
      <c r="I2402" s="174"/>
      <c r="J2402" s="174"/>
      <c r="K2402" s="174"/>
      <c r="L2402" s="174"/>
      <c r="M2402" s="174"/>
      <c r="N2402" s="174"/>
      <c r="O2402" s="174"/>
      <c r="P2402" s="174"/>
      <c r="Q2402" s="174"/>
      <c r="R2402" s="174"/>
      <c r="S2402" s="174"/>
      <c r="T2402" s="174"/>
      <c r="U2402" s="174"/>
      <c r="V2402" s="174"/>
      <c r="W2402" s="160"/>
      <c r="X2402" s="160"/>
      <c r="Y2402" s="160"/>
      <c r="Z2402" s="160"/>
      <c r="AA2402" s="160"/>
      <c r="AB2402" s="160"/>
      <c r="AC2402" s="160"/>
      <c r="AD2402" s="160"/>
      <c r="AE2402" s="160"/>
      <c r="AF2402" s="160"/>
      <c r="AG2402" s="160"/>
      <c r="AH2402" s="160"/>
      <c r="AI2402" s="160"/>
      <c r="AJ2402" s="179"/>
      <c r="AK2402" s="160"/>
      <c r="AL2402" s="177"/>
      <c r="AM2402" s="177"/>
      <c r="AN2402" s="177"/>
      <c r="AO2402" s="160"/>
      <c r="AP2402" s="160"/>
      <c r="AQ2402" s="160">
        <f>IF($AQ$2253&gt;0,IPMT('Assumptions (Petroleum)'!$V$6,Model!W$1,'Assumptions (Petroleum)'!$V$9,'Assumptions (Petroleum)'!$V$4*Model!$AQ$2253*AVERAGE('Assumptions (Petroleum)'!$AM$2:$AO$2)/10^9),0)</f>
        <v>0</v>
      </c>
      <c r="AR2402" s="160">
        <f>IF($AQ$2253&gt;0,IPMT('Assumptions (Petroleum)'!$V$6,Model!X$1,'Assumptions (Petroleum)'!$V$9,'Assumptions (Petroleum)'!$V$4*Model!$AQ$2253*AVERAGE('Assumptions (Petroleum)'!$AM$2:$AO$2)/10^9),0)</f>
        <v>0</v>
      </c>
      <c r="AS2402" s="160">
        <f>IF($AQ$2253&gt;0,IPMT('Assumptions (Petroleum)'!$V$6,Model!Y$1,'Assumptions (Petroleum)'!$V$9,'Assumptions (Petroleum)'!$V$4*Model!$AQ$2253*AVERAGE('Assumptions (Petroleum)'!$AM$2:$AO$2)/10^9),0)</f>
        <v>0</v>
      </c>
      <c r="AT2402" s="160">
        <f>IF($AQ$2253&gt;0,IPMT('Assumptions (Petroleum)'!$V$6,Model!Z$1,'Assumptions (Petroleum)'!$V$9,'Assumptions (Petroleum)'!$V$4*Model!$AQ$2253*AVERAGE('Assumptions (Petroleum)'!$AM$2:$AO$2)/10^9),0)</f>
        <v>0</v>
      </c>
      <c r="AU2402" s="160">
        <f>IF($AQ$2253&gt;0,IPMT('Assumptions (Petroleum)'!$V$6,Model!AA$1,'Assumptions (Petroleum)'!$V$9,'Assumptions (Petroleum)'!$V$4*Model!$AQ$2253*AVERAGE('Assumptions (Petroleum)'!$AM$2:$AO$2)/10^9),0)</f>
        <v>0</v>
      </c>
      <c r="AV2402" s="160">
        <f>IF($AQ$2253&gt;0,IPMT('Assumptions (Petroleum)'!$V$6,Model!AB$1,'Assumptions (Petroleum)'!$V$9,'Assumptions (Petroleum)'!$V$4*Model!$AQ$2253*AVERAGE('Assumptions (Petroleum)'!$AM$2:$AO$2)/10^9),0)</f>
        <v>0</v>
      </c>
      <c r="AW2402" s="160">
        <f>IF($AQ$2253&gt;0,IPMT('Assumptions (Petroleum)'!$V$6,Model!AC$1,'Assumptions (Petroleum)'!$V$9,'Assumptions (Petroleum)'!$V$4*Model!$AQ$2253*AVERAGE('Assumptions (Petroleum)'!$AM$2:$AO$2)/10^9),0)</f>
        <v>0</v>
      </c>
      <c r="AX2402" s="160">
        <f>IF($AQ$2253&gt;0,IPMT('Assumptions (Petroleum)'!$V$6,Model!AD$1,'Assumptions (Petroleum)'!$V$9,'Assumptions (Petroleum)'!$V$4*Model!$AQ$2253*AVERAGE('Assumptions (Petroleum)'!$AM$2:$AO$2)/10^9),0)</f>
        <v>0</v>
      </c>
      <c r="AY2402" s="160">
        <f>IF($AQ$2253&gt;0,IPMT('Assumptions (Petroleum)'!$V$6,Model!AE$1,'Assumptions (Petroleum)'!$V$9,'Assumptions (Petroleum)'!$V$4*Model!$AQ$2253*AVERAGE('Assumptions (Petroleum)'!$AM$2:$AO$2)/10^9),0)</f>
        <v>0</v>
      </c>
      <c r="AZ2402" s="160">
        <f>IF($AQ$2253&gt;0,IPMT('Assumptions (Petroleum)'!$V$6,Model!AF$1,'Assumptions (Petroleum)'!$V$9,'Assumptions (Petroleum)'!$V$4*Model!$AQ$2253*AVERAGE('Assumptions (Petroleum)'!$AM$2:$AO$2)/10^9),0)</f>
        <v>0</v>
      </c>
      <c r="BA2402" s="160">
        <f>IF($AQ$2253&gt;0,IPMT('Assumptions (Petroleum)'!$V$6,Model!AG$1,'Assumptions (Petroleum)'!$V$9,'Assumptions (Petroleum)'!$V$4*Model!$AQ$2253*AVERAGE('Assumptions (Petroleum)'!$AM$2:$AO$2)/10^9),0)</f>
        <v>0</v>
      </c>
      <c r="BB2402" s="160">
        <f>IF($AQ$2253&gt;0,IPMT('Assumptions (Petroleum)'!$V$6,Model!AH$1,'Assumptions (Petroleum)'!$V$9,'Assumptions (Petroleum)'!$V$4*Model!$AQ$2253*AVERAGE('Assumptions (Petroleum)'!$AM$2:$AO$2)/10^9),0)</f>
        <v>0</v>
      </c>
      <c r="BC2402" s="160">
        <f>IF($AQ$2253&gt;0,IPMT('Assumptions (Petroleum)'!$V$6,Model!AI$1,'Assumptions (Petroleum)'!$V$9,'Assumptions (Petroleum)'!$V$4*Model!$AQ$2253*AVERAGE('Assumptions (Petroleum)'!$AM$2:$AO$2)/10^9),0)</f>
        <v>0</v>
      </c>
      <c r="BD2402" s="160">
        <f>IF($AQ$2253&gt;0,IPMT('Assumptions (Petroleum)'!$V$6,Model!AJ$1,'Assumptions (Petroleum)'!$V$9,'Assumptions (Petroleum)'!$V$4*Model!$AQ$2253*AVERAGE('Assumptions (Petroleum)'!$AM$2:$AO$2)/10^9),0)</f>
        <v>0</v>
      </c>
      <c r="BE2402" s="160">
        <f>IF($AQ$2253&gt;0,IPMT('Assumptions (Petroleum)'!$V$6,Model!AK$1,'Assumptions (Petroleum)'!$V$9,'Assumptions (Petroleum)'!$V$4*Model!$AQ$2253*AVERAGE('Assumptions (Petroleum)'!$AM$2:$AO$2)/10^9),0)</f>
        <v>0</v>
      </c>
      <c r="BF2402" s="160"/>
      <c r="BG2402" s="160"/>
      <c r="BH2402" s="160"/>
      <c r="BI2402" s="160"/>
      <c r="BJ2402" s="160"/>
      <c r="BK2402" s="160"/>
      <c r="BL2402" s="160"/>
      <c r="BM2402" s="160"/>
      <c r="BN2402" s="160"/>
      <c r="BO2402" s="160"/>
    </row>
    <row r="2403" ht="15.75" hidden="1" customHeight="1" outlineLevel="1">
      <c r="A2403" s="328"/>
      <c r="B2403" s="38"/>
      <c r="C2403" s="174"/>
      <c r="D2403" s="174"/>
      <c r="E2403" s="174"/>
      <c r="F2403" s="174"/>
      <c r="G2403" s="174"/>
      <c r="H2403" s="174"/>
      <c r="I2403" s="174"/>
      <c r="J2403" s="174"/>
      <c r="K2403" s="174"/>
      <c r="L2403" s="174"/>
      <c r="M2403" s="174"/>
      <c r="N2403" s="174"/>
      <c r="O2403" s="174"/>
      <c r="P2403" s="174"/>
      <c r="Q2403" s="174"/>
      <c r="R2403" s="174"/>
      <c r="S2403" s="174"/>
      <c r="T2403" s="174"/>
      <c r="U2403" s="174"/>
      <c r="V2403" s="174"/>
      <c r="W2403" s="160"/>
      <c r="X2403" s="160"/>
      <c r="Y2403" s="160"/>
      <c r="Z2403" s="160"/>
      <c r="AA2403" s="160"/>
      <c r="AB2403" s="160"/>
      <c r="AC2403" s="160"/>
      <c r="AD2403" s="160"/>
      <c r="AE2403" s="160"/>
      <c r="AF2403" s="160"/>
      <c r="AG2403" s="160"/>
      <c r="AH2403" s="160"/>
      <c r="AI2403" s="160"/>
      <c r="AJ2403" s="179"/>
      <c r="AK2403" s="160"/>
      <c r="AL2403" s="177"/>
      <c r="AM2403" s="177"/>
      <c r="AN2403" s="177"/>
      <c r="AO2403" s="160"/>
      <c r="AP2403" s="160"/>
      <c r="AQ2403" s="160"/>
      <c r="AR2403" s="160">
        <f>IF($AR$2253&gt;0,IPMT('Assumptions (Petroleum)'!$V$6,Model!W$1,'Assumptions (Petroleum)'!$V$9,'Assumptions (Petroleum)'!$V$4*Model!$AR$2253*AVERAGE('Assumptions (Petroleum)'!$AN$2:$AP$2)/10^9),0)</f>
        <v>0</v>
      </c>
      <c r="AS2403" s="160">
        <f>IF($AR$2253&gt;0,IPMT('Assumptions (Petroleum)'!$V$6,Model!X$1,'Assumptions (Petroleum)'!$V$9,'Assumptions (Petroleum)'!$V$4*Model!$AR$2253*AVERAGE('Assumptions (Petroleum)'!$AN$2:$AP$2)/10^9),0)</f>
        <v>0</v>
      </c>
      <c r="AT2403" s="160">
        <f>IF($AR$2253&gt;0,IPMT('Assumptions (Petroleum)'!$V$6,Model!Y$1,'Assumptions (Petroleum)'!$V$9,'Assumptions (Petroleum)'!$V$4*Model!$AR$2253*AVERAGE('Assumptions (Petroleum)'!$AN$2:$AP$2)/10^9),0)</f>
        <v>0</v>
      </c>
      <c r="AU2403" s="160">
        <f>IF($AR$2253&gt;0,IPMT('Assumptions (Petroleum)'!$V$6,Model!Z$1,'Assumptions (Petroleum)'!$V$9,'Assumptions (Petroleum)'!$V$4*Model!$AR$2253*AVERAGE('Assumptions (Petroleum)'!$AN$2:$AP$2)/10^9),0)</f>
        <v>0</v>
      </c>
      <c r="AV2403" s="160">
        <f>IF($AR$2253&gt;0,IPMT('Assumptions (Petroleum)'!$V$6,Model!AA$1,'Assumptions (Petroleum)'!$V$9,'Assumptions (Petroleum)'!$V$4*Model!$AR$2253*AVERAGE('Assumptions (Petroleum)'!$AN$2:$AP$2)/10^9),0)</f>
        <v>0</v>
      </c>
      <c r="AW2403" s="160">
        <f>IF($AR$2253&gt;0,IPMT('Assumptions (Petroleum)'!$V$6,Model!AB$1,'Assumptions (Petroleum)'!$V$9,'Assumptions (Petroleum)'!$V$4*Model!$AR$2253*AVERAGE('Assumptions (Petroleum)'!$AN$2:$AP$2)/10^9),0)</f>
        <v>0</v>
      </c>
      <c r="AX2403" s="160">
        <f>IF($AR$2253&gt;0,IPMT('Assumptions (Petroleum)'!$V$6,Model!AC$1,'Assumptions (Petroleum)'!$V$9,'Assumptions (Petroleum)'!$V$4*Model!$AR$2253*AVERAGE('Assumptions (Petroleum)'!$AN$2:$AP$2)/10^9),0)</f>
        <v>0</v>
      </c>
      <c r="AY2403" s="160">
        <f>IF($AR$2253&gt;0,IPMT('Assumptions (Petroleum)'!$V$6,Model!AD$1,'Assumptions (Petroleum)'!$V$9,'Assumptions (Petroleum)'!$V$4*Model!$AR$2253*AVERAGE('Assumptions (Petroleum)'!$AN$2:$AP$2)/10^9),0)</f>
        <v>0</v>
      </c>
      <c r="AZ2403" s="160">
        <f>IF($AR$2253&gt;0,IPMT('Assumptions (Petroleum)'!$V$6,Model!AE$1,'Assumptions (Petroleum)'!$V$9,'Assumptions (Petroleum)'!$V$4*Model!$AR$2253*AVERAGE('Assumptions (Petroleum)'!$AN$2:$AP$2)/10^9),0)</f>
        <v>0</v>
      </c>
      <c r="BA2403" s="160">
        <f>IF($AR$2253&gt;0,IPMT('Assumptions (Petroleum)'!$V$6,Model!AF$1,'Assumptions (Petroleum)'!$V$9,'Assumptions (Petroleum)'!$V$4*Model!$AR$2253*AVERAGE('Assumptions (Petroleum)'!$AN$2:$AP$2)/10^9),0)</f>
        <v>0</v>
      </c>
      <c r="BB2403" s="160">
        <f>IF($AR$2253&gt;0,IPMT('Assumptions (Petroleum)'!$V$6,Model!AG$1,'Assumptions (Petroleum)'!$V$9,'Assumptions (Petroleum)'!$V$4*Model!$AR$2253*AVERAGE('Assumptions (Petroleum)'!$AN$2:$AP$2)/10^9),0)</f>
        <v>0</v>
      </c>
      <c r="BC2403" s="160">
        <f>IF($AR$2253&gt;0,IPMT('Assumptions (Petroleum)'!$V$6,Model!AH$1,'Assumptions (Petroleum)'!$V$9,'Assumptions (Petroleum)'!$V$4*Model!$AR$2253*AVERAGE('Assumptions (Petroleum)'!$AN$2:$AP$2)/10^9),0)</f>
        <v>0</v>
      </c>
      <c r="BD2403" s="160">
        <f>IF($AR$2253&gt;0,IPMT('Assumptions (Petroleum)'!$V$6,Model!AI$1,'Assumptions (Petroleum)'!$V$9,'Assumptions (Petroleum)'!$V$4*Model!$AR$2253*AVERAGE('Assumptions (Petroleum)'!$AN$2:$AP$2)/10^9),0)</f>
        <v>0</v>
      </c>
      <c r="BE2403" s="160">
        <f>IF($AR$2253&gt;0,IPMT('Assumptions (Petroleum)'!$V$6,Model!AJ$1,'Assumptions (Petroleum)'!$V$9,'Assumptions (Petroleum)'!$V$4*Model!$AR$2253*AVERAGE('Assumptions (Petroleum)'!$AN$2:$AP$2)/10^9),0)</f>
        <v>0</v>
      </c>
      <c r="BF2403" s="160">
        <f>IF($AR$2253&gt;0,IPMT('Assumptions (Petroleum)'!$V$6,Model!AK$1,'Assumptions (Petroleum)'!$V$9,'Assumptions (Petroleum)'!$V$4*Model!$AR$2253*AVERAGE('Assumptions (Petroleum)'!$AN$2:$AP$2)/10^9),0)</f>
        <v>0</v>
      </c>
      <c r="BG2403" s="160"/>
      <c r="BH2403" s="160"/>
      <c r="BI2403" s="160"/>
      <c r="BJ2403" s="160"/>
      <c r="BK2403" s="160"/>
      <c r="BL2403" s="160"/>
      <c r="BM2403" s="160"/>
      <c r="BN2403" s="160"/>
      <c r="BO2403" s="160"/>
      <c r="BP2403" s="160"/>
    </row>
    <row r="2404" ht="15.75" hidden="1" customHeight="1" outlineLevel="1">
      <c r="A2404" s="328"/>
      <c r="B2404" s="38"/>
      <c r="C2404" s="174"/>
      <c r="D2404" s="174"/>
      <c r="E2404" s="174"/>
      <c r="F2404" s="174"/>
      <c r="G2404" s="174"/>
      <c r="H2404" s="174"/>
      <c r="I2404" s="174"/>
      <c r="J2404" s="174"/>
      <c r="K2404" s="174"/>
      <c r="L2404" s="174"/>
      <c r="M2404" s="174"/>
      <c r="N2404" s="174"/>
      <c r="O2404" s="174"/>
      <c r="P2404" s="174"/>
      <c r="Q2404" s="174"/>
      <c r="R2404" s="174"/>
      <c r="S2404" s="174"/>
      <c r="T2404" s="174"/>
      <c r="U2404" s="174"/>
      <c r="V2404" s="174"/>
      <c r="W2404" s="160"/>
      <c r="X2404" s="160"/>
      <c r="Y2404" s="160"/>
      <c r="Z2404" s="160"/>
      <c r="AA2404" s="160"/>
      <c r="AB2404" s="160"/>
      <c r="AC2404" s="160"/>
      <c r="AD2404" s="160"/>
      <c r="AE2404" s="160"/>
      <c r="AF2404" s="160"/>
      <c r="AG2404" s="160"/>
      <c r="AH2404" s="160"/>
      <c r="AI2404" s="160"/>
      <c r="AJ2404" s="179"/>
      <c r="AK2404" s="160"/>
      <c r="AL2404" s="177"/>
      <c r="AM2404" s="177"/>
      <c r="AN2404" s="177"/>
      <c r="AO2404" s="160"/>
      <c r="AP2404" s="160"/>
      <c r="AQ2404" s="160"/>
      <c r="AR2404" s="160"/>
      <c r="AS2404" s="160">
        <f>IF($AS$2253&gt;0,IPMT('Assumptions (Petroleum)'!$V$6,Model!W$1,'Assumptions (Petroleum)'!$V$9,'Assumptions (Petroleum)'!$V$4*Model!$AS$2253*AVERAGE('Assumptions (Petroleum)'!$AO$2:$AQ$2)/10^9),0)</f>
        <v>0</v>
      </c>
      <c r="AT2404" s="160">
        <f>IF($AS$2253&gt;0,IPMT('Assumptions (Petroleum)'!$V$6,Model!X$1,'Assumptions (Petroleum)'!$V$9,'Assumptions (Petroleum)'!$V$4*Model!$AS$2253*AVERAGE('Assumptions (Petroleum)'!$AO$2:$AQ$2)/10^9),0)</f>
        <v>0</v>
      </c>
      <c r="AU2404" s="160">
        <f>IF($AS$2253&gt;0,IPMT('Assumptions (Petroleum)'!$V$6,Model!Y$1,'Assumptions (Petroleum)'!$V$9,'Assumptions (Petroleum)'!$V$4*Model!$AS$2253*AVERAGE('Assumptions (Petroleum)'!$AO$2:$AQ$2)/10^9),0)</f>
        <v>0</v>
      </c>
      <c r="AV2404" s="160">
        <f>IF($AS$2253&gt;0,IPMT('Assumptions (Petroleum)'!$V$6,Model!Z$1,'Assumptions (Petroleum)'!$V$9,'Assumptions (Petroleum)'!$V$4*Model!$AS$2253*AVERAGE('Assumptions (Petroleum)'!$AO$2:$AQ$2)/10^9),0)</f>
        <v>0</v>
      </c>
      <c r="AW2404" s="160">
        <f>IF($AS$2253&gt;0,IPMT('Assumptions (Petroleum)'!$V$6,Model!AA$1,'Assumptions (Petroleum)'!$V$9,'Assumptions (Petroleum)'!$V$4*Model!$AS$2253*AVERAGE('Assumptions (Petroleum)'!$AO$2:$AQ$2)/10^9),0)</f>
        <v>0</v>
      </c>
      <c r="AX2404" s="160">
        <f>IF($AS$2253&gt;0,IPMT('Assumptions (Petroleum)'!$V$6,Model!AB$1,'Assumptions (Petroleum)'!$V$9,'Assumptions (Petroleum)'!$V$4*Model!$AS$2253*AVERAGE('Assumptions (Petroleum)'!$AO$2:$AQ$2)/10^9),0)</f>
        <v>0</v>
      </c>
      <c r="AY2404" s="160">
        <f>IF($AS$2253&gt;0,IPMT('Assumptions (Petroleum)'!$V$6,Model!AC$1,'Assumptions (Petroleum)'!$V$9,'Assumptions (Petroleum)'!$V$4*Model!$AS$2253*AVERAGE('Assumptions (Petroleum)'!$AO$2:$AQ$2)/10^9),0)</f>
        <v>0</v>
      </c>
      <c r="AZ2404" s="160">
        <f>IF($AS$2253&gt;0,IPMT('Assumptions (Petroleum)'!$V$6,Model!AD$1,'Assumptions (Petroleum)'!$V$9,'Assumptions (Petroleum)'!$V$4*Model!$AS$2253*AVERAGE('Assumptions (Petroleum)'!$AO$2:$AQ$2)/10^9),0)</f>
        <v>0</v>
      </c>
      <c r="BA2404" s="160">
        <f>IF($AS$2253&gt;0,IPMT('Assumptions (Petroleum)'!$V$6,Model!AE$1,'Assumptions (Petroleum)'!$V$9,'Assumptions (Petroleum)'!$V$4*Model!$AS$2253*AVERAGE('Assumptions (Petroleum)'!$AO$2:$AQ$2)/10^9),0)</f>
        <v>0</v>
      </c>
      <c r="BB2404" s="160">
        <f>IF($AS$2253&gt;0,IPMT('Assumptions (Petroleum)'!$V$6,Model!AF$1,'Assumptions (Petroleum)'!$V$9,'Assumptions (Petroleum)'!$V$4*Model!$AS$2253*AVERAGE('Assumptions (Petroleum)'!$AO$2:$AQ$2)/10^9),0)</f>
        <v>0</v>
      </c>
      <c r="BC2404" s="160">
        <f>IF($AS$2253&gt;0,IPMT('Assumptions (Petroleum)'!$V$6,Model!AG$1,'Assumptions (Petroleum)'!$V$9,'Assumptions (Petroleum)'!$V$4*Model!$AS$2253*AVERAGE('Assumptions (Petroleum)'!$AO$2:$AQ$2)/10^9),0)</f>
        <v>0</v>
      </c>
      <c r="BD2404" s="160">
        <f>IF($AS$2253&gt;0,IPMT('Assumptions (Petroleum)'!$V$6,Model!AH$1,'Assumptions (Petroleum)'!$V$9,'Assumptions (Petroleum)'!$V$4*Model!$AS$2253*AVERAGE('Assumptions (Petroleum)'!$AO$2:$AQ$2)/10^9),0)</f>
        <v>0</v>
      </c>
      <c r="BE2404" s="160">
        <f>IF($AS$2253&gt;0,IPMT('Assumptions (Petroleum)'!$V$6,Model!AI$1,'Assumptions (Petroleum)'!$V$9,'Assumptions (Petroleum)'!$V$4*Model!$AS$2253*AVERAGE('Assumptions (Petroleum)'!$AO$2:$AQ$2)/10^9),0)</f>
        <v>0</v>
      </c>
      <c r="BF2404" s="160">
        <f>IF($AS$2253&gt;0,IPMT('Assumptions (Petroleum)'!$V$6,Model!AJ$1,'Assumptions (Petroleum)'!$V$9,'Assumptions (Petroleum)'!$V$4*Model!$AS$2253*AVERAGE('Assumptions (Petroleum)'!$AO$2:$AQ$2)/10^9),0)</f>
        <v>0</v>
      </c>
      <c r="BG2404" s="160">
        <f>IF($AS$2253&gt;0,IPMT('Assumptions (Petroleum)'!$V$6,Model!AK$1,'Assumptions (Petroleum)'!$V$9,'Assumptions (Petroleum)'!$V$4*Model!$AS$2253*AVERAGE('Assumptions (Petroleum)'!$AO$2:$AQ$2)/10^9),0)</f>
        <v>0</v>
      </c>
      <c r="BH2404" s="160"/>
      <c r="BI2404" s="160"/>
      <c r="BJ2404" s="160"/>
      <c r="BK2404" s="160"/>
      <c r="BL2404" s="160"/>
      <c r="BM2404" s="160"/>
      <c r="BN2404" s="160"/>
      <c r="BO2404" s="160"/>
      <c r="BP2404" s="160"/>
    </row>
    <row r="2405" ht="15.75" hidden="1" customHeight="1" outlineLevel="1">
      <c r="A2405" s="328"/>
      <c r="B2405" s="38"/>
      <c r="C2405" s="174"/>
      <c r="D2405" s="174"/>
      <c r="E2405" s="174"/>
      <c r="F2405" s="174"/>
      <c r="G2405" s="174"/>
      <c r="H2405" s="174"/>
      <c r="I2405" s="174"/>
      <c r="J2405" s="174"/>
      <c r="K2405" s="174"/>
      <c r="L2405" s="174"/>
      <c r="M2405" s="174"/>
      <c r="N2405" s="174"/>
      <c r="O2405" s="174"/>
      <c r="P2405" s="174"/>
      <c r="Q2405" s="174"/>
      <c r="R2405" s="174"/>
      <c r="S2405" s="174"/>
      <c r="T2405" s="174"/>
      <c r="U2405" s="174"/>
      <c r="V2405" s="174"/>
      <c r="W2405" s="160"/>
      <c r="X2405" s="160"/>
      <c r="Y2405" s="160"/>
      <c r="Z2405" s="160"/>
      <c r="AA2405" s="160"/>
      <c r="AB2405" s="160"/>
      <c r="AC2405" s="160"/>
      <c r="AD2405" s="160"/>
      <c r="AE2405" s="160"/>
      <c r="AF2405" s="160"/>
      <c r="AG2405" s="160"/>
      <c r="AH2405" s="160"/>
      <c r="AI2405" s="160"/>
      <c r="AJ2405" s="179"/>
      <c r="AK2405" s="160"/>
      <c r="AL2405" s="177"/>
      <c r="AM2405" s="177"/>
      <c r="AN2405" s="177"/>
      <c r="AO2405" s="160"/>
      <c r="AP2405" s="160"/>
      <c r="AQ2405" s="160"/>
      <c r="AR2405" s="160"/>
      <c r="AS2405" s="160"/>
      <c r="AT2405" s="160">
        <f>IF($AT$2253&gt;0,IPMT('Assumptions (Petroleum)'!$V$6,Model!W$1,'Assumptions (Petroleum)'!$V$9,'Assumptions (Petroleum)'!$V$4*Model!$AT$2253*AVERAGE('Assumptions (Petroleum)'!$AP$2:$AR$2)/10^9),0)</f>
        <v>0</v>
      </c>
      <c r="AU2405" s="160">
        <f>IF($AT$2253&gt;0,IPMT('Assumptions (Petroleum)'!$V$6,Model!X$1,'Assumptions (Petroleum)'!$V$9,'Assumptions (Petroleum)'!$V$4*Model!$AT$2253*AVERAGE('Assumptions (Petroleum)'!$AP$2:$AR$2)/10^9),0)</f>
        <v>0</v>
      </c>
      <c r="AV2405" s="160">
        <f>IF($AT$2253&gt;0,IPMT('Assumptions (Petroleum)'!$V$6,Model!Y$1,'Assumptions (Petroleum)'!$V$9,'Assumptions (Petroleum)'!$V$4*Model!$AT$2253*AVERAGE('Assumptions (Petroleum)'!$AP$2:$AR$2)/10^9),0)</f>
        <v>0</v>
      </c>
      <c r="AW2405" s="160">
        <f>IF($AT$2253&gt;0,IPMT('Assumptions (Petroleum)'!$V$6,Model!Z$1,'Assumptions (Petroleum)'!$V$9,'Assumptions (Petroleum)'!$V$4*Model!$AT$2253*AVERAGE('Assumptions (Petroleum)'!$AP$2:$AR$2)/10^9),0)</f>
        <v>0</v>
      </c>
      <c r="AX2405" s="160">
        <f>IF($AT$2253&gt;0,IPMT('Assumptions (Petroleum)'!$V$6,Model!AA$1,'Assumptions (Petroleum)'!$V$9,'Assumptions (Petroleum)'!$V$4*Model!$AT$2253*AVERAGE('Assumptions (Petroleum)'!$AP$2:$AR$2)/10^9),0)</f>
        <v>0</v>
      </c>
      <c r="AY2405" s="160">
        <f>IF($AT$2253&gt;0,IPMT('Assumptions (Petroleum)'!$V$6,Model!AB$1,'Assumptions (Petroleum)'!$V$9,'Assumptions (Petroleum)'!$V$4*Model!$AT$2253*AVERAGE('Assumptions (Petroleum)'!$AP$2:$AR$2)/10^9),0)</f>
        <v>0</v>
      </c>
      <c r="AZ2405" s="160">
        <f>IF($AT$2253&gt;0,IPMT('Assumptions (Petroleum)'!$V$6,Model!AC$1,'Assumptions (Petroleum)'!$V$9,'Assumptions (Petroleum)'!$V$4*Model!$AT$2253*AVERAGE('Assumptions (Petroleum)'!$AP$2:$AR$2)/10^9),0)</f>
        <v>0</v>
      </c>
      <c r="BA2405" s="160">
        <f>IF($AT$2253&gt;0,IPMT('Assumptions (Petroleum)'!$V$6,Model!AD$1,'Assumptions (Petroleum)'!$V$9,'Assumptions (Petroleum)'!$V$4*Model!$AT$2253*AVERAGE('Assumptions (Petroleum)'!$AP$2:$AR$2)/10^9),0)</f>
        <v>0</v>
      </c>
      <c r="BB2405" s="160">
        <f>IF($AT$2253&gt;0,IPMT('Assumptions (Petroleum)'!$V$6,Model!AE$1,'Assumptions (Petroleum)'!$V$9,'Assumptions (Petroleum)'!$V$4*Model!$AT$2253*AVERAGE('Assumptions (Petroleum)'!$AP$2:$AR$2)/10^9),0)</f>
        <v>0</v>
      </c>
      <c r="BC2405" s="160">
        <f>IF($AT$2253&gt;0,IPMT('Assumptions (Petroleum)'!$V$6,Model!AF$1,'Assumptions (Petroleum)'!$V$9,'Assumptions (Petroleum)'!$V$4*Model!$AT$2253*AVERAGE('Assumptions (Petroleum)'!$AP$2:$AR$2)/10^9),0)</f>
        <v>0</v>
      </c>
      <c r="BD2405" s="160">
        <f>IF($AT$2253&gt;0,IPMT('Assumptions (Petroleum)'!$V$6,Model!AG$1,'Assumptions (Petroleum)'!$V$9,'Assumptions (Petroleum)'!$V$4*Model!$AT$2253*AVERAGE('Assumptions (Petroleum)'!$AP$2:$AR$2)/10^9),0)</f>
        <v>0</v>
      </c>
      <c r="BE2405" s="160">
        <f>IF($AT$2253&gt;0,IPMT('Assumptions (Petroleum)'!$V$6,Model!AH$1,'Assumptions (Petroleum)'!$V$9,'Assumptions (Petroleum)'!$V$4*Model!$AT$2253*AVERAGE('Assumptions (Petroleum)'!$AP$2:$AR$2)/10^9),0)</f>
        <v>0</v>
      </c>
      <c r="BF2405" s="160">
        <f>IF($AT$2253&gt;0,IPMT('Assumptions (Petroleum)'!$V$6,Model!AI$1,'Assumptions (Petroleum)'!$V$9,'Assumptions (Petroleum)'!$V$4*Model!$AT$2253*AVERAGE('Assumptions (Petroleum)'!$AP$2:$AR$2)/10^9),0)</f>
        <v>0</v>
      </c>
      <c r="BG2405" s="160">
        <f>IF($AT$2253&gt;0,IPMT('Assumptions (Petroleum)'!$V$6,Model!AJ$1,'Assumptions (Petroleum)'!$V$9,'Assumptions (Petroleum)'!$V$4*Model!$AT$2253*AVERAGE('Assumptions (Petroleum)'!$AP$2:$AR$2)/10^9),0)</f>
        <v>0</v>
      </c>
      <c r="BH2405" s="160">
        <f>IF($AT$2253&gt;0,IPMT('Assumptions (Petroleum)'!$V$6,Model!AK$1,'Assumptions (Petroleum)'!$V$9,'Assumptions (Petroleum)'!$V$4*Model!$AT$2253*AVERAGE('Assumptions (Petroleum)'!$AP$2:$AR$2)/10^9),0)</f>
        <v>0</v>
      </c>
      <c r="BI2405" s="160"/>
      <c r="BJ2405" s="160"/>
      <c r="BK2405" s="160"/>
      <c r="BL2405" s="160"/>
      <c r="BM2405" s="160"/>
      <c r="BN2405" s="160"/>
      <c r="BO2405" s="160"/>
      <c r="BP2405" s="160"/>
    </row>
    <row r="2406" ht="15.75" hidden="1" customHeight="1" outlineLevel="1">
      <c r="A2406" s="328"/>
      <c r="B2406" s="38"/>
      <c r="C2406" s="174"/>
      <c r="D2406" s="174"/>
      <c r="E2406" s="174"/>
      <c r="F2406" s="174"/>
      <c r="G2406" s="174"/>
      <c r="H2406" s="174"/>
      <c r="I2406" s="174"/>
      <c r="J2406" s="174"/>
      <c r="K2406" s="174"/>
      <c r="L2406" s="174"/>
      <c r="M2406" s="174"/>
      <c r="N2406" s="174"/>
      <c r="O2406" s="174"/>
      <c r="P2406" s="174"/>
      <c r="Q2406" s="174"/>
      <c r="R2406" s="174"/>
      <c r="S2406" s="174"/>
      <c r="T2406" s="174"/>
      <c r="U2406" s="174"/>
      <c r="V2406" s="174"/>
      <c r="W2406" s="160"/>
      <c r="X2406" s="160"/>
      <c r="Y2406" s="160"/>
      <c r="Z2406" s="160"/>
      <c r="AA2406" s="160"/>
      <c r="AB2406" s="160"/>
      <c r="AC2406" s="160"/>
      <c r="AD2406" s="160"/>
      <c r="AE2406" s="160"/>
      <c r="AF2406" s="160"/>
      <c r="AG2406" s="160"/>
      <c r="AH2406" s="160"/>
      <c r="AI2406" s="160"/>
      <c r="AJ2406" s="179"/>
      <c r="AK2406" s="160"/>
      <c r="AL2406" s="177"/>
      <c r="AM2406" s="177"/>
      <c r="AN2406" s="177"/>
      <c r="AO2406" s="160"/>
      <c r="AP2406" s="160"/>
      <c r="AQ2406" s="160"/>
      <c r="AR2406" s="160"/>
      <c r="AS2406" s="160"/>
      <c r="AT2406" s="160"/>
      <c r="AU2406" s="160">
        <f>IF($AU$2253&gt;0,IPMT('Assumptions (Petroleum)'!$V$6,Model!W$1,'Assumptions (Petroleum)'!$V$9,'Assumptions (Petroleum)'!$V$4*Model!$AU$2253*AVERAGE('Assumptions (Petroleum)'!$AQ$2:$AS$2)/10^9),0)</f>
        <v>0</v>
      </c>
      <c r="AV2406" s="160">
        <f>IF($AU$2253&gt;0,IPMT('Assumptions (Petroleum)'!$V$6,Model!X$1,'Assumptions (Petroleum)'!$V$9,'Assumptions (Petroleum)'!$V$4*Model!$AU$2253*AVERAGE('Assumptions (Petroleum)'!$AQ$2:$AS$2)/10^9),0)</f>
        <v>0</v>
      </c>
      <c r="AW2406" s="160">
        <f>IF($AU$2253&gt;0,IPMT('Assumptions (Petroleum)'!$V$6,Model!Y$1,'Assumptions (Petroleum)'!$V$9,'Assumptions (Petroleum)'!$V$4*Model!$AU$2253*AVERAGE('Assumptions (Petroleum)'!$AQ$2:$AS$2)/10^9),0)</f>
        <v>0</v>
      </c>
      <c r="AX2406" s="160">
        <f>IF($AU$2253&gt;0,IPMT('Assumptions (Petroleum)'!$V$6,Model!Z$1,'Assumptions (Petroleum)'!$V$9,'Assumptions (Petroleum)'!$V$4*Model!$AU$2253*AVERAGE('Assumptions (Petroleum)'!$AQ$2:$AS$2)/10^9),0)</f>
        <v>0</v>
      </c>
      <c r="AY2406" s="160">
        <f>IF($AU$2253&gt;0,IPMT('Assumptions (Petroleum)'!$V$6,Model!AA$1,'Assumptions (Petroleum)'!$V$9,'Assumptions (Petroleum)'!$V$4*Model!$AU$2253*AVERAGE('Assumptions (Petroleum)'!$AQ$2:$AS$2)/10^9),0)</f>
        <v>0</v>
      </c>
      <c r="AZ2406" s="160">
        <f>IF($AU$2253&gt;0,IPMT('Assumptions (Petroleum)'!$V$6,Model!AB$1,'Assumptions (Petroleum)'!$V$9,'Assumptions (Petroleum)'!$V$4*Model!$AU$2253*AVERAGE('Assumptions (Petroleum)'!$AQ$2:$AS$2)/10^9),0)</f>
        <v>0</v>
      </c>
      <c r="BA2406" s="160">
        <f>IF($AU$2253&gt;0,IPMT('Assumptions (Petroleum)'!$V$6,Model!AC$1,'Assumptions (Petroleum)'!$V$9,'Assumptions (Petroleum)'!$V$4*Model!$AU$2253*AVERAGE('Assumptions (Petroleum)'!$AQ$2:$AS$2)/10^9),0)</f>
        <v>0</v>
      </c>
      <c r="BB2406" s="160">
        <f>IF($AU$2253&gt;0,IPMT('Assumptions (Petroleum)'!$V$6,Model!AD$1,'Assumptions (Petroleum)'!$V$9,'Assumptions (Petroleum)'!$V$4*Model!$AU$2253*AVERAGE('Assumptions (Petroleum)'!$AQ$2:$AS$2)/10^9),0)</f>
        <v>0</v>
      </c>
      <c r="BC2406" s="160">
        <f>IF($AU$2253&gt;0,IPMT('Assumptions (Petroleum)'!$V$6,Model!AE$1,'Assumptions (Petroleum)'!$V$9,'Assumptions (Petroleum)'!$V$4*Model!$AU$2253*AVERAGE('Assumptions (Petroleum)'!$AQ$2:$AS$2)/10^9),0)</f>
        <v>0</v>
      </c>
      <c r="BD2406" s="160">
        <f>IF($AU$2253&gt;0,IPMT('Assumptions (Petroleum)'!$V$6,Model!AF$1,'Assumptions (Petroleum)'!$V$9,'Assumptions (Petroleum)'!$V$4*Model!$AU$2253*AVERAGE('Assumptions (Petroleum)'!$AQ$2:$AS$2)/10^9),0)</f>
        <v>0</v>
      </c>
      <c r="BE2406" s="160">
        <f>IF($AU$2253&gt;0,IPMT('Assumptions (Petroleum)'!$V$6,Model!AG$1,'Assumptions (Petroleum)'!$V$9,'Assumptions (Petroleum)'!$V$4*Model!$AU$2253*AVERAGE('Assumptions (Petroleum)'!$AQ$2:$AS$2)/10^9),0)</f>
        <v>0</v>
      </c>
      <c r="BF2406" s="160">
        <f>IF($AU$2253&gt;0,IPMT('Assumptions (Petroleum)'!$V$6,Model!AH$1,'Assumptions (Petroleum)'!$V$9,'Assumptions (Petroleum)'!$V$4*Model!$AU$2253*AVERAGE('Assumptions (Petroleum)'!$AQ$2:$AS$2)/10^9),0)</f>
        <v>0</v>
      </c>
      <c r="BG2406" s="160">
        <f>IF($AU$2253&gt;0,IPMT('Assumptions (Petroleum)'!$V$6,Model!AI$1,'Assumptions (Petroleum)'!$V$9,'Assumptions (Petroleum)'!$V$4*Model!$AU$2253*AVERAGE('Assumptions (Petroleum)'!$AQ$2:$AS$2)/10^9),0)</f>
        <v>0</v>
      </c>
      <c r="BH2406" s="160">
        <f>IF($AU$2253&gt;0,IPMT('Assumptions (Petroleum)'!$V$6,Model!AJ$1,'Assumptions (Petroleum)'!$V$9,'Assumptions (Petroleum)'!$V$4*Model!$AU$2253*AVERAGE('Assumptions (Petroleum)'!$AQ$2:$AS$2)/10^9),0)</f>
        <v>0</v>
      </c>
      <c r="BI2406" s="160">
        <f>IF($AU$2253&gt;0,IPMT('Assumptions (Petroleum)'!$V$6,Model!AK$1,'Assumptions (Petroleum)'!$V$9,'Assumptions (Petroleum)'!$V$4*Model!$AU$2253*AVERAGE('Assumptions (Petroleum)'!$AQ$2:$AS$2)/10^9),0)</f>
        <v>0</v>
      </c>
      <c r="BJ2406" s="160"/>
      <c r="BK2406" s="160"/>
      <c r="BL2406" s="160"/>
      <c r="BM2406" s="160"/>
      <c r="BN2406" s="160"/>
      <c r="BO2406" s="160"/>
      <c r="BP2406" s="160"/>
    </row>
    <row r="2407" ht="15.75" hidden="1" customHeight="1" outlineLevel="1">
      <c r="A2407" s="328"/>
      <c r="B2407" s="38"/>
      <c r="C2407" s="174"/>
      <c r="D2407" s="174"/>
      <c r="E2407" s="174"/>
      <c r="F2407" s="174"/>
      <c r="G2407" s="174"/>
      <c r="H2407" s="174"/>
      <c r="I2407" s="174"/>
      <c r="J2407" s="174"/>
      <c r="K2407" s="174"/>
      <c r="L2407" s="174"/>
      <c r="M2407" s="174"/>
      <c r="N2407" s="174"/>
      <c r="O2407" s="174"/>
      <c r="P2407" s="174"/>
      <c r="Q2407" s="174"/>
      <c r="R2407" s="174"/>
      <c r="S2407" s="174"/>
      <c r="T2407" s="174"/>
      <c r="U2407" s="174"/>
      <c r="V2407" s="174"/>
      <c r="W2407" s="160"/>
      <c r="X2407" s="160"/>
      <c r="Y2407" s="160"/>
      <c r="Z2407" s="160"/>
      <c r="AA2407" s="160"/>
      <c r="AB2407" s="160"/>
      <c r="AC2407" s="160"/>
      <c r="AD2407" s="160"/>
      <c r="AE2407" s="160"/>
      <c r="AF2407" s="160"/>
      <c r="AG2407" s="160"/>
      <c r="AH2407" s="160"/>
      <c r="AI2407" s="160"/>
      <c r="AJ2407" s="179"/>
      <c r="AK2407" s="160"/>
      <c r="AL2407" s="177"/>
      <c r="AM2407" s="177"/>
      <c r="AN2407" s="177"/>
      <c r="AO2407" s="160"/>
      <c r="AP2407" s="160"/>
      <c r="AQ2407" s="160"/>
      <c r="AR2407" s="160"/>
      <c r="AS2407" s="160"/>
      <c r="AT2407" s="160"/>
      <c r="AU2407" s="160"/>
      <c r="AV2407" s="160">
        <f>IF($AV$2253&gt;0,IPMT('Assumptions (Petroleum)'!$V$6,Model!W$1,'Assumptions (Petroleum)'!$V$9,'Assumptions (Petroleum)'!$V$4*Model!$AV$2253*AVERAGE('Assumptions (Petroleum)'!$AR$2:$AT$2)/10^9),0)</f>
        <v>0</v>
      </c>
      <c r="AW2407" s="160">
        <f>IF($AV$2253&gt;0,IPMT('Assumptions (Petroleum)'!$V$6,Model!X$1,'Assumptions (Petroleum)'!$V$9,'Assumptions (Petroleum)'!$V$4*Model!$AV$2253*AVERAGE('Assumptions (Petroleum)'!$AR$2:$AT$2)/10^9),0)</f>
        <v>0</v>
      </c>
      <c r="AX2407" s="160">
        <f>IF($AV$2253&gt;0,IPMT('Assumptions (Petroleum)'!$V$6,Model!Y$1,'Assumptions (Petroleum)'!$V$9,'Assumptions (Petroleum)'!$V$4*Model!$AV$2253*AVERAGE('Assumptions (Petroleum)'!$AR$2:$AT$2)/10^9),0)</f>
        <v>0</v>
      </c>
      <c r="AY2407" s="160">
        <f>IF($AV$2253&gt;0,IPMT('Assumptions (Petroleum)'!$V$6,Model!Z$1,'Assumptions (Petroleum)'!$V$9,'Assumptions (Petroleum)'!$V$4*Model!$AV$2253*AVERAGE('Assumptions (Petroleum)'!$AR$2:$AT$2)/10^9),0)</f>
        <v>0</v>
      </c>
      <c r="AZ2407" s="160">
        <f>IF($AV$2253&gt;0,IPMT('Assumptions (Petroleum)'!$V$6,Model!AA$1,'Assumptions (Petroleum)'!$V$9,'Assumptions (Petroleum)'!$V$4*Model!$AV$2253*AVERAGE('Assumptions (Petroleum)'!$AR$2:$AT$2)/10^9),0)</f>
        <v>0</v>
      </c>
      <c r="BA2407" s="160">
        <f>IF($AV$2253&gt;0,IPMT('Assumptions (Petroleum)'!$V$6,Model!AB$1,'Assumptions (Petroleum)'!$V$9,'Assumptions (Petroleum)'!$V$4*Model!$AV$2253*AVERAGE('Assumptions (Petroleum)'!$AR$2:$AT$2)/10^9),0)</f>
        <v>0</v>
      </c>
      <c r="BB2407" s="160">
        <f>IF($AV$2253&gt;0,IPMT('Assumptions (Petroleum)'!$V$6,Model!AC$1,'Assumptions (Petroleum)'!$V$9,'Assumptions (Petroleum)'!$V$4*Model!$AV$2253*AVERAGE('Assumptions (Petroleum)'!$AR$2:$AT$2)/10^9),0)</f>
        <v>0</v>
      </c>
      <c r="BC2407" s="160">
        <f>IF($AV$2253&gt;0,IPMT('Assumptions (Petroleum)'!$V$6,Model!AD$1,'Assumptions (Petroleum)'!$V$9,'Assumptions (Petroleum)'!$V$4*Model!$AV$2253*AVERAGE('Assumptions (Petroleum)'!$AR$2:$AT$2)/10^9),0)</f>
        <v>0</v>
      </c>
      <c r="BD2407" s="160">
        <f>IF($AV$2253&gt;0,IPMT('Assumptions (Petroleum)'!$V$6,Model!AE$1,'Assumptions (Petroleum)'!$V$9,'Assumptions (Petroleum)'!$V$4*Model!$AV$2253*AVERAGE('Assumptions (Petroleum)'!$AR$2:$AT$2)/10^9),0)</f>
        <v>0</v>
      </c>
      <c r="BE2407" s="160">
        <f>IF($AV$2253&gt;0,IPMT('Assumptions (Petroleum)'!$V$6,Model!AF$1,'Assumptions (Petroleum)'!$V$9,'Assumptions (Petroleum)'!$V$4*Model!$AV$2253*AVERAGE('Assumptions (Petroleum)'!$AR$2:$AT$2)/10^9),0)</f>
        <v>0</v>
      </c>
      <c r="BF2407" s="160">
        <f>IF($AV$2253&gt;0,IPMT('Assumptions (Petroleum)'!$V$6,Model!AG$1,'Assumptions (Petroleum)'!$V$9,'Assumptions (Petroleum)'!$V$4*Model!$AV$2253*AVERAGE('Assumptions (Petroleum)'!$AR$2:$AT$2)/10^9),0)</f>
        <v>0</v>
      </c>
      <c r="BG2407" s="160">
        <f>IF($AV$2253&gt;0,IPMT('Assumptions (Petroleum)'!$V$6,Model!AH$1,'Assumptions (Petroleum)'!$V$9,'Assumptions (Petroleum)'!$V$4*Model!$AV$2253*AVERAGE('Assumptions (Petroleum)'!$AR$2:$AT$2)/10^9),0)</f>
        <v>0</v>
      </c>
      <c r="BH2407" s="160">
        <f>IF($AV$2253&gt;0,IPMT('Assumptions (Petroleum)'!$V$6,Model!AI$1,'Assumptions (Petroleum)'!$V$9,'Assumptions (Petroleum)'!$V$4*Model!$AV$2253*AVERAGE('Assumptions (Petroleum)'!$AR$2:$AT$2)/10^9),0)</f>
        <v>0</v>
      </c>
      <c r="BI2407" s="160">
        <f>IF($AV$2253&gt;0,IPMT('Assumptions (Petroleum)'!$V$6,Model!AJ$1,'Assumptions (Petroleum)'!$V$9,'Assumptions (Petroleum)'!$V$4*Model!$AV$2253*AVERAGE('Assumptions (Petroleum)'!$AR$2:$AT$2)/10^9),0)</f>
        <v>0</v>
      </c>
      <c r="BJ2407" s="160">
        <f>IF($AV$2253&gt;0,IPMT('Assumptions (Petroleum)'!$V$6,Model!AK$1,'Assumptions (Petroleum)'!$V$9,'Assumptions (Petroleum)'!$V$4*Model!$AV$2253*AVERAGE('Assumptions (Petroleum)'!$AR$2:$AT$2)/10^9),0)</f>
        <v>0</v>
      </c>
      <c r="BK2407" s="160"/>
      <c r="BL2407" s="160"/>
      <c r="BM2407" s="160"/>
      <c r="BN2407" s="160"/>
      <c r="BO2407" s="160"/>
      <c r="BP2407" s="160"/>
    </row>
    <row r="2408" ht="15.75" hidden="1" customHeight="1" outlineLevel="1">
      <c r="A2408" s="328"/>
      <c r="B2408" s="38"/>
      <c r="C2408" s="174"/>
      <c r="D2408" s="174"/>
      <c r="E2408" s="174"/>
      <c r="F2408" s="174"/>
      <c r="G2408" s="174"/>
      <c r="H2408" s="174"/>
      <c r="I2408" s="174"/>
      <c r="J2408" s="174"/>
      <c r="K2408" s="174"/>
      <c r="L2408" s="174"/>
      <c r="M2408" s="174"/>
      <c r="N2408" s="174"/>
      <c r="O2408" s="174"/>
      <c r="P2408" s="174"/>
      <c r="Q2408" s="174"/>
      <c r="R2408" s="174"/>
      <c r="S2408" s="174"/>
      <c r="T2408" s="174"/>
      <c r="U2408" s="174"/>
      <c r="V2408" s="174"/>
      <c r="W2408" s="160"/>
      <c r="X2408" s="160"/>
      <c r="Y2408" s="160"/>
      <c r="Z2408" s="160"/>
      <c r="AA2408" s="160"/>
      <c r="AB2408" s="160"/>
      <c r="AC2408" s="160"/>
      <c r="AD2408" s="160"/>
      <c r="AE2408" s="160"/>
      <c r="AF2408" s="160"/>
      <c r="AG2408" s="160"/>
      <c r="AH2408" s="160"/>
      <c r="AI2408" s="160"/>
      <c r="AJ2408" s="179"/>
      <c r="AK2408" s="160"/>
      <c r="AL2408" s="177"/>
      <c r="AM2408" s="177"/>
      <c r="AN2408" s="177"/>
      <c r="AO2408" s="160"/>
      <c r="AP2408" s="160"/>
      <c r="AQ2408" s="160"/>
      <c r="AR2408" s="160"/>
      <c r="AS2408" s="160"/>
      <c r="AT2408" s="160"/>
      <c r="AU2408" s="160"/>
      <c r="AV2408" s="160"/>
      <c r="AW2408" s="160">
        <f>IF($AW$2253&gt;0,IPMT('Assumptions (Petroleum)'!$V$6,Model!W$1,'Assumptions (Petroleum)'!$V$9,'Assumptions (Petroleum)'!$V$4*Model!$AW$2253*AVERAGE('Assumptions (Petroleum)'!$AS$2:$AU$2)/10^9),0)</f>
        <v>0</v>
      </c>
      <c r="AX2408" s="160">
        <f>IF($AW$2253&gt;0,IPMT('Assumptions (Petroleum)'!$V$6,Model!X$1,'Assumptions (Petroleum)'!$V$9,'Assumptions (Petroleum)'!$V$4*Model!$AW$2253*AVERAGE('Assumptions (Petroleum)'!$AS$2:$AU$2)/10^9),0)</f>
        <v>0</v>
      </c>
      <c r="AY2408" s="160">
        <f>IF($AW$2253&gt;0,IPMT('Assumptions (Petroleum)'!$V$6,Model!Y$1,'Assumptions (Petroleum)'!$V$9,'Assumptions (Petroleum)'!$V$4*Model!$AW$2253*AVERAGE('Assumptions (Petroleum)'!$AS$2:$AU$2)/10^9),0)</f>
        <v>0</v>
      </c>
      <c r="AZ2408" s="160">
        <f>IF($AW$2253&gt;0,IPMT('Assumptions (Petroleum)'!$V$6,Model!Z$1,'Assumptions (Petroleum)'!$V$9,'Assumptions (Petroleum)'!$V$4*Model!$AW$2253*AVERAGE('Assumptions (Petroleum)'!$AS$2:$AU$2)/10^9),0)</f>
        <v>0</v>
      </c>
      <c r="BA2408" s="160">
        <f>IF($AW$2253&gt;0,IPMT('Assumptions (Petroleum)'!$V$6,Model!AA$1,'Assumptions (Petroleum)'!$V$9,'Assumptions (Petroleum)'!$V$4*Model!$AW$2253*AVERAGE('Assumptions (Petroleum)'!$AS$2:$AU$2)/10^9),0)</f>
        <v>0</v>
      </c>
      <c r="BB2408" s="160">
        <f>IF($AW$2253&gt;0,IPMT('Assumptions (Petroleum)'!$V$6,Model!AB$1,'Assumptions (Petroleum)'!$V$9,'Assumptions (Petroleum)'!$V$4*Model!$AW$2253*AVERAGE('Assumptions (Petroleum)'!$AS$2:$AU$2)/10^9),0)</f>
        <v>0</v>
      </c>
      <c r="BC2408" s="160">
        <f>IF($AW$2253&gt;0,IPMT('Assumptions (Petroleum)'!$V$6,Model!AC$1,'Assumptions (Petroleum)'!$V$9,'Assumptions (Petroleum)'!$V$4*Model!$AW$2253*AVERAGE('Assumptions (Petroleum)'!$AS$2:$AU$2)/10^9),0)</f>
        <v>0</v>
      </c>
      <c r="BD2408" s="160">
        <f>IF($AW$2253&gt;0,IPMT('Assumptions (Petroleum)'!$V$6,Model!AD$1,'Assumptions (Petroleum)'!$V$9,'Assumptions (Petroleum)'!$V$4*Model!$AW$2253*AVERAGE('Assumptions (Petroleum)'!$AS$2:$AU$2)/10^9),0)</f>
        <v>0</v>
      </c>
      <c r="BE2408" s="160">
        <f>IF($AW$2253&gt;0,IPMT('Assumptions (Petroleum)'!$V$6,Model!AE$1,'Assumptions (Petroleum)'!$V$9,'Assumptions (Petroleum)'!$V$4*Model!$AW$2253*AVERAGE('Assumptions (Petroleum)'!$AS$2:$AU$2)/10^9),0)</f>
        <v>0</v>
      </c>
      <c r="BF2408" s="160">
        <f>IF($AW$2253&gt;0,IPMT('Assumptions (Petroleum)'!$V$6,Model!AF$1,'Assumptions (Petroleum)'!$V$9,'Assumptions (Petroleum)'!$V$4*Model!$AW$2253*AVERAGE('Assumptions (Petroleum)'!$AS$2:$AU$2)/10^9),0)</f>
        <v>0</v>
      </c>
      <c r="BG2408" s="160">
        <f>IF($AW$2253&gt;0,IPMT('Assumptions (Petroleum)'!$V$6,Model!AG$1,'Assumptions (Petroleum)'!$V$9,'Assumptions (Petroleum)'!$V$4*Model!$AW$2253*AVERAGE('Assumptions (Petroleum)'!$AS$2:$AU$2)/10^9),0)</f>
        <v>0</v>
      </c>
      <c r="BH2408" s="160">
        <f>IF($AW$2253&gt;0,IPMT('Assumptions (Petroleum)'!$V$6,Model!AH$1,'Assumptions (Petroleum)'!$V$9,'Assumptions (Petroleum)'!$V$4*Model!$AW$2253*AVERAGE('Assumptions (Petroleum)'!$AS$2:$AU$2)/10^9),0)</f>
        <v>0</v>
      </c>
      <c r="BI2408" s="160">
        <f>IF($AW$2253&gt;0,IPMT('Assumptions (Petroleum)'!$V$6,Model!AI$1,'Assumptions (Petroleum)'!$V$9,'Assumptions (Petroleum)'!$V$4*Model!$AW$2253*AVERAGE('Assumptions (Petroleum)'!$AS$2:$AU$2)/10^9),0)</f>
        <v>0</v>
      </c>
      <c r="BJ2408" s="160">
        <f>IF($AW$2253&gt;0,IPMT('Assumptions (Petroleum)'!$V$6,Model!AJ$1,'Assumptions (Petroleum)'!$V$9,'Assumptions (Petroleum)'!$V$4*Model!$AW$2253*AVERAGE('Assumptions (Petroleum)'!$AS$2:$AU$2)/10^9),0)</f>
        <v>0</v>
      </c>
      <c r="BK2408" s="160">
        <f>IF($AW$2253&gt;0,IPMT('Assumptions (Petroleum)'!$V$6,Model!AK$1,'Assumptions (Petroleum)'!$V$9,'Assumptions (Petroleum)'!$V$4*Model!$AW$2253*AVERAGE('Assumptions (Petroleum)'!$AS$2:$AU$2)/10^9),0)</f>
        <v>0</v>
      </c>
      <c r="BL2408" s="160"/>
      <c r="BM2408" s="160"/>
      <c r="BN2408" s="160"/>
      <c r="BO2408" s="160"/>
      <c r="BP2408" s="160"/>
    </row>
    <row r="2409" ht="15.75" hidden="1" customHeight="1" outlineLevel="1">
      <c r="A2409" s="328"/>
      <c r="B2409" s="38"/>
      <c r="C2409" s="174"/>
      <c r="D2409" s="174"/>
      <c r="E2409" s="174"/>
      <c r="F2409" s="174"/>
      <c r="G2409" s="174"/>
      <c r="H2409" s="174"/>
      <c r="I2409" s="174"/>
      <c r="J2409" s="174"/>
      <c r="K2409" s="174"/>
      <c r="L2409" s="174"/>
      <c r="M2409" s="174"/>
      <c r="N2409" s="174"/>
      <c r="O2409" s="174"/>
      <c r="P2409" s="174"/>
      <c r="Q2409" s="174"/>
      <c r="R2409" s="174"/>
      <c r="S2409" s="174"/>
      <c r="T2409" s="174"/>
      <c r="U2409" s="174"/>
      <c r="V2409" s="174"/>
      <c r="W2409" s="160"/>
      <c r="X2409" s="160"/>
      <c r="Y2409" s="160"/>
      <c r="Z2409" s="160"/>
      <c r="AA2409" s="160"/>
      <c r="AB2409" s="160"/>
      <c r="AC2409" s="160"/>
      <c r="AD2409" s="160"/>
      <c r="AE2409" s="160"/>
      <c r="AF2409" s="160"/>
      <c r="AG2409" s="160"/>
      <c r="AH2409" s="160"/>
      <c r="AI2409" s="160"/>
      <c r="AJ2409" s="179"/>
      <c r="AK2409" s="160"/>
      <c r="AL2409" s="177"/>
      <c r="AM2409" s="177"/>
      <c r="AN2409" s="177"/>
      <c r="AO2409" s="160"/>
      <c r="AP2409" s="160"/>
      <c r="AQ2409" s="160"/>
      <c r="AR2409" s="160"/>
      <c r="AS2409" s="160"/>
      <c r="AT2409" s="160"/>
      <c r="AU2409" s="160"/>
      <c r="AV2409" s="160"/>
      <c r="AW2409" s="160"/>
      <c r="AX2409" s="160">
        <f>IF($AX$2253&gt;0,IPMT('Assumptions (Petroleum)'!$V$6,Model!W$1,'Assumptions (Petroleum)'!$V$9,'Assumptions (Petroleum)'!$V$4*Model!$AX$2253*AVERAGE('Assumptions (Petroleum)'!$AT$2:$AV$2)/10^9),0)</f>
        <v>0</v>
      </c>
      <c r="AY2409" s="160">
        <f>IF($AX$2253&gt;0,IPMT('Assumptions (Petroleum)'!$V$6,Model!X$1,'Assumptions (Petroleum)'!$V$9,'Assumptions (Petroleum)'!$V$4*Model!$AX$2253*AVERAGE('Assumptions (Petroleum)'!$AT$2:$AV$2)/10^9),0)</f>
        <v>0</v>
      </c>
      <c r="AZ2409" s="160">
        <f>IF($AX$2253&gt;0,IPMT('Assumptions (Petroleum)'!$V$6,Model!Y$1,'Assumptions (Petroleum)'!$V$9,'Assumptions (Petroleum)'!$V$4*Model!$AX$2253*AVERAGE('Assumptions (Petroleum)'!$AT$2:$AV$2)/10^9),0)</f>
        <v>0</v>
      </c>
      <c r="BA2409" s="160">
        <f>IF($AX$2253&gt;0,IPMT('Assumptions (Petroleum)'!$V$6,Model!Z$1,'Assumptions (Petroleum)'!$V$9,'Assumptions (Petroleum)'!$V$4*Model!$AX$2253*AVERAGE('Assumptions (Petroleum)'!$AT$2:$AV$2)/10^9),0)</f>
        <v>0</v>
      </c>
      <c r="BB2409" s="160">
        <f>IF($AX$2253&gt;0,IPMT('Assumptions (Petroleum)'!$V$6,Model!AA$1,'Assumptions (Petroleum)'!$V$9,'Assumptions (Petroleum)'!$V$4*Model!$AX$2253*AVERAGE('Assumptions (Petroleum)'!$AT$2:$AV$2)/10^9),0)</f>
        <v>0</v>
      </c>
      <c r="BC2409" s="160">
        <f>IF($AX$2253&gt;0,IPMT('Assumptions (Petroleum)'!$V$6,Model!AB$1,'Assumptions (Petroleum)'!$V$9,'Assumptions (Petroleum)'!$V$4*Model!$AX$2253*AVERAGE('Assumptions (Petroleum)'!$AT$2:$AV$2)/10^9),0)</f>
        <v>0</v>
      </c>
      <c r="BD2409" s="160">
        <f>IF($AX$2253&gt;0,IPMT('Assumptions (Petroleum)'!$V$6,Model!AC$1,'Assumptions (Petroleum)'!$V$9,'Assumptions (Petroleum)'!$V$4*Model!$AX$2253*AVERAGE('Assumptions (Petroleum)'!$AT$2:$AV$2)/10^9),0)</f>
        <v>0</v>
      </c>
      <c r="BE2409" s="160">
        <f>IF($AX$2253&gt;0,IPMT('Assumptions (Petroleum)'!$V$6,Model!AD$1,'Assumptions (Petroleum)'!$V$9,'Assumptions (Petroleum)'!$V$4*Model!$AX$2253*AVERAGE('Assumptions (Petroleum)'!$AT$2:$AV$2)/10^9),0)</f>
        <v>0</v>
      </c>
      <c r="BF2409" s="160">
        <f>IF($AX$2253&gt;0,IPMT('Assumptions (Petroleum)'!$V$6,Model!AE$1,'Assumptions (Petroleum)'!$V$9,'Assumptions (Petroleum)'!$V$4*Model!$AX$2253*AVERAGE('Assumptions (Petroleum)'!$AT$2:$AV$2)/10^9),0)</f>
        <v>0</v>
      </c>
      <c r="BG2409" s="160">
        <f>IF($AX$2253&gt;0,IPMT('Assumptions (Petroleum)'!$V$6,Model!AF$1,'Assumptions (Petroleum)'!$V$9,'Assumptions (Petroleum)'!$V$4*Model!$AX$2253*AVERAGE('Assumptions (Petroleum)'!$AT$2:$AV$2)/10^9),0)</f>
        <v>0</v>
      </c>
      <c r="BH2409" s="160">
        <f>IF($AX$2253&gt;0,IPMT('Assumptions (Petroleum)'!$V$6,Model!AG$1,'Assumptions (Petroleum)'!$V$9,'Assumptions (Petroleum)'!$V$4*Model!$AX$2253*AVERAGE('Assumptions (Petroleum)'!$AT$2:$AV$2)/10^9),0)</f>
        <v>0</v>
      </c>
      <c r="BI2409" s="160">
        <f>IF($AX$2253&gt;0,IPMT('Assumptions (Petroleum)'!$V$6,Model!AH$1,'Assumptions (Petroleum)'!$V$9,'Assumptions (Petroleum)'!$V$4*Model!$AX$2253*AVERAGE('Assumptions (Petroleum)'!$AT$2:$AV$2)/10^9),0)</f>
        <v>0</v>
      </c>
      <c r="BJ2409" s="160">
        <f>IF($AX$2253&gt;0,IPMT('Assumptions (Petroleum)'!$V$6,Model!AI$1,'Assumptions (Petroleum)'!$V$9,'Assumptions (Petroleum)'!$V$4*Model!$AX$2253*AVERAGE('Assumptions (Petroleum)'!$AT$2:$AV$2)/10^9),0)</f>
        <v>0</v>
      </c>
      <c r="BK2409" s="160">
        <f>IF($AX$2253&gt;0,IPMT('Assumptions (Petroleum)'!$V$6,Model!AJ$1,'Assumptions (Petroleum)'!$V$9,'Assumptions (Petroleum)'!$V$4*Model!$AX$2253*AVERAGE('Assumptions (Petroleum)'!$AT$2:$AV$2)/10^9),0)</f>
        <v>0</v>
      </c>
      <c r="BL2409" s="160">
        <f>IF($AX$2253&gt;0,IPMT('Assumptions (Petroleum)'!$V$6,Model!AK$1,'Assumptions (Petroleum)'!$V$9,'Assumptions (Petroleum)'!$V$4*Model!$AX$2253*AVERAGE('Assumptions (Petroleum)'!$AT$2:$AV$2)/10^9),0)</f>
        <v>0</v>
      </c>
      <c r="BM2409" s="160"/>
      <c r="BN2409" s="160"/>
      <c r="BO2409" s="160"/>
      <c r="BP2409" s="160"/>
    </row>
    <row r="2410" ht="15.75" hidden="1" customHeight="1" outlineLevel="1">
      <c r="A2410" s="328"/>
      <c r="B2410" s="38"/>
      <c r="C2410" s="174"/>
      <c r="D2410" s="174"/>
      <c r="E2410" s="174"/>
      <c r="F2410" s="174"/>
      <c r="G2410" s="174"/>
      <c r="H2410" s="174"/>
      <c r="I2410" s="174"/>
      <c r="J2410" s="174"/>
      <c r="K2410" s="174"/>
      <c r="L2410" s="174"/>
      <c r="M2410" s="174"/>
      <c r="N2410" s="174"/>
      <c r="O2410" s="174"/>
      <c r="P2410" s="174"/>
      <c r="Q2410" s="174"/>
      <c r="R2410" s="174"/>
      <c r="S2410" s="174"/>
      <c r="T2410" s="174"/>
      <c r="U2410" s="174"/>
      <c r="V2410" s="174"/>
      <c r="W2410" s="160"/>
      <c r="X2410" s="160"/>
      <c r="Y2410" s="160"/>
      <c r="Z2410" s="160"/>
      <c r="AA2410" s="160"/>
      <c r="AB2410" s="160"/>
      <c r="AC2410" s="160"/>
      <c r="AD2410" s="160"/>
      <c r="AE2410" s="160"/>
      <c r="AF2410" s="160"/>
      <c r="AG2410" s="160"/>
      <c r="AH2410" s="160"/>
      <c r="AI2410" s="160"/>
      <c r="AJ2410" s="179"/>
      <c r="AK2410" s="160"/>
      <c r="AL2410" s="177"/>
      <c r="AM2410" s="177"/>
      <c r="AN2410" s="177"/>
      <c r="AO2410" s="160"/>
      <c r="AP2410" s="160"/>
      <c r="AQ2410" s="160"/>
      <c r="AR2410" s="160"/>
      <c r="AS2410" s="160"/>
      <c r="AT2410" s="160"/>
      <c r="AU2410" s="160"/>
      <c r="AV2410" s="160"/>
      <c r="AW2410" s="160"/>
      <c r="AX2410" s="160"/>
      <c r="AY2410" s="160">
        <f>IF($AY$2253&gt;0,IPMT('Assumptions (Petroleum)'!$V$6,Model!W$1,'Assumptions (Petroleum)'!$V$9,'Assumptions (Petroleum)'!$V$4*Model!$AY$2253*AVERAGE('Assumptions (Petroleum)'!$AU$2:$AW$2)/10^9),0)</f>
        <v>0</v>
      </c>
      <c r="AZ2410" s="160">
        <f>IF($AY$2253&gt;0,IPMT('Assumptions (Petroleum)'!$V$6,Model!X$1,'Assumptions (Petroleum)'!$V$9,'Assumptions (Petroleum)'!$V$4*Model!$AY$2253*AVERAGE('Assumptions (Petroleum)'!$AU$2:$AW$2)/10^9),0)</f>
        <v>0</v>
      </c>
      <c r="BA2410" s="160">
        <f>IF($AY$2253&gt;0,IPMT('Assumptions (Petroleum)'!$V$6,Model!Y$1,'Assumptions (Petroleum)'!$V$9,'Assumptions (Petroleum)'!$V$4*Model!$AY$2253*AVERAGE('Assumptions (Petroleum)'!$AU$2:$AW$2)/10^9),0)</f>
        <v>0</v>
      </c>
      <c r="BB2410" s="160">
        <f>IF($AY$2253&gt;0,IPMT('Assumptions (Petroleum)'!$V$6,Model!Z$1,'Assumptions (Petroleum)'!$V$9,'Assumptions (Petroleum)'!$V$4*Model!$AY$2253*AVERAGE('Assumptions (Petroleum)'!$AU$2:$AW$2)/10^9),0)</f>
        <v>0</v>
      </c>
      <c r="BC2410" s="160">
        <f>IF($AY$2253&gt;0,IPMT('Assumptions (Petroleum)'!$V$6,Model!AA$1,'Assumptions (Petroleum)'!$V$9,'Assumptions (Petroleum)'!$V$4*Model!$AY$2253*AVERAGE('Assumptions (Petroleum)'!$AU$2:$AW$2)/10^9),0)</f>
        <v>0</v>
      </c>
      <c r="BD2410" s="160">
        <f>IF($AY$2253&gt;0,IPMT('Assumptions (Petroleum)'!$V$6,Model!AB$1,'Assumptions (Petroleum)'!$V$9,'Assumptions (Petroleum)'!$V$4*Model!$AY$2253*AVERAGE('Assumptions (Petroleum)'!$AU$2:$AW$2)/10^9),0)</f>
        <v>0</v>
      </c>
      <c r="BE2410" s="160">
        <f>IF($AY$2253&gt;0,IPMT('Assumptions (Petroleum)'!$V$6,Model!AC$1,'Assumptions (Petroleum)'!$V$9,'Assumptions (Petroleum)'!$V$4*Model!$AY$2253*AVERAGE('Assumptions (Petroleum)'!$AU$2:$AW$2)/10^9),0)</f>
        <v>0</v>
      </c>
      <c r="BF2410" s="160">
        <f>IF($AY$2253&gt;0,IPMT('Assumptions (Petroleum)'!$V$6,Model!AD$1,'Assumptions (Petroleum)'!$V$9,'Assumptions (Petroleum)'!$V$4*Model!$AY$2253*AVERAGE('Assumptions (Petroleum)'!$AU$2:$AW$2)/10^9),0)</f>
        <v>0</v>
      </c>
      <c r="BG2410" s="160">
        <f>IF($AY$2253&gt;0,IPMT('Assumptions (Petroleum)'!$V$6,Model!AE$1,'Assumptions (Petroleum)'!$V$9,'Assumptions (Petroleum)'!$V$4*Model!$AY$2253*AVERAGE('Assumptions (Petroleum)'!$AU$2:$AW$2)/10^9),0)</f>
        <v>0</v>
      </c>
      <c r="BH2410" s="160">
        <f>IF($AY$2253&gt;0,IPMT('Assumptions (Petroleum)'!$V$6,Model!AF$1,'Assumptions (Petroleum)'!$V$9,'Assumptions (Petroleum)'!$V$4*Model!$AY$2253*AVERAGE('Assumptions (Petroleum)'!$AU$2:$AW$2)/10^9),0)</f>
        <v>0</v>
      </c>
      <c r="BI2410" s="160">
        <f>IF($AY$2253&gt;0,IPMT('Assumptions (Petroleum)'!$V$6,Model!AG$1,'Assumptions (Petroleum)'!$V$9,'Assumptions (Petroleum)'!$V$4*Model!$AY$2253*AVERAGE('Assumptions (Petroleum)'!$AU$2:$AW$2)/10^9),0)</f>
        <v>0</v>
      </c>
      <c r="BJ2410" s="160">
        <f>IF($AY$2253&gt;0,IPMT('Assumptions (Petroleum)'!$V$6,Model!AH$1,'Assumptions (Petroleum)'!$V$9,'Assumptions (Petroleum)'!$V$4*Model!$AY$2253*AVERAGE('Assumptions (Petroleum)'!$AU$2:$AW$2)/10^9),0)</f>
        <v>0</v>
      </c>
      <c r="BK2410" s="160">
        <f>IF($AY$2253&gt;0,IPMT('Assumptions (Petroleum)'!$V$6,Model!AI$1,'Assumptions (Petroleum)'!$V$9,'Assumptions (Petroleum)'!$V$4*Model!$AY$2253*AVERAGE('Assumptions (Petroleum)'!$AU$2:$AW$2)/10^9),0)</f>
        <v>0</v>
      </c>
      <c r="BL2410" s="160">
        <f>IF($AY$2253&gt;0,IPMT('Assumptions (Petroleum)'!$V$6,Model!AJ$1,'Assumptions (Petroleum)'!$V$9,'Assumptions (Petroleum)'!$V$4*Model!$AY$2253*AVERAGE('Assumptions (Petroleum)'!$AU$2:$AW$2)/10^9),0)</f>
        <v>0</v>
      </c>
      <c r="BM2410" s="160">
        <f>IF($AY$2253&gt;0,IPMT('Assumptions (Petroleum)'!$V$6,Model!AK$1,'Assumptions (Petroleum)'!$V$9,'Assumptions (Petroleum)'!$V$4*Model!$AY$2253*AVERAGE('Assumptions (Petroleum)'!$AU$2:$AW$2)/10^9),0)</f>
        <v>0</v>
      </c>
      <c r="BN2410" s="160"/>
      <c r="BO2410" s="160"/>
      <c r="BP2410" s="160"/>
    </row>
    <row r="2411" ht="15.75" hidden="1" customHeight="1" outlineLevel="1">
      <c r="A2411" s="328"/>
      <c r="B2411" s="38"/>
      <c r="C2411" s="174"/>
      <c r="D2411" s="174"/>
      <c r="E2411" s="174"/>
      <c r="F2411" s="174"/>
      <c r="G2411" s="174"/>
      <c r="H2411" s="174"/>
      <c r="I2411" s="174"/>
      <c r="J2411" s="174"/>
      <c r="K2411" s="174"/>
      <c r="L2411" s="174"/>
      <c r="M2411" s="174"/>
      <c r="N2411" s="174"/>
      <c r="O2411" s="174"/>
      <c r="P2411" s="174"/>
      <c r="Q2411" s="174"/>
      <c r="R2411" s="174"/>
      <c r="S2411" s="174"/>
      <c r="T2411" s="174"/>
      <c r="U2411" s="174"/>
      <c r="V2411" s="174"/>
      <c r="W2411" s="160"/>
      <c r="X2411" s="160"/>
      <c r="Y2411" s="160"/>
      <c r="Z2411" s="160"/>
      <c r="AA2411" s="160"/>
      <c r="AB2411" s="160"/>
      <c r="AC2411" s="160"/>
      <c r="AD2411" s="160"/>
      <c r="AE2411" s="160"/>
      <c r="AF2411" s="160"/>
      <c r="AG2411" s="160"/>
      <c r="AH2411" s="160"/>
      <c r="AI2411" s="160"/>
      <c r="AJ2411" s="179"/>
      <c r="AK2411" s="160"/>
      <c r="AL2411" s="177"/>
      <c r="AM2411" s="177"/>
      <c r="AN2411" s="177"/>
      <c r="AO2411" s="160"/>
      <c r="AP2411" s="160"/>
      <c r="AQ2411" s="160"/>
      <c r="AR2411" s="160"/>
      <c r="AS2411" s="160"/>
      <c r="AT2411" s="160"/>
      <c r="AU2411" s="160"/>
      <c r="AV2411" s="160"/>
      <c r="AW2411" s="160"/>
      <c r="AX2411" s="160"/>
      <c r="AY2411" s="160"/>
      <c r="AZ2411" s="160">
        <f>IF($AZ$2253&gt;0,IPMT('Assumptions (Petroleum)'!$V$6,Model!W$1,'Assumptions (Petroleum)'!$V$9,'Assumptions (Petroleum)'!$V$4*Model!$AZ$2253*AVERAGE('Assumptions (Petroleum)'!$AV$2:$AX$2)/10^9),0)</f>
        <v>0</v>
      </c>
      <c r="BA2411" s="160">
        <f>IF($AZ$2253&gt;0,IPMT('Assumptions (Petroleum)'!$V$6,Model!X$1,'Assumptions (Petroleum)'!$V$9,'Assumptions (Petroleum)'!$V$4*Model!$AZ$2253*AVERAGE('Assumptions (Petroleum)'!$AV$2:$AX$2)/10^9),0)</f>
        <v>0</v>
      </c>
      <c r="BB2411" s="160">
        <f>IF($AZ$2253&gt;0,IPMT('Assumptions (Petroleum)'!$V$6,Model!Y$1,'Assumptions (Petroleum)'!$V$9,'Assumptions (Petroleum)'!$V$4*Model!$AZ$2253*AVERAGE('Assumptions (Petroleum)'!$AV$2:$AX$2)/10^9),0)</f>
        <v>0</v>
      </c>
      <c r="BC2411" s="160">
        <f>IF($AZ$2253&gt;0,IPMT('Assumptions (Petroleum)'!$V$6,Model!Z$1,'Assumptions (Petroleum)'!$V$9,'Assumptions (Petroleum)'!$V$4*Model!$AZ$2253*AVERAGE('Assumptions (Petroleum)'!$AV$2:$AX$2)/10^9),0)</f>
        <v>0</v>
      </c>
      <c r="BD2411" s="160">
        <f>IF($AZ$2253&gt;0,IPMT('Assumptions (Petroleum)'!$V$6,Model!AA$1,'Assumptions (Petroleum)'!$V$9,'Assumptions (Petroleum)'!$V$4*Model!$AZ$2253*AVERAGE('Assumptions (Petroleum)'!$AV$2:$AX$2)/10^9),0)</f>
        <v>0</v>
      </c>
      <c r="BE2411" s="160">
        <f>IF($AZ$2253&gt;0,IPMT('Assumptions (Petroleum)'!$V$6,Model!AB$1,'Assumptions (Petroleum)'!$V$9,'Assumptions (Petroleum)'!$V$4*Model!$AZ$2253*AVERAGE('Assumptions (Petroleum)'!$AV$2:$AX$2)/10^9),0)</f>
        <v>0</v>
      </c>
      <c r="BF2411" s="160">
        <f>IF($AZ$2253&gt;0,IPMT('Assumptions (Petroleum)'!$V$6,Model!AC$1,'Assumptions (Petroleum)'!$V$9,'Assumptions (Petroleum)'!$V$4*Model!$AZ$2253*AVERAGE('Assumptions (Petroleum)'!$AV$2:$AX$2)/10^9),0)</f>
        <v>0</v>
      </c>
      <c r="BG2411" s="160">
        <f>IF($AZ$2253&gt;0,IPMT('Assumptions (Petroleum)'!$V$6,Model!AD$1,'Assumptions (Petroleum)'!$V$9,'Assumptions (Petroleum)'!$V$4*Model!$AZ$2253*AVERAGE('Assumptions (Petroleum)'!$AV$2:$AX$2)/10^9),0)</f>
        <v>0</v>
      </c>
      <c r="BH2411" s="160">
        <f>IF($AZ$2253&gt;0,IPMT('Assumptions (Petroleum)'!$V$6,Model!AE$1,'Assumptions (Petroleum)'!$V$9,'Assumptions (Petroleum)'!$V$4*Model!$AZ$2253*AVERAGE('Assumptions (Petroleum)'!$AV$2:$AX$2)/10^9),0)</f>
        <v>0</v>
      </c>
      <c r="BI2411" s="160">
        <f>IF($AZ$2253&gt;0,IPMT('Assumptions (Petroleum)'!$V$6,Model!AF$1,'Assumptions (Petroleum)'!$V$9,'Assumptions (Petroleum)'!$V$4*Model!$AZ$2253*AVERAGE('Assumptions (Petroleum)'!$AV$2:$AX$2)/10^9),0)</f>
        <v>0</v>
      </c>
      <c r="BJ2411" s="160">
        <f>IF($AZ$2253&gt;0,IPMT('Assumptions (Petroleum)'!$V$6,Model!AG$1,'Assumptions (Petroleum)'!$V$9,'Assumptions (Petroleum)'!$V$4*Model!$AZ$2253*AVERAGE('Assumptions (Petroleum)'!$AV$2:$AX$2)/10^9),0)</f>
        <v>0</v>
      </c>
      <c r="BK2411" s="160">
        <f>IF($AZ$2253&gt;0,IPMT('Assumptions (Petroleum)'!$V$6,Model!AH$1,'Assumptions (Petroleum)'!$V$9,'Assumptions (Petroleum)'!$V$4*Model!$AZ$2253*AVERAGE('Assumptions (Petroleum)'!$AV$2:$AX$2)/10^9),0)</f>
        <v>0</v>
      </c>
      <c r="BL2411" s="160">
        <f>IF($AZ$2253&gt;0,IPMT('Assumptions (Petroleum)'!$V$6,Model!AI$1,'Assumptions (Petroleum)'!$V$9,'Assumptions (Petroleum)'!$V$4*Model!$AZ$2253*AVERAGE('Assumptions (Petroleum)'!$AV$2:$AX$2)/10^9),0)</f>
        <v>0</v>
      </c>
      <c r="BM2411" s="160">
        <f>IF($AZ$2253&gt;0,IPMT('Assumptions (Petroleum)'!$V$6,Model!AJ$1,'Assumptions (Petroleum)'!$V$9,'Assumptions (Petroleum)'!$V$4*Model!$AZ$2253*AVERAGE('Assumptions (Petroleum)'!$AV$2:$AX$2)/10^9),0)</f>
        <v>0</v>
      </c>
      <c r="BN2411" s="160">
        <f>IF($AZ$2253&gt;0,IPMT('Assumptions (Petroleum)'!$V$6,Model!AK$1,'Assumptions (Petroleum)'!$V$9,'Assumptions (Petroleum)'!$V$4*Model!$AZ$2253*AVERAGE('Assumptions (Petroleum)'!$AV$2:$AX$2)/10^9),0)</f>
        <v>0</v>
      </c>
      <c r="BO2411" s="160"/>
      <c r="BP2411" s="160"/>
    </row>
    <row r="2412" ht="15.75" hidden="1" customHeight="1" outlineLevel="1">
      <c r="A2412" s="328"/>
      <c r="B2412" s="38"/>
      <c r="C2412" s="174"/>
      <c r="D2412" s="174"/>
      <c r="E2412" s="174"/>
      <c r="F2412" s="174"/>
      <c r="G2412" s="174"/>
      <c r="H2412" s="174"/>
      <c r="I2412" s="174"/>
      <c r="J2412" s="174"/>
      <c r="K2412" s="174"/>
      <c r="L2412" s="174"/>
      <c r="M2412" s="174"/>
      <c r="N2412" s="174"/>
      <c r="O2412" s="174"/>
      <c r="P2412" s="174"/>
      <c r="Q2412" s="174"/>
      <c r="R2412" s="174"/>
      <c r="S2412" s="174"/>
      <c r="T2412" s="174"/>
      <c r="U2412" s="174"/>
      <c r="V2412" s="174"/>
      <c r="W2412" s="160"/>
      <c r="X2412" s="160"/>
      <c r="Y2412" s="160"/>
      <c r="Z2412" s="160"/>
      <c r="AA2412" s="160"/>
      <c r="AB2412" s="160"/>
      <c r="AC2412" s="160"/>
      <c r="AD2412" s="160"/>
      <c r="AE2412" s="160"/>
      <c r="AF2412" s="160"/>
      <c r="AG2412" s="160"/>
      <c r="AH2412" s="160"/>
      <c r="AI2412" s="160"/>
      <c r="AJ2412" s="179"/>
      <c r="AK2412" s="160"/>
      <c r="AL2412" s="177"/>
      <c r="AM2412" s="177"/>
      <c r="AN2412" s="177"/>
      <c r="AO2412" s="160"/>
      <c r="AP2412" s="160"/>
      <c r="AQ2412" s="160"/>
      <c r="AR2412" s="160"/>
      <c r="AS2412" s="160"/>
      <c r="AT2412" s="160"/>
      <c r="AU2412" s="160"/>
      <c r="AV2412" s="160"/>
      <c r="AW2412" s="160"/>
      <c r="AX2412" s="160"/>
      <c r="AY2412" s="160"/>
      <c r="AZ2412" s="160"/>
      <c r="BA2412" s="160">
        <f>IF($BA$2253&gt;0,IPMT('Assumptions (Petroleum)'!$V$6,Model!W$1,'Assumptions (Petroleum)'!$V$9,'Assumptions (Petroleum)'!$V$4*Model!$BA$2253*AVERAGE('Assumptions (Petroleum)'!$AW$2:$AY$2)/10^9),0)</f>
        <v>0</v>
      </c>
      <c r="BB2412" s="160">
        <f>IF($BA$2253&gt;0,IPMT('Assumptions (Petroleum)'!$V$6,Model!X$1,'Assumptions (Petroleum)'!$V$9,'Assumptions (Petroleum)'!$V$4*Model!$BA$2253*AVERAGE('Assumptions (Petroleum)'!$AW$2:$AY$2)/10^9),0)</f>
        <v>0</v>
      </c>
      <c r="BC2412" s="160">
        <f>IF($BA$2253&gt;0,IPMT('Assumptions (Petroleum)'!$V$6,Model!Y$1,'Assumptions (Petroleum)'!$V$9,'Assumptions (Petroleum)'!$V$4*Model!$BA$2253*AVERAGE('Assumptions (Petroleum)'!$AW$2:$AY$2)/10^9),0)</f>
        <v>0</v>
      </c>
      <c r="BD2412" s="160">
        <f>IF($BA$2253&gt;0,IPMT('Assumptions (Petroleum)'!$V$6,Model!Z$1,'Assumptions (Petroleum)'!$V$9,'Assumptions (Petroleum)'!$V$4*Model!$BA$2253*AVERAGE('Assumptions (Petroleum)'!$AW$2:$AY$2)/10^9),0)</f>
        <v>0</v>
      </c>
      <c r="BE2412" s="160">
        <f>IF($BA$2253&gt;0,IPMT('Assumptions (Petroleum)'!$V$6,Model!AA$1,'Assumptions (Petroleum)'!$V$9,'Assumptions (Petroleum)'!$V$4*Model!$BA$2253*AVERAGE('Assumptions (Petroleum)'!$AW$2:$AY$2)/10^9),0)</f>
        <v>0</v>
      </c>
      <c r="BF2412" s="160">
        <f>IF($BA$2253&gt;0,IPMT('Assumptions (Petroleum)'!$V$6,Model!AB$1,'Assumptions (Petroleum)'!$V$9,'Assumptions (Petroleum)'!$V$4*Model!$BA$2253*AVERAGE('Assumptions (Petroleum)'!$AW$2:$AY$2)/10^9),0)</f>
        <v>0</v>
      </c>
      <c r="BG2412" s="160">
        <f>IF($BA$2253&gt;0,IPMT('Assumptions (Petroleum)'!$V$6,Model!AC$1,'Assumptions (Petroleum)'!$V$9,'Assumptions (Petroleum)'!$V$4*Model!$BA$2253*AVERAGE('Assumptions (Petroleum)'!$AW$2:$AY$2)/10^9),0)</f>
        <v>0</v>
      </c>
      <c r="BH2412" s="160">
        <f>IF($BA$2253&gt;0,IPMT('Assumptions (Petroleum)'!$V$6,Model!AD$1,'Assumptions (Petroleum)'!$V$9,'Assumptions (Petroleum)'!$V$4*Model!$BA$2253*AVERAGE('Assumptions (Petroleum)'!$AW$2:$AY$2)/10^9),0)</f>
        <v>0</v>
      </c>
      <c r="BI2412" s="160">
        <f>IF($BA$2253&gt;0,IPMT('Assumptions (Petroleum)'!$V$6,Model!AE$1,'Assumptions (Petroleum)'!$V$9,'Assumptions (Petroleum)'!$V$4*Model!$BA$2253*AVERAGE('Assumptions (Petroleum)'!$AW$2:$AY$2)/10^9),0)</f>
        <v>0</v>
      </c>
      <c r="BJ2412" s="160">
        <f>IF($BA$2253&gt;0,IPMT('Assumptions (Petroleum)'!$V$6,Model!AF$1,'Assumptions (Petroleum)'!$V$9,'Assumptions (Petroleum)'!$V$4*Model!$BA$2253*AVERAGE('Assumptions (Petroleum)'!$AW$2:$AY$2)/10^9),0)</f>
        <v>0</v>
      </c>
      <c r="BK2412" s="160">
        <f>IF($BA$2253&gt;0,IPMT('Assumptions (Petroleum)'!$V$6,Model!AG$1,'Assumptions (Petroleum)'!$V$9,'Assumptions (Petroleum)'!$V$4*Model!$BA$2253*AVERAGE('Assumptions (Petroleum)'!$AW$2:$AY$2)/10^9),0)</f>
        <v>0</v>
      </c>
      <c r="BL2412" s="160">
        <f>IF($BA$2253&gt;0,IPMT('Assumptions (Petroleum)'!$V$6,Model!AH$1,'Assumptions (Petroleum)'!$V$9,'Assumptions (Petroleum)'!$V$4*Model!$BA$2253*AVERAGE('Assumptions (Petroleum)'!$AW$2:$AY$2)/10^9),0)</f>
        <v>0</v>
      </c>
      <c r="BM2412" s="160">
        <f>IF($BA$2253&gt;0,IPMT('Assumptions (Petroleum)'!$V$6,Model!AI$1,'Assumptions (Petroleum)'!$V$9,'Assumptions (Petroleum)'!$V$4*Model!$BA$2253*AVERAGE('Assumptions (Petroleum)'!$AW$2:$AY$2)/10^9),0)</f>
        <v>0</v>
      </c>
      <c r="BN2412" s="160">
        <f>IF($BA$2253&gt;0,IPMT('Assumptions (Petroleum)'!$V$6,Model!AJ$1,'Assumptions (Petroleum)'!$V$9,'Assumptions (Petroleum)'!$V$4*Model!$BA$2253*AVERAGE('Assumptions (Petroleum)'!$AW$2:$AY$2)/10^9),0)</f>
        <v>0</v>
      </c>
      <c r="BO2412" s="160">
        <f>IF($BA$2253&gt;0,IPMT('Assumptions (Petroleum)'!$V$6,Model!AK$1,'Assumptions (Petroleum)'!$V$9,'Assumptions (Petroleum)'!$V$4*Model!$BA$2253*AVERAGE('Assumptions (Petroleum)'!$AW$2:$AY$2)/10^9),0)</f>
        <v>0</v>
      </c>
      <c r="BP2412" s="160"/>
    </row>
    <row r="2413" ht="15.75" customHeight="1" collapsed="1">
      <c r="A2413" s="330" t="s">
        <v>361</v>
      </c>
      <c r="B2413" s="150" t="s">
        <v>351</v>
      </c>
      <c r="C2413" s="177">
        <f t="shared" ref="C2413:BP2413" si="83">SUM(C2414:C2464)</f>
        <v>0.003509818014</v>
      </c>
      <c r="D2413" s="177">
        <f t="shared" si="83"/>
        <v>0.007602398265</v>
      </c>
      <c r="E2413" s="177">
        <f t="shared" si="83"/>
        <v>0.008424655056</v>
      </c>
      <c r="F2413" s="177">
        <f t="shared" si="83"/>
        <v>0.009065306785</v>
      </c>
      <c r="G2413" s="177">
        <f t="shared" si="83"/>
        <v>0.009572710647</v>
      </c>
      <c r="H2413" s="177">
        <f t="shared" si="83"/>
        <v>0.009860824626</v>
      </c>
      <c r="I2413" s="177">
        <f t="shared" si="83"/>
        <v>0.01058588389</v>
      </c>
      <c r="J2413" s="177">
        <f t="shared" si="83"/>
        <v>0.01168209411</v>
      </c>
      <c r="K2413" s="177">
        <f t="shared" si="83"/>
        <v>0.01230700846</v>
      </c>
      <c r="L2413" s="177">
        <f t="shared" si="83"/>
        <v>0.01214731019</v>
      </c>
      <c r="M2413" s="177">
        <f t="shared" si="83"/>
        <v>0.01172159225</v>
      </c>
      <c r="N2413" s="177">
        <f t="shared" si="83"/>
        <v>0.0117665871</v>
      </c>
      <c r="O2413" s="177">
        <f t="shared" si="83"/>
        <v>0.01205095994</v>
      </c>
      <c r="P2413" s="177">
        <f t="shared" si="83"/>
        <v>0.01280030641</v>
      </c>
      <c r="Q2413" s="177">
        <f t="shared" si="83"/>
        <v>0.01346313389</v>
      </c>
      <c r="R2413" s="177">
        <f t="shared" si="83"/>
        <v>0.01121488003</v>
      </c>
      <c r="S2413" s="177">
        <f t="shared" si="83"/>
        <v>0.008389112807</v>
      </c>
      <c r="T2413" s="177">
        <f t="shared" si="83"/>
        <v>0.007267463276</v>
      </c>
      <c r="U2413" s="177">
        <f t="shared" si="83"/>
        <v>0.006256414421</v>
      </c>
      <c r="V2413" s="177">
        <f t="shared" si="83"/>
        <v>0.005357545851</v>
      </c>
      <c r="W2413" s="177">
        <f t="shared" si="83"/>
        <v>0.004611570727</v>
      </c>
      <c r="X2413" s="177">
        <f t="shared" si="83"/>
        <v>0.003722648752</v>
      </c>
      <c r="Y2413" s="177">
        <f t="shared" si="83"/>
        <v>0.002724643184</v>
      </c>
      <c r="Z2413" s="177">
        <f t="shared" si="83"/>
        <v>0.00200382253</v>
      </c>
      <c r="AA2413" s="177">
        <f t="shared" si="83"/>
        <v>0.001750336804</v>
      </c>
      <c r="AB2413" s="177">
        <f t="shared" si="83"/>
        <v>0.001723318097</v>
      </c>
      <c r="AC2413" s="177">
        <f t="shared" si="83"/>
        <v>0.001476234401</v>
      </c>
      <c r="AD2413" s="177">
        <f t="shared" si="83"/>
        <v>0.001146940741</v>
      </c>
      <c r="AE2413" s="177">
        <f t="shared" si="83"/>
        <v>0.0005768034556</v>
      </c>
      <c r="AF2413" s="177">
        <f t="shared" si="83"/>
        <v>0.00006446452992</v>
      </c>
      <c r="AG2413" s="177">
        <f t="shared" si="83"/>
        <v>0.00001749739246</v>
      </c>
      <c r="AH2413" s="177">
        <f t="shared" si="83"/>
        <v>0</v>
      </c>
      <c r="AI2413" s="177">
        <f t="shared" si="83"/>
        <v>0</v>
      </c>
      <c r="AJ2413" s="177">
        <f t="shared" si="83"/>
        <v>0</v>
      </c>
      <c r="AK2413" s="177">
        <f t="shared" si="83"/>
        <v>0</v>
      </c>
      <c r="AL2413" s="177">
        <f t="shared" si="83"/>
        <v>0</v>
      </c>
      <c r="AM2413" s="177">
        <f t="shared" si="83"/>
        <v>0</v>
      </c>
      <c r="AN2413" s="177">
        <f t="shared" si="83"/>
        <v>0</v>
      </c>
      <c r="AO2413" s="177">
        <f t="shared" si="83"/>
        <v>0</v>
      </c>
      <c r="AP2413" s="177">
        <f t="shared" si="83"/>
        <v>0</v>
      </c>
      <c r="AQ2413" s="177">
        <f t="shared" si="83"/>
        <v>0</v>
      </c>
      <c r="AR2413" s="177">
        <f t="shared" si="83"/>
        <v>0</v>
      </c>
      <c r="AS2413" s="177">
        <f t="shared" si="83"/>
        <v>0</v>
      </c>
      <c r="AT2413" s="177">
        <f t="shared" si="83"/>
        <v>0</v>
      </c>
      <c r="AU2413" s="177">
        <f t="shared" si="83"/>
        <v>0</v>
      </c>
      <c r="AV2413" s="177">
        <f t="shared" si="83"/>
        <v>0</v>
      </c>
      <c r="AW2413" s="177">
        <f t="shared" si="83"/>
        <v>0</v>
      </c>
      <c r="AX2413" s="177">
        <f t="shared" si="83"/>
        <v>0</v>
      </c>
      <c r="AY2413" s="177">
        <f t="shared" si="83"/>
        <v>0</v>
      </c>
      <c r="AZ2413" s="177">
        <f t="shared" si="83"/>
        <v>0</v>
      </c>
      <c r="BA2413" s="177">
        <f t="shared" si="83"/>
        <v>0</v>
      </c>
      <c r="BB2413" s="177">
        <f t="shared" si="83"/>
        <v>0</v>
      </c>
      <c r="BC2413" s="177">
        <f t="shared" si="83"/>
        <v>0</v>
      </c>
      <c r="BD2413" s="177">
        <f t="shared" si="83"/>
        <v>0</v>
      </c>
      <c r="BE2413" s="177">
        <f t="shared" si="83"/>
        <v>0</v>
      </c>
      <c r="BF2413" s="177">
        <f t="shared" si="83"/>
        <v>0</v>
      </c>
      <c r="BG2413" s="177">
        <f t="shared" si="83"/>
        <v>0</v>
      </c>
      <c r="BH2413" s="177">
        <f t="shared" si="83"/>
        <v>0</v>
      </c>
      <c r="BI2413" s="177">
        <f t="shared" si="83"/>
        <v>0</v>
      </c>
      <c r="BJ2413" s="177">
        <f t="shared" si="83"/>
        <v>0</v>
      </c>
      <c r="BK2413" s="177">
        <f t="shared" si="83"/>
        <v>0</v>
      </c>
      <c r="BL2413" s="177">
        <f t="shared" si="83"/>
        <v>0</v>
      </c>
      <c r="BM2413" s="177">
        <f t="shared" si="83"/>
        <v>0</v>
      </c>
      <c r="BN2413" s="177">
        <f t="shared" si="83"/>
        <v>0</v>
      </c>
      <c r="BO2413" s="177">
        <f t="shared" si="83"/>
        <v>0</v>
      </c>
      <c r="BP2413" s="177">
        <f t="shared" si="83"/>
        <v>0</v>
      </c>
    </row>
    <row r="2414" ht="15.75" hidden="1" customHeight="1" outlineLevel="1">
      <c r="A2414" s="328"/>
      <c r="B2414" s="38"/>
      <c r="C2414" s="178">
        <f>IF($C$2253&gt;0,'Assumptions (Petroleum)'!V$10*Model!$C$2253*'Assumptions (Petroleum)'!$B$2/10^9,0)</f>
        <v>0.003509818014</v>
      </c>
      <c r="D2414" s="178">
        <f>IF($C$2253&gt;0,'Assumptions (Petroleum)'!W$10*Model!$C$2253*'Assumptions (Petroleum)'!$B$2/10^9,0)</f>
        <v>0.006668654227</v>
      </c>
      <c r="E2414" s="178">
        <f>IF($C$2253&gt;0,'Assumptions (Petroleum)'!X$10*Model!$C$2253*'Assumptions (Petroleum)'!$B$2/10^9,0)</f>
        <v>0.006001788805</v>
      </c>
      <c r="F2414" s="178">
        <f>IF($C$2253&gt;0,'Assumptions (Petroleum)'!Y$10*Model!$C$2253*'Assumptions (Petroleum)'!$B$2/10^9,0)</f>
        <v>0.005405119742</v>
      </c>
      <c r="G2414" s="178">
        <f>IF($C$2253&gt;0,'Assumptions (Petroleum)'!Z$10*Model!$C$2253*'Assumptions (Petroleum)'!$B$2/10^9,0)</f>
        <v>0.004864607768</v>
      </c>
      <c r="H2414" s="178">
        <f>IF($C$2253&gt;0,'Assumptions (Petroleum)'!AA$10*Model!$C$2253*'Assumptions (Petroleum)'!$B$2/10^9,0)</f>
        <v>0.004373233246</v>
      </c>
      <c r="I2414" s="178">
        <f>IF($C$2253&gt;0,'Assumptions (Petroleum)'!AB$10*Model!$C$2253*'Assumptions (Petroleum)'!$B$2/10^9,0)</f>
        <v>0.004141585257</v>
      </c>
      <c r="J2414" s="178">
        <f>IF($C$2253&gt;0,'Assumptions (Petroleum)'!AC$10*Model!$C$2253*'Assumptions (Petroleum)'!$B$2/10^9,0)</f>
        <v>0.004141585257</v>
      </c>
      <c r="K2414" s="178">
        <f>IF($C$2253&gt;0,'Assumptions (Petroleum)'!AD$10*Model!$C$2253*'Assumptions (Petroleum)'!$B$2/10^9,0)</f>
        <v>0.004148604893</v>
      </c>
      <c r="L2414" s="178">
        <f>IF($C$2253&gt;0,'Assumptions (Petroleum)'!AE$10*Model!$C$2253*'Assumptions (Petroleum)'!$B$2/10^9,0)</f>
        <v>0.004141585257</v>
      </c>
      <c r="M2414" s="178">
        <f>IF($C$2253&gt;0,'Assumptions (Petroleum)'!AF$10*Model!$C$2253*'Assumptions (Petroleum)'!$B$2/10^9,0)</f>
        <v>0.004148604893</v>
      </c>
      <c r="N2414" s="178">
        <f>IF($C$2253&gt;0,'Assumptions (Petroleum)'!AG$10*Model!$C$2253*'Assumptions (Petroleum)'!$B$2/10^9,0)</f>
        <v>0.004141585257</v>
      </c>
      <c r="O2414" s="178">
        <f>IF($C$2253&gt;0,'Assumptions (Petroleum)'!AH$10*Model!$C$2253*'Assumptions (Petroleum)'!$B$2/10^9,0)</f>
        <v>0.004148604893</v>
      </c>
      <c r="P2414" s="178">
        <f>IF($C$2253&gt;0,'Assumptions (Petroleum)'!AI$10*Model!$C$2253*'Assumptions (Petroleum)'!$B$2/10^9,0)</f>
        <v>0.004141585257</v>
      </c>
      <c r="Q2414" s="178">
        <f>IF($C$2253&gt;0,'Assumptions (Petroleum)'!AJ$10*Model!$C$2253*'Assumptions (Petroleum)'!$B$2/10^9,0)</f>
        <v>0.004148604893</v>
      </c>
      <c r="R2414" s="178">
        <f>IF($C$2253&gt;0,'Assumptions (Petroleum)'!AK$10*Model!$C$2253*'Assumptions (Petroleum)'!$B$2/10^9,0)</f>
        <v>0.002070792628</v>
      </c>
      <c r="S2414" s="177"/>
      <c r="T2414" s="177"/>
      <c r="U2414" s="177"/>
      <c r="V2414" s="177"/>
      <c r="W2414" s="177"/>
      <c r="X2414" s="160"/>
      <c r="Y2414" s="160"/>
      <c r="Z2414" s="160"/>
      <c r="AA2414" s="160"/>
      <c r="AB2414" s="160"/>
      <c r="AC2414" s="160"/>
      <c r="AD2414" s="160"/>
      <c r="AE2414" s="160"/>
      <c r="AF2414" s="160"/>
      <c r="AG2414" s="160"/>
    </row>
    <row r="2415" ht="15.75" hidden="1" customHeight="1" outlineLevel="1">
      <c r="A2415" s="328"/>
      <c r="B2415" s="38"/>
      <c r="C2415" s="160"/>
      <c r="D2415" s="160">
        <f>IF($D$2253&gt;0,'Assumptions (Petroleum)'!V$10*Model!$D$2253*'Assumptions (Petroleum)'!$B$2/10^9,0)</f>
        <v>0.0009337440378</v>
      </c>
      <c r="E2415" s="160">
        <f>IF($D$2253&gt;0,'Assumptions (Petroleum)'!W$10*Model!$D$2253*'Assumptions (Petroleum)'!$B$2/10^9,0)</f>
        <v>0.001774113672</v>
      </c>
      <c r="F2415" s="160">
        <f>IF($D$2253&gt;0,'Assumptions (Petroleum)'!X$10*Model!$D$2253*'Assumptions (Petroleum)'!$B$2/10^9,0)</f>
        <v>0.001596702305</v>
      </c>
      <c r="G2415" s="160">
        <f>IF($D$2253&gt;0,'Assumptions (Petroleum)'!Y$10*Model!$D$2253*'Assumptions (Petroleum)'!$B$2/10^9,0)</f>
        <v>0.001437965818</v>
      </c>
      <c r="H2415" s="160">
        <f>IF($D$2253&gt;0,'Assumptions (Petroleum)'!Z$10*Model!$D$2253*'Assumptions (Petroleum)'!$B$2/10^9,0)</f>
        <v>0.001294169236</v>
      </c>
      <c r="I2415" s="160">
        <f>IF($D$2253&gt;0,'Assumptions (Petroleum)'!AA$10*Model!$D$2253*'Assumptions (Petroleum)'!$B$2/10^9,0)</f>
        <v>0.001163445071</v>
      </c>
      <c r="J2415" s="160">
        <f>IF($D$2253&gt;0,'Assumptions (Petroleum)'!AB$10*Model!$D$2253*'Assumptions (Petroleum)'!$B$2/10^9,0)</f>
        <v>0.001101817965</v>
      </c>
      <c r="K2415" s="160">
        <f>IF($D$2253&gt;0,'Assumptions (Petroleum)'!AC$10*Model!$D$2253*'Assumptions (Petroleum)'!$B$2/10^9,0)</f>
        <v>0.001101817965</v>
      </c>
      <c r="L2415" s="160">
        <f>IF($D$2253&gt;0,'Assumptions (Petroleum)'!AD$10*Model!$D$2253*'Assumptions (Petroleum)'!$B$2/10^9,0)</f>
        <v>0.001103685453</v>
      </c>
      <c r="M2415" s="160">
        <f>IF($D$2253&gt;0,'Assumptions (Petroleum)'!AE$10*Model!$D$2253*'Assumptions (Petroleum)'!$B$2/10^9,0)</f>
        <v>0.001101817965</v>
      </c>
      <c r="N2415" s="160">
        <f>IF($D$2253&gt;0,'Assumptions (Petroleum)'!AF$10*Model!$D$2253*'Assumptions (Petroleum)'!$B$2/10^9,0)</f>
        <v>0.001103685453</v>
      </c>
      <c r="O2415" s="160">
        <f>IF($D$2253&gt;0,'Assumptions (Petroleum)'!AG$10*Model!$D$2253*'Assumptions (Petroleum)'!$B$2/10^9,0)</f>
        <v>0.001101817965</v>
      </c>
      <c r="P2415" s="160">
        <f>IF($D$2253&gt;0,'Assumptions (Petroleum)'!AH$10*Model!$D$2253*'Assumptions (Petroleum)'!$B$2/10^9,0)</f>
        <v>0.001103685453</v>
      </c>
      <c r="Q2415" s="160">
        <f>IF($D$2253&gt;0,'Assumptions (Petroleum)'!AI$10*Model!$D$2253*'Assumptions (Petroleum)'!$B$2/10^9,0)</f>
        <v>0.001101817965</v>
      </c>
      <c r="R2415" s="160">
        <f>IF($D$2253&gt;0,'Assumptions (Petroleum)'!AJ$10*Model!$D$2253*'Assumptions (Petroleum)'!$B$2/10^9,0)</f>
        <v>0.001103685453</v>
      </c>
      <c r="S2415" s="160">
        <f>IF($D$2253&gt;0,'Assumptions (Petroleum)'!AK$10*Model!$D$2253*'Assumptions (Petroleum)'!$B$2/10^9,0)</f>
        <v>0.0005509089823</v>
      </c>
      <c r="T2415" s="160"/>
      <c r="U2415" s="160"/>
      <c r="V2415" s="160"/>
      <c r="W2415" s="160"/>
      <c r="X2415" s="160"/>
      <c r="Y2415" s="160"/>
      <c r="Z2415" s="160"/>
      <c r="AA2415" s="160"/>
      <c r="AB2415" s="160"/>
      <c r="AC2415" s="160"/>
      <c r="AD2415" s="160"/>
      <c r="AE2415" s="160"/>
      <c r="AF2415" s="160"/>
      <c r="AG2415" s="160"/>
    </row>
    <row r="2416" ht="15.75" hidden="1" customHeight="1" outlineLevel="1">
      <c r="A2416" s="328"/>
      <c r="B2416" s="38"/>
      <c r="C2416" s="160"/>
      <c r="D2416" s="160"/>
      <c r="E2416" s="160">
        <f>IF($E$2253&gt;0,'Assumptions (Petroleum)'!V$10*Model!$E$2253*AVERAGE('Assumptions (Petroleum)'!$B$2:$C$2)/10^9,0)</f>
        <v>0.0006487525798</v>
      </c>
      <c r="F2416" s="160">
        <f>IF($E$2253&gt;0,'Assumptions (Petroleum)'!W$10*Model!$E$2253*AVERAGE('Assumptions (Petroleum)'!$B$2:$C$2)/10^9,0)</f>
        <v>0.001232629902</v>
      </c>
      <c r="G2416" s="160">
        <f>IF($E$2253&gt;0,'Assumptions (Petroleum)'!X$10*Model!$E$2253*AVERAGE('Assumptions (Petroleum)'!$B$2:$C$2)/10^9,0)</f>
        <v>0.001109366911</v>
      </c>
      <c r="H2416" s="160">
        <f>IF($E$2253&gt;0,'Assumptions (Petroleum)'!Y$10*Model!$E$2253*AVERAGE('Assumptions (Petroleum)'!$B$2:$C$2)/10^9,0)</f>
        <v>0.0009990789729</v>
      </c>
      <c r="I2416" s="160">
        <f>IF($E$2253&gt;0,'Assumptions (Petroleum)'!Z$10*Model!$E$2253*AVERAGE('Assumptions (Petroleum)'!$B$2:$C$2)/10^9,0)</f>
        <v>0.0008991710756</v>
      </c>
      <c r="J2416" s="160">
        <f>IF($E$2253&gt;0,'Assumptions (Petroleum)'!AA$10*Model!$E$2253*AVERAGE('Assumptions (Petroleum)'!$B$2:$C$2)/10^9,0)</f>
        <v>0.0008083457144</v>
      </c>
      <c r="K2416" s="160">
        <f>IF($E$2253&gt;0,'Assumptions (Petroleum)'!AB$10*Model!$E$2253*AVERAGE('Assumptions (Petroleum)'!$B$2:$C$2)/10^9,0)</f>
        <v>0.0007655280442</v>
      </c>
      <c r="L2416" s="160">
        <f>IF($E$2253&gt;0,'Assumptions (Petroleum)'!AC$10*Model!$E$2253*AVERAGE('Assumptions (Petroleum)'!$B$2:$C$2)/10^9,0)</f>
        <v>0.0007655280442</v>
      </c>
      <c r="M2416" s="160">
        <f>IF($E$2253&gt;0,'Assumptions (Petroleum)'!AD$10*Model!$E$2253*AVERAGE('Assumptions (Petroleum)'!$B$2:$C$2)/10^9,0)</f>
        <v>0.0007668255493</v>
      </c>
      <c r="N2416" s="160">
        <f>IF($E$2253&gt;0,'Assumptions (Petroleum)'!AE$10*Model!$E$2253*AVERAGE('Assumptions (Petroleum)'!$B$2:$C$2)/10^9,0)</f>
        <v>0.0007655280442</v>
      </c>
      <c r="O2416" s="160">
        <f>IF($E$2253&gt;0,'Assumptions (Petroleum)'!AF$10*Model!$E$2253*AVERAGE('Assumptions (Petroleum)'!$B$2:$C$2)/10^9,0)</f>
        <v>0.0007668255493</v>
      </c>
      <c r="P2416" s="160">
        <f>IF($E$2253&gt;0,'Assumptions (Petroleum)'!AG$10*Model!$E$2253*AVERAGE('Assumptions (Petroleum)'!$B$2:$C$2)/10^9,0)</f>
        <v>0.0007655280442</v>
      </c>
      <c r="Q2416" s="160">
        <f>IF($E$2253&gt;0,'Assumptions (Petroleum)'!AH$10*Model!$E$2253*AVERAGE('Assumptions (Petroleum)'!$B$2:$C$2)/10^9,0)</f>
        <v>0.0007668255493</v>
      </c>
      <c r="R2416" s="160">
        <f>IF($E$2253&gt;0,'Assumptions (Petroleum)'!AI$10*Model!$E$2253*AVERAGE('Assumptions (Petroleum)'!$B$2:$C$2)/10^9,0)</f>
        <v>0.0007655280442</v>
      </c>
      <c r="S2416" s="160">
        <f>IF($E$2253&gt;0,'Assumptions (Petroleum)'!AJ$10*Model!$E$2253*AVERAGE('Assumptions (Petroleum)'!$B$2:$C$2)/10^9,0)</f>
        <v>0.0007668255493</v>
      </c>
      <c r="T2416" s="160">
        <f>IF($E$2253&gt;0,'Assumptions (Petroleum)'!AK$10*Model!$E$2253*AVERAGE('Assumptions (Petroleum)'!$B$2:$C$2)/10^9,0)</f>
        <v>0.0003827640221</v>
      </c>
      <c r="U2416" s="160"/>
      <c r="V2416" s="160"/>
      <c r="W2416" s="160"/>
      <c r="X2416" s="160"/>
      <c r="Y2416" s="160"/>
      <c r="Z2416" s="160"/>
      <c r="AA2416" s="160"/>
      <c r="AB2416" s="160"/>
      <c r="AC2416" s="160"/>
      <c r="AD2416" s="160"/>
      <c r="AE2416" s="160"/>
      <c r="AF2416" s="160"/>
      <c r="AG2416" s="160"/>
    </row>
    <row r="2417" ht="15.75" hidden="1" customHeight="1" outlineLevel="1">
      <c r="A2417" s="328"/>
      <c r="B2417" s="38"/>
      <c r="C2417" s="160"/>
      <c r="D2417" s="160"/>
      <c r="E2417" s="160"/>
      <c r="F2417" s="160">
        <f>IF($F$2253&gt;0,'Assumptions (Petroleum)'!V$10*Model!$F$2253*AVERAGE('Assumptions (Petroleum)'!$B$2:$D$2)/10^9,0)</f>
        <v>0.0008308548366</v>
      </c>
      <c r="G2417" s="160">
        <f>IF($F$2253&gt;0,'Assumptions (Petroleum)'!W$10*Model!$F$2253*AVERAGE('Assumptions (Petroleum)'!$B$2:$D$2)/10^9,0)</f>
        <v>0.00157862419</v>
      </c>
      <c r="H2417" s="160">
        <f>IF($F$2253&gt;0,'Assumptions (Petroleum)'!X$10*Model!$F$2253*AVERAGE('Assumptions (Petroleum)'!$B$2:$D$2)/10^9,0)</f>
        <v>0.001420761771</v>
      </c>
      <c r="I2417" s="160">
        <f>IF($F$2253&gt;0,'Assumptions (Petroleum)'!Y$10*Model!$F$2253*AVERAGE('Assumptions (Petroleum)'!$B$2:$D$2)/10^9,0)</f>
        <v>0.001279516448</v>
      </c>
      <c r="J2417" s="160">
        <f>IF($F$2253&gt;0,'Assumptions (Petroleum)'!Z$10*Model!$F$2253*AVERAGE('Assumptions (Petroleum)'!$B$2:$D$2)/10^9,0)</f>
        <v>0.001151564804</v>
      </c>
      <c r="K2417" s="160">
        <f>IF($F$2253&gt;0,'Assumptions (Petroleum)'!AA$10*Model!$F$2253*AVERAGE('Assumptions (Petroleum)'!$B$2:$D$2)/10^9,0)</f>
        <v>0.001035245126</v>
      </c>
      <c r="L2417" s="160">
        <f>IF($F$2253&gt;0,'Assumptions (Petroleum)'!AB$10*Model!$F$2253*AVERAGE('Assumptions (Petroleum)'!$B$2:$D$2)/10^9,0)</f>
        <v>0.0009804087072</v>
      </c>
      <c r="M2417" s="160">
        <f>IF($F$2253&gt;0,'Assumptions (Petroleum)'!AC$10*Model!$F$2253*AVERAGE('Assumptions (Petroleum)'!$B$2:$D$2)/10^9,0)</f>
        <v>0.0009804087072</v>
      </c>
      <c r="N2417" s="160">
        <f>IF($F$2253&gt;0,'Assumptions (Petroleum)'!AD$10*Model!$F$2253*AVERAGE('Assumptions (Petroleum)'!$B$2:$D$2)/10^9,0)</f>
        <v>0.0009820704169</v>
      </c>
      <c r="O2417" s="160">
        <f>IF($F$2253&gt;0,'Assumptions (Petroleum)'!AE$10*Model!$F$2253*AVERAGE('Assumptions (Petroleum)'!$B$2:$D$2)/10^9,0)</f>
        <v>0.0009804087072</v>
      </c>
      <c r="P2417" s="160">
        <f>IF($F$2253&gt;0,'Assumptions (Petroleum)'!AF$10*Model!$F$2253*AVERAGE('Assumptions (Petroleum)'!$B$2:$D$2)/10^9,0)</f>
        <v>0.0009820704169</v>
      </c>
      <c r="Q2417" s="160">
        <f>IF($F$2253&gt;0,'Assumptions (Petroleum)'!AG$10*Model!$F$2253*AVERAGE('Assumptions (Petroleum)'!$B$2:$D$2)/10^9,0)</f>
        <v>0.0009804087072</v>
      </c>
      <c r="R2417" s="160">
        <f>IF($F$2253&gt;0,'Assumptions (Petroleum)'!AH$10*Model!$F$2253*AVERAGE('Assumptions (Petroleum)'!$B$2:$D$2)/10^9,0)</f>
        <v>0.0009820704169</v>
      </c>
      <c r="S2417" s="160">
        <f>IF($F$2253&gt;0,'Assumptions (Petroleum)'!AI$10*Model!$F$2253*AVERAGE('Assumptions (Petroleum)'!$B$2:$D$2)/10^9,0)</f>
        <v>0.0009804087072</v>
      </c>
      <c r="T2417" s="160">
        <f>IF($F$2253&gt;0,'Assumptions (Petroleum)'!AJ$10*Model!$F$2253*AVERAGE('Assumptions (Petroleum)'!$B$2:$D$2)/10^9,0)</f>
        <v>0.0009820704169</v>
      </c>
      <c r="U2417" s="160">
        <f>IF($F$2253&gt;0,'Assumptions (Petroleum)'!AK$10*Model!$F$2253*AVERAGE('Assumptions (Petroleum)'!$B$2:$D$2)/10^9,0)</f>
        <v>0.0004902043536</v>
      </c>
      <c r="V2417" s="160"/>
      <c r="W2417" s="160"/>
      <c r="X2417" s="160"/>
      <c r="Y2417" s="160"/>
      <c r="Z2417" s="160"/>
      <c r="AA2417" s="160"/>
      <c r="AB2417" s="160"/>
      <c r="AC2417" s="160"/>
      <c r="AD2417" s="160"/>
      <c r="AE2417" s="160"/>
      <c r="AF2417" s="160"/>
      <c r="AG2417" s="160"/>
    </row>
    <row r="2418" ht="15.75" hidden="1" customHeight="1" outlineLevel="1">
      <c r="A2418" s="328"/>
      <c r="B2418" s="38"/>
      <c r="C2418" s="160"/>
      <c r="D2418" s="160"/>
      <c r="E2418" s="160"/>
      <c r="F2418" s="160"/>
      <c r="G2418" s="160">
        <f>IF($G$2253&gt;0,'Assumptions (Petroleum)'!V$10*Model!$G$2253*AVERAGE('Assumptions (Petroleum)'!$C$2:$E$2)/10^9,0)</f>
        <v>0.0005821459599</v>
      </c>
      <c r="H2418" s="160">
        <f>IF($G$2253&gt;0,'Assumptions (Petroleum)'!W$10*Model!$G$2253*AVERAGE('Assumptions (Petroleum)'!$C$2:$E$2)/10^9,0)</f>
        <v>0.001106077324</v>
      </c>
      <c r="I2418" s="160">
        <f>IF($G$2253&gt;0,'Assumptions (Petroleum)'!X$10*Model!$G$2253*AVERAGE('Assumptions (Petroleum)'!$C$2:$E$2)/10^9,0)</f>
        <v>0.0009954695914</v>
      </c>
      <c r="J2418" s="160">
        <f>IF($G$2253&gt;0,'Assumptions (Petroleum)'!Y$10*Model!$G$2253*AVERAGE('Assumptions (Petroleum)'!$C$2:$E$2)/10^9,0)</f>
        <v>0.0008965047782</v>
      </c>
      <c r="K2418" s="160">
        <f>IF($G$2253&gt;0,'Assumptions (Petroleum)'!Z$10*Model!$G$2253*AVERAGE('Assumptions (Petroleum)'!$C$2:$E$2)/10^9,0)</f>
        <v>0.0008068543004</v>
      </c>
      <c r="L2418" s="160">
        <f>IF($G$2253&gt;0,'Assumptions (Petroleum)'!AA$10*Model!$G$2253*AVERAGE('Assumptions (Petroleum)'!$C$2:$E$2)/10^9,0)</f>
        <v>0.000725353866</v>
      </c>
      <c r="M2418" s="160">
        <f>IF($G$2253&gt;0,'Assumptions (Petroleum)'!AB$10*Model!$G$2253*AVERAGE('Assumptions (Petroleum)'!$C$2:$E$2)/10^9,0)</f>
        <v>0.0006869322327</v>
      </c>
      <c r="N2418" s="160">
        <f>IF($G$2253&gt;0,'Assumptions (Petroleum)'!AC$10*Model!$G$2253*AVERAGE('Assumptions (Petroleum)'!$C$2:$E$2)/10^9,0)</f>
        <v>0.0006869322327</v>
      </c>
      <c r="O2418" s="160">
        <f>IF($G$2253&gt;0,'Assumptions (Petroleum)'!AD$10*Model!$G$2253*AVERAGE('Assumptions (Petroleum)'!$C$2:$E$2)/10^9,0)</f>
        <v>0.0006880965246</v>
      </c>
      <c r="P2418" s="160">
        <f>IF($G$2253&gt;0,'Assumptions (Petroleum)'!AE$10*Model!$G$2253*AVERAGE('Assumptions (Petroleum)'!$C$2:$E$2)/10^9,0)</f>
        <v>0.0006869322327</v>
      </c>
      <c r="Q2418" s="160">
        <f>IF($G$2253&gt;0,'Assumptions (Petroleum)'!AF$10*Model!$G$2253*AVERAGE('Assumptions (Petroleum)'!$C$2:$E$2)/10^9,0)</f>
        <v>0.0006880965246</v>
      </c>
      <c r="R2418" s="160">
        <f>IF($G$2253&gt;0,'Assumptions (Petroleum)'!AG$10*Model!$G$2253*AVERAGE('Assumptions (Petroleum)'!$C$2:$E$2)/10^9,0)</f>
        <v>0.0006869322327</v>
      </c>
      <c r="S2418" s="160">
        <f>IF($G$2253&gt;0,'Assumptions (Petroleum)'!AH$10*Model!$G$2253*AVERAGE('Assumptions (Petroleum)'!$C$2:$E$2)/10^9,0)</f>
        <v>0.0006880965246</v>
      </c>
      <c r="T2418" s="160">
        <f>IF($G$2253&gt;0,'Assumptions (Petroleum)'!AI$10*Model!$G$2253*AVERAGE('Assumptions (Petroleum)'!$C$2:$E$2)/10^9,0)</f>
        <v>0.0006869322327</v>
      </c>
      <c r="U2418" s="160">
        <f>IF($G$2253&gt;0,'Assumptions (Petroleum)'!AJ$10*Model!$G$2253*AVERAGE('Assumptions (Petroleum)'!$C$2:$E$2)/10^9,0)</f>
        <v>0.0006880965246</v>
      </c>
      <c r="V2418" s="160">
        <f>IF($G$2253&gt;0,'Assumptions (Petroleum)'!AK$10*Model!$G$2253*AVERAGE('Assumptions (Petroleum)'!$C$2:$E$2)/10^9,0)</f>
        <v>0.0003434661163</v>
      </c>
      <c r="W2418" s="160"/>
      <c r="X2418" s="160"/>
      <c r="Y2418" s="160"/>
      <c r="Z2418" s="160"/>
      <c r="AA2418" s="160"/>
      <c r="AB2418" s="160"/>
      <c r="AC2418" s="160"/>
      <c r="AD2418" s="160"/>
      <c r="AE2418" s="160"/>
      <c r="AF2418" s="160"/>
      <c r="AG2418" s="160"/>
    </row>
    <row r="2419" ht="15.75" hidden="1" customHeight="1" outlineLevel="1">
      <c r="A2419" s="328"/>
      <c r="B2419" s="38"/>
      <c r="C2419" s="160"/>
      <c r="D2419" s="160"/>
      <c r="E2419" s="160"/>
      <c r="F2419" s="160"/>
      <c r="G2419" s="160"/>
      <c r="H2419" s="160">
        <f>IF($H$2253&gt;0,'Assumptions (Petroleum)'!V$10*Model!$H$2253*AVERAGE('Assumptions (Petroleum)'!$D$2:$F$2)/10^9,0)</f>
        <v>0.0006675040761</v>
      </c>
      <c r="I2419" s="160">
        <f>IF($H$2253&gt;0,'Assumptions (Petroleum)'!W$10*Model!$H$2253*AVERAGE('Assumptions (Petroleum)'!$D$2:$F$2)/10^9,0)</f>
        <v>0.001268257745</v>
      </c>
      <c r="J2419" s="160">
        <f>IF($H$2253&gt;0,'Assumptions (Petroleum)'!X$10*Model!$H$2253*AVERAGE('Assumptions (Petroleum)'!$D$2:$F$2)/10^9,0)</f>
        <v>0.00114143197</v>
      </c>
      <c r="K2419" s="160">
        <f>IF($H$2253&gt;0,'Assumptions (Petroleum)'!Y$10*Model!$H$2253*AVERAGE('Assumptions (Petroleum)'!$D$2:$F$2)/10^9,0)</f>
        <v>0.001027956277</v>
      </c>
      <c r="L2419" s="160">
        <f>IF($H$2253&gt;0,'Assumptions (Petroleum)'!Z$10*Model!$H$2253*AVERAGE('Assumptions (Petroleum)'!$D$2:$F$2)/10^9,0)</f>
        <v>0.0009251606495</v>
      </c>
      <c r="M2419" s="160">
        <f>IF($H$2253&gt;0,'Assumptions (Petroleum)'!AA$10*Model!$H$2253*AVERAGE('Assumptions (Petroleum)'!$D$2:$F$2)/10^9,0)</f>
        <v>0.0008317100788</v>
      </c>
      <c r="N2419" s="160">
        <f>IF($H$2253&gt;0,'Assumptions (Petroleum)'!AB$10*Model!$H$2253*AVERAGE('Assumptions (Petroleum)'!$D$2:$F$2)/10^9,0)</f>
        <v>0.0007876548098</v>
      </c>
      <c r="O2419" s="160">
        <f>IF($H$2253&gt;0,'Assumptions (Petroleum)'!AC$10*Model!$H$2253*AVERAGE('Assumptions (Petroleum)'!$D$2:$F$2)/10^9,0)</f>
        <v>0.0007876548098</v>
      </c>
      <c r="P2419" s="160">
        <f>IF($H$2253&gt;0,'Assumptions (Petroleum)'!AD$10*Model!$H$2253*AVERAGE('Assumptions (Petroleum)'!$D$2:$F$2)/10^9,0)</f>
        <v>0.000788989818</v>
      </c>
      <c r="Q2419" s="160">
        <f>IF($H$2253&gt;0,'Assumptions (Petroleum)'!AE$10*Model!$H$2253*AVERAGE('Assumptions (Petroleum)'!$D$2:$F$2)/10^9,0)</f>
        <v>0.0007876548098</v>
      </c>
      <c r="R2419" s="160">
        <f>IF($H$2253&gt;0,'Assumptions (Petroleum)'!AF$10*Model!$H$2253*AVERAGE('Assumptions (Petroleum)'!$D$2:$F$2)/10^9,0)</f>
        <v>0.000788989818</v>
      </c>
      <c r="S2419" s="160">
        <f>IF($H$2253&gt;0,'Assumptions (Petroleum)'!AG$10*Model!$H$2253*AVERAGE('Assumptions (Petroleum)'!$D$2:$F$2)/10^9,0)</f>
        <v>0.0007876548098</v>
      </c>
      <c r="T2419" s="160">
        <f>IF($H$2253&gt;0,'Assumptions (Petroleum)'!AH$10*Model!$H$2253*AVERAGE('Assumptions (Petroleum)'!$D$2:$F$2)/10^9,0)</f>
        <v>0.000788989818</v>
      </c>
      <c r="U2419" s="160">
        <f>IF($H$2253&gt;0,'Assumptions (Petroleum)'!AI$10*Model!$H$2253*AVERAGE('Assumptions (Petroleum)'!$D$2:$F$2)/10^9,0)</f>
        <v>0.0007876548098</v>
      </c>
      <c r="V2419" s="160">
        <f>IF($H$2253&gt;0,'Assumptions (Petroleum)'!AJ$10*Model!$H$2253*AVERAGE('Assumptions (Petroleum)'!$D$2:$F$2)/10^9,0)</f>
        <v>0.000788989818</v>
      </c>
      <c r="W2419" s="160">
        <f>IF($H$2253&gt;0,'Assumptions (Petroleum)'!AK$10*Model!$H$2253*AVERAGE('Assumptions (Petroleum)'!$D$2:$F$2)/10^9,0)</f>
        <v>0.0003938274049</v>
      </c>
      <c r="X2419" s="160"/>
      <c r="Y2419" s="160"/>
      <c r="Z2419" s="160"/>
      <c r="AA2419" s="160"/>
      <c r="AB2419" s="160"/>
      <c r="AC2419" s="160"/>
      <c r="AD2419" s="160"/>
      <c r="AE2419" s="160"/>
      <c r="AF2419" s="160"/>
      <c r="AG2419" s="160"/>
    </row>
    <row r="2420" ht="15.75" hidden="1" customHeight="1" outlineLevel="1">
      <c r="A2420" s="328"/>
      <c r="B2420" s="38"/>
      <c r="C2420" s="160"/>
      <c r="D2420" s="160"/>
      <c r="E2420" s="160"/>
      <c r="F2420" s="160"/>
      <c r="G2420" s="160"/>
      <c r="H2420" s="160"/>
      <c r="I2420" s="160">
        <f>IF($I$2253&gt;0,'Assumptions (Petroleum)'!V$10*Model!$I$2253*AVERAGE('Assumptions (Petroleum)'!$E$2:$G$2)/10^9,0)</f>
        <v>0.000838438701</v>
      </c>
      <c r="J2420" s="160">
        <f>IF($I$2253&gt;0,'Assumptions (Petroleum)'!W$10*Model!$I$2253*AVERAGE('Assumptions (Petroleum)'!$E$2:$G$2)/10^9,0)</f>
        <v>0.001593033532</v>
      </c>
      <c r="K2420" s="160">
        <f>IF($I$2253&gt;0,'Assumptions (Petroleum)'!X$10*Model!$I$2253*AVERAGE('Assumptions (Petroleum)'!$E$2:$G$2)/10^9,0)</f>
        <v>0.001433730179</v>
      </c>
      <c r="L2420" s="160">
        <f>IF($I$2253&gt;0,'Assumptions (Petroleum)'!Y$10*Model!$I$2253*AVERAGE('Assumptions (Petroleum)'!$E$2:$G$2)/10^9,0)</f>
        <v>0.0012911956</v>
      </c>
      <c r="M2420" s="160">
        <f>IF($I$2253&gt;0,'Assumptions (Petroleum)'!Z$10*Model!$I$2253*AVERAGE('Assumptions (Petroleum)'!$E$2:$G$2)/10^9,0)</f>
        <v>0.00116207604</v>
      </c>
      <c r="N2420" s="160">
        <f>IF($I$2253&gt;0,'Assumptions (Petroleum)'!AA$10*Model!$I$2253*AVERAGE('Assumptions (Petroleum)'!$E$2:$G$2)/10^9,0)</f>
        <v>0.001044694621</v>
      </c>
      <c r="O2420" s="160">
        <f>IF($I$2253&gt;0,'Assumptions (Petroleum)'!AB$10*Model!$I$2253*AVERAGE('Assumptions (Petroleum)'!$E$2:$G$2)/10^9,0)</f>
        <v>0.0009893576672</v>
      </c>
      <c r="P2420" s="160">
        <f>IF($I$2253&gt;0,'Assumptions (Petroleum)'!AC$10*Model!$I$2253*AVERAGE('Assumptions (Petroleum)'!$E$2:$G$2)/10^9,0)</f>
        <v>0.0009893576672</v>
      </c>
      <c r="Q2420" s="160">
        <f>IF($I$2253&gt;0,'Assumptions (Petroleum)'!AD$10*Model!$I$2253*AVERAGE('Assumptions (Petroleum)'!$E$2:$G$2)/10^9,0)</f>
        <v>0.0009910345446</v>
      </c>
      <c r="R2420" s="160">
        <f>IF($I$2253&gt;0,'Assumptions (Petroleum)'!AE$10*Model!$I$2253*AVERAGE('Assumptions (Petroleum)'!$E$2:$G$2)/10^9,0)</f>
        <v>0.0009893576672</v>
      </c>
      <c r="S2420" s="160">
        <f>IF($I$2253&gt;0,'Assumptions (Petroleum)'!AF$10*Model!$I$2253*AVERAGE('Assumptions (Petroleum)'!$E$2:$G$2)/10^9,0)</f>
        <v>0.0009910345446</v>
      </c>
      <c r="T2420" s="160">
        <f>IF($I$2253&gt;0,'Assumptions (Petroleum)'!AG$10*Model!$I$2253*AVERAGE('Assumptions (Petroleum)'!$E$2:$G$2)/10^9,0)</f>
        <v>0.0009893576672</v>
      </c>
      <c r="U2420" s="160">
        <f>IF($I$2253&gt;0,'Assumptions (Petroleum)'!AH$10*Model!$I$2253*AVERAGE('Assumptions (Petroleum)'!$E$2:$G$2)/10^9,0)</f>
        <v>0.0009910345446</v>
      </c>
      <c r="V2420" s="160">
        <f>IF($I$2253&gt;0,'Assumptions (Petroleum)'!AI$10*Model!$I$2253*AVERAGE('Assumptions (Petroleum)'!$E$2:$G$2)/10^9,0)</f>
        <v>0.0009893576672</v>
      </c>
      <c r="W2420" s="160">
        <f>IF($I$2253&gt;0,'Assumptions (Petroleum)'!AJ$10*Model!$I$2253*AVERAGE('Assumptions (Petroleum)'!$E$2:$G$2)/10^9,0)</f>
        <v>0.0009910345446</v>
      </c>
      <c r="X2420" s="160">
        <f>IF($I$2253&gt;0,'Assumptions (Petroleum)'!AK$10*Model!$I$2253*AVERAGE('Assumptions (Petroleum)'!$E$2:$G$2)/10^9,0)</f>
        <v>0.0004946788336</v>
      </c>
      <c r="Y2420" s="160"/>
      <c r="Z2420" s="160"/>
      <c r="AA2420" s="160"/>
      <c r="AB2420" s="160"/>
      <c r="AC2420" s="160"/>
      <c r="AD2420" s="160"/>
      <c r="AE2420" s="160"/>
      <c r="AF2420" s="160"/>
      <c r="AG2420" s="160"/>
    </row>
    <row r="2421" ht="15.75" hidden="1" customHeight="1" outlineLevel="1">
      <c r="A2421" s="328"/>
      <c r="B2421" s="38"/>
      <c r="C2421" s="160"/>
      <c r="D2421" s="160"/>
      <c r="E2421" s="160"/>
      <c r="F2421" s="160"/>
      <c r="G2421" s="160"/>
      <c r="H2421" s="160"/>
      <c r="I2421" s="160"/>
      <c r="J2421" s="160">
        <f>IF($J$2253&gt;0,'Assumptions (Petroleum)'!V$10*Model!$J$2253*AVERAGE('Assumptions (Petroleum)'!$F$2:$H$2)/10^9,0)</f>
        <v>0.0008478100919</v>
      </c>
      <c r="K2421" s="160">
        <f>IF($J$2253&gt;0,'Assumptions (Petroleum)'!W$10*Model!$J$2253*AVERAGE('Assumptions (Petroleum)'!$F$2:$H$2)/10^9,0)</f>
        <v>0.001610839175</v>
      </c>
      <c r="L2421" s="160">
        <f>IF($J$2253&gt;0,'Assumptions (Petroleum)'!X$10*Model!$J$2253*AVERAGE('Assumptions (Petroleum)'!$F$2:$H$2)/10^9,0)</f>
        <v>0.001449755257</v>
      </c>
      <c r="M2421" s="160">
        <f>IF($J$2253&gt;0,'Assumptions (Petroleum)'!Y$10*Model!$J$2253*AVERAGE('Assumptions (Petroleum)'!$F$2:$H$2)/10^9,0)</f>
        <v>0.001305627541</v>
      </c>
      <c r="N2421" s="160">
        <f>IF($J$2253&gt;0,'Assumptions (Petroleum)'!Z$10*Model!$J$2253*AVERAGE('Assumptions (Petroleum)'!$F$2:$H$2)/10^9,0)</f>
        <v>0.001175064787</v>
      </c>
      <c r="O2421" s="160">
        <f>IF($J$2253&gt;0,'Assumptions (Petroleum)'!AA$10*Model!$J$2253*AVERAGE('Assumptions (Petroleum)'!$F$2:$H$2)/10^9,0)</f>
        <v>0.001056371374</v>
      </c>
      <c r="P2421" s="160">
        <f>IF($J$2253&gt;0,'Assumptions (Petroleum)'!AB$10*Model!$J$2253*AVERAGE('Assumptions (Petroleum)'!$F$2:$H$2)/10^9,0)</f>
        <v>0.001000415908</v>
      </c>
      <c r="Q2421" s="160">
        <f>IF($J$2253&gt;0,'Assumptions (Petroleum)'!AC$10*Model!$J$2253*AVERAGE('Assumptions (Petroleum)'!$F$2:$H$2)/10^9,0)</f>
        <v>0.001000415908</v>
      </c>
      <c r="R2421" s="160">
        <f>IF($J$2253&gt;0,'Assumptions (Petroleum)'!AD$10*Model!$J$2253*AVERAGE('Assumptions (Petroleum)'!$F$2:$H$2)/10^9,0)</f>
        <v>0.001002111529</v>
      </c>
      <c r="S2421" s="160">
        <f>IF($J$2253&gt;0,'Assumptions (Petroleum)'!AE$10*Model!$J$2253*AVERAGE('Assumptions (Petroleum)'!$F$2:$H$2)/10^9,0)</f>
        <v>0.001000415908</v>
      </c>
      <c r="T2421" s="160">
        <f>IF($J$2253&gt;0,'Assumptions (Petroleum)'!AF$10*Model!$J$2253*AVERAGE('Assumptions (Petroleum)'!$F$2:$H$2)/10^9,0)</f>
        <v>0.001002111529</v>
      </c>
      <c r="U2421" s="160">
        <f>IF($J$2253&gt;0,'Assumptions (Petroleum)'!AG$10*Model!$J$2253*AVERAGE('Assumptions (Petroleum)'!$F$2:$H$2)/10^9,0)</f>
        <v>0.001000415908</v>
      </c>
      <c r="V2421" s="160">
        <f>IF($J$2253&gt;0,'Assumptions (Petroleum)'!AH$10*Model!$J$2253*AVERAGE('Assumptions (Petroleum)'!$F$2:$H$2)/10^9,0)</f>
        <v>0.001002111529</v>
      </c>
      <c r="W2421" s="160">
        <f>IF($J$2253&gt;0,'Assumptions (Petroleum)'!AI$10*Model!$J$2253*AVERAGE('Assumptions (Petroleum)'!$F$2:$H$2)/10^9,0)</f>
        <v>0.001000415908</v>
      </c>
      <c r="X2421" s="160">
        <f>IF($J$2253&gt;0,'Assumptions (Petroleum)'!AJ$10*Model!$J$2253*AVERAGE('Assumptions (Petroleum)'!$F$2:$H$2)/10^9,0)</f>
        <v>0.001002111529</v>
      </c>
      <c r="Y2421" s="160">
        <f>IF($J$2253&gt;0,'Assumptions (Petroleum)'!AK$10*Model!$J$2253*AVERAGE('Assumptions (Petroleum)'!$F$2:$H$2)/10^9,0)</f>
        <v>0.0005002079542</v>
      </c>
      <c r="Z2421" s="160"/>
      <c r="AA2421" s="160"/>
      <c r="AB2421" s="160"/>
      <c r="AC2421" s="160"/>
      <c r="AD2421" s="160"/>
      <c r="AE2421" s="160"/>
      <c r="AF2421" s="160"/>
      <c r="AG2421" s="160"/>
      <c r="AH2421" s="160"/>
    </row>
    <row r="2422" ht="15.75" hidden="1" customHeight="1" outlineLevel="1">
      <c r="A2422" s="328"/>
      <c r="B2422" s="38"/>
      <c r="C2422" s="160"/>
      <c r="D2422" s="160"/>
      <c r="E2422" s="160"/>
      <c r="F2422" s="160"/>
      <c r="G2422" s="160"/>
      <c r="H2422" s="160"/>
      <c r="I2422" s="160"/>
      <c r="J2422" s="160"/>
      <c r="K2422" s="160">
        <f>IF($K$2253&gt;0,'Assumptions (Petroleum)'!V$10*Model!$K$2253*AVERAGE('Assumptions (Petroleum)'!$G$2:$I$2)/10^9,0)</f>
        <v>0.0003764324971</v>
      </c>
      <c r="L2422" s="160">
        <f>IF($K$2253&gt;0,'Assumptions (Petroleum)'!W$10*Model!$K$2253*AVERAGE('Assumptions (Petroleum)'!$G$2:$I$2)/10^9,0)</f>
        <v>0.0007152217446</v>
      </c>
      <c r="M2422" s="160">
        <f>IF($K$2253&gt;0,'Assumptions (Petroleum)'!X$10*Model!$K$2253*AVERAGE('Assumptions (Petroleum)'!$G$2:$I$2)/10^9,0)</f>
        <v>0.0006436995701</v>
      </c>
      <c r="N2422" s="160">
        <f>IF($K$2253&gt;0,'Assumptions (Petroleum)'!Y$10*Model!$K$2253*AVERAGE('Assumptions (Petroleum)'!$G$2:$I$2)/10^9,0)</f>
        <v>0.0005797060456</v>
      </c>
      <c r="O2422" s="160">
        <f>IF($K$2253&gt;0,'Assumptions (Petroleum)'!Z$10*Model!$K$2253*AVERAGE('Assumptions (Petroleum)'!$G$2:$I$2)/10^9,0)</f>
        <v>0.000521735441</v>
      </c>
      <c r="P2422" s="160">
        <f>IF($K$2253&gt;0,'Assumptions (Petroleum)'!AA$10*Model!$K$2253*AVERAGE('Assumptions (Petroleum)'!$G$2:$I$2)/10^9,0)</f>
        <v>0.0004690348914</v>
      </c>
      <c r="Q2422" s="160">
        <f>IF($K$2253&gt;0,'Assumptions (Petroleum)'!AB$10*Model!$K$2253*AVERAGE('Assumptions (Petroleum)'!$G$2:$I$2)/10^9,0)</f>
        <v>0.0004441903466</v>
      </c>
      <c r="R2422" s="160">
        <f>IF($K$2253&gt;0,'Assumptions (Petroleum)'!AC$10*Model!$K$2253*AVERAGE('Assumptions (Petroleum)'!$G$2:$I$2)/10^9,0)</f>
        <v>0.0004441903466</v>
      </c>
      <c r="S2422" s="160">
        <f>IF($K$2253&gt;0,'Assumptions (Petroleum)'!AD$10*Model!$K$2253*AVERAGE('Assumptions (Petroleum)'!$G$2:$I$2)/10^9,0)</f>
        <v>0.0004449432116</v>
      </c>
      <c r="T2422" s="160">
        <f>IF($K$2253&gt;0,'Assumptions (Petroleum)'!AE$10*Model!$K$2253*AVERAGE('Assumptions (Petroleum)'!$G$2:$I$2)/10^9,0)</f>
        <v>0.0004441903466</v>
      </c>
      <c r="U2422" s="160">
        <f>IF($K$2253&gt;0,'Assumptions (Petroleum)'!AF$10*Model!$K$2253*AVERAGE('Assumptions (Petroleum)'!$G$2:$I$2)/10^9,0)</f>
        <v>0.0004449432116</v>
      </c>
      <c r="V2422" s="160">
        <f>IF($K$2253&gt;0,'Assumptions (Petroleum)'!AG$10*Model!$K$2253*AVERAGE('Assumptions (Petroleum)'!$G$2:$I$2)/10^9,0)</f>
        <v>0.0004441903466</v>
      </c>
      <c r="W2422" s="160">
        <f>IF($K$2253&gt;0,'Assumptions (Petroleum)'!AH$10*Model!$K$2253*AVERAGE('Assumptions (Petroleum)'!$G$2:$I$2)/10^9,0)</f>
        <v>0.0004449432116</v>
      </c>
      <c r="X2422" s="160">
        <f>IF($K$2253&gt;0,'Assumptions (Petroleum)'!AI$10*Model!$K$2253*AVERAGE('Assumptions (Petroleum)'!$G$2:$I$2)/10^9,0)</f>
        <v>0.0004441903466</v>
      </c>
      <c r="Y2422" s="160">
        <f>IF($K$2253&gt;0,'Assumptions (Petroleum)'!AJ$10*Model!$K$2253*AVERAGE('Assumptions (Petroleum)'!$G$2:$I$2)/10^9,0)</f>
        <v>0.0004449432116</v>
      </c>
      <c r="Z2422" s="160">
        <f>IF($K$2253&gt;0,'Assumptions (Petroleum)'!AK$10*Model!$K$2253*AVERAGE('Assumptions (Petroleum)'!$G$2:$I$2)/10^9,0)</f>
        <v>0.0002220951733</v>
      </c>
      <c r="AA2422" s="160"/>
      <c r="AB2422" s="160"/>
      <c r="AC2422" s="160"/>
      <c r="AD2422" s="160"/>
      <c r="AE2422" s="160"/>
      <c r="AF2422" s="160"/>
      <c r="AG2422" s="160"/>
      <c r="AH2422" s="160"/>
      <c r="AI2422" s="160"/>
    </row>
    <row r="2423" ht="15.75" hidden="1" customHeight="1" outlineLevel="1">
      <c r="A2423" s="328"/>
      <c r="B2423" s="38"/>
      <c r="C2423" s="160"/>
      <c r="D2423" s="160"/>
      <c r="E2423" s="160"/>
      <c r="F2423" s="160"/>
      <c r="G2423" s="160"/>
      <c r="H2423" s="160"/>
      <c r="I2423" s="160"/>
      <c r="J2423" s="160"/>
      <c r="K2423" s="160"/>
      <c r="L2423" s="160">
        <f>IF($L$2253&gt;0,'Assumptions (Petroleum)'!V$10*Model!$L$2253*AVERAGE('Assumptions (Petroleum)'!$H$2:$J$2)/10^9,0)</f>
        <v>0.00004941561732</v>
      </c>
      <c r="M2423" s="160">
        <f>IF($L$2253&gt;0,'Assumptions (Petroleum)'!W$10*Model!$L$2253*AVERAGE('Assumptions (Petroleum)'!$H$2:$J$2)/10^9,0)</f>
        <v>0.00009388967292</v>
      </c>
      <c r="N2423" s="160">
        <f>IF($L$2253&gt;0,'Assumptions (Petroleum)'!X$10*Model!$L$2253*AVERAGE('Assumptions (Petroleum)'!$H$2:$J$2)/10^9,0)</f>
        <v>0.00008450070562</v>
      </c>
      <c r="O2423" s="160">
        <f>IF($L$2253&gt;0,'Assumptions (Petroleum)'!Y$10*Model!$L$2253*AVERAGE('Assumptions (Petroleum)'!$H$2:$J$2)/10^9,0)</f>
        <v>0.00007610005068</v>
      </c>
      <c r="P2423" s="160">
        <f>IF($L$2253&gt;0,'Assumptions (Petroleum)'!Z$10*Model!$L$2253*AVERAGE('Assumptions (Petroleum)'!$H$2:$J$2)/10^9,0)</f>
        <v>0.00006849004561</v>
      </c>
      <c r="Q2423" s="160">
        <f>IF($L$2253&gt;0,'Assumptions (Petroleum)'!AA$10*Model!$L$2253*AVERAGE('Assumptions (Petroleum)'!$H$2:$J$2)/10^9,0)</f>
        <v>0.00006157185919</v>
      </c>
      <c r="R2423" s="160">
        <f>IF($L$2253&gt;0,'Assumptions (Petroleum)'!AB$10*Model!$L$2253*AVERAGE('Assumptions (Petroleum)'!$H$2:$J$2)/10^9,0)</f>
        <v>0.00005831042844</v>
      </c>
      <c r="S2423" s="160">
        <f>IF($L$2253&gt;0,'Assumptions (Petroleum)'!AC$10*Model!$L$2253*AVERAGE('Assumptions (Petroleum)'!$H$2:$J$2)/10^9,0)</f>
        <v>0.00005831042844</v>
      </c>
      <c r="T2423" s="160">
        <f>IF($L$2253&gt;0,'Assumptions (Petroleum)'!AD$10*Model!$L$2253*AVERAGE('Assumptions (Petroleum)'!$H$2:$J$2)/10^9,0)</f>
        <v>0.00005840925968</v>
      </c>
      <c r="U2423" s="160">
        <f>IF($L$2253&gt;0,'Assumptions (Petroleum)'!AE$10*Model!$L$2253*AVERAGE('Assumptions (Petroleum)'!$H$2:$J$2)/10^9,0)</f>
        <v>0.00005831042844</v>
      </c>
      <c r="V2423" s="160">
        <f>IF($L$2253&gt;0,'Assumptions (Petroleum)'!AF$10*Model!$L$2253*AVERAGE('Assumptions (Petroleum)'!$H$2:$J$2)/10^9,0)</f>
        <v>0.00005840925968</v>
      </c>
      <c r="W2423" s="160">
        <f>IF($L$2253&gt;0,'Assumptions (Petroleum)'!AG$10*Model!$L$2253*AVERAGE('Assumptions (Petroleum)'!$H$2:$J$2)/10^9,0)</f>
        <v>0.00005831042844</v>
      </c>
      <c r="X2423" s="160">
        <f>IF($L$2253&gt;0,'Assumptions (Petroleum)'!AH$10*Model!$L$2253*AVERAGE('Assumptions (Petroleum)'!$H$2:$J$2)/10^9,0)</f>
        <v>0.00005840925968</v>
      </c>
      <c r="Y2423" s="160">
        <f>IF($L$2253&gt;0,'Assumptions (Petroleum)'!AI$10*Model!$L$2253*AVERAGE('Assumptions (Petroleum)'!$H$2:$J$2)/10^9,0)</f>
        <v>0.00005831042844</v>
      </c>
      <c r="Z2423" s="160">
        <f>IF($L$2253&gt;0,'Assumptions (Petroleum)'!AJ$10*Model!$L$2253*AVERAGE('Assumptions (Petroleum)'!$H$2:$J$2)/10^9,0)</f>
        <v>0.00005840925968</v>
      </c>
      <c r="AA2423" s="160">
        <f>IF($L$2253&gt;0,'Assumptions (Petroleum)'!AK$10*Model!$L$2253*AVERAGE('Assumptions (Petroleum)'!$H$2:$J$2)/10^9,0)</f>
        <v>0.00002915521422</v>
      </c>
      <c r="AB2423" s="160"/>
      <c r="AC2423" s="160"/>
      <c r="AD2423" s="160"/>
      <c r="AE2423" s="160"/>
      <c r="AF2423" s="160"/>
      <c r="AG2423" s="160"/>
      <c r="AH2423" s="160"/>
      <c r="AI2423" s="160"/>
      <c r="AJ2423" s="160"/>
    </row>
    <row r="2424" ht="15.75" hidden="1" customHeight="1" outlineLevel="1">
      <c r="A2424" s="328"/>
      <c r="B2424" s="38"/>
      <c r="C2424" s="160"/>
      <c r="D2424" s="160"/>
      <c r="E2424" s="160"/>
      <c r="F2424" s="160"/>
      <c r="G2424" s="160"/>
      <c r="H2424" s="160"/>
      <c r="I2424" s="160"/>
      <c r="J2424" s="160"/>
      <c r="K2424" s="160"/>
      <c r="L2424" s="160"/>
      <c r="M2424" s="160">
        <f>IF($M$2253&gt;0,'Assumptions (Petroleum)'!V$10*Model!$M$2253*AVERAGE('Assumptions (Petroleum)'!$I$2:$K$2)/10^9,0)</f>
        <v>0</v>
      </c>
      <c r="N2424" s="160">
        <f>IF($M$2253&gt;0,'Assumptions (Petroleum)'!W$10*Model!$M$2253*AVERAGE('Assumptions (Petroleum)'!$I$2:$K$2)/10^9,0)</f>
        <v>0</v>
      </c>
      <c r="O2424" s="160">
        <f>IF($M$2253&gt;0,'Assumptions (Petroleum)'!X$10*Model!$M$2253*AVERAGE('Assumptions (Petroleum)'!$I$2:$K$2)/10^9,0)</f>
        <v>0</v>
      </c>
      <c r="P2424" s="160">
        <f>IF($M$2253&gt;0,'Assumptions (Petroleum)'!Y$10*Model!$M$2253*AVERAGE('Assumptions (Petroleum)'!$I$2:$K$2)/10^9,0)</f>
        <v>0</v>
      </c>
      <c r="Q2424" s="160">
        <f>IF($M$2253&gt;0,'Assumptions (Petroleum)'!Z$10*Model!$M$2253*AVERAGE('Assumptions (Petroleum)'!$I$2:$K$2)/10^9,0)</f>
        <v>0</v>
      </c>
      <c r="R2424" s="160">
        <f>IF($M$2253&gt;0,'Assumptions (Petroleum)'!AA$10*Model!$M$2253*AVERAGE('Assumptions (Petroleum)'!$I$2:$K$2)/10^9,0)</f>
        <v>0</v>
      </c>
      <c r="S2424" s="160">
        <f>IF($M$2253&gt;0,'Assumptions (Petroleum)'!AB$10*Model!$M$2253*AVERAGE('Assumptions (Petroleum)'!$I$2:$K$2)/10^9,0)</f>
        <v>0</v>
      </c>
      <c r="T2424" s="160">
        <f>IF($M$2253&gt;0,'Assumptions (Petroleum)'!AC$10*Model!$M$2253*AVERAGE('Assumptions (Petroleum)'!$I$2:$K$2)/10^9,0)</f>
        <v>0</v>
      </c>
      <c r="U2424" s="160">
        <f>IF($M$2253&gt;0,'Assumptions (Petroleum)'!AD$10*Model!$M$2253*AVERAGE('Assumptions (Petroleum)'!$I$2:$K$2)/10^9,0)</f>
        <v>0</v>
      </c>
      <c r="V2424" s="160">
        <f>IF($M$2253&gt;0,'Assumptions (Petroleum)'!AE$10*Model!$M$2253*AVERAGE('Assumptions (Petroleum)'!$I$2:$K$2)/10^9,0)</f>
        <v>0</v>
      </c>
      <c r="W2424" s="160">
        <f>IF($M$2253&gt;0,'Assumptions (Petroleum)'!AF$10*Model!$M$2253*AVERAGE('Assumptions (Petroleum)'!$I$2:$K$2)/10^9,0)</f>
        <v>0</v>
      </c>
      <c r="X2424" s="160">
        <f>IF($M$2253&gt;0,'Assumptions (Petroleum)'!AG$10*Model!$M$2253*AVERAGE('Assumptions (Petroleum)'!$I$2:$K$2)/10^9,0)</f>
        <v>0</v>
      </c>
      <c r="Y2424" s="160">
        <f>IF($M$2253&gt;0,'Assumptions (Petroleum)'!AH$10*Model!$M$2253*AVERAGE('Assumptions (Petroleum)'!$I$2:$K$2)/10^9,0)</f>
        <v>0</v>
      </c>
      <c r="Z2424" s="160">
        <f>IF($M$2253&gt;0,'Assumptions (Petroleum)'!AI$10*Model!$M$2253*AVERAGE('Assumptions (Petroleum)'!$I$2:$K$2)/10^9,0)</f>
        <v>0</v>
      </c>
      <c r="AA2424" s="160">
        <f>IF($M$2253&gt;0,'Assumptions (Petroleum)'!AJ$10*Model!$M$2253*AVERAGE('Assumptions (Petroleum)'!$I$2:$K$2)/10^9,0)</f>
        <v>0</v>
      </c>
      <c r="AB2424" s="160">
        <f>IF($M$2253&gt;0,'Assumptions (Petroleum)'!AK$10*Model!$M$2253*AVERAGE('Assumptions (Petroleum)'!$I$2:$K$2)/10^9,0)</f>
        <v>0</v>
      </c>
      <c r="AC2424" s="160"/>
      <c r="AD2424" s="160"/>
      <c r="AE2424" s="160"/>
      <c r="AF2424" s="160"/>
      <c r="AG2424" s="160"/>
      <c r="AH2424" s="160"/>
      <c r="AI2424" s="160"/>
      <c r="AJ2424" s="160"/>
      <c r="AK2424" s="160"/>
    </row>
    <row r="2425" ht="15.75" hidden="1" customHeight="1" outlineLevel="1">
      <c r="A2425" s="328"/>
      <c r="B2425" s="38"/>
      <c r="C2425" s="160"/>
      <c r="D2425" s="160"/>
      <c r="E2425" s="160"/>
      <c r="F2425" s="160"/>
      <c r="G2425" s="160"/>
      <c r="H2425" s="160"/>
      <c r="I2425" s="160"/>
      <c r="J2425" s="160"/>
      <c r="K2425" s="160"/>
      <c r="L2425" s="160"/>
      <c r="M2425" s="160"/>
      <c r="N2425" s="160">
        <f>IF($N$2253&gt;0,'Assumptions (Petroleum)'!V$10*Model!$N$2253*AVERAGE('Assumptions (Petroleum)'!$J$2:$L$2)/10^9,0)</f>
        <v>0.0004151647267</v>
      </c>
      <c r="O2425" s="160">
        <f>IF($N$2253&gt;0,'Assumptions (Petroleum)'!W$10*Model!$N$2253*AVERAGE('Assumptions (Petroleum)'!$J$2:$L$2)/10^9,0)</f>
        <v>0.0007888129807</v>
      </c>
      <c r="P2425" s="160">
        <f>IF($N$2253&gt;0,'Assumptions (Petroleum)'!X$10*Model!$N$2253*AVERAGE('Assumptions (Petroleum)'!$J$2:$L$2)/10^9,0)</f>
        <v>0.0007099316826</v>
      </c>
      <c r="Q2425" s="160">
        <f>IF($N$2253&gt;0,'Assumptions (Petroleum)'!Y$10*Model!$N$2253*AVERAGE('Assumptions (Petroleum)'!$J$2:$L$2)/10^9,0)</f>
        <v>0.0006393536791</v>
      </c>
      <c r="R2425" s="160">
        <f>IF($N$2253&gt;0,'Assumptions (Petroleum)'!Z$10*Model!$N$2253*AVERAGE('Assumptions (Petroleum)'!$J$2:$L$2)/10^9,0)</f>
        <v>0.0005754183112</v>
      </c>
      <c r="S2425" s="160">
        <f>IF($N$2253&gt;0,'Assumptions (Petroleum)'!AA$10*Model!$N$2253*AVERAGE('Assumptions (Petroleum)'!$J$2:$L$2)/10^9,0)</f>
        <v>0.0005172952494</v>
      </c>
      <c r="T2425" s="160">
        <f>IF($N$2253&gt;0,'Assumptions (Petroleum)'!AB$10*Model!$N$2253*AVERAGE('Assumptions (Petroleum)'!$J$2:$L$2)/10^9,0)</f>
        <v>0.0004898943775</v>
      </c>
      <c r="U2425" s="160">
        <f>IF($N$2253&gt;0,'Assumptions (Petroleum)'!AC$10*Model!$N$2253*AVERAGE('Assumptions (Petroleum)'!$J$2:$L$2)/10^9,0)</f>
        <v>0.0004898943775</v>
      </c>
      <c r="V2425" s="160">
        <f>IF($N$2253&gt;0,'Assumptions (Petroleum)'!AD$10*Model!$N$2253*AVERAGE('Assumptions (Petroleum)'!$J$2:$L$2)/10^9,0)</f>
        <v>0.0004907247069</v>
      </c>
      <c r="W2425" s="160">
        <f>IF($N$2253&gt;0,'Assumptions (Petroleum)'!AE$10*Model!$N$2253*AVERAGE('Assumptions (Petroleum)'!$J$2:$L$2)/10^9,0)</f>
        <v>0.0004898943775</v>
      </c>
      <c r="X2425" s="160">
        <f>IF($N$2253&gt;0,'Assumptions (Petroleum)'!AF$10*Model!$N$2253*AVERAGE('Assumptions (Petroleum)'!$J$2:$L$2)/10^9,0)</f>
        <v>0.0004907247069</v>
      </c>
      <c r="Y2425" s="160">
        <f>IF($N$2253&gt;0,'Assumptions (Petroleum)'!AG$10*Model!$N$2253*AVERAGE('Assumptions (Petroleum)'!$J$2:$L$2)/10^9,0)</f>
        <v>0.0004898943775</v>
      </c>
      <c r="Z2425" s="160">
        <f>IF($N$2253&gt;0,'Assumptions (Petroleum)'!AH$10*Model!$N$2253*AVERAGE('Assumptions (Petroleum)'!$J$2:$L$2)/10^9,0)</f>
        <v>0.0004907247069</v>
      </c>
      <c r="AA2425" s="160">
        <f>IF($N$2253&gt;0,'Assumptions (Petroleum)'!AI$10*Model!$N$2253*AVERAGE('Assumptions (Petroleum)'!$J$2:$L$2)/10^9,0)</f>
        <v>0.0004898943775</v>
      </c>
      <c r="AB2425" s="160">
        <f>IF($N$2253&gt;0,'Assumptions (Petroleum)'!AJ$10*Model!$N$2253*AVERAGE('Assumptions (Petroleum)'!$J$2:$L$2)/10^9,0)</f>
        <v>0.0004907247069</v>
      </c>
      <c r="AC2425" s="160">
        <f>IF($N$2253&gt;0,'Assumptions (Petroleum)'!AK$10*Model!$N$2253*AVERAGE('Assumptions (Petroleum)'!$J$2:$L$2)/10^9,0)</f>
        <v>0.0002449471887</v>
      </c>
      <c r="AD2425" s="160"/>
      <c r="AE2425" s="160"/>
      <c r="AF2425" s="160"/>
      <c r="AG2425" s="160"/>
      <c r="AH2425" s="160"/>
      <c r="AI2425" s="160"/>
      <c r="AJ2425" s="160"/>
      <c r="AK2425" s="160"/>
    </row>
    <row r="2426" ht="15.75" hidden="1" customHeight="1" outlineLevel="1">
      <c r="A2426" s="328"/>
      <c r="B2426" s="38"/>
      <c r="C2426" s="160"/>
      <c r="D2426" s="160"/>
      <c r="E2426" s="160"/>
      <c r="F2426" s="160"/>
      <c r="G2426" s="160"/>
      <c r="H2426" s="160"/>
      <c r="I2426" s="160"/>
      <c r="J2426" s="160"/>
      <c r="K2426" s="160"/>
      <c r="L2426" s="160"/>
      <c r="M2426" s="160"/>
      <c r="N2426" s="160"/>
      <c r="O2426" s="160">
        <f>IF($O$2253&gt;0,'Assumptions (Petroleum)'!V$10*Model!$O$2253*AVERAGE('Assumptions (Petroleum)'!$K$2:$M$2)/10^9,0)</f>
        <v>0.0001451739814</v>
      </c>
      <c r="P2426" s="160">
        <f>IF($O$2253&gt;0,'Assumptions (Petroleum)'!W$10*Model!$O$2253*AVERAGE('Assumptions (Petroleum)'!$K$2:$M$2)/10^9,0)</f>
        <v>0.0002758305646</v>
      </c>
      <c r="Q2426" s="160">
        <f>IF($O$2253&gt;0,'Assumptions (Petroleum)'!X$10*Model!$O$2253*AVERAGE('Assumptions (Petroleum)'!$K$2:$M$2)/10^9,0)</f>
        <v>0.0002482475081</v>
      </c>
      <c r="R2426" s="160">
        <f>IF($O$2253&gt;0,'Assumptions (Petroleum)'!Y$10*Model!$O$2253*AVERAGE('Assumptions (Petroleum)'!$K$2:$M$2)/10^9,0)</f>
        <v>0.0002235679313</v>
      </c>
      <c r="S2426" s="160">
        <f>IF($O$2253&gt;0,'Assumptions (Petroleum)'!Z$10*Model!$O$2253*AVERAGE('Assumptions (Petroleum)'!$K$2:$M$2)/10^9,0)</f>
        <v>0.0002012111382</v>
      </c>
      <c r="T2426" s="160">
        <f>IF($O$2253&gt;0,'Assumptions (Petroleum)'!AA$10*Model!$O$2253*AVERAGE('Assumptions (Petroleum)'!$K$2:$M$2)/10^9,0)</f>
        <v>0.0001808867808</v>
      </c>
      <c r="U2426" s="160">
        <f>IF($O$2253&gt;0,'Assumptions (Petroleum)'!AB$10*Model!$O$2253*AVERAGE('Assumptions (Petroleum)'!$K$2:$M$2)/10^9,0)</f>
        <v>0.000171305298</v>
      </c>
      <c r="V2426" s="160">
        <f>IF($O$2253&gt;0,'Assumptions (Petroleum)'!AC$10*Model!$O$2253*AVERAGE('Assumptions (Petroleum)'!$K$2:$M$2)/10^9,0)</f>
        <v>0.000171305298</v>
      </c>
      <c r="W2426" s="160">
        <f>IF($O$2253&gt;0,'Assumptions (Petroleum)'!AD$10*Model!$O$2253*AVERAGE('Assumptions (Petroleum)'!$K$2:$M$2)/10^9,0)</f>
        <v>0.000171595646</v>
      </c>
      <c r="X2426" s="160">
        <f>IF($O$2253&gt;0,'Assumptions (Petroleum)'!AE$10*Model!$O$2253*AVERAGE('Assumptions (Petroleum)'!$K$2:$M$2)/10^9,0)</f>
        <v>0.000171305298</v>
      </c>
      <c r="Y2426" s="160">
        <f>IF($O$2253&gt;0,'Assumptions (Petroleum)'!AF$10*Model!$O$2253*AVERAGE('Assumptions (Petroleum)'!$K$2:$M$2)/10^9,0)</f>
        <v>0.000171595646</v>
      </c>
      <c r="Z2426" s="160">
        <f>IF($O$2253&gt;0,'Assumptions (Petroleum)'!AG$10*Model!$O$2253*AVERAGE('Assumptions (Petroleum)'!$K$2:$M$2)/10^9,0)</f>
        <v>0.000171305298</v>
      </c>
      <c r="AA2426" s="160">
        <f>IF($O$2253&gt;0,'Assumptions (Petroleum)'!AH$10*Model!$O$2253*AVERAGE('Assumptions (Petroleum)'!$K$2:$M$2)/10^9,0)</f>
        <v>0.000171595646</v>
      </c>
      <c r="AB2426" s="160">
        <f>IF($O$2253&gt;0,'Assumptions (Petroleum)'!AI$10*Model!$O$2253*AVERAGE('Assumptions (Petroleum)'!$K$2:$M$2)/10^9,0)</f>
        <v>0.000171305298</v>
      </c>
      <c r="AC2426" s="160">
        <f>IF($O$2253&gt;0,'Assumptions (Petroleum)'!AJ$10*Model!$O$2253*AVERAGE('Assumptions (Petroleum)'!$K$2:$M$2)/10^9,0)</f>
        <v>0.000171595646</v>
      </c>
      <c r="AD2426" s="160">
        <f>IF($O$2253&gt;0,'Assumptions (Petroleum)'!AK$10*Model!$O$2253*AVERAGE('Assumptions (Petroleum)'!$K$2:$M$2)/10^9,0)</f>
        <v>0.000085652649</v>
      </c>
      <c r="AE2426" s="160"/>
      <c r="AF2426" s="160"/>
      <c r="AG2426" s="160"/>
      <c r="AH2426" s="160"/>
      <c r="AI2426" s="160"/>
      <c r="AJ2426" s="160"/>
      <c r="AK2426" s="160"/>
    </row>
    <row r="2427" ht="15.75" hidden="1" customHeight="1" outlineLevel="1">
      <c r="A2427" s="328"/>
      <c r="B2427" s="38"/>
      <c r="C2427" s="160"/>
      <c r="D2427" s="160"/>
      <c r="E2427" s="160"/>
      <c r="F2427" s="160"/>
      <c r="G2427" s="160"/>
      <c r="H2427" s="177"/>
      <c r="I2427" s="160"/>
      <c r="J2427" s="160"/>
      <c r="K2427" s="160"/>
      <c r="L2427" s="160"/>
      <c r="M2427" s="160"/>
      <c r="N2427" s="160"/>
      <c r="O2427" s="160"/>
      <c r="P2427" s="177">
        <f>IF($P$2253&gt;0,'Assumptions (Petroleum)'!V$10*Model!$P$2253*AVERAGE('Assumptions (Petroleum)'!$L$2:$N$2)/10^9,0)</f>
        <v>0.0008184544249</v>
      </c>
      <c r="Q2427" s="177">
        <f>IF($P$2253&gt;0,'Assumptions (Petroleum)'!W$10*Model!$P$2253*AVERAGE('Assumptions (Petroleum)'!$L$2:$N$2)/10^9,0)</f>
        <v>0.001555063407</v>
      </c>
      <c r="R2427" s="177">
        <f>IF($P$2253&gt;0,'Assumptions (Petroleum)'!X$10*Model!$P$2253*AVERAGE('Assumptions (Petroleum)'!$L$2:$N$2)/10^9,0)</f>
        <v>0.001399557067</v>
      </c>
      <c r="S2427" s="177">
        <f>IF($P$2253&gt;0,'Assumptions (Petroleum)'!Y$10*Model!$P$2253*AVERAGE('Assumptions (Petroleum)'!$L$2:$N$2)/10^9,0)</f>
        <v>0.001260419814</v>
      </c>
      <c r="T2427" s="177">
        <f>IF($P$2253&gt;0,'Assumptions (Petroleum)'!Z$10*Model!$P$2253*AVERAGE('Assumptions (Petroleum)'!$L$2:$N$2)/10^9,0)</f>
        <v>0.001134377833</v>
      </c>
      <c r="U2427" s="177">
        <f>IF($P$2253&gt;0,'Assumptions (Petroleum)'!AA$10*Model!$P$2253*AVERAGE('Assumptions (Petroleum)'!$L$2:$N$2)/10^9,0)</f>
        <v>0.001019794213</v>
      </c>
      <c r="V2427" s="177">
        <f>IF($P$2253&gt;0,'Assumptions (Petroleum)'!AB$10*Model!$P$2253*AVERAGE('Assumptions (Petroleum)'!$L$2:$N$2)/10^9,0)</f>
        <v>0.0009657762213</v>
      </c>
      <c r="W2427" s="177">
        <f>IF($P$2253&gt;0,'Assumptions (Petroleum)'!AC$10*Model!$P$2253*AVERAGE('Assumptions (Petroleum)'!$L$2:$N$2)/10^9,0)</f>
        <v>0.0009657762213</v>
      </c>
      <c r="X2427" s="177">
        <f>IF($P$2253&gt;0,'Assumptions (Petroleum)'!AD$10*Model!$P$2253*AVERAGE('Assumptions (Petroleum)'!$L$2:$N$2)/10^9,0)</f>
        <v>0.0009674131302</v>
      </c>
      <c r="Y2427" s="177">
        <f>IF($P$2253&gt;0,'Assumptions (Petroleum)'!AE$10*Model!$P$2253*AVERAGE('Assumptions (Petroleum)'!$L$2:$N$2)/10^9,0)</f>
        <v>0.0009657762213</v>
      </c>
      <c r="Z2427" s="177">
        <f>IF($P$2253&gt;0,'Assumptions (Petroleum)'!AF$10*Model!$P$2253*AVERAGE('Assumptions (Petroleum)'!$L$2:$N$2)/10^9,0)</f>
        <v>0.0009674131302</v>
      </c>
      <c r="AA2427" s="177">
        <f>IF($P$2253&gt;0,'Assumptions (Petroleum)'!AG$10*Model!$P$2253*AVERAGE('Assumptions (Petroleum)'!$L$2:$N$2)/10^9,0)</f>
        <v>0.0009657762213</v>
      </c>
      <c r="AB2427" s="177">
        <f>IF($P$2253&gt;0,'Assumptions (Petroleum)'!AH$10*Model!$P$2253*AVERAGE('Assumptions (Petroleum)'!$L$2:$N$2)/10^9,0)</f>
        <v>0.0009674131302</v>
      </c>
      <c r="AC2427" s="177">
        <f>IF($P$2253&gt;0,'Assumptions (Petroleum)'!AI$10*Model!$P$2253*AVERAGE('Assumptions (Petroleum)'!$L$2:$N$2)/10^9,0)</f>
        <v>0.0009657762213</v>
      </c>
      <c r="AD2427" s="177">
        <f>IF($P$2253&gt;0,'Assumptions (Petroleum)'!AJ$10*Model!$P$2253*AVERAGE('Assumptions (Petroleum)'!$L$2:$N$2)/10^9,0)</f>
        <v>0.0009674131302</v>
      </c>
      <c r="AE2427" s="177">
        <f>IF($P$2253&gt;0,'Assumptions (Petroleum)'!AK$10*Model!$P$2253*AVERAGE('Assumptions (Petroleum)'!$L$2:$N$2)/10^9,0)</f>
        <v>0.0004828881107</v>
      </c>
      <c r="AF2427" s="177"/>
      <c r="AG2427" s="177"/>
      <c r="AH2427" s="177"/>
      <c r="AI2427" s="177"/>
      <c r="AJ2427" s="177"/>
      <c r="AK2427" s="177"/>
    </row>
    <row r="2428" ht="15.75" hidden="1" customHeight="1" outlineLevel="1">
      <c r="A2428" s="328"/>
      <c r="B2428" s="38"/>
      <c r="C2428" s="160"/>
      <c r="D2428" s="160"/>
      <c r="E2428" s="160"/>
      <c r="F2428" s="160"/>
      <c r="G2428" s="160"/>
      <c r="H2428" s="160"/>
      <c r="I2428" s="160"/>
      <c r="J2428" s="160"/>
      <c r="K2428" s="160"/>
      <c r="L2428" s="160"/>
      <c r="M2428" s="160"/>
      <c r="N2428" s="160"/>
      <c r="O2428" s="160"/>
      <c r="P2428" s="179"/>
      <c r="Q2428" s="160">
        <f>IF($Q$2253&gt;0,'Assumptions (Petroleum)'!V$10*Model!$Q$2253*AVERAGE('Assumptions (Petroleum)'!$L$2:$O$2)/10^9,0)</f>
        <v>0.00004984818951</v>
      </c>
      <c r="R2428" s="160">
        <f>IF($Q$2253&gt;0,'Assumptions (Petroleum)'!W$10*Model!$Q$2253*AVERAGE('Assumptions (Petroleum)'!$L$2:$O$2)/10^9,0)</f>
        <v>0.00009471156008</v>
      </c>
      <c r="S2428" s="160">
        <f>IF($Q$2253&gt;0,'Assumptions (Petroleum)'!X$10*Model!$Q$2253*AVERAGE('Assumptions (Petroleum)'!$L$2:$O$2)/10^9,0)</f>
        <v>0.00008524040407</v>
      </c>
      <c r="T2428" s="160">
        <f>IF($Q$2253&gt;0,'Assumptions (Petroleum)'!Y$10*Model!$Q$2253*AVERAGE('Assumptions (Petroleum)'!$L$2:$O$2)/10^9,0)</f>
        <v>0.00007676621185</v>
      </c>
      <c r="U2428" s="160">
        <f>IF($Q$2253&gt;0,'Assumptions (Petroleum)'!Z$10*Model!$Q$2253*AVERAGE('Assumptions (Petroleum)'!$L$2:$O$2)/10^9,0)</f>
        <v>0.00006908959067</v>
      </c>
      <c r="V2428" s="160">
        <f>IF($Q$2253&gt;0,'Assumptions (Petroleum)'!AA$10*Model!$Q$2253*AVERAGE('Assumptions (Petroleum)'!$L$2:$O$2)/10^9,0)</f>
        <v>0.00006211084413</v>
      </c>
      <c r="W2428" s="160">
        <f>IF($Q$2253&gt;0,'Assumptions (Petroleum)'!AB$10*Model!$Q$2253*AVERAGE('Assumptions (Petroleum)'!$L$2:$O$2)/10^9,0)</f>
        <v>0.00005882086363</v>
      </c>
      <c r="X2428" s="160">
        <f>IF($Q$2253&gt;0,'Assumptions (Petroleum)'!AC$10*Model!$Q$2253*AVERAGE('Assumptions (Petroleum)'!$L$2:$O$2)/10^9,0)</f>
        <v>0.00005882086363</v>
      </c>
      <c r="Y2428" s="160">
        <f>IF($Q$2253&gt;0,'Assumptions (Petroleum)'!AD$10*Model!$Q$2253*AVERAGE('Assumptions (Petroleum)'!$L$2:$O$2)/10^9,0)</f>
        <v>0.00005892056001</v>
      </c>
      <c r="Z2428" s="160">
        <f>IF($Q$2253&gt;0,'Assumptions (Petroleum)'!AE$10*Model!$Q$2253*AVERAGE('Assumptions (Petroleum)'!$L$2:$O$2)/10^9,0)</f>
        <v>0.00005882086363</v>
      </c>
      <c r="AA2428" s="160">
        <f>IF($Q$2253&gt;0,'Assumptions (Petroleum)'!AF$10*Model!$Q$2253*AVERAGE('Assumptions (Petroleum)'!$L$2:$O$2)/10^9,0)</f>
        <v>0.00005892056001</v>
      </c>
      <c r="AB2428" s="160">
        <f>IF($Q$2253&gt;0,'Assumptions (Petroleum)'!AG$10*Model!$Q$2253*AVERAGE('Assumptions (Petroleum)'!$L$2:$O$2)/10^9,0)</f>
        <v>0.00005882086363</v>
      </c>
      <c r="AC2428" s="160">
        <f>IF($Q$2253&gt;0,'Assumptions (Petroleum)'!AH$10*Model!$Q$2253*AVERAGE('Assumptions (Petroleum)'!$L$2:$O$2)/10^9,0)</f>
        <v>0.00005892056001</v>
      </c>
      <c r="AD2428" s="160">
        <f>IF($Q$2253&gt;0,'Assumptions (Petroleum)'!AI$10*Model!$Q$2253*AVERAGE('Assumptions (Petroleum)'!$L$2:$O$2)/10^9,0)</f>
        <v>0.00005882086363</v>
      </c>
      <c r="AE2428" s="160">
        <f>IF($Q$2253&gt;0,'Assumptions (Petroleum)'!AJ$10*Model!$Q$2253*AVERAGE('Assumptions (Petroleum)'!$L$2:$O$2)/10^9,0)</f>
        <v>0.00005892056001</v>
      </c>
      <c r="AF2428" s="160">
        <f>IF($Q$2253&gt;0,'Assumptions (Petroleum)'!AK$10*Model!$Q$2253*AVERAGE('Assumptions (Petroleum)'!$L$2:$O$2)/10^9,0)</f>
        <v>0.00002941043181</v>
      </c>
      <c r="AG2428" s="160"/>
      <c r="AH2428" s="160"/>
      <c r="AI2428" s="160"/>
      <c r="AJ2428" s="160"/>
      <c r="AK2428" s="160"/>
    </row>
    <row r="2429" ht="15.75" hidden="1" customHeight="1" outlineLevel="1">
      <c r="A2429" s="328"/>
      <c r="B2429" s="38"/>
      <c r="C2429" s="160"/>
      <c r="D2429" s="160"/>
      <c r="E2429" s="160"/>
      <c r="F2429" s="160"/>
      <c r="G2429" s="160"/>
      <c r="H2429" s="160"/>
      <c r="I2429" s="160"/>
      <c r="J2429" s="160"/>
      <c r="K2429" s="160"/>
      <c r="L2429" s="160"/>
      <c r="M2429" s="160"/>
      <c r="N2429" s="160"/>
      <c r="O2429" s="160"/>
      <c r="P2429" s="179"/>
      <c r="Q2429" s="160"/>
      <c r="R2429" s="177">
        <f>IF($R$2253&gt;0,'Assumptions (Petroleum)'!V$10*Model!$R$2253*AVERAGE('Assumptions (Petroleum)'!$M$2:$P$2)/10^9,0)</f>
        <v>0.00002965659738</v>
      </c>
      <c r="S2429" s="177">
        <f>IF($R$2253&gt;0,'Assumptions (Petroleum)'!W$10*Model!$R$2253*AVERAGE('Assumptions (Petroleum)'!$M$2:$P$2)/10^9,0)</f>
        <v>0.00005634753503</v>
      </c>
      <c r="T2429" s="177">
        <f>IF($R$2253&gt;0,'Assumptions (Petroleum)'!X$10*Model!$R$2253*AVERAGE('Assumptions (Petroleum)'!$M$2:$P$2)/10^9,0)</f>
        <v>0.00005071278153</v>
      </c>
      <c r="U2429" s="177">
        <f>IF($R$2253&gt;0,'Assumptions (Petroleum)'!Y$10*Model!$R$2253*AVERAGE('Assumptions (Petroleum)'!$M$2:$P$2)/10^9,0)</f>
        <v>0.00004567115997</v>
      </c>
      <c r="V2429" s="177">
        <f>IF($R$2253&gt;0,'Assumptions (Petroleum)'!Z$10*Model!$R$2253*AVERAGE('Assumptions (Petroleum)'!$M$2:$P$2)/10^9,0)</f>
        <v>0.00004110404397</v>
      </c>
      <c r="W2429" s="177">
        <f>IF($R$2253&gt;0,'Assumptions (Petroleum)'!AA$10*Model!$R$2253*AVERAGE('Assumptions (Petroleum)'!$M$2:$P$2)/10^9,0)</f>
        <v>0.00003695212034</v>
      </c>
      <c r="X2429" s="177">
        <f>IF($R$2253&gt;0,'Assumptions (Petroleum)'!AB$10*Model!$R$2253*AVERAGE('Assumptions (Petroleum)'!$M$2:$P$2)/10^9,0)</f>
        <v>0.00003499478491</v>
      </c>
      <c r="Y2429" s="177">
        <f>IF($R$2253&gt;0,'Assumptions (Petroleum)'!AC$10*Model!$R$2253*AVERAGE('Assumptions (Petroleum)'!$M$2:$P$2)/10^9,0)</f>
        <v>0.00003499478491</v>
      </c>
      <c r="Z2429" s="177">
        <f>IF($R$2253&gt;0,'Assumptions (Petroleum)'!AD$10*Model!$R$2253*AVERAGE('Assumptions (Petroleum)'!$M$2:$P$2)/10^9,0)</f>
        <v>0.00003505409811</v>
      </c>
      <c r="AA2429" s="177">
        <f>IF($R$2253&gt;0,'Assumptions (Petroleum)'!AE$10*Model!$R$2253*AVERAGE('Assumptions (Petroleum)'!$M$2:$P$2)/10^9,0)</f>
        <v>0.00003499478491</v>
      </c>
      <c r="AB2429" s="177">
        <f>IF($R$2253&gt;0,'Assumptions (Petroleum)'!AF$10*Model!$R$2253*AVERAGE('Assumptions (Petroleum)'!$M$2:$P$2)/10^9,0)</f>
        <v>0.00003505409811</v>
      </c>
      <c r="AC2429" s="177">
        <f>IF($R$2253&gt;0,'Assumptions (Petroleum)'!AG$10*Model!$R$2253*AVERAGE('Assumptions (Petroleum)'!$M$2:$P$2)/10^9,0)</f>
        <v>0.00003499478491</v>
      </c>
      <c r="AD2429" s="177">
        <f>IF($R$2253&gt;0,'Assumptions (Petroleum)'!AH$10*Model!$R$2253*AVERAGE('Assumptions (Petroleum)'!$M$2:$P$2)/10^9,0)</f>
        <v>0.00003505409811</v>
      </c>
      <c r="AE2429" s="177">
        <f>IF($R$2253&gt;0,'Assumptions (Petroleum)'!AI$10*Model!$R$2253*AVERAGE('Assumptions (Petroleum)'!$M$2:$P$2)/10^9,0)</f>
        <v>0.00003499478491</v>
      </c>
      <c r="AF2429" s="177">
        <f>IF($R$2253&gt;0,'Assumptions (Petroleum)'!AJ$10*Model!$R$2253*AVERAGE('Assumptions (Petroleum)'!$M$2:$P$2)/10^9,0)</f>
        <v>0.00003505409811</v>
      </c>
      <c r="AG2429" s="177">
        <f>IF($R$2253&gt;0,'Assumptions (Petroleum)'!AK$10*Model!$R$2253*AVERAGE('Assumptions (Petroleum)'!$M$2:$P$2)/10^9,0)</f>
        <v>0.00001749739246</v>
      </c>
      <c r="AH2429" s="177"/>
      <c r="AI2429" s="177"/>
      <c r="AJ2429" s="177"/>
      <c r="AK2429" s="177"/>
    </row>
    <row r="2430" ht="15.75" hidden="1" customHeight="1" outlineLevel="1">
      <c r="A2430" s="328"/>
      <c r="B2430" s="38"/>
      <c r="C2430" s="160"/>
      <c r="D2430" s="160"/>
      <c r="E2430" s="160"/>
      <c r="F2430" s="160"/>
      <c r="G2430" s="160"/>
      <c r="H2430" s="160"/>
      <c r="I2430" s="160"/>
      <c r="J2430" s="160"/>
      <c r="K2430" s="160"/>
      <c r="L2430" s="160"/>
      <c r="M2430" s="160"/>
      <c r="N2430" s="160"/>
      <c r="O2430" s="160"/>
      <c r="P2430" s="179"/>
      <c r="Q2430" s="160"/>
      <c r="R2430" s="177"/>
      <c r="S2430" s="160">
        <f>IF($S$2253&gt;0,'Assumptions (Petroleum)'!V$10*Model!$S$2253*AVERAGE('Assumptions (Petroleum)'!$O$2:$Q$2)/10^9,0)</f>
        <v>0</v>
      </c>
      <c r="T2430" s="160">
        <f>IF($S$2253&gt;0,'Assumptions (Petroleum)'!W$10*Model!$S$2253*AVERAGE('Assumptions (Petroleum)'!$O$2:$Q$2)/10^9,0)</f>
        <v>0</v>
      </c>
      <c r="U2430" s="160">
        <f>IF($S$2253&gt;0,'Assumptions (Petroleum)'!X$10*Model!$S$2253*AVERAGE('Assumptions (Petroleum)'!$O$2:$Q$2)/10^9,0)</f>
        <v>0</v>
      </c>
      <c r="V2430" s="160">
        <f>IF($S$2253&gt;0,'Assumptions (Petroleum)'!Y$10*Model!$S$2253*AVERAGE('Assumptions (Petroleum)'!$O$2:$Q$2)/10^9,0)</f>
        <v>0</v>
      </c>
      <c r="W2430" s="160">
        <f>IF($S$2253&gt;0,'Assumptions (Petroleum)'!Z$10*Model!$S$2253*AVERAGE('Assumptions (Petroleum)'!$O$2:$Q$2)/10^9,0)</f>
        <v>0</v>
      </c>
      <c r="X2430" s="160">
        <f>IF($S$2253&gt;0,'Assumptions (Petroleum)'!AA$10*Model!$S$2253*AVERAGE('Assumptions (Petroleum)'!$O$2:$Q$2)/10^9,0)</f>
        <v>0</v>
      </c>
      <c r="Y2430" s="160">
        <f>IF($S$2253&gt;0,'Assumptions (Petroleum)'!AB$10*Model!$S$2253*AVERAGE('Assumptions (Petroleum)'!$O$2:$Q$2)/10^9,0)</f>
        <v>0</v>
      </c>
      <c r="Z2430" s="160">
        <f>IF($S$2253&gt;0,'Assumptions (Petroleum)'!AC$10*Model!$S$2253*AVERAGE('Assumptions (Petroleum)'!$O$2:$Q$2)/10^9,0)</f>
        <v>0</v>
      </c>
      <c r="AA2430" s="160">
        <f>IF($S$2253&gt;0,'Assumptions (Petroleum)'!AD$10*Model!$S$2253*AVERAGE('Assumptions (Petroleum)'!$O$2:$Q$2)/10^9,0)</f>
        <v>0</v>
      </c>
      <c r="AB2430" s="160">
        <f>IF($S$2253&gt;0,'Assumptions (Petroleum)'!AE$10*Model!$S$2253*AVERAGE('Assumptions (Petroleum)'!$O$2:$Q$2)/10^9,0)</f>
        <v>0</v>
      </c>
      <c r="AC2430" s="160">
        <f>IF($S$2253&gt;0,'Assumptions (Petroleum)'!AF$10*Model!$S$2253*AVERAGE('Assumptions (Petroleum)'!$O$2:$Q$2)/10^9,0)</f>
        <v>0</v>
      </c>
      <c r="AD2430" s="160">
        <f>IF($S$2253&gt;0,'Assumptions (Petroleum)'!AG$10*Model!$S$2253*AVERAGE('Assumptions (Petroleum)'!$O$2:$Q$2)/10^9,0)</f>
        <v>0</v>
      </c>
      <c r="AE2430" s="160">
        <f>IF($S$2253&gt;0,'Assumptions (Petroleum)'!AH$10*Model!$S$2253*AVERAGE('Assumptions (Petroleum)'!$O$2:$Q$2)/10^9,0)</f>
        <v>0</v>
      </c>
      <c r="AF2430" s="160">
        <f>IF($S$2253&gt;0,'Assumptions (Petroleum)'!AI$10*Model!$S$2253*AVERAGE('Assumptions (Petroleum)'!$O$2:$Q$2)/10^9,0)</f>
        <v>0</v>
      </c>
      <c r="AG2430" s="160">
        <f>IF($S$2253&gt;0,'Assumptions (Petroleum)'!AJ$10*Model!$S$2253*AVERAGE('Assumptions (Petroleum)'!$O$2:$Q$2)/10^9,0)</f>
        <v>0</v>
      </c>
      <c r="AH2430" s="160">
        <f>IF($S$2253&gt;0,'Assumptions (Petroleum)'!AK$10*Model!$S$2253*AVERAGE('Assumptions (Petroleum)'!$O$2:$Q$2)/10^9,0)</f>
        <v>0</v>
      </c>
      <c r="AI2430" s="160"/>
      <c r="AJ2430" s="160"/>
      <c r="AK2430" s="160"/>
    </row>
    <row r="2431" ht="15.75" hidden="1" customHeight="1" outlineLevel="1">
      <c r="A2431" s="328"/>
      <c r="B2431" s="38"/>
      <c r="C2431" s="160"/>
      <c r="D2431" s="160"/>
      <c r="E2431" s="160"/>
      <c r="F2431" s="160"/>
      <c r="G2431" s="160"/>
      <c r="H2431" s="160"/>
      <c r="I2431" s="160"/>
      <c r="J2431" s="160"/>
      <c r="K2431" s="160"/>
      <c r="L2431" s="160"/>
      <c r="M2431" s="160"/>
      <c r="N2431" s="160"/>
      <c r="O2431" s="160"/>
      <c r="P2431" s="179"/>
      <c r="Q2431" s="160"/>
      <c r="R2431" s="177"/>
      <c r="S2431" s="177"/>
      <c r="T2431" s="160">
        <f>IF($T$2253&gt;0,'Assumptions (Petroleum)'!V$10*Model!$T$2253*AVERAGE('Assumptions (Petroleum)'!$P$2:$R$2)/10^9,0)</f>
        <v>0</v>
      </c>
      <c r="U2431" s="160">
        <f>IF($T$2253&gt;0,'Assumptions (Petroleum)'!W$10*Model!$T$2253*AVERAGE('Assumptions (Petroleum)'!$P$2:$R$2)/10^9,0)</f>
        <v>0</v>
      </c>
      <c r="V2431" s="160">
        <f>IF($T$2253&gt;0,'Assumptions (Petroleum)'!X$10*Model!$T$2253*AVERAGE('Assumptions (Petroleum)'!$P$2:$R$2)/10^9,0)</f>
        <v>0</v>
      </c>
      <c r="W2431" s="160">
        <f>IF($T$2253&gt;0,'Assumptions (Petroleum)'!Y$10*Model!$T$2253*AVERAGE('Assumptions (Petroleum)'!$P$2:$R$2)/10^9,0)</f>
        <v>0</v>
      </c>
      <c r="X2431" s="160">
        <f>IF($T$2253&gt;0,'Assumptions (Petroleum)'!Z$10*Model!$T$2253*AVERAGE('Assumptions (Petroleum)'!$P$2:$R$2)/10^9,0)</f>
        <v>0</v>
      </c>
      <c r="Y2431" s="160">
        <f>IF($T$2253&gt;0,'Assumptions (Petroleum)'!AA$10*Model!$T$2253*AVERAGE('Assumptions (Petroleum)'!$P$2:$R$2)/10^9,0)</f>
        <v>0</v>
      </c>
      <c r="Z2431" s="160">
        <f>IF($T$2253&gt;0,'Assumptions (Petroleum)'!AB$10*Model!$T$2253*AVERAGE('Assumptions (Petroleum)'!$P$2:$R$2)/10^9,0)</f>
        <v>0</v>
      </c>
      <c r="AA2431" s="160">
        <f>IF($T$2253&gt;0,'Assumptions (Petroleum)'!AC$10*Model!$T$2253*AVERAGE('Assumptions (Petroleum)'!$P$2:$R$2)/10^9,0)</f>
        <v>0</v>
      </c>
      <c r="AB2431" s="160">
        <f>IF($T$2253&gt;0,'Assumptions (Petroleum)'!AD$10*Model!$T$2253*AVERAGE('Assumptions (Petroleum)'!$P$2:$R$2)/10^9,0)</f>
        <v>0</v>
      </c>
      <c r="AC2431" s="160">
        <f>IF($T$2253&gt;0,'Assumptions (Petroleum)'!AE$10*Model!$T$2253*AVERAGE('Assumptions (Petroleum)'!$P$2:$R$2)/10^9,0)</f>
        <v>0</v>
      </c>
      <c r="AD2431" s="160">
        <f>IF($T$2253&gt;0,'Assumptions (Petroleum)'!AF$10*Model!$T$2253*AVERAGE('Assumptions (Petroleum)'!$P$2:$R$2)/10^9,0)</f>
        <v>0</v>
      </c>
      <c r="AE2431" s="160">
        <f>IF($T$2253&gt;0,'Assumptions (Petroleum)'!AG$10*Model!$T$2253*AVERAGE('Assumptions (Petroleum)'!$P$2:$R$2)/10^9,0)</f>
        <v>0</v>
      </c>
      <c r="AF2431" s="160">
        <f>IF($T$2253&gt;0,'Assumptions (Petroleum)'!AH$10*Model!$T$2253*AVERAGE('Assumptions (Petroleum)'!$P$2:$R$2)/10^9,0)</f>
        <v>0</v>
      </c>
      <c r="AG2431" s="160">
        <f>IF($T$2253&gt;0,'Assumptions (Petroleum)'!AI$10*Model!$T$2253*AVERAGE('Assumptions (Petroleum)'!$P$2:$R$2)/10^9,0)</f>
        <v>0</v>
      </c>
      <c r="AH2431" s="160">
        <f>IF($T$2253&gt;0,'Assumptions (Petroleum)'!AJ$10*Model!$T$2253*AVERAGE('Assumptions (Petroleum)'!$P$2:$R$2)/10^9,0)</f>
        <v>0</v>
      </c>
      <c r="AI2431" s="160">
        <f>IF($T$2253&gt;0,'Assumptions (Petroleum)'!AK$10*Model!$T$2253*AVERAGE('Assumptions (Petroleum)'!$P$2:$R$2)/10^9,0)</f>
        <v>0</v>
      </c>
      <c r="AJ2431" s="160"/>
      <c r="AK2431" s="160"/>
    </row>
    <row r="2432" ht="15.75" hidden="1" customHeight="1" outlineLevel="1">
      <c r="A2432" s="328"/>
      <c r="B2432" s="38"/>
      <c r="C2432" s="160"/>
      <c r="D2432" s="160"/>
      <c r="E2432" s="160"/>
      <c r="F2432" s="160"/>
      <c r="G2432" s="160"/>
      <c r="H2432" s="160"/>
      <c r="I2432" s="160"/>
      <c r="J2432" s="160"/>
      <c r="K2432" s="160"/>
      <c r="L2432" s="160"/>
      <c r="M2432" s="160"/>
      <c r="N2432" s="160"/>
      <c r="O2432" s="160"/>
      <c r="P2432" s="179"/>
      <c r="Q2432" s="160"/>
      <c r="R2432" s="177"/>
      <c r="S2432" s="177"/>
      <c r="T2432" s="177"/>
      <c r="U2432" s="160">
        <f>IF($U$2253&gt;0,'Assumptions (Petroleum)'!V$10*Model!$U$2253*AVERAGE('Assumptions (Petroleum)'!$Q$2:$S$2)/10^9,0)</f>
        <v>0</v>
      </c>
      <c r="V2432" s="160">
        <f>IF($U$2253&gt;0,'Assumptions (Petroleum)'!W$10*Model!$U$2253*AVERAGE('Assumptions (Petroleum)'!$Q$2:$S$2)/10^9,0)</f>
        <v>0</v>
      </c>
      <c r="W2432" s="160">
        <f>IF($U$2253&gt;0,'Assumptions (Petroleum)'!X$10*Model!$U$2253*AVERAGE('Assumptions (Petroleum)'!$Q$2:$S$2)/10^9,0)</f>
        <v>0</v>
      </c>
      <c r="X2432" s="160">
        <f>IF($U$2253&gt;0,'Assumptions (Petroleum)'!Y$10*Model!$U$2253*AVERAGE('Assumptions (Petroleum)'!$Q$2:$S$2)/10^9,0)</f>
        <v>0</v>
      </c>
      <c r="Y2432" s="160">
        <f>IF($U$2253&gt;0,'Assumptions (Petroleum)'!Z$10*Model!$U$2253*AVERAGE('Assumptions (Petroleum)'!$Q$2:$S$2)/10^9,0)</f>
        <v>0</v>
      </c>
      <c r="Z2432" s="160">
        <f>IF($U$2253&gt;0,'Assumptions (Petroleum)'!AA$10*Model!$U$2253*AVERAGE('Assumptions (Petroleum)'!$Q$2:$S$2)/10^9,0)</f>
        <v>0</v>
      </c>
      <c r="AA2432" s="160">
        <f>IF($U$2253&gt;0,'Assumptions (Petroleum)'!AB$10*Model!$U$2253*AVERAGE('Assumptions (Petroleum)'!$Q$2:$S$2)/10^9,0)</f>
        <v>0</v>
      </c>
      <c r="AB2432" s="160">
        <f>IF($U$2253&gt;0,'Assumptions (Petroleum)'!AC$10*Model!$U$2253*AVERAGE('Assumptions (Petroleum)'!$Q$2:$S$2)/10^9,0)</f>
        <v>0</v>
      </c>
      <c r="AC2432" s="160">
        <f>IF($U$2253&gt;0,'Assumptions (Petroleum)'!AD$10*Model!$U$2253*AVERAGE('Assumptions (Petroleum)'!$Q$2:$S$2)/10^9,0)</f>
        <v>0</v>
      </c>
      <c r="AD2432" s="160">
        <f>IF($U$2253&gt;0,'Assumptions (Petroleum)'!AE$10*Model!$U$2253*AVERAGE('Assumptions (Petroleum)'!$Q$2:$S$2)/10^9,0)</f>
        <v>0</v>
      </c>
      <c r="AE2432" s="160">
        <f>IF($U$2253&gt;0,'Assumptions (Petroleum)'!AF$10*Model!$U$2253*AVERAGE('Assumptions (Petroleum)'!$Q$2:$S$2)/10^9,0)</f>
        <v>0</v>
      </c>
      <c r="AF2432" s="160">
        <f>IF($U$2253&gt;0,'Assumptions (Petroleum)'!AG$10*Model!$U$2253*AVERAGE('Assumptions (Petroleum)'!$Q$2:$S$2)/10^9,0)</f>
        <v>0</v>
      </c>
      <c r="AG2432" s="160">
        <f>IF($U$2253&gt;0,'Assumptions (Petroleum)'!AH$10*Model!$U$2253*AVERAGE('Assumptions (Petroleum)'!$Q$2:$S$2)/10^9,0)</f>
        <v>0</v>
      </c>
      <c r="AH2432" s="160">
        <f>IF($U$2253&gt;0,'Assumptions (Petroleum)'!AI$10*Model!$U$2253*AVERAGE('Assumptions (Petroleum)'!$Q$2:$S$2)/10^9,0)</f>
        <v>0</v>
      </c>
      <c r="AI2432" s="160">
        <f>IF($U$2253&gt;0,'Assumptions (Petroleum)'!AJ$10*Model!$U$2253*AVERAGE('Assumptions (Petroleum)'!$Q$2:$S$2)/10^9,0)</f>
        <v>0</v>
      </c>
      <c r="AJ2432" s="160">
        <f>IF($U$2253&gt;0,'Assumptions (Petroleum)'!AK$10*Model!$U$2253*AVERAGE('Assumptions (Petroleum)'!$Q$2:$S$2)/10^9,0)</f>
        <v>0</v>
      </c>
      <c r="AK2432" s="160"/>
    </row>
    <row r="2433" ht="15.75" hidden="1" customHeight="1" outlineLevel="1">
      <c r="A2433" s="328"/>
      <c r="B2433" s="38"/>
      <c r="C2433" s="160"/>
      <c r="D2433" s="160"/>
      <c r="E2433" s="160"/>
      <c r="F2433" s="160"/>
      <c r="G2433" s="160"/>
      <c r="H2433" s="160"/>
      <c r="I2433" s="160"/>
      <c r="J2433" s="160"/>
      <c r="K2433" s="160"/>
      <c r="L2433" s="160"/>
      <c r="M2433" s="160"/>
      <c r="N2433" s="160"/>
      <c r="O2433" s="160"/>
      <c r="P2433" s="179"/>
      <c r="Q2433" s="160"/>
      <c r="R2433" s="177"/>
      <c r="S2433" s="177"/>
      <c r="T2433" s="177"/>
      <c r="U2433" s="160"/>
      <c r="V2433" s="160">
        <f>IF($V$2253&gt;0,'Assumptions (Petroleum)'!V$10*Model!$V$2253*AVERAGE('Assumptions (Petroleum)'!$R$2:$T$2)/10^9,0)</f>
        <v>0</v>
      </c>
      <c r="W2433" s="160">
        <f>IF($V$2253&gt;0,'Assumptions (Petroleum)'!W$10*Model!$V$2253*AVERAGE('Assumptions (Petroleum)'!$R$2:$T$2)/10^9,0)</f>
        <v>0</v>
      </c>
      <c r="X2433" s="160">
        <f>IF($V$2253&gt;0,'Assumptions (Petroleum)'!X$10*Model!$V$2253*AVERAGE('Assumptions (Petroleum)'!$R$2:$T$2)/10^9,0)</f>
        <v>0</v>
      </c>
      <c r="Y2433" s="160">
        <f>IF($V$2253&gt;0,'Assumptions (Petroleum)'!Y$10*Model!$V$2253*AVERAGE('Assumptions (Petroleum)'!$R$2:$T$2)/10^9,0)</f>
        <v>0</v>
      </c>
      <c r="Z2433" s="160">
        <f>IF($V$2253&gt;0,'Assumptions (Petroleum)'!Z$10*Model!$V$2253*AVERAGE('Assumptions (Petroleum)'!$R$2:$T$2)/10^9,0)</f>
        <v>0</v>
      </c>
      <c r="AA2433" s="160">
        <f>IF($V$2253&gt;0,'Assumptions (Petroleum)'!AA$10*Model!$V$2253*AVERAGE('Assumptions (Petroleum)'!$R$2:$T$2)/10^9,0)</f>
        <v>0</v>
      </c>
      <c r="AB2433" s="160">
        <f>IF($V$2253&gt;0,'Assumptions (Petroleum)'!AB$10*Model!$V$2253*AVERAGE('Assumptions (Petroleum)'!$R$2:$T$2)/10^9,0)</f>
        <v>0</v>
      </c>
      <c r="AC2433" s="160">
        <f>IF($V$2253&gt;0,'Assumptions (Petroleum)'!AC$10*Model!$V$2253*AVERAGE('Assumptions (Petroleum)'!$R$2:$T$2)/10^9,0)</f>
        <v>0</v>
      </c>
      <c r="AD2433" s="160">
        <f>IF($V$2253&gt;0,'Assumptions (Petroleum)'!AD$10*Model!$V$2253*AVERAGE('Assumptions (Petroleum)'!$R$2:$T$2)/10^9,0)</f>
        <v>0</v>
      </c>
      <c r="AE2433" s="160">
        <f>IF($V$2253&gt;0,'Assumptions (Petroleum)'!AE$10*Model!$V$2253*AVERAGE('Assumptions (Petroleum)'!$R$2:$T$2)/10^9,0)</f>
        <v>0</v>
      </c>
      <c r="AF2433" s="160">
        <f>IF($V$2253&gt;0,'Assumptions (Petroleum)'!AF$10*Model!$V$2253*AVERAGE('Assumptions (Petroleum)'!$R$2:$T$2)/10^9,0)</f>
        <v>0</v>
      </c>
      <c r="AG2433" s="160">
        <f>IF($V$2253&gt;0,'Assumptions (Petroleum)'!AG$10*Model!$V$2253*AVERAGE('Assumptions (Petroleum)'!$R$2:$T$2)/10^9,0)</f>
        <v>0</v>
      </c>
      <c r="AH2433" s="160">
        <f>IF($V$2253&gt;0,'Assumptions (Petroleum)'!AH$10*Model!$V$2253*AVERAGE('Assumptions (Petroleum)'!$R$2:$T$2)/10^9,0)</f>
        <v>0</v>
      </c>
      <c r="AI2433" s="160">
        <f>IF($V$2253&gt;0,'Assumptions (Petroleum)'!AI$10*Model!$V$2253*AVERAGE('Assumptions (Petroleum)'!$R$2:$T$2)/10^9,0)</f>
        <v>0</v>
      </c>
      <c r="AJ2433" s="160">
        <f>IF($V$2253&gt;0,'Assumptions (Petroleum)'!AJ$10*Model!$V$2253*AVERAGE('Assumptions (Petroleum)'!$R$2:$T$2)/10^9,0)</f>
        <v>0</v>
      </c>
      <c r="AK2433" s="160">
        <f>IF($V$2253&gt;0,'Assumptions (Petroleum)'!AK$10*Model!$V$2253*AVERAGE('Assumptions (Petroleum)'!$R$2:$T$2)/10^9,0)</f>
        <v>0</v>
      </c>
    </row>
    <row r="2434" ht="15.75" hidden="1" customHeight="1" outlineLevel="1">
      <c r="A2434" s="328"/>
      <c r="B2434" s="38"/>
      <c r="C2434" s="174"/>
      <c r="D2434" s="174"/>
      <c r="E2434" s="174"/>
      <c r="F2434" s="174"/>
      <c r="G2434" s="174"/>
      <c r="H2434" s="174"/>
      <c r="I2434" s="174"/>
      <c r="J2434" s="174"/>
      <c r="K2434" s="174"/>
      <c r="L2434" s="174"/>
      <c r="M2434" s="174"/>
      <c r="N2434" s="174"/>
      <c r="O2434" s="174"/>
      <c r="P2434" s="174"/>
      <c r="Q2434" s="174"/>
      <c r="R2434" s="174"/>
      <c r="S2434" s="174"/>
      <c r="T2434" s="174"/>
      <c r="U2434" s="174"/>
      <c r="V2434" s="174"/>
      <c r="W2434" s="160">
        <f>IF($W$2253&gt;0,'Assumptions (Petroleum)'!V$10*Model!$W$2253*average('Assumptions (Petroleum)'!$S$2:$U$2)/10^9,0)</f>
        <v>0</v>
      </c>
      <c r="X2434" s="160">
        <f>IF($W$2253&gt;0,'Assumptions (Petroleum)'!W$10*Model!$W$2253*average('Assumptions (Petroleum)'!$S$2:$U$2)/10^9,0)</f>
        <v>0</v>
      </c>
      <c r="Y2434" s="160">
        <f>IF($W$2253&gt;0,'Assumptions (Petroleum)'!X$10*Model!$W$2253*average('Assumptions (Petroleum)'!$S$2:$U$2)/10^9,0)</f>
        <v>0</v>
      </c>
      <c r="Z2434" s="160">
        <f>IF($W$2253&gt;0,'Assumptions (Petroleum)'!Y$10*Model!$W$2253*average('Assumptions (Petroleum)'!$S$2:$U$2)/10^9,0)</f>
        <v>0</v>
      </c>
      <c r="AA2434" s="160">
        <f>IF($W$2253&gt;0,'Assumptions (Petroleum)'!Z$10*Model!$W$2253*average('Assumptions (Petroleum)'!$S$2:$U$2)/10^9,0)</f>
        <v>0</v>
      </c>
      <c r="AB2434" s="160">
        <f>IF($W$2253&gt;0,'Assumptions (Petroleum)'!AA$10*Model!$W$2253*average('Assumptions (Petroleum)'!$S$2:$U$2)/10^9,0)</f>
        <v>0</v>
      </c>
      <c r="AC2434" s="160">
        <f>IF($W$2253&gt;0,'Assumptions (Petroleum)'!AB$10*Model!$W$2253*average('Assumptions (Petroleum)'!$S$2:$U$2)/10^9,0)</f>
        <v>0</v>
      </c>
      <c r="AD2434" s="160">
        <f>IF($W$2253&gt;0,'Assumptions (Petroleum)'!AC$10*Model!$W$2253*average('Assumptions (Petroleum)'!$S$2:$U$2)/10^9,0)</f>
        <v>0</v>
      </c>
      <c r="AE2434" s="160">
        <f>IF($W$2253&gt;0,'Assumptions (Petroleum)'!AD$10*Model!$W$2253*average('Assumptions (Petroleum)'!$S$2:$U$2)/10^9,0)</f>
        <v>0</v>
      </c>
      <c r="AF2434" s="160">
        <f>IF($W$2253&gt;0,'Assumptions (Petroleum)'!AE$10*Model!$W$2253*average('Assumptions (Petroleum)'!$S$2:$U$2)/10^9,0)</f>
        <v>0</v>
      </c>
      <c r="AG2434" s="160">
        <f>IF($W$2253&gt;0,'Assumptions (Petroleum)'!AF$10*Model!$W$2253*average('Assumptions (Petroleum)'!$S$2:$U$2)/10^9,0)</f>
        <v>0</v>
      </c>
      <c r="AH2434" s="160">
        <f>IF($W$2253&gt;0,'Assumptions (Petroleum)'!AG$10*Model!$W$2253*average('Assumptions (Petroleum)'!$S$2:$U$2)/10^9,0)</f>
        <v>0</v>
      </c>
      <c r="AI2434" s="160">
        <f>IF($W$2253&gt;0,'Assumptions (Petroleum)'!AH$10*Model!$W$2253*average('Assumptions (Petroleum)'!$S$2:$U$2)/10^9,0)</f>
        <v>0</v>
      </c>
      <c r="AJ2434" s="160">
        <f>IF($W$2253&gt;0,'Assumptions (Petroleum)'!AI$10*Model!$W$2253*average('Assumptions (Petroleum)'!$S$2:$U$2)/10^9,0)</f>
        <v>0</v>
      </c>
      <c r="AK2434" s="160">
        <f>IF($W$2253&gt;0,'Assumptions (Petroleum)'!AJ$10*Model!$W$2253*average('Assumptions (Petroleum)'!$S$2:$U$2)/10^9,0)</f>
        <v>0</v>
      </c>
      <c r="AL2434" s="160">
        <f>IF($W$2253&gt;0,'Assumptions (Petroleum)'!AK$10*Model!$W$2253*average('Assumptions (Petroleum)'!$S$2:$U$2)/10^9,0)</f>
        <v>0</v>
      </c>
      <c r="AM2434" s="160"/>
      <c r="AN2434" s="160"/>
      <c r="AO2434" s="160"/>
      <c r="AP2434" s="160"/>
      <c r="AQ2434" s="160"/>
      <c r="AR2434" s="160"/>
      <c r="AS2434" s="160"/>
      <c r="AT2434" s="160"/>
      <c r="AU2434" s="160"/>
      <c r="AV2434" s="160"/>
      <c r="AW2434" s="160"/>
      <c r="AX2434" s="160"/>
      <c r="AY2434" s="160"/>
      <c r="AZ2434" s="160"/>
      <c r="BA2434" s="160"/>
    </row>
    <row r="2435" ht="15.75" hidden="1" customHeight="1" outlineLevel="1">
      <c r="A2435" s="328"/>
      <c r="B2435" s="38"/>
      <c r="C2435" s="174"/>
      <c r="D2435" s="174"/>
      <c r="E2435" s="174"/>
      <c r="F2435" s="174"/>
      <c r="G2435" s="174"/>
      <c r="H2435" s="174"/>
      <c r="I2435" s="174"/>
      <c r="J2435" s="174"/>
      <c r="K2435" s="174"/>
      <c r="L2435" s="174"/>
      <c r="M2435" s="174"/>
      <c r="N2435" s="174"/>
      <c r="O2435" s="174"/>
      <c r="P2435" s="174"/>
      <c r="Q2435" s="174"/>
      <c r="R2435" s="174"/>
      <c r="S2435" s="174"/>
      <c r="T2435" s="174"/>
      <c r="U2435" s="174"/>
      <c r="V2435" s="174"/>
      <c r="W2435" s="160"/>
      <c r="X2435" s="160">
        <f>IF($X$2253&gt;0,'Assumptions (Petroleum)'!V$10*Model!$X$2253*average('Assumptions (Petroleum)'!$T$2:$V$2)/10^9,0)</f>
        <v>0</v>
      </c>
      <c r="Y2435" s="160">
        <f>IF($X$2253&gt;0,'Assumptions (Petroleum)'!W$10*Model!$X$2253*average('Assumptions (Petroleum)'!$T$2:$V$2)/10^9,0)</f>
        <v>0</v>
      </c>
      <c r="Z2435" s="160">
        <f>IF($X$2253&gt;0,'Assumptions (Petroleum)'!X$10*Model!$X$2253*average('Assumptions (Petroleum)'!$T$2:$V$2)/10^9,0)</f>
        <v>0</v>
      </c>
      <c r="AA2435" s="160">
        <f>IF($X$2253&gt;0,'Assumptions (Petroleum)'!Y$10*Model!$X$2253*average('Assumptions (Petroleum)'!$T$2:$V$2)/10^9,0)</f>
        <v>0</v>
      </c>
      <c r="AB2435" s="160">
        <f>IF($X$2253&gt;0,'Assumptions (Petroleum)'!Z$10*Model!$X$2253*average('Assumptions (Petroleum)'!$T$2:$V$2)/10^9,0)</f>
        <v>0</v>
      </c>
      <c r="AC2435" s="160">
        <f>IF($X$2253&gt;0,'Assumptions (Petroleum)'!AA$10*Model!$X$2253*average('Assumptions (Petroleum)'!$T$2:$V$2)/10^9,0)</f>
        <v>0</v>
      </c>
      <c r="AD2435" s="160">
        <f>IF($X$2253&gt;0,'Assumptions (Petroleum)'!AB$10*Model!$X$2253*average('Assumptions (Petroleum)'!$T$2:$V$2)/10^9,0)</f>
        <v>0</v>
      </c>
      <c r="AE2435" s="160">
        <f>IF($X$2253&gt;0,'Assumptions (Petroleum)'!AC$10*Model!$X$2253*average('Assumptions (Petroleum)'!$T$2:$V$2)/10^9,0)</f>
        <v>0</v>
      </c>
      <c r="AF2435" s="160">
        <f>IF($X$2253&gt;0,'Assumptions (Petroleum)'!AD$10*Model!$X$2253*average('Assumptions (Petroleum)'!$T$2:$V$2)/10^9,0)</f>
        <v>0</v>
      </c>
      <c r="AG2435" s="160">
        <f>IF($X$2253&gt;0,'Assumptions (Petroleum)'!AE$10*Model!$X$2253*average('Assumptions (Petroleum)'!$T$2:$V$2)/10^9,0)</f>
        <v>0</v>
      </c>
      <c r="AH2435" s="160">
        <f>IF($X$2253&gt;0,'Assumptions (Petroleum)'!AF$10*Model!$X$2253*average('Assumptions (Petroleum)'!$T$2:$V$2)/10^9,0)</f>
        <v>0</v>
      </c>
      <c r="AI2435" s="160">
        <f>IF($X$2253&gt;0,'Assumptions (Petroleum)'!AG$10*Model!$X$2253*average('Assumptions (Petroleum)'!$T$2:$V$2)/10^9,0)</f>
        <v>0</v>
      </c>
      <c r="AJ2435" s="160">
        <f>IF($X$2253&gt;0,'Assumptions (Petroleum)'!AH$10*Model!$X$2253*average('Assumptions (Petroleum)'!$T$2:$V$2)/10^9,0)</f>
        <v>0</v>
      </c>
      <c r="AK2435" s="160">
        <f>IF($X$2253&gt;0,'Assumptions (Petroleum)'!AI$10*Model!$X$2253*average('Assumptions (Petroleum)'!$T$2:$V$2)/10^9,0)</f>
        <v>0</v>
      </c>
      <c r="AL2435" s="160">
        <f>IF($X$2253&gt;0,'Assumptions (Petroleum)'!AJ$10*Model!$X$2253*average('Assumptions (Petroleum)'!$T$2:$V$2)/10^9,0)</f>
        <v>0</v>
      </c>
      <c r="AM2435" s="160">
        <f>IF($X$2253&gt;0,'Assumptions (Petroleum)'!AK$10*Model!$X$2253*average('Assumptions (Petroleum)'!$T$2:$V$2)/10^9,0)</f>
        <v>0</v>
      </c>
      <c r="AN2435" s="160">
        <f>IF($X$2253&gt;0,'Assumptions (Petroleum)'!AL$10*Model!$X$2253*average('Assumptions (Petroleum)'!$T$2:$V$2)/10^9,0)</f>
        <v>0</v>
      </c>
      <c r="AO2435" s="160"/>
      <c r="AP2435" s="160"/>
      <c r="AQ2435" s="160"/>
      <c r="AR2435" s="160"/>
      <c r="AS2435" s="160"/>
      <c r="AT2435" s="160"/>
      <c r="AU2435" s="160"/>
      <c r="AV2435" s="160"/>
      <c r="AW2435" s="160"/>
      <c r="AX2435" s="160"/>
      <c r="AY2435" s="160"/>
      <c r="AZ2435" s="160"/>
      <c r="BA2435" s="160"/>
    </row>
    <row r="2436" ht="15.75" hidden="1" customHeight="1" outlineLevel="1">
      <c r="A2436" s="328"/>
      <c r="B2436" s="38"/>
      <c r="C2436" s="174"/>
      <c r="D2436" s="174"/>
      <c r="E2436" s="174"/>
      <c r="F2436" s="174"/>
      <c r="G2436" s="174"/>
      <c r="H2436" s="174"/>
      <c r="I2436" s="174"/>
      <c r="J2436" s="174"/>
      <c r="K2436" s="174"/>
      <c r="L2436" s="174"/>
      <c r="M2436" s="174"/>
      <c r="N2436" s="174"/>
      <c r="O2436" s="174"/>
      <c r="P2436" s="174"/>
      <c r="Q2436" s="174"/>
      <c r="R2436" s="174"/>
      <c r="S2436" s="174"/>
      <c r="T2436" s="174"/>
      <c r="U2436" s="174"/>
      <c r="V2436" s="174"/>
      <c r="W2436" s="160"/>
      <c r="X2436" s="160"/>
      <c r="Y2436" s="160">
        <f>IF($Y$2253&gt;0,'Assumptions (Petroleum)'!V$10*Model!$Y$2253*AVERAGE('Assumptions (Petroleum)'!$U$2:$W$2)/10^9,0)</f>
        <v>0</v>
      </c>
      <c r="Z2436" s="160">
        <f>IF($Y$2253&gt;0,'Assumptions (Petroleum)'!W$10*Model!$Y$2253*AVERAGE('Assumptions (Petroleum)'!$U$2:$W$2)/10^9,0)</f>
        <v>0</v>
      </c>
      <c r="AA2436" s="160">
        <f>IF($Y$2253&gt;0,'Assumptions (Petroleum)'!X$10*Model!$Y$2253*AVERAGE('Assumptions (Petroleum)'!$U$2:$W$2)/10^9,0)</f>
        <v>0</v>
      </c>
      <c r="AB2436" s="160">
        <f>IF($Y$2253&gt;0,'Assumptions (Petroleum)'!Y$10*Model!$Y$2253*AVERAGE('Assumptions (Petroleum)'!$U$2:$W$2)/10^9,0)</f>
        <v>0</v>
      </c>
      <c r="AC2436" s="160">
        <f>IF($Y$2253&gt;0,'Assumptions (Petroleum)'!Z$10*Model!$Y$2253*AVERAGE('Assumptions (Petroleum)'!$U$2:$W$2)/10^9,0)</f>
        <v>0</v>
      </c>
      <c r="AD2436" s="160">
        <f>IF($Y$2253&gt;0,'Assumptions (Petroleum)'!AA$10*Model!$Y$2253*AVERAGE('Assumptions (Petroleum)'!$U$2:$W$2)/10^9,0)</f>
        <v>0</v>
      </c>
      <c r="AE2436" s="160">
        <f>IF($Y$2253&gt;0,'Assumptions (Petroleum)'!AB$10*Model!$Y$2253*AVERAGE('Assumptions (Petroleum)'!$U$2:$W$2)/10^9,0)</f>
        <v>0</v>
      </c>
      <c r="AF2436" s="160">
        <f>IF($Y$2253&gt;0,'Assumptions (Petroleum)'!AC$10*Model!$Y$2253*AVERAGE('Assumptions (Petroleum)'!$U$2:$W$2)/10^9,0)</f>
        <v>0</v>
      </c>
      <c r="AG2436" s="160">
        <f>IF($Y$2253&gt;0,'Assumptions (Petroleum)'!AD$10*Model!$Y$2253*AVERAGE('Assumptions (Petroleum)'!$U$2:$W$2)/10^9,0)</f>
        <v>0</v>
      </c>
      <c r="AH2436" s="160">
        <f>IF($Y$2253&gt;0,'Assumptions (Petroleum)'!AE$10*Model!$Y$2253*AVERAGE('Assumptions (Petroleum)'!$U$2:$W$2)/10^9,0)</f>
        <v>0</v>
      </c>
      <c r="AI2436" s="160">
        <f>IF($Y$2253&gt;0,'Assumptions (Petroleum)'!AF$10*Model!$Y$2253*AVERAGE('Assumptions (Petroleum)'!$U$2:$W$2)/10^9,0)</f>
        <v>0</v>
      </c>
      <c r="AJ2436" s="160">
        <f>IF($Y$2253&gt;0,'Assumptions (Petroleum)'!AG$10*Model!$Y$2253*AVERAGE('Assumptions (Petroleum)'!$U$2:$W$2)/10^9,0)</f>
        <v>0</v>
      </c>
      <c r="AK2436" s="160">
        <f>IF($Y$2253&gt;0,'Assumptions (Petroleum)'!AH$10*Model!$Y$2253*AVERAGE('Assumptions (Petroleum)'!$U$2:$W$2)/10^9,0)</f>
        <v>0</v>
      </c>
      <c r="AL2436" s="160">
        <f>IF($Y$2253&gt;0,'Assumptions (Petroleum)'!AI$10*Model!$Y$2253*AVERAGE('Assumptions (Petroleum)'!$U$2:$W$2)/10^9,0)</f>
        <v>0</v>
      </c>
      <c r="AM2436" s="160">
        <f>IF($Y$2253&gt;0,'Assumptions (Petroleum)'!AJ$10*Model!$Y$2253*AVERAGE('Assumptions (Petroleum)'!$U$2:$W$2)/10^9,0)</f>
        <v>0</v>
      </c>
      <c r="AN2436" s="160">
        <f>IF($Y$2253&gt;0,'Assumptions (Petroleum)'!AK$10*Model!$Y$2253*AVERAGE('Assumptions (Petroleum)'!$U$2:$W$2)/10^9,0)</f>
        <v>0</v>
      </c>
      <c r="AO2436" s="160"/>
      <c r="AP2436" s="160"/>
      <c r="AQ2436" s="160"/>
      <c r="AR2436" s="160"/>
      <c r="AS2436" s="160"/>
      <c r="AT2436" s="160"/>
      <c r="AU2436" s="160"/>
      <c r="AV2436" s="160"/>
      <c r="AW2436" s="160"/>
      <c r="AX2436" s="160"/>
      <c r="AY2436" s="160"/>
      <c r="AZ2436" s="160"/>
      <c r="BA2436" s="160"/>
    </row>
    <row r="2437" ht="15.75" hidden="1" customHeight="1" outlineLevel="1">
      <c r="A2437" s="328"/>
      <c r="B2437" s="38"/>
      <c r="C2437" s="174"/>
      <c r="D2437" s="174"/>
      <c r="E2437" s="174"/>
      <c r="F2437" s="174"/>
      <c r="G2437" s="174"/>
      <c r="H2437" s="174"/>
      <c r="I2437" s="174"/>
      <c r="J2437" s="174"/>
      <c r="K2437" s="174"/>
      <c r="L2437" s="174"/>
      <c r="M2437" s="174"/>
      <c r="N2437" s="174"/>
      <c r="O2437" s="174"/>
      <c r="P2437" s="174"/>
      <c r="Q2437" s="174"/>
      <c r="R2437" s="174"/>
      <c r="S2437" s="174"/>
      <c r="T2437" s="174"/>
      <c r="U2437" s="174"/>
      <c r="V2437" s="174"/>
      <c r="W2437" s="160"/>
      <c r="X2437" s="160"/>
      <c r="Y2437" s="160"/>
      <c r="Z2437" s="160">
        <f>IF($Z$2253&gt;0,'Assumptions (Petroleum)'!V$10*Model!$Z$2253*AVERAGE('Assumptions (Petroleum)'!$V$2:$X$2)/10^9,0)</f>
        <v>0</v>
      </c>
      <c r="AA2437" s="160">
        <f>IF($Z$2253&gt;0,'Assumptions (Petroleum)'!W$10*Model!$Z$2253*AVERAGE('Assumptions (Petroleum)'!$V$2:$X$2)/10^9,0)</f>
        <v>0</v>
      </c>
      <c r="AB2437" s="160">
        <f>IF($Z$2253&gt;0,'Assumptions (Petroleum)'!X$10*Model!$Z$2253*AVERAGE('Assumptions (Petroleum)'!$V$2:$X$2)/10^9,0)</f>
        <v>0</v>
      </c>
      <c r="AC2437" s="160">
        <f>IF($Z$2253&gt;0,'Assumptions (Petroleum)'!Y$10*Model!$Z$2253*AVERAGE('Assumptions (Petroleum)'!$V$2:$X$2)/10^9,0)</f>
        <v>0</v>
      </c>
      <c r="AD2437" s="160">
        <f>IF($Z$2253&gt;0,'Assumptions (Petroleum)'!Z$10*Model!$Z$2253*AVERAGE('Assumptions (Petroleum)'!$V$2:$X$2)/10^9,0)</f>
        <v>0</v>
      </c>
      <c r="AE2437" s="160">
        <f>IF($Z$2253&gt;0,'Assumptions (Petroleum)'!AA$10*Model!$Z$2253*AVERAGE('Assumptions (Petroleum)'!$V$2:$X$2)/10^9,0)</f>
        <v>0</v>
      </c>
      <c r="AF2437" s="160">
        <f>IF($Z$2253&gt;0,'Assumptions (Petroleum)'!AB$10*Model!$Z$2253*AVERAGE('Assumptions (Petroleum)'!$V$2:$X$2)/10^9,0)</f>
        <v>0</v>
      </c>
      <c r="AG2437" s="160">
        <f>IF($Z$2253&gt;0,'Assumptions (Petroleum)'!AC$10*Model!$Z$2253*AVERAGE('Assumptions (Petroleum)'!$V$2:$X$2)/10^9,0)</f>
        <v>0</v>
      </c>
      <c r="AH2437" s="160">
        <f>IF($Z$2253&gt;0,'Assumptions (Petroleum)'!AD$10*Model!$Z$2253*AVERAGE('Assumptions (Petroleum)'!$V$2:$X$2)/10^9,0)</f>
        <v>0</v>
      </c>
      <c r="AI2437" s="160">
        <f>IF($Z$2253&gt;0,'Assumptions (Petroleum)'!AE$10*Model!$Z$2253*AVERAGE('Assumptions (Petroleum)'!$V$2:$X$2)/10^9,0)</f>
        <v>0</v>
      </c>
      <c r="AJ2437" s="160">
        <f>IF($Z$2253&gt;0,'Assumptions (Petroleum)'!AF$10*Model!$Z$2253*AVERAGE('Assumptions (Petroleum)'!$V$2:$X$2)/10^9,0)</f>
        <v>0</v>
      </c>
      <c r="AK2437" s="160">
        <f>IF($Z$2253&gt;0,'Assumptions (Petroleum)'!AG$10*Model!$Z$2253*AVERAGE('Assumptions (Petroleum)'!$V$2:$X$2)/10^9,0)</f>
        <v>0</v>
      </c>
      <c r="AL2437" s="160">
        <f>IF($Z$2253&gt;0,'Assumptions (Petroleum)'!AH$10*Model!$Z$2253*AVERAGE('Assumptions (Petroleum)'!$V$2:$X$2)/10^9,0)</f>
        <v>0</v>
      </c>
      <c r="AM2437" s="160">
        <f>IF($Z$2253&gt;0,'Assumptions (Petroleum)'!AI$10*Model!$Z$2253*AVERAGE('Assumptions (Petroleum)'!$V$2:$X$2)/10^9,0)</f>
        <v>0</v>
      </c>
      <c r="AN2437" s="160">
        <f>IF($Z$2253&gt;0,'Assumptions (Petroleum)'!AJ$10*Model!$Z$2253*AVERAGE('Assumptions (Petroleum)'!$V$2:$X$2)/10^9,0)</f>
        <v>0</v>
      </c>
      <c r="AO2437" s="160">
        <f>IF($Z$2253&gt;0,'Assumptions (Petroleum)'!AK$10*Model!$Z$2253*AVERAGE('Assumptions (Petroleum)'!$V$2:$X$2)/10^9,0)</f>
        <v>0</v>
      </c>
      <c r="AP2437" s="160"/>
      <c r="AQ2437" s="160"/>
      <c r="AR2437" s="160"/>
      <c r="AS2437" s="160"/>
      <c r="AT2437" s="160"/>
      <c r="AU2437" s="160"/>
      <c r="AV2437" s="160"/>
      <c r="AW2437" s="160"/>
      <c r="AX2437" s="160"/>
      <c r="AY2437" s="160"/>
      <c r="AZ2437" s="160"/>
      <c r="BA2437" s="160"/>
    </row>
    <row r="2438" ht="15.75" hidden="1" customHeight="1" outlineLevel="1">
      <c r="A2438" s="328"/>
      <c r="B2438" s="38"/>
      <c r="C2438" s="174"/>
      <c r="D2438" s="174"/>
      <c r="E2438" s="174"/>
      <c r="F2438" s="174"/>
      <c r="G2438" s="174"/>
      <c r="H2438" s="174"/>
      <c r="I2438" s="174"/>
      <c r="J2438" s="174"/>
      <c r="K2438" s="174"/>
      <c r="L2438" s="174"/>
      <c r="M2438" s="174"/>
      <c r="N2438" s="174"/>
      <c r="O2438" s="174"/>
      <c r="P2438" s="174"/>
      <c r="Q2438" s="174"/>
      <c r="R2438" s="174"/>
      <c r="S2438" s="174"/>
      <c r="T2438" s="174"/>
      <c r="U2438" s="174"/>
      <c r="V2438" s="174"/>
      <c r="W2438" s="160"/>
      <c r="X2438" s="160"/>
      <c r="Y2438" s="160"/>
      <c r="Z2438" s="160"/>
      <c r="AA2438" s="160">
        <f>IF($AA$2253&gt;0,'Assumptions (Petroleum)'!V$10*Model!$AA$2253*AVERAGE('Assumptions (Petroleum)'!$W$2:$Y$2)/10^9,0)</f>
        <v>0</v>
      </c>
      <c r="AB2438" s="160">
        <f>IF($AA$2253&gt;0,'Assumptions (Petroleum)'!W$10*Model!$AA$2253*AVERAGE('Assumptions (Petroleum)'!$W$2:$Y$2)/10^9,0)</f>
        <v>0</v>
      </c>
      <c r="AC2438" s="160">
        <f>IF($AA$2253&gt;0,'Assumptions (Petroleum)'!X$10*Model!$AA$2253*AVERAGE('Assumptions (Petroleum)'!$W$2:$Y$2)/10^9,0)</f>
        <v>0</v>
      </c>
      <c r="AD2438" s="160">
        <f>IF($AA$2253&gt;0,'Assumptions (Petroleum)'!Y$10*Model!$AA$2253*AVERAGE('Assumptions (Petroleum)'!$W$2:$Y$2)/10^9,0)</f>
        <v>0</v>
      </c>
      <c r="AE2438" s="160">
        <f>IF($AA$2253&gt;0,'Assumptions (Petroleum)'!Z$10*Model!$AA$2253*AVERAGE('Assumptions (Petroleum)'!$W$2:$Y$2)/10^9,0)</f>
        <v>0</v>
      </c>
      <c r="AF2438" s="160">
        <f>IF($AA$2253&gt;0,'Assumptions (Petroleum)'!AA$10*Model!$AA$2253*AVERAGE('Assumptions (Petroleum)'!$W$2:$Y$2)/10^9,0)</f>
        <v>0</v>
      </c>
      <c r="AG2438" s="160">
        <f>IF($AA$2253&gt;0,'Assumptions (Petroleum)'!AB$10*Model!$AA$2253*AVERAGE('Assumptions (Petroleum)'!$W$2:$Y$2)/10^9,0)</f>
        <v>0</v>
      </c>
      <c r="AH2438" s="160">
        <f>IF($AA$2253&gt;0,'Assumptions (Petroleum)'!AC$10*Model!$AA$2253*AVERAGE('Assumptions (Petroleum)'!$W$2:$Y$2)/10^9,0)</f>
        <v>0</v>
      </c>
      <c r="AI2438" s="160">
        <f>IF($AA$2253&gt;0,'Assumptions (Petroleum)'!AD$10*Model!$AA$2253*AVERAGE('Assumptions (Petroleum)'!$W$2:$Y$2)/10^9,0)</f>
        <v>0</v>
      </c>
      <c r="AJ2438" s="160">
        <f>IF($AA$2253&gt;0,'Assumptions (Petroleum)'!AE$10*Model!$AA$2253*AVERAGE('Assumptions (Petroleum)'!$W$2:$Y$2)/10^9,0)</f>
        <v>0</v>
      </c>
      <c r="AK2438" s="160">
        <f>IF($AA$2253&gt;0,'Assumptions (Petroleum)'!AF$10*Model!$AA$2253*AVERAGE('Assumptions (Petroleum)'!$W$2:$Y$2)/10^9,0)</f>
        <v>0</v>
      </c>
      <c r="AL2438" s="160">
        <f>IF($AA$2253&gt;0,'Assumptions (Petroleum)'!AG$10*Model!$AA$2253*AVERAGE('Assumptions (Petroleum)'!$W$2:$Y$2)/10^9,0)</f>
        <v>0</v>
      </c>
      <c r="AM2438" s="160">
        <f>IF($AA$2253&gt;0,'Assumptions (Petroleum)'!AH$10*Model!$AA$2253*AVERAGE('Assumptions (Petroleum)'!$W$2:$Y$2)/10^9,0)</f>
        <v>0</v>
      </c>
      <c r="AN2438" s="160">
        <f>IF($AA$2253&gt;0,'Assumptions (Petroleum)'!AI$10*Model!$AA$2253*AVERAGE('Assumptions (Petroleum)'!$W$2:$Y$2)/10^9,0)</f>
        <v>0</v>
      </c>
      <c r="AO2438" s="160">
        <f>IF($AA$2253&gt;0,'Assumptions (Petroleum)'!AJ$10*Model!$AA$2253*AVERAGE('Assumptions (Petroleum)'!$W$2:$Y$2)/10^9,0)</f>
        <v>0</v>
      </c>
      <c r="AP2438" s="160">
        <f>IF($AA$2253&gt;0,'Assumptions (Petroleum)'!AK$10*Model!$AA$2253*AVERAGE('Assumptions (Petroleum)'!$W$2:$Y$2)/10^9,0)</f>
        <v>0</v>
      </c>
      <c r="AQ2438" s="160"/>
      <c r="AR2438" s="160"/>
      <c r="AS2438" s="160"/>
      <c r="AT2438" s="160"/>
      <c r="AU2438" s="160"/>
      <c r="AV2438" s="160"/>
      <c r="AW2438" s="160"/>
      <c r="AX2438" s="160"/>
      <c r="AY2438" s="160"/>
      <c r="AZ2438" s="160"/>
      <c r="BA2438" s="160"/>
    </row>
    <row r="2439" ht="15.75" hidden="1" customHeight="1" outlineLevel="1">
      <c r="A2439" s="328"/>
      <c r="B2439" s="38"/>
      <c r="C2439" s="174"/>
      <c r="D2439" s="174"/>
      <c r="E2439" s="174"/>
      <c r="F2439" s="174"/>
      <c r="G2439" s="174"/>
      <c r="H2439" s="174"/>
      <c r="I2439" s="174"/>
      <c r="J2439" s="174"/>
      <c r="K2439" s="174"/>
      <c r="L2439" s="174"/>
      <c r="M2439" s="174"/>
      <c r="N2439" s="174"/>
      <c r="O2439" s="174"/>
      <c r="P2439" s="174"/>
      <c r="Q2439" s="174"/>
      <c r="R2439" s="174"/>
      <c r="S2439" s="174"/>
      <c r="T2439" s="174"/>
      <c r="U2439" s="174"/>
      <c r="V2439" s="174"/>
      <c r="W2439" s="160"/>
      <c r="X2439" s="160"/>
      <c r="Y2439" s="160"/>
      <c r="Z2439" s="160"/>
      <c r="AA2439" s="160"/>
      <c r="AB2439" s="160">
        <f>IF($AB$2253&gt;0,'Assumptions (Petroleum)'!V$10*Model!$AB$2253*AVERAGE('Assumptions (Petroleum)'!$X$2:$Z$2)/10^9,0)</f>
        <v>0</v>
      </c>
      <c r="AC2439" s="160">
        <f>IF($AB$2253&gt;0,'Assumptions (Petroleum)'!W$10*Model!$AB$2253*AVERAGE('Assumptions (Petroleum)'!$X$2:$Z$2)/10^9,0)</f>
        <v>0</v>
      </c>
      <c r="AD2439" s="160">
        <f>IF($AB$2253&gt;0,'Assumptions (Petroleum)'!X$10*Model!$AB$2253*AVERAGE('Assumptions (Petroleum)'!$X$2:$Z$2)/10^9,0)</f>
        <v>0</v>
      </c>
      <c r="AE2439" s="160">
        <f>IF($AB$2253&gt;0,'Assumptions (Petroleum)'!Y$10*Model!$AB$2253*AVERAGE('Assumptions (Petroleum)'!$X$2:$Z$2)/10^9,0)</f>
        <v>0</v>
      </c>
      <c r="AF2439" s="160">
        <f>IF($AB$2253&gt;0,'Assumptions (Petroleum)'!Z$10*Model!$AB$2253*AVERAGE('Assumptions (Petroleum)'!$X$2:$Z$2)/10^9,0)</f>
        <v>0</v>
      </c>
      <c r="AG2439" s="160">
        <f>IF($AB$2253&gt;0,'Assumptions (Petroleum)'!AA$10*Model!$AB$2253*AVERAGE('Assumptions (Petroleum)'!$X$2:$Z$2)/10^9,0)</f>
        <v>0</v>
      </c>
      <c r="AH2439" s="160">
        <f>IF($AB$2253&gt;0,'Assumptions (Petroleum)'!AB$10*Model!$AB$2253*AVERAGE('Assumptions (Petroleum)'!$X$2:$Z$2)/10^9,0)</f>
        <v>0</v>
      </c>
      <c r="AI2439" s="160">
        <f>IF($AB$2253&gt;0,'Assumptions (Petroleum)'!AC$10*Model!$AB$2253*AVERAGE('Assumptions (Petroleum)'!$X$2:$Z$2)/10^9,0)</f>
        <v>0</v>
      </c>
      <c r="AJ2439" s="160">
        <f>IF($AB$2253&gt;0,'Assumptions (Petroleum)'!AD$10*Model!$AB$2253*AVERAGE('Assumptions (Petroleum)'!$X$2:$Z$2)/10^9,0)</f>
        <v>0</v>
      </c>
      <c r="AK2439" s="160">
        <f>IF($AB$2253&gt;0,'Assumptions (Petroleum)'!AE$10*Model!$AB$2253*AVERAGE('Assumptions (Petroleum)'!$X$2:$Z$2)/10^9,0)</f>
        <v>0</v>
      </c>
      <c r="AL2439" s="160">
        <f>IF($AB$2253&gt;0,'Assumptions (Petroleum)'!AF$10*Model!$AB$2253*AVERAGE('Assumptions (Petroleum)'!$X$2:$Z$2)/10^9,0)</f>
        <v>0</v>
      </c>
      <c r="AM2439" s="160">
        <f>IF($AB$2253&gt;0,'Assumptions (Petroleum)'!AG$10*Model!$AB$2253*AVERAGE('Assumptions (Petroleum)'!$X$2:$Z$2)/10^9,0)</f>
        <v>0</v>
      </c>
      <c r="AN2439" s="160">
        <f>IF($AB$2253&gt;0,'Assumptions (Petroleum)'!AH$10*Model!$AB$2253*AVERAGE('Assumptions (Petroleum)'!$X$2:$Z$2)/10^9,0)</f>
        <v>0</v>
      </c>
      <c r="AO2439" s="160">
        <f>IF($AB$2253&gt;0,'Assumptions (Petroleum)'!AI$10*Model!$AB$2253*AVERAGE('Assumptions (Petroleum)'!$X$2:$Z$2)/10^9,0)</f>
        <v>0</v>
      </c>
      <c r="AP2439" s="160">
        <f>IF($AB$2253&gt;0,'Assumptions (Petroleum)'!AJ$10*Model!$AB$2253*AVERAGE('Assumptions (Petroleum)'!$X$2:$Z$2)/10^9,0)</f>
        <v>0</v>
      </c>
      <c r="AQ2439" s="160">
        <f>IF($AB$2253&gt;0,'Assumptions (Petroleum)'!AK$10*Model!$AB$2253*AVERAGE('Assumptions (Petroleum)'!$X$2:$Z$2)/10^9,0)</f>
        <v>0</v>
      </c>
      <c r="AR2439" s="160"/>
      <c r="AS2439" s="160"/>
      <c r="AT2439" s="160"/>
      <c r="AU2439" s="160"/>
      <c r="AV2439" s="160"/>
      <c r="AW2439" s="160"/>
      <c r="AX2439" s="160"/>
      <c r="AY2439" s="160"/>
      <c r="AZ2439" s="160"/>
      <c r="BA2439" s="160"/>
    </row>
    <row r="2440" ht="15.75" hidden="1" customHeight="1" outlineLevel="1">
      <c r="A2440" s="328"/>
      <c r="B2440" s="38"/>
      <c r="C2440" s="174"/>
      <c r="D2440" s="174"/>
      <c r="E2440" s="174"/>
      <c r="F2440" s="174"/>
      <c r="G2440" s="174"/>
      <c r="H2440" s="174"/>
      <c r="I2440" s="174"/>
      <c r="J2440" s="174"/>
      <c r="K2440" s="174"/>
      <c r="L2440" s="174"/>
      <c r="M2440" s="174"/>
      <c r="N2440" s="174"/>
      <c r="O2440" s="174"/>
      <c r="P2440" s="174"/>
      <c r="Q2440" s="174"/>
      <c r="R2440" s="174"/>
      <c r="S2440" s="174"/>
      <c r="T2440" s="174"/>
      <c r="U2440" s="174"/>
      <c r="V2440" s="174"/>
      <c r="W2440" s="160"/>
      <c r="X2440" s="160"/>
      <c r="Y2440" s="160"/>
      <c r="Z2440" s="160"/>
      <c r="AA2440" s="160"/>
      <c r="AB2440" s="160"/>
      <c r="AC2440" s="160">
        <f>IF($AC$2253&gt;0,'Assumptions (Petroleum)'!V$10*Model!$AC$2253*AVERAGE('Assumptions (Petroleum)'!$Y$2:$AA$2)/10^9,0)</f>
        <v>0</v>
      </c>
      <c r="AD2440" s="160">
        <f>IF($AC$2253&gt;0,'Assumptions (Petroleum)'!W$10*Model!$AC$2253*AVERAGE('Assumptions (Petroleum)'!$Y$2:$AA$2)/10^9,0)</f>
        <v>0</v>
      </c>
      <c r="AE2440" s="160">
        <f>IF($AC$2253&gt;0,'Assumptions (Petroleum)'!X$10*Model!$AC$2253*AVERAGE('Assumptions (Petroleum)'!$Y$2:$AA$2)/10^9,0)</f>
        <v>0</v>
      </c>
      <c r="AF2440" s="160">
        <f>IF($AC$2253&gt;0,'Assumptions (Petroleum)'!Y$10*Model!$AC$2253*AVERAGE('Assumptions (Petroleum)'!$Y$2:$AA$2)/10^9,0)</f>
        <v>0</v>
      </c>
      <c r="AG2440" s="160">
        <f>IF($AC$2253&gt;0,'Assumptions (Petroleum)'!Z$10*Model!$AC$2253*AVERAGE('Assumptions (Petroleum)'!$Y$2:$AA$2)/10^9,0)</f>
        <v>0</v>
      </c>
      <c r="AH2440" s="160">
        <f>IF($AC$2253&gt;0,'Assumptions (Petroleum)'!AA$10*Model!$AC$2253*AVERAGE('Assumptions (Petroleum)'!$Y$2:$AA$2)/10^9,0)</f>
        <v>0</v>
      </c>
      <c r="AI2440" s="160">
        <f>IF($AC$2253&gt;0,'Assumptions (Petroleum)'!AB$10*Model!$AC$2253*AVERAGE('Assumptions (Petroleum)'!$Y$2:$AA$2)/10^9,0)</f>
        <v>0</v>
      </c>
      <c r="AJ2440" s="160">
        <f>IF($AC$2253&gt;0,'Assumptions (Petroleum)'!AC$10*Model!$AC$2253*AVERAGE('Assumptions (Petroleum)'!$Y$2:$AA$2)/10^9,0)</f>
        <v>0</v>
      </c>
      <c r="AK2440" s="160">
        <f>IF($AC$2253&gt;0,'Assumptions (Petroleum)'!AD$10*Model!$AC$2253*AVERAGE('Assumptions (Petroleum)'!$Y$2:$AA$2)/10^9,0)</f>
        <v>0</v>
      </c>
      <c r="AL2440" s="160">
        <f>IF($AC$2253&gt;0,'Assumptions (Petroleum)'!AE$10*Model!$AC$2253*AVERAGE('Assumptions (Petroleum)'!$Y$2:$AA$2)/10^9,0)</f>
        <v>0</v>
      </c>
      <c r="AM2440" s="160">
        <f>IF($AC$2253&gt;0,'Assumptions (Petroleum)'!AF$10*Model!$AC$2253*AVERAGE('Assumptions (Petroleum)'!$Y$2:$AA$2)/10^9,0)</f>
        <v>0</v>
      </c>
      <c r="AN2440" s="160">
        <f>IF($AC$2253&gt;0,'Assumptions (Petroleum)'!AG$10*Model!$AC$2253*AVERAGE('Assumptions (Petroleum)'!$Y$2:$AA$2)/10^9,0)</f>
        <v>0</v>
      </c>
      <c r="AO2440" s="160">
        <f>IF($AC$2253&gt;0,'Assumptions (Petroleum)'!AH$10*Model!$AC$2253*AVERAGE('Assumptions (Petroleum)'!$Y$2:$AA$2)/10^9,0)</f>
        <v>0</v>
      </c>
      <c r="AP2440" s="160">
        <f>IF($AC$2253&gt;0,'Assumptions (Petroleum)'!AI$10*Model!$AC$2253*AVERAGE('Assumptions (Petroleum)'!$Y$2:$AA$2)/10^9,0)</f>
        <v>0</v>
      </c>
      <c r="AQ2440" s="160">
        <f>IF($AC$2253&gt;0,'Assumptions (Petroleum)'!AJ$10*Model!$AC$2253*AVERAGE('Assumptions (Petroleum)'!$Y$2:$AA$2)/10^9,0)</f>
        <v>0</v>
      </c>
      <c r="AR2440" s="160">
        <f>IF($AC$2253&gt;0,'Assumptions (Petroleum)'!AK$10*Model!$AC$2253*AVERAGE('Assumptions (Petroleum)'!$Y$2:$AA$2)/10^9,0)</f>
        <v>0</v>
      </c>
      <c r="AS2440" s="160"/>
      <c r="AT2440" s="160"/>
      <c r="AU2440" s="160"/>
      <c r="AV2440" s="160"/>
      <c r="AW2440" s="160"/>
      <c r="AX2440" s="160"/>
      <c r="AY2440" s="160"/>
      <c r="AZ2440" s="160"/>
      <c r="BA2440" s="160"/>
    </row>
    <row r="2441" ht="15.75" hidden="1" customHeight="1" outlineLevel="1">
      <c r="A2441" s="328"/>
      <c r="B2441" s="38"/>
      <c r="C2441" s="174"/>
      <c r="D2441" s="174"/>
      <c r="E2441" s="174"/>
      <c r="F2441" s="174"/>
      <c r="G2441" s="174"/>
      <c r="H2441" s="174"/>
      <c r="I2441" s="174"/>
      <c r="J2441" s="174"/>
      <c r="K2441" s="174"/>
      <c r="L2441" s="174"/>
      <c r="M2441" s="174"/>
      <c r="N2441" s="174"/>
      <c r="O2441" s="174"/>
      <c r="P2441" s="174"/>
      <c r="Q2441" s="174"/>
      <c r="R2441" s="174"/>
      <c r="S2441" s="174"/>
      <c r="T2441" s="174"/>
      <c r="U2441" s="174"/>
      <c r="V2441" s="174"/>
      <c r="W2441" s="160"/>
      <c r="X2441" s="160"/>
      <c r="Y2441" s="160"/>
      <c r="Z2441" s="160"/>
      <c r="AA2441" s="160"/>
      <c r="AB2441" s="160"/>
      <c r="AC2441" s="160"/>
      <c r="AD2441" s="160">
        <f>IF($AD$2253&gt;0,'Assumptions (Petroleum)'!V$10*Model!$AD$2253*AVERAGE('Assumptions (Petroleum)'!$Z$2:$AB$2)/10^9,0)</f>
        <v>0</v>
      </c>
      <c r="AE2441" s="160">
        <f>IF($AD$2253&gt;0,'Assumptions (Petroleum)'!W$10*Model!$AD$2253*AVERAGE('Assumptions (Petroleum)'!$Z$2:$AB$2)/10^9,0)</f>
        <v>0</v>
      </c>
      <c r="AF2441" s="160">
        <f>IF($AD$2253&gt;0,'Assumptions (Petroleum)'!X$10*Model!$AD$2253*AVERAGE('Assumptions (Petroleum)'!$Z$2:$AB$2)/10^9,0)</f>
        <v>0</v>
      </c>
      <c r="AG2441" s="160">
        <f>IF($AD$2253&gt;0,'Assumptions (Petroleum)'!Y$10*Model!$AD$2253*AVERAGE('Assumptions (Petroleum)'!$Z$2:$AB$2)/10^9,0)</f>
        <v>0</v>
      </c>
      <c r="AH2441" s="160">
        <f>IF($AD$2253&gt;0,'Assumptions (Petroleum)'!Z$10*Model!$AD$2253*AVERAGE('Assumptions (Petroleum)'!$Z$2:$AB$2)/10^9,0)</f>
        <v>0</v>
      </c>
      <c r="AI2441" s="160">
        <f>IF($AD$2253&gt;0,'Assumptions (Petroleum)'!AA$10*Model!$AD$2253*AVERAGE('Assumptions (Petroleum)'!$Z$2:$AB$2)/10^9,0)</f>
        <v>0</v>
      </c>
      <c r="AJ2441" s="160">
        <f>IF($AD$2253&gt;0,'Assumptions (Petroleum)'!AB$10*Model!$AD$2253*AVERAGE('Assumptions (Petroleum)'!$Z$2:$AB$2)/10^9,0)</f>
        <v>0</v>
      </c>
      <c r="AK2441" s="160">
        <f>IF($AD$2253&gt;0,'Assumptions (Petroleum)'!AC$10*Model!$AD$2253*AVERAGE('Assumptions (Petroleum)'!$Z$2:$AB$2)/10^9,0)</f>
        <v>0</v>
      </c>
      <c r="AL2441" s="160">
        <f>IF($AD$2253&gt;0,'Assumptions (Petroleum)'!AD$10*Model!$AD$2253*AVERAGE('Assumptions (Petroleum)'!$Z$2:$AB$2)/10^9,0)</f>
        <v>0</v>
      </c>
      <c r="AM2441" s="160">
        <f>IF($AD$2253&gt;0,'Assumptions (Petroleum)'!AE$10*Model!$AD$2253*AVERAGE('Assumptions (Petroleum)'!$Z$2:$AB$2)/10^9,0)</f>
        <v>0</v>
      </c>
      <c r="AN2441" s="160">
        <f>IF($AD$2253&gt;0,'Assumptions (Petroleum)'!AF$10*Model!$AD$2253*AVERAGE('Assumptions (Petroleum)'!$Z$2:$AB$2)/10^9,0)</f>
        <v>0</v>
      </c>
      <c r="AO2441" s="160">
        <f>IF($AD$2253&gt;0,'Assumptions (Petroleum)'!AG$10*Model!$AD$2253*AVERAGE('Assumptions (Petroleum)'!$Z$2:$AB$2)/10^9,0)</f>
        <v>0</v>
      </c>
      <c r="AP2441" s="160">
        <f>IF($AD$2253&gt;0,'Assumptions (Petroleum)'!AH$10*Model!$AD$2253*AVERAGE('Assumptions (Petroleum)'!$Z$2:$AB$2)/10^9,0)</f>
        <v>0</v>
      </c>
      <c r="AQ2441" s="160">
        <f>IF($AD$2253&gt;0,'Assumptions (Petroleum)'!AI$10*Model!$AD$2253*AVERAGE('Assumptions (Petroleum)'!$Z$2:$AB$2)/10^9,0)</f>
        <v>0</v>
      </c>
      <c r="AR2441" s="160">
        <f>IF($AD$2253&gt;0,'Assumptions (Petroleum)'!AJ$10*Model!$AD$2253*AVERAGE('Assumptions (Petroleum)'!$Z$2:$AB$2)/10^9,0)</f>
        <v>0</v>
      </c>
      <c r="AS2441" s="160">
        <f>IF($AD$2253&gt;0,'Assumptions (Petroleum)'!AK$10*Model!$AD$2253*AVERAGE('Assumptions (Petroleum)'!$Z$2:$AB$2)/10^9,0)</f>
        <v>0</v>
      </c>
      <c r="AT2441" s="160"/>
      <c r="AU2441" s="160"/>
      <c r="AV2441" s="160"/>
      <c r="AW2441" s="160"/>
      <c r="AX2441" s="160"/>
      <c r="AY2441" s="160"/>
      <c r="AZ2441" s="160"/>
      <c r="BA2441" s="160"/>
      <c r="BB2441" s="160"/>
    </row>
    <row r="2442" ht="15.75" hidden="1" customHeight="1" outlineLevel="1">
      <c r="A2442" s="328"/>
      <c r="B2442" s="38"/>
      <c r="C2442" s="174"/>
      <c r="D2442" s="174"/>
      <c r="E2442" s="174"/>
      <c r="F2442" s="174"/>
      <c r="G2442" s="174"/>
      <c r="H2442" s="174"/>
      <c r="I2442" s="174"/>
      <c r="J2442" s="174"/>
      <c r="K2442" s="174"/>
      <c r="L2442" s="174"/>
      <c r="M2442" s="174"/>
      <c r="N2442" s="174"/>
      <c r="O2442" s="174"/>
      <c r="P2442" s="174"/>
      <c r="Q2442" s="174"/>
      <c r="R2442" s="174"/>
      <c r="S2442" s="174"/>
      <c r="T2442" s="174"/>
      <c r="U2442" s="174"/>
      <c r="V2442" s="174"/>
      <c r="W2442" s="160"/>
      <c r="X2442" s="160"/>
      <c r="Y2442" s="160"/>
      <c r="Z2442" s="160"/>
      <c r="AA2442" s="160"/>
      <c r="AB2442" s="160"/>
      <c r="AC2442" s="160"/>
      <c r="AD2442" s="160"/>
      <c r="AE2442" s="160">
        <f>IF($AE$2253&gt;0,'Assumptions (Petroleum)'!V$10*Model!$AE$2253*AVERAGE('Assumptions (Petroleum)'!$AA$2:$AC$2)/10^9,0)</f>
        <v>0</v>
      </c>
      <c r="AF2442" s="160">
        <f>IF($AE$2253&gt;0,'Assumptions (Petroleum)'!W$10*Model!$AE$2253*AVERAGE('Assumptions (Petroleum)'!$AA$2:$AC$2)/10^9,0)</f>
        <v>0</v>
      </c>
      <c r="AG2442" s="160">
        <f>IF($AE$2253&gt;0,'Assumptions (Petroleum)'!X$10*Model!$AE$2253*AVERAGE('Assumptions (Petroleum)'!$AA$2:$AC$2)/10^9,0)</f>
        <v>0</v>
      </c>
      <c r="AH2442" s="160">
        <f>IF($AE$2253&gt;0,'Assumptions (Petroleum)'!Y$10*Model!$AE$2253*AVERAGE('Assumptions (Petroleum)'!$AA$2:$AC$2)/10^9,0)</f>
        <v>0</v>
      </c>
      <c r="AI2442" s="160">
        <f>IF($AE$2253&gt;0,'Assumptions (Petroleum)'!Z$10*Model!$AE$2253*AVERAGE('Assumptions (Petroleum)'!$AA$2:$AC$2)/10^9,0)</f>
        <v>0</v>
      </c>
      <c r="AJ2442" s="160">
        <f>IF($AE$2253&gt;0,'Assumptions (Petroleum)'!AA$10*Model!$AE$2253*AVERAGE('Assumptions (Petroleum)'!$AA$2:$AC$2)/10^9,0)</f>
        <v>0</v>
      </c>
      <c r="AK2442" s="160">
        <f>IF($AE$2253&gt;0,'Assumptions (Petroleum)'!AB$10*Model!$AE$2253*AVERAGE('Assumptions (Petroleum)'!$AA$2:$AC$2)/10^9,0)</f>
        <v>0</v>
      </c>
      <c r="AL2442" s="160">
        <f>IF($AE$2253&gt;0,'Assumptions (Petroleum)'!AC$10*Model!$AE$2253*AVERAGE('Assumptions (Petroleum)'!$AA$2:$AC$2)/10^9,0)</f>
        <v>0</v>
      </c>
      <c r="AM2442" s="160">
        <f>IF($AE$2253&gt;0,'Assumptions (Petroleum)'!AD$10*Model!$AE$2253*AVERAGE('Assumptions (Petroleum)'!$AA$2:$AC$2)/10^9,0)</f>
        <v>0</v>
      </c>
      <c r="AN2442" s="160">
        <f>IF($AE$2253&gt;0,'Assumptions (Petroleum)'!AE$10*Model!$AE$2253*AVERAGE('Assumptions (Petroleum)'!$AA$2:$AC$2)/10^9,0)</f>
        <v>0</v>
      </c>
      <c r="AO2442" s="160">
        <f>IF($AE$2253&gt;0,'Assumptions (Petroleum)'!AF$10*Model!$AE$2253*AVERAGE('Assumptions (Petroleum)'!$AA$2:$AC$2)/10^9,0)</f>
        <v>0</v>
      </c>
      <c r="AP2442" s="160">
        <f>IF($AE$2253&gt;0,'Assumptions (Petroleum)'!AG$10*Model!$AE$2253*AVERAGE('Assumptions (Petroleum)'!$AA$2:$AC$2)/10^9,0)</f>
        <v>0</v>
      </c>
      <c r="AQ2442" s="160">
        <f>IF($AE$2253&gt;0,'Assumptions (Petroleum)'!AH$10*Model!$AE$2253*AVERAGE('Assumptions (Petroleum)'!$AA$2:$AC$2)/10^9,0)</f>
        <v>0</v>
      </c>
      <c r="AR2442" s="160">
        <f>IF($AE$2253&gt;0,'Assumptions (Petroleum)'!AI$10*Model!$AE$2253*AVERAGE('Assumptions (Petroleum)'!$AA$2:$AC$2)/10^9,0)</f>
        <v>0</v>
      </c>
      <c r="AS2442" s="160">
        <f>IF($AE$2253&gt;0,'Assumptions (Petroleum)'!AJ$10*Model!$AE$2253*AVERAGE('Assumptions (Petroleum)'!$AA$2:$AC$2)/10^9,0)</f>
        <v>0</v>
      </c>
      <c r="AT2442" s="160">
        <f>IF($AE$2253&gt;0,'Assumptions (Petroleum)'!AK$10*Model!$AE$2253*AVERAGE('Assumptions (Petroleum)'!$AA$2:$AC$2)/10^9,0)</f>
        <v>0</v>
      </c>
      <c r="AU2442" s="160"/>
      <c r="AV2442" s="160"/>
      <c r="AW2442" s="160"/>
      <c r="AX2442" s="160"/>
      <c r="AY2442" s="160"/>
      <c r="AZ2442" s="160"/>
      <c r="BA2442" s="160"/>
      <c r="BB2442" s="160"/>
      <c r="BC2442" s="160"/>
    </row>
    <row r="2443" ht="15.75" hidden="1" customHeight="1" outlineLevel="1">
      <c r="A2443" s="328"/>
      <c r="B2443" s="38"/>
      <c r="C2443" s="174"/>
      <c r="D2443" s="174"/>
      <c r="E2443" s="174"/>
      <c r="F2443" s="174"/>
      <c r="G2443" s="174"/>
      <c r="H2443" s="174"/>
      <c r="I2443" s="174"/>
      <c r="J2443" s="174"/>
      <c r="K2443" s="174"/>
      <c r="L2443" s="174"/>
      <c r="M2443" s="174"/>
      <c r="N2443" s="174"/>
      <c r="O2443" s="174"/>
      <c r="P2443" s="174"/>
      <c r="Q2443" s="174"/>
      <c r="R2443" s="174"/>
      <c r="S2443" s="174"/>
      <c r="T2443" s="174"/>
      <c r="U2443" s="174"/>
      <c r="V2443" s="174"/>
      <c r="W2443" s="160"/>
      <c r="X2443" s="160"/>
      <c r="Y2443" s="160"/>
      <c r="Z2443" s="160"/>
      <c r="AA2443" s="160"/>
      <c r="AB2443" s="160"/>
      <c r="AC2443" s="160"/>
      <c r="AD2443" s="160"/>
      <c r="AE2443" s="160"/>
      <c r="AF2443" s="160">
        <f>IF($AF$2253&gt;0,'Assumptions (Petroleum)'!V$10*Model!$AF$2253*AVERAGE('Assumptions (Petroleum)'!$AB$2:$AD$2)/10^9,0)</f>
        <v>0</v>
      </c>
      <c r="AG2443" s="160">
        <f>IF($AF$2253&gt;0,'Assumptions (Petroleum)'!W$10*Model!$AF$2253*AVERAGE('Assumptions (Petroleum)'!$AB$2:$AD$2)/10^9,0)</f>
        <v>0</v>
      </c>
      <c r="AH2443" s="160">
        <f>IF($AF$2253&gt;0,'Assumptions (Petroleum)'!X$10*Model!$AF$2253*AVERAGE('Assumptions (Petroleum)'!$AB$2:$AD$2)/10^9,0)</f>
        <v>0</v>
      </c>
      <c r="AI2443" s="160">
        <f>IF($AF$2253&gt;0,'Assumptions (Petroleum)'!Y$10*Model!$AF$2253*AVERAGE('Assumptions (Petroleum)'!$AB$2:$AD$2)/10^9,0)</f>
        <v>0</v>
      </c>
      <c r="AJ2443" s="160">
        <f>IF($AF$2253&gt;0,'Assumptions (Petroleum)'!Z$10*Model!$AF$2253*AVERAGE('Assumptions (Petroleum)'!$AB$2:$AD$2)/10^9,0)</f>
        <v>0</v>
      </c>
      <c r="AK2443" s="160">
        <f>IF($AF$2253&gt;0,'Assumptions (Petroleum)'!AA$10*Model!$AF$2253*AVERAGE('Assumptions (Petroleum)'!$AB$2:$AD$2)/10^9,0)</f>
        <v>0</v>
      </c>
      <c r="AL2443" s="160">
        <f>IF($AF$2253&gt;0,'Assumptions (Petroleum)'!AB$10*Model!$AF$2253*AVERAGE('Assumptions (Petroleum)'!$AB$2:$AD$2)/10^9,0)</f>
        <v>0</v>
      </c>
      <c r="AM2443" s="160">
        <f>IF($AF$2253&gt;0,'Assumptions (Petroleum)'!AC$10*Model!$AF$2253*AVERAGE('Assumptions (Petroleum)'!$AB$2:$AD$2)/10^9,0)</f>
        <v>0</v>
      </c>
      <c r="AN2443" s="160">
        <f>IF($AF$2253&gt;0,'Assumptions (Petroleum)'!AD$10*Model!$AF$2253*AVERAGE('Assumptions (Petroleum)'!$AB$2:$AD$2)/10^9,0)</f>
        <v>0</v>
      </c>
      <c r="AO2443" s="160">
        <f>IF($AF$2253&gt;0,'Assumptions (Petroleum)'!AE$10*Model!$AF$2253*AVERAGE('Assumptions (Petroleum)'!$AB$2:$AD$2)/10^9,0)</f>
        <v>0</v>
      </c>
      <c r="AP2443" s="160">
        <f>IF($AF$2253&gt;0,'Assumptions (Petroleum)'!AF$10*Model!$AF$2253*AVERAGE('Assumptions (Petroleum)'!$AB$2:$AD$2)/10^9,0)</f>
        <v>0</v>
      </c>
      <c r="AQ2443" s="160">
        <f>IF($AF$2253&gt;0,'Assumptions (Petroleum)'!AG$10*Model!$AF$2253*AVERAGE('Assumptions (Petroleum)'!$AB$2:$AD$2)/10^9,0)</f>
        <v>0</v>
      </c>
      <c r="AR2443" s="160">
        <f>IF($AF$2253&gt;0,'Assumptions (Petroleum)'!AH$10*Model!$AF$2253*AVERAGE('Assumptions (Petroleum)'!$AB$2:$AD$2)/10^9,0)</f>
        <v>0</v>
      </c>
      <c r="AS2443" s="160">
        <f>IF($AF$2253&gt;0,'Assumptions (Petroleum)'!AI$10*Model!$AF$2253*AVERAGE('Assumptions (Petroleum)'!$AB$2:$AD$2)/10^9,0)</f>
        <v>0</v>
      </c>
      <c r="AT2443" s="160">
        <f>IF($AF$2253&gt;0,'Assumptions (Petroleum)'!AJ$10*Model!$AF$2253*AVERAGE('Assumptions (Petroleum)'!$AB$2:$AD$2)/10^9,0)</f>
        <v>0</v>
      </c>
      <c r="AU2443" s="160">
        <f>IF($AF$2253&gt;0,'Assumptions (Petroleum)'!AK$10*Model!$AF$2253*AVERAGE('Assumptions (Petroleum)'!$AB$2:$AD$2)/10^9,0)</f>
        <v>0</v>
      </c>
      <c r="AV2443" s="160"/>
      <c r="AW2443" s="160"/>
      <c r="AX2443" s="160"/>
      <c r="AY2443" s="160"/>
      <c r="AZ2443" s="160"/>
      <c r="BA2443" s="160"/>
      <c r="BB2443" s="160"/>
      <c r="BC2443" s="160"/>
      <c r="BD2443" s="160"/>
    </row>
    <row r="2444" ht="15.75" hidden="1" customHeight="1" outlineLevel="1">
      <c r="A2444" s="328"/>
      <c r="B2444" s="38"/>
      <c r="C2444" s="174"/>
      <c r="D2444" s="174"/>
      <c r="E2444" s="174"/>
      <c r="F2444" s="174"/>
      <c r="G2444" s="174"/>
      <c r="H2444" s="174"/>
      <c r="I2444" s="174"/>
      <c r="J2444" s="174"/>
      <c r="K2444" s="174"/>
      <c r="L2444" s="174"/>
      <c r="M2444" s="174"/>
      <c r="N2444" s="174"/>
      <c r="O2444" s="174"/>
      <c r="P2444" s="174"/>
      <c r="Q2444" s="174"/>
      <c r="R2444" s="174"/>
      <c r="S2444" s="174"/>
      <c r="T2444" s="174"/>
      <c r="U2444" s="174"/>
      <c r="V2444" s="174"/>
      <c r="W2444" s="160"/>
      <c r="X2444" s="160"/>
      <c r="Y2444" s="160"/>
      <c r="Z2444" s="160"/>
      <c r="AA2444" s="160"/>
      <c r="AB2444" s="160"/>
      <c r="AC2444" s="160"/>
      <c r="AD2444" s="160"/>
      <c r="AE2444" s="160"/>
      <c r="AF2444" s="160"/>
      <c r="AG2444" s="160">
        <f>IF($AG$2253&gt;0,'Assumptions (Petroleum)'!V$10*Model!$AG$2253*AVERAGE('Assumptions (Petroleum)'!$AC$2:$AE$2)/10^9,0)</f>
        <v>0</v>
      </c>
      <c r="AH2444" s="160">
        <f>IF($AG$2253&gt;0,'Assumptions (Petroleum)'!W$10*Model!$AG$2253*AVERAGE('Assumptions (Petroleum)'!$AC$2:$AE$2)/10^9,0)</f>
        <v>0</v>
      </c>
      <c r="AI2444" s="160">
        <f>IF($AG$2253&gt;0,'Assumptions (Petroleum)'!X$10*Model!$AG$2253*AVERAGE('Assumptions (Petroleum)'!$AC$2:$AE$2)/10^9,0)</f>
        <v>0</v>
      </c>
      <c r="AJ2444" s="160">
        <f>IF($AG$2253&gt;0,'Assumptions (Petroleum)'!Y$10*Model!$AG$2253*AVERAGE('Assumptions (Petroleum)'!$AC$2:$AE$2)/10^9,0)</f>
        <v>0</v>
      </c>
      <c r="AK2444" s="160">
        <f>IF($AG$2253&gt;0,'Assumptions (Petroleum)'!Z$10*Model!$AG$2253*AVERAGE('Assumptions (Petroleum)'!$AC$2:$AE$2)/10^9,0)</f>
        <v>0</v>
      </c>
      <c r="AL2444" s="160">
        <f>IF($AG$2253&gt;0,'Assumptions (Petroleum)'!AA$10*Model!$AG$2253*AVERAGE('Assumptions (Petroleum)'!$AC$2:$AE$2)/10^9,0)</f>
        <v>0</v>
      </c>
      <c r="AM2444" s="160">
        <f>IF($AG$2253&gt;0,'Assumptions (Petroleum)'!AB$10*Model!$AG$2253*AVERAGE('Assumptions (Petroleum)'!$AC$2:$AE$2)/10^9,0)</f>
        <v>0</v>
      </c>
      <c r="AN2444" s="160">
        <f>IF($AG$2253&gt;0,'Assumptions (Petroleum)'!AC$10*Model!$AG$2253*AVERAGE('Assumptions (Petroleum)'!$AC$2:$AE$2)/10^9,0)</f>
        <v>0</v>
      </c>
      <c r="AO2444" s="160">
        <f>IF($AG$2253&gt;0,'Assumptions (Petroleum)'!AD$10*Model!$AG$2253*AVERAGE('Assumptions (Petroleum)'!$AC$2:$AE$2)/10^9,0)</f>
        <v>0</v>
      </c>
      <c r="AP2444" s="160">
        <f>IF($AG$2253&gt;0,'Assumptions (Petroleum)'!AE$10*Model!$AG$2253*AVERAGE('Assumptions (Petroleum)'!$AC$2:$AE$2)/10^9,0)</f>
        <v>0</v>
      </c>
      <c r="AQ2444" s="160">
        <f>IF($AG$2253&gt;0,'Assumptions (Petroleum)'!AF$10*Model!$AG$2253*AVERAGE('Assumptions (Petroleum)'!$AC$2:$AE$2)/10^9,0)</f>
        <v>0</v>
      </c>
      <c r="AR2444" s="160">
        <f>IF($AG$2253&gt;0,'Assumptions (Petroleum)'!AG$10*Model!$AG$2253*AVERAGE('Assumptions (Petroleum)'!$AC$2:$AE$2)/10^9,0)</f>
        <v>0</v>
      </c>
      <c r="AS2444" s="160">
        <f>IF($AG$2253&gt;0,'Assumptions (Petroleum)'!AH$10*Model!$AG$2253*AVERAGE('Assumptions (Petroleum)'!$AC$2:$AE$2)/10^9,0)</f>
        <v>0</v>
      </c>
      <c r="AT2444" s="160">
        <f>IF($AG$2253&gt;0,'Assumptions (Petroleum)'!AI$10*Model!$AG$2253*AVERAGE('Assumptions (Petroleum)'!$AC$2:$AE$2)/10^9,0)</f>
        <v>0</v>
      </c>
      <c r="AU2444" s="160">
        <f>IF($AG$2253&gt;0,'Assumptions (Petroleum)'!AJ$10*Model!$AG$2253*AVERAGE('Assumptions (Petroleum)'!$AC$2:$AE$2)/10^9,0)</f>
        <v>0</v>
      </c>
      <c r="AV2444" s="160">
        <f>IF($AG$2253&gt;0,'Assumptions (Petroleum)'!AK$10*Model!$AG$2253*AVERAGE('Assumptions (Petroleum)'!$AC$2:$AE$2)/10^9,0)</f>
        <v>0</v>
      </c>
      <c r="AW2444" s="160"/>
      <c r="AX2444" s="160"/>
      <c r="AY2444" s="160"/>
      <c r="AZ2444" s="160"/>
      <c r="BA2444" s="160"/>
      <c r="BB2444" s="160"/>
      <c r="BC2444" s="160"/>
      <c r="BD2444" s="160"/>
      <c r="BE2444" s="160"/>
    </row>
    <row r="2445" ht="15.75" hidden="1" customHeight="1" outlineLevel="1">
      <c r="A2445" s="328"/>
      <c r="B2445" s="38"/>
      <c r="C2445" s="174"/>
      <c r="D2445" s="174"/>
      <c r="E2445" s="174"/>
      <c r="F2445" s="174"/>
      <c r="G2445" s="174"/>
      <c r="H2445" s="174"/>
      <c r="I2445" s="174"/>
      <c r="J2445" s="174"/>
      <c r="K2445" s="174"/>
      <c r="L2445" s="174"/>
      <c r="M2445" s="174"/>
      <c r="N2445" s="174"/>
      <c r="O2445" s="174"/>
      <c r="P2445" s="174"/>
      <c r="Q2445" s="174"/>
      <c r="R2445" s="174"/>
      <c r="S2445" s="174"/>
      <c r="T2445" s="174"/>
      <c r="U2445" s="174"/>
      <c r="V2445" s="174"/>
      <c r="W2445" s="160"/>
      <c r="X2445" s="160"/>
      <c r="Y2445" s="160"/>
      <c r="Z2445" s="160"/>
      <c r="AA2445" s="160"/>
      <c r="AB2445" s="160"/>
      <c r="AC2445" s="160"/>
      <c r="AD2445" s="160"/>
      <c r="AE2445" s="160"/>
      <c r="AF2445" s="160"/>
      <c r="AG2445" s="160"/>
      <c r="AH2445" s="160">
        <f>IF($AH$2253&gt;0,'Assumptions (Petroleum)'!V$10*Model!$AH$2253*AVERAGE('Assumptions (Petroleum)'!$AD$2:$AF$2)/10^9,0)</f>
        <v>0</v>
      </c>
      <c r="AI2445" s="160">
        <f>IF($AH$2253&gt;0,'Assumptions (Petroleum)'!W$10*Model!$AH$2253*AVERAGE('Assumptions (Petroleum)'!$AD$2:$AF$2)/10^9,0)</f>
        <v>0</v>
      </c>
      <c r="AJ2445" s="160">
        <f>IF($AH$2253&gt;0,'Assumptions (Petroleum)'!X$10*Model!$AH$2253*AVERAGE('Assumptions (Petroleum)'!$AD$2:$AF$2)/10^9,0)</f>
        <v>0</v>
      </c>
      <c r="AK2445" s="160">
        <f>IF($AH$2253&gt;0,'Assumptions (Petroleum)'!Y$10*Model!$AH$2253*AVERAGE('Assumptions (Petroleum)'!$AD$2:$AF$2)/10^9,0)</f>
        <v>0</v>
      </c>
      <c r="AL2445" s="160">
        <f>IF($AH$2253&gt;0,'Assumptions (Petroleum)'!Z$10*Model!$AH$2253*AVERAGE('Assumptions (Petroleum)'!$AD$2:$AF$2)/10^9,0)</f>
        <v>0</v>
      </c>
      <c r="AM2445" s="160">
        <f>IF($AH$2253&gt;0,'Assumptions (Petroleum)'!AA$10*Model!$AH$2253*AVERAGE('Assumptions (Petroleum)'!$AD$2:$AF$2)/10^9,0)</f>
        <v>0</v>
      </c>
      <c r="AN2445" s="160">
        <f>IF($AH$2253&gt;0,'Assumptions (Petroleum)'!AB$10*Model!$AH$2253*AVERAGE('Assumptions (Petroleum)'!$AD$2:$AF$2)/10^9,0)</f>
        <v>0</v>
      </c>
      <c r="AO2445" s="160">
        <f>IF($AH$2253&gt;0,'Assumptions (Petroleum)'!AC$10*Model!$AH$2253*AVERAGE('Assumptions (Petroleum)'!$AD$2:$AF$2)/10^9,0)</f>
        <v>0</v>
      </c>
      <c r="AP2445" s="160">
        <f>IF($AH$2253&gt;0,'Assumptions (Petroleum)'!AD$10*Model!$AH$2253*AVERAGE('Assumptions (Petroleum)'!$AD$2:$AF$2)/10^9,0)</f>
        <v>0</v>
      </c>
      <c r="AQ2445" s="160">
        <f>IF($AH$2253&gt;0,'Assumptions (Petroleum)'!AE$10*Model!$AH$2253*AVERAGE('Assumptions (Petroleum)'!$AD$2:$AF$2)/10^9,0)</f>
        <v>0</v>
      </c>
      <c r="AR2445" s="160">
        <f>IF($AH$2253&gt;0,'Assumptions (Petroleum)'!AF$10*Model!$AH$2253*AVERAGE('Assumptions (Petroleum)'!$AD$2:$AF$2)/10^9,0)</f>
        <v>0</v>
      </c>
      <c r="AS2445" s="160">
        <f>IF($AH$2253&gt;0,'Assumptions (Petroleum)'!AG$10*Model!$AH$2253*AVERAGE('Assumptions (Petroleum)'!$AD$2:$AF$2)/10^9,0)</f>
        <v>0</v>
      </c>
      <c r="AT2445" s="160">
        <f>IF($AH$2253&gt;0,'Assumptions (Petroleum)'!AH$10*Model!$AH$2253*AVERAGE('Assumptions (Petroleum)'!$AD$2:$AF$2)/10^9,0)</f>
        <v>0</v>
      </c>
      <c r="AU2445" s="160">
        <f>IF($AH$2253&gt;0,'Assumptions (Petroleum)'!AI$10*Model!$AH$2253*AVERAGE('Assumptions (Petroleum)'!$AD$2:$AF$2)/10^9,0)</f>
        <v>0</v>
      </c>
      <c r="AV2445" s="160">
        <f>IF($AH$2253&gt;0,'Assumptions (Petroleum)'!AJ$10*Model!$AH$2253*AVERAGE('Assumptions (Petroleum)'!$AD$2:$AF$2)/10^9,0)</f>
        <v>0</v>
      </c>
      <c r="AW2445" s="160">
        <f>IF($AH$2253&gt;0,'Assumptions (Petroleum)'!AK$10*Model!$AH$2253*AVERAGE('Assumptions (Petroleum)'!$AD$2:$AF$2)/10^9,0)</f>
        <v>0</v>
      </c>
      <c r="AX2445" s="160"/>
      <c r="AY2445" s="160"/>
      <c r="AZ2445" s="160"/>
      <c r="BA2445" s="160"/>
      <c r="BB2445" s="160"/>
      <c r="BC2445" s="160"/>
      <c r="BD2445" s="160"/>
      <c r="BE2445" s="160"/>
      <c r="BF2445" s="160"/>
    </row>
    <row r="2446" ht="15.75" hidden="1" customHeight="1" outlineLevel="1">
      <c r="A2446" s="328"/>
      <c r="B2446" s="38"/>
      <c r="C2446" s="174"/>
      <c r="D2446" s="174"/>
      <c r="E2446" s="174"/>
      <c r="F2446" s="174"/>
      <c r="G2446" s="174"/>
      <c r="H2446" s="174"/>
      <c r="I2446" s="174"/>
      <c r="J2446" s="174"/>
      <c r="K2446" s="174"/>
      <c r="L2446" s="174"/>
      <c r="M2446" s="174"/>
      <c r="N2446" s="174"/>
      <c r="O2446" s="174"/>
      <c r="P2446" s="174"/>
      <c r="Q2446" s="174"/>
      <c r="R2446" s="174"/>
      <c r="S2446" s="174"/>
      <c r="T2446" s="174"/>
      <c r="U2446" s="174"/>
      <c r="V2446" s="174"/>
      <c r="W2446" s="160"/>
      <c r="X2446" s="160"/>
      <c r="Y2446" s="160"/>
      <c r="Z2446" s="160"/>
      <c r="AA2446" s="160"/>
      <c r="AB2446" s="160"/>
      <c r="AC2446" s="160"/>
      <c r="AD2446" s="160"/>
      <c r="AE2446" s="160"/>
      <c r="AF2446" s="160"/>
      <c r="AG2446" s="160"/>
      <c r="AH2446" s="160"/>
      <c r="AI2446" s="160">
        <f>IF($AI$2253&gt;0,'Assumptions (Petroleum)'!V$10*Model!$AI$2253*AVERAGE('Assumptions (Petroleum)'!$AE$2:$AG$2)/10^9,0)</f>
        <v>0</v>
      </c>
      <c r="AJ2446" s="160">
        <f>IF($AI$2253&gt;0,'Assumptions (Petroleum)'!W$10*Model!$AI$2253*AVERAGE('Assumptions (Petroleum)'!$AE$2:$AG$2)/10^9,0)</f>
        <v>0</v>
      </c>
      <c r="AK2446" s="160">
        <f>IF($AI$2253&gt;0,'Assumptions (Petroleum)'!X$10*Model!$AI$2253*AVERAGE('Assumptions (Petroleum)'!$AE$2:$AG$2)/10^9,0)</f>
        <v>0</v>
      </c>
      <c r="AL2446" s="160">
        <f>IF($AI$2253&gt;0,'Assumptions (Petroleum)'!Y$10*Model!$AI$2253*AVERAGE('Assumptions (Petroleum)'!$AE$2:$AG$2)/10^9,0)</f>
        <v>0</v>
      </c>
      <c r="AM2446" s="160">
        <f>IF($AI$2253&gt;0,'Assumptions (Petroleum)'!Z$10*Model!$AI$2253*AVERAGE('Assumptions (Petroleum)'!$AE$2:$AG$2)/10^9,0)</f>
        <v>0</v>
      </c>
      <c r="AN2446" s="160">
        <f>IF($AI$2253&gt;0,'Assumptions (Petroleum)'!AA$10*Model!$AI$2253*AVERAGE('Assumptions (Petroleum)'!$AE$2:$AG$2)/10^9,0)</f>
        <v>0</v>
      </c>
      <c r="AO2446" s="160">
        <f>IF($AI$2253&gt;0,'Assumptions (Petroleum)'!AB$10*Model!$AI$2253*AVERAGE('Assumptions (Petroleum)'!$AE$2:$AG$2)/10^9,0)</f>
        <v>0</v>
      </c>
      <c r="AP2446" s="160">
        <f>IF($AI$2253&gt;0,'Assumptions (Petroleum)'!AC$10*Model!$AI$2253*AVERAGE('Assumptions (Petroleum)'!$AE$2:$AG$2)/10^9,0)</f>
        <v>0</v>
      </c>
      <c r="AQ2446" s="160">
        <f>IF($AI$2253&gt;0,'Assumptions (Petroleum)'!AD$10*Model!$AI$2253*AVERAGE('Assumptions (Petroleum)'!$AE$2:$AG$2)/10^9,0)</f>
        <v>0</v>
      </c>
      <c r="AR2446" s="160">
        <f>IF($AI$2253&gt;0,'Assumptions (Petroleum)'!AE$10*Model!$AI$2253*AVERAGE('Assumptions (Petroleum)'!$AE$2:$AG$2)/10^9,0)</f>
        <v>0</v>
      </c>
      <c r="AS2446" s="160">
        <f>IF($AI$2253&gt;0,'Assumptions (Petroleum)'!AF$10*Model!$AI$2253*AVERAGE('Assumptions (Petroleum)'!$AE$2:$AG$2)/10^9,0)</f>
        <v>0</v>
      </c>
      <c r="AT2446" s="160">
        <f>IF($AI$2253&gt;0,'Assumptions (Petroleum)'!AG$10*Model!$AI$2253*AVERAGE('Assumptions (Petroleum)'!$AE$2:$AG$2)/10^9,0)</f>
        <v>0</v>
      </c>
      <c r="AU2446" s="160">
        <f>IF($AI$2253&gt;0,'Assumptions (Petroleum)'!AH$10*Model!$AI$2253*AVERAGE('Assumptions (Petroleum)'!$AE$2:$AG$2)/10^9,0)</f>
        <v>0</v>
      </c>
      <c r="AV2446" s="160">
        <f>IF($AI$2253&gt;0,'Assumptions (Petroleum)'!AI$10*Model!$AI$2253*AVERAGE('Assumptions (Petroleum)'!$AE$2:$AG$2)/10^9,0)</f>
        <v>0</v>
      </c>
      <c r="AW2446" s="160">
        <f>IF($AI$2253&gt;0,'Assumptions (Petroleum)'!AJ$10*Model!$AI$2253*AVERAGE('Assumptions (Petroleum)'!$AE$2:$AG$2)/10^9,0)</f>
        <v>0</v>
      </c>
      <c r="AX2446" s="160">
        <f>IF($AI$2253&gt;0,'Assumptions (Petroleum)'!AK$10*Model!$AI$2253*AVERAGE('Assumptions (Petroleum)'!$AE$2:$AG$2)/10^9,0)</f>
        <v>0</v>
      </c>
      <c r="AY2446" s="160"/>
      <c r="AZ2446" s="160"/>
      <c r="BA2446" s="160"/>
      <c r="BB2446" s="160"/>
      <c r="BC2446" s="160"/>
      <c r="BD2446" s="160"/>
      <c r="BE2446" s="160"/>
      <c r="BF2446" s="160"/>
      <c r="BG2446" s="160"/>
    </row>
    <row r="2447" ht="15.75" hidden="1" customHeight="1" outlineLevel="1">
      <c r="A2447" s="328"/>
      <c r="B2447" s="38"/>
      <c r="C2447" s="174"/>
      <c r="D2447" s="174"/>
      <c r="E2447" s="174"/>
      <c r="F2447" s="174"/>
      <c r="G2447" s="174"/>
      <c r="H2447" s="174"/>
      <c r="I2447" s="174"/>
      <c r="J2447" s="174"/>
      <c r="K2447" s="174"/>
      <c r="L2447" s="174"/>
      <c r="M2447" s="174"/>
      <c r="N2447" s="174"/>
      <c r="O2447" s="174"/>
      <c r="P2447" s="174"/>
      <c r="Q2447" s="174"/>
      <c r="R2447" s="174"/>
      <c r="S2447" s="174"/>
      <c r="T2447" s="174"/>
      <c r="U2447" s="174"/>
      <c r="V2447" s="174"/>
      <c r="W2447" s="160"/>
      <c r="X2447" s="160"/>
      <c r="Y2447" s="160"/>
      <c r="Z2447" s="160"/>
      <c r="AA2447" s="160"/>
      <c r="AB2447" s="177"/>
      <c r="AC2447" s="160"/>
      <c r="AD2447" s="160"/>
      <c r="AE2447" s="160"/>
      <c r="AF2447" s="160"/>
      <c r="AG2447" s="160"/>
      <c r="AH2447" s="160"/>
      <c r="AI2447" s="160"/>
      <c r="AJ2447" s="177">
        <f>IF($AJ$2253&gt;0,'Assumptions (Petroleum)'!V$10*Model!$AJ$2253*AVERAGE('Assumptions (Petroleum)'!$AF$2:$AH$2)/10^9,0)</f>
        <v>0</v>
      </c>
      <c r="AK2447" s="177">
        <f>IF($AJ$2253&gt;0,'Assumptions (Petroleum)'!W$10*Model!$AJ$2253*AVERAGE('Assumptions (Petroleum)'!$AF$2:$AH$2)/10^9,0)</f>
        <v>0</v>
      </c>
      <c r="AL2447" s="177">
        <f>IF($AJ$2253&gt;0,'Assumptions (Petroleum)'!X$10*Model!$AJ$2253*AVERAGE('Assumptions (Petroleum)'!$AF$2:$AH$2)/10^9,0)</f>
        <v>0</v>
      </c>
      <c r="AM2447" s="177">
        <f>IF($AJ$2253&gt;0,'Assumptions (Petroleum)'!Y$10*Model!$AJ$2253*AVERAGE('Assumptions (Petroleum)'!$AF$2:$AH$2)/10^9,0)</f>
        <v>0</v>
      </c>
      <c r="AN2447" s="177">
        <f>IF($AJ$2253&gt;0,'Assumptions (Petroleum)'!Z$10*Model!$AJ$2253*AVERAGE('Assumptions (Petroleum)'!$AF$2:$AH$2)/10^9,0)</f>
        <v>0</v>
      </c>
      <c r="AO2447" s="177">
        <f>IF($AJ$2253&gt;0,'Assumptions (Petroleum)'!AA$10*Model!$AJ$2253*AVERAGE('Assumptions (Petroleum)'!$AF$2:$AH$2)/10^9,0)</f>
        <v>0</v>
      </c>
      <c r="AP2447" s="177">
        <f>IF($AJ$2253&gt;0,'Assumptions (Petroleum)'!AB$10*Model!$AJ$2253*AVERAGE('Assumptions (Petroleum)'!$AF$2:$AH$2)/10^9,0)</f>
        <v>0</v>
      </c>
      <c r="AQ2447" s="177">
        <f>IF($AJ$2253&gt;0,'Assumptions (Petroleum)'!AC$10*Model!$AJ$2253*AVERAGE('Assumptions (Petroleum)'!$AF$2:$AH$2)/10^9,0)</f>
        <v>0</v>
      </c>
      <c r="AR2447" s="177">
        <f>IF($AJ$2253&gt;0,'Assumptions (Petroleum)'!AD$10*Model!$AJ$2253*AVERAGE('Assumptions (Petroleum)'!$AF$2:$AH$2)/10^9,0)</f>
        <v>0</v>
      </c>
      <c r="AS2447" s="177">
        <f>IF($AJ$2253&gt;0,'Assumptions (Petroleum)'!AE$10*Model!$AJ$2253*AVERAGE('Assumptions (Petroleum)'!$AF$2:$AH$2)/10^9,0)</f>
        <v>0</v>
      </c>
      <c r="AT2447" s="177">
        <f>IF($AJ$2253&gt;0,'Assumptions (Petroleum)'!AF$10*Model!$AJ$2253*AVERAGE('Assumptions (Petroleum)'!$AF$2:$AH$2)/10^9,0)</f>
        <v>0</v>
      </c>
      <c r="AU2447" s="177">
        <f>IF($AJ$2253&gt;0,'Assumptions (Petroleum)'!AG$10*Model!$AJ$2253*AVERAGE('Assumptions (Petroleum)'!$AF$2:$AH$2)/10^9,0)</f>
        <v>0</v>
      </c>
      <c r="AV2447" s="177">
        <f>IF($AJ$2253&gt;0,'Assumptions (Petroleum)'!AH$10*Model!$AJ$2253*AVERAGE('Assumptions (Petroleum)'!$AF$2:$AH$2)/10^9,0)</f>
        <v>0</v>
      </c>
      <c r="AW2447" s="177">
        <f>IF($AJ$2253&gt;0,'Assumptions (Petroleum)'!AI$10*Model!$AJ$2253*AVERAGE('Assumptions (Petroleum)'!$AF$2:$AH$2)/10^9,0)</f>
        <v>0</v>
      </c>
      <c r="AX2447" s="177">
        <f>IF($AJ$2253&gt;0,'Assumptions (Petroleum)'!AJ$10*Model!$AJ$2253*AVERAGE('Assumptions (Petroleum)'!$AF$2:$AH$2)/10^9,0)</f>
        <v>0</v>
      </c>
      <c r="AY2447" s="177">
        <f>IF($AJ$2253&gt;0,'Assumptions (Petroleum)'!AK$10*Model!$AJ$2253*AVERAGE('Assumptions (Petroleum)'!$AF$2:$AH$2)/10^9,0)</f>
        <v>0</v>
      </c>
      <c r="AZ2447" s="177"/>
      <c r="BA2447" s="177"/>
      <c r="BB2447" s="177"/>
      <c r="BC2447" s="177"/>
      <c r="BD2447" s="177"/>
      <c r="BE2447" s="177"/>
      <c r="BF2447" s="177"/>
      <c r="BG2447" s="177"/>
      <c r="BH2447" s="177"/>
    </row>
    <row r="2448" ht="15.75" hidden="1" customHeight="1" outlineLevel="1">
      <c r="A2448" s="328"/>
      <c r="B2448" s="38"/>
      <c r="C2448" s="174"/>
      <c r="D2448" s="174"/>
      <c r="E2448" s="174"/>
      <c r="F2448" s="174"/>
      <c r="G2448" s="174"/>
      <c r="H2448" s="174"/>
      <c r="I2448" s="174"/>
      <c r="J2448" s="174"/>
      <c r="K2448" s="174"/>
      <c r="L2448" s="174"/>
      <c r="M2448" s="174"/>
      <c r="N2448" s="174"/>
      <c r="O2448" s="174"/>
      <c r="P2448" s="174"/>
      <c r="Q2448" s="174"/>
      <c r="R2448" s="174"/>
      <c r="S2448" s="174"/>
      <c r="T2448" s="174"/>
      <c r="U2448" s="174"/>
      <c r="V2448" s="174"/>
      <c r="W2448" s="160"/>
      <c r="X2448" s="160"/>
      <c r="Y2448" s="160"/>
      <c r="Z2448" s="160"/>
      <c r="AA2448" s="160"/>
      <c r="AB2448" s="160"/>
      <c r="AC2448" s="160"/>
      <c r="AD2448" s="160"/>
      <c r="AE2448" s="160"/>
      <c r="AF2448" s="160"/>
      <c r="AG2448" s="160"/>
      <c r="AH2448" s="160"/>
      <c r="AI2448" s="160"/>
      <c r="AJ2448" s="179"/>
      <c r="AK2448" s="177">
        <f>IF($AK$2253&gt;0,'Assumptions (Petroleum)'!V$10*Model!$AK$2253*AVERAGE('Assumptions (Petroleum)'!$AG$2:$AI$2)/10^9,0)</f>
        <v>0</v>
      </c>
      <c r="AL2448" s="177">
        <f>IF($AK$2253&gt;0,'Assumptions (Petroleum)'!W$10*Model!$AK$2253*AVERAGE('Assumptions (Petroleum)'!$AG$2:$AI$2)/10^9,0)</f>
        <v>0</v>
      </c>
      <c r="AM2448" s="177">
        <f>IF($AK$2253&gt;0,'Assumptions (Petroleum)'!X$10*Model!$AK$2253*AVERAGE('Assumptions (Petroleum)'!$AG$2:$AI$2)/10^9,0)</f>
        <v>0</v>
      </c>
      <c r="AN2448" s="177">
        <f>IF($AK$2253&gt;0,'Assumptions (Petroleum)'!Y$10*Model!$AK$2253*AVERAGE('Assumptions (Petroleum)'!$AG$2:$AI$2)/10^9,0)</f>
        <v>0</v>
      </c>
      <c r="AO2448" s="177">
        <f>IF($AK$2253&gt;0,'Assumptions (Petroleum)'!Z$10*Model!$AK$2253*AVERAGE('Assumptions (Petroleum)'!$AG$2:$AI$2)/10^9,0)</f>
        <v>0</v>
      </c>
      <c r="AP2448" s="177">
        <f>IF($AK$2253&gt;0,'Assumptions (Petroleum)'!AA$10*Model!$AK$2253*AVERAGE('Assumptions (Petroleum)'!$AG$2:$AI$2)/10^9,0)</f>
        <v>0</v>
      </c>
      <c r="AQ2448" s="177">
        <f>IF($AK$2253&gt;0,'Assumptions (Petroleum)'!AB$10*Model!$AK$2253*AVERAGE('Assumptions (Petroleum)'!$AG$2:$AI$2)/10^9,0)</f>
        <v>0</v>
      </c>
      <c r="AR2448" s="177">
        <f>IF($AK$2253&gt;0,'Assumptions (Petroleum)'!AC$10*Model!$AK$2253*AVERAGE('Assumptions (Petroleum)'!$AG$2:$AI$2)/10^9,0)</f>
        <v>0</v>
      </c>
      <c r="AS2448" s="177">
        <f>IF($AK$2253&gt;0,'Assumptions (Petroleum)'!AD$10*Model!$AK$2253*AVERAGE('Assumptions (Petroleum)'!$AG$2:$AI$2)/10^9,0)</f>
        <v>0</v>
      </c>
      <c r="AT2448" s="177">
        <f>IF($AK$2253&gt;0,'Assumptions (Petroleum)'!AE$10*Model!$AK$2253*AVERAGE('Assumptions (Petroleum)'!$AG$2:$AI$2)/10^9,0)</f>
        <v>0</v>
      </c>
      <c r="AU2448" s="177">
        <f>IF($AK$2253&gt;0,'Assumptions (Petroleum)'!AF$10*Model!$AK$2253*AVERAGE('Assumptions (Petroleum)'!$AG$2:$AI$2)/10^9,0)</f>
        <v>0</v>
      </c>
      <c r="AV2448" s="177">
        <f>IF($AK$2253&gt;0,'Assumptions (Petroleum)'!AG$10*Model!$AK$2253*AVERAGE('Assumptions (Petroleum)'!$AG$2:$AI$2)/10^9,0)</f>
        <v>0</v>
      </c>
      <c r="AW2448" s="177">
        <f>IF($AK$2253&gt;0,'Assumptions (Petroleum)'!AH$10*Model!$AK$2253*AVERAGE('Assumptions (Petroleum)'!$AG$2:$AI$2)/10^9,0)</f>
        <v>0</v>
      </c>
      <c r="AX2448" s="177">
        <f>IF($AK$2253&gt;0,'Assumptions (Petroleum)'!AI$10*Model!$AK$2253*AVERAGE('Assumptions (Petroleum)'!$AG$2:$AI$2)/10^9,0)</f>
        <v>0</v>
      </c>
      <c r="AY2448" s="177">
        <f>IF($AK$2253&gt;0,'Assumptions (Petroleum)'!AJ$10*Model!$AK$2253*AVERAGE('Assumptions (Petroleum)'!$AG$2:$AI$2)/10^9,0)</f>
        <v>0</v>
      </c>
      <c r="AZ2448" s="177">
        <f>IF($AK$2253&gt;0,'Assumptions (Petroleum)'!AK$10*Model!$AK$2253*AVERAGE('Assumptions (Petroleum)'!$AG$2:$AI$2)/10^9,0)</f>
        <v>0</v>
      </c>
      <c r="BA2448" s="177"/>
      <c r="BB2448" s="177"/>
      <c r="BC2448" s="177"/>
      <c r="BD2448" s="177"/>
      <c r="BE2448" s="177"/>
      <c r="BF2448" s="177"/>
      <c r="BG2448" s="177"/>
      <c r="BH2448" s="177"/>
      <c r="BI2448" s="177"/>
    </row>
    <row r="2449" ht="15.75" hidden="1" customHeight="1" outlineLevel="1">
      <c r="A2449" s="328"/>
      <c r="B2449" s="38"/>
      <c r="C2449" s="174"/>
      <c r="D2449" s="174"/>
      <c r="E2449" s="174"/>
      <c r="F2449" s="174"/>
      <c r="G2449" s="174"/>
      <c r="H2449" s="174"/>
      <c r="I2449" s="174"/>
      <c r="J2449" s="174"/>
      <c r="K2449" s="174"/>
      <c r="L2449" s="174"/>
      <c r="M2449" s="174"/>
      <c r="N2449" s="174"/>
      <c r="O2449" s="174"/>
      <c r="P2449" s="174"/>
      <c r="Q2449" s="174"/>
      <c r="R2449" s="174"/>
      <c r="S2449" s="174"/>
      <c r="T2449" s="174"/>
      <c r="U2449" s="174"/>
      <c r="V2449" s="174"/>
      <c r="W2449" s="160"/>
      <c r="X2449" s="160"/>
      <c r="Y2449" s="160"/>
      <c r="Z2449" s="160"/>
      <c r="AA2449" s="160"/>
      <c r="AB2449" s="160"/>
      <c r="AC2449" s="160"/>
      <c r="AD2449" s="160"/>
      <c r="AE2449" s="160"/>
      <c r="AF2449" s="160"/>
      <c r="AG2449" s="160"/>
      <c r="AH2449" s="160"/>
      <c r="AI2449" s="160"/>
      <c r="AJ2449" s="179"/>
      <c r="AK2449" s="160"/>
      <c r="AL2449" s="177">
        <f>IF($AL$2253&gt;0,'Assumptions (Petroleum)'!V$10*Model!$AL$2253*AVERAGE('Assumptions (Petroleum)'!$AH$2:$AJ$2)/10^9,0)</f>
        <v>0</v>
      </c>
      <c r="AM2449" s="177">
        <f>IF($AL$2253&gt;0,'Assumptions (Petroleum)'!W$10*Model!$AL$2253*AVERAGE('Assumptions (Petroleum)'!$AH$2:$AJ$2)/10^9,0)</f>
        <v>0</v>
      </c>
      <c r="AN2449" s="177">
        <f>IF($AL$2253&gt;0,'Assumptions (Petroleum)'!X$10*Model!$AL$2253*AVERAGE('Assumptions (Petroleum)'!$AH$2:$AJ$2)/10^9,0)</f>
        <v>0</v>
      </c>
      <c r="AO2449" s="177">
        <f>IF($AL$2253&gt;0,'Assumptions (Petroleum)'!Y$10*Model!$AL$2253*AVERAGE('Assumptions (Petroleum)'!$AH$2:$AJ$2)/10^9,0)</f>
        <v>0</v>
      </c>
      <c r="AP2449" s="177">
        <f>IF($AL$2253&gt;0,'Assumptions (Petroleum)'!Z$10*Model!$AL$2253*AVERAGE('Assumptions (Petroleum)'!$AH$2:$AJ$2)/10^9,0)</f>
        <v>0</v>
      </c>
      <c r="AQ2449" s="177">
        <f>IF($AL$2253&gt;0,'Assumptions (Petroleum)'!AA$10*Model!$AL$2253*AVERAGE('Assumptions (Petroleum)'!$AH$2:$AJ$2)/10^9,0)</f>
        <v>0</v>
      </c>
      <c r="AR2449" s="177">
        <f>IF($AL$2253&gt;0,'Assumptions (Petroleum)'!AB$10*Model!$AL$2253*AVERAGE('Assumptions (Petroleum)'!$AH$2:$AJ$2)/10^9,0)</f>
        <v>0</v>
      </c>
      <c r="AS2449" s="177">
        <f>IF($AL$2253&gt;0,'Assumptions (Petroleum)'!AC$10*Model!$AL$2253*AVERAGE('Assumptions (Petroleum)'!$AH$2:$AJ$2)/10^9,0)</f>
        <v>0</v>
      </c>
      <c r="AT2449" s="177">
        <f>IF($AL$2253&gt;0,'Assumptions (Petroleum)'!AD$10*Model!$AL$2253*AVERAGE('Assumptions (Petroleum)'!$AH$2:$AJ$2)/10^9,0)</f>
        <v>0</v>
      </c>
      <c r="AU2449" s="177">
        <f>IF($AL$2253&gt;0,'Assumptions (Petroleum)'!AE$10*Model!$AL$2253*AVERAGE('Assumptions (Petroleum)'!$AH$2:$AJ$2)/10^9,0)</f>
        <v>0</v>
      </c>
      <c r="AV2449" s="177">
        <f>IF($AL$2253&gt;0,'Assumptions (Petroleum)'!AF$10*Model!$AL$2253*AVERAGE('Assumptions (Petroleum)'!$AH$2:$AJ$2)/10^9,0)</f>
        <v>0</v>
      </c>
      <c r="AW2449" s="177">
        <f>IF($AL$2253&gt;0,'Assumptions (Petroleum)'!AG$10*Model!$AL$2253*AVERAGE('Assumptions (Petroleum)'!$AH$2:$AJ$2)/10^9,0)</f>
        <v>0</v>
      </c>
      <c r="AX2449" s="177">
        <f>IF($AL$2253&gt;0,'Assumptions (Petroleum)'!AH$10*Model!$AL$2253*AVERAGE('Assumptions (Petroleum)'!$AH$2:$AJ$2)/10^9,0)</f>
        <v>0</v>
      </c>
      <c r="AY2449" s="177">
        <f>IF($AL$2253&gt;0,'Assumptions (Petroleum)'!AI$10*Model!$AL$2253*AVERAGE('Assumptions (Petroleum)'!$AH$2:$AJ$2)/10^9,0)</f>
        <v>0</v>
      </c>
      <c r="AZ2449" s="177">
        <f>IF($AL$2253&gt;0,'Assumptions (Petroleum)'!AJ$10*Model!$AL$2253*AVERAGE('Assumptions (Petroleum)'!$AH$2:$AJ$2)/10^9,0)</f>
        <v>0</v>
      </c>
      <c r="BA2449" s="177">
        <f>IF($AL$2253&gt;0,'Assumptions (Petroleum)'!AK$10*Model!$AL$2253*AVERAGE('Assumptions (Petroleum)'!$AH$2:$AJ$2)/10^9,0)</f>
        <v>0</v>
      </c>
      <c r="BB2449" s="177"/>
      <c r="BC2449" s="177"/>
      <c r="BD2449" s="177"/>
      <c r="BE2449" s="177"/>
      <c r="BF2449" s="177"/>
      <c r="BG2449" s="177"/>
      <c r="BH2449" s="177"/>
      <c r="BI2449" s="177"/>
      <c r="BJ2449" s="177"/>
    </row>
    <row r="2450" ht="15.75" hidden="1" customHeight="1" outlineLevel="1">
      <c r="A2450" s="328"/>
      <c r="B2450" s="38"/>
      <c r="C2450" s="174"/>
      <c r="D2450" s="174"/>
      <c r="E2450" s="174"/>
      <c r="F2450" s="174"/>
      <c r="G2450" s="174"/>
      <c r="H2450" s="174"/>
      <c r="I2450" s="174"/>
      <c r="J2450" s="174"/>
      <c r="K2450" s="174"/>
      <c r="L2450" s="174"/>
      <c r="M2450" s="174"/>
      <c r="N2450" s="174"/>
      <c r="O2450" s="174"/>
      <c r="P2450" s="174"/>
      <c r="Q2450" s="174"/>
      <c r="R2450" s="174"/>
      <c r="S2450" s="174"/>
      <c r="T2450" s="174"/>
      <c r="U2450" s="174"/>
      <c r="V2450" s="174"/>
      <c r="W2450" s="160"/>
      <c r="X2450" s="160"/>
      <c r="Y2450" s="160"/>
      <c r="Z2450" s="160"/>
      <c r="AA2450" s="160"/>
      <c r="AB2450" s="160"/>
      <c r="AC2450" s="160"/>
      <c r="AD2450" s="160"/>
      <c r="AE2450" s="160"/>
      <c r="AF2450" s="160"/>
      <c r="AG2450" s="160"/>
      <c r="AH2450" s="160"/>
      <c r="AI2450" s="160"/>
      <c r="AJ2450" s="179"/>
      <c r="AK2450" s="160"/>
      <c r="AL2450" s="177"/>
      <c r="AM2450" s="160">
        <f>IF($AM$2253&gt;0,'Assumptions (Petroleum)'!V$10*Model!$AM$2253*AVERAGE('Assumptions (Petroleum)'!$AI$2:$AK$2)/10^9,0)</f>
        <v>0</v>
      </c>
      <c r="AN2450" s="160">
        <f>IF($AM$2253&gt;0,'Assumptions (Petroleum)'!W$10*Model!$AM$2253*AVERAGE('Assumptions (Petroleum)'!$AI$2:$AK$2)/10^9,0)</f>
        <v>0</v>
      </c>
      <c r="AO2450" s="160">
        <f>IF($AM$2253&gt;0,'Assumptions (Petroleum)'!X$10*Model!$AM$2253*AVERAGE('Assumptions (Petroleum)'!$AI$2:$AK$2)/10^9,0)</f>
        <v>0</v>
      </c>
      <c r="AP2450" s="160">
        <f>IF($AM$2253&gt;0,'Assumptions (Petroleum)'!Y$10*Model!$AM$2253*AVERAGE('Assumptions (Petroleum)'!$AI$2:$AK$2)/10^9,0)</f>
        <v>0</v>
      </c>
      <c r="AQ2450" s="160">
        <f>IF($AM$2253&gt;0,'Assumptions (Petroleum)'!Z$10*Model!$AM$2253*AVERAGE('Assumptions (Petroleum)'!$AI$2:$AK$2)/10^9,0)</f>
        <v>0</v>
      </c>
      <c r="AR2450" s="160">
        <f>IF($AM$2253&gt;0,'Assumptions (Petroleum)'!AA$10*Model!$AM$2253*AVERAGE('Assumptions (Petroleum)'!$AI$2:$AK$2)/10^9,0)</f>
        <v>0</v>
      </c>
      <c r="AS2450" s="160">
        <f>IF($AM$2253&gt;0,'Assumptions (Petroleum)'!AB$10*Model!$AM$2253*AVERAGE('Assumptions (Petroleum)'!$AI$2:$AK$2)/10^9,0)</f>
        <v>0</v>
      </c>
      <c r="AT2450" s="160">
        <f>IF($AM$2253&gt;0,'Assumptions (Petroleum)'!AC$10*Model!$AM$2253*AVERAGE('Assumptions (Petroleum)'!$AI$2:$AK$2)/10^9,0)</f>
        <v>0</v>
      </c>
      <c r="AU2450" s="160">
        <f>IF($AM$2253&gt;0,'Assumptions (Petroleum)'!AD$10*Model!$AM$2253*AVERAGE('Assumptions (Petroleum)'!$AI$2:$AK$2)/10^9,0)</f>
        <v>0</v>
      </c>
      <c r="AV2450" s="160">
        <f>IF($AM$2253&gt;0,'Assumptions (Petroleum)'!AE$10*Model!$AM$2253*AVERAGE('Assumptions (Petroleum)'!$AI$2:$AK$2)/10^9,0)</f>
        <v>0</v>
      </c>
      <c r="AW2450" s="160">
        <f>IF($AM$2253&gt;0,'Assumptions (Petroleum)'!AF$10*Model!$AM$2253*AVERAGE('Assumptions (Petroleum)'!$AI$2:$AK$2)/10^9,0)</f>
        <v>0</v>
      </c>
      <c r="AX2450" s="160">
        <f>IF($AM$2253&gt;0,'Assumptions (Petroleum)'!AG$10*Model!$AM$2253*AVERAGE('Assumptions (Petroleum)'!$AI$2:$AK$2)/10^9,0)</f>
        <v>0</v>
      </c>
      <c r="AY2450" s="160">
        <f>IF($AM$2253&gt;0,'Assumptions (Petroleum)'!AH$10*Model!$AM$2253*AVERAGE('Assumptions (Petroleum)'!$AI$2:$AK$2)/10^9,0)</f>
        <v>0</v>
      </c>
      <c r="AZ2450" s="160">
        <f>IF($AM$2253&gt;0,'Assumptions (Petroleum)'!AI$10*Model!$AM$2253*AVERAGE('Assumptions (Petroleum)'!$AI$2:$AK$2)/10^9,0)</f>
        <v>0</v>
      </c>
      <c r="BA2450" s="160">
        <f>IF($AM$2253&gt;0,'Assumptions (Petroleum)'!AJ$10*Model!$AM$2253*AVERAGE('Assumptions (Petroleum)'!$AI$2:$AK$2)/10^9,0)</f>
        <v>0</v>
      </c>
      <c r="BB2450" s="160">
        <f>IF($AM$2253&gt;0,'Assumptions (Petroleum)'!AK$10*Model!$AM$2253*AVERAGE('Assumptions (Petroleum)'!$AI$2:$AK$2)/10^9,0)</f>
        <v>0</v>
      </c>
      <c r="BC2450" s="160"/>
      <c r="BD2450" s="160"/>
      <c r="BE2450" s="160"/>
      <c r="BF2450" s="160"/>
      <c r="BG2450" s="160"/>
      <c r="BH2450" s="160"/>
      <c r="BI2450" s="160"/>
      <c r="BJ2450" s="160"/>
      <c r="BK2450" s="160"/>
    </row>
    <row r="2451" ht="15.75" hidden="1" customHeight="1" outlineLevel="1">
      <c r="A2451" s="328"/>
      <c r="B2451" s="38"/>
      <c r="C2451" s="174"/>
      <c r="D2451" s="174"/>
      <c r="E2451" s="174"/>
      <c r="F2451" s="174"/>
      <c r="G2451" s="174"/>
      <c r="H2451" s="174"/>
      <c r="I2451" s="174"/>
      <c r="J2451" s="174"/>
      <c r="K2451" s="174"/>
      <c r="L2451" s="174"/>
      <c r="M2451" s="174"/>
      <c r="N2451" s="174"/>
      <c r="O2451" s="174"/>
      <c r="P2451" s="174"/>
      <c r="Q2451" s="174"/>
      <c r="R2451" s="174"/>
      <c r="S2451" s="174"/>
      <c r="T2451" s="174"/>
      <c r="U2451" s="174"/>
      <c r="V2451" s="174"/>
      <c r="W2451" s="160"/>
      <c r="X2451" s="160"/>
      <c r="Y2451" s="160"/>
      <c r="Z2451" s="160"/>
      <c r="AA2451" s="160"/>
      <c r="AB2451" s="160"/>
      <c r="AC2451" s="160"/>
      <c r="AD2451" s="160"/>
      <c r="AE2451" s="160"/>
      <c r="AF2451" s="160"/>
      <c r="AG2451" s="160"/>
      <c r="AH2451" s="160"/>
      <c r="AI2451" s="160"/>
      <c r="AJ2451" s="179"/>
      <c r="AK2451" s="160"/>
      <c r="AL2451" s="177"/>
      <c r="AM2451" s="177"/>
      <c r="AN2451" s="160">
        <f>IF($AN$2253&gt;0,'Assumptions (Petroleum)'!V$10*Model!$AN$2253*AVERAGE('Assumptions (Petroleum)'!$AJ$2:$AL$2)/10^9,0)</f>
        <v>0</v>
      </c>
      <c r="AO2451" s="160">
        <f>IF($AN$2253&gt;0,'Assumptions (Petroleum)'!W$10*Model!$AN$2253*AVERAGE('Assumptions (Petroleum)'!$AJ$2:$AL$2)/10^9,0)</f>
        <v>0</v>
      </c>
      <c r="AP2451" s="160">
        <f>IF($AN$2253&gt;0,'Assumptions (Petroleum)'!X$10*Model!$AN$2253*AVERAGE('Assumptions (Petroleum)'!$AJ$2:$AL$2)/10^9,0)</f>
        <v>0</v>
      </c>
      <c r="AQ2451" s="160">
        <f>IF($AN$2253&gt;0,'Assumptions (Petroleum)'!Y$10*Model!$AN$2253*AVERAGE('Assumptions (Petroleum)'!$AJ$2:$AL$2)/10^9,0)</f>
        <v>0</v>
      </c>
      <c r="AR2451" s="160">
        <f>IF($AN$2253&gt;0,'Assumptions (Petroleum)'!Z$10*Model!$AN$2253*AVERAGE('Assumptions (Petroleum)'!$AJ$2:$AL$2)/10^9,0)</f>
        <v>0</v>
      </c>
      <c r="AS2451" s="160">
        <f>IF($AN$2253&gt;0,'Assumptions (Petroleum)'!AA$10*Model!$AN$2253*AVERAGE('Assumptions (Petroleum)'!$AJ$2:$AL$2)/10^9,0)</f>
        <v>0</v>
      </c>
      <c r="AT2451" s="160">
        <f>IF($AN$2253&gt;0,'Assumptions (Petroleum)'!AB$10*Model!$AN$2253*AVERAGE('Assumptions (Petroleum)'!$AJ$2:$AL$2)/10^9,0)</f>
        <v>0</v>
      </c>
      <c r="AU2451" s="160">
        <f>IF($AN$2253&gt;0,'Assumptions (Petroleum)'!AC$10*Model!$AN$2253*AVERAGE('Assumptions (Petroleum)'!$AJ$2:$AL$2)/10^9,0)</f>
        <v>0</v>
      </c>
      <c r="AV2451" s="160">
        <f>IF($AN$2253&gt;0,'Assumptions (Petroleum)'!AD$10*Model!$AN$2253*AVERAGE('Assumptions (Petroleum)'!$AJ$2:$AL$2)/10^9,0)</f>
        <v>0</v>
      </c>
      <c r="AW2451" s="160">
        <f>IF($AN$2253&gt;0,'Assumptions (Petroleum)'!AE$10*Model!$AN$2253*AVERAGE('Assumptions (Petroleum)'!$AJ$2:$AL$2)/10^9,0)</f>
        <v>0</v>
      </c>
      <c r="AX2451" s="160">
        <f>IF($AN$2253&gt;0,'Assumptions (Petroleum)'!AF$10*Model!$AN$2253*AVERAGE('Assumptions (Petroleum)'!$AJ$2:$AL$2)/10^9,0)</f>
        <v>0</v>
      </c>
      <c r="AY2451" s="160">
        <f>IF($AN$2253&gt;0,'Assumptions (Petroleum)'!AG$10*Model!$AN$2253*AVERAGE('Assumptions (Petroleum)'!$AJ$2:$AL$2)/10^9,0)</f>
        <v>0</v>
      </c>
      <c r="AZ2451" s="160">
        <f>IF($AN$2253&gt;0,'Assumptions (Petroleum)'!AH$10*Model!$AN$2253*AVERAGE('Assumptions (Petroleum)'!$AJ$2:$AL$2)/10^9,0)</f>
        <v>0</v>
      </c>
      <c r="BA2451" s="160">
        <f>IF($AN$2253&gt;0,'Assumptions (Petroleum)'!AI$10*Model!$AN$2253*AVERAGE('Assumptions (Petroleum)'!$AJ$2:$AL$2)/10^9,0)</f>
        <v>0</v>
      </c>
      <c r="BB2451" s="160">
        <f>IF($AN$2253&gt;0,'Assumptions (Petroleum)'!AJ$10*Model!$AN$2253*AVERAGE('Assumptions (Petroleum)'!$AJ$2:$AL$2)/10^9,0)</f>
        <v>0</v>
      </c>
      <c r="BC2451" s="160">
        <f>IF($AN$2253&gt;0,'Assumptions (Petroleum)'!AK$10*Model!$AN$2253*AVERAGE('Assumptions (Petroleum)'!$AJ$2:$AL$2)/10^9,0)</f>
        <v>0</v>
      </c>
      <c r="BD2451" s="160"/>
      <c r="BE2451" s="160"/>
      <c r="BF2451" s="160"/>
      <c r="BG2451" s="160"/>
      <c r="BH2451" s="160"/>
      <c r="BI2451" s="160"/>
      <c r="BJ2451" s="160"/>
      <c r="BK2451" s="160"/>
      <c r="BL2451" s="160"/>
    </row>
    <row r="2452" ht="15.75" hidden="1" customHeight="1" outlineLevel="1">
      <c r="A2452" s="328"/>
      <c r="B2452" s="38"/>
      <c r="C2452" s="174"/>
      <c r="D2452" s="174"/>
      <c r="E2452" s="174"/>
      <c r="F2452" s="174"/>
      <c r="G2452" s="174"/>
      <c r="H2452" s="174"/>
      <c r="I2452" s="174"/>
      <c r="J2452" s="174"/>
      <c r="K2452" s="174"/>
      <c r="L2452" s="174"/>
      <c r="M2452" s="174"/>
      <c r="N2452" s="174"/>
      <c r="O2452" s="174"/>
      <c r="P2452" s="174"/>
      <c r="Q2452" s="174"/>
      <c r="R2452" s="174"/>
      <c r="S2452" s="174"/>
      <c r="T2452" s="174"/>
      <c r="U2452" s="174"/>
      <c r="V2452" s="174"/>
      <c r="W2452" s="160"/>
      <c r="X2452" s="160"/>
      <c r="Y2452" s="160"/>
      <c r="Z2452" s="160"/>
      <c r="AA2452" s="160"/>
      <c r="AB2452" s="160"/>
      <c r="AC2452" s="160"/>
      <c r="AD2452" s="160"/>
      <c r="AE2452" s="160"/>
      <c r="AF2452" s="160"/>
      <c r="AG2452" s="160"/>
      <c r="AH2452" s="160"/>
      <c r="AI2452" s="160"/>
      <c r="AJ2452" s="179"/>
      <c r="AK2452" s="160"/>
      <c r="AL2452" s="177"/>
      <c r="AM2452" s="177"/>
      <c r="AN2452" s="177"/>
      <c r="AO2452" s="160">
        <f>IF($AO$2253&gt;0,'Assumptions (Petroleum)'!V$10*Model!$AO$2253*AVERAGE('Assumptions (Petroleum)'!$AK$2:$AM$2)/10^9,0)</f>
        <v>0</v>
      </c>
      <c r="AP2452" s="160">
        <f>IF($AO$2253&gt;0,'Assumptions (Petroleum)'!W$10*Model!$AO$2253*AVERAGE('Assumptions (Petroleum)'!$AK$2:$AM$2)/10^9,0)</f>
        <v>0</v>
      </c>
      <c r="AQ2452" s="160">
        <f>IF($AO$2253&gt;0,'Assumptions (Petroleum)'!X$10*Model!$AO$2253*AVERAGE('Assumptions (Petroleum)'!$AK$2:$AM$2)/10^9,0)</f>
        <v>0</v>
      </c>
      <c r="AR2452" s="160">
        <f>IF($AO$2253&gt;0,'Assumptions (Petroleum)'!Y$10*Model!$AO$2253*AVERAGE('Assumptions (Petroleum)'!$AK$2:$AM$2)/10^9,0)</f>
        <v>0</v>
      </c>
      <c r="AS2452" s="160">
        <f>IF($AO$2253&gt;0,'Assumptions (Petroleum)'!Z$10*Model!$AO$2253*AVERAGE('Assumptions (Petroleum)'!$AK$2:$AM$2)/10^9,0)</f>
        <v>0</v>
      </c>
      <c r="AT2452" s="160">
        <f>IF($AO$2253&gt;0,'Assumptions (Petroleum)'!AA$10*Model!$AO$2253*AVERAGE('Assumptions (Petroleum)'!$AK$2:$AM$2)/10^9,0)</f>
        <v>0</v>
      </c>
      <c r="AU2452" s="160">
        <f>IF($AO$2253&gt;0,'Assumptions (Petroleum)'!AB$10*Model!$AO$2253*AVERAGE('Assumptions (Petroleum)'!$AK$2:$AM$2)/10^9,0)</f>
        <v>0</v>
      </c>
      <c r="AV2452" s="160">
        <f>IF($AO$2253&gt;0,'Assumptions (Petroleum)'!AC$10*Model!$AO$2253*AVERAGE('Assumptions (Petroleum)'!$AK$2:$AM$2)/10^9,0)</f>
        <v>0</v>
      </c>
      <c r="AW2452" s="160">
        <f>IF($AO$2253&gt;0,'Assumptions (Petroleum)'!AD$10*Model!$AO$2253*AVERAGE('Assumptions (Petroleum)'!$AK$2:$AM$2)/10^9,0)</f>
        <v>0</v>
      </c>
      <c r="AX2452" s="160">
        <f>IF($AO$2253&gt;0,'Assumptions (Petroleum)'!AE$10*Model!$AO$2253*AVERAGE('Assumptions (Petroleum)'!$AK$2:$AM$2)/10^9,0)</f>
        <v>0</v>
      </c>
      <c r="AY2452" s="160">
        <f>IF($AO$2253&gt;0,'Assumptions (Petroleum)'!AF$10*Model!$AO$2253*AVERAGE('Assumptions (Petroleum)'!$AK$2:$AM$2)/10^9,0)</f>
        <v>0</v>
      </c>
      <c r="AZ2452" s="160">
        <f>IF($AO$2253&gt;0,'Assumptions (Petroleum)'!AG$10*Model!$AO$2253*AVERAGE('Assumptions (Petroleum)'!$AK$2:$AM$2)/10^9,0)</f>
        <v>0</v>
      </c>
      <c r="BA2452" s="160">
        <f>IF($AO$2253&gt;0,'Assumptions (Petroleum)'!AH$10*Model!$AO$2253*AVERAGE('Assumptions (Petroleum)'!$AK$2:$AM$2)/10^9,0)</f>
        <v>0</v>
      </c>
      <c r="BB2452" s="160">
        <f>IF($AO$2253&gt;0,'Assumptions (Petroleum)'!AI$10*Model!$AO$2253*AVERAGE('Assumptions (Petroleum)'!$AK$2:$AM$2)/10^9,0)</f>
        <v>0</v>
      </c>
      <c r="BC2452" s="160">
        <f>IF($AO$2253&gt;0,'Assumptions (Petroleum)'!AJ$10*Model!$AO$2253*AVERAGE('Assumptions (Petroleum)'!$AK$2:$AM$2)/10^9,0)</f>
        <v>0</v>
      </c>
      <c r="BD2452" s="160">
        <f>IF($AO$2253&gt;0,'Assumptions (Petroleum)'!AK$10*Model!$AO$2253*AVERAGE('Assumptions (Petroleum)'!$AK$2:$AM$2)/10^9,0)</f>
        <v>0</v>
      </c>
      <c r="BE2452" s="160"/>
      <c r="BF2452" s="160"/>
      <c r="BG2452" s="160"/>
      <c r="BH2452" s="160"/>
      <c r="BI2452" s="160"/>
      <c r="BJ2452" s="160"/>
      <c r="BK2452" s="160"/>
      <c r="BL2452" s="160"/>
      <c r="BM2452" s="160"/>
    </row>
    <row r="2453" ht="15.75" hidden="1" customHeight="1" outlineLevel="1">
      <c r="A2453" s="328"/>
      <c r="B2453" s="38"/>
      <c r="C2453" s="174"/>
      <c r="D2453" s="174"/>
      <c r="E2453" s="174"/>
      <c r="F2453" s="174"/>
      <c r="G2453" s="174"/>
      <c r="H2453" s="174"/>
      <c r="I2453" s="174"/>
      <c r="J2453" s="174"/>
      <c r="K2453" s="174"/>
      <c r="L2453" s="174"/>
      <c r="M2453" s="174"/>
      <c r="N2453" s="174"/>
      <c r="O2453" s="174"/>
      <c r="P2453" s="174"/>
      <c r="Q2453" s="174"/>
      <c r="R2453" s="174"/>
      <c r="S2453" s="174"/>
      <c r="T2453" s="174"/>
      <c r="U2453" s="174"/>
      <c r="V2453" s="174"/>
      <c r="W2453" s="160"/>
      <c r="X2453" s="160"/>
      <c r="Y2453" s="160"/>
      <c r="Z2453" s="160"/>
      <c r="AA2453" s="160"/>
      <c r="AB2453" s="160"/>
      <c r="AC2453" s="160"/>
      <c r="AD2453" s="160"/>
      <c r="AE2453" s="160"/>
      <c r="AF2453" s="160"/>
      <c r="AG2453" s="160"/>
      <c r="AH2453" s="160"/>
      <c r="AI2453" s="160"/>
      <c r="AJ2453" s="179"/>
      <c r="AK2453" s="160"/>
      <c r="AL2453" s="177"/>
      <c r="AM2453" s="177"/>
      <c r="AN2453" s="177"/>
      <c r="AO2453" s="160"/>
      <c r="AP2453" s="160">
        <f>IF($AP$2253&gt;0,'Assumptions (Petroleum)'!V$10*Model!$AP$2253*AVERAGE('Assumptions (Petroleum)'!$AL$2:$AN$2)/10^9,0)</f>
        <v>0</v>
      </c>
      <c r="AQ2453" s="160">
        <f>IF($AP$2253&gt;0,'Assumptions (Petroleum)'!W$10*Model!$AP$2253*AVERAGE('Assumptions (Petroleum)'!$AL$2:$AN$2)/10^9,0)</f>
        <v>0</v>
      </c>
      <c r="AR2453" s="160">
        <f>IF($AP$2253&gt;0,'Assumptions (Petroleum)'!X$10*Model!$AP$2253*AVERAGE('Assumptions (Petroleum)'!$AL$2:$AN$2)/10^9,0)</f>
        <v>0</v>
      </c>
      <c r="AS2453" s="160">
        <f>IF($AP$2253&gt;0,'Assumptions (Petroleum)'!Y$10*Model!$AP$2253*AVERAGE('Assumptions (Petroleum)'!$AL$2:$AN$2)/10^9,0)</f>
        <v>0</v>
      </c>
      <c r="AT2453" s="160">
        <f>IF($AP$2253&gt;0,'Assumptions (Petroleum)'!Z$10*Model!$AP$2253*AVERAGE('Assumptions (Petroleum)'!$AL$2:$AN$2)/10^9,0)</f>
        <v>0</v>
      </c>
      <c r="AU2453" s="160">
        <f>IF($AP$2253&gt;0,'Assumptions (Petroleum)'!AA$10*Model!$AP$2253*AVERAGE('Assumptions (Petroleum)'!$AL$2:$AN$2)/10^9,0)</f>
        <v>0</v>
      </c>
      <c r="AV2453" s="160">
        <f>IF($AP$2253&gt;0,'Assumptions (Petroleum)'!AB$10*Model!$AP$2253*AVERAGE('Assumptions (Petroleum)'!$AL$2:$AN$2)/10^9,0)</f>
        <v>0</v>
      </c>
      <c r="AW2453" s="160">
        <f>IF($AP$2253&gt;0,'Assumptions (Petroleum)'!AC$10*Model!$AP$2253*AVERAGE('Assumptions (Petroleum)'!$AL$2:$AN$2)/10^9,0)</f>
        <v>0</v>
      </c>
      <c r="AX2453" s="160">
        <f>IF($AP$2253&gt;0,'Assumptions (Petroleum)'!AD$10*Model!$AP$2253*AVERAGE('Assumptions (Petroleum)'!$AL$2:$AN$2)/10^9,0)</f>
        <v>0</v>
      </c>
      <c r="AY2453" s="160">
        <f>IF($AP$2253&gt;0,'Assumptions (Petroleum)'!AE$10*Model!$AP$2253*AVERAGE('Assumptions (Petroleum)'!$AL$2:$AN$2)/10^9,0)</f>
        <v>0</v>
      </c>
      <c r="AZ2453" s="160">
        <f>IF($AP$2253&gt;0,'Assumptions (Petroleum)'!AF$10*Model!$AP$2253*AVERAGE('Assumptions (Petroleum)'!$AL$2:$AN$2)/10^9,0)</f>
        <v>0</v>
      </c>
      <c r="BA2453" s="160">
        <f>IF($AP$2253&gt;0,'Assumptions (Petroleum)'!AG$10*Model!$AP$2253*AVERAGE('Assumptions (Petroleum)'!$AL$2:$AN$2)/10^9,0)</f>
        <v>0</v>
      </c>
      <c r="BB2453" s="160">
        <f>IF($AP$2253&gt;0,'Assumptions (Petroleum)'!AH$10*Model!$AP$2253*AVERAGE('Assumptions (Petroleum)'!$AL$2:$AN$2)/10^9,0)</f>
        <v>0</v>
      </c>
      <c r="BC2453" s="160">
        <f>IF($AP$2253&gt;0,'Assumptions (Petroleum)'!AI$10*Model!$AP$2253*AVERAGE('Assumptions (Petroleum)'!$AL$2:$AN$2)/10^9,0)</f>
        <v>0</v>
      </c>
      <c r="BD2453" s="160">
        <f>IF($AP$2253&gt;0,'Assumptions (Petroleum)'!AJ$10*Model!$AP$2253*AVERAGE('Assumptions (Petroleum)'!$AL$2:$AN$2)/10^9,0)</f>
        <v>0</v>
      </c>
      <c r="BE2453" s="160">
        <f>IF($AP$2253&gt;0,'Assumptions (Petroleum)'!AK$10*Model!$AP$2253*AVERAGE('Assumptions (Petroleum)'!$AL$2:$AN$2)/10^9,0)</f>
        <v>0</v>
      </c>
      <c r="BF2453" s="160"/>
      <c r="BG2453" s="160"/>
      <c r="BH2453" s="160"/>
      <c r="BI2453" s="160"/>
      <c r="BJ2453" s="160"/>
      <c r="BK2453" s="160"/>
      <c r="BL2453" s="160"/>
      <c r="BM2453" s="160"/>
      <c r="BN2453" s="160"/>
    </row>
    <row r="2454" ht="15.75" hidden="1" customHeight="1" outlineLevel="1">
      <c r="A2454" s="328"/>
      <c r="B2454" s="38"/>
      <c r="C2454" s="174"/>
      <c r="D2454" s="174"/>
      <c r="E2454" s="174"/>
      <c r="F2454" s="174"/>
      <c r="G2454" s="174"/>
      <c r="H2454" s="174"/>
      <c r="I2454" s="174"/>
      <c r="J2454" s="174"/>
      <c r="K2454" s="174"/>
      <c r="L2454" s="174"/>
      <c r="M2454" s="174"/>
      <c r="N2454" s="174"/>
      <c r="O2454" s="174"/>
      <c r="P2454" s="174"/>
      <c r="Q2454" s="174"/>
      <c r="R2454" s="174"/>
      <c r="S2454" s="174"/>
      <c r="T2454" s="174"/>
      <c r="U2454" s="174"/>
      <c r="V2454" s="174"/>
      <c r="W2454" s="160"/>
      <c r="X2454" s="160"/>
      <c r="Y2454" s="160"/>
      <c r="Z2454" s="160"/>
      <c r="AA2454" s="160"/>
      <c r="AB2454" s="160"/>
      <c r="AC2454" s="160"/>
      <c r="AD2454" s="160"/>
      <c r="AE2454" s="160"/>
      <c r="AF2454" s="160"/>
      <c r="AG2454" s="160"/>
      <c r="AH2454" s="160"/>
      <c r="AI2454" s="160"/>
      <c r="AJ2454" s="179"/>
      <c r="AK2454" s="160"/>
      <c r="AL2454" s="177"/>
      <c r="AM2454" s="177"/>
      <c r="AN2454" s="177"/>
      <c r="AO2454" s="160"/>
      <c r="AP2454" s="160"/>
      <c r="AQ2454" s="160">
        <f>IF($AQ$2253&gt;0,'Assumptions (Petroleum)'!V$10*Model!$AQ$2253*AVERAGE('Assumptions (Petroleum)'!$AM$2:$AO$2)/10^9,0)</f>
        <v>0</v>
      </c>
      <c r="AR2454" s="160">
        <f>IF($AQ$2253&gt;0,'Assumptions (Petroleum)'!W$10*Model!$AQ$2253*AVERAGE('Assumptions (Petroleum)'!$AM$2:$AO$2)/10^9,0)</f>
        <v>0</v>
      </c>
      <c r="AS2454" s="160">
        <f>IF($AQ$2253&gt;0,'Assumptions (Petroleum)'!X$10*Model!$AQ$2253*AVERAGE('Assumptions (Petroleum)'!$AM$2:$AO$2)/10^9,0)</f>
        <v>0</v>
      </c>
      <c r="AT2454" s="160">
        <f>IF($AQ$2253&gt;0,'Assumptions (Petroleum)'!Y$10*Model!$AQ$2253*AVERAGE('Assumptions (Petroleum)'!$AM$2:$AO$2)/10^9,0)</f>
        <v>0</v>
      </c>
      <c r="AU2454" s="160">
        <f>IF($AQ$2253&gt;0,'Assumptions (Petroleum)'!Z$10*Model!$AQ$2253*AVERAGE('Assumptions (Petroleum)'!$AM$2:$AO$2)/10^9,0)</f>
        <v>0</v>
      </c>
      <c r="AV2454" s="160">
        <f>IF($AQ$2253&gt;0,'Assumptions (Petroleum)'!AA$10*Model!$AQ$2253*AVERAGE('Assumptions (Petroleum)'!$AM$2:$AO$2)/10^9,0)</f>
        <v>0</v>
      </c>
      <c r="AW2454" s="160">
        <f>IF($AQ$2253&gt;0,'Assumptions (Petroleum)'!AB$10*Model!$AQ$2253*AVERAGE('Assumptions (Petroleum)'!$AM$2:$AO$2)/10^9,0)</f>
        <v>0</v>
      </c>
      <c r="AX2454" s="160">
        <f>IF($AQ$2253&gt;0,'Assumptions (Petroleum)'!AC$10*Model!$AQ$2253*AVERAGE('Assumptions (Petroleum)'!$AM$2:$AO$2)/10^9,0)</f>
        <v>0</v>
      </c>
      <c r="AY2454" s="160">
        <f>IF($AQ$2253&gt;0,'Assumptions (Petroleum)'!AD$10*Model!$AQ$2253*AVERAGE('Assumptions (Petroleum)'!$AM$2:$AO$2)/10^9,0)</f>
        <v>0</v>
      </c>
      <c r="AZ2454" s="160">
        <f>IF($AQ$2253&gt;0,'Assumptions (Petroleum)'!AE$10*Model!$AQ$2253*AVERAGE('Assumptions (Petroleum)'!$AM$2:$AO$2)/10^9,0)</f>
        <v>0</v>
      </c>
      <c r="BA2454" s="160">
        <f>IF($AQ$2253&gt;0,'Assumptions (Petroleum)'!AF$10*Model!$AQ$2253*AVERAGE('Assumptions (Petroleum)'!$AM$2:$AO$2)/10^9,0)</f>
        <v>0</v>
      </c>
      <c r="BB2454" s="160">
        <f>IF($AQ$2253&gt;0,'Assumptions (Petroleum)'!AG$10*Model!$AQ$2253*AVERAGE('Assumptions (Petroleum)'!$AM$2:$AO$2)/10^9,0)</f>
        <v>0</v>
      </c>
      <c r="BC2454" s="160">
        <f>IF($AQ$2253&gt;0,'Assumptions (Petroleum)'!AH$10*Model!$AQ$2253*AVERAGE('Assumptions (Petroleum)'!$AM$2:$AO$2)/10^9,0)</f>
        <v>0</v>
      </c>
      <c r="BD2454" s="160">
        <f>IF($AQ$2253&gt;0,'Assumptions (Petroleum)'!AI$10*Model!$AQ$2253*AVERAGE('Assumptions (Petroleum)'!$AM$2:$AO$2)/10^9,0)</f>
        <v>0</v>
      </c>
      <c r="BE2454" s="160">
        <f>IF($AQ$2253&gt;0,'Assumptions (Petroleum)'!AJ$10*Model!$AQ$2253*AVERAGE('Assumptions (Petroleum)'!$AM$2:$AO$2)/10^9,0)</f>
        <v>0</v>
      </c>
      <c r="BF2454" s="160">
        <f>IF($AQ$2253&gt;0,'Assumptions (Petroleum)'!AK$10*Model!$AQ$2253*AVERAGE('Assumptions (Petroleum)'!$AM$2:$AO$2)/10^9,0)</f>
        <v>0</v>
      </c>
      <c r="BG2454" s="160"/>
      <c r="BH2454" s="160"/>
      <c r="BI2454" s="160"/>
      <c r="BJ2454" s="160"/>
      <c r="BK2454" s="160"/>
      <c r="BL2454" s="160"/>
      <c r="BM2454" s="160"/>
      <c r="BN2454" s="160"/>
      <c r="BO2454" s="160"/>
    </row>
    <row r="2455" ht="15.75" hidden="1" customHeight="1" outlineLevel="1">
      <c r="A2455" s="328"/>
      <c r="B2455" s="38"/>
      <c r="C2455" s="174"/>
      <c r="D2455" s="174"/>
      <c r="E2455" s="174"/>
      <c r="F2455" s="174"/>
      <c r="G2455" s="174"/>
      <c r="H2455" s="174"/>
      <c r="I2455" s="174"/>
      <c r="J2455" s="174"/>
      <c r="K2455" s="174"/>
      <c r="L2455" s="174"/>
      <c r="M2455" s="174"/>
      <c r="N2455" s="174"/>
      <c r="O2455" s="174"/>
      <c r="P2455" s="174"/>
      <c r="Q2455" s="174"/>
      <c r="R2455" s="174"/>
      <c r="S2455" s="174"/>
      <c r="T2455" s="174"/>
      <c r="U2455" s="174"/>
      <c r="V2455" s="174"/>
      <c r="W2455" s="160"/>
      <c r="X2455" s="160"/>
      <c r="Y2455" s="160"/>
      <c r="Z2455" s="160"/>
      <c r="AA2455" s="160"/>
      <c r="AB2455" s="160"/>
      <c r="AC2455" s="160"/>
      <c r="AD2455" s="160"/>
      <c r="AE2455" s="160"/>
      <c r="AF2455" s="160"/>
      <c r="AG2455" s="160"/>
      <c r="AH2455" s="160"/>
      <c r="AI2455" s="160"/>
      <c r="AJ2455" s="179"/>
      <c r="AK2455" s="160"/>
      <c r="AL2455" s="177"/>
      <c r="AM2455" s="177"/>
      <c r="AN2455" s="177"/>
      <c r="AO2455" s="160"/>
      <c r="AP2455" s="160"/>
      <c r="AQ2455" s="160"/>
      <c r="AR2455" s="160">
        <f>IF($AR$2253&gt;0,'Assumptions (Petroleum)'!V$10*Model!$AR$2253*AVERAGE('Assumptions (Petroleum)'!$AN$2:$AP$2)/10^9,0)</f>
        <v>0</v>
      </c>
      <c r="AS2455" s="160">
        <f>IF($AR$2253&gt;0,'Assumptions (Petroleum)'!W$10*Model!$AR$2253*AVERAGE('Assumptions (Petroleum)'!$AN$2:$AP$2)/10^9,0)</f>
        <v>0</v>
      </c>
      <c r="AT2455" s="160">
        <f>IF($AR$2253&gt;0,'Assumptions (Petroleum)'!X$10*Model!$AR$2253*AVERAGE('Assumptions (Petroleum)'!$AN$2:$AP$2)/10^9,0)</f>
        <v>0</v>
      </c>
      <c r="AU2455" s="160">
        <f>IF($AR$2253&gt;0,'Assumptions (Petroleum)'!Y$10*Model!$AR$2253*AVERAGE('Assumptions (Petroleum)'!$AN$2:$AP$2)/10^9,0)</f>
        <v>0</v>
      </c>
      <c r="AV2455" s="160">
        <f>IF($AR$2253&gt;0,'Assumptions (Petroleum)'!Z$10*Model!$AR$2253*AVERAGE('Assumptions (Petroleum)'!$AN$2:$AP$2)/10^9,0)</f>
        <v>0</v>
      </c>
      <c r="AW2455" s="160">
        <f>IF($AR$2253&gt;0,'Assumptions (Petroleum)'!AA$10*Model!$AR$2253*AVERAGE('Assumptions (Petroleum)'!$AN$2:$AP$2)/10^9,0)</f>
        <v>0</v>
      </c>
      <c r="AX2455" s="160">
        <f>IF($AR$2253&gt;0,'Assumptions (Petroleum)'!AB$10*Model!$AR$2253*AVERAGE('Assumptions (Petroleum)'!$AN$2:$AP$2)/10^9,0)</f>
        <v>0</v>
      </c>
      <c r="AY2455" s="160">
        <f>IF($AR$2253&gt;0,'Assumptions (Petroleum)'!AC$10*Model!$AR$2253*AVERAGE('Assumptions (Petroleum)'!$AN$2:$AP$2)/10^9,0)</f>
        <v>0</v>
      </c>
      <c r="AZ2455" s="160">
        <f>IF($AR$2253&gt;0,'Assumptions (Petroleum)'!AD$10*Model!$AR$2253*AVERAGE('Assumptions (Petroleum)'!$AN$2:$AP$2)/10^9,0)</f>
        <v>0</v>
      </c>
      <c r="BA2455" s="160">
        <f>IF($AR$2253&gt;0,'Assumptions (Petroleum)'!AE$10*Model!$AR$2253*AVERAGE('Assumptions (Petroleum)'!$AN$2:$AP$2)/10^9,0)</f>
        <v>0</v>
      </c>
      <c r="BB2455" s="160">
        <f>IF($AR$2253&gt;0,'Assumptions (Petroleum)'!AF$10*Model!$AR$2253*AVERAGE('Assumptions (Petroleum)'!$AN$2:$AP$2)/10^9,0)</f>
        <v>0</v>
      </c>
      <c r="BC2455" s="160">
        <f>IF($AR$2253&gt;0,'Assumptions (Petroleum)'!AG$10*Model!$AR$2253*AVERAGE('Assumptions (Petroleum)'!$AN$2:$AP$2)/10^9,0)</f>
        <v>0</v>
      </c>
      <c r="BD2455" s="160">
        <f>IF($AR$2253&gt;0,'Assumptions (Petroleum)'!AH$10*Model!$AR$2253*AVERAGE('Assumptions (Petroleum)'!$AN$2:$AP$2)/10^9,0)</f>
        <v>0</v>
      </c>
      <c r="BE2455" s="160">
        <f>IF($AR$2253&gt;0,'Assumptions (Petroleum)'!AI$10*Model!$AR$2253*AVERAGE('Assumptions (Petroleum)'!$AN$2:$AP$2)/10^9,0)</f>
        <v>0</v>
      </c>
      <c r="BF2455" s="160">
        <f>IF($AR$2253&gt;0,'Assumptions (Petroleum)'!AJ$10*Model!$AR$2253*AVERAGE('Assumptions (Petroleum)'!$AN$2:$AP$2)/10^9,0)</f>
        <v>0</v>
      </c>
      <c r="BG2455" s="160">
        <f>IF($AR$2253&gt;0,'Assumptions (Petroleum)'!AK$10*Model!$AR$2253*AVERAGE('Assumptions (Petroleum)'!$AN$2:$AP$2)/10^9,0)</f>
        <v>0</v>
      </c>
      <c r="BH2455" s="160"/>
      <c r="BI2455" s="160"/>
      <c r="BJ2455" s="160"/>
      <c r="BK2455" s="160"/>
      <c r="BL2455" s="160"/>
      <c r="BM2455" s="160"/>
      <c r="BN2455" s="160"/>
      <c r="BO2455" s="160"/>
      <c r="BP2455" s="160"/>
    </row>
    <row r="2456" ht="15.75" hidden="1" customHeight="1" outlineLevel="1">
      <c r="A2456" s="328"/>
      <c r="B2456" s="38"/>
      <c r="C2456" s="174"/>
      <c r="D2456" s="174"/>
      <c r="E2456" s="174"/>
      <c r="F2456" s="174"/>
      <c r="G2456" s="174"/>
      <c r="H2456" s="174"/>
      <c r="I2456" s="174"/>
      <c r="J2456" s="174"/>
      <c r="K2456" s="174"/>
      <c r="L2456" s="174"/>
      <c r="M2456" s="174"/>
      <c r="N2456" s="174"/>
      <c r="O2456" s="174"/>
      <c r="P2456" s="174"/>
      <c r="Q2456" s="174"/>
      <c r="R2456" s="174"/>
      <c r="S2456" s="174"/>
      <c r="T2456" s="174"/>
      <c r="U2456" s="174"/>
      <c r="V2456" s="174"/>
      <c r="W2456" s="160"/>
      <c r="X2456" s="160"/>
      <c r="Y2456" s="160"/>
      <c r="Z2456" s="160"/>
      <c r="AA2456" s="160"/>
      <c r="AB2456" s="160"/>
      <c r="AC2456" s="160"/>
      <c r="AD2456" s="160"/>
      <c r="AE2456" s="160"/>
      <c r="AF2456" s="160"/>
      <c r="AG2456" s="160"/>
      <c r="AH2456" s="160"/>
      <c r="AI2456" s="160"/>
      <c r="AJ2456" s="179"/>
      <c r="AK2456" s="160"/>
      <c r="AL2456" s="177"/>
      <c r="AM2456" s="177"/>
      <c r="AN2456" s="177"/>
      <c r="AO2456" s="160"/>
      <c r="AP2456" s="160"/>
      <c r="AQ2456" s="160"/>
      <c r="AR2456" s="160"/>
      <c r="AS2456" s="160">
        <f>IF($AS$2253&gt;0,'Assumptions (Petroleum)'!V$10*Model!$AS$2253*AVERAGE('Assumptions (Petroleum)'!$AO$2:$AQ$2)/10^9,0)</f>
        <v>0</v>
      </c>
      <c r="AT2456" s="160">
        <f>IF($AS$2253&gt;0,'Assumptions (Petroleum)'!W$10*Model!$AS$2253*AVERAGE('Assumptions (Petroleum)'!$AO$2:$AQ$2)/10^9,0)</f>
        <v>0</v>
      </c>
      <c r="AU2456" s="160">
        <f>IF($AS$2253&gt;0,'Assumptions (Petroleum)'!X$10*Model!$AS$2253*AVERAGE('Assumptions (Petroleum)'!$AO$2:$AQ$2)/10^9,0)</f>
        <v>0</v>
      </c>
      <c r="AV2456" s="160">
        <f>IF($AS$2253&gt;0,'Assumptions (Petroleum)'!Y$10*Model!$AS$2253*AVERAGE('Assumptions (Petroleum)'!$AO$2:$AQ$2)/10^9,0)</f>
        <v>0</v>
      </c>
      <c r="AW2456" s="160">
        <f>IF($AS$2253&gt;0,'Assumptions (Petroleum)'!Z$10*Model!$AS$2253*AVERAGE('Assumptions (Petroleum)'!$AO$2:$AQ$2)/10^9,0)</f>
        <v>0</v>
      </c>
      <c r="AX2456" s="160">
        <f>IF($AS$2253&gt;0,'Assumptions (Petroleum)'!AA$10*Model!$AS$2253*AVERAGE('Assumptions (Petroleum)'!$AO$2:$AQ$2)/10^9,0)</f>
        <v>0</v>
      </c>
      <c r="AY2456" s="160">
        <f>IF($AS$2253&gt;0,'Assumptions (Petroleum)'!AB$10*Model!$AS$2253*AVERAGE('Assumptions (Petroleum)'!$AO$2:$AQ$2)/10^9,0)</f>
        <v>0</v>
      </c>
      <c r="AZ2456" s="160">
        <f>IF($AS$2253&gt;0,'Assumptions (Petroleum)'!AC$10*Model!$AS$2253*AVERAGE('Assumptions (Petroleum)'!$AO$2:$AQ$2)/10^9,0)</f>
        <v>0</v>
      </c>
      <c r="BA2456" s="160">
        <f>IF($AS$2253&gt;0,'Assumptions (Petroleum)'!AD$10*Model!$AS$2253*AVERAGE('Assumptions (Petroleum)'!$AO$2:$AQ$2)/10^9,0)</f>
        <v>0</v>
      </c>
      <c r="BB2456" s="160">
        <f>IF($AS$2253&gt;0,'Assumptions (Petroleum)'!AE$10*Model!$AS$2253*AVERAGE('Assumptions (Petroleum)'!$AO$2:$AQ$2)/10^9,0)</f>
        <v>0</v>
      </c>
      <c r="BC2456" s="160">
        <f>IF($AS$2253&gt;0,'Assumptions (Petroleum)'!AF$10*Model!$AS$2253*AVERAGE('Assumptions (Petroleum)'!$AO$2:$AQ$2)/10^9,0)</f>
        <v>0</v>
      </c>
      <c r="BD2456" s="160">
        <f>IF($AS$2253&gt;0,'Assumptions (Petroleum)'!AG$10*Model!$AS$2253*AVERAGE('Assumptions (Petroleum)'!$AO$2:$AQ$2)/10^9,0)</f>
        <v>0</v>
      </c>
      <c r="BE2456" s="160">
        <f>IF($AS$2253&gt;0,'Assumptions (Petroleum)'!AH$10*Model!$AS$2253*AVERAGE('Assumptions (Petroleum)'!$AO$2:$AQ$2)/10^9,0)</f>
        <v>0</v>
      </c>
      <c r="BF2456" s="160">
        <f>IF($AS$2253&gt;0,'Assumptions (Petroleum)'!AI$10*Model!$AS$2253*AVERAGE('Assumptions (Petroleum)'!$AO$2:$AQ$2)/10^9,0)</f>
        <v>0</v>
      </c>
      <c r="BG2456" s="160">
        <f>IF($AS$2253&gt;0,'Assumptions (Petroleum)'!AJ$10*Model!$AS$2253*AVERAGE('Assumptions (Petroleum)'!$AO$2:$AQ$2)/10^9,0)</f>
        <v>0</v>
      </c>
      <c r="BH2456" s="160">
        <f>IF($AS$2253&gt;0,'Assumptions (Petroleum)'!AK$10*Model!$AS$2253*AVERAGE('Assumptions (Petroleum)'!$AO$2:$AQ$2)/10^9,0)</f>
        <v>0</v>
      </c>
      <c r="BI2456" s="160"/>
      <c r="BJ2456" s="160"/>
      <c r="BK2456" s="160"/>
      <c r="BL2456" s="160"/>
      <c r="BM2456" s="160"/>
      <c r="BN2456" s="160"/>
      <c r="BO2456" s="160"/>
      <c r="BP2456" s="160"/>
    </row>
    <row r="2457" ht="15.75" hidden="1" customHeight="1" outlineLevel="1">
      <c r="A2457" s="328"/>
      <c r="B2457" s="38"/>
      <c r="C2457" s="174"/>
      <c r="D2457" s="174"/>
      <c r="E2457" s="174"/>
      <c r="F2457" s="174"/>
      <c r="G2457" s="174"/>
      <c r="H2457" s="174"/>
      <c r="I2457" s="174"/>
      <c r="J2457" s="174"/>
      <c r="K2457" s="174"/>
      <c r="L2457" s="174"/>
      <c r="M2457" s="174"/>
      <c r="N2457" s="174"/>
      <c r="O2457" s="174"/>
      <c r="P2457" s="174"/>
      <c r="Q2457" s="174"/>
      <c r="R2457" s="174"/>
      <c r="S2457" s="174"/>
      <c r="T2457" s="174"/>
      <c r="U2457" s="174"/>
      <c r="V2457" s="174"/>
      <c r="W2457" s="160"/>
      <c r="X2457" s="160"/>
      <c r="Y2457" s="160"/>
      <c r="Z2457" s="160"/>
      <c r="AA2457" s="160"/>
      <c r="AB2457" s="160"/>
      <c r="AC2457" s="160"/>
      <c r="AD2457" s="160"/>
      <c r="AE2457" s="160"/>
      <c r="AF2457" s="160"/>
      <c r="AG2457" s="160"/>
      <c r="AH2457" s="160"/>
      <c r="AI2457" s="160"/>
      <c r="AJ2457" s="179"/>
      <c r="AK2457" s="160"/>
      <c r="AL2457" s="177"/>
      <c r="AM2457" s="177"/>
      <c r="AN2457" s="177"/>
      <c r="AO2457" s="160"/>
      <c r="AP2457" s="160"/>
      <c r="AQ2457" s="160"/>
      <c r="AR2457" s="160"/>
      <c r="AS2457" s="160"/>
      <c r="AT2457" s="160">
        <f>IF($AT$2253&gt;0,'Assumptions (Petroleum)'!V$10*Model!$AT$2253*AVERAGE('Assumptions (Petroleum)'!$AP$2:$AR$2)/10^9,0)</f>
        <v>0</v>
      </c>
      <c r="AU2457" s="160">
        <f>IF($AT$2253&gt;0,'Assumptions (Petroleum)'!W$10*Model!$AT$2253*AVERAGE('Assumptions (Petroleum)'!$AP$2:$AR$2)/10^9,0)</f>
        <v>0</v>
      </c>
      <c r="AV2457" s="160">
        <f>IF($AT$2253&gt;0,'Assumptions (Petroleum)'!X$10*Model!$AT$2253*AVERAGE('Assumptions (Petroleum)'!$AP$2:$AR$2)/10^9,0)</f>
        <v>0</v>
      </c>
      <c r="AW2457" s="160">
        <f>IF($AT$2253&gt;0,'Assumptions (Petroleum)'!Y$10*Model!$AT$2253*AVERAGE('Assumptions (Petroleum)'!$AP$2:$AR$2)/10^9,0)</f>
        <v>0</v>
      </c>
      <c r="AX2457" s="160">
        <f>IF($AT$2253&gt;0,'Assumptions (Petroleum)'!Z$10*Model!$AT$2253*AVERAGE('Assumptions (Petroleum)'!$AP$2:$AR$2)/10^9,0)</f>
        <v>0</v>
      </c>
      <c r="AY2457" s="160">
        <f>IF($AT$2253&gt;0,'Assumptions (Petroleum)'!AA$10*Model!$AT$2253*AVERAGE('Assumptions (Petroleum)'!$AP$2:$AR$2)/10^9,0)</f>
        <v>0</v>
      </c>
      <c r="AZ2457" s="160">
        <f>IF($AT$2253&gt;0,'Assumptions (Petroleum)'!AB$10*Model!$AT$2253*AVERAGE('Assumptions (Petroleum)'!$AP$2:$AR$2)/10^9,0)</f>
        <v>0</v>
      </c>
      <c r="BA2457" s="160">
        <f>IF($AT$2253&gt;0,'Assumptions (Petroleum)'!AC$10*Model!$AT$2253*AVERAGE('Assumptions (Petroleum)'!$AP$2:$AR$2)/10^9,0)</f>
        <v>0</v>
      </c>
      <c r="BB2457" s="160">
        <f>IF($AT$2253&gt;0,'Assumptions (Petroleum)'!AD$10*Model!$AT$2253*AVERAGE('Assumptions (Petroleum)'!$AP$2:$AR$2)/10^9,0)</f>
        <v>0</v>
      </c>
      <c r="BC2457" s="160">
        <f>IF($AT$2253&gt;0,'Assumptions (Petroleum)'!AE$10*Model!$AT$2253*AVERAGE('Assumptions (Petroleum)'!$AP$2:$AR$2)/10^9,0)</f>
        <v>0</v>
      </c>
      <c r="BD2457" s="160">
        <f>IF($AT$2253&gt;0,'Assumptions (Petroleum)'!AF$10*Model!$AT$2253*AVERAGE('Assumptions (Petroleum)'!$AP$2:$AR$2)/10^9,0)</f>
        <v>0</v>
      </c>
      <c r="BE2457" s="160">
        <f>IF($AT$2253&gt;0,'Assumptions (Petroleum)'!AG$10*Model!$AT$2253*AVERAGE('Assumptions (Petroleum)'!$AP$2:$AR$2)/10^9,0)</f>
        <v>0</v>
      </c>
      <c r="BF2457" s="160">
        <f>IF($AT$2253&gt;0,'Assumptions (Petroleum)'!AH$10*Model!$AT$2253*AVERAGE('Assumptions (Petroleum)'!$AP$2:$AR$2)/10^9,0)</f>
        <v>0</v>
      </c>
      <c r="BG2457" s="160">
        <f>IF($AT$2253&gt;0,'Assumptions (Petroleum)'!AI$10*Model!$AT$2253*AVERAGE('Assumptions (Petroleum)'!$AP$2:$AR$2)/10^9,0)</f>
        <v>0</v>
      </c>
      <c r="BH2457" s="160">
        <f>IF($AT$2253&gt;0,'Assumptions (Petroleum)'!AJ$10*Model!$AT$2253*AVERAGE('Assumptions (Petroleum)'!$AP$2:$AR$2)/10^9,0)</f>
        <v>0</v>
      </c>
      <c r="BI2457" s="160">
        <f>IF($AT$2253&gt;0,'Assumptions (Petroleum)'!AK$10*Model!$AT$2253*AVERAGE('Assumptions (Petroleum)'!$AP$2:$AR$2)/10^9,0)</f>
        <v>0</v>
      </c>
      <c r="BJ2457" s="160"/>
      <c r="BK2457" s="160"/>
      <c r="BL2457" s="160"/>
      <c r="BM2457" s="160"/>
      <c r="BN2457" s="160"/>
      <c r="BO2457" s="160"/>
      <c r="BP2457" s="160"/>
    </row>
    <row r="2458" ht="15.75" hidden="1" customHeight="1" outlineLevel="1">
      <c r="A2458" s="328"/>
      <c r="B2458" s="38"/>
      <c r="C2458" s="174"/>
      <c r="D2458" s="174"/>
      <c r="E2458" s="174"/>
      <c r="F2458" s="174"/>
      <c r="G2458" s="174"/>
      <c r="H2458" s="174"/>
      <c r="I2458" s="174"/>
      <c r="J2458" s="174"/>
      <c r="K2458" s="174"/>
      <c r="L2458" s="174"/>
      <c r="M2458" s="174"/>
      <c r="N2458" s="174"/>
      <c r="O2458" s="174"/>
      <c r="P2458" s="174"/>
      <c r="Q2458" s="174"/>
      <c r="R2458" s="174"/>
      <c r="S2458" s="174"/>
      <c r="T2458" s="174"/>
      <c r="U2458" s="174"/>
      <c r="V2458" s="174"/>
      <c r="W2458" s="160"/>
      <c r="X2458" s="160"/>
      <c r="Y2458" s="160"/>
      <c r="Z2458" s="160"/>
      <c r="AA2458" s="160"/>
      <c r="AB2458" s="160"/>
      <c r="AC2458" s="160"/>
      <c r="AD2458" s="160"/>
      <c r="AE2458" s="160"/>
      <c r="AF2458" s="160"/>
      <c r="AG2458" s="160"/>
      <c r="AH2458" s="160"/>
      <c r="AI2458" s="160"/>
      <c r="AJ2458" s="179"/>
      <c r="AK2458" s="160"/>
      <c r="AL2458" s="177"/>
      <c r="AM2458" s="177"/>
      <c r="AN2458" s="177"/>
      <c r="AO2458" s="160"/>
      <c r="AP2458" s="160"/>
      <c r="AQ2458" s="160"/>
      <c r="AR2458" s="160"/>
      <c r="AS2458" s="160"/>
      <c r="AT2458" s="160"/>
      <c r="AU2458" s="160">
        <f>IF($AU$2253&gt;0,'Assumptions (Petroleum)'!V$10*Model!$AU$2253*AVERAGE('Assumptions (Petroleum)'!$AQ$2:$AS$2)/10^9,0)</f>
        <v>0</v>
      </c>
      <c r="AV2458" s="160">
        <f>IF($AU$2253&gt;0,'Assumptions (Petroleum)'!W$10*Model!$AU$2253*AVERAGE('Assumptions (Petroleum)'!$AQ$2:$AS$2)/10^9,0)</f>
        <v>0</v>
      </c>
      <c r="AW2458" s="160">
        <f>IF($AU$2253&gt;0,'Assumptions (Petroleum)'!X$10*Model!$AU$2253*AVERAGE('Assumptions (Petroleum)'!$AQ$2:$AS$2)/10^9,0)</f>
        <v>0</v>
      </c>
      <c r="AX2458" s="160">
        <f>IF($AU$2253&gt;0,'Assumptions (Petroleum)'!Y$10*Model!$AU$2253*AVERAGE('Assumptions (Petroleum)'!$AQ$2:$AS$2)/10^9,0)</f>
        <v>0</v>
      </c>
      <c r="AY2458" s="160">
        <f>IF($AU$2253&gt;0,'Assumptions (Petroleum)'!Z$10*Model!$AU$2253*AVERAGE('Assumptions (Petroleum)'!$AQ$2:$AS$2)/10^9,0)</f>
        <v>0</v>
      </c>
      <c r="AZ2458" s="160">
        <f>IF($AU$2253&gt;0,'Assumptions (Petroleum)'!AA$10*Model!$AU$2253*AVERAGE('Assumptions (Petroleum)'!$AQ$2:$AS$2)/10^9,0)</f>
        <v>0</v>
      </c>
      <c r="BA2458" s="160">
        <f>IF($AU$2253&gt;0,'Assumptions (Petroleum)'!AB$10*Model!$AU$2253*AVERAGE('Assumptions (Petroleum)'!$AQ$2:$AS$2)/10^9,0)</f>
        <v>0</v>
      </c>
      <c r="BB2458" s="160">
        <f>IF($AU$2253&gt;0,'Assumptions (Petroleum)'!AC$10*Model!$AU$2253*AVERAGE('Assumptions (Petroleum)'!$AQ$2:$AS$2)/10^9,0)</f>
        <v>0</v>
      </c>
      <c r="BC2458" s="160">
        <f>IF($AU$2253&gt;0,'Assumptions (Petroleum)'!AD$10*Model!$AU$2253*AVERAGE('Assumptions (Petroleum)'!$AQ$2:$AS$2)/10^9,0)</f>
        <v>0</v>
      </c>
      <c r="BD2458" s="160">
        <f>IF($AU$2253&gt;0,'Assumptions (Petroleum)'!AE$10*Model!$AU$2253*AVERAGE('Assumptions (Petroleum)'!$AQ$2:$AS$2)/10^9,0)</f>
        <v>0</v>
      </c>
      <c r="BE2458" s="160">
        <f>IF($AU$2253&gt;0,'Assumptions (Petroleum)'!AF$10*Model!$AU$2253*AVERAGE('Assumptions (Petroleum)'!$AQ$2:$AS$2)/10^9,0)</f>
        <v>0</v>
      </c>
      <c r="BF2458" s="160">
        <f>IF($AU$2253&gt;0,'Assumptions (Petroleum)'!AG$10*Model!$AU$2253*AVERAGE('Assumptions (Petroleum)'!$AQ$2:$AS$2)/10^9,0)</f>
        <v>0</v>
      </c>
      <c r="BG2458" s="160">
        <f>IF($AU$2253&gt;0,'Assumptions (Petroleum)'!AH$10*Model!$AU$2253*AVERAGE('Assumptions (Petroleum)'!$AQ$2:$AS$2)/10^9,0)</f>
        <v>0</v>
      </c>
      <c r="BH2458" s="160">
        <f>IF($AU$2253&gt;0,'Assumptions (Petroleum)'!AI$10*Model!$AU$2253*AVERAGE('Assumptions (Petroleum)'!$AQ$2:$AS$2)/10^9,0)</f>
        <v>0</v>
      </c>
      <c r="BI2458" s="160">
        <f>IF($AU$2253&gt;0,'Assumptions (Petroleum)'!AJ$10*Model!$AU$2253*AVERAGE('Assumptions (Petroleum)'!$AQ$2:$AS$2)/10^9,0)</f>
        <v>0</v>
      </c>
      <c r="BJ2458" s="160">
        <f>IF($AU$2253&gt;0,'Assumptions (Petroleum)'!AK$10*Model!$AU$2253*AVERAGE('Assumptions (Petroleum)'!$AQ$2:$AS$2)/10^9,0)</f>
        <v>0</v>
      </c>
      <c r="BK2458" s="160"/>
      <c r="BL2458" s="160"/>
      <c r="BM2458" s="160"/>
      <c r="BN2458" s="160"/>
      <c r="BO2458" s="160"/>
      <c r="BP2458" s="160"/>
    </row>
    <row r="2459" ht="15.75" hidden="1" customHeight="1" outlineLevel="1">
      <c r="A2459" s="328"/>
      <c r="B2459" s="38"/>
      <c r="C2459" s="174"/>
      <c r="D2459" s="174"/>
      <c r="E2459" s="174"/>
      <c r="F2459" s="174"/>
      <c r="G2459" s="174"/>
      <c r="H2459" s="174"/>
      <c r="I2459" s="174"/>
      <c r="J2459" s="174"/>
      <c r="K2459" s="174"/>
      <c r="L2459" s="174"/>
      <c r="M2459" s="174"/>
      <c r="N2459" s="174"/>
      <c r="O2459" s="174"/>
      <c r="P2459" s="174"/>
      <c r="Q2459" s="174"/>
      <c r="R2459" s="174"/>
      <c r="S2459" s="174"/>
      <c r="T2459" s="174"/>
      <c r="U2459" s="174"/>
      <c r="V2459" s="174"/>
      <c r="W2459" s="160"/>
      <c r="X2459" s="160"/>
      <c r="Y2459" s="160"/>
      <c r="Z2459" s="160"/>
      <c r="AA2459" s="160"/>
      <c r="AB2459" s="160"/>
      <c r="AC2459" s="160"/>
      <c r="AD2459" s="160"/>
      <c r="AE2459" s="160"/>
      <c r="AF2459" s="160"/>
      <c r="AG2459" s="160"/>
      <c r="AH2459" s="160"/>
      <c r="AI2459" s="160"/>
      <c r="AJ2459" s="179"/>
      <c r="AK2459" s="160"/>
      <c r="AL2459" s="177"/>
      <c r="AM2459" s="177"/>
      <c r="AN2459" s="177"/>
      <c r="AO2459" s="160"/>
      <c r="AP2459" s="160"/>
      <c r="AQ2459" s="160"/>
      <c r="AR2459" s="160"/>
      <c r="AS2459" s="160"/>
      <c r="AT2459" s="160"/>
      <c r="AU2459" s="160"/>
      <c r="AV2459" s="160">
        <f>IF($AV$2253&gt;0,'Assumptions (Petroleum)'!V$10*Model!$AV$2253*AVERAGE('Assumptions (Petroleum)'!$AR$2:$AT$2)/10^9,0)</f>
        <v>0</v>
      </c>
      <c r="AW2459" s="160">
        <f>IF($AV$2253&gt;0,'Assumptions (Petroleum)'!W$10*Model!$AV$2253*AVERAGE('Assumptions (Petroleum)'!$AR$2:$AT$2)/10^9,0)</f>
        <v>0</v>
      </c>
      <c r="AX2459" s="160">
        <f>IF($AV$2253&gt;0,'Assumptions (Petroleum)'!X$10*Model!$AV$2253*AVERAGE('Assumptions (Petroleum)'!$AR$2:$AT$2)/10^9,0)</f>
        <v>0</v>
      </c>
      <c r="AY2459" s="160">
        <f>IF($AV$2253&gt;0,'Assumptions (Petroleum)'!Y$10*Model!$AV$2253*AVERAGE('Assumptions (Petroleum)'!$AR$2:$AT$2)/10^9,0)</f>
        <v>0</v>
      </c>
      <c r="AZ2459" s="160">
        <f>IF($AV$2253&gt;0,'Assumptions (Petroleum)'!Z$10*Model!$AV$2253*AVERAGE('Assumptions (Petroleum)'!$AR$2:$AT$2)/10^9,0)</f>
        <v>0</v>
      </c>
      <c r="BA2459" s="160">
        <f>IF($AV$2253&gt;0,'Assumptions (Petroleum)'!AA$10*Model!$AV$2253*AVERAGE('Assumptions (Petroleum)'!$AR$2:$AT$2)/10^9,0)</f>
        <v>0</v>
      </c>
      <c r="BB2459" s="160">
        <f>IF($AV$2253&gt;0,'Assumptions (Petroleum)'!AB$10*Model!$AV$2253*AVERAGE('Assumptions (Petroleum)'!$AR$2:$AT$2)/10^9,0)</f>
        <v>0</v>
      </c>
      <c r="BC2459" s="160">
        <f>IF($AV$2253&gt;0,'Assumptions (Petroleum)'!AC$10*Model!$AV$2253*AVERAGE('Assumptions (Petroleum)'!$AR$2:$AT$2)/10^9,0)</f>
        <v>0</v>
      </c>
      <c r="BD2459" s="160">
        <f>IF($AV$2253&gt;0,'Assumptions (Petroleum)'!AD$10*Model!$AV$2253*AVERAGE('Assumptions (Petroleum)'!$AR$2:$AT$2)/10^9,0)</f>
        <v>0</v>
      </c>
      <c r="BE2459" s="160">
        <f>IF($AV$2253&gt;0,'Assumptions (Petroleum)'!AE$10*Model!$AV$2253*AVERAGE('Assumptions (Petroleum)'!$AR$2:$AT$2)/10^9,0)</f>
        <v>0</v>
      </c>
      <c r="BF2459" s="160">
        <f>IF($AV$2253&gt;0,'Assumptions (Petroleum)'!AF$10*Model!$AV$2253*AVERAGE('Assumptions (Petroleum)'!$AR$2:$AT$2)/10^9,0)</f>
        <v>0</v>
      </c>
      <c r="BG2459" s="160">
        <f>IF($AV$2253&gt;0,'Assumptions (Petroleum)'!AG$10*Model!$AV$2253*AVERAGE('Assumptions (Petroleum)'!$AR$2:$AT$2)/10^9,0)</f>
        <v>0</v>
      </c>
      <c r="BH2459" s="160">
        <f>IF($AV$2253&gt;0,'Assumptions (Petroleum)'!AH$10*Model!$AV$2253*AVERAGE('Assumptions (Petroleum)'!$AR$2:$AT$2)/10^9,0)</f>
        <v>0</v>
      </c>
      <c r="BI2459" s="160">
        <f>IF($AV$2253&gt;0,'Assumptions (Petroleum)'!AI$10*Model!$AV$2253*AVERAGE('Assumptions (Petroleum)'!$AR$2:$AT$2)/10^9,0)</f>
        <v>0</v>
      </c>
      <c r="BJ2459" s="160">
        <f>IF($AV$2253&gt;0,'Assumptions (Petroleum)'!AJ$10*Model!$AV$2253*AVERAGE('Assumptions (Petroleum)'!$AR$2:$AT$2)/10^9,0)</f>
        <v>0</v>
      </c>
      <c r="BK2459" s="160">
        <f>IF($AV$2253&gt;0,'Assumptions (Petroleum)'!AK$10*Model!$AV$2253*AVERAGE('Assumptions (Petroleum)'!$AR$2:$AT$2)/10^9,0)</f>
        <v>0</v>
      </c>
      <c r="BL2459" s="160"/>
      <c r="BM2459" s="160"/>
      <c r="BN2459" s="160"/>
      <c r="BO2459" s="160"/>
      <c r="BP2459" s="160"/>
    </row>
    <row r="2460" ht="15.75" hidden="1" customHeight="1" outlineLevel="1">
      <c r="A2460" s="328"/>
      <c r="B2460" s="38"/>
      <c r="C2460" s="174"/>
      <c r="D2460" s="174"/>
      <c r="E2460" s="174"/>
      <c r="F2460" s="174"/>
      <c r="G2460" s="174"/>
      <c r="H2460" s="174"/>
      <c r="I2460" s="174"/>
      <c r="J2460" s="174"/>
      <c r="K2460" s="174"/>
      <c r="L2460" s="174"/>
      <c r="M2460" s="174"/>
      <c r="N2460" s="174"/>
      <c r="O2460" s="174"/>
      <c r="P2460" s="174"/>
      <c r="Q2460" s="174"/>
      <c r="R2460" s="174"/>
      <c r="S2460" s="174"/>
      <c r="T2460" s="174"/>
      <c r="U2460" s="174"/>
      <c r="V2460" s="174"/>
      <c r="W2460" s="160"/>
      <c r="X2460" s="160"/>
      <c r="Y2460" s="160"/>
      <c r="Z2460" s="160"/>
      <c r="AA2460" s="160"/>
      <c r="AB2460" s="160"/>
      <c r="AC2460" s="160"/>
      <c r="AD2460" s="160"/>
      <c r="AE2460" s="160"/>
      <c r="AF2460" s="160"/>
      <c r="AG2460" s="160"/>
      <c r="AH2460" s="160"/>
      <c r="AI2460" s="160"/>
      <c r="AJ2460" s="179"/>
      <c r="AK2460" s="160"/>
      <c r="AL2460" s="177"/>
      <c r="AM2460" s="177"/>
      <c r="AN2460" s="177"/>
      <c r="AO2460" s="160"/>
      <c r="AP2460" s="160"/>
      <c r="AQ2460" s="160"/>
      <c r="AR2460" s="160"/>
      <c r="AS2460" s="160"/>
      <c r="AT2460" s="160"/>
      <c r="AU2460" s="160"/>
      <c r="AV2460" s="160"/>
      <c r="AW2460" s="160">
        <f>IF($AW$2253&gt;0,'Assumptions (Petroleum)'!V$10*Model!$AW$2253*AVERAGE('Assumptions (Petroleum)'!$AS$2:$AU$2)/10^9,0)</f>
        <v>0</v>
      </c>
      <c r="AX2460" s="160">
        <f>IF($AW$2253&gt;0,'Assumptions (Petroleum)'!W$10*Model!$AW$2253*AVERAGE('Assumptions (Petroleum)'!$AS$2:$AU$2)/10^9,0)</f>
        <v>0</v>
      </c>
      <c r="AY2460" s="160">
        <f>IF($AW$2253&gt;0,'Assumptions (Petroleum)'!X$10*Model!$AW$2253*AVERAGE('Assumptions (Petroleum)'!$AS$2:$AU$2)/10^9,0)</f>
        <v>0</v>
      </c>
      <c r="AZ2460" s="160">
        <f>IF($AW$2253&gt;0,'Assumptions (Petroleum)'!Y$10*Model!$AW$2253*AVERAGE('Assumptions (Petroleum)'!$AS$2:$AU$2)/10^9,0)</f>
        <v>0</v>
      </c>
      <c r="BA2460" s="160">
        <f>IF($AW$2253&gt;0,'Assumptions (Petroleum)'!Z$10*Model!$AW$2253*AVERAGE('Assumptions (Petroleum)'!$AS$2:$AU$2)/10^9,0)</f>
        <v>0</v>
      </c>
      <c r="BB2460" s="160">
        <f>IF($AW$2253&gt;0,'Assumptions (Petroleum)'!AA$10*Model!$AW$2253*AVERAGE('Assumptions (Petroleum)'!$AS$2:$AU$2)/10^9,0)</f>
        <v>0</v>
      </c>
      <c r="BC2460" s="160">
        <f>IF($AW$2253&gt;0,'Assumptions (Petroleum)'!AB$10*Model!$AW$2253*AVERAGE('Assumptions (Petroleum)'!$AS$2:$AU$2)/10^9,0)</f>
        <v>0</v>
      </c>
      <c r="BD2460" s="160">
        <f>IF($AW$2253&gt;0,'Assumptions (Petroleum)'!AC$10*Model!$AW$2253*AVERAGE('Assumptions (Petroleum)'!$AS$2:$AU$2)/10^9,0)</f>
        <v>0</v>
      </c>
      <c r="BE2460" s="160">
        <f>IF($AW$2253&gt;0,'Assumptions (Petroleum)'!AD$10*Model!$AW$2253*AVERAGE('Assumptions (Petroleum)'!$AS$2:$AU$2)/10^9,0)</f>
        <v>0</v>
      </c>
      <c r="BF2460" s="160">
        <f>IF($AW$2253&gt;0,'Assumptions (Petroleum)'!AE$10*Model!$AW$2253*AVERAGE('Assumptions (Petroleum)'!$AS$2:$AU$2)/10^9,0)</f>
        <v>0</v>
      </c>
      <c r="BG2460" s="160">
        <f>IF($AW$2253&gt;0,'Assumptions (Petroleum)'!AF$10*Model!$AW$2253*AVERAGE('Assumptions (Petroleum)'!$AS$2:$AU$2)/10^9,0)</f>
        <v>0</v>
      </c>
      <c r="BH2460" s="160">
        <f>IF($AW$2253&gt;0,'Assumptions (Petroleum)'!AG$10*Model!$AW$2253*AVERAGE('Assumptions (Petroleum)'!$AS$2:$AU$2)/10^9,0)</f>
        <v>0</v>
      </c>
      <c r="BI2460" s="160">
        <f>IF($AW$2253&gt;0,'Assumptions (Petroleum)'!AH$10*Model!$AW$2253*AVERAGE('Assumptions (Petroleum)'!$AS$2:$AU$2)/10^9,0)</f>
        <v>0</v>
      </c>
      <c r="BJ2460" s="160">
        <f>IF($AW$2253&gt;0,'Assumptions (Petroleum)'!AI$10*Model!$AW$2253*AVERAGE('Assumptions (Petroleum)'!$AS$2:$AU$2)/10^9,0)</f>
        <v>0</v>
      </c>
      <c r="BK2460" s="160">
        <f>IF($AW$2253&gt;0,'Assumptions (Petroleum)'!AJ$10*Model!$AW$2253*AVERAGE('Assumptions (Petroleum)'!$AS$2:$AU$2)/10^9,0)</f>
        <v>0</v>
      </c>
      <c r="BL2460" s="160">
        <f>IF($AW$2253&gt;0,'Assumptions (Petroleum)'!AK$10*Model!$AW$2253*AVERAGE('Assumptions (Petroleum)'!$AS$2:$AU$2)/10^9,0)</f>
        <v>0</v>
      </c>
      <c r="BM2460" s="160"/>
      <c r="BN2460" s="160"/>
      <c r="BO2460" s="160"/>
      <c r="BP2460" s="160"/>
    </row>
    <row r="2461" ht="15.75" hidden="1" customHeight="1" outlineLevel="1">
      <c r="A2461" s="328"/>
      <c r="B2461" s="38"/>
      <c r="C2461" s="174"/>
      <c r="D2461" s="174"/>
      <c r="E2461" s="174"/>
      <c r="F2461" s="174"/>
      <c r="G2461" s="174"/>
      <c r="H2461" s="174"/>
      <c r="I2461" s="174"/>
      <c r="J2461" s="174"/>
      <c r="K2461" s="174"/>
      <c r="L2461" s="174"/>
      <c r="M2461" s="174"/>
      <c r="N2461" s="174"/>
      <c r="O2461" s="174"/>
      <c r="P2461" s="174"/>
      <c r="Q2461" s="174"/>
      <c r="R2461" s="174"/>
      <c r="S2461" s="174"/>
      <c r="T2461" s="174"/>
      <c r="U2461" s="174"/>
      <c r="V2461" s="174"/>
      <c r="W2461" s="160"/>
      <c r="X2461" s="160"/>
      <c r="Y2461" s="160"/>
      <c r="Z2461" s="160"/>
      <c r="AA2461" s="160"/>
      <c r="AB2461" s="160"/>
      <c r="AC2461" s="160"/>
      <c r="AD2461" s="160"/>
      <c r="AE2461" s="160"/>
      <c r="AF2461" s="160"/>
      <c r="AG2461" s="160"/>
      <c r="AH2461" s="160"/>
      <c r="AI2461" s="160"/>
      <c r="AJ2461" s="179"/>
      <c r="AK2461" s="160"/>
      <c r="AL2461" s="177"/>
      <c r="AM2461" s="177"/>
      <c r="AN2461" s="177"/>
      <c r="AO2461" s="160"/>
      <c r="AP2461" s="160"/>
      <c r="AQ2461" s="160"/>
      <c r="AR2461" s="160"/>
      <c r="AS2461" s="160"/>
      <c r="AT2461" s="160"/>
      <c r="AU2461" s="160"/>
      <c r="AV2461" s="160"/>
      <c r="AW2461" s="160"/>
      <c r="AX2461" s="160">
        <f>IF($AX$2253&gt;0,'Assumptions (Petroleum)'!V$10*Model!$AX$2253*AVERAGE('Assumptions (Petroleum)'!$AT$2:$AV$2)/10^9,0)</f>
        <v>0</v>
      </c>
      <c r="AY2461" s="160">
        <f>IF($AX$2253&gt;0,'Assumptions (Petroleum)'!W$10*Model!$AX$2253*AVERAGE('Assumptions (Petroleum)'!$AT$2:$AV$2)/10^9,0)</f>
        <v>0</v>
      </c>
      <c r="AZ2461" s="160">
        <f>IF($AX$2253&gt;0,'Assumptions (Petroleum)'!X$10*Model!$AX$2253*AVERAGE('Assumptions (Petroleum)'!$AT$2:$AV$2)/10^9,0)</f>
        <v>0</v>
      </c>
      <c r="BA2461" s="160">
        <f>IF($AX$2253&gt;0,'Assumptions (Petroleum)'!Y$10*Model!$AX$2253*AVERAGE('Assumptions (Petroleum)'!$AT$2:$AV$2)/10^9,0)</f>
        <v>0</v>
      </c>
      <c r="BB2461" s="160">
        <f>IF($AX$2253&gt;0,'Assumptions (Petroleum)'!Z$10*Model!$AX$2253*AVERAGE('Assumptions (Petroleum)'!$AT$2:$AV$2)/10^9,0)</f>
        <v>0</v>
      </c>
      <c r="BC2461" s="160">
        <f>IF($AX$2253&gt;0,'Assumptions (Petroleum)'!AA$10*Model!$AX$2253*AVERAGE('Assumptions (Petroleum)'!$AT$2:$AV$2)/10^9,0)</f>
        <v>0</v>
      </c>
      <c r="BD2461" s="160">
        <f>IF($AX$2253&gt;0,'Assumptions (Petroleum)'!AB$10*Model!$AX$2253*AVERAGE('Assumptions (Petroleum)'!$AT$2:$AV$2)/10^9,0)</f>
        <v>0</v>
      </c>
      <c r="BE2461" s="160">
        <f>IF($AX$2253&gt;0,'Assumptions (Petroleum)'!AC$10*Model!$AX$2253*AVERAGE('Assumptions (Petroleum)'!$AT$2:$AV$2)/10^9,0)</f>
        <v>0</v>
      </c>
      <c r="BF2461" s="160">
        <f>IF($AX$2253&gt;0,'Assumptions (Petroleum)'!AD$10*Model!$AX$2253*AVERAGE('Assumptions (Petroleum)'!$AT$2:$AV$2)/10^9,0)</f>
        <v>0</v>
      </c>
      <c r="BG2461" s="160">
        <f>IF($AX$2253&gt;0,'Assumptions (Petroleum)'!AE$10*Model!$AX$2253*AVERAGE('Assumptions (Petroleum)'!$AT$2:$AV$2)/10^9,0)</f>
        <v>0</v>
      </c>
      <c r="BH2461" s="160">
        <f>IF($AX$2253&gt;0,'Assumptions (Petroleum)'!AF$10*Model!$AX$2253*AVERAGE('Assumptions (Petroleum)'!$AT$2:$AV$2)/10^9,0)</f>
        <v>0</v>
      </c>
      <c r="BI2461" s="160">
        <f>IF($AX$2253&gt;0,'Assumptions (Petroleum)'!AG$10*Model!$AX$2253*AVERAGE('Assumptions (Petroleum)'!$AT$2:$AV$2)/10^9,0)</f>
        <v>0</v>
      </c>
      <c r="BJ2461" s="160">
        <f>IF($AX$2253&gt;0,'Assumptions (Petroleum)'!AH$10*Model!$AX$2253*AVERAGE('Assumptions (Petroleum)'!$AT$2:$AV$2)/10^9,0)</f>
        <v>0</v>
      </c>
      <c r="BK2461" s="160">
        <f>IF($AX$2253&gt;0,'Assumptions (Petroleum)'!AI$10*Model!$AX$2253*AVERAGE('Assumptions (Petroleum)'!$AT$2:$AV$2)/10^9,0)</f>
        <v>0</v>
      </c>
      <c r="BL2461" s="160">
        <f>IF($AX$2253&gt;0,'Assumptions (Petroleum)'!AJ$10*Model!$AX$2253*AVERAGE('Assumptions (Petroleum)'!$AT$2:$AV$2)/10^9,0)</f>
        <v>0</v>
      </c>
      <c r="BM2461" s="160">
        <f>IF($AX$2253&gt;0,'Assumptions (Petroleum)'!AK$10*Model!$AX$2253*AVERAGE('Assumptions (Petroleum)'!$AT$2:$AV$2)/10^9,0)</f>
        <v>0</v>
      </c>
      <c r="BN2461" s="160"/>
      <c r="BO2461" s="160"/>
      <c r="BP2461" s="160"/>
    </row>
    <row r="2462" ht="15.75" hidden="1" customHeight="1" outlineLevel="1">
      <c r="A2462" s="328"/>
      <c r="B2462" s="38"/>
      <c r="C2462" s="174"/>
      <c r="D2462" s="174"/>
      <c r="E2462" s="174"/>
      <c r="F2462" s="174"/>
      <c r="G2462" s="174"/>
      <c r="H2462" s="174"/>
      <c r="I2462" s="174"/>
      <c r="J2462" s="174"/>
      <c r="K2462" s="174"/>
      <c r="L2462" s="174"/>
      <c r="M2462" s="174"/>
      <c r="N2462" s="174"/>
      <c r="O2462" s="174"/>
      <c r="P2462" s="174"/>
      <c r="Q2462" s="174"/>
      <c r="R2462" s="174"/>
      <c r="S2462" s="174"/>
      <c r="T2462" s="174"/>
      <c r="U2462" s="174"/>
      <c r="V2462" s="174"/>
      <c r="W2462" s="160"/>
      <c r="X2462" s="160"/>
      <c r="Y2462" s="160"/>
      <c r="Z2462" s="160"/>
      <c r="AA2462" s="160"/>
      <c r="AB2462" s="160"/>
      <c r="AC2462" s="160"/>
      <c r="AD2462" s="160"/>
      <c r="AE2462" s="160"/>
      <c r="AF2462" s="160"/>
      <c r="AG2462" s="160"/>
      <c r="AH2462" s="160"/>
      <c r="AI2462" s="160"/>
      <c r="AJ2462" s="179"/>
      <c r="AK2462" s="160"/>
      <c r="AL2462" s="177"/>
      <c r="AM2462" s="177"/>
      <c r="AN2462" s="177"/>
      <c r="AO2462" s="160"/>
      <c r="AP2462" s="160"/>
      <c r="AQ2462" s="160"/>
      <c r="AR2462" s="160"/>
      <c r="AS2462" s="160"/>
      <c r="AT2462" s="160"/>
      <c r="AU2462" s="160"/>
      <c r="AV2462" s="160"/>
      <c r="AW2462" s="160"/>
      <c r="AX2462" s="160"/>
      <c r="AY2462" s="160">
        <f>IF($AY$2253&gt;0,'Assumptions (Petroleum)'!V$10*Model!$AY$2253*AVERAGE('Assumptions (Petroleum)'!$AU$2:$AW$2)/10^9,0)</f>
        <v>0</v>
      </c>
      <c r="AZ2462" s="160">
        <f>IF($AY$2253&gt;0,'Assumptions (Petroleum)'!W$10*Model!$AY$2253*AVERAGE('Assumptions (Petroleum)'!$AU$2:$AW$2)/10^9,0)</f>
        <v>0</v>
      </c>
      <c r="BA2462" s="160">
        <f>IF($AY$2253&gt;0,'Assumptions (Petroleum)'!X$10*Model!$AY$2253*AVERAGE('Assumptions (Petroleum)'!$AU$2:$AW$2)/10^9,0)</f>
        <v>0</v>
      </c>
      <c r="BB2462" s="160">
        <f>IF($AY$2253&gt;0,'Assumptions (Petroleum)'!Y$10*Model!$AY$2253*AVERAGE('Assumptions (Petroleum)'!$AU$2:$AW$2)/10^9,0)</f>
        <v>0</v>
      </c>
      <c r="BC2462" s="160">
        <f>IF($AY$2253&gt;0,'Assumptions (Petroleum)'!Z$10*Model!$AY$2253*AVERAGE('Assumptions (Petroleum)'!$AU$2:$AW$2)/10^9,0)</f>
        <v>0</v>
      </c>
      <c r="BD2462" s="160">
        <f>IF($AY$2253&gt;0,'Assumptions (Petroleum)'!AA$10*Model!$AY$2253*AVERAGE('Assumptions (Petroleum)'!$AU$2:$AW$2)/10^9,0)</f>
        <v>0</v>
      </c>
      <c r="BE2462" s="160">
        <f>IF($AY$2253&gt;0,'Assumptions (Petroleum)'!AB$10*Model!$AY$2253*AVERAGE('Assumptions (Petroleum)'!$AU$2:$AW$2)/10^9,0)</f>
        <v>0</v>
      </c>
      <c r="BF2462" s="160">
        <f>IF($AY$2253&gt;0,'Assumptions (Petroleum)'!AC$10*Model!$AY$2253*AVERAGE('Assumptions (Petroleum)'!$AU$2:$AW$2)/10^9,0)</f>
        <v>0</v>
      </c>
      <c r="BG2462" s="160">
        <f>IF($AY$2253&gt;0,'Assumptions (Petroleum)'!AD$10*Model!$AY$2253*AVERAGE('Assumptions (Petroleum)'!$AU$2:$AW$2)/10^9,0)</f>
        <v>0</v>
      </c>
      <c r="BH2462" s="160">
        <f>IF($AY$2253&gt;0,'Assumptions (Petroleum)'!AE$10*Model!$AY$2253*AVERAGE('Assumptions (Petroleum)'!$AU$2:$AW$2)/10^9,0)</f>
        <v>0</v>
      </c>
      <c r="BI2462" s="160">
        <f>IF($AY$2253&gt;0,'Assumptions (Petroleum)'!AF$10*Model!$AY$2253*AVERAGE('Assumptions (Petroleum)'!$AU$2:$AW$2)/10^9,0)</f>
        <v>0</v>
      </c>
      <c r="BJ2462" s="160">
        <f>IF($AY$2253&gt;0,'Assumptions (Petroleum)'!AG$10*Model!$AY$2253*AVERAGE('Assumptions (Petroleum)'!$AU$2:$AW$2)/10^9,0)</f>
        <v>0</v>
      </c>
      <c r="BK2462" s="160">
        <f>IF($AY$2253&gt;0,'Assumptions (Petroleum)'!AH$10*Model!$AY$2253*AVERAGE('Assumptions (Petroleum)'!$AU$2:$AW$2)/10^9,0)</f>
        <v>0</v>
      </c>
      <c r="BL2462" s="160">
        <f>IF($AY$2253&gt;0,'Assumptions (Petroleum)'!AI$10*Model!$AY$2253*AVERAGE('Assumptions (Petroleum)'!$AU$2:$AW$2)/10^9,0)</f>
        <v>0</v>
      </c>
      <c r="BM2462" s="160">
        <f>IF($AY$2253&gt;0,'Assumptions (Petroleum)'!AJ$10*Model!$AY$2253*AVERAGE('Assumptions (Petroleum)'!$AU$2:$AW$2)/10^9,0)</f>
        <v>0</v>
      </c>
      <c r="BN2462" s="160">
        <f>IF($AY$2253&gt;0,'Assumptions (Petroleum)'!AK$10*Model!$AY$2253*AVERAGE('Assumptions (Petroleum)'!$AU$2:$AW$2)/10^9,0)</f>
        <v>0</v>
      </c>
      <c r="BO2462" s="160"/>
      <c r="BP2462" s="160"/>
    </row>
    <row r="2463" ht="15.75" hidden="1" customHeight="1" outlineLevel="1">
      <c r="A2463" s="328"/>
      <c r="B2463" s="38"/>
      <c r="C2463" s="174"/>
      <c r="D2463" s="174"/>
      <c r="E2463" s="174"/>
      <c r="F2463" s="174"/>
      <c r="G2463" s="174"/>
      <c r="H2463" s="174"/>
      <c r="I2463" s="174"/>
      <c r="J2463" s="174"/>
      <c r="K2463" s="174"/>
      <c r="L2463" s="174"/>
      <c r="M2463" s="174"/>
      <c r="N2463" s="174"/>
      <c r="O2463" s="174"/>
      <c r="P2463" s="174"/>
      <c r="Q2463" s="174"/>
      <c r="R2463" s="174"/>
      <c r="S2463" s="174"/>
      <c r="T2463" s="174"/>
      <c r="U2463" s="174"/>
      <c r="V2463" s="174"/>
      <c r="W2463" s="160"/>
      <c r="X2463" s="160"/>
      <c r="Y2463" s="160"/>
      <c r="Z2463" s="160"/>
      <c r="AA2463" s="160"/>
      <c r="AB2463" s="160"/>
      <c r="AC2463" s="160"/>
      <c r="AD2463" s="160"/>
      <c r="AE2463" s="160"/>
      <c r="AF2463" s="160"/>
      <c r="AG2463" s="160"/>
      <c r="AH2463" s="160"/>
      <c r="AI2463" s="160"/>
      <c r="AJ2463" s="179"/>
      <c r="AK2463" s="160"/>
      <c r="AL2463" s="177"/>
      <c r="AM2463" s="177"/>
      <c r="AN2463" s="177"/>
      <c r="AO2463" s="160"/>
      <c r="AP2463" s="160"/>
      <c r="AQ2463" s="160"/>
      <c r="AR2463" s="160"/>
      <c r="AS2463" s="160"/>
      <c r="AT2463" s="160"/>
      <c r="AU2463" s="160"/>
      <c r="AV2463" s="160"/>
      <c r="AW2463" s="160"/>
      <c r="AX2463" s="160"/>
      <c r="AY2463" s="160"/>
      <c r="AZ2463" s="160">
        <f>IF($AZ$2253&gt;0,'Assumptions (Petroleum)'!V$10*Model!$AZ$2253*AVERAGE('Assumptions (Petroleum)'!$AV$2:$AX$2)/10^9,0)</f>
        <v>0</v>
      </c>
      <c r="BA2463" s="160">
        <f>IF($AZ$2253&gt;0,'Assumptions (Petroleum)'!W$10*Model!$AZ$2253*AVERAGE('Assumptions (Petroleum)'!$AV$2:$AX$2)/10^9,0)</f>
        <v>0</v>
      </c>
      <c r="BB2463" s="160">
        <f>IF($AZ$2253&gt;0,'Assumptions (Petroleum)'!X$10*Model!$AZ$2253*AVERAGE('Assumptions (Petroleum)'!$AV$2:$AX$2)/10^9,0)</f>
        <v>0</v>
      </c>
      <c r="BC2463" s="160">
        <f>IF($AZ$2253&gt;0,'Assumptions (Petroleum)'!Y$10*Model!$AZ$2253*AVERAGE('Assumptions (Petroleum)'!$AV$2:$AX$2)/10^9,0)</f>
        <v>0</v>
      </c>
      <c r="BD2463" s="160">
        <f>IF($AZ$2253&gt;0,'Assumptions (Petroleum)'!Z$10*Model!$AZ$2253*AVERAGE('Assumptions (Petroleum)'!$AV$2:$AX$2)/10^9,0)</f>
        <v>0</v>
      </c>
      <c r="BE2463" s="160">
        <f>IF($AZ$2253&gt;0,'Assumptions (Petroleum)'!AA$10*Model!$AZ$2253*AVERAGE('Assumptions (Petroleum)'!$AV$2:$AX$2)/10^9,0)</f>
        <v>0</v>
      </c>
      <c r="BF2463" s="160">
        <f>IF($AZ$2253&gt;0,'Assumptions (Petroleum)'!AB$10*Model!$AZ$2253*AVERAGE('Assumptions (Petroleum)'!$AV$2:$AX$2)/10^9,0)</f>
        <v>0</v>
      </c>
      <c r="BG2463" s="160">
        <f>IF($AZ$2253&gt;0,'Assumptions (Petroleum)'!AC$10*Model!$AZ$2253*AVERAGE('Assumptions (Petroleum)'!$AV$2:$AX$2)/10^9,0)</f>
        <v>0</v>
      </c>
      <c r="BH2463" s="160">
        <f>IF($AZ$2253&gt;0,'Assumptions (Petroleum)'!AD$10*Model!$AZ$2253*AVERAGE('Assumptions (Petroleum)'!$AV$2:$AX$2)/10^9,0)</f>
        <v>0</v>
      </c>
      <c r="BI2463" s="160">
        <f>IF($AZ$2253&gt;0,'Assumptions (Petroleum)'!AE$10*Model!$AZ$2253*AVERAGE('Assumptions (Petroleum)'!$AV$2:$AX$2)/10^9,0)</f>
        <v>0</v>
      </c>
      <c r="BJ2463" s="160">
        <f>IF($AZ$2253&gt;0,'Assumptions (Petroleum)'!AF$10*Model!$AZ$2253*AVERAGE('Assumptions (Petroleum)'!$AV$2:$AX$2)/10^9,0)</f>
        <v>0</v>
      </c>
      <c r="BK2463" s="160">
        <f>IF($AZ$2253&gt;0,'Assumptions (Petroleum)'!AG$10*Model!$AZ$2253*AVERAGE('Assumptions (Petroleum)'!$AV$2:$AX$2)/10^9,0)</f>
        <v>0</v>
      </c>
      <c r="BL2463" s="160">
        <f>IF($AZ$2253&gt;0,'Assumptions (Petroleum)'!AH$10*Model!$AZ$2253*AVERAGE('Assumptions (Petroleum)'!$AV$2:$AX$2)/10^9,0)</f>
        <v>0</v>
      </c>
      <c r="BM2463" s="160">
        <f>IF($AZ$2253&gt;0,'Assumptions (Petroleum)'!AI$10*Model!$AZ$2253*AVERAGE('Assumptions (Petroleum)'!$AV$2:$AX$2)/10^9,0)</f>
        <v>0</v>
      </c>
      <c r="BN2463" s="160">
        <f>IF($AZ$2253&gt;0,'Assumptions (Petroleum)'!AJ$10*Model!$AZ$2253*AVERAGE('Assumptions (Petroleum)'!$AV$2:$AX$2)/10^9,0)</f>
        <v>0</v>
      </c>
      <c r="BO2463" s="160">
        <f>IF($AZ$2253&gt;0,'Assumptions (Petroleum)'!AK$10*Model!$AZ$2253*AVERAGE('Assumptions (Petroleum)'!$AV$2:$AX$2)/10^9,0)</f>
        <v>0</v>
      </c>
      <c r="BP2463" s="160"/>
    </row>
    <row r="2464" ht="15.75" hidden="1" customHeight="1" outlineLevel="1">
      <c r="A2464" s="328"/>
      <c r="B2464" s="38"/>
      <c r="C2464" s="174"/>
      <c r="D2464" s="174"/>
      <c r="E2464" s="174"/>
      <c r="F2464" s="174"/>
      <c r="G2464" s="174"/>
      <c r="H2464" s="174"/>
      <c r="I2464" s="174"/>
      <c r="J2464" s="174"/>
      <c r="K2464" s="174"/>
      <c r="L2464" s="174"/>
      <c r="M2464" s="174"/>
      <c r="N2464" s="174"/>
      <c r="O2464" s="174"/>
      <c r="P2464" s="174"/>
      <c r="Q2464" s="174"/>
      <c r="R2464" s="174"/>
      <c r="S2464" s="174"/>
      <c r="T2464" s="174"/>
      <c r="U2464" s="174"/>
      <c r="V2464" s="174"/>
      <c r="W2464" s="160"/>
      <c r="X2464" s="160"/>
      <c r="Y2464" s="160"/>
      <c r="Z2464" s="160"/>
      <c r="AA2464" s="160"/>
      <c r="AB2464" s="160"/>
      <c r="AC2464" s="160"/>
      <c r="AD2464" s="160"/>
      <c r="AE2464" s="160"/>
      <c r="AF2464" s="160"/>
      <c r="AG2464" s="160"/>
      <c r="AH2464" s="160"/>
      <c r="AI2464" s="160"/>
      <c r="AJ2464" s="179"/>
      <c r="AK2464" s="160"/>
      <c r="AL2464" s="177"/>
      <c r="AM2464" s="177"/>
      <c r="AN2464" s="177"/>
      <c r="AO2464" s="160"/>
      <c r="AP2464" s="160"/>
      <c r="AQ2464" s="160"/>
      <c r="AR2464" s="160"/>
      <c r="AS2464" s="160"/>
      <c r="AT2464" s="160"/>
      <c r="AU2464" s="160"/>
      <c r="AV2464" s="160"/>
      <c r="AW2464" s="160"/>
      <c r="AX2464" s="160"/>
      <c r="AY2464" s="160"/>
      <c r="AZ2464" s="160"/>
      <c r="BA2464" s="160">
        <f>IF($BA$2253&gt;0,'Assumptions (Petroleum)'!V$10*Model!$BA$2253*AVERAGE('Assumptions (Petroleum)'!$AW$2:$AY$2)/10^9,0)</f>
        <v>0</v>
      </c>
      <c r="BB2464" s="160">
        <f>IF($BA$2253&gt;0,'Assumptions (Petroleum)'!W$10*Model!$BA$2253*AVERAGE('Assumptions (Petroleum)'!$AW$2:$AY$2)/10^9,0)</f>
        <v>0</v>
      </c>
      <c r="BC2464" s="160">
        <f>IF($BA$2253&gt;0,'Assumptions (Petroleum)'!X$10*Model!$BA$2253*AVERAGE('Assumptions (Petroleum)'!$AW$2:$AY$2)/10^9,0)</f>
        <v>0</v>
      </c>
      <c r="BD2464" s="160">
        <f>IF($BA$2253&gt;0,'Assumptions (Petroleum)'!Y$10*Model!$BA$2253*AVERAGE('Assumptions (Petroleum)'!$AW$2:$AY$2)/10^9,0)</f>
        <v>0</v>
      </c>
      <c r="BE2464" s="160">
        <f>IF($BA$2253&gt;0,'Assumptions (Petroleum)'!Z$10*Model!$BA$2253*AVERAGE('Assumptions (Petroleum)'!$AW$2:$AY$2)/10^9,0)</f>
        <v>0</v>
      </c>
      <c r="BF2464" s="160">
        <f>IF($BA$2253&gt;0,'Assumptions (Petroleum)'!AA$10*Model!$BA$2253*AVERAGE('Assumptions (Petroleum)'!$AW$2:$AY$2)/10^9,0)</f>
        <v>0</v>
      </c>
      <c r="BG2464" s="160">
        <f>IF($BA$2253&gt;0,'Assumptions (Petroleum)'!AB$10*Model!$BA$2253*AVERAGE('Assumptions (Petroleum)'!$AW$2:$AY$2)/10^9,0)</f>
        <v>0</v>
      </c>
      <c r="BH2464" s="160">
        <f>IF($BA$2253&gt;0,'Assumptions (Petroleum)'!AC$10*Model!$BA$2253*AVERAGE('Assumptions (Petroleum)'!$AW$2:$AY$2)/10^9,0)</f>
        <v>0</v>
      </c>
      <c r="BI2464" s="160">
        <f>IF($BA$2253&gt;0,'Assumptions (Petroleum)'!AD$10*Model!$BA$2253*AVERAGE('Assumptions (Petroleum)'!$AW$2:$AY$2)/10^9,0)</f>
        <v>0</v>
      </c>
      <c r="BJ2464" s="160">
        <f>IF($BA$2253&gt;0,'Assumptions (Petroleum)'!AE$10*Model!$BA$2253*AVERAGE('Assumptions (Petroleum)'!$AW$2:$AY$2)/10^9,0)</f>
        <v>0</v>
      </c>
      <c r="BK2464" s="160">
        <f>IF($BA$2253&gt;0,'Assumptions (Petroleum)'!AF$10*Model!$BA$2253*AVERAGE('Assumptions (Petroleum)'!$AW$2:$AY$2)/10^9,0)</f>
        <v>0</v>
      </c>
      <c r="BL2464" s="160">
        <f>IF($BA$2253&gt;0,'Assumptions (Petroleum)'!AG$10*Model!$BA$2253*AVERAGE('Assumptions (Petroleum)'!$AW$2:$AY$2)/10^9,0)</f>
        <v>0</v>
      </c>
      <c r="BM2464" s="160">
        <f>IF($BA$2253&gt;0,'Assumptions (Petroleum)'!AH$10*Model!$BA$2253*AVERAGE('Assumptions (Petroleum)'!$AW$2:$AY$2)/10^9,0)</f>
        <v>0</v>
      </c>
      <c r="BN2464" s="160">
        <f>IF($BA$2253&gt;0,'Assumptions (Petroleum)'!AI$10*Model!$BA$2253*AVERAGE('Assumptions (Petroleum)'!$AW$2:$AY$2)/10^9,0)</f>
        <v>0</v>
      </c>
      <c r="BO2464" s="160">
        <f>IF($BA$2253&gt;0,'Assumptions (Petroleum)'!AJ$10*Model!$BA$2253*AVERAGE('Assumptions (Petroleum)'!$AW$2:$AY$2)/10^9,0)</f>
        <v>0</v>
      </c>
      <c r="BP2464" s="160">
        <f>IF($BA$2253&gt;0,'Assumptions (Petroleum)'!AK$10*Model!$BA$2253*AVERAGE('Assumptions (Petroleum)'!$AW$2:$AY$2)/10^9,0)</f>
        <v>0</v>
      </c>
    </row>
    <row r="2465" ht="15.75" customHeight="1" collapsed="1">
      <c r="A2465" s="328" t="s">
        <v>62</v>
      </c>
      <c r="B2465" s="159" t="s">
        <v>351</v>
      </c>
      <c r="C2465" s="219">
        <f>IF(Model!C2251+Model!C2252-C2250-C2413+C2361&gt;0,(1-'Assumptions (Petroleum)'!B24)*(Model!C2251+Model!C2252-C2250-C2413+C2361)+Model!C2413-C2308+Model!C2309,Model!C2251+Model!C2252-C2250+C2361-C2308+Model!C2309)</f>
        <v>0.2252378298</v>
      </c>
      <c r="D2465" s="219">
        <f>IF(Model!D2251+Model!D2252-D2250-D2413+D2361&gt;0,(1-'Assumptions (Petroleum)'!C24)*(Model!D2251+Model!D2252-D2250-D2413+D2361)+Model!D2413-D2308+Model!D2309,Model!D2251+Model!D2252-D2250+D2361-D2308+Model!D2309)</f>
        <v>0.3242261311</v>
      </c>
      <c r="E2465" s="219">
        <f>IF(Model!E2251+Model!E2252-E2250-E2413+E2361&gt;0,(1-'Assumptions (Petroleum)'!D24)*(Model!E2251+Model!E2252-E2250-E2413+E2361)+Model!E2413-E2308+Model!E2309,Model!E2251+Model!E2252-E2250+E2361-E2308+Model!E2309)</f>
        <v>0.07971507725</v>
      </c>
      <c r="F2465" s="219">
        <f>IF(Model!F2251+Model!F2252-F2250-F2413+F2361&gt;0,(1-'Assumptions (Petroleum)'!E24)*(Model!F2251+Model!F2252-F2250-F2413+F2361)+Model!F2413-F2308+Model!F2309,Model!F2251+Model!F2252-F2250+F2361-F2308+Model!F2309)</f>
        <v>0.2018580185</v>
      </c>
      <c r="G2465" s="219">
        <f>IF(Model!G2251+Model!G2252-G2250-G2413+G2361&gt;0,(1-'Assumptions (Petroleum)'!F24)*(Model!G2251+Model!G2252-G2250-G2413+G2361)+Model!G2413-G2308+Model!G2309,Model!G2251+Model!G2252-G2250+G2361-G2308+Model!G2309)</f>
        <v>0.2559285876</v>
      </c>
      <c r="H2465" s="219">
        <f>IF(Model!H2251+Model!H2252-H2250-H2413+H2361&gt;0,(1-'Assumptions (Petroleum)'!G24)*(Model!H2251+Model!H2252-H2250-H2413+H2361)+Model!H2413-H2308+Model!H2309,Model!H2251+Model!H2252-H2250+H2361-H2308+Model!H2309)</f>
        <v>0.2255641765</v>
      </c>
      <c r="I2465" s="219">
        <f>IF(Model!I2251+Model!I2252-I2250-I2413+I2361&gt;0,(1-'Assumptions (Petroleum)'!H24)*(Model!I2251+Model!I2252-I2250-I2413+I2361)+Model!I2413-I2308+Model!I2309,Model!I2251+Model!I2252-I2250+I2361-I2308+Model!I2309)</f>
        <v>0.09622566213</v>
      </c>
      <c r="J2465" s="219">
        <f>IF(Model!J2251+Model!J2252-J2250-J2413+J2361&gt;0,(1-'Assumptions (Petroleum)'!I24)*(Model!J2251+Model!J2252-J2250-J2413+J2361)+Model!J2413-J2308+Model!J2309,Model!J2251+Model!J2252-J2250+J2361-J2308+Model!J2309)</f>
        <v>0.1011785689</v>
      </c>
      <c r="K2465" s="219">
        <f>IF(Model!K2251+Model!K2252-K2250-K2413+K2361&gt;0,(1-'Assumptions (Petroleum)'!J24)*(Model!K2251+Model!K2252-K2250-K2413+K2361)+Model!K2413-K2308+Model!K2309,Model!K2251+Model!K2252-K2250+K2361-K2308+Model!K2309)</f>
        <v>0.08556750355</v>
      </c>
      <c r="L2465" s="219">
        <f>IF(Model!L2251+Model!L2252-L2250-L2413+L2361&gt;0,(1-'Assumptions (Petroleum)'!K24)*(Model!L2251+Model!L2252-L2250-L2413+L2361)+Model!L2413-L2308+Model!L2309,Model!L2251+Model!L2252-L2250+L2361-L2308+Model!L2309)</f>
        <v>0.05688142403</v>
      </c>
      <c r="M2465" s="219">
        <f>IF(Model!M2251+Model!M2252-M2250-M2413+M2361&gt;0,(1-'Assumptions (Petroleum)'!L24)*(Model!M2251+Model!M2252-M2250-M2413+M2361)+Model!M2413-M2308+Model!M2309,Model!M2251+Model!M2252-M2250+M2361-M2308+Model!M2309)</f>
        <v>0.04465365933</v>
      </c>
      <c r="N2465" s="219">
        <f>IF(Model!N2251+Model!N2252-N2250-N2413+N2361&gt;0,(1-'Assumptions (Petroleum)'!M24)*(Model!N2251+Model!N2252-N2250-N2413+N2361)+Model!N2413-N2308+Model!N2309,Model!N2251+Model!N2252-N2250+N2361-N2308+Model!N2309)</f>
        <v>0.02492352295</v>
      </c>
      <c r="O2465" s="219">
        <f>IF(Model!O2251+Model!O2252-O2250-O2413+O2361&gt;0,(1-'Assumptions (Petroleum)'!N24)*(Model!O2251+Model!O2252-O2250-O2413+O2361)+Model!O2413-O2308+Model!O2309,Model!O2251+Model!O2252-O2250+O2361-O2308+Model!O2309)</f>
        <v>0.006925383441</v>
      </c>
      <c r="P2465" s="219">
        <f>IF(Model!P2251+Model!P2252-P2250-P2413+P2361&gt;0,(1-'Assumptions (Petroleum)'!O24)*(Model!P2251+Model!P2252-P2250-P2413+P2361)+Model!P2413-P2308+Model!P2309,Model!P2251+Model!P2252-P2250+P2361-P2308+Model!P2309)</f>
        <v>0.007806601695</v>
      </c>
      <c r="Q2465" s="219">
        <f>IF(Model!Q2251+Model!Q2252-Q2250-Q2413+Q2361&gt;0,(1-'Assumptions (Petroleum)'!P24)*(Model!Q2251+Model!Q2252-Q2250-Q2413+Q2361)+Model!Q2413-Q2308+Model!Q2309,Model!Q2251+Model!Q2252-Q2250+Q2361-Q2308+Model!Q2309)</f>
        <v>0.03574945579</v>
      </c>
      <c r="R2465" s="219">
        <f>IF(Model!R2251+Model!R2252-R2250-R2413+R2361&gt;0,(1-'Assumptions (Petroleum)'!Q24)*(Model!R2251+Model!R2252-R2250-R2413+R2361)+Model!R2413-R2308+Model!R2309,Model!R2251+Model!R2252-R2250+R2361-R2308+Model!R2309)</f>
        <v>0.01944421441</v>
      </c>
      <c r="S2465" s="219">
        <f>IF(Model!S2251+Model!S2252-S2250-S2413+S2361&gt;0,(1-'Assumptions (Petroleum)'!R24)*(Model!S2251+Model!S2252-S2250-S2413+S2361)+Model!S2413-S2308+Model!S2309,Model!S2251+Model!S2252-S2250+S2361-S2308+Model!S2309)</f>
        <v>0.00850926746</v>
      </c>
      <c r="T2465" s="219">
        <f>IF(Model!T2251+Model!T2252-T2250-T2413+T2361&gt;0,(1-'Assumptions (Petroleum)'!S24)*(Model!T2251+Model!T2252-T2250-T2413+T2361)+Model!T2413-T2308+Model!T2309,Model!T2251+Model!T2252-T2250+T2361-T2308+Model!T2309)</f>
        <v>0.01041382625</v>
      </c>
      <c r="U2465" s="219">
        <f>IF(Model!U2251+Model!U2252-U2250-U2413+U2361&gt;0,(1-'Assumptions (Petroleum)'!T24)*(Model!U2251+Model!U2252-U2250-U2413+U2361)+Model!U2413-U2308+Model!U2309,Model!U2251+Model!U2252-U2250+U2361-U2308+Model!U2309)</f>
        <v>0.05355726785</v>
      </c>
      <c r="V2465" s="219">
        <f>IF(Model!V2251+Model!V2252-V2250-V2413+V2361&gt;0,(1-'Assumptions (Petroleum)'!U24)*(Model!V2251+Model!V2252-V2250-V2413+V2361)+Model!V2413-V2308+Model!V2309,Model!V2251+Model!V2252-V2250+V2361-V2308+Model!V2309)</f>
        <v>0.05465532855</v>
      </c>
      <c r="W2465" s="219">
        <f>IF(Model!W2251+Model!W2252-W2250-W2413+W2361&gt;0,(1-'Assumptions (Petroleum)'!V24)*(Model!W2251+Model!W2252-W2250-W2413+W2361)+Model!W2413-W2308+Model!W2309,Model!W2251+Model!W2252-W2250+W2361-W2308+Model!W2309)</f>
        <v>0.05834967141</v>
      </c>
      <c r="X2465" s="219">
        <f>IF(Model!X2251+Model!X2252-X2250-X2413+X2361&gt;0,(1-'Assumptions (Petroleum)'!W24)*(Model!X2251+Model!X2252-X2250-X2413+X2361)+Model!X2413-X2308+Model!X2309,Model!X2251+Model!X2252-X2250+X2361-X2308+Model!X2309)</f>
        <v>0.05719965799</v>
      </c>
      <c r="Y2465" s="219">
        <f>IF(Model!Y2251+Model!Y2252-Y2250-Y2413+Y2361&gt;0,(1-'Assumptions (Petroleum)'!X24)*(Model!Y2251+Model!Y2252-Y2250-Y2413+Y2361)+Model!Y2413-Y2308+Model!Y2309,Model!Y2251+Model!Y2252-Y2250+Y2361-Y2308+Model!Y2309)</f>
        <v>0.0561660725</v>
      </c>
      <c r="Z2465" s="219">
        <f>IF(Model!Z2251+Model!Z2252-Z2250-Z2413+Z2361&gt;0,(1-'Assumptions (Petroleum)'!Y24)*(Model!Z2251+Model!Z2252-Z2250-Z2413+Z2361)+Model!Z2413-Z2308+Model!Z2309,Model!Z2251+Model!Z2252-Z2250+Z2361-Z2308+Model!Z2309)</f>
        <v>0.05520906656</v>
      </c>
      <c r="AA2465" s="219">
        <f>IF(Model!AA2251+Model!AA2252-AA2250-AA2413+AA2361&gt;0,(1-'Assumptions (Petroleum)'!Z24)*(Model!AA2251+Model!AA2252-AA2250-AA2413+AA2361)+Model!AA2413-AA2308+Model!AA2309,Model!AA2251+Model!AA2252-AA2250+AA2361-AA2308+Model!AA2309)</f>
        <v>0.05414334814</v>
      </c>
      <c r="AB2465" s="219">
        <f>IF(Model!AB2251+Model!AB2252-AB2250-AB2413+AB2361&gt;0,(1-'Assumptions (Petroleum)'!AA24)*(Model!AB2251+Model!AB2252-AB2250-AB2413+AB2361)+Model!AB2413-AB2308+Model!AB2309,Model!AB2251+Model!AB2252-AB2250+AB2361-AB2308+Model!AB2309)</f>
        <v>0.05371670101</v>
      </c>
      <c r="AC2465" s="219">
        <f>IF(Model!AC2251+Model!AC2252-AC2250-AC2413+AC2361&gt;0,(1-'Assumptions (Petroleum)'!AB24)*(Model!AC2251+Model!AC2252-AC2250-AC2413+AC2361)+Model!AC2413-AC2308+Model!AC2309,Model!AC2251+Model!AC2252-AC2250+AC2361-AC2308+Model!AC2309)</f>
        <v>0.05271124658</v>
      </c>
      <c r="AD2465" s="219">
        <f>IF(Model!AD2251+Model!AD2252-AD2250-AD2413+AD2361&gt;0,(1-'Assumptions (Petroleum)'!AC24)*(Model!AD2251+Model!AD2252-AD2250-AD2413+AD2361)+Model!AD2413-AD2308+Model!AD2309,Model!AD2251+Model!AD2252-AD2250+AD2361-AD2308+Model!AD2309)</f>
        <v>0.05159028029</v>
      </c>
      <c r="AE2465" s="219">
        <f>IF(Model!AE2251+Model!AE2252-AE2250-AE2413+AE2361&gt;0,(1-'Assumptions (Petroleum)'!AD24)*(Model!AE2251+Model!AE2252-AE2250-AE2413+AE2361)+Model!AE2413-AE2308+Model!AE2309,Model!AE2251+Model!AE2252-AE2250+AE2361-AE2308+Model!AE2309)</f>
        <v>0.05096493855</v>
      </c>
      <c r="AF2465" s="219">
        <f>IF(Model!AF2251+Model!AF2252-AF2250-AF2413+AF2361&gt;0,(1-'Assumptions (Petroleum)'!AE24)*(Model!AF2251+Model!AF2252-AF2250-AF2413+AF2361)+Model!AF2413-AF2308+Model!AF2309,Model!AF2251+Model!AF2252-AF2250+AF2361-AF2308+Model!AF2309)</f>
        <v>0.04948374582</v>
      </c>
      <c r="AG2465" s="219">
        <f>IF(Model!AG2251+Model!AG2252-AG2250-AG2413+AG2361&gt;0,(1-'Assumptions (Petroleum)'!AF24)*(Model!AG2251+Model!AG2252-AG2250-AG2413+AG2361)+Model!AG2413-AG2308+Model!AG2309,Model!AG2251+Model!AG2252-AG2250+AG2361-AG2308+Model!AG2309)</f>
        <v>0.04801202124</v>
      </c>
      <c r="AH2465" s="219">
        <f>IF(Model!AH2251+Model!AH2252-AH2250-AH2413+AH2361&gt;0,(1-'Assumptions (Petroleum)'!AG24)*(Model!AH2251+Model!AH2252-AH2250-AH2413+AH2361)+Model!AH2413-AH2308+Model!AH2309,Model!AH2251+Model!AH2252-AH2250+AH2361-AH2308+Model!AH2309)</f>
        <v>0.04653958079</v>
      </c>
      <c r="AI2465" s="219">
        <f>IF(Model!AI2251+Model!AI2252-AI2250-AI2413+AI2361&gt;0,(1-'Assumptions (Petroleum)'!AH24)*(Model!AI2251+Model!AI2252-AI2250-AI2413+AI2361)+Model!AI2413-AI2308+Model!AI2309,Model!AI2251+Model!AI2252-AI2250+AI2361-AI2308+Model!AI2309)</f>
        <v>0.0447213491</v>
      </c>
      <c r="AJ2465" s="219">
        <f>IF(Model!AJ2251+Model!AJ2252-AJ2250-AJ2413+AJ2361&gt;0,(1-'Assumptions (Petroleum)'!AI24)*(Model!AJ2251+Model!AJ2252-AJ2250-AJ2413+AJ2361)+Model!AJ2413-AJ2308+Model!AJ2309,Model!AJ2251+Model!AJ2252-AJ2250+AJ2361-AJ2308+Model!AJ2309)</f>
        <v>0.04280818913</v>
      </c>
      <c r="AK2465" s="219">
        <f>IF(Model!AK2251+Model!AK2252-AK2250-AK2413+AK2361&gt;0,(1-'Assumptions (Petroleum)'!AJ24)*(Model!AK2251+Model!AK2252-AK2250-AK2413+AK2361)+Model!AK2413-AK2308+Model!AK2309,Model!AK2251+Model!AK2252-AK2250+AK2361-AK2308+Model!AK2309)</f>
        <v>0.04083967063</v>
      </c>
      <c r="AL2465" s="219">
        <f>IF(Model!AL2251+Model!AL2252-AL2250-AL2413+AL2361&gt;0,(1-'Assumptions (Petroleum)'!AK24)*(Model!AL2251+Model!AL2252-AL2250-AL2413+AL2361)+Model!AL2413-AL2308+Model!AL2309,Model!AL2251+Model!AL2252-AL2250+AL2361-AL2308+Model!AL2309)</f>
        <v>0.03889304436</v>
      </c>
      <c r="AM2465" s="219">
        <f>IF(Model!AM2251+Model!AM2252-AM2250-AM2413+AM2361&gt;0,(1-'Assumptions (Petroleum)'!AL24)*(Model!AM2251+Model!AM2252-AM2250-AM2413+AM2361)+Model!AM2413-AM2308+Model!AM2309,Model!AM2251+Model!AM2252-AM2250+AM2361-AM2308+Model!AM2309)</f>
        <v>0.037082453</v>
      </c>
      <c r="AN2465" s="219">
        <f>IF(Model!AN2251+Model!AN2252-AN2250-AN2413+AN2361&gt;0,(1-'Assumptions (Petroleum)'!AM24)*(Model!AN2251+Model!AN2252-AN2250-AN2413+AN2361)+Model!AN2413-AN2308+Model!AN2309,Model!AN2251+Model!AN2252-AN2250+AN2361-AN2308+Model!AN2309)</f>
        <v>0.0351236223</v>
      </c>
      <c r="AO2465" s="219">
        <f>IF(Model!AO2251+Model!AO2252-AO2250-AO2413+AO2361&gt;0,(1-'Assumptions (Petroleum)'!AN24)*(Model!AO2251+Model!AO2252-AO2250-AO2413+AO2361)+Model!AO2413-AO2308+Model!AO2309,Model!AO2251+Model!AO2252-AO2250+AO2361-AO2308+Model!AO2309)</f>
        <v>0.03320146162</v>
      </c>
      <c r="AP2465" s="219">
        <f>IF(Model!AP2251+Model!AP2252-AP2250-AP2413+AP2361&gt;0,(1-'Assumptions (Petroleum)'!AO24)*(Model!AP2251+Model!AP2252-AP2250-AP2413+AP2361)+Model!AP2413-AP2308+Model!AP2309,Model!AP2251+Model!AP2252-AP2250+AP2361-AP2308+Model!AP2309)</f>
        <v>0.03116154019</v>
      </c>
      <c r="AQ2465" s="219">
        <f>IF(Model!AQ2251+Model!AQ2252-AQ2250-AQ2413+AQ2361&gt;0,(1-'Assumptions (Petroleum)'!AP24)*(Model!AQ2251+Model!AQ2252-AQ2250-AQ2413+AQ2361)+Model!AQ2413-AQ2308+Model!AQ2309,Model!AQ2251+Model!AQ2252-AQ2250+AQ2361-AQ2308+Model!AQ2309)</f>
        <v>0.02892570172</v>
      </c>
      <c r="AR2465" s="219">
        <f>IF(Model!AR2251+Model!AR2252-AR2250-AR2413+AR2361&gt;0,(1-'Assumptions (Petroleum)'!AQ24)*(Model!AR2251+Model!AR2252-AR2250-AR2413+AR2361)+Model!AR2413-AR2308+Model!AR2309,Model!AR2251+Model!AR2252-AR2250+AR2361-AR2308+Model!AR2309)</f>
        <v>0.02654983316</v>
      </c>
      <c r="AS2465" s="219">
        <f>IF(Model!AS2251+Model!AS2252-AS2250-AS2413+AS2361&gt;0,(1-'Assumptions (Petroleum)'!AR24)*(Model!AS2251+Model!AS2252-AS2250-AS2413+AS2361)+Model!AS2413-AS2308+Model!AS2309,Model!AS2251+Model!AS2252-AS2250+AS2361-AS2308+Model!AS2309)</f>
        <v>0.02405105239</v>
      </c>
      <c r="AT2465" s="219">
        <f>IF(Model!AT2251+Model!AT2252-AT2250-AT2413+AT2361&gt;0,(1-'Assumptions (Petroleum)'!AS24)*(Model!AT2251+Model!AT2252-AT2250-AT2413+AT2361)+Model!AT2413-AT2308+Model!AT2309,Model!AT2251+Model!AT2252-AT2250+AT2361-AT2308+Model!AT2309)</f>
        <v>0.02147024141</v>
      </c>
      <c r="AU2465" s="219">
        <f>IF(Model!AU2251+Model!AU2252-AU2250-AU2413+AU2361&gt;0,(1-'Assumptions (Petroleum)'!AT24)*(Model!AU2251+Model!AU2252-AU2250-AU2413+AU2361)+Model!AU2413-AU2308+Model!AU2309,Model!AU2251+Model!AU2252-AU2250+AU2361-AU2308+Model!AU2309)</f>
        <v>0.01879946992</v>
      </c>
      <c r="AV2465" s="219">
        <f>IF(Model!AV2251+Model!AV2252-AV2250-AV2413+AV2361&gt;0,(1-'Assumptions (Petroleum)'!AU24)*(Model!AV2251+Model!AV2252-AV2250-AV2413+AV2361)+Model!AV2413-AV2308+Model!AV2309,Model!AV2251+Model!AV2252-AV2250+AV2361-AV2308+Model!AV2309)</f>
        <v>0.01600591522</v>
      </c>
      <c r="AW2465" s="219">
        <f>IF(Model!AW2251+Model!AW2252-AW2250-AW2413+AW2361&gt;0,(1-'Assumptions (Petroleum)'!AV24)*(Model!AW2251+Model!AW2252-AW2250-AW2413+AW2361)+Model!AW2413-AW2308+Model!AW2309,Model!AW2251+Model!AW2252-AW2250+AW2361-AW2308+Model!AW2309)</f>
        <v>0.01304269283</v>
      </c>
      <c r="AX2465" s="219">
        <f>IF(Model!AX2251+Model!AX2252-AX2250-AX2413+AX2361&gt;0,(1-'Assumptions (Petroleum)'!AW24)*(Model!AX2251+Model!AX2252-AX2250-AX2413+AX2361)+Model!AX2413-AX2308+Model!AX2309,Model!AX2251+Model!AX2252-AX2250+AX2361-AX2308+Model!AX2309)</f>
        <v>0.01001027086</v>
      </c>
      <c r="AY2465" s="219">
        <f>IF(Model!AY2251+Model!AY2252-AY2250-AY2413+AY2361&gt;0,(1-'Assumptions (Petroleum)'!AX24)*(Model!AY2251+Model!AY2252-AY2250-AY2413+AY2361)+Model!AY2413-AY2308+Model!AY2309,Model!AY2251+Model!AY2252-AY2250+AY2361-AY2308+Model!AY2309)</f>
        <v>0.006964134105</v>
      </c>
      <c r="AZ2465" s="219">
        <f>IF(Model!AZ2251+Model!AZ2252-AZ2250-AZ2413+AZ2361&gt;0,(1-'Assumptions (Petroleum)'!AY24)*(Model!AZ2251+Model!AZ2252-AZ2250-AZ2413+AZ2361)+Model!AZ2413-AZ2308+Model!AZ2309,Model!AZ2251+Model!AZ2252-AZ2250+AZ2361-AZ2308+Model!AZ2309)</f>
        <v>0.003586334319</v>
      </c>
      <c r="BA2465" s="219">
        <f>IF(Model!BA2251+Model!BA2252-BA2250-BA2413+BA2361&gt;0,(1-'Assumptions (Petroleum)'!AZ24)*(Model!BA2251+Model!BA2252-BA2250-BA2413+BA2361)+Model!BA2413-BA2308+Model!BA2309,Model!BA2251+Model!BA2252-BA2250+BA2361-BA2308+Model!BA2309)</f>
        <v>0</v>
      </c>
    </row>
    <row r="2466" ht="15.75" customHeight="1">
      <c r="A2466" s="328" t="s">
        <v>64</v>
      </c>
      <c r="B2466" s="159" t="s">
        <v>351</v>
      </c>
      <c r="C2466" s="219">
        <f>IF(C2251+C2252-C2250-C2413+C2361&gt;0,'Assumptions (Petroleum)'!B24*(C2251+C2252-C2250-C2413+C2361)-'Assumptions (Petroleum)'!B25*Model!C2248/10^3,'Assumptions (Petroleum)'!B25*Model!C2248/10^3)</f>
        <v>0.1426187585</v>
      </c>
      <c r="D2466" s="219">
        <f>IF(D2251+D2252-D2250-D2413+D2361&gt;0,'Assumptions (Petroleum)'!C24*(D2251+D2252-D2250-D2413+D2361)-'Assumptions (Petroleum)'!C25*Model!D2248/10^3,'Assumptions (Petroleum)'!C25*Model!D2248/10^3)</f>
        <v>0.1748494716</v>
      </c>
      <c r="E2466" s="219">
        <f>IF(E2251+E2252-E2250-E2413+E2361&gt;0,'Assumptions (Petroleum)'!D24*(E2251+E2252-E2250-E2413+E2361)-'Assumptions (Petroleum)'!D25*Model!E2248/10^3,'Assumptions (Petroleum)'!D25*Model!E2248/10^3)</f>
        <v>0.04305065289</v>
      </c>
      <c r="F2466" s="219">
        <f>IF(F2251+F2252-F2250-F2413+F2361&gt;0,'Assumptions (Petroleum)'!E24*(F2251+F2252-F2250-F2413+F2361)-'Assumptions (Petroleum)'!E25*Model!F2248/10^3,'Assumptions (Petroleum)'!E25*Model!F2248/10^3)</f>
        <v>0.1088068658</v>
      </c>
      <c r="G2466" s="219">
        <f>IF(G2251+G2252-G2250-G2413+G2361&gt;0,'Assumptions (Petroleum)'!F24*(G2251+G2252-G2250-G2413+G2361)-'Assumptions (Petroleum)'!F25*Model!G2248/10^3,'Assumptions (Petroleum)'!F25*Model!G2248/10^3)</f>
        <v>0.1383049953</v>
      </c>
      <c r="H2466" s="219">
        <f>IF(H2251+H2252-H2250-H2413+H2361&gt;0,'Assumptions (Petroleum)'!G24*(H2251+H2252-H2250-H2413+H2361)-'Assumptions (Petroleum)'!G25*Model!H2248/10^3,'Assumptions (Petroleum)'!G25*Model!H2248/10^3)</f>
        <v>0.1217118145</v>
      </c>
      <c r="I2466" s="219">
        <f>IF(I2251+I2252-I2250-I2413+I2361&gt;0,'Assumptions (Petroleum)'!H24*(I2251+I2252-I2250-I2413+I2361)-'Assumptions (Petroleum)'!H25*Model!I2248/10^3,'Assumptions (Petroleum)'!H25*Model!I2248/10^3)</f>
        <v>0.05093300323</v>
      </c>
      <c r="J2466" s="219">
        <f>IF(J2251+J2252-J2250-J2413+J2361&gt;0,'Assumptions (Petroleum)'!I24*(J2251+J2252-J2250-J2413+J2361)-'Assumptions (Petroleum)'!I25*Model!J2248/10^3,'Assumptions (Petroleum)'!I25*Model!J2248/10^3)</f>
        <v>0.05218005247</v>
      </c>
      <c r="K2466" s="219">
        <f>IF(K2251+K2252-K2250-K2413+K2361&gt;0,'Assumptions (Petroleum)'!J24*(K2251+K2252-K2250-K2413+K2361)-'Assumptions (Petroleum)'!J25*Model!K2248/10^3,'Assumptions (Petroleum)'!J25*Model!K2248/10^3)</f>
        <v>0.04374705661</v>
      </c>
      <c r="L2466" s="219">
        <f>IF(L2251+L2252-L2250-L2413+L2361&gt;0,'Assumptions (Petroleum)'!K24*(L2251+L2252-L2250-L2413+L2361)-'Assumptions (Petroleum)'!K25*Model!L2248/10^3,'Assumptions (Petroleum)'!K25*Model!L2248/10^3)</f>
        <v>0.02871841606</v>
      </c>
      <c r="M2466" s="219">
        <f>IF(M2251+M2252-M2250-M2413+M2361&gt;0,'Assumptions (Petroleum)'!L24*(M2251+M2252-M2250-M2413+M2361)-'Assumptions (Petroleum)'!L25*Model!M2248/10^3,'Assumptions (Petroleum)'!L25*Model!M2248/10^3)</f>
        <v>0.02371347899</v>
      </c>
      <c r="N2466" s="219">
        <f>IF(N2251+N2252-N2250-N2413+N2361&gt;0,'Assumptions (Petroleum)'!M24*(N2251+N2252-N2250-N2413+N2361)-'Assumptions (Petroleum)'!M25*Model!N2248/10^3,'Assumptions (Petroleum)'!M25*Model!N2248/10^3)</f>
        <v>0.01287260389</v>
      </c>
      <c r="O2466" s="219">
        <f>IF(O2251+O2252-O2250-O2413+O2361&gt;0,'Assumptions (Petroleum)'!N24*(O2251+O2252-O2250-O2413+O2361)-'Assumptions (Petroleum)'!N25*Model!O2248/10^3,'Assumptions (Petroleum)'!N25*Model!O2248/10^3)</f>
        <v>0.003132494368</v>
      </c>
      <c r="P2466" s="219">
        <f>IF(P2251+P2252-P2250-P2413+P2361&gt;0,'Assumptions (Petroleum)'!O24*(P2251+P2252-P2250-P2413+P2361)-'Assumptions (Petroleum)'!O25*Model!P2248/10^3,'Assumptions (Petroleum)'!O25*Model!P2248/10^3)</f>
        <v>0.002474593624</v>
      </c>
      <c r="Q2466" s="219">
        <f>IF(Q2251+Q2252-Q2250-Q2413+Q2361&gt;0,'Assumptions (Petroleum)'!P24*(Q2251+Q2252-Q2250-Q2413+Q2361)-'Assumptions (Petroleum)'!P25*Model!Q2248/10^3,'Assumptions (Petroleum)'!P25*Model!Q2248/10^3)</f>
        <v>0.0173460706</v>
      </c>
      <c r="R2466" s="219">
        <f>IF(R2251+R2252-R2250-R2413+R2361&gt;0,'Assumptions (Petroleum)'!Q24*(R2251+R2252-R2250-R2413+R2361)-'Assumptions (Petroleum)'!Q25*Model!R2248/10^3,'Assumptions (Petroleum)'!Q25*Model!R2248/10^3)</f>
        <v>0.007845886584</v>
      </c>
      <c r="S2466" s="219">
        <f>IF(S2251+S2252-S2250-S2413+S2361&gt;0,'Assumptions (Petroleum)'!R24*(S2251+S2252-S2250-S2413+S2361)-'Assumptions (Petroleum)'!R25*Model!S2248/10^3,'Assumptions (Petroleum)'!R25*Model!S2248/10^3)</f>
        <v>0.003070111082</v>
      </c>
      <c r="T2466" s="219">
        <f>IF(T2251+T2252-T2250-T2413+T2361&gt;0,'Assumptions (Petroleum)'!S24*(T2251+T2252-T2250-T2413+T2361)-'Assumptions (Petroleum)'!S25*Model!T2248/10^3,'Assumptions (Petroleum)'!S25*Model!T2248/10^3)</f>
        <v>0.004445299671</v>
      </c>
      <c r="U2466" s="219">
        <f>IF(U2251+U2252-U2250-U2413+U2361&gt;0,'Assumptions (Petroleum)'!T24*(U2251+U2252-U2250-U2413+U2361)-'Assumptions (Petroleum)'!T25*Model!U2248/10^3,'Assumptions (Petroleum)'!T25*Model!U2248/10^3)</f>
        <v>0.01374525481</v>
      </c>
      <c r="V2466" s="219">
        <f>IF(V2251+V2252-V2250-V2413+V2361&gt;0,'Assumptions (Petroleum)'!U24*(V2251+V2252-V2250-V2413+V2361)-'Assumptions (Petroleum)'!U25*Model!V2248/10^3,'Assumptions (Petroleum)'!U25*Model!V2248/10^3)</f>
        <v>0.01415584111</v>
      </c>
      <c r="W2466" s="219">
        <f>IF(W2251+W2252-W2250-W2413+W2361&gt;0,'Assumptions (Petroleum)'!V24*(W2251+W2252-W2250-W2413+W2361)-'Assumptions (Petroleum)'!V25*Model!W2248/10^3,'Assumptions (Petroleum)'!V25*Model!W2248/10^3)</f>
        <v>0.01518443344</v>
      </c>
      <c r="X2466" s="219">
        <f>IF(X2251+X2252-X2250-X2413+X2361&gt;0,'Assumptions (Petroleum)'!W24*(X2251+X2252-X2250-X2413+X2361)-'Assumptions (Petroleum)'!W25*Model!X2248/10^3,'Assumptions (Petroleum)'!W25*Model!X2248/10^3)</f>
        <v>0.01490442849</v>
      </c>
      <c r="Y2466" s="219">
        <f>IF(Y2251+Y2252-Y2250-Y2413+Y2361&gt;0,'Assumptions (Petroleum)'!X24*(Y2251+Y2252-Y2250-Y2413+Y2361)-'Assumptions (Petroleum)'!X25*Model!Y2248/10^3,'Assumptions (Petroleum)'!X25*Model!Y2248/10^3)</f>
        <v>0.01467153454</v>
      </c>
      <c r="Z2466" s="219">
        <f>IF(Z2251+Z2252-Z2250-Z2413+Z2361&gt;0,'Assumptions (Petroleum)'!Y24*(Z2251+Z2252-Z2250-Z2413+Z2361)-'Assumptions (Petroleum)'!Y25*Model!Z2248/10^3,'Assumptions (Petroleum)'!Y25*Model!Z2248/10^3)</f>
        <v>0.01451712791</v>
      </c>
      <c r="AA2466" s="219">
        <f>IF(AA2251+AA2252-AA2250-AA2413+AA2361&gt;0,'Assumptions (Petroleum)'!Z24*(AA2251+AA2252-AA2250-AA2413+AA2361)-'Assumptions (Petroleum)'!Z25*Model!AA2248/10^3,'Assumptions (Petroleum)'!Z25*Model!AA2248/10^3)</f>
        <v>0.01430405028</v>
      </c>
      <c r="AB2466" s="219">
        <f>IF(AB2251+AB2252-AB2250-AB2413+AB2361&gt;0,'Assumptions (Petroleum)'!AA24*(AB2251+AB2252-AB2250-AB2413+AB2361)-'Assumptions (Petroleum)'!AA25*Model!AB2248/10^3,'Assumptions (Petroleum)'!AA25*Model!AB2248/10^3)</f>
        <v>0.01421571766</v>
      </c>
      <c r="AC2466" s="219">
        <f>IF(AC2251+AC2252-AC2250-AC2413+AC2361&gt;0,'Assumptions (Petroleum)'!AB24*(AC2251+AC2252-AC2250-AC2413+AC2361)-'Assumptions (Petroleum)'!AB25*Model!AC2248/10^3,'Assumptions (Petroleum)'!AB25*Model!AC2248/10^3)</f>
        <v>0.01390743194</v>
      </c>
      <c r="AD2466" s="219">
        <f>IF(AD2251+AD2252-AD2250-AD2413+AD2361&gt;0,'Assumptions (Petroleum)'!AC24*(AD2251+AD2252-AD2250-AD2413+AD2361)-'Assumptions (Petroleum)'!AC25*Model!AD2248/10^3,'Assumptions (Petroleum)'!AC25*Model!AD2248/10^3)</f>
        <v>0.01366680314</v>
      </c>
      <c r="AE2466" s="219">
        <f>IF(AE2251+AE2252-AE2250-AE2413+AE2361&gt;0,'Assumptions (Petroleum)'!AD24*(AE2251+AE2252-AE2250-AE2413+AE2361)-'Assumptions (Petroleum)'!AD25*Model!AE2248/10^3,'Assumptions (Petroleum)'!AD25*Model!AE2248/10^3)</f>
        <v>0.01341708</v>
      </c>
      <c r="AF2466" s="219">
        <f>IF(AF2251+AF2252-AF2250-AF2413+AF2361&gt;0,'Assumptions (Petroleum)'!AE24*(AF2251+AF2252-AF2250-AF2413+AF2361)-'Assumptions (Petroleum)'!AE25*Model!AF2248/10^3,'Assumptions (Petroleum)'!AE25*Model!AF2248/10^3)</f>
        <v>0.01314540903</v>
      </c>
      <c r="AG2466" s="219">
        <f>IF(AG2251+AG2252-AG2250-AG2413+AG2361&gt;0,'Assumptions (Petroleum)'!AF24*(AG2251+AG2252-AG2250-AG2413+AG2361)-'Assumptions (Petroleum)'!AF25*Model!AG2248/10^3,'Assumptions (Petroleum)'!AF25*Model!AG2248/10^3)</f>
        <v>0.01275803798</v>
      </c>
      <c r="AH2466" s="219">
        <f>IF(AH2251+AH2252-AH2250-AH2413+AH2361&gt;0,'Assumptions (Petroleum)'!AG24*(AH2251+AH2252-AH2250-AH2413+AH2361)-'Assumptions (Petroleum)'!AG25*Model!AH2248/10^3,'Assumptions (Petroleum)'!AG25*Model!AH2248/10^3)</f>
        <v>0.01237128097</v>
      </c>
      <c r="AI2466" s="219">
        <f>IF(AI2251+AI2252-AI2250-AI2413+AI2361&gt;0,'Assumptions (Petroleum)'!AH24*(AI2251+AI2252-AI2250-AI2413+AI2361)-'Assumptions (Petroleum)'!AH25*Model!AI2248/10^3,'Assumptions (Petroleum)'!AH25*Model!AI2248/10^3)</f>
        <v>0.01188795356</v>
      </c>
      <c r="AJ2466" s="219">
        <f>IF(AJ2251+AJ2252-AJ2250-AJ2413+AJ2361&gt;0,'Assumptions (Petroleum)'!AI24*(AJ2251+AJ2252-AJ2250-AJ2413+AJ2361)-'Assumptions (Petroleum)'!AI25*Model!AJ2248/10^3,'Assumptions (Petroleum)'!AI25*Model!AJ2248/10^3)</f>
        <v>0.01137939205</v>
      </c>
      <c r="AK2466" s="219">
        <f>IF(AK2251+AK2252-AK2250-AK2413+AK2361&gt;0,'Assumptions (Petroleum)'!AJ24*(AK2251+AK2252-AK2250-AK2413+AK2361)-'Assumptions (Petroleum)'!AJ25*Model!AK2248/10^3,'Assumptions (Petroleum)'!AJ25*Model!AK2248/10^3)</f>
        <v>0.01085611498</v>
      </c>
      <c r="AL2466" s="219">
        <f>IF(AL2251+AL2252-AL2250-AL2413+AL2361&gt;0,'Assumptions (Petroleum)'!AK24*(AL2251+AL2252-AL2250-AL2413+AL2361)-'Assumptions (Petroleum)'!AK25*Model!AL2248/10^3,'Assumptions (Petroleum)'!AK25*Model!AL2248/10^3)</f>
        <v>0.01033865736</v>
      </c>
      <c r="AM2466" s="219">
        <f>IF(AM2251+AM2252-AM2250-AM2413+AM2361&gt;0,'Assumptions (Petroleum)'!AL24*(AM2251+AM2252-AM2250-AM2413+AM2361)-'Assumptions (Petroleum)'!AL25*Model!AM2248/10^3,'Assumptions (Petroleum)'!AL25*Model!AM2248/10^3)</f>
        <v>0.009857360924</v>
      </c>
      <c r="AN2466" s="219">
        <f>IF(AN2251+AN2252-AN2250-AN2413+AN2361&gt;0,'Assumptions (Petroleum)'!AM24*(AN2251+AN2252-AN2250-AN2413+AN2361)-'Assumptions (Petroleum)'!AM25*Model!AN2248/10^3,'Assumptions (Petroleum)'!AM25*Model!AN2248/10^3)</f>
        <v>0.009336659091</v>
      </c>
      <c r="AO2466" s="219">
        <f>IF(AO2251+AO2252-AO2250-AO2413+AO2361&gt;0,'Assumptions (Petroleum)'!AN24*(AO2251+AO2252-AO2250-AO2413+AO2361)-'Assumptions (Petroleum)'!AN25*Model!AO2248/10^3,'Assumptions (Petroleum)'!AN25*Model!AO2248/10^3)</f>
        <v>0.008825704989</v>
      </c>
      <c r="AP2466" s="219">
        <f>IF(AP2251+AP2252-AP2250-AP2413+AP2361&gt;0,'Assumptions (Petroleum)'!AO24*(AP2251+AP2252-AP2250-AP2413+AP2361)-'Assumptions (Petroleum)'!AO25*Model!AP2248/10^3,'Assumptions (Petroleum)'!AO25*Model!AP2248/10^3)</f>
        <v>0.008283447393</v>
      </c>
      <c r="AQ2466" s="219">
        <f>IF(AQ2251+AQ2252-AQ2250-AQ2413+AQ2361&gt;0,'Assumptions (Petroleum)'!AP24*(AQ2251+AQ2252-AQ2250-AQ2413+AQ2361)-'Assumptions (Petroleum)'!AP25*Model!AQ2248/10^3,'Assumptions (Petroleum)'!AP25*Model!AQ2248/10^3)</f>
        <v>0.007689110583</v>
      </c>
      <c r="AR2466" s="219">
        <f>IF(AR2251+AR2252-AR2250-AR2413+AR2361&gt;0,'Assumptions (Petroleum)'!AQ24*(AR2251+AR2252-AR2250-AR2413+AR2361)-'Assumptions (Petroleum)'!AQ25*Model!AR2248/10^3,'Assumptions (Petroleum)'!AQ25*Model!AR2248/10^3)</f>
        <v>0.007057550586</v>
      </c>
      <c r="AS2466" s="219">
        <f>IF(AS2251+AS2252-AS2250-AS2413+AS2361&gt;0,'Assumptions (Petroleum)'!AR24*(AS2251+AS2252-AS2250-AS2413+AS2361)-'Assumptions (Petroleum)'!AR25*Model!AS2248/10^3,'Assumptions (Petroleum)'!AR25*Model!AS2248/10^3)</f>
        <v>0.006393317723</v>
      </c>
      <c r="AT2466" s="219">
        <f>IF(AT2251+AT2252-AT2250-AT2413+AT2361&gt;0,'Assumptions (Petroleum)'!AS24*(AT2251+AT2252-AT2250-AT2413+AT2361)-'Assumptions (Petroleum)'!AS25*Model!AT2248/10^3,'Assumptions (Petroleum)'!AS25*Model!AT2248/10^3)</f>
        <v>0.005707279361</v>
      </c>
      <c r="AU2466" s="219">
        <f>IF(AU2251+AU2252-AU2250-AU2413+AU2361&gt;0,'Assumptions (Petroleum)'!AT24*(AU2251+AU2252-AU2250-AU2413+AU2361)-'Assumptions (Petroleum)'!AT25*Model!AU2248/10^3,'Assumptions (Petroleum)'!AT25*Model!AU2248/10^3)</f>
        <v>0.004997327447</v>
      </c>
      <c r="AV2466" s="219">
        <f>IF(AV2251+AV2252-AV2250-AV2413+AV2361&gt;0,'Assumptions (Petroleum)'!AU24*(AV2251+AV2252-AV2250-AV2413+AV2361)-'Assumptions (Petroleum)'!AU25*Model!AV2248/10^3,'Assumptions (Petroleum)'!AU25*Model!AV2248/10^3)</f>
        <v>0.004254736958</v>
      </c>
      <c r="AW2466" s="219">
        <f>IF(AW2251+AW2252-AW2250-AW2413+AW2361&gt;0,'Assumptions (Petroleum)'!AV24*(AW2251+AW2252-AW2250-AW2413+AW2361)-'Assumptions (Petroleum)'!AV25*Model!AW2248/10^3,'Assumptions (Petroleum)'!AV25*Model!AW2248/10^3)</f>
        <v>0.00346704493</v>
      </c>
      <c r="AX2466" s="219">
        <f>IF(AX2251+AX2252-AX2250-AX2413+AX2361&gt;0,'Assumptions (Petroleum)'!AW24*(AX2251+AX2252-AX2250-AX2413+AX2361)-'Assumptions (Petroleum)'!AW25*Model!AX2248/10^3,'Assumptions (Petroleum)'!AW25*Model!AX2248/10^3)</f>
        <v>0.002660958077</v>
      </c>
      <c r="AY2466" s="219">
        <f>IF(AY2251+AY2252-AY2250-AY2413+AY2361&gt;0,'Assumptions (Petroleum)'!AX24*(AY2251+AY2252-AY2250-AY2413+AY2361)-'Assumptions (Petroleum)'!AX25*Model!AY2248/10^3,'Assumptions (Petroleum)'!AX25*Model!AY2248/10^3)</f>
        <v>0.001851225521</v>
      </c>
      <c r="AZ2466" s="219">
        <f>IF(AZ2251+AZ2252-AZ2250-AZ2413+AZ2361&gt;0,'Assumptions (Petroleum)'!AY24*(AZ2251+AZ2252-AZ2250-AZ2413+AZ2361)-'Assumptions (Petroleum)'!AY25*Model!AZ2248/10^3,'Assumptions (Petroleum)'!AY25*Model!AZ2248/10^3)</f>
        <v>0.000953329376</v>
      </c>
      <c r="BA2466" s="219">
        <f>IF(BA2251+BA2252-BA2250-BA2413+BA2361&gt;0,'Assumptions (Petroleum)'!AZ24*(BA2251+BA2252-BA2250-BA2413+BA2361)-'Assumptions (Petroleum)'!AZ25*Model!BA2248/10^3,'Assumptions (Petroleum)'!AZ25*Model!BA2248/10^3)</f>
        <v>0</v>
      </c>
    </row>
    <row r="2467" ht="15.75" customHeight="1">
      <c r="A2467" s="331" t="s">
        <v>363</v>
      </c>
      <c r="B2467" s="246" t="s">
        <v>364</v>
      </c>
      <c r="C2467" s="332">
        <f>'Assumptions (NG)'!$V$39*C2253/10^9</f>
        <v>0.01696</v>
      </c>
      <c r="D2467" s="332">
        <f>'Assumptions (NG)'!$V$39*D2253/10^9</f>
        <v>0.004512</v>
      </c>
      <c r="E2467" s="332">
        <f>'Assumptions (NG)'!$V$39*E2253/10^9</f>
        <v>0.003104</v>
      </c>
      <c r="F2467" s="332">
        <f>'Assumptions (NG)'!$V$39*F2253/10^9</f>
        <v>0.003936</v>
      </c>
      <c r="G2467" s="332">
        <f>'Assumptions (NG)'!$V$39*G2253/10^9</f>
        <v>0.002704</v>
      </c>
      <c r="H2467" s="332">
        <f>'Assumptions (NG)'!$V$39*H2253/10^9</f>
        <v>0.00304</v>
      </c>
      <c r="I2467" s="332">
        <f>'Assumptions (NG)'!$V$39*I2253/10^9</f>
        <v>0.003744</v>
      </c>
      <c r="J2467" s="332">
        <f>'Assumptions (NG)'!$V$39*J2253/10^9</f>
        <v>0.003712</v>
      </c>
      <c r="K2467" s="332">
        <f>'Assumptions (NG)'!$V$39*K2253/10^9</f>
        <v>0.001616</v>
      </c>
      <c r="L2467" s="332">
        <f>'Assumptions (NG)'!$V$39*L2253/10^9</f>
        <v>0.000208</v>
      </c>
      <c r="M2467" s="332">
        <f>'Assumptions (NG)'!$V$39*M2253/10^9</f>
        <v>0</v>
      </c>
      <c r="N2467" s="332">
        <f>'Assumptions (NG)'!$V$39*N2253/10^9</f>
        <v>0.00168</v>
      </c>
      <c r="O2467" s="332">
        <f>'Assumptions (NG)'!$V$39*O2253/10^9</f>
        <v>0.000576</v>
      </c>
      <c r="P2467" s="332">
        <f>'Assumptions (NG)'!$V$39*P2253/10^9</f>
        <v>0.003184</v>
      </c>
      <c r="Q2467" s="332">
        <f>'Assumptions (NG)'!$V$39*Q2253/10^9</f>
        <v>0.000192</v>
      </c>
      <c r="R2467" s="332">
        <f>'Assumptions (NG)'!$V$39*R2253/10^9</f>
        <v>0.000112</v>
      </c>
      <c r="S2467" s="332">
        <f>'Assumptions (NG)'!$V$39*S2253/10^9</f>
        <v>0</v>
      </c>
      <c r="T2467" s="332">
        <f>'Assumptions (NG)'!$V$39*T2253/10^9</f>
        <v>0</v>
      </c>
      <c r="U2467" s="332">
        <f>'Assumptions (NG)'!$V$39*U2253/10^9</f>
        <v>0</v>
      </c>
      <c r="V2467" s="332">
        <f>'Assumptions (NG)'!$V$39*V2253/10^9</f>
        <v>0</v>
      </c>
      <c r="W2467" s="332">
        <f>'Assumptions (NG)'!$V$39*W2253/10^9</f>
        <v>0</v>
      </c>
      <c r="X2467" s="332">
        <f>'Assumptions (NG)'!$V$39*X2253/10^9</f>
        <v>0</v>
      </c>
      <c r="Y2467" s="332">
        <f>'Assumptions (NG)'!$V$39*Y2253/10^9</f>
        <v>0</v>
      </c>
      <c r="Z2467" s="332">
        <f>'Assumptions (NG)'!$V$39*Z2253/10^9</f>
        <v>0</v>
      </c>
      <c r="AA2467" s="332">
        <f>'Assumptions (NG)'!$V$39*AA2253/10^9</f>
        <v>0</v>
      </c>
      <c r="AB2467" s="332">
        <f>'Assumptions (NG)'!$V$39*AB2253/10^9</f>
        <v>0</v>
      </c>
      <c r="AC2467" s="332">
        <f>'Assumptions (NG)'!$V$39*AC2253/10^9</f>
        <v>0</v>
      </c>
      <c r="AD2467" s="332">
        <f>'Assumptions (NG)'!$V$39*AD2253/10^9</f>
        <v>0</v>
      </c>
      <c r="AE2467" s="332">
        <f>'Assumptions (NG)'!$V$39*AE2253/10^9</f>
        <v>0</v>
      </c>
      <c r="AF2467" s="332">
        <f>'Assumptions (NG)'!$V$39*AF2253/10^9</f>
        <v>0</v>
      </c>
      <c r="AG2467" s="332">
        <f>'Assumptions (NG)'!$V$39*AG2253/10^9</f>
        <v>0</v>
      </c>
      <c r="AH2467" s="332">
        <f>'Assumptions (NG)'!$V$39*AH2253/10^9</f>
        <v>0</v>
      </c>
      <c r="AI2467" s="332">
        <f>'Assumptions (NG)'!$V$39*AI2253/10^9</f>
        <v>0</v>
      </c>
      <c r="AJ2467" s="332">
        <f>'Assumptions (NG)'!$V$39*AJ2253/10^9</f>
        <v>0</v>
      </c>
      <c r="AK2467" s="332">
        <f>'Assumptions (NG)'!$V$39*AK2253/10^9</f>
        <v>0</v>
      </c>
      <c r="AL2467" s="332">
        <f>'Assumptions (NG)'!$V$39*AL2253/10^9</f>
        <v>0</v>
      </c>
      <c r="AM2467" s="332">
        <f>'Assumptions (NG)'!$V$39*AM2253/10^9</f>
        <v>0</v>
      </c>
      <c r="AN2467" s="332">
        <f>'Assumptions (NG)'!$V$39*AN2253/10^9</f>
        <v>0</v>
      </c>
      <c r="AO2467" s="332">
        <f>'Assumptions (NG)'!$V$39*AO2253/10^9</f>
        <v>0</v>
      </c>
      <c r="AP2467" s="332">
        <f>'Assumptions (NG)'!$V$39*AP2253/10^9</f>
        <v>0</v>
      </c>
      <c r="AQ2467" s="332">
        <f>'Assumptions (NG)'!$V$39*AQ2253/10^9</f>
        <v>0</v>
      </c>
      <c r="AR2467" s="332">
        <f>'Assumptions (NG)'!$V$39*AR2253/10^9</f>
        <v>0</v>
      </c>
      <c r="AS2467" s="332">
        <f>'Assumptions (NG)'!$V$39*AS2253/10^9</f>
        <v>0</v>
      </c>
      <c r="AT2467" s="332">
        <f>'Assumptions (NG)'!$V$39*AT2253/10^9</f>
        <v>0</v>
      </c>
      <c r="AU2467" s="332">
        <f>'Assumptions (NG)'!$V$39*AU2253/10^9</f>
        <v>0</v>
      </c>
      <c r="AV2467" s="332">
        <f>'Assumptions (NG)'!$V$39*AV2253/10^9</f>
        <v>0</v>
      </c>
      <c r="AW2467" s="332">
        <f>'Assumptions (NG)'!$V$39*AW2253/10^9</f>
        <v>0</v>
      </c>
      <c r="AX2467" s="332">
        <f>'Assumptions (NG)'!$V$39*AX2253/10^9</f>
        <v>0</v>
      </c>
      <c r="AY2467" s="332">
        <f>'Assumptions (NG)'!$V$39*AY2253/10^9</f>
        <v>0</v>
      </c>
      <c r="AZ2467" s="332">
        <f>'Assumptions (NG)'!$V$39*AZ2253/10^9</f>
        <v>0</v>
      </c>
      <c r="BA2467" s="332">
        <f>'Assumptions (NG)'!$V$39*BA2253/10^9</f>
        <v>0</v>
      </c>
      <c r="BB2467" s="248"/>
      <c r="BC2467" s="248"/>
      <c r="BD2467" s="248"/>
      <c r="BE2467" s="248"/>
      <c r="BF2467" s="248"/>
      <c r="BG2467" s="248"/>
      <c r="BH2467" s="248"/>
      <c r="BI2467" s="248"/>
      <c r="BJ2467" s="248"/>
      <c r="BK2467" s="248"/>
      <c r="BL2467" s="248"/>
      <c r="BM2467" s="248"/>
      <c r="BN2467" s="248"/>
      <c r="BO2467" s="248"/>
      <c r="BP2467" s="248"/>
      <c r="BQ2467" s="248"/>
      <c r="BR2467" s="248"/>
      <c r="BS2467" s="248"/>
      <c r="BT2467" s="248"/>
      <c r="BU2467" s="248"/>
      <c r="BV2467" s="248"/>
      <c r="BW2467" s="248"/>
      <c r="BX2467" s="248"/>
      <c r="BY2467" s="248"/>
      <c r="BZ2467" s="248"/>
      <c r="CA2467" s="248"/>
      <c r="CB2467" s="248"/>
      <c r="CC2467" s="248"/>
      <c r="CD2467" s="248"/>
    </row>
    <row r="2468" ht="15.75" customHeight="1">
      <c r="A2468" s="331" t="s">
        <v>440</v>
      </c>
      <c r="B2468" s="333" t="s">
        <v>364</v>
      </c>
      <c r="C2468" s="332">
        <f>C2248*'Assumptions (Petroleum)'!$V23</f>
        <v>6.53391656</v>
      </c>
      <c r="D2468" s="334">
        <f>D2248*'Assumptions (Petroleum)'!$V23</f>
        <v>7.793527493</v>
      </c>
      <c r="E2468" s="334">
        <f>E2248*'Assumptions (Petroleum)'!$V23</f>
        <v>2.602319808</v>
      </c>
      <c r="F2468" s="334">
        <f>F2248*'Assumptions (Petroleum)'!$V23</f>
        <v>4.619744465</v>
      </c>
      <c r="G2468" s="334">
        <f>G2248*'Assumptions (Petroleum)'!$V23</f>
        <v>5.467516194</v>
      </c>
      <c r="H2468" s="334">
        <f>H2248*'Assumptions (Petroleum)'!$V23</f>
        <v>4.014477585</v>
      </c>
      <c r="I2468" s="334">
        <f>I2248*'Assumptions (Petroleum)'!$V23</f>
        <v>2.172413495</v>
      </c>
      <c r="J2468" s="334">
        <f>J2248*'Assumptions (Petroleum)'!$V23</f>
        <v>2.199517521</v>
      </c>
      <c r="K2468" s="334">
        <f>K2248*'Assumptions (Petroleum)'!$V23</f>
        <v>1.670085041</v>
      </c>
      <c r="L2468" s="334">
        <f>L2248*'Assumptions (Petroleum)'!$V23</f>
        <v>1.818355993</v>
      </c>
      <c r="M2468" s="334">
        <f>M2248*'Assumptions (Petroleum)'!$V23</f>
        <v>1.559072278</v>
      </c>
      <c r="N2468" s="334">
        <f>N2248*'Assumptions (Petroleum)'!$V23</f>
        <v>1.183982113</v>
      </c>
      <c r="O2468" s="334">
        <f>O2248*'Assumptions (Petroleum)'!$V23</f>
        <v>0.8990584172</v>
      </c>
      <c r="P2468" s="334">
        <f>P2248*'Assumptions (Petroleum)'!$V23</f>
        <v>0.7824229186</v>
      </c>
      <c r="Q2468" s="334">
        <f>Q2248*'Assumptions (Petroleum)'!$V23</f>
        <v>1.32609236</v>
      </c>
      <c r="R2468" s="334">
        <f>R2248*'Assumptions (Petroleum)'!$V23</f>
        <v>1.077496935</v>
      </c>
      <c r="S2468" s="334">
        <f>S2248*'Assumptions (Petroleum)'!$V23</f>
        <v>0.7321161025</v>
      </c>
      <c r="T2468" s="334">
        <f>T2248*'Assumptions (Petroleum)'!$V23</f>
        <v>0.7710640897</v>
      </c>
      <c r="U2468" s="334">
        <f>U2248*'Assumptions (Petroleum)'!$V23</f>
        <v>1.570952745</v>
      </c>
      <c r="V2468" s="334">
        <f>V2248*'Assumptions (Petroleum)'!$V23</f>
        <v>1.570952745</v>
      </c>
      <c r="W2468" s="334">
        <f>W2248*'Assumptions (Petroleum)'!$V23</f>
        <v>1.570952745</v>
      </c>
      <c r="X2468" s="334">
        <f>X2248*'Assumptions (Petroleum)'!$V23</f>
        <v>1.518587653</v>
      </c>
      <c r="Y2468" s="334">
        <f>Y2248*'Assumptions (Petroleum)'!$V23</f>
        <v>1.466222562</v>
      </c>
      <c r="Z2468" s="334">
        <f>Z2248*'Assumptions (Petroleum)'!$V23</f>
        <v>1.41385747</v>
      </c>
      <c r="AA2468" s="334">
        <f>AA2248*'Assumptions (Petroleum)'!$V23</f>
        <v>1.361492379</v>
      </c>
      <c r="AB2468" s="334">
        <f>AB2248*'Assumptions (Petroleum)'!$V23</f>
        <v>1.309127287</v>
      </c>
      <c r="AC2468" s="334">
        <f>AC2248*'Assumptions (Petroleum)'!$V23</f>
        <v>1.256762196</v>
      </c>
      <c r="AD2468" s="334">
        <f>AD2248*'Assumptions (Petroleum)'!$V23</f>
        <v>1.204397104</v>
      </c>
      <c r="AE2468" s="334">
        <f>AE2248*'Assumptions (Petroleum)'!$V23</f>
        <v>1.152032013</v>
      </c>
      <c r="AF2468" s="334">
        <f>AF2248*'Assumptions (Petroleum)'!$V23</f>
        <v>1.099666921</v>
      </c>
      <c r="AG2468" s="334">
        <f>AG2248*'Assumptions (Petroleum)'!$V23</f>
        <v>1.04730183</v>
      </c>
      <c r="AH2468" s="334">
        <f>AH2248*'Assumptions (Petroleum)'!$V23</f>
        <v>0.9949367383</v>
      </c>
      <c r="AI2468" s="334">
        <f>AI2248*'Assumptions (Petroleum)'!$V23</f>
        <v>0.9425716468</v>
      </c>
      <c r="AJ2468" s="334">
        <f>AJ2248*'Assumptions (Petroleum)'!$V23</f>
        <v>0.8902065554</v>
      </c>
      <c r="AK2468" s="334">
        <f>AK2248*'Assumptions (Petroleum)'!$V23</f>
        <v>0.8378414639</v>
      </c>
      <c r="AL2468" s="334">
        <f>AL2248*'Assumptions (Petroleum)'!$V23</f>
        <v>0.7854763724</v>
      </c>
      <c r="AM2468" s="334">
        <f>AM2248*'Assumptions (Petroleum)'!$V23</f>
        <v>0.7331112809</v>
      </c>
      <c r="AN2468" s="334">
        <f>AN2248*'Assumptions (Petroleum)'!$V23</f>
        <v>0.6807461894</v>
      </c>
      <c r="AO2468" s="334">
        <f>AO2248*'Assumptions (Petroleum)'!$V23</f>
        <v>0.6283810979</v>
      </c>
      <c r="AP2468" s="334">
        <f>AP2248*'Assumptions (Petroleum)'!$V23</f>
        <v>0.5760160064</v>
      </c>
      <c r="AQ2468" s="334">
        <f>AQ2248*'Assumptions (Petroleum)'!$V23</f>
        <v>0.5236509149</v>
      </c>
      <c r="AR2468" s="334">
        <f>AR2248*'Assumptions (Petroleum)'!$V23</f>
        <v>0.4712858234</v>
      </c>
      <c r="AS2468" s="334">
        <f>AS2248*'Assumptions (Petroleum)'!$V23</f>
        <v>0.4189207319</v>
      </c>
      <c r="AT2468" s="334">
        <f>AT2248*'Assumptions (Petroleum)'!$V23</f>
        <v>0.3665556404</v>
      </c>
      <c r="AU2468" s="334">
        <f>AU2248*'Assumptions (Petroleum)'!$V23</f>
        <v>0.3141905489</v>
      </c>
      <c r="AV2468" s="334">
        <f>AV2248*'Assumptions (Petroleum)'!$V23</f>
        <v>0.2618254575</v>
      </c>
      <c r="AW2468" s="334">
        <f>AW2248*'Assumptions (Petroleum)'!$V23</f>
        <v>0.209460366</v>
      </c>
      <c r="AX2468" s="334">
        <f>AX2248*'Assumptions (Petroleum)'!$V23</f>
        <v>0.1570952745</v>
      </c>
      <c r="AY2468" s="334">
        <f>AY2248*'Assumptions (Petroleum)'!$V23</f>
        <v>0.104730183</v>
      </c>
      <c r="AZ2468" s="334">
        <f>AZ2248*'Assumptions (Petroleum)'!$V23</f>
        <v>0.05236509149</v>
      </c>
      <c r="BA2468" s="334">
        <f>BA2248*'Assumptions (Petroleum)'!$V23</f>
        <v>0</v>
      </c>
      <c r="BB2468" s="248"/>
      <c r="BC2468" s="248"/>
      <c r="BD2468" s="248"/>
      <c r="BE2468" s="248"/>
      <c r="BF2468" s="248"/>
      <c r="BG2468" s="248"/>
      <c r="BH2468" s="248"/>
      <c r="BI2468" s="248"/>
      <c r="BJ2468" s="248"/>
      <c r="BK2468" s="248"/>
      <c r="BL2468" s="248"/>
      <c r="BM2468" s="248"/>
      <c r="BN2468" s="248"/>
      <c r="BO2468" s="248"/>
      <c r="BP2468" s="248"/>
      <c r="BQ2468" s="248"/>
      <c r="BR2468" s="248"/>
      <c r="BS2468" s="248"/>
      <c r="BT2468" s="248"/>
      <c r="BU2468" s="248"/>
      <c r="BV2468" s="248"/>
      <c r="BW2468" s="248"/>
      <c r="BX2468" s="248"/>
      <c r="BY2468" s="248"/>
      <c r="BZ2468" s="248"/>
      <c r="CA2468" s="248"/>
      <c r="CB2468" s="248"/>
      <c r="CC2468" s="248"/>
      <c r="CD2468" s="248"/>
    </row>
    <row r="2469" ht="15.75" customHeight="1">
      <c r="A2469" s="335"/>
      <c r="B2469" s="237" t="s">
        <v>441</v>
      </c>
      <c r="C2469" s="38"/>
      <c r="D2469" s="38"/>
      <c r="E2469" s="38"/>
      <c r="F2469" s="38"/>
      <c r="G2469" s="38"/>
      <c r="H2469" s="38"/>
      <c r="I2469" s="38"/>
      <c r="J2469" s="38"/>
      <c r="K2469" s="38"/>
      <c r="L2469" s="38"/>
      <c r="M2469" s="38"/>
      <c r="N2469" s="38"/>
      <c r="O2469" s="38"/>
      <c r="P2469" s="38"/>
      <c r="Q2469" s="38"/>
      <c r="R2469" s="38"/>
      <c r="S2469" s="38"/>
      <c r="T2469" s="38"/>
      <c r="U2469" s="38"/>
      <c r="V2469" s="38"/>
      <c r="W2469" s="38"/>
      <c r="X2469" s="336">
        <f>'Assumptions (Battery)'!W47</f>
        <v>0</v>
      </c>
      <c r="Y2469" s="336">
        <f>'Assumptions (Battery)'!X47</f>
        <v>0</v>
      </c>
      <c r="Z2469" s="336">
        <f>'Assumptions (Battery)'!Y47</f>
        <v>0</v>
      </c>
      <c r="AA2469" s="336">
        <f>'Assumptions (Battery)'!Z47</f>
        <v>0</v>
      </c>
      <c r="AB2469" s="336">
        <f>'Assumptions (Battery)'!AA47</f>
        <v>0</v>
      </c>
      <c r="AC2469" s="336">
        <f>'Assumptions (Battery)'!AB47</f>
        <v>0</v>
      </c>
      <c r="AD2469" s="336">
        <f>'Assumptions (Battery)'!AC47</f>
        <v>0</v>
      </c>
      <c r="AE2469" s="336">
        <f>'Assumptions (Battery)'!AD47</f>
        <v>0</v>
      </c>
      <c r="AF2469" s="336">
        <f>'Assumptions (Battery)'!AE47</f>
        <v>0</v>
      </c>
      <c r="AG2469" s="336">
        <f>'Assumptions (Battery)'!AF47</f>
        <v>0</v>
      </c>
      <c r="AH2469" s="336">
        <f>'Assumptions (Battery)'!AG47</f>
        <v>0</v>
      </c>
      <c r="AI2469" s="336">
        <f>'Assumptions (Battery)'!AH47</f>
        <v>0</v>
      </c>
      <c r="AJ2469" s="336">
        <f>'Assumptions (Battery)'!AI47</f>
        <v>0</v>
      </c>
      <c r="AK2469" s="336">
        <f>'Assumptions (Battery)'!AJ47</f>
        <v>0</v>
      </c>
      <c r="AL2469" s="336">
        <f>'Assumptions (Battery)'!AK47</f>
        <v>0</v>
      </c>
      <c r="AM2469" s="336">
        <f>'Assumptions (Battery)'!AL47</f>
        <v>0</v>
      </c>
      <c r="AN2469" s="336">
        <f>'Assumptions (Battery)'!AM47</f>
        <v>0</v>
      </c>
      <c r="AO2469" s="336">
        <f>'Assumptions (Battery)'!AN47</f>
        <v>0.006245053086</v>
      </c>
      <c r="AP2469" s="336">
        <f>'Assumptions (Battery)'!AO47</f>
        <v>0.006245053086</v>
      </c>
      <c r="AQ2469" s="336">
        <f>'Assumptions (Battery)'!AP47</f>
        <v>0.006245053086</v>
      </c>
      <c r="AR2469" s="336">
        <f>'Assumptions (Battery)'!AQ47</f>
        <v>0.006245053086</v>
      </c>
      <c r="AS2469" s="336">
        <f>'Assumptions (Battery)'!AR47</f>
        <v>0.006245053086</v>
      </c>
      <c r="AT2469" s="336">
        <f>'Assumptions (Battery)'!AS47</f>
        <v>0.006245053086</v>
      </c>
      <c r="AU2469" s="336">
        <f>'Assumptions (Battery)'!AT47</f>
        <v>0.006245053086</v>
      </c>
      <c r="AV2469" s="336">
        <f>'Assumptions (Battery)'!AU47</f>
        <v>0.006245053086</v>
      </c>
      <c r="AW2469" s="336">
        <f>'Assumptions (Battery)'!AV47</f>
        <v>0.006245053086</v>
      </c>
      <c r="AX2469" s="336">
        <f>'Assumptions (Battery)'!AW47</f>
        <v>0.006245053086</v>
      </c>
      <c r="AY2469" s="336">
        <f>'Assumptions (Battery)'!AX47</f>
        <v>0.006245053086</v>
      </c>
      <c r="AZ2469" s="336">
        <f>'Assumptions (Battery)'!AY47</f>
        <v>0.006245053086</v>
      </c>
      <c r="BA2469" s="336">
        <f>'Assumptions (Battery)'!AZ47</f>
        <v>0.006245053086</v>
      </c>
    </row>
    <row r="2470" ht="15.75" customHeight="1">
      <c r="A2470" s="335"/>
      <c r="B2470" s="237" t="s">
        <v>442</v>
      </c>
      <c r="C2470" s="38"/>
      <c r="D2470" s="38"/>
      <c r="E2470" s="38"/>
      <c r="F2470" s="38"/>
      <c r="G2470" s="38"/>
      <c r="H2470" s="38"/>
      <c r="I2470" s="38"/>
      <c r="J2470" s="38"/>
      <c r="K2470" s="38"/>
      <c r="L2470" s="38"/>
      <c r="M2470" s="38"/>
      <c r="N2470" s="38"/>
      <c r="O2470" s="38"/>
      <c r="P2470" s="38"/>
      <c r="Q2470" s="38"/>
      <c r="R2470" s="38"/>
      <c r="S2470" s="38"/>
      <c r="T2470" s="38"/>
      <c r="U2470" s="38"/>
      <c r="V2470" s="38"/>
      <c r="W2470" s="38"/>
      <c r="X2470" s="337">
        <f>W2474-X2469+W2479</f>
        <v>0.000028</v>
      </c>
      <c r="Y2470" s="247">
        <f t="shared" ref="Y2470:BA2470" si="84">X2470-Y2469+X2479</f>
        <v>0.006273053086</v>
      </c>
      <c r="Z2470" s="247">
        <f t="shared" si="84"/>
        <v>0.01251810617</v>
      </c>
      <c r="AA2470" s="247">
        <f t="shared" si="84"/>
        <v>0.01876315926</v>
      </c>
      <c r="AB2470" s="247">
        <f t="shared" si="84"/>
        <v>0.02500821234</v>
      </c>
      <c r="AC2470" s="247">
        <f t="shared" si="84"/>
        <v>0.03125326543</v>
      </c>
      <c r="AD2470" s="247">
        <f t="shared" si="84"/>
        <v>0.03749831852</v>
      </c>
      <c r="AE2470" s="247">
        <f t="shared" si="84"/>
        <v>0.0437433716</v>
      </c>
      <c r="AF2470" s="247">
        <f t="shared" si="84"/>
        <v>0.04998842469</v>
      </c>
      <c r="AG2470" s="247">
        <f t="shared" si="84"/>
        <v>0.05623347777</v>
      </c>
      <c r="AH2470" s="247">
        <f t="shared" si="84"/>
        <v>0.06247853086</v>
      </c>
      <c r="AI2470" s="247">
        <f t="shared" si="84"/>
        <v>0.06872358395</v>
      </c>
      <c r="AJ2470" s="247">
        <f t="shared" si="84"/>
        <v>0.07496863703</v>
      </c>
      <c r="AK2470" s="247">
        <f t="shared" si="84"/>
        <v>0.08121369012</v>
      </c>
      <c r="AL2470" s="247">
        <f t="shared" si="84"/>
        <v>0.0874587432</v>
      </c>
      <c r="AM2470" s="247">
        <f t="shared" si="84"/>
        <v>0.09370379629</v>
      </c>
      <c r="AN2470" s="247">
        <f t="shared" si="84"/>
        <v>0.09994884938</v>
      </c>
      <c r="AO2470" s="247">
        <f t="shared" si="84"/>
        <v>0.09994884938</v>
      </c>
      <c r="AP2470" s="247">
        <f t="shared" si="84"/>
        <v>0.1061939025</v>
      </c>
      <c r="AQ2470" s="247">
        <f t="shared" si="84"/>
        <v>0.1124389555</v>
      </c>
      <c r="AR2470" s="247">
        <f t="shared" si="84"/>
        <v>0.1186840086</v>
      </c>
      <c r="AS2470" s="247">
        <f t="shared" si="84"/>
        <v>0.1249290617</v>
      </c>
      <c r="AT2470" s="247">
        <f t="shared" si="84"/>
        <v>0.1311741148</v>
      </c>
      <c r="AU2470" s="247">
        <f t="shared" si="84"/>
        <v>0.1374191679</v>
      </c>
      <c r="AV2470" s="247">
        <f t="shared" si="84"/>
        <v>0.143664221</v>
      </c>
      <c r="AW2470" s="247">
        <f t="shared" si="84"/>
        <v>0.1499092741</v>
      </c>
      <c r="AX2470" s="247">
        <f t="shared" si="84"/>
        <v>0.1561543271</v>
      </c>
      <c r="AY2470" s="247">
        <f t="shared" si="84"/>
        <v>0.1623993802</v>
      </c>
      <c r="AZ2470" s="247">
        <f t="shared" si="84"/>
        <v>0.1686444333</v>
      </c>
      <c r="BA2470" s="247">
        <f t="shared" si="84"/>
        <v>0.1748894864</v>
      </c>
    </row>
    <row r="2471" ht="15.75" customHeight="1">
      <c r="A2471" s="335"/>
      <c r="B2471" s="237" t="s">
        <v>411</v>
      </c>
      <c r="C2471" s="21"/>
      <c r="D2471" s="38"/>
      <c r="E2471" s="38"/>
      <c r="F2471" s="38"/>
      <c r="G2471" s="38"/>
      <c r="H2471" s="38"/>
      <c r="I2471" s="38"/>
      <c r="J2471" s="38"/>
      <c r="K2471" s="38"/>
      <c r="L2471" s="38"/>
      <c r="M2471" s="38"/>
      <c r="N2471" s="38"/>
      <c r="O2471" s="38"/>
      <c r="P2471" s="38"/>
      <c r="Q2471" s="38"/>
      <c r="R2471" s="38"/>
      <c r="S2471" s="38"/>
      <c r="T2471" s="38"/>
      <c r="U2471" s="38"/>
      <c r="V2471" s="38"/>
      <c r="W2471" s="38"/>
      <c r="X2471" s="338">
        <f>'Assumptions (Battery)'!W46</f>
        <v>0</v>
      </c>
      <c r="Y2471" s="338">
        <f>'Assumptions (Battery)'!X46</f>
        <v>0</v>
      </c>
      <c r="Z2471" s="338">
        <f>'Assumptions (Battery)'!Y46</f>
        <v>0</v>
      </c>
      <c r="AA2471" s="338">
        <f>'Assumptions (Battery)'!Z46</f>
        <v>0</v>
      </c>
      <c r="AB2471" s="338">
        <f>'Assumptions (Battery)'!AA46</f>
        <v>0</v>
      </c>
      <c r="AC2471" s="338">
        <f>'Assumptions (Battery)'!AB46</f>
        <v>0</v>
      </c>
      <c r="AD2471" s="338">
        <f>'Assumptions (Battery)'!AC46</f>
        <v>0</v>
      </c>
      <c r="AE2471" s="338">
        <f>'Assumptions (Battery)'!AD46</f>
        <v>0</v>
      </c>
      <c r="AF2471" s="338">
        <f>'Assumptions (Battery)'!AE46</f>
        <v>0</v>
      </c>
      <c r="AG2471" s="338">
        <f>'Assumptions (Battery)'!AF46</f>
        <v>0</v>
      </c>
      <c r="AH2471" s="338">
        <f>'Assumptions (Battery)'!AG46</f>
        <v>0</v>
      </c>
      <c r="AI2471" s="338">
        <f>'Assumptions (Battery)'!AH46</f>
        <v>1</v>
      </c>
      <c r="AJ2471" s="338">
        <f>'Assumptions (Battery)'!AI46</f>
        <v>0</v>
      </c>
      <c r="AK2471" s="338">
        <f>'Assumptions (Battery)'!AJ46</f>
        <v>2</v>
      </c>
      <c r="AL2471" s="338">
        <f>'Assumptions (Battery)'!AK46</f>
        <v>4</v>
      </c>
      <c r="AM2471" s="338">
        <f>'Assumptions (Battery)'!AL46</f>
        <v>0</v>
      </c>
      <c r="AN2471" s="338">
        <f>'Assumptions (Battery)'!AM46</f>
        <v>0</v>
      </c>
      <c r="AO2471" s="338">
        <f>'Assumptions (Battery)'!AN46</f>
        <v>440.9335817</v>
      </c>
      <c r="AP2471" s="338">
        <f>'Assumptions (Battery)'!AO46</f>
        <v>440.9335817</v>
      </c>
      <c r="AQ2471" s="338">
        <f>'Assumptions (Battery)'!AP46</f>
        <v>440.9335817</v>
      </c>
      <c r="AR2471" s="338">
        <f>'Assumptions (Battery)'!AQ46</f>
        <v>440.9335817</v>
      </c>
      <c r="AS2471" s="338">
        <f>'Assumptions (Battery)'!AR46</f>
        <v>440.9335817</v>
      </c>
      <c r="AT2471" s="338">
        <f>'Assumptions (Battery)'!AS46</f>
        <v>440.9335817</v>
      </c>
      <c r="AU2471" s="338">
        <f>'Assumptions (Battery)'!AT46</f>
        <v>440.9335817</v>
      </c>
      <c r="AV2471" s="338">
        <f>'Assumptions (Battery)'!AU46</f>
        <v>440.9335817</v>
      </c>
      <c r="AW2471" s="338">
        <f>'Assumptions (Battery)'!AV46</f>
        <v>440.9335817</v>
      </c>
      <c r="AX2471" s="338">
        <f>'Assumptions (Battery)'!AW46</f>
        <v>440.9335817</v>
      </c>
      <c r="AY2471" s="338">
        <f>'Assumptions (Battery)'!AX46</f>
        <v>440.9335817</v>
      </c>
      <c r="AZ2471" s="338">
        <f>'Assumptions (Battery)'!AY46</f>
        <v>441.9335817</v>
      </c>
      <c r="BA2471" s="338">
        <f>'Assumptions (Battery)'!AZ46</f>
        <v>440.9335817</v>
      </c>
    </row>
    <row r="2472" ht="15.75" customHeight="1">
      <c r="A2472" s="339" t="s">
        <v>443</v>
      </c>
      <c r="B2472" s="237" t="s">
        <v>413</v>
      </c>
      <c r="C2472" s="21"/>
      <c r="D2472" s="21"/>
      <c r="E2472" s="21"/>
      <c r="F2472" s="21"/>
      <c r="G2472" s="21"/>
      <c r="H2472" s="21"/>
      <c r="I2472" s="21"/>
      <c r="J2472" s="21"/>
      <c r="K2472" s="38"/>
      <c r="L2472" s="38"/>
      <c r="M2472" s="38"/>
      <c r="N2472" s="38"/>
      <c r="O2472" s="38"/>
      <c r="P2472" s="38"/>
      <c r="Q2472" s="38"/>
      <c r="R2472" s="38"/>
      <c r="S2472" s="38"/>
      <c r="T2472" s="38"/>
      <c r="U2472" s="38"/>
      <c r="V2472" s="38"/>
      <c r="W2472" s="38"/>
      <c r="X2472" s="340">
        <f>W2473-X2471+W2478</f>
        <v>7</v>
      </c>
      <c r="Y2472" s="253">
        <f t="shared" ref="Y2472:BA2472" si="85">X2472-Y2471+X2478</f>
        <v>447.9335817</v>
      </c>
      <c r="Z2472" s="253">
        <f t="shared" si="85"/>
        <v>888.8671633</v>
      </c>
      <c r="AA2472" s="253">
        <f t="shared" si="85"/>
        <v>1329.800745</v>
      </c>
      <c r="AB2472" s="253">
        <f t="shared" si="85"/>
        <v>1770.734327</v>
      </c>
      <c r="AC2472" s="253">
        <f t="shared" si="85"/>
        <v>2211.667908</v>
      </c>
      <c r="AD2472" s="253">
        <f t="shared" si="85"/>
        <v>2652.60149</v>
      </c>
      <c r="AE2472" s="253">
        <f t="shared" si="85"/>
        <v>3093.535072</v>
      </c>
      <c r="AF2472" s="253">
        <f t="shared" si="85"/>
        <v>3534.468653</v>
      </c>
      <c r="AG2472" s="253">
        <f t="shared" si="85"/>
        <v>3975.402235</v>
      </c>
      <c r="AH2472" s="253">
        <f t="shared" si="85"/>
        <v>4416.335817</v>
      </c>
      <c r="AI2472" s="253">
        <f t="shared" si="85"/>
        <v>4856.269398</v>
      </c>
      <c r="AJ2472" s="253">
        <f t="shared" si="85"/>
        <v>5298.20298</v>
      </c>
      <c r="AK2472" s="253">
        <f t="shared" si="85"/>
        <v>5737.136561</v>
      </c>
      <c r="AL2472" s="253">
        <f t="shared" si="85"/>
        <v>6176.070143</v>
      </c>
      <c r="AM2472" s="253">
        <f t="shared" si="85"/>
        <v>6621.003725</v>
      </c>
      <c r="AN2472" s="253">
        <f t="shared" si="85"/>
        <v>7061.937306</v>
      </c>
      <c r="AO2472" s="253">
        <f t="shared" si="85"/>
        <v>7061.937306</v>
      </c>
      <c r="AP2472" s="253">
        <f t="shared" si="85"/>
        <v>7502.870888</v>
      </c>
      <c r="AQ2472" s="253">
        <f t="shared" si="85"/>
        <v>7943.80447</v>
      </c>
      <c r="AR2472" s="253">
        <f t="shared" si="85"/>
        <v>8384.738051</v>
      </c>
      <c r="AS2472" s="253">
        <f t="shared" si="85"/>
        <v>8825.671633</v>
      </c>
      <c r="AT2472" s="253">
        <f t="shared" si="85"/>
        <v>9266.605215</v>
      </c>
      <c r="AU2472" s="253">
        <f t="shared" si="85"/>
        <v>9707.538796</v>
      </c>
      <c r="AV2472" s="253">
        <f t="shared" si="85"/>
        <v>10148.47238</v>
      </c>
      <c r="AW2472" s="253">
        <f t="shared" si="85"/>
        <v>10589.40596</v>
      </c>
      <c r="AX2472" s="253">
        <f t="shared" si="85"/>
        <v>11030.33954</v>
      </c>
      <c r="AY2472" s="253">
        <f t="shared" si="85"/>
        <v>11471.27312</v>
      </c>
      <c r="AZ2472" s="253">
        <f t="shared" si="85"/>
        <v>11911.2067</v>
      </c>
      <c r="BA2472" s="253">
        <f t="shared" si="85"/>
        <v>12353.14029</v>
      </c>
    </row>
    <row r="2473" ht="15.75" customHeight="1">
      <c r="A2473" s="341" t="s">
        <v>444</v>
      </c>
      <c r="B2473" s="24" t="s">
        <v>149</v>
      </c>
      <c r="C2473" s="171">
        <v>0.0</v>
      </c>
      <c r="D2473" s="171">
        <v>0.0</v>
      </c>
      <c r="E2473" s="171">
        <v>0.0</v>
      </c>
      <c r="F2473" s="171">
        <v>0.0</v>
      </c>
      <c r="G2473" s="171">
        <v>0.0</v>
      </c>
      <c r="H2473" s="171">
        <v>0.0</v>
      </c>
      <c r="I2473" s="171">
        <v>0.0</v>
      </c>
      <c r="J2473" s="171">
        <v>0.0</v>
      </c>
      <c r="K2473" s="171">
        <v>0.0</v>
      </c>
      <c r="L2473" s="171">
        <v>0.0</v>
      </c>
      <c r="M2473" s="171">
        <v>0.0</v>
      </c>
      <c r="N2473" s="171">
        <v>0.0</v>
      </c>
      <c r="O2473" s="171">
        <v>0.0</v>
      </c>
      <c r="P2473" s="171">
        <v>0.0</v>
      </c>
      <c r="Q2473" s="171">
        <v>0.0</v>
      </c>
      <c r="R2473" s="171">
        <v>1.0</v>
      </c>
      <c r="S2473" s="171">
        <v>1.0</v>
      </c>
      <c r="T2473" s="171">
        <v>3.0</v>
      </c>
      <c r="U2473" s="171">
        <v>7.0</v>
      </c>
      <c r="V2473" s="319">
        <f t="shared" ref="V2473:W2473" si="86">U2473+V2478</f>
        <v>7</v>
      </c>
      <c r="W2473" s="319">
        <f t="shared" si="86"/>
        <v>7</v>
      </c>
      <c r="X2473" s="154">
        <f t="shared" ref="X2473:AZ2473" si="87">W2473+($BA$2473-$W$2473)/($BA$2-$W$2)</f>
        <v>447.9335817</v>
      </c>
      <c r="Y2473" s="154">
        <f t="shared" si="87"/>
        <v>888.8671633</v>
      </c>
      <c r="Z2473" s="154">
        <f t="shared" si="87"/>
        <v>1329.800745</v>
      </c>
      <c r="AA2473" s="154">
        <f t="shared" si="87"/>
        <v>1770.734327</v>
      </c>
      <c r="AB2473" s="154">
        <f t="shared" si="87"/>
        <v>2211.667908</v>
      </c>
      <c r="AC2473" s="154">
        <f t="shared" si="87"/>
        <v>2652.60149</v>
      </c>
      <c r="AD2473" s="154">
        <f t="shared" si="87"/>
        <v>3093.535072</v>
      </c>
      <c r="AE2473" s="154">
        <f t="shared" si="87"/>
        <v>3534.468653</v>
      </c>
      <c r="AF2473" s="154">
        <f t="shared" si="87"/>
        <v>3975.402235</v>
      </c>
      <c r="AG2473" s="154">
        <f t="shared" si="87"/>
        <v>4416.335817</v>
      </c>
      <c r="AH2473" s="154">
        <f t="shared" si="87"/>
        <v>4857.269398</v>
      </c>
      <c r="AI2473" s="154">
        <f t="shared" si="87"/>
        <v>5298.20298</v>
      </c>
      <c r="AJ2473" s="154">
        <f t="shared" si="87"/>
        <v>5739.136561</v>
      </c>
      <c r="AK2473" s="154">
        <f t="shared" si="87"/>
        <v>6180.070143</v>
      </c>
      <c r="AL2473" s="154">
        <f t="shared" si="87"/>
        <v>6621.003725</v>
      </c>
      <c r="AM2473" s="154">
        <f t="shared" si="87"/>
        <v>7061.937306</v>
      </c>
      <c r="AN2473" s="154">
        <f t="shared" si="87"/>
        <v>7502.870888</v>
      </c>
      <c r="AO2473" s="154">
        <f t="shared" si="87"/>
        <v>7943.80447</v>
      </c>
      <c r="AP2473" s="154">
        <f t="shared" si="87"/>
        <v>8384.738051</v>
      </c>
      <c r="AQ2473" s="154">
        <f t="shared" si="87"/>
        <v>8825.671633</v>
      </c>
      <c r="AR2473" s="154">
        <f t="shared" si="87"/>
        <v>9266.605215</v>
      </c>
      <c r="AS2473" s="154">
        <f t="shared" si="87"/>
        <v>9707.538796</v>
      </c>
      <c r="AT2473" s="154">
        <f t="shared" si="87"/>
        <v>10148.47238</v>
      </c>
      <c r="AU2473" s="154">
        <f t="shared" si="87"/>
        <v>10589.40596</v>
      </c>
      <c r="AV2473" s="154">
        <f t="shared" si="87"/>
        <v>11030.33954</v>
      </c>
      <c r="AW2473" s="154">
        <f t="shared" si="87"/>
        <v>11471.27312</v>
      </c>
      <c r="AX2473" s="154">
        <f t="shared" si="87"/>
        <v>11912.2067</v>
      </c>
      <c r="AY2473" s="154">
        <f t="shared" si="87"/>
        <v>12353.14029</v>
      </c>
      <c r="AZ2473" s="154">
        <f t="shared" si="87"/>
        <v>12794.07387</v>
      </c>
      <c r="BA2473" s="155">
        <f>Inputs!$H$14</f>
        <v>13235.00745</v>
      </c>
    </row>
    <row r="2474" ht="15.75" customHeight="1">
      <c r="A2474" s="341" t="s">
        <v>445</v>
      </c>
      <c r="B2474" s="24" t="s">
        <v>150</v>
      </c>
      <c r="C2474" s="342">
        <f t="shared" ref="C2474:W2474" si="88">C2473*4/10^6</f>
        <v>0</v>
      </c>
      <c r="D2474" s="342">
        <f t="shared" si="88"/>
        <v>0</v>
      </c>
      <c r="E2474" s="342">
        <f t="shared" si="88"/>
        <v>0</v>
      </c>
      <c r="F2474" s="342">
        <f t="shared" si="88"/>
        <v>0</v>
      </c>
      <c r="G2474" s="342">
        <f t="shared" si="88"/>
        <v>0</v>
      </c>
      <c r="H2474" s="342">
        <f t="shared" si="88"/>
        <v>0</v>
      </c>
      <c r="I2474" s="342">
        <f t="shared" si="88"/>
        <v>0</v>
      </c>
      <c r="J2474" s="342">
        <f t="shared" si="88"/>
        <v>0</v>
      </c>
      <c r="K2474" s="342">
        <f t="shared" si="88"/>
        <v>0</v>
      </c>
      <c r="L2474" s="342">
        <f t="shared" si="88"/>
        <v>0</v>
      </c>
      <c r="M2474" s="342">
        <f t="shared" si="88"/>
        <v>0</v>
      </c>
      <c r="N2474" s="342">
        <f t="shared" si="88"/>
        <v>0</v>
      </c>
      <c r="O2474" s="342">
        <f t="shared" si="88"/>
        <v>0</v>
      </c>
      <c r="P2474" s="342">
        <f t="shared" si="88"/>
        <v>0</v>
      </c>
      <c r="Q2474" s="342">
        <f t="shared" si="88"/>
        <v>0</v>
      </c>
      <c r="R2474" s="342">
        <f t="shared" si="88"/>
        <v>0.000004</v>
      </c>
      <c r="S2474" s="342">
        <f t="shared" si="88"/>
        <v>0.000004</v>
      </c>
      <c r="T2474" s="342">
        <f t="shared" si="88"/>
        <v>0.000012</v>
      </c>
      <c r="U2474" s="342">
        <f t="shared" si="88"/>
        <v>0.000028</v>
      </c>
      <c r="V2474" s="342">
        <f t="shared" si="88"/>
        <v>0.000028</v>
      </c>
      <c r="W2474" s="342">
        <f t="shared" si="88"/>
        <v>0.000028</v>
      </c>
      <c r="X2474" s="154">
        <f t="shared" ref="X2474:AZ2474" si="89">W2474+($BA$2474-$W$2474)/($BA$2-$W$2)</f>
        <v>0.006273053086</v>
      </c>
      <c r="Y2474" s="154">
        <f t="shared" si="89"/>
        <v>0.01251810617</v>
      </c>
      <c r="Z2474" s="154">
        <f t="shared" si="89"/>
        <v>0.01876315926</v>
      </c>
      <c r="AA2474" s="154">
        <f t="shared" si="89"/>
        <v>0.02500821234</v>
      </c>
      <c r="AB2474" s="154">
        <f t="shared" si="89"/>
        <v>0.03125326543</v>
      </c>
      <c r="AC2474" s="154">
        <f t="shared" si="89"/>
        <v>0.03749831852</v>
      </c>
      <c r="AD2474" s="154">
        <f t="shared" si="89"/>
        <v>0.0437433716</v>
      </c>
      <c r="AE2474" s="154">
        <f t="shared" si="89"/>
        <v>0.04998842469</v>
      </c>
      <c r="AF2474" s="154">
        <f t="shared" si="89"/>
        <v>0.05623347777</v>
      </c>
      <c r="AG2474" s="154">
        <f t="shared" si="89"/>
        <v>0.06247853086</v>
      </c>
      <c r="AH2474" s="154">
        <f t="shared" si="89"/>
        <v>0.06872358395</v>
      </c>
      <c r="AI2474" s="154">
        <f t="shared" si="89"/>
        <v>0.07496863703</v>
      </c>
      <c r="AJ2474" s="154">
        <f t="shared" si="89"/>
        <v>0.08121369012</v>
      </c>
      <c r="AK2474" s="154">
        <f t="shared" si="89"/>
        <v>0.0874587432</v>
      </c>
      <c r="AL2474" s="154">
        <f t="shared" si="89"/>
        <v>0.09370379629</v>
      </c>
      <c r="AM2474" s="154">
        <f t="shared" si="89"/>
        <v>0.09994884938</v>
      </c>
      <c r="AN2474" s="154">
        <f t="shared" si="89"/>
        <v>0.1061939025</v>
      </c>
      <c r="AO2474" s="154">
        <f t="shared" si="89"/>
        <v>0.1124389555</v>
      </c>
      <c r="AP2474" s="154">
        <f t="shared" si="89"/>
        <v>0.1186840086</v>
      </c>
      <c r="AQ2474" s="154">
        <f t="shared" si="89"/>
        <v>0.1249290617</v>
      </c>
      <c r="AR2474" s="154">
        <f t="shared" si="89"/>
        <v>0.1311741148</v>
      </c>
      <c r="AS2474" s="154">
        <f t="shared" si="89"/>
        <v>0.1374191679</v>
      </c>
      <c r="AT2474" s="154">
        <f t="shared" si="89"/>
        <v>0.143664221</v>
      </c>
      <c r="AU2474" s="154">
        <f t="shared" si="89"/>
        <v>0.1499092741</v>
      </c>
      <c r="AV2474" s="154">
        <f t="shared" si="89"/>
        <v>0.1561543271</v>
      </c>
      <c r="AW2474" s="154">
        <f t="shared" si="89"/>
        <v>0.1623993802</v>
      </c>
      <c r="AX2474" s="154">
        <f t="shared" si="89"/>
        <v>0.1686444333</v>
      </c>
      <c r="AY2474" s="154">
        <f t="shared" si="89"/>
        <v>0.1748894864</v>
      </c>
      <c r="AZ2474" s="154">
        <f t="shared" si="89"/>
        <v>0.1811345395</v>
      </c>
      <c r="BA2474" s="343">
        <f>Inputs!$I$14</f>
        <v>0.1873795926</v>
      </c>
    </row>
    <row r="2475" ht="15.75" customHeight="1">
      <c r="A2475" s="341" t="s">
        <v>446</v>
      </c>
      <c r="B2475" s="150" t="s">
        <v>351</v>
      </c>
      <c r="C2475" s="219">
        <f>0.025*(C2473*'Assumptions (Battery)'!B2+C2474*10^6*'Assumptions (Battery)'!B3)/10^9</f>
        <v>0</v>
      </c>
      <c r="D2475" s="219">
        <f>0.025*(D2473*'Assumptions (Battery)'!C2+D2474*10^6*'Assumptions (Battery)'!C3)/10^9</f>
        <v>0</v>
      </c>
      <c r="E2475" s="219">
        <f>0.025*(E2473*'Assumptions (Battery)'!D2+E2474*10^6*'Assumptions (Battery)'!D3)/10^9</f>
        <v>0</v>
      </c>
      <c r="F2475" s="219">
        <f>0.025*(F2473*'Assumptions (Battery)'!E2+F2474*10^6*'Assumptions (Battery)'!E3)/10^9</f>
        <v>0</v>
      </c>
      <c r="G2475" s="219">
        <f>0.025*(G2473*'Assumptions (Battery)'!F2+G2474*10^6*'Assumptions (Battery)'!F3)/10^9</f>
        <v>0</v>
      </c>
      <c r="H2475" s="219">
        <f>0.025*(H2473*'Assumptions (Battery)'!G2+H2474*10^6*'Assumptions (Battery)'!G3)/10^9</f>
        <v>0</v>
      </c>
      <c r="I2475" s="219">
        <f>0.025*(I2473*'Assumptions (Battery)'!H2+I2474*10^6*'Assumptions (Battery)'!H3)/10^9</f>
        <v>0</v>
      </c>
      <c r="J2475" s="219">
        <f>0.025*(J2473*'Assumptions (Battery)'!I2+J2474*10^6*'Assumptions (Battery)'!I3)/10^9</f>
        <v>0</v>
      </c>
      <c r="K2475" s="219">
        <f>0.025*(K2473*'Assumptions (Battery)'!J2+K2474*10^6*'Assumptions (Battery)'!J3)/10^9</f>
        <v>0</v>
      </c>
      <c r="L2475" s="219">
        <f>0.025*(L2473*'Assumptions (Battery)'!K2+L2474*10^6*'Assumptions (Battery)'!K3)/10^9</f>
        <v>0</v>
      </c>
      <c r="M2475" s="219">
        <f>0.025*(M2473*'Assumptions (Battery)'!L2+M2474*10^6*'Assumptions (Battery)'!L3)/10^9</f>
        <v>0</v>
      </c>
      <c r="N2475" s="219">
        <f>0.025*(N2473*'Assumptions (Battery)'!M2+N2474*10^6*'Assumptions (Battery)'!M3)/10^9</f>
        <v>0</v>
      </c>
      <c r="O2475" s="219">
        <f>0.025*(O2473*'Assumptions (Battery)'!N2+O2474*10^6*'Assumptions (Battery)'!N3)/10^9</f>
        <v>0</v>
      </c>
      <c r="P2475" s="219">
        <f>0.025*(P2473*'Assumptions (Battery)'!O2+P2474*10^6*'Assumptions (Battery)'!O3)/10^9</f>
        <v>0</v>
      </c>
      <c r="Q2475" s="219">
        <f>0.025*(Q2473*'Assumptions (Battery)'!P2+Q2474*10^6*'Assumptions (Battery)'!P3)/10^9</f>
        <v>0</v>
      </c>
      <c r="R2475" s="219">
        <f>0.025*(R2473*'Assumptions (Battery)'!Q2+R2474*10^6*'Assumptions (Battery)'!Q3)/10^9</f>
        <v>0.00004760300885</v>
      </c>
      <c r="S2475" s="219">
        <f>0.025*(S2473*'Assumptions (Battery)'!R2+S2474*10^6*'Assumptions (Battery)'!R3)/10^9</f>
        <v>0.00004521782379</v>
      </c>
      <c r="T2475" s="219">
        <f>0.025*(T2473*'Assumptions (Battery)'!S2+T2474*10^6*'Assumptions (Battery)'!S3)/10^9</f>
        <v>0.0001288564507</v>
      </c>
      <c r="U2475" s="219">
        <f>0.025*(U2473*'Assumptions (Battery)'!T2+U2474*10^6*'Assumptions (Battery)'!T3)/10^9</f>
        <v>0.0002856</v>
      </c>
      <c r="V2475" s="219">
        <f>0.025*(V2473*'Assumptions (Battery)'!U2+V2474*10^6*'Assumptions (Battery)'!U3)/10^9</f>
        <v>0.000275471325</v>
      </c>
      <c r="W2475" s="219">
        <f>0.025*(W2473*'Assumptions (Battery)'!V2+W2474*10^6*'Assumptions (Battery)'!V3)/10^9</f>
        <v>0.0002648387504</v>
      </c>
      <c r="X2475" s="219">
        <f>0.025*(X2473*'Assumptions (Battery)'!W2+X2474*10^6*'Assumptions (Battery)'!W3)/10^9</f>
        <v>0.04942728683</v>
      </c>
      <c r="Y2475" s="219">
        <f>0.025*(Y2473*'Assumptions (Battery)'!X2+Y2474*10^6*'Assumptions (Battery)'!X3)/10^9</f>
        <v>0.09405536332</v>
      </c>
      <c r="Z2475" s="219">
        <f>0.025*(Z2473*'Assumptions (Battery)'!Y2+Z2474*10^6*'Assumptions (Battery)'!Y3)/10^9</f>
        <v>0.133310127</v>
      </c>
      <c r="AA2475" s="219">
        <f>0.025*(AA2473*'Assumptions (Battery)'!Z2+AA2474*10^6*'Assumptions (Battery)'!Z3)/10^9</f>
        <v>0.1677046588</v>
      </c>
      <c r="AB2475" s="219">
        <f>0.025*(AB2473*'Assumptions (Battery)'!AA2+AB2474*10^6*'Assumptions (Battery)'!AA3)/10^9</f>
        <v>0.1955943237</v>
      </c>
      <c r="AC2475" s="219">
        <f>0.025*(AC2473*'Assumptions (Battery)'!AB2+AC2474*10^6*'Assumptions (Battery)'!AB3)/10^9</f>
        <v>0.2300335619</v>
      </c>
      <c r="AD2475" s="219">
        <f>0.025*(AD2473*'Assumptions (Battery)'!AC2+AD2474*10^6*'Assumptions (Battery)'!AC3)/10^9</f>
        <v>0.2638215009</v>
      </c>
      <c r="AE2475" s="219">
        <f>0.025*(AE2473*'Assumptions (Battery)'!AD2+AE2474*10^6*'Assumptions (Battery)'!AD3)/10^9</f>
        <v>0.294485292</v>
      </c>
      <c r="AF2475" s="219">
        <f>0.025*(AF2473*'Assumptions (Battery)'!AE2+AF2474*10^6*'Assumptions (Battery)'!AE3)/10^9</f>
        <v>0.323087591</v>
      </c>
      <c r="AG2475" s="219">
        <f>0.025*(AG2473*'Assumptions (Battery)'!AF2+AG2474*10^6*'Assumptions (Battery)'!AF3)/10^9</f>
        <v>0.3512074894</v>
      </c>
      <c r="AH2475" s="219">
        <f>0.025*(AH2473*'Assumptions (Battery)'!AG2+AH2474*10^6*'Assumptions (Battery)'!AG3)/10^9</f>
        <v>0.389117168</v>
      </c>
      <c r="AI2475" s="219">
        <f>0.025*(AI2473*'Assumptions (Battery)'!AH2+AI2474*10^6*'Assumptions (Battery)'!AH3)/10^9</f>
        <v>0.4274960602</v>
      </c>
      <c r="AJ2475" s="219">
        <f>0.025*(AJ2473*'Assumptions (Battery)'!AI2+AJ2474*10^6*'Assumptions (Battery)'!AI3)/10^9</f>
        <v>0.4638097557</v>
      </c>
      <c r="AK2475" s="219">
        <f>0.025*(AK2473*'Assumptions (Battery)'!AJ2+AK2474*10^6*'Assumptions (Battery)'!AJ3)/10^9</f>
        <v>0.5028395473</v>
      </c>
      <c r="AL2475" s="219">
        <f>0.025*(AL2473*'Assumptions (Battery)'!AK2+AL2474*10^6*'Assumptions (Battery)'!AK3)/10^9</f>
        <v>0.542287108</v>
      </c>
      <c r="AM2475" s="219">
        <f>0.025*(AM2473*'Assumptions (Battery)'!AL2+AM2474*10^6*'Assumptions (Battery)'!AL3)/10^9</f>
        <v>0.5821357681</v>
      </c>
      <c r="AN2475" s="219">
        <f>0.025*(AN2473*'Assumptions (Battery)'!AM2+AN2474*10^6*'Assumptions (Battery)'!AM3)/10^9</f>
        <v>0.6223676951</v>
      </c>
      <c r="AO2475" s="219">
        <f>0.025*(AO2473*'Assumptions (Battery)'!AN2+AO2474*10^6*'Assumptions (Battery)'!AN3)/10^9</f>
        <v>0.6629638478</v>
      </c>
      <c r="AP2475" s="219">
        <f>0.025*(AP2473*'Assumptions (Battery)'!AO2+AP2474*10^6*'Assumptions (Battery)'!AO3)/10^9</f>
        <v>0.7042184439</v>
      </c>
      <c r="AQ2475" s="219">
        <f>0.025*(AQ2473*'Assumptions (Battery)'!AP2+AQ2474*10^6*'Assumptions (Battery)'!AP3)/10^9</f>
        <v>0.7455038489</v>
      </c>
      <c r="AR2475" s="219">
        <f>0.025*(AR2473*'Assumptions (Battery)'!AQ2+AR2474*10^6*'Assumptions (Battery)'!AQ3)/10^9</f>
        <v>0.7870893992</v>
      </c>
      <c r="AS2475" s="219">
        <f>0.025*(AS2473*'Assumptions (Battery)'!AR2+AS2474*10^6*'Assumptions (Battery)'!AR3)/10^9</f>
        <v>0.8289507508</v>
      </c>
      <c r="AT2475" s="219">
        <f>0.025*(AT2473*'Assumptions (Battery)'!AS2+AT2474*10^6*'Assumptions (Battery)'!AS3)/10^9</f>
        <v>0.8710620983</v>
      </c>
      <c r="AU2475" s="219">
        <f>0.025*(AU2473*'Assumptions (Battery)'!AT2+AU2474*10^6*'Assumptions (Battery)'!AT3)/10^9</f>
        <v>0.9076401248</v>
      </c>
      <c r="AV2475" s="219">
        <f>0.025*(AV2473*'Assumptions (Battery)'!AU2+AV2474*10^6*'Assumptions (Battery)'!AU3)/10^9</f>
        <v>0.9498111573</v>
      </c>
      <c r="AW2475" s="219">
        <f>0.025*(AW2473*'Assumptions (Battery)'!AV2+AW2474*10^6*'Assumptions (Battery)'!AV3)/10^9</f>
        <v>0.9921337114</v>
      </c>
      <c r="AX2475" s="219">
        <f>0.025*(AX2473*'Assumptions (Battery)'!AW2+AX2474*10^6*'Assumptions (Battery)'!AW3)/10^9</f>
        <v>1.034575244</v>
      </c>
      <c r="AY2475" s="219">
        <f>0.025*(AY2473*'Assumptions (Battery)'!AX2+AY2474*10^6*'Assumptions (Battery)'!AX3)/10^9</f>
        <v>1.077101446</v>
      </c>
      <c r="AZ2475" s="219">
        <f>0.025*(AZ2473*'Assumptions (Battery)'!AY2+AZ2474*10^6*'Assumptions (Battery)'!AY3)/10^9</f>
        <v>1.119676181</v>
      </c>
      <c r="BA2475" s="219">
        <f>0.025*(BA2473*'Assumptions (Battery)'!AZ2+BA2474*10^6*'Assumptions (Battery)'!AZ3)/10^9</f>
        <v>1.162875428</v>
      </c>
    </row>
    <row r="2476" ht="15.75" customHeight="1">
      <c r="A2476" s="344" t="s">
        <v>36</v>
      </c>
      <c r="B2476" s="159" t="s">
        <v>351</v>
      </c>
      <c r="C2476" s="289">
        <v>0.0</v>
      </c>
      <c r="D2476" s="289">
        <v>0.0</v>
      </c>
      <c r="E2476" s="289">
        <v>0.0</v>
      </c>
      <c r="F2476" s="289">
        <v>0.0</v>
      </c>
      <c r="G2476" s="289">
        <v>0.0</v>
      </c>
      <c r="H2476" s="289">
        <v>0.0</v>
      </c>
      <c r="I2476" s="289">
        <v>0.0</v>
      </c>
      <c r="J2476" s="289">
        <v>0.0</v>
      </c>
      <c r="K2476" s="95">
        <f>K2474*'Assumptions (Battery)'!J40/10^3</f>
        <v>0</v>
      </c>
      <c r="L2476" s="95">
        <f>L2474*'Assumptions (Battery)'!K40/10^3</f>
        <v>0</v>
      </c>
      <c r="M2476" s="95">
        <f>M2474*'Assumptions (Battery)'!L40/10^3</f>
        <v>0</v>
      </c>
      <c r="N2476" s="95">
        <f>N2474*'Assumptions (Battery)'!M40/10^3</f>
        <v>0</v>
      </c>
      <c r="O2476" s="95">
        <f>O2474*'Assumptions (Battery)'!N40/10^3</f>
        <v>0</v>
      </c>
      <c r="P2476" s="95">
        <f>P2474*'Assumptions (Battery)'!O40/10^3</f>
        <v>0</v>
      </c>
      <c r="Q2476" s="95">
        <f>Q2474*'Assumptions (Battery)'!P40/10^3</f>
        <v>0</v>
      </c>
      <c r="R2476" s="95">
        <f>R2474*'Assumptions (Battery)'!Q40/10^3</f>
        <v>0.0000002394664</v>
      </c>
      <c r="S2476" s="95">
        <f>S2474*'Assumptions (Battery)'!R40/10^3</f>
        <v>0.00000025628</v>
      </c>
      <c r="T2476" s="95">
        <f>T2474*'Assumptions (Battery)'!S40/10^3</f>
        <v>0.00000075048</v>
      </c>
      <c r="U2476" s="95">
        <f>U2474*'Assumptions (Battery)'!T40/10^3</f>
        <v>0.0000017976</v>
      </c>
      <c r="V2476" s="95">
        <f>V2474*'Assumptions (Battery)'!U40/10^3</f>
        <v>0.00000182252</v>
      </c>
      <c r="W2476" s="95">
        <f>W2474*'Assumptions (Battery)'!V40/10^3</f>
        <v>0.00000190101184</v>
      </c>
      <c r="X2476" s="95">
        <f>X2474*'Assumptions (Battery)'!W40/10^3</f>
        <v>0.0004291284583</v>
      </c>
      <c r="Y2476" s="95">
        <f>Y2474*'Assumptions (Battery)'!X40/10^3</f>
        <v>0.0008642480472</v>
      </c>
      <c r="Z2476" s="95">
        <f>Z2474*'Assumptions (Battery)'!Y40/10^3</f>
        <v>0.001316534519</v>
      </c>
      <c r="AA2476" s="95">
        <f>AA2474*'Assumptions (Battery)'!Z40/10^3</f>
        <v>0.001788075679</v>
      </c>
      <c r="AB2476" s="95">
        <f>AB2474*'Assumptions (Battery)'!AA40/10^3</f>
        <v>0.002297633501</v>
      </c>
      <c r="AC2476" s="95">
        <f>AC2474*'Assumptions (Battery)'!AB40/10^3</f>
        <v>0.002801260137</v>
      </c>
      <c r="AD2476" s="95">
        <f>AD2474*'Assumptions (Battery)'!AC40/10^3</f>
        <v>0.003332003042</v>
      </c>
      <c r="AE2476" s="95">
        <f>AE2474*'Assumptions (Battery)'!AD40/10^3</f>
        <v>0.003874576804</v>
      </c>
      <c r="AF2476" s="95">
        <f>AF2474*'Assumptions (Battery)'!AE40/10^3</f>
        <v>0.004438903722</v>
      </c>
      <c r="AG2476" s="95">
        <f>AG2474*'Assumptions (Battery)'!AF40/10^3</f>
        <v>0.005022946494</v>
      </c>
      <c r="AH2476" s="95">
        <f>AH2474*'Assumptions (Battery)'!AG40/10^3</f>
        <v>0.005635280279</v>
      </c>
      <c r="AI2476" s="95">
        <f>AI2474*'Assumptions (Battery)'!AH40/10^3</f>
        <v>0.006243999086</v>
      </c>
      <c r="AJ2476" s="95">
        <f>AJ2474*'Assumptions (Battery)'!AI40/10^3</f>
        <v>0.006866794545</v>
      </c>
      <c r="AK2476" s="95">
        <f>AK2474*'Assumptions (Battery)'!AJ40/10^3</f>
        <v>0.007507682411</v>
      </c>
      <c r="AL2476" s="95">
        <f>AL2474*'Assumptions (Battery)'!AK40/10^3</f>
        <v>0.0081787016</v>
      </c>
      <c r="AM2476" s="95">
        <f>AM2474*'Assumptions (Battery)'!AL40/10^3</f>
        <v>0.008904598911</v>
      </c>
      <c r="AN2476" s="95">
        <f>AN2474*'Assumptions (Battery)'!AM40/10^3</f>
        <v>0.00964719675</v>
      </c>
      <c r="AO2476" s="95">
        <f>AO2474*'Assumptions (Battery)'!AN40/10^3</f>
        <v>0.01044387777</v>
      </c>
      <c r="AP2476" s="95">
        <f>AP2474*'Assumptions (Battery)'!AO40/10^3</f>
        <v>0.01127027856</v>
      </c>
      <c r="AQ2476" s="95">
        <f>AQ2474*'Assumptions (Battery)'!AP40/10^3</f>
        <v>0.01210538247</v>
      </c>
      <c r="AR2476" s="95">
        <f>AR2474*'Assumptions (Battery)'!AQ40/10^3</f>
        <v>0.01295907383</v>
      </c>
      <c r="AS2476" s="95">
        <f>AS2474*'Assumptions (Battery)'!AR40/10^3</f>
        <v>0.01383466373</v>
      </c>
      <c r="AT2476" s="95">
        <f>AT2474*'Assumptions (Battery)'!AS40/10^3</f>
        <v>0.01474997827</v>
      </c>
      <c r="AU2476" s="95">
        <f>AU2474*'Assumptions (Battery)'!AT40/10^3</f>
        <v>0.01571021309</v>
      </c>
      <c r="AV2476" s="95">
        <f>AV2474*'Assumptions (Battery)'!AU40/10^3</f>
        <v>0.01670556637</v>
      </c>
      <c r="AW2476" s="95">
        <f>AW2474*'Assumptions (Battery)'!AV40/10^3</f>
        <v>0.01769818377</v>
      </c>
      <c r="AX2476" s="95">
        <f>AX2474*'Assumptions (Battery)'!AW40/10^3</f>
        <v>0.01878270968</v>
      </c>
      <c r="AY2476" s="95">
        <f>AY2474*'Assumptions (Battery)'!AX40/10^3</f>
        <v>0.02018037716</v>
      </c>
      <c r="AZ2476" s="95">
        <f>AZ2474*'Assumptions (Battery)'!AY40/10^3</f>
        <v>0.02145774095</v>
      </c>
      <c r="BA2476" s="95">
        <f>BA2474*'Assumptions (Battery)'!AZ40/10^3</f>
        <v>0.0226503346</v>
      </c>
    </row>
    <row r="2477" ht="15.75" customHeight="1">
      <c r="A2477" s="344" t="s">
        <v>38</v>
      </c>
      <c r="B2477" s="159" t="s">
        <v>351</v>
      </c>
      <c r="C2477" s="289">
        <v>0.0</v>
      </c>
      <c r="D2477" s="289">
        <v>0.0</v>
      </c>
      <c r="E2477" s="289">
        <v>0.0</v>
      </c>
      <c r="F2477" s="289">
        <v>0.0</v>
      </c>
      <c r="G2477" s="289">
        <v>0.0</v>
      </c>
      <c r="H2477" s="289">
        <v>0.0</v>
      </c>
      <c r="I2477" s="289">
        <v>0.0</v>
      </c>
      <c r="J2477" s="289">
        <v>0.0</v>
      </c>
      <c r="K2477" s="95">
        <f>K2473*'Assumptions (Battery)'!J43*'Assumptions (Battery)'!J42*365/10^9</f>
        <v>0</v>
      </c>
      <c r="L2477" s="95">
        <f>L2473*'Assumptions (Battery)'!K43*'Assumptions (Battery)'!K42*365/10^9</f>
        <v>0</v>
      </c>
      <c r="M2477" s="95">
        <f>M2473*'Assumptions (Battery)'!L43*'Assumptions (Battery)'!L42*365/10^9</f>
        <v>0</v>
      </c>
      <c r="N2477" s="95">
        <f>N2473*'Assumptions (Battery)'!M43*'Assumptions (Battery)'!M42*365/10^9</f>
        <v>0</v>
      </c>
      <c r="O2477" s="95">
        <f>O2473*'Assumptions (Battery)'!N43*'Assumptions (Battery)'!N42*365/10^9</f>
        <v>0</v>
      </c>
      <c r="P2477" s="95">
        <f>P2473*'Assumptions (Battery)'!O43*'Assumptions (Battery)'!O42*365/10^9</f>
        <v>0</v>
      </c>
      <c r="Q2477" s="95">
        <f>Q2473*'Assumptions (Battery)'!P43*'Assumptions (Battery)'!P42*365/10^9</f>
        <v>0</v>
      </c>
      <c r="R2477" s="95">
        <f>R2473*'Assumptions (Battery)'!Q43*'Assumptions (Battery)'!Q42*365/10^9</f>
        <v>0</v>
      </c>
      <c r="S2477" s="95">
        <f>S2473*'Assumptions (Battery)'!R43*'Assumptions (Battery)'!R42*365/10^9</f>
        <v>0</v>
      </c>
      <c r="T2477" s="95">
        <f>T2473*'Assumptions (Battery)'!S43*'Assumptions (Battery)'!S42*365/10^9</f>
        <v>0</v>
      </c>
      <c r="U2477" s="95">
        <f>U2473*'Assumptions (Battery)'!T43*'Assumptions (Battery)'!T42*365/10^9</f>
        <v>0</v>
      </c>
      <c r="V2477" s="95">
        <f>V2473*'Assumptions (Battery)'!U43*'Assumptions (Battery)'!U42*365/10^9</f>
        <v>0</v>
      </c>
      <c r="W2477" s="95">
        <f>W2473*'Assumptions (Battery)'!V43*'Assumptions (Battery)'!V42*365/10^9</f>
        <v>0</v>
      </c>
      <c r="X2477" s="95">
        <f>X2473*'Assumptions (Battery)'!W43*'Assumptions (Battery)'!W42*365/10^9</f>
        <v>0</v>
      </c>
      <c r="Y2477" s="95">
        <f>Y2473*'Assumptions (Battery)'!X43*'Assumptions (Battery)'!X42*365/10^9</f>
        <v>0</v>
      </c>
      <c r="Z2477" s="95">
        <f>Z2473*'Assumptions (Battery)'!Y43*'Assumptions (Battery)'!Y42*365/10^9</f>
        <v>0</v>
      </c>
      <c r="AA2477" s="95">
        <f>AA2473*'Assumptions (Battery)'!Z43*'Assumptions (Battery)'!Z42*365/10^9</f>
        <v>0</v>
      </c>
      <c r="AB2477" s="95">
        <f>AB2473*'Assumptions (Battery)'!AA43*'Assumptions (Battery)'!AA42*365/10^9</f>
        <v>0</v>
      </c>
      <c r="AC2477" s="95">
        <f>AC2473*'Assumptions (Battery)'!AB43*'Assumptions (Battery)'!AB42*365/10^9</f>
        <v>0</v>
      </c>
      <c r="AD2477" s="95">
        <f>AD2473*'Assumptions (Battery)'!AC43*'Assumptions (Battery)'!AC42*365/10^9</f>
        <v>0</v>
      </c>
      <c r="AE2477" s="95">
        <f>AE2473*'Assumptions (Battery)'!AD43*'Assumptions (Battery)'!AD42*365/10^9</f>
        <v>0</v>
      </c>
      <c r="AF2477" s="95">
        <f>AF2473*'Assumptions (Battery)'!AE43*'Assumptions (Battery)'!AE42*365/10^9</f>
        <v>0</v>
      </c>
      <c r="AG2477" s="95">
        <f>AG2473*'Assumptions (Battery)'!AF43*'Assumptions (Battery)'!AF42*365/10^9</f>
        <v>0</v>
      </c>
      <c r="AH2477" s="95">
        <f>AH2473*'Assumptions (Battery)'!AG43*'Assumptions (Battery)'!AG42*365/10^9</f>
        <v>0</v>
      </c>
      <c r="AI2477" s="95">
        <f>AI2473*'Assumptions (Battery)'!AH43*'Assumptions (Battery)'!AH42*365/10^9</f>
        <v>0</v>
      </c>
      <c r="AJ2477" s="95">
        <f>AJ2473*'Assumptions (Battery)'!AI43*'Assumptions (Battery)'!AI42*365/10^9</f>
        <v>0</v>
      </c>
      <c r="AK2477" s="95">
        <f>AK2473*'Assumptions (Battery)'!AJ43*'Assumptions (Battery)'!AJ42*365/10^9</f>
        <v>0</v>
      </c>
      <c r="AL2477" s="95">
        <f>AL2473*'Assumptions (Battery)'!AK43*'Assumptions (Battery)'!AK42*365/10^9</f>
        <v>0</v>
      </c>
      <c r="AM2477" s="95">
        <f>AM2473*'Assumptions (Battery)'!AL43*'Assumptions (Battery)'!AL42*365/10^9</f>
        <v>0</v>
      </c>
      <c r="AN2477" s="95">
        <f>AN2473*'Assumptions (Battery)'!AM43*'Assumptions (Battery)'!AM42*365/10^9</f>
        <v>0</v>
      </c>
      <c r="AO2477" s="95">
        <f>AO2473*'Assumptions (Battery)'!AN43*'Assumptions (Battery)'!AN42*365/10^9</f>
        <v>0</v>
      </c>
      <c r="AP2477" s="95">
        <f>AP2473*'Assumptions (Battery)'!AO43*'Assumptions (Battery)'!AO42*365/10^9</f>
        <v>0</v>
      </c>
      <c r="AQ2477" s="95">
        <f>AQ2473*'Assumptions (Battery)'!AP43*'Assumptions (Battery)'!AP42*365/10^9</f>
        <v>0</v>
      </c>
      <c r="AR2477" s="95">
        <f>AR2473*'Assumptions (Battery)'!AQ43*'Assumptions (Battery)'!AQ42*365/10^9</f>
        <v>0</v>
      </c>
      <c r="AS2477" s="95">
        <f>AS2473*'Assumptions (Battery)'!AR43*'Assumptions (Battery)'!AR42*365/10^9</f>
        <v>0</v>
      </c>
      <c r="AT2477" s="95">
        <f>AT2473*'Assumptions (Battery)'!AS43*'Assumptions (Battery)'!AS42*365/10^9</f>
        <v>0</v>
      </c>
      <c r="AU2477" s="95">
        <f>AU2473*'Assumptions (Battery)'!AT43*'Assumptions (Battery)'!AT42*365/10^9</f>
        <v>0</v>
      </c>
      <c r="AV2477" s="95">
        <f>AV2473*'Assumptions (Battery)'!AU43*'Assumptions (Battery)'!AU42*365/10^9</f>
        <v>0</v>
      </c>
      <c r="AW2477" s="95">
        <f>AW2473*'Assumptions (Battery)'!AV43*'Assumptions (Battery)'!AV42*365/10^9</f>
        <v>0</v>
      </c>
      <c r="AX2477" s="95">
        <f>AX2473*'Assumptions (Battery)'!AW43*'Assumptions (Battery)'!AW42*365/10^9</f>
        <v>0</v>
      </c>
      <c r="AY2477" s="95">
        <f>AY2473*'Assumptions (Battery)'!AX43*'Assumptions (Battery)'!AX42*365/10^9</f>
        <v>0</v>
      </c>
      <c r="AZ2477" s="95">
        <f>AZ2473*'Assumptions (Battery)'!AY43*'Assumptions (Battery)'!AY42*365/10^9</f>
        <v>0</v>
      </c>
      <c r="BA2477" s="95">
        <f>BA2473*'Assumptions (Battery)'!AZ43*'Assumptions (Battery)'!AZ42*365/10^9</f>
        <v>0</v>
      </c>
    </row>
    <row r="2478" ht="15.75" customHeight="1">
      <c r="A2478" s="345" t="s">
        <v>447</v>
      </c>
      <c r="B2478" s="150" t="s">
        <v>149</v>
      </c>
      <c r="C2478" s="346">
        <f t="array" ref="C2478:V2478">TRANSPOSE('Assumptions (Battery)'!V119:V138)</f>
        <v>0</v>
      </c>
      <c r="D2478" s="347">
        <v>0.0</v>
      </c>
      <c r="E2478" s="347">
        <v>0.0</v>
      </c>
      <c r="F2478" s="347">
        <v>0.0</v>
      </c>
      <c r="G2478" s="347">
        <v>0.0</v>
      </c>
      <c r="H2478" s="347">
        <v>0.0</v>
      </c>
      <c r="I2478" s="347">
        <v>0.0</v>
      </c>
      <c r="J2478" s="347">
        <v>0.0</v>
      </c>
      <c r="K2478" s="348">
        <v>0.0</v>
      </c>
      <c r="L2478" s="348">
        <v>0.0</v>
      </c>
      <c r="M2478" s="348">
        <v>0.0</v>
      </c>
      <c r="N2478" s="348">
        <v>0.0</v>
      </c>
      <c r="O2478" s="348">
        <v>0.0</v>
      </c>
      <c r="P2478" s="348">
        <v>0.0</v>
      </c>
      <c r="Q2478" s="348">
        <v>0.0</v>
      </c>
      <c r="R2478" s="348">
        <v>1.0</v>
      </c>
      <c r="S2478" s="348">
        <v>0.0</v>
      </c>
      <c r="T2478" s="348">
        <v>2.0</v>
      </c>
      <c r="U2478" s="348">
        <v>4.0</v>
      </c>
      <c r="V2478" s="348">
        <v>0.0</v>
      </c>
      <c r="W2478" s="349">
        <v>0.0</v>
      </c>
      <c r="X2478" s="175">
        <f t="shared" ref="X2478:BA2478" si="90">if(X2473&gt;X2472,X2473-X2472,0)</f>
        <v>440.9335817</v>
      </c>
      <c r="Y2478" s="175">
        <f t="shared" si="90"/>
        <v>440.9335817</v>
      </c>
      <c r="Z2478" s="175">
        <f t="shared" si="90"/>
        <v>440.9335817</v>
      </c>
      <c r="AA2478" s="175">
        <f t="shared" si="90"/>
        <v>440.9335817</v>
      </c>
      <c r="AB2478" s="175">
        <f t="shared" si="90"/>
        <v>440.9335817</v>
      </c>
      <c r="AC2478" s="175">
        <f t="shared" si="90"/>
        <v>440.9335817</v>
      </c>
      <c r="AD2478" s="175">
        <f t="shared" si="90"/>
        <v>440.9335817</v>
      </c>
      <c r="AE2478" s="175">
        <f t="shared" si="90"/>
        <v>440.9335817</v>
      </c>
      <c r="AF2478" s="175">
        <f t="shared" si="90"/>
        <v>440.9335817</v>
      </c>
      <c r="AG2478" s="175">
        <f t="shared" si="90"/>
        <v>440.9335817</v>
      </c>
      <c r="AH2478" s="175">
        <f t="shared" si="90"/>
        <v>440.9335817</v>
      </c>
      <c r="AI2478" s="175">
        <f t="shared" si="90"/>
        <v>441.9335817</v>
      </c>
      <c r="AJ2478" s="175">
        <f t="shared" si="90"/>
        <v>440.9335817</v>
      </c>
      <c r="AK2478" s="175">
        <f t="shared" si="90"/>
        <v>442.9335817</v>
      </c>
      <c r="AL2478" s="175">
        <f t="shared" si="90"/>
        <v>444.9335817</v>
      </c>
      <c r="AM2478" s="175">
        <f t="shared" si="90"/>
        <v>440.9335817</v>
      </c>
      <c r="AN2478" s="175">
        <f t="shared" si="90"/>
        <v>440.9335817</v>
      </c>
      <c r="AO2478" s="175">
        <f t="shared" si="90"/>
        <v>881.8671633</v>
      </c>
      <c r="AP2478" s="175">
        <f t="shared" si="90"/>
        <v>881.8671633</v>
      </c>
      <c r="AQ2478" s="175">
        <f t="shared" si="90"/>
        <v>881.8671633</v>
      </c>
      <c r="AR2478" s="175">
        <f t="shared" si="90"/>
        <v>881.8671633</v>
      </c>
      <c r="AS2478" s="175">
        <f t="shared" si="90"/>
        <v>881.8671633</v>
      </c>
      <c r="AT2478" s="175">
        <f t="shared" si="90"/>
        <v>881.8671633</v>
      </c>
      <c r="AU2478" s="175">
        <f t="shared" si="90"/>
        <v>881.8671633</v>
      </c>
      <c r="AV2478" s="175">
        <f t="shared" si="90"/>
        <v>881.8671633</v>
      </c>
      <c r="AW2478" s="175">
        <f t="shared" si="90"/>
        <v>881.8671633</v>
      </c>
      <c r="AX2478" s="175">
        <f t="shared" si="90"/>
        <v>881.8671633</v>
      </c>
      <c r="AY2478" s="175">
        <f t="shared" si="90"/>
        <v>881.8671633</v>
      </c>
      <c r="AZ2478" s="175">
        <f t="shared" si="90"/>
        <v>882.8671633</v>
      </c>
      <c r="BA2478" s="175">
        <f t="shared" si="90"/>
        <v>881.8671633</v>
      </c>
    </row>
    <row r="2479" ht="15.75" customHeight="1">
      <c r="A2479" s="345" t="s">
        <v>448</v>
      </c>
      <c r="B2479" s="150" t="s">
        <v>150</v>
      </c>
      <c r="C2479" s="350">
        <f t="shared" ref="C2479:W2479" si="91">C2478*4/10^6</f>
        <v>0</v>
      </c>
      <c r="D2479" s="350">
        <f t="shared" si="91"/>
        <v>0</v>
      </c>
      <c r="E2479" s="350">
        <f t="shared" si="91"/>
        <v>0</v>
      </c>
      <c r="F2479" s="350">
        <f t="shared" si="91"/>
        <v>0</v>
      </c>
      <c r="G2479" s="350">
        <f t="shared" si="91"/>
        <v>0</v>
      </c>
      <c r="H2479" s="350">
        <f t="shared" si="91"/>
        <v>0</v>
      </c>
      <c r="I2479" s="350">
        <f t="shared" si="91"/>
        <v>0</v>
      </c>
      <c r="J2479" s="350">
        <f t="shared" si="91"/>
        <v>0</v>
      </c>
      <c r="K2479" s="350">
        <f t="shared" si="91"/>
        <v>0</v>
      </c>
      <c r="L2479" s="350">
        <f t="shared" si="91"/>
        <v>0</v>
      </c>
      <c r="M2479" s="350">
        <f t="shared" si="91"/>
        <v>0</v>
      </c>
      <c r="N2479" s="350">
        <f t="shared" si="91"/>
        <v>0</v>
      </c>
      <c r="O2479" s="350">
        <f t="shared" si="91"/>
        <v>0</v>
      </c>
      <c r="P2479" s="350">
        <f t="shared" si="91"/>
        <v>0</v>
      </c>
      <c r="Q2479" s="350">
        <f t="shared" si="91"/>
        <v>0</v>
      </c>
      <c r="R2479" s="350">
        <f t="shared" si="91"/>
        <v>0.000004</v>
      </c>
      <c r="S2479" s="350">
        <f t="shared" si="91"/>
        <v>0</v>
      </c>
      <c r="T2479" s="350">
        <f t="shared" si="91"/>
        <v>0.000008</v>
      </c>
      <c r="U2479" s="350">
        <f t="shared" si="91"/>
        <v>0.000016</v>
      </c>
      <c r="V2479" s="350">
        <f t="shared" si="91"/>
        <v>0</v>
      </c>
      <c r="W2479" s="350">
        <f t="shared" si="91"/>
        <v>0</v>
      </c>
      <c r="X2479" s="351">
        <f t="shared" ref="X2479:BA2479" si="92">if(X2474&gt;X2470,X2474-X2470,0)</f>
        <v>0.006245053086</v>
      </c>
      <c r="Y2479" s="351">
        <f t="shared" si="92"/>
        <v>0.006245053086</v>
      </c>
      <c r="Z2479" s="351">
        <f t="shared" si="92"/>
        <v>0.006245053086</v>
      </c>
      <c r="AA2479" s="351">
        <f t="shared" si="92"/>
        <v>0.006245053086</v>
      </c>
      <c r="AB2479" s="351">
        <f t="shared" si="92"/>
        <v>0.006245053086</v>
      </c>
      <c r="AC2479" s="351">
        <f t="shared" si="92"/>
        <v>0.006245053086</v>
      </c>
      <c r="AD2479" s="351">
        <f t="shared" si="92"/>
        <v>0.006245053086</v>
      </c>
      <c r="AE2479" s="351">
        <f t="shared" si="92"/>
        <v>0.006245053086</v>
      </c>
      <c r="AF2479" s="351">
        <f t="shared" si="92"/>
        <v>0.006245053086</v>
      </c>
      <c r="AG2479" s="351">
        <f t="shared" si="92"/>
        <v>0.006245053086</v>
      </c>
      <c r="AH2479" s="351">
        <f t="shared" si="92"/>
        <v>0.006245053086</v>
      </c>
      <c r="AI2479" s="351">
        <f t="shared" si="92"/>
        <v>0.006245053086</v>
      </c>
      <c r="AJ2479" s="351">
        <f t="shared" si="92"/>
        <v>0.006245053086</v>
      </c>
      <c r="AK2479" s="351">
        <f t="shared" si="92"/>
        <v>0.006245053086</v>
      </c>
      <c r="AL2479" s="351">
        <f t="shared" si="92"/>
        <v>0.006245053086</v>
      </c>
      <c r="AM2479" s="351">
        <f t="shared" si="92"/>
        <v>0.006245053086</v>
      </c>
      <c r="AN2479" s="351">
        <f t="shared" si="92"/>
        <v>0.006245053086</v>
      </c>
      <c r="AO2479" s="351">
        <f t="shared" si="92"/>
        <v>0.01249010617</v>
      </c>
      <c r="AP2479" s="351">
        <f t="shared" si="92"/>
        <v>0.01249010617</v>
      </c>
      <c r="AQ2479" s="351">
        <f t="shared" si="92"/>
        <v>0.01249010617</v>
      </c>
      <c r="AR2479" s="351">
        <f t="shared" si="92"/>
        <v>0.01249010617</v>
      </c>
      <c r="AS2479" s="351">
        <f t="shared" si="92"/>
        <v>0.01249010617</v>
      </c>
      <c r="AT2479" s="351">
        <f t="shared" si="92"/>
        <v>0.01249010617</v>
      </c>
      <c r="AU2479" s="351">
        <f t="shared" si="92"/>
        <v>0.01249010617</v>
      </c>
      <c r="AV2479" s="351">
        <f t="shared" si="92"/>
        <v>0.01249010617</v>
      </c>
      <c r="AW2479" s="351">
        <f t="shared" si="92"/>
        <v>0.01249010617</v>
      </c>
      <c r="AX2479" s="351">
        <f t="shared" si="92"/>
        <v>0.01249010617</v>
      </c>
      <c r="AY2479" s="351">
        <f t="shared" si="92"/>
        <v>0.01249010617</v>
      </c>
      <c r="AZ2479" s="351">
        <f t="shared" si="92"/>
        <v>0.01249010617</v>
      </c>
      <c r="BA2479" s="351">
        <f t="shared" si="92"/>
        <v>0.01249010617</v>
      </c>
    </row>
    <row r="2480" ht="15.75" customHeight="1">
      <c r="A2480" s="341" t="s">
        <v>358</v>
      </c>
      <c r="B2480" s="150" t="s">
        <v>351</v>
      </c>
      <c r="C2480" s="177">
        <f t="shared" ref="C2480:BA2480" si="93">SUM(C2481:C2531)</f>
        <v>0</v>
      </c>
      <c r="D2480" s="177">
        <f t="shared" si="93"/>
        <v>0</v>
      </c>
      <c r="E2480" s="177">
        <f t="shared" si="93"/>
        <v>0</v>
      </c>
      <c r="F2480" s="177">
        <f t="shared" si="93"/>
        <v>0</v>
      </c>
      <c r="G2480" s="177">
        <f t="shared" si="93"/>
        <v>0</v>
      </c>
      <c r="H2480" s="177">
        <f t="shared" si="93"/>
        <v>0</v>
      </c>
      <c r="I2480" s="177">
        <f t="shared" si="93"/>
        <v>0</v>
      </c>
      <c r="J2480" s="352">
        <f t="shared" si="93"/>
        <v>0</v>
      </c>
      <c r="K2480" s="177">
        <f t="shared" si="93"/>
        <v>0</v>
      </c>
      <c r="L2480" s="177">
        <f t="shared" si="93"/>
        <v>0</v>
      </c>
      <c r="M2480" s="177">
        <f t="shared" si="93"/>
        <v>0</v>
      </c>
      <c r="N2480" s="177">
        <f t="shared" si="93"/>
        <v>0</v>
      </c>
      <c r="O2480" s="177">
        <f t="shared" si="93"/>
        <v>0</v>
      </c>
      <c r="P2480" s="177">
        <f t="shared" si="93"/>
        <v>0</v>
      </c>
      <c r="Q2480" s="177">
        <f t="shared" si="93"/>
        <v>0.002004560381</v>
      </c>
      <c r="R2480" s="177">
        <f t="shared" si="93"/>
        <v>0</v>
      </c>
      <c r="S2480" s="177">
        <f t="shared" si="93"/>
        <v>0.003617425903</v>
      </c>
      <c r="T2480" s="177">
        <f t="shared" si="93"/>
        <v>0.006872344039</v>
      </c>
      <c r="U2480" s="177">
        <f t="shared" si="93"/>
        <v>0</v>
      </c>
      <c r="V2480" s="177">
        <f t="shared" si="93"/>
        <v>0</v>
      </c>
      <c r="W2480" s="160">
        <f t="shared" si="93"/>
        <v>2.059998125</v>
      </c>
      <c r="X2480" s="160">
        <f t="shared" si="93"/>
        <v>1.966973685</v>
      </c>
      <c r="Y2480" s="160">
        <f t="shared" si="93"/>
        <v>1.876282426</v>
      </c>
      <c r="Z2480" s="160">
        <f t="shared" si="93"/>
        <v>1.774425487</v>
      </c>
      <c r="AA2480" s="160">
        <f t="shared" si="93"/>
        <v>1.67489284</v>
      </c>
      <c r="AB2480" s="160">
        <f t="shared" si="93"/>
        <v>1.563147033</v>
      </c>
      <c r="AC2480" s="160">
        <f t="shared" si="93"/>
        <v>1.532243058</v>
      </c>
      <c r="AD2480" s="160">
        <f t="shared" si="93"/>
        <v>1.506444804</v>
      </c>
      <c r="AE2480" s="160">
        <f t="shared" si="93"/>
        <v>1.471480667</v>
      </c>
      <c r="AF2480" s="160">
        <f t="shared" si="93"/>
        <v>1.435124297</v>
      </c>
      <c r="AG2480" s="160">
        <f t="shared" si="93"/>
        <v>1.404107946</v>
      </c>
      <c r="AH2480" s="160">
        <f t="shared" si="93"/>
        <v>1.414495638</v>
      </c>
      <c r="AI2480" s="160">
        <f t="shared" si="93"/>
        <v>1.424376777</v>
      </c>
      <c r="AJ2480" s="160">
        <f t="shared" si="93"/>
        <v>1.42691895</v>
      </c>
      <c r="AK2480" s="160">
        <f t="shared" si="93"/>
        <v>1.43691396</v>
      </c>
      <c r="AL2480" s="160">
        <f t="shared" si="93"/>
        <v>1.445603144</v>
      </c>
      <c r="AM2480" s="160">
        <f t="shared" si="93"/>
        <v>1.454871724</v>
      </c>
      <c r="AN2480" s="160">
        <f t="shared" si="93"/>
        <v>2.927903497</v>
      </c>
      <c r="AO2480" s="160">
        <f t="shared" si="93"/>
        <v>2.945664665</v>
      </c>
      <c r="AP2480" s="160">
        <f t="shared" si="93"/>
        <v>2.964327646</v>
      </c>
      <c r="AQ2480" s="160">
        <f t="shared" si="93"/>
        <v>2.981248715</v>
      </c>
      <c r="AR2480" s="160">
        <f t="shared" si="93"/>
        <v>2.997701787</v>
      </c>
      <c r="AS2480" s="160">
        <f t="shared" si="93"/>
        <v>3.01366216</v>
      </c>
      <c r="AT2480" s="160">
        <f t="shared" si="93"/>
        <v>3.029104349</v>
      </c>
      <c r="AU2480" s="160">
        <f t="shared" si="93"/>
        <v>3.0248183</v>
      </c>
      <c r="AV2480" s="160">
        <f t="shared" si="93"/>
        <v>3.038770156</v>
      </c>
      <c r="AW2480" s="160">
        <f t="shared" si="93"/>
        <v>3.052115139</v>
      </c>
      <c r="AX2480" s="160">
        <f t="shared" si="93"/>
        <v>3.06482426</v>
      </c>
      <c r="AY2480" s="160">
        <f t="shared" si="93"/>
        <v>3.077069377</v>
      </c>
      <c r="AZ2480" s="160">
        <f t="shared" si="93"/>
        <v>3.088214433</v>
      </c>
      <c r="BA2480" s="160">
        <f t="shared" si="93"/>
        <v>0</v>
      </c>
    </row>
    <row r="2481" ht="15.75" hidden="1" customHeight="1" outlineLevel="1">
      <c r="A2481" s="353"/>
      <c r="B2481" s="38"/>
      <c r="C2481" s="177">
        <f>IF($C$2478&gt;0,3*'Assumptions (Battery)'!$V$16*(Model!C$2478*'Assumptions (Battery)'!B$2+Model!C$2479*'Assumptions (Battery)'!B$3*10^6)/10^9,0)</f>
        <v>0</v>
      </c>
      <c r="D2481" s="160"/>
      <c r="E2481" s="160"/>
      <c r="F2481" s="160"/>
      <c r="G2481" s="160"/>
      <c r="H2481" s="160"/>
      <c r="I2481" s="160"/>
      <c r="J2481" s="160"/>
      <c r="K2481" s="160"/>
      <c r="L2481" s="160"/>
      <c r="M2481" s="160"/>
      <c r="N2481" s="160"/>
      <c r="O2481" s="160"/>
      <c r="P2481" s="160"/>
      <c r="Q2481" s="160"/>
      <c r="R2481" s="160"/>
      <c r="S2481" s="160"/>
      <c r="T2481" s="160"/>
      <c r="U2481" s="160"/>
      <c r="V2481" s="174"/>
      <c r="W2481" s="212"/>
      <c r="X2481" s="212"/>
      <c r="Y2481" s="212"/>
      <c r="Z2481" s="212"/>
      <c r="AA2481" s="212"/>
      <c r="AB2481" s="212"/>
      <c r="AC2481" s="212"/>
      <c r="AD2481" s="212"/>
      <c r="AE2481" s="212"/>
      <c r="AF2481" s="212"/>
      <c r="AG2481" s="212"/>
      <c r="AH2481" s="212"/>
      <c r="AI2481" s="212"/>
      <c r="AJ2481" s="212"/>
      <c r="AK2481" s="212"/>
      <c r="AL2481" s="212"/>
      <c r="AM2481" s="212"/>
      <c r="AN2481" s="212"/>
      <c r="AO2481" s="212"/>
      <c r="AP2481" s="212"/>
      <c r="AQ2481" s="212"/>
      <c r="AR2481" s="212"/>
      <c r="AS2481" s="212"/>
      <c r="AT2481" s="212"/>
      <c r="AU2481" s="212"/>
      <c r="AV2481" s="212"/>
      <c r="AW2481" s="212"/>
      <c r="AX2481" s="212"/>
      <c r="AY2481" s="212"/>
      <c r="AZ2481" s="212"/>
      <c r="BA2481" s="212"/>
    </row>
    <row r="2482" ht="15.75" hidden="1" customHeight="1" outlineLevel="1">
      <c r="A2482" s="353"/>
      <c r="B2482" s="38"/>
      <c r="C2482" s="354">
        <f>IF(D$2478&gt;0,'Assumptions (Battery)'!$V$16*(Model!D$2478*'Assumptions (Battery)'!B$2+Model!D$2479*'Assumptions (Battery)'!B$3*10^6)/10^9,0)</f>
        <v>0</v>
      </c>
      <c r="D2482" s="180"/>
      <c r="E2482" s="180"/>
      <c r="F2482" s="180"/>
      <c r="G2482" s="180"/>
      <c r="H2482" s="180"/>
      <c r="I2482" s="180"/>
      <c r="J2482" s="180"/>
      <c r="K2482" s="180"/>
      <c r="L2482" s="180"/>
      <c r="M2482" s="180"/>
      <c r="N2482" s="180"/>
      <c r="O2482" s="180"/>
      <c r="P2482" s="180"/>
      <c r="Q2482" s="180"/>
      <c r="R2482" s="180"/>
      <c r="S2482" s="180"/>
      <c r="T2482" s="180"/>
      <c r="U2482" s="180"/>
      <c r="V2482" s="355"/>
      <c r="W2482" s="212"/>
      <c r="X2482" s="212"/>
      <c r="Y2482" s="212"/>
      <c r="Z2482" s="212"/>
      <c r="AA2482" s="212"/>
      <c r="AB2482" s="212"/>
      <c r="AC2482" s="212"/>
      <c r="AD2482" s="212"/>
      <c r="AE2482" s="212"/>
      <c r="AF2482" s="212"/>
      <c r="AG2482" s="212"/>
      <c r="AH2482" s="212"/>
      <c r="AI2482" s="212"/>
      <c r="AJ2482" s="212"/>
      <c r="AK2482" s="212"/>
      <c r="AL2482" s="212"/>
      <c r="AM2482" s="212"/>
      <c r="AN2482" s="212"/>
      <c r="AO2482" s="212"/>
      <c r="AP2482" s="212"/>
      <c r="AQ2482" s="212"/>
      <c r="AR2482" s="212"/>
      <c r="AS2482" s="212"/>
      <c r="AT2482" s="212"/>
      <c r="AU2482" s="212"/>
      <c r="AV2482" s="212"/>
      <c r="AW2482" s="212"/>
      <c r="AX2482" s="212"/>
      <c r="AY2482" s="212"/>
      <c r="AZ2482" s="212"/>
      <c r="BA2482" s="212"/>
    </row>
    <row r="2483" ht="15.75" hidden="1" customHeight="1" outlineLevel="1">
      <c r="A2483" s="353"/>
      <c r="B2483" s="38"/>
      <c r="C2483" s="180"/>
      <c r="D2483" s="354">
        <f>IF(E$2478&gt;0,'Assumptions (Battery)'!$V$16*(Model!E$2478*'Assumptions (Battery)'!C$2+Model!E$2479*'Assumptions (Battery)'!C$3*10^6)/10^9,0)</f>
        <v>0</v>
      </c>
      <c r="E2483" s="180"/>
      <c r="F2483" s="180"/>
      <c r="G2483" s="180"/>
      <c r="H2483" s="180"/>
      <c r="I2483" s="180"/>
      <c r="J2483" s="180"/>
      <c r="K2483" s="180"/>
      <c r="L2483" s="180"/>
      <c r="M2483" s="180"/>
      <c r="N2483" s="180"/>
      <c r="O2483" s="180"/>
      <c r="P2483" s="180"/>
      <c r="Q2483" s="180"/>
      <c r="R2483" s="180"/>
      <c r="S2483" s="180"/>
      <c r="T2483" s="180"/>
      <c r="U2483" s="180"/>
      <c r="V2483" s="355"/>
      <c r="W2483" s="212"/>
      <c r="X2483" s="212"/>
      <c r="Y2483" s="212"/>
      <c r="Z2483" s="212"/>
      <c r="AA2483" s="212"/>
      <c r="AB2483" s="212"/>
      <c r="AC2483" s="212"/>
      <c r="AD2483" s="212"/>
      <c r="AE2483" s="212"/>
      <c r="AF2483" s="212"/>
      <c r="AG2483" s="212"/>
      <c r="AH2483" s="212"/>
      <c r="AI2483" s="212"/>
      <c r="AJ2483" s="212"/>
      <c r="AK2483" s="212"/>
      <c r="AL2483" s="212"/>
      <c r="AM2483" s="212"/>
      <c r="AN2483" s="212"/>
      <c r="AO2483" s="212"/>
      <c r="AP2483" s="212"/>
      <c r="AQ2483" s="212"/>
      <c r="AR2483" s="212"/>
      <c r="AS2483" s="212"/>
      <c r="AT2483" s="212"/>
      <c r="AU2483" s="212"/>
      <c r="AV2483" s="212"/>
      <c r="AW2483" s="212"/>
      <c r="AX2483" s="212"/>
      <c r="AY2483" s="212"/>
      <c r="AZ2483" s="212"/>
      <c r="BA2483" s="212"/>
    </row>
    <row r="2484" ht="15.75" hidden="1" customHeight="1" outlineLevel="1">
      <c r="A2484" s="353"/>
      <c r="B2484" s="38"/>
      <c r="C2484" s="180"/>
      <c r="D2484" s="180"/>
      <c r="E2484" s="354">
        <f>IF(F$2478&gt;0,'Assumptions (Battery)'!$V$16*(Model!F$2478*'Assumptions (Battery)'!D$2+Model!F$2479*'Assumptions (Battery)'!D$3*10^6)/10^9,0)</f>
        <v>0</v>
      </c>
      <c r="F2484" s="180"/>
      <c r="G2484" s="180"/>
      <c r="H2484" s="180"/>
      <c r="I2484" s="180"/>
      <c r="J2484" s="180"/>
      <c r="K2484" s="180"/>
      <c r="L2484" s="180"/>
      <c r="M2484" s="180"/>
      <c r="N2484" s="180"/>
      <c r="O2484" s="180"/>
      <c r="P2484" s="180"/>
      <c r="Q2484" s="180"/>
      <c r="R2484" s="180"/>
      <c r="S2484" s="180"/>
      <c r="T2484" s="180"/>
      <c r="U2484" s="180"/>
      <c r="V2484" s="355"/>
      <c r="W2484" s="212"/>
      <c r="X2484" s="212"/>
      <c r="Y2484" s="212"/>
      <c r="Z2484" s="212"/>
      <c r="AA2484" s="212"/>
      <c r="AB2484" s="212"/>
      <c r="AC2484" s="212"/>
      <c r="AD2484" s="212"/>
      <c r="AE2484" s="212"/>
      <c r="AF2484" s="212"/>
      <c r="AG2484" s="212"/>
      <c r="AH2484" s="212"/>
      <c r="AI2484" s="212"/>
      <c r="AJ2484" s="212"/>
      <c r="AK2484" s="212"/>
      <c r="AL2484" s="212"/>
      <c r="AM2484" s="212"/>
      <c r="AN2484" s="212"/>
      <c r="AO2484" s="212"/>
      <c r="AP2484" s="212"/>
      <c r="AQ2484" s="212"/>
      <c r="AR2484" s="212"/>
      <c r="AS2484" s="212"/>
      <c r="AT2484" s="212"/>
      <c r="AU2484" s="212"/>
      <c r="AV2484" s="212"/>
      <c r="AW2484" s="212"/>
      <c r="AX2484" s="212"/>
      <c r="AY2484" s="212"/>
      <c r="AZ2484" s="212"/>
      <c r="BA2484" s="212"/>
    </row>
    <row r="2485" ht="15.75" hidden="1" customHeight="1" outlineLevel="1">
      <c r="A2485" s="353"/>
      <c r="B2485" s="38"/>
      <c r="C2485" s="180"/>
      <c r="D2485" s="180"/>
      <c r="E2485" s="180"/>
      <c r="F2485" s="354">
        <f>IF(G$2478&gt;0,'Assumptions (Battery)'!$V$16*(Model!G$2478*'Assumptions (Battery)'!E$2+Model!G$2479*'Assumptions (Battery)'!E$3*10^6)/10^9,0)</f>
        <v>0</v>
      </c>
      <c r="G2485" s="180"/>
      <c r="H2485" s="180"/>
      <c r="I2485" s="180"/>
      <c r="J2485" s="180"/>
      <c r="K2485" s="180"/>
      <c r="L2485" s="180"/>
      <c r="M2485" s="180"/>
      <c r="N2485" s="180"/>
      <c r="O2485" s="180"/>
      <c r="P2485" s="180"/>
      <c r="Q2485" s="180"/>
      <c r="R2485" s="180"/>
      <c r="S2485" s="180"/>
      <c r="T2485" s="180"/>
      <c r="U2485" s="180"/>
      <c r="V2485" s="355"/>
      <c r="W2485" s="212"/>
      <c r="X2485" s="212"/>
      <c r="Y2485" s="212"/>
      <c r="Z2485" s="212"/>
      <c r="AA2485" s="212"/>
      <c r="AB2485" s="212"/>
      <c r="AC2485" s="212"/>
      <c r="AD2485" s="212"/>
      <c r="AE2485" s="212"/>
      <c r="AF2485" s="212"/>
      <c r="AG2485" s="212"/>
      <c r="AH2485" s="212"/>
      <c r="AI2485" s="212"/>
      <c r="AJ2485" s="212"/>
      <c r="AK2485" s="212"/>
      <c r="AL2485" s="212"/>
      <c r="AM2485" s="212"/>
      <c r="AN2485" s="212"/>
      <c r="AO2485" s="212"/>
      <c r="AP2485" s="212"/>
      <c r="AQ2485" s="212"/>
      <c r="AR2485" s="212"/>
      <c r="AS2485" s="212"/>
      <c r="AT2485" s="212"/>
      <c r="AU2485" s="212"/>
      <c r="AV2485" s="212"/>
      <c r="AW2485" s="212"/>
      <c r="AX2485" s="212"/>
      <c r="AY2485" s="212"/>
      <c r="AZ2485" s="212"/>
      <c r="BA2485" s="212"/>
    </row>
    <row r="2486" ht="15.75" hidden="1" customHeight="1" outlineLevel="1">
      <c r="A2486" s="353"/>
      <c r="B2486" s="38"/>
      <c r="C2486" s="180"/>
      <c r="D2486" s="180"/>
      <c r="E2486" s="180"/>
      <c r="F2486" s="180"/>
      <c r="G2486" s="354">
        <f>IF(H$2478&gt;0,'Assumptions (Battery)'!$V$16*(Model!H$2478*'Assumptions (Battery)'!F$2+Model!H$2479*'Assumptions (Battery)'!F$3*10^6)/10^9,0)</f>
        <v>0</v>
      </c>
      <c r="H2486" s="180"/>
      <c r="I2486" s="180"/>
      <c r="J2486" s="180"/>
      <c r="K2486" s="180"/>
      <c r="L2486" s="180"/>
      <c r="M2486" s="180"/>
      <c r="N2486" s="180"/>
      <c r="O2486" s="180"/>
      <c r="P2486" s="180"/>
      <c r="Q2486" s="180"/>
      <c r="R2486" s="180"/>
      <c r="S2486" s="180"/>
      <c r="T2486" s="180"/>
      <c r="U2486" s="180"/>
      <c r="V2486" s="355"/>
      <c r="W2486" s="212"/>
      <c r="X2486" s="212"/>
      <c r="Y2486" s="212"/>
      <c r="Z2486" s="212"/>
      <c r="AA2486" s="212"/>
      <c r="AB2486" s="212"/>
      <c r="AC2486" s="212"/>
      <c r="AD2486" s="212"/>
      <c r="AE2486" s="212"/>
      <c r="AF2486" s="212"/>
      <c r="AG2486" s="212"/>
      <c r="AH2486" s="212"/>
      <c r="AI2486" s="212"/>
      <c r="AJ2486" s="212"/>
      <c r="AK2486" s="212"/>
      <c r="AL2486" s="212"/>
      <c r="AM2486" s="212"/>
      <c r="AN2486" s="212"/>
      <c r="AO2486" s="212"/>
      <c r="AP2486" s="212"/>
      <c r="AQ2486" s="212"/>
      <c r="AR2486" s="212"/>
      <c r="AS2486" s="212"/>
      <c r="AT2486" s="212"/>
      <c r="AU2486" s="212"/>
      <c r="AV2486" s="212"/>
      <c r="AW2486" s="212"/>
      <c r="AX2486" s="212"/>
      <c r="AY2486" s="212"/>
      <c r="AZ2486" s="212"/>
      <c r="BA2486" s="212"/>
    </row>
    <row r="2487" ht="15.75" hidden="1" customHeight="1" outlineLevel="1">
      <c r="A2487" s="353"/>
      <c r="B2487" s="38"/>
      <c r="C2487" s="180"/>
      <c r="D2487" s="180"/>
      <c r="E2487" s="180"/>
      <c r="F2487" s="180"/>
      <c r="G2487" s="180"/>
      <c r="H2487" s="354">
        <f>IF(I$2478&gt;0,'Assumptions (Battery)'!$V$16*(Model!I$2478*'Assumptions (Battery)'!G$2+Model!I$2479*'Assumptions (Battery)'!G$3*10^6)/10^9,0)</f>
        <v>0</v>
      </c>
      <c r="I2487" s="180"/>
      <c r="J2487" s="180"/>
      <c r="K2487" s="180"/>
      <c r="L2487" s="180"/>
      <c r="M2487" s="180"/>
      <c r="N2487" s="180"/>
      <c r="O2487" s="180"/>
      <c r="P2487" s="180"/>
      <c r="Q2487" s="180"/>
      <c r="R2487" s="180"/>
      <c r="S2487" s="180"/>
      <c r="T2487" s="180"/>
      <c r="U2487" s="180"/>
      <c r="V2487" s="355"/>
      <c r="W2487" s="212"/>
      <c r="X2487" s="212"/>
      <c r="Y2487" s="212"/>
      <c r="Z2487" s="212"/>
      <c r="AA2487" s="212"/>
      <c r="AB2487" s="212"/>
      <c r="AC2487" s="212"/>
      <c r="AD2487" s="212"/>
      <c r="AE2487" s="212"/>
      <c r="AF2487" s="212"/>
      <c r="AG2487" s="212"/>
      <c r="AH2487" s="212"/>
      <c r="AI2487" s="212"/>
      <c r="AJ2487" s="212"/>
      <c r="AK2487" s="212"/>
      <c r="AL2487" s="212"/>
      <c r="AM2487" s="212"/>
      <c r="AN2487" s="212"/>
      <c r="AO2487" s="212"/>
      <c r="AP2487" s="212"/>
      <c r="AQ2487" s="212"/>
      <c r="AR2487" s="212"/>
      <c r="AS2487" s="212"/>
      <c r="AT2487" s="212"/>
      <c r="AU2487" s="212"/>
      <c r="AV2487" s="212"/>
      <c r="AW2487" s="212"/>
      <c r="AX2487" s="212"/>
      <c r="AY2487" s="212"/>
      <c r="AZ2487" s="212"/>
      <c r="BA2487" s="212"/>
    </row>
    <row r="2488" ht="15.75" hidden="1" customHeight="1" outlineLevel="1">
      <c r="A2488" s="353"/>
      <c r="B2488" s="38"/>
      <c r="C2488" s="180"/>
      <c r="D2488" s="180"/>
      <c r="E2488" s="180"/>
      <c r="F2488" s="180"/>
      <c r="G2488" s="180"/>
      <c r="H2488" s="180"/>
      <c r="I2488" s="354">
        <f>IF(J$2478&gt;0,'Assumptions (Battery)'!$V$16*(Model!J$2478*'Assumptions (Battery)'!H$2+Model!J$2479*'Assumptions (Battery)'!H$3*10^6)/10^9,0)</f>
        <v>0</v>
      </c>
      <c r="J2488" s="180"/>
      <c r="K2488" s="180"/>
      <c r="L2488" s="180"/>
      <c r="M2488" s="180"/>
      <c r="N2488" s="180"/>
      <c r="O2488" s="180"/>
      <c r="P2488" s="180"/>
      <c r="Q2488" s="180"/>
      <c r="R2488" s="180"/>
      <c r="S2488" s="180"/>
      <c r="T2488" s="180"/>
      <c r="U2488" s="180"/>
      <c r="V2488" s="355"/>
      <c r="W2488" s="212"/>
      <c r="X2488" s="212"/>
      <c r="Y2488" s="212"/>
      <c r="Z2488" s="212"/>
      <c r="AA2488" s="212"/>
      <c r="AB2488" s="212"/>
      <c r="AC2488" s="212"/>
      <c r="AD2488" s="212"/>
      <c r="AE2488" s="212"/>
      <c r="AF2488" s="212"/>
      <c r="AG2488" s="212"/>
      <c r="AH2488" s="212"/>
      <c r="AI2488" s="212"/>
      <c r="AJ2488" s="212"/>
      <c r="AK2488" s="212"/>
      <c r="AL2488" s="212"/>
      <c r="AM2488" s="212"/>
      <c r="AN2488" s="212"/>
      <c r="AO2488" s="212"/>
      <c r="AP2488" s="212"/>
      <c r="AQ2488" s="212"/>
      <c r="AR2488" s="212"/>
      <c r="AS2488" s="212"/>
      <c r="AT2488" s="212"/>
      <c r="AU2488" s="212"/>
      <c r="AV2488" s="212"/>
      <c r="AW2488" s="212"/>
      <c r="AX2488" s="212"/>
      <c r="AY2488" s="212"/>
      <c r="AZ2488" s="212"/>
      <c r="BA2488" s="212"/>
    </row>
    <row r="2489" ht="15.75" hidden="1" customHeight="1" outlineLevel="1">
      <c r="A2489" s="353"/>
      <c r="B2489" s="38"/>
      <c r="C2489" s="180"/>
      <c r="D2489" s="180"/>
      <c r="E2489" s="180"/>
      <c r="F2489" s="180"/>
      <c r="G2489" s="180"/>
      <c r="H2489" s="180"/>
      <c r="I2489" s="180"/>
      <c r="J2489" s="354">
        <f>IF(K$2478&gt;0,'Assumptions (Battery)'!$V$16*(Model!K$2478*'Assumptions (Battery)'!I$2+Model!K$2479*'Assumptions (Battery)'!I$3*10^6)/10^9,0)</f>
        <v>0</v>
      </c>
      <c r="K2489" s="180"/>
      <c r="L2489" s="180"/>
      <c r="M2489" s="180"/>
      <c r="N2489" s="180"/>
      <c r="O2489" s="180"/>
      <c r="P2489" s="180"/>
      <c r="Q2489" s="180"/>
      <c r="R2489" s="180"/>
      <c r="S2489" s="180"/>
      <c r="T2489" s="180"/>
      <c r="U2489" s="180"/>
      <c r="V2489" s="355"/>
      <c r="W2489" s="212"/>
      <c r="X2489" s="212"/>
      <c r="Y2489" s="212"/>
      <c r="Z2489" s="212"/>
      <c r="AA2489" s="212"/>
      <c r="AB2489" s="212"/>
      <c r="AC2489" s="212"/>
      <c r="AD2489" s="212"/>
      <c r="AE2489" s="212"/>
      <c r="AF2489" s="212"/>
      <c r="AG2489" s="212"/>
      <c r="AH2489" s="212"/>
      <c r="AI2489" s="212"/>
      <c r="AJ2489" s="212"/>
      <c r="AK2489" s="212"/>
      <c r="AL2489" s="212"/>
      <c r="AM2489" s="212"/>
      <c r="AN2489" s="212"/>
      <c r="AO2489" s="212"/>
      <c r="AP2489" s="212"/>
      <c r="AQ2489" s="212"/>
      <c r="AR2489" s="212"/>
      <c r="AS2489" s="212"/>
      <c r="AT2489" s="212"/>
      <c r="AU2489" s="212"/>
      <c r="AV2489" s="212"/>
      <c r="AW2489" s="212"/>
      <c r="AX2489" s="212"/>
      <c r="AY2489" s="212"/>
      <c r="AZ2489" s="212"/>
      <c r="BA2489" s="212"/>
    </row>
    <row r="2490" ht="15.75" hidden="1" customHeight="1" outlineLevel="1">
      <c r="A2490" s="353"/>
      <c r="B2490" s="38"/>
      <c r="C2490" s="180"/>
      <c r="D2490" s="180"/>
      <c r="E2490" s="180"/>
      <c r="F2490" s="180"/>
      <c r="G2490" s="180"/>
      <c r="H2490" s="180"/>
      <c r="I2490" s="180"/>
      <c r="J2490" s="180"/>
      <c r="K2490" s="354">
        <f>IF(L$2478&gt;0,'Assumptions (Battery)'!$V$16*(Model!L$2478*'Assumptions (Battery)'!J$2+Model!L$2479*'Assumptions (Battery)'!J$3*10^6)/10^9,0)</f>
        <v>0</v>
      </c>
      <c r="L2490" s="180"/>
      <c r="M2490" s="180"/>
      <c r="N2490" s="180"/>
      <c r="O2490" s="180"/>
      <c r="P2490" s="180"/>
      <c r="Q2490" s="180"/>
      <c r="R2490" s="180"/>
      <c r="S2490" s="180"/>
      <c r="T2490" s="180"/>
      <c r="U2490" s="180"/>
      <c r="V2490" s="355"/>
      <c r="W2490" s="212"/>
      <c r="X2490" s="212"/>
      <c r="Y2490" s="212"/>
      <c r="Z2490" s="212"/>
      <c r="AA2490" s="212"/>
      <c r="AB2490" s="212"/>
      <c r="AC2490" s="212"/>
      <c r="AD2490" s="212"/>
      <c r="AE2490" s="212"/>
      <c r="AF2490" s="212"/>
      <c r="AG2490" s="212"/>
      <c r="AH2490" s="212"/>
      <c r="AI2490" s="212"/>
      <c r="AJ2490" s="212"/>
      <c r="AK2490" s="212"/>
      <c r="AL2490" s="212"/>
      <c r="AM2490" s="212"/>
      <c r="AN2490" s="212"/>
      <c r="AO2490" s="212"/>
      <c r="AP2490" s="212"/>
      <c r="AQ2490" s="212"/>
      <c r="AR2490" s="212"/>
      <c r="AS2490" s="212"/>
      <c r="AT2490" s="212"/>
      <c r="AU2490" s="212"/>
      <c r="AV2490" s="212"/>
      <c r="AW2490" s="212"/>
      <c r="AX2490" s="212"/>
      <c r="AY2490" s="212"/>
      <c r="AZ2490" s="212"/>
      <c r="BA2490" s="212"/>
    </row>
    <row r="2491" ht="15.75" hidden="1" customHeight="1" outlineLevel="1">
      <c r="A2491" s="353"/>
      <c r="B2491" s="38"/>
      <c r="C2491" s="180"/>
      <c r="D2491" s="180"/>
      <c r="E2491" s="180"/>
      <c r="F2491" s="180"/>
      <c r="G2491" s="180"/>
      <c r="H2491" s="180"/>
      <c r="I2491" s="180"/>
      <c r="J2491" s="180"/>
      <c r="K2491" s="180"/>
      <c r="L2491" s="354">
        <f>IF(M$2478&gt;0,'Assumptions (Battery)'!$V$16*(Model!M$2478*'Assumptions (Battery)'!K$2+Model!M$2479*'Assumptions (Battery)'!K$3*10^6)/10^9,0)</f>
        <v>0</v>
      </c>
      <c r="M2491" s="180"/>
      <c r="N2491" s="180"/>
      <c r="O2491" s="180"/>
      <c r="P2491" s="180"/>
      <c r="Q2491" s="180"/>
      <c r="R2491" s="180"/>
      <c r="S2491" s="180"/>
      <c r="T2491" s="180"/>
      <c r="U2491" s="180"/>
      <c r="V2491" s="355"/>
      <c r="W2491" s="212"/>
      <c r="X2491" s="212"/>
      <c r="Y2491" s="212"/>
      <c r="Z2491" s="212"/>
      <c r="AA2491" s="212"/>
      <c r="AB2491" s="212"/>
      <c r="AC2491" s="212"/>
      <c r="AD2491" s="212"/>
      <c r="AE2491" s="212"/>
      <c r="AF2491" s="212"/>
      <c r="AG2491" s="212"/>
      <c r="AH2491" s="212"/>
      <c r="AI2491" s="212"/>
      <c r="AJ2491" s="212"/>
      <c r="AK2491" s="212"/>
      <c r="AL2491" s="212"/>
      <c r="AM2491" s="212"/>
      <c r="AN2491" s="212"/>
      <c r="AO2491" s="212"/>
      <c r="AP2491" s="212"/>
      <c r="AQ2491" s="212"/>
      <c r="AR2491" s="212"/>
      <c r="AS2491" s="212"/>
      <c r="AT2491" s="212"/>
      <c r="AU2491" s="212"/>
      <c r="AV2491" s="212"/>
      <c r="AW2491" s="212"/>
      <c r="AX2491" s="212"/>
      <c r="AY2491" s="212"/>
      <c r="AZ2491" s="212"/>
      <c r="BA2491" s="212"/>
    </row>
    <row r="2492" ht="15.75" hidden="1" customHeight="1" outlineLevel="1">
      <c r="A2492" s="353"/>
      <c r="B2492" s="38"/>
      <c r="C2492" s="180"/>
      <c r="D2492" s="180"/>
      <c r="E2492" s="180"/>
      <c r="F2492" s="180"/>
      <c r="G2492" s="180"/>
      <c r="H2492" s="180"/>
      <c r="I2492" s="180"/>
      <c r="J2492" s="180"/>
      <c r="K2492" s="180"/>
      <c r="L2492" s="180"/>
      <c r="M2492" s="354">
        <f>IF(N$2478&gt;0,'Assumptions (Battery)'!$V$16*(Model!N$2478*'Assumptions (Battery)'!L$2+Model!N$2479*'Assumptions (Battery)'!L$3*10^6)/10^9,0)</f>
        <v>0</v>
      </c>
      <c r="N2492" s="180"/>
      <c r="O2492" s="180"/>
      <c r="P2492" s="180"/>
      <c r="Q2492" s="180"/>
      <c r="R2492" s="180"/>
      <c r="S2492" s="180"/>
      <c r="T2492" s="180"/>
      <c r="U2492" s="180"/>
      <c r="V2492" s="355"/>
      <c r="W2492" s="212"/>
      <c r="X2492" s="212"/>
      <c r="Y2492" s="212"/>
      <c r="Z2492" s="212"/>
      <c r="AA2492" s="212"/>
      <c r="AB2492" s="212"/>
      <c r="AC2492" s="212"/>
      <c r="AD2492" s="212"/>
      <c r="AE2492" s="212"/>
      <c r="AF2492" s="212"/>
      <c r="AG2492" s="212"/>
      <c r="AH2492" s="212"/>
      <c r="AI2492" s="212"/>
      <c r="AJ2492" s="212"/>
      <c r="AK2492" s="212"/>
      <c r="AL2492" s="212"/>
      <c r="AM2492" s="212"/>
      <c r="AN2492" s="212"/>
      <c r="AO2492" s="212"/>
      <c r="AP2492" s="212"/>
      <c r="AQ2492" s="212"/>
      <c r="AR2492" s="212"/>
      <c r="AS2492" s="212"/>
      <c r="AT2492" s="212"/>
      <c r="AU2492" s="212"/>
      <c r="AV2492" s="212"/>
      <c r="AW2492" s="212"/>
      <c r="AX2492" s="212"/>
      <c r="AY2492" s="212"/>
      <c r="AZ2492" s="212"/>
      <c r="BA2492" s="212"/>
    </row>
    <row r="2493" ht="15.75" hidden="1" customHeight="1" outlineLevel="1">
      <c r="A2493" s="353"/>
      <c r="B2493" s="38"/>
      <c r="C2493" s="180"/>
      <c r="D2493" s="180"/>
      <c r="E2493" s="180"/>
      <c r="F2493" s="180"/>
      <c r="G2493" s="180"/>
      <c r="H2493" s="180"/>
      <c r="I2493" s="180"/>
      <c r="J2493" s="180"/>
      <c r="K2493" s="180"/>
      <c r="L2493" s="180"/>
      <c r="M2493" s="180"/>
      <c r="N2493" s="354">
        <f>IF(O$2478&gt;0,'Assumptions (Battery)'!$V$16*(Model!O$2478*'Assumptions (Battery)'!M$2+Model!O$2479*'Assumptions (Battery)'!M$3*10^6)/10^9,0)</f>
        <v>0</v>
      </c>
      <c r="O2493" s="180"/>
      <c r="P2493" s="180"/>
      <c r="Q2493" s="180"/>
      <c r="R2493" s="180"/>
      <c r="S2493" s="180"/>
      <c r="T2493" s="180"/>
      <c r="U2493" s="180"/>
      <c r="V2493" s="355"/>
      <c r="W2493" s="212"/>
      <c r="X2493" s="212"/>
      <c r="Y2493" s="212"/>
      <c r="Z2493" s="212"/>
      <c r="AA2493" s="212"/>
      <c r="AB2493" s="212"/>
      <c r="AC2493" s="212"/>
      <c r="AD2493" s="212"/>
      <c r="AE2493" s="212"/>
      <c r="AF2493" s="212"/>
      <c r="AG2493" s="212"/>
      <c r="AH2493" s="212"/>
      <c r="AI2493" s="212"/>
      <c r="AJ2493" s="212"/>
      <c r="AK2493" s="212"/>
      <c r="AL2493" s="212"/>
      <c r="AM2493" s="212"/>
      <c r="AN2493" s="212"/>
      <c r="AO2493" s="212"/>
      <c r="AP2493" s="212"/>
      <c r="AQ2493" s="212"/>
      <c r="AR2493" s="212"/>
      <c r="AS2493" s="212"/>
      <c r="AT2493" s="212"/>
      <c r="AU2493" s="212"/>
      <c r="AV2493" s="212"/>
      <c r="AW2493" s="212"/>
      <c r="AX2493" s="212"/>
      <c r="AY2493" s="212"/>
      <c r="AZ2493" s="212"/>
      <c r="BA2493" s="212"/>
    </row>
    <row r="2494" ht="15.75" hidden="1" customHeight="1" outlineLevel="1">
      <c r="A2494" s="353"/>
      <c r="B2494" s="38"/>
      <c r="C2494" s="180"/>
      <c r="D2494" s="180"/>
      <c r="E2494" s="180"/>
      <c r="F2494" s="180"/>
      <c r="G2494" s="180"/>
      <c r="H2494" s="180"/>
      <c r="I2494" s="180"/>
      <c r="J2494" s="180"/>
      <c r="K2494" s="180"/>
      <c r="L2494" s="180"/>
      <c r="M2494" s="180"/>
      <c r="N2494" s="180"/>
      <c r="O2494" s="354">
        <f>IF(P$2478&gt;0,'Assumptions (Battery)'!$V$16*(Model!P$2478*'Assumptions (Battery)'!N$2+Model!P$2479*'Assumptions (Battery)'!N$3*10^6)/10^9,0)</f>
        <v>0</v>
      </c>
      <c r="P2494" s="180"/>
      <c r="Q2494" s="180"/>
      <c r="R2494" s="180"/>
      <c r="S2494" s="180"/>
      <c r="T2494" s="180"/>
      <c r="U2494" s="180"/>
      <c r="V2494" s="355"/>
      <c r="W2494" s="212"/>
      <c r="X2494" s="212"/>
      <c r="Y2494" s="212"/>
      <c r="Z2494" s="212"/>
      <c r="AA2494" s="212"/>
      <c r="AB2494" s="212"/>
      <c r="AC2494" s="212"/>
      <c r="AD2494" s="212"/>
      <c r="AE2494" s="212"/>
      <c r="AF2494" s="212"/>
      <c r="AG2494" s="212"/>
      <c r="AH2494" s="212"/>
      <c r="AI2494" s="212"/>
      <c r="AJ2494" s="212"/>
      <c r="AK2494" s="212"/>
      <c r="AL2494" s="212"/>
      <c r="AM2494" s="212"/>
      <c r="AN2494" s="212"/>
      <c r="AO2494" s="212"/>
      <c r="AP2494" s="212"/>
      <c r="AQ2494" s="212"/>
      <c r="AR2494" s="212"/>
      <c r="AS2494" s="212"/>
      <c r="AT2494" s="212"/>
      <c r="AU2494" s="212"/>
      <c r="AV2494" s="212"/>
      <c r="AW2494" s="212"/>
      <c r="AX2494" s="212"/>
      <c r="AY2494" s="212"/>
      <c r="AZ2494" s="212"/>
      <c r="BA2494" s="212"/>
    </row>
    <row r="2495" ht="15.75" hidden="1" customHeight="1" outlineLevel="1">
      <c r="A2495" s="353"/>
      <c r="B2495" s="38"/>
      <c r="C2495" s="180"/>
      <c r="D2495" s="180"/>
      <c r="E2495" s="180"/>
      <c r="F2495" s="180"/>
      <c r="G2495" s="180"/>
      <c r="H2495" s="180"/>
      <c r="I2495" s="180"/>
      <c r="J2495" s="180"/>
      <c r="K2495" s="180"/>
      <c r="L2495" s="180"/>
      <c r="M2495" s="180"/>
      <c r="N2495" s="180"/>
      <c r="O2495" s="180"/>
      <c r="P2495" s="354">
        <f>IF(Q$2478&gt;0,'Assumptions (Battery)'!$V$16*(Model!Q$2478*'Assumptions (Battery)'!O$2+Model!Q$2479*'Assumptions (Battery)'!O$3*10^6)/10^9,0)</f>
        <v>0</v>
      </c>
      <c r="Q2495" s="180"/>
      <c r="R2495" s="180"/>
      <c r="S2495" s="180"/>
      <c r="T2495" s="180"/>
      <c r="U2495" s="180"/>
      <c r="V2495" s="355"/>
      <c r="W2495" s="212"/>
      <c r="X2495" s="212"/>
      <c r="Y2495" s="212"/>
      <c r="Z2495" s="212"/>
      <c r="AA2495" s="212"/>
      <c r="AB2495" s="212"/>
      <c r="AC2495" s="212"/>
      <c r="AD2495" s="212"/>
      <c r="AE2495" s="212"/>
      <c r="AF2495" s="212"/>
      <c r="AG2495" s="212"/>
      <c r="AH2495" s="212"/>
      <c r="AI2495" s="212"/>
      <c r="AJ2495" s="212"/>
      <c r="AK2495" s="212"/>
      <c r="AL2495" s="212"/>
      <c r="AM2495" s="212"/>
      <c r="AN2495" s="212"/>
      <c r="AO2495" s="212"/>
      <c r="AP2495" s="212"/>
      <c r="AQ2495" s="212"/>
      <c r="AR2495" s="212"/>
      <c r="AS2495" s="212"/>
      <c r="AT2495" s="212"/>
      <c r="AU2495" s="212"/>
      <c r="AV2495" s="212"/>
      <c r="AW2495" s="212"/>
      <c r="AX2495" s="212"/>
      <c r="AY2495" s="212"/>
      <c r="AZ2495" s="212"/>
      <c r="BA2495" s="212"/>
    </row>
    <row r="2496" ht="15.75" hidden="1" customHeight="1" outlineLevel="1">
      <c r="A2496" s="353"/>
      <c r="B2496" s="38"/>
      <c r="C2496" s="180"/>
      <c r="D2496" s="180"/>
      <c r="E2496" s="180"/>
      <c r="F2496" s="180"/>
      <c r="G2496" s="180"/>
      <c r="H2496" s="180"/>
      <c r="I2496" s="180"/>
      <c r="J2496" s="180"/>
      <c r="K2496" s="180"/>
      <c r="L2496" s="180"/>
      <c r="M2496" s="180"/>
      <c r="N2496" s="180"/>
      <c r="O2496" s="180"/>
      <c r="P2496" s="180"/>
      <c r="Q2496" s="354">
        <f>IF(R$2478&gt;0,'Assumptions (Battery)'!$V$16*(Model!R$2478*'Assumptions (Battery)'!P$2+Model!R$2479*'Assumptions (Battery)'!P$3*10^6)/10^9,0)</f>
        <v>0.002004560381</v>
      </c>
      <c r="R2496" s="180"/>
      <c r="S2496" s="180"/>
      <c r="T2496" s="180"/>
      <c r="U2496" s="180"/>
      <c r="V2496" s="355"/>
      <c r="W2496" s="212"/>
      <c r="X2496" s="212"/>
      <c r="Y2496" s="212"/>
      <c r="Z2496" s="212"/>
      <c r="AA2496" s="212"/>
      <c r="AB2496" s="212"/>
      <c r="AC2496" s="212"/>
      <c r="AD2496" s="212"/>
      <c r="AE2496" s="212"/>
      <c r="AF2496" s="212"/>
      <c r="AG2496" s="212"/>
      <c r="AH2496" s="212"/>
      <c r="AI2496" s="212"/>
      <c r="AJ2496" s="212"/>
      <c r="AK2496" s="212"/>
      <c r="AL2496" s="212"/>
      <c r="AM2496" s="212"/>
      <c r="AN2496" s="212"/>
      <c r="AO2496" s="212"/>
      <c r="AP2496" s="212"/>
      <c r="AQ2496" s="212"/>
      <c r="AR2496" s="212"/>
      <c r="AS2496" s="212"/>
      <c r="AT2496" s="212"/>
      <c r="AU2496" s="212"/>
      <c r="AV2496" s="212"/>
      <c r="AW2496" s="212"/>
      <c r="AX2496" s="212"/>
      <c r="AY2496" s="212"/>
      <c r="AZ2496" s="212"/>
      <c r="BA2496" s="212"/>
    </row>
    <row r="2497" ht="15.75" hidden="1" customHeight="1" outlineLevel="1">
      <c r="A2497" s="353"/>
      <c r="B2497" s="38"/>
      <c r="C2497" s="180"/>
      <c r="D2497" s="180"/>
      <c r="E2497" s="180"/>
      <c r="F2497" s="180"/>
      <c r="G2497" s="180"/>
      <c r="H2497" s="180"/>
      <c r="I2497" s="180"/>
      <c r="J2497" s="180"/>
      <c r="K2497" s="180"/>
      <c r="L2497" s="180"/>
      <c r="M2497" s="180"/>
      <c r="N2497" s="180"/>
      <c r="O2497" s="180"/>
      <c r="P2497" s="180"/>
      <c r="Q2497" s="180"/>
      <c r="R2497" s="354">
        <f>IF(S$2478&gt;0,'Assumptions (Battery)'!$V$16*(Model!S$2478*'Assumptions (Battery)'!Q$2+Model!S$2479*'Assumptions (Battery)'!Q$3*10^6)/10^9,0)</f>
        <v>0</v>
      </c>
      <c r="S2497" s="180"/>
      <c r="T2497" s="180"/>
      <c r="U2497" s="180"/>
      <c r="V2497" s="355"/>
      <c r="W2497" s="212"/>
      <c r="X2497" s="212"/>
      <c r="Y2497" s="212"/>
      <c r="Z2497" s="212"/>
      <c r="AA2497" s="212"/>
      <c r="AB2497" s="212"/>
      <c r="AC2497" s="212"/>
      <c r="AD2497" s="212"/>
      <c r="AE2497" s="212"/>
      <c r="AF2497" s="212"/>
      <c r="AG2497" s="212"/>
      <c r="AH2497" s="212"/>
      <c r="AI2497" s="212"/>
      <c r="AJ2497" s="212"/>
      <c r="AK2497" s="212"/>
      <c r="AL2497" s="212"/>
      <c r="AM2497" s="212"/>
      <c r="AN2497" s="212"/>
      <c r="AO2497" s="212"/>
      <c r="AP2497" s="212"/>
      <c r="AQ2497" s="212"/>
      <c r="AR2497" s="212"/>
      <c r="AS2497" s="212"/>
      <c r="AT2497" s="212"/>
      <c r="AU2497" s="212"/>
      <c r="AV2497" s="212"/>
      <c r="AW2497" s="212"/>
      <c r="AX2497" s="212"/>
      <c r="AY2497" s="212"/>
      <c r="AZ2497" s="212"/>
      <c r="BA2497" s="212"/>
    </row>
    <row r="2498" ht="15.75" hidden="1" customHeight="1" outlineLevel="1">
      <c r="A2498" s="353"/>
      <c r="B2498" s="38"/>
      <c r="C2498" s="180"/>
      <c r="D2498" s="180"/>
      <c r="E2498" s="180"/>
      <c r="F2498" s="180"/>
      <c r="G2498" s="180"/>
      <c r="H2498" s="180"/>
      <c r="I2498" s="180"/>
      <c r="J2498" s="180"/>
      <c r="K2498" s="180"/>
      <c r="L2498" s="180"/>
      <c r="M2498" s="180"/>
      <c r="N2498" s="180"/>
      <c r="O2498" s="180"/>
      <c r="P2498" s="180"/>
      <c r="Q2498" s="180"/>
      <c r="R2498" s="180"/>
      <c r="S2498" s="354">
        <f>IF(T$2478&gt;0,'Assumptions (Battery)'!$V$16*(Model!T$2478*'Assumptions (Battery)'!R$2+Model!T$2479*'Assumptions (Battery)'!R$3*10^6)/10^9,0)</f>
        <v>0.003617425903</v>
      </c>
      <c r="T2498" s="180"/>
      <c r="U2498" s="180"/>
      <c r="V2498" s="355"/>
      <c r="W2498" s="212"/>
      <c r="X2498" s="212"/>
      <c r="Y2498" s="212"/>
      <c r="Z2498" s="212"/>
      <c r="AA2498" s="212"/>
      <c r="AB2498" s="212"/>
      <c r="AC2498" s="212"/>
      <c r="AD2498" s="212"/>
      <c r="AE2498" s="212"/>
      <c r="AF2498" s="212"/>
      <c r="AG2498" s="212"/>
      <c r="AH2498" s="212"/>
      <c r="AI2498" s="212"/>
      <c r="AJ2498" s="212"/>
      <c r="AK2498" s="212"/>
      <c r="AL2498" s="212"/>
      <c r="AM2498" s="212"/>
      <c r="AN2498" s="212"/>
      <c r="AO2498" s="212"/>
      <c r="AP2498" s="212"/>
      <c r="AQ2498" s="212"/>
      <c r="AR2498" s="212"/>
      <c r="AS2498" s="212"/>
      <c r="AT2498" s="212"/>
      <c r="AU2498" s="212"/>
      <c r="AV2498" s="212"/>
      <c r="AW2498" s="212"/>
      <c r="AX2498" s="212"/>
      <c r="AY2498" s="212"/>
      <c r="AZ2498" s="212"/>
      <c r="BA2498" s="212"/>
    </row>
    <row r="2499" ht="15.75" hidden="1" customHeight="1" outlineLevel="1">
      <c r="A2499" s="353"/>
      <c r="B2499" s="38"/>
      <c r="C2499" s="180"/>
      <c r="D2499" s="180"/>
      <c r="E2499" s="180"/>
      <c r="F2499" s="180"/>
      <c r="G2499" s="180"/>
      <c r="H2499" s="180"/>
      <c r="I2499" s="180"/>
      <c r="J2499" s="180"/>
      <c r="K2499" s="180"/>
      <c r="L2499" s="180"/>
      <c r="M2499" s="180"/>
      <c r="N2499" s="180"/>
      <c r="O2499" s="180"/>
      <c r="P2499" s="180"/>
      <c r="Q2499" s="180"/>
      <c r="R2499" s="180"/>
      <c r="S2499" s="180"/>
      <c r="T2499" s="354">
        <f>IF(U$2478&gt;0,'Assumptions (Battery)'!$V$16*(Model!U$2478*'Assumptions (Battery)'!S$2+Model!U$2479*'Assumptions (Battery)'!S$3*10^6)/10^9,0)</f>
        <v>0.006872344039</v>
      </c>
      <c r="U2499" s="180"/>
      <c r="V2499" s="355"/>
      <c r="W2499" s="212"/>
      <c r="X2499" s="212"/>
      <c r="Y2499" s="212"/>
      <c r="Z2499" s="212"/>
      <c r="AA2499" s="212"/>
      <c r="AB2499" s="212"/>
      <c r="AC2499" s="212"/>
      <c r="AD2499" s="212"/>
      <c r="AE2499" s="212"/>
      <c r="AF2499" s="212"/>
      <c r="AG2499" s="212"/>
      <c r="AH2499" s="212"/>
      <c r="AI2499" s="212"/>
      <c r="AJ2499" s="212"/>
      <c r="AK2499" s="212"/>
      <c r="AL2499" s="212"/>
      <c r="AM2499" s="212"/>
      <c r="AN2499" s="212"/>
      <c r="AO2499" s="212"/>
      <c r="AP2499" s="212"/>
      <c r="AQ2499" s="212"/>
      <c r="AR2499" s="212"/>
      <c r="AS2499" s="212"/>
      <c r="AT2499" s="212"/>
      <c r="AU2499" s="212"/>
      <c r="AV2499" s="212"/>
      <c r="AW2499" s="212"/>
      <c r="AX2499" s="212"/>
      <c r="AY2499" s="212"/>
      <c r="AZ2499" s="212"/>
      <c r="BA2499" s="212"/>
    </row>
    <row r="2500" ht="15.75" hidden="1" customHeight="1" outlineLevel="1">
      <c r="A2500" s="353"/>
      <c r="B2500" s="38"/>
      <c r="C2500" s="180"/>
      <c r="D2500" s="180"/>
      <c r="E2500" s="180"/>
      <c r="F2500" s="180"/>
      <c r="G2500" s="180"/>
      <c r="H2500" s="180"/>
      <c r="I2500" s="180"/>
      <c r="J2500" s="180"/>
      <c r="K2500" s="180"/>
      <c r="L2500" s="180"/>
      <c r="M2500" s="180"/>
      <c r="N2500" s="180"/>
      <c r="O2500" s="180"/>
      <c r="P2500" s="180"/>
      <c r="Q2500" s="180"/>
      <c r="R2500" s="180"/>
      <c r="S2500" s="180"/>
      <c r="T2500" s="180"/>
      <c r="U2500" s="354">
        <f>IF(V$2478&gt;0,'Assumptions (Battery)'!$V$16*(Model!V$2478*'Assumptions (Battery)'!T$2+Model!V$2479*'Assumptions (Battery)'!T$3*10^6)/10^9,0)</f>
        <v>0</v>
      </c>
      <c r="V2500" s="355"/>
      <c r="W2500" s="212"/>
      <c r="X2500" s="212"/>
      <c r="Y2500" s="212"/>
      <c r="Z2500" s="212"/>
      <c r="AA2500" s="212"/>
      <c r="AB2500" s="212"/>
      <c r="AC2500" s="212"/>
      <c r="AD2500" s="212"/>
      <c r="AE2500" s="212"/>
      <c r="AF2500" s="212"/>
      <c r="AG2500" s="212"/>
      <c r="AH2500" s="212"/>
      <c r="AI2500" s="212"/>
      <c r="AJ2500" s="212"/>
      <c r="AK2500" s="212"/>
      <c r="AL2500" s="212"/>
      <c r="AM2500" s="212"/>
      <c r="AN2500" s="212"/>
      <c r="AO2500" s="212"/>
      <c r="AP2500" s="212"/>
      <c r="AQ2500" s="212"/>
      <c r="AR2500" s="212"/>
      <c r="AS2500" s="212"/>
      <c r="AT2500" s="212"/>
      <c r="AU2500" s="212"/>
      <c r="AV2500" s="212"/>
      <c r="AW2500" s="212"/>
      <c r="AX2500" s="212"/>
      <c r="AY2500" s="212"/>
      <c r="AZ2500" s="212"/>
      <c r="BA2500" s="212"/>
    </row>
    <row r="2501" ht="15.75" hidden="1" customHeight="1" outlineLevel="1">
      <c r="A2501" s="353"/>
      <c r="B2501" s="38"/>
      <c r="C2501" s="355"/>
      <c r="D2501" s="355"/>
      <c r="E2501" s="355"/>
      <c r="F2501" s="355"/>
      <c r="G2501" s="355"/>
      <c r="H2501" s="355"/>
      <c r="I2501" s="355"/>
      <c r="J2501" s="355"/>
      <c r="K2501" s="355"/>
      <c r="L2501" s="355"/>
      <c r="M2501" s="355"/>
      <c r="N2501" s="355"/>
      <c r="O2501" s="355"/>
      <c r="P2501" s="355"/>
      <c r="Q2501" s="355"/>
      <c r="R2501" s="355"/>
      <c r="S2501" s="355"/>
      <c r="T2501" s="355"/>
      <c r="U2501" s="355"/>
      <c r="V2501" s="354">
        <f>IF(W$2478&gt;0,'Assumptions (Battery)'!$V$16*(Model!W$2478*'Assumptions (Battery)'!U$2+Model!W$2479*'Assumptions (Battery)'!U$3*10^6)/10^9,0)</f>
        <v>0</v>
      </c>
      <c r="W2501" s="356"/>
      <c r="X2501" s="160"/>
      <c r="Y2501" s="160"/>
      <c r="Z2501" s="160"/>
      <c r="AA2501" s="160"/>
      <c r="AB2501" s="160"/>
      <c r="AC2501" s="160"/>
      <c r="AD2501" s="160"/>
      <c r="AE2501" s="160"/>
      <c r="AF2501" s="160"/>
      <c r="AG2501" s="160"/>
      <c r="AH2501" s="160"/>
      <c r="AI2501" s="160"/>
      <c r="AJ2501" s="160"/>
      <c r="AK2501" s="160"/>
      <c r="AL2501" s="160"/>
      <c r="AM2501" s="160"/>
      <c r="AN2501" s="160"/>
      <c r="AO2501" s="160"/>
      <c r="AP2501" s="160"/>
      <c r="AQ2501" s="160"/>
      <c r="AR2501" s="160"/>
      <c r="AS2501" s="160"/>
      <c r="AT2501" s="160"/>
      <c r="AU2501" s="160"/>
      <c r="AV2501" s="160"/>
      <c r="AW2501" s="160"/>
      <c r="AX2501" s="160"/>
      <c r="AY2501" s="160"/>
      <c r="AZ2501" s="160"/>
      <c r="BA2501" s="160"/>
    </row>
    <row r="2502" ht="15.75" hidden="1" customHeight="1" outlineLevel="1">
      <c r="A2502" s="353"/>
      <c r="B2502" s="38"/>
      <c r="C2502" s="355"/>
      <c r="D2502" s="355"/>
      <c r="E2502" s="355"/>
      <c r="F2502" s="355"/>
      <c r="G2502" s="355"/>
      <c r="H2502" s="355"/>
      <c r="I2502" s="355"/>
      <c r="J2502" s="355"/>
      <c r="K2502" s="355"/>
      <c r="L2502" s="355"/>
      <c r="M2502" s="355"/>
      <c r="N2502" s="355"/>
      <c r="O2502" s="355"/>
      <c r="P2502" s="355"/>
      <c r="Q2502" s="355"/>
      <c r="R2502" s="355"/>
      <c r="S2502" s="355"/>
      <c r="T2502" s="355"/>
      <c r="U2502" s="355"/>
      <c r="V2502" s="355"/>
      <c r="W2502" s="357">
        <f>IF(X$2478&gt;0,'Assumptions (Battery)'!$V$16*(Model!X$2478*'Assumptions (Battery)'!V$2+Model!X$2479*'Assumptions (Battery)'!V$3*10^6)/10^9,0)</f>
        <v>2.059998125</v>
      </c>
      <c r="X2502" s="160"/>
      <c r="Y2502" s="160"/>
      <c r="Z2502" s="160"/>
      <c r="AA2502" s="160"/>
      <c r="AB2502" s="160"/>
      <c r="AC2502" s="160"/>
      <c r="AD2502" s="160"/>
      <c r="AE2502" s="160"/>
      <c r="AF2502" s="160"/>
      <c r="AG2502" s="160"/>
      <c r="AH2502" s="160"/>
      <c r="AI2502" s="160"/>
      <c r="AJ2502" s="160"/>
      <c r="AK2502" s="160"/>
      <c r="AL2502" s="160"/>
      <c r="AM2502" s="160"/>
      <c r="AN2502" s="160"/>
      <c r="AO2502" s="160"/>
      <c r="AP2502" s="160"/>
      <c r="AQ2502" s="160"/>
      <c r="AR2502" s="160"/>
      <c r="AS2502" s="160"/>
      <c r="AT2502" s="160"/>
      <c r="AU2502" s="160"/>
      <c r="AV2502" s="160"/>
      <c r="AW2502" s="160"/>
      <c r="AX2502" s="160"/>
      <c r="AY2502" s="160"/>
      <c r="AZ2502" s="160"/>
      <c r="BA2502" s="160"/>
    </row>
    <row r="2503" ht="15.75" hidden="1" customHeight="1" outlineLevel="1">
      <c r="A2503" s="353"/>
      <c r="B2503" s="38"/>
      <c r="C2503" s="355"/>
      <c r="D2503" s="355"/>
      <c r="E2503" s="355"/>
      <c r="F2503" s="355"/>
      <c r="G2503" s="355"/>
      <c r="H2503" s="355"/>
      <c r="I2503" s="355"/>
      <c r="J2503" s="355"/>
      <c r="K2503" s="355"/>
      <c r="L2503" s="355"/>
      <c r="M2503" s="355"/>
      <c r="N2503" s="355"/>
      <c r="O2503" s="355"/>
      <c r="P2503" s="355"/>
      <c r="Q2503" s="355"/>
      <c r="R2503" s="355"/>
      <c r="S2503" s="355"/>
      <c r="T2503" s="355"/>
      <c r="U2503" s="355"/>
      <c r="V2503" s="355"/>
      <c r="W2503" s="160"/>
      <c r="X2503" s="358">
        <f>IF(Y$2478&gt;0,'Assumptions (Battery)'!$V$16*(Model!Y$2478*'Assumptions (Battery)'!W$2+Model!Y$2479*'Assumptions (Battery)'!W$3*10^6)/10^9,0)</f>
        <v>1.966973685</v>
      </c>
      <c r="Y2503" s="160"/>
      <c r="Z2503" s="160"/>
      <c r="AA2503" s="160"/>
      <c r="AB2503" s="160"/>
      <c r="AC2503" s="160"/>
      <c r="AD2503" s="160"/>
      <c r="AE2503" s="160"/>
      <c r="AF2503" s="160"/>
      <c r="AG2503" s="160"/>
      <c r="AH2503" s="160"/>
      <c r="AI2503" s="160"/>
      <c r="AJ2503" s="160"/>
      <c r="AK2503" s="160"/>
      <c r="AL2503" s="160"/>
      <c r="AM2503" s="160"/>
      <c r="AN2503" s="160"/>
      <c r="AO2503" s="160"/>
      <c r="AP2503" s="160"/>
      <c r="AQ2503" s="160"/>
      <c r="AR2503" s="160"/>
      <c r="AS2503" s="160"/>
      <c r="AT2503" s="160"/>
      <c r="AU2503" s="160"/>
      <c r="AV2503" s="160"/>
      <c r="AW2503" s="160"/>
      <c r="AX2503" s="160"/>
      <c r="AY2503" s="160"/>
      <c r="AZ2503" s="160"/>
      <c r="BA2503" s="160"/>
    </row>
    <row r="2504" ht="15.75" hidden="1" customHeight="1" outlineLevel="1">
      <c r="A2504" s="353"/>
      <c r="B2504" s="38"/>
      <c r="C2504" s="355"/>
      <c r="D2504" s="355"/>
      <c r="E2504" s="355"/>
      <c r="F2504" s="355"/>
      <c r="G2504" s="355"/>
      <c r="H2504" s="355"/>
      <c r="I2504" s="355"/>
      <c r="J2504" s="355"/>
      <c r="K2504" s="355"/>
      <c r="L2504" s="355"/>
      <c r="M2504" s="355"/>
      <c r="N2504" s="355"/>
      <c r="O2504" s="355"/>
      <c r="P2504" s="355"/>
      <c r="Q2504" s="355"/>
      <c r="R2504" s="355"/>
      <c r="S2504" s="355"/>
      <c r="T2504" s="355"/>
      <c r="U2504" s="355"/>
      <c r="V2504" s="355"/>
      <c r="W2504" s="160"/>
      <c r="X2504" s="160"/>
      <c r="Y2504" s="358">
        <f>IF(Z$2478&gt;0,'Assumptions (Battery)'!$V$16*(Model!Z$2478*'Assumptions (Battery)'!X$2+Model!Z$2479*'Assumptions (Battery)'!X$3*10^6)/10^9,0)</f>
        <v>1.876282426</v>
      </c>
      <c r="Z2504" s="160"/>
      <c r="AA2504" s="160"/>
      <c r="AB2504" s="160"/>
      <c r="AC2504" s="160"/>
      <c r="AD2504" s="160"/>
      <c r="AE2504" s="160"/>
      <c r="AF2504" s="160"/>
      <c r="AG2504" s="160"/>
      <c r="AH2504" s="160"/>
      <c r="AI2504" s="160"/>
      <c r="AJ2504" s="160"/>
      <c r="AK2504" s="160"/>
      <c r="AL2504" s="160"/>
      <c r="AM2504" s="160"/>
      <c r="AN2504" s="160"/>
      <c r="AO2504" s="160"/>
      <c r="AP2504" s="160"/>
      <c r="AQ2504" s="160"/>
      <c r="AR2504" s="160"/>
      <c r="AS2504" s="160"/>
      <c r="AT2504" s="160"/>
      <c r="AU2504" s="160"/>
      <c r="AV2504" s="160"/>
      <c r="AW2504" s="160"/>
      <c r="AX2504" s="160"/>
      <c r="AY2504" s="160"/>
      <c r="AZ2504" s="160"/>
      <c r="BA2504" s="160"/>
    </row>
    <row r="2505" ht="15.75" hidden="1" customHeight="1" outlineLevel="1">
      <c r="A2505" s="353"/>
      <c r="B2505" s="38"/>
      <c r="C2505" s="355"/>
      <c r="D2505" s="355"/>
      <c r="E2505" s="355"/>
      <c r="F2505" s="355"/>
      <c r="G2505" s="355"/>
      <c r="H2505" s="355"/>
      <c r="I2505" s="355"/>
      <c r="J2505" s="355"/>
      <c r="K2505" s="355"/>
      <c r="L2505" s="355"/>
      <c r="M2505" s="355"/>
      <c r="N2505" s="355"/>
      <c r="O2505" s="355"/>
      <c r="P2505" s="355"/>
      <c r="Q2505" s="355"/>
      <c r="R2505" s="355"/>
      <c r="S2505" s="355"/>
      <c r="T2505" s="355"/>
      <c r="U2505" s="355"/>
      <c r="V2505" s="355"/>
      <c r="W2505" s="160"/>
      <c r="X2505" s="160"/>
      <c r="Y2505" s="160"/>
      <c r="Z2505" s="358">
        <f>IF(AA$2478&gt;0,'Assumptions (Battery)'!$V$16*(Model!AA$2478*'Assumptions (Battery)'!Y$2+Model!AA$2479*'Assumptions (Battery)'!Y$3*10^6)/10^9,0)</f>
        <v>1.774425487</v>
      </c>
      <c r="AA2505" s="160"/>
      <c r="AB2505" s="160"/>
      <c r="AC2505" s="160"/>
      <c r="AD2505" s="160"/>
      <c r="AE2505" s="160"/>
      <c r="AF2505" s="160"/>
      <c r="AG2505" s="160"/>
      <c r="AH2505" s="160"/>
      <c r="AI2505" s="160"/>
      <c r="AJ2505" s="160"/>
      <c r="AK2505" s="160"/>
      <c r="AL2505" s="160"/>
      <c r="AM2505" s="160"/>
      <c r="AN2505" s="160"/>
      <c r="AO2505" s="160"/>
      <c r="AP2505" s="160"/>
      <c r="AQ2505" s="160"/>
      <c r="AR2505" s="160"/>
      <c r="AS2505" s="160"/>
      <c r="AT2505" s="160"/>
      <c r="AU2505" s="160"/>
      <c r="AV2505" s="160"/>
      <c r="AW2505" s="160"/>
      <c r="AX2505" s="160"/>
      <c r="AY2505" s="160"/>
      <c r="AZ2505" s="160"/>
      <c r="BA2505" s="160"/>
    </row>
    <row r="2506" ht="15.75" hidden="1" customHeight="1" outlineLevel="1">
      <c r="A2506" s="353"/>
      <c r="B2506" s="38"/>
      <c r="C2506" s="355"/>
      <c r="D2506" s="355"/>
      <c r="E2506" s="355"/>
      <c r="F2506" s="355"/>
      <c r="G2506" s="355"/>
      <c r="H2506" s="355"/>
      <c r="I2506" s="355"/>
      <c r="J2506" s="355"/>
      <c r="K2506" s="355"/>
      <c r="L2506" s="355"/>
      <c r="M2506" s="355"/>
      <c r="N2506" s="355"/>
      <c r="O2506" s="355"/>
      <c r="P2506" s="355"/>
      <c r="Q2506" s="355"/>
      <c r="R2506" s="355"/>
      <c r="S2506" s="355"/>
      <c r="T2506" s="355"/>
      <c r="U2506" s="355"/>
      <c r="V2506" s="355"/>
      <c r="W2506" s="212"/>
      <c r="X2506" s="356"/>
      <c r="Y2506" s="160"/>
      <c r="Z2506" s="160"/>
      <c r="AA2506" s="358">
        <f>IF(AB$2478&gt;0,'Assumptions (Battery)'!$V$16*(Model!AB$2478*'Assumptions (Battery)'!Z$2+Model!AB$2479*'Assumptions (Battery)'!Z$3*10^6)/10^9,0)</f>
        <v>1.67489284</v>
      </c>
      <c r="AB2506" s="356"/>
      <c r="AC2506" s="356"/>
      <c r="AD2506" s="356"/>
      <c r="AE2506" s="356"/>
      <c r="AF2506" s="356"/>
      <c r="AG2506" s="356"/>
      <c r="AH2506" s="356"/>
      <c r="AI2506" s="356"/>
      <c r="AJ2506" s="356"/>
      <c r="AK2506" s="356"/>
      <c r="AL2506" s="356"/>
      <c r="AM2506" s="356"/>
      <c r="AN2506" s="356"/>
      <c r="AO2506" s="356"/>
      <c r="AP2506" s="356"/>
      <c r="AQ2506" s="356"/>
      <c r="AR2506" s="356"/>
      <c r="AS2506" s="356"/>
      <c r="AT2506" s="356"/>
      <c r="AU2506" s="356"/>
      <c r="AV2506" s="356"/>
      <c r="AW2506" s="356"/>
      <c r="AX2506" s="356"/>
      <c r="AY2506" s="356"/>
      <c r="AZ2506" s="356"/>
      <c r="BA2506" s="356"/>
    </row>
    <row r="2507" ht="15.75" hidden="1" customHeight="1" outlineLevel="1">
      <c r="A2507" s="353"/>
      <c r="B2507" s="38"/>
      <c r="C2507" s="355"/>
      <c r="D2507" s="355"/>
      <c r="E2507" s="355"/>
      <c r="F2507" s="355"/>
      <c r="G2507" s="355"/>
      <c r="H2507" s="355"/>
      <c r="I2507" s="355"/>
      <c r="J2507" s="355"/>
      <c r="K2507" s="355"/>
      <c r="L2507" s="355"/>
      <c r="M2507" s="355"/>
      <c r="N2507" s="355"/>
      <c r="O2507" s="355"/>
      <c r="P2507" s="355"/>
      <c r="Q2507" s="355"/>
      <c r="R2507" s="355"/>
      <c r="S2507" s="355"/>
      <c r="T2507" s="355"/>
      <c r="U2507" s="355"/>
      <c r="V2507" s="355"/>
      <c r="W2507" s="212"/>
      <c r="X2507" s="356"/>
      <c r="Y2507" s="356"/>
      <c r="Z2507" s="160"/>
      <c r="AA2507" s="160"/>
      <c r="AB2507" s="358">
        <f>IF(AC$2478&gt;0,'Assumptions (Battery)'!$V$16*(Model!AC$2478*'Assumptions (Battery)'!AA$2+Model!AC$2479*'Assumptions (Battery)'!AA$3*10^6)/10^9,0)</f>
        <v>1.563147033</v>
      </c>
      <c r="AC2507" s="356"/>
      <c r="AD2507" s="356"/>
      <c r="AE2507" s="356"/>
      <c r="AF2507" s="356"/>
      <c r="AG2507" s="356"/>
      <c r="AH2507" s="356"/>
      <c r="AI2507" s="356"/>
      <c r="AJ2507" s="356"/>
      <c r="AK2507" s="356"/>
      <c r="AL2507" s="356"/>
      <c r="AM2507" s="356"/>
      <c r="AN2507" s="356"/>
      <c r="AO2507" s="356"/>
      <c r="AP2507" s="356"/>
      <c r="AQ2507" s="356"/>
      <c r="AR2507" s="356"/>
      <c r="AS2507" s="356"/>
      <c r="AT2507" s="356"/>
      <c r="AU2507" s="356"/>
      <c r="AV2507" s="356"/>
      <c r="AW2507" s="356"/>
      <c r="AX2507" s="356"/>
      <c r="AY2507" s="356"/>
      <c r="AZ2507" s="356"/>
      <c r="BA2507" s="356"/>
    </row>
    <row r="2508" ht="15.75" hidden="1" customHeight="1" outlineLevel="1">
      <c r="A2508" s="353"/>
      <c r="B2508" s="38"/>
      <c r="C2508" s="355"/>
      <c r="D2508" s="355"/>
      <c r="E2508" s="355"/>
      <c r="F2508" s="355"/>
      <c r="G2508" s="355"/>
      <c r="H2508" s="355"/>
      <c r="I2508" s="355"/>
      <c r="J2508" s="355"/>
      <c r="K2508" s="355"/>
      <c r="L2508" s="355"/>
      <c r="M2508" s="355"/>
      <c r="N2508" s="355"/>
      <c r="O2508" s="355"/>
      <c r="P2508" s="355"/>
      <c r="Q2508" s="355"/>
      <c r="R2508" s="355"/>
      <c r="S2508" s="355"/>
      <c r="T2508" s="355"/>
      <c r="U2508" s="355"/>
      <c r="V2508" s="355"/>
      <c r="W2508" s="212"/>
      <c r="X2508" s="356"/>
      <c r="Y2508" s="356"/>
      <c r="Z2508" s="356"/>
      <c r="AA2508" s="160"/>
      <c r="AB2508" s="160"/>
      <c r="AC2508" s="358">
        <f>IF(AD$2478&gt;0,'Assumptions (Battery)'!$V$16*(Model!AD$2478*'Assumptions (Battery)'!AB$2+Model!AD$2479*'Assumptions (Battery)'!AB$3*10^6)/10^9,0)</f>
        <v>1.532243058</v>
      </c>
      <c r="AD2508" s="356"/>
      <c r="AE2508" s="356"/>
      <c r="AF2508" s="356"/>
      <c r="AG2508" s="356"/>
      <c r="AH2508" s="356"/>
      <c r="AI2508" s="356"/>
      <c r="AJ2508" s="356"/>
      <c r="AK2508" s="356"/>
      <c r="AL2508" s="356"/>
      <c r="AM2508" s="356"/>
      <c r="AN2508" s="356"/>
      <c r="AO2508" s="356"/>
      <c r="AP2508" s="356"/>
      <c r="AQ2508" s="356"/>
      <c r="AR2508" s="356"/>
      <c r="AS2508" s="356"/>
      <c r="AT2508" s="356"/>
      <c r="AU2508" s="356"/>
      <c r="AV2508" s="356"/>
      <c r="AW2508" s="356"/>
      <c r="AX2508" s="356"/>
      <c r="AY2508" s="356"/>
      <c r="AZ2508" s="356"/>
      <c r="BA2508" s="356"/>
    </row>
    <row r="2509" ht="15.75" hidden="1" customHeight="1" outlineLevel="1">
      <c r="A2509" s="353"/>
      <c r="B2509" s="38"/>
      <c r="C2509" s="355"/>
      <c r="D2509" s="355"/>
      <c r="E2509" s="355"/>
      <c r="F2509" s="355"/>
      <c r="G2509" s="355"/>
      <c r="H2509" s="355"/>
      <c r="I2509" s="355"/>
      <c r="J2509" s="355"/>
      <c r="K2509" s="355"/>
      <c r="L2509" s="355"/>
      <c r="M2509" s="355"/>
      <c r="N2509" s="355"/>
      <c r="O2509" s="355"/>
      <c r="P2509" s="355"/>
      <c r="Q2509" s="355"/>
      <c r="R2509" s="355"/>
      <c r="S2509" s="355"/>
      <c r="T2509" s="355"/>
      <c r="U2509" s="355"/>
      <c r="V2509" s="355"/>
      <c r="W2509" s="212"/>
      <c r="X2509" s="356"/>
      <c r="Y2509" s="356"/>
      <c r="Z2509" s="356"/>
      <c r="AA2509" s="356"/>
      <c r="AB2509" s="160"/>
      <c r="AC2509" s="160"/>
      <c r="AD2509" s="358">
        <f>IF(AE$2478&gt;0,'Assumptions (Battery)'!$V$16*(Model!AE$2478*'Assumptions (Battery)'!AC$2+Model!AE$2479*'Assumptions (Battery)'!AC$3*10^6)/10^9,0)</f>
        <v>1.506444804</v>
      </c>
      <c r="AE2509" s="356"/>
      <c r="AF2509" s="356"/>
      <c r="AG2509" s="356"/>
      <c r="AH2509" s="356"/>
      <c r="AI2509" s="356"/>
      <c r="AJ2509" s="356"/>
      <c r="AK2509" s="356"/>
      <c r="AL2509" s="356"/>
      <c r="AM2509" s="356"/>
      <c r="AN2509" s="356"/>
      <c r="AO2509" s="356"/>
      <c r="AP2509" s="356"/>
      <c r="AQ2509" s="356"/>
      <c r="AR2509" s="356"/>
      <c r="AS2509" s="356"/>
      <c r="AT2509" s="356"/>
      <c r="AU2509" s="356"/>
      <c r="AV2509" s="356"/>
      <c r="AW2509" s="356"/>
      <c r="AX2509" s="356"/>
      <c r="AY2509" s="356"/>
      <c r="AZ2509" s="356"/>
      <c r="BA2509" s="356"/>
    </row>
    <row r="2510" ht="15.75" hidden="1" customHeight="1" outlineLevel="1">
      <c r="A2510" s="353"/>
      <c r="B2510" s="38"/>
      <c r="C2510" s="355"/>
      <c r="D2510" s="355"/>
      <c r="E2510" s="355"/>
      <c r="F2510" s="355"/>
      <c r="G2510" s="355"/>
      <c r="H2510" s="355"/>
      <c r="I2510" s="355"/>
      <c r="J2510" s="355"/>
      <c r="K2510" s="355"/>
      <c r="L2510" s="355"/>
      <c r="M2510" s="355"/>
      <c r="N2510" s="355"/>
      <c r="O2510" s="355"/>
      <c r="P2510" s="355"/>
      <c r="Q2510" s="355"/>
      <c r="R2510" s="355"/>
      <c r="S2510" s="355"/>
      <c r="T2510" s="355"/>
      <c r="U2510" s="355"/>
      <c r="V2510" s="355"/>
      <c r="W2510" s="212"/>
      <c r="X2510" s="356"/>
      <c r="Y2510" s="356"/>
      <c r="Z2510" s="356"/>
      <c r="AA2510" s="356"/>
      <c r="AB2510" s="356"/>
      <c r="AC2510" s="160"/>
      <c r="AD2510" s="160"/>
      <c r="AE2510" s="358">
        <f>IF(AF$2478&gt;0,'Assumptions (Battery)'!$V$16*(Model!AF$2478*'Assumptions (Battery)'!AD$2+Model!AF$2479*'Assumptions (Battery)'!AD$3*10^6)/10^9,0)</f>
        <v>1.471480667</v>
      </c>
      <c r="AF2510" s="356"/>
      <c r="AG2510" s="356"/>
      <c r="AH2510" s="356"/>
      <c r="AI2510" s="356"/>
      <c r="AJ2510" s="356"/>
      <c r="AK2510" s="356"/>
      <c r="AL2510" s="356"/>
      <c r="AM2510" s="356"/>
      <c r="AN2510" s="356"/>
      <c r="AO2510" s="356"/>
      <c r="AP2510" s="356"/>
      <c r="AQ2510" s="356"/>
      <c r="AR2510" s="356"/>
      <c r="AS2510" s="356"/>
      <c r="AT2510" s="356"/>
      <c r="AU2510" s="356"/>
      <c r="AV2510" s="356"/>
      <c r="AW2510" s="356"/>
      <c r="AX2510" s="356"/>
      <c r="AY2510" s="356"/>
      <c r="AZ2510" s="356"/>
      <c r="BA2510" s="356"/>
    </row>
    <row r="2511" ht="15.75" hidden="1" customHeight="1" outlineLevel="1">
      <c r="A2511" s="353"/>
      <c r="B2511" s="38"/>
      <c r="C2511" s="355"/>
      <c r="D2511" s="355"/>
      <c r="E2511" s="355"/>
      <c r="F2511" s="355"/>
      <c r="G2511" s="355"/>
      <c r="H2511" s="355"/>
      <c r="I2511" s="355"/>
      <c r="J2511" s="355"/>
      <c r="K2511" s="355"/>
      <c r="L2511" s="355"/>
      <c r="M2511" s="355"/>
      <c r="N2511" s="355"/>
      <c r="O2511" s="355"/>
      <c r="P2511" s="355"/>
      <c r="Q2511" s="355"/>
      <c r="R2511" s="355"/>
      <c r="S2511" s="355"/>
      <c r="T2511" s="355"/>
      <c r="U2511" s="355"/>
      <c r="V2511" s="355"/>
      <c r="W2511" s="212"/>
      <c r="X2511" s="356"/>
      <c r="Y2511" s="356"/>
      <c r="Z2511" s="356"/>
      <c r="AA2511" s="356"/>
      <c r="AB2511" s="356"/>
      <c r="AC2511" s="356"/>
      <c r="AD2511" s="160"/>
      <c r="AE2511" s="160"/>
      <c r="AF2511" s="358">
        <f>IF(AG$2478&gt;0,'Assumptions (Battery)'!$V$16*(Model!AG$2478*'Assumptions (Battery)'!AE$2+Model!AG$2479*'Assumptions (Battery)'!AE$3*10^6)/10^9,0)</f>
        <v>1.435124297</v>
      </c>
      <c r="AG2511" s="356"/>
      <c r="AH2511" s="356"/>
      <c r="AI2511" s="356"/>
      <c r="AJ2511" s="356"/>
      <c r="AK2511" s="356"/>
      <c r="AL2511" s="356"/>
      <c r="AM2511" s="356"/>
      <c r="AN2511" s="356"/>
      <c r="AO2511" s="356"/>
      <c r="AP2511" s="356"/>
      <c r="AQ2511" s="356"/>
      <c r="AR2511" s="356"/>
      <c r="AS2511" s="356"/>
      <c r="AT2511" s="356"/>
      <c r="AU2511" s="356"/>
      <c r="AV2511" s="356"/>
      <c r="AW2511" s="356"/>
      <c r="AX2511" s="356"/>
      <c r="AY2511" s="356"/>
      <c r="AZ2511" s="356"/>
      <c r="BA2511" s="356"/>
    </row>
    <row r="2512" ht="15.75" hidden="1" customHeight="1" outlineLevel="1">
      <c r="A2512" s="353"/>
      <c r="B2512" s="38"/>
      <c r="C2512" s="355"/>
      <c r="D2512" s="355"/>
      <c r="E2512" s="355"/>
      <c r="F2512" s="355"/>
      <c r="G2512" s="355"/>
      <c r="H2512" s="355"/>
      <c r="I2512" s="355"/>
      <c r="J2512" s="355"/>
      <c r="K2512" s="355"/>
      <c r="L2512" s="355"/>
      <c r="M2512" s="355"/>
      <c r="N2512" s="355"/>
      <c r="O2512" s="355"/>
      <c r="P2512" s="355"/>
      <c r="Q2512" s="355"/>
      <c r="R2512" s="355"/>
      <c r="S2512" s="355"/>
      <c r="T2512" s="355"/>
      <c r="U2512" s="355"/>
      <c r="V2512" s="355"/>
      <c r="W2512" s="212"/>
      <c r="X2512" s="356"/>
      <c r="Y2512" s="356"/>
      <c r="Z2512" s="356"/>
      <c r="AA2512" s="356"/>
      <c r="AB2512" s="356"/>
      <c r="AC2512" s="356"/>
      <c r="AD2512" s="356"/>
      <c r="AE2512" s="160"/>
      <c r="AF2512" s="160"/>
      <c r="AG2512" s="358">
        <f>IF(AH$2478&gt;0,'Assumptions (Battery)'!$V$16*(Model!AH$2478*'Assumptions (Battery)'!AF$2+Model!AH$2479*'Assumptions (Battery)'!AF$3*10^6)/10^9,0)</f>
        <v>1.404107946</v>
      </c>
      <c r="AH2512" s="356"/>
      <c r="AI2512" s="356"/>
      <c r="AJ2512" s="356"/>
      <c r="AK2512" s="356"/>
      <c r="AL2512" s="356"/>
      <c r="AM2512" s="356"/>
      <c r="AN2512" s="356"/>
      <c r="AO2512" s="356"/>
      <c r="AP2512" s="356"/>
      <c r="AQ2512" s="356"/>
      <c r="AR2512" s="356"/>
      <c r="AS2512" s="356"/>
      <c r="AT2512" s="356"/>
      <c r="AU2512" s="356"/>
      <c r="AV2512" s="356"/>
      <c r="AW2512" s="356"/>
      <c r="AX2512" s="356"/>
      <c r="AY2512" s="356"/>
      <c r="AZ2512" s="356"/>
      <c r="BA2512" s="356"/>
    </row>
    <row r="2513" ht="15.75" hidden="1" customHeight="1" outlineLevel="1">
      <c r="A2513" s="353"/>
      <c r="B2513" s="38"/>
      <c r="C2513" s="355"/>
      <c r="D2513" s="355"/>
      <c r="E2513" s="355"/>
      <c r="F2513" s="355"/>
      <c r="G2513" s="355"/>
      <c r="H2513" s="355"/>
      <c r="I2513" s="355"/>
      <c r="J2513" s="355"/>
      <c r="K2513" s="355"/>
      <c r="L2513" s="355"/>
      <c r="M2513" s="355"/>
      <c r="N2513" s="355"/>
      <c r="O2513" s="355"/>
      <c r="P2513" s="355"/>
      <c r="Q2513" s="355"/>
      <c r="R2513" s="355"/>
      <c r="S2513" s="355"/>
      <c r="T2513" s="355"/>
      <c r="U2513" s="355"/>
      <c r="V2513" s="355"/>
      <c r="W2513" s="212"/>
      <c r="X2513" s="356"/>
      <c r="Y2513" s="356"/>
      <c r="Z2513" s="356"/>
      <c r="AA2513" s="356"/>
      <c r="AB2513" s="356"/>
      <c r="AC2513" s="356"/>
      <c r="AD2513" s="356"/>
      <c r="AE2513" s="356"/>
      <c r="AF2513" s="160"/>
      <c r="AG2513" s="160"/>
      <c r="AH2513" s="358">
        <f>IF(AI$2478&gt;0,'Assumptions (Battery)'!$V$16*(Model!AI$2478*'Assumptions (Battery)'!AG$2+Model!AI$2479*'Assumptions (Battery)'!AG$3*10^6)/10^9,0)</f>
        <v>1.414495638</v>
      </c>
      <c r="AI2513" s="356"/>
      <c r="AJ2513" s="356"/>
      <c r="AK2513" s="356"/>
      <c r="AL2513" s="356"/>
      <c r="AM2513" s="356"/>
      <c r="AN2513" s="356"/>
      <c r="AO2513" s="356"/>
      <c r="AP2513" s="356"/>
      <c r="AQ2513" s="356"/>
      <c r="AR2513" s="356"/>
      <c r="AS2513" s="356"/>
      <c r="AT2513" s="356"/>
      <c r="AU2513" s="356"/>
      <c r="AV2513" s="356"/>
      <c r="AW2513" s="356"/>
      <c r="AX2513" s="356"/>
      <c r="AY2513" s="356"/>
      <c r="AZ2513" s="356"/>
      <c r="BA2513" s="356"/>
    </row>
    <row r="2514" ht="15.75" hidden="1" customHeight="1" outlineLevel="1">
      <c r="A2514" s="353"/>
      <c r="B2514" s="38"/>
      <c r="C2514" s="355"/>
      <c r="D2514" s="355"/>
      <c r="E2514" s="355"/>
      <c r="F2514" s="355"/>
      <c r="G2514" s="355"/>
      <c r="H2514" s="355"/>
      <c r="I2514" s="355"/>
      <c r="J2514" s="355"/>
      <c r="K2514" s="355"/>
      <c r="L2514" s="355"/>
      <c r="M2514" s="355"/>
      <c r="N2514" s="355"/>
      <c r="O2514" s="355"/>
      <c r="P2514" s="355"/>
      <c r="Q2514" s="355"/>
      <c r="R2514" s="355"/>
      <c r="S2514" s="355"/>
      <c r="T2514" s="355"/>
      <c r="U2514" s="355"/>
      <c r="V2514" s="355"/>
      <c r="W2514" s="212"/>
      <c r="X2514" s="356"/>
      <c r="Y2514" s="356"/>
      <c r="Z2514" s="356"/>
      <c r="AA2514" s="356"/>
      <c r="AB2514" s="356"/>
      <c r="AC2514" s="356"/>
      <c r="AD2514" s="356"/>
      <c r="AE2514" s="356"/>
      <c r="AF2514" s="356"/>
      <c r="AG2514" s="160"/>
      <c r="AH2514" s="160"/>
      <c r="AI2514" s="358">
        <f>IF(AJ$2478&gt;0,'Assumptions (Battery)'!$V$16*(Model!AJ$2478*'Assumptions (Battery)'!AH$2+Model!AJ$2479*'Assumptions (Battery)'!AH$3*10^6)/10^9,0)</f>
        <v>1.424376777</v>
      </c>
      <c r="AJ2514" s="356"/>
      <c r="AK2514" s="356"/>
      <c r="AL2514" s="356"/>
      <c r="AM2514" s="356"/>
      <c r="AN2514" s="356"/>
      <c r="AO2514" s="356"/>
      <c r="AP2514" s="356"/>
      <c r="AQ2514" s="356"/>
      <c r="AR2514" s="356"/>
      <c r="AS2514" s="356"/>
      <c r="AT2514" s="356"/>
      <c r="AU2514" s="356"/>
      <c r="AV2514" s="356"/>
      <c r="AW2514" s="356"/>
      <c r="AX2514" s="356"/>
      <c r="AY2514" s="356"/>
      <c r="AZ2514" s="356"/>
      <c r="BA2514" s="356"/>
    </row>
    <row r="2515" ht="15.75" hidden="1" customHeight="1" outlineLevel="1">
      <c r="A2515" s="353"/>
      <c r="B2515" s="38"/>
      <c r="C2515" s="355"/>
      <c r="D2515" s="355"/>
      <c r="E2515" s="355"/>
      <c r="F2515" s="355"/>
      <c r="G2515" s="355"/>
      <c r="H2515" s="355"/>
      <c r="I2515" s="355"/>
      <c r="J2515" s="355"/>
      <c r="K2515" s="355"/>
      <c r="L2515" s="355"/>
      <c r="M2515" s="355"/>
      <c r="N2515" s="355"/>
      <c r="O2515" s="355"/>
      <c r="P2515" s="355"/>
      <c r="Q2515" s="355"/>
      <c r="R2515" s="355"/>
      <c r="S2515" s="355"/>
      <c r="T2515" s="355"/>
      <c r="U2515" s="355"/>
      <c r="V2515" s="355"/>
      <c r="W2515" s="212"/>
      <c r="X2515" s="356"/>
      <c r="Y2515" s="356"/>
      <c r="Z2515" s="356"/>
      <c r="AA2515" s="356"/>
      <c r="AB2515" s="356"/>
      <c r="AC2515" s="356"/>
      <c r="AD2515" s="356"/>
      <c r="AE2515" s="356"/>
      <c r="AF2515" s="356"/>
      <c r="AG2515" s="356"/>
      <c r="AH2515" s="160"/>
      <c r="AI2515" s="160"/>
      <c r="AJ2515" s="358">
        <f>IF(AK$2478&gt;0,'Assumptions (Battery)'!$V$16*(Model!AK$2478*'Assumptions (Battery)'!AI$2+Model!AK$2479*'Assumptions (Battery)'!AI$3*10^6)/10^9,0)</f>
        <v>1.42691895</v>
      </c>
      <c r="AK2515" s="356"/>
      <c r="AL2515" s="356"/>
      <c r="AM2515" s="356"/>
      <c r="AN2515" s="356"/>
      <c r="AO2515" s="356"/>
      <c r="AP2515" s="356"/>
      <c r="AQ2515" s="356"/>
      <c r="AR2515" s="356"/>
      <c r="AS2515" s="356"/>
      <c r="AT2515" s="356"/>
      <c r="AU2515" s="356"/>
      <c r="AV2515" s="356"/>
      <c r="AW2515" s="356"/>
      <c r="AX2515" s="356"/>
      <c r="AY2515" s="356"/>
      <c r="AZ2515" s="356"/>
      <c r="BA2515" s="356"/>
    </row>
    <row r="2516" ht="15.75" hidden="1" customHeight="1" outlineLevel="1">
      <c r="A2516" s="353"/>
      <c r="B2516" s="38"/>
      <c r="C2516" s="355"/>
      <c r="D2516" s="355"/>
      <c r="E2516" s="355"/>
      <c r="F2516" s="355"/>
      <c r="G2516" s="355"/>
      <c r="H2516" s="355"/>
      <c r="I2516" s="355"/>
      <c r="J2516" s="355"/>
      <c r="K2516" s="355"/>
      <c r="L2516" s="355"/>
      <c r="M2516" s="355"/>
      <c r="N2516" s="355"/>
      <c r="O2516" s="355"/>
      <c r="P2516" s="355"/>
      <c r="Q2516" s="355"/>
      <c r="R2516" s="355"/>
      <c r="S2516" s="355"/>
      <c r="T2516" s="355"/>
      <c r="U2516" s="355"/>
      <c r="V2516" s="355"/>
      <c r="W2516" s="212"/>
      <c r="X2516" s="356"/>
      <c r="Y2516" s="356"/>
      <c r="Z2516" s="356"/>
      <c r="AA2516" s="356"/>
      <c r="AB2516" s="356"/>
      <c r="AC2516" s="356"/>
      <c r="AD2516" s="356"/>
      <c r="AE2516" s="356"/>
      <c r="AF2516" s="356"/>
      <c r="AG2516" s="356"/>
      <c r="AH2516" s="356"/>
      <c r="AI2516" s="160"/>
      <c r="AJ2516" s="160"/>
      <c r="AK2516" s="358">
        <f>IF(AL$2478&gt;0,'Assumptions (Battery)'!$V$16*(Model!AL$2478*'Assumptions (Battery)'!AJ$2+Model!AL$2479*'Assumptions (Battery)'!AJ$3*10^6)/10^9,0)</f>
        <v>1.43691396</v>
      </c>
      <c r="AL2516" s="356"/>
      <c r="AM2516" s="356"/>
      <c r="AN2516" s="356"/>
      <c r="AO2516" s="356"/>
      <c r="AP2516" s="356"/>
      <c r="AQ2516" s="356"/>
      <c r="AR2516" s="356"/>
      <c r="AS2516" s="356"/>
      <c r="AT2516" s="356"/>
      <c r="AU2516" s="356"/>
      <c r="AV2516" s="356"/>
      <c r="AW2516" s="356"/>
      <c r="AX2516" s="356"/>
      <c r="AY2516" s="356"/>
      <c r="AZ2516" s="356"/>
      <c r="BA2516" s="356"/>
    </row>
    <row r="2517" ht="15.75" hidden="1" customHeight="1" outlineLevel="1">
      <c r="A2517" s="353"/>
      <c r="B2517" s="38"/>
      <c r="C2517" s="355"/>
      <c r="D2517" s="355"/>
      <c r="E2517" s="355"/>
      <c r="F2517" s="355"/>
      <c r="G2517" s="355"/>
      <c r="H2517" s="355"/>
      <c r="I2517" s="355"/>
      <c r="J2517" s="355"/>
      <c r="K2517" s="355"/>
      <c r="L2517" s="355"/>
      <c r="M2517" s="355"/>
      <c r="N2517" s="355"/>
      <c r="O2517" s="355"/>
      <c r="P2517" s="355"/>
      <c r="Q2517" s="355"/>
      <c r="R2517" s="355"/>
      <c r="S2517" s="355"/>
      <c r="T2517" s="355"/>
      <c r="U2517" s="355"/>
      <c r="V2517" s="355"/>
      <c r="W2517" s="212"/>
      <c r="X2517" s="356"/>
      <c r="Y2517" s="356"/>
      <c r="Z2517" s="356"/>
      <c r="AA2517" s="356"/>
      <c r="AB2517" s="356"/>
      <c r="AC2517" s="356"/>
      <c r="AD2517" s="356"/>
      <c r="AE2517" s="356"/>
      <c r="AF2517" s="356"/>
      <c r="AG2517" s="356"/>
      <c r="AH2517" s="356"/>
      <c r="AI2517" s="356"/>
      <c r="AJ2517" s="160"/>
      <c r="AK2517" s="160"/>
      <c r="AL2517" s="358">
        <f>IF(AM$2478&gt;0,'Assumptions (Battery)'!$V$16*(Model!AM$2478*'Assumptions (Battery)'!AK$2+Model!AM$2479*'Assumptions (Battery)'!AK$3*10^6)/10^9,0)</f>
        <v>1.445603144</v>
      </c>
      <c r="AM2517" s="356"/>
      <c r="AN2517" s="356"/>
      <c r="AO2517" s="356"/>
      <c r="AP2517" s="356"/>
      <c r="AQ2517" s="356"/>
      <c r="AR2517" s="356"/>
      <c r="AS2517" s="356"/>
      <c r="AT2517" s="356"/>
      <c r="AU2517" s="356"/>
      <c r="AV2517" s="356"/>
      <c r="AW2517" s="356"/>
      <c r="AX2517" s="356"/>
      <c r="AY2517" s="356"/>
      <c r="AZ2517" s="356"/>
      <c r="BA2517" s="356"/>
    </row>
    <row r="2518" ht="15.75" hidden="1" customHeight="1" outlineLevel="1">
      <c r="A2518" s="353"/>
      <c r="B2518" s="38"/>
      <c r="C2518" s="355"/>
      <c r="D2518" s="355"/>
      <c r="E2518" s="355"/>
      <c r="F2518" s="355"/>
      <c r="G2518" s="355"/>
      <c r="H2518" s="355"/>
      <c r="I2518" s="355"/>
      <c r="J2518" s="355"/>
      <c r="K2518" s="355"/>
      <c r="L2518" s="355"/>
      <c r="M2518" s="355"/>
      <c r="N2518" s="355"/>
      <c r="O2518" s="355"/>
      <c r="P2518" s="355"/>
      <c r="Q2518" s="355"/>
      <c r="R2518" s="355"/>
      <c r="S2518" s="355"/>
      <c r="T2518" s="355"/>
      <c r="U2518" s="355"/>
      <c r="V2518" s="355"/>
      <c r="W2518" s="212"/>
      <c r="X2518" s="356"/>
      <c r="Y2518" s="356"/>
      <c r="Z2518" s="356"/>
      <c r="AA2518" s="356"/>
      <c r="AB2518" s="356"/>
      <c r="AC2518" s="356"/>
      <c r="AD2518" s="356"/>
      <c r="AE2518" s="356"/>
      <c r="AF2518" s="356"/>
      <c r="AG2518" s="356"/>
      <c r="AH2518" s="356"/>
      <c r="AI2518" s="356"/>
      <c r="AJ2518" s="356"/>
      <c r="AK2518" s="160"/>
      <c r="AL2518" s="160"/>
      <c r="AM2518" s="358">
        <f>IF(AN$2478&gt;0,'Assumptions (Battery)'!$V$16*(Model!AN$2478*'Assumptions (Battery)'!AL$2+Model!AN$2479*'Assumptions (Battery)'!AL$3*10^6)/10^9,0)</f>
        <v>1.454871724</v>
      </c>
      <c r="AN2518" s="356"/>
      <c r="AO2518" s="356"/>
      <c r="AP2518" s="356"/>
      <c r="AQ2518" s="356"/>
      <c r="AR2518" s="356"/>
      <c r="AS2518" s="356"/>
      <c r="AT2518" s="356"/>
      <c r="AU2518" s="356"/>
      <c r="AV2518" s="356"/>
      <c r="AW2518" s="356"/>
      <c r="AX2518" s="356"/>
      <c r="AY2518" s="356"/>
      <c r="AZ2518" s="356"/>
      <c r="BA2518" s="356"/>
    </row>
    <row r="2519" ht="15.75" hidden="1" customHeight="1" outlineLevel="1">
      <c r="A2519" s="353"/>
      <c r="B2519" s="38"/>
      <c r="C2519" s="355"/>
      <c r="D2519" s="355"/>
      <c r="E2519" s="355"/>
      <c r="F2519" s="355"/>
      <c r="G2519" s="355"/>
      <c r="H2519" s="355"/>
      <c r="I2519" s="355"/>
      <c r="J2519" s="355"/>
      <c r="K2519" s="355"/>
      <c r="L2519" s="355"/>
      <c r="M2519" s="355"/>
      <c r="N2519" s="355"/>
      <c r="O2519" s="355"/>
      <c r="P2519" s="355"/>
      <c r="Q2519" s="355"/>
      <c r="R2519" s="355"/>
      <c r="S2519" s="355"/>
      <c r="T2519" s="355"/>
      <c r="U2519" s="355"/>
      <c r="V2519" s="355"/>
      <c r="W2519" s="212"/>
      <c r="X2519" s="356"/>
      <c r="Y2519" s="356"/>
      <c r="Z2519" s="356"/>
      <c r="AA2519" s="356"/>
      <c r="AB2519" s="356"/>
      <c r="AC2519" s="356"/>
      <c r="AD2519" s="356"/>
      <c r="AE2519" s="356"/>
      <c r="AF2519" s="356"/>
      <c r="AG2519" s="356"/>
      <c r="AH2519" s="356"/>
      <c r="AI2519" s="356"/>
      <c r="AJ2519" s="356"/>
      <c r="AK2519" s="356"/>
      <c r="AL2519" s="160"/>
      <c r="AM2519" s="160"/>
      <c r="AN2519" s="358">
        <f>IF(AO$2478&gt;0,'Assumptions (Battery)'!$V$16*(Model!AO$2478*'Assumptions (Battery)'!AM$2+Model!AO$2479*'Assumptions (Battery)'!AM$3*10^6)/10^9,0)</f>
        <v>2.927903497</v>
      </c>
      <c r="AO2519" s="356"/>
      <c r="AP2519" s="356"/>
      <c r="AQ2519" s="356"/>
      <c r="AR2519" s="356"/>
      <c r="AS2519" s="356"/>
      <c r="AT2519" s="356"/>
      <c r="AU2519" s="356"/>
      <c r="AV2519" s="356"/>
      <c r="AW2519" s="356"/>
      <c r="AX2519" s="356"/>
      <c r="AY2519" s="356"/>
      <c r="AZ2519" s="356"/>
      <c r="BA2519" s="356"/>
    </row>
    <row r="2520" ht="15.75" hidden="1" customHeight="1" outlineLevel="1">
      <c r="A2520" s="353"/>
      <c r="B2520" s="38"/>
      <c r="C2520" s="355"/>
      <c r="D2520" s="355"/>
      <c r="E2520" s="355"/>
      <c r="F2520" s="355"/>
      <c r="G2520" s="355"/>
      <c r="H2520" s="355"/>
      <c r="I2520" s="355"/>
      <c r="J2520" s="355"/>
      <c r="K2520" s="355"/>
      <c r="L2520" s="355"/>
      <c r="M2520" s="355"/>
      <c r="N2520" s="355"/>
      <c r="O2520" s="355"/>
      <c r="P2520" s="355"/>
      <c r="Q2520" s="355"/>
      <c r="R2520" s="355"/>
      <c r="S2520" s="355"/>
      <c r="T2520" s="355"/>
      <c r="U2520" s="355"/>
      <c r="V2520" s="355"/>
      <c r="W2520" s="212"/>
      <c r="X2520" s="356"/>
      <c r="Y2520" s="356"/>
      <c r="Z2520" s="356"/>
      <c r="AA2520" s="356"/>
      <c r="AB2520" s="356"/>
      <c r="AC2520" s="356"/>
      <c r="AD2520" s="356"/>
      <c r="AE2520" s="356"/>
      <c r="AF2520" s="356"/>
      <c r="AG2520" s="356"/>
      <c r="AH2520" s="356"/>
      <c r="AI2520" s="356"/>
      <c r="AJ2520" s="356"/>
      <c r="AK2520" s="356"/>
      <c r="AL2520" s="356"/>
      <c r="AM2520" s="160"/>
      <c r="AN2520" s="160"/>
      <c r="AO2520" s="358">
        <f>IF(AP$2478&gt;0,'Assumptions (Battery)'!$V$16*(Model!AP$2478*'Assumptions (Battery)'!AN$2+Model!AP$2479*'Assumptions (Battery)'!AN$3*10^6)/10^9,0)</f>
        <v>2.945664665</v>
      </c>
      <c r="AP2520" s="356"/>
      <c r="AQ2520" s="356"/>
      <c r="AR2520" s="356"/>
      <c r="AS2520" s="356"/>
      <c r="AT2520" s="356"/>
      <c r="AU2520" s="356"/>
      <c r="AV2520" s="356"/>
      <c r="AW2520" s="356"/>
      <c r="AX2520" s="356"/>
      <c r="AY2520" s="356"/>
      <c r="AZ2520" s="356"/>
      <c r="BA2520" s="356"/>
    </row>
    <row r="2521" ht="15.75" hidden="1" customHeight="1" outlineLevel="1">
      <c r="A2521" s="353"/>
      <c r="B2521" s="38"/>
      <c r="C2521" s="355"/>
      <c r="D2521" s="355"/>
      <c r="E2521" s="355"/>
      <c r="F2521" s="355"/>
      <c r="G2521" s="355"/>
      <c r="H2521" s="355"/>
      <c r="I2521" s="355"/>
      <c r="J2521" s="355"/>
      <c r="K2521" s="355"/>
      <c r="L2521" s="355"/>
      <c r="M2521" s="355"/>
      <c r="N2521" s="355"/>
      <c r="O2521" s="355"/>
      <c r="P2521" s="355"/>
      <c r="Q2521" s="355"/>
      <c r="R2521" s="355"/>
      <c r="S2521" s="355"/>
      <c r="T2521" s="355"/>
      <c r="U2521" s="355"/>
      <c r="V2521" s="355"/>
      <c r="W2521" s="212"/>
      <c r="X2521" s="356"/>
      <c r="Y2521" s="356"/>
      <c r="Z2521" s="356"/>
      <c r="AA2521" s="356"/>
      <c r="AB2521" s="356"/>
      <c r="AC2521" s="356"/>
      <c r="AD2521" s="356"/>
      <c r="AE2521" s="356"/>
      <c r="AF2521" s="356"/>
      <c r="AG2521" s="356"/>
      <c r="AH2521" s="356"/>
      <c r="AI2521" s="356"/>
      <c r="AJ2521" s="356"/>
      <c r="AK2521" s="356"/>
      <c r="AL2521" s="356"/>
      <c r="AM2521" s="356"/>
      <c r="AN2521" s="160"/>
      <c r="AO2521" s="160"/>
      <c r="AP2521" s="358">
        <f>IF(AQ$2478&gt;0,'Assumptions (Battery)'!$V$16*(Model!AQ$2478*'Assumptions (Battery)'!AO$2+Model!AQ$2479*'Assumptions (Battery)'!AO$3*10^6)/10^9,0)</f>
        <v>2.964327646</v>
      </c>
      <c r="AQ2521" s="356"/>
      <c r="AR2521" s="356"/>
      <c r="AS2521" s="356"/>
      <c r="AT2521" s="356"/>
      <c r="AU2521" s="356"/>
      <c r="AV2521" s="356"/>
      <c r="AW2521" s="356"/>
      <c r="AX2521" s="356"/>
      <c r="AY2521" s="356"/>
      <c r="AZ2521" s="356"/>
      <c r="BA2521" s="356"/>
    </row>
    <row r="2522" ht="15.75" hidden="1" customHeight="1" outlineLevel="1">
      <c r="A2522" s="353"/>
      <c r="B2522" s="38"/>
      <c r="C2522" s="355"/>
      <c r="D2522" s="355"/>
      <c r="E2522" s="355"/>
      <c r="F2522" s="355"/>
      <c r="G2522" s="355"/>
      <c r="H2522" s="355"/>
      <c r="I2522" s="355"/>
      <c r="J2522" s="355"/>
      <c r="K2522" s="355"/>
      <c r="L2522" s="355"/>
      <c r="M2522" s="355"/>
      <c r="N2522" s="355"/>
      <c r="O2522" s="355"/>
      <c r="P2522" s="355"/>
      <c r="Q2522" s="355"/>
      <c r="R2522" s="355"/>
      <c r="S2522" s="355"/>
      <c r="T2522" s="355"/>
      <c r="U2522" s="355"/>
      <c r="V2522" s="355"/>
      <c r="W2522" s="212"/>
      <c r="X2522" s="356"/>
      <c r="Y2522" s="356"/>
      <c r="Z2522" s="356"/>
      <c r="AA2522" s="356"/>
      <c r="AB2522" s="356"/>
      <c r="AC2522" s="356"/>
      <c r="AD2522" s="356"/>
      <c r="AE2522" s="356"/>
      <c r="AF2522" s="356"/>
      <c r="AG2522" s="356"/>
      <c r="AH2522" s="356"/>
      <c r="AI2522" s="356"/>
      <c r="AJ2522" s="356"/>
      <c r="AK2522" s="356"/>
      <c r="AL2522" s="356"/>
      <c r="AM2522" s="356"/>
      <c r="AN2522" s="356"/>
      <c r="AO2522" s="160"/>
      <c r="AP2522" s="160"/>
      <c r="AQ2522" s="358">
        <f>IF(AR$2478&gt;0,'Assumptions (Battery)'!$V$16*(Model!AR$2478*'Assumptions (Battery)'!AP$2+Model!AR$2479*'Assumptions (Battery)'!AP$3*10^6)/10^9,0)</f>
        <v>2.981248715</v>
      </c>
      <c r="AR2522" s="356"/>
      <c r="AS2522" s="356"/>
      <c r="AT2522" s="356"/>
      <c r="AU2522" s="356"/>
      <c r="AV2522" s="356"/>
      <c r="AW2522" s="356"/>
      <c r="AX2522" s="356"/>
      <c r="AY2522" s="356"/>
      <c r="AZ2522" s="356"/>
      <c r="BA2522" s="356"/>
    </row>
    <row r="2523" ht="15.75" hidden="1" customHeight="1" outlineLevel="1">
      <c r="A2523" s="353"/>
      <c r="B2523" s="38"/>
      <c r="C2523" s="355"/>
      <c r="D2523" s="355"/>
      <c r="E2523" s="355"/>
      <c r="F2523" s="355"/>
      <c r="G2523" s="355"/>
      <c r="H2523" s="355"/>
      <c r="I2523" s="355"/>
      <c r="J2523" s="355"/>
      <c r="K2523" s="355"/>
      <c r="L2523" s="355"/>
      <c r="M2523" s="355"/>
      <c r="N2523" s="355"/>
      <c r="O2523" s="355"/>
      <c r="P2523" s="355"/>
      <c r="Q2523" s="355"/>
      <c r="R2523" s="355"/>
      <c r="S2523" s="355"/>
      <c r="T2523" s="355"/>
      <c r="U2523" s="355"/>
      <c r="V2523" s="355"/>
      <c r="W2523" s="212"/>
      <c r="X2523" s="356"/>
      <c r="Y2523" s="356"/>
      <c r="Z2523" s="356"/>
      <c r="AA2523" s="356"/>
      <c r="AB2523" s="356"/>
      <c r="AC2523" s="356"/>
      <c r="AD2523" s="356"/>
      <c r="AE2523" s="356"/>
      <c r="AF2523" s="356"/>
      <c r="AG2523" s="356"/>
      <c r="AH2523" s="356"/>
      <c r="AI2523" s="356"/>
      <c r="AJ2523" s="356"/>
      <c r="AK2523" s="356"/>
      <c r="AL2523" s="356"/>
      <c r="AM2523" s="356"/>
      <c r="AN2523" s="356"/>
      <c r="AO2523" s="356"/>
      <c r="AP2523" s="160"/>
      <c r="AQ2523" s="160"/>
      <c r="AR2523" s="358">
        <f>IF(AS$2478&gt;0,'Assumptions (Battery)'!$V$16*(Model!AS$2478*'Assumptions (Battery)'!AQ$2+Model!AS$2479*'Assumptions (Battery)'!AQ$3*10^6)/10^9,0)</f>
        <v>2.997701787</v>
      </c>
      <c r="AS2523" s="356"/>
      <c r="AT2523" s="356"/>
      <c r="AU2523" s="356"/>
      <c r="AV2523" s="356"/>
      <c r="AW2523" s="356"/>
      <c r="AX2523" s="356"/>
      <c r="AY2523" s="356"/>
      <c r="AZ2523" s="356"/>
      <c r="BA2523" s="356"/>
    </row>
    <row r="2524" ht="15.75" hidden="1" customHeight="1" outlineLevel="1">
      <c r="A2524" s="353"/>
      <c r="B2524" s="38"/>
      <c r="C2524" s="355"/>
      <c r="D2524" s="355"/>
      <c r="E2524" s="355"/>
      <c r="F2524" s="355"/>
      <c r="G2524" s="355"/>
      <c r="H2524" s="355"/>
      <c r="I2524" s="355"/>
      <c r="J2524" s="355"/>
      <c r="K2524" s="355"/>
      <c r="L2524" s="355"/>
      <c r="M2524" s="355"/>
      <c r="N2524" s="355"/>
      <c r="O2524" s="355"/>
      <c r="P2524" s="355"/>
      <c r="Q2524" s="355"/>
      <c r="R2524" s="355"/>
      <c r="S2524" s="355"/>
      <c r="T2524" s="355"/>
      <c r="U2524" s="355"/>
      <c r="V2524" s="355"/>
      <c r="W2524" s="212"/>
      <c r="X2524" s="356"/>
      <c r="Y2524" s="356"/>
      <c r="Z2524" s="356"/>
      <c r="AA2524" s="356"/>
      <c r="AB2524" s="356"/>
      <c r="AC2524" s="356"/>
      <c r="AD2524" s="356"/>
      <c r="AE2524" s="356"/>
      <c r="AF2524" s="356"/>
      <c r="AG2524" s="356"/>
      <c r="AH2524" s="356"/>
      <c r="AI2524" s="356"/>
      <c r="AJ2524" s="356"/>
      <c r="AK2524" s="356"/>
      <c r="AL2524" s="356"/>
      <c r="AM2524" s="356"/>
      <c r="AN2524" s="356"/>
      <c r="AO2524" s="356"/>
      <c r="AP2524" s="356"/>
      <c r="AQ2524" s="160"/>
      <c r="AR2524" s="160"/>
      <c r="AS2524" s="358">
        <f>IF(AT$2478&gt;0,'Assumptions (Battery)'!$V$16*(Model!AT$2478*'Assumptions (Battery)'!AR$2+Model!AT$2479*'Assumptions (Battery)'!AR$3*10^6)/10^9,0)</f>
        <v>3.01366216</v>
      </c>
      <c r="AT2524" s="356"/>
      <c r="AU2524" s="356"/>
      <c r="AV2524" s="356"/>
      <c r="AW2524" s="356"/>
      <c r="AX2524" s="356"/>
      <c r="AY2524" s="356"/>
      <c r="AZ2524" s="356"/>
      <c r="BA2524" s="356"/>
    </row>
    <row r="2525" ht="15.75" hidden="1" customHeight="1" outlineLevel="1">
      <c r="A2525" s="353"/>
      <c r="B2525" s="38"/>
      <c r="C2525" s="355"/>
      <c r="D2525" s="355"/>
      <c r="E2525" s="355"/>
      <c r="F2525" s="355"/>
      <c r="G2525" s="355"/>
      <c r="H2525" s="355"/>
      <c r="I2525" s="355"/>
      <c r="J2525" s="355"/>
      <c r="K2525" s="355"/>
      <c r="L2525" s="355"/>
      <c r="M2525" s="355"/>
      <c r="N2525" s="355"/>
      <c r="O2525" s="355"/>
      <c r="P2525" s="355"/>
      <c r="Q2525" s="355"/>
      <c r="R2525" s="355"/>
      <c r="S2525" s="355"/>
      <c r="T2525" s="355"/>
      <c r="U2525" s="355"/>
      <c r="V2525" s="355"/>
      <c r="W2525" s="212"/>
      <c r="X2525" s="356"/>
      <c r="Y2525" s="356"/>
      <c r="Z2525" s="356"/>
      <c r="AA2525" s="356"/>
      <c r="AB2525" s="356"/>
      <c r="AC2525" s="356"/>
      <c r="AD2525" s="356"/>
      <c r="AE2525" s="356"/>
      <c r="AF2525" s="356"/>
      <c r="AG2525" s="356"/>
      <c r="AH2525" s="356"/>
      <c r="AI2525" s="356"/>
      <c r="AJ2525" s="356"/>
      <c r="AK2525" s="356"/>
      <c r="AL2525" s="356"/>
      <c r="AM2525" s="356"/>
      <c r="AN2525" s="356"/>
      <c r="AO2525" s="356"/>
      <c r="AP2525" s="356"/>
      <c r="AQ2525" s="356"/>
      <c r="AR2525" s="160"/>
      <c r="AS2525" s="160"/>
      <c r="AT2525" s="358">
        <f>IF(AU$2478&gt;0,'Assumptions (Battery)'!$V$16*(Model!AU$2478*'Assumptions (Battery)'!AS$2+Model!AU$2479*'Assumptions (Battery)'!AS$3*10^6)/10^9,0)</f>
        <v>3.029104349</v>
      </c>
      <c r="AU2525" s="356"/>
      <c r="AV2525" s="356"/>
      <c r="AW2525" s="356"/>
      <c r="AX2525" s="356"/>
      <c r="AY2525" s="356"/>
      <c r="AZ2525" s="356"/>
      <c r="BA2525" s="356"/>
    </row>
    <row r="2526" ht="15.75" hidden="1" customHeight="1" outlineLevel="1">
      <c r="A2526" s="353"/>
      <c r="B2526" s="38"/>
      <c r="C2526" s="355"/>
      <c r="D2526" s="355"/>
      <c r="E2526" s="355"/>
      <c r="F2526" s="355"/>
      <c r="G2526" s="355"/>
      <c r="H2526" s="355"/>
      <c r="I2526" s="355"/>
      <c r="J2526" s="355"/>
      <c r="K2526" s="355"/>
      <c r="L2526" s="355"/>
      <c r="M2526" s="355"/>
      <c r="N2526" s="355"/>
      <c r="O2526" s="355"/>
      <c r="P2526" s="355"/>
      <c r="Q2526" s="355"/>
      <c r="R2526" s="355"/>
      <c r="S2526" s="355"/>
      <c r="T2526" s="355"/>
      <c r="U2526" s="355"/>
      <c r="V2526" s="355"/>
      <c r="W2526" s="212"/>
      <c r="X2526" s="356"/>
      <c r="Y2526" s="356"/>
      <c r="Z2526" s="356"/>
      <c r="AA2526" s="356"/>
      <c r="AB2526" s="356"/>
      <c r="AC2526" s="356"/>
      <c r="AD2526" s="356"/>
      <c r="AE2526" s="356"/>
      <c r="AF2526" s="356"/>
      <c r="AG2526" s="356"/>
      <c r="AH2526" s="356"/>
      <c r="AI2526" s="356"/>
      <c r="AJ2526" s="356"/>
      <c r="AK2526" s="356"/>
      <c r="AL2526" s="356"/>
      <c r="AM2526" s="356"/>
      <c r="AN2526" s="356"/>
      <c r="AO2526" s="356"/>
      <c r="AP2526" s="356"/>
      <c r="AQ2526" s="356"/>
      <c r="AR2526" s="356"/>
      <c r="AS2526" s="160"/>
      <c r="AT2526" s="160"/>
      <c r="AU2526" s="358">
        <f>IF(AV$2478&gt;0,'Assumptions (Battery)'!$V$16*(Model!AV$2478*'Assumptions (Battery)'!AT$2+Model!AV$2479*'Assumptions (Battery)'!AT$3*10^6)/10^9,0)</f>
        <v>3.0248183</v>
      </c>
      <c r="AV2526" s="356"/>
      <c r="AW2526" s="356"/>
      <c r="AX2526" s="356"/>
      <c r="AY2526" s="356"/>
      <c r="AZ2526" s="356"/>
      <c r="BA2526" s="356"/>
    </row>
    <row r="2527" ht="15.75" hidden="1" customHeight="1" outlineLevel="1">
      <c r="A2527" s="353"/>
      <c r="B2527" s="38"/>
      <c r="C2527" s="355"/>
      <c r="D2527" s="355"/>
      <c r="E2527" s="355"/>
      <c r="F2527" s="355"/>
      <c r="G2527" s="355"/>
      <c r="H2527" s="355"/>
      <c r="I2527" s="355"/>
      <c r="J2527" s="355"/>
      <c r="K2527" s="355"/>
      <c r="L2527" s="355"/>
      <c r="M2527" s="355"/>
      <c r="N2527" s="355"/>
      <c r="O2527" s="355"/>
      <c r="P2527" s="355"/>
      <c r="Q2527" s="355"/>
      <c r="R2527" s="355"/>
      <c r="S2527" s="355"/>
      <c r="T2527" s="355"/>
      <c r="U2527" s="355"/>
      <c r="V2527" s="355"/>
      <c r="W2527" s="212"/>
      <c r="X2527" s="356"/>
      <c r="Y2527" s="356"/>
      <c r="Z2527" s="356"/>
      <c r="AA2527" s="356"/>
      <c r="AB2527" s="356"/>
      <c r="AC2527" s="356"/>
      <c r="AD2527" s="356"/>
      <c r="AE2527" s="356"/>
      <c r="AF2527" s="356"/>
      <c r="AG2527" s="356"/>
      <c r="AH2527" s="356"/>
      <c r="AI2527" s="356"/>
      <c r="AJ2527" s="356"/>
      <c r="AK2527" s="356"/>
      <c r="AL2527" s="356"/>
      <c r="AM2527" s="356"/>
      <c r="AN2527" s="356"/>
      <c r="AO2527" s="356"/>
      <c r="AP2527" s="356"/>
      <c r="AQ2527" s="356"/>
      <c r="AR2527" s="356"/>
      <c r="AS2527" s="356"/>
      <c r="AT2527" s="160"/>
      <c r="AU2527" s="160"/>
      <c r="AV2527" s="358">
        <f>IF(AW$2478&gt;0,'Assumptions (Battery)'!$V$16*(Model!AW$2478*'Assumptions (Battery)'!AU$2+Model!AW$2479*'Assumptions (Battery)'!AU$3*10^6)/10^9,0)</f>
        <v>3.038770156</v>
      </c>
      <c r="AW2527" s="356"/>
      <c r="AX2527" s="356"/>
      <c r="AY2527" s="356"/>
      <c r="AZ2527" s="356"/>
      <c r="BA2527" s="356"/>
    </row>
    <row r="2528" ht="15.75" hidden="1" customHeight="1" outlineLevel="1">
      <c r="A2528" s="353"/>
      <c r="B2528" s="38"/>
      <c r="C2528" s="355"/>
      <c r="D2528" s="355"/>
      <c r="E2528" s="355"/>
      <c r="F2528" s="355"/>
      <c r="G2528" s="355"/>
      <c r="H2528" s="355"/>
      <c r="I2528" s="355"/>
      <c r="J2528" s="355"/>
      <c r="K2528" s="355"/>
      <c r="L2528" s="355"/>
      <c r="M2528" s="355"/>
      <c r="N2528" s="355"/>
      <c r="O2528" s="355"/>
      <c r="P2528" s="355"/>
      <c r="Q2528" s="355"/>
      <c r="R2528" s="355"/>
      <c r="S2528" s="355"/>
      <c r="T2528" s="355"/>
      <c r="U2528" s="355"/>
      <c r="V2528" s="355"/>
      <c r="W2528" s="212"/>
      <c r="X2528" s="356"/>
      <c r="Y2528" s="356"/>
      <c r="Z2528" s="356"/>
      <c r="AA2528" s="356"/>
      <c r="AB2528" s="356"/>
      <c r="AC2528" s="356"/>
      <c r="AD2528" s="356"/>
      <c r="AE2528" s="356"/>
      <c r="AF2528" s="356"/>
      <c r="AG2528" s="356"/>
      <c r="AH2528" s="356"/>
      <c r="AI2528" s="356"/>
      <c r="AJ2528" s="356"/>
      <c r="AK2528" s="356"/>
      <c r="AL2528" s="356"/>
      <c r="AM2528" s="356"/>
      <c r="AN2528" s="356"/>
      <c r="AO2528" s="356"/>
      <c r="AP2528" s="356"/>
      <c r="AQ2528" s="356"/>
      <c r="AR2528" s="356"/>
      <c r="AS2528" s="356"/>
      <c r="AT2528" s="356"/>
      <c r="AU2528" s="160"/>
      <c r="AV2528" s="160"/>
      <c r="AW2528" s="358">
        <f>IF(AX$2478&gt;0,'Assumptions (Battery)'!$V$16*(Model!AX$2478*'Assumptions (Battery)'!AV$2+Model!AX$2479*'Assumptions (Battery)'!AV$3*10^6)/10^9,0)</f>
        <v>3.052115139</v>
      </c>
      <c r="AX2528" s="356"/>
      <c r="AY2528" s="356"/>
      <c r="AZ2528" s="356"/>
      <c r="BA2528" s="356"/>
    </row>
    <row r="2529" ht="15.75" hidden="1" customHeight="1" outlineLevel="1">
      <c r="A2529" s="353"/>
      <c r="B2529" s="38"/>
      <c r="C2529" s="355"/>
      <c r="D2529" s="355"/>
      <c r="E2529" s="355"/>
      <c r="F2529" s="355"/>
      <c r="G2529" s="355"/>
      <c r="H2529" s="355"/>
      <c r="I2529" s="355"/>
      <c r="J2529" s="355"/>
      <c r="K2529" s="355"/>
      <c r="L2529" s="355"/>
      <c r="M2529" s="355"/>
      <c r="N2529" s="355"/>
      <c r="O2529" s="355"/>
      <c r="P2529" s="355"/>
      <c r="Q2529" s="355"/>
      <c r="R2529" s="355"/>
      <c r="S2529" s="355"/>
      <c r="T2529" s="355"/>
      <c r="U2529" s="355"/>
      <c r="V2529" s="355"/>
      <c r="W2529" s="212"/>
      <c r="X2529" s="356"/>
      <c r="Y2529" s="356"/>
      <c r="Z2529" s="356"/>
      <c r="AA2529" s="356"/>
      <c r="AB2529" s="356"/>
      <c r="AC2529" s="356"/>
      <c r="AD2529" s="356"/>
      <c r="AE2529" s="356"/>
      <c r="AF2529" s="356"/>
      <c r="AG2529" s="356"/>
      <c r="AH2529" s="356"/>
      <c r="AI2529" s="356"/>
      <c r="AJ2529" s="356"/>
      <c r="AK2529" s="356"/>
      <c r="AL2529" s="356"/>
      <c r="AM2529" s="356"/>
      <c r="AN2529" s="356"/>
      <c r="AO2529" s="356"/>
      <c r="AP2529" s="356"/>
      <c r="AQ2529" s="356"/>
      <c r="AR2529" s="356"/>
      <c r="AS2529" s="356"/>
      <c r="AT2529" s="356"/>
      <c r="AU2529" s="356"/>
      <c r="AV2529" s="160"/>
      <c r="AW2529" s="160"/>
      <c r="AX2529" s="358">
        <f>IF(AY$2478&gt;0,'Assumptions (Battery)'!$V$16*(Model!AY$2478*'Assumptions (Battery)'!AW$2+Model!AY$2479*'Assumptions (Battery)'!AW$3*10^6)/10^9,0)</f>
        <v>3.06482426</v>
      </c>
      <c r="AY2529" s="356"/>
      <c r="AZ2529" s="356"/>
      <c r="BA2529" s="356"/>
    </row>
    <row r="2530" ht="15.75" hidden="1" customHeight="1" outlineLevel="1">
      <c r="A2530" s="353"/>
      <c r="B2530" s="38"/>
      <c r="C2530" s="355"/>
      <c r="D2530" s="355"/>
      <c r="E2530" s="355"/>
      <c r="F2530" s="355"/>
      <c r="G2530" s="355"/>
      <c r="H2530" s="355"/>
      <c r="I2530" s="355"/>
      <c r="J2530" s="355"/>
      <c r="K2530" s="355"/>
      <c r="L2530" s="355"/>
      <c r="M2530" s="355"/>
      <c r="N2530" s="355"/>
      <c r="O2530" s="355"/>
      <c r="P2530" s="355"/>
      <c r="Q2530" s="355"/>
      <c r="R2530" s="355"/>
      <c r="S2530" s="355"/>
      <c r="T2530" s="355"/>
      <c r="U2530" s="355"/>
      <c r="V2530" s="355"/>
      <c r="W2530" s="212"/>
      <c r="X2530" s="356"/>
      <c r="Y2530" s="356"/>
      <c r="Z2530" s="356"/>
      <c r="AA2530" s="356"/>
      <c r="AB2530" s="356"/>
      <c r="AC2530" s="356"/>
      <c r="AD2530" s="356"/>
      <c r="AE2530" s="356"/>
      <c r="AF2530" s="356"/>
      <c r="AG2530" s="356"/>
      <c r="AH2530" s="356"/>
      <c r="AI2530" s="356"/>
      <c r="AJ2530" s="356"/>
      <c r="AK2530" s="356"/>
      <c r="AL2530" s="356"/>
      <c r="AM2530" s="356"/>
      <c r="AN2530" s="356"/>
      <c r="AO2530" s="356"/>
      <c r="AP2530" s="356"/>
      <c r="AQ2530" s="356"/>
      <c r="AR2530" s="356"/>
      <c r="AS2530" s="356"/>
      <c r="AT2530" s="356"/>
      <c r="AU2530" s="356"/>
      <c r="AV2530" s="356"/>
      <c r="AW2530" s="160"/>
      <c r="AX2530" s="160"/>
      <c r="AY2530" s="358">
        <f>IF(AZ$2478&gt;0,'Assumptions (Battery)'!$V$16*(Model!AZ$2478*'Assumptions (Battery)'!AX$2+Model!AZ$2479*'Assumptions (Battery)'!AX$3*10^6)/10^9,0)</f>
        <v>3.077069377</v>
      </c>
      <c r="AZ2530" s="356"/>
      <c r="BA2530" s="356"/>
    </row>
    <row r="2531" ht="15.75" hidden="1" customHeight="1" outlineLevel="1">
      <c r="A2531" s="353"/>
      <c r="B2531" s="38"/>
      <c r="C2531" s="355"/>
      <c r="D2531" s="355"/>
      <c r="E2531" s="355"/>
      <c r="F2531" s="355"/>
      <c r="G2531" s="355"/>
      <c r="H2531" s="355"/>
      <c r="I2531" s="355"/>
      <c r="J2531" s="355"/>
      <c r="K2531" s="355"/>
      <c r="L2531" s="355"/>
      <c r="M2531" s="355"/>
      <c r="N2531" s="355"/>
      <c r="O2531" s="355"/>
      <c r="P2531" s="355"/>
      <c r="Q2531" s="355"/>
      <c r="R2531" s="355"/>
      <c r="S2531" s="355"/>
      <c r="T2531" s="355"/>
      <c r="U2531" s="355"/>
      <c r="V2531" s="355"/>
      <c r="W2531" s="212"/>
      <c r="X2531" s="356"/>
      <c r="Y2531" s="356"/>
      <c r="Z2531" s="356"/>
      <c r="AA2531" s="356"/>
      <c r="AB2531" s="356"/>
      <c r="AC2531" s="356"/>
      <c r="AD2531" s="356"/>
      <c r="AE2531" s="356"/>
      <c r="AF2531" s="356"/>
      <c r="AG2531" s="356"/>
      <c r="AH2531" s="356"/>
      <c r="AI2531" s="356"/>
      <c r="AJ2531" s="356"/>
      <c r="AK2531" s="356"/>
      <c r="AL2531" s="356"/>
      <c r="AM2531" s="356"/>
      <c r="AN2531" s="356"/>
      <c r="AO2531" s="356"/>
      <c r="AP2531" s="356"/>
      <c r="AQ2531" s="356"/>
      <c r="AR2531" s="356"/>
      <c r="AS2531" s="356"/>
      <c r="AT2531" s="356"/>
      <c r="AU2531" s="356"/>
      <c r="AV2531" s="356"/>
      <c r="AW2531" s="356"/>
      <c r="AX2531" s="160"/>
      <c r="AY2531" s="160"/>
      <c r="AZ2531" s="358">
        <f>IF(BA$2478&gt;0,'Assumptions (Battery)'!$V$16*(Model!BA$2478*'Assumptions (Battery)'!AY$2+Model!BA$2479*'Assumptions (Battery)'!AY$3*10^6)/10^9,0)</f>
        <v>3.088214433</v>
      </c>
      <c r="BA2531" s="356"/>
    </row>
    <row r="2532" ht="15.75" customHeight="1" collapsed="1">
      <c r="A2532" s="345" t="s">
        <v>52</v>
      </c>
      <c r="B2532" s="150" t="s">
        <v>351</v>
      </c>
      <c r="C2532" s="279">
        <f>'Assumptions (Battery)'!$V$7*Model!C2480</f>
        <v>0</v>
      </c>
      <c r="D2532" s="279">
        <f>'Assumptions (Battery)'!$V$7*Model!D2480</f>
        <v>0</v>
      </c>
      <c r="E2532" s="279">
        <f>'Assumptions (Battery)'!$V$7*Model!E2480</f>
        <v>0</v>
      </c>
      <c r="F2532" s="279">
        <f>'Assumptions (Battery)'!$V$7*Model!F2480</f>
        <v>0</v>
      </c>
      <c r="G2532" s="279">
        <f>'Assumptions (Battery)'!$V$7*Model!G2480</f>
        <v>0</v>
      </c>
      <c r="H2532" s="279">
        <f>'Assumptions (Battery)'!$V$7*Model!H2480</f>
        <v>0</v>
      </c>
      <c r="I2532" s="279">
        <f>'Assumptions (Battery)'!$V$7*Model!I2480</f>
        <v>0</v>
      </c>
      <c r="J2532" s="279">
        <f>'Assumptions (Battery)'!$V$7*Model!J2480</f>
        <v>0</v>
      </c>
      <c r="K2532" s="279">
        <f>'Assumptions (Battery)'!$V$7*Model!K2480</f>
        <v>0</v>
      </c>
      <c r="L2532" s="279">
        <f>'Assumptions (Battery)'!$V$7*Model!L2480</f>
        <v>0</v>
      </c>
      <c r="M2532" s="279">
        <f>'Assumptions (Battery)'!$V$7*Model!M2480</f>
        <v>0</v>
      </c>
      <c r="N2532" s="279">
        <f>'Assumptions (Battery)'!$V$7*Model!N2480</f>
        <v>0</v>
      </c>
      <c r="O2532" s="279">
        <f>'Assumptions (Battery)'!$V$7*Model!O2480</f>
        <v>0</v>
      </c>
      <c r="P2532" s="279">
        <f>'Assumptions (Battery)'!$V$7*Model!P2480</f>
        <v>0</v>
      </c>
      <c r="Q2532" s="279">
        <f>'Assumptions (Battery)'!$V$7*Model!Q2480</f>
        <v>0.0004009120761</v>
      </c>
      <c r="R2532" s="279">
        <f>'Assumptions (Battery)'!$V$7*Model!R2480</f>
        <v>0</v>
      </c>
      <c r="S2532" s="279">
        <f>'Assumptions (Battery)'!$V$7*Model!S2480</f>
        <v>0.0007234851806</v>
      </c>
      <c r="T2532" s="279">
        <f>'Assumptions (Battery)'!$V$7*Model!T2480</f>
        <v>0.001374468808</v>
      </c>
      <c r="U2532" s="279">
        <f>'Assumptions (Battery)'!$V$7*Model!U2480</f>
        <v>0</v>
      </c>
      <c r="V2532" s="279">
        <f>'Assumptions (Battery)'!$V$7*Model!V2480</f>
        <v>0</v>
      </c>
      <c r="W2532" s="160">
        <f>'Assumptions (Battery)'!$V$7*Model!W2480</f>
        <v>0.4119996251</v>
      </c>
      <c r="X2532" s="160">
        <f>'Assumptions (Battery)'!$V$7*Model!X2480</f>
        <v>0.3933947371</v>
      </c>
      <c r="Y2532" s="160">
        <f>'Assumptions (Battery)'!$V$7*Model!Y2480</f>
        <v>0.3752564853</v>
      </c>
      <c r="Z2532" s="160">
        <f>'Assumptions (Battery)'!$V$7*Model!Z2480</f>
        <v>0.3548850974</v>
      </c>
      <c r="AA2532" s="160">
        <f>'Assumptions (Battery)'!$V$7*Model!AA2480</f>
        <v>0.334978568</v>
      </c>
      <c r="AB2532" s="160">
        <f>'Assumptions (Battery)'!$V$7*Model!AB2480</f>
        <v>0.3126294065</v>
      </c>
      <c r="AC2532" s="160">
        <f>'Assumptions (Battery)'!$V$7*Model!AC2480</f>
        <v>0.3064486115</v>
      </c>
      <c r="AD2532" s="160">
        <f>'Assumptions (Battery)'!$V$7*Model!AD2480</f>
        <v>0.3012889608</v>
      </c>
      <c r="AE2532" s="160">
        <f>'Assumptions (Battery)'!$V$7*Model!AE2480</f>
        <v>0.2942961333</v>
      </c>
      <c r="AF2532" s="160">
        <f>'Assumptions (Battery)'!$V$7*Model!AF2480</f>
        <v>0.2870248593</v>
      </c>
      <c r="AG2532" s="160">
        <f>'Assumptions (Battery)'!$V$7*Model!AG2480</f>
        <v>0.2808215893</v>
      </c>
      <c r="AH2532" s="160">
        <f>'Assumptions (Battery)'!$V$7*Model!AH2480</f>
        <v>0.2828991277</v>
      </c>
      <c r="AI2532" s="160">
        <f>'Assumptions (Battery)'!$V$7*Model!AI2480</f>
        <v>0.2848753553</v>
      </c>
      <c r="AJ2532" s="160">
        <f>'Assumptions (Battery)'!$V$7*Model!AJ2480</f>
        <v>0.28538379</v>
      </c>
      <c r="AK2532" s="160">
        <f>'Assumptions (Battery)'!$V$7*Model!AK2480</f>
        <v>0.287382792</v>
      </c>
      <c r="AL2532" s="160">
        <f>'Assumptions (Battery)'!$V$7*Model!AL2480</f>
        <v>0.2891206287</v>
      </c>
      <c r="AM2532" s="160">
        <f>'Assumptions (Battery)'!$V$7*Model!AM2480</f>
        <v>0.2909743448</v>
      </c>
      <c r="AN2532" s="160">
        <f>'Assumptions (Battery)'!$V$7*Model!AN2480</f>
        <v>0.5855806993</v>
      </c>
      <c r="AO2532" s="160">
        <f>'Assumptions (Battery)'!$V$7*Model!AO2480</f>
        <v>0.589132933</v>
      </c>
      <c r="AP2532" s="160">
        <f>'Assumptions (Battery)'!$V$7*Model!AP2480</f>
        <v>0.5928655292</v>
      </c>
      <c r="AQ2532" s="160">
        <f>'Assumptions (Battery)'!$V$7*Model!AQ2480</f>
        <v>0.5962497431</v>
      </c>
      <c r="AR2532" s="160">
        <f>'Assumptions (Battery)'!$V$7*Model!AR2480</f>
        <v>0.5995403574</v>
      </c>
      <c r="AS2532" s="160">
        <f>'Assumptions (Battery)'!$V$7*Model!AS2480</f>
        <v>0.602732432</v>
      </c>
      <c r="AT2532" s="160">
        <f>'Assumptions (Battery)'!$V$7*Model!AT2480</f>
        <v>0.6058208697</v>
      </c>
      <c r="AU2532" s="160">
        <f>'Assumptions (Battery)'!$V$7*Model!AU2480</f>
        <v>0.60496366</v>
      </c>
      <c r="AV2532" s="160">
        <f>'Assumptions (Battery)'!$V$7*Model!AV2480</f>
        <v>0.6077540313</v>
      </c>
      <c r="AW2532" s="160">
        <f>'Assumptions (Battery)'!$V$7*Model!AW2480</f>
        <v>0.6104230279</v>
      </c>
      <c r="AX2532" s="160">
        <f>'Assumptions (Battery)'!$V$7*Model!AX2480</f>
        <v>0.612964852</v>
      </c>
      <c r="AY2532" s="160">
        <f>'Assumptions (Battery)'!$V$7*Model!AY2480</f>
        <v>0.6154138755</v>
      </c>
      <c r="AZ2532" s="160">
        <f>'Assumptions (Battery)'!$V$7*Model!AZ2480</f>
        <v>0.6176428867</v>
      </c>
      <c r="BA2532" s="160">
        <f>'Assumptions (Battery)'!$V$7*Model!BA2480</f>
        <v>0</v>
      </c>
    </row>
    <row r="2533" ht="15.75" customHeight="1">
      <c r="A2533" s="345" t="s">
        <v>54</v>
      </c>
      <c r="B2533" s="150" t="s">
        <v>351</v>
      </c>
      <c r="C2533" s="279">
        <f>'Assumptions (Battery)'!$V$8*Model!C2480</f>
        <v>0</v>
      </c>
      <c r="D2533" s="279">
        <f>'Assumptions (Battery)'!$V$8*Model!D2480</f>
        <v>0</v>
      </c>
      <c r="E2533" s="279">
        <f>'Assumptions (Battery)'!$V$8*Model!E2480</f>
        <v>0</v>
      </c>
      <c r="F2533" s="279">
        <f>'Assumptions (Battery)'!$V$8*Model!F2480</f>
        <v>0</v>
      </c>
      <c r="G2533" s="279">
        <f>'Assumptions (Battery)'!$V$8*Model!G2480</f>
        <v>0</v>
      </c>
      <c r="H2533" s="279">
        <f>'Assumptions (Battery)'!$V$8*Model!H2480</f>
        <v>0</v>
      </c>
      <c r="I2533" s="279">
        <f>'Assumptions (Battery)'!$V$8*Model!I2480</f>
        <v>0</v>
      </c>
      <c r="J2533" s="279">
        <f>'Assumptions (Battery)'!$V$8*Model!J2480</f>
        <v>0</v>
      </c>
      <c r="K2533" s="279">
        <f>'Assumptions (Battery)'!$V$8*Model!K2480</f>
        <v>0</v>
      </c>
      <c r="L2533" s="279">
        <f>'Assumptions (Battery)'!$V$8*Model!L2480</f>
        <v>0</v>
      </c>
      <c r="M2533" s="279">
        <f>'Assumptions (Battery)'!$V$8*Model!M2480</f>
        <v>0</v>
      </c>
      <c r="N2533" s="279">
        <f>'Assumptions (Battery)'!$V$8*Model!N2480</f>
        <v>0</v>
      </c>
      <c r="O2533" s="279">
        <f>'Assumptions (Battery)'!$V$8*Model!O2480</f>
        <v>0</v>
      </c>
      <c r="P2533" s="279">
        <f>'Assumptions (Battery)'!$V$8*Model!P2480</f>
        <v>0</v>
      </c>
      <c r="Q2533" s="279">
        <f>'Assumptions (Battery)'!$V$8*Model!Q2480</f>
        <v>0.001603648304</v>
      </c>
      <c r="R2533" s="279">
        <f>'Assumptions (Battery)'!$V$8*Model!R2480</f>
        <v>0</v>
      </c>
      <c r="S2533" s="279">
        <f>'Assumptions (Battery)'!$V$8*Model!S2480</f>
        <v>0.002893940722</v>
      </c>
      <c r="T2533" s="279">
        <f>'Assumptions (Battery)'!$V$8*Model!T2480</f>
        <v>0.005497875231</v>
      </c>
      <c r="U2533" s="279">
        <f>'Assumptions (Battery)'!$V$8*Model!U2480</f>
        <v>0</v>
      </c>
      <c r="V2533" s="279">
        <f>'Assumptions (Battery)'!$V$8*Model!V2480</f>
        <v>0</v>
      </c>
      <c r="W2533" s="160">
        <f>'Assumptions (Battery)'!$V$8*Model!W2480</f>
        <v>1.6479985</v>
      </c>
      <c r="X2533" s="160">
        <f>'Assumptions (Battery)'!$V$8*Model!X2480</f>
        <v>1.573578948</v>
      </c>
      <c r="Y2533" s="160">
        <f>'Assumptions (Battery)'!$V$8*Model!Y2480</f>
        <v>1.501025941</v>
      </c>
      <c r="Z2533" s="160">
        <f>'Assumptions (Battery)'!$V$8*Model!Z2480</f>
        <v>1.41954039</v>
      </c>
      <c r="AA2533" s="160">
        <f>'Assumptions (Battery)'!$V$8*Model!AA2480</f>
        <v>1.339914272</v>
      </c>
      <c r="AB2533" s="160">
        <f>'Assumptions (Battery)'!$V$8*Model!AB2480</f>
        <v>1.250517626</v>
      </c>
      <c r="AC2533" s="160">
        <f>'Assumptions (Battery)'!$V$8*Model!AC2480</f>
        <v>1.225794446</v>
      </c>
      <c r="AD2533" s="160">
        <f>'Assumptions (Battery)'!$V$8*Model!AD2480</f>
        <v>1.205155843</v>
      </c>
      <c r="AE2533" s="160">
        <f>'Assumptions (Battery)'!$V$8*Model!AE2480</f>
        <v>1.177184533</v>
      </c>
      <c r="AF2533" s="160">
        <f>'Assumptions (Battery)'!$V$8*Model!AF2480</f>
        <v>1.148099437</v>
      </c>
      <c r="AG2533" s="160">
        <f>'Assumptions (Battery)'!$V$8*Model!AG2480</f>
        <v>1.123286357</v>
      </c>
      <c r="AH2533" s="160">
        <f>'Assumptions (Battery)'!$V$8*Model!AH2480</f>
        <v>1.131596511</v>
      </c>
      <c r="AI2533" s="160">
        <f>'Assumptions (Battery)'!$V$8*Model!AI2480</f>
        <v>1.139501421</v>
      </c>
      <c r="AJ2533" s="160">
        <f>'Assumptions (Battery)'!$V$8*Model!AJ2480</f>
        <v>1.14153516</v>
      </c>
      <c r="AK2533" s="160">
        <f>'Assumptions (Battery)'!$V$8*Model!AK2480</f>
        <v>1.149531168</v>
      </c>
      <c r="AL2533" s="160">
        <f>'Assumptions (Battery)'!$V$8*Model!AL2480</f>
        <v>1.156482515</v>
      </c>
      <c r="AM2533" s="160">
        <f>'Assumptions (Battery)'!$V$8*Model!AM2480</f>
        <v>1.163897379</v>
      </c>
      <c r="AN2533" s="160">
        <f>'Assumptions (Battery)'!$V$8*Model!AN2480</f>
        <v>2.342322797</v>
      </c>
      <c r="AO2533" s="160">
        <f>'Assumptions (Battery)'!$V$8*Model!AO2480</f>
        <v>2.356531732</v>
      </c>
      <c r="AP2533" s="160">
        <f>'Assumptions (Battery)'!$V$8*Model!AP2480</f>
        <v>2.371462117</v>
      </c>
      <c r="AQ2533" s="160">
        <f>'Assumptions (Battery)'!$V$8*Model!AQ2480</f>
        <v>2.384998972</v>
      </c>
      <c r="AR2533" s="160">
        <f>'Assumptions (Battery)'!$V$8*Model!AR2480</f>
        <v>2.39816143</v>
      </c>
      <c r="AS2533" s="160">
        <f>'Assumptions (Battery)'!$V$8*Model!AS2480</f>
        <v>2.410929728</v>
      </c>
      <c r="AT2533" s="160">
        <f>'Assumptions (Battery)'!$V$8*Model!AT2480</f>
        <v>2.423283479</v>
      </c>
      <c r="AU2533" s="160">
        <f>'Assumptions (Battery)'!$V$8*Model!AU2480</f>
        <v>2.41985464</v>
      </c>
      <c r="AV2533" s="160">
        <f>'Assumptions (Battery)'!$V$8*Model!AV2480</f>
        <v>2.431016125</v>
      </c>
      <c r="AW2533" s="160">
        <f>'Assumptions (Battery)'!$V$8*Model!AW2480</f>
        <v>2.441692111</v>
      </c>
      <c r="AX2533" s="160">
        <f>'Assumptions (Battery)'!$V$8*Model!AX2480</f>
        <v>2.451859408</v>
      </c>
      <c r="AY2533" s="160">
        <f>'Assumptions (Battery)'!$V$8*Model!AY2480</f>
        <v>2.461655502</v>
      </c>
      <c r="AZ2533" s="160">
        <f>'Assumptions (Battery)'!$V$8*Model!AZ2480</f>
        <v>2.470571547</v>
      </c>
      <c r="BA2533" s="160">
        <f>'Assumptions (Battery)'!$V$8*Model!BA2480</f>
        <v>0</v>
      </c>
    </row>
    <row r="2534" ht="15.75" customHeight="1">
      <c r="A2534" s="345" t="s">
        <v>359</v>
      </c>
      <c r="B2534" s="150" t="s">
        <v>351</v>
      </c>
      <c r="C2534" s="177">
        <f t="array" ref="C2534">SUM(IF(ISERROR(C2535:C2585),"",C2535:C2585))</f>
        <v>0</v>
      </c>
      <c r="D2534" s="177">
        <f t="array" ref="D2534">SUM(IF(ISERROR(D2535:D2585),"",D2535:D2585))</f>
        <v>0</v>
      </c>
      <c r="E2534" s="177">
        <f t="array" ref="E2534">SUM(IF(ISERROR(E2535:E2585),"",E2535:E2585))</f>
        <v>0</v>
      </c>
      <c r="F2534" s="177">
        <f t="array" ref="F2534">SUM(IF(ISERROR(F2535:F2585),"",F2535:F2585))</f>
        <v>0</v>
      </c>
      <c r="G2534" s="177">
        <f t="array" ref="G2534">SUM(IF(ISERROR(G2535:G2585),"",G2535:G2585))</f>
        <v>0</v>
      </c>
      <c r="H2534" s="177">
        <f t="array" ref="H2534">SUM(IF(ISERROR(H2535:H2585),"",H2535:H2585))</f>
        <v>0</v>
      </c>
      <c r="I2534" s="177">
        <f t="array" ref="I2534">SUM(IF(ISERROR(I2535:I2585),"",I2535:I2585))</f>
        <v>0</v>
      </c>
      <c r="J2534" s="177">
        <f t="array" ref="J2534">SUM(IF(ISERROR(J2535:J2585),"",J2535:J2585))</f>
        <v>0</v>
      </c>
      <c r="K2534" s="177">
        <f t="array" ref="K2534">SUM(IF(ISERROR(K2535:K2585),"",K2535:K2585))</f>
        <v>0</v>
      </c>
      <c r="L2534" s="177">
        <f t="array" ref="L2534">SUM(IF(ISERROR(L2535:L2585),"",L2535:L2585))</f>
        <v>0</v>
      </c>
      <c r="M2534" s="177">
        <f t="array" ref="M2534">SUM(IF(ISERROR(M2535:M2585),"",M2535:M2585))</f>
        <v>0</v>
      </c>
      <c r="N2534" s="177">
        <f t="array" ref="N2534">SUM(IF(ISERROR(N2535:N2585),"",N2535:N2585))</f>
        <v>0</v>
      </c>
      <c r="O2534" s="177">
        <f t="array" ref="O2534">SUM(IF(ISERROR(O2535:O2585),"",O2535:O2585))</f>
        <v>0</v>
      </c>
      <c r="P2534" s="177">
        <f t="array" ref="P2534">SUM(IF(ISERROR(P2535:P2585),"",P2535:P2585))</f>
        <v>0</v>
      </c>
      <c r="Q2534" s="177">
        <f t="array" ref="Q2534">SUM(IF(ISERROR(Q2535:Q2585),"",Q2535:Q2585))</f>
        <v>0</v>
      </c>
      <c r="R2534" s="177">
        <f t="array" ref="R2534">SUM(IF(ISERROR(R2535:R2585),"",R2535:R2585))</f>
        <v>0</v>
      </c>
      <c r="S2534" s="177">
        <f t="array" ref="S2534">SUM(IF(ISERROR(S2535:S2585),"",S2535:S2585))</f>
        <v>0</v>
      </c>
      <c r="T2534" s="177">
        <f t="array" ref="T2534">SUM(IF(ISERROR(T2535:T2585),"",T2535:T2585))</f>
        <v>-0.00009487887903</v>
      </c>
      <c r="U2534" s="177">
        <f t="array" ref="U2534">SUM(IF(ISERROR(U2535:U2585),"",U2535:U2585))</f>
        <v>-0.0001024691894</v>
      </c>
      <c r="V2534" s="177">
        <f t="array" ref="V2534">SUM(IF(ISERROR(V2535:V2585),"",V2535:V2585))</f>
        <v>-0.0001106667245</v>
      </c>
      <c r="W2534" s="177">
        <f t="array" ref="W2534">SUM(IF(ISERROR(W2535:W2585),"",W2535:W2585))</f>
        <v>-0.0001195200625</v>
      </c>
      <c r="X2534" s="160">
        <f t="array" ref="X2534">SUM(IF(ISERROR(X2535:X2585),"",X2535:X2585))</f>
        <v>-0.02728491923</v>
      </c>
      <c r="Y2534" s="160">
        <f t="array" ref="Y2534">SUM(IF(ISERROR(Y2535:Y2585),"",Y2535:Y2585))</f>
        <v>-0.05537147607</v>
      </c>
      <c r="Z2534" s="160">
        <f t="array" ref="Z2534">SUM(IF(ISERROR(Z2535:Z2585),"",Z2535:Z2585))</f>
        <v>-0.08429873098</v>
      </c>
      <c r="AA2534" s="160">
        <f t="array" ref="AA2534">SUM(IF(ISERROR(AA2535:AA2585),"",AA2535:AA2585))</f>
        <v>-0.1141660287</v>
      </c>
      <c r="AB2534" s="160">
        <f t="array" ref="AB2534">SUM(IF(ISERROR(AB2535:AB2585),"",AB2535:AB2585))</f>
        <v>-0.1448799591</v>
      </c>
      <c r="AC2534" s="160">
        <f t="array" ref="AC2534">SUM(IF(ISERROR(AC2535:AC2585),"",AC2535:AC2585))</f>
        <v>-0.1776243468</v>
      </c>
      <c r="AD2534" s="160">
        <f t="array" ref="AD2534">SUM(IF(ISERROR(AD2535:AD2585),"",AD2535:AD2585))</f>
        <v>-0.2124272811</v>
      </c>
      <c r="AE2534" s="160">
        <f t="array" ref="AE2534">SUM(IF(ISERROR(AE2535:AE2585),"",AE2535:AE2585))</f>
        <v>-0.2497365752</v>
      </c>
      <c r="AF2534" s="160">
        <f t="array" ref="AF2534">SUM(IF(ISERROR(AF2535:AF2585),"",AF2535:AF2585))</f>
        <v>-0.2895286805</v>
      </c>
      <c r="AG2534" s="160">
        <f t="array" ref="AG2534">SUM(IF(ISERROR(AG2535:AG2585),"",AG2535:AG2585))</f>
        <v>-0.3320759456</v>
      </c>
      <c r="AH2534" s="160">
        <f t="array" ref="AH2534">SUM(IF(ISERROR(AH2535:AH2585),"",AH2535:AH2585))</f>
        <v>-0.3195429869</v>
      </c>
      <c r="AI2534" s="160">
        <f t="array" ref="AI2534">SUM(IF(ISERROR(AI2535:AI2585),"",AI2535:AI2585))</f>
        <v>-0.3088469438</v>
      </c>
      <c r="AJ2534" s="160">
        <f t="array" ref="AJ2534">SUM(IF(ISERROR(AJ2535:AJ2585),"",AJ2535:AJ2585))</f>
        <v>-0.3003662518</v>
      </c>
      <c r="AK2534" s="160">
        <f t="array" ref="AK2534">SUM(IF(ISERROR(AK2535:AK2585),"",AK2535:AK2585))</f>
        <v>-0.2943117545</v>
      </c>
      <c r="AL2534" s="160">
        <f t="array" ref="AL2534">SUM(IF(ISERROR(AL2535:AL2585),"",AL2535:AL2585))</f>
        <v>-0.2912235434</v>
      </c>
      <c r="AM2534" s="160">
        <f t="array" ref="AM2534">SUM(IF(ISERROR(AM2535:AM2585),"",AM2535:AM2585))</f>
        <v>-0.2889373572</v>
      </c>
      <c r="AN2534" s="160">
        <f t="array" ref="AN2534">SUM(IF(ISERROR(AN2535:AN2585),"",AN2535:AN2585))</f>
        <v>-0.3075737423</v>
      </c>
      <c r="AO2534" s="160">
        <f t="array" ref="AO2534">SUM(IF(ISERROR(AO2535:AO2585),"",AO2535:AO2585))</f>
        <v>-0.3289883845</v>
      </c>
      <c r="AP2534" s="160">
        <f t="array" ref="AP2534">SUM(IF(ISERROR(AP2535:AP2585),"",AP2535:AP2585))</f>
        <v>-0.3534574916</v>
      </c>
      <c r="AQ2534" s="160">
        <f t="array" ref="AQ2534">SUM(IF(ISERROR(AQ2535:AQ2585),"",AQ2535:AQ2585))</f>
        <v>-0.381042208</v>
      </c>
      <c r="AR2534" s="160">
        <f t="array" ref="AR2534">SUM(IF(ISERROR(AR2535:AR2585),"",AR2535:AR2585))</f>
        <v>-0.4107512366</v>
      </c>
      <c r="AS2534" s="160">
        <f t="array" ref="AS2534">SUM(IF(ISERROR(AS2535:AS2585),"",AS2535:AS2585))</f>
        <v>-0.4427628186</v>
      </c>
      <c r="AT2534" s="160">
        <f t="array" ref="AT2534">SUM(IF(ISERROR(AT2535:AT2585),"",AT2535:AT2585))</f>
        <v>-0.4774727486</v>
      </c>
      <c r="AU2534" s="160">
        <f t="array" ref="AU2534">SUM(IF(ISERROR(AU2535:AU2585),"",AU2535:AU2585))</f>
        <v>-0.5146023901</v>
      </c>
      <c r="AV2534" s="160">
        <f t="array" ref="AV2534">SUM(IF(ISERROR(AV2535:AV2585),"",AV2535:AV2585))</f>
        <v>-0.5546360319</v>
      </c>
      <c r="AW2534" s="160">
        <f t="array" ref="AW2534">SUM(IF(ISERROR(AW2535:AW2585),"",AW2535:AW2585))</f>
        <v>-0.5977803461</v>
      </c>
      <c r="AX2534" s="160">
        <f t="array" ref="AX2534">SUM(IF(ISERROR(AX2535:AX2585),"",AX2535:AX2585))</f>
        <v>-0.6006466319</v>
      </c>
      <c r="AY2534" s="160">
        <f t="array" ref="AY2534">SUM(IF(ISERROR(AY2535:AY2585),"",AY2535:AY2585))</f>
        <v>-0.6033818878</v>
      </c>
      <c r="AZ2534" s="160">
        <f t="array" ref="AZ2534">SUM(IF(ISERROR(AZ2535:AZ2585),"",AZ2535:AZ2585))</f>
        <v>-0.6059335648</v>
      </c>
      <c r="BA2534" s="160">
        <f t="array" ref="BA2534">SUM(IF(ISERROR(BA2535:BA2585),"",BA2535:BA2585))</f>
        <v>-0.5655494557</v>
      </c>
      <c r="BB2534" s="177">
        <f t="array" ref="BB2534">SUM(IF(ISERROR(BB2535:BB2585),"",BB2535:BB2585))</f>
        <v>-0.5214442192</v>
      </c>
      <c r="BC2534" s="177">
        <f t="array" ref="BC2534">SUM(IF(ISERROR(BC2535:BC2585),"",BC2535:BC2585))</f>
        <v>-0.4733348506</v>
      </c>
      <c r="BD2534" s="177">
        <f t="array" ref="BD2534">SUM(IF(ISERROR(BD2535:BD2585),"",BD2535:BD2585))</f>
        <v>-0.4209164642</v>
      </c>
      <c r="BE2534" s="177">
        <f t="array" ref="BE2534">SUM(IF(ISERROR(BE2535:BE2585),"",BE2535:BE2585))</f>
        <v>-0.3644323564</v>
      </c>
      <c r="BF2534" s="177">
        <f t="array" ref="BF2534">SUM(IF(ISERROR(BF2535:BF2585),"",BF2535:BF2585))</f>
        <v>-0.3030136723</v>
      </c>
      <c r="BG2534" s="177">
        <f t="array" ref="BG2534">SUM(IF(ISERROR(BG2535:BG2585),"",BG2535:BG2585))</f>
        <v>-0.2362837344</v>
      </c>
      <c r="BH2534" s="177">
        <f t="array" ref="BH2534">SUM(IF(ISERROR(BH2535:BH2585),"",BH2535:BH2585))</f>
        <v>-0.1638365947</v>
      </c>
      <c r="BI2534" s="177">
        <f t="array" ref="BI2534">SUM(IF(ISERROR(BI2535:BI2585),"",BI2535:BI2585))</f>
        <v>-0.08522870704</v>
      </c>
      <c r="BJ2534" s="177">
        <f t="array" ref="BJ2534">SUM(IF(ISERROR(BJ2535:BJ2585),"",BJ2535:BJ2585))</f>
        <v>0</v>
      </c>
      <c r="BK2534" s="177">
        <f t="array" ref="BK2534">SUM(IF(ISERROR(BK2535:BK2585),"",BK2535:BK2585))</f>
        <v>0</v>
      </c>
      <c r="BL2534" s="177">
        <f t="array" ref="BL2534">SUM(IF(ISERROR(BL2535:BL2585),"",BL2535:BL2585))</f>
        <v>0</v>
      </c>
      <c r="BM2534" s="177">
        <f t="array" ref="BM2534">SUM(IF(ISERROR(BM2535:BM2585),"",BM2535:BM2585))</f>
        <v>0</v>
      </c>
      <c r="BN2534" s="177">
        <f t="array" ref="BN2534">SUM(IF(ISERROR(BN2535:BN2585),"",BN2535:BN2585))</f>
        <v>0</v>
      </c>
      <c r="BO2534" s="177">
        <f t="array" ref="BO2534">SUM(IF(ISERROR(BO2535:BO2585),"",BO2535:BO2585))</f>
        <v>0</v>
      </c>
    </row>
    <row r="2535" ht="15.75" hidden="1" customHeight="1" outlineLevel="1">
      <c r="A2535" s="353"/>
      <c r="B2535" s="38"/>
      <c r="C2535" s="177">
        <f>IF($C$2478&gt;0,PPMT('Assumptions (Battery)'!$V$9,Model!W$1,'Assumptions (Battery)'!$V$12,'Assumptions (Battery)'!$V$7*$C$2480),0)</f>
        <v>0</v>
      </c>
      <c r="D2535" s="177">
        <f>IF($C$2478&gt;0,PPMT('Assumptions (Battery)'!$V$9,Model!X$1,'Assumptions (Battery)'!$V$12,'Assumptions (Battery)'!$V$7*$C$2480),0)</f>
        <v>0</v>
      </c>
      <c r="E2535" s="177">
        <f>IF($C$2478&gt;0,PPMT('Assumptions (Battery)'!$V$9,Model!Y$1,'Assumptions (Battery)'!$V$12,'Assumptions (Battery)'!$V$7*$C$2480),0)</f>
        <v>0</v>
      </c>
      <c r="F2535" s="177">
        <f>IF($C$2478&gt;0,PPMT('Assumptions (Battery)'!$V$9,Model!Z$1,'Assumptions (Battery)'!$V$12,'Assumptions (Battery)'!$V$7*$C$2480),0)</f>
        <v>0</v>
      </c>
      <c r="G2535" s="177">
        <f>IF($C$2478&gt;0,PPMT('Assumptions (Battery)'!$V$9,Model!AA$1,'Assumptions (Battery)'!$V$12,'Assumptions (Battery)'!$V$7*$C$2480),0)</f>
        <v>0</v>
      </c>
      <c r="H2535" s="177">
        <f>IF($C$2478&gt;0,PPMT('Assumptions (Battery)'!$V$9,Model!AB$1,'Assumptions (Battery)'!$V$12,'Assumptions (Battery)'!$V$7*$C$2480),0)</f>
        <v>0</v>
      </c>
      <c r="I2535" s="177">
        <f>IF($C$2478&gt;0,PPMT('Assumptions (Battery)'!$V$9,Model!AC$1,'Assumptions (Battery)'!$V$12,'Assumptions (Battery)'!$V$7*$C$2480),0)</f>
        <v>0</v>
      </c>
      <c r="J2535" s="177">
        <f>IF($C$2478&gt;0,PPMT('Assumptions (Battery)'!$V$9,Model!AD$1,'Assumptions (Battery)'!$V$12,'Assumptions (Battery)'!$V$7*$C$2480),0)</f>
        <v>0</v>
      </c>
      <c r="K2535" s="177">
        <f>IF($C$2478&gt;0,PPMT('Assumptions (Battery)'!$V$9,Model!AE$1,'Assumptions (Battery)'!$V$12,'Assumptions (Battery)'!$V$7*$C$2480),0)</f>
        <v>0</v>
      </c>
      <c r="L2535" s="177">
        <f>IF($C$2478&gt;0,PPMT('Assumptions (Battery)'!$V$9,Model!AF$1,'Assumptions (Battery)'!$V$12,'Assumptions (Battery)'!$V$7*$C$2480),0)</f>
        <v>0</v>
      </c>
      <c r="M2535" s="177"/>
      <c r="N2535" s="177"/>
      <c r="O2535" s="177"/>
      <c r="P2535" s="177"/>
      <c r="Q2535" s="177"/>
      <c r="R2535" s="177"/>
      <c r="S2535" s="177"/>
      <c r="T2535" s="177"/>
      <c r="U2535" s="177"/>
      <c r="V2535" s="177"/>
      <c r="W2535" s="177"/>
      <c r="X2535" s="160"/>
      <c r="Y2535" s="160"/>
      <c r="Z2535" s="160"/>
      <c r="AA2535" s="160"/>
      <c r="AB2535" s="160"/>
      <c r="AC2535" s="160"/>
      <c r="AD2535" s="160"/>
      <c r="AE2535" s="160"/>
      <c r="AF2535" s="160"/>
      <c r="AG2535" s="160"/>
      <c r="AH2535" s="356"/>
      <c r="AI2535" s="356"/>
      <c r="AJ2535" s="356"/>
      <c r="AK2535" s="356"/>
      <c r="AL2535" s="356"/>
      <c r="AM2535" s="356"/>
      <c r="AN2535" s="356"/>
      <c r="AO2535" s="356"/>
      <c r="AP2535" s="356"/>
      <c r="AQ2535" s="356"/>
      <c r="AR2535" s="356"/>
      <c r="AS2535" s="356"/>
      <c r="AT2535" s="356"/>
      <c r="AU2535" s="356"/>
      <c r="AV2535" s="356"/>
      <c r="AW2535" s="356"/>
      <c r="AX2535" s="356"/>
      <c r="AY2535" s="356"/>
      <c r="AZ2535" s="356"/>
      <c r="BA2535" s="356"/>
    </row>
    <row r="2536" ht="15.75" hidden="1" customHeight="1" outlineLevel="1">
      <c r="A2536" s="353"/>
      <c r="B2536" s="38"/>
      <c r="C2536" s="160"/>
      <c r="D2536" s="177">
        <f>IF($D$2478&gt;0,PPMT('Assumptions (Battery)'!$V$9,Model!W$1,'Assumptions (Battery)'!$V$12,'Assumptions (Battery)'!$V$7*Model!$D$2480),0)</f>
        <v>0</v>
      </c>
      <c r="E2536" s="177">
        <f>IF($D$2478&gt;0,PPMT('Assumptions (Battery)'!$V$9,Model!X$1,'Assumptions (Battery)'!$V$12,'Assumptions (Battery)'!$V$7*Model!$D$2480),0)</f>
        <v>0</v>
      </c>
      <c r="F2536" s="177">
        <f>IF($D$2478&gt;0,PPMT('Assumptions (Battery)'!$V$9,Model!Y$1,'Assumptions (Battery)'!$V$12,'Assumptions (Battery)'!$V$7*Model!$D$2480),0)</f>
        <v>0</v>
      </c>
      <c r="G2536" s="177">
        <f>IF($D$2478&gt;0,PPMT('Assumptions (Battery)'!$V$9,Model!Z$1,'Assumptions (Battery)'!$V$12,'Assumptions (Battery)'!$V$7*Model!$D$2480),0)</f>
        <v>0</v>
      </c>
      <c r="H2536" s="177">
        <f>IF($D$2478&gt;0,PPMT('Assumptions (Battery)'!$V$9,Model!AA$1,'Assumptions (Battery)'!$V$12,'Assumptions (Battery)'!$V$7*Model!$D$2480),0)</f>
        <v>0</v>
      </c>
      <c r="I2536" s="177">
        <f>IF($D$2478&gt;0,PPMT('Assumptions (Battery)'!$V$9,Model!AB$1,'Assumptions (Battery)'!$V$12,'Assumptions (Battery)'!$V$7*Model!$D$2480),0)</f>
        <v>0</v>
      </c>
      <c r="J2536" s="177">
        <f>IF($D$2478&gt;0,PPMT('Assumptions (Battery)'!$V$9,Model!AC$1,'Assumptions (Battery)'!$V$12,'Assumptions (Battery)'!$V$7*Model!$D$2480),0)</f>
        <v>0</v>
      </c>
      <c r="K2536" s="177">
        <f>IF($D$2478&gt;0,PPMT('Assumptions (Battery)'!$V$9,Model!AD$1,'Assumptions (Battery)'!$V$12,'Assumptions (Battery)'!$V$7*Model!$D$2480),0)</f>
        <v>0</v>
      </c>
      <c r="L2536" s="177">
        <f>IF($D$2478&gt;0,PPMT('Assumptions (Battery)'!$V$9,Model!AE$1,'Assumptions (Battery)'!$V$12,'Assumptions (Battery)'!$V$7*Model!$D$2480),0)</f>
        <v>0</v>
      </c>
      <c r="M2536" s="177">
        <f>IF($D$2478&gt;0,PPMT('Assumptions (Battery)'!$V$9,Model!AF$1,'Assumptions (Battery)'!$V$12,'Assumptions (Battery)'!$V$7*Model!$D$2480),0)</f>
        <v>0</v>
      </c>
      <c r="N2536" s="177"/>
      <c r="O2536" s="177"/>
      <c r="P2536" s="177"/>
      <c r="Q2536" s="177"/>
      <c r="R2536" s="177"/>
      <c r="S2536" s="177"/>
      <c r="T2536" s="177"/>
      <c r="U2536" s="177"/>
      <c r="V2536" s="177"/>
      <c r="W2536" s="177"/>
      <c r="X2536" s="160"/>
      <c r="Y2536" s="160"/>
      <c r="Z2536" s="160"/>
      <c r="AA2536" s="160"/>
      <c r="AB2536" s="160"/>
      <c r="AC2536" s="160"/>
      <c r="AD2536" s="160"/>
      <c r="AE2536" s="160"/>
      <c r="AF2536" s="160"/>
      <c r="AG2536" s="160"/>
      <c r="AH2536" s="356"/>
      <c r="AI2536" s="356"/>
      <c r="AJ2536" s="356"/>
      <c r="AK2536" s="356"/>
      <c r="AL2536" s="356"/>
      <c r="AM2536" s="356"/>
      <c r="AN2536" s="356"/>
      <c r="AO2536" s="356"/>
      <c r="AP2536" s="356"/>
      <c r="AQ2536" s="356"/>
      <c r="AR2536" s="356"/>
      <c r="AS2536" s="356"/>
      <c r="AT2536" s="356"/>
      <c r="AU2536" s="356"/>
      <c r="AV2536" s="356"/>
      <c r="AW2536" s="356"/>
      <c r="AX2536" s="356"/>
      <c r="AY2536" s="356"/>
      <c r="AZ2536" s="356"/>
      <c r="BA2536" s="356"/>
    </row>
    <row r="2537" ht="15.75" hidden="1" customHeight="1" outlineLevel="1">
      <c r="A2537" s="353"/>
      <c r="B2537" s="38"/>
      <c r="C2537" s="160"/>
      <c r="D2537" s="160"/>
      <c r="E2537" s="160">
        <f>IF($E$2478&gt;0,PPMT('Assumptions (Battery)'!$V$9,Model!W$1,'Assumptions (Battery)'!$V$12,'Assumptions (Battery)'!$V$7*$E$2480),0)</f>
        <v>0</v>
      </c>
      <c r="F2537" s="160">
        <f>IF($E$2478&gt;0,PPMT('Assumptions (Battery)'!$V$9,Model!X$1,'Assumptions (Battery)'!$V$12,'Assumptions (Battery)'!$V$7*$E$2480),0)</f>
        <v>0</v>
      </c>
      <c r="G2537" s="160">
        <f>IF($E$2478&gt;0,PPMT('Assumptions (Battery)'!$V$9,Model!Y$1,'Assumptions (Battery)'!$V$12,'Assumptions (Battery)'!$V$7*$E$2480),0)</f>
        <v>0</v>
      </c>
      <c r="H2537" s="160">
        <f>IF($E$2478&gt;0,PPMT('Assumptions (Battery)'!$V$9,Model!Z$1,'Assumptions (Battery)'!$V$12,'Assumptions (Battery)'!$V$7*$E$2480),0)</f>
        <v>0</v>
      </c>
      <c r="I2537" s="160">
        <f>IF($E$2478&gt;0,PPMT('Assumptions (Battery)'!$V$9,Model!AA$1,'Assumptions (Battery)'!$V$12,'Assumptions (Battery)'!$V$7*$E$2480),0)</f>
        <v>0</v>
      </c>
      <c r="J2537" s="160">
        <f>IF($E$2478&gt;0,PPMT('Assumptions (Battery)'!$V$9,Model!AB$1,'Assumptions (Battery)'!$V$12,'Assumptions (Battery)'!$V$7*$E$2480),0)</f>
        <v>0</v>
      </c>
      <c r="K2537" s="160">
        <f>IF($E$2478&gt;0,PPMT('Assumptions (Battery)'!$V$9,Model!AC$1,'Assumptions (Battery)'!$V$12,'Assumptions (Battery)'!$V$7*$E$2480),0)</f>
        <v>0</v>
      </c>
      <c r="L2537" s="160">
        <f>IF($E$2478&gt;0,PPMT('Assumptions (Battery)'!$V$9,Model!AD$1,'Assumptions (Battery)'!$V$12,'Assumptions (Battery)'!$V$7*$E$2480),0)</f>
        <v>0</v>
      </c>
      <c r="M2537" s="160">
        <f>IF($E$2478&gt;0,PPMT('Assumptions (Battery)'!$V$9,Model!AE$1,'Assumptions (Battery)'!$V$12,'Assumptions (Battery)'!$V$7*$E$2480),0)</f>
        <v>0</v>
      </c>
      <c r="N2537" s="160">
        <f>IF($E$2478&gt;0,PPMT('Assumptions (Battery)'!$V$9,Model!AF$1,'Assumptions (Battery)'!$V$12,'Assumptions (Battery)'!$V$7*$E$2480),0)</f>
        <v>0</v>
      </c>
      <c r="O2537" s="160"/>
      <c r="P2537" s="160"/>
      <c r="Q2537" s="160"/>
      <c r="R2537" s="160"/>
      <c r="S2537" s="160"/>
      <c r="T2537" s="160"/>
      <c r="U2537" s="160"/>
      <c r="V2537" s="160"/>
      <c r="W2537" s="160"/>
      <c r="X2537" s="160"/>
      <c r="Y2537" s="160"/>
      <c r="Z2537" s="160"/>
      <c r="AA2537" s="160"/>
      <c r="AB2537" s="160"/>
      <c r="AC2537" s="160"/>
      <c r="AD2537" s="160"/>
      <c r="AE2537" s="160"/>
      <c r="AF2537" s="160"/>
      <c r="AG2537" s="160"/>
      <c r="AH2537" s="356"/>
      <c r="AI2537" s="356"/>
      <c r="AJ2537" s="356"/>
      <c r="AK2537" s="356"/>
      <c r="AL2537" s="356"/>
      <c r="AM2537" s="356"/>
      <c r="AN2537" s="356"/>
      <c r="AO2537" s="356"/>
      <c r="AP2537" s="356"/>
      <c r="AQ2537" s="356"/>
      <c r="AR2537" s="356"/>
      <c r="AS2537" s="356"/>
      <c r="AT2537" s="356"/>
      <c r="AU2537" s="356"/>
      <c r="AV2537" s="356"/>
      <c r="AW2537" s="356"/>
      <c r="AX2537" s="356"/>
      <c r="AY2537" s="356"/>
      <c r="AZ2537" s="356"/>
      <c r="BA2537" s="356"/>
    </row>
    <row r="2538" ht="15.75" hidden="1" customHeight="1" outlineLevel="1">
      <c r="A2538" s="353"/>
      <c r="B2538" s="38"/>
      <c r="C2538" s="160"/>
      <c r="D2538" s="160"/>
      <c r="E2538" s="160"/>
      <c r="F2538" s="160">
        <f>IF($F$2478&gt;0,PPMT('Assumptions (Battery)'!$V$9,Model!W$1,'Assumptions (Battery)'!$V$12,'Assumptions (Battery)'!$V$7*$F$2480),0)</f>
        <v>0</v>
      </c>
      <c r="G2538" s="160">
        <f>IF($F$2478&gt;0,PPMT('Assumptions (Battery)'!$V$9,Model!X$1,'Assumptions (Battery)'!$V$12,'Assumptions (Battery)'!$V$7*$F$2480),0)</f>
        <v>0</v>
      </c>
      <c r="H2538" s="160">
        <f>IF($F$2478&gt;0,PPMT('Assumptions (Battery)'!$V$9,Model!Y$1,'Assumptions (Battery)'!$V$12,'Assumptions (Battery)'!$V$7*$F$2480),0)</f>
        <v>0</v>
      </c>
      <c r="I2538" s="160">
        <f>IF($F$2478&gt;0,PPMT('Assumptions (Battery)'!$V$9,Model!Z$1,'Assumptions (Battery)'!$V$12,'Assumptions (Battery)'!$V$7*$F$2480),0)</f>
        <v>0</v>
      </c>
      <c r="J2538" s="160">
        <f>IF($F$2478&gt;0,PPMT('Assumptions (Battery)'!$V$9,Model!AA$1,'Assumptions (Battery)'!$V$12,'Assumptions (Battery)'!$V$7*$F$2480),0)</f>
        <v>0</v>
      </c>
      <c r="K2538" s="160">
        <f>IF($F$2478&gt;0,PPMT('Assumptions (Battery)'!$V$9,Model!AB$1,'Assumptions (Battery)'!$V$12,'Assumptions (Battery)'!$V$7*$F$2480),0)</f>
        <v>0</v>
      </c>
      <c r="L2538" s="160">
        <f>IF($F$2478&gt;0,PPMT('Assumptions (Battery)'!$V$9,Model!AC$1,'Assumptions (Battery)'!$V$12,'Assumptions (Battery)'!$V$7*$F$2480),0)</f>
        <v>0</v>
      </c>
      <c r="M2538" s="160">
        <f>IF($F$2478&gt;0,PPMT('Assumptions (Battery)'!$V$9,Model!AD$1,'Assumptions (Battery)'!$V$12,'Assumptions (Battery)'!$V$7*$F$2480),0)</f>
        <v>0</v>
      </c>
      <c r="N2538" s="160">
        <f>IF($F$2478&gt;0,PPMT('Assumptions (Battery)'!$V$9,Model!AE$1,'Assumptions (Battery)'!$V$12,'Assumptions (Battery)'!$V$7*$F$2480),0)</f>
        <v>0</v>
      </c>
      <c r="O2538" s="160">
        <f>IF($F$2478&gt;0,PPMT('Assumptions (Battery)'!$V$9,Model!AF$1,'Assumptions (Battery)'!$V$12,'Assumptions (Battery)'!$V$7*$F$2480),0)</f>
        <v>0</v>
      </c>
      <c r="P2538" s="160"/>
      <c r="Q2538" s="160"/>
      <c r="R2538" s="160"/>
      <c r="S2538" s="160"/>
      <c r="T2538" s="160"/>
      <c r="U2538" s="160"/>
      <c r="V2538" s="160"/>
      <c r="W2538" s="160"/>
      <c r="X2538" s="160"/>
      <c r="Y2538" s="160"/>
      <c r="Z2538" s="160"/>
      <c r="AA2538" s="160"/>
      <c r="AB2538" s="160"/>
      <c r="AC2538" s="160"/>
      <c r="AD2538" s="160"/>
      <c r="AE2538" s="160"/>
      <c r="AF2538" s="160"/>
      <c r="AG2538" s="160"/>
      <c r="AH2538" s="356"/>
      <c r="AI2538" s="356"/>
      <c r="AJ2538" s="356"/>
      <c r="AK2538" s="356"/>
      <c r="AL2538" s="356"/>
      <c r="AM2538" s="356"/>
      <c r="AN2538" s="356"/>
      <c r="AO2538" s="356"/>
      <c r="AP2538" s="356"/>
      <c r="AQ2538" s="356"/>
      <c r="AR2538" s="356"/>
      <c r="AS2538" s="356"/>
      <c r="AT2538" s="356"/>
      <c r="AU2538" s="356"/>
      <c r="AV2538" s="356"/>
      <c r="AW2538" s="356"/>
      <c r="AX2538" s="356"/>
      <c r="AY2538" s="356"/>
      <c r="AZ2538" s="356"/>
      <c r="BA2538" s="356"/>
    </row>
    <row r="2539" ht="15.75" hidden="1" customHeight="1" outlineLevel="1">
      <c r="A2539" s="353"/>
      <c r="B2539" s="38"/>
      <c r="C2539" s="160"/>
      <c r="D2539" s="160"/>
      <c r="E2539" s="160"/>
      <c r="F2539" s="160"/>
      <c r="G2539" s="160">
        <f>IF($G$2478&gt;0,PPMT('Assumptions (Battery)'!$V$9,Model!W$1,'Assumptions (Battery)'!$V$12,'Assumptions (Battery)'!$V$7*$G$2480),0)</f>
        <v>0</v>
      </c>
      <c r="H2539" s="160">
        <f>IF($G$2478&gt;0,PPMT('Assumptions (Battery)'!$V$9,Model!X$1,'Assumptions (Battery)'!$V$12,'Assumptions (Battery)'!$V$7*$G$2480),0)</f>
        <v>0</v>
      </c>
      <c r="I2539" s="160">
        <f>IF($G$2478&gt;0,PPMT('Assumptions (Battery)'!$V$9,Model!Y$1,'Assumptions (Battery)'!$V$12,'Assumptions (Battery)'!$V$7*$G$2480),0)</f>
        <v>0</v>
      </c>
      <c r="J2539" s="160">
        <f>IF($G$2478&gt;0,PPMT('Assumptions (Battery)'!$V$9,Model!Z$1,'Assumptions (Battery)'!$V$12,'Assumptions (Battery)'!$V$7*$G$2480),0)</f>
        <v>0</v>
      </c>
      <c r="K2539" s="160">
        <f>IF($G$2478&gt;0,PPMT('Assumptions (Battery)'!$V$9,Model!AA$1,'Assumptions (Battery)'!$V$12,'Assumptions (Battery)'!$V$7*$G$2480),0)</f>
        <v>0</v>
      </c>
      <c r="L2539" s="160">
        <f>IF($G$2478&gt;0,PPMT('Assumptions (Battery)'!$V$9,Model!AB$1,'Assumptions (Battery)'!$V$12,'Assumptions (Battery)'!$V$7*$G$2480),0)</f>
        <v>0</v>
      </c>
      <c r="M2539" s="160">
        <f>IF($G$2478&gt;0,PPMT('Assumptions (Battery)'!$V$9,Model!AC$1,'Assumptions (Battery)'!$V$12,'Assumptions (Battery)'!$V$7*$G$2480),0)</f>
        <v>0</v>
      </c>
      <c r="N2539" s="160">
        <f>IF($G$2478&gt;0,PPMT('Assumptions (Battery)'!$V$9,Model!AD$1,'Assumptions (Battery)'!$V$12,'Assumptions (Battery)'!$V$7*$G$2480),0)</f>
        <v>0</v>
      </c>
      <c r="O2539" s="160">
        <f>IF($G$2478&gt;0,PPMT('Assumptions (Battery)'!$V$9,Model!AE$1,'Assumptions (Battery)'!$V$12,'Assumptions (Battery)'!$V$7*$G$2480),0)</f>
        <v>0</v>
      </c>
      <c r="P2539" s="160">
        <f>IF($G$2478&gt;0,PPMT('Assumptions (Battery)'!$V$9,Model!AF$1,'Assumptions (Battery)'!$V$12,'Assumptions (Battery)'!$V$7*$G$2480),0)</f>
        <v>0</v>
      </c>
      <c r="Q2539" s="160"/>
      <c r="R2539" s="160"/>
      <c r="S2539" s="160"/>
      <c r="T2539" s="160"/>
      <c r="U2539" s="160"/>
      <c r="V2539" s="160"/>
      <c r="W2539" s="160"/>
      <c r="X2539" s="160"/>
      <c r="Y2539" s="160"/>
      <c r="Z2539" s="160"/>
      <c r="AA2539" s="160"/>
      <c r="AB2539" s="160"/>
      <c r="AC2539" s="160"/>
      <c r="AD2539" s="160"/>
      <c r="AE2539" s="160"/>
      <c r="AF2539" s="160"/>
      <c r="AG2539" s="160"/>
      <c r="AH2539" s="356"/>
      <c r="AI2539" s="356"/>
      <c r="AJ2539" s="356"/>
      <c r="AK2539" s="356"/>
      <c r="AL2539" s="356"/>
      <c r="AM2539" s="356"/>
      <c r="AN2539" s="356"/>
      <c r="AO2539" s="356"/>
      <c r="AP2539" s="356"/>
      <c r="AQ2539" s="356"/>
      <c r="AR2539" s="356"/>
      <c r="AS2539" s="356"/>
      <c r="AT2539" s="356"/>
      <c r="AU2539" s="356"/>
      <c r="AV2539" s="356"/>
      <c r="AW2539" s="356"/>
      <c r="AX2539" s="356"/>
      <c r="AY2539" s="356"/>
      <c r="AZ2539" s="356"/>
      <c r="BA2539" s="356"/>
    </row>
    <row r="2540" ht="15.75" hidden="1" customHeight="1" outlineLevel="1">
      <c r="A2540" s="353"/>
      <c r="B2540" s="38"/>
      <c r="C2540" s="160"/>
      <c r="D2540" s="160"/>
      <c r="E2540" s="160"/>
      <c r="F2540" s="160"/>
      <c r="G2540" s="160"/>
      <c r="H2540" s="160">
        <f>IF($H$2478&gt;0,PPMT('Assumptions (Battery)'!$V$9,Model!W$1,'Assumptions (Battery)'!$V$12,'Assumptions (Battery)'!$V$7*$H$2480),0)</f>
        <v>0</v>
      </c>
      <c r="I2540" s="160">
        <f>IF($H$2478&gt;0,PPMT('Assumptions (Battery)'!$V$9,Model!X$1,'Assumptions (Battery)'!$V$12,'Assumptions (Battery)'!$V$7*$H$2480),0)</f>
        <v>0</v>
      </c>
      <c r="J2540" s="160">
        <f>IF($H$2478&gt;0,PPMT('Assumptions (Battery)'!$V$9,Model!Y$1,'Assumptions (Battery)'!$V$12,'Assumptions (Battery)'!$V$7*$H$2480),0)</f>
        <v>0</v>
      </c>
      <c r="K2540" s="160">
        <f>IF($H$2478&gt;0,PPMT('Assumptions (Battery)'!$V$9,Model!Z$1,'Assumptions (Battery)'!$V$12,'Assumptions (Battery)'!$V$7*$H$2480),0)</f>
        <v>0</v>
      </c>
      <c r="L2540" s="160">
        <f>IF($H$2478&gt;0,PPMT('Assumptions (Battery)'!$V$9,Model!AA$1,'Assumptions (Battery)'!$V$12,'Assumptions (Battery)'!$V$7*$H$2480),0)</f>
        <v>0</v>
      </c>
      <c r="M2540" s="160">
        <f>IF($H$2478&gt;0,PPMT('Assumptions (Battery)'!$V$9,Model!AB$1,'Assumptions (Battery)'!$V$12,'Assumptions (Battery)'!$V$7*$H$2480),0)</f>
        <v>0</v>
      </c>
      <c r="N2540" s="160">
        <f>IF($H$2478&gt;0,PPMT('Assumptions (Battery)'!$V$9,Model!AC$1,'Assumptions (Battery)'!$V$12,'Assumptions (Battery)'!$V$7*$H$2480),0)</f>
        <v>0</v>
      </c>
      <c r="O2540" s="160">
        <f>IF($H$2478&gt;0,PPMT('Assumptions (Battery)'!$V$9,Model!AD$1,'Assumptions (Battery)'!$V$12,'Assumptions (Battery)'!$V$7*$H$2480),0)</f>
        <v>0</v>
      </c>
      <c r="P2540" s="160">
        <f>IF($H$2478&gt;0,PPMT('Assumptions (Battery)'!$V$9,Model!AE$1,'Assumptions (Battery)'!$V$12,'Assumptions (Battery)'!$V$7*$H$2480),0)</f>
        <v>0</v>
      </c>
      <c r="Q2540" s="160">
        <f>IF($H$2478&gt;0,PPMT('Assumptions (Battery)'!$V$9,Model!AF$1,'Assumptions (Battery)'!$V$12,'Assumptions (Battery)'!$V$7*$H$2480),0)</f>
        <v>0</v>
      </c>
      <c r="R2540" s="160"/>
      <c r="S2540" s="160"/>
      <c r="T2540" s="160"/>
      <c r="U2540" s="160"/>
      <c r="V2540" s="160"/>
      <c r="W2540" s="160"/>
      <c r="X2540" s="160"/>
      <c r="Y2540" s="160"/>
      <c r="Z2540" s="160"/>
      <c r="AA2540" s="160"/>
      <c r="AB2540" s="160"/>
      <c r="AC2540" s="160"/>
      <c r="AD2540" s="160"/>
      <c r="AE2540" s="160"/>
      <c r="AF2540" s="160"/>
      <c r="AG2540" s="160"/>
      <c r="AH2540" s="356"/>
      <c r="AI2540" s="356"/>
      <c r="AJ2540" s="356"/>
      <c r="AK2540" s="356"/>
      <c r="AL2540" s="356"/>
      <c r="AM2540" s="356"/>
      <c r="AN2540" s="356"/>
      <c r="AO2540" s="356"/>
      <c r="AP2540" s="356"/>
      <c r="AQ2540" s="356"/>
      <c r="AR2540" s="356"/>
      <c r="AS2540" s="356"/>
      <c r="AT2540" s="356"/>
      <c r="AU2540" s="356"/>
      <c r="AV2540" s="356"/>
      <c r="AW2540" s="356"/>
      <c r="AX2540" s="356"/>
      <c r="AY2540" s="356"/>
      <c r="AZ2540" s="356"/>
      <c r="BA2540" s="356"/>
    </row>
    <row r="2541" ht="15.75" hidden="1" customHeight="1" outlineLevel="1">
      <c r="A2541" s="353"/>
      <c r="B2541" s="38"/>
      <c r="C2541" s="160"/>
      <c r="D2541" s="160"/>
      <c r="E2541" s="359"/>
      <c r="F2541" s="160"/>
      <c r="G2541" s="160"/>
      <c r="H2541" s="160"/>
      <c r="I2541" s="160">
        <f>IF($I$2478&gt;0,PPMT('Assumptions (Battery)'!$V$9,Model!W$1,'Assumptions (Battery)'!$V$12,'Assumptions (Battery)'!$V$7*$I$2480),0)</f>
        <v>0</v>
      </c>
      <c r="J2541" s="160">
        <f>IF($I$2478&gt;0,PPMT('Assumptions (Battery)'!$V$9,Model!X$1,'Assumptions (Battery)'!$V$12,'Assumptions (Battery)'!$V$7*$I$2480),0)</f>
        <v>0</v>
      </c>
      <c r="K2541" s="160">
        <f>IF($I$2478&gt;0,PPMT('Assumptions (Battery)'!$V$9,Model!Y$1,'Assumptions (Battery)'!$V$12,'Assumptions (Battery)'!$V$7*$I$2480),0)</f>
        <v>0</v>
      </c>
      <c r="L2541" s="160">
        <f>IF($I$2478&gt;0,PPMT('Assumptions (Battery)'!$V$9,Model!Z$1,'Assumptions (Battery)'!$V$12,'Assumptions (Battery)'!$V$7*$I$2480),0)</f>
        <v>0</v>
      </c>
      <c r="M2541" s="160">
        <f>IF($I$2478&gt;0,PPMT('Assumptions (Battery)'!$V$9,Model!AA$1,'Assumptions (Battery)'!$V$12,'Assumptions (Battery)'!$V$7*$I$2480),0)</f>
        <v>0</v>
      </c>
      <c r="N2541" s="160">
        <f>IF($I$2478&gt;0,PPMT('Assumptions (Battery)'!$V$9,Model!AB$1,'Assumptions (Battery)'!$V$12,'Assumptions (Battery)'!$V$7*$I$2480),0)</f>
        <v>0</v>
      </c>
      <c r="O2541" s="160">
        <f>IF($I$2478&gt;0,PPMT('Assumptions (Battery)'!$V$9,Model!AC$1,'Assumptions (Battery)'!$V$12,'Assumptions (Battery)'!$V$7*$I$2480),0)</f>
        <v>0</v>
      </c>
      <c r="P2541" s="160">
        <f>IF($I$2478&gt;0,PPMT('Assumptions (Battery)'!$V$9,Model!AD$1,'Assumptions (Battery)'!$V$12,'Assumptions (Battery)'!$V$7*$I$2480),0)</f>
        <v>0</v>
      </c>
      <c r="Q2541" s="160">
        <f>IF($I$2478&gt;0,PPMT('Assumptions (Battery)'!$V$9,Model!AE$1,'Assumptions (Battery)'!$V$12,'Assumptions (Battery)'!$V$7*$I$2480),0)</f>
        <v>0</v>
      </c>
      <c r="R2541" s="160">
        <f>IF($I$2478&gt;0,PPMT('Assumptions (Battery)'!$V$9,Model!AF$1,'Assumptions (Battery)'!$V$12,'Assumptions (Battery)'!$V$7*$I$2480),0)</f>
        <v>0</v>
      </c>
      <c r="S2541" s="160"/>
      <c r="T2541" s="160"/>
      <c r="U2541" s="160"/>
      <c r="V2541" s="160"/>
      <c r="W2541" s="160"/>
      <c r="X2541" s="160"/>
      <c r="Y2541" s="160"/>
      <c r="Z2541" s="160"/>
      <c r="AA2541" s="160"/>
      <c r="AB2541" s="160"/>
      <c r="AC2541" s="160"/>
      <c r="AD2541" s="160"/>
      <c r="AE2541" s="160"/>
      <c r="AF2541" s="160"/>
      <c r="AG2541" s="160"/>
      <c r="AH2541" s="356"/>
      <c r="AI2541" s="356"/>
      <c r="AJ2541" s="356"/>
      <c r="AK2541" s="356"/>
      <c r="AL2541" s="356"/>
      <c r="AM2541" s="356"/>
      <c r="AN2541" s="356"/>
      <c r="AO2541" s="356"/>
      <c r="AP2541" s="356"/>
      <c r="AQ2541" s="356"/>
      <c r="AR2541" s="356"/>
      <c r="AS2541" s="356"/>
      <c r="AT2541" s="356"/>
      <c r="AU2541" s="356"/>
      <c r="AV2541" s="356"/>
      <c r="AW2541" s="356"/>
      <c r="AX2541" s="356"/>
      <c r="AY2541" s="356"/>
      <c r="AZ2541" s="356"/>
      <c r="BA2541" s="356"/>
    </row>
    <row r="2542" ht="15.75" hidden="1" customHeight="1" outlineLevel="1">
      <c r="A2542" s="353"/>
      <c r="B2542" s="38"/>
      <c r="C2542" s="160"/>
      <c r="D2542" s="160"/>
      <c r="E2542" s="160"/>
      <c r="F2542" s="160"/>
      <c r="G2542" s="160"/>
      <c r="H2542" s="160"/>
      <c r="I2542" s="160"/>
      <c r="J2542" s="160">
        <f>IF($J$2478&gt;0,PPMT('Assumptions (Battery)'!$V$9,Model!W$1,'Assumptions (Battery)'!$V$12,'Assumptions (Battery)'!$V$7*$J$2480),0)</f>
        <v>0</v>
      </c>
      <c r="K2542" s="160">
        <f>IF($J$2478&gt;0,PPMT('Assumptions (Battery)'!$V$9,Model!X$1,'Assumptions (Battery)'!$V$12,'Assumptions (Battery)'!$V$7*$J$2480),0)</f>
        <v>0</v>
      </c>
      <c r="L2542" s="160">
        <f>IF($J$2478&gt;0,PPMT('Assumptions (Battery)'!$V$9,Model!Y$1,'Assumptions (Battery)'!$V$12,'Assumptions (Battery)'!$V$7*$J$2480),0)</f>
        <v>0</v>
      </c>
      <c r="M2542" s="160">
        <f>IF($J$2478&gt;0,PPMT('Assumptions (Battery)'!$V$9,Model!Z$1,'Assumptions (Battery)'!$V$12,'Assumptions (Battery)'!$V$7*$J$2480),0)</f>
        <v>0</v>
      </c>
      <c r="N2542" s="160">
        <f>IF($J$2478&gt;0,PPMT('Assumptions (Battery)'!$V$9,Model!AA$1,'Assumptions (Battery)'!$V$12,'Assumptions (Battery)'!$V$7*$J$2480),0)</f>
        <v>0</v>
      </c>
      <c r="O2542" s="160">
        <f>IF($J$2478&gt;0,PPMT('Assumptions (Battery)'!$V$9,Model!AB$1,'Assumptions (Battery)'!$V$12,'Assumptions (Battery)'!$V$7*$J$2480),0)</f>
        <v>0</v>
      </c>
      <c r="P2542" s="160">
        <f>IF($J$2478&gt;0,PPMT('Assumptions (Battery)'!$V$9,Model!AC$1,'Assumptions (Battery)'!$V$12,'Assumptions (Battery)'!$V$7*$J$2480),0)</f>
        <v>0</v>
      </c>
      <c r="Q2542" s="160">
        <f>IF($J$2478&gt;0,PPMT('Assumptions (Battery)'!$V$9,Model!AD$1,'Assumptions (Battery)'!$V$12,'Assumptions (Battery)'!$V$7*$J$2480),0)</f>
        <v>0</v>
      </c>
      <c r="R2542" s="160">
        <f>IF($J$2478&gt;0,PPMT('Assumptions (Battery)'!$V$9,Model!AE$1,'Assumptions (Battery)'!$V$12,'Assumptions (Battery)'!$V$7*$J$2480),0)</f>
        <v>0</v>
      </c>
      <c r="S2542" s="160">
        <f>IF($J$2478&gt;0,PPMT('Assumptions (Battery)'!$V$9,Model!AF$1,'Assumptions (Battery)'!$V$12,'Assumptions (Battery)'!$V$7*$J$2480),0)</f>
        <v>0</v>
      </c>
      <c r="T2542" s="160"/>
      <c r="U2542" s="160"/>
      <c r="V2542" s="160"/>
      <c r="W2542" s="160"/>
      <c r="X2542" s="160"/>
      <c r="Y2542" s="160"/>
      <c r="Z2542" s="160"/>
      <c r="AA2542" s="160"/>
      <c r="AB2542" s="160"/>
      <c r="AC2542" s="160"/>
      <c r="AD2542" s="160"/>
      <c r="AE2542" s="160"/>
      <c r="AF2542" s="160"/>
      <c r="AG2542" s="160"/>
      <c r="AH2542" s="160"/>
      <c r="AI2542" s="356"/>
      <c r="AJ2542" s="356"/>
      <c r="AK2542" s="356"/>
      <c r="AL2542" s="356"/>
      <c r="AM2542" s="356"/>
      <c r="AN2542" s="356"/>
      <c r="AO2542" s="356"/>
      <c r="AP2542" s="356"/>
      <c r="AQ2542" s="356"/>
      <c r="AR2542" s="356"/>
      <c r="AS2542" s="356"/>
      <c r="AT2542" s="356"/>
      <c r="AU2542" s="356"/>
      <c r="AV2542" s="356"/>
      <c r="AW2542" s="356"/>
      <c r="AX2542" s="356"/>
      <c r="AY2542" s="356"/>
      <c r="AZ2542" s="356"/>
      <c r="BA2542" s="356"/>
    </row>
    <row r="2543" ht="15.75" hidden="1" customHeight="1" outlineLevel="1">
      <c r="A2543" s="353"/>
      <c r="B2543" s="38"/>
      <c r="C2543" s="160"/>
      <c r="D2543" s="160"/>
      <c r="E2543" s="160"/>
      <c r="F2543" s="160"/>
      <c r="G2543" s="160"/>
      <c r="H2543" s="160"/>
      <c r="I2543" s="160"/>
      <c r="J2543" s="160"/>
      <c r="K2543" s="160">
        <f>IF($K$2478&gt;0,PPMT('Assumptions (Battery)'!$V$9,Model!W$1,'Assumptions (Battery)'!$V$12,'Assumptions (Battery)'!$V$7*$K$2480),0)</f>
        <v>0</v>
      </c>
      <c r="L2543" s="160">
        <f>IF($K$2478&gt;0,PPMT('Assumptions (Battery)'!$V$9,Model!X$1,'Assumptions (Battery)'!$V$12,'Assumptions (Battery)'!$V$7*$K$2480),0)</f>
        <v>0</v>
      </c>
      <c r="M2543" s="160">
        <f>IF($K$2478&gt;0,PPMT('Assumptions (Battery)'!$V$9,Model!Y$1,'Assumptions (Battery)'!$V$12,'Assumptions (Battery)'!$V$7*$K$2480),0)</f>
        <v>0</v>
      </c>
      <c r="N2543" s="160">
        <f>IF($K$2478&gt;0,PPMT('Assumptions (Battery)'!$V$9,Model!Z$1,'Assumptions (Battery)'!$V$12,'Assumptions (Battery)'!$V$7*$K$2480),0)</f>
        <v>0</v>
      </c>
      <c r="O2543" s="160">
        <f>IF($K$2478&gt;0,PPMT('Assumptions (Battery)'!$V$9,Model!AA$1,'Assumptions (Battery)'!$V$12,'Assumptions (Battery)'!$V$7*$K$2480),0)</f>
        <v>0</v>
      </c>
      <c r="P2543" s="160">
        <f>IF($K$2478&gt;0,PPMT('Assumptions (Battery)'!$V$9,Model!AB$1,'Assumptions (Battery)'!$V$12,'Assumptions (Battery)'!$V$7*$K$2480),0)</f>
        <v>0</v>
      </c>
      <c r="Q2543" s="160">
        <f>IF($K$2478&gt;0,PPMT('Assumptions (Battery)'!$V$9,Model!AC$1,'Assumptions (Battery)'!$V$12,'Assumptions (Battery)'!$V$7*$K$2480),0)</f>
        <v>0</v>
      </c>
      <c r="R2543" s="160">
        <f>IF($K$2478&gt;0,PPMT('Assumptions (Battery)'!$V$9,Model!AD$1,'Assumptions (Battery)'!$V$12,'Assumptions (Battery)'!$V$7*$K$2480),0)</f>
        <v>0</v>
      </c>
      <c r="S2543" s="160">
        <f>IF($K$2478&gt;0,PPMT('Assumptions (Battery)'!$V$9,Model!AE$1,'Assumptions (Battery)'!$V$12,'Assumptions (Battery)'!$V$7*$K$2480),0)</f>
        <v>0</v>
      </c>
      <c r="T2543" s="160">
        <f>IF($K$2478&gt;0,PPMT('Assumptions (Battery)'!$V$9,Model!AF$1,'Assumptions (Battery)'!$V$12,'Assumptions (Battery)'!$V$7*$K$2480),0)</f>
        <v>0</v>
      </c>
      <c r="U2543" s="160"/>
      <c r="V2543" s="160"/>
      <c r="W2543" s="160"/>
      <c r="X2543" s="160"/>
      <c r="Y2543" s="160"/>
      <c r="Z2543" s="160"/>
      <c r="AA2543" s="160"/>
      <c r="AB2543" s="160"/>
      <c r="AC2543" s="160"/>
      <c r="AD2543" s="160"/>
      <c r="AE2543" s="160"/>
      <c r="AF2543" s="160"/>
      <c r="AG2543" s="160"/>
      <c r="AH2543" s="160"/>
      <c r="AI2543" s="160"/>
      <c r="AJ2543" s="356"/>
      <c r="AK2543" s="356"/>
      <c r="AL2543" s="356"/>
      <c r="AM2543" s="356"/>
      <c r="AN2543" s="356"/>
      <c r="AO2543" s="356"/>
      <c r="AP2543" s="356"/>
      <c r="AQ2543" s="356"/>
      <c r="AR2543" s="356"/>
      <c r="AS2543" s="356"/>
      <c r="AT2543" s="356"/>
      <c r="AU2543" s="356"/>
      <c r="AV2543" s="356"/>
      <c r="AW2543" s="356"/>
      <c r="AX2543" s="356"/>
      <c r="AY2543" s="356"/>
      <c r="AZ2543" s="356"/>
      <c r="BA2543" s="356"/>
    </row>
    <row r="2544" ht="15.75" hidden="1" customHeight="1" outlineLevel="1">
      <c r="A2544" s="353"/>
      <c r="B2544" s="38"/>
      <c r="C2544" s="160"/>
      <c r="D2544" s="160"/>
      <c r="E2544" s="160"/>
      <c r="F2544" s="160"/>
      <c r="G2544" s="160"/>
      <c r="H2544" s="160"/>
      <c r="I2544" s="160"/>
      <c r="J2544" s="160"/>
      <c r="K2544" s="160"/>
      <c r="L2544" s="160">
        <f>IF($L$2478&gt;0,PPMT('Assumptions (Battery)'!$V$9,Model!W$1,'Assumptions (Battery)'!$V$12,'Assumptions (Battery)'!$V$7*$L$2480),0)</f>
        <v>0</v>
      </c>
      <c r="M2544" s="160">
        <f>IF($L$2478&gt;0,PPMT('Assumptions (Battery)'!$V$9,Model!X$1,'Assumptions (Battery)'!$V$12,'Assumptions (Battery)'!$V$7*$L$2480),0)</f>
        <v>0</v>
      </c>
      <c r="N2544" s="160">
        <f>IF($L$2478&gt;0,PPMT('Assumptions (Battery)'!$V$9,Model!Y$1,'Assumptions (Battery)'!$V$12,'Assumptions (Battery)'!$V$7*$L$2480),0)</f>
        <v>0</v>
      </c>
      <c r="O2544" s="160">
        <f>IF($L$2478&gt;0,PPMT('Assumptions (Battery)'!$V$9,Model!Z$1,'Assumptions (Battery)'!$V$12,'Assumptions (Battery)'!$V$7*$L$2480),0)</f>
        <v>0</v>
      </c>
      <c r="P2544" s="160">
        <f>IF($L$2478&gt;0,PPMT('Assumptions (Battery)'!$V$9,Model!AA$1,'Assumptions (Battery)'!$V$12,'Assumptions (Battery)'!$V$7*$L$2480),0)</f>
        <v>0</v>
      </c>
      <c r="Q2544" s="160">
        <f>IF($L$2478&gt;0,PPMT('Assumptions (Battery)'!$V$9,Model!AB$1,'Assumptions (Battery)'!$V$12,'Assumptions (Battery)'!$V$7*$L$2480),0)</f>
        <v>0</v>
      </c>
      <c r="R2544" s="160">
        <f>IF($L$2478&gt;0,PPMT('Assumptions (Battery)'!$V$9,Model!AC$1,'Assumptions (Battery)'!$V$12,'Assumptions (Battery)'!$V$7*$L$2480),0)</f>
        <v>0</v>
      </c>
      <c r="S2544" s="160">
        <f>IF($L$2478&gt;0,PPMT('Assumptions (Battery)'!$V$9,Model!AD$1,'Assumptions (Battery)'!$V$12,'Assumptions (Battery)'!$V$7*$L$2480),0)</f>
        <v>0</v>
      </c>
      <c r="T2544" s="160">
        <f>IF($L$2478&gt;0,PPMT('Assumptions (Battery)'!$V$9,Model!AE$1,'Assumptions (Battery)'!$V$12,'Assumptions (Battery)'!$V$7*$L$2480),0)</f>
        <v>0</v>
      </c>
      <c r="U2544" s="160">
        <f>IF($L$2478&gt;0,PPMT('Assumptions (Battery)'!$V$9,Model!AF$1,'Assumptions (Battery)'!$V$12,'Assumptions (Battery)'!$V$7*$L$2480),0)</f>
        <v>0</v>
      </c>
      <c r="V2544" s="160"/>
      <c r="W2544" s="160"/>
      <c r="X2544" s="160"/>
      <c r="Y2544" s="160"/>
      <c r="Z2544" s="160"/>
      <c r="AA2544" s="160"/>
      <c r="AB2544" s="160"/>
      <c r="AC2544" s="160"/>
      <c r="AD2544" s="160"/>
      <c r="AE2544" s="160"/>
      <c r="AF2544" s="160"/>
      <c r="AG2544" s="160"/>
      <c r="AH2544" s="160"/>
      <c r="AI2544" s="160"/>
      <c r="AJ2544" s="160"/>
      <c r="AK2544" s="356"/>
      <c r="AL2544" s="356"/>
      <c r="AM2544" s="356"/>
      <c r="AN2544" s="356"/>
      <c r="AO2544" s="356"/>
      <c r="AP2544" s="356"/>
      <c r="AQ2544" s="356"/>
      <c r="AR2544" s="356"/>
      <c r="AS2544" s="356"/>
      <c r="AT2544" s="356"/>
      <c r="AU2544" s="356"/>
      <c r="AV2544" s="356"/>
      <c r="AW2544" s="356"/>
      <c r="AX2544" s="356"/>
      <c r="AY2544" s="356"/>
      <c r="AZ2544" s="356"/>
      <c r="BA2544" s="356"/>
    </row>
    <row r="2545" ht="15.75" hidden="1" customHeight="1" outlineLevel="1">
      <c r="A2545" s="353"/>
      <c r="B2545" s="38"/>
      <c r="C2545" s="160"/>
      <c r="D2545" s="160"/>
      <c r="E2545" s="160"/>
      <c r="F2545" s="160"/>
      <c r="G2545" s="160"/>
      <c r="H2545" s="160"/>
      <c r="I2545" s="160"/>
      <c r="J2545" s="160"/>
      <c r="K2545" s="160"/>
      <c r="L2545" s="160"/>
      <c r="M2545" s="160">
        <f>IF($M$2478&gt;0,PPMT('Assumptions (Battery)'!$V$9,Model!W$1,'Assumptions (Battery)'!$V$12,'Assumptions (Battery)'!$V$7*$M$2480),0)</f>
        <v>0</v>
      </c>
      <c r="N2545" s="160">
        <f>IF($M$2478&gt;0,PPMT('Assumptions (Battery)'!$V$9,Model!X$1,'Assumptions (Battery)'!$V$12,'Assumptions (Battery)'!$V$7*$M$2480),0)</f>
        <v>0</v>
      </c>
      <c r="O2545" s="160">
        <f>IF($M$2478&gt;0,PPMT('Assumptions (Battery)'!$V$9,Model!Y$1,'Assumptions (Battery)'!$V$12,'Assumptions (Battery)'!$V$7*$M$2480),0)</f>
        <v>0</v>
      </c>
      <c r="P2545" s="160">
        <f>IF($M$2478&gt;0,PPMT('Assumptions (Battery)'!$V$9,Model!Z$1,'Assumptions (Battery)'!$V$12,'Assumptions (Battery)'!$V$7*$M$2480),0)</f>
        <v>0</v>
      </c>
      <c r="Q2545" s="160">
        <f>IF($M$2478&gt;0,PPMT('Assumptions (Battery)'!$V$9,Model!AA$1,'Assumptions (Battery)'!$V$12,'Assumptions (Battery)'!$V$7*$M$2480),0)</f>
        <v>0</v>
      </c>
      <c r="R2545" s="160">
        <f>IF($M$2478&gt;0,PPMT('Assumptions (Battery)'!$V$9,Model!AB$1,'Assumptions (Battery)'!$V$12,'Assumptions (Battery)'!$V$7*$M$2480),0)</f>
        <v>0</v>
      </c>
      <c r="S2545" s="160">
        <f>IF($M$2478&gt;0,PPMT('Assumptions (Battery)'!$V$9,Model!AC$1,'Assumptions (Battery)'!$V$12,'Assumptions (Battery)'!$V$7*$M$2480),0)</f>
        <v>0</v>
      </c>
      <c r="T2545" s="160">
        <f>IF($M$2478&gt;0,PPMT('Assumptions (Battery)'!$V$9,Model!AD$1,'Assumptions (Battery)'!$V$12,'Assumptions (Battery)'!$V$7*$M$2480),0)</f>
        <v>0</v>
      </c>
      <c r="U2545" s="160">
        <f>IF($M$2478&gt;0,PPMT('Assumptions (Battery)'!$V$9,Model!AE$1,'Assumptions (Battery)'!$V$12,'Assumptions (Battery)'!$V$7*$M$2480),0)</f>
        <v>0</v>
      </c>
      <c r="V2545" s="160">
        <f>IF($M$2478&gt;0,PPMT('Assumptions (Battery)'!$V$9,Model!AF$1,'Assumptions (Battery)'!$V$12,'Assumptions (Battery)'!$V$7*$M$2480),0)</f>
        <v>0</v>
      </c>
      <c r="W2545" s="160"/>
      <c r="X2545" s="160"/>
      <c r="Y2545" s="160"/>
      <c r="Z2545" s="160"/>
      <c r="AA2545" s="160"/>
      <c r="AB2545" s="160"/>
      <c r="AC2545" s="160"/>
      <c r="AD2545" s="160"/>
      <c r="AE2545" s="160"/>
      <c r="AF2545" s="160"/>
      <c r="AG2545" s="160"/>
      <c r="AH2545" s="160"/>
      <c r="AI2545" s="160"/>
      <c r="AJ2545" s="160"/>
      <c r="AK2545" s="160"/>
      <c r="AL2545" s="356"/>
      <c r="AM2545" s="356"/>
      <c r="AN2545" s="356"/>
      <c r="AO2545" s="356"/>
      <c r="AP2545" s="356"/>
      <c r="AQ2545" s="356"/>
      <c r="AR2545" s="356"/>
      <c r="AS2545" s="356"/>
      <c r="AT2545" s="356"/>
      <c r="AU2545" s="356"/>
      <c r="AV2545" s="356"/>
      <c r="AW2545" s="356"/>
      <c r="AX2545" s="356"/>
      <c r="AY2545" s="356"/>
      <c r="AZ2545" s="356"/>
      <c r="BA2545" s="356"/>
    </row>
    <row r="2546" ht="15.75" hidden="1" customHeight="1" outlineLevel="1">
      <c r="A2546" s="353"/>
      <c r="B2546" s="38"/>
      <c r="C2546" s="160"/>
      <c r="D2546" s="160"/>
      <c r="E2546" s="160"/>
      <c r="F2546" s="160"/>
      <c r="G2546" s="160"/>
      <c r="H2546" s="160"/>
      <c r="I2546" s="160"/>
      <c r="J2546" s="160"/>
      <c r="K2546" s="160"/>
      <c r="L2546" s="160"/>
      <c r="M2546" s="160"/>
      <c r="N2546" s="177">
        <f>IF($N$2478&gt;0,PPMT('Assumptions (Battery)'!$V$9,Model!W$1,'Assumptions (Battery)'!$V$12,'Assumptions (Battery)'!$V$7*$N$2480),0)</f>
        <v>0</v>
      </c>
      <c r="O2546" s="177">
        <f>IF($N$2478&gt;0,PPMT('Assumptions (Battery)'!$V$9,Model!X$1,'Assumptions (Battery)'!$V$12,'Assumptions (Battery)'!$V$7*$N$2480),0)</f>
        <v>0</v>
      </c>
      <c r="P2546" s="177">
        <f>IF($N$2478&gt;0,PPMT('Assumptions (Battery)'!$V$9,Model!Y$1,'Assumptions (Battery)'!$V$12,'Assumptions (Battery)'!$V$7*$N$2480),0)</f>
        <v>0</v>
      </c>
      <c r="Q2546" s="177">
        <f>IF($N$2478&gt;0,PPMT('Assumptions (Battery)'!$V$9,Model!Z$1,'Assumptions (Battery)'!$V$12,'Assumptions (Battery)'!$V$7*$N$2480),0)</f>
        <v>0</v>
      </c>
      <c r="R2546" s="177">
        <f>IF($N$2478&gt;0,PPMT('Assumptions (Battery)'!$V$9,Model!AA$1,'Assumptions (Battery)'!$V$12,'Assumptions (Battery)'!$V$7*$N$2480),0)</f>
        <v>0</v>
      </c>
      <c r="S2546" s="177">
        <f>IF($N$2478&gt;0,PPMT('Assumptions (Battery)'!$V$9,Model!AB$1,'Assumptions (Battery)'!$V$12,'Assumptions (Battery)'!$V$7*$N$2480),0)</f>
        <v>0</v>
      </c>
      <c r="T2546" s="177">
        <f>IF($N$2478&gt;0,PPMT('Assumptions (Battery)'!$V$9,Model!AC$1,'Assumptions (Battery)'!$V$12,'Assumptions (Battery)'!$V$7*$N$2480),0)</f>
        <v>0</v>
      </c>
      <c r="U2546" s="177">
        <f>IF($N$2478&gt;0,PPMT('Assumptions (Battery)'!$V$9,Model!AD$1,'Assumptions (Battery)'!$V$12,'Assumptions (Battery)'!$V$7*$N$2480),0)</f>
        <v>0</v>
      </c>
      <c r="V2546" s="177">
        <f>IF($N$2478&gt;0,PPMT('Assumptions (Battery)'!$V$9,Model!AE$1,'Assumptions (Battery)'!$V$12,'Assumptions (Battery)'!$V$7*$N$2480),0)</f>
        <v>0</v>
      </c>
      <c r="W2546" s="177">
        <f>IF($N$2478&gt;0,PPMT('Assumptions (Battery)'!$V$9,Model!AF$1,'Assumptions (Battery)'!$V$12,'Assumptions (Battery)'!$V$7*$N$2480),0)</f>
        <v>0</v>
      </c>
      <c r="X2546" s="160"/>
      <c r="Y2546" s="160"/>
      <c r="Z2546" s="160"/>
      <c r="AA2546" s="160"/>
      <c r="AB2546" s="160"/>
      <c r="AC2546" s="160"/>
      <c r="AD2546" s="160"/>
      <c r="AE2546" s="160"/>
      <c r="AF2546" s="160"/>
      <c r="AG2546" s="160"/>
      <c r="AH2546" s="160"/>
      <c r="AI2546" s="160"/>
      <c r="AJ2546" s="160"/>
      <c r="AK2546" s="160"/>
      <c r="AL2546" s="160"/>
      <c r="AM2546" s="356"/>
      <c r="AN2546" s="356"/>
      <c r="AO2546" s="356"/>
      <c r="AP2546" s="356"/>
      <c r="AQ2546" s="356"/>
      <c r="AR2546" s="356"/>
      <c r="AS2546" s="356"/>
      <c r="AT2546" s="356"/>
      <c r="AU2546" s="356"/>
      <c r="AV2546" s="356"/>
      <c r="AW2546" s="356"/>
      <c r="AX2546" s="356"/>
      <c r="AY2546" s="356"/>
      <c r="AZ2546" s="356"/>
      <c r="BA2546" s="356"/>
    </row>
    <row r="2547" ht="15.75" hidden="1" customHeight="1" outlineLevel="1">
      <c r="A2547" s="353"/>
      <c r="B2547" s="38"/>
      <c r="C2547" s="160"/>
      <c r="D2547" s="160"/>
      <c r="E2547" s="160"/>
      <c r="F2547" s="160"/>
      <c r="G2547" s="160"/>
      <c r="H2547" s="160"/>
      <c r="I2547" s="160"/>
      <c r="J2547" s="160"/>
      <c r="K2547" s="160"/>
      <c r="L2547" s="160"/>
      <c r="M2547" s="160"/>
      <c r="N2547" s="160"/>
      <c r="O2547" s="160">
        <f>IF($O$2478&gt;0,PPMT('Assumptions (Battery)'!$V$9,Model!W$1,'Assumptions (Battery)'!$V$12,'Assumptions (Battery)'!$V$7*$O$2480),0)</f>
        <v>0</v>
      </c>
      <c r="P2547" s="160">
        <f>IF($O$2478&gt;0,PPMT('Assumptions (Battery)'!$V$9,Model!X$1,'Assumptions (Battery)'!$V$12,'Assumptions (Battery)'!$V$7*$O$2480),0)</f>
        <v>0</v>
      </c>
      <c r="Q2547" s="160">
        <f>IF($O$2478&gt;0,PPMT('Assumptions (Battery)'!$V$9,Model!Y$1,'Assumptions (Battery)'!$V$12,'Assumptions (Battery)'!$V$7*$O$2480),0)</f>
        <v>0</v>
      </c>
      <c r="R2547" s="160">
        <f>IF($O$2478&gt;0,PPMT('Assumptions (Battery)'!$V$9,Model!Z$1,'Assumptions (Battery)'!$V$12,'Assumptions (Battery)'!$V$7*$O$2480),0)</f>
        <v>0</v>
      </c>
      <c r="S2547" s="160">
        <f>IF($O$2478&gt;0,PPMT('Assumptions (Battery)'!$V$9,Model!AA$1,'Assumptions (Battery)'!$V$12,'Assumptions (Battery)'!$V$7*$O$2480),0)</f>
        <v>0</v>
      </c>
      <c r="T2547" s="160">
        <f>IF($O$2478&gt;0,PPMT('Assumptions (Battery)'!$V$9,Model!AB$1,'Assumptions (Battery)'!$V$12,'Assumptions (Battery)'!$V$7*$O$2480),0)</f>
        <v>0</v>
      </c>
      <c r="U2547" s="160">
        <f>IF($O$2478&gt;0,PPMT('Assumptions (Battery)'!$V$9,Model!AC$1,'Assumptions (Battery)'!$V$12,'Assumptions (Battery)'!$V$7*$O$2480),0)</f>
        <v>0</v>
      </c>
      <c r="V2547" s="160">
        <f>IF($O$2478&gt;0,PPMT('Assumptions (Battery)'!$V$9,Model!AD$1,'Assumptions (Battery)'!$V$12,'Assumptions (Battery)'!$V$7*$O$2480),0)</f>
        <v>0</v>
      </c>
      <c r="W2547" s="160">
        <f>IF($O$2478&gt;0,PPMT('Assumptions (Battery)'!$V$9,Model!AE$1,'Assumptions (Battery)'!$V$12,'Assumptions (Battery)'!$V$7*$O$2480),0)</f>
        <v>0</v>
      </c>
      <c r="X2547" s="160">
        <f>IF($O$2478&gt;0,PPMT('Assumptions (Battery)'!$V$9,Model!AF$1,'Assumptions (Battery)'!$V$12,'Assumptions (Battery)'!$V$7*$O$2480),0)</f>
        <v>0</v>
      </c>
      <c r="Y2547" s="160"/>
      <c r="Z2547" s="160"/>
      <c r="AA2547" s="160"/>
      <c r="AB2547" s="160"/>
      <c r="AC2547" s="160"/>
      <c r="AD2547" s="160"/>
      <c r="AE2547" s="160"/>
      <c r="AF2547" s="160"/>
      <c r="AG2547" s="160"/>
      <c r="AH2547" s="160"/>
      <c r="AI2547" s="160"/>
      <c r="AJ2547" s="160"/>
      <c r="AK2547" s="160"/>
      <c r="AL2547" s="160"/>
      <c r="AM2547" s="160"/>
      <c r="AN2547" s="356"/>
      <c r="AO2547" s="356"/>
      <c r="AP2547" s="356"/>
      <c r="AQ2547" s="356"/>
      <c r="AR2547" s="356"/>
      <c r="AS2547" s="356"/>
      <c r="AT2547" s="356"/>
      <c r="AU2547" s="356"/>
      <c r="AV2547" s="356"/>
      <c r="AW2547" s="356"/>
      <c r="AX2547" s="356"/>
      <c r="AY2547" s="356"/>
      <c r="AZ2547" s="356"/>
      <c r="BA2547" s="356"/>
    </row>
    <row r="2548" ht="15.75" hidden="1" customHeight="1" outlineLevel="1">
      <c r="A2548" s="353"/>
      <c r="B2548" s="38"/>
      <c r="C2548" s="160"/>
      <c r="D2548" s="160"/>
      <c r="E2548" s="160"/>
      <c r="F2548" s="160"/>
      <c r="G2548" s="160"/>
      <c r="H2548" s="160"/>
      <c r="I2548" s="160"/>
      <c r="J2548" s="160"/>
      <c r="K2548" s="160"/>
      <c r="L2548" s="160"/>
      <c r="M2548" s="160"/>
      <c r="N2548" s="160"/>
      <c r="O2548" s="160"/>
      <c r="P2548" s="177">
        <f>IF($P$2478&gt;0,PPMT('Assumptions (Battery)'!$V$9,Model!W$1,'Assumptions (Battery)'!$V$12,'Assumptions (Battery)'!$V$7*$P$2480),0)</f>
        <v>0</v>
      </c>
      <c r="Q2548" s="177">
        <f>IF($P$2478&gt;0,PPMT('Assumptions (Battery)'!$V$9,Model!X$1,'Assumptions (Battery)'!$V$12,'Assumptions (Battery)'!$V$7*$P$2480),0)</f>
        <v>0</v>
      </c>
      <c r="R2548" s="177">
        <f>IF($P$2478&gt;0,PPMT('Assumptions (Battery)'!$V$9,Model!Y$1,'Assumptions (Battery)'!$V$12,'Assumptions (Battery)'!$V$7*$P$2480),0)</f>
        <v>0</v>
      </c>
      <c r="S2548" s="177">
        <f>IF($P$2478&gt;0,PPMT('Assumptions (Battery)'!$V$9,Model!Z$1,'Assumptions (Battery)'!$V$12,'Assumptions (Battery)'!$V$7*$P$2480),0)</f>
        <v>0</v>
      </c>
      <c r="T2548" s="177">
        <f>IF($P$2478&gt;0,PPMT('Assumptions (Battery)'!$V$9,Model!AA$1,'Assumptions (Battery)'!$V$12,'Assumptions (Battery)'!$V$7*$P$2480),0)</f>
        <v>0</v>
      </c>
      <c r="U2548" s="177">
        <f>IF($P$2478&gt;0,PPMT('Assumptions (Battery)'!$V$9,Model!AB$1,'Assumptions (Battery)'!$V$12,'Assumptions (Battery)'!$V$7*$P$2480),0)</f>
        <v>0</v>
      </c>
      <c r="V2548" s="177">
        <f>IF($P$2478&gt;0,PPMT('Assumptions (Battery)'!$V$9,Model!AC$1,'Assumptions (Battery)'!$V$12,'Assumptions (Battery)'!$V$7*$P$2480),0)</f>
        <v>0</v>
      </c>
      <c r="W2548" s="177">
        <f>IF($P$2478&gt;0,PPMT('Assumptions (Battery)'!$V$9,Model!AD$1,'Assumptions (Battery)'!$V$12,'Assumptions (Battery)'!$V$7*$P$2480),0)</f>
        <v>0</v>
      </c>
      <c r="X2548" s="160">
        <f>IF($P$2478&gt;0,PPMT('Assumptions (Battery)'!$V$9,Model!AE$1,'Assumptions (Battery)'!$V$12,'Assumptions (Battery)'!$V$7*$P$2480),0)</f>
        <v>0</v>
      </c>
      <c r="Y2548" s="160">
        <f>IF($P$2478&gt;0,PPMT('Assumptions (Battery)'!$V$9,Model!AF$1,'Assumptions (Battery)'!$V$12,'Assumptions (Battery)'!$V$7*$P$2480),0)</f>
        <v>0</v>
      </c>
      <c r="Z2548" s="160"/>
      <c r="AA2548" s="160"/>
      <c r="AB2548" s="160"/>
      <c r="AC2548" s="160"/>
      <c r="AD2548" s="160"/>
      <c r="AE2548" s="160"/>
      <c r="AF2548" s="160"/>
      <c r="AG2548" s="160"/>
      <c r="AH2548" s="160"/>
      <c r="AI2548" s="160"/>
      <c r="AJ2548" s="160"/>
      <c r="AK2548" s="160"/>
      <c r="AL2548" s="160"/>
      <c r="AM2548" s="160"/>
      <c r="AN2548" s="160"/>
      <c r="AO2548" s="356"/>
      <c r="AP2548" s="356"/>
      <c r="AQ2548" s="356"/>
      <c r="AR2548" s="356"/>
      <c r="AS2548" s="356"/>
      <c r="AT2548" s="356"/>
      <c r="AU2548" s="356"/>
      <c r="AV2548" s="356"/>
      <c r="AW2548" s="356"/>
      <c r="AX2548" s="356"/>
      <c r="AY2548" s="356"/>
      <c r="AZ2548" s="356"/>
      <c r="BA2548" s="356"/>
    </row>
    <row r="2549" ht="15.75" hidden="1" customHeight="1" outlineLevel="1">
      <c r="A2549" s="353"/>
      <c r="B2549" s="38"/>
      <c r="C2549" s="160"/>
      <c r="D2549" s="160"/>
      <c r="E2549" s="160"/>
      <c r="F2549" s="160"/>
      <c r="G2549" s="160"/>
      <c r="H2549" s="160"/>
      <c r="I2549" s="160"/>
      <c r="J2549" s="160"/>
      <c r="K2549" s="160"/>
      <c r="L2549" s="160"/>
      <c r="M2549" s="160"/>
      <c r="N2549" s="160"/>
      <c r="O2549" s="160"/>
      <c r="P2549" s="179"/>
      <c r="Q2549" s="160">
        <f>IF($Q$2478&gt;0,PPMT('Assumptions (Battery)'!$V$9,Model!W$1,'Assumptions (Battery)'!$V$12,'Assumptions (Battery)'!$V$7*$Q$2480),0)</f>
        <v>0</v>
      </c>
      <c r="R2549" s="160">
        <f>IF($Q$2478&gt;0,PPMT('Assumptions (Battery)'!$V$9,Model!X$1,'Assumptions (Battery)'!$V$12,'Assumptions (Battery)'!$V$7*$Q$2480),0)</f>
        <v>0</v>
      </c>
      <c r="S2549" s="160">
        <f>IF($Q$2478&gt;0,PPMT('Assumptions (Battery)'!$V$9,Model!Y$1,'Assumptions (Battery)'!$V$12,'Assumptions (Battery)'!$V$7*$Q$2480),0)</f>
        <v>0</v>
      </c>
      <c r="T2549" s="160">
        <f>IF($Q$2478&gt;0,PPMT('Assumptions (Battery)'!$V$9,Model!Z$1,'Assumptions (Battery)'!$V$12,'Assumptions (Battery)'!$V$7*$Q$2480),0)</f>
        <v>0</v>
      </c>
      <c r="U2549" s="160">
        <f>IF($Q$2478&gt;0,PPMT('Assumptions (Battery)'!$V$9,Model!AA$1,'Assumptions (Battery)'!$V$12,'Assumptions (Battery)'!$V$7*$Q$2480),0)</f>
        <v>0</v>
      </c>
      <c r="V2549" s="160">
        <f>IF($Q$2478&gt;0,PPMT('Assumptions (Battery)'!$V$9,Model!AB$1,'Assumptions (Battery)'!$V$12,'Assumptions (Battery)'!$V$7*$Q$2480),0)</f>
        <v>0</v>
      </c>
      <c r="W2549" s="160">
        <f>IF($Q$2478&gt;0,PPMT('Assumptions (Battery)'!$V$9,Model!AC$1,'Assumptions (Battery)'!$V$12,'Assumptions (Battery)'!$V$7*$Q$2480),0)</f>
        <v>0</v>
      </c>
      <c r="X2549" s="160">
        <f>IF($Q$2478&gt;0,PPMT('Assumptions (Battery)'!$V$9,Model!AD$1,'Assumptions (Battery)'!$V$12,'Assumptions (Battery)'!$V$7*$Q$2480),0)</f>
        <v>0</v>
      </c>
      <c r="Y2549" s="160">
        <f>IF($Q$2478&gt;0,PPMT('Assumptions (Battery)'!$V$9,Model!AE$1,'Assumptions (Battery)'!$V$12,'Assumptions (Battery)'!$V$7*$Q$2480),0)</f>
        <v>0</v>
      </c>
      <c r="Z2549" s="160">
        <f>IF($Q$2478&gt;0,PPMT('Assumptions (Battery)'!$V$9,Model!AF$1,'Assumptions (Battery)'!$V$12,'Assumptions (Battery)'!$V$7*$Q$2480),0)</f>
        <v>0</v>
      </c>
      <c r="AA2549" s="160"/>
      <c r="AB2549" s="160"/>
      <c r="AC2549" s="160"/>
      <c r="AD2549" s="160"/>
      <c r="AE2549" s="160"/>
      <c r="AF2549" s="160"/>
      <c r="AG2549" s="160"/>
      <c r="AH2549" s="160"/>
      <c r="AI2549" s="160"/>
      <c r="AJ2549" s="160"/>
      <c r="AK2549" s="160"/>
      <c r="AL2549" s="160"/>
      <c r="AM2549" s="160"/>
      <c r="AN2549" s="160"/>
      <c r="AO2549" s="160"/>
      <c r="AP2549" s="356"/>
      <c r="AQ2549" s="356"/>
      <c r="AR2549" s="356"/>
      <c r="AS2549" s="356"/>
      <c r="AT2549" s="356"/>
      <c r="AU2549" s="356"/>
      <c r="AV2549" s="356"/>
      <c r="AW2549" s="356"/>
      <c r="AX2549" s="356"/>
      <c r="AY2549" s="356"/>
      <c r="AZ2549" s="356"/>
      <c r="BA2549" s="356"/>
    </row>
    <row r="2550" ht="15.75" hidden="1" customHeight="1" outlineLevel="1">
      <c r="A2550" s="353"/>
      <c r="B2550" s="38"/>
      <c r="C2550" s="160"/>
      <c r="D2550" s="160"/>
      <c r="E2550" s="160"/>
      <c r="F2550" s="160"/>
      <c r="G2550" s="160"/>
      <c r="H2550" s="160"/>
      <c r="I2550" s="160"/>
      <c r="J2550" s="160"/>
      <c r="K2550" s="160"/>
      <c r="L2550" s="160"/>
      <c r="M2550" s="160"/>
      <c r="N2550" s="160"/>
      <c r="O2550" s="160"/>
      <c r="P2550" s="179"/>
      <c r="Q2550" s="160"/>
      <c r="R2550" s="177">
        <f>IF($R$2478&gt;0,PPMT('Assumptions (Battery)'!$V$9,Model!W$1,'Assumptions (Battery)'!$V$12,'Assumptions (Battery)'!$V$7*$R$2480),0)</f>
        <v>0</v>
      </c>
      <c r="S2550" s="177">
        <f>IF($R$2478&gt;0,PPMT('Assumptions (Battery)'!$V$9,Model!X$1,'Assumptions (Battery)'!$V$12,'Assumptions (Battery)'!$V$7*$R$2480),0)</f>
        <v>0</v>
      </c>
      <c r="T2550" s="177">
        <f>IF($R$2478&gt;0,PPMT('Assumptions (Battery)'!$V$9,Model!Y$1,'Assumptions (Battery)'!$V$12,'Assumptions (Battery)'!$V$7*$R$2480),0)</f>
        <v>0</v>
      </c>
      <c r="U2550" s="177">
        <f>IF($R$2478&gt;0,PPMT('Assumptions (Battery)'!$V$9,Model!Z$1,'Assumptions (Battery)'!$V$12,'Assumptions (Battery)'!$V$7*$R$2480),0)</f>
        <v>0</v>
      </c>
      <c r="V2550" s="177">
        <f>IF($R$2478&gt;0,PPMT('Assumptions (Battery)'!$V$9,Model!AA$1,'Assumptions (Battery)'!$V$12,'Assumptions (Battery)'!$V$7*$R$2480),0)</f>
        <v>0</v>
      </c>
      <c r="W2550" s="177">
        <f>IF($R$2478&gt;0,PPMT('Assumptions (Battery)'!$V$9,Model!AB$1,'Assumptions (Battery)'!$V$12,'Assumptions (Battery)'!$V$7*$R$2480),0)</f>
        <v>0</v>
      </c>
      <c r="X2550" s="160">
        <f>IF($R$2478&gt;0,PPMT('Assumptions (Battery)'!$V$9,Model!AC$1,'Assumptions (Battery)'!$V$12,'Assumptions (Battery)'!$V$7*$R$2480),0)</f>
        <v>0</v>
      </c>
      <c r="Y2550" s="160">
        <f>IF($R$2478&gt;0,PPMT('Assumptions (Battery)'!$V$9,Model!AD$1,'Assumptions (Battery)'!$V$12,'Assumptions (Battery)'!$V$7*$R$2480),0)</f>
        <v>0</v>
      </c>
      <c r="Z2550" s="160">
        <f>IF($R$2478&gt;0,PPMT('Assumptions (Battery)'!$V$9,Model!AE$1,'Assumptions (Battery)'!$V$12,'Assumptions (Battery)'!$V$7*$R$2480),0)</f>
        <v>0</v>
      </c>
      <c r="AA2550" s="160">
        <f>IF($R$2478&gt;0,PPMT('Assumptions (Battery)'!$V$9,Model!AF$1,'Assumptions (Battery)'!$V$12,'Assumptions (Battery)'!$V$7*$R$2480),0)</f>
        <v>0</v>
      </c>
      <c r="AB2550" s="160"/>
      <c r="AC2550" s="160"/>
      <c r="AD2550" s="160"/>
      <c r="AE2550" s="160"/>
      <c r="AF2550" s="160"/>
      <c r="AG2550" s="160"/>
      <c r="AH2550" s="160"/>
      <c r="AI2550" s="160"/>
      <c r="AJ2550" s="160"/>
      <c r="AK2550" s="160"/>
      <c r="AL2550" s="160"/>
      <c r="AM2550" s="160"/>
      <c r="AN2550" s="160"/>
      <c r="AO2550" s="160"/>
      <c r="AP2550" s="160"/>
      <c r="AQ2550" s="356"/>
      <c r="AR2550" s="356"/>
      <c r="AS2550" s="356"/>
      <c r="AT2550" s="356"/>
      <c r="AU2550" s="356"/>
      <c r="AV2550" s="356"/>
      <c r="AW2550" s="356"/>
      <c r="AX2550" s="356"/>
      <c r="AY2550" s="356"/>
      <c r="AZ2550" s="356"/>
      <c r="BA2550" s="356"/>
    </row>
    <row r="2551" ht="15.75" hidden="1" customHeight="1" outlineLevel="1">
      <c r="A2551" s="353"/>
      <c r="B2551" s="38"/>
      <c r="C2551" s="160"/>
      <c r="D2551" s="160"/>
      <c r="E2551" s="160"/>
      <c r="F2551" s="160"/>
      <c r="G2551" s="160"/>
      <c r="H2551" s="160"/>
      <c r="I2551" s="160"/>
      <c r="J2551" s="160"/>
      <c r="K2551" s="160"/>
      <c r="L2551" s="160"/>
      <c r="M2551" s="160"/>
      <c r="N2551" s="160"/>
      <c r="O2551" s="160"/>
      <c r="P2551" s="179"/>
      <c r="Q2551" s="160"/>
      <c r="R2551" s="177"/>
      <c r="S2551" s="160">
        <f>IF($S$2478&gt;0,PPMT('Assumptions (Battery)'!$V$9,Model!W$1,'Assumptions (Battery)'!$V$12,'Assumptions (Battery)'!$V$7*$S$2480),0)</f>
        <v>0</v>
      </c>
      <c r="T2551" s="160">
        <f>IF($S$2478&gt;0,PPMT('Assumptions (Battery)'!$V$9,Model!X$1,'Assumptions (Battery)'!$V$12,'Assumptions (Battery)'!$V$7*$S$2480),0)</f>
        <v>0</v>
      </c>
      <c r="U2551" s="160">
        <f>IF($S$2478&gt;0,PPMT('Assumptions (Battery)'!$V$9,Model!Y$1,'Assumptions (Battery)'!$V$12,'Assumptions (Battery)'!$V$7*$S$2480),0)</f>
        <v>0</v>
      </c>
      <c r="V2551" s="160">
        <f>IF($S$2478&gt;0,PPMT('Assumptions (Battery)'!$V$9,Model!Z$1,'Assumptions (Battery)'!$V$12,'Assumptions (Battery)'!$V$7*$S$2480),0)</f>
        <v>0</v>
      </c>
      <c r="W2551" s="160">
        <f>IF($S$2478&gt;0,PPMT('Assumptions (Battery)'!$V$9,Model!AA$1,'Assumptions (Battery)'!$V$12,'Assumptions (Battery)'!$V$7*$S$2480),0)</f>
        <v>0</v>
      </c>
      <c r="X2551" s="160">
        <f>IF($S$2478&gt;0,PPMT('Assumptions (Battery)'!$V$9,Model!AB$1,'Assumptions (Battery)'!$V$12,'Assumptions (Battery)'!$V$7*$S$2480),0)</f>
        <v>0</v>
      </c>
      <c r="Y2551" s="160">
        <f>IF($S$2478&gt;0,PPMT('Assumptions (Battery)'!$V$9,Model!AC$1,'Assumptions (Battery)'!$V$12,'Assumptions (Battery)'!$V$7*$S$2480),0)</f>
        <v>0</v>
      </c>
      <c r="Z2551" s="160">
        <f>IF($S$2478&gt;0,PPMT('Assumptions (Battery)'!$V$9,Model!AD$1,'Assumptions (Battery)'!$V$12,'Assumptions (Battery)'!$V$7*$S$2480),0)</f>
        <v>0</v>
      </c>
      <c r="AA2551" s="160">
        <f>IF($S$2478&gt;0,PPMT('Assumptions (Battery)'!$V$9,Model!AE$1,'Assumptions (Battery)'!$V$12,'Assumptions (Battery)'!$V$7*$S$2480),0)</f>
        <v>0</v>
      </c>
      <c r="AB2551" s="160">
        <f>IF($S$2478&gt;0,PPMT('Assumptions (Battery)'!$V$9,Model!AF$1,'Assumptions (Battery)'!$V$12,'Assumptions (Battery)'!$V$7*$S$2480),0)</f>
        <v>0</v>
      </c>
      <c r="AC2551" s="160"/>
      <c r="AD2551" s="160"/>
      <c r="AE2551" s="160"/>
      <c r="AF2551" s="160"/>
      <c r="AG2551" s="160"/>
      <c r="AH2551" s="160"/>
      <c r="AI2551" s="160"/>
      <c r="AJ2551" s="160"/>
      <c r="AK2551" s="160"/>
      <c r="AL2551" s="160"/>
      <c r="AM2551" s="160"/>
      <c r="AN2551" s="160"/>
      <c r="AO2551" s="160"/>
      <c r="AP2551" s="160"/>
      <c r="AQ2551" s="160"/>
      <c r="AR2551" s="356"/>
      <c r="AS2551" s="356"/>
      <c r="AT2551" s="356"/>
      <c r="AU2551" s="356"/>
      <c r="AV2551" s="356"/>
      <c r="AW2551" s="356"/>
      <c r="AX2551" s="356"/>
      <c r="AY2551" s="356"/>
      <c r="AZ2551" s="356"/>
      <c r="BA2551" s="356"/>
    </row>
    <row r="2552" ht="15.75" hidden="1" customHeight="1" outlineLevel="1">
      <c r="A2552" s="353"/>
      <c r="B2552" s="38"/>
      <c r="C2552" s="160"/>
      <c r="D2552" s="160"/>
      <c r="E2552" s="160"/>
      <c r="F2552" s="160"/>
      <c r="G2552" s="160"/>
      <c r="H2552" s="160"/>
      <c r="I2552" s="160"/>
      <c r="J2552" s="160"/>
      <c r="K2552" s="160"/>
      <c r="L2552" s="160"/>
      <c r="M2552" s="160"/>
      <c r="N2552" s="160"/>
      <c r="O2552" s="160"/>
      <c r="P2552" s="179"/>
      <c r="Q2552" s="160"/>
      <c r="R2552" s="177"/>
      <c r="S2552" s="177"/>
      <c r="T2552" s="160">
        <f>IF($T$2478&gt;0,PPMT('Assumptions (Battery)'!$V$9,Model!W$1,'Assumptions (Battery)'!$V$12,'Assumptions (Battery)'!$V$7*$T$2480),0)</f>
        <v>-0.00009487887903</v>
      </c>
      <c r="U2552" s="160">
        <f>IF($T$2478&gt;0,PPMT('Assumptions (Battery)'!$V$9,Model!X$1,'Assumptions (Battery)'!$V$12,'Assumptions (Battery)'!$V$7*$T$2480),0)</f>
        <v>-0.0001024691894</v>
      </c>
      <c r="V2552" s="160">
        <f>IF($T$2478&gt;0,PPMT('Assumptions (Battery)'!$V$9,Model!Y$1,'Assumptions (Battery)'!$V$12,'Assumptions (Battery)'!$V$7*$T$2480),0)</f>
        <v>-0.0001106667245</v>
      </c>
      <c r="W2552" s="160">
        <f>IF($T$2478&gt;0,PPMT('Assumptions (Battery)'!$V$9,Model!Z$1,'Assumptions (Battery)'!$V$12,'Assumptions (Battery)'!$V$7*$T$2480),0)</f>
        <v>-0.0001195200625</v>
      </c>
      <c r="X2552" s="160">
        <f>IF($T$2478&gt;0,PPMT('Assumptions (Battery)'!$V$9,Model!AA$1,'Assumptions (Battery)'!$V$12,'Assumptions (Battery)'!$V$7*$T$2480),0)</f>
        <v>-0.0001290816675</v>
      </c>
      <c r="Y2552" s="160">
        <f>IF($T$2478&gt;0,PPMT('Assumptions (Battery)'!$V$9,Model!AB$1,'Assumptions (Battery)'!$V$12,'Assumptions (Battery)'!$V$7*$T$2480),0)</f>
        <v>-0.0001394082009</v>
      </c>
      <c r="Z2552" s="160">
        <f>IF($T$2478&gt;0,PPMT('Assumptions (Battery)'!$V$9,Model!AC$1,'Assumptions (Battery)'!$V$12,'Assumptions (Battery)'!$V$7*$T$2480),0)</f>
        <v>-0.0001505608569</v>
      </c>
      <c r="AA2552" s="160">
        <f>IF($T$2478&gt;0,PPMT('Assumptions (Battery)'!$V$9,Model!AD$1,'Assumptions (Battery)'!$V$12,'Assumptions (Battery)'!$V$7*$T$2480),0)</f>
        <v>-0.0001626057255</v>
      </c>
      <c r="AB2552" s="160">
        <f>IF($T$2478&gt;0,PPMT('Assumptions (Battery)'!$V$9,Model!AE$1,'Assumptions (Battery)'!$V$12,'Assumptions (Battery)'!$V$7*$T$2480),0)</f>
        <v>-0.0001756141835</v>
      </c>
      <c r="AC2552" s="160">
        <f>IF($T$2478&gt;0,PPMT('Assumptions (Battery)'!$V$9,Model!AF$1,'Assumptions (Battery)'!$V$12,'Assumptions (Battery)'!$V$7*$T$2480),0)</f>
        <v>-0.0001896633182</v>
      </c>
      <c r="AD2552" s="160"/>
      <c r="AE2552" s="160"/>
      <c r="AF2552" s="160"/>
      <c r="AG2552" s="160"/>
      <c r="AH2552" s="160"/>
      <c r="AI2552" s="160"/>
      <c r="AJ2552" s="160"/>
      <c r="AK2552" s="160"/>
      <c r="AL2552" s="160"/>
      <c r="AM2552" s="160"/>
      <c r="AN2552" s="160"/>
      <c r="AO2552" s="160"/>
      <c r="AP2552" s="160"/>
      <c r="AQ2552" s="160"/>
      <c r="AR2552" s="160"/>
      <c r="AS2552" s="356"/>
      <c r="AT2552" s="356"/>
      <c r="AU2552" s="356"/>
      <c r="AV2552" s="356"/>
      <c r="AW2552" s="356"/>
      <c r="AX2552" s="356"/>
      <c r="AY2552" s="356"/>
      <c r="AZ2552" s="356"/>
      <c r="BA2552" s="356"/>
    </row>
    <row r="2553" ht="15.75" hidden="1" customHeight="1" outlineLevel="1">
      <c r="A2553" s="353"/>
      <c r="B2553" s="38"/>
      <c r="C2553" s="160"/>
      <c r="D2553" s="160"/>
      <c r="E2553" s="160"/>
      <c r="F2553" s="160"/>
      <c r="G2553" s="160"/>
      <c r="H2553" s="160"/>
      <c r="I2553" s="160"/>
      <c r="J2553" s="160"/>
      <c r="K2553" s="160"/>
      <c r="L2553" s="160"/>
      <c r="M2553" s="160"/>
      <c r="N2553" s="160"/>
      <c r="O2553" s="160"/>
      <c r="P2553" s="179"/>
      <c r="Q2553" s="160"/>
      <c r="R2553" s="177"/>
      <c r="S2553" s="177"/>
      <c r="T2553" s="177"/>
      <c r="U2553" s="160">
        <f>IF($U$2478&gt;0,PPMT('Assumptions (Battery)'!$V$9,Model!W$1,'Assumptions (Battery)'!$V$12,'Assumptions (Battery)'!$V$7*$U$2480),0)</f>
        <v>0</v>
      </c>
      <c r="V2553" s="160">
        <f>IF($U$2478&gt;0,PPMT('Assumptions (Battery)'!$V$9,Model!X$1,'Assumptions (Battery)'!$V$12,'Assumptions (Battery)'!$V$7*$U$2480),0)</f>
        <v>0</v>
      </c>
      <c r="W2553" s="160">
        <f>IF($U$2478&gt;0,PPMT('Assumptions (Battery)'!$V$9,Model!Y$1,'Assumptions (Battery)'!$V$12,'Assumptions (Battery)'!$V$7*$U$2480),0)</f>
        <v>0</v>
      </c>
      <c r="X2553" s="160">
        <f>IF($U$2478&gt;0,PPMT('Assumptions (Battery)'!$V$9,Model!Z$1,'Assumptions (Battery)'!$V$12,'Assumptions (Battery)'!$V$7*$U$2480),0)</f>
        <v>0</v>
      </c>
      <c r="Y2553" s="160">
        <f>IF($U$2478&gt;0,PPMT('Assumptions (Battery)'!$V$9,Model!AA$1,'Assumptions (Battery)'!$V$12,'Assumptions (Battery)'!$V$7*$U$2480),0)</f>
        <v>0</v>
      </c>
      <c r="Z2553" s="160">
        <f>IF($U$2478&gt;0,PPMT('Assumptions (Battery)'!$V$9,Model!AB$1,'Assumptions (Battery)'!$V$12,'Assumptions (Battery)'!$V$7*$U$2480),0)</f>
        <v>0</v>
      </c>
      <c r="AA2553" s="160">
        <f>IF($U$2478&gt;0,PPMT('Assumptions (Battery)'!$V$9,Model!AC$1,'Assumptions (Battery)'!$V$12,'Assumptions (Battery)'!$V$7*$U$2480),0)</f>
        <v>0</v>
      </c>
      <c r="AB2553" s="160">
        <f>IF($U$2478&gt;0,PPMT('Assumptions (Battery)'!$V$9,Model!AD$1,'Assumptions (Battery)'!$V$12,'Assumptions (Battery)'!$V$7*$U$2480),0)</f>
        <v>0</v>
      </c>
      <c r="AC2553" s="160">
        <f>IF($U$2478&gt;0,PPMT('Assumptions (Battery)'!$V$9,Model!AE$1,'Assumptions (Battery)'!$V$12,'Assumptions (Battery)'!$V$7*$U$2480),0)</f>
        <v>0</v>
      </c>
      <c r="AD2553" s="160">
        <f>IF($U$2478&gt;0,PPMT('Assumptions (Battery)'!$V$9,Model!AF$1,'Assumptions (Battery)'!$V$12,'Assumptions (Battery)'!$V$7*$U$2480),0)</f>
        <v>0</v>
      </c>
      <c r="AE2553" s="160"/>
      <c r="AF2553" s="160"/>
      <c r="AG2553" s="160"/>
      <c r="AH2553" s="160"/>
      <c r="AI2553" s="160"/>
      <c r="AJ2553" s="160"/>
      <c r="AK2553" s="160"/>
      <c r="AL2553" s="160"/>
      <c r="AM2553" s="160"/>
      <c r="AN2553" s="160"/>
      <c r="AO2553" s="160"/>
      <c r="AP2553" s="160"/>
      <c r="AQ2553" s="160"/>
      <c r="AR2553" s="160"/>
      <c r="AS2553" s="160"/>
      <c r="AT2553" s="356"/>
      <c r="AU2553" s="356"/>
      <c r="AV2553" s="356"/>
      <c r="AW2553" s="356"/>
      <c r="AX2553" s="356"/>
      <c r="AY2553" s="356"/>
      <c r="AZ2553" s="356"/>
      <c r="BA2553" s="356"/>
    </row>
    <row r="2554" ht="15.75" hidden="1" customHeight="1" outlineLevel="1">
      <c r="A2554" s="353"/>
      <c r="B2554" s="38"/>
      <c r="C2554" s="160"/>
      <c r="D2554" s="160"/>
      <c r="E2554" s="160"/>
      <c r="F2554" s="160"/>
      <c r="G2554" s="160"/>
      <c r="H2554" s="160"/>
      <c r="I2554" s="160"/>
      <c r="J2554" s="160"/>
      <c r="K2554" s="160"/>
      <c r="L2554" s="160"/>
      <c r="M2554" s="160"/>
      <c r="N2554" s="160"/>
      <c r="O2554" s="160"/>
      <c r="P2554" s="179"/>
      <c r="Q2554" s="160"/>
      <c r="R2554" s="177"/>
      <c r="S2554" s="177"/>
      <c r="T2554" s="177"/>
      <c r="U2554" s="160"/>
      <c r="V2554" s="160">
        <f>IF($V$2478&gt;0,PPMT('Assumptions (Battery)'!$V$9,Model!W$1,'Assumptions (Battery)'!$V$12,'Assumptions (Battery)'!$V$7*$V$2480),0)</f>
        <v>0</v>
      </c>
      <c r="W2554" s="160">
        <f>IF($V$2478&gt;0,PPMT('Assumptions (Battery)'!$V$9,Model!X$1,'Assumptions (Battery)'!$V$12,'Assumptions (Battery)'!$V$7*$V$2480),0)</f>
        <v>0</v>
      </c>
      <c r="X2554" s="160">
        <f>IF($V$2478&gt;0,PPMT('Assumptions (Battery)'!$V$9,Model!Y$1,'Assumptions (Battery)'!$V$12,'Assumptions (Battery)'!$V$7*$V$2480),0)</f>
        <v>0</v>
      </c>
      <c r="Y2554" s="160">
        <f>IF($V$2478&gt;0,PPMT('Assumptions (Battery)'!$V$9,Model!Z$1,'Assumptions (Battery)'!$V$12,'Assumptions (Battery)'!$V$7*$V$2480),0)</f>
        <v>0</v>
      </c>
      <c r="Z2554" s="160">
        <f>IF($V$2478&gt;0,PPMT('Assumptions (Battery)'!$V$9,Model!AA$1,'Assumptions (Battery)'!$V$12,'Assumptions (Battery)'!$V$7*$V$2480),0)</f>
        <v>0</v>
      </c>
      <c r="AA2554" s="160">
        <f>IF($V$2478&gt;0,PPMT('Assumptions (Battery)'!$V$9,Model!AB$1,'Assumptions (Battery)'!$V$12,'Assumptions (Battery)'!$V$7*$V$2480),0)</f>
        <v>0</v>
      </c>
      <c r="AB2554" s="160">
        <f>IF($V$2478&gt;0,PPMT('Assumptions (Battery)'!$V$9,Model!AC$1,'Assumptions (Battery)'!$V$12,'Assumptions (Battery)'!$V$7*$V$2480),0)</f>
        <v>0</v>
      </c>
      <c r="AC2554" s="160">
        <f>IF($V$2478&gt;0,PPMT('Assumptions (Battery)'!$V$9,Model!AD$1,'Assumptions (Battery)'!$V$12,'Assumptions (Battery)'!$V$7*$V$2480),0)</f>
        <v>0</v>
      </c>
      <c r="AD2554" s="160">
        <f>IF($V$2478&gt;0,PPMT('Assumptions (Battery)'!$V$9,Model!AE$1,'Assumptions (Battery)'!$V$12,'Assumptions (Battery)'!$V$7*$V$2480),0)</f>
        <v>0</v>
      </c>
      <c r="AE2554" s="160">
        <f>IF($V$2478&gt;0,PPMT('Assumptions (Battery)'!$V$9,Model!AF$1,'Assumptions (Battery)'!$V$12,'Assumptions (Battery)'!$V$7*$V$2480),0)</f>
        <v>0</v>
      </c>
      <c r="AF2554" s="160"/>
      <c r="AG2554" s="160"/>
      <c r="AH2554" s="160"/>
      <c r="AI2554" s="160"/>
      <c r="AJ2554" s="160"/>
      <c r="AK2554" s="160"/>
      <c r="AL2554" s="160"/>
      <c r="AM2554" s="160"/>
      <c r="AN2554" s="160"/>
      <c r="AO2554" s="160"/>
      <c r="AP2554" s="160"/>
      <c r="AQ2554" s="160"/>
      <c r="AR2554" s="160"/>
      <c r="AS2554" s="160"/>
      <c r="AT2554" s="160"/>
      <c r="AU2554" s="356"/>
      <c r="AV2554" s="356"/>
      <c r="AW2554" s="356"/>
      <c r="AX2554" s="356"/>
      <c r="AY2554" s="356"/>
      <c r="AZ2554" s="356"/>
      <c r="BA2554" s="356"/>
    </row>
    <row r="2555" ht="15.75" hidden="1" customHeight="1" outlineLevel="1">
      <c r="A2555" s="353"/>
      <c r="B2555" s="38"/>
      <c r="C2555" s="174"/>
      <c r="D2555" s="174"/>
      <c r="E2555" s="174"/>
      <c r="F2555" s="174"/>
      <c r="G2555" s="174"/>
      <c r="H2555" s="174"/>
      <c r="I2555" s="174"/>
      <c r="J2555" s="174"/>
      <c r="K2555" s="174"/>
      <c r="L2555" s="174"/>
      <c r="M2555" s="174"/>
      <c r="N2555" s="174"/>
      <c r="O2555" s="174"/>
      <c r="P2555" s="174"/>
      <c r="Q2555" s="174"/>
      <c r="R2555" s="174"/>
      <c r="S2555" s="174"/>
      <c r="T2555" s="174"/>
      <c r="U2555" s="174"/>
      <c r="V2555" s="174"/>
      <c r="W2555" s="160">
        <f>IF($W$2478&gt;0,PPMT('Assumptions (Battery)'!$V$9,Model!W$1,'Assumptions (Battery)'!$V$12,'Assumptions (Battery)'!$V$7*$W$2480),0)</f>
        <v>0</v>
      </c>
      <c r="X2555" s="160">
        <f>IF($W$2478&gt;0,PPMT('Assumptions (Battery)'!$V$9,Model!X$1,'Assumptions (Battery)'!$V$12,'Assumptions (Battery)'!$V$7*$W$2480),0)</f>
        <v>0</v>
      </c>
      <c r="Y2555" s="160">
        <f>IF($W$2478&gt;0,PPMT('Assumptions (Battery)'!$V$9,Model!Y$1,'Assumptions (Battery)'!$V$12,'Assumptions (Battery)'!$V$7*$W$2480),0)</f>
        <v>0</v>
      </c>
      <c r="Z2555" s="160">
        <f>IF($W$2478&gt;0,PPMT('Assumptions (Battery)'!$V$9,Model!Z$1,'Assumptions (Battery)'!$V$12,'Assumptions (Battery)'!$V$7*$W$2480),0)</f>
        <v>0</v>
      </c>
      <c r="AA2555" s="160">
        <f>IF($W$2478&gt;0,PPMT('Assumptions (Battery)'!$V$9,Model!AA$1,'Assumptions (Battery)'!$V$12,'Assumptions (Battery)'!$V$7*$W$2480),0)</f>
        <v>0</v>
      </c>
      <c r="AB2555" s="160">
        <f>IF($W$2478&gt;0,PPMT('Assumptions (Battery)'!$V$9,Model!AB$1,'Assumptions (Battery)'!$V$12,'Assumptions (Battery)'!$V$7*$W$2480),0)</f>
        <v>0</v>
      </c>
      <c r="AC2555" s="160">
        <f>IF($W$2478&gt;0,PPMT('Assumptions (Battery)'!$V$9,Model!AC$1,'Assumptions (Battery)'!$V$12,'Assumptions (Battery)'!$V$7*$W$2480),0)</f>
        <v>0</v>
      </c>
      <c r="AD2555" s="160">
        <f>IF($W$2478&gt;0,PPMT('Assumptions (Battery)'!$V$9,Model!AD$1,'Assumptions (Battery)'!$V$12,'Assumptions (Battery)'!$V$7*$W$2480),0)</f>
        <v>0</v>
      </c>
      <c r="AE2555" s="160">
        <f>IF($W$2478&gt;0,PPMT('Assumptions (Battery)'!$V$9,Model!AE$1,'Assumptions (Battery)'!$V$12,'Assumptions (Battery)'!$V$7*$W$2480),0)</f>
        <v>0</v>
      </c>
      <c r="AF2555" s="160">
        <f>IF($W$2478&gt;0,PPMT('Assumptions (Battery)'!$V$9,Model!AF$1,'Assumptions (Battery)'!$V$12,'Assumptions (Battery)'!$V$7*$W$2480),0)</f>
        <v>0</v>
      </c>
      <c r="AG2555" s="160"/>
      <c r="AH2555" s="160"/>
      <c r="AI2555" s="160"/>
      <c r="AJ2555" s="160"/>
      <c r="AK2555" s="160"/>
      <c r="AL2555" s="160"/>
      <c r="AM2555" s="160"/>
      <c r="AN2555" s="160"/>
      <c r="AO2555" s="160"/>
      <c r="AP2555" s="160"/>
      <c r="AQ2555" s="160"/>
      <c r="AR2555" s="160"/>
      <c r="AS2555" s="160"/>
      <c r="AT2555" s="160"/>
      <c r="AU2555" s="160"/>
      <c r="AV2555" s="160"/>
      <c r="AW2555" s="160"/>
      <c r="AX2555" s="160"/>
      <c r="AY2555" s="160"/>
      <c r="AZ2555" s="160"/>
      <c r="BA2555" s="160"/>
    </row>
    <row r="2556" ht="15.75" hidden="1" customHeight="1" outlineLevel="1">
      <c r="A2556" s="353"/>
      <c r="B2556" s="38"/>
      <c r="C2556" s="174"/>
      <c r="D2556" s="174"/>
      <c r="E2556" s="174"/>
      <c r="F2556" s="174"/>
      <c r="G2556" s="174"/>
      <c r="H2556" s="174"/>
      <c r="I2556" s="174"/>
      <c r="J2556" s="174"/>
      <c r="K2556" s="174"/>
      <c r="L2556" s="174"/>
      <c r="M2556" s="174"/>
      <c r="N2556" s="174"/>
      <c r="O2556" s="174"/>
      <c r="P2556" s="174"/>
      <c r="Q2556" s="174"/>
      <c r="R2556" s="174"/>
      <c r="S2556" s="174"/>
      <c r="T2556" s="174"/>
      <c r="U2556" s="174"/>
      <c r="V2556" s="174"/>
      <c r="W2556" s="160"/>
      <c r="X2556" s="160">
        <f>IF($X$2478&gt;0,PPMT('Assumptions (Battery)'!$V$9,Model!W$1,'Assumptions (Battery)'!$V$12,'Assumptions (Battery)'!$V$7*$X$2480),0)</f>
        <v>-0.02715583756</v>
      </c>
      <c r="Y2556" s="160">
        <f>IF($X$2478&gt;0,PPMT('Assumptions (Battery)'!$V$9,Model!X$1,'Assumptions (Battery)'!$V$12,'Assumptions (Battery)'!$V$7*$X$2480),0)</f>
        <v>-0.02932830456</v>
      </c>
      <c r="Z2556" s="160">
        <f>IF($X$2478&gt;0,PPMT('Assumptions (Battery)'!$V$9,Model!Y$1,'Assumptions (Battery)'!$V$12,'Assumptions (Battery)'!$V$7*$X$2480),0)</f>
        <v>-0.03167456893</v>
      </c>
      <c r="AA2556" s="160">
        <f>IF($X$2478&gt;0,PPMT('Assumptions (Battery)'!$V$9,Model!Z$1,'Assumptions (Battery)'!$V$12,'Assumptions (Battery)'!$V$7*$X$2480),0)</f>
        <v>-0.03420853444</v>
      </c>
      <c r="AB2556" s="160">
        <f>IF($X$2478&gt;0,PPMT('Assumptions (Battery)'!$V$9,Model!AA$1,'Assumptions (Battery)'!$V$12,'Assumptions (Battery)'!$V$7*$X$2480),0)</f>
        <v>-0.0369452172</v>
      </c>
      <c r="AC2556" s="160">
        <f>IF($X$2478&gt;0,PPMT('Assumptions (Battery)'!$V$9,Model!AB$1,'Assumptions (Battery)'!$V$12,'Assumptions (Battery)'!$V$7*$X$2480),0)</f>
        <v>-0.03990083457</v>
      </c>
      <c r="AD2556" s="160">
        <f>IF($X$2478&gt;0,PPMT('Assumptions (Battery)'!$V$9,Model!AC$1,'Assumptions (Battery)'!$V$12,'Assumptions (Battery)'!$V$7*$X$2480),0)</f>
        <v>-0.04309290134</v>
      </c>
      <c r="AE2556" s="160">
        <f>IF($X$2478&gt;0,PPMT('Assumptions (Battery)'!$V$9,Model!AD$1,'Assumptions (Battery)'!$V$12,'Assumptions (Battery)'!$V$7*$X$2480),0)</f>
        <v>-0.04654033345</v>
      </c>
      <c r="AF2556" s="160">
        <f>IF($X$2478&gt;0,PPMT('Assumptions (Battery)'!$V$9,Model!AE$1,'Assumptions (Battery)'!$V$12,'Assumptions (Battery)'!$V$7*$X$2480),0)</f>
        <v>-0.05026356012</v>
      </c>
      <c r="AG2556" s="160">
        <f>IF($X$2478&gt;0,PPMT('Assumptions (Battery)'!$V$9,Model!AF$1,'Assumptions (Battery)'!$V$12,'Assumptions (Battery)'!$V$7*$X$2480),0)</f>
        <v>-0.05428464493</v>
      </c>
      <c r="AH2556" s="160"/>
      <c r="AI2556" s="160"/>
      <c r="AJ2556" s="160"/>
      <c r="AK2556" s="160"/>
      <c r="AL2556" s="160"/>
      <c r="AM2556" s="160"/>
      <c r="AN2556" s="160"/>
      <c r="AO2556" s="160"/>
      <c r="AP2556" s="160"/>
      <c r="AQ2556" s="160"/>
      <c r="AR2556" s="160"/>
      <c r="AS2556" s="160"/>
      <c r="AT2556" s="160"/>
      <c r="AU2556" s="160"/>
      <c r="AV2556" s="160"/>
      <c r="AW2556" s="160"/>
      <c r="AX2556" s="160"/>
      <c r="AY2556" s="160"/>
      <c r="AZ2556" s="160"/>
      <c r="BA2556" s="160"/>
    </row>
    <row r="2557" ht="15.75" hidden="1" customHeight="1" outlineLevel="1">
      <c r="A2557" s="353"/>
      <c r="B2557" s="38"/>
      <c r="C2557" s="174"/>
      <c r="D2557" s="174"/>
      <c r="E2557" s="174"/>
      <c r="F2557" s="174"/>
      <c r="G2557" s="174"/>
      <c r="H2557" s="174"/>
      <c r="I2557" s="174"/>
      <c r="J2557" s="174"/>
      <c r="K2557" s="174"/>
      <c r="L2557" s="174"/>
      <c r="M2557" s="174"/>
      <c r="N2557" s="174"/>
      <c r="O2557" s="174"/>
      <c r="P2557" s="174"/>
      <c r="Q2557" s="174"/>
      <c r="R2557" s="174"/>
      <c r="S2557" s="174"/>
      <c r="T2557" s="174"/>
      <c r="U2557" s="174"/>
      <c r="V2557" s="174"/>
      <c r="W2557" s="160"/>
      <c r="X2557" s="160"/>
      <c r="Y2557" s="160">
        <f>IF($Y$2478&gt;0,PPMT('Assumptions (Battery)'!$V$9,Model!W$1,'Assumptions (Battery)'!$V$12,'Assumptions (Battery)'!$V$7*$Y$2480),0)</f>
        <v>-0.02590376331</v>
      </c>
      <c r="Z2557" s="160">
        <f>IF($Y$2478&gt;0,PPMT('Assumptions (Battery)'!$V$9,Model!X$1,'Assumptions (Battery)'!$V$12,'Assumptions (Battery)'!$V$7*$Y$2480),0)</f>
        <v>-0.02797606437</v>
      </c>
      <c r="AA2557" s="160">
        <f>IF($Y$2478&gt;0,PPMT('Assumptions (Battery)'!$V$9,Model!Y$1,'Assumptions (Battery)'!$V$12,'Assumptions (Battery)'!$V$7*$Y$2480),0)</f>
        <v>-0.03021414952</v>
      </c>
      <c r="AB2557" s="160">
        <f>IF($Y$2478&gt;0,PPMT('Assumptions (Battery)'!$V$9,Model!Z$1,'Assumptions (Battery)'!$V$12,'Assumptions (Battery)'!$V$7*$Y$2480),0)</f>
        <v>-0.03263128148</v>
      </c>
      <c r="AC2557" s="160">
        <f>IF($Y$2478&gt;0,PPMT('Assumptions (Battery)'!$V$9,Model!AA$1,'Assumptions (Battery)'!$V$12,'Assumptions (Battery)'!$V$7*$Y$2480),0)</f>
        <v>-0.035241784</v>
      </c>
      <c r="AD2557" s="160">
        <f>IF($Y$2478&gt;0,PPMT('Assumptions (Battery)'!$V$9,Model!AB$1,'Assumptions (Battery)'!$V$12,'Assumptions (Battery)'!$V$7*$Y$2480),0)</f>
        <v>-0.03806112672</v>
      </c>
      <c r="AE2557" s="160">
        <f>IF($Y$2478&gt;0,PPMT('Assumptions (Battery)'!$V$9,Model!AC$1,'Assumptions (Battery)'!$V$12,'Assumptions (Battery)'!$V$7*$Y$2480),0)</f>
        <v>-0.04110601686</v>
      </c>
      <c r="AF2557" s="160">
        <f>IF($Y$2478&gt;0,PPMT('Assumptions (Battery)'!$V$9,Model!AD$1,'Assumptions (Battery)'!$V$12,'Assumptions (Battery)'!$V$7*$Y$2480),0)</f>
        <v>-0.04439449821</v>
      </c>
      <c r="AG2557" s="160">
        <f>IF($Y$2478&gt;0,PPMT('Assumptions (Battery)'!$V$9,Model!AE$1,'Assumptions (Battery)'!$V$12,'Assumptions (Battery)'!$V$7*$Y$2480),0)</f>
        <v>-0.04794605807</v>
      </c>
      <c r="AH2557" s="160">
        <f>IF($Y$2478&gt;0,PPMT('Assumptions (Battery)'!$V$9,Model!AF$1,'Assumptions (Battery)'!$V$12,'Assumptions (Battery)'!$V$7*$Y$2480),0)</f>
        <v>-0.05178174271</v>
      </c>
      <c r="AI2557" s="160"/>
      <c r="AJ2557" s="160"/>
      <c r="AK2557" s="160"/>
      <c r="AL2557" s="160"/>
      <c r="AM2557" s="160"/>
      <c r="AN2557" s="160"/>
      <c r="AO2557" s="160"/>
      <c r="AP2557" s="160"/>
      <c r="AQ2557" s="160"/>
      <c r="AR2557" s="160"/>
      <c r="AS2557" s="160"/>
      <c r="AT2557" s="160"/>
      <c r="AU2557" s="160"/>
      <c r="AV2557" s="160"/>
      <c r="AW2557" s="160"/>
      <c r="AX2557" s="160"/>
      <c r="AY2557" s="160"/>
      <c r="AZ2557" s="160"/>
      <c r="BA2557" s="160"/>
    </row>
    <row r="2558" ht="15.75" hidden="1" customHeight="1" outlineLevel="1">
      <c r="A2558" s="353"/>
      <c r="B2558" s="38"/>
      <c r="C2558" s="174"/>
      <c r="D2558" s="174"/>
      <c r="E2558" s="174"/>
      <c r="F2558" s="174"/>
      <c r="G2558" s="174"/>
      <c r="H2558" s="174"/>
      <c r="I2558" s="174"/>
      <c r="J2558" s="174"/>
      <c r="K2558" s="174"/>
      <c r="L2558" s="174"/>
      <c r="M2558" s="174"/>
      <c r="N2558" s="174"/>
      <c r="O2558" s="174"/>
      <c r="P2558" s="174"/>
      <c r="Q2558" s="174"/>
      <c r="R2558" s="174"/>
      <c r="S2558" s="174"/>
      <c r="T2558" s="174"/>
      <c r="U2558" s="174"/>
      <c r="V2558" s="174"/>
      <c r="W2558" s="160"/>
      <c r="X2558" s="160"/>
      <c r="Y2558" s="160"/>
      <c r="Z2558" s="160">
        <f>IF($Z$2478&gt;0,PPMT('Assumptions (Battery)'!$V$9,Model!W$1,'Assumptions (Battery)'!$V$12,'Assumptions (Battery)'!$V$7*$Z$2480),0)</f>
        <v>-0.02449753682</v>
      </c>
      <c r="AA2558" s="160">
        <f>IF($Z$2478&gt;0,PPMT('Assumptions (Battery)'!$V$9,Model!X$1,'Assumptions (Battery)'!$V$12,'Assumptions (Battery)'!$V$7*$Z$2480),0)</f>
        <v>-0.02645733976</v>
      </c>
      <c r="AB2558" s="160">
        <f>IF($Z$2478&gt;0,PPMT('Assumptions (Battery)'!$V$9,Model!Y$1,'Assumptions (Battery)'!$V$12,'Assumptions (Battery)'!$V$7*$Z$2480),0)</f>
        <v>-0.02857392695</v>
      </c>
      <c r="AC2558" s="160">
        <f>IF($Z$2478&gt;0,PPMT('Assumptions (Battery)'!$V$9,Model!Z$1,'Assumptions (Battery)'!$V$12,'Assumptions (Battery)'!$V$7*$Z$2480),0)</f>
        <v>-0.0308598411</v>
      </c>
      <c r="AD2558" s="160">
        <f>IF($Z$2478&gt;0,PPMT('Assumptions (Battery)'!$V$9,Model!AA$1,'Assumptions (Battery)'!$V$12,'Assumptions (Battery)'!$V$7*$Z$2480),0)</f>
        <v>-0.03332862839</v>
      </c>
      <c r="AE2558" s="160">
        <f>IF($Z$2478&gt;0,PPMT('Assumptions (Battery)'!$V$9,Model!AB$1,'Assumptions (Battery)'!$V$12,'Assumptions (Battery)'!$V$7*$Z$2480),0)</f>
        <v>-0.03599491866</v>
      </c>
      <c r="AF2558" s="160">
        <f>IF($Z$2478&gt;0,PPMT('Assumptions (Battery)'!$V$9,Model!AC$1,'Assumptions (Battery)'!$V$12,'Assumptions (Battery)'!$V$7*$Z$2480),0)</f>
        <v>-0.03887451215</v>
      </c>
      <c r="AG2558" s="160">
        <f>IF($Z$2478&gt;0,PPMT('Assumptions (Battery)'!$V$9,Model!AD$1,'Assumptions (Battery)'!$V$12,'Assumptions (Battery)'!$V$7*$Z$2480),0)</f>
        <v>-0.04198447312</v>
      </c>
      <c r="AH2558" s="160">
        <f>IF($Z$2478&gt;0,PPMT('Assumptions (Battery)'!$V$9,Model!AE$1,'Assumptions (Battery)'!$V$12,'Assumptions (Battery)'!$V$7*$Z$2480),0)</f>
        <v>-0.04534323097</v>
      </c>
      <c r="AI2558" s="160">
        <f>IF($Z$2478&gt;0,PPMT('Assumptions (Battery)'!$V$9,Model!AF$1,'Assumptions (Battery)'!$V$12,'Assumptions (Battery)'!$V$7*$Z$2480),0)</f>
        <v>-0.04897068945</v>
      </c>
      <c r="AJ2558" s="160"/>
      <c r="AK2558" s="160"/>
      <c r="AL2558" s="160"/>
      <c r="AM2558" s="160"/>
      <c r="AN2558" s="160"/>
      <c r="AO2558" s="160"/>
      <c r="AP2558" s="160"/>
      <c r="AQ2558" s="160"/>
      <c r="AR2558" s="160"/>
      <c r="AS2558" s="160"/>
      <c r="AT2558" s="160"/>
      <c r="AU2558" s="160"/>
      <c r="AV2558" s="160"/>
      <c r="AW2558" s="160"/>
      <c r="AX2558" s="160"/>
      <c r="AY2558" s="160"/>
      <c r="AZ2558" s="160"/>
      <c r="BA2558" s="160"/>
    </row>
    <row r="2559" ht="15.75" hidden="1" customHeight="1" outlineLevel="1">
      <c r="A2559" s="353"/>
      <c r="B2559" s="38"/>
      <c r="C2559" s="174"/>
      <c r="D2559" s="174"/>
      <c r="E2559" s="174"/>
      <c r="F2559" s="174"/>
      <c r="G2559" s="174"/>
      <c r="H2559" s="174"/>
      <c r="I2559" s="174"/>
      <c r="J2559" s="174"/>
      <c r="K2559" s="174"/>
      <c r="L2559" s="174"/>
      <c r="M2559" s="174"/>
      <c r="N2559" s="174"/>
      <c r="O2559" s="174"/>
      <c r="P2559" s="174"/>
      <c r="Q2559" s="174"/>
      <c r="R2559" s="174"/>
      <c r="S2559" s="174"/>
      <c r="T2559" s="174"/>
      <c r="U2559" s="174"/>
      <c r="V2559" s="174"/>
      <c r="W2559" s="160"/>
      <c r="X2559" s="160"/>
      <c r="Y2559" s="160"/>
      <c r="Z2559" s="160"/>
      <c r="AA2559" s="160">
        <f>IF($AA$2478&gt;0,PPMT('Assumptions (Battery)'!$V$9,Model!W$1,'Assumptions (Battery)'!$V$12,'Assumptions (Battery)'!$V$7*$AA$2480),0)</f>
        <v>-0.02312339927</v>
      </c>
      <c r="AB2559" s="160">
        <f>IF($AA$2478&gt;0,PPMT('Assumptions (Battery)'!$V$9,Model!X$1,'Assumptions (Battery)'!$V$12,'Assumptions (Battery)'!$V$7*$AA$2480),0)</f>
        <v>-0.02497327122</v>
      </c>
      <c r="AC2559" s="160">
        <f>IF($AA$2478&gt;0,PPMT('Assumptions (Battery)'!$V$9,Model!Y$1,'Assumptions (Battery)'!$V$12,'Assumptions (Battery)'!$V$7*$AA$2480),0)</f>
        <v>-0.02697113291</v>
      </c>
      <c r="AD2559" s="160">
        <f>IF($AA$2478&gt;0,PPMT('Assumptions (Battery)'!$V$9,Model!Z$1,'Assumptions (Battery)'!$V$12,'Assumptions (Battery)'!$V$7*$AA$2480),0)</f>
        <v>-0.02912882355</v>
      </c>
      <c r="AE2559" s="160">
        <f>IF($AA$2478&gt;0,PPMT('Assumptions (Battery)'!$V$9,Model!AA$1,'Assumptions (Battery)'!$V$12,'Assumptions (Battery)'!$V$7*$AA$2480),0)</f>
        <v>-0.03145912943</v>
      </c>
      <c r="AF2559" s="160">
        <f>IF($AA$2478&gt;0,PPMT('Assumptions (Battery)'!$V$9,Model!AB$1,'Assumptions (Battery)'!$V$12,'Assumptions (Battery)'!$V$7*$AA$2480),0)</f>
        <v>-0.03397585978</v>
      </c>
      <c r="AG2559" s="160">
        <f>IF($AA$2478&gt;0,PPMT('Assumptions (Battery)'!$V$9,Model!AC$1,'Assumptions (Battery)'!$V$12,'Assumptions (Battery)'!$V$7*$AA$2480),0)</f>
        <v>-0.03669392857</v>
      </c>
      <c r="AH2559" s="160">
        <f>IF($AA$2478&gt;0,PPMT('Assumptions (Battery)'!$V$9,Model!AD$1,'Assumptions (Battery)'!$V$12,'Assumptions (Battery)'!$V$7*$AA$2480),0)</f>
        <v>-0.03962944285</v>
      </c>
      <c r="AI2559" s="160">
        <f>IF($AA$2478&gt;0,PPMT('Assumptions (Battery)'!$V$9,Model!AE$1,'Assumptions (Battery)'!$V$12,'Assumptions (Battery)'!$V$7*$AA$2480),0)</f>
        <v>-0.04279979828</v>
      </c>
      <c r="AJ2559" s="160">
        <f>IF($AA$2478&gt;0,PPMT('Assumptions (Battery)'!$V$9,Model!AF$1,'Assumptions (Battery)'!$V$12,'Assumptions (Battery)'!$V$7*$AA$2480),0)</f>
        <v>-0.04622378214</v>
      </c>
      <c r="AK2559" s="160"/>
      <c r="AL2559" s="160"/>
      <c r="AM2559" s="160"/>
      <c r="AN2559" s="160"/>
      <c r="AO2559" s="160"/>
      <c r="AP2559" s="160"/>
      <c r="AQ2559" s="160"/>
      <c r="AR2559" s="160"/>
      <c r="AS2559" s="160"/>
      <c r="AT2559" s="160"/>
      <c r="AU2559" s="160"/>
      <c r="AV2559" s="160"/>
      <c r="AW2559" s="160"/>
      <c r="AX2559" s="160"/>
      <c r="AY2559" s="160"/>
      <c r="AZ2559" s="160"/>
      <c r="BA2559" s="160"/>
    </row>
    <row r="2560" ht="15.75" hidden="1" customHeight="1" outlineLevel="1">
      <c r="A2560" s="353"/>
      <c r="B2560" s="38"/>
      <c r="C2560" s="174"/>
      <c r="D2560" s="174"/>
      <c r="E2560" s="174"/>
      <c r="F2560" s="174"/>
      <c r="G2560" s="174"/>
      <c r="H2560" s="174"/>
      <c r="I2560" s="174"/>
      <c r="J2560" s="174"/>
      <c r="K2560" s="174"/>
      <c r="L2560" s="174"/>
      <c r="M2560" s="174"/>
      <c r="N2560" s="174"/>
      <c r="O2560" s="174"/>
      <c r="P2560" s="174"/>
      <c r="Q2560" s="174"/>
      <c r="R2560" s="174"/>
      <c r="S2560" s="174"/>
      <c r="T2560" s="174"/>
      <c r="U2560" s="174"/>
      <c r="V2560" s="174"/>
      <c r="W2560" s="160"/>
      <c r="X2560" s="160"/>
      <c r="Y2560" s="160"/>
      <c r="Z2560" s="160"/>
      <c r="AA2560" s="160"/>
      <c r="AB2560" s="160">
        <f>IF($AB$2478&gt;0,PPMT('Assumptions (Battery)'!$V$9,Model!W$1,'Assumptions (Battery)'!$V$12,'Assumptions (Battery)'!$V$7*$AB$2480),0)</f>
        <v>-0.02158064808</v>
      </c>
      <c r="AC2560" s="160">
        <f>IF($AB$2478&gt;0,PPMT('Assumptions (Battery)'!$V$9,Model!X$1,'Assumptions (Battery)'!$V$12,'Assumptions (Battery)'!$V$7*$AB$2480),0)</f>
        <v>-0.02330709993</v>
      </c>
      <c r="AD2560" s="160">
        <f>IF($AB$2478&gt;0,PPMT('Assumptions (Battery)'!$V$9,Model!Y$1,'Assumptions (Battery)'!$V$12,'Assumptions (Battery)'!$V$7*$AB$2480),0)</f>
        <v>-0.02517166793</v>
      </c>
      <c r="AE2560" s="160">
        <f>IF($AB$2478&gt;0,PPMT('Assumptions (Battery)'!$V$9,Model!Z$1,'Assumptions (Battery)'!$V$12,'Assumptions (Battery)'!$V$7*$AB$2480),0)</f>
        <v>-0.02718540136</v>
      </c>
      <c r="AF2560" s="160">
        <f>IF($AB$2478&gt;0,PPMT('Assumptions (Battery)'!$V$9,Model!AA$1,'Assumptions (Battery)'!$V$12,'Assumptions (Battery)'!$V$7*$AB$2480),0)</f>
        <v>-0.02936023347</v>
      </c>
      <c r="AG2560" s="160">
        <f>IF($AB$2478&gt;0,PPMT('Assumptions (Battery)'!$V$9,Model!AB$1,'Assumptions (Battery)'!$V$12,'Assumptions (Battery)'!$V$7*$AB$2480),0)</f>
        <v>-0.03170905215</v>
      </c>
      <c r="AH2560" s="160">
        <f>IF($AB$2478&gt;0,PPMT('Assumptions (Battery)'!$V$9,Model!AC$1,'Assumptions (Battery)'!$V$12,'Assumptions (Battery)'!$V$7*$AB$2480),0)</f>
        <v>-0.03424577632</v>
      </c>
      <c r="AI2560" s="160">
        <f>IF($AB$2478&gt;0,PPMT('Assumptions (Battery)'!$V$9,Model!AD$1,'Assumptions (Battery)'!$V$12,'Assumptions (Battery)'!$V$7*$AB$2480),0)</f>
        <v>-0.03698543842</v>
      </c>
      <c r="AJ2560" s="160">
        <f>IF($AB$2478&gt;0,PPMT('Assumptions (Battery)'!$V$9,Model!AE$1,'Assumptions (Battery)'!$V$12,'Assumptions (Battery)'!$V$7*$AB$2480),0)</f>
        <v>-0.0399442735</v>
      </c>
      <c r="AK2560" s="160">
        <f>IF($AB$2478&gt;0,PPMT('Assumptions (Battery)'!$V$9,Model!AF$1,'Assumptions (Battery)'!$V$12,'Assumptions (Battery)'!$V$7*$AB$2480),0)</f>
        <v>-0.04313981538</v>
      </c>
      <c r="AL2560" s="160"/>
      <c r="AM2560" s="160"/>
      <c r="AN2560" s="160"/>
      <c r="AO2560" s="160"/>
      <c r="AP2560" s="160"/>
      <c r="AQ2560" s="160"/>
      <c r="AR2560" s="160"/>
      <c r="AS2560" s="160"/>
      <c r="AT2560" s="160"/>
      <c r="AU2560" s="160"/>
      <c r="AV2560" s="160"/>
      <c r="AW2560" s="160"/>
      <c r="AX2560" s="160"/>
      <c r="AY2560" s="160"/>
      <c r="AZ2560" s="160"/>
      <c r="BA2560" s="160"/>
    </row>
    <row r="2561" ht="15.75" hidden="1" customHeight="1" outlineLevel="1">
      <c r="A2561" s="353"/>
      <c r="B2561" s="38"/>
      <c r="C2561" s="174"/>
      <c r="D2561" s="174"/>
      <c r="E2561" s="174"/>
      <c r="F2561" s="174"/>
      <c r="G2561" s="174"/>
      <c r="H2561" s="174"/>
      <c r="I2561" s="174"/>
      <c r="J2561" s="174"/>
      <c r="K2561" s="174"/>
      <c r="L2561" s="174"/>
      <c r="M2561" s="174"/>
      <c r="N2561" s="174"/>
      <c r="O2561" s="174"/>
      <c r="P2561" s="174"/>
      <c r="Q2561" s="174"/>
      <c r="R2561" s="174"/>
      <c r="S2561" s="174"/>
      <c r="T2561" s="174"/>
      <c r="U2561" s="174"/>
      <c r="V2561" s="174"/>
      <c r="W2561" s="160"/>
      <c r="X2561" s="160"/>
      <c r="Y2561" s="160"/>
      <c r="Z2561" s="160"/>
      <c r="AA2561" s="160"/>
      <c r="AB2561" s="160"/>
      <c r="AC2561" s="160">
        <f>IF($AC$2478&gt;0,PPMT('Assumptions (Battery)'!$V$9,Model!W$1,'Assumptions (Battery)'!$V$12,'Assumptions (Battery)'!$V$7*$AC$2480),0)</f>
        <v>-0.02115399096</v>
      </c>
      <c r="AD2561" s="160">
        <f>IF($AC$2478&gt;0,PPMT('Assumptions (Battery)'!$V$9,Model!X$1,'Assumptions (Battery)'!$V$12,'Assumptions (Battery)'!$V$7*$AC$2480),0)</f>
        <v>-0.02284631024</v>
      </c>
      <c r="AE2561" s="160">
        <f>IF($AC$2478&gt;0,PPMT('Assumptions (Battery)'!$V$9,Model!Y$1,'Assumptions (Battery)'!$V$12,'Assumptions (Battery)'!$V$7*$AC$2480),0)</f>
        <v>-0.02467401506</v>
      </c>
      <c r="AF2561" s="160">
        <f>IF($AC$2478&gt;0,PPMT('Assumptions (Battery)'!$V$9,Model!Z$1,'Assumptions (Battery)'!$V$12,'Assumptions (Battery)'!$V$7*$AC$2480),0)</f>
        <v>-0.02664793627</v>
      </c>
      <c r="AG2561" s="160">
        <f>IF($AC$2478&gt;0,PPMT('Assumptions (Battery)'!$V$9,Model!AA$1,'Assumptions (Battery)'!$V$12,'Assumptions (Battery)'!$V$7*$AC$2480),0)</f>
        <v>-0.02877977117</v>
      </c>
      <c r="AH2561" s="160">
        <f>IF($AC$2478&gt;0,PPMT('Assumptions (Battery)'!$V$9,Model!AB$1,'Assumptions (Battery)'!$V$12,'Assumptions (Battery)'!$V$7*$AC$2480),0)</f>
        <v>-0.03108215286</v>
      </c>
      <c r="AI2561" s="160">
        <f>IF($AC$2478&gt;0,PPMT('Assumptions (Battery)'!$V$9,Model!AC$1,'Assumptions (Battery)'!$V$12,'Assumptions (Battery)'!$V$7*$AC$2480),0)</f>
        <v>-0.03356872509</v>
      </c>
      <c r="AJ2561" s="160">
        <f>IF($AC$2478&gt;0,PPMT('Assumptions (Battery)'!$V$9,Model!AD$1,'Assumptions (Battery)'!$V$12,'Assumptions (Battery)'!$V$7*$AC$2480),0)</f>
        <v>-0.0362542231</v>
      </c>
      <c r="AK2561" s="160">
        <f>IF($AC$2478&gt;0,PPMT('Assumptions (Battery)'!$V$9,Model!AE$1,'Assumptions (Battery)'!$V$12,'Assumptions (Battery)'!$V$7*$AC$2480),0)</f>
        <v>-0.03915456094</v>
      </c>
      <c r="AL2561" s="160">
        <f>IF($AC$2478&gt;0,PPMT('Assumptions (Battery)'!$V$9,Model!AF$1,'Assumptions (Battery)'!$V$12,'Assumptions (Battery)'!$V$7*$AC$2480),0)</f>
        <v>-0.04228692582</v>
      </c>
      <c r="AM2561" s="160"/>
      <c r="AN2561" s="160"/>
      <c r="AO2561" s="160"/>
      <c r="AP2561" s="160"/>
      <c r="AQ2561" s="160"/>
      <c r="AR2561" s="160"/>
      <c r="AS2561" s="160"/>
      <c r="AT2561" s="160"/>
      <c r="AU2561" s="160"/>
      <c r="AV2561" s="160"/>
      <c r="AW2561" s="160"/>
      <c r="AX2561" s="160"/>
      <c r="AY2561" s="160"/>
      <c r="AZ2561" s="160"/>
      <c r="BA2561" s="160"/>
    </row>
    <row r="2562" ht="15.75" hidden="1" customHeight="1" outlineLevel="1">
      <c r="A2562" s="353"/>
      <c r="B2562" s="38"/>
      <c r="C2562" s="174"/>
      <c r="D2562" s="174"/>
      <c r="E2562" s="174"/>
      <c r="F2562" s="174"/>
      <c r="G2562" s="174"/>
      <c r="H2562" s="174"/>
      <c r="I2562" s="174"/>
      <c r="J2562" s="174"/>
      <c r="K2562" s="174"/>
      <c r="L2562" s="174"/>
      <c r="M2562" s="174"/>
      <c r="N2562" s="174"/>
      <c r="O2562" s="174"/>
      <c r="P2562" s="174"/>
      <c r="Q2562" s="174"/>
      <c r="R2562" s="174"/>
      <c r="S2562" s="174"/>
      <c r="T2562" s="174"/>
      <c r="U2562" s="174"/>
      <c r="V2562" s="174"/>
      <c r="W2562" s="160"/>
      <c r="X2562" s="160"/>
      <c r="Y2562" s="160"/>
      <c r="Z2562" s="160"/>
      <c r="AA2562" s="160"/>
      <c r="AB2562" s="160"/>
      <c r="AC2562" s="160"/>
      <c r="AD2562" s="160">
        <f>IF($AD$2478&gt;0,PPMT('Assumptions (Battery)'!$V$9,Model!W$1,'Assumptions (Battery)'!$V$12,'Assumptions (Battery)'!$V$7*$AD$2480),0)</f>
        <v>-0.02079782291</v>
      </c>
      <c r="AE2562" s="160">
        <f>IF($AD$2478&gt;0,PPMT('Assumptions (Battery)'!$V$9,Model!X$1,'Assumptions (Battery)'!$V$12,'Assumptions (Battery)'!$V$7*$AD$2480),0)</f>
        <v>-0.02246164875</v>
      </c>
      <c r="AF2562" s="160">
        <f>IF($AD$2478&gt;0,PPMT('Assumptions (Battery)'!$V$9,Model!Y$1,'Assumptions (Battery)'!$V$12,'Assumptions (Battery)'!$V$7*$AD$2480),0)</f>
        <v>-0.02425858065</v>
      </c>
      <c r="AG2562" s="160">
        <f>IF($AD$2478&gt;0,PPMT('Assumptions (Battery)'!$V$9,Model!Z$1,'Assumptions (Battery)'!$V$12,'Assumptions (Battery)'!$V$7*$AD$2480),0)</f>
        <v>-0.0261992671</v>
      </c>
      <c r="AH2562" s="160">
        <f>IF($AD$2478&gt;0,PPMT('Assumptions (Battery)'!$V$9,Model!AA$1,'Assumptions (Battery)'!$V$12,'Assumptions (Battery)'!$V$7*$AD$2480),0)</f>
        <v>-0.02829520847</v>
      </c>
      <c r="AI2562" s="160">
        <f>IF($AD$2478&gt;0,PPMT('Assumptions (Battery)'!$V$9,Model!AB$1,'Assumptions (Battery)'!$V$12,'Assumptions (Battery)'!$V$7*$AD$2480),0)</f>
        <v>-0.03055882514</v>
      </c>
      <c r="AJ2562" s="160">
        <f>IF($AD$2478&gt;0,PPMT('Assumptions (Battery)'!$V$9,Model!AC$1,'Assumptions (Battery)'!$V$12,'Assumptions (Battery)'!$V$7*$AD$2480),0)</f>
        <v>-0.03300353115</v>
      </c>
      <c r="AK2562" s="160">
        <f>IF($AD$2478&gt;0,PPMT('Assumptions (Battery)'!$V$9,Model!AD$1,'Assumptions (Battery)'!$V$12,'Assumptions (Battery)'!$V$7*$AD$2480),0)</f>
        <v>-0.03564381365</v>
      </c>
      <c r="AL2562" s="160">
        <f>IF($AD$2478&gt;0,PPMT('Assumptions (Battery)'!$V$9,Model!AE$1,'Assumptions (Battery)'!$V$12,'Assumptions (Battery)'!$V$7*$AD$2480),0)</f>
        <v>-0.03849531874</v>
      </c>
      <c r="AM2562" s="160">
        <f>IF($AD$2478&gt;0,PPMT('Assumptions (Battery)'!$V$9,Model!AF$1,'Assumptions (Battery)'!$V$12,'Assumptions (Battery)'!$V$7*$AD$2480),0)</f>
        <v>-0.04157494424</v>
      </c>
      <c r="AN2562" s="160"/>
      <c r="AO2562" s="160"/>
      <c r="AP2562" s="160"/>
      <c r="AQ2562" s="160"/>
      <c r="AR2562" s="160"/>
      <c r="AS2562" s="160"/>
      <c r="AT2562" s="160"/>
      <c r="AU2562" s="160"/>
      <c r="AV2562" s="160"/>
      <c r="AW2562" s="160"/>
      <c r="AX2562" s="160"/>
      <c r="AY2562" s="160"/>
      <c r="AZ2562" s="160"/>
      <c r="BA2562" s="160"/>
      <c r="BB2562" s="160"/>
    </row>
    <row r="2563" ht="15.75" hidden="1" customHeight="1" outlineLevel="1">
      <c r="A2563" s="353"/>
      <c r="B2563" s="38"/>
      <c r="C2563" s="174"/>
      <c r="D2563" s="174"/>
      <c r="E2563" s="174"/>
      <c r="F2563" s="174"/>
      <c r="G2563" s="174"/>
      <c r="H2563" s="174"/>
      <c r="I2563" s="174"/>
      <c r="J2563" s="174"/>
      <c r="K2563" s="174"/>
      <c r="L2563" s="174"/>
      <c r="M2563" s="174"/>
      <c r="N2563" s="174"/>
      <c r="O2563" s="174"/>
      <c r="P2563" s="174"/>
      <c r="Q2563" s="174"/>
      <c r="R2563" s="174"/>
      <c r="S2563" s="174"/>
      <c r="T2563" s="174"/>
      <c r="U2563" s="174"/>
      <c r="V2563" s="174"/>
      <c r="W2563" s="160"/>
      <c r="X2563" s="160"/>
      <c r="Y2563" s="160"/>
      <c r="Z2563" s="160"/>
      <c r="AA2563" s="160"/>
      <c r="AB2563" s="160"/>
      <c r="AC2563" s="160"/>
      <c r="AD2563" s="160"/>
      <c r="AE2563" s="160">
        <f>IF($AE$2478&gt;0,PPMT('Assumptions (Battery)'!$V$9,Model!W$1,'Assumptions (Battery)'!$V$12,'Assumptions (Battery)'!$V$7*$AE$2480),0)</f>
        <v>-0.02031511161</v>
      </c>
      <c r="AF2563" s="160">
        <f>IF($AE$2478&gt;0,PPMT('Assumptions (Battery)'!$V$9,Model!X$1,'Assumptions (Battery)'!$V$12,'Assumptions (Battery)'!$V$7*$AE$2480),0)</f>
        <v>-0.02194032054</v>
      </c>
      <c r="AG2563" s="160">
        <f>IF($AE$2478&gt;0,PPMT('Assumptions (Battery)'!$V$9,Model!Y$1,'Assumptions (Battery)'!$V$12,'Assumptions (Battery)'!$V$7*$AE$2480),0)</f>
        <v>-0.02369554618</v>
      </c>
      <c r="AH2563" s="160">
        <f>IF($AE$2478&gt;0,PPMT('Assumptions (Battery)'!$V$9,Model!Z$1,'Assumptions (Battery)'!$V$12,'Assumptions (Battery)'!$V$7*$AE$2480),0)</f>
        <v>-0.02559118988</v>
      </c>
      <c r="AI2563" s="160">
        <f>IF($AE$2478&gt;0,PPMT('Assumptions (Battery)'!$V$9,Model!AA$1,'Assumptions (Battery)'!$V$12,'Assumptions (Battery)'!$V$7*$AE$2480),0)</f>
        <v>-0.02763848507</v>
      </c>
      <c r="AJ2563" s="160">
        <f>IF($AE$2478&gt;0,PPMT('Assumptions (Battery)'!$V$9,Model!AB$1,'Assumptions (Battery)'!$V$12,'Assumptions (Battery)'!$V$7*$AE$2480),0)</f>
        <v>-0.02984956387</v>
      </c>
      <c r="AK2563" s="160">
        <f>IF($AE$2478&gt;0,PPMT('Assumptions (Battery)'!$V$9,Model!AC$1,'Assumptions (Battery)'!$V$12,'Assumptions (Battery)'!$V$7*$AE$2480),0)</f>
        <v>-0.03223752898</v>
      </c>
      <c r="AL2563" s="160">
        <f>IF($AE$2478&gt;0,PPMT('Assumptions (Battery)'!$V$9,Model!AD$1,'Assumptions (Battery)'!$V$12,'Assumptions (Battery)'!$V$7*$AE$2480),0)</f>
        <v>-0.0348165313</v>
      </c>
      <c r="AM2563" s="160">
        <f>IF($AE$2478&gt;0,PPMT('Assumptions (Battery)'!$V$9,Model!AE$1,'Assumptions (Battery)'!$V$12,'Assumptions (Battery)'!$V$7*$AE$2480),0)</f>
        <v>-0.0376018538</v>
      </c>
      <c r="AN2563" s="160">
        <f>IF($AE$2478&gt;0,PPMT('Assumptions (Battery)'!$V$9,Model!AF$1,'Assumptions (Battery)'!$V$12,'Assumptions (Battery)'!$V$7*$AE$2480),0)</f>
        <v>-0.04061000211</v>
      </c>
      <c r="AO2563" s="160"/>
      <c r="AP2563" s="160"/>
      <c r="AQ2563" s="160"/>
      <c r="AR2563" s="160"/>
      <c r="AS2563" s="160"/>
      <c r="AT2563" s="160"/>
      <c r="AU2563" s="160"/>
      <c r="AV2563" s="160"/>
      <c r="AW2563" s="160"/>
      <c r="AX2563" s="160"/>
      <c r="AY2563" s="160"/>
      <c r="AZ2563" s="160"/>
      <c r="BA2563" s="160"/>
      <c r="BB2563" s="160"/>
      <c r="BC2563" s="160"/>
    </row>
    <row r="2564" ht="15.75" hidden="1" customHeight="1" outlineLevel="1">
      <c r="A2564" s="353"/>
      <c r="B2564" s="38"/>
      <c r="C2564" s="174"/>
      <c r="D2564" s="174"/>
      <c r="E2564" s="174"/>
      <c r="F2564" s="174"/>
      <c r="G2564" s="174"/>
      <c r="H2564" s="174"/>
      <c r="I2564" s="174"/>
      <c r="J2564" s="174"/>
      <c r="K2564" s="174"/>
      <c r="L2564" s="174"/>
      <c r="M2564" s="174"/>
      <c r="N2564" s="174"/>
      <c r="O2564" s="174"/>
      <c r="P2564" s="174"/>
      <c r="Q2564" s="174"/>
      <c r="R2564" s="174"/>
      <c r="S2564" s="174"/>
      <c r="T2564" s="174"/>
      <c r="U2564" s="174"/>
      <c r="V2564" s="174"/>
      <c r="W2564" s="160"/>
      <c r="X2564" s="160"/>
      <c r="Y2564" s="160"/>
      <c r="Z2564" s="160"/>
      <c r="AA2564" s="160"/>
      <c r="AB2564" s="160"/>
      <c r="AC2564" s="160"/>
      <c r="AD2564" s="160"/>
      <c r="AE2564" s="160"/>
      <c r="AF2564" s="160">
        <f>IF($AF$2478&gt;0,PPMT('Assumptions (Battery)'!$V$9,Model!W$1,'Assumptions (Battery)'!$V$12,'Assumptions (Battery)'!$V$7*$AF$2480),0)</f>
        <v>-0.01981317928</v>
      </c>
      <c r="AG2564" s="160">
        <f>IF($AF$2478&gt;0,PPMT('Assumptions (Battery)'!$V$9,Model!X$1,'Assumptions (Battery)'!$V$12,'Assumptions (Battery)'!$V$7*$AF$2480),0)</f>
        <v>-0.02139823363</v>
      </c>
      <c r="AH2564" s="160">
        <f>IF($AF$2478&gt;0,PPMT('Assumptions (Battery)'!$V$9,Model!Y$1,'Assumptions (Battery)'!$V$12,'Assumptions (Battery)'!$V$7*$AF$2480),0)</f>
        <v>-0.02311009232</v>
      </c>
      <c r="AI2564" s="160">
        <f>IF($AF$2478&gt;0,PPMT('Assumptions (Battery)'!$V$9,Model!Z$1,'Assumptions (Battery)'!$V$12,'Assumptions (Battery)'!$V$7*$AF$2480),0)</f>
        <v>-0.0249588997</v>
      </c>
      <c r="AJ2564" s="160">
        <f>IF($AF$2478&gt;0,PPMT('Assumptions (Battery)'!$V$9,Model!AA$1,'Assumptions (Battery)'!$V$12,'Assumptions (Battery)'!$V$7*$AF$2480),0)</f>
        <v>-0.02695561168</v>
      </c>
      <c r="AK2564" s="160">
        <f>IF($AF$2478&gt;0,PPMT('Assumptions (Battery)'!$V$9,Model!AB$1,'Assumptions (Battery)'!$V$12,'Assumptions (Battery)'!$V$7*$AF$2480),0)</f>
        <v>-0.02911206061</v>
      </c>
      <c r="AL2564" s="160">
        <f>IF($AF$2478&gt;0,PPMT('Assumptions (Battery)'!$V$9,Model!AC$1,'Assumptions (Battery)'!$V$12,'Assumptions (Battery)'!$V$7*$AF$2480),0)</f>
        <v>-0.03144102546</v>
      </c>
      <c r="AM2564" s="160">
        <f>IF($AF$2478&gt;0,PPMT('Assumptions (Battery)'!$V$9,Model!AD$1,'Assumptions (Battery)'!$V$12,'Assumptions (Battery)'!$V$7*$AF$2480),0)</f>
        <v>-0.0339563075</v>
      </c>
      <c r="AN2564" s="160">
        <f>IF($AF$2478&gt;0,PPMT('Assumptions (Battery)'!$V$9,Model!AE$1,'Assumptions (Battery)'!$V$12,'Assumptions (Battery)'!$V$7*$AF$2480),0)</f>
        <v>-0.0366728121</v>
      </c>
      <c r="AO2564" s="160">
        <f>IF($AF$2478&gt;0,PPMT('Assumptions (Battery)'!$V$9,Model!AF$1,'Assumptions (Battery)'!$V$12,'Assumptions (Battery)'!$V$7*$AF$2480),0)</f>
        <v>-0.03960663706</v>
      </c>
      <c r="AP2564" s="160"/>
      <c r="AQ2564" s="160"/>
      <c r="AR2564" s="160"/>
      <c r="AS2564" s="160"/>
      <c r="AT2564" s="160"/>
      <c r="AU2564" s="160"/>
      <c r="AV2564" s="160"/>
      <c r="AW2564" s="160"/>
      <c r="AX2564" s="160"/>
      <c r="AY2564" s="160"/>
      <c r="AZ2564" s="160"/>
      <c r="BA2564" s="160"/>
      <c r="BB2564" s="160"/>
      <c r="BC2564" s="160"/>
      <c r="BD2564" s="160"/>
    </row>
    <row r="2565" ht="15.75" hidden="1" customHeight="1" outlineLevel="1">
      <c r="A2565" s="353"/>
      <c r="B2565" s="38"/>
      <c r="C2565" s="174"/>
      <c r="D2565" s="174"/>
      <c r="E2565" s="174"/>
      <c r="F2565" s="174"/>
      <c r="G2565" s="174"/>
      <c r="H2565" s="174"/>
      <c r="I2565" s="174"/>
      <c r="J2565" s="174"/>
      <c r="K2565" s="174"/>
      <c r="L2565" s="174"/>
      <c r="M2565" s="174"/>
      <c r="N2565" s="174"/>
      <c r="O2565" s="174"/>
      <c r="P2565" s="174"/>
      <c r="Q2565" s="174"/>
      <c r="R2565" s="174"/>
      <c r="S2565" s="174"/>
      <c r="T2565" s="174"/>
      <c r="U2565" s="174"/>
      <c r="V2565" s="174"/>
      <c r="W2565" s="160"/>
      <c r="X2565" s="160"/>
      <c r="Y2565" s="160"/>
      <c r="Z2565" s="160"/>
      <c r="AA2565" s="160"/>
      <c r="AB2565" s="160"/>
      <c r="AC2565" s="160"/>
      <c r="AD2565" s="160"/>
      <c r="AE2565" s="160"/>
      <c r="AF2565" s="160"/>
      <c r="AG2565" s="160">
        <f>IF($AG$2478&gt;0,PPMT('Assumptions (Battery)'!$V$9,Model!W$1,'Assumptions (Battery)'!$V$12,'Assumptions (Battery)'!$V$7*$AG$2480),0)</f>
        <v>-0.01938497072</v>
      </c>
      <c r="AH2565" s="160">
        <f>IF($AG$2478&gt;0,PPMT('Assumptions (Battery)'!$V$9,Model!X$1,'Assumptions (Battery)'!$V$12,'Assumptions (Battery)'!$V$7*$AG$2480),0)</f>
        <v>-0.02093576838</v>
      </c>
      <c r="AI2565" s="160">
        <f>IF($AG$2478&gt;0,PPMT('Assumptions (Battery)'!$V$9,Model!Y$1,'Assumptions (Battery)'!$V$12,'Assumptions (Battery)'!$V$7*$AG$2480),0)</f>
        <v>-0.02261062985</v>
      </c>
      <c r="AJ2565" s="160">
        <f>IF($AG$2478&gt;0,PPMT('Assumptions (Battery)'!$V$9,Model!Z$1,'Assumptions (Battery)'!$V$12,'Assumptions (Battery)'!$V$7*$AG$2480),0)</f>
        <v>-0.02441948024</v>
      </c>
      <c r="AK2565" s="160">
        <f>IF($AG$2478&gt;0,PPMT('Assumptions (Battery)'!$V$9,Model!AA$1,'Assumptions (Battery)'!$V$12,'Assumptions (Battery)'!$V$7*$AG$2480),0)</f>
        <v>-0.02637303866</v>
      </c>
      <c r="AL2565" s="160">
        <f>IF($AG$2478&gt;0,PPMT('Assumptions (Battery)'!$V$9,Model!AB$1,'Assumptions (Battery)'!$V$12,'Assumptions (Battery)'!$V$7*$AG$2480),0)</f>
        <v>-0.02848288175</v>
      </c>
      <c r="AM2565" s="160">
        <f>IF($AG$2478&gt;0,PPMT('Assumptions (Battery)'!$V$9,Model!AC$1,'Assumptions (Battery)'!$V$12,'Assumptions (Battery)'!$V$7*$AG$2480),0)</f>
        <v>-0.03076151229</v>
      </c>
      <c r="AN2565" s="160">
        <f>IF($AG$2478&gt;0,PPMT('Assumptions (Battery)'!$V$9,Model!AD$1,'Assumptions (Battery)'!$V$12,'Assumptions (Battery)'!$V$7*$AG$2480),0)</f>
        <v>-0.03322243327</v>
      </c>
      <c r="AO2565" s="160">
        <f>IF($AG$2478&gt;0,PPMT('Assumptions (Battery)'!$V$9,Model!AE$1,'Assumptions (Battery)'!$V$12,'Assumptions (Battery)'!$V$7*$AG$2480),0)</f>
        <v>-0.03588022794</v>
      </c>
      <c r="AP2565" s="160">
        <f>IF($AG$2478&gt;0,PPMT('Assumptions (Battery)'!$V$9,Model!AF$1,'Assumptions (Battery)'!$V$12,'Assumptions (Battery)'!$V$7*$AG$2480),0)</f>
        <v>-0.03875064617</v>
      </c>
      <c r="AQ2565" s="160"/>
      <c r="AR2565" s="160"/>
      <c r="AS2565" s="160"/>
      <c r="AT2565" s="160"/>
      <c r="AU2565" s="160"/>
      <c r="AV2565" s="160"/>
      <c r="AW2565" s="160"/>
      <c r="AX2565" s="160"/>
      <c r="AY2565" s="160"/>
      <c r="AZ2565" s="160"/>
      <c r="BA2565" s="160"/>
      <c r="BB2565" s="160"/>
      <c r="BC2565" s="160"/>
      <c r="BD2565" s="160"/>
      <c r="BE2565" s="160"/>
    </row>
    <row r="2566" ht="15.75" hidden="1" customHeight="1" outlineLevel="1">
      <c r="A2566" s="353"/>
      <c r="B2566" s="38"/>
      <c r="C2566" s="174"/>
      <c r="D2566" s="174"/>
      <c r="E2566" s="174"/>
      <c r="F2566" s="174"/>
      <c r="G2566" s="174"/>
      <c r="H2566" s="174"/>
      <c r="I2566" s="174"/>
      <c r="J2566" s="174"/>
      <c r="K2566" s="174"/>
      <c r="L2566" s="174"/>
      <c r="M2566" s="174"/>
      <c r="N2566" s="174"/>
      <c r="O2566" s="174"/>
      <c r="P2566" s="174"/>
      <c r="Q2566" s="174"/>
      <c r="R2566" s="174"/>
      <c r="S2566" s="174"/>
      <c r="T2566" s="174"/>
      <c r="U2566" s="174"/>
      <c r="V2566" s="174"/>
      <c r="W2566" s="160"/>
      <c r="X2566" s="160"/>
      <c r="Y2566" s="160"/>
      <c r="Z2566" s="160"/>
      <c r="AA2566" s="160"/>
      <c r="AB2566" s="160"/>
      <c r="AC2566" s="160"/>
      <c r="AD2566" s="160"/>
      <c r="AE2566" s="160"/>
      <c r="AF2566" s="160"/>
      <c r="AG2566" s="160"/>
      <c r="AH2566" s="160">
        <f>IF($AH$2478&gt;0,PPMT('Assumptions (Battery)'!$V$9,Model!W$1,'Assumptions (Battery)'!$V$12,'Assumptions (Battery)'!$V$7*$AH$2480),0)</f>
        <v>-0.01952838214</v>
      </c>
      <c r="AI2566" s="160">
        <f>IF($AH$2478&gt;0,PPMT('Assumptions (Battery)'!$V$9,Model!X$1,'Assumptions (Battery)'!$V$12,'Assumptions (Battery)'!$V$7*$AH$2480),0)</f>
        <v>-0.02109065271</v>
      </c>
      <c r="AJ2566" s="160">
        <f>IF($AH$2478&gt;0,PPMT('Assumptions (Battery)'!$V$9,Model!Y$1,'Assumptions (Battery)'!$V$12,'Assumptions (Battery)'!$V$7*$AH$2480),0)</f>
        <v>-0.02277790493</v>
      </c>
      <c r="AK2566" s="160">
        <f>IF($AH$2478&gt;0,PPMT('Assumptions (Battery)'!$V$9,Model!Z$1,'Assumptions (Battery)'!$V$12,'Assumptions (Battery)'!$V$7*$AH$2480),0)</f>
        <v>-0.02460013732</v>
      </c>
      <c r="AL2566" s="160">
        <f>IF($AH$2478&gt;0,PPMT('Assumptions (Battery)'!$V$9,Model!AA$1,'Assumptions (Battery)'!$V$12,'Assumptions (Battery)'!$V$7*$AH$2480),0)</f>
        <v>-0.02656814831</v>
      </c>
      <c r="AM2566" s="160">
        <f>IF($AH$2478&gt;0,PPMT('Assumptions (Battery)'!$V$9,Model!AB$1,'Assumptions (Battery)'!$V$12,'Assumptions (Battery)'!$V$7*$AH$2480),0)</f>
        <v>-0.02869360017</v>
      </c>
      <c r="AN2566" s="160">
        <f>IF($AH$2478&gt;0,PPMT('Assumptions (Battery)'!$V$9,Model!AC$1,'Assumptions (Battery)'!$V$12,'Assumptions (Battery)'!$V$7*$AH$2480),0)</f>
        <v>-0.03098908818</v>
      </c>
      <c r="AO2566" s="160">
        <f>IF($AH$2478&gt;0,PPMT('Assumptions (Battery)'!$V$9,Model!AD$1,'Assumptions (Battery)'!$V$12,'Assumptions (Battery)'!$V$7*$AH$2480),0)</f>
        <v>-0.03346821524</v>
      </c>
      <c r="AP2566" s="160">
        <f>IF($AH$2478&gt;0,PPMT('Assumptions (Battery)'!$V$9,Model!AE$1,'Assumptions (Battery)'!$V$12,'Assumptions (Battery)'!$V$7*$AH$2480),0)</f>
        <v>-0.03614567246</v>
      </c>
      <c r="AQ2566" s="160">
        <f>IF($AH$2478&gt;0,PPMT('Assumptions (Battery)'!$V$9,Model!AF$1,'Assumptions (Battery)'!$V$12,'Assumptions (Battery)'!$V$7*$AH$2480),0)</f>
        <v>-0.03903732625</v>
      </c>
      <c r="AR2566" s="160"/>
      <c r="AS2566" s="160"/>
      <c r="AT2566" s="160"/>
      <c r="AU2566" s="160"/>
      <c r="AV2566" s="160"/>
      <c r="AW2566" s="160"/>
      <c r="AX2566" s="160"/>
      <c r="AY2566" s="160"/>
      <c r="AZ2566" s="160"/>
      <c r="BA2566" s="160"/>
      <c r="BB2566" s="160"/>
      <c r="BC2566" s="160"/>
      <c r="BD2566" s="160"/>
      <c r="BE2566" s="160"/>
      <c r="BF2566" s="160"/>
    </row>
    <row r="2567" ht="15.75" hidden="1" customHeight="1" outlineLevel="1">
      <c r="A2567" s="353"/>
      <c r="B2567" s="38"/>
      <c r="C2567" s="174"/>
      <c r="D2567" s="174"/>
      <c r="E2567" s="174"/>
      <c r="F2567" s="174"/>
      <c r="G2567" s="174"/>
      <c r="H2567" s="174"/>
      <c r="I2567" s="174"/>
      <c r="J2567" s="174"/>
      <c r="K2567" s="174"/>
      <c r="L2567" s="174"/>
      <c r="M2567" s="174"/>
      <c r="N2567" s="174"/>
      <c r="O2567" s="174"/>
      <c r="P2567" s="174"/>
      <c r="Q2567" s="174"/>
      <c r="R2567" s="174"/>
      <c r="S2567" s="174"/>
      <c r="T2567" s="174"/>
      <c r="U2567" s="174"/>
      <c r="V2567" s="174"/>
      <c r="W2567" s="160"/>
      <c r="X2567" s="160"/>
      <c r="Y2567" s="160"/>
      <c r="Z2567" s="160"/>
      <c r="AA2567" s="160"/>
      <c r="AB2567" s="160"/>
      <c r="AC2567" s="160"/>
      <c r="AD2567" s="160"/>
      <c r="AE2567" s="160"/>
      <c r="AF2567" s="160"/>
      <c r="AG2567" s="160"/>
      <c r="AH2567" s="160"/>
      <c r="AI2567" s="160">
        <f>IF($AI$2478&gt;0,PPMT('Assumptions (Battery)'!$V$9,Model!W$1,'Assumptions (Battery)'!$V$12,'Assumptions (Battery)'!$V$7*$AI$2480),0)</f>
        <v>-0.01966480012</v>
      </c>
      <c r="AJ2567" s="160">
        <f>IF($AI$2478&gt;0,PPMT('Assumptions (Battery)'!$V$9,Model!X$1,'Assumptions (Battery)'!$V$12,'Assumptions (Battery)'!$V$7*$AI$2480),0)</f>
        <v>-0.02123798413</v>
      </c>
      <c r="AK2567" s="160">
        <f>IF($AI$2478&gt;0,PPMT('Assumptions (Battery)'!$V$9,Model!Y$1,'Assumptions (Battery)'!$V$12,'Assumptions (Battery)'!$V$7*$AI$2480),0)</f>
        <v>-0.02293702286</v>
      </c>
      <c r="AL2567" s="160">
        <f>IF($AI$2478&gt;0,PPMT('Assumptions (Battery)'!$V$9,Model!Z$1,'Assumptions (Battery)'!$V$12,'Assumptions (Battery)'!$V$7*$AI$2480),0)</f>
        <v>-0.02477198469</v>
      </c>
      <c r="AM2567" s="160">
        <f>IF($AI$2478&gt;0,PPMT('Assumptions (Battery)'!$V$9,Model!AA$1,'Assumptions (Battery)'!$V$12,'Assumptions (Battery)'!$V$7*$AI$2480),0)</f>
        <v>-0.02675374346</v>
      </c>
      <c r="AN2567" s="160">
        <f>IF($AI$2478&gt;0,PPMT('Assumptions (Battery)'!$V$9,Model!AB$1,'Assumptions (Battery)'!$V$12,'Assumptions (Battery)'!$V$7*$AI$2480),0)</f>
        <v>-0.02889404294</v>
      </c>
      <c r="AO2567" s="160">
        <f>IF($AI$2478&gt;0,PPMT('Assumptions (Battery)'!$V$9,Model!AC$1,'Assumptions (Battery)'!$V$12,'Assumptions (Battery)'!$V$7*$AI$2480),0)</f>
        <v>-0.03120556638</v>
      </c>
      <c r="AP2567" s="160">
        <f>IF($AI$2478&gt;0,PPMT('Assumptions (Battery)'!$V$9,Model!AD$1,'Assumptions (Battery)'!$V$12,'Assumptions (Battery)'!$V$7*$AI$2480),0)</f>
        <v>-0.03370201169</v>
      </c>
      <c r="AQ2567" s="160">
        <f>IF($AI$2478&gt;0,PPMT('Assumptions (Battery)'!$V$9,Model!AE$1,'Assumptions (Battery)'!$V$12,'Assumptions (Battery)'!$V$7*$AI$2480),0)</f>
        <v>-0.03639817262</v>
      </c>
      <c r="AR2567" s="160">
        <f>IF($AI$2478&gt;0,PPMT('Assumptions (Battery)'!$V$9,Model!AF$1,'Assumptions (Battery)'!$V$12,'Assumptions (Battery)'!$V$7*$AI$2480),0)</f>
        <v>-0.03931002643</v>
      </c>
      <c r="AS2567" s="160"/>
      <c r="AT2567" s="160"/>
      <c r="AU2567" s="160"/>
      <c r="AV2567" s="160"/>
      <c r="AW2567" s="160"/>
      <c r="AX2567" s="160"/>
      <c r="AY2567" s="160"/>
      <c r="AZ2567" s="160"/>
      <c r="BA2567" s="160"/>
      <c r="BB2567" s="160"/>
      <c r="BC2567" s="160"/>
      <c r="BD2567" s="160"/>
      <c r="BE2567" s="160"/>
      <c r="BF2567" s="160"/>
      <c r="BG2567" s="160"/>
    </row>
    <row r="2568" ht="15.75" hidden="1" customHeight="1" outlineLevel="1">
      <c r="A2568" s="353"/>
      <c r="B2568" s="38"/>
      <c r="C2568" s="174"/>
      <c r="D2568" s="174"/>
      <c r="E2568" s="174"/>
      <c r="F2568" s="174"/>
      <c r="G2568" s="174"/>
      <c r="H2568" s="174"/>
      <c r="I2568" s="174"/>
      <c r="J2568" s="174"/>
      <c r="K2568" s="174"/>
      <c r="L2568" s="174"/>
      <c r="M2568" s="174"/>
      <c r="N2568" s="174"/>
      <c r="O2568" s="174"/>
      <c r="P2568" s="174"/>
      <c r="Q2568" s="174"/>
      <c r="R2568" s="174"/>
      <c r="S2568" s="174"/>
      <c r="T2568" s="174"/>
      <c r="U2568" s="174"/>
      <c r="V2568" s="174"/>
      <c r="W2568" s="160"/>
      <c r="X2568" s="160"/>
      <c r="Y2568" s="160"/>
      <c r="Z2568" s="160"/>
      <c r="AA2568" s="160"/>
      <c r="AB2568" s="160"/>
      <c r="AC2568" s="160"/>
      <c r="AD2568" s="160"/>
      <c r="AE2568" s="160"/>
      <c r="AF2568" s="160"/>
      <c r="AG2568" s="160"/>
      <c r="AH2568" s="160"/>
      <c r="AI2568" s="160"/>
      <c r="AJ2568" s="160">
        <f>IF($AJ$2478&gt;0,PPMT('Assumptions (Battery)'!$V$9,Model!W$1,'Assumptions (Battery)'!$V$12,'Assumptions (Battery)'!$V$7*$AJ$2480),0)</f>
        <v>-0.0196998971</v>
      </c>
      <c r="AK2568" s="160">
        <f>IF($AJ$2478&gt;0,PPMT('Assumptions (Battery)'!$V$9,Model!X$1,'Assumptions (Battery)'!$V$12,'Assumptions (Battery)'!$V$7*$AJ$2480),0)</f>
        <v>-0.02127588887</v>
      </c>
      <c r="AL2568" s="160">
        <f>IF($AJ$2478&gt;0,PPMT('Assumptions (Battery)'!$V$9,Model!Y$1,'Assumptions (Battery)'!$V$12,'Assumptions (Battery)'!$V$7*$AJ$2480),0)</f>
        <v>-0.02297795998</v>
      </c>
      <c r="AM2568" s="160">
        <f>IF($AJ$2478&gt;0,PPMT('Assumptions (Battery)'!$V$9,Model!Z$1,'Assumptions (Battery)'!$V$12,'Assumptions (Battery)'!$V$7*$AJ$2480),0)</f>
        <v>-0.02481619678</v>
      </c>
      <c r="AN2568" s="160">
        <f>IF($AJ$2478&gt;0,PPMT('Assumptions (Battery)'!$V$9,Model!AA$1,'Assumptions (Battery)'!$V$12,'Assumptions (Battery)'!$V$7*$AJ$2480),0)</f>
        <v>-0.02680149252</v>
      </c>
      <c r="AO2568" s="160">
        <f>IF($AJ$2478&gt;0,PPMT('Assumptions (Battery)'!$V$9,Model!AB$1,'Assumptions (Battery)'!$V$12,'Assumptions (Battery)'!$V$7*$AJ$2480),0)</f>
        <v>-0.02894561193</v>
      </c>
      <c r="AP2568" s="160">
        <f>IF($AJ$2478&gt;0,PPMT('Assumptions (Battery)'!$V$9,Model!AC$1,'Assumptions (Battery)'!$V$12,'Assumptions (Battery)'!$V$7*$AJ$2480),0)</f>
        <v>-0.03126126088</v>
      </c>
      <c r="AQ2568" s="160">
        <f>IF($AJ$2478&gt;0,PPMT('Assumptions (Battery)'!$V$9,Model!AD$1,'Assumptions (Battery)'!$V$12,'Assumptions (Battery)'!$V$7*$AJ$2480),0)</f>
        <v>-0.03376216175</v>
      </c>
      <c r="AR2568" s="160">
        <f>IF($AJ$2478&gt;0,PPMT('Assumptions (Battery)'!$V$9,Model!AE$1,'Assumptions (Battery)'!$V$12,'Assumptions (Battery)'!$V$7*$AJ$2480),0)</f>
        <v>-0.03646313469</v>
      </c>
      <c r="AS2568" s="160">
        <f>IF($AJ$2478&gt;0,PPMT('Assumptions (Battery)'!$V$9,Model!AF$1,'Assumptions (Battery)'!$V$12,'Assumptions (Battery)'!$V$7*$AJ$2480),0)</f>
        <v>-0.03938018546</v>
      </c>
      <c r="AT2568" s="160"/>
      <c r="AU2568" s="160"/>
      <c r="AV2568" s="160"/>
      <c r="AW2568" s="160"/>
      <c r="AX2568" s="160"/>
      <c r="AY2568" s="160"/>
      <c r="AZ2568" s="160"/>
      <c r="BA2568" s="160"/>
      <c r="BB2568" s="177"/>
      <c r="BC2568" s="177"/>
      <c r="BD2568" s="177"/>
      <c r="BE2568" s="177"/>
      <c r="BF2568" s="177"/>
      <c r="BG2568" s="177"/>
      <c r="BH2568" s="177"/>
    </row>
    <row r="2569" ht="15.75" hidden="1" customHeight="1" outlineLevel="1">
      <c r="A2569" s="353"/>
      <c r="B2569" s="38"/>
      <c r="C2569" s="174"/>
      <c r="D2569" s="174"/>
      <c r="E2569" s="174"/>
      <c r="F2569" s="174"/>
      <c r="G2569" s="174"/>
      <c r="H2569" s="174"/>
      <c r="I2569" s="174"/>
      <c r="J2569" s="174"/>
      <c r="K2569" s="174"/>
      <c r="L2569" s="174"/>
      <c r="M2569" s="174"/>
      <c r="N2569" s="174"/>
      <c r="O2569" s="174"/>
      <c r="P2569" s="174"/>
      <c r="Q2569" s="174"/>
      <c r="R2569" s="174"/>
      <c r="S2569" s="174"/>
      <c r="T2569" s="174"/>
      <c r="U2569" s="174"/>
      <c r="V2569" s="174"/>
      <c r="W2569" s="160"/>
      <c r="X2569" s="160"/>
      <c r="Y2569" s="160"/>
      <c r="Z2569" s="160"/>
      <c r="AA2569" s="160"/>
      <c r="AB2569" s="160"/>
      <c r="AC2569" s="160"/>
      <c r="AD2569" s="160"/>
      <c r="AE2569" s="160"/>
      <c r="AF2569" s="160"/>
      <c r="AG2569" s="160"/>
      <c r="AH2569" s="160"/>
      <c r="AI2569" s="160"/>
      <c r="AJ2569" s="160"/>
      <c r="AK2569" s="160">
        <f>IF($AK$2478&gt;0,PPMT('Assumptions (Battery)'!$V$9,Model!W$1,'Assumptions (Battery)'!$V$12,'Assumptions (Battery)'!$V$7*$AK$2480),0)</f>
        <v>-0.01983788719</v>
      </c>
      <c r="AL2569" s="160">
        <f>IF($AK$2478&gt;0,PPMT('Assumptions (Battery)'!$V$9,Model!X$1,'Assumptions (Battery)'!$V$12,'Assumptions (Battery)'!$V$7*$AK$2480),0)</f>
        <v>-0.02142491817</v>
      </c>
      <c r="AM2569" s="160">
        <f>IF($AK$2478&gt;0,PPMT('Assumptions (Battery)'!$V$9,Model!Y$1,'Assumptions (Battery)'!$V$12,'Assumptions (Battery)'!$V$7*$AK$2480),0)</f>
        <v>-0.02313891162</v>
      </c>
      <c r="AN2569" s="160">
        <f>IF($AK$2478&gt;0,PPMT('Assumptions (Battery)'!$V$9,Model!Z$1,'Assumptions (Battery)'!$V$12,'Assumptions (Battery)'!$V$7*$AK$2480),0)</f>
        <v>-0.02499002455</v>
      </c>
      <c r="AO2569" s="160">
        <f>IF($AK$2478&gt;0,PPMT('Assumptions (Battery)'!$V$9,Model!AA$1,'Assumptions (Battery)'!$V$12,'Assumptions (Battery)'!$V$7*$AK$2480),0)</f>
        <v>-0.02698922651</v>
      </c>
      <c r="AP2569" s="160">
        <f>IF($AK$2478&gt;0,PPMT('Assumptions (Battery)'!$V$9,Model!AB$1,'Assumptions (Battery)'!$V$12,'Assumptions (Battery)'!$V$7*$AK$2480),0)</f>
        <v>-0.02914836464</v>
      </c>
      <c r="AQ2569" s="160">
        <f>IF($AK$2478&gt;0,PPMT('Assumptions (Battery)'!$V$9,Model!AC$1,'Assumptions (Battery)'!$V$12,'Assumptions (Battery)'!$V$7*$AK$2480),0)</f>
        <v>-0.03148023381</v>
      </c>
      <c r="AR2569" s="160">
        <f>IF($AK$2478&gt;0,PPMT('Assumptions (Battery)'!$V$9,Model!AD$1,'Assumptions (Battery)'!$V$12,'Assumptions (Battery)'!$V$7*$AK$2480),0)</f>
        <v>-0.03399865251</v>
      </c>
      <c r="AS2569" s="160">
        <f>IF($AK$2478&gt;0,PPMT('Assumptions (Battery)'!$V$9,Model!AE$1,'Assumptions (Battery)'!$V$12,'Assumptions (Battery)'!$V$7*$AK$2480),0)</f>
        <v>-0.03671854471</v>
      </c>
      <c r="AT2569" s="160">
        <f>IF($AK$2478&gt;0,PPMT('Assumptions (Battery)'!$V$9,Model!AF$1,'Assumptions (Battery)'!$V$12,'Assumptions (Battery)'!$V$7*$AK$2480),0)</f>
        <v>-0.03965602829</v>
      </c>
      <c r="AU2569" s="160"/>
      <c r="AV2569" s="160"/>
      <c r="AW2569" s="160"/>
      <c r="AX2569" s="160"/>
      <c r="AY2569" s="160"/>
      <c r="AZ2569" s="160"/>
      <c r="BA2569" s="160"/>
      <c r="BB2569" s="160"/>
      <c r="BC2569" s="160"/>
      <c r="BD2569" s="160"/>
      <c r="BE2569" s="160"/>
      <c r="BF2569" s="160"/>
      <c r="BG2569" s="160"/>
      <c r="BH2569" s="160"/>
      <c r="BI2569" s="160"/>
    </row>
    <row r="2570" ht="15.75" hidden="1" customHeight="1" outlineLevel="1">
      <c r="A2570" s="353"/>
      <c r="B2570" s="38"/>
      <c r="C2570" s="174"/>
      <c r="D2570" s="174"/>
      <c r="E2570" s="174"/>
      <c r="F2570" s="174"/>
      <c r="G2570" s="174"/>
      <c r="H2570" s="174"/>
      <c r="I2570" s="174"/>
      <c r="J2570" s="174"/>
      <c r="K2570" s="174"/>
      <c r="L2570" s="174"/>
      <c r="M2570" s="174"/>
      <c r="N2570" s="174"/>
      <c r="O2570" s="174"/>
      <c r="P2570" s="174"/>
      <c r="Q2570" s="174"/>
      <c r="R2570" s="174"/>
      <c r="S2570" s="174"/>
      <c r="T2570" s="174"/>
      <c r="U2570" s="174"/>
      <c r="V2570" s="174"/>
      <c r="W2570" s="160"/>
      <c r="X2570" s="160"/>
      <c r="Y2570" s="160"/>
      <c r="Z2570" s="160"/>
      <c r="AA2570" s="160"/>
      <c r="AB2570" s="160"/>
      <c r="AC2570" s="160"/>
      <c r="AD2570" s="160"/>
      <c r="AE2570" s="160"/>
      <c r="AF2570" s="160"/>
      <c r="AG2570" s="160"/>
      <c r="AH2570" s="160"/>
      <c r="AI2570" s="160"/>
      <c r="AJ2570" s="160"/>
      <c r="AK2570" s="160"/>
      <c r="AL2570" s="160">
        <f>IF($AL$2478&gt;0,PPMT('Assumptions (Battery)'!$V$9,Model!W$1,'Assumptions (Battery)'!$V$12,'Assumptions (Battery)'!$V$7*$AL$2480),0)</f>
        <v>-0.01995784917</v>
      </c>
      <c r="AM2570" s="160">
        <f>IF($AL$2478&gt;0,PPMT('Assumptions (Battery)'!$V$9,Model!X$1,'Assumptions (Battery)'!$V$12,'Assumptions (Battery)'!$V$7*$AL$2480),0)</f>
        <v>-0.02155447711</v>
      </c>
      <c r="AN2570" s="160">
        <f>IF($AL$2478&gt;0,PPMT('Assumptions (Battery)'!$V$9,Model!Y$1,'Assumptions (Battery)'!$V$12,'Assumptions (Battery)'!$V$7*$AL$2480),0)</f>
        <v>-0.02327883528</v>
      </c>
      <c r="AO2570" s="160">
        <f>IF($AL$2478&gt;0,PPMT('Assumptions (Battery)'!$V$9,Model!Z$1,'Assumptions (Battery)'!$V$12,'Assumptions (Battery)'!$V$7*$AL$2480),0)</f>
        <v>-0.0251411421</v>
      </c>
      <c r="AP2570" s="160">
        <f>IF($AL$2478&gt;0,PPMT('Assumptions (Battery)'!$V$9,Model!AA$1,'Assumptions (Battery)'!$V$12,'Assumptions (Battery)'!$V$7*$AL$2480),0)</f>
        <v>-0.02715243347</v>
      </c>
      <c r="AQ2570" s="160">
        <f>IF($AL$2478&gt;0,PPMT('Assumptions (Battery)'!$V$9,Model!AB$1,'Assumptions (Battery)'!$V$12,'Assumptions (Battery)'!$V$7*$AL$2480),0)</f>
        <v>-0.02932462814</v>
      </c>
      <c r="AR2570" s="160">
        <f>IF($AL$2478&gt;0,PPMT('Assumptions (Battery)'!$V$9,Model!AC$1,'Assumptions (Battery)'!$V$12,'Assumptions (Battery)'!$V$7*$AL$2480),0)</f>
        <v>-0.03167059839</v>
      </c>
      <c r="AS2570" s="160">
        <f>IF($AL$2478&gt;0,PPMT('Assumptions (Battery)'!$V$9,Model!AD$1,'Assumptions (Battery)'!$V$12,'Assumptions (Battery)'!$V$7*$AL$2480),0)</f>
        <v>-0.03420424627</v>
      </c>
      <c r="AT2570" s="160">
        <f>IF($AL$2478&gt;0,PPMT('Assumptions (Battery)'!$V$9,Model!AE$1,'Assumptions (Battery)'!$V$12,'Assumptions (Battery)'!$V$7*$AL$2480),0)</f>
        <v>-0.03694058597</v>
      </c>
      <c r="AU2570" s="160">
        <f>IF($AL$2478&gt;0,PPMT('Assumptions (Battery)'!$V$9,Model!AF$1,'Assumptions (Battery)'!$V$12,'Assumptions (Battery)'!$V$7*$AL$2480),0)</f>
        <v>-0.03989583284</v>
      </c>
      <c r="AV2570" s="160"/>
      <c r="AW2570" s="160"/>
      <c r="AX2570" s="160"/>
      <c r="AY2570" s="160"/>
      <c r="AZ2570" s="160"/>
      <c r="BA2570" s="160"/>
      <c r="BB2570" s="177"/>
      <c r="BC2570" s="177"/>
      <c r="BD2570" s="177"/>
      <c r="BE2570" s="177"/>
      <c r="BF2570" s="177"/>
      <c r="BG2570" s="177"/>
      <c r="BH2570" s="177"/>
      <c r="BI2570" s="177"/>
      <c r="BJ2570" s="177"/>
    </row>
    <row r="2571" ht="15.75" hidden="1" customHeight="1" outlineLevel="1">
      <c r="A2571" s="353"/>
      <c r="B2571" s="38"/>
      <c r="C2571" s="174"/>
      <c r="D2571" s="174"/>
      <c r="E2571" s="174"/>
      <c r="F2571" s="174"/>
      <c r="G2571" s="174"/>
      <c r="H2571" s="174"/>
      <c r="I2571" s="174"/>
      <c r="J2571" s="174"/>
      <c r="K2571" s="174"/>
      <c r="L2571" s="174"/>
      <c r="M2571" s="174"/>
      <c r="N2571" s="174"/>
      <c r="O2571" s="174"/>
      <c r="P2571" s="174"/>
      <c r="Q2571" s="174"/>
      <c r="R2571" s="174"/>
      <c r="S2571" s="174"/>
      <c r="T2571" s="174"/>
      <c r="U2571" s="174"/>
      <c r="V2571" s="174"/>
      <c r="W2571" s="160"/>
      <c r="X2571" s="160"/>
      <c r="Y2571" s="160"/>
      <c r="Z2571" s="160"/>
      <c r="AA2571" s="160"/>
      <c r="AB2571" s="160"/>
      <c r="AC2571" s="160"/>
      <c r="AD2571" s="160"/>
      <c r="AE2571" s="160"/>
      <c r="AF2571" s="160"/>
      <c r="AG2571" s="160"/>
      <c r="AH2571" s="160"/>
      <c r="AI2571" s="160"/>
      <c r="AJ2571" s="160"/>
      <c r="AK2571" s="160"/>
      <c r="AL2571" s="160"/>
      <c r="AM2571" s="160">
        <f>IF($AM$2478&gt;0,PPMT('Assumptions (Battery)'!$V$9,Model!W$1,'Assumptions (Battery)'!$V$12,'Assumptions (Battery)'!$V$7*$AM$2480),0)</f>
        <v>-0.02008581024</v>
      </c>
      <c r="AN2571" s="160">
        <f>IF($AM$2478&gt;0,PPMT('Assumptions (Battery)'!$V$9,Model!X$1,'Assumptions (Battery)'!$V$12,'Assumptions (Battery)'!$V$7*$AM$2480),0)</f>
        <v>-0.02169267506</v>
      </c>
      <c r="AO2571" s="160">
        <f>IF($AM$2478&gt;0,PPMT('Assumptions (Battery)'!$V$9,Model!Y$1,'Assumptions (Battery)'!$V$12,'Assumptions (Battery)'!$V$7*$AM$2480),0)</f>
        <v>-0.02342808907</v>
      </c>
      <c r="AP2571" s="160">
        <f>IF($AM$2478&gt;0,PPMT('Assumptions (Battery)'!$V$9,Model!Z$1,'Assumptions (Battery)'!$V$12,'Assumptions (Battery)'!$V$7*$AM$2480),0)</f>
        <v>-0.02530233619</v>
      </c>
      <c r="AQ2571" s="160">
        <f>IF($AM$2478&gt;0,PPMT('Assumptions (Battery)'!$V$9,Model!AA$1,'Assumptions (Battery)'!$V$12,'Assumptions (Battery)'!$V$7*$AM$2480),0)</f>
        <v>-0.02732652309</v>
      </c>
      <c r="AR2571" s="160">
        <f>IF($AM$2478&gt;0,PPMT('Assumptions (Battery)'!$V$9,Model!AB$1,'Assumptions (Battery)'!$V$12,'Assumptions (Battery)'!$V$7*$AM$2480),0)</f>
        <v>-0.02951264494</v>
      </c>
      <c r="AS2571" s="160">
        <f>IF($AM$2478&gt;0,PPMT('Assumptions (Battery)'!$V$9,Model!AC$1,'Assumptions (Battery)'!$V$12,'Assumptions (Battery)'!$V$7*$AM$2480),0)</f>
        <v>-0.03187365653</v>
      </c>
      <c r="AT2571" s="160">
        <f>IF($AM$2478&gt;0,PPMT('Assumptions (Battery)'!$V$9,Model!AD$1,'Assumptions (Battery)'!$V$12,'Assumptions (Battery)'!$V$7*$AM$2480),0)</f>
        <v>-0.03442354905</v>
      </c>
      <c r="AU2571" s="160">
        <f>IF($AM$2478&gt;0,PPMT('Assumptions (Battery)'!$V$9,Model!AE$1,'Assumptions (Battery)'!$V$12,'Assumptions (Battery)'!$V$7*$AM$2480),0)</f>
        <v>-0.03717743298</v>
      </c>
      <c r="AV2571" s="160">
        <f>IF($AM$2478&gt;0,PPMT('Assumptions (Battery)'!$V$9,Model!AF$1,'Assumptions (Battery)'!$V$12,'Assumptions (Battery)'!$V$7*$AM$2480),0)</f>
        <v>-0.04015162761</v>
      </c>
      <c r="AW2571" s="160"/>
      <c r="AX2571" s="160"/>
      <c r="AY2571" s="160"/>
      <c r="AZ2571" s="160"/>
      <c r="BA2571" s="160"/>
      <c r="BB2571" s="160"/>
      <c r="BC2571" s="160"/>
      <c r="BD2571" s="160"/>
      <c r="BE2571" s="160"/>
      <c r="BF2571" s="160"/>
      <c r="BG2571" s="160"/>
      <c r="BH2571" s="160"/>
      <c r="BI2571" s="160"/>
      <c r="BJ2571" s="160"/>
      <c r="BK2571" s="160"/>
    </row>
    <row r="2572" ht="15.75" hidden="1" customHeight="1" outlineLevel="1">
      <c r="A2572" s="353"/>
      <c r="B2572" s="38"/>
      <c r="C2572" s="174"/>
      <c r="D2572" s="174"/>
      <c r="E2572" s="174"/>
      <c r="F2572" s="174"/>
      <c r="G2572" s="174"/>
      <c r="H2572" s="174"/>
      <c r="I2572" s="174"/>
      <c r="J2572" s="174"/>
      <c r="K2572" s="174"/>
      <c r="L2572" s="174"/>
      <c r="M2572" s="174"/>
      <c r="N2572" s="174"/>
      <c r="O2572" s="174"/>
      <c r="P2572" s="174"/>
      <c r="Q2572" s="174"/>
      <c r="R2572" s="174"/>
      <c r="S2572" s="174"/>
      <c r="T2572" s="174"/>
      <c r="U2572" s="174"/>
      <c r="V2572" s="174"/>
      <c r="W2572" s="160"/>
      <c r="X2572" s="160"/>
      <c r="Y2572" s="160"/>
      <c r="Z2572" s="160"/>
      <c r="AA2572" s="160"/>
      <c r="AB2572" s="160"/>
      <c r="AC2572" s="160"/>
      <c r="AD2572" s="160"/>
      <c r="AE2572" s="160"/>
      <c r="AF2572" s="160"/>
      <c r="AG2572" s="160"/>
      <c r="AH2572" s="160"/>
      <c r="AI2572" s="160"/>
      <c r="AJ2572" s="160"/>
      <c r="AK2572" s="160"/>
      <c r="AL2572" s="160"/>
      <c r="AM2572" s="160"/>
      <c r="AN2572" s="160">
        <f>IF($AN$2478&gt;0,PPMT('Assumptions (Battery)'!$V$9,Model!W$1,'Assumptions (Battery)'!$V$12,'Assumptions (Battery)'!$V$7*$AN$2480),0)</f>
        <v>-0.04042233626</v>
      </c>
      <c r="AO2572" s="160">
        <f>IF($AN$2478&gt;0,PPMT('Assumptions (Battery)'!$V$9,Model!X$1,'Assumptions (Battery)'!$V$12,'Assumptions (Battery)'!$V$7*$AN$2480),0)</f>
        <v>-0.04365612317</v>
      </c>
      <c r="AP2572" s="160">
        <f>IF($AN$2478&gt;0,PPMT('Assumptions (Battery)'!$V$9,Model!Y$1,'Assumptions (Battery)'!$V$12,'Assumptions (Battery)'!$V$7*$AN$2480),0)</f>
        <v>-0.04714861302</v>
      </c>
      <c r="AQ2572" s="160">
        <f>IF($AN$2478&gt;0,PPMT('Assumptions (Battery)'!$V$9,Model!Z$1,'Assumptions (Battery)'!$V$12,'Assumptions (Battery)'!$V$7*$AN$2480),0)</f>
        <v>-0.05092050206</v>
      </c>
      <c r="AR2572" s="160">
        <f>IF($AN$2478&gt;0,PPMT('Assumptions (Battery)'!$V$9,Model!AA$1,'Assumptions (Battery)'!$V$12,'Assumptions (Battery)'!$V$7*$AN$2480),0)</f>
        <v>-0.05499414223</v>
      </c>
      <c r="AS2572" s="160">
        <f>IF($AN$2478&gt;0,PPMT('Assumptions (Battery)'!$V$9,Model!AB$1,'Assumptions (Battery)'!$V$12,'Assumptions (Battery)'!$V$7*$AN$2480),0)</f>
        <v>-0.0593936736</v>
      </c>
      <c r="AT2572" s="160">
        <f>IF($AN$2478&gt;0,PPMT('Assumptions (Battery)'!$V$9,Model!AC$1,'Assumptions (Battery)'!$V$12,'Assumptions (Battery)'!$V$7*$AN$2480),0)</f>
        <v>-0.06414516749</v>
      </c>
      <c r="AU2572" s="160">
        <f>IF($AN$2478&gt;0,PPMT('Assumptions (Battery)'!$V$9,Model!AD$1,'Assumptions (Battery)'!$V$12,'Assumptions (Battery)'!$V$7*$AN$2480),0)</f>
        <v>-0.06927678089</v>
      </c>
      <c r="AV2572" s="160">
        <f>IF($AN$2478&gt;0,PPMT('Assumptions (Battery)'!$V$9,Model!AE$1,'Assumptions (Battery)'!$V$12,'Assumptions (Battery)'!$V$7*$AN$2480),0)</f>
        <v>-0.07481892336</v>
      </c>
      <c r="AW2572" s="160">
        <f>IF($AN$2478&gt;0,PPMT('Assumptions (Battery)'!$V$9,Model!AF$1,'Assumptions (Battery)'!$V$12,'Assumptions (Battery)'!$V$7*$AN$2480),0)</f>
        <v>-0.08080443723</v>
      </c>
      <c r="AX2572" s="160"/>
      <c r="AY2572" s="160"/>
      <c r="AZ2572" s="160"/>
      <c r="BA2572" s="160"/>
      <c r="BB2572" s="160"/>
      <c r="BC2572" s="160"/>
      <c r="BD2572" s="160"/>
      <c r="BE2572" s="160"/>
      <c r="BF2572" s="160"/>
      <c r="BG2572" s="160"/>
      <c r="BH2572" s="160"/>
      <c r="BI2572" s="160"/>
      <c r="BJ2572" s="160"/>
      <c r="BK2572" s="160"/>
      <c r="BL2572" s="160"/>
    </row>
    <row r="2573" ht="15.75" hidden="1" customHeight="1" outlineLevel="1">
      <c r="A2573" s="353"/>
      <c r="B2573" s="38"/>
      <c r="C2573" s="174"/>
      <c r="D2573" s="174"/>
      <c r="E2573" s="174"/>
      <c r="F2573" s="174"/>
      <c r="G2573" s="174"/>
      <c r="H2573" s="174"/>
      <c r="I2573" s="174"/>
      <c r="J2573" s="174"/>
      <c r="K2573" s="174"/>
      <c r="L2573" s="174"/>
      <c r="M2573" s="174"/>
      <c r="N2573" s="174"/>
      <c r="O2573" s="174"/>
      <c r="P2573" s="174"/>
      <c r="Q2573" s="174"/>
      <c r="R2573" s="174"/>
      <c r="S2573" s="174"/>
      <c r="T2573" s="174"/>
      <c r="U2573" s="174"/>
      <c r="V2573" s="174"/>
      <c r="W2573" s="160"/>
      <c r="X2573" s="160"/>
      <c r="Y2573" s="160"/>
      <c r="Z2573" s="160"/>
      <c r="AA2573" s="160"/>
      <c r="AB2573" s="160"/>
      <c r="AC2573" s="160"/>
      <c r="AD2573" s="160"/>
      <c r="AE2573" s="160"/>
      <c r="AF2573" s="160"/>
      <c r="AG2573" s="160"/>
      <c r="AH2573" s="160"/>
      <c r="AI2573" s="160"/>
      <c r="AJ2573" s="160"/>
      <c r="AK2573" s="160"/>
      <c r="AL2573" s="160"/>
      <c r="AM2573" s="160"/>
      <c r="AN2573" s="160"/>
      <c r="AO2573" s="160">
        <f>IF($AO$2478&gt;0,PPMT('Assumptions (Battery)'!$V$9,Model!W$1,'Assumptions (Battery)'!$V$12,'Assumptions (Battery)'!$V$7*$AO$2480),0)</f>
        <v>-0.04066754514</v>
      </c>
      <c r="AP2573" s="160">
        <f>IF($AO$2478&gt;0,PPMT('Assumptions (Battery)'!$V$9,Model!X$1,'Assumptions (Battery)'!$V$12,'Assumptions (Battery)'!$V$7*$AO$2480),0)</f>
        <v>-0.04392094875</v>
      </c>
      <c r="AQ2573" s="160">
        <f>IF($AO$2478&gt;0,PPMT('Assumptions (Battery)'!$V$9,Model!Y$1,'Assumptions (Battery)'!$V$12,'Assumptions (Battery)'!$V$7*$AO$2480),0)</f>
        <v>-0.04743462465</v>
      </c>
      <c r="AR2573" s="160">
        <f>IF($AO$2478&gt;0,PPMT('Assumptions (Battery)'!$V$9,Model!Z$1,'Assumptions (Battery)'!$V$12,'Assumptions (Battery)'!$V$7*$AO$2480),0)</f>
        <v>-0.05122939462</v>
      </c>
      <c r="AS2573" s="160">
        <f>IF($AO$2478&gt;0,PPMT('Assumptions (Battery)'!$V$9,Model!AA$1,'Assumptions (Battery)'!$V$12,'Assumptions (Battery)'!$V$7*$AO$2480),0)</f>
        <v>-0.05532774619</v>
      </c>
      <c r="AT2573" s="160">
        <f>IF($AO$2478&gt;0,PPMT('Assumptions (Battery)'!$V$9,Model!AB$1,'Assumptions (Battery)'!$V$12,'Assumptions (Battery)'!$V$7*$AO$2480),0)</f>
        <v>-0.05975396588</v>
      </c>
      <c r="AU2573" s="160">
        <f>IF($AO$2478&gt;0,PPMT('Assumptions (Battery)'!$V$9,Model!AC$1,'Assumptions (Battery)'!$V$12,'Assumptions (Battery)'!$V$7*$AO$2480),0)</f>
        <v>-0.06453428315</v>
      </c>
      <c r="AV2573" s="160">
        <f>IF($AO$2478&gt;0,PPMT('Assumptions (Battery)'!$V$9,Model!AD$1,'Assumptions (Battery)'!$V$12,'Assumptions (Battery)'!$V$7*$AO$2480),0)</f>
        <v>-0.06969702581</v>
      </c>
      <c r="AW2573" s="160">
        <f>IF($AO$2478&gt;0,PPMT('Assumptions (Battery)'!$V$9,Model!AE$1,'Assumptions (Battery)'!$V$12,'Assumptions (Battery)'!$V$7*$AO$2480),0)</f>
        <v>-0.07527278787</v>
      </c>
      <c r="AX2573" s="160">
        <f>IF($AO$2478&gt;0,PPMT('Assumptions (Battery)'!$V$9,Model!AF$1,'Assumptions (Battery)'!$V$12,'Assumptions (Battery)'!$V$7*$AO$2480),0)</f>
        <v>-0.0812946109</v>
      </c>
      <c r="AY2573" s="160"/>
      <c r="AZ2573" s="160"/>
      <c r="BA2573" s="160"/>
      <c r="BB2573" s="160"/>
      <c r="BC2573" s="160"/>
      <c r="BD2573" s="160"/>
      <c r="BE2573" s="160"/>
      <c r="BF2573" s="160"/>
      <c r="BG2573" s="160"/>
      <c r="BH2573" s="160"/>
      <c r="BI2573" s="160"/>
      <c r="BJ2573" s="160"/>
      <c r="BK2573" s="160"/>
      <c r="BL2573" s="160"/>
      <c r="BM2573" s="160"/>
    </row>
    <row r="2574" ht="15.75" hidden="1" customHeight="1" outlineLevel="1">
      <c r="A2574" s="353"/>
      <c r="B2574" s="38"/>
      <c r="C2574" s="174"/>
      <c r="D2574" s="174"/>
      <c r="E2574" s="174"/>
      <c r="F2574" s="174"/>
      <c r="G2574" s="174"/>
      <c r="H2574" s="174"/>
      <c r="I2574" s="174"/>
      <c r="J2574" s="174"/>
      <c r="K2574" s="174"/>
      <c r="L2574" s="174"/>
      <c r="M2574" s="174"/>
      <c r="N2574" s="174"/>
      <c r="O2574" s="174"/>
      <c r="P2574" s="174"/>
      <c r="Q2574" s="174"/>
      <c r="R2574" s="174"/>
      <c r="S2574" s="174"/>
      <c r="T2574" s="174"/>
      <c r="U2574" s="174"/>
      <c r="V2574" s="174"/>
      <c r="W2574" s="160"/>
      <c r="X2574" s="160"/>
      <c r="Y2574" s="160"/>
      <c r="Z2574" s="160"/>
      <c r="AA2574" s="160"/>
      <c r="AB2574" s="160"/>
      <c r="AC2574" s="160"/>
      <c r="AD2574" s="160"/>
      <c r="AE2574" s="160"/>
      <c r="AF2574" s="160"/>
      <c r="AG2574" s="160"/>
      <c r="AH2574" s="160"/>
      <c r="AI2574" s="160"/>
      <c r="AJ2574" s="160"/>
      <c r="AK2574" s="160"/>
      <c r="AL2574" s="160"/>
      <c r="AM2574" s="160"/>
      <c r="AN2574" s="160"/>
      <c r="AO2574" s="160"/>
      <c r="AP2574" s="160">
        <f>IF($AP$2478&gt;0,PPMT('Assumptions (Battery)'!$V$9,Model!W$1,'Assumptions (Battery)'!$V$12,'Assumptions (Battery)'!$V$7*$AP$2480),0)</f>
        <v>-0.04092520435</v>
      </c>
      <c r="AQ2574" s="160">
        <f>IF($AP$2478&gt;0,PPMT('Assumptions (Battery)'!$V$9,Model!X$1,'Assumptions (Battery)'!$V$12,'Assumptions (Battery)'!$V$7*$AP$2480),0)</f>
        <v>-0.04419922069</v>
      </c>
      <c r="AR2574" s="160">
        <f>IF($AP$2478&gt;0,PPMT('Assumptions (Battery)'!$V$9,Model!Y$1,'Assumptions (Battery)'!$V$12,'Assumptions (Battery)'!$V$7*$AP$2480),0)</f>
        <v>-0.04773515835</v>
      </c>
      <c r="AS2574" s="160">
        <f>IF($AP$2478&gt;0,PPMT('Assumptions (Battery)'!$V$9,Model!Z$1,'Assumptions (Battery)'!$V$12,'Assumptions (Battery)'!$V$7*$AP$2480),0)</f>
        <v>-0.05155397102</v>
      </c>
      <c r="AT2574" s="160">
        <f>IF($AP$2478&gt;0,PPMT('Assumptions (Battery)'!$V$9,Model!AA$1,'Assumptions (Battery)'!$V$12,'Assumptions (Battery)'!$V$7*$AP$2480),0)</f>
        <v>-0.0556782887</v>
      </c>
      <c r="AU2574" s="160">
        <f>IF($AP$2478&gt;0,PPMT('Assumptions (Battery)'!$V$9,Model!AB$1,'Assumptions (Battery)'!$V$12,'Assumptions (Battery)'!$V$7*$AP$2480),0)</f>
        <v>-0.06013255179</v>
      </c>
      <c r="AV2574" s="160">
        <f>IF($AP$2478&gt;0,PPMT('Assumptions (Battery)'!$V$9,Model!AC$1,'Assumptions (Battery)'!$V$12,'Assumptions (Battery)'!$V$7*$AP$2480),0)</f>
        <v>-0.06494315594</v>
      </c>
      <c r="AW2574" s="160">
        <f>IF($AP$2478&gt;0,PPMT('Assumptions (Battery)'!$V$9,Model!AD$1,'Assumptions (Battery)'!$V$12,'Assumptions (Battery)'!$V$7*$AP$2480),0)</f>
        <v>-0.07013860841</v>
      </c>
      <c r="AX2574" s="160">
        <f>IF($AP$2478&gt;0,PPMT('Assumptions (Battery)'!$V$9,Model!AE$1,'Assumptions (Battery)'!$V$12,'Assumptions (Battery)'!$V$7*$AP$2480),0)</f>
        <v>-0.07574969708</v>
      </c>
      <c r="AY2574" s="160">
        <f>IF($AP$2478&gt;0,PPMT('Assumptions (Battery)'!$V$9,Model!AF$1,'Assumptions (Battery)'!$V$12,'Assumptions (Battery)'!$V$7*$AP$2480),0)</f>
        <v>-0.08180967285</v>
      </c>
      <c r="AZ2574" s="160"/>
      <c r="BA2574" s="160"/>
      <c r="BB2574" s="160"/>
      <c r="BC2574" s="160"/>
      <c r="BD2574" s="160"/>
      <c r="BE2574" s="160"/>
      <c r="BF2574" s="160"/>
      <c r="BG2574" s="160"/>
      <c r="BH2574" s="160"/>
      <c r="BI2574" s="160"/>
      <c r="BJ2574" s="160"/>
      <c r="BK2574" s="160"/>
      <c r="BL2574" s="160"/>
      <c r="BM2574" s="160"/>
      <c r="BN2574" s="160"/>
    </row>
    <row r="2575" ht="15.75" hidden="1" customHeight="1" outlineLevel="1">
      <c r="A2575" s="353"/>
      <c r="B2575" s="38"/>
      <c r="C2575" s="174"/>
      <c r="D2575" s="174"/>
      <c r="E2575" s="174"/>
      <c r="F2575" s="174"/>
      <c r="G2575" s="174"/>
      <c r="H2575" s="174"/>
      <c r="I2575" s="174"/>
      <c r="J2575" s="174"/>
      <c r="K2575" s="174"/>
      <c r="L2575" s="174"/>
      <c r="M2575" s="174"/>
      <c r="N2575" s="174"/>
      <c r="O2575" s="174"/>
      <c r="P2575" s="174"/>
      <c r="Q2575" s="174"/>
      <c r="R2575" s="174"/>
      <c r="S2575" s="174"/>
      <c r="T2575" s="174"/>
      <c r="U2575" s="174"/>
      <c r="V2575" s="174"/>
      <c r="W2575" s="160"/>
      <c r="X2575" s="160"/>
      <c r="Y2575" s="160"/>
      <c r="Z2575" s="160"/>
      <c r="AA2575" s="160"/>
      <c r="AB2575" s="160"/>
      <c r="AC2575" s="160"/>
      <c r="AD2575" s="160"/>
      <c r="AE2575" s="160"/>
      <c r="AF2575" s="160"/>
      <c r="AG2575" s="160"/>
      <c r="AH2575" s="160"/>
      <c r="AI2575" s="160"/>
      <c r="AJ2575" s="160"/>
      <c r="AK2575" s="160"/>
      <c r="AL2575" s="160"/>
      <c r="AM2575" s="160"/>
      <c r="AN2575" s="160"/>
      <c r="AO2575" s="160"/>
      <c r="AP2575" s="160"/>
      <c r="AQ2575" s="160">
        <f>IF($AQ$2478&gt;0,PPMT('Assumptions (Battery)'!$V$9,Model!W$1,'Assumptions (Battery)'!$V$12,'Assumptions (Battery)'!$V$7*$AQ$2480),0)</f>
        <v>-0.0411588149</v>
      </c>
      <c r="AR2575" s="160">
        <f>IF($AQ$2478&gt;0,PPMT('Assumptions (Battery)'!$V$9,Model!X$1,'Assumptions (Battery)'!$V$12,'Assumptions (Battery)'!$V$7*$AQ$2480),0)</f>
        <v>-0.04445152009</v>
      </c>
      <c r="AS2575" s="160">
        <f>IF($AQ$2478&gt;0,PPMT('Assumptions (Battery)'!$V$9,Model!Y$1,'Assumptions (Battery)'!$V$12,'Assumptions (Battery)'!$V$7*$AQ$2480),0)</f>
        <v>-0.0480076417</v>
      </c>
      <c r="AT2575" s="160">
        <f>IF($AQ$2478&gt;0,PPMT('Assumptions (Battery)'!$V$9,Model!Z$1,'Assumptions (Battery)'!$V$12,'Assumptions (Battery)'!$V$7*$AQ$2480),0)</f>
        <v>-0.05184825304</v>
      </c>
      <c r="AU2575" s="160">
        <f>IF($AQ$2478&gt;0,PPMT('Assumptions (Battery)'!$V$9,Model!AA$1,'Assumptions (Battery)'!$V$12,'Assumptions (Battery)'!$V$7*$AQ$2480),0)</f>
        <v>-0.05599611328</v>
      </c>
      <c r="AV2575" s="160">
        <f>IF($AQ$2478&gt;0,PPMT('Assumptions (Battery)'!$V$9,Model!AB$1,'Assumptions (Battery)'!$V$12,'Assumptions (Battery)'!$V$7*$AQ$2480),0)</f>
        <v>-0.06047580234</v>
      </c>
      <c r="AW2575" s="160">
        <f>IF($AQ$2478&gt;0,PPMT('Assumptions (Battery)'!$V$9,Model!AC$1,'Assumptions (Battery)'!$V$12,'Assumptions (Battery)'!$V$7*$AQ$2480),0)</f>
        <v>-0.06531386653</v>
      </c>
      <c r="AX2575" s="160">
        <f>IF($AQ$2478&gt;0,PPMT('Assumptions (Battery)'!$V$9,Model!AD$1,'Assumptions (Battery)'!$V$12,'Assumptions (Battery)'!$V$7*$AQ$2480),0)</f>
        <v>-0.07053897585</v>
      </c>
      <c r="AY2575" s="160">
        <f>IF($AQ$2478&gt;0,PPMT('Assumptions (Battery)'!$V$9,Model!AE$1,'Assumptions (Battery)'!$V$12,'Assumptions (Battery)'!$V$7*$AQ$2480),0)</f>
        <v>-0.07618209392</v>
      </c>
      <c r="AZ2575" s="160">
        <f>IF($AQ$2478&gt;0,PPMT('Assumptions (Battery)'!$V$9,Model!AF$1,'Assumptions (Battery)'!$V$12,'Assumptions (Battery)'!$V$7*$AQ$2480),0)</f>
        <v>-0.08227666143</v>
      </c>
      <c r="BA2575" s="160"/>
      <c r="BB2575" s="160"/>
      <c r="BC2575" s="160"/>
      <c r="BD2575" s="160"/>
      <c r="BE2575" s="160"/>
      <c r="BF2575" s="160"/>
      <c r="BG2575" s="160"/>
      <c r="BH2575" s="160"/>
      <c r="BI2575" s="160"/>
      <c r="BJ2575" s="160"/>
      <c r="BK2575" s="160"/>
      <c r="BL2575" s="160"/>
      <c r="BM2575" s="160"/>
      <c r="BN2575" s="160"/>
      <c r="BO2575" s="160"/>
    </row>
    <row r="2576" ht="15.75" hidden="1" customHeight="1" outlineLevel="1">
      <c r="A2576" s="353"/>
      <c r="B2576" s="38"/>
      <c r="C2576" s="174"/>
      <c r="D2576" s="174"/>
      <c r="E2576" s="174"/>
      <c r="F2576" s="174"/>
      <c r="G2576" s="174"/>
      <c r="H2576" s="174"/>
      <c r="I2576" s="174"/>
      <c r="J2576" s="174"/>
      <c r="K2576" s="174"/>
      <c r="L2576" s="174"/>
      <c r="M2576" s="174"/>
      <c r="N2576" s="174"/>
      <c r="O2576" s="174"/>
      <c r="P2576" s="174"/>
      <c r="Q2576" s="174"/>
      <c r="R2576" s="174"/>
      <c r="S2576" s="174"/>
      <c r="T2576" s="174"/>
      <c r="U2576" s="174"/>
      <c r="V2576" s="174"/>
      <c r="W2576" s="160"/>
      <c r="X2576" s="160"/>
      <c r="Y2576" s="160"/>
      <c r="Z2576" s="160"/>
      <c r="AA2576" s="160"/>
      <c r="AB2576" s="160"/>
      <c r="AC2576" s="160"/>
      <c r="AD2576" s="160"/>
      <c r="AE2576" s="160"/>
      <c r="AF2576" s="160"/>
      <c r="AG2576" s="160"/>
      <c r="AH2576" s="160"/>
      <c r="AI2576" s="160"/>
      <c r="AJ2576" s="160"/>
      <c r="AK2576" s="160"/>
      <c r="AL2576" s="160"/>
      <c r="AM2576" s="160"/>
      <c r="AN2576" s="160"/>
      <c r="AO2576" s="160"/>
      <c r="AP2576" s="160"/>
      <c r="AQ2576" s="160"/>
      <c r="AR2576" s="160">
        <f>IF($AR$2478&gt;0,PPMT('Assumptions (Battery)'!$V$9,Model!W$1,'Assumptions (Battery)'!$V$12,'Assumptions (Battery)'!$V$7*$AR$2480),0)</f>
        <v>-0.04138596432</v>
      </c>
      <c r="AS2576" s="160">
        <f>IF($AR$2478&gt;0,PPMT('Assumptions (Battery)'!$V$9,Model!X$1,'Assumptions (Battery)'!$V$12,'Assumptions (Battery)'!$V$7*$AR$2480),0)</f>
        <v>-0.04469684147</v>
      </c>
      <c r="AT2576" s="160">
        <f>IF($AR$2478&gt;0,PPMT('Assumptions (Battery)'!$V$9,Model!Y$1,'Assumptions (Battery)'!$V$12,'Assumptions (Battery)'!$V$7*$AR$2480),0)</f>
        <v>-0.04827258879</v>
      </c>
      <c r="AU2576" s="160">
        <f>IF($AR$2478&gt;0,PPMT('Assumptions (Battery)'!$V$9,Model!Z$1,'Assumptions (Battery)'!$V$12,'Assumptions (Battery)'!$V$7*$AR$2480),0)</f>
        <v>-0.05213439589</v>
      </c>
      <c r="AV2576" s="160">
        <f>IF($AR$2478&gt;0,PPMT('Assumptions (Battery)'!$V$9,Model!AA$1,'Assumptions (Battery)'!$V$12,'Assumptions (Battery)'!$V$7*$AR$2480),0)</f>
        <v>-0.05630514756</v>
      </c>
      <c r="AW2576" s="160">
        <f>IF($AR$2478&gt;0,PPMT('Assumptions (Battery)'!$V$9,Model!AB$1,'Assumptions (Battery)'!$V$12,'Assumptions (Battery)'!$V$7*$AR$2480),0)</f>
        <v>-0.06080955937</v>
      </c>
      <c r="AX2576" s="160">
        <f>IF($AR$2478&gt;0,PPMT('Assumptions (Battery)'!$V$9,Model!AC$1,'Assumptions (Battery)'!$V$12,'Assumptions (Battery)'!$V$7*$AR$2480),0)</f>
        <v>-0.06567432412</v>
      </c>
      <c r="AY2576" s="160">
        <f>IF($AR$2478&gt;0,PPMT('Assumptions (Battery)'!$V$9,Model!AD$1,'Assumptions (Battery)'!$V$12,'Assumptions (Battery)'!$V$7*$AR$2480),0)</f>
        <v>-0.07092827005</v>
      </c>
      <c r="AZ2576" s="160">
        <f>IF($AR$2478&gt;0,PPMT('Assumptions (Battery)'!$V$9,Model!AE$1,'Assumptions (Battery)'!$V$12,'Assumptions (Battery)'!$V$7*$AR$2480),0)</f>
        <v>-0.07660253165</v>
      </c>
      <c r="BA2576" s="160">
        <f>IF($AR$2478&gt;0,PPMT('Assumptions (Battery)'!$V$9,Model!AF$1,'Assumptions (Battery)'!$V$12,'Assumptions (Battery)'!$V$7*$AR$2480),0)</f>
        <v>-0.08273073418</v>
      </c>
      <c r="BB2576" s="160"/>
      <c r="BC2576" s="160"/>
      <c r="BD2576" s="160"/>
      <c r="BE2576" s="160"/>
      <c r="BF2576" s="160"/>
      <c r="BG2576" s="160"/>
      <c r="BH2576" s="160"/>
      <c r="BI2576" s="160"/>
      <c r="BJ2576" s="160"/>
      <c r="BK2576" s="160"/>
      <c r="BL2576" s="160"/>
      <c r="BM2576" s="160"/>
      <c r="BN2576" s="160"/>
      <c r="BO2576" s="160"/>
      <c r="BP2576" s="160"/>
    </row>
    <row r="2577" ht="15.75" hidden="1" customHeight="1" outlineLevel="1">
      <c r="A2577" s="353"/>
      <c r="B2577" s="38"/>
      <c r="C2577" s="174"/>
      <c r="D2577" s="174"/>
      <c r="E2577" s="174"/>
      <c r="F2577" s="174"/>
      <c r="G2577" s="174"/>
      <c r="H2577" s="174"/>
      <c r="I2577" s="174"/>
      <c r="J2577" s="174"/>
      <c r="K2577" s="174"/>
      <c r="L2577" s="174"/>
      <c r="M2577" s="174"/>
      <c r="N2577" s="174"/>
      <c r="O2577" s="174"/>
      <c r="P2577" s="174"/>
      <c r="Q2577" s="174"/>
      <c r="R2577" s="174"/>
      <c r="S2577" s="174"/>
      <c r="T2577" s="174"/>
      <c r="U2577" s="174"/>
      <c r="V2577" s="174"/>
      <c r="W2577" s="160"/>
      <c r="X2577" s="160"/>
      <c r="Y2577" s="160"/>
      <c r="Z2577" s="160"/>
      <c r="AA2577" s="160"/>
      <c r="AB2577" s="160"/>
      <c r="AC2577" s="160"/>
      <c r="AD2577" s="160"/>
      <c r="AE2577" s="160"/>
      <c r="AF2577" s="160"/>
      <c r="AG2577" s="160"/>
      <c r="AH2577" s="160"/>
      <c r="AI2577" s="160"/>
      <c r="AJ2577" s="160"/>
      <c r="AK2577" s="160"/>
      <c r="AL2577" s="160"/>
      <c r="AM2577" s="160"/>
      <c r="AN2577" s="160"/>
      <c r="AO2577" s="160"/>
      <c r="AP2577" s="160"/>
      <c r="AQ2577" s="160"/>
      <c r="AR2577" s="160"/>
      <c r="AS2577" s="160">
        <f>IF($AS$2478&gt;0,PPMT('Assumptions (Battery)'!$V$9,Model!W$1,'Assumptions (Battery)'!$V$12,'Assumptions (Battery)'!$V$7*$AS$2480),0)</f>
        <v>-0.0416063116</v>
      </c>
      <c r="AT2577" s="160">
        <f>IF($AS$2478&gt;0,PPMT('Assumptions (Battery)'!$V$9,Model!X$1,'Assumptions (Battery)'!$V$12,'Assumptions (Battery)'!$V$7*$AS$2480),0)</f>
        <v>-0.04493481653</v>
      </c>
      <c r="AU2577" s="160">
        <f>IF($AS$2478&gt;0,PPMT('Assumptions (Battery)'!$V$9,Model!Y$1,'Assumptions (Battery)'!$V$12,'Assumptions (Battery)'!$V$7*$AS$2480),0)</f>
        <v>-0.04852960185</v>
      </c>
      <c r="AV2577" s="160">
        <f>IF($AS$2478&gt;0,PPMT('Assumptions (Battery)'!$V$9,Model!Z$1,'Assumptions (Battery)'!$V$12,'Assumptions (Battery)'!$V$7*$AS$2480),0)</f>
        <v>-0.05241197</v>
      </c>
      <c r="AW2577" s="160">
        <f>IF($AS$2478&gt;0,PPMT('Assumptions (Battery)'!$V$9,Model!AA$1,'Assumptions (Battery)'!$V$12,'Assumptions (Battery)'!$V$7*$AS$2480),0)</f>
        <v>-0.0566049276</v>
      </c>
      <c r="AX2577" s="160">
        <f>IF($AS$2478&gt;0,PPMT('Assumptions (Battery)'!$V$9,Model!AB$1,'Assumptions (Battery)'!$V$12,'Assumptions (Battery)'!$V$7*$AS$2480),0)</f>
        <v>-0.06113332181</v>
      </c>
      <c r="AY2577" s="160">
        <f>IF($AS$2478&gt;0,PPMT('Assumptions (Battery)'!$V$9,Model!AC$1,'Assumptions (Battery)'!$V$12,'Assumptions (Battery)'!$V$7*$AS$2480),0)</f>
        <v>-0.06602398756</v>
      </c>
      <c r="AZ2577" s="160">
        <f>IF($AS$2478&gt;0,PPMT('Assumptions (Battery)'!$V$9,Model!AD$1,'Assumptions (Battery)'!$V$12,'Assumptions (Battery)'!$V$7*$AS$2480),0)</f>
        <v>-0.07130590656</v>
      </c>
      <c r="BA2577" s="160">
        <f>IF($AS$2478&gt;0,PPMT('Assumptions (Battery)'!$V$9,Model!AE$1,'Assumptions (Battery)'!$V$12,'Assumptions (Battery)'!$V$7*$AS$2480),0)</f>
        <v>-0.07701037909</v>
      </c>
      <c r="BB2577" s="160">
        <f>IF($AS$2478&gt;0,PPMT('Assumptions (Battery)'!$V$9,Model!AF$1,'Assumptions (Battery)'!$V$12,'Assumptions (Battery)'!$V$7*$AS$2480),0)</f>
        <v>-0.08317120941</v>
      </c>
      <c r="BC2577" s="160"/>
      <c r="BD2577" s="160"/>
      <c r="BE2577" s="160"/>
      <c r="BF2577" s="160"/>
      <c r="BG2577" s="160"/>
      <c r="BH2577" s="160"/>
      <c r="BI2577" s="160"/>
      <c r="BJ2577" s="160"/>
      <c r="BK2577" s="160"/>
      <c r="BL2577" s="160"/>
      <c r="BM2577" s="160"/>
      <c r="BN2577" s="160"/>
      <c r="BO2577" s="160"/>
      <c r="BP2577" s="160"/>
    </row>
    <row r="2578" ht="15.75" hidden="1" customHeight="1" outlineLevel="1">
      <c r="A2578" s="353"/>
      <c r="B2578" s="38"/>
      <c r="C2578" s="174"/>
      <c r="D2578" s="174"/>
      <c r="E2578" s="174"/>
      <c r="F2578" s="174"/>
      <c r="G2578" s="174"/>
      <c r="H2578" s="174"/>
      <c r="I2578" s="174"/>
      <c r="J2578" s="174"/>
      <c r="K2578" s="174"/>
      <c r="L2578" s="174"/>
      <c r="M2578" s="174"/>
      <c r="N2578" s="174"/>
      <c r="O2578" s="174"/>
      <c r="P2578" s="174"/>
      <c r="Q2578" s="174"/>
      <c r="R2578" s="174"/>
      <c r="S2578" s="174"/>
      <c r="T2578" s="174"/>
      <c r="U2578" s="174"/>
      <c r="V2578" s="174"/>
      <c r="W2578" s="160"/>
      <c r="X2578" s="160"/>
      <c r="Y2578" s="160"/>
      <c r="Z2578" s="160"/>
      <c r="AA2578" s="160"/>
      <c r="AB2578" s="160"/>
      <c r="AC2578" s="160"/>
      <c r="AD2578" s="160"/>
      <c r="AE2578" s="160"/>
      <c r="AF2578" s="160"/>
      <c r="AG2578" s="160"/>
      <c r="AH2578" s="160"/>
      <c r="AI2578" s="160"/>
      <c r="AJ2578" s="160"/>
      <c r="AK2578" s="160"/>
      <c r="AL2578" s="160"/>
      <c r="AM2578" s="160"/>
      <c r="AN2578" s="160"/>
      <c r="AO2578" s="160"/>
      <c r="AP2578" s="160"/>
      <c r="AQ2578" s="160"/>
      <c r="AR2578" s="160"/>
      <c r="AS2578" s="160"/>
      <c r="AT2578" s="160">
        <f>IF($AT$2478&gt;0,PPMT('Assumptions (Battery)'!$V$9,Model!W$1,'Assumptions (Battery)'!$V$12,'Assumptions (Battery)'!$V$7*$AT$2480),0)</f>
        <v>-0.04181950488</v>
      </c>
      <c r="AU2578" s="160">
        <f>IF($AT$2478&gt;0,PPMT('Assumptions (Battery)'!$V$9,Model!X$1,'Assumptions (Battery)'!$V$12,'Assumptions (Battery)'!$V$7*$AT$2480),0)</f>
        <v>-0.04516506527</v>
      </c>
      <c r="AV2578" s="160">
        <f>IF($AT$2478&gt;0,PPMT('Assumptions (Battery)'!$V$9,Model!Y$1,'Assumptions (Battery)'!$V$12,'Assumptions (Battery)'!$V$7*$AT$2480),0)</f>
        <v>-0.04877827049</v>
      </c>
      <c r="AW2578" s="160">
        <f>IF($AT$2478&gt;0,PPMT('Assumptions (Battery)'!$V$9,Model!Z$1,'Assumptions (Battery)'!$V$12,'Assumptions (Battery)'!$V$7*$AT$2480),0)</f>
        <v>-0.05268053213</v>
      </c>
      <c r="AX2578" s="160">
        <f>IF($AT$2478&gt;0,PPMT('Assumptions (Battery)'!$V$9,Model!AA$1,'Assumptions (Battery)'!$V$12,'Assumptions (Battery)'!$V$7*$AT$2480),0)</f>
        <v>-0.0568949747</v>
      </c>
      <c r="AY2578" s="160">
        <f>IF($AT$2478&gt;0,PPMT('Assumptions (Battery)'!$V$9,Model!AB$1,'Assumptions (Battery)'!$V$12,'Assumptions (Battery)'!$V$7*$AT$2480),0)</f>
        <v>-0.06144657268</v>
      </c>
      <c r="AZ2578" s="160">
        <f>IF($AT$2478&gt;0,PPMT('Assumptions (Battery)'!$V$9,Model!AC$1,'Assumptions (Battery)'!$V$12,'Assumptions (Battery)'!$V$7*$AT$2480),0)</f>
        <v>-0.06636229849</v>
      </c>
      <c r="BA2578" s="160">
        <f>IF($AT$2478&gt;0,PPMT('Assumptions (Battery)'!$V$9,Model!AD$1,'Assumptions (Battery)'!$V$12,'Assumptions (Battery)'!$V$7*$AT$2480),0)</f>
        <v>-0.07167128237</v>
      </c>
      <c r="BB2578" s="160">
        <f>IF($AT$2478&gt;0,PPMT('Assumptions (Battery)'!$V$9,Model!AE$1,'Assumptions (Battery)'!$V$12,'Assumptions (Battery)'!$V$7*$AT$2480),0)</f>
        <v>-0.07740498496</v>
      </c>
      <c r="BC2578" s="160">
        <f>IF($AT$2478&gt;0,PPMT('Assumptions (Battery)'!$V$9,Model!AF$1,'Assumptions (Battery)'!$V$12,'Assumptions (Battery)'!$V$7*$AT$2480),0)</f>
        <v>-0.08359738376</v>
      </c>
      <c r="BD2578" s="160"/>
      <c r="BE2578" s="160"/>
      <c r="BF2578" s="160"/>
      <c r="BG2578" s="160"/>
      <c r="BH2578" s="160"/>
      <c r="BI2578" s="160"/>
      <c r="BJ2578" s="160"/>
      <c r="BK2578" s="160"/>
      <c r="BL2578" s="160"/>
      <c r="BM2578" s="160"/>
      <c r="BN2578" s="160"/>
      <c r="BO2578" s="160"/>
      <c r="BP2578" s="160"/>
    </row>
    <row r="2579" ht="15.75" hidden="1" customHeight="1" outlineLevel="1">
      <c r="A2579" s="353"/>
      <c r="B2579" s="38"/>
      <c r="C2579" s="174"/>
      <c r="D2579" s="174"/>
      <c r="E2579" s="174"/>
      <c r="F2579" s="174"/>
      <c r="G2579" s="174"/>
      <c r="H2579" s="174"/>
      <c r="I2579" s="174"/>
      <c r="J2579" s="174"/>
      <c r="K2579" s="174"/>
      <c r="L2579" s="174"/>
      <c r="M2579" s="174"/>
      <c r="N2579" s="174"/>
      <c r="O2579" s="174"/>
      <c r="P2579" s="174"/>
      <c r="Q2579" s="174"/>
      <c r="R2579" s="174"/>
      <c r="S2579" s="174"/>
      <c r="T2579" s="174"/>
      <c r="U2579" s="174"/>
      <c r="V2579" s="174"/>
      <c r="W2579" s="160"/>
      <c r="X2579" s="160"/>
      <c r="Y2579" s="160"/>
      <c r="Z2579" s="160"/>
      <c r="AA2579" s="160"/>
      <c r="AB2579" s="160"/>
      <c r="AC2579" s="160"/>
      <c r="AD2579" s="160"/>
      <c r="AE2579" s="160"/>
      <c r="AF2579" s="160"/>
      <c r="AG2579" s="160"/>
      <c r="AH2579" s="160"/>
      <c r="AI2579" s="160"/>
      <c r="AJ2579" s="160"/>
      <c r="AK2579" s="160"/>
      <c r="AL2579" s="160"/>
      <c r="AM2579" s="160"/>
      <c r="AN2579" s="160"/>
      <c r="AO2579" s="160"/>
      <c r="AP2579" s="160"/>
      <c r="AQ2579" s="160"/>
      <c r="AR2579" s="160"/>
      <c r="AS2579" s="160"/>
      <c r="AT2579" s="160"/>
      <c r="AU2579" s="160">
        <f>IF($AU$2478&gt;0,PPMT('Assumptions (Battery)'!$V$9,Model!W$1,'Assumptions (Battery)'!$V$12,'Assumptions (Battery)'!$V$7*$AU$2480),0)</f>
        <v>-0.04176033213</v>
      </c>
      <c r="AV2579" s="160">
        <f>IF($AU$2478&gt;0,PPMT('Assumptions (Battery)'!$V$9,Model!X$1,'Assumptions (Battery)'!$V$12,'Assumptions (Battery)'!$V$7*$AU$2480),0)</f>
        <v>-0.0451011587</v>
      </c>
      <c r="AW2579" s="160">
        <f>IF($AU$2478&gt;0,PPMT('Assumptions (Battery)'!$V$9,Model!Y$1,'Assumptions (Battery)'!$V$12,'Assumptions (Battery)'!$V$7*$AU$2480),0)</f>
        <v>-0.0487092514</v>
      </c>
      <c r="AX2579" s="160">
        <f>IF($AU$2478&gt;0,PPMT('Assumptions (Battery)'!$V$9,Model!Z$1,'Assumptions (Battery)'!$V$12,'Assumptions (Battery)'!$V$7*$AU$2480),0)</f>
        <v>-0.05260599151</v>
      </c>
      <c r="AY2579" s="160">
        <f>IF($AU$2478&gt;0,PPMT('Assumptions (Battery)'!$V$9,Model!AA$1,'Assumptions (Battery)'!$V$12,'Assumptions (Battery)'!$V$7*$AU$2480),0)</f>
        <v>-0.05681447083</v>
      </c>
      <c r="AZ2579" s="160">
        <f>IF($AU$2478&gt;0,PPMT('Assumptions (Battery)'!$V$9,Model!AB$1,'Assumptions (Battery)'!$V$12,'Assumptions (Battery)'!$V$7*$AU$2480),0)</f>
        <v>-0.0613596285</v>
      </c>
      <c r="BA2579" s="160">
        <f>IF($AU$2478&gt;0,PPMT('Assumptions (Battery)'!$V$9,Model!AC$1,'Assumptions (Battery)'!$V$12,'Assumptions (Battery)'!$V$7*$AU$2480),0)</f>
        <v>-0.06626839878</v>
      </c>
      <c r="BB2579" s="160">
        <f>IF($AU$2478&gt;0,PPMT('Assumptions (Battery)'!$V$9,Model!AD$1,'Assumptions (Battery)'!$V$12,'Assumptions (Battery)'!$V$7*$AU$2480),0)</f>
        <v>-0.07156987068</v>
      </c>
      <c r="BC2579" s="160">
        <f>IF($AU$2478&gt;0,PPMT('Assumptions (Battery)'!$V$9,Model!AE$1,'Assumptions (Battery)'!$V$12,'Assumptions (Battery)'!$V$7*$AU$2480),0)</f>
        <v>-0.07729546033</v>
      </c>
      <c r="BD2579" s="160">
        <f>IF($AU$2478&gt;0,PPMT('Assumptions (Battery)'!$V$9,Model!AF$1,'Assumptions (Battery)'!$V$12,'Assumptions (Battery)'!$V$7*$AU$2480),0)</f>
        <v>-0.08347909716</v>
      </c>
      <c r="BE2579" s="160"/>
      <c r="BF2579" s="160"/>
      <c r="BG2579" s="160"/>
      <c r="BH2579" s="160"/>
      <c r="BI2579" s="160"/>
      <c r="BJ2579" s="160"/>
      <c r="BK2579" s="160"/>
      <c r="BL2579" s="160"/>
      <c r="BM2579" s="160"/>
      <c r="BN2579" s="160"/>
      <c r="BO2579" s="160"/>
      <c r="BP2579" s="160"/>
    </row>
    <row r="2580" ht="15.75" hidden="1" customHeight="1" outlineLevel="1">
      <c r="A2580" s="353"/>
      <c r="B2580" s="38"/>
      <c r="C2580" s="174"/>
      <c r="D2580" s="174"/>
      <c r="E2580" s="174"/>
      <c r="F2580" s="174"/>
      <c r="G2580" s="174"/>
      <c r="H2580" s="174"/>
      <c r="I2580" s="174"/>
      <c r="J2580" s="174"/>
      <c r="K2580" s="174"/>
      <c r="L2580" s="174"/>
      <c r="M2580" s="174"/>
      <c r="N2580" s="174"/>
      <c r="O2580" s="174"/>
      <c r="P2580" s="174"/>
      <c r="Q2580" s="174"/>
      <c r="R2580" s="174"/>
      <c r="S2580" s="174"/>
      <c r="T2580" s="174"/>
      <c r="U2580" s="174"/>
      <c r="V2580" s="174"/>
      <c r="W2580" s="160"/>
      <c r="X2580" s="160"/>
      <c r="Y2580" s="160"/>
      <c r="Z2580" s="160"/>
      <c r="AA2580" s="160"/>
      <c r="AB2580" s="160"/>
      <c r="AC2580" s="160"/>
      <c r="AD2580" s="160"/>
      <c r="AE2580" s="160"/>
      <c r="AF2580" s="160"/>
      <c r="AG2580" s="160"/>
      <c r="AH2580" s="160"/>
      <c r="AI2580" s="160"/>
      <c r="AJ2580" s="160"/>
      <c r="AK2580" s="160"/>
      <c r="AL2580" s="160"/>
      <c r="AM2580" s="160"/>
      <c r="AN2580" s="160"/>
      <c r="AO2580" s="160"/>
      <c r="AP2580" s="160"/>
      <c r="AQ2580" s="160"/>
      <c r="AR2580" s="160"/>
      <c r="AS2580" s="160"/>
      <c r="AT2580" s="160"/>
      <c r="AU2580" s="160"/>
      <c r="AV2580" s="160">
        <f>IF($AV$2478&gt;0,PPMT('Assumptions (Battery)'!$V$9,Model!W$1,'Assumptions (Battery)'!$V$12,'Assumptions (Battery)'!$V$7*$AV$2480),0)</f>
        <v>-0.04195295003</v>
      </c>
      <c r="AW2580" s="160">
        <f>IF($AV$2478&gt;0,PPMT('Assumptions (Battery)'!$V$9,Model!X$1,'Assumptions (Battery)'!$V$12,'Assumptions (Battery)'!$V$7*$AV$2480),0)</f>
        <v>-0.04530918603</v>
      </c>
      <c r="AX2580" s="160">
        <f>IF($AV$2478&gt;0,PPMT('Assumptions (Battery)'!$V$9,Model!Y$1,'Assumptions (Battery)'!$V$12,'Assumptions (Battery)'!$V$7*$AV$2480),0)</f>
        <v>-0.04893392092</v>
      </c>
      <c r="AY2580" s="160">
        <f>IF($AV$2478&gt;0,PPMT('Assumptions (Battery)'!$V$9,Model!Z$1,'Assumptions (Battery)'!$V$12,'Assumptions (Battery)'!$V$7*$AV$2480),0)</f>
        <v>-0.05284863459</v>
      </c>
      <c r="AZ2580" s="160">
        <f>IF($AV$2478&gt;0,PPMT('Assumptions (Battery)'!$V$9,Model!AA$1,'Assumptions (Battery)'!$V$12,'Assumptions (Battery)'!$V$7*$AV$2480),0)</f>
        <v>-0.05707652536</v>
      </c>
      <c r="BA2580" s="160">
        <f>IF($AV$2478&gt;0,PPMT('Assumptions (Battery)'!$V$9,Model!AB$1,'Assumptions (Battery)'!$V$12,'Assumptions (Battery)'!$V$7*$AV$2480),0)</f>
        <v>-0.06164264739</v>
      </c>
      <c r="BB2580" s="160">
        <f>IF($AV$2478&gt;0,PPMT('Assumptions (Battery)'!$V$9,Model!AC$1,'Assumptions (Battery)'!$V$12,'Assumptions (Battery)'!$V$7*$AV$2480),0)</f>
        <v>-0.06657405918</v>
      </c>
      <c r="BC2580" s="160">
        <f>IF($AV$2478&gt;0,PPMT('Assumptions (Battery)'!$V$9,Model!AD$1,'Assumptions (Battery)'!$V$12,'Assumptions (Battery)'!$V$7*$AV$2480),0)</f>
        <v>-0.07189998391</v>
      </c>
      <c r="BD2580" s="160">
        <f>IF($AV$2478&gt;0,PPMT('Assumptions (Battery)'!$V$9,Model!AE$1,'Assumptions (Battery)'!$V$12,'Assumptions (Battery)'!$V$7*$AV$2480),0)</f>
        <v>-0.07765198263</v>
      </c>
      <c r="BE2580" s="160">
        <f>IF($AV$2478&gt;0,PPMT('Assumptions (Battery)'!$V$9,Model!AF$1,'Assumptions (Battery)'!$V$12,'Assumptions (Battery)'!$V$7*$AV$2480),0)</f>
        <v>-0.08386414124</v>
      </c>
      <c r="BF2580" s="160"/>
      <c r="BG2580" s="160"/>
      <c r="BH2580" s="160"/>
      <c r="BI2580" s="160"/>
      <c r="BJ2580" s="160"/>
      <c r="BK2580" s="160"/>
      <c r="BL2580" s="160"/>
      <c r="BM2580" s="160"/>
      <c r="BN2580" s="160"/>
      <c r="BO2580" s="160"/>
      <c r="BP2580" s="160"/>
    </row>
    <row r="2581" ht="15.75" hidden="1" customHeight="1" outlineLevel="1">
      <c r="A2581" s="353"/>
      <c r="B2581" s="38"/>
      <c r="C2581" s="174"/>
      <c r="D2581" s="174"/>
      <c r="E2581" s="174"/>
      <c r="F2581" s="174"/>
      <c r="G2581" s="174"/>
      <c r="H2581" s="174"/>
      <c r="I2581" s="174"/>
      <c r="J2581" s="174"/>
      <c r="K2581" s="174"/>
      <c r="L2581" s="174"/>
      <c r="M2581" s="174"/>
      <c r="N2581" s="174"/>
      <c r="O2581" s="174"/>
      <c r="P2581" s="174"/>
      <c r="Q2581" s="174"/>
      <c r="R2581" s="174"/>
      <c r="S2581" s="174"/>
      <c r="T2581" s="174"/>
      <c r="U2581" s="174"/>
      <c r="V2581" s="174"/>
      <c r="W2581" s="160"/>
      <c r="X2581" s="160"/>
      <c r="Y2581" s="160"/>
      <c r="Z2581" s="160"/>
      <c r="AA2581" s="160"/>
      <c r="AB2581" s="160"/>
      <c r="AC2581" s="160"/>
      <c r="AD2581" s="160"/>
      <c r="AE2581" s="160"/>
      <c r="AF2581" s="160"/>
      <c r="AG2581" s="160"/>
      <c r="AH2581" s="160"/>
      <c r="AI2581" s="160"/>
      <c r="AJ2581" s="160"/>
      <c r="AK2581" s="160"/>
      <c r="AL2581" s="160"/>
      <c r="AM2581" s="160"/>
      <c r="AN2581" s="160"/>
      <c r="AO2581" s="160"/>
      <c r="AP2581" s="160"/>
      <c r="AQ2581" s="160"/>
      <c r="AR2581" s="160"/>
      <c r="AS2581" s="160"/>
      <c r="AT2581" s="160"/>
      <c r="AU2581" s="160"/>
      <c r="AV2581" s="160"/>
      <c r="AW2581" s="160">
        <f>IF($AW$2478&gt;0,PPMT('Assumptions (Battery)'!$V$9,Model!W$1,'Assumptions (Battery)'!$V$12,'Assumptions (Battery)'!$V$7*$AW$2480),0)</f>
        <v>-0.0421371895</v>
      </c>
      <c r="AX2581" s="160">
        <f>IF($AW$2478&gt;0,PPMT('Assumptions (Battery)'!$V$9,Model!X$1,'Assumptions (Battery)'!$V$12,'Assumptions (Battery)'!$V$7*$AW$2480),0)</f>
        <v>-0.04550816466</v>
      </c>
      <c r="AY2581" s="160">
        <f>IF($AW$2478&gt;0,PPMT('Assumptions (Battery)'!$V$9,Model!Y$1,'Assumptions (Battery)'!$V$12,'Assumptions (Battery)'!$V$7*$AW$2480),0)</f>
        <v>-0.04914881784</v>
      </c>
      <c r="AZ2581" s="160">
        <f>IF($AW$2478&gt;0,PPMT('Assumptions (Battery)'!$V$9,Model!Z$1,'Assumptions (Battery)'!$V$12,'Assumptions (Battery)'!$V$7*$AW$2480),0)</f>
        <v>-0.05308072326</v>
      </c>
      <c r="BA2581" s="160">
        <f>IF($AW$2478&gt;0,PPMT('Assumptions (Battery)'!$V$9,Model!AA$1,'Assumptions (Battery)'!$V$12,'Assumptions (Battery)'!$V$7*$AW$2480),0)</f>
        <v>-0.05732718112</v>
      </c>
      <c r="BB2581" s="160">
        <f>IF($AW$2478&gt;0,PPMT('Assumptions (Battery)'!$V$9,Model!AB$1,'Assumptions (Battery)'!$V$12,'Assumptions (Battery)'!$V$7*$AW$2480),0)</f>
        <v>-0.06191335561</v>
      </c>
      <c r="BC2581" s="160">
        <f>IF($AW$2478&gt;0,PPMT('Assumptions (Battery)'!$V$9,Model!AC$1,'Assumptions (Battery)'!$V$12,'Assumptions (Battery)'!$V$7*$AW$2480),0)</f>
        <v>-0.06686642406</v>
      </c>
      <c r="BD2581" s="160">
        <f>IF($AW$2478&gt;0,PPMT('Assumptions (Battery)'!$V$9,Model!AD$1,'Assumptions (Battery)'!$V$12,'Assumptions (Battery)'!$V$7*$AW$2480),0)</f>
        <v>-0.07221573799</v>
      </c>
      <c r="BE2581" s="160">
        <f>IF($AW$2478&gt;0,PPMT('Assumptions (Battery)'!$V$9,Model!AE$1,'Assumptions (Battery)'!$V$12,'Assumptions (Battery)'!$V$7*$AW$2480),0)</f>
        <v>-0.07799299703</v>
      </c>
      <c r="BF2581" s="160">
        <f>IF($AW$2478&gt;0,PPMT('Assumptions (Battery)'!$V$9,Model!AF$1,'Assumptions (Battery)'!$V$12,'Assumptions (Battery)'!$V$7*$AW$2480),0)</f>
        <v>-0.08423243679</v>
      </c>
      <c r="BG2581" s="160"/>
      <c r="BH2581" s="160"/>
      <c r="BI2581" s="160"/>
      <c r="BJ2581" s="160"/>
      <c r="BK2581" s="160"/>
      <c r="BL2581" s="160"/>
      <c r="BM2581" s="160"/>
      <c r="BN2581" s="160"/>
      <c r="BO2581" s="160"/>
      <c r="BP2581" s="160"/>
    </row>
    <row r="2582" ht="15.75" hidden="1" customHeight="1" outlineLevel="1">
      <c r="A2582" s="353"/>
      <c r="B2582" s="38"/>
      <c r="C2582" s="174"/>
      <c r="D2582" s="174"/>
      <c r="E2582" s="174"/>
      <c r="F2582" s="174"/>
      <c r="G2582" s="174"/>
      <c r="H2582" s="174"/>
      <c r="I2582" s="174"/>
      <c r="J2582" s="174"/>
      <c r="K2582" s="174"/>
      <c r="L2582" s="174"/>
      <c r="M2582" s="174"/>
      <c r="N2582" s="174"/>
      <c r="O2582" s="174"/>
      <c r="P2582" s="174"/>
      <c r="Q2582" s="174"/>
      <c r="R2582" s="174"/>
      <c r="S2582" s="174"/>
      <c r="T2582" s="174"/>
      <c r="U2582" s="174"/>
      <c r="V2582" s="174"/>
      <c r="W2582" s="160"/>
      <c r="X2582" s="160"/>
      <c r="Y2582" s="160"/>
      <c r="Z2582" s="160"/>
      <c r="AA2582" s="160"/>
      <c r="AB2582" s="160"/>
      <c r="AC2582" s="160"/>
      <c r="AD2582" s="160"/>
      <c r="AE2582" s="160"/>
      <c r="AF2582" s="160"/>
      <c r="AG2582" s="160"/>
      <c r="AH2582" s="160"/>
      <c r="AI2582" s="160"/>
      <c r="AJ2582" s="160"/>
      <c r="AK2582" s="160"/>
      <c r="AL2582" s="160"/>
      <c r="AM2582" s="160"/>
      <c r="AN2582" s="160"/>
      <c r="AO2582" s="160"/>
      <c r="AP2582" s="160"/>
      <c r="AQ2582" s="160"/>
      <c r="AR2582" s="160"/>
      <c r="AS2582" s="160"/>
      <c r="AT2582" s="160"/>
      <c r="AU2582" s="160"/>
      <c r="AV2582" s="160"/>
      <c r="AW2582" s="160"/>
      <c r="AX2582" s="160">
        <f>IF($AX$2478&gt;0,PPMT('Assumptions (Battery)'!$V$9,Model!W$1,'Assumptions (Battery)'!$V$12,'Assumptions (Battery)'!$V$7*$AX$2480),0)</f>
        <v>-0.04231265032</v>
      </c>
      <c r="AY2582" s="160">
        <f>IF($AX$2478&gt;0,PPMT('Assumptions (Battery)'!$V$9,Model!X$1,'Assumptions (Battery)'!$V$12,'Assumptions (Battery)'!$V$7*$AX$2480),0)</f>
        <v>-0.04569766235</v>
      </c>
      <c r="AZ2582" s="160">
        <f>IF($AX$2478&gt;0,PPMT('Assumptions (Battery)'!$V$9,Model!Y$1,'Assumptions (Battery)'!$V$12,'Assumptions (Battery)'!$V$7*$AX$2480),0)</f>
        <v>-0.04935347534</v>
      </c>
      <c r="BA2582" s="160">
        <f>IF($AX$2478&gt;0,PPMT('Assumptions (Battery)'!$V$9,Model!Z$1,'Assumptions (Battery)'!$V$12,'Assumptions (Battery)'!$V$7*$AX$2480),0)</f>
        <v>-0.05330175336</v>
      </c>
      <c r="BB2582" s="160">
        <f>IF($AX$2478&gt;0,PPMT('Assumptions (Battery)'!$V$9,Model!AA$1,'Assumptions (Battery)'!$V$12,'Assumptions (Battery)'!$V$7*$AX$2480),0)</f>
        <v>-0.05756589363</v>
      </c>
      <c r="BC2582" s="160">
        <f>IF($AX$2478&gt;0,PPMT('Assumptions (Battery)'!$V$9,Model!AB$1,'Assumptions (Battery)'!$V$12,'Assumptions (Battery)'!$V$7*$AX$2480),0)</f>
        <v>-0.06217116512</v>
      </c>
      <c r="BD2582" s="160">
        <f>IF($AX$2478&gt;0,PPMT('Assumptions (Battery)'!$V$9,Model!AC$1,'Assumptions (Battery)'!$V$12,'Assumptions (Battery)'!$V$7*$AX$2480),0)</f>
        <v>-0.06714485833</v>
      </c>
      <c r="BE2582" s="160">
        <f>IF($AX$2478&gt;0,PPMT('Assumptions (Battery)'!$V$9,Model!AD$1,'Assumptions (Battery)'!$V$12,'Assumptions (Battery)'!$V$7*$AX$2480),0)</f>
        <v>-0.072516447</v>
      </c>
      <c r="BF2582" s="160">
        <f>IF($AX$2478&gt;0,PPMT('Assumptions (Battery)'!$V$9,Model!AE$1,'Assumptions (Battery)'!$V$12,'Assumptions (Battery)'!$V$7*$AX$2480),0)</f>
        <v>-0.07831776276</v>
      </c>
      <c r="BG2582" s="160">
        <f>IF($AX$2478&gt;0,PPMT('Assumptions (Battery)'!$V$9,Model!AF$1,'Assumptions (Battery)'!$V$12,'Assumptions (Battery)'!$V$7*$AX$2480),0)</f>
        <v>-0.08458318378</v>
      </c>
      <c r="BH2582" s="160"/>
      <c r="BI2582" s="160"/>
      <c r="BJ2582" s="160"/>
      <c r="BK2582" s="160"/>
      <c r="BL2582" s="160"/>
      <c r="BM2582" s="160"/>
      <c r="BN2582" s="160"/>
      <c r="BO2582" s="160"/>
      <c r="BP2582" s="160"/>
    </row>
    <row r="2583" ht="15.75" hidden="1" customHeight="1" outlineLevel="1">
      <c r="A2583" s="353"/>
      <c r="B2583" s="38"/>
      <c r="C2583" s="174"/>
      <c r="D2583" s="174"/>
      <c r="E2583" s="174"/>
      <c r="F2583" s="174"/>
      <c r="G2583" s="174"/>
      <c r="H2583" s="174"/>
      <c r="I2583" s="174"/>
      <c r="J2583" s="174"/>
      <c r="K2583" s="174"/>
      <c r="L2583" s="174"/>
      <c r="M2583" s="174"/>
      <c r="N2583" s="174"/>
      <c r="O2583" s="174"/>
      <c r="P2583" s="174"/>
      <c r="Q2583" s="174"/>
      <c r="R2583" s="174"/>
      <c r="S2583" s="174"/>
      <c r="T2583" s="174"/>
      <c r="U2583" s="174"/>
      <c r="V2583" s="174"/>
      <c r="W2583" s="160"/>
      <c r="X2583" s="160"/>
      <c r="Y2583" s="160"/>
      <c r="Z2583" s="160"/>
      <c r="AA2583" s="160"/>
      <c r="AB2583" s="160"/>
      <c r="AC2583" s="160"/>
      <c r="AD2583" s="160"/>
      <c r="AE2583" s="160"/>
      <c r="AF2583" s="160"/>
      <c r="AG2583" s="160"/>
      <c r="AH2583" s="160"/>
      <c r="AI2583" s="160"/>
      <c r="AJ2583" s="160"/>
      <c r="AK2583" s="160"/>
      <c r="AL2583" s="160"/>
      <c r="AM2583" s="160"/>
      <c r="AN2583" s="160"/>
      <c r="AO2583" s="160"/>
      <c r="AP2583" s="160"/>
      <c r="AQ2583" s="160"/>
      <c r="AR2583" s="160"/>
      <c r="AS2583" s="160"/>
      <c r="AT2583" s="160"/>
      <c r="AU2583" s="160"/>
      <c r="AV2583" s="160"/>
      <c r="AW2583" s="160"/>
      <c r="AX2583" s="160"/>
      <c r="AY2583" s="160">
        <f>IF($AY$2478&gt;0,PPMT('Assumptions (Battery)'!$V$9,Model!W$1,'Assumptions (Battery)'!$V$12,'Assumptions (Battery)'!$V$7*$AY$2480),0)</f>
        <v>-0.04248170516</v>
      </c>
      <c r="AZ2583" s="160">
        <f>IF($AY$2478&gt;0,PPMT('Assumptions (Battery)'!$V$9,Model!X$1,'Assumptions (Battery)'!$V$12,'Assumptions (Battery)'!$V$7*$AY$2480),0)</f>
        <v>-0.04588024158</v>
      </c>
      <c r="BA2583" s="160">
        <f>IF($AY$2478&gt;0,PPMT('Assumptions (Battery)'!$V$9,Model!Y$1,'Assumptions (Battery)'!$V$12,'Assumptions (Battery)'!$V$7*$AY$2480),0)</f>
        <v>-0.0495506609</v>
      </c>
      <c r="BB2583" s="160">
        <f>IF($AY$2478&gt;0,PPMT('Assumptions (Battery)'!$V$9,Model!Z$1,'Assumptions (Battery)'!$V$12,'Assumptions (Battery)'!$V$7*$AY$2480),0)</f>
        <v>-0.05351471377</v>
      </c>
      <c r="BC2583" s="160">
        <f>IF($AY$2478&gt;0,PPMT('Assumptions (Battery)'!$V$9,Model!AA$1,'Assumptions (Battery)'!$V$12,'Assumptions (Battery)'!$V$7*$AY$2480),0)</f>
        <v>-0.05779589088</v>
      </c>
      <c r="BD2583" s="160">
        <f>IF($AY$2478&gt;0,PPMT('Assumptions (Battery)'!$V$9,Model!AB$1,'Assumptions (Battery)'!$V$12,'Assumptions (Battery)'!$V$7*$AY$2480),0)</f>
        <v>-0.06241956215</v>
      </c>
      <c r="BE2583" s="160">
        <f>IF($AY$2478&gt;0,PPMT('Assumptions (Battery)'!$V$9,Model!AC$1,'Assumptions (Battery)'!$V$12,'Assumptions (Battery)'!$V$7*$AY$2480),0)</f>
        <v>-0.06741312712</v>
      </c>
      <c r="BF2583" s="160">
        <f>IF($AY$2478&gt;0,PPMT('Assumptions (Battery)'!$V$9,Model!AD$1,'Assumptions (Battery)'!$V$12,'Assumptions (Battery)'!$V$7*$AY$2480),0)</f>
        <v>-0.07280617729</v>
      </c>
      <c r="BG2583" s="160">
        <f>IF($AY$2478&gt;0,PPMT('Assumptions (Battery)'!$V$9,Model!AE$1,'Assumptions (Battery)'!$V$12,'Assumptions (Battery)'!$V$7*$AY$2480),0)</f>
        <v>-0.07863067147</v>
      </c>
      <c r="BH2583" s="160">
        <f>IF($AY$2478&gt;0,PPMT('Assumptions (Battery)'!$V$9,Model!AF$1,'Assumptions (Battery)'!$V$12,'Assumptions (Battery)'!$V$7*$AY$2480),0)</f>
        <v>-0.08492112519</v>
      </c>
      <c r="BI2583" s="160"/>
      <c r="BJ2583" s="160"/>
      <c r="BK2583" s="160"/>
      <c r="BL2583" s="160"/>
      <c r="BM2583" s="160"/>
      <c r="BN2583" s="160"/>
      <c r="BO2583" s="160"/>
      <c r="BP2583" s="160"/>
    </row>
    <row r="2584" ht="15.75" hidden="1" customHeight="1" outlineLevel="1">
      <c r="A2584" s="353"/>
      <c r="B2584" s="38"/>
      <c r="C2584" s="174"/>
      <c r="D2584" s="174"/>
      <c r="E2584" s="174"/>
      <c r="F2584" s="174"/>
      <c r="G2584" s="174"/>
      <c r="H2584" s="174"/>
      <c r="I2584" s="174"/>
      <c r="J2584" s="174"/>
      <c r="K2584" s="174"/>
      <c r="L2584" s="174"/>
      <c r="M2584" s="174"/>
      <c r="N2584" s="174"/>
      <c r="O2584" s="174"/>
      <c r="P2584" s="174"/>
      <c r="Q2584" s="174"/>
      <c r="R2584" s="174"/>
      <c r="S2584" s="174"/>
      <c r="T2584" s="174"/>
      <c r="U2584" s="174"/>
      <c r="V2584" s="174"/>
      <c r="W2584" s="160"/>
      <c r="X2584" s="160"/>
      <c r="Y2584" s="160"/>
      <c r="Z2584" s="160"/>
      <c r="AA2584" s="160"/>
      <c r="AB2584" s="160"/>
      <c r="AC2584" s="160"/>
      <c r="AD2584" s="160"/>
      <c r="AE2584" s="160"/>
      <c r="AF2584" s="160"/>
      <c r="AG2584" s="160"/>
      <c r="AH2584" s="160"/>
      <c r="AI2584" s="160"/>
      <c r="AJ2584" s="160"/>
      <c r="AK2584" s="160"/>
      <c r="AL2584" s="160"/>
      <c r="AM2584" s="160"/>
      <c r="AN2584" s="160"/>
      <c r="AO2584" s="160"/>
      <c r="AP2584" s="160"/>
      <c r="AQ2584" s="160"/>
      <c r="AR2584" s="160"/>
      <c r="AS2584" s="160"/>
      <c r="AT2584" s="160"/>
      <c r="AU2584" s="160"/>
      <c r="AV2584" s="160"/>
      <c r="AW2584" s="160"/>
      <c r="AX2584" s="160"/>
      <c r="AY2584" s="160"/>
      <c r="AZ2584" s="160">
        <f>IF($AZ$2478&gt;0,PPMT('Assumptions (Battery)'!$V$9,Model!W$1,'Assumptions (Battery)'!$V$12,'Assumptions (Battery)'!$V$7*$AZ$2480),0)</f>
        <v>-0.04263557267</v>
      </c>
      <c r="BA2584" s="160">
        <f>IF($AZ$2478&gt;0,PPMT('Assumptions (Battery)'!$V$9,Model!X$1,'Assumptions (Battery)'!$V$12,'Assumptions (Battery)'!$V$7*$AZ$2480),0)</f>
        <v>-0.04604641848</v>
      </c>
      <c r="BB2584" s="160">
        <f>IF($AZ$2478&gt;0,PPMT('Assumptions (Battery)'!$V$9,Model!Y$1,'Assumptions (Battery)'!$V$12,'Assumptions (Battery)'!$V$7*$AZ$2480),0)</f>
        <v>-0.04973013196</v>
      </c>
      <c r="BC2584" s="160">
        <f>IF($AZ$2478&gt;0,PPMT('Assumptions (Battery)'!$V$9,Model!Z$1,'Assumptions (Battery)'!$V$12,'Assumptions (Battery)'!$V$7*$AZ$2480),0)</f>
        <v>-0.05370854251</v>
      </c>
      <c r="BD2584" s="160">
        <f>IF($AZ$2478&gt;0,PPMT('Assumptions (Battery)'!$V$9,Model!AA$1,'Assumptions (Battery)'!$V$12,'Assumptions (Battery)'!$V$7*$AZ$2480),0)</f>
        <v>-0.05800522591</v>
      </c>
      <c r="BE2584" s="160">
        <f>IF($AZ$2478&gt;0,PPMT('Assumptions (Battery)'!$V$9,Model!AB$1,'Assumptions (Battery)'!$V$12,'Assumptions (Battery)'!$V$7*$AZ$2480),0)</f>
        <v>-0.06264564399</v>
      </c>
      <c r="BF2584" s="160">
        <f>IF($AZ$2478&gt;0,PPMT('Assumptions (Battery)'!$V$9,Model!AC$1,'Assumptions (Battery)'!$V$12,'Assumptions (Battery)'!$V$7*$AZ$2480),0)</f>
        <v>-0.06765729551</v>
      </c>
      <c r="BG2584" s="160">
        <f>IF($AZ$2478&gt;0,PPMT('Assumptions (Battery)'!$V$9,Model!AD$1,'Assumptions (Battery)'!$V$12,'Assumptions (Battery)'!$V$7*$AZ$2480),0)</f>
        <v>-0.07306987915</v>
      </c>
      <c r="BH2584" s="160">
        <f>IF($AZ$2478&gt;0,PPMT('Assumptions (Battery)'!$V$9,Model!AE$1,'Assumptions (Battery)'!$V$12,'Assumptions (Battery)'!$V$7*$AZ$2480),0)</f>
        <v>-0.07891546948</v>
      </c>
      <c r="BI2584" s="160">
        <f>IF($AZ$2478&gt;0,PPMT('Assumptions (Battery)'!$V$9,Model!AF$1,'Assumptions (Battery)'!$V$12,'Assumptions (Battery)'!$V$7*$AZ$2480),0)</f>
        <v>-0.08522870704</v>
      </c>
      <c r="BJ2584" s="160"/>
      <c r="BK2584" s="160"/>
      <c r="BL2584" s="160"/>
      <c r="BM2584" s="160"/>
      <c r="BN2584" s="160"/>
      <c r="BO2584" s="160"/>
      <c r="BP2584" s="160"/>
    </row>
    <row r="2585" ht="15.75" hidden="1" customHeight="1" outlineLevel="1">
      <c r="A2585" s="353"/>
      <c r="B2585" s="38"/>
      <c r="C2585" s="174"/>
      <c r="D2585" s="174"/>
      <c r="E2585" s="174"/>
      <c r="F2585" s="174"/>
      <c r="G2585" s="174"/>
      <c r="H2585" s="174"/>
      <c r="I2585" s="174"/>
      <c r="J2585" s="174"/>
      <c r="K2585" s="174"/>
      <c r="L2585" s="174"/>
      <c r="M2585" s="174"/>
      <c r="N2585" s="174"/>
      <c r="O2585" s="174"/>
      <c r="P2585" s="174"/>
      <c r="Q2585" s="174"/>
      <c r="R2585" s="174"/>
      <c r="S2585" s="174"/>
      <c r="T2585" s="174"/>
      <c r="U2585" s="174"/>
      <c r="V2585" s="174"/>
      <c r="W2585" s="160"/>
      <c r="X2585" s="160"/>
      <c r="Y2585" s="160"/>
      <c r="Z2585" s="160"/>
      <c r="AA2585" s="160"/>
      <c r="AB2585" s="160"/>
      <c r="AC2585" s="160"/>
      <c r="AD2585" s="160"/>
      <c r="AE2585" s="160"/>
      <c r="AF2585" s="160"/>
      <c r="AG2585" s="160"/>
      <c r="AH2585" s="160"/>
      <c r="AI2585" s="160"/>
      <c r="AJ2585" s="160"/>
      <c r="AK2585" s="160"/>
      <c r="AL2585" s="160"/>
      <c r="AM2585" s="160"/>
      <c r="AN2585" s="160"/>
      <c r="AO2585" s="160"/>
      <c r="AP2585" s="160"/>
      <c r="AQ2585" s="160"/>
      <c r="AR2585" s="160"/>
      <c r="AS2585" s="160"/>
      <c r="AT2585" s="160"/>
      <c r="AU2585" s="160"/>
      <c r="AV2585" s="160"/>
      <c r="AW2585" s="160"/>
      <c r="AX2585" s="160"/>
      <c r="AY2585" s="160"/>
      <c r="AZ2585" s="160"/>
      <c r="BA2585" s="160">
        <f>IF($BA$2478&gt;0,PPMT('Assumptions (Battery)'!$V$9,Model!W$1,'Assumptions (Battery)'!$V$12,'Assumptions (Battery)'!$V$7*$BA$2480),0)</f>
        <v>0</v>
      </c>
      <c r="BB2585" s="160">
        <f>IF($BA$2478&gt;0,PPMT('Assumptions (Battery)'!$V$9,Model!X$1,'Assumptions (Battery)'!$V$12,'Assumptions (Battery)'!$V$7*$BA$2480),0)</f>
        <v>0</v>
      </c>
      <c r="BC2585" s="160">
        <f>IF($BA$2478&gt;0,PPMT('Assumptions (Battery)'!$V$9,Model!Y$1,'Assumptions (Battery)'!$V$12,'Assumptions (Battery)'!$V$7*$BA$2480),0)</f>
        <v>0</v>
      </c>
      <c r="BD2585" s="160">
        <f>IF($BA$2478&gt;0,PPMT('Assumptions (Battery)'!$V$9,Model!Z$1,'Assumptions (Battery)'!$V$12,'Assumptions (Battery)'!$V$7*$BA$2480),0)</f>
        <v>0</v>
      </c>
      <c r="BE2585" s="160">
        <f>IF($BA$2478&gt;0,PPMT('Assumptions (Battery)'!$V$9,Model!AA$1,'Assumptions (Battery)'!$V$12,'Assumptions (Battery)'!$V$7*$BA$2480),0)</f>
        <v>0</v>
      </c>
      <c r="BF2585" s="160">
        <f>IF($BA$2478&gt;0,PPMT('Assumptions (Battery)'!$V$9,Model!AB$1,'Assumptions (Battery)'!$V$12,'Assumptions (Battery)'!$V$7*$BA$2480),0)</f>
        <v>0</v>
      </c>
      <c r="BG2585" s="160">
        <f>IF($BA$2478&gt;0,PPMT('Assumptions (Battery)'!$V$9,Model!AC$1,'Assumptions (Battery)'!$V$12,'Assumptions (Battery)'!$V$7*$BA$2480),0)</f>
        <v>0</v>
      </c>
      <c r="BH2585" s="160">
        <f>IF($BA$2478&gt;0,PPMT('Assumptions (Battery)'!$V$9,Model!AD$1,'Assumptions (Battery)'!$V$12,'Assumptions (Battery)'!$V$7*$BA$2480),0)</f>
        <v>0</v>
      </c>
      <c r="BI2585" s="160">
        <f>IF($BA$2478&gt;0,PPMT('Assumptions (Battery)'!$V$9,Model!AE$1,'Assumptions (Battery)'!$V$12,'Assumptions (Battery)'!$V$7*$BA$2480),0)</f>
        <v>0</v>
      </c>
      <c r="BJ2585" s="160">
        <f>IF($BA$2478&gt;0,PPMT('Assumptions (Battery)'!$V$9,Model!AF$1,'Assumptions (Battery)'!$V$12,'Assumptions (Battery)'!$V$7*$BA$2480),0)</f>
        <v>0</v>
      </c>
      <c r="BK2585" s="160"/>
      <c r="BL2585" s="160"/>
      <c r="BM2585" s="160"/>
      <c r="BN2585" s="160"/>
      <c r="BO2585" s="160"/>
      <c r="BP2585" s="160"/>
    </row>
    <row r="2586" ht="15.75" customHeight="1" collapsed="1">
      <c r="A2586" s="345" t="s">
        <v>360</v>
      </c>
      <c r="B2586" s="150" t="s">
        <v>351</v>
      </c>
      <c r="C2586" s="177">
        <f t="array" ref="C2586">SUM(IF(ISERROR(C2587:C2637),"",C2587:C2637))</f>
        <v>0</v>
      </c>
      <c r="D2586" s="177">
        <f t="array" ref="D2586">SUM(IF(ISERROR(D2587:D2637),"",D2587:D2637))</f>
        <v>0</v>
      </c>
      <c r="E2586" s="177">
        <f t="array" ref="E2586">SUM(IF(ISERROR(E2587:E2637),"",E2587:E2637))</f>
        <v>0</v>
      </c>
      <c r="F2586" s="177">
        <f t="array" ref="F2586">SUM(IF(ISERROR(F2587:F2637),"",F2587:F2637))</f>
        <v>0</v>
      </c>
      <c r="G2586" s="177">
        <f t="array" ref="G2586">SUM(IF(ISERROR(G2587:G2637),"",G2587:G2637))</f>
        <v>0</v>
      </c>
      <c r="H2586" s="177">
        <f t="array" ref="H2586">SUM(IF(ISERROR(H2587:H2637),"",H2587:H2637))</f>
        <v>0</v>
      </c>
      <c r="I2586" s="177">
        <f t="array" ref="I2586">SUM(IF(ISERROR(I2587:I2637),"",I2587:I2637))</f>
        <v>0</v>
      </c>
      <c r="J2586" s="177">
        <f t="array" ref="J2586">SUM(IF(ISERROR(J2587:J2637),"",J2587:J2637))</f>
        <v>0</v>
      </c>
      <c r="K2586" s="177">
        <f t="array" ref="K2586">SUM(IF(ISERROR(K2587:K2637),"",K2587:K2637))</f>
        <v>0</v>
      </c>
      <c r="L2586" s="177">
        <f t="array" ref="L2586">SUM(IF(ISERROR(L2587:L2637),"",L2587:L2637))</f>
        <v>0</v>
      </c>
      <c r="M2586" s="177">
        <f t="array" ref="M2586">SUM(IF(ISERROR(M2587:M2637),"",M2587:M2637))</f>
        <v>0</v>
      </c>
      <c r="N2586" s="177">
        <f t="array" ref="N2586">SUM(IF(ISERROR(N2587:N2637),"",N2587:N2637))</f>
        <v>0</v>
      </c>
      <c r="O2586" s="177">
        <f t="array" ref="O2586">SUM(IF(ISERROR(O2587:O2637),"",O2587:O2637))</f>
        <v>0</v>
      </c>
      <c r="P2586" s="177">
        <f t="array" ref="P2586">SUM(IF(ISERROR(P2587:P2637),"",P2587:P2637))</f>
        <v>0</v>
      </c>
      <c r="Q2586" s="177">
        <f t="array" ref="Q2586">SUM(IF(ISERROR(Q2587:Q2637),"",Q2587:Q2637))</f>
        <v>0</v>
      </c>
      <c r="R2586" s="177">
        <f t="array" ref="R2586">SUM(IF(ISERROR(R2587:R2637),"",R2587:R2637))</f>
        <v>0</v>
      </c>
      <c r="S2586" s="177">
        <f t="array" ref="S2586">SUM(IF(ISERROR(S2587:S2637),"",S2587:S2637))</f>
        <v>0</v>
      </c>
      <c r="T2586" s="177">
        <f t="array" ref="T2586">SUM(IF(ISERROR(T2587:T2637),"",T2587:T2637))</f>
        <v>-0.0001099575046</v>
      </c>
      <c r="U2586" s="177">
        <f t="array" ref="U2586">SUM(IF(ISERROR(U2587:U2637),"",U2587:U2637))</f>
        <v>-0.0001023671943</v>
      </c>
      <c r="V2586" s="177">
        <f t="array" ref="V2586">SUM(IF(ISERROR(V2587:V2637),"",V2587:V2637))</f>
        <v>-0.00009416965915</v>
      </c>
      <c r="W2586" s="177">
        <f t="array" ref="W2586">SUM(IF(ISERROR(W2587:W2637),"",W2587:W2637))</f>
        <v>-0.00008531632119</v>
      </c>
      <c r="X2586" s="160">
        <f t="array" ref="X2586">SUM(IF(ISERROR(X2587:X2637),"",X2587:X2637))</f>
        <v>-0.03154733368</v>
      </c>
      <c r="Y2586" s="160">
        <f t="array" ref="Y2586">SUM(IF(ISERROR(Y2587:Y2637),"",Y2587:Y2637))</f>
        <v>-0.05938505897</v>
      </c>
      <c r="Z2586" s="160">
        <f t="array" ref="Z2586">SUM(IF(ISERROR(Z2587:Z2637),"",Z2587:Z2637))</f>
        <v>-0.08334614867</v>
      </c>
      <c r="AA2586" s="160">
        <f t="array" ref="AA2586">SUM(IF(ISERROR(AA2587:AA2637),"",AA2587:AA2637))</f>
        <v>-0.1034005356</v>
      </c>
      <c r="AB2586" s="160">
        <f t="array" ref="AB2586">SUM(IF(ISERROR(AB2587:AB2637),"",AB2587:AB2637))</f>
        <v>-0.1192776059</v>
      </c>
      <c r="AC2586" s="160">
        <f t="array" ref="AC2586">SUM(IF(ISERROR(AC2587:AC2637),"",AC2587:AC2637))</f>
        <v>-0.132203098</v>
      </c>
      <c r="AD2586" s="160">
        <f t="array" ref="AD2586">SUM(IF(ISERROR(AD2587:AD2637),"",AD2587:AD2637))</f>
        <v>-0.1420962672</v>
      </c>
      <c r="AE2586" s="160">
        <f t="array" ref="AE2586">SUM(IF(ISERROR(AE2587:AE2637),"",AE2587:AE2637))</f>
        <v>-0.1486457753</v>
      </c>
      <c r="AF2586" s="160">
        <f t="array" ref="AF2586">SUM(IF(ISERROR(AF2587:AF2637),"",AF2587:AF2637))</f>
        <v>-0.1516288381</v>
      </c>
      <c r="AG2586" s="160">
        <f t="array" ref="AG2586">SUM(IF(ISERROR(AG2587:AG2637),"",AG2587:AG2637))</f>
        <v>-0.1509322708</v>
      </c>
      <c r="AH2586" s="160">
        <f t="array" ref="AH2586">SUM(IF(ISERROR(AH2587:AH2637),"",AH2587:AH2637))</f>
        <v>-0.1469981254</v>
      </c>
      <c r="AI2586" s="160">
        <f t="array" ref="AI2586">SUM(IF(ISERROR(AI2587:AI2637),"",AI2587:AI2637))</f>
        <v>-0.1442247148</v>
      </c>
      <c r="AJ2586" s="160">
        <f t="array" ref="AJ2586">SUM(IF(ISERROR(AJ2587:AJ2637),"",AJ2587:AJ2637))</f>
        <v>-0.1423476625</v>
      </c>
      <c r="AK2586" s="160">
        <f t="array" ref="AK2586">SUM(IF(ISERROR(AK2587:AK2637),"",AK2587:AK2637))</f>
        <v>-0.1413089857</v>
      </c>
      <c r="AL2586" s="160">
        <f t="array" ref="AL2586">SUM(IF(ISERROR(AL2587:AL2637),"",AL2587:AL2637))</f>
        <v>-0.1408936957</v>
      </c>
      <c r="AM2586" s="160">
        <f t="array" ref="AM2586">SUM(IF(ISERROR(AM2587:AM2637),"",AM2587:AM2637))</f>
        <v>-0.1408737598</v>
      </c>
      <c r="AN2586" s="160">
        <f t="array" ref="AN2586">SUM(IF(ISERROR(AN2587:AN2637),"",AN2587:AN2637))</f>
        <v>-0.1646052271</v>
      </c>
      <c r="AO2586" s="160">
        <f t="array" ref="AO2586">SUM(IF(ISERROR(AO2587:AO2637),"",AO2587:AO2637))</f>
        <v>-0.1871299624</v>
      </c>
      <c r="AP2586" s="160">
        <f t="array" ref="AP2586">SUM(IF(ISERROR(AP2587:AP2637),"",AP2587:AP2637))</f>
        <v>-0.208240134</v>
      </c>
      <c r="AQ2586" s="160">
        <f t="array" ref="AQ2586">SUM(IF(ISERROR(AQ2587:AQ2637),"",AQ2587:AQ2637))</f>
        <v>-0.2276635141</v>
      </c>
      <c r="AR2586" s="160">
        <f t="array" ref="AR2586">SUM(IF(ISERROR(AR2587:AR2637),"",AR2587:AR2637))</f>
        <v>-0.245143366</v>
      </c>
      <c r="AS2586" s="160">
        <f t="array" ref="AS2586">SUM(IF(ISERROR(AS2587:AS2637),"",AS2587:AS2637))</f>
        <v>-0.2605018617</v>
      </c>
      <c r="AT2586" s="160">
        <f t="array" ref="AT2586">SUM(IF(ISERROR(AT2587:AT2637),"",AT2587:AT2637))</f>
        <v>-0.2735465058</v>
      </c>
      <c r="AU2586" s="160">
        <f t="array" ref="AU2586">SUM(IF(ISERROR(AU2587:AU2637),"",AU2587:AU2637))</f>
        <v>-0.2837457787</v>
      </c>
      <c r="AV2586" s="160">
        <f t="array" ref="AV2586">SUM(IF(ISERROR(AV2587:AV2637),"",AV2587:AV2637))</f>
        <v>-0.29119791</v>
      </c>
      <c r="AW2586" s="160">
        <f t="array" ref="AW2586">SUM(IF(ISERROR(AW2587:AW2637),"",AW2587:AW2637))</f>
        <v>-0.2956608697</v>
      </c>
      <c r="AX2586" s="160">
        <f t="array" ref="AX2586">SUM(IF(ISERROR(AX2587:AX2637),"",AX2587:AX2637))</f>
        <v>-0.2968756301</v>
      </c>
      <c r="AY2586" s="160">
        <f t="array" ref="AY2586">SUM(IF(ISERROR(AY2587:AY2637),"",AY2587:AY2637))</f>
        <v>-0.2980570096</v>
      </c>
      <c r="AZ2586" s="160">
        <f t="array" ref="AZ2586">SUM(IF(ISERROR(AZ2587:AZ2637),"",AZ2587:AZ2637))</f>
        <v>-0.2991978895</v>
      </c>
      <c r="BA2586" s="160">
        <f t="array" ref="BA2586">SUM(IF(ISERROR(BA2587:BA2637),"",BA2587:BA2637))</f>
        <v>-0.2507232044</v>
      </c>
      <c r="BB2586" s="177">
        <f t="array" ref="BB2586">SUM(IF(ISERROR(BB2587:BB2637),"",BB2587:BB2637))</f>
        <v>-0.2054792479</v>
      </c>
      <c r="BC2586" s="177">
        <f t="array" ref="BC2586">SUM(IF(ISERROR(BC2587:BC2637),"",BC2587:BC2637))</f>
        <v>-0.1637637104</v>
      </c>
      <c r="BD2586" s="177">
        <f t="array" ref="BD2586">SUM(IF(ISERROR(BD2587:BD2637),"",BD2587:BD2637))</f>
        <v>-0.1258969223</v>
      </c>
      <c r="BE2586" s="177">
        <f t="array" ref="BE2586">SUM(IF(ISERROR(BE2587:BE2637),"",BE2587:BE2637))</f>
        <v>-0.09222360518</v>
      </c>
      <c r="BF2586" s="177">
        <f t="array" ref="BF2586">SUM(IF(ISERROR(BF2587:BF2637),"",BF2587:BF2637))</f>
        <v>-0.06306901668</v>
      </c>
      <c r="BG2586" s="177">
        <f t="array" ref="BG2586">SUM(IF(ISERROR(BG2587:BG2637),"",BG2587:BG2637))</f>
        <v>-0.03882792289</v>
      </c>
      <c r="BH2586" s="177">
        <f t="array" ref="BH2586">SUM(IF(ISERROR(BH2587:BH2637),"",BH2587:BH2637))</f>
        <v>-0.01992522414</v>
      </c>
      <c r="BI2586" s="177">
        <f t="array" ref="BI2586">SUM(IF(ISERROR(BI2587:BI2637),"",BI2587:BI2637))</f>
        <v>-0.006818296563</v>
      </c>
      <c r="BJ2586" s="177">
        <f t="array" ref="BJ2586">SUM(IF(ISERROR(BJ2587:BJ2637),"",BJ2587:BJ2637))</f>
        <v>0</v>
      </c>
      <c r="BK2586" s="177">
        <f t="array" ref="BK2586">SUM(IF(ISERROR(BK2587:BK2637),"",BK2587:BK2637))</f>
        <v>0</v>
      </c>
      <c r="BL2586" s="177"/>
      <c r="BM2586" s="177"/>
      <c r="BN2586" s="177"/>
      <c r="BO2586" s="177"/>
    </row>
    <row r="2587" ht="15.75" hidden="1" customHeight="1" outlineLevel="1">
      <c r="A2587" s="353"/>
      <c r="B2587" s="38"/>
      <c r="C2587" s="177">
        <f>IF($C$2478&gt;0,IPMT('Assumptions (Battery)'!$V$9,Model!W$1,'Assumptions (Battery)'!$V$12,'Assumptions (Battery)'!$V$7*$C$2480),0)</f>
        <v>0</v>
      </c>
      <c r="D2587" s="177">
        <f>IF($C$2478&gt;0,IPMT('Assumptions (Battery)'!$V$9,Model!X$1,'Assumptions (Battery)'!$V$12,'Assumptions (Battery)'!$V$7*$C$2480),0)</f>
        <v>0</v>
      </c>
      <c r="E2587" s="177">
        <f>IF($C$2478&gt;0,IPMT('Assumptions (Battery)'!$V$9,Model!Y$1,'Assumptions (Battery)'!$V$12,'Assumptions (Battery)'!$V$7*$C$2480),0)</f>
        <v>0</v>
      </c>
      <c r="F2587" s="177">
        <f>IF($C$2478&gt;0,IPMT('Assumptions (Battery)'!$V$9,Model!Z$1,'Assumptions (Battery)'!$V$12,'Assumptions (Battery)'!$V$7*$C$2480),0)</f>
        <v>0</v>
      </c>
      <c r="G2587" s="177">
        <f>IF($C$2478&gt;0,IPMT('Assumptions (Battery)'!$V$9,Model!AA$1,'Assumptions (Battery)'!$V$12,'Assumptions (Battery)'!$V$7*$C$2480),0)</f>
        <v>0</v>
      </c>
      <c r="H2587" s="177">
        <f>IF($C$2478&gt;0,IPMT('Assumptions (Battery)'!$V$9,Model!AB$1,'Assumptions (Battery)'!$V$12,'Assumptions (Battery)'!$V$7*$C$2480),0)</f>
        <v>0</v>
      </c>
      <c r="I2587" s="177">
        <f>IF($C$2478&gt;0,IPMT('Assumptions (Battery)'!$V$9,Model!AC$1,'Assumptions (Battery)'!$V$12,'Assumptions (Battery)'!$V$7*$C$2480),0)</f>
        <v>0</v>
      </c>
      <c r="J2587" s="177">
        <f>IF($C$2478&gt;0,IPMT('Assumptions (Battery)'!$V$9,Model!AD$1,'Assumptions (Battery)'!$V$12,'Assumptions (Battery)'!$V$7*$C$2480),0)</f>
        <v>0</v>
      </c>
      <c r="K2587" s="177">
        <f>IF($C$2478&gt;0,IPMT('Assumptions (Battery)'!$V$9,Model!AE$1,'Assumptions (Battery)'!$V$12,'Assumptions (Battery)'!$V$7*$C$2480),0)</f>
        <v>0</v>
      </c>
      <c r="L2587" s="177">
        <f>IF($C$2478&gt;0,IPMT('Assumptions (Battery)'!$V$9,Model!AF$1,'Assumptions (Battery)'!$V$12,'Assumptions (Battery)'!$V$7*$C$2480),0)</f>
        <v>0</v>
      </c>
      <c r="M2587" s="177"/>
      <c r="N2587" s="177"/>
      <c r="O2587" s="177"/>
      <c r="P2587" s="177"/>
      <c r="Q2587" s="177"/>
      <c r="R2587" s="177"/>
      <c r="S2587" s="177"/>
      <c r="T2587" s="177"/>
      <c r="U2587" s="177"/>
      <c r="V2587" s="177"/>
      <c r="W2587" s="177"/>
      <c r="X2587" s="160"/>
      <c r="Y2587" s="160"/>
      <c r="Z2587" s="160"/>
      <c r="AA2587" s="160"/>
      <c r="AB2587" s="160"/>
      <c r="AC2587" s="160"/>
      <c r="AD2587" s="160"/>
      <c r="AE2587" s="160"/>
      <c r="AF2587" s="160"/>
      <c r="AG2587" s="160"/>
      <c r="AH2587" s="356"/>
      <c r="AI2587" s="356"/>
      <c r="AJ2587" s="356"/>
      <c r="AK2587" s="356"/>
      <c r="AL2587" s="356"/>
      <c r="AM2587" s="356"/>
      <c r="AN2587" s="356"/>
      <c r="AO2587" s="356"/>
      <c r="AP2587" s="356"/>
      <c r="AQ2587" s="356"/>
      <c r="AR2587" s="356"/>
      <c r="AS2587" s="356"/>
      <c r="AT2587" s="356"/>
      <c r="AU2587" s="356"/>
      <c r="AV2587" s="356"/>
      <c r="AW2587" s="356"/>
      <c r="AX2587" s="356"/>
      <c r="AY2587" s="356"/>
      <c r="AZ2587" s="356"/>
      <c r="BA2587" s="356"/>
    </row>
    <row r="2588" ht="15.75" hidden="1" customHeight="1" outlineLevel="1">
      <c r="A2588" s="353"/>
      <c r="B2588" s="38"/>
      <c r="C2588" s="160"/>
      <c r="D2588" s="177">
        <f>IF($D$2478&gt;0,IPMT('Assumptions (Battery)'!$V$9,Model!W$1,'Assumptions (Battery)'!$V$12,'Assumptions (Battery)'!$V$7*$D$2480),0)</f>
        <v>0</v>
      </c>
      <c r="E2588" s="177">
        <f>IF($D$2478&gt;0,IPMT('Assumptions (Battery)'!$V$9,Model!X$1,'Assumptions (Battery)'!$V$12,'Assumptions (Battery)'!$V$7*$D$2480),0)</f>
        <v>0</v>
      </c>
      <c r="F2588" s="177">
        <f>IF($D$2478&gt;0,IPMT('Assumptions (Battery)'!$V$9,Model!Y$1,'Assumptions (Battery)'!$V$12,'Assumptions (Battery)'!$V$7*$D$2480),0)</f>
        <v>0</v>
      </c>
      <c r="G2588" s="177">
        <f>IF($D$2478&gt;0,IPMT('Assumptions (Battery)'!$V$9,Model!Z$1,'Assumptions (Battery)'!$V$12,'Assumptions (Battery)'!$V$7*$D$2480),0)</f>
        <v>0</v>
      </c>
      <c r="H2588" s="177">
        <f>IF($D$2478&gt;0,IPMT('Assumptions (Battery)'!$V$9,Model!AA$1,'Assumptions (Battery)'!$V$12,'Assumptions (Battery)'!$V$7*$D$2480),0)</f>
        <v>0</v>
      </c>
      <c r="I2588" s="177">
        <f>IF($D$2478&gt;0,IPMT('Assumptions (Battery)'!$V$9,Model!AB$1,'Assumptions (Battery)'!$V$12,'Assumptions (Battery)'!$V$7*$D$2480),0)</f>
        <v>0</v>
      </c>
      <c r="J2588" s="177">
        <f>IF($D$2478&gt;0,IPMT('Assumptions (Battery)'!$V$9,Model!AC$1,'Assumptions (Battery)'!$V$12,'Assumptions (Battery)'!$V$7*$D$2480),0)</f>
        <v>0</v>
      </c>
      <c r="K2588" s="177">
        <f>IF($D$2478&gt;0,IPMT('Assumptions (Battery)'!$V$9,Model!AD$1,'Assumptions (Battery)'!$V$12,'Assumptions (Battery)'!$V$7*$D$2480),0)</f>
        <v>0</v>
      </c>
      <c r="L2588" s="177">
        <f>IF($D$2478&gt;0,IPMT('Assumptions (Battery)'!$V$9,Model!AE$1,'Assumptions (Battery)'!$V$12,'Assumptions (Battery)'!$V$7*$D$2480),0)</f>
        <v>0</v>
      </c>
      <c r="M2588" s="177">
        <f>IF($D$2478&gt;0,IPMT('Assumptions (Battery)'!$V$9,Model!AF$1,'Assumptions (Battery)'!$V$12,'Assumptions (Battery)'!$V$7*$D$2480),0)</f>
        <v>0</v>
      </c>
      <c r="N2588" s="177"/>
      <c r="O2588" s="177"/>
      <c r="P2588" s="177"/>
      <c r="Q2588" s="177"/>
      <c r="R2588" s="177"/>
      <c r="S2588" s="177"/>
      <c r="T2588" s="177"/>
      <c r="U2588" s="177"/>
      <c r="V2588" s="177"/>
      <c r="W2588" s="177"/>
      <c r="X2588" s="160"/>
      <c r="Y2588" s="160"/>
      <c r="Z2588" s="160"/>
      <c r="AA2588" s="160"/>
      <c r="AB2588" s="160"/>
      <c r="AC2588" s="160"/>
      <c r="AD2588" s="160"/>
      <c r="AE2588" s="160"/>
      <c r="AF2588" s="160"/>
      <c r="AG2588" s="160"/>
      <c r="AH2588" s="356"/>
      <c r="AI2588" s="356"/>
      <c r="AJ2588" s="356"/>
      <c r="AK2588" s="356"/>
      <c r="AL2588" s="356"/>
      <c r="AM2588" s="356"/>
      <c r="AN2588" s="356"/>
      <c r="AO2588" s="356"/>
      <c r="AP2588" s="356"/>
      <c r="AQ2588" s="356"/>
      <c r="AR2588" s="356"/>
      <c r="AS2588" s="356"/>
      <c r="AT2588" s="356"/>
      <c r="AU2588" s="356"/>
      <c r="AV2588" s="356"/>
      <c r="AW2588" s="356"/>
      <c r="AX2588" s="356"/>
      <c r="AY2588" s="356"/>
      <c r="AZ2588" s="356"/>
      <c r="BA2588" s="356"/>
    </row>
    <row r="2589" ht="15.75" hidden="1" customHeight="1" outlineLevel="1">
      <c r="A2589" s="353"/>
      <c r="B2589" s="38"/>
      <c r="C2589" s="160"/>
      <c r="D2589" s="160"/>
      <c r="E2589" s="160">
        <f>IF($E$2478&gt;0,IPMT('Assumptions (Battery)'!$V$9,Model!W$1,'Assumptions (Battery)'!$V$12,'Assumptions (Battery)'!$V$7*$E$2480),0)</f>
        <v>0</v>
      </c>
      <c r="F2589" s="160">
        <f>IF($E$2478&gt;0,IPMT('Assumptions (Battery)'!$V$9,Model!X$1,'Assumptions (Battery)'!$V$12,'Assumptions (Battery)'!$V$7*$E$2480),0)</f>
        <v>0</v>
      </c>
      <c r="G2589" s="160">
        <f>IF($E$2478&gt;0,IPMT('Assumptions (Battery)'!$V$9,Model!Y$1,'Assumptions (Battery)'!$V$12,'Assumptions (Battery)'!$V$7*$E$2480),0)</f>
        <v>0</v>
      </c>
      <c r="H2589" s="160">
        <f>IF($E$2478&gt;0,IPMT('Assumptions (Battery)'!$V$9,Model!Z$1,'Assumptions (Battery)'!$V$12,'Assumptions (Battery)'!$V$7*$E$2480),0)</f>
        <v>0</v>
      </c>
      <c r="I2589" s="160">
        <f>IF($E$2478&gt;0,IPMT('Assumptions (Battery)'!$V$9,Model!AA$1,'Assumptions (Battery)'!$V$12,'Assumptions (Battery)'!$V$7*$E$2480),0)</f>
        <v>0</v>
      </c>
      <c r="J2589" s="160">
        <f>IF($E$2478&gt;0,IPMT('Assumptions (Battery)'!$V$9,Model!AB$1,'Assumptions (Battery)'!$V$12,'Assumptions (Battery)'!$V$7*$E$2480),0)</f>
        <v>0</v>
      </c>
      <c r="K2589" s="160">
        <f>IF($E$2478&gt;0,IPMT('Assumptions (Battery)'!$V$9,Model!AC$1,'Assumptions (Battery)'!$V$12,'Assumptions (Battery)'!$V$7*$E$2480),0)</f>
        <v>0</v>
      </c>
      <c r="L2589" s="160">
        <f>IF($E$2478&gt;0,IPMT('Assumptions (Battery)'!$V$9,Model!AD$1,'Assumptions (Battery)'!$V$12,'Assumptions (Battery)'!$V$7*$E$2480),0)</f>
        <v>0</v>
      </c>
      <c r="M2589" s="160">
        <f>IF($E$2478&gt;0,IPMT('Assumptions (Battery)'!$V$9,Model!AE$1,'Assumptions (Battery)'!$V$12,'Assumptions (Battery)'!$V$7*$E$2480),0)</f>
        <v>0</v>
      </c>
      <c r="N2589" s="160">
        <f>IF($E$2478&gt;0,IPMT('Assumptions (Battery)'!$V$9,Model!AF$1,'Assumptions (Battery)'!$V$12,'Assumptions (Battery)'!$V$7*$E$2480),0)</f>
        <v>0</v>
      </c>
      <c r="O2589" s="160"/>
      <c r="P2589" s="160"/>
      <c r="Q2589" s="160"/>
      <c r="R2589" s="160"/>
      <c r="S2589" s="160"/>
      <c r="T2589" s="160"/>
      <c r="U2589" s="160"/>
      <c r="V2589" s="160"/>
      <c r="W2589" s="160"/>
      <c r="X2589" s="160"/>
      <c r="Y2589" s="160"/>
      <c r="Z2589" s="160"/>
      <c r="AA2589" s="160"/>
      <c r="AB2589" s="160"/>
      <c r="AC2589" s="160"/>
      <c r="AD2589" s="160"/>
      <c r="AE2589" s="160"/>
      <c r="AF2589" s="160"/>
      <c r="AG2589" s="160"/>
      <c r="AH2589" s="356"/>
      <c r="AI2589" s="356"/>
      <c r="AJ2589" s="356"/>
      <c r="AK2589" s="356"/>
      <c r="AL2589" s="356"/>
      <c r="AM2589" s="356"/>
      <c r="AN2589" s="356"/>
      <c r="AO2589" s="356"/>
      <c r="AP2589" s="356"/>
      <c r="AQ2589" s="356"/>
      <c r="AR2589" s="356"/>
      <c r="AS2589" s="356"/>
      <c r="AT2589" s="356"/>
      <c r="AU2589" s="356"/>
      <c r="AV2589" s="356"/>
      <c r="AW2589" s="356"/>
      <c r="AX2589" s="356"/>
      <c r="AY2589" s="356"/>
      <c r="AZ2589" s="356"/>
      <c r="BA2589" s="356"/>
    </row>
    <row r="2590" ht="15.75" hidden="1" customHeight="1" outlineLevel="1">
      <c r="A2590" s="353"/>
      <c r="B2590" s="38"/>
      <c r="C2590" s="160"/>
      <c r="D2590" s="160"/>
      <c r="E2590" s="160"/>
      <c r="F2590" s="160">
        <f>IF($F$2478&gt;0,IPMT('Assumptions (Battery)'!$V$9,Model!W$1,'Assumptions (Battery)'!$V$12,'Assumptions (Battery)'!$V$7*$F$2480),0)</f>
        <v>0</v>
      </c>
      <c r="G2590" s="160">
        <f>IF($F$2478&gt;0,IPMT('Assumptions (Battery)'!$V$9,Model!X$1,'Assumptions (Battery)'!$V$12,'Assumptions (Battery)'!$V$7*$F$2480),0)</f>
        <v>0</v>
      </c>
      <c r="H2590" s="160">
        <f>IF($F$2478&gt;0,IPMT('Assumptions (Battery)'!$V$9,Model!Y$1,'Assumptions (Battery)'!$V$12,'Assumptions (Battery)'!$V$7*$F$2480),0)</f>
        <v>0</v>
      </c>
      <c r="I2590" s="160">
        <f>IF($F$2478&gt;0,IPMT('Assumptions (Battery)'!$V$9,Model!Z$1,'Assumptions (Battery)'!$V$12,'Assumptions (Battery)'!$V$7*$F$2480),0)</f>
        <v>0</v>
      </c>
      <c r="J2590" s="160">
        <f>IF($F$2478&gt;0,IPMT('Assumptions (Battery)'!$V$9,Model!AA$1,'Assumptions (Battery)'!$V$12,'Assumptions (Battery)'!$V$7*$F$2480),0)</f>
        <v>0</v>
      </c>
      <c r="K2590" s="160">
        <f>IF($F$2478&gt;0,IPMT('Assumptions (Battery)'!$V$9,Model!AB$1,'Assumptions (Battery)'!$V$12,'Assumptions (Battery)'!$V$7*$F$2480),0)</f>
        <v>0</v>
      </c>
      <c r="L2590" s="160">
        <f>IF($F$2478&gt;0,IPMT('Assumptions (Battery)'!$V$9,Model!AC$1,'Assumptions (Battery)'!$V$12,'Assumptions (Battery)'!$V$7*$F$2480),0)</f>
        <v>0</v>
      </c>
      <c r="M2590" s="160">
        <f>IF($F$2478&gt;0,IPMT('Assumptions (Battery)'!$V$9,Model!AD$1,'Assumptions (Battery)'!$V$12,'Assumptions (Battery)'!$V$7*$F$2480),0)</f>
        <v>0</v>
      </c>
      <c r="N2590" s="160">
        <f>IF($F$2478&gt;0,IPMT('Assumptions (Battery)'!$V$9,Model!AE$1,'Assumptions (Battery)'!$V$12,'Assumptions (Battery)'!$V$7*$F$2480),0)</f>
        <v>0</v>
      </c>
      <c r="O2590" s="160">
        <f>IF($F$2478&gt;0,IPMT('Assumptions (Battery)'!$V$9,Model!AF$1,'Assumptions (Battery)'!$V$12,'Assumptions (Battery)'!$V$7*$F$2480),0)</f>
        <v>0</v>
      </c>
      <c r="P2590" s="160"/>
      <c r="Q2590" s="160"/>
      <c r="R2590" s="160"/>
      <c r="S2590" s="160"/>
      <c r="T2590" s="160"/>
      <c r="U2590" s="160"/>
      <c r="V2590" s="160"/>
      <c r="W2590" s="160"/>
      <c r="X2590" s="160"/>
      <c r="Y2590" s="160"/>
      <c r="Z2590" s="160"/>
      <c r="AA2590" s="160"/>
      <c r="AB2590" s="160"/>
      <c r="AC2590" s="160"/>
      <c r="AD2590" s="160"/>
      <c r="AE2590" s="160"/>
      <c r="AF2590" s="160"/>
      <c r="AG2590" s="160"/>
      <c r="AH2590" s="356"/>
      <c r="AI2590" s="356"/>
      <c r="AJ2590" s="356"/>
      <c r="AK2590" s="356"/>
      <c r="AL2590" s="356"/>
      <c r="AM2590" s="356"/>
      <c r="AN2590" s="356"/>
      <c r="AO2590" s="356"/>
      <c r="AP2590" s="356"/>
      <c r="AQ2590" s="356"/>
      <c r="AR2590" s="356"/>
      <c r="AS2590" s="356"/>
      <c r="AT2590" s="356"/>
      <c r="AU2590" s="356"/>
      <c r="AV2590" s="356"/>
      <c r="AW2590" s="356"/>
      <c r="AX2590" s="356"/>
      <c r="AY2590" s="356"/>
      <c r="AZ2590" s="356"/>
      <c r="BA2590" s="356"/>
    </row>
    <row r="2591" ht="15.75" hidden="1" customHeight="1" outlineLevel="1">
      <c r="A2591" s="353"/>
      <c r="B2591" s="38"/>
      <c r="C2591" s="160"/>
      <c r="D2591" s="160"/>
      <c r="E2591" s="160"/>
      <c r="F2591" s="160"/>
      <c r="G2591" s="160">
        <f>IF($G$2478&gt;0,IPMT('Assumptions (Battery)'!$V$9,Model!W$1,'Assumptions (Battery)'!$V$12,'Assumptions (Battery)'!$V$7*$G$2480),0)</f>
        <v>0</v>
      </c>
      <c r="H2591" s="160">
        <f>IF($G$2478&gt;0,IPMT('Assumptions (Battery)'!$V$9,Model!X$1,'Assumptions (Battery)'!$V$12,'Assumptions (Battery)'!$V$7*$G$2480),0)</f>
        <v>0</v>
      </c>
      <c r="I2591" s="160">
        <f>IF($G$2478&gt;0,IPMT('Assumptions (Battery)'!$V$9,Model!Y$1,'Assumptions (Battery)'!$V$12,'Assumptions (Battery)'!$V$7*$G$2480),0)</f>
        <v>0</v>
      </c>
      <c r="J2591" s="160">
        <f>IF($G$2478&gt;0,IPMT('Assumptions (Battery)'!$V$9,Model!Z$1,'Assumptions (Battery)'!$V$12,'Assumptions (Battery)'!$V$7*$G$2480),0)</f>
        <v>0</v>
      </c>
      <c r="K2591" s="160">
        <f>IF($G$2478&gt;0,IPMT('Assumptions (Battery)'!$V$9,Model!AA$1,'Assumptions (Battery)'!$V$12,'Assumptions (Battery)'!$V$7*$G$2480),0)</f>
        <v>0</v>
      </c>
      <c r="L2591" s="160">
        <f>IF($G$2478&gt;0,IPMT('Assumptions (Battery)'!$V$9,Model!AB$1,'Assumptions (Battery)'!$V$12,'Assumptions (Battery)'!$V$7*$G$2480),0)</f>
        <v>0</v>
      </c>
      <c r="M2591" s="160">
        <f>IF($G$2478&gt;0,IPMT('Assumptions (Battery)'!$V$9,Model!AC$1,'Assumptions (Battery)'!$V$12,'Assumptions (Battery)'!$V$7*$G$2480),0)</f>
        <v>0</v>
      </c>
      <c r="N2591" s="160">
        <f>IF($G$2478&gt;0,IPMT('Assumptions (Battery)'!$V$9,Model!AD$1,'Assumptions (Battery)'!$V$12,'Assumptions (Battery)'!$V$7*$G$2480),0)</f>
        <v>0</v>
      </c>
      <c r="O2591" s="160">
        <f>IF($G$2478&gt;0,IPMT('Assumptions (Battery)'!$V$9,Model!AE$1,'Assumptions (Battery)'!$V$12,'Assumptions (Battery)'!$V$7*$G$2480),0)</f>
        <v>0</v>
      </c>
      <c r="P2591" s="160">
        <f>IF($G$2478&gt;0,IPMT('Assumptions (Battery)'!$V$9,Model!AF$1,'Assumptions (Battery)'!$V$12,'Assumptions (Battery)'!$V$7*$G$2480),0)</f>
        <v>0</v>
      </c>
      <c r="Q2591" s="160"/>
      <c r="R2591" s="160"/>
      <c r="S2591" s="160"/>
      <c r="T2591" s="160"/>
      <c r="U2591" s="160"/>
      <c r="V2591" s="160"/>
      <c r="W2591" s="160"/>
      <c r="X2591" s="160"/>
      <c r="Y2591" s="160"/>
      <c r="Z2591" s="160"/>
      <c r="AA2591" s="160"/>
      <c r="AB2591" s="160"/>
      <c r="AC2591" s="160"/>
      <c r="AD2591" s="160"/>
      <c r="AE2591" s="160"/>
      <c r="AF2591" s="160"/>
      <c r="AG2591" s="160"/>
      <c r="AH2591" s="356"/>
      <c r="AI2591" s="356"/>
      <c r="AJ2591" s="356"/>
      <c r="AK2591" s="356"/>
      <c r="AL2591" s="356"/>
      <c r="AM2591" s="356"/>
      <c r="AN2591" s="356"/>
      <c r="AO2591" s="356"/>
      <c r="AP2591" s="356"/>
      <c r="AQ2591" s="356"/>
      <c r="AR2591" s="356"/>
      <c r="AS2591" s="356"/>
      <c r="AT2591" s="356"/>
      <c r="AU2591" s="356"/>
      <c r="AV2591" s="356"/>
      <c r="AW2591" s="356"/>
      <c r="AX2591" s="356"/>
      <c r="AY2591" s="356"/>
      <c r="AZ2591" s="356"/>
      <c r="BA2591" s="356"/>
    </row>
    <row r="2592" ht="15.75" hidden="1" customHeight="1" outlineLevel="1">
      <c r="A2592" s="353"/>
      <c r="B2592" s="38"/>
      <c r="C2592" s="160"/>
      <c r="D2592" s="160"/>
      <c r="E2592" s="160"/>
      <c r="F2592" s="160"/>
      <c r="G2592" s="160"/>
      <c r="H2592" s="160">
        <f>IF($H$2478&gt;0,IPMT('Assumptions (Battery)'!$V$9,Model!W$1,'Assumptions (Battery)'!$V$12,'Assumptions (Battery)'!$V$7*$H$2480),0)</f>
        <v>0</v>
      </c>
      <c r="I2592" s="160">
        <f>IF($H$2478&gt;0,IPMT('Assumptions (Battery)'!$V$9,Model!X$1,'Assumptions (Battery)'!$V$12,'Assumptions (Battery)'!$V$7*$H$2480),0)</f>
        <v>0</v>
      </c>
      <c r="J2592" s="160">
        <f>IF($H$2478&gt;0,IPMT('Assumptions (Battery)'!$V$9,Model!Y$1,'Assumptions (Battery)'!$V$12,'Assumptions (Battery)'!$V$7*$H$2480),0)</f>
        <v>0</v>
      </c>
      <c r="K2592" s="160">
        <f>IF($H$2478&gt;0,IPMT('Assumptions (Battery)'!$V$9,Model!Z$1,'Assumptions (Battery)'!$V$12,'Assumptions (Battery)'!$V$7*$H$2480),0)</f>
        <v>0</v>
      </c>
      <c r="L2592" s="160">
        <f>IF($H$2478&gt;0,IPMT('Assumptions (Battery)'!$V$9,Model!AA$1,'Assumptions (Battery)'!$V$12,'Assumptions (Battery)'!$V$7*$H$2480),0)</f>
        <v>0</v>
      </c>
      <c r="M2592" s="160">
        <f>IF($H$2478&gt;0,IPMT('Assumptions (Battery)'!$V$9,Model!AB$1,'Assumptions (Battery)'!$V$12,'Assumptions (Battery)'!$V$7*$H$2480),0)</f>
        <v>0</v>
      </c>
      <c r="N2592" s="160">
        <f>IF($H$2478&gt;0,IPMT('Assumptions (Battery)'!$V$9,Model!AC$1,'Assumptions (Battery)'!$V$12,'Assumptions (Battery)'!$V$7*$H$2480),0)</f>
        <v>0</v>
      </c>
      <c r="O2592" s="160">
        <f>IF($H$2478&gt;0,IPMT('Assumptions (Battery)'!$V$9,Model!AD$1,'Assumptions (Battery)'!$V$12,'Assumptions (Battery)'!$V$7*$H$2480),0)</f>
        <v>0</v>
      </c>
      <c r="P2592" s="160">
        <f>IF($H$2478&gt;0,IPMT('Assumptions (Battery)'!$V$9,Model!AE$1,'Assumptions (Battery)'!$V$12,'Assumptions (Battery)'!$V$7*$H$2480),0)</f>
        <v>0</v>
      </c>
      <c r="Q2592" s="160">
        <f>IF($H$2478&gt;0,IPMT('Assumptions (Battery)'!$V$9,Model!AF$1,'Assumptions (Battery)'!$V$12,'Assumptions (Battery)'!$V$7*$H$2480),0)</f>
        <v>0</v>
      </c>
      <c r="R2592" s="160"/>
      <c r="S2592" s="160"/>
      <c r="T2592" s="160"/>
      <c r="U2592" s="160"/>
      <c r="V2592" s="160"/>
      <c r="W2592" s="160"/>
      <c r="X2592" s="160"/>
      <c r="Y2592" s="160"/>
      <c r="Z2592" s="160"/>
      <c r="AA2592" s="160"/>
      <c r="AB2592" s="160"/>
      <c r="AC2592" s="160"/>
      <c r="AD2592" s="160"/>
      <c r="AE2592" s="160"/>
      <c r="AF2592" s="160"/>
      <c r="AG2592" s="160"/>
      <c r="AH2592" s="356"/>
      <c r="AI2592" s="356"/>
      <c r="AJ2592" s="356"/>
      <c r="AK2592" s="356"/>
      <c r="AL2592" s="356"/>
      <c r="AM2592" s="356"/>
      <c r="AN2592" s="356"/>
      <c r="AO2592" s="356"/>
      <c r="AP2592" s="356"/>
      <c r="AQ2592" s="356"/>
      <c r="AR2592" s="356"/>
      <c r="AS2592" s="356"/>
      <c r="AT2592" s="356"/>
      <c r="AU2592" s="356"/>
      <c r="AV2592" s="356"/>
      <c r="AW2592" s="356"/>
      <c r="AX2592" s="356"/>
      <c r="AY2592" s="356"/>
      <c r="AZ2592" s="356"/>
      <c r="BA2592" s="356"/>
    </row>
    <row r="2593" ht="15.75" hidden="1" customHeight="1" outlineLevel="1">
      <c r="A2593" s="353"/>
      <c r="B2593" s="38"/>
      <c r="C2593" s="160"/>
      <c r="D2593" s="160"/>
      <c r="E2593" s="160"/>
      <c r="F2593" s="160"/>
      <c r="G2593" s="160"/>
      <c r="H2593" s="160"/>
      <c r="I2593" s="160">
        <f>IF($I$2478&gt;0,IPMT('Assumptions (Battery)'!$V$9,Model!W$1,'Assumptions (Battery)'!$V$12,'Assumptions (Battery)'!$V$7*$I$2480),0)</f>
        <v>0</v>
      </c>
      <c r="J2593" s="160">
        <f>IF($I$2478&gt;0,IPMT('Assumptions (Battery)'!$V$9,Model!X$1,'Assumptions (Battery)'!$V$12,'Assumptions (Battery)'!$V$7*$I$2480),0)</f>
        <v>0</v>
      </c>
      <c r="K2593" s="160">
        <f>IF($I$2478&gt;0,IPMT('Assumptions (Battery)'!$V$9,Model!Y$1,'Assumptions (Battery)'!$V$12,'Assumptions (Battery)'!$V$7*$I$2480),0)</f>
        <v>0</v>
      </c>
      <c r="L2593" s="160">
        <f>IF($I$2478&gt;0,IPMT('Assumptions (Battery)'!$V$9,Model!Z$1,'Assumptions (Battery)'!$V$12,'Assumptions (Battery)'!$V$7*$I$2480),0)</f>
        <v>0</v>
      </c>
      <c r="M2593" s="160">
        <f>IF($I$2478&gt;0,IPMT('Assumptions (Battery)'!$V$9,Model!AA$1,'Assumptions (Battery)'!$V$12,'Assumptions (Battery)'!$V$7*$I$2480),0)</f>
        <v>0</v>
      </c>
      <c r="N2593" s="160">
        <f>IF($I$2478&gt;0,IPMT('Assumptions (Battery)'!$V$9,Model!AB$1,'Assumptions (Battery)'!$V$12,'Assumptions (Battery)'!$V$7*$I$2480),0)</f>
        <v>0</v>
      </c>
      <c r="O2593" s="160">
        <f>IF($I$2478&gt;0,IPMT('Assumptions (Battery)'!$V$9,Model!AC$1,'Assumptions (Battery)'!$V$12,'Assumptions (Battery)'!$V$7*$I$2480),0)</f>
        <v>0</v>
      </c>
      <c r="P2593" s="160">
        <f>IF($I$2478&gt;0,IPMT('Assumptions (Battery)'!$V$9,Model!AD$1,'Assumptions (Battery)'!$V$12,'Assumptions (Battery)'!$V$7*$I$2480),0)</f>
        <v>0</v>
      </c>
      <c r="Q2593" s="160">
        <f>IF($I$2478&gt;0,IPMT('Assumptions (Battery)'!$V$9,Model!AE$1,'Assumptions (Battery)'!$V$12,'Assumptions (Battery)'!$V$7*$I$2480),0)</f>
        <v>0</v>
      </c>
      <c r="R2593" s="160">
        <f>IF($I$2478&gt;0,IPMT('Assumptions (Battery)'!$V$9,Model!AF$1,'Assumptions (Battery)'!$V$12,'Assumptions (Battery)'!$V$7*$I$2480),0)</f>
        <v>0</v>
      </c>
      <c r="S2593" s="160"/>
      <c r="T2593" s="160"/>
      <c r="U2593" s="160"/>
      <c r="V2593" s="160"/>
      <c r="W2593" s="160"/>
      <c r="X2593" s="160"/>
      <c r="Y2593" s="160"/>
      <c r="Z2593" s="160"/>
      <c r="AA2593" s="160"/>
      <c r="AB2593" s="160"/>
      <c r="AC2593" s="160"/>
      <c r="AD2593" s="160"/>
      <c r="AE2593" s="160"/>
      <c r="AF2593" s="160"/>
      <c r="AG2593" s="160"/>
      <c r="AH2593" s="356"/>
      <c r="AI2593" s="356"/>
      <c r="AJ2593" s="356"/>
      <c r="AK2593" s="356"/>
      <c r="AL2593" s="356"/>
      <c r="AM2593" s="356"/>
      <c r="AN2593" s="356"/>
      <c r="AO2593" s="356"/>
      <c r="AP2593" s="356"/>
      <c r="AQ2593" s="356"/>
      <c r="AR2593" s="356"/>
      <c r="AS2593" s="356"/>
      <c r="AT2593" s="356"/>
      <c r="AU2593" s="356"/>
      <c r="AV2593" s="356"/>
      <c r="AW2593" s="356"/>
      <c r="AX2593" s="356"/>
      <c r="AY2593" s="356"/>
      <c r="AZ2593" s="356"/>
      <c r="BA2593" s="356"/>
    </row>
    <row r="2594" ht="15.75" hidden="1" customHeight="1" outlineLevel="1">
      <c r="A2594" s="353"/>
      <c r="B2594" s="38"/>
      <c r="C2594" s="160"/>
      <c r="D2594" s="160"/>
      <c r="E2594" s="160"/>
      <c r="F2594" s="160"/>
      <c r="G2594" s="160"/>
      <c r="H2594" s="160"/>
      <c r="I2594" s="160"/>
      <c r="J2594" s="160">
        <f>IF($J$2478&gt;0,IPMT('Assumptions (Battery)'!$V$9,Model!W$1,'Assumptions (Battery)'!$V$12,'Assumptions (Battery)'!$V$7*$J$2480),0)</f>
        <v>0</v>
      </c>
      <c r="K2594" s="160">
        <f>IF($J$2478&gt;0,IPMT('Assumptions (Battery)'!$V$9,Model!X$1,'Assumptions (Battery)'!$V$12,'Assumptions (Battery)'!$V$7*$J$2480),0)</f>
        <v>0</v>
      </c>
      <c r="L2594" s="160">
        <f>IF($J$2478&gt;0,IPMT('Assumptions (Battery)'!$V$9,Model!Y$1,'Assumptions (Battery)'!$V$12,'Assumptions (Battery)'!$V$7*$J$2480),0)</f>
        <v>0</v>
      </c>
      <c r="M2594" s="160">
        <f>IF($J$2478&gt;0,IPMT('Assumptions (Battery)'!$V$9,Model!Z$1,'Assumptions (Battery)'!$V$12,'Assumptions (Battery)'!$V$7*$J$2480),0)</f>
        <v>0</v>
      </c>
      <c r="N2594" s="160">
        <f>IF($J$2478&gt;0,IPMT('Assumptions (Battery)'!$V$9,Model!AA$1,'Assumptions (Battery)'!$V$12,'Assumptions (Battery)'!$V$7*$J$2480),0)</f>
        <v>0</v>
      </c>
      <c r="O2594" s="160">
        <f>IF($J$2478&gt;0,IPMT('Assumptions (Battery)'!$V$9,Model!AB$1,'Assumptions (Battery)'!$V$12,'Assumptions (Battery)'!$V$7*$J$2480),0)</f>
        <v>0</v>
      </c>
      <c r="P2594" s="160">
        <f>IF($J$2478&gt;0,IPMT('Assumptions (Battery)'!$V$9,Model!AC$1,'Assumptions (Battery)'!$V$12,'Assumptions (Battery)'!$V$7*$J$2480),0)</f>
        <v>0</v>
      </c>
      <c r="Q2594" s="160">
        <f>IF($J$2478&gt;0,IPMT('Assumptions (Battery)'!$V$9,Model!AD$1,'Assumptions (Battery)'!$V$12,'Assumptions (Battery)'!$V$7*$J$2480),0)</f>
        <v>0</v>
      </c>
      <c r="R2594" s="160">
        <f>IF($J$2478&gt;0,IPMT('Assumptions (Battery)'!$V$9,Model!AE$1,'Assumptions (Battery)'!$V$12,'Assumptions (Battery)'!$V$7*$J$2480),0)</f>
        <v>0</v>
      </c>
      <c r="S2594" s="160">
        <f>IF($J$2478&gt;0,IPMT('Assumptions (Battery)'!$V$9,Model!AF$1,'Assumptions (Battery)'!$V$12,'Assumptions (Battery)'!$V$7*$J$2480),0)</f>
        <v>0</v>
      </c>
      <c r="T2594" s="160"/>
      <c r="U2594" s="160"/>
      <c r="V2594" s="160"/>
      <c r="W2594" s="160"/>
      <c r="X2594" s="160"/>
      <c r="Y2594" s="160"/>
      <c r="Z2594" s="160"/>
      <c r="AA2594" s="160"/>
      <c r="AB2594" s="160"/>
      <c r="AC2594" s="160"/>
      <c r="AD2594" s="160"/>
      <c r="AE2594" s="160"/>
      <c r="AF2594" s="160"/>
      <c r="AG2594" s="160"/>
      <c r="AH2594" s="160"/>
      <c r="AI2594" s="356"/>
      <c r="AJ2594" s="356"/>
      <c r="AK2594" s="356"/>
      <c r="AL2594" s="356"/>
      <c r="AM2594" s="356"/>
      <c r="AN2594" s="356"/>
      <c r="AO2594" s="356"/>
      <c r="AP2594" s="356"/>
      <c r="AQ2594" s="356"/>
      <c r="AR2594" s="356"/>
      <c r="AS2594" s="356"/>
      <c r="AT2594" s="356"/>
      <c r="AU2594" s="356"/>
      <c r="AV2594" s="356"/>
      <c r="AW2594" s="356"/>
      <c r="AX2594" s="356"/>
      <c r="AY2594" s="356"/>
      <c r="AZ2594" s="356"/>
      <c r="BA2594" s="356"/>
    </row>
    <row r="2595" ht="15.75" hidden="1" customHeight="1" outlineLevel="1">
      <c r="A2595" s="353"/>
      <c r="B2595" s="38"/>
      <c r="C2595" s="160"/>
      <c r="D2595" s="160"/>
      <c r="E2595" s="160"/>
      <c r="F2595" s="160"/>
      <c r="G2595" s="160"/>
      <c r="H2595" s="160"/>
      <c r="I2595" s="160"/>
      <c r="J2595" s="160"/>
      <c r="K2595" s="160">
        <f>IF($K$2478&gt;0,IPMT('Assumptions (Battery)'!$V$9,Model!W$1,'Assumptions (Battery)'!$V$12,'Assumptions (Battery)'!$V$7*$K$2480),0)</f>
        <v>0</v>
      </c>
      <c r="L2595" s="160">
        <f>IF($K$2478&gt;0,IPMT('Assumptions (Battery)'!$V$9,Model!X$1,'Assumptions (Battery)'!$V$12,'Assumptions (Battery)'!$V$7*$K$2480),0)</f>
        <v>0</v>
      </c>
      <c r="M2595" s="160">
        <f>IF($K$2478&gt;0,IPMT('Assumptions (Battery)'!$V$9,Model!Y$1,'Assumptions (Battery)'!$V$12,'Assumptions (Battery)'!$V$7*$K$2480),0)</f>
        <v>0</v>
      </c>
      <c r="N2595" s="160">
        <f>IF($K$2478&gt;0,IPMT('Assumptions (Battery)'!$V$9,Model!Z$1,'Assumptions (Battery)'!$V$12,'Assumptions (Battery)'!$V$7*$K$2480),0)</f>
        <v>0</v>
      </c>
      <c r="O2595" s="160">
        <f>IF($K$2478&gt;0,IPMT('Assumptions (Battery)'!$V$9,Model!AA$1,'Assumptions (Battery)'!$V$12,'Assumptions (Battery)'!$V$7*$K$2480),0)</f>
        <v>0</v>
      </c>
      <c r="P2595" s="160">
        <f>IF($K$2478&gt;0,IPMT('Assumptions (Battery)'!$V$9,Model!AB$1,'Assumptions (Battery)'!$V$12,'Assumptions (Battery)'!$V$7*$K$2480),0)</f>
        <v>0</v>
      </c>
      <c r="Q2595" s="160">
        <f>IF($K$2478&gt;0,IPMT('Assumptions (Battery)'!$V$9,Model!AC$1,'Assumptions (Battery)'!$V$12,'Assumptions (Battery)'!$V$7*$K$2480),0)</f>
        <v>0</v>
      </c>
      <c r="R2595" s="160">
        <f>IF($K$2478&gt;0,IPMT('Assumptions (Battery)'!$V$9,Model!AD$1,'Assumptions (Battery)'!$V$12,'Assumptions (Battery)'!$V$7*$K$2480),0)</f>
        <v>0</v>
      </c>
      <c r="S2595" s="160">
        <f>IF($K$2478&gt;0,IPMT('Assumptions (Battery)'!$V$9,Model!AE$1,'Assumptions (Battery)'!$V$12,'Assumptions (Battery)'!$V$7*$K$2480),0)</f>
        <v>0</v>
      </c>
      <c r="T2595" s="160">
        <f>IF($K$2478&gt;0,IPMT('Assumptions (Battery)'!$V$9,Model!AF$1,'Assumptions (Battery)'!$V$12,'Assumptions (Battery)'!$V$7*$K$2480),0)</f>
        <v>0</v>
      </c>
      <c r="U2595" s="160"/>
      <c r="V2595" s="160"/>
      <c r="W2595" s="160"/>
      <c r="X2595" s="160"/>
      <c r="Y2595" s="160"/>
      <c r="Z2595" s="160"/>
      <c r="AA2595" s="160"/>
      <c r="AB2595" s="160"/>
      <c r="AC2595" s="160"/>
      <c r="AD2595" s="160"/>
      <c r="AE2595" s="160"/>
      <c r="AF2595" s="160"/>
      <c r="AG2595" s="160"/>
      <c r="AH2595" s="160"/>
      <c r="AI2595" s="160"/>
      <c r="AJ2595" s="356"/>
      <c r="AK2595" s="356"/>
      <c r="AL2595" s="356"/>
      <c r="AM2595" s="356"/>
      <c r="AN2595" s="356"/>
      <c r="AO2595" s="356"/>
      <c r="AP2595" s="356"/>
      <c r="AQ2595" s="356"/>
      <c r="AR2595" s="356"/>
      <c r="AS2595" s="356"/>
      <c r="AT2595" s="356"/>
      <c r="AU2595" s="356"/>
      <c r="AV2595" s="356"/>
      <c r="AW2595" s="356"/>
      <c r="AX2595" s="356"/>
      <c r="AY2595" s="356"/>
      <c r="AZ2595" s="356"/>
      <c r="BA2595" s="356"/>
    </row>
    <row r="2596" ht="15.75" hidden="1" customHeight="1" outlineLevel="1">
      <c r="A2596" s="353"/>
      <c r="B2596" s="38"/>
      <c r="C2596" s="160"/>
      <c r="D2596" s="160"/>
      <c r="E2596" s="160"/>
      <c r="F2596" s="160"/>
      <c r="G2596" s="160"/>
      <c r="H2596" s="160"/>
      <c r="I2596" s="160"/>
      <c r="J2596" s="160"/>
      <c r="K2596" s="160"/>
      <c r="L2596" s="160">
        <f>IF($L$2478&gt;0,IPMT('Assumptions (Battery)'!$V$9,Model!W$1,'Assumptions (Battery)'!$V$12,'Assumptions (Battery)'!$V$7*$L$2480),0)</f>
        <v>0</v>
      </c>
      <c r="M2596" s="160">
        <f>IF($L$2478&gt;0,IPMT('Assumptions (Battery)'!$V$9,Model!X$1,'Assumptions (Battery)'!$V$12,'Assumptions (Battery)'!$V$7*$L$2480),0)</f>
        <v>0</v>
      </c>
      <c r="N2596" s="160">
        <f>IF($L$2478&gt;0,IPMT('Assumptions (Battery)'!$V$9,Model!Y$1,'Assumptions (Battery)'!$V$12,'Assumptions (Battery)'!$V$7*$L$2480),0)</f>
        <v>0</v>
      </c>
      <c r="O2596" s="160">
        <f>IF($L$2478&gt;0,IPMT('Assumptions (Battery)'!$V$9,Model!Z$1,'Assumptions (Battery)'!$V$12,'Assumptions (Battery)'!$V$7*$L$2480),0)</f>
        <v>0</v>
      </c>
      <c r="P2596" s="160">
        <f>IF($L$2478&gt;0,IPMT('Assumptions (Battery)'!$V$9,Model!AA$1,'Assumptions (Battery)'!$V$12,'Assumptions (Battery)'!$V$7*$L$2480),0)</f>
        <v>0</v>
      </c>
      <c r="Q2596" s="160">
        <f>IF($L$2478&gt;0,IPMT('Assumptions (Battery)'!$V$9,Model!AB$1,'Assumptions (Battery)'!$V$12,'Assumptions (Battery)'!$V$7*$L$2480),0)</f>
        <v>0</v>
      </c>
      <c r="R2596" s="160">
        <f>IF($L$2478&gt;0,IPMT('Assumptions (Battery)'!$V$9,Model!AC$1,'Assumptions (Battery)'!$V$12,'Assumptions (Battery)'!$V$7*$L$2480),0)</f>
        <v>0</v>
      </c>
      <c r="S2596" s="160">
        <f>IF($L$2478&gt;0,IPMT('Assumptions (Battery)'!$V$9,Model!AD$1,'Assumptions (Battery)'!$V$12,'Assumptions (Battery)'!$V$7*$L$2480),0)</f>
        <v>0</v>
      </c>
      <c r="T2596" s="160">
        <f>IF($L$2478&gt;0,IPMT('Assumptions (Battery)'!$V$9,Model!AE$1,'Assumptions (Battery)'!$V$12,'Assumptions (Battery)'!$V$7*$L$2480),0)</f>
        <v>0</v>
      </c>
      <c r="U2596" s="160">
        <f>IF($L$2478&gt;0,IPMT('Assumptions (Battery)'!$V$9,Model!AF$1,'Assumptions (Battery)'!$V$12,'Assumptions (Battery)'!$V$7*$L$2480),0)</f>
        <v>0</v>
      </c>
      <c r="V2596" s="160"/>
      <c r="W2596" s="160"/>
      <c r="X2596" s="160"/>
      <c r="Y2596" s="160"/>
      <c r="Z2596" s="160"/>
      <c r="AA2596" s="160"/>
      <c r="AB2596" s="160"/>
      <c r="AC2596" s="160"/>
      <c r="AD2596" s="160"/>
      <c r="AE2596" s="160"/>
      <c r="AF2596" s="160"/>
      <c r="AG2596" s="160"/>
      <c r="AH2596" s="160"/>
      <c r="AI2596" s="160"/>
      <c r="AJ2596" s="160"/>
      <c r="AK2596" s="356"/>
      <c r="AL2596" s="356"/>
      <c r="AM2596" s="356"/>
      <c r="AN2596" s="356"/>
      <c r="AO2596" s="356"/>
      <c r="AP2596" s="356"/>
      <c r="AQ2596" s="356"/>
      <c r="AR2596" s="356"/>
      <c r="AS2596" s="356"/>
      <c r="AT2596" s="356"/>
      <c r="AU2596" s="356"/>
      <c r="AV2596" s="356"/>
      <c r="AW2596" s="356"/>
      <c r="AX2596" s="356"/>
      <c r="AY2596" s="356"/>
      <c r="AZ2596" s="356"/>
      <c r="BA2596" s="356"/>
    </row>
    <row r="2597" ht="15.75" hidden="1" customHeight="1" outlineLevel="1">
      <c r="A2597" s="353"/>
      <c r="B2597" s="38"/>
      <c r="C2597" s="160"/>
      <c r="D2597" s="160"/>
      <c r="E2597" s="160"/>
      <c r="F2597" s="160"/>
      <c r="G2597" s="160"/>
      <c r="H2597" s="160"/>
      <c r="I2597" s="160"/>
      <c r="J2597" s="160"/>
      <c r="K2597" s="160"/>
      <c r="L2597" s="160"/>
      <c r="M2597" s="160">
        <f>IF($M$2478&gt;0,IPMT('Assumptions (Battery)'!$V$9,Model!W$1,'Assumptions (Battery)'!$V$12,'Assumptions (Battery)'!$V$7*$M$2480),0)</f>
        <v>0</v>
      </c>
      <c r="N2597" s="160">
        <f>IF($M$2478&gt;0,IPMT('Assumptions (Battery)'!$V$9,Model!X$1,'Assumptions (Battery)'!$V$12,'Assumptions (Battery)'!$V$7*$M$2480),0)</f>
        <v>0</v>
      </c>
      <c r="O2597" s="160">
        <f>IF($M$2478&gt;0,IPMT('Assumptions (Battery)'!$V$9,Model!Y$1,'Assumptions (Battery)'!$V$12,'Assumptions (Battery)'!$V$7*$M$2480),0)</f>
        <v>0</v>
      </c>
      <c r="P2597" s="160">
        <f>IF($M$2478&gt;0,IPMT('Assumptions (Battery)'!$V$9,Model!Z$1,'Assumptions (Battery)'!$V$12,'Assumptions (Battery)'!$V$7*$M$2480),0)</f>
        <v>0</v>
      </c>
      <c r="Q2597" s="160">
        <f>IF($M$2478&gt;0,IPMT('Assumptions (Battery)'!$V$9,Model!AA$1,'Assumptions (Battery)'!$V$12,'Assumptions (Battery)'!$V$7*$M$2480),0)</f>
        <v>0</v>
      </c>
      <c r="R2597" s="160">
        <f>IF($M$2478&gt;0,IPMT('Assumptions (Battery)'!$V$9,Model!AB$1,'Assumptions (Battery)'!$V$12,'Assumptions (Battery)'!$V$7*$M$2480),0)</f>
        <v>0</v>
      </c>
      <c r="S2597" s="160">
        <f>IF($M$2478&gt;0,IPMT('Assumptions (Battery)'!$V$9,Model!AC$1,'Assumptions (Battery)'!$V$12,'Assumptions (Battery)'!$V$7*$M$2480),0)</f>
        <v>0</v>
      </c>
      <c r="T2597" s="160">
        <f>IF($M$2478&gt;0,IPMT('Assumptions (Battery)'!$V$9,Model!AD$1,'Assumptions (Battery)'!$V$12,'Assumptions (Battery)'!$V$7*$M$2480),0)</f>
        <v>0</v>
      </c>
      <c r="U2597" s="160">
        <f>IF($M$2478&gt;0,IPMT('Assumptions (Battery)'!$V$9,Model!AE$1,'Assumptions (Battery)'!$V$12,'Assumptions (Battery)'!$V$7*$M$2480),0)</f>
        <v>0</v>
      </c>
      <c r="V2597" s="160">
        <f>IF($M$2478&gt;0,IPMT('Assumptions (Battery)'!$V$9,Model!AF$1,'Assumptions (Battery)'!$V$12,'Assumptions (Battery)'!$V$7*$M$2480),0)</f>
        <v>0</v>
      </c>
      <c r="W2597" s="160"/>
      <c r="X2597" s="160"/>
      <c r="Y2597" s="160"/>
      <c r="Z2597" s="160"/>
      <c r="AA2597" s="160"/>
      <c r="AB2597" s="160"/>
      <c r="AC2597" s="160"/>
      <c r="AD2597" s="160"/>
      <c r="AE2597" s="160"/>
      <c r="AF2597" s="160"/>
      <c r="AG2597" s="160"/>
      <c r="AH2597" s="160"/>
      <c r="AI2597" s="160"/>
      <c r="AJ2597" s="160"/>
      <c r="AK2597" s="160"/>
      <c r="AL2597" s="356"/>
      <c r="AM2597" s="356"/>
      <c r="AN2597" s="356"/>
      <c r="AO2597" s="356"/>
      <c r="AP2597" s="356"/>
      <c r="AQ2597" s="356"/>
      <c r="AR2597" s="356"/>
      <c r="AS2597" s="356"/>
      <c r="AT2597" s="356"/>
      <c r="AU2597" s="356"/>
      <c r="AV2597" s="356"/>
      <c r="AW2597" s="356"/>
      <c r="AX2597" s="356"/>
      <c r="AY2597" s="356"/>
      <c r="AZ2597" s="356"/>
      <c r="BA2597" s="356"/>
    </row>
    <row r="2598" ht="15.75" hidden="1" customHeight="1" outlineLevel="1">
      <c r="A2598" s="353"/>
      <c r="B2598" s="38"/>
      <c r="C2598" s="160"/>
      <c r="D2598" s="160"/>
      <c r="E2598" s="160"/>
      <c r="F2598" s="160"/>
      <c r="G2598" s="160"/>
      <c r="H2598" s="160"/>
      <c r="I2598" s="160"/>
      <c r="J2598" s="160"/>
      <c r="K2598" s="160"/>
      <c r="L2598" s="160"/>
      <c r="M2598" s="160"/>
      <c r="N2598" s="177">
        <f>IF($N$2478&gt;0,IPMT('Assumptions (Battery)'!$V$9,Model!W$1,'Assumptions (Battery)'!$V$12,'Assumptions (Battery)'!$V$7*$N$2480),0)</f>
        <v>0</v>
      </c>
      <c r="O2598" s="177">
        <f>IF($N$2478&gt;0,IPMT('Assumptions (Battery)'!$V$9,Model!X$1,'Assumptions (Battery)'!$V$12,'Assumptions (Battery)'!$V$7*$N$2480),0)</f>
        <v>0</v>
      </c>
      <c r="P2598" s="177">
        <f>IF($N$2478&gt;0,IPMT('Assumptions (Battery)'!$V$9,Model!Y$1,'Assumptions (Battery)'!$V$12,'Assumptions (Battery)'!$V$7*$N$2480),0)</f>
        <v>0</v>
      </c>
      <c r="Q2598" s="177">
        <f>IF($N$2478&gt;0,IPMT('Assumptions (Battery)'!$V$9,Model!Z$1,'Assumptions (Battery)'!$V$12,'Assumptions (Battery)'!$V$7*$N$2480),0)</f>
        <v>0</v>
      </c>
      <c r="R2598" s="177">
        <f>IF($N$2478&gt;0,IPMT('Assumptions (Battery)'!$V$9,Model!AA$1,'Assumptions (Battery)'!$V$12,'Assumptions (Battery)'!$V$7*$N$2480),0)</f>
        <v>0</v>
      </c>
      <c r="S2598" s="177">
        <f>IF($N$2478&gt;0,IPMT('Assumptions (Battery)'!$V$9,Model!AB$1,'Assumptions (Battery)'!$V$12,'Assumptions (Battery)'!$V$7*$N$2480),0)</f>
        <v>0</v>
      </c>
      <c r="T2598" s="177">
        <f>IF($N$2478&gt;0,IPMT('Assumptions (Battery)'!$V$9,Model!AC$1,'Assumptions (Battery)'!$V$12,'Assumptions (Battery)'!$V$7*$N$2480),0)</f>
        <v>0</v>
      </c>
      <c r="U2598" s="177">
        <f>IF($N$2478&gt;0,IPMT('Assumptions (Battery)'!$V$9,Model!AD$1,'Assumptions (Battery)'!$V$12,'Assumptions (Battery)'!$V$7*$N$2480),0)</f>
        <v>0</v>
      </c>
      <c r="V2598" s="177">
        <f>IF($N$2478&gt;0,IPMT('Assumptions (Battery)'!$V$9,Model!AE$1,'Assumptions (Battery)'!$V$12,'Assumptions (Battery)'!$V$7*$N$2480),0)</f>
        <v>0</v>
      </c>
      <c r="W2598" s="177">
        <f>IF($N$2478&gt;0,IPMT('Assumptions (Battery)'!$V$9,Model!AF$1,'Assumptions (Battery)'!$V$12,'Assumptions (Battery)'!$V$7*$N$2480),0)</f>
        <v>0</v>
      </c>
      <c r="X2598" s="160"/>
      <c r="Y2598" s="160"/>
      <c r="Z2598" s="160"/>
      <c r="AA2598" s="160"/>
      <c r="AB2598" s="160"/>
      <c r="AC2598" s="160"/>
      <c r="AD2598" s="160"/>
      <c r="AE2598" s="160"/>
      <c r="AF2598" s="160"/>
      <c r="AG2598" s="160"/>
      <c r="AH2598" s="160"/>
      <c r="AI2598" s="160"/>
      <c r="AJ2598" s="160"/>
      <c r="AK2598" s="160"/>
      <c r="AL2598" s="160"/>
      <c r="AM2598" s="356"/>
      <c r="AN2598" s="356"/>
      <c r="AO2598" s="356"/>
      <c r="AP2598" s="356"/>
      <c r="AQ2598" s="356"/>
      <c r="AR2598" s="356"/>
      <c r="AS2598" s="356"/>
      <c r="AT2598" s="356"/>
      <c r="AU2598" s="356"/>
      <c r="AV2598" s="356"/>
      <c r="AW2598" s="356"/>
      <c r="AX2598" s="356"/>
      <c r="AY2598" s="356"/>
      <c r="AZ2598" s="356"/>
      <c r="BA2598" s="356"/>
    </row>
    <row r="2599" ht="15.75" hidden="1" customHeight="1" outlineLevel="1">
      <c r="A2599" s="353"/>
      <c r="B2599" s="38"/>
      <c r="C2599" s="160"/>
      <c r="D2599" s="160"/>
      <c r="E2599" s="160"/>
      <c r="F2599" s="160"/>
      <c r="G2599" s="160"/>
      <c r="H2599" s="160"/>
      <c r="I2599" s="160"/>
      <c r="J2599" s="160"/>
      <c r="K2599" s="160"/>
      <c r="L2599" s="160"/>
      <c r="M2599" s="160"/>
      <c r="N2599" s="160"/>
      <c r="O2599" s="160">
        <f>IF($O$2478&gt;0,IPMT('Assumptions (Battery)'!$V$9,Model!W$1,'Assumptions (Battery)'!$V$12,'Assumptions (Battery)'!$V$7*$O$2480),0)</f>
        <v>0</v>
      </c>
      <c r="P2599" s="160">
        <f>IF($O$2478&gt;0,IPMT('Assumptions (Battery)'!$V$9,Model!X$1,'Assumptions (Battery)'!$V$12,'Assumptions (Battery)'!$V$7*$O$2480),0)</f>
        <v>0</v>
      </c>
      <c r="Q2599" s="160">
        <f>IF($O$2478&gt;0,IPMT('Assumptions (Battery)'!$V$9,Model!Y$1,'Assumptions (Battery)'!$V$12,'Assumptions (Battery)'!$V$7*$O$2480),0)</f>
        <v>0</v>
      </c>
      <c r="R2599" s="160">
        <f>IF($O$2478&gt;0,IPMT('Assumptions (Battery)'!$V$9,Model!Z$1,'Assumptions (Battery)'!$V$12,'Assumptions (Battery)'!$V$7*$O$2480),0)</f>
        <v>0</v>
      </c>
      <c r="S2599" s="160">
        <f>IF($O$2478&gt;0,IPMT('Assumptions (Battery)'!$V$9,Model!AA$1,'Assumptions (Battery)'!$V$12,'Assumptions (Battery)'!$V$7*$O$2480),0)</f>
        <v>0</v>
      </c>
      <c r="T2599" s="160">
        <f>IF($O$2478&gt;0,IPMT('Assumptions (Battery)'!$V$9,Model!AB$1,'Assumptions (Battery)'!$V$12,'Assumptions (Battery)'!$V$7*$O$2480),0)</f>
        <v>0</v>
      </c>
      <c r="U2599" s="160">
        <f>IF($O$2478&gt;0,IPMT('Assumptions (Battery)'!$V$9,Model!AC$1,'Assumptions (Battery)'!$V$12,'Assumptions (Battery)'!$V$7*$O$2480),0)</f>
        <v>0</v>
      </c>
      <c r="V2599" s="160">
        <f>IF($O$2478&gt;0,IPMT('Assumptions (Battery)'!$V$9,Model!AD$1,'Assumptions (Battery)'!$V$12,'Assumptions (Battery)'!$V$7*$O$2480),0)</f>
        <v>0</v>
      </c>
      <c r="W2599" s="160">
        <f>IF($O$2478&gt;0,IPMT('Assumptions (Battery)'!$V$9,Model!AE$1,'Assumptions (Battery)'!$V$12,'Assumptions (Battery)'!$V$7*$O$2480),0)</f>
        <v>0</v>
      </c>
      <c r="X2599" s="160">
        <f>IF($O$2478&gt;0,IPMT('Assumptions (Battery)'!$V$9,Model!AF$1,'Assumptions (Battery)'!$V$12,'Assumptions (Battery)'!$V$7*$O$2480),0)</f>
        <v>0</v>
      </c>
      <c r="Y2599" s="160"/>
      <c r="Z2599" s="160"/>
      <c r="AA2599" s="160"/>
      <c r="AB2599" s="160"/>
      <c r="AC2599" s="160"/>
      <c r="AD2599" s="160"/>
      <c r="AE2599" s="160"/>
      <c r="AF2599" s="160"/>
      <c r="AG2599" s="160"/>
      <c r="AH2599" s="160"/>
      <c r="AI2599" s="160"/>
      <c r="AJ2599" s="160"/>
      <c r="AK2599" s="160"/>
      <c r="AL2599" s="160"/>
      <c r="AM2599" s="160"/>
      <c r="AN2599" s="356"/>
      <c r="AO2599" s="356"/>
      <c r="AP2599" s="356"/>
      <c r="AQ2599" s="356"/>
      <c r="AR2599" s="356"/>
      <c r="AS2599" s="356"/>
      <c r="AT2599" s="356"/>
      <c r="AU2599" s="356"/>
      <c r="AV2599" s="356"/>
      <c r="AW2599" s="356"/>
      <c r="AX2599" s="356"/>
      <c r="AY2599" s="356"/>
      <c r="AZ2599" s="356"/>
      <c r="BA2599" s="356"/>
    </row>
    <row r="2600" ht="15.75" hidden="1" customHeight="1" outlineLevel="1">
      <c r="A2600" s="353"/>
      <c r="B2600" s="38"/>
      <c r="C2600" s="160"/>
      <c r="D2600" s="160"/>
      <c r="E2600" s="160"/>
      <c r="F2600" s="160"/>
      <c r="G2600" s="160"/>
      <c r="H2600" s="160"/>
      <c r="I2600" s="160"/>
      <c r="J2600" s="160"/>
      <c r="K2600" s="160"/>
      <c r="L2600" s="160"/>
      <c r="M2600" s="160"/>
      <c r="N2600" s="160"/>
      <c r="O2600" s="160"/>
      <c r="P2600" s="177">
        <f>IF($P$2478&gt;0,IPMT('Assumptions (Battery)'!$V$9,Model!W$1,'Assumptions (Battery)'!$V$12,'Assumptions (Battery)'!$V$7*$P$2480),0)</f>
        <v>0</v>
      </c>
      <c r="Q2600" s="177">
        <f>IF($P$2478&gt;0,IPMT('Assumptions (Battery)'!$V$9,Model!X$1,'Assumptions (Battery)'!$V$12,'Assumptions (Battery)'!$V$7*$P$2480),0)</f>
        <v>0</v>
      </c>
      <c r="R2600" s="177">
        <f>IF($P$2478&gt;0,IPMT('Assumptions (Battery)'!$V$9,Model!Y$1,'Assumptions (Battery)'!$V$12,'Assumptions (Battery)'!$V$7*$P$2480),0)</f>
        <v>0</v>
      </c>
      <c r="S2600" s="177">
        <f>IF($P$2478&gt;0,IPMT('Assumptions (Battery)'!$V$9,Model!Z$1,'Assumptions (Battery)'!$V$12,'Assumptions (Battery)'!$V$7*$P$2480),0)</f>
        <v>0</v>
      </c>
      <c r="T2600" s="177">
        <f>IF($P$2478&gt;0,IPMT('Assumptions (Battery)'!$V$9,Model!AA$1,'Assumptions (Battery)'!$V$12,'Assumptions (Battery)'!$V$7*$P$2480),0)</f>
        <v>0</v>
      </c>
      <c r="U2600" s="177">
        <f>IF($P$2478&gt;0,IPMT('Assumptions (Battery)'!$V$9,Model!AB$1,'Assumptions (Battery)'!$V$12,'Assumptions (Battery)'!$V$7*$P$2480),0)</f>
        <v>0</v>
      </c>
      <c r="V2600" s="177">
        <f>IF($P$2478&gt;0,IPMT('Assumptions (Battery)'!$V$9,Model!AC$1,'Assumptions (Battery)'!$V$12,'Assumptions (Battery)'!$V$7*$P$2480),0)</f>
        <v>0</v>
      </c>
      <c r="W2600" s="177">
        <f>IF($P$2478&gt;0,IPMT('Assumptions (Battery)'!$V$9,Model!AD$1,'Assumptions (Battery)'!$V$12,'Assumptions (Battery)'!$V$7*$P$2480),0)</f>
        <v>0</v>
      </c>
      <c r="X2600" s="160">
        <f>IF($P$2478&gt;0,IPMT('Assumptions (Battery)'!$V$9,Model!AE$1,'Assumptions (Battery)'!$V$12,'Assumptions (Battery)'!$V$7*$P$2480),0)</f>
        <v>0</v>
      </c>
      <c r="Y2600" s="160">
        <f>IF($P$2478&gt;0,IPMT('Assumptions (Battery)'!$V$9,Model!AF$1,'Assumptions (Battery)'!$V$12,'Assumptions (Battery)'!$V$7*$P$2480),0)</f>
        <v>0</v>
      </c>
      <c r="Z2600" s="160"/>
      <c r="AA2600" s="160"/>
      <c r="AB2600" s="160"/>
      <c r="AC2600" s="160"/>
      <c r="AD2600" s="160"/>
      <c r="AE2600" s="160"/>
      <c r="AF2600" s="160"/>
      <c r="AG2600" s="160"/>
      <c r="AH2600" s="160"/>
      <c r="AI2600" s="160"/>
      <c r="AJ2600" s="160"/>
      <c r="AK2600" s="160"/>
      <c r="AL2600" s="160"/>
      <c r="AM2600" s="160"/>
      <c r="AN2600" s="160"/>
      <c r="AO2600" s="356"/>
      <c r="AP2600" s="356"/>
      <c r="AQ2600" s="356"/>
      <c r="AR2600" s="356"/>
      <c r="AS2600" s="356"/>
      <c r="AT2600" s="356"/>
      <c r="AU2600" s="356"/>
      <c r="AV2600" s="356"/>
      <c r="AW2600" s="356"/>
      <c r="AX2600" s="356"/>
      <c r="AY2600" s="356"/>
      <c r="AZ2600" s="356"/>
      <c r="BA2600" s="356"/>
    </row>
    <row r="2601" ht="15.75" hidden="1" customHeight="1" outlineLevel="1">
      <c r="A2601" s="353"/>
      <c r="B2601" s="38"/>
      <c r="C2601" s="160"/>
      <c r="D2601" s="160"/>
      <c r="E2601" s="160"/>
      <c r="F2601" s="160"/>
      <c r="G2601" s="160"/>
      <c r="H2601" s="160"/>
      <c r="I2601" s="160"/>
      <c r="J2601" s="160"/>
      <c r="K2601" s="160"/>
      <c r="L2601" s="160"/>
      <c r="M2601" s="160"/>
      <c r="N2601" s="160"/>
      <c r="O2601" s="160"/>
      <c r="P2601" s="179"/>
      <c r="Q2601" s="160">
        <f>IF($Q$2478&gt;0,IPMT('Assumptions (Battery)'!$V$9,Model!W$1,'Assumptions (Battery)'!$V$12,'Assumptions (Battery)'!$V$7*$Q$2480),0)</f>
        <v>0</v>
      </c>
      <c r="R2601" s="160">
        <f>IF($Q$2478&gt;0,IPMT('Assumptions (Battery)'!$V$9,Model!X$1,'Assumptions (Battery)'!$V$12,'Assumptions (Battery)'!$V$7*$Q$2480),0)</f>
        <v>0</v>
      </c>
      <c r="S2601" s="160">
        <f>IF($Q$2478&gt;0,IPMT('Assumptions (Battery)'!$V$9,Model!Y$1,'Assumptions (Battery)'!$V$12,'Assumptions (Battery)'!$V$7*$Q$2480),0)</f>
        <v>0</v>
      </c>
      <c r="T2601" s="160">
        <f>IF($Q$2478&gt;0,IPMT('Assumptions (Battery)'!$V$9,Model!Z$1,'Assumptions (Battery)'!$V$12,'Assumptions (Battery)'!$V$7*$Q$2480),0)</f>
        <v>0</v>
      </c>
      <c r="U2601" s="160">
        <f>IF($Q$2478&gt;0,IPMT('Assumptions (Battery)'!$V$9,Model!AA$1,'Assumptions (Battery)'!$V$12,'Assumptions (Battery)'!$V$7*$Q$2480),0)</f>
        <v>0</v>
      </c>
      <c r="V2601" s="160">
        <f>IF($Q$2478&gt;0,IPMT('Assumptions (Battery)'!$V$9,Model!AB$1,'Assumptions (Battery)'!$V$12,'Assumptions (Battery)'!$V$7*$Q$2480),0)</f>
        <v>0</v>
      </c>
      <c r="W2601" s="160">
        <f>IF($Q$2478&gt;0,IPMT('Assumptions (Battery)'!$V$9,Model!AC$1,'Assumptions (Battery)'!$V$12,'Assumptions (Battery)'!$V$7*$Q$2480),0)</f>
        <v>0</v>
      </c>
      <c r="X2601" s="160">
        <f>IF($Q$2478&gt;0,IPMT('Assumptions (Battery)'!$V$9,Model!AD$1,'Assumptions (Battery)'!$V$12,'Assumptions (Battery)'!$V$7*$Q$2480),0)</f>
        <v>0</v>
      </c>
      <c r="Y2601" s="160">
        <f>IF($Q$2478&gt;0,IPMT('Assumptions (Battery)'!$V$9,Model!AE$1,'Assumptions (Battery)'!$V$12,'Assumptions (Battery)'!$V$7*$Q$2480),0)</f>
        <v>0</v>
      </c>
      <c r="Z2601" s="160">
        <f>IF($Q$2478&gt;0,IPMT('Assumptions (Battery)'!$V$9,Model!AF$1,'Assumptions (Battery)'!$V$12,'Assumptions (Battery)'!$V$7*$Q$2480),0)</f>
        <v>0</v>
      </c>
      <c r="AA2601" s="160"/>
      <c r="AB2601" s="160"/>
      <c r="AC2601" s="160"/>
      <c r="AD2601" s="160"/>
      <c r="AE2601" s="160"/>
      <c r="AF2601" s="160"/>
      <c r="AG2601" s="160"/>
      <c r="AH2601" s="160"/>
      <c r="AI2601" s="160"/>
      <c r="AJ2601" s="160"/>
      <c r="AK2601" s="160"/>
      <c r="AL2601" s="160"/>
      <c r="AM2601" s="160"/>
      <c r="AN2601" s="160"/>
      <c r="AO2601" s="160"/>
      <c r="AP2601" s="356"/>
      <c r="AQ2601" s="356"/>
      <c r="AR2601" s="356"/>
      <c r="AS2601" s="356"/>
      <c r="AT2601" s="356"/>
      <c r="AU2601" s="356"/>
      <c r="AV2601" s="356"/>
      <c r="AW2601" s="356"/>
      <c r="AX2601" s="356"/>
      <c r="AY2601" s="356"/>
      <c r="AZ2601" s="356"/>
      <c r="BA2601" s="356"/>
    </row>
    <row r="2602" ht="15.75" hidden="1" customHeight="1" outlineLevel="1">
      <c r="A2602" s="353"/>
      <c r="B2602" s="38"/>
      <c r="C2602" s="160"/>
      <c r="D2602" s="160"/>
      <c r="E2602" s="160"/>
      <c r="F2602" s="160"/>
      <c r="G2602" s="160"/>
      <c r="H2602" s="160"/>
      <c r="I2602" s="160"/>
      <c r="J2602" s="160"/>
      <c r="K2602" s="160"/>
      <c r="L2602" s="160"/>
      <c r="M2602" s="160"/>
      <c r="N2602" s="160"/>
      <c r="O2602" s="160"/>
      <c r="P2602" s="179"/>
      <c r="Q2602" s="160"/>
      <c r="R2602" s="177">
        <f>IF($R$2478&gt;0,IPMT('Assumptions (Battery)'!$V$9,Model!W$1,'Assumptions (Battery)'!$V$12,'Assumptions (Battery)'!$V$7*$R$2480),0)</f>
        <v>0</v>
      </c>
      <c r="S2602" s="177">
        <f>IF($R$2478&gt;0,IPMT('Assumptions (Battery)'!$V$9,Model!X$1,'Assumptions (Battery)'!$V$12,'Assumptions (Battery)'!$V$7*$R$2480),0)</f>
        <v>0</v>
      </c>
      <c r="T2602" s="177">
        <f>IF($R$2478&gt;0,IPMT('Assumptions (Battery)'!$V$9,Model!Y$1,'Assumptions (Battery)'!$V$12,'Assumptions (Battery)'!$V$7*$R$2480),0)</f>
        <v>0</v>
      </c>
      <c r="U2602" s="177">
        <f>IF($R$2478&gt;0,IPMT('Assumptions (Battery)'!$V$9,Model!Z$1,'Assumptions (Battery)'!$V$12,'Assumptions (Battery)'!$V$7*$R$2480),0)</f>
        <v>0</v>
      </c>
      <c r="V2602" s="177">
        <f>IF($R$2478&gt;0,IPMT('Assumptions (Battery)'!$V$9,Model!AA$1,'Assumptions (Battery)'!$V$12,'Assumptions (Battery)'!$V$7*$R$2480),0)</f>
        <v>0</v>
      </c>
      <c r="W2602" s="177">
        <f>IF($R$2478&gt;0,IPMT('Assumptions (Battery)'!$V$9,Model!AB$1,'Assumptions (Battery)'!$V$12,'Assumptions (Battery)'!$V$7*$R$2480),0)</f>
        <v>0</v>
      </c>
      <c r="X2602" s="160">
        <f>IF($R$2478&gt;0,IPMT('Assumptions (Battery)'!$V$9,Model!AC$1,'Assumptions (Battery)'!$V$12,'Assumptions (Battery)'!$V$7*$R$2480),0)</f>
        <v>0</v>
      </c>
      <c r="Y2602" s="160">
        <f>IF($R$2478&gt;0,IPMT('Assumptions (Battery)'!$V$9,Model!AD$1,'Assumptions (Battery)'!$V$12,'Assumptions (Battery)'!$V$7*$R$2480),0)</f>
        <v>0</v>
      </c>
      <c r="Z2602" s="160">
        <f>IF($R$2478&gt;0,IPMT('Assumptions (Battery)'!$V$9,Model!AE$1,'Assumptions (Battery)'!$V$12,'Assumptions (Battery)'!$V$7*$R$2480),0)</f>
        <v>0</v>
      </c>
      <c r="AA2602" s="160">
        <f>IF($R$2478&gt;0,IPMT('Assumptions (Battery)'!$V$9,Model!AF$1,'Assumptions (Battery)'!$V$12,'Assumptions (Battery)'!$V$7*$R$2480),0)</f>
        <v>0</v>
      </c>
      <c r="AB2602" s="160"/>
      <c r="AC2602" s="160"/>
      <c r="AD2602" s="160"/>
      <c r="AE2602" s="160"/>
      <c r="AF2602" s="160"/>
      <c r="AG2602" s="160"/>
      <c r="AH2602" s="160"/>
      <c r="AI2602" s="160"/>
      <c r="AJ2602" s="160"/>
      <c r="AK2602" s="160"/>
      <c r="AL2602" s="160"/>
      <c r="AM2602" s="160"/>
      <c r="AN2602" s="160"/>
      <c r="AO2602" s="160"/>
      <c r="AP2602" s="160"/>
      <c r="AQ2602" s="356"/>
      <c r="AR2602" s="356"/>
      <c r="AS2602" s="356"/>
      <c r="AT2602" s="356"/>
      <c r="AU2602" s="356"/>
      <c r="AV2602" s="356"/>
      <c r="AW2602" s="356"/>
      <c r="AX2602" s="356"/>
      <c r="AY2602" s="356"/>
      <c r="AZ2602" s="356"/>
      <c r="BA2602" s="356"/>
    </row>
    <row r="2603" ht="15.75" hidden="1" customHeight="1" outlineLevel="1">
      <c r="A2603" s="353"/>
      <c r="B2603" s="38"/>
      <c r="C2603" s="160"/>
      <c r="D2603" s="160"/>
      <c r="E2603" s="160"/>
      <c r="F2603" s="160"/>
      <c r="G2603" s="160"/>
      <c r="H2603" s="160"/>
      <c r="I2603" s="160"/>
      <c r="J2603" s="160"/>
      <c r="K2603" s="160"/>
      <c r="L2603" s="160"/>
      <c r="M2603" s="160"/>
      <c r="N2603" s="160"/>
      <c r="O2603" s="160"/>
      <c r="P2603" s="179"/>
      <c r="Q2603" s="160"/>
      <c r="R2603" s="177"/>
      <c r="S2603" s="160">
        <f>IF($S$2478&gt;0,IPMT('Assumptions (Battery)'!$V$9,Model!W$1,'Assumptions (Battery)'!$V$12,'Assumptions (Battery)'!$V$7*$S$2480),0)</f>
        <v>0</v>
      </c>
      <c r="T2603" s="160">
        <f>IF($S$2478&gt;0,IPMT('Assumptions (Battery)'!$V$9,Model!X$1,'Assumptions (Battery)'!$V$12,'Assumptions (Battery)'!$V$7*$S$2480),0)</f>
        <v>0</v>
      </c>
      <c r="U2603" s="160">
        <f>IF($S$2478&gt;0,IPMT('Assumptions (Battery)'!$V$9,Model!Y$1,'Assumptions (Battery)'!$V$12,'Assumptions (Battery)'!$V$7*$S$2480),0)</f>
        <v>0</v>
      </c>
      <c r="V2603" s="160">
        <f>IF($S$2478&gt;0,IPMT('Assumptions (Battery)'!$V$9,Model!Z$1,'Assumptions (Battery)'!$V$12,'Assumptions (Battery)'!$V$7*$S$2480),0)</f>
        <v>0</v>
      </c>
      <c r="W2603" s="160">
        <f>IF($S$2478&gt;0,IPMT('Assumptions (Battery)'!$V$9,Model!AA$1,'Assumptions (Battery)'!$V$12,'Assumptions (Battery)'!$V$7*$S$2480),0)</f>
        <v>0</v>
      </c>
      <c r="X2603" s="160">
        <f>IF($S$2478&gt;0,IPMT('Assumptions (Battery)'!$V$9,Model!AB$1,'Assumptions (Battery)'!$V$12,'Assumptions (Battery)'!$V$7*$S$2480),0)</f>
        <v>0</v>
      </c>
      <c r="Y2603" s="160">
        <f>IF($S$2478&gt;0,IPMT('Assumptions (Battery)'!$V$9,Model!AC$1,'Assumptions (Battery)'!$V$12,'Assumptions (Battery)'!$V$7*$S$2480),0)</f>
        <v>0</v>
      </c>
      <c r="Z2603" s="160">
        <f>IF($S$2478&gt;0,IPMT('Assumptions (Battery)'!$V$9,Model!AD$1,'Assumptions (Battery)'!$V$12,'Assumptions (Battery)'!$V$7*$S$2480),0)</f>
        <v>0</v>
      </c>
      <c r="AA2603" s="160">
        <f>IF($S$2478&gt;0,IPMT('Assumptions (Battery)'!$V$9,Model!AE$1,'Assumptions (Battery)'!$V$12,'Assumptions (Battery)'!$V$7*$S$2480),0)</f>
        <v>0</v>
      </c>
      <c r="AB2603" s="160">
        <f>IF($S$2478&gt;0,IPMT('Assumptions (Battery)'!$V$9,Model!AF$1,'Assumptions (Battery)'!$V$12,'Assumptions (Battery)'!$V$7*$S$2480),0)</f>
        <v>0</v>
      </c>
      <c r="AC2603" s="160"/>
      <c r="AD2603" s="160"/>
      <c r="AE2603" s="160"/>
      <c r="AF2603" s="160"/>
      <c r="AG2603" s="160"/>
      <c r="AH2603" s="160"/>
      <c r="AI2603" s="160"/>
      <c r="AJ2603" s="160"/>
      <c r="AK2603" s="160"/>
      <c r="AL2603" s="160"/>
      <c r="AM2603" s="160"/>
      <c r="AN2603" s="160"/>
      <c r="AO2603" s="160"/>
      <c r="AP2603" s="160"/>
      <c r="AQ2603" s="160"/>
      <c r="AR2603" s="356"/>
      <c r="AS2603" s="356"/>
      <c r="AT2603" s="356"/>
      <c r="AU2603" s="356"/>
      <c r="AV2603" s="356"/>
      <c r="AW2603" s="356"/>
      <c r="AX2603" s="356"/>
      <c r="AY2603" s="356"/>
      <c r="AZ2603" s="356"/>
      <c r="BA2603" s="356"/>
    </row>
    <row r="2604" ht="15.75" hidden="1" customHeight="1" outlineLevel="1">
      <c r="A2604" s="353"/>
      <c r="B2604" s="38"/>
      <c r="C2604" s="160"/>
      <c r="D2604" s="160"/>
      <c r="E2604" s="160"/>
      <c r="F2604" s="160"/>
      <c r="G2604" s="160"/>
      <c r="H2604" s="160"/>
      <c r="I2604" s="160"/>
      <c r="J2604" s="160"/>
      <c r="K2604" s="160"/>
      <c r="L2604" s="160"/>
      <c r="M2604" s="160"/>
      <c r="N2604" s="160"/>
      <c r="O2604" s="160"/>
      <c r="P2604" s="179"/>
      <c r="Q2604" s="160"/>
      <c r="R2604" s="177"/>
      <c r="S2604" s="177"/>
      <c r="T2604" s="160">
        <f>IF($T$2478&gt;0,IPMT('Assumptions (Battery)'!$V$9,Model!W$1,'Assumptions (Battery)'!$V$12,'Assumptions (Battery)'!$V$7*$T$2480),0)</f>
        <v>-0.0001099575046</v>
      </c>
      <c r="U2604" s="160">
        <f>IF($T$2478&gt;0,IPMT('Assumptions (Battery)'!$V$9,Model!X$1,'Assumptions (Battery)'!$V$12,'Assumptions (Battery)'!$V$7*$T$2480),0)</f>
        <v>-0.0001023671943</v>
      </c>
      <c r="V2604" s="160">
        <f>IF($T$2478&gt;0,IPMT('Assumptions (Battery)'!$V$9,Model!Y$1,'Assumptions (Battery)'!$V$12,'Assumptions (Battery)'!$V$7*$T$2480),0)</f>
        <v>-0.00009416965915</v>
      </c>
      <c r="W2604" s="160">
        <f>IF($T$2478&gt;0,IPMT('Assumptions (Battery)'!$V$9,Model!Z$1,'Assumptions (Battery)'!$V$12,'Assumptions (Battery)'!$V$7*$T$2480),0)</f>
        <v>-0.00008531632119</v>
      </c>
      <c r="X2604" s="160">
        <f>IF($T$2478&gt;0,IPMT('Assumptions (Battery)'!$V$9,Model!AA$1,'Assumptions (Battery)'!$V$12,'Assumptions (Battery)'!$V$7*$T$2480),0)</f>
        <v>-0.0000757547162</v>
      </c>
      <c r="Y2604" s="160">
        <f>IF($T$2478&gt;0,IPMT('Assumptions (Battery)'!$V$9,Model!AB$1,'Assumptions (Battery)'!$V$12,'Assumptions (Battery)'!$V$7*$T$2480),0)</f>
        <v>-0.0000654281828</v>
      </c>
      <c r="Z2604" s="160">
        <f>IF($T$2478&gt;0,IPMT('Assumptions (Battery)'!$V$9,Model!AC$1,'Assumptions (Battery)'!$V$12,'Assumptions (Battery)'!$V$7*$T$2480),0)</f>
        <v>-0.00005427552673</v>
      </c>
      <c r="AA2604" s="160">
        <f>IF($T$2478&gt;0,IPMT('Assumptions (Battery)'!$V$9,Model!AD$1,'Assumptions (Battery)'!$V$12,'Assumptions (Battery)'!$V$7*$T$2480),0)</f>
        <v>-0.00004223065818</v>
      </c>
      <c r="AB2604" s="160">
        <f>IF($T$2478&gt;0,IPMT('Assumptions (Battery)'!$V$9,Model!AE$1,'Assumptions (Battery)'!$V$12,'Assumptions (Battery)'!$V$7*$T$2480),0)</f>
        <v>-0.00002922220014</v>
      </c>
      <c r="AC2604" s="160">
        <f>IF($T$2478&gt;0,IPMT('Assumptions (Battery)'!$V$9,Model!AF$1,'Assumptions (Battery)'!$V$12,'Assumptions (Battery)'!$V$7*$T$2480),0)</f>
        <v>-0.00001517306546</v>
      </c>
      <c r="AD2604" s="160"/>
      <c r="AE2604" s="160"/>
      <c r="AF2604" s="160"/>
      <c r="AG2604" s="160"/>
      <c r="AH2604" s="160"/>
      <c r="AI2604" s="160"/>
      <c r="AJ2604" s="160"/>
      <c r="AK2604" s="160"/>
      <c r="AL2604" s="160"/>
      <c r="AM2604" s="160"/>
      <c r="AN2604" s="160"/>
      <c r="AO2604" s="160"/>
      <c r="AP2604" s="160"/>
      <c r="AQ2604" s="160"/>
      <c r="AR2604" s="160"/>
      <c r="AS2604" s="356"/>
      <c r="AT2604" s="356"/>
      <c r="AU2604" s="356"/>
      <c r="AV2604" s="356"/>
      <c r="AW2604" s="356"/>
      <c r="AX2604" s="356"/>
      <c r="AY2604" s="356"/>
      <c r="AZ2604" s="356"/>
      <c r="BA2604" s="356"/>
    </row>
    <row r="2605" ht="15.75" hidden="1" customHeight="1" outlineLevel="1">
      <c r="A2605" s="353"/>
      <c r="B2605" s="38"/>
      <c r="C2605" s="160"/>
      <c r="D2605" s="160"/>
      <c r="E2605" s="160"/>
      <c r="F2605" s="160"/>
      <c r="G2605" s="160"/>
      <c r="H2605" s="160"/>
      <c r="I2605" s="160"/>
      <c r="J2605" s="160"/>
      <c r="K2605" s="160"/>
      <c r="L2605" s="160"/>
      <c r="M2605" s="160"/>
      <c r="N2605" s="160"/>
      <c r="O2605" s="160"/>
      <c r="P2605" s="179"/>
      <c r="Q2605" s="160"/>
      <c r="R2605" s="177"/>
      <c r="S2605" s="177"/>
      <c r="T2605" s="177"/>
      <c r="U2605" s="160">
        <f>IF($U$2478&gt;0,IPMT('Assumptions (Battery)'!$V$9,Model!W$1,'Assumptions (Battery)'!$V$12,'Assumptions (Battery)'!$V$7*$U$2480),0)</f>
        <v>0</v>
      </c>
      <c r="V2605" s="160">
        <f>IF($U$2478&gt;0,IPMT('Assumptions (Battery)'!$V$9,Model!X$1,'Assumptions (Battery)'!$V$12,'Assumptions (Battery)'!$V$7*$U$2480),0)</f>
        <v>0</v>
      </c>
      <c r="W2605" s="160">
        <f>IF($U$2478&gt;0,IPMT('Assumptions (Battery)'!$V$9,Model!Y$1,'Assumptions (Battery)'!$V$12,'Assumptions (Battery)'!$V$7*$U$2480),0)</f>
        <v>0</v>
      </c>
      <c r="X2605" s="160">
        <f>IF($U$2478&gt;0,IPMT('Assumptions (Battery)'!$V$9,Model!Z$1,'Assumptions (Battery)'!$V$12,'Assumptions (Battery)'!$V$7*$U$2480),0)</f>
        <v>0</v>
      </c>
      <c r="Y2605" s="160">
        <f>IF($U$2478&gt;0,IPMT('Assumptions (Battery)'!$V$9,Model!AA$1,'Assumptions (Battery)'!$V$12,'Assumptions (Battery)'!$V$7*$U$2480),0)</f>
        <v>0</v>
      </c>
      <c r="Z2605" s="160">
        <f>IF($U$2478&gt;0,IPMT('Assumptions (Battery)'!$V$9,Model!AB$1,'Assumptions (Battery)'!$V$12,'Assumptions (Battery)'!$V$7*$U$2480),0)</f>
        <v>0</v>
      </c>
      <c r="AA2605" s="160">
        <f>IF($U$2478&gt;0,IPMT('Assumptions (Battery)'!$V$9,Model!AC$1,'Assumptions (Battery)'!$V$12,'Assumptions (Battery)'!$V$7*$U$2480),0)</f>
        <v>0</v>
      </c>
      <c r="AB2605" s="160">
        <f>IF($U$2478&gt;0,IPMT('Assumptions (Battery)'!$V$9,Model!AD$1,'Assumptions (Battery)'!$V$12,'Assumptions (Battery)'!$V$7*$U$2480),0)</f>
        <v>0</v>
      </c>
      <c r="AC2605" s="160">
        <f>IF($U$2478&gt;0,IPMT('Assumptions (Battery)'!$V$9,Model!AE$1,'Assumptions (Battery)'!$V$12,'Assumptions (Battery)'!$V$7*$U$2480),0)</f>
        <v>0</v>
      </c>
      <c r="AD2605" s="160">
        <f>IF($U$2478&gt;0,IPMT('Assumptions (Battery)'!$V$9,Model!AF$1,'Assumptions (Battery)'!$V$12,'Assumptions (Battery)'!$V$7*$U$2480),0)</f>
        <v>0</v>
      </c>
      <c r="AE2605" s="160"/>
      <c r="AF2605" s="160"/>
      <c r="AG2605" s="160"/>
      <c r="AH2605" s="160"/>
      <c r="AI2605" s="160"/>
      <c r="AJ2605" s="160"/>
      <c r="AK2605" s="160"/>
      <c r="AL2605" s="160"/>
      <c r="AM2605" s="160"/>
      <c r="AN2605" s="160"/>
      <c r="AO2605" s="160"/>
      <c r="AP2605" s="160"/>
      <c r="AQ2605" s="160"/>
      <c r="AR2605" s="160"/>
      <c r="AS2605" s="160"/>
      <c r="AT2605" s="356"/>
      <c r="AU2605" s="356"/>
      <c r="AV2605" s="356"/>
      <c r="AW2605" s="356"/>
      <c r="AX2605" s="356"/>
      <c r="AY2605" s="356"/>
      <c r="AZ2605" s="356"/>
      <c r="BA2605" s="356"/>
    </row>
    <row r="2606" ht="15.75" hidden="1" customHeight="1" outlineLevel="1">
      <c r="A2606" s="353"/>
      <c r="B2606" s="38"/>
      <c r="C2606" s="160"/>
      <c r="D2606" s="160"/>
      <c r="E2606" s="160"/>
      <c r="F2606" s="160"/>
      <c r="G2606" s="160"/>
      <c r="H2606" s="160"/>
      <c r="I2606" s="160"/>
      <c r="J2606" s="160"/>
      <c r="K2606" s="160"/>
      <c r="L2606" s="160"/>
      <c r="M2606" s="160"/>
      <c r="N2606" s="160"/>
      <c r="O2606" s="160"/>
      <c r="P2606" s="179"/>
      <c r="Q2606" s="160"/>
      <c r="R2606" s="177"/>
      <c r="S2606" s="177"/>
      <c r="T2606" s="177"/>
      <c r="U2606" s="160"/>
      <c r="V2606" s="160">
        <f>IF($V$2478&gt;0,IPMT('Assumptions (Battery)'!$V$9,Model!W$1,'Assumptions (Battery)'!$V$12,'Assumptions (Battery)'!$V$7*$V$2480),0)</f>
        <v>0</v>
      </c>
      <c r="W2606" s="160">
        <f>IF($V$2478&gt;0,IPMT('Assumptions (Battery)'!$V$9,Model!X$1,'Assumptions (Battery)'!$V$12,'Assumptions (Battery)'!$V$7*$V$2480),0)</f>
        <v>0</v>
      </c>
      <c r="X2606" s="160">
        <f>IF($V$2478&gt;0,IPMT('Assumptions (Battery)'!$V$9,Model!Y$1,'Assumptions (Battery)'!$V$12,'Assumptions (Battery)'!$V$7*$V$2480),0)</f>
        <v>0</v>
      </c>
      <c r="Y2606" s="160">
        <f>IF($V$2478&gt;0,IPMT('Assumptions (Battery)'!$V$9,Model!Z$1,'Assumptions (Battery)'!$V$12,'Assumptions (Battery)'!$V$7*$V$2480),0)</f>
        <v>0</v>
      </c>
      <c r="Z2606" s="160">
        <f>IF($V$2478&gt;0,IPMT('Assumptions (Battery)'!$V$9,Model!AA$1,'Assumptions (Battery)'!$V$12,'Assumptions (Battery)'!$V$7*$V$2480),0)</f>
        <v>0</v>
      </c>
      <c r="AA2606" s="160">
        <f>IF($V$2478&gt;0,IPMT('Assumptions (Battery)'!$V$9,Model!AB$1,'Assumptions (Battery)'!$V$12,'Assumptions (Battery)'!$V$7*$V$2480),0)</f>
        <v>0</v>
      </c>
      <c r="AB2606" s="160">
        <f>IF($V$2478&gt;0,IPMT('Assumptions (Battery)'!$V$9,Model!AC$1,'Assumptions (Battery)'!$V$12,'Assumptions (Battery)'!$V$7*$V$2480),0)</f>
        <v>0</v>
      </c>
      <c r="AC2606" s="160">
        <f>IF($V$2478&gt;0,IPMT('Assumptions (Battery)'!$V$9,Model!AD$1,'Assumptions (Battery)'!$V$12,'Assumptions (Battery)'!$V$7*$V$2480),0)</f>
        <v>0</v>
      </c>
      <c r="AD2606" s="160">
        <f>IF($V$2478&gt;0,IPMT('Assumptions (Battery)'!$V$9,Model!AE$1,'Assumptions (Battery)'!$V$12,'Assumptions (Battery)'!$V$7*$V$2480),0)</f>
        <v>0</v>
      </c>
      <c r="AE2606" s="160">
        <f>IF($V$2478&gt;0,IPMT('Assumptions (Battery)'!$V$9,Model!AF$1,'Assumptions (Battery)'!$V$12,'Assumptions (Battery)'!$V$7*$V$2480),0)</f>
        <v>0</v>
      </c>
      <c r="AF2606" s="160"/>
      <c r="AG2606" s="160"/>
      <c r="AH2606" s="160"/>
      <c r="AI2606" s="160"/>
      <c r="AJ2606" s="160"/>
      <c r="AK2606" s="160"/>
      <c r="AL2606" s="160"/>
      <c r="AM2606" s="160"/>
      <c r="AN2606" s="160"/>
      <c r="AO2606" s="160"/>
      <c r="AP2606" s="160"/>
      <c r="AQ2606" s="160"/>
      <c r="AR2606" s="160"/>
      <c r="AS2606" s="160"/>
      <c r="AT2606" s="160"/>
      <c r="AU2606" s="356"/>
      <c r="AV2606" s="356"/>
      <c r="AW2606" s="356"/>
      <c r="AX2606" s="356"/>
      <c r="AY2606" s="356"/>
      <c r="AZ2606" s="356"/>
      <c r="BA2606" s="356"/>
    </row>
    <row r="2607" ht="15.75" hidden="1" customHeight="1" outlineLevel="1">
      <c r="A2607" s="353"/>
      <c r="B2607" s="38"/>
      <c r="C2607" s="174"/>
      <c r="D2607" s="174"/>
      <c r="E2607" s="174"/>
      <c r="F2607" s="174"/>
      <c r="G2607" s="174"/>
      <c r="H2607" s="174"/>
      <c r="I2607" s="174"/>
      <c r="J2607" s="174"/>
      <c r="K2607" s="174"/>
      <c r="L2607" s="174"/>
      <c r="M2607" s="174"/>
      <c r="N2607" s="174"/>
      <c r="O2607" s="174"/>
      <c r="P2607" s="174"/>
      <c r="Q2607" s="174"/>
      <c r="R2607" s="174"/>
      <c r="S2607" s="174"/>
      <c r="T2607" s="174"/>
      <c r="U2607" s="174"/>
      <c r="V2607" s="174"/>
      <c r="W2607" s="160">
        <f>IF($W$2478&gt;0,IPMT('Assumptions (Battery)'!$V$9,Model!W$1,'Assumptions (Battery)'!$V$12,'Assumptions (Battery)'!$V$7*$W$2480),0)</f>
        <v>0</v>
      </c>
      <c r="X2607" s="160">
        <f>IF($W$2478&gt;0,IPMT('Assumptions (Battery)'!$V$9,Model!X$1,'Assumptions (Battery)'!$V$12,'Assumptions (Battery)'!$V$7*$W$2480),0)</f>
        <v>0</v>
      </c>
      <c r="Y2607" s="160">
        <f>IF($W$2478&gt;0,IPMT('Assumptions (Battery)'!$V$9,Model!Y$1,'Assumptions (Battery)'!$V$12,'Assumptions (Battery)'!$V$7*$W$2480),0)</f>
        <v>0</v>
      </c>
      <c r="Z2607" s="160">
        <f>IF($W$2478&gt;0,IPMT('Assumptions (Battery)'!$V$9,Model!Z$1,'Assumptions (Battery)'!$V$12,'Assumptions (Battery)'!$V$7*$W$2480),0)</f>
        <v>0</v>
      </c>
      <c r="AA2607" s="160">
        <f>IF($W$2478&gt;0,IPMT('Assumptions (Battery)'!$V$9,Model!AA$1,'Assumptions (Battery)'!$V$12,'Assumptions (Battery)'!$V$7*$W$2480),0)</f>
        <v>0</v>
      </c>
      <c r="AB2607" s="160">
        <f>IF($W$2478&gt;0,IPMT('Assumptions (Battery)'!$V$9,Model!AB$1,'Assumptions (Battery)'!$V$12,'Assumptions (Battery)'!$V$7*$W$2480),0)</f>
        <v>0</v>
      </c>
      <c r="AC2607" s="160">
        <f>IF($W$2478&gt;0,IPMT('Assumptions (Battery)'!$V$9,Model!AC$1,'Assumptions (Battery)'!$V$12,'Assumptions (Battery)'!$V$7*$W$2480),0)</f>
        <v>0</v>
      </c>
      <c r="AD2607" s="160">
        <f>IF($W$2478&gt;0,IPMT('Assumptions (Battery)'!$V$9,Model!AD$1,'Assumptions (Battery)'!$V$12,'Assumptions (Battery)'!$V$7*$W$2480),0)</f>
        <v>0</v>
      </c>
      <c r="AE2607" s="160">
        <f>IF($W$2478&gt;0,IPMT('Assumptions (Battery)'!$V$9,Model!AE$1,'Assumptions (Battery)'!$V$12,'Assumptions (Battery)'!$V$7*$W$2480),0)</f>
        <v>0</v>
      </c>
      <c r="AF2607" s="160">
        <f>IF($W$2478&gt;0,IPMT('Assumptions (Battery)'!$V$9,Model!AF$1,'Assumptions (Battery)'!$V$12,'Assumptions (Battery)'!$V$7*$W$2480),0)</f>
        <v>0</v>
      </c>
      <c r="AG2607" s="160"/>
      <c r="AH2607" s="160"/>
      <c r="AI2607" s="160"/>
      <c r="AJ2607" s="160"/>
      <c r="AK2607" s="160"/>
      <c r="AL2607" s="160"/>
      <c r="AM2607" s="160"/>
      <c r="AN2607" s="160"/>
      <c r="AO2607" s="160"/>
      <c r="AP2607" s="160"/>
      <c r="AQ2607" s="160"/>
      <c r="AR2607" s="160"/>
      <c r="AS2607" s="160"/>
      <c r="AT2607" s="160"/>
      <c r="AU2607" s="160"/>
      <c r="AV2607" s="160"/>
      <c r="AW2607" s="160"/>
      <c r="AX2607" s="160"/>
      <c r="AY2607" s="160"/>
      <c r="AZ2607" s="160"/>
      <c r="BA2607" s="160"/>
    </row>
    <row r="2608" ht="15.75" hidden="1" customHeight="1" outlineLevel="1">
      <c r="A2608" s="353"/>
      <c r="B2608" s="38"/>
      <c r="C2608" s="174"/>
      <c r="D2608" s="174"/>
      <c r="E2608" s="174"/>
      <c r="F2608" s="174"/>
      <c r="G2608" s="174"/>
      <c r="H2608" s="174"/>
      <c r="I2608" s="174"/>
      <c r="J2608" s="174"/>
      <c r="K2608" s="174"/>
      <c r="L2608" s="174"/>
      <c r="M2608" s="174"/>
      <c r="N2608" s="174"/>
      <c r="O2608" s="174"/>
      <c r="P2608" s="174"/>
      <c r="Q2608" s="174"/>
      <c r="R2608" s="174"/>
      <c r="S2608" s="174"/>
      <c r="T2608" s="174"/>
      <c r="U2608" s="174"/>
      <c r="V2608" s="174"/>
      <c r="W2608" s="160"/>
      <c r="X2608" s="160">
        <f>IF($X$2478&gt;0,IPMT('Assumptions (Battery)'!$V$9,Model!W$1,'Assumptions (Battery)'!$V$12,'Assumptions (Battery)'!$V$7*$X$2480),0)</f>
        <v>-0.03147157897</v>
      </c>
      <c r="Y2608" s="160">
        <f>IF($X$2478&gt;0,IPMT('Assumptions (Battery)'!$V$9,Model!X$1,'Assumptions (Battery)'!$V$12,'Assumptions (Battery)'!$V$7*$X$2480),0)</f>
        <v>-0.02929911196</v>
      </c>
      <c r="Z2608" s="160">
        <f>IF($X$2478&gt;0,IPMT('Assumptions (Battery)'!$V$9,Model!Y$1,'Assumptions (Battery)'!$V$12,'Assumptions (Battery)'!$V$7*$X$2480),0)</f>
        <v>-0.0269528476</v>
      </c>
      <c r="AA2608" s="160">
        <f>IF($X$2478&gt;0,IPMT('Assumptions (Battery)'!$V$9,Model!Z$1,'Assumptions (Battery)'!$V$12,'Assumptions (Battery)'!$V$7*$X$2480),0)</f>
        <v>-0.02441888208</v>
      </c>
      <c r="AB2608" s="160">
        <f>IF($X$2478&gt;0,IPMT('Assumptions (Battery)'!$V$9,Model!AA$1,'Assumptions (Battery)'!$V$12,'Assumptions (Battery)'!$V$7*$X$2480),0)</f>
        <v>-0.02168219933</v>
      </c>
      <c r="AC2608" s="160">
        <f>IF($X$2478&gt;0,IPMT('Assumptions (Battery)'!$V$9,Model!AB$1,'Assumptions (Battery)'!$V$12,'Assumptions (Battery)'!$V$7*$X$2480),0)</f>
        <v>-0.01872658195</v>
      </c>
      <c r="AD2608" s="160">
        <f>IF($X$2478&gt;0,IPMT('Assumptions (Battery)'!$V$9,Model!AC$1,'Assumptions (Battery)'!$V$12,'Assumptions (Battery)'!$V$7*$X$2480),0)</f>
        <v>-0.01553451519</v>
      </c>
      <c r="AE2608" s="160">
        <f>IF($X$2478&gt;0,IPMT('Assumptions (Battery)'!$V$9,Model!AD$1,'Assumptions (Battery)'!$V$12,'Assumptions (Battery)'!$V$7*$X$2480),0)</f>
        <v>-0.01208708308</v>
      </c>
      <c r="AF2608" s="160">
        <f>IF($X$2478&gt;0,IPMT('Assumptions (Battery)'!$V$9,Model!AE$1,'Assumptions (Battery)'!$V$12,'Assumptions (Battery)'!$V$7*$X$2480),0)</f>
        <v>-0.008363856404</v>
      </c>
      <c r="AG2608" s="160">
        <f>IF($X$2478&gt;0,IPMT('Assumptions (Battery)'!$V$9,Model!AF$1,'Assumptions (Battery)'!$V$12,'Assumptions (Battery)'!$V$7*$X$2480),0)</f>
        <v>-0.004342771594</v>
      </c>
      <c r="AH2608" s="160"/>
      <c r="AI2608" s="160"/>
      <c r="AJ2608" s="160"/>
      <c r="AK2608" s="160"/>
      <c r="AL2608" s="160"/>
      <c r="AM2608" s="160"/>
      <c r="AN2608" s="160"/>
      <c r="AO2608" s="160"/>
      <c r="AP2608" s="160"/>
      <c r="AQ2608" s="160"/>
      <c r="AR2608" s="160"/>
      <c r="AS2608" s="160"/>
      <c r="AT2608" s="160"/>
      <c r="AU2608" s="160"/>
      <c r="AV2608" s="160"/>
      <c r="AW2608" s="160"/>
      <c r="AX2608" s="160"/>
      <c r="AY2608" s="160"/>
      <c r="AZ2608" s="160"/>
      <c r="BA2608" s="160"/>
    </row>
    <row r="2609" ht="15.75" hidden="1" customHeight="1" outlineLevel="1">
      <c r="A2609" s="353"/>
      <c r="B2609" s="38"/>
      <c r="C2609" s="174"/>
      <c r="D2609" s="174"/>
      <c r="E2609" s="174"/>
      <c r="F2609" s="174"/>
      <c r="G2609" s="174"/>
      <c r="H2609" s="174"/>
      <c r="I2609" s="174"/>
      <c r="J2609" s="174"/>
      <c r="K2609" s="174"/>
      <c r="L2609" s="174"/>
      <c r="M2609" s="174"/>
      <c r="N2609" s="174"/>
      <c r="O2609" s="174"/>
      <c r="P2609" s="174"/>
      <c r="Q2609" s="174"/>
      <c r="R2609" s="174"/>
      <c r="S2609" s="174"/>
      <c r="T2609" s="174"/>
      <c r="U2609" s="174"/>
      <c r="V2609" s="174"/>
      <c r="W2609" s="160"/>
      <c r="X2609" s="160"/>
      <c r="Y2609" s="160">
        <f>IF($Y$2478&gt;0,IPMT('Assumptions (Battery)'!$V$9,Model!W$1,'Assumptions (Battery)'!$V$12,'Assumptions (Battery)'!$V$7*$Y$2480),0)</f>
        <v>-0.03002051882</v>
      </c>
      <c r="Z2609" s="160">
        <f>IF($Y$2478&gt;0,IPMT('Assumptions (Battery)'!$V$9,Model!X$1,'Assumptions (Battery)'!$V$12,'Assumptions (Battery)'!$V$7*$Y$2480),0)</f>
        <v>-0.02794821776</v>
      </c>
      <c r="AA2609" s="160">
        <f>IF($Y$2478&gt;0,IPMT('Assumptions (Battery)'!$V$9,Model!Y$1,'Assumptions (Battery)'!$V$12,'Assumptions (Battery)'!$V$7*$Y$2480),0)</f>
        <v>-0.02571013261</v>
      </c>
      <c r="AB2609" s="160">
        <f>IF($Y$2478&gt;0,IPMT('Assumptions (Battery)'!$V$9,Model!Z$1,'Assumptions (Battery)'!$V$12,'Assumptions (Battery)'!$V$7*$Y$2480),0)</f>
        <v>-0.02329300064</v>
      </c>
      <c r="AC2609" s="160">
        <f>IF($Y$2478&gt;0,IPMT('Assumptions (Battery)'!$V$9,Model!AA$1,'Assumptions (Battery)'!$V$12,'Assumptions (Battery)'!$V$7*$Y$2480),0)</f>
        <v>-0.02068249813</v>
      </c>
      <c r="AD2609" s="160">
        <f>IF($Y$2478&gt;0,IPMT('Assumptions (Battery)'!$V$9,Model!AB$1,'Assumptions (Battery)'!$V$12,'Assumptions (Battery)'!$V$7*$Y$2480),0)</f>
        <v>-0.01786315541</v>
      </c>
      <c r="AE2609" s="160">
        <f>IF($Y$2478&gt;0,IPMT('Assumptions (Battery)'!$V$9,Model!AC$1,'Assumptions (Battery)'!$V$12,'Assumptions (Battery)'!$V$7*$Y$2480),0)</f>
        <v>-0.01481826527</v>
      </c>
      <c r="AF2609" s="160">
        <f>IF($Y$2478&gt;0,IPMT('Assumptions (Battery)'!$V$9,Model!AD$1,'Assumptions (Battery)'!$V$12,'Assumptions (Battery)'!$V$7*$Y$2480),0)</f>
        <v>-0.01152978392</v>
      </c>
      <c r="AG2609" s="160">
        <f>IF($Y$2478&gt;0,IPMT('Assumptions (Battery)'!$V$9,Model!AE$1,'Assumptions (Battery)'!$V$12,'Assumptions (Battery)'!$V$7*$Y$2480),0)</f>
        <v>-0.007978224062</v>
      </c>
      <c r="AH2609" s="160">
        <f>IF($Y$2478&gt;0,IPMT('Assumptions (Battery)'!$V$9,Model!AF$1,'Assumptions (Battery)'!$V$12,'Assumptions (Battery)'!$V$7*$Y$2480),0)</f>
        <v>-0.004142539417</v>
      </c>
      <c r="AI2609" s="160"/>
      <c r="AJ2609" s="160"/>
      <c r="AK2609" s="160"/>
      <c r="AL2609" s="160"/>
      <c r="AM2609" s="160"/>
      <c r="AN2609" s="160"/>
      <c r="AO2609" s="160"/>
      <c r="AP2609" s="160"/>
      <c r="AQ2609" s="160"/>
      <c r="AR2609" s="160"/>
      <c r="AS2609" s="160"/>
      <c r="AT2609" s="160"/>
      <c r="AU2609" s="160"/>
      <c r="AV2609" s="160"/>
      <c r="AW2609" s="160"/>
      <c r="AX2609" s="160"/>
      <c r="AY2609" s="160"/>
      <c r="AZ2609" s="160"/>
      <c r="BA2609" s="160"/>
    </row>
    <row r="2610" ht="15.75" hidden="1" customHeight="1" outlineLevel="1">
      <c r="A2610" s="353"/>
      <c r="B2610" s="38"/>
      <c r="C2610" s="174"/>
      <c r="D2610" s="174"/>
      <c r="E2610" s="174"/>
      <c r="F2610" s="174"/>
      <c r="G2610" s="174"/>
      <c r="H2610" s="174"/>
      <c r="I2610" s="174"/>
      <c r="J2610" s="174"/>
      <c r="K2610" s="174"/>
      <c r="L2610" s="174"/>
      <c r="M2610" s="174"/>
      <c r="N2610" s="174"/>
      <c r="O2610" s="174"/>
      <c r="P2610" s="174"/>
      <c r="Q2610" s="174"/>
      <c r="R2610" s="174"/>
      <c r="S2610" s="174"/>
      <c r="T2610" s="174"/>
      <c r="U2610" s="174"/>
      <c r="V2610" s="174"/>
      <c r="W2610" s="160"/>
      <c r="X2610" s="160"/>
      <c r="Y2610" s="160"/>
      <c r="Z2610" s="160">
        <f>IF($Z$2478&gt;0,IPMT('Assumptions (Battery)'!$V$9,Model!W$1,'Assumptions (Battery)'!$V$12,'Assumptions (Battery)'!$V$7*$Z$2480),0)</f>
        <v>-0.02839080779</v>
      </c>
      <c r="AA2610" s="160">
        <f>IF($Z$2478&gt;0,IPMT('Assumptions (Battery)'!$V$9,Model!X$1,'Assumptions (Battery)'!$V$12,'Assumptions (Battery)'!$V$7*$Z$2480),0)</f>
        <v>-0.02643100485</v>
      </c>
      <c r="AB2610" s="160">
        <f>IF($Z$2478&gt;0,IPMT('Assumptions (Battery)'!$V$9,Model!Y$1,'Assumptions (Battery)'!$V$12,'Assumptions (Battery)'!$V$7*$Z$2480),0)</f>
        <v>-0.02431441766</v>
      </c>
      <c r="AC2610" s="160">
        <f>IF($Z$2478&gt;0,IPMT('Assumptions (Battery)'!$V$9,Model!Z$1,'Assumptions (Battery)'!$V$12,'Assumptions (Battery)'!$V$7*$Z$2480),0)</f>
        <v>-0.02202850351</v>
      </c>
      <c r="AD2610" s="160">
        <f>IF($Z$2478&gt;0,IPMT('Assumptions (Battery)'!$V$9,Model!AA$1,'Assumptions (Battery)'!$V$12,'Assumptions (Battery)'!$V$7*$Z$2480),0)</f>
        <v>-0.01955971622</v>
      </c>
      <c r="AE2610" s="160">
        <f>IF($Z$2478&gt;0,IPMT('Assumptions (Battery)'!$V$9,Model!AB$1,'Assumptions (Battery)'!$V$12,'Assumptions (Battery)'!$V$7*$Z$2480),0)</f>
        <v>-0.01689342595</v>
      </c>
      <c r="AF2610" s="160">
        <f>IF($Z$2478&gt;0,IPMT('Assumptions (Battery)'!$V$9,Model!AC$1,'Assumptions (Battery)'!$V$12,'Assumptions (Battery)'!$V$7*$Z$2480),0)</f>
        <v>-0.01401383246</v>
      </c>
      <c r="AG2610" s="160">
        <f>IF($Z$2478&gt;0,IPMT('Assumptions (Battery)'!$V$9,Model!AD$1,'Assumptions (Battery)'!$V$12,'Assumptions (Battery)'!$V$7*$Z$2480),0)</f>
        <v>-0.01090387148</v>
      </c>
      <c r="AH2610" s="160">
        <f>IF($Z$2478&gt;0,IPMT('Assumptions (Battery)'!$V$9,Model!AE$1,'Assumptions (Battery)'!$V$12,'Assumptions (Battery)'!$V$7*$Z$2480),0)</f>
        <v>-0.007545113634</v>
      </c>
      <c r="AI2610" s="160">
        <f>IF($Z$2478&gt;0,IPMT('Assumptions (Battery)'!$V$9,Model!AF$1,'Assumptions (Battery)'!$V$12,'Assumptions (Battery)'!$V$7*$Z$2480),0)</f>
        <v>-0.003917655156</v>
      </c>
      <c r="AJ2610" s="160"/>
      <c r="AK2610" s="160"/>
      <c r="AL2610" s="160"/>
      <c r="AM2610" s="160"/>
      <c r="AN2610" s="160"/>
      <c r="AO2610" s="160"/>
      <c r="AP2610" s="160"/>
      <c r="AQ2610" s="160"/>
      <c r="AR2610" s="160"/>
      <c r="AS2610" s="160"/>
      <c r="AT2610" s="160"/>
      <c r="AU2610" s="160"/>
      <c r="AV2610" s="160"/>
      <c r="AW2610" s="160"/>
      <c r="AX2610" s="160"/>
      <c r="AY2610" s="160"/>
      <c r="AZ2610" s="160"/>
      <c r="BA2610" s="160"/>
    </row>
    <row r="2611" ht="15.75" hidden="1" customHeight="1" outlineLevel="1">
      <c r="A2611" s="353"/>
      <c r="B2611" s="38"/>
      <c r="C2611" s="174"/>
      <c r="D2611" s="174"/>
      <c r="E2611" s="174"/>
      <c r="F2611" s="174"/>
      <c r="G2611" s="174"/>
      <c r="H2611" s="174"/>
      <c r="I2611" s="174"/>
      <c r="J2611" s="174"/>
      <c r="K2611" s="174"/>
      <c r="L2611" s="174"/>
      <c r="M2611" s="174"/>
      <c r="N2611" s="174"/>
      <c r="O2611" s="174"/>
      <c r="P2611" s="174"/>
      <c r="Q2611" s="174"/>
      <c r="R2611" s="174"/>
      <c r="S2611" s="174"/>
      <c r="T2611" s="174"/>
      <c r="U2611" s="174"/>
      <c r="V2611" s="174"/>
      <c r="W2611" s="160"/>
      <c r="X2611" s="160"/>
      <c r="Y2611" s="160"/>
      <c r="Z2611" s="160"/>
      <c r="AA2611" s="160">
        <f>IF($AA$2478&gt;0,IPMT('Assumptions (Battery)'!$V$9,Model!W$1,'Assumptions (Battery)'!$V$12,'Assumptions (Battery)'!$V$7*$AA$2480),0)</f>
        <v>-0.02679828544</v>
      </c>
      <c r="AB2611" s="160">
        <f>IF($AA$2478&gt;0,IPMT('Assumptions (Battery)'!$V$9,Model!X$1,'Assumptions (Battery)'!$V$12,'Assumptions (Battery)'!$V$7*$AA$2480),0)</f>
        <v>-0.0249484135</v>
      </c>
      <c r="AC2611" s="160">
        <f>IF($AA$2478&gt;0,IPMT('Assumptions (Battery)'!$V$9,Model!Y$1,'Assumptions (Battery)'!$V$12,'Assumptions (Battery)'!$V$7*$AA$2480),0)</f>
        <v>-0.0229505518</v>
      </c>
      <c r="AD2611" s="160">
        <f>IF($AA$2478&gt;0,IPMT('Assumptions (Battery)'!$V$9,Model!Z$1,'Assumptions (Battery)'!$V$12,'Assumptions (Battery)'!$V$7*$AA$2480),0)</f>
        <v>-0.02079286117</v>
      </c>
      <c r="AE2611" s="160">
        <f>IF($AA$2478&gt;0,IPMT('Assumptions (Battery)'!$V$9,Model!AA$1,'Assumptions (Battery)'!$V$12,'Assumptions (Battery)'!$V$7*$AA$2480),0)</f>
        <v>-0.01846255528</v>
      </c>
      <c r="AF2611" s="160">
        <f>IF($AA$2478&gt;0,IPMT('Assumptions (Battery)'!$V$9,Model!AB$1,'Assumptions (Battery)'!$V$12,'Assumptions (Battery)'!$V$7*$AA$2480),0)</f>
        <v>-0.01594582493</v>
      </c>
      <c r="AG2611" s="160">
        <f>IF($AA$2478&gt;0,IPMT('Assumptions (Battery)'!$V$9,Model!AC$1,'Assumptions (Battery)'!$V$12,'Assumptions (Battery)'!$V$7*$AA$2480),0)</f>
        <v>-0.01322775615</v>
      </c>
      <c r="AH2611" s="160">
        <f>IF($AA$2478&gt;0,IPMT('Assumptions (Battery)'!$V$9,Model!AD$1,'Assumptions (Battery)'!$V$12,'Assumptions (Battery)'!$V$7*$AA$2480),0)</f>
        <v>-0.01029224186</v>
      </c>
      <c r="AI2611" s="160">
        <f>IF($AA$2478&gt;0,IPMT('Assumptions (Battery)'!$V$9,Model!AE$1,'Assumptions (Battery)'!$V$12,'Assumptions (Battery)'!$V$7*$AA$2480),0)</f>
        <v>-0.007121886434</v>
      </c>
      <c r="AJ2611" s="160">
        <f>IF($AA$2478&gt;0,IPMT('Assumptions (Battery)'!$V$9,Model!AF$1,'Assumptions (Battery)'!$V$12,'Assumptions (Battery)'!$V$7*$AA$2480),0)</f>
        <v>-0.003697902571</v>
      </c>
      <c r="AK2611" s="160"/>
      <c r="AL2611" s="160"/>
      <c r="AM2611" s="160"/>
      <c r="AN2611" s="160"/>
      <c r="AO2611" s="160"/>
      <c r="AP2611" s="160"/>
      <c r="AQ2611" s="160"/>
      <c r="AR2611" s="160"/>
      <c r="AS2611" s="160"/>
      <c r="AT2611" s="160"/>
      <c r="AU2611" s="160"/>
      <c r="AV2611" s="160"/>
      <c r="AW2611" s="160"/>
      <c r="AX2611" s="160"/>
      <c r="AY2611" s="160"/>
      <c r="AZ2611" s="160"/>
      <c r="BA2611" s="160"/>
    </row>
    <row r="2612" ht="15.75" hidden="1" customHeight="1" outlineLevel="1">
      <c r="A2612" s="353"/>
      <c r="B2612" s="38"/>
      <c r="C2612" s="174"/>
      <c r="D2612" s="174"/>
      <c r="E2612" s="174"/>
      <c r="F2612" s="174"/>
      <c r="G2612" s="174"/>
      <c r="H2612" s="174"/>
      <c r="I2612" s="174"/>
      <c r="J2612" s="174"/>
      <c r="K2612" s="174"/>
      <c r="L2612" s="174"/>
      <c r="M2612" s="174"/>
      <c r="N2612" s="174"/>
      <c r="O2612" s="174"/>
      <c r="P2612" s="174"/>
      <c r="Q2612" s="174"/>
      <c r="R2612" s="174"/>
      <c r="S2612" s="174"/>
      <c r="T2612" s="174"/>
      <c r="U2612" s="174"/>
      <c r="V2612" s="174"/>
      <c r="W2612" s="160"/>
      <c r="X2612" s="160"/>
      <c r="Y2612" s="160"/>
      <c r="Z2612" s="160"/>
      <c r="AA2612" s="160"/>
      <c r="AB2612" s="160">
        <f>IF($AB$2478&gt;0,IPMT('Assumptions (Battery)'!$V$9,Model!W$1,'Assumptions (Battery)'!$V$12,'Assumptions (Battery)'!$V$7*$AB$2480),0)</f>
        <v>-0.02501035252</v>
      </c>
      <c r="AC2612" s="160">
        <f>IF($AB$2478&gt;0,IPMT('Assumptions (Battery)'!$V$9,Model!X$1,'Assumptions (Battery)'!$V$12,'Assumptions (Battery)'!$V$7*$AB$2480),0)</f>
        <v>-0.02328390068</v>
      </c>
      <c r="AD2612" s="160">
        <f>IF($AB$2478&gt;0,IPMT('Assumptions (Battery)'!$V$9,Model!Y$1,'Assumptions (Battery)'!$V$12,'Assumptions (Battery)'!$V$7*$AB$2480),0)</f>
        <v>-0.02141933268</v>
      </c>
      <c r="AE2612" s="160">
        <f>IF($AB$2478&gt;0,IPMT('Assumptions (Battery)'!$V$9,Model!Z$1,'Assumptions (Battery)'!$V$12,'Assumptions (Battery)'!$V$7*$AB$2480),0)</f>
        <v>-0.01940559925</v>
      </c>
      <c r="AF2612" s="160">
        <f>IF($AB$2478&gt;0,IPMT('Assumptions (Battery)'!$V$9,Model!AA$1,'Assumptions (Battery)'!$V$12,'Assumptions (Battery)'!$V$7*$AB$2480),0)</f>
        <v>-0.01723076714</v>
      </c>
      <c r="AG2612" s="160">
        <f>IF($AB$2478&gt;0,IPMT('Assumptions (Battery)'!$V$9,Model!AB$1,'Assumptions (Battery)'!$V$12,'Assumptions (Battery)'!$V$7*$AB$2480),0)</f>
        <v>-0.01488194846</v>
      </c>
      <c r="AH2612" s="160">
        <f>IF($AB$2478&gt;0,IPMT('Assumptions (Battery)'!$V$9,Model!AC$1,'Assumptions (Battery)'!$V$12,'Assumptions (Battery)'!$V$7*$AB$2480),0)</f>
        <v>-0.01234522429</v>
      </c>
      <c r="AI2612" s="160">
        <f>IF($AB$2478&gt;0,IPMT('Assumptions (Battery)'!$V$9,Model!AD$1,'Assumptions (Battery)'!$V$12,'Assumptions (Battery)'!$V$7*$AB$2480),0)</f>
        <v>-0.009605562184</v>
      </c>
      <c r="AJ2612" s="160">
        <f>IF($AB$2478&gt;0,IPMT('Assumptions (Battery)'!$V$9,Model!AE$1,'Assumptions (Battery)'!$V$12,'Assumptions (Battery)'!$V$7*$AB$2480),0)</f>
        <v>-0.00664672711</v>
      </c>
      <c r="AK2612" s="160">
        <f>IF($AB$2478&gt;0,IPMT('Assumptions (Battery)'!$V$9,Model!AF$1,'Assumptions (Battery)'!$V$12,'Assumptions (Battery)'!$V$7*$AB$2480),0)</f>
        <v>-0.00345118523</v>
      </c>
      <c r="AL2612" s="160"/>
      <c r="AM2612" s="160"/>
      <c r="AN2612" s="160"/>
      <c r="AO2612" s="160"/>
      <c r="AP2612" s="160"/>
      <c r="AQ2612" s="160"/>
      <c r="AR2612" s="160"/>
      <c r="AS2612" s="160"/>
      <c r="AT2612" s="160"/>
      <c r="AU2612" s="160"/>
      <c r="AV2612" s="160"/>
      <c r="AW2612" s="160"/>
      <c r="AX2612" s="160"/>
      <c r="AY2612" s="160"/>
      <c r="AZ2612" s="160"/>
      <c r="BA2612" s="160"/>
    </row>
    <row r="2613" ht="15.75" hidden="1" customHeight="1" outlineLevel="1">
      <c r="A2613" s="353"/>
      <c r="B2613" s="38"/>
      <c r="C2613" s="174"/>
      <c r="D2613" s="174"/>
      <c r="E2613" s="174"/>
      <c r="F2613" s="174"/>
      <c r="G2613" s="174"/>
      <c r="H2613" s="174"/>
      <c r="I2613" s="174"/>
      <c r="J2613" s="174"/>
      <c r="K2613" s="174"/>
      <c r="L2613" s="174"/>
      <c r="M2613" s="174"/>
      <c r="N2613" s="174"/>
      <c r="O2613" s="174"/>
      <c r="P2613" s="174"/>
      <c r="Q2613" s="174"/>
      <c r="R2613" s="174"/>
      <c r="S2613" s="174"/>
      <c r="T2613" s="174"/>
      <c r="U2613" s="174"/>
      <c r="V2613" s="174"/>
      <c r="W2613" s="160"/>
      <c r="X2613" s="160"/>
      <c r="Y2613" s="160"/>
      <c r="Z2613" s="160"/>
      <c r="AA2613" s="160"/>
      <c r="AB2613" s="160"/>
      <c r="AC2613" s="160">
        <f>IF($AC$2478&gt;0,IPMT('Assumptions (Battery)'!$V$9,Model!W$1,'Assumptions (Battery)'!$V$12,'Assumptions (Battery)'!$V$7*$AC$2480),0)</f>
        <v>-0.02451588892</v>
      </c>
      <c r="AD2613" s="160">
        <f>IF($AC$2478&gt;0,IPMT('Assumptions (Battery)'!$V$9,Model!X$1,'Assumptions (Battery)'!$V$12,'Assumptions (Battery)'!$V$7*$AC$2480),0)</f>
        <v>-0.02282356964</v>
      </c>
      <c r="AE2613" s="160">
        <f>IF($AC$2478&gt;0,IPMT('Assumptions (Battery)'!$V$9,Model!Y$1,'Assumptions (Battery)'!$V$12,'Assumptions (Battery)'!$V$7*$AC$2480),0)</f>
        <v>-0.02099586482</v>
      </c>
      <c r="AF2613" s="160">
        <f>IF($AC$2478&gt;0,IPMT('Assumptions (Battery)'!$V$9,Model!Z$1,'Assumptions (Battery)'!$V$12,'Assumptions (Battery)'!$V$7*$AC$2480),0)</f>
        <v>-0.01902194362</v>
      </c>
      <c r="AG2613" s="160">
        <f>IF($AC$2478&gt;0,IPMT('Assumptions (Battery)'!$V$9,Model!AA$1,'Assumptions (Battery)'!$V$12,'Assumptions (Battery)'!$V$7*$AC$2480),0)</f>
        <v>-0.01689010872</v>
      </c>
      <c r="AH2613" s="160">
        <f>IF($AC$2478&gt;0,IPMT('Assumptions (Battery)'!$V$9,Model!AB$1,'Assumptions (Battery)'!$V$12,'Assumptions (Battery)'!$V$7*$AC$2480),0)</f>
        <v>-0.01458772702</v>
      </c>
      <c r="AI2613" s="160">
        <f>IF($AC$2478&gt;0,IPMT('Assumptions (Battery)'!$V$9,Model!AC$1,'Assumptions (Battery)'!$V$12,'Assumptions (Battery)'!$V$7*$AC$2480),0)</f>
        <v>-0.0121011548</v>
      </c>
      <c r="AJ2613" s="160">
        <f>IF($AC$2478&gt;0,IPMT('Assumptions (Battery)'!$V$9,Model!AD$1,'Assumptions (Battery)'!$V$12,'Assumptions (Battery)'!$V$7*$AC$2480),0)</f>
        <v>-0.009415656789</v>
      </c>
      <c r="AK2613" s="160">
        <f>IF($AC$2478&gt;0,IPMT('Assumptions (Battery)'!$V$9,Model!AE$1,'Assumptions (Battery)'!$V$12,'Assumptions (Battery)'!$V$7*$AC$2480),0)</f>
        <v>-0.006515318941</v>
      </c>
      <c r="AL2613" s="160">
        <f>IF($AC$2478&gt;0,IPMT('Assumptions (Battery)'!$V$9,Model!AF$1,'Assumptions (Battery)'!$V$12,'Assumptions (Battery)'!$V$7*$AC$2480),0)</f>
        <v>-0.003382954066</v>
      </c>
      <c r="AM2613" s="160"/>
      <c r="AN2613" s="160"/>
      <c r="AO2613" s="160"/>
      <c r="AP2613" s="160"/>
      <c r="AQ2613" s="160"/>
      <c r="AR2613" s="160"/>
      <c r="AS2613" s="160"/>
      <c r="AT2613" s="160"/>
      <c r="AU2613" s="160"/>
      <c r="AV2613" s="160"/>
      <c r="AW2613" s="160"/>
      <c r="AX2613" s="160"/>
      <c r="AY2613" s="160"/>
      <c r="AZ2613" s="160"/>
      <c r="BA2613" s="160"/>
    </row>
    <row r="2614" ht="15.75" hidden="1" customHeight="1" outlineLevel="1">
      <c r="A2614" s="353"/>
      <c r="B2614" s="38"/>
      <c r="C2614" s="174"/>
      <c r="D2614" s="174"/>
      <c r="E2614" s="174"/>
      <c r="F2614" s="174"/>
      <c r="G2614" s="174"/>
      <c r="H2614" s="174"/>
      <c r="I2614" s="174"/>
      <c r="J2614" s="174"/>
      <c r="K2614" s="174"/>
      <c r="L2614" s="174"/>
      <c r="M2614" s="174"/>
      <c r="N2614" s="174"/>
      <c r="O2614" s="174"/>
      <c r="P2614" s="174"/>
      <c r="Q2614" s="174"/>
      <c r="R2614" s="174"/>
      <c r="S2614" s="174"/>
      <c r="T2614" s="174"/>
      <c r="U2614" s="174"/>
      <c r="V2614" s="174"/>
      <c r="W2614" s="160"/>
      <c r="X2614" s="160"/>
      <c r="Y2614" s="160"/>
      <c r="Z2614" s="160"/>
      <c r="AA2614" s="160"/>
      <c r="AB2614" s="160"/>
      <c r="AC2614" s="160"/>
      <c r="AD2614" s="160">
        <f>IF($AD$2478&gt;0,IPMT('Assumptions (Battery)'!$V$9,Model!W$1,'Assumptions (Battery)'!$V$12,'Assumptions (Battery)'!$V$7*$AD$2480),0)</f>
        <v>-0.02410311686</v>
      </c>
      <c r="AE2614" s="160">
        <f>IF($AD$2478&gt;0,IPMT('Assumptions (Battery)'!$V$9,Model!X$1,'Assumptions (Battery)'!$V$12,'Assumptions (Battery)'!$V$7*$AD$2480),0)</f>
        <v>-0.02243929103</v>
      </c>
      <c r="AF2614" s="160">
        <f>IF($AD$2478&gt;0,IPMT('Assumptions (Battery)'!$V$9,Model!Y$1,'Assumptions (Battery)'!$V$12,'Assumptions (Battery)'!$V$7*$AD$2480),0)</f>
        <v>-0.02064235913</v>
      </c>
      <c r="AG2614" s="160">
        <f>IF($AD$2478&gt;0,IPMT('Assumptions (Battery)'!$V$9,Model!Z$1,'Assumptions (Battery)'!$V$12,'Assumptions (Battery)'!$V$7*$AD$2480),0)</f>
        <v>-0.01870167268</v>
      </c>
      <c r="AH2614" s="160">
        <f>IF($AD$2478&gt;0,IPMT('Assumptions (Battery)'!$V$9,Model!AA$1,'Assumptions (Battery)'!$V$12,'Assumptions (Battery)'!$V$7*$AD$2480),0)</f>
        <v>-0.01660573131</v>
      </c>
      <c r="AI2614" s="160">
        <f>IF($AD$2478&gt;0,IPMT('Assumptions (Battery)'!$V$9,Model!AB$1,'Assumptions (Battery)'!$V$12,'Assumptions (Battery)'!$V$7*$AD$2480),0)</f>
        <v>-0.01434211463</v>
      </c>
      <c r="AJ2614" s="160">
        <f>IF($AD$2478&gt;0,IPMT('Assumptions (Battery)'!$V$9,Model!AC$1,'Assumptions (Battery)'!$V$12,'Assumptions (Battery)'!$V$7*$AD$2480),0)</f>
        <v>-0.01189740862</v>
      </c>
      <c r="AK2614" s="160">
        <f>IF($AD$2478&gt;0,IPMT('Assumptions (Battery)'!$V$9,Model!AD$1,'Assumptions (Battery)'!$V$12,'Assumptions (Battery)'!$V$7*$AD$2480),0)</f>
        <v>-0.00925712613</v>
      </c>
      <c r="AL2614" s="160">
        <f>IF($AD$2478&gt;0,IPMT('Assumptions (Battery)'!$V$9,Model!AE$1,'Assumptions (Battery)'!$V$12,'Assumptions (Battery)'!$V$7*$AD$2480),0)</f>
        <v>-0.006405621038</v>
      </c>
      <c r="AM2614" s="160">
        <f>IF($AD$2478&gt;0,IPMT('Assumptions (Battery)'!$V$9,Model!AF$1,'Assumptions (Battery)'!$V$12,'Assumptions (Battery)'!$V$7*$AD$2480),0)</f>
        <v>-0.003325995539</v>
      </c>
      <c r="AN2614" s="160"/>
      <c r="AO2614" s="160"/>
      <c r="AP2614" s="160"/>
      <c r="AQ2614" s="160"/>
      <c r="AR2614" s="160"/>
      <c r="AS2614" s="160"/>
      <c r="AT2614" s="160"/>
      <c r="AU2614" s="160"/>
      <c r="AV2614" s="160"/>
      <c r="AW2614" s="160"/>
      <c r="AX2614" s="160"/>
      <c r="AY2614" s="160"/>
      <c r="AZ2614" s="160"/>
      <c r="BA2614" s="160"/>
      <c r="BB2614" s="160"/>
    </row>
    <row r="2615" ht="15.75" hidden="1" customHeight="1" outlineLevel="1">
      <c r="A2615" s="353"/>
      <c r="B2615" s="38"/>
      <c r="C2615" s="174"/>
      <c r="D2615" s="174"/>
      <c r="E2615" s="174"/>
      <c r="F2615" s="174"/>
      <c r="G2615" s="174"/>
      <c r="H2615" s="174"/>
      <c r="I2615" s="174"/>
      <c r="J2615" s="174"/>
      <c r="K2615" s="174"/>
      <c r="L2615" s="174"/>
      <c r="M2615" s="174"/>
      <c r="N2615" s="174"/>
      <c r="O2615" s="174"/>
      <c r="P2615" s="174"/>
      <c r="Q2615" s="174"/>
      <c r="R2615" s="174"/>
      <c r="S2615" s="174"/>
      <c r="T2615" s="174"/>
      <c r="U2615" s="174"/>
      <c r="V2615" s="174"/>
      <c r="W2615" s="160"/>
      <c r="X2615" s="160"/>
      <c r="Y2615" s="160"/>
      <c r="Z2615" s="160"/>
      <c r="AA2615" s="160"/>
      <c r="AB2615" s="160"/>
      <c r="AC2615" s="160"/>
      <c r="AD2615" s="160"/>
      <c r="AE2615" s="160">
        <f>IF($AE$2478&gt;0,IPMT('Assumptions (Battery)'!$V$9,Model!W$1,'Assumptions (Battery)'!$V$12,'Assumptions (Battery)'!$V$7*$AE$2480),0)</f>
        <v>-0.02354369067</v>
      </c>
      <c r="AF2615" s="160">
        <f>IF($AE$2478&gt;0,IPMT('Assumptions (Battery)'!$V$9,Model!X$1,'Assumptions (Battery)'!$V$12,'Assumptions (Battery)'!$V$7*$AE$2480),0)</f>
        <v>-0.02191848174</v>
      </c>
      <c r="AG2615" s="160">
        <f>IF($AE$2478&gt;0,IPMT('Assumptions (Battery)'!$V$9,Model!Y$1,'Assumptions (Battery)'!$V$12,'Assumptions (Battery)'!$V$7*$AE$2480),0)</f>
        <v>-0.02016325609</v>
      </c>
      <c r="AH2615" s="160">
        <f>IF($AE$2478&gt;0,IPMT('Assumptions (Battery)'!$V$9,Model!Z$1,'Assumptions (Battery)'!$V$12,'Assumptions (Battery)'!$V$7*$AE$2480),0)</f>
        <v>-0.0182676124</v>
      </c>
      <c r="AI2615" s="160">
        <f>IF($AE$2478&gt;0,IPMT('Assumptions (Battery)'!$V$9,Model!AA$1,'Assumptions (Battery)'!$V$12,'Assumptions (Battery)'!$V$7*$AE$2480),0)</f>
        <v>-0.01622031721</v>
      </c>
      <c r="AJ2615" s="160">
        <f>IF($AE$2478&gt;0,IPMT('Assumptions (Battery)'!$V$9,Model!AB$1,'Assumptions (Battery)'!$V$12,'Assumptions (Battery)'!$V$7*$AE$2480),0)</f>
        <v>-0.0140092384</v>
      </c>
      <c r="AK2615" s="160">
        <f>IF($AE$2478&gt;0,IPMT('Assumptions (Battery)'!$V$9,Model!AC$1,'Assumptions (Battery)'!$V$12,'Assumptions (Battery)'!$V$7*$AE$2480),0)</f>
        <v>-0.01162127329</v>
      </c>
      <c r="AL2615" s="160">
        <f>IF($AE$2478&gt;0,IPMT('Assumptions (Battery)'!$V$9,Model!AD$1,'Assumptions (Battery)'!$V$12,'Assumptions (Battery)'!$V$7*$AE$2480),0)</f>
        <v>-0.009042270977</v>
      </c>
      <c r="AM2615" s="160">
        <f>IF($AE$2478&gt;0,IPMT('Assumptions (Battery)'!$V$9,Model!AE$1,'Assumptions (Battery)'!$V$12,'Assumptions (Battery)'!$V$7*$AE$2480),0)</f>
        <v>-0.006256948473</v>
      </c>
      <c r="AN2615" s="160">
        <f>IF($AE$2478&gt;0,IPMT('Assumptions (Battery)'!$V$9,Model!AF$1,'Assumptions (Battery)'!$V$12,'Assumptions (Battery)'!$V$7*$AE$2480),0)</f>
        <v>-0.003248800169</v>
      </c>
      <c r="AO2615" s="160"/>
      <c r="AP2615" s="160"/>
      <c r="AQ2615" s="160"/>
      <c r="AR2615" s="160"/>
      <c r="AS2615" s="160"/>
      <c r="AT2615" s="160"/>
      <c r="AU2615" s="160"/>
      <c r="AV2615" s="160"/>
      <c r="AW2615" s="160"/>
      <c r="AX2615" s="160"/>
      <c r="AY2615" s="160"/>
      <c r="AZ2615" s="160"/>
      <c r="BA2615" s="160"/>
      <c r="BB2615" s="160"/>
      <c r="BC2615" s="160"/>
    </row>
    <row r="2616" ht="15.75" hidden="1" customHeight="1" outlineLevel="1">
      <c r="A2616" s="353"/>
      <c r="B2616" s="38"/>
      <c r="C2616" s="174"/>
      <c r="D2616" s="174"/>
      <c r="E2616" s="174"/>
      <c r="F2616" s="174"/>
      <c r="G2616" s="174"/>
      <c r="H2616" s="174"/>
      <c r="I2616" s="174"/>
      <c r="J2616" s="174"/>
      <c r="K2616" s="174"/>
      <c r="L2616" s="174"/>
      <c r="M2616" s="174"/>
      <c r="N2616" s="174"/>
      <c r="O2616" s="174"/>
      <c r="P2616" s="174"/>
      <c r="Q2616" s="174"/>
      <c r="R2616" s="174"/>
      <c r="S2616" s="174"/>
      <c r="T2616" s="174"/>
      <c r="U2616" s="174"/>
      <c r="V2616" s="174"/>
      <c r="W2616" s="160"/>
      <c r="X2616" s="160"/>
      <c r="Y2616" s="160"/>
      <c r="Z2616" s="160"/>
      <c r="AA2616" s="160"/>
      <c r="AB2616" s="160"/>
      <c r="AC2616" s="160"/>
      <c r="AD2616" s="160"/>
      <c r="AE2616" s="160"/>
      <c r="AF2616" s="160">
        <f>IF($AF$2478&gt;0,IPMT('Assumptions (Battery)'!$V$9,Model!W$1,'Assumptions (Battery)'!$V$12,'Assumptions (Battery)'!$V$7*$AF$2480),0)</f>
        <v>-0.02296198875</v>
      </c>
      <c r="AG2616" s="160">
        <f>IF($AF$2478&gt;0,IPMT('Assumptions (Battery)'!$V$9,Model!X$1,'Assumptions (Battery)'!$V$12,'Assumptions (Battery)'!$V$7*$AF$2480),0)</f>
        <v>-0.0213769344</v>
      </c>
      <c r="AH2616" s="160">
        <f>IF($AF$2478&gt;0,IPMT('Assumptions (Battery)'!$V$9,Model!Y$1,'Assumptions (Battery)'!$V$12,'Assumptions (Battery)'!$V$7*$AF$2480),0)</f>
        <v>-0.01966507571</v>
      </c>
      <c r="AI2616" s="160">
        <f>IF($AF$2478&gt;0,IPMT('Assumptions (Battery)'!$V$9,Model!Z$1,'Assumptions (Battery)'!$V$12,'Assumptions (Battery)'!$V$7*$AF$2480),0)</f>
        <v>-0.01781626833</v>
      </c>
      <c r="AJ2616" s="160">
        <f>IF($AF$2478&gt;0,IPMT('Assumptions (Battery)'!$V$9,Model!AA$1,'Assumptions (Battery)'!$V$12,'Assumptions (Battery)'!$V$7*$AF$2480),0)</f>
        <v>-0.01581955635</v>
      </c>
      <c r="AK2616" s="160">
        <f>IF($AF$2478&gt;0,IPMT('Assumptions (Battery)'!$V$9,Model!AB$1,'Assumptions (Battery)'!$V$12,'Assumptions (Battery)'!$V$7*$AF$2480),0)</f>
        <v>-0.01366310742</v>
      </c>
      <c r="AL2616" s="160">
        <f>IF($AF$2478&gt;0,IPMT('Assumptions (Battery)'!$V$9,Model!AC$1,'Assumptions (Battery)'!$V$12,'Assumptions (Battery)'!$V$7*$AF$2480),0)</f>
        <v>-0.01133414257</v>
      </c>
      <c r="AM2616" s="160">
        <f>IF($AF$2478&gt;0,IPMT('Assumptions (Battery)'!$V$9,Model!AD$1,'Assumptions (Battery)'!$V$12,'Assumptions (Battery)'!$V$7*$AF$2480),0)</f>
        <v>-0.008818860533</v>
      </c>
      <c r="AN2616" s="160">
        <f>IF($AF$2478&gt;0,IPMT('Assumptions (Battery)'!$V$9,Model!AE$1,'Assumptions (Battery)'!$V$12,'Assumptions (Battery)'!$V$7*$AF$2480),0)</f>
        <v>-0.006102355933</v>
      </c>
      <c r="AO2616" s="160">
        <f>IF($AF$2478&gt;0,IPMT('Assumptions (Battery)'!$V$9,Model!AF$1,'Assumptions (Battery)'!$V$12,'Assumptions (Battery)'!$V$7*$AF$2480),0)</f>
        <v>-0.003168530965</v>
      </c>
      <c r="AP2616" s="160"/>
      <c r="AQ2616" s="160"/>
      <c r="AR2616" s="160"/>
      <c r="AS2616" s="160"/>
      <c r="AT2616" s="160"/>
      <c r="AU2616" s="160"/>
      <c r="AV2616" s="160"/>
      <c r="AW2616" s="160"/>
      <c r="AX2616" s="160"/>
      <c r="AY2616" s="160"/>
      <c r="AZ2616" s="160"/>
      <c r="BA2616" s="160"/>
      <c r="BB2616" s="160"/>
      <c r="BC2616" s="160"/>
      <c r="BD2616" s="160"/>
    </row>
    <row r="2617" ht="15.75" hidden="1" customHeight="1" outlineLevel="1">
      <c r="A2617" s="353"/>
      <c r="B2617" s="38"/>
      <c r="C2617" s="174"/>
      <c r="D2617" s="174"/>
      <c r="E2617" s="174"/>
      <c r="F2617" s="174"/>
      <c r="G2617" s="174"/>
      <c r="H2617" s="174"/>
      <c r="I2617" s="174"/>
      <c r="J2617" s="174"/>
      <c r="K2617" s="174"/>
      <c r="L2617" s="174"/>
      <c r="M2617" s="174"/>
      <c r="N2617" s="174"/>
      <c r="O2617" s="174"/>
      <c r="P2617" s="174"/>
      <c r="Q2617" s="174"/>
      <c r="R2617" s="174"/>
      <c r="S2617" s="174"/>
      <c r="T2617" s="174"/>
      <c r="U2617" s="174"/>
      <c r="V2617" s="174"/>
      <c r="W2617" s="160"/>
      <c r="X2617" s="160"/>
      <c r="Y2617" s="160"/>
      <c r="Z2617" s="160"/>
      <c r="AA2617" s="160"/>
      <c r="AB2617" s="160"/>
      <c r="AC2617" s="160"/>
      <c r="AD2617" s="160"/>
      <c r="AE2617" s="160"/>
      <c r="AF2617" s="160"/>
      <c r="AG2617" s="160">
        <f>IF($AG$2478&gt;0,IPMT('Assumptions (Battery)'!$V$9,Model!W$1,'Assumptions (Battery)'!$V$12,'Assumptions (Battery)'!$V$7*$AG$2480),0)</f>
        <v>-0.02246572714</v>
      </c>
      <c r="AH2617" s="160">
        <f>IF($AG$2478&gt;0,IPMT('Assumptions (Battery)'!$V$9,Model!X$1,'Assumptions (Battery)'!$V$12,'Assumptions (Battery)'!$V$7*$AG$2480),0)</f>
        <v>-0.02091492948</v>
      </c>
      <c r="AI2617" s="160">
        <f>IF($AG$2478&gt;0,IPMT('Assumptions (Battery)'!$V$9,Model!Y$1,'Assumptions (Battery)'!$V$12,'Assumptions (Battery)'!$V$7*$AG$2480),0)</f>
        <v>-0.01924006801</v>
      </c>
      <c r="AJ2617" s="160">
        <f>IF($AG$2478&gt;0,IPMT('Assumptions (Battery)'!$V$9,Model!Z$1,'Assumptions (Battery)'!$V$12,'Assumptions (Battery)'!$V$7*$AG$2480),0)</f>
        <v>-0.01743121763</v>
      </c>
      <c r="AK2617" s="160">
        <f>IF($AG$2478&gt;0,IPMT('Assumptions (Battery)'!$V$9,Model!AA$1,'Assumptions (Battery)'!$V$12,'Assumptions (Battery)'!$V$7*$AG$2480),0)</f>
        <v>-0.01547765921</v>
      </c>
      <c r="AL2617" s="160">
        <f>IF($AG$2478&gt;0,IPMT('Assumptions (Battery)'!$V$9,Model!AB$1,'Assumptions (Battery)'!$V$12,'Assumptions (Battery)'!$V$7*$AG$2480),0)</f>
        <v>-0.01336781611</v>
      </c>
      <c r="AM2617" s="160">
        <f>IF($AG$2478&gt;0,IPMT('Assumptions (Battery)'!$V$9,Model!AC$1,'Assumptions (Battery)'!$V$12,'Assumptions (Battery)'!$V$7*$AG$2480),0)</f>
        <v>-0.01108918557</v>
      </c>
      <c r="AN2617" s="160">
        <f>IF($AG$2478&gt;0,IPMT('Assumptions (Battery)'!$V$9,Model!AD$1,'Assumptions (Battery)'!$V$12,'Assumptions (Battery)'!$V$7*$AG$2480),0)</f>
        <v>-0.008628264591</v>
      </c>
      <c r="AO2617" s="160">
        <f>IF($AG$2478&gt;0,IPMT('Assumptions (Battery)'!$V$9,Model!AE$1,'Assumptions (Battery)'!$V$12,'Assumptions (Battery)'!$V$7*$AG$2480),0)</f>
        <v>-0.005970469929</v>
      </c>
      <c r="AP2617" s="160">
        <f>IF($AG$2478&gt;0,IPMT('Assumptions (Battery)'!$V$9,Model!AF$1,'Assumptions (Battery)'!$V$12,'Assumptions (Battery)'!$V$7*$AG$2480),0)</f>
        <v>-0.003100051694</v>
      </c>
      <c r="AQ2617" s="160"/>
      <c r="AR2617" s="160"/>
      <c r="AS2617" s="160"/>
      <c r="AT2617" s="160"/>
      <c r="AU2617" s="160"/>
      <c r="AV2617" s="160"/>
      <c r="AW2617" s="160"/>
      <c r="AX2617" s="160"/>
      <c r="AY2617" s="160"/>
      <c r="AZ2617" s="160"/>
      <c r="BA2617" s="160"/>
      <c r="BB2617" s="160"/>
      <c r="BC2617" s="160"/>
      <c r="BD2617" s="160"/>
      <c r="BE2617" s="160"/>
    </row>
    <row r="2618" ht="15.75" hidden="1" customHeight="1" outlineLevel="1">
      <c r="A2618" s="353"/>
      <c r="B2618" s="38"/>
      <c r="C2618" s="174"/>
      <c r="D2618" s="174"/>
      <c r="E2618" s="174"/>
      <c r="F2618" s="174"/>
      <c r="G2618" s="174"/>
      <c r="H2618" s="174"/>
      <c r="I2618" s="174"/>
      <c r="J2618" s="174"/>
      <c r="K2618" s="174"/>
      <c r="L2618" s="174"/>
      <c r="M2618" s="174"/>
      <c r="N2618" s="174"/>
      <c r="O2618" s="174"/>
      <c r="P2618" s="174"/>
      <c r="Q2618" s="174"/>
      <c r="R2618" s="174"/>
      <c r="S2618" s="174"/>
      <c r="T2618" s="174"/>
      <c r="U2618" s="174"/>
      <c r="V2618" s="174"/>
      <c r="W2618" s="160"/>
      <c r="X2618" s="160"/>
      <c r="Y2618" s="160"/>
      <c r="Z2618" s="160"/>
      <c r="AA2618" s="160"/>
      <c r="AB2618" s="160"/>
      <c r="AC2618" s="160"/>
      <c r="AD2618" s="160"/>
      <c r="AE2618" s="160"/>
      <c r="AF2618" s="160"/>
      <c r="AG2618" s="160"/>
      <c r="AH2618" s="160">
        <f>IF($AH$2478&gt;0,IPMT('Assumptions (Battery)'!$V$9,Model!W$1,'Assumptions (Battery)'!$V$12,'Assumptions (Battery)'!$V$7*$AH$2480),0)</f>
        <v>-0.02263193022</v>
      </c>
      <c r="AI2618" s="160">
        <f>IF($AH$2478&gt;0,IPMT('Assumptions (Battery)'!$V$9,Model!X$1,'Assumptions (Battery)'!$V$12,'Assumptions (Battery)'!$V$7*$AH$2480),0)</f>
        <v>-0.02106965964</v>
      </c>
      <c r="AJ2618" s="160">
        <f>IF($AH$2478&gt;0,IPMT('Assumptions (Battery)'!$V$9,Model!Y$1,'Assumptions (Battery)'!$V$12,'Assumptions (Battery)'!$V$7*$AH$2480),0)</f>
        <v>-0.01938240743</v>
      </c>
      <c r="AK2618" s="160">
        <f>IF($AH$2478&gt;0,IPMT('Assumptions (Battery)'!$V$9,Model!Z$1,'Assumptions (Battery)'!$V$12,'Assumptions (Battery)'!$V$7*$AH$2480),0)</f>
        <v>-0.01756017503</v>
      </c>
      <c r="AL2618" s="160">
        <f>IF($AH$2478&gt;0,IPMT('Assumptions (Battery)'!$V$9,Model!AA$1,'Assumptions (Battery)'!$V$12,'Assumptions (Battery)'!$V$7*$AH$2480),0)</f>
        <v>-0.01559216405</v>
      </c>
      <c r="AM2618" s="160">
        <f>IF($AH$2478&gt;0,IPMT('Assumptions (Battery)'!$V$9,Model!AB$1,'Assumptions (Battery)'!$V$12,'Assumptions (Battery)'!$V$7*$AH$2480),0)</f>
        <v>-0.01346671218</v>
      </c>
      <c r="AN2618" s="160">
        <f>IF($AH$2478&gt;0,IPMT('Assumptions (Battery)'!$V$9,Model!AC$1,'Assumptions (Battery)'!$V$12,'Assumptions (Battery)'!$V$7*$AH$2480),0)</f>
        <v>-0.01117122417</v>
      </c>
      <c r="AO2618" s="160">
        <f>IF($AH$2478&gt;0,IPMT('Assumptions (Battery)'!$V$9,Model!AD$1,'Assumptions (Battery)'!$V$12,'Assumptions (Battery)'!$V$7*$AH$2480),0)</f>
        <v>-0.008692097116</v>
      </c>
      <c r="AP2618" s="160">
        <f>IF($AH$2478&gt;0,IPMT('Assumptions (Battery)'!$V$9,Model!AE$1,'Assumptions (Battery)'!$V$12,'Assumptions (Battery)'!$V$7*$AH$2480),0)</f>
        <v>-0.006014639897</v>
      </c>
      <c r="AQ2618" s="160">
        <f>IF($AH$2478&gt;0,IPMT('Assumptions (Battery)'!$V$9,Model!AF$1,'Assumptions (Battery)'!$V$12,'Assumptions (Battery)'!$V$7*$AH$2480),0)</f>
        <v>-0.0031229861</v>
      </c>
      <c r="AR2618" s="160"/>
      <c r="AS2618" s="160"/>
      <c r="AT2618" s="160"/>
      <c r="AU2618" s="160"/>
      <c r="AV2618" s="160"/>
      <c r="AW2618" s="160"/>
      <c r="AX2618" s="160"/>
      <c r="AY2618" s="160"/>
      <c r="AZ2618" s="160"/>
      <c r="BA2618" s="160"/>
      <c r="BB2618" s="160"/>
      <c r="BC2618" s="160"/>
      <c r="BD2618" s="160"/>
      <c r="BE2618" s="160"/>
      <c r="BF2618" s="160"/>
    </row>
    <row r="2619" ht="15.75" hidden="1" customHeight="1" outlineLevel="1">
      <c r="A2619" s="353"/>
      <c r="B2619" s="38"/>
      <c r="C2619" s="174"/>
      <c r="D2619" s="174"/>
      <c r="E2619" s="174"/>
      <c r="F2619" s="174"/>
      <c r="G2619" s="174"/>
      <c r="H2619" s="174"/>
      <c r="I2619" s="174"/>
      <c r="J2619" s="174"/>
      <c r="K2619" s="174"/>
      <c r="L2619" s="174"/>
      <c r="M2619" s="174"/>
      <c r="N2619" s="174"/>
      <c r="O2619" s="174"/>
      <c r="P2619" s="174"/>
      <c r="Q2619" s="174"/>
      <c r="R2619" s="174"/>
      <c r="S2619" s="174"/>
      <c r="T2619" s="174"/>
      <c r="U2619" s="174"/>
      <c r="V2619" s="174"/>
      <c r="W2619" s="160"/>
      <c r="X2619" s="160"/>
      <c r="Y2619" s="160"/>
      <c r="Z2619" s="160"/>
      <c r="AA2619" s="160"/>
      <c r="AB2619" s="160"/>
      <c r="AC2619" s="160"/>
      <c r="AD2619" s="160"/>
      <c r="AE2619" s="160"/>
      <c r="AF2619" s="160"/>
      <c r="AG2619" s="160"/>
      <c r="AH2619" s="160"/>
      <c r="AI2619" s="160">
        <f>IF($AI$2478&gt;0,IPMT('Assumptions (Battery)'!$V$9,Model!W$1,'Assumptions (Battery)'!$V$12,'Assumptions (Battery)'!$V$7*$AI$2480),0)</f>
        <v>-0.02279002843</v>
      </c>
      <c r="AJ2619" s="160">
        <f>IF($AI$2478&gt;0,IPMT('Assumptions (Battery)'!$V$9,Model!X$1,'Assumptions (Battery)'!$V$12,'Assumptions (Battery)'!$V$7*$AI$2480),0)</f>
        <v>-0.02121684442</v>
      </c>
      <c r="AK2619" s="160">
        <f>IF($AI$2478&gt;0,IPMT('Assumptions (Battery)'!$V$9,Model!Y$1,'Assumptions (Battery)'!$V$12,'Assumptions (Battery)'!$V$7*$AI$2480),0)</f>
        <v>-0.01951780569</v>
      </c>
      <c r="AL2619" s="160">
        <f>IF($AI$2478&gt;0,IPMT('Assumptions (Battery)'!$V$9,Model!Z$1,'Assumptions (Battery)'!$V$12,'Assumptions (Battery)'!$V$7*$AI$2480),0)</f>
        <v>-0.01768284386</v>
      </c>
      <c r="AM2619" s="160">
        <f>IF($AI$2478&gt;0,IPMT('Assumptions (Battery)'!$V$9,Model!AA$1,'Assumptions (Battery)'!$V$12,'Assumptions (Battery)'!$V$7*$AI$2480),0)</f>
        <v>-0.01570108508</v>
      </c>
      <c r="AN2619" s="160">
        <f>IF($AI$2478&gt;0,IPMT('Assumptions (Battery)'!$V$9,Model!AB$1,'Assumptions (Battery)'!$V$12,'Assumptions (Battery)'!$V$7*$AI$2480),0)</f>
        <v>-0.0135607856</v>
      </c>
      <c r="AO2619" s="160">
        <f>IF($AI$2478&gt;0,IPMT('Assumptions (Battery)'!$V$9,Model!AC$1,'Assumptions (Battery)'!$V$12,'Assumptions (Battery)'!$V$7*$AI$2480),0)</f>
        <v>-0.01124926217</v>
      </c>
      <c r="AP2619" s="160">
        <f>IF($AI$2478&gt;0,IPMT('Assumptions (Battery)'!$V$9,Model!AD$1,'Assumptions (Battery)'!$V$12,'Assumptions (Battery)'!$V$7*$AI$2480),0)</f>
        <v>-0.008752816859</v>
      </c>
      <c r="AQ2619" s="160">
        <f>IF($AI$2478&gt;0,IPMT('Assumptions (Battery)'!$V$9,Model!AE$1,'Assumptions (Battery)'!$V$12,'Assumptions (Battery)'!$V$7*$AI$2480),0)</f>
        <v>-0.006056655924</v>
      </c>
      <c r="AR2619" s="160">
        <f>IF($AI$2478&gt;0,IPMT('Assumptions (Battery)'!$V$9,Model!AF$1,'Assumptions (Battery)'!$V$12,'Assumptions (Battery)'!$V$7*$AI$2480),0)</f>
        <v>-0.003144802115</v>
      </c>
      <c r="AS2619" s="160"/>
      <c r="AT2619" s="160"/>
      <c r="AU2619" s="160"/>
      <c r="AV2619" s="160"/>
      <c r="AW2619" s="160"/>
      <c r="AX2619" s="160"/>
      <c r="AY2619" s="160"/>
      <c r="AZ2619" s="160"/>
      <c r="BA2619" s="160"/>
      <c r="BB2619" s="160"/>
      <c r="BC2619" s="160"/>
      <c r="BD2619" s="160"/>
      <c r="BE2619" s="160"/>
      <c r="BF2619" s="160"/>
      <c r="BG2619" s="160"/>
    </row>
    <row r="2620" ht="15.75" hidden="1" customHeight="1" outlineLevel="1">
      <c r="A2620" s="353"/>
      <c r="B2620" s="38"/>
      <c r="C2620" s="174"/>
      <c r="D2620" s="174"/>
      <c r="E2620" s="174"/>
      <c r="F2620" s="174"/>
      <c r="G2620" s="174"/>
      <c r="H2620" s="174"/>
      <c r="I2620" s="174"/>
      <c r="J2620" s="174"/>
      <c r="K2620" s="174"/>
      <c r="L2620" s="174"/>
      <c r="M2620" s="174"/>
      <c r="N2620" s="174"/>
      <c r="O2620" s="174"/>
      <c r="P2620" s="174"/>
      <c r="Q2620" s="174"/>
      <c r="R2620" s="174"/>
      <c r="S2620" s="174"/>
      <c r="T2620" s="174"/>
      <c r="U2620" s="174"/>
      <c r="V2620" s="174"/>
      <c r="W2620" s="160"/>
      <c r="X2620" s="160"/>
      <c r="Y2620" s="160"/>
      <c r="Z2620" s="160"/>
      <c r="AA2620" s="160"/>
      <c r="AB2620" s="160"/>
      <c r="AC2620" s="160"/>
      <c r="AD2620" s="160"/>
      <c r="AE2620" s="160"/>
      <c r="AF2620" s="160"/>
      <c r="AG2620" s="160"/>
      <c r="AH2620" s="160"/>
      <c r="AI2620" s="160"/>
      <c r="AJ2620" s="160">
        <f>IF($AJ$2478&gt;0,IPMT('Assumptions (Battery)'!$V$9,Model!W$1,'Assumptions (Battery)'!$V$12,'Assumptions (Battery)'!$V$7*$AJ$2480),0)</f>
        <v>-0.0228307032</v>
      </c>
      <c r="AK2620" s="160">
        <f>IF($AJ$2478&gt;0,IPMT('Assumptions (Battery)'!$V$9,Model!X$1,'Assumptions (Battery)'!$V$12,'Assumptions (Battery)'!$V$7*$AJ$2480),0)</f>
        <v>-0.02125471143</v>
      </c>
      <c r="AL2620" s="160">
        <f>IF($AJ$2478&gt;0,IPMT('Assumptions (Battery)'!$V$9,Model!Y$1,'Assumptions (Battery)'!$V$12,'Assumptions (Battery)'!$V$7*$AJ$2480),0)</f>
        <v>-0.01955264032</v>
      </c>
      <c r="AM2620" s="160">
        <f>IF($AJ$2478&gt;0,IPMT('Assumptions (Battery)'!$V$9,Model!Z$1,'Assumptions (Battery)'!$V$12,'Assumptions (Battery)'!$V$7*$AJ$2480),0)</f>
        <v>-0.01771440352</v>
      </c>
      <c r="AN2620" s="160">
        <f>IF($AJ$2478&gt;0,IPMT('Assumptions (Battery)'!$V$9,Model!AA$1,'Assumptions (Battery)'!$V$12,'Assumptions (Battery)'!$V$7*$AJ$2480),0)</f>
        <v>-0.01572910778</v>
      </c>
      <c r="AO2620" s="160">
        <f>IF($AJ$2478&gt;0,IPMT('Assumptions (Battery)'!$V$9,Model!AB$1,'Assumptions (Battery)'!$V$12,'Assumptions (Battery)'!$V$7*$AJ$2480),0)</f>
        <v>-0.01358498838</v>
      </c>
      <c r="AP2620" s="160">
        <f>IF($AJ$2478&gt;0,IPMT('Assumptions (Battery)'!$V$9,Model!AC$1,'Assumptions (Battery)'!$V$12,'Assumptions (Battery)'!$V$7*$AJ$2480),0)</f>
        <v>-0.01126933942</v>
      </c>
      <c r="AQ2620" s="160">
        <f>IF($AJ$2478&gt;0,IPMT('Assumptions (Battery)'!$V$9,Model!AD$1,'Assumptions (Battery)'!$V$12,'Assumptions (Battery)'!$V$7*$AJ$2480),0)</f>
        <v>-0.008768438552</v>
      </c>
      <c r="AR2620" s="160">
        <f>IF($AJ$2478&gt;0,IPMT('Assumptions (Battery)'!$V$9,Model!AE$1,'Assumptions (Battery)'!$V$12,'Assumptions (Battery)'!$V$7*$AJ$2480),0)</f>
        <v>-0.006067465612</v>
      </c>
      <c r="AS2620" s="160">
        <f>IF($AJ$2478&gt;0,IPMT('Assumptions (Battery)'!$V$9,Model!AF$1,'Assumptions (Battery)'!$V$12,'Assumptions (Battery)'!$V$7*$AJ$2480),0)</f>
        <v>-0.003150414837</v>
      </c>
      <c r="AT2620" s="160"/>
      <c r="AU2620" s="160"/>
      <c r="AV2620" s="160"/>
      <c r="AW2620" s="160"/>
      <c r="AX2620" s="160"/>
      <c r="AY2620" s="160"/>
      <c r="AZ2620" s="160"/>
      <c r="BA2620" s="160"/>
      <c r="BB2620" s="177"/>
      <c r="BC2620" s="177"/>
      <c r="BD2620" s="177"/>
      <c r="BE2620" s="177"/>
      <c r="BF2620" s="177"/>
      <c r="BG2620" s="177"/>
      <c r="BH2620" s="177"/>
    </row>
    <row r="2621" ht="15.75" hidden="1" customHeight="1" outlineLevel="1">
      <c r="A2621" s="353"/>
      <c r="B2621" s="38"/>
      <c r="C2621" s="174"/>
      <c r="D2621" s="174"/>
      <c r="E2621" s="174"/>
      <c r="F2621" s="174"/>
      <c r="G2621" s="174"/>
      <c r="H2621" s="174"/>
      <c r="I2621" s="174"/>
      <c r="J2621" s="174"/>
      <c r="K2621" s="174"/>
      <c r="L2621" s="174"/>
      <c r="M2621" s="174"/>
      <c r="N2621" s="174"/>
      <c r="O2621" s="174"/>
      <c r="P2621" s="174"/>
      <c r="Q2621" s="174"/>
      <c r="R2621" s="174"/>
      <c r="S2621" s="174"/>
      <c r="T2621" s="174"/>
      <c r="U2621" s="174"/>
      <c r="V2621" s="174"/>
      <c r="W2621" s="160"/>
      <c r="X2621" s="160"/>
      <c r="Y2621" s="160"/>
      <c r="Z2621" s="160"/>
      <c r="AA2621" s="160"/>
      <c r="AB2621" s="160"/>
      <c r="AC2621" s="160"/>
      <c r="AD2621" s="160"/>
      <c r="AE2621" s="160"/>
      <c r="AF2621" s="160"/>
      <c r="AG2621" s="160"/>
      <c r="AH2621" s="160"/>
      <c r="AI2621" s="160"/>
      <c r="AJ2621" s="160"/>
      <c r="AK2621" s="160">
        <f>IF($AK$2478&gt;0,IPMT('Assumptions (Battery)'!$V$9,Model!W$1,'Assumptions (Battery)'!$V$12,'Assumptions (Battery)'!$V$7*$AK$2480),0)</f>
        <v>-0.02299062336</v>
      </c>
      <c r="AL2621" s="160">
        <f>IF($AK$2478&gt;0,IPMT('Assumptions (Battery)'!$V$9,Model!X$1,'Assumptions (Battery)'!$V$12,'Assumptions (Battery)'!$V$7*$AK$2480),0)</f>
        <v>-0.02140359238</v>
      </c>
      <c r="AM2621" s="160">
        <f>IF($AK$2478&gt;0,IPMT('Assumptions (Battery)'!$V$9,Model!Y$1,'Assumptions (Battery)'!$V$12,'Assumptions (Battery)'!$V$7*$AK$2480),0)</f>
        <v>-0.01968959893</v>
      </c>
      <c r="AN2621" s="160">
        <f>IF($AK$2478&gt;0,IPMT('Assumptions (Battery)'!$V$9,Model!Z$1,'Assumptions (Battery)'!$V$12,'Assumptions (Battery)'!$V$7*$AK$2480),0)</f>
        <v>-0.017838486</v>
      </c>
      <c r="AO2621" s="160">
        <f>IF($AK$2478&gt;0,IPMT('Assumptions (Battery)'!$V$9,Model!AA$1,'Assumptions (Battery)'!$V$12,'Assumptions (Battery)'!$V$7*$AK$2480),0)</f>
        <v>-0.01583928404</v>
      </c>
      <c r="AP2621" s="160">
        <f>IF($AK$2478&gt;0,IPMT('Assumptions (Battery)'!$V$9,Model!AB$1,'Assumptions (Battery)'!$V$12,'Assumptions (Battery)'!$V$7*$AK$2480),0)</f>
        <v>-0.01368014592</v>
      </c>
      <c r="AQ2621" s="160">
        <f>IF($AK$2478&gt;0,IPMT('Assumptions (Battery)'!$V$9,Model!AC$1,'Assumptions (Battery)'!$V$12,'Assumptions (Battery)'!$V$7*$AK$2480),0)</f>
        <v>-0.01134827675</v>
      </c>
      <c r="AR2621" s="160">
        <f>IF($AK$2478&gt;0,IPMT('Assumptions (Battery)'!$V$9,Model!AD$1,'Assumptions (Battery)'!$V$12,'Assumptions (Battery)'!$V$7*$AK$2480),0)</f>
        <v>-0.008829858041</v>
      </c>
      <c r="AS2621" s="160">
        <f>IF($AK$2478&gt;0,IPMT('Assumptions (Battery)'!$V$9,Model!AE$1,'Assumptions (Battery)'!$V$12,'Assumptions (Battery)'!$V$7*$AK$2480),0)</f>
        <v>-0.00610996584</v>
      </c>
      <c r="AT2621" s="160">
        <f>IF($AK$2478&gt;0,IPMT('Assumptions (Battery)'!$V$9,Model!AF$1,'Assumptions (Battery)'!$V$12,'Assumptions (Battery)'!$V$7*$AK$2480),0)</f>
        <v>-0.003172482263</v>
      </c>
      <c r="AU2621" s="160"/>
      <c r="AV2621" s="160"/>
      <c r="AW2621" s="160"/>
      <c r="AX2621" s="160"/>
      <c r="AY2621" s="160"/>
      <c r="AZ2621" s="160"/>
      <c r="BA2621" s="160"/>
      <c r="BB2621" s="160"/>
      <c r="BC2621" s="160"/>
      <c r="BD2621" s="160"/>
      <c r="BE2621" s="160"/>
      <c r="BF2621" s="160"/>
      <c r="BG2621" s="160"/>
      <c r="BH2621" s="160"/>
      <c r="BI2621" s="160"/>
    </row>
    <row r="2622" ht="15.75" hidden="1" customHeight="1" outlineLevel="1">
      <c r="A2622" s="353"/>
      <c r="B2622" s="38"/>
      <c r="C2622" s="174"/>
      <c r="D2622" s="174"/>
      <c r="E2622" s="174"/>
      <c r="F2622" s="174"/>
      <c r="G2622" s="174"/>
      <c r="H2622" s="174"/>
      <c r="I2622" s="174"/>
      <c r="J2622" s="174"/>
      <c r="K2622" s="174"/>
      <c r="L2622" s="174"/>
      <c r="M2622" s="174"/>
      <c r="N2622" s="174"/>
      <c r="O2622" s="174"/>
      <c r="P2622" s="174"/>
      <c r="Q2622" s="174"/>
      <c r="R2622" s="174"/>
      <c r="S2622" s="174"/>
      <c r="T2622" s="174"/>
      <c r="U2622" s="174"/>
      <c r="V2622" s="174"/>
      <c r="W2622" s="160"/>
      <c r="X2622" s="160"/>
      <c r="Y2622" s="160"/>
      <c r="Z2622" s="160"/>
      <c r="AA2622" s="160"/>
      <c r="AB2622" s="160"/>
      <c r="AC2622" s="160"/>
      <c r="AD2622" s="160"/>
      <c r="AE2622" s="160"/>
      <c r="AF2622" s="160"/>
      <c r="AG2622" s="160"/>
      <c r="AH2622" s="160"/>
      <c r="AI2622" s="160"/>
      <c r="AJ2622" s="160"/>
      <c r="AK2622" s="160"/>
      <c r="AL2622" s="160">
        <f>IF($AL$2478&gt;0,IPMT('Assumptions (Battery)'!$V$9,Model!W$1,'Assumptions (Battery)'!$V$12,'Assumptions (Battery)'!$V$7*$AL$2480),0)</f>
        <v>-0.0231296503</v>
      </c>
      <c r="AM2622" s="160">
        <f>IF($AL$2478&gt;0,IPMT('Assumptions (Battery)'!$V$9,Model!X$1,'Assumptions (Battery)'!$V$12,'Assumptions (Battery)'!$V$7*$AL$2480),0)</f>
        <v>-0.02153302236</v>
      </c>
      <c r="AN2622" s="160">
        <f>IF($AL$2478&gt;0,IPMT('Assumptions (Battery)'!$V$9,Model!Y$1,'Assumptions (Battery)'!$V$12,'Assumptions (Battery)'!$V$7*$AL$2480),0)</f>
        <v>-0.0198086642</v>
      </c>
      <c r="AO2622" s="160">
        <f>IF($AL$2478&gt;0,IPMT('Assumptions (Battery)'!$V$9,Model!Z$1,'Assumptions (Battery)'!$V$12,'Assumptions (Battery)'!$V$7*$AL$2480),0)</f>
        <v>-0.01794635737</v>
      </c>
      <c r="AP2622" s="160">
        <f>IF($AL$2478&gt;0,IPMT('Assumptions (Battery)'!$V$9,Model!AA$1,'Assumptions (Battery)'!$V$12,'Assumptions (Battery)'!$V$7*$AL$2480),0)</f>
        <v>-0.01593506601</v>
      </c>
      <c r="AQ2622" s="160">
        <f>IF($AL$2478&gt;0,IPMT('Assumptions (Battery)'!$V$9,Model!AB$1,'Assumptions (Battery)'!$V$12,'Assumptions (Battery)'!$V$7*$AL$2480),0)</f>
        <v>-0.01376287133</v>
      </c>
      <c r="AR2622" s="160">
        <f>IF($AL$2478&gt;0,IPMT('Assumptions (Battery)'!$V$9,Model!AC$1,'Assumptions (Battery)'!$V$12,'Assumptions (Battery)'!$V$7*$AL$2480),0)</f>
        <v>-0.01141690108</v>
      </c>
      <c r="AS2622" s="160">
        <f>IF($AL$2478&gt;0,IPMT('Assumptions (Battery)'!$V$9,Model!AD$1,'Assumptions (Battery)'!$V$12,'Assumptions (Battery)'!$V$7*$AL$2480),0)</f>
        <v>-0.008883253206</v>
      </c>
      <c r="AT2622" s="160">
        <f>IF($AL$2478&gt;0,IPMT('Assumptions (Battery)'!$V$9,Model!AE$1,'Assumptions (Battery)'!$V$12,'Assumptions (Battery)'!$V$7*$AL$2480),0)</f>
        <v>-0.006146913505</v>
      </c>
      <c r="AU2622" s="160">
        <f>IF($AL$2478&gt;0,IPMT('Assumptions (Battery)'!$V$9,Model!AF$1,'Assumptions (Battery)'!$V$12,'Assumptions (Battery)'!$V$7*$AL$2480),0)</f>
        <v>-0.003191666628</v>
      </c>
      <c r="AV2622" s="160"/>
      <c r="AW2622" s="160"/>
      <c r="AX2622" s="160"/>
      <c r="AY2622" s="160"/>
      <c r="AZ2622" s="160"/>
      <c r="BA2622" s="160"/>
      <c r="BB2622" s="177"/>
      <c r="BC2622" s="177"/>
      <c r="BD2622" s="177"/>
      <c r="BE2622" s="177"/>
      <c r="BF2622" s="177"/>
      <c r="BG2622" s="177"/>
      <c r="BH2622" s="177"/>
      <c r="BI2622" s="177"/>
      <c r="BJ2622" s="177"/>
    </row>
    <row r="2623" ht="15.75" hidden="1" customHeight="1" outlineLevel="1">
      <c r="A2623" s="353"/>
      <c r="B2623" s="38"/>
      <c r="C2623" s="174"/>
      <c r="D2623" s="174"/>
      <c r="E2623" s="174"/>
      <c r="F2623" s="174"/>
      <c r="G2623" s="174"/>
      <c r="H2623" s="174"/>
      <c r="I2623" s="174"/>
      <c r="J2623" s="174"/>
      <c r="K2623" s="174"/>
      <c r="L2623" s="174"/>
      <c r="M2623" s="174"/>
      <c r="N2623" s="174"/>
      <c r="O2623" s="174"/>
      <c r="P2623" s="174"/>
      <c r="Q2623" s="174"/>
      <c r="R2623" s="174"/>
      <c r="S2623" s="174"/>
      <c r="T2623" s="174"/>
      <c r="U2623" s="174"/>
      <c r="V2623" s="174"/>
      <c r="W2623" s="160"/>
      <c r="X2623" s="160"/>
      <c r="Y2623" s="160"/>
      <c r="Z2623" s="160"/>
      <c r="AA2623" s="160"/>
      <c r="AB2623" s="160"/>
      <c r="AC2623" s="160"/>
      <c r="AD2623" s="160"/>
      <c r="AE2623" s="160"/>
      <c r="AF2623" s="160"/>
      <c r="AG2623" s="160"/>
      <c r="AH2623" s="160"/>
      <c r="AI2623" s="160"/>
      <c r="AJ2623" s="160"/>
      <c r="AK2623" s="160"/>
      <c r="AL2623" s="160"/>
      <c r="AM2623" s="160">
        <f>IF($AM$2478&gt;0,IPMT('Assumptions (Battery)'!$V$9,Model!W$1,'Assumptions (Battery)'!$V$12,'Assumptions (Battery)'!$V$7*$AM$2480),0)</f>
        <v>-0.02327794758</v>
      </c>
      <c r="AN2623" s="160">
        <f>IF($AM$2478&gt;0,IPMT('Assumptions (Battery)'!$V$9,Model!X$1,'Assumptions (Battery)'!$V$12,'Assumptions (Battery)'!$V$7*$AM$2480),0)</f>
        <v>-0.02167108276</v>
      </c>
      <c r="AO2623" s="160">
        <f>IF($AM$2478&gt;0,IPMT('Assumptions (Battery)'!$V$9,Model!Y$1,'Assumptions (Battery)'!$V$12,'Assumptions (Battery)'!$V$7*$AM$2480),0)</f>
        <v>-0.01993566876</v>
      </c>
      <c r="AP2623" s="160">
        <f>IF($AM$2478&gt;0,IPMT('Assumptions (Battery)'!$V$9,Model!Z$1,'Assumptions (Battery)'!$V$12,'Assumptions (Battery)'!$V$7*$AM$2480),0)</f>
        <v>-0.01806142163</v>
      </c>
      <c r="AQ2623" s="160">
        <f>IF($AM$2478&gt;0,IPMT('Assumptions (Battery)'!$V$9,Model!AA$1,'Assumptions (Battery)'!$V$12,'Assumptions (Battery)'!$V$7*$AM$2480),0)</f>
        <v>-0.01603723474</v>
      </c>
      <c r="AR2623" s="160">
        <f>IF($AM$2478&gt;0,IPMT('Assumptions (Battery)'!$V$9,Model!AB$1,'Assumptions (Battery)'!$V$12,'Assumptions (Battery)'!$V$7*$AM$2480),0)</f>
        <v>-0.01385111289</v>
      </c>
      <c r="AS2623" s="160">
        <f>IF($AM$2478&gt;0,IPMT('Assumptions (Battery)'!$V$9,Model!AC$1,'Assumptions (Battery)'!$V$12,'Assumptions (Battery)'!$V$7*$AM$2480),0)</f>
        <v>-0.01149010129</v>
      </c>
      <c r="AT2623" s="160">
        <f>IF($AM$2478&gt;0,IPMT('Assumptions (Battery)'!$V$9,Model!AD$1,'Assumptions (Battery)'!$V$12,'Assumptions (Battery)'!$V$7*$AM$2480),0)</f>
        <v>-0.008940208772</v>
      </c>
      <c r="AU2623" s="160">
        <f>IF($AM$2478&gt;0,IPMT('Assumptions (Battery)'!$V$9,Model!AE$1,'Assumptions (Battery)'!$V$12,'Assumptions (Battery)'!$V$7*$AM$2480),0)</f>
        <v>-0.006186324847</v>
      </c>
      <c r="AV2623" s="160">
        <f>IF($AM$2478&gt;0,IPMT('Assumptions (Battery)'!$V$9,Model!AF$1,'Assumptions (Battery)'!$V$12,'Assumptions (Battery)'!$V$7*$AM$2480),0)</f>
        <v>-0.003212130209</v>
      </c>
      <c r="AW2623" s="160"/>
      <c r="AX2623" s="160"/>
      <c r="AY2623" s="160"/>
      <c r="AZ2623" s="160"/>
      <c r="BA2623" s="160"/>
      <c r="BB2623" s="160"/>
      <c r="BC2623" s="160"/>
      <c r="BD2623" s="160"/>
      <c r="BE2623" s="160"/>
      <c r="BF2623" s="160"/>
      <c r="BG2623" s="160"/>
      <c r="BH2623" s="160"/>
      <c r="BI2623" s="160"/>
      <c r="BJ2623" s="160"/>
      <c r="BK2623" s="160"/>
    </row>
    <row r="2624" ht="15.75" hidden="1" customHeight="1" outlineLevel="1">
      <c r="A2624" s="353"/>
      <c r="B2624" s="38"/>
      <c r="C2624" s="174"/>
      <c r="D2624" s="174"/>
      <c r="E2624" s="174"/>
      <c r="F2624" s="174"/>
      <c r="G2624" s="174"/>
      <c r="H2624" s="174"/>
      <c r="I2624" s="174"/>
      <c r="J2624" s="174"/>
      <c r="K2624" s="174"/>
      <c r="L2624" s="174"/>
      <c r="M2624" s="174"/>
      <c r="N2624" s="174"/>
      <c r="O2624" s="174"/>
      <c r="P2624" s="174"/>
      <c r="Q2624" s="174"/>
      <c r="R2624" s="174"/>
      <c r="S2624" s="174"/>
      <c r="T2624" s="174"/>
      <c r="U2624" s="174"/>
      <c r="V2624" s="174"/>
      <c r="W2624" s="160"/>
      <c r="X2624" s="160"/>
      <c r="Y2624" s="160"/>
      <c r="Z2624" s="160"/>
      <c r="AA2624" s="160"/>
      <c r="AB2624" s="160"/>
      <c r="AC2624" s="160"/>
      <c r="AD2624" s="160"/>
      <c r="AE2624" s="160"/>
      <c r="AF2624" s="160"/>
      <c r="AG2624" s="160"/>
      <c r="AH2624" s="160"/>
      <c r="AI2624" s="160"/>
      <c r="AJ2624" s="160"/>
      <c r="AK2624" s="160"/>
      <c r="AL2624" s="160"/>
      <c r="AM2624" s="160"/>
      <c r="AN2624" s="160">
        <f>IF($AN$2478&gt;0,IPMT('Assumptions (Battery)'!$V$9,Model!W$1,'Assumptions (Battery)'!$V$12,'Assumptions (Battery)'!$V$7*$AN$2480),0)</f>
        <v>-0.04684645595</v>
      </c>
      <c r="AO2624" s="160">
        <f>IF($AN$2478&gt;0,IPMT('Assumptions (Battery)'!$V$9,Model!X$1,'Assumptions (Battery)'!$V$12,'Assumptions (Battery)'!$V$7*$AN$2480),0)</f>
        <v>-0.04361266904</v>
      </c>
      <c r="AP2624" s="160">
        <f>IF($AN$2478&gt;0,IPMT('Assumptions (Battery)'!$V$9,Model!Y$1,'Assumptions (Battery)'!$V$12,'Assumptions (Battery)'!$V$7*$AN$2480),0)</f>
        <v>-0.04012017919</v>
      </c>
      <c r="AQ2624" s="160">
        <f>IF($AN$2478&gt;0,IPMT('Assumptions (Battery)'!$V$9,Model!Z$1,'Assumptions (Battery)'!$V$12,'Assumptions (Battery)'!$V$7*$AN$2480),0)</f>
        <v>-0.03634829015</v>
      </c>
      <c r="AR2624" s="160">
        <f>IF($AN$2478&gt;0,IPMT('Assumptions (Battery)'!$V$9,Model!AA$1,'Assumptions (Battery)'!$V$12,'Assumptions (Battery)'!$V$7*$AN$2480),0)</f>
        <v>-0.03227464998</v>
      </c>
      <c r="AS2624" s="160">
        <f>IF($AN$2478&gt;0,IPMT('Assumptions (Battery)'!$V$9,Model!AB$1,'Assumptions (Battery)'!$V$12,'Assumptions (Battery)'!$V$7*$AN$2480),0)</f>
        <v>-0.02787511861</v>
      </c>
      <c r="AT2624" s="160">
        <f>IF($AN$2478&gt;0,IPMT('Assumptions (Battery)'!$V$9,Model!AC$1,'Assumptions (Battery)'!$V$12,'Assumptions (Battery)'!$V$7*$AN$2480),0)</f>
        <v>-0.02312362472</v>
      </c>
      <c r="AU2624" s="160">
        <f>IF($AN$2478&gt;0,IPMT('Assumptions (Battery)'!$V$9,Model!AD$1,'Assumptions (Battery)'!$V$12,'Assumptions (Battery)'!$V$7*$AN$2480),0)</f>
        <v>-0.01799201132</v>
      </c>
      <c r="AV2624" s="160">
        <f>IF($AN$2478&gt;0,IPMT('Assumptions (Battery)'!$V$9,Model!AE$1,'Assumptions (Battery)'!$V$12,'Assumptions (Battery)'!$V$7*$AN$2480),0)</f>
        <v>-0.01244986885</v>
      </c>
      <c r="AW2624" s="160">
        <f>IF($AN$2478&gt;0,IPMT('Assumptions (Battery)'!$V$9,Model!AF$1,'Assumptions (Battery)'!$V$12,'Assumptions (Battery)'!$V$7*$AN$2480),0)</f>
        <v>-0.006464354979</v>
      </c>
      <c r="AX2624" s="160"/>
      <c r="AY2624" s="160"/>
      <c r="AZ2624" s="160"/>
      <c r="BA2624" s="160"/>
      <c r="BB2624" s="160"/>
      <c r="BC2624" s="160"/>
      <c r="BD2624" s="160"/>
      <c r="BE2624" s="160"/>
      <c r="BF2624" s="160"/>
      <c r="BG2624" s="160"/>
      <c r="BH2624" s="160"/>
      <c r="BI2624" s="160"/>
      <c r="BJ2624" s="160"/>
      <c r="BK2624" s="160"/>
      <c r="BL2624" s="160"/>
    </row>
    <row r="2625" ht="15.75" hidden="1" customHeight="1" outlineLevel="1">
      <c r="A2625" s="353"/>
      <c r="B2625" s="38"/>
      <c r="C2625" s="174"/>
      <c r="D2625" s="174"/>
      <c r="E2625" s="174"/>
      <c r="F2625" s="174"/>
      <c r="G2625" s="174"/>
      <c r="H2625" s="174"/>
      <c r="I2625" s="174"/>
      <c r="J2625" s="174"/>
      <c r="K2625" s="174"/>
      <c r="L2625" s="174"/>
      <c r="M2625" s="174"/>
      <c r="N2625" s="174"/>
      <c r="O2625" s="174"/>
      <c r="P2625" s="174"/>
      <c r="Q2625" s="174"/>
      <c r="R2625" s="174"/>
      <c r="S2625" s="174"/>
      <c r="T2625" s="174"/>
      <c r="U2625" s="174"/>
      <c r="V2625" s="174"/>
      <c r="W2625" s="160"/>
      <c r="X2625" s="160"/>
      <c r="Y2625" s="160"/>
      <c r="Z2625" s="160"/>
      <c r="AA2625" s="160"/>
      <c r="AB2625" s="160"/>
      <c r="AC2625" s="160"/>
      <c r="AD2625" s="160"/>
      <c r="AE2625" s="160"/>
      <c r="AF2625" s="160"/>
      <c r="AG2625" s="160"/>
      <c r="AH2625" s="160"/>
      <c r="AI2625" s="160"/>
      <c r="AJ2625" s="160"/>
      <c r="AK2625" s="160"/>
      <c r="AL2625" s="160"/>
      <c r="AM2625" s="160"/>
      <c r="AN2625" s="160"/>
      <c r="AO2625" s="160">
        <f>IF($AO$2478&gt;0,IPMT('Assumptions (Battery)'!$V$9,Model!W$1,'Assumptions (Battery)'!$V$12,'Assumptions (Battery)'!$V$7*$AO$2480),0)</f>
        <v>-0.04713063464</v>
      </c>
      <c r="AP2625" s="160">
        <f>IF($AO$2478&gt;0,IPMT('Assumptions (Battery)'!$V$9,Model!X$1,'Assumptions (Battery)'!$V$12,'Assumptions (Battery)'!$V$7*$AO$2480),0)</f>
        <v>-0.04387723103</v>
      </c>
      <c r="AQ2625" s="160">
        <f>IF($AO$2478&gt;0,IPMT('Assumptions (Battery)'!$V$9,Model!Y$1,'Assumptions (Battery)'!$V$12,'Assumptions (Battery)'!$V$7*$AO$2480),0)</f>
        <v>-0.04036355513</v>
      </c>
      <c r="AR2625" s="160">
        <f>IF($AO$2478&gt;0,IPMT('Assumptions (Battery)'!$V$9,Model!Z$1,'Assumptions (Battery)'!$V$12,'Assumptions (Battery)'!$V$7*$AO$2480),0)</f>
        <v>-0.03656878515</v>
      </c>
      <c r="AS2625" s="160">
        <f>IF($AO$2478&gt;0,IPMT('Assumptions (Battery)'!$V$9,Model!AA$1,'Assumptions (Battery)'!$V$12,'Assumptions (Battery)'!$V$7*$AO$2480),0)</f>
        <v>-0.03247043358</v>
      </c>
      <c r="AT2625" s="160">
        <f>IF($AO$2478&gt;0,IPMT('Assumptions (Battery)'!$V$9,Model!AB$1,'Assumptions (Battery)'!$V$12,'Assumptions (Battery)'!$V$7*$AO$2480),0)</f>
        <v>-0.02804421389</v>
      </c>
      <c r="AU2625" s="160">
        <f>IF($AO$2478&gt;0,IPMT('Assumptions (Battery)'!$V$9,Model!AC$1,'Assumptions (Battery)'!$V$12,'Assumptions (Battery)'!$V$7*$AO$2480),0)</f>
        <v>-0.02326389662</v>
      </c>
      <c r="AV2625" s="160">
        <f>IF($AO$2478&gt;0,IPMT('Assumptions (Battery)'!$V$9,Model!AD$1,'Assumptions (Battery)'!$V$12,'Assumptions (Battery)'!$V$7*$AO$2480),0)</f>
        <v>-0.01810115397</v>
      </c>
      <c r="AW2625" s="160">
        <f>IF($AO$2478&gt;0,IPMT('Assumptions (Battery)'!$V$9,Model!AE$1,'Assumptions (Battery)'!$V$12,'Assumptions (Battery)'!$V$7*$AO$2480),0)</f>
        <v>-0.0125253919</v>
      </c>
      <c r="AX2625" s="160">
        <f>IF($AO$2478&gt;0,IPMT('Assumptions (Battery)'!$V$9,Model!AF$1,'Assumptions (Battery)'!$V$12,'Assumptions (Battery)'!$V$7*$AO$2480),0)</f>
        <v>-0.006503568872</v>
      </c>
      <c r="AY2625" s="160"/>
      <c r="AZ2625" s="160"/>
      <c r="BA2625" s="160"/>
      <c r="BB2625" s="160"/>
      <c r="BC2625" s="160"/>
      <c r="BD2625" s="160"/>
      <c r="BE2625" s="160"/>
      <c r="BF2625" s="160"/>
      <c r="BG2625" s="160"/>
      <c r="BH2625" s="160"/>
      <c r="BI2625" s="160"/>
      <c r="BJ2625" s="160"/>
      <c r="BK2625" s="160"/>
      <c r="BL2625" s="160"/>
      <c r="BM2625" s="160"/>
    </row>
    <row r="2626" ht="15.75" hidden="1" customHeight="1" outlineLevel="1">
      <c r="A2626" s="353"/>
      <c r="B2626" s="38"/>
      <c r="C2626" s="174"/>
      <c r="D2626" s="174"/>
      <c r="E2626" s="174"/>
      <c r="F2626" s="174"/>
      <c r="G2626" s="174"/>
      <c r="H2626" s="174"/>
      <c r="I2626" s="174"/>
      <c r="J2626" s="174"/>
      <c r="K2626" s="174"/>
      <c r="L2626" s="174"/>
      <c r="M2626" s="174"/>
      <c r="N2626" s="174"/>
      <c r="O2626" s="174"/>
      <c r="P2626" s="174"/>
      <c r="Q2626" s="174"/>
      <c r="R2626" s="174"/>
      <c r="S2626" s="174"/>
      <c r="T2626" s="174"/>
      <c r="U2626" s="174"/>
      <c r="V2626" s="174"/>
      <c r="W2626" s="160"/>
      <c r="X2626" s="160"/>
      <c r="Y2626" s="160"/>
      <c r="Z2626" s="160"/>
      <c r="AA2626" s="160"/>
      <c r="AB2626" s="160"/>
      <c r="AC2626" s="160"/>
      <c r="AD2626" s="160"/>
      <c r="AE2626" s="160"/>
      <c r="AF2626" s="160"/>
      <c r="AG2626" s="160"/>
      <c r="AH2626" s="160"/>
      <c r="AI2626" s="160"/>
      <c r="AJ2626" s="160"/>
      <c r="AK2626" s="160"/>
      <c r="AL2626" s="160"/>
      <c r="AM2626" s="160"/>
      <c r="AN2626" s="160"/>
      <c r="AO2626" s="160"/>
      <c r="AP2626" s="160">
        <f>IF($AP$2478&gt;0,IPMT('Assumptions (Battery)'!$V$9,Model!W$1,'Assumptions (Battery)'!$V$12,'Assumptions (Battery)'!$V$7*$AP$2480),0)</f>
        <v>-0.04742924233</v>
      </c>
      <c r="AQ2626" s="160">
        <f>IF($AP$2478&gt;0,IPMT('Assumptions (Battery)'!$V$9,Model!X$1,'Assumptions (Battery)'!$V$12,'Assumptions (Battery)'!$V$7*$AP$2480),0)</f>
        <v>-0.04415522599</v>
      </c>
      <c r="AR2626" s="160">
        <f>IF($AP$2478&gt;0,IPMT('Assumptions (Battery)'!$V$9,Model!Y$1,'Assumptions (Battery)'!$V$12,'Assumptions (Battery)'!$V$7*$AP$2480),0)</f>
        <v>-0.04061928833</v>
      </c>
      <c r="AS2626" s="160">
        <f>IF($AP$2478&gt;0,IPMT('Assumptions (Battery)'!$V$9,Model!Z$1,'Assumptions (Battery)'!$V$12,'Assumptions (Battery)'!$V$7*$AP$2480),0)</f>
        <v>-0.03680047566</v>
      </c>
      <c r="AT2626" s="160">
        <f>IF($AP$2478&gt;0,IPMT('Assumptions (Battery)'!$V$9,Model!AA$1,'Assumptions (Battery)'!$V$12,'Assumptions (Battery)'!$V$7*$AP$2480),0)</f>
        <v>-0.03267615798</v>
      </c>
      <c r="AU2626" s="160">
        <f>IF($AP$2478&gt;0,IPMT('Assumptions (Battery)'!$V$9,Model!AB$1,'Assumptions (Battery)'!$V$12,'Assumptions (Battery)'!$V$7*$AP$2480),0)</f>
        <v>-0.02822189489</v>
      </c>
      <c r="AV2626" s="160">
        <f>IF($AP$2478&gt;0,IPMT('Assumptions (Battery)'!$V$9,Model!AC$1,'Assumptions (Battery)'!$V$12,'Assumptions (Battery)'!$V$7*$AP$2480),0)</f>
        <v>-0.02341129074</v>
      </c>
      <c r="AW2626" s="160">
        <f>IF($AP$2478&gt;0,IPMT('Assumptions (Battery)'!$V$9,Model!AD$1,'Assumptions (Battery)'!$V$12,'Assumptions (Battery)'!$V$7*$AP$2480),0)</f>
        <v>-0.01821583827</v>
      </c>
      <c r="AX2626" s="160">
        <f>IF($AP$2478&gt;0,IPMT('Assumptions (Battery)'!$V$9,Model!AE$1,'Assumptions (Battery)'!$V$12,'Assumptions (Battery)'!$V$7*$AP$2480),0)</f>
        <v>-0.01260474959</v>
      </c>
      <c r="AY2626" s="160">
        <f>IF($AP$2478&gt;0,IPMT('Assumptions (Battery)'!$V$9,Model!AF$1,'Assumptions (Battery)'!$V$12,'Assumptions (Battery)'!$V$7*$AP$2480),0)</f>
        <v>-0.006544773828</v>
      </c>
      <c r="AZ2626" s="160"/>
      <c r="BA2626" s="160"/>
      <c r="BB2626" s="160"/>
      <c r="BC2626" s="160"/>
      <c r="BD2626" s="160"/>
      <c r="BE2626" s="160"/>
      <c r="BF2626" s="160"/>
      <c r="BG2626" s="160"/>
      <c r="BH2626" s="160"/>
      <c r="BI2626" s="160"/>
      <c r="BJ2626" s="160"/>
      <c r="BK2626" s="160"/>
      <c r="BL2626" s="160"/>
      <c r="BM2626" s="160"/>
      <c r="BN2626" s="160"/>
    </row>
    <row r="2627" ht="15.75" hidden="1" customHeight="1" outlineLevel="1">
      <c r="A2627" s="353"/>
      <c r="B2627" s="38"/>
      <c r="C2627" s="174"/>
      <c r="D2627" s="174"/>
      <c r="E2627" s="174"/>
      <c r="F2627" s="174"/>
      <c r="G2627" s="174"/>
      <c r="H2627" s="174"/>
      <c r="I2627" s="174"/>
      <c r="J2627" s="174"/>
      <c r="K2627" s="174"/>
      <c r="L2627" s="174"/>
      <c r="M2627" s="174"/>
      <c r="N2627" s="174"/>
      <c r="O2627" s="174"/>
      <c r="P2627" s="174"/>
      <c r="Q2627" s="174"/>
      <c r="R2627" s="174"/>
      <c r="S2627" s="174"/>
      <c r="T2627" s="174"/>
      <c r="U2627" s="174"/>
      <c r="V2627" s="174"/>
      <c r="W2627" s="160"/>
      <c r="X2627" s="160"/>
      <c r="Y2627" s="160"/>
      <c r="Z2627" s="160"/>
      <c r="AA2627" s="160"/>
      <c r="AB2627" s="160"/>
      <c r="AC2627" s="160"/>
      <c r="AD2627" s="160"/>
      <c r="AE2627" s="160"/>
      <c r="AF2627" s="160"/>
      <c r="AG2627" s="160"/>
      <c r="AH2627" s="160"/>
      <c r="AI2627" s="160"/>
      <c r="AJ2627" s="160"/>
      <c r="AK2627" s="160"/>
      <c r="AL2627" s="160"/>
      <c r="AM2627" s="160"/>
      <c r="AN2627" s="160"/>
      <c r="AO2627" s="160"/>
      <c r="AP2627" s="160"/>
      <c r="AQ2627" s="160">
        <f>IF($AQ$2478&gt;0,IPMT('Assumptions (Battery)'!$V$9,Model!W$1,'Assumptions (Battery)'!$V$12,'Assumptions (Battery)'!$V$7*$AQ$2480),0)</f>
        <v>-0.04769997945</v>
      </c>
      <c r="AR2627" s="160">
        <f>IF($AQ$2478&gt;0,IPMT('Assumptions (Battery)'!$V$9,Model!X$1,'Assumptions (Battery)'!$V$12,'Assumptions (Battery)'!$V$7*$AQ$2480),0)</f>
        <v>-0.04440727425</v>
      </c>
      <c r="AS2627" s="160">
        <f>IF($AQ$2478&gt;0,IPMT('Assumptions (Battery)'!$V$9,Model!Y$1,'Assumptions (Battery)'!$V$12,'Assumptions (Battery)'!$V$7*$AQ$2480),0)</f>
        <v>-0.04085115265</v>
      </c>
      <c r="AT2627" s="160">
        <f>IF($AQ$2478&gt;0,IPMT('Assumptions (Battery)'!$V$9,Model!Z$1,'Assumptions (Battery)'!$V$12,'Assumptions (Battery)'!$V$7*$AQ$2480),0)</f>
        <v>-0.03701054131</v>
      </c>
      <c r="AU2627" s="160">
        <f>IF($AQ$2478&gt;0,IPMT('Assumptions (Battery)'!$V$9,Model!AA$1,'Assumptions (Battery)'!$V$12,'Assumptions (Battery)'!$V$7*$AQ$2480),0)</f>
        <v>-0.03286268107</v>
      </c>
      <c r="AV2627" s="160">
        <f>IF($AQ$2478&gt;0,IPMT('Assumptions (Battery)'!$V$9,Model!AB$1,'Assumptions (Battery)'!$V$12,'Assumptions (Battery)'!$V$7*$AQ$2480),0)</f>
        <v>-0.02838299201</v>
      </c>
      <c r="AW2627" s="160">
        <f>IF($AQ$2478&gt;0,IPMT('Assumptions (Battery)'!$V$9,Model!AC$1,'Assumptions (Battery)'!$V$12,'Assumptions (Battery)'!$V$7*$AQ$2480),0)</f>
        <v>-0.02354492782</v>
      </c>
      <c r="AX2627" s="160">
        <f>IF($AQ$2478&gt;0,IPMT('Assumptions (Battery)'!$V$9,Model!AD$1,'Assumptions (Battery)'!$V$12,'Assumptions (Battery)'!$V$7*$AQ$2480),0)</f>
        <v>-0.0183198185</v>
      </c>
      <c r="AY2627" s="160">
        <f>IF($AQ$2478&gt;0,IPMT('Assumptions (Battery)'!$V$9,Model!AE$1,'Assumptions (Battery)'!$V$12,'Assumptions (Battery)'!$V$7*$AQ$2480),0)</f>
        <v>-0.01267670043</v>
      </c>
      <c r="AZ2627" s="160">
        <f>IF($AQ$2478&gt;0,IPMT('Assumptions (Battery)'!$V$9,Model!AF$1,'Assumptions (Battery)'!$V$12,'Assumptions (Battery)'!$V$7*$AQ$2480),0)</f>
        <v>-0.006582132915</v>
      </c>
      <c r="BA2627" s="160"/>
      <c r="BB2627" s="160"/>
      <c r="BC2627" s="160"/>
      <c r="BD2627" s="160"/>
      <c r="BE2627" s="160"/>
      <c r="BF2627" s="160"/>
      <c r="BG2627" s="160"/>
      <c r="BH2627" s="160"/>
      <c r="BI2627" s="160"/>
      <c r="BJ2627" s="160"/>
      <c r="BK2627" s="160"/>
      <c r="BL2627" s="160"/>
      <c r="BM2627" s="160"/>
      <c r="BN2627" s="160"/>
      <c r="BO2627" s="160"/>
    </row>
    <row r="2628" ht="15.75" hidden="1" customHeight="1" outlineLevel="1">
      <c r="A2628" s="353"/>
      <c r="B2628" s="38"/>
      <c r="C2628" s="174"/>
      <c r="D2628" s="174"/>
      <c r="E2628" s="174"/>
      <c r="F2628" s="174"/>
      <c r="G2628" s="174"/>
      <c r="H2628" s="174"/>
      <c r="I2628" s="174"/>
      <c r="J2628" s="174"/>
      <c r="K2628" s="174"/>
      <c r="L2628" s="174"/>
      <c r="M2628" s="174"/>
      <c r="N2628" s="174"/>
      <c r="O2628" s="174"/>
      <c r="P2628" s="174"/>
      <c r="Q2628" s="174"/>
      <c r="R2628" s="174"/>
      <c r="S2628" s="174"/>
      <c r="T2628" s="174"/>
      <c r="U2628" s="174"/>
      <c r="V2628" s="174"/>
      <c r="W2628" s="160"/>
      <c r="X2628" s="160"/>
      <c r="Y2628" s="160"/>
      <c r="Z2628" s="160"/>
      <c r="AA2628" s="160"/>
      <c r="AB2628" s="160"/>
      <c r="AC2628" s="160"/>
      <c r="AD2628" s="160"/>
      <c r="AE2628" s="160"/>
      <c r="AF2628" s="160"/>
      <c r="AG2628" s="160"/>
      <c r="AH2628" s="160"/>
      <c r="AI2628" s="160"/>
      <c r="AJ2628" s="160"/>
      <c r="AK2628" s="160"/>
      <c r="AL2628" s="160"/>
      <c r="AM2628" s="160"/>
      <c r="AN2628" s="160"/>
      <c r="AO2628" s="160"/>
      <c r="AP2628" s="160"/>
      <c r="AQ2628" s="160"/>
      <c r="AR2628" s="160">
        <f>IF($AR$2478&gt;0,IPMT('Assumptions (Battery)'!$V$9,Model!W$1,'Assumptions (Battery)'!$V$12,'Assumptions (Battery)'!$V$7*$AR$2480),0)</f>
        <v>-0.04796322859</v>
      </c>
      <c r="AS2628" s="160">
        <f>IF($AR$2478&gt;0,IPMT('Assumptions (Battery)'!$V$9,Model!X$1,'Assumptions (Battery)'!$V$12,'Assumptions (Battery)'!$V$7*$AR$2480),0)</f>
        <v>-0.04465235145</v>
      </c>
      <c r="AT2628" s="160">
        <f>IF($AR$2478&gt;0,IPMT('Assumptions (Battery)'!$V$9,Model!Y$1,'Assumptions (Battery)'!$V$12,'Assumptions (Battery)'!$V$7*$AR$2480),0)</f>
        <v>-0.04107660413</v>
      </c>
      <c r="AU2628" s="160">
        <f>IF($AR$2478&gt;0,IPMT('Assumptions (Battery)'!$V$9,Model!Z$1,'Assumptions (Battery)'!$V$12,'Assumptions (Battery)'!$V$7*$AR$2480),0)</f>
        <v>-0.03721479703</v>
      </c>
      <c r="AV2628" s="160">
        <f>IF($AR$2478&gt;0,IPMT('Assumptions (Battery)'!$V$9,Model!AA$1,'Assumptions (Battery)'!$V$12,'Assumptions (Battery)'!$V$7*$AR$2480),0)</f>
        <v>-0.03304404535</v>
      </c>
      <c r="AW2628" s="160">
        <f>IF($AR$2478&gt;0,IPMT('Assumptions (Battery)'!$V$9,Model!AB$1,'Assumptions (Battery)'!$V$12,'Assumptions (Battery)'!$V$7*$AR$2480),0)</f>
        <v>-0.02853963355</v>
      </c>
      <c r="AX2628" s="160">
        <f>IF($AR$2478&gt;0,IPMT('Assumptions (Battery)'!$V$9,Model!AC$1,'Assumptions (Battery)'!$V$12,'Assumptions (Battery)'!$V$7*$AR$2480),0)</f>
        <v>-0.0236748688</v>
      </c>
      <c r="AY2628" s="160">
        <f>IF($AR$2478&gt;0,IPMT('Assumptions (Battery)'!$V$9,Model!AD$1,'Assumptions (Battery)'!$V$12,'Assumptions (Battery)'!$V$7*$AR$2480),0)</f>
        <v>-0.01842092287</v>
      </c>
      <c r="AZ2628" s="160">
        <f>IF($AR$2478&gt;0,IPMT('Assumptions (Battery)'!$V$9,Model!AE$1,'Assumptions (Battery)'!$V$12,'Assumptions (Battery)'!$V$7*$AR$2480),0)</f>
        <v>-0.01274666127</v>
      </c>
      <c r="BA2628" s="160">
        <f>IF($AR$2478&gt;0,IPMT('Assumptions (Battery)'!$V$9,Model!AF$1,'Assumptions (Battery)'!$V$12,'Assumptions (Battery)'!$V$7*$AR$2480),0)</f>
        <v>-0.006618458735</v>
      </c>
      <c r="BB2628" s="160"/>
      <c r="BC2628" s="160"/>
      <c r="BD2628" s="160"/>
      <c r="BE2628" s="160"/>
      <c r="BF2628" s="160"/>
      <c r="BG2628" s="160"/>
      <c r="BH2628" s="160"/>
      <c r="BI2628" s="160"/>
      <c r="BJ2628" s="160"/>
      <c r="BK2628" s="160"/>
      <c r="BL2628" s="160"/>
      <c r="BM2628" s="160"/>
      <c r="BN2628" s="160"/>
      <c r="BO2628" s="160"/>
      <c r="BP2628" s="160"/>
    </row>
    <row r="2629" ht="15.75" hidden="1" customHeight="1" outlineLevel="1">
      <c r="A2629" s="353"/>
      <c r="B2629" s="38"/>
      <c r="C2629" s="174"/>
      <c r="D2629" s="174"/>
      <c r="E2629" s="174"/>
      <c r="F2629" s="174"/>
      <c r="G2629" s="174"/>
      <c r="H2629" s="174"/>
      <c r="I2629" s="174"/>
      <c r="J2629" s="174"/>
      <c r="K2629" s="174"/>
      <c r="L2629" s="174"/>
      <c r="M2629" s="174"/>
      <c r="N2629" s="174"/>
      <c r="O2629" s="174"/>
      <c r="P2629" s="174"/>
      <c r="Q2629" s="174"/>
      <c r="R2629" s="174"/>
      <c r="S2629" s="174"/>
      <c r="T2629" s="174"/>
      <c r="U2629" s="174"/>
      <c r="V2629" s="174"/>
      <c r="W2629" s="160"/>
      <c r="X2629" s="160"/>
      <c r="Y2629" s="160"/>
      <c r="Z2629" s="160"/>
      <c r="AA2629" s="160"/>
      <c r="AB2629" s="160"/>
      <c r="AC2629" s="160"/>
      <c r="AD2629" s="160"/>
      <c r="AE2629" s="160"/>
      <c r="AF2629" s="160"/>
      <c r="AG2629" s="160"/>
      <c r="AH2629" s="160"/>
      <c r="AI2629" s="160"/>
      <c r="AJ2629" s="160"/>
      <c r="AK2629" s="160"/>
      <c r="AL2629" s="160"/>
      <c r="AM2629" s="160"/>
      <c r="AN2629" s="160"/>
      <c r="AO2629" s="160"/>
      <c r="AP2629" s="160"/>
      <c r="AQ2629" s="160"/>
      <c r="AR2629" s="160"/>
      <c r="AS2629" s="160">
        <f>IF($AS$2478&gt;0,IPMT('Assumptions (Battery)'!$V$9,Model!W$1,'Assumptions (Battery)'!$V$12,'Assumptions (Battery)'!$V$7*$AS$2480),0)</f>
        <v>-0.04821859456</v>
      </c>
      <c r="AT2629" s="160">
        <f>IF($AS$2478&gt;0,IPMT('Assumptions (Battery)'!$V$9,Model!X$1,'Assumptions (Battery)'!$V$12,'Assumptions (Battery)'!$V$7*$AS$2480),0)</f>
        <v>-0.04489008963</v>
      </c>
      <c r="AU2629" s="160">
        <f>IF($AS$2478&gt;0,IPMT('Assumptions (Battery)'!$V$9,Model!Y$1,'Assumptions (Battery)'!$V$12,'Assumptions (Battery)'!$V$7*$AS$2480),0)</f>
        <v>-0.04129530431</v>
      </c>
      <c r="AV2629" s="160">
        <f>IF($AS$2478&gt;0,IPMT('Assumptions (Battery)'!$V$9,Model!Z$1,'Assumptions (Battery)'!$V$12,'Assumptions (Battery)'!$V$7*$AS$2480),0)</f>
        <v>-0.03741293616</v>
      </c>
      <c r="AW2629" s="160">
        <f>IF($AS$2478&gt;0,IPMT('Assumptions (Battery)'!$V$9,Model!AA$1,'Assumptions (Battery)'!$V$12,'Assumptions (Battery)'!$V$7*$AS$2480),0)</f>
        <v>-0.03321997856</v>
      </c>
      <c r="AX2629" s="160">
        <f>IF($AS$2478&gt;0,IPMT('Assumptions (Battery)'!$V$9,Model!AB$1,'Assumptions (Battery)'!$V$12,'Assumptions (Battery)'!$V$7*$AS$2480),0)</f>
        <v>-0.02869158435</v>
      </c>
      <c r="AY2629" s="160">
        <f>IF($AS$2478&gt;0,IPMT('Assumptions (Battery)'!$V$9,Model!AC$1,'Assumptions (Battery)'!$V$12,'Assumptions (Battery)'!$V$7*$AS$2480),0)</f>
        <v>-0.02380091861</v>
      </c>
      <c r="AZ2629" s="160">
        <f>IF($AS$2478&gt;0,IPMT('Assumptions (Battery)'!$V$9,Model!AD$1,'Assumptions (Battery)'!$V$12,'Assumptions (Battery)'!$V$7*$AS$2480),0)</f>
        <v>-0.0185189996</v>
      </c>
      <c r="BA2629" s="160">
        <f>IF($AS$2478&gt;0,IPMT('Assumptions (Battery)'!$V$9,Model!AE$1,'Assumptions (Battery)'!$V$12,'Assumptions (Battery)'!$V$7*$AS$2480),0)</f>
        <v>-0.01281452708</v>
      </c>
      <c r="BB2629" s="160">
        <f>IF($AS$2478&gt;0,IPMT('Assumptions (Battery)'!$V$9,Model!AF$1,'Assumptions (Battery)'!$V$12,'Assumptions (Battery)'!$V$7*$AS$2480),0)</f>
        <v>-0.006653696753</v>
      </c>
      <c r="BC2629" s="160"/>
      <c r="BD2629" s="160"/>
      <c r="BE2629" s="160"/>
      <c r="BF2629" s="160"/>
      <c r="BG2629" s="160"/>
      <c r="BH2629" s="160"/>
      <c r="BI2629" s="160"/>
      <c r="BJ2629" s="160"/>
      <c r="BK2629" s="160"/>
      <c r="BL2629" s="160"/>
      <c r="BM2629" s="160"/>
      <c r="BN2629" s="160"/>
      <c r="BO2629" s="160"/>
      <c r="BP2629" s="160"/>
    </row>
    <row r="2630" ht="15.75" hidden="1" customHeight="1" outlineLevel="1">
      <c r="A2630" s="353"/>
      <c r="B2630" s="38"/>
      <c r="C2630" s="174"/>
      <c r="D2630" s="174"/>
      <c r="E2630" s="174"/>
      <c r="F2630" s="174"/>
      <c r="G2630" s="174"/>
      <c r="H2630" s="174"/>
      <c r="I2630" s="174"/>
      <c r="J2630" s="174"/>
      <c r="K2630" s="174"/>
      <c r="L2630" s="174"/>
      <c r="M2630" s="174"/>
      <c r="N2630" s="174"/>
      <c r="O2630" s="174"/>
      <c r="P2630" s="174"/>
      <c r="Q2630" s="174"/>
      <c r="R2630" s="174"/>
      <c r="S2630" s="174"/>
      <c r="T2630" s="174"/>
      <c r="U2630" s="174"/>
      <c r="V2630" s="174"/>
      <c r="W2630" s="160"/>
      <c r="X2630" s="160"/>
      <c r="Y2630" s="160"/>
      <c r="Z2630" s="160"/>
      <c r="AA2630" s="160"/>
      <c r="AB2630" s="160"/>
      <c r="AC2630" s="160"/>
      <c r="AD2630" s="160"/>
      <c r="AE2630" s="160"/>
      <c r="AF2630" s="160"/>
      <c r="AG2630" s="160"/>
      <c r="AH2630" s="160"/>
      <c r="AI2630" s="160"/>
      <c r="AJ2630" s="160"/>
      <c r="AK2630" s="160"/>
      <c r="AL2630" s="160"/>
      <c r="AM2630" s="160"/>
      <c r="AN2630" s="160"/>
      <c r="AO2630" s="160"/>
      <c r="AP2630" s="160"/>
      <c r="AQ2630" s="160"/>
      <c r="AR2630" s="160"/>
      <c r="AS2630" s="160"/>
      <c r="AT2630" s="160">
        <f>IF($AT$2478&gt;0,IPMT('Assumptions (Battery)'!$V$9,Model!W$1,'Assumptions (Battery)'!$V$12,'Assumptions (Battery)'!$V$7*$AT$2480),0)</f>
        <v>-0.04846566958</v>
      </c>
      <c r="AU2630" s="160">
        <f>IF($AT$2478&gt;0,IPMT('Assumptions (Battery)'!$V$9,Model!X$1,'Assumptions (Battery)'!$V$12,'Assumptions (Battery)'!$V$7*$AT$2480),0)</f>
        <v>-0.04512010919</v>
      </c>
      <c r="AV2630" s="160">
        <f>IF($AT$2478&gt;0,IPMT('Assumptions (Battery)'!$V$9,Model!Y$1,'Assumptions (Battery)'!$V$12,'Assumptions (Battery)'!$V$7*$AT$2480),0)</f>
        <v>-0.04150690397</v>
      </c>
      <c r="AW2630" s="160">
        <f>IF($AT$2478&gt;0,IPMT('Assumptions (Battery)'!$V$9,Model!Z$1,'Assumptions (Battery)'!$V$12,'Assumptions (Battery)'!$V$7*$AT$2480),0)</f>
        <v>-0.03760464233</v>
      </c>
      <c r="AX2630" s="160">
        <f>IF($AT$2478&gt;0,IPMT('Assumptions (Battery)'!$V$9,Model!AA$1,'Assumptions (Battery)'!$V$12,'Assumptions (Battery)'!$V$7*$AT$2480),0)</f>
        <v>-0.03339019976</v>
      </c>
      <c r="AY2630" s="160">
        <f>IF($AT$2478&gt;0,IPMT('Assumptions (Battery)'!$V$9,Model!AB$1,'Assumptions (Battery)'!$V$12,'Assumptions (Battery)'!$V$7*$AT$2480),0)</f>
        <v>-0.02883860178</v>
      </c>
      <c r="AZ2630" s="160">
        <f>IF($AT$2478&gt;0,IPMT('Assumptions (Battery)'!$V$9,Model!AC$1,'Assumptions (Battery)'!$V$12,'Assumptions (Battery)'!$V$7*$AT$2480),0)</f>
        <v>-0.02392287597</v>
      </c>
      <c r="BA2630" s="160">
        <f>IF($AT$2478&gt;0,IPMT('Assumptions (Battery)'!$V$9,Model!AD$1,'Assumptions (Battery)'!$V$12,'Assumptions (Battery)'!$V$7*$AT$2480),0)</f>
        <v>-0.01861389209</v>
      </c>
      <c r="BB2630" s="160">
        <f>IF($AT$2478&gt;0,IPMT('Assumptions (Battery)'!$V$9,Model!AE$1,'Assumptions (Battery)'!$V$12,'Assumptions (Battery)'!$V$7*$AT$2480),0)</f>
        <v>-0.0128801895</v>
      </c>
      <c r="BC2630" s="160">
        <f>IF($AT$2478&gt;0,IPMT('Assumptions (Battery)'!$V$9,Model!AF$1,'Assumptions (Battery)'!$V$12,'Assumptions (Battery)'!$V$7*$AT$2480),0)</f>
        <v>-0.006687790701</v>
      </c>
      <c r="BD2630" s="160"/>
      <c r="BE2630" s="160"/>
      <c r="BF2630" s="160"/>
      <c r="BG2630" s="160"/>
      <c r="BH2630" s="160"/>
      <c r="BI2630" s="160"/>
      <c r="BJ2630" s="160"/>
      <c r="BK2630" s="160"/>
      <c r="BL2630" s="160"/>
      <c r="BM2630" s="160"/>
      <c r="BN2630" s="160"/>
      <c r="BO2630" s="160"/>
      <c r="BP2630" s="160"/>
    </row>
    <row r="2631" ht="15.75" hidden="1" customHeight="1" outlineLevel="1">
      <c r="A2631" s="353"/>
      <c r="B2631" s="38"/>
      <c r="C2631" s="174"/>
      <c r="D2631" s="174"/>
      <c r="E2631" s="174"/>
      <c r="F2631" s="174"/>
      <c r="G2631" s="174"/>
      <c r="H2631" s="174"/>
      <c r="I2631" s="174"/>
      <c r="J2631" s="174"/>
      <c r="K2631" s="174"/>
      <c r="L2631" s="174"/>
      <c r="M2631" s="174"/>
      <c r="N2631" s="174"/>
      <c r="O2631" s="174"/>
      <c r="P2631" s="174"/>
      <c r="Q2631" s="174"/>
      <c r="R2631" s="174"/>
      <c r="S2631" s="174"/>
      <c r="T2631" s="174"/>
      <c r="U2631" s="174"/>
      <c r="V2631" s="174"/>
      <c r="W2631" s="160"/>
      <c r="X2631" s="160"/>
      <c r="Y2631" s="160"/>
      <c r="Z2631" s="160"/>
      <c r="AA2631" s="160"/>
      <c r="AB2631" s="160"/>
      <c r="AC2631" s="160"/>
      <c r="AD2631" s="160"/>
      <c r="AE2631" s="160"/>
      <c r="AF2631" s="160"/>
      <c r="AG2631" s="160"/>
      <c r="AH2631" s="160"/>
      <c r="AI2631" s="160"/>
      <c r="AJ2631" s="160"/>
      <c r="AK2631" s="160"/>
      <c r="AL2631" s="160"/>
      <c r="AM2631" s="160"/>
      <c r="AN2631" s="160"/>
      <c r="AO2631" s="160"/>
      <c r="AP2631" s="160"/>
      <c r="AQ2631" s="160"/>
      <c r="AR2631" s="160"/>
      <c r="AS2631" s="160"/>
      <c r="AT2631" s="160"/>
      <c r="AU2631" s="160">
        <f>IF($AU$2478&gt;0,IPMT('Assumptions (Battery)'!$V$9,Model!W$1,'Assumptions (Battery)'!$V$12,'Assumptions (Battery)'!$V$7*$AU$2480),0)</f>
        <v>-0.0483970928</v>
      </c>
      <c r="AV2631" s="160">
        <f>IF($AU$2478&gt;0,IPMT('Assumptions (Battery)'!$V$9,Model!X$1,'Assumptions (Battery)'!$V$12,'Assumptions (Battery)'!$V$7*$AU$2480),0)</f>
        <v>-0.04505626623</v>
      </c>
      <c r="AW2631" s="160">
        <f>IF($AU$2478&gt;0,IPMT('Assumptions (Battery)'!$V$9,Model!Y$1,'Assumptions (Battery)'!$V$12,'Assumptions (Battery)'!$V$7*$AU$2480),0)</f>
        <v>-0.04144817353</v>
      </c>
      <c r="AX2631" s="160">
        <f>IF($AU$2478&gt;0,IPMT('Assumptions (Battery)'!$V$9,Model!Z$1,'Assumptions (Battery)'!$V$12,'Assumptions (Battery)'!$V$7*$AU$2480),0)</f>
        <v>-0.03755143342</v>
      </c>
      <c r="AY2631" s="160">
        <f>IF($AU$2478&gt;0,IPMT('Assumptions (Battery)'!$V$9,Model!AA$1,'Assumptions (Battery)'!$V$12,'Assumptions (Battery)'!$V$7*$AU$2480),0)</f>
        <v>-0.0333429541</v>
      </c>
      <c r="AZ2631" s="160">
        <f>IF($AU$2478&gt;0,IPMT('Assumptions (Battery)'!$V$9,Model!AB$1,'Assumptions (Battery)'!$V$12,'Assumptions (Battery)'!$V$7*$AU$2480),0)</f>
        <v>-0.02879779644</v>
      </c>
      <c r="BA2631" s="160">
        <f>IF($AU$2478&gt;0,IPMT('Assumptions (Battery)'!$V$9,Model!AC$1,'Assumptions (Battery)'!$V$12,'Assumptions (Battery)'!$V$7*$AU$2480),0)</f>
        <v>-0.02388902616</v>
      </c>
      <c r="BB2631" s="160">
        <f>IF($AU$2478&gt;0,IPMT('Assumptions (Battery)'!$V$9,Model!AD$1,'Assumptions (Battery)'!$V$12,'Assumptions (Battery)'!$V$7*$AU$2480),0)</f>
        <v>-0.01858755425</v>
      </c>
      <c r="BC2631" s="160">
        <f>IF($AU$2478&gt;0,IPMT('Assumptions (Battery)'!$V$9,Model!AE$1,'Assumptions (Battery)'!$V$12,'Assumptions (Battery)'!$V$7*$AU$2480),0)</f>
        <v>-0.0128619646</v>
      </c>
      <c r="BD2631" s="160">
        <f>IF($AU$2478&gt;0,IPMT('Assumptions (Battery)'!$V$9,Model!AF$1,'Assumptions (Battery)'!$V$12,'Assumptions (Battery)'!$V$7*$AU$2480),0)</f>
        <v>-0.006678327773</v>
      </c>
      <c r="BE2631" s="160"/>
      <c r="BF2631" s="160"/>
      <c r="BG2631" s="160"/>
      <c r="BH2631" s="160"/>
      <c r="BI2631" s="160"/>
      <c r="BJ2631" s="160"/>
      <c r="BK2631" s="160"/>
      <c r="BL2631" s="160"/>
      <c r="BM2631" s="160"/>
      <c r="BN2631" s="160"/>
      <c r="BO2631" s="160"/>
      <c r="BP2631" s="160"/>
    </row>
    <row r="2632" ht="15.75" hidden="1" customHeight="1" outlineLevel="1">
      <c r="A2632" s="353"/>
      <c r="B2632" s="38"/>
      <c r="C2632" s="174"/>
      <c r="D2632" s="174"/>
      <c r="E2632" s="174"/>
      <c r="F2632" s="174"/>
      <c r="G2632" s="174"/>
      <c r="H2632" s="174"/>
      <c r="I2632" s="174"/>
      <c r="J2632" s="174"/>
      <c r="K2632" s="174"/>
      <c r="L2632" s="174"/>
      <c r="M2632" s="174"/>
      <c r="N2632" s="174"/>
      <c r="O2632" s="174"/>
      <c r="P2632" s="174"/>
      <c r="Q2632" s="174"/>
      <c r="R2632" s="174"/>
      <c r="S2632" s="174"/>
      <c r="T2632" s="174"/>
      <c r="U2632" s="174"/>
      <c r="V2632" s="174"/>
      <c r="W2632" s="160"/>
      <c r="X2632" s="160"/>
      <c r="Y2632" s="160"/>
      <c r="Z2632" s="160"/>
      <c r="AA2632" s="160"/>
      <c r="AB2632" s="160"/>
      <c r="AC2632" s="160"/>
      <c r="AD2632" s="160"/>
      <c r="AE2632" s="160"/>
      <c r="AF2632" s="160"/>
      <c r="AG2632" s="160"/>
      <c r="AH2632" s="160"/>
      <c r="AI2632" s="160"/>
      <c r="AJ2632" s="160"/>
      <c r="AK2632" s="160"/>
      <c r="AL2632" s="160"/>
      <c r="AM2632" s="160"/>
      <c r="AN2632" s="160"/>
      <c r="AO2632" s="160"/>
      <c r="AP2632" s="160"/>
      <c r="AQ2632" s="160"/>
      <c r="AR2632" s="160"/>
      <c r="AS2632" s="160"/>
      <c r="AT2632" s="160"/>
      <c r="AU2632" s="160"/>
      <c r="AV2632" s="160">
        <f>IF($AV$2478&gt;0,IPMT('Assumptions (Battery)'!$V$9,Model!W$1,'Assumptions (Battery)'!$V$12,'Assumptions (Battery)'!$V$7*$AV$2480),0)</f>
        <v>-0.0486203225</v>
      </c>
      <c r="AW2632" s="160">
        <f>IF($AV$2478&gt;0,IPMT('Assumptions (Battery)'!$V$9,Model!X$1,'Assumptions (Battery)'!$V$12,'Assumptions (Battery)'!$V$7*$AV$2480),0)</f>
        <v>-0.0452640865</v>
      </c>
      <c r="AX2632" s="160">
        <f>IF($AV$2478&gt;0,IPMT('Assumptions (Battery)'!$V$9,Model!Y$1,'Assumptions (Battery)'!$V$12,'Assumptions (Battery)'!$V$7*$AV$2480),0)</f>
        <v>-0.04163935162</v>
      </c>
      <c r="AY2632" s="160">
        <f>IF($AV$2478&gt;0,IPMT('Assumptions (Battery)'!$V$9,Model!Z$1,'Assumptions (Battery)'!$V$12,'Assumptions (Battery)'!$V$7*$AV$2480),0)</f>
        <v>-0.03772463794</v>
      </c>
      <c r="AZ2632" s="160">
        <f>IF($AV$2478&gt;0,IPMT('Assumptions (Battery)'!$V$9,Model!AA$1,'Assumptions (Battery)'!$V$12,'Assumptions (Battery)'!$V$7*$AV$2480),0)</f>
        <v>-0.03349674718</v>
      </c>
      <c r="BA2632" s="160">
        <f>IF($AV$2478&gt;0,IPMT('Assumptions (Battery)'!$V$9,Model!AB$1,'Assumptions (Battery)'!$V$12,'Assumptions (Battery)'!$V$7*$AV$2480),0)</f>
        <v>-0.02893062515</v>
      </c>
      <c r="BB2632" s="160">
        <f>IF($AV$2478&gt;0,IPMT('Assumptions (Battery)'!$V$9,Model!AC$1,'Assumptions (Battery)'!$V$12,'Assumptions (Battery)'!$V$7*$AV$2480),0)</f>
        <v>-0.02399921336</v>
      </c>
      <c r="BC2632" s="160">
        <f>IF($AV$2478&gt;0,IPMT('Assumptions (Battery)'!$V$9,Model!AD$1,'Assumptions (Battery)'!$V$12,'Assumptions (Battery)'!$V$7*$AV$2480),0)</f>
        <v>-0.01867328862</v>
      </c>
      <c r="BD2632" s="160">
        <f>IF($AV$2478&gt;0,IPMT('Assumptions (Battery)'!$V$9,Model!AE$1,'Assumptions (Battery)'!$V$12,'Assumptions (Battery)'!$V$7*$AV$2480),0)</f>
        <v>-0.01292128991</v>
      </c>
      <c r="BE2632" s="160">
        <f>IF($AV$2478&gt;0,IPMT('Assumptions (Battery)'!$V$9,Model!AF$1,'Assumptions (Battery)'!$V$12,'Assumptions (Battery)'!$V$7*$AV$2480),0)</f>
        <v>-0.006709131299</v>
      </c>
      <c r="BF2632" s="160"/>
      <c r="BG2632" s="160"/>
      <c r="BH2632" s="160"/>
      <c r="BI2632" s="160"/>
      <c r="BJ2632" s="160"/>
      <c r="BK2632" s="160"/>
      <c r="BL2632" s="160"/>
      <c r="BM2632" s="160"/>
      <c r="BN2632" s="160"/>
      <c r="BO2632" s="160"/>
      <c r="BP2632" s="160"/>
    </row>
    <row r="2633" ht="15.75" hidden="1" customHeight="1" outlineLevel="1">
      <c r="A2633" s="353"/>
      <c r="B2633" s="38"/>
      <c r="C2633" s="174"/>
      <c r="D2633" s="174"/>
      <c r="E2633" s="174"/>
      <c r="F2633" s="174"/>
      <c r="G2633" s="174"/>
      <c r="H2633" s="174"/>
      <c r="I2633" s="174"/>
      <c r="J2633" s="174"/>
      <c r="K2633" s="174"/>
      <c r="L2633" s="174"/>
      <c r="M2633" s="174"/>
      <c r="N2633" s="174"/>
      <c r="O2633" s="174"/>
      <c r="P2633" s="174"/>
      <c r="Q2633" s="174"/>
      <c r="R2633" s="174"/>
      <c r="S2633" s="174"/>
      <c r="T2633" s="174"/>
      <c r="U2633" s="174"/>
      <c r="V2633" s="174"/>
      <c r="W2633" s="160"/>
      <c r="X2633" s="160"/>
      <c r="Y2633" s="160"/>
      <c r="Z2633" s="160"/>
      <c r="AA2633" s="160"/>
      <c r="AB2633" s="160"/>
      <c r="AC2633" s="160"/>
      <c r="AD2633" s="160"/>
      <c r="AE2633" s="160"/>
      <c r="AF2633" s="160"/>
      <c r="AG2633" s="160"/>
      <c r="AH2633" s="160"/>
      <c r="AI2633" s="160"/>
      <c r="AJ2633" s="160"/>
      <c r="AK2633" s="160"/>
      <c r="AL2633" s="160"/>
      <c r="AM2633" s="160"/>
      <c r="AN2633" s="160"/>
      <c r="AO2633" s="160"/>
      <c r="AP2633" s="160"/>
      <c r="AQ2633" s="160"/>
      <c r="AR2633" s="160"/>
      <c r="AS2633" s="160"/>
      <c r="AT2633" s="160"/>
      <c r="AU2633" s="160"/>
      <c r="AV2633" s="160"/>
      <c r="AW2633" s="160">
        <f>IF($AW$2478&gt;0,IPMT('Assumptions (Battery)'!$V$9,Model!W$1,'Assumptions (Battery)'!$V$12,'Assumptions (Battery)'!$V$7*$AW$2480),0)</f>
        <v>-0.04883384223</v>
      </c>
      <c r="AX2633" s="160">
        <f>IF($AW$2478&gt;0,IPMT('Assumptions (Battery)'!$V$9,Model!X$1,'Assumptions (Battery)'!$V$12,'Assumptions (Battery)'!$V$7*$AW$2480),0)</f>
        <v>-0.04546286707</v>
      </c>
      <c r="AY2633" s="160">
        <f>IF($AW$2478&gt;0,IPMT('Assumptions (Battery)'!$V$9,Model!Y$1,'Assumptions (Battery)'!$V$12,'Assumptions (Battery)'!$V$7*$AW$2480),0)</f>
        <v>-0.0418222139</v>
      </c>
      <c r="AZ2633" s="160">
        <f>IF($AW$2478&gt;0,IPMT('Assumptions (Battery)'!$V$9,Model!Z$1,'Assumptions (Battery)'!$V$12,'Assumptions (Battery)'!$V$7*$AW$2480),0)</f>
        <v>-0.03789030847</v>
      </c>
      <c r="BA2633" s="160">
        <f>IF($AW$2478&gt;0,IPMT('Assumptions (Battery)'!$V$9,Model!AA$1,'Assumptions (Battery)'!$V$12,'Assumptions (Battery)'!$V$7*$AW$2480),0)</f>
        <v>-0.03364385061</v>
      </c>
      <c r="BB2633" s="160">
        <f>IF($AW$2478&gt;0,IPMT('Assumptions (Battery)'!$V$9,Model!AB$1,'Assumptions (Battery)'!$V$12,'Assumptions (Battery)'!$V$7*$AW$2480),0)</f>
        <v>-0.02905767612</v>
      </c>
      <c r="BC2633" s="160">
        <f>IF($AW$2478&gt;0,IPMT('Assumptions (Battery)'!$V$9,Model!AC$1,'Assumptions (Battery)'!$V$12,'Assumptions (Battery)'!$V$7*$AW$2480),0)</f>
        <v>-0.02410460767</v>
      </c>
      <c r="BD2633" s="160">
        <f>IF($AW$2478&gt;0,IPMT('Assumptions (Battery)'!$V$9,Model!AD$1,'Assumptions (Battery)'!$V$12,'Assumptions (Battery)'!$V$7*$AW$2480),0)</f>
        <v>-0.01875529374</v>
      </c>
      <c r="BE2633" s="160">
        <f>IF($AW$2478&gt;0,IPMT('Assumptions (Battery)'!$V$9,Model!AE$1,'Assumptions (Battery)'!$V$12,'Assumptions (Battery)'!$V$7*$AW$2480),0)</f>
        <v>-0.01297803471</v>
      </c>
      <c r="BF2633" s="160">
        <f>IF($AW$2478&gt;0,IPMT('Assumptions (Battery)'!$V$9,Model!AF$1,'Assumptions (Battery)'!$V$12,'Assumptions (Battery)'!$V$7*$AW$2480),0)</f>
        <v>-0.006738594943</v>
      </c>
      <c r="BG2633" s="160"/>
      <c r="BH2633" s="160"/>
      <c r="BI2633" s="160"/>
      <c r="BJ2633" s="160"/>
      <c r="BK2633" s="160"/>
      <c r="BL2633" s="160"/>
      <c r="BM2633" s="160"/>
      <c r="BN2633" s="160"/>
      <c r="BO2633" s="160"/>
      <c r="BP2633" s="160"/>
    </row>
    <row r="2634" ht="15.75" hidden="1" customHeight="1" outlineLevel="1">
      <c r="A2634" s="353"/>
      <c r="B2634" s="38"/>
      <c r="C2634" s="174"/>
      <c r="D2634" s="174"/>
      <c r="E2634" s="174"/>
      <c r="F2634" s="174"/>
      <c r="G2634" s="174"/>
      <c r="H2634" s="174"/>
      <c r="I2634" s="174"/>
      <c r="J2634" s="174"/>
      <c r="K2634" s="174"/>
      <c r="L2634" s="174"/>
      <c r="M2634" s="174"/>
      <c r="N2634" s="174"/>
      <c r="O2634" s="174"/>
      <c r="P2634" s="174"/>
      <c r="Q2634" s="174"/>
      <c r="R2634" s="174"/>
      <c r="S2634" s="174"/>
      <c r="T2634" s="174"/>
      <c r="U2634" s="174"/>
      <c r="V2634" s="174"/>
      <c r="W2634" s="160"/>
      <c r="X2634" s="160"/>
      <c r="Y2634" s="160"/>
      <c r="Z2634" s="160"/>
      <c r="AA2634" s="160"/>
      <c r="AB2634" s="160"/>
      <c r="AC2634" s="160"/>
      <c r="AD2634" s="160"/>
      <c r="AE2634" s="160"/>
      <c r="AF2634" s="160"/>
      <c r="AG2634" s="160"/>
      <c r="AH2634" s="160"/>
      <c r="AI2634" s="160"/>
      <c r="AJ2634" s="160"/>
      <c r="AK2634" s="160"/>
      <c r="AL2634" s="160"/>
      <c r="AM2634" s="160"/>
      <c r="AN2634" s="160"/>
      <c r="AO2634" s="160"/>
      <c r="AP2634" s="160"/>
      <c r="AQ2634" s="160"/>
      <c r="AR2634" s="160"/>
      <c r="AS2634" s="160"/>
      <c r="AT2634" s="160"/>
      <c r="AU2634" s="160"/>
      <c r="AV2634" s="160"/>
      <c r="AW2634" s="160"/>
      <c r="AX2634" s="160">
        <f>IF($AX$2478&gt;0,IPMT('Assumptions (Battery)'!$V$9,Model!W$1,'Assumptions (Battery)'!$V$12,'Assumptions (Battery)'!$V$7*$AX$2480),0)</f>
        <v>-0.04903718816</v>
      </c>
      <c r="AY2634" s="160">
        <f>IF($AX$2478&gt;0,IPMT('Assumptions (Battery)'!$V$9,Model!X$1,'Assumptions (Battery)'!$V$12,'Assumptions (Battery)'!$V$7*$AX$2480),0)</f>
        <v>-0.04565217613</v>
      </c>
      <c r="AZ2634" s="160">
        <f>IF($AX$2478&gt;0,IPMT('Assumptions (Battery)'!$V$9,Model!Y$1,'Assumptions (Battery)'!$V$12,'Assumptions (Battery)'!$V$7*$AX$2480),0)</f>
        <v>-0.04199636315</v>
      </c>
      <c r="BA2634" s="160">
        <f>IF($AX$2478&gt;0,IPMT('Assumptions (Battery)'!$V$9,Model!Z$1,'Assumptions (Battery)'!$V$12,'Assumptions (Battery)'!$V$7*$AX$2480),0)</f>
        <v>-0.03804808512</v>
      </c>
      <c r="BB2634" s="160">
        <f>IF($AX$2478&gt;0,IPMT('Assumptions (Battery)'!$V$9,Model!AA$1,'Assumptions (Battery)'!$V$12,'Assumptions (Battery)'!$V$7*$AX$2480),0)</f>
        <v>-0.03378394485</v>
      </c>
      <c r="BC2634" s="160">
        <f>IF($AX$2478&gt;0,IPMT('Assumptions (Battery)'!$V$9,Model!AB$1,'Assumptions (Battery)'!$V$12,'Assumptions (Battery)'!$V$7*$AX$2480),0)</f>
        <v>-0.02917867336</v>
      </c>
      <c r="BD2634" s="160">
        <f>IF($AX$2478&gt;0,IPMT('Assumptions (Battery)'!$V$9,Model!AC$1,'Assumptions (Battery)'!$V$12,'Assumptions (Battery)'!$V$7*$AX$2480),0)</f>
        <v>-0.02420498015</v>
      </c>
      <c r="BE2634" s="160">
        <f>IF($AX$2478&gt;0,IPMT('Assumptions (Battery)'!$V$9,Model!AD$1,'Assumptions (Battery)'!$V$12,'Assumptions (Battery)'!$V$7*$AX$2480),0)</f>
        <v>-0.01883339148</v>
      </c>
      <c r="BF2634" s="160">
        <f>IF($AX$2478&gt;0,IPMT('Assumptions (Battery)'!$V$9,Model!AE$1,'Assumptions (Battery)'!$V$12,'Assumptions (Battery)'!$V$7*$AX$2480),0)</f>
        <v>-0.01303207572</v>
      </c>
      <c r="BG2634" s="160">
        <f>IF($AX$2478&gt;0,IPMT('Assumptions (Battery)'!$V$9,Model!AF$1,'Assumptions (Battery)'!$V$12,'Assumptions (Battery)'!$V$7*$AX$2480),0)</f>
        <v>-0.006766654702</v>
      </c>
      <c r="BH2634" s="160"/>
      <c r="BI2634" s="160"/>
      <c r="BJ2634" s="160"/>
      <c r="BK2634" s="160"/>
      <c r="BL2634" s="160"/>
      <c r="BM2634" s="160"/>
      <c r="BN2634" s="160"/>
      <c r="BO2634" s="160"/>
      <c r="BP2634" s="160"/>
    </row>
    <row r="2635" ht="15.75" hidden="1" customHeight="1" outlineLevel="1">
      <c r="A2635" s="353"/>
      <c r="B2635" s="38"/>
      <c r="C2635" s="174"/>
      <c r="D2635" s="174"/>
      <c r="E2635" s="174"/>
      <c r="F2635" s="174"/>
      <c r="G2635" s="174"/>
      <c r="H2635" s="174"/>
      <c r="I2635" s="174"/>
      <c r="J2635" s="174"/>
      <c r="K2635" s="174"/>
      <c r="L2635" s="174"/>
      <c r="M2635" s="174"/>
      <c r="N2635" s="174"/>
      <c r="O2635" s="174"/>
      <c r="P2635" s="174"/>
      <c r="Q2635" s="174"/>
      <c r="R2635" s="174"/>
      <c r="S2635" s="174"/>
      <c r="T2635" s="174"/>
      <c r="U2635" s="174"/>
      <c r="V2635" s="174"/>
      <c r="W2635" s="160"/>
      <c r="X2635" s="160"/>
      <c r="Y2635" s="160"/>
      <c r="Z2635" s="160"/>
      <c r="AA2635" s="160"/>
      <c r="AB2635" s="160"/>
      <c r="AC2635" s="160"/>
      <c r="AD2635" s="160"/>
      <c r="AE2635" s="160"/>
      <c r="AF2635" s="160"/>
      <c r="AG2635" s="160"/>
      <c r="AH2635" s="160"/>
      <c r="AI2635" s="160"/>
      <c r="AJ2635" s="160"/>
      <c r="AK2635" s="160"/>
      <c r="AL2635" s="160"/>
      <c r="AM2635" s="160"/>
      <c r="AN2635" s="160"/>
      <c r="AO2635" s="160"/>
      <c r="AP2635" s="160"/>
      <c r="AQ2635" s="160"/>
      <c r="AR2635" s="160"/>
      <c r="AS2635" s="160"/>
      <c r="AT2635" s="160"/>
      <c r="AU2635" s="160"/>
      <c r="AV2635" s="160"/>
      <c r="AW2635" s="160"/>
      <c r="AX2635" s="160"/>
      <c r="AY2635" s="160">
        <f>IF($AY$2478&gt;0,IPMT('Assumptions (Battery)'!$V$9,Model!W$1,'Assumptions (Battery)'!$V$12,'Assumptions (Battery)'!$V$7*$AY$2480),0)</f>
        <v>-0.04923311004</v>
      </c>
      <c r="AZ2635" s="160">
        <f>IF($AY$2478&gt;0,IPMT('Assumptions (Battery)'!$V$9,Model!X$1,'Assumptions (Battery)'!$V$12,'Assumptions (Battery)'!$V$7*$AY$2480),0)</f>
        <v>-0.04583457363</v>
      </c>
      <c r="BA2635" s="160">
        <f>IF($AY$2478&gt;0,IPMT('Assumptions (Battery)'!$V$9,Model!Y$1,'Assumptions (Battery)'!$V$12,'Assumptions (Battery)'!$V$7*$AY$2480),0)</f>
        <v>-0.0421641543</v>
      </c>
      <c r="BB2635" s="160">
        <f>IF($AY$2478&gt;0,IPMT('Assumptions (Battery)'!$V$9,Model!Z$1,'Assumptions (Battery)'!$V$12,'Assumptions (Battery)'!$V$7*$AY$2480),0)</f>
        <v>-0.03820010143</v>
      </c>
      <c r="BC2635" s="160">
        <f>IF($AY$2478&gt;0,IPMT('Assumptions (Battery)'!$V$9,Model!AA$1,'Assumptions (Battery)'!$V$12,'Assumptions (Battery)'!$V$7*$AY$2480),0)</f>
        <v>-0.03391892433</v>
      </c>
      <c r="BD2635" s="160">
        <f>IF($AY$2478&gt;0,IPMT('Assumptions (Battery)'!$V$9,Model!AB$1,'Assumptions (Battery)'!$V$12,'Assumptions (Battery)'!$V$7*$AY$2480),0)</f>
        <v>-0.02929525306</v>
      </c>
      <c r="BE2635" s="160">
        <f>IF($AY$2478&gt;0,IPMT('Assumptions (Battery)'!$V$9,Model!AC$1,'Assumptions (Battery)'!$V$12,'Assumptions (Battery)'!$V$7*$AY$2480),0)</f>
        <v>-0.02430168808</v>
      </c>
      <c r="BF2635" s="160">
        <f>IF($AY$2478&gt;0,IPMT('Assumptions (Battery)'!$V$9,Model!AD$1,'Assumptions (Battery)'!$V$12,'Assumptions (Battery)'!$V$7*$AY$2480),0)</f>
        <v>-0.01890863792</v>
      </c>
      <c r="BG2635" s="160">
        <f>IF($AY$2478&gt;0,IPMT('Assumptions (Battery)'!$V$9,Model!AE$1,'Assumptions (Battery)'!$V$12,'Assumptions (Battery)'!$V$7*$AY$2480),0)</f>
        <v>-0.01308414373</v>
      </c>
      <c r="BH2635" s="160">
        <f>IF($AY$2478&gt;0,IPMT('Assumptions (Battery)'!$V$9,Model!AF$1,'Assumptions (Battery)'!$V$12,'Assumptions (Battery)'!$V$7*$AY$2480),0)</f>
        <v>-0.006793690015</v>
      </c>
      <c r="BI2635" s="160"/>
      <c r="BJ2635" s="160"/>
      <c r="BK2635" s="160"/>
      <c r="BL2635" s="160"/>
      <c r="BM2635" s="160"/>
      <c r="BN2635" s="160"/>
      <c r="BO2635" s="160"/>
      <c r="BP2635" s="160"/>
    </row>
    <row r="2636" ht="15.75" hidden="1" customHeight="1" outlineLevel="1">
      <c r="A2636" s="353"/>
      <c r="B2636" s="38"/>
      <c r="C2636" s="174"/>
      <c r="D2636" s="174"/>
      <c r="E2636" s="174"/>
      <c r="F2636" s="174"/>
      <c r="G2636" s="174"/>
      <c r="H2636" s="174"/>
      <c r="I2636" s="174"/>
      <c r="J2636" s="174"/>
      <c r="K2636" s="174"/>
      <c r="L2636" s="174"/>
      <c r="M2636" s="174"/>
      <c r="N2636" s="174"/>
      <c r="O2636" s="174"/>
      <c r="P2636" s="174"/>
      <c r="Q2636" s="174"/>
      <c r="R2636" s="174"/>
      <c r="S2636" s="174"/>
      <c r="T2636" s="174"/>
      <c r="U2636" s="174"/>
      <c r="V2636" s="174"/>
      <c r="W2636" s="160"/>
      <c r="X2636" s="160"/>
      <c r="Y2636" s="160"/>
      <c r="Z2636" s="160"/>
      <c r="AA2636" s="160"/>
      <c r="AB2636" s="160"/>
      <c r="AC2636" s="160"/>
      <c r="AD2636" s="160"/>
      <c r="AE2636" s="160"/>
      <c r="AF2636" s="160"/>
      <c r="AG2636" s="160"/>
      <c r="AH2636" s="160"/>
      <c r="AI2636" s="160"/>
      <c r="AJ2636" s="160"/>
      <c r="AK2636" s="160"/>
      <c r="AL2636" s="160"/>
      <c r="AM2636" s="160"/>
      <c r="AN2636" s="160"/>
      <c r="AO2636" s="160"/>
      <c r="AP2636" s="160"/>
      <c r="AQ2636" s="160"/>
      <c r="AR2636" s="160"/>
      <c r="AS2636" s="160"/>
      <c r="AT2636" s="160"/>
      <c r="AU2636" s="160"/>
      <c r="AV2636" s="160"/>
      <c r="AW2636" s="160"/>
      <c r="AX2636" s="160"/>
      <c r="AY2636" s="160"/>
      <c r="AZ2636" s="160">
        <f>IF($AZ$2478&gt;0,IPMT('Assumptions (Battery)'!$V$9,Model!W$1,'Assumptions (Battery)'!$V$12,'Assumptions (Battery)'!$V$7*$AZ$2480),0)</f>
        <v>-0.04941143093</v>
      </c>
      <c r="BA2636" s="160">
        <f>IF($AZ$2478&gt;0,IPMT('Assumptions (Battery)'!$V$9,Model!X$1,'Assumptions (Battery)'!$V$12,'Assumptions (Battery)'!$V$7*$AZ$2480),0)</f>
        <v>-0.04600058512</v>
      </c>
      <c r="BB2636" s="160">
        <f>IF($AZ$2478&gt;0,IPMT('Assumptions (Battery)'!$V$9,Model!Y$1,'Assumptions (Battery)'!$V$12,'Assumptions (Battery)'!$V$7*$AZ$2480),0)</f>
        <v>-0.04231687164</v>
      </c>
      <c r="BC2636" s="160">
        <f>IF($AZ$2478&gt;0,IPMT('Assumptions (Battery)'!$V$9,Model!Z$1,'Assumptions (Battery)'!$V$12,'Assumptions (Battery)'!$V$7*$AZ$2480),0)</f>
        <v>-0.03833846109</v>
      </c>
      <c r="BD2636" s="160">
        <f>IF($AZ$2478&gt;0,IPMT('Assumptions (Battery)'!$V$9,Model!AA$1,'Assumptions (Battery)'!$V$12,'Assumptions (Battery)'!$V$7*$AZ$2480),0)</f>
        <v>-0.03404177769</v>
      </c>
      <c r="BE2636" s="160">
        <f>IF($AZ$2478&gt;0,IPMT('Assumptions (Battery)'!$V$9,Model!AB$1,'Assumptions (Battery)'!$V$12,'Assumptions (Battery)'!$V$7*$AZ$2480),0)</f>
        <v>-0.02940135961</v>
      </c>
      <c r="BF2636" s="160">
        <f>IF($AZ$2478&gt;0,IPMT('Assumptions (Battery)'!$V$9,Model!AC$1,'Assumptions (Battery)'!$V$12,'Assumptions (Battery)'!$V$7*$AZ$2480),0)</f>
        <v>-0.02438970809</v>
      </c>
      <c r="BG2636" s="160">
        <f>IF($AZ$2478&gt;0,IPMT('Assumptions (Battery)'!$V$9,Model!AD$1,'Assumptions (Battery)'!$V$12,'Assumptions (Battery)'!$V$7*$AZ$2480),0)</f>
        <v>-0.01897712445</v>
      </c>
      <c r="BH2636" s="160">
        <f>IF($AZ$2478&gt;0,IPMT('Assumptions (Battery)'!$V$9,Model!AE$1,'Assumptions (Battery)'!$V$12,'Assumptions (Battery)'!$V$7*$AZ$2480),0)</f>
        <v>-0.01313153412</v>
      </c>
      <c r="BI2636" s="160">
        <f>IF($AZ$2478&gt;0,IPMT('Assumptions (Battery)'!$V$9,Model!AF$1,'Assumptions (Battery)'!$V$12,'Assumptions (Battery)'!$V$7*$AZ$2480),0)</f>
        <v>-0.006818296563</v>
      </c>
      <c r="BJ2636" s="160"/>
      <c r="BK2636" s="160"/>
      <c r="BL2636" s="160"/>
      <c r="BM2636" s="160"/>
      <c r="BN2636" s="160"/>
      <c r="BO2636" s="160"/>
      <c r="BP2636" s="160"/>
    </row>
    <row r="2637" ht="15.75" hidden="1" customHeight="1" outlineLevel="1">
      <c r="A2637" s="353"/>
      <c r="B2637" s="38"/>
      <c r="C2637" s="174"/>
      <c r="D2637" s="174"/>
      <c r="E2637" s="174"/>
      <c r="F2637" s="174"/>
      <c r="G2637" s="174"/>
      <c r="H2637" s="174"/>
      <c r="I2637" s="174"/>
      <c r="J2637" s="174"/>
      <c r="K2637" s="174"/>
      <c r="L2637" s="174"/>
      <c r="M2637" s="174"/>
      <c r="N2637" s="174"/>
      <c r="O2637" s="174"/>
      <c r="P2637" s="174"/>
      <c r="Q2637" s="174"/>
      <c r="R2637" s="174"/>
      <c r="S2637" s="174"/>
      <c r="T2637" s="174"/>
      <c r="U2637" s="174"/>
      <c r="V2637" s="174"/>
      <c r="W2637" s="160"/>
      <c r="X2637" s="160"/>
      <c r="Y2637" s="160"/>
      <c r="Z2637" s="160"/>
      <c r="AA2637" s="160"/>
      <c r="AB2637" s="160"/>
      <c r="AC2637" s="160"/>
      <c r="AD2637" s="160"/>
      <c r="AE2637" s="160"/>
      <c r="AF2637" s="160"/>
      <c r="AG2637" s="160"/>
      <c r="AH2637" s="160"/>
      <c r="AI2637" s="160"/>
      <c r="AJ2637" s="160"/>
      <c r="AK2637" s="160"/>
      <c r="AL2637" s="160"/>
      <c r="AM2637" s="160"/>
      <c r="AN2637" s="160"/>
      <c r="AO2637" s="160"/>
      <c r="AP2637" s="160"/>
      <c r="AQ2637" s="160"/>
      <c r="AR2637" s="160"/>
      <c r="AS2637" s="160"/>
      <c r="AT2637" s="160"/>
      <c r="AU2637" s="160"/>
      <c r="AV2637" s="160"/>
      <c r="AW2637" s="160"/>
      <c r="AX2637" s="160"/>
      <c r="AY2637" s="160"/>
      <c r="AZ2637" s="160"/>
      <c r="BA2637" s="160">
        <f>IF($BA$2478&gt;0,IPMT('Assumptions (Battery)'!$V$9,Model!W$1,'Assumptions (Battery)'!$V$12,'Assumptions (Battery)'!$V$7*$BA$2480),0)</f>
        <v>0</v>
      </c>
      <c r="BB2637" s="160">
        <f>IF($BA$2478&gt;0,IPMT('Assumptions (Battery)'!$V$9,Model!X$1,'Assumptions (Battery)'!$V$12,'Assumptions (Battery)'!$V$7*$BA$2480),0)</f>
        <v>0</v>
      </c>
      <c r="BC2637" s="160">
        <f>IF($BA$2478&gt;0,IPMT('Assumptions (Battery)'!$V$9,Model!Y$1,'Assumptions (Battery)'!$V$12,'Assumptions (Battery)'!$V$7*$BA$2480),0)</f>
        <v>0</v>
      </c>
      <c r="BD2637" s="160">
        <f>IF($BA$2478&gt;0,IPMT('Assumptions (Battery)'!$V$9,Model!Z$1,'Assumptions (Battery)'!$V$12,'Assumptions (Battery)'!$V$7*$BA$2480),0)</f>
        <v>0</v>
      </c>
      <c r="BE2637" s="160">
        <f>IF($BA$2478&gt;0,IPMT('Assumptions (Battery)'!$V$9,Model!AA$1,'Assumptions (Battery)'!$V$12,'Assumptions (Battery)'!$V$7*$BA$2480),0)</f>
        <v>0</v>
      </c>
      <c r="BF2637" s="160">
        <f>IF($BA$2478&gt;0,IPMT('Assumptions (Battery)'!$V$9,Model!AB$1,'Assumptions (Battery)'!$V$12,'Assumptions (Battery)'!$V$7*$BA$2480),0)</f>
        <v>0</v>
      </c>
      <c r="BG2637" s="160">
        <f>IF($BA$2478&gt;0,IPMT('Assumptions (Battery)'!$V$9,Model!AC$1,'Assumptions (Battery)'!$V$12,'Assumptions (Battery)'!$V$7*$BA$2480),0)</f>
        <v>0</v>
      </c>
      <c r="BH2637" s="160">
        <f>IF($BA$2478&gt;0,IPMT('Assumptions (Battery)'!$V$9,Model!AD$1,'Assumptions (Battery)'!$V$12,'Assumptions (Battery)'!$V$7*$BA$2480),0)</f>
        <v>0</v>
      </c>
      <c r="BI2637" s="160">
        <f>IF($BA$2478&gt;0,IPMT('Assumptions (Battery)'!$V$9,Model!AE$1,'Assumptions (Battery)'!$V$12,'Assumptions (Battery)'!$V$7*$BA$2480),0)</f>
        <v>0</v>
      </c>
      <c r="BJ2637" s="160">
        <f>IF($BA$2478&gt;0,IPMT('Assumptions (Battery)'!$V$9,Model!AF$1,'Assumptions (Battery)'!$V$12,'Assumptions (Battery)'!$V$7*$BA$2480),0)</f>
        <v>0</v>
      </c>
      <c r="BK2637" s="160"/>
      <c r="BL2637" s="160"/>
      <c r="BM2637" s="160"/>
      <c r="BN2637" s="160"/>
      <c r="BO2637" s="160"/>
      <c r="BP2637" s="160"/>
    </row>
    <row r="2638" ht="15.75" customHeight="1" collapsed="1">
      <c r="A2638" s="345" t="s">
        <v>361</v>
      </c>
      <c r="B2638" s="150" t="s">
        <v>351</v>
      </c>
      <c r="C2638" s="177">
        <f t="shared" ref="C2638:BK2638" si="94">SUM(C2639:C2689)</f>
        <v>0</v>
      </c>
      <c r="D2638" s="177">
        <f t="shared" si="94"/>
        <v>0</v>
      </c>
      <c r="E2638" s="177">
        <f t="shared" si="94"/>
        <v>0</v>
      </c>
      <c r="F2638" s="177">
        <f t="shared" si="94"/>
        <v>0</v>
      </c>
      <c r="G2638" s="177">
        <f t="shared" si="94"/>
        <v>0</v>
      </c>
      <c r="H2638" s="177">
        <f t="shared" si="94"/>
        <v>0</v>
      </c>
      <c r="I2638" s="177">
        <f t="shared" si="94"/>
        <v>0</v>
      </c>
      <c r="J2638" s="177">
        <f t="shared" si="94"/>
        <v>0</v>
      </c>
      <c r="K2638" s="177">
        <f t="shared" si="94"/>
        <v>0</v>
      </c>
      <c r="L2638" s="177">
        <f t="shared" si="94"/>
        <v>0</v>
      </c>
      <c r="M2638" s="177">
        <f t="shared" si="94"/>
        <v>0</v>
      </c>
      <c r="N2638" s="177">
        <f t="shared" si="94"/>
        <v>0</v>
      </c>
      <c r="O2638" s="177">
        <f t="shared" si="94"/>
        <v>0</v>
      </c>
      <c r="P2638" s="177">
        <f t="shared" si="94"/>
        <v>0</v>
      </c>
      <c r="Q2638" s="177">
        <f t="shared" si="94"/>
        <v>0</v>
      </c>
      <c r="R2638" s="177">
        <f t="shared" si="94"/>
        <v>0</v>
      </c>
      <c r="S2638" s="177">
        <f t="shared" si="94"/>
        <v>0</v>
      </c>
      <c r="T2638" s="177">
        <f t="shared" si="94"/>
        <v>0.0009820579632</v>
      </c>
      <c r="U2638" s="177">
        <f t="shared" si="94"/>
        <v>0.001683037055</v>
      </c>
      <c r="V2638" s="177">
        <f t="shared" si="94"/>
        <v>0.001201972972</v>
      </c>
      <c r="W2638" s="177">
        <f t="shared" si="94"/>
        <v>0.0008583557705</v>
      </c>
      <c r="X2638" s="160">
        <f t="shared" si="94"/>
        <v>0.28169424</v>
      </c>
      <c r="Y2638" s="160">
        <f t="shared" si="94"/>
        <v>0.7504456274</v>
      </c>
      <c r="Z2638" s="160">
        <f t="shared" si="94"/>
        <v>1.057704366</v>
      </c>
      <c r="AA2638" s="160">
        <f t="shared" si="94"/>
        <v>1.248042305</v>
      </c>
      <c r="AB2638" s="160">
        <f t="shared" si="94"/>
        <v>1.35390041</v>
      </c>
      <c r="AC2638" s="160">
        <f t="shared" si="94"/>
        <v>1.459342816</v>
      </c>
      <c r="AD2638" s="160">
        <f t="shared" si="94"/>
        <v>1.574577158</v>
      </c>
      <c r="AE2638" s="160">
        <f t="shared" si="94"/>
        <v>1.605555026</v>
      </c>
      <c r="AF2638" s="160">
        <f t="shared" si="94"/>
        <v>1.551427095</v>
      </c>
      <c r="AG2638" s="160">
        <f t="shared" si="94"/>
        <v>1.502595218</v>
      </c>
      <c r="AH2638" s="160">
        <f t="shared" si="94"/>
        <v>1.46627949</v>
      </c>
      <c r="AI2638" s="160">
        <f t="shared" si="94"/>
        <v>1.44710269</v>
      </c>
      <c r="AJ2638" s="160">
        <f t="shared" si="94"/>
        <v>1.437781197</v>
      </c>
      <c r="AK2638" s="160">
        <f t="shared" si="94"/>
        <v>1.432572048</v>
      </c>
      <c r="AL2638" s="160">
        <f t="shared" si="94"/>
        <v>1.431295229</v>
      </c>
      <c r="AM2638" s="160">
        <f t="shared" si="94"/>
        <v>1.434231048</v>
      </c>
      <c r="AN2638" s="160">
        <f t="shared" si="94"/>
        <v>1.650417984</v>
      </c>
      <c r="AO2638" s="160">
        <f t="shared" si="94"/>
        <v>2.018872883</v>
      </c>
      <c r="AP2638" s="160">
        <f t="shared" si="94"/>
        <v>2.287015649</v>
      </c>
      <c r="AQ2638" s="160">
        <f t="shared" si="94"/>
        <v>2.483701026</v>
      </c>
      <c r="AR2638" s="160">
        <f t="shared" si="94"/>
        <v>2.629268881</v>
      </c>
      <c r="AS2638" s="160">
        <f t="shared" si="94"/>
        <v>2.775065205</v>
      </c>
      <c r="AT2638" s="160">
        <f t="shared" si="94"/>
        <v>2.92137769</v>
      </c>
      <c r="AU2638" s="160">
        <f t="shared" si="94"/>
        <v>2.999852542</v>
      </c>
      <c r="AV2638" s="160">
        <f t="shared" si="94"/>
        <v>3.010928269</v>
      </c>
      <c r="AW2638" s="160">
        <f t="shared" si="94"/>
        <v>3.022667472</v>
      </c>
      <c r="AX2638" s="160">
        <f t="shared" si="94"/>
        <v>3.034683236</v>
      </c>
      <c r="AY2638" s="160">
        <f t="shared" si="94"/>
        <v>3.046775918</v>
      </c>
      <c r="AZ2638" s="160">
        <f t="shared" si="94"/>
        <v>3.058211395</v>
      </c>
      <c r="BA2638" s="160">
        <f t="shared" si="94"/>
        <v>2.626106207</v>
      </c>
      <c r="BB2638" s="177">
        <f t="shared" si="94"/>
        <v>1.876661218</v>
      </c>
      <c r="BC2638" s="177">
        <f t="shared" si="94"/>
        <v>1.341965633</v>
      </c>
      <c r="BD2638" s="177">
        <f t="shared" si="94"/>
        <v>0.960065279</v>
      </c>
      <c r="BE2638" s="177">
        <f t="shared" si="94"/>
        <v>0.6869421849</v>
      </c>
      <c r="BF2638" s="177">
        <f t="shared" si="94"/>
        <v>0.4130148431</v>
      </c>
      <c r="BG2638" s="177">
        <f t="shared" si="94"/>
        <v>0.1377343637</v>
      </c>
      <c r="BH2638" s="177">
        <f t="shared" si="94"/>
        <v>0</v>
      </c>
      <c r="BI2638" s="177">
        <f t="shared" si="94"/>
        <v>0</v>
      </c>
      <c r="BJ2638" s="177">
        <f t="shared" si="94"/>
        <v>0</v>
      </c>
      <c r="BK2638" s="177">
        <f t="shared" si="94"/>
        <v>0</v>
      </c>
      <c r="BL2638" s="177"/>
      <c r="BM2638" s="177"/>
      <c r="BN2638" s="177"/>
      <c r="BO2638" s="177"/>
    </row>
    <row r="2639" ht="15.75" hidden="1" customHeight="1" outlineLevel="1">
      <c r="A2639" s="353"/>
      <c r="B2639" s="38"/>
      <c r="C2639" s="178">
        <f>IF($C$2478&gt;0,'Assumptions (Battery)'!V$13*$C$2480,0)</f>
        <v>0</v>
      </c>
      <c r="D2639" s="178">
        <f>IF($C$2478&gt;0,'Assumptions (Battery)'!W$13*$C$2480,0)</f>
        <v>0</v>
      </c>
      <c r="E2639" s="178">
        <f>IF($C$2478&gt;0,'Assumptions (Battery)'!X$13*$C$2480,0)</f>
        <v>0</v>
      </c>
      <c r="F2639" s="178">
        <f>IF($C$2478&gt;0,'Assumptions (Battery)'!Y$13*$C$2480,0)</f>
        <v>0</v>
      </c>
      <c r="G2639" s="178">
        <f>IF($C$2478&gt;0,'Assumptions (Battery)'!Z$13*$C$2480,0)</f>
        <v>0</v>
      </c>
      <c r="H2639" s="178">
        <f>IF($C$2478&gt;0,'Assumptions (Battery)'!AA$13*$C$2480,0)</f>
        <v>0</v>
      </c>
      <c r="I2639" s="178">
        <f>IF($C$2478&gt;0,'Assumptions (Battery)'!AB$13*$C$2480,0)</f>
        <v>0</v>
      </c>
      <c r="J2639" s="178">
        <f>IF($C$2478&gt;0,'Assumptions (Battery)'!AC$13*$C$2480,0)</f>
        <v>0</v>
      </c>
      <c r="K2639" s="178">
        <f>IF($C$2478&gt;0,'Assumptions (Battery)'!AD$13*$C$2480,0)</f>
        <v>0</v>
      </c>
      <c r="L2639" s="178">
        <f>IF($C$2478&gt;0,'Assumptions (Battery)'!AE$13*$C$2480,0)</f>
        <v>0</v>
      </c>
      <c r="M2639" s="178">
        <f>IF($C$2478&gt;0,'Assumptions (Battery)'!AF$13*$C$2480,0)</f>
        <v>0</v>
      </c>
      <c r="N2639" s="178">
        <f>IF($C$2478&gt;0,'Assumptions (Battery)'!AG$13*$C$2480,0)</f>
        <v>0</v>
      </c>
      <c r="O2639" s="178">
        <f>IF($C$2478&gt;0,'Assumptions (Battery)'!AH$13*$C$2480,0)</f>
        <v>0</v>
      </c>
      <c r="P2639" s="178">
        <f>IF($C$2478&gt;0,'Assumptions (Battery)'!AI$13*$C$2480,0)</f>
        <v>0</v>
      </c>
      <c r="Q2639" s="178">
        <f>IF($C$2478&gt;0,'Assumptions (Battery)'!AJ$13*$C$2480,0)</f>
        <v>0</v>
      </c>
      <c r="R2639" s="178">
        <f>IF($C$2478&gt;0,'Assumptions (Battery)'!AK$13*$C$2480,0)</f>
        <v>0</v>
      </c>
      <c r="S2639" s="177"/>
      <c r="T2639" s="177"/>
      <c r="U2639" s="177"/>
      <c r="V2639" s="177"/>
      <c r="W2639" s="177"/>
      <c r="X2639" s="160"/>
      <c r="Y2639" s="160"/>
      <c r="Z2639" s="160"/>
      <c r="AA2639" s="160"/>
      <c r="AB2639" s="160"/>
      <c r="AC2639" s="160"/>
      <c r="AD2639" s="160"/>
      <c r="AE2639" s="160"/>
      <c r="AF2639" s="160"/>
      <c r="AG2639" s="160"/>
      <c r="AH2639" s="356"/>
      <c r="AI2639" s="356"/>
      <c r="AJ2639" s="356"/>
      <c r="AK2639" s="356"/>
      <c r="AL2639" s="356"/>
      <c r="AM2639" s="356"/>
      <c r="AN2639" s="356"/>
      <c r="AO2639" s="356"/>
      <c r="AP2639" s="356"/>
      <c r="AQ2639" s="356"/>
      <c r="AR2639" s="356"/>
      <c r="AS2639" s="356"/>
      <c r="AT2639" s="356"/>
      <c r="AU2639" s="356"/>
      <c r="AV2639" s="356"/>
      <c r="AW2639" s="356"/>
      <c r="AX2639" s="356"/>
      <c r="AY2639" s="356"/>
      <c r="AZ2639" s="356"/>
      <c r="BA2639" s="356"/>
    </row>
    <row r="2640" ht="15.75" hidden="1" customHeight="1" outlineLevel="1">
      <c r="A2640" s="353"/>
      <c r="B2640" s="38"/>
      <c r="C2640" s="160"/>
      <c r="D2640" s="160">
        <f>IF($D$2478&gt;0,'Assumptions (Battery)'!V$13*Model!$D$2478*'Assumptions (Battery)'!$B$2/10^9,0)</f>
        <v>0</v>
      </c>
      <c r="E2640" s="160">
        <f>IF($D$2478&gt;0,'Assumptions (Battery)'!W$13*$D$2480,0)</f>
        <v>0</v>
      </c>
      <c r="F2640" s="160">
        <f>IF($D$2478&gt;0,'Assumptions (Battery)'!X$13*$D$2480,0)</f>
        <v>0</v>
      </c>
      <c r="G2640" s="160">
        <f>IF($D$2478&gt;0,'Assumptions (Battery)'!Y$13*$D$2480,0)</f>
        <v>0</v>
      </c>
      <c r="H2640" s="160">
        <f>IF($D$2478&gt;0,'Assumptions (Battery)'!Z$13*$D$2480,0)</f>
        <v>0</v>
      </c>
      <c r="I2640" s="160">
        <f>IF($D$2478&gt;0,'Assumptions (Battery)'!AA$13*$D$2480,0)</f>
        <v>0</v>
      </c>
      <c r="J2640" s="160">
        <f>IF($D$2478&gt;0,'Assumptions (Battery)'!AB$13*$D$2480,0)</f>
        <v>0</v>
      </c>
      <c r="K2640" s="160">
        <f>IF($D$2478&gt;0,'Assumptions (Battery)'!AC$13*$D$2480,0)</f>
        <v>0</v>
      </c>
      <c r="L2640" s="160">
        <f>IF($D$2478&gt;0,'Assumptions (Battery)'!AD$13*$D$2480,0)</f>
        <v>0</v>
      </c>
      <c r="M2640" s="160">
        <f>IF($D$2478&gt;0,'Assumptions (Battery)'!AE$13*$D$2480,0)</f>
        <v>0</v>
      </c>
      <c r="N2640" s="160">
        <f>IF($D$2478&gt;0,'Assumptions (Battery)'!AF$13*$D$2480,0)</f>
        <v>0</v>
      </c>
      <c r="O2640" s="160">
        <f>IF($D$2478&gt;0,'Assumptions (Battery)'!AG$13*$D$2480,0)</f>
        <v>0</v>
      </c>
      <c r="P2640" s="160">
        <f>IF($D$2478&gt;0,'Assumptions (Battery)'!AH$13*$D$2480,0)</f>
        <v>0</v>
      </c>
      <c r="Q2640" s="160">
        <f>IF($D$2478&gt;0,'Assumptions (Battery)'!AI$13*$D$2480,0)</f>
        <v>0</v>
      </c>
      <c r="R2640" s="160">
        <f>IF($D$2478&gt;0,'Assumptions (Battery)'!AJ$13*$D$2480,0)</f>
        <v>0</v>
      </c>
      <c r="S2640" s="160">
        <f>IF($D$2478&gt;0,'Assumptions (Battery)'!AK$13*$D$2480,0)</f>
        <v>0</v>
      </c>
      <c r="T2640" s="160"/>
      <c r="U2640" s="160"/>
      <c r="V2640" s="160"/>
      <c r="W2640" s="160"/>
      <c r="X2640" s="160"/>
      <c r="Y2640" s="160"/>
      <c r="Z2640" s="160"/>
      <c r="AA2640" s="160"/>
      <c r="AB2640" s="160"/>
      <c r="AC2640" s="160"/>
      <c r="AD2640" s="160"/>
      <c r="AE2640" s="160"/>
      <c r="AF2640" s="160"/>
      <c r="AG2640" s="160"/>
      <c r="AH2640" s="356"/>
      <c r="AI2640" s="356"/>
      <c r="AJ2640" s="356"/>
      <c r="AK2640" s="356"/>
      <c r="AL2640" s="356"/>
      <c r="AM2640" s="356"/>
      <c r="AN2640" s="356"/>
      <c r="AO2640" s="356"/>
      <c r="AP2640" s="356"/>
      <c r="AQ2640" s="356"/>
      <c r="AR2640" s="356"/>
      <c r="AS2640" s="356"/>
      <c r="AT2640" s="356"/>
      <c r="AU2640" s="356"/>
      <c r="AV2640" s="356"/>
      <c r="AW2640" s="356"/>
      <c r="AX2640" s="356"/>
      <c r="AY2640" s="356"/>
      <c r="AZ2640" s="356"/>
      <c r="BA2640" s="356"/>
    </row>
    <row r="2641" ht="15.75" hidden="1" customHeight="1" outlineLevel="1">
      <c r="A2641" s="353"/>
      <c r="B2641" s="38"/>
      <c r="C2641" s="160"/>
      <c r="D2641" s="160"/>
      <c r="E2641" s="160">
        <f>IF($E$2478&gt;0,'Assumptions (Battery)'!V$13*$E$2480,0)</f>
        <v>0</v>
      </c>
      <c r="F2641" s="160">
        <f>IF($E$2478&gt;0,'Assumptions (Battery)'!W$13*$E$2480,0)</f>
        <v>0</v>
      </c>
      <c r="G2641" s="160">
        <f>IF($E$2478&gt;0,'Assumptions (Battery)'!X$13*$E$2480,0)</f>
        <v>0</v>
      </c>
      <c r="H2641" s="160">
        <f>IF($E$2478&gt;0,'Assumptions (Battery)'!Y$13*$E$2480,0)</f>
        <v>0</v>
      </c>
      <c r="I2641" s="160">
        <f>IF($E$2478&gt;0,'Assumptions (Battery)'!Z$13*$E$2480,0)</f>
        <v>0</v>
      </c>
      <c r="J2641" s="160">
        <f>IF($E$2478&gt;0,'Assumptions (Battery)'!AA$13*$E$2480,0)</f>
        <v>0</v>
      </c>
      <c r="K2641" s="160">
        <f>IF($E$2478&gt;0,'Assumptions (Battery)'!AB$13*$E$2480,0)</f>
        <v>0</v>
      </c>
      <c r="L2641" s="160">
        <f>IF($E$2478&gt;0,'Assumptions (Battery)'!AC$13*$E$2480,0)</f>
        <v>0</v>
      </c>
      <c r="M2641" s="160">
        <f>IF($E$2478&gt;0,'Assumptions (Battery)'!AD$13*$E$2480,0)</f>
        <v>0</v>
      </c>
      <c r="N2641" s="160">
        <f>IF($E$2478&gt;0,'Assumptions (Battery)'!AE$13*$E$2480,0)</f>
        <v>0</v>
      </c>
      <c r="O2641" s="160">
        <f>IF($E$2478&gt;0,'Assumptions (Battery)'!AF$13*$E$2480,0)</f>
        <v>0</v>
      </c>
      <c r="P2641" s="160">
        <f>IF($E$2478&gt;0,'Assumptions (Battery)'!AG$13*$E$2480,0)</f>
        <v>0</v>
      </c>
      <c r="Q2641" s="160">
        <f>IF($E$2478&gt;0,'Assumptions (Battery)'!AH$13*$E$2480,0)</f>
        <v>0</v>
      </c>
      <c r="R2641" s="160">
        <f>IF($E$2478&gt;0,'Assumptions (Battery)'!AI$13*$E$2480,0)</f>
        <v>0</v>
      </c>
      <c r="S2641" s="160">
        <f>IF($E$2478&gt;0,'Assumptions (Battery)'!AJ$13*$E$2480,0)</f>
        <v>0</v>
      </c>
      <c r="T2641" s="280">
        <f>IF($E$2478&gt;0,'Assumptions (Battery)'!AK$13*$E$2480,0)</f>
        <v>0</v>
      </c>
      <c r="U2641" s="160"/>
      <c r="V2641" s="160"/>
      <c r="W2641" s="160"/>
      <c r="X2641" s="160"/>
      <c r="Y2641" s="160"/>
      <c r="Z2641" s="160"/>
      <c r="AA2641" s="160"/>
      <c r="AB2641" s="160"/>
      <c r="AC2641" s="160"/>
      <c r="AD2641" s="160"/>
      <c r="AE2641" s="160"/>
      <c r="AF2641" s="160"/>
      <c r="AG2641" s="160"/>
      <c r="AH2641" s="356"/>
      <c r="AI2641" s="356"/>
      <c r="AJ2641" s="356"/>
      <c r="AK2641" s="356"/>
      <c r="AL2641" s="356"/>
      <c r="AM2641" s="356"/>
      <c r="AN2641" s="356"/>
      <c r="AO2641" s="356"/>
      <c r="AP2641" s="356"/>
      <c r="AQ2641" s="356"/>
      <c r="AR2641" s="356"/>
      <c r="AS2641" s="356"/>
      <c r="AT2641" s="356"/>
      <c r="AU2641" s="356"/>
      <c r="AV2641" s="356"/>
      <c r="AW2641" s="356"/>
      <c r="AX2641" s="356"/>
      <c r="AY2641" s="356"/>
      <c r="AZ2641" s="356"/>
      <c r="BA2641" s="356"/>
    </row>
    <row r="2642" ht="15.75" hidden="1" customHeight="1" outlineLevel="1">
      <c r="A2642" s="353"/>
      <c r="B2642" s="38"/>
      <c r="C2642" s="160"/>
      <c r="D2642" s="160"/>
      <c r="E2642" s="160"/>
      <c r="F2642" s="160">
        <f>IF($F$2478&gt;0,'Assumptions (Battery)'!V$13*$F$2480,0)</f>
        <v>0</v>
      </c>
      <c r="G2642" s="160">
        <f>IF($F$2478&gt;0,'Assumptions (Battery)'!W$13*$F$2480,0)</f>
        <v>0</v>
      </c>
      <c r="H2642" s="160">
        <f>IF($F$2478&gt;0,'Assumptions (Battery)'!X$13*$F$2480,0)</f>
        <v>0</v>
      </c>
      <c r="I2642" s="160">
        <f>IF($F$2478&gt;0,'Assumptions (Battery)'!Y$13*$F$2480,0)</f>
        <v>0</v>
      </c>
      <c r="J2642" s="160">
        <f>IF($F$2478&gt;0,'Assumptions (Battery)'!Z$13*$F$2480,0)</f>
        <v>0</v>
      </c>
      <c r="K2642" s="160">
        <f>IF($F$2478&gt;0,'Assumptions (Battery)'!AA$13*$F$2480,0)</f>
        <v>0</v>
      </c>
      <c r="L2642" s="160">
        <f>IF($F$2478&gt;0,'Assumptions (Battery)'!AB$13*$F$2480,0)</f>
        <v>0</v>
      </c>
      <c r="M2642" s="160">
        <f>IF($F$2478&gt;0,'Assumptions (Battery)'!AC$13*$F$2480,0)</f>
        <v>0</v>
      </c>
      <c r="N2642" s="160">
        <f>IF($F$2478&gt;0,'Assumptions (Battery)'!AD$13*$F$2480,0)</f>
        <v>0</v>
      </c>
      <c r="O2642" s="160">
        <f>IF($F$2478&gt;0,'Assumptions (Battery)'!AE$13*$F$2480,0)</f>
        <v>0</v>
      </c>
      <c r="P2642" s="160">
        <f>IF($F$2478&gt;0,'Assumptions (Battery)'!AF$13*$F$2480,0)</f>
        <v>0</v>
      </c>
      <c r="Q2642" s="160">
        <f>IF($F$2478&gt;0,'Assumptions (Battery)'!AG$13*$F$2480,0)</f>
        <v>0</v>
      </c>
      <c r="R2642" s="160">
        <f>IF($F$2478&gt;0,'Assumptions (Battery)'!AH$13*$F$2480,0)</f>
        <v>0</v>
      </c>
      <c r="S2642" s="160">
        <f>IF($F$2478&gt;0,'Assumptions (Battery)'!AI$13*$F$2480,0)</f>
        <v>0</v>
      </c>
      <c r="T2642" s="280">
        <f>IF($F$2478&gt;0,'Assumptions (Battery)'!AJ$13*$F$2480,0)</f>
        <v>0</v>
      </c>
      <c r="U2642" s="160">
        <f>IF($F$2478&gt;0,'Assumptions (Battery)'!AK$13*$F$2480,0)</f>
        <v>0</v>
      </c>
      <c r="V2642" s="160"/>
      <c r="W2642" s="160"/>
      <c r="X2642" s="160"/>
      <c r="Y2642" s="160"/>
      <c r="Z2642" s="160"/>
      <c r="AA2642" s="160"/>
      <c r="AB2642" s="160"/>
      <c r="AC2642" s="160"/>
      <c r="AD2642" s="160"/>
      <c r="AE2642" s="160"/>
      <c r="AF2642" s="160"/>
      <c r="AG2642" s="160"/>
      <c r="AH2642" s="356"/>
      <c r="AI2642" s="356"/>
      <c r="AJ2642" s="356"/>
      <c r="AK2642" s="356"/>
      <c r="AL2642" s="356"/>
      <c r="AM2642" s="356"/>
      <c r="AN2642" s="356"/>
      <c r="AO2642" s="356"/>
      <c r="AP2642" s="356"/>
      <c r="AQ2642" s="356"/>
      <c r="AR2642" s="356"/>
      <c r="AS2642" s="356"/>
      <c r="AT2642" s="356"/>
      <c r="AU2642" s="356"/>
      <c r="AV2642" s="356"/>
      <c r="AW2642" s="356"/>
      <c r="AX2642" s="356"/>
      <c r="AY2642" s="356"/>
      <c r="AZ2642" s="356"/>
      <c r="BA2642" s="356"/>
    </row>
    <row r="2643" ht="15.75" hidden="1" customHeight="1" outlineLevel="1">
      <c r="A2643" s="353"/>
      <c r="B2643" s="38"/>
      <c r="C2643" s="160"/>
      <c r="D2643" s="160"/>
      <c r="E2643" s="160"/>
      <c r="F2643" s="160"/>
      <c r="G2643" s="160">
        <f>IF($G$2478&gt;0,'Assumptions (Battery)'!V$13*$G$2480,0)</f>
        <v>0</v>
      </c>
      <c r="H2643" s="160">
        <f>IF($G$2478&gt;0,'Assumptions (Battery)'!W$13*$G$2480,0)</f>
        <v>0</v>
      </c>
      <c r="I2643" s="160">
        <f>IF($G$2478&gt;0,'Assumptions (Battery)'!X$13*$G$2480,0)</f>
        <v>0</v>
      </c>
      <c r="J2643" s="160">
        <f>IF($G$2478&gt;0,'Assumptions (Battery)'!Y$13*$G$2480,0)</f>
        <v>0</v>
      </c>
      <c r="K2643" s="160">
        <f>IF($G$2478&gt;0,'Assumptions (Battery)'!Z$13*$G$2480,0)</f>
        <v>0</v>
      </c>
      <c r="L2643" s="160">
        <f>IF($G$2478&gt;0,'Assumptions (Battery)'!AA$13*$G$2480,0)</f>
        <v>0</v>
      </c>
      <c r="M2643" s="160">
        <f>IF($G$2478&gt;0,'Assumptions (Battery)'!AB$13*$G$2480,0)</f>
        <v>0</v>
      </c>
      <c r="N2643" s="160">
        <f>IF($G$2478&gt;0,'Assumptions (Battery)'!AC$13*$G$2480,0)</f>
        <v>0</v>
      </c>
      <c r="O2643" s="160">
        <f>IF($G$2478&gt;0,'Assumptions (Battery)'!AD$13*$G$2480,0)</f>
        <v>0</v>
      </c>
      <c r="P2643" s="160">
        <f>IF($G$2478&gt;0,'Assumptions (Battery)'!AE$13*$G$2480,0)</f>
        <v>0</v>
      </c>
      <c r="Q2643" s="160">
        <f>IF($G$2478&gt;0,'Assumptions (Battery)'!AF$13*$G$2480,0)</f>
        <v>0</v>
      </c>
      <c r="R2643" s="160">
        <f>IF($G$2478&gt;0,'Assumptions (Battery)'!AG$13*$G$2480,0)</f>
        <v>0</v>
      </c>
      <c r="S2643" s="160">
        <f>IF($G$2478&gt;0,'Assumptions (Battery)'!AH$13*$G$2480,0)</f>
        <v>0</v>
      </c>
      <c r="T2643" s="280">
        <f>IF($G$2478&gt;0,'Assumptions (Battery)'!AI$13*$G$2480,0)</f>
        <v>0</v>
      </c>
      <c r="U2643" s="160">
        <f>IF($G$2478&gt;0,'Assumptions (Battery)'!AJ$13*$G$2480,0)</f>
        <v>0</v>
      </c>
      <c r="V2643" s="160">
        <f>IF($G$2478&gt;0,'Assumptions (Battery)'!AK$13*$G$2480,0)</f>
        <v>0</v>
      </c>
      <c r="W2643" s="160"/>
      <c r="X2643" s="160"/>
      <c r="Y2643" s="160"/>
      <c r="Z2643" s="160"/>
      <c r="AA2643" s="160"/>
      <c r="AB2643" s="160"/>
      <c r="AC2643" s="160"/>
      <c r="AD2643" s="160"/>
      <c r="AE2643" s="160"/>
      <c r="AF2643" s="160"/>
      <c r="AG2643" s="160"/>
      <c r="AH2643" s="356"/>
      <c r="AI2643" s="356"/>
      <c r="AJ2643" s="356"/>
      <c r="AK2643" s="356"/>
      <c r="AL2643" s="356"/>
      <c r="AM2643" s="356"/>
      <c r="AN2643" s="356"/>
      <c r="AO2643" s="356"/>
      <c r="AP2643" s="356"/>
      <c r="AQ2643" s="356"/>
      <c r="AR2643" s="356"/>
      <c r="AS2643" s="356"/>
      <c r="AT2643" s="356"/>
      <c r="AU2643" s="356"/>
      <c r="AV2643" s="356"/>
      <c r="AW2643" s="356"/>
      <c r="AX2643" s="356"/>
      <c r="AY2643" s="356"/>
      <c r="AZ2643" s="356"/>
      <c r="BA2643" s="356"/>
    </row>
    <row r="2644" ht="15.75" hidden="1" customHeight="1" outlineLevel="1">
      <c r="A2644" s="353"/>
      <c r="B2644" s="38"/>
      <c r="C2644" s="160"/>
      <c r="D2644" s="160"/>
      <c r="E2644" s="160"/>
      <c r="F2644" s="160"/>
      <c r="G2644" s="160"/>
      <c r="H2644" s="160">
        <f>IF($H$2478&gt;0,'Assumptions (Battery)'!V$13*$H$2480,0)</f>
        <v>0</v>
      </c>
      <c r="I2644" s="160">
        <f>IF($H$2478&gt;0,'Assumptions (Battery)'!W$13*$H$2480,0)</f>
        <v>0</v>
      </c>
      <c r="J2644" s="160">
        <f>IF($H$2478&gt;0,'Assumptions (Battery)'!X$13*$H$2480,0)</f>
        <v>0</v>
      </c>
      <c r="K2644" s="160">
        <f>IF($H$2478&gt;0,'Assumptions (Battery)'!Y$13*$H$2480,0)</f>
        <v>0</v>
      </c>
      <c r="L2644" s="160">
        <f>IF($H$2478&gt;0,'Assumptions (Battery)'!Z$13*$H$2480,0)</f>
        <v>0</v>
      </c>
      <c r="M2644" s="160">
        <f>IF($H$2478&gt;0,'Assumptions (Battery)'!AA$13*$H$2480,0)</f>
        <v>0</v>
      </c>
      <c r="N2644" s="160">
        <f>IF($H$2478&gt;0,'Assumptions (Battery)'!AB$13*$H$2480,0)</f>
        <v>0</v>
      </c>
      <c r="O2644" s="160">
        <f>IF($H$2478&gt;0,'Assumptions (Battery)'!AC$13*$H$2480,0)</f>
        <v>0</v>
      </c>
      <c r="P2644" s="160">
        <f>IF($H$2478&gt;0,'Assumptions (Battery)'!AD$13*$H$2480,0)</f>
        <v>0</v>
      </c>
      <c r="Q2644" s="160">
        <f>IF($H$2478&gt;0,'Assumptions (Battery)'!AE$13*$H$2480,0)</f>
        <v>0</v>
      </c>
      <c r="R2644" s="160">
        <f>IF($H$2478&gt;0,'Assumptions (Battery)'!AF$13*$H$2480,0)</f>
        <v>0</v>
      </c>
      <c r="S2644" s="160">
        <f>IF($H$2478&gt;0,'Assumptions (Battery)'!AG$13*$H$2480,0)</f>
        <v>0</v>
      </c>
      <c r="T2644" s="280">
        <f>IF($H$2478&gt;0,'Assumptions (Battery)'!AH$13*$H$2480,0)</f>
        <v>0</v>
      </c>
      <c r="U2644" s="160">
        <f>IF($H$2478&gt;0,'Assumptions (Battery)'!AI$13*$H$2480,0)</f>
        <v>0</v>
      </c>
      <c r="V2644" s="160">
        <f>IF($H$2478&gt;0,'Assumptions (Battery)'!AJ$13*$H$2480,0)</f>
        <v>0</v>
      </c>
      <c r="W2644" s="160">
        <f>IF($H$2478&gt;0,'Assumptions (Battery)'!AK$13*$H$2480,0)</f>
        <v>0</v>
      </c>
      <c r="X2644" s="160"/>
      <c r="Y2644" s="160"/>
      <c r="Z2644" s="160"/>
      <c r="AA2644" s="160"/>
      <c r="AB2644" s="160"/>
      <c r="AC2644" s="160"/>
      <c r="AD2644" s="160"/>
      <c r="AE2644" s="160"/>
      <c r="AF2644" s="160"/>
      <c r="AG2644" s="160"/>
      <c r="AH2644" s="356"/>
      <c r="AI2644" s="356"/>
      <c r="AJ2644" s="356"/>
      <c r="AK2644" s="356"/>
      <c r="AL2644" s="356"/>
      <c r="AM2644" s="356"/>
      <c r="AN2644" s="356"/>
      <c r="AO2644" s="356"/>
      <c r="AP2644" s="356"/>
      <c r="AQ2644" s="356"/>
      <c r="AR2644" s="356"/>
      <c r="AS2644" s="356"/>
      <c r="AT2644" s="356"/>
      <c r="AU2644" s="356"/>
      <c r="AV2644" s="356"/>
      <c r="AW2644" s="356"/>
      <c r="AX2644" s="356"/>
      <c r="AY2644" s="356"/>
      <c r="AZ2644" s="356"/>
      <c r="BA2644" s="356"/>
    </row>
    <row r="2645" ht="15.75" hidden="1" customHeight="1" outlineLevel="1">
      <c r="A2645" s="353"/>
      <c r="B2645" s="38"/>
      <c r="C2645" s="160"/>
      <c r="D2645" s="160"/>
      <c r="E2645" s="160"/>
      <c r="F2645" s="160"/>
      <c r="G2645" s="160"/>
      <c r="H2645" s="160"/>
      <c r="I2645" s="160">
        <f>IF($I$2478&gt;0,'Assumptions (Battery)'!V$13*$I$2480,0)</f>
        <v>0</v>
      </c>
      <c r="J2645" s="160">
        <f>IF($I$2478&gt;0,'Assumptions (Battery)'!W$13*$I$2480,0)</f>
        <v>0</v>
      </c>
      <c r="K2645" s="160">
        <f>IF($I$2478&gt;0,'Assumptions (Battery)'!X$13*$I$2480,0)</f>
        <v>0</v>
      </c>
      <c r="L2645" s="160">
        <f>IF($I$2478&gt;0,'Assumptions (Battery)'!Y$13*$I$2480,0)</f>
        <v>0</v>
      </c>
      <c r="M2645" s="160">
        <f>IF($I$2478&gt;0,'Assumptions (Battery)'!Z$13*$I$2480,0)</f>
        <v>0</v>
      </c>
      <c r="N2645" s="160">
        <f>IF($I$2478&gt;0,'Assumptions (Battery)'!AA$13*$I$2480,0)</f>
        <v>0</v>
      </c>
      <c r="O2645" s="160">
        <f>IF($I$2478&gt;0,'Assumptions (Battery)'!AB$13*$I$2480,0)</f>
        <v>0</v>
      </c>
      <c r="P2645" s="160">
        <f>IF($I$2478&gt;0,'Assumptions (Battery)'!AC$13*$I$2480,0)</f>
        <v>0</v>
      </c>
      <c r="Q2645" s="160">
        <f>IF($I$2478&gt;0,'Assumptions (Battery)'!AD$13*$I$2480,0)</f>
        <v>0</v>
      </c>
      <c r="R2645" s="160">
        <f>IF($I$2478&gt;0,'Assumptions (Battery)'!AE$13*$I$2480,0)</f>
        <v>0</v>
      </c>
      <c r="S2645" s="160">
        <f>IF($I$2478&gt;0,'Assumptions (Battery)'!AF$13*$I$2480,0)</f>
        <v>0</v>
      </c>
      <c r="T2645" s="280">
        <f>IF($I$2478&gt;0,'Assumptions (Battery)'!AG$13*$I$2480,0)</f>
        <v>0</v>
      </c>
      <c r="U2645" s="160">
        <f>IF($I$2478&gt;0,'Assumptions (Battery)'!AH$13*$I$2480,0)</f>
        <v>0</v>
      </c>
      <c r="V2645" s="160">
        <f>IF($I$2478&gt;0,'Assumptions (Battery)'!AI$13*$I$2480,0)</f>
        <v>0</v>
      </c>
      <c r="W2645" s="160">
        <f>IF($I$2478&gt;0,'Assumptions (Battery)'!AJ$13*$I$2480,0)</f>
        <v>0</v>
      </c>
      <c r="X2645" s="160">
        <f>IF($I$2478&gt;0,'Assumptions (Battery)'!AK$13*$I$2480,0)</f>
        <v>0</v>
      </c>
      <c r="Y2645" s="160"/>
      <c r="Z2645" s="160"/>
      <c r="AA2645" s="160"/>
      <c r="AB2645" s="160"/>
      <c r="AC2645" s="160"/>
      <c r="AD2645" s="160"/>
      <c r="AE2645" s="160"/>
      <c r="AF2645" s="160"/>
      <c r="AG2645" s="160"/>
      <c r="AH2645" s="356"/>
      <c r="AI2645" s="356"/>
      <c r="AJ2645" s="356"/>
      <c r="AK2645" s="356"/>
      <c r="AL2645" s="356"/>
      <c r="AM2645" s="356"/>
      <c r="AN2645" s="356"/>
      <c r="AO2645" s="356"/>
      <c r="AP2645" s="356"/>
      <c r="AQ2645" s="356"/>
      <c r="AR2645" s="356"/>
      <c r="AS2645" s="356"/>
      <c r="AT2645" s="356"/>
      <c r="AU2645" s="356"/>
      <c r="AV2645" s="356"/>
      <c r="AW2645" s="356"/>
      <c r="AX2645" s="356"/>
      <c r="AY2645" s="356"/>
      <c r="AZ2645" s="356"/>
      <c r="BA2645" s="356"/>
    </row>
    <row r="2646" ht="15.75" hidden="1" customHeight="1" outlineLevel="1">
      <c r="A2646" s="353"/>
      <c r="B2646" s="38"/>
      <c r="C2646" s="160"/>
      <c r="D2646" s="160"/>
      <c r="E2646" s="160"/>
      <c r="F2646" s="160"/>
      <c r="G2646" s="160"/>
      <c r="H2646" s="160"/>
      <c r="I2646" s="160"/>
      <c r="J2646" s="160">
        <f>IF($J$2478&gt;0,'Assumptions (Battery)'!V$13*$J$2480,0)</f>
        <v>0</v>
      </c>
      <c r="K2646" s="160">
        <f>IF($J$2478&gt;0,'Assumptions (Battery)'!W$13*$J$2480,0)</f>
        <v>0</v>
      </c>
      <c r="L2646" s="160">
        <f>IF($J$2478&gt;0,'Assumptions (Battery)'!X$13*$J$2480,0)</f>
        <v>0</v>
      </c>
      <c r="M2646" s="160">
        <f>IF($J$2478&gt;0,'Assumptions (Battery)'!Y$13*$J$2480,0)</f>
        <v>0</v>
      </c>
      <c r="N2646" s="160">
        <f>IF($J$2478&gt;0,'Assumptions (Battery)'!Z$13*$J$2480,0)</f>
        <v>0</v>
      </c>
      <c r="O2646" s="160">
        <f>IF($J$2478&gt;0,'Assumptions (Battery)'!AA$13*$J$2480,0)</f>
        <v>0</v>
      </c>
      <c r="P2646" s="160">
        <f>IF($J$2478&gt;0,'Assumptions (Battery)'!AB$13*$J$2480,0)</f>
        <v>0</v>
      </c>
      <c r="Q2646" s="160">
        <f>IF($J$2478&gt;0,'Assumptions (Battery)'!AC$13*$J$2480,0)</f>
        <v>0</v>
      </c>
      <c r="R2646" s="160">
        <f>IF($J$2478&gt;0,'Assumptions (Battery)'!AD$13*$J$2480,0)</f>
        <v>0</v>
      </c>
      <c r="S2646" s="160">
        <f>IF($J$2478&gt;0,'Assumptions (Battery)'!AE$13*$J$2480,0)</f>
        <v>0</v>
      </c>
      <c r="T2646" s="280">
        <f>IF($J$2478&gt;0,'Assumptions (Battery)'!AF$13*$J$2480,0)</f>
        <v>0</v>
      </c>
      <c r="U2646" s="160">
        <f>IF($J$2478&gt;0,'Assumptions (Battery)'!AG$13*$J$2480,0)</f>
        <v>0</v>
      </c>
      <c r="V2646" s="160">
        <f>IF($J$2478&gt;0,'Assumptions (Battery)'!AH$13*$J$2480,0)</f>
        <v>0</v>
      </c>
      <c r="W2646" s="160">
        <f>IF($J$2478&gt;0,'Assumptions (Battery)'!AI$13*$J$2480,0)</f>
        <v>0</v>
      </c>
      <c r="X2646" s="160">
        <f>IF($J$2478&gt;0,'Assumptions (Battery)'!AJ$13*$J$2480,0)</f>
        <v>0</v>
      </c>
      <c r="Y2646" s="160">
        <f>IF($J$2478&gt;0,'Assumptions (Battery)'!AK$13*$J$2480,0)</f>
        <v>0</v>
      </c>
      <c r="Z2646" s="160"/>
      <c r="AA2646" s="160"/>
      <c r="AB2646" s="160"/>
      <c r="AC2646" s="160"/>
      <c r="AD2646" s="160"/>
      <c r="AE2646" s="160"/>
      <c r="AF2646" s="160"/>
      <c r="AG2646" s="160"/>
      <c r="AH2646" s="160"/>
      <c r="AI2646" s="356"/>
      <c r="AJ2646" s="356"/>
      <c r="AK2646" s="356"/>
      <c r="AL2646" s="356"/>
      <c r="AM2646" s="356"/>
      <c r="AN2646" s="356"/>
      <c r="AO2646" s="356"/>
      <c r="AP2646" s="356"/>
      <c r="AQ2646" s="356"/>
      <c r="AR2646" s="356"/>
      <c r="AS2646" s="356"/>
      <c r="AT2646" s="356"/>
      <c r="AU2646" s="356"/>
      <c r="AV2646" s="356"/>
      <c r="AW2646" s="356"/>
      <c r="AX2646" s="356"/>
      <c r="AY2646" s="356"/>
      <c r="AZ2646" s="356"/>
      <c r="BA2646" s="356"/>
    </row>
    <row r="2647" ht="15.75" hidden="1" customHeight="1" outlineLevel="1">
      <c r="A2647" s="353"/>
      <c r="B2647" s="38"/>
      <c r="C2647" s="160"/>
      <c r="D2647" s="160"/>
      <c r="E2647" s="160"/>
      <c r="F2647" s="160"/>
      <c r="G2647" s="160"/>
      <c r="H2647" s="160"/>
      <c r="I2647" s="160"/>
      <c r="J2647" s="160"/>
      <c r="K2647" s="360">
        <f>IF($K$2478&gt;0,'Assumptions (Battery)'!V$13*$K$2480,0)</f>
        <v>0</v>
      </c>
      <c r="L2647" s="360">
        <f>IF($K$2478&gt;0,'Assumptions (Battery)'!W$13*$K$2480,0)</f>
        <v>0</v>
      </c>
      <c r="M2647" s="360">
        <f>IF($K$2478&gt;0,'Assumptions (Battery)'!X$13*$K$2480,0)</f>
        <v>0</v>
      </c>
      <c r="N2647" s="360">
        <f>IF($K$2478&gt;0,'Assumptions (Battery)'!Y$13*$K$2480,0)</f>
        <v>0</v>
      </c>
      <c r="O2647" s="360">
        <f>IF($K$2478&gt;0,'Assumptions (Battery)'!Z$13*$K$2480,0)</f>
        <v>0</v>
      </c>
      <c r="P2647" s="360">
        <f>IF($K$2478&gt;0,'Assumptions (Battery)'!AA$13*$K$2480,0)</f>
        <v>0</v>
      </c>
      <c r="Q2647" s="360">
        <f>IF($K$2478&gt;0,'Assumptions (Battery)'!AB$13*$K$2480,0)</f>
        <v>0</v>
      </c>
      <c r="R2647" s="360">
        <f>IF($K$2478&gt;0,'Assumptions (Battery)'!AC$13*$K$2480,0)</f>
        <v>0</v>
      </c>
      <c r="S2647" s="219">
        <f>IF($K$2478&gt;0,'Assumptions (Battery)'!AD$13*$K$2480,0)</f>
        <v>0</v>
      </c>
      <c r="T2647" s="280">
        <f>IF($K$2478&gt;0,'Assumptions (Battery)'!AE$13*$K$2480,0)</f>
        <v>0</v>
      </c>
      <c r="U2647" s="219">
        <f>IF($K$2478&gt;0,'Assumptions (Battery)'!AF$13*$K$2480,0)</f>
        <v>0</v>
      </c>
      <c r="V2647" s="219">
        <f>IF($K$2478&gt;0,'Assumptions (Battery)'!AG$13*$K$2480,0)</f>
        <v>0</v>
      </c>
      <c r="W2647" s="219">
        <f>IF($K$2478&gt;0,'Assumptions (Battery)'!AH$13*$K$2480,0)</f>
        <v>0</v>
      </c>
      <c r="X2647" s="160">
        <f>IF($K$2478&gt;0,'Assumptions (Battery)'!AI$13*$K$2480,0)</f>
        <v>0</v>
      </c>
      <c r="Y2647" s="160">
        <f>IF($K$2478&gt;0,'Assumptions (Battery)'!AJ$13*$K$2480,0)</f>
        <v>0</v>
      </c>
      <c r="Z2647" s="160">
        <f>IF($K$2478&gt;0,'Assumptions (Battery)'!AK$13*$K$2480,0)</f>
        <v>0</v>
      </c>
      <c r="AA2647" s="160"/>
      <c r="AB2647" s="160"/>
      <c r="AC2647" s="160"/>
      <c r="AD2647" s="160"/>
      <c r="AE2647" s="160"/>
      <c r="AF2647" s="160"/>
      <c r="AG2647" s="160"/>
      <c r="AH2647" s="160"/>
      <c r="AI2647" s="160"/>
      <c r="AJ2647" s="356"/>
      <c r="AK2647" s="356"/>
      <c r="AL2647" s="356"/>
      <c r="AM2647" s="356"/>
      <c r="AN2647" s="356"/>
      <c r="AO2647" s="356"/>
      <c r="AP2647" s="356"/>
      <c r="AQ2647" s="356"/>
      <c r="AR2647" s="356"/>
      <c r="AS2647" s="356"/>
      <c r="AT2647" s="356"/>
      <c r="AU2647" s="356"/>
      <c r="AV2647" s="356"/>
      <c r="AW2647" s="356"/>
      <c r="AX2647" s="356"/>
      <c r="AY2647" s="356"/>
      <c r="AZ2647" s="356"/>
      <c r="BA2647" s="356"/>
    </row>
    <row r="2648" ht="15.75" hidden="1" customHeight="1" outlineLevel="1">
      <c r="A2648" s="353"/>
      <c r="B2648" s="38"/>
      <c r="C2648" s="160"/>
      <c r="D2648" s="160"/>
      <c r="E2648" s="160"/>
      <c r="F2648" s="160"/>
      <c r="G2648" s="160"/>
      <c r="H2648" s="160"/>
      <c r="I2648" s="160"/>
      <c r="J2648" s="160"/>
      <c r="K2648" s="160"/>
      <c r="L2648" s="160">
        <f>IF($L$2478&gt;0,'Assumptions (Battery)'!V$13*$L$2480,0)</f>
        <v>0</v>
      </c>
      <c r="M2648" s="160">
        <f>IF($L$2478&gt;0,'Assumptions (Battery)'!W$13*$L$2480,0)</f>
        <v>0</v>
      </c>
      <c r="N2648" s="160">
        <f>IF($L$2478&gt;0,'Assumptions (Battery)'!X$13*$L$2480,0)</f>
        <v>0</v>
      </c>
      <c r="O2648" s="160">
        <f>IF($L$2478&gt;0,'Assumptions (Battery)'!Y$13*$L$2480,0)</f>
        <v>0</v>
      </c>
      <c r="P2648" s="160">
        <f>IF($L$2478&gt;0,'Assumptions (Battery)'!Z$13*$L$2480,0)</f>
        <v>0</v>
      </c>
      <c r="Q2648" s="160">
        <f>IF($L$2478&gt;0,'Assumptions (Battery)'!AA$13*$L$2480,0)</f>
        <v>0</v>
      </c>
      <c r="R2648" s="160">
        <f>IF($L$2478&gt;0,'Assumptions (Battery)'!AB$13*$L$2480,0)</f>
        <v>0</v>
      </c>
      <c r="S2648" s="160">
        <f>IF($L$2478&gt;0,'Assumptions (Battery)'!AC$13*$L$2480,0)</f>
        <v>0</v>
      </c>
      <c r="T2648" s="280">
        <f>IF($L$2478&gt;0,'Assumptions (Battery)'!AD$13*$L$2480,0)</f>
        <v>0</v>
      </c>
      <c r="U2648" s="160">
        <f>IF($L$2478&gt;0,'Assumptions (Battery)'!AE$13*$L$2480,0)</f>
        <v>0</v>
      </c>
      <c r="V2648" s="160">
        <f>IF($L$2478&gt;0,'Assumptions (Battery)'!AF$13*$L$2480,0)</f>
        <v>0</v>
      </c>
      <c r="W2648" s="160">
        <f>IF($L$2478&gt;0,'Assumptions (Battery)'!AG$13*$L$2480,0)</f>
        <v>0</v>
      </c>
      <c r="X2648" s="160">
        <f>IF($L$2478&gt;0,'Assumptions (Battery)'!AH$13*$L$2480,0)</f>
        <v>0</v>
      </c>
      <c r="Y2648" s="160">
        <f>IF($L$2478&gt;0,'Assumptions (Battery)'!AI$13*$L$2480,0)</f>
        <v>0</v>
      </c>
      <c r="Z2648" s="160">
        <f>IF($L$2478&gt;0,'Assumptions (Battery)'!AJ$13*$L$2480,0)</f>
        <v>0</v>
      </c>
      <c r="AA2648" s="160">
        <f>IF($L$2478&gt;0,'Assumptions (Battery)'!AK$13*$L$2480,0)</f>
        <v>0</v>
      </c>
      <c r="AB2648" s="160"/>
      <c r="AC2648" s="160"/>
      <c r="AD2648" s="160"/>
      <c r="AE2648" s="160"/>
      <c r="AF2648" s="160"/>
      <c r="AG2648" s="160"/>
      <c r="AH2648" s="160"/>
      <c r="AI2648" s="160"/>
      <c r="AJ2648" s="160"/>
      <c r="AK2648" s="356"/>
      <c r="AL2648" s="356"/>
      <c r="AM2648" s="356"/>
      <c r="AN2648" s="356"/>
      <c r="AO2648" s="356"/>
      <c r="AP2648" s="356"/>
      <c r="AQ2648" s="356"/>
      <c r="AR2648" s="356"/>
      <c r="AS2648" s="356"/>
      <c r="AT2648" s="356"/>
      <c r="AU2648" s="356"/>
      <c r="AV2648" s="356"/>
      <c r="AW2648" s="356"/>
      <c r="AX2648" s="356"/>
      <c r="AY2648" s="356"/>
      <c r="AZ2648" s="356"/>
      <c r="BA2648" s="356"/>
    </row>
    <row r="2649" ht="15.75" hidden="1" customHeight="1" outlineLevel="1">
      <c r="A2649" s="353"/>
      <c r="B2649" s="38"/>
      <c r="C2649" s="160"/>
      <c r="D2649" s="160"/>
      <c r="E2649" s="160"/>
      <c r="F2649" s="160"/>
      <c r="G2649" s="160"/>
      <c r="H2649" s="160"/>
      <c r="I2649" s="160"/>
      <c r="J2649" s="160"/>
      <c r="K2649" s="160"/>
      <c r="L2649" s="160"/>
      <c r="M2649" s="160">
        <f>IF($M$2478&gt;0,'Assumptions (Battery)'!V$13*$M$2480,0)</f>
        <v>0</v>
      </c>
      <c r="N2649" s="160">
        <f>IF($M$2478&gt;0,'Assumptions (Battery)'!W$13*$M$2480,0)</f>
        <v>0</v>
      </c>
      <c r="O2649" s="160">
        <f>IF($M$2478&gt;0,'Assumptions (Battery)'!X$13*$M$2480,0)</f>
        <v>0</v>
      </c>
      <c r="P2649" s="160">
        <f>IF($M$2478&gt;0,'Assumptions (Battery)'!Y$13*$M$2480,0)</f>
        <v>0</v>
      </c>
      <c r="Q2649" s="160">
        <f>IF($M$2478&gt;0,'Assumptions (Battery)'!Z$13*$M$2480,0)</f>
        <v>0</v>
      </c>
      <c r="R2649" s="160">
        <f>IF($M$2478&gt;0,'Assumptions (Battery)'!AA$13*$M$2480,0)</f>
        <v>0</v>
      </c>
      <c r="S2649" s="160">
        <f>IF($M$2478&gt;0,'Assumptions (Battery)'!AB$13*$M$2480,0)</f>
        <v>0</v>
      </c>
      <c r="T2649" s="280">
        <f>IF($M$2478&gt;0,'Assumptions (Battery)'!AC$13*$M$2480,0)</f>
        <v>0</v>
      </c>
      <c r="U2649" s="160">
        <f>IF($M$2478&gt;0,'Assumptions (Battery)'!AD$13*$M$2480,0)</f>
        <v>0</v>
      </c>
      <c r="V2649" s="160">
        <f>IF($M$2478&gt;0,'Assumptions (Battery)'!AE$13*$M$2480,0)</f>
        <v>0</v>
      </c>
      <c r="W2649" s="160">
        <f>IF($M$2478&gt;0,'Assumptions (Battery)'!AF$13*$M$2480,0)</f>
        <v>0</v>
      </c>
      <c r="X2649" s="160">
        <f>IF($M$2478&gt;0,'Assumptions (Battery)'!AG$13*$M$2480,0)</f>
        <v>0</v>
      </c>
      <c r="Y2649" s="160">
        <f>IF($M$2478&gt;0,'Assumptions (Battery)'!AH$13*$M$2480,0)</f>
        <v>0</v>
      </c>
      <c r="Z2649" s="160">
        <f>IF($M$2478&gt;0,'Assumptions (Battery)'!AI$13*$M$2480,0)</f>
        <v>0</v>
      </c>
      <c r="AA2649" s="160">
        <f>IF($M$2478&gt;0,'Assumptions (Battery)'!AJ$13*$M$2480,0)</f>
        <v>0</v>
      </c>
      <c r="AB2649" s="160">
        <f>IF($M$2478&gt;0,'Assumptions (Battery)'!AK$13*$M$2480,0)</f>
        <v>0</v>
      </c>
      <c r="AC2649" s="160"/>
      <c r="AD2649" s="160"/>
      <c r="AE2649" s="160"/>
      <c r="AF2649" s="160"/>
      <c r="AG2649" s="160"/>
      <c r="AH2649" s="160"/>
      <c r="AI2649" s="160"/>
      <c r="AJ2649" s="160"/>
      <c r="AK2649" s="160"/>
      <c r="AL2649" s="356"/>
      <c r="AM2649" s="356"/>
      <c r="AN2649" s="356"/>
      <c r="AO2649" s="356"/>
      <c r="AP2649" s="356"/>
      <c r="AQ2649" s="356"/>
      <c r="AR2649" s="356"/>
      <c r="AS2649" s="356"/>
      <c r="AT2649" s="356"/>
      <c r="AU2649" s="356"/>
      <c r="AV2649" s="356"/>
      <c r="AW2649" s="356"/>
      <c r="AX2649" s="356"/>
      <c r="AY2649" s="356"/>
      <c r="AZ2649" s="356"/>
      <c r="BA2649" s="356"/>
    </row>
    <row r="2650" ht="15.75" hidden="1" customHeight="1" outlineLevel="1">
      <c r="A2650" s="353"/>
      <c r="B2650" s="38"/>
      <c r="C2650" s="160"/>
      <c r="D2650" s="160"/>
      <c r="E2650" s="160"/>
      <c r="F2650" s="160"/>
      <c r="G2650" s="160"/>
      <c r="H2650" s="160"/>
      <c r="I2650" s="160"/>
      <c r="J2650" s="160"/>
      <c r="K2650" s="160"/>
      <c r="L2650" s="160"/>
      <c r="M2650" s="160"/>
      <c r="N2650" s="160">
        <f>IF($N$2478&gt;0,'Assumptions (Battery)'!V$13*$N$2480,0)</f>
        <v>0</v>
      </c>
      <c r="O2650" s="160">
        <f>IF($N$2478&gt;0,'Assumptions (Battery)'!W$13*$N$2480,0)</f>
        <v>0</v>
      </c>
      <c r="P2650" s="160">
        <f>IF($N$2478&gt;0,'Assumptions (Battery)'!X$13*$N$2480,0)</f>
        <v>0</v>
      </c>
      <c r="Q2650" s="160">
        <f>IF($N$2478&gt;0,'Assumptions (Battery)'!Y$13*$N$2480,0)</f>
        <v>0</v>
      </c>
      <c r="R2650" s="160">
        <f>IF($N$2478&gt;0,'Assumptions (Battery)'!Z$13*$N$2480,0)</f>
        <v>0</v>
      </c>
      <c r="S2650" s="160">
        <f>IF($N$2478&gt;0,'Assumptions (Battery)'!AA$13*$N$2480,0)</f>
        <v>0</v>
      </c>
      <c r="T2650" s="280">
        <f>IF($N$2478&gt;0,'Assumptions (Battery)'!AB$13*$N$2480,0)</f>
        <v>0</v>
      </c>
      <c r="U2650" s="160">
        <f>IF($N$2478&gt;0,'Assumptions (Battery)'!AC$13*$N$2480,0)</f>
        <v>0</v>
      </c>
      <c r="V2650" s="160">
        <f>IF($N$2478&gt;0,'Assumptions (Battery)'!AD$13*$N$2480,0)</f>
        <v>0</v>
      </c>
      <c r="W2650" s="160">
        <f>IF($N$2478&gt;0,'Assumptions (Battery)'!AE$13*$N$2480,0)</f>
        <v>0</v>
      </c>
      <c r="X2650" s="160">
        <f>IF($N$2478&gt;0,'Assumptions (Battery)'!AF$13*$N$2480,0)</f>
        <v>0</v>
      </c>
      <c r="Y2650" s="160">
        <f>IF($N$2478&gt;0,'Assumptions (Battery)'!AG$13*$N$2480,0)</f>
        <v>0</v>
      </c>
      <c r="Z2650" s="160">
        <f>IF($N$2478&gt;0,'Assumptions (Battery)'!AH$13*$N$2480,0)</f>
        <v>0</v>
      </c>
      <c r="AA2650" s="160">
        <f>IF($N$2478&gt;0,'Assumptions (Battery)'!AI$13*$N$2480,0)</f>
        <v>0</v>
      </c>
      <c r="AB2650" s="160">
        <f>IF($N$2478&gt;0,'Assumptions (Battery)'!AJ$13*$N$2480,0)</f>
        <v>0</v>
      </c>
      <c r="AC2650" s="160">
        <f>IF($N$2478&gt;0,'Assumptions (Battery)'!AK$13*$N$2480,0)</f>
        <v>0</v>
      </c>
      <c r="AD2650" s="160"/>
      <c r="AE2650" s="160"/>
      <c r="AF2650" s="160"/>
      <c r="AG2650" s="160"/>
      <c r="AH2650" s="160"/>
      <c r="AI2650" s="160"/>
      <c r="AJ2650" s="160"/>
      <c r="AK2650" s="160"/>
      <c r="AL2650" s="356"/>
      <c r="AM2650" s="356"/>
      <c r="AN2650" s="356"/>
      <c r="AO2650" s="356"/>
      <c r="AP2650" s="356"/>
      <c r="AQ2650" s="356"/>
      <c r="AR2650" s="356"/>
      <c r="AS2650" s="356"/>
      <c r="AT2650" s="356"/>
      <c r="AU2650" s="356"/>
      <c r="AV2650" s="356"/>
      <c r="AW2650" s="356"/>
      <c r="AX2650" s="356"/>
      <c r="AY2650" s="356"/>
      <c r="AZ2650" s="356"/>
      <c r="BA2650" s="356"/>
    </row>
    <row r="2651" ht="15.75" hidden="1" customHeight="1" outlineLevel="1">
      <c r="A2651" s="353"/>
      <c r="B2651" s="38"/>
      <c r="C2651" s="160"/>
      <c r="D2651" s="160"/>
      <c r="E2651" s="160"/>
      <c r="F2651" s="160"/>
      <c r="G2651" s="160"/>
      <c r="H2651" s="160"/>
      <c r="I2651" s="160"/>
      <c r="J2651" s="160"/>
      <c r="K2651" s="160"/>
      <c r="L2651" s="160"/>
      <c r="M2651" s="160"/>
      <c r="N2651" s="160"/>
      <c r="O2651" s="160">
        <f>IF($O$2478&gt;0,'Assumptions (Battery)'!V$13*$O$2480,0)</f>
        <v>0</v>
      </c>
      <c r="P2651" s="160">
        <f>IF($O$2478&gt;0,'Assumptions (Battery)'!W$13*$O$2480,0)</f>
        <v>0</v>
      </c>
      <c r="Q2651" s="160">
        <f>IF($O$2478&gt;0,'Assumptions (Battery)'!X$13*$O$2480,0)</f>
        <v>0</v>
      </c>
      <c r="R2651" s="160">
        <f>IF($O$2478&gt;0,'Assumptions (Battery)'!Y$13*$O$2480,0)</f>
        <v>0</v>
      </c>
      <c r="S2651" s="160">
        <f>IF($O$2478&gt;0,'Assumptions (Battery)'!Z$13*$O$2480,0)</f>
        <v>0</v>
      </c>
      <c r="T2651" s="280">
        <f>IF($O$2478&gt;0,'Assumptions (Battery)'!AA$13*$O$2480,0)</f>
        <v>0</v>
      </c>
      <c r="U2651" s="160">
        <f>IF($O$2478&gt;0,'Assumptions (Battery)'!AB$13*$O$2480,0)</f>
        <v>0</v>
      </c>
      <c r="V2651" s="160">
        <f>IF($O$2478&gt;0,'Assumptions (Battery)'!AC$13*$O$2480,0)</f>
        <v>0</v>
      </c>
      <c r="W2651" s="160">
        <f>IF($O$2478&gt;0,'Assumptions (Battery)'!AD$13*$O$2480,0)</f>
        <v>0</v>
      </c>
      <c r="X2651" s="160">
        <f>IF($O$2478&gt;0,'Assumptions (Battery)'!AE$13*$O$2480,0)</f>
        <v>0</v>
      </c>
      <c r="Y2651" s="160">
        <f>IF($O$2478&gt;0,'Assumptions (Battery)'!AF$13*$O$2480,0)</f>
        <v>0</v>
      </c>
      <c r="Z2651" s="160">
        <f>IF($O$2478&gt;0,'Assumptions (Battery)'!AG$13*$O$2480,0)</f>
        <v>0</v>
      </c>
      <c r="AA2651" s="160">
        <f>IF($O$2478&gt;0,'Assumptions (Battery)'!AH$13*$O$2480,0)</f>
        <v>0</v>
      </c>
      <c r="AB2651" s="160">
        <f>IF($O$2478&gt;0,'Assumptions (Battery)'!AI$13*$O$2480,0)</f>
        <v>0</v>
      </c>
      <c r="AC2651" s="160">
        <f>IF($O$2478&gt;0,'Assumptions (Battery)'!AJ$13*$O$2480,0)</f>
        <v>0</v>
      </c>
      <c r="AD2651" s="160">
        <f>IF($O$2478&gt;0,'Assumptions (Battery)'!AK$13*$O$2480,0)</f>
        <v>0</v>
      </c>
      <c r="AE2651" s="160"/>
      <c r="AF2651" s="160"/>
      <c r="AG2651" s="160"/>
      <c r="AH2651" s="160"/>
      <c r="AI2651" s="160"/>
      <c r="AJ2651" s="160"/>
      <c r="AK2651" s="160"/>
      <c r="AL2651" s="356"/>
      <c r="AM2651" s="356"/>
      <c r="AN2651" s="356"/>
      <c r="AO2651" s="356"/>
      <c r="AP2651" s="356"/>
      <c r="AQ2651" s="356"/>
      <c r="AR2651" s="356"/>
      <c r="AS2651" s="356"/>
      <c r="AT2651" s="356"/>
      <c r="AU2651" s="356"/>
      <c r="AV2651" s="356"/>
      <c r="AW2651" s="356"/>
      <c r="AX2651" s="356"/>
      <c r="AY2651" s="356"/>
      <c r="AZ2651" s="356"/>
      <c r="BA2651" s="356"/>
    </row>
    <row r="2652" ht="15.75" hidden="1" customHeight="1" outlineLevel="1">
      <c r="A2652" s="353"/>
      <c r="B2652" s="38"/>
      <c r="C2652" s="160"/>
      <c r="D2652" s="160"/>
      <c r="E2652" s="160"/>
      <c r="F2652" s="160"/>
      <c r="G2652" s="160"/>
      <c r="H2652" s="177"/>
      <c r="I2652" s="160"/>
      <c r="J2652" s="160"/>
      <c r="K2652" s="160"/>
      <c r="L2652" s="160"/>
      <c r="M2652" s="160"/>
      <c r="N2652" s="160"/>
      <c r="O2652" s="160"/>
      <c r="P2652" s="177">
        <f>IF($P$2478&gt;0,'Assumptions (Battery)'!V$13*$P$2480,0)</f>
        <v>0</v>
      </c>
      <c r="Q2652" s="177">
        <f>IF($P$2478&gt;0,'Assumptions (Battery)'!W$13*$P$2480,0)</f>
        <v>0</v>
      </c>
      <c r="R2652" s="177">
        <f>IF($P$2478&gt;0,'Assumptions (Battery)'!X$13*$P$2480,0)</f>
        <v>0</v>
      </c>
      <c r="S2652" s="177">
        <f>IF($P$2478&gt;0,'Assumptions (Battery)'!Y$13*$P$2480,0)</f>
        <v>0</v>
      </c>
      <c r="T2652" s="280">
        <f>IF($P$2478&gt;0,'Assumptions (Battery)'!Z$13*$P$2480,0)</f>
        <v>0</v>
      </c>
      <c r="U2652" s="177">
        <f>IF($P$2478&gt;0,'Assumptions (Battery)'!AA$13*$P$2480,0)</f>
        <v>0</v>
      </c>
      <c r="V2652" s="177">
        <f>IF($P$2478&gt;0,'Assumptions (Battery)'!AB$13*$P$2480,0)</f>
        <v>0</v>
      </c>
      <c r="W2652" s="177">
        <f>IF($P$2478&gt;0,'Assumptions (Battery)'!AC$13*$P$2480,0)</f>
        <v>0</v>
      </c>
      <c r="X2652" s="160">
        <f>IF($P$2478&gt;0,'Assumptions (Battery)'!AD$13*$P$2480,0)</f>
        <v>0</v>
      </c>
      <c r="Y2652" s="160">
        <f>IF($P$2478&gt;0,'Assumptions (Battery)'!AE$13*$P$2480,0)</f>
        <v>0</v>
      </c>
      <c r="Z2652" s="160">
        <f>IF($P$2478&gt;0,'Assumptions (Battery)'!AF$13*$P$2480,0)</f>
        <v>0</v>
      </c>
      <c r="AA2652" s="160">
        <f>IF($P$2478&gt;0,'Assumptions (Battery)'!AG$13*$P$2480,0)</f>
        <v>0</v>
      </c>
      <c r="AB2652" s="160">
        <f>IF($P$2478&gt;0,'Assumptions (Battery)'!AH$13*$P$2480,0)</f>
        <v>0</v>
      </c>
      <c r="AC2652" s="160">
        <f>IF($P$2478&gt;0,'Assumptions (Battery)'!AI$13*$P$2480,0)</f>
        <v>0</v>
      </c>
      <c r="AD2652" s="160">
        <f>IF($P$2478&gt;0,'Assumptions (Battery)'!AJ$13*$P$2480,0)</f>
        <v>0</v>
      </c>
      <c r="AE2652" s="160">
        <f>IF($P$2478&gt;0,'Assumptions (Battery)'!AK$13*$P$2480,0)</f>
        <v>0</v>
      </c>
      <c r="AF2652" s="160"/>
      <c r="AG2652" s="160"/>
      <c r="AH2652" s="160"/>
      <c r="AI2652" s="160"/>
      <c r="AJ2652" s="160"/>
      <c r="AK2652" s="160"/>
      <c r="AL2652" s="356"/>
      <c r="AM2652" s="356"/>
      <c r="AN2652" s="356"/>
      <c r="AO2652" s="356"/>
      <c r="AP2652" s="356"/>
      <c r="AQ2652" s="356"/>
      <c r="AR2652" s="356"/>
      <c r="AS2652" s="356"/>
      <c r="AT2652" s="356"/>
      <c r="AU2652" s="356"/>
      <c r="AV2652" s="356"/>
      <c r="AW2652" s="356"/>
      <c r="AX2652" s="356"/>
      <c r="AY2652" s="356"/>
      <c r="AZ2652" s="356"/>
      <c r="BA2652" s="356"/>
    </row>
    <row r="2653" ht="15.75" hidden="1" customHeight="1" outlineLevel="1">
      <c r="A2653" s="353"/>
      <c r="B2653" s="38"/>
      <c r="C2653" s="160"/>
      <c r="D2653" s="160"/>
      <c r="E2653" s="160"/>
      <c r="F2653" s="160"/>
      <c r="G2653" s="160"/>
      <c r="H2653" s="160"/>
      <c r="I2653" s="160"/>
      <c r="J2653" s="160"/>
      <c r="K2653" s="160"/>
      <c r="L2653" s="160"/>
      <c r="M2653" s="160"/>
      <c r="N2653" s="160"/>
      <c r="O2653" s="160"/>
      <c r="P2653" s="179"/>
      <c r="Q2653" s="160">
        <f>IF($Q$2478&gt;0,'Assumptions (Battery)'!V$13*$Q$2480,0)</f>
        <v>0</v>
      </c>
      <c r="R2653" s="160">
        <f>IF($Q$2478&gt;0,'Assumptions (Battery)'!W$13*$Q$2480,0)</f>
        <v>0</v>
      </c>
      <c r="S2653" s="160">
        <f>IF($Q$2478&gt;0,'Assumptions (Battery)'!X$13*$Q$2480,0)</f>
        <v>0</v>
      </c>
      <c r="T2653" s="280">
        <f>IF($Q$2478&gt;0,'Assumptions (Battery)'!Y$13*$Q$2480,0)</f>
        <v>0</v>
      </c>
      <c r="U2653" s="160">
        <f>IF($Q$2478&gt;0,'Assumptions (Battery)'!Z$13*$Q$2480,0)</f>
        <v>0</v>
      </c>
      <c r="V2653" s="160">
        <f>IF($Q$2478&gt;0,'Assumptions (Battery)'!AA$13*$Q$2480,0)</f>
        <v>0</v>
      </c>
      <c r="W2653" s="160">
        <f>IF($Q$2478&gt;0,'Assumptions (Battery)'!AB$13*$Q$2480,0)</f>
        <v>0</v>
      </c>
      <c r="X2653" s="160">
        <f>IF($Q$2478&gt;0,'Assumptions (Battery)'!AC$13*$Q$2480,0)</f>
        <v>0</v>
      </c>
      <c r="Y2653" s="160">
        <f>IF($Q$2478&gt;0,'Assumptions (Battery)'!AD$13*$Q$2480,0)</f>
        <v>0</v>
      </c>
      <c r="Z2653" s="160">
        <f>IF($Q$2478&gt;0,'Assumptions (Battery)'!AE$13*$Q$2480,0)</f>
        <v>0</v>
      </c>
      <c r="AA2653" s="160">
        <f>IF($Q$2478&gt;0,'Assumptions (Battery)'!AF$13*$Q$2480,0)</f>
        <v>0</v>
      </c>
      <c r="AB2653" s="160">
        <f>IF($Q$2478&gt;0,'Assumptions (Battery)'!AG$13*$Q$2480,0)</f>
        <v>0</v>
      </c>
      <c r="AC2653" s="160">
        <f>IF($Q$2478&gt;0,'Assumptions (Battery)'!AH$13*$Q$2480,0)</f>
        <v>0</v>
      </c>
      <c r="AD2653" s="160">
        <f>IF($Q$2478&gt;0,'Assumptions (Battery)'!AI$13*$Q$2480,0)</f>
        <v>0</v>
      </c>
      <c r="AE2653" s="160">
        <f>IF($Q$2478&gt;0,'Assumptions (Battery)'!AJ$13*$Q$2480,0)</f>
        <v>0</v>
      </c>
      <c r="AF2653" s="160">
        <f>IF($Q$2478&gt;0,'Assumptions (Battery)'!AK$13*$Q$2480,0)</f>
        <v>0</v>
      </c>
      <c r="AG2653" s="160"/>
      <c r="AH2653" s="160"/>
      <c r="AI2653" s="160"/>
      <c r="AJ2653" s="160"/>
      <c r="AK2653" s="160"/>
      <c r="AL2653" s="356"/>
      <c r="AM2653" s="356"/>
      <c r="AN2653" s="356"/>
      <c r="AO2653" s="356"/>
      <c r="AP2653" s="356"/>
      <c r="AQ2653" s="356"/>
      <c r="AR2653" s="356"/>
      <c r="AS2653" s="356"/>
      <c r="AT2653" s="356"/>
      <c r="AU2653" s="356"/>
      <c r="AV2653" s="356"/>
      <c r="AW2653" s="356"/>
      <c r="AX2653" s="356"/>
      <c r="AY2653" s="356"/>
      <c r="AZ2653" s="356"/>
      <c r="BA2653" s="356"/>
    </row>
    <row r="2654" ht="15.75" hidden="1" customHeight="1" outlineLevel="1">
      <c r="A2654" s="353"/>
      <c r="B2654" s="38"/>
      <c r="C2654" s="160"/>
      <c r="D2654" s="160"/>
      <c r="E2654" s="160"/>
      <c r="F2654" s="160"/>
      <c r="G2654" s="160"/>
      <c r="H2654" s="160"/>
      <c r="I2654" s="160"/>
      <c r="J2654" s="160"/>
      <c r="K2654" s="160"/>
      <c r="L2654" s="160"/>
      <c r="M2654" s="160"/>
      <c r="N2654" s="160"/>
      <c r="O2654" s="160"/>
      <c r="P2654" s="179"/>
      <c r="Q2654" s="160"/>
      <c r="R2654" s="177">
        <f>IF($R$2478&gt;0,'Assumptions (Battery)'!V$13*$R$2480,0)</f>
        <v>0</v>
      </c>
      <c r="S2654" s="177">
        <f>IF($R$2478&gt;0,'Assumptions (Battery)'!W$13*$R$2480,0)</f>
        <v>0</v>
      </c>
      <c r="T2654" s="280">
        <f>IF($R$2478&gt;0,'Assumptions (Battery)'!X$13*$R$2480,0)</f>
        <v>0</v>
      </c>
      <c r="U2654" s="177">
        <f>IF($R$2478&gt;0,'Assumptions (Battery)'!Y$13*$R$2480,0)</f>
        <v>0</v>
      </c>
      <c r="V2654" s="177">
        <f>IF($R$2478&gt;0,'Assumptions (Battery)'!Z$13*$R$2480,0)</f>
        <v>0</v>
      </c>
      <c r="W2654" s="177">
        <f>IF($R$2478&gt;0,'Assumptions (Battery)'!AA$13*$R$2480,0)</f>
        <v>0</v>
      </c>
      <c r="X2654" s="160">
        <f>IF($R$2478&gt;0,'Assumptions (Battery)'!AB$13*$R$2480,0)</f>
        <v>0</v>
      </c>
      <c r="Y2654" s="160">
        <f>IF($R$2478&gt;0,'Assumptions (Battery)'!AC$13*$R$2480,0)</f>
        <v>0</v>
      </c>
      <c r="Z2654" s="160">
        <f>IF($R$2478&gt;0,'Assumptions (Battery)'!AD$13*$R$2480,0)</f>
        <v>0</v>
      </c>
      <c r="AA2654" s="160">
        <f>IF($R$2478&gt;0,'Assumptions (Battery)'!AE$13*$R$2480,0)</f>
        <v>0</v>
      </c>
      <c r="AB2654" s="160">
        <f>IF($R$2478&gt;0,'Assumptions (Battery)'!AF$13*$R$2480,0)</f>
        <v>0</v>
      </c>
      <c r="AC2654" s="160">
        <f>IF($R$2478&gt;0,'Assumptions (Battery)'!AG$13*$R$2480,0)</f>
        <v>0</v>
      </c>
      <c r="AD2654" s="160">
        <f>IF($R$2478&gt;0,'Assumptions (Battery)'!AH$13*$R$2480,0)</f>
        <v>0</v>
      </c>
      <c r="AE2654" s="160">
        <f>IF($R$2478&gt;0,'Assumptions (Battery)'!AI$13*$R$2480,0)</f>
        <v>0</v>
      </c>
      <c r="AF2654" s="160">
        <f>IF($R$2478&gt;0,'Assumptions (Battery)'!AJ$13*$R$2480,0)</f>
        <v>0</v>
      </c>
      <c r="AG2654" s="160">
        <f>IF($R$2478&gt;0,'Assumptions (Battery)'!AK$13*$R$2480,0)</f>
        <v>0</v>
      </c>
      <c r="AH2654" s="160"/>
      <c r="AI2654" s="160"/>
      <c r="AJ2654" s="160"/>
      <c r="AK2654" s="160"/>
      <c r="AL2654" s="356"/>
      <c r="AM2654" s="356"/>
      <c r="AN2654" s="356"/>
      <c r="AO2654" s="356"/>
      <c r="AP2654" s="356"/>
      <c r="AQ2654" s="356"/>
      <c r="AR2654" s="356"/>
      <c r="AS2654" s="356"/>
      <c r="AT2654" s="356"/>
      <c r="AU2654" s="356"/>
      <c r="AV2654" s="356"/>
      <c r="AW2654" s="356"/>
      <c r="AX2654" s="356"/>
      <c r="AY2654" s="356"/>
      <c r="AZ2654" s="356"/>
      <c r="BA2654" s="356"/>
    </row>
    <row r="2655" ht="15.75" hidden="1" customHeight="1" outlineLevel="1">
      <c r="A2655" s="353"/>
      <c r="B2655" s="38"/>
      <c r="C2655" s="160"/>
      <c r="D2655" s="160"/>
      <c r="E2655" s="160"/>
      <c r="F2655" s="160"/>
      <c r="G2655" s="160"/>
      <c r="H2655" s="160"/>
      <c r="I2655" s="160"/>
      <c r="J2655" s="160"/>
      <c r="K2655" s="160"/>
      <c r="L2655" s="160"/>
      <c r="M2655" s="160"/>
      <c r="N2655" s="160"/>
      <c r="O2655" s="160"/>
      <c r="P2655" s="179"/>
      <c r="Q2655" s="160"/>
      <c r="R2655" s="177"/>
      <c r="S2655" s="160">
        <f>IF($S$2478&gt;0,'Assumptions (Battery)'!V$13*$S$2480,0)</f>
        <v>0</v>
      </c>
      <c r="T2655" s="280">
        <f>IF($S$2478&gt;0,'Assumptions (Battery)'!W$13*$S$2480,0)</f>
        <v>0</v>
      </c>
      <c r="U2655" s="160">
        <f>IF($S$2478&gt;0,'Assumptions (Battery)'!X$13*$S$2480,0)</f>
        <v>0</v>
      </c>
      <c r="V2655" s="160">
        <f>IF($S$2478&gt;0,'Assumptions (Battery)'!Y$13*$S$2480,0)</f>
        <v>0</v>
      </c>
      <c r="W2655" s="160">
        <f>IF($S$2478&gt;0,'Assumptions (Battery)'!Z$13*$S$2480,0)</f>
        <v>0</v>
      </c>
      <c r="X2655" s="160">
        <f>IF($S$2478&gt;0,'Assumptions (Battery)'!AA$13*$S$2480,0)</f>
        <v>0</v>
      </c>
      <c r="Y2655" s="160">
        <f>IF($S$2478&gt;0,'Assumptions (Battery)'!AB$13*$S$2480,0)</f>
        <v>0</v>
      </c>
      <c r="Z2655" s="160">
        <f>IF($S$2478&gt;0,'Assumptions (Battery)'!AC$13*$S$2480,0)</f>
        <v>0</v>
      </c>
      <c r="AA2655" s="160">
        <f>IF($S$2478&gt;0,'Assumptions (Battery)'!AD$13*$S$2480,0)</f>
        <v>0</v>
      </c>
      <c r="AB2655" s="160">
        <f>IF($S$2478&gt;0,'Assumptions (Battery)'!AE$13*$S$2480,0)</f>
        <v>0</v>
      </c>
      <c r="AC2655" s="160">
        <f>IF($S$2478&gt;0,'Assumptions (Battery)'!AF$13*$S$2480,0)</f>
        <v>0</v>
      </c>
      <c r="AD2655" s="160">
        <f>IF($S$2478&gt;0,'Assumptions (Battery)'!AG$13*$S$2480,0)</f>
        <v>0</v>
      </c>
      <c r="AE2655" s="160">
        <f>IF($S$2478&gt;0,'Assumptions (Battery)'!AH$13*$S$2480,0)</f>
        <v>0</v>
      </c>
      <c r="AF2655" s="160">
        <f>IF($S$2478&gt;0,'Assumptions (Battery)'!AI$13*$S$2480,0)</f>
        <v>0</v>
      </c>
      <c r="AG2655" s="160">
        <f>IF($S$2478&gt;0,'Assumptions (Battery)'!AJ$13*$S$2480,0)</f>
        <v>0</v>
      </c>
      <c r="AH2655" s="160">
        <f>IF($S$2478&gt;0,'Assumptions (Battery)'!AK$13*$S$2480,0)</f>
        <v>0</v>
      </c>
      <c r="AI2655" s="160"/>
      <c r="AJ2655" s="160"/>
      <c r="AK2655" s="160"/>
      <c r="AL2655" s="356"/>
      <c r="AM2655" s="356"/>
      <c r="AN2655" s="356"/>
      <c r="AO2655" s="356"/>
      <c r="AP2655" s="356"/>
      <c r="AQ2655" s="356"/>
      <c r="AR2655" s="356"/>
      <c r="AS2655" s="356"/>
      <c r="AT2655" s="356"/>
      <c r="AU2655" s="356"/>
      <c r="AV2655" s="356"/>
      <c r="AW2655" s="356"/>
      <c r="AX2655" s="356"/>
      <c r="AY2655" s="356"/>
      <c r="AZ2655" s="356"/>
      <c r="BA2655" s="356"/>
    </row>
    <row r="2656" ht="15.75" hidden="1" customHeight="1" outlineLevel="1">
      <c r="A2656" s="353"/>
      <c r="B2656" s="38"/>
      <c r="C2656" s="160"/>
      <c r="D2656" s="160"/>
      <c r="E2656" s="160"/>
      <c r="F2656" s="160"/>
      <c r="G2656" s="160"/>
      <c r="H2656" s="160"/>
      <c r="I2656" s="160"/>
      <c r="J2656" s="160"/>
      <c r="K2656" s="160"/>
      <c r="L2656" s="160"/>
      <c r="M2656" s="160"/>
      <c r="N2656" s="160"/>
      <c r="O2656" s="160"/>
      <c r="P2656" s="179"/>
      <c r="Q2656" s="160"/>
      <c r="R2656" s="177"/>
      <c r="S2656" s="177"/>
      <c r="T2656" s="280">
        <f>IF($T$2478&gt;0,'Assumptions (Battery)'!V$13*$T$2480,0)</f>
        <v>0.0009820579632</v>
      </c>
      <c r="U2656" s="160">
        <f>IF($T$2478&gt;0,'Assumptions (Battery)'!W$13*$T$2480,0)</f>
        <v>0.001683037055</v>
      </c>
      <c r="V2656" s="160">
        <f>IF($T$2478&gt;0,'Assumptions (Battery)'!X$13*$T$2480,0)</f>
        <v>0.001201972972</v>
      </c>
      <c r="W2656" s="160">
        <f>IF($T$2478&gt;0,'Assumptions (Battery)'!Y$13*$T$2480,0)</f>
        <v>0.0008583557705</v>
      </c>
      <c r="X2656" s="160">
        <f>IF($T$2478&gt;0,'Assumptions (Battery)'!Z$13*$T$2480,0)</f>
        <v>0.0006137003227</v>
      </c>
      <c r="Y2656" s="160">
        <f>IF($T$2478&gt;0,'Assumptions (Battery)'!AA$13*$T$2480,0)</f>
        <v>0.0006130130883</v>
      </c>
      <c r="Z2656" s="160">
        <f>IF($T$2478&gt;0,'Assumptions (Battery)'!AB$13*$T$2480,0)</f>
        <v>0.0006137003227</v>
      </c>
      <c r="AA2656" s="160">
        <f>IF($T$2478&gt;0,'Assumptions (Battery)'!AC$13*$T$2480,0)</f>
        <v>0.0003065065441</v>
      </c>
      <c r="AB2656" s="160">
        <f>IF($T$2478&gt;0,'Assumptions (Battery)'!AD$13*$T$2480,0)</f>
        <v>0</v>
      </c>
      <c r="AC2656" s="160">
        <f>IF($T$2478&gt;0,'Assumptions (Battery)'!AE$13*$T$2480,0)</f>
        <v>0</v>
      </c>
      <c r="AD2656" s="160">
        <f>IF($T$2478&gt;0,'Assumptions (Battery)'!AF$13*$T$2480,0)</f>
        <v>0</v>
      </c>
      <c r="AE2656" s="160">
        <f>IF($T$2478&gt;0,'Assumptions (Battery)'!AG$13*$T$2480,0)</f>
        <v>0</v>
      </c>
      <c r="AF2656" s="160">
        <f>IF($T$2478&gt;0,'Assumptions (Battery)'!AH$13*$T$2480,0)</f>
        <v>0</v>
      </c>
      <c r="AG2656" s="160">
        <f>IF($T$2478&gt;0,'Assumptions (Battery)'!AI$13*$T$2480,0)</f>
        <v>0</v>
      </c>
      <c r="AH2656" s="160">
        <f>IF($T$2478&gt;0,'Assumptions (Battery)'!AJ$13*$T$2480,0)</f>
        <v>0</v>
      </c>
      <c r="AI2656" s="160">
        <f>IF($T$2478&gt;0,'Assumptions (Battery)'!AK$13*$T$2480,0)</f>
        <v>0</v>
      </c>
      <c r="AJ2656" s="160"/>
      <c r="AK2656" s="160"/>
      <c r="AL2656" s="356"/>
      <c r="AM2656" s="356"/>
      <c r="AN2656" s="356"/>
      <c r="AO2656" s="356"/>
      <c r="AP2656" s="356"/>
      <c r="AQ2656" s="356"/>
      <c r="AR2656" s="356"/>
      <c r="AS2656" s="356"/>
      <c r="AT2656" s="356"/>
      <c r="AU2656" s="356"/>
      <c r="AV2656" s="356"/>
      <c r="AW2656" s="356"/>
      <c r="AX2656" s="356"/>
      <c r="AY2656" s="356"/>
      <c r="AZ2656" s="356"/>
      <c r="BA2656" s="356"/>
    </row>
    <row r="2657" ht="15.75" hidden="1" customHeight="1" outlineLevel="1">
      <c r="A2657" s="353"/>
      <c r="B2657" s="38"/>
      <c r="C2657" s="160"/>
      <c r="D2657" s="160"/>
      <c r="E2657" s="160"/>
      <c r="F2657" s="160"/>
      <c r="G2657" s="160"/>
      <c r="H2657" s="160"/>
      <c r="I2657" s="160"/>
      <c r="J2657" s="160"/>
      <c r="K2657" s="160"/>
      <c r="L2657" s="160"/>
      <c r="M2657" s="160"/>
      <c r="N2657" s="160"/>
      <c r="O2657" s="160"/>
      <c r="P2657" s="179"/>
      <c r="Q2657" s="160"/>
      <c r="R2657" s="177"/>
      <c r="S2657" s="177"/>
      <c r="T2657" s="177"/>
      <c r="U2657" s="160">
        <f>IF($U$2478&gt;0,'Assumptions (Battery)'!V$13*$U$2480,0)</f>
        <v>0</v>
      </c>
      <c r="V2657" s="160">
        <f>IF($U$2478&gt;0,'Assumptions (Battery)'!W$13*$U$2480,0)</f>
        <v>0</v>
      </c>
      <c r="W2657" s="160">
        <f>IF($U$2478&gt;0,'Assumptions (Battery)'!X$13*$U$2480,0)</f>
        <v>0</v>
      </c>
      <c r="X2657" s="160">
        <f>IF($U$2478&gt;0,'Assumptions (Battery)'!Y$13*$U$2480,0)</f>
        <v>0</v>
      </c>
      <c r="Y2657" s="160">
        <f>IF($U$2478&gt;0,'Assumptions (Battery)'!Z$13*$U$2480,0)</f>
        <v>0</v>
      </c>
      <c r="Z2657" s="160">
        <f>IF($U$2478&gt;0,'Assumptions (Battery)'!AA$13*$U$2480,0)</f>
        <v>0</v>
      </c>
      <c r="AA2657" s="160">
        <f>IF($U$2478&gt;0,'Assumptions (Battery)'!AB$13*$U$2480,0)</f>
        <v>0</v>
      </c>
      <c r="AB2657" s="160">
        <f>IF($U$2478&gt;0,'Assumptions (Battery)'!AC$13*$U$2480,0)</f>
        <v>0</v>
      </c>
      <c r="AC2657" s="160">
        <f>IF($U$2478&gt;0,'Assumptions (Battery)'!AD$13*$U$2480,0)</f>
        <v>0</v>
      </c>
      <c r="AD2657" s="160">
        <f>IF($U$2478&gt;0,'Assumptions (Battery)'!AE$13*$U$2480,0)</f>
        <v>0</v>
      </c>
      <c r="AE2657" s="160">
        <f>IF($U$2478&gt;0,'Assumptions (Battery)'!AF$13*$U$2480,0)</f>
        <v>0</v>
      </c>
      <c r="AF2657" s="160">
        <f>IF($U$2478&gt;0,'Assumptions (Battery)'!AG$13*$U$2480,0)</f>
        <v>0</v>
      </c>
      <c r="AG2657" s="160">
        <f>IF($U$2478&gt;0,'Assumptions (Battery)'!AH$13*$U$2480,0)</f>
        <v>0</v>
      </c>
      <c r="AH2657" s="160">
        <f>IF($U$2478&gt;0,'Assumptions (Battery)'!AI$13*$U$2480,0)</f>
        <v>0</v>
      </c>
      <c r="AI2657" s="160">
        <f>IF($U$2478&gt;0,'Assumptions (Battery)'!AJ$13*$U$2480,0)</f>
        <v>0</v>
      </c>
      <c r="AJ2657" s="160">
        <f>IF($U$2478&gt;0,'Assumptions (Battery)'!AK$13*$U$2480,0)</f>
        <v>0</v>
      </c>
      <c r="AK2657" s="160"/>
      <c r="AL2657" s="356"/>
      <c r="AM2657" s="356"/>
      <c r="AN2657" s="356"/>
      <c r="AO2657" s="356"/>
      <c r="AP2657" s="356"/>
      <c r="AQ2657" s="356"/>
      <c r="AR2657" s="356"/>
      <c r="AS2657" s="356"/>
      <c r="AT2657" s="356"/>
      <c r="AU2657" s="356"/>
      <c r="AV2657" s="356"/>
      <c r="AW2657" s="356"/>
      <c r="AX2657" s="356"/>
      <c r="AY2657" s="356"/>
      <c r="AZ2657" s="356"/>
      <c r="BA2657" s="356"/>
    </row>
    <row r="2658" ht="15.75" hidden="1" customHeight="1" outlineLevel="1">
      <c r="A2658" s="353"/>
      <c r="B2658" s="38"/>
      <c r="C2658" s="160"/>
      <c r="D2658" s="160"/>
      <c r="E2658" s="160"/>
      <c r="F2658" s="160"/>
      <c r="G2658" s="160"/>
      <c r="H2658" s="160"/>
      <c r="I2658" s="160"/>
      <c r="J2658" s="160"/>
      <c r="K2658" s="160"/>
      <c r="L2658" s="160"/>
      <c r="M2658" s="160"/>
      <c r="N2658" s="160"/>
      <c r="O2658" s="160"/>
      <c r="P2658" s="179"/>
      <c r="Q2658" s="160"/>
      <c r="R2658" s="177"/>
      <c r="S2658" s="177"/>
      <c r="T2658" s="177"/>
      <c r="U2658" s="160"/>
      <c r="V2658" s="160">
        <f>IF($V$2478&gt;0,'Assumptions (Battery)'!V$13*$V$2480,0)</f>
        <v>0</v>
      </c>
      <c r="W2658" s="160">
        <f>IF($V$2478&gt;0,'Assumptions (Battery)'!W$13*$V$2480,0)</f>
        <v>0</v>
      </c>
      <c r="X2658" s="160">
        <f>IF($V$2478&gt;0,'Assumptions (Battery)'!X$13*$V$2480,0)</f>
        <v>0</v>
      </c>
      <c r="Y2658" s="160">
        <f>IF($V$2478&gt;0,'Assumptions (Battery)'!Y$13*$V$2480,0)</f>
        <v>0</v>
      </c>
      <c r="Z2658" s="160">
        <f>IF($V$2478&gt;0,'Assumptions (Battery)'!Z$13*$V$2480,0)</f>
        <v>0</v>
      </c>
      <c r="AA2658" s="160">
        <f>IF($V$2478&gt;0,'Assumptions (Battery)'!AA$13*$V$2480,0)</f>
        <v>0</v>
      </c>
      <c r="AB2658" s="160">
        <f>IF($V$2478&gt;0,'Assumptions (Battery)'!AB$13*$V$2480,0)</f>
        <v>0</v>
      </c>
      <c r="AC2658" s="160">
        <f>IF($V$2478&gt;0,'Assumptions (Battery)'!AC$13*$V$2480,0)</f>
        <v>0</v>
      </c>
      <c r="AD2658" s="160">
        <f>IF($V$2478&gt;0,'Assumptions (Battery)'!AD$13*$V$2480,0)</f>
        <v>0</v>
      </c>
      <c r="AE2658" s="160">
        <f>IF($V$2478&gt;0,'Assumptions (Battery)'!AE$13*$V$2480,0)</f>
        <v>0</v>
      </c>
      <c r="AF2658" s="160">
        <f>IF($V$2478&gt;0,'Assumptions (Battery)'!AF$13*$V$2480,0)</f>
        <v>0</v>
      </c>
      <c r="AG2658" s="160">
        <f>IF($V$2478&gt;0,'Assumptions (Battery)'!AG$13*$V$2480,0)</f>
        <v>0</v>
      </c>
      <c r="AH2658" s="160">
        <f>IF($V$2478&gt;0,'Assumptions (Battery)'!AH$13*$V$2480,0)</f>
        <v>0</v>
      </c>
      <c r="AI2658" s="160">
        <f>IF($V$2478&gt;0,'Assumptions (Battery)'!AI$13*$V$2480,0)</f>
        <v>0</v>
      </c>
      <c r="AJ2658" s="160">
        <f>IF($V$2478&gt;0,'Assumptions (Battery)'!AJ$13*$V$2480,0)</f>
        <v>0</v>
      </c>
      <c r="AK2658" s="160">
        <f>IF($V$2478&gt;0,'Assumptions (Battery)'!AK$13*$V$2480,0)</f>
        <v>0</v>
      </c>
      <c r="AL2658" s="356"/>
      <c r="AM2658" s="356"/>
      <c r="AN2658" s="356"/>
      <c r="AO2658" s="356"/>
      <c r="AP2658" s="356"/>
      <c r="AQ2658" s="356"/>
      <c r="AR2658" s="356"/>
      <c r="AS2658" s="356"/>
      <c r="AT2658" s="356"/>
      <c r="AU2658" s="356"/>
      <c r="AV2658" s="356"/>
      <c r="AW2658" s="356"/>
      <c r="AX2658" s="356"/>
      <c r="AY2658" s="356"/>
      <c r="AZ2658" s="356"/>
      <c r="BA2658" s="356"/>
    </row>
    <row r="2659" ht="15.75" hidden="1" customHeight="1" outlineLevel="1">
      <c r="A2659" s="353"/>
      <c r="B2659" s="38"/>
      <c r="C2659" s="174"/>
      <c r="D2659" s="174"/>
      <c r="E2659" s="174"/>
      <c r="F2659" s="174"/>
      <c r="G2659" s="174"/>
      <c r="H2659" s="174"/>
      <c r="I2659" s="174"/>
      <c r="J2659" s="174"/>
      <c r="K2659" s="174"/>
      <c r="L2659" s="174"/>
      <c r="M2659" s="174"/>
      <c r="N2659" s="174"/>
      <c r="O2659" s="174"/>
      <c r="P2659" s="174"/>
      <c r="Q2659" s="174"/>
      <c r="R2659" s="174"/>
      <c r="S2659" s="174"/>
      <c r="T2659" s="174"/>
      <c r="U2659" s="174"/>
      <c r="V2659" s="174"/>
      <c r="W2659" s="160">
        <f>IF($W$2478&gt;0,'Assumptions (Battery)'!V13*$W$2480,0)</f>
        <v>0</v>
      </c>
      <c r="X2659" s="160">
        <f>IF($W$2478&gt;0,'Assumptions (Battery)'!W13*$W$2480,0)</f>
        <v>0</v>
      </c>
      <c r="Y2659" s="160">
        <f>IF($W$2478&gt;0,'Assumptions (Battery)'!X13*$W$2480,0)</f>
        <v>0</v>
      </c>
      <c r="Z2659" s="160">
        <f>IF($W$2478&gt;0,'Assumptions (Battery)'!Y13*$W$2480,0)</f>
        <v>0</v>
      </c>
      <c r="AA2659" s="160">
        <f>IF($W$2478&gt;0,'Assumptions (Battery)'!Z13*$W$2480,0)</f>
        <v>0</v>
      </c>
      <c r="AB2659" s="160">
        <f>IF($W$2478&gt;0,'Assumptions (Battery)'!AA13*$W$2480,0)</f>
        <v>0</v>
      </c>
      <c r="AC2659" s="160">
        <f>IF($W$2478&gt;0,'Assumptions (Battery)'!AB13*$W$2480,0)</f>
        <v>0</v>
      </c>
      <c r="AD2659" s="160">
        <f>IF($W$2478&gt;0,'Assumptions (Battery)'!AC13*$W$2480,0)</f>
        <v>0</v>
      </c>
      <c r="AE2659" s="160">
        <f>IF($W$2478&gt;0,'Assumptions (Battery)'!AD13*$W$2480,0)</f>
        <v>0</v>
      </c>
      <c r="AF2659" s="160">
        <f>IF($W$2478&gt;0,'Assumptions (Battery)'!AE13*$W$2480,0)</f>
        <v>0</v>
      </c>
      <c r="AG2659" s="160">
        <f>IF($W$2478&gt;0,'Assumptions (Battery)'!AF13*$W$2480,0)</f>
        <v>0</v>
      </c>
      <c r="AH2659" s="160">
        <f>IF($W$2478&gt;0,'Assumptions (Battery)'!AG13*$W$2480,0)</f>
        <v>0</v>
      </c>
      <c r="AI2659" s="160">
        <f>IF($W$2478&gt;0,'Assumptions (Battery)'!AH13*$W$2480,0)</f>
        <v>0</v>
      </c>
      <c r="AJ2659" s="160">
        <f>IF($W$2478&gt;0,'Assumptions (Battery)'!AI13*$W$2480,0)</f>
        <v>0</v>
      </c>
      <c r="AK2659" s="160">
        <f>IF($W$2478&gt;0,'Assumptions (Battery)'!AJ13*$W$2480,0)</f>
        <v>0</v>
      </c>
      <c r="AL2659" s="160">
        <f>IF($W$2478&gt;0,'Assumptions (Battery)'!AK13*$W$2480,0)</f>
        <v>0</v>
      </c>
      <c r="AM2659" s="160"/>
      <c r="AN2659" s="160"/>
      <c r="AO2659" s="160"/>
      <c r="AP2659" s="160"/>
      <c r="AQ2659" s="160"/>
      <c r="AR2659" s="160"/>
      <c r="AS2659" s="160"/>
      <c r="AT2659" s="160"/>
      <c r="AU2659" s="160"/>
      <c r="AV2659" s="160"/>
      <c r="AW2659" s="160"/>
      <c r="AX2659" s="160"/>
      <c r="AY2659" s="160"/>
      <c r="AZ2659" s="160"/>
      <c r="BA2659" s="160"/>
    </row>
    <row r="2660" ht="15.75" hidden="1" customHeight="1" outlineLevel="1">
      <c r="A2660" s="353"/>
      <c r="B2660" s="38"/>
      <c r="C2660" s="174"/>
      <c r="D2660" s="174"/>
      <c r="E2660" s="174"/>
      <c r="F2660" s="174"/>
      <c r="G2660" s="174"/>
      <c r="H2660" s="174"/>
      <c r="I2660" s="174"/>
      <c r="J2660" s="174"/>
      <c r="K2660" s="174"/>
      <c r="L2660" s="174"/>
      <c r="M2660" s="174"/>
      <c r="N2660" s="174"/>
      <c r="O2660" s="174"/>
      <c r="P2660" s="174"/>
      <c r="Q2660" s="174"/>
      <c r="R2660" s="174"/>
      <c r="S2660" s="174"/>
      <c r="T2660" s="174"/>
      <c r="U2660" s="174"/>
      <c r="V2660" s="174"/>
      <c r="W2660" s="160"/>
      <c r="X2660" s="160">
        <f>IF($X$2478&gt;0,'Assumptions (Battery)'!V13*$X$2480,0)</f>
        <v>0.2810805397</v>
      </c>
      <c r="Y2660" s="160">
        <f>IF($X$2478&gt;0,'Assumptions (Battery)'!W13*$X$2480,0)</f>
        <v>0.4817118556</v>
      </c>
      <c r="Z2660" s="160">
        <f>IF($X$2478&gt;0,'Assumptions (Battery)'!X13*$X$2480,0)</f>
        <v>0.3440236976</v>
      </c>
      <c r="AA2660" s="160">
        <f>IF($X$2478&gt;0,'Assumptions (Battery)'!Y13*$X$2480,0)</f>
        <v>0.2456750133</v>
      </c>
      <c r="AB2660" s="160">
        <f>IF($X$2478&gt;0,'Assumptions (Battery)'!Z13*$X$2480,0)</f>
        <v>0.1756507501</v>
      </c>
      <c r="AC2660" s="160">
        <f>IF($X$2478&gt;0,'Assumptions (Battery)'!AA13*$X$2480,0)</f>
        <v>0.1754540527</v>
      </c>
      <c r="AD2660" s="160">
        <f>IF($X$2478&gt;0,'Assumptions (Battery)'!AB13*$X$2480,0)</f>
        <v>0.1756507501</v>
      </c>
      <c r="AE2660" s="160">
        <f>IF($X$2478&gt;0,'Assumptions (Battery)'!AC13*$X$2480,0)</f>
        <v>0.08772702637</v>
      </c>
      <c r="AF2660" s="160">
        <f>IF($X$2478&gt;0,'Assumptions (Battery)'!AD13*$X$2480,0)</f>
        <v>0</v>
      </c>
      <c r="AG2660" s="160">
        <f>IF($X$2478&gt;0,'Assumptions (Battery)'!AE13*$X$2480,0)</f>
        <v>0</v>
      </c>
      <c r="AH2660" s="160">
        <f>IF($X$2478&gt;0,'Assumptions (Battery)'!AF13*$X$2480,0)</f>
        <v>0</v>
      </c>
      <c r="AI2660" s="160">
        <f>IF($X$2478&gt;0,'Assumptions (Battery)'!AG13*$X$2480,0)</f>
        <v>0</v>
      </c>
      <c r="AJ2660" s="160">
        <f>IF($X$2478&gt;0,'Assumptions (Battery)'!AH13*$X$2480,0)</f>
        <v>0</v>
      </c>
      <c r="AK2660" s="160">
        <f>IF($X$2478&gt;0,'Assumptions (Battery)'!AI13*$X$2480,0)</f>
        <v>0</v>
      </c>
      <c r="AL2660" s="160">
        <f>IF($X$2478&gt;0,'Assumptions (Battery)'!AJ13*$X$2480,0)</f>
        <v>0</v>
      </c>
      <c r="AM2660" s="160">
        <f>IF($X$2478&gt;0,'Assumptions (Battery)'!AK13*$X$2480,0)</f>
        <v>0</v>
      </c>
      <c r="AN2660" s="160"/>
      <c r="AO2660" s="160"/>
      <c r="AP2660" s="160"/>
      <c r="AQ2660" s="160"/>
      <c r="AR2660" s="160"/>
      <c r="AS2660" s="160"/>
      <c r="AT2660" s="160"/>
      <c r="AU2660" s="160"/>
      <c r="AV2660" s="160"/>
      <c r="AW2660" s="160"/>
      <c r="AX2660" s="160"/>
      <c r="AY2660" s="160"/>
      <c r="AZ2660" s="160"/>
      <c r="BA2660" s="160"/>
    </row>
    <row r="2661" ht="15.75" hidden="1" customHeight="1" outlineLevel="1">
      <c r="A2661" s="353"/>
      <c r="B2661" s="38"/>
      <c r="C2661" s="174"/>
      <c r="D2661" s="174"/>
      <c r="E2661" s="174"/>
      <c r="F2661" s="174"/>
      <c r="G2661" s="174"/>
      <c r="H2661" s="174"/>
      <c r="I2661" s="174"/>
      <c r="J2661" s="174"/>
      <c r="K2661" s="174"/>
      <c r="L2661" s="174"/>
      <c r="M2661" s="174"/>
      <c r="N2661" s="174"/>
      <c r="O2661" s="174"/>
      <c r="P2661" s="174"/>
      <c r="Q2661" s="174"/>
      <c r="R2661" s="174"/>
      <c r="S2661" s="174"/>
      <c r="T2661" s="174"/>
      <c r="U2661" s="174"/>
      <c r="V2661" s="174"/>
      <c r="W2661" s="160"/>
      <c r="X2661" s="160"/>
      <c r="Y2661" s="160">
        <f>IF($Y$2478&gt;0,'Assumptions (Battery)'!V13*$Y$2480,0)</f>
        <v>0.2681207587</v>
      </c>
      <c r="Z2661" s="160">
        <f>IF($Y$2478&gt;0,'Assumptions (Battery)'!W13*$Y$2480,0)</f>
        <v>0.4595015662</v>
      </c>
      <c r="AA2661" s="160">
        <f>IF($Y$2478&gt;0,'Assumptions (Battery)'!X13*$Y$2480,0)</f>
        <v>0.3281617964</v>
      </c>
      <c r="AB2661" s="160">
        <f>IF($Y$2478&gt;0,'Assumptions (Battery)'!Y13*$Y$2480,0)</f>
        <v>0.234347675</v>
      </c>
      <c r="AC2661" s="160">
        <f>IF($Y$2478&gt;0,'Assumptions (Battery)'!Z13*$Y$2480,0)</f>
        <v>0.1675520207</v>
      </c>
      <c r="AD2661" s="160">
        <f>IF($Y$2478&gt;0,'Assumptions (Battery)'!AA13*$Y$2480,0)</f>
        <v>0.1673643924</v>
      </c>
      <c r="AE2661" s="160">
        <f>IF($Y$2478&gt;0,'Assumptions (Battery)'!AB13*$Y$2480,0)</f>
        <v>0.1675520207</v>
      </c>
      <c r="AF2661" s="160">
        <f>IF($Y$2478&gt;0,'Assumptions (Battery)'!AC13*$Y$2480,0)</f>
        <v>0.08368219621</v>
      </c>
      <c r="AG2661" s="160">
        <f>IF($Y$2478&gt;0,'Assumptions (Battery)'!AD13*$Y$2480,0)</f>
        <v>0</v>
      </c>
      <c r="AH2661" s="160">
        <f>IF($Y$2478&gt;0,'Assumptions (Battery)'!AE13*$Y$2480,0)</f>
        <v>0</v>
      </c>
      <c r="AI2661" s="160">
        <f>IF($Y$2478&gt;0,'Assumptions (Battery)'!AF13*$Y$2480,0)</f>
        <v>0</v>
      </c>
      <c r="AJ2661" s="160">
        <f>IF($Y$2478&gt;0,'Assumptions (Battery)'!AG13*$Y$2480,0)</f>
        <v>0</v>
      </c>
      <c r="AK2661" s="160">
        <f>IF($Y$2478&gt;0,'Assumptions (Battery)'!AH13*$Y$2480,0)</f>
        <v>0</v>
      </c>
      <c r="AL2661" s="160">
        <f>IF($Y$2478&gt;0,'Assumptions (Battery)'!AI13*$Y$2480,0)</f>
        <v>0</v>
      </c>
      <c r="AM2661" s="160">
        <f>IF($Y$2478&gt;0,'Assumptions (Battery)'!AJ13*$Y$2480,0)</f>
        <v>0</v>
      </c>
      <c r="AN2661" s="160">
        <f>IF($Y$2478&gt;0,'Assumptions (Battery)'!AK13*$Y$2480,0)</f>
        <v>0</v>
      </c>
      <c r="AO2661" s="160"/>
      <c r="AP2661" s="160"/>
      <c r="AQ2661" s="160"/>
      <c r="AR2661" s="160"/>
      <c r="AS2661" s="160"/>
      <c r="AT2661" s="160"/>
      <c r="AU2661" s="160"/>
      <c r="AV2661" s="160"/>
      <c r="AW2661" s="160"/>
      <c r="AX2661" s="160"/>
      <c r="AY2661" s="160"/>
      <c r="AZ2661" s="160"/>
      <c r="BA2661" s="160"/>
    </row>
    <row r="2662" ht="15.75" hidden="1" customHeight="1" outlineLevel="1">
      <c r="A2662" s="353"/>
      <c r="B2662" s="38"/>
      <c r="C2662" s="174"/>
      <c r="D2662" s="174"/>
      <c r="E2662" s="174"/>
      <c r="F2662" s="174"/>
      <c r="G2662" s="174"/>
      <c r="H2662" s="174"/>
      <c r="I2662" s="174"/>
      <c r="J2662" s="174"/>
      <c r="K2662" s="174"/>
      <c r="L2662" s="174"/>
      <c r="M2662" s="174"/>
      <c r="N2662" s="174"/>
      <c r="O2662" s="174"/>
      <c r="P2662" s="174"/>
      <c r="Q2662" s="174"/>
      <c r="R2662" s="174"/>
      <c r="S2662" s="174"/>
      <c r="T2662" s="174"/>
      <c r="U2662" s="174"/>
      <c r="V2662" s="174"/>
      <c r="W2662" s="160"/>
      <c r="X2662" s="160"/>
      <c r="Y2662" s="160"/>
      <c r="Z2662" s="160">
        <f>IF($Z$2478&gt;0,'Assumptions (Battery)'!V13*$Z$2480,0)</f>
        <v>0.2535654021</v>
      </c>
      <c r="AA2662" s="160">
        <f>IF($Z$2478&gt;0,'Assumptions (Battery)'!W13*$Z$2480,0)</f>
        <v>0.4345568017</v>
      </c>
      <c r="AB2662" s="160">
        <f>IF($Z$2478&gt;0,'Assumptions (Battery)'!X13*$Z$2480,0)</f>
        <v>0.3103470177</v>
      </c>
      <c r="AC2662" s="160">
        <f>IF($Z$2478&gt;0,'Assumptions (Battery)'!Y13*$Z$2480,0)</f>
        <v>0.2216257433</v>
      </c>
      <c r="AD2662" s="160">
        <f>IF($Z$2478&gt;0,'Assumptions (Battery)'!Z13*$Z$2480,0)</f>
        <v>0.158456196</v>
      </c>
      <c r="AE2662" s="160">
        <f>IF($Z$2478&gt;0,'Assumptions (Battery)'!AA13*$Z$2480,0)</f>
        <v>0.1582787534</v>
      </c>
      <c r="AF2662" s="160">
        <f>IF($Z$2478&gt;0,'Assumptions (Battery)'!AB13*$Z$2480,0)</f>
        <v>0.158456196</v>
      </c>
      <c r="AG2662" s="160">
        <f>IF($Z$2478&gt;0,'Assumptions (Battery)'!AC13*$Z$2480,0)</f>
        <v>0.07913937672</v>
      </c>
      <c r="AH2662" s="160">
        <f>IF($Z$2478&gt;0,'Assumptions (Battery)'!AD13*$Z$2480,0)</f>
        <v>0</v>
      </c>
      <c r="AI2662" s="160">
        <f>IF($Z$2478&gt;0,'Assumptions (Battery)'!AE13*$Z$2480,0)</f>
        <v>0</v>
      </c>
      <c r="AJ2662" s="160">
        <f>IF($Z$2478&gt;0,'Assumptions (Battery)'!AF13*$Z$2480,0)</f>
        <v>0</v>
      </c>
      <c r="AK2662" s="160">
        <f>IF($Z$2478&gt;0,'Assumptions (Battery)'!AG13*$Z$2480,0)</f>
        <v>0</v>
      </c>
      <c r="AL2662" s="160">
        <f>IF($Z$2478&gt;0,'Assumptions (Battery)'!AH13*$Z$2480,0)</f>
        <v>0</v>
      </c>
      <c r="AM2662" s="160">
        <f>IF($Z$2478&gt;0,'Assumptions (Battery)'!AI13*$Z$2480,0)</f>
        <v>0</v>
      </c>
      <c r="AN2662" s="160">
        <f>IF($Z$2478&gt;0,'Assumptions (Battery)'!AJ13*$Z$2480,0)</f>
        <v>0</v>
      </c>
      <c r="AO2662" s="160">
        <f>IF($Z$2478&gt;0,'Assumptions (Battery)'!AK13*$Z$2480,0)</f>
        <v>0</v>
      </c>
      <c r="AP2662" s="160"/>
      <c r="AQ2662" s="160"/>
      <c r="AR2662" s="160"/>
      <c r="AS2662" s="160"/>
      <c r="AT2662" s="160"/>
      <c r="AU2662" s="160"/>
      <c r="AV2662" s="160"/>
      <c r="AW2662" s="160"/>
      <c r="AX2662" s="160"/>
      <c r="AY2662" s="160"/>
      <c r="AZ2662" s="160"/>
      <c r="BA2662" s="160"/>
    </row>
    <row r="2663" ht="15.75" hidden="1" customHeight="1" outlineLevel="1">
      <c r="A2663" s="353"/>
      <c r="B2663" s="38"/>
      <c r="C2663" s="174"/>
      <c r="D2663" s="174"/>
      <c r="E2663" s="174"/>
      <c r="F2663" s="174"/>
      <c r="G2663" s="174"/>
      <c r="H2663" s="174"/>
      <c r="I2663" s="174"/>
      <c r="J2663" s="174"/>
      <c r="K2663" s="174"/>
      <c r="L2663" s="174"/>
      <c r="M2663" s="174"/>
      <c r="N2663" s="174"/>
      <c r="O2663" s="174"/>
      <c r="P2663" s="174"/>
      <c r="Q2663" s="174"/>
      <c r="R2663" s="174"/>
      <c r="S2663" s="174"/>
      <c r="T2663" s="174"/>
      <c r="U2663" s="174"/>
      <c r="V2663" s="174"/>
      <c r="W2663" s="160"/>
      <c r="X2663" s="160"/>
      <c r="Y2663" s="160"/>
      <c r="Z2663" s="160"/>
      <c r="AA2663" s="160">
        <f>IF($AA$2478&gt;0,'Assumptions (Battery)'!V13*$AA$2480,0)</f>
        <v>0.2393421868</v>
      </c>
      <c r="AB2663" s="160">
        <f>IF($AA$2478&gt;0,'Assumptions (Battery)'!W13*$AA$2480,0)</f>
        <v>0.4101812565</v>
      </c>
      <c r="AC2663" s="160">
        <f>IF($AA$2478&gt;0,'Assumptions (Battery)'!X13*$AA$2480,0)</f>
        <v>0.2929387577</v>
      </c>
      <c r="AD2663" s="160">
        <f>IF($AA$2478&gt;0,'Assumptions (Battery)'!Y13*$AA$2480,0)</f>
        <v>0.2091941157</v>
      </c>
      <c r="AE2663" s="160">
        <f>IF($AA$2478&gt;0,'Assumptions (Battery)'!Z13*$AA$2480,0)</f>
        <v>0.1495679306</v>
      </c>
      <c r="AF2663" s="160">
        <f>IF($AA$2478&gt;0,'Assumptions (Battery)'!AA13*$AA$2480,0)</f>
        <v>0.1494004413</v>
      </c>
      <c r="AG2663" s="160">
        <f>IF($AA$2478&gt;0,'Assumptions (Battery)'!AB13*$AA$2480,0)</f>
        <v>0.1495679306</v>
      </c>
      <c r="AH2663" s="160">
        <f>IF($AA$2478&gt;0,'Assumptions (Battery)'!AC13*$AA$2480,0)</f>
        <v>0.07470022066</v>
      </c>
      <c r="AI2663" s="160">
        <f>IF($AA$2478&gt;0,'Assumptions (Battery)'!AD13*$AA$2480,0)</f>
        <v>0</v>
      </c>
      <c r="AJ2663" s="160">
        <f>IF($AA$2478&gt;0,'Assumptions (Battery)'!AE13*$AA$2480,0)</f>
        <v>0</v>
      </c>
      <c r="AK2663" s="160">
        <f>IF($AA$2478&gt;0,'Assumptions (Battery)'!AF13*$AA$2480,0)</f>
        <v>0</v>
      </c>
      <c r="AL2663" s="160">
        <f>IF($AA$2478&gt;0,'Assumptions (Battery)'!AG13*$AA$2480,0)</f>
        <v>0</v>
      </c>
      <c r="AM2663" s="160">
        <f>IF($AA$2478&gt;0,'Assumptions (Battery)'!AH13*$AA$2480,0)</f>
        <v>0</v>
      </c>
      <c r="AN2663" s="160">
        <f>IF($AA$2478&gt;0,'Assumptions (Battery)'!AI13*$AA$2480,0)</f>
        <v>0</v>
      </c>
      <c r="AO2663" s="160">
        <f>IF($AA$2478&gt;0,'Assumptions (Battery)'!AJ13*$AA$2480,0)</f>
        <v>0</v>
      </c>
      <c r="AP2663" s="160">
        <f>IF($AA$2478&gt;0,'Assumptions (Battery)'!AK13*$AA$2480,0)</f>
        <v>0</v>
      </c>
      <c r="AQ2663" s="160"/>
      <c r="AR2663" s="160"/>
      <c r="AS2663" s="160"/>
      <c r="AT2663" s="160"/>
      <c r="AU2663" s="160"/>
      <c r="AV2663" s="160"/>
      <c r="AW2663" s="160"/>
      <c r="AX2663" s="160"/>
      <c r="AY2663" s="160"/>
      <c r="AZ2663" s="160"/>
      <c r="BA2663" s="160"/>
    </row>
    <row r="2664" ht="15.75" hidden="1" customHeight="1" outlineLevel="1">
      <c r="A2664" s="353"/>
      <c r="B2664" s="38"/>
      <c r="C2664" s="174"/>
      <c r="D2664" s="174"/>
      <c r="E2664" s="174"/>
      <c r="F2664" s="174"/>
      <c r="G2664" s="174"/>
      <c r="H2664" s="174"/>
      <c r="I2664" s="174"/>
      <c r="J2664" s="174"/>
      <c r="K2664" s="174"/>
      <c r="L2664" s="174"/>
      <c r="M2664" s="174"/>
      <c r="N2664" s="174"/>
      <c r="O2664" s="174"/>
      <c r="P2664" s="174"/>
      <c r="Q2664" s="174"/>
      <c r="R2664" s="174"/>
      <c r="S2664" s="174"/>
      <c r="T2664" s="174"/>
      <c r="U2664" s="174"/>
      <c r="V2664" s="174"/>
      <c r="W2664" s="160"/>
      <c r="X2664" s="160"/>
      <c r="Y2664" s="160"/>
      <c r="Z2664" s="160"/>
      <c r="AA2664" s="160"/>
      <c r="AB2664" s="160">
        <f>IF($AB$2478&gt;0,'Assumptions (Battery)'!V13*$AB$2480,0)</f>
        <v>0.223373711</v>
      </c>
      <c r="AC2664" s="160">
        <f>IF($AB$2478&gt;0,'Assumptions (Battery)'!W13*$AB$2480,0)</f>
        <v>0.3828147083</v>
      </c>
      <c r="AD2664" s="160">
        <f>IF($AB$2478&gt;0,'Assumptions (Battery)'!X13*$AB$2480,0)</f>
        <v>0.273394416</v>
      </c>
      <c r="AE2664" s="160">
        <f>IF($AB$2478&gt;0,'Assumptions (Battery)'!Y13*$AB$2480,0)</f>
        <v>0.1952370644</v>
      </c>
      <c r="AF2664" s="160">
        <f>IF($AB$2478&gt;0,'Assumptions (Battery)'!Z13*$AB$2480,0)</f>
        <v>0.13958903</v>
      </c>
      <c r="AG2664" s="160">
        <f>IF($AB$2478&gt;0,'Assumptions (Battery)'!AA13*$AB$2480,0)</f>
        <v>0.1394327153</v>
      </c>
      <c r="AH2664" s="160">
        <f>IF($AB$2478&gt;0,'Assumptions (Battery)'!AB13*$AB$2480,0)</f>
        <v>0.13958903</v>
      </c>
      <c r="AI2664" s="160">
        <f>IF($AB$2478&gt;0,'Assumptions (Battery)'!AC13*$AB$2480,0)</f>
        <v>0.06971635766</v>
      </c>
      <c r="AJ2664" s="160">
        <f>IF($AB$2478&gt;0,'Assumptions (Battery)'!AD13*$AB$2480,0)</f>
        <v>0</v>
      </c>
      <c r="AK2664" s="160">
        <f>IF($AB$2478&gt;0,'Assumptions (Battery)'!AE13*$AB$2480,0)</f>
        <v>0</v>
      </c>
      <c r="AL2664" s="160">
        <f>IF($AB$2478&gt;0,'Assumptions (Battery)'!AF13*$AB$2480,0)</f>
        <v>0</v>
      </c>
      <c r="AM2664" s="160">
        <f>IF($AB$2478&gt;0,'Assumptions (Battery)'!AG13*$AB$2480,0)</f>
        <v>0</v>
      </c>
      <c r="AN2664" s="160">
        <f>IF($AB$2478&gt;0,'Assumptions (Battery)'!AH13*$AB$2480,0)</f>
        <v>0</v>
      </c>
      <c r="AO2664" s="160">
        <f>IF($AB$2478&gt;0,'Assumptions (Battery)'!AI13*$AB$2480,0)</f>
        <v>0</v>
      </c>
      <c r="AP2664" s="160">
        <f>IF($AB$2478&gt;0,'Assumptions (Battery)'!AJ13*$AB$2480,0)</f>
        <v>0</v>
      </c>
      <c r="AQ2664" s="160">
        <f>IF($AB$2478&gt;0,'Assumptions (Battery)'!AK13*$AB$2480,0)</f>
        <v>0</v>
      </c>
      <c r="AR2664" s="160"/>
      <c r="AS2664" s="160"/>
      <c r="AT2664" s="160"/>
      <c r="AU2664" s="160"/>
      <c r="AV2664" s="160"/>
      <c r="AW2664" s="160"/>
      <c r="AX2664" s="160"/>
      <c r="AY2664" s="160"/>
      <c r="AZ2664" s="160"/>
      <c r="BA2664" s="160"/>
    </row>
    <row r="2665" ht="15.75" hidden="1" customHeight="1" outlineLevel="1">
      <c r="A2665" s="353"/>
      <c r="B2665" s="38"/>
      <c r="C2665" s="174"/>
      <c r="D2665" s="174"/>
      <c r="E2665" s="174"/>
      <c r="F2665" s="174"/>
      <c r="G2665" s="174"/>
      <c r="H2665" s="174"/>
      <c r="I2665" s="174"/>
      <c r="J2665" s="174"/>
      <c r="K2665" s="174"/>
      <c r="L2665" s="174"/>
      <c r="M2665" s="174"/>
      <c r="N2665" s="174"/>
      <c r="O2665" s="174"/>
      <c r="P2665" s="174"/>
      <c r="Q2665" s="174"/>
      <c r="R2665" s="174"/>
      <c r="S2665" s="174"/>
      <c r="T2665" s="174"/>
      <c r="U2665" s="174"/>
      <c r="V2665" s="174"/>
      <c r="W2665" s="160"/>
      <c r="X2665" s="160"/>
      <c r="Y2665" s="160"/>
      <c r="Z2665" s="160"/>
      <c r="AA2665" s="160"/>
      <c r="AB2665" s="160"/>
      <c r="AC2665" s="160">
        <f>IF($AC$2478&gt;0,'Assumptions (Battery)'!V13*$AC$2480,0)</f>
        <v>0.2189575329</v>
      </c>
      <c r="AD2665" s="160">
        <f>IF($AC$2478&gt;0,'Assumptions (Battery)'!W13*$AC$2480,0)</f>
        <v>0.3752463248</v>
      </c>
      <c r="AE2665" s="160">
        <f>IF($AC$2478&gt;0,'Assumptions (Battery)'!X13*$AC$2480,0)</f>
        <v>0.2679893108</v>
      </c>
      <c r="AF2665" s="160">
        <f>IF($AC$2478&gt;0,'Assumptions (Battery)'!Y13*$AC$2480,0)</f>
        <v>0.1913771579</v>
      </c>
      <c r="AG2665" s="160">
        <f>IF($AC$2478&gt;0,'Assumptions (Battery)'!Z13*$AC$2480,0)</f>
        <v>0.136829305</v>
      </c>
      <c r="AH2665" s="160">
        <f>IF($AC$2478&gt;0,'Assumptions (Battery)'!AA13*$AC$2480,0)</f>
        <v>0.1366760807</v>
      </c>
      <c r="AI2665" s="160">
        <f>IF($AC$2478&gt;0,'Assumptions (Battery)'!AB13*$AC$2480,0)</f>
        <v>0.136829305</v>
      </c>
      <c r="AJ2665" s="160">
        <f>IF($AC$2478&gt;0,'Assumptions (Battery)'!AC13*$AC$2480,0)</f>
        <v>0.06833804037</v>
      </c>
      <c r="AK2665" s="160">
        <f>IF($AC$2478&gt;0,'Assumptions (Battery)'!AD13*$AC$2480,0)</f>
        <v>0</v>
      </c>
      <c r="AL2665" s="160">
        <f>IF($AC$2478&gt;0,'Assumptions (Battery)'!AE13*$AC$2480,0)</f>
        <v>0</v>
      </c>
      <c r="AM2665" s="160">
        <f>IF($AC$2478&gt;0,'Assumptions (Battery)'!AF13*$AC$2480,0)</f>
        <v>0</v>
      </c>
      <c r="AN2665" s="160">
        <f>IF($AC$2478&gt;0,'Assumptions (Battery)'!AG13*$AC$2480,0)</f>
        <v>0</v>
      </c>
      <c r="AO2665" s="160">
        <f>IF($AC$2478&gt;0,'Assumptions (Battery)'!AH13*$AC$2480,0)</f>
        <v>0</v>
      </c>
      <c r="AP2665" s="160">
        <f>IF($AC$2478&gt;0,'Assumptions (Battery)'!AI13*$AC$2480,0)</f>
        <v>0</v>
      </c>
      <c r="AQ2665" s="160">
        <f>IF($AC$2478&gt;0,'Assumptions (Battery)'!AJ13*$AC$2480,0)</f>
        <v>0</v>
      </c>
      <c r="AR2665" s="160">
        <f>IF($AC$2478&gt;0,'Assumptions (Battery)'!AK13*$AC$2480,0)</f>
        <v>0</v>
      </c>
      <c r="AS2665" s="160"/>
      <c r="AT2665" s="160"/>
      <c r="AU2665" s="160"/>
      <c r="AV2665" s="160"/>
      <c r="AW2665" s="160"/>
      <c r="AX2665" s="160"/>
      <c r="AY2665" s="160"/>
      <c r="AZ2665" s="160"/>
      <c r="BA2665" s="160"/>
    </row>
    <row r="2666" ht="15.75" hidden="1" customHeight="1" outlineLevel="1">
      <c r="A2666" s="353"/>
      <c r="B2666" s="38"/>
      <c r="C2666" s="174"/>
      <c r="D2666" s="174"/>
      <c r="E2666" s="174"/>
      <c r="F2666" s="174"/>
      <c r="G2666" s="174"/>
      <c r="H2666" s="174"/>
      <c r="I2666" s="174"/>
      <c r="J2666" s="174"/>
      <c r="K2666" s="174"/>
      <c r="L2666" s="174"/>
      <c r="M2666" s="174"/>
      <c r="N2666" s="174"/>
      <c r="O2666" s="174"/>
      <c r="P2666" s="174"/>
      <c r="Q2666" s="174"/>
      <c r="R2666" s="174"/>
      <c r="S2666" s="174"/>
      <c r="T2666" s="174"/>
      <c r="U2666" s="174"/>
      <c r="V2666" s="174"/>
      <c r="W2666" s="160"/>
      <c r="X2666" s="160"/>
      <c r="Y2666" s="160"/>
      <c r="Z2666" s="160"/>
      <c r="AA2666" s="160"/>
      <c r="AB2666" s="160"/>
      <c r="AC2666" s="160"/>
      <c r="AD2666" s="160">
        <f>IF($AD$2478&gt;0,'Assumptions (Battery)'!V13*$AD$2480,0)</f>
        <v>0.2152709625</v>
      </c>
      <c r="AE2666" s="160">
        <f>IF($AD$2478&gt;0,'Assumptions (Battery)'!W13*$AD$2480,0)</f>
        <v>0.3689283325</v>
      </c>
      <c r="AF2666" s="160">
        <f>IF($AD$2478&gt;0,'Assumptions (Battery)'!X13*$AD$2480,0)</f>
        <v>0.2634771962</v>
      </c>
      <c r="AG2666" s="160">
        <f>IF($AD$2478&gt;0,'Assumptions (Battery)'!Y13*$AD$2480,0)</f>
        <v>0.188154956</v>
      </c>
      <c r="AH2666" s="160">
        <f>IF($AD$2478&gt;0,'Assumptions (Battery)'!Z13*$AD$2480,0)</f>
        <v>0.134525521</v>
      </c>
      <c r="AI2666" s="160">
        <f>IF($AD$2478&gt;0,'Assumptions (Battery)'!AA13*$AD$2480,0)</f>
        <v>0.1343748765</v>
      </c>
      <c r="AJ2666" s="160">
        <f>IF($AD$2478&gt;0,'Assumptions (Battery)'!AB13*$AD$2480,0)</f>
        <v>0.134525521</v>
      </c>
      <c r="AK2666" s="160">
        <f>IF($AD$2478&gt;0,'Assumptions (Battery)'!AC13*$AD$2480,0)</f>
        <v>0.06718743826</v>
      </c>
      <c r="AL2666" s="160">
        <f>IF($AD$2478&gt;0,'Assumptions (Battery)'!AD13*$AD$2480,0)</f>
        <v>0</v>
      </c>
      <c r="AM2666" s="160">
        <f>IF($AD$2478&gt;0,'Assumptions (Battery)'!AE13*$AD$2480,0)</f>
        <v>0</v>
      </c>
      <c r="AN2666" s="160">
        <f>IF($AD$2478&gt;0,'Assumptions (Battery)'!AF13*$AD$2480,0)</f>
        <v>0</v>
      </c>
      <c r="AO2666" s="160">
        <f>IF($AD$2478&gt;0,'Assumptions (Battery)'!AG13*$AD$2480,0)</f>
        <v>0</v>
      </c>
      <c r="AP2666" s="160">
        <f>IF($AD$2478&gt;0,'Assumptions (Battery)'!AH13*$AD$2480,0)</f>
        <v>0</v>
      </c>
      <c r="AQ2666" s="160">
        <f>IF($AD$2478&gt;0,'Assumptions (Battery)'!AI13*$AD$2480,0)</f>
        <v>0</v>
      </c>
      <c r="AR2666" s="160">
        <f>IF($AD$2478&gt;0,'Assumptions (Battery)'!AJ13*$AD$2480,0)</f>
        <v>0</v>
      </c>
      <c r="AS2666" s="160">
        <f>IF($AD$2478&gt;0,'Assumptions (Battery)'!AK13*$AD$2480,0)</f>
        <v>0</v>
      </c>
      <c r="AT2666" s="160"/>
      <c r="AU2666" s="160"/>
      <c r="AV2666" s="160"/>
      <c r="AW2666" s="160"/>
      <c r="AX2666" s="160"/>
      <c r="AY2666" s="160"/>
      <c r="AZ2666" s="160"/>
      <c r="BA2666" s="160"/>
      <c r="BB2666" s="160"/>
    </row>
    <row r="2667" ht="15.75" hidden="1" customHeight="1" outlineLevel="1">
      <c r="A2667" s="353"/>
      <c r="B2667" s="38"/>
      <c r="C2667" s="174"/>
      <c r="D2667" s="174"/>
      <c r="E2667" s="174"/>
      <c r="F2667" s="174"/>
      <c r="G2667" s="174"/>
      <c r="H2667" s="174"/>
      <c r="I2667" s="174"/>
      <c r="J2667" s="174"/>
      <c r="K2667" s="174"/>
      <c r="L2667" s="174"/>
      <c r="M2667" s="174"/>
      <c r="N2667" s="174"/>
      <c r="O2667" s="174"/>
      <c r="P2667" s="174"/>
      <c r="Q2667" s="174"/>
      <c r="R2667" s="174"/>
      <c r="S2667" s="174"/>
      <c r="T2667" s="174"/>
      <c r="U2667" s="174"/>
      <c r="V2667" s="174"/>
      <c r="W2667" s="160"/>
      <c r="X2667" s="160"/>
      <c r="Y2667" s="160"/>
      <c r="Z2667" s="160"/>
      <c r="AA2667" s="160"/>
      <c r="AB2667" s="160"/>
      <c r="AC2667" s="160"/>
      <c r="AD2667" s="160"/>
      <c r="AE2667" s="160">
        <f>IF($AE$2478&gt;0,'Assumptions (Battery)'!V13*$AE$2480,0)</f>
        <v>0.2102745873</v>
      </c>
      <c r="AF2667" s="160">
        <f>IF($AE$2478&gt;0,'Assumptions (Battery)'!W13*$AE$2480,0)</f>
        <v>0.3603656153</v>
      </c>
      <c r="AG2667" s="160">
        <f>IF($AE$2478&gt;0,'Assumptions (Battery)'!X13*$AE$2480,0)</f>
        <v>0.2573619686</v>
      </c>
      <c r="AH2667" s="160">
        <f>IF($AE$2478&gt;0,'Assumptions (Battery)'!Y13*$AE$2480,0)</f>
        <v>0.1837879353</v>
      </c>
      <c r="AI2667" s="160">
        <f>IF($AE$2478&gt;0,'Assumptions (Battery)'!Z13*$AE$2480,0)</f>
        <v>0.1314032235</v>
      </c>
      <c r="AJ2667" s="160">
        <f>IF($AE$2478&gt;0,'Assumptions (Battery)'!AA13*$AE$2480,0)</f>
        <v>0.1312560755</v>
      </c>
      <c r="AK2667" s="160">
        <f>IF($AE$2478&gt;0,'Assumptions (Battery)'!AB13*$AE$2480,0)</f>
        <v>0.1314032235</v>
      </c>
      <c r="AL2667" s="160">
        <f>IF($AE$2478&gt;0,'Assumptions (Battery)'!AC13*$AE$2480,0)</f>
        <v>0.06562803773</v>
      </c>
      <c r="AM2667" s="160">
        <f>IF($AE$2478&gt;0,'Assumptions (Battery)'!AD13*$AE$2480,0)</f>
        <v>0</v>
      </c>
      <c r="AN2667" s="160">
        <f>IF($AE$2478&gt;0,'Assumptions (Battery)'!AE13*$AE$2480,0)</f>
        <v>0</v>
      </c>
      <c r="AO2667" s="160">
        <f>IF($AE$2478&gt;0,'Assumptions (Battery)'!AF13*$AE$2480,0)</f>
        <v>0</v>
      </c>
      <c r="AP2667" s="160">
        <f>IF($AE$2478&gt;0,'Assumptions (Battery)'!AG13*$AE$2480,0)</f>
        <v>0</v>
      </c>
      <c r="AQ2667" s="160">
        <f>IF($AE$2478&gt;0,'Assumptions (Battery)'!AH13*$AE$2480,0)</f>
        <v>0</v>
      </c>
      <c r="AR2667" s="160">
        <f>IF($AE$2478&gt;0,'Assumptions (Battery)'!AI13*$AE$2480,0)</f>
        <v>0</v>
      </c>
      <c r="AS2667" s="160">
        <f>IF($AE$2478&gt;0,'Assumptions (Battery)'!AJ13*$AE$2480,0)</f>
        <v>0</v>
      </c>
      <c r="AT2667" s="160">
        <f>IF($AE$2478&gt;0,'Assumptions (Battery)'!AK13*$AE$2480,0)</f>
        <v>0</v>
      </c>
      <c r="AU2667" s="160"/>
      <c r="AV2667" s="160"/>
      <c r="AW2667" s="160"/>
      <c r="AX2667" s="160"/>
      <c r="AY2667" s="160"/>
      <c r="AZ2667" s="160"/>
      <c r="BA2667" s="160"/>
      <c r="BB2667" s="160"/>
      <c r="BC2667" s="160"/>
    </row>
    <row r="2668" ht="15.75" hidden="1" customHeight="1" outlineLevel="1">
      <c r="A2668" s="353"/>
      <c r="B2668" s="38"/>
      <c r="C2668" s="174"/>
      <c r="D2668" s="174"/>
      <c r="E2668" s="174"/>
      <c r="F2668" s="174"/>
      <c r="G2668" s="174"/>
      <c r="H2668" s="174"/>
      <c r="I2668" s="174"/>
      <c r="J2668" s="174"/>
      <c r="K2668" s="174"/>
      <c r="L2668" s="174"/>
      <c r="M2668" s="174"/>
      <c r="N2668" s="174"/>
      <c r="O2668" s="174"/>
      <c r="P2668" s="174"/>
      <c r="Q2668" s="174"/>
      <c r="R2668" s="174"/>
      <c r="S2668" s="174"/>
      <c r="T2668" s="174"/>
      <c r="U2668" s="174"/>
      <c r="V2668" s="174"/>
      <c r="W2668" s="160"/>
      <c r="X2668" s="160"/>
      <c r="Y2668" s="160"/>
      <c r="Z2668" s="160"/>
      <c r="AA2668" s="160"/>
      <c r="AB2668" s="160"/>
      <c r="AC2668" s="160"/>
      <c r="AD2668" s="160"/>
      <c r="AE2668" s="160"/>
      <c r="AF2668" s="160">
        <f>IF($AF$2478&gt;0,'Assumptions (Battery)'!V13*$AF$2480,0)</f>
        <v>0.205079262</v>
      </c>
      <c r="AG2668" s="160">
        <f>IF($AF$2478&gt;0,'Assumptions (Battery)'!W13*$AF$2480,0)</f>
        <v>0.3514619402</v>
      </c>
      <c r="AH2668" s="160">
        <f>IF($AF$2478&gt;0,'Assumptions (Battery)'!X13*$AF$2480,0)</f>
        <v>0.2510032395</v>
      </c>
      <c r="AI2668" s="160">
        <f>IF($AF$2478&gt;0,'Assumptions (Battery)'!Y13*$AF$2480,0)</f>
        <v>0.1792470247</v>
      </c>
      <c r="AJ2668" s="160">
        <f>IF($AF$2478&gt;0,'Assumptions (Battery)'!Z13*$AF$2480,0)</f>
        <v>0.1281565997</v>
      </c>
      <c r="AK2668" s="160">
        <f>IF($AF$2478&gt;0,'Assumptions (Battery)'!AA13*$AF$2480,0)</f>
        <v>0.1280130873</v>
      </c>
      <c r="AL2668" s="160">
        <f>IF($AF$2478&gt;0,'Assumptions (Battery)'!AB13*$AF$2480,0)</f>
        <v>0.1281565997</v>
      </c>
      <c r="AM2668" s="160">
        <f>IF($AF$2478&gt;0,'Assumptions (Battery)'!AC13*$AF$2480,0)</f>
        <v>0.06400654363</v>
      </c>
      <c r="AN2668" s="160">
        <f>IF($AF$2478&gt;0,'Assumptions (Battery)'!AD13*$AF$2480,0)</f>
        <v>0</v>
      </c>
      <c r="AO2668" s="160">
        <f>IF($AF$2478&gt;0,'Assumptions (Battery)'!AE13*$AF$2480,0)</f>
        <v>0</v>
      </c>
      <c r="AP2668" s="160">
        <f>IF($AF$2478&gt;0,'Assumptions (Battery)'!AF13*$AF$2480,0)</f>
        <v>0</v>
      </c>
      <c r="AQ2668" s="160">
        <f>IF($AF$2478&gt;0,'Assumptions (Battery)'!AG13*$AF$2480,0)</f>
        <v>0</v>
      </c>
      <c r="AR2668" s="160">
        <f>IF($AF$2478&gt;0,'Assumptions (Battery)'!AH13*$AF$2480,0)</f>
        <v>0</v>
      </c>
      <c r="AS2668" s="160">
        <f>IF($AF$2478&gt;0,'Assumptions (Battery)'!AI13*$AF$2480,0)</f>
        <v>0</v>
      </c>
      <c r="AT2668" s="160">
        <f>IF($AF$2478&gt;0,'Assumptions (Battery)'!AJ13*$AF$2480,0)</f>
        <v>0</v>
      </c>
      <c r="AU2668" s="160">
        <f>IF($AF$2478&gt;0,'Assumptions (Battery)'!AK13*$AF$2480,0)</f>
        <v>0</v>
      </c>
      <c r="AV2668" s="160"/>
      <c r="AW2668" s="160"/>
      <c r="AX2668" s="160"/>
      <c r="AY2668" s="160"/>
      <c r="AZ2668" s="160"/>
      <c r="BA2668" s="160"/>
      <c r="BB2668" s="160"/>
      <c r="BC2668" s="160"/>
      <c r="BD2668" s="160"/>
    </row>
    <row r="2669" ht="15.75" hidden="1" customHeight="1" outlineLevel="1">
      <c r="A2669" s="353"/>
      <c r="B2669" s="38"/>
      <c r="C2669" s="174"/>
      <c r="D2669" s="174"/>
      <c r="E2669" s="174"/>
      <c r="F2669" s="174"/>
      <c r="G2669" s="174"/>
      <c r="H2669" s="174"/>
      <c r="I2669" s="174"/>
      <c r="J2669" s="174"/>
      <c r="K2669" s="174"/>
      <c r="L2669" s="174"/>
      <c r="M2669" s="174"/>
      <c r="N2669" s="174"/>
      <c r="O2669" s="174"/>
      <c r="P2669" s="174"/>
      <c r="Q2669" s="174"/>
      <c r="R2669" s="174"/>
      <c r="S2669" s="174"/>
      <c r="T2669" s="174"/>
      <c r="U2669" s="174"/>
      <c r="V2669" s="174"/>
      <c r="W2669" s="160"/>
      <c r="X2669" s="160"/>
      <c r="Y2669" s="160"/>
      <c r="Z2669" s="160"/>
      <c r="AA2669" s="160"/>
      <c r="AB2669" s="160"/>
      <c r="AC2669" s="160"/>
      <c r="AD2669" s="160"/>
      <c r="AE2669" s="160"/>
      <c r="AF2669" s="160"/>
      <c r="AG2669" s="160">
        <f>IF($AG$2478&gt;0,'Assumptions (Battery)'!V13*$AG$2480,0)</f>
        <v>0.2006470255</v>
      </c>
      <c r="AH2669" s="160">
        <f>IF($AG$2478&gt;0,'Assumptions (Battery)'!W13*$AG$2480,0)</f>
        <v>0.3438660361</v>
      </c>
      <c r="AI2669" s="160">
        <f>IF($AG$2478&gt;0,'Assumptions (Battery)'!X13*$AG$2480,0)</f>
        <v>0.2455784798</v>
      </c>
      <c r="AJ2669" s="160">
        <f>IF($AG$2478&gt;0,'Assumptions (Battery)'!Y13*$AG$2480,0)</f>
        <v>0.1753730825</v>
      </c>
      <c r="AK2669" s="160">
        <f>IF($AG$2478&gt;0,'Assumptions (Battery)'!Z13*$AG$2480,0)</f>
        <v>0.1253868396</v>
      </c>
      <c r="AL2669" s="160">
        <f>IF($AG$2478&gt;0,'Assumptions (Battery)'!AA13*$AG$2480,0)</f>
        <v>0.1252464288</v>
      </c>
      <c r="AM2669" s="160">
        <f>IF($AG$2478&gt;0,'Assumptions (Battery)'!AB13*$AG$2480,0)</f>
        <v>0.1253868396</v>
      </c>
      <c r="AN2669" s="160">
        <f>IF($AG$2478&gt;0,'Assumptions (Battery)'!AC13*$AG$2480,0)</f>
        <v>0.06262321441</v>
      </c>
      <c r="AO2669" s="160">
        <f>IF($AG$2478&gt;0,'Assumptions (Battery)'!AD13*$AG$2480,0)</f>
        <v>0</v>
      </c>
      <c r="AP2669" s="160">
        <f>IF($AG$2478&gt;0,'Assumptions (Battery)'!AE13*$AG$2480,0)</f>
        <v>0</v>
      </c>
      <c r="AQ2669" s="160">
        <f>IF($AG$2478&gt;0,'Assumptions (Battery)'!AF13*$AG$2480,0)</f>
        <v>0</v>
      </c>
      <c r="AR2669" s="160">
        <f>IF($AG$2478&gt;0,'Assumptions (Battery)'!AG13*$AG$2480,0)</f>
        <v>0</v>
      </c>
      <c r="AS2669" s="160">
        <f>IF($AG$2478&gt;0,'Assumptions (Battery)'!AH13*$AG$2480,0)</f>
        <v>0</v>
      </c>
      <c r="AT2669" s="160">
        <f>IF($AG$2478&gt;0,'Assumptions (Battery)'!AI13*$AG$2480,0)</f>
        <v>0</v>
      </c>
      <c r="AU2669" s="160">
        <f>IF($AG$2478&gt;0,'Assumptions (Battery)'!AJ13*$AG$2480,0)</f>
        <v>0</v>
      </c>
      <c r="AV2669" s="160">
        <f>IF($AG$2478&gt;0,'Assumptions (Battery)'!AK13*$AG$2480,0)</f>
        <v>0</v>
      </c>
      <c r="AW2669" s="160"/>
      <c r="AX2669" s="160"/>
      <c r="AY2669" s="160"/>
      <c r="AZ2669" s="160"/>
      <c r="BA2669" s="160"/>
      <c r="BB2669" s="160"/>
      <c r="BC2669" s="160"/>
      <c r="BD2669" s="160"/>
      <c r="BE2669" s="160"/>
    </row>
    <row r="2670" ht="15.75" hidden="1" customHeight="1" outlineLevel="1">
      <c r="A2670" s="353"/>
      <c r="B2670" s="38"/>
      <c r="C2670" s="174"/>
      <c r="D2670" s="174"/>
      <c r="E2670" s="174"/>
      <c r="F2670" s="174"/>
      <c r="G2670" s="174"/>
      <c r="H2670" s="174"/>
      <c r="I2670" s="174"/>
      <c r="J2670" s="174"/>
      <c r="K2670" s="174"/>
      <c r="L2670" s="174"/>
      <c r="M2670" s="174"/>
      <c r="N2670" s="174"/>
      <c r="O2670" s="174"/>
      <c r="P2670" s="174"/>
      <c r="Q2670" s="174"/>
      <c r="R2670" s="174"/>
      <c r="S2670" s="174"/>
      <c r="T2670" s="174"/>
      <c r="U2670" s="174"/>
      <c r="V2670" s="174"/>
      <c r="W2670" s="160"/>
      <c r="X2670" s="160"/>
      <c r="Y2670" s="160"/>
      <c r="Z2670" s="160"/>
      <c r="AA2670" s="160"/>
      <c r="AB2670" s="160"/>
      <c r="AC2670" s="160"/>
      <c r="AD2670" s="160"/>
      <c r="AE2670" s="160"/>
      <c r="AF2670" s="160"/>
      <c r="AG2670" s="160"/>
      <c r="AH2670" s="160">
        <f>IF($AH$2478&gt;0,'Assumptions (Battery)'!V13*$AH$2480,0)</f>
        <v>0.2021314267</v>
      </c>
      <c r="AI2670" s="160">
        <f>IF($AH$2478&gt;0,'Assumptions (Battery)'!W13*$AH$2480,0)</f>
        <v>0.3464099819</v>
      </c>
      <c r="AJ2670" s="160">
        <f>IF($AH$2478&gt;0,'Assumptions (Battery)'!X13*$AH$2480,0)</f>
        <v>0.2473952872</v>
      </c>
      <c r="AK2670" s="160">
        <f>IF($AH$2478&gt;0,'Assumptions (Battery)'!Y13*$AH$2480,0)</f>
        <v>0.1766705052</v>
      </c>
      <c r="AL2670" s="160">
        <f>IF($AH$2478&gt;0,'Assumptions (Battery)'!Z13*$AH$2480,0)</f>
        <v>0.1263144605</v>
      </c>
      <c r="AM2670" s="160">
        <f>IF($AH$2478&gt;0,'Assumptions (Battery)'!AA13*$AH$2480,0)</f>
        <v>0.126173011</v>
      </c>
      <c r="AN2670" s="160">
        <f>IF($AH$2478&gt;0,'Assumptions (Battery)'!AB13*$AH$2480,0)</f>
        <v>0.1263144605</v>
      </c>
      <c r="AO2670" s="160">
        <f>IF($AH$2478&gt;0,'Assumptions (Battery)'!AC13*$AH$2480,0)</f>
        <v>0.06308650548</v>
      </c>
      <c r="AP2670" s="160">
        <f>IF($AH$2478&gt;0,'Assumptions (Battery)'!AD13*$AH$2480,0)</f>
        <v>0</v>
      </c>
      <c r="AQ2670" s="160">
        <f>IF($AH$2478&gt;0,'Assumptions (Battery)'!AE13*$AH$2480,0)</f>
        <v>0</v>
      </c>
      <c r="AR2670" s="160">
        <f>IF($AH$2478&gt;0,'Assumptions (Battery)'!AF13*$AH$2480,0)</f>
        <v>0</v>
      </c>
      <c r="AS2670" s="160">
        <f>IF($AH$2478&gt;0,'Assumptions (Battery)'!AG13*$AH$2480,0)</f>
        <v>0</v>
      </c>
      <c r="AT2670" s="160">
        <f>IF($AH$2478&gt;0,'Assumptions (Battery)'!AH13*$AH$2480,0)</f>
        <v>0</v>
      </c>
      <c r="AU2670" s="160">
        <f>IF($AH$2478&gt;0,'Assumptions (Battery)'!AI13*$AH$2480,0)</f>
        <v>0</v>
      </c>
      <c r="AV2670" s="160">
        <f>IF($AH$2478&gt;0,'Assumptions (Battery)'!AJ13*$AH$2480,0)</f>
        <v>0</v>
      </c>
      <c r="AW2670" s="160">
        <f>IF($AH$2478&gt;0,'Assumptions (Battery)'!AK13*$AH$2480,0)</f>
        <v>0</v>
      </c>
      <c r="AX2670" s="160"/>
      <c r="AY2670" s="160"/>
      <c r="AZ2670" s="160"/>
      <c r="BA2670" s="160"/>
      <c r="BB2670" s="160"/>
      <c r="BC2670" s="160"/>
      <c r="BD2670" s="160"/>
      <c r="BE2670" s="160"/>
      <c r="BF2670" s="160"/>
    </row>
    <row r="2671" ht="15.75" hidden="1" customHeight="1" outlineLevel="1">
      <c r="A2671" s="353"/>
      <c r="B2671" s="38"/>
      <c r="C2671" s="174"/>
      <c r="D2671" s="174"/>
      <c r="E2671" s="174"/>
      <c r="F2671" s="174"/>
      <c r="G2671" s="174"/>
      <c r="H2671" s="174"/>
      <c r="I2671" s="174"/>
      <c r="J2671" s="174"/>
      <c r="K2671" s="174"/>
      <c r="L2671" s="174"/>
      <c r="M2671" s="174"/>
      <c r="N2671" s="174"/>
      <c r="O2671" s="174"/>
      <c r="P2671" s="174"/>
      <c r="Q2671" s="174"/>
      <c r="R2671" s="174"/>
      <c r="S2671" s="174"/>
      <c r="T2671" s="174"/>
      <c r="U2671" s="174"/>
      <c r="V2671" s="174"/>
      <c r="W2671" s="160"/>
      <c r="X2671" s="160"/>
      <c r="Y2671" s="160"/>
      <c r="Z2671" s="160"/>
      <c r="AA2671" s="160"/>
      <c r="AB2671" s="160"/>
      <c r="AC2671" s="160"/>
      <c r="AD2671" s="160"/>
      <c r="AE2671" s="160"/>
      <c r="AF2671" s="160"/>
      <c r="AG2671" s="160"/>
      <c r="AH2671" s="160"/>
      <c r="AI2671" s="160">
        <f>IF($AI$2478&gt;0,'Assumptions (Battery)'!V13*$AI$2480,0)</f>
        <v>0.2035434414</v>
      </c>
      <c r="AJ2671" s="160">
        <f>IF($AI$2478&gt;0,'Assumptions (Battery)'!W13*$AI$2480,0)</f>
        <v>0.3488298726</v>
      </c>
      <c r="AK2671" s="160">
        <f>IF($AI$2478&gt;0,'Assumptions (Battery)'!X13*$AI$2480,0)</f>
        <v>0.2491234982</v>
      </c>
      <c r="AL2671" s="160">
        <f>IF($AI$2478&gt;0,'Assumptions (Battery)'!Y13*$AI$2480,0)</f>
        <v>0.1779046594</v>
      </c>
      <c r="AM2671" s="160">
        <f>IF($AI$2478&gt;0,'Assumptions (Battery)'!Z13*$AI$2480,0)</f>
        <v>0.1271968462</v>
      </c>
      <c r="AN2671" s="160">
        <f>IF($AI$2478&gt;0,'Assumptions (Battery)'!AA13*$AI$2480,0)</f>
        <v>0.1270544085</v>
      </c>
      <c r="AO2671" s="160">
        <f>IF($AI$2478&gt;0,'Assumptions (Battery)'!AB13*$AI$2480,0)</f>
        <v>0.1271968462</v>
      </c>
      <c r="AP2671" s="160">
        <f>IF($AI$2478&gt;0,'Assumptions (Battery)'!AC13*$AI$2480,0)</f>
        <v>0.06352720424</v>
      </c>
      <c r="AQ2671" s="160">
        <f>IF($AI$2478&gt;0,'Assumptions (Battery)'!AD13*$AI$2480,0)</f>
        <v>0</v>
      </c>
      <c r="AR2671" s="160">
        <f>IF($AI$2478&gt;0,'Assumptions (Battery)'!AE13*$AI$2480,0)</f>
        <v>0</v>
      </c>
      <c r="AS2671" s="160">
        <f>IF($AI$2478&gt;0,'Assumptions (Battery)'!AF13*$AI$2480,0)</f>
        <v>0</v>
      </c>
      <c r="AT2671" s="160">
        <f>IF($AI$2478&gt;0,'Assumptions (Battery)'!AG13*$AI$2480,0)</f>
        <v>0</v>
      </c>
      <c r="AU2671" s="160">
        <f>IF($AI$2478&gt;0,'Assumptions (Battery)'!AH13*$AI$2480,0)</f>
        <v>0</v>
      </c>
      <c r="AV2671" s="160">
        <f>IF($AI$2478&gt;0,'Assumptions (Battery)'!AI13*$AI$2480,0)</f>
        <v>0</v>
      </c>
      <c r="AW2671" s="160">
        <f>IF($AI$2478&gt;0,'Assumptions (Battery)'!AJ13*$AI$2480,0)</f>
        <v>0</v>
      </c>
      <c r="AX2671" s="160">
        <f>IF($AI$2478&gt;0,'Assumptions (Battery)'!AK13*$AI$2480,0)</f>
        <v>0</v>
      </c>
      <c r="AY2671" s="160"/>
      <c r="AZ2671" s="160"/>
      <c r="BA2671" s="160"/>
      <c r="BB2671" s="160"/>
      <c r="BC2671" s="160"/>
      <c r="BD2671" s="160"/>
      <c r="BE2671" s="160"/>
      <c r="BF2671" s="160"/>
      <c r="BG2671" s="160"/>
    </row>
    <row r="2672" ht="15.75" hidden="1" customHeight="1" outlineLevel="1">
      <c r="A2672" s="353"/>
      <c r="B2672" s="38"/>
      <c r="C2672" s="174"/>
      <c r="D2672" s="174"/>
      <c r="E2672" s="174"/>
      <c r="F2672" s="174"/>
      <c r="G2672" s="174"/>
      <c r="H2672" s="174"/>
      <c r="I2672" s="174"/>
      <c r="J2672" s="174"/>
      <c r="K2672" s="174"/>
      <c r="L2672" s="174"/>
      <c r="M2672" s="174"/>
      <c r="N2672" s="174"/>
      <c r="O2672" s="174"/>
      <c r="P2672" s="174"/>
      <c r="Q2672" s="174"/>
      <c r="R2672" s="174"/>
      <c r="S2672" s="174"/>
      <c r="T2672" s="174"/>
      <c r="U2672" s="174"/>
      <c r="V2672" s="174"/>
      <c r="W2672" s="160"/>
      <c r="X2672" s="160"/>
      <c r="Y2672" s="160"/>
      <c r="Z2672" s="160"/>
      <c r="AA2672" s="160"/>
      <c r="AB2672" s="160"/>
      <c r="AC2672" s="160"/>
      <c r="AD2672" s="160"/>
      <c r="AE2672" s="160"/>
      <c r="AF2672" s="160"/>
      <c r="AG2672" s="160"/>
      <c r="AH2672" s="160"/>
      <c r="AI2672" s="160"/>
      <c r="AJ2672" s="160">
        <f>IF($AJ$2478&gt;0,'Assumptions (Battery)'!V13*$AJ$2480,0)</f>
        <v>0.2039067179</v>
      </c>
      <c r="AK2672" s="160">
        <f>IF($AJ$2478&gt;0,'Assumptions (Battery)'!W13*$AJ$2480,0)</f>
        <v>0.3494524508</v>
      </c>
      <c r="AL2672" s="160">
        <f>IF($AJ$2478&gt;0,'Assumptions (Battery)'!X13*$AJ$2480,0)</f>
        <v>0.2495681243</v>
      </c>
      <c r="AM2672" s="160">
        <f>IF($AJ$2478&gt;0,'Assumptions (Battery)'!Y13*$AJ$2480,0)</f>
        <v>0.1782221768</v>
      </c>
      <c r="AN2672" s="160">
        <f>IF($AJ$2478&gt;0,'Assumptions (Battery)'!Z13*$AJ$2480,0)</f>
        <v>0.1274238622</v>
      </c>
      <c r="AO2672" s="160">
        <f>IF($AJ$2478&gt;0,'Assumptions (Battery)'!AA13*$AJ$2480,0)</f>
        <v>0.1272811703</v>
      </c>
      <c r="AP2672" s="160">
        <f>IF($AJ$2478&gt;0,'Assumptions (Battery)'!AB13*$AJ$2480,0)</f>
        <v>0.1274238622</v>
      </c>
      <c r="AQ2672" s="160">
        <f>IF($AJ$2478&gt;0,'Assumptions (Battery)'!AC13*$AJ$2480,0)</f>
        <v>0.06364058516</v>
      </c>
      <c r="AR2672" s="160">
        <f>IF($AJ$2478&gt;0,'Assumptions (Battery)'!AD13*$AJ$2480,0)</f>
        <v>0</v>
      </c>
      <c r="AS2672" s="160">
        <f>IF($AJ$2478&gt;0,'Assumptions (Battery)'!AE13*$AJ$2480,0)</f>
        <v>0</v>
      </c>
      <c r="AT2672" s="160">
        <f>IF($AJ$2478&gt;0,'Assumptions (Battery)'!AF13*$AJ$2480,0)</f>
        <v>0</v>
      </c>
      <c r="AU2672" s="160">
        <f>IF($AJ$2478&gt;0,'Assumptions (Battery)'!AG13*$AJ$2480,0)</f>
        <v>0</v>
      </c>
      <c r="AV2672" s="160">
        <f>IF($AJ$2478&gt;0,'Assumptions (Battery)'!AH13*$AJ$2480,0)</f>
        <v>0</v>
      </c>
      <c r="AW2672" s="160">
        <f>IF($AJ$2478&gt;0,'Assumptions (Battery)'!AI13*$AJ$2480,0)</f>
        <v>0</v>
      </c>
      <c r="AX2672" s="160">
        <f>IF($AJ$2478&gt;0,'Assumptions (Battery)'!AJ13*$AJ$2480,0)</f>
        <v>0</v>
      </c>
      <c r="AY2672" s="160">
        <f>IF($AJ$2478&gt;0,'Assumptions (Battery)'!AK13*$AJ$2480,0)</f>
        <v>0</v>
      </c>
      <c r="AZ2672" s="160"/>
      <c r="BA2672" s="160"/>
      <c r="BB2672" s="177"/>
      <c r="BC2672" s="177"/>
      <c r="BD2672" s="177"/>
      <c r="BE2672" s="177"/>
      <c r="BF2672" s="177"/>
      <c r="BG2672" s="177"/>
      <c r="BH2672" s="177"/>
    </row>
    <row r="2673" ht="15.75" hidden="1" customHeight="1" outlineLevel="1">
      <c r="A2673" s="353"/>
      <c r="B2673" s="38"/>
      <c r="C2673" s="174"/>
      <c r="D2673" s="174"/>
      <c r="E2673" s="174"/>
      <c r="F2673" s="174"/>
      <c r="G2673" s="174"/>
      <c r="H2673" s="174"/>
      <c r="I2673" s="174"/>
      <c r="J2673" s="174"/>
      <c r="K2673" s="174"/>
      <c r="L2673" s="174"/>
      <c r="M2673" s="174"/>
      <c r="N2673" s="174"/>
      <c r="O2673" s="174"/>
      <c r="P2673" s="174"/>
      <c r="Q2673" s="174"/>
      <c r="R2673" s="174"/>
      <c r="S2673" s="174"/>
      <c r="T2673" s="174"/>
      <c r="U2673" s="174"/>
      <c r="V2673" s="174"/>
      <c r="W2673" s="160"/>
      <c r="X2673" s="160"/>
      <c r="Y2673" s="160"/>
      <c r="Z2673" s="160"/>
      <c r="AA2673" s="160"/>
      <c r="AB2673" s="160"/>
      <c r="AC2673" s="160"/>
      <c r="AD2673" s="160"/>
      <c r="AE2673" s="160"/>
      <c r="AF2673" s="160"/>
      <c r="AG2673" s="160"/>
      <c r="AH2673" s="160"/>
      <c r="AI2673" s="160"/>
      <c r="AJ2673" s="160"/>
      <c r="AK2673" s="160">
        <f>IF($AK$2478&gt;0,'Assumptions (Battery)'!V13*$AK$2480,0)</f>
        <v>0.2053350049</v>
      </c>
      <c r="AL2673" s="160">
        <f>IF($AK$2478&gt;0,'Assumptions (Battery)'!W13*$AK$2480,0)</f>
        <v>0.3519002288</v>
      </c>
      <c r="AM2673" s="160">
        <f>IF($AK$2478&gt;0,'Assumptions (Battery)'!X13*$AK$2480,0)</f>
        <v>0.2513162516</v>
      </c>
      <c r="AN2673" s="160">
        <f>IF($AK$2478&gt;0,'Assumptions (Battery)'!Y13*$AK$2480,0)</f>
        <v>0.1794705536</v>
      </c>
      <c r="AO2673" s="160">
        <f>IF($AK$2478&gt;0,'Assumptions (Battery)'!Z13*$AK$2480,0)</f>
        <v>0.1283164166</v>
      </c>
      <c r="AP2673" s="160">
        <f>IF($AK$2478&gt;0,'Assumptions (Battery)'!AA13*$AK$2480,0)</f>
        <v>0.1281727252</v>
      </c>
      <c r="AQ2673" s="160">
        <f>IF($AK$2478&gt;0,'Assumptions (Battery)'!AB13*$AK$2480,0)</f>
        <v>0.1283164166</v>
      </c>
      <c r="AR2673" s="160">
        <f>IF($AK$2478&gt;0,'Assumptions (Battery)'!AC13*$AK$2480,0)</f>
        <v>0.06408636261</v>
      </c>
      <c r="AS2673" s="160">
        <f>IF($AK$2478&gt;0,'Assumptions (Battery)'!AD13*$AK$2480,0)</f>
        <v>0</v>
      </c>
      <c r="AT2673" s="160">
        <f>IF($AK$2478&gt;0,'Assumptions (Battery)'!AE13*$AK$2480,0)</f>
        <v>0</v>
      </c>
      <c r="AU2673" s="160">
        <f>IF($AK$2478&gt;0,'Assumptions (Battery)'!AF13*$AK$2480,0)</f>
        <v>0</v>
      </c>
      <c r="AV2673" s="160">
        <f>IF($AK$2478&gt;0,'Assumptions (Battery)'!AG13*$AK$2480,0)</f>
        <v>0</v>
      </c>
      <c r="AW2673" s="160">
        <f>IF($AK$2478&gt;0,'Assumptions (Battery)'!AH13*$AK$2480,0)</f>
        <v>0</v>
      </c>
      <c r="AX2673" s="160">
        <f>IF($AK$2478&gt;0,'Assumptions (Battery)'!AI13*$AK$2480,0)</f>
        <v>0</v>
      </c>
      <c r="AY2673" s="160">
        <f>IF($AK$2478&gt;0,'Assumptions (Battery)'!AJ13*$AK$2480,0)</f>
        <v>0</v>
      </c>
      <c r="AZ2673" s="160">
        <f>IF($AK$2478&gt;0,'Assumptions (Battery)'!AK13*$AK$2480,0)</f>
        <v>0</v>
      </c>
      <c r="BA2673" s="160"/>
      <c r="BB2673" s="177"/>
      <c r="BC2673" s="177"/>
      <c r="BD2673" s="177"/>
      <c r="BE2673" s="177"/>
      <c r="BF2673" s="177"/>
      <c r="BG2673" s="177"/>
      <c r="BH2673" s="177"/>
      <c r="BI2673" s="177"/>
    </row>
    <row r="2674" ht="15.75" hidden="1" customHeight="1" outlineLevel="1">
      <c r="A2674" s="353"/>
      <c r="B2674" s="38"/>
      <c r="C2674" s="174"/>
      <c r="D2674" s="174"/>
      <c r="E2674" s="174"/>
      <c r="F2674" s="174"/>
      <c r="G2674" s="174"/>
      <c r="H2674" s="174"/>
      <c r="I2674" s="174"/>
      <c r="J2674" s="174"/>
      <c r="K2674" s="174"/>
      <c r="L2674" s="174"/>
      <c r="M2674" s="174"/>
      <c r="N2674" s="174"/>
      <c r="O2674" s="174"/>
      <c r="P2674" s="174"/>
      <c r="Q2674" s="174"/>
      <c r="R2674" s="174"/>
      <c r="S2674" s="174"/>
      <c r="T2674" s="174"/>
      <c r="U2674" s="174"/>
      <c r="V2674" s="174"/>
      <c r="W2674" s="160"/>
      <c r="X2674" s="160"/>
      <c r="Y2674" s="160"/>
      <c r="Z2674" s="160"/>
      <c r="AA2674" s="160"/>
      <c r="AB2674" s="160"/>
      <c r="AC2674" s="160"/>
      <c r="AD2674" s="160"/>
      <c r="AE2674" s="160"/>
      <c r="AF2674" s="160"/>
      <c r="AG2674" s="160"/>
      <c r="AH2674" s="160"/>
      <c r="AI2674" s="160"/>
      <c r="AJ2674" s="160"/>
      <c r="AK2674" s="160"/>
      <c r="AL2674" s="160">
        <f>IF($AL$2478&gt;0,'Assumptions (Battery)'!V13*$AL$2480,0)</f>
        <v>0.2065766892</v>
      </c>
      <c r="AM2674" s="160">
        <f>IF($AL$2478&gt;0,'Assumptions (Battery)'!W13*$AL$2480,0)</f>
        <v>0.3540282099</v>
      </c>
      <c r="AN2674" s="160">
        <f>IF($AL$2478&gt;0,'Assumptions (Battery)'!X13*$AL$2480,0)</f>
        <v>0.2528359898</v>
      </c>
      <c r="AO2674" s="160">
        <f>IF($AL$2478&gt;0,'Assumptions (Battery)'!Y13*$AL$2480,0)</f>
        <v>0.1805558326</v>
      </c>
      <c r="AP2674" s="160">
        <f>IF($AL$2478&gt;0,'Assumptions (Battery)'!Z13*$AL$2480,0)</f>
        <v>0.1290923607</v>
      </c>
      <c r="AQ2674" s="160">
        <f>IF($AL$2478&gt;0,'Assumptions (Battery)'!AA13*$AL$2480,0)</f>
        <v>0.1289478004</v>
      </c>
      <c r="AR2674" s="160">
        <f>IF($AL$2478&gt;0,'Assumptions (Battery)'!AB13*$AL$2480,0)</f>
        <v>0.1290923607</v>
      </c>
      <c r="AS2674" s="160">
        <f>IF($AL$2478&gt;0,'Assumptions (Battery)'!AC13*$AL$2480,0)</f>
        <v>0.06447390021</v>
      </c>
      <c r="AT2674" s="160">
        <f>IF($AL$2478&gt;0,'Assumptions (Battery)'!AD13*$AL$2480,0)</f>
        <v>0</v>
      </c>
      <c r="AU2674" s="160">
        <f>IF($AL$2478&gt;0,'Assumptions (Battery)'!AE13*$AL$2480,0)</f>
        <v>0</v>
      </c>
      <c r="AV2674" s="160">
        <f>IF($AL$2478&gt;0,'Assumptions (Battery)'!AF13*$AL$2480,0)</f>
        <v>0</v>
      </c>
      <c r="AW2674" s="160">
        <f>IF($AL$2478&gt;0,'Assumptions (Battery)'!AG13*$AL$2480,0)</f>
        <v>0</v>
      </c>
      <c r="AX2674" s="160">
        <f>IF($AL$2478&gt;0,'Assumptions (Battery)'!AH13*$AL$2480,0)</f>
        <v>0</v>
      </c>
      <c r="AY2674" s="160">
        <f>IF($AL$2478&gt;0,'Assumptions (Battery)'!AI13*$AL$2480,0)</f>
        <v>0</v>
      </c>
      <c r="AZ2674" s="160">
        <f>IF($AL$2478&gt;0,'Assumptions (Battery)'!AJ13*$AL$2480,0)</f>
        <v>0</v>
      </c>
      <c r="BA2674" s="160">
        <f>IF($AL$2478&gt;0,'Assumptions (Battery)'!AK13*$AL$2480,0)</f>
        <v>0</v>
      </c>
      <c r="BB2674" s="177"/>
      <c r="BC2674" s="177"/>
      <c r="BD2674" s="177"/>
      <c r="BE2674" s="177"/>
      <c r="BF2674" s="177"/>
      <c r="BG2674" s="177"/>
      <c r="BH2674" s="177"/>
      <c r="BI2674" s="177"/>
      <c r="BJ2674" s="177"/>
    </row>
    <row r="2675" ht="15.75" hidden="1" customHeight="1" outlineLevel="1">
      <c r="A2675" s="353"/>
      <c r="B2675" s="38"/>
      <c r="C2675" s="174"/>
      <c r="D2675" s="174"/>
      <c r="E2675" s="174"/>
      <c r="F2675" s="174"/>
      <c r="G2675" s="174"/>
      <c r="H2675" s="174"/>
      <c r="I2675" s="174"/>
      <c r="J2675" s="174"/>
      <c r="K2675" s="174"/>
      <c r="L2675" s="174"/>
      <c r="M2675" s="174"/>
      <c r="N2675" s="174"/>
      <c r="O2675" s="174"/>
      <c r="P2675" s="174"/>
      <c r="Q2675" s="174"/>
      <c r="R2675" s="174"/>
      <c r="S2675" s="174"/>
      <c r="T2675" s="174"/>
      <c r="U2675" s="174"/>
      <c r="V2675" s="174"/>
      <c r="W2675" s="160"/>
      <c r="X2675" s="160"/>
      <c r="Y2675" s="160"/>
      <c r="Z2675" s="160"/>
      <c r="AA2675" s="160"/>
      <c r="AB2675" s="160"/>
      <c r="AC2675" s="160"/>
      <c r="AD2675" s="160"/>
      <c r="AE2675" s="160"/>
      <c r="AF2675" s="160"/>
      <c r="AG2675" s="160"/>
      <c r="AH2675" s="160"/>
      <c r="AI2675" s="160"/>
      <c r="AJ2675" s="160"/>
      <c r="AK2675" s="160"/>
      <c r="AL2675" s="160"/>
      <c r="AM2675" s="160">
        <f>IF($AM$2478&gt;0,'Assumptions (Battery)'!V13*$AM$2480,0)</f>
        <v>0.2079011693</v>
      </c>
      <c r="AN2675" s="160">
        <f>IF($AM$2478&gt;0,'Assumptions (Battery)'!W13*$AM$2480,0)</f>
        <v>0.3562980852</v>
      </c>
      <c r="AO2675" s="160">
        <f>IF($AM$2478&gt;0,'Assumptions (Battery)'!X13*$AM$2480,0)</f>
        <v>0.2544570645</v>
      </c>
      <c r="AP2675" s="160">
        <f>IF($AM$2478&gt;0,'Assumptions (Battery)'!Y13*$AM$2480,0)</f>
        <v>0.1817134783</v>
      </c>
      <c r="AQ2675" s="160">
        <f>IF($AM$2478&gt;0,'Assumptions (Battery)'!Z13*$AM$2480,0)</f>
        <v>0.1299200449</v>
      </c>
      <c r="AR2675" s="160">
        <f>IF($AM$2478&gt;0,'Assumptions (Battery)'!AA13*$AM$2480,0)</f>
        <v>0.1297745578</v>
      </c>
      <c r="AS2675" s="160">
        <f>IF($AM$2478&gt;0,'Assumptions (Battery)'!AB13*$AM$2480,0)</f>
        <v>0.1299200449</v>
      </c>
      <c r="AT2675" s="160">
        <f>IF($AM$2478&gt;0,'Assumptions (Battery)'!AC13*$AM$2480,0)</f>
        <v>0.06488727888</v>
      </c>
      <c r="AU2675" s="160">
        <f>IF($AM$2478&gt;0,'Assumptions (Battery)'!AD13*$AM$2480,0)</f>
        <v>0</v>
      </c>
      <c r="AV2675" s="160">
        <f>IF($AM$2478&gt;0,'Assumptions (Battery)'!AE13*$AM$2480,0)</f>
        <v>0</v>
      </c>
      <c r="AW2675" s="160">
        <f>IF($AM$2478&gt;0,'Assumptions (Battery)'!AF13*$AM$2480,0)</f>
        <v>0</v>
      </c>
      <c r="AX2675" s="160">
        <f>IF($AM$2478&gt;0,'Assumptions (Battery)'!AG13*$AM$2480,0)</f>
        <v>0</v>
      </c>
      <c r="AY2675" s="160">
        <f>IF($AM$2478&gt;0,'Assumptions (Battery)'!AH13*$AM$2480,0)</f>
        <v>0</v>
      </c>
      <c r="AZ2675" s="160">
        <f>IF($AM$2478&gt;0,'Assumptions (Battery)'!AI13*$AM$2480,0)</f>
        <v>0</v>
      </c>
      <c r="BA2675" s="160">
        <f>IF($AM$2478&gt;0,'Assumptions (Battery)'!AJ13*$AM$2480,0)</f>
        <v>0</v>
      </c>
      <c r="BB2675" s="160">
        <f>IF($AM$2478&gt;0,'Assumptions (Battery)'!AK13*$AM$2480,0)</f>
        <v>0</v>
      </c>
      <c r="BC2675" s="160"/>
      <c r="BD2675" s="160"/>
      <c r="BE2675" s="160"/>
      <c r="BF2675" s="160"/>
      <c r="BG2675" s="160"/>
      <c r="BH2675" s="160"/>
      <c r="BI2675" s="160"/>
      <c r="BJ2675" s="160"/>
      <c r="BK2675" s="160"/>
    </row>
    <row r="2676" ht="15.75" hidden="1" customHeight="1" outlineLevel="1">
      <c r="A2676" s="353"/>
      <c r="B2676" s="38"/>
      <c r="C2676" s="174"/>
      <c r="D2676" s="174"/>
      <c r="E2676" s="174"/>
      <c r="F2676" s="174"/>
      <c r="G2676" s="174"/>
      <c r="H2676" s="174"/>
      <c r="I2676" s="174"/>
      <c r="J2676" s="174"/>
      <c r="K2676" s="174"/>
      <c r="L2676" s="174"/>
      <c r="M2676" s="174"/>
      <c r="N2676" s="174"/>
      <c r="O2676" s="174"/>
      <c r="P2676" s="174"/>
      <c r="Q2676" s="174"/>
      <c r="R2676" s="174"/>
      <c r="S2676" s="174"/>
      <c r="T2676" s="174"/>
      <c r="U2676" s="174"/>
      <c r="V2676" s="174"/>
      <c r="W2676" s="160"/>
      <c r="X2676" s="160"/>
      <c r="Y2676" s="160"/>
      <c r="Z2676" s="160"/>
      <c r="AA2676" s="160"/>
      <c r="AB2676" s="160"/>
      <c r="AC2676" s="160"/>
      <c r="AD2676" s="160"/>
      <c r="AE2676" s="160"/>
      <c r="AF2676" s="160"/>
      <c r="AG2676" s="160"/>
      <c r="AH2676" s="160"/>
      <c r="AI2676" s="160"/>
      <c r="AJ2676" s="160"/>
      <c r="AK2676" s="160"/>
      <c r="AL2676" s="160"/>
      <c r="AM2676" s="160"/>
      <c r="AN2676" s="160">
        <f>IF($AN$2478&gt;0,'Assumptions (Battery)'!V13*$AN$2480,0)</f>
        <v>0.4183974097</v>
      </c>
      <c r="AO2676" s="160">
        <f>IF($AN$2478&gt;0,'Assumptions (Battery)'!W13*$AN$2480,0)</f>
        <v>0.7170435663</v>
      </c>
      <c r="AP2676" s="160">
        <f>IF($AN$2478&gt;0,'Assumptions (Battery)'!X13*$AN$2480,0)</f>
        <v>0.5120903216</v>
      </c>
      <c r="AQ2676" s="160">
        <f>IF($AN$2478&gt;0,'Assumptions (Battery)'!Y13*$AN$2480,0)</f>
        <v>0.3656951467</v>
      </c>
      <c r="AR2676" s="160">
        <f>IF($AN$2478&gt;0,'Assumptions (Battery)'!Z13*$AN$2480,0)</f>
        <v>0.2614617822</v>
      </c>
      <c r="AS2676" s="160">
        <f>IF($AN$2478&gt;0,'Assumptions (Battery)'!AA13*$AN$2480,0)</f>
        <v>0.2611689919</v>
      </c>
      <c r="AT2676" s="160">
        <f>IF($AN$2478&gt;0,'Assumptions (Battery)'!AB13*$AN$2480,0)</f>
        <v>0.2614617822</v>
      </c>
      <c r="AU2676" s="160">
        <f>IF($AN$2478&gt;0,'Assumptions (Battery)'!AC13*$AN$2480,0)</f>
        <v>0.1305844959</v>
      </c>
      <c r="AV2676" s="160">
        <f>IF($AN$2478&gt;0,'Assumptions (Battery)'!AD13*$AN$2480,0)</f>
        <v>0</v>
      </c>
      <c r="AW2676" s="160">
        <f>IF($AN$2478&gt;0,'Assumptions (Battery)'!AE13*$AN$2480,0)</f>
        <v>0</v>
      </c>
      <c r="AX2676" s="160">
        <f>IF($AN$2478&gt;0,'Assumptions (Battery)'!AF13*$AN$2480,0)</f>
        <v>0</v>
      </c>
      <c r="AY2676" s="160">
        <f>IF($AN$2478&gt;0,'Assumptions (Battery)'!AG13*$AN$2480,0)</f>
        <v>0</v>
      </c>
      <c r="AZ2676" s="160">
        <f>IF($AN$2478&gt;0,'Assumptions (Battery)'!AH13*$AN$2480,0)</f>
        <v>0</v>
      </c>
      <c r="BA2676" s="160">
        <f>IF($AN$2478&gt;0,'Assumptions (Battery)'!AI13*$AN$2480,0)</f>
        <v>0</v>
      </c>
      <c r="BB2676" s="160">
        <f>IF($AN$2478&gt;0,'Assumptions (Battery)'!AJ13*$AN$2480,0)</f>
        <v>0</v>
      </c>
      <c r="BC2676" s="160">
        <f>IF($AN$2478&gt;0,'Assumptions (Battery)'!AK13*$AN$2480,0)</f>
        <v>0</v>
      </c>
      <c r="BD2676" s="160"/>
      <c r="BE2676" s="160"/>
      <c r="BF2676" s="160"/>
      <c r="BG2676" s="160"/>
      <c r="BH2676" s="160"/>
      <c r="BI2676" s="160"/>
      <c r="BJ2676" s="160"/>
      <c r="BK2676" s="160"/>
      <c r="BL2676" s="160"/>
    </row>
    <row r="2677" ht="15.75" hidden="1" customHeight="1" outlineLevel="1">
      <c r="A2677" s="353"/>
      <c r="B2677" s="38"/>
      <c r="C2677" s="174"/>
      <c r="D2677" s="174"/>
      <c r="E2677" s="174"/>
      <c r="F2677" s="174"/>
      <c r="G2677" s="174"/>
      <c r="H2677" s="174"/>
      <c r="I2677" s="174"/>
      <c r="J2677" s="174"/>
      <c r="K2677" s="174"/>
      <c r="L2677" s="174"/>
      <c r="M2677" s="174"/>
      <c r="N2677" s="174"/>
      <c r="O2677" s="174"/>
      <c r="P2677" s="174"/>
      <c r="Q2677" s="174"/>
      <c r="R2677" s="174"/>
      <c r="S2677" s="174"/>
      <c r="T2677" s="174"/>
      <c r="U2677" s="174"/>
      <c r="V2677" s="174"/>
      <c r="W2677" s="160"/>
      <c r="X2677" s="160"/>
      <c r="Y2677" s="160"/>
      <c r="Z2677" s="160"/>
      <c r="AA2677" s="160"/>
      <c r="AB2677" s="160"/>
      <c r="AC2677" s="160"/>
      <c r="AD2677" s="160"/>
      <c r="AE2677" s="160"/>
      <c r="AF2677" s="160"/>
      <c r="AG2677" s="160"/>
      <c r="AH2677" s="160"/>
      <c r="AI2677" s="160"/>
      <c r="AJ2677" s="160"/>
      <c r="AK2677" s="160"/>
      <c r="AL2677" s="160"/>
      <c r="AM2677" s="160"/>
      <c r="AN2677" s="160"/>
      <c r="AO2677" s="160">
        <f>IF($AO$2478&gt;0,'Assumptions (Battery)'!V13*$AO$2480,0)</f>
        <v>0.4209354806</v>
      </c>
      <c r="AP2677" s="160">
        <f>IF($AO$2478&gt;0,'Assumptions (Battery)'!W13*$AO$2480,0)</f>
        <v>0.7213932764</v>
      </c>
      <c r="AQ2677" s="160">
        <f>IF($AO$2478&gt;0,'Assumptions (Battery)'!X13*$AO$2480,0)</f>
        <v>0.5151967499</v>
      </c>
      <c r="AR2677" s="160">
        <f>IF($AO$2478&gt;0,'Assumptions (Battery)'!Y13*$AO$2480,0)</f>
        <v>0.3679135166</v>
      </c>
      <c r="AS2677" s="160">
        <f>IF($AO$2478&gt;0,'Assumptions (Battery)'!Z13*$AO$2480,0)</f>
        <v>0.2630478546</v>
      </c>
      <c r="AT2677" s="160">
        <f>IF($AO$2478&gt;0,'Assumptions (Battery)'!AA13*$AO$2480,0)</f>
        <v>0.2627532881</v>
      </c>
      <c r="AU2677" s="160">
        <f>IF($AO$2478&gt;0,'Assumptions (Battery)'!AB13*$AO$2480,0)</f>
        <v>0.2630478546</v>
      </c>
      <c r="AV2677" s="160">
        <f>IF($AO$2478&gt;0,'Assumptions (Battery)'!AC13*$AO$2480,0)</f>
        <v>0.131376644</v>
      </c>
      <c r="AW2677" s="160">
        <f>IF($AO$2478&gt;0,'Assumptions (Battery)'!AD13*$AO$2480,0)</f>
        <v>0</v>
      </c>
      <c r="AX2677" s="160">
        <f>IF($AO$2478&gt;0,'Assumptions (Battery)'!AE13*$AO$2480,0)</f>
        <v>0</v>
      </c>
      <c r="AY2677" s="160">
        <f>IF($AO$2478&gt;0,'Assumptions (Battery)'!AF13*$AO$2480,0)</f>
        <v>0</v>
      </c>
      <c r="AZ2677" s="160">
        <f>IF($AO$2478&gt;0,'Assumptions (Battery)'!AG13*$AO$2480,0)</f>
        <v>0</v>
      </c>
      <c r="BA2677" s="160">
        <f>IF($AO$2478&gt;0,'Assumptions (Battery)'!AH13*$AO$2480,0)</f>
        <v>0</v>
      </c>
      <c r="BB2677" s="160">
        <f>IF($AO$2478&gt;0,'Assumptions (Battery)'!AI13*$AO$2480,0)</f>
        <v>0</v>
      </c>
      <c r="BC2677" s="160">
        <f>IF($AO$2478&gt;0,'Assumptions (Battery)'!AJ13*$AO$2480,0)</f>
        <v>0</v>
      </c>
      <c r="BD2677" s="160">
        <f>IF($AO$2478&gt;0,'Assumptions (Battery)'!AK13*$AO$2480,0)</f>
        <v>0</v>
      </c>
      <c r="BE2677" s="160"/>
      <c r="BF2677" s="160"/>
      <c r="BG2677" s="160"/>
      <c r="BH2677" s="160"/>
      <c r="BI2677" s="160"/>
      <c r="BJ2677" s="160"/>
      <c r="BK2677" s="160"/>
      <c r="BL2677" s="160"/>
      <c r="BM2677" s="160"/>
    </row>
    <row r="2678" ht="15.75" hidden="1" customHeight="1" outlineLevel="1">
      <c r="A2678" s="353"/>
      <c r="B2678" s="38"/>
      <c r="C2678" s="174"/>
      <c r="D2678" s="174"/>
      <c r="E2678" s="174"/>
      <c r="F2678" s="174"/>
      <c r="G2678" s="174"/>
      <c r="H2678" s="174"/>
      <c r="I2678" s="174"/>
      <c r="J2678" s="174"/>
      <c r="K2678" s="174"/>
      <c r="L2678" s="174"/>
      <c r="M2678" s="174"/>
      <c r="N2678" s="174"/>
      <c r="O2678" s="174"/>
      <c r="P2678" s="174"/>
      <c r="Q2678" s="174"/>
      <c r="R2678" s="174"/>
      <c r="S2678" s="174"/>
      <c r="T2678" s="174"/>
      <c r="U2678" s="174"/>
      <c r="V2678" s="174"/>
      <c r="W2678" s="160"/>
      <c r="X2678" s="160"/>
      <c r="Y2678" s="160"/>
      <c r="Z2678" s="160"/>
      <c r="AA2678" s="160"/>
      <c r="AB2678" s="160"/>
      <c r="AC2678" s="160"/>
      <c r="AD2678" s="160"/>
      <c r="AE2678" s="160"/>
      <c r="AF2678" s="160"/>
      <c r="AG2678" s="160"/>
      <c r="AH2678" s="160"/>
      <c r="AI2678" s="160"/>
      <c r="AJ2678" s="160"/>
      <c r="AK2678" s="160"/>
      <c r="AL2678" s="160"/>
      <c r="AM2678" s="160"/>
      <c r="AN2678" s="160"/>
      <c r="AO2678" s="160"/>
      <c r="AP2678" s="160">
        <f>IF($AP$2478&gt;0,'Assumptions (Battery)'!V13*$AP$2480,0)</f>
        <v>0.4236024206</v>
      </c>
      <c r="AQ2678" s="160">
        <f>IF($AP$2478&gt;0,'Assumptions (Battery)'!W13*$AP$2480,0)</f>
        <v>0.7259638405</v>
      </c>
      <c r="AR2678" s="160">
        <f>IF($AP$2478&gt;0,'Assumptions (Battery)'!X13*$AP$2480,0)</f>
        <v>0.5184609053</v>
      </c>
      <c r="AS2678" s="160">
        <f>IF($AP$2478&gt;0,'Assumptions (Battery)'!Y13*$AP$2480,0)</f>
        <v>0.370244523</v>
      </c>
      <c r="AT2678" s="160">
        <f>IF($AP$2478&gt;0,'Assumptions (Battery)'!Z13*$AP$2480,0)</f>
        <v>0.2647144588</v>
      </c>
      <c r="AU2678" s="160">
        <f>IF($AP$2478&gt;0,'Assumptions (Battery)'!AA13*$AP$2480,0)</f>
        <v>0.264418026</v>
      </c>
      <c r="AV2678" s="160">
        <f>IF($AP$2478&gt;0,'Assumptions (Battery)'!AB13*$AP$2480,0)</f>
        <v>0.2647144588</v>
      </c>
      <c r="AW2678" s="160">
        <f>IF($AP$2478&gt;0,'Assumptions (Battery)'!AC13*$AP$2480,0)</f>
        <v>0.132209013</v>
      </c>
      <c r="AX2678" s="160">
        <f>IF($AP$2478&gt;0,'Assumptions (Battery)'!AD13*$AP$2480,0)</f>
        <v>0</v>
      </c>
      <c r="AY2678" s="160">
        <f>IF($AP$2478&gt;0,'Assumptions (Battery)'!AE13*$AP$2480,0)</f>
        <v>0</v>
      </c>
      <c r="AZ2678" s="160">
        <f>IF($AP$2478&gt;0,'Assumptions (Battery)'!AF13*$AP$2480,0)</f>
        <v>0</v>
      </c>
      <c r="BA2678" s="160">
        <f>IF($AP$2478&gt;0,'Assumptions (Battery)'!AG13*$AP$2480,0)</f>
        <v>0</v>
      </c>
      <c r="BB2678" s="160">
        <f>IF($AP$2478&gt;0,'Assumptions (Battery)'!AH13*$AP$2480,0)</f>
        <v>0</v>
      </c>
      <c r="BC2678" s="160">
        <f>IF($AP$2478&gt;0,'Assumptions (Battery)'!AI13*$AP$2480,0)</f>
        <v>0</v>
      </c>
      <c r="BD2678" s="160">
        <f>IF($AP$2478&gt;0,'Assumptions (Battery)'!AJ13*$AP$2480,0)</f>
        <v>0</v>
      </c>
      <c r="BE2678" s="160">
        <f>IF($AP$2478&gt;0,'Assumptions (Battery)'!AK13*$AP$2480,0)</f>
        <v>0</v>
      </c>
      <c r="BF2678" s="160"/>
      <c r="BG2678" s="160"/>
      <c r="BH2678" s="160"/>
      <c r="BI2678" s="160"/>
      <c r="BJ2678" s="160"/>
      <c r="BK2678" s="160"/>
      <c r="BL2678" s="160"/>
      <c r="BM2678" s="160"/>
      <c r="BN2678" s="160"/>
    </row>
    <row r="2679" ht="15.75" hidden="1" customHeight="1" outlineLevel="1">
      <c r="A2679" s="353"/>
      <c r="B2679" s="38"/>
      <c r="C2679" s="174"/>
      <c r="D2679" s="174"/>
      <c r="E2679" s="174"/>
      <c r="F2679" s="174"/>
      <c r="G2679" s="174"/>
      <c r="H2679" s="174"/>
      <c r="I2679" s="174"/>
      <c r="J2679" s="174"/>
      <c r="K2679" s="174"/>
      <c r="L2679" s="174"/>
      <c r="M2679" s="174"/>
      <c r="N2679" s="174"/>
      <c r="O2679" s="174"/>
      <c r="P2679" s="174"/>
      <c r="Q2679" s="174"/>
      <c r="R2679" s="174"/>
      <c r="S2679" s="174"/>
      <c r="T2679" s="174"/>
      <c r="U2679" s="174"/>
      <c r="V2679" s="174"/>
      <c r="W2679" s="160"/>
      <c r="X2679" s="160"/>
      <c r="Y2679" s="160"/>
      <c r="Z2679" s="160"/>
      <c r="AA2679" s="160"/>
      <c r="AB2679" s="160"/>
      <c r="AC2679" s="160"/>
      <c r="AD2679" s="160"/>
      <c r="AE2679" s="160"/>
      <c r="AF2679" s="160"/>
      <c r="AG2679" s="160"/>
      <c r="AH2679" s="160"/>
      <c r="AI2679" s="160"/>
      <c r="AJ2679" s="160"/>
      <c r="AK2679" s="160"/>
      <c r="AL2679" s="160"/>
      <c r="AM2679" s="160"/>
      <c r="AN2679" s="160"/>
      <c r="AO2679" s="160"/>
      <c r="AP2679" s="160"/>
      <c r="AQ2679" s="160">
        <f>IF($AQ$2478&gt;0,'Assumptions (Battery)'!V13*$AQ$2480,0)</f>
        <v>0.4260204414</v>
      </c>
      <c r="AR2679" s="160">
        <f>IF($AQ$2478&gt;0,'Assumptions (Battery)'!W13*$AQ$2480,0)</f>
        <v>0.7301078104</v>
      </c>
      <c r="AS2679" s="160">
        <f>IF($AQ$2478&gt;0,'Assumptions (Battery)'!X13*$AQ$2480,0)</f>
        <v>0.5214204003</v>
      </c>
      <c r="AT2679" s="160">
        <f>IF($AQ$2478&gt;0,'Assumptions (Battery)'!Y13*$AQ$2480,0)</f>
        <v>0.3723579646</v>
      </c>
      <c r="AU2679" s="160">
        <f>IF($AQ$2478&gt;0,'Assumptions (Battery)'!Z13*$AQ$2480,0)</f>
        <v>0.2662255103</v>
      </c>
      <c r="AV2679" s="160">
        <f>IF($AQ$2478&gt;0,'Assumptions (Battery)'!AA13*$AQ$2480,0)</f>
        <v>0.2659273854</v>
      </c>
      <c r="AW2679" s="160">
        <f>IF($AQ$2478&gt;0,'Assumptions (Battery)'!AB13*$AQ$2480,0)</f>
        <v>0.2662255103</v>
      </c>
      <c r="AX2679" s="160">
        <f>IF($AQ$2478&gt;0,'Assumptions (Battery)'!AC13*$AQ$2480,0)</f>
        <v>0.1329636927</v>
      </c>
      <c r="AY2679" s="160">
        <f>IF($AQ$2478&gt;0,'Assumptions (Battery)'!AD13*$AQ$2480,0)</f>
        <v>0</v>
      </c>
      <c r="AZ2679" s="160">
        <f>IF($AQ$2478&gt;0,'Assumptions (Battery)'!AE13*$AQ$2480,0)</f>
        <v>0</v>
      </c>
      <c r="BA2679" s="160">
        <f>IF($AQ$2478&gt;0,'Assumptions (Battery)'!AF13*$AQ$2480,0)</f>
        <v>0</v>
      </c>
      <c r="BB2679" s="160">
        <f>IF($AQ$2478&gt;0,'Assumptions (Battery)'!AG13*$AQ$2480,0)</f>
        <v>0</v>
      </c>
      <c r="BC2679" s="160">
        <f>IF($AQ$2478&gt;0,'Assumptions (Battery)'!AH13*$AQ$2480,0)</f>
        <v>0</v>
      </c>
      <c r="BD2679" s="160">
        <f>IF($AQ$2478&gt;0,'Assumptions (Battery)'!AI13*$AQ$2480,0)</f>
        <v>0</v>
      </c>
      <c r="BE2679" s="160">
        <f>IF($AQ$2478&gt;0,'Assumptions (Battery)'!AJ13*$AQ$2480,0)</f>
        <v>0</v>
      </c>
      <c r="BF2679" s="160">
        <f>IF($AQ$2478&gt;0,'Assumptions (Battery)'!AK13*$AQ$2480,0)</f>
        <v>0</v>
      </c>
      <c r="BG2679" s="160"/>
      <c r="BH2679" s="160"/>
      <c r="BI2679" s="160"/>
      <c r="BJ2679" s="160"/>
      <c r="BK2679" s="160"/>
      <c r="BL2679" s="160"/>
      <c r="BM2679" s="160"/>
      <c r="BN2679" s="160"/>
      <c r="BO2679" s="160"/>
    </row>
    <row r="2680" ht="15.75" hidden="1" customHeight="1" outlineLevel="1">
      <c r="A2680" s="353"/>
      <c r="B2680" s="38"/>
      <c r="C2680" s="174"/>
      <c r="D2680" s="174"/>
      <c r="E2680" s="174"/>
      <c r="F2680" s="174"/>
      <c r="G2680" s="174"/>
      <c r="H2680" s="174"/>
      <c r="I2680" s="174"/>
      <c r="J2680" s="174"/>
      <c r="K2680" s="174"/>
      <c r="L2680" s="174"/>
      <c r="M2680" s="174"/>
      <c r="N2680" s="174"/>
      <c r="O2680" s="174"/>
      <c r="P2680" s="174"/>
      <c r="Q2680" s="174"/>
      <c r="R2680" s="174"/>
      <c r="S2680" s="174"/>
      <c r="T2680" s="174"/>
      <c r="U2680" s="174"/>
      <c r="V2680" s="174"/>
      <c r="W2680" s="160"/>
      <c r="X2680" s="160"/>
      <c r="Y2680" s="160"/>
      <c r="Z2680" s="160"/>
      <c r="AA2680" s="160"/>
      <c r="AB2680" s="160"/>
      <c r="AC2680" s="160"/>
      <c r="AD2680" s="160"/>
      <c r="AE2680" s="160"/>
      <c r="AF2680" s="160"/>
      <c r="AG2680" s="160"/>
      <c r="AH2680" s="160"/>
      <c r="AI2680" s="160"/>
      <c r="AJ2680" s="160"/>
      <c r="AK2680" s="160"/>
      <c r="AL2680" s="160"/>
      <c r="AM2680" s="160"/>
      <c r="AN2680" s="160"/>
      <c r="AO2680" s="160"/>
      <c r="AP2680" s="160"/>
      <c r="AQ2680" s="160"/>
      <c r="AR2680" s="160">
        <f>IF($AR$2478&gt;0,'Assumptions (Battery)'!V13*$AR$2480,0)</f>
        <v>0.4283715854</v>
      </c>
      <c r="AS2680" s="160">
        <f>IF($AR$2478&gt;0,'Assumptions (Battery)'!W13*$AR$2480,0)</f>
        <v>0.7341371676</v>
      </c>
      <c r="AT2680" s="160">
        <f>IF($AR$2478&gt;0,'Assumptions (Battery)'!X13*$AR$2480,0)</f>
        <v>0.5242980425</v>
      </c>
      <c r="AU2680" s="160">
        <f>IF($AR$2478&gt;0,'Assumptions (Battery)'!Y13*$AR$2480,0)</f>
        <v>0.3744129532</v>
      </c>
      <c r="AV2680" s="160">
        <f>IF($AR$2478&gt;0,'Assumptions (Battery)'!Z13*$AR$2480,0)</f>
        <v>0.2676947696</v>
      </c>
      <c r="AW2680" s="160">
        <f>IF($AR$2478&gt;0,'Assumptions (Battery)'!AA13*$AR$2480,0)</f>
        <v>0.2673949994</v>
      </c>
      <c r="AX2680" s="160">
        <f>IF($AR$2478&gt;0,'Assumptions (Battery)'!AB13*$AR$2480,0)</f>
        <v>0.2676947696</v>
      </c>
      <c r="AY2680" s="160">
        <f>IF($AR$2478&gt;0,'Assumptions (Battery)'!AC13*$AR$2480,0)</f>
        <v>0.1336974997</v>
      </c>
      <c r="AZ2680" s="160">
        <f>IF($AR$2478&gt;0,'Assumptions (Battery)'!AD13*$AR$2480,0)</f>
        <v>0</v>
      </c>
      <c r="BA2680" s="160">
        <f>IF($AR$2478&gt;0,'Assumptions (Battery)'!AE13*$AR$2480,0)</f>
        <v>0</v>
      </c>
      <c r="BB2680" s="160">
        <f>IF($AR$2478&gt;0,'Assumptions (Battery)'!AF13*$AR$2480,0)</f>
        <v>0</v>
      </c>
      <c r="BC2680" s="160">
        <f>IF($AR$2478&gt;0,'Assumptions (Battery)'!AG13*$AR$2480,0)</f>
        <v>0</v>
      </c>
      <c r="BD2680" s="160">
        <f>IF($AR$2478&gt;0,'Assumptions (Battery)'!AH13*$AR$2480,0)</f>
        <v>0</v>
      </c>
      <c r="BE2680" s="160">
        <f>IF($AR$2478&gt;0,'Assumptions (Battery)'!AI13*$AR$2480,0)</f>
        <v>0</v>
      </c>
      <c r="BF2680" s="160">
        <f>IF($AR$2478&gt;0,'Assumptions (Battery)'!AJ13*$AR$2480,0)</f>
        <v>0</v>
      </c>
      <c r="BG2680" s="160">
        <f>IF($AR$2478&gt;0,'Assumptions (Battery)'!AK13*$AR$2480,0)</f>
        <v>0</v>
      </c>
      <c r="BH2680" s="160"/>
      <c r="BI2680" s="160"/>
      <c r="BJ2680" s="160"/>
      <c r="BK2680" s="160"/>
      <c r="BL2680" s="160"/>
      <c r="BM2680" s="160"/>
      <c r="BN2680" s="160"/>
      <c r="BO2680" s="160"/>
      <c r="BP2680" s="160"/>
    </row>
    <row r="2681" ht="15.75" hidden="1" customHeight="1" outlineLevel="1">
      <c r="A2681" s="353"/>
      <c r="B2681" s="38"/>
      <c r="C2681" s="174"/>
      <c r="D2681" s="174"/>
      <c r="E2681" s="174"/>
      <c r="F2681" s="174"/>
      <c r="G2681" s="174"/>
      <c r="H2681" s="174"/>
      <c r="I2681" s="174"/>
      <c r="J2681" s="174"/>
      <c r="K2681" s="174"/>
      <c r="L2681" s="174"/>
      <c r="M2681" s="174"/>
      <c r="N2681" s="174"/>
      <c r="O2681" s="174"/>
      <c r="P2681" s="174"/>
      <c r="Q2681" s="174"/>
      <c r="R2681" s="174"/>
      <c r="S2681" s="174"/>
      <c r="T2681" s="174"/>
      <c r="U2681" s="174"/>
      <c r="V2681" s="174"/>
      <c r="W2681" s="160"/>
      <c r="X2681" s="160"/>
      <c r="Y2681" s="160"/>
      <c r="Z2681" s="160"/>
      <c r="AA2681" s="160"/>
      <c r="AB2681" s="160"/>
      <c r="AC2681" s="160"/>
      <c r="AD2681" s="160"/>
      <c r="AE2681" s="160"/>
      <c r="AF2681" s="160"/>
      <c r="AG2681" s="160"/>
      <c r="AH2681" s="160"/>
      <c r="AI2681" s="160"/>
      <c r="AJ2681" s="160"/>
      <c r="AK2681" s="160"/>
      <c r="AL2681" s="160"/>
      <c r="AM2681" s="160"/>
      <c r="AN2681" s="160"/>
      <c r="AO2681" s="160"/>
      <c r="AP2681" s="160"/>
      <c r="AQ2681" s="160"/>
      <c r="AR2681" s="160"/>
      <c r="AS2681" s="160">
        <f>IF($AS$2478&gt;0,'Assumptions (Battery)'!V13*$AS$2480,0)</f>
        <v>0.4306523227</v>
      </c>
      <c r="AT2681" s="160">
        <f>IF($AS$2478&gt;0,'Assumptions (Battery)'!W13*$AS$2480,0)</f>
        <v>0.738045863</v>
      </c>
      <c r="AU2681" s="160">
        <f>IF($AS$2478&gt;0,'Assumptions (Battery)'!X13*$AS$2480,0)</f>
        <v>0.5270895118</v>
      </c>
      <c r="AV2681" s="160">
        <f>IF($AS$2478&gt;0,'Assumptions (Battery)'!Y13*$AS$2480,0)</f>
        <v>0.3764064038</v>
      </c>
      <c r="AW2681" s="160">
        <f>IF($AS$2478&gt;0,'Assumptions (Battery)'!Z13*$AS$2480,0)</f>
        <v>0.2691200309</v>
      </c>
      <c r="AX2681" s="160">
        <f>IF($AS$2478&gt;0,'Assumptions (Battery)'!AA13*$AS$2480,0)</f>
        <v>0.2688186647</v>
      </c>
      <c r="AY2681" s="160">
        <f>IF($AS$2478&gt;0,'Assumptions (Battery)'!AB13*$AS$2480,0)</f>
        <v>0.2691200309</v>
      </c>
      <c r="AZ2681" s="160">
        <f>IF($AS$2478&gt;0,'Assumptions (Battery)'!AC13*$AS$2480,0)</f>
        <v>0.1344093323</v>
      </c>
      <c r="BA2681" s="160">
        <f>IF($AS$2478&gt;0,'Assumptions (Battery)'!AD13*$AS$2480,0)</f>
        <v>0</v>
      </c>
      <c r="BB2681" s="160">
        <f>IF($AS$2478&gt;0,'Assumptions (Battery)'!AE13*$AS$2480,0)</f>
        <v>0</v>
      </c>
      <c r="BC2681" s="160">
        <f>IF($AS$2478&gt;0,'Assumptions (Battery)'!AF13*$AS$2480,0)</f>
        <v>0</v>
      </c>
      <c r="BD2681" s="160">
        <f>IF($AS$2478&gt;0,'Assumptions (Battery)'!AG13*$AS$2480,0)</f>
        <v>0</v>
      </c>
      <c r="BE2681" s="160">
        <f>IF($AS$2478&gt;0,'Assumptions (Battery)'!AH13*$AS$2480,0)</f>
        <v>0</v>
      </c>
      <c r="BF2681" s="160">
        <f>IF($AS$2478&gt;0,'Assumptions (Battery)'!AI13*$AS$2480,0)</f>
        <v>0</v>
      </c>
      <c r="BG2681" s="160">
        <f>IF($AS$2478&gt;0,'Assumptions (Battery)'!AJ13*$AS$2480,0)</f>
        <v>0</v>
      </c>
      <c r="BH2681" s="160">
        <f>IF($AS$2478&gt;0,'Assumptions (Battery)'!AK13*$AS$2480,0)</f>
        <v>0</v>
      </c>
      <c r="BI2681" s="160"/>
      <c r="BJ2681" s="160"/>
      <c r="BK2681" s="160"/>
      <c r="BL2681" s="160"/>
      <c r="BM2681" s="160"/>
      <c r="BN2681" s="160"/>
      <c r="BO2681" s="160"/>
      <c r="BP2681" s="160"/>
    </row>
    <row r="2682" ht="15.75" hidden="1" customHeight="1" outlineLevel="1">
      <c r="A2682" s="353"/>
      <c r="B2682" s="38"/>
      <c r="C2682" s="174"/>
      <c r="D2682" s="174"/>
      <c r="E2682" s="174"/>
      <c r="F2682" s="174"/>
      <c r="G2682" s="174"/>
      <c r="H2682" s="174"/>
      <c r="I2682" s="174"/>
      <c r="J2682" s="174"/>
      <c r="K2682" s="174"/>
      <c r="L2682" s="174"/>
      <c r="M2682" s="174"/>
      <c r="N2682" s="174"/>
      <c r="O2682" s="174"/>
      <c r="P2682" s="174"/>
      <c r="Q2682" s="174"/>
      <c r="R2682" s="174"/>
      <c r="S2682" s="174"/>
      <c r="T2682" s="174"/>
      <c r="U2682" s="174"/>
      <c r="V2682" s="174"/>
      <c r="W2682" s="160"/>
      <c r="X2682" s="160"/>
      <c r="Y2682" s="160"/>
      <c r="Z2682" s="160"/>
      <c r="AA2682" s="160"/>
      <c r="AB2682" s="160"/>
      <c r="AC2682" s="160"/>
      <c r="AD2682" s="160"/>
      <c r="AE2682" s="160"/>
      <c r="AF2682" s="160"/>
      <c r="AG2682" s="160"/>
      <c r="AH2682" s="160"/>
      <c r="AI2682" s="160"/>
      <c r="AJ2682" s="160"/>
      <c r="AK2682" s="160"/>
      <c r="AL2682" s="160"/>
      <c r="AM2682" s="160"/>
      <c r="AN2682" s="160"/>
      <c r="AO2682" s="160"/>
      <c r="AP2682" s="160"/>
      <c r="AQ2682" s="160"/>
      <c r="AR2682" s="160"/>
      <c r="AS2682" s="160"/>
      <c r="AT2682" s="160">
        <f>IF($AT$2478&gt;0,'Assumptions (Battery)'!V13*$AT$2480,0)</f>
        <v>0.4328590114</v>
      </c>
      <c r="AU2682" s="160">
        <f>IF($AT$2478&gt;0,'Assumptions (Battery)'!W13*$AT$2480,0)</f>
        <v>0.741827655</v>
      </c>
      <c r="AV2682" s="160">
        <f>IF($AT$2478&gt;0,'Assumptions (Battery)'!X13*$AT$2480,0)</f>
        <v>0.5297903506</v>
      </c>
      <c r="AW2682" s="160">
        <f>IF($AT$2478&gt;0,'Assumptions (Battery)'!Y13*$AT$2480,0)</f>
        <v>0.3783351332</v>
      </c>
      <c r="AX2682" s="160">
        <f>IF($AT$2478&gt;0,'Assumptions (Battery)'!Z13*$AT$2480,0)</f>
        <v>0.2704990183</v>
      </c>
      <c r="AY2682" s="160">
        <f>IF($AT$2478&gt;0,'Assumptions (Battery)'!AA13*$AT$2480,0)</f>
        <v>0.2701961079</v>
      </c>
      <c r="AZ2682" s="160">
        <f>IF($AT$2478&gt;0,'Assumptions (Battery)'!AB13*$AT$2480,0)</f>
        <v>0.2704990183</v>
      </c>
      <c r="BA2682" s="160">
        <f>IF($AT$2478&gt;0,'Assumptions (Battery)'!AC13*$AT$2480,0)</f>
        <v>0.135098054</v>
      </c>
      <c r="BB2682" s="160">
        <f>IF($AT$2478&gt;0,'Assumptions (Battery)'!AD13*$AT$2480,0)</f>
        <v>0</v>
      </c>
      <c r="BC2682" s="160">
        <f>IF($AT$2478&gt;0,'Assumptions (Battery)'!AE13*$AT$2480,0)</f>
        <v>0</v>
      </c>
      <c r="BD2682" s="160">
        <f>IF($AT$2478&gt;0,'Assumptions (Battery)'!AF13*$AT$2480,0)</f>
        <v>0</v>
      </c>
      <c r="BE2682" s="160">
        <f>IF($AT$2478&gt;0,'Assumptions (Battery)'!AG13*$AT$2480,0)</f>
        <v>0</v>
      </c>
      <c r="BF2682" s="160">
        <f>IF($AT$2478&gt;0,'Assumptions (Battery)'!AH13*$AT$2480,0)</f>
        <v>0</v>
      </c>
      <c r="BG2682" s="160">
        <f>IF($AT$2478&gt;0,'Assumptions (Battery)'!AI13*$AT$2480,0)</f>
        <v>0</v>
      </c>
      <c r="BH2682" s="160">
        <f>IF($AT$2478&gt;0,'Assumptions (Battery)'!AJ13*$AT$2480,0)</f>
        <v>0</v>
      </c>
      <c r="BI2682" s="160">
        <f>IF($AT$2478&gt;0,'Assumptions (Battery)'!AK13*$AT$2480,0)</f>
        <v>0</v>
      </c>
      <c r="BJ2682" s="160"/>
      <c r="BK2682" s="160"/>
      <c r="BL2682" s="160"/>
      <c r="BM2682" s="160"/>
      <c r="BN2682" s="160"/>
      <c r="BO2682" s="160"/>
      <c r="BP2682" s="160"/>
    </row>
    <row r="2683" ht="15.75" hidden="1" customHeight="1" outlineLevel="1">
      <c r="A2683" s="353"/>
      <c r="B2683" s="38"/>
      <c r="C2683" s="174"/>
      <c r="D2683" s="174"/>
      <c r="E2683" s="174"/>
      <c r="F2683" s="174"/>
      <c r="G2683" s="174"/>
      <c r="H2683" s="174"/>
      <c r="I2683" s="174"/>
      <c r="J2683" s="174"/>
      <c r="K2683" s="174"/>
      <c r="L2683" s="174"/>
      <c r="M2683" s="174"/>
      <c r="N2683" s="174"/>
      <c r="O2683" s="174"/>
      <c r="P2683" s="174"/>
      <c r="Q2683" s="174"/>
      <c r="R2683" s="174"/>
      <c r="S2683" s="174"/>
      <c r="T2683" s="174"/>
      <c r="U2683" s="174"/>
      <c r="V2683" s="174"/>
      <c r="W2683" s="160"/>
      <c r="X2683" s="160"/>
      <c r="Y2683" s="160"/>
      <c r="Z2683" s="160"/>
      <c r="AA2683" s="160"/>
      <c r="AB2683" s="160"/>
      <c r="AC2683" s="160"/>
      <c r="AD2683" s="160"/>
      <c r="AE2683" s="160"/>
      <c r="AF2683" s="160"/>
      <c r="AG2683" s="160"/>
      <c r="AH2683" s="160"/>
      <c r="AI2683" s="160"/>
      <c r="AJ2683" s="160"/>
      <c r="AK2683" s="160"/>
      <c r="AL2683" s="160"/>
      <c r="AM2683" s="160"/>
      <c r="AN2683" s="160"/>
      <c r="AO2683" s="160"/>
      <c r="AP2683" s="160"/>
      <c r="AQ2683" s="160"/>
      <c r="AR2683" s="160"/>
      <c r="AS2683" s="160"/>
      <c r="AT2683" s="160"/>
      <c r="AU2683" s="160">
        <f>IF($AU$2478&gt;0,'Assumptions (Battery)'!V13*$AU$2480,0)</f>
        <v>0.4322465351</v>
      </c>
      <c r="AV2683" s="160">
        <f>IF($AU$2478&gt;0,'Assumptions (Battery)'!W13*$AU$2480,0)</f>
        <v>0.7407780017</v>
      </c>
      <c r="AW2683" s="160">
        <f>IF($AU$2478&gt;0,'Assumptions (Battery)'!X13*$AU$2480,0)</f>
        <v>0.5290407207</v>
      </c>
      <c r="AX2683" s="160">
        <f>IF($AU$2478&gt;0,'Assumptions (Battery)'!Y13*$AU$2480,0)</f>
        <v>0.3777998057</v>
      </c>
      <c r="AY2683" s="160">
        <f>IF($AU$2478&gt;0,'Assumptions (Battery)'!Z13*$AU$2480,0)</f>
        <v>0.2701162742</v>
      </c>
      <c r="AZ2683" s="160">
        <f>IF($AU$2478&gt;0,'Assumptions (Battery)'!AA13*$AU$2480,0)</f>
        <v>0.2698137924</v>
      </c>
      <c r="BA2683" s="160">
        <f>IF($AU$2478&gt;0,'Assumptions (Battery)'!AB13*$AU$2480,0)</f>
        <v>0.2701162742</v>
      </c>
      <c r="BB2683" s="160">
        <f>IF($AU$2478&gt;0,'Assumptions (Battery)'!AC13*$AU$2480,0)</f>
        <v>0.1349068962</v>
      </c>
      <c r="BC2683" s="160">
        <f>IF($AU$2478&gt;0,'Assumptions (Battery)'!AD13*$AU$2480,0)</f>
        <v>0</v>
      </c>
      <c r="BD2683" s="160">
        <f>IF($AU$2478&gt;0,'Assumptions (Battery)'!AE13*$AU$2480,0)</f>
        <v>0</v>
      </c>
      <c r="BE2683" s="160">
        <f>IF($AU$2478&gt;0,'Assumptions (Battery)'!AF13*$AU$2480,0)</f>
        <v>0</v>
      </c>
      <c r="BF2683" s="160">
        <f>IF($AU$2478&gt;0,'Assumptions (Battery)'!AG13*$AU$2480,0)</f>
        <v>0</v>
      </c>
      <c r="BG2683" s="160">
        <f>IF($AU$2478&gt;0,'Assumptions (Battery)'!AH13*$AU$2480,0)</f>
        <v>0</v>
      </c>
      <c r="BH2683" s="160">
        <f>IF($AU$2478&gt;0,'Assumptions (Battery)'!AI13*$AU$2480,0)</f>
        <v>0</v>
      </c>
      <c r="BI2683" s="160">
        <f>IF($AU$2478&gt;0,'Assumptions (Battery)'!AJ13*$AU$2480,0)</f>
        <v>0</v>
      </c>
      <c r="BJ2683" s="160">
        <f>IF($AU$2478&gt;0,'Assumptions (Battery)'!AK13*$AU$2480,0)</f>
        <v>0</v>
      </c>
      <c r="BK2683" s="160"/>
      <c r="BL2683" s="160"/>
      <c r="BM2683" s="160"/>
      <c r="BN2683" s="160"/>
      <c r="BO2683" s="160"/>
      <c r="BP2683" s="160"/>
    </row>
    <row r="2684" ht="15.75" hidden="1" customHeight="1" outlineLevel="1">
      <c r="A2684" s="353"/>
      <c r="B2684" s="38"/>
      <c r="C2684" s="174"/>
      <c r="D2684" s="174"/>
      <c r="E2684" s="174"/>
      <c r="F2684" s="174"/>
      <c r="G2684" s="174"/>
      <c r="H2684" s="174"/>
      <c r="I2684" s="174"/>
      <c r="J2684" s="174"/>
      <c r="K2684" s="174"/>
      <c r="L2684" s="174"/>
      <c r="M2684" s="174"/>
      <c r="N2684" s="174"/>
      <c r="O2684" s="174"/>
      <c r="P2684" s="174"/>
      <c r="Q2684" s="174"/>
      <c r="R2684" s="174"/>
      <c r="S2684" s="174"/>
      <c r="T2684" s="174"/>
      <c r="U2684" s="174"/>
      <c r="V2684" s="174"/>
      <c r="W2684" s="160"/>
      <c r="X2684" s="160"/>
      <c r="Y2684" s="160"/>
      <c r="Z2684" s="160"/>
      <c r="AA2684" s="160"/>
      <c r="AB2684" s="160"/>
      <c r="AC2684" s="160"/>
      <c r="AD2684" s="160"/>
      <c r="AE2684" s="160"/>
      <c r="AF2684" s="160"/>
      <c r="AG2684" s="160"/>
      <c r="AH2684" s="160"/>
      <c r="AI2684" s="160"/>
      <c r="AJ2684" s="160"/>
      <c r="AK2684" s="160"/>
      <c r="AL2684" s="160"/>
      <c r="AM2684" s="160"/>
      <c r="AN2684" s="160"/>
      <c r="AO2684" s="160"/>
      <c r="AP2684" s="160"/>
      <c r="AQ2684" s="160"/>
      <c r="AR2684" s="160"/>
      <c r="AS2684" s="160"/>
      <c r="AT2684" s="160"/>
      <c r="AU2684" s="160"/>
      <c r="AV2684" s="160">
        <f>IF($AV$2478&gt;0,'Assumptions (Battery)'!V13*$AV$2480,0)</f>
        <v>0.4342402553</v>
      </c>
      <c r="AW2684" s="160">
        <f>IF($AV$2478&gt;0,'Assumptions (Battery)'!W13*$AV$2480,0)</f>
        <v>0.7441948113</v>
      </c>
      <c r="AX2684" s="160">
        <f>IF($AV$2478&gt;0,'Assumptions (Battery)'!X13*$AV$2480,0)</f>
        <v>0.5314809003</v>
      </c>
      <c r="AY2684" s="160">
        <f>IF($AV$2478&gt;0,'Assumptions (Battery)'!Y13*$AV$2480,0)</f>
        <v>0.3795423925</v>
      </c>
      <c r="AZ2684" s="160">
        <f>IF($AV$2478&gt;0,'Assumptions (Battery)'!Z13*$AV$2480,0)</f>
        <v>0.271362175</v>
      </c>
      <c r="BA2684" s="160">
        <f>IF($AV$2478&gt;0,'Assumptions (Battery)'!AA13*$AV$2480,0)</f>
        <v>0.2710582979</v>
      </c>
      <c r="BB2684" s="160">
        <f>IF($AV$2478&gt;0,'Assumptions (Battery)'!AB13*$AV$2480,0)</f>
        <v>0.271362175</v>
      </c>
      <c r="BC2684" s="160">
        <f>IF($AV$2478&gt;0,'Assumptions (Battery)'!AC13*$AV$2480,0)</f>
        <v>0.135529149</v>
      </c>
      <c r="BD2684" s="160">
        <f>IF($AV$2478&gt;0,'Assumptions (Battery)'!AD13*$AV$2480,0)</f>
        <v>0</v>
      </c>
      <c r="BE2684" s="160">
        <f>IF($AV$2478&gt;0,'Assumptions (Battery)'!AE13*$AV$2480,0)</f>
        <v>0</v>
      </c>
      <c r="BF2684" s="160">
        <f>IF($AV$2478&gt;0,'Assumptions (Battery)'!AF13*$AV$2480,0)</f>
        <v>0</v>
      </c>
      <c r="BG2684" s="160">
        <f>IF($AV$2478&gt;0,'Assumptions (Battery)'!AG13*$AV$2480,0)</f>
        <v>0</v>
      </c>
      <c r="BH2684" s="160">
        <f>IF($AV$2478&gt;0,'Assumptions (Battery)'!AH13*$AV$2480,0)</f>
        <v>0</v>
      </c>
      <c r="BI2684" s="160">
        <f>IF($AV$2478&gt;0,'Assumptions (Battery)'!AI13*$AV$2480,0)</f>
        <v>0</v>
      </c>
      <c r="BJ2684" s="160">
        <f>IF($AV$2478&gt;0,'Assumptions (Battery)'!AJ13*$AV$2480,0)</f>
        <v>0</v>
      </c>
      <c r="BK2684" s="160">
        <f>IF($AV$2478&gt;0,'Assumptions (Battery)'!AK13*$AV$2480,0)</f>
        <v>0</v>
      </c>
      <c r="BL2684" s="160"/>
      <c r="BM2684" s="160"/>
      <c r="BN2684" s="160"/>
      <c r="BO2684" s="160"/>
      <c r="BP2684" s="160"/>
    </row>
    <row r="2685" ht="15.75" hidden="1" customHeight="1" outlineLevel="1">
      <c r="A2685" s="353"/>
      <c r="B2685" s="38"/>
      <c r="C2685" s="174"/>
      <c r="D2685" s="174"/>
      <c r="E2685" s="174"/>
      <c r="F2685" s="174"/>
      <c r="G2685" s="174"/>
      <c r="H2685" s="174"/>
      <c r="I2685" s="174"/>
      <c r="J2685" s="174"/>
      <c r="K2685" s="174"/>
      <c r="L2685" s="174"/>
      <c r="M2685" s="174"/>
      <c r="N2685" s="174"/>
      <c r="O2685" s="174"/>
      <c r="P2685" s="174"/>
      <c r="Q2685" s="174"/>
      <c r="R2685" s="174"/>
      <c r="S2685" s="174"/>
      <c r="T2685" s="174"/>
      <c r="U2685" s="174"/>
      <c r="V2685" s="174"/>
      <c r="W2685" s="160"/>
      <c r="X2685" s="160"/>
      <c r="Y2685" s="160"/>
      <c r="Z2685" s="160"/>
      <c r="AA2685" s="160"/>
      <c r="AB2685" s="160"/>
      <c r="AC2685" s="160"/>
      <c r="AD2685" s="160"/>
      <c r="AE2685" s="160"/>
      <c r="AF2685" s="160"/>
      <c r="AG2685" s="160"/>
      <c r="AH2685" s="160"/>
      <c r="AI2685" s="160"/>
      <c r="AJ2685" s="160"/>
      <c r="AK2685" s="160"/>
      <c r="AL2685" s="160"/>
      <c r="AM2685" s="160"/>
      <c r="AN2685" s="160"/>
      <c r="AO2685" s="160"/>
      <c r="AP2685" s="160"/>
      <c r="AQ2685" s="160"/>
      <c r="AR2685" s="160"/>
      <c r="AS2685" s="160"/>
      <c r="AT2685" s="160"/>
      <c r="AU2685" s="160"/>
      <c r="AV2685" s="160"/>
      <c r="AW2685" s="160">
        <f>IF($AW$2478&gt;0,'Assumptions (Battery)'!V13*$AW$2480,0)</f>
        <v>0.4361472534</v>
      </c>
      <c r="AX2685" s="160">
        <f>IF($AW$2478&gt;0,'Assumptions (Battery)'!W13*$AW$2480,0)</f>
        <v>0.7474629976</v>
      </c>
      <c r="AY2685" s="160">
        <f>IF($AW$2478&gt;0,'Assumptions (Battery)'!X13*$AW$2480,0)</f>
        <v>0.5338149379</v>
      </c>
      <c r="AZ2685" s="160">
        <f>IF($AW$2478&gt;0,'Assumptions (Battery)'!Y13*$AW$2480,0)</f>
        <v>0.3812091809</v>
      </c>
      <c r="BA2685" s="160">
        <f>IF($AW$2478&gt;0,'Assumptions (Battery)'!Z13*$AW$2480,0)</f>
        <v>0.2725538819</v>
      </c>
      <c r="BB2685" s="160">
        <f>IF($AW$2478&gt;0,'Assumptions (Battery)'!AA13*$AW$2480,0)</f>
        <v>0.2722486704</v>
      </c>
      <c r="BC2685" s="160">
        <f>IF($AW$2478&gt;0,'Assumptions (Battery)'!AB13*$AW$2480,0)</f>
        <v>0.2725538819</v>
      </c>
      <c r="BD2685" s="160">
        <f>IF($AW$2478&gt;0,'Assumptions (Battery)'!AC13*$AW$2480,0)</f>
        <v>0.1361243352</v>
      </c>
      <c r="BE2685" s="160">
        <f>IF($AW$2478&gt;0,'Assumptions (Battery)'!AD13*$AW$2480,0)</f>
        <v>0</v>
      </c>
      <c r="BF2685" s="160">
        <f>IF($AW$2478&gt;0,'Assumptions (Battery)'!AE13*$AW$2480,0)</f>
        <v>0</v>
      </c>
      <c r="BG2685" s="160">
        <f>IF($AW$2478&gt;0,'Assumptions (Battery)'!AF13*$AW$2480,0)</f>
        <v>0</v>
      </c>
      <c r="BH2685" s="160">
        <f>IF($AW$2478&gt;0,'Assumptions (Battery)'!AG13*$AW$2480,0)</f>
        <v>0</v>
      </c>
      <c r="BI2685" s="160">
        <f>IF($AW$2478&gt;0,'Assumptions (Battery)'!AH13*$AW$2480,0)</f>
        <v>0</v>
      </c>
      <c r="BJ2685" s="160">
        <f>IF($AW$2478&gt;0,'Assumptions (Battery)'!AI13*$AW$2480,0)</f>
        <v>0</v>
      </c>
      <c r="BK2685" s="160">
        <f>IF($AW$2478&gt;0,'Assumptions (Battery)'!AJ13*$AW$2480,0)</f>
        <v>0</v>
      </c>
      <c r="BL2685" s="160">
        <f>IF($AW$2478&gt;0,'Assumptions (Battery)'!AK13*$AW$2480,0)</f>
        <v>0</v>
      </c>
      <c r="BM2685" s="160"/>
      <c r="BN2685" s="160"/>
      <c r="BO2685" s="160"/>
      <c r="BP2685" s="160"/>
    </row>
    <row r="2686" ht="15.75" hidden="1" customHeight="1" outlineLevel="1">
      <c r="A2686" s="353"/>
      <c r="B2686" s="38"/>
      <c r="C2686" s="174"/>
      <c r="D2686" s="174"/>
      <c r="E2686" s="174"/>
      <c r="F2686" s="174"/>
      <c r="G2686" s="174"/>
      <c r="H2686" s="174"/>
      <c r="I2686" s="174"/>
      <c r="J2686" s="174"/>
      <c r="K2686" s="174"/>
      <c r="L2686" s="174"/>
      <c r="M2686" s="174"/>
      <c r="N2686" s="174"/>
      <c r="O2686" s="174"/>
      <c r="P2686" s="174"/>
      <c r="Q2686" s="174"/>
      <c r="R2686" s="174"/>
      <c r="S2686" s="174"/>
      <c r="T2686" s="174"/>
      <c r="U2686" s="174"/>
      <c r="V2686" s="174"/>
      <c r="W2686" s="160"/>
      <c r="X2686" s="160"/>
      <c r="Y2686" s="160"/>
      <c r="Z2686" s="160"/>
      <c r="AA2686" s="160"/>
      <c r="AB2686" s="160"/>
      <c r="AC2686" s="160"/>
      <c r="AD2686" s="160"/>
      <c r="AE2686" s="160"/>
      <c r="AF2686" s="160"/>
      <c r="AG2686" s="160"/>
      <c r="AH2686" s="160"/>
      <c r="AI2686" s="160"/>
      <c r="AJ2686" s="160"/>
      <c r="AK2686" s="160"/>
      <c r="AL2686" s="160"/>
      <c r="AM2686" s="160"/>
      <c r="AN2686" s="160"/>
      <c r="AO2686" s="160"/>
      <c r="AP2686" s="160"/>
      <c r="AQ2686" s="160"/>
      <c r="AR2686" s="160"/>
      <c r="AS2686" s="160"/>
      <c r="AT2686" s="160"/>
      <c r="AU2686" s="160"/>
      <c r="AV2686" s="160"/>
      <c r="AW2686" s="160"/>
      <c r="AX2686" s="160">
        <f>IF($AX$2478&gt;0,'Assumptions (Battery)'!V13*$AX$2480,0)</f>
        <v>0.4379633867</v>
      </c>
      <c r="AY2686" s="160">
        <f>IF($AX$2478&gt;0,'Assumptions (Battery)'!W13*$AX$2480,0)</f>
        <v>0.7505754613</v>
      </c>
      <c r="AZ2686" s="160">
        <f>IF($AX$2478&gt;0,'Assumptions (Battery)'!X13*$AX$2480,0)</f>
        <v>0.5360377631</v>
      </c>
      <c r="BA2686" s="160">
        <f>IF($AX$2478&gt;0,'Assumptions (Battery)'!Y13*$AX$2480,0)</f>
        <v>0.3827965501</v>
      </c>
      <c r="BB2686" s="160">
        <f>IF($AX$2478&gt;0,'Assumptions (Battery)'!Z13*$AX$2480,0)</f>
        <v>0.2736888064</v>
      </c>
      <c r="BC2686" s="160">
        <f>IF($AX$2478&gt;0,'Assumptions (Battery)'!AA13*$AX$2480,0)</f>
        <v>0.273382324</v>
      </c>
      <c r="BD2686" s="160">
        <f>IF($AX$2478&gt;0,'Assumptions (Battery)'!AB13*$AX$2480,0)</f>
        <v>0.2736888064</v>
      </c>
      <c r="BE2686" s="160">
        <f>IF($AX$2478&gt;0,'Assumptions (Battery)'!AC13*$AX$2480,0)</f>
        <v>0.136691162</v>
      </c>
      <c r="BF2686" s="160">
        <f>IF($AX$2478&gt;0,'Assumptions (Battery)'!AD13*$AX$2480,0)</f>
        <v>0</v>
      </c>
      <c r="BG2686" s="160">
        <f>IF($AX$2478&gt;0,'Assumptions (Battery)'!AE13*$AX$2480,0)</f>
        <v>0</v>
      </c>
      <c r="BH2686" s="160">
        <f>IF($AX$2478&gt;0,'Assumptions (Battery)'!AF13*$AX$2480,0)</f>
        <v>0</v>
      </c>
      <c r="BI2686" s="160">
        <f>IF($AX$2478&gt;0,'Assumptions (Battery)'!AG13*$AX$2480,0)</f>
        <v>0</v>
      </c>
      <c r="BJ2686" s="160">
        <f>IF($AX$2478&gt;0,'Assumptions (Battery)'!AH13*$AX$2480,0)</f>
        <v>0</v>
      </c>
      <c r="BK2686" s="160">
        <f>IF($AX$2478&gt;0,'Assumptions (Battery)'!AI13*$AX$2480,0)</f>
        <v>0</v>
      </c>
      <c r="BL2686" s="160">
        <f>IF($AX$2478&gt;0,'Assumptions (Battery)'!AJ13*$AX$2480,0)</f>
        <v>0</v>
      </c>
      <c r="BM2686" s="160">
        <f>IF($AX$2478&gt;0,'Assumptions (Battery)'!AK13*$AX$2480,0)</f>
        <v>0</v>
      </c>
      <c r="BN2686" s="160"/>
      <c r="BO2686" s="160"/>
      <c r="BP2686" s="160"/>
    </row>
    <row r="2687" ht="15.75" hidden="1" customHeight="1" outlineLevel="1">
      <c r="A2687" s="353"/>
      <c r="B2687" s="38"/>
      <c r="C2687" s="174"/>
      <c r="D2687" s="174"/>
      <c r="E2687" s="174"/>
      <c r="F2687" s="174"/>
      <c r="G2687" s="174"/>
      <c r="H2687" s="174"/>
      <c r="I2687" s="174"/>
      <c r="J2687" s="174"/>
      <c r="K2687" s="174"/>
      <c r="L2687" s="174"/>
      <c r="M2687" s="174"/>
      <c r="N2687" s="174"/>
      <c r="O2687" s="174"/>
      <c r="P2687" s="174"/>
      <c r="Q2687" s="174"/>
      <c r="R2687" s="174"/>
      <c r="S2687" s="174"/>
      <c r="T2687" s="174"/>
      <c r="U2687" s="174"/>
      <c r="V2687" s="174"/>
      <c r="W2687" s="160"/>
      <c r="X2687" s="160"/>
      <c r="Y2687" s="160"/>
      <c r="Z2687" s="160"/>
      <c r="AA2687" s="160"/>
      <c r="AB2687" s="160"/>
      <c r="AC2687" s="160"/>
      <c r="AD2687" s="160"/>
      <c r="AE2687" s="160"/>
      <c r="AF2687" s="160"/>
      <c r="AG2687" s="160"/>
      <c r="AH2687" s="160"/>
      <c r="AI2687" s="160"/>
      <c r="AJ2687" s="160"/>
      <c r="AK2687" s="160"/>
      <c r="AL2687" s="160"/>
      <c r="AM2687" s="160"/>
      <c r="AN2687" s="160"/>
      <c r="AO2687" s="160"/>
      <c r="AP2687" s="160"/>
      <c r="AQ2687" s="160"/>
      <c r="AR2687" s="160"/>
      <c r="AS2687" s="160"/>
      <c r="AT2687" s="160"/>
      <c r="AU2687" s="160"/>
      <c r="AV2687" s="160"/>
      <c r="AW2687" s="160"/>
      <c r="AX2687" s="160"/>
      <c r="AY2687" s="160">
        <f>IF($AY$2478&gt;0,'Assumptions (Battery)'!V13*$AY$2480,0)</f>
        <v>0.439713214</v>
      </c>
      <c r="AZ2687" s="160">
        <f>IF($AY$2478&gt;0,'Assumptions (Battery)'!W13*$AY$2480,0)</f>
        <v>0.7535742905</v>
      </c>
      <c r="BA2687" s="160">
        <f>IF($AY$2478&gt;0,'Assumptions (Battery)'!X13*$AY$2480,0)</f>
        <v>0.5381794341</v>
      </c>
      <c r="BB2687" s="160">
        <f>IF($AY$2478&gt;0,'Assumptions (Battery)'!Y13*$AY$2480,0)</f>
        <v>0.3843259652</v>
      </c>
      <c r="BC2687" s="160">
        <f>IF($AY$2478&gt;0,'Assumptions (Battery)'!Z13*$AY$2480,0)</f>
        <v>0.2747822954</v>
      </c>
      <c r="BD2687" s="160">
        <f>IF($AY$2478&gt;0,'Assumptions (Battery)'!AA13*$AY$2480,0)</f>
        <v>0.2744745885</v>
      </c>
      <c r="BE2687" s="160">
        <f>IF($AY$2478&gt;0,'Assumptions (Battery)'!AB13*$AY$2480,0)</f>
        <v>0.2747822954</v>
      </c>
      <c r="BF2687" s="160">
        <f>IF($AY$2478&gt;0,'Assumptions (Battery)'!AC13*$AY$2480,0)</f>
        <v>0.1372372942</v>
      </c>
      <c r="BG2687" s="160">
        <f>IF($AY$2478&gt;0,'Assumptions (Battery)'!AD13*$AY$2480,0)</f>
        <v>0</v>
      </c>
      <c r="BH2687" s="160">
        <f>IF($AY$2478&gt;0,'Assumptions (Battery)'!AE13*$AY$2480,0)</f>
        <v>0</v>
      </c>
      <c r="BI2687" s="160">
        <f>IF($AY$2478&gt;0,'Assumptions (Battery)'!AF13*$AY$2480,0)</f>
        <v>0</v>
      </c>
      <c r="BJ2687" s="160">
        <f>IF($AY$2478&gt;0,'Assumptions (Battery)'!AG13*$AY$2480,0)</f>
        <v>0</v>
      </c>
      <c r="BK2687" s="160">
        <f>IF($AY$2478&gt;0,'Assumptions (Battery)'!AH13*$AY$2480,0)</f>
        <v>0</v>
      </c>
      <c r="BL2687" s="160">
        <f>IF($AY$2478&gt;0,'Assumptions (Battery)'!AI13*$AY$2480,0)</f>
        <v>0</v>
      </c>
      <c r="BM2687" s="160">
        <f>IF($AY$2478&gt;0,'Assumptions (Battery)'!AJ13*$AY$2480,0)</f>
        <v>0</v>
      </c>
      <c r="BN2687" s="160">
        <f>IF($AY$2478&gt;0,'Assumptions (Battery)'!AK13*$AY$2480,0)</f>
        <v>0</v>
      </c>
      <c r="BO2687" s="160"/>
      <c r="BP2687" s="160"/>
    </row>
    <row r="2688" ht="15.75" hidden="1" customHeight="1" outlineLevel="1">
      <c r="A2688" s="353"/>
      <c r="B2688" s="38"/>
      <c r="C2688" s="174"/>
      <c r="D2688" s="174"/>
      <c r="E2688" s="174"/>
      <c r="F2688" s="174"/>
      <c r="G2688" s="174"/>
      <c r="H2688" s="174"/>
      <c r="I2688" s="174"/>
      <c r="J2688" s="174"/>
      <c r="K2688" s="174"/>
      <c r="L2688" s="174"/>
      <c r="M2688" s="174"/>
      <c r="N2688" s="174"/>
      <c r="O2688" s="174"/>
      <c r="P2688" s="174"/>
      <c r="Q2688" s="174"/>
      <c r="R2688" s="174"/>
      <c r="S2688" s="174"/>
      <c r="T2688" s="174"/>
      <c r="U2688" s="174"/>
      <c r="V2688" s="174"/>
      <c r="W2688" s="160"/>
      <c r="X2688" s="160"/>
      <c r="Y2688" s="160"/>
      <c r="Z2688" s="160"/>
      <c r="AA2688" s="160"/>
      <c r="AB2688" s="160"/>
      <c r="AC2688" s="160"/>
      <c r="AD2688" s="160"/>
      <c r="AE2688" s="160"/>
      <c r="AF2688" s="160"/>
      <c r="AG2688" s="160"/>
      <c r="AH2688" s="160"/>
      <c r="AI2688" s="160"/>
      <c r="AJ2688" s="160"/>
      <c r="AK2688" s="160"/>
      <c r="AL2688" s="160"/>
      <c r="AM2688" s="160"/>
      <c r="AN2688" s="160"/>
      <c r="AO2688" s="160"/>
      <c r="AP2688" s="160"/>
      <c r="AQ2688" s="160"/>
      <c r="AR2688" s="160"/>
      <c r="AS2688" s="160"/>
      <c r="AT2688" s="160"/>
      <c r="AU2688" s="160"/>
      <c r="AV2688" s="160"/>
      <c r="AW2688" s="160"/>
      <c r="AX2688" s="160"/>
      <c r="AY2688" s="160"/>
      <c r="AZ2688" s="160">
        <f>IF($AZ$2478&gt;0,'Assumptions (Battery)'!V13*$AZ$2480,0)</f>
        <v>0.4413058425</v>
      </c>
      <c r="BA2688" s="160">
        <f>IF($AZ$2478&gt;0,'Assumptions (Battery)'!W13*$AZ$2480,0)</f>
        <v>0.7563037147</v>
      </c>
      <c r="BB2688" s="160">
        <f>IF($AZ$2478&gt;0,'Assumptions (Battery)'!X13*$AZ$2480,0)</f>
        <v>0.5401287044</v>
      </c>
      <c r="BC2688" s="160">
        <f>IF($AZ$2478&gt;0,'Assumptions (Battery)'!Y13*$AZ$2480,0)</f>
        <v>0.3857179827</v>
      </c>
      <c r="BD2688" s="160">
        <f>IF($AZ$2478&gt;0,'Assumptions (Battery)'!Z13*$AZ$2480,0)</f>
        <v>0.2757775489</v>
      </c>
      <c r="BE2688" s="160">
        <f>IF($AZ$2478&gt;0,'Assumptions (Battery)'!AA13*$AZ$2480,0)</f>
        <v>0.2754687275</v>
      </c>
      <c r="BF2688" s="160">
        <f>IF($AZ$2478&gt;0,'Assumptions (Battery)'!AB13*$AZ$2480,0)</f>
        <v>0.2757775489</v>
      </c>
      <c r="BG2688" s="160">
        <f>IF($AZ$2478&gt;0,'Assumptions (Battery)'!AC13*$AZ$2480,0)</f>
        <v>0.1377343637</v>
      </c>
      <c r="BH2688" s="160">
        <f>IF($AZ$2478&gt;0,'Assumptions (Battery)'!AD13*$AZ$2480,0)</f>
        <v>0</v>
      </c>
      <c r="BI2688" s="160">
        <f>IF($AZ$2478&gt;0,'Assumptions (Battery)'!AE13*$AZ$2480,0)</f>
        <v>0</v>
      </c>
      <c r="BJ2688" s="160">
        <f>IF($AZ$2478&gt;0,'Assumptions (Battery)'!AF13*$AZ$2480,0)</f>
        <v>0</v>
      </c>
      <c r="BK2688" s="160">
        <f>IF($AZ$2478&gt;0,'Assumptions (Battery)'!AG13*$AZ$2480,0)</f>
        <v>0</v>
      </c>
      <c r="BL2688" s="160">
        <f>IF($AZ$2478&gt;0,'Assumptions (Battery)'!AH13*$AZ$2480,0)</f>
        <v>0</v>
      </c>
      <c r="BM2688" s="160">
        <f>IF($AZ$2478&gt;0,'Assumptions (Battery)'!AI13*$AZ$2480,0)</f>
        <v>0</v>
      </c>
      <c r="BN2688" s="160">
        <f>IF($AZ$2478&gt;0,'Assumptions (Battery)'!AJ13*$AZ$2480,0)</f>
        <v>0</v>
      </c>
      <c r="BO2688" s="160">
        <f>IF($AZ$2478&gt;0,'Assumptions (Battery)'!AK13*$AZ$2480,0)</f>
        <v>0</v>
      </c>
      <c r="BP2688" s="160"/>
    </row>
    <row r="2689" ht="15.75" hidden="1" customHeight="1" outlineLevel="1">
      <c r="A2689" s="353"/>
      <c r="B2689" s="38"/>
      <c r="C2689" s="174"/>
      <c r="D2689" s="174"/>
      <c r="E2689" s="174"/>
      <c r="F2689" s="174"/>
      <c r="G2689" s="174"/>
      <c r="H2689" s="174"/>
      <c r="I2689" s="174"/>
      <c r="J2689" s="174"/>
      <c r="K2689" s="174"/>
      <c r="L2689" s="174"/>
      <c r="M2689" s="174"/>
      <c r="N2689" s="174"/>
      <c r="O2689" s="174"/>
      <c r="P2689" s="174"/>
      <c r="Q2689" s="174"/>
      <c r="R2689" s="174"/>
      <c r="S2689" s="174"/>
      <c r="T2689" s="174"/>
      <c r="U2689" s="174"/>
      <c r="V2689" s="174"/>
      <c r="W2689" s="160"/>
      <c r="X2689" s="160"/>
      <c r="Y2689" s="160"/>
      <c r="Z2689" s="160"/>
      <c r="AA2689" s="160"/>
      <c r="AB2689" s="160"/>
      <c r="AC2689" s="160"/>
      <c r="AD2689" s="160"/>
      <c r="AE2689" s="160"/>
      <c r="AF2689" s="160"/>
      <c r="AG2689" s="160"/>
      <c r="AH2689" s="160"/>
      <c r="AI2689" s="160"/>
      <c r="AJ2689" s="160"/>
      <c r="AK2689" s="160"/>
      <c r="AL2689" s="160"/>
      <c r="AM2689" s="160"/>
      <c r="AN2689" s="160"/>
      <c r="AO2689" s="160"/>
      <c r="AP2689" s="160"/>
      <c r="AQ2689" s="160"/>
      <c r="AR2689" s="160"/>
      <c r="AS2689" s="160"/>
      <c r="AT2689" s="160"/>
      <c r="AU2689" s="160"/>
      <c r="AV2689" s="160"/>
      <c r="AW2689" s="160"/>
      <c r="AX2689" s="160"/>
      <c r="AY2689" s="160"/>
      <c r="AZ2689" s="160"/>
      <c r="BA2689" s="160">
        <f>IF($BA$2478&gt;0,'Assumptions (Battery)'!V13*$BA$2480,0)</f>
        <v>0</v>
      </c>
      <c r="BB2689" s="160">
        <f>IF($BA$2478&gt;0,'Assumptions (Battery)'!W13*$BA$2480,0)</f>
        <v>0</v>
      </c>
      <c r="BC2689" s="160">
        <f>IF($BA$2478&gt;0,'Assumptions (Battery)'!X13*$BA$2480,0)</f>
        <v>0</v>
      </c>
      <c r="BD2689" s="160">
        <f>IF($BA$2478&gt;0,'Assumptions (Battery)'!Y13*$BA$2480,0)</f>
        <v>0</v>
      </c>
      <c r="BE2689" s="160">
        <f>IF($BA$2478&gt;0,'Assumptions (Battery)'!Z13*$BA$2480,0)</f>
        <v>0</v>
      </c>
      <c r="BF2689" s="160">
        <f>IF($BA$2478&gt;0,'Assumptions (Battery)'!AA13*$BA$2480,0)</f>
        <v>0</v>
      </c>
      <c r="BG2689" s="160">
        <f>IF($BA$2478&gt;0,'Assumptions (Battery)'!AB13*$BA$2480,0)</f>
        <v>0</v>
      </c>
      <c r="BH2689" s="160">
        <f>IF($BA$2478&gt;0,'Assumptions (Battery)'!AC13*$BA$2480,0)</f>
        <v>0</v>
      </c>
      <c r="BI2689" s="160">
        <f>IF($BA$2478&gt;0,'Assumptions (Battery)'!AD13*$BA$2480,0)</f>
        <v>0</v>
      </c>
      <c r="BJ2689" s="160">
        <f>IF($BA$2478&gt;0,'Assumptions (Battery)'!AE13*$BA$2480,0)</f>
        <v>0</v>
      </c>
      <c r="BK2689" s="160">
        <f>IF($BA$2478&gt;0,'Assumptions (Battery)'!AF13*$BA$2480,0)</f>
        <v>0</v>
      </c>
      <c r="BL2689" s="160">
        <f>IF($BA$2478&gt;0,'Assumptions (Battery)'!AG13*$BA$2480,0)</f>
        <v>0</v>
      </c>
      <c r="BM2689" s="160">
        <f>IF($BA$2478&gt;0,'Assumptions (Battery)'!AH13*$BA$2480,0)</f>
        <v>0</v>
      </c>
      <c r="BN2689" s="160">
        <f>IF($BA$2478&gt;0,'Assumptions (Battery)'!AI13*$BA$2480,0)</f>
        <v>0</v>
      </c>
      <c r="BO2689" s="160">
        <f>IF($BA$2478&gt;0,'Assumptions (Battery)'!AJ13*$BA$2480,0)</f>
        <v>0</v>
      </c>
      <c r="BP2689" s="160">
        <f>IF($BA$2478&gt;0,'Assumptions (Battery)'!AK13*$BA$2480,0)</f>
        <v>0</v>
      </c>
    </row>
    <row r="2690" ht="15.75" customHeight="1" collapsed="1">
      <c r="A2690" s="353" t="s">
        <v>62</v>
      </c>
      <c r="B2690" s="159" t="s">
        <v>351</v>
      </c>
      <c r="C2690" s="160">
        <f>IF(Model!C2476+Model!C2477-C2475-C2638+C2586&gt;0,(1-'Assumptions (Battery)'!B32)*(Model!C2476+Model!C2477-C2475-C2638+C2586)+Model!C2638-C2533+Model!C2534,Model!C2476+Model!C2477-C2475+C2586-C2533+Model!C2534)</f>
        <v>0</v>
      </c>
      <c r="D2690" s="160">
        <f>IF(Model!D2476+Model!D2477-D2475-D2638+D2586&gt;0,(1-'Assumptions (Battery)'!C32)*(Model!D2476+Model!D2477-D2475-D2638+D2586)+Model!D2638-D2533+Model!D2534,Model!D2476+Model!D2477-D2475+D2586-D2533+Model!D2534)</f>
        <v>0</v>
      </c>
      <c r="E2690" s="160">
        <f>IF(Model!E2476+Model!E2477-E2475-E2638+E2586&gt;0,(1-'Assumptions (Battery)'!D32)*(Model!E2476+Model!E2477-E2475-E2638+E2586)+Model!E2638-E2533+Model!E2534,Model!E2476+Model!E2477-E2475+E2586-E2533+Model!E2534)</f>
        <v>0</v>
      </c>
      <c r="F2690" s="160">
        <f>IF(Model!F2476+Model!F2477-F2475-F2638+F2586&gt;0,(1-'Assumptions (Battery)'!E32)*(Model!F2476+Model!F2477-F2475-F2638+F2586)+Model!F2638-F2533+Model!F2534,Model!F2476+Model!F2477-F2475+F2586-F2533+Model!F2534)</f>
        <v>0</v>
      </c>
      <c r="G2690" s="160">
        <f>IF(Model!G2476+Model!G2477-G2475-G2638+G2586&gt;0,(1-'Assumptions (Battery)'!F32)*(Model!G2476+Model!G2477-G2475-G2638+G2586)+Model!G2638-G2533+Model!G2534,Model!G2476+Model!G2477-G2475+G2586-G2533+Model!G2534)</f>
        <v>0</v>
      </c>
      <c r="H2690" s="160">
        <f>IF(Model!H2476+Model!H2477-H2475-H2638+H2586&gt;0,(1-'Assumptions (Battery)'!G32)*(Model!H2476+Model!H2477-H2475-H2638+H2586)+Model!H2638-H2533+Model!H2534,Model!H2476+Model!H2477-H2475+H2586-H2533+Model!H2534)</f>
        <v>0</v>
      </c>
      <c r="I2690" s="160">
        <f>IF(Model!I2476+Model!I2477-I2475-I2638+I2586&gt;0,(1-'Assumptions (Battery)'!H32)*(Model!I2476+Model!I2477-I2475-I2638+I2586)+Model!I2638-I2533+Model!I2534,Model!I2476+Model!I2477-I2475+I2586-I2533+Model!I2534)</f>
        <v>0</v>
      </c>
      <c r="J2690" s="160">
        <f>IF(Model!J2476+Model!J2477-J2475-J2638+J2586&gt;0,(1-'Assumptions (Battery)'!I32)*(Model!J2476+Model!J2477-J2475-J2638+J2586)+Model!J2638-J2533+Model!J2534,Model!J2476+Model!J2477-J2475+J2586-J2533+Model!J2534)</f>
        <v>0</v>
      </c>
      <c r="K2690" s="160">
        <f>IF(Model!K2476+Model!K2477-K2475-K2638+K2586&gt;0,(1-'Assumptions (Battery)'!J32)*(Model!K2476+Model!K2477-K2475-K2638+K2586)+Model!K2638-K2533+Model!K2534,Model!K2476+Model!K2477-K2475+K2586-K2533+Model!K2534)</f>
        <v>0</v>
      </c>
      <c r="L2690" s="160">
        <f>IF(Model!L2476+Model!L2477-L2475-L2638+L2586&gt;0,(1-'Assumptions (Battery)'!K32)*(Model!L2476+Model!L2477-L2475-L2638+L2586)+Model!L2638-L2533+Model!L2534,Model!L2476+Model!L2477-L2475+L2586-L2533+Model!L2534)</f>
        <v>0</v>
      </c>
      <c r="M2690" s="160">
        <f>IF(Model!M2476+Model!M2477-M2475-M2638+M2586&gt;0,(1-'Assumptions (Battery)'!L32)*(Model!M2476+Model!M2477-M2475-M2638+M2586)+Model!M2638-M2533+Model!M2534,Model!M2476+Model!M2477-M2475+M2586-M2533+Model!M2534)</f>
        <v>0</v>
      </c>
      <c r="N2690" s="160">
        <f>IF(Model!N2476+Model!N2477-N2475-N2638+N2586&gt;0,(1-'Assumptions (Battery)'!M32)*(Model!N2476+Model!N2477-N2475-N2638+N2586)+Model!N2638-N2533+Model!N2534,Model!N2476+Model!N2477-N2475+N2586-N2533+Model!N2534)</f>
        <v>0</v>
      </c>
      <c r="O2690" s="160">
        <f>IF(Model!O2476+Model!O2477-O2475-O2638+O2586&gt;0,(1-'Assumptions (Battery)'!N32)*(Model!O2476+Model!O2477-O2475-O2638+O2586)+Model!O2638-O2533+Model!O2534,Model!O2476+Model!O2477-O2475+O2586-O2533+Model!O2534)</f>
        <v>0</v>
      </c>
      <c r="P2690" s="160">
        <f>IF(Model!P2476+Model!P2477-P2475-P2638+P2586&gt;0,(1-'Assumptions (Battery)'!O32)*(Model!P2476+Model!P2477-P2475-P2638+P2586)+Model!P2638-P2533+Model!P2534,Model!P2476+Model!P2477-P2475+P2586-P2533+Model!P2534)</f>
        <v>0</v>
      </c>
      <c r="Q2690" s="160">
        <f>IF(Model!Q2476+Model!Q2477-Q2475-Q2638+Q2586&gt;0,(1-'Assumptions (Battery)'!P32)*(Model!Q2476+Model!Q2477-Q2475-Q2638+Q2586)+Model!Q2638-Q2533+Model!Q2534,Model!Q2476+Model!Q2477-Q2475+Q2586-Q2533+Model!Q2534)</f>
        <v>-0.001603648304</v>
      </c>
      <c r="R2690" s="160">
        <f>IF(Model!R2476+Model!R2477-R2475-R2638+R2586&gt;0,(1-'Assumptions (Battery)'!Q32)*(Model!R2476+Model!R2477-R2475-R2638+R2586)+Model!R2638-R2533+Model!R2534,Model!R2476+Model!R2477-R2475+R2586-R2533+Model!R2534)</f>
        <v>-0.00004736354245</v>
      </c>
      <c r="S2690" s="160">
        <f>IF(Model!S2476+Model!S2477-S2475-S2638+S2586&gt;0,(1-'Assumptions (Battery)'!R32)*(Model!S2476+Model!S2477-S2475-S2638+S2586)+Model!S2638-S2533+Model!S2534,Model!S2476+Model!S2477-S2475+S2586-S2533+Model!S2534)</f>
        <v>-0.002938902266</v>
      </c>
      <c r="T2690" s="160">
        <f>IF(Model!T2476+Model!T2477-T2475-T2638+T2586&gt;0,(1-'Assumptions (Battery)'!S32)*(Model!T2476+Model!T2477-T2475-T2638+T2586)+Model!T2638-T2533+Model!T2534,Model!T2476+Model!T2477-T2475+T2586-T2533+Model!T2534)</f>
        <v>-0.005830817586</v>
      </c>
      <c r="U2690" s="160">
        <f>IF(Model!U2476+Model!U2477-U2475-U2638+U2586&gt;0,(1-'Assumptions (Battery)'!T32)*(Model!U2476+Model!U2477-U2475-U2638+U2586)+Model!U2638-U2533+Model!U2534,Model!U2476+Model!U2477-U2475+U2586-U2533+Model!U2534)</f>
        <v>-0.0004886387837</v>
      </c>
      <c r="V2690" s="160">
        <f>IF(Model!V2476+Model!V2477-V2475-V2638+V2586&gt;0,(1-'Assumptions (Battery)'!U32)*(Model!V2476+Model!V2477-V2475-V2638+V2586)+Model!V2638-V2533+Model!V2534,Model!V2476+Model!V2477-V2475+V2586-V2533+Model!V2534)</f>
        <v>-0.0004784851886</v>
      </c>
      <c r="W2690" s="160">
        <f>IF(Model!W2476+Model!W2477-W2475-W2638+W2586&gt;0,(1-'Assumptions (Battery)'!V32)*(Model!W2476+Model!W2477-W2475-W2638+W2586)+Model!W2638-W2533+Model!W2534,Model!W2476+Model!W2477-W2475+W2586-W2533+Model!W2534)</f>
        <v>-1.648466274</v>
      </c>
      <c r="X2690" s="160">
        <f>IF(Model!X2476+Model!X2477-X2475-X2638+X2586&gt;0,(1-'Assumptions (Battery)'!W32)*(Model!X2476+Model!X2477-X2475-X2638+X2586)+Model!X2638-X2533+Model!X2534,Model!X2476+Model!X2477-X2475+X2586-X2533+Model!X2534)</f>
        <v>-1.68140936</v>
      </c>
      <c r="Y2690" s="160">
        <f>IF(Model!Y2476+Model!Y2477-Y2475-Y2638+Y2586&gt;0,(1-'Assumptions (Battery)'!X32)*(Model!Y2476+Model!Y2477-Y2475-Y2638+Y2586)+Model!Y2638-Y2533+Model!Y2534,Model!Y2476+Model!Y2477-Y2475+Y2586-Y2533+Model!Y2534)</f>
        <v>-1.708973591</v>
      </c>
      <c r="Z2690" s="160">
        <f>IF(Model!Z2476+Model!Z2477-Z2475-Z2638+Z2586&gt;0,(1-'Assumptions (Battery)'!Y32)*(Model!Z2476+Model!Z2477-Z2475-Z2638+Z2586)+Model!Z2638-Z2533+Model!Z2534,Model!Z2476+Model!Z2477-Z2475+Z2586-Z2533+Model!Z2534)</f>
        <v>-1.719178862</v>
      </c>
      <c r="AA2690" s="160">
        <f>IF(Model!AA2476+Model!AA2477-AA2475-AA2638+AA2586&gt;0,(1-'Assumptions (Battery)'!Z32)*(Model!AA2476+Model!AA2477-AA2475-AA2638+AA2586)+Model!AA2638-AA2533+Model!AA2534,Model!AA2476+Model!AA2477-AA2475+AA2586-AA2533+Model!AA2534)</f>
        <v>-1.72339742</v>
      </c>
      <c r="AB2690" s="160">
        <f>IF(Model!AB2476+Model!AB2477-AB2475-AB2638+AB2586&gt;0,(1-'Assumptions (Battery)'!AA32)*(Model!AB2476+Model!AB2477-AB2475-AB2638+AB2586)+Model!AB2638-AB2533+Model!AB2534,Model!AB2476+Model!AB2477-AB2475+AB2586-AB2533+Model!AB2534)</f>
        <v>-1.707971881</v>
      </c>
      <c r="AC2690" s="160">
        <f>IF(Model!AC2476+Model!AC2477-AC2475-AC2638+AC2586&gt;0,(1-'Assumptions (Battery)'!AB32)*(Model!AC2476+Model!AC2477-AC2475-AC2638+AC2586)+Model!AC2638-AC2533+Model!AC2534,Model!AC2476+Model!AC2477-AC2475+AC2586-AC2533+Model!AC2534)</f>
        <v>-1.762854193</v>
      </c>
      <c r="AD2690" s="160">
        <f>IF(Model!AD2476+Model!AD2477-AD2475-AD2638+AD2586&gt;0,(1-'Assumptions (Battery)'!AC32)*(Model!AD2476+Model!AD2477-AD2475-AD2638+AD2586)+Model!AD2638-AD2533+Model!AD2534,Model!AD2476+Model!AD2477-AD2475+AD2586-AD2533+Model!AD2534)</f>
        <v>-1.820168889</v>
      </c>
      <c r="AE2690" s="160">
        <f>IF(Model!AE2476+Model!AE2477-AE2475-AE2638+AE2586&gt;0,(1-'Assumptions (Battery)'!AD32)*(Model!AE2476+Model!AE2477-AE2475-AE2638+AE2586)+Model!AE2638-AE2533+Model!AE2534,Model!AE2476+Model!AE2477-AE2475+AE2586-AE2533+Model!AE2534)</f>
        <v>-1.866177599</v>
      </c>
      <c r="AF2690" s="160">
        <f>IF(Model!AF2476+Model!AF2477-AF2475-AF2638+AF2586&gt;0,(1-'Assumptions (Battery)'!AE32)*(Model!AF2476+Model!AF2477-AF2475-AF2638+AF2586)+Model!AF2638-AF2533+Model!AF2534,Model!AF2476+Model!AF2477-AF2475+AF2586-AF2533+Model!AF2534)</f>
        <v>-1.907905643</v>
      </c>
      <c r="AG2690" s="160">
        <f>IF(Model!AG2476+Model!AG2477-AG2475-AG2638+AG2586&gt;0,(1-'Assumptions (Battery)'!AF32)*(Model!AG2476+Model!AG2477-AG2475-AG2638+AG2586)+Model!AG2638-AG2533+Model!AG2534,Model!AG2476+Model!AG2477-AG2475+AG2586-AG2533+Model!AG2534)</f>
        <v>-1.952479116</v>
      </c>
      <c r="AH2690" s="160">
        <f>IF(Model!AH2476+Model!AH2477-AH2475-AH2638+AH2586&gt;0,(1-'Assumptions (Battery)'!AG32)*(Model!AH2476+Model!AH2477-AH2475-AH2638+AH2586)+Model!AH2638-AH2533+Model!AH2534,Model!AH2476+Model!AH2477-AH2475+AH2586-AH2533+Model!AH2534)</f>
        <v>-1.981619511</v>
      </c>
      <c r="AI2690" s="160">
        <f>IF(Model!AI2476+Model!AI2477-AI2475-AI2638+AI2586&gt;0,(1-'Assumptions (Battery)'!AH32)*(Model!AI2476+Model!AI2477-AI2475-AI2638+AI2586)+Model!AI2638-AI2533+Model!AI2534,Model!AI2476+Model!AI2477-AI2475+AI2586-AI2533+Model!AI2534)</f>
        <v>-2.013825141</v>
      </c>
      <c r="AJ2690" s="160">
        <f>IF(Model!AJ2476+Model!AJ2477-AJ2475-AJ2638+AJ2586&gt;0,(1-'Assumptions (Battery)'!AI32)*(Model!AJ2476+Model!AJ2477-AJ2475-AJ2638+AJ2586)+Model!AJ2638-AJ2533+Model!AJ2534,Model!AJ2476+Model!AJ2477-AJ2475+AJ2586-AJ2533+Model!AJ2534)</f>
        <v>-2.041192035</v>
      </c>
      <c r="AK2690" s="160">
        <f>IF(Model!AK2476+Model!AK2477-AK2475-AK2638+AK2586&gt;0,(1-'Assumptions (Battery)'!AJ32)*(Model!AK2476+Model!AK2477-AK2475-AK2638+AK2586)+Model!AK2638-AK2533+Model!AK2534,Model!AK2476+Model!AK2477-AK2475+AK2586-AK2533+Model!AK2534)</f>
        <v>-2.080483773</v>
      </c>
      <c r="AL2690" s="160">
        <f>IF(Model!AL2476+Model!AL2477-AL2475-AL2638+AL2586&gt;0,(1-'Assumptions (Battery)'!AK32)*(Model!AL2476+Model!AL2477-AL2475-AL2638+AL2586)+Model!AL2638-AL2533+Model!AL2534,Model!AL2476+Model!AL2477-AL2475+AL2586-AL2533+Model!AL2534)</f>
        <v>-2.12270816</v>
      </c>
      <c r="AM2690" s="160">
        <f>IF(Model!AM2476+Model!AM2477-AM2475-AM2638+AM2586&gt;0,(1-'Assumptions (Battery)'!AL32)*(Model!AM2476+Model!AM2477-AM2475-AM2638+AM2586)+Model!AM2638-AM2533+Model!AM2534,Model!AM2476+Model!AM2477-AM2475+AM2586-AM2533+Model!AM2534)</f>
        <v>-2.166939665</v>
      </c>
      <c r="AN2690" s="160">
        <f>IF(Model!AN2476+Model!AN2477-AN2475-AN2638+AN2586&gt;0,(1-'Assumptions (Battery)'!AM32)*(Model!AN2476+Model!AN2477-AN2475-AN2638+AN2586)+Model!AN2638-AN2533+Model!AN2534,Model!AN2476+Model!AN2477-AN2475+AN2586-AN2533+Model!AN2534)</f>
        <v>-3.427222265</v>
      </c>
      <c r="AO2690" s="160">
        <f>IF(Model!AO2476+Model!AO2477-AO2475-AO2638+AO2586&gt;0,(1-'Assumptions (Battery)'!AN32)*(Model!AO2476+Model!AO2477-AO2475-AO2638+AO2586)+Model!AO2638-AO2533+Model!AO2534,Model!AO2476+Model!AO2477-AO2475+AO2586-AO2533+Model!AO2534)</f>
        <v>-3.525170049</v>
      </c>
      <c r="AP2690" s="160">
        <f>IF(Model!AP2476+Model!AP2477-AP2475-AP2638+AP2586&gt;0,(1-'Assumptions (Battery)'!AO32)*(Model!AP2476+Model!AP2477-AP2475-AP2638+AP2586)+Model!AP2638-AP2533+Model!AP2534,Model!AP2476+Model!AP2477-AP2475+AP2586-AP2533+Model!AP2534)</f>
        <v>-3.626107908</v>
      </c>
      <c r="AQ2690" s="160">
        <f>IF(Model!AQ2476+Model!AQ2477-AQ2475-AQ2638+AQ2586&gt;0,(1-'Assumptions (Battery)'!AP32)*(Model!AQ2476+Model!AQ2477-AQ2475-AQ2638+AQ2586)+Model!AQ2638-AQ2533+Model!AQ2534,Model!AQ2476+Model!AQ2477-AQ2475+AQ2586-AQ2533+Model!AQ2534)</f>
        <v>-3.727103161</v>
      </c>
      <c r="AR2690" s="160">
        <f>IF(Model!AR2476+Model!AR2477-AR2475-AR2638+AR2586&gt;0,(1-'Assumptions (Battery)'!AQ32)*(Model!AR2476+Model!AR2477-AR2475-AR2638+AR2586)+Model!AR2638-AR2533+Model!AR2534,Model!AR2476+Model!AR2477-AR2475+AR2586-AR2533+Model!AR2534)</f>
        <v>-3.828186358</v>
      </c>
      <c r="AS2690" s="160">
        <f>IF(Model!AS2476+Model!AS2477-AS2475-AS2638+AS2586&gt;0,(1-'Assumptions (Battery)'!AR32)*(Model!AS2476+Model!AS2477-AS2475-AS2638+AS2586)+Model!AS2638-AS2533+Model!AS2534,Model!AS2476+Model!AS2477-AS2475+AS2586-AS2533+Model!AS2534)</f>
        <v>-3.929310495</v>
      </c>
      <c r="AT2690" s="160">
        <f>IF(Model!AT2476+Model!AT2477-AT2475-AT2638+AT2586&gt;0,(1-'Assumptions (Battery)'!AS32)*(Model!AT2476+Model!AT2477-AT2475-AT2638+AT2586)+Model!AT2638-AT2533+Model!AT2534,Model!AT2476+Model!AT2477-AT2475+AT2586-AT2533+Model!AT2534)</f>
        <v>-4.030614853</v>
      </c>
      <c r="AU2690" s="160">
        <f>IF(Model!AU2476+Model!AU2477-AU2475-AU2638+AU2586&gt;0,(1-'Assumptions (Battery)'!AT32)*(Model!AU2476+Model!AU2477-AU2475-AU2638+AU2586)+Model!AU2638-AU2533+Model!AU2534,Model!AU2476+Model!AU2477-AU2475+AU2586-AU2533+Model!AU2534)</f>
        <v>-4.110132721</v>
      </c>
      <c r="AV2690" s="160">
        <f>IF(Model!AV2476+Model!AV2477-AV2475-AV2638+AV2586&gt;0,(1-'Assumptions (Battery)'!AU32)*(Model!AV2476+Model!AV2477-AV2475-AV2638+AV2586)+Model!AV2638-AV2533+Model!AV2534,Model!AV2476+Model!AV2477-AV2475+AV2586-AV2533+Model!AV2534)</f>
        <v>-4.209955658</v>
      </c>
      <c r="AW2690" s="160">
        <f>IF(Model!AW2476+Model!AW2477-AW2475-AW2638+AW2586&gt;0,(1-'Assumptions (Battery)'!AV32)*(Model!AW2476+Model!AW2477-AW2475-AW2638+AW2586)+Model!AW2638-AW2533+Model!AW2534,Model!AW2476+Model!AW2477-AW2475+AW2586-AW2533+Model!AW2534)</f>
        <v>-4.309568855</v>
      </c>
      <c r="AX2690" s="160">
        <f>IF(Model!AX2476+Model!AX2477-AX2475-AX2638+AX2586&gt;0,(1-'Assumptions (Battery)'!AW32)*(Model!AX2476+Model!AX2477-AX2475-AX2638+AX2586)+Model!AX2638-AX2533+Model!AX2534,Model!AX2476+Model!AX2477-AX2475+AX2586-AX2533+Model!AX2534)</f>
        <v>-4.365174204</v>
      </c>
      <c r="AY2690" s="160">
        <f>IF(Model!AY2476+Model!AY2477-AY2475-AY2638+AY2586&gt;0,(1-'Assumptions (Battery)'!AX32)*(Model!AY2476+Model!AY2477-AY2475-AY2638+AY2586)+Model!AY2638-AY2533+Model!AY2534,Model!AY2476+Model!AY2477-AY2475+AY2586-AY2533+Model!AY2534)</f>
        <v>-4.420015468</v>
      </c>
      <c r="AZ2690" s="160">
        <f>IF(Model!AZ2476+Model!AZ2477-AZ2475-AZ2638+AZ2586&gt;0,(1-'Assumptions (Battery)'!AY32)*(Model!AZ2476+Model!AZ2477-AZ2475-AZ2638+AZ2586)+Model!AZ2638-AZ2533+Model!AZ2534,Model!AZ2476+Model!AZ2477-AZ2475+AZ2586-AZ2533+Model!AZ2534)</f>
        <v>-4.473921441</v>
      </c>
      <c r="BA2690" s="160">
        <f>IF(Model!BA2476+Model!BA2477-BA2475-BA2638+BA2586&gt;0,(1-'Assumptions (Battery)'!AZ32)*(Model!BA2476+Model!BA2477-BA2475-BA2638+BA2586)+Model!BA2638-BA2533+Model!BA2534,Model!BA2476+Model!BA2477-BA2475+BA2586-BA2533+Model!BA2534)</f>
        <v>-1.956497753</v>
      </c>
    </row>
    <row r="2691" ht="15.75" customHeight="1">
      <c r="A2691" s="353" t="s">
        <v>64</v>
      </c>
      <c r="B2691" s="159" t="s">
        <v>351</v>
      </c>
      <c r="C2691" s="160">
        <f>IF(C2476+C2477-C2475-C2638+C2586&gt;0,'Assumptions (Battery)'!B32*(C2476+C2477-C2475-C2638+C2586)-'Assumptions (Battery)'!B33*Model!C2474/10^3,'Assumptions (Battery)'!B33*Model!C2474/10^3)</f>
        <v>0</v>
      </c>
      <c r="D2691" s="160">
        <f>IF(D2476+D2477-D2475-D2638+D2586&gt;0,'Assumptions (Battery)'!C32*(D2476+D2477-D2475-D2638+D2586)-'Assumptions (Battery)'!C33*Model!D2474/10^3,'Assumptions (Battery)'!C33*Model!D2474/10^3)</f>
        <v>0</v>
      </c>
      <c r="E2691" s="160">
        <f>IF(E2476+E2477-E2475-E2638+E2586&gt;0,'Assumptions (Battery)'!D32*(E2476+E2477-E2475-E2638+E2586)-'Assumptions (Battery)'!D33*Model!E2474/10^3,'Assumptions (Battery)'!D33*Model!E2474/10^3)</f>
        <v>0</v>
      </c>
      <c r="F2691" s="160">
        <f>IF(F2476+F2477-F2475-F2638+F2586&gt;0,'Assumptions (Battery)'!E32*(F2476+F2477-F2475-F2638+F2586)-'Assumptions (Battery)'!E33*Model!F2474/10^3,'Assumptions (Battery)'!E33*Model!F2474/10^3)</f>
        <v>0</v>
      </c>
      <c r="G2691" s="160">
        <f>IF(G2476+G2477-G2475-G2638+G2586&gt;0,'Assumptions (Battery)'!F32*(G2476+G2477-G2475-G2638+G2586)-'Assumptions (Battery)'!F33*Model!G2474/10^3,'Assumptions (Battery)'!F33*Model!G2474/10^3)</f>
        <v>0</v>
      </c>
      <c r="H2691" s="160">
        <f>IF(H2476+H2477-H2475-H2638+H2586&gt;0,'Assumptions (Battery)'!G32*(H2476+H2477-H2475-H2638+H2586)-'Assumptions (Battery)'!G33*Model!H2474/10^3,'Assumptions (Battery)'!G33*Model!H2474/10^3)</f>
        <v>0</v>
      </c>
      <c r="I2691" s="160">
        <f>IF(I2476+I2477-I2475-I2638+I2586&gt;0,'Assumptions (Battery)'!H32*(I2476+I2477-I2475-I2638+I2586)-'Assumptions (Battery)'!H33*Model!I2474/10^3,'Assumptions (Battery)'!H33*Model!I2474/10^3)</f>
        <v>0</v>
      </c>
      <c r="J2691" s="160">
        <f>IF(J2476+J2477-J2475-J2638+J2586&gt;0,'Assumptions (Battery)'!I32*(J2476+J2477-J2475-J2638+J2586)-'Assumptions (Battery)'!I33*Model!J2474/10^3,'Assumptions (Battery)'!I33*Model!J2474/10^3)</f>
        <v>0</v>
      </c>
      <c r="K2691" s="160">
        <f>IF(K2476+K2477-K2475-K2638+K2586&gt;0,'Assumptions (Battery)'!J32*(K2476+K2477-K2475-K2638+K2586)-'Assumptions (Battery)'!J33*Model!K2474/10^3,'Assumptions (Battery)'!J33*Model!K2474/10^3)</f>
        <v>0</v>
      </c>
      <c r="L2691" s="160">
        <f>IF(L2476+L2477-L2475-L2638+L2586&gt;0,'Assumptions (Battery)'!K32*(L2476+L2477-L2475-L2638+L2586)-'Assumptions (Battery)'!K33*Model!L2474/10^3,'Assumptions (Battery)'!K33*Model!L2474/10^3)</f>
        <v>0</v>
      </c>
      <c r="M2691" s="160">
        <f>IF(M2476+M2477-M2475-M2638+M2586&gt;0,'Assumptions (Battery)'!L32*(M2476+M2477-M2475-M2638+M2586)-'Assumptions (Battery)'!L33*Model!M2474/10^3,'Assumptions (Battery)'!L33*Model!M2474/10^3)</f>
        <v>0</v>
      </c>
      <c r="N2691" s="160">
        <f>IF(N2476+N2477-N2475-N2638+N2586&gt;0,'Assumptions (Battery)'!M32*(N2476+N2477-N2475-N2638+N2586)-'Assumptions (Battery)'!M33*Model!N2474/10^3,'Assumptions (Battery)'!M33*Model!N2474/10^3)</f>
        <v>0</v>
      </c>
      <c r="O2691" s="160">
        <f>IF(O2476+O2477-O2475-O2638+O2586&gt;0,'Assumptions (Battery)'!N32*(O2476+O2477-O2475-O2638+O2586)-'Assumptions (Battery)'!N33*Model!O2474/10^3,'Assumptions (Battery)'!N33*Model!O2474/10^3)</f>
        <v>0</v>
      </c>
      <c r="P2691" s="160">
        <f>IF(P2476+P2477-P2475-P2638+P2586&gt;0,'Assumptions (Battery)'!O32*(P2476+P2477-P2475-P2638+P2586)-'Assumptions (Battery)'!O33*Model!P2474/10^3,'Assumptions (Battery)'!O33*Model!P2474/10^3)</f>
        <v>0</v>
      </c>
      <c r="Q2691" s="160">
        <f>IF(Q2476+Q2477-Q2475-Q2638+Q2586&gt;0,'Assumptions (Battery)'!P32*(Q2476+Q2477-Q2475-Q2638+Q2586)-'Assumptions (Battery)'!P33*Model!Q2474/10^3,'Assumptions (Battery)'!P33*Model!Q2474/10^3)</f>
        <v>0</v>
      </c>
      <c r="R2691" s="160">
        <f>IF(R2476+R2477-R2475-R2638+R2586&gt;0,'Assumptions (Battery)'!Q32*(R2476+R2477-R2475-R2638+R2586)-'Assumptions (Battery)'!Q33*Model!R2474/10^3,'Assumptions (Battery)'!Q33*Model!R2474/10^3)</f>
        <v>0</v>
      </c>
      <c r="S2691" s="160">
        <f>IF(S2476+S2477-S2475-S2638+S2586&gt;0,'Assumptions (Battery)'!R32*(S2476+S2477-S2475-S2638+S2586)-'Assumptions (Battery)'!R33*Model!S2474/10^3,'Assumptions (Battery)'!R33*Model!S2474/10^3)</f>
        <v>0</v>
      </c>
      <c r="T2691" s="160">
        <f>IF(T2476+T2477-T2475-T2638+T2586&gt;0,'Assumptions (Battery)'!S32*(T2476+T2477-T2475-T2638+T2586)-'Assumptions (Battery)'!S33*Model!T2474/10^3,'Assumptions (Battery)'!S33*Model!T2474/10^3)</f>
        <v>0</v>
      </c>
      <c r="U2691" s="160">
        <f>IF(U2476+U2477-U2475-U2638+U2586&gt;0,'Assumptions (Battery)'!T32*(U2476+U2477-U2475-U2638+U2586)-'Assumptions (Battery)'!T33*Model!U2474/10^3,'Assumptions (Battery)'!T33*Model!U2474/10^3)</f>
        <v>0</v>
      </c>
      <c r="V2691" s="160">
        <f>IF(V2476+V2477-V2475-V2638+V2586&gt;0,'Assumptions (Battery)'!U32*(V2476+V2477-V2475-V2638+V2586)-'Assumptions (Battery)'!U33*Model!V2474/10^3,'Assumptions (Battery)'!U33*Model!V2474/10^3)</f>
        <v>0</v>
      </c>
      <c r="W2691" s="160">
        <f>IF(W2476+W2477-W2475-W2638+W2586&gt;0,'Assumptions (Battery)'!V32*(W2476+W2477-W2475-W2638+W2586)-'Assumptions (Battery)'!V33*Model!W2474/10^3,'Assumptions (Battery)'!V33*Model!W2474/10^3)</f>
        <v>0</v>
      </c>
      <c r="X2691" s="160">
        <f>IF(X2476+X2477-X2475-X2638+X2586&gt;0,'Assumptions (Battery)'!W32*(X2476+X2477-X2475-X2638+X2586)-'Assumptions (Battery)'!W33*Model!X2474/10^3,'Assumptions (Battery)'!W33*Model!X2474/10^3)</f>
        <v>0</v>
      </c>
      <c r="Y2691" s="160">
        <f>IF(Y2476+Y2477-Y2475-Y2638+Y2586&gt;0,'Assumptions (Battery)'!X32*(Y2476+Y2477-Y2475-Y2638+Y2586)-'Assumptions (Battery)'!X33*Model!Y2474/10^3,'Assumptions (Battery)'!X33*Model!Y2474/10^3)</f>
        <v>0</v>
      </c>
      <c r="Z2691" s="160">
        <f>IF(Z2476+Z2477-Z2475-Z2638+Z2586&gt;0,'Assumptions (Battery)'!Y32*(Z2476+Z2477-Z2475-Z2638+Z2586)-'Assumptions (Battery)'!Y33*Model!Z2474/10^3,'Assumptions (Battery)'!Y33*Model!Z2474/10^3)</f>
        <v>0</v>
      </c>
      <c r="AA2691" s="160">
        <f>IF(AA2476+AA2477-AA2475-AA2638+AA2586&gt;0,'Assumptions (Battery)'!Z32*(AA2476+AA2477-AA2475-AA2638+AA2586)-'Assumptions (Battery)'!Z33*Model!AA2474/10^3,'Assumptions (Battery)'!Z33*Model!AA2474/10^3)</f>
        <v>0</v>
      </c>
      <c r="AB2691" s="160">
        <f>IF(AB2476+AB2477-AB2475-AB2638+AB2586&gt;0,'Assumptions (Battery)'!AA32*(AB2476+AB2477-AB2475-AB2638+AB2586)-'Assumptions (Battery)'!AA33*Model!AB2474/10^3,'Assumptions (Battery)'!AA33*Model!AB2474/10^3)</f>
        <v>0</v>
      </c>
      <c r="AC2691" s="160">
        <f>IF(AC2476+AC2477-AC2475-AC2638+AC2586&gt;0,'Assumptions (Battery)'!AB32*(AC2476+AC2477-AC2475-AC2638+AC2586)-'Assumptions (Battery)'!AB33*Model!AC2474/10^3,'Assumptions (Battery)'!AB33*Model!AC2474/10^3)</f>
        <v>0</v>
      </c>
      <c r="AD2691" s="160">
        <f>IF(AD2476+AD2477-AD2475-AD2638+AD2586&gt;0,'Assumptions (Battery)'!AC32*(AD2476+AD2477-AD2475-AD2638+AD2586)-'Assumptions (Battery)'!AC33*Model!AD2474/10^3,'Assumptions (Battery)'!AC33*Model!AD2474/10^3)</f>
        <v>0</v>
      </c>
      <c r="AE2691" s="160">
        <f>IF(AE2476+AE2477-AE2475-AE2638+AE2586&gt;0,'Assumptions (Battery)'!AD32*(AE2476+AE2477-AE2475-AE2638+AE2586)-'Assumptions (Battery)'!AD33*Model!AE2474/10^3,'Assumptions (Battery)'!AD33*Model!AE2474/10^3)</f>
        <v>0</v>
      </c>
      <c r="AF2691" s="160">
        <f>IF(AF2476+AF2477-AF2475-AF2638+AF2586&gt;0,'Assumptions (Battery)'!AE32*(AF2476+AF2477-AF2475-AF2638+AF2586)-'Assumptions (Battery)'!AE33*Model!AF2474/10^3,'Assumptions (Battery)'!AE33*Model!AF2474/10^3)</f>
        <v>0</v>
      </c>
      <c r="AG2691" s="160">
        <f>IF(AG2476+AG2477-AG2475-AG2638+AG2586&gt;0,'Assumptions (Battery)'!AF32*(AG2476+AG2477-AG2475-AG2638+AG2586)-'Assumptions (Battery)'!AF33*Model!AG2474/10^3,'Assumptions (Battery)'!AF33*Model!AG2474/10^3)</f>
        <v>0</v>
      </c>
      <c r="AH2691" s="160">
        <f>IF(AH2476+AH2477-AH2475-AH2638+AH2586&gt;0,'Assumptions (Battery)'!AG32*(AH2476+AH2477-AH2475-AH2638+AH2586)-'Assumptions (Battery)'!AG33*Model!AH2474/10^3,'Assumptions (Battery)'!AG33*Model!AH2474/10^3)</f>
        <v>0</v>
      </c>
      <c r="AI2691" s="160">
        <f>IF(AI2476+AI2477-AI2475-AI2638+AI2586&gt;0,'Assumptions (Battery)'!AH32*(AI2476+AI2477-AI2475-AI2638+AI2586)-'Assumptions (Battery)'!AH33*Model!AI2474/10^3,'Assumptions (Battery)'!AH33*Model!AI2474/10^3)</f>
        <v>0</v>
      </c>
      <c r="AJ2691" s="160">
        <f>IF(AJ2476+AJ2477-AJ2475-AJ2638+AJ2586&gt;0,'Assumptions (Battery)'!AI32*(AJ2476+AJ2477-AJ2475-AJ2638+AJ2586)-'Assumptions (Battery)'!AI33*Model!AJ2474/10^3,'Assumptions (Battery)'!AI33*Model!AJ2474/10^3)</f>
        <v>0</v>
      </c>
      <c r="AK2691" s="160">
        <f>IF(AK2476+AK2477-AK2475-AK2638+AK2586&gt;0,'Assumptions (Battery)'!AJ32*(AK2476+AK2477-AK2475-AK2638+AK2586)-'Assumptions (Battery)'!AJ33*Model!AK2474/10^3,'Assumptions (Battery)'!AJ33*Model!AK2474/10^3)</f>
        <v>0</v>
      </c>
      <c r="AL2691" s="160">
        <f>IF(AL2476+AL2477-AL2475-AL2638+AL2586&gt;0,'Assumptions (Battery)'!AK32*(AL2476+AL2477-AL2475-AL2638+AL2586)-'Assumptions (Battery)'!AK33*Model!AL2474/10^3,'Assumptions (Battery)'!AK33*Model!AL2474/10^3)</f>
        <v>0</v>
      </c>
      <c r="AM2691" s="160">
        <f>IF(AM2476+AM2477-AM2475-AM2638+AM2586&gt;0,'Assumptions (Battery)'!AL32*(AM2476+AM2477-AM2475-AM2638+AM2586)-'Assumptions (Battery)'!AL33*Model!AM2474/10^3,'Assumptions (Battery)'!AL33*Model!AM2474/10^3)</f>
        <v>0</v>
      </c>
      <c r="AN2691" s="160">
        <f>IF(AN2476+AN2477-AN2475-AN2638+AN2586&gt;0,'Assumptions (Battery)'!AM32*(AN2476+AN2477-AN2475-AN2638+AN2586)-'Assumptions (Battery)'!AM33*Model!AN2474/10^3,'Assumptions (Battery)'!AM33*Model!AN2474/10^3)</f>
        <v>0</v>
      </c>
      <c r="AO2691" s="160">
        <f>IF(AO2476+AO2477-AO2475-AO2638+AO2586&gt;0,'Assumptions (Battery)'!AN32*(AO2476+AO2477-AO2475-AO2638+AO2586)-'Assumptions (Battery)'!AN33*Model!AO2474/10^3,'Assumptions (Battery)'!AN33*Model!AO2474/10^3)</f>
        <v>0</v>
      </c>
      <c r="AP2691" s="160">
        <f>IF(AP2476+AP2477-AP2475-AP2638+AP2586&gt;0,'Assumptions (Battery)'!AO32*(AP2476+AP2477-AP2475-AP2638+AP2586)-'Assumptions (Battery)'!AO33*Model!AP2474/10^3,'Assumptions (Battery)'!AO33*Model!AP2474/10^3)</f>
        <v>0</v>
      </c>
      <c r="AQ2691" s="160">
        <f>IF(AQ2476+AQ2477-AQ2475-AQ2638+AQ2586&gt;0,'Assumptions (Battery)'!AP32*(AQ2476+AQ2477-AQ2475-AQ2638+AQ2586)-'Assumptions (Battery)'!AP33*Model!AQ2474/10^3,'Assumptions (Battery)'!AP33*Model!AQ2474/10^3)</f>
        <v>0</v>
      </c>
      <c r="AR2691" s="160">
        <f>IF(AR2476+AR2477-AR2475-AR2638+AR2586&gt;0,'Assumptions (Battery)'!AQ32*(AR2476+AR2477-AR2475-AR2638+AR2586)-'Assumptions (Battery)'!AQ33*Model!AR2474/10^3,'Assumptions (Battery)'!AQ33*Model!AR2474/10^3)</f>
        <v>0</v>
      </c>
      <c r="AS2691" s="160">
        <f>IF(AS2476+AS2477-AS2475-AS2638+AS2586&gt;0,'Assumptions (Battery)'!AR32*(AS2476+AS2477-AS2475-AS2638+AS2586)-'Assumptions (Battery)'!AR33*Model!AS2474/10^3,'Assumptions (Battery)'!AR33*Model!AS2474/10^3)</f>
        <v>0</v>
      </c>
      <c r="AT2691" s="160">
        <f>IF(AT2476+AT2477-AT2475-AT2638+AT2586&gt;0,'Assumptions (Battery)'!AS32*(AT2476+AT2477-AT2475-AT2638+AT2586)-'Assumptions (Battery)'!AS33*Model!AT2474/10^3,'Assumptions (Battery)'!AS33*Model!AT2474/10^3)</f>
        <v>0</v>
      </c>
      <c r="AU2691" s="160">
        <f>IF(AU2476+AU2477-AU2475-AU2638+AU2586&gt;0,'Assumptions (Battery)'!AT32*(AU2476+AU2477-AU2475-AU2638+AU2586)-'Assumptions (Battery)'!AT33*Model!AU2474/10^3,'Assumptions (Battery)'!AT33*Model!AU2474/10^3)</f>
        <v>0</v>
      </c>
      <c r="AV2691" s="160">
        <f>IF(AV2476+AV2477-AV2475-AV2638+AV2586&gt;0,'Assumptions (Battery)'!AU32*(AV2476+AV2477-AV2475-AV2638+AV2586)-'Assumptions (Battery)'!AU33*Model!AV2474/10^3,'Assumptions (Battery)'!AU33*Model!AV2474/10^3)</f>
        <v>0</v>
      </c>
      <c r="AW2691" s="160">
        <f>IF(AW2476+AW2477-AW2475-AW2638+AW2586&gt;0,'Assumptions (Battery)'!AV32*(AW2476+AW2477-AW2475-AW2638+AW2586)-'Assumptions (Battery)'!AV33*Model!AW2474/10^3,'Assumptions (Battery)'!AV33*Model!AW2474/10^3)</f>
        <v>0</v>
      </c>
      <c r="AX2691" s="160">
        <f>IF(AX2476+AX2477-AX2475-AX2638+AX2586&gt;0,'Assumptions (Battery)'!AW32*(AX2476+AX2477-AX2475-AX2638+AX2586)-'Assumptions (Battery)'!AW33*Model!AX2474/10^3,'Assumptions (Battery)'!AW33*Model!AX2474/10^3)</f>
        <v>0</v>
      </c>
      <c r="AY2691" s="160">
        <f>IF(AY2476+AY2477-AY2475-AY2638+AY2586&gt;0,'Assumptions (Battery)'!AX32*(AY2476+AY2477-AY2475-AY2638+AY2586)-'Assumptions (Battery)'!AX33*Model!AY2474/10^3,'Assumptions (Battery)'!AX33*Model!AY2474/10^3)</f>
        <v>0</v>
      </c>
      <c r="AZ2691" s="160">
        <f>IF(AZ2476+AZ2477-AZ2475-AZ2638+AZ2586&gt;0,'Assumptions (Battery)'!AY32*(AZ2476+AZ2477-AZ2475-AZ2638+AZ2586)-'Assumptions (Battery)'!AY33*Model!AZ2474/10^3,'Assumptions (Battery)'!AY33*Model!AZ2474/10^3)</f>
        <v>0</v>
      </c>
      <c r="BA2691" s="160">
        <f>IF(BA2476+BA2477-BA2475-BA2638+BA2586&gt;0,'Assumptions (Battery)'!AZ32*(BA2476+BA2477-BA2475-BA2638+BA2586)-'Assumptions (Battery)'!AZ33*Model!BA2474/10^3,'Assumptions (Battery)'!AZ33*Model!BA2474/10^3)</f>
        <v>0</v>
      </c>
    </row>
    <row r="2692" ht="15.75" customHeight="1">
      <c r="A2692" s="361" t="s">
        <v>363</v>
      </c>
      <c r="B2692" s="246" t="s">
        <v>364</v>
      </c>
      <c r="C2692" s="362">
        <f>C2479*'Assumptions (Battery)'!$V$31/10^3</f>
        <v>0</v>
      </c>
      <c r="D2692" s="362">
        <f>D2479*'Assumptions (Battery)'!$V$31/10^3</f>
        <v>0</v>
      </c>
      <c r="E2692" s="362">
        <f>E2479*'Assumptions (Battery)'!$V$31/10^3</f>
        <v>0</v>
      </c>
      <c r="F2692" s="362">
        <f>F2479*'Assumptions (Battery)'!$V$31/10^3</f>
        <v>0</v>
      </c>
      <c r="G2692" s="362">
        <f>G2479*'Assumptions (Battery)'!$V$31/10^3</f>
        <v>0</v>
      </c>
      <c r="H2692" s="362">
        <f>H2479*'Assumptions (Battery)'!$V$31/10^3</f>
        <v>0</v>
      </c>
      <c r="I2692" s="362">
        <f>I2479*'Assumptions (Battery)'!$V$31/10^3</f>
        <v>0</v>
      </c>
      <c r="J2692" s="362">
        <f>J2479*'Assumptions (Battery)'!$V$31/10^3</f>
        <v>0</v>
      </c>
      <c r="K2692" s="362">
        <f>K2479*'Assumptions (Battery)'!$V$31/10^3</f>
        <v>0</v>
      </c>
      <c r="L2692" s="362">
        <f>L2479*'Assumptions (Battery)'!$V$31/10^3</f>
        <v>0</v>
      </c>
      <c r="M2692" s="362">
        <f>M2479*'Assumptions (Battery)'!$V$31/10^3</f>
        <v>0</v>
      </c>
      <c r="N2692" s="362">
        <f>N2479*'Assumptions (Battery)'!$V$31/10^3</f>
        <v>0</v>
      </c>
      <c r="O2692" s="362">
        <f>O2479*'Assumptions (Battery)'!$V$31/10^3</f>
        <v>0</v>
      </c>
      <c r="P2692" s="362">
        <f>P2479*'Assumptions (Battery)'!$V$31/10^3</f>
        <v>0</v>
      </c>
      <c r="Q2692" s="362">
        <f>Q2479*'Assumptions (Battery)'!$V$31/10^3</f>
        <v>0</v>
      </c>
      <c r="R2692" s="362">
        <f>R2479*'Assumptions (Battery)'!$V$31/10^3</f>
        <v>0.000276</v>
      </c>
      <c r="S2692" s="362">
        <f>S2479*'Assumptions (Battery)'!$V$31/10^3</f>
        <v>0</v>
      </c>
      <c r="T2692" s="362">
        <f>T2479*'Assumptions (Battery)'!$V$31/10^3</f>
        <v>0.000552</v>
      </c>
      <c r="U2692" s="362">
        <f>U2479*'Assumptions (Battery)'!$V$31/10^3</f>
        <v>0.001104</v>
      </c>
      <c r="V2692" s="362">
        <f>V2479*'Assumptions (Battery)'!$V$31/10^3</f>
        <v>0</v>
      </c>
      <c r="W2692" s="362">
        <f>W2479*'Assumptions (Battery)'!$V$31/10^3</f>
        <v>0</v>
      </c>
      <c r="X2692" s="362">
        <f>X2479*'Assumptions (Battery)'!$V$31/10^3</f>
        <v>0.4309086629</v>
      </c>
      <c r="Y2692" s="362">
        <f>Y2479*'Assumptions (Battery)'!$V$31/10^3</f>
        <v>0.4309086629</v>
      </c>
      <c r="Z2692" s="362">
        <f>Z2479*'Assumptions (Battery)'!$V$31/10^3</f>
        <v>0.4309086629</v>
      </c>
      <c r="AA2692" s="362">
        <f>AA2479*'Assumptions (Battery)'!$V$31/10^3</f>
        <v>0.4309086629</v>
      </c>
      <c r="AB2692" s="362">
        <f>AB2479*'Assumptions (Battery)'!$V$31/10^3</f>
        <v>0.4309086629</v>
      </c>
      <c r="AC2692" s="362">
        <f>AC2479*'Assumptions (Battery)'!$V$31/10^3</f>
        <v>0.4309086629</v>
      </c>
      <c r="AD2692" s="362">
        <f>AD2479*'Assumptions (Battery)'!$V$31/10^3</f>
        <v>0.4309086629</v>
      </c>
      <c r="AE2692" s="362">
        <f>AE2479*'Assumptions (Battery)'!$V$31/10^3</f>
        <v>0.4309086629</v>
      </c>
      <c r="AF2692" s="362">
        <f>AF2479*'Assumptions (Battery)'!$V$31/10^3</f>
        <v>0.4309086629</v>
      </c>
      <c r="AG2692" s="362">
        <f>AG2479*'Assumptions (Battery)'!$V$31/10^3</f>
        <v>0.4309086629</v>
      </c>
      <c r="AH2692" s="362">
        <f>AH2479*'Assumptions (Battery)'!$V$31/10^3</f>
        <v>0.4309086629</v>
      </c>
      <c r="AI2692" s="362">
        <f>AI2479*'Assumptions (Battery)'!$V$31/10^3</f>
        <v>0.4309086629</v>
      </c>
      <c r="AJ2692" s="362">
        <f>AJ2479*'Assumptions (Battery)'!$V$31/10^3</f>
        <v>0.4309086629</v>
      </c>
      <c r="AK2692" s="362">
        <f>AK2479*'Assumptions (Battery)'!$V$31/10^3</f>
        <v>0.4309086629</v>
      </c>
      <c r="AL2692" s="362">
        <f>AL2479*'Assumptions (Battery)'!$V$31/10^3</f>
        <v>0.4309086629</v>
      </c>
      <c r="AM2692" s="362">
        <f>AM2479*'Assumptions (Battery)'!$V$31/10^3</f>
        <v>0.4309086629</v>
      </c>
      <c r="AN2692" s="362">
        <f>AN2479*'Assumptions (Battery)'!$V$31/10^3</f>
        <v>0.4309086629</v>
      </c>
      <c r="AO2692" s="362">
        <f>AO2479*'Assumptions (Battery)'!$V$31/10^3</f>
        <v>0.8618173259</v>
      </c>
      <c r="AP2692" s="362">
        <f>AP2479*'Assumptions (Battery)'!$V$31/10^3</f>
        <v>0.8618173259</v>
      </c>
      <c r="AQ2692" s="362">
        <f>AQ2479*'Assumptions (Battery)'!$V$31/10^3</f>
        <v>0.8618173259</v>
      </c>
      <c r="AR2692" s="362">
        <f>AR2479*'Assumptions (Battery)'!$V$31/10^3</f>
        <v>0.8618173259</v>
      </c>
      <c r="AS2692" s="362">
        <f>AS2479*'Assumptions (Battery)'!$V$31/10^3</f>
        <v>0.8618173259</v>
      </c>
      <c r="AT2692" s="362">
        <f>AT2479*'Assumptions (Battery)'!$V$31/10^3</f>
        <v>0.8618173259</v>
      </c>
      <c r="AU2692" s="362">
        <f>AU2479*'Assumptions (Battery)'!$V$31/10^3</f>
        <v>0.8618173259</v>
      </c>
      <c r="AV2692" s="362">
        <f>AV2479*'Assumptions (Battery)'!$V$31/10^3</f>
        <v>0.8618173259</v>
      </c>
      <c r="AW2692" s="362">
        <f>AW2479*'Assumptions (Battery)'!$V$31/10^3</f>
        <v>0.8618173259</v>
      </c>
      <c r="AX2692" s="362">
        <f>AX2479*'Assumptions (Battery)'!$V$31/10^3</f>
        <v>0.8618173259</v>
      </c>
      <c r="AY2692" s="362">
        <f>AY2479*'Assumptions (Battery)'!$V$31/10^3</f>
        <v>0.8618173259</v>
      </c>
      <c r="AZ2692" s="362">
        <f>AZ2479*'Assumptions (Battery)'!$V$31/10^3</f>
        <v>0.8618173259</v>
      </c>
      <c r="BA2692" s="362">
        <f>BA2479*'Assumptions (Battery)'!$V$31/10^3</f>
        <v>0.8618173259</v>
      </c>
      <c r="BB2692" s="248"/>
      <c r="BC2692" s="248"/>
      <c r="BD2692" s="248"/>
      <c r="BE2692" s="248"/>
      <c r="BF2692" s="248"/>
      <c r="BG2692" s="248"/>
      <c r="BH2692" s="248"/>
      <c r="BI2692" s="248"/>
      <c r="BJ2692" s="248"/>
      <c r="BK2692" s="248"/>
      <c r="BL2692" s="248"/>
      <c r="BM2692" s="248"/>
      <c r="BN2692" s="248"/>
      <c r="BO2692" s="248"/>
      <c r="BP2692" s="248"/>
      <c r="BQ2692" s="248"/>
      <c r="BR2692" s="248"/>
      <c r="BS2692" s="248"/>
      <c r="BT2692" s="248"/>
      <c r="BU2692" s="248"/>
      <c r="BV2692" s="248"/>
      <c r="BW2692" s="248"/>
      <c r="BX2692" s="248"/>
      <c r="BY2692" s="248"/>
      <c r="BZ2692" s="248"/>
      <c r="CA2692" s="248"/>
      <c r="CB2692" s="248"/>
      <c r="CC2692" s="248"/>
      <c r="CD2692" s="248"/>
    </row>
    <row r="2693" ht="15.75" customHeight="1">
      <c r="A2693" s="363"/>
      <c r="B2693" s="38"/>
      <c r="C2693" s="78"/>
      <c r="D2693" s="78"/>
      <c r="E2693" s="78"/>
      <c r="F2693" s="78"/>
      <c r="G2693" s="78"/>
      <c r="H2693" s="78"/>
      <c r="I2693" s="78"/>
      <c r="J2693" s="78"/>
      <c r="K2693" s="78"/>
      <c r="L2693" s="78"/>
      <c r="M2693" s="78"/>
      <c r="N2693" s="78"/>
      <c r="O2693" s="78"/>
      <c r="P2693" s="78"/>
      <c r="Q2693" s="78"/>
      <c r="R2693" s="78"/>
      <c r="S2693" s="78"/>
      <c r="T2693" s="78"/>
      <c r="U2693" s="78"/>
      <c r="V2693" s="78"/>
      <c r="W2693" s="139"/>
    </row>
    <row r="2694" ht="15.75" customHeight="1">
      <c r="A2694" s="364" t="s">
        <v>449</v>
      </c>
      <c r="B2694" s="38"/>
      <c r="C2694" s="78"/>
      <c r="D2694" s="78"/>
      <c r="E2694" s="78"/>
      <c r="F2694" s="78"/>
      <c r="G2694" s="78"/>
      <c r="H2694" s="78"/>
      <c r="I2694" s="78"/>
      <c r="J2694" s="78"/>
      <c r="K2694" s="78"/>
      <c r="L2694" s="78"/>
      <c r="M2694" s="78"/>
      <c r="N2694" s="78"/>
      <c r="O2694" s="78"/>
      <c r="P2694" s="78"/>
      <c r="Q2694" s="78"/>
      <c r="R2694" s="78"/>
      <c r="S2694" s="78"/>
      <c r="T2694" s="78"/>
      <c r="U2694" s="78"/>
      <c r="V2694" s="78"/>
      <c r="W2694" s="139"/>
    </row>
    <row r="2695" ht="15.75" customHeight="1">
      <c r="A2695" s="365" t="s">
        <v>404</v>
      </c>
      <c r="B2695" s="159" t="s">
        <v>351</v>
      </c>
      <c r="C2695" s="366">
        <f>('Assumptions (T&amp;D)'!C57)*'Inflation GDP Population'!B$11/'Inflation GDP Population'!$S$11</f>
        <v>0.4908713267</v>
      </c>
      <c r="D2695" s="366">
        <f>('Assumptions (T&amp;D)'!D57)*'Inflation GDP Population'!C$11/'Inflation GDP Population'!$S$11</f>
        <v>0.4905290678</v>
      </c>
      <c r="E2695" s="366">
        <f>('Assumptions (T&amp;D)'!E57)*'Inflation GDP Population'!D$11/'Inflation GDP Population'!$S$11</f>
        <v>0.4858789199</v>
      </c>
      <c r="F2695" s="366">
        <f>('Assumptions (T&amp;D)'!F57)*'Inflation GDP Population'!E$11/'Inflation GDP Population'!$S$11</f>
        <v>0.4914979587</v>
      </c>
      <c r="G2695" s="366">
        <f>('Assumptions (T&amp;D)'!G57)*'Inflation GDP Population'!F$11/'Inflation GDP Population'!$S$11</f>
        <v>0.4921574728</v>
      </c>
      <c r="H2695" s="366">
        <f>('Assumptions (T&amp;D)'!H57)*'Inflation GDP Population'!G$11/'Inflation GDP Population'!$S$11</f>
        <v>0.548940674</v>
      </c>
      <c r="I2695" s="366">
        <f>('Assumptions (T&amp;D)'!I57)*'Inflation GDP Population'!H$11/'Inflation GDP Population'!$S$11</f>
        <v>0.5941048315</v>
      </c>
      <c r="J2695" s="366">
        <f>('Assumptions (T&amp;D)'!J57)*'Inflation GDP Population'!I$11/'Inflation GDP Population'!$S$11</f>
        <v>0.6283895776</v>
      </c>
      <c r="K2695" s="366">
        <f>('Assumptions (T&amp;D)'!K57)*'Inflation GDP Population'!J$11/'Inflation GDP Population'!$S$11</f>
        <v>0.6925334341</v>
      </c>
      <c r="L2695" s="366">
        <f>('Assumptions (T&amp;D)'!L57)*'Inflation GDP Population'!K$11/'Inflation GDP Population'!$S$11</f>
        <v>0.6762953032</v>
      </c>
      <c r="M2695" s="366">
        <f>('Assumptions (T&amp;D)'!M57)*'Inflation GDP Population'!L$11/'Inflation GDP Population'!$S$11</f>
        <v>0.791985406</v>
      </c>
      <c r="N2695" s="366">
        <f>('Assumptions (T&amp;D)'!N57)*'Inflation GDP Population'!M$11/'Inflation GDP Population'!$S$11</f>
        <v>0.7560841926</v>
      </c>
      <c r="O2695" s="366">
        <f>('Assumptions (T&amp;D)'!O57)*'Inflation GDP Population'!N$11/'Inflation GDP Population'!$S$11</f>
        <v>0.6979301663</v>
      </c>
      <c r="P2695" s="366">
        <f>('Assumptions (T&amp;D)'!P57)*'Inflation GDP Population'!O$11/'Inflation GDP Population'!$S$11</f>
        <v>0.7129960082</v>
      </c>
      <c r="Q2695" s="366">
        <f>('Assumptions (T&amp;D)'!Q57)*'Inflation GDP Population'!P$11/'Inflation GDP Population'!$S$11</f>
        <v>0.7986081795</v>
      </c>
      <c r="R2695" s="366">
        <f>('Assumptions (T&amp;D)'!R57)*'Inflation GDP Population'!Q$11/'Inflation GDP Population'!$S$11</f>
        <v>0.7133755603</v>
      </c>
      <c r="S2695" s="366">
        <f>('Assumptions (T&amp;D)'!S57)*'Inflation GDP Population'!R$11/'Inflation GDP Population'!$S$11</f>
        <v>0.8094675505</v>
      </c>
      <c r="T2695" s="366">
        <f>('Assumptions (T&amp;D)'!T57)*'Inflation GDP Population'!S$11/'Inflation GDP Population'!$S$11</f>
        <v>0.8060914553</v>
      </c>
      <c r="U2695" s="366">
        <f>('Assumptions (T&amp;D)'!U57)*'Inflation GDP Population'!T$11/'Inflation GDP Population'!$S$11</f>
        <v>0.7938013776</v>
      </c>
      <c r="V2695" s="367">
        <f>('Assumptions (T&amp;D)'!V57)*'Inflation GDP Population'!U$16/'Inflation GDP Population'!$S$16</f>
        <v>0.8544550057</v>
      </c>
      <c r="W2695" s="367">
        <f>('Assumptions (T&amp;D)'!W57)*'Inflation GDP Population'!V$16/'Inflation GDP Population'!$S$16</f>
        <v>0.8732990764</v>
      </c>
      <c r="X2695" s="367">
        <f>('Assumptions (T&amp;D)'!X57)*'Inflation GDP Population'!W$16/'Inflation GDP Population'!$S$16</f>
        <v>0.8905449606</v>
      </c>
      <c r="Y2695" s="367">
        <f>('Assumptions (T&amp;D)'!Y57)*'Inflation GDP Population'!X$16/'Inflation GDP Population'!$S$16</f>
        <v>0.9168035293</v>
      </c>
      <c r="Z2695" s="367">
        <f>('Assumptions (T&amp;D)'!Z57)*'Inflation GDP Population'!Y$16/'Inflation GDP Population'!$S$16</f>
        <v>0.943751908</v>
      </c>
      <c r="AA2695" s="367">
        <f>('Assumptions (T&amp;D)'!AA57)*'Inflation GDP Population'!Z$16/'Inflation GDP Population'!$S$16</f>
        <v>0.9714071012</v>
      </c>
      <c r="AB2695" s="367">
        <f>('Assumptions (T&amp;D)'!AB57)*'Inflation GDP Population'!AA$16/'Inflation GDP Population'!$S$16</f>
        <v>0.9997865156</v>
      </c>
      <c r="AC2695" s="367">
        <f>('Assumptions (T&amp;D)'!AC57)*'Inflation GDP Population'!AB$16/'Inflation GDP Population'!$S$16</f>
        <v>1.02890797</v>
      </c>
      <c r="AD2695" s="367">
        <f>('Assumptions (T&amp;D)'!AD57)*'Inflation GDP Population'!AC$16/'Inflation GDP Population'!$S$16</f>
        <v>1.058789705</v>
      </c>
      <c r="AE2695" s="367">
        <f>('Assumptions (T&amp;D)'!AE57)*'Inflation GDP Population'!AD$16/'Inflation GDP Population'!$S$16</f>
        <v>1.089450391</v>
      </c>
      <c r="AF2695" s="367">
        <f>('Assumptions (T&amp;D)'!AF57)*'Inflation GDP Population'!AE$16/'Inflation GDP Population'!$S$16</f>
        <v>1.12090914</v>
      </c>
      <c r="AG2695" s="367">
        <f>('Assumptions (T&amp;D)'!AG57)*'Inflation GDP Population'!AF$16/'Inflation GDP Population'!$S$16</f>
        <v>1.153185516</v>
      </c>
      <c r="AH2695" s="367">
        <f>('Assumptions (T&amp;D)'!AH57)*'Inflation GDP Population'!AG$16/'Inflation GDP Population'!$S$16</f>
        <v>1.186299543</v>
      </c>
      <c r="AI2695" s="367">
        <f>('Assumptions (T&amp;D)'!AI57)*'Inflation GDP Population'!AH$16/'Inflation GDP Population'!$S$16</f>
        <v>1.220271717</v>
      </c>
      <c r="AJ2695" s="367">
        <f>('Assumptions (T&amp;D)'!AJ57)*'Inflation GDP Population'!AI$16/'Inflation GDP Population'!$S$16</f>
        <v>1.255123019</v>
      </c>
      <c r="AK2695" s="367">
        <f>('Assumptions (T&amp;D)'!AK57)*'Inflation GDP Population'!AJ$16/'Inflation GDP Population'!$S$16</f>
        <v>1.290874921</v>
      </c>
      <c r="AL2695" s="367">
        <f>('Assumptions (T&amp;D)'!AL57)*'Inflation GDP Population'!AK$16/'Inflation GDP Population'!$S$16</f>
        <v>1.327549402</v>
      </c>
      <c r="AM2695" s="367">
        <f>('Assumptions (T&amp;D)'!AM57)*'Inflation GDP Population'!AL$16/'Inflation GDP Population'!$S$16</f>
        <v>1.365168958</v>
      </c>
      <c r="AN2695" s="367">
        <f>('Assumptions (T&amp;D)'!AN57)*'Inflation GDP Population'!AM$16/'Inflation GDP Population'!$S$16</f>
        <v>1.403756613</v>
      </c>
      <c r="AO2695" s="367">
        <f>('Assumptions (T&amp;D)'!AO57)*'Inflation GDP Population'!AN$16/'Inflation GDP Population'!$S$16</f>
        <v>1.443335932</v>
      </c>
      <c r="AP2695" s="367">
        <f>('Assumptions (T&amp;D)'!AP57)*'Inflation GDP Population'!AO$16/'Inflation GDP Population'!$S$16</f>
        <v>1.483931033</v>
      </c>
      <c r="AQ2695" s="367">
        <f>('Assumptions (T&amp;D)'!AQ57)*'Inflation GDP Population'!AP$16/'Inflation GDP Population'!$S$16</f>
        <v>1.525566601</v>
      </c>
      <c r="AR2695" s="367">
        <f>('Assumptions (T&amp;D)'!AR57)*'Inflation GDP Population'!AQ$16/'Inflation GDP Population'!$S$16</f>
        <v>1.568267897</v>
      </c>
      <c r="AS2695" s="367">
        <f>('Assumptions (T&amp;D)'!AS57)*'Inflation GDP Population'!AR$16/'Inflation GDP Population'!$S$16</f>
        <v>1.612060777</v>
      </c>
      <c r="AT2695" s="367">
        <f>('Assumptions (T&amp;D)'!AT57)*'Inflation GDP Population'!AS$16/'Inflation GDP Population'!$S$16</f>
        <v>1.656971702</v>
      </c>
      <c r="AU2695" s="367">
        <f>('Assumptions (T&amp;D)'!AU57)*'Inflation GDP Population'!AT$16/'Inflation GDP Population'!$S$16</f>
        <v>1.70302775</v>
      </c>
      <c r="AV2695" s="367">
        <f>('Assumptions (T&amp;D)'!AV57)*'Inflation GDP Population'!AU$16/'Inflation GDP Population'!$S$16</f>
        <v>1.750256636</v>
      </c>
      <c r="AW2695" s="367">
        <f>('Assumptions (T&amp;D)'!AW57)*'Inflation GDP Population'!AV$16/'Inflation GDP Population'!$S$16</f>
        <v>1.79868672</v>
      </c>
      <c r="AX2695" s="367">
        <f>('Assumptions (T&amp;D)'!AX57)*'Inflation GDP Population'!AW$16/'Inflation GDP Population'!$S$16</f>
        <v>1.848347027</v>
      </c>
      <c r="AY2695" s="367">
        <f>('Assumptions (T&amp;D)'!AY57)*'Inflation GDP Population'!AX$16/'Inflation GDP Population'!$S$16</f>
        <v>1.899267258</v>
      </c>
      <c r="AZ2695" s="367">
        <f>('Assumptions (T&amp;D)'!AZ57)*'Inflation GDP Population'!AY$16/'Inflation GDP Population'!$S$16</f>
        <v>1.951477809</v>
      </c>
      <c r="BA2695" s="367">
        <f>('Assumptions (T&amp;D)'!BA57)*'Inflation GDP Population'!AZ$16/'Inflation GDP Population'!$S$16</f>
        <v>2.005009784</v>
      </c>
      <c r="BB2695" s="32"/>
      <c r="BC2695" s="32"/>
      <c r="BD2695" s="32"/>
      <c r="BE2695" s="32"/>
      <c r="BF2695" s="32"/>
      <c r="BG2695" s="32"/>
      <c r="BH2695" s="32"/>
      <c r="BI2695" s="32"/>
      <c r="BJ2695" s="32"/>
      <c r="BK2695" s="32"/>
      <c r="BL2695" s="32"/>
      <c r="BM2695" s="32"/>
      <c r="BN2695" s="32"/>
      <c r="BO2695" s="32"/>
      <c r="BP2695" s="32"/>
      <c r="BQ2695" s="32"/>
      <c r="BR2695" s="32"/>
      <c r="BS2695" s="32"/>
      <c r="BT2695" s="32"/>
      <c r="BU2695" s="32"/>
      <c r="BV2695" s="32"/>
      <c r="BW2695" s="32"/>
      <c r="BX2695" s="32"/>
      <c r="BY2695" s="32"/>
      <c r="BZ2695" s="32"/>
      <c r="CA2695" s="32"/>
      <c r="CB2695" s="32"/>
      <c r="CC2695" s="32"/>
      <c r="CD2695" s="32"/>
    </row>
    <row r="2696" ht="15.75" customHeight="1">
      <c r="A2696" s="368" t="s">
        <v>450</v>
      </c>
      <c r="B2696" s="150" t="s">
        <v>351</v>
      </c>
      <c r="C2696" s="369">
        <f>'Assumptions (T&amp;D)'!C63/('Assumptions (T&amp;D)'!C9)</f>
        <v>146.9355068</v>
      </c>
      <c r="D2696" s="369">
        <f>'Assumptions (T&amp;D)'!D63/('Assumptions (T&amp;D)'!D9)</f>
        <v>148.0587277</v>
      </c>
      <c r="E2696" s="369">
        <f>'Assumptions (T&amp;D)'!E63/('Assumptions (T&amp;D)'!E9)</f>
        <v>146.5246139</v>
      </c>
      <c r="F2696" s="369">
        <f>'Assumptions (T&amp;D)'!F63/('Assumptions (T&amp;D)'!F9)</f>
        <v>154.150825</v>
      </c>
      <c r="G2696" s="369">
        <f>'Assumptions (T&amp;D)'!G63/('Assumptions (T&amp;D)'!G9)</f>
        <v>159.7472222</v>
      </c>
      <c r="H2696" s="369">
        <f>'Assumptions (T&amp;D)'!H63/('Assumptions (T&amp;D)'!H9)</f>
        <v>167.0521487</v>
      </c>
      <c r="I2696" s="369">
        <f>'Assumptions (T&amp;D)'!I63/('Assumptions (T&amp;D)'!I9)</f>
        <v>172.1731027</v>
      </c>
      <c r="J2696" s="369">
        <f>'Assumptions (T&amp;D)'!J63/('Assumptions (T&amp;D)'!J9)</f>
        <v>187.3839256</v>
      </c>
      <c r="K2696" s="369">
        <f>'Assumptions (T&amp;D)'!K63/('Assumptions (T&amp;D)'!K9)</f>
        <v>200.2344522</v>
      </c>
      <c r="L2696" s="369">
        <f>'Assumptions (T&amp;D)'!L63/('Assumptions (T&amp;D)'!L9)</f>
        <v>217.1382482</v>
      </c>
      <c r="M2696" s="369">
        <f>'Assumptions (T&amp;D)'!M63/('Assumptions (T&amp;D)'!M9)</f>
        <v>233.2252147</v>
      </c>
      <c r="N2696" s="369">
        <f>'Assumptions (T&amp;D)'!N63/('Assumptions (T&amp;D)'!N9)</f>
        <v>253.332255</v>
      </c>
      <c r="O2696" s="369">
        <f>'Assumptions (T&amp;D)'!O63/('Assumptions (T&amp;D)'!O9)</f>
        <v>272.9807724</v>
      </c>
      <c r="P2696" s="369">
        <f>'Assumptions (T&amp;D)'!P63/('Assumptions (T&amp;D)'!P9)</f>
        <v>302.0940278</v>
      </c>
      <c r="Q2696" s="369">
        <f>'Assumptions (T&amp;D)'!Q63/('Assumptions (T&amp;D)'!Q9)</f>
        <v>333.8488143</v>
      </c>
      <c r="R2696" s="369">
        <f>'Assumptions (T&amp;D)'!R63/('Assumptions (T&amp;D)'!R9)</f>
        <v>371.9926193</v>
      </c>
      <c r="S2696" s="369">
        <f>'Assumptions (T&amp;D)'!S63/('Assumptions (T&amp;D)'!S9)</f>
        <v>411.6873941</v>
      </c>
      <c r="T2696" s="370">
        <f>'Assumptions (T&amp;D)'!T63/('Assumptions (T&amp;D)'!T9)</f>
        <v>0</v>
      </c>
      <c r="U2696" s="370">
        <f>'Assumptions (T&amp;D)'!U63/('Assumptions (T&amp;D)'!U9)</f>
        <v>0</v>
      </c>
      <c r="V2696" s="370">
        <f>'Assumptions (T&amp;D)'!V63/('Assumptions (T&amp;D)'!V9)</f>
        <v>0</v>
      </c>
      <c r="W2696" s="370">
        <f>'Assumptions (T&amp;D)'!W63/('Assumptions (T&amp;D)'!W9)</f>
        <v>0</v>
      </c>
      <c r="X2696" s="370">
        <f>'Assumptions (T&amp;D)'!X63/('Assumptions (T&amp;D)'!X9)</f>
        <v>0</v>
      </c>
      <c r="Y2696" s="370">
        <f>'Assumptions (T&amp;D)'!Y63/('Assumptions (T&amp;D)'!Y9)</f>
        <v>0</v>
      </c>
      <c r="Z2696" s="370">
        <f>'Assumptions (T&amp;D)'!Z63/('Assumptions (T&amp;D)'!Z9)</f>
        <v>0</v>
      </c>
      <c r="AA2696" s="370">
        <f>'Assumptions (T&amp;D)'!AA63/('Assumptions (T&amp;D)'!AA9)</f>
        <v>0</v>
      </c>
      <c r="AB2696" s="370">
        <f>'Assumptions (T&amp;D)'!AB63/('Assumptions (T&amp;D)'!AB9)</f>
        <v>0</v>
      </c>
      <c r="AC2696" s="370">
        <f>'Assumptions (T&amp;D)'!AC63/('Assumptions (T&amp;D)'!AC9)</f>
        <v>0</v>
      </c>
      <c r="AD2696" s="370">
        <f>'Assumptions (T&amp;D)'!AD63/('Assumptions (T&amp;D)'!AD9)</f>
        <v>0</v>
      </c>
      <c r="AE2696" s="370">
        <f>'Assumptions (T&amp;D)'!AE63/('Assumptions (T&amp;D)'!AE9)</f>
        <v>0</v>
      </c>
      <c r="AF2696" s="370">
        <f>'Assumptions (T&amp;D)'!AF63/('Assumptions (T&amp;D)'!AF9)</f>
        <v>0</v>
      </c>
      <c r="AG2696" s="370">
        <f>'Assumptions (T&amp;D)'!AG63/('Assumptions (T&amp;D)'!AG9)</f>
        <v>0</v>
      </c>
      <c r="AH2696" s="370">
        <f>'Assumptions (T&amp;D)'!AH63/('Assumptions (T&amp;D)'!AH9)</f>
        <v>0</v>
      </c>
      <c r="AI2696" s="370">
        <f>'Assumptions (T&amp;D)'!AI63/('Assumptions (T&amp;D)'!AI9)</f>
        <v>0</v>
      </c>
      <c r="AJ2696" s="370">
        <f>'Assumptions (T&amp;D)'!AJ63/('Assumptions (T&amp;D)'!AJ9)</f>
        <v>0</v>
      </c>
      <c r="AK2696" s="370">
        <f>'Assumptions (T&amp;D)'!AK63/('Assumptions (T&amp;D)'!AK9)</f>
        <v>0</v>
      </c>
      <c r="AL2696" s="370">
        <f>'Assumptions (T&amp;D)'!AL63/('Assumptions (T&amp;D)'!AL9)</f>
        <v>0</v>
      </c>
      <c r="AM2696" s="370">
        <f>'Assumptions (T&amp;D)'!AM63/('Assumptions (T&amp;D)'!AM9)</f>
        <v>0</v>
      </c>
      <c r="AN2696" s="370">
        <f>'Assumptions (T&amp;D)'!AN63/('Assumptions (T&amp;D)'!AN9)</f>
        <v>0</v>
      </c>
      <c r="AO2696" s="370">
        <f>'Assumptions (T&amp;D)'!AO63/('Assumptions (T&amp;D)'!AO9)</f>
        <v>0</v>
      </c>
      <c r="AP2696" s="370">
        <f>'Assumptions (T&amp;D)'!AP63/('Assumptions (T&amp;D)'!AP9)</f>
        <v>0</v>
      </c>
      <c r="AQ2696" s="370">
        <f>'Assumptions (T&amp;D)'!AQ63/('Assumptions (T&amp;D)'!AQ9)</f>
        <v>0</v>
      </c>
      <c r="AR2696" s="370">
        <f>'Assumptions (T&amp;D)'!AR63/('Assumptions (T&amp;D)'!AR9)</f>
        <v>0</v>
      </c>
      <c r="AS2696" s="370">
        <f>'Assumptions (T&amp;D)'!AS63/('Assumptions (T&amp;D)'!AS9)</f>
        <v>0</v>
      </c>
      <c r="AT2696" s="370">
        <f>'Assumptions (T&amp;D)'!AT63/('Assumptions (T&amp;D)'!AT9)</f>
        <v>0</v>
      </c>
      <c r="AU2696" s="370">
        <f>'Assumptions (T&amp;D)'!AU63/('Assumptions (T&amp;D)'!AU9)</f>
        <v>0</v>
      </c>
      <c r="AV2696" s="370">
        <f>'Assumptions (T&amp;D)'!AV63/('Assumptions (T&amp;D)'!AV9)</f>
        <v>0</v>
      </c>
      <c r="AW2696" s="370">
        <f>'Assumptions (T&amp;D)'!AW63/('Assumptions (T&amp;D)'!AW9)</f>
        <v>0</v>
      </c>
      <c r="AX2696" s="370">
        <f>'Assumptions (T&amp;D)'!AX63/('Assumptions (T&amp;D)'!AX9)</f>
        <v>0</v>
      </c>
      <c r="AY2696" s="370">
        <f>'Assumptions (T&amp;D)'!AY63/('Assumptions (T&amp;D)'!AY9)</f>
        <v>0</v>
      </c>
      <c r="AZ2696" s="370">
        <f>'Assumptions (T&amp;D)'!AZ63/('Assumptions (T&amp;D)'!AZ9)</f>
        <v>0</v>
      </c>
      <c r="BA2696" s="370">
        <f>'Assumptions (T&amp;D)'!BA63/('Assumptions (T&amp;D)'!BA9)</f>
        <v>0</v>
      </c>
      <c r="BB2696" s="32"/>
      <c r="BC2696" s="32"/>
      <c r="BD2696" s="32"/>
      <c r="BE2696" s="32"/>
      <c r="BF2696" s="32"/>
      <c r="BG2696" s="32"/>
      <c r="BH2696" s="32"/>
      <c r="BI2696" s="32"/>
      <c r="BJ2696" s="32"/>
      <c r="BK2696" s="32"/>
      <c r="BL2696" s="32"/>
      <c r="BM2696" s="32"/>
      <c r="BN2696" s="32"/>
      <c r="BO2696" s="32"/>
      <c r="BP2696" s="32"/>
      <c r="BQ2696" s="32"/>
      <c r="BR2696" s="32"/>
      <c r="BS2696" s="32"/>
      <c r="BT2696" s="32"/>
      <c r="BU2696" s="32"/>
      <c r="BV2696" s="32"/>
      <c r="BW2696" s="32"/>
      <c r="BX2696" s="32"/>
      <c r="BY2696" s="32"/>
      <c r="BZ2696" s="32"/>
      <c r="CA2696" s="32"/>
      <c r="CB2696" s="32"/>
      <c r="CC2696" s="32"/>
      <c r="CD2696" s="32"/>
    </row>
    <row r="2697" ht="15.75" customHeight="1">
      <c r="A2697" s="365" t="s">
        <v>451</v>
      </c>
      <c r="B2697" s="159" t="s">
        <v>351</v>
      </c>
      <c r="C2697" s="371">
        <f>'Assumptions (T&amp;D)'!C65/('Assumptions (T&amp;D)'!C9)</f>
        <v>11.70502975</v>
      </c>
      <c r="D2697" s="371">
        <f>'Assumptions (T&amp;D)'!D65/('Assumptions (T&amp;D)'!D9)</f>
        <v>11.2615329</v>
      </c>
      <c r="E2697" s="371">
        <f>'Assumptions (T&amp;D)'!E65/('Assumptions (T&amp;D)'!E9)</f>
        <v>11.12628523</v>
      </c>
      <c r="F2697" s="371">
        <f>'Assumptions (T&amp;D)'!F65/('Assumptions (T&amp;D)'!F9)</f>
        <v>11.07657649</v>
      </c>
      <c r="G2697" s="371">
        <f>'Assumptions (T&amp;D)'!G65/('Assumptions (T&amp;D)'!G9)</f>
        <v>10.98351492</v>
      </c>
      <c r="H2697" s="371">
        <f>'Assumptions (T&amp;D)'!H65/('Assumptions (T&amp;D)'!H9)</f>
        <v>11.180252</v>
      </c>
      <c r="I2697" s="371">
        <f>'Assumptions (T&amp;D)'!I65/('Assumptions (T&amp;D)'!I9)</f>
        <v>10.86365296</v>
      </c>
      <c r="J2697" s="371">
        <f>'Assumptions (T&amp;D)'!J65/('Assumptions (T&amp;D)'!J9)</f>
        <v>11.22447661</v>
      </c>
      <c r="K2697" s="371">
        <f>'Assumptions (T&amp;D)'!K65/('Assumptions (T&amp;D)'!K9)</f>
        <v>11.29476461</v>
      </c>
      <c r="L2697" s="371">
        <f>'Assumptions (T&amp;D)'!L65/('Assumptions (T&amp;D)'!L9)</f>
        <v>11.35630092</v>
      </c>
      <c r="M2697" s="371">
        <f>'Assumptions (T&amp;D)'!M65/('Assumptions (T&amp;D)'!M9)</f>
        <v>11.29169433</v>
      </c>
      <c r="N2697" s="371">
        <f>'Assumptions (T&amp;D)'!N65/('Assumptions (T&amp;D)'!N9)</f>
        <v>11.37949445</v>
      </c>
      <c r="O2697" s="371">
        <f>'Assumptions (T&amp;D)'!O65/('Assumptions (T&amp;D)'!O9)</f>
        <v>11.331954</v>
      </c>
      <c r="P2697" s="371">
        <f>'Assumptions (T&amp;D)'!P65/('Assumptions (T&amp;D)'!P9)</f>
        <v>11.36219568</v>
      </c>
      <c r="Q2697" s="371">
        <f>'Assumptions (T&amp;D)'!Q65/('Assumptions (T&amp;D)'!Q9)</f>
        <v>11.27466243</v>
      </c>
      <c r="R2697" s="371">
        <f>'Assumptions (T&amp;D)'!R65/('Assumptions (T&amp;D)'!R9)</f>
        <v>11.26976125</v>
      </c>
      <c r="S2697" s="371">
        <f>'Assumptions (T&amp;D)'!S65/('Assumptions (T&amp;D)'!S9)</f>
        <v>11.27005204</v>
      </c>
      <c r="T2697" s="371">
        <f>'Assumptions (T&amp;D)'!T65/('Assumptions (T&amp;D)'!T9)</f>
        <v>11.31446388</v>
      </c>
      <c r="U2697" s="371">
        <f>'Assumptions (T&amp;D)'!U65/('Assumptions (T&amp;D)'!U9)</f>
        <v>11.31446388</v>
      </c>
      <c r="V2697" s="371">
        <f>'Assumptions (T&amp;D)'!V65/('Assumptions (T&amp;D)'!V9)</f>
        <v>11.31446388</v>
      </c>
      <c r="W2697" s="371">
        <f>'Assumptions (T&amp;D)'!W65/('Assumptions (T&amp;D)'!W9)</f>
        <v>11.31446388</v>
      </c>
      <c r="X2697" s="371">
        <f>'Assumptions (T&amp;D)'!X65/('Assumptions (T&amp;D)'!X9)</f>
        <v>0</v>
      </c>
      <c r="Y2697" s="371">
        <f>'Assumptions (T&amp;D)'!Y65/('Assumptions (T&amp;D)'!Y9)</f>
        <v>0</v>
      </c>
      <c r="Z2697" s="371">
        <f>'Assumptions (T&amp;D)'!Z65/('Assumptions (T&amp;D)'!Z9)</f>
        <v>0</v>
      </c>
      <c r="AA2697" s="371">
        <f>'Assumptions (T&amp;D)'!AA65/('Assumptions (T&amp;D)'!AA9)</f>
        <v>0</v>
      </c>
      <c r="AB2697" s="371">
        <f>'Assumptions (T&amp;D)'!AB65/('Assumptions (T&amp;D)'!AB9)</f>
        <v>0</v>
      </c>
      <c r="AC2697" s="371">
        <f>'Assumptions (T&amp;D)'!AC65/('Assumptions (T&amp;D)'!AC9)</f>
        <v>0</v>
      </c>
      <c r="AD2697" s="371">
        <f>'Assumptions (T&amp;D)'!AD65/('Assumptions (T&amp;D)'!AD9)</f>
        <v>0</v>
      </c>
      <c r="AE2697" s="371">
        <f>'Assumptions (T&amp;D)'!AE65/('Assumptions (T&amp;D)'!AE9)</f>
        <v>0</v>
      </c>
      <c r="AF2697" s="371">
        <f>'Assumptions (T&amp;D)'!AF65/('Assumptions (T&amp;D)'!AF9)</f>
        <v>0</v>
      </c>
      <c r="AG2697" s="371">
        <f>'Assumptions (T&amp;D)'!AG65/('Assumptions (T&amp;D)'!AG9)</f>
        <v>0</v>
      </c>
      <c r="AH2697" s="371">
        <f>'Assumptions (T&amp;D)'!AH65/('Assumptions (T&amp;D)'!AH9)</f>
        <v>0</v>
      </c>
      <c r="AI2697" s="371">
        <f>'Assumptions (T&amp;D)'!AI65/('Assumptions (T&amp;D)'!AI9)</f>
        <v>0</v>
      </c>
      <c r="AJ2697" s="371">
        <f>'Assumptions (T&amp;D)'!AJ65/('Assumptions (T&amp;D)'!AJ9)</f>
        <v>0</v>
      </c>
      <c r="AK2697" s="371">
        <f>'Assumptions (T&amp;D)'!AK65/('Assumptions (T&amp;D)'!AK9)</f>
        <v>0</v>
      </c>
      <c r="AL2697" s="371">
        <f>'Assumptions (T&amp;D)'!AL65/('Assumptions (T&amp;D)'!AL9)</f>
        <v>0</v>
      </c>
      <c r="AM2697" s="371">
        <f>'Assumptions (T&amp;D)'!AM65/('Assumptions (T&amp;D)'!AM9)</f>
        <v>0</v>
      </c>
      <c r="AN2697" s="371">
        <f>'Assumptions (T&amp;D)'!AN65/('Assumptions (T&amp;D)'!AN9)</f>
        <v>0</v>
      </c>
      <c r="AO2697" s="371">
        <f>'Assumptions (T&amp;D)'!AO65/('Assumptions (T&amp;D)'!AO9)</f>
        <v>0</v>
      </c>
      <c r="AP2697" s="371">
        <f>'Assumptions (T&amp;D)'!AP65/('Assumptions (T&amp;D)'!AP9)</f>
        <v>0</v>
      </c>
      <c r="AQ2697" s="371">
        <f>'Assumptions (T&amp;D)'!AQ65/('Assumptions (T&amp;D)'!AQ9)</f>
        <v>0</v>
      </c>
      <c r="AR2697" s="371">
        <f>'Assumptions (T&amp;D)'!AR65/('Assumptions (T&amp;D)'!AR9)</f>
        <v>0</v>
      </c>
      <c r="AS2697" s="371">
        <f>'Assumptions (T&amp;D)'!AS65/('Assumptions (T&amp;D)'!AS9)</f>
        <v>0</v>
      </c>
      <c r="AT2697" s="371">
        <f>'Assumptions (T&amp;D)'!AT65/('Assumptions (T&amp;D)'!AT9)</f>
        <v>0</v>
      </c>
      <c r="AU2697" s="371">
        <f>'Assumptions (T&amp;D)'!AU65/('Assumptions (T&amp;D)'!AU9)</f>
        <v>0</v>
      </c>
      <c r="AV2697" s="371">
        <f>'Assumptions (T&amp;D)'!AV65/('Assumptions (T&amp;D)'!AV9)</f>
        <v>0</v>
      </c>
      <c r="AW2697" s="371">
        <f>'Assumptions (T&amp;D)'!AW65/('Assumptions (T&amp;D)'!AW9)</f>
        <v>0</v>
      </c>
      <c r="AX2697" s="371">
        <f>'Assumptions (T&amp;D)'!AX65/('Assumptions (T&amp;D)'!AX9)</f>
        <v>0</v>
      </c>
      <c r="AY2697" s="371">
        <f>'Assumptions (T&amp;D)'!AY65/('Assumptions (T&amp;D)'!AY9)</f>
        <v>0</v>
      </c>
      <c r="AZ2697" s="371">
        <f>'Assumptions (T&amp;D)'!AZ65/('Assumptions (T&amp;D)'!AZ9)</f>
        <v>0</v>
      </c>
      <c r="BA2697" s="371">
        <f>'Assumptions (T&amp;D)'!BA65/('Assumptions (T&amp;D)'!BA9)</f>
        <v>0</v>
      </c>
      <c r="BB2697" s="32"/>
      <c r="BC2697" s="32"/>
      <c r="BD2697" s="32"/>
      <c r="BE2697" s="32"/>
      <c r="BF2697" s="32"/>
      <c r="BG2697" s="32"/>
      <c r="BH2697" s="32"/>
      <c r="BI2697" s="32"/>
      <c r="BJ2697" s="32"/>
      <c r="BK2697" s="32"/>
      <c r="BL2697" s="32"/>
      <c r="BM2697" s="32"/>
      <c r="BN2697" s="32"/>
      <c r="BO2697" s="32"/>
      <c r="BP2697" s="32"/>
      <c r="BQ2697" s="32"/>
      <c r="BR2697" s="32"/>
      <c r="BS2697" s="32"/>
      <c r="BT2697" s="32"/>
      <c r="BU2697" s="32"/>
      <c r="BV2697" s="32"/>
      <c r="BW2697" s="32"/>
      <c r="BX2697" s="32"/>
      <c r="BY2697" s="32"/>
      <c r="BZ2697" s="32"/>
      <c r="CA2697" s="32"/>
      <c r="CB2697" s="32"/>
      <c r="CC2697" s="32"/>
      <c r="CD2697" s="32"/>
    </row>
    <row r="2698" ht="15.75" customHeight="1">
      <c r="A2698" s="365" t="s">
        <v>358</v>
      </c>
      <c r="B2698" s="159" t="s">
        <v>351</v>
      </c>
      <c r="C2698" s="366">
        <f>'Assumptions (T&amp;D)'!C55*'Inflation GDP Population'!B$11/'Inflation GDP Population'!$S$11</f>
        <v>0.7665844187</v>
      </c>
      <c r="D2698" s="366">
        <f>'Assumptions (T&amp;D)'!D55*'Inflation GDP Population'!C$11/'Inflation GDP Population'!$S$11</f>
        <v>1.165228739</v>
      </c>
      <c r="E2698" s="366">
        <f>'Assumptions (T&amp;D)'!E55*'Inflation GDP Population'!D$11/'Inflation GDP Population'!$S$11</f>
        <v>1.035222942</v>
      </c>
      <c r="F2698" s="366">
        <f>'Assumptions (T&amp;D)'!F55*'Inflation GDP Population'!E$11/'Inflation GDP Population'!$S$11</f>
        <v>1.053596906</v>
      </c>
      <c r="G2698" s="366">
        <f>'Assumptions (T&amp;D)'!G55*'Inflation GDP Population'!F$11/'Inflation GDP Population'!$S$11</f>
        <v>1.214541631</v>
      </c>
      <c r="H2698" s="366">
        <f>'Assumptions (T&amp;D)'!H55*'Inflation GDP Population'!G$11/'Inflation GDP Population'!$S$11</f>
        <v>0.9706427098</v>
      </c>
      <c r="I2698" s="366">
        <f>'Assumptions (T&amp;D)'!I55*'Inflation GDP Population'!H$11/'Inflation GDP Population'!$S$11</f>
        <v>1.377235923</v>
      </c>
      <c r="J2698" s="366">
        <f>'Assumptions (T&amp;D)'!J55*'Inflation GDP Population'!I$11/'Inflation GDP Population'!$S$11</f>
        <v>1.410853059</v>
      </c>
      <c r="K2698" s="366">
        <f>'Assumptions (T&amp;D)'!K55*'Inflation GDP Population'!J$11/'Inflation GDP Population'!$S$11</f>
        <v>1.313955249</v>
      </c>
      <c r="L2698" s="366">
        <f>'Assumptions (T&amp;D)'!L55*'Inflation GDP Population'!K$11/'Inflation GDP Population'!$S$11</f>
        <v>1.208865358</v>
      </c>
      <c r="M2698" s="366">
        <f>'Assumptions (T&amp;D)'!M55*'Inflation GDP Population'!L$11/'Inflation GDP Population'!$S$11</f>
        <v>1.659177444</v>
      </c>
      <c r="N2698" s="366">
        <f>'Assumptions (T&amp;D)'!N55*'Inflation GDP Population'!M$11/'Inflation GDP Population'!$S$11</f>
        <v>1.897185275</v>
      </c>
      <c r="O2698" s="366">
        <f>'Assumptions (T&amp;D)'!O55*'Inflation GDP Population'!N$11/'Inflation GDP Population'!$S$11</f>
        <v>2.029226062</v>
      </c>
      <c r="P2698" s="366">
        <f>'Assumptions (T&amp;D)'!P55*'Inflation GDP Population'!O$11/'Inflation GDP Population'!$S$11</f>
        <v>2.394447967</v>
      </c>
      <c r="Q2698" s="366">
        <f>'Assumptions (T&amp;D)'!Q55*'Inflation GDP Population'!P$11/'Inflation GDP Population'!$S$11</f>
        <v>2.149572979</v>
      </c>
      <c r="R2698" s="366">
        <f>'Assumptions (T&amp;D)'!R55*'Inflation GDP Population'!Q$11/'Inflation GDP Population'!$S$11</f>
        <v>2.145742606</v>
      </c>
      <c r="S2698" s="366">
        <f>'Assumptions (T&amp;D)'!S55*'Inflation GDP Population'!R$11/'Inflation GDP Population'!$S$11</f>
        <v>2.203745499</v>
      </c>
      <c r="T2698" s="366">
        <f>'Assumptions (T&amp;D)'!T55*'Inflation GDP Population'!S$11/'Inflation GDP Population'!$S$11</f>
        <v>2.340177091</v>
      </c>
      <c r="U2698" s="366">
        <f>'Assumptions (T&amp;D)'!U55*'Inflation GDP Population'!T$11/'Inflation GDP Population'!$S$11</f>
        <v>2.369736672</v>
      </c>
      <c r="V2698" s="367">
        <f>'Assumptions (T&amp;D)'!V55*'Inflation GDP Population'!U$16/'Inflation GDP Population'!$S$16</f>
        <v>2.4562482</v>
      </c>
      <c r="W2698" s="367">
        <f>'Assumptions (T&amp;D)'!W55*'Inflation GDP Population'!V$16/'Inflation GDP Population'!$S$16</f>
        <v>2.504754116</v>
      </c>
      <c r="X2698" s="367">
        <f>'Assumptions (T&amp;D)'!X55*'Inflation GDP Population'!W$16/'Inflation GDP Population'!$S$16</f>
        <v>2.690073929</v>
      </c>
      <c r="Y2698" s="367">
        <f>'Assumptions (T&amp;D)'!Y55*'Inflation GDP Population'!X$16/'Inflation GDP Population'!$S$16</f>
        <v>2.764761962</v>
      </c>
      <c r="Z2698" s="367">
        <f>'Assumptions (T&amp;D)'!Z55*'Inflation GDP Population'!Y$16/'Inflation GDP Population'!$S$16</f>
        <v>2.841350787</v>
      </c>
      <c r="AA2698" s="367">
        <f>'Assumptions (T&amp;D)'!AA55*'Inflation GDP Population'!Z$16/'Inflation GDP Population'!$S$16</f>
        <v>2.919886352</v>
      </c>
      <c r="AB2698" s="367">
        <f>'Assumptions (T&amp;D)'!AB55*'Inflation GDP Population'!AA$16/'Inflation GDP Population'!$S$16</f>
        <v>3.000415676</v>
      </c>
      <c r="AC2698" s="367">
        <f>'Assumptions (T&amp;D)'!AC55*'Inflation GDP Population'!AB$16/'Inflation GDP Population'!$S$16</f>
        <v>3.082986877</v>
      </c>
      <c r="AD2698" s="367">
        <f>'Assumptions (T&amp;D)'!AD55*'Inflation GDP Population'!AC$16/'Inflation GDP Population'!$S$16</f>
        <v>3.167649197</v>
      </c>
      <c r="AE2698" s="367">
        <f>'Assumptions (T&amp;D)'!AE55*'Inflation GDP Population'!AD$16/'Inflation GDP Population'!$S$16</f>
        <v>3.255695365</v>
      </c>
      <c r="AF2698" s="367">
        <f>'Assumptions (T&amp;D)'!AF55*'Inflation GDP Population'!AE$16/'Inflation GDP Population'!$S$16</f>
        <v>3.343449923</v>
      </c>
      <c r="AG2698" s="367">
        <f>'Assumptions (T&amp;D)'!AG55*'Inflation GDP Population'!AF$16/'Inflation GDP Population'!$S$16</f>
        <v>3.434692658</v>
      </c>
      <c r="AH2698" s="367">
        <f>'Assumptions (T&amp;D)'!AH55*'Inflation GDP Population'!AG$16/'Inflation GDP Population'!$S$16</f>
        <v>3.528235225</v>
      </c>
      <c r="AI2698" s="367">
        <f>'Assumptions (T&amp;D)'!AI55*'Inflation GDP Population'!AH$16/'Inflation GDP Population'!$S$16</f>
        <v>3.644284201</v>
      </c>
      <c r="AJ2698" s="367">
        <f>'Assumptions (T&amp;D)'!AJ55*'Inflation GDP Population'!AI$16/'Inflation GDP Population'!$S$16</f>
        <v>3.722442142</v>
      </c>
      <c r="AK2698" s="367">
        <f>'Assumptions (T&amp;D)'!AK55*'Inflation GDP Population'!AJ$16/'Inflation GDP Population'!$S$16</f>
        <v>3.823220879</v>
      </c>
      <c r="AL2698" s="367">
        <f>'Assumptions (T&amp;D)'!AL55*'Inflation GDP Population'!AK$16/'Inflation GDP Population'!$S$16</f>
        <v>3.926528281</v>
      </c>
      <c r="AM2698" s="367">
        <f>'Assumptions (T&amp;D)'!AM55*'Inflation GDP Population'!AL$16/'Inflation GDP Population'!$S$16</f>
        <v>4.032424916</v>
      </c>
      <c r="AN2698" s="367">
        <f>'Assumptions (T&amp;D)'!AN55*'Inflation GDP Population'!AM$16/'Inflation GDP Population'!$S$16</f>
        <v>4.140972763</v>
      </c>
      <c r="AO2698" s="367">
        <f>'Assumptions (T&amp;D)'!AO55*'Inflation GDP Population'!AN$16/'Inflation GDP Population'!$S$16</f>
        <v>4.252235234</v>
      </c>
      <c r="AP2698" s="367">
        <f>'Assumptions (T&amp;D)'!AP55*'Inflation GDP Population'!AO$16/'Inflation GDP Population'!$S$16</f>
        <v>4.366277215</v>
      </c>
      <c r="AQ2698" s="367">
        <f>'Assumptions (T&amp;D)'!AQ55*'Inflation GDP Population'!AP$16/'Inflation GDP Population'!$S$16</f>
        <v>4.483165094</v>
      </c>
      <c r="AR2698" s="367">
        <f>'Assumptions (T&amp;D)'!AR55*'Inflation GDP Population'!AQ$16/'Inflation GDP Population'!$S$16</f>
        <v>4.602966799</v>
      </c>
      <c r="AS2698" s="367">
        <f>'Assumptions (T&amp;D)'!AS55*'Inflation GDP Population'!AR$16/'Inflation GDP Population'!$S$16</f>
        <v>4.725751831</v>
      </c>
      <c r="AT2698" s="367">
        <f>'Assumptions (T&amp;D)'!AT55*'Inflation GDP Population'!AS$16/'Inflation GDP Population'!$S$16</f>
        <v>4.851591296</v>
      </c>
      <c r="AU2698" s="367">
        <f>'Assumptions (T&amp;D)'!AU55*'Inflation GDP Population'!AT$16/'Inflation GDP Population'!$S$16</f>
        <v>5.176856644</v>
      </c>
      <c r="AV2698" s="367">
        <f>'Assumptions (T&amp;D)'!AV55*'Inflation GDP Population'!AU$16/'Inflation GDP Population'!$S$16</f>
        <v>5.112726229</v>
      </c>
      <c r="AW2698" s="367">
        <f>'Assumptions (T&amp;D)'!AW55*'Inflation GDP Population'!AV$16/'Inflation GDP Population'!$S$16</f>
        <v>5.248172288</v>
      </c>
      <c r="AX2698" s="367">
        <f>'Assumptions (T&amp;D)'!AX55*'Inflation GDP Population'!AW$16/'Inflation GDP Population'!$S$16</f>
        <v>5.386974044</v>
      </c>
      <c r="AY2698" s="367">
        <f>'Assumptions (T&amp;D)'!AY55*'Inflation GDP Population'!AX$16/'Inflation GDP Population'!$S$16</f>
        <v>5.529211212</v>
      </c>
      <c r="AZ2698" s="367">
        <f>'Assumptions (T&amp;D)'!AZ55*'Inflation GDP Population'!AY$16/'Inflation GDP Population'!$S$16</f>
        <v>5.836736098</v>
      </c>
      <c r="BA2698" s="367">
        <f>'Assumptions (T&amp;D)'!BA55*'Inflation GDP Population'!AZ$16/'Inflation GDP Population'!$S$16</f>
        <v>5.95199979</v>
      </c>
      <c r="BB2698" s="32"/>
      <c r="BC2698" s="32"/>
      <c r="BD2698" s="32"/>
      <c r="BE2698" s="32"/>
      <c r="BF2698" s="32"/>
      <c r="BG2698" s="32"/>
      <c r="BH2698" s="32"/>
      <c r="BI2698" s="32"/>
      <c r="BJ2698" s="32"/>
      <c r="BK2698" s="32"/>
      <c r="BL2698" s="32"/>
      <c r="BM2698" s="32"/>
      <c r="BN2698" s="32"/>
      <c r="BO2698" s="32"/>
      <c r="BP2698" s="32"/>
      <c r="BQ2698" s="32"/>
      <c r="BR2698" s="32"/>
      <c r="BS2698" s="32"/>
      <c r="BT2698" s="32"/>
      <c r="BU2698" s="32"/>
      <c r="BV2698" s="32"/>
      <c r="BW2698" s="32"/>
      <c r="BX2698" s="32"/>
      <c r="BY2698" s="32"/>
      <c r="BZ2698" s="32"/>
      <c r="CA2698" s="32"/>
      <c r="CB2698" s="32"/>
      <c r="CC2698" s="32"/>
      <c r="CD2698" s="32"/>
    </row>
    <row r="2699" ht="15.75" customHeight="1">
      <c r="A2699" s="365" t="s">
        <v>52</v>
      </c>
      <c r="B2699" s="159" t="s">
        <v>351</v>
      </c>
      <c r="C2699" s="371">
        <f>C2698*'Assumptions (T&amp;D)'!$C$18</f>
        <v>0.3066337675</v>
      </c>
      <c r="D2699" s="371">
        <f>D2698*'Assumptions (T&amp;D)'!$C$18</f>
        <v>0.4660914958</v>
      </c>
      <c r="E2699" s="371">
        <f>E2698*'Assumptions (T&amp;D)'!$C$18</f>
        <v>0.4140891768</v>
      </c>
      <c r="F2699" s="371">
        <f>F2698*'Assumptions (T&amp;D)'!$C$18</f>
        <v>0.4214387625</v>
      </c>
      <c r="G2699" s="371">
        <f>G2698*'Assumptions (T&amp;D)'!$C$18</f>
        <v>0.4858166524</v>
      </c>
      <c r="H2699" s="371">
        <f>H2698*'Assumptions (T&amp;D)'!$C$18</f>
        <v>0.3882570839</v>
      </c>
      <c r="I2699" s="371">
        <f>I2698*'Assumptions (T&amp;D)'!$C$18</f>
        <v>0.5508943692</v>
      </c>
      <c r="J2699" s="371">
        <f>J2698*'Assumptions (T&amp;D)'!$C$18</f>
        <v>0.5643412236</v>
      </c>
      <c r="K2699" s="371">
        <f>K2698*'Assumptions (T&amp;D)'!$C$18</f>
        <v>0.5255820998</v>
      </c>
      <c r="L2699" s="371">
        <f>L2698*'Assumptions (T&amp;D)'!$C$18</f>
        <v>0.4835461431</v>
      </c>
      <c r="M2699" s="371">
        <f>M2698*'Assumptions (T&amp;D)'!$C$18</f>
        <v>0.6636709778</v>
      </c>
      <c r="N2699" s="371">
        <f>N2698*'Assumptions (T&amp;D)'!$C$18</f>
        <v>0.75887411</v>
      </c>
      <c r="O2699" s="371">
        <f>O2698*'Assumptions (T&amp;D)'!$C$18</f>
        <v>0.8116904248</v>
      </c>
      <c r="P2699" s="371">
        <f>P2698*'Assumptions (T&amp;D)'!$C$18</f>
        <v>0.9577791868</v>
      </c>
      <c r="Q2699" s="371">
        <f>Q2698*'Assumptions (T&amp;D)'!$C$18</f>
        <v>0.8598291918</v>
      </c>
      <c r="R2699" s="371">
        <f>R2698*'Assumptions (T&amp;D)'!$C$18</f>
        <v>0.8582970423</v>
      </c>
      <c r="S2699" s="371">
        <f>S2698*'Assumptions (T&amp;D)'!$C$18</f>
        <v>0.8814981996</v>
      </c>
      <c r="T2699" s="371">
        <f>T2698*'Assumptions (T&amp;D)'!$C$18</f>
        <v>0.9360708363</v>
      </c>
      <c r="U2699" s="371">
        <f>U2698*'Assumptions (T&amp;D)'!$C$18</f>
        <v>0.9478946687</v>
      </c>
      <c r="V2699" s="371">
        <f>V2698*'Assumptions (T&amp;D)'!$C$18</f>
        <v>0.98249928</v>
      </c>
      <c r="W2699" s="371">
        <f>W2698*'Assumptions (T&amp;D)'!$C$18</f>
        <v>1.001901647</v>
      </c>
      <c r="X2699" s="371">
        <f>X2698*'Assumptions (T&amp;D)'!$C$18</f>
        <v>1.076029572</v>
      </c>
      <c r="Y2699" s="371">
        <f>Y2698*'Assumptions (T&amp;D)'!$C$18</f>
        <v>1.105904785</v>
      </c>
      <c r="Z2699" s="371">
        <f>Z2698*'Assumptions (T&amp;D)'!$C$18</f>
        <v>1.136540315</v>
      </c>
      <c r="AA2699" s="371">
        <f>AA2698*'Assumptions (T&amp;D)'!$C$18</f>
        <v>1.167954541</v>
      </c>
      <c r="AB2699" s="371">
        <f>AB2698*'Assumptions (T&amp;D)'!$C$18</f>
        <v>1.20016627</v>
      </c>
      <c r="AC2699" s="371">
        <f>AC2698*'Assumptions (T&amp;D)'!$C$18</f>
        <v>1.233194751</v>
      </c>
      <c r="AD2699" s="371">
        <f>AD2698*'Assumptions (T&amp;D)'!$C$18</f>
        <v>1.267059679</v>
      </c>
      <c r="AE2699" s="371">
        <f>AE2698*'Assumptions (T&amp;D)'!$C$18</f>
        <v>1.302278146</v>
      </c>
      <c r="AF2699" s="371">
        <f>AF2698*'Assumptions (T&amp;D)'!$C$18</f>
        <v>1.337379969</v>
      </c>
      <c r="AG2699" s="371">
        <f>AG2698*'Assumptions (T&amp;D)'!$C$18</f>
        <v>1.373877063</v>
      </c>
      <c r="AH2699" s="371">
        <f>AH2698*'Assumptions (T&amp;D)'!$C$18</f>
        <v>1.41129409</v>
      </c>
      <c r="AI2699" s="371">
        <f>AI2698*'Assumptions (T&amp;D)'!$C$18</f>
        <v>1.457713681</v>
      </c>
      <c r="AJ2699" s="371">
        <f>AJ2698*'Assumptions (T&amp;D)'!$C$18</f>
        <v>1.488976857</v>
      </c>
      <c r="AK2699" s="371">
        <f>AK2698*'Assumptions (T&amp;D)'!$C$18</f>
        <v>1.529288352</v>
      </c>
      <c r="AL2699" s="371">
        <f>AL2698*'Assumptions (T&amp;D)'!$C$18</f>
        <v>1.570611312</v>
      </c>
      <c r="AM2699" s="371">
        <f>AM2698*'Assumptions (T&amp;D)'!$C$18</f>
        <v>1.612969967</v>
      </c>
      <c r="AN2699" s="371">
        <f>AN2698*'Assumptions (T&amp;D)'!$C$18</f>
        <v>1.656389105</v>
      </c>
      <c r="AO2699" s="371">
        <f>AO2698*'Assumptions (T&amp;D)'!$C$18</f>
        <v>1.700894093</v>
      </c>
      <c r="AP2699" s="371">
        <f>AP2698*'Assumptions (T&amp;D)'!$C$18</f>
        <v>1.746510886</v>
      </c>
      <c r="AQ2699" s="371">
        <f>AQ2698*'Assumptions (T&amp;D)'!$C$18</f>
        <v>1.793266038</v>
      </c>
      <c r="AR2699" s="371">
        <f>AR2698*'Assumptions (T&amp;D)'!$C$18</f>
        <v>1.84118672</v>
      </c>
      <c r="AS2699" s="371">
        <f>AS2698*'Assumptions (T&amp;D)'!$C$18</f>
        <v>1.890300732</v>
      </c>
      <c r="AT2699" s="371">
        <f>AT2698*'Assumptions (T&amp;D)'!$C$18</f>
        <v>1.940636519</v>
      </c>
      <c r="AU2699" s="371">
        <f>AU2698*'Assumptions (T&amp;D)'!$C$18</f>
        <v>2.070742658</v>
      </c>
      <c r="AV2699" s="371">
        <f>AV2698*'Assumptions (T&amp;D)'!$C$18</f>
        <v>2.045090492</v>
      </c>
      <c r="AW2699" s="371">
        <f>AW2698*'Assumptions (T&amp;D)'!$C$18</f>
        <v>2.099268915</v>
      </c>
      <c r="AX2699" s="371">
        <f>AX2698*'Assumptions (T&amp;D)'!$C$18</f>
        <v>2.154789618</v>
      </c>
      <c r="AY2699" s="371">
        <f>AY2698*'Assumptions (T&amp;D)'!$C$18</f>
        <v>2.211684485</v>
      </c>
      <c r="AZ2699" s="371">
        <f>AZ2698*'Assumptions (T&amp;D)'!$C$18</f>
        <v>2.334694439</v>
      </c>
      <c r="BA2699" s="371">
        <f>BA2698*'Assumptions (T&amp;D)'!$C$18</f>
        <v>2.380799916</v>
      </c>
      <c r="BB2699" s="32"/>
      <c r="BC2699" s="32"/>
      <c r="BD2699" s="32"/>
      <c r="BE2699" s="32"/>
      <c r="BF2699" s="32"/>
      <c r="BG2699" s="32"/>
      <c r="BH2699" s="32"/>
      <c r="BI2699" s="32"/>
      <c r="BJ2699" s="32"/>
      <c r="BK2699" s="32"/>
      <c r="BL2699" s="32"/>
      <c r="BM2699" s="32"/>
      <c r="BN2699" s="32"/>
      <c r="BO2699" s="32"/>
      <c r="BP2699" s="32"/>
      <c r="BQ2699" s="32"/>
      <c r="BR2699" s="32"/>
      <c r="BS2699" s="32"/>
      <c r="BT2699" s="32"/>
      <c r="BU2699" s="32"/>
      <c r="BV2699" s="32"/>
      <c r="BW2699" s="32"/>
      <c r="BX2699" s="32"/>
      <c r="BY2699" s="32"/>
      <c r="BZ2699" s="32"/>
      <c r="CA2699" s="32"/>
      <c r="CB2699" s="32"/>
      <c r="CC2699" s="32"/>
      <c r="CD2699" s="32"/>
    </row>
    <row r="2700" ht="15.75" customHeight="1">
      <c r="A2700" s="365" t="s">
        <v>54</v>
      </c>
      <c r="B2700" s="159" t="s">
        <v>351</v>
      </c>
      <c r="C2700" s="371">
        <f>C2698*'Assumptions (T&amp;D)'!$C$19</f>
        <v>0.4599506512</v>
      </c>
      <c r="D2700" s="371">
        <f>D2698*'Assumptions (T&amp;D)'!$C$19</f>
        <v>0.6991372436</v>
      </c>
      <c r="E2700" s="371">
        <f>E2698*'Assumptions (T&amp;D)'!$C$19</f>
        <v>0.6211337652</v>
      </c>
      <c r="F2700" s="371">
        <f>F2698*'Assumptions (T&amp;D)'!$C$19</f>
        <v>0.6321581438</v>
      </c>
      <c r="G2700" s="371">
        <f>G2698*'Assumptions (T&amp;D)'!$C$19</f>
        <v>0.7287249785</v>
      </c>
      <c r="H2700" s="371">
        <f>H2698*'Assumptions (T&amp;D)'!$C$19</f>
        <v>0.5823856259</v>
      </c>
      <c r="I2700" s="371">
        <f>I2698*'Assumptions (T&amp;D)'!$C$19</f>
        <v>0.8263415538</v>
      </c>
      <c r="J2700" s="371">
        <f>J2698*'Assumptions (T&amp;D)'!$C$19</f>
        <v>0.8465118355</v>
      </c>
      <c r="K2700" s="371">
        <f>K2698*'Assumptions (T&amp;D)'!$C$19</f>
        <v>0.7883731496</v>
      </c>
      <c r="L2700" s="371">
        <f>L2698*'Assumptions (T&amp;D)'!$C$19</f>
        <v>0.7253192146</v>
      </c>
      <c r="M2700" s="371">
        <f>M2698*'Assumptions (T&amp;D)'!$C$19</f>
        <v>0.9955064666</v>
      </c>
      <c r="N2700" s="371">
        <f>N2698*'Assumptions (T&amp;D)'!$C$19</f>
        <v>1.138311165</v>
      </c>
      <c r="O2700" s="371">
        <f>O2698*'Assumptions (T&amp;D)'!$C$19</f>
        <v>1.217535637</v>
      </c>
      <c r="P2700" s="371">
        <f>P2698*'Assumptions (T&amp;D)'!$C$19</f>
        <v>1.43666878</v>
      </c>
      <c r="Q2700" s="371">
        <f>Q2698*'Assumptions (T&amp;D)'!$C$19</f>
        <v>1.289743788</v>
      </c>
      <c r="R2700" s="371">
        <f>R2698*'Assumptions (T&amp;D)'!$C$19</f>
        <v>1.287445563</v>
      </c>
      <c r="S2700" s="371">
        <f>S2698*'Assumptions (T&amp;D)'!$C$19</f>
        <v>1.322247299</v>
      </c>
      <c r="T2700" s="371">
        <f>T2698*'Assumptions (T&amp;D)'!$C$19</f>
        <v>1.404106254</v>
      </c>
      <c r="U2700" s="371">
        <f>U2698*'Assumptions (T&amp;D)'!$C$19</f>
        <v>1.421842003</v>
      </c>
      <c r="V2700" s="371">
        <f>V2698*'Assumptions (T&amp;D)'!$C$19</f>
        <v>1.47374892</v>
      </c>
      <c r="W2700" s="371">
        <f>W2698*'Assumptions (T&amp;D)'!$C$19</f>
        <v>1.50285247</v>
      </c>
      <c r="X2700" s="371">
        <f>X2698*'Assumptions (T&amp;D)'!$C$19</f>
        <v>1.614044357</v>
      </c>
      <c r="Y2700" s="371">
        <f>Y2698*'Assumptions (T&amp;D)'!$C$19</f>
        <v>1.658857177</v>
      </c>
      <c r="Z2700" s="371">
        <f>Z2698*'Assumptions (T&amp;D)'!$C$19</f>
        <v>1.704810472</v>
      </c>
      <c r="AA2700" s="371">
        <f>AA2698*'Assumptions (T&amp;D)'!$C$19</f>
        <v>1.751931811</v>
      </c>
      <c r="AB2700" s="371">
        <f>AB2698*'Assumptions (T&amp;D)'!$C$19</f>
        <v>1.800249405</v>
      </c>
      <c r="AC2700" s="371">
        <f>AC2698*'Assumptions (T&amp;D)'!$C$19</f>
        <v>1.849792126</v>
      </c>
      <c r="AD2700" s="371">
        <f>AD2698*'Assumptions (T&amp;D)'!$C$19</f>
        <v>1.900589518</v>
      </c>
      <c r="AE2700" s="371">
        <f>AE2698*'Assumptions (T&amp;D)'!$C$19</f>
        <v>1.953417219</v>
      </c>
      <c r="AF2700" s="371">
        <f>AF2698*'Assumptions (T&amp;D)'!$C$19</f>
        <v>2.006069954</v>
      </c>
      <c r="AG2700" s="371">
        <f>AG2698*'Assumptions (T&amp;D)'!$C$19</f>
        <v>2.060815595</v>
      </c>
      <c r="AH2700" s="371">
        <f>AH2698*'Assumptions (T&amp;D)'!$C$19</f>
        <v>2.116941135</v>
      </c>
      <c r="AI2700" s="371">
        <f>AI2698*'Assumptions (T&amp;D)'!$C$19</f>
        <v>2.186570521</v>
      </c>
      <c r="AJ2700" s="371">
        <f>AJ2698*'Assumptions (T&amp;D)'!$C$19</f>
        <v>2.233465285</v>
      </c>
      <c r="AK2700" s="371">
        <f>AK2698*'Assumptions (T&amp;D)'!$C$19</f>
        <v>2.293932528</v>
      </c>
      <c r="AL2700" s="371">
        <f>AL2698*'Assumptions (T&amp;D)'!$C$19</f>
        <v>2.355916968</v>
      </c>
      <c r="AM2700" s="371">
        <f>AM2698*'Assumptions (T&amp;D)'!$C$19</f>
        <v>2.41945495</v>
      </c>
      <c r="AN2700" s="371">
        <f>AN2698*'Assumptions (T&amp;D)'!$C$19</f>
        <v>2.484583658</v>
      </c>
      <c r="AO2700" s="371">
        <f>AO2698*'Assumptions (T&amp;D)'!$C$19</f>
        <v>2.55134114</v>
      </c>
      <c r="AP2700" s="371">
        <f>AP2698*'Assumptions (T&amp;D)'!$C$19</f>
        <v>2.619766329</v>
      </c>
      <c r="AQ2700" s="371">
        <f>AQ2698*'Assumptions (T&amp;D)'!$C$19</f>
        <v>2.689899056</v>
      </c>
      <c r="AR2700" s="371">
        <f>AR2698*'Assumptions (T&amp;D)'!$C$19</f>
        <v>2.76178008</v>
      </c>
      <c r="AS2700" s="371">
        <f>AS2698*'Assumptions (T&amp;D)'!$C$19</f>
        <v>2.835451098</v>
      </c>
      <c r="AT2700" s="371">
        <f>AT2698*'Assumptions (T&amp;D)'!$C$19</f>
        <v>2.910954778</v>
      </c>
      <c r="AU2700" s="371">
        <f>AU2698*'Assumptions (T&amp;D)'!$C$19</f>
        <v>3.106113987</v>
      </c>
      <c r="AV2700" s="371">
        <f>AV2698*'Assumptions (T&amp;D)'!$C$19</f>
        <v>3.067635737</v>
      </c>
      <c r="AW2700" s="371">
        <f>AW2698*'Assumptions (T&amp;D)'!$C$19</f>
        <v>3.148903373</v>
      </c>
      <c r="AX2700" s="371">
        <f>AX2698*'Assumptions (T&amp;D)'!$C$19</f>
        <v>3.232184427</v>
      </c>
      <c r="AY2700" s="371">
        <f>AY2698*'Assumptions (T&amp;D)'!$C$19</f>
        <v>3.317526727</v>
      </c>
      <c r="AZ2700" s="371">
        <f>AZ2698*'Assumptions (T&amp;D)'!$C$19</f>
        <v>3.502041659</v>
      </c>
      <c r="BA2700" s="371">
        <f>BA2698*'Assumptions (T&amp;D)'!$C$19</f>
        <v>3.571199874</v>
      </c>
      <c r="BB2700" s="32"/>
      <c r="BC2700" s="32"/>
      <c r="BD2700" s="32"/>
      <c r="BE2700" s="32"/>
      <c r="BF2700" s="32"/>
      <c r="BG2700" s="32"/>
      <c r="BH2700" s="32"/>
      <c r="BI2700" s="32"/>
      <c r="BJ2700" s="32"/>
      <c r="BK2700" s="32"/>
      <c r="BL2700" s="32"/>
      <c r="BM2700" s="32"/>
      <c r="BN2700" s="32"/>
      <c r="BO2700" s="32"/>
      <c r="BP2700" s="32"/>
      <c r="BQ2700" s="32"/>
      <c r="BR2700" s="32"/>
      <c r="BS2700" s="32"/>
      <c r="BT2700" s="32"/>
      <c r="BU2700" s="32"/>
      <c r="BV2700" s="32"/>
      <c r="BW2700" s="32"/>
      <c r="BX2700" s="32"/>
      <c r="BY2700" s="32"/>
      <c r="BZ2700" s="32"/>
      <c r="CA2700" s="32"/>
      <c r="CB2700" s="32"/>
      <c r="CC2700" s="32"/>
      <c r="CD2700" s="32"/>
    </row>
    <row r="2701" ht="15.75" customHeight="1">
      <c r="A2701" s="365" t="s">
        <v>359</v>
      </c>
      <c r="B2701" s="159" t="s">
        <v>351</v>
      </c>
      <c r="C2701" s="372">
        <f t="array" ref="C2701">SUM(IF(ISERROR(C2702:C2752),"",C2702:C2752))</f>
        <v>-0.01447959435</v>
      </c>
      <c r="D2701" s="372">
        <f t="array" ref="D2701">SUM(IF(ISERROR(D2702:D2752),"",D2702:D2752))</f>
        <v>-0.03717674425</v>
      </c>
      <c r="E2701" s="372">
        <f t="array" ref="E2701">SUM(IF(ISERROR(E2702:E2752),"",E2702:E2752))</f>
        <v>-0.05849640028</v>
      </c>
      <c r="F2701" s="372">
        <f t="array" ref="F2701">SUM(IF(ISERROR(F2702:F2752),"",F2702:F2752))</f>
        <v>-0.08117579574</v>
      </c>
      <c r="G2701" s="372">
        <f t="array" ref="G2701">SUM(IF(ISERROR(G2702:G2752),"",G2702:G2752))</f>
        <v>-0.1079724595</v>
      </c>
      <c r="H2701" s="372">
        <f t="array" ref="H2701">SUM(IF(ISERROR(H2702:H2752),"",H2702:H2752))</f>
        <v>-0.1314350912</v>
      </c>
      <c r="I2701" s="372">
        <f t="array" ref="I2701">SUM(IF(ISERROR(I2702:I2752),"",I2702:I2752))</f>
        <v>-0.1636921151</v>
      </c>
      <c r="J2701" s="372">
        <f t="array" ref="J2701">SUM(IF(ISERROR(J2702:J2752),"",J2702:J2752))</f>
        <v>-0.1981163234</v>
      </c>
      <c r="K2701" s="372">
        <f t="array" ref="K2701">SUM(IF(ISERROR(K2702:K2752),"",K2702:K2752))</f>
        <v>-0.2323454317</v>
      </c>
      <c r="L2701" s="372">
        <f t="array" ref="L2701">SUM(IF(ISERROR(L2702:L2752),"",L2702:L2752))</f>
        <v>-0.2662154371</v>
      </c>
      <c r="M2701" s="372">
        <f t="array" ref="M2701">SUM(IF(ISERROR(M2702:M2752),"",M2702:M2752))</f>
        <v>-0.3101999669</v>
      </c>
      <c r="N2701" s="372">
        <f t="array" ref="N2701">SUM(IF(ISERROR(N2702:N2752),"",N2702:N2752))</f>
        <v>-0.3607693616</v>
      </c>
      <c r="O2701" s="372">
        <f t="array" ref="O2701">SUM(IF(ISERROR(O2702:O2752),"",O2702:O2752))</f>
        <v>-0.416234849</v>
      </c>
      <c r="P2701" s="372">
        <f t="array" ref="P2701">SUM(IF(ISERROR(P2702:P2752),"",P2702:P2752))</f>
        <v>-0.481233424</v>
      </c>
      <c r="Q2701" s="372">
        <f t="array" ref="Q2701">SUM(IF(ISERROR(Q2702:Q2752),"",Q2702:Q2752))</f>
        <v>-0.5446941215</v>
      </c>
      <c r="R2701" s="372">
        <f t="array" ref="R2701">SUM(IF(ISERROR(R2702:R2752),"",R2702:R2752))</f>
        <v>-0.5820521539</v>
      </c>
      <c r="S2701" s="372">
        <f t="array" ref="S2701">SUM(IF(ISERROR(S2702:S2752),"",S2702:S2752))</f>
        <v>-0.607176261</v>
      </c>
      <c r="T2701" s="372">
        <f t="array" ref="T2701">SUM(IF(ISERROR(T2702:T2752),"",T2702:T2752))</f>
        <v>-0.6409964636</v>
      </c>
      <c r="U2701" s="372">
        <f t="array" ref="U2701">SUM(IF(ISERROR(U2702:U2752),"",U2702:U2752))</f>
        <v>-0.6762852995</v>
      </c>
      <c r="V2701" s="372">
        <f t="array" ref="V2701">SUM(IF(ISERROR(V2702:V2752),"",V2702:V2752))</f>
        <v>-0.7087864774</v>
      </c>
      <c r="W2701" s="372">
        <f t="array" ref="W2701">SUM(IF(ISERROR(W2702:W2752),"",W2702:W2752))</f>
        <v>-0.7529886159</v>
      </c>
      <c r="X2701" s="372">
        <f t="array" ref="X2701">SUM(IF(ISERROR(X2702:X2752),"",X2702:X2752))</f>
        <v>-0.7873855726</v>
      </c>
      <c r="Y2701" s="372">
        <f t="array" ref="Y2701">SUM(IF(ISERROR(Y2702:Y2752),"",Y2702:Y2752))</f>
        <v>-0.8235534249</v>
      </c>
      <c r="Z2701" s="372">
        <f t="array" ref="Z2701">SUM(IF(ISERROR(Z2702:Z2752),"",Z2702:Z2752))</f>
        <v>-0.8665572028</v>
      </c>
      <c r="AA2701" s="372">
        <f t="array" ref="AA2701">SUM(IF(ISERROR(AA2702:AA2752),"",AA2702:AA2752))</f>
        <v>-0.9170687691</v>
      </c>
      <c r="AB2701" s="372">
        <f t="array" ref="AB2701">SUM(IF(ISERROR(AB2702:AB2752),"",AB2702:AB2752))</f>
        <v>-0.9544390805</v>
      </c>
      <c r="AC2701" s="372">
        <f t="array" ref="AC2701">SUM(IF(ISERROR(AC2702:AC2752),"",AC2702:AC2752))</f>
        <v>-0.9861263754</v>
      </c>
      <c r="AD2701" s="372">
        <f t="array" ref="AD2701">SUM(IF(ISERROR(AD2702:AD2752),"",AD2702:AD2752))</f>
        <v>-1.015915136</v>
      </c>
      <c r="AE2701" s="372">
        <f t="array" ref="AE2701">SUM(IF(ISERROR(AE2702:AE2752),"",AE2702:AE2752))</f>
        <v>-1.034944225</v>
      </c>
      <c r="AF2701" s="372">
        <f t="array" ref="AF2701">SUM(IF(ISERROR(AF2702:AF2752),"",AF2702:AF2752))</f>
        <v>-1.065812679</v>
      </c>
      <c r="AG2701" s="372">
        <f t="array" ref="AG2701">SUM(IF(ISERROR(AG2702:AG2752),"",AG2702:AG2752))</f>
        <v>-1.100015945</v>
      </c>
      <c r="AH2701" s="372">
        <f t="array" ref="AH2701">SUM(IF(ISERROR(AH2702:AH2752),"",AH2702:AH2752))</f>
        <v>-1.135413101</v>
      </c>
      <c r="AI2701" s="372">
        <f t="array" ref="AI2701">SUM(IF(ISERROR(AI2702:AI2752),"",AI2702:AI2752))</f>
        <v>-1.169514425</v>
      </c>
      <c r="AJ2701" s="372">
        <f t="array" ref="AJ2701">SUM(IF(ISERROR(AJ2702:AJ2752),"",AJ2702:AJ2752))</f>
        <v>-1.205591878</v>
      </c>
      <c r="AK2701" s="372">
        <f t="array" ref="AK2701">SUM(IF(ISERROR(AK2702:AK2752),"",AK2702:AK2752))</f>
        <v>-1.242008777</v>
      </c>
      <c r="AL2701" s="372">
        <f t="array" ref="AL2701">SUM(IF(ISERROR(AL2702:AL2752),"",AL2702:AL2752))</f>
        <v>-1.280268981</v>
      </c>
      <c r="AM2701" s="372">
        <f t="array" ref="AM2701">SUM(IF(ISERROR(AM2702:AM2752),"",AM2702:AM2752))</f>
        <v>-1.315325288</v>
      </c>
      <c r="AN2701" s="372">
        <f t="array" ref="AN2701">SUM(IF(ISERROR(AN2702:AN2752),"",AN2702:AN2752))</f>
        <v>-1.351267256</v>
      </c>
      <c r="AO2701" s="372">
        <f t="array" ref="AO2701">SUM(IF(ISERROR(AO2702:AO2752),"",AO2702:AO2752))</f>
        <v>-1.388116211</v>
      </c>
      <c r="AP2701" s="372">
        <f t="array" ref="AP2701">SUM(IF(ISERROR(AP2702:AP2752),"",AP2702:AP2752))</f>
        <v>-1.425893977</v>
      </c>
      <c r="AQ2701" s="372">
        <f t="array" ref="AQ2701">SUM(IF(ISERROR(AQ2702:AQ2752),"",AQ2702:AQ2752))</f>
        <v>-1.464622887</v>
      </c>
      <c r="AR2701" s="372">
        <f t="array" ref="AR2701">SUM(IF(ISERROR(AR2702:AR2752),"",AR2702:AR2752))</f>
        <v>-1.504325794</v>
      </c>
      <c r="AS2701" s="372">
        <f t="array" ref="AS2701">SUM(IF(ISERROR(AS2702:AS2752),"",AS2702:AS2752))</f>
        <v>-1.545026084</v>
      </c>
      <c r="AT2701" s="372">
        <f t="array" ref="AT2701">SUM(IF(ISERROR(AT2702:AT2752),"",AT2702:AT2752))</f>
        <v>-1.586700618</v>
      </c>
      <c r="AU2701" s="372">
        <f t="array" ref="AU2701">SUM(IF(ISERROR(AU2702:AU2752),"",AU2702:AU2752))</f>
        <v>-1.633173566</v>
      </c>
      <c r="AV2701" s="372">
        <f t="array" ref="AV2701">SUM(IF(ISERROR(AV2702:AV2752),"",AV2702:AV2752))</f>
        <v>-1.67718561</v>
      </c>
      <c r="AW2701" s="372">
        <f t="array" ref="AW2701">SUM(IF(ISERROR(AW2702:AW2752),"",AW2702:AW2752))</f>
        <v>-1.722302409</v>
      </c>
      <c r="AX2701" s="372">
        <f t="array" ref="AX2701">SUM(IF(ISERROR(AX2702:AX2752),"",AX2702:AX2752))</f>
        <v>-1.76778709</v>
      </c>
      <c r="AY2701" s="372">
        <f t="array" ref="AY2701">SUM(IF(ISERROR(AY2702:AY2752),"",AY2702:AY2752))</f>
        <v>-1.81515765</v>
      </c>
      <c r="AZ2701" s="372">
        <f t="array" ref="AZ2701">SUM(IF(ISERROR(AZ2702:AZ2752),"",AZ2702:AZ2752))</f>
        <v>-1.866768631</v>
      </c>
      <c r="BA2701" s="372">
        <f t="array" ref="BA2701">SUM(IF(ISERROR(BA2702:BA2752),"",BA2702:BA2752))</f>
        <v>-1.919094128</v>
      </c>
      <c r="BB2701" s="372">
        <f t="array" ref="BB2701">SUM(IF(ISERROR(BB2702:BB2752),"",BB2702:BB2752))</f>
        <v>-1.857468754</v>
      </c>
      <c r="BC2701" s="372">
        <f t="array" ref="BC2701">SUM(IF(ISERROR(BC2702:BC2752),"",BC2702:BC2752))</f>
        <v>-1.788803465</v>
      </c>
      <c r="BD2701" s="372">
        <f t="array" ref="BD2701">SUM(IF(ISERROR(BD2702:BD2752),"",BD2702:BD2752))</f>
        <v>-1.712661012</v>
      </c>
      <c r="BE2701" s="372">
        <f t="array" ref="BE2701">SUM(IF(ISERROR(BE2702:BE2752),"",BE2702:BE2752))</f>
        <v>-1.628580917</v>
      </c>
      <c r="BF2701" s="372">
        <f t="array" ref="BF2701">SUM(IF(ISERROR(BF2702:BF2752),"",BF2702:BF2752))</f>
        <v>-1.536078318</v>
      </c>
      <c r="BG2701" s="372">
        <f t="array" ref="BG2701">SUM(IF(ISERROR(BG2702:BG2752),"",BG2702:BG2752))</f>
        <v>-1.434642743</v>
      </c>
      <c r="BH2701" s="372">
        <f t="array" ref="BH2701">SUM(IF(ISERROR(BH2702:BH2752),"",BH2702:BH2752))</f>
        <v>-1.323736844</v>
      </c>
      <c r="BI2701" s="372">
        <f t="array" ref="BI2701">SUM(IF(ISERROR(BI2702:BI2752),"",BI2702:BI2752))</f>
        <v>-1.202795051</v>
      </c>
      <c r="BJ2701" s="372">
        <f t="array" ref="BJ2701">SUM(IF(ISERROR(BJ2702:BJ2752),"",BJ2702:BJ2752))</f>
        <v>-1.063784722</v>
      </c>
      <c r="BK2701" s="372">
        <f t="array" ref="BK2701">SUM(IF(ISERROR(BK2702:BK2752),"",BK2702:BK2752))</f>
        <v>-0.9206012054</v>
      </c>
      <c r="BL2701" s="372">
        <f t="array" ref="BL2701">SUM(IF(ISERROR(BL2702:BL2752),"",BL2702:BL2752))</f>
        <v>-0.7654846296</v>
      </c>
      <c r="BM2701" s="372">
        <f t="array" ref="BM2701">SUM(IF(ISERROR(BM2702:BM2752),"",BM2702:BM2752))</f>
        <v>-0.5977410325</v>
      </c>
      <c r="BN2701" s="372">
        <f t="array" ref="BN2701">SUM(IF(ISERROR(BN2702:BN2752),"",BN2702:BN2752))</f>
        <v>-0.4166404681</v>
      </c>
      <c r="BO2701" s="372">
        <f t="array" ref="BO2701">SUM(IF(ISERROR(BO2702:BO2752),"",BO2702:BO2752))</f>
        <v>-0.2152859846</v>
      </c>
      <c r="BP2701" s="372"/>
      <c r="BQ2701" s="372"/>
      <c r="BR2701" s="372"/>
      <c r="BS2701" s="372"/>
      <c r="BT2701" s="372"/>
      <c r="BU2701" s="372"/>
      <c r="BV2701" s="372"/>
      <c r="BW2701" s="372"/>
      <c r="BX2701" s="372"/>
      <c r="BY2701" s="372"/>
      <c r="BZ2701" s="32"/>
      <c r="CA2701" s="32"/>
      <c r="CB2701" s="32"/>
      <c r="CC2701" s="32"/>
      <c r="CD2701" s="32"/>
    </row>
    <row r="2702" ht="15.75" hidden="1" customHeight="1" outlineLevel="1">
      <c r="A2702" s="365"/>
      <c r="B2702" s="38"/>
      <c r="C2702" s="373">
        <f>PPMT('Assumptions (T&amp;D) old'!$B$100,Model!W$1,'Assumptions (T&amp;D) old'!$B$103,Model!$C$2699)</f>
        <v>-0.01447959435</v>
      </c>
      <c r="D2702" s="373">
        <f>PPMT('Assumptions (T&amp;D) old'!$B$100,Model!X$1,'Assumptions (T&amp;D) old'!$B$103,Model!$C$2699)</f>
        <v>-0.01516737508</v>
      </c>
      <c r="E2702" s="373">
        <f>PPMT('Assumptions (T&amp;D) old'!$B$100,Model!Y$1,'Assumptions (T&amp;D) old'!$B$103,Model!$C$2699)</f>
        <v>-0.0158878254</v>
      </c>
      <c r="F2702" s="373">
        <f>PPMT('Assumptions (T&amp;D) old'!$B$100,Model!Z$1,'Assumptions (T&amp;D) old'!$B$103,Model!$C$2699)</f>
        <v>-0.0166424971</v>
      </c>
      <c r="G2702" s="373">
        <f>PPMT('Assumptions (T&amp;D) old'!$B$100,Model!AA$1,'Assumptions (T&amp;D) old'!$B$103,Model!$C$2699)</f>
        <v>-0.01743301572</v>
      </c>
      <c r="H2702" s="373">
        <f>PPMT('Assumptions (T&amp;D) old'!$B$100,Model!AB$1,'Assumptions (T&amp;D) old'!$B$103,Model!$C$2699)</f>
        <v>-0.01826108396</v>
      </c>
      <c r="I2702" s="373">
        <f>PPMT('Assumptions (T&amp;D) old'!$B$100,Model!AC$1,'Assumptions (T&amp;D) old'!$B$103,Model!$C$2699)</f>
        <v>-0.01912848545</v>
      </c>
      <c r="J2702" s="373">
        <f>PPMT('Assumptions (T&amp;D) old'!$B$100,Model!AD$1,'Assumptions (T&amp;D) old'!$B$103,Model!$C$2699)</f>
        <v>-0.02003708851</v>
      </c>
      <c r="K2702" s="373">
        <f>PPMT('Assumptions (T&amp;D) old'!$B$100,Model!AE$1,'Assumptions (T&amp;D) old'!$B$103,Model!$C$2699)</f>
        <v>-0.02098885021</v>
      </c>
      <c r="L2702" s="373">
        <f>PPMT('Assumptions (T&amp;D) old'!$B$100,Model!AF$1,'Assumptions (T&amp;D) old'!$B$103,Model!$C$2699)</f>
        <v>-0.0219858206</v>
      </c>
      <c r="M2702" s="373">
        <f>PPMT('Assumptions (T&amp;D) old'!$B$100,Model!AG$1,'Assumptions (T&amp;D) old'!$B$103,Model!$C$2699)</f>
        <v>-0.02303014708</v>
      </c>
      <c r="N2702" s="373">
        <f>PPMT('Assumptions (T&amp;D) old'!$B$100,Model!AH$1,'Assumptions (T&amp;D) old'!$B$103,Model!$C$2699)</f>
        <v>-0.02412407906</v>
      </c>
      <c r="O2702" s="373">
        <f>PPMT('Assumptions (T&amp;D) old'!$B$100,Model!AI$1,'Assumptions (T&amp;D) old'!$B$103,Model!$C$2699)</f>
        <v>-0.02526997282</v>
      </c>
      <c r="P2702" s="373">
        <f>PPMT('Assumptions (T&amp;D) old'!$B$100,Model!AJ$1,'Assumptions (T&amp;D) old'!$B$103,Model!$C$2699)</f>
        <v>-0.02647029653</v>
      </c>
      <c r="Q2702" s="373">
        <f>PPMT('Assumptions (T&amp;D) old'!$B$100,Model!AK$1,'Assumptions (T&amp;D) old'!$B$103,Model!$C$2699)</f>
        <v>-0.02772763561</v>
      </c>
      <c r="R2702" s="374"/>
      <c r="S2702" s="374"/>
      <c r="T2702" s="374"/>
      <c r="U2702" s="374"/>
      <c r="V2702" s="374"/>
      <c r="W2702" s="374"/>
      <c r="X2702" s="374"/>
      <c r="Y2702" s="374"/>
      <c r="Z2702" s="374"/>
      <c r="AA2702" s="374"/>
      <c r="AB2702" s="374"/>
      <c r="AC2702" s="32"/>
      <c r="AD2702" s="32"/>
      <c r="AE2702" s="32"/>
      <c r="AF2702" s="32"/>
      <c r="AG2702" s="32"/>
      <c r="AH2702" s="32"/>
      <c r="AI2702" s="32"/>
      <c r="AJ2702" s="32"/>
      <c r="AK2702" s="32"/>
      <c r="AL2702" s="32"/>
      <c r="AM2702" s="32"/>
      <c r="AN2702" s="32"/>
      <c r="AO2702" s="32"/>
      <c r="AP2702" s="32"/>
      <c r="AQ2702" s="32"/>
      <c r="AR2702" s="32"/>
      <c r="AS2702" s="32"/>
      <c r="AT2702" s="32"/>
      <c r="AU2702" s="32"/>
      <c r="AV2702" s="32"/>
      <c r="AW2702" s="32"/>
      <c r="AX2702" s="32"/>
      <c r="AY2702" s="32"/>
      <c r="AZ2702" s="32"/>
      <c r="BA2702" s="32"/>
      <c r="BB2702" s="32"/>
      <c r="BC2702" s="32"/>
      <c r="BD2702" s="32"/>
      <c r="BE2702" s="32"/>
      <c r="BF2702" s="32"/>
      <c r="BG2702" s="32"/>
      <c r="BH2702" s="32"/>
      <c r="BI2702" s="32"/>
      <c r="BJ2702" s="32"/>
      <c r="BK2702" s="32"/>
      <c r="BL2702" s="32"/>
      <c r="BM2702" s="32"/>
      <c r="BN2702" s="32"/>
      <c r="BO2702" s="32"/>
      <c r="BP2702" s="32"/>
      <c r="BQ2702" s="32"/>
      <c r="BR2702" s="32"/>
      <c r="BS2702" s="32"/>
      <c r="BT2702" s="32"/>
      <c r="BU2702" s="32"/>
      <c r="BV2702" s="32"/>
      <c r="BW2702" s="32"/>
      <c r="BX2702" s="32"/>
      <c r="BY2702" s="32"/>
      <c r="BZ2702" s="32"/>
      <c r="CA2702" s="32"/>
      <c r="CB2702" s="32"/>
      <c r="CC2702" s="32"/>
      <c r="CD2702" s="32"/>
    </row>
    <row r="2703" ht="15.75" hidden="1" customHeight="1" outlineLevel="1">
      <c r="A2703" s="365"/>
      <c r="B2703" s="38"/>
      <c r="C2703" s="374"/>
      <c r="D2703" s="373">
        <f>PPMT('Assumptions (T&amp;D) old'!$B$100,Model!W$1,'Assumptions (T&amp;D) old'!$B$103,Model!$D$2699)</f>
        <v>-0.02200936917</v>
      </c>
      <c r="E2703" s="373">
        <f>PPMT('Assumptions (T&amp;D) old'!$B$100,Model!X$1,'Assumptions (T&amp;D) old'!$B$103,Model!$D$2699)</f>
        <v>-0.0230548142</v>
      </c>
      <c r="F2703" s="373">
        <f>PPMT('Assumptions (T&amp;D) old'!$B$100,Model!Y$1,'Assumptions (T&amp;D) old'!$B$103,Model!$D$2699)</f>
        <v>-0.02414991788</v>
      </c>
      <c r="G2703" s="373">
        <f>PPMT('Assumptions (T&amp;D) old'!$B$100,Model!Z$1,'Assumptions (T&amp;D) old'!$B$103,Model!$D$2699)</f>
        <v>-0.02529703898</v>
      </c>
      <c r="H2703" s="373">
        <f>PPMT('Assumptions (T&amp;D) old'!$B$100,Model!AA$1,'Assumptions (T&amp;D) old'!$B$103,Model!$D$2699)</f>
        <v>-0.02649864833</v>
      </c>
      <c r="I2703" s="373">
        <f>PPMT('Assumptions (T&amp;D) old'!$B$100,Model!AB$1,'Assumptions (T&amp;D) old'!$B$103,Model!$D$2699)</f>
        <v>-0.02775733413</v>
      </c>
      <c r="J2703" s="373">
        <f>PPMT('Assumptions (T&amp;D) old'!$B$100,Model!AC$1,'Assumptions (T&amp;D) old'!$B$103,Model!$D$2699)</f>
        <v>-0.0290758075</v>
      </c>
      <c r="K2703" s="373">
        <f>PPMT('Assumptions (T&amp;D) old'!$B$100,Model!AD$1,'Assumptions (T&amp;D) old'!$B$103,Model!$D$2699)</f>
        <v>-0.03045690835</v>
      </c>
      <c r="L2703" s="373">
        <f>PPMT('Assumptions (T&amp;D) old'!$B$100,Model!AE$1,'Assumptions (T&amp;D) old'!$B$103,Model!$D$2699)</f>
        <v>-0.0319036115</v>
      </c>
      <c r="M2703" s="373">
        <f>PPMT('Assumptions (T&amp;D) old'!$B$100,Model!AF$1,'Assumptions (T&amp;D) old'!$B$103,Model!$D$2699)</f>
        <v>-0.03341903305</v>
      </c>
      <c r="N2703" s="373">
        <f>PPMT('Assumptions (T&amp;D) old'!$B$100,Model!AG$1,'Assumptions (T&amp;D) old'!$B$103,Model!$D$2699)</f>
        <v>-0.03500643711</v>
      </c>
      <c r="O2703" s="373">
        <f>PPMT('Assumptions (T&amp;D) old'!$B$100,Model!AH$1,'Assumptions (T&amp;D) old'!$B$103,Model!$D$2699)</f>
        <v>-0.03666924288</v>
      </c>
      <c r="P2703" s="373">
        <f>PPMT('Assumptions (T&amp;D) old'!$B$100,Model!AI$1,'Assumptions (T&amp;D) old'!$B$103,Model!$D$2699)</f>
        <v>-0.03841103191</v>
      </c>
      <c r="Q2703" s="373">
        <f>PPMT('Assumptions (T&amp;D) old'!$B$100,Model!AJ$1,'Assumptions (T&amp;D) old'!$B$103,Model!$D$2699)</f>
        <v>-0.04023555593</v>
      </c>
      <c r="R2703" s="373">
        <f>PPMT('Assumptions (T&amp;D) old'!$B$100,Model!AK$1,'Assumptions (T&amp;D) old'!$B$103,Model!$D$2699)</f>
        <v>-0.04214674484</v>
      </c>
      <c r="S2703" s="374"/>
      <c r="T2703" s="374"/>
      <c r="U2703" s="374"/>
      <c r="V2703" s="374"/>
      <c r="W2703" s="374"/>
      <c r="X2703" s="374"/>
      <c r="Y2703" s="374"/>
      <c r="Z2703" s="374"/>
      <c r="AA2703" s="374"/>
      <c r="AB2703" s="374"/>
      <c r="AC2703" s="32"/>
      <c r="AD2703" s="32"/>
      <c r="AE2703" s="32"/>
      <c r="AF2703" s="32"/>
      <c r="AG2703" s="32"/>
      <c r="AH2703" s="32"/>
      <c r="AI2703" s="32"/>
      <c r="AJ2703" s="32"/>
      <c r="AK2703" s="32"/>
      <c r="AL2703" s="32"/>
      <c r="AM2703" s="32"/>
      <c r="AN2703" s="32"/>
      <c r="AO2703" s="32"/>
      <c r="AP2703" s="32"/>
      <c r="AQ2703" s="32"/>
      <c r="AR2703" s="32"/>
      <c r="AS2703" s="32"/>
      <c r="AT2703" s="32"/>
      <c r="AU2703" s="32"/>
      <c r="AV2703" s="32"/>
      <c r="AW2703" s="32"/>
      <c r="AX2703" s="32"/>
      <c r="AY2703" s="32"/>
      <c r="AZ2703" s="32"/>
      <c r="BA2703" s="32"/>
      <c r="BB2703" s="32"/>
      <c r="BC2703" s="32"/>
      <c r="BD2703" s="32"/>
      <c r="BE2703" s="32"/>
      <c r="BF2703" s="32"/>
      <c r="BG2703" s="32"/>
      <c r="BH2703" s="32"/>
      <c r="BI2703" s="32"/>
      <c r="BJ2703" s="32"/>
      <c r="BK2703" s="32"/>
      <c r="BL2703" s="32"/>
      <c r="BM2703" s="32"/>
      <c r="BN2703" s="32"/>
      <c r="BO2703" s="32"/>
      <c r="BP2703" s="32"/>
      <c r="BQ2703" s="32"/>
      <c r="BR2703" s="32"/>
      <c r="BS2703" s="32"/>
      <c r="BT2703" s="32"/>
      <c r="BU2703" s="32"/>
      <c r="BV2703" s="32"/>
      <c r="BW2703" s="32"/>
      <c r="BX2703" s="32"/>
      <c r="BY2703" s="32"/>
      <c r="BZ2703" s="32"/>
      <c r="CA2703" s="32"/>
      <c r="CB2703" s="32"/>
      <c r="CC2703" s="32"/>
      <c r="CD2703" s="32"/>
    </row>
    <row r="2704" ht="15.75" hidden="1" customHeight="1" outlineLevel="1">
      <c r="A2704" s="365"/>
      <c r="B2704" s="38"/>
      <c r="C2704" s="374"/>
      <c r="D2704" s="374"/>
      <c r="E2704" s="373">
        <f>PPMT('Assumptions (T&amp;D) old'!$B$100,Model!W$1,'Assumptions (T&amp;D) old'!$B$103,Model!$E$2699)</f>
        <v>-0.01955376067</v>
      </c>
      <c r="F2704" s="373">
        <f>PPMT('Assumptions (T&amp;D) old'!$B$100,Model!X$1,'Assumptions (T&amp;D) old'!$B$103,Model!$E$2699)</f>
        <v>-0.02048256431</v>
      </c>
      <c r="G2704" s="373">
        <f>PPMT('Assumptions (T&amp;D) old'!$B$100,Model!Y$1,'Assumptions (T&amp;D) old'!$B$103,Model!$E$2699)</f>
        <v>-0.02145548611</v>
      </c>
      <c r="H2704" s="373">
        <f>PPMT('Assumptions (T&amp;D) old'!$B$100,Model!Z$1,'Assumptions (T&amp;D) old'!$B$103,Model!$E$2699)</f>
        <v>-0.0224746217</v>
      </c>
      <c r="I2704" s="373">
        <f>PPMT('Assumptions (T&amp;D) old'!$B$100,Model!AA$1,'Assumptions (T&amp;D) old'!$B$103,Model!$E$2699)</f>
        <v>-0.02354216623</v>
      </c>
      <c r="J2704" s="373">
        <f>PPMT('Assumptions (T&amp;D) old'!$B$100,Model!AB$1,'Assumptions (T&amp;D) old'!$B$103,Model!$E$2699)</f>
        <v>-0.02466041913</v>
      </c>
      <c r="K2704" s="373">
        <f>PPMT('Assumptions (T&amp;D) old'!$B$100,Model!AC$1,'Assumptions (T&amp;D) old'!$B$103,Model!$E$2699)</f>
        <v>-0.02583178904</v>
      </c>
      <c r="L2704" s="373">
        <f>PPMT('Assumptions (T&amp;D) old'!$B$100,Model!AD$1,'Assumptions (T&amp;D) old'!$B$103,Model!$E$2699)</f>
        <v>-0.02705879902</v>
      </c>
      <c r="M2704" s="373">
        <f>PPMT('Assumptions (T&amp;D) old'!$B$100,Model!AE$1,'Assumptions (T&amp;D) old'!$B$103,Model!$E$2699)</f>
        <v>-0.02834409197</v>
      </c>
      <c r="N2704" s="373">
        <f>PPMT('Assumptions (T&amp;D) old'!$B$100,Model!AF$1,'Assumptions (T&amp;D) old'!$B$103,Model!$E$2699)</f>
        <v>-0.02969043634</v>
      </c>
      <c r="O2704" s="373">
        <f>PPMT('Assumptions (T&amp;D) old'!$B$100,Model!AG$1,'Assumptions (T&amp;D) old'!$B$103,Model!$E$2699)</f>
        <v>-0.03110073206</v>
      </c>
      <c r="P2704" s="373">
        <f>PPMT('Assumptions (T&amp;D) old'!$B$100,Model!AH$1,'Assumptions (T&amp;D) old'!$B$103,Model!$E$2699)</f>
        <v>-0.03257801684</v>
      </c>
      <c r="Q2704" s="373">
        <f>PPMT('Assumptions (T&amp;D) old'!$B$100,Model!AI$1,'Assumptions (T&amp;D) old'!$B$103,Model!$E$2699)</f>
        <v>-0.03412547264</v>
      </c>
      <c r="R2704" s="373">
        <f>PPMT('Assumptions (T&amp;D) old'!$B$100,Model!AJ$1,'Assumptions (T&amp;D) old'!$B$103,Model!$E$2699)</f>
        <v>-0.03574643259</v>
      </c>
      <c r="S2704" s="373">
        <f>PPMT('Assumptions (T&amp;D) old'!$B$100,Model!AK$1,'Assumptions (T&amp;D) old'!$B$103,Model!$E$2699)</f>
        <v>-0.03744438814</v>
      </c>
      <c r="T2704" s="374"/>
      <c r="U2704" s="374"/>
      <c r="V2704" s="374"/>
      <c r="W2704" s="374"/>
      <c r="X2704" s="374"/>
      <c r="Y2704" s="374"/>
      <c r="Z2704" s="374"/>
      <c r="AA2704" s="374"/>
      <c r="AB2704" s="374"/>
      <c r="AC2704" s="374"/>
      <c r="AD2704" s="32"/>
      <c r="AE2704" s="32"/>
      <c r="AF2704" s="32"/>
      <c r="AG2704" s="32"/>
      <c r="AH2704" s="32"/>
      <c r="AI2704" s="32"/>
      <c r="AJ2704" s="32"/>
      <c r="AK2704" s="32"/>
      <c r="AL2704" s="32"/>
      <c r="AM2704" s="32"/>
      <c r="AN2704" s="32"/>
      <c r="AO2704" s="32"/>
      <c r="AP2704" s="32"/>
      <c r="AQ2704" s="32"/>
      <c r="AR2704" s="32"/>
      <c r="AS2704" s="32"/>
      <c r="AT2704" s="32"/>
      <c r="AU2704" s="32"/>
      <c r="AV2704" s="32"/>
      <c r="AW2704" s="32"/>
      <c r="AX2704" s="32"/>
      <c r="AY2704" s="32"/>
      <c r="AZ2704" s="32"/>
      <c r="BA2704" s="32"/>
      <c r="BB2704" s="32"/>
      <c r="BC2704" s="32"/>
      <c r="BD2704" s="32"/>
      <c r="BE2704" s="32"/>
      <c r="BF2704" s="32"/>
      <c r="BG2704" s="32"/>
      <c r="BH2704" s="32"/>
      <c r="BI2704" s="32"/>
      <c r="BJ2704" s="32"/>
      <c r="BK2704" s="32"/>
      <c r="BL2704" s="32"/>
      <c r="BM2704" s="32"/>
      <c r="BN2704" s="32"/>
      <c r="BO2704" s="32"/>
      <c r="BP2704" s="32"/>
      <c r="BQ2704" s="32"/>
      <c r="BR2704" s="32"/>
      <c r="BS2704" s="32"/>
      <c r="BT2704" s="32"/>
      <c r="BU2704" s="32"/>
      <c r="BV2704" s="32"/>
      <c r="BW2704" s="32"/>
      <c r="BX2704" s="32"/>
      <c r="BY2704" s="32"/>
      <c r="BZ2704" s="32"/>
      <c r="CA2704" s="32"/>
      <c r="CB2704" s="32"/>
      <c r="CC2704" s="32"/>
      <c r="CD2704" s="32"/>
    </row>
    <row r="2705" ht="15.75" hidden="1" customHeight="1" outlineLevel="1">
      <c r="A2705" s="365"/>
      <c r="B2705" s="38"/>
      <c r="C2705" s="374"/>
      <c r="D2705" s="374"/>
      <c r="E2705" s="374"/>
      <c r="F2705" s="373">
        <f>PPMT('Assumptions (T&amp;D) old'!$B$100,Model!W$1,'Assumptions (T&amp;D) old'!$B$103,Model!$F$2699)</f>
        <v>-0.01990081645</v>
      </c>
      <c r="G2705" s="373">
        <f>PPMT('Assumptions (T&amp;D) old'!$B$100,Model!X$1,'Assumptions (T&amp;D) old'!$B$103,Model!$F$2699)</f>
        <v>-0.02084610523</v>
      </c>
      <c r="H2705" s="373">
        <f>PPMT('Assumptions (T&amp;D) old'!$B$100,Model!Y$1,'Assumptions (T&amp;D) old'!$B$103,Model!$F$2699)</f>
        <v>-0.02183629523</v>
      </c>
      <c r="I2705" s="373">
        <f>PPMT('Assumptions (T&amp;D) old'!$B$100,Model!Z$1,'Assumptions (T&amp;D) old'!$B$103,Model!$F$2699)</f>
        <v>-0.02287351926</v>
      </c>
      <c r="J2705" s="373">
        <f>PPMT('Assumptions (T&amp;D) old'!$B$100,Model!AA$1,'Assumptions (T&amp;D) old'!$B$103,Model!$F$2699)</f>
        <v>-0.02396001142</v>
      </c>
      <c r="K2705" s="373">
        <f>PPMT('Assumptions (T&amp;D) old'!$B$100,Model!AB$1,'Assumptions (T&amp;D) old'!$B$103,Model!$F$2699)</f>
        <v>-0.02509811196</v>
      </c>
      <c r="L2705" s="373">
        <f>PPMT('Assumptions (T&amp;D) old'!$B$100,Model!AC$1,'Assumptions (T&amp;D) old'!$B$103,Model!$F$2699)</f>
        <v>-0.02629027228</v>
      </c>
      <c r="M2705" s="373">
        <f>PPMT('Assumptions (T&amp;D) old'!$B$100,Model!AD$1,'Assumptions (T&amp;D) old'!$B$103,Model!$F$2699)</f>
        <v>-0.02753906021</v>
      </c>
      <c r="N2705" s="373">
        <f>PPMT('Assumptions (T&amp;D) old'!$B$100,Model!AE$1,'Assumptions (T&amp;D) old'!$B$103,Model!$F$2699)</f>
        <v>-0.02884716557</v>
      </c>
      <c r="O2705" s="373">
        <f>PPMT('Assumptions (T&amp;D) old'!$B$100,Model!AF$1,'Assumptions (T&amp;D) old'!$B$103,Model!$F$2699)</f>
        <v>-0.03021740594</v>
      </c>
      <c r="P2705" s="373">
        <f>PPMT('Assumptions (T&amp;D) old'!$B$100,Model!AG$1,'Assumptions (T&amp;D) old'!$B$103,Model!$F$2699)</f>
        <v>-0.03165273272</v>
      </c>
      <c r="Q2705" s="373">
        <f>PPMT('Assumptions (T&amp;D) old'!$B$100,Model!AH$1,'Assumptions (T&amp;D) old'!$B$103,Model!$F$2699)</f>
        <v>-0.03315623753</v>
      </c>
      <c r="R2705" s="373">
        <f>PPMT('Assumptions (T&amp;D) old'!$B$100,Model!AI$1,'Assumptions (T&amp;D) old'!$B$103,Model!$F$2699)</f>
        <v>-0.03473115881</v>
      </c>
      <c r="S2705" s="373">
        <f>PPMT('Assumptions (T&amp;D) old'!$B$100,Model!AJ$1,'Assumptions (T&amp;D) old'!$B$103,Model!$F$2699)</f>
        <v>-0.03638088885</v>
      </c>
      <c r="T2705" s="373">
        <f>PPMT('Assumptions (T&amp;D) old'!$B$100,Model!AK$1,'Assumptions (T&amp;D) old'!$B$103,Model!$F$2699)</f>
        <v>-0.03810898107</v>
      </c>
      <c r="U2705" s="374"/>
      <c r="V2705" s="374"/>
      <c r="W2705" s="374"/>
      <c r="X2705" s="374"/>
      <c r="Y2705" s="374"/>
      <c r="Z2705" s="374"/>
      <c r="AA2705" s="374"/>
      <c r="AB2705" s="374"/>
      <c r="AC2705" s="374"/>
      <c r="AD2705" s="374"/>
      <c r="AE2705" s="32"/>
      <c r="AF2705" s="32"/>
      <c r="AG2705" s="32"/>
      <c r="AH2705" s="32"/>
      <c r="AI2705" s="32"/>
      <c r="AJ2705" s="32"/>
      <c r="AK2705" s="32"/>
      <c r="AL2705" s="32"/>
      <c r="AM2705" s="32"/>
      <c r="AN2705" s="32"/>
      <c r="AO2705" s="32"/>
      <c r="AP2705" s="32"/>
      <c r="AQ2705" s="32"/>
      <c r="AR2705" s="32"/>
      <c r="AS2705" s="32"/>
      <c r="AT2705" s="32"/>
      <c r="AU2705" s="32"/>
      <c r="AV2705" s="32"/>
      <c r="AW2705" s="32"/>
      <c r="AX2705" s="32"/>
      <c r="AY2705" s="32"/>
      <c r="AZ2705" s="32"/>
      <c r="BA2705" s="32"/>
      <c r="BB2705" s="32"/>
      <c r="BC2705" s="32"/>
      <c r="BD2705" s="32"/>
      <c r="BE2705" s="32"/>
      <c r="BF2705" s="32"/>
      <c r="BG2705" s="32"/>
      <c r="BH2705" s="32"/>
      <c r="BI2705" s="32"/>
      <c r="BJ2705" s="32"/>
      <c r="BK2705" s="32"/>
      <c r="BL2705" s="32"/>
      <c r="BM2705" s="32"/>
      <c r="BN2705" s="32"/>
      <c r="BO2705" s="32"/>
      <c r="BP2705" s="32"/>
      <c r="BQ2705" s="32"/>
      <c r="BR2705" s="32"/>
      <c r="BS2705" s="32"/>
      <c r="BT2705" s="32"/>
      <c r="BU2705" s="32"/>
      <c r="BV2705" s="32"/>
      <c r="BW2705" s="32"/>
      <c r="BX2705" s="32"/>
      <c r="BY2705" s="32"/>
      <c r="BZ2705" s="32"/>
      <c r="CA2705" s="32"/>
      <c r="CB2705" s="32"/>
      <c r="CC2705" s="32"/>
      <c r="CD2705" s="32"/>
    </row>
    <row r="2706" ht="15.75" hidden="1" customHeight="1" outlineLevel="1">
      <c r="A2706" s="365"/>
      <c r="B2706" s="38"/>
      <c r="C2706" s="374"/>
      <c r="D2706" s="374"/>
      <c r="E2706" s="374"/>
      <c r="F2706" s="374"/>
      <c r="G2706" s="373">
        <f>PPMT('Assumptions (T&amp;D) old'!$B$100,Model!W$1,'Assumptions (T&amp;D) old'!$B$103,Model!$G$2699)</f>
        <v>-0.02294081344</v>
      </c>
      <c r="H2706" s="373">
        <f>PPMT('Assumptions (T&amp;D) old'!$B$100,Model!X$1,'Assumptions (T&amp;D) old'!$B$103,Model!$G$2699)</f>
        <v>-0.02403050208</v>
      </c>
      <c r="I2706" s="373">
        <f>PPMT('Assumptions (T&amp;D) old'!$B$100,Model!Y$1,'Assumptions (T&amp;D) old'!$B$103,Model!$G$2699)</f>
        <v>-0.02517195093</v>
      </c>
      <c r="J2706" s="373">
        <f>PPMT('Assumptions (T&amp;D) old'!$B$100,Model!Z$1,'Assumptions (T&amp;D) old'!$B$103,Model!$G$2699)</f>
        <v>-0.0263676186</v>
      </c>
      <c r="K2706" s="373">
        <f>PPMT('Assumptions (T&amp;D) old'!$B$100,Model!AA$1,'Assumptions (T&amp;D) old'!$B$103,Model!$G$2699)</f>
        <v>-0.02762008048</v>
      </c>
      <c r="L2706" s="373">
        <f>PPMT('Assumptions (T&amp;D) old'!$B$100,Model!AB$1,'Assumptions (T&amp;D) old'!$B$103,Model!$G$2699)</f>
        <v>-0.0289320343</v>
      </c>
      <c r="M2706" s="373">
        <f>PPMT('Assumptions (T&amp;D) old'!$B$100,Model!AC$1,'Assumptions (T&amp;D) old'!$B$103,Model!$G$2699)</f>
        <v>-0.03030630593</v>
      </c>
      <c r="N2706" s="373">
        <f>PPMT('Assumptions (T&amp;D) old'!$B$100,Model!AD$1,'Assumptions (T&amp;D) old'!$B$103,Model!$G$2699)</f>
        <v>-0.03174585546</v>
      </c>
      <c r="O2706" s="373">
        <f>PPMT('Assumptions (T&amp;D) old'!$B$100,Model!AE$1,'Assumptions (T&amp;D) old'!$B$103,Model!$G$2699)</f>
        <v>-0.0332537836</v>
      </c>
      <c r="P2706" s="373">
        <f>PPMT('Assumptions (T&amp;D) old'!$B$100,Model!AF$1,'Assumptions (T&amp;D) old'!$B$103,Model!$G$2699)</f>
        <v>-0.03483333832</v>
      </c>
      <c r="Q2706" s="373">
        <f>PPMT('Assumptions (T&amp;D) old'!$B$100,Model!AG$1,'Assumptions (T&amp;D) old'!$B$103,Model!$G$2699)</f>
        <v>-0.03648792189</v>
      </c>
      <c r="R2706" s="373">
        <f>PPMT('Assumptions (T&amp;D) old'!$B$100,Model!AH$1,'Assumptions (T&amp;D) old'!$B$103,Model!$G$2699)</f>
        <v>-0.03822109818</v>
      </c>
      <c r="S2706" s="373">
        <f>PPMT('Assumptions (T&amp;D) old'!$B$100,Model!AI$1,'Assumptions (T&amp;D) old'!$B$103,Model!$G$2699)</f>
        <v>-0.04003660034</v>
      </c>
      <c r="T2706" s="373">
        <f>PPMT('Assumptions (T&amp;D) old'!$B$100,Model!AJ$1,'Assumptions (T&amp;D) old'!$B$103,Model!$G$2699)</f>
        <v>-0.04193833886</v>
      </c>
      <c r="U2706" s="373">
        <f>PPMT('Assumptions (T&amp;D) old'!$B$100,Model!AK$1,'Assumptions (T&amp;D) old'!$B$103,Model!$G$2699)</f>
        <v>-0.04393040995</v>
      </c>
      <c r="V2706" s="374"/>
      <c r="W2706" s="374"/>
      <c r="X2706" s="374"/>
      <c r="Y2706" s="374"/>
      <c r="Z2706" s="374"/>
      <c r="AA2706" s="374"/>
      <c r="AB2706" s="374"/>
      <c r="AC2706" s="374"/>
      <c r="AD2706" s="374"/>
      <c r="AE2706" s="374"/>
      <c r="AF2706" s="32"/>
      <c r="AG2706" s="32"/>
      <c r="AH2706" s="32"/>
      <c r="AI2706" s="32"/>
      <c r="AJ2706" s="32"/>
      <c r="AK2706" s="32"/>
      <c r="AL2706" s="32"/>
      <c r="AM2706" s="32"/>
      <c r="AN2706" s="32"/>
      <c r="AO2706" s="32"/>
      <c r="AP2706" s="32"/>
      <c r="AQ2706" s="32"/>
      <c r="AR2706" s="32"/>
      <c r="AS2706" s="32"/>
      <c r="AT2706" s="32"/>
      <c r="AU2706" s="32"/>
      <c r="AV2706" s="32"/>
      <c r="AW2706" s="32"/>
      <c r="AX2706" s="32"/>
      <c r="AY2706" s="32"/>
      <c r="AZ2706" s="32"/>
      <c r="BA2706" s="32"/>
      <c r="BB2706" s="32"/>
      <c r="BC2706" s="32"/>
      <c r="BD2706" s="32"/>
      <c r="BE2706" s="32"/>
      <c r="BF2706" s="32"/>
      <c r="BG2706" s="32"/>
      <c r="BH2706" s="32"/>
      <c r="BI2706" s="32"/>
      <c r="BJ2706" s="32"/>
      <c r="BK2706" s="32"/>
      <c r="BL2706" s="32"/>
      <c r="BM2706" s="32"/>
      <c r="BN2706" s="32"/>
      <c r="BO2706" s="32"/>
      <c r="BP2706" s="32"/>
      <c r="BQ2706" s="32"/>
      <c r="BR2706" s="32"/>
      <c r="BS2706" s="32"/>
      <c r="BT2706" s="32"/>
      <c r="BU2706" s="32"/>
      <c r="BV2706" s="32"/>
      <c r="BW2706" s="32"/>
      <c r="BX2706" s="32"/>
      <c r="BY2706" s="32"/>
      <c r="BZ2706" s="32"/>
      <c r="CA2706" s="32"/>
      <c r="CB2706" s="32"/>
      <c r="CC2706" s="32"/>
      <c r="CD2706" s="32"/>
    </row>
    <row r="2707" ht="15.75" hidden="1" customHeight="1" outlineLevel="1">
      <c r="A2707" s="365"/>
      <c r="B2707" s="38"/>
      <c r="C2707" s="374"/>
      <c r="D2707" s="374"/>
      <c r="E2707" s="374"/>
      <c r="F2707" s="374"/>
      <c r="G2707" s="374"/>
      <c r="H2707" s="373">
        <f>PPMT('Assumptions (T&amp;D) old'!$B$100,Model!W$1,'Assumptions (T&amp;D) old'!$B$103,Model!$H$2699)</f>
        <v>-0.01833393995</v>
      </c>
      <c r="I2707" s="373">
        <f>PPMT('Assumptions (T&amp;D) old'!$B$100,Model!X$1,'Assumptions (T&amp;D) old'!$B$103,Model!$H$2699)</f>
        <v>-0.01920480209</v>
      </c>
      <c r="J2707" s="373">
        <f>PPMT('Assumptions (T&amp;D) old'!$B$100,Model!Y$1,'Assumptions (T&amp;D) old'!$B$103,Model!$H$2699)</f>
        <v>-0.02011703019</v>
      </c>
      <c r="K2707" s="373">
        <f>PPMT('Assumptions (T&amp;D) old'!$B$100,Model!Z$1,'Assumptions (T&amp;D) old'!$B$103,Model!$H$2699)</f>
        <v>-0.02107258913</v>
      </c>
      <c r="L2707" s="373">
        <f>PPMT('Assumptions (T&amp;D) old'!$B$100,Model!AA$1,'Assumptions (T&amp;D) old'!$B$103,Model!$H$2699)</f>
        <v>-0.02207353711</v>
      </c>
      <c r="M2707" s="373">
        <f>PPMT('Assumptions (T&amp;D) old'!$B$100,Model!AB$1,'Assumptions (T&amp;D) old'!$B$103,Model!$H$2699)</f>
        <v>-0.02312203012</v>
      </c>
      <c r="N2707" s="373">
        <f>PPMT('Assumptions (T&amp;D) old'!$B$100,Model!AC$1,'Assumptions (T&amp;D) old'!$B$103,Model!$H$2699)</f>
        <v>-0.02422032655</v>
      </c>
      <c r="O2707" s="373">
        <f>PPMT('Assumptions (T&amp;D) old'!$B$100,Model!AD$1,'Assumptions (T&amp;D) old'!$B$103,Model!$H$2699)</f>
        <v>-0.02537079207</v>
      </c>
      <c r="P2707" s="373">
        <f>PPMT('Assumptions (T&amp;D) old'!$B$100,Model!AE$1,'Assumptions (T&amp;D) old'!$B$103,Model!$H$2699)</f>
        <v>-0.02657590469</v>
      </c>
      <c r="Q2707" s="373">
        <f>PPMT('Assumptions (T&amp;D) old'!$B$100,Model!AF$1,'Assumptions (T&amp;D) old'!$B$103,Model!$H$2699)</f>
        <v>-0.02783826016</v>
      </c>
      <c r="R2707" s="373">
        <f>PPMT('Assumptions (T&amp;D) old'!$B$100,Model!AG$1,'Assumptions (T&amp;D) old'!$B$103,Model!$H$2699)</f>
        <v>-0.02916057752</v>
      </c>
      <c r="S2707" s="373">
        <f>PPMT('Assumptions (T&amp;D) old'!$B$100,Model!AH$1,'Assumptions (T&amp;D) old'!$B$103,Model!$H$2699)</f>
        <v>-0.03054570495</v>
      </c>
      <c r="T2707" s="373">
        <f>PPMT('Assumptions (T&amp;D) old'!$B$100,Model!AI$1,'Assumptions (T&amp;D) old'!$B$103,Model!$H$2699)</f>
        <v>-0.03199662594</v>
      </c>
      <c r="U2707" s="373">
        <f>PPMT('Assumptions (T&amp;D) old'!$B$100,Model!AJ$1,'Assumptions (T&amp;D) old'!$B$103,Model!$H$2699)</f>
        <v>-0.03351646567</v>
      </c>
      <c r="V2707" s="373">
        <f>PPMT('Assumptions (T&amp;D) old'!$B$100,Model!AK$1,'Assumptions (T&amp;D) old'!$B$103,Model!$H$2699)</f>
        <v>-0.03510849779</v>
      </c>
      <c r="W2707" s="374"/>
      <c r="X2707" s="374"/>
      <c r="Y2707" s="374"/>
      <c r="Z2707" s="374"/>
      <c r="AA2707" s="374"/>
      <c r="AB2707" s="374"/>
      <c r="AC2707" s="374"/>
      <c r="AD2707" s="374"/>
      <c r="AE2707" s="374"/>
      <c r="AF2707" s="37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2"/>
      <c r="BA2707" s="32"/>
      <c r="BB2707" s="32"/>
      <c r="BC2707" s="32"/>
      <c r="BD2707" s="32"/>
      <c r="BE2707" s="32"/>
      <c r="BF2707" s="32"/>
      <c r="BG2707" s="32"/>
      <c r="BH2707" s="32"/>
      <c r="BI2707" s="32"/>
      <c r="BJ2707" s="32"/>
      <c r="BK2707" s="32"/>
      <c r="BL2707" s="32"/>
      <c r="BM2707" s="32"/>
      <c r="BN2707" s="32"/>
      <c r="BO2707" s="32"/>
      <c r="BP2707" s="32"/>
      <c r="BQ2707" s="32"/>
      <c r="BR2707" s="32"/>
      <c r="BS2707" s="32"/>
      <c r="BT2707" s="32"/>
      <c r="BU2707" s="32"/>
      <c r="BV2707" s="32"/>
      <c r="BW2707" s="32"/>
      <c r="BX2707" s="32"/>
      <c r="BY2707" s="32"/>
      <c r="BZ2707" s="32"/>
      <c r="CA2707" s="32"/>
      <c r="CB2707" s="32"/>
      <c r="CC2707" s="32"/>
      <c r="CD2707" s="32"/>
    </row>
    <row r="2708" ht="15.75" hidden="1" customHeight="1" outlineLevel="1">
      <c r="A2708" s="365"/>
      <c r="B2708" s="38"/>
      <c r="C2708" s="374"/>
      <c r="D2708" s="374"/>
      <c r="E2708" s="374"/>
      <c r="F2708" s="374"/>
      <c r="G2708" s="374"/>
      <c r="H2708" s="374"/>
      <c r="I2708" s="373">
        <f>PPMT('Assumptions (T&amp;D) old'!$B$100,Model!W$1,'Assumptions (T&amp;D) old'!$B$103,Model!$I$2699)</f>
        <v>-0.02601385705</v>
      </c>
      <c r="J2708" s="373">
        <f>PPMT('Assumptions (T&amp;D) old'!$B$100,Model!X$1,'Assumptions (T&amp;D) old'!$B$103,Model!$I$2699)</f>
        <v>-0.02724951526</v>
      </c>
      <c r="K2708" s="373">
        <f>PPMT('Assumptions (T&amp;D) old'!$B$100,Model!Y$1,'Assumptions (T&amp;D) old'!$B$103,Model!$I$2699)</f>
        <v>-0.02854386724</v>
      </c>
      <c r="L2708" s="373">
        <f>PPMT('Assumptions (T&amp;D) old'!$B$100,Model!Z$1,'Assumptions (T&amp;D) old'!$B$103,Model!$I$2699)</f>
        <v>-0.02989970093</v>
      </c>
      <c r="M2708" s="373">
        <f>PPMT('Assumptions (T&amp;D) old'!$B$100,Model!AA$1,'Assumptions (T&amp;D) old'!$B$103,Model!$I$2699)</f>
        <v>-0.03131993673</v>
      </c>
      <c r="N2708" s="373">
        <f>PPMT('Assumptions (T&amp;D) old'!$B$100,Model!AB$1,'Assumptions (T&amp;D) old'!$B$103,Model!$I$2699)</f>
        <v>-0.03280763372</v>
      </c>
      <c r="O2708" s="373">
        <f>PPMT('Assumptions (T&amp;D) old'!$B$100,Model!AC$1,'Assumptions (T&amp;D) old'!$B$103,Model!$I$2699)</f>
        <v>-0.03436599632</v>
      </c>
      <c r="P2708" s="373">
        <f>PPMT('Assumptions (T&amp;D) old'!$B$100,Model!AD$1,'Assumptions (T&amp;D) old'!$B$103,Model!$I$2699)</f>
        <v>-0.03599838115</v>
      </c>
      <c r="Q2708" s="373">
        <f>PPMT('Assumptions (T&amp;D) old'!$B$100,Model!AE$1,'Assumptions (T&amp;D) old'!$B$103,Model!$I$2699)</f>
        <v>-0.03770830425</v>
      </c>
      <c r="R2708" s="373">
        <f>PPMT('Assumptions (T&amp;D) old'!$B$100,Model!AF$1,'Assumptions (T&amp;D) old'!$B$103,Model!$I$2699)</f>
        <v>-0.03949944871</v>
      </c>
      <c r="S2708" s="373">
        <f>PPMT('Assumptions (T&amp;D) old'!$B$100,Model!AG$1,'Assumptions (T&amp;D) old'!$B$103,Model!$I$2699)</f>
        <v>-0.04137567252</v>
      </c>
      <c r="T2708" s="373">
        <f>PPMT('Assumptions (T&amp;D) old'!$B$100,Model!AH$1,'Assumptions (T&amp;D) old'!$B$103,Model!$I$2699)</f>
        <v>-0.04334101696</v>
      </c>
      <c r="U2708" s="373">
        <f>PPMT('Assumptions (T&amp;D) old'!$B$100,Model!AI$1,'Assumptions (T&amp;D) old'!$B$103,Model!$I$2699)</f>
        <v>-0.04539971527</v>
      </c>
      <c r="V2708" s="373">
        <f>PPMT('Assumptions (T&amp;D) old'!$B$100,Model!AJ$1,'Assumptions (T&amp;D) old'!$B$103,Model!$I$2699)</f>
        <v>-0.04755620175</v>
      </c>
      <c r="W2708" s="373">
        <f>PPMT('Assumptions (T&amp;D) old'!$B$100,Model!AK$1,'Assumptions (T&amp;D) old'!$B$103,Model!$I$2699)</f>
        <v>-0.04981512133</v>
      </c>
      <c r="X2708" s="374"/>
      <c r="Y2708" s="374"/>
      <c r="Z2708" s="374"/>
      <c r="AA2708" s="374"/>
      <c r="AB2708" s="374"/>
      <c r="AC2708" s="374"/>
      <c r="AD2708" s="374"/>
      <c r="AE2708" s="374"/>
      <c r="AF2708" s="374"/>
      <c r="AG2708" s="374"/>
      <c r="AH2708" s="32"/>
      <c r="AI2708" s="32"/>
      <c r="AJ2708" s="32"/>
      <c r="AK2708" s="32"/>
      <c r="AL2708" s="32"/>
      <c r="AM2708" s="32"/>
      <c r="AN2708" s="32"/>
      <c r="AO2708" s="32"/>
      <c r="AP2708" s="32"/>
      <c r="AQ2708" s="32"/>
      <c r="AR2708" s="32"/>
      <c r="AS2708" s="32"/>
      <c r="AT2708" s="32"/>
      <c r="AU2708" s="32"/>
      <c r="AV2708" s="32"/>
      <c r="AW2708" s="32"/>
      <c r="AX2708" s="32"/>
      <c r="AY2708" s="32"/>
      <c r="AZ2708" s="32"/>
      <c r="BA2708" s="32"/>
      <c r="BB2708" s="32"/>
      <c r="BC2708" s="32"/>
      <c r="BD2708" s="32"/>
      <c r="BE2708" s="32"/>
      <c r="BF2708" s="32"/>
      <c r="BG2708" s="32"/>
      <c r="BH2708" s="32"/>
      <c r="BI2708" s="32"/>
      <c r="BJ2708" s="32"/>
      <c r="BK2708" s="32"/>
      <c r="BL2708" s="32"/>
      <c r="BM2708" s="32"/>
      <c r="BN2708" s="32"/>
      <c r="BO2708" s="32"/>
      <c r="BP2708" s="32"/>
      <c r="BQ2708" s="32"/>
      <c r="BR2708" s="32"/>
      <c r="BS2708" s="32"/>
      <c r="BT2708" s="32"/>
      <c r="BU2708" s="32"/>
      <c r="BV2708" s="32"/>
      <c r="BW2708" s="32"/>
      <c r="BX2708" s="32"/>
      <c r="BY2708" s="32"/>
      <c r="BZ2708" s="32"/>
      <c r="CA2708" s="32"/>
      <c r="CB2708" s="32"/>
      <c r="CC2708" s="32"/>
      <c r="CD2708" s="32"/>
    </row>
    <row r="2709" ht="15.75" hidden="1" customHeight="1" outlineLevel="1">
      <c r="A2709" s="365"/>
      <c r="B2709" s="38"/>
      <c r="C2709" s="374"/>
      <c r="D2709" s="374"/>
      <c r="E2709" s="374"/>
      <c r="F2709" s="374"/>
      <c r="G2709" s="374"/>
      <c r="H2709" s="374"/>
      <c r="I2709" s="374"/>
      <c r="J2709" s="373">
        <f>PPMT('Assumptions (T&amp;D) old'!$B$100,Model!W$1,'Assumptions (T&amp;D) old'!$B$103,Model!$J$2699)</f>
        <v>-0.02664883278</v>
      </c>
      <c r="K2709" s="373">
        <f>PPMT('Assumptions (T&amp;D) old'!$B$100,Model!X$1,'Assumptions (T&amp;D) old'!$B$103,Model!$J$2699)</f>
        <v>-0.02791465233</v>
      </c>
      <c r="L2709" s="373">
        <f>PPMT('Assumptions (T&amp;D) old'!$B$100,Model!Y$1,'Assumptions (T&amp;D) old'!$B$103,Model!$J$2699)</f>
        <v>-0.02924059832</v>
      </c>
      <c r="M2709" s="373">
        <f>PPMT('Assumptions (T&amp;D) old'!$B$100,Model!Z$1,'Assumptions (T&amp;D) old'!$B$103,Model!$J$2699)</f>
        <v>-0.03062952674</v>
      </c>
      <c r="N2709" s="373">
        <f>PPMT('Assumptions (T&amp;D) old'!$B$100,Model!AA$1,'Assumptions (T&amp;D) old'!$B$103,Model!$J$2699)</f>
        <v>-0.03208442926</v>
      </c>
      <c r="O2709" s="373">
        <f>PPMT('Assumptions (T&amp;D) old'!$B$100,Model!AB$1,'Assumptions (T&amp;D) old'!$B$103,Model!$J$2699)</f>
        <v>-0.03360843965</v>
      </c>
      <c r="P2709" s="373">
        <f>PPMT('Assumptions (T&amp;D) old'!$B$100,Model!AC$1,'Assumptions (T&amp;D) old'!$B$103,Model!$J$2699)</f>
        <v>-0.03520484053</v>
      </c>
      <c r="Q2709" s="373">
        <f>PPMT('Assumptions (T&amp;D) old'!$B$100,Model!AD$1,'Assumptions (T&amp;D) old'!$B$103,Model!$J$2699)</f>
        <v>-0.03687707046</v>
      </c>
      <c r="R2709" s="373">
        <f>PPMT('Assumptions (T&amp;D) old'!$B$100,Model!AE$1,'Assumptions (T&amp;D) old'!$B$103,Model!$J$2699)</f>
        <v>-0.0386287313</v>
      </c>
      <c r="S2709" s="373">
        <f>PPMT('Assumptions (T&amp;D) old'!$B$100,Model!AF$1,'Assumptions (T&amp;D) old'!$B$103,Model!$J$2699)</f>
        <v>-0.04046359604</v>
      </c>
      <c r="T2709" s="373">
        <f>PPMT('Assumptions (T&amp;D) old'!$B$100,Model!AG$1,'Assumptions (T&amp;D) old'!$B$103,Model!$J$2699)</f>
        <v>-0.04238561685</v>
      </c>
      <c r="U2709" s="373">
        <f>PPMT('Assumptions (T&amp;D) old'!$B$100,Model!AH$1,'Assumptions (T&amp;D) old'!$B$103,Model!$J$2699)</f>
        <v>-0.04439893365</v>
      </c>
      <c r="V2709" s="373">
        <f>PPMT('Assumptions (T&amp;D) old'!$B$100,Model!AI$1,'Assumptions (T&amp;D) old'!$B$103,Model!$J$2699)</f>
        <v>-0.046507883</v>
      </c>
      <c r="W2709" s="373">
        <f>PPMT('Assumptions (T&amp;D) old'!$B$100,Model!AJ$1,'Assumptions (T&amp;D) old'!$B$103,Model!$J$2699)</f>
        <v>-0.04871700744</v>
      </c>
      <c r="X2709" s="373">
        <f>PPMT('Assumptions (T&amp;D) old'!$B$100,Model!AK$1,'Assumptions (T&amp;D) old'!$B$103,Model!$J$2699)</f>
        <v>-0.0510310653</v>
      </c>
      <c r="Y2709" s="374"/>
      <c r="Z2709" s="374"/>
      <c r="AA2709" s="374"/>
      <c r="AB2709" s="374"/>
      <c r="AC2709" s="374"/>
      <c r="AD2709" s="374"/>
      <c r="AE2709" s="374"/>
      <c r="AF2709" s="374"/>
      <c r="AG2709" s="374"/>
      <c r="AH2709" s="374"/>
      <c r="AI2709" s="32"/>
      <c r="AJ2709" s="32"/>
      <c r="AK2709" s="32"/>
      <c r="AL2709" s="32"/>
      <c r="AM2709" s="32"/>
      <c r="AN2709" s="32"/>
      <c r="AO2709" s="32"/>
      <c r="AP2709" s="32"/>
      <c r="AQ2709" s="32"/>
      <c r="AR2709" s="32"/>
      <c r="AS2709" s="32"/>
      <c r="AT2709" s="32"/>
      <c r="AU2709" s="32"/>
      <c r="AV2709" s="32"/>
      <c r="AW2709" s="32"/>
      <c r="AX2709" s="32"/>
      <c r="AY2709" s="32"/>
      <c r="AZ2709" s="32"/>
      <c r="BA2709" s="32"/>
      <c r="BB2709" s="32"/>
      <c r="BC2709" s="32"/>
      <c r="BD2709" s="32"/>
      <c r="BE2709" s="32"/>
      <c r="BF2709" s="32"/>
      <c r="BG2709" s="32"/>
      <c r="BH2709" s="32"/>
      <c r="BI2709" s="32"/>
      <c r="BJ2709" s="32"/>
      <c r="BK2709" s="32"/>
      <c r="BL2709" s="32"/>
      <c r="BM2709" s="32"/>
      <c r="BN2709" s="32"/>
      <c r="BO2709" s="32"/>
      <c r="BP2709" s="32"/>
      <c r="BQ2709" s="32"/>
      <c r="BR2709" s="32"/>
      <c r="BS2709" s="32"/>
      <c r="BT2709" s="32"/>
      <c r="BU2709" s="32"/>
      <c r="BV2709" s="32"/>
      <c r="BW2709" s="32"/>
      <c r="BX2709" s="32"/>
      <c r="BY2709" s="32"/>
      <c r="BZ2709" s="32"/>
      <c r="CA2709" s="32"/>
      <c r="CB2709" s="32"/>
      <c r="CC2709" s="32"/>
      <c r="CD2709" s="32"/>
    </row>
    <row r="2710" ht="15.75" hidden="1" customHeight="1" outlineLevel="1">
      <c r="A2710" s="365"/>
      <c r="B2710" s="38"/>
      <c r="C2710" s="374"/>
      <c r="D2710" s="374"/>
      <c r="E2710" s="374"/>
      <c r="F2710" s="374"/>
      <c r="G2710" s="374"/>
      <c r="H2710" s="374"/>
      <c r="I2710" s="374"/>
      <c r="J2710" s="374"/>
      <c r="K2710" s="373">
        <f>PPMT('Assumptions (T&amp;D) old'!$B$100,Model!W$1,'Assumptions (T&amp;D) old'!$B$103,Model!$K$2699)</f>
        <v>-0.02481858298</v>
      </c>
      <c r="L2710" s="373">
        <f>PPMT('Assumptions (T&amp;D) old'!$B$100,Model!X$1,'Assumptions (T&amp;D) old'!$B$103,Model!$K$2699)</f>
        <v>-0.02599746567</v>
      </c>
      <c r="M2710" s="373">
        <f>PPMT('Assumptions (T&amp;D) old'!$B$100,Model!Y$1,'Assumptions (T&amp;D) old'!$B$103,Model!$K$2699)</f>
        <v>-0.02723234529</v>
      </c>
      <c r="N2710" s="373">
        <f>PPMT('Assumptions (T&amp;D) old'!$B$100,Model!Z$1,'Assumptions (T&amp;D) old'!$B$103,Model!$K$2699)</f>
        <v>-0.02852588169</v>
      </c>
      <c r="O2710" s="373">
        <f>PPMT('Assumptions (T&amp;D) old'!$B$100,Model!AA$1,'Assumptions (T&amp;D) old'!$B$103,Model!$K$2699)</f>
        <v>-0.02988086107</v>
      </c>
      <c r="P2710" s="373">
        <f>PPMT('Assumptions (T&amp;D) old'!$B$100,Model!AB$1,'Assumptions (T&amp;D) old'!$B$103,Model!$K$2699)</f>
        <v>-0.03130020197</v>
      </c>
      <c r="Q2710" s="373">
        <f>PPMT('Assumptions (T&amp;D) old'!$B$100,Model!AC$1,'Assumptions (T&amp;D) old'!$B$103,Model!$K$2699)</f>
        <v>-0.03278696156</v>
      </c>
      <c r="R2710" s="373">
        <f>PPMT('Assumptions (T&amp;D) old'!$B$100,Model!AD$1,'Assumptions (T&amp;D) old'!$B$103,Model!$K$2699)</f>
        <v>-0.03434434224</v>
      </c>
      <c r="S2710" s="373">
        <f>PPMT('Assumptions (T&amp;D) old'!$B$100,Model!AE$1,'Assumptions (T&amp;D) old'!$B$103,Model!$K$2699)</f>
        <v>-0.03597569849</v>
      </c>
      <c r="T2710" s="373">
        <f>PPMT('Assumptions (T&amp;D) old'!$B$100,Model!AF$1,'Assumptions (T&amp;D) old'!$B$103,Model!$K$2699)</f>
        <v>-0.03768454417</v>
      </c>
      <c r="U2710" s="373">
        <f>PPMT('Assumptions (T&amp;D) old'!$B$100,Model!AG$1,'Assumptions (T&amp;D) old'!$B$103,Model!$K$2699)</f>
        <v>-0.03947456002</v>
      </c>
      <c r="V2710" s="373">
        <f>PPMT('Assumptions (T&amp;D) old'!$B$100,Model!AH$1,'Assumptions (T&amp;D) old'!$B$103,Model!$K$2699)</f>
        <v>-0.04134960162</v>
      </c>
      <c r="W2710" s="373">
        <f>PPMT('Assumptions (T&amp;D) old'!$B$100,Model!AI$1,'Assumptions (T&amp;D) old'!$B$103,Model!$K$2699)</f>
        <v>-0.0433137077</v>
      </c>
      <c r="X2710" s="373">
        <f>PPMT('Assumptions (T&amp;D) old'!$B$100,Model!AJ$1,'Assumptions (T&amp;D) old'!$B$103,Model!$K$2699)</f>
        <v>-0.04537110881</v>
      </c>
      <c r="Y2710" s="373">
        <f>PPMT('Assumptions (T&amp;D) old'!$B$100,Model!AK$1,'Assumptions (T&amp;D) old'!$B$103,Model!$K$2699)</f>
        <v>-0.04752623648</v>
      </c>
      <c r="Z2710" s="374"/>
      <c r="AA2710" s="374"/>
      <c r="AB2710" s="374"/>
      <c r="AC2710" s="374"/>
      <c r="AD2710" s="374"/>
      <c r="AE2710" s="374"/>
      <c r="AF2710" s="374"/>
      <c r="AG2710" s="374"/>
      <c r="AH2710" s="374"/>
      <c r="AI2710" s="374"/>
      <c r="AJ2710" s="32"/>
      <c r="AK2710" s="32"/>
      <c r="AL2710" s="32"/>
      <c r="AM2710" s="32"/>
      <c r="AN2710" s="32"/>
      <c r="AO2710" s="32"/>
      <c r="AP2710" s="32"/>
      <c r="AQ2710" s="32"/>
      <c r="AR2710" s="32"/>
      <c r="AS2710" s="32"/>
      <c r="AT2710" s="32"/>
      <c r="AU2710" s="32"/>
      <c r="AV2710" s="32"/>
      <c r="AW2710" s="32"/>
      <c r="AX2710" s="32"/>
      <c r="AY2710" s="32"/>
      <c r="AZ2710" s="32"/>
      <c r="BA2710" s="32"/>
      <c r="BB2710" s="32"/>
      <c r="BC2710" s="32"/>
      <c r="BD2710" s="32"/>
      <c r="BE2710" s="32"/>
      <c r="BF2710" s="32"/>
      <c r="BG2710" s="32"/>
      <c r="BH2710" s="32"/>
      <c r="BI2710" s="32"/>
      <c r="BJ2710" s="32"/>
      <c r="BK2710" s="32"/>
      <c r="BL2710" s="32"/>
      <c r="BM2710" s="32"/>
      <c r="BN2710" s="32"/>
      <c r="BO2710" s="32"/>
      <c r="BP2710" s="32"/>
      <c r="BQ2710" s="32"/>
      <c r="BR2710" s="32"/>
      <c r="BS2710" s="32"/>
      <c r="BT2710" s="32"/>
      <c r="BU2710" s="32"/>
      <c r="BV2710" s="32"/>
      <c r="BW2710" s="32"/>
      <c r="BX2710" s="32"/>
      <c r="BY2710" s="32"/>
      <c r="BZ2710" s="32"/>
      <c r="CA2710" s="32"/>
      <c r="CB2710" s="32"/>
      <c r="CC2710" s="32"/>
      <c r="CD2710" s="32"/>
    </row>
    <row r="2711" ht="15.75" hidden="1" customHeight="1" outlineLevel="1">
      <c r="A2711" s="365"/>
      <c r="B2711" s="38"/>
      <c r="C2711" s="374"/>
      <c r="D2711" s="374"/>
      <c r="E2711" s="374"/>
      <c r="F2711" s="374"/>
      <c r="G2711" s="374"/>
      <c r="H2711" s="374"/>
      <c r="I2711" s="374"/>
      <c r="J2711" s="374"/>
      <c r="K2711" s="374"/>
      <c r="L2711" s="373">
        <f>PPMT('Assumptions (T&amp;D) old'!$B$100,Model!W$1,'Assumptions (T&amp;D) old'!$B$103,Model!$L$2699)</f>
        <v>-0.02283359742</v>
      </c>
      <c r="M2711" s="373">
        <f>PPMT('Assumptions (T&amp;D) old'!$B$100,Model!X$1,'Assumptions (T&amp;D) old'!$B$103,Model!$L$2699)</f>
        <v>-0.02391819329</v>
      </c>
      <c r="N2711" s="373">
        <f>PPMT('Assumptions (T&amp;D) old'!$B$100,Model!Y$1,'Assumptions (T&amp;D) old'!$B$103,Model!$L$2699)</f>
        <v>-0.02505430747</v>
      </c>
      <c r="O2711" s="373">
        <f>PPMT('Assumptions (T&amp;D) old'!$B$100,Model!Z$1,'Assumptions (T&amp;D) old'!$B$103,Model!$L$2699)</f>
        <v>-0.02624438708</v>
      </c>
      <c r="P2711" s="373">
        <f>PPMT('Assumptions (T&amp;D) old'!$B$100,Model!AA$1,'Assumptions (T&amp;D) old'!$B$103,Model!$L$2699)</f>
        <v>-0.02749099546</v>
      </c>
      <c r="Q2711" s="373">
        <f>PPMT('Assumptions (T&amp;D) old'!$B$100,Model!AB$1,'Assumptions (T&amp;D) old'!$B$103,Model!$L$2699)</f>
        <v>-0.02879681775</v>
      </c>
      <c r="R2711" s="373">
        <f>PPMT('Assumptions (T&amp;D) old'!$B$100,Model!AC$1,'Assumptions (T&amp;D) old'!$B$103,Model!$L$2699)</f>
        <v>-0.03016466659</v>
      </c>
      <c r="S2711" s="373">
        <f>PPMT('Assumptions (T&amp;D) old'!$B$100,Model!AD$1,'Assumptions (T&amp;D) old'!$B$103,Model!$L$2699)</f>
        <v>-0.03159748826</v>
      </c>
      <c r="T2711" s="373">
        <f>PPMT('Assumptions (T&amp;D) old'!$B$100,Model!AE$1,'Assumptions (T&amp;D) old'!$B$103,Model!$L$2699)</f>
        <v>-0.03309836895</v>
      </c>
      <c r="U2711" s="373">
        <f>PPMT('Assumptions (T&amp;D) old'!$B$100,Model!AF$1,'Assumptions (T&amp;D) old'!$B$103,Model!$L$2699)</f>
        <v>-0.03467054147</v>
      </c>
      <c r="V2711" s="373">
        <f>PPMT('Assumptions (T&amp;D) old'!$B$100,Model!AG$1,'Assumptions (T&amp;D) old'!$B$103,Model!$L$2699)</f>
        <v>-0.03631739219</v>
      </c>
      <c r="W2711" s="373">
        <f>PPMT('Assumptions (T&amp;D) old'!$B$100,Model!AH$1,'Assumptions (T&amp;D) old'!$B$103,Model!$L$2699)</f>
        <v>-0.03804246832</v>
      </c>
      <c r="X2711" s="373">
        <f>PPMT('Assumptions (T&amp;D) old'!$B$100,Model!AI$1,'Assumptions (T&amp;D) old'!$B$103,Model!$L$2699)</f>
        <v>-0.03984948557</v>
      </c>
      <c r="Y2711" s="373">
        <f>PPMT('Assumptions (T&amp;D) old'!$B$100,Model!AJ$1,'Assumptions (T&amp;D) old'!$B$103,Model!$L$2699)</f>
        <v>-0.04174233613</v>
      </c>
      <c r="Z2711" s="373">
        <f>PPMT('Assumptions (T&amp;D) old'!$B$100,Model!AK$1,'Assumptions (T&amp;D) old'!$B$103,Model!$L$2699)</f>
        <v>-0.0437250971</v>
      </c>
      <c r="AA2711" s="374"/>
      <c r="AB2711" s="374"/>
      <c r="AC2711" s="374"/>
      <c r="AD2711" s="374"/>
      <c r="AE2711" s="374"/>
      <c r="AF2711" s="374"/>
      <c r="AG2711" s="374"/>
      <c r="AH2711" s="374"/>
      <c r="AI2711" s="374"/>
      <c r="AJ2711" s="374"/>
      <c r="AK2711" s="32"/>
      <c r="AL2711" s="32"/>
      <c r="AM2711" s="32"/>
      <c r="AN2711" s="32"/>
      <c r="AO2711" s="32"/>
      <c r="AP2711" s="32"/>
      <c r="AQ2711" s="32"/>
      <c r="AR2711" s="32"/>
      <c r="AS2711" s="32"/>
      <c r="AT2711" s="32"/>
      <c r="AU2711" s="32"/>
      <c r="AV2711" s="32"/>
      <c r="AW2711" s="32"/>
      <c r="AX2711" s="32"/>
      <c r="AY2711" s="32"/>
      <c r="AZ2711" s="32"/>
      <c r="BA2711" s="32"/>
      <c r="BB2711" s="32"/>
      <c r="BC2711" s="32"/>
      <c r="BD2711" s="32"/>
      <c r="BE2711" s="32"/>
      <c r="BF2711" s="32"/>
      <c r="BG2711" s="32"/>
      <c r="BH2711" s="32"/>
      <c r="BI2711" s="32"/>
      <c r="BJ2711" s="32"/>
      <c r="BK2711" s="32"/>
      <c r="BL2711" s="32"/>
      <c r="BM2711" s="32"/>
      <c r="BN2711" s="32"/>
      <c r="BO2711" s="32"/>
      <c r="BP2711" s="32"/>
      <c r="BQ2711" s="32"/>
      <c r="BR2711" s="32"/>
      <c r="BS2711" s="32"/>
      <c r="BT2711" s="32"/>
      <c r="BU2711" s="32"/>
      <c r="BV2711" s="32"/>
      <c r="BW2711" s="32"/>
      <c r="BX2711" s="32"/>
      <c r="BY2711" s="32"/>
      <c r="BZ2711" s="32"/>
      <c r="CA2711" s="32"/>
      <c r="CB2711" s="32"/>
      <c r="CC2711" s="32"/>
      <c r="CD2711" s="32"/>
    </row>
    <row r="2712" ht="15.75" hidden="1" customHeight="1" outlineLevel="1">
      <c r="A2712" s="365"/>
      <c r="B2712" s="38"/>
      <c r="C2712" s="374"/>
      <c r="D2712" s="374"/>
      <c r="E2712" s="374"/>
      <c r="F2712" s="374"/>
      <c r="G2712" s="374"/>
      <c r="H2712" s="374"/>
      <c r="I2712" s="374"/>
      <c r="J2712" s="374"/>
      <c r="K2712" s="374"/>
      <c r="L2712" s="374"/>
      <c r="M2712" s="373">
        <f>PPMT('Assumptions (T&amp;D) old'!$B$100,Model!W$1,'Assumptions (T&amp;D) old'!$B$103,Model!$M$2699)</f>
        <v>-0.03133929645</v>
      </c>
      <c r="N2712" s="373">
        <f>PPMT('Assumptions (T&amp;D) old'!$B$100,Model!X$1,'Assumptions (T&amp;D) old'!$B$103,Model!$M$2699)</f>
        <v>-0.03282791303</v>
      </c>
      <c r="O2712" s="373">
        <f>PPMT('Assumptions (T&amp;D) old'!$B$100,Model!Y$1,'Assumptions (T&amp;D) old'!$B$103,Model!$M$2699)</f>
        <v>-0.0343872389</v>
      </c>
      <c r="P2712" s="373">
        <f>PPMT('Assumptions (T&amp;D) old'!$B$100,Model!Z$1,'Assumptions (T&amp;D) old'!$B$103,Model!$M$2699)</f>
        <v>-0.03602063274</v>
      </c>
      <c r="Q2712" s="373">
        <f>PPMT('Assumptions (T&amp;D) old'!$B$100,Model!AA$1,'Assumptions (T&amp;D) old'!$B$103,Model!$M$2699)</f>
        <v>-0.0377316128</v>
      </c>
      <c r="R2712" s="373">
        <f>PPMT('Assumptions (T&amp;D) old'!$B$100,Model!AB$1,'Assumptions (T&amp;D) old'!$B$103,Model!$M$2699)</f>
        <v>-0.03952386441</v>
      </c>
      <c r="S2712" s="373">
        <f>PPMT('Assumptions (T&amp;D) old'!$B$100,Model!AC$1,'Assumptions (T&amp;D) old'!$B$103,Model!$M$2699)</f>
        <v>-0.04140124797</v>
      </c>
      <c r="T2712" s="373">
        <f>PPMT('Assumptions (T&amp;D) old'!$B$100,Model!AD$1,'Assumptions (T&amp;D) old'!$B$103,Model!$M$2699)</f>
        <v>-0.04336780724</v>
      </c>
      <c r="U2712" s="373">
        <f>PPMT('Assumptions (T&amp;D) old'!$B$100,Model!AE$1,'Assumptions (T&amp;D) old'!$B$103,Model!$M$2699)</f>
        <v>-0.04542777809</v>
      </c>
      <c r="V2712" s="373">
        <f>PPMT('Assumptions (T&amp;D) old'!$B$100,Model!AF$1,'Assumptions (T&amp;D) old'!$B$103,Model!$M$2699)</f>
        <v>-0.04758559755</v>
      </c>
      <c r="W2712" s="373">
        <f>PPMT('Assumptions (T&amp;D) old'!$B$100,Model!AG$1,'Assumptions (T&amp;D) old'!$B$103,Model!$M$2699)</f>
        <v>-0.04984591343</v>
      </c>
      <c r="X2712" s="373">
        <f>PPMT('Assumptions (T&amp;D) old'!$B$100,Model!AH$1,'Assumptions (T&amp;D) old'!$B$103,Model!$M$2699)</f>
        <v>-0.05221359432</v>
      </c>
      <c r="Y2712" s="373">
        <f>PPMT('Assumptions (T&amp;D) old'!$B$100,Model!AI$1,'Assumptions (T&amp;D) old'!$B$103,Model!$M$2699)</f>
        <v>-0.05469374005</v>
      </c>
      <c r="Z2712" s="373">
        <f>PPMT('Assumptions (T&amp;D) old'!$B$100,Model!AJ$1,'Assumptions (T&amp;D) old'!$B$103,Model!$M$2699)</f>
        <v>-0.0572916927</v>
      </c>
      <c r="AA2712" s="373">
        <f>PPMT('Assumptions (T&amp;D) old'!$B$100,Model!AK$1,'Assumptions (T&amp;D) old'!$B$103,Model!$M$2699)</f>
        <v>-0.0600130481</v>
      </c>
      <c r="AB2712" s="374"/>
      <c r="AC2712" s="374"/>
      <c r="AD2712" s="374"/>
      <c r="AE2712" s="374"/>
      <c r="AF2712" s="374"/>
      <c r="AG2712" s="374"/>
      <c r="AH2712" s="374"/>
      <c r="AI2712" s="374"/>
      <c r="AJ2712" s="374"/>
      <c r="AK2712" s="374"/>
      <c r="AL2712" s="32"/>
      <c r="AM2712" s="32"/>
      <c r="AN2712" s="32"/>
      <c r="AO2712" s="32"/>
      <c r="AP2712" s="32"/>
      <c r="AQ2712" s="32"/>
      <c r="AR2712" s="32"/>
      <c r="AS2712" s="32"/>
      <c r="AT2712" s="32"/>
      <c r="AU2712" s="32"/>
      <c r="AV2712" s="32"/>
      <c r="AW2712" s="32"/>
      <c r="AX2712" s="32"/>
      <c r="AY2712" s="32"/>
      <c r="AZ2712" s="32"/>
      <c r="BA2712" s="32"/>
      <c r="BB2712" s="32"/>
      <c r="BC2712" s="32"/>
      <c r="BD2712" s="32"/>
      <c r="BE2712" s="32"/>
      <c r="BF2712" s="32"/>
      <c r="BG2712" s="32"/>
      <c r="BH2712" s="32"/>
      <c r="BI2712" s="32"/>
      <c r="BJ2712" s="32"/>
      <c r="BK2712" s="32"/>
      <c r="BL2712" s="32"/>
      <c r="BM2712" s="32"/>
      <c r="BN2712" s="32"/>
      <c r="BO2712" s="32"/>
      <c r="BP2712" s="32"/>
      <c r="BQ2712" s="32"/>
      <c r="BR2712" s="32"/>
      <c r="BS2712" s="32"/>
      <c r="BT2712" s="32"/>
      <c r="BU2712" s="32"/>
      <c r="BV2712" s="32"/>
      <c r="BW2712" s="32"/>
      <c r="BX2712" s="32"/>
      <c r="BY2712" s="32"/>
      <c r="BZ2712" s="32"/>
      <c r="CA2712" s="32"/>
      <c r="CB2712" s="32"/>
      <c r="CC2712" s="32"/>
      <c r="CD2712" s="32"/>
    </row>
    <row r="2713" ht="15.75" hidden="1" customHeight="1" outlineLevel="1">
      <c r="A2713" s="365"/>
      <c r="B2713" s="38"/>
      <c r="C2713" s="374"/>
      <c r="D2713" s="374"/>
      <c r="E2713" s="374"/>
      <c r="F2713" s="374"/>
      <c r="G2713" s="374"/>
      <c r="H2713" s="374"/>
      <c r="I2713" s="374"/>
      <c r="J2713" s="374"/>
      <c r="K2713" s="374"/>
      <c r="L2713" s="374"/>
      <c r="M2713" s="374"/>
      <c r="N2713" s="373">
        <f>PPMT('Assumptions (T&amp;D) old'!$B$100,Model!W$1,'Assumptions (T&amp;D) old'!$B$103,Model!$N$2699)</f>
        <v>-0.03583489635</v>
      </c>
      <c r="O2713" s="373">
        <f>PPMT('Assumptions (T&amp;D) old'!$B$100,Model!X$1,'Assumptions (T&amp;D) old'!$B$103,Model!$N$2699)</f>
        <v>-0.03753705393</v>
      </c>
      <c r="P2713" s="373">
        <f>PPMT('Assumptions (T&amp;D) old'!$B$100,Model!Y$1,'Assumptions (T&amp;D) old'!$B$103,Model!$N$2699)</f>
        <v>-0.03932006399</v>
      </c>
      <c r="Q2713" s="373">
        <f>PPMT('Assumptions (T&amp;D) old'!$B$100,Model!Z$1,'Assumptions (T&amp;D) old'!$B$103,Model!$N$2699)</f>
        <v>-0.04118776703</v>
      </c>
      <c r="R2713" s="373">
        <f>PPMT('Assumptions (T&amp;D) old'!$B$100,Model!AA$1,'Assumptions (T&amp;D) old'!$B$103,Model!$N$2699)</f>
        <v>-0.04314418596</v>
      </c>
      <c r="S2713" s="373">
        <f>PPMT('Assumptions (T&amp;D) old'!$B$100,Model!AB$1,'Assumptions (T&amp;D) old'!$B$103,Model!$N$2699)</f>
        <v>-0.04519353479</v>
      </c>
      <c r="T2713" s="373">
        <f>PPMT('Assumptions (T&amp;D) old'!$B$100,Model!AC$1,'Assumptions (T&amp;D) old'!$B$103,Model!$N$2699)</f>
        <v>-0.0473402277</v>
      </c>
      <c r="U2713" s="373">
        <f>PPMT('Assumptions (T&amp;D) old'!$B$100,Model!AD$1,'Assumptions (T&amp;D) old'!$B$103,Model!$N$2699)</f>
        <v>-0.04958888851</v>
      </c>
      <c r="V2713" s="373">
        <f>PPMT('Assumptions (T&amp;D) old'!$B$100,Model!AE$1,'Assumptions (T&amp;D) old'!$B$103,Model!$N$2699)</f>
        <v>-0.05194436072</v>
      </c>
      <c r="W2713" s="373">
        <f>PPMT('Assumptions (T&amp;D) old'!$B$100,Model!AF$1,'Assumptions (T&amp;D) old'!$B$103,Model!$N$2699)</f>
        <v>-0.05441171785</v>
      </c>
      <c r="X2713" s="373">
        <f>PPMT('Assumptions (T&amp;D) old'!$B$100,Model!AG$1,'Assumptions (T&amp;D) old'!$B$103,Model!$N$2699)</f>
        <v>-0.05699627445</v>
      </c>
      <c r="Y2713" s="373">
        <f>PPMT('Assumptions (T&amp;D) old'!$B$100,Model!AH$1,'Assumptions (T&amp;D) old'!$B$103,Model!$N$2699)</f>
        <v>-0.05970359748</v>
      </c>
      <c r="Z2713" s="373">
        <f>PPMT('Assumptions (T&amp;D) old'!$B$100,Model!AI$1,'Assumptions (T&amp;D) old'!$B$103,Model!$N$2699)</f>
        <v>-0.06253951836</v>
      </c>
      <c r="AA2713" s="373">
        <f>PPMT('Assumptions (T&amp;D) old'!$B$100,Model!AJ$1,'Assumptions (T&amp;D) old'!$B$103,Model!$N$2699)</f>
        <v>-0.06551014549</v>
      </c>
      <c r="AB2713" s="373">
        <f>PPMT('Assumptions (T&amp;D) old'!$B$100,Model!AK$1,'Assumptions (T&amp;D) old'!$B$103,Model!$N$2699)</f>
        <v>-0.0686218774</v>
      </c>
      <c r="AC2713" s="374"/>
      <c r="AD2713" s="374"/>
      <c r="AE2713" s="374"/>
      <c r="AF2713" s="374"/>
      <c r="AG2713" s="374"/>
      <c r="AH2713" s="374"/>
      <c r="AI2713" s="374"/>
      <c r="AJ2713" s="374"/>
      <c r="AK2713" s="374"/>
      <c r="AL2713" s="374"/>
      <c r="AM2713" s="32"/>
      <c r="AN2713" s="32"/>
      <c r="AO2713" s="32"/>
      <c r="AP2713" s="32"/>
      <c r="AQ2713" s="32"/>
      <c r="AR2713" s="32"/>
      <c r="AS2713" s="32"/>
      <c r="AT2713" s="32"/>
      <c r="AU2713" s="32"/>
      <c r="AV2713" s="32"/>
      <c r="AW2713" s="32"/>
      <c r="AX2713" s="32"/>
      <c r="AY2713" s="32"/>
      <c r="AZ2713" s="32"/>
      <c r="BA2713" s="32"/>
      <c r="BB2713" s="32"/>
      <c r="BC2713" s="32"/>
      <c r="BD2713" s="32"/>
      <c r="BE2713" s="32"/>
      <c r="BF2713" s="32"/>
      <c r="BG2713" s="32"/>
      <c r="BH2713" s="32"/>
      <c r="BI2713" s="32"/>
      <c r="BJ2713" s="32"/>
      <c r="BK2713" s="32"/>
      <c r="BL2713" s="32"/>
      <c r="BM2713" s="32"/>
      <c r="BN2713" s="32"/>
      <c r="BO2713" s="32"/>
      <c r="BP2713" s="32"/>
      <c r="BQ2713" s="32"/>
      <c r="BR2713" s="32"/>
      <c r="BS2713" s="32"/>
      <c r="BT2713" s="32"/>
      <c r="BU2713" s="32"/>
      <c r="BV2713" s="32"/>
      <c r="BW2713" s="32"/>
      <c r="BX2713" s="32"/>
      <c r="BY2713" s="32"/>
      <c r="BZ2713" s="32"/>
      <c r="CA2713" s="32"/>
      <c r="CB2713" s="32"/>
      <c r="CC2713" s="32"/>
      <c r="CD2713" s="32"/>
    </row>
    <row r="2714" ht="15.75" hidden="1" customHeight="1" outlineLevel="1">
      <c r="A2714" s="365"/>
      <c r="B2714" s="38"/>
      <c r="C2714" s="374"/>
      <c r="D2714" s="374"/>
      <c r="E2714" s="374"/>
      <c r="F2714" s="374"/>
      <c r="G2714" s="374"/>
      <c r="H2714" s="374"/>
      <c r="I2714" s="374"/>
      <c r="J2714" s="374"/>
      <c r="K2714" s="374"/>
      <c r="L2714" s="374"/>
      <c r="M2714" s="374"/>
      <c r="N2714" s="374"/>
      <c r="O2714" s="373">
        <f>PPMT('Assumptions (T&amp;D) old'!$B$100,Model!W$1,'Assumptions (T&amp;D) old'!$B$103,Model!$O$2699)</f>
        <v>-0.03832894265</v>
      </c>
      <c r="P2714" s="373">
        <f>PPMT('Assumptions (T&amp;D) old'!$B$100,Model!X$1,'Assumptions (T&amp;D) old'!$B$103,Model!$O$2699)</f>
        <v>-0.04014956743</v>
      </c>
      <c r="Q2714" s="373">
        <f>PPMT('Assumptions (T&amp;D) old'!$B$100,Model!Y$1,'Assumptions (T&amp;D) old'!$B$103,Model!$O$2699)</f>
        <v>-0.04205667188</v>
      </c>
      <c r="R2714" s="373">
        <f>PPMT('Assumptions (T&amp;D) old'!$B$100,Model!Z$1,'Assumptions (T&amp;D) old'!$B$103,Model!$O$2699)</f>
        <v>-0.04405436379</v>
      </c>
      <c r="S2714" s="373">
        <f>PPMT('Assumptions (T&amp;D) old'!$B$100,Model!AA$1,'Assumptions (T&amp;D) old'!$B$103,Model!$O$2699)</f>
        <v>-0.04614694607</v>
      </c>
      <c r="T2714" s="373">
        <f>PPMT('Assumptions (T&amp;D) old'!$B$100,Model!AB$1,'Assumptions (T&amp;D) old'!$B$103,Model!$O$2699)</f>
        <v>-0.04833892601</v>
      </c>
      <c r="U2714" s="373">
        <f>PPMT('Assumptions (T&amp;D) old'!$B$100,Model!AC$1,'Assumptions (T&amp;D) old'!$B$103,Model!$O$2699)</f>
        <v>-0.050635025</v>
      </c>
      <c r="V2714" s="373">
        <f>PPMT('Assumptions (T&amp;D) old'!$B$100,Model!AD$1,'Assumptions (T&amp;D) old'!$B$103,Model!$O$2699)</f>
        <v>-0.05304018869</v>
      </c>
      <c r="W2714" s="373">
        <f>PPMT('Assumptions (T&amp;D) old'!$B$100,Model!AE$1,'Assumptions (T&amp;D) old'!$B$103,Model!$O$2699)</f>
        <v>-0.05555959765</v>
      </c>
      <c r="X2714" s="373">
        <f>PPMT('Assumptions (T&amp;D) old'!$B$100,Model!AF$1,'Assumptions (T&amp;D) old'!$B$103,Model!$O$2699)</f>
        <v>-0.05819867854</v>
      </c>
      <c r="Y2714" s="373">
        <f>PPMT('Assumptions (T&amp;D) old'!$B$100,Model!AG$1,'Assumptions (T&amp;D) old'!$B$103,Model!$O$2699)</f>
        <v>-0.06096311577</v>
      </c>
      <c r="Z2714" s="373">
        <f>PPMT('Assumptions (T&amp;D) old'!$B$100,Model!AH$1,'Assumptions (T&amp;D) old'!$B$103,Model!$O$2699)</f>
        <v>-0.06385886377</v>
      </c>
      <c r="AA2714" s="373">
        <f>PPMT('Assumptions (T&amp;D) old'!$B$100,Model!AI$1,'Assumptions (T&amp;D) old'!$B$103,Model!$O$2699)</f>
        <v>-0.06689215979</v>
      </c>
      <c r="AB2714" s="373">
        <f>PPMT('Assumptions (T&amp;D) old'!$B$100,Model!AJ$1,'Assumptions (T&amp;D) old'!$B$103,Model!$O$2699)</f>
        <v>-0.07006953738</v>
      </c>
      <c r="AC2714" s="373">
        <f>PPMT('Assumptions (T&amp;D) old'!$B$100,Model!AK$1,'Assumptions (T&amp;D) old'!$B$103,Model!$O$2699)</f>
        <v>-0.07339784041</v>
      </c>
      <c r="AD2714" s="374"/>
      <c r="AE2714" s="374"/>
      <c r="AF2714" s="374"/>
      <c r="AG2714" s="374"/>
      <c r="AH2714" s="374"/>
      <c r="AI2714" s="374"/>
      <c r="AJ2714" s="374"/>
      <c r="AK2714" s="374"/>
      <c r="AL2714" s="374"/>
      <c r="AM2714" s="374"/>
      <c r="AN2714" s="32"/>
      <c r="AO2714" s="32"/>
      <c r="AP2714" s="32"/>
      <c r="AQ2714" s="32"/>
      <c r="AR2714" s="32"/>
      <c r="AS2714" s="32"/>
      <c r="AT2714" s="32"/>
      <c r="AU2714" s="32"/>
      <c r="AV2714" s="32"/>
      <c r="AW2714" s="32"/>
      <c r="AX2714" s="32"/>
      <c r="AY2714" s="32"/>
      <c r="AZ2714" s="32"/>
      <c r="BA2714" s="32"/>
      <c r="BB2714" s="32"/>
      <c r="BC2714" s="32"/>
      <c r="BD2714" s="32"/>
      <c r="BE2714" s="32"/>
      <c r="BF2714" s="32"/>
      <c r="BG2714" s="32"/>
      <c r="BH2714" s="32"/>
      <c r="BI2714" s="32"/>
      <c r="BJ2714" s="32"/>
      <c r="BK2714" s="32"/>
      <c r="BL2714" s="32"/>
      <c r="BM2714" s="32"/>
      <c r="BN2714" s="32"/>
      <c r="BO2714" s="32"/>
      <c r="BP2714" s="32"/>
      <c r="BQ2714" s="32"/>
      <c r="BR2714" s="32"/>
      <c r="BS2714" s="32"/>
      <c r="BT2714" s="32"/>
      <c r="BU2714" s="32"/>
      <c r="BV2714" s="32"/>
      <c r="BW2714" s="32"/>
      <c r="BX2714" s="32"/>
      <c r="BY2714" s="32"/>
      <c r="BZ2714" s="32"/>
      <c r="CA2714" s="32"/>
      <c r="CB2714" s="32"/>
      <c r="CC2714" s="32"/>
      <c r="CD2714" s="32"/>
    </row>
    <row r="2715" ht="15.75" hidden="1" customHeight="1" outlineLevel="1">
      <c r="A2715" s="365"/>
      <c r="B2715" s="38"/>
      <c r="C2715" s="374"/>
      <c r="D2715" s="374"/>
      <c r="E2715" s="374"/>
      <c r="F2715" s="374"/>
      <c r="G2715" s="374"/>
      <c r="H2715" s="374"/>
      <c r="I2715" s="374"/>
      <c r="J2715" s="374"/>
      <c r="K2715" s="374"/>
      <c r="L2715" s="374"/>
      <c r="M2715" s="374"/>
      <c r="N2715" s="374"/>
      <c r="O2715" s="374"/>
      <c r="P2715" s="373">
        <f>PPMT('Assumptions (T&amp;D) old'!$B$100,Model!W$1,'Assumptions (T&amp;D) old'!$B$103,Model!$P$2699)</f>
        <v>-0.04522741971</v>
      </c>
      <c r="Q2715" s="373">
        <f>PPMT('Assumptions (T&amp;D) old'!$B$100,Model!X$1,'Assumptions (T&amp;D) old'!$B$103,Model!$P$2699)</f>
        <v>-0.04737572215</v>
      </c>
      <c r="R2715" s="373">
        <f>PPMT('Assumptions (T&amp;D) old'!$B$100,Model!Y$1,'Assumptions (T&amp;D) old'!$B$103,Model!$P$2699)</f>
        <v>-0.04962606895</v>
      </c>
      <c r="S2715" s="373">
        <f>PPMT('Assumptions (T&amp;D) old'!$B$100,Model!Z$1,'Assumptions (T&amp;D) old'!$B$103,Model!$P$2699)</f>
        <v>-0.05198330723</v>
      </c>
      <c r="T2715" s="373">
        <f>PPMT('Assumptions (T&amp;D) old'!$B$100,Model!AA$1,'Assumptions (T&amp;D) old'!$B$103,Model!$P$2699)</f>
        <v>-0.05445251432</v>
      </c>
      <c r="U2715" s="373">
        <f>PPMT('Assumptions (T&amp;D) old'!$B$100,Model!AB$1,'Assumptions (T&amp;D) old'!$B$103,Model!$P$2699)</f>
        <v>-0.05703900875</v>
      </c>
      <c r="V2715" s="373">
        <f>PPMT('Assumptions (T&amp;D) old'!$B$100,Model!AC$1,'Assumptions (T&amp;D) old'!$B$103,Model!$P$2699)</f>
        <v>-0.05974836167</v>
      </c>
      <c r="W2715" s="373">
        <f>PPMT('Assumptions (T&amp;D) old'!$B$100,Model!AD$1,'Assumptions (T&amp;D) old'!$B$103,Model!$P$2699)</f>
        <v>-0.06258640885</v>
      </c>
      <c r="X2715" s="373">
        <f>PPMT('Assumptions (T&amp;D) old'!$B$100,Model!AE$1,'Assumptions (T&amp;D) old'!$B$103,Model!$P$2699)</f>
        <v>-0.06555926327</v>
      </c>
      <c r="Y2715" s="373">
        <f>PPMT('Assumptions (T&amp;D) old'!$B$100,Model!AF$1,'Assumptions (T&amp;D) old'!$B$103,Model!$P$2699)</f>
        <v>-0.06867332827</v>
      </c>
      <c r="Z2715" s="373">
        <f>PPMT('Assumptions (T&amp;D) old'!$B$100,Model!AG$1,'Assumptions (T&amp;D) old'!$B$103,Model!$P$2699)</f>
        <v>-0.07193531136</v>
      </c>
      <c r="AA2715" s="373">
        <f>PPMT('Assumptions (T&amp;D) old'!$B$100,Model!AH$1,'Assumptions (T&amp;D) old'!$B$103,Model!$P$2699)</f>
        <v>-0.07535223865</v>
      </c>
      <c r="AB2715" s="373">
        <f>PPMT('Assumptions (T&amp;D) old'!$B$100,Model!AI$1,'Assumptions (T&amp;D) old'!$B$103,Model!$P$2699)</f>
        <v>-0.07893146999</v>
      </c>
      <c r="AC2715" s="373">
        <f>PPMT('Assumptions (T&amp;D) old'!$B$100,Model!AJ$1,'Assumptions (T&amp;D) old'!$B$103,Model!$P$2699)</f>
        <v>-0.08268071482</v>
      </c>
      <c r="AD2715" s="373">
        <f>PPMT('Assumptions (T&amp;D) old'!$B$100,Model!AK$1,'Assumptions (T&amp;D) old'!$B$103,Model!$P$2699)</f>
        <v>-0.08660804877</v>
      </c>
      <c r="AE2715" s="374"/>
      <c r="AF2715" s="374"/>
      <c r="AG2715" s="374"/>
      <c r="AH2715" s="374"/>
      <c r="AI2715" s="374"/>
      <c r="AJ2715" s="374"/>
      <c r="AK2715" s="374"/>
      <c r="AL2715" s="374"/>
      <c r="AM2715" s="374"/>
      <c r="AN2715" s="374"/>
      <c r="AO2715" s="32"/>
      <c r="AP2715" s="32"/>
      <c r="AQ2715" s="32"/>
      <c r="AR2715" s="32"/>
      <c r="AS2715" s="32"/>
      <c r="AT2715" s="32"/>
      <c r="AU2715" s="32"/>
      <c r="AV2715" s="32"/>
      <c r="AW2715" s="32"/>
      <c r="AX2715" s="32"/>
      <c r="AY2715" s="32"/>
      <c r="AZ2715" s="32"/>
      <c r="BA2715" s="32"/>
      <c r="BB2715" s="32"/>
      <c r="BC2715" s="32"/>
      <c r="BD2715" s="32"/>
      <c r="BE2715" s="32"/>
      <c r="BF2715" s="32"/>
      <c r="BG2715" s="32"/>
      <c r="BH2715" s="32"/>
      <c r="BI2715" s="32"/>
      <c r="BJ2715" s="32"/>
      <c r="BK2715" s="32"/>
      <c r="BL2715" s="32"/>
      <c r="BM2715" s="32"/>
      <c r="BN2715" s="32"/>
      <c r="BO2715" s="32"/>
      <c r="BP2715" s="32"/>
      <c r="BQ2715" s="32"/>
      <c r="BR2715" s="32"/>
      <c r="BS2715" s="32"/>
      <c r="BT2715" s="32"/>
      <c r="BU2715" s="32"/>
      <c r="BV2715" s="32"/>
      <c r="BW2715" s="32"/>
      <c r="BX2715" s="32"/>
      <c r="BY2715" s="32"/>
      <c r="BZ2715" s="32"/>
      <c r="CA2715" s="32"/>
      <c r="CB2715" s="32"/>
      <c r="CC2715" s="32"/>
      <c r="CD2715" s="32"/>
    </row>
    <row r="2716" ht="15.75" hidden="1" customHeight="1" outlineLevel="1">
      <c r="A2716" s="365"/>
      <c r="B2716" s="38"/>
      <c r="C2716" s="374"/>
      <c r="D2716" s="374"/>
      <c r="E2716" s="374"/>
      <c r="F2716" s="374"/>
      <c r="G2716" s="374"/>
      <c r="H2716" s="374"/>
      <c r="I2716" s="374"/>
      <c r="J2716" s="374"/>
      <c r="K2716" s="374"/>
      <c r="L2716" s="374"/>
      <c r="M2716" s="374"/>
      <c r="N2716" s="374"/>
      <c r="O2716" s="374"/>
      <c r="P2716" s="374"/>
      <c r="Q2716" s="373">
        <f>PPMT('Assumptions (T&amp;D) old'!$B$100,Model!W$1,'Assumptions (T&amp;D) old'!$B$103,Model!$Q$2699)</f>
        <v>-0.04060210984</v>
      </c>
      <c r="R2716" s="373">
        <f>PPMT('Assumptions (T&amp;D) old'!$B$100,Model!X$1,'Assumptions (T&amp;D) old'!$B$103,Model!$Q$2699)</f>
        <v>-0.04253071005</v>
      </c>
      <c r="S2716" s="373">
        <f>PPMT('Assumptions (T&amp;D) old'!$B$100,Model!Y$1,'Assumptions (T&amp;D) old'!$B$103,Model!$Q$2699)</f>
        <v>-0.04455091878</v>
      </c>
      <c r="T2716" s="373">
        <f>PPMT('Assumptions (T&amp;D) old'!$B$100,Model!Z$1,'Assumptions (T&amp;D) old'!$B$103,Model!$Q$2699)</f>
        <v>-0.04666708742</v>
      </c>
      <c r="U2716" s="373">
        <f>PPMT('Assumptions (T&amp;D) old'!$B$100,Model!AA$1,'Assumptions (T&amp;D) old'!$B$103,Model!$Q$2699)</f>
        <v>-0.04888377407</v>
      </c>
      <c r="V2716" s="373">
        <f>PPMT('Assumptions (T&amp;D) old'!$B$100,Model!AB$1,'Assumptions (T&amp;D) old'!$B$103,Model!$Q$2699)</f>
        <v>-0.05120575334</v>
      </c>
      <c r="W2716" s="373">
        <f>PPMT('Assumptions (T&amp;D) old'!$B$100,Model!AC$1,'Assumptions (T&amp;D) old'!$B$103,Model!$Q$2699)</f>
        <v>-0.05363802663</v>
      </c>
      <c r="X2716" s="373">
        <f>PPMT('Assumptions (T&amp;D) old'!$B$100,Model!AD$1,'Assumptions (T&amp;D) old'!$B$103,Model!$Q$2699)</f>
        <v>-0.05618583289</v>
      </c>
      <c r="Y2716" s="373">
        <f>PPMT('Assumptions (T&amp;D) old'!$B$100,Model!AE$1,'Assumptions (T&amp;D) old'!$B$103,Model!$Q$2699)</f>
        <v>-0.05885465995</v>
      </c>
      <c r="Z2716" s="373">
        <f>PPMT('Assumptions (T&amp;D) old'!$B$100,Model!AF$1,'Assumptions (T&amp;D) old'!$B$103,Model!$Q$2699)</f>
        <v>-0.0616502563</v>
      </c>
      <c r="AA2716" s="373">
        <f>PPMT('Assumptions (T&amp;D) old'!$B$100,Model!AG$1,'Assumptions (T&amp;D) old'!$B$103,Model!$Q$2699)</f>
        <v>-0.06457864348</v>
      </c>
      <c r="AB2716" s="373">
        <f>PPMT('Assumptions (T&amp;D) old'!$B$100,Model!AH$1,'Assumptions (T&amp;D) old'!$B$103,Model!$Q$2699)</f>
        <v>-0.06764612904</v>
      </c>
      <c r="AC2716" s="373">
        <f>PPMT('Assumptions (T&amp;D) old'!$B$100,Model!AI$1,'Assumptions (T&amp;D) old'!$B$103,Model!$Q$2699)</f>
        <v>-0.07085932017</v>
      </c>
      <c r="AD2716" s="373">
        <f>PPMT('Assumptions (T&amp;D) old'!$B$100,Model!AJ$1,'Assumptions (T&amp;D) old'!$B$103,Model!$Q$2699)</f>
        <v>-0.07422513788</v>
      </c>
      <c r="AE2716" s="373">
        <f>PPMT('Assumptions (T&amp;D) old'!$B$100,Model!AK$1,'Assumptions (T&amp;D) old'!$B$103,Model!$Q$2699)</f>
        <v>-0.07775083193</v>
      </c>
      <c r="AF2716" s="374"/>
      <c r="AG2716" s="374"/>
      <c r="AH2716" s="374"/>
      <c r="AI2716" s="374"/>
      <c r="AJ2716" s="374"/>
      <c r="AK2716" s="374"/>
      <c r="AL2716" s="374"/>
      <c r="AM2716" s="374"/>
      <c r="AN2716" s="374"/>
      <c r="AO2716" s="374"/>
      <c r="AP2716" s="32"/>
      <c r="AQ2716" s="32"/>
      <c r="AR2716" s="32"/>
      <c r="AS2716" s="32"/>
      <c r="AT2716" s="32"/>
      <c r="AU2716" s="32"/>
      <c r="AV2716" s="32"/>
      <c r="AW2716" s="32"/>
      <c r="AX2716" s="32"/>
      <c r="AY2716" s="32"/>
      <c r="AZ2716" s="32"/>
      <c r="BA2716" s="32"/>
      <c r="BB2716" s="32"/>
      <c r="BC2716" s="32"/>
      <c r="BD2716" s="32"/>
      <c r="BE2716" s="32"/>
      <c r="BF2716" s="32"/>
      <c r="BG2716" s="32"/>
      <c r="BH2716" s="32"/>
      <c r="BI2716" s="32"/>
      <c r="BJ2716" s="32"/>
      <c r="BK2716" s="32"/>
      <c r="BL2716" s="32"/>
      <c r="BM2716" s="32"/>
      <c r="BN2716" s="32"/>
      <c r="BO2716" s="32"/>
      <c r="BP2716" s="32"/>
      <c r="BQ2716" s="32"/>
      <c r="BR2716" s="32"/>
      <c r="BS2716" s="32"/>
      <c r="BT2716" s="32"/>
      <c r="BU2716" s="32"/>
      <c r="BV2716" s="32"/>
      <c r="BW2716" s="32"/>
      <c r="BX2716" s="32"/>
      <c r="BY2716" s="32"/>
      <c r="BZ2716" s="32"/>
      <c r="CA2716" s="32"/>
      <c r="CB2716" s="32"/>
      <c r="CC2716" s="32"/>
      <c r="CD2716" s="32"/>
    </row>
    <row r="2717" ht="15.75" hidden="1" customHeight="1" outlineLevel="1">
      <c r="A2717" s="365"/>
      <c r="B2717" s="38"/>
      <c r="C2717" s="374"/>
      <c r="D2717" s="374"/>
      <c r="E2717" s="374"/>
      <c r="F2717" s="374"/>
      <c r="G2717" s="374"/>
      <c r="H2717" s="374"/>
      <c r="I2717" s="374"/>
      <c r="J2717" s="374"/>
      <c r="K2717" s="374"/>
      <c r="L2717" s="374"/>
      <c r="M2717" s="374"/>
      <c r="N2717" s="374"/>
      <c r="O2717" s="374"/>
      <c r="P2717" s="374"/>
      <c r="Q2717" s="374"/>
      <c r="R2717" s="373">
        <f>PPMT('Assumptions (T&amp;D) old'!$B$100,Model!W$1,'Assumptions (T&amp;D) old'!$B$103,Model!$R$2699)</f>
        <v>-0.04052976</v>
      </c>
      <c r="S2717" s="373">
        <f>PPMT('Assumptions (T&amp;D) old'!$B$100,Model!X$1,'Assumptions (T&amp;D) old'!$B$103,Model!$R$2699)</f>
        <v>-0.0424549236</v>
      </c>
      <c r="T2717" s="373">
        <f>PPMT('Assumptions (T&amp;D) old'!$B$100,Model!Y$1,'Assumptions (T&amp;D) old'!$B$103,Model!$R$2699)</f>
        <v>-0.04447153247</v>
      </c>
      <c r="U2717" s="373">
        <f>PPMT('Assumptions (T&amp;D) old'!$B$100,Model!Z$1,'Assumptions (T&amp;D) old'!$B$103,Model!$R$2699)</f>
        <v>-0.04658393026</v>
      </c>
      <c r="V2717" s="373">
        <f>PPMT('Assumptions (T&amp;D) old'!$B$100,Model!AA$1,'Assumptions (T&amp;D) old'!$B$103,Model!$R$2699)</f>
        <v>-0.04879666695</v>
      </c>
      <c r="W2717" s="373">
        <f>PPMT('Assumptions (T&amp;D) old'!$B$100,Model!AB$1,'Assumptions (T&amp;D) old'!$B$103,Model!$R$2699)</f>
        <v>-0.05111450863</v>
      </c>
      <c r="X2717" s="373">
        <f>PPMT('Assumptions (T&amp;D) old'!$B$100,Model!AC$1,'Assumptions (T&amp;D) old'!$B$103,Model!$R$2699)</f>
        <v>-0.05354244779</v>
      </c>
      <c r="Y2717" s="373">
        <f>PPMT('Assumptions (T&amp;D) old'!$B$100,Model!AD$1,'Assumptions (T&amp;D) old'!$B$103,Model!$R$2699)</f>
        <v>-0.05608571406</v>
      </c>
      <c r="Z2717" s="373">
        <f>PPMT('Assumptions (T&amp;D) old'!$B$100,Model!AE$1,'Assumptions (T&amp;D) old'!$B$103,Model!$R$2699)</f>
        <v>-0.05874978548</v>
      </c>
      <c r="AA2717" s="373">
        <f>PPMT('Assumptions (T&amp;D) old'!$B$100,Model!AF$1,'Assumptions (T&amp;D) old'!$B$103,Model!$R$2699)</f>
        <v>-0.06154040029</v>
      </c>
      <c r="AB2717" s="373">
        <f>PPMT('Assumptions (T&amp;D) old'!$B$100,Model!AG$1,'Assumptions (T&amp;D) old'!$B$103,Model!$R$2699)</f>
        <v>-0.0644635693</v>
      </c>
      <c r="AC2717" s="373">
        <f>PPMT('Assumptions (T&amp;D) old'!$B$100,Model!AH$1,'Assumptions (T&amp;D) old'!$B$103,Model!$R$2699)</f>
        <v>-0.06752558884</v>
      </c>
      <c r="AD2717" s="373">
        <f>PPMT('Assumptions (T&amp;D) old'!$B$100,Model!AI$1,'Assumptions (T&amp;D) old'!$B$103,Model!$R$2699)</f>
        <v>-0.07073305431</v>
      </c>
      <c r="AE2717" s="373">
        <f>PPMT('Assumptions (T&amp;D) old'!$B$100,Model!AJ$1,'Assumptions (T&amp;D) old'!$B$103,Model!$R$2699)</f>
        <v>-0.07409287439</v>
      </c>
      <c r="AF2717" s="373">
        <f>PPMT('Assumptions (T&amp;D) old'!$B$100,Model!AK$1,'Assumptions (T&amp;D) old'!$B$103,Model!$R$2699)</f>
        <v>-0.07761228592</v>
      </c>
      <c r="AG2717" s="374"/>
      <c r="AH2717" s="374"/>
      <c r="AI2717" s="374"/>
      <c r="AJ2717" s="374"/>
      <c r="AK2717" s="374"/>
      <c r="AL2717" s="374"/>
      <c r="AM2717" s="374"/>
      <c r="AN2717" s="374"/>
      <c r="AO2717" s="374"/>
      <c r="AP2717" s="374"/>
      <c r="AQ2717" s="32"/>
      <c r="AR2717" s="32"/>
      <c r="AS2717" s="32"/>
      <c r="AT2717" s="32"/>
      <c r="AU2717" s="32"/>
      <c r="AV2717" s="32"/>
      <c r="AW2717" s="32"/>
      <c r="AX2717" s="32"/>
      <c r="AY2717" s="32"/>
      <c r="AZ2717" s="32"/>
      <c r="BA2717" s="32"/>
      <c r="BB2717" s="32"/>
      <c r="BC2717" s="32"/>
      <c r="BD2717" s="32"/>
      <c r="BE2717" s="32"/>
      <c r="BF2717" s="32"/>
      <c r="BG2717" s="32"/>
      <c r="BH2717" s="32"/>
      <c r="BI2717" s="32"/>
      <c r="BJ2717" s="32"/>
      <c r="BK2717" s="32"/>
      <c r="BL2717" s="32"/>
      <c r="BM2717" s="32"/>
      <c r="BN2717" s="32"/>
      <c r="BO2717" s="32"/>
      <c r="BP2717" s="32"/>
      <c r="BQ2717" s="32"/>
      <c r="BR2717" s="32"/>
      <c r="BS2717" s="32"/>
      <c r="BT2717" s="32"/>
      <c r="BU2717" s="32"/>
      <c r="BV2717" s="32"/>
      <c r="BW2717" s="32"/>
      <c r="BX2717" s="32"/>
      <c r="BY2717" s="32"/>
      <c r="BZ2717" s="32"/>
      <c r="CA2717" s="32"/>
      <c r="CB2717" s="32"/>
      <c r="CC2717" s="32"/>
      <c r="CD2717" s="32"/>
    </row>
    <row r="2718" ht="15.75" hidden="1" customHeight="1" outlineLevel="1">
      <c r="A2718" s="365"/>
      <c r="B2718" s="38"/>
      <c r="C2718" s="374"/>
      <c r="D2718" s="374"/>
      <c r="E2718" s="374"/>
      <c r="F2718" s="374"/>
      <c r="G2718" s="374"/>
      <c r="H2718" s="374"/>
      <c r="I2718" s="374"/>
      <c r="J2718" s="374"/>
      <c r="K2718" s="374"/>
      <c r="L2718" s="374"/>
      <c r="M2718" s="374"/>
      <c r="N2718" s="374"/>
      <c r="O2718" s="374"/>
      <c r="P2718" s="374"/>
      <c r="Q2718" s="374"/>
      <c r="R2718" s="374"/>
      <c r="S2718" s="373">
        <f>PPMT('Assumptions (T&amp;D) old'!$B$100,Model!W$1,'Assumptions (T&amp;D) old'!$B$103,Model!$S$2699)</f>
        <v>-0.04162534496</v>
      </c>
      <c r="T2718" s="373">
        <f>PPMT('Assumptions (T&amp;D) old'!$B$100,Model!X$1,'Assumptions (T&amp;D) old'!$B$103,Model!$S$2699)</f>
        <v>-0.04360254885</v>
      </c>
      <c r="U2718" s="373">
        <f>PPMT('Assumptions (T&amp;D) old'!$B$100,Model!Y$1,'Assumptions (T&amp;D) old'!$B$103,Model!$S$2699)</f>
        <v>-0.04567366992</v>
      </c>
      <c r="V2718" s="373">
        <f>PPMT('Assumptions (T&amp;D) old'!$B$100,Model!Z$1,'Assumptions (T&amp;D) old'!$B$103,Model!$S$2699)</f>
        <v>-0.04784316924</v>
      </c>
      <c r="W2718" s="373">
        <f>PPMT('Assumptions (T&amp;D) old'!$B$100,Model!AA$1,'Assumptions (T&amp;D) old'!$B$103,Model!$S$2699)</f>
        <v>-0.05011571978</v>
      </c>
      <c r="X2718" s="373">
        <f>PPMT('Assumptions (T&amp;D) old'!$B$100,Model!AB$1,'Assumptions (T&amp;D) old'!$B$103,Model!$S$2699)</f>
        <v>-0.05249621647</v>
      </c>
      <c r="Y2718" s="373">
        <f>PPMT('Assumptions (T&amp;D) old'!$B$100,Model!AC$1,'Assumptions (T&amp;D) old'!$B$103,Model!$S$2699)</f>
        <v>-0.05498978675</v>
      </c>
      <c r="Z2718" s="373">
        <f>PPMT('Assumptions (T&amp;D) old'!$B$100,Model!AD$1,'Assumptions (T&amp;D) old'!$B$103,Model!$S$2699)</f>
        <v>-0.05760180162</v>
      </c>
      <c r="AA2718" s="373">
        <f>PPMT('Assumptions (T&amp;D) old'!$B$100,Model!AE$1,'Assumptions (T&amp;D) old'!$B$103,Model!$S$2699)</f>
        <v>-0.0603378872</v>
      </c>
      <c r="AB2718" s="373">
        <f>PPMT('Assumptions (T&amp;D) old'!$B$100,Model!AF$1,'Assumptions (T&amp;D) old'!$B$103,Model!$S$2699)</f>
        <v>-0.06320393684</v>
      </c>
      <c r="AC2718" s="373">
        <f>PPMT('Assumptions (T&amp;D) old'!$B$100,Model!AG$1,'Assumptions (T&amp;D) old'!$B$103,Model!$S$2699)</f>
        <v>-0.06620612384</v>
      </c>
      <c r="AD2718" s="373">
        <f>PPMT('Assumptions (T&amp;D) old'!$B$100,Model!AH$1,'Assumptions (T&amp;D) old'!$B$103,Model!$S$2699)</f>
        <v>-0.06935091473</v>
      </c>
      <c r="AE2718" s="373">
        <f>PPMT('Assumptions (T&amp;D) old'!$B$100,Model!AI$1,'Assumptions (T&amp;D) old'!$B$103,Model!$S$2699)</f>
        <v>-0.07264508318</v>
      </c>
      <c r="AF2718" s="373">
        <f>PPMT('Assumptions (T&amp;D) old'!$B$100,Model!AJ$1,'Assumptions (T&amp;D) old'!$B$103,Model!$S$2699)</f>
        <v>-0.07609572463</v>
      </c>
      <c r="AG2718" s="373">
        <f>PPMT('Assumptions (T&amp;D) old'!$B$100,Model!AK$1,'Assumptions (T&amp;D) old'!$B$103,Model!$S$2699)</f>
        <v>-0.07971027155</v>
      </c>
      <c r="AH2718" s="374"/>
      <c r="AI2718" s="374"/>
      <c r="AJ2718" s="374"/>
      <c r="AK2718" s="374"/>
      <c r="AL2718" s="374"/>
      <c r="AM2718" s="374"/>
      <c r="AN2718" s="374"/>
      <c r="AO2718" s="374"/>
      <c r="AP2718" s="374"/>
      <c r="AQ2718" s="374"/>
      <c r="AR2718" s="32"/>
      <c r="AS2718" s="32"/>
      <c r="AT2718" s="32"/>
      <c r="AU2718" s="32"/>
      <c r="AV2718" s="32"/>
      <c r="AW2718" s="32"/>
      <c r="AX2718" s="32"/>
      <c r="AY2718" s="32"/>
      <c r="AZ2718" s="32"/>
      <c r="BA2718" s="32"/>
      <c r="BB2718" s="32"/>
      <c r="BC2718" s="32"/>
      <c r="BD2718" s="32"/>
      <c r="BE2718" s="32"/>
      <c r="BF2718" s="32"/>
      <c r="BG2718" s="32"/>
      <c r="BH2718" s="32"/>
      <c r="BI2718" s="32"/>
      <c r="BJ2718" s="32"/>
      <c r="BK2718" s="32"/>
      <c r="BL2718" s="32"/>
      <c r="BM2718" s="32"/>
      <c r="BN2718" s="32"/>
      <c r="BO2718" s="32"/>
      <c r="BP2718" s="32"/>
      <c r="BQ2718" s="32"/>
      <c r="BR2718" s="32"/>
      <c r="BS2718" s="32"/>
      <c r="BT2718" s="32"/>
      <c r="BU2718" s="32"/>
      <c r="BV2718" s="32"/>
      <c r="BW2718" s="32"/>
      <c r="BX2718" s="32"/>
      <c r="BY2718" s="32"/>
      <c r="BZ2718" s="32"/>
      <c r="CA2718" s="32"/>
      <c r="CB2718" s="32"/>
      <c r="CC2718" s="32"/>
      <c r="CD2718" s="32"/>
    </row>
    <row r="2719" ht="15.75" hidden="1" customHeight="1" outlineLevel="1">
      <c r="A2719" s="365"/>
      <c r="B2719" s="38"/>
      <c r="C2719" s="374"/>
      <c r="D2719" s="374"/>
      <c r="E2719" s="374"/>
      <c r="F2719" s="374"/>
      <c r="G2719" s="374"/>
      <c r="H2719" s="374"/>
      <c r="I2719" s="374"/>
      <c r="J2719" s="374"/>
      <c r="K2719" s="374"/>
      <c r="L2719" s="374"/>
      <c r="M2719" s="374"/>
      <c r="N2719" s="374"/>
      <c r="O2719" s="374"/>
      <c r="P2719" s="374"/>
      <c r="Q2719" s="374"/>
      <c r="R2719" s="374"/>
      <c r="S2719" s="38"/>
      <c r="T2719" s="373">
        <f>PPMT('Assumptions (T&amp;D) old'!$B$100,Model!W$1,'Assumptions (T&amp;D) old'!$B$103,Model!$T$2699)</f>
        <v>-0.04420232678</v>
      </c>
      <c r="U2719" s="373">
        <f>PPMT('Assumptions (T&amp;D) old'!$B$100,Model!X$1,'Assumptions (T&amp;D) old'!$B$103,Model!$T$2699)</f>
        <v>-0.0463019373</v>
      </c>
      <c r="V2719" s="373">
        <f>PPMT('Assumptions (T&amp;D) old'!$B$100,Model!Y$1,'Assumptions (T&amp;D) old'!$B$103,Model!$T$2699)</f>
        <v>-0.04850127932</v>
      </c>
      <c r="W2719" s="373">
        <f>PPMT('Assumptions (T&amp;D) old'!$B$100,Model!Z$1,'Assumptions (T&amp;D) old'!$B$103,Model!$T$2699)</f>
        <v>-0.05080509009</v>
      </c>
      <c r="X2719" s="373">
        <f>PPMT('Assumptions (T&amp;D) old'!$B$100,Model!AA$1,'Assumptions (T&amp;D) old'!$B$103,Model!$T$2699)</f>
        <v>-0.05321833187</v>
      </c>
      <c r="Y2719" s="373">
        <f>PPMT('Assumptions (T&amp;D) old'!$B$100,Model!AB$1,'Assumptions (T&amp;D) old'!$B$103,Model!$T$2699)</f>
        <v>-0.05574620263</v>
      </c>
      <c r="Z2719" s="373">
        <f>PPMT('Assumptions (T&amp;D) old'!$B$100,Model!AC$1,'Assumptions (T&amp;D) old'!$B$103,Model!$T$2699)</f>
        <v>-0.05839414726</v>
      </c>
      <c r="AA2719" s="373">
        <f>PPMT('Assumptions (T&amp;D) old'!$B$100,Model!AD$1,'Assumptions (T&amp;D) old'!$B$103,Model!$T$2699)</f>
        <v>-0.06116786925</v>
      </c>
      <c r="AB2719" s="373">
        <f>PPMT('Assumptions (T&amp;D) old'!$B$100,Model!AE$1,'Assumptions (T&amp;D) old'!$B$103,Model!$T$2699)</f>
        <v>-0.06407334304</v>
      </c>
      <c r="AC2719" s="373">
        <f>PPMT('Assumptions (T&amp;D) old'!$B$100,Model!AF$1,'Assumptions (T&amp;D) old'!$B$103,Model!$T$2699)</f>
        <v>-0.06711682684</v>
      </c>
      <c r="AD2719" s="373">
        <f>PPMT('Assumptions (T&amp;D) old'!$B$100,Model!AG$1,'Assumptions (T&amp;D) old'!$B$103,Model!$T$2699)</f>
        <v>-0.07030487611</v>
      </c>
      <c r="AE2719" s="373">
        <f>PPMT('Assumptions (T&amp;D) old'!$B$100,Model!AH$1,'Assumptions (T&amp;D) old'!$B$103,Model!$T$2699)</f>
        <v>-0.07364435773</v>
      </c>
      <c r="AF2719" s="373">
        <f>PPMT('Assumptions (T&amp;D) old'!$B$100,Model!AI$1,'Assumptions (T&amp;D) old'!$B$103,Model!$T$2699)</f>
        <v>-0.07714246472</v>
      </c>
      <c r="AG2719" s="373">
        <f>PPMT('Assumptions (T&amp;D) old'!$B$100,Model!AJ$1,'Assumptions (T&amp;D) old'!$B$103,Model!$T$2699)</f>
        <v>-0.08080673179</v>
      </c>
      <c r="AH2719" s="373">
        <f>PPMT('Assumptions (T&amp;D) old'!$B$100,Model!AK$1,'Assumptions (T&amp;D) old'!$B$103,Model!$T$2699)</f>
        <v>-0.08464505155</v>
      </c>
      <c r="AI2719" s="374"/>
      <c r="AJ2719" s="374"/>
      <c r="AK2719" s="374"/>
      <c r="AL2719" s="374"/>
      <c r="AM2719" s="374"/>
      <c r="AN2719" s="374"/>
      <c r="AO2719" s="374"/>
      <c r="AP2719" s="374"/>
      <c r="AQ2719" s="374"/>
      <c r="AR2719" s="374"/>
      <c r="AS2719" s="32"/>
      <c r="AT2719" s="32"/>
      <c r="AU2719" s="32"/>
      <c r="AV2719" s="32"/>
      <c r="AW2719" s="32"/>
      <c r="AX2719" s="32"/>
      <c r="AY2719" s="32"/>
      <c r="AZ2719" s="32"/>
      <c r="BA2719" s="32"/>
      <c r="BB2719" s="32"/>
      <c r="BC2719" s="32"/>
      <c r="BD2719" s="32"/>
      <c r="BE2719" s="32"/>
      <c r="BF2719" s="32"/>
      <c r="BG2719" s="32"/>
      <c r="BH2719" s="32"/>
      <c r="BI2719" s="32"/>
      <c r="BJ2719" s="32"/>
      <c r="BK2719" s="32"/>
      <c r="BL2719" s="32"/>
      <c r="BM2719" s="32"/>
      <c r="BN2719" s="32"/>
      <c r="BO2719" s="32"/>
      <c r="BP2719" s="32"/>
      <c r="BQ2719" s="32"/>
      <c r="BR2719" s="32"/>
      <c r="BS2719" s="32"/>
      <c r="BT2719" s="32"/>
      <c r="BU2719" s="32"/>
      <c r="BV2719" s="32"/>
      <c r="BW2719" s="32"/>
      <c r="BX2719" s="32"/>
      <c r="BY2719" s="32"/>
      <c r="BZ2719" s="32"/>
      <c r="CA2719" s="32"/>
      <c r="CB2719" s="32"/>
      <c r="CC2719" s="32"/>
      <c r="CD2719" s="32"/>
    </row>
    <row r="2720" ht="15.75" hidden="1" customHeight="1" outlineLevel="1">
      <c r="A2720" s="365"/>
      <c r="B2720" s="38"/>
      <c r="C2720" s="374"/>
      <c r="D2720" s="374"/>
      <c r="E2720" s="374"/>
      <c r="F2720" s="374"/>
      <c r="G2720" s="374"/>
      <c r="H2720" s="374"/>
      <c r="I2720" s="374"/>
      <c r="J2720" s="374"/>
      <c r="K2720" s="374"/>
      <c r="L2720" s="374"/>
      <c r="M2720" s="374"/>
      <c r="N2720" s="374"/>
      <c r="O2720" s="374"/>
      <c r="P2720" s="374"/>
      <c r="Q2720" s="374"/>
      <c r="R2720" s="374"/>
      <c r="S2720" s="38"/>
      <c r="T2720" s="38"/>
      <c r="U2720" s="373">
        <f>PPMT('Assumptions (T&amp;D) old'!$B$100,Model!W$1,'Assumptions (T&amp;D) old'!$B$103,Model!$U$2699)</f>
        <v>-0.04476066156</v>
      </c>
      <c r="V2720" s="373">
        <f>PPMT('Assumptions (T&amp;D) old'!$B$100,Model!X$1,'Assumptions (T&amp;D) old'!$B$103,Model!$U$2699)</f>
        <v>-0.04688679298</v>
      </c>
      <c r="W2720" s="373">
        <f>PPMT('Assumptions (T&amp;D) old'!$B$100,Model!Y$1,'Assumptions (T&amp;D) old'!$B$103,Model!$U$2699)</f>
        <v>-0.04911391565</v>
      </c>
      <c r="X2720" s="373">
        <f>PPMT('Assumptions (T&amp;D) old'!$B$100,Model!Z$1,'Assumptions (T&amp;D) old'!$B$103,Model!$U$2699)</f>
        <v>-0.05144682664</v>
      </c>
      <c r="Y2720" s="373">
        <f>PPMT('Assumptions (T&amp;D) old'!$B$100,Model!AA$1,'Assumptions (T&amp;D) old'!$B$103,Model!$U$2699)</f>
        <v>-0.05389055091</v>
      </c>
      <c r="Z2720" s="373">
        <f>PPMT('Assumptions (T&amp;D) old'!$B$100,Model!AB$1,'Assumptions (T&amp;D) old'!$B$103,Model!$U$2699)</f>
        <v>-0.05645035207</v>
      </c>
      <c r="AA2720" s="373">
        <f>PPMT('Assumptions (T&amp;D) old'!$B$100,Model!AC$1,'Assumptions (T&amp;D) old'!$B$103,Model!$U$2699)</f>
        <v>-0.0591317438</v>
      </c>
      <c r="AB2720" s="373">
        <f>PPMT('Assumptions (T&amp;D) old'!$B$100,Model!AD$1,'Assumptions (T&amp;D) old'!$B$103,Model!$U$2699)</f>
        <v>-0.06194050163</v>
      </c>
      <c r="AC2720" s="373">
        <f>PPMT('Assumptions (T&amp;D) old'!$B$100,Model!AE$1,'Assumptions (T&amp;D) old'!$B$103,Model!$U$2699)</f>
        <v>-0.06488267546</v>
      </c>
      <c r="AD2720" s="373">
        <f>PPMT('Assumptions (T&amp;D) old'!$B$100,Model!AF$1,'Assumptions (T&amp;D) old'!$B$103,Model!$U$2699)</f>
        <v>-0.06796460254</v>
      </c>
      <c r="AE2720" s="373">
        <f>PPMT('Assumptions (T&amp;D) old'!$B$100,Model!AG$1,'Assumptions (T&amp;D) old'!$B$103,Model!$U$2699)</f>
        <v>-0.07119292116</v>
      </c>
      <c r="AF2720" s="373">
        <f>PPMT('Assumptions (T&amp;D) old'!$B$100,Model!AH$1,'Assumptions (T&amp;D) old'!$B$103,Model!$U$2699)</f>
        <v>-0.07457458492</v>
      </c>
      <c r="AG2720" s="373">
        <f>PPMT('Assumptions (T&amp;D) old'!$B$100,Model!AI$1,'Assumptions (T&amp;D) old'!$B$103,Model!$U$2699)</f>
        <v>-0.0781168777</v>
      </c>
      <c r="AH2720" s="373">
        <f>PPMT('Assumptions (T&amp;D) old'!$B$100,Model!AJ$1,'Assumptions (T&amp;D) old'!$B$103,Model!$U$2699)</f>
        <v>-0.08182742939</v>
      </c>
      <c r="AI2720" s="373">
        <f>PPMT('Assumptions (T&amp;D) old'!$B$100,Model!AK$1,'Assumptions (T&amp;D) old'!$B$103,Model!$U$2699)</f>
        <v>-0.08571423229</v>
      </c>
      <c r="AJ2720" s="374"/>
      <c r="AK2720" s="374"/>
      <c r="AL2720" s="374"/>
      <c r="AM2720" s="374"/>
      <c r="AN2720" s="374"/>
      <c r="AO2720" s="374"/>
      <c r="AP2720" s="374"/>
      <c r="AQ2720" s="374"/>
      <c r="AR2720" s="374"/>
      <c r="AS2720" s="374"/>
      <c r="AT2720" s="32"/>
      <c r="AU2720" s="32"/>
      <c r="AV2720" s="32"/>
      <c r="AW2720" s="32"/>
      <c r="AX2720" s="32"/>
      <c r="AY2720" s="32"/>
      <c r="AZ2720" s="32"/>
      <c r="BA2720" s="32"/>
      <c r="BB2720" s="32"/>
      <c r="BC2720" s="32"/>
      <c r="BD2720" s="32"/>
      <c r="BE2720" s="32"/>
      <c r="BF2720" s="32"/>
      <c r="BG2720" s="32"/>
      <c r="BH2720" s="32"/>
      <c r="BI2720" s="32"/>
      <c r="BJ2720" s="32"/>
      <c r="BK2720" s="32"/>
      <c r="BL2720" s="32"/>
      <c r="BM2720" s="32"/>
      <c r="BN2720" s="32"/>
      <c r="BO2720" s="32"/>
      <c r="BP2720" s="32"/>
      <c r="BQ2720" s="32"/>
      <c r="BR2720" s="32"/>
      <c r="BS2720" s="32"/>
      <c r="BT2720" s="32"/>
      <c r="BU2720" s="32"/>
      <c r="BV2720" s="32"/>
      <c r="BW2720" s="32"/>
      <c r="BX2720" s="32"/>
      <c r="BY2720" s="32"/>
      <c r="BZ2720" s="32"/>
      <c r="CA2720" s="32"/>
      <c r="CB2720" s="32"/>
      <c r="CC2720" s="32"/>
      <c r="CD2720" s="32"/>
    </row>
    <row r="2721" ht="15.75" hidden="1" customHeight="1" outlineLevel="1">
      <c r="A2721" s="365"/>
      <c r="B2721" s="38"/>
      <c r="C2721" s="374"/>
      <c r="D2721" s="374"/>
      <c r="E2721" s="374"/>
      <c r="F2721" s="374"/>
      <c r="G2721" s="374"/>
      <c r="H2721" s="374"/>
      <c r="I2721" s="374"/>
      <c r="J2721" s="374"/>
      <c r="K2721" s="374"/>
      <c r="L2721" s="374"/>
      <c r="M2721" s="374"/>
      <c r="N2721" s="374"/>
      <c r="O2721" s="374"/>
      <c r="P2721" s="374"/>
      <c r="Q2721" s="374"/>
      <c r="R2721" s="374"/>
      <c r="S2721" s="38"/>
      <c r="T2721" s="38"/>
      <c r="U2721" s="38"/>
      <c r="V2721" s="373">
        <f>PPMT('Assumptions (T&amp;D) old'!$B$100,Model!W$1,'Assumptions (T&amp;D) old'!$B$103,Model!$V$2699)</f>
        <v>-0.04639473056</v>
      </c>
      <c r="W2721" s="373">
        <f>PPMT('Assumptions (T&amp;D) old'!$B$100,Model!X$1,'Assumptions (T&amp;D) old'!$B$103,Model!$V$2699)</f>
        <v>-0.04859848026</v>
      </c>
      <c r="X2721" s="373">
        <f>PPMT('Assumptions (T&amp;D) old'!$B$100,Model!Y$1,'Assumptions (T&amp;D) old'!$B$103,Model!$V$2699)</f>
        <v>-0.05090690807</v>
      </c>
      <c r="Y2721" s="373">
        <f>PPMT('Assumptions (T&amp;D) old'!$B$100,Model!Z$1,'Assumptions (T&amp;D) old'!$B$103,Model!$V$2699)</f>
        <v>-0.0533249862</v>
      </c>
      <c r="Z2721" s="373">
        <f>PPMT('Assumptions (T&amp;D) old'!$B$100,Model!AA$1,'Assumptions (T&amp;D) old'!$B$103,Model!$V$2699)</f>
        <v>-0.05585792305</v>
      </c>
      <c r="AA2721" s="373">
        <f>PPMT('Assumptions (T&amp;D) old'!$B$100,Model!AB$1,'Assumptions (T&amp;D) old'!$B$103,Model!$V$2699)</f>
        <v>-0.05851117439</v>
      </c>
      <c r="AB2721" s="373">
        <f>PPMT('Assumptions (T&amp;D) old'!$B$100,Model!AC$1,'Assumptions (T&amp;D) old'!$B$103,Model!$V$2699)</f>
        <v>-0.06129045518</v>
      </c>
      <c r="AC2721" s="373">
        <f>PPMT('Assumptions (T&amp;D) old'!$B$100,Model!AD$1,'Assumptions (T&amp;D) old'!$B$103,Model!$V$2699)</f>
        <v>-0.0642017518</v>
      </c>
      <c r="AD2721" s="373">
        <f>PPMT('Assumptions (T&amp;D) old'!$B$100,Model!AE$1,'Assumptions (T&amp;D) old'!$B$103,Model!$V$2699)</f>
        <v>-0.06725133501</v>
      </c>
      <c r="AE2721" s="373">
        <f>PPMT('Assumptions (T&amp;D) old'!$B$100,Model!AF$1,'Assumptions (T&amp;D) old'!$B$103,Model!$V$2699)</f>
        <v>-0.07044577342</v>
      </c>
      <c r="AF2721" s="373">
        <f>PPMT('Assumptions (T&amp;D) old'!$B$100,Model!AG$1,'Assumptions (T&amp;D) old'!$B$103,Model!$V$2699)</f>
        <v>-0.07379194766</v>
      </c>
      <c r="AG2721" s="373">
        <f>PPMT('Assumptions (T&amp;D) old'!$B$100,Model!AH$1,'Assumptions (T&amp;D) old'!$B$103,Model!$V$2699)</f>
        <v>-0.07729706517</v>
      </c>
      <c r="AH2721" s="373">
        <f>PPMT('Assumptions (T&amp;D) old'!$B$100,Model!AI$1,'Assumptions (T&amp;D) old'!$B$103,Model!$V$2699)</f>
        <v>-0.08096867577</v>
      </c>
      <c r="AI2721" s="373">
        <f>PPMT('Assumptions (T&amp;D) old'!$B$100,Model!AJ$1,'Assumptions (T&amp;D) old'!$B$103,Model!$V$2699)</f>
        <v>-0.08481468787</v>
      </c>
      <c r="AJ2721" s="373">
        <f>PPMT('Assumptions (T&amp;D) old'!$B$100,Model!AK$1,'Assumptions (T&amp;D) old'!$B$103,Model!$V$2699)</f>
        <v>-0.08884338554</v>
      </c>
      <c r="AK2721" s="374"/>
      <c r="AL2721" s="374"/>
      <c r="AM2721" s="374"/>
      <c r="AN2721" s="374"/>
      <c r="AO2721" s="374"/>
      <c r="AP2721" s="374"/>
      <c r="AQ2721" s="374"/>
      <c r="AR2721" s="374"/>
      <c r="AS2721" s="374"/>
      <c r="AT2721" s="374"/>
      <c r="AU2721" s="32"/>
      <c r="AV2721" s="32"/>
      <c r="AW2721" s="32"/>
      <c r="AX2721" s="32"/>
      <c r="AY2721" s="32"/>
      <c r="AZ2721" s="32"/>
      <c r="BA2721" s="32"/>
      <c r="BB2721" s="32"/>
      <c r="BC2721" s="32"/>
      <c r="BD2721" s="32"/>
      <c r="BE2721" s="32"/>
      <c r="BF2721" s="32"/>
      <c r="BG2721" s="32"/>
      <c r="BH2721" s="32"/>
      <c r="BI2721" s="32"/>
      <c r="BJ2721" s="32"/>
      <c r="BK2721" s="32"/>
      <c r="BL2721" s="32"/>
      <c r="BM2721" s="32"/>
      <c r="BN2721" s="32"/>
      <c r="BO2721" s="32"/>
      <c r="BP2721" s="32"/>
      <c r="BQ2721" s="32"/>
      <c r="BR2721" s="32"/>
      <c r="BS2721" s="32"/>
      <c r="BT2721" s="32"/>
      <c r="BU2721" s="32"/>
      <c r="BV2721" s="32"/>
      <c r="BW2721" s="32"/>
      <c r="BX2721" s="32"/>
      <c r="BY2721" s="32"/>
      <c r="BZ2721" s="32"/>
      <c r="CA2721" s="32"/>
      <c r="CB2721" s="32"/>
      <c r="CC2721" s="32"/>
      <c r="CD2721" s="32"/>
    </row>
    <row r="2722" ht="15.75" hidden="1" customHeight="1" outlineLevel="1">
      <c r="A2722" s="365"/>
      <c r="B2722" s="38"/>
      <c r="C2722" s="374"/>
      <c r="D2722" s="374"/>
      <c r="E2722" s="374"/>
      <c r="F2722" s="374"/>
      <c r="G2722" s="374"/>
      <c r="H2722" s="374"/>
      <c r="I2722" s="374"/>
      <c r="J2722" s="374"/>
      <c r="K2722" s="374"/>
      <c r="L2722" s="374"/>
      <c r="M2722" s="374"/>
      <c r="N2722" s="374"/>
      <c r="O2722" s="374"/>
      <c r="P2722" s="374"/>
      <c r="Q2722" s="374"/>
      <c r="R2722" s="374"/>
      <c r="S2722" s="38"/>
      <c r="T2722" s="38"/>
      <c r="U2722" s="38"/>
      <c r="V2722" s="38"/>
      <c r="W2722" s="373">
        <f>PPMT('Assumptions (T&amp;D) old'!$B$100,Model!W$1,'Assumptions (T&amp;D) old'!$B$103,Model!$W$2699)</f>
        <v>-0.04731093232</v>
      </c>
      <c r="X2722" s="373">
        <f>PPMT('Assumptions (T&amp;D) old'!$B$100,Model!X$1,'Assumptions (T&amp;D) old'!$B$103,Model!$W$2699)</f>
        <v>-0.04955820161</v>
      </c>
      <c r="Y2722" s="373">
        <f>PPMT('Assumptions (T&amp;D) old'!$B$100,Model!Y$1,'Assumptions (T&amp;D) old'!$B$103,Model!$W$2699)</f>
        <v>-0.05191221618</v>
      </c>
      <c r="Z2722" s="373">
        <f>PPMT('Assumptions (T&amp;D) old'!$B$100,Model!Z$1,'Assumptions (T&amp;D) old'!$B$103,Model!$W$2699)</f>
        <v>-0.05437804645</v>
      </c>
      <c r="AA2722" s="373">
        <f>PPMT('Assumptions (T&amp;D) old'!$B$100,Model!AA$1,'Assumptions (T&amp;D) old'!$B$103,Model!$W$2699)</f>
        <v>-0.05696100366</v>
      </c>
      <c r="AB2722" s="373">
        <f>PPMT('Assumptions (T&amp;D) old'!$B$100,Model!AB$1,'Assumptions (T&amp;D) old'!$B$103,Model!$W$2699)</f>
        <v>-0.05966665133</v>
      </c>
      <c r="AC2722" s="373">
        <f>PPMT('Assumptions (T&amp;D) old'!$B$100,Model!AC$1,'Assumptions (T&amp;D) old'!$B$103,Model!$W$2699)</f>
        <v>-0.06250081727</v>
      </c>
      <c r="AD2722" s="373">
        <f>PPMT('Assumptions (T&amp;D) old'!$B$100,Model!AD$1,'Assumptions (T&amp;D) old'!$B$103,Model!$W$2699)</f>
        <v>-0.06546960609</v>
      </c>
      <c r="AE2722" s="373">
        <f>PPMT('Assumptions (T&amp;D) old'!$B$100,Model!AE$1,'Assumptions (T&amp;D) old'!$B$103,Model!$W$2699)</f>
        <v>-0.06857941238</v>
      </c>
      <c r="AF2722" s="373">
        <f>PPMT('Assumptions (T&amp;D) old'!$B$100,Model!AF$1,'Assumptions (T&amp;D) old'!$B$103,Model!$W$2699)</f>
        <v>-0.07183693447</v>
      </c>
      <c r="AG2722" s="373">
        <f>PPMT('Assumptions (T&amp;D) old'!$B$100,Model!AG$1,'Assumptions (T&amp;D) old'!$B$103,Model!$W$2699)</f>
        <v>-0.07524918885</v>
      </c>
      <c r="AH2722" s="373">
        <f>PPMT('Assumptions (T&amp;D) old'!$B$100,Model!AH$1,'Assumptions (T&amp;D) old'!$B$103,Model!$W$2699)</f>
        <v>-0.07882352532</v>
      </c>
      <c r="AI2722" s="373">
        <f>PPMT('Assumptions (T&amp;D) old'!$B$100,Model!AI$1,'Assumptions (T&amp;D) old'!$B$103,Model!$W$2699)</f>
        <v>-0.08256764278</v>
      </c>
      <c r="AJ2722" s="373">
        <f>PPMT('Assumptions (T&amp;D) old'!$B$100,Model!AJ$1,'Assumptions (T&amp;D) old'!$B$103,Model!$W$2699)</f>
        <v>-0.08648960581</v>
      </c>
      <c r="AK2722" s="373">
        <f>PPMT('Assumptions (T&amp;D) old'!$B$100,Model!AK$1,'Assumptions (T&amp;D) old'!$B$103,Model!$W$2699)</f>
        <v>-0.09059786208</v>
      </c>
      <c r="AL2722" s="374"/>
      <c r="AM2722" s="374"/>
      <c r="AN2722" s="374"/>
      <c r="AO2722" s="374"/>
      <c r="AP2722" s="374"/>
      <c r="AQ2722" s="374"/>
      <c r="AR2722" s="374"/>
      <c r="AS2722" s="374"/>
      <c r="AT2722" s="374"/>
      <c r="AU2722" s="374"/>
      <c r="AV2722" s="32"/>
      <c r="AW2722" s="32"/>
      <c r="AX2722" s="32"/>
      <c r="AY2722" s="32"/>
      <c r="AZ2722" s="32"/>
      <c r="BA2722" s="32"/>
      <c r="BB2722" s="32"/>
      <c r="BC2722" s="32"/>
      <c r="BD2722" s="32"/>
      <c r="BE2722" s="32"/>
      <c r="BF2722" s="32"/>
      <c r="BG2722" s="32"/>
      <c r="BH2722" s="32"/>
      <c r="BI2722" s="32"/>
      <c r="BJ2722" s="32"/>
      <c r="BK2722" s="32"/>
      <c r="BL2722" s="32"/>
      <c r="BM2722" s="32"/>
      <c r="BN2722" s="32"/>
      <c r="BO2722" s="32"/>
      <c r="BP2722" s="32"/>
      <c r="BQ2722" s="32"/>
      <c r="BR2722" s="32"/>
      <c r="BS2722" s="32"/>
      <c r="BT2722" s="32"/>
      <c r="BU2722" s="32"/>
      <c r="BV2722" s="32"/>
      <c r="BW2722" s="32"/>
      <c r="BX2722" s="32"/>
      <c r="BY2722" s="32"/>
      <c r="BZ2722" s="32"/>
      <c r="CA2722" s="32"/>
      <c r="CB2722" s="32"/>
      <c r="CC2722" s="32"/>
      <c r="CD2722" s="32"/>
    </row>
    <row r="2723" ht="15.75" hidden="1" customHeight="1" outlineLevel="1">
      <c r="A2723" s="365"/>
      <c r="B2723" s="38"/>
      <c r="C2723" s="374"/>
      <c r="D2723" s="374"/>
      <c r="E2723" s="374"/>
      <c r="F2723" s="374"/>
      <c r="G2723" s="374"/>
      <c r="H2723" s="374"/>
      <c r="I2723" s="374"/>
      <c r="J2723" s="374"/>
      <c r="K2723" s="374"/>
      <c r="L2723" s="374"/>
      <c r="M2723" s="374"/>
      <c r="N2723" s="374"/>
      <c r="O2723" s="374"/>
      <c r="P2723" s="374"/>
      <c r="Q2723" s="374"/>
      <c r="R2723" s="374"/>
      <c r="S2723" s="38"/>
      <c r="T2723" s="38"/>
      <c r="U2723" s="38"/>
      <c r="V2723" s="38"/>
      <c r="W2723" s="38"/>
      <c r="X2723" s="373">
        <f>PPMT('Assumptions (T&amp;D) old'!$B$100,Model!W$1,'Assumptions (T&amp;D) old'!$B$103,Model!$X$2699)</f>
        <v>-0.05081133703</v>
      </c>
      <c r="Y2723" s="373">
        <f>PPMT('Assumptions (T&amp;D) old'!$B$100,Model!X$1,'Assumptions (T&amp;D) old'!$B$103,Model!$X$2699)</f>
        <v>-0.05322487554</v>
      </c>
      <c r="Z2723" s="373">
        <f>PPMT('Assumptions (T&amp;D) old'!$B$100,Model!Y$1,'Assumptions (T&amp;D) old'!$B$103,Model!$X$2699)</f>
        <v>-0.05575305713</v>
      </c>
      <c r="AA2723" s="373">
        <f>PPMT('Assumptions (T&amp;D) old'!$B$100,Model!Z$1,'Assumptions (T&amp;D) old'!$B$103,Model!$X$2699)</f>
        <v>-0.05840132734</v>
      </c>
      <c r="AB2723" s="373">
        <f>PPMT('Assumptions (T&amp;D) old'!$B$100,Model!AA$1,'Assumptions (T&amp;D) old'!$B$103,Model!$X$2699)</f>
        <v>-0.06117539039</v>
      </c>
      <c r="AC2723" s="373">
        <f>PPMT('Assumptions (T&amp;D) old'!$B$100,Model!AB$1,'Assumptions (T&amp;D) old'!$B$103,Model!$X$2699)</f>
        <v>-0.06408122144</v>
      </c>
      <c r="AD2723" s="373">
        <f>PPMT('Assumptions (T&amp;D) old'!$B$100,Model!AC$1,'Assumptions (T&amp;D) old'!$B$103,Model!$X$2699)</f>
        <v>-0.06712507945</v>
      </c>
      <c r="AE2723" s="373">
        <f>PPMT('Assumptions (T&amp;D) old'!$B$100,Model!AD$1,'Assumptions (T&amp;D) old'!$B$103,Model!$X$2699)</f>
        <v>-0.07031352073</v>
      </c>
      <c r="AF2723" s="373">
        <f>PPMT('Assumptions (T&amp;D) old'!$B$100,Model!AE$1,'Assumptions (T&amp;D) old'!$B$103,Model!$X$2699)</f>
        <v>-0.07365341296</v>
      </c>
      <c r="AG2723" s="373">
        <f>PPMT('Assumptions (T&amp;D) old'!$B$100,Model!AF$1,'Assumptions (T&amp;D) old'!$B$103,Model!$X$2699)</f>
        <v>-0.07715195008</v>
      </c>
      <c r="AH2723" s="373">
        <f>PPMT('Assumptions (T&amp;D) old'!$B$100,Model!AG$1,'Assumptions (T&amp;D) old'!$B$103,Model!$X$2699)</f>
        <v>-0.08081666771</v>
      </c>
      <c r="AI2723" s="373">
        <f>PPMT('Assumptions (T&amp;D) old'!$B$100,Model!AH$1,'Assumptions (T&amp;D) old'!$B$103,Model!$X$2699)</f>
        <v>-0.08465545942</v>
      </c>
      <c r="AJ2723" s="373">
        <f>PPMT('Assumptions (T&amp;D) old'!$B$100,Model!AI$1,'Assumptions (T&amp;D) old'!$B$103,Model!$X$2699)</f>
        <v>-0.08867659375</v>
      </c>
      <c r="AK2723" s="373">
        <f>PPMT('Assumptions (T&amp;D) old'!$B$100,Model!AJ$1,'Assumptions (T&amp;D) old'!$B$103,Model!$X$2699)</f>
        <v>-0.09288873195</v>
      </c>
      <c r="AL2723" s="373">
        <f>PPMT('Assumptions (T&amp;D) old'!$B$100,Model!AK$1,'Assumptions (T&amp;D) old'!$B$103,Model!$X$2699)</f>
        <v>-0.09730094672</v>
      </c>
      <c r="AM2723" s="374"/>
      <c r="AN2723" s="374"/>
      <c r="AO2723" s="374"/>
      <c r="AP2723" s="374"/>
      <c r="AQ2723" s="374"/>
      <c r="AR2723" s="374"/>
      <c r="AS2723" s="374"/>
      <c r="AT2723" s="374"/>
      <c r="AU2723" s="374"/>
      <c r="AV2723" s="374"/>
      <c r="AW2723" s="32"/>
      <c r="AX2723" s="32"/>
      <c r="AY2723" s="32"/>
      <c r="AZ2723" s="32"/>
      <c r="BA2723" s="32"/>
      <c r="BB2723" s="32"/>
      <c r="BC2723" s="32"/>
      <c r="BD2723" s="32"/>
      <c r="BE2723" s="32"/>
      <c r="BF2723" s="32"/>
      <c r="BG2723" s="32"/>
      <c r="BH2723" s="32"/>
      <c r="BI2723" s="32"/>
      <c r="BJ2723" s="32"/>
      <c r="BK2723" s="32"/>
      <c r="BL2723" s="32"/>
      <c r="BM2723" s="32"/>
      <c r="BN2723" s="32"/>
      <c r="BO2723" s="32"/>
      <c r="BP2723" s="32"/>
      <c r="BQ2723" s="32"/>
      <c r="BR2723" s="32"/>
      <c r="BS2723" s="32"/>
      <c r="BT2723" s="32"/>
      <c r="BU2723" s="32"/>
      <c r="BV2723" s="32"/>
      <c r="BW2723" s="32"/>
      <c r="BX2723" s="32"/>
      <c r="BY2723" s="32"/>
      <c r="BZ2723" s="32"/>
      <c r="CA2723" s="32"/>
      <c r="CB2723" s="32"/>
      <c r="CC2723" s="32"/>
      <c r="CD2723" s="32"/>
    </row>
    <row r="2724" ht="15.75" hidden="1" customHeight="1" outlineLevel="1">
      <c r="A2724" s="365"/>
      <c r="B2724" s="38"/>
      <c r="C2724" s="374"/>
      <c r="D2724" s="374"/>
      <c r="E2724" s="374"/>
      <c r="F2724" s="374"/>
      <c r="G2724" s="374"/>
      <c r="H2724" s="374"/>
      <c r="I2724" s="374"/>
      <c r="J2724" s="374"/>
      <c r="K2724" s="374"/>
      <c r="L2724" s="374"/>
      <c r="M2724" s="374"/>
      <c r="N2724" s="374"/>
      <c r="O2724" s="374"/>
      <c r="P2724" s="374"/>
      <c r="Q2724" s="374"/>
      <c r="R2724" s="374"/>
      <c r="S2724" s="38"/>
      <c r="T2724" s="38"/>
      <c r="U2724" s="38"/>
      <c r="V2724" s="38"/>
      <c r="W2724" s="38"/>
      <c r="X2724" s="32"/>
      <c r="Y2724" s="373">
        <f>PPMT('Assumptions (T&amp;D) old'!$B$100,Model!W$1,'Assumptions (T&amp;D) old'!$B$103,Model!$Y$2699)</f>
        <v>-0.05222207848</v>
      </c>
      <c r="Z2724" s="373">
        <f>PPMT('Assumptions (T&amp;D) old'!$B$100,Model!X$1,'Assumptions (T&amp;D) old'!$B$103,Model!$Y$2699)</f>
        <v>-0.05470262721</v>
      </c>
      <c r="AA2724" s="373">
        <f>PPMT('Assumptions (T&amp;D) old'!$B$100,Model!Y$1,'Assumptions (T&amp;D) old'!$B$103,Model!$Y$2699)</f>
        <v>-0.057301002</v>
      </c>
      <c r="AB2724" s="373">
        <f>PPMT('Assumptions (T&amp;D) old'!$B$100,Model!Z$1,'Assumptions (T&amp;D) old'!$B$103,Model!$Y$2699)</f>
        <v>-0.0600227996</v>
      </c>
      <c r="AC2724" s="373">
        <f>PPMT('Assumptions (T&amp;D) old'!$B$100,Model!AA$1,'Assumptions (T&amp;D) old'!$B$103,Model!$Y$2699)</f>
        <v>-0.06287388258</v>
      </c>
      <c r="AD2724" s="373">
        <f>PPMT('Assumptions (T&amp;D) old'!$B$100,Model!AB$1,'Assumptions (T&amp;D) old'!$B$103,Model!$Y$2699)</f>
        <v>-0.065860392</v>
      </c>
      <c r="AE2724" s="373">
        <f>PPMT('Assumptions (T&amp;D) old'!$B$100,Model!AC$1,'Assumptions (T&amp;D) old'!$B$103,Model!$Y$2699)</f>
        <v>-0.06898876062</v>
      </c>
      <c r="AF2724" s="373">
        <f>PPMT('Assumptions (T&amp;D) old'!$B$100,Model!AD$1,'Assumptions (T&amp;D) old'!$B$103,Model!$Y$2699)</f>
        <v>-0.07226572675</v>
      </c>
      <c r="AG2724" s="373">
        <f>PPMT('Assumptions (T&amp;D) old'!$B$100,Model!AE$1,'Assumptions (T&amp;D) old'!$B$103,Model!$Y$2699)</f>
        <v>-0.07569834877</v>
      </c>
      <c r="AH2724" s="373">
        <f>PPMT('Assumptions (T&amp;D) old'!$B$100,Model!AF$1,'Assumptions (T&amp;D) old'!$B$103,Model!$Y$2699)</f>
        <v>-0.07929402034</v>
      </c>
      <c r="AI2724" s="373">
        <f>PPMT('Assumptions (T&amp;D) old'!$B$100,Model!AG$1,'Assumptions (T&amp;D) old'!$B$103,Model!$Y$2699)</f>
        <v>-0.0830604863</v>
      </c>
      <c r="AJ2724" s="373">
        <f>PPMT('Assumptions (T&amp;D) old'!$B$100,Model!AH$1,'Assumptions (T&amp;D) old'!$B$103,Model!$Y$2699)</f>
        <v>-0.0870058594</v>
      </c>
      <c r="AK2724" s="373">
        <f>PPMT('Assumptions (T&amp;D) old'!$B$100,Model!AI$1,'Assumptions (T&amp;D) old'!$B$103,Model!$Y$2699)</f>
        <v>-0.09113863772</v>
      </c>
      <c r="AL2724" s="373">
        <f>PPMT('Assumptions (T&amp;D) old'!$B$100,Model!AJ$1,'Assumptions (T&amp;D) old'!$B$103,Model!$Y$2699)</f>
        <v>-0.09546772302</v>
      </c>
      <c r="AM2724" s="373">
        <f>PPMT('Assumptions (T&amp;D) old'!$B$100,Model!AK$1,'Assumptions (T&amp;D) old'!$B$103,Model!$Y$2699)</f>
        <v>-0.1000024399</v>
      </c>
      <c r="AN2724" s="374"/>
      <c r="AO2724" s="374"/>
      <c r="AP2724" s="374"/>
      <c r="AQ2724" s="374"/>
      <c r="AR2724" s="374"/>
      <c r="AS2724" s="374"/>
      <c r="AT2724" s="374"/>
      <c r="AU2724" s="374"/>
      <c r="AV2724" s="374"/>
      <c r="AW2724" s="374"/>
      <c r="AX2724" s="32"/>
      <c r="AY2724" s="32"/>
      <c r="AZ2724" s="32"/>
      <c r="BA2724" s="32"/>
      <c r="BB2724" s="32"/>
      <c r="BC2724" s="32"/>
      <c r="BD2724" s="32"/>
      <c r="BE2724" s="32"/>
      <c r="BF2724" s="32"/>
      <c r="BG2724" s="32"/>
      <c r="BH2724" s="32"/>
      <c r="BI2724" s="32"/>
      <c r="BJ2724" s="32"/>
      <c r="BK2724" s="32"/>
      <c r="BL2724" s="32"/>
      <c r="BM2724" s="32"/>
      <c r="BN2724" s="32"/>
      <c r="BO2724" s="32"/>
      <c r="BP2724" s="32"/>
      <c r="BQ2724" s="32"/>
      <c r="BR2724" s="32"/>
      <c r="BS2724" s="32"/>
      <c r="BT2724" s="32"/>
      <c r="BU2724" s="32"/>
      <c r="BV2724" s="32"/>
      <c r="BW2724" s="32"/>
      <c r="BX2724" s="32"/>
      <c r="BY2724" s="32"/>
      <c r="BZ2724" s="32"/>
      <c r="CA2724" s="32"/>
      <c r="CB2724" s="32"/>
      <c r="CC2724" s="32"/>
      <c r="CD2724" s="32"/>
    </row>
    <row r="2725" ht="15.75" hidden="1" customHeight="1" outlineLevel="1">
      <c r="A2725" s="365"/>
      <c r="B2725" s="38"/>
      <c r="C2725" s="374"/>
      <c r="D2725" s="374"/>
      <c r="E2725" s="374"/>
      <c r="F2725" s="374"/>
      <c r="G2725" s="374"/>
      <c r="H2725" s="374"/>
      <c r="I2725" s="374"/>
      <c r="J2725" s="374"/>
      <c r="K2725" s="374"/>
      <c r="L2725" s="374"/>
      <c r="M2725" s="374"/>
      <c r="N2725" s="374"/>
      <c r="O2725" s="374"/>
      <c r="P2725" s="374"/>
      <c r="Q2725" s="374"/>
      <c r="R2725" s="374"/>
      <c r="S2725" s="38"/>
      <c r="T2725" s="38"/>
      <c r="U2725" s="38"/>
      <c r="V2725" s="38"/>
      <c r="W2725" s="38"/>
      <c r="X2725" s="32"/>
      <c r="Y2725" s="32"/>
      <c r="Z2725" s="373">
        <f>PPMT('Assumptions (T&amp;D) old'!$B$100,Model!W$1,'Assumptions (T&amp;D) old'!$B$103,Model!$Z$2699)</f>
        <v>-0.05366872297</v>
      </c>
      <c r="AA2725" s="373">
        <f>PPMT('Assumptions (T&amp;D) old'!$B$100,Model!X$1,'Assumptions (T&amp;D) old'!$B$103,Model!$Z$2699)</f>
        <v>-0.05621798731</v>
      </c>
      <c r="AB2725" s="373">
        <f>PPMT('Assumptions (T&amp;D) old'!$B$100,Model!Y$1,'Assumptions (T&amp;D) old'!$B$103,Model!$Z$2699)</f>
        <v>-0.05888834171</v>
      </c>
      <c r="AC2725" s="373">
        <f>PPMT('Assumptions (T&amp;D) old'!$B$100,Model!Z$1,'Assumptions (T&amp;D) old'!$B$103,Model!$Z$2699)</f>
        <v>-0.06168553794</v>
      </c>
      <c r="AD2725" s="373">
        <f>PPMT('Assumptions (T&amp;D) old'!$B$100,Model!AA$1,'Assumptions (T&amp;D) old'!$B$103,Model!$Z$2699)</f>
        <v>-0.06461560099</v>
      </c>
      <c r="AE2725" s="373">
        <f>PPMT('Assumptions (T&amp;D) old'!$B$100,Model!AB$1,'Assumptions (T&amp;D) old'!$B$103,Model!$Z$2699)</f>
        <v>-0.06768484204</v>
      </c>
      <c r="AF2725" s="373">
        <f>PPMT('Assumptions (T&amp;D) old'!$B$100,Model!AC$1,'Assumptions (T&amp;D) old'!$B$103,Model!$Z$2699)</f>
        <v>-0.07089987203</v>
      </c>
      <c r="AG2725" s="373">
        <f>PPMT('Assumptions (T&amp;D) old'!$B$100,Model!AD$1,'Assumptions (T&amp;D) old'!$B$103,Model!$Z$2699)</f>
        <v>-0.07426761595</v>
      </c>
      <c r="AH2725" s="373">
        <f>PPMT('Assumptions (T&amp;D) old'!$B$100,Model!AE$1,'Assumptions (T&amp;D) old'!$B$103,Model!$Z$2699)</f>
        <v>-0.07779532771</v>
      </c>
      <c r="AI2725" s="373">
        <f>PPMT('Assumptions (T&amp;D) old'!$B$100,Model!AF$1,'Assumptions (T&amp;D) old'!$B$103,Model!$Z$2699)</f>
        <v>-0.08149060578</v>
      </c>
      <c r="AJ2725" s="373">
        <f>PPMT('Assumptions (T&amp;D) old'!$B$100,Model!AG$1,'Assumptions (T&amp;D) old'!$B$103,Model!$Z$2699)</f>
        <v>-0.08536140955</v>
      </c>
      <c r="AK2725" s="373">
        <f>PPMT('Assumptions (T&amp;D) old'!$B$100,Model!AH$1,'Assumptions (T&amp;D) old'!$B$103,Model!$Z$2699)</f>
        <v>-0.08941607651</v>
      </c>
      <c r="AL2725" s="373">
        <f>PPMT('Assumptions (T&amp;D) old'!$B$100,Model!AI$1,'Assumptions (T&amp;D) old'!$B$103,Model!$Z$2699)</f>
        <v>-0.09366334014</v>
      </c>
      <c r="AM2725" s="373">
        <f>PPMT('Assumptions (T&amp;D) old'!$B$100,Model!AJ$1,'Assumptions (T&amp;D) old'!$B$103,Model!$Z$2699)</f>
        <v>-0.0981123488</v>
      </c>
      <c r="AN2725" s="373">
        <f>PPMT('Assumptions (T&amp;D) old'!$B$100,Model!AK$1,'Assumptions (T&amp;D) old'!$B$103,Model!$Z$2699)</f>
        <v>-0.1027726854</v>
      </c>
      <c r="AO2725" s="374"/>
      <c r="AP2725" s="374"/>
      <c r="AQ2725" s="374"/>
      <c r="AR2725" s="374"/>
      <c r="AS2725" s="374"/>
      <c r="AT2725" s="374"/>
      <c r="AU2725" s="374"/>
      <c r="AV2725" s="374"/>
      <c r="AW2725" s="374"/>
      <c r="AX2725" s="374"/>
      <c r="AY2725" s="32"/>
      <c r="AZ2725" s="32"/>
      <c r="BA2725" s="32"/>
      <c r="BB2725" s="32"/>
      <c r="BC2725" s="32"/>
      <c r="BD2725" s="32"/>
      <c r="BE2725" s="32"/>
      <c r="BF2725" s="32"/>
      <c r="BG2725" s="32"/>
      <c r="BH2725" s="32"/>
      <c r="BI2725" s="32"/>
      <c r="BJ2725" s="32"/>
      <c r="BK2725" s="32"/>
      <c r="BL2725" s="32"/>
      <c r="BM2725" s="32"/>
      <c r="BN2725" s="32"/>
      <c r="BO2725" s="32"/>
      <c r="BP2725" s="32"/>
      <c r="BQ2725" s="32"/>
      <c r="BR2725" s="32"/>
      <c r="BS2725" s="32"/>
      <c r="BT2725" s="32"/>
      <c r="BU2725" s="32"/>
      <c r="BV2725" s="32"/>
      <c r="BW2725" s="32"/>
      <c r="BX2725" s="32"/>
      <c r="BY2725" s="32"/>
      <c r="BZ2725" s="32"/>
      <c r="CA2725" s="32"/>
      <c r="CB2725" s="32"/>
      <c r="CC2725" s="32"/>
      <c r="CD2725" s="32"/>
    </row>
    <row r="2726" ht="15.75" hidden="1" customHeight="1" outlineLevel="1">
      <c r="A2726" s="365"/>
      <c r="B2726" s="38"/>
      <c r="C2726" s="374"/>
      <c r="D2726" s="374"/>
      <c r="E2726" s="374"/>
      <c r="F2726" s="374"/>
      <c r="G2726" s="374"/>
      <c r="H2726" s="374"/>
      <c r="I2726" s="374"/>
      <c r="J2726" s="374"/>
      <c r="K2726" s="374"/>
      <c r="L2726" s="374"/>
      <c r="M2726" s="374"/>
      <c r="N2726" s="374"/>
      <c r="O2726" s="374"/>
      <c r="P2726" s="374"/>
      <c r="Q2726" s="374"/>
      <c r="R2726" s="374"/>
      <c r="S2726" s="38"/>
      <c r="T2726" s="38"/>
      <c r="U2726" s="38"/>
      <c r="V2726" s="38"/>
      <c r="W2726" s="38"/>
      <c r="X2726" s="32"/>
      <c r="Y2726" s="32"/>
      <c r="Z2726" s="32"/>
      <c r="AA2726" s="373">
        <f>PPMT('Assumptions (T&amp;D) old'!$B$100,Model!W$1,'Assumptions (T&amp;D) old'!$B$103,Model!$AA$2699)</f>
        <v>-0.05515213835</v>
      </c>
      <c r="AB2726" s="373">
        <f>PPMT('Assumptions (T&amp;D) old'!$B$100,Model!X$1,'Assumptions (T&amp;D) old'!$B$103,Model!$AA$2699)</f>
        <v>-0.05777186492</v>
      </c>
      <c r="AC2726" s="373">
        <f>PPMT('Assumptions (T&amp;D) old'!$B$100,Model!Y$1,'Assumptions (T&amp;D) old'!$B$103,Model!$AA$2699)</f>
        <v>-0.06051602851</v>
      </c>
      <c r="AD2726" s="373">
        <f>PPMT('Assumptions (T&amp;D) old'!$B$100,Model!Z$1,'Assumptions (T&amp;D) old'!$B$103,Model!$AA$2699)</f>
        <v>-0.06339053986</v>
      </c>
      <c r="AE2726" s="373">
        <f>PPMT('Assumptions (T&amp;D) old'!$B$100,Model!AA$1,'Assumptions (T&amp;D) old'!$B$103,Model!$AA$2699)</f>
        <v>-0.0664015905</v>
      </c>
      <c r="AF2726" s="373">
        <f>PPMT('Assumptions (T&amp;D) old'!$B$100,Model!AB$1,'Assumptions (T&amp;D) old'!$B$103,Model!$AA$2699)</f>
        <v>-0.06955566605</v>
      </c>
      <c r="AG2726" s="373">
        <f>PPMT('Assumptions (T&amp;D) old'!$B$100,Model!AC$1,'Assumptions (T&amp;D) old'!$B$103,Model!$AA$2699)</f>
        <v>-0.07285956019</v>
      </c>
      <c r="AH2726" s="373">
        <f>PPMT('Assumptions (T&amp;D) old'!$B$100,Model!AD$1,'Assumptions (T&amp;D) old'!$B$103,Model!$AA$2699)</f>
        <v>-0.0763203893</v>
      </c>
      <c r="AI2726" s="373">
        <f>PPMT('Assumptions (T&amp;D) old'!$B$100,Model!AE$1,'Assumptions (T&amp;D) old'!$B$103,Model!$AA$2699)</f>
        <v>-0.07994560779</v>
      </c>
      <c r="AJ2726" s="373">
        <f>PPMT('Assumptions (T&amp;D) old'!$B$100,Model!AF$1,'Assumptions (T&amp;D) old'!$B$103,Model!$AA$2699)</f>
        <v>-0.08374302416</v>
      </c>
      <c r="AK2726" s="373">
        <f>PPMT('Assumptions (T&amp;D) old'!$B$100,Model!AG$1,'Assumptions (T&amp;D) old'!$B$103,Model!$AA$2699)</f>
        <v>-0.08772081781</v>
      </c>
      <c r="AL2726" s="373">
        <f>PPMT('Assumptions (T&amp;D) old'!$B$100,Model!AH$1,'Assumptions (T&amp;D) old'!$B$103,Model!$AA$2699)</f>
        <v>-0.09188755665</v>
      </c>
      <c r="AM2726" s="373">
        <f>PPMT('Assumptions (T&amp;D) old'!$B$100,Model!AI$1,'Assumptions (T&amp;D) old'!$B$103,Model!$AA$2699)</f>
        <v>-0.0962522156</v>
      </c>
      <c r="AN2726" s="373">
        <f>PPMT('Assumptions (T&amp;D) old'!$B$100,Model!AJ$1,'Assumptions (T&amp;D) old'!$B$103,Model!$AA$2699)</f>
        <v>-0.1008241958</v>
      </c>
      <c r="AO2726" s="373">
        <f>PPMT('Assumptions (T&amp;D) old'!$B$100,Model!AK$1,'Assumptions (T&amp;D) old'!$B$103,Model!$AA$2699)</f>
        <v>-0.1056133451</v>
      </c>
      <c r="AP2726" s="374"/>
      <c r="AQ2726" s="374"/>
      <c r="AR2726" s="374"/>
      <c r="AS2726" s="374"/>
      <c r="AT2726" s="374"/>
      <c r="AU2726" s="374"/>
      <c r="AV2726" s="374"/>
      <c r="AW2726" s="374"/>
      <c r="AX2726" s="374"/>
      <c r="AY2726" s="374"/>
      <c r="AZ2726" s="32"/>
      <c r="BA2726" s="32"/>
      <c r="BB2726" s="32"/>
      <c r="BC2726" s="32"/>
      <c r="BD2726" s="32"/>
      <c r="BE2726" s="32"/>
      <c r="BF2726" s="32"/>
      <c r="BG2726" s="32"/>
      <c r="BH2726" s="32"/>
      <c r="BI2726" s="32"/>
      <c r="BJ2726" s="32"/>
      <c r="BK2726" s="32"/>
      <c r="BL2726" s="32"/>
      <c r="BM2726" s="32"/>
      <c r="BN2726" s="32"/>
      <c r="BO2726" s="32"/>
      <c r="BP2726" s="32"/>
      <c r="BQ2726" s="32"/>
      <c r="BR2726" s="32"/>
      <c r="BS2726" s="32"/>
      <c r="BT2726" s="32"/>
      <c r="BU2726" s="32"/>
      <c r="BV2726" s="32"/>
      <c r="BW2726" s="32"/>
      <c r="BX2726" s="32"/>
      <c r="BY2726" s="32"/>
      <c r="BZ2726" s="32"/>
      <c r="CA2726" s="32"/>
      <c r="CB2726" s="32"/>
      <c r="CC2726" s="32"/>
      <c r="CD2726" s="32"/>
    </row>
    <row r="2727" ht="15.75" hidden="1" customHeight="1" outlineLevel="1">
      <c r="A2727" s="365"/>
      <c r="B2727" s="38"/>
      <c r="C2727" s="374"/>
      <c r="D2727" s="374"/>
      <c r="E2727" s="374"/>
      <c r="F2727" s="374"/>
      <c r="G2727" s="374"/>
      <c r="H2727" s="374"/>
      <c r="I2727" s="374"/>
      <c r="J2727" s="374"/>
      <c r="K2727" s="374"/>
      <c r="L2727" s="374"/>
      <c r="M2727" s="374"/>
      <c r="N2727" s="374"/>
      <c r="O2727" s="374"/>
      <c r="P2727" s="374"/>
      <c r="Q2727" s="374"/>
      <c r="R2727" s="374"/>
      <c r="S2727" s="38"/>
      <c r="T2727" s="38"/>
      <c r="U2727" s="38"/>
      <c r="V2727" s="38"/>
      <c r="W2727" s="38"/>
      <c r="X2727" s="32"/>
      <c r="Y2727" s="32"/>
      <c r="Z2727" s="32"/>
      <c r="AA2727" s="32"/>
      <c r="AB2727" s="373">
        <f>PPMT('Assumptions (T&amp;D) old'!$B$100,Model!W$1,'Assumptions (T&amp;D) old'!$B$103,Model!$AB$2699)</f>
        <v>-0.05667321277</v>
      </c>
      <c r="AC2727" s="373">
        <f>PPMT('Assumptions (T&amp;D) old'!$B$100,Model!X$1,'Assumptions (T&amp;D) old'!$B$103,Model!$AB$2699)</f>
        <v>-0.05936519037</v>
      </c>
      <c r="AD2727" s="373">
        <f>PPMT('Assumptions (T&amp;D) old'!$B$100,Model!Y$1,'Assumptions (T&amp;D) old'!$B$103,Model!$AB$2699)</f>
        <v>-0.06218503691</v>
      </c>
      <c r="AE2727" s="373">
        <f>PPMT('Assumptions (T&amp;D) old'!$B$100,Model!Z$1,'Assumptions (T&amp;D) old'!$B$103,Model!$AB$2699)</f>
        <v>-0.06513882617</v>
      </c>
      <c r="AF2727" s="373">
        <f>PPMT('Assumptions (T&amp;D) old'!$B$100,Model!AA$1,'Assumptions (T&amp;D) old'!$B$103,Model!$AB$2699)</f>
        <v>-0.06823292041</v>
      </c>
      <c r="AG2727" s="373">
        <f>PPMT('Assumptions (T&amp;D) old'!$B$100,Model!AB$1,'Assumptions (T&amp;D) old'!$B$103,Model!$AB$2699)</f>
        <v>-0.07147398413</v>
      </c>
      <c r="AH2727" s="373">
        <f>PPMT('Assumptions (T&amp;D) old'!$B$100,Model!AC$1,'Assumptions (T&amp;D) old'!$B$103,Model!$AB$2699)</f>
        <v>-0.07486899838</v>
      </c>
      <c r="AI2727" s="373">
        <f>PPMT('Assumptions (T&amp;D) old'!$B$100,Model!AD$1,'Assumptions (T&amp;D) old'!$B$103,Model!$AB$2699)</f>
        <v>-0.0784252758</v>
      </c>
      <c r="AJ2727" s="373">
        <f>PPMT('Assumptions (T&amp;D) old'!$B$100,Model!AE$1,'Assumptions (T&amp;D) old'!$B$103,Model!$AB$2699)</f>
        <v>-0.0821504764</v>
      </c>
      <c r="AK2727" s="373">
        <f>PPMT('Assumptions (T&amp;D) old'!$B$100,Model!AF$1,'Assumptions (T&amp;D) old'!$B$103,Model!$AB$2699)</f>
        <v>-0.08605262403</v>
      </c>
      <c r="AL2727" s="373">
        <f>PPMT('Assumptions (T&amp;D) old'!$B$100,Model!AG$1,'Assumptions (T&amp;D) old'!$B$103,Model!$AB$2699)</f>
        <v>-0.09014012367</v>
      </c>
      <c r="AM2727" s="373">
        <f>PPMT('Assumptions (T&amp;D) old'!$B$100,Model!AH$1,'Assumptions (T&amp;D) old'!$B$103,Model!$AB$2699)</f>
        <v>-0.09442177954</v>
      </c>
      <c r="AN2727" s="373">
        <f>PPMT('Assumptions (T&amp;D) old'!$B$100,Model!AI$1,'Assumptions (T&amp;D) old'!$B$103,Model!$AB$2699)</f>
        <v>-0.09890681407</v>
      </c>
      <c r="AO2727" s="373">
        <f>PPMT('Assumptions (T&amp;D) old'!$B$100,Model!AJ$1,'Assumptions (T&amp;D) old'!$B$103,Model!$AB$2699)</f>
        <v>-0.1036048877</v>
      </c>
      <c r="AP2727" s="373">
        <f>PPMT('Assumptions (T&amp;D) old'!$B$100,Model!AK$1,'Assumptions (T&amp;D) old'!$B$103,Model!$AB$2699)</f>
        <v>-0.1085261199</v>
      </c>
      <c r="AQ2727" s="374"/>
      <c r="AR2727" s="374"/>
      <c r="AS2727" s="374"/>
      <c r="AT2727" s="374"/>
      <c r="AU2727" s="374"/>
      <c r="AV2727" s="374"/>
      <c r="AW2727" s="374"/>
      <c r="AX2727" s="374"/>
      <c r="AY2727" s="374"/>
      <c r="AZ2727" s="374"/>
      <c r="BA2727" s="32"/>
      <c r="BB2727" s="32"/>
      <c r="BC2727" s="32"/>
      <c r="BD2727" s="32"/>
      <c r="BE2727" s="32"/>
      <c r="BF2727" s="32"/>
      <c r="BG2727" s="32"/>
      <c r="BH2727" s="32"/>
      <c r="BI2727" s="32"/>
      <c r="BJ2727" s="32"/>
      <c r="BK2727" s="32"/>
      <c r="BL2727" s="32"/>
      <c r="BM2727" s="32"/>
      <c r="BN2727" s="32"/>
      <c r="BO2727" s="32"/>
      <c r="BP2727" s="32"/>
      <c r="BQ2727" s="32"/>
      <c r="BR2727" s="32"/>
      <c r="BS2727" s="32"/>
      <c r="BT2727" s="32"/>
      <c r="BU2727" s="32"/>
      <c r="BV2727" s="32"/>
      <c r="BW2727" s="32"/>
      <c r="BX2727" s="32"/>
      <c r="BY2727" s="32"/>
      <c r="BZ2727" s="32"/>
      <c r="CA2727" s="32"/>
      <c r="CB2727" s="32"/>
      <c r="CC2727" s="32"/>
      <c r="CD2727" s="32"/>
    </row>
    <row r="2728" ht="15.75" hidden="1" customHeight="1" outlineLevel="1">
      <c r="A2728" s="365"/>
      <c r="B2728" s="38"/>
      <c r="C2728" s="374"/>
      <c r="D2728" s="374"/>
      <c r="E2728" s="374"/>
      <c r="F2728" s="374"/>
      <c r="G2728" s="374"/>
      <c r="H2728" s="374"/>
      <c r="I2728" s="374"/>
      <c r="J2728" s="374"/>
      <c r="K2728" s="374"/>
      <c r="L2728" s="374"/>
      <c r="M2728" s="374"/>
      <c r="N2728" s="374"/>
      <c r="O2728" s="374"/>
      <c r="P2728" s="374"/>
      <c r="Q2728" s="374"/>
      <c r="R2728" s="374"/>
      <c r="S2728" s="38"/>
      <c r="T2728" s="38"/>
      <c r="U2728" s="38"/>
      <c r="V2728" s="38"/>
      <c r="W2728" s="38"/>
      <c r="X2728" s="32"/>
      <c r="Y2728" s="32"/>
      <c r="Z2728" s="32"/>
      <c r="AA2728" s="32"/>
      <c r="AB2728" s="32"/>
      <c r="AC2728" s="373">
        <f>PPMT('Assumptions (T&amp;D) old'!$B$100,Model!W$1,'Assumptions (T&amp;D) old'!$B$103,Model!$AC$2699)</f>
        <v>-0.05823285509</v>
      </c>
      <c r="AD2728" s="373">
        <f>PPMT('Assumptions (T&amp;D) old'!$B$100,Model!X$1,'Assumptions (T&amp;D) old'!$B$103,Model!$AC$2699)</f>
        <v>-0.0609989157</v>
      </c>
      <c r="AE2728" s="373">
        <f>PPMT('Assumptions (T&amp;D) old'!$B$100,Model!Y$1,'Assumptions (T&amp;D) old'!$B$103,Model!$AC$2699)</f>
        <v>-0.0638963642</v>
      </c>
      <c r="AF2728" s="373">
        <f>PPMT('Assumptions (T&amp;D) old'!$B$100,Model!Z$1,'Assumptions (T&amp;D) old'!$B$103,Model!$AC$2699)</f>
        <v>-0.0669314415</v>
      </c>
      <c r="AG2728" s="373">
        <f>PPMT('Assumptions (T&amp;D) old'!$B$100,Model!AA$1,'Assumptions (T&amp;D) old'!$B$103,Model!$AC$2699)</f>
        <v>-0.07011068497</v>
      </c>
      <c r="AH2728" s="373">
        <f>PPMT('Assumptions (T&amp;D) old'!$B$100,Model!AB$1,'Assumptions (T&amp;D) old'!$B$103,Model!$AC$2699)</f>
        <v>-0.07344094251</v>
      </c>
      <c r="AI2728" s="373">
        <f>PPMT('Assumptions (T&amp;D) old'!$B$100,Model!AC$1,'Assumptions (T&amp;D) old'!$B$103,Model!$AC$2699)</f>
        <v>-0.07692938727</v>
      </c>
      <c r="AJ2728" s="373">
        <f>PPMT('Assumptions (T&amp;D) old'!$B$100,Model!AD$1,'Assumptions (T&amp;D) old'!$B$103,Model!$AC$2699)</f>
        <v>-0.08058353317</v>
      </c>
      <c r="AK2728" s="373">
        <f>PPMT('Assumptions (T&amp;D) old'!$B$100,Model!AE$1,'Assumptions (T&amp;D) old'!$B$103,Model!$AC$2699)</f>
        <v>-0.084411251</v>
      </c>
      <c r="AL2728" s="373">
        <f>PPMT('Assumptions (T&amp;D) old'!$B$100,Model!AF$1,'Assumptions (T&amp;D) old'!$B$103,Model!$AC$2699)</f>
        <v>-0.08842078542</v>
      </c>
      <c r="AM2728" s="373">
        <f>PPMT('Assumptions (T&amp;D) old'!$B$100,Model!AG$1,'Assumptions (T&amp;D) old'!$B$103,Model!$AC$2699)</f>
        <v>-0.09262077272</v>
      </c>
      <c r="AN2728" s="373">
        <f>PPMT('Assumptions (T&amp;D) old'!$B$100,Model!AH$1,'Assumptions (T&amp;D) old'!$B$103,Model!$AC$2699)</f>
        <v>-0.09702025943</v>
      </c>
      <c r="AO2728" s="373">
        <f>PPMT('Assumptions (T&amp;D) old'!$B$100,Model!AI$1,'Assumptions (T&amp;D) old'!$B$103,Model!$AC$2699)</f>
        <v>-0.1016287218</v>
      </c>
      <c r="AP2728" s="373">
        <f>PPMT('Assumptions (T&amp;D) old'!$B$100,Model!AJ$1,'Assumptions (T&amp;D) old'!$B$103,Model!$AC$2699)</f>
        <v>-0.106456086</v>
      </c>
      <c r="AQ2728" s="373">
        <f>PPMT('Assumptions (T&amp;D) old'!$B$100,Model!AK$1,'Assumptions (T&amp;D) old'!$B$103,Model!$AC$2699)</f>
        <v>-0.1115127501</v>
      </c>
      <c r="AR2728" s="374"/>
      <c r="AS2728" s="374"/>
      <c r="AT2728" s="374"/>
      <c r="AU2728" s="374"/>
      <c r="AV2728" s="374"/>
      <c r="AW2728" s="374"/>
      <c r="AX2728" s="374"/>
      <c r="AY2728" s="374"/>
      <c r="AZ2728" s="374"/>
      <c r="BA2728" s="374"/>
      <c r="BB2728" s="32"/>
      <c r="BC2728" s="32"/>
      <c r="BD2728" s="32"/>
      <c r="BE2728" s="32"/>
      <c r="BF2728" s="32"/>
      <c r="BG2728" s="32"/>
      <c r="BH2728" s="32"/>
      <c r="BI2728" s="32"/>
      <c r="BJ2728" s="32"/>
      <c r="BK2728" s="32"/>
      <c r="BL2728" s="32"/>
      <c r="BM2728" s="32"/>
      <c r="BN2728" s="32"/>
      <c r="BO2728" s="32"/>
      <c r="BP2728" s="32"/>
      <c r="BQ2728" s="32"/>
      <c r="BR2728" s="32"/>
      <c r="BS2728" s="32"/>
      <c r="BT2728" s="32"/>
      <c r="BU2728" s="32"/>
      <c r="BV2728" s="32"/>
      <c r="BW2728" s="32"/>
      <c r="BX2728" s="32"/>
      <c r="BY2728" s="32"/>
      <c r="BZ2728" s="32"/>
      <c r="CA2728" s="32"/>
      <c r="CB2728" s="32"/>
      <c r="CC2728" s="32"/>
      <c r="CD2728" s="32"/>
    </row>
    <row r="2729" ht="15.75" hidden="1" customHeight="1" outlineLevel="1">
      <c r="A2729" s="365"/>
      <c r="B2729" s="38"/>
      <c r="C2729" s="374"/>
      <c r="D2729" s="374"/>
      <c r="E2729" s="374"/>
      <c r="F2729" s="374"/>
      <c r="G2729" s="374"/>
      <c r="H2729" s="374"/>
      <c r="I2729" s="374"/>
      <c r="J2729" s="374"/>
      <c r="K2729" s="374"/>
      <c r="L2729" s="374"/>
      <c r="M2729" s="374"/>
      <c r="N2729" s="374"/>
      <c r="O2729" s="374"/>
      <c r="P2729" s="374"/>
      <c r="Q2729" s="374"/>
      <c r="R2729" s="374"/>
      <c r="S2729" s="38"/>
      <c r="T2729" s="38"/>
      <c r="U2729" s="38"/>
      <c r="V2729" s="38"/>
      <c r="W2729" s="38"/>
      <c r="X2729" s="32"/>
      <c r="Y2729" s="32"/>
      <c r="Z2729" s="32"/>
      <c r="AA2729" s="32"/>
      <c r="AB2729" s="32"/>
      <c r="AC2729" s="32"/>
      <c r="AD2729" s="373">
        <f>PPMT('Assumptions (T&amp;D) old'!$B$100,Model!W$1,'Assumptions (T&amp;D) old'!$B$103,Model!$AD$2699)</f>
        <v>-0.0598319954</v>
      </c>
      <c r="AE2729" s="373">
        <f>PPMT('Assumptions (T&amp;D) old'!$B$100,Model!X$1,'Assumptions (T&amp;D) old'!$B$103,Model!$AD$2699)</f>
        <v>-0.06267401518</v>
      </c>
      <c r="AF2729" s="373">
        <f>PPMT('Assumptions (T&amp;D) old'!$B$100,Model!Y$1,'Assumptions (T&amp;D) old'!$B$103,Model!$AD$2699)</f>
        <v>-0.0656510309</v>
      </c>
      <c r="AG2729" s="373">
        <f>PPMT('Assumptions (T&amp;D) old'!$B$100,Model!Z$1,'Assumptions (T&amp;D) old'!$B$103,Model!$AD$2699)</f>
        <v>-0.06876945486</v>
      </c>
      <c r="AH2729" s="373">
        <f>PPMT('Assumptions (T&amp;D) old'!$B$100,Model!AA$1,'Assumptions (T&amp;D) old'!$B$103,Model!$AD$2699)</f>
        <v>-0.07203600397</v>
      </c>
      <c r="AI2729" s="373">
        <f>PPMT('Assumptions (T&amp;D) old'!$B$100,Model!AB$1,'Assumptions (T&amp;D) old'!$B$103,Model!$AD$2699)</f>
        <v>-0.07545771416</v>
      </c>
      <c r="AJ2729" s="373">
        <f>PPMT('Assumptions (T&amp;D) old'!$B$100,Model!AC$1,'Assumptions (T&amp;D) old'!$B$103,Model!$AD$2699)</f>
        <v>-0.07904195558</v>
      </c>
      <c r="AK2729" s="373">
        <f>PPMT('Assumptions (T&amp;D) old'!$B$100,Model!AD$1,'Assumptions (T&amp;D) old'!$B$103,Model!$AD$2699)</f>
        <v>-0.08279644847</v>
      </c>
      <c r="AL2729" s="373">
        <f>PPMT('Assumptions (T&amp;D) old'!$B$100,Model!AE$1,'Assumptions (T&amp;D) old'!$B$103,Model!$AD$2699)</f>
        <v>-0.08672927977</v>
      </c>
      <c r="AM2729" s="373">
        <f>PPMT('Assumptions (T&amp;D) old'!$B$100,Model!AF$1,'Assumptions (T&amp;D) old'!$B$103,Model!$AD$2699)</f>
        <v>-0.09084892056</v>
      </c>
      <c r="AN2729" s="373">
        <f>PPMT('Assumptions (T&amp;D) old'!$B$100,Model!AG$1,'Assumptions (T&amp;D) old'!$B$103,Model!$AD$2699)</f>
        <v>-0.09516424429</v>
      </c>
      <c r="AO2729" s="373">
        <f>PPMT('Assumptions (T&amp;D) old'!$B$100,Model!AH$1,'Assumptions (T&amp;D) old'!$B$103,Model!$AD$2699)</f>
        <v>-0.09968454589</v>
      </c>
      <c r="AP2729" s="373">
        <f>PPMT('Assumptions (T&amp;D) old'!$B$100,Model!AI$1,'Assumptions (T&amp;D) old'!$B$103,Model!$AD$2699)</f>
        <v>-0.1044195618</v>
      </c>
      <c r="AQ2729" s="373">
        <f>PPMT('Assumptions (T&amp;D) old'!$B$100,Model!AJ$1,'Assumptions (T&amp;D) old'!$B$103,Model!$AD$2699)</f>
        <v>-0.109379491</v>
      </c>
      <c r="AR2729" s="373">
        <f>PPMT('Assumptions (T&amp;D) old'!$B$100,Model!AK$1,'Assumptions (T&amp;D) old'!$B$103,Model!$AD$2699)</f>
        <v>-0.1145750168</v>
      </c>
      <c r="AS2729" s="374"/>
      <c r="AT2729" s="374"/>
      <c r="AU2729" s="374"/>
      <c r="AV2729" s="374"/>
      <c r="AW2729" s="374"/>
      <c r="AX2729" s="374"/>
      <c r="AY2729" s="374"/>
      <c r="AZ2729" s="374"/>
      <c r="BA2729" s="374"/>
      <c r="BB2729" s="374"/>
      <c r="BC2729" s="32"/>
      <c r="BD2729" s="32"/>
      <c r="BE2729" s="32"/>
      <c r="BF2729" s="32"/>
      <c r="BG2729" s="32"/>
      <c r="BH2729" s="32"/>
      <c r="BI2729" s="32"/>
      <c r="BJ2729" s="32"/>
      <c r="BK2729" s="32"/>
      <c r="BL2729" s="32"/>
      <c r="BM2729" s="32"/>
      <c r="BN2729" s="32"/>
      <c r="BO2729" s="32"/>
      <c r="BP2729" s="32"/>
      <c r="BQ2729" s="32"/>
      <c r="BR2729" s="32"/>
      <c r="BS2729" s="32"/>
      <c r="BT2729" s="32"/>
      <c r="BU2729" s="32"/>
      <c r="BV2729" s="32"/>
      <c r="BW2729" s="32"/>
      <c r="BX2729" s="32"/>
      <c r="BY2729" s="32"/>
      <c r="BZ2729" s="32"/>
      <c r="CA2729" s="32"/>
      <c r="CB2729" s="32"/>
      <c r="CC2729" s="32"/>
      <c r="CD2729" s="32"/>
    </row>
    <row r="2730" ht="15.75" hidden="1" customHeight="1" outlineLevel="1">
      <c r="A2730" s="365"/>
      <c r="B2730" s="38"/>
      <c r="C2730" s="374"/>
      <c r="D2730" s="374"/>
      <c r="E2730" s="374"/>
      <c r="F2730" s="374"/>
      <c r="G2730" s="374"/>
      <c r="H2730" s="374"/>
      <c r="I2730" s="374"/>
      <c r="J2730" s="374"/>
      <c r="K2730" s="374"/>
      <c r="L2730" s="374"/>
      <c r="M2730" s="374"/>
      <c r="N2730" s="374"/>
      <c r="O2730" s="374"/>
      <c r="P2730" s="374"/>
      <c r="Q2730" s="374"/>
      <c r="R2730" s="374"/>
      <c r="S2730" s="38"/>
      <c r="T2730" s="38"/>
      <c r="U2730" s="38"/>
      <c r="V2730" s="38"/>
      <c r="W2730" s="38"/>
      <c r="X2730" s="32"/>
      <c r="Y2730" s="32"/>
      <c r="Z2730" s="32"/>
      <c r="AA2730" s="32"/>
      <c r="AB2730" s="32"/>
      <c r="AC2730" s="32"/>
      <c r="AD2730" s="32"/>
      <c r="AE2730" s="373">
        <f>PPMT('Assumptions (T&amp;D) old'!$B$100,Model!W$1,'Assumptions (T&amp;D) old'!$B$103,Model!$AE$2699)</f>
        <v>-0.06149505138</v>
      </c>
      <c r="AF2730" s="373">
        <f>PPMT('Assumptions (T&amp;D) old'!$B$100,Model!X$1,'Assumptions (T&amp;D) old'!$B$103,Model!$AE$2699)</f>
        <v>-0.06441606632</v>
      </c>
      <c r="AG2730" s="373">
        <f>PPMT('Assumptions (T&amp;D) old'!$B$100,Model!Y$1,'Assumptions (T&amp;D) old'!$B$103,Model!$AE$2699)</f>
        <v>-0.06747582947</v>
      </c>
      <c r="AH2730" s="373">
        <f>PPMT('Assumptions (T&amp;D) old'!$B$100,Model!Z$1,'Assumptions (T&amp;D) old'!$B$103,Model!$AE$2699)</f>
        <v>-0.07068093137</v>
      </c>
      <c r="AI2730" s="373">
        <f>PPMT('Assumptions (T&amp;D) old'!$B$100,Model!AA$1,'Assumptions (T&amp;D) old'!$B$103,Model!$AE$2699)</f>
        <v>-0.07403827561</v>
      </c>
      <c r="AJ2730" s="373">
        <f>PPMT('Assumptions (T&amp;D) old'!$B$100,Model!AB$1,'Assumptions (T&amp;D) old'!$B$103,Model!$AE$2699)</f>
        <v>-0.0775550937</v>
      </c>
      <c r="AK2730" s="373">
        <f>PPMT('Assumptions (T&amp;D) old'!$B$100,Model!AC$1,'Assumptions (T&amp;D) old'!$B$103,Model!$AE$2699)</f>
        <v>-0.08123896065</v>
      </c>
      <c r="AL2730" s="373">
        <f>PPMT('Assumptions (T&amp;D) old'!$B$100,Model!AD$1,'Assumptions (T&amp;D) old'!$B$103,Model!$AE$2699)</f>
        <v>-0.08509781128</v>
      </c>
      <c r="AM2730" s="373">
        <f>PPMT('Assumptions (T&amp;D) old'!$B$100,Model!AE$1,'Assumptions (T&amp;D) old'!$B$103,Model!$AE$2699)</f>
        <v>-0.08913995732</v>
      </c>
      <c r="AN2730" s="373">
        <f>PPMT('Assumptions (T&amp;D) old'!$B$100,Model!AF$1,'Assumptions (T&amp;D) old'!$B$103,Model!$AE$2699)</f>
        <v>-0.09337410529</v>
      </c>
      <c r="AO2730" s="373">
        <f>PPMT('Assumptions (T&amp;D) old'!$B$100,Model!AG$1,'Assumptions (T&amp;D) old'!$B$103,Model!$AE$2699)</f>
        <v>-0.09780937529</v>
      </c>
      <c r="AP2730" s="373">
        <f>PPMT('Assumptions (T&amp;D) old'!$B$100,Model!AH$1,'Assumptions (T&amp;D) old'!$B$103,Model!$AE$2699)</f>
        <v>-0.1024553206</v>
      </c>
      <c r="AQ2730" s="373">
        <f>PPMT('Assumptions (T&amp;D) old'!$B$100,Model!AI$1,'Assumptions (T&amp;D) old'!$B$103,Model!$AE$2699)</f>
        <v>-0.1073219484</v>
      </c>
      <c r="AR2730" s="373">
        <f>PPMT('Assumptions (T&amp;D) old'!$B$100,Model!AJ$1,'Assumptions (T&amp;D) old'!$B$103,Model!$AE$2699)</f>
        <v>-0.1124197409</v>
      </c>
      <c r="AS2730" s="373">
        <f>PPMT('Assumptions (T&amp;D) old'!$B$100,Model!AK$1,'Assumptions (T&amp;D) old'!$B$103,Model!$AE$2699)</f>
        <v>-0.1177596786</v>
      </c>
      <c r="AT2730" s="374"/>
      <c r="AU2730" s="374"/>
      <c r="AV2730" s="374"/>
      <c r="AW2730" s="374"/>
      <c r="AX2730" s="374"/>
      <c r="AY2730" s="374"/>
      <c r="AZ2730" s="374"/>
      <c r="BA2730" s="374"/>
      <c r="BB2730" s="374"/>
      <c r="BC2730" s="374"/>
      <c r="BD2730" s="32"/>
      <c r="BE2730" s="32"/>
      <c r="BF2730" s="32"/>
      <c r="BG2730" s="32"/>
      <c r="BH2730" s="32"/>
      <c r="BI2730" s="32"/>
      <c r="BJ2730" s="32"/>
      <c r="BK2730" s="32"/>
      <c r="BL2730" s="32"/>
      <c r="BM2730" s="32"/>
      <c r="BN2730" s="32"/>
      <c r="BO2730" s="32"/>
      <c r="BP2730" s="32"/>
      <c r="BQ2730" s="32"/>
      <c r="BR2730" s="32"/>
      <c r="BS2730" s="32"/>
      <c r="BT2730" s="32"/>
      <c r="BU2730" s="32"/>
      <c r="BV2730" s="32"/>
      <c r="BW2730" s="32"/>
      <c r="BX2730" s="32"/>
      <c r="BY2730" s="32"/>
      <c r="BZ2730" s="32"/>
      <c r="CA2730" s="32"/>
      <c r="CB2730" s="32"/>
      <c r="CC2730" s="32"/>
      <c r="CD2730" s="32"/>
    </row>
    <row r="2731" ht="15.75" hidden="1" customHeight="1" outlineLevel="1">
      <c r="A2731" s="365"/>
      <c r="B2731" s="38"/>
      <c r="C2731" s="374"/>
      <c r="D2731" s="374"/>
      <c r="E2731" s="374"/>
      <c r="F2731" s="374"/>
      <c r="G2731" s="374"/>
      <c r="H2731" s="374"/>
      <c r="I2731" s="374"/>
      <c r="J2731" s="374"/>
      <c r="K2731" s="374"/>
      <c r="L2731" s="374"/>
      <c r="M2731" s="374"/>
      <c r="N2731" s="374"/>
      <c r="O2731" s="374"/>
      <c r="P2731" s="374"/>
      <c r="Q2731" s="374"/>
      <c r="R2731" s="374"/>
      <c r="S2731" s="38"/>
      <c r="T2731" s="38"/>
      <c r="U2731" s="38"/>
      <c r="V2731" s="38"/>
      <c r="W2731" s="38"/>
      <c r="X2731" s="32"/>
      <c r="Y2731" s="32"/>
      <c r="Z2731" s="32"/>
      <c r="AA2731" s="32"/>
      <c r="AB2731" s="32"/>
      <c r="AC2731" s="32"/>
      <c r="AD2731" s="32"/>
      <c r="AE2731" s="32"/>
      <c r="AF2731" s="373">
        <f>PPMT('Assumptions (T&amp;D) old'!$B$100,Model!W$1,'Assumptions (T&amp;D) old'!$B$103,Model!$AF$2699)</f>
        <v>-0.06315259928</v>
      </c>
      <c r="AG2731" s="373">
        <f>PPMT('Assumptions (T&amp;D) old'!$B$100,Model!X$1,'Assumptions (T&amp;D) old'!$B$103,Model!$AF$2699)</f>
        <v>-0.06615234774</v>
      </c>
      <c r="AH2731" s="373">
        <f>PPMT('Assumptions (T&amp;D) old'!$B$100,Model!Y$1,'Assumptions (T&amp;D) old'!$B$103,Model!$AF$2699)</f>
        <v>-0.06929458426</v>
      </c>
      <c r="AI2731" s="373">
        <f>PPMT('Assumptions (T&amp;D) old'!$B$100,Model!Z$1,'Assumptions (T&amp;D) old'!$B$103,Model!$AF$2699)</f>
        <v>-0.07258607701</v>
      </c>
      <c r="AJ2731" s="373">
        <f>PPMT('Assumptions (T&amp;D) old'!$B$100,Model!AA$1,'Assumptions (T&amp;D) old'!$B$103,Model!$AF$2699)</f>
        <v>-0.07603391567</v>
      </c>
      <c r="AK2731" s="373">
        <f>PPMT('Assumptions (T&amp;D) old'!$B$100,Model!AB$1,'Assumptions (T&amp;D) old'!$B$103,Model!$AF$2699)</f>
        <v>-0.07964552667</v>
      </c>
      <c r="AL2731" s="373">
        <f>PPMT('Assumptions (T&amp;D) old'!$B$100,Model!AC$1,'Assumptions (T&amp;D) old'!$B$103,Model!$AF$2699)</f>
        <v>-0.08342868918</v>
      </c>
      <c r="AM2731" s="373">
        <f>PPMT('Assumptions (T&amp;D) old'!$B$100,Model!AD$1,'Assumptions (T&amp;D) old'!$B$103,Model!$AF$2699)</f>
        <v>-0.08739155192</v>
      </c>
      <c r="AN2731" s="373">
        <f>PPMT('Assumptions (T&amp;D) old'!$B$100,Model!AE$1,'Assumptions (T&amp;D) old'!$B$103,Model!$AF$2699)</f>
        <v>-0.09154265063</v>
      </c>
      <c r="AO2731" s="373">
        <f>PPMT('Assumptions (T&amp;D) old'!$B$100,Model!AF$1,'Assumptions (T&amp;D) old'!$B$103,Model!$AF$2699)</f>
        <v>-0.09589092654</v>
      </c>
      <c r="AP2731" s="373">
        <f>PPMT('Assumptions (T&amp;D) old'!$B$100,Model!AG$1,'Assumptions (T&amp;D) old'!$B$103,Model!$AF$2699)</f>
        <v>-0.1004457456</v>
      </c>
      <c r="AQ2731" s="373">
        <f>PPMT('Assumptions (T&amp;D) old'!$B$100,Model!AH$1,'Assumptions (T&amp;D) old'!$B$103,Model!$AF$2699)</f>
        <v>-0.1052169185</v>
      </c>
      <c r="AR2731" s="373">
        <f>PPMT('Assumptions (T&amp;D) old'!$B$100,Model!AI$1,'Assumptions (T&amp;D) old'!$B$103,Model!$AF$2699)</f>
        <v>-0.1102147221</v>
      </c>
      <c r="AS2731" s="373">
        <f>PPMT('Assumptions (T&amp;D) old'!$B$100,Model!AJ$1,'Assumptions (T&amp;D) old'!$B$103,Model!$AF$2699)</f>
        <v>-0.1154499214</v>
      </c>
      <c r="AT2731" s="373">
        <f>PPMT('Assumptions (T&amp;D) old'!$B$100,Model!AK$1,'Assumptions (T&amp;D) old'!$B$103,Model!$AF$2699)</f>
        <v>-0.1209337927</v>
      </c>
      <c r="AU2731" s="374"/>
      <c r="AV2731" s="374"/>
      <c r="AW2731" s="374"/>
      <c r="AX2731" s="374"/>
      <c r="AY2731" s="374"/>
      <c r="AZ2731" s="374"/>
      <c r="BA2731" s="374"/>
      <c r="BB2731" s="374"/>
      <c r="BC2731" s="374"/>
      <c r="BD2731" s="374"/>
      <c r="BE2731" s="32"/>
      <c r="BF2731" s="32"/>
      <c r="BG2731" s="32"/>
      <c r="BH2731" s="32"/>
      <c r="BI2731" s="32"/>
      <c r="BJ2731" s="32"/>
      <c r="BK2731" s="32"/>
      <c r="BL2731" s="32"/>
      <c r="BM2731" s="32"/>
      <c r="BN2731" s="32"/>
      <c r="BO2731" s="32"/>
      <c r="BP2731" s="32"/>
      <c r="BQ2731" s="32"/>
      <c r="BR2731" s="32"/>
      <c r="BS2731" s="32"/>
      <c r="BT2731" s="32"/>
      <c r="BU2731" s="32"/>
      <c r="BV2731" s="32"/>
      <c r="BW2731" s="32"/>
      <c r="BX2731" s="32"/>
      <c r="BY2731" s="32"/>
      <c r="BZ2731" s="32"/>
      <c r="CA2731" s="32"/>
      <c r="CB2731" s="32"/>
      <c r="CC2731" s="32"/>
      <c r="CD2731" s="32"/>
    </row>
    <row r="2732" ht="15.75" hidden="1" customHeight="1" outlineLevel="1">
      <c r="A2732" s="365"/>
      <c r="B2732" s="38"/>
      <c r="C2732" s="374"/>
      <c r="D2732" s="374"/>
      <c r="E2732" s="374"/>
      <c r="F2732" s="374"/>
      <c r="G2732" s="374"/>
      <c r="H2732" s="374"/>
      <c r="I2732" s="374"/>
      <c r="J2732" s="374"/>
      <c r="K2732" s="374"/>
      <c r="L2732" s="374"/>
      <c r="M2732" s="374"/>
      <c r="N2732" s="374"/>
      <c r="O2732" s="374"/>
      <c r="P2732" s="374"/>
      <c r="Q2732" s="374"/>
      <c r="R2732" s="374"/>
      <c r="S2732" s="38"/>
      <c r="T2732" s="38"/>
      <c r="U2732" s="38"/>
      <c r="V2732" s="38"/>
      <c r="W2732" s="38"/>
      <c r="X2732" s="32"/>
      <c r="Y2732" s="32"/>
      <c r="Z2732" s="32"/>
      <c r="AA2732" s="32"/>
      <c r="AB2732" s="32"/>
      <c r="AC2732" s="32"/>
      <c r="AD2732" s="32"/>
      <c r="AE2732" s="32"/>
      <c r="AF2732" s="32"/>
      <c r="AG2732" s="373">
        <f>PPMT('Assumptions (T&amp;D) old'!$B$100,Model!W$1,'Assumptions (T&amp;D) old'!$B$103,Model!$AG$2699)</f>
        <v>-0.06487603347</v>
      </c>
      <c r="AH2732" s="373">
        <f>PPMT('Assumptions (T&amp;D) old'!$B$100,Model!X$1,'Assumptions (T&amp;D) old'!$B$103,Model!$AG$2699)</f>
        <v>-0.06795764506</v>
      </c>
      <c r="AI2732" s="373">
        <f>PPMT('Assumptions (T&amp;D) old'!$B$100,Model!Y$1,'Assumptions (T&amp;D) old'!$B$103,Model!$AG$2699)</f>
        <v>-0.0711856332</v>
      </c>
      <c r="AJ2732" s="373">
        <f>PPMT('Assumptions (T&amp;D) old'!$B$100,Model!Z$1,'Assumptions (T&amp;D) old'!$B$103,Model!$AG$2699)</f>
        <v>-0.07456695078</v>
      </c>
      <c r="AK2732" s="373">
        <f>PPMT('Assumptions (T&amp;D) old'!$B$100,Model!AA$1,'Assumptions (T&amp;D) old'!$B$103,Model!$AG$2699)</f>
        <v>-0.07810888094</v>
      </c>
      <c r="AL2732" s="373">
        <f>PPMT('Assumptions (T&amp;D) old'!$B$100,Model!AB$1,'Assumptions (T&amp;D) old'!$B$103,Model!$AG$2699)</f>
        <v>-0.08181905279</v>
      </c>
      <c r="AM2732" s="373">
        <f>PPMT('Assumptions (T&amp;D) old'!$B$100,Model!AC$1,'Assumptions (T&amp;D) old'!$B$103,Model!$AG$2699)</f>
        <v>-0.08570545779</v>
      </c>
      <c r="AN2732" s="373">
        <f>PPMT('Assumptions (T&amp;D) old'!$B$100,Model!AD$1,'Assumptions (T&amp;D) old'!$B$103,Model!$AG$2699)</f>
        <v>-0.08977646704</v>
      </c>
      <c r="AO2732" s="373">
        <f>PPMT('Assumptions (T&amp;D) old'!$B$100,Model!AE$1,'Assumptions (T&amp;D) old'!$B$103,Model!$AG$2699)</f>
        <v>-0.09404084922</v>
      </c>
      <c r="AP2732" s="373">
        <f>PPMT('Assumptions (T&amp;D) old'!$B$100,Model!AF$1,'Assumptions (T&amp;D) old'!$B$103,Model!$AG$2699)</f>
        <v>-0.09850778956</v>
      </c>
      <c r="AQ2732" s="373">
        <f>PPMT('Assumptions (T&amp;D) old'!$B$100,Model!AG$1,'Assumptions (T&amp;D) old'!$B$103,Model!$AG$2699)</f>
        <v>-0.1031869096</v>
      </c>
      <c r="AR2732" s="373">
        <f>PPMT('Assumptions (T&amp;D) old'!$B$100,Model!AH$1,'Assumptions (T&amp;D) old'!$B$103,Model!$AG$2699)</f>
        <v>-0.1080882878</v>
      </c>
      <c r="AS2732" s="373">
        <f>PPMT('Assumptions (T&amp;D) old'!$B$100,Model!AI$1,'Assumptions (T&amp;D) old'!$B$103,Model!$AG$2699)</f>
        <v>-0.1132224814</v>
      </c>
      <c r="AT2732" s="373">
        <f>PPMT('Assumptions (T&amp;D) old'!$B$100,Model!AJ$1,'Assumptions (T&amp;D) old'!$B$103,Model!$AG$2699)</f>
        <v>-0.1186005493</v>
      </c>
      <c r="AU2732" s="373">
        <f>PPMT('Assumptions (T&amp;D) old'!$B$100,Model!AK$1,'Assumptions (T&amp;D) old'!$B$103,Model!$AG$2699)</f>
        <v>-0.1242340754</v>
      </c>
      <c r="AV2732" s="374"/>
      <c r="AW2732" s="374"/>
      <c r="AX2732" s="374"/>
      <c r="AY2732" s="374"/>
      <c r="AZ2732" s="374"/>
      <c r="BA2732" s="374"/>
      <c r="BB2732" s="374"/>
      <c r="BC2732" s="374"/>
      <c r="BD2732" s="374"/>
      <c r="BE2732" s="374"/>
      <c r="BF2732" s="32"/>
      <c r="BG2732" s="32"/>
      <c r="BH2732" s="32"/>
      <c r="BI2732" s="32"/>
      <c r="BJ2732" s="32"/>
      <c r="BK2732" s="32"/>
      <c r="BL2732" s="32"/>
      <c r="BM2732" s="32"/>
      <c r="BN2732" s="32"/>
      <c r="BO2732" s="32"/>
      <c r="BP2732" s="32"/>
      <c r="BQ2732" s="32"/>
      <c r="BR2732" s="32"/>
      <c r="BS2732" s="32"/>
      <c r="BT2732" s="32"/>
      <c r="BU2732" s="32"/>
      <c r="BV2732" s="32"/>
      <c r="BW2732" s="32"/>
      <c r="BX2732" s="32"/>
      <c r="BY2732" s="32"/>
      <c r="BZ2732" s="32"/>
      <c r="CA2732" s="32"/>
      <c r="CB2732" s="32"/>
      <c r="CC2732" s="32"/>
      <c r="CD2732" s="32"/>
    </row>
    <row r="2733" ht="15.75" hidden="1" customHeight="1" outlineLevel="1">
      <c r="A2733" s="365"/>
      <c r="B2733" s="38"/>
      <c r="C2733" s="374"/>
      <c r="D2733" s="374"/>
      <c r="E2733" s="374"/>
      <c r="F2733" s="374"/>
      <c r="G2733" s="374"/>
      <c r="H2733" s="374"/>
      <c r="I2733" s="374"/>
      <c r="J2733" s="374"/>
      <c r="K2733" s="374"/>
      <c r="L2733" s="374"/>
      <c r="M2733" s="374"/>
      <c r="N2733" s="374"/>
      <c r="O2733" s="374"/>
      <c r="P2733" s="374"/>
      <c r="Q2733" s="374"/>
      <c r="R2733" s="374"/>
      <c r="S2733" s="38"/>
      <c r="T2733" s="38"/>
      <c r="U2733" s="38"/>
      <c r="V2733" s="38"/>
      <c r="W2733" s="38"/>
      <c r="X2733" s="32"/>
      <c r="Y2733" s="32"/>
      <c r="Z2733" s="32"/>
      <c r="AA2733" s="32"/>
      <c r="AB2733" s="32"/>
      <c r="AC2733" s="32"/>
      <c r="AD2733" s="32"/>
      <c r="AE2733" s="32"/>
      <c r="AF2733" s="32"/>
      <c r="AG2733" s="32"/>
      <c r="AH2733" s="373">
        <f>PPMT('Assumptions (T&amp;D) old'!$B$100,Model!W$1,'Assumptions (T&amp;D) old'!$B$103,Model!$AH$2699)</f>
        <v>-0.06664290793</v>
      </c>
      <c r="AI2733" s="373">
        <f>PPMT('Assumptions (T&amp;D) old'!$B$100,Model!X$1,'Assumptions (T&amp;D) old'!$B$103,Model!$AH$2699)</f>
        <v>-0.06980844605</v>
      </c>
      <c r="AJ2733" s="373">
        <f>PPMT('Assumptions (T&amp;D) old'!$B$100,Model!Y$1,'Assumptions (T&amp;D) old'!$B$103,Model!$AH$2699)</f>
        <v>-0.07312434724</v>
      </c>
      <c r="AK2733" s="373">
        <f>PPMT('Assumptions (T&amp;D) old'!$B$100,Model!Z$1,'Assumptions (T&amp;D) old'!$B$103,Model!$AH$2699)</f>
        <v>-0.07659775373</v>
      </c>
      <c r="AL2733" s="373">
        <f>PPMT('Assumptions (T&amp;D) old'!$B$100,Model!AA$1,'Assumptions (T&amp;D) old'!$B$103,Model!$AH$2699)</f>
        <v>-0.08023614704</v>
      </c>
      <c r="AM2733" s="373">
        <f>PPMT('Assumptions (T&amp;D) old'!$B$100,Model!AB$1,'Assumptions (T&amp;D) old'!$B$103,Model!$AH$2699)</f>
        <v>-0.08404736402</v>
      </c>
      <c r="AN2733" s="373">
        <f>PPMT('Assumptions (T&amp;D) old'!$B$100,Model!AC$1,'Assumptions (T&amp;D) old'!$B$103,Model!$AH$2699)</f>
        <v>-0.08803961381</v>
      </c>
      <c r="AO2733" s="373">
        <f>PPMT('Assumptions (T&amp;D) old'!$B$100,Model!AD$1,'Assumptions (T&amp;D) old'!$B$103,Model!$AH$2699)</f>
        <v>-0.09222149547</v>
      </c>
      <c r="AP2733" s="373">
        <f>PPMT('Assumptions (T&amp;D) old'!$B$100,Model!AE$1,'Assumptions (T&amp;D) old'!$B$103,Model!$AH$2699)</f>
        <v>-0.0966020165</v>
      </c>
      <c r="AQ2733" s="373">
        <f>PPMT('Assumptions (T&amp;D) old'!$B$100,Model!AF$1,'Assumptions (T&amp;D) old'!$B$103,Model!$AH$2699)</f>
        <v>-0.1011906123</v>
      </c>
      <c r="AR2733" s="373">
        <f>PPMT('Assumptions (T&amp;D) old'!$B$100,Model!AG$1,'Assumptions (T&amp;D) old'!$B$103,Model!$AH$2699)</f>
        <v>-0.1059971664</v>
      </c>
      <c r="AS2733" s="373">
        <f>PPMT('Assumptions (T&amp;D) old'!$B$100,Model!AH$1,'Assumptions (T&amp;D) old'!$B$103,Model!$AH$2699)</f>
        <v>-0.1110320318</v>
      </c>
      <c r="AT2733" s="373">
        <f>PPMT('Assumptions (T&amp;D) old'!$B$100,Model!AI$1,'Assumptions (T&amp;D) old'!$B$103,Model!$AH$2699)</f>
        <v>-0.1163060533</v>
      </c>
      <c r="AU2733" s="373">
        <f>PPMT('Assumptions (T&amp;D) old'!$B$100,Model!AJ$1,'Assumptions (T&amp;D) old'!$B$103,Model!$AH$2699)</f>
        <v>-0.1218305908</v>
      </c>
      <c r="AV2733" s="373">
        <f>PPMT('Assumptions (T&amp;D) old'!$B$100,Model!AK$1,'Assumptions (T&amp;D) old'!$B$103,Model!$AH$2699)</f>
        <v>-0.1276175439</v>
      </c>
      <c r="AW2733" s="374"/>
      <c r="AX2733" s="374"/>
      <c r="AY2733" s="374"/>
      <c r="AZ2733" s="374"/>
      <c r="BA2733" s="374"/>
      <c r="BB2733" s="374"/>
      <c r="BC2733" s="374"/>
      <c r="BD2733" s="374"/>
      <c r="BE2733" s="374"/>
      <c r="BF2733" s="374"/>
      <c r="BG2733" s="32"/>
      <c r="BH2733" s="32"/>
      <c r="BI2733" s="32"/>
      <c r="BJ2733" s="32"/>
      <c r="BK2733" s="32"/>
      <c r="BL2733" s="32"/>
      <c r="BM2733" s="32"/>
      <c r="BN2733" s="32"/>
      <c r="BO2733" s="32"/>
      <c r="BP2733" s="32"/>
      <c r="BQ2733" s="32"/>
      <c r="BR2733" s="32"/>
      <c r="BS2733" s="32"/>
      <c r="BT2733" s="32"/>
      <c r="BU2733" s="32"/>
      <c r="BV2733" s="32"/>
      <c r="BW2733" s="32"/>
      <c r="BX2733" s="32"/>
      <c r="BY2733" s="32"/>
      <c r="BZ2733" s="32"/>
      <c r="CA2733" s="32"/>
      <c r="CB2733" s="32"/>
      <c r="CC2733" s="32"/>
      <c r="CD2733" s="32"/>
    </row>
    <row r="2734" ht="15.75" hidden="1" customHeight="1" outlineLevel="1">
      <c r="A2734" s="365"/>
      <c r="B2734" s="38"/>
      <c r="C2734" s="374"/>
      <c r="D2734" s="374"/>
      <c r="E2734" s="374"/>
      <c r="F2734" s="374"/>
      <c r="G2734" s="374"/>
      <c r="H2734" s="374"/>
      <c r="I2734" s="374"/>
      <c r="J2734" s="374"/>
      <c r="K2734" s="374"/>
      <c r="L2734" s="374"/>
      <c r="M2734" s="374"/>
      <c r="N2734" s="374"/>
      <c r="O2734" s="374"/>
      <c r="P2734" s="374"/>
      <c r="Q2734" s="374"/>
      <c r="R2734" s="374"/>
      <c r="S2734" s="38"/>
      <c r="T2734" s="38"/>
      <c r="U2734" s="38"/>
      <c r="V2734" s="38"/>
      <c r="W2734" s="38"/>
      <c r="X2734" s="32"/>
      <c r="Y2734" s="32"/>
      <c r="Z2734" s="32"/>
      <c r="AA2734" s="32"/>
      <c r="AB2734" s="32"/>
      <c r="AC2734" s="32"/>
      <c r="AD2734" s="32"/>
      <c r="AE2734" s="32"/>
      <c r="AF2734" s="32"/>
      <c r="AG2734" s="32"/>
      <c r="AH2734" s="32"/>
      <c r="AI2734" s="373">
        <f>PPMT('Assumptions (T&amp;D) old'!$B$100,Model!W$1,'Assumptions (T&amp;D) old'!$B$103,Model!$AI$2699)</f>
        <v>-0.06883489364</v>
      </c>
      <c r="AJ2734" s="373">
        <f>PPMT('Assumptions (T&amp;D) old'!$B$100,Model!X$1,'Assumptions (T&amp;D) old'!$B$103,Model!$AI$2699)</f>
        <v>-0.07210455109</v>
      </c>
      <c r="AK2734" s="373">
        <f>PPMT('Assumptions (T&amp;D) old'!$B$100,Model!Y$1,'Assumptions (T&amp;D) old'!$B$103,Model!$AI$2699)</f>
        <v>-0.07552951727</v>
      </c>
      <c r="AL2734" s="373">
        <f>PPMT('Assumptions (T&amp;D) old'!$B$100,Model!Z$1,'Assumptions (T&amp;D) old'!$B$103,Model!$AI$2699)</f>
        <v>-0.07911716934</v>
      </c>
      <c r="AM2734" s="373">
        <f>PPMT('Assumptions (T&amp;D) old'!$B$100,Model!AA$1,'Assumptions (T&amp;D) old'!$B$103,Model!$AI$2699)</f>
        <v>-0.08287523488</v>
      </c>
      <c r="AN2734" s="373">
        <f>PPMT('Assumptions (T&amp;D) old'!$B$100,Model!AB$1,'Assumptions (T&amp;D) old'!$B$103,Model!$AI$2699)</f>
        <v>-0.08681180854</v>
      </c>
      <c r="AO2734" s="373">
        <f>PPMT('Assumptions (T&amp;D) old'!$B$100,Model!AC$1,'Assumptions (T&amp;D) old'!$B$103,Model!$AI$2699)</f>
        <v>-0.09093536944</v>
      </c>
      <c r="AP2734" s="373">
        <f>PPMT('Assumptions (T&amp;D) old'!$B$100,Model!AD$1,'Assumptions (T&amp;D) old'!$B$103,Model!$AI$2699)</f>
        <v>-0.09525479949</v>
      </c>
      <c r="AQ2734" s="373">
        <f>PPMT('Assumptions (T&amp;D) old'!$B$100,Model!AE$1,'Assumptions (T&amp;D) old'!$B$103,Model!$AI$2699)</f>
        <v>-0.09977940247</v>
      </c>
      <c r="AR2734" s="373">
        <f>PPMT('Assumptions (T&amp;D) old'!$B$100,Model!AF$1,'Assumptions (T&amp;D) old'!$B$103,Model!$AI$2699)</f>
        <v>-0.1045189241</v>
      </c>
      <c r="AS2734" s="373">
        <f>PPMT('Assumptions (T&amp;D) old'!$B$100,Model!AG$1,'Assumptions (T&amp;D) old'!$B$103,Model!$AI$2699)</f>
        <v>-0.109483573</v>
      </c>
      <c r="AT2734" s="373">
        <f>PPMT('Assumptions (T&amp;D) old'!$B$100,Model!AH$1,'Assumptions (T&amp;D) old'!$B$103,Model!$AI$2699)</f>
        <v>-0.1146840427</v>
      </c>
      <c r="AU2734" s="373">
        <f>PPMT('Assumptions (T&amp;D) old'!$B$100,Model!AI$1,'Assumptions (T&amp;D) old'!$B$103,Model!$AI$2699)</f>
        <v>-0.1201315347</v>
      </c>
      <c r="AV2734" s="373">
        <f>PPMT('Assumptions (T&amp;D) old'!$B$100,Model!AJ$1,'Assumptions (T&amp;D) old'!$B$103,Model!$AI$2699)</f>
        <v>-0.1258377826</v>
      </c>
      <c r="AW2734" s="373">
        <f>PPMT('Assumptions (T&amp;D) old'!$B$100,Model!AK$1,'Assumptions (T&amp;D) old'!$B$103,Model!$AI$2699)</f>
        <v>-0.1318150773</v>
      </c>
      <c r="AX2734" s="374"/>
      <c r="AY2734" s="374"/>
      <c r="AZ2734" s="374"/>
      <c r="BA2734" s="374"/>
      <c r="BB2734" s="374"/>
      <c r="BC2734" s="374"/>
      <c r="BD2734" s="374"/>
      <c r="BE2734" s="374"/>
      <c r="BF2734" s="374"/>
      <c r="BG2734" s="374"/>
      <c r="BH2734" s="32"/>
      <c r="BI2734" s="32"/>
      <c r="BJ2734" s="32"/>
      <c r="BK2734" s="32"/>
      <c r="BL2734" s="32"/>
      <c r="BM2734" s="32"/>
      <c r="BN2734" s="32"/>
      <c r="BO2734" s="32"/>
      <c r="BP2734" s="32"/>
      <c r="BQ2734" s="32"/>
      <c r="BR2734" s="32"/>
      <c r="BS2734" s="32"/>
      <c r="BT2734" s="32"/>
      <c r="BU2734" s="32"/>
      <c r="BV2734" s="32"/>
      <c r="BW2734" s="32"/>
      <c r="BX2734" s="32"/>
      <c r="BY2734" s="32"/>
      <c r="BZ2734" s="32"/>
      <c r="CA2734" s="32"/>
      <c r="CB2734" s="32"/>
      <c r="CC2734" s="32"/>
      <c r="CD2734" s="32"/>
    </row>
    <row r="2735" ht="15.75" hidden="1" customHeight="1" outlineLevel="1">
      <c r="A2735" s="365"/>
      <c r="B2735" s="38"/>
      <c r="C2735" s="374"/>
      <c r="D2735" s="374"/>
      <c r="E2735" s="374"/>
      <c r="F2735" s="374"/>
      <c r="G2735" s="374"/>
      <c r="H2735" s="374"/>
      <c r="I2735" s="374"/>
      <c r="J2735" s="374"/>
      <c r="K2735" s="374"/>
      <c r="L2735" s="374"/>
      <c r="M2735" s="374"/>
      <c r="N2735" s="374"/>
      <c r="O2735" s="374"/>
      <c r="P2735" s="374"/>
      <c r="Q2735" s="374"/>
      <c r="R2735" s="374"/>
      <c r="S2735" s="38"/>
      <c r="T2735" s="38"/>
      <c r="U2735" s="38"/>
      <c r="V2735" s="38"/>
      <c r="W2735" s="38"/>
      <c r="X2735" s="32"/>
      <c r="Y2735" s="32"/>
      <c r="Z2735" s="32"/>
      <c r="AA2735" s="32"/>
      <c r="AB2735" s="32"/>
      <c r="AC2735" s="32"/>
      <c r="AD2735" s="32"/>
      <c r="AE2735" s="32"/>
      <c r="AF2735" s="32"/>
      <c r="AG2735" s="32"/>
      <c r="AH2735" s="32"/>
      <c r="AI2735" s="32"/>
      <c r="AJ2735" s="373">
        <f>PPMT('Assumptions (T&amp;D) old'!$B$100,Model!W$1,'Assumptions (T&amp;D) old'!$B$103,Model!$AJ$2699)</f>
        <v>-0.0703111763</v>
      </c>
      <c r="AK2735" s="373">
        <f>PPMT('Assumptions (T&amp;D) old'!$B$100,Model!X$1,'Assumptions (T&amp;D) old'!$B$103,Model!$AJ$2699)</f>
        <v>-0.07365095717</v>
      </c>
      <c r="AL2735" s="373">
        <f>PPMT('Assumptions (T&amp;D) old'!$B$100,Model!Y$1,'Assumptions (T&amp;D) old'!$B$103,Model!$AJ$2699)</f>
        <v>-0.07714937764</v>
      </c>
      <c r="AM2735" s="373">
        <f>PPMT('Assumptions (T&amp;D) old'!$B$100,Model!Z$1,'Assumptions (T&amp;D) old'!$B$103,Model!$AJ$2699)</f>
        <v>-0.08081397308</v>
      </c>
      <c r="AN2735" s="373">
        <f>PPMT('Assumptions (T&amp;D) old'!$B$100,Model!AA$1,'Assumptions (T&amp;D) old'!$B$103,Model!$AJ$2699)</f>
        <v>-0.0846526368</v>
      </c>
      <c r="AO2735" s="373">
        <f>PPMT('Assumptions (T&amp;D) old'!$B$100,Model!AB$1,'Assumptions (T&amp;D) old'!$B$103,Model!$AJ$2699)</f>
        <v>-0.08867363704</v>
      </c>
      <c r="AP2735" s="373">
        <f>PPMT('Assumptions (T&amp;D) old'!$B$100,Model!AC$1,'Assumptions (T&amp;D) old'!$B$103,Model!$AJ$2699)</f>
        <v>-0.0928856348</v>
      </c>
      <c r="AQ2735" s="373">
        <f>PPMT('Assumptions (T&amp;D) old'!$B$100,Model!AD$1,'Assumptions (T&amp;D) old'!$B$103,Model!$AJ$2699)</f>
        <v>-0.09729770246</v>
      </c>
      <c r="AR2735" s="373">
        <f>PPMT('Assumptions (T&amp;D) old'!$B$100,Model!AE$1,'Assumptions (T&amp;D) old'!$B$103,Model!$AJ$2699)</f>
        <v>-0.1019193433</v>
      </c>
      <c r="AS2735" s="373">
        <f>PPMT('Assumptions (T&amp;D) old'!$B$100,Model!AF$1,'Assumptions (T&amp;D) old'!$B$103,Model!$AJ$2699)</f>
        <v>-0.1067605121</v>
      </c>
      <c r="AT2735" s="373">
        <f>PPMT('Assumptions (T&amp;D) old'!$B$100,Model!AG$1,'Assumptions (T&amp;D) old'!$B$103,Model!$AJ$2699)</f>
        <v>-0.1118316365</v>
      </c>
      <c r="AU2735" s="373">
        <f>PPMT('Assumptions (T&amp;D) old'!$B$100,Model!AH$1,'Assumptions (T&amp;D) old'!$B$103,Model!$AJ$2699)</f>
        <v>-0.1171436392</v>
      </c>
      <c r="AV2735" s="373">
        <f>PPMT('Assumptions (T&amp;D) old'!$B$100,Model!AI$1,'Assumptions (T&amp;D) old'!$B$103,Model!$AJ$2699)</f>
        <v>-0.1227079621</v>
      </c>
      <c r="AW2735" s="373">
        <f>PPMT('Assumptions (T&amp;D) old'!$B$100,Model!AJ$1,'Assumptions (T&amp;D) old'!$B$103,Model!$AJ$2699)</f>
        <v>-0.1285365902</v>
      </c>
      <c r="AX2735" s="373">
        <f>PPMT('Assumptions (T&amp;D) old'!$B$100,Model!AK$1,'Assumptions (T&amp;D) old'!$B$103,Model!$AJ$2699)</f>
        <v>-0.1346420783</v>
      </c>
      <c r="AY2735" s="374"/>
      <c r="AZ2735" s="374"/>
      <c r="BA2735" s="374"/>
      <c r="BB2735" s="374"/>
      <c r="BC2735" s="374"/>
      <c r="BD2735" s="374"/>
      <c r="BE2735" s="374"/>
      <c r="BF2735" s="374"/>
      <c r="BG2735" s="374"/>
      <c r="BH2735" s="374"/>
      <c r="BI2735" s="32"/>
      <c r="BJ2735" s="32"/>
      <c r="BK2735" s="32"/>
      <c r="BL2735" s="32"/>
      <c r="BM2735" s="32"/>
      <c r="BN2735" s="32"/>
      <c r="BO2735" s="32"/>
      <c r="BP2735" s="32"/>
      <c r="BQ2735" s="32"/>
      <c r="BR2735" s="32"/>
      <c r="BS2735" s="32"/>
      <c r="BT2735" s="32"/>
      <c r="BU2735" s="32"/>
      <c r="BV2735" s="32"/>
      <c r="BW2735" s="32"/>
      <c r="BX2735" s="32"/>
      <c r="BY2735" s="32"/>
      <c r="BZ2735" s="32"/>
      <c r="CA2735" s="32"/>
      <c r="CB2735" s="32"/>
      <c r="CC2735" s="32"/>
      <c r="CD2735" s="32"/>
    </row>
    <row r="2736" ht="15.75" hidden="1" customHeight="1" outlineLevel="1">
      <c r="A2736" s="365"/>
      <c r="B2736" s="38"/>
      <c r="C2736" s="374"/>
      <c r="D2736" s="374"/>
      <c r="E2736" s="374"/>
      <c r="F2736" s="374"/>
      <c r="G2736" s="374"/>
      <c r="H2736" s="374"/>
      <c r="I2736" s="374"/>
      <c r="J2736" s="374"/>
      <c r="K2736" s="374"/>
      <c r="L2736" s="374"/>
      <c r="M2736" s="374"/>
      <c r="N2736" s="374"/>
      <c r="O2736" s="374"/>
      <c r="P2736" s="374"/>
      <c r="Q2736" s="374"/>
      <c r="R2736" s="374"/>
      <c r="S2736" s="38"/>
      <c r="T2736" s="38"/>
      <c r="U2736" s="38"/>
      <c r="V2736" s="38"/>
      <c r="W2736" s="38"/>
      <c r="X2736" s="32"/>
      <c r="Y2736" s="32"/>
      <c r="Z2736" s="32"/>
      <c r="AA2736" s="32"/>
      <c r="AB2736" s="32"/>
      <c r="AC2736" s="32"/>
      <c r="AD2736" s="32"/>
      <c r="AE2736" s="32"/>
      <c r="AF2736" s="32"/>
      <c r="AG2736" s="32"/>
      <c r="AH2736" s="32"/>
      <c r="AI2736" s="32"/>
      <c r="AJ2736" s="32"/>
      <c r="AK2736" s="373">
        <f>PPMT('Assumptions (T&amp;D) old'!$B$100,Model!W$1,'Assumptions (T&amp;D) old'!$B$103,Model!$AK$2699)</f>
        <v>-0.07221473081</v>
      </c>
      <c r="AL2736" s="373">
        <f>PPMT('Assumptions (T&amp;D) old'!$B$100,Model!X$1,'Assumptions (T&amp;D) old'!$B$103,Model!$AK$2699)</f>
        <v>-0.07564493052</v>
      </c>
      <c r="AM2736" s="373">
        <f>PPMT('Assumptions (T&amp;D) old'!$B$100,Model!Y$1,'Assumptions (T&amp;D) old'!$B$103,Model!$AK$2699)</f>
        <v>-0.07923806472</v>
      </c>
      <c r="AN2736" s="373">
        <f>PPMT('Assumptions (T&amp;D) old'!$B$100,Model!Z$1,'Assumptions (T&amp;D) old'!$B$103,Model!$AK$2699)</f>
        <v>-0.0830018728</v>
      </c>
      <c r="AO2736" s="373">
        <f>PPMT('Assumptions (T&amp;D) old'!$B$100,Model!AA$1,'Assumptions (T&amp;D) old'!$B$103,Model!$AK$2699)</f>
        <v>-0.08694446176</v>
      </c>
      <c r="AP2736" s="373">
        <f>PPMT('Assumptions (T&amp;D) old'!$B$100,Model!AB$1,'Assumptions (T&amp;D) old'!$B$103,Model!$AK$2699)</f>
        <v>-0.09107432369</v>
      </c>
      <c r="AQ2736" s="373">
        <f>PPMT('Assumptions (T&amp;D) old'!$B$100,Model!AC$1,'Assumptions (T&amp;D) old'!$B$103,Model!$AK$2699)</f>
        <v>-0.09540035407</v>
      </c>
      <c r="AR2736" s="373">
        <f>PPMT('Assumptions (T&amp;D) old'!$B$100,Model!AD$1,'Assumptions (T&amp;D) old'!$B$103,Model!$AK$2699)</f>
        <v>-0.09993187088</v>
      </c>
      <c r="AS2736" s="373">
        <f>PPMT('Assumptions (T&amp;D) old'!$B$100,Model!AE$1,'Assumptions (T&amp;D) old'!$B$103,Model!$AK$2699)</f>
        <v>-0.1046786348</v>
      </c>
      <c r="AT2736" s="373">
        <f>PPMT('Assumptions (T&amp;D) old'!$B$100,Model!AF$1,'Assumptions (T&amp;D) old'!$B$103,Model!$AK$2699)</f>
        <v>-0.1096508699</v>
      </c>
      <c r="AU2736" s="373">
        <f>PPMT('Assumptions (T&amp;D) old'!$B$100,Model!AG$1,'Assumptions (T&amp;D) old'!$B$103,Model!$AK$2699)</f>
        <v>-0.1148592862</v>
      </c>
      <c r="AV2736" s="373">
        <f>PPMT('Assumptions (T&amp;D) old'!$B$100,Model!AH$1,'Assumptions (T&amp;D) old'!$B$103,Model!$AK$2699)</f>
        <v>-0.1203151023</v>
      </c>
      <c r="AW2736" s="373">
        <f>PPMT('Assumptions (T&amp;D) old'!$B$100,Model!AI$1,'Assumptions (T&amp;D) old'!$B$103,Model!$AK$2699)</f>
        <v>-0.1260300697</v>
      </c>
      <c r="AX2736" s="373">
        <f>PPMT('Assumptions (T&amp;D) old'!$B$100,Model!AJ$1,'Assumptions (T&amp;D) old'!$B$103,Model!$AK$2699)</f>
        <v>-0.132016498</v>
      </c>
      <c r="AY2736" s="373">
        <f>PPMT('Assumptions (T&amp;D) old'!$B$100,Model!AK$1,'Assumptions (T&amp;D) old'!$B$103,Model!$AK$2699)</f>
        <v>-0.1382872816</v>
      </c>
      <c r="AZ2736" s="374"/>
      <c r="BA2736" s="374"/>
      <c r="BB2736" s="374"/>
      <c r="BC2736" s="374"/>
      <c r="BD2736" s="374"/>
      <c r="BE2736" s="374"/>
      <c r="BF2736" s="374"/>
      <c r="BG2736" s="374"/>
      <c r="BH2736" s="374"/>
      <c r="BI2736" s="374"/>
      <c r="BJ2736" s="32"/>
      <c r="BK2736" s="32"/>
      <c r="BL2736" s="32"/>
      <c r="BM2736" s="32"/>
      <c r="BN2736" s="32"/>
      <c r="BO2736" s="32"/>
      <c r="BP2736" s="32"/>
      <c r="BQ2736" s="32"/>
      <c r="BR2736" s="32"/>
      <c r="BS2736" s="32"/>
      <c r="BT2736" s="32"/>
      <c r="BU2736" s="32"/>
      <c r="BV2736" s="32"/>
      <c r="BW2736" s="32"/>
      <c r="BX2736" s="32"/>
      <c r="BY2736" s="32"/>
      <c r="BZ2736" s="32"/>
      <c r="CA2736" s="32"/>
      <c r="CB2736" s="32"/>
      <c r="CC2736" s="32"/>
      <c r="CD2736" s="32"/>
    </row>
    <row r="2737" ht="15.75" hidden="1" customHeight="1" outlineLevel="1">
      <c r="A2737" s="365"/>
      <c r="B2737" s="38"/>
      <c r="C2737" s="374"/>
      <c r="D2737" s="374"/>
      <c r="E2737" s="374"/>
      <c r="F2737" s="374"/>
      <c r="G2737" s="374"/>
      <c r="H2737" s="374"/>
      <c r="I2737" s="374"/>
      <c r="J2737" s="374"/>
      <c r="K2737" s="374"/>
      <c r="L2737" s="374"/>
      <c r="M2737" s="374"/>
      <c r="N2737" s="374"/>
      <c r="O2737" s="374"/>
      <c r="P2737" s="374"/>
      <c r="Q2737" s="374"/>
      <c r="R2737" s="374"/>
      <c r="S2737" s="38"/>
      <c r="T2737" s="38"/>
      <c r="U2737" s="38"/>
      <c r="V2737" s="38"/>
      <c r="W2737" s="38"/>
      <c r="X2737" s="32"/>
      <c r="Y2737" s="32"/>
      <c r="Z2737" s="32"/>
      <c r="AA2737" s="32"/>
      <c r="AB2737" s="32"/>
      <c r="AC2737" s="32"/>
      <c r="AD2737" s="32"/>
      <c r="AE2737" s="32"/>
      <c r="AF2737" s="32"/>
      <c r="AG2737" s="32"/>
      <c r="AH2737" s="32"/>
      <c r="AI2737" s="32"/>
      <c r="AJ2737" s="32"/>
      <c r="AK2737" s="32"/>
      <c r="AL2737" s="373">
        <f>PPMT('Assumptions (T&amp;D) old'!$B$100,Model!W$1,'Assumptions (T&amp;D) old'!$B$103,Model!$AL$2699)</f>
        <v>-0.07416604788</v>
      </c>
      <c r="AM2737" s="373">
        <f>PPMT('Assumptions (T&amp;D) old'!$B$100,Model!X$1,'Assumptions (T&amp;D) old'!$B$103,Model!$AL$2699)</f>
        <v>-0.07768893516</v>
      </c>
      <c r="AN2737" s="373">
        <f>PPMT('Assumptions (T&amp;D) old'!$B$100,Model!Y$1,'Assumptions (T&amp;D) old'!$B$103,Model!$AL$2699)</f>
        <v>-0.08137915958</v>
      </c>
      <c r="AO2737" s="373">
        <f>PPMT('Assumptions (T&amp;D) old'!$B$100,Model!Z$1,'Assumptions (T&amp;D) old'!$B$103,Model!$AL$2699)</f>
        <v>-0.08524466966</v>
      </c>
      <c r="AP2737" s="373">
        <f>PPMT('Assumptions (T&amp;D) old'!$B$100,Model!AA$1,'Assumptions (T&amp;D) old'!$B$103,Model!$AL$2699)</f>
        <v>-0.08929379147</v>
      </c>
      <c r="AQ2737" s="373">
        <f>PPMT('Assumptions (T&amp;D) old'!$B$100,Model!AB$1,'Assumptions (T&amp;D) old'!$B$103,Model!$AL$2699)</f>
        <v>-0.09353524656</v>
      </c>
      <c r="AR2737" s="373">
        <f>PPMT('Assumptions (T&amp;D) old'!$B$100,Model!AC$1,'Assumptions (T&amp;D) old'!$B$103,Model!$AL$2699)</f>
        <v>-0.09797817077</v>
      </c>
      <c r="AS2737" s="373">
        <f>PPMT('Assumptions (T&amp;D) old'!$B$100,Model!AD$1,'Assumptions (T&amp;D) old'!$B$103,Model!$AL$2699)</f>
        <v>-0.1026321339</v>
      </c>
      <c r="AT2737" s="373">
        <f>PPMT('Assumptions (T&amp;D) old'!$B$100,Model!AE$1,'Assumptions (T&amp;D) old'!$B$103,Model!$AL$2699)</f>
        <v>-0.1075071602</v>
      </c>
      <c r="AU2737" s="373">
        <f>PPMT('Assumptions (T&amp;D) old'!$B$100,Model!AF$1,'Assumptions (T&amp;D) old'!$B$103,Model!$AL$2699)</f>
        <v>-0.1126137504</v>
      </c>
      <c r="AV2737" s="373">
        <f>PPMT('Assumptions (T&amp;D) old'!$B$100,Model!AG$1,'Assumptions (T&amp;D) old'!$B$103,Model!$AL$2699)</f>
        <v>-0.1179629035</v>
      </c>
      <c r="AW2737" s="373">
        <f>PPMT('Assumptions (T&amp;D) old'!$B$100,Model!AH$1,'Assumptions (T&amp;D) old'!$B$103,Model!$AL$2699)</f>
        <v>-0.1235661414</v>
      </c>
      <c r="AX2737" s="373">
        <f>PPMT('Assumptions (T&amp;D) old'!$B$100,Model!AI$1,'Assumptions (T&amp;D) old'!$B$103,Model!$AL$2699)</f>
        <v>-0.1294355331</v>
      </c>
      <c r="AY2737" s="373">
        <f>PPMT('Assumptions (T&amp;D) old'!$B$100,Model!AJ$1,'Assumptions (T&amp;D) old'!$B$103,Model!$AL$2699)</f>
        <v>-0.135583721</v>
      </c>
      <c r="AZ2737" s="373">
        <f>PPMT('Assumptions (T&amp;D) old'!$B$100,Model!AK$1,'Assumptions (T&amp;D) old'!$B$103,Model!$AL$2699)</f>
        <v>-0.1420239477</v>
      </c>
      <c r="BA2737" s="374"/>
      <c r="BB2737" s="374"/>
      <c r="BC2737" s="374"/>
      <c r="BD2737" s="374"/>
      <c r="BE2737" s="374"/>
      <c r="BF2737" s="374"/>
      <c r="BG2737" s="374"/>
      <c r="BH2737" s="374"/>
      <c r="BI2737" s="374"/>
      <c r="BJ2737" s="374"/>
      <c r="BK2737" s="32"/>
      <c r="BL2737" s="32"/>
      <c r="BM2737" s="32"/>
      <c r="BN2737" s="32"/>
      <c r="BO2737" s="32"/>
      <c r="BP2737" s="32"/>
      <c r="BQ2737" s="32"/>
      <c r="BR2737" s="32"/>
      <c r="BS2737" s="32"/>
      <c r="BT2737" s="32"/>
      <c r="BU2737" s="32"/>
      <c r="BV2737" s="32"/>
      <c r="BW2737" s="32"/>
      <c r="BX2737" s="32"/>
      <c r="BY2737" s="32"/>
      <c r="BZ2737" s="32"/>
      <c r="CA2737" s="32"/>
      <c r="CB2737" s="32"/>
      <c r="CC2737" s="32"/>
      <c r="CD2737" s="32"/>
    </row>
    <row r="2738" ht="15.75" hidden="1" customHeight="1" outlineLevel="1">
      <c r="A2738" s="365"/>
      <c r="B2738" s="38"/>
      <c r="C2738" s="374"/>
      <c r="D2738" s="374"/>
      <c r="E2738" s="374"/>
      <c r="F2738" s="374"/>
      <c r="G2738" s="374"/>
      <c r="H2738" s="374"/>
      <c r="I2738" s="374"/>
      <c r="J2738" s="374"/>
      <c r="K2738" s="374"/>
      <c r="L2738" s="374"/>
      <c r="M2738" s="374"/>
      <c r="N2738" s="374"/>
      <c r="O2738" s="374"/>
      <c r="P2738" s="374"/>
      <c r="Q2738" s="374"/>
      <c r="R2738" s="374"/>
      <c r="S2738" s="38"/>
      <c r="T2738" s="38"/>
      <c r="U2738" s="38"/>
      <c r="V2738" s="38"/>
      <c r="W2738" s="38"/>
      <c r="X2738" s="32"/>
      <c r="Y2738" s="32"/>
      <c r="Z2738" s="32"/>
      <c r="AA2738" s="32"/>
      <c r="AB2738" s="32"/>
      <c r="AC2738" s="32"/>
      <c r="AD2738" s="32"/>
      <c r="AE2738" s="32"/>
      <c r="AF2738" s="32"/>
      <c r="AG2738" s="32"/>
      <c r="AH2738" s="32"/>
      <c r="AI2738" s="32"/>
      <c r="AJ2738" s="32"/>
      <c r="AK2738" s="32"/>
      <c r="AL2738" s="32"/>
      <c r="AM2738" s="373">
        <f>PPMT('Assumptions (T&amp;D) old'!$B$100,Model!W$1,'Assumptions (T&amp;D) old'!$B$103,Model!$AM$2699)</f>
        <v>-0.07616627159</v>
      </c>
      <c r="AN2738" s="373">
        <f>PPMT('Assumptions (T&amp;D) old'!$B$100,Model!X$1,'Assumptions (T&amp;D) old'!$B$103,Model!$AM$2699)</f>
        <v>-0.07978416949</v>
      </c>
      <c r="AO2738" s="373">
        <f>PPMT('Assumptions (T&amp;D) old'!$B$100,Model!Y$1,'Assumptions (T&amp;D) old'!$B$103,Model!$AM$2699)</f>
        <v>-0.08357391754</v>
      </c>
      <c r="AP2738" s="373">
        <f>PPMT('Assumptions (T&amp;D) old'!$B$100,Model!Z$1,'Assumptions (T&amp;D) old'!$B$103,Model!$AM$2699)</f>
        <v>-0.08754367863</v>
      </c>
      <c r="AQ2738" s="373">
        <f>PPMT('Assumptions (T&amp;D) old'!$B$100,Model!AA$1,'Assumptions (T&amp;D) old'!$B$103,Model!$AM$2699)</f>
        <v>-0.09170200336</v>
      </c>
      <c r="AR2738" s="373">
        <f>PPMT('Assumptions (T&amp;D) old'!$B$100,Model!AB$1,'Assumptions (T&amp;D) old'!$B$103,Model!$AM$2699)</f>
        <v>-0.09605784852</v>
      </c>
      <c r="AS2738" s="373">
        <f>PPMT('Assumptions (T&amp;D) old'!$B$100,Model!AC$1,'Assumptions (T&amp;D) old'!$B$103,Model!$AM$2699)</f>
        <v>-0.1006205963</v>
      </c>
      <c r="AT2738" s="373">
        <f>PPMT('Assumptions (T&amp;D) old'!$B$100,Model!AD$1,'Assumptions (T&amp;D) old'!$B$103,Model!$AM$2699)</f>
        <v>-0.1054000747</v>
      </c>
      <c r="AU2738" s="373">
        <f>PPMT('Assumptions (T&amp;D) old'!$B$100,Model!AE$1,'Assumptions (T&amp;D) old'!$B$103,Model!$AM$2699)</f>
        <v>-0.1104065782</v>
      </c>
      <c r="AV2738" s="373">
        <f>PPMT('Assumptions (T&amp;D) old'!$B$100,Model!AF$1,'Assumptions (T&amp;D) old'!$B$103,Model!$AM$2699)</f>
        <v>-0.1156508907</v>
      </c>
      <c r="AW2738" s="373">
        <f>PPMT('Assumptions (T&amp;D) old'!$B$100,Model!AG$1,'Assumptions (T&amp;D) old'!$B$103,Model!$AM$2699)</f>
        <v>-0.121144308</v>
      </c>
      <c r="AX2738" s="373">
        <f>PPMT('Assumptions (T&amp;D) old'!$B$100,Model!AH$1,'Assumptions (T&amp;D) old'!$B$103,Model!$AM$2699)</f>
        <v>-0.1268986626</v>
      </c>
      <c r="AY2738" s="373">
        <f>PPMT('Assumptions (T&amp;D) old'!$B$100,Model!AI$1,'Assumptions (T&amp;D) old'!$B$103,Model!$AM$2699)</f>
        <v>-0.1329263491</v>
      </c>
      <c r="AZ2738" s="373">
        <f>PPMT('Assumptions (T&amp;D) old'!$B$100,Model!AJ$1,'Assumptions (T&amp;D) old'!$B$103,Model!$AM$2699)</f>
        <v>-0.1392403506</v>
      </c>
      <c r="BA2738" s="373">
        <f>PPMT('Assumptions (T&amp;D) old'!$B$100,Model!AK$1,'Assumptions (T&amp;D) old'!$B$103,Model!$AM$2699)</f>
        <v>-0.1458542673</v>
      </c>
      <c r="BB2738" s="374"/>
      <c r="BC2738" s="374"/>
      <c r="BD2738" s="374"/>
      <c r="BE2738" s="374"/>
      <c r="BF2738" s="374"/>
      <c r="BG2738" s="374"/>
      <c r="BH2738" s="374"/>
      <c r="BI2738" s="374"/>
      <c r="BJ2738" s="374"/>
      <c r="BK2738" s="374"/>
      <c r="BL2738" s="32"/>
      <c r="BM2738" s="32"/>
      <c r="BN2738" s="32"/>
      <c r="BO2738" s="32"/>
      <c r="BP2738" s="32"/>
      <c r="BQ2738" s="32"/>
      <c r="BR2738" s="32"/>
      <c r="BS2738" s="32"/>
      <c r="BT2738" s="32"/>
      <c r="BU2738" s="32"/>
      <c r="BV2738" s="32"/>
      <c r="BW2738" s="32"/>
      <c r="BX2738" s="32"/>
      <c r="BY2738" s="32"/>
      <c r="BZ2738" s="32"/>
      <c r="CA2738" s="32"/>
      <c r="CB2738" s="32"/>
      <c r="CC2738" s="32"/>
      <c r="CD2738" s="32"/>
    </row>
    <row r="2739" ht="15.75" hidden="1" customHeight="1" outlineLevel="1">
      <c r="A2739" s="365"/>
      <c r="B2739" s="38"/>
      <c r="C2739" s="374"/>
      <c r="D2739" s="374"/>
      <c r="E2739" s="374"/>
      <c r="F2739" s="374"/>
      <c r="G2739" s="374"/>
      <c r="H2739" s="374"/>
      <c r="I2739" s="374"/>
      <c r="J2739" s="374"/>
      <c r="K2739" s="374"/>
      <c r="L2739" s="374"/>
      <c r="M2739" s="374"/>
      <c r="N2739" s="374"/>
      <c r="O2739" s="374"/>
      <c r="P2739" s="374"/>
      <c r="Q2739" s="374"/>
      <c r="R2739" s="374"/>
      <c r="S2739" s="38"/>
      <c r="T2739" s="38"/>
      <c r="U2739" s="38"/>
      <c r="V2739" s="38"/>
      <c r="W2739" s="38"/>
      <c r="X2739" s="32"/>
      <c r="Y2739" s="32"/>
      <c r="Z2739" s="32"/>
      <c r="AA2739" s="32"/>
      <c r="AB2739" s="32"/>
      <c r="AC2739" s="32"/>
      <c r="AD2739" s="32"/>
      <c r="AE2739" s="32"/>
      <c r="AF2739" s="32"/>
      <c r="AG2739" s="32"/>
      <c r="AH2739" s="32"/>
      <c r="AI2739" s="32"/>
      <c r="AJ2739" s="32"/>
      <c r="AK2739" s="32"/>
      <c r="AL2739" s="32"/>
      <c r="AM2739" s="32"/>
      <c r="AN2739" s="373">
        <f>PPMT('Assumptions (T&amp;D) old'!$B$100,Model!W$1,'Assumptions (T&amp;D) old'!$B$103,Model!$AN$2699)</f>
        <v>-0.07821657257</v>
      </c>
      <c r="AO2739" s="373">
        <f>PPMT('Assumptions (T&amp;D) old'!$B$100,Model!X$1,'Assumptions (T&amp;D) old'!$B$103,Model!$AN$2699)</f>
        <v>-0.08193185976</v>
      </c>
      <c r="AP2739" s="373">
        <f>PPMT('Assumptions (T&amp;D) old'!$B$100,Model!Y$1,'Assumptions (T&amp;D) old'!$B$103,Model!$AN$2699)</f>
        <v>-0.0858236231</v>
      </c>
      <c r="AQ2739" s="373">
        <f>PPMT('Assumptions (T&amp;D) old'!$B$100,Model!Z$1,'Assumptions (T&amp;D) old'!$B$103,Model!$AN$2699)</f>
        <v>-0.0899002452</v>
      </c>
      <c r="AR2739" s="373">
        <f>PPMT('Assumptions (T&amp;D) old'!$B$100,Model!AA$1,'Assumptions (T&amp;D) old'!$B$103,Model!$AN$2699)</f>
        <v>-0.09417050685</v>
      </c>
      <c r="AS2739" s="373">
        <f>PPMT('Assumptions (T&amp;D) old'!$B$100,Model!AB$1,'Assumptions (T&amp;D) old'!$B$103,Model!$AN$2699)</f>
        <v>-0.09864360592</v>
      </c>
      <c r="AT2739" s="373">
        <f>PPMT('Assumptions (T&amp;D) old'!$B$100,Model!AC$1,'Assumptions (T&amp;D) old'!$B$103,Model!$AN$2699)</f>
        <v>-0.1033291772</v>
      </c>
      <c r="AU2739" s="373">
        <f>PPMT('Assumptions (T&amp;D) old'!$B$100,Model!AD$1,'Assumptions (T&amp;D) old'!$B$103,Model!$AN$2699)</f>
        <v>-0.1082373131</v>
      </c>
      <c r="AV2739" s="373">
        <f>PPMT('Assumptions (T&amp;D) old'!$B$100,Model!AE$1,'Assumptions (T&amp;D) old'!$B$103,Model!$AN$2699)</f>
        <v>-0.1133785855</v>
      </c>
      <c r="AW2739" s="373">
        <f>PPMT('Assumptions (T&amp;D) old'!$B$100,Model!AF$1,'Assumptions (T&amp;D) old'!$B$103,Model!$AN$2699)</f>
        <v>-0.1187640683</v>
      </c>
      <c r="AX2739" s="373">
        <f>PPMT('Assumptions (T&amp;D) old'!$B$100,Model!AG$1,'Assumptions (T&amp;D) old'!$B$103,Model!$AN$2699)</f>
        <v>-0.1244053615</v>
      </c>
      <c r="AY2739" s="373">
        <f>PPMT('Assumptions (T&amp;D) old'!$B$100,Model!AH$1,'Assumptions (T&amp;D) old'!$B$103,Model!$AN$2699)</f>
        <v>-0.1303146162</v>
      </c>
      <c r="AZ2739" s="373">
        <f>PPMT('Assumptions (T&amp;D) old'!$B$100,Model!AI$1,'Assumptions (T&amp;D) old'!$B$103,Model!$AN$2699)</f>
        <v>-0.1365045605</v>
      </c>
      <c r="BA2739" s="373">
        <f>PPMT('Assumptions (T&amp;D) old'!$B$100,Model!AJ$1,'Assumptions (T&amp;D) old'!$B$103,Model!$AN$2699)</f>
        <v>-0.1429885271</v>
      </c>
      <c r="BB2739" s="373">
        <f>PPMT('Assumptions (T&amp;D) old'!$B$100,Model!AK$1,'Assumptions (T&amp;D) old'!$B$103,Model!$AN$2699)</f>
        <v>-0.1497804822</v>
      </c>
      <c r="BC2739" s="374"/>
      <c r="BD2739" s="374"/>
      <c r="BE2739" s="374"/>
      <c r="BF2739" s="374"/>
      <c r="BG2739" s="374"/>
      <c r="BH2739" s="374"/>
      <c r="BI2739" s="374"/>
      <c r="BJ2739" s="374"/>
      <c r="BK2739" s="374"/>
      <c r="BL2739" s="374"/>
      <c r="BM2739" s="32"/>
      <c r="BN2739" s="32"/>
      <c r="BO2739" s="32"/>
      <c r="BP2739" s="32"/>
      <c r="BQ2739" s="32"/>
      <c r="BR2739" s="32"/>
      <c r="BS2739" s="32"/>
      <c r="BT2739" s="32"/>
      <c r="BU2739" s="32"/>
      <c r="BV2739" s="32"/>
      <c r="BW2739" s="32"/>
      <c r="BX2739" s="32"/>
      <c r="BY2739" s="32"/>
      <c r="BZ2739" s="32"/>
      <c r="CA2739" s="32"/>
      <c r="CB2739" s="32"/>
      <c r="CC2739" s="32"/>
      <c r="CD2739" s="32"/>
    </row>
    <row r="2740" ht="15.75" hidden="1" customHeight="1" outlineLevel="1">
      <c r="A2740" s="365"/>
      <c r="B2740" s="38"/>
      <c r="C2740" s="374"/>
      <c r="D2740" s="374"/>
      <c r="E2740" s="374"/>
      <c r="F2740" s="374"/>
      <c r="G2740" s="374"/>
      <c r="H2740" s="374"/>
      <c r="I2740" s="374"/>
      <c r="J2740" s="374"/>
      <c r="K2740" s="374"/>
      <c r="L2740" s="374"/>
      <c r="M2740" s="374"/>
      <c r="N2740" s="374"/>
      <c r="O2740" s="374"/>
      <c r="P2740" s="374"/>
      <c r="Q2740" s="374"/>
      <c r="R2740" s="374"/>
      <c r="S2740" s="38"/>
      <c r="T2740" s="38"/>
      <c r="U2740" s="38"/>
      <c r="V2740" s="38"/>
      <c r="W2740" s="38"/>
      <c r="X2740" s="32"/>
      <c r="Y2740" s="32"/>
      <c r="Z2740" s="32"/>
      <c r="AA2740" s="32"/>
      <c r="AB2740" s="32"/>
      <c r="AC2740" s="32"/>
      <c r="AD2740" s="32"/>
      <c r="AE2740" s="32"/>
      <c r="AF2740" s="32"/>
      <c r="AG2740" s="32"/>
      <c r="AH2740" s="32"/>
      <c r="AI2740" s="32"/>
      <c r="AJ2740" s="32"/>
      <c r="AK2740" s="32"/>
      <c r="AL2740" s="32"/>
      <c r="AM2740" s="32"/>
      <c r="AN2740" s="32"/>
      <c r="AO2740" s="373">
        <f>PPMT('Assumptions (T&amp;D) old'!$B$100,Model!W$1,'Assumptions (T&amp;D) old'!$B$103,Model!$AO$2699)</f>
        <v>-0.08031814861</v>
      </c>
      <c r="AP2740" s="373">
        <f>PPMT('Assumptions (T&amp;D) old'!$B$100,Model!X$1,'Assumptions (T&amp;D) old'!$B$103,Model!$AO$2699)</f>
        <v>-0.08413326067</v>
      </c>
      <c r="AQ2740" s="373">
        <f>PPMT('Assumptions (T&amp;D) old'!$B$100,Model!Y$1,'Assumptions (T&amp;D) old'!$B$103,Model!$AO$2699)</f>
        <v>-0.08812959055</v>
      </c>
      <c r="AR2740" s="373">
        <f>PPMT('Assumptions (T&amp;D) old'!$B$100,Model!Z$1,'Assumptions (T&amp;D) old'!$B$103,Model!$AO$2699)</f>
        <v>-0.0923157461</v>
      </c>
      <c r="AS2740" s="373">
        <f>PPMT('Assumptions (T&amp;D) old'!$B$100,Model!AA$1,'Assumptions (T&amp;D) old'!$B$103,Model!$AO$2699)</f>
        <v>-0.09670074404</v>
      </c>
      <c r="AT2740" s="373">
        <f>PPMT('Assumptions (T&amp;D) old'!$B$100,Model!AB$1,'Assumptions (T&amp;D) old'!$B$103,Model!$AO$2699)</f>
        <v>-0.1012940294</v>
      </c>
      <c r="AU2740" s="373">
        <f>PPMT('Assumptions (T&amp;D) old'!$B$100,Model!AC$1,'Assumptions (T&amp;D) old'!$B$103,Model!$AO$2699)</f>
        <v>-0.1061054958</v>
      </c>
      <c r="AV2740" s="373">
        <f>PPMT('Assumptions (T&amp;D) old'!$B$100,Model!AD$1,'Assumptions (T&amp;D) old'!$B$103,Model!$AO$2699)</f>
        <v>-0.1111455068</v>
      </c>
      <c r="AW2740" s="373">
        <f>PPMT('Assumptions (T&amp;D) old'!$B$100,Model!AE$1,'Assumptions (T&amp;D) old'!$B$103,Model!$AO$2699)</f>
        <v>-0.1164249184</v>
      </c>
      <c r="AX2740" s="373">
        <f>PPMT('Assumptions (T&amp;D) old'!$B$100,Model!AF$1,'Assumptions (T&amp;D) old'!$B$103,Model!$AO$2699)</f>
        <v>-0.121955102</v>
      </c>
      <c r="AY2740" s="373">
        <f>PPMT('Assumptions (T&amp;D) old'!$B$100,Model!AG$1,'Assumptions (T&amp;D) old'!$B$103,Model!$AO$2699)</f>
        <v>-0.1277479694</v>
      </c>
      <c r="AZ2740" s="373">
        <f>PPMT('Assumptions (T&amp;D) old'!$B$100,Model!AH$1,'Assumptions (T&amp;D) old'!$B$103,Model!$AO$2699)</f>
        <v>-0.1338159979</v>
      </c>
      <c r="BA2740" s="373">
        <f>PPMT('Assumptions (T&amp;D) old'!$B$100,Model!AI$1,'Assumptions (T&amp;D) old'!$B$103,Model!$AO$2699)</f>
        <v>-0.1401722578</v>
      </c>
      <c r="BB2740" s="373">
        <f>PPMT('Assumptions (T&amp;D) old'!$B$100,Model!AJ$1,'Assumptions (T&amp;D) old'!$B$103,Model!$AO$2699)</f>
        <v>-0.1468304401</v>
      </c>
      <c r="BC2740" s="373">
        <f>PPMT('Assumptions (T&amp;D) old'!$B$100,Model!AK$1,'Assumptions (T&amp;D) old'!$B$103,Model!$AO$2699)</f>
        <v>-0.153804886</v>
      </c>
      <c r="BD2740" s="374"/>
      <c r="BE2740" s="374"/>
      <c r="BF2740" s="374"/>
      <c r="BG2740" s="374"/>
      <c r="BH2740" s="374"/>
      <c r="BI2740" s="374"/>
      <c r="BJ2740" s="374"/>
      <c r="BK2740" s="374"/>
      <c r="BL2740" s="374"/>
      <c r="BM2740" s="374"/>
      <c r="BN2740" s="32"/>
      <c r="BO2740" s="32"/>
      <c r="BP2740" s="32"/>
      <c r="BQ2740" s="32"/>
      <c r="BR2740" s="32"/>
      <c r="BS2740" s="32"/>
      <c r="BT2740" s="32"/>
      <c r="BU2740" s="32"/>
      <c r="BV2740" s="32"/>
      <c r="BW2740" s="32"/>
      <c r="BX2740" s="32"/>
      <c r="BY2740" s="32"/>
      <c r="BZ2740" s="32"/>
      <c r="CA2740" s="32"/>
      <c r="CB2740" s="32"/>
      <c r="CC2740" s="32"/>
      <c r="CD2740" s="32"/>
    </row>
    <row r="2741" ht="15.75" hidden="1" customHeight="1" outlineLevel="1">
      <c r="A2741" s="365"/>
      <c r="B2741" s="38"/>
      <c r="C2741" s="374"/>
      <c r="D2741" s="374"/>
      <c r="E2741" s="374"/>
      <c r="F2741" s="374"/>
      <c r="G2741" s="374"/>
      <c r="H2741" s="374"/>
      <c r="I2741" s="374"/>
      <c r="J2741" s="374"/>
      <c r="K2741" s="374"/>
      <c r="L2741" s="374"/>
      <c r="M2741" s="374"/>
      <c r="N2741" s="374"/>
      <c r="O2741" s="374"/>
      <c r="P2741" s="374"/>
      <c r="Q2741" s="374"/>
      <c r="R2741" s="374"/>
      <c r="S2741" s="38"/>
      <c r="T2741" s="38"/>
      <c r="U2741" s="38"/>
      <c r="V2741" s="38"/>
      <c r="W2741" s="38"/>
      <c r="X2741" s="32"/>
      <c r="Y2741" s="32"/>
      <c r="Z2741" s="32"/>
      <c r="AA2741" s="32"/>
      <c r="AB2741" s="32"/>
      <c r="AC2741" s="32"/>
      <c r="AD2741" s="32"/>
      <c r="AE2741" s="32"/>
      <c r="AF2741" s="32"/>
      <c r="AG2741" s="32"/>
      <c r="AH2741" s="32"/>
      <c r="AI2741" s="32"/>
      <c r="AJ2741" s="32"/>
      <c r="AK2741" s="32"/>
      <c r="AL2741" s="32"/>
      <c r="AM2741" s="32"/>
      <c r="AN2741" s="32"/>
      <c r="AO2741" s="32"/>
      <c r="AP2741" s="373">
        <f>PPMT('Assumptions (T&amp;D) old'!$B$100,Model!W$1,'Assumptions (T&amp;D) old'!$B$103,Model!$AP$2699)</f>
        <v>-0.08247222529</v>
      </c>
      <c r="AQ2741" s="373">
        <f>PPMT('Assumptions (T&amp;D) old'!$B$100,Model!X$1,'Assumptions (T&amp;D) old'!$B$103,Model!$AP$2699)</f>
        <v>-0.08638965599</v>
      </c>
      <c r="AR2741" s="373">
        <f>PPMT('Assumptions (T&amp;D) old'!$B$100,Model!Y$1,'Assumptions (T&amp;D) old'!$B$103,Model!$AP$2699)</f>
        <v>-0.09049316465</v>
      </c>
      <c r="AS2741" s="373">
        <f>PPMT('Assumptions (T&amp;D) old'!$B$100,Model!Z$1,'Assumptions (T&amp;D) old'!$B$103,Model!$AP$2699)</f>
        <v>-0.09479158997</v>
      </c>
      <c r="AT2741" s="373">
        <f>PPMT('Assumptions (T&amp;D) old'!$B$100,Model!AA$1,'Assumptions (T&amp;D) old'!$B$103,Model!$AP$2699)</f>
        <v>-0.0992941905</v>
      </c>
      <c r="AU2741" s="373">
        <f>PPMT('Assumptions (T&amp;D) old'!$B$100,Model!AB$1,'Assumptions (T&amp;D) old'!$B$103,Model!$AP$2699)</f>
        <v>-0.1040106645</v>
      </c>
      <c r="AV2741" s="373">
        <f>PPMT('Assumptions (T&amp;D) old'!$B$100,Model!AC$1,'Assumptions (T&amp;D) old'!$B$103,Model!$AP$2699)</f>
        <v>-0.1089511711</v>
      </c>
      <c r="AW2741" s="373">
        <f>PPMT('Assumptions (T&amp;D) old'!$B$100,Model!AD$1,'Assumptions (T&amp;D) old'!$B$103,Model!$AP$2699)</f>
        <v>-0.1141263517</v>
      </c>
      <c r="AX2741" s="373">
        <f>PPMT('Assumptions (T&amp;D) old'!$B$100,Model!AE$1,'Assumptions (T&amp;D) old'!$B$103,Model!$AP$2699)</f>
        <v>-0.1195473534</v>
      </c>
      <c r="AY2741" s="373">
        <f>PPMT('Assumptions (T&amp;D) old'!$B$100,Model!AF$1,'Assumptions (T&amp;D) old'!$B$103,Model!$AP$2699)</f>
        <v>-0.1252258527</v>
      </c>
      <c r="AZ2741" s="373">
        <f>PPMT('Assumptions (T&amp;D) old'!$B$100,Model!AG$1,'Assumptions (T&amp;D) old'!$B$103,Model!$AP$2699)</f>
        <v>-0.1311740807</v>
      </c>
      <c r="BA2741" s="373">
        <f>PPMT('Assumptions (T&amp;D) old'!$B$100,Model!AH$1,'Assumptions (T&amp;D) old'!$B$103,Model!$AP$2699)</f>
        <v>-0.1374048496</v>
      </c>
      <c r="BB2741" s="373">
        <f>PPMT('Assumptions (T&amp;D) old'!$B$100,Model!AI$1,'Assumptions (T&amp;D) old'!$B$103,Model!$AP$2699)</f>
        <v>-0.1439315799</v>
      </c>
      <c r="BC2741" s="373">
        <f>PPMT('Assumptions (T&amp;D) old'!$B$100,Model!AJ$1,'Assumptions (T&amp;D) old'!$B$103,Model!$AP$2699)</f>
        <v>-0.15076833</v>
      </c>
      <c r="BD2741" s="373">
        <f>PPMT('Assumptions (T&amp;D) old'!$B$100,Model!AK$1,'Assumptions (T&amp;D) old'!$B$103,Model!$AP$2699)</f>
        <v>-0.1579298256</v>
      </c>
      <c r="BE2741" s="374"/>
      <c r="BF2741" s="374"/>
      <c r="BG2741" s="374"/>
      <c r="BH2741" s="374"/>
      <c r="BI2741" s="374"/>
      <c r="BJ2741" s="374"/>
      <c r="BK2741" s="374"/>
      <c r="BL2741" s="374"/>
      <c r="BM2741" s="374"/>
      <c r="BN2741" s="374"/>
      <c r="BO2741" s="32"/>
      <c r="BP2741" s="32"/>
      <c r="BQ2741" s="32"/>
      <c r="BR2741" s="32"/>
      <c r="BS2741" s="32"/>
      <c r="BT2741" s="32"/>
      <c r="BU2741" s="32"/>
      <c r="BV2741" s="32"/>
      <c r="BW2741" s="32"/>
      <c r="BX2741" s="32"/>
      <c r="BY2741" s="32"/>
      <c r="BZ2741" s="32"/>
      <c r="CA2741" s="32"/>
      <c r="CB2741" s="32"/>
      <c r="CC2741" s="32"/>
      <c r="CD2741" s="32"/>
    </row>
    <row r="2742" ht="15.75" hidden="1" customHeight="1" outlineLevel="1">
      <c r="A2742" s="365"/>
      <c r="B2742" s="38"/>
      <c r="C2742" s="374"/>
      <c r="D2742" s="374"/>
      <c r="E2742" s="374"/>
      <c r="F2742" s="374"/>
      <c r="G2742" s="374"/>
      <c r="H2742" s="374"/>
      <c r="I2742" s="374"/>
      <c r="J2742" s="374"/>
      <c r="K2742" s="374"/>
      <c r="L2742" s="374"/>
      <c r="M2742" s="374"/>
      <c r="N2742" s="374"/>
      <c r="O2742" s="374"/>
      <c r="P2742" s="374"/>
      <c r="Q2742" s="374"/>
      <c r="R2742" s="374"/>
      <c r="S2742" s="38"/>
      <c r="T2742" s="38"/>
      <c r="U2742" s="38"/>
      <c r="V2742" s="38"/>
      <c r="W2742" s="38"/>
      <c r="X2742" s="32"/>
      <c r="Y2742" s="32"/>
      <c r="Z2742" s="32"/>
      <c r="AA2742" s="32"/>
      <c r="AB2742" s="32"/>
      <c r="AC2742" s="32"/>
      <c r="AD2742" s="32"/>
      <c r="AE2742" s="32"/>
      <c r="AF2742" s="32"/>
      <c r="AG2742" s="32"/>
      <c r="AH2742" s="32"/>
      <c r="AI2742" s="32"/>
      <c r="AJ2742" s="32"/>
      <c r="AK2742" s="32"/>
      <c r="AL2742" s="32"/>
      <c r="AM2742" s="32"/>
      <c r="AN2742" s="32"/>
      <c r="AO2742" s="32"/>
      <c r="AP2742" s="32"/>
      <c r="AQ2742" s="373">
        <f>PPMT('Assumptions (T&amp;D) old'!$B$100,Model!W$1,'Assumptions (T&amp;D) old'!$B$103,Model!$AQ$2699)</f>
        <v>-0.0846800566</v>
      </c>
      <c r="AR2742" s="373">
        <f>PPMT('Assumptions (T&amp;D) old'!$B$100,Model!X$1,'Assumptions (T&amp;D) old'!$B$103,Model!$AQ$2699)</f>
        <v>-0.08870235929</v>
      </c>
      <c r="AS2742" s="373">
        <f>PPMT('Assumptions (T&amp;D) old'!$B$100,Model!Y$1,'Assumptions (T&amp;D) old'!$B$103,Model!$AQ$2699)</f>
        <v>-0.09291572135</v>
      </c>
      <c r="AT2742" s="373">
        <f>PPMT('Assumptions (T&amp;D) old'!$B$100,Model!Z$1,'Assumptions (T&amp;D) old'!$B$103,Model!$AQ$2699)</f>
        <v>-0.09732921812</v>
      </c>
      <c r="AU2742" s="373">
        <f>PPMT('Assumptions (T&amp;D) old'!$B$100,Model!AA$1,'Assumptions (T&amp;D) old'!$B$103,Model!$AQ$2699)</f>
        <v>-0.101952356</v>
      </c>
      <c r="AV2742" s="373">
        <f>PPMT('Assumptions (T&amp;D) old'!$B$100,Model!AB$1,'Assumptions (T&amp;D) old'!$B$103,Model!$AQ$2699)</f>
        <v>-0.1067950929</v>
      </c>
      <c r="AW2742" s="373">
        <f>PPMT('Assumptions (T&amp;D) old'!$B$100,Model!AC$1,'Assumptions (T&amp;D) old'!$B$103,Model!$AQ$2699)</f>
        <v>-0.1118678598</v>
      </c>
      <c r="AX2742" s="373">
        <f>PPMT('Assumptions (T&amp;D) old'!$B$100,Model!AD$1,'Assumptions (T&amp;D) old'!$B$103,Model!$AQ$2699)</f>
        <v>-0.1171815831</v>
      </c>
      <c r="AY2742" s="373">
        <f>PPMT('Assumptions (T&amp;D) old'!$B$100,Model!AE$1,'Assumptions (T&amp;D) old'!$B$103,Model!$AQ$2699)</f>
        <v>-0.1227477083</v>
      </c>
      <c r="AZ2742" s="373">
        <f>PPMT('Assumptions (T&amp;D) old'!$B$100,Model!AF$1,'Assumptions (T&amp;D) old'!$B$103,Model!$AQ$2699)</f>
        <v>-0.1285782245</v>
      </c>
      <c r="BA2742" s="373">
        <f>PPMT('Assumptions (T&amp;D) old'!$B$100,Model!AG$1,'Assumptions (T&amp;D) old'!$B$103,Model!$AQ$2699)</f>
        <v>-0.1346856901</v>
      </c>
      <c r="BB2742" s="373">
        <f>PPMT('Assumptions (T&amp;D) old'!$B$100,Model!AH$1,'Assumptions (T&amp;D) old'!$B$103,Model!$AQ$2699)</f>
        <v>-0.1410832604</v>
      </c>
      <c r="BC2742" s="373">
        <f>PPMT('Assumptions (T&amp;D) old'!$B$100,Model!AI$1,'Assumptions (T&amp;D) old'!$B$103,Model!$AQ$2699)</f>
        <v>-0.1477847153</v>
      </c>
      <c r="BD2742" s="373">
        <f>PPMT('Assumptions (T&amp;D) old'!$B$100,Model!AJ$1,'Assumptions (T&amp;D) old'!$B$103,Model!$AQ$2699)</f>
        <v>-0.1548044893</v>
      </c>
      <c r="BE2742" s="373">
        <f>PPMT('Assumptions (T&amp;D) old'!$B$100,Model!AK$1,'Assumptions (T&amp;D) old'!$B$103,Model!$AQ$2699)</f>
        <v>-0.1621577025</v>
      </c>
      <c r="BF2742" s="374"/>
      <c r="BG2742" s="374"/>
      <c r="BH2742" s="374"/>
      <c r="BI2742" s="374"/>
      <c r="BJ2742" s="374"/>
      <c r="BK2742" s="374"/>
      <c r="BL2742" s="374"/>
      <c r="BM2742" s="374"/>
      <c r="BN2742" s="374"/>
      <c r="BO2742" s="374"/>
      <c r="BP2742" s="32"/>
      <c r="BQ2742" s="32"/>
      <c r="BR2742" s="32"/>
      <c r="BS2742" s="32"/>
      <c r="BT2742" s="32"/>
      <c r="BU2742" s="32"/>
      <c r="BV2742" s="32"/>
      <c r="BW2742" s="32"/>
      <c r="BX2742" s="32"/>
      <c r="BY2742" s="32"/>
      <c r="BZ2742" s="32"/>
      <c r="CA2742" s="32"/>
      <c r="CB2742" s="32"/>
      <c r="CC2742" s="32"/>
      <c r="CD2742" s="32"/>
    </row>
    <row r="2743" ht="15.75" hidden="1" customHeight="1" outlineLevel="1">
      <c r="A2743" s="365"/>
      <c r="B2743" s="38"/>
      <c r="C2743" s="374"/>
      <c r="D2743" s="374"/>
      <c r="E2743" s="374"/>
      <c r="F2743" s="374"/>
      <c r="G2743" s="374"/>
      <c r="H2743" s="374"/>
      <c r="I2743" s="374"/>
      <c r="J2743" s="374"/>
      <c r="K2743" s="374"/>
      <c r="L2743" s="374"/>
      <c r="M2743" s="374"/>
      <c r="N2743" s="374"/>
      <c r="O2743" s="374"/>
      <c r="P2743" s="374"/>
      <c r="Q2743" s="374"/>
      <c r="R2743" s="374"/>
      <c r="S2743" s="38"/>
      <c r="T2743" s="38"/>
      <c r="U2743" s="38"/>
      <c r="V2743" s="38"/>
      <c r="W2743" s="38"/>
      <c r="X2743" s="32"/>
      <c r="Y2743" s="32"/>
      <c r="Z2743" s="32"/>
      <c r="AA2743" s="32"/>
      <c r="AB2743" s="32"/>
      <c r="AC2743" s="32"/>
      <c r="AD2743" s="32"/>
      <c r="AE2743" s="32"/>
      <c r="AF2743" s="32"/>
      <c r="AG2743" s="32"/>
      <c r="AH2743" s="32"/>
      <c r="AI2743" s="32"/>
      <c r="AJ2743" s="32"/>
      <c r="AK2743" s="32"/>
      <c r="AL2743" s="32"/>
      <c r="AM2743" s="32"/>
      <c r="AN2743" s="32"/>
      <c r="AO2743" s="32"/>
      <c r="AP2743" s="32"/>
      <c r="AQ2743" s="32"/>
      <c r="AR2743" s="373">
        <f>PPMT('Assumptions (T&amp;D) old'!$B$100,Model!W$1,'Assumptions (T&amp;D) old'!$B$103,Model!$AR$2699)</f>
        <v>-0.08694292557</v>
      </c>
      <c r="AS2743" s="373">
        <f>PPMT('Assumptions (T&amp;D) old'!$B$100,Model!X$1,'Assumptions (T&amp;D) old'!$B$103,Model!$AR$2699)</f>
        <v>-0.09107271453</v>
      </c>
      <c r="AT2743" s="373">
        <f>PPMT('Assumptions (T&amp;D) old'!$B$100,Model!Y$1,'Assumptions (T&amp;D) old'!$B$103,Model!$AR$2699)</f>
        <v>-0.09539866847</v>
      </c>
      <c r="AU2743" s="373">
        <f>PPMT('Assumptions (T&amp;D) old'!$B$100,Model!Z$1,'Assumptions (T&amp;D) old'!$B$103,Model!$AR$2699)</f>
        <v>-0.09993010523</v>
      </c>
      <c r="AV2743" s="373">
        <f>PPMT('Assumptions (T&amp;D) old'!$B$100,Model!AA$1,'Assumptions (T&amp;D) old'!$B$103,Model!$AR$2699)</f>
        <v>-0.1046767852</v>
      </c>
      <c r="AW2743" s="373">
        <f>PPMT('Assumptions (T&amp;D) old'!$B$100,Model!AB$1,'Assumptions (T&amp;D) old'!$B$103,Model!$AR$2699)</f>
        <v>-0.1096489325</v>
      </c>
      <c r="AX2743" s="373">
        <f>PPMT('Assumptions (T&amp;D) old'!$B$100,Model!AC$1,'Assumptions (T&amp;D) old'!$B$103,Model!$AR$2699)</f>
        <v>-0.1148572568</v>
      </c>
      <c r="AY2743" s="373">
        <f>PPMT('Assumptions (T&amp;D) old'!$B$100,Model!AD$1,'Assumptions (T&amp;D) old'!$B$103,Model!$AR$2699)</f>
        <v>-0.1203129765</v>
      </c>
      <c r="AZ2743" s="373">
        <f>PPMT('Assumptions (T&amp;D) old'!$B$100,Model!AE$1,'Assumptions (T&amp;D) old'!$B$103,Model!$AR$2699)</f>
        <v>-0.1260278429</v>
      </c>
      <c r="BA2743" s="373">
        <f>PPMT('Assumptions (T&amp;D) old'!$B$100,Model!AF$1,'Assumptions (T&amp;D) old'!$B$103,Model!$AR$2699)</f>
        <v>-0.1320141654</v>
      </c>
      <c r="BB2743" s="373">
        <f>PPMT('Assumptions (T&amp;D) old'!$B$100,Model!AG$1,'Assumptions (T&amp;D) old'!$B$103,Model!$AR$2699)</f>
        <v>-0.1382848383</v>
      </c>
      <c r="BC2743" s="373">
        <f>PPMT('Assumptions (T&amp;D) old'!$B$100,Model!AH$1,'Assumptions (T&amp;D) old'!$B$103,Model!$AR$2699)</f>
        <v>-0.1448533681</v>
      </c>
      <c r="BD2743" s="373">
        <f>PPMT('Assumptions (T&amp;D) old'!$B$100,Model!AI$1,'Assumptions (T&amp;D) old'!$B$103,Model!$AR$2699)</f>
        <v>-0.1517339031</v>
      </c>
      <c r="BE2743" s="373">
        <f>PPMT('Assumptions (T&amp;D) old'!$B$100,Model!AJ$1,'Assumptions (T&amp;D) old'!$B$103,Model!$AR$2699)</f>
        <v>-0.1589412635</v>
      </c>
      <c r="BF2743" s="373">
        <f>PPMT('Assumptions (T&amp;D) old'!$B$100,Model!AK$1,'Assumptions (T&amp;D) old'!$B$103,Model!$AR$2699)</f>
        <v>-0.1664909735</v>
      </c>
      <c r="BG2743" s="374"/>
      <c r="BH2743" s="374"/>
      <c r="BI2743" s="374"/>
      <c r="BJ2743" s="374"/>
      <c r="BK2743" s="374"/>
      <c r="BL2743" s="374"/>
      <c r="BM2743" s="374"/>
      <c r="BN2743" s="374"/>
      <c r="BO2743" s="374"/>
      <c r="BP2743" s="374"/>
      <c r="BQ2743" s="32"/>
      <c r="BR2743" s="32"/>
      <c r="BS2743" s="32"/>
      <c r="BT2743" s="32"/>
      <c r="BU2743" s="32"/>
      <c r="BV2743" s="32"/>
      <c r="BW2743" s="32"/>
      <c r="BX2743" s="32"/>
      <c r="BY2743" s="32"/>
      <c r="BZ2743" s="32"/>
      <c r="CA2743" s="32"/>
      <c r="CB2743" s="32"/>
      <c r="CC2743" s="32"/>
      <c r="CD2743" s="32"/>
    </row>
    <row r="2744" ht="15.75" hidden="1" customHeight="1" outlineLevel="1">
      <c r="A2744" s="365"/>
      <c r="B2744" s="38"/>
      <c r="C2744" s="374"/>
      <c r="D2744" s="374"/>
      <c r="E2744" s="374"/>
      <c r="F2744" s="374"/>
      <c r="G2744" s="374"/>
      <c r="H2744" s="374"/>
      <c r="I2744" s="374"/>
      <c r="J2744" s="374"/>
      <c r="K2744" s="374"/>
      <c r="L2744" s="374"/>
      <c r="M2744" s="374"/>
      <c r="N2744" s="374"/>
      <c r="O2744" s="374"/>
      <c r="P2744" s="374"/>
      <c r="Q2744" s="374"/>
      <c r="R2744" s="374"/>
      <c r="S2744" s="38"/>
      <c r="T2744" s="38"/>
      <c r="U2744" s="38"/>
      <c r="V2744" s="38"/>
      <c r="W2744" s="38"/>
      <c r="X2744" s="32"/>
      <c r="Y2744" s="32"/>
      <c r="Z2744" s="32"/>
      <c r="AA2744" s="32"/>
      <c r="AB2744" s="32"/>
      <c r="AC2744" s="32"/>
      <c r="AD2744" s="32"/>
      <c r="AE2744" s="32"/>
      <c r="AF2744" s="32"/>
      <c r="AG2744" s="32"/>
      <c r="AH2744" s="32"/>
      <c r="AI2744" s="32"/>
      <c r="AJ2744" s="32"/>
      <c r="AK2744" s="32"/>
      <c r="AL2744" s="32"/>
      <c r="AM2744" s="32"/>
      <c r="AN2744" s="32"/>
      <c r="AO2744" s="32"/>
      <c r="AP2744" s="32"/>
      <c r="AQ2744" s="32"/>
      <c r="AR2744" s="32"/>
      <c r="AS2744" s="373">
        <f>PPMT('Assumptions (T&amp;D) old'!$B$100,Model!W$1,'Assumptions (T&amp;D) old'!$B$103,Model!$AS$2699)</f>
        <v>-0.08926214495</v>
      </c>
      <c r="AT2744" s="373">
        <f>PPMT('Assumptions (T&amp;D) old'!$B$100,Model!X$1,'Assumptions (T&amp;D) old'!$B$103,Model!$AS$2699)</f>
        <v>-0.09350209684</v>
      </c>
      <c r="AU2744" s="373">
        <f>PPMT('Assumptions (T&amp;D) old'!$B$100,Model!Y$1,'Assumptions (T&amp;D) old'!$B$103,Model!$AS$2699)</f>
        <v>-0.09794344644</v>
      </c>
      <c r="AV2744" s="373">
        <f>PPMT('Assumptions (T&amp;D) old'!$B$100,Model!Z$1,'Assumptions (T&amp;D) old'!$B$103,Model!$AS$2699)</f>
        <v>-0.1025957601</v>
      </c>
      <c r="AW2744" s="373">
        <f>PPMT('Assumptions (T&amp;D) old'!$B$100,Model!AA$1,'Assumptions (T&amp;D) old'!$B$103,Model!$AS$2699)</f>
        <v>-0.1074690588</v>
      </c>
      <c r="AX2744" s="373">
        <f>PPMT('Assumptions (T&amp;D) old'!$B$100,Model!AB$1,'Assumptions (T&amp;D) old'!$B$103,Model!$AS$2699)</f>
        <v>-0.112573839</v>
      </c>
      <c r="AY2744" s="373">
        <f>PPMT('Assumptions (T&amp;D) old'!$B$100,Model!AC$1,'Assumptions (T&amp;D) old'!$B$103,Model!$AS$2699)</f>
        <v>-0.1179210964</v>
      </c>
      <c r="AZ2744" s="373">
        <f>PPMT('Assumptions (T&amp;D) old'!$B$100,Model!AD$1,'Assumptions (T&amp;D) old'!$B$103,Model!$AS$2699)</f>
        <v>-0.1235223485</v>
      </c>
      <c r="BA2744" s="373">
        <f>PPMT('Assumptions (T&amp;D) old'!$B$100,Model!AE$1,'Assumptions (T&amp;D) old'!$B$103,Model!$AS$2699)</f>
        <v>-0.12938966</v>
      </c>
      <c r="BB2744" s="373">
        <f>PPMT('Assumptions (T&amp;D) old'!$B$100,Model!AF$1,'Assumptions (T&amp;D) old'!$B$103,Model!$AS$2699)</f>
        <v>-0.1355356689</v>
      </c>
      <c r="BC2744" s="373">
        <f>PPMT('Assumptions (T&amp;D) old'!$B$100,Model!AG$1,'Assumptions (T&amp;D) old'!$B$103,Model!$AS$2699)</f>
        <v>-0.1419736132</v>
      </c>
      <c r="BD2744" s="373">
        <f>PPMT('Assumptions (T&amp;D) old'!$B$100,Model!AH$1,'Assumptions (T&amp;D) old'!$B$103,Model!$AS$2699)</f>
        <v>-0.1487173598</v>
      </c>
      <c r="BE2744" s="373">
        <f>PPMT('Assumptions (T&amp;D) old'!$B$100,Model!AI$1,'Assumptions (T&amp;D) old'!$B$103,Model!$AS$2699)</f>
        <v>-0.1557814344</v>
      </c>
      <c r="BF2744" s="373">
        <f>PPMT('Assumptions (T&amp;D) old'!$B$100,Model!AJ$1,'Assumptions (T&amp;D) old'!$B$103,Model!$AS$2699)</f>
        <v>-0.1631810525</v>
      </c>
      <c r="BG2744" s="373">
        <f>PPMT('Assumptions (T&amp;D) old'!$B$100,Model!AK$1,'Assumptions (T&amp;D) old'!$B$103,Model!$AS$2699)</f>
        <v>-0.1709321525</v>
      </c>
      <c r="BH2744" s="374"/>
      <c r="BI2744" s="374"/>
      <c r="BJ2744" s="374"/>
      <c r="BK2744" s="374"/>
      <c r="BL2744" s="374"/>
      <c r="BM2744" s="374"/>
      <c r="BN2744" s="374"/>
      <c r="BO2744" s="374"/>
      <c r="BP2744" s="374"/>
      <c r="BQ2744" s="374"/>
      <c r="BR2744" s="32"/>
      <c r="BS2744" s="32"/>
      <c r="BT2744" s="32"/>
      <c r="BU2744" s="32"/>
      <c r="BV2744" s="32"/>
      <c r="BW2744" s="32"/>
      <c r="BX2744" s="32"/>
      <c r="BY2744" s="32"/>
      <c r="BZ2744" s="32"/>
      <c r="CA2744" s="32"/>
      <c r="CB2744" s="32"/>
      <c r="CC2744" s="32"/>
      <c r="CD2744" s="32"/>
    </row>
    <row r="2745" ht="15.75" hidden="1" customHeight="1" outlineLevel="1">
      <c r="A2745" s="365"/>
      <c r="B2745" s="38"/>
      <c r="C2745" s="374"/>
      <c r="D2745" s="374"/>
      <c r="E2745" s="374"/>
      <c r="F2745" s="374"/>
      <c r="G2745" s="374"/>
      <c r="H2745" s="374"/>
      <c r="I2745" s="374"/>
      <c r="J2745" s="374"/>
      <c r="K2745" s="374"/>
      <c r="L2745" s="374"/>
      <c r="M2745" s="374"/>
      <c r="N2745" s="374"/>
      <c r="O2745" s="374"/>
      <c r="P2745" s="374"/>
      <c r="Q2745" s="374"/>
      <c r="R2745" s="374"/>
      <c r="S2745" s="38"/>
      <c r="T2745" s="38"/>
      <c r="U2745" s="38"/>
      <c r="V2745" s="38"/>
      <c r="W2745" s="38"/>
      <c r="X2745" s="32"/>
      <c r="Y2745" s="32"/>
      <c r="Z2745" s="32"/>
      <c r="AA2745" s="32"/>
      <c r="AB2745" s="32"/>
      <c r="AC2745" s="32"/>
      <c r="AD2745" s="32"/>
      <c r="AE2745" s="32"/>
      <c r="AF2745" s="32"/>
      <c r="AG2745" s="32"/>
      <c r="AH2745" s="32"/>
      <c r="AI2745" s="32"/>
      <c r="AJ2745" s="32"/>
      <c r="AK2745" s="32"/>
      <c r="AL2745" s="32"/>
      <c r="AM2745" s="32"/>
      <c r="AN2745" s="32"/>
      <c r="AO2745" s="32"/>
      <c r="AP2745" s="32"/>
      <c r="AQ2745" s="32"/>
      <c r="AR2745" s="32"/>
      <c r="AS2745" s="32"/>
      <c r="AT2745" s="373">
        <f>PPMT('Assumptions (T&amp;D) old'!$B$100,Model!W$1,'Assumptions (T&amp;D) old'!$B$103,Model!$AT$2699)</f>
        <v>-0.09163905788</v>
      </c>
      <c r="AU2745" s="373">
        <f>PPMT('Assumptions (T&amp;D) old'!$B$100,Model!X$1,'Assumptions (T&amp;D) old'!$B$103,Model!$AT$2699)</f>
        <v>-0.09599191313</v>
      </c>
      <c r="AV2745" s="373">
        <f>PPMT('Assumptions (T&amp;D) old'!$B$100,Model!Y$1,'Assumptions (T&amp;D) old'!$B$103,Model!$AT$2699)</f>
        <v>-0.100551529</v>
      </c>
      <c r="AW2745" s="373">
        <f>PPMT('Assumptions (T&amp;D) old'!$B$100,Model!Z$1,'Assumptions (T&amp;D) old'!$B$103,Model!$AT$2699)</f>
        <v>-0.1053277266</v>
      </c>
      <c r="AX2745" s="373">
        <f>PPMT('Assumptions (T&amp;D) old'!$B$100,Model!AA$1,'Assumptions (T&amp;D) old'!$B$103,Model!$AT$2699)</f>
        <v>-0.1103307937</v>
      </c>
      <c r="AY2745" s="373">
        <f>PPMT('Assumptions (T&amp;D) old'!$B$100,Model!AB$1,'Assumptions (T&amp;D) old'!$B$103,Model!$AT$2699)</f>
        <v>-0.1155715063</v>
      </c>
      <c r="AZ2745" s="373">
        <f>PPMT('Assumptions (T&amp;D) old'!$B$100,Model!AC$1,'Assumptions (T&amp;D) old'!$B$103,Model!$AT$2699)</f>
        <v>-0.1210611529</v>
      </c>
      <c r="BA2745" s="373">
        <f>PPMT('Assumptions (T&amp;D) old'!$B$100,Model!AD$1,'Assumptions (T&amp;D) old'!$B$103,Model!$AT$2699)</f>
        <v>-0.1268115577</v>
      </c>
      <c r="BB2745" s="373">
        <f>PPMT('Assumptions (T&amp;D) old'!$B$100,Model!AE$1,'Assumptions (T&amp;D) old'!$B$103,Model!$AT$2699)</f>
        <v>-0.1328351067</v>
      </c>
      <c r="BC2745" s="373">
        <f>PPMT('Assumptions (T&amp;D) old'!$B$100,Model!AF$1,'Assumptions (T&amp;D) old'!$B$103,Model!$AT$2699)</f>
        <v>-0.1391447742</v>
      </c>
      <c r="BD2745" s="373">
        <f>PPMT('Assumptions (T&amp;D) old'!$B$100,Model!AG$1,'Assumptions (T&amp;D) old'!$B$103,Model!$AT$2699)</f>
        <v>-0.145754151</v>
      </c>
      <c r="BE2745" s="373">
        <f>PPMT('Assumptions (T&amp;D) old'!$B$100,Model!AH$1,'Assumptions (T&amp;D) old'!$B$103,Model!$AT$2699)</f>
        <v>-0.1526774732</v>
      </c>
      <c r="BF2745" s="373">
        <f>PPMT('Assumptions (T&amp;D) old'!$B$100,Model!AI$1,'Assumptions (T&amp;D) old'!$B$103,Model!$AT$2699)</f>
        <v>-0.1599296531</v>
      </c>
      <c r="BG2745" s="373">
        <f>PPMT('Assumptions (T&amp;D) old'!$B$100,Model!AJ$1,'Assumptions (T&amp;D) old'!$B$103,Model!$AT$2699)</f>
        <v>-0.1675263117</v>
      </c>
      <c r="BH2745" s="373">
        <f>PPMT('Assumptions (T&amp;D) old'!$B$100,Model!AK$1,'Assumptions (T&amp;D) old'!$B$103,Model!$AT$2699)</f>
        <v>-0.1754838115</v>
      </c>
      <c r="BI2745" s="374"/>
      <c r="BJ2745" s="374"/>
      <c r="BK2745" s="374"/>
      <c r="BL2745" s="374"/>
      <c r="BM2745" s="374"/>
      <c r="BN2745" s="374"/>
      <c r="BO2745" s="374"/>
      <c r="BP2745" s="374"/>
      <c r="BQ2745" s="374"/>
      <c r="BR2745" s="374"/>
      <c r="BS2745" s="32"/>
      <c r="BT2745" s="32"/>
      <c r="BU2745" s="32"/>
      <c r="BV2745" s="32"/>
      <c r="BW2745" s="32"/>
      <c r="BX2745" s="32"/>
      <c r="BY2745" s="32"/>
      <c r="BZ2745" s="32"/>
      <c r="CA2745" s="32"/>
      <c r="CB2745" s="32"/>
      <c r="CC2745" s="32"/>
      <c r="CD2745" s="32"/>
    </row>
    <row r="2746" ht="15.75" hidden="1" customHeight="1" outlineLevel="1">
      <c r="A2746" s="365"/>
      <c r="B2746" s="38"/>
      <c r="C2746" s="374"/>
      <c r="D2746" s="374"/>
      <c r="E2746" s="374"/>
      <c r="F2746" s="374"/>
      <c r="G2746" s="374"/>
      <c r="H2746" s="374"/>
      <c r="I2746" s="374"/>
      <c r="J2746" s="374"/>
      <c r="K2746" s="374"/>
      <c r="L2746" s="374"/>
      <c r="M2746" s="374"/>
      <c r="N2746" s="374"/>
      <c r="O2746" s="374"/>
      <c r="P2746" s="374"/>
      <c r="Q2746" s="374"/>
      <c r="R2746" s="374"/>
      <c r="S2746" s="38"/>
      <c r="T2746" s="38"/>
      <c r="U2746" s="38"/>
      <c r="V2746" s="38"/>
      <c r="W2746" s="38"/>
      <c r="X2746" s="32"/>
      <c r="Y2746" s="32"/>
      <c r="Z2746" s="32"/>
      <c r="AA2746" s="32"/>
      <c r="AB2746" s="32"/>
      <c r="AC2746" s="32"/>
      <c r="AD2746" s="32"/>
      <c r="AE2746" s="32"/>
      <c r="AF2746" s="32"/>
      <c r="AG2746" s="32"/>
      <c r="AH2746" s="32"/>
      <c r="AI2746" s="32"/>
      <c r="AJ2746" s="32"/>
      <c r="AK2746" s="32"/>
      <c r="AL2746" s="32"/>
      <c r="AM2746" s="32"/>
      <c r="AN2746" s="32"/>
      <c r="AO2746" s="32"/>
      <c r="AP2746" s="32"/>
      <c r="AQ2746" s="32"/>
      <c r="AR2746" s="32"/>
      <c r="AS2746" s="32"/>
      <c r="AT2746" s="32"/>
      <c r="AU2746" s="373">
        <f>PPMT('Assumptions (T&amp;D) old'!$B$100,Model!W$1,'Assumptions (T&amp;D) old'!$B$103,Model!$AU$2699)</f>
        <v>-0.09778281737</v>
      </c>
      <c r="AV2746" s="373">
        <f>PPMT('Assumptions (T&amp;D) old'!$B$100,Model!X$1,'Assumptions (T&amp;D) old'!$B$103,Model!$AU$2699)</f>
        <v>-0.1024275012</v>
      </c>
      <c r="AW2746" s="373">
        <f>PPMT('Assumptions (T&amp;D) old'!$B$100,Model!Y$1,'Assumptions (T&amp;D) old'!$B$103,Model!$AU$2699)</f>
        <v>-0.1072928075</v>
      </c>
      <c r="AX2746" s="373">
        <f>PPMT('Assumptions (T&amp;D) old'!$B$100,Model!Z$1,'Assumptions (T&amp;D) old'!$B$103,Model!$AU$2699)</f>
        <v>-0.1123892159</v>
      </c>
      <c r="AY2746" s="373">
        <f>PPMT('Assumptions (T&amp;D) old'!$B$100,Model!AA$1,'Assumptions (T&amp;D) old'!$B$103,Model!$AU$2699)</f>
        <v>-0.1177277036</v>
      </c>
      <c r="AZ2746" s="373">
        <f>PPMT('Assumptions (T&amp;D) old'!$B$100,Model!AB$1,'Assumptions (T&amp;D) old'!$B$103,Model!$AU$2699)</f>
        <v>-0.1233197695</v>
      </c>
      <c r="BA2746" s="373">
        <f>PPMT('Assumptions (T&amp;D) old'!$B$100,Model!AC$1,'Assumptions (T&amp;D) old'!$B$103,Model!$AU$2699)</f>
        <v>-0.1291774586</v>
      </c>
      <c r="BB2746" s="373">
        <f>PPMT('Assumptions (T&amp;D) old'!$B$100,Model!AD$1,'Assumptions (T&amp;D) old'!$B$103,Model!$AU$2699)</f>
        <v>-0.1353133879</v>
      </c>
      <c r="BC2746" s="373">
        <f>PPMT('Assumptions (T&amp;D) old'!$B$100,Model!AE$1,'Assumptions (T&amp;D) old'!$B$103,Model!$AU$2699)</f>
        <v>-0.1417407738</v>
      </c>
      <c r="BD2746" s="373">
        <f>PPMT('Assumptions (T&amp;D) old'!$B$100,Model!AF$1,'Assumptions (T&amp;D) old'!$B$103,Model!$AU$2699)</f>
        <v>-0.1484734606</v>
      </c>
      <c r="BE2746" s="373">
        <f>PPMT('Assumptions (T&amp;D) old'!$B$100,Model!AG$1,'Assumptions (T&amp;D) old'!$B$103,Model!$AU$2699)</f>
        <v>-0.1555259499</v>
      </c>
      <c r="BF2746" s="373">
        <f>PPMT('Assumptions (T&amp;D) old'!$B$100,Model!AH$1,'Assumptions (T&amp;D) old'!$B$103,Model!$AU$2699)</f>
        <v>-0.1629134326</v>
      </c>
      <c r="BG2746" s="373">
        <f>PPMT('Assumptions (T&amp;D) old'!$B$100,Model!AI$1,'Assumptions (T&amp;D) old'!$B$103,Model!$AU$2699)</f>
        <v>-0.1706518206</v>
      </c>
      <c r="BH2746" s="373">
        <f>PPMT('Assumptions (T&amp;D) old'!$B$100,Model!AJ$1,'Assumptions (T&amp;D) old'!$B$103,Model!$AU$2699)</f>
        <v>-0.1787577821</v>
      </c>
      <c r="BI2746" s="373">
        <f>PPMT('Assumptions (T&amp;D) old'!$B$100,Model!AK$1,'Assumptions (T&amp;D) old'!$B$103,Model!$AU$2699)</f>
        <v>-0.1872487767</v>
      </c>
      <c r="BJ2746" s="374"/>
      <c r="BK2746" s="374"/>
      <c r="BL2746" s="374"/>
      <c r="BM2746" s="374"/>
      <c r="BN2746" s="374"/>
      <c r="BO2746" s="374"/>
      <c r="BP2746" s="374"/>
      <c r="BQ2746" s="374"/>
      <c r="BR2746" s="374"/>
      <c r="BS2746" s="374"/>
      <c r="BT2746" s="32"/>
      <c r="BU2746" s="32"/>
      <c r="BV2746" s="32"/>
      <c r="BW2746" s="32"/>
      <c r="BX2746" s="32"/>
      <c r="BY2746" s="32"/>
      <c r="BZ2746" s="32"/>
      <c r="CA2746" s="32"/>
      <c r="CB2746" s="32"/>
      <c r="CC2746" s="32"/>
      <c r="CD2746" s="32"/>
    </row>
    <row r="2747" ht="15.75" hidden="1" customHeight="1" outlineLevel="1">
      <c r="A2747" s="365"/>
      <c r="B2747" s="38"/>
      <c r="C2747" s="374"/>
      <c r="D2747" s="374"/>
      <c r="E2747" s="374"/>
      <c r="F2747" s="374"/>
      <c r="G2747" s="374"/>
      <c r="H2747" s="374"/>
      <c r="I2747" s="374"/>
      <c r="J2747" s="374"/>
      <c r="K2747" s="374"/>
      <c r="L2747" s="374"/>
      <c r="M2747" s="374"/>
      <c r="N2747" s="374"/>
      <c r="O2747" s="374"/>
      <c r="P2747" s="374"/>
      <c r="Q2747" s="374"/>
      <c r="R2747" s="374"/>
      <c r="S2747" s="38"/>
      <c r="T2747" s="38"/>
      <c r="U2747" s="38"/>
      <c r="V2747" s="38"/>
      <c r="W2747" s="38"/>
      <c r="X2747" s="32"/>
      <c r="Y2747" s="32"/>
      <c r="Z2747" s="32"/>
      <c r="AA2747" s="32"/>
      <c r="AB2747" s="32"/>
      <c r="AC2747" s="32"/>
      <c r="AD2747" s="32"/>
      <c r="AE2747" s="32"/>
      <c r="AF2747" s="32"/>
      <c r="AG2747" s="32"/>
      <c r="AH2747" s="32"/>
      <c r="AI2747" s="32"/>
      <c r="AJ2747" s="32"/>
      <c r="AK2747" s="32"/>
      <c r="AL2747" s="32"/>
      <c r="AM2747" s="32"/>
      <c r="AN2747" s="32"/>
      <c r="AO2747" s="32"/>
      <c r="AP2747" s="32"/>
      <c r="AQ2747" s="32"/>
      <c r="AR2747" s="32"/>
      <c r="AS2747" s="32"/>
      <c r="AT2747" s="32"/>
      <c r="AU2747" s="32"/>
      <c r="AV2747" s="373">
        <f>PPMT('Assumptions (T&amp;D) old'!$B$100,Model!W$1,'Assumptions (T&amp;D) old'!$B$103,Model!$AV$2699)</f>
        <v>-0.09657149299</v>
      </c>
      <c r="AW2747" s="373">
        <f>PPMT('Assumptions (T&amp;D) old'!$B$100,Model!X$1,'Assumptions (T&amp;D) old'!$B$103,Model!$AV$2699)</f>
        <v>-0.1011586389</v>
      </c>
      <c r="AX2747" s="373">
        <f>PPMT('Assumptions (T&amp;D) old'!$B$100,Model!Y$1,'Assumptions (T&amp;D) old'!$B$103,Model!$AV$2699)</f>
        <v>-0.1059636743</v>
      </c>
      <c r="AY2747" s="373">
        <f>PPMT('Assumptions (T&amp;D) old'!$B$100,Model!Z$1,'Assumptions (T&amp;D) old'!$B$103,Model!$AV$2699)</f>
        <v>-0.1109969488</v>
      </c>
      <c r="AZ2747" s="373">
        <f>PPMT('Assumptions (T&amp;D) old'!$B$100,Model!AA$1,'Assumptions (T&amp;D) old'!$B$103,Model!$AV$2699)</f>
        <v>-0.1162693038</v>
      </c>
      <c r="BA2747" s="373">
        <f>PPMT('Assumptions (T&amp;D) old'!$B$100,Model!AB$1,'Assumptions (T&amp;D) old'!$B$103,Model!$AV$2699)</f>
        <v>-0.1217920958</v>
      </c>
      <c r="BB2747" s="373">
        <f>PPMT('Assumptions (T&amp;D) old'!$B$100,Model!AC$1,'Assumptions (T&amp;D) old'!$B$103,Model!$AV$2699)</f>
        <v>-0.1275772203</v>
      </c>
      <c r="BC2747" s="373">
        <f>PPMT('Assumptions (T&amp;D) old'!$B$100,Model!AD$1,'Assumptions (T&amp;D) old'!$B$103,Model!$AV$2699)</f>
        <v>-0.1336371383</v>
      </c>
      <c r="BD2747" s="373">
        <f>PPMT('Assumptions (T&amp;D) old'!$B$100,Model!AE$1,'Assumptions (T&amp;D) old'!$B$103,Model!$AV$2699)</f>
        <v>-0.1399849024</v>
      </c>
      <c r="BE2747" s="373">
        <f>PPMT('Assumptions (T&amp;D) old'!$B$100,Model!AF$1,'Assumptions (T&amp;D) old'!$B$103,Model!$AV$2699)</f>
        <v>-0.1466341852</v>
      </c>
      <c r="BF2747" s="373">
        <f>PPMT('Assumptions (T&amp;D) old'!$B$100,Model!AG$1,'Assumptions (T&amp;D) old'!$B$103,Model!$AV$2699)</f>
        <v>-0.153599309</v>
      </c>
      <c r="BG2747" s="373">
        <f>PPMT('Assumptions (T&amp;D) old'!$B$100,Model!AH$1,'Assumptions (T&amp;D) old'!$B$103,Model!$AV$2699)</f>
        <v>-0.1608952762</v>
      </c>
      <c r="BH2747" s="373">
        <f>PPMT('Assumptions (T&amp;D) old'!$B$100,Model!AI$1,'Assumptions (T&amp;D) old'!$B$103,Model!$AV$2699)</f>
        <v>-0.1685378018</v>
      </c>
      <c r="BI2747" s="373">
        <f>PPMT('Assumptions (T&amp;D) old'!$B$100,Model!AJ$1,'Assumptions (T&amp;D) old'!$B$103,Model!$AV$2699)</f>
        <v>-0.1765433474</v>
      </c>
      <c r="BJ2747" s="373">
        <f>PPMT('Assumptions (T&amp;D) old'!$B$100,Model!AK$1,'Assumptions (T&amp;D) old'!$B$103,Model!$AV$2699)</f>
        <v>-0.1849291564</v>
      </c>
      <c r="BK2747" s="374"/>
      <c r="BL2747" s="374"/>
      <c r="BM2747" s="374"/>
      <c r="BN2747" s="374"/>
      <c r="BO2747" s="374"/>
      <c r="BP2747" s="374"/>
      <c r="BQ2747" s="374"/>
      <c r="BR2747" s="374"/>
      <c r="BS2747" s="374"/>
      <c r="BT2747" s="374"/>
      <c r="BU2747" s="32"/>
      <c r="BV2747" s="32"/>
      <c r="BW2747" s="32"/>
      <c r="BX2747" s="32"/>
      <c r="BY2747" s="32"/>
      <c r="BZ2747" s="32"/>
      <c r="CA2747" s="32"/>
      <c r="CB2747" s="32"/>
      <c r="CC2747" s="32"/>
      <c r="CD2747" s="32"/>
    </row>
    <row r="2748" ht="15.75" hidden="1" customHeight="1" outlineLevel="1">
      <c r="A2748" s="365"/>
      <c r="B2748" s="38"/>
      <c r="C2748" s="374"/>
      <c r="D2748" s="374"/>
      <c r="E2748" s="374"/>
      <c r="F2748" s="374"/>
      <c r="G2748" s="374"/>
      <c r="H2748" s="374"/>
      <c r="I2748" s="374"/>
      <c r="J2748" s="374"/>
      <c r="K2748" s="374"/>
      <c r="L2748" s="374"/>
      <c r="M2748" s="374"/>
      <c r="N2748" s="374"/>
      <c r="O2748" s="374"/>
      <c r="P2748" s="374"/>
      <c r="Q2748" s="374"/>
      <c r="R2748" s="374"/>
      <c r="S2748" s="38"/>
      <c r="T2748" s="38"/>
      <c r="U2748" s="38"/>
      <c r="V2748" s="38"/>
      <c r="W2748" s="38"/>
      <c r="X2748" s="32"/>
      <c r="Y2748" s="32"/>
      <c r="Z2748" s="32"/>
      <c r="AA2748" s="32"/>
      <c r="AB2748" s="32"/>
      <c r="AC2748" s="32"/>
      <c r="AD2748" s="32"/>
      <c r="AE2748" s="32"/>
      <c r="AF2748" s="32"/>
      <c r="AG2748" s="32"/>
      <c r="AH2748" s="32"/>
      <c r="AI2748" s="32"/>
      <c r="AJ2748" s="32"/>
      <c r="AK2748" s="32"/>
      <c r="AL2748" s="32"/>
      <c r="AM2748" s="32"/>
      <c r="AN2748" s="32"/>
      <c r="AO2748" s="32"/>
      <c r="AP2748" s="32"/>
      <c r="AQ2748" s="32"/>
      <c r="AR2748" s="32"/>
      <c r="AS2748" s="32"/>
      <c r="AT2748" s="32"/>
      <c r="AU2748" s="32"/>
      <c r="AV2748" s="32"/>
      <c r="AW2748" s="373">
        <f>PPMT('Assumptions (T&amp;D) old'!$B$100,Model!W$1,'Assumptions (T&amp;D) old'!$B$103,Model!$AW$2699)</f>
        <v>-0.09912985962</v>
      </c>
      <c r="AX2748" s="373">
        <f>PPMT('Assumptions (T&amp;D) old'!$B$100,Model!X$1,'Assumptions (T&amp;D) old'!$B$103,Model!$AW$2699)</f>
        <v>-0.1038385279</v>
      </c>
      <c r="AY2748" s="373">
        <f>PPMT('Assumptions (T&amp;D) old'!$B$100,Model!Y$1,'Assumptions (T&amp;D) old'!$B$103,Model!$AW$2699)</f>
        <v>-0.108770858</v>
      </c>
      <c r="AZ2748" s="373">
        <f>PPMT('Assumptions (T&amp;D) old'!$B$100,Model!Z$1,'Assumptions (T&amp;D) old'!$B$103,Model!$AW$2699)</f>
        <v>-0.1139374738</v>
      </c>
      <c r="BA2748" s="373">
        <f>PPMT('Assumptions (T&amp;D) old'!$B$100,Model!AA$1,'Assumptions (T&amp;D) old'!$B$103,Model!$AW$2699)</f>
        <v>-0.1193495038</v>
      </c>
      <c r="BB2748" s="373">
        <f>PPMT('Assumptions (T&amp;D) old'!$B$100,Model!AB$1,'Assumptions (T&amp;D) old'!$B$103,Model!$AW$2699)</f>
        <v>-0.1250186052</v>
      </c>
      <c r="BC2748" s="373">
        <f>PPMT('Assumptions (T&amp;D) old'!$B$100,Model!AC$1,'Assumptions (T&amp;D) old'!$B$103,Model!$AW$2699)</f>
        <v>-0.130956989</v>
      </c>
      <c r="BD2748" s="373">
        <f>PPMT('Assumptions (T&amp;D) old'!$B$100,Model!AD$1,'Assumptions (T&amp;D) old'!$B$103,Model!$AW$2699)</f>
        <v>-0.1371774459</v>
      </c>
      <c r="BE2748" s="373">
        <f>PPMT('Assumptions (T&amp;D) old'!$B$100,Model!AE$1,'Assumptions (T&amp;D) old'!$B$103,Model!$AW$2699)</f>
        <v>-0.1436933746</v>
      </c>
      <c r="BF2748" s="373">
        <f>PPMT('Assumptions (T&amp;D) old'!$B$100,Model!AF$1,'Assumptions (T&amp;D) old'!$B$103,Model!$AW$2699)</f>
        <v>-0.1505188099</v>
      </c>
      <c r="BG2748" s="373">
        <f>PPMT('Assumptions (T&amp;D) old'!$B$100,Model!AG$1,'Assumptions (T&amp;D) old'!$B$103,Model!$AW$2699)</f>
        <v>-0.1576684534</v>
      </c>
      <c r="BH2748" s="373">
        <f>PPMT('Assumptions (T&amp;D) old'!$B$100,Model!AH$1,'Assumptions (T&amp;D) old'!$B$103,Model!$AW$2699)</f>
        <v>-0.1651577049</v>
      </c>
      <c r="BI2748" s="373">
        <f>PPMT('Assumptions (T&amp;D) old'!$B$100,Model!AI$1,'Assumptions (T&amp;D) old'!$B$103,Model!$AW$2699)</f>
        <v>-0.1730026959</v>
      </c>
      <c r="BJ2748" s="373">
        <f>PPMT('Assumptions (T&amp;D) old'!$B$100,Model!AJ$1,'Assumptions (T&amp;D) old'!$B$103,Model!$AW$2699)</f>
        <v>-0.181220324</v>
      </c>
      <c r="BK2748" s="373">
        <f>PPMT('Assumptions (T&amp;D) old'!$B$100,Model!AK$1,'Assumptions (T&amp;D) old'!$B$103,Model!$AW$2699)</f>
        <v>-0.1898282894</v>
      </c>
      <c r="BL2748" s="374"/>
      <c r="BM2748" s="374"/>
      <c r="BN2748" s="374"/>
      <c r="BO2748" s="374"/>
      <c r="BP2748" s="374"/>
      <c r="BQ2748" s="374"/>
      <c r="BR2748" s="374"/>
      <c r="BS2748" s="374"/>
      <c r="BT2748" s="374"/>
      <c r="BU2748" s="374"/>
      <c r="BV2748" s="32"/>
      <c r="BW2748" s="32"/>
      <c r="BX2748" s="32"/>
      <c r="BY2748" s="32"/>
      <c r="BZ2748" s="32"/>
      <c r="CA2748" s="32"/>
      <c r="CB2748" s="32"/>
      <c r="CC2748" s="32"/>
      <c r="CD2748" s="32"/>
    </row>
    <row r="2749" ht="15.75" hidden="1" customHeight="1" outlineLevel="1">
      <c r="A2749" s="365"/>
      <c r="B2749" s="38"/>
      <c r="C2749" s="374"/>
      <c r="D2749" s="374"/>
      <c r="E2749" s="374"/>
      <c r="F2749" s="374"/>
      <c r="G2749" s="374"/>
      <c r="H2749" s="374"/>
      <c r="I2749" s="374"/>
      <c r="J2749" s="374"/>
      <c r="K2749" s="374"/>
      <c r="L2749" s="374"/>
      <c r="M2749" s="374"/>
      <c r="N2749" s="374"/>
      <c r="O2749" s="374"/>
      <c r="P2749" s="374"/>
      <c r="Q2749" s="374"/>
      <c r="R2749" s="374"/>
      <c r="S2749" s="38"/>
      <c r="T2749" s="38"/>
      <c r="U2749" s="38"/>
      <c r="V2749" s="38"/>
      <c r="W2749" s="38"/>
      <c r="X2749" s="32"/>
      <c r="Y2749" s="32"/>
      <c r="Z2749" s="32"/>
      <c r="AA2749" s="32"/>
      <c r="AB2749" s="32"/>
      <c r="AC2749" s="32"/>
      <c r="AD2749" s="32"/>
      <c r="AE2749" s="32"/>
      <c r="AF2749" s="32"/>
      <c r="AG2749" s="32"/>
      <c r="AH2749" s="32"/>
      <c r="AI2749" s="32"/>
      <c r="AJ2749" s="32"/>
      <c r="AK2749" s="32"/>
      <c r="AL2749" s="32"/>
      <c r="AM2749" s="32"/>
      <c r="AN2749" s="32"/>
      <c r="AO2749" s="32"/>
      <c r="AP2749" s="32"/>
      <c r="AQ2749" s="32"/>
      <c r="AR2749" s="32"/>
      <c r="AS2749" s="32"/>
      <c r="AT2749" s="32"/>
      <c r="AU2749" s="32"/>
      <c r="AV2749" s="32"/>
      <c r="AW2749" s="374"/>
      <c r="AX2749" s="373">
        <f>PPMT('Assumptions (T&amp;D) old'!$B$100,Model!W$1,'Assumptions (T&amp;D) old'!$B$103,Model!$AX$2699)</f>
        <v>-0.1017516102</v>
      </c>
      <c r="AY2749" s="373">
        <f>PPMT('Assumptions (T&amp;D) old'!$B$100,Model!X$1,'Assumptions (T&amp;D) old'!$B$103,Model!$AX$2699)</f>
        <v>-0.1065848117</v>
      </c>
      <c r="AZ2749" s="373">
        <f>PPMT('Assumptions (T&amp;D) old'!$B$100,Model!Y$1,'Assumptions (T&amp;D) old'!$B$103,Model!$AX$2699)</f>
        <v>-0.1116475902</v>
      </c>
      <c r="BA2749" s="373">
        <f>PPMT('Assumptions (T&amp;D) old'!$B$100,Model!Z$1,'Assumptions (T&amp;D) old'!$B$103,Model!$AX$2699)</f>
        <v>-0.1169508507</v>
      </c>
      <c r="BB2749" s="373">
        <f>PPMT('Assumptions (T&amp;D) old'!$B$100,Model!AA$1,'Assumptions (T&amp;D) old'!$B$103,Model!$AX$2699)</f>
        <v>-0.1225060161</v>
      </c>
      <c r="BC2749" s="373">
        <f>PPMT('Assumptions (T&amp;D) old'!$B$100,Model!AB$1,'Assumptions (T&amp;D) old'!$B$103,Model!$AX$2699)</f>
        <v>-0.1283250519</v>
      </c>
      <c r="BD2749" s="373">
        <f>PPMT('Assumptions (T&amp;D) old'!$B$100,Model!AC$1,'Assumptions (T&amp;D) old'!$B$103,Model!$AX$2699)</f>
        <v>-0.1344204919</v>
      </c>
      <c r="BE2749" s="373">
        <f>PPMT('Assumptions (T&amp;D) old'!$B$100,Model!AD$1,'Assumptions (T&amp;D) old'!$B$103,Model!$AX$2699)</f>
        <v>-0.1408054652</v>
      </c>
      <c r="BF2749" s="373">
        <f>PPMT('Assumptions (T&amp;D) old'!$B$100,Model!AE$1,'Assumptions (T&amp;D) old'!$B$103,Model!$AX$2699)</f>
        <v>-0.1474937248</v>
      </c>
      <c r="BG2749" s="373">
        <f>PPMT('Assumptions (T&amp;D) old'!$B$100,Model!AF$1,'Assumptions (T&amp;D) old'!$B$103,Model!$AX$2699)</f>
        <v>-0.1544996768</v>
      </c>
      <c r="BH2749" s="373">
        <f>PPMT('Assumptions (T&amp;D) old'!$B$100,Model!AG$1,'Assumptions (T&amp;D) old'!$B$103,Model!$AX$2699)</f>
        <v>-0.1618384114</v>
      </c>
      <c r="BI2749" s="373">
        <f>PPMT('Assumptions (T&amp;D) old'!$B$100,Model!AH$1,'Assumptions (T&amp;D) old'!$B$103,Model!$AX$2699)</f>
        <v>-0.169525736</v>
      </c>
      <c r="BJ2749" s="373">
        <f>PPMT('Assumptions (T&amp;D) old'!$B$100,Model!AI$1,'Assumptions (T&amp;D) old'!$B$103,Model!$AX$2699)</f>
        <v>-0.1775782084</v>
      </c>
      <c r="BK2749" s="373">
        <f>PPMT('Assumptions (T&amp;D) old'!$B$100,Model!AJ$1,'Assumptions (T&amp;D) old'!$B$103,Model!$AX$2699)</f>
        <v>-0.1860131733</v>
      </c>
      <c r="BL2749" s="373">
        <f>PPMT('Assumptions (T&amp;D) old'!$B$100,Model!AK$1,'Assumptions (T&amp;D) old'!$B$103,Model!$AX$2699)</f>
        <v>-0.1948487991</v>
      </c>
      <c r="BM2749" s="374"/>
      <c r="BN2749" s="374"/>
      <c r="BO2749" s="374"/>
      <c r="BP2749" s="374"/>
      <c r="BQ2749" s="374"/>
      <c r="BR2749" s="374"/>
      <c r="BS2749" s="374"/>
      <c r="BT2749" s="374"/>
      <c r="BU2749" s="374"/>
      <c r="BV2749" s="374"/>
      <c r="BW2749" s="32"/>
      <c r="BX2749" s="32"/>
      <c r="BY2749" s="32"/>
      <c r="BZ2749" s="32"/>
      <c r="CA2749" s="32"/>
      <c r="CB2749" s="32"/>
      <c r="CC2749" s="32"/>
      <c r="CD2749" s="32"/>
    </row>
    <row r="2750" ht="15.75" hidden="1" customHeight="1" outlineLevel="1">
      <c r="A2750" s="365"/>
      <c r="B2750" s="38"/>
      <c r="C2750" s="374"/>
      <c r="D2750" s="374"/>
      <c r="E2750" s="374"/>
      <c r="F2750" s="374"/>
      <c r="G2750" s="374"/>
      <c r="H2750" s="374"/>
      <c r="I2750" s="374"/>
      <c r="J2750" s="374"/>
      <c r="K2750" s="374"/>
      <c r="L2750" s="374"/>
      <c r="M2750" s="374"/>
      <c r="N2750" s="374"/>
      <c r="O2750" s="374"/>
      <c r="P2750" s="374"/>
      <c r="Q2750" s="374"/>
      <c r="R2750" s="374"/>
      <c r="S2750" s="38"/>
      <c r="T2750" s="38"/>
      <c r="U2750" s="38"/>
      <c r="V2750" s="38"/>
      <c r="W2750" s="38"/>
      <c r="X2750" s="32"/>
      <c r="Y2750" s="32"/>
      <c r="Z2750" s="32"/>
      <c r="AA2750" s="32"/>
      <c r="AB2750" s="32"/>
      <c r="AC2750" s="32"/>
      <c r="AD2750" s="32"/>
      <c r="AE2750" s="32"/>
      <c r="AF2750" s="32"/>
      <c r="AG2750" s="32"/>
      <c r="AH2750" s="32"/>
      <c r="AI2750" s="32"/>
      <c r="AJ2750" s="32"/>
      <c r="AK2750" s="32"/>
      <c r="AL2750" s="32"/>
      <c r="AM2750" s="32"/>
      <c r="AN2750" s="32"/>
      <c r="AO2750" s="32"/>
      <c r="AP2750" s="32"/>
      <c r="AQ2750" s="32"/>
      <c r="AR2750" s="32"/>
      <c r="AS2750" s="32"/>
      <c r="AT2750" s="32"/>
      <c r="AU2750" s="32"/>
      <c r="AV2750" s="32"/>
      <c r="AW2750" s="374"/>
      <c r="AX2750" s="374"/>
      <c r="AY2750" s="373">
        <f>PPMT('Assumptions (T&amp;D) old'!$B$100,Model!W$1,'Assumptions (T&amp;D) old'!$B$103,Model!$AY$2699)</f>
        <v>-0.1044382503</v>
      </c>
      <c r="AZ2750" s="373">
        <f>PPMT('Assumptions (T&amp;D) old'!$B$100,Model!X$1,'Assumptions (T&amp;D) old'!$B$103,Model!$AY$2699)</f>
        <v>-0.1093990672</v>
      </c>
      <c r="BA2750" s="373">
        <f>PPMT('Assumptions (T&amp;D) old'!$B$100,Model!Y$1,'Assumptions (T&amp;D) old'!$B$103,Model!$AY$2699)</f>
        <v>-0.1145955229</v>
      </c>
      <c r="BB2750" s="373">
        <f>PPMT('Assumptions (T&amp;D) old'!$B$100,Model!Z$1,'Assumptions (T&amp;D) old'!$B$103,Model!$AY$2699)</f>
        <v>-0.1200388103</v>
      </c>
      <c r="BC2750" s="373">
        <f>PPMT('Assumptions (T&amp;D) old'!$B$100,Model!AA$1,'Assumptions (T&amp;D) old'!$B$103,Model!$AY$2699)</f>
        <v>-0.1257406537</v>
      </c>
      <c r="BD2750" s="373">
        <f>PPMT('Assumptions (T&amp;D) old'!$B$100,Model!AB$1,'Assumptions (T&amp;D) old'!$B$103,Model!$AY$2699)</f>
        <v>-0.1317133348</v>
      </c>
      <c r="BE2750" s="373">
        <f>PPMT('Assumptions (T&amp;D) old'!$B$100,Model!AC$1,'Assumptions (T&amp;D) old'!$B$103,Model!$AY$2699)</f>
        <v>-0.1379697182</v>
      </c>
      <c r="BF2750" s="373">
        <f>PPMT('Assumptions (T&amp;D) old'!$B$100,Model!AD$1,'Assumptions (T&amp;D) old'!$B$103,Model!$AY$2699)</f>
        <v>-0.1445232798</v>
      </c>
      <c r="BG2750" s="373">
        <f>PPMT('Assumptions (T&amp;D) old'!$B$100,Model!AE$1,'Assumptions (T&amp;D) old'!$B$103,Model!$AY$2699)</f>
        <v>-0.1513881356</v>
      </c>
      <c r="BH2750" s="373">
        <f>PPMT('Assumptions (T&amp;D) old'!$B$100,Model!AF$1,'Assumptions (T&amp;D) old'!$B$103,Model!$AY$2699)</f>
        <v>-0.158579072</v>
      </c>
      <c r="BI2750" s="373">
        <f>PPMT('Assumptions (T&amp;D) old'!$B$100,Model!AG$1,'Assumptions (T&amp;D) old'!$B$103,Model!$AY$2699)</f>
        <v>-0.166111578</v>
      </c>
      <c r="BJ2750" s="373">
        <f>PPMT('Assumptions (T&amp;D) old'!$B$100,Model!AH$1,'Assumptions (T&amp;D) old'!$B$103,Model!$AY$2699)</f>
        <v>-0.1740018779</v>
      </c>
      <c r="BK2750" s="373">
        <f>PPMT('Assumptions (T&amp;D) old'!$B$100,Model!AI$1,'Assumptions (T&amp;D) old'!$B$103,Model!$AY$2699)</f>
        <v>-0.1822669671</v>
      </c>
      <c r="BL2750" s="373">
        <f>PPMT('Assumptions (T&amp;D) old'!$B$100,Model!AJ$1,'Assumptions (T&amp;D) old'!$B$103,Model!$AY$2699)</f>
        <v>-0.1909246481</v>
      </c>
      <c r="BM2750" s="373">
        <f>PPMT('Assumptions (T&amp;D) old'!$B$100,Model!AK$1,'Assumptions (T&amp;D) old'!$B$103,Model!$AY$2699)</f>
        <v>-0.1999935688</v>
      </c>
      <c r="BN2750" s="374"/>
      <c r="BO2750" s="374"/>
      <c r="BP2750" s="374"/>
      <c r="BQ2750" s="374"/>
      <c r="BR2750" s="374"/>
      <c r="BS2750" s="374"/>
      <c r="BT2750" s="374"/>
      <c r="BU2750" s="374"/>
      <c r="BV2750" s="374"/>
      <c r="BW2750" s="374"/>
      <c r="BX2750" s="32"/>
      <c r="BY2750" s="32"/>
      <c r="BZ2750" s="32"/>
      <c r="CA2750" s="32"/>
      <c r="CB2750" s="32"/>
      <c r="CC2750" s="32"/>
      <c r="CD2750" s="32"/>
    </row>
    <row r="2751" ht="15.75" hidden="1" customHeight="1" outlineLevel="1">
      <c r="A2751" s="365"/>
      <c r="B2751" s="38"/>
      <c r="C2751" s="374"/>
      <c r="D2751" s="374"/>
      <c r="E2751" s="374"/>
      <c r="F2751" s="374"/>
      <c r="G2751" s="374"/>
      <c r="H2751" s="374"/>
      <c r="I2751" s="374"/>
      <c r="J2751" s="374"/>
      <c r="K2751" s="374"/>
      <c r="L2751" s="374"/>
      <c r="M2751" s="374"/>
      <c r="N2751" s="374"/>
      <c r="O2751" s="374"/>
      <c r="P2751" s="374"/>
      <c r="Q2751" s="374"/>
      <c r="R2751" s="374"/>
      <c r="S2751" s="38"/>
      <c r="T2751" s="38"/>
      <c r="U2751" s="38"/>
      <c r="V2751" s="38"/>
      <c r="W2751" s="38"/>
      <c r="X2751" s="32"/>
      <c r="Y2751" s="32"/>
      <c r="Z2751" s="32"/>
      <c r="AA2751" s="32"/>
      <c r="AB2751" s="32"/>
      <c r="AC2751" s="32"/>
      <c r="AD2751" s="32"/>
      <c r="AE2751" s="32"/>
      <c r="AF2751" s="32"/>
      <c r="AG2751" s="32"/>
      <c r="AH2751" s="32"/>
      <c r="AI2751" s="32"/>
      <c r="AJ2751" s="32"/>
      <c r="AK2751" s="32"/>
      <c r="AL2751" s="32"/>
      <c r="AM2751" s="32"/>
      <c r="AN2751" s="32"/>
      <c r="AO2751" s="32"/>
      <c r="AP2751" s="32"/>
      <c r="AQ2751" s="32"/>
      <c r="AR2751" s="32"/>
      <c r="AS2751" s="32"/>
      <c r="AT2751" s="32"/>
      <c r="AU2751" s="32"/>
      <c r="AV2751" s="32"/>
      <c r="AW2751" s="374"/>
      <c r="AX2751" s="374"/>
      <c r="AY2751" s="374"/>
      <c r="AZ2751" s="373">
        <f>PPMT('Assumptions (T&amp;D) old'!$B$100,Model!W$1,'Assumptions (T&amp;D) old'!$B$103,Model!$AZ$2699)</f>
        <v>-0.1102469199</v>
      </c>
      <c r="BA2751" s="373">
        <f>PPMT('Assumptions (T&amp;D) old'!$B$100,Model!X$1,'Assumptions (T&amp;D) old'!$B$103,Model!$AZ$2699)</f>
        <v>-0.1154836486</v>
      </c>
      <c r="BB2751" s="373">
        <f>PPMT('Assumptions (T&amp;D) old'!$B$100,Model!Y$1,'Assumptions (T&amp;D) old'!$B$103,Model!$AZ$2699)</f>
        <v>-0.1209691219</v>
      </c>
      <c r="BC2751" s="373">
        <f>PPMT('Assumptions (T&amp;D) old'!$B$100,Model!Z$1,'Assumptions (T&amp;D) old'!$B$103,Model!$AZ$2699)</f>
        <v>-0.1267151552</v>
      </c>
      <c r="BD2751" s="373">
        <f>PPMT('Assumptions (T&amp;D) old'!$B$100,Model!AA$1,'Assumptions (T&amp;D) old'!$B$103,Model!$AZ$2699)</f>
        <v>-0.1327341251</v>
      </c>
      <c r="BE2751" s="373">
        <f>PPMT('Assumptions (T&amp;D) old'!$B$100,Model!AB$1,'Assumptions (T&amp;D) old'!$B$103,Model!$AZ$2699)</f>
        <v>-0.139038996</v>
      </c>
      <c r="BF2751" s="373">
        <f>PPMT('Assumptions (T&amp;D) old'!$B$100,Model!AC$1,'Assumptions (T&amp;D) old'!$B$103,Model!$AZ$2699)</f>
        <v>-0.1456433484</v>
      </c>
      <c r="BG2751" s="373">
        <f>PPMT('Assumptions (T&amp;D) old'!$B$100,Model!AD$1,'Assumptions (T&amp;D) old'!$B$103,Model!$AZ$2699)</f>
        <v>-0.1525614074</v>
      </c>
      <c r="BH2751" s="373">
        <f>PPMT('Assumptions (T&amp;D) old'!$B$100,Model!AE$1,'Assumptions (T&amp;D) old'!$B$103,Model!$AZ$2699)</f>
        <v>-0.1598080743</v>
      </c>
      <c r="BI2751" s="373">
        <f>PPMT('Assumptions (T&amp;D) old'!$B$100,Model!AF$1,'Assumptions (T&amp;D) old'!$B$103,Model!$AZ$2699)</f>
        <v>-0.1673989578</v>
      </c>
      <c r="BJ2751" s="373">
        <f>PPMT('Assumptions (T&amp;D) old'!$B$100,Model!AG$1,'Assumptions (T&amp;D) old'!$B$103,Model!$AZ$2699)</f>
        <v>-0.1753504083</v>
      </c>
      <c r="BK2751" s="373">
        <f>PPMT('Assumptions (T&amp;D) old'!$B$100,Model!AH$1,'Assumptions (T&amp;D) old'!$B$103,Model!$AZ$2699)</f>
        <v>-0.1836795527</v>
      </c>
      <c r="BL2751" s="373">
        <f>PPMT('Assumptions (T&amp;D) old'!$B$100,Model!AI$1,'Assumptions (T&amp;D) old'!$B$103,Model!$AZ$2699)</f>
        <v>-0.1924043314</v>
      </c>
      <c r="BM2751" s="373">
        <f>PPMT('Assumptions (T&amp;D) old'!$B$100,Model!AJ$1,'Assumptions (T&amp;D) old'!$B$103,Model!$AZ$2699)</f>
        <v>-0.2015435372</v>
      </c>
      <c r="BN2751" s="373">
        <f>PPMT('Assumptions (T&amp;D) old'!$B$100,Model!AK$1,'Assumptions (T&amp;D) old'!$B$103,Model!$AZ$2699)</f>
        <v>-0.2111168552</v>
      </c>
      <c r="BO2751" s="374"/>
      <c r="BP2751" s="374"/>
      <c r="BQ2751" s="374"/>
      <c r="BR2751" s="374"/>
      <c r="BS2751" s="374"/>
      <c r="BT2751" s="374"/>
      <c r="BU2751" s="374"/>
      <c r="BV2751" s="374"/>
      <c r="BW2751" s="374"/>
      <c r="BX2751" s="374"/>
      <c r="BY2751" s="32"/>
      <c r="BZ2751" s="32"/>
      <c r="CA2751" s="32"/>
      <c r="CB2751" s="32"/>
      <c r="CC2751" s="32"/>
      <c r="CD2751" s="32"/>
    </row>
    <row r="2752" ht="15.75" hidden="1" customHeight="1" outlineLevel="1">
      <c r="A2752" s="365"/>
      <c r="B2752" s="38"/>
      <c r="C2752" s="374"/>
      <c r="D2752" s="374"/>
      <c r="E2752" s="374"/>
      <c r="F2752" s="374"/>
      <c r="G2752" s="374"/>
      <c r="H2752" s="374"/>
      <c r="I2752" s="374"/>
      <c r="J2752" s="374"/>
      <c r="K2752" s="374"/>
      <c r="L2752" s="374"/>
      <c r="M2752" s="374"/>
      <c r="N2752" s="374"/>
      <c r="O2752" s="374"/>
      <c r="P2752" s="374"/>
      <c r="Q2752" s="374"/>
      <c r="R2752" s="374"/>
      <c r="S2752" s="38"/>
      <c r="T2752" s="38"/>
      <c r="U2752" s="38"/>
      <c r="V2752" s="38"/>
      <c r="W2752" s="38"/>
      <c r="X2752" s="32"/>
      <c r="Y2752" s="32"/>
      <c r="Z2752" s="32"/>
      <c r="AA2752" s="32"/>
      <c r="AB2752" s="32"/>
      <c r="AC2752" s="32"/>
      <c r="AD2752" s="32"/>
      <c r="AE2752" s="32"/>
      <c r="AF2752" s="32"/>
      <c r="AG2752" s="32"/>
      <c r="AH2752" s="32"/>
      <c r="AI2752" s="32"/>
      <c r="AJ2752" s="32"/>
      <c r="AK2752" s="32"/>
      <c r="AL2752" s="32"/>
      <c r="AM2752" s="32"/>
      <c r="AN2752" s="32"/>
      <c r="AO2752" s="32"/>
      <c r="AP2752" s="32"/>
      <c r="AQ2752" s="32"/>
      <c r="AR2752" s="32"/>
      <c r="AS2752" s="32"/>
      <c r="AT2752" s="32"/>
      <c r="AU2752" s="32"/>
      <c r="AV2752" s="32"/>
      <c r="AW2752" s="32"/>
      <c r="AX2752" s="32"/>
      <c r="AY2752" s="32"/>
      <c r="AZ2752" s="32"/>
      <c r="BA2752" s="373">
        <f>PPMT('Assumptions (T&amp;D) old'!$B$100,Model!W$1,'Assumptions (T&amp;D) old'!$B$103,Model!$BA$2699)</f>
        <v>-0.1124240728</v>
      </c>
      <c r="BB2752" s="373">
        <f>PPMT('Assumptions (T&amp;D) old'!$B$100,Model!X$1,'Assumptions (T&amp;D) old'!$B$103,Model!$BA$2699)</f>
        <v>-0.1177642163</v>
      </c>
      <c r="BC2752" s="373">
        <f>PPMT('Assumptions (T&amp;D) old'!$B$100,Model!Y$1,'Assumptions (T&amp;D) old'!$B$103,Model!$BA$2699)</f>
        <v>-0.1233580166</v>
      </c>
      <c r="BD2752" s="373">
        <f>PPMT('Assumptions (T&amp;D) old'!$B$100,Model!Z$1,'Assumptions (T&amp;D) old'!$B$103,Model!$BA$2699)</f>
        <v>-0.1292175224</v>
      </c>
      <c r="BE2752" s="373">
        <f>PPMT('Assumptions (T&amp;D) old'!$B$100,Model!AA$1,'Assumptions (T&amp;D) old'!$B$103,Model!$BA$2699)</f>
        <v>-0.1353553547</v>
      </c>
      <c r="BF2752" s="373">
        <f>PPMT('Assumptions (T&amp;D) old'!$B$100,Model!AB$1,'Assumptions (T&amp;D) old'!$B$103,Model!$BA$2699)</f>
        <v>-0.141784734</v>
      </c>
      <c r="BG2752" s="373">
        <f>PPMT('Assumptions (T&amp;D) old'!$B$100,Model!AC$1,'Assumptions (T&amp;D) old'!$B$103,Model!$BA$2699)</f>
        <v>-0.1485195089</v>
      </c>
      <c r="BH2752" s="373">
        <f>PPMT('Assumptions (T&amp;D) old'!$B$100,Model!AD$1,'Assumptions (T&amp;D) old'!$B$103,Model!$BA$2699)</f>
        <v>-0.1555741856</v>
      </c>
      <c r="BI2752" s="373">
        <f>PPMT('Assumptions (T&amp;D) old'!$B$100,Model!AE$1,'Assumptions (T&amp;D) old'!$B$103,Model!$BA$2699)</f>
        <v>-0.1629639594</v>
      </c>
      <c r="BJ2752" s="373">
        <f>PPMT('Assumptions (T&amp;D) old'!$B$100,Model!AF$1,'Assumptions (T&amp;D) old'!$B$103,Model!$BA$2699)</f>
        <v>-0.1707047474</v>
      </c>
      <c r="BK2752" s="373">
        <f>PPMT('Assumptions (T&amp;D) old'!$B$100,Model!AG$1,'Assumptions (T&amp;D) old'!$B$103,Model!$BA$2699)</f>
        <v>-0.1788132229</v>
      </c>
      <c r="BL2752" s="373">
        <f>PPMT('Assumptions (T&amp;D) old'!$B$100,Model!AH$1,'Assumptions (T&amp;D) old'!$B$103,Model!$BA$2699)</f>
        <v>-0.187306851</v>
      </c>
      <c r="BM2752" s="373">
        <f>PPMT('Assumptions (T&amp;D) old'!$B$100,Model!AI$1,'Assumptions (T&amp;D) old'!$B$103,Model!$BA$2699)</f>
        <v>-0.1962039264</v>
      </c>
      <c r="BN2752" s="373">
        <f>PPMT('Assumptions (T&amp;D) old'!$B$100,Model!AJ$1,'Assumptions (T&amp;D) old'!$B$103,Model!$BA$2699)</f>
        <v>-0.205523613</v>
      </c>
      <c r="BO2752" s="373">
        <f>PPMT('Assumptions (T&amp;D) old'!$B$100,Model!AK$1,'Assumptions (T&amp;D) old'!$B$103,Model!$BA$2699)</f>
        <v>-0.2152859846</v>
      </c>
      <c r="BP2752" s="374"/>
      <c r="BQ2752" s="374"/>
      <c r="BR2752" s="374"/>
      <c r="BS2752" s="374"/>
      <c r="BT2752" s="374"/>
      <c r="BU2752" s="374"/>
      <c r="BV2752" s="374"/>
      <c r="BW2752" s="374"/>
      <c r="BX2752" s="374"/>
      <c r="BY2752" s="374"/>
      <c r="BZ2752" s="32"/>
      <c r="CA2752" s="32"/>
      <c r="CB2752" s="32"/>
      <c r="CC2752" s="32"/>
      <c r="CD2752" s="32"/>
    </row>
    <row r="2753" ht="15.75" customHeight="1" collapsed="1">
      <c r="A2753" s="365" t="s">
        <v>360</v>
      </c>
      <c r="B2753" s="159" t="s">
        <v>351</v>
      </c>
      <c r="C2753" s="372">
        <f t="array" ref="C2753">SUM(IF(ISERROR(C2754:C2804),"",C2754:C2804))</f>
        <v>-0.01456510396</v>
      </c>
      <c r="D2753" s="372">
        <f t="array" ref="D2753">SUM(IF(ISERROR(D2754:D2804),"",D2754:D2804))</f>
        <v>-0.03601666927</v>
      </c>
      <c r="E2753" s="372">
        <f t="array" ref="E2753">SUM(IF(ISERROR(E2754:E2804),"",E2754:E2804))</f>
        <v>-0.05392000982</v>
      </c>
      <c r="F2753" s="372">
        <f t="array" ref="F2753">SUM(IF(ISERROR(F2754:F2804),"",F2754:F2804))</f>
        <v>-0.07115977202</v>
      </c>
      <c r="G2753" s="372">
        <f t="array" ref="G2753">SUM(IF(ISERROR(G2754:G2804),"",G2754:G2804))</f>
        <v>-0.09038021271</v>
      </c>
      <c r="H2753" s="372">
        <f t="array" ref="H2753">SUM(IF(ISERROR(H2754:H2804),"",H2754:H2804))</f>
        <v>-0.1036937324</v>
      </c>
      <c r="I2753" s="372">
        <f t="array" ref="I2753">SUM(IF(ISERROR(I2754:I2804),"",I2754:I2804))</f>
        <v>-0.1236180481</v>
      </c>
      <c r="J2753" s="372">
        <f t="array" ref="J2753">SUM(IF(ISERROR(J2754:J2804),"",J2754:J2804))</f>
        <v>-0.1426488807</v>
      </c>
      <c r="K2753" s="372">
        <f t="array" ref="K2753">SUM(IF(ISERROR(K2754:K2804),"",K2754:K2804))</f>
        <v>-0.1582035051</v>
      </c>
      <c r="L2753" s="372">
        <f t="array" ref="L2753">SUM(IF(ISERROR(L2754:L2804),"",L2754:L2804))</f>
        <v>-0.1701355389</v>
      </c>
      <c r="M2753" s="372">
        <f t="array" ref="M2753">SUM(IF(ISERROR(M2754:M2804),"",M2754:M2804))</f>
        <v>-0.1890146771</v>
      </c>
      <c r="N2753" s="372">
        <f t="array" ref="N2753">SUM(IF(ISERROR(N2754:N2804),"",N2754:N2804))</f>
        <v>-0.2103266989</v>
      </c>
      <c r="O2753" s="372">
        <f t="array" ref="O2753">SUM(IF(ISERROR(O2754:O2804),"",O2754:O2804))</f>
        <v>-0.2317454494</v>
      </c>
      <c r="P2753" s="372">
        <f t="array" ref="P2753">SUM(IF(ISERROR(P2754:P2804),"",P2754:P2804))</f>
        <v>-0.2574688054</v>
      </c>
      <c r="Q2753" s="372">
        <f t="array" ref="Q2753">SUM(IF(ISERROR(Q2754:Q2804),"",Q2754:Q2804))</f>
        <v>-0.2754521044</v>
      </c>
      <c r="R2753" s="372">
        <f t="array" ref="R2753">SUM(IF(ISERROR(R2754:R2804),"",R2754:R2804))</f>
        <v>-0.2903482431</v>
      </c>
      <c r="S2753" s="372">
        <f t="array" ref="S2753">SUM(IF(ISERROR(S2754:S2804),"",S2754:S2804))</f>
        <v>-0.3045719303</v>
      </c>
      <c r="T2753" s="372">
        <f t="array" ref="T2753">SUM(IF(ISERROR(T2754:T2804),"",T2754:T2804))</f>
        <v>-0.3201944226</v>
      </c>
      <c r="U2753" s="372">
        <f t="array" ref="U2753">SUM(IF(ISERROR(U2754:U2804),"",U2754:U2804))</f>
        <v>-0.3347720874</v>
      </c>
      <c r="V2753" s="372">
        <f t="array" ref="V2753">SUM(IF(ISERROR(V2754:V2804),"",V2754:V2804))</f>
        <v>-0.3493172514</v>
      </c>
      <c r="W2753" s="372">
        <f t="array" ref="W2753">SUM(IF(ISERROR(W2754:W2804),"",W2754:W2804))</f>
        <v>-0.363240222</v>
      </c>
      <c r="X2753" s="372">
        <f t="array" ref="X2753">SUM(IF(ISERROR(X2754:X2804),"",X2754:X2804))</f>
        <v>-0.3785846674</v>
      </c>
      <c r="Y2753" s="372">
        <f t="array" ref="Y2753">SUM(IF(ISERROR(Y2754:Y2804),"",Y2754:Y2804))</f>
        <v>-0.3937143299</v>
      </c>
      <c r="Z2753" s="372">
        <f t="array" ref="Z2753">SUM(IF(ISERROR(Z2754:Z2804),"",Z2754:Z2804))</f>
        <v>-0.4085812072</v>
      </c>
      <c r="AA2753" s="372">
        <f t="array" ref="AA2753">SUM(IF(ISERROR(AA2754:AA2804),"",AA2754:AA2804))</f>
        <v>-0.4228975808</v>
      </c>
      <c r="AB2753" s="372">
        <f t="array" ref="AB2753">SUM(IF(ISERROR(AB2754:AB2804),"",AB2754:AB2804))</f>
        <v>-0.4363447121</v>
      </c>
      <c r="AC2753" s="372">
        <f t="array" ref="AC2753">SUM(IF(ISERROR(AC2754:AC2804),"",AC2754:AC2804))</f>
        <v>-0.4495856064</v>
      </c>
      <c r="AD2753" s="372">
        <f t="array" ref="AD2753">SUM(IF(ISERROR(AD2754:AD2804),"",AD2754:AD2804))</f>
        <v>-0.4629299383</v>
      </c>
      <c r="AE2753" s="372">
        <f t="array" ref="AE2753">SUM(IF(ISERROR(AE2754:AE2804),"",AE2754:AE2804))</f>
        <v>-0.4765321813</v>
      </c>
      <c r="AF2753" s="372">
        <f t="array" ref="AF2753">SUM(IF(ISERROR(AF2754:AF2804),"",AF2754:AF2804))</f>
        <v>-0.4908978792</v>
      </c>
      <c r="AG2753" s="372">
        <f t="array" ref="AG2753">SUM(IF(ISERROR(AG2754:AG2804),"",AG2754:AG2804))</f>
        <v>-0.5055309374</v>
      </c>
      <c r="AH2753" s="372">
        <f t="array" ref="AH2753">SUM(IF(ISERROR(AH2754:AH2804),"",AH2754:AH2804))</f>
        <v>-0.5203166493</v>
      </c>
      <c r="AI2753" s="372">
        <f t="array" ref="AI2753">SUM(IF(ISERROR(AI2754:AI2804),"",AI2754:AI2804))</f>
        <v>-0.5356259269</v>
      </c>
      <c r="AJ2753" s="372">
        <f t="array" ref="AJ2753">SUM(IF(ISERROR(AJ2754:AJ2804),"",AJ2754:AJ2804))</f>
        <v>-0.5508003924</v>
      </c>
      <c r="AK2753" s="372">
        <f t="array" ref="AK2753">SUM(IF(ISERROR(AK2754:AK2804),"",AK2754:AK2804))</f>
        <v>-0.5661759749</v>
      </c>
      <c r="AL2753" s="372">
        <f t="array" ref="AL2753">SUM(IF(ISERROR(AL2754:AL2804),"",AL2754:AL2804))</f>
        <v>-0.5817845954</v>
      </c>
      <c r="AM2753" s="372">
        <f t="array" ref="AM2753">SUM(IF(ISERROR(AM2754:AM2804),"",AM2754:AM2804))</f>
        <v>-0.5975878922</v>
      </c>
      <c r="AN2753" s="372">
        <f t="array" ref="AN2753">SUM(IF(ISERROR(AN2754:AN2804),"",AN2754:AN2804))</f>
        <v>-0.6137884235</v>
      </c>
      <c r="AO2753" s="372">
        <f t="array" ref="AO2753">SUM(IF(ISERROR(AO2754:AO2804),"",AO2754:AO2804))</f>
        <v>-0.6303956983</v>
      </c>
      <c r="AP2753" s="372">
        <f t="array" ref="AP2753">SUM(IF(ISERROR(AP2754:AP2804),"",AP2754:AP2804))</f>
        <v>-0.6474194454</v>
      </c>
      <c r="AQ2753" s="372">
        <f t="array" ref="AQ2753">SUM(IF(ISERROR(AQ2754:AQ2804),"",AQ2754:AQ2804))</f>
        <v>-0.6648696182</v>
      </c>
      <c r="AR2753" s="372">
        <f t="array" ref="AR2753">SUM(IF(ISERROR(AR2754:AR2804),"",AR2754:AR2804))</f>
        <v>-0.6827564003</v>
      </c>
      <c r="AS2753" s="372">
        <f t="array" ref="AS2753">SUM(IF(ISERROR(AS2754:AS2804),"",AS2754:AS2804))</f>
        <v>-0.7010902099</v>
      </c>
      <c r="AT2753" s="372">
        <f t="array" ref="AT2753">SUM(IF(ISERROR(AT2754:AT2804),"",AT2754:AT2804))</f>
        <v>-0.7198817055</v>
      </c>
      <c r="AU2753" s="372">
        <f t="array" ref="AU2753">SUM(IF(ISERROR(AU2754:AU2804),"",AU2754:AU2804))</f>
        <v>-0.7428737024</v>
      </c>
      <c r="AV2753" s="372">
        <f t="array" ref="AV2753">SUM(IF(ISERROR(AV2754:AV2804),"",AV2754:AV2804))</f>
        <v>-0.7624397563</v>
      </c>
      <c r="AW2753" s="372">
        <f t="array" ref="AW2753">SUM(IF(ISERROR(AW2754:AW2804),"",AW2754:AW2804))</f>
        <v>-0.7824887133</v>
      </c>
      <c r="AX2753" s="372">
        <f t="array" ref="AX2753">SUM(IF(ISERROR(AX2754:AX2804),"",AX2754:AX2804))</f>
        <v>-0.8030318558</v>
      </c>
      <c r="AY2753" s="372">
        <f t="array" ref="AY2753">SUM(IF(ISERROR(AY2754:AY2804),"",AY2754:AY2804))</f>
        <v>-0.824116982</v>
      </c>
      <c r="AZ2753" s="372">
        <f t="array" ref="AZ2753">SUM(IF(ISERROR(AZ2754:AZ2804),"",AZ2754:AZ2804))</f>
        <v>-0.8487949795</v>
      </c>
      <c r="BA2753" s="372">
        <f t="array" ref="BA2753">SUM(IF(ISERROR(BA2754:BA2804),"",BA2754:BA2804))</f>
        <v>-0.8732114656</v>
      </c>
      <c r="BB2753" s="372">
        <f t="array" ref="BB2753">SUM(IF(ISERROR(BB2754:BB2804),"",BB2754:BB2804))</f>
        <v>-0.7820544945</v>
      </c>
      <c r="BC2753" s="372">
        <f t="array" ref="BC2753">SUM(IF(ISERROR(BC2754:BC2804),"",BC2754:BC2804))</f>
        <v>-0.6938247286</v>
      </c>
      <c r="BD2753" s="372">
        <f t="array" ref="BD2753">SUM(IF(ISERROR(BD2754:BD2804),"",BD2754:BD2804))</f>
        <v>-0.608856564</v>
      </c>
      <c r="BE2753" s="372">
        <f t="array" ref="BE2753">SUM(IF(ISERROR(BE2754:BE2804),"",BE2754:BE2804))</f>
        <v>-0.527505166</v>
      </c>
      <c r="BF2753" s="372">
        <f t="array" ref="BF2753">SUM(IF(ISERROR(BF2754:BF2804),"",BF2754:BF2804))</f>
        <v>-0.4501475724</v>
      </c>
      <c r="BG2753" s="372">
        <f t="array" ref="BG2753">SUM(IF(ISERROR(BG2754:BG2804),"",BG2754:BG2804))</f>
        <v>-0.3771838523</v>
      </c>
      <c r="BH2753" s="372">
        <f t="array" ref="BH2753">SUM(IF(ISERROR(BH2754:BH2804),"",BH2754:BH2804))</f>
        <v>-0.309038322</v>
      </c>
      <c r="BI2753" s="372">
        <f t="array" ref="BI2753">SUM(IF(ISERROR(BI2754:BI2804),"",BI2754:BI2804))</f>
        <v>-0.2461608219</v>
      </c>
      <c r="BJ2753" s="372">
        <f t="array" ref="BJ2753">SUM(IF(ISERROR(BJ2754:BJ2804),"",BJ2754:BJ2804))</f>
        <v>-0.189028057</v>
      </c>
      <c r="BK2753" s="372">
        <f t="array" ref="BK2753">SUM(IF(ISERROR(BK2754:BK2804),"",BK2754:BK2804))</f>
        <v>-0.1384982827</v>
      </c>
      <c r="BL2753" s="372">
        <f t="array" ref="BL2753">SUM(IF(ISERROR(BL2754:BL2804),"",BL2754:BL2804))</f>
        <v>-0.09476972545</v>
      </c>
      <c r="BM2753" s="372">
        <f t="array" ref="BM2753">SUM(IF(ISERROR(BM2754:BM2804),"",BM2754:BM2804))</f>
        <v>-0.05840920555</v>
      </c>
      <c r="BN2753" s="372">
        <f t="array" ref="BN2753">SUM(IF(ISERROR(BN2754:BN2804),"",BN2754:BN2804))</f>
        <v>-0.0300165065</v>
      </c>
      <c r="BO2753" s="372">
        <f t="array" ref="BO2753">SUM(IF(ISERROR(BO2754:BO2804),"",BO2754:BO2804))</f>
        <v>-0.01022608427</v>
      </c>
      <c r="BP2753" s="372"/>
      <c r="BQ2753" s="372"/>
      <c r="BR2753" s="372"/>
      <c r="BS2753" s="372"/>
      <c r="BT2753" s="372"/>
      <c r="BU2753" s="372"/>
      <c r="BV2753" s="372"/>
      <c r="BW2753" s="372"/>
      <c r="BX2753" s="372"/>
      <c r="BY2753" s="372"/>
      <c r="BZ2753" s="32"/>
      <c r="CA2753" s="32"/>
      <c r="CB2753" s="32"/>
      <c r="CC2753" s="32"/>
      <c r="CD2753" s="32"/>
    </row>
    <row r="2754" ht="15.75" hidden="1" customHeight="1" outlineLevel="1">
      <c r="A2754" s="365"/>
      <c r="B2754" s="38"/>
      <c r="C2754" s="373">
        <f>IPMT('Assumptions (T&amp;D) old'!$B$100,Model!W$1,'Assumptions (T&amp;D) old'!$B$103,Model!$C$2699)</f>
        <v>-0.01456510396</v>
      </c>
      <c r="D2754" s="373">
        <f>IPMT('Assumptions (T&amp;D) old'!$B$100,Model!X$1,'Assumptions (T&amp;D) old'!$B$103,Model!$C$2699)</f>
        <v>-0.01387732322</v>
      </c>
      <c r="E2754" s="373">
        <f>IPMT('Assumptions (T&amp;D) old'!$B$100,Model!Y$1,'Assumptions (T&amp;D) old'!$B$103,Model!$C$2699)</f>
        <v>-0.01315687291</v>
      </c>
      <c r="F2754" s="373">
        <f>IPMT('Assumptions (T&amp;D) old'!$B$100,Model!Z$1,'Assumptions (T&amp;D) old'!$B$103,Model!$C$2699)</f>
        <v>-0.0124022012</v>
      </c>
      <c r="G2754" s="373">
        <f>IPMT('Assumptions (T&amp;D) old'!$B$100,Model!AA$1,'Assumptions (T&amp;D) old'!$B$103,Model!$C$2699)</f>
        <v>-0.01161168259</v>
      </c>
      <c r="H2754" s="373">
        <f>IPMT('Assumptions (T&amp;D) old'!$B$100,Model!AB$1,'Assumptions (T&amp;D) old'!$B$103,Model!$C$2699)</f>
        <v>-0.01078361434</v>
      </c>
      <c r="I2754" s="373">
        <f>IPMT('Assumptions (T&amp;D) old'!$B$100,Model!AC$1,'Assumptions (T&amp;D) old'!$B$103,Model!$C$2699)</f>
        <v>-0.009916212854</v>
      </c>
      <c r="J2754" s="373">
        <f>IPMT('Assumptions (T&amp;D) old'!$B$100,Model!AD$1,'Assumptions (T&amp;D) old'!$B$103,Model!$C$2699)</f>
        <v>-0.009007609795</v>
      </c>
      <c r="K2754" s="373">
        <f>IPMT('Assumptions (T&amp;D) old'!$B$100,Model!AE$1,'Assumptions (T&amp;D) old'!$B$103,Model!$C$2699)</f>
        <v>-0.008055848091</v>
      </c>
      <c r="L2754" s="373">
        <f>IPMT('Assumptions (T&amp;D) old'!$B$100,Model!AF$1,'Assumptions (T&amp;D) old'!$B$103,Model!$C$2699)</f>
        <v>-0.007058877706</v>
      </c>
      <c r="M2754" s="373">
        <f>IPMT('Assumptions (T&amp;D) old'!$B$100,Model!AG$1,'Assumptions (T&amp;D) old'!$B$103,Model!$C$2699)</f>
        <v>-0.006014551227</v>
      </c>
      <c r="N2754" s="373">
        <f>IPMT('Assumptions (T&amp;D) old'!$B$100,Model!AH$1,'Assumptions (T&amp;D) old'!$B$103,Model!$C$2699)</f>
        <v>-0.004920619241</v>
      </c>
      <c r="O2754" s="373">
        <f>IPMT('Assumptions (T&amp;D) old'!$B$100,Model!AI$1,'Assumptions (T&amp;D) old'!$B$103,Model!$C$2699)</f>
        <v>-0.003774725486</v>
      </c>
      <c r="P2754" s="373">
        <f>IPMT('Assumptions (T&amp;D) old'!$B$100,Model!AJ$1,'Assumptions (T&amp;D) old'!$B$103,Model!$C$2699)</f>
        <v>-0.002574401777</v>
      </c>
      <c r="Q2754" s="373">
        <f>IPMT('Assumptions (T&amp;D) old'!$B$100,Model!AK$1,'Assumptions (T&amp;D) old'!$B$103,Model!$C$2699)</f>
        <v>-0.001317062692</v>
      </c>
      <c r="R2754" s="374"/>
      <c r="S2754" s="374"/>
      <c r="T2754" s="374"/>
      <c r="U2754" s="374"/>
      <c r="V2754" s="374"/>
      <c r="W2754" s="374"/>
      <c r="X2754" s="374"/>
      <c r="Y2754" s="374"/>
      <c r="Z2754" s="374"/>
      <c r="AA2754" s="374"/>
      <c r="AB2754" s="374"/>
      <c r="AC2754" s="32"/>
      <c r="AD2754" s="32"/>
      <c r="AE2754" s="32"/>
      <c r="AF2754" s="32"/>
      <c r="AG2754" s="32"/>
      <c r="AH2754" s="32"/>
      <c r="AI2754" s="32"/>
      <c r="AJ2754" s="32"/>
      <c r="AK2754" s="32"/>
      <c r="AL2754" s="32"/>
      <c r="AM2754" s="32"/>
      <c r="AN2754" s="32"/>
      <c r="AO2754" s="32"/>
      <c r="AP2754" s="32"/>
      <c r="AQ2754" s="32"/>
      <c r="AR2754" s="32"/>
      <c r="AS2754" s="32"/>
      <c r="AT2754" s="32"/>
      <c r="AU2754" s="32"/>
      <c r="AV2754" s="32"/>
      <c r="AW2754" s="32"/>
      <c r="AX2754" s="32"/>
      <c r="AY2754" s="32"/>
      <c r="AZ2754" s="32"/>
      <c r="BA2754" s="32"/>
      <c r="BB2754" s="32"/>
      <c r="BC2754" s="32"/>
      <c r="BD2754" s="32"/>
      <c r="BE2754" s="32"/>
      <c r="BF2754" s="32"/>
      <c r="BG2754" s="32"/>
      <c r="BH2754" s="32"/>
      <c r="BI2754" s="32"/>
      <c r="BJ2754" s="32"/>
      <c r="BK2754" s="32"/>
      <c r="BL2754" s="32"/>
      <c r="BM2754" s="32"/>
      <c r="BN2754" s="32"/>
      <c r="BO2754" s="32"/>
      <c r="BP2754" s="32"/>
      <c r="BQ2754" s="32"/>
      <c r="BR2754" s="32"/>
      <c r="BS2754" s="32"/>
      <c r="BT2754" s="32"/>
      <c r="BU2754" s="32"/>
      <c r="BV2754" s="32"/>
      <c r="BW2754" s="32"/>
      <c r="BX2754" s="32"/>
      <c r="BY2754" s="32"/>
      <c r="BZ2754" s="32"/>
      <c r="CA2754" s="32"/>
      <c r="CB2754" s="32"/>
      <c r="CC2754" s="32"/>
      <c r="CD2754" s="32"/>
    </row>
    <row r="2755" ht="15.75" hidden="1" customHeight="1" outlineLevel="1">
      <c r="A2755" s="365"/>
      <c r="B2755" s="38"/>
      <c r="C2755" s="374"/>
      <c r="D2755" s="373">
        <f>IPMT('Assumptions (T&amp;D) old'!$B$100,Model!W$1,'Assumptions (T&amp;D) old'!$B$103,Model!$D$2699)</f>
        <v>-0.02213934605</v>
      </c>
      <c r="E2755" s="373">
        <f>IPMT('Assumptions (T&amp;D) old'!$B$100,Model!X$1,'Assumptions (T&amp;D) old'!$B$103,Model!$D$2699)</f>
        <v>-0.02109390101</v>
      </c>
      <c r="F2755" s="373">
        <f>IPMT('Assumptions (T&amp;D) old'!$B$100,Model!Y$1,'Assumptions (T&amp;D) old'!$B$103,Model!$D$2699)</f>
        <v>-0.01999879734</v>
      </c>
      <c r="G2755" s="373">
        <f>IPMT('Assumptions (T&amp;D) old'!$B$100,Model!Z$1,'Assumptions (T&amp;D) old'!$B$103,Model!$D$2699)</f>
        <v>-0.01885167624</v>
      </c>
      <c r="H2755" s="373">
        <f>IPMT('Assumptions (T&amp;D) old'!$B$100,Model!AA$1,'Assumptions (T&amp;D) old'!$B$103,Model!$D$2699)</f>
        <v>-0.01765006689</v>
      </c>
      <c r="I2755" s="373">
        <f>IPMT('Assumptions (T&amp;D) old'!$B$100,Model!AB$1,'Assumptions (T&amp;D) old'!$B$103,Model!$D$2699)</f>
        <v>-0.01639138109</v>
      </c>
      <c r="J2755" s="373">
        <f>IPMT('Assumptions (T&amp;D) old'!$B$100,Model!AC$1,'Assumptions (T&amp;D) old'!$B$103,Model!$D$2699)</f>
        <v>-0.01507290772</v>
      </c>
      <c r="K2755" s="373">
        <f>IPMT('Assumptions (T&amp;D) old'!$B$100,Model!AD$1,'Assumptions (T&amp;D) old'!$B$103,Model!$D$2699)</f>
        <v>-0.01369180686</v>
      </c>
      <c r="L2755" s="373">
        <f>IPMT('Assumptions (T&amp;D) old'!$B$100,Model!AE$1,'Assumptions (T&amp;D) old'!$B$103,Model!$D$2699)</f>
        <v>-0.01224510372</v>
      </c>
      <c r="M2755" s="373">
        <f>IPMT('Assumptions (T&amp;D) old'!$B$100,Model!AF$1,'Assumptions (T&amp;D) old'!$B$103,Model!$D$2699)</f>
        <v>-0.01072968217</v>
      </c>
      <c r="N2755" s="373">
        <f>IPMT('Assumptions (T&amp;D) old'!$B$100,Model!AG$1,'Assumptions (T&amp;D) old'!$B$103,Model!$D$2699)</f>
        <v>-0.009142278102</v>
      </c>
      <c r="O2755" s="373">
        <f>IPMT('Assumptions (T&amp;D) old'!$B$100,Model!AH$1,'Assumptions (T&amp;D) old'!$B$103,Model!$D$2699)</f>
        <v>-0.007479472339</v>
      </c>
      <c r="P2755" s="373">
        <f>IPMT('Assumptions (T&amp;D) old'!$B$100,Model!AI$1,'Assumptions (T&amp;D) old'!$B$103,Model!$D$2699)</f>
        <v>-0.005737683302</v>
      </c>
      <c r="Q2755" s="373">
        <f>IPMT('Assumptions (T&amp;D) old'!$B$100,Model!AJ$1,'Assumptions (T&amp;D) old'!$B$103,Model!$D$2699)</f>
        <v>-0.003913159286</v>
      </c>
      <c r="R2755" s="373">
        <f>IPMT('Assumptions (T&amp;D) old'!$B$100,Model!AK$1,'Assumptions (T&amp;D) old'!$B$103,Model!$D$2699)</f>
        <v>-0.00200197038</v>
      </c>
      <c r="S2755" s="374"/>
      <c r="T2755" s="374"/>
      <c r="U2755" s="374"/>
      <c r="V2755" s="374"/>
      <c r="W2755" s="374"/>
      <c r="X2755" s="374"/>
      <c r="Y2755" s="374"/>
      <c r="Z2755" s="374"/>
      <c r="AA2755" s="374"/>
      <c r="AB2755" s="374"/>
      <c r="AC2755" s="32"/>
      <c r="AD2755" s="32"/>
      <c r="AE2755" s="32"/>
      <c r="AF2755" s="32"/>
      <c r="AG2755" s="32"/>
      <c r="AH2755" s="32"/>
      <c r="AI2755" s="32"/>
      <c r="AJ2755" s="32"/>
      <c r="AK2755" s="32"/>
      <c r="AL2755" s="32"/>
      <c r="AM2755" s="32"/>
      <c r="AN2755" s="32"/>
      <c r="AO2755" s="32"/>
      <c r="AP2755" s="32"/>
      <c r="AQ2755" s="32"/>
      <c r="AR2755" s="32"/>
      <c r="AS2755" s="32"/>
      <c r="AT2755" s="32"/>
      <c r="AU2755" s="32"/>
      <c r="AV2755" s="32"/>
      <c r="AW2755" s="32"/>
      <c r="AX2755" s="32"/>
      <c r="AY2755" s="32"/>
      <c r="AZ2755" s="32"/>
      <c r="BA2755" s="32"/>
      <c r="BB2755" s="32"/>
      <c r="BC2755" s="32"/>
      <c r="BD2755" s="32"/>
      <c r="BE2755" s="32"/>
      <c r="BF2755" s="32"/>
      <c r="BG2755" s="32"/>
      <c r="BH2755" s="32"/>
      <c r="BI2755" s="32"/>
      <c r="BJ2755" s="32"/>
      <c r="BK2755" s="32"/>
      <c r="BL2755" s="32"/>
      <c r="BM2755" s="32"/>
      <c r="BN2755" s="32"/>
      <c r="BO2755" s="32"/>
      <c r="BP2755" s="32"/>
      <c r="BQ2755" s="32"/>
      <c r="BR2755" s="32"/>
      <c r="BS2755" s="32"/>
      <c r="BT2755" s="32"/>
      <c r="BU2755" s="32"/>
      <c r="BV2755" s="32"/>
      <c r="BW2755" s="32"/>
      <c r="BX2755" s="32"/>
      <c r="BY2755" s="32"/>
      <c r="BZ2755" s="32"/>
      <c r="CA2755" s="32"/>
      <c r="CB2755" s="32"/>
      <c r="CC2755" s="32"/>
      <c r="CD2755" s="32"/>
    </row>
    <row r="2756" ht="15.75" hidden="1" customHeight="1" outlineLevel="1">
      <c r="A2756" s="365"/>
      <c r="B2756" s="38"/>
      <c r="C2756" s="374"/>
      <c r="D2756" s="374"/>
      <c r="E2756" s="373">
        <f>IPMT('Assumptions (T&amp;D) old'!$B$100,Model!W$1,'Assumptions (T&amp;D) old'!$B$103,Model!$E$2699)</f>
        <v>-0.0196692359</v>
      </c>
      <c r="F2756" s="373">
        <f>IPMT('Assumptions (T&amp;D) old'!$B$100,Model!X$1,'Assumptions (T&amp;D) old'!$B$103,Model!$E$2699)</f>
        <v>-0.01874043226</v>
      </c>
      <c r="G2756" s="373">
        <f>IPMT('Assumptions (T&amp;D) old'!$B$100,Model!Y$1,'Assumptions (T&amp;D) old'!$B$103,Model!$E$2699)</f>
        <v>-0.01776751046</v>
      </c>
      <c r="H2756" s="373">
        <f>IPMT('Assumptions (T&amp;D) old'!$B$100,Model!Z$1,'Assumptions (T&amp;D) old'!$B$103,Model!$E$2699)</f>
        <v>-0.01674837487</v>
      </c>
      <c r="I2756" s="373">
        <f>IPMT('Assumptions (T&amp;D) old'!$B$100,Model!AA$1,'Assumptions (T&amp;D) old'!$B$103,Model!$E$2699)</f>
        <v>-0.01568083034</v>
      </c>
      <c r="J2756" s="373">
        <f>IPMT('Assumptions (T&amp;D) old'!$B$100,Model!AB$1,'Assumptions (T&amp;D) old'!$B$103,Model!$E$2699)</f>
        <v>-0.01456257744</v>
      </c>
      <c r="K2756" s="373">
        <f>IPMT('Assumptions (T&amp;D) old'!$B$100,Model!AC$1,'Assumptions (T&amp;D) old'!$B$103,Model!$E$2699)</f>
        <v>-0.01339120753</v>
      </c>
      <c r="L2756" s="373">
        <f>IPMT('Assumptions (T&amp;D) old'!$B$100,Model!AD$1,'Assumptions (T&amp;D) old'!$B$103,Model!$E$2699)</f>
        <v>-0.01216419756</v>
      </c>
      <c r="M2756" s="373">
        <f>IPMT('Assumptions (T&amp;D) old'!$B$100,Model!AE$1,'Assumptions (T&amp;D) old'!$B$103,Model!$E$2699)</f>
        <v>-0.0108789046</v>
      </c>
      <c r="N2756" s="373">
        <f>IPMT('Assumptions (T&amp;D) old'!$B$100,Model!AF$1,'Assumptions (T&amp;D) old'!$B$103,Model!$E$2699)</f>
        <v>-0.009532560233</v>
      </c>
      <c r="O2756" s="373">
        <f>IPMT('Assumptions (T&amp;D) old'!$B$100,Model!AG$1,'Assumptions (T&amp;D) old'!$B$103,Model!$E$2699)</f>
        <v>-0.008122264507</v>
      </c>
      <c r="P2756" s="373">
        <f>IPMT('Assumptions (T&amp;D) old'!$B$100,Model!AH$1,'Assumptions (T&amp;D) old'!$B$103,Model!$E$2699)</f>
        <v>-0.006644979734</v>
      </c>
      <c r="Q2756" s="373">
        <f>IPMT('Assumptions (T&amp;D) old'!$B$100,Model!AI$1,'Assumptions (T&amp;D) old'!$B$103,Model!$E$2699)</f>
        <v>-0.005097523935</v>
      </c>
      <c r="R2756" s="373">
        <f>IPMT('Assumptions (T&amp;D) old'!$B$100,Model!AJ$1,'Assumptions (T&amp;D) old'!$B$103,Model!$E$2699)</f>
        <v>-0.003476563984</v>
      </c>
      <c r="S2756" s="373">
        <f>IPMT('Assumptions (T&amp;D) old'!$B$100,Model!AK$1,'Assumptions (T&amp;D) old'!$B$103,Model!$E$2699)</f>
        <v>-0.001778608436</v>
      </c>
      <c r="T2756" s="374"/>
      <c r="U2756" s="374"/>
      <c r="V2756" s="374"/>
      <c r="W2756" s="374"/>
      <c r="X2756" s="374"/>
      <c r="Y2756" s="374"/>
      <c r="Z2756" s="374"/>
      <c r="AA2756" s="374"/>
      <c r="AB2756" s="374"/>
      <c r="AC2756" s="374"/>
      <c r="AD2756" s="32"/>
      <c r="AE2756" s="32"/>
      <c r="AF2756" s="32"/>
      <c r="AG2756" s="32"/>
      <c r="AH2756" s="32"/>
      <c r="AI2756" s="32"/>
      <c r="AJ2756" s="32"/>
      <c r="AK2756" s="32"/>
      <c r="AL2756" s="32"/>
      <c r="AM2756" s="32"/>
      <c r="AN2756" s="32"/>
      <c r="AO2756" s="32"/>
      <c r="AP2756" s="32"/>
      <c r="AQ2756" s="32"/>
      <c r="AR2756" s="32"/>
      <c r="AS2756" s="32"/>
      <c r="AT2756" s="32"/>
      <c r="AU2756" s="32"/>
      <c r="AV2756" s="32"/>
      <c r="AW2756" s="32"/>
      <c r="AX2756" s="32"/>
      <c r="AY2756" s="32"/>
      <c r="AZ2756" s="32"/>
      <c r="BA2756" s="32"/>
      <c r="BB2756" s="32"/>
      <c r="BC2756" s="32"/>
      <c r="BD2756" s="32"/>
      <c r="BE2756" s="32"/>
      <c r="BF2756" s="32"/>
      <c r="BG2756" s="32"/>
      <c r="BH2756" s="32"/>
      <c r="BI2756" s="32"/>
      <c r="BJ2756" s="32"/>
      <c r="BK2756" s="32"/>
      <c r="BL2756" s="32"/>
      <c r="BM2756" s="32"/>
      <c r="BN2756" s="32"/>
      <c r="BO2756" s="32"/>
      <c r="BP2756" s="32"/>
      <c r="BQ2756" s="32"/>
      <c r="BR2756" s="32"/>
      <c r="BS2756" s="32"/>
      <c r="BT2756" s="32"/>
      <c r="BU2756" s="32"/>
      <c r="BV2756" s="32"/>
      <c r="BW2756" s="32"/>
      <c r="BX2756" s="32"/>
      <c r="BY2756" s="32"/>
      <c r="BZ2756" s="32"/>
      <c r="CA2756" s="32"/>
      <c r="CB2756" s="32"/>
      <c r="CC2756" s="32"/>
      <c r="CD2756" s="32"/>
    </row>
    <row r="2757" ht="15.75" hidden="1" customHeight="1" outlineLevel="1">
      <c r="A2757" s="365"/>
      <c r="B2757" s="38"/>
      <c r="C2757" s="374"/>
      <c r="D2757" s="374"/>
      <c r="E2757" s="374"/>
      <c r="F2757" s="373">
        <f>IPMT('Assumptions (T&amp;D) old'!$B$100,Model!W$1,'Assumptions (T&amp;D) old'!$B$103,Model!$F$2699)</f>
        <v>-0.02001834122</v>
      </c>
      <c r="G2757" s="373">
        <f>IPMT('Assumptions (T&amp;D) old'!$B$100,Model!X$1,'Assumptions (T&amp;D) old'!$B$103,Model!$F$2699)</f>
        <v>-0.01907305244</v>
      </c>
      <c r="H2757" s="373">
        <f>IPMT('Assumptions (T&amp;D) old'!$B$100,Model!Y$1,'Assumptions (T&amp;D) old'!$B$103,Model!$F$2699)</f>
        <v>-0.01808286244</v>
      </c>
      <c r="I2757" s="373">
        <f>IPMT('Assumptions (T&amp;D) old'!$B$100,Model!Z$1,'Assumptions (T&amp;D) old'!$B$103,Model!$F$2699)</f>
        <v>-0.01704563842</v>
      </c>
      <c r="J2757" s="373">
        <f>IPMT('Assumptions (T&amp;D) old'!$B$100,Model!AA$1,'Assumptions (T&amp;D) old'!$B$103,Model!$F$2699)</f>
        <v>-0.01595914625</v>
      </c>
      <c r="K2757" s="373">
        <f>IPMT('Assumptions (T&amp;D) old'!$B$100,Model!AB$1,'Assumptions (T&amp;D) old'!$B$103,Model!$F$2699)</f>
        <v>-0.01482104571</v>
      </c>
      <c r="L2757" s="373">
        <f>IPMT('Assumptions (T&amp;D) old'!$B$100,Model!AC$1,'Assumptions (T&amp;D) old'!$B$103,Model!$F$2699)</f>
        <v>-0.01362888539</v>
      </c>
      <c r="M2757" s="373">
        <f>IPMT('Assumptions (T&amp;D) old'!$B$100,Model!AD$1,'Assumptions (T&amp;D) old'!$B$103,Model!$F$2699)</f>
        <v>-0.01238009746</v>
      </c>
      <c r="N2757" s="373">
        <f>IPMT('Assumptions (T&amp;D) old'!$B$100,Model!AE$1,'Assumptions (T&amp;D) old'!$B$103,Model!$F$2699)</f>
        <v>-0.0110719921</v>
      </c>
      <c r="O2757" s="373">
        <f>IPMT('Assumptions (T&amp;D) old'!$B$100,Model!AF$1,'Assumptions (T&amp;D) old'!$B$103,Model!$F$2699)</f>
        <v>-0.009701751734</v>
      </c>
      <c r="P2757" s="373">
        <f>IPMT('Assumptions (T&amp;D) old'!$B$100,Model!AG$1,'Assumptions (T&amp;D) old'!$B$103,Model!$F$2699)</f>
        <v>-0.008266424951</v>
      </c>
      <c r="Q2757" s="373">
        <f>IPMT('Assumptions (T&amp;D) old'!$B$100,Model!AH$1,'Assumptions (T&amp;D) old'!$B$103,Model!$F$2699)</f>
        <v>-0.006762920147</v>
      </c>
      <c r="R2757" s="373">
        <f>IPMT('Assumptions (T&amp;D) old'!$B$100,Model!AI$1,'Assumptions (T&amp;D) old'!$B$103,Model!$F$2699)</f>
        <v>-0.005187998865</v>
      </c>
      <c r="S2757" s="373">
        <f>IPMT('Assumptions (T&amp;D) old'!$B$100,Model!AJ$1,'Assumptions (T&amp;D) old'!$B$103,Model!$F$2699)</f>
        <v>-0.003538268821</v>
      </c>
      <c r="T2757" s="373">
        <f>IPMT('Assumptions (T&amp;D) old'!$B$100,Model!AK$1,'Assumptions (T&amp;D) old'!$B$103,Model!$F$2699)</f>
        <v>-0.001810176601</v>
      </c>
      <c r="U2757" s="374"/>
      <c r="V2757" s="374"/>
      <c r="W2757" s="374"/>
      <c r="X2757" s="374"/>
      <c r="Y2757" s="374"/>
      <c r="Z2757" s="374"/>
      <c r="AA2757" s="374"/>
      <c r="AB2757" s="374"/>
      <c r="AC2757" s="374"/>
      <c r="AD2757" s="374"/>
      <c r="AE2757" s="32"/>
      <c r="AF2757" s="32"/>
      <c r="AG2757" s="32"/>
      <c r="AH2757" s="32"/>
      <c r="AI2757" s="32"/>
      <c r="AJ2757" s="32"/>
      <c r="AK2757" s="32"/>
      <c r="AL2757" s="32"/>
      <c r="AM2757" s="32"/>
      <c r="AN2757" s="32"/>
      <c r="AO2757" s="32"/>
      <c r="AP2757" s="32"/>
      <c r="AQ2757" s="32"/>
      <c r="AR2757" s="32"/>
      <c r="AS2757" s="32"/>
      <c r="AT2757" s="32"/>
      <c r="AU2757" s="32"/>
      <c r="AV2757" s="32"/>
      <c r="AW2757" s="32"/>
      <c r="AX2757" s="32"/>
      <c r="AY2757" s="32"/>
      <c r="AZ2757" s="32"/>
      <c r="BA2757" s="32"/>
      <c r="BB2757" s="32"/>
      <c r="BC2757" s="32"/>
      <c r="BD2757" s="32"/>
      <c r="BE2757" s="32"/>
      <c r="BF2757" s="32"/>
      <c r="BG2757" s="32"/>
      <c r="BH2757" s="32"/>
      <c r="BI2757" s="32"/>
      <c r="BJ2757" s="32"/>
      <c r="BK2757" s="32"/>
      <c r="BL2757" s="32"/>
      <c r="BM2757" s="32"/>
      <c r="BN2757" s="32"/>
      <c r="BO2757" s="32"/>
      <c r="BP2757" s="32"/>
      <c r="BQ2757" s="32"/>
      <c r="BR2757" s="32"/>
      <c r="BS2757" s="32"/>
      <c r="BT2757" s="32"/>
      <c r="BU2757" s="32"/>
      <c r="BV2757" s="32"/>
      <c r="BW2757" s="32"/>
      <c r="BX2757" s="32"/>
      <c r="BY2757" s="32"/>
      <c r="BZ2757" s="32"/>
      <c r="CA2757" s="32"/>
      <c r="CB2757" s="32"/>
      <c r="CC2757" s="32"/>
      <c r="CD2757" s="32"/>
    </row>
    <row r="2758" ht="15.75" hidden="1" customHeight="1" outlineLevel="1">
      <c r="A2758" s="365"/>
      <c r="B2758" s="38"/>
      <c r="C2758" s="374"/>
      <c r="D2758" s="374"/>
      <c r="E2758" s="374"/>
      <c r="F2758" s="374"/>
      <c r="G2758" s="373">
        <f>IPMT('Assumptions (T&amp;D) old'!$B$100,Model!W$1,'Assumptions (T&amp;D) old'!$B$103,Model!$G$2699)</f>
        <v>-0.02307629099</v>
      </c>
      <c r="H2758" s="373">
        <f>IPMT('Assumptions (T&amp;D) old'!$B$100,Model!X$1,'Assumptions (T&amp;D) old'!$B$103,Model!$G$2699)</f>
        <v>-0.02198660235</v>
      </c>
      <c r="I2758" s="373">
        <f>IPMT('Assumptions (T&amp;D) old'!$B$100,Model!Y$1,'Assumptions (T&amp;D) old'!$B$103,Model!$G$2699)</f>
        <v>-0.0208451535</v>
      </c>
      <c r="J2758" s="373">
        <f>IPMT('Assumptions (T&amp;D) old'!$B$100,Model!Z$1,'Assumptions (T&amp;D) old'!$B$103,Model!$G$2699)</f>
        <v>-0.01964948583</v>
      </c>
      <c r="K2758" s="373">
        <f>IPMT('Assumptions (T&amp;D) old'!$B$100,Model!AA$1,'Assumptions (T&amp;D) old'!$B$103,Model!$G$2699)</f>
        <v>-0.01839702395</v>
      </c>
      <c r="L2758" s="373">
        <f>IPMT('Assumptions (T&amp;D) old'!$B$100,Model!AB$1,'Assumptions (T&amp;D) old'!$B$103,Model!$G$2699)</f>
        <v>-0.01708507012</v>
      </c>
      <c r="M2758" s="373">
        <f>IPMT('Assumptions (T&amp;D) old'!$B$100,Model!AC$1,'Assumptions (T&amp;D) old'!$B$103,Model!$G$2699)</f>
        <v>-0.0157107985</v>
      </c>
      <c r="N2758" s="373">
        <f>IPMT('Assumptions (T&amp;D) old'!$B$100,Model!AD$1,'Assumptions (T&amp;D) old'!$B$103,Model!$G$2699)</f>
        <v>-0.01427124896</v>
      </c>
      <c r="O2758" s="373">
        <f>IPMT('Assumptions (T&amp;D) old'!$B$100,Model!AE$1,'Assumptions (T&amp;D) old'!$B$103,Model!$G$2699)</f>
        <v>-0.01276332083</v>
      </c>
      <c r="P2758" s="373">
        <f>IPMT('Assumptions (T&amp;D) old'!$B$100,Model!AF$1,'Assumptions (T&amp;D) old'!$B$103,Model!$G$2699)</f>
        <v>-0.01118376611</v>
      </c>
      <c r="Q2758" s="373">
        <f>IPMT('Assumptions (T&amp;D) old'!$B$100,Model!AG$1,'Assumptions (T&amp;D) old'!$B$103,Model!$G$2699)</f>
        <v>-0.009529182538</v>
      </c>
      <c r="R2758" s="373">
        <f>IPMT('Assumptions (T&amp;D) old'!$B$100,Model!AH$1,'Assumptions (T&amp;D) old'!$B$103,Model!$G$2699)</f>
        <v>-0.007796006248</v>
      </c>
      <c r="S2758" s="373">
        <f>IPMT('Assumptions (T&amp;D) old'!$B$100,Model!AI$1,'Assumptions (T&amp;D) old'!$B$103,Model!$G$2699)</f>
        <v>-0.005980504085</v>
      </c>
      <c r="T2758" s="373">
        <f>IPMT('Assumptions (T&amp;D) old'!$B$100,Model!AJ$1,'Assumptions (T&amp;D) old'!$B$103,Model!$G$2699)</f>
        <v>-0.004078765569</v>
      </c>
      <c r="U2758" s="373">
        <f>IPMT('Assumptions (T&amp;D) old'!$B$100,Model!AK$1,'Assumptions (T&amp;D) old'!$B$103,Model!$G$2699)</f>
        <v>-0.002086694473</v>
      </c>
      <c r="V2758" s="374"/>
      <c r="W2758" s="374"/>
      <c r="X2758" s="374"/>
      <c r="Y2758" s="374"/>
      <c r="Z2758" s="374"/>
      <c r="AA2758" s="374"/>
      <c r="AB2758" s="374"/>
      <c r="AC2758" s="374"/>
      <c r="AD2758" s="374"/>
      <c r="AE2758" s="374"/>
      <c r="AF2758" s="32"/>
      <c r="AG2758" s="32"/>
      <c r="AH2758" s="32"/>
      <c r="AI2758" s="32"/>
      <c r="AJ2758" s="32"/>
      <c r="AK2758" s="32"/>
      <c r="AL2758" s="32"/>
      <c r="AM2758" s="32"/>
      <c r="AN2758" s="32"/>
      <c r="AO2758" s="32"/>
      <c r="AP2758" s="32"/>
      <c r="AQ2758" s="32"/>
      <c r="AR2758" s="32"/>
      <c r="AS2758" s="32"/>
      <c r="AT2758" s="32"/>
      <c r="AU2758" s="32"/>
      <c r="AV2758" s="32"/>
      <c r="AW2758" s="32"/>
      <c r="AX2758" s="32"/>
      <c r="AY2758" s="32"/>
      <c r="AZ2758" s="32"/>
      <c r="BA2758" s="32"/>
      <c r="BB2758" s="32"/>
      <c r="BC2758" s="32"/>
      <c r="BD2758" s="32"/>
      <c r="BE2758" s="32"/>
      <c r="BF2758" s="32"/>
      <c r="BG2758" s="32"/>
      <c r="BH2758" s="32"/>
      <c r="BI2758" s="32"/>
      <c r="BJ2758" s="32"/>
      <c r="BK2758" s="32"/>
      <c r="BL2758" s="32"/>
      <c r="BM2758" s="32"/>
      <c r="BN2758" s="32"/>
      <c r="BO2758" s="32"/>
      <c r="BP2758" s="32"/>
      <c r="BQ2758" s="32"/>
      <c r="BR2758" s="32"/>
      <c r="BS2758" s="32"/>
      <c r="BT2758" s="32"/>
      <c r="BU2758" s="32"/>
      <c r="BV2758" s="32"/>
      <c r="BW2758" s="32"/>
      <c r="BX2758" s="32"/>
      <c r="BY2758" s="32"/>
      <c r="BZ2758" s="32"/>
      <c r="CA2758" s="32"/>
      <c r="CB2758" s="32"/>
      <c r="CC2758" s="32"/>
      <c r="CD2758" s="32"/>
    </row>
    <row r="2759" ht="15.75" hidden="1" customHeight="1" outlineLevel="1">
      <c r="A2759" s="365"/>
      <c r="B2759" s="38"/>
      <c r="C2759" s="374"/>
      <c r="D2759" s="374"/>
      <c r="E2759" s="374"/>
      <c r="F2759" s="374"/>
      <c r="G2759" s="374"/>
      <c r="H2759" s="373">
        <f>IPMT('Assumptions (T&amp;D) old'!$B$100,Model!W$1,'Assumptions (T&amp;D) old'!$B$103,Model!$H$2699)</f>
        <v>-0.01844221149</v>
      </c>
      <c r="I2759" s="373">
        <f>IPMT('Assumptions (T&amp;D) old'!$B$100,Model!X$1,'Assumptions (T&amp;D) old'!$B$103,Model!$H$2699)</f>
        <v>-0.01757134934</v>
      </c>
      <c r="J2759" s="373">
        <f>IPMT('Assumptions (T&amp;D) old'!$B$100,Model!Y$1,'Assumptions (T&amp;D) old'!$B$103,Model!$H$2699)</f>
        <v>-0.01665912124</v>
      </c>
      <c r="K2759" s="373">
        <f>IPMT('Assumptions (T&amp;D) old'!$B$100,Model!Z$1,'Assumptions (T&amp;D) old'!$B$103,Model!$H$2699)</f>
        <v>-0.01570356231</v>
      </c>
      <c r="L2759" s="373">
        <f>IPMT('Assumptions (T&amp;D) old'!$B$100,Model!AA$1,'Assumptions (T&amp;D) old'!$B$103,Model!$H$2699)</f>
        <v>-0.01470261432</v>
      </c>
      <c r="M2759" s="373">
        <f>IPMT('Assumptions (T&amp;D) old'!$B$100,Model!AB$1,'Assumptions (T&amp;D) old'!$B$103,Model!$H$2699)</f>
        <v>-0.01365412131</v>
      </c>
      <c r="N2759" s="373">
        <f>IPMT('Assumptions (T&amp;D) old'!$B$100,Model!AC$1,'Assumptions (T&amp;D) old'!$B$103,Model!$H$2699)</f>
        <v>-0.01255582488</v>
      </c>
      <c r="O2759" s="373">
        <f>IPMT('Assumptions (T&amp;D) old'!$B$100,Model!AD$1,'Assumptions (T&amp;D) old'!$B$103,Model!$H$2699)</f>
        <v>-0.01140535937</v>
      </c>
      <c r="P2759" s="373">
        <f>IPMT('Assumptions (T&amp;D) old'!$B$100,Model!AE$1,'Assumptions (T&amp;D) old'!$B$103,Model!$H$2699)</f>
        <v>-0.01020024674</v>
      </c>
      <c r="Q2759" s="373">
        <f>IPMT('Assumptions (T&amp;D) old'!$B$100,Model!AF$1,'Assumptions (T&amp;D) old'!$B$103,Model!$H$2699)</f>
        <v>-0.008937891271</v>
      </c>
      <c r="R2759" s="373">
        <f>IPMT('Assumptions (T&amp;D) old'!$B$100,Model!AG$1,'Assumptions (T&amp;D) old'!$B$103,Model!$H$2699)</f>
        <v>-0.007615573914</v>
      </c>
      <c r="S2759" s="373">
        <f>IPMT('Assumptions (T&amp;D) old'!$B$100,Model!AH$1,'Assumptions (T&amp;D) old'!$B$103,Model!$H$2699)</f>
        <v>-0.006230446481</v>
      </c>
      <c r="T2759" s="373">
        <f>IPMT('Assumptions (T&amp;D) old'!$B$100,Model!AI$1,'Assumptions (T&amp;D) old'!$B$103,Model!$H$2699)</f>
        <v>-0.004779525496</v>
      </c>
      <c r="U2759" s="373">
        <f>IPMT('Assumptions (T&amp;D) old'!$B$100,Model!AJ$1,'Assumptions (T&amp;D) old'!$B$103,Model!$H$2699)</f>
        <v>-0.003259685764</v>
      </c>
      <c r="V2759" s="373">
        <f>IPMT('Assumptions (T&amp;D) old'!$B$100,Model!AK$1,'Assumptions (T&amp;D) old'!$B$103,Model!$H$2699)</f>
        <v>-0.001667653645</v>
      </c>
      <c r="W2759" s="374"/>
      <c r="X2759" s="374"/>
      <c r="Y2759" s="374"/>
      <c r="Z2759" s="374"/>
      <c r="AA2759" s="374"/>
      <c r="AB2759" s="374"/>
      <c r="AC2759" s="374"/>
      <c r="AD2759" s="374"/>
      <c r="AE2759" s="374"/>
      <c r="AF2759" s="37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2"/>
      <c r="BA2759" s="32"/>
      <c r="BB2759" s="32"/>
      <c r="BC2759" s="32"/>
      <c r="BD2759" s="32"/>
      <c r="BE2759" s="32"/>
      <c r="BF2759" s="32"/>
      <c r="BG2759" s="32"/>
      <c r="BH2759" s="32"/>
      <c r="BI2759" s="32"/>
      <c r="BJ2759" s="32"/>
      <c r="BK2759" s="32"/>
      <c r="BL2759" s="32"/>
      <c r="BM2759" s="32"/>
      <c r="BN2759" s="32"/>
      <c r="BO2759" s="32"/>
      <c r="BP2759" s="32"/>
      <c r="BQ2759" s="32"/>
      <c r="BR2759" s="32"/>
      <c r="BS2759" s="32"/>
      <c r="BT2759" s="32"/>
      <c r="BU2759" s="32"/>
      <c r="BV2759" s="32"/>
      <c r="BW2759" s="32"/>
      <c r="BX2759" s="32"/>
      <c r="BY2759" s="32"/>
      <c r="BZ2759" s="32"/>
      <c r="CA2759" s="32"/>
      <c r="CB2759" s="32"/>
      <c r="CC2759" s="32"/>
      <c r="CD2759" s="32"/>
    </row>
    <row r="2760" ht="15.75" hidden="1" customHeight="1" outlineLevel="1">
      <c r="A2760" s="365"/>
      <c r="B2760" s="38"/>
      <c r="C2760" s="374"/>
      <c r="D2760" s="374"/>
      <c r="E2760" s="374"/>
      <c r="F2760" s="374"/>
      <c r="G2760" s="374"/>
      <c r="H2760" s="374"/>
      <c r="I2760" s="373">
        <f>IPMT('Assumptions (T&amp;D) old'!$B$100,Model!W$1,'Assumptions (T&amp;D) old'!$B$103,Model!$I$2699)</f>
        <v>-0.02616748254</v>
      </c>
      <c r="J2760" s="373">
        <f>IPMT('Assumptions (T&amp;D) old'!$B$100,Model!X$1,'Assumptions (T&amp;D) old'!$B$103,Model!$I$2699)</f>
        <v>-0.02493182433</v>
      </c>
      <c r="K2760" s="373">
        <f>IPMT('Assumptions (T&amp;D) old'!$B$100,Model!Y$1,'Assumptions (T&amp;D) old'!$B$103,Model!$I$2699)</f>
        <v>-0.02363747235</v>
      </c>
      <c r="L2760" s="373">
        <f>IPMT('Assumptions (T&amp;D) old'!$B$100,Model!Z$1,'Assumptions (T&amp;D) old'!$B$103,Model!$I$2699)</f>
        <v>-0.02228163866</v>
      </c>
      <c r="M2760" s="373">
        <f>IPMT('Assumptions (T&amp;D) old'!$B$100,Model!AA$1,'Assumptions (T&amp;D) old'!$B$103,Model!$I$2699)</f>
        <v>-0.02086140286</v>
      </c>
      <c r="N2760" s="373">
        <f>IPMT('Assumptions (T&amp;D) old'!$B$100,Model!AB$1,'Assumptions (T&amp;D) old'!$B$103,Model!$I$2699)</f>
        <v>-0.01937370587</v>
      </c>
      <c r="O2760" s="373">
        <f>IPMT('Assumptions (T&amp;D) old'!$B$100,Model!AC$1,'Assumptions (T&amp;D) old'!$B$103,Model!$I$2699)</f>
        <v>-0.01781534327</v>
      </c>
      <c r="P2760" s="373">
        <f>IPMT('Assumptions (T&amp;D) old'!$B$100,Model!AD$1,'Assumptions (T&amp;D) old'!$B$103,Model!$I$2699)</f>
        <v>-0.01618295844</v>
      </c>
      <c r="Q2760" s="373">
        <f>IPMT('Assumptions (T&amp;D) old'!$B$100,Model!AE$1,'Assumptions (T&amp;D) old'!$B$103,Model!$I$2699)</f>
        <v>-0.01447303534</v>
      </c>
      <c r="R2760" s="373">
        <f>IPMT('Assumptions (T&amp;D) old'!$B$100,Model!AF$1,'Assumptions (T&amp;D) old'!$B$103,Model!$I$2699)</f>
        <v>-0.01268189089</v>
      </c>
      <c r="S2760" s="373">
        <f>IPMT('Assumptions (T&amp;D) old'!$B$100,Model!AG$1,'Assumptions (T&amp;D) old'!$B$103,Model!$I$2699)</f>
        <v>-0.01080566707</v>
      </c>
      <c r="T2760" s="373">
        <f>IPMT('Assumptions (T&amp;D) old'!$B$100,Model!AH$1,'Assumptions (T&amp;D) old'!$B$103,Model!$I$2699)</f>
        <v>-0.008840322627</v>
      </c>
      <c r="U2760" s="373">
        <f>IPMT('Assumptions (T&amp;D) old'!$B$100,Model!AI$1,'Assumptions (T&amp;D) old'!$B$103,Model!$I$2699)</f>
        <v>-0.006781624321</v>
      </c>
      <c r="V2760" s="373">
        <f>IPMT('Assumptions (T&amp;D) old'!$B$100,Model!AJ$1,'Assumptions (T&amp;D) old'!$B$103,Model!$I$2699)</f>
        <v>-0.004625137846</v>
      </c>
      <c r="W2760" s="373">
        <f>IPMT('Assumptions (T&amp;D) old'!$B$100,Model!AK$1,'Assumptions (T&amp;D) old'!$B$103,Model!$I$2699)</f>
        <v>-0.002366218263</v>
      </c>
      <c r="X2760" s="374"/>
      <c r="Y2760" s="374"/>
      <c r="Z2760" s="374"/>
      <c r="AA2760" s="374"/>
      <c r="AB2760" s="374"/>
      <c r="AC2760" s="374"/>
      <c r="AD2760" s="374"/>
      <c r="AE2760" s="374"/>
      <c r="AF2760" s="374"/>
      <c r="AG2760" s="374"/>
      <c r="AH2760" s="32"/>
      <c r="AI2760" s="32"/>
      <c r="AJ2760" s="32"/>
      <c r="AK2760" s="32"/>
      <c r="AL2760" s="32"/>
      <c r="AM2760" s="32"/>
      <c r="AN2760" s="32"/>
      <c r="AO2760" s="32"/>
      <c r="AP2760" s="32"/>
      <c r="AQ2760" s="32"/>
      <c r="AR2760" s="32"/>
      <c r="AS2760" s="32"/>
      <c r="AT2760" s="32"/>
      <c r="AU2760" s="32"/>
      <c r="AV2760" s="32"/>
      <c r="AW2760" s="32"/>
      <c r="AX2760" s="32"/>
      <c r="AY2760" s="32"/>
      <c r="AZ2760" s="32"/>
      <c r="BA2760" s="32"/>
      <c r="BB2760" s="32"/>
      <c r="BC2760" s="32"/>
      <c r="BD2760" s="32"/>
      <c r="BE2760" s="32"/>
      <c r="BF2760" s="32"/>
      <c r="BG2760" s="32"/>
      <c r="BH2760" s="32"/>
      <c r="BI2760" s="32"/>
      <c r="BJ2760" s="32"/>
      <c r="BK2760" s="32"/>
      <c r="BL2760" s="32"/>
      <c r="BM2760" s="32"/>
      <c r="BN2760" s="32"/>
      <c r="BO2760" s="32"/>
      <c r="BP2760" s="32"/>
      <c r="BQ2760" s="32"/>
      <c r="BR2760" s="32"/>
      <c r="BS2760" s="32"/>
      <c r="BT2760" s="32"/>
      <c r="BU2760" s="32"/>
      <c r="BV2760" s="32"/>
      <c r="BW2760" s="32"/>
      <c r="BX2760" s="32"/>
      <c r="BY2760" s="32"/>
      <c r="BZ2760" s="32"/>
      <c r="CA2760" s="32"/>
      <c r="CB2760" s="32"/>
      <c r="CC2760" s="32"/>
      <c r="CD2760" s="32"/>
    </row>
    <row r="2761" ht="15.75" hidden="1" customHeight="1" outlineLevel="1">
      <c r="A2761" s="365"/>
      <c r="B2761" s="38"/>
      <c r="C2761" s="374"/>
      <c r="D2761" s="374"/>
      <c r="E2761" s="374"/>
      <c r="F2761" s="374"/>
      <c r="G2761" s="374"/>
      <c r="H2761" s="374"/>
      <c r="I2761" s="374"/>
      <c r="J2761" s="373">
        <f>IPMT('Assumptions (T&amp;D) old'!$B$100,Model!W$1,'Assumptions (T&amp;D) old'!$B$103,Model!$J$2699)</f>
        <v>-0.02680620812</v>
      </c>
      <c r="K2761" s="373">
        <f>IPMT('Assumptions (T&amp;D) old'!$B$100,Model!X$1,'Assumptions (T&amp;D) old'!$B$103,Model!$J$2699)</f>
        <v>-0.02554038857</v>
      </c>
      <c r="L2761" s="373">
        <f>IPMT('Assumptions (T&amp;D) old'!$B$100,Model!Y$1,'Assumptions (T&amp;D) old'!$B$103,Model!$J$2699)</f>
        <v>-0.02421444258</v>
      </c>
      <c r="M2761" s="373">
        <f>IPMT('Assumptions (T&amp;D) old'!$B$100,Model!Z$1,'Assumptions (T&amp;D) old'!$B$103,Model!$J$2699)</f>
        <v>-0.02282551416</v>
      </c>
      <c r="N2761" s="373">
        <f>IPMT('Assumptions (T&amp;D) old'!$B$100,Model!AA$1,'Assumptions (T&amp;D) old'!$B$103,Model!$J$2699)</f>
        <v>-0.02137061164</v>
      </c>
      <c r="O2761" s="373">
        <f>IPMT('Assumptions (T&amp;D) old'!$B$100,Model!AB$1,'Assumptions (T&amp;D) old'!$B$103,Model!$J$2699)</f>
        <v>-0.01984660125</v>
      </c>
      <c r="P2761" s="373">
        <f>IPMT('Assumptions (T&amp;D) old'!$B$100,Model!AC$1,'Assumptions (T&amp;D) old'!$B$103,Model!$J$2699)</f>
        <v>-0.01825020037</v>
      </c>
      <c r="Q2761" s="373">
        <f>IPMT('Assumptions (T&amp;D) old'!$B$100,Model!AD$1,'Assumptions (T&amp;D) old'!$B$103,Model!$J$2699)</f>
        <v>-0.01657797044</v>
      </c>
      <c r="R2761" s="373">
        <f>IPMT('Assumptions (T&amp;D) old'!$B$100,Model!AE$1,'Assumptions (T&amp;D) old'!$B$103,Model!$J$2699)</f>
        <v>-0.0148263096</v>
      </c>
      <c r="S2761" s="373">
        <f>IPMT('Assumptions (T&amp;D) old'!$B$100,Model!AF$1,'Assumptions (T&amp;D) old'!$B$103,Model!$J$2699)</f>
        <v>-0.01299144486</v>
      </c>
      <c r="T2761" s="373">
        <f>IPMT('Assumptions (T&amp;D) old'!$B$100,Model!AG$1,'Assumptions (T&amp;D) old'!$B$103,Model!$J$2699)</f>
        <v>-0.01106942405</v>
      </c>
      <c r="U2761" s="373">
        <f>IPMT('Assumptions (T&amp;D) old'!$B$100,Model!AH$1,'Assumptions (T&amp;D) old'!$B$103,Model!$J$2699)</f>
        <v>-0.009056107246</v>
      </c>
      <c r="V2761" s="373">
        <f>IPMT('Assumptions (T&amp;D) old'!$B$100,Model!AI$1,'Assumptions (T&amp;D) old'!$B$103,Model!$J$2699)</f>
        <v>-0.006947157898</v>
      </c>
      <c r="W2761" s="373">
        <f>IPMT('Assumptions (T&amp;D) old'!$B$100,Model!AJ$1,'Assumptions (T&amp;D) old'!$B$103,Model!$J$2699)</f>
        <v>-0.004738033455</v>
      </c>
      <c r="X2761" s="373">
        <f>IPMT('Assumptions (T&amp;D) old'!$B$100,Model!AK$1,'Assumptions (T&amp;D) old'!$B$103,Model!$J$2699)</f>
        <v>-0.002423975602</v>
      </c>
      <c r="Y2761" s="374"/>
      <c r="Z2761" s="374"/>
      <c r="AA2761" s="374"/>
      <c r="AB2761" s="374"/>
      <c r="AC2761" s="374"/>
      <c r="AD2761" s="374"/>
      <c r="AE2761" s="374"/>
      <c r="AF2761" s="374"/>
      <c r="AG2761" s="374"/>
      <c r="AH2761" s="374"/>
      <c r="AI2761" s="32"/>
      <c r="AJ2761" s="32"/>
      <c r="AK2761" s="32"/>
      <c r="AL2761" s="32"/>
      <c r="AM2761" s="32"/>
      <c r="AN2761" s="32"/>
      <c r="AO2761" s="32"/>
      <c r="AP2761" s="32"/>
      <c r="AQ2761" s="32"/>
      <c r="AR2761" s="32"/>
      <c r="AS2761" s="32"/>
      <c r="AT2761" s="32"/>
      <c r="AU2761" s="32"/>
      <c r="AV2761" s="32"/>
      <c r="AW2761" s="32"/>
      <c r="AX2761" s="32"/>
      <c r="AY2761" s="32"/>
      <c r="AZ2761" s="32"/>
      <c r="BA2761" s="32"/>
      <c r="BB2761" s="32"/>
      <c r="BC2761" s="32"/>
      <c r="BD2761" s="32"/>
      <c r="BE2761" s="32"/>
      <c r="BF2761" s="32"/>
      <c r="BG2761" s="32"/>
      <c r="BH2761" s="32"/>
      <c r="BI2761" s="32"/>
      <c r="BJ2761" s="32"/>
      <c r="BK2761" s="32"/>
      <c r="BL2761" s="32"/>
      <c r="BM2761" s="32"/>
      <c r="BN2761" s="32"/>
      <c r="BO2761" s="32"/>
      <c r="BP2761" s="32"/>
      <c r="BQ2761" s="32"/>
      <c r="BR2761" s="32"/>
      <c r="BS2761" s="32"/>
      <c r="BT2761" s="32"/>
      <c r="BU2761" s="32"/>
      <c r="BV2761" s="32"/>
      <c r="BW2761" s="32"/>
      <c r="BX2761" s="32"/>
      <c r="BY2761" s="32"/>
      <c r="BZ2761" s="32"/>
      <c r="CA2761" s="32"/>
      <c r="CB2761" s="32"/>
      <c r="CC2761" s="32"/>
      <c r="CD2761" s="32"/>
    </row>
    <row r="2762" ht="15.75" hidden="1" customHeight="1" outlineLevel="1">
      <c r="A2762" s="365"/>
      <c r="B2762" s="38"/>
      <c r="C2762" s="374"/>
      <c r="D2762" s="374"/>
      <c r="E2762" s="374"/>
      <c r="F2762" s="374"/>
      <c r="G2762" s="374"/>
      <c r="H2762" s="374"/>
      <c r="I2762" s="374"/>
      <c r="J2762" s="374"/>
      <c r="K2762" s="373">
        <f>IPMT('Assumptions (T&amp;D) old'!$B$100,Model!W$1,'Assumptions (T&amp;D) old'!$B$103,Model!$K$2699)</f>
        <v>-0.02496514974</v>
      </c>
      <c r="L2762" s="373">
        <f>IPMT('Assumptions (T&amp;D) old'!$B$100,Model!X$1,'Assumptions (T&amp;D) old'!$B$103,Model!$K$2699)</f>
        <v>-0.02378626705</v>
      </c>
      <c r="M2762" s="373">
        <f>IPMT('Assumptions (T&amp;D) old'!$B$100,Model!Y$1,'Assumptions (T&amp;D) old'!$B$103,Model!$K$2699)</f>
        <v>-0.02255138743</v>
      </c>
      <c r="N2762" s="373">
        <f>IPMT('Assumptions (T&amp;D) old'!$B$100,Model!Z$1,'Assumptions (T&amp;D) old'!$B$103,Model!$K$2699)</f>
        <v>-0.02125785103</v>
      </c>
      <c r="O2762" s="373">
        <f>IPMT('Assumptions (T&amp;D) old'!$B$100,Model!AA$1,'Assumptions (T&amp;D) old'!$B$103,Model!$K$2699)</f>
        <v>-0.01990287165</v>
      </c>
      <c r="P2762" s="373">
        <f>IPMT('Assumptions (T&amp;D) old'!$B$100,Model!AB$1,'Assumptions (T&amp;D) old'!$B$103,Model!$K$2699)</f>
        <v>-0.01848353075</v>
      </c>
      <c r="Q2762" s="373">
        <f>IPMT('Assumptions (T&amp;D) old'!$B$100,Model!AC$1,'Assumptions (T&amp;D) old'!$B$103,Model!$K$2699)</f>
        <v>-0.01699677115</v>
      </c>
      <c r="R2762" s="373">
        <f>IPMT('Assumptions (T&amp;D) old'!$B$100,Model!AD$1,'Assumptions (T&amp;D) old'!$B$103,Model!$K$2699)</f>
        <v>-0.01543939048</v>
      </c>
      <c r="S2762" s="373">
        <f>IPMT('Assumptions (T&amp;D) old'!$B$100,Model!AE$1,'Assumptions (T&amp;D) old'!$B$103,Model!$K$2699)</f>
        <v>-0.01380803422</v>
      </c>
      <c r="T2762" s="373">
        <f>IPMT('Assumptions (T&amp;D) old'!$B$100,Model!AF$1,'Assumptions (T&amp;D) old'!$B$103,Model!$K$2699)</f>
        <v>-0.01209918854</v>
      </c>
      <c r="U2762" s="373">
        <f>IPMT('Assumptions (T&amp;D) old'!$B$100,Model!AG$1,'Assumptions (T&amp;D) old'!$B$103,Model!$K$2699)</f>
        <v>-0.0103091727</v>
      </c>
      <c r="V2762" s="373">
        <f>IPMT('Assumptions (T&amp;D) old'!$B$100,Model!AH$1,'Assumptions (T&amp;D) old'!$B$103,Model!$K$2699)</f>
        <v>-0.008434131094</v>
      </c>
      <c r="W2762" s="373">
        <f>IPMT('Assumptions (T&amp;D) old'!$B$100,Model!AI$1,'Assumptions (T&amp;D) old'!$B$103,Model!$K$2699)</f>
        <v>-0.006470025017</v>
      </c>
      <c r="X2762" s="373">
        <f>IPMT('Assumptions (T&amp;D) old'!$B$100,Model!AJ$1,'Assumptions (T&amp;D) old'!$B$103,Model!$K$2699)</f>
        <v>-0.004412623902</v>
      </c>
      <c r="Y2762" s="373">
        <f>IPMT('Assumptions (T&amp;D) old'!$B$100,Model!AK$1,'Assumptions (T&amp;D) old'!$B$103,Model!$K$2699)</f>
        <v>-0.002257496233</v>
      </c>
      <c r="Z2762" s="374"/>
      <c r="AA2762" s="374"/>
      <c r="AB2762" s="374"/>
      <c r="AC2762" s="374"/>
      <c r="AD2762" s="374"/>
      <c r="AE2762" s="374"/>
      <c r="AF2762" s="374"/>
      <c r="AG2762" s="374"/>
      <c r="AH2762" s="374"/>
      <c r="AI2762" s="374"/>
      <c r="AJ2762" s="32"/>
      <c r="AK2762" s="32"/>
      <c r="AL2762" s="32"/>
      <c r="AM2762" s="32"/>
      <c r="AN2762" s="32"/>
      <c r="AO2762" s="32"/>
      <c r="AP2762" s="32"/>
      <c r="AQ2762" s="32"/>
      <c r="AR2762" s="32"/>
      <c r="AS2762" s="32"/>
      <c r="AT2762" s="32"/>
      <c r="AU2762" s="32"/>
      <c r="AV2762" s="32"/>
      <c r="AW2762" s="32"/>
      <c r="AX2762" s="32"/>
      <c r="AY2762" s="32"/>
      <c r="AZ2762" s="32"/>
      <c r="BA2762" s="32"/>
      <c r="BB2762" s="32"/>
      <c r="BC2762" s="32"/>
      <c r="BD2762" s="32"/>
      <c r="BE2762" s="32"/>
      <c r="BF2762" s="32"/>
      <c r="BG2762" s="32"/>
      <c r="BH2762" s="32"/>
      <c r="BI2762" s="32"/>
      <c r="BJ2762" s="32"/>
      <c r="BK2762" s="32"/>
      <c r="BL2762" s="32"/>
      <c r="BM2762" s="32"/>
      <c r="BN2762" s="32"/>
      <c r="BO2762" s="32"/>
      <c r="BP2762" s="32"/>
      <c r="BQ2762" s="32"/>
      <c r="BR2762" s="32"/>
      <c r="BS2762" s="32"/>
      <c r="BT2762" s="32"/>
      <c r="BU2762" s="32"/>
      <c r="BV2762" s="32"/>
      <c r="BW2762" s="32"/>
      <c r="BX2762" s="32"/>
      <c r="BY2762" s="32"/>
      <c r="BZ2762" s="32"/>
      <c r="CA2762" s="32"/>
      <c r="CB2762" s="32"/>
      <c r="CC2762" s="32"/>
      <c r="CD2762" s="32"/>
    </row>
    <row r="2763" ht="15.75" hidden="1" customHeight="1" outlineLevel="1">
      <c r="A2763" s="365"/>
      <c r="B2763" s="38"/>
      <c r="C2763" s="374"/>
      <c r="D2763" s="374"/>
      <c r="E2763" s="374"/>
      <c r="F2763" s="374"/>
      <c r="G2763" s="374"/>
      <c r="H2763" s="374"/>
      <c r="I2763" s="374"/>
      <c r="J2763" s="374"/>
      <c r="K2763" s="374"/>
      <c r="L2763" s="373">
        <f>IPMT('Assumptions (T&amp;D) old'!$B$100,Model!W$1,'Assumptions (T&amp;D) old'!$B$103,Model!$L$2699)</f>
        <v>-0.0229684418</v>
      </c>
      <c r="M2763" s="373">
        <f>IPMT('Assumptions (T&amp;D) old'!$B$100,Model!X$1,'Assumptions (T&amp;D) old'!$B$103,Model!$L$2699)</f>
        <v>-0.02188384592</v>
      </c>
      <c r="N2763" s="373">
        <f>IPMT('Assumptions (T&amp;D) old'!$B$100,Model!Y$1,'Assumptions (T&amp;D) old'!$B$103,Model!$L$2699)</f>
        <v>-0.02074773174</v>
      </c>
      <c r="O2763" s="373">
        <f>IPMT('Assumptions (T&amp;D) old'!$B$100,Model!Z$1,'Assumptions (T&amp;D) old'!$B$103,Model!$L$2699)</f>
        <v>-0.01955765213</v>
      </c>
      <c r="P2763" s="373">
        <f>IPMT('Assumptions (T&amp;D) old'!$B$100,Model!AA$1,'Assumptions (T&amp;D) old'!$B$103,Model!$L$2699)</f>
        <v>-0.01831104375</v>
      </c>
      <c r="Q2763" s="373">
        <f>IPMT('Assumptions (T&amp;D) old'!$B$100,Model!AB$1,'Assumptions (T&amp;D) old'!$B$103,Model!$L$2699)</f>
        <v>-0.01700522146</v>
      </c>
      <c r="R2763" s="373">
        <f>IPMT('Assumptions (T&amp;D) old'!$B$100,Model!AC$1,'Assumptions (T&amp;D) old'!$B$103,Model!$L$2699)</f>
        <v>-0.01563737262</v>
      </c>
      <c r="S2763" s="373">
        <f>IPMT('Assumptions (T&amp;D) old'!$B$100,Model!AD$1,'Assumptions (T&amp;D) old'!$B$103,Model!$L$2699)</f>
        <v>-0.01420455095</v>
      </c>
      <c r="T2763" s="373">
        <f>IPMT('Assumptions (T&amp;D) old'!$B$100,Model!AE$1,'Assumptions (T&amp;D) old'!$B$103,Model!$L$2699)</f>
        <v>-0.01270367026</v>
      </c>
      <c r="U2763" s="373">
        <f>IPMT('Assumptions (T&amp;D) old'!$B$100,Model!AF$1,'Assumptions (T&amp;D) old'!$B$103,Model!$L$2699)</f>
        <v>-0.01113149774</v>
      </c>
      <c r="V2763" s="373">
        <f>IPMT('Assumptions (T&amp;D) old'!$B$100,Model!AG$1,'Assumptions (T&amp;D) old'!$B$103,Model!$L$2699)</f>
        <v>-0.009484647017</v>
      </c>
      <c r="W2763" s="373">
        <f>IPMT('Assumptions (T&amp;D) old'!$B$100,Model!AH$1,'Assumptions (T&amp;D) old'!$B$103,Model!$L$2699)</f>
        <v>-0.007759570888</v>
      </c>
      <c r="X2763" s="373">
        <f>IPMT('Assumptions (T&amp;D) old'!$B$100,Model!AI$1,'Assumptions (T&amp;D) old'!$B$103,Model!$L$2699)</f>
        <v>-0.005952553643</v>
      </c>
      <c r="Y2763" s="373">
        <f>IPMT('Assumptions (T&amp;D) old'!$B$100,Model!AJ$1,'Assumptions (T&amp;D) old'!$B$103,Model!$L$2699)</f>
        <v>-0.004059703078</v>
      </c>
      <c r="Z2763" s="373">
        <f>IPMT('Assumptions (T&amp;D) old'!$B$100,Model!AK$1,'Assumptions (T&amp;D) old'!$B$103,Model!$L$2699)</f>
        <v>-0.002076942112</v>
      </c>
      <c r="AA2763" s="374"/>
      <c r="AB2763" s="374"/>
      <c r="AC2763" s="374"/>
      <c r="AD2763" s="374"/>
      <c r="AE2763" s="374"/>
      <c r="AF2763" s="374"/>
      <c r="AG2763" s="374"/>
      <c r="AH2763" s="374"/>
      <c r="AI2763" s="374"/>
      <c r="AJ2763" s="374"/>
      <c r="AK2763" s="32"/>
      <c r="AL2763" s="32"/>
      <c r="AM2763" s="32"/>
      <c r="AN2763" s="32"/>
      <c r="AO2763" s="32"/>
      <c r="AP2763" s="32"/>
      <c r="AQ2763" s="32"/>
      <c r="AR2763" s="32"/>
      <c r="AS2763" s="32"/>
      <c r="AT2763" s="32"/>
      <c r="AU2763" s="32"/>
      <c r="AV2763" s="32"/>
      <c r="AW2763" s="32"/>
      <c r="AX2763" s="32"/>
      <c r="AY2763" s="32"/>
      <c r="AZ2763" s="32"/>
      <c r="BA2763" s="32"/>
      <c r="BB2763" s="32"/>
      <c r="BC2763" s="32"/>
      <c r="BD2763" s="32"/>
      <c r="BE2763" s="32"/>
      <c r="BF2763" s="32"/>
      <c r="BG2763" s="32"/>
      <c r="BH2763" s="32"/>
      <c r="BI2763" s="32"/>
      <c r="BJ2763" s="32"/>
      <c r="BK2763" s="32"/>
      <c r="BL2763" s="32"/>
      <c r="BM2763" s="32"/>
      <c r="BN2763" s="32"/>
      <c r="BO2763" s="32"/>
      <c r="BP2763" s="32"/>
      <c r="BQ2763" s="32"/>
      <c r="BR2763" s="32"/>
      <c r="BS2763" s="32"/>
      <c r="BT2763" s="32"/>
      <c r="BU2763" s="32"/>
      <c r="BV2763" s="32"/>
      <c r="BW2763" s="32"/>
      <c r="BX2763" s="32"/>
      <c r="BY2763" s="32"/>
      <c r="BZ2763" s="32"/>
      <c r="CA2763" s="32"/>
      <c r="CB2763" s="32"/>
      <c r="CC2763" s="32"/>
      <c r="CD2763" s="32"/>
    </row>
    <row r="2764" ht="15.75" hidden="1" customHeight="1" outlineLevel="1">
      <c r="A2764" s="365"/>
      <c r="B2764" s="38"/>
      <c r="C2764" s="374"/>
      <c r="D2764" s="374"/>
      <c r="E2764" s="374"/>
      <c r="F2764" s="374"/>
      <c r="G2764" s="374"/>
      <c r="H2764" s="374"/>
      <c r="I2764" s="374"/>
      <c r="J2764" s="374"/>
      <c r="K2764" s="374"/>
      <c r="L2764" s="374"/>
      <c r="M2764" s="373">
        <f>IPMT('Assumptions (T&amp;D) old'!$B$100,Model!W$1,'Assumptions (T&amp;D) old'!$B$103,Model!$M$2699)</f>
        <v>-0.03152437144</v>
      </c>
      <c r="N2764" s="373">
        <f>IPMT('Assumptions (T&amp;D) old'!$B$100,Model!X$1,'Assumptions (T&amp;D) old'!$B$103,Model!$M$2699)</f>
        <v>-0.03003575486</v>
      </c>
      <c r="O2764" s="373">
        <f>IPMT('Assumptions (T&amp;D) old'!$B$100,Model!Y$1,'Assumptions (T&amp;D) old'!$B$103,Model!$M$2699)</f>
        <v>-0.02847642899</v>
      </c>
      <c r="P2764" s="373">
        <f>IPMT('Assumptions (T&amp;D) old'!$B$100,Model!Z$1,'Assumptions (T&amp;D) old'!$B$103,Model!$M$2699)</f>
        <v>-0.02684303515</v>
      </c>
      <c r="Q2764" s="373">
        <f>IPMT('Assumptions (T&amp;D) old'!$B$100,Model!AA$1,'Assumptions (T&amp;D) old'!$B$103,Model!$M$2699)</f>
        <v>-0.02513205509</v>
      </c>
      <c r="R2764" s="373">
        <f>IPMT('Assumptions (T&amp;D) old'!$B$100,Model!AB$1,'Assumptions (T&amp;D) old'!$B$103,Model!$M$2699)</f>
        <v>-0.02333980348</v>
      </c>
      <c r="S2764" s="373">
        <f>IPMT('Assumptions (T&amp;D) old'!$B$100,Model!AC$1,'Assumptions (T&amp;D) old'!$B$103,Model!$M$2699)</f>
        <v>-0.02146241992</v>
      </c>
      <c r="T2764" s="373">
        <f>IPMT('Assumptions (T&amp;D) old'!$B$100,Model!AD$1,'Assumptions (T&amp;D) old'!$B$103,Model!$M$2699)</f>
        <v>-0.01949586065</v>
      </c>
      <c r="U2764" s="373">
        <f>IPMT('Assumptions (T&amp;D) old'!$B$100,Model!AE$1,'Assumptions (T&amp;D) old'!$B$103,Model!$M$2699)</f>
        <v>-0.0174358898</v>
      </c>
      <c r="V2764" s="373">
        <f>IPMT('Assumptions (T&amp;D) old'!$B$100,Model!AF$1,'Assumptions (T&amp;D) old'!$B$103,Model!$M$2699)</f>
        <v>-0.01527807034</v>
      </c>
      <c r="W2764" s="373">
        <f>IPMT('Assumptions (T&amp;D) old'!$B$100,Model!AG$1,'Assumptions (T&amp;D) old'!$B$103,Model!$M$2699)</f>
        <v>-0.01301775446</v>
      </c>
      <c r="X2764" s="373">
        <f>IPMT('Assumptions (T&amp;D) old'!$B$100,Model!AH$1,'Assumptions (T&amp;D) old'!$B$103,Model!$M$2699)</f>
        <v>-0.01065007357</v>
      </c>
      <c r="Y2764" s="373">
        <f>IPMT('Assumptions (T&amp;D) old'!$B$100,Model!AI$1,'Assumptions (T&amp;D) old'!$B$103,Model!$M$2699)</f>
        <v>-0.008169927841</v>
      </c>
      <c r="Z2764" s="373">
        <f>IPMT('Assumptions (T&amp;D) old'!$B$100,Model!AJ$1,'Assumptions (T&amp;D) old'!$B$103,Model!$M$2699)</f>
        <v>-0.005571975188</v>
      </c>
      <c r="AA2764" s="373">
        <f>IPMT('Assumptions (T&amp;D) old'!$B$100,Model!AK$1,'Assumptions (T&amp;D) old'!$B$103,Model!$M$2699)</f>
        <v>-0.002850619785</v>
      </c>
      <c r="AB2764" s="374"/>
      <c r="AC2764" s="374"/>
      <c r="AD2764" s="374"/>
      <c r="AE2764" s="374"/>
      <c r="AF2764" s="374"/>
      <c r="AG2764" s="374"/>
      <c r="AH2764" s="374"/>
      <c r="AI2764" s="374"/>
      <c r="AJ2764" s="374"/>
      <c r="AK2764" s="374"/>
      <c r="AL2764" s="32"/>
      <c r="AM2764" s="32"/>
      <c r="AN2764" s="32"/>
      <c r="AO2764" s="32"/>
      <c r="AP2764" s="32"/>
      <c r="AQ2764" s="32"/>
      <c r="AR2764" s="32"/>
      <c r="AS2764" s="32"/>
      <c r="AT2764" s="32"/>
      <c r="AU2764" s="32"/>
      <c r="AV2764" s="32"/>
      <c r="AW2764" s="32"/>
      <c r="AX2764" s="32"/>
      <c r="AY2764" s="32"/>
      <c r="AZ2764" s="32"/>
      <c r="BA2764" s="32"/>
      <c r="BB2764" s="32"/>
      <c r="BC2764" s="32"/>
      <c r="BD2764" s="32"/>
      <c r="BE2764" s="32"/>
      <c r="BF2764" s="32"/>
      <c r="BG2764" s="32"/>
      <c r="BH2764" s="32"/>
      <c r="BI2764" s="32"/>
      <c r="BJ2764" s="32"/>
      <c r="BK2764" s="32"/>
      <c r="BL2764" s="32"/>
      <c r="BM2764" s="32"/>
      <c r="BN2764" s="32"/>
      <c r="BO2764" s="32"/>
      <c r="BP2764" s="32"/>
      <c r="BQ2764" s="32"/>
      <c r="BR2764" s="32"/>
      <c r="BS2764" s="32"/>
      <c r="BT2764" s="32"/>
      <c r="BU2764" s="32"/>
      <c r="BV2764" s="32"/>
      <c r="BW2764" s="32"/>
      <c r="BX2764" s="32"/>
      <c r="BY2764" s="32"/>
      <c r="BZ2764" s="32"/>
      <c r="CA2764" s="32"/>
      <c r="CB2764" s="32"/>
      <c r="CC2764" s="32"/>
      <c r="CD2764" s="32"/>
    </row>
    <row r="2765" ht="15.75" hidden="1" customHeight="1" outlineLevel="1">
      <c r="A2765" s="365"/>
      <c r="B2765" s="38"/>
      <c r="C2765" s="374"/>
      <c r="D2765" s="374"/>
      <c r="E2765" s="374"/>
      <c r="F2765" s="374"/>
      <c r="G2765" s="374"/>
      <c r="H2765" s="374"/>
      <c r="I2765" s="374"/>
      <c r="J2765" s="374"/>
      <c r="K2765" s="374"/>
      <c r="L2765" s="374"/>
      <c r="M2765" s="374"/>
      <c r="N2765" s="373">
        <f>IPMT('Assumptions (T&amp;D) old'!$B$100,Model!W$1,'Assumptions (T&amp;D) old'!$B$103,Model!$N$2699)</f>
        <v>-0.03604652023</v>
      </c>
      <c r="O2765" s="373">
        <f>IPMT('Assumptions (T&amp;D) old'!$B$100,Model!X$1,'Assumptions (T&amp;D) old'!$B$103,Model!$N$2699)</f>
        <v>-0.03434436265</v>
      </c>
      <c r="P2765" s="373">
        <f>IPMT('Assumptions (T&amp;D) old'!$B$100,Model!Y$1,'Assumptions (T&amp;D) old'!$B$103,Model!$N$2699)</f>
        <v>-0.03256135259</v>
      </c>
      <c r="Q2765" s="373">
        <f>IPMT('Assumptions (T&amp;D) old'!$B$100,Model!Z$1,'Assumptions (T&amp;D) old'!$B$103,Model!$N$2699)</f>
        <v>-0.03069364955</v>
      </c>
      <c r="R2765" s="373">
        <f>IPMT('Assumptions (T&amp;D) old'!$B$100,Model!AA$1,'Assumptions (T&amp;D) old'!$B$103,Model!$N$2699)</f>
        <v>-0.02873723061</v>
      </c>
      <c r="S2765" s="373">
        <f>IPMT('Assumptions (T&amp;D) old'!$B$100,Model!AB$1,'Assumptions (T&amp;D) old'!$B$103,Model!$N$2699)</f>
        <v>-0.02668788178</v>
      </c>
      <c r="T2765" s="373">
        <f>IPMT('Assumptions (T&amp;D) old'!$B$100,Model!AC$1,'Assumptions (T&amp;D) old'!$B$103,Model!$N$2699)</f>
        <v>-0.02454118888</v>
      </c>
      <c r="U2765" s="373">
        <f>IPMT('Assumptions (T&amp;D) old'!$B$100,Model!AD$1,'Assumptions (T&amp;D) old'!$B$103,Model!$N$2699)</f>
        <v>-0.02229252806</v>
      </c>
      <c r="V2765" s="373">
        <f>IPMT('Assumptions (T&amp;D) old'!$B$100,Model!AE$1,'Assumptions (T&amp;D) old'!$B$103,Model!$N$2699)</f>
        <v>-0.01993705586</v>
      </c>
      <c r="W2765" s="373">
        <f>IPMT('Assumptions (T&amp;D) old'!$B$100,Model!AF$1,'Assumptions (T&amp;D) old'!$B$103,Model!$N$2699)</f>
        <v>-0.01746969872</v>
      </c>
      <c r="X2765" s="373">
        <f>IPMT('Assumptions (T&amp;D) old'!$B$100,Model!AG$1,'Assumptions (T&amp;D) old'!$B$103,Model!$N$2699)</f>
        <v>-0.01488514213</v>
      </c>
      <c r="Y2765" s="373">
        <f>IPMT('Assumptions (T&amp;D) old'!$B$100,Model!AH$1,'Assumptions (T&amp;D) old'!$B$103,Model!$N$2699)</f>
        <v>-0.01217781909</v>
      </c>
      <c r="Z2765" s="373">
        <f>IPMT('Assumptions (T&amp;D) old'!$B$100,Model!AI$1,'Assumptions (T&amp;D) old'!$B$103,Model!$N$2699)</f>
        <v>-0.009341898209</v>
      </c>
      <c r="AA2765" s="373">
        <f>IPMT('Assumptions (T&amp;D) old'!$B$100,Model!AJ$1,'Assumptions (T&amp;D) old'!$B$103,Model!$N$2699)</f>
        <v>-0.006371271087</v>
      </c>
      <c r="AB2765" s="373">
        <f>IPMT('Assumptions (T&amp;D) old'!$B$100,Model!AK$1,'Assumptions (T&amp;D) old'!$B$103,Model!$N$2699)</f>
        <v>-0.003259539176</v>
      </c>
      <c r="AC2765" s="374"/>
      <c r="AD2765" s="374"/>
      <c r="AE2765" s="374"/>
      <c r="AF2765" s="374"/>
      <c r="AG2765" s="374"/>
      <c r="AH2765" s="374"/>
      <c r="AI2765" s="374"/>
      <c r="AJ2765" s="374"/>
      <c r="AK2765" s="374"/>
      <c r="AL2765" s="374"/>
      <c r="AM2765" s="32"/>
      <c r="AN2765" s="32"/>
      <c r="AO2765" s="32"/>
      <c r="AP2765" s="32"/>
      <c r="AQ2765" s="32"/>
      <c r="AR2765" s="32"/>
      <c r="AS2765" s="32"/>
      <c r="AT2765" s="32"/>
      <c r="AU2765" s="32"/>
      <c r="AV2765" s="32"/>
      <c r="AW2765" s="32"/>
      <c r="AX2765" s="32"/>
      <c r="AY2765" s="32"/>
      <c r="AZ2765" s="32"/>
      <c r="BA2765" s="32"/>
      <c r="BB2765" s="32"/>
      <c r="BC2765" s="32"/>
      <c r="BD2765" s="32"/>
      <c r="BE2765" s="32"/>
      <c r="BF2765" s="32"/>
      <c r="BG2765" s="32"/>
      <c r="BH2765" s="32"/>
      <c r="BI2765" s="32"/>
      <c r="BJ2765" s="32"/>
      <c r="BK2765" s="32"/>
      <c r="BL2765" s="32"/>
      <c r="BM2765" s="32"/>
      <c r="BN2765" s="32"/>
      <c r="BO2765" s="32"/>
      <c r="BP2765" s="32"/>
      <c r="BQ2765" s="32"/>
      <c r="BR2765" s="32"/>
      <c r="BS2765" s="32"/>
      <c r="BT2765" s="32"/>
      <c r="BU2765" s="32"/>
      <c r="BV2765" s="32"/>
      <c r="BW2765" s="32"/>
      <c r="BX2765" s="32"/>
      <c r="BY2765" s="32"/>
      <c r="BZ2765" s="32"/>
      <c r="CA2765" s="32"/>
      <c r="CB2765" s="32"/>
      <c r="CC2765" s="32"/>
      <c r="CD2765" s="32"/>
    </row>
    <row r="2766" ht="15.75" hidden="1" customHeight="1" outlineLevel="1">
      <c r="A2766" s="365"/>
      <c r="B2766" s="38"/>
      <c r="C2766" s="374"/>
      <c r="D2766" s="374"/>
      <c r="E2766" s="374"/>
      <c r="F2766" s="374"/>
      <c r="G2766" s="374"/>
      <c r="H2766" s="374"/>
      <c r="I2766" s="374"/>
      <c r="J2766" s="374"/>
      <c r="K2766" s="374"/>
      <c r="L2766" s="374"/>
      <c r="M2766" s="374"/>
      <c r="N2766" s="374"/>
      <c r="O2766" s="373">
        <f>IPMT('Assumptions (T&amp;D) old'!$B$100,Model!W$1,'Assumptions (T&amp;D) old'!$B$103,Model!$O$2699)</f>
        <v>-0.03855529518</v>
      </c>
      <c r="P2766" s="373">
        <f>IPMT('Assumptions (T&amp;D) old'!$B$100,Model!X$1,'Assumptions (T&amp;D) old'!$B$103,Model!$O$2699)</f>
        <v>-0.0367346704</v>
      </c>
      <c r="Q2766" s="373">
        <f>IPMT('Assumptions (T&amp;D) old'!$B$100,Model!Y$1,'Assumptions (T&amp;D) old'!$B$103,Model!$O$2699)</f>
        <v>-0.03482756595</v>
      </c>
      <c r="R2766" s="373">
        <f>IPMT('Assumptions (T&amp;D) old'!$B$100,Model!Z$1,'Assumptions (T&amp;D) old'!$B$103,Model!$O$2699)</f>
        <v>-0.03282987404</v>
      </c>
      <c r="S2766" s="373">
        <f>IPMT('Assumptions (T&amp;D) old'!$B$100,Model!AA$1,'Assumptions (T&amp;D) old'!$B$103,Model!$O$2699)</f>
        <v>-0.03073729176</v>
      </c>
      <c r="T2766" s="373">
        <f>IPMT('Assumptions (T&amp;D) old'!$B$100,Model!AB$1,'Assumptions (T&amp;D) old'!$B$103,Model!$O$2699)</f>
        <v>-0.02854531182</v>
      </c>
      <c r="U2766" s="373">
        <f>IPMT('Assumptions (T&amp;D) old'!$B$100,Model!AC$1,'Assumptions (T&amp;D) old'!$B$103,Model!$O$2699)</f>
        <v>-0.02624921283</v>
      </c>
      <c r="V2766" s="373">
        <f>IPMT('Assumptions (T&amp;D) old'!$B$100,Model!AD$1,'Assumptions (T&amp;D) old'!$B$103,Model!$O$2699)</f>
        <v>-0.02384404914</v>
      </c>
      <c r="W2766" s="373">
        <f>IPMT('Assumptions (T&amp;D) old'!$B$100,Model!AE$1,'Assumptions (T&amp;D) old'!$B$103,Model!$O$2699)</f>
        <v>-0.02132464018</v>
      </c>
      <c r="X2766" s="373">
        <f>IPMT('Assumptions (T&amp;D) old'!$B$100,Model!AF$1,'Assumptions (T&amp;D) old'!$B$103,Model!$O$2699)</f>
        <v>-0.01868555929</v>
      </c>
      <c r="Y2766" s="373">
        <f>IPMT('Assumptions (T&amp;D) old'!$B$100,Model!AG$1,'Assumptions (T&amp;D) old'!$B$103,Model!$O$2699)</f>
        <v>-0.01592112206</v>
      </c>
      <c r="Z2766" s="373">
        <f>IPMT('Assumptions (T&amp;D) old'!$B$100,Model!AH$1,'Assumptions (T&amp;D) old'!$B$103,Model!$O$2699)</f>
        <v>-0.01302537406</v>
      </c>
      <c r="AA2766" s="373">
        <f>IPMT('Assumptions (T&amp;D) old'!$B$100,Model!AI$1,'Assumptions (T&amp;D) old'!$B$103,Model!$O$2699)</f>
        <v>-0.009992078035</v>
      </c>
      <c r="AB2766" s="373">
        <f>IPMT('Assumptions (T&amp;D) old'!$B$100,Model!AJ$1,'Assumptions (T&amp;D) old'!$B$103,Model!$O$2699)</f>
        <v>-0.006814700445</v>
      </c>
      <c r="AC2766" s="373">
        <f>IPMT('Assumptions (T&amp;D) old'!$B$100,Model!AK$1,'Assumptions (T&amp;D) old'!$B$103,Model!$O$2699)</f>
        <v>-0.003486397419</v>
      </c>
      <c r="AD2766" s="374"/>
      <c r="AE2766" s="374"/>
      <c r="AF2766" s="374"/>
      <c r="AG2766" s="374"/>
      <c r="AH2766" s="374"/>
      <c r="AI2766" s="374"/>
      <c r="AJ2766" s="374"/>
      <c r="AK2766" s="374"/>
      <c r="AL2766" s="374"/>
      <c r="AM2766" s="374"/>
      <c r="AN2766" s="32"/>
      <c r="AO2766" s="32"/>
      <c r="AP2766" s="32"/>
      <c r="AQ2766" s="32"/>
      <c r="AR2766" s="32"/>
      <c r="AS2766" s="32"/>
      <c r="AT2766" s="32"/>
      <c r="AU2766" s="32"/>
      <c r="AV2766" s="32"/>
      <c r="AW2766" s="32"/>
      <c r="AX2766" s="32"/>
      <c r="AY2766" s="32"/>
      <c r="AZ2766" s="32"/>
      <c r="BA2766" s="32"/>
      <c r="BB2766" s="32"/>
      <c r="BC2766" s="32"/>
      <c r="BD2766" s="32"/>
      <c r="BE2766" s="32"/>
      <c r="BF2766" s="32"/>
      <c r="BG2766" s="32"/>
      <c r="BH2766" s="32"/>
      <c r="BI2766" s="32"/>
      <c r="BJ2766" s="32"/>
      <c r="BK2766" s="32"/>
      <c r="BL2766" s="32"/>
      <c r="BM2766" s="32"/>
      <c r="BN2766" s="32"/>
      <c r="BO2766" s="32"/>
      <c r="BP2766" s="32"/>
      <c r="BQ2766" s="32"/>
      <c r="BR2766" s="32"/>
      <c r="BS2766" s="32"/>
      <c r="BT2766" s="32"/>
      <c r="BU2766" s="32"/>
      <c r="BV2766" s="32"/>
      <c r="BW2766" s="32"/>
      <c r="BX2766" s="32"/>
      <c r="BY2766" s="32"/>
      <c r="BZ2766" s="32"/>
      <c r="CA2766" s="32"/>
      <c r="CB2766" s="32"/>
      <c r="CC2766" s="32"/>
      <c r="CD2766" s="32"/>
    </row>
    <row r="2767" ht="15.75" hidden="1" customHeight="1" outlineLevel="1">
      <c r="A2767" s="365"/>
      <c r="B2767" s="38"/>
      <c r="C2767" s="374"/>
      <c r="D2767" s="374"/>
      <c r="E2767" s="374"/>
      <c r="F2767" s="374"/>
      <c r="G2767" s="374"/>
      <c r="H2767" s="374"/>
      <c r="I2767" s="374"/>
      <c r="J2767" s="374"/>
      <c r="K2767" s="374"/>
      <c r="L2767" s="374"/>
      <c r="M2767" s="374"/>
      <c r="N2767" s="374"/>
      <c r="O2767" s="374"/>
      <c r="P2767" s="373">
        <f>IPMT('Assumptions (T&amp;D) old'!$B$100,Model!W$1,'Assumptions (T&amp;D) old'!$B$103,Model!$P$2699)</f>
        <v>-0.04549451137</v>
      </c>
      <c r="Q2767" s="373">
        <f>IPMT('Assumptions (T&amp;D) old'!$B$100,Model!X$1,'Assumptions (T&amp;D) old'!$B$103,Model!$P$2699)</f>
        <v>-0.04334620894</v>
      </c>
      <c r="R2767" s="373">
        <f>IPMT('Assumptions (T&amp;D) old'!$B$100,Model!Y$1,'Assumptions (T&amp;D) old'!$B$103,Model!$P$2699)</f>
        <v>-0.04109586213</v>
      </c>
      <c r="S2767" s="373">
        <f>IPMT('Assumptions (T&amp;D) old'!$B$100,Model!Z$1,'Assumptions (T&amp;D) old'!$B$103,Model!$P$2699)</f>
        <v>-0.03873862386</v>
      </c>
      <c r="T2767" s="373">
        <f>IPMT('Assumptions (T&amp;D) old'!$B$100,Model!AA$1,'Assumptions (T&amp;D) old'!$B$103,Model!$P$2699)</f>
        <v>-0.03626941676</v>
      </c>
      <c r="U2767" s="373">
        <f>IPMT('Assumptions (T&amp;D) old'!$B$100,Model!AB$1,'Assumptions (T&amp;D) old'!$B$103,Model!$P$2699)</f>
        <v>-0.03368292233</v>
      </c>
      <c r="V2767" s="373">
        <f>IPMT('Assumptions (T&amp;D) old'!$B$100,Model!AC$1,'Assumptions (T&amp;D) old'!$B$103,Model!$P$2699)</f>
        <v>-0.03097356942</v>
      </c>
      <c r="W2767" s="373">
        <f>IPMT('Assumptions (T&amp;D) old'!$B$100,Model!AD$1,'Assumptions (T&amp;D) old'!$B$103,Model!$P$2699)</f>
        <v>-0.02813552224</v>
      </c>
      <c r="X2767" s="373">
        <f>IPMT('Assumptions (T&amp;D) old'!$B$100,Model!AE$1,'Assumptions (T&amp;D) old'!$B$103,Model!$P$2699)</f>
        <v>-0.02516266782</v>
      </c>
      <c r="Y2767" s="373">
        <f>IPMT('Assumptions (T&amp;D) old'!$B$100,Model!AF$1,'Assumptions (T&amp;D) old'!$B$103,Model!$P$2699)</f>
        <v>-0.02204860281</v>
      </c>
      <c r="Z2767" s="373">
        <f>IPMT('Assumptions (T&amp;D) old'!$B$100,Model!AG$1,'Assumptions (T&amp;D) old'!$B$103,Model!$P$2699)</f>
        <v>-0.01878661972</v>
      </c>
      <c r="AA2767" s="373">
        <f>IPMT('Assumptions (T&amp;D) old'!$B$100,Model!AH$1,'Assumptions (T&amp;D) old'!$B$103,Model!$P$2699)</f>
        <v>-0.01536969243</v>
      </c>
      <c r="AB2767" s="373">
        <f>IPMT('Assumptions (T&amp;D) old'!$B$100,Model!AI$1,'Assumptions (T&amp;D) old'!$B$103,Model!$P$2699)</f>
        <v>-0.01179046109</v>
      </c>
      <c r="AC2767" s="373">
        <f>IPMT('Assumptions (T&amp;D) old'!$B$100,Model!AJ$1,'Assumptions (T&amp;D) old'!$B$103,Model!$P$2699)</f>
        <v>-0.00804121627</v>
      </c>
      <c r="AD2767" s="373">
        <f>IPMT('Assumptions (T&amp;D) old'!$B$100,Model!AK$1,'Assumptions (T&amp;D) old'!$B$103,Model!$P$2699)</f>
        <v>-0.004113882317</v>
      </c>
      <c r="AE2767" s="374"/>
      <c r="AF2767" s="374"/>
      <c r="AG2767" s="374"/>
      <c r="AH2767" s="374"/>
      <c r="AI2767" s="374"/>
      <c r="AJ2767" s="374"/>
      <c r="AK2767" s="374"/>
      <c r="AL2767" s="374"/>
      <c r="AM2767" s="374"/>
      <c r="AN2767" s="374"/>
      <c r="AO2767" s="32"/>
      <c r="AP2767" s="32"/>
      <c r="AQ2767" s="32"/>
      <c r="AR2767" s="32"/>
      <c r="AS2767" s="32"/>
      <c r="AT2767" s="32"/>
      <c r="AU2767" s="32"/>
      <c r="AV2767" s="32"/>
      <c r="AW2767" s="32"/>
      <c r="AX2767" s="32"/>
      <c r="AY2767" s="32"/>
      <c r="AZ2767" s="32"/>
      <c r="BA2767" s="32"/>
      <c r="BB2767" s="32"/>
      <c r="BC2767" s="32"/>
      <c r="BD2767" s="32"/>
      <c r="BE2767" s="32"/>
      <c r="BF2767" s="32"/>
      <c r="BG2767" s="32"/>
      <c r="BH2767" s="32"/>
      <c r="BI2767" s="32"/>
      <c r="BJ2767" s="32"/>
      <c r="BK2767" s="32"/>
      <c r="BL2767" s="32"/>
      <c r="BM2767" s="32"/>
      <c r="BN2767" s="32"/>
      <c r="BO2767" s="32"/>
      <c r="BP2767" s="32"/>
      <c r="BQ2767" s="32"/>
      <c r="BR2767" s="32"/>
      <c r="BS2767" s="32"/>
      <c r="BT2767" s="32"/>
      <c r="BU2767" s="32"/>
      <c r="BV2767" s="32"/>
      <c r="BW2767" s="32"/>
      <c r="BX2767" s="32"/>
      <c r="BY2767" s="32"/>
      <c r="BZ2767" s="32"/>
      <c r="CA2767" s="32"/>
      <c r="CB2767" s="32"/>
      <c r="CC2767" s="32"/>
      <c r="CD2767" s="32"/>
    </row>
    <row r="2768" ht="15.75" hidden="1" customHeight="1" outlineLevel="1">
      <c r="A2768" s="365"/>
      <c r="B2768" s="38"/>
      <c r="C2768" s="374"/>
      <c r="D2768" s="374"/>
      <c r="E2768" s="374"/>
      <c r="F2768" s="374"/>
      <c r="G2768" s="374"/>
      <c r="H2768" s="374"/>
      <c r="I2768" s="374"/>
      <c r="J2768" s="374"/>
      <c r="K2768" s="374"/>
      <c r="L2768" s="374"/>
      <c r="M2768" s="374"/>
      <c r="N2768" s="374"/>
      <c r="O2768" s="374"/>
      <c r="P2768" s="374"/>
      <c r="Q2768" s="373">
        <f>IPMT('Assumptions (T&amp;D) old'!$B$100,Model!W$1,'Assumptions (T&amp;D) old'!$B$103,Model!$Q$2699)</f>
        <v>-0.04084188661</v>
      </c>
      <c r="R2768" s="373">
        <f>IPMT('Assumptions (T&amp;D) old'!$B$100,Model!X$1,'Assumptions (T&amp;D) old'!$B$103,Model!$Q$2699)</f>
        <v>-0.03891328639</v>
      </c>
      <c r="S2768" s="373">
        <f>IPMT('Assumptions (T&amp;D) old'!$B$100,Model!Y$1,'Assumptions (T&amp;D) old'!$B$103,Model!$Q$2699)</f>
        <v>-0.03689307767</v>
      </c>
      <c r="T2768" s="373">
        <f>IPMT('Assumptions (T&amp;D) old'!$B$100,Model!Z$1,'Assumptions (T&amp;D) old'!$B$103,Model!$Q$2699)</f>
        <v>-0.03477690902</v>
      </c>
      <c r="U2768" s="373">
        <f>IPMT('Assumptions (T&amp;D) old'!$B$100,Model!AA$1,'Assumptions (T&amp;D) old'!$B$103,Model!$Q$2699)</f>
        <v>-0.03256022237</v>
      </c>
      <c r="V2768" s="373">
        <f>IPMT('Assumptions (T&amp;D) old'!$B$100,Model!AB$1,'Assumptions (T&amp;D) old'!$B$103,Model!$Q$2699)</f>
        <v>-0.0302382431</v>
      </c>
      <c r="W2768" s="373">
        <f>IPMT('Assumptions (T&amp;D) old'!$B$100,Model!AC$1,'Assumptions (T&amp;D) old'!$B$103,Model!$Q$2699)</f>
        <v>-0.02780596982</v>
      </c>
      <c r="X2768" s="373">
        <f>IPMT('Assumptions (T&amp;D) old'!$B$100,Model!AD$1,'Assumptions (T&amp;D) old'!$B$103,Model!$Q$2699)</f>
        <v>-0.02525816355</v>
      </c>
      <c r="Y2768" s="373">
        <f>IPMT('Assumptions (T&amp;D) old'!$B$100,Model!AE$1,'Assumptions (T&amp;D) old'!$B$103,Model!$Q$2699)</f>
        <v>-0.02258933649</v>
      </c>
      <c r="Z2768" s="373">
        <f>IPMT('Assumptions (T&amp;D) old'!$B$100,Model!AF$1,'Assumptions (T&amp;D) old'!$B$103,Model!$Q$2699)</f>
        <v>-0.01979374014</v>
      </c>
      <c r="AA2768" s="373">
        <f>IPMT('Assumptions (T&amp;D) old'!$B$100,Model!AG$1,'Assumptions (T&amp;D) old'!$B$103,Model!$Q$2699)</f>
        <v>-0.01686535297</v>
      </c>
      <c r="AB2768" s="373">
        <f>IPMT('Assumptions (T&amp;D) old'!$B$100,Model!AH$1,'Assumptions (T&amp;D) old'!$B$103,Model!$Q$2699)</f>
        <v>-0.0137978674</v>
      </c>
      <c r="AC2768" s="373">
        <f>IPMT('Assumptions (T&amp;D) old'!$B$100,Model!AI$1,'Assumptions (T&amp;D) old'!$B$103,Model!$Q$2699)</f>
        <v>-0.01058467627</v>
      </c>
      <c r="AD2768" s="373">
        <f>IPMT('Assumptions (T&amp;D) old'!$B$100,Model!AJ$1,'Assumptions (T&amp;D) old'!$B$103,Model!$Q$2699)</f>
        <v>-0.007218858566</v>
      </c>
      <c r="AE2768" s="373">
        <f>IPMT('Assumptions (T&amp;D) old'!$B$100,Model!AK$1,'Assumptions (T&amp;D) old'!$B$103,Model!$Q$2699)</f>
        <v>-0.003693164517</v>
      </c>
      <c r="AF2768" s="374"/>
      <c r="AG2768" s="374"/>
      <c r="AH2768" s="374"/>
      <c r="AI2768" s="374"/>
      <c r="AJ2768" s="374"/>
      <c r="AK2768" s="374"/>
      <c r="AL2768" s="374"/>
      <c r="AM2768" s="374"/>
      <c r="AN2768" s="374"/>
      <c r="AO2768" s="374"/>
      <c r="AP2768" s="32"/>
      <c r="AQ2768" s="32"/>
      <c r="AR2768" s="32"/>
      <c r="AS2768" s="32"/>
      <c r="AT2768" s="32"/>
      <c r="AU2768" s="32"/>
      <c r="AV2768" s="32"/>
      <c r="AW2768" s="32"/>
      <c r="AX2768" s="32"/>
      <c r="AY2768" s="32"/>
      <c r="AZ2768" s="32"/>
      <c r="BA2768" s="32"/>
      <c r="BB2768" s="32"/>
      <c r="BC2768" s="32"/>
      <c r="BD2768" s="32"/>
      <c r="BE2768" s="32"/>
      <c r="BF2768" s="32"/>
      <c r="BG2768" s="32"/>
      <c r="BH2768" s="32"/>
      <c r="BI2768" s="32"/>
      <c r="BJ2768" s="32"/>
      <c r="BK2768" s="32"/>
      <c r="BL2768" s="32"/>
      <c r="BM2768" s="32"/>
      <c r="BN2768" s="32"/>
      <c r="BO2768" s="32"/>
      <c r="BP2768" s="32"/>
      <c r="BQ2768" s="32"/>
      <c r="BR2768" s="32"/>
      <c r="BS2768" s="32"/>
      <c r="BT2768" s="32"/>
      <c r="BU2768" s="32"/>
      <c r="BV2768" s="32"/>
      <c r="BW2768" s="32"/>
      <c r="BX2768" s="32"/>
      <c r="BY2768" s="32"/>
      <c r="BZ2768" s="32"/>
      <c r="CA2768" s="32"/>
      <c r="CB2768" s="32"/>
      <c r="CC2768" s="32"/>
      <c r="CD2768" s="32"/>
    </row>
    <row r="2769" ht="15.75" hidden="1" customHeight="1" outlineLevel="1">
      <c r="A2769" s="365"/>
      <c r="B2769" s="38"/>
      <c r="C2769" s="374"/>
      <c r="D2769" s="374"/>
      <c r="E2769" s="374"/>
      <c r="F2769" s="374"/>
      <c r="G2769" s="374"/>
      <c r="H2769" s="374"/>
      <c r="I2769" s="374"/>
      <c r="J2769" s="374"/>
      <c r="K2769" s="374"/>
      <c r="L2769" s="374"/>
      <c r="M2769" s="374"/>
      <c r="N2769" s="374"/>
      <c r="O2769" s="374"/>
      <c r="P2769" s="374"/>
      <c r="Q2769" s="374"/>
      <c r="R2769" s="373">
        <f>IPMT('Assumptions (T&amp;D) old'!$B$100,Model!W$1,'Assumptions (T&amp;D) old'!$B$103,Model!$R$2699)</f>
        <v>-0.04076910951</v>
      </c>
      <c r="S2769" s="373">
        <f>IPMT('Assumptions (T&amp;D) old'!$B$100,Model!X$1,'Assumptions (T&amp;D) old'!$B$103,Model!$R$2699)</f>
        <v>-0.03884394591</v>
      </c>
      <c r="T2769" s="373">
        <f>IPMT('Assumptions (T&amp;D) old'!$B$100,Model!Y$1,'Assumptions (T&amp;D) old'!$B$103,Model!$R$2699)</f>
        <v>-0.03682733704</v>
      </c>
      <c r="U2769" s="373">
        <f>IPMT('Assumptions (T&amp;D) old'!$B$100,Model!Z$1,'Assumptions (T&amp;D) old'!$B$103,Model!$R$2699)</f>
        <v>-0.03471493924</v>
      </c>
      <c r="V2769" s="373">
        <f>IPMT('Assumptions (T&amp;D) old'!$B$100,Model!AA$1,'Assumptions (T&amp;D) old'!$B$103,Model!$R$2699)</f>
        <v>-0.03250220256</v>
      </c>
      <c r="W2769" s="373">
        <f>IPMT('Assumptions (T&amp;D) old'!$B$100,Model!AB$1,'Assumptions (T&amp;D) old'!$B$103,Model!$R$2699)</f>
        <v>-0.03018436088</v>
      </c>
      <c r="X2769" s="373">
        <f>IPMT('Assumptions (T&amp;D) old'!$B$100,Model!AC$1,'Assumptions (T&amp;D) old'!$B$103,Model!$R$2699)</f>
        <v>-0.02775642172</v>
      </c>
      <c r="Y2769" s="373">
        <f>IPMT('Assumptions (T&amp;D) old'!$B$100,Model!AD$1,'Assumptions (T&amp;D) old'!$B$103,Model!$R$2699)</f>
        <v>-0.02521315545</v>
      </c>
      <c r="Z2769" s="373">
        <f>IPMT('Assumptions (T&amp;D) old'!$B$100,Model!AE$1,'Assumptions (T&amp;D) old'!$B$103,Model!$R$2699)</f>
        <v>-0.02254908403</v>
      </c>
      <c r="AA2769" s="373">
        <f>IPMT('Assumptions (T&amp;D) old'!$B$100,Model!AF$1,'Assumptions (T&amp;D) old'!$B$103,Model!$R$2699)</f>
        <v>-0.01975846922</v>
      </c>
      <c r="AB2769" s="373">
        <f>IPMT('Assumptions (T&amp;D) old'!$B$100,Model!AG$1,'Assumptions (T&amp;D) old'!$B$103,Model!$R$2699)</f>
        <v>-0.01683530021</v>
      </c>
      <c r="AC2769" s="373">
        <f>IPMT('Assumptions (T&amp;D) old'!$B$100,Model!AH$1,'Assumptions (T&amp;D) old'!$B$103,Model!$R$2699)</f>
        <v>-0.01377328066</v>
      </c>
      <c r="AD2769" s="373">
        <f>IPMT('Assumptions (T&amp;D) old'!$B$100,Model!AI$1,'Assumptions (T&amp;D) old'!$B$103,Model!$R$2699)</f>
        <v>-0.01056581519</v>
      </c>
      <c r="AE2769" s="373">
        <f>IPMT('Assumptions (T&amp;D) old'!$B$100,Model!AJ$1,'Assumptions (T&amp;D) old'!$B$103,Model!$R$2699)</f>
        <v>-0.007205995115</v>
      </c>
      <c r="AF2769" s="373">
        <f>IPMT('Assumptions (T&amp;D) old'!$B$100,Model!AK$1,'Assumptions (T&amp;D) old'!$B$103,Model!$R$2699)</f>
        <v>-0.003686583581</v>
      </c>
      <c r="AG2769" s="374"/>
      <c r="AH2769" s="374"/>
      <c r="AI2769" s="374"/>
      <c r="AJ2769" s="374"/>
      <c r="AK2769" s="374"/>
      <c r="AL2769" s="374"/>
      <c r="AM2769" s="374"/>
      <c r="AN2769" s="374"/>
      <c r="AO2769" s="374"/>
      <c r="AP2769" s="374"/>
      <c r="AQ2769" s="32"/>
      <c r="AR2769" s="32"/>
      <c r="AS2769" s="32"/>
      <c r="AT2769" s="32"/>
      <c r="AU2769" s="32"/>
      <c r="AV2769" s="32"/>
      <c r="AW2769" s="32"/>
      <c r="AX2769" s="32"/>
      <c r="AY2769" s="32"/>
      <c r="AZ2769" s="32"/>
      <c r="BA2769" s="32"/>
      <c r="BB2769" s="32"/>
      <c r="BC2769" s="32"/>
      <c r="BD2769" s="32"/>
      <c r="BE2769" s="32"/>
      <c r="BF2769" s="32"/>
      <c r="BG2769" s="32"/>
      <c r="BH2769" s="32"/>
      <c r="BI2769" s="32"/>
      <c r="BJ2769" s="32"/>
      <c r="BK2769" s="32"/>
      <c r="BL2769" s="32"/>
      <c r="BM2769" s="32"/>
      <c r="BN2769" s="32"/>
      <c r="BO2769" s="32"/>
      <c r="BP2769" s="32"/>
      <c r="BQ2769" s="32"/>
      <c r="BR2769" s="32"/>
      <c r="BS2769" s="32"/>
      <c r="BT2769" s="32"/>
      <c r="BU2769" s="32"/>
      <c r="BV2769" s="32"/>
      <c r="BW2769" s="32"/>
      <c r="BX2769" s="32"/>
      <c r="BY2769" s="32"/>
      <c r="BZ2769" s="32"/>
      <c r="CA2769" s="32"/>
      <c r="CB2769" s="32"/>
      <c r="CC2769" s="32"/>
      <c r="CD2769" s="32"/>
    </row>
    <row r="2770" ht="15.75" hidden="1" customHeight="1" outlineLevel="1">
      <c r="A2770" s="365"/>
      <c r="B2770" s="38"/>
      <c r="C2770" s="374"/>
      <c r="D2770" s="374"/>
      <c r="E2770" s="374"/>
      <c r="F2770" s="374"/>
      <c r="G2770" s="374"/>
      <c r="H2770" s="374"/>
      <c r="I2770" s="374"/>
      <c r="J2770" s="374"/>
      <c r="K2770" s="374"/>
      <c r="L2770" s="374"/>
      <c r="M2770" s="374"/>
      <c r="N2770" s="374"/>
      <c r="O2770" s="374"/>
      <c r="P2770" s="374"/>
      <c r="Q2770" s="374"/>
      <c r="R2770" s="374"/>
      <c r="S2770" s="373">
        <f>IPMT('Assumptions (T&amp;D) old'!$B$100,Model!W$1,'Assumptions (T&amp;D) old'!$B$103,Model!$S$2699)</f>
        <v>-0.04187116448</v>
      </c>
      <c r="T2770" s="373">
        <f>IPMT('Assumptions (T&amp;D) old'!$B$100,Model!X$1,'Assumptions (T&amp;D) old'!$B$103,Model!$S$2699)</f>
        <v>-0.03989396059</v>
      </c>
      <c r="U2770" s="373">
        <f>IPMT('Assumptions (T&amp;D) old'!$B$100,Model!Y$1,'Assumptions (T&amp;D) old'!$B$103,Model!$S$2699)</f>
        <v>-0.03782283952</v>
      </c>
      <c r="V2770" s="373">
        <f>IPMT('Assumptions (T&amp;D) old'!$B$100,Model!Z$1,'Assumptions (T&amp;D) old'!$B$103,Model!$S$2699)</f>
        <v>-0.0356533402</v>
      </c>
      <c r="W2770" s="373">
        <f>IPMT('Assumptions (T&amp;D) old'!$B$100,Model!AA$1,'Assumptions (T&amp;D) old'!$B$103,Model!$S$2699)</f>
        <v>-0.03338078966</v>
      </c>
      <c r="X2770" s="373">
        <f>IPMT('Assumptions (T&amp;D) old'!$B$100,Model!AB$1,'Assumptions (T&amp;D) old'!$B$103,Model!$S$2699)</f>
        <v>-0.03100029297</v>
      </c>
      <c r="Y2770" s="373">
        <f>IPMT('Assumptions (T&amp;D) old'!$B$100,Model!AC$1,'Assumptions (T&amp;D) old'!$B$103,Model!$S$2699)</f>
        <v>-0.02850672269</v>
      </c>
      <c r="Z2770" s="373">
        <f>IPMT('Assumptions (T&amp;D) old'!$B$100,Model!AD$1,'Assumptions (T&amp;D) old'!$B$103,Model!$S$2699)</f>
        <v>-0.02589470782</v>
      </c>
      <c r="AA2770" s="373">
        <f>IPMT('Assumptions (T&amp;D) old'!$B$100,Model!AE$1,'Assumptions (T&amp;D) old'!$B$103,Model!$S$2699)</f>
        <v>-0.02315862224</v>
      </c>
      <c r="AB2770" s="373">
        <f>IPMT('Assumptions (T&amp;D) old'!$B$100,Model!AF$1,'Assumptions (T&amp;D) old'!$B$103,Model!$S$2699)</f>
        <v>-0.0202925726</v>
      </c>
      <c r="AC2770" s="373">
        <f>IPMT('Assumptions (T&amp;D) old'!$B$100,Model!AG$1,'Assumptions (T&amp;D) old'!$B$103,Model!$S$2699)</f>
        <v>-0.0172903856</v>
      </c>
      <c r="AD2770" s="373">
        <f>IPMT('Assumptions (T&amp;D) old'!$B$100,Model!AH$1,'Assumptions (T&amp;D) old'!$B$103,Model!$S$2699)</f>
        <v>-0.01414559472</v>
      </c>
      <c r="AE2770" s="373">
        <f>IPMT('Assumptions (T&amp;D) old'!$B$100,Model!AI$1,'Assumptions (T&amp;D) old'!$B$103,Model!$S$2699)</f>
        <v>-0.01085142627</v>
      </c>
      <c r="AF2770" s="373">
        <f>IPMT('Assumptions (T&amp;D) old'!$B$100,Model!AJ$1,'Assumptions (T&amp;D) old'!$B$103,Model!$S$2699)</f>
        <v>-0.007400784818</v>
      </c>
      <c r="AG2770" s="373">
        <f>IPMT('Assumptions (T&amp;D) old'!$B$100,Model!AK$1,'Assumptions (T&amp;D) old'!$B$103,Model!$S$2699)</f>
        <v>-0.003786237898</v>
      </c>
      <c r="AH2770" s="374"/>
      <c r="AI2770" s="374"/>
      <c r="AJ2770" s="374"/>
      <c r="AK2770" s="374"/>
      <c r="AL2770" s="374"/>
      <c r="AM2770" s="374"/>
      <c r="AN2770" s="374"/>
      <c r="AO2770" s="374"/>
      <c r="AP2770" s="374"/>
      <c r="AQ2770" s="374"/>
      <c r="AR2770" s="32"/>
      <c r="AS2770" s="32"/>
      <c r="AT2770" s="32"/>
      <c r="AU2770" s="32"/>
      <c r="AV2770" s="32"/>
      <c r="AW2770" s="32"/>
      <c r="AX2770" s="32"/>
      <c r="AY2770" s="32"/>
      <c r="AZ2770" s="32"/>
      <c r="BA2770" s="32"/>
      <c r="BB2770" s="32"/>
      <c r="BC2770" s="32"/>
      <c r="BD2770" s="32"/>
      <c r="BE2770" s="32"/>
      <c r="BF2770" s="32"/>
      <c r="BG2770" s="32"/>
      <c r="BH2770" s="32"/>
      <c r="BI2770" s="32"/>
      <c r="BJ2770" s="32"/>
      <c r="BK2770" s="32"/>
      <c r="BL2770" s="32"/>
      <c r="BM2770" s="32"/>
      <c r="BN2770" s="32"/>
      <c r="BO2770" s="32"/>
      <c r="BP2770" s="32"/>
      <c r="BQ2770" s="32"/>
      <c r="BR2770" s="32"/>
      <c r="BS2770" s="32"/>
      <c r="BT2770" s="32"/>
      <c r="BU2770" s="32"/>
      <c r="BV2770" s="32"/>
      <c r="BW2770" s="32"/>
      <c r="BX2770" s="32"/>
      <c r="BY2770" s="32"/>
      <c r="BZ2770" s="32"/>
      <c r="CA2770" s="32"/>
      <c r="CB2770" s="32"/>
      <c r="CC2770" s="32"/>
      <c r="CD2770" s="32"/>
    </row>
    <row r="2771" ht="15.75" hidden="1" customHeight="1" outlineLevel="1">
      <c r="A2771" s="365"/>
      <c r="B2771" s="38"/>
      <c r="C2771" s="374"/>
      <c r="D2771" s="374"/>
      <c r="E2771" s="374"/>
      <c r="F2771" s="374"/>
      <c r="G2771" s="374"/>
      <c r="H2771" s="374"/>
      <c r="I2771" s="374"/>
      <c r="J2771" s="374"/>
      <c r="K2771" s="374"/>
      <c r="L2771" s="374"/>
      <c r="M2771" s="374"/>
      <c r="N2771" s="374"/>
      <c r="O2771" s="374"/>
      <c r="P2771" s="374"/>
      <c r="Q2771" s="374"/>
      <c r="R2771" s="374"/>
      <c r="S2771" s="38"/>
      <c r="T2771" s="373">
        <f>IPMT('Assumptions (T&amp;D) old'!$B$100,Model!W$1,'Assumptions (T&amp;D) old'!$B$103,Model!$T$2699)</f>
        <v>-0.04446336472</v>
      </c>
      <c r="U2771" s="373">
        <f>IPMT('Assumptions (T&amp;D) old'!$B$100,Model!X$1,'Assumptions (T&amp;D) old'!$B$103,Model!$T$2699)</f>
        <v>-0.0423637542</v>
      </c>
      <c r="V2771" s="373">
        <f>IPMT('Assumptions (T&amp;D) old'!$B$100,Model!Y$1,'Assumptions (T&amp;D) old'!$B$103,Model!$T$2699)</f>
        <v>-0.04016441218</v>
      </c>
      <c r="W2771" s="373">
        <f>IPMT('Assumptions (T&amp;D) old'!$B$100,Model!Z$1,'Assumptions (T&amp;D) old'!$B$103,Model!$T$2699)</f>
        <v>-0.03786060141</v>
      </c>
      <c r="X2771" s="373">
        <f>IPMT('Assumptions (T&amp;D) old'!$B$100,Model!AA$1,'Assumptions (T&amp;D) old'!$B$103,Model!$T$2699)</f>
        <v>-0.03544735963</v>
      </c>
      <c r="Y2771" s="373">
        <f>IPMT('Assumptions (T&amp;D) old'!$B$100,Model!AB$1,'Assumptions (T&amp;D) old'!$B$103,Model!$T$2699)</f>
        <v>-0.03291948887</v>
      </c>
      <c r="Z2771" s="373">
        <f>IPMT('Assumptions (T&amp;D) old'!$B$100,Model!AC$1,'Assumptions (T&amp;D) old'!$B$103,Model!$T$2699)</f>
        <v>-0.03027154424</v>
      </c>
      <c r="AA2771" s="373">
        <f>IPMT('Assumptions (T&amp;D) old'!$B$100,Model!AD$1,'Assumptions (T&amp;D) old'!$B$103,Model!$T$2699)</f>
        <v>-0.02749782225</v>
      </c>
      <c r="AB2771" s="373">
        <f>IPMT('Assumptions (T&amp;D) old'!$B$100,Model!AE$1,'Assumptions (T&amp;D) old'!$B$103,Model!$T$2699)</f>
        <v>-0.02459234846</v>
      </c>
      <c r="AC2771" s="373">
        <f>IPMT('Assumptions (T&amp;D) old'!$B$100,Model!AF$1,'Assumptions (T&amp;D) old'!$B$103,Model!$T$2699)</f>
        <v>-0.02154886467</v>
      </c>
      <c r="AD2771" s="373">
        <f>IPMT('Assumptions (T&amp;D) old'!$B$100,Model!AG$1,'Assumptions (T&amp;D) old'!$B$103,Model!$T$2699)</f>
        <v>-0.01836081539</v>
      </c>
      <c r="AE2771" s="373">
        <f>IPMT('Assumptions (T&amp;D) old'!$B$100,Model!AH$1,'Assumptions (T&amp;D) old'!$B$103,Model!$T$2699)</f>
        <v>-0.01502133378</v>
      </c>
      <c r="AF2771" s="373">
        <f>IPMT('Assumptions (T&amp;D) old'!$B$100,Model!AI$1,'Assumptions (T&amp;D) old'!$B$103,Model!$T$2699)</f>
        <v>-0.01152322678</v>
      </c>
      <c r="AG2771" s="373">
        <f>IPMT('Assumptions (T&amp;D) old'!$B$100,Model!AJ$1,'Assumptions (T&amp;D) old'!$B$103,Model!$T$2699)</f>
        <v>-0.007858959709</v>
      </c>
      <c r="AH2771" s="373">
        <f>IPMT('Assumptions (T&amp;D) old'!$B$100,Model!AK$1,'Assumptions (T&amp;D) old'!$B$103,Model!$T$2699)</f>
        <v>-0.004020639949</v>
      </c>
      <c r="AI2771" s="374"/>
      <c r="AJ2771" s="374"/>
      <c r="AK2771" s="374"/>
      <c r="AL2771" s="374"/>
      <c r="AM2771" s="374"/>
      <c r="AN2771" s="374"/>
      <c r="AO2771" s="374"/>
      <c r="AP2771" s="374"/>
      <c r="AQ2771" s="374"/>
      <c r="AR2771" s="374"/>
      <c r="AS2771" s="32"/>
      <c r="AT2771" s="32"/>
      <c r="AU2771" s="32"/>
      <c r="AV2771" s="32"/>
      <c r="AW2771" s="32"/>
      <c r="AX2771" s="32"/>
      <c r="AY2771" s="32"/>
      <c r="AZ2771" s="32"/>
      <c r="BA2771" s="32"/>
      <c r="BB2771" s="32"/>
      <c r="BC2771" s="32"/>
      <c r="BD2771" s="32"/>
      <c r="BE2771" s="32"/>
      <c r="BF2771" s="32"/>
      <c r="BG2771" s="32"/>
      <c r="BH2771" s="32"/>
      <c r="BI2771" s="32"/>
      <c r="BJ2771" s="32"/>
      <c r="BK2771" s="32"/>
      <c r="BL2771" s="32"/>
      <c r="BM2771" s="32"/>
      <c r="BN2771" s="32"/>
      <c r="BO2771" s="32"/>
      <c r="BP2771" s="32"/>
      <c r="BQ2771" s="32"/>
      <c r="BR2771" s="32"/>
      <c r="BS2771" s="32"/>
      <c r="BT2771" s="32"/>
      <c r="BU2771" s="32"/>
      <c r="BV2771" s="32"/>
      <c r="BW2771" s="32"/>
      <c r="BX2771" s="32"/>
      <c r="BY2771" s="32"/>
      <c r="BZ2771" s="32"/>
      <c r="CA2771" s="32"/>
      <c r="CB2771" s="32"/>
      <c r="CC2771" s="32"/>
      <c r="CD2771" s="32"/>
    </row>
    <row r="2772" ht="15.75" hidden="1" customHeight="1" outlineLevel="1">
      <c r="A2772" s="365"/>
      <c r="B2772" s="38"/>
      <c r="C2772" s="374"/>
      <c r="D2772" s="374"/>
      <c r="E2772" s="374"/>
      <c r="F2772" s="374"/>
      <c r="G2772" s="374"/>
      <c r="H2772" s="374"/>
      <c r="I2772" s="374"/>
      <c r="J2772" s="374"/>
      <c r="K2772" s="374"/>
      <c r="L2772" s="374"/>
      <c r="M2772" s="374"/>
      <c r="N2772" s="374"/>
      <c r="O2772" s="374"/>
      <c r="P2772" s="374"/>
      <c r="Q2772" s="374"/>
      <c r="R2772" s="374"/>
      <c r="S2772" s="38"/>
      <c r="T2772" s="38"/>
      <c r="U2772" s="373">
        <f>IPMT('Assumptions (T&amp;D) old'!$B$100,Model!W$1,'Assumptions (T&amp;D) old'!$B$103,Model!$U$2699)</f>
        <v>-0.04502499676</v>
      </c>
      <c r="V2772" s="373">
        <f>IPMT('Assumptions (T&amp;D) old'!$B$100,Model!X$1,'Assumptions (T&amp;D) old'!$B$103,Model!$U$2699)</f>
        <v>-0.04289886534</v>
      </c>
      <c r="W2772" s="373">
        <f>IPMT('Assumptions (T&amp;D) old'!$B$100,Model!Y$1,'Assumptions (T&amp;D) old'!$B$103,Model!$U$2699)</f>
        <v>-0.04067174267</v>
      </c>
      <c r="X2772" s="373">
        <f>IPMT('Assumptions (T&amp;D) old'!$B$100,Model!Z$1,'Assumptions (T&amp;D) old'!$B$103,Model!$U$2699)</f>
        <v>-0.03833883168</v>
      </c>
      <c r="Y2772" s="373">
        <f>IPMT('Assumptions (T&amp;D) old'!$B$100,Model!AA$1,'Assumptions (T&amp;D) old'!$B$103,Model!$U$2699)</f>
        <v>-0.03589510741</v>
      </c>
      <c r="Z2772" s="373">
        <f>IPMT('Assumptions (T&amp;D) old'!$B$100,Model!AB$1,'Assumptions (T&amp;D) old'!$B$103,Model!$U$2699)</f>
        <v>-0.03333530625</v>
      </c>
      <c r="AA2772" s="373">
        <f>IPMT('Assumptions (T&amp;D) old'!$B$100,Model!AC$1,'Assumptions (T&amp;D) old'!$B$103,Model!$U$2699)</f>
        <v>-0.03065391452</v>
      </c>
      <c r="AB2772" s="373">
        <f>IPMT('Assumptions (T&amp;D) old'!$B$100,Model!AD$1,'Assumptions (T&amp;D) old'!$B$103,Model!$U$2699)</f>
        <v>-0.02784515669</v>
      </c>
      <c r="AC2772" s="373">
        <f>IPMT('Assumptions (T&amp;D) old'!$B$100,Model!AE$1,'Assumptions (T&amp;D) old'!$B$103,Model!$U$2699)</f>
        <v>-0.02490298286</v>
      </c>
      <c r="AD2772" s="373">
        <f>IPMT('Assumptions (T&amp;D) old'!$B$100,Model!AF$1,'Assumptions (T&amp;D) old'!$B$103,Model!$U$2699)</f>
        <v>-0.02182105578</v>
      </c>
      <c r="AE2772" s="373">
        <f>IPMT('Assumptions (T&amp;D) old'!$B$100,Model!AG$1,'Assumptions (T&amp;D) old'!$B$103,Model!$U$2699)</f>
        <v>-0.01859273716</v>
      </c>
      <c r="AF2772" s="373">
        <f>IPMT('Assumptions (T&amp;D) old'!$B$100,Model!AH$1,'Assumptions (T&amp;D) old'!$B$103,Model!$U$2699)</f>
        <v>-0.0152110734</v>
      </c>
      <c r="AG2772" s="373">
        <f>IPMT('Assumptions (T&amp;D) old'!$B$100,Model!AI$1,'Assumptions (T&amp;D) old'!$B$103,Model!$U$2699)</f>
        <v>-0.01166878062</v>
      </c>
      <c r="AH2772" s="373">
        <f>IPMT('Assumptions (T&amp;D) old'!$B$100,Model!AJ$1,'Assumptions (T&amp;D) old'!$B$103,Model!$U$2699)</f>
        <v>-0.00795822893</v>
      </c>
      <c r="AI2772" s="373">
        <f>IPMT('Assumptions (T&amp;D) old'!$B$100,Model!AK$1,'Assumptions (T&amp;D) old'!$B$103,Model!$U$2699)</f>
        <v>-0.004071426034</v>
      </c>
      <c r="AJ2772" s="374"/>
      <c r="AK2772" s="374"/>
      <c r="AL2772" s="374"/>
      <c r="AM2772" s="374"/>
      <c r="AN2772" s="374"/>
      <c r="AO2772" s="374"/>
      <c r="AP2772" s="374"/>
      <c r="AQ2772" s="374"/>
      <c r="AR2772" s="374"/>
      <c r="AS2772" s="374"/>
      <c r="AT2772" s="32"/>
      <c r="AU2772" s="32"/>
      <c r="AV2772" s="32"/>
      <c r="AW2772" s="32"/>
      <c r="AX2772" s="32"/>
      <c r="AY2772" s="32"/>
      <c r="AZ2772" s="32"/>
      <c r="BA2772" s="32"/>
      <c r="BB2772" s="32"/>
      <c r="BC2772" s="32"/>
      <c r="BD2772" s="32"/>
      <c r="BE2772" s="32"/>
      <c r="BF2772" s="32"/>
      <c r="BG2772" s="32"/>
      <c r="BH2772" s="32"/>
      <c r="BI2772" s="32"/>
      <c r="BJ2772" s="32"/>
      <c r="BK2772" s="32"/>
      <c r="BL2772" s="32"/>
      <c r="BM2772" s="32"/>
      <c r="BN2772" s="32"/>
      <c r="BO2772" s="32"/>
      <c r="BP2772" s="32"/>
      <c r="BQ2772" s="32"/>
      <c r="BR2772" s="32"/>
      <c r="BS2772" s="32"/>
      <c r="BT2772" s="32"/>
      <c r="BU2772" s="32"/>
      <c r="BV2772" s="32"/>
      <c r="BW2772" s="32"/>
      <c r="BX2772" s="32"/>
      <c r="BY2772" s="32"/>
      <c r="BZ2772" s="32"/>
      <c r="CA2772" s="32"/>
      <c r="CB2772" s="32"/>
      <c r="CC2772" s="32"/>
      <c r="CD2772" s="32"/>
    </row>
    <row r="2773" ht="15.75" hidden="1" customHeight="1" outlineLevel="1">
      <c r="A2773" s="365"/>
      <c r="B2773" s="38"/>
      <c r="C2773" s="374"/>
      <c r="D2773" s="374"/>
      <c r="E2773" s="374"/>
      <c r="F2773" s="374"/>
      <c r="G2773" s="374"/>
      <c r="H2773" s="374"/>
      <c r="I2773" s="374"/>
      <c r="J2773" s="374"/>
      <c r="K2773" s="374"/>
      <c r="L2773" s="374"/>
      <c r="M2773" s="374"/>
      <c r="N2773" s="374"/>
      <c r="O2773" s="374"/>
      <c r="P2773" s="374"/>
      <c r="Q2773" s="374"/>
      <c r="R2773" s="374"/>
      <c r="S2773" s="38"/>
      <c r="T2773" s="38"/>
      <c r="U2773" s="38"/>
      <c r="V2773" s="373">
        <f>IPMT('Assumptions (T&amp;D) old'!$B$100,Model!W$1,'Assumptions (T&amp;D) old'!$B$103,Model!$V$2699)</f>
        <v>-0.0466687158</v>
      </c>
      <c r="W2773" s="373">
        <f>IPMT('Assumptions (T&amp;D) old'!$B$100,Model!X$1,'Assumptions (T&amp;D) old'!$B$103,Model!$V$2699)</f>
        <v>-0.0444649661</v>
      </c>
      <c r="X2773" s="373">
        <f>IPMT('Assumptions (T&amp;D) old'!$B$100,Model!Y$1,'Assumptions (T&amp;D) old'!$B$103,Model!$V$2699)</f>
        <v>-0.04215653828</v>
      </c>
      <c r="Y2773" s="373">
        <f>IPMT('Assumptions (T&amp;D) old'!$B$100,Model!Z$1,'Assumptions (T&amp;D) old'!$B$103,Model!$V$2699)</f>
        <v>-0.03973846015</v>
      </c>
      <c r="Z2773" s="373">
        <f>IPMT('Assumptions (T&amp;D) old'!$B$100,Model!AA$1,'Assumptions (T&amp;D) old'!$B$103,Model!$V$2699)</f>
        <v>-0.03720552331</v>
      </c>
      <c r="AA2773" s="373">
        <f>IPMT('Assumptions (T&amp;D) old'!$B$100,Model!AB$1,'Assumptions (T&amp;D) old'!$B$103,Model!$V$2699)</f>
        <v>-0.03455227196</v>
      </c>
      <c r="AB2773" s="373">
        <f>IPMT('Assumptions (T&amp;D) old'!$B$100,Model!AC$1,'Assumptions (T&amp;D) old'!$B$103,Model!$V$2699)</f>
        <v>-0.03177299118</v>
      </c>
      <c r="AC2773" s="373">
        <f>IPMT('Assumptions (T&amp;D) old'!$B$100,Model!AD$1,'Assumptions (T&amp;D) old'!$B$103,Model!$V$2699)</f>
        <v>-0.02886169456</v>
      </c>
      <c r="AD2773" s="373">
        <f>IPMT('Assumptions (T&amp;D) old'!$B$100,Model!AE$1,'Assumptions (T&amp;D) old'!$B$103,Model!$V$2699)</f>
        <v>-0.02581211135</v>
      </c>
      <c r="AE2773" s="373">
        <f>IPMT('Assumptions (T&amp;D) old'!$B$100,Model!AF$1,'Assumptions (T&amp;D) old'!$B$103,Model!$V$2699)</f>
        <v>-0.02261767293</v>
      </c>
      <c r="AF2773" s="373">
        <f>IPMT('Assumptions (T&amp;D) old'!$B$100,Model!AG$1,'Assumptions (T&amp;D) old'!$B$103,Model!$V$2699)</f>
        <v>-0.0192714987</v>
      </c>
      <c r="AG2773" s="373">
        <f>IPMT('Assumptions (T&amp;D) old'!$B$100,Model!AH$1,'Assumptions (T&amp;D) old'!$B$103,Model!$V$2699)</f>
        <v>-0.01576638118</v>
      </c>
      <c r="AH2773" s="373">
        <f>IPMT('Assumptions (T&amp;D) old'!$B$100,Model!AI$1,'Assumptions (T&amp;D) old'!$B$103,Model!$V$2699)</f>
        <v>-0.01209477059</v>
      </c>
      <c r="AI2773" s="373">
        <f>IPMT('Assumptions (T&amp;D) old'!$B$100,Model!AJ$1,'Assumptions (T&amp;D) old'!$B$103,Model!$V$2699)</f>
        <v>-0.008248758487</v>
      </c>
      <c r="AJ2773" s="373">
        <f>IPMT('Assumptions (T&amp;D) old'!$B$100,Model!AK$1,'Assumptions (T&amp;D) old'!$B$103,Model!$V$2699)</f>
        <v>-0.004220060813</v>
      </c>
      <c r="AK2773" s="374"/>
      <c r="AL2773" s="374"/>
      <c r="AM2773" s="374"/>
      <c r="AN2773" s="374"/>
      <c r="AO2773" s="374"/>
      <c r="AP2773" s="374"/>
      <c r="AQ2773" s="374"/>
      <c r="AR2773" s="374"/>
      <c r="AS2773" s="374"/>
      <c r="AT2773" s="374"/>
      <c r="AU2773" s="32"/>
      <c r="AV2773" s="32"/>
      <c r="AW2773" s="32"/>
      <c r="AX2773" s="32"/>
      <c r="AY2773" s="32"/>
      <c r="AZ2773" s="32"/>
      <c r="BA2773" s="32"/>
      <c r="BB2773" s="32"/>
      <c r="BC2773" s="32"/>
      <c r="BD2773" s="32"/>
      <c r="BE2773" s="32"/>
      <c r="BF2773" s="32"/>
      <c r="BG2773" s="32"/>
      <c r="BH2773" s="32"/>
      <c r="BI2773" s="32"/>
      <c r="BJ2773" s="32"/>
      <c r="BK2773" s="32"/>
      <c r="BL2773" s="32"/>
      <c r="BM2773" s="32"/>
      <c r="BN2773" s="32"/>
      <c r="BO2773" s="32"/>
      <c r="BP2773" s="32"/>
      <c r="BQ2773" s="32"/>
      <c r="BR2773" s="32"/>
      <c r="BS2773" s="32"/>
      <c r="BT2773" s="32"/>
      <c r="BU2773" s="32"/>
      <c r="BV2773" s="32"/>
      <c r="BW2773" s="32"/>
      <c r="BX2773" s="32"/>
      <c r="BY2773" s="32"/>
      <c r="BZ2773" s="32"/>
      <c r="CA2773" s="32"/>
      <c r="CB2773" s="32"/>
      <c r="CC2773" s="32"/>
      <c r="CD2773" s="32"/>
    </row>
    <row r="2774" ht="15.75" hidden="1" customHeight="1" outlineLevel="1">
      <c r="A2774" s="365"/>
      <c r="B2774" s="38"/>
      <c r="C2774" s="374"/>
      <c r="D2774" s="374"/>
      <c r="E2774" s="374"/>
      <c r="F2774" s="374"/>
      <c r="G2774" s="374"/>
      <c r="H2774" s="374"/>
      <c r="I2774" s="374"/>
      <c r="J2774" s="374"/>
      <c r="K2774" s="374"/>
      <c r="L2774" s="374"/>
      <c r="M2774" s="374"/>
      <c r="N2774" s="374"/>
      <c r="O2774" s="374"/>
      <c r="P2774" s="374"/>
      <c r="Q2774" s="374"/>
      <c r="R2774" s="374"/>
      <c r="S2774" s="38"/>
      <c r="T2774" s="38"/>
      <c r="U2774" s="38"/>
      <c r="V2774" s="38"/>
      <c r="W2774" s="373">
        <f>IPMT('Assumptions (T&amp;D) old'!$B$100,Model!W$1,'Assumptions (T&amp;D) old'!$B$103,Model!$W$2699)</f>
        <v>-0.04759032821</v>
      </c>
      <c r="X2774" s="373">
        <f>IPMT('Assumptions (T&amp;D) old'!$B$100,Model!X$1,'Assumptions (T&amp;D) old'!$B$103,Model!$W$2699)</f>
        <v>-0.04534305893</v>
      </c>
      <c r="Y2774" s="373">
        <f>IPMT('Assumptions (T&amp;D) old'!$B$100,Model!Y$1,'Assumptions (T&amp;D) old'!$B$103,Model!$W$2699)</f>
        <v>-0.04298904435</v>
      </c>
      <c r="Z2774" s="373">
        <f>IPMT('Assumptions (T&amp;D) old'!$B$100,Model!Z$1,'Assumptions (T&amp;D) old'!$B$103,Model!$W$2699)</f>
        <v>-0.04052321408</v>
      </c>
      <c r="AA2774" s="373">
        <f>IPMT('Assumptions (T&amp;D) old'!$B$100,Model!AA$1,'Assumptions (T&amp;D) old'!$B$103,Model!$W$2699)</f>
        <v>-0.03794025688</v>
      </c>
      <c r="AB2774" s="373">
        <f>IPMT('Assumptions (T&amp;D) old'!$B$100,Model!AB$1,'Assumptions (T&amp;D) old'!$B$103,Model!$W$2699)</f>
        <v>-0.0352346092</v>
      </c>
      <c r="AC2774" s="373">
        <f>IPMT('Assumptions (T&amp;D) old'!$B$100,Model!AC$1,'Assumptions (T&amp;D) old'!$B$103,Model!$W$2699)</f>
        <v>-0.03240044326</v>
      </c>
      <c r="AD2774" s="373">
        <f>IPMT('Assumptions (T&amp;D) old'!$B$100,Model!AD$1,'Assumptions (T&amp;D) old'!$B$103,Model!$W$2699)</f>
        <v>-0.02943165444</v>
      </c>
      <c r="AE2774" s="373">
        <f>IPMT('Assumptions (T&amp;D) old'!$B$100,Model!AE$1,'Assumptions (T&amp;D) old'!$B$103,Model!$W$2699)</f>
        <v>-0.02632184816</v>
      </c>
      <c r="AF2774" s="373">
        <f>IPMT('Assumptions (T&amp;D) old'!$B$100,Model!AF$1,'Assumptions (T&amp;D) old'!$B$103,Model!$W$2699)</f>
        <v>-0.02306432607</v>
      </c>
      <c r="AG2774" s="373">
        <f>IPMT('Assumptions (T&amp;D) old'!$B$100,Model!AG$1,'Assumptions (T&amp;D) old'!$B$103,Model!$W$2699)</f>
        <v>-0.01965207168</v>
      </c>
      <c r="AH2774" s="373">
        <f>IPMT('Assumptions (T&amp;D) old'!$B$100,Model!AH$1,'Assumptions (T&amp;D) old'!$B$103,Model!$W$2699)</f>
        <v>-0.01607773521</v>
      </c>
      <c r="AI2774" s="373">
        <f>IPMT('Assumptions (T&amp;D) old'!$B$100,Model!AI$1,'Assumptions (T&amp;D) old'!$B$103,Model!$W$2699)</f>
        <v>-0.01233361776</v>
      </c>
      <c r="AJ2774" s="373">
        <f>IPMT('Assumptions (T&amp;D) old'!$B$100,Model!AJ$1,'Assumptions (T&amp;D) old'!$B$103,Model!$W$2699)</f>
        <v>-0.008411654725</v>
      </c>
      <c r="AK2774" s="373">
        <f>IPMT('Assumptions (T&amp;D) old'!$B$100,Model!AK$1,'Assumptions (T&amp;D) old'!$B$103,Model!$W$2699)</f>
        <v>-0.004303398449</v>
      </c>
      <c r="AL2774" s="374"/>
      <c r="AM2774" s="374"/>
      <c r="AN2774" s="374"/>
      <c r="AO2774" s="374"/>
      <c r="AP2774" s="374"/>
      <c r="AQ2774" s="374"/>
      <c r="AR2774" s="374"/>
      <c r="AS2774" s="374"/>
      <c r="AT2774" s="374"/>
      <c r="AU2774" s="374"/>
      <c r="AV2774" s="32"/>
      <c r="AW2774" s="32"/>
      <c r="AX2774" s="32"/>
      <c r="AY2774" s="32"/>
      <c r="AZ2774" s="32"/>
      <c r="BA2774" s="32"/>
      <c r="BB2774" s="32"/>
      <c r="BC2774" s="32"/>
      <c r="BD2774" s="32"/>
      <c r="BE2774" s="32"/>
      <c r="BF2774" s="32"/>
      <c r="BG2774" s="32"/>
      <c r="BH2774" s="32"/>
      <c r="BI2774" s="32"/>
      <c r="BJ2774" s="32"/>
      <c r="BK2774" s="32"/>
      <c r="BL2774" s="32"/>
      <c r="BM2774" s="32"/>
      <c r="BN2774" s="32"/>
      <c r="BO2774" s="32"/>
      <c r="BP2774" s="32"/>
      <c r="BQ2774" s="32"/>
      <c r="BR2774" s="32"/>
      <c r="BS2774" s="32"/>
      <c r="BT2774" s="32"/>
      <c r="BU2774" s="32"/>
      <c r="BV2774" s="32"/>
      <c r="BW2774" s="32"/>
      <c r="BX2774" s="32"/>
      <c r="BY2774" s="32"/>
      <c r="BZ2774" s="32"/>
      <c r="CA2774" s="32"/>
      <c r="CB2774" s="32"/>
      <c r="CC2774" s="32"/>
      <c r="CD2774" s="32"/>
    </row>
    <row r="2775" ht="15.75" hidden="1" customHeight="1" outlineLevel="1">
      <c r="A2775" s="365"/>
      <c r="B2775" s="38"/>
      <c r="C2775" s="374"/>
      <c r="D2775" s="374"/>
      <c r="E2775" s="374"/>
      <c r="F2775" s="374"/>
      <c r="G2775" s="374"/>
      <c r="H2775" s="374"/>
      <c r="I2775" s="374"/>
      <c r="J2775" s="374"/>
      <c r="K2775" s="374"/>
      <c r="L2775" s="374"/>
      <c r="M2775" s="374"/>
      <c r="N2775" s="374"/>
      <c r="O2775" s="374"/>
      <c r="P2775" s="374"/>
      <c r="Q2775" s="374"/>
      <c r="R2775" s="374"/>
      <c r="S2775" s="38"/>
      <c r="T2775" s="38"/>
      <c r="U2775" s="38"/>
      <c r="V2775" s="38"/>
      <c r="W2775" s="38"/>
      <c r="X2775" s="373">
        <f>IPMT('Assumptions (T&amp;D) old'!$B$100,Model!W$1,'Assumptions (T&amp;D) old'!$B$103,Model!$X$2699)</f>
        <v>-0.05111140465</v>
      </c>
      <c r="Y2775" s="373">
        <f>IPMT('Assumptions (T&amp;D) old'!$B$100,Model!X$1,'Assumptions (T&amp;D) old'!$B$103,Model!$X$2699)</f>
        <v>-0.04869786614</v>
      </c>
      <c r="Z2775" s="373">
        <f>IPMT('Assumptions (T&amp;D) old'!$B$100,Model!Y$1,'Assumptions (T&amp;D) old'!$B$103,Model!$X$2699)</f>
        <v>-0.04616968456</v>
      </c>
      <c r="AA2775" s="373">
        <f>IPMT('Assumptions (T&amp;D) old'!$B$100,Model!Z$1,'Assumptions (T&amp;D) old'!$B$103,Model!$X$2699)</f>
        <v>-0.04352141434</v>
      </c>
      <c r="AB2775" s="373">
        <f>IPMT('Assumptions (T&amp;D) old'!$B$100,Model!AA$1,'Assumptions (T&amp;D) old'!$B$103,Model!$X$2699)</f>
        <v>-0.04074735129</v>
      </c>
      <c r="AC2775" s="373">
        <f>IPMT('Assumptions (T&amp;D) old'!$B$100,Model!AB$1,'Assumptions (T&amp;D) old'!$B$103,Model!$X$2699)</f>
        <v>-0.03784152025</v>
      </c>
      <c r="AD2775" s="373">
        <f>IPMT('Assumptions (T&amp;D) old'!$B$100,Model!AC$1,'Assumptions (T&amp;D) old'!$B$103,Model!$X$2699)</f>
        <v>-0.03479766223</v>
      </c>
      <c r="AE2775" s="373">
        <f>IPMT('Assumptions (T&amp;D) old'!$B$100,Model!AD$1,'Assumptions (T&amp;D) old'!$B$103,Model!$X$2699)</f>
        <v>-0.03160922096</v>
      </c>
      <c r="AF2775" s="373">
        <f>IPMT('Assumptions (T&amp;D) old'!$B$100,Model!AE$1,'Assumptions (T&amp;D) old'!$B$103,Model!$X$2699)</f>
        <v>-0.02826932872</v>
      </c>
      <c r="AG2775" s="373">
        <f>IPMT('Assumptions (T&amp;D) old'!$B$100,Model!AF$1,'Assumptions (T&amp;D) old'!$B$103,Model!$X$2699)</f>
        <v>-0.02477079161</v>
      </c>
      <c r="AH2775" s="373">
        <f>IPMT('Assumptions (T&amp;D) old'!$B$100,Model!AG$1,'Assumptions (T&amp;D) old'!$B$103,Model!$X$2699)</f>
        <v>-0.02110607398</v>
      </c>
      <c r="AI2775" s="373">
        <f>IPMT('Assumptions (T&amp;D) old'!$B$100,Model!AH$1,'Assumptions (T&amp;D) old'!$B$103,Model!$X$2699)</f>
        <v>-0.01726728226</v>
      </c>
      <c r="AJ2775" s="373">
        <f>IPMT('Assumptions (T&amp;D) old'!$B$100,Model!AI$1,'Assumptions (T&amp;D) old'!$B$103,Model!$X$2699)</f>
        <v>-0.01324614794</v>
      </c>
      <c r="AK2775" s="373">
        <f>IPMT('Assumptions (T&amp;D) old'!$B$100,Model!AJ$1,'Assumptions (T&amp;D) old'!$B$103,Model!$X$2699)</f>
        <v>-0.009034009737</v>
      </c>
      <c r="AL2775" s="373">
        <f>IPMT('Assumptions (T&amp;D) old'!$B$100,Model!AK$1,'Assumptions (T&amp;D) old'!$B$103,Model!$X$2699)</f>
        <v>-0.004621794969</v>
      </c>
      <c r="AM2775" s="374"/>
      <c r="AN2775" s="374"/>
      <c r="AO2775" s="374"/>
      <c r="AP2775" s="374"/>
      <c r="AQ2775" s="374"/>
      <c r="AR2775" s="374"/>
      <c r="AS2775" s="374"/>
      <c r="AT2775" s="374"/>
      <c r="AU2775" s="374"/>
      <c r="AV2775" s="374"/>
      <c r="AW2775" s="32"/>
      <c r="AX2775" s="32"/>
      <c r="AY2775" s="32"/>
      <c r="AZ2775" s="32"/>
      <c r="BA2775" s="32"/>
      <c r="BB2775" s="32"/>
      <c r="BC2775" s="32"/>
      <c r="BD2775" s="32"/>
      <c r="BE2775" s="32"/>
      <c r="BF2775" s="32"/>
      <c r="BG2775" s="32"/>
      <c r="BH2775" s="32"/>
      <c r="BI2775" s="32"/>
      <c r="BJ2775" s="32"/>
      <c r="BK2775" s="32"/>
      <c r="BL2775" s="32"/>
      <c r="BM2775" s="32"/>
      <c r="BN2775" s="32"/>
      <c r="BO2775" s="32"/>
      <c r="BP2775" s="32"/>
      <c r="BQ2775" s="32"/>
      <c r="BR2775" s="32"/>
      <c r="BS2775" s="32"/>
      <c r="BT2775" s="32"/>
      <c r="BU2775" s="32"/>
      <c r="BV2775" s="32"/>
      <c r="BW2775" s="32"/>
      <c r="BX2775" s="32"/>
      <c r="BY2775" s="32"/>
      <c r="BZ2775" s="32"/>
      <c r="CA2775" s="32"/>
      <c r="CB2775" s="32"/>
      <c r="CC2775" s="32"/>
      <c r="CD2775" s="32"/>
    </row>
    <row r="2776" ht="15.75" hidden="1" customHeight="1" outlineLevel="1">
      <c r="A2776" s="365"/>
      <c r="B2776" s="38"/>
      <c r="C2776" s="374"/>
      <c r="D2776" s="374"/>
      <c r="E2776" s="374"/>
      <c r="F2776" s="374"/>
      <c r="G2776" s="374"/>
      <c r="H2776" s="374"/>
      <c r="I2776" s="374"/>
      <c r="J2776" s="374"/>
      <c r="K2776" s="374"/>
      <c r="L2776" s="374"/>
      <c r="M2776" s="374"/>
      <c r="N2776" s="374"/>
      <c r="O2776" s="374"/>
      <c r="P2776" s="374"/>
      <c r="Q2776" s="374"/>
      <c r="R2776" s="374"/>
      <c r="S2776" s="38"/>
      <c r="T2776" s="38"/>
      <c r="U2776" s="38"/>
      <c r="V2776" s="38"/>
      <c r="W2776" s="38"/>
      <c r="X2776" s="32"/>
      <c r="Y2776" s="373">
        <f>IPMT('Assumptions (T&amp;D) old'!$B$100,Model!W$1,'Assumptions (T&amp;D) old'!$B$103,Model!$Y$2699)</f>
        <v>-0.05253047727</v>
      </c>
      <c r="Z2776" s="373">
        <f>IPMT('Assumptions (T&amp;D) old'!$B$100,Model!X$1,'Assumptions (T&amp;D) old'!$B$103,Model!$Y$2699)</f>
        <v>-0.05004992854</v>
      </c>
      <c r="AA2776" s="373">
        <f>IPMT('Assumptions (T&amp;D) old'!$B$100,Model!Y$1,'Assumptions (T&amp;D) old'!$B$103,Model!$Y$2699)</f>
        <v>-0.04745155375</v>
      </c>
      <c r="AB2776" s="373">
        <f>IPMT('Assumptions (T&amp;D) old'!$B$100,Model!Z$1,'Assumptions (T&amp;D) old'!$B$103,Model!$Y$2699)</f>
        <v>-0.04472975616</v>
      </c>
      <c r="AC2776" s="373">
        <f>IPMT('Assumptions (T&amp;D) old'!$B$100,Model!AA$1,'Assumptions (T&amp;D) old'!$B$103,Model!$Y$2699)</f>
        <v>-0.04187867317</v>
      </c>
      <c r="AD2776" s="373">
        <f>IPMT('Assumptions (T&amp;D) old'!$B$100,Model!AB$1,'Assumptions (T&amp;D) old'!$B$103,Model!$Y$2699)</f>
        <v>-0.03889216375</v>
      </c>
      <c r="AE2776" s="373">
        <f>IPMT('Assumptions (T&amp;D) old'!$B$100,Model!AC$1,'Assumptions (T&amp;D) old'!$B$103,Model!$Y$2699)</f>
        <v>-0.03576379513</v>
      </c>
      <c r="AF2776" s="373">
        <f>IPMT('Assumptions (T&amp;D) old'!$B$100,Model!AD$1,'Assumptions (T&amp;D) old'!$B$103,Model!$Y$2699)</f>
        <v>-0.032486829</v>
      </c>
      <c r="AG2776" s="373">
        <f>IPMT('Assumptions (T&amp;D) old'!$B$100,Model!AE$1,'Assumptions (T&amp;D) old'!$B$103,Model!$Y$2699)</f>
        <v>-0.02905420698</v>
      </c>
      <c r="AH2776" s="373">
        <f>IPMT('Assumptions (T&amp;D) old'!$B$100,Model!AF$1,'Assumptions (T&amp;D) old'!$B$103,Model!$Y$2699)</f>
        <v>-0.02545853542</v>
      </c>
      <c r="AI2776" s="373">
        <f>IPMT('Assumptions (T&amp;D) old'!$B$100,Model!AG$1,'Assumptions (T&amp;D) old'!$B$103,Model!$Y$2699)</f>
        <v>-0.02169206945</v>
      </c>
      <c r="AJ2776" s="373">
        <f>IPMT('Assumptions (T&amp;D) old'!$B$100,Model!AH$1,'Assumptions (T&amp;D) old'!$B$103,Model!$Y$2699)</f>
        <v>-0.01774669635</v>
      </c>
      <c r="AK2776" s="373">
        <f>IPMT('Assumptions (T&amp;D) old'!$B$100,Model!AI$1,'Assumptions (T&amp;D) old'!$B$103,Model!$Y$2699)</f>
        <v>-0.01361391803</v>
      </c>
      <c r="AL2776" s="373">
        <f>IPMT('Assumptions (T&amp;D) old'!$B$100,Model!AJ$1,'Assumptions (T&amp;D) old'!$B$103,Model!$Y$2699)</f>
        <v>-0.009284832737</v>
      </c>
      <c r="AM2776" s="373">
        <f>IPMT('Assumptions (T&amp;D) old'!$B$100,Model!AK$1,'Assumptions (T&amp;D) old'!$B$103,Model!$Y$2699)</f>
        <v>-0.004750115893</v>
      </c>
      <c r="AN2776" s="374"/>
      <c r="AO2776" s="374"/>
      <c r="AP2776" s="374"/>
      <c r="AQ2776" s="374"/>
      <c r="AR2776" s="374"/>
      <c r="AS2776" s="374"/>
      <c r="AT2776" s="374"/>
      <c r="AU2776" s="374"/>
      <c r="AV2776" s="374"/>
      <c r="AW2776" s="374"/>
      <c r="AX2776" s="32"/>
      <c r="AY2776" s="32"/>
      <c r="AZ2776" s="32"/>
      <c r="BA2776" s="32"/>
      <c r="BB2776" s="32"/>
      <c r="BC2776" s="32"/>
      <c r="BD2776" s="32"/>
      <c r="BE2776" s="32"/>
      <c r="BF2776" s="32"/>
      <c r="BG2776" s="32"/>
      <c r="BH2776" s="32"/>
      <c r="BI2776" s="32"/>
      <c r="BJ2776" s="32"/>
      <c r="BK2776" s="32"/>
      <c r="BL2776" s="32"/>
      <c r="BM2776" s="32"/>
      <c r="BN2776" s="32"/>
      <c r="BO2776" s="32"/>
      <c r="BP2776" s="32"/>
      <c r="BQ2776" s="32"/>
      <c r="BR2776" s="32"/>
      <c r="BS2776" s="32"/>
      <c r="BT2776" s="32"/>
      <c r="BU2776" s="32"/>
      <c r="BV2776" s="32"/>
      <c r="BW2776" s="32"/>
      <c r="BX2776" s="32"/>
      <c r="BY2776" s="32"/>
      <c r="BZ2776" s="32"/>
      <c r="CA2776" s="32"/>
      <c r="CB2776" s="32"/>
      <c r="CC2776" s="32"/>
      <c r="CD2776" s="32"/>
    </row>
    <row r="2777" ht="15.75" hidden="1" customHeight="1" outlineLevel="1">
      <c r="A2777" s="365"/>
      <c r="B2777" s="38"/>
      <c r="C2777" s="374"/>
      <c r="D2777" s="374"/>
      <c r="E2777" s="374"/>
      <c r="F2777" s="374"/>
      <c r="G2777" s="374"/>
      <c r="H2777" s="374"/>
      <c r="I2777" s="374"/>
      <c r="J2777" s="374"/>
      <c r="K2777" s="374"/>
      <c r="L2777" s="374"/>
      <c r="M2777" s="374"/>
      <c r="N2777" s="374"/>
      <c r="O2777" s="374"/>
      <c r="P2777" s="374"/>
      <c r="Q2777" s="374"/>
      <c r="R2777" s="374"/>
      <c r="S2777" s="38"/>
      <c r="T2777" s="38"/>
      <c r="U2777" s="38"/>
      <c r="V2777" s="38"/>
      <c r="W2777" s="38"/>
      <c r="X2777" s="32"/>
      <c r="Y2777" s="32"/>
      <c r="Z2777" s="373">
        <f>IPMT('Assumptions (T&amp;D) old'!$B$100,Model!W$1,'Assumptions (T&amp;D) old'!$B$103,Model!$Z$2699)</f>
        <v>-0.05398566495</v>
      </c>
      <c r="AA2777" s="373">
        <f>IPMT('Assumptions (T&amp;D) old'!$B$100,Model!X$1,'Assumptions (T&amp;D) old'!$B$103,Model!$Z$2699)</f>
        <v>-0.05143640061</v>
      </c>
      <c r="AB2777" s="373">
        <f>IPMT('Assumptions (T&amp;D) old'!$B$100,Model!Y$1,'Assumptions (T&amp;D) old'!$B$103,Model!$Z$2699)</f>
        <v>-0.04876604621</v>
      </c>
      <c r="AC2777" s="373">
        <f>IPMT('Assumptions (T&amp;D) old'!$B$100,Model!Z$1,'Assumptions (T&amp;D) old'!$B$103,Model!$Z$2699)</f>
        <v>-0.04596884998</v>
      </c>
      <c r="AD2777" s="373">
        <f>IPMT('Assumptions (T&amp;D) old'!$B$100,Model!AA$1,'Assumptions (T&amp;D) old'!$B$103,Model!$Z$2699)</f>
        <v>-0.04303878693</v>
      </c>
      <c r="AE2777" s="373">
        <f>IPMT('Assumptions (T&amp;D) old'!$B$100,Model!AB$1,'Assumptions (T&amp;D) old'!$B$103,Model!$Z$2699)</f>
        <v>-0.03996954588</v>
      </c>
      <c r="AF2777" s="373">
        <f>IPMT('Assumptions (T&amp;D) old'!$B$100,Model!AC$1,'Assumptions (T&amp;D) old'!$B$103,Model!$Z$2699)</f>
        <v>-0.03675451589</v>
      </c>
      <c r="AG2777" s="373">
        <f>IPMT('Assumptions (T&amp;D) old'!$B$100,Model!AD$1,'Assumptions (T&amp;D) old'!$B$103,Model!$Z$2699)</f>
        <v>-0.03338677197</v>
      </c>
      <c r="AH2777" s="373">
        <f>IPMT('Assumptions (T&amp;D) old'!$B$100,Model!AE$1,'Assumptions (T&amp;D) old'!$B$103,Model!$Z$2699)</f>
        <v>-0.02985906021</v>
      </c>
      <c r="AI2777" s="373">
        <f>IPMT('Assumptions (T&amp;D) old'!$B$100,Model!AF$1,'Assumptions (T&amp;D) old'!$B$103,Model!$Z$2699)</f>
        <v>-0.02616378214</v>
      </c>
      <c r="AJ2777" s="373">
        <f>IPMT('Assumptions (T&amp;D) old'!$B$100,Model!AG$1,'Assumptions (T&amp;D) old'!$B$103,Model!$Z$2699)</f>
        <v>-0.02229297837</v>
      </c>
      <c r="AK2777" s="373">
        <f>IPMT('Assumptions (T&amp;D) old'!$B$100,Model!AH$1,'Assumptions (T&amp;D) old'!$B$103,Model!$Z$2699)</f>
        <v>-0.01823831141</v>
      </c>
      <c r="AL2777" s="373">
        <f>IPMT('Assumptions (T&amp;D) old'!$B$100,Model!AI$1,'Assumptions (T&amp;D) old'!$B$103,Model!$Z$2699)</f>
        <v>-0.01399104778</v>
      </c>
      <c r="AM2777" s="373">
        <f>IPMT('Assumptions (T&amp;D) old'!$B$100,Model!AJ$1,'Assumptions (T&amp;D) old'!$B$103,Model!$Z$2699)</f>
        <v>-0.009542039123</v>
      </c>
      <c r="AN2777" s="373">
        <f>IPMT('Assumptions (T&amp;D) old'!$B$100,Model!AK$1,'Assumptions (T&amp;D) old'!$B$103,Model!$Z$2699)</f>
        <v>-0.004881702555</v>
      </c>
      <c r="AO2777" s="374"/>
      <c r="AP2777" s="374"/>
      <c r="AQ2777" s="374"/>
      <c r="AR2777" s="374"/>
      <c r="AS2777" s="374"/>
      <c r="AT2777" s="374"/>
      <c r="AU2777" s="374"/>
      <c r="AV2777" s="374"/>
      <c r="AW2777" s="374"/>
      <c r="AX2777" s="374"/>
      <c r="AY2777" s="32"/>
      <c r="AZ2777" s="32"/>
      <c r="BA2777" s="32"/>
      <c r="BB2777" s="32"/>
      <c r="BC2777" s="32"/>
      <c r="BD2777" s="32"/>
      <c r="BE2777" s="32"/>
      <c r="BF2777" s="32"/>
      <c r="BG2777" s="32"/>
      <c r="BH2777" s="32"/>
      <c r="BI2777" s="32"/>
      <c r="BJ2777" s="32"/>
      <c r="BK2777" s="32"/>
      <c r="BL2777" s="32"/>
      <c r="BM2777" s="32"/>
      <c r="BN2777" s="32"/>
      <c r="BO2777" s="32"/>
      <c r="BP2777" s="32"/>
      <c r="BQ2777" s="32"/>
      <c r="BR2777" s="32"/>
      <c r="BS2777" s="32"/>
      <c r="BT2777" s="32"/>
      <c r="BU2777" s="32"/>
      <c r="BV2777" s="32"/>
      <c r="BW2777" s="32"/>
      <c r="BX2777" s="32"/>
      <c r="BY2777" s="32"/>
      <c r="BZ2777" s="32"/>
      <c r="CA2777" s="32"/>
      <c r="CB2777" s="32"/>
      <c r="CC2777" s="32"/>
      <c r="CD2777" s="32"/>
    </row>
    <row r="2778" ht="15.75" hidden="1" customHeight="1" outlineLevel="1">
      <c r="A2778" s="365"/>
      <c r="B2778" s="38"/>
      <c r="C2778" s="374"/>
      <c r="D2778" s="374"/>
      <c r="E2778" s="374"/>
      <c r="F2778" s="374"/>
      <c r="G2778" s="374"/>
      <c r="H2778" s="374"/>
      <c r="I2778" s="374"/>
      <c r="J2778" s="374"/>
      <c r="K2778" s="374"/>
      <c r="L2778" s="374"/>
      <c r="M2778" s="374"/>
      <c r="N2778" s="374"/>
      <c r="O2778" s="374"/>
      <c r="P2778" s="374"/>
      <c r="Q2778" s="374"/>
      <c r="R2778" s="374"/>
      <c r="S2778" s="38"/>
      <c r="T2778" s="38"/>
      <c r="U2778" s="38"/>
      <c r="V2778" s="38"/>
      <c r="W2778" s="38"/>
      <c r="X2778" s="32"/>
      <c r="Y2778" s="32"/>
      <c r="Z2778" s="32"/>
      <c r="AA2778" s="373">
        <f>IPMT('Assumptions (T&amp;D) old'!$B$100,Model!W$1,'Assumptions (T&amp;D) old'!$B$103,Model!$AA$2699)</f>
        <v>-0.05547784068</v>
      </c>
      <c r="AB2778" s="373">
        <f>IPMT('Assumptions (T&amp;D) old'!$B$100,Model!X$1,'Assumptions (T&amp;D) old'!$B$103,Model!$AA$2699)</f>
        <v>-0.05285811411</v>
      </c>
      <c r="AC2778" s="373">
        <f>IPMT('Assumptions (T&amp;D) old'!$B$100,Model!Y$1,'Assumptions (T&amp;D) old'!$B$103,Model!$AA$2699)</f>
        <v>-0.05011395053</v>
      </c>
      <c r="AD2778" s="373">
        <f>IPMT('Assumptions (T&amp;D) old'!$B$100,Model!Z$1,'Assumptions (T&amp;D) old'!$B$103,Model!$AA$2699)</f>
        <v>-0.04723943917</v>
      </c>
      <c r="AE2778" s="373">
        <f>IPMT('Assumptions (T&amp;D) old'!$B$100,Model!AA$1,'Assumptions (T&amp;D) old'!$B$103,Model!$AA$2699)</f>
        <v>-0.04422838853</v>
      </c>
      <c r="AF2778" s="373">
        <f>IPMT('Assumptions (T&amp;D) old'!$B$100,Model!AB$1,'Assumptions (T&amp;D) old'!$B$103,Model!$AA$2699)</f>
        <v>-0.04107431298</v>
      </c>
      <c r="AG2778" s="373">
        <f>IPMT('Assumptions (T&amp;D) old'!$B$100,Model!AC$1,'Assumptions (T&amp;D) old'!$B$103,Model!$AA$2699)</f>
        <v>-0.03777041884</v>
      </c>
      <c r="AH2778" s="373">
        <f>IPMT('Assumptions (T&amp;D) old'!$B$100,Model!AD$1,'Assumptions (T&amp;D) old'!$B$103,Model!$AA$2699)</f>
        <v>-0.03430958973</v>
      </c>
      <c r="AI2778" s="373">
        <f>IPMT('Assumptions (T&amp;D) old'!$B$100,Model!AE$1,'Assumptions (T&amp;D) old'!$B$103,Model!$AA$2699)</f>
        <v>-0.03068437124</v>
      </c>
      <c r="AJ2778" s="373">
        <f>IPMT('Assumptions (T&amp;D) old'!$B$100,Model!AF$1,'Assumptions (T&amp;D) old'!$B$103,Model!$AA$2699)</f>
        <v>-0.02688695487</v>
      </c>
      <c r="AK2778" s="373">
        <f>IPMT('Assumptions (T&amp;D) old'!$B$100,Model!AG$1,'Assumptions (T&amp;D) old'!$B$103,Model!$AA$2699)</f>
        <v>-0.02290916122</v>
      </c>
      <c r="AL2778" s="373">
        <f>IPMT('Assumptions (T&amp;D) old'!$B$100,Model!AH$1,'Assumptions (T&amp;D) old'!$B$103,Model!$AA$2699)</f>
        <v>-0.01874242238</v>
      </c>
      <c r="AM2778" s="373">
        <f>IPMT('Assumptions (T&amp;D) old'!$B$100,Model!AI$1,'Assumptions (T&amp;D) old'!$B$103,Model!$AA$2699)</f>
        <v>-0.01437776344</v>
      </c>
      <c r="AN2778" s="373">
        <f>IPMT('Assumptions (T&amp;D) old'!$B$100,Model!AJ$1,'Assumptions (T&amp;D) old'!$B$103,Model!$AA$2699)</f>
        <v>-0.009805783196</v>
      </c>
      <c r="AO2778" s="373">
        <f>IPMT('Assumptions (T&amp;D) old'!$B$100,Model!AK$1,'Assumptions (T&amp;D) old'!$B$103,Model!$AA$2699)</f>
        <v>-0.005016633894</v>
      </c>
      <c r="AP2778" s="374"/>
      <c r="AQ2778" s="374"/>
      <c r="AR2778" s="374"/>
      <c r="AS2778" s="374"/>
      <c r="AT2778" s="374"/>
      <c r="AU2778" s="374"/>
      <c r="AV2778" s="374"/>
      <c r="AW2778" s="374"/>
      <c r="AX2778" s="374"/>
      <c r="AY2778" s="374"/>
      <c r="AZ2778" s="32"/>
      <c r="BA2778" s="32"/>
      <c r="BB2778" s="32"/>
      <c r="BC2778" s="32"/>
      <c r="BD2778" s="32"/>
      <c r="BE2778" s="32"/>
      <c r="BF2778" s="32"/>
      <c r="BG2778" s="32"/>
      <c r="BH2778" s="32"/>
      <c r="BI2778" s="32"/>
      <c r="BJ2778" s="32"/>
      <c r="BK2778" s="32"/>
      <c r="BL2778" s="32"/>
      <c r="BM2778" s="32"/>
      <c r="BN2778" s="32"/>
      <c r="BO2778" s="32"/>
      <c r="BP2778" s="32"/>
      <c r="BQ2778" s="32"/>
      <c r="BR2778" s="32"/>
      <c r="BS2778" s="32"/>
      <c r="BT2778" s="32"/>
      <c r="BU2778" s="32"/>
      <c r="BV2778" s="32"/>
      <c r="BW2778" s="32"/>
      <c r="BX2778" s="32"/>
      <c r="BY2778" s="32"/>
      <c r="BZ2778" s="32"/>
      <c r="CA2778" s="32"/>
      <c r="CB2778" s="32"/>
      <c r="CC2778" s="32"/>
      <c r="CD2778" s="32"/>
    </row>
    <row r="2779" ht="15.75" hidden="1" customHeight="1" outlineLevel="1">
      <c r="A2779" s="365"/>
      <c r="B2779" s="38"/>
      <c r="C2779" s="374"/>
      <c r="D2779" s="374"/>
      <c r="E2779" s="374"/>
      <c r="F2779" s="374"/>
      <c r="G2779" s="374"/>
      <c r="H2779" s="374"/>
      <c r="I2779" s="374"/>
      <c r="J2779" s="374"/>
      <c r="K2779" s="374"/>
      <c r="L2779" s="374"/>
      <c r="M2779" s="374"/>
      <c r="N2779" s="374"/>
      <c r="O2779" s="374"/>
      <c r="P2779" s="374"/>
      <c r="Q2779" s="374"/>
      <c r="R2779" s="374"/>
      <c r="S2779" s="38"/>
      <c r="T2779" s="38"/>
      <c r="U2779" s="38"/>
      <c r="V2779" s="38"/>
      <c r="W2779" s="38"/>
      <c r="X2779" s="32"/>
      <c r="Y2779" s="32"/>
      <c r="Z2779" s="32"/>
      <c r="AA2779" s="32"/>
      <c r="AB2779" s="373">
        <f>IPMT('Assumptions (T&amp;D) old'!$B$100,Model!W$1,'Assumptions (T&amp;D) old'!$B$103,Model!$AB$2699)</f>
        <v>-0.05700789784</v>
      </c>
      <c r="AC2779" s="373">
        <f>IPMT('Assumptions (T&amp;D) old'!$B$100,Model!X$1,'Assumptions (T&amp;D) old'!$B$103,Model!$AB$2699)</f>
        <v>-0.05431592023</v>
      </c>
      <c r="AD2779" s="373">
        <f>IPMT('Assumptions (T&amp;D) old'!$B$100,Model!Y$1,'Assumptions (T&amp;D) old'!$B$103,Model!$AB$2699)</f>
        <v>-0.05149607369</v>
      </c>
      <c r="AE2779" s="373">
        <f>IPMT('Assumptions (T&amp;D) old'!$B$100,Model!Z$1,'Assumptions (T&amp;D) old'!$B$103,Model!$AB$2699)</f>
        <v>-0.04854228444</v>
      </c>
      <c r="AF2779" s="373">
        <f>IPMT('Assumptions (T&amp;D) old'!$B$100,Model!AA$1,'Assumptions (T&amp;D) old'!$B$103,Model!$AB$2699)</f>
        <v>-0.04544819019</v>
      </c>
      <c r="AG2779" s="373">
        <f>IPMT('Assumptions (T&amp;D) old'!$B$100,Model!AB$1,'Assumptions (T&amp;D) old'!$B$103,Model!$AB$2699)</f>
        <v>-0.04220712647</v>
      </c>
      <c r="AH2779" s="373">
        <f>IPMT('Assumptions (T&amp;D) old'!$B$100,Model!AC$1,'Assumptions (T&amp;D) old'!$B$103,Model!$AB$2699)</f>
        <v>-0.03881211223</v>
      </c>
      <c r="AI2779" s="373">
        <f>IPMT('Assumptions (T&amp;D) old'!$B$100,Model!AD$1,'Assumptions (T&amp;D) old'!$B$103,Model!$AB$2699)</f>
        <v>-0.03525583481</v>
      </c>
      <c r="AJ2779" s="373">
        <f>IPMT('Assumptions (T&amp;D) old'!$B$100,Model!AE$1,'Assumptions (T&amp;D) old'!$B$103,Model!$AB$2699)</f>
        <v>-0.03153063421</v>
      </c>
      <c r="AK2779" s="373">
        <f>IPMT('Assumptions (T&amp;D) old'!$B$100,Model!AF$1,'Assumptions (T&amp;D) old'!$B$103,Model!$AB$2699)</f>
        <v>-0.02762848658</v>
      </c>
      <c r="AL2779" s="373">
        <f>IPMT('Assumptions (T&amp;D) old'!$B$100,Model!AG$1,'Assumptions (T&amp;D) old'!$B$103,Model!$AB$2699)</f>
        <v>-0.02354098693</v>
      </c>
      <c r="AM2779" s="373">
        <f>IPMT('Assumptions (T&amp;D) old'!$B$100,Model!AH$1,'Assumptions (T&amp;D) old'!$B$103,Model!$AB$2699)</f>
        <v>-0.01925933106</v>
      </c>
      <c r="AN2779" s="373">
        <f>IPMT('Assumptions (T&amp;D) old'!$B$100,Model!AI$1,'Assumptions (T&amp;D) old'!$B$103,Model!$AB$2699)</f>
        <v>-0.01477429653</v>
      </c>
      <c r="AO2779" s="373">
        <f>IPMT('Assumptions (T&amp;D) old'!$B$100,Model!AJ$1,'Assumptions (T&amp;D) old'!$B$103,Model!$AB$2699)</f>
        <v>-0.01007622286</v>
      </c>
      <c r="AP2779" s="373">
        <f>IPMT('Assumptions (T&amp;D) old'!$B$100,Model!AK$1,'Assumptions (T&amp;D) old'!$B$103,Model!$AB$2699)</f>
        <v>-0.005154990696</v>
      </c>
      <c r="AQ2779" s="374"/>
      <c r="AR2779" s="374"/>
      <c r="AS2779" s="374"/>
      <c r="AT2779" s="374"/>
      <c r="AU2779" s="374"/>
      <c r="AV2779" s="374"/>
      <c r="AW2779" s="374"/>
      <c r="AX2779" s="374"/>
      <c r="AY2779" s="374"/>
      <c r="AZ2779" s="374"/>
      <c r="BA2779" s="32"/>
      <c r="BB2779" s="32"/>
      <c r="BC2779" s="32"/>
      <c r="BD2779" s="32"/>
      <c r="BE2779" s="32"/>
      <c r="BF2779" s="32"/>
      <c r="BG2779" s="32"/>
      <c r="BH2779" s="32"/>
      <c r="BI2779" s="32"/>
      <c r="BJ2779" s="32"/>
      <c r="BK2779" s="32"/>
      <c r="BL2779" s="32"/>
      <c r="BM2779" s="32"/>
      <c r="BN2779" s="32"/>
      <c r="BO2779" s="32"/>
      <c r="BP2779" s="32"/>
      <c r="BQ2779" s="32"/>
      <c r="BR2779" s="32"/>
      <c r="BS2779" s="32"/>
      <c r="BT2779" s="32"/>
      <c r="BU2779" s="32"/>
      <c r="BV2779" s="32"/>
      <c r="BW2779" s="32"/>
      <c r="BX2779" s="32"/>
      <c r="BY2779" s="32"/>
      <c r="BZ2779" s="32"/>
      <c r="CA2779" s="32"/>
      <c r="CB2779" s="32"/>
      <c r="CC2779" s="32"/>
      <c r="CD2779" s="32"/>
    </row>
    <row r="2780" ht="15.75" hidden="1" customHeight="1" outlineLevel="1">
      <c r="A2780" s="365"/>
      <c r="B2780" s="38"/>
      <c r="C2780" s="374"/>
      <c r="D2780" s="374"/>
      <c r="E2780" s="374"/>
      <c r="F2780" s="374"/>
      <c r="G2780" s="374"/>
      <c r="H2780" s="374"/>
      <c r="I2780" s="374"/>
      <c r="J2780" s="374"/>
      <c r="K2780" s="374"/>
      <c r="L2780" s="374"/>
      <c r="M2780" s="374"/>
      <c r="N2780" s="374"/>
      <c r="O2780" s="374"/>
      <c r="P2780" s="374"/>
      <c r="Q2780" s="374"/>
      <c r="R2780" s="374"/>
      <c r="S2780" s="38"/>
      <c r="T2780" s="38"/>
      <c r="U2780" s="38"/>
      <c r="V2780" s="38"/>
      <c r="W2780" s="38"/>
      <c r="X2780" s="32"/>
      <c r="Y2780" s="32"/>
      <c r="Z2780" s="32"/>
      <c r="AA2780" s="32"/>
      <c r="AB2780" s="32"/>
      <c r="AC2780" s="373">
        <f>IPMT('Assumptions (T&amp;D) old'!$B$100,Model!W$1,'Assumptions (T&amp;D) old'!$B$103,Model!$AC$2699)</f>
        <v>-0.05857675067</v>
      </c>
      <c r="AD2780" s="373">
        <f>IPMT('Assumptions (T&amp;D) old'!$B$100,Model!X$1,'Assumptions (T&amp;D) old'!$B$103,Model!$AC$2699)</f>
        <v>-0.05581069005</v>
      </c>
      <c r="AE2780" s="373">
        <f>IPMT('Assumptions (T&amp;D) old'!$B$100,Model!Y$1,'Assumptions (T&amp;D) old'!$B$103,Model!$AC$2699)</f>
        <v>-0.05291324155</v>
      </c>
      <c r="AF2780" s="373">
        <f>IPMT('Assumptions (T&amp;D) old'!$B$100,Model!Z$1,'Assumptions (T&amp;D) old'!$B$103,Model!$AC$2699)</f>
        <v>-0.04987816425</v>
      </c>
      <c r="AG2780" s="373">
        <f>IPMT('Assumptions (T&amp;D) old'!$B$100,Model!AA$1,'Assumptions (T&amp;D) old'!$B$103,Model!$AC$2699)</f>
        <v>-0.04669892078</v>
      </c>
      <c r="AH2780" s="373">
        <f>IPMT('Assumptions (T&amp;D) old'!$B$100,Model!AB$1,'Assumptions (T&amp;D) old'!$B$103,Model!$AC$2699)</f>
        <v>-0.04336866325</v>
      </c>
      <c r="AI2780" s="373">
        <f>IPMT('Assumptions (T&amp;D) old'!$B$100,Model!AC$1,'Assumptions (T&amp;D) old'!$B$103,Model!$AC$2699)</f>
        <v>-0.03988021848</v>
      </c>
      <c r="AJ2780" s="373">
        <f>IPMT('Assumptions (T&amp;D) old'!$B$100,Model!AD$1,'Assumptions (T&amp;D) old'!$B$103,Model!$AC$2699)</f>
        <v>-0.03622607258</v>
      </c>
      <c r="AK2780" s="373">
        <f>IPMT('Assumptions (T&amp;D) old'!$B$100,Model!AE$1,'Assumptions (T&amp;D) old'!$B$103,Model!$AC$2699)</f>
        <v>-0.03239835476</v>
      </c>
      <c r="AL2780" s="373">
        <f>IPMT('Assumptions (T&amp;D) old'!$B$100,Model!AF$1,'Assumptions (T&amp;D) old'!$B$103,Model!$AC$2699)</f>
        <v>-0.02838882034</v>
      </c>
      <c r="AM2780" s="373">
        <f>IPMT('Assumptions (T&amp;D) old'!$B$100,Model!AG$1,'Assumptions (T&amp;D) old'!$B$103,Model!$AC$2699)</f>
        <v>-0.02418883303</v>
      </c>
      <c r="AN2780" s="373">
        <f>IPMT('Assumptions (T&amp;D) old'!$B$100,Model!AH$1,'Assumptions (T&amp;D) old'!$B$103,Model!$AC$2699)</f>
        <v>-0.01978934632</v>
      </c>
      <c r="AO2780" s="373">
        <f>IPMT('Assumptions (T&amp;D) old'!$B$100,Model!AI$1,'Assumptions (T&amp;D) old'!$B$103,Model!$AC$2699)</f>
        <v>-0.015180884</v>
      </c>
      <c r="AP2780" s="373">
        <f>IPMT('Assumptions (T&amp;D) old'!$B$100,Model!AJ$1,'Assumptions (T&amp;D) old'!$B$103,Model!$AC$2699)</f>
        <v>-0.01035351972</v>
      </c>
      <c r="AQ2780" s="373">
        <f>IPMT('Assumptions (T&amp;D) old'!$B$100,Model!AK$1,'Assumptions (T&amp;D) old'!$B$103,Model!$AC$2699)</f>
        <v>-0.005296855631</v>
      </c>
      <c r="AR2780" s="374"/>
      <c r="AS2780" s="374"/>
      <c r="AT2780" s="374"/>
      <c r="AU2780" s="374"/>
      <c r="AV2780" s="374"/>
      <c r="AW2780" s="374"/>
      <c r="AX2780" s="374"/>
      <c r="AY2780" s="374"/>
      <c r="AZ2780" s="374"/>
      <c r="BA2780" s="374"/>
      <c r="BB2780" s="32"/>
      <c r="BC2780" s="32"/>
      <c r="BD2780" s="32"/>
      <c r="BE2780" s="32"/>
      <c r="BF2780" s="32"/>
      <c r="BG2780" s="32"/>
      <c r="BH2780" s="32"/>
      <c r="BI2780" s="32"/>
      <c r="BJ2780" s="32"/>
      <c r="BK2780" s="32"/>
      <c r="BL2780" s="32"/>
      <c r="BM2780" s="32"/>
      <c r="BN2780" s="32"/>
      <c r="BO2780" s="32"/>
      <c r="BP2780" s="32"/>
      <c r="BQ2780" s="32"/>
      <c r="BR2780" s="32"/>
      <c r="BS2780" s="32"/>
      <c r="BT2780" s="32"/>
      <c r="BU2780" s="32"/>
      <c r="BV2780" s="32"/>
      <c r="BW2780" s="32"/>
      <c r="BX2780" s="32"/>
      <c r="BY2780" s="32"/>
      <c r="BZ2780" s="32"/>
      <c r="CA2780" s="32"/>
      <c r="CB2780" s="32"/>
      <c r="CC2780" s="32"/>
      <c r="CD2780" s="32"/>
    </row>
    <row r="2781" ht="15.75" hidden="1" customHeight="1" outlineLevel="1">
      <c r="A2781" s="365"/>
      <c r="B2781" s="38"/>
      <c r="C2781" s="374"/>
      <c r="D2781" s="374"/>
      <c r="E2781" s="374"/>
      <c r="F2781" s="374"/>
      <c r="G2781" s="374"/>
      <c r="H2781" s="374"/>
      <c r="I2781" s="374"/>
      <c r="J2781" s="374"/>
      <c r="K2781" s="374"/>
      <c r="L2781" s="374"/>
      <c r="M2781" s="374"/>
      <c r="N2781" s="374"/>
      <c r="O2781" s="374"/>
      <c r="P2781" s="374"/>
      <c r="Q2781" s="374"/>
      <c r="R2781" s="374"/>
      <c r="S2781" s="38"/>
      <c r="T2781" s="38"/>
      <c r="U2781" s="38"/>
      <c r="V2781" s="38"/>
      <c r="W2781" s="38"/>
      <c r="X2781" s="32"/>
      <c r="Y2781" s="32"/>
      <c r="Z2781" s="32"/>
      <c r="AA2781" s="32"/>
      <c r="AB2781" s="32"/>
      <c r="AC2781" s="32"/>
      <c r="AD2781" s="373">
        <f>IPMT('Assumptions (T&amp;D) old'!$B$100,Model!W$1,'Assumptions (T&amp;D) old'!$B$103,Model!$AD$2699)</f>
        <v>-0.06018533474</v>
      </c>
      <c r="AE2781" s="373">
        <f>IPMT('Assumptions (T&amp;D) old'!$B$100,Model!X$1,'Assumptions (T&amp;D) old'!$B$103,Model!$AD$2699)</f>
        <v>-0.05734331496</v>
      </c>
      <c r="AF2781" s="373">
        <f>IPMT('Assumptions (T&amp;D) old'!$B$100,Model!Y$1,'Assumptions (T&amp;D) old'!$B$103,Model!$AD$2699)</f>
        <v>-0.05436629924</v>
      </c>
      <c r="AG2781" s="373">
        <f>IPMT('Assumptions (T&amp;D) old'!$B$100,Model!Z$1,'Assumptions (T&amp;D) old'!$B$103,Model!$AD$2699)</f>
        <v>-0.05124787527</v>
      </c>
      <c r="AH2781" s="373">
        <f>IPMT('Assumptions (T&amp;D) old'!$B$100,Model!AA$1,'Assumptions (T&amp;D) old'!$B$103,Model!$AD$2699)</f>
        <v>-0.04798132616</v>
      </c>
      <c r="AI2781" s="373">
        <f>IPMT('Assumptions (T&amp;D) old'!$B$100,Model!AB$1,'Assumptions (T&amp;D) old'!$B$103,Model!$AD$2699)</f>
        <v>-0.04455961597</v>
      </c>
      <c r="AJ2781" s="373">
        <f>IPMT('Assumptions (T&amp;D) old'!$B$100,Model!AC$1,'Assumptions (T&amp;D) old'!$B$103,Model!$AD$2699)</f>
        <v>-0.04097537455</v>
      </c>
      <c r="AK2781" s="373">
        <f>IPMT('Assumptions (T&amp;D) old'!$B$100,Model!AD$1,'Assumptions (T&amp;D) old'!$B$103,Model!$AD$2699)</f>
        <v>-0.03722088166</v>
      </c>
      <c r="AL2781" s="373">
        <f>IPMT('Assumptions (T&amp;D) old'!$B$100,Model!AE$1,'Assumptions (T&amp;D) old'!$B$103,Model!$AD$2699)</f>
        <v>-0.03328805036</v>
      </c>
      <c r="AM2781" s="373">
        <f>IPMT('Assumptions (T&amp;D) old'!$B$100,Model!AF$1,'Assumptions (T&amp;D) old'!$B$103,Model!$AD$2699)</f>
        <v>-0.02916840957</v>
      </c>
      <c r="AN2781" s="373">
        <f>IPMT('Assumptions (T&amp;D) old'!$B$100,Model!AG$1,'Assumptions (T&amp;D) old'!$B$103,Model!$AD$2699)</f>
        <v>-0.02485308584</v>
      </c>
      <c r="AO2781" s="373">
        <f>IPMT('Assumptions (T&amp;D) old'!$B$100,Model!AH$1,'Assumptions (T&amp;D) old'!$B$103,Model!$AD$2699)</f>
        <v>-0.02033278424</v>
      </c>
      <c r="AP2781" s="373">
        <f>IPMT('Assumptions (T&amp;D) old'!$B$100,Model!AI$1,'Assumptions (T&amp;D) old'!$B$103,Model!$AD$2699)</f>
        <v>-0.01559776831</v>
      </c>
      <c r="AQ2781" s="373">
        <f>IPMT('Assumptions (T&amp;D) old'!$B$100,Model!AJ$1,'Assumptions (T&amp;D) old'!$B$103,Model!$AD$2699)</f>
        <v>-0.01063783912</v>
      </c>
      <c r="AR2781" s="373">
        <f>IPMT('Assumptions (T&amp;D) old'!$B$100,Model!AK$1,'Assumptions (T&amp;D) old'!$B$103,Model!$AD$2699)</f>
        <v>-0.0054423133</v>
      </c>
      <c r="AS2781" s="374"/>
      <c r="AT2781" s="374"/>
      <c r="AU2781" s="374"/>
      <c r="AV2781" s="374"/>
      <c r="AW2781" s="374"/>
      <c r="AX2781" s="374"/>
      <c r="AY2781" s="374"/>
      <c r="AZ2781" s="374"/>
      <c r="BA2781" s="374"/>
      <c r="BB2781" s="374"/>
      <c r="BC2781" s="32"/>
      <c r="BD2781" s="32"/>
      <c r="BE2781" s="32"/>
      <c r="BF2781" s="32"/>
      <c r="BG2781" s="32"/>
      <c r="BH2781" s="32"/>
      <c r="BI2781" s="32"/>
      <c r="BJ2781" s="32"/>
      <c r="BK2781" s="32"/>
      <c r="BL2781" s="32"/>
      <c r="BM2781" s="32"/>
      <c r="BN2781" s="32"/>
      <c r="BO2781" s="32"/>
      <c r="BP2781" s="32"/>
      <c r="BQ2781" s="32"/>
      <c r="BR2781" s="32"/>
      <c r="BS2781" s="32"/>
      <c r="BT2781" s="32"/>
      <c r="BU2781" s="32"/>
      <c r="BV2781" s="32"/>
      <c r="BW2781" s="32"/>
      <c r="BX2781" s="32"/>
      <c r="BY2781" s="32"/>
      <c r="BZ2781" s="32"/>
      <c r="CA2781" s="32"/>
      <c r="CB2781" s="32"/>
      <c r="CC2781" s="32"/>
      <c r="CD2781" s="32"/>
    </row>
    <row r="2782" ht="15.75" hidden="1" customHeight="1" outlineLevel="1">
      <c r="A2782" s="365"/>
      <c r="B2782" s="38"/>
      <c r="C2782" s="374"/>
      <c r="D2782" s="374"/>
      <c r="E2782" s="374"/>
      <c r="F2782" s="374"/>
      <c r="G2782" s="374"/>
      <c r="H2782" s="374"/>
      <c r="I2782" s="374"/>
      <c r="J2782" s="374"/>
      <c r="K2782" s="374"/>
      <c r="L2782" s="374"/>
      <c r="M2782" s="374"/>
      <c r="N2782" s="374"/>
      <c r="O2782" s="374"/>
      <c r="P2782" s="374"/>
      <c r="Q2782" s="374"/>
      <c r="R2782" s="374"/>
      <c r="S2782" s="38"/>
      <c r="T2782" s="38"/>
      <c r="U2782" s="38"/>
      <c r="V2782" s="38"/>
      <c r="W2782" s="38"/>
      <c r="X2782" s="32"/>
      <c r="Y2782" s="32"/>
      <c r="Z2782" s="32"/>
      <c r="AA2782" s="32"/>
      <c r="AB2782" s="32"/>
      <c r="AC2782" s="32"/>
      <c r="AD2782" s="32"/>
      <c r="AE2782" s="373">
        <f>IPMT('Assumptions (T&amp;D) old'!$B$100,Model!W$1,'Assumptions (T&amp;D) old'!$B$103,Model!$AE$2699)</f>
        <v>-0.06185821194</v>
      </c>
      <c r="AF2782" s="373">
        <f>IPMT('Assumptions (T&amp;D) old'!$B$100,Model!X$1,'Assumptions (T&amp;D) old'!$B$103,Model!$AE$2699)</f>
        <v>-0.058937197</v>
      </c>
      <c r="AG2782" s="373">
        <f>IPMT('Assumptions (T&amp;D) old'!$B$100,Model!Y$1,'Assumptions (T&amp;D) old'!$B$103,Model!$AE$2699)</f>
        <v>-0.05587743385</v>
      </c>
      <c r="AH2782" s="373">
        <f>IPMT('Assumptions (T&amp;D) old'!$B$100,Model!Z$1,'Assumptions (T&amp;D) old'!$B$103,Model!$AE$2699)</f>
        <v>-0.05267233195</v>
      </c>
      <c r="AI2782" s="373">
        <f>IPMT('Assumptions (T&amp;D) old'!$B$100,Model!AA$1,'Assumptions (T&amp;D) old'!$B$103,Model!$AE$2699)</f>
        <v>-0.04931498771</v>
      </c>
      <c r="AJ2782" s="373">
        <f>IPMT('Assumptions (T&amp;D) old'!$B$100,Model!AB$1,'Assumptions (T&amp;D) old'!$B$103,Model!$AE$2699)</f>
        <v>-0.04579816962</v>
      </c>
      <c r="AK2782" s="373">
        <f>IPMT('Assumptions (T&amp;D) old'!$B$100,Model!AC$1,'Assumptions (T&amp;D) old'!$B$103,Model!$AE$2699)</f>
        <v>-0.04211430267</v>
      </c>
      <c r="AL2782" s="373">
        <f>IPMT('Assumptions (T&amp;D) old'!$B$100,Model!AD$1,'Assumptions (T&amp;D) old'!$B$103,Model!$AE$2699)</f>
        <v>-0.03825545204</v>
      </c>
      <c r="AM2782" s="373">
        <f>IPMT('Assumptions (T&amp;D) old'!$B$100,Model!AE$1,'Assumptions (T&amp;D) old'!$B$103,Model!$AE$2699)</f>
        <v>-0.034213306</v>
      </c>
      <c r="AN2782" s="373">
        <f>IPMT('Assumptions (T&amp;D) old'!$B$100,Model!AF$1,'Assumptions (T&amp;D) old'!$B$103,Model!$AE$2699)</f>
        <v>-0.02997915803</v>
      </c>
      <c r="AO2782" s="373">
        <f>IPMT('Assumptions (T&amp;D) old'!$B$100,Model!AG$1,'Assumptions (T&amp;D) old'!$B$103,Model!$AE$2699)</f>
        <v>-0.02554388803</v>
      </c>
      <c r="AP2782" s="373">
        <f>IPMT('Assumptions (T&amp;D) old'!$B$100,Model!AH$1,'Assumptions (T&amp;D) old'!$B$103,Model!$AE$2699)</f>
        <v>-0.0208979427</v>
      </c>
      <c r="AQ2782" s="373">
        <f>IPMT('Assumptions (T&amp;D) old'!$B$100,Model!AI$1,'Assumptions (T&amp;D) old'!$B$103,Model!$AE$2699)</f>
        <v>-0.01603131497</v>
      </c>
      <c r="AR2782" s="373">
        <f>IPMT('Assumptions (T&amp;D) old'!$B$100,Model!AJ$1,'Assumptions (T&amp;D) old'!$B$103,Model!$AE$2699)</f>
        <v>-0.01093352243</v>
      </c>
      <c r="AS2782" s="373">
        <f>IPMT('Assumptions (T&amp;D) old'!$B$100,Model!AK$1,'Assumptions (T&amp;D) old'!$B$103,Model!$AE$2699)</f>
        <v>-0.005593584733</v>
      </c>
      <c r="AT2782" s="374"/>
      <c r="AU2782" s="374"/>
      <c r="AV2782" s="374"/>
      <c r="AW2782" s="374"/>
      <c r="AX2782" s="374"/>
      <c r="AY2782" s="374"/>
      <c r="AZ2782" s="374"/>
      <c r="BA2782" s="374"/>
      <c r="BB2782" s="374"/>
      <c r="BC2782" s="374"/>
      <c r="BD2782" s="32"/>
      <c r="BE2782" s="32"/>
      <c r="BF2782" s="32"/>
      <c r="BG2782" s="32"/>
      <c r="BH2782" s="32"/>
      <c r="BI2782" s="32"/>
      <c r="BJ2782" s="32"/>
      <c r="BK2782" s="32"/>
      <c r="BL2782" s="32"/>
      <c r="BM2782" s="32"/>
      <c r="BN2782" s="32"/>
      <c r="BO2782" s="32"/>
      <c r="BP2782" s="32"/>
      <c r="BQ2782" s="32"/>
      <c r="BR2782" s="32"/>
      <c r="BS2782" s="32"/>
      <c r="BT2782" s="32"/>
      <c r="BU2782" s="32"/>
      <c r="BV2782" s="32"/>
      <c r="BW2782" s="32"/>
      <c r="BX2782" s="32"/>
      <c r="BY2782" s="32"/>
      <c r="BZ2782" s="32"/>
      <c r="CA2782" s="32"/>
      <c r="CB2782" s="32"/>
      <c r="CC2782" s="32"/>
      <c r="CD2782" s="32"/>
    </row>
    <row r="2783" ht="15.75" hidden="1" customHeight="1" outlineLevel="1">
      <c r="A2783" s="365"/>
      <c r="B2783" s="38"/>
      <c r="C2783" s="374"/>
      <c r="D2783" s="374"/>
      <c r="E2783" s="374"/>
      <c r="F2783" s="374"/>
      <c r="G2783" s="374"/>
      <c r="H2783" s="374"/>
      <c r="I2783" s="374"/>
      <c r="J2783" s="374"/>
      <c r="K2783" s="374"/>
      <c r="L2783" s="374"/>
      <c r="M2783" s="374"/>
      <c r="N2783" s="374"/>
      <c r="O2783" s="374"/>
      <c r="P2783" s="374"/>
      <c r="Q2783" s="374"/>
      <c r="R2783" s="374"/>
      <c r="S2783" s="38"/>
      <c r="T2783" s="38"/>
      <c r="U2783" s="38"/>
      <c r="V2783" s="38"/>
      <c r="W2783" s="38"/>
      <c r="X2783" s="32"/>
      <c r="Y2783" s="32"/>
      <c r="Z2783" s="32"/>
      <c r="AA2783" s="32"/>
      <c r="AB2783" s="32"/>
      <c r="AC2783" s="32"/>
      <c r="AD2783" s="32"/>
      <c r="AE2783" s="32"/>
      <c r="AF2783" s="373">
        <f>IPMT('Assumptions (T&amp;D) old'!$B$100,Model!W$1,'Assumptions (T&amp;D) old'!$B$103,Model!$AF$2699)</f>
        <v>-0.06352554853</v>
      </c>
      <c r="AG2783" s="373">
        <f>IPMT('Assumptions (T&amp;D) old'!$B$100,Model!X$1,'Assumptions (T&amp;D) old'!$B$103,Model!$AF$2699)</f>
        <v>-0.06052580006</v>
      </c>
      <c r="AH2783" s="373">
        <f>IPMT('Assumptions (T&amp;D) old'!$B$100,Model!Y$1,'Assumptions (T&amp;D) old'!$B$103,Model!$AF$2699)</f>
        <v>-0.05738356355</v>
      </c>
      <c r="AI2783" s="373">
        <f>IPMT('Assumptions (T&amp;D) old'!$B$100,Model!Z$1,'Assumptions (T&amp;D) old'!$B$103,Model!$AF$2699)</f>
        <v>-0.05409207079</v>
      </c>
      <c r="AJ2783" s="373">
        <f>IPMT('Assumptions (T&amp;D) old'!$B$100,Model!AA$1,'Assumptions (T&amp;D) old'!$B$103,Model!$AF$2699)</f>
        <v>-0.05064423214</v>
      </c>
      <c r="AK2783" s="373">
        <f>IPMT('Assumptions (T&amp;D) old'!$B$100,Model!AB$1,'Assumptions (T&amp;D) old'!$B$103,Model!$AF$2699)</f>
        <v>-0.04703262114</v>
      </c>
      <c r="AL2783" s="373">
        <f>IPMT('Assumptions (T&amp;D) old'!$B$100,Model!AC$1,'Assumptions (T&amp;D) old'!$B$103,Model!$AF$2699)</f>
        <v>-0.04324945863</v>
      </c>
      <c r="AM2783" s="373">
        <f>IPMT('Assumptions (T&amp;D) old'!$B$100,Model!AD$1,'Assumptions (T&amp;D) old'!$B$103,Model!$AF$2699)</f>
        <v>-0.03928659589</v>
      </c>
      <c r="AN2783" s="373">
        <f>IPMT('Assumptions (T&amp;D) old'!$B$100,Model!AE$1,'Assumptions (T&amp;D) old'!$B$103,Model!$AF$2699)</f>
        <v>-0.03513549717</v>
      </c>
      <c r="AO2783" s="373">
        <f>IPMT('Assumptions (T&amp;D) old'!$B$100,Model!AF$1,'Assumptions (T&amp;D) old'!$B$103,Model!$AF$2699)</f>
        <v>-0.03078722127</v>
      </c>
      <c r="AP2783" s="373">
        <f>IPMT('Assumptions (T&amp;D) old'!$B$100,Model!AG$1,'Assumptions (T&amp;D) old'!$B$103,Model!$AF$2699)</f>
        <v>-0.02623240226</v>
      </c>
      <c r="AQ2783" s="373">
        <f>IPMT('Assumptions (T&amp;D) old'!$B$100,Model!AH$1,'Assumptions (T&amp;D) old'!$B$103,Model!$AF$2699)</f>
        <v>-0.02146122934</v>
      </c>
      <c r="AR2783" s="373">
        <f>IPMT('Assumptions (T&amp;D) old'!$B$100,Model!AI$1,'Assumptions (T&amp;D) old'!$B$103,Model!$AF$2699)</f>
        <v>-0.01646342572</v>
      </c>
      <c r="AS2783" s="373">
        <f>IPMT('Assumptions (T&amp;D) old'!$B$100,Model!AJ$1,'Assumptions (T&amp;D) old'!$B$103,Model!$AF$2699)</f>
        <v>-0.01122822642</v>
      </c>
      <c r="AT2783" s="373">
        <f>IPMT('Assumptions (T&amp;D) old'!$B$100,Model!AK$1,'Assumptions (T&amp;D) old'!$B$103,Model!$AF$2699)</f>
        <v>-0.005744355151</v>
      </c>
      <c r="AU2783" s="374"/>
      <c r="AV2783" s="374"/>
      <c r="AW2783" s="374"/>
      <c r="AX2783" s="374"/>
      <c r="AY2783" s="374"/>
      <c r="AZ2783" s="374"/>
      <c r="BA2783" s="374"/>
      <c r="BB2783" s="374"/>
      <c r="BC2783" s="374"/>
      <c r="BD2783" s="374"/>
      <c r="BE2783" s="32"/>
      <c r="BF2783" s="32"/>
      <c r="BG2783" s="32"/>
      <c r="BH2783" s="32"/>
      <c r="BI2783" s="32"/>
      <c r="BJ2783" s="32"/>
      <c r="BK2783" s="32"/>
      <c r="BL2783" s="32"/>
      <c r="BM2783" s="32"/>
      <c r="BN2783" s="32"/>
      <c r="BO2783" s="32"/>
      <c r="BP2783" s="32"/>
      <c r="BQ2783" s="32"/>
      <c r="BR2783" s="32"/>
      <c r="BS2783" s="32"/>
      <c r="BT2783" s="32"/>
      <c r="BU2783" s="32"/>
      <c r="BV2783" s="32"/>
      <c r="BW2783" s="32"/>
      <c r="BX2783" s="32"/>
      <c r="BY2783" s="32"/>
      <c r="BZ2783" s="32"/>
      <c r="CA2783" s="32"/>
      <c r="CB2783" s="32"/>
      <c r="CC2783" s="32"/>
      <c r="CD2783" s="32"/>
    </row>
    <row r="2784" ht="15.75" hidden="1" customHeight="1" outlineLevel="1">
      <c r="A2784" s="365"/>
      <c r="B2784" s="38"/>
      <c r="C2784" s="374"/>
      <c r="D2784" s="374"/>
      <c r="E2784" s="374"/>
      <c r="F2784" s="374"/>
      <c r="G2784" s="374"/>
      <c r="H2784" s="374"/>
      <c r="I2784" s="374"/>
      <c r="J2784" s="374"/>
      <c r="K2784" s="374"/>
      <c r="L2784" s="374"/>
      <c r="M2784" s="374"/>
      <c r="N2784" s="374"/>
      <c r="O2784" s="374"/>
      <c r="P2784" s="374"/>
      <c r="Q2784" s="374"/>
      <c r="R2784" s="374"/>
      <c r="S2784" s="38"/>
      <c r="T2784" s="38"/>
      <c r="U2784" s="38"/>
      <c r="V2784" s="38"/>
      <c r="W2784" s="38"/>
      <c r="X2784" s="32"/>
      <c r="Y2784" s="32"/>
      <c r="Z2784" s="32"/>
      <c r="AA2784" s="32"/>
      <c r="AB2784" s="32"/>
      <c r="AC2784" s="32"/>
      <c r="AD2784" s="32"/>
      <c r="AE2784" s="32"/>
      <c r="AF2784" s="32"/>
      <c r="AG2784" s="373">
        <f>IPMT('Assumptions (T&amp;D) old'!$B$100,Model!W$1,'Assumptions (T&amp;D) old'!$B$103,Model!$AG$2699)</f>
        <v>-0.06525916051</v>
      </c>
      <c r="AH2784" s="373">
        <f>IPMT('Assumptions (T&amp;D) old'!$B$100,Model!X$1,'Assumptions (T&amp;D) old'!$B$103,Model!$AG$2699)</f>
        <v>-0.06217754892</v>
      </c>
      <c r="AI2784" s="373">
        <f>IPMT('Assumptions (T&amp;D) old'!$B$100,Model!Y$1,'Assumptions (T&amp;D) old'!$B$103,Model!$AG$2699)</f>
        <v>-0.05894956078</v>
      </c>
      <c r="AJ2784" s="373">
        <f>IPMT('Assumptions (T&amp;D) old'!$B$100,Model!Z$1,'Assumptions (T&amp;D) old'!$B$103,Model!$AG$2699)</f>
        <v>-0.0555682432</v>
      </c>
      <c r="AK2784" s="373">
        <f>IPMT('Assumptions (T&amp;D) old'!$B$100,Model!AA$1,'Assumptions (T&amp;D) old'!$B$103,Model!$AG$2699)</f>
        <v>-0.05202631304</v>
      </c>
      <c r="AL2784" s="373">
        <f>IPMT('Assumptions (T&amp;D) old'!$B$100,Model!AB$1,'Assumptions (T&amp;D) old'!$B$103,Model!$AG$2699)</f>
        <v>-0.0483161412</v>
      </c>
      <c r="AM2784" s="373">
        <f>IPMT('Assumptions (T&amp;D) old'!$B$100,Model!AC$1,'Assumptions (T&amp;D) old'!$B$103,Model!$AG$2699)</f>
        <v>-0.04442973619</v>
      </c>
      <c r="AN2784" s="373">
        <f>IPMT('Assumptions (T&amp;D) old'!$B$100,Model!AD$1,'Assumptions (T&amp;D) old'!$B$103,Model!$AG$2699)</f>
        <v>-0.04035872694</v>
      </c>
      <c r="AO2784" s="373">
        <f>IPMT('Assumptions (T&amp;D) old'!$B$100,Model!AE$1,'Assumptions (T&amp;D) old'!$B$103,Model!$AG$2699)</f>
        <v>-0.03609434476</v>
      </c>
      <c r="AP2784" s="373">
        <f>IPMT('Assumptions (T&amp;D) old'!$B$100,Model!AF$1,'Assumptions (T&amp;D) old'!$B$103,Model!$AG$2699)</f>
        <v>-0.03162740442</v>
      </c>
      <c r="AQ2784" s="373">
        <f>IPMT('Assumptions (T&amp;D) old'!$B$100,Model!AG$1,'Assumptions (T&amp;D) old'!$B$103,Model!$AG$2699)</f>
        <v>-0.02694828442</v>
      </c>
      <c r="AR2784" s="373">
        <f>IPMT('Assumptions (T&amp;D) old'!$B$100,Model!AH$1,'Assumptions (T&amp;D) old'!$B$103,Model!$AG$2699)</f>
        <v>-0.02204690621</v>
      </c>
      <c r="AS2784" s="373">
        <f>IPMT('Assumptions (T&amp;D) old'!$B$100,Model!AI$1,'Assumptions (T&amp;D) old'!$B$103,Model!$AG$2699)</f>
        <v>-0.01691271254</v>
      </c>
      <c r="AT2784" s="373">
        <f>IPMT('Assumptions (T&amp;D) old'!$B$100,Model!AJ$1,'Assumptions (T&amp;D) old'!$B$103,Model!$AG$2699)</f>
        <v>-0.01153464467</v>
      </c>
      <c r="AU2784" s="373">
        <f>IPMT('Assumptions (T&amp;D) old'!$B$100,Model!AK$1,'Assumptions (T&amp;D) old'!$B$103,Model!$AG$2699)</f>
        <v>-0.005901118582</v>
      </c>
      <c r="AV2784" s="374"/>
      <c r="AW2784" s="374"/>
      <c r="AX2784" s="374"/>
      <c r="AY2784" s="374"/>
      <c r="AZ2784" s="374"/>
      <c r="BA2784" s="374"/>
      <c r="BB2784" s="374"/>
      <c r="BC2784" s="374"/>
      <c r="BD2784" s="374"/>
      <c r="BE2784" s="374"/>
      <c r="BF2784" s="32"/>
      <c r="BG2784" s="32"/>
      <c r="BH2784" s="32"/>
      <c r="BI2784" s="32"/>
      <c r="BJ2784" s="32"/>
      <c r="BK2784" s="32"/>
      <c r="BL2784" s="32"/>
      <c r="BM2784" s="32"/>
      <c r="BN2784" s="32"/>
      <c r="BO2784" s="32"/>
      <c r="BP2784" s="32"/>
      <c r="BQ2784" s="32"/>
      <c r="BR2784" s="32"/>
      <c r="BS2784" s="32"/>
      <c r="BT2784" s="32"/>
      <c r="BU2784" s="32"/>
      <c r="BV2784" s="32"/>
      <c r="BW2784" s="32"/>
      <c r="BX2784" s="32"/>
      <c r="BY2784" s="32"/>
      <c r="BZ2784" s="32"/>
      <c r="CA2784" s="32"/>
      <c r="CB2784" s="32"/>
      <c r="CC2784" s="32"/>
      <c r="CD2784" s="32"/>
    </row>
    <row r="2785" ht="15.75" hidden="1" customHeight="1" outlineLevel="1">
      <c r="A2785" s="365"/>
      <c r="B2785" s="38"/>
      <c r="C2785" s="374"/>
      <c r="D2785" s="374"/>
      <c r="E2785" s="374"/>
      <c r="F2785" s="374"/>
      <c r="G2785" s="374"/>
      <c r="H2785" s="374"/>
      <c r="I2785" s="374"/>
      <c r="J2785" s="374"/>
      <c r="K2785" s="374"/>
      <c r="L2785" s="374"/>
      <c r="M2785" s="374"/>
      <c r="N2785" s="374"/>
      <c r="O2785" s="374"/>
      <c r="P2785" s="374"/>
      <c r="Q2785" s="374"/>
      <c r="R2785" s="374"/>
      <c r="S2785" s="38"/>
      <c r="T2785" s="38"/>
      <c r="U2785" s="38"/>
      <c r="V2785" s="38"/>
      <c r="W2785" s="38"/>
      <c r="X2785" s="32"/>
      <c r="Y2785" s="32"/>
      <c r="Z2785" s="32"/>
      <c r="AA2785" s="32"/>
      <c r="AB2785" s="32"/>
      <c r="AC2785" s="32"/>
      <c r="AD2785" s="32"/>
      <c r="AE2785" s="32"/>
      <c r="AF2785" s="32"/>
      <c r="AG2785" s="32"/>
      <c r="AH2785" s="373">
        <f>IPMT('Assumptions (T&amp;D) old'!$B$100,Model!W$1,'Assumptions (T&amp;D) old'!$B$103,Model!$AH$2699)</f>
        <v>-0.06703646928</v>
      </c>
      <c r="AI2785" s="373">
        <f>IPMT('Assumptions (T&amp;D) old'!$B$100,Model!X$1,'Assumptions (T&amp;D) old'!$B$103,Model!$AH$2699)</f>
        <v>-0.06387093116</v>
      </c>
      <c r="AJ2785" s="373">
        <f>IPMT('Assumptions (T&amp;D) old'!$B$100,Model!Y$1,'Assumptions (T&amp;D) old'!$B$103,Model!$AH$2699)</f>
        <v>-0.06055502997</v>
      </c>
      <c r="AK2785" s="373">
        <f>IPMT('Assumptions (T&amp;D) old'!$B$100,Model!Z$1,'Assumptions (T&amp;D) old'!$B$103,Model!$AH$2699)</f>
        <v>-0.05708162348</v>
      </c>
      <c r="AL2785" s="373">
        <f>IPMT('Assumptions (T&amp;D) old'!$B$100,Model!AA$1,'Assumptions (T&amp;D) old'!$B$103,Model!$AH$2699)</f>
        <v>-0.05344323017</v>
      </c>
      <c r="AM2785" s="373">
        <f>IPMT('Assumptions (T&amp;D) old'!$B$100,Model!AB$1,'Assumptions (T&amp;D) old'!$B$103,Model!$AH$2699)</f>
        <v>-0.04963201319</v>
      </c>
      <c r="AN2785" s="373">
        <f>IPMT('Assumptions (T&amp;D) old'!$B$100,Model!AC$1,'Assumptions (T&amp;D) old'!$B$103,Model!$AH$2699)</f>
        <v>-0.0456397634</v>
      </c>
      <c r="AO2785" s="373">
        <f>IPMT('Assumptions (T&amp;D) old'!$B$100,Model!AD$1,'Assumptions (T&amp;D) old'!$B$103,Model!$AH$2699)</f>
        <v>-0.04145788174</v>
      </c>
      <c r="AP2785" s="373">
        <f>IPMT('Assumptions (T&amp;D) old'!$B$100,Model!AE$1,'Assumptions (T&amp;D) old'!$B$103,Model!$AH$2699)</f>
        <v>-0.03707736071</v>
      </c>
      <c r="AQ2785" s="373">
        <f>IPMT('Assumptions (T&amp;D) old'!$B$100,Model!AF$1,'Assumptions (T&amp;D) old'!$B$103,Model!$AH$2699)</f>
        <v>-0.03248876492</v>
      </c>
      <c r="AR2785" s="373">
        <f>IPMT('Assumptions (T&amp;D) old'!$B$100,Model!AG$1,'Assumptions (T&amp;D) old'!$B$103,Model!$AH$2699)</f>
        <v>-0.02768221084</v>
      </c>
      <c r="AS2785" s="373">
        <f>IPMT('Assumptions (T&amp;D) old'!$B$100,Model!AH$1,'Assumptions (T&amp;D) old'!$B$103,Model!$AH$2699)</f>
        <v>-0.02264734544</v>
      </c>
      <c r="AT2785" s="373">
        <f>IPMT('Assumptions (T&amp;D) old'!$B$100,Model!AI$1,'Assumptions (T&amp;D) old'!$B$103,Model!$AH$2699)</f>
        <v>-0.01737332393</v>
      </c>
      <c r="AU2785" s="373">
        <f>IPMT('Assumptions (T&amp;D) old'!$B$100,Model!AJ$1,'Assumptions (T&amp;D) old'!$B$103,Model!$AH$2699)</f>
        <v>-0.0118487864</v>
      </c>
      <c r="AV2785" s="373">
        <f>IPMT('Assumptions (T&amp;D) old'!$B$100,Model!AK$1,'Assumptions (T&amp;D) old'!$B$103,Model!$AH$2699)</f>
        <v>-0.006061833334</v>
      </c>
      <c r="AW2785" s="374"/>
      <c r="AX2785" s="374"/>
      <c r="AY2785" s="374"/>
      <c r="AZ2785" s="374"/>
      <c r="BA2785" s="374"/>
      <c r="BB2785" s="374"/>
      <c r="BC2785" s="374"/>
      <c r="BD2785" s="374"/>
      <c r="BE2785" s="374"/>
      <c r="BF2785" s="374"/>
      <c r="BG2785" s="32"/>
      <c r="BH2785" s="32"/>
      <c r="BI2785" s="32"/>
      <c r="BJ2785" s="32"/>
      <c r="BK2785" s="32"/>
      <c r="BL2785" s="32"/>
      <c r="BM2785" s="32"/>
      <c r="BN2785" s="32"/>
      <c r="BO2785" s="32"/>
      <c r="BP2785" s="32"/>
      <c r="BQ2785" s="32"/>
      <c r="BR2785" s="32"/>
      <c r="BS2785" s="32"/>
      <c r="BT2785" s="32"/>
      <c r="BU2785" s="32"/>
      <c r="BV2785" s="32"/>
      <c r="BW2785" s="32"/>
      <c r="BX2785" s="32"/>
      <c r="BY2785" s="32"/>
      <c r="BZ2785" s="32"/>
      <c r="CA2785" s="32"/>
      <c r="CB2785" s="32"/>
      <c r="CC2785" s="32"/>
      <c r="CD2785" s="32"/>
    </row>
    <row r="2786" ht="15.75" hidden="1" customHeight="1" outlineLevel="1">
      <c r="A2786" s="365"/>
      <c r="B2786" s="38"/>
      <c r="C2786" s="374"/>
      <c r="D2786" s="374"/>
      <c r="E2786" s="374"/>
      <c r="F2786" s="374"/>
      <c r="G2786" s="374"/>
      <c r="H2786" s="374"/>
      <c r="I2786" s="374"/>
      <c r="J2786" s="374"/>
      <c r="K2786" s="374"/>
      <c r="L2786" s="374"/>
      <c r="M2786" s="374"/>
      <c r="N2786" s="374"/>
      <c r="O2786" s="374"/>
      <c r="P2786" s="374"/>
      <c r="Q2786" s="374"/>
      <c r="R2786" s="374"/>
      <c r="S2786" s="38"/>
      <c r="T2786" s="38"/>
      <c r="U2786" s="38"/>
      <c r="V2786" s="38"/>
      <c r="W2786" s="38"/>
      <c r="X2786" s="32"/>
      <c r="Y2786" s="32"/>
      <c r="Z2786" s="32"/>
      <c r="AA2786" s="32"/>
      <c r="AB2786" s="32"/>
      <c r="AC2786" s="32"/>
      <c r="AD2786" s="32"/>
      <c r="AE2786" s="32"/>
      <c r="AF2786" s="32"/>
      <c r="AG2786" s="32"/>
      <c r="AH2786" s="32"/>
      <c r="AI2786" s="373">
        <f>IPMT('Assumptions (T&amp;D) old'!$B$100,Model!W$1,'Assumptions (T&amp;D) old'!$B$103,Model!$AI$2699)</f>
        <v>-0.06924139983</v>
      </c>
      <c r="AJ2786" s="373">
        <f>IPMT('Assumptions (T&amp;D) old'!$B$100,Model!X$1,'Assumptions (T&amp;D) old'!$B$103,Model!$AI$2699)</f>
        <v>-0.06597174238</v>
      </c>
      <c r="AK2786" s="373">
        <f>IPMT('Assumptions (T&amp;D) old'!$B$100,Model!Y$1,'Assumptions (T&amp;D) old'!$B$103,Model!$AI$2699)</f>
        <v>-0.0625467762</v>
      </c>
      <c r="AL2786" s="373">
        <f>IPMT('Assumptions (T&amp;D) old'!$B$100,Model!Z$1,'Assumptions (T&amp;D) old'!$B$103,Model!$AI$2699)</f>
        <v>-0.05895912413</v>
      </c>
      <c r="AM2786" s="373">
        <f>IPMT('Assumptions (T&amp;D) old'!$B$100,Model!AA$1,'Assumptions (T&amp;D) old'!$B$103,Model!$AI$2699)</f>
        <v>-0.05520105859</v>
      </c>
      <c r="AN2786" s="373">
        <f>IPMT('Assumptions (T&amp;D) old'!$B$100,Model!AB$1,'Assumptions (T&amp;D) old'!$B$103,Model!$AI$2699)</f>
        <v>-0.05126448493</v>
      </c>
      <c r="AO2786" s="373">
        <f>IPMT('Assumptions (T&amp;D) old'!$B$100,Model!AC$1,'Assumptions (T&amp;D) old'!$B$103,Model!$AI$2699)</f>
        <v>-0.04714092403</v>
      </c>
      <c r="AP2786" s="373">
        <f>IPMT('Assumptions (T&amp;D) old'!$B$100,Model!AD$1,'Assumptions (T&amp;D) old'!$B$103,Model!$AI$2699)</f>
        <v>-0.04282149398</v>
      </c>
      <c r="AQ2786" s="373">
        <f>IPMT('Assumptions (T&amp;D) old'!$B$100,Model!AE$1,'Assumptions (T&amp;D) old'!$B$103,Model!$AI$2699)</f>
        <v>-0.038296891</v>
      </c>
      <c r="AR2786" s="373">
        <f>IPMT('Assumptions (T&amp;D) old'!$B$100,Model!AF$1,'Assumptions (T&amp;D) old'!$B$103,Model!$AI$2699)</f>
        <v>-0.03355736938</v>
      </c>
      <c r="AS2786" s="373">
        <f>IPMT('Assumptions (T&amp;D) old'!$B$100,Model!AG$1,'Assumptions (T&amp;D) old'!$B$103,Model!$AI$2699)</f>
        <v>-0.02859272049</v>
      </c>
      <c r="AT2786" s="373">
        <f>IPMT('Assumptions (T&amp;D) old'!$B$100,Model!AH$1,'Assumptions (T&amp;D) old'!$B$103,Model!$AI$2699)</f>
        <v>-0.02339225077</v>
      </c>
      <c r="AU2786" s="373">
        <f>IPMT('Assumptions (T&amp;D) old'!$B$100,Model!AI$1,'Assumptions (T&amp;D) old'!$B$103,Model!$AI$2699)</f>
        <v>-0.01794475875</v>
      </c>
      <c r="AV2786" s="373">
        <f>IPMT('Assumptions (T&amp;D) old'!$B$100,Model!AJ$1,'Assumptions (T&amp;D) old'!$B$103,Model!$AI$2699)</f>
        <v>-0.01223851085</v>
      </c>
      <c r="AW2786" s="373">
        <f>IPMT('Assumptions (T&amp;D) old'!$B$100,Model!AK$1,'Assumptions (T&amp;D) old'!$B$103,Model!$AI$2699)</f>
        <v>-0.006261216172</v>
      </c>
      <c r="AX2786" s="374"/>
      <c r="AY2786" s="374"/>
      <c r="AZ2786" s="374"/>
      <c r="BA2786" s="374"/>
      <c r="BB2786" s="374"/>
      <c r="BC2786" s="374"/>
      <c r="BD2786" s="374"/>
      <c r="BE2786" s="374"/>
      <c r="BF2786" s="374"/>
      <c r="BG2786" s="374"/>
      <c r="BH2786" s="32"/>
      <c r="BI2786" s="32"/>
      <c r="BJ2786" s="32"/>
      <c r="BK2786" s="32"/>
      <c r="BL2786" s="32"/>
      <c r="BM2786" s="32"/>
      <c r="BN2786" s="32"/>
      <c r="BO2786" s="32"/>
      <c r="BP2786" s="32"/>
      <c r="BQ2786" s="32"/>
      <c r="BR2786" s="32"/>
      <c r="BS2786" s="32"/>
      <c r="BT2786" s="32"/>
      <c r="BU2786" s="32"/>
      <c r="BV2786" s="32"/>
      <c r="BW2786" s="32"/>
      <c r="BX2786" s="32"/>
      <c r="BY2786" s="32"/>
      <c r="BZ2786" s="32"/>
      <c r="CA2786" s="32"/>
      <c r="CB2786" s="32"/>
      <c r="CC2786" s="32"/>
      <c r="CD2786" s="32"/>
    </row>
    <row r="2787" ht="15.75" hidden="1" customHeight="1" outlineLevel="1">
      <c r="A2787" s="365"/>
      <c r="B2787" s="38"/>
      <c r="C2787" s="374"/>
      <c r="D2787" s="374"/>
      <c r="E2787" s="374"/>
      <c r="F2787" s="374"/>
      <c r="G2787" s="374"/>
      <c r="H2787" s="374"/>
      <c r="I2787" s="374"/>
      <c r="J2787" s="374"/>
      <c r="K2787" s="374"/>
      <c r="L2787" s="374"/>
      <c r="M2787" s="374"/>
      <c r="N2787" s="374"/>
      <c r="O2787" s="374"/>
      <c r="P2787" s="374"/>
      <c r="Q2787" s="374"/>
      <c r="R2787" s="374"/>
      <c r="S2787" s="38"/>
      <c r="T2787" s="38"/>
      <c r="U2787" s="38"/>
      <c r="V2787" s="38"/>
      <c r="W2787" s="38"/>
      <c r="X2787" s="32"/>
      <c r="Y2787" s="32"/>
      <c r="Z2787" s="32"/>
      <c r="AA2787" s="32"/>
      <c r="AB2787" s="32"/>
      <c r="AC2787" s="32"/>
      <c r="AD2787" s="32"/>
      <c r="AE2787" s="32"/>
      <c r="AF2787" s="32"/>
      <c r="AG2787" s="32"/>
      <c r="AH2787" s="32"/>
      <c r="AI2787" s="32"/>
      <c r="AJ2787" s="373">
        <f>IPMT('Assumptions (T&amp;D) old'!$B$100,Model!W$1,'Assumptions (T&amp;D) old'!$B$103,Model!$AJ$2699)</f>
        <v>-0.07072640071</v>
      </c>
      <c r="AK2787" s="373">
        <f>IPMT('Assumptions (T&amp;D) old'!$B$100,Model!X$1,'Assumptions (T&amp;D) old'!$B$103,Model!$AJ$2699)</f>
        <v>-0.06738661983</v>
      </c>
      <c r="AL2787" s="373">
        <f>IPMT('Assumptions (T&amp;D) old'!$B$100,Model!Y$1,'Assumptions (T&amp;D) old'!$B$103,Model!$AJ$2699)</f>
        <v>-0.06388819937</v>
      </c>
      <c r="AM2787" s="373">
        <f>IPMT('Assumptions (T&amp;D) old'!$B$100,Model!Z$1,'Assumptions (T&amp;D) old'!$B$103,Model!$AJ$2699)</f>
        <v>-0.06022360393</v>
      </c>
      <c r="AN2787" s="373">
        <f>IPMT('Assumptions (T&amp;D) old'!$B$100,Model!AA$1,'Assumptions (T&amp;D) old'!$B$103,Model!$AJ$2699)</f>
        <v>-0.05638494021</v>
      </c>
      <c r="AO2787" s="373">
        <f>IPMT('Assumptions (T&amp;D) old'!$B$100,Model!AB$1,'Assumptions (T&amp;D) old'!$B$103,Model!$AJ$2699)</f>
        <v>-0.05236393996</v>
      </c>
      <c r="AP2787" s="373">
        <f>IPMT('Assumptions (T&amp;D) old'!$B$100,Model!AC$1,'Assumptions (T&amp;D) old'!$B$103,Model!$AJ$2699)</f>
        <v>-0.0481519422</v>
      </c>
      <c r="AQ2787" s="373">
        <f>IPMT('Assumptions (T&amp;D) old'!$B$100,Model!AD$1,'Assumptions (T&amp;D) old'!$B$103,Model!$AJ$2699)</f>
        <v>-0.04373987455</v>
      </c>
      <c r="AR2787" s="373">
        <f>IPMT('Assumptions (T&amp;D) old'!$B$100,Model!AE$1,'Assumptions (T&amp;D) old'!$B$103,Model!$AJ$2699)</f>
        <v>-0.03911823368</v>
      </c>
      <c r="AS2787" s="373">
        <f>IPMT('Assumptions (T&amp;D) old'!$B$100,Model!AF$1,'Assumptions (T&amp;D) old'!$B$103,Model!$AJ$2699)</f>
        <v>-0.03427706487</v>
      </c>
      <c r="AT2787" s="373">
        <f>IPMT('Assumptions (T&amp;D) old'!$B$100,Model!AG$1,'Assumptions (T&amp;D) old'!$B$103,Model!$AJ$2699)</f>
        <v>-0.02920594055</v>
      </c>
      <c r="AU2787" s="373">
        <f>IPMT('Assumptions (T&amp;D) old'!$B$100,Model!AH$1,'Assumptions (T&amp;D) old'!$B$103,Model!$AJ$2699)</f>
        <v>-0.02389393781</v>
      </c>
      <c r="AV2787" s="373">
        <f>IPMT('Assumptions (T&amp;D) old'!$B$100,Model!AI$1,'Assumptions (T&amp;D) old'!$B$103,Model!$AJ$2699)</f>
        <v>-0.01832961495</v>
      </c>
      <c r="AW2787" s="373">
        <f>IPMT('Assumptions (T&amp;D) old'!$B$100,Model!AJ$1,'Assumptions (T&amp;D) old'!$B$103,Model!$AJ$2699)</f>
        <v>-0.01250098676</v>
      </c>
      <c r="AX2787" s="373">
        <f>IPMT('Assumptions (T&amp;D) old'!$B$100,Model!AK$1,'Assumptions (T&amp;D) old'!$B$103,Model!$AJ$2699)</f>
        <v>-0.006395498719</v>
      </c>
      <c r="AY2787" s="374"/>
      <c r="AZ2787" s="374"/>
      <c r="BA2787" s="374"/>
      <c r="BB2787" s="374"/>
      <c r="BC2787" s="374"/>
      <c r="BD2787" s="374"/>
      <c r="BE2787" s="374"/>
      <c r="BF2787" s="374"/>
      <c r="BG2787" s="374"/>
      <c r="BH2787" s="374"/>
      <c r="BI2787" s="32"/>
      <c r="BJ2787" s="32"/>
      <c r="BK2787" s="32"/>
      <c r="BL2787" s="32"/>
      <c r="BM2787" s="32"/>
      <c r="BN2787" s="32"/>
      <c r="BO2787" s="32"/>
      <c r="BP2787" s="32"/>
      <c r="BQ2787" s="32"/>
      <c r="BR2787" s="32"/>
      <c r="BS2787" s="32"/>
      <c r="BT2787" s="32"/>
      <c r="BU2787" s="32"/>
      <c r="BV2787" s="32"/>
      <c r="BW2787" s="32"/>
      <c r="BX2787" s="32"/>
      <c r="BY2787" s="32"/>
      <c r="BZ2787" s="32"/>
      <c r="CA2787" s="32"/>
      <c r="CB2787" s="32"/>
      <c r="CC2787" s="32"/>
      <c r="CD2787" s="32"/>
    </row>
    <row r="2788" ht="15.75" hidden="1" customHeight="1" outlineLevel="1">
      <c r="A2788" s="365"/>
      <c r="B2788" s="38"/>
      <c r="C2788" s="374"/>
      <c r="D2788" s="374"/>
      <c r="E2788" s="374"/>
      <c r="F2788" s="374"/>
      <c r="G2788" s="374"/>
      <c r="H2788" s="374"/>
      <c r="I2788" s="374"/>
      <c r="J2788" s="374"/>
      <c r="K2788" s="374"/>
      <c r="L2788" s="374"/>
      <c r="M2788" s="374"/>
      <c r="N2788" s="374"/>
      <c r="O2788" s="374"/>
      <c r="P2788" s="374"/>
      <c r="Q2788" s="374"/>
      <c r="R2788" s="374"/>
      <c r="S2788" s="38"/>
      <c r="T2788" s="38"/>
      <c r="U2788" s="38"/>
      <c r="V2788" s="38"/>
      <c r="W2788" s="38"/>
      <c r="X2788" s="32"/>
      <c r="Y2788" s="32"/>
      <c r="Z2788" s="32"/>
      <c r="AA2788" s="32"/>
      <c r="AB2788" s="32"/>
      <c r="AC2788" s="32"/>
      <c r="AD2788" s="32"/>
      <c r="AE2788" s="32"/>
      <c r="AF2788" s="32"/>
      <c r="AG2788" s="32"/>
      <c r="AH2788" s="32"/>
      <c r="AI2788" s="32"/>
      <c r="AJ2788" s="32"/>
      <c r="AK2788" s="373">
        <f>IPMT('Assumptions (T&amp;D) old'!$B$100,Model!W$1,'Assumptions (T&amp;D) old'!$B$103,Model!$AK$2699)</f>
        <v>-0.07264119671</v>
      </c>
      <c r="AL2788" s="373">
        <f>IPMT('Assumptions (T&amp;D) old'!$B$100,Model!X$1,'Assumptions (T&amp;D) old'!$B$103,Model!$AK$2699)</f>
        <v>-0.06921099699</v>
      </c>
      <c r="AM2788" s="373">
        <f>IPMT('Assumptions (T&amp;D) old'!$B$100,Model!Y$1,'Assumptions (T&amp;D) old'!$B$103,Model!$AK$2699)</f>
        <v>-0.0656178628</v>
      </c>
      <c r="AN2788" s="373">
        <f>IPMT('Assumptions (T&amp;D) old'!$B$100,Model!Z$1,'Assumptions (T&amp;D) old'!$B$103,Model!$AK$2699)</f>
        <v>-0.06185405472</v>
      </c>
      <c r="AO2788" s="373">
        <f>IPMT('Assumptions (T&amp;D) old'!$B$100,Model!AA$1,'Assumptions (T&amp;D) old'!$B$103,Model!$AK$2699)</f>
        <v>-0.05791146576</v>
      </c>
      <c r="AP2788" s="373">
        <f>IPMT('Assumptions (T&amp;D) old'!$B$100,Model!AB$1,'Assumptions (T&amp;D) old'!$B$103,Model!$AK$2699)</f>
        <v>-0.05378160383</v>
      </c>
      <c r="AQ2788" s="373">
        <f>IPMT('Assumptions (T&amp;D) old'!$B$100,Model!AC$1,'Assumptions (T&amp;D) old'!$B$103,Model!$AK$2699)</f>
        <v>-0.04945557345</v>
      </c>
      <c r="AR2788" s="373">
        <f>IPMT('Assumptions (T&amp;D) old'!$B$100,Model!AD$1,'Assumptions (T&amp;D) old'!$B$103,Model!$AK$2699)</f>
        <v>-0.04492405664</v>
      </c>
      <c r="AS2788" s="373">
        <f>IPMT('Assumptions (T&amp;D) old'!$B$100,Model!AE$1,'Assumptions (T&amp;D) old'!$B$103,Model!$AK$2699)</f>
        <v>-0.04017729277</v>
      </c>
      <c r="AT2788" s="373">
        <f>IPMT('Assumptions (T&amp;D) old'!$B$100,Model!AF$1,'Assumptions (T&amp;D) old'!$B$103,Model!$AK$2699)</f>
        <v>-0.03520505762</v>
      </c>
      <c r="AU2788" s="373">
        <f>IPMT('Assumptions (T&amp;D) old'!$B$100,Model!AG$1,'Assumptions (T&amp;D) old'!$B$103,Model!$AK$2699)</f>
        <v>-0.0299966413</v>
      </c>
      <c r="AV2788" s="373">
        <f>IPMT('Assumptions (T&amp;D) old'!$B$100,Model!AH$1,'Assumptions (T&amp;D) old'!$B$103,Model!$AK$2699)</f>
        <v>-0.0245408252</v>
      </c>
      <c r="AW2788" s="373">
        <f>IPMT('Assumptions (T&amp;D) old'!$B$100,Model!AI$1,'Assumptions (T&amp;D) old'!$B$103,Model!$AK$2699)</f>
        <v>-0.01882585784</v>
      </c>
      <c r="AX2788" s="373">
        <f>IPMT('Assumptions (T&amp;D) old'!$B$100,Model!AJ$1,'Assumptions (T&amp;D) old'!$B$103,Model!$AK$2699)</f>
        <v>-0.01283942953</v>
      </c>
      <c r="AY2788" s="373">
        <f>IPMT('Assumptions (T&amp;D) old'!$B$100,Model!AK$1,'Assumptions (T&amp;D) old'!$B$103,Model!$AK$2699)</f>
        <v>-0.006568645878</v>
      </c>
      <c r="AZ2788" s="374"/>
      <c r="BA2788" s="374"/>
      <c r="BB2788" s="374"/>
      <c r="BC2788" s="374"/>
      <c r="BD2788" s="374"/>
      <c r="BE2788" s="374"/>
      <c r="BF2788" s="374"/>
      <c r="BG2788" s="374"/>
      <c r="BH2788" s="374"/>
      <c r="BI2788" s="374"/>
      <c r="BJ2788" s="32"/>
      <c r="BK2788" s="32"/>
      <c r="BL2788" s="32"/>
      <c r="BM2788" s="32"/>
      <c r="BN2788" s="32"/>
      <c r="BO2788" s="32"/>
      <c r="BP2788" s="32"/>
      <c r="BQ2788" s="32"/>
      <c r="BR2788" s="32"/>
      <c r="BS2788" s="32"/>
      <c r="BT2788" s="32"/>
      <c r="BU2788" s="32"/>
      <c r="BV2788" s="32"/>
      <c r="BW2788" s="32"/>
      <c r="BX2788" s="32"/>
      <c r="BY2788" s="32"/>
      <c r="BZ2788" s="32"/>
      <c r="CA2788" s="32"/>
      <c r="CB2788" s="32"/>
      <c r="CC2788" s="32"/>
      <c r="CD2788" s="32"/>
    </row>
    <row r="2789" ht="15.75" hidden="1" customHeight="1" outlineLevel="1">
      <c r="A2789" s="365"/>
      <c r="B2789" s="38"/>
      <c r="C2789" s="374"/>
      <c r="D2789" s="374"/>
      <c r="E2789" s="374"/>
      <c r="F2789" s="374"/>
      <c r="G2789" s="374"/>
      <c r="H2789" s="374"/>
      <c r="I2789" s="374"/>
      <c r="J2789" s="374"/>
      <c r="K2789" s="374"/>
      <c r="L2789" s="374"/>
      <c r="M2789" s="374"/>
      <c r="N2789" s="374"/>
      <c r="O2789" s="374"/>
      <c r="P2789" s="374"/>
      <c r="Q2789" s="374"/>
      <c r="R2789" s="374"/>
      <c r="S2789" s="38"/>
      <c r="T2789" s="38"/>
      <c r="U2789" s="38"/>
      <c r="V2789" s="38"/>
      <c r="W2789" s="38"/>
      <c r="X2789" s="32"/>
      <c r="Y2789" s="32"/>
      <c r="Z2789" s="32"/>
      <c r="AA2789" s="32"/>
      <c r="AB2789" s="32"/>
      <c r="AC2789" s="32"/>
      <c r="AD2789" s="32"/>
      <c r="AE2789" s="32"/>
      <c r="AF2789" s="32"/>
      <c r="AG2789" s="32"/>
      <c r="AH2789" s="32"/>
      <c r="AI2789" s="32"/>
      <c r="AJ2789" s="32"/>
      <c r="AK2789" s="32"/>
      <c r="AL2789" s="373">
        <f>IPMT('Assumptions (T&amp;D) old'!$B$100,Model!W$1,'Assumptions (T&amp;D) old'!$B$103,Model!$AL$2699)</f>
        <v>-0.07460403733</v>
      </c>
      <c r="AM2789" s="373">
        <f>IPMT('Assumptions (T&amp;D) old'!$B$100,Model!X$1,'Assumptions (T&amp;D) old'!$B$103,Model!$AL$2699)</f>
        <v>-0.07108115006</v>
      </c>
      <c r="AN2789" s="373">
        <f>IPMT('Assumptions (T&amp;D) old'!$B$100,Model!Y$1,'Assumptions (T&amp;D) old'!$B$103,Model!$AL$2699)</f>
        <v>-0.06739092564</v>
      </c>
      <c r="AO2789" s="373">
        <f>IPMT('Assumptions (T&amp;D) old'!$B$100,Model!Z$1,'Assumptions (T&amp;D) old'!$B$103,Model!$AL$2699)</f>
        <v>-0.06352541556</v>
      </c>
      <c r="AP2789" s="373">
        <f>IPMT('Assumptions (T&amp;D) old'!$B$100,Model!AA$1,'Assumptions (T&amp;D) old'!$B$103,Model!$AL$2699)</f>
        <v>-0.05947629375</v>
      </c>
      <c r="AQ2789" s="373">
        <f>IPMT('Assumptions (T&amp;D) old'!$B$100,Model!AB$1,'Assumptions (T&amp;D) old'!$B$103,Model!$AL$2699)</f>
        <v>-0.05523483866</v>
      </c>
      <c r="AR2789" s="373">
        <f>IPMT('Assumptions (T&amp;D) old'!$B$100,Model!AC$1,'Assumptions (T&amp;D) old'!$B$103,Model!$AL$2699)</f>
        <v>-0.05079191444</v>
      </c>
      <c r="AS2789" s="373">
        <f>IPMT('Assumptions (T&amp;D) old'!$B$100,Model!AD$1,'Assumptions (T&amp;D) old'!$B$103,Model!$AL$2699)</f>
        <v>-0.04613795133</v>
      </c>
      <c r="AT2789" s="373">
        <f>IPMT('Assumptions (T&amp;D) old'!$B$100,Model!AE$1,'Assumptions (T&amp;D) old'!$B$103,Model!$AL$2699)</f>
        <v>-0.04126292497</v>
      </c>
      <c r="AU2789" s="373">
        <f>IPMT('Assumptions (T&amp;D) old'!$B$100,Model!AF$1,'Assumptions (T&amp;D) old'!$B$103,Model!$AL$2699)</f>
        <v>-0.03615633486</v>
      </c>
      <c r="AV2789" s="373">
        <f>IPMT('Assumptions (T&amp;D) old'!$B$100,Model!AG$1,'Assumptions (T&amp;D) old'!$B$103,Model!$AL$2699)</f>
        <v>-0.03080718172</v>
      </c>
      <c r="AW2789" s="373">
        <f>IPMT('Assumptions (T&amp;D) old'!$B$100,Model!AH$1,'Assumptions (T&amp;D) old'!$B$103,Model!$AL$2699)</f>
        <v>-0.0252039438</v>
      </c>
      <c r="AX2789" s="373">
        <f>IPMT('Assumptions (T&amp;D) old'!$B$100,Model!AI$1,'Assumptions (T&amp;D) old'!$B$103,Model!$AL$2699)</f>
        <v>-0.01933455209</v>
      </c>
      <c r="AY2789" s="373">
        <f>IPMT('Assumptions (T&amp;D) old'!$B$100,Model!AJ$1,'Assumptions (T&amp;D) old'!$B$103,Model!$AL$2699)</f>
        <v>-0.01318636426</v>
      </c>
      <c r="AZ2789" s="373">
        <f>IPMT('Assumptions (T&amp;D) old'!$B$100,Model!AK$1,'Assumptions (T&amp;D) old'!$B$103,Model!$AL$2699)</f>
        <v>-0.006746137516</v>
      </c>
      <c r="BA2789" s="374"/>
      <c r="BB2789" s="374"/>
      <c r="BC2789" s="374"/>
      <c r="BD2789" s="374"/>
      <c r="BE2789" s="374"/>
      <c r="BF2789" s="374"/>
      <c r="BG2789" s="374"/>
      <c r="BH2789" s="374"/>
      <c r="BI2789" s="374"/>
      <c r="BJ2789" s="374"/>
      <c r="BK2789" s="32"/>
      <c r="BL2789" s="32"/>
      <c r="BM2789" s="32"/>
      <c r="BN2789" s="32"/>
      <c r="BO2789" s="32"/>
      <c r="BP2789" s="32"/>
      <c r="BQ2789" s="32"/>
      <c r="BR2789" s="32"/>
      <c r="BS2789" s="32"/>
      <c r="BT2789" s="32"/>
      <c r="BU2789" s="32"/>
      <c r="BV2789" s="32"/>
      <c r="BW2789" s="32"/>
      <c r="BX2789" s="32"/>
      <c r="BY2789" s="32"/>
      <c r="BZ2789" s="32"/>
      <c r="CA2789" s="32"/>
      <c r="CB2789" s="32"/>
      <c r="CC2789" s="32"/>
      <c r="CD2789" s="32"/>
    </row>
    <row r="2790" ht="15.75" hidden="1" customHeight="1" outlineLevel="1">
      <c r="A2790" s="365"/>
      <c r="B2790" s="38"/>
      <c r="C2790" s="374"/>
      <c r="D2790" s="374"/>
      <c r="E2790" s="374"/>
      <c r="F2790" s="374"/>
      <c r="G2790" s="374"/>
      <c r="H2790" s="374"/>
      <c r="I2790" s="374"/>
      <c r="J2790" s="374"/>
      <c r="K2790" s="374"/>
      <c r="L2790" s="374"/>
      <c r="M2790" s="374"/>
      <c r="N2790" s="374"/>
      <c r="O2790" s="374"/>
      <c r="P2790" s="374"/>
      <c r="Q2790" s="374"/>
      <c r="R2790" s="374"/>
      <c r="S2790" s="38"/>
      <c r="T2790" s="38"/>
      <c r="U2790" s="38"/>
      <c r="V2790" s="38"/>
      <c r="W2790" s="38"/>
      <c r="X2790" s="32"/>
      <c r="Y2790" s="32"/>
      <c r="Z2790" s="32"/>
      <c r="AA2790" s="32"/>
      <c r="AB2790" s="32"/>
      <c r="AC2790" s="32"/>
      <c r="AD2790" s="32"/>
      <c r="AE2790" s="32"/>
      <c r="AF2790" s="32"/>
      <c r="AG2790" s="32"/>
      <c r="AH2790" s="32"/>
      <c r="AI2790" s="32"/>
      <c r="AJ2790" s="32"/>
      <c r="AK2790" s="32"/>
      <c r="AL2790" s="32"/>
      <c r="AM2790" s="373">
        <f>IPMT('Assumptions (T&amp;D) old'!$B$100,Model!W$1,'Assumptions (T&amp;D) old'!$B$103,Model!$AM$2699)</f>
        <v>-0.07661607341</v>
      </c>
      <c r="AN2790" s="373">
        <f>IPMT('Assumptions (T&amp;D) old'!$B$100,Model!X$1,'Assumptions (T&amp;D) old'!$B$103,Model!$AM$2699)</f>
        <v>-0.07299817551</v>
      </c>
      <c r="AO2790" s="373">
        <f>IPMT('Assumptions (T&amp;D) old'!$B$100,Model!Y$1,'Assumptions (T&amp;D) old'!$B$103,Model!$AM$2699)</f>
        <v>-0.06920842746</v>
      </c>
      <c r="AP2790" s="373">
        <f>IPMT('Assumptions (T&amp;D) old'!$B$100,Model!Z$1,'Assumptions (T&amp;D) old'!$B$103,Model!$AM$2699)</f>
        <v>-0.06523866638</v>
      </c>
      <c r="AQ2790" s="373">
        <f>IPMT('Assumptions (T&amp;D) old'!$B$100,Model!AA$1,'Assumptions (T&amp;D) old'!$B$103,Model!$AM$2699)</f>
        <v>-0.06108034164</v>
      </c>
      <c r="AR2790" s="373">
        <f>IPMT('Assumptions (T&amp;D) old'!$B$100,Model!AB$1,'Assumptions (T&amp;D) old'!$B$103,Model!$AM$2699)</f>
        <v>-0.05672449648</v>
      </c>
      <c r="AS2790" s="373">
        <f>IPMT('Assumptions (T&amp;D) old'!$B$100,Model!AC$1,'Assumptions (T&amp;D) old'!$B$103,Model!$AM$2699)</f>
        <v>-0.05216174868</v>
      </c>
      <c r="AT2790" s="373">
        <f>IPMT('Assumptions (T&amp;D) old'!$B$100,Model!AD$1,'Assumptions (T&amp;D) old'!$B$103,Model!$AM$2699)</f>
        <v>-0.04738227035</v>
      </c>
      <c r="AU2790" s="373">
        <f>IPMT('Assumptions (T&amp;D) old'!$B$100,Model!AE$1,'Assumptions (T&amp;D) old'!$B$103,Model!$AM$2699)</f>
        <v>-0.04237576681</v>
      </c>
      <c r="AV2790" s="373">
        <f>IPMT('Assumptions (T&amp;D) old'!$B$100,Model!AF$1,'Assumptions (T&amp;D) old'!$B$103,Model!$AM$2699)</f>
        <v>-0.03713145434</v>
      </c>
      <c r="AW2790" s="373">
        <f>IPMT('Assumptions (T&amp;D) old'!$B$100,Model!AG$1,'Assumptions (T&amp;D) old'!$B$103,Model!$AM$2699)</f>
        <v>-0.03163803704</v>
      </c>
      <c r="AX2790" s="373">
        <f>IPMT('Assumptions (T&amp;D) old'!$B$100,Model!AH$1,'Assumptions (T&amp;D) old'!$B$103,Model!$AM$2699)</f>
        <v>-0.02588368241</v>
      </c>
      <c r="AY2790" s="373">
        <f>IPMT('Assumptions (T&amp;D) old'!$B$100,Model!AI$1,'Assumptions (T&amp;D) old'!$B$103,Model!$AM$2699)</f>
        <v>-0.01985599593</v>
      </c>
      <c r="AZ2790" s="373">
        <f>IPMT('Assumptions (T&amp;D) old'!$B$100,Model!AJ$1,'Assumptions (T&amp;D) old'!$B$103,Model!$AM$2699)</f>
        <v>-0.01354199435</v>
      </c>
      <c r="BA2790" s="373">
        <f>IPMT('Assumptions (T&amp;D) old'!$B$100,Model!AK$1,'Assumptions (T&amp;D) old'!$B$103,Model!$AM$2699)</f>
        <v>-0.006928077697</v>
      </c>
      <c r="BB2790" s="374"/>
      <c r="BC2790" s="374"/>
      <c r="BD2790" s="374"/>
      <c r="BE2790" s="374"/>
      <c r="BF2790" s="374"/>
      <c r="BG2790" s="374"/>
      <c r="BH2790" s="374"/>
      <c r="BI2790" s="374"/>
      <c r="BJ2790" s="374"/>
      <c r="BK2790" s="374"/>
      <c r="BL2790" s="32"/>
      <c r="BM2790" s="32"/>
      <c r="BN2790" s="32"/>
      <c r="BO2790" s="32"/>
      <c r="BP2790" s="32"/>
      <c r="BQ2790" s="32"/>
      <c r="BR2790" s="32"/>
      <c r="BS2790" s="32"/>
      <c r="BT2790" s="32"/>
      <c r="BU2790" s="32"/>
      <c r="BV2790" s="32"/>
      <c r="BW2790" s="32"/>
      <c r="BX2790" s="32"/>
      <c r="BY2790" s="32"/>
      <c r="BZ2790" s="32"/>
      <c r="CA2790" s="32"/>
      <c r="CB2790" s="32"/>
      <c r="CC2790" s="32"/>
      <c r="CD2790" s="32"/>
    </row>
    <row r="2791" ht="15.75" hidden="1" customHeight="1" outlineLevel="1">
      <c r="A2791" s="365"/>
      <c r="B2791" s="38"/>
      <c r="C2791" s="374"/>
      <c r="D2791" s="374"/>
      <c r="E2791" s="374"/>
      <c r="F2791" s="374"/>
      <c r="G2791" s="374"/>
      <c r="H2791" s="374"/>
      <c r="I2791" s="374"/>
      <c r="J2791" s="374"/>
      <c r="K2791" s="374"/>
      <c r="L2791" s="374"/>
      <c r="M2791" s="374"/>
      <c r="N2791" s="374"/>
      <c r="O2791" s="374"/>
      <c r="P2791" s="374"/>
      <c r="Q2791" s="374"/>
      <c r="R2791" s="374"/>
      <c r="S2791" s="38"/>
      <c r="T2791" s="38"/>
      <c r="U2791" s="38"/>
      <c r="V2791" s="38"/>
      <c r="W2791" s="38"/>
      <c r="X2791" s="32"/>
      <c r="Y2791" s="32"/>
      <c r="Z2791" s="32"/>
      <c r="AA2791" s="32"/>
      <c r="AB2791" s="32"/>
      <c r="AC2791" s="32"/>
      <c r="AD2791" s="32"/>
      <c r="AE2791" s="32"/>
      <c r="AF2791" s="32"/>
      <c r="AG2791" s="32"/>
      <c r="AH2791" s="32"/>
      <c r="AI2791" s="32"/>
      <c r="AJ2791" s="32"/>
      <c r="AK2791" s="32"/>
      <c r="AL2791" s="32"/>
      <c r="AM2791" s="32"/>
      <c r="AN2791" s="373">
        <f>IPMT('Assumptions (T&amp;D) old'!$B$100,Model!W$1,'Assumptions (T&amp;D) old'!$B$103,Model!$AN$2699)</f>
        <v>-0.07867848249</v>
      </c>
      <c r="AO2791" s="373">
        <f>IPMT('Assumptions (T&amp;D) old'!$B$100,Model!X$1,'Assumptions (T&amp;D) old'!$B$103,Model!$AN$2699)</f>
        <v>-0.07496319529</v>
      </c>
      <c r="AP2791" s="373">
        <f>IPMT('Assumptions (T&amp;D) old'!$B$100,Model!Y$1,'Assumptions (T&amp;D) old'!$B$103,Model!$AN$2699)</f>
        <v>-0.07107143195</v>
      </c>
      <c r="AQ2791" s="373">
        <f>IPMT('Assumptions (T&amp;D) old'!$B$100,Model!Z$1,'Assumptions (T&amp;D) old'!$B$103,Model!$AN$2699)</f>
        <v>-0.06699480986</v>
      </c>
      <c r="AR2791" s="373">
        <f>IPMT('Assumptions (T&amp;D) old'!$B$100,Model!AA$1,'Assumptions (T&amp;D) old'!$B$103,Model!$AN$2699)</f>
        <v>-0.06272454821</v>
      </c>
      <c r="AS2791" s="373">
        <f>IPMT('Assumptions (T&amp;D) old'!$B$100,Model!AB$1,'Assumptions (T&amp;D) old'!$B$103,Model!$AN$2699)</f>
        <v>-0.05825144914</v>
      </c>
      <c r="AT2791" s="373">
        <f>IPMT('Assumptions (T&amp;D) old'!$B$100,Model!AC$1,'Assumptions (T&amp;D) old'!$B$103,Model!$AN$2699)</f>
        <v>-0.05356587785</v>
      </c>
      <c r="AU2791" s="373">
        <f>IPMT('Assumptions (T&amp;D) old'!$B$100,Model!AD$1,'Assumptions (T&amp;D) old'!$B$103,Model!$AN$2699)</f>
        <v>-0.04865774194</v>
      </c>
      <c r="AV2791" s="373">
        <f>IPMT('Assumptions (T&amp;D) old'!$B$100,Model!AE$1,'Assumptions (T&amp;D) old'!$B$103,Model!$AN$2699)</f>
        <v>-0.04351646956</v>
      </c>
      <c r="AW2791" s="373">
        <f>IPMT('Assumptions (T&amp;D) old'!$B$100,Model!AF$1,'Assumptions (T&amp;D) old'!$B$103,Model!$AN$2699)</f>
        <v>-0.03813098675</v>
      </c>
      <c r="AX2791" s="373">
        <f>IPMT('Assumptions (T&amp;D) old'!$B$100,Model!AG$1,'Assumptions (T&amp;D) old'!$B$103,Model!$AN$2699)</f>
        <v>-0.03248969351</v>
      </c>
      <c r="AY2791" s="373">
        <f>IPMT('Assumptions (T&amp;D) old'!$B$100,Model!AH$1,'Assumptions (T&amp;D) old'!$B$103,Model!$AN$2699)</f>
        <v>-0.02658043883</v>
      </c>
      <c r="AZ2791" s="373">
        <f>IPMT('Assumptions (T&amp;D) old'!$B$100,Model!AI$1,'Assumptions (T&amp;D) old'!$B$103,Model!$AN$2699)</f>
        <v>-0.02039049456</v>
      </c>
      <c r="BA2791" s="373">
        <f>IPMT('Assumptions (T&amp;D) old'!$B$100,Model!AJ$1,'Assumptions (T&amp;D) old'!$B$103,Model!$AN$2699)</f>
        <v>-0.01390652794</v>
      </c>
      <c r="BB2791" s="373">
        <f>IPMT('Assumptions (T&amp;D) old'!$B$100,Model!AK$1,'Assumptions (T&amp;D) old'!$B$103,Model!$AN$2699)</f>
        <v>-0.007114572902</v>
      </c>
      <c r="BC2791" s="374"/>
      <c r="BD2791" s="374"/>
      <c r="BE2791" s="374"/>
      <c r="BF2791" s="374"/>
      <c r="BG2791" s="374"/>
      <c r="BH2791" s="374"/>
      <c r="BI2791" s="374"/>
      <c r="BJ2791" s="374"/>
      <c r="BK2791" s="374"/>
      <c r="BL2791" s="374"/>
      <c r="BM2791" s="32"/>
      <c r="BN2791" s="32"/>
      <c r="BO2791" s="32"/>
      <c r="BP2791" s="32"/>
      <c r="BQ2791" s="32"/>
      <c r="BR2791" s="32"/>
      <c r="BS2791" s="32"/>
      <c r="BT2791" s="32"/>
      <c r="BU2791" s="32"/>
      <c r="BV2791" s="32"/>
      <c r="BW2791" s="32"/>
      <c r="BX2791" s="32"/>
      <c r="BY2791" s="32"/>
      <c r="BZ2791" s="32"/>
      <c r="CA2791" s="32"/>
      <c r="CB2791" s="32"/>
      <c r="CC2791" s="32"/>
      <c r="CD2791" s="32"/>
    </row>
    <row r="2792" ht="15.75" hidden="1" customHeight="1" outlineLevel="1">
      <c r="A2792" s="365"/>
      <c r="B2792" s="38"/>
      <c r="C2792" s="374"/>
      <c r="D2792" s="374"/>
      <c r="E2792" s="374"/>
      <c r="F2792" s="374"/>
      <c r="G2792" s="374"/>
      <c r="H2792" s="374"/>
      <c r="I2792" s="374"/>
      <c r="J2792" s="374"/>
      <c r="K2792" s="374"/>
      <c r="L2792" s="374"/>
      <c r="M2792" s="374"/>
      <c r="N2792" s="374"/>
      <c r="O2792" s="374"/>
      <c r="P2792" s="374"/>
      <c r="Q2792" s="374"/>
      <c r="R2792" s="374"/>
      <c r="S2792" s="38"/>
      <c r="T2792" s="38"/>
      <c r="U2792" s="38"/>
      <c r="V2792" s="38"/>
      <c r="W2792" s="38"/>
      <c r="X2792" s="32"/>
      <c r="Y2792" s="32"/>
      <c r="Z2792" s="32"/>
      <c r="AA2792" s="32"/>
      <c r="AB2792" s="32"/>
      <c r="AC2792" s="32"/>
      <c r="AD2792" s="32"/>
      <c r="AE2792" s="32"/>
      <c r="AF2792" s="32"/>
      <c r="AG2792" s="32"/>
      <c r="AH2792" s="32"/>
      <c r="AI2792" s="32"/>
      <c r="AJ2792" s="32"/>
      <c r="AK2792" s="32"/>
      <c r="AL2792" s="32"/>
      <c r="AM2792" s="32"/>
      <c r="AN2792" s="32"/>
      <c r="AO2792" s="373">
        <f>IPMT('Assumptions (T&amp;D) old'!$B$100,Model!W$1,'Assumptions (T&amp;D) old'!$B$103,Model!$AO$2699)</f>
        <v>-0.08079246944</v>
      </c>
      <c r="AP2792" s="373">
        <f>IPMT('Assumptions (T&amp;D) old'!$B$100,Model!X$1,'Assumptions (T&amp;D) old'!$B$103,Model!$AO$2699)</f>
        <v>-0.07697735738</v>
      </c>
      <c r="AQ2792" s="373">
        <f>IPMT('Assumptions (T&amp;D) old'!$B$100,Model!Y$1,'Assumptions (T&amp;D) old'!$B$103,Model!$AO$2699)</f>
        <v>-0.0729810275</v>
      </c>
      <c r="AR2792" s="373">
        <f>IPMT('Assumptions (T&amp;D) old'!$B$100,Model!Z$1,'Assumptions (T&amp;D) old'!$B$103,Model!$AO$2699)</f>
        <v>-0.06879487195</v>
      </c>
      <c r="AS2792" s="373">
        <f>IPMT('Assumptions (T&amp;D) old'!$B$100,Model!AA$1,'Assumptions (T&amp;D) old'!$B$103,Model!$AO$2699)</f>
        <v>-0.06440987401</v>
      </c>
      <c r="AT2792" s="373">
        <f>IPMT('Assumptions (T&amp;D) old'!$B$100,Model!AB$1,'Assumptions (T&amp;D) old'!$B$103,Model!$AO$2699)</f>
        <v>-0.05981658867</v>
      </c>
      <c r="AU2792" s="373">
        <f>IPMT('Assumptions (T&amp;D) old'!$B$100,Model!AC$1,'Assumptions (T&amp;D) old'!$B$103,Model!$AO$2699)</f>
        <v>-0.05500512227</v>
      </c>
      <c r="AV2792" s="373">
        <f>IPMT('Assumptions (T&amp;D) old'!$B$100,Model!AD$1,'Assumptions (T&amp;D) old'!$B$103,Model!$AO$2699)</f>
        <v>-0.04996511122</v>
      </c>
      <c r="AW2792" s="373">
        <f>IPMT('Assumptions (T&amp;D) old'!$B$100,Model!AE$1,'Assumptions (T&amp;D) old'!$B$103,Model!$AO$2699)</f>
        <v>-0.04468569965</v>
      </c>
      <c r="AX2792" s="373">
        <f>IPMT('Assumptions (T&amp;D) old'!$B$100,Model!AF$1,'Assumptions (T&amp;D) old'!$B$103,Model!$AO$2699)</f>
        <v>-0.03915551602</v>
      </c>
      <c r="AY2792" s="373">
        <f>IPMT('Assumptions (T&amp;D) old'!$B$100,Model!AG$1,'Assumptions (T&amp;D) old'!$B$103,Model!$AO$2699)</f>
        <v>-0.03336264868</v>
      </c>
      <c r="AZ2792" s="373">
        <f>IPMT('Assumptions (T&amp;D) old'!$B$100,Model!AH$1,'Assumptions (T&amp;D) old'!$B$103,Model!$AO$2699)</f>
        <v>-0.02729462013</v>
      </c>
      <c r="BA2792" s="373">
        <f>IPMT('Assumptions (T&amp;D) old'!$B$100,Model!AI$1,'Assumptions (T&amp;D) old'!$B$103,Model!$AO$2699)</f>
        <v>-0.02093836023</v>
      </c>
      <c r="BB2792" s="373">
        <f>IPMT('Assumptions (T&amp;D) old'!$B$100,Model!AJ$1,'Assumptions (T&amp;D) old'!$B$103,Model!$AO$2699)</f>
        <v>-0.01428017799</v>
      </c>
      <c r="BC2792" s="373">
        <f>IPMT('Assumptions (T&amp;D) old'!$B$100,Model!AK$1,'Assumptions (T&amp;D) old'!$B$103,Model!$AO$2699)</f>
        <v>-0.007305732083</v>
      </c>
      <c r="BD2792" s="374"/>
      <c r="BE2792" s="374"/>
      <c r="BF2792" s="374"/>
      <c r="BG2792" s="374"/>
      <c r="BH2792" s="374"/>
      <c r="BI2792" s="374"/>
      <c r="BJ2792" s="374"/>
      <c r="BK2792" s="374"/>
      <c r="BL2792" s="374"/>
      <c r="BM2792" s="374"/>
      <c r="BN2792" s="32"/>
      <c r="BO2792" s="32"/>
      <c r="BP2792" s="32"/>
      <c r="BQ2792" s="32"/>
      <c r="BR2792" s="32"/>
      <c r="BS2792" s="32"/>
      <c r="BT2792" s="32"/>
      <c r="BU2792" s="32"/>
      <c r="BV2792" s="32"/>
      <c r="BW2792" s="32"/>
      <c r="BX2792" s="32"/>
      <c r="BY2792" s="32"/>
      <c r="BZ2792" s="32"/>
      <c r="CA2792" s="32"/>
      <c r="CB2792" s="32"/>
      <c r="CC2792" s="32"/>
      <c r="CD2792" s="32"/>
    </row>
    <row r="2793" ht="15.75" hidden="1" customHeight="1" outlineLevel="1">
      <c r="A2793" s="365"/>
      <c r="B2793" s="38"/>
      <c r="C2793" s="374"/>
      <c r="D2793" s="374"/>
      <c r="E2793" s="374"/>
      <c r="F2793" s="374"/>
      <c r="G2793" s="374"/>
      <c r="H2793" s="374"/>
      <c r="I2793" s="374"/>
      <c r="J2793" s="374"/>
      <c r="K2793" s="374"/>
      <c r="L2793" s="374"/>
      <c r="M2793" s="374"/>
      <c r="N2793" s="374"/>
      <c r="O2793" s="374"/>
      <c r="P2793" s="374"/>
      <c r="Q2793" s="374"/>
      <c r="R2793" s="374"/>
      <c r="S2793" s="38"/>
      <c r="T2793" s="38"/>
      <c r="U2793" s="38"/>
      <c r="V2793" s="38"/>
      <c r="W2793" s="38"/>
      <c r="X2793" s="32"/>
      <c r="Y2793" s="32"/>
      <c r="Z2793" s="32"/>
      <c r="AA2793" s="32"/>
      <c r="AB2793" s="32"/>
      <c r="AC2793" s="32"/>
      <c r="AD2793" s="32"/>
      <c r="AE2793" s="32"/>
      <c r="AF2793" s="32"/>
      <c r="AG2793" s="32"/>
      <c r="AH2793" s="32"/>
      <c r="AI2793" s="32"/>
      <c r="AJ2793" s="32"/>
      <c r="AK2793" s="32"/>
      <c r="AL2793" s="32"/>
      <c r="AM2793" s="32"/>
      <c r="AN2793" s="32"/>
      <c r="AO2793" s="32"/>
      <c r="AP2793" s="373">
        <f>IPMT('Assumptions (T&amp;D) old'!$B$100,Model!W$1,'Assumptions (T&amp;D) old'!$B$103,Model!$AP$2699)</f>
        <v>-0.08295926708</v>
      </c>
      <c r="AQ2793" s="373">
        <f>IPMT('Assumptions (T&amp;D) old'!$B$100,Model!X$1,'Assumptions (T&amp;D) old'!$B$103,Model!$AP$2699)</f>
        <v>-0.07904183638</v>
      </c>
      <c r="AR2793" s="373">
        <f>IPMT('Assumptions (T&amp;D) old'!$B$100,Model!Y$1,'Assumptions (T&amp;D) old'!$B$103,Model!$AP$2699)</f>
        <v>-0.07493832772</v>
      </c>
      <c r="AS2793" s="373">
        <f>IPMT('Assumptions (T&amp;D) old'!$B$100,Model!Z$1,'Assumptions (T&amp;D) old'!$B$103,Model!$AP$2699)</f>
        <v>-0.0706399024</v>
      </c>
      <c r="AT2793" s="373">
        <f>IPMT('Assumptions (T&amp;D) old'!$B$100,Model!AA$1,'Assumptions (T&amp;D) old'!$B$103,Model!$AP$2699)</f>
        <v>-0.06613730187</v>
      </c>
      <c r="AU2793" s="373">
        <f>IPMT('Assumptions (T&amp;D) old'!$B$100,Model!AB$1,'Assumptions (T&amp;D) old'!$B$103,Model!$AP$2699)</f>
        <v>-0.06142082782</v>
      </c>
      <c r="AV2793" s="373">
        <f>IPMT('Assumptions (T&amp;D) old'!$B$100,Model!AC$1,'Assumptions (T&amp;D) old'!$B$103,Model!$AP$2699)</f>
        <v>-0.05648032126</v>
      </c>
      <c r="AW2793" s="373">
        <f>IPMT('Assumptions (T&amp;D) old'!$B$100,Model!AD$1,'Assumptions (T&amp;D) old'!$B$103,Model!$AP$2699)</f>
        <v>-0.05130514063</v>
      </c>
      <c r="AX2793" s="373">
        <f>IPMT('Assumptions (T&amp;D) old'!$B$100,Model!AE$1,'Assumptions (T&amp;D) old'!$B$103,Model!$AP$2699)</f>
        <v>-0.04588413892</v>
      </c>
      <c r="AY2793" s="373">
        <f>IPMT('Assumptions (T&amp;D) old'!$B$100,Model!AF$1,'Assumptions (T&amp;D) old'!$B$103,Model!$AP$2699)</f>
        <v>-0.04020563963</v>
      </c>
      <c r="AZ2793" s="373">
        <f>IPMT('Assumptions (T&amp;D) old'!$B$100,Model!AG$1,'Assumptions (T&amp;D) old'!$B$103,Model!$AP$2699)</f>
        <v>-0.03425741163</v>
      </c>
      <c r="BA2793" s="373">
        <f>IPMT('Assumptions (T&amp;D) old'!$B$100,Model!AH$1,'Assumptions (T&amp;D) old'!$B$103,Model!$AP$2699)</f>
        <v>-0.02802664279</v>
      </c>
      <c r="BB2793" s="373">
        <f>IPMT('Assumptions (T&amp;D) old'!$B$100,Model!AI$1,'Assumptions (T&amp;D) old'!$B$103,Model!$AP$2699)</f>
        <v>-0.02149991244</v>
      </c>
      <c r="BC2793" s="373">
        <f>IPMT('Assumptions (T&amp;D) old'!$B$100,Model!AJ$1,'Assumptions (T&amp;D) old'!$B$103,Model!$AP$2699)</f>
        <v>-0.01466316239</v>
      </c>
      <c r="BD2793" s="373">
        <f>IPMT('Assumptions (T&amp;D) old'!$B$100,Model!AK$1,'Assumptions (T&amp;D) old'!$B$103,Model!$AP$2699)</f>
        <v>-0.007501666718</v>
      </c>
      <c r="BE2793" s="374"/>
      <c r="BF2793" s="374"/>
      <c r="BG2793" s="374"/>
      <c r="BH2793" s="374"/>
      <c r="BI2793" s="374"/>
      <c r="BJ2793" s="374"/>
      <c r="BK2793" s="374"/>
      <c r="BL2793" s="374"/>
      <c r="BM2793" s="374"/>
      <c r="BN2793" s="374"/>
      <c r="BO2793" s="32"/>
      <c r="BP2793" s="32"/>
      <c r="BQ2793" s="32"/>
      <c r="BR2793" s="32"/>
      <c r="BS2793" s="32"/>
      <c r="BT2793" s="32"/>
      <c r="BU2793" s="32"/>
      <c r="BV2793" s="32"/>
      <c r="BW2793" s="32"/>
      <c r="BX2793" s="32"/>
      <c r="BY2793" s="32"/>
      <c r="BZ2793" s="32"/>
      <c r="CA2793" s="32"/>
      <c r="CB2793" s="32"/>
      <c r="CC2793" s="32"/>
      <c r="CD2793" s="32"/>
    </row>
    <row r="2794" ht="15.75" hidden="1" customHeight="1" outlineLevel="1">
      <c r="A2794" s="365"/>
      <c r="B2794" s="38"/>
      <c r="C2794" s="374"/>
      <c r="D2794" s="374"/>
      <c r="E2794" s="374"/>
      <c r="F2794" s="374"/>
      <c r="G2794" s="374"/>
      <c r="H2794" s="374"/>
      <c r="I2794" s="374"/>
      <c r="J2794" s="374"/>
      <c r="K2794" s="374"/>
      <c r="L2794" s="374"/>
      <c r="M2794" s="374"/>
      <c r="N2794" s="374"/>
      <c r="O2794" s="374"/>
      <c r="P2794" s="374"/>
      <c r="Q2794" s="374"/>
      <c r="R2794" s="374"/>
      <c r="S2794" s="38"/>
      <c r="T2794" s="38"/>
      <c r="U2794" s="38"/>
      <c r="V2794" s="38"/>
      <c r="W2794" s="38"/>
      <c r="X2794" s="32"/>
      <c r="Y2794" s="32"/>
      <c r="Z2794" s="32"/>
      <c r="AA2794" s="32"/>
      <c r="AB2794" s="32"/>
      <c r="AC2794" s="32"/>
      <c r="AD2794" s="32"/>
      <c r="AE2794" s="32"/>
      <c r="AF2794" s="32"/>
      <c r="AG2794" s="32"/>
      <c r="AH2794" s="32"/>
      <c r="AI2794" s="32"/>
      <c r="AJ2794" s="32"/>
      <c r="AK2794" s="32"/>
      <c r="AL2794" s="32"/>
      <c r="AM2794" s="32"/>
      <c r="AN2794" s="32"/>
      <c r="AO2794" s="32"/>
      <c r="AP2794" s="32"/>
      <c r="AQ2794" s="373">
        <f>IPMT('Assumptions (T&amp;D) old'!$B$100,Model!W$1,'Assumptions (T&amp;D) old'!$B$103,Model!$AQ$2699)</f>
        <v>-0.08518013679</v>
      </c>
      <c r="AR2794" s="373">
        <f>IPMT('Assumptions (T&amp;D) old'!$B$100,Model!X$1,'Assumptions (T&amp;D) old'!$B$103,Model!$AQ$2699)</f>
        <v>-0.0811578341</v>
      </c>
      <c r="AS2794" s="373">
        <f>IPMT('Assumptions (T&amp;D) old'!$B$100,Model!Y$1,'Assumptions (T&amp;D) old'!$B$103,Model!$AQ$2699)</f>
        <v>-0.07694447203</v>
      </c>
      <c r="AT2794" s="373">
        <f>IPMT('Assumptions (T&amp;D) old'!$B$100,Model!Z$1,'Assumptions (T&amp;D) old'!$B$103,Model!$AQ$2699)</f>
        <v>-0.07253097527</v>
      </c>
      <c r="AU2794" s="373">
        <f>IPMT('Assumptions (T&amp;D) old'!$B$100,Model!AA$1,'Assumptions (T&amp;D) old'!$B$103,Model!$AQ$2699)</f>
        <v>-0.06790783741</v>
      </c>
      <c r="AV2794" s="373">
        <f>IPMT('Assumptions (T&amp;D) old'!$B$100,Model!AB$1,'Assumptions (T&amp;D) old'!$B$103,Model!$AQ$2699)</f>
        <v>-0.0630651005</v>
      </c>
      <c r="AW2794" s="373">
        <f>IPMT('Assumptions (T&amp;D) old'!$B$100,Model!AC$1,'Assumptions (T&amp;D) old'!$B$103,Model!$AQ$2699)</f>
        <v>-0.05799233359</v>
      </c>
      <c r="AX2794" s="373">
        <f>IPMT('Assumptions (T&amp;D) old'!$B$100,Model!AD$1,'Assumptions (T&amp;D) old'!$B$103,Model!$AQ$2699)</f>
        <v>-0.05267861025</v>
      </c>
      <c r="AY2794" s="373">
        <f>IPMT('Assumptions (T&amp;D) old'!$B$100,Model!AE$1,'Assumptions (T&amp;D) old'!$B$103,Model!$AQ$2699)</f>
        <v>-0.04711248505</v>
      </c>
      <c r="AZ2794" s="373">
        <f>IPMT('Assumptions (T&amp;D) old'!$B$100,Model!AF$1,'Assumptions (T&amp;D) old'!$B$103,Model!$AQ$2699)</f>
        <v>-0.0412819689</v>
      </c>
      <c r="BA2794" s="373">
        <f>IPMT('Assumptions (T&amp;D) old'!$B$100,Model!AG$1,'Assumptions (T&amp;D) old'!$B$103,Model!$AQ$2699)</f>
        <v>-0.03517450324</v>
      </c>
      <c r="BB2794" s="373">
        <f>IPMT('Assumptions (T&amp;D) old'!$B$100,Model!AH$1,'Assumptions (T&amp;D) old'!$B$103,Model!$AQ$2699)</f>
        <v>-0.02877693296</v>
      </c>
      <c r="BC2794" s="373">
        <f>IPMT('Assumptions (T&amp;D) old'!$B$100,Model!AI$1,'Assumptions (T&amp;D) old'!$B$103,Model!$AQ$2699)</f>
        <v>-0.02207547809</v>
      </c>
      <c r="BD2794" s="373">
        <f>IPMT('Assumptions (T&amp;D) old'!$B$100,Model!AJ$1,'Assumptions (T&amp;D) old'!$B$103,Model!$AQ$2699)</f>
        <v>-0.01505570411</v>
      </c>
      <c r="BE2794" s="373">
        <f>IPMT('Assumptions (T&amp;D) old'!$B$100,Model!AK$1,'Assumptions (T&amp;D) old'!$B$103,Model!$AQ$2699)</f>
        <v>-0.00770249087</v>
      </c>
      <c r="BF2794" s="374"/>
      <c r="BG2794" s="374"/>
      <c r="BH2794" s="374"/>
      <c r="BI2794" s="374"/>
      <c r="BJ2794" s="374"/>
      <c r="BK2794" s="374"/>
      <c r="BL2794" s="374"/>
      <c r="BM2794" s="374"/>
      <c r="BN2794" s="374"/>
      <c r="BO2794" s="374"/>
      <c r="BP2794" s="32"/>
      <c r="BQ2794" s="32"/>
      <c r="BR2794" s="32"/>
      <c r="BS2794" s="32"/>
      <c r="BT2794" s="32"/>
      <c r="BU2794" s="32"/>
      <c r="BV2794" s="32"/>
      <c r="BW2794" s="32"/>
      <c r="BX2794" s="32"/>
      <c r="BY2794" s="32"/>
      <c r="BZ2794" s="32"/>
      <c r="CA2794" s="32"/>
      <c r="CB2794" s="32"/>
      <c r="CC2794" s="32"/>
      <c r="CD2794" s="32"/>
    </row>
    <row r="2795" ht="15.75" hidden="1" customHeight="1" outlineLevel="1">
      <c r="A2795" s="365"/>
      <c r="B2795" s="38"/>
      <c r="C2795" s="374"/>
      <c r="D2795" s="374"/>
      <c r="E2795" s="374"/>
      <c r="F2795" s="374"/>
      <c r="G2795" s="374"/>
      <c r="H2795" s="374"/>
      <c r="I2795" s="374"/>
      <c r="J2795" s="374"/>
      <c r="K2795" s="374"/>
      <c r="L2795" s="374"/>
      <c r="M2795" s="374"/>
      <c r="N2795" s="374"/>
      <c r="O2795" s="374"/>
      <c r="P2795" s="374"/>
      <c r="Q2795" s="374"/>
      <c r="R2795" s="374"/>
      <c r="S2795" s="38"/>
      <c r="T2795" s="38"/>
      <c r="U2795" s="38"/>
      <c r="V2795" s="38"/>
      <c r="W2795" s="38"/>
      <c r="X2795" s="32"/>
      <c r="Y2795" s="32"/>
      <c r="Z2795" s="32"/>
      <c r="AA2795" s="32"/>
      <c r="AB2795" s="32"/>
      <c r="AC2795" s="32"/>
      <c r="AD2795" s="32"/>
      <c r="AE2795" s="32"/>
      <c r="AF2795" s="32"/>
      <c r="AG2795" s="32"/>
      <c r="AH2795" s="32"/>
      <c r="AI2795" s="32"/>
      <c r="AJ2795" s="32"/>
      <c r="AK2795" s="32"/>
      <c r="AL2795" s="32"/>
      <c r="AM2795" s="32"/>
      <c r="AN2795" s="32"/>
      <c r="AO2795" s="32"/>
      <c r="AP2795" s="32"/>
      <c r="AQ2795" s="32"/>
      <c r="AR2795" s="373">
        <f>IPMT('Assumptions (T&amp;D) old'!$B$100,Model!W$1,'Assumptions (T&amp;D) old'!$B$103,Model!$AR$2699)</f>
        <v>-0.08745636919</v>
      </c>
      <c r="AS2795" s="373">
        <f>IPMT('Assumptions (T&amp;D) old'!$B$100,Model!X$1,'Assumptions (T&amp;D) old'!$B$103,Model!$AR$2699)</f>
        <v>-0.08332658022</v>
      </c>
      <c r="AT2795" s="373">
        <f>IPMT('Assumptions (T&amp;D) old'!$B$100,Model!Y$1,'Assumptions (T&amp;D) old'!$B$103,Model!$AR$2699)</f>
        <v>-0.07900062628</v>
      </c>
      <c r="AU2795" s="373">
        <f>IPMT('Assumptions (T&amp;D) old'!$B$100,Model!Z$1,'Assumptions (T&amp;D) old'!$B$103,Model!$AR$2699)</f>
        <v>-0.07446918953</v>
      </c>
      <c r="AV2795" s="373">
        <f>IPMT('Assumptions (T&amp;D) old'!$B$100,Model!AA$1,'Assumptions (T&amp;D) old'!$B$103,Model!$AR$2699)</f>
        <v>-0.06972250953</v>
      </c>
      <c r="AW2795" s="373">
        <f>IPMT('Assumptions (T&amp;D) old'!$B$100,Model!AB$1,'Assumptions (T&amp;D) old'!$B$103,Model!$AR$2699)</f>
        <v>-0.06475036224</v>
      </c>
      <c r="AX2795" s="373">
        <f>IPMT('Assumptions (T&amp;D) old'!$B$100,Model!AC$1,'Assumptions (T&amp;D) old'!$B$103,Model!$AR$2699)</f>
        <v>-0.05954203794</v>
      </c>
      <c r="AY2795" s="373">
        <f>IPMT('Assumptions (T&amp;D) old'!$B$100,Model!AD$1,'Assumptions (T&amp;D) old'!$B$103,Model!$AR$2699)</f>
        <v>-0.05408631824</v>
      </c>
      <c r="AZ2795" s="373">
        <f>IPMT('Assumptions (T&amp;D) old'!$B$100,Model!AE$1,'Assumptions (T&amp;D) old'!$B$103,Model!$AR$2699)</f>
        <v>-0.04837145186</v>
      </c>
      <c r="BA2795" s="373">
        <f>IPMT('Assumptions (T&amp;D) old'!$B$100,Model!AF$1,'Assumptions (T&amp;D) old'!$B$103,Model!$AR$2699)</f>
        <v>-0.04238512932</v>
      </c>
      <c r="BB2795" s="373">
        <f>IPMT('Assumptions (T&amp;D) old'!$B$100,Model!AG$1,'Assumptions (T&amp;D) old'!$B$103,Model!$AR$2699)</f>
        <v>-0.03611445646</v>
      </c>
      <c r="BC2795" s="373">
        <f>IPMT('Assumptions (T&amp;D) old'!$B$100,Model!AH$1,'Assumptions (T&amp;D) old'!$B$103,Model!$AR$2699)</f>
        <v>-0.02954592664</v>
      </c>
      <c r="BD2795" s="373">
        <f>IPMT('Assumptions (T&amp;D) old'!$B$100,Model!AI$1,'Assumptions (T&amp;D) old'!$B$103,Model!$AR$2699)</f>
        <v>-0.02266539166</v>
      </c>
      <c r="BE2795" s="373">
        <f>IPMT('Assumptions (T&amp;D) old'!$B$100,Model!AJ$1,'Assumptions (T&amp;D) old'!$B$103,Model!$AR$2699)</f>
        <v>-0.01545803126</v>
      </c>
      <c r="BF2795" s="373">
        <f>IPMT('Assumptions (T&amp;D) old'!$B$100,Model!AK$1,'Assumptions (T&amp;D) old'!$B$103,Model!$AR$2699)</f>
        <v>-0.007908321242</v>
      </c>
      <c r="BG2795" s="374"/>
      <c r="BH2795" s="374"/>
      <c r="BI2795" s="374"/>
      <c r="BJ2795" s="374"/>
      <c r="BK2795" s="374"/>
      <c r="BL2795" s="374"/>
      <c r="BM2795" s="374"/>
      <c r="BN2795" s="374"/>
      <c r="BO2795" s="374"/>
      <c r="BP2795" s="374"/>
      <c r="BQ2795" s="32"/>
      <c r="BR2795" s="32"/>
      <c r="BS2795" s="32"/>
      <c r="BT2795" s="32"/>
      <c r="BU2795" s="32"/>
      <c r="BV2795" s="32"/>
      <c r="BW2795" s="32"/>
      <c r="BX2795" s="32"/>
      <c r="BY2795" s="32"/>
      <c r="BZ2795" s="32"/>
      <c r="CA2795" s="32"/>
      <c r="CB2795" s="32"/>
      <c r="CC2795" s="32"/>
      <c r="CD2795" s="32"/>
    </row>
    <row r="2796" ht="15.75" hidden="1" customHeight="1" outlineLevel="1">
      <c r="A2796" s="365"/>
      <c r="B2796" s="38"/>
      <c r="C2796" s="374"/>
      <c r="D2796" s="374"/>
      <c r="E2796" s="374"/>
      <c r="F2796" s="374"/>
      <c r="G2796" s="374"/>
      <c r="H2796" s="374"/>
      <c r="I2796" s="374"/>
      <c r="J2796" s="374"/>
      <c r="K2796" s="374"/>
      <c r="L2796" s="374"/>
      <c r="M2796" s="374"/>
      <c r="N2796" s="374"/>
      <c r="O2796" s="374"/>
      <c r="P2796" s="374"/>
      <c r="Q2796" s="374"/>
      <c r="R2796" s="374"/>
      <c r="S2796" s="38"/>
      <c r="T2796" s="38"/>
      <c r="U2796" s="38"/>
      <c r="V2796" s="38"/>
      <c r="W2796" s="38"/>
      <c r="X2796" s="32"/>
      <c r="Y2796" s="32"/>
      <c r="Z2796" s="32"/>
      <c r="AA2796" s="32"/>
      <c r="AB2796" s="32"/>
      <c r="AC2796" s="32"/>
      <c r="AD2796" s="32"/>
      <c r="AE2796" s="32"/>
      <c r="AF2796" s="32"/>
      <c r="AG2796" s="32"/>
      <c r="AH2796" s="32"/>
      <c r="AI2796" s="32"/>
      <c r="AJ2796" s="32"/>
      <c r="AK2796" s="32"/>
      <c r="AL2796" s="32"/>
      <c r="AM2796" s="32"/>
      <c r="AN2796" s="32"/>
      <c r="AO2796" s="32"/>
      <c r="AP2796" s="32"/>
      <c r="AQ2796" s="32"/>
      <c r="AR2796" s="32"/>
      <c r="AS2796" s="373">
        <f>IPMT('Assumptions (T&amp;D) old'!$B$100,Model!W$1,'Assumptions (T&amp;D) old'!$B$103,Model!$AS$2699)</f>
        <v>-0.08978928478</v>
      </c>
      <c r="AT2796" s="373">
        <f>IPMT('Assumptions (T&amp;D) old'!$B$100,Model!X$1,'Assumptions (T&amp;D) old'!$B$103,Model!$AS$2699)</f>
        <v>-0.0855493329</v>
      </c>
      <c r="AU2796" s="373">
        <f>IPMT('Assumptions (T&amp;D) old'!$B$100,Model!Y$1,'Assumptions (T&amp;D) old'!$B$103,Model!$AS$2699)</f>
        <v>-0.0811079833</v>
      </c>
      <c r="AV2796" s="373">
        <f>IPMT('Assumptions (T&amp;D) old'!$B$100,Model!Z$1,'Assumptions (T&amp;D) old'!$B$103,Model!$AS$2699)</f>
        <v>-0.07645566959</v>
      </c>
      <c r="AW2796" s="373">
        <f>IPMT('Assumptions (T&amp;D) old'!$B$100,Model!AA$1,'Assumptions (T&amp;D) old'!$B$103,Model!$AS$2699)</f>
        <v>-0.07158237098</v>
      </c>
      <c r="AX2796" s="373">
        <f>IPMT('Assumptions (T&amp;D) old'!$B$100,Model!AB$1,'Assumptions (T&amp;D) old'!$B$103,Model!$AS$2699)</f>
        <v>-0.06647759069</v>
      </c>
      <c r="AY2796" s="373">
        <f>IPMT('Assumptions (T&amp;D) old'!$B$100,Model!AC$1,'Assumptions (T&amp;D) old'!$B$103,Model!$AS$2699)</f>
        <v>-0.06113033334</v>
      </c>
      <c r="AZ2796" s="373">
        <f>IPMT('Assumptions (T&amp;D) old'!$B$100,Model!AD$1,'Assumptions (T&amp;D) old'!$B$103,Model!$AS$2699)</f>
        <v>-0.05552908126</v>
      </c>
      <c r="BA2796" s="373">
        <f>IPMT('Assumptions (T&amp;D) old'!$B$100,Model!AE$1,'Assumptions (T&amp;D) old'!$B$103,Model!$AS$2699)</f>
        <v>-0.04966176971</v>
      </c>
      <c r="BB2796" s="373">
        <f>IPMT('Assumptions (T&amp;D) old'!$B$100,Model!AF$1,'Assumptions (T&amp;D) old'!$B$103,Model!$AS$2699)</f>
        <v>-0.04351576086</v>
      </c>
      <c r="BC2796" s="373">
        <f>IPMT('Assumptions (T&amp;D) old'!$B$100,Model!AG$1,'Assumptions (T&amp;D) old'!$B$103,Model!$AS$2699)</f>
        <v>-0.03707781658</v>
      </c>
      <c r="BD2796" s="373">
        <f>IPMT('Assumptions (T&amp;D) old'!$B$100,Model!AH$1,'Assumptions (T&amp;D) old'!$B$103,Model!$AS$2699)</f>
        <v>-0.03033406996</v>
      </c>
      <c r="BE2796" s="373">
        <f>IPMT('Assumptions (T&amp;D) old'!$B$100,Model!AI$1,'Assumptions (T&amp;D) old'!$B$103,Model!$AS$2699)</f>
        <v>-0.02326999537</v>
      </c>
      <c r="BF2796" s="373">
        <f>IPMT('Assumptions (T&amp;D) old'!$B$100,Model!AJ$1,'Assumptions (T&amp;D) old'!$B$103,Model!$AS$2699)</f>
        <v>-0.01587037724</v>
      </c>
      <c r="BG2796" s="373">
        <f>IPMT('Assumptions (T&amp;D) old'!$B$100,Model!AK$1,'Assumptions (T&amp;D) old'!$B$103,Model!$AS$2699)</f>
        <v>-0.008119277243</v>
      </c>
      <c r="BH2796" s="374"/>
      <c r="BI2796" s="374"/>
      <c r="BJ2796" s="374"/>
      <c r="BK2796" s="374"/>
      <c r="BL2796" s="374"/>
      <c r="BM2796" s="374"/>
      <c r="BN2796" s="374"/>
      <c r="BO2796" s="374"/>
      <c r="BP2796" s="374"/>
      <c r="BQ2796" s="374"/>
      <c r="BR2796" s="32"/>
      <c r="BS2796" s="32"/>
      <c r="BT2796" s="32"/>
      <c r="BU2796" s="32"/>
      <c r="BV2796" s="32"/>
      <c r="BW2796" s="32"/>
      <c r="BX2796" s="32"/>
      <c r="BY2796" s="32"/>
      <c r="BZ2796" s="32"/>
      <c r="CA2796" s="32"/>
      <c r="CB2796" s="32"/>
      <c r="CC2796" s="32"/>
      <c r="CD2796" s="32"/>
    </row>
    <row r="2797" ht="15.75" hidden="1" customHeight="1" outlineLevel="1">
      <c r="A2797" s="365"/>
      <c r="B2797" s="38"/>
      <c r="C2797" s="374"/>
      <c r="D2797" s="374"/>
      <c r="E2797" s="374"/>
      <c r="F2797" s="374"/>
      <c r="G2797" s="374"/>
      <c r="H2797" s="374"/>
      <c r="I2797" s="374"/>
      <c r="J2797" s="374"/>
      <c r="K2797" s="374"/>
      <c r="L2797" s="374"/>
      <c r="M2797" s="374"/>
      <c r="N2797" s="374"/>
      <c r="O2797" s="374"/>
      <c r="P2797" s="374"/>
      <c r="Q2797" s="374"/>
      <c r="R2797" s="374"/>
      <c r="S2797" s="38"/>
      <c r="T2797" s="38"/>
      <c r="U2797" s="38"/>
      <c r="V2797" s="38"/>
      <c r="W2797" s="38"/>
      <c r="X2797" s="32"/>
      <c r="Y2797" s="32"/>
      <c r="Z2797" s="32"/>
      <c r="AA2797" s="32"/>
      <c r="AB2797" s="32"/>
      <c r="AC2797" s="32"/>
      <c r="AD2797" s="32"/>
      <c r="AE2797" s="32"/>
      <c r="AF2797" s="32"/>
      <c r="AG2797" s="32"/>
      <c r="AH2797" s="32"/>
      <c r="AI2797" s="32"/>
      <c r="AJ2797" s="32"/>
      <c r="AK2797" s="32"/>
      <c r="AL2797" s="32"/>
      <c r="AM2797" s="32"/>
      <c r="AN2797" s="32"/>
      <c r="AO2797" s="32"/>
      <c r="AP2797" s="32"/>
      <c r="AQ2797" s="32"/>
      <c r="AR2797" s="32"/>
      <c r="AS2797" s="32"/>
      <c r="AT2797" s="373">
        <f>IPMT('Assumptions (T&amp;D) old'!$B$100,Model!W$1,'Assumptions (T&amp;D) old'!$B$103,Model!$AT$2699)</f>
        <v>-0.09218023463</v>
      </c>
      <c r="AU2797" s="373">
        <f>IPMT('Assumptions (T&amp;D) old'!$B$100,Model!X$1,'Assumptions (T&amp;D) old'!$B$103,Model!$AT$2699)</f>
        <v>-0.08782737938</v>
      </c>
      <c r="AV2797" s="373">
        <f>IPMT('Assumptions (T&amp;D) old'!$B$100,Model!Y$1,'Assumptions (T&amp;D) old'!$B$103,Model!$AT$2699)</f>
        <v>-0.08326776351</v>
      </c>
      <c r="AW2797" s="373">
        <f>IPMT('Assumptions (T&amp;D) old'!$B$100,Model!Z$1,'Assumptions (T&amp;D) old'!$B$103,Model!$AT$2699)</f>
        <v>-0.07849156588</v>
      </c>
      <c r="AX2797" s="373">
        <f>IPMT('Assumptions (T&amp;D) old'!$B$100,Model!AA$1,'Assumptions (T&amp;D) old'!$B$103,Model!$AT$2699)</f>
        <v>-0.07348849886</v>
      </c>
      <c r="AY2797" s="373">
        <f>IPMT('Assumptions (T&amp;D) old'!$B$100,Model!AB$1,'Assumptions (T&amp;D) old'!$B$103,Model!$AT$2699)</f>
        <v>-0.06824778617</v>
      </c>
      <c r="AZ2797" s="373">
        <f>IPMT('Assumptions (T&amp;D) old'!$B$100,Model!AC$1,'Assumptions (T&amp;D) old'!$B$103,Model!$AT$2699)</f>
        <v>-0.06275813961</v>
      </c>
      <c r="BA2797" s="373">
        <f>IPMT('Assumptions (T&amp;D) old'!$B$100,Model!AD$1,'Assumptions (T&amp;D) old'!$B$103,Model!$AT$2699)</f>
        <v>-0.05700773485</v>
      </c>
      <c r="BB2797" s="373">
        <f>IPMT('Assumptions (T&amp;D) old'!$B$100,Model!AE$1,'Assumptions (T&amp;D) old'!$B$103,Model!$AT$2699)</f>
        <v>-0.05098418586</v>
      </c>
      <c r="BC2797" s="373">
        <f>IPMT('Assumptions (T&amp;D) old'!$B$100,Model!AF$1,'Assumptions (T&amp;D) old'!$B$103,Model!$AT$2699)</f>
        <v>-0.0446745183</v>
      </c>
      <c r="BD2797" s="373">
        <f>IPMT('Assumptions (T&amp;D) old'!$B$100,Model!AG$1,'Assumptions (T&amp;D) old'!$B$103,Model!$AT$2699)</f>
        <v>-0.03806514152</v>
      </c>
      <c r="BE2797" s="373">
        <f>IPMT('Assumptions (T&amp;D) old'!$B$100,Model!AH$1,'Assumptions (T&amp;D) old'!$B$103,Model!$AT$2699)</f>
        <v>-0.03114181935</v>
      </c>
      <c r="BF2797" s="373">
        <f>IPMT('Assumptions (T&amp;D) old'!$B$100,Model!AI$1,'Assumptions (T&amp;D) old'!$B$103,Model!$AT$2699)</f>
        <v>-0.02388963937</v>
      </c>
      <c r="BG2797" s="373">
        <f>IPMT('Assumptions (T&amp;D) old'!$B$100,Model!AJ$1,'Assumptions (T&amp;D) old'!$B$103,Model!$AT$2699)</f>
        <v>-0.01629298085</v>
      </c>
      <c r="BH2797" s="373">
        <f>IPMT('Assumptions (T&amp;D) old'!$B$100,Model!AK$1,'Assumptions (T&amp;D) old'!$B$103,Model!$AT$2699)</f>
        <v>-0.008335481045</v>
      </c>
      <c r="BI2797" s="374"/>
      <c r="BJ2797" s="374"/>
      <c r="BK2797" s="374"/>
      <c r="BL2797" s="374"/>
      <c r="BM2797" s="374"/>
      <c r="BN2797" s="374"/>
      <c r="BO2797" s="374"/>
      <c r="BP2797" s="374"/>
      <c r="BQ2797" s="374"/>
      <c r="BR2797" s="374"/>
      <c r="BS2797" s="32"/>
      <c r="BT2797" s="32"/>
      <c r="BU2797" s="32"/>
      <c r="BV2797" s="32"/>
      <c r="BW2797" s="32"/>
      <c r="BX2797" s="32"/>
      <c r="BY2797" s="32"/>
      <c r="BZ2797" s="32"/>
      <c r="CA2797" s="32"/>
      <c r="CB2797" s="32"/>
      <c r="CC2797" s="32"/>
      <c r="CD2797" s="32"/>
    </row>
    <row r="2798" ht="15.75" hidden="1" customHeight="1" outlineLevel="1">
      <c r="A2798" s="365"/>
      <c r="B2798" s="38"/>
      <c r="C2798" s="374"/>
      <c r="D2798" s="374"/>
      <c r="E2798" s="374"/>
      <c r="F2798" s="374"/>
      <c r="G2798" s="374"/>
      <c r="H2798" s="374"/>
      <c r="I2798" s="374"/>
      <c r="J2798" s="374"/>
      <c r="K2798" s="374"/>
      <c r="L2798" s="374"/>
      <c r="M2798" s="374"/>
      <c r="N2798" s="374"/>
      <c r="O2798" s="374"/>
      <c r="P2798" s="374"/>
      <c r="Q2798" s="374"/>
      <c r="R2798" s="374"/>
      <c r="S2798" s="38"/>
      <c r="T2798" s="38"/>
      <c r="U2798" s="38"/>
      <c r="V2798" s="38"/>
      <c r="W2798" s="38"/>
      <c r="X2798" s="32"/>
      <c r="Y2798" s="32"/>
      <c r="Z2798" s="32"/>
      <c r="AA2798" s="32"/>
      <c r="AB2798" s="32"/>
      <c r="AC2798" s="32"/>
      <c r="AD2798" s="32"/>
      <c r="AE2798" s="32"/>
      <c r="AF2798" s="32"/>
      <c r="AG2798" s="32"/>
      <c r="AH2798" s="32"/>
      <c r="AI2798" s="32"/>
      <c r="AJ2798" s="32"/>
      <c r="AK2798" s="32"/>
      <c r="AL2798" s="32"/>
      <c r="AM2798" s="32"/>
      <c r="AN2798" s="32"/>
      <c r="AO2798" s="32"/>
      <c r="AP2798" s="32"/>
      <c r="AQ2798" s="32"/>
      <c r="AR2798" s="32"/>
      <c r="AS2798" s="32"/>
      <c r="AT2798" s="32"/>
      <c r="AU2798" s="373">
        <f>IPMT('Assumptions (T&amp;D) old'!$B$100,Model!W$1,'Assumptions (T&amp;D) old'!$B$103,Model!$AU$2699)</f>
        <v>-0.09836027624</v>
      </c>
      <c r="AV2798" s="373">
        <f>IPMT('Assumptions (T&amp;D) old'!$B$100,Model!X$1,'Assumptions (T&amp;D) old'!$B$103,Model!$AU$2699)</f>
        <v>-0.09371559242</v>
      </c>
      <c r="AW2798" s="373">
        <f>IPMT('Assumptions (T&amp;D) old'!$B$100,Model!Y$1,'Assumptions (T&amp;D) old'!$B$103,Model!$AU$2699)</f>
        <v>-0.08885028611</v>
      </c>
      <c r="AX2798" s="373">
        <f>IPMT('Assumptions (T&amp;D) old'!$B$100,Model!Z$1,'Assumptions (T&amp;D) old'!$B$103,Model!$AU$2699)</f>
        <v>-0.08375387776</v>
      </c>
      <c r="AY2798" s="373">
        <f>IPMT('Assumptions (T&amp;D) old'!$B$100,Model!AA$1,'Assumptions (T&amp;D) old'!$B$103,Model!$AU$2699)</f>
        <v>-0.07841539</v>
      </c>
      <c r="AZ2798" s="373">
        <f>IPMT('Assumptions (T&amp;D) old'!$B$100,Model!AB$1,'Assumptions (T&amp;D) old'!$B$103,Model!$AU$2699)</f>
        <v>-0.07282332408</v>
      </c>
      <c r="BA2798" s="373">
        <f>IPMT('Assumptions (T&amp;D) old'!$B$100,Model!AC$1,'Assumptions (T&amp;D) old'!$B$103,Model!$AU$2699)</f>
        <v>-0.06696563503</v>
      </c>
      <c r="BB2798" s="373">
        <f>IPMT('Assumptions (T&amp;D) old'!$B$100,Model!AD$1,'Assumptions (T&amp;D) old'!$B$103,Model!$AU$2699)</f>
        <v>-0.06082970574</v>
      </c>
      <c r="BC2798" s="373">
        <f>IPMT('Assumptions (T&amp;D) old'!$B$100,Model!AE$1,'Assumptions (T&amp;D) old'!$B$103,Model!$AU$2699)</f>
        <v>-0.05440231982</v>
      </c>
      <c r="BD2798" s="373">
        <f>IPMT('Assumptions (T&amp;D) old'!$B$100,Model!AF$1,'Assumptions (T&amp;D) old'!$B$103,Model!$AU$2699)</f>
        <v>-0.04766963307</v>
      </c>
      <c r="BE2798" s="373">
        <f>IPMT('Assumptions (T&amp;D) old'!$B$100,Model!AG$1,'Assumptions (T&amp;D) old'!$B$103,Model!$AU$2699)</f>
        <v>-0.04061714369</v>
      </c>
      <c r="BF2798" s="373">
        <f>IPMT('Assumptions (T&amp;D) old'!$B$100,Model!AH$1,'Assumptions (T&amp;D) old'!$B$103,Model!$AU$2699)</f>
        <v>-0.03322966107</v>
      </c>
      <c r="BG2798" s="373">
        <f>IPMT('Assumptions (T&amp;D) old'!$B$100,Model!AI$1,'Assumptions (T&amp;D) old'!$B$103,Model!$AU$2699)</f>
        <v>-0.02549127302</v>
      </c>
      <c r="BH2798" s="373">
        <f>IPMT('Assumptions (T&amp;D) old'!$B$100,Model!AJ$1,'Assumptions (T&amp;D) old'!$B$103,Model!$AU$2699)</f>
        <v>-0.01738531154</v>
      </c>
      <c r="BI2798" s="373">
        <f>IPMT('Assumptions (T&amp;D) old'!$B$100,Model!AK$1,'Assumptions (T&amp;D) old'!$B$103,Model!$AU$2699)</f>
        <v>-0.008894316894</v>
      </c>
      <c r="BJ2798" s="374"/>
      <c r="BK2798" s="374"/>
      <c r="BL2798" s="374"/>
      <c r="BM2798" s="374"/>
      <c r="BN2798" s="374"/>
      <c r="BO2798" s="374"/>
      <c r="BP2798" s="374"/>
      <c r="BQ2798" s="374"/>
      <c r="BR2798" s="374"/>
      <c r="BS2798" s="374"/>
      <c r="BT2798" s="32"/>
      <c r="BU2798" s="32"/>
      <c r="BV2798" s="32"/>
      <c r="BW2798" s="32"/>
      <c r="BX2798" s="32"/>
      <c r="BY2798" s="32"/>
      <c r="BZ2798" s="32"/>
      <c r="CA2798" s="32"/>
      <c r="CB2798" s="32"/>
      <c r="CC2798" s="32"/>
      <c r="CD2798" s="32"/>
    </row>
    <row r="2799" ht="15.75" hidden="1" customHeight="1" outlineLevel="1">
      <c r="A2799" s="365"/>
      <c r="B2799" s="38"/>
      <c r="C2799" s="374"/>
      <c r="D2799" s="374"/>
      <c r="E2799" s="374"/>
      <c r="F2799" s="374"/>
      <c r="G2799" s="374"/>
      <c r="H2799" s="374"/>
      <c r="I2799" s="374"/>
      <c r="J2799" s="374"/>
      <c r="K2799" s="374"/>
      <c r="L2799" s="374"/>
      <c r="M2799" s="374"/>
      <c r="N2799" s="374"/>
      <c r="O2799" s="374"/>
      <c r="P2799" s="374"/>
      <c r="Q2799" s="374"/>
      <c r="R2799" s="374"/>
      <c r="S2799" s="38"/>
      <c r="T2799" s="38"/>
      <c r="U2799" s="38"/>
      <c r="V2799" s="38"/>
      <c r="W2799" s="38"/>
      <c r="X2799" s="32"/>
      <c r="Y2799" s="32"/>
      <c r="Z2799" s="32"/>
      <c r="AA2799" s="32"/>
      <c r="AB2799" s="32"/>
      <c r="AC2799" s="32"/>
      <c r="AD2799" s="32"/>
      <c r="AE2799" s="32"/>
      <c r="AF2799" s="32"/>
      <c r="AG2799" s="32"/>
      <c r="AH2799" s="32"/>
      <c r="AI2799" s="32"/>
      <c r="AJ2799" s="32"/>
      <c r="AK2799" s="32"/>
      <c r="AL2799" s="32"/>
      <c r="AM2799" s="32"/>
      <c r="AN2799" s="32"/>
      <c r="AO2799" s="32"/>
      <c r="AP2799" s="32"/>
      <c r="AQ2799" s="32"/>
      <c r="AR2799" s="32"/>
      <c r="AS2799" s="32"/>
      <c r="AT2799" s="32"/>
      <c r="AU2799" s="32"/>
      <c r="AV2799" s="373">
        <f>IPMT('Assumptions (T&amp;D) old'!$B$100,Model!W$1,'Assumptions (T&amp;D) old'!$B$103,Model!$AV$2699)</f>
        <v>-0.09714179835</v>
      </c>
      <c r="AW2799" s="373">
        <f>IPMT('Assumptions (T&amp;D) old'!$B$100,Model!X$1,'Assumptions (T&amp;D) old'!$B$103,Model!$AV$2699)</f>
        <v>-0.09255465243</v>
      </c>
      <c r="AX2799" s="373">
        <f>IPMT('Assumptions (T&amp;D) old'!$B$100,Model!Y$1,'Assumptions (T&amp;D) old'!$B$103,Model!$AV$2699)</f>
        <v>-0.08774961709</v>
      </c>
      <c r="AY2799" s="373">
        <f>IPMT('Assumptions (T&amp;D) old'!$B$100,Model!Z$1,'Assumptions (T&amp;D) old'!$B$103,Model!$AV$2699)</f>
        <v>-0.08271634256</v>
      </c>
      <c r="AZ2799" s="373">
        <f>IPMT('Assumptions (T&amp;D) old'!$B$100,Model!AA$1,'Assumptions (T&amp;D) old'!$B$103,Model!$AV$2699)</f>
        <v>-0.07744398749</v>
      </c>
      <c r="BA2799" s="373">
        <f>IPMT('Assumptions (T&amp;D) old'!$B$100,Model!AB$1,'Assumptions (T&amp;D) old'!$B$103,Model!$AV$2699)</f>
        <v>-0.07192119556</v>
      </c>
      <c r="BB2799" s="373">
        <f>IPMT('Assumptions (T&amp;D) old'!$B$100,Model!AC$1,'Assumptions (T&amp;D) old'!$B$103,Model!$AV$2699)</f>
        <v>-0.06613607101</v>
      </c>
      <c r="BC2799" s="373">
        <f>IPMT('Assumptions (T&amp;D) old'!$B$100,Model!AD$1,'Assumptions (T&amp;D) old'!$B$103,Model!$AV$2699)</f>
        <v>-0.06007615304</v>
      </c>
      <c r="BD2799" s="373">
        <f>IPMT('Assumptions (T&amp;D) old'!$B$100,Model!AE$1,'Assumptions (T&amp;D) old'!$B$103,Model!$AV$2699)</f>
        <v>-0.05372838898</v>
      </c>
      <c r="BE2799" s="373">
        <f>IPMT('Assumptions (T&amp;D) old'!$B$100,Model!AF$1,'Assumptions (T&amp;D) old'!$B$103,Model!$AV$2699)</f>
        <v>-0.04707910611</v>
      </c>
      <c r="BF2799" s="373">
        <f>IPMT('Assumptions (T&amp;D) old'!$B$100,Model!AG$1,'Assumptions (T&amp;D) old'!$B$103,Model!$AV$2699)</f>
        <v>-0.04011398232</v>
      </c>
      <c r="BG2799" s="373">
        <f>IPMT('Assumptions (T&amp;D) old'!$B$100,Model!AH$1,'Assumptions (T&amp;D) old'!$B$103,Model!$AV$2699)</f>
        <v>-0.03281801514</v>
      </c>
      <c r="BH2799" s="373">
        <f>IPMT('Assumptions (T&amp;D) old'!$B$100,Model!AI$1,'Assumptions (T&amp;D) old'!$B$103,Model!$AV$2699)</f>
        <v>-0.02517548952</v>
      </c>
      <c r="BI2799" s="373">
        <f>IPMT('Assumptions (T&amp;D) old'!$B$100,Model!AJ$1,'Assumptions (T&amp;D) old'!$B$103,Model!$AV$2699)</f>
        <v>-0.01716994393</v>
      </c>
      <c r="BJ2799" s="373">
        <f>IPMT('Assumptions (T&amp;D) old'!$B$100,Model!AK$1,'Assumptions (T&amp;D) old'!$B$103,Model!$AV$2699)</f>
        <v>-0.008784134929</v>
      </c>
      <c r="BK2799" s="374"/>
      <c r="BL2799" s="374"/>
      <c r="BM2799" s="374"/>
      <c r="BN2799" s="374"/>
      <c r="BO2799" s="374"/>
      <c r="BP2799" s="374"/>
      <c r="BQ2799" s="374"/>
      <c r="BR2799" s="374"/>
      <c r="BS2799" s="374"/>
      <c r="BT2799" s="374"/>
      <c r="BU2799" s="32"/>
      <c r="BV2799" s="32"/>
      <c r="BW2799" s="32"/>
      <c r="BX2799" s="32"/>
      <c r="BY2799" s="32"/>
      <c r="BZ2799" s="32"/>
      <c r="CA2799" s="32"/>
      <c r="CB2799" s="32"/>
      <c r="CC2799" s="32"/>
      <c r="CD2799" s="32"/>
    </row>
    <row r="2800" ht="15.75" hidden="1" customHeight="1" outlineLevel="1">
      <c r="A2800" s="365"/>
      <c r="B2800" s="38"/>
      <c r="C2800" s="374"/>
      <c r="D2800" s="374"/>
      <c r="E2800" s="374"/>
      <c r="F2800" s="374"/>
      <c r="G2800" s="374"/>
      <c r="H2800" s="374"/>
      <c r="I2800" s="374"/>
      <c r="J2800" s="374"/>
      <c r="K2800" s="374"/>
      <c r="L2800" s="374"/>
      <c r="M2800" s="374"/>
      <c r="N2800" s="374"/>
      <c r="O2800" s="374"/>
      <c r="P2800" s="374"/>
      <c r="Q2800" s="374"/>
      <c r="R2800" s="374"/>
      <c r="S2800" s="38"/>
      <c r="T2800" s="38"/>
      <c r="U2800" s="38"/>
      <c r="V2800" s="38"/>
      <c r="W2800" s="38"/>
      <c r="X2800" s="32"/>
      <c r="Y2800" s="32"/>
      <c r="Z2800" s="32"/>
      <c r="AA2800" s="32"/>
      <c r="AB2800" s="32"/>
      <c r="AC2800" s="32"/>
      <c r="AD2800" s="32"/>
      <c r="AE2800" s="32"/>
      <c r="AF2800" s="32"/>
      <c r="AG2800" s="32"/>
      <c r="AH2800" s="32"/>
      <c r="AI2800" s="32"/>
      <c r="AJ2800" s="32"/>
      <c r="AK2800" s="32"/>
      <c r="AL2800" s="32"/>
      <c r="AM2800" s="32"/>
      <c r="AN2800" s="32"/>
      <c r="AO2800" s="32"/>
      <c r="AP2800" s="32"/>
      <c r="AQ2800" s="32"/>
      <c r="AR2800" s="32"/>
      <c r="AS2800" s="32"/>
      <c r="AT2800" s="32"/>
      <c r="AU2800" s="32"/>
      <c r="AV2800" s="32"/>
      <c r="AW2800" s="373">
        <f>IPMT('Assumptions (T&amp;D) old'!$B$100,Model!W$1,'Assumptions (T&amp;D) old'!$B$103,Model!$AW$2699)</f>
        <v>-0.09971527348</v>
      </c>
      <c r="AX2800" s="373">
        <f>IPMT('Assumptions (T&amp;D) old'!$B$100,Model!X$1,'Assumptions (T&amp;D) old'!$B$103,Model!$AW$2699)</f>
        <v>-0.09500660515</v>
      </c>
      <c r="AY2800" s="373">
        <f>IPMT('Assumptions (T&amp;D) old'!$B$100,Model!Y$1,'Assumptions (T&amp;D) old'!$B$103,Model!$AW$2699)</f>
        <v>-0.09007427507</v>
      </c>
      <c r="AZ2800" s="373">
        <f>IPMT('Assumptions (T&amp;D) old'!$B$100,Model!Z$1,'Assumptions (T&amp;D) old'!$B$103,Model!$AW$2699)</f>
        <v>-0.08490765931</v>
      </c>
      <c r="BA2800" s="373">
        <f>IPMT('Assumptions (T&amp;D) old'!$B$100,Model!AA$1,'Assumptions (T&amp;D) old'!$B$103,Model!$AW$2699)</f>
        <v>-0.07949562931</v>
      </c>
      <c r="BB2800" s="373">
        <f>IPMT('Assumptions (T&amp;D) old'!$B$100,Model!AB$1,'Assumptions (T&amp;D) old'!$B$103,Model!$AW$2699)</f>
        <v>-0.07382652788</v>
      </c>
      <c r="BC2800" s="373">
        <f>IPMT('Assumptions (T&amp;D) old'!$B$100,Model!AC$1,'Assumptions (T&amp;D) old'!$B$103,Model!$AW$2699)</f>
        <v>-0.06788814413</v>
      </c>
      <c r="BD2800" s="373">
        <f>IPMT('Assumptions (T&amp;D) old'!$B$100,Model!AD$1,'Assumptions (T&amp;D) old'!$B$103,Model!$AW$2699)</f>
        <v>-0.06166768716</v>
      </c>
      <c r="BE2800" s="373">
        <f>IPMT('Assumptions (T&amp;D) old'!$B$100,Model!AE$1,'Assumptions (T&amp;D) old'!$B$103,Model!$AW$2699)</f>
        <v>-0.05515175847</v>
      </c>
      <c r="BF2800" s="373">
        <f>IPMT('Assumptions (T&amp;D) old'!$B$100,Model!AF$1,'Assumptions (T&amp;D) old'!$B$103,Model!$AW$2699)</f>
        <v>-0.04832632318</v>
      </c>
      <c r="BG2800" s="373">
        <f>IPMT('Assumptions (T&amp;D) old'!$B$100,Model!AG$1,'Assumptions (T&amp;D) old'!$B$103,Model!$AW$2699)</f>
        <v>-0.04117667971</v>
      </c>
      <c r="BH2800" s="373">
        <f>IPMT('Assumptions (T&amp;D) old'!$B$100,Model!AH$1,'Assumptions (T&amp;D) old'!$B$103,Model!$AW$2699)</f>
        <v>-0.03368742817</v>
      </c>
      <c r="BI2800" s="373">
        <f>IPMT('Assumptions (T&amp;D) old'!$B$100,Model!AI$1,'Assumptions (T&amp;D) old'!$B$103,Model!$AW$2699)</f>
        <v>-0.02584243719</v>
      </c>
      <c r="BJ2800" s="373">
        <f>IPMT('Assumptions (T&amp;D) old'!$B$100,Model!AJ$1,'Assumptions (T&amp;D) old'!$B$103,Model!$AW$2699)</f>
        <v>-0.01762480913</v>
      </c>
      <c r="BK2800" s="373">
        <f>IPMT('Assumptions (T&amp;D) old'!$B$100,Model!AK$1,'Assumptions (T&amp;D) old'!$B$103,Model!$AW$2699)</f>
        <v>-0.009016843744</v>
      </c>
      <c r="BL2800" s="374"/>
      <c r="BM2800" s="374"/>
      <c r="BN2800" s="374"/>
      <c r="BO2800" s="374"/>
      <c r="BP2800" s="374"/>
      <c r="BQ2800" s="374"/>
      <c r="BR2800" s="374"/>
      <c r="BS2800" s="374"/>
      <c r="BT2800" s="374"/>
      <c r="BU2800" s="374"/>
      <c r="BV2800" s="32"/>
      <c r="BW2800" s="32"/>
      <c r="BX2800" s="32"/>
      <c r="BY2800" s="32"/>
      <c r="BZ2800" s="32"/>
      <c r="CA2800" s="32"/>
      <c r="CB2800" s="32"/>
      <c r="CC2800" s="32"/>
      <c r="CD2800" s="32"/>
    </row>
    <row r="2801" ht="15.75" hidden="1" customHeight="1" outlineLevel="1">
      <c r="A2801" s="365"/>
      <c r="B2801" s="38"/>
      <c r="C2801" s="374"/>
      <c r="D2801" s="374"/>
      <c r="E2801" s="374"/>
      <c r="F2801" s="374"/>
      <c r="G2801" s="374"/>
      <c r="H2801" s="374"/>
      <c r="I2801" s="374"/>
      <c r="J2801" s="374"/>
      <c r="K2801" s="374"/>
      <c r="L2801" s="374"/>
      <c r="M2801" s="374"/>
      <c r="N2801" s="374"/>
      <c r="O2801" s="374"/>
      <c r="P2801" s="374"/>
      <c r="Q2801" s="374"/>
      <c r="R2801" s="374"/>
      <c r="S2801" s="38"/>
      <c r="T2801" s="38"/>
      <c r="U2801" s="38"/>
      <c r="V2801" s="38"/>
      <c r="W2801" s="38"/>
      <c r="X2801" s="32"/>
      <c r="Y2801" s="32"/>
      <c r="Z2801" s="32"/>
      <c r="AA2801" s="32"/>
      <c r="AB2801" s="32"/>
      <c r="AC2801" s="32"/>
      <c r="AD2801" s="32"/>
      <c r="AE2801" s="32"/>
      <c r="AF2801" s="32"/>
      <c r="AG2801" s="32"/>
      <c r="AH2801" s="32"/>
      <c r="AI2801" s="32"/>
      <c r="AJ2801" s="32"/>
      <c r="AK2801" s="32"/>
      <c r="AL2801" s="32"/>
      <c r="AM2801" s="32"/>
      <c r="AN2801" s="32"/>
      <c r="AO2801" s="32"/>
      <c r="AP2801" s="32"/>
      <c r="AQ2801" s="32"/>
      <c r="AR2801" s="32"/>
      <c r="AS2801" s="32"/>
      <c r="AT2801" s="32"/>
      <c r="AU2801" s="32"/>
      <c r="AV2801" s="32"/>
      <c r="AW2801" s="374"/>
      <c r="AX2801" s="373">
        <f>IPMT('Assumptions (T&amp;D) old'!$B$100,Model!W$1,'Assumptions (T&amp;D) old'!$B$103,Model!$AX$2699)</f>
        <v>-0.1023525068</v>
      </c>
      <c r="AY2801" s="373">
        <f>IPMT('Assumptions (T&amp;D) old'!$B$100,Model!X$1,'Assumptions (T&amp;D) old'!$B$103,Model!$AX$2699)</f>
        <v>-0.09751930536</v>
      </c>
      <c r="AZ2801" s="373">
        <f>IPMT('Assumptions (T&amp;D) old'!$B$100,Model!Y$1,'Assumptions (T&amp;D) old'!$B$103,Model!$AX$2699)</f>
        <v>-0.09245652681</v>
      </c>
      <c r="BA2801" s="373">
        <f>IPMT('Assumptions (T&amp;D) old'!$B$100,Model!Z$1,'Assumptions (T&amp;D) old'!$B$103,Model!$AX$2699)</f>
        <v>-0.08715326627</v>
      </c>
      <c r="BB2801" s="373">
        <f>IPMT('Assumptions (T&amp;D) old'!$B$100,Model!AA$1,'Assumptions (T&amp;D) old'!$B$103,Model!$AX$2699)</f>
        <v>-0.08159810086</v>
      </c>
      <c r="BC2801" s="373">
        <f>IPMT('Assumptions (T&amp;D) old'!$B$100,Model!AB$1,'Assumptions (T&amp;D) old'!$B$103,Model!$AX$2699)</f>
        <v>-0.0757790651</v>
      </c>
      <c r="BD2801" s="373">
        <f>IPMT('Assumptions (T&amp;D) old'!$B$100,Model!AC$1,'Assumptions (T&amp;D) old'!$B$103,Model!$AX$2699)</f>
        <v>-0.06968362513</v>
      </c>
      <c r="BE2801" s="373">
        <f>IPMT('Assumptions (T&amp;D) old'!$B$100,Model!AD$1,'Assumptions (T&amp;D) old'!$B$103,Model!$AX$2699)</f>
        <v>-0.06329865177</v>
      </c>
      <c r="BF2801" s="373">
        <f>IPMT('Assumptions (T&amp;D) old'!$B$100,Model!AE$1,'Assumptions (T&amp;D) old'!$B$103,Model!$AX$2699)</f>
        <v>-0.05661039217</v>
      </c>
      <c r="BG2801" s="373">
        <f>IPMT('Assumptions (T&amp;D) old'!$B$100,Model!AF$1,'Assumptions (T&amp;D) old'!$B$103,Model!$AX$2699)</f>
        <v>-0.04960444024</v>
      </c>
      <c r="BH2801" s="373">
        <f>IPMT('Assumptions (T&amp;D) old'!$B$100,Model!AG$1,'Assumptions (T&amp;D) old'!$B$103,Model!$AX$2699)</f>
        <v>-0.04226570559</v>
      </c>
      <c r="BI2801" s="373">
        <f>IPMT('Assumptions (T&amp;D) old'!$B$100,Model!AH$1,'Assumptions (T&amp;D) old'!$B$103,Model!$AX$2699)</f>
        <v>-0.03457838105</v>
      </c>
      <c r="BJ2801" s="373">
        <f>IPMT('Assumptions (T&amp;D) old'!$B$100,Model!AI$1,'Assumptions (T&amp;D) old'!$B$103,Model!$AX$2699)</f>
        <v>-0.02652590859</v>
      </c>
      <c r="BK2801" s="373">
        <f>IPMT('Assumptions (T&amp;D) old'!$B$100,Model!AJ$1,'Assumptions (T&amp;D) old'!$B$103,Model!$AX$2699)</f>
        <v>-0.01809094369</v>
      </c>
      <c r="BL2801" s="373">
        <f>IPMT('Assumptions (T&amp;D) old'!$B$100,Model!AK$1,'Assumptions (T&amp;D) old'!$B$103,Model!$AX$2699)</f>
        <v>-0.009255317955</v>
      </c>
      <c r="BM2801" s="374"/>
      <c r="BN2801" s="374"/>
      <c r="BO2801" s="374"/>
      <c r="BP2801" s="374"/>
      <c r="BQ2801" s="374"/>
      <c r="BR2801" s="374"/>
      <c r="BS2801" s="374"/>
      <c r="BT2801" s="374"/>
      <c r="BU2801" s="374"/>
      <c r="BV2801" s="374"/>
      <c r="BW2801" s="32"/>
      <c r="BX2801" s="32"/>
      <c r="BY2801" s="32"/>
      <c r="BZ2801" s="32"/>
      <c r="CA2801" s="32"/>
      <c r="CB2801" s="32"/>
      <c r="CC2801" s="32"/>
      <c r="CD2801" s="32"/>
    </row>
    <row r="2802" ht="15.75" hidden="1" customHeight="1" outlineLevel="1">
      <c r="A2802" s="365"/>
      <c r="B2802" s="38"/>
      <c r="C2802" s="374"/>
      <c r="D2802" s="374"/>
      <c r="E2802" s="374"/>
      <c r="F2802" s="374"/>
      <c r="G2802" s="374"/>
      <c r="H2802" s="374"/>
      <c r="I2802" s="374"/>
      <c r="J2802" s="374"/>
      <c r="K2802" s="374"/>
      <c r="L2802" s="374"/>
      <c r="M2802" s="374"/>
      <c r="N2802" s="374"/>
      <c r="O2802" s="374"/>
      <c r="P2802" s="374"/>
      <c r="Q2802" s="374"/>
      <c r="R2802" s="374"/>
      <c r="S2802" s="38"/>
      <c r="T2802" s="38"/>
      <c r="U2802" s="38"/>
      <c r="V2802" s="38"/>
      <c r="W2802" s="38"/>
      <c r="X2802" s="32"/>
      <c r="Y2802" s="32"/>
      <c r="Z2802" s="32"/>
      <c r="AA2802" s="32"/>
      <c r="AB2802" s="32"/>
      <c r="AC2802" s="32"/>
      <c r="AD2802" s="32"/>
      <c r="AE2802" s="32"/>
      <c r="AF2802" s="32"/>
      <c r="AG2802" s="32"/>
      <c r="AH2802" s="32"/>
      <c r="AI2802" s="32"/>
      <c r="AJ2802" s="32"/>
      <c r="AK2802" s="32"/>
      <c r="AL2802" s="32"/>
      <c r="AM2802" s="32"/>
      <c r="AN2802" s="32"/>
      <c r="AO2802" s="32"/>
      <c r="AP2802" s="32"/>
      <c r="AQ2802" s="32"/>
      <c r="AR2802" s="32"/>
      <c r="AS2802" s="32"/>
      <c r="AT2802" s="32"/>
      <c r="AU2802" s="32"/>
      <c r="AV2802" s="32"/>
      <c r="AW2802" s="374"/>
      <c r="AX2802" s="374"/>
      <c r="AY2802" s="373">
        <f>IPMT('Assumptions (T&amp;D) old'!$B$100,Model!W$1,'Assumptions (T&amp;D) old'!$B$103,Model!$AY$2699)</f>
        <v>-0.105055013</v>
      </c>
      <c r="AZ2802" s="373">
        <f>IPMT('Assumptions (T&amp;D) old'!$B$100,Model!X$1,'Assumptions (T&amp;D) old'!$B$103,Model!$AY$2699)</f>
        <v>-0.1000941961</v>
      </c>
      <c r="BA2802" s="373">
        <f>IPMT('Assumptions (T&amp;D) old'!$B$100,Model!Y$1,'Assumptions (T&amp;D) old'!$B$103,Model!$AY$2699)</f>
        <v>-0.09489774044</v>
      </c>
      <c r="BB2802" s="373">
        <f>IPMT('Assumptions (T&amp;D) old'!$B$100,Model!Z$1,'Assumptions (T&amp;D) old'!$B$103,Model!$AY$2699)</f>
        <v>-0.08945445311</v>
      </c>
      <c r="BC2802" s="373">
        <f>IPMT('Assumptions (T&amp;D) old'!$B$100,Model!AA$1,'Assumptions (T&amp;D) old'!$B$103,Model!$AY$2699)</f>
        <v>-0.08375260962</v>
      </c>
      <c r="BD2802" s="373">
        <f>IPMT('Assumptions (T&amp;D) old'!$B$100,Model!AB$1,'Assumptions (T&amp;D) old'!$B$103,Model!$AY$2699)</f>
        <v>-0.07777992857</v>
      </c>
      <c r="BE2802" s="373">
        <f>IPMT('Assumptions (T&amp;D) old'!$B$100,Model!AC$1,'Assumptions (T&amp;D) old'!$B$103,Model!$AY$2699)</f>
        <v>-0.07152354516</v>
      </c>
      <c r="BF2802" s="373">
        <f>IPMT('Assumptions (T&amp;D) old'!$B$100,Model!AD$1,'Assumptions (T&amp;D) old'!$B$103,Model!$AY$2699)</f>
        <v>-0.06496998355</v>
      </c>
      <c r="BG2802" s="373">
        <f>IPMT('Assumptions (T&amp;D) old'!$B$100,Model!AE$1,'Assumptions (T&amp;D) old'!$B$103,Model!$AY$2699)</f>
        <v>-0.05810512776</v>
      </c>
      <c r="BH2802" s="373">
        <f>IPMT('Assumptions (T&amp;D) old'!$B$100,Model!AF$1,'Assumptions (T&amp;D) old'!$B$103,Model!$AY$2699)</f>
        <v>-0.05091419132</v>
      </c>
      <c r="BI2802" s="373">
        <f>IPMT('Assumptions (T&amp;D) old'!$B$100,Model!AG$1,'Assumptions (T&amp;D) old'!$B$103,Model!$AY$2699)</f>
        <v>-0.04338168539</v>
      </c>
      <c r="BJ2802" s="373">
        <f>IPMT('Assumptions (T&amp;D) old'!$B$100,Model!AH$1,'Assumptions (T&amp;D) old'!$B$103,Model!$AY$2699)</f>
        <v>-0.03549138544</v>
      </c>
      <c r="BK2802" s="373">
        <f>IPMT('Assumptions (T&amp;D) old'!$B$100,Model!AI$1,'Assumptions (T&amp;D) old'!$B$103,Model!$AY$2699)</f>
        <v>-0.02722629624</v>
      </c>
      <c r="BL2802" s="373">
        <f>IPMT('Assumptions (T&amp;D) old'!$B$100,Model!AJ$1,'Assumptions (T&amp;D) old'!$B$103,Model!$AY$2699)</f>
        <v>-0.0185686153</v>
      </c>
      <c r="BM2802" s="373">
        <f>IPMT('Assumptions (T&amp;D) old'!$B$100,Model!AK$1,'Assumptions (T&amp;D) old'!$B$103,Model!$AY$2699)</f>
        <v>-0.00949969452</v>
      </c>
      <c r="BN2802" s="374"/>
      <c r="BO2802" s="374"/>
      <c r="BP2802" s="374"/>
      <c r="BQ2802" s="374"/>
      <c r="BR2802" s="374"/>
      <c r="BS2802" s="374"/>
      <c r="BT2802" s="374"/>
      <c r="BU2802" s="374"/>
      <c r="BV2802" s="374"/>
      <c r="BW2802" s="374"/>
      <c r="BX2802" s="32"/>
      <c r="BY2802" s="32"/>
      <c r="BZ2802" s="32"/>
      <c r="CA2802" s="32"/>
      <c r="CB2802" s="32"/>
      <c r="CC2802" s="32"/>
      <c r="CD2802" s="32"/>
    </row>
    <row r="2803" ht="15.75" hidden="1" customHeight="1" outlineLevel="1">
      <c r="A2803" s="365"/>
      <c r="B2803" s="38"/>
      <c r="C2803" s="374"/>
      <c r="D2803" s="374"/>
      <c r="E2803" s="374"/>
      <c r="F2803" s="374"/>
      <c r="G2803" s="374"/>
      <c r="H2803" s="374"/>
      <c r="I2803" s="374"/>
      <c r="J2803" s="374"/>
      <c r="K2803" s="374"/>
      <c r="L2803" s="374"/>
      <c r="M2803" s="374"/>
      <c r="N2803" s="374"/>
      <c r="O2803" s="374"/>
      <c r="P2803" s="374"/>
      <c r="Q2803" s="374"/>
      <c r="R2803" s="374"/>
      <c r="S2803" s="38"/>
      <c r="T2803" s="38"/>
      <c r="U2803" s="38"/>
      <c r="V2803" s="38"/>
      <c r="W2803" s="38"/>
      <c r="X2803" s="32"/>
      <c r="Y2803" s="32"/>
      <c r="Z2803" s="32"/>
      <c r="AA2803" s="32"/>
      <c r="AB2803" s="32"/>
      <c r="AC2803" s="32"/>
      <c r="AD2803" s="32"/>
      <c r="AE2803" s="32"/>
      <c r="AF2803" s="32"/>
      <c r="AG2803" s="32"/>
      <c r="AH2803" s="32"/>
      <c r="AI2803" s="32"/>
      <c r="AJ2803" s="32"/>
      <c r="AK2803" s="32"/>
      <c r="AL2803" s="32"/>
      <c r="AM2803" s="32"/>
      <c r="AN2803" s="32"/>
      <c r="AO2803" s="32"/>
      <c r="AP2803" s="32"/>
      <c r="AQ2803" s="32"/>
      <c r="AR2803" s="32"/>
      <c r="AS2803" s="32"/>
      <c r="AT2803" s="32"/>
      <c r="AU2803" s="32"/>
      <c r="AV2803" s="32"/>
      <c r="AW2803" s="374"/>
      <c r="AX2803" s="374"/>
      <c r="AY2803" s="374"/>
      <c r="AZ2803" s="373">
        <f>IPMT('Assumptions (T&amp;D) old'!$B$100,Model!W$1,'Assumptions (T&amp;D) old'!$B$103,Model!$AZ$2699)</f>
        <v>-0.1108979859</v>
      </c>
      <c r="BA2803" s="373">
        <f>IPMT('Assumptions (T&amp;D) old'!$B$100,Model!X$1,'Assumptions (T&amp;D) old'!$B$103,Model!$AZ$2699)</f>
        <v>-0.1056612572</v>
      </c>
      <c r="BB2803" s="373">
        <f>IPMT('Assumptions (T&amp;D) old'!$B$100,Model!Y$1,'Assumptions (T&amp;D) old'!$B$103,Model!$AZ$2699)</f>
        <v>-0.1001757839</v>
      </c>
      <c r="BC2803" s="373">
        <f>IPMT('Assumptions (T&amp;D) old'!$B$100,Model!Z$1,'Assumptions (T&amp;D) old'!$B$103,Model!$AZ$2699)</f>
        <v>-0.09442975057</v>
      </c>
      <c r="BD2803" s="373">
        <f>IPMT('Assumptions (T&amp;D) old'!$B$100,Model!AA$1,'Assumptions (T&amp;D) old'!$B$103,Model!$AZ$2699)</f>
        <v>-0.0884107807</v>
      </c>
      <c r="BE2803" s="373">
        <f>IPMT('Assumptions (T&amp;D) old'!$B$100,Model!AB$1,'Assumptions (T&amp;D) old'!$B$103,Model!$AZ$2699)</f>
        <v>-0.08210590976</v>
      </c>
      <c r="BF2803" s="373">
        <f>IPMT('Assumptions (T&amp;D) old'!$B$100,Model!AC$1,'Assumptions (T&amp;D) old'!$B$103,Model!$AZ$2699)</f>
        <v>-0.07550155744</v>
      </c>
      <c r="BG2803" s="373">
        <f>IPMT('Assumptions (T&amp;D) old'!$B$100,Model!AD$1,'Assumptions (T&amp;D) old'!$B$103,Model!$AZ$2699)</f>
        <v>-0.0685834984</v>
      </c>
      <c r="BH2803" s="373">
        <f>IPMT('Assumptions (T&amp;D) old'!$B$100,Model!AE$1,'Assumptions (T&amp;D) old'!$B$103,Model!$AZ$2699)</f>
        <v>-0.06133683155</v>
      </c>
      <c r="BI2803" s="373">
        <f>IPMT('Assumptions (T&amp;D) old'!$B$100,Model!AF$1,'Assumptions (T&amp;D) old'!$B$103,Model!$AZ$2699)</f>
        <v>-0.05374594802</v>
      </c>
      <c r="BJ2803" s="373">
        <f>IPMT('Assumptions (T&amp;D) old'!$B$100,Model!AG$1,'Assumptions (T&amp;D) old'!$B$103,Model!$AZ$2699)</f>
        <v>-0.04579449752</v>
      </c>
      <c r="BK2803" s="373">
        <f>IPMT('Assumptions (T&amp;D) old'!$B$100,Model!AH$1,'Assumptions (T&amp;D) old'!$B$103,Model!$AZ$2699)</f>
        <v>-0.03746535313</v>
      </c>
      <c r="BL2803" s="373">
        <f>IPMT('Assumptions (T&amp;D) old'!$B$100,Model!AI$1,'Assumptions (T&amp;D) old'!$B$103,Model!$AZ$2699)</f>
        <v>-0.02874057438</v>
      </c>
      <c r="BM2803" s="373">
        <f>IPMT('Assumptions (T&amp;D) old'!$B$100,Model!AJ$1,'Assumptions (T&amp;D) old'!$B$103,Model!$AZ$2699)</f>
        <v>-0.01960136864</v>
      </c>
      <c r="BN2803" s="373">
        <f>IPMT('Assumptions (T&amp;D) old'!$B$100,Model!AK$1,'Assumptions (T&amp;D) old'!$B$103,Model!$AZ$2699)</f>
        <v>-0.01002805062</v>
      </c>
      <c r="BO2803" s="374"/>
      <c r="BP2803" s="374"/>
      <c r="BQ2803" s="374"/>
      <c r="BR2803" s="374"/>
      <c r="BS2803" s="374"/>
      <c r="BT2803" s="374"/>
      <c r="BU2803" s="374"/>
      <c r="BV2803" s="374"/>
      <c r="BW2803" s="374"/>
      <c r="BX2803" s="374"/>
      <c r="BY2803" s="32"/>
      <c r="BZ2803" s="32"/>
      <c r="CA2803" s="32"/>
      <c r="CB2803" s="32"/>
      <c r="CC2803" s="32"/>
      <c r="CD2803" s="32"/>
    </row>
    <row r="2804" ht="15.75" hidden="1" customHeight="1" outlineLevel="1">
      <c r="A2804" s="365"/>
      <c r="B2804" s="38"/>
      <c r="C2804" s="374"/>
      <c r="D2804" s="374"/>
      <c r="E2804" s="374"/>
      <c r="F2804" s="374"/>
      <c r="G2804" s="374"/>
      <c r="H2804" s="374"/>
      <c r="I2804" s="374"/>
      <c r="J2804" s="374"/>
      <c r="K2804" s="374"/>
      <c r="L2804" s="374"/>
      <c r="M2804" s="374"/>
      <c r="N2804" s="374"/>
      <c r="O2804" s="374"/>
      <c r="P2804" s="374"/>
      <c r="Q2804" s="374"/>
      <c r="R2804" s="374"/>
      <c r="S2804" s="38"/>
      <c r="T2804" s="38"/>
      <c r="U2804" s="38"/>
      <c r="V2804" s="38"/>
      <c r="W2804" s="38"/>
      <c r="X2804" s="32"/>
      <c r="Y2804" s="32"/>
      <c r="Z2804" s="32"/>
      <c r="AA2804" s="32"/>
      <c r="AB2804" s="32"/>
      <c r="AC2804" s="32"/>
      <c r="AD2804" s="32"/>
      <c r="AE2804" s="32"/>
      <c r="AF2804" s="32"/>
      <c r="AG2804" s="32"/>
      <c r="AH2804" s="32"/>
      <c r="AI2804" s="32"/>
      <c r="AJ2804" s="32"/>
      <c r="AK2804" s="32"/>
      <c r="AL2804" s="32"/>
      <c r="AM2804" s="32"/>
      <c r="AN2804" s="32"/>
      <c r="AO2804" s="32"/>
      <c r="AP2804" s="32"/>
      <c r="AQ2804" s="32"/>
      <c r="AR2804" s="32"/>
      <c r="AS2804" s="32"/>
      <c r="AT2804" s="32"/>
      <c r="AU2804" s="32"/>
      <c r="AV2804" s="32"/>
      <c r="AW2804" s="32"/>
      <c r="AX2804" s="32"/>
      <c r="AY2804" s="32"/>
      <c r="AZ2804" s="32"/>
      <c r="BA2804" s="373">
        <f>IPMT('Assumptions (T&amp;D) old'!$B$100,Model!W$1,'Assumptions (T&amp;D) old'!$B$103,Model!$BA$2699)</f>
        <v>-0.113087996</v>
      </c>
      <c r="BB2804" s="373">
        <f>IPMT('Assumptions (T&amp;D) old'!$B$100,Model!X$1,'Assumptions (T&amp;D) old'!$B$103,Model!$BA$2699)</f>
        <v>-0.1077478525</v>
      </c>
      <c r="BC2804" s="373">
        <f>IPMT('Assumptions (T&amp;D) old'!$B$100,Model!Y$1,'Assumptions (T&amp;D) old'!$B$103,Model!$BA$2699)</f>
        <v>-0.1021540523</v>
      </c>
      <c r="BD2804" s="373">
        <f>IPMT('Assumptions (T&amp;D) old'!$B$100,Model!Z$1,'Assumptions (T&amp;D) old'!$B$103,Model!$BA$2699)</f>
        <v>-0.09629454648</v>
      </c>
      <c r="BE2804" s="373">
        <f>IPMT('Assumptions (T&amp;D) old'!$B$100,Model!AA$1,'Assumptions (T&amp;D) old'!$B$103,Model!$BA$2699)</f>
        <v>-0.09015671417</v>
      </c>
      <c r="BF2804" s="373">
        <f>IPMT('Assumptions (T&amp;D) old'!$B$100,Model!AB$1,'Assumptions (T&amp;D) old'!$B$103,Model!$BA$2699)</f>
        <v>-0.08372733483</v>
      </c>
      <c r="BG2804" s="373">
        <f>IPMT('Assumptions (T&amp;D) old'!$B$100,Model!AC$1,'Assumptions (T&amp;D) old'!$B$103,Model!$BA$2699)</f>
        <v>-0.07699255996</v>
      </c>
      <c r="BH2804" s="373">
        <f>IPMT('Assumptions (T&amp;D) old'!$B$100,Model!AD$1,'Assumptions (T&amp;D) old'!$B$103,Model!$BA$2699)</f>
        <v>-0.06993788329</v>
      </c>
      <c r="BI2804" s="373">
        <f>IPMT('Assumptions (T&amp;D) old'!$B$100,Model!AE$1,'Assumptions (T&amp;D) old'!$B$103,Model!$BA$2699)</f>
        <v>-0.06254810948</v>
      </c>
      <c r="BJ2804" s="373">
        <f>IPMT('Assumptions (T&amp;D) old'!$B$100,Model!AF$1,'Assumptions (T&amp;D) old'!$B$103,Model!$BA$2699)</f>
        <v>-0.05480732141</v>
      </c>
      <c r="BK2804" s="373">
        <f>IPMT('Assumptions (T&amp;D) old'!$B$100,Model!AG$1,'Assumptions (T&amp;D) old'!$B$103,Model!$BA$2699)</f>
        <v>-0.0466988459</v>
      </c>
      <c r="BL2804" s="373">
        <f>IPMT('Assumptions (T&amp;D) old'!$B$100,Model!AH$1,'Assumptions (T&amp;D) old'!$B$103,Model!$BA$2699)</f>
        <v>-0.03820521781</v>
      </c>
      <c r="BM2804" s="373">
        <f>IPMT('Assumptions (T&amp;D) old'!$B$100,Model!AI$1,'Assumptions (T&amp;D) old'!$B$103,Model!$BA$2699)</f>
        <v>-0.02930814239</v>
      </c>
      <c r="BN2804" s="373">
        <f>IPMT('Assumptions (T&amp;D) old'!$B$100,Model!AJ$1,'Assumptions (T&amp;D) old'!$B$103,Model!$BA$2699)</f>
        <v>-0.01998845588</v>
      </c>
      <c r="BO2804" s="373">
        <f>IPMT('Assumptions (T&amp;D) old'!$B$100,Model!AK$1,'Assumptions (T&amp;D) old'!$B$103,Model!$BA$2699)</f>
        <v>-0.01022608427</v>
      </c>
      <c r="BP2804" s="374"/>
      <c r="BQ2804" s="374"/>
      <c r="BR2804" s="374"/>
      <c r="BS2804" s="374"/>
      <c r="BT2804" s="374"/>
      <c r="BU2804" s="374"/>
      <c r="BV2804" s="374"/>
      <c r="BW2804" s="374"/>
      <c r="BX2804" s="374"/>
      <c r="BY2804" s="374"/>
      <c r="BZ2804" s="32"/>
      <c r="CA2804" s="32"/>
      <c r="CB2804" s="32"/>
      <c r="CC2804" s="32"/>
      <c r="CD2804" s="32"/>
    </row>
    <row r="2805" ht="15.75" customHeight="1" collapsed="1">
      <c r="A2805" s="365" t="s">
        <v>372</v>
      </c>
      <c r="B2805" s="159" t="s">
        <v>351</v>
      </c>
      <c r="C2805" s="375">
        <f>SUM($C$2698:C2698)*'Assumptions (T&amp;D)'!$C$25</f>
        <v>0.02552726114</v>
      </c>
      <c r="D2805" s="375">
        <f>SUM($C$2698:D2698)*'Assumptions (T&amp;D)'!$C$25</f>
        <v>0.06432937816</v>
      </c>
      <c r="E2805" s="375">
        <f>SUM($C$2698:E2698)*'Assumptions (T&amp;D)'!$C$25</f>
        <v>0.09880230213</v>
      </c>
      <c r="F2805" s="375">
        <f>SUM($C$2698:F2698)*'Assumptions (T&amp;D)'!$C$25</f>
        <v>0.1338870791</v>
      </c>
      <c r="G2805" s="375">
        <f>SUM($C$2698:G2698)*'Assumptions (T&amp;D)'!$C$25</f>
        <v>0.1743313154</v>
      </c>
      <c r="H2805" s="375">
        <f>SUM($C$2698:H2698)*'Assumptions (T&amp;D)'!$C$25</f>
        <v>0.2066537177</v>
      </c>
      <c r="I2805" s="375">
        <f>SUM($C$2698:I2698)*'Assumptions (T&amp;D)'!$C$25</f>
        <v>0.2525156739</v>
      </c>
      <c r="J2805" s="375">
        <f>SUM($C$2698:J2698)*'Assumptions (T&amp;D)'!$C$25</f>
        <v>0.2994970808</v>
      </c>
      <c r="K2805" s="375">
        <f>SUM($C$2698:K2698)*'Assumptions (T&amp;D)'!$C$25</f>
        <v>0.3432517906</v>
      </c>
      <c r="L2805" s="375">
        <f>SUM($C$2698:L2698)*'Assumptions (T&amp;D)'!$C$25</f>
        <v>0.383507007</v>
      </c>
      <c r="M2805" s="375">
        <f>SUM($C$2698:M2698)*'Assumptions (T&amp;D)'!$C$25</f>
        <v>0.4387576159</v>
      </c>
      <c r="N2805" s="375">
        <f>SUM($C$2698:N2698)*'Assumptions (T&amp;D)'!$C$25</f>
        <v>0.5019338855</v>
      </c>
      <c r="O2805" s="375">
        <f>SUM($C$2698:O2698)*'Assumptions (T&amp;D)'!$C$25</f>
        <v>0.5695071134</v>
      </c>
      <c r="P2805" s="375">
        <f>SUM($C$2698:P2698)*'Assumptions (T&amp;D)'!$C$25</f>
        <v>0.6492422307</v>
      </c>
      <c r="Q2805" s="375">
        <f>SUM($C$2698:Q2698)*'Assumptions (T&amp;D)'!$C$25</f>
        <v>0.7208230109</v>
      </c>
      <c r="R2805" s="375">
        <f>SUM($C$2698:R2698)*'Assumptions (T&amp;D)'!$C$25</f>
        <v>0.7922762397</v>
      </c>
      <c r="S2805" s="375">
        <f>SUM($C$2698:S2698)*'Assumptions (T&amp;D)'!$C$25</f>
        <v>0.8656609648</v>
      </c>
      <c r="T2805" s="375">
        <f>SUM($C$2698:T2698)*'Assumptions (T&amp;D)'!$C$25</f>
        <v>0.9435888619</v>
      </c>
      <c r="U2805" s="375">
        <f>SUM($C$2698:U2698)*'Assumptions (T&amp;D)'!$C$25</f>
        <v>1.022501093</v>
      </c>
      <c r="V2805" s="375">
        <f>SUM($C$2698:V2698)*'Assumptions (T&amp;D)'!$C$25</f>
        <v>1.104294158</v>
      </c>
      <c r="W2805" s="375">
        <f>SUM($C$2698:W2698)*'Assumptions (T&amp;D)'!$C$25</f>
        <v>1.18770247</v>
      </c>
      <c r="X2805" s="375">
        <f>SUM($C$2698:X2698)*'Assumptions (T&amp;D)'!$C$25</f>
        <v>1.277281932</v>
      </c>
      <c r="Y2805" s="375">
        <f>SUM($C$2698:Y2698)*'Assumptions (T&amp;D)'!$C$25</f>
        <v>1.369348505</v>
      </c>
      <c r="Z2805" s="375">
        <f>SUM($C$2698:Z2698)*'Assumptions (T&amp;D)'!$C$25</f>
        <v>1.463965487</v>
      </c>
      <c r="AA2805" s="375">
        <f>SUM($C$2698:AA2698)*'Assumptions (T&amp;D)'!$C$25</f>
        <v>1.561197702</v>
      </c>
      <c r="AB2805" s="375">
        <f>SUM($C$2698:AB2698)*'Assumptions (T&amp;D)'!$C$25</f>
        <v>1.661111544</v>
      </c>
      <c r="AC2805" s="375">
        <f>SUM($C$2698:AC2698)*'Assumptions (T&amp;D)'!$C$25</f>
        <v>1.763775007</v>
      </c>
      <c r="AD2805" s="375">
        <f>SUM($C$2698:AD2698)*'Assumptions (T&amp;D)'!$C$25</f>
        <v>1.869257725</v>
      </c>
      <c r="AE2805" s="375">
        <f>SUM($C$2698:AE2698)*'Assumptions (T&amp;D)'!$C$25</f>
        <v>1.977672381</v>
      </c>
      <c r="AF2805" s="375">
        <f>SUM($C$2698:AF2698)*'Assumptions (T&amp;D)'!$C$25</f>
        <v>2.089009263</v>
      </c>
      <c r="AG2805" s="376">
        <f>SUM(D$2698:AG2698)*'Assumptions (T&amp;D)'!$C$25</f>
        <v>2.177857268</v>
      </c>
      <c r="AH2805" s="376">
        <f>SUM(E$2698:AH2698)*'Assumptions (T&amp;D)'!$C$25</f>
        <v>2.256545384</v>
      </c>
      <c r="AI2805" s="376">
        <f>SUM(F$2698:AI2698)*'Assumptions (T&amp;D)'!$C$25</f>
        <v>2.343427124</v>
      </c>
      <c r="AJ2805" s="376">
        <f>SUM(G$2698:AJ2698)*'Assumptions (T&amp;D)'!$C$25</f>
        <v>2.43229967</v>
      </c>
      <c r="AK2805" s="376">
        <f>SUM(H$2698:AK2698)*'Assumptions (T&amp;D)'!$C$25</f>
        <v>2.519168689</v>
      </c>
      <c r="AL2805" s="376">
        <f>SUM(I$2698:AL2698)*'Assumptions (T&amp;D)'!$C$25</f>
        <v>2.617599679</v>
      </c>
      <c r="AM2805" s="376">
        <f>SUM(J$2698:AM2698)*'Assumptions (T&amp;D)'!$C$25</f>
        <v>2.706017472</v>
      </c>
      <c r="AN2805" s="376">
        <f>SUM(K$2698:AN2698)*'Assumptions (T&amp;D)'!$C$25</f>
        <v>2.796930458</v>
      </c>
      <c r="AO2805" s="376">
        <f>SUM(L$2698:AO2698)*'Assumptions (T&amp;D)'!$C$25</f>
        <v>2.894775182</v>
      </c>
      <c r="AP2805" s="376">
        <f>SUM(M$2698:AP2698)*'Assumptions (T&amp;D)'!$C$25</f>
        <v>2.999916997</v>
      </c>
      <c r="AQ2805" s="376">
        <f>SUM(N$2698:AQ2698)*'Assumptions (T&amp;D)'!$C$25</f>
        <v>3.093955785</v>
      </c>
      <c r="AR2805" s="376">
        <f>SUM(O$2698:AR2698)*'Assumptions (T&amp;D)'!$C$25</f>
        <v>3.18405831</v>
      </c>
      <c r="AS2805" s="376">
        <f>SUM(P$2698:AS2698)*'Assumptions (T&amp;D)'!$C$25</f>
        <v>3.273852618</v>
      </c>
      <c r="AT2805" s="376">
        <f>SUM(Q$2698:AT2698)*'Assumptions (T&amp;D)'!$C$25</f>
        <v>3.355675491</v>
      </c>
      <c r="AU2805" s="376">
        <f>SUM(R$2698:AU2698)*'Assumptions (T&amp;D)'!$C$25</f>
        <v>3.456484037</v>
      </c>
      <c r="AV2805" s="376">
        <f>SUM(S$2698:AV2698)*'Assumptions (T&amp;D)'!$C$25</f>
        <v>3.555284592</v>
      </c>
      <c r="AW2805" s="376">
        <f>SUM(T$2698:AW2698)*'Assumptions (T&amp;D)'!$C$25</f>
        <v>3.656664004</v>
      </c>
      <c r="AX2805" s="376">
        <f>SUM(U$2698:AX2698)*'Assumptions (T&amp;D)'!$C$25</f>
        <v>3.758122342</v>
      </c>
      <c r="AY2805" s="376">
        <f>SUM(V$2698:AY2698)*'Assumptions (T&amp;D)'!$C$25</f>
        <v>3.863332845</v>
      </c>
      <c r="AZ2805" s="376">
        <f>SUM(W$2698:AZ2698)*'Assumptions (T&amp;D)'!$C$25</f>
        <v>3.975903092</v>
      </c>
      <c r="BA2805" s="376">
        <f>SUM(X$2698:BA2698)*'Assumptions (T&amp;D)'!$C$25</f>
        <v>4.090696372</v>
      </c>
      <c r="BB2805" s="376">
        <f>SUM(Y$2698:BB2698)*'Assumptions (T&amp;D)'!$C$25</f>
        <v>4.001116911</v>
      </c>
      <c r="BC2805" s="376">
        <f>SUM(Z$2698:BC2698)*'Assumptions (T&amp;D)'!$C$25</f>
        <v>3.909050337</v>
      </c>
      <c r="BD2805" s="376">
        <f>SUM(AA$2698:BD2698)*'Assumptions (T&amp;D)'!$C$25</f>
        <v>3.814433356</v>
      </c>
      <c r="BE2805" s="376">
        <f>SUM(AB$2698:BE2698)*'Assumptions (T&amp;D)'!$C$25</f>
        <v>3.717201141</v>
      </c>
      <c r="BF2805" s="376">
        <f>SUM(AC$2698:BF2698)*'Assumptions (T&amp;D)'!$C$25</f>
        <v>3.617287299</v>
      </c>
      <c r="BG2805" s="376">
        <f>SUM(AD$2698:BG2698)*'Assumptions (T&amp;D)'!$C$25</f>
        <v>3.514623836</v>
      </c>
      <c r="BH2805" s="376">
        <f>SUM(AE$2698:BH2698)*'Assumptions (T&amp;D)'!$C$25</f>
        <v>3.409141117</v>
      </c>
      <c r="BI2805" s="376">
        <f>SUM(AF$2698:BI2698)*'Assumptions (T&amp;D)'!$C$25</f>
        <v>3.300726462</v>
      </c>
      <c r="BJ2805" s="376">
        <f>SUM(AG$2698:BJ2698)*'Assumptions (T&amp;D)'!$C$25</f>
        <v>3.189389579</v>
      </c>
      <c r="BK2805" s="376">
        <f>SUM(AH$2698:BK2698)*'Assumptions (T&amp;D)'!$C$25</f>
        <v>3.075014314</v>
      </c>
      <c r="BL2805" s="376">
        <f>SUM(AI$2698:BL2698)*'Assumptions (T&amp;D)'!$C$25</f>
        <v>2.957524081</v>
      </c>
      <c r="BM2805" s="376">
        <f>SUM(AJ$2698:BM2698)*'Assumptions (T&amp;D)'!$C$25</f>
        <v>2.836169417</v>
      </c>
      <c r="BN2805" s="376">
        <f>SUM(AK$2698:BN2698)*'Assumptions (T&amp;D)'!$C$25</f>
        <v>2.712212093</v>
      </c>
      <c r="BO2805" s="376">
        <f>SUM(AL$2698:BO2698)*'Assumptions (T&amp;D)'!$C$25</f>
        <v>2.584898838</v>
      </c>
      <c r="BP2805" s="376">
        <f>SUM(AM$2698:BP2698)*'Assumptions (T&amp;D)'!$C$25</f>
        <v>2.454145446</v>
      </c>
      <c r="BQ2805" s="376">
        <f>SUM(AN$2698:BQ2698)*'Assumptions (T&amp;D)'!$C$25</f>
        <v>2.319865697</v>
      </c>
      <c r="BR2805" s="376">
        <f>SUM(AO$2698:BR2698)*'Assumptions (T&amp;D)'!$C$25</f>
        <v>2.181971304</v>
      </c>
      <c r="BS2805" s="376">
        <f>SUM(AP$2698:BS2698)*'Assumptions (T&amp;D)'!$C$25</f>
        <v>2.04037187</v>
      </c>
      <c r="BT2805" s="376">
        <f>SUM(AQ$2698:BT2698)*'Assumptions (T&amp;D)'!$C$25</f>
        <v>1.894974839</v>
      </c>
      <c r="BU2805" s="376">
        <f>SUM(AR$2698:BU2698)*'Assumptions (T&amp;D)'!$C$25</f>
        <v>1.745685442</v>
      </c>
      <c r="BV2805" s="376">
        <f>SUM(AS$2698:BV2698)*'Assumptions (T&amp;D)'!$C$25</f>
        <v>1.592406647</v>
      </c>
      <c r="BW2805" s="376">
        <f>SUM(AT$2698:BW2698)*'Assumptions (T&amp;D)'!$C$25</f>
        <v>1.435039111</v>
      </c>
      <c r="BX2805" s="376">
        <f>SUM(AU$2698:BX2698)*'Assumptions (T&amp;D)'!$C$25</f>
        <v>1.273481121</v>
      </c>
      <c r="BY2805" s="376">
        <f>SUM(AV$2698:BY2698)*'Assumptions (T&amp;D)'!$C$25</f>
        <v>1.101091795</v>
      </c>
      <c r="BZ2805" s="376">
        <f>SUM(AW$2698:BZ2698)*'Assumptions (T&amp;D)'!$C$25</f>
        <v>0.9308380113</v>
      </c>
      <c r="CA2805" s="376">
        <f>SUM(AX$2698:CA2698)*'Assumptions (T&amp;D)'!$C$25</f>
        <v>0.7560738741</v>
      </c>
      <c r="CB2805" s="376">
        <f>SUM(AY$2698:CB2698)*'Assumptions (T&amp;D)'!$C$25</f>
        <v>0.5766876384</v>
      </c>
      <c r="CC2805" s="376">
        <f>SUM(AZ$2698:CC2698)*'Assumptions (T&amp;D)'!$C$25</f>
        <v>0.3925649051</v>
      </c>
      <c r="CD2805" s="376">
        <f>SUM(BA$2698:CD2698)*'Assumptions (T&amp;D)'!$C$25</f>
        <v>0.198201593</v>
      </c>
    </row>
    <row r="2806" ht="15.75" customHeight="1">
      <c r="A2806" s="365" t="s">
        <v>373</v>
      </c>
      <c r="B2806" s="159" t="s">
        <v>351</v>
      </c>
      <c r="C2806" s="372">
        <f t="shared" ref="C2806:BU2806" si="95">SUM(C2807:C2857)</f>
        <v>0.0287469157</v>
      </c>
      <c r="D2806" s="372">
        <f t="shared" si="95"/>
        <v>0.09904347276</v>
      </c>
      <c r="E2806" s="372">
        <f t="shared" si="95"/>
        <v>0.1741582145</v>
      </c>
      <c r="F2806" s="372">
        <f t="shared" si="95"/>
        <v>0.2394651773</v>
      </c>
      <c r="G2806" s="372">
        <f t="shared" si="95"/>
        <v>0.3065510067</v>
      </c>
      <c r="H2806" s="372">
        <f t="shared" si="95"/>
        <v>0.3655329353</v>
      </c>
      <c r="I2806" s="372">
        <f t="shared" si="95"/>
        <v>0.4262082289</v>
      </c>
      <c r="J2806" s="372">
        <f t="shared" si="95"/>
        <v>0.4987940072</v>
      </c>
      <c r="K2806" s="372">
        <f t="shared" si="95"/>
        <v>0.5656880013</v>
      </c>
      <c r="L2806" s="372">
        <f t="shared" si="95"/>
        <v>0.6237029679</v>
      </c>
      <c r="M2806" s="372">
        <f t="shared" si="95"/>
        <v>0.6937928092</v>
      </c>
      <c r="N2806" s="372">
        <f t="shared" si="95"/>
        <v>0.7879891319</v>
      </c>
      <c r="O2806" s="372">
        <f t="shared" si="95"/>
        <v>0.8929833341</v>
      </c>
      <c r="P2806" s="372">
        <f t="shared" si="95"/>
        <v>1.012126739</v>
      </c>
      <c r="Q2806" s="372">
        <f t="shared" si="95"/>
        <v>1.131201636</v>
      </c>
      <c r="R2806" s="372">
        <f t="shared" si="95"/>
        <v>1.236752093</v>
      </c>
      <c r="S2806" s="372">
        <f t="shared" si="95"/>
        <v>1.340866459</v>
      </c>
      <c r="T2806" s="372">
        <f t="shared" si="95"/>
        <v>1.448528522</v>
      </c>
      <c r="U2806" s="372">
        <f t="shared" si="95"/>
        <v>1.559677182</v>
      </c>
      <c r="V2806" s="372">
        <f t="shared" si="95"/>
        <v>1.673023232</v>
      </c>
      <c r="W2806" s="372">
        <f t="shared" si="95"/>
        <v>1.77254602</v>
      </c>
      <c r="X2806" s="372">
        <f t="shared" si="95"/>
        <v>1.853919281</v>
      </c>
      <c r="Y2806" s="372">
        <f t="shared" si="95"/>
        <v>1.937055954</v>
      </c>
      <c r="Z2806" s="372">
        <f t="shared" si="95"/>
        <v>2.025613724</v>
      </c>
      <c r="AA2806" s="372">
        <f t="shared" si="95"/>
        <v>2.113196325</v>
      </c>
      <c r="AB2806" s="372">
        <f t="shared" si="95"/>
        <v>2.205974815</v>
      </c>
      <c r="AC2806" s="372">
        <f t="shared" si="95"/>
        <v>2.298547744</v>
      </c>
      <c r="AD2806" s="372">
        <f t="shared" si="95"/>
        <v>2.384870189</v>
      </c>
      <c r="AE2806" s="372">
        <f t="shared" si="95"/>
        <v>2.476290447</v>
      </c>
      <c r="AF2806" s="372">
        <f t="shared" si="95"/>
        <v>2.576288765</v>
      </c>
      <c r="AG2806" s="372">
        <f t="shared" si="95"/>
        <v>2.672787912</v>
      </c>
      <c r="AH2806" s="372">
        <f t="shared" si="95"/>
        <v>2.758294025</v>
      </c>
      <c r="AI2806" s="372">
        <f t="shared" si="95"/>
        <v>2.840769569</v>
      </c>
      <c r="AJ2806" s="372">
        <f t="shared" si="95"/>
        <v>2.916677914</v>
      </c>
      <c r="AK2806" s="372">
        <f t="shared" si="95"/>
        <v>2.993787041</v>
      </c>
      <c r="AL2806" s="372">
        <f t="shared" si="95"/>
        <v>3.081260593</v>
      </c>
      <c r="AM2806" s="372">
        <f t="shared" si="95"/>
        <v>3.172466194</v>
      </c>
      <c r="AN2806" s="372">
        <f t="shared" si="95"/>
        <v>3.264400141</v>
      </c>
      <c r="AO2806" s="372">
        <f t="shared" si="95"/>
        <v>3.357816087</v>
      </c>
      <c r="AP2806" s="372">
        <f t="shared" si="95"/>
        <v>3.453958433</v>
      </c>
      <c r="AQ2806" s="372">
        <f t="shared" si="95"/>
        <v>3.552593352</v>
      </c>
      <c r="AR2806" s="372">
        <f t="shared" si="95"/>
        <v>3.651602445</v>
      </c>
      <c r="AS2806" s="372">
        <f t="shared" si="95"/>
        <v>3.75052839</v>
      </c>
      <c r="AT2806" s="372">
        <f t="shared" si="95"/>
        <v>3.851937821</v>
      </c>
      <c r="AU2806" s="372">
        <f t="shared" si="95"/>
        <v>3.963251445</v>
      </c>
      <c r="AV2806" s="372">
        <f t="shared" si="95"/>
        <v>4.076619317</v>
      </c>
      <c r="AW2806" s="372">
        <f t="shared" si="95"/>
        <v>4.184781797</v>
      </c>
      <c r="AX2806" s="372">
        <f t="shared" si="95"/>
        <v>4.295752732</v>
      </c>
      <c r="AY2806" s="372">
        <f t="shared" si="95"/>
        <v>4.409550013</v>
      </c>
      <c r="AZ2806" s="372">
        <f t="shared" si="95"/>
        <v>4.532373747</v>
      </c>
      <c r="BA2806" s="372">
        <f t="shared" si="95"/>
        <v>4.662529666</v>
      </c>
      <c r="BB2806" s="372">
        <f t="shared" si="95"/>
        <v>4.564749005</v>
      </c>
      <c r="BC2806" s="372">
        <f t="shared" si="95"/>
        <v>4.251848868</v>
      </c>
      <c r="BD2806" s="372">
        <f t="shared" si="95"/>
        <v>3.963121756</v>
      </c>
      <c r="BE2806" s="372">
        <f t="shared" si="95"/>
        <v>3.697167227</v>
      </c>
      <c r="BF2806" s="372">
        <f t="shared" si="95"/>
        <v>3.452312212</v>
      </c>
      <c r="BG2806" s="372">
        <f t="shared" si="95"/>
        <v>3.226106106</v>
      </c>
      <c r="BH2806" s="372">
        <f t="shared" si="95"/>
        <v>3.018314897</v>
      </c>
      <c r="BI2806" s="372">
        <f t="shared" si="95"/>
        <v>2.827575159</v>
      </c>
      <c r="BJ2806" s="372">
        <f t="shared" si="95"/>
        <v>2.635382331</v>
      </c>
      <c r="BK2806" s="372">
        <f t="shared" si="95"/>
        <v>2.438039768</v>
      </c>
      <c r="BL2806" s="372">
        <f t="shared" si="95"/>
        <v>2.235419026</v>
      </c>
      <c r="BM2806" s="372">
        <f t="shared" si="95"/>
        <v>2.027388601</v>
      </c>
      <c r="BN2806" s="372">
        <f t="shared" si="95"/>
        <v>1.813813849</v>
      </c>
      <c r="BO2806" s="372">
        <f t="shared" si="95"/>
        <v>1.59017946</v>
      </c>
      <c r="BP2806" s="372">
        <f t="shared" si="95"/>
        <v>1.360721762</v>
      </c>
      <c r="BQ2806" s="372">
        <f t="shared" si="95"/>
        <v>1.129673725</v>
      </c>
      <c r="BR2806" s="372">
        <f t="shared" si="95"/>
        <v>0.8925099619</v>
      </c>
      <c r="BS2806" s="372">
        <f t="shared" si="95"/>
        <v>0.6490790306</v>
      </c>
      <c r="BT2806" s="372">
        <f t="shared" si="95"/>
        <v>0.3956184056</v>
      </c>
      <c r="BU2806" s="372">
        <f t="shared" si="95"/>
        <v>0.1327295953</v>
      </c>
      <c r="BV2806" s="32"/>
      <c r="BW2806" s="32"/>
      <c r="BX2806" s="32"/>
      <c r="BY2806" s="32"/>
      <c r="BZ2806" s="32"/>
      <c r="CA2806" s="32"/>
      <c r="CB2806" s="32"/>
      <c r="CC2806" s="32"/>
      <c r="CD2806" s="32"/>
    </row>
    <row r="2807" ht="15.75" hidden="1" customHeight="1" outlineLevel="1">
      <c r="A2807" s="365"/>
      <c r="B2807" s="38"/>
      <c r="C2807" s="372">
        <f>$C2698*'Assumptions (T&amp;D)'!C$24</f>
        <v>0.0287469157</v>
      </c>
      <c r="D2807" s="372">
        <f>$C2698*'Assumptions (T&amp;D)'!D$24</f>
        <v>0.05534739503</v>
      </c>
      <c r="E2807" s="372">
        <f>$C2698*'Assumptions (T&amp;D)'!E$24</f>
        <v>0.05120783917</v>
      </c>
      <c r="F2807" s="372">
        <f>$C2698*'Assumptions (T&amp;D)'!F$24</f>
        <v>0.04737491708</v>
      </c>
      <c r="G2807" s="372">
        <f>$C2698*'Assumptions (T&amp;D)'!G$24</f>
        <v>0.04377197031</v>
      </c>
      <c r="H2807" s="372">
        <f>$C2698*'Assumptions (T&amp;D)'!H$24</f>
        <v>0.04055231575</v>
      </c>
      <c r="I2807" s="372">
        <f>$C2698*'Assumptions (T&amp;D)'!I$24</f>
        <v>0.03748597807</v>
      </c>
      <c r="J2807" s="372">
        <f>$C2698*'Assumptions (T&amp;D)'!J$24</f>
        <v>0.03464961573</v>
      </c>
      <c r="K2807" s="372">
        <f>$C2698*'Assumptions (T&amp;D)'!K$24</f>
        <v>0.03418966507</v>
      </c>
      <c r="L2807" s="372">
        <f>$C2698*'Assumptions (T&amp;D)'!L$24</f>
        <v>0.03418966507</v>
      </c>
      <c r="M2807" s="372">
        <f>$C2698*'Assumptions (T&amp;D)'!M$24</f>
        <v>0.03418966507</v>
      </c>
      <c r="N2807" s="372">
        <f>$C2698*'Assumptions (T&amp;D)'!N$24</f>
        <v>0.03418966507</v>
      </c>
      <c r="O2807" s="372">
        <f>$C2698*'Assumptions (T&amp;D)'!O$24</f>
        <v>0.03418966507</v>
      </c>
      <c r="P2807" s="372">
        <f>$C2698*'Assumptions (T&amp;D)'!P$24</f>
        <v>0.03418966507</v>
      </c>
      <c r="Q2807" s="372">
        <f>$C2698*'Assumptions (T&amp;D)'!Q$24</f>
        <v>0.03418966507</v>
      </c>
      <c r="R2807" s="372">
        <f>$C2698*'Assumptions (T&amp;D)'!R$24</f>
        <v>0.03418966507</v>
      </c>
      <c r="S2807" s="372">
        <f>$C2698*'Assumptions (T&amp;D)'!S$24</f>
        <v>0.03418966507</v>
      </c>
      <c r="T2807" s="372">
        <f>$C2698*'Assumptions (T&amp;D)'!T$24</f>
        <v>0.03418966507</v>
      </c>
      <c r="U2807" s="372">
        <f>$C2698*'Assumptions (T&amp;D)'!U$24</f>
        <v>0.03418966507</v>
      </c>
      <c r="V2807" s="372">
        <f>$C2698*'Assumptions (T&amp;D)'!V$24</f>
        <v>0.03418966507</v>
      </c>
      <c r="W2807" s="372">
        <f>$C2698*'Assumptions (T&amp;D)'!W$24</f>
        <v>0.01709483254</v>
      </c>
      <c r="X2807" s="215"/>
      <c r="Y2807" s="32"/>
      <c r="Z2807" s="32"/>
      <c r="AA2807" s="32"/>
      <c r="AB2807" s="32"/>
      <c r="AC2807" s="32"/>
      <c r="AD2807" s="32"/>
      <c r="AE2807" s="32"/>
      <c r="AF2807" s="32"/>
      <c r="AG2807" s="32"/>
      <c r="AH2807" s="32"/>
      <c r="AI2807" s="32"/>
      <c r="AJ2807" s="32"/>
      <c r="AK2807" s="32"/>
      <c r="AL2807" s="32"/>
      <c r="AM2807" s="32"/>
      <c r="AN2807" s="32"/>
      <c r="AO2807" s="32"/>
      <c r="AP2807" s="32"/>
      <c r="AQ2807" s="32"/>
      <c r="AR2807" s="32"/>
      <c r="AS2807" s="32"/>
      <c r="AT2807" s="32"/>
      <c r="AU2807" s="32"/>
      <c r="AV2807" s="32"/>
      <c r="AW2807" s="32"/>
      <c r="AX2807" s="32"/>
      <c r="AY2807" s="32"/>
      <c r="AZ2807" s="32"/>
      <c r="BA2807" s="32"/>
      <c r="BB2807" s="32"/>
      <c r="BC2807" s="32"/>
      <c r="BD2807" s="32"/>
      <c r="BE2807" s="32"/>
      <c r="BF2807" s="32"/>
      <c r="BG2807" s="32"/>
      <c r="BH2807" s="32"/>
      <c r="BI2807" s="32"/>
      <c r="BJ2807" s="32"/>
      <c r="BK2807" s="32"/>
      <c r="BL2807" s="32"/>
      <c r="BM2807" s="32"/>
      <c r="BN2807" s="32"/>
      <c r="BO2807" s="32"/>
      <c r="BP2807" s="32"/>
      <c r="BQ2807" s="32"/>
      <c r="BR2807" s="32"/>
      <c r="BS2807" s="32"/>
      <c r="BT2807" s="32"/>
      <c r="BU2807" s="32"/>
      <c r="BV2807" s="32"/>
      <c r="BW2807" s="32"/>
      <c r="BX2807" s="32"/>
      <c r="BY2807" s="32"/>
      <c r="BZ2807" s="32"/>
      <c r="CA2807" s="32"/>
      <c r="CB2807" s="32"/>
      <c r="CC2807" s="32"/>
      <c r="CD2807" s="32"/>
    </row>
    <row r="2808" ht="15.75" hidden="1" customHeight="1" outlineLevel="1">
      <c r="A2808" s="365"/>
      <c r="B2808" s="38"/>
      <c r="C2808" s="215"/>
      <c r="D2808" s="372">
        <f>$D2698*'Assumptions (T&amp;D)'!C$24</f>
        <v>0.04369607773</v>
      </c>
      <c r="E2808" s="372">
        <f>$D2698*'Assumptions (T&amp;D)'!D$24</f>
        <v>0.08412951498</v>
      </c>
      <c r="F2808" s="372">
        <f>$D2698*'Assumptions (T&amp;D)'!E$24</f>
        <v>0.07783727979</v>
      </c>
      <c r="G2808" s="372">
        <f>$D2698*'Assumptions (T&amp;D)'!F$24</f>
        <v>0.07201113609</v>
      </c>
      <c r="H2808" s="372">
        <f>$D2698*'Assumptions (T&amp;D)'!G$24</f>
        <v>0.06653456102</v>
      </c>
      <c r="I2808" s="372">
        <f>$D2698*'Assumptions (T&amp;D)'!H$24</f>
        <v>0.06164060031</v>
      </c>
      <c r="J2808" s="372">
        <f>$D2698*'Assumptions (T&amp;D)'!I$24</f>
        <v>0.05697968536</v>
      </c>
      <c r="K2808" s="372">
        <f>$D2698*'Assumptions (T&amp;D)'!J$24</f>
        <v>0.05266833902</v>
      </c>
      <c r="L2808" s="372">
        <f>$D2698*'Assumptions (T&amp;D)'!K$24</f>
        <v>0.05196920178</v>
      </c>
      <c r="M2808" s="372">
        <f>$D2698*'Assumptions (T&amp;D)'!L$24</f>
        <v>0.05196920178</v>
      </c>
      <c r="N2808" s="372">
        <f>$D2698*'Assumptions (T&amp;D)'!M$24</f>
        <v>0.05196920178</v>
      </c>
      <c r="O2808" s="372">
        <f>$D2698*'Assumptions (T&amp;D)'!N$24</f>
        <v>0.05196920178</v>
      </c>
      <c r="P2808" s="372">
        <f>$D2698*'Assumptions (T&amp;D)'!O$24</f>
        <v>0.05196920178</v>
      </c>
      <c r="Q2808" s="372">
        <f>$D2698*'Assumptions (T&amp;D)'!P$24</f>
        <v>0.05196920178</v>
      </c>
      <c r="R2808" s="372">
        <f>$D2698*'Assumptions (T&amp;D)'!Q$24</f>
        <v>0.05196920178</v>
      </c>
      <c r="S2808" s="372">
        <f>$D2698*'Assumptions (T&amp;D)'!R$24</f>
        <v>0.05196920178</v>
      </c>
      <c r="T2808" s="372">
        <f>$D2698*'Assumptions (T&amp;D)'!S$24</f>
        <v>0.05196920178</v>
      </c>
      <c r="U2808" s="372">
        <f>$D2698*'Assumptions (T&amp;D)'!T$24</f>
        <v>0.05196920178</v>
      </c>
      <c r="V2808" s="372">
        <f>$D2698*'Assumptions (T&amp;D)'!U$24</f>
        <v>0.05196920178</v>
      </c>
      <c r="W2808" s="372">
        <f>$D2698*'Assumptions (T&amp;D)'!V$24</f>
        <v>0.05196920178</v>
      </c>
      <c r="X2808" s="372">
        <f>$D2698*'Assumptions (T&amp;D)'!W$24</f>
        <v>0.02598460089</v>
      </c>
      <c r="Y2808" s="32"/>
      <c r="Z2808" s="32"/>
      <c r="AA2808" s="32"/>
      <c r="AB2808" s="32"/>
      <c r="AC2808" s="32"/>
      <c r="AD2808" s="32"/>
      <c r="AE2808" s="32"/>
      <c r="AF2808" s="32"/>
      <c r="AG2808" s="32"/>
      <c r="AH2808" s="32"/>
      <c r="AI2808" s="32"/>
      <c r="AJ2808" s="32"/>
      <c r="AK2808" s="32"/>
      <c r="AL2808" s="32"/>
      <c r="AM2808" s="32"/>
      <c r="AN2808" s="32"/>
      <c r="AO2808" s="32"/>
      <c r="AP2808" s="32"/>
      <c r="AQ2808" s="32"/>
      <c r="AR2808" s="32"/>
      <c r="AS2808" s="32"/>
      <c r="AT2808" s="32"/>
      <c r="AU2808" s="32"/>
      <c r="AV2808" s="32"/>
      <c r="AW2808" s="32"/>
      <c r="AX2808" s="32"/>
      <c r="AY2808" s="32"/>
      <c r="AZ2808" s="32"/>
      <c r="BA2808" s="32"/>
      <c r="BB2808" s="32"/>
      <c r="BC2808" s="32"/>
      <c r="BD2808" s="32"/>
      <c r="BE2808" s="32"/>
      <c r="BF2808" s="32"/>
      <c r="BG2808" s="32"/>
      <c r="BH2808" s="32"/>
      <c r="BI2808" s="32"/>
      <c r="BJ2808" s="32"/>
      <c r="BK2808" s="32"/>
      <c r="BL2808" s="32"/>
      <c r="BM2808" s="32"/>
      <c r="BN2808" s="32"/>
      <c r="BO2808" s="32"/>
      <c r="BP2808" s="32"/>
      <c r="BQ2808" s="32"/>
      <c r="BR2808" s="32"/>
      <c r="BS2808" s="32"/>
      <c r="BT2808" s="32"/>
      <c r="BU2808" s="32"/>
      <c r="BV2808" s="32"/>
      <c r="BW2808" s="32"/>
      <c r="BX2808" s="32"/>
      <c r="BY2808" s="32"/>
      <c r="BZ2808" s="32"/>
      <c r="CA2808" s="32"/>
      <c r="CB2808" s="32"/>
      <c r="CC2808" s="32"/>
      <c r="CD2808" s="32"/>
    </row>
    <row r="2809" ht="15.75" hidden="1" customHeight="1" outlineLevel="1">
      <c r="A2809" s="365"/>
      <c r="B2809" s="38"/>
      <c r="C2809" s="215"/>
      <c r="D2809" s="38"/>
      <c r="E2809" s="372">
        <f>$E2698*'Assumptions (T&amp;D)'!C$24</f>
        <v>0.03882086032</v>
      </c>
      <c r="F2809" s="372">
        <f>$E2698*'Assumptions (T&amp;D)'!D$24</f>
        <v>0.07474309641</v>
      </c>
      <c r="G2809" s="372">
        <f>$E2698*'Assumptions (T&amp;D)'!E$24</f>
        <v>0.06915289252</v>
      </c>
      <c r="H2809" s="372">
        <f>$E2698*'Assumptions (T&amp;D)'!F$24</f>
        <v>0.06397677781</v>
      </c>
      <c r="I2809" s="372">
        <f>$E2698*'Assumptions (T&amp;D)'!G$24</f>
        <v>0.05911122998</v>
      </c>
      <c r="J2809" s="372">
        <f>$E2698*'Assumptions (T&amp;D)'!H$24</f>
        <v>0.05476329363</v>
      </c>
      <c r="K2809" s="372">
        <f>$E2698*'Assumptions (T&amp;D)'!I$24</f>
        <v>0.05062240186</v>
      </c>
      <c r="L2809" s="372">
        <f>$E2698*'Assumptions (T&amp;D)'!J$24</f>
        <v>0.04679207698</v>
      </c>
      <c r="M2809" s="372">
        <f>$E2698*'Assumptions (T&amp;D)'!K$24</f>
        <v>0.04617094321</v>
      </c>
      <c r="N2809" s="372">
        <f>$E2698*'Assumptions (T&amp;D)'!L$24</f>
        <v>0.04617094321</v>
      </c>
      <c r="O2809" s="372">
        <f>$E2698*'Assumptions (T&amp;D)'!M$24</f>
        <v>0.04617094321</v>
      </c>
      <c r="P2809" s="372">
        <f>$E2698*'Assumptions (T&amp;D)'!N$24</f>
        <v>0.04617094321</v>
      </c>
      <c r="Q2809" s="372">
        <f>$E2698*'Assumptions (T&amp;D)'!O$24</f>
        <v>0.04617094321</v>
      </c>
      <c r="R2809" s="372">
        <f>$E2698*'Assumptions (T&amp;D)'!P$24</f>
        <v>0.04617094321</v>
      </c>
      <c r="S2809" s="372">
        <f>$E2698*'Assumptions (T&amp;D)'!Q$24</f>
        <v>0.04617094321</v>
      </c>
      <c r="T2809" s="372">
        <f>$E2698*'Assumptions (T&amp;D)'!R$24</f>
        <v>0.04617094321</v>
      </c>
      <c r="U2809" s="372">
        <f>$E2698*'Assumptions (T&amp;D)'!S$24</f>
        <v>0.04617094321</v>
      </c>
      <c r="V2809" s="372">
        <f>$E2698*'Assumptions (T&amp;D)'!T$24</f>
        <v>0.04617094321</v>
      </c>
      <c r="W2809" s="372">
        <f>$E2698*'Assumptions (T&amp;D)'!U$24</f>
        <v>0.04617094321</v>
      </c>
      <c r="X2809" s="372">
        <f>$E2698*'Assumptions (T&amp;D)'!V$24</f>
        <v>0.04617094321</v>
      </c>
      <c r="Y2809" s="372">
        <f>$E2698*'Assumptions (T&amp;D)'!W$24</f>
        <v>0.02308547161</v>
      </c>
      <c r="Z2809" s="32"/>
      <c r="AA2809" s="32"/>
      <c r="AB2809" s="32"/>
      <c r="AC2809" s="32"/>
      <c r="AD2809" s="32"/>
      <c r="AE2809" s="32"/>
      <c r="AF2809" s="32"/>
      <c r="AG2809" s="32"/>
      <c r="AH2809" s="32"/>
      <c r="AI2809" s="32"/>
      <c r="AJ2809" s="32"/>
      <c r="AK2809" s="32"/>
      <c r="AL2809" s="32"/>
      <c r="AM2809" s="32"/>
      <c r="AN2809" s="32"/>
      <c r="AO2809" s="32"/>
      <c r="AP2809" s="32"/>
      <c r="AQ2809" s="32"/>
      <c r="AR2809" s="32"/>
      <c r="AS2809" s="32"/>
      <c r="AT2809" s="32"/>
      <c r="AU2809" s="32"/>
      <c r="AV2809" s="32"/>
      <c r="AW2809" s="32"/>
      <c r="AX2809" s="32"/>
      <c r="AY2809" s="32"/>
      <c r="AZ2809" s="32"/>
      <c r="BA2809" s="32"/>
      <c r="BB2809" s="32"/>
      <c r="BC2809" s="32"/>
      <c r="BD2809" s="32"/>
      <c r="BE2809" s="32"/>
      <c r="BF2809" s="32"/>
      <c r="BG2809" s="32"/>
      <c r="BH2809" s="32"/>
      <c r="BI2809" s="32"/>
      <c r="BJ2809" s="32"/>
      <c r="BK2809" s="32"/>
      <c r="BL2809" s="32"/>
      <c r="BM2809" s="32"/>
      <c r="BN2809" s="32"/>
      <c r="BO2809" s="32"/>
      <c r="BP2809" s="32"/>
      <c r="BQ2809" s="32"/>
      <c r="BR2809" s="32"/>
      <c r="BS2809" s="32"/>
      <c r="BT2809" s="32"/>
      <c r="BU2809" s="32"/>
      <c r="BV2809" s="32"/>
      <c r="BW2809" s="32"/>
      <c r="BX2809" s="32"/>
      <c r="BY2809" s="32"/>
      <c r="BZ2809" s="32"/>
      <c r="CA2809" s="32"/>
      <c r="CB2809" s="32"/>
      <c r="CC2809" s="32"/>
      <c r="CD2809" s="32"/>
    </row>
    <row r="2810" ht="15.75" hidden="1" customHeight="1" outlineLevel="1">
      <c r="A2810" s="365"/>
      <c r="B2810" s="38"/>
      <c r="C2810" s="215"/>
      <c r="D2810" s="38"/>
      <c r="E2810" s="38"/>
      <c r="F2810" s="372">
        <f>$F2698*'Assumptions (T&amp;D)'!C$24</f>
        <v>0.03950988399</v>
      </c>
      <c r="G2810" s="372">
        <f>$F2698*'Assumptions (T&amp;D)'!D$24</f>
        <v>0.07606969664</v>
      </c>
      <c r="H2810" s="372">
        <f>$F2698*'Assumptions (T&amp;D)'!E$24</f>
        <v>0.07038027334</v>
      </c>
      <c r="I2810" s="372">
        <f>$F2698*'Assumptions (T&amp;D)'!F$24</f>
        <v>0.06511228881</v>
      </c>
      <c r="J2810" s="372">
        <f>$F2698*'Assumptions (T&amp;D)'!G$24</f>
        <v>0.06016038335</v>
      </c>
      <c r="K2810" s="372">
        <f>$F2698*'Assumptions (T&amp;D)'!H$24</f>
        <v>0.05573527635</v>
      </c>
      <c r="L2810" s="372">
        <f>$F2698*'Assumptions (T&amp;D)'!I$24</f>
        <v>0.05152088872</v>
      </c>
      <c r="M2810" s="372">
        <f>$F2698*'Assumptions (T&amp;D)'!J$24</f>
        <v>0.04762258017</v>
      </c>
      <c r="N2810" s="372">
        <f>$F2698*'Assumptions (T&amp;D)'!K$24</f>
        <v>0.04699042202</v>
      </c>
      <c r="O2810" s="372">
        <f>$F2698*'Assumptions (T&amp;D)'!L$24</f>
        <v>0.04699042202</v>
      </c>
      <c r="P2810" s="372">
        <f>$F2698*'Assumptions (T&amp;D)'!M$24</f>
        <v>0.04699042202</v>
      </c>
      <c r="Q2810" s="372">
        <f>$F2698*'Assumptions (T&amp;D)'!N$24</f>
        <v>0.04699042202</v>
      </c>
      <c r="R2810" s="372">
        <f>$F2698*'Assumptions (T&amp;D)'!O$24</f>
        <v>0.04699042202</v>
      </c>
      <c r="S2810" s="372">
        <f>$F2698*'Assumptions (T&amp;D)'!P$24</f>
        <v>0.04699042202</v>
      </c>
      <c r="T2810" s="372">
        <f>$F2698*'Assumptions (T&amp;D)'!Q$24</f>
        <v>0.04699042202</v>
      </c>
      <c r="U2810" s="372">
        <f>$F2698*'Assumptions (T&amp;D)'!R$24</f>
        <v>0.04699042202</v>
      </c>
      <c r="V2810" s="372">
        <f>$F2698*'Assumptions (T&amp;D)'!S$24</f>
        <v>0.04699042202</v>
      </c>
      <c r="W2810" s="372">
        <f>$F2698*'Assumptions (T&amp;D)'!T$24</f>
        <v>0.04699042202</v>
      </c>
      <c r="X2810" s="372">
        <f>$F2698*'Assumptions (T&amp;D)'!U$24</f>
        <v>0.04699042202</v>
      </c>
      <c r="Y2810" s="372">
        <f>$F2698*'Assumptions (T&amp;D)'!V$24</f>
        <v>0.04699042202</v>
      </c>
      <c r="Z2810" s="372">
        <f>$F2698*'Assumptions (T&amp;D)'!W$24</f>
        <v>0.02349521101</v>
      </c>
      <c r="AA2810" s="32"/>
      <c r="AB2810" s="32"/>
      <c r="AC2810" s="32"/>
      <c r="AD2810" s="32"/>
      <c r="AE2810" s="32"/>
      <c r="AF2810" s="32"/>
      <c r="AG2810" s="32"/>
      <c r="AH2810" s="32"/>
      <c r="AI2810" s="32"/>
      <c r="AJ2810" s="32"/>
      <c r="AK2810" s="32"/>
      <c r="AL2810" s="32"/>
      <c r="AM2810" s="32"/>
      <c r="AN2810" s="32"/>
      <c r="AO2810" s="32"/>
      <c r="AP2810" s="32"/>
      <c r="AQ2810" s="32"/>
      <c r="AR2810" s="32"/>
      <c r="AS2810" s="32"/>
      <c r="AT2810" s="32"/>
      <c r="AU2810" s="32"/>
      <c r="AV2810" s="32"/>
      <c r="AW2810" s="32"/>
      <c r="AX2810" s="32"/>
      <c r="AY2810" s="32"/>
      <c r="AZ2810" s="32"/>
      <c r="BA2810" s="32"/>
      <c r="BB2810" s="32"/>
      <c r="BC2810" s="32"/>
      <c r="BD2810" s="32"/>
      <c r="BE2810" s="32"/>
      <c r="BF2810" s="32"/>
      <c r="BG2810" s="32"/>
      <c r="BH2810" s="32"/>
      <c r="BI2810" s="32"/>
      <c r="BJ2810" s="32"/>
      <c r="BK2810" s="32"/>
      <c r="BL2810" s="32"/>
      <c r="BM2810" s="32"/>
      <c r="BN2810" s="32"/>
      <c r="BO2810" s="32"/>
      <c r="BP2810" s="32"/>
      <c r="BQ2810" s="32"/>
      <c r="BR2810" s="32"/>
      <c r="BS2810" s="32"/>
      <c r="BT2810" s="32"/>
      <c r="BU2810" s="32"/>
      <c r="BV2810" s="32"/>
      <c r="BW2810" s="32"/>
      <c r="BX2810" s="32"/>
      <c r="BY2810" s="32"/>
      <c r="BZ2810" s="32"/>
      <c r="CA2810" s="32"/>
      <c r="CB2810" s="32"/>
      <c r="CC2810" s="32"/>
      <c r="CD2810" s="32"/>
    </row>
    <row r="2811" ht="15.75" hidden="1" customHeight="1" outlineLevel="1">
      <c r="A2811" s="365"/>
      <c r="B2811" s="38"/>
      <c r="C2811" s="215"/>
      <c r="D2811" s="38"/>
      <c r="E2811" s="38"/>
      <c r="F2811" s="38"/>
      <c r="G2811" s="372">
        <f>$G2698*'Assumptions (T&amp;D)'!C$24</f>
        <v>0.04554531116</v>
      </c>
      <c r="H2811" s="372">
        <f>$G2698*'Assumptions (T&amp;D)'!D$24</f>
        <v>0.08768990575</v>
      </c>
      <c r="I2811" s="372">
        <f>$G2698*'Assumptions (T&amp;D)'!E$24</f>
        <v>0.08113138094</v>
      </c>
      <c r="J2811" s="372">
        <f>$G2698*'Assumptions (T&amp;D)'!F$24</f>
        <v>0.07505867279</v>
      </c>
      <c r="K2811" s="372">
        <f>$G2698*'Assumptions (T&amp;D)'!G$24</f>
        <v>0.06935032712</v>
      </c>
      <c r="L2811" s="372">
        <f>$G2698*'Assumptions (T&amp;D)'!H$24</f>
        <v>0.06424925227</v>
      </c>
      <c r="M2811" s="372">
        <f>$G2698*'Assumptions (T&amp;D)'!I$24</f>
        <v>0.05939108575</v>
      </c>
      <c r="N2811" s="372">
        <f>$G2698*'Assumptions (T&amp;D)'!J$24</f>
        <v>0.05489728172</v>
      </c>
      <c r="O2811" s="372">
        <f>$G2698*'Assumptions (T&amp;D)'!K$24</f>
        <v>0.05416855674</v>
      </c>
      <c r="P2811" s="372">
        <f>$G2698*'Assumptions (T&amp;D)'!L$24</f>
        <v>0.05416855674</v>
      </c>
      <c r="Q2811" s="372">
        <f>$G2698*'Assumptions (T&amp;D)'!M$24</f>
        <v>0.05416855674</v>
      </c>
      <c r="R2811" s="372">
        <f>$G2698*'Assumptions (T&amp;D)'!N$24</f>
        <v>0.05416855674</v>
      </c>
      <c r="S2811" s="372">
        <f>$G2698*'Assumptions (T&amp;D)'!O$24</f>
        <v>0.05416855674</v>
      </c>
      <c r="T2811" s="372">
        <f>$G2698*'Assumptions (T&amp;D)'!P$24</f>
        <v>0.05416855674</v>
      </c>
      <c r="U2811" s="372">
        <f>$G2698*'Assumptions (T&amp;D)'!Q$24</f>
        <v>0.05416855674</v>
      </c>
      <c r="V2811" s="372">
        <f>$G2698*'Assumptions (T&amp;D)'!R$24</f>
        <v>0.05416855674</v>
      </c>
      <c r="W2811" s="372">
        <f>$G2698*'Assumptions (T&amp;D)'!S$24</f>
        <v>0.05416855674</v>
      </c>
      <c r="X2811" s="372">
        <f>$G2698*'Assumptions (T&amp;D)'!T$24</f>
        <v>0.05416855674</v>
      </c>
      <c r="Y2811" s="372">
        <f>$G2698*'Assumptions (T&amp;D)'!U$24</f>
        <v>0.05416855674</v>
      </c>
      <c r="Z2811" s="372">
        <f>$G2698*'Assumptions (T&amp;D)'!V$24</f>
        <v>0.05416855674</v>
      </c>
      <c r="AA2811" s="372">
        <f>$G2698*'Assumptions (T&amp;D)'!W$24</f>
        <v>0.02708427837</v>
      </c>
      <c r="AB2811" s="32"/>
      <c r="AC2811" s="32"/>
      <c r="AD2811" s="32"/>
      <c r="AE2811" s="32"/>
      <c r="AF2811" s="32"/>
      <c r="AG2811" s="32"/>
      <c r="AH2811" s="32"/>
      <c r="AI2811" s="32"/>
      <c r="AJ2811" s="32"/>
      <c r="AK2811" s="32"/>
      <c r="AL2811" s="32"/>
      <c r="AM2811" s="32"/>
      <c r="AN2811" s="32"/>
      <c r="AO2811" s="32"/>
      <c r="AP2811" s="32"/>
      <c r="AQ2811" s="32"/>
      <c r="AR2811" s="32"/>
      <c r="AS2811" s="32"/>
      <c r="AT2811" s="32"/>
      <c r="AU2811" s="32"/>
      <c r="AV2811" s="32"/>
      <c r="AW2811" s="32"/>
      <c r="AX2811" s="32"/>
      <c r="AY2811" s="32"/>
      <c r="AZ2811" s="32"/>
      <c r="BA2811" s="32"/>
      <c r="BB2811" s="32"/>
      <c r="BC2811" s="32"/>
      <c r="BD2811" s="32"/>
      <c r="BE2811" s="32"/>
      <c r="BF2811" s="32"/>
      <c r="BG2811" s="32"/>
      <c r="BH2811" s="32"/>
      <c r="BI2811" s="32"/>
      <c r="BJ2811" s="32"/>
      <c r="BK2811" s="32"/>
      <c r="BL2811" s="32"/>
      <c r="BM2811" s="32"/>
      <c r="BN2811" s="32"/>
      <c r="BO2811" s="32"/>
      <c r="BP2811" s="32"/>
      <c r="BQ2811" s="32"/>
      <c r="BR2811" s="32"/>
      <c r="BS2811" s="32"/>
      <c r="BT2811" s="32"/>
      <c r="BU2811" s="32"/>
      <c r="BV2811" s="32"/>
      <c r="BW2811" s="32"/>
      <c r="BX2811" s="32"/>
      <c r="BY2811" s="32"/>
      <c r="BZ2811" s="32"/>
      <c r="CA2811" s="32"/>
      <c r="CB2811" s="32"/>
      <c r="CC2811" s="32"/>
      <c r="CD2811" s="32"/>
    </row>
    <row r="2812" ht="15.75" hidden="1" customHeight="1" outlineLevel="1">
      <c r="A2812" s="365"/>
      <c r="B2812" s="38"/>
      <c r="C2812" s="215"/>
      <c r="D2812" s="38"/>
      <c r="E2812" s="38"/>
      <c r="F2812" s="38"/>
      <c r="G2812" s="38"/>
      <c r="H2812" s="372">
        <f>$H2698*'Assumptions (T&amp;D)'!C$24</f>
        <v>0.03639910162</v>
      </c>
      <c r="I2812" s="372">
        <f>$H2698*'Assumptions (T&amp;D)'!D$24</f>
        <v>0.07008040365</v>
      </c>
      <c r="J2812" s="372">
        <f>$H2698*'Assumptions (T&amp;D)'!E$24</f>
        <v>0.06483893302</v>
      </c>
      <c r="K2812" s="372">
        <f>$H2698*'Assumptions (T&amp;D)'!F$24</f>
        <v>0.05998571947</v>
      </c>
      <c r="L2812" s="372">
        <f>$H2698*'Assumptions (T&amp;D)'!G$24</f>
        <v>0.05542369873</v>
      </c>
      <c r="M2812" s="372">
        <f>$H2698*'Assumptions (T&amp;D)'!H$24</f>
        <v>0.05134699935</v>
      </c>
      <c r="N2812" s="372">
        <f>$H2698*'Assumptions (T&amp;D)'!I$24</f>
        <v>0.04746442851</v>
      </c>
      <c r="O2812" s="372">
        <f>$H2698*'Assumptions (T&amp;D)'!J$24</f>
        <v>0.04387305048</v>
      </c>
      <c r="P2812" s="372">
        <f>$H2698*'Assumptions (T&amp;D)'!K$24</f>
        <v>0.04329066486</v>
      </c>
      <c r="Q2812" s="372">
        <f>$H2698*'Assumptions (T&amp;D)'!L$24</f>
        <v>0.04329066486</v>
      </c>
      <c r="R2812" s="372">
        <f>$H2698*'Assumptions (T&amp;D)'!M$24</f>
        <v>0.04329066486</v>
      </c>
      <c r="S2812" s="372">
        <f>$H2698*'Assumptions (T&amp;D)'!N$24</f>
        <v>0.04329066486</v>
      </c>
      <c r="T2812" s="372">
        <f>$H2698*'Assumptions (T&amp;D)'!O$24</f>
        <v>0.04329066486</v>
      </c>
      <c r="U2812" s="372">
        <f>$H2698*'Assumptions (T&amp;D)'!P$24</f>
        <v>0.04329066486</v>
      </c>
      <c r="V2812" s="372">
        <f>$H2698*'Assumptions (T&amp;D)'!Q$24</f>
        <v>0.04329066486</v>
      </c>
      <c r="W2812" s="372">
        <f>$H2698*'Assumptions (T&amp;D)'!R$24</f>
        <v>0.04329066486</v>
      </c>
      <c r="X2812" s="372">
        <f>$H2698*'Assumptions (T&amp;D)'!S$24</f>
        <v>0.04329066486</v>
      </c>
      <c r="Y2812" s="372">
        <f>$H2698*'Assumptions (T&amp;D)'!T$24</f>
        <v>0.04329066486</v>
      </c>
      <c r="Z2812" s="372">
        <f>$H2698*'Assumptions (T&amp;D)'!U$24</f>
        <v>0.04329066486</v>
      </c>
      <c r="AA2812" s="372">
        <f>$H2698*'Assumptions (T&amp;D)'!V$24</f>
        <v>0.04329066486</v>
      </c>
      <c r="AB2812" s="372">
        <f>$H2698*'Assumptions (T&amp;D)'!W$24</f>
        <v>0.02164533243</v>
      </c>
      <c r="AC2812" s="32"/>
      <c r="AD2812" s="32"/>
      <c r="AE2812" s="32"/>
      <c r="AF2812" s="32"/>
      <c r="AG2812" s="32"/>
      <c r="AH2812" s="32"/>
      <c r="AI2812" s="32"/>
      <c r="AJ2812" s="32"/>
      <c r="AK2812" s="32"/>
      <c r="AL2812" s="32"/>
      <c r="AM2812" s="32"/>
      <c r="AN2812" s="32"/>
      <c r="AO2812" s="32"/>
      <c r="AP2812" s="32"/>
      <c r="AQ2812" s="32"/>
      <c r="AR2812" s="32"/>
      <c r="AS2812" s="32"/>
      <c r="AT2812" s="32"/>
      <c r="AU2812" s="32"/>
      <c r="AV2812" s="32"/>
      <c r="AW2812" s="32"/>
      <c r="AX2812" s="32"/>
      <c r="AY2812" s="32"/>
      <c r="AZ2812" s="32"/>
      <c r="BA2812" s="32"/>
      <c r="BB2812" s="32"/>
      <c r="BC2812" s="32"/>
      <c r="BD2812" s="32"/>
      <c r="BE2812" s="32"/>
      <c r="BF2812" s="32"/>
      <c r="BG2812" s="32"/>
      <c r="BH2812" s="32"/>
      <c r="BI2812" s="32"/>
      <c r="BJ2812" s="32"/>
      <c r="BK2812" s="32"/>
      <c r="BL2812" s="32"/>
      <c r="BM2812" s="32"/>
      <c r="BN2812" s="32"/>
      <c r="BO2812" s="32"/>
      <c r="BP2812" s="32"/>
      <c r="BQ2812" s="32"/>
      <c r="BR2812" s="32"/>
      <c r="BS2812" s="32"/>
      <c r="BT2812" s="32"/>
      <c r="BU2812" s="32"/>
      <c r="BV2812" s="32"/>
      <c r="BW2812" s="32"/>
      <c r="BX2812" s="32"/>
      <c r="BY2812" s="32"/>
      <c r="BZ2812" s="32"/>
      <c r="CA2812" s="32"/>
      <c r="CB2812" s="32"/>
      <c r="CC2812" s="32"/>
      <c r="CD2812" s="32"/>
    </row>
    <row r="2813" ht="15.75" hidden="1" customHeight="1" outlineLevel="1">
      <c r="A2813" s="365"/>
      <c r="B2813" s="38"/>
      <c r="C2813" s="215"/>
      <c r="D2813" s="38"/>
      <c r="E2813" s="38"/>
      <c r="F2813" s="38"/>
      <c r="G2813" s="38"/>
      <c r="H2813" s="38"/>
      <c r="I2813" s="372">
        <f>$I2698*'Assumptions (T&amp;D)'!C$24</f>
        <v>0.05164634711</v>
      </c>
      <c r="J2813" s="372">
        <f>$I2698*'Assumptions (T&amp;D)'!D$24</f>
        <v>0.09943643364</v>
      </c>
      <c r="K2813" s="372">
        <f>$I2698*'Assumptions (T&amp;D)'!E$24</f>
        <v>0.09199935966</v>
      </c>
      <c r="L2813" s="372">
        <f>$I2698*'Assumptions (T&amp;D)'!F$24</f>
        <v>0.08511318004</v>
      </c>
      <c r="M2813" s="372">
        <f>$I2698*'Assumptions (T&amp;D)'!G$24</f>
        <v>0.0786401712</v>
      </c>
      <c r="N2813" s="372">
        <f>$I2698*'Assumptions (T&amp;D)'!H$24</f>
        <v>0.07285578033</v>
      </c>
      <c r="O2813" s="372">
        <f>$I2698*'Assumptions (T&amp;D)'!I$24</f>
        <v>0.06734683664</v>
      </c>
      <c r="P2813" s="372">
        <f>$I2698*'Assumptions (T&amp;D)'!J$24</f>
        <v>0.06225106372</v>
      </c>
      <c r="Q2813" s="372">
        <f>$I2698*'Assumptions (T&amp;D)'!K$24</f>
        <v>0.06142472217</v>
      </c>
      <c r="R2813" s="372">
        <f>$I2698*'Assumptions (T&amp;D)'!L$24</f>
        <v>0.06142472217</v>
      </c>
      <c r="S2813" s="372">
        <f>$I2698*'Assumptions (T&amp;D)'!M$24</f>
        <v>0.06142472217</v>
      </c>
      <c r="T2813" s="372">
        <f>$I2698*'Assumptions (T&amp;D)'!N$24</f>
        <v>0.06142472217</v>
      </c>
      <c r="U2813" s="372">
        <f>$I2698*'Assumptions (T&amp;D)'!O$24</f>
        <v>0.06142472217</v>
      </c>
      <c r="V2813" s="372">
        <f>$I2698*'Assumptions (T&amp;D)'!P$24</f>
        <v>0.06142472217</v>
      </c>
      <c r="W2813" s="372">
        <f>$I2698*'Assumptions (T&amp;D)'!Q$24</f>
        <v>0.06142472217</v>
      </c>
      <c r="X2813" s="372">
        <f>$I2698*'Assumptions (T&amp;D)'!R$24</f>
        <v>0.06142472217</v>
      </c>
      <c r="Y2813" s="372">
        <f>$I2698*'Assumptions (T&amp;D)'!S$24</f>
        <v>0.06142472217</v>
      </c>
      <c r="Z2813" s="372">
        <f>$I2698*'Assumptions (T&amp;D)'!T$24</f>
        <v>0.06142472217</v>
      </c>
      <c r="AA2813" s="372">
        <f>$I2698*'Assumptions (T&amp;D)'!U$24</f>
        <v>0.06142472217</v>
      </c>
      <c r="AB2813" s="372">
        <f>$I2698*'Assumptions (T&amp;D)'!V$24</f>
        <v>0.06142472217</v>
      </c>
      <c r="AC2813" s="372">
        <f>$I2698*'Assumptions (T&amp;D)'!W$24</f>
        <v>0.03071236108</v>
      </c>
      <c r="AD2813" s="32"/>
      <c r="AE2813" s="32"/>
      <c r="AF2813" s="32"/>
      <c r="AG2813" s="32"/>
      <c r="AH2813" s="32"/>
      <c r="AI2813" s="32"/>
      <c r="AJ2813" s="32"/>
      <c r="AK2813" s="32"/>
      <c r="AL2813" s="32"/>
      <c r="AM2813" s="32"/>
      <c r="AN2813" s="32"/>
      <c r="AO2813" s="32"/>
      <c r="AP2813" s="32"/>
      <c r="AQ2813" s="32"/>
      <c r="AR2813" s="32"/>
      <c r="AS2813" s="32"/>
      <c r="AT2813" s="32"/>
      <c r="AU2813" s="32"/>
      <c r="AV2813" s="32"/>
      <c r="AW2813" s="32"/>
      <c r="AX2813" s="32"/>
      <c r="AY2813" s="32"/>
      <c r="AZ2813" s="32"/>
      <c r="BA2813" s="32"/>
      <c r="BB2813" s="32"/>
      <c r="BC2813" s="32"/>
      <c r="BD2813" s="32"/>
      <c r="BE2813" s="32"/>
      <c r="BF2813" s="32"/>
      <c r="BG2813" s="32"/>
      <c r="BH2813" s="32"/>
      <c r="BI2813" s="32"/>
      <c r="BJ2813" s="32"/>
      <c r="BK2813" s="32"/>
      <c r="BL2813" s="32"/>
      <c r="BM2813" s="32"/>
      <c r="BN2813" s="32"/>
      <c r="BO2813" s="32"/>
      <c r="BP2813" s="32"/>
      <c r="BQ2813" s="32"/>
      <c r="BR2813" s="32"/>
      <c r="BS2813" s="32"/>
      <c r="BT2813" s="32"/>
      <c r="BU2813" s="32"/>
      <c r="BV2813" s="32"/>
      <c r="BW2813" s="32"/>
      <c r="BX2813" s="32"/>
      <c r="BY2813" s="32"/>
      <c r="BZ2813" s="32"/>
      <c r="CA2813" s="32"/>
      <c r="CB2813" s="32"/>
      <c r="CC2813" s="32"/>
      <c r="CD2813" s="32"/>
    </row>
    <row r="2814" ht="15.75" hidden="1" customHeight="1" outlineLevel="1">
      <c r="A2814" s="365"/>
      <c r="B2814" s="38"/>
      <c r="C2814" s="215"/>
      <c r="D2814" s="38"/>
      <c r="E2814" s="38"/>
      <c r="F2814" s="38"/>
      <c r="G2814" s="38"/>
      <c r="H2814" s="38"/>
      <c r="I2814" s="38"/>
      <c r="J2814" s="372">
        <f>$J2698*'Assumptions (T&amp;D)'!C$24</f>
        <v>0.05290698972</v>
      </c>
      <c r="K2814" s="372">
        <f>$J2698*'Assumptions (T&amp;D)'!D$24</f>
        <v>0.1018635909</v>
      </c>
      <c r="L2814" s="372">
        <f>$J2698*'Assumptions (T&amp;D)'!E$24</f>
        <v>0.09424498435</v>
      </c>
      <c r="M2814" s="372">
        <f>$J2698*'Assumptions (T&amp;D)'!F$24</f>
        <v>0.08719071905</v>
      </c>
      <c r="N2814" s="372">
        <f>$J2698*'Assumptions (T&amp;D)'!G$24</f>
        <v>0.08055970968</v>
      </c>
      <c r="O2814" s="372">
        <f>$J2698*'Assumptions (T&amp;D)'!H$24</f>
        <v>0.07463412683</v>
      </c>
      <c r="P2814" s="372">
        <f>$J2698*'Assumptions (T&amp;D)'!I$24</f>
        <v>0.06899071459</v>
      </c>
      <c r="Q2814" s="372">
        <f>$J2698*'Assumptions (T&amp;D)'!J$24</f>
        <v>0.06377055827</v>
      </c>
      <c r="R2814" s="372">
        <f>$J2698*'Assumptions (T&amp;D)'!K$24</f>
        <v>0.06292404644</v>
      </c>
      <c r="S2814" s="372">
        <f>$J2698*'Assumptions (T&amp;D)'!L$24</f>
        <v>0.06292404644</v>
      </c>
      <c r="T2814" s="372">
        <f>$J2698*'Assumptions (T&amp;D)'!M$24</f>
        <v>0.06292404644</v>
      </c>
      <c r="U2814" s="372">
        <f>$J2698*'Assumptions (T&amp;D)'!N$24</f>
        <v>0.06292404644</v>
      </c>
      <c r="V2814" s="372">
        <f>$J2698*'Assumptions (T&amp;D)'!O$24</f>
        <v>0.06292404644</v>
      </c>
      <c r="W2814" s="372">
        <f>$J2698*'Assumptions (T&amp;D)'!P$24</f>
        <v>0.06292404644</v>
      </c>
      <c r="X2814" s="372">
        <f>$J2698*'Assumptions (T&amp;D)'!Q$24</f>
        <v>0.06292404644</v>
      </c>
      <c r="Y2814" s="372">
        <f>$J2698*'Assumptions (T&amp;D)'!R$24</f>
        <v>0.06292404644</v>
      </c>
      <c r="Z2814" s="372">
        <f>$J2698*'Assumptions (T&amp;D)'!S$24</f>
        <v>0.06292404644</v>
      </c>
      <c r="AA2814" s="372">
        <f>$J2698*'Assumptions (T&amp;D)'!T$24</f>
        <v>0.06292404644</v>
      </c>
      <c r="AB2814" s="372">
        <f>$J2698*'Assumptions (T&amp;D)'!U$24</f>
        <v>0.06292404644</v>
      </c>
      <c r="AC2814" s="372">
        <f>$J2698*'Assumptions (T&amp;D)'!V$24</f>
        <v>0.06292404644</v>
      </c>
      <c r="AD2814" s="372">
        <f>$J2698*'Assumptions (T&amp;D)'!W$24</f>
        <v>0.03146202322</v>
      </c>
      <c r="AE2814" s="32"/>
      <c r="AF2814" s="32"/>
      <c r="AG2814" s="32"/>
      <c r="AH2814" s="32"/>
      <c r="AI2814" s="32"/>
      <c r="AJ2814" s="32"/>
      <c r="AK2814" s="32"/>
      <c r="AL2814" s="32"/>
      <c r="AM2814" s="32"/>
      <c r="AN2814" s="32"/>
      <c r="AO2814" s="32"/>
      <c r="AP2814" s="32"/>
      <c r="AQ2814" s="32"/>
      <c r="AR2814" s="32"/>
      <c r="AS2814" s="32"/>
      <c r="AT2814" s="32"/>
      <c r="AU2814" s="32"/>
      <c r="AV2814" s="32"/>
      <c r="AW2814" s="32"/>
      <c r="AX2814" s="32"/>
      <c r="AY2814" s="32"/>
      <c r="AZ2814" s="32"/>
      <c r="BA2814" s="32"/>
      <c r="BB2814" s="32"/>
      <c r="BC2814" s="32"/>
      <c r="BD2814" s="32"/>
      <c r="BE2814" s="32"/>
      <c r="BF2814" s="32"/>
      <c r="BG2814" s="32"/>
      <c r="BH2814" s="32"/>
      <c r="BI2814" s="32"/>
      <c r="BJ2814" s="32"/>
      <c r="BK2814" s="32"/>
      <c r="BL2814" s="32"/>
      <c r="BM2814" s="32"/>
      <c r="BN2814" s="32"/>
      <c r="BO2814" s="32"/>
      <c r="BP2814" s="32"/>
      <c r="BQ2814" s="32"/>
      <c r="BR2814" s="32"/>
      <c r="BS2814" s="32"/>
      <c r="BT2814" s="32"/>
      <c r="BU2814" s="32"/>
      <c r="BV2814" s="32"/>
      <c r="BW2814" s="32"/>
      <c r="BX2814" s="32"/>
      <c r="BY2814" s="32"/>
      <c r="BZ2814" s="32"/>
      <c r="CA2814" s="32"/>
      <c r="CB2814" s="32"/>
      <c r="CC2814" s="32"/>
      <c r="CD2814" s="32"/>
    </row>
    <row r="2815" ht="15.75" hidden="1" customHeight="1" outlineLevel="1">
      <c r="A2815" s="365"/>
      <c r="B2815" s="38"/>
      <c r="C2815" s="215"/>
      <c r="D2815" s="38"/>
      <c r="E2815" s="38"/>
      <c r="F2815" s="38"/>
      <c r="G2815" s="38"/>
      <c r="H2815" s="38"/>
      <c r="I2815" s="38"/>
      <c r="J2815" s="38"/>
      <c r="K2815" s="372">
        <f>$K2698*'Assumptions (T&amp;D)'!C$24</f>
        <v>0.04927332185</v>
      </c>
      <c r="L2815" s="372">
        <f>$K2698*'Assumptions (T&amp;D)'!D$24</f>
        <v>0.09486756901</v>
      </c>
      <c r="M2815" s="372">
        <f>$K2698*'Assumptions (T&amp;D)'!E$24</f>
        <v>0.08777221066</v>
      </c>
      <c r="N2815" s="372">
        <f>$K2698*'Assumptions (T&amp;D)'!F$24</f>
        <v>0.08120243441</v>
      </c>
      <c r="O2815" s="372">
        <f>$K2698*'Assumptions (T&amp;D)'!G$24</f>
        <v>0.07502684474</v>
      </c>
      <c r="P2815" s="372">
        <f>$K2698*'Assumptions (T&amp;D)'!H$24</f>
        <v>0.06950823269</v>
      </c>
      <c r="Q2815" s="372">
        <f>$K2698*'Assumptions (T&amp;D)'!I$24</f>
        <v>0.0642524117</v>
      </c>
      <c r="R2815" s="372">
        <f>$K2698*'Assumptions (T&amp;D)'!J$24</f>
        <v>0.05939077727</v>
      </c>
      <c r="S2815" s="372">
        <f>$K2698*'Assumptions (T&amp;D)'!K$24</f>
        <v>0.05860240412</v>
      </c>
      <c r="T2815" s="372">
        <f>$K2698*'Assumptions (T&amp;D)'!L$24</f>
        <v>0.05860240412</v>
      </c>
      <c r="U2815" s="372">
        <f>$K2698*'Assumptions (T&amp;D)'!M$24</f>
        <v>0.05860240412</v>
      </c>
      <c r="V2815" s="372">
        <f>$K2698*'Assumptions (T&amp;D)'!N$24</f>
        <v>0.05860240412</v>
      </c>
      <c r="W2815" s="372">
        <f>$K2698*'Assumptions (T&amp;D)'!O$24</f>
        <v>0.05860240412</v>
      </c>
      <c r="X2815" s="372">
        <f>$K2698*'Assumptions (T&amp;D)'!P$24</f>
        <v>0.05860240412</v>
      </c>
      <c r="Y2815" s="372">
        <f>$K2698*'Assumptions (T&amp;D)'!Q$24</f>
        <v>0.05860240412</v>
      </c>
      <c r="Z2815" s="372">
        <f>$K2698*'Assumptions (T&amp;D)'!R$24</f>
        <v>0.05860240412</v>
      </c>
      <c r="AA2815" s="372">
        <f>$K2698*'Assumptions (T&amp;D)'!S$24</f>
        <v>0.05860240412</v>
      </c>
      <c r="AB2815" s="372">
        <f>$K2698*'Assumptions (T&amp;D)'!T$24</f>
        <v>0.05860240412</v>
      </c>
      <c r="AC2815" s="372">
        <f>$K2698*'Assumptions (T&amp;D)'!U$24</f>
        <v>0.05860240412</v>
      </c>
      <c r="AD2815" s="372">
        <f>$K2698*'Assumptions (T&amp;D)'!V$24</f>
        <v>0.05860240412</v>
      </c>
      <c r="AE2815" s="372">
        <f>$K2698*'Assumptions (T&amp;D)'!W$24</f>
        <v>0.02930120206</v>
      </c>
      <c r="AF2815" s="32"/>
      <c r="AG2815" s="32"/>
      <c r="AH2815" s="32"/>
      <c r="AI2815" s="32"/>
      <c r="AJ2815" s="32"/>
      <c r="AK2815" s="32"/>
      <c r="AL2815" s="32"/>
      <c r="AM2815" s="32"/>
      <c r="AN2815" s="32"/>
      <c r="AO2815" s="32"/>
      <c r="AP2815" s="32"/>
      <c r="AQ2815" s="32"/>
      <c r="AR2815" s="32"/>
      <c r="AS2815" s="32"/>
      <c r="AT2815" s="32"/>
      <c r="AU2815" s="32"/>
      <c r="AV2815" s="32"/>
      <c r="AW2815" s="32"/>
      <c r="AX2815" s="32"/>
      <c r="AY2815" s="32"/>
      <c r="AZ2815" s="32"/>
      <c r="BA2815" s="32"/>
      <c r="BB2815" s="32"/>
      <c r="BC2815" s="32"/>
      <c r="BD2815" s="32"/>
      <c r="BE2815" s="32"/>
      <c r="BF2815" s="32"/>
      <c r="BG2815" s="32"/>
      <c r="BH2815" s="32"/>
      <c r="BI2815" s="32"/>
      <c r="BJ2815" s="32"/>
      <c r="BK2815" s="32"/>
      <c r="BL2815" s="32"/>
      <c r="BM2815" s="32"/>
      <c r="BN2815" s="32"/>
      <c r="BO2815" s="32"/>
      <c r="BP2815" s="32"/>
      <c r="BQ2815" s="32"/>
      <c r="BR2815" s="32"/>
      <c r="BS2815" s="32"/>
      <c r="BT2815" s="32"/>
      <c r="BU2815" s="32"/>
      <c r="BV2815" s="32"/>
      <c r="BW2815" s="32"/>
      <c r="BX2815" s="32"/>
      <c r="BY2815" s="32"/>
      <c r="BZ2815" s="32"/>
      <c r="CA2815" s="32"/>
      <c r="CB2815" s="32"/>
      <c r="CC2815" s="32"/>
      <c r="CD2815" s="32"/>
    </row>
    <row r="2816" ht="15.75" hidden="1" customHeight="1" outlineLevel="1">
      <c r="A2816" s="365"/>
      <c r="B2816" s="38"/>
      <c r="C2816" s="38"/>
      <c r="D2816" s="38"/>
      <c r="E2816" s="38"/>
      <c r="F2816" s="38"/>
      <c r="G2816" s="38"/>
      <c r="H2816" s="38"/>
      <c r="I2816" s="38"/>
      <c r="J2816" s="38"/>
      <c r="K2816" s="38"/>
      <c r="L2816" s="372">
        <f>$L2698*'Assumptions (T&amp;D)'!C$24</f>
        <v>0.04533245091</v>
      </c>
      <c r="M2816" s="372">
        <f>$L2698*'Assumptions (T&amp;D)'!D$24</f>
        <v>0.08728007882</v>
      </c>
      <c r="N2816" s="372">
        <f>$L2698*'Assumptions (T&amp;D)'!E$24</f>
        <v>0.08075220589</v>
      </c>
      <c r="O2816" s="372">
        <f>$L2698*'Assumptions (T&amp;D)'!F$24</f>
        <v>0.0747078791</v>
      </c>
      <c r="P2816" s="372">
        <f>$L2698*'Assumptions (T&amp;D)'!G$24</f>
        <v>0.06902621192</v>
      </c>
      <c r="Q2816" s="372">
        <f>$L2698*'Assumptions (T&amp;D)'!H$24</f>
        <v>0.06394897742</v>
      </c>
      <c r="R2816" s="372">
        <f>$L2698*'Assumptions (T&amp;D)'!I$24</f>
        <v>0.05911351599</v>
      </c>
      <c r="S2816" s="372">
        <f>$L2698*'Assumptions (T&amp;D)'!J$24</f>
        <v>0.05464071417</v>
      </c>
      <c r="T2816" s="372">
        <f>$L2698*'Assumptions (T&amp;D)'!K$24</f>
        <v>0.05391539495</v>
      </c>
      <c r="U2816" s="372">
        <f>$L2698*'Assumptions (T&amp;D)'!L$24</f>
        <v>0.05391539495</v>
      </c>
      <c r="V2816" s="372">
        <f>$L2698*'Assumptions (T&amp;D)'!M$24</f>
        <v>0.05391539495</v>
      </c>
      <c r="W2816" s="372">
        <f>$L2698*'Assumptions (T&amp;D)'!N$24</f>
        <v>0.05391539495</v>
      </c>
      <c r="X2816" s="372">
        <f>$L2698*'Assumptions (T&amp;D)'!O$24</f>
        <v>0.05391539495</v>
      </c>
      <c r="Y2816" s="372">
        <f>$L2698*'Assumptions (T&amp;D)'!P$24</f>
        <v>0.05391539495</v>
      </c>
      <c r="Z2816" s="372">
        <f>$L2698*'Assumptions (T&amp;D)'!Q$24</f>
        <v>0.05391539495</v>
      </c>
      <c r="AA2816" s="372">
        <f>$L2698*'Assumptions (T&amp;D)'!R$24</f>
        <v>0.05391539495</v>
      </c>
      <c r="AB2816" s="372">
        <f>$L2698*'Assumptions (T&amp;D)'!S$24</f>
        <v>0.05391539495</v>
      </c>
      <c r="AC2816" s="372">
        <f>$L2698*'Assumptions (T&amp;D)'!T$24</f>
        <v>0.05391539495</v>
      </c>
      <c r="AD2816" s="372">
        <f>$L2698*'Assumptions (T&amp;D)'!U$24</f>
        <v>0.05391539495</v>
      </c>
      <c r="AE2816" s="372">
        <f>$L2698*'Assumptions (T&amp;D)'!V$24</f>
        <v>0.05391539495</v>
      </c>
      <c r="AF2816" s="372">
        <f>$L2698*'Assumptions (T&amp;D)'!W$24</f>
        <v>0.02695769748</v>
      </c>
      <c r="AG2816" s="32"/>
      <c r="AH2816" s="32"/>
      <c r="AI2816" s="32"/>
      <c r="AJ2816" s="32"/>
      <c r="AK2816" s="32"/>
      <c r="AL2816" s="32"/>
      <c r="AM2816" s="32"/>
      <c r="AN2816" s="32"/>
      <c r="AO2816" s="32"/>
      <c r="AP2816" s="32"/>
      <c r="AQ2816" s="32"/>
      <c r="AR2816" s="32"/>
      <c r="AS2816" s="32"/>
      <c r="AT2816" s="32"/>
      <c r="AU2816" s="32"/>
      <c r="AV2816" s="32"/>
      <c r="AW2816" s="32"/>
      <c r="AX2816" s="32"/>
      <c r="AY2816" s="32"/>
      <c r="AZ2816" s="32"/>
      <c r="BA2816" s="32"/>
      <c r="BB2816" s="32"/>
      <c r="BC2816" s="32"/>
      <c r="BD2816" s="32"/>
      <c r="BE2816" s="32"/>
      <c r="BF2816" s="32"/>
      <c r="BG2816" s="32"/>
      <c r="BH2816" s="32"/>
      <c r="BI2816" s="32"/>
      <c r="BJ2816" s="32"/>
      <c r="BK2816" s="32"/>
      <c r="BL2816" s="32"/>
      <c r="BM2816" s="32"/>
      <c r="BN2816" s="32"/>
      <c r="BO2816" s="32"/>
      <c r="BP2816" s="32"/>
      <c r="BQ2816" s="32"/>
      <c r="BR2816" s="32"/>
      <c r="BS2816" s="32"/>
      <c r="BT2816" s="32"/>
      <c r="BU2816" s="32"/>
      <c r="BV2816" s="32"/>
      <c r="BW2816" s="32"/>
      <c r="BX2816" s="32"/>
      <c r="BY2816" s="32"/>
      <c r="BZ2816" s="32"/>
      <c r="CA2816" s="32"/>
      <c r="CB2816" s="32"/>
      <c r="CC2816" s="32"/>
      <c r="CD2816" s="32"/>
    </row>
    <row r="2817" ht="15.75" hidden="1" customHeight="1" outlineLevel="1">
      <c r="A2817" s="365"/>
      <c r="B2817" s="38"/>
      <c r="C2817" s="38"/>
      <c r="D2817" s="38"/>
      <c r="E2817" s="38"/>
      <c r="F2817" s="38"/>
      <c r="G2817" s="38"/>
      <c r="H2817" s="38"/>
      <c r="I2817" s="38"/>
      <c r="J2817" s="38"/>
      <c r="K2817" s="38"/>
      <c r="L2817" s="38"/>
      <c r="M2817" s="372">
        <f>$M2698*'Assumptions (T&amp;D)'!C$24</f>
        <v>0.06221915417</v>
      </c>
      <c r="N2817" s="372">
        <f>$M2698*'Assumptions (T&amp;D)'!D$24</f>
        <v>0.1197926115</v>
      </c>
      <c r="O2817" s="372">
        <f>$M2698*'Assumptions (T&amp;D)'!E$24</f>
        <v>0.1108330533</v>
      </c>
      <c r="P2817" s="372">
        <f>$M2698*'Assumptions (T&amp;D)'!F$24</f>
        <v>0.1025371661</v>
      </c>
      <c r="Q2817" s="372">
        <f>$M2698*'Assumptions (T&amp;D)'!G$24</f>
        <v>0.09473903208</v>
      </c>
      <c r="R2817" s="372">
        <f>$M2698*'Assumptions (T&amp;D)'!H$24</f>
        <v>0.08777048681</v>
      </c>
      <c r="S2817" s="372">
        <f>$M2698*'Assumptions (T&amp;D)'!I$24</f>
        <v>0.08113377703</v>
      </c>
      <c r="T2817" s="372">
        <f>$M2698*'Assumptions (T&amp;D)'!J$24</f>
        <v>0.07499482049</v>
      </c>
      <c r="U2817" s="372">
        <f>$M2698*'Assumptions (T&amp;D)'!K$24</f>
        <v>0.07399931402</v>
      </c>
      <c r="V2817" s="372">
        <f>$M2698*'Assumptions (T&amp;D)'!L$24</f>
        <v>0.07399931402</v>
      </c>
      <c r="W2817" s="372">
        <f>$M2698*'Assumptions (T&amp;D)'!M$24</f>
        <v>0.07399931402</v>
      </c>
      <c r="X2817" s="372">
        <f>$M2698*'Assumptions (T&amp;D)'!N$24</f>
        <v>0.07399931402</v>
      </c>
      <c r="Y2817" s="372">
        <f>$M2698*'Assumptions (T&amp;D)'!O$24</f>
        <v>0.07399931402</v>
      </c>
      <c r="Z2817" s="372">
        <f>$M2698*'Assumptions (T&amp;D)'!P$24</f>
        <v>0.07399931402</v>
      </c>
      <c r="AA2817" s="372">
        <f>$M2698*'Assumptions (T&amp;D)'!Q$24</f>
        <v>0.07399931402</v>
      </c>
      <c r="AB2817" s="372">
        <f>$M2698*'Assumptions (T&amp;D)'!R$24</f>
        <v>0.07399931402</v>
      </c>
      <c r="AC2817" s="372">
        <f>$M2698*'Assumptions (T&amp;D)'!S$24</f>
        <v>0.07399931402</v>
      </c>
      <c r="AD2817" s="372">
        <f>$M2698*'Assumptions (T&amp;D)'!T$24</f>
        <v>0.07399931402</v>
      </c>
      <c r="AE2817" s="372">
        <f>$M2698*'Assumptions (T&amp;D)'!U$24</f>
        <v>0.07399931402</v>
      </c>
      <c r="AF2817" s="372">
        <f>$M2698*'Assumptions (T&amp;D)'!V$24</f>
        <v>0.07399931402</v>
      </c>
      <c r="AG2817" s="372">
        <f>$M2698*'Assumptions (T&amp;D)'!W$24</f>
        <v>0.03699965701</v>
      </c>
      <c r="AH2817" s="372"/>
      <c r="AI2817" s="32"/>
      <c r="AJ2817" s="32"/>
      <c r="AK2817" s="32"/>
      <c r="AL2817" s="32"/>
      <c r="AM2817" s="32"/>
      <c r="AN2817" s="32"/>
      <c r="AO2817" s="32"/>
      <c r="AP2817" s="32"/>
      <c r="AQ2817" s="32"/>
      <c r="AR2817" s="32"/>
      <c r="AS2817" s="32"/>
      <c r="AT2817" s="32"/>
      <c r="AU2817" s="32"/>
      <c r="AV2817" s="32"/>
      <c r="AW2817" s="32"/>
      <c r="AX2817" s="32"/>
      <c r="AY2817" s="32"/>
      <c r="AZ2817" s="32"/>
      <c r="BA2817" s="32"/>
      <c r="BB2817" s="32"/>
      <c r="BC2817" s="32"/>
      <c r="BD2817" s="32"/>
      <c r="BE2817" s="32"/>
      <c r="BF2817" s="32"/>
      <c r="BG2817" s="32"/>
      <c r="BH2817" s="32"/>
      <c r="BI2817" s="32"/>
      <c r="BJ2817" s="32"/>
      <c r="BK2817" s="32"/>
      <c r="BL2817" s="32"/>
      <c r="BM2817" s="32"/>
      <c r="BN2817" s="32"/>
      <c r="BO2817" s="32"/>
      <c r="BP2817" s="32"/>
      <c r="BQ2817" s="32"/>
      <c r="BR2817" s="32"/>
      <c r="BS2817" s="32"/>
      <c r="BT2817" s="32"/>
      <c r="BU2817" s="32"/>
      <c r="BV2817" s="32"/>
      <c r="BW2817" s="32"/>
      <c r="BX2817" s="32"/>
      <c r="BY2817" s="32"/>
      <c r="BZ2817" s="32"/>
      <c r="CA2817" s="32"/>
      <c r="CB2817" s="32"/>
      <c r="CC2817" s="32"/>
      <c r="CD2817" s="32"/>
    </row>
    <row r="2818" ht="15.75" hidden="1" customHeight="1" outlineLevel="1">
      <c r="A2818" s="365"/>
      <c r="B2818" s="38"/>
      <c r="C2818" s="38"/>
      <c r="D2818" s="38"/>
      <c r="E2818" s="38"/>
      <c r="F2818" s="38"/>
      <c r="G2818" s="38"/>
      <c r="H2818" s="38"/>
      <c r="I2818" s="38"/>
      <c r="J2818" s="38"/>
      <c r="K2818" s="38"/>
      <c r="L2818" s="38"/>
      <c r="M2818" s="38"/>
      <c r="N2818" s="372">
        <f>$N2698*'Assumptions (T&amp;D)'!C$24</f>
        <v>0.07114444781</v>
      </c>
      <c r="O2818" s="372">
        <f>$N2698*'Assumptions (T&amp;D)'!D$24</f>
        <v>0.1369767769</v>
      </c>
      <c r="P2818" s="372">
        <f>$N2698*'Assumptions (T&amp;D)'!E$24</f>
        <v>0.1267319764</v>
      </c>
      <c r="Q2818" s="372">
        <f>$N2698*'Assumptions (T&amp;D)'!F$24</f>
        <v>0.11724605</v>
      </c>
      <c r="R2818" s="372">
        <f>$N2698*'Assumptions (T&amp;D)'!G$24</f>
        <v>0.1083292792</v>
      </c>
      <c r="S2818" s="372">
        <f>$N2698*'Assumptions (T&amp;D)'!H$24</f>
        <v>0.100361101</v>
      </c>
      <c r="T2818" s="372">
        <f>$N2698*'Assumptions (T&amp;D)'!I$24</f>
        <v>0.09277235995</v>
      </c>
      <c r="U2818" s="372">
        <f>$N2698*'Assumptions (T&amp;D)'!J$24</f>
        <v>0.08575277443</v>
      </c>
      <c r="V2818" s="372">
        <f>$N2698*'Assumptions (T&amp;D)'!K$24</f>
        <v>0.08461446327</v>
      </c>
      <c r="W2818" s="372">
        <f>$N2698*'Assumptions (T&amp;D)'!L$24</f>
        <v>0.08461446327</v>
      </c>
      <c r="X2818" s="372">
        <f>$N2698*'Assumptions (T&amp;D)'!M$24</f>
        <v>0.08461446327</v>
      </c>
      <c r="Y2818" s="372">
        <f>$N2698*'Assumptions (T&amp;D)'!N$24</f>
        <v>0.08461446327</v>
      </c>
      <c r="Z2818" s="372">
        <f>$N2698*'Assumptions (T&amp;D)'!O$24</f>
        <v>0.08461446327</v>
      </c>
      <c r="AA2818" s="372">
        <f>$N2698*'Assumptions (T&amp;D)'!P$24</f>
        <v>0.08461446327</v>
      </c>
      <c r="AB2818" s="372">
        <f>$N2698*'Assumptions (T&amp;D)'!Q$24</f>
        <v>0.08461446327</v>
      </c>
      <c r="AC2818" s="372">
        <f>$N2698*'Assumptions (T&amp;D)'!R$24</f>
        <v>0.08461446327</v>
      </c>
      <c r="AD2818" s="372">
        <f>$N2698*'Assumptions (T&amp;D)'!S$24</f>
        <v>0.08461446327</v>
      </c>
      <c r="AE2818" s="372">
        <f>$N2698*'Assumptions (T&amp;D)'!T$24</f>
        <v>0.08461446327</v>
      </c>
      <c r="AF2818" s="372">
        <f>$N2698*'Assumptions (T&amp;D)'!U$24</f>
        <v>0.08461446327</v>
      </c>
      <c r="AG2818" s="372">
        <f>$N2698*'Assumptions (T&amp;D)'!V$24</f>
        <v>0.08461446327</v>
      </c>
      <c r="AH2818" s="372">
        <f>$N2698*'Assumptions (T&amp;D)'!W$24</f>
        <v>0.04230723163</v>
      </c>
      <c r="AI2818" s="32"/>
      <c r="AJ2818" s="32"/>
      <c r="AK2818" s="32"/>
      <c r="AL2818" s="32"/>
      <c r="AM2818" s="32"/>
      <c r="AN2818" s="32"/>
      <c r="AO2818" s="32"/>
      <c r="AP2818" s="32"/>
      <c r="AQ2818" s="32"/>
      <c r="AR2818" s="32"/>
      <c r="AS2818" s="32"/>
      <c r="AT2818" s="32"/>
      <c r="AU2818" s="32"/>
      <c r="AV2818" s="32"/>
      <c r="AW2818" s="32"/>
      <c r="AX2818" s="32"/>
      <c r="AY2818" s="32"/>
      <c r="AZ2818" s="32"/>
      <c r="BA2818" s="32"/>
      <c r="BB2818" s="32"/>
      <c r="BC2818" s="32"/>
      <c r="BD2818" s="32"/>
      <c r="BE2818" s="32"/>
      <c r="BF2818" s="32"/>
      <c r="BG2818" s="32"/>
      <c r="BH2818" s="32"/>
      <c r="BI2818" s="32"/>
      <c r="BJ2818" s="32"/>
      <c r="BK2818" s="32"/>
      <c r="BL2818" s="32"/>
      <c r="BM2818" s="32"/>
      <c r="BN2818" s="32"/>
      <c r="BO2818" s="32"/>
      <c r="BP2818" s="32"/>
      <c r="BQ2818" s="32"/>
      <c r="BR2818" s="32"/>
      <c r="BS2818" s="32"/>
      <c r="BT2818" s="32"/>
      <c r="BU2818" s="32"/>
      <c r="BV2818" s="32"/>
      <c r="BW2818" s="32"/>
      <c r="BX2818" s="32"/>
      <c r="BY2818" s="32"/>
      <c r="BZ2818" s="32"/>
      <c r="CA2818" s="32"/>
      <c r="CB2818" s="32"/>
      <c r="CC2818" s="32"/>
      <c r="CD2818" s="32"/>
    </row>
    <row r="2819" ht="15.75" hidden="1" customHeight="1" outlineLevel="1">
      <c r="A2819" s="365"/>
      <c r="B2819" s="38"/>
      <c r="C2819" s="38"/>
      <c r="D2819" s="38"/>
      <c r="E2819" s="38"/>
      <c r="F2819" s="38"/>
      <c r="G2819" s="38"/>
      <c r="H2819" s="38"/>
      <c r="I2819" s="38"/>
      <c r="J2819" s="38"/>
      <c r="K2819" s="38"/>
      <c r="L2819" s="38"/>
      <c r="M2819" s="38"/>
      <c r="N2819" s="38"/>
      <c r="O2819" s="372">
        <f>$O2698*'Assumptions (T&amp;D)'!C$24</f>
        <v>0.07609597733</v>
      </c>
      <c r="P2819" s="372">
        <f>$O2698*'Assumptions (T&amp;D)'!D$24</f>
        <v>0.1465101217</v>
      </c>
      <c r="Q2819" s="372">
        <f>$O2698*'Assumptions (T&amp;D)'!E$24</f>
        <v>0.1355523009</v>
      </c>
      <c r="R2819" s="372">
        <f>$O2698*'Assumptions (T&amp;D)'!F$24</f>
        <v>0.1254061706</v>
      </c>
      <c r="S2819" s="372">
        <f>$O2698*'Assumptions (T&amp;D)'!G$24</f>
        <v>0.1158688081</v>
      </c>
      <c r="T2819" s="372">
        <f>$O2698*'Assumptions (T&amp;D)'!H$24</f>
        <v>0.1073460587</v>
      </c>
      <c r="U2819" s="372">
        <f>$O2698*'Assumptions (T&amp;D)'!I$24</f>
        <v>0.09922915443</v>
      </c>
      <c r="V2819" s="372">
        <f>$O2698*'Assumptions (T&amp;D)'!J$24</f>
        <v>0.09172101801</v>
      </c>
      <c r="W2819" s="372">
        <f>$O2698*'Assumptions (T&amp;D)'!K$24</f>
        <v>0.09050348237</v>
      </c>
      <c r="X2819" s="372">
        <f>$O2698*'Assumptions (T&amp;D)'!L$24</f>
        <v>0.09050348237</v>
      </c>
      <c r="Y2819" s="372">
        <f>$O2698*'Assumptions (T&amp;D)'!M$24</f>
        <v>0.09050348237</v>
      </c>
      <c r="Z2819" s="372">
        <f>$O2698*'Assumptions (T&amp;D)'!N$24</f>
        <v>0.09050348237</v>
      </c>
      <c r="AA2819" s="372">
        <f>$O2698*'Assumptions (T&amp;D)'!O$24</f>
        <v>0.09050348237</v>
      </c>
      <c r="AB2819" s="372">
        <f>$O2698*'Assumptions (T&amp;D)'!P$24</f>
        <v>0.09050348237</v>
      </c>
      <c r="AC2819" s="372">
        <f>$O2698*'Assumptions (T&amp;D)'!Q$24</f>
        <v>0.09050348237</v>
      </c>
      <c r="AD2819" s="372">
        <f>$O2698*'Assumptions (T&amp;D)'!R$24</f>
        <v>0.09050348237</v>
      </c>
      <c r="AE2819" s="372">
        <f>$O2698*'Assumptions (T&amp;D)'!S$24</f>
        <v>0.09050348237</v>
      </c>
      <c r="AF2819" s="372">
        <f>$O2698*'Assumptions (T&amp;D)'!T$24</f>
        <v>0.09050348237</v>
      </c>
      <c r="AG2819" s="372">
        <f>$O2698*'Assumptions (T&amp;D)'!U$24</f>
        <v>0.09050348237</v>
      </c>
      <c r="AH2819" s="372">
        <f>$O2698*'Assumptions (T&amp;D)'!V$24</f>
        <v>0.09050348237</v>
      </c>
      <c r="AI2819" s="372">
        <f>$O2698*'Assumptions (T&amp;D)'!W$24</f>
        <v>0.04525174118</v>
      </c>
      <c r="AJ2819" s="32"/>
      <c r="AK2819" s="32"/>
      <c r="AL2819" s="32"/>
      <c r="AM2819" s="32"/>
      <c r="AN2819" s="32"/>
      <c r="AO2819" s="32"/>
      <c r="AP2819" s="32"/>
      <c r="AQ2819" s="32"/>
      <c r="AR2819" s="32"/>
      <c r="AS2819" s="32"/>
      <c r="AT2819" s="32"/>
      <c r="AU2819" s="32"/>
      <c r="AV2819" s="32"/>
      <c r="AW2819" s="32"/>
      <c r="AX2819" s="32"/>
      <c r="AY2819" s="32"/>
      <c r="AZ2819" s="32"/>
      <c r="BA2819" s="32"/>
      <c r="BB2819" s="32"/>
      <c r="BC2819" s="32"/>
      <c r="BD2819" s="32"/>
      <c r="BE2819" s="32"/>
      <c r="BF2819" s="32"/>
      <c r="BG2819" s="32"/>
      <c r="BH2819" s="32"/>
      <c r="BI2819" s="32"/>
      <c r="BJ2819" s="32"/>
      <c r="BK2819" s="32"/>
      <c r="BL2819" s="32"/>
      <c r="BM2819" s="32"/>
      <c r="BN2819" s="32"/>
      <c r="BO2819" s="32"/>
      <c r="BP2819" s="32"/>
      <c r="BQ2819" s="32"/>
      <c r="BR2819" s="32"/>
      <c r="BS2819" s="32"/>
      <c r="BT2819" s="32"/>
      <c r="BU2819" s="32"/>
      <c r="BV2819" s="32"/>
      <c r="BW2819" s="32"/>
      <c r="BX2819" s="32"/>
      <c r="BY2819" s="32"/>
      <c r="BZ2819" s="32"/>
      <c r="CA2819" s="32"/>
      <c r="CB2819" s="32"/>
      <c r="CC2819" s="32"/>
      <c r="CD2819" s="32"/>
    </row>
    <row r="2820" ht="15.75" hidden="1" customHeight="1" outlineLevel="1">
      <c r="A2820" s="365"/>
      <c r="B2820" s="38"/>
      <c r="C2820" s="38"/>
      <c r="D2820" s="38"/>
      <c r="E2820" s="38"/>
      <c r="F2820" s="38"/>
      <c r="G2820" s="38"/>
      <c r="H2820" s="38"/>
      <c r="I2820" s="38"/>
      <c r="J2820" s="38"/>
      <c r="K2820" s="38"/>
      <c r="L2820" s="38"/>
      <c r="M2820" s="38"/>
      <c r="N2820" s="38"/>
      <c r="O2820" s="38"/>
      <c r="P2820" s="372">
        <f>$P2698*'Assumptions (T&amp;D)'!C$24</f>
        <v>0.08979179876</v>
      </c>
      <c r="Q2820" s="372">
        <f>$P2698*'Assumptions (T&amp;D)'!D$24</f>
        <v>0.1728791432</v>
      </c>
      <c r="R2820" s="372">
        <f>$P2698*'Assumptions (T&amp;D)'!E$24</f>
        <v>0.1599491242</v>
      </c>
      <c r="S2820" s="372">
        <f>$P2698*'Assumptions (T&amp;D)'!F$24</f>
        <v>0.1479768844</v>
      </c>
      <c r="T2820" s="372">
        <f>$P2698*'Assumptions (T&amp;D)'!G$24</f>
        <v>0.1367229789</v>
      </c>
      <c r="U2820" s="372">
        <f>$P2698*'Assumptions (T&amp;D)'!H$24</f>
        <v>0.1266662975</v>
      </c>
      <c r="V2820" s="372">
        <f>$P2698*'Assumptions (T&amp;D)'!I$24</f>
        <v>0.1170885056</v>
      </c>
      <c r="W2820" s="372">
        <f>$P2698*'Assumptions (T&amp;D)'!J$24</f>
        <v>0.1082290481</v>
      </c>
      <c r="X2820" s="372">
        <f>$P2698*'Assumptions (T&amp;D)'!K$24</f>
        <v>0.1067923793</v>
      </c>
      <c r="Y2820" s="372">
        <f>$P2698*'Assumptions (T&amp;D)'!L$24</f>
        <v>0.1067923793</v>
      </c>
      <c r="Z2820" s="372">
        <f>$P2698*'Assumptions (T&amp;D)'!M$24</f>
        <v>0.1067923793</v>
      </c>
      <c r="AA2820" s="372">
        <f>$P2698*'Assumptions (T&amp;D)'!N$24</f>
        <v>0.1067923793</v>
      </c>
      <c r="AB2820" s="372">
        <f>$P2698*'Assumptions (T&amp;D)'!O$24</f>
        <v>0.1067923793</v>
      </c>
      <c r="AC2820" s="372">
        <f>$P2698*'Assumptions (T&amp;D)'!P$24</f>
        <v>0.1067923793</v>
      </c>
      <c r="AD2820" s="372">
        <f>$P2698*'Assumptions (T&amp;D)'!Q$24</f>
        <v>0.1067923793</v>
      </c>
      <c r="AE2820" s="372">
        <f>$P2698*'Assumptions (T&amp;D)'!R$24</f>
        <v>0.1067923793</v>
      </c>
      <c r="AF2820" s="372">
        <f>$P2698*'Assumptions (T&amp;D)'!S$24</f>
        <v>0.1067923793</v>
      </c>
      <c r="AG2820" s="372">
        <f>$P2698*'Assumptions (T&amp;D)'!T$24</f>
        <v>0.1067923793</v>
      </c>
      <c r="AH2820" s="372">
        <f>$P2698*'Assumptions (T&amp;D)'!U$24</f>
        <v>0.1067923793</v>
      </c>
      <c r="AI2820" s="372">
        <f>$P2698*'Assumptions (T&amp;D)'!V$24</f>
        <v>0.1067923793</v>
      </c>
      <c r="AJ2820" s="372">
        <f>$P2698*'Assumptions (T&amp;D)'!W$24</f>
        <v>0.05339618966</v>
      </c>
      <c r="AK2820" s="32"/>
      <c r="AL2820" s="32"/>
      <c r="AM2820" s="32"/>
      <c r="AN2820" s="32"/>
      <c r="AO2820" s="32"/>
      <c r="AP2820" s="32"/>
      <c r="AQ2820" s="32"/>
      <c r="AR2820" s="32"/>
      <c r="AS2820" s="32"/>
      <c r="AT2820" s="32"/>
      <c r="AU2820" s="32"/>
      <c r="AV2820" s="32"/>
      <c r="AW2820" s="32"/>
      <c r="AX2820" s="32"/>
      <c r="AY2820" s="32"/>
      <c r="AZ2820" s="32"/>
      <c r="BA2820" s="32"/>
      <c r="BB2820" s="32"/>
      <c r="BC2820" s="32"/>
      <c r="BD2820" s="32"/>
      <c r="BE2820" s="32"/>
      <c r="BF2820" s="32"/>
      <c r="BG2820" s="32"/>
      <c r="BH2820" s="32"/>
      <c r="BI2820" s="32"/>
      <c r="BJ2820" s="32"/>
      <c r="BK2820" s="32"/>
      <c r="BL2820" s="32"/>
      <c r="BM2820" s="32"/>
      <c r="BN2820" s="32"/>
      <c r="BO2820" s="32"/>
      <c r="BP2820" s="32"/>
      <c r="BQ2820" s="32"/>
      <c r="BR2820" s="32"/>
      <c r="BS2820" s="32"/>
      <c r="BT2820" s="32"/>
      <c r="BU2820" s="32"/>
      <c r="BV2820" s="32"/>
      <c r="BW2820" s="32"/>
      <c r="BX2820" s="32"/>
      <c r="BY2820" s="32"/>
      <c r="BZ2820" s="32"/>
      <c r="CA2820" s="32"/>
      <c r="CB2820" s="32"/>
      <c r="CC2820" s="32"/>
      <c r="CD2820" s="32"/>
    </row>
    <row r="2821" ht="15.75" hidden="1" customHeight="1" outlineLevel="1">
      <c r="A2821" s="365"/>
      <c r="B2821" s="38"/>
      <c r="C2821" s="38"/>
      <c r="D2821" s="38"/>
      <c r="E2821" s="38"/>
      <c r="F2821" s="38"/>
      <c r="G2821" s="38"/>
      <c r="H2821" s="38"/>
      <c r="I2821" s="38"/>
      <c r="J2821" s="38"/>
      <c r="K2821" s="38"/>
      <c r="L2821" s="38"/>
      <c r="M2821" s="38"/>
      <c r="N2821" s="38"/>
      <c r="O2821" s="38"/>
      <c r="P2821" s="38"/>
      <c r="Q2821" s="372">
        <f>$Q2698*'Assumptions (T&amp;D)'!C$24</f>
        <v>0.08060898673</v>
      </c>
      <c r="R2821" s="372">
        <f>$Q2698*'Assumptions (T&amp;D)'!D$24</f>
        <v>0.1551991691</v>
      </c>
      <c r="S2821" s="372">
        <f>$Q2698*'Assumptions (T&amp;D)'!E$24</f>
        <v>0.143591475</v>
      </c>
      <c r="T2821" s="372">
        <f>$Q2698*'Assumptions (T&amp;D)'!F$24</f>
        <v>0.1328436101</v>
      </c>
      <c r="U2821" s="372">
        <f>$Q2698*'Assumptions (T&amp;D)'!G$24</f>
        <v>0.1227406171</v>
      </c>
      <c r="V2821" s="372">
        <f>$Q2698*'Assumptions (T&amp;D)'!H$24</f>
        <v>0.1137124106</v>
      </c>
      <c r="W2821" s="372">
        <f>$Q2698*'Assumptions (T&amp;D)'!I$24</f>
        <v>0.1051141187</v>
      </c>
      <c r="X2821" s="372">
        <f>$Q2698*'Assumptions (T&amp;D)'!J$24</f>
        <v>0.09716069867</v>
      </c>
      <c r="Y2821" s="372">
        <f>$Q2698*'Assumptions (T&amp;D)'!K$24</f>
        <v>0.09587095488</v>
      </c>
      <c r="Z2821" s="372">
        <f>$Q2698*'Assumptions (T&amp;D)'!L$24</f>
        <v>0.09587095488</v>
      </c>
      <c r="AA2821" s="372">
        <f>$Q2698*'Assumptions (T&amp;D)'!M$24</f>
        <v>0.09587095488</v>
      </c>
      <c r="AB2821" s="372">
        <f>$Q2698*'Assumptions (T&amp;D)'!N$24</f>
        <v>0.09587095488</v>
      </c>
      <c r="AC2821" s="372">
        <f>$Q2698*'Assumptions (T&amp;D)'!O$24</f>
        <v>0.09587095488</v>
      </c>
      <c r="AD2821" s="372">
        <f>$Q2698*'Assumptions (T&amp;D)'!P$24</f>
        <v>0.09587095488</v>
      </c>
      <c r="AE2821" s="372">
        <f>$Q2698*'Assumptions (T&amp;D)'!Q$24</f>
        <v>0.09587095488</v>
      </c>
      <c r="AF2821" s="372">
        <f>$Q2698*'Assumptions (T&amp;D)'!R$24</f>
        <v>0.09587095488</v>
      </c>
      <c r="AG2821" s="372">
        <f>$Q2698*'Assumptions (T&amp;D)'!S$24</f>
        <v>0.09587095488</v>
      </c>
      <c r="AH2821" s="372">
        <f>$Q2698*'Assumptions (T&amp;D)'!T$24</f>
        <v>0.09587095488</v>
      </c>
      <c r="AI2821" s="372">
        <f>$Q2698*'Assumptions (T&amp;D)'!U$24</f>
        <v>0.09587095488</v>
      </c>
      <c r="AJ2821" s="372">
        <f>$Q2698*'Assumptions (T&amp;D)'!V$24</f>
        <v>0.09587095488</v>
      </c>
      <c r="AK2821" s="372">
        <f>$Q2698*'Assumptions (T&amp;D)'!W$24</f>
        <v>0.04793547744</v>
      </c>
      <c r="AL2821" s="32"/>
      <c r="AM2821" s="32"/>
      <c r="AN2821" s="32"/>
      <c r="AO2821" s="32"/>
      <c r="AP2821" s="32"/>
      <c r="AQ2821" s="32"/>
      <c r="AR2821" s="32"/>
      <c r="AS2821" s="32"/>
      <c r="AT2821" s="32"/>
      <c r="AU2821" s="32"/>
      <c r="AV2821" s="32"/>
      <c r="AW2821" s="32"/>
      <c r="AX2821" s="32"/>
      <c r="AY2821" s="32"/>
      <c r="AZ2821" s="32"/>
      <c r="BA2821" s="32"/>
      <c r="BB2821" s="32"/>
      <c r="BC2821" s="32"/>
      <c r="BD2821" s="32"/>
      <c r="BE2821" s="32"/>
      <c r="BF2821" s="32"/>
      <c r="BG2821" s="32"/>
      <c r="BH2821" s="32"/>
      <c r="BI2821" s="32"/>
      <c r="BJ2821" s="32"/>
      <c r="BK2821" s="32"/>
      <c r="BL2821" s="32"/>
      <c r="BM2821" s="32"/>
      <c r="BN2821" s="32"/>
      <c r="BO2821" s="32"/>
      <c r="BP2821" s="32"/>
      <c r="BQ2821" s="32"/>
      <c r="BR2821" s="32"/>
      <c r="BS2821" s="32"/>
      <c r="BT2821" s="32"/>
      <c r="BU2821" s="32"/>
      <c r="BV2821" s="32"/>
      <c r="BW2821" s="32"/>
      <c r="BX2821" s="32"/>
      <c r="BY2821" s="32"/>
      <c r="BZ2821" s="32"/>
      <c r="CA2821" s="32"/>
      <c r="CB2821" s="32"/>
      <c r="CC2821" s="32"/>
      <c r="CD2821" s="32"/>
    </row>
    <row r="2822" ht="15.75" hidden="1" customHeight="1" outlineLevel="1">
      <c r="A2822" s="365"/>
      <c r="B2822" s="38"/>
      <c r="C2822" s="38"/>
      <c r="D2822" s="38"/>
      <c r="E2822" s="38"/>
      <c r="F2822" s="38"/>
      <c r="G2822" s="38"/>
      <c r="H2822" s="38"/>
      <c r="I2822" s="38"/>
      <c r="J2822" s="38"/>
      <c r="K2822" s="38"/>
      <c r="L2822" s="38"/>
      <c r="M2822" s="38"/>
      <c r="N2822" s="38"/>
      <c r="O2822" s="38"/>
      <c r="P2822" s="38"/>
      <c r="Q2822" s="38"/>
      <c r="R2822" s="372">
        <f>$R2698*'Assumptions (T&amp;D)'!C$24</f>
        <v>0.08046534771</v>
      </c>
      <c r="S2822" s="372">
        <f>$R2698*'Assumptions (T&amp;D)'!D$24</f>
        <v>0.1549226161</v>
      </c>
      <c r="T2822" s="372">
        <f>$R2698*'Assumptions (T&amp;D)'!E$24</f>
        <v>0.1433356061</v>
      </c>
      <c r="U2822" s="372">
        <f>$R2698*'Assumptions (T&amp;D)'!F$24</f>
        <v>0.132606893</v>
      </c>
      <c r="V2822" s="372">
        <f>$R2698*'Assumptions (T&amp;D)'!G$24</f>
        <v>0.1225219028</v>
      </c>
      <c r="W2822" s="372">
        <f>$R2698*'Assumptions (T&amp;D)'!H$24</f>
        <v>0.1135097838</v>
      </c>
      <c r="X2822" s="372">
        <f>$R2698*'Assumptions (T&amp;D)'!I$24</f>
        <v>0.1049268134</v>
      </c>
      <c r="Y2822" s="372">
        <f>$R2698*'Assumptions (T&amp;D)'!J$24</f>
        <v>0.09698756578</v>
      </c>
      <c r="Z2822" s="372">
        <f>$R2698*'Assumptions (T&amp;D)'!K$24</f>
        <v>0.09570012021</v>
      </c>
      <c r="AA2822" s="372">
        <f>$R2698*'Assumptions (T&amp;D)'!L$24</f>
        <v>0.09570012021</v>
      </c>
      <c r="AB2822" s="372">
        <f>$R2698*'Assumptions (T&amp;D)'!M$24</f>
        <v>0.09570012021</v>
      </c>
      <c r="AC2822" s="372">
        <f>$R2698*'Assumptions (T&amp;D)'!N$24</f>
        <v>0.09570012021</v>
      </c>
      <c r="AD2822" s="372">
        <f>$R2698*'Assumptions (T&amp;D)'!O$24</f>
        <v>0.09570012021</v>
      </c>
      <c r="AE2822" s="372">
        <f>$R2698*'Assumptions (T&amp;D)'!P$24</f>
        <v>0.09570012021</v>
      </c>
      <c r="AF2822" s="372">
        <f>$R2698*'Assumptions (T&amp;D)'!Q$24</f>
        <v>0.09570012021</v>
      </c>
      <c r="AG2822" s="372">
        <f>$R2698*'Assumptions (T&amp;D)'!R$24</f>
        <v>0.09570012021</v>
      </c>
      <c r="AH2822" s="372">
        <f>$R2698*'Assumptions (T&amp;D)'!S$24</f>
        <v>0.09570012021</v>
      </c>
      <c r="AI2822" s="372">
        <f>$R2698*'Assumptions (T&amp;D)'!T$24</f>
        <v>0.09570012021</v>
      </c>
      <c r="AJ2822" s="372">
        <f>$R2698*'Assumptions (T&amp;D)'!U$24</f>
        <v>0.09570012021</v>
      </c>
      <c r="AK2822" s="372">
        <f>$R2698*'Assumptions (T&amp;D)'!V$24</f>
        <v>0.09570012021</v>
      </c>
      <c r="AL2822" s="372">
        <f>$R2698*'Assumptions (T&amp;D)'!W$24</f>
        <v>0.04785006011</v>
      </c>
      <c r="AM2822" s="32"/>
      <c r="AN2822" s="32"/>
      <c r="AO2822" s="32"/>
      <c r="AP2822" s="32"/>
      <c r="AQ2822" s="32"/>
      <c r="AR2822" s="32"/>
      <c r="AS2822" s="32"/>
      <c r="AT2822" s="32"/>
      <c r="AU2822" s="32"/>
      <c r="AV2822" s="32"/>
      <c r="AW2822" s="32"/>
      <c r="AX2822" s="32"/>
      <c r="AY2822" s="32"/>
      <c r="AZ2822" s="32"/>
      <c r="BA2822" s="32"/>
      <c r="BB2822" s="32"/>
      <c r="BC2822" s="32"/>
      <c r="BD2822" s="32"/>
      <c r="BE2822" s="32"/>
      <c r="BF2822" s="32"/>
      <c r="BG2822" s="32"/>
      <c r="BH2822" s="32"/>
      <c r="BI2822" s="32"/>
      <c r="BJ2822" s="32"/>
      <c r="BK2822" s="32"/>
      <c r="BL2822" s="32"/>
      <c r="BM2822" s="32"/>
      <c r="BN2822" s="32"/>
      <c r="BO2822" s="32"/>
      <c r="BP2822" s="32"/>
      <c r="BQ2822" s="32"/>
      <c r="BR2822" s="32"/>
      <c r="BS2822" s="32"/>
      <c r="BT2822" s="32"/>
      <c r="BU2822" s="32"/>
      <c r="BV2822" s="32"/>
      <c r="BW2822" s="32"/>
      <c r="BX2822" s="32"/>
      <c r="BY2822" s="32"/>
      <c r="BZ2822" s="32"/>
      <c r="CA2822" s="32"/>
      <c r="CB2822" s="32"/>
      <c r="CC2822" s="32"/>
      <c r="CD2822" s="32"/>
    </row>
    <row r="2823" ht="15.75" hidden="1" customHeight="1" outlineLevel="1">
      <c r="A2823" s="365"/>
      <c r="B2823" s="38"/>
      <c r="C2823" s="38"/>
      <c r="D2823" s="38"/>
      <c r="E2823" s="38"/>
      <c r="F2823" s="38"/>
      <c r="G2823" s="38"/>
      <c r="H2823" s="38"/>
      <c r="I2823" s="38"/>
      <c r="J2823" s="38"/>
      <c r="K2823" s="38"/>
      <c r="L2823" s="38"/>
      <c r="M2823" s="38"/>
      <c r="N2823" s="38"/>
      <c r="O2823" s="38"/>
      <c r="P2823" s="38"/>
      <c r="Q2823" s="38"/>
      <c r="R2823" s="38"/>
      <c r="S2823" s="372">
        <f>$S2698*'Assumptions (T&amp;D)'!C$24</f>
        <v>0.08264045621</v>
      </c>
      <c r="T2823" s="372">
        <f>$S2698*'Assumptions (T&amp;D)'!D$24</f>
        <v>0.159110425</v>
      </c>
      <c r="U2823" s="372">
        <f>$S2698*'Assumptions (T&amp;D)'!E$24</f>
        <v>0.1472101993</v>
      </c>
      <c r="V2823" s="372">
        <f>$S2698*'Assumptions (T&amp;D)'!F$24</f>
        <v>0.1361914718</v>
      </c>
      <c r="W2823" s="372">
        <f>$S2698*'Assumptions (T&amp;D)'!G$24</f>
        <v>0.125833868</v>
      </c>
      <c r="X2823" s="372">
        <f>$S2698*'Assumptions (T&amp;D)'!H$24</f>
        <v>0.1165781369</v>
      </c>
      <c r="Y2823" s="372">
        <f>$S2698*'Assumptions (T&amp;D)'!I$24</f>
        <v>0.1077631549</v>
      </c>
      <c r="Z2823" s="372">
        <f>$S2698*'Assumptions (T&amp;D)'!J$24</f>
        <v>0.09960929655</v>
      </c>
      <c r="AA2823" s="372">
        <f>$S2698*'Assumptions (T&amp;D)'!K$24</f>
        <v>0.09828704925</v>
      </c>
      <c r="AB2823" s="372">
        <f>$S2698*'Assumptions (T&amp;D)'!L$24</f>
        <v>0.09828704925</v>
      </c>
      <c r="AC2823" s="372">
        <f>$S2698*'Assumptions (T&amp;D)'!M$24</f>
        <v>0.09828704925</v>
      </c>
      <c r="AD2823" s="372">
        <f>$S2698*'Assumptions (T&amp;D)'!N$24</f>
        <v>0.09828704925</v>
      </c>
      <c r="AE2823" s="372">
        <f>$S2698*'Assumptions (T&amp;D)'!O$24</f>
        <v>0.09828704925</v>
      </c>
      <c r="AF2823" s="372">
        <f>$S2698*'Assumptions (T&amp;D)'!P$24</f>
        <v>0.09828704925</v>
      </c>
      <c r="AG2823" s="372">
        <f>$S2698*'Assumptions (T&amp;D)'!Q$24</f>
        <v>0.09828704925</v>
      </c>
      <c r="AH2823" s="372">
        <f>$S2698*'Assumptions (T&amp;D)'!R$24</f>
        <v>0.09828704925</v>
      </c>
      <c r="AI2823" s="372">
        <f>$S2698*'Assumptions (T&amp;D)'!S$24</f>
        <v>0.09828704925</v>
      </c>
      <c r="AJ2823" s="372">
        <f>$S2698*'Assumptions (T&amp;D)'!T$24</f>
        <v>0.09828704925</v>
      </c>
      <c r="AK2823" s="372">
        <f>$S2698*'Assumptions (T&amp;D)'!U$24</f>
        <v>0.09828704925</v>
      </c>
      <c r="AL2823" s="372">
        <f>$S2698*'Assumptions (T&amp;D)'!V$24</f>
        <v>0.09828704925</v>
      </c>
      <c r="AM2823" s="372">
        <f>$S2698*'Assumptions (T&amp;D)'!W$24</f>
        <v>0.04914352463</v>
      </c>
      <c r="AN2823" s="32"/>
      <c r="AO2823" s="32"/>
      <c r="AP2823" s="32"/>
      <c r="AQ2823" s="32"/>
      <c r="AR2823" s="32"/>
      <c r="AS2823" s="32"/>
      <c r="AT2823" s="32"/>
      <c r="AU2823" s="32"/>
      <c r="AV2823" s="32"/>
      <c r="AW2823" s="32"/>
      <c r="AX2823" s="32"/>
      <c r="AY2823" s="32"/>
      <c r="AZ2823" s="32"/>
      <c r="BA2823" s="32"/>
      <c r="BB2823" s="32"/>
      <c r="BC2823" s="32"/>
      <c r="BD2823" s="32"/>
      <c r="BE2823" s="32"/>
      <c r="BF2823" s="32"/>
      <c r="BG2823" s="32"/>
      <c r="BH2823" s="32"/>
      <c r="BI2823" s="32"/>
      <c r="BJ2823" s="32"/>
      <c r="BK2823" s="32"/>
      <c r="BL2823" s="32"/>
      <c r="BM2823" s="32"/>
      <c r="BN2823" s="32"/>
      <c r="BO2823" s="32"/>
      <c r="BP2823" s="32"/>
      <c r="BQ2823" s="32"/>
      <c r="BR2823" s="32"/>
      <c r="BS2823" s="32"/>
      <c r="BT2823" s="32"/>
      <c r="BU2823" s="32"/>
      <c r="BV2823" s="32"/>
      <c r="BW2823" s="32"/>
      <c r="BX2823" s="32"/>
      <c r="BY2823" s="32"/>
      <c r="BZ2823" s="32"/>
      <c r="CA2823" s="32"/>
      <c r="CB2823" s="32"/>
      <c r="CC2823" s="32"/>
      <c r="CD2823" s="32"/>
    </row>
    <row r="2824" ht="15.75" hidden="1" customHeight="1" outlineLevel="1">
      <c r="A2824" s="365"/>
      <c r="B2824" s="38"/>
      <c r="C2824" s="38"/>
      <c r="D2824" s="38"/>
      <c r="E2824" s="38"/>
      <c r="F2824" s="38"/>
      <c r="G2824" s="38"/>
      <c r="H2824" s="38"/>
      <c r="I2824" s="38"/>
      <c r="J2824" s="38"/>
      <c r="K2824" s="38"/>
      <c r="L2824" s="38"/>
      <c r="M2824" s="38"/>
      <c r="N2824" s="38"/>
      <c r="O2824" s="38"/>
      <c r="P2824" s="38"/>
      <c r="Q2824" s="38"/>
      <c r="R2824" s="38"/>
      <c r="S2824" s="38"/>
      <c r="T2824" s="372">
        <f>$T2698*'Assumptions (T&amp;D)'!C$24</f>
        <v>0.0877566409</v>
      </c>
      <c r="U2824" s="372">
        <f>$T2698*'Assumptions (T&amp;D)'!D$24</f>
        <v>0.168960786</v>
      </c>
      <c r="V2824" s="372">
        <f>$T2698*'Assumptions (T&amp;D)'!E$24</f>
        <v>0.1563238297</v>
      </c>
      <c r="W2824" s="372">
        <f>$T2698*'Assumptions (T&amp;D)'!F$24</f>
        <v>0.1446229442</v>
      </c>
      <c r="X2824" s="372">
        <f>$T2698*'Assumptions (T&amp;D)'!G$24</f>
        <v>0.1336241119</v>
      </c>
      <c r="Y2824" s="372">
        <f>$T2698*'Assumptions (T&amp;D)'!H$24</f>
        <v>0.1237953681</v>
      </c>
      <c r="Z2824" s="372">
        <f>$T2698*'Assumptions (T&amp;D)'!I$24</f>
        <v>0.1144346597</v>
      </c>
      <c r="AA2824" s="372">
        <f>$T2698*'Assumptions (T&amp;D)'!J$24</f>
        <v>0.1057760045</v>
      </c>
      <c r="AB2824" s="372">
        <f>$T2698*'Assumptions (T&amp;D)'!K$24</f>
        <v>0.1043718982</v>
      </c>
      <c r="AC2824" s="372">
        <f>$T2698*'Assumptions (T&amp;D)'!L$24</f>
        <v>0.1043718982</v>
      </c>
      <c r="AD2824" s="372">
        <f>$T2698*'Assumptions (T&amp;D)'!M$24</f>
        <v>0.1043718982</v>
      </c>
      <c r="AE2824" s="372">
        <f>$T2698*'Assumptions (T&amp;D)'!N$24</f>
        <v>0.1043718982</v>
      </c>
      <c r="AF2824" s="372">
        <f>$T2698*'Assumptions (T&amp;D)'!O$24</f>
        <v>0.1043718982</v>
      </c>
      <c r="AG2824" s="372">
        <f>$T2698*'Assumptions (T&amp;D)'!P$24</f>
        <v>0.1043718982</v>
      </c>
      <c r="AH2824" s="372">
        <f>$T2698*'Assumptions (T&amp;D)'!Q$24</f>
        <v>0.1043718982</v>
      </c>
      <c r="AI2824" s="372">
        <f>$T2698*'Assumptions (T&amp;D)'!R$24</f>
        <v>0.1043718982</v>
      </c>
      <c r="AJ2824" s="372">
        <f>$T2698*'Assumptions (T&amp;D)'!S$24</f>
        <v>0.1043718982</v>
      </c>
      <c r="AK2824" s="372">
        <f>$T2698*'Assumptions (T&amp;D)'!T$24</f>
        <v>0.1043718982</v>
      </c>
      <c r="AL2824" s="372">
        <f>$T2698*'Assumptions (T&amp;D)'!U$24</f>
        <v>0.1043718982</v>
      </c>
      <c r="AM2824" s="372">
        <f>$T2698*'Assumptions (T&amp;D)'!V$24</f>
        <v>0.1043718982</v>
      </c>
      <c r="AN2824" s="372">
        <f>$T2698*'Assumptions (T&amp;D)'!W$24</f>
        <v>0.05218594912</v>
      </c>
      <c r="AO2824" s="32"/>
      <c r="AP2824" s="32"/>
      <c r="AQ2824" s="32"/>
      <c r="AR2824" s="32"/>
      <c r="AS2824" s="32"/>
      <c r="AT2824" s="32"/>
      <c r="AU2824" s="32"/>
      <c r="AV2824" s="32"/>
      <c r="AW2824" s="32"/>
      <c r="AX2824" s="32"/>
      <c r="AY2824" s="32"/>
      <c r="AZ2824" s="32"/>
      <c r="BA2824" s="32"/>
      <c r="BB2824" s="32"/>
      <c r="BC2824" s="32"/>
      <c r="BD2824" s="32"/>
      <c r="BE2824" s="32"/>
      <c r="BF2824" s="32"/>
      <c r="BG2824" s="32"/>
      <c r="BH2824" s="32"/>
      <c r="BI2824" s="32"/>
      <c r="BJ2824" s="32"/>
      <c r="BK2824" s="32"/>
      <c r="BL2824" s="32"/>
      <c r="BM2824" s="32"/>
      <c r="BN2824" s="32"/>
      <c r="BO2824" s="32"/>
      <c r="BP2824" s="32"/>
      <c r="BQ2824" s="32"/>
      <c r="BR2824" s="32"/>
      <c r="BS2824" s="32"/>
      <c r="BT2824" s="32"/>
      <c r="BU2824" s="32"/>
      <c r="BV2824" s="32"/>
      <c r="BW2824" s="32"/>
      <c r="BX2824" s="32"/>
      <c r="BY2824" s="32"/>
      <c r="BZ2824" s="32"/>
      <c r="CA2824" s="32"/>
      <c r="CB2824" s="32"/>
      <c r="CC2824" s="32"/>
      <c r="CD2824" s="32"/>
    </row>
    <row r="2825" ht="15.75" hidden="1" customHeight="1" outlineLevel="1">
      <c r="A2825" s="365"/>
      <c r="B2825" s="38"/>
      <c r="C2825" s="38"/>
      <c r="D2825" s="38"/>
      <c r="E2825" s="38"/>
      <c r="F2825" s="38"/>
      <c r="G2825" s="38"/>
      <c r="H2825" s="38"/>
      <c r="I2825" s="38"/>
      <c r="J2825" s="38"/>
      <c r="K2825" s="38"/>
      <c r="L2825" s="38"/>
      <c r="M2825" s="38"/>
      <c r="N2825" s="38"/>
      <c r="O2825" s="38"/>
      <c r="P2825" s="38"/>
      <c r="Q2825" s="38"/>
      <c r="R2825" s="38"/>
      <c r="S2825" s="38"/>
      <c r="T2825" s="38"/>
      <c r="U2825" s="372">
        <f>$U2698*'Assumptions (T&amp;D)'!C$24</f>
        <v>0.08886512519</v>
      </c>
      <c r="V2825" s="372">
        <f>$U2698*'Assumptions (T&amp;D)'!D$24</f>
        <v>0.1710949877</v>
      </c>
      <c r="W2825" s="372">
        <f>$U2698*'Assumptions (T&amp;D)'!E$24</f>
        <v>0.1582984097</v>
      </c>
      <c r="X2825" s="372">
        <f>$U2698*'Assumptions (T&amp;D)'!F$24</f>
        <v>0.1464497263</v>
      </c>
      <c r="Y2825" s="372">
        <f>$U2698*'Assumptions (T&amp;D)'!G$24</f>
        <v>0.135311964</v>
      </c>
      <c r="Z2825" s="372">
        <f>$U2698*'Assumptions (T&amp;D)'!H$24</f>
        <v>0.1253590699</v>
      </c>
      <c r="AA2825" s="372">
        <f>$U2698*'Assumptions (T&amp;D)'!I$24</f>
        <v>0.1158801232</v>
      </c>
      <c r="AB2825" s="372">
        <f>$U2698*'Assumptions (T&amp;D)'!J$24</f>
        <v>0.1071120976</v>
      </c>
      <c r="AC2825" s="372">
        <f>$U2698*'Assumptions (T&amp;D)'!K$24</f>
        <v>0.1056902556</v>
      </c>
      <c r="AD2825" s="372">
        <f>$U2698*'Assumptions (T&amp;D)'!L$24</f>
        <v>0.1056902556</v>
      </c>
      <c r="AE2825" s="372">
        <f>$U2698*'Assumptions (T&amp;D)'!M$24</f>
        <v>0.1056902556</v>
      </c>
      <c r="AF2825" s="372">
        <f>$U2698*'Assumptions (T&amp;D)'!N$24</f>
        <v>0.1056902556</v>
      </c>
      <c r="AG2825" s="372">
        <f>$U2698*'Assumptions (T&amp;D)'!O$24</f>
        <v>0.1056902556</v>
      </c>
      <c r="AH2825" s="372">
        <f>$U2698*'Assumptions (T&amp;D)'!P$24</f>
        <v>0.1056902556</v>
      </c>
      <c r="AI2825" s="372">
        <f>$U2698*'Assumptions (T&amp;D)'!Q$24</f>
        <v>0.1056902556</v>
      </c>
      <c r="AJ2825" s="372">
        <f>$U2698*'Assumptions (T&amp;D)'!R$24</f>
        <v>0.1056902556</v>
      </c>
      <c r="AK2825" s="372">
        <f>$U2698*'Assumptions (T&amp;D)'!S$24</f>
        <v>0.1056902556</v>
      </c>
      <c r="AL2825" s="372">
        <f>$U2698*'Assumptions (T&amp;D)'!T$24</f>
        <v>0.1056902556</v>
      </c>
      <c r="AM2825" s="372">
        <f>$U2698*'Assumptions (T&amp;D)'!U$24</f>
        <v>0.1056902556</v>
      </c>
      <c r="AN2825" s="372">
        <f>$U2698*'Assumptions (T&amp;D)'!V$24</f>
        <v>0.1056902556</v>
      </c>
      <c r="AO2825" s="372">
        <f>$U2698*'Assumptions (T&amp;D)'!W$24</f>
        <v>0.05284512778</v>
      </c>
      <c r="AP2825" s="32"/>
      <c r="AQ2825" s="32"/>
      <c r="AR2825" s="32"/>
      <c r="AS2825" s="32"/>
      <c r="AT2825" s="32"/>
      <c r="AU2825" s="32"/>
      <c r="AV2825" s="32"/>
      <c r="AW2825" s="32"/>
      <c r="AX2825" s="32"/>
      <c r="AY2825" s="32"/>
      <c r="AZ2825" s="32"/>
      <c r="BA2825" s="32"/>
      <c r="BB2825" s="32"/>
      <c r="BC2825" s="32"/>
      <c r="BD2825" s="32"/>
      <c r="BE2825" s="32"/>
      <c r="BF2825" s="32"/>
      <c r="BG2825" s="32"/>
      <c r="BH2825" s="32"/>
      <c r="BI2825" s="32"/>
      <c r="BJ2825" s="32"/>
      <c r="BK2825" s="32"/>
      <c r="BL2825" s="32"/>
      <c r="BM2825" s="32"/>
      <c r="BN2825" s="32"/>
      <c r="BO2825" s="32"/>
      <c r="BP2825" s="32"/>
      <c r="BQ2825" s="32"/>
      <c r="BR2825" s="32"/>
      <c r="BS2825" s="32"/>
      <c r="BT2825" s="32"/>
      <c r="BU2825" s="32"/>
      <c r="BV2825" s="32"/>
      <c r="BW2825" s="32"/>
      <c r="BX2825" s="32"/>
      <c r="BY2825" s="32"/>
      <c r="BZ2825" s="32"/>
      <c r="CA2825" s="32"/>
      <c r="CB2825" s="32"/>
      <c r="CC2825" s="32"/>
      <c r="CD2825" s="32"/>
    </row>
    <row r="2826" ht="15.75" hidden="1" customHeight="1" outlineLevel="1">
      <c r="A2826" s="365"/>
      <c r="B2826" s="38"/>
      <c r="C2826" s="38"/>
      <c r="D2826" s="38"/>
      <c r="E2826" s="38"/>
      <c r="F2826" s="38"/>
      <c r="G2826" s="38"/>
      <c r="H2826" s="38"/>
      <c r="I2826" s="38"/>
      <c r="J2826" s="38"/>
      <c r="K2826" s="38"/>
      <c r="L2826" s="38"/>
      <c r="M2826" s="38"/>
      <c r="N2826" s="38"/>
      <c r="O2826" s="38"/>
      <c r="P2826" s="38"/>
      <c r="Q2826" s="38"/>
      <c r="R2826" s="38"/>
      <c r="S2826" s="38"/>
      <c r="T2826" s="38"/>
      <c r="U2826" s="38"/>
      <c r="V2826" s="372">
        <f>$V2698*'Assumptions (T&amp;D)'!C$24</f>
        <v>0.0921093075</v>
      </c>
      <c r="W2826" s="372">
        <f>$V2698*'Assumptions (T&amp;D)'!D$24</f>
        <v>0.17734112</v>
      </c>
      <c r="X2826" s="372">
        <f>$V2698*'Assumptions (T&amp;D)'!E$24</f>
        <v>0.1640773798</v>
      </c>
      <c r="Y2826" s="372">
        <f>$V2698*'Assumptions (T&amp;D)'!F$24</f>
        <v>0.1517961388</v>
      </c>
      <c r="Z2826" s="372">
        <f>$V2698*'Assumptions (T&amp;D)'!G$24</f>
        <v>0.1402517722</v>
      </c>
      <c r="AA2826" s="372">
        <f>$V2698*'Assumptions (T&amp;D)'!H$24</f>
        <v>0.1299355298</v>
      </c>
      <c r="AB2826" s="372">
        <f>$V2698*'Assumptions (T&amp;D)'!I$24</f>
        <v>0.120110537</v>
      </c>
      <c r="AC2826" s="372">
        <f>$V2698*'Assumptions (T&amp;D)'!J$24</f>
        <v>0.1110224186</v>
      </c>
      <c r="AD2826" s="372">
        <f>$V2698*'Assumptions (T&amp;D)'!K$24</f>
        <v>0.1095486697</v>
      </c>
      <c r="AE2826" s="372">
        <f>$V2698*'Assumptions (T&amp;D)'!L$24</f>
        <v>0.1095486697</v>
      </c>
      <c r="AF2826" s="372">
        <f>$V2698*'Assumptions (T&amp;D)'!M$24</f>
        <v>0.1095486697</v>
      </c>
      <c r="AG2826" s="372">
        <f>$V2698*'Assumptions (T&amp;D)'!N$24</f>
        <v>0.1095486697</v>
      </c>
      <c r="AH2826" s="372">
        <f>$V2698*'Assumptions (T&amp;D)'!O$24</f>
        <v>0.1095486697</v>
      </c>
      <c r="AI2826" s="372">
        <f>$V2698*'Assumptions (T&amp;D)'!P$24</f>
        <v>0.1095486697</v>
      </c>
      <c r="AJ2826" s="372">
        <f>$V2698*'Assumptions (T&amp;D)'!Q$24</f>
        <v>0.1095486697</v>
      </c>
      <c r="AK2826" s="372">
        <f>$V2698*'Assumptions (T&amp;D)'!R$24</f>
        <v>0.1095486697</v>
      </c>
      <c r="AL2826" s="372">
        <f>$V2698*'Assumptions (T&amp;D)'!S$24</f>
        <v>0.1095486697</v>
      </c>
      <c r="AM2826" s="372">
        <f>$V2698*'Assumptions (T&amp;D)'!T$24</f>
        <v>0.1095486697</v>
      </c>
      <c r="AN2826" s="372">
        <f>$V2698*'Assumptions (T&amp;D)'!U$24</f>
        <v>0.1095486697</v>
      </c>
      <c r="AO2826" s="372">
        <f>$V2698*'Assumptions (T&amp;D)'!V$24</f>
        <v>0.1095486697</v>
      </c>
      <c r="AP2826" s="372">
        <f>$V2698*'Assumptions (T&amp;D)'!W$24</f>
        <v>0.05477433486</v>
      </c>
      <c r="AQ2826" s="32"/>
      <c r="AR2826" s="32"/>
      <c r="AS2826" s="32"/>
      <c r="AT2826" s="32"/>
      <c r="AU2826" s="32"/>
      <c r="AV2826" s="32"/>
      <c r="AW2826" s="32"/>
      <c r="AX2826" s="32"/>
      <c r="AY2826" s="32"/>
      <c r="AZ2826" s="32"/>
      <c r="BA2826" s="32"/>
      <c r="BB2826" s="32"/>
      <c r="BC2826" s="32"/>
      <c r="BD2826" s="32"/>
      <c r="BE2826" s="32"/>
      <c r="BF2826" s="32"/>
      <c r="BG2826" s="32"/>
      <c r="BH2826" s="32"/>
      <c r="BI2826" s="32"/>
      <c r="BJ2826" s="32"/>
      <c r="BK2826" s="32"/>
      <c r="BL2826" s="32"/>
      <c r="BM2826" s="32"/>
      <c r="BN2826" s="32"/>
      <c r="BO2826" s="32"/>
      <c r="BP2826" s="32"/>
      <c r="BQ2826" s="32"/>
      <c r="BR2826" s="32"/>
      <c r="BS2826" s="32"/>
      <c r="BT2826" s="32"/>
      <c r="BU2826" s="32"/>
      <c r="BV2826" s="32"/>
      <c r="BW2826" s="32"/>
      <c r="BX2826" s="32"/>
      <c r="BY2826" s="32"/>
      <c r="BZ2826" s="32"/>
      <c r="CA2826" s="32"/>
      <c r="CB2826" s="32"/>
      <c r="CC2826" s="32"/>
      <c r="CD2826" s="32"/>
    </row>
    <row r="2827" ht="15.75" hidden="1" customHeight="1" outlineLevel="1">
      <c r="A2827" s="365"/>
      <c r="B2827" s="38"/>
      <c r="C2827" s="38"/>
      <c r="D2827" s="38"/>
      <c r="E2827" s="38"/>
      <c r="F2827" s="38"/>
      <c r="G2827" s="38"/>
      <c r="H2827" s="38"/>
      <c r="I2827" s="38"/>
      <c r="J2827" s="38"/>
      <c r="K2827" s="38"/>
      <c r="L2827" s="38"/>
      <c r="M2827" s="38"/>
      <c r="N2827" s="38"/>
      <c r="O2827" s="38"/>
      <c r="P2827" s="38"/>
      <c r="Q2827" s="38"/>
      <c r="R2827" s="38"/>
      <c r="S2827" s="38"/>
      <c r="T2827" s="38"/>
      <c r="U2827" s="38"/>
      <c r="V2827" s="38"/>
      <c r="W2827" s="372">
        <f>$W2698*'Assumptions (T&amp;D)'!C$24</f>
        <v>0.09392827937</v>
      </c>
      <c r="X2827" s="372">
        <f>$W2698*'Assumptions (T&amp;D)'!D$24</f>
        <v>0.1808432472</v>
      </c>
      <c r="Y2827" s="372">
        <f>$W2698*'Assumptions (T&amp;D)'!E$24</f>
        <v>0.167317575</v>
      </c>
      <c r="Z2827" s="372">
        <f>$W2698*'Assumptions (T&amp;D)'!F$24</f>
        <v>0.1547938044</v>
      </c>
      <c r="AA2827" s="372">
        <f>$W2698*'Assumptions (T&amp;D)'!G$24</f>
        <v>0.1430214601</v>
      </c>
      <c r="AB2827" s="372">
        <f>$W2698*'Assumptions (T&amp;D)'!H$24</f>
        <v>0.1325014928</v>
      </c>
      <c r="AC2827" s="372">
        <f>$W2698*'Assumptions (T&amp;D)'!I$24</f>
        <v>0.1224824763</v>
      </c>
      <c r="AD2827" s="372">
        <f>$W2698*'Assumptions (T&amp;D)'!J$24</f>
        <v>0.1132148861</v>
      </c>
      <c r="AE2827" s="372">
        <f>$W2698*'Assumptions (T&amp;D)'!K$24</f>
        <v>0.1117120336</v>
      </c>
      <c r="AF2827" s="372">
        <f>$W2698*'Assumptions (T&amp;D)'!L$24</f>
        <v>0.1117120336</v>
      </c>
      <c r="AG2827" s="372">
        <f>$W2698*'Assumptions (T&amp;D)'!M$24</f>
        <v>0.1117120336</v>
      </c>
      <c r="AH2827" s="372">
        <f>$W2698*'Assumptions (T&amp;D)'!N$24</f>
        <v>0.1117120336</v>
      </c>
      <c r="AI2827" s="372">
        <f>$W2698*'Assumptions (T&amp;D)'!O$24</f>
        <v>0.1117120336</v>
      </c>
      <c r="AJ2827" s="372">
        <f>$W2698*'Assumptions (T&amp;D)'!P$24</f>
        <v>0.1117120336</v>
      </c>
      <c r="AK2827" s="372">
        <f>$W2698*'Assumptions (T&amp;D)'!Q$24</f>
        <v>0.1117120336</v>
      </c>
      <c r="AL2827" s="372">
        <f>$W2698*'Assumptions (T&amp;D)'!R$24</f>
        <v>0.1117120336</v>
      </c>
      <c r="AM2827" s="372">
        <f>$W2698*'Assumptions (T&amp;D)'!S$24</f>
        <v>0.1117120336</v>
      </c>
      <c r="AN2827" s="372">
        <f>$W2698*'Assumptions (T&amp;D)'!T$24</f>
        <v>0.1117120336</v>
      </c>
      <c r="AO2827" s="372">
        <f>$W2698*'Assumptions (T&amp;D)'!U$24</f>
        <v>0.1117120336</v>
      </c>
      <c r="AP2827" s="372">
        <f>$W2698*'Assumptions (T&amp;D)'!V$24</f>
        <v>0.1117120336</v>
      </c>
      <c r="AQ2827" s="372">
        <f>$W2698*'Assumptions (T&amp;D)'!W$24</f>
        <v>0.0558560168</v>
      </c>
      <c r="AR2827" s="32"/>
      <c r="AS2827" s="32"/>
      <c r="AT2827" s="32"/>
      <c r="AU2827" s="32"/>
      <c r="AV2827" s="32"/>
      <c r="AW2827" s="32"/>
      <c r="AX2827" s="32"/>
      <c r="AY2827" s="32"/>
      <c r="AZ2827" s="32"/>
      <c r="BA2827" s="32"/>
      <c r="BB2827" s="32"/>
      <c r="BC2827" s="32"/>
      <c r="BD2827" s="32"/>
      <c r="BE2827" s="32"/>
      <c r="BF2827" s="32"/>
      <c r="BG2827" s="32"/>
      <c r="BH2827" s="32"/>
      <c r="BI2827" s="32"/>
      <c r="BJ2827" s="32"/>
      <c r="BK2827" s="32"/>
      <c r="BL2827" s="32"/>
      <c r="BM2827" s="32"/>
      <c r="BN2827" s="32"/>
      <c r="BO2827" s="32"/>
      <c r="BP2827" s="32"/>
      <c r="BQ2827" s="32"/>
      <c r="BR2827" s="32"/>
      <c r="BS2827" s="32"/>
      <c r="BT2827" s="32"/>
      <c r="BU2827" s="32"/>
      <c r="BV2827" s="32"/>
      <c r="BW2827" s="32"/>
      <c r="BX2827" s="32"/>
      <c r="BY2827" s="32"/>
      <c r="BZ2827" s="32"/>
      <c r="CA2827" s="32"/>
      <c r="CB2827" s="32"/>
      <c r="CC2827" s="32"/>
      <c r="CD2827" s="32"/>
    </row>
    <row r="2828" ht="15.75" hidden="1" customHeight="1" outlineLevel="1">
      <c r="A2828" s="365"/>
      <c r="B2828" s="38"/>
      <c r="C2828" s="38"/>
      <c r="D2828" s="38"/>
      <c r="E2828" s="38"/>
      <c r="F2828" s="38"/>
      <c r="G2828" s="38"/>
      <c r="H2828" s="38"/>
      <c r="I2828" s="38"/>
      <c r="J2828" s="38"/>
      <c r="K2828" s="38"/>
      <c r="L2828" s="38"/>
      <c r="M2828" s="38"/>
      <c r="N2828" s="38"/>
      <c r="O2828" s="38"/>
      <c r="P2828" s="38"/>
      <c r="Q2828" s="38"/>
      <c r="R2828" s="38"/>
      <c r="S2828" s="38"/>
      <c r="T2828" s="38"/>
      <c r="U2828" s="38"/>
      <c r="V2828" s="38"/>
      <c r="W2828" s="38"/>
      <c r="X2828" s="372">
        <f>$X2698*'Assumptions (T&amp;D)'!C$24</f>
        <v>0.1008777723</v>
      </c>
      <c r="Y2828" s="372">
        <f>$X2698*'Assumptions (T&amp;D)'!D$24</f>
        <v>0.1942233377</v>
      </c>
      <c r="Z2828" s="372">
        <f>$X2698*'Assumptions (T&amp;D)'!E$24</f>
        <v>0.1796969385</v>
      </c>
      <c r="AA2828" s="372">
        <f>$X2698*'Assumptions (T&amp;D)'!F$24</f>
        <v>0.1662465688</v>
      </c>
      <c r="AB2828" s="372">
        <f>$X2698*'Assumptions (T&amp;D)'!G$24</f>
        <v>0.1536032214</v>
      </c>
      <c r="AC2828" s="372">
        <f>$X2698*'Assumptions (T&amp;D)'!H$24</f>
        <v>0.1423049108</v>
      </c>
      <c r="AD2828" s="372">
        <f>$X2698*'Assumptions (T&amp;D)'!I$24</f>
        <v>0.1315446151</v>
      </c>
      <c r="AE2828" s="372">
        <f>$X2698*'Assumptions (T&amp;D)'!J$24</f>
        <v>0.1215913416</v>
      </c>
      <c r="AF2828" s="372">
        <f>$X2698*'Assumptions (T&amp;D)'!K$24</f>
        <v>0.1199772972</v>
      </c>
      <c r="AG2828" s="372">
        <f>$X2698*'Assumptions (T&amp;D)'!L$24</f>
        <v>0.1199772972</v>
      </c>
      <c r="AH2828" s="372">
        <f>$X2698*'Assumptions (T&amp;D)'!M$24</f>
        <v>0.1199772972</v>
      </c>
      <c r="AI2828" s="372">
        <f>$X2698*'Assumptions (T&amp;D)'!N$24</f>
        <v>0.1199772972</v>
      </c>
      <c r="AJ2828" s="372">
        <f>$X2698*'Assumptions (T&amp;D)'!O$24</f>
        <v>0.1199772972</v>
      </c>
      <c r="AK2828" s="372">
        <f>$X2698*'Assumptions (T&amp;D)'!P$24</f>
        <v>0.1199772972</v>
      </c>
      <c r="AL2828" s="372">
        <f>$X2698*'Assumptions (T&amp;D)'!Q$24</f>
        <v>0.1199772972</v>
      </c>
      <c r="AM2828" s="372">
        <f>$X2698*'Assumptions (T&amp;D)'!R$24</f>
        <v>0.1199772972</v>
      </c>
      <c r="AN2828" s="372">
        <f>$X2698*'Assumptions (T&amp;D)'!S$24</f>
        <v>0.1199772972</v>
      </c>
      <c r="AO2828" s="372">
        <f>$X2698*'Assumptions (T&amp;D)'!T$24</f>
        <v>0.1199772972</v>
      </c>
      <c r="AP2828" s="372">
        <f>$X2698*'Assumptions (T&amp;D)'!U$24</f>
        <v>0.1199772972</v>
      </c>
      <c r="AQ2828" s="372">
        <f>$X2698*'Assumptions (T&amp;D)'!V$24</f>
        <v>0.1199772972</v>
      </c>
      <c r="AR2828" s="372">
        <f>$X2698*'Assumptions (T&amp;D)'!W$24</f>
        <v>0.05998864862</v>
      </c>
      <c r="AS2828" s="32"/>
      <c r="AT2828" s="32"/>
      <c r="AU2828" s="32"/>
      <c r="AV2828" s="32"/>
      <c r="AW2828" s="32"/>
      <c r="AX2828" s="32"/>
      <c r="AY2828" s="32"/>
      <c r="AZ2828" s="32"/>
      <c r="BA2828" s="32"/>
      <c r="BB2828" s="32"/>
      <c r="BC2828" s="32"/>
      <c r="BD2828" s="32"/>
      <c r="BE2828" s="32"/>
      <c r="BF2828" s="32"/>
      <c r="BG2828" s="32"/>
      <c r="BH2828" s="32"/>
      <c r="BI2828" s="32"/>
      <c r="BJ2828" s="32"/>
      <c r="BK2828" s="32"/>
      <c r="BL2828" s="32"/>
      <c r="BM2828" s="32"/>
      <c r="BN2828" s="32"/>
      <c r="BO2828" s="32"/>
      <c r="BP2828" s="32"/>
      <c r="BQ2828" s="32"/>
      <c r="BR2828" s="32"/>
      <c r="BS2828" s="32"/>
      <c r="BT2828" s="32"/>
      <c r="BU2828" s="32"/>
      <c r="BV2828" s="32"/>
      <c r="BW2828" s="32"/>
      <c r="BX2828" s="32"/>
      <c r="BY2828" s="32"/>
      <c r="BZ2828" s="32"/>
      <c r="CA2828" s="32"/>
      <c r="CB2828" s="32"/>
      <c r="CC2828" s="32"/>
      <c r="CD2828" s="32"/>
    </row>
    <row r="2829" ht="15.75" hidden="1" customHeight="1" outlineLevel="1">
      <c r="A2829" s="365"/>
      <c r="B2829" s="38"/>
      <c r="C2829" s="38"/>
      <c r="D2829" s="38"/>
      <c r="E2829" s="38"/>
      <c r="F2829" s="38"/>
      <c r="G2829" s="38"/>
      <c r="H2829" s="38"/>
      <c r="I2829" s="38"/>
      <c r="J2829" s="38"/>
      <c r="K2829" s="38"/>
      <c r="L2829" s="38"/>
      <c r="M2829" s="38"/>
      <c r="N2829" s="38"/>
      <c r="O2829" s="38"/>
      <c r="P2829" s="38"/>
      <c r="Q2829" s="38"/>
      <c r="R2829" s="38"/>
      <c r="S2829" s="38"/>
      <c r="T2829" s="38"/>
      <c r="U2829" s="38"/>
      <c r="V2829" s="38"/>
      <c r="W2829" s="38"/>
      <c r="X2829" s="32"/>
      <c r="Y2829" s="372">
        <f>$Y2698*'Assumptions (T&amp;D)'!C$24</f>
        <v>0.1036785736</v>
      </c>
      <c r="Z2829" s="372">
        <f>$Y2698*'Assumptions (T&amp;D)'!D$24</f>
        <v>0.1996158136</v>
      </c>
      <c r="AA2829" s="372">
        <f>$Y2698*'Assumptions (T&amp;D)'!E$24</f>
        <v>0.184686099</v>
      </c>
      <c r="AB2829" s="372">
        <f>$Y2698*'Assumptions (T&amp;D)'!F$24</f>
        <v>0.1708622892</v>
      </c>
      <c r="AC2829" s="372">
        <f>$Y2698*'Assumptions (T&amp;D)'!G$24</f>
        <v>0.157867908</v>
      </c>
      <c r="AD2829" s="372">
        <f>$Y2698*'Assumptions (T&amp;D)'!H$24</f>
        <v>0.1462559078</v>
      </c>
      <c r="AE2829" s="372">
        <f>$Y2698*'Assumptions (T&amp;D)'!I$24</f>
        <v>0.1351968599</v>
      </c>
      <c r="AF2829" s="372">
        <f>$Y2698*'Assumptions (T&amp;D)'!J$24</f>
        <v>0.1249672407</v>
      </c>
      <c r="AG2829" s="372">
        <f>$Y2698*'Assumptions (T&amp;D)'!K$24</f>
        <v>0.1233083835</v>
      </c>
      <c r="AH2829" s="372">
        <f>$Y2698*'Assumptions (T&amp;D)'!L$24</f>
        <v>0.1233083835</v>
      </c>
      <c r="AI2829" s="372">
        <f>$Y2698*'Assumptions (T&amp;D)'!M$24</f>
        <v>0.1233083835</v>
      </c>
      <c r="AJ2829" s="372">
        <f>$Y2698*'Assumptions (T&amp;D)'!N$24</f>
        <v>0.1233083835</v>
      </c>
      <c r="AK2829" s="372">
        <f>$Y2698*'Assumptions (T&amp;D)'!O$24</f>
        <v>0.1233083835</v>
      </c>
      <c r="AL2829" s="372">
        <f>$Y2698*'Assumptions (T&amp;D)'!P$24</f>
        <v>0.1233083835</v>
      </c>
      <c r="AM2829" s="372">
        <f>$Y2698*'Assumptions (T&amp;D)'!Q$24</f>
        <v>0.1233083835</v>
      </c>
      <c r="AN2829" s="372">
        <f>$Y2698*'Assumptions (T&amp;D)'!R$24</f>
        <v>0.1233083835</v>
      </c>
      <c r="AO2829" s="372">
        <f>$Y2698*'Assumptions (T&amp;D)'!S$24</f>
        <v>0.1233083835</v>
      </c>
      <c r="AP2829" s="372">
        <f>$Y2698*'Assumptions (T&amp;D)'!T$24</f>
        <v>0.1233083835</v>
      </c>
      <c r="AQ2829" s="372">
        <f>$Y2698*'Assumptions (T&amp;D)'!U$24</f>
        <v>0.1233083835</v>
      </c>
      <c r="AR2829" s="372">
        <f>$Y2698*'Assumptions (T&amp;D)'!V$24</f>
        <v>0.1233083835</v>
      </c>
      <c r="AS2829" s="372">
        <f>$Y2698*'Assumptions (T&amp;D)'!W$24</f>
        <v>0.06165419174</v>
      </c>
      <c r="AT2829" s="32"/>
      <c r="AU2829" s="32"/>
      <c r="AV2829" s="32"/>
      <c r="AW2829" s="32"/>
      <c r="AX2829" s="32"/>
      <c r="AY2829" s="32"/>
      <c r="AZ2829" s="32"/>
      <c r="BA2829" s="32"/>
      <c r="BB2829" s="32"/>
      <c r="BC2829" s="32"/>
      <c r="BD2829" s="32"/>
      <c r="BE2829" s="32"/>
      <c r="BF2829" s="32"/>
      <c r="BG2829" s="32"/>
      <c r="BH2829" s="32"/>
      <c r="BI2829" s="32"/>
      <c r="BJ2829" s="32"/>
      <c r="BK2829" s="32"/>
      <c r="BL2829" s="32"/>
      <c r="BM2829" s="32"/>
      <c r="BN2829" s="32"/>
      <c r="BO2829" s="32"/>
      <c r="BP2829" s="32"/>
      <c r="BQ2829" s="32"/>
      <c r="BR2829" s="32"/>
      <c r="BS2829" s="32"/>
      <c r="BT2829" s="32"/>
      <c r="BU2829" s="32"/>
      <c r="BV2829" s="32"/>
      <c r="BW2829" s="32"/>
      <c r="BX2829" s="32"/>
      <c r="BY2829" s="32"/>
      <c r="BZ2829" s="32"/>
      <c r="CA2829" s="32"/>
      <c r="CB2829" s="32"/>
      <c r="CC2829" s="32"/>
      <c r="CD2829" s="32"/>
    </row>
    <row r="2830" ht="15.75" hidden="1" customHeight="1" outlineLevel="1">
      <c r="A2830" s="365"/>
      <c r="B2830" s="38"/>
      <c r="C2830" s="38"/>
      <c r="D2830" s="38"/>
      <c r="E2830" s="38"/>
      <c r="F2830" s="38"/>
      <c r="G2830" s="38"/>
      <c r="H2830" s="38"/>
      <c r="I2830" s="38"/>
      <c r="J2830" s="38"/>
      <c r="K2830" s="38"/>
      <c r="L2830" s="38"/>
      <c r="M2830" s="38"/>
      <c r="N2830" s="38"/>
      <c r="O2830" s="38"/>
      <c r="P2830" s="38"/>
      <c r="Q2830" s="38"/>
      <c r="R2830" s="38"/>
      <c r="S2830" s="38"/>
      <c r="T2830" s="38"/>
      <c r="U2830" s="38"/>
      <c r="V2830" s="38"/>
      <c r="W2830" s="38"/>
      <c r="X2830" s="32"/>
      <c r="Y2830" s="32"/>
      <c r="Z2830" s="372">
        <f>$Z2698*'Assumptions (T&amp;D)'!C$24</f>
        <v>0.1065506545</v>
      </c>
      <c r="AA2830" s="372">
        <f>$Z2698*'Assumptions (T&amp;D)'!D$24</f>
        <v>0.2051455268</v>
      </c>
      <c r="AB2830" s="372">
        <f>$Z2698*'Assumptions (T&amp;D)'!E$24</f>
        <v>0.1898022326</v>
      </c>
      <c r="AC2830" s="372">
        <f>$Z2698*'Assumptions (T&amp;D)'!F$24</f>
        <v>0.1755954786</v>
      </c>
      <c r="AD2830" s="372">
        <f>$Z2698*'Assumptions (T&amp;D)'!G$24</f>
        <v>0.1622411299</v>
      </c>
      <c r="AE2830" s="372">
        <f>$Z2698*'Assumptions (T&amp;D)'!H$24</f>
        <v>0.1503074566</v>
      </c>
      <c r="AF2830" s="372">
        <f>$Z2698*'Assumptions (T&amp;D)'!I$24</f>
        <v>0.1389420535</v>
      </c>
      <c r="AG2830" s="372">
        <f>$Z2698*'Assumptions (T&amp;D)'!J$24</f>
        <v>0.1284290556</v>
      </c>
      <c r="AH2830" s="372">
        <f>$Z2698*'Assumptions (T&amp;D)'!K$24</f>
        <v>0.1267242451</v>
      </c>
      <c r="AI2830" s="372">
        <f>$Z2698*'Assumptions (T&amp;D)'!L$24</f>
        <v>0.1267242451</v>
      </c>
      <c r="AJ2830" s="372">
        <f>$Z2698*'Assumptions (T&amp;D)'!M$24</f>
        <v>0.1267242451</v>
      </c>
      <c r="AK2830" s="372">
        <f>$Z2698*'Assumptions (T&amp;D)'!N$24</f>
        <v>0.1267242451</v>
      </c>
      <c r="AL2830" s="372">
        <f>$Z2698*'Assumptions (T&amp;D)'!O$24</f>
        <v>0.1267242451</v>
      </c>
      <c r="AM2830" s="372">
        <f>$Z2698*'Assumptions (T&amp;D)'!P$24</f>
        <v>0.1267242451</v>
      </c>
      <c r="AN2830" s="372">
        <f>$Z2698*'Assumptions (T&amp;D)'!Q$24</f>
        <v>0.1267242451</v>
      </c>
      <c r="AO2830" s="372">
        <f>$Z2698*'Assumptions (T&amp;D)'!R$24</f>
        <v>0.1267242451</v>
      </c>
      <c r="AP2830" s="372">
        <f>$Z2698*'Assumptions (T&amp;D)'!S$24</f>
        <v>0.1267242451</v>
      </c>
      <c r="AQ2830" s="372">
        <f>$Z2698*'Assumptions (T&amp;D)'!T$24</f>
        <v>0.1267242451</v>
      </c>
      <c r="AR2830" s="372">
        <f>$Z2698*'Assumptions (T&amp;D)'!U$24</f>
        <v>0.1267242451</v>
      </c>
      <c r="AS2830" s="372">
        <f>$Z2698*'Assumptions (T&amp;D)'!V$24</f>
        <v>0.1267242451</v>
      </c>
      <c r="AT2830" s="372">
        <f>$Z2698*'Assumptions (T&amp;D)'!W$24</f>
        <v>0.06336212255</v>
      </c>
      <c r="AU2830" s="32"/>
      <c r="AV2830" s="32"/>
      <c r="AW2830" s="32"/>
      <c r="AX2830" s="32"/>
      <c r="AY2830" s="32"/>
      <c r="AZ2830" s="32"/>
      <c r="BA2830" s="32"/>
      <c r="BB2830" s="32"/>
      <c r="BC2830" s="32"/>
      <c r="BD2830" s="32"/>
      <c r="BE2830" s="32"/>
      <c r="BF2830" s="32"/>
      <c r="BG2830" s="32"/>
      <c r="BH2830" s="32"/>
      <c r="BI2830" s="32"/>
      <c r="BJ2830" s="32"/>
      <c r="BK2830" s="32"/>
      <c r="BL2830" s="32"/>
      <c r="BM2830" s="32"/>
      <c r="BN2830" s="32"/>
      <c r="BO2830" s="32"/>
      <c r="BP2830" s="32"/>
      <c r="BQ2830" s="32"/>
      <c r="BR2830" s="32"/>
      <c r="BS2830" s="32"/>
      <c r="BT2830" s="32"/>
      <c r="BU2830" s="32"/>
      <c r="BV2830" s="32"/>
      <c r="BW2830" s="32"/>
      <c r="BX2830" s="32"/>
      <c r="BY2830" s="32"/>
      <c r="BZ2830" s="32"/>
      <c r="CA2830" s="32"/>
      <c r="CB2830" s="32"/>
      <c r="CC2830" s="32"/>
      <c r="CD2830" s="32"/>
    </row>
    <row r="2831" ht="15.75" hidden="1" customHeight="1" outlineLevel="1">
      <c r="A2831" s="365"/>
      <c r="B2831" s="38"/>
      <c r="C2831" s="38"/>
      <c r="D2831" s="38"/>
      <c r="E2831" s="38"/>
      <c r="F2831" s="38"/>
      <c r="G2831" s="38"/>
      <c r="H2831" s="38"/>
      <c r="I2831" s="38"/>
      <c r="J2831" s="38"/>
      <c r="K2831" s="38"/>
      <c r="L2831" s="38"/>
      <c r="M2831" s="38"/>
      <c r="N2831" s="38"/>
      <c r="O2831" s="38"/>
      <c r="P2831" s="38"/>
      <c r="Q2831" s="38"/>
      <c r="R2831" s="38"/>
      <c r="S2831" s="38"/>
      <c r="T2831" s="38"/>
      <c r="U2831" s="38"/>
      <c r="V2831" s="38"/>
      <c r="W2831" s="38"/>
      <c r="X2831" s="32"/>
      <c r="Y2831" s="32"/>
      <c r="Z2831" s="32"/>
      <c r="AA2831" s="372">
        <f>$AA2698*'Assumptions (T&amp;D)'!C$24</f>
        <v>0.1094957382</v>
      </c>
      <c r="AB2831" s="372">
        <f>$AA2698*'Assumptions (T&amp;D)'!D$24</f>
        <v>0.2108157946</v>
      </c>
      <c r="AC2831" s="372">
        <f>$AA2698*'Assumptions (T&amp;D)'!E$24</f>
        <v>0.1950484083</v>
      </c>
      <c r="AD2831" s="372">
        <f>$AA2698*'Assumptions (T&amp;D)'!F$24</f>
        <v>0.1804489765</v>
      </c>
      <c r="AE2831" s="372">
        <f>$AA2698*'Assumptions (T&amp;D)'!G$24</f>
        <v>0.1667255107</v>
      </c>
      <c r="AF2831" s="372">
        <f>$AA2698*'Assumptions (T&amp;D)'!H$24</f>
        <v>0.154461988</v>
      </c>
      <c r="AG2831" s="372">
        <f>$AA2698*'Assumptions (T&amp;D)'!I$24</f>
        <v>0.1427824426</v>
      </c>
      <c r="AH2831" s="372">
        <f>$AA2698*'Assumptions (T&amp;D)'!J$24</f>
        <v>0.1319788631</v>
      </c>
      <c r="AI2831" s="372">
        <f>$AA2698*'Assumptions (T&amp;D)'!K$24</f>
        <v>0.1302269313</v>
      </c>
      <c r="AJ2831" s="372">
        <f>$AA2698*'Assumptions (T&amp;D)'!L$24</f>
        <v>0.1302269313</v>
      </c>
      <c r="AK2831" s="372">
        <f>$AA2698*'Assumptions (T&amp;D)'!M$24</f>
        <v>0.1302269313</v>
      </c>
      <c r="AL2831" s="372">
        <f>$AA2698*'Assumptions (T&amp;D)'!N$24</f>
        <v>0.1302269313</v>
      </c>
      <c r="AM2831" s="372">
        <f>$AA2698*'Assumptions (T&amp;D)'!O$24</f>
        <v>0.1302269313</v>
      </c>
      <c r="AN2831" s="372">
        <f>$AA2698*'Assumptions (T&amp;D)'!P$24</f>
        <v>0.1302269313</v>
      </c>
      <c r="AO2831" s="372">
        <f>$AA2698*'Assumptions (T&amp;D)'!Q$24</f>
        <v>0.1302269313</v>
      </c>
      <c r="AP2831" s="372">
        <f>$AA2698*'Assumptions (T&amp;D)'!R$24</f>
        <v>0.1302269313</v>
      </c>
      <c r="AQ2831" s="372">
        <f>$AA2698*'Assumptions (T&amp;D)'!S$24</f>
        <v>0.1302269313</v>
      </c>
      <c r="AR2831" s="372">
        <f>$AA2698*'Assumptions (T&amp;D)'!T$24</f>
        <v>0.1302269313</v>
      </c>
      <c r="AS2831" s="372">
        <f>$AA2698*'Assumptions (T&amp;D)'!U$24</f>
        <v>0.1302269313</v>
      </c>
      <c r="AT2831" s="372">
        <f>$AA2698*'Assumptions (T&amp;D)'!V$24</f>
        <v>0.1302269313</v>
      </c>
      <c r="AU2831" s="372">
        <f>$AA2698*'Assumptions (T&amp;D)'!W$24</f>
        <v>0.06511346564</v>
      </c>
      <c r="AV2831" s="32"/>
      <c r="AW2831" s="32"/>
      <c r="AX2831" s="32"/>
      <c r="AY2831" s="32"/>
      <c r="AZ2831" s="32"/>
      <c r="BA2831" s="32"/>
      <c r="BB2831" s="32"/>
      <c r="BC2831" s="32"/>
      <c r="BD2831" s="32"/>
      <c r="BE2831" s="32"/>
      <c r="BF2831" s="32"/>
      <c r="BG2831" s="32"/>
      <c r="BH2831" s="32"/>
      <c r="BI2831" s="32"/>
      <c r="BJ2831" s="32"/>
      <c r="BK2831" s="32"/>
      <c r="BL2831" s="32"/>
      <c r="BM2831" s="32"/>
      <c r="BN2831" s="32"/>
      <c r="BO2831" s="32"/>
      <c r="BP2831" s="32"/>
      <c r="BQ2831" s="32"/>
      <c r="BR2831" s="32"/>
      <c r="BS2831" s="32"/>
      <c r="BT2831" s="32"/>
      <c r="BU2831" s="32"/>
      <c r="BV2831" s="32"/>
      <c r="BW2831" s="32"/>
      <c r="BX2831" s="32"/>
      <c r="BY2831" s="32"/>
      <c r="BZ2831" s="32"/>
      <c r="CA2831" s="32"/>
      <c r="CB2831" s="32"/>
      <c r="CC2831" s="32"/>
      <c r="CD2831" s="32"/>
    </row>
    <row r="2832" ht="15.75" hidden="1" customHeight="1" outlineLevel="1">
      <c r="A2832" s="365"/>
      <c r="B2832" s="38"/>
      <c r="C2832" s="38"/>
      <c r="D2832" s="38"/>
      <c r="E2832" s="38"/>
      <c r="F2832" s="38"/>
      <c r="G2832" s="38"/>
      <c r="H2832" s="38"/>
      <c r="I2832" s="38"/>
      <c r="J2832" s="38"/>
      <c r="K2832" s="38"/>
      <c r="L2832" s="38"/>
      <c r="M2832" s="38"/>
      <c r="N2832" s="38"/>
      <c r="O2832" s="38"/>
      <c r="P2832" s="38"/>
      <c r="Q2832" s="38"/>
      <c r="R2832" s="38"/>
      <c r="S2832" s="38"/>
      <c r="T2832" s="38"/>
      <c r="U2832" s="38"/>
      <c r="V2832" s="38"/>
      <c r="W2832" s="38"/>
      <c r="X2832" s="32"/>
      <c r="Y2832" s="32"/>
      <c r="Z2832" s="32"/>
      <c r="AA2832" s="32"/>
      <c r="AB2832" s="372">
        <f>$AB2698*'Assumptions (T&amp;D)'!C$24</f>
        <v>0.1125155878</v>
      </c>
      <c r="AC2832" s="372">
        <f>$AB2698*'Assumptions (T&amp;D)'!D$24</f>
        <v>0.2166300118</v>
      </c>
      <c r="AD2832" s="372">
        <f>$AB2698*'Assumptions (T&amp;D)'!E$24</f>
        <v>0.2004277671</v>
      </c>
      <c r="AE2832" s="372">
        <f>$AB2698*'Assumptions (T&amp;D)'!F$24</f>
        <v>0.1854256888</v>
      </c>
      <c r="AF2832" s="372">
        <f>$AB2698*'Assumptions (T&amp;D)'!G$24</f>
        <v>0.1713237351</v>
      </c>
      <c r="AG2832" s="372">
        <f>$AB2698*'Assumptions (T&amp;D)'!H$24</f>
        <v>0.1587219892</v>
      </c>
      <c r="AH2832" s="372">
        <f>$AB2698*'Assumptions (T&amp;D)'!I$24</f>
        <v>0.1467203265</v>
      </c>
      <c r="AI2832" s="372">
        <f>$AB2698*'Assumptions (T&amp;D)'!J$24</f>
        <v>0.1356187885</v>
      </c>
      <c r="AJ2832" s="372">
        <f>$AB2698*'Assumptions (T&amp;D)'!K$24</f>
        <v>0.1338185391</v>
      </c>
      <c r="AK2832" s="372">
        <f>$AB2698*'Assumptions (T&amp;D)'!L$24</f>
        <v>0.1338185391</v>
      </c>
      <c r="AL2832" s="372">
        <f>$AB2698*'Assumptions (T&amp;D)'!M$24</f>
        <v>0.1338185391</v>
      </c>
      <c r="AM2832" s="372">
        <f>$AB2698*'Assumptions (T&amp;D)'!N$24</f>
        <v>0.1338185391</v>
      </c>
      <c r="AN2832" s="372">
        <f>$AB2698*'Assumptions (T&amp;D)'!O$24</f>
        <v>0.1338185391</v>
      </c>
      <c r="AO2832" s="372">
        <f>$AB2698*'Assumptions (T&amp;D)'!P$24</f>
        <v>0.1338185391</v>
      </c>
      <c r="AP2832" s="372">
        <f>$AB2698*'Assumptions (T&amp;D)'!Q$24</f>
        <v>0.1338185391</v>
      </c>
      <c r="AQ2832" s="372">
        <f>$AB2698*'Assumptions (T&amp;D)'!R$24</f>
        <v>0.1338185391</v>
      </c>
      <c r="AR2832" s="372">
        <f>$AB2698*'Assumptions (T&amp;D)'!S$24</f>
        <v>0.1338185391</v>
      </c>
      <c r="AS2832" s="372">
        <f>$AB2698*'Assumptions (T&amp;D)'!T$24</f>
        <v>0.1338185391</v>
      </c>
      <c r="AT2832" s="372">
        <f>$AB2698*'Assumptions (T&amp;D)'!U$24</f>
        <v>0.1338185391</v>
      </c>
      <c r="AU2832" s="372">
        <f>$AB2698*'Assumptions (T&amp;D)'!V$24</f>
        <v>0.1338185391</v>
      </c>
      <c r="AV2832" s="372">
        <f>$AB2698*'Assumptions (T&amp;D)'!W$24</f>
        <v>0.06690926957</v>
      </c>
      <c r="AW2832" s="32"/>
      <c r="AX2832" s="32"/>
      <c r="AY2832" s="32"/>
      <c r="AZ2832" s="32"/>
      <c r="BA2832" s="32"/>
      <c r="BB2832" s="32"/>
      <c r="BC2832" s="32"/>
      <c r="BD2832" s="32"/>
      <c r="BE2832" s="32"/>
      <c r="BF2832" s="32"/>
      <c r="BG2832" s="32"/>
      <c r="BH2832" s="32"/>
      <c r="BI2832" s="32"/>
      <c r="BJ2832" s="32"/>
      <c r="BK2832" s="32"/>
      <c r="BL2832" s="32"/>
      <c r="BM2832" s="32"/>
      <c r="BN2832" s="32"/>
      <c r="BO2832" s="32"/>
      <c r="BP2832" s="32"/>
      <c r="BQ2832" s="32"/>
      <c r="BR2832" s="32"/>
      <c r="BS2832" s="32"/>
      <c r="BT2832" s="32"/>
      <c r="BU2832" s="32"/>
      <c r="BV2832" s="32"/>
      <c r="BW2832" s="32"/>
      <c r="BX2832" s="32"/>
      <c r="BY2832" s="32"/>
      <c r="BZ2832" s="32"/>
      <c r="CA2832" s="32"/>
      <c r="CB2832" s="32"/>
      <c r="CC2832" s="32"/>
      <c r="CD2832" s="32"/>
    </row>
    <row r="2833" ht="15.75" hidden="1" customHeight="1" outlineLevel="1">
      <c r="A2833" s="365"/>
      <c r="B2833" s="38"/>
      <c r="C2833" s="38"/>
      <c r="D2833" s="38"/>
      <c r="E2833" s="38"/>
      <c r="F2833" s="38"/>
      <c r="G2833" s="38"/>
      <c r="H2833" s="38"/>
      <c r="I2833" s="38"/>
      <c r="J2833" s="38"/>
      <c r="K2833" s="38"/>
      <c r="L2833" s="38"/>
      <c r="M2833" s="38"/>
      <c r="N2833" s="38"/>
      <c r="O2833" s="38"/>
      <c r="P2833" s="38"/>
      <c r="Q2833" s="38"/>
      <c r="R2833" s="38"/>
      <c r="S2833" s="38"/>
      <c r="T2833" s="38"/>
      <c r="U2833" s="38"/>
      <c r="V2833" s="38"/>
      <c r="W2833" s="38"/>
      <c r="X2833" s="32"/>
      <c r="Y2833" s="32"/>
      <c r="Z2833" s="32"/>
      <c r="AA2833" s="32"/>
      <c r="AB2833" s="32"/>
      <c r="AC2833" s="372">
        <f>$AC2698*'Assumptions (T&amp;D)'!C$24</f>
        <v>0.1156120079</v>
      </c>
      <c r="AD2833" s="372">
        <f>$AC2698*'Assumptions (T&amp;D)'!D$24</f>
        <v>0.2225916525</v>
      </c>
      <c r="AE2833" s="372">
        <f>$AC2698*'Assumptions (T&amp;D)'!E$24</f>
        <v>0.2059435234</v>
      </c>
      <c r="AF2833" s="372">
        <f>$AC2698*'Assumptions (T&amp;D)'!F$24</f>
        <v>0.190528589</v>
      </c>
      <c r="AG2833" s="372">
        <f>$AC2698*'Assumptions (T&amp;D)'!G$24</f>
        <v>0.1760385507</v>
      </c>
      <c r="AH2833" s="372">
        <f>$AC2698*'Assumptions (T&amp;D)'!H$24</f>
        <v>0.1630900058</v>
      </c>
      <c r="AI2833" s="372">
        <f>$AC2698*'Assumptions (T&amp;D)'!I$24</f>
        <v>0.1507580583</v>
      </c>
      <c r="AJ2833" s="372">
        <f>$AC2698*'Assumptions (T&amp;D)'!J$24</f>
        <v>0.1393510068</v>
      </c>
      <c r="AK2833" s="372">
        <f>$AC2698*'Assumptions (T&amp;D)'!K$24</f>
        <v>0.1375012147</v>
      </c>
      <c r="AL2833" s="372">
        <f>$AC2698*'Assumptions (T&amp;D)'!L$24</f>
        <v>0.1375012147</v>
      </c>
      <c r="AM2833" s="372">
        <f>$AC2698*'Assumptions (T&amp;D)'!M$24</f>
        <v>0.1375012147</v>
      </c>
      <c r="AN2833" s="372">
        <f>$AC2698*'Assumptions (T&amp;D)'!N$24</f>
        <v>0.1375012147</v>
      </c>
      <c r="AO2833" s="372">
        <f>$AC2698*'Assumptions (T&amp;D)'!O$24</f>
        <v>0.1375012147</v>
      </c>
      <c r="AP2833" s="372">
        <f>$AC2698*'Assumptions (T&amp;D)'!P$24</f>
        <v>0.1375012147</v>
      </c>
      <c r="AQ2833" s="372">
        <f>$AC2698*'Assumptions (T&amp;D)'!Q$24</f>
        <v>0.1375012147</v>
      </c>
      <c r="AR2833" s="372">
        <f>$AC2698*'Assumptions (T&amp;D)'!R$24</f>
        <v>0.1375012147</v>
      </c>
      <c r="AS2833" s="372">
        <f>$AC2698*'Assumptions (T&amp;D)'!S$24</f>
        <v>0.1375012147</v>
      </c>
      <c r="AT2833" s="372">
        <f>$AC2698*'Assumptions (T&amp;D)'!T$24</f>
        <v>0.1375012147</v>
      </c>
      <c r="AU2833" s="372">
        <f>$AC2698*'Assumptions (T&amp;D)'!U$24</f>
        <v>0.1375012147</v>
      </c>
      <c r="AV2833" s="372">
        <f>$AC2698*'Assumptions (T&amp;D)'!V$24</f>
        <v>0.1375012147</v>
      </c>
      <c r="AW2833" s="372">
        <f>$AC2698*'Assumptions (T&amp;D)'!W$24</f>
        <v>0.06875060736</v>
      </c>
      <c r="AX2833" s="32"/>
      <c r="AY2833" s="32"/>
      <c r="AZ2833" s="32"/>
      <c r="BA2833" s="32"/>
      <c r="BB2833" s="32"/>
      <c r="BC2833" s="32"/>
      <c r="BD2833" s="32"/>
      <c r="BE2833" s="32"/>
      <c r="BF2833" s="32"/>
      <c r="BG2833" s="32"/>
      <c r="BH2833" s="32"/>
      <c r="BI2833" s="32"/>
      <c r="BJ2833" s="32"/>
      <c r="BK2833" s="32"/>
      <c r="BL2833" s="32"/>
      <c r="BM2833" s="32"/>
      <c r="BN2833" s="32"/>
      <c r="BO2833" s="32"/>
      <c r="BP2833" s="32"/>
      <c r="BQ2833" s="32"/>
      <c r="BR2833" s="32"/>
      <c r="BS2833" s="32"/>
      <c r="BT2833" s="32"/>
      <c r="BU2833" s="32"/>
      <c r="BV2833" s="32"/>
      <c r="BW2833" s="32"/>
      <c r="BX2833" s="32"/>
      <c r="BY2833" s="32"/>
      <c r="BZ2833" s="32"/>
      <c r="CA2833" s="32"/>
      <c r="CB2833" s="32"/>
      <c r="CC2833" s="32"/>
      <c r="CD2833" s="32"/>
    </row>
    <row r="2834" ht="15.75" hidden="1" customHeight="1" outlineLevel="1">
      <c r="A2834" s="365"/>
      <c r="B2834" s="38"/>
      <c r="C2834" s="38"/>
      <c r="D2834" s="38"/>
      <c r="E2834" s="38"/>
      <c r="F2834" s="38"/>
      <c r="G2834" s="38"/>
      <c r="H2834" s="38"/>
      <c r="I2834" s="38"/>
      <c r="J2834" s="38"/>
      <c r="K2834" s="38"/>
      <c r="L2834" s="38"/>
      <c r="M2834" s="38"/>
      <c r="N2834" s="38"/>
      <c r="O2834" s="38"/>
      <c r="P2834" s="38"/>
      <c r="Q2834" s="38"/>
      <c r="R2834" s="38"/>
      <c r="S2834" s="38"/>
      <c r="T2834" s="38"/>
      <c r="U2834" s="38"/>
      <c r="V2834" s="38"/>
      <c r="W2834" s="38"/>
      <c r="X2834" s="32"/>
      <c r="Y2834" s="32"/>
      <c r="Z2834" s="32"/>
      <c r="AA2834" s="32"/>
      <c r="AB2834" s="32"/>
      <c r="AC2834" s="32"/>
      <c r="AD2834" s="372">
        <f>$AD2698*'Assumptions (T&amp;D)'!C$24</f>
        <v>0.1187868449</v>
      </c>
      <c r="AE2834" s="372">
        <f>$AD2698*'Assumptions (T&amp;D)'!D$24</f>
        <v>0.228704272</v>
      </c>
      <c r="AF2834" s="372">
        <f>$AD2698*'Assumptions (T&amp;D)'!E$24</f>
        <v>0.2115989663</v>
      </c>
      <c r="AG2834" s="372">
        <f>$AD2698*'Assumptions (T&amp;D)'!F$24</f>
        <v>0.1957607204</v>
      </c>
      <c r="AH2834" s="372">
        <f>$AD2698*'Assumptions (T&amp;D)'!G$24</f>
        <v>0.1808727691</v>
      </c>
      <c r="AI2834" s="372">
        <f>$AD2698*'Assumptions (T&amp;D)'!H$24</f>
        <v>0.1675686425</v>
      </c>
      <c r="AJ2834" s="372">
        <f>$AD2698*'Assumptions (T&amp;D)'!I$24</f>
        <v>0.1548980457</v>
      </c>
      <c r="AK2834" s="372">
        <f>$AD2698*'Assumptions (T&amp;D)'!J$24</f>
        <v>0.1431777437</v>
      </c>
      <c r="AL2834" s="372">
        <f>$AD2698*'Assumptions (T&amp;D)'!K$24</f>
        <v>0.1412771542</v>
      </c>
      <c r="AM2834" s="372">
        <f>$AD2698*'Assumptions (T&amp;D)'!L$24</f>
        <v>0.1412771542</v>
      </c>
      <c r="AN2834" s="372">
        <f>$AD2698*'Assumptions (T&amp;D)'!M$24</f>
        <v>0.1412771542</v>
      </c>
      <c r="AO2834" s="372">
        <f>$AD2698*'Assumptions (T&amp;D)'!N$24</f>
        <v>0.1412771542</v>
      </c>
      <c r="AP2834" s="372">
        <f>$AD2698*'Assumptions (T&amp;D)'!O$24</f>
        <v>0.1412771542</v>
      </c>
      <c r="AQ2834" s="372">
        <f>$AD2698*'Assumptions (T&amp;D)'!P$24</f>
        <v>0.1412771542</v>
      </c>
      <c r="AR2834" s="372">
        <f>$AD2698*'Assumptions (T&amp;D)'!Q$24</f>
        <v>0.1412771542</v>
      </c>
      <c r="AS2834" s="372">
        <f>$AD2698*'Assumptions (T&amp;D)'!R$24</f>
        <v>0.1412771542</v>
      </c>
      <c r="AT2834" s="372">
        <f>$AD2698*'Assumptions (T&amp;D)'!S$24</f>
        <v>0.1412771542</v>
      </c>
      <c r="AU2834" s="372">
        <f>$AD2698*'Assumptions (T&amp;D)'!T$24</f>
        <v>0.1412771542</v>
      </c>
      <c r="AV2834" s="372">
        <f>$AD2698*'Assumptions (T&amp;D)'!U$24</f>
        <v>0.1412771542</v>
      </c>
      <c r="AW2834" s="372">
        <f>$AD2698*'Assumptions (T&amp;D)'!V$24</f>
        <v>0.1412771542</v>
      </c>
      <c r="AX2834" s="372">
        <f>$AD2698*'Assumptions (T&amp;D)'!W$24</f>
        <v>0.07063857709</v>
      </c>
      <c r="AY2834" s="32"/>
      <c r="AZ2834" s="32"/>
      <c r="BA2834" s="32"/>
      <c r="BB2834" s="32"/>
      <c r="BC2834" s="32"/>
      <c r="BD2834" s="32"/>
      <c r="BE2834" s="32"/>
      <c r="BF2834" s="32"/>
      <c r="BG2834" s="32"/>
      <c r="BH2834" s="32"/>
      <c r="BI2834" s="32"/>
      <c r="BJ2834" s="32"/>
      <c r="BK2834" s="32"/>
      <c r="BL2834" s="32"/>
      <c r="BM2834" s="32"/>
      <c r="BN2834" s="32"/>
      <c r="BO2834" s="32"/>
      <c r="BP2834" s="32"/>
      <c r="BQ2834" s="32"/>
      <c r="BR2834" s="32"/>
      <c r="BS2834" s="32"/>
      <c r="BT2834" s="32"/>
      <c r="BU2834" s="32"/>
      <c r="BV2834" s="32"/>
      <c r="BW2834" s="32"/>
      <c r="BX2834" s="32"/>
      <c r="BY2834" s="32"/>
      <c r="BZ2834" s="32"/>
      <c r="CA2834" s="32"/>
      <c r="CB2834" s="32"/>
      <c r="CC2834" s="32"/>
      <c r="CD2834" s="32"/>
    </row>
    <row r="2835" ht="15.75" hidden="1" customHeight="1" outlineLevel="1">
      <c r="A2835" s="365"/>
      <c r="B2835" s="38"/>
      <c r="C2835" s="38"/>
      <c r="D2835" s="38"/>
      <c r="E2835" s="38"/>
      <c r="F2835" s="38"/>
      <c r="G2835" s="38"/>
      <c r="H2835" s="38"/>
      <c r="I2835" s="38"/>
      <c r="J2835" s="38"/>
      <c r="K2835" s="38"/>
      <c r="L2835" s="38"/>
      <c r="M2835" s="38"/>
      <c r="N2835" s="38"/>
      <c r="O2835" s="38"/>
      <c r="P2835" s="38"/>
      <c r="Q2835" s="38"/>
      <c r="R2835" s="38"/>
      <c r="S2835" s="38"/>
      <c r="T2835" s="38"/>
      <c r="U2835" s="38"/>
      <c r="V2835" s="38"/>
      <c r="W2835" s="38"/>
      <c r="X2835" s="32"/>
      <c r="Y2835" s="32"/>
      <c r="Z2835" s="32"/>
      <c r="AA2835" s="32"/>
      <c r="AB2835" s="32"/>
      <c r="AC2835" s="32"/>
      <c r="AD2835" s="32"/>
      <c r="AE2835" s="372">
        <f>$AE2698*'Assumptions (T&amp;D)'!C$24</f>
        <v>0.1220885762</v>
      </c>
      <c r="AF2835" s="372">
        <f>$AE2698*'Assumptions (T&amp;D)'!D$24</f>
        <v>0.2350612054</v>
      </c>
      <c r="AG2835" s="372">
        <f>$AE2698*'Assumptions (T&amp;D)'!E$24</f>
        <v>0.2174804504</v>
      </c>
      <c r="AH2835" s="372">
        <f>$AE2698*'Assumptions (T&amp;D)'!F$24</f>
        <v>0.2012019736</v>
      </c>
      <c r="AI2835" s="372">
        <f>$AE2698*'Assumptions (T&amp;D)'!G$24</f>
        <v>0.1859002054</v>
      </c>
      <c r="AJ2835" s="372">
        <f>$AE2698*'Assumptions (T&amp;D)'!H$24</f>
        <v>0.1722262848</v>
      </c>
      <c r="AK2835" s="372">
        <f>$AE2698*'Assumptions (T&amp;D)'!I$24</f>
        <v>0.1592035034</v>
      </c>
      <c r="AL2835" s="372">
        <f>$AE2698*'Assumptions (T&amp;D)'!J$24</f>
        <v>0.1471574305</v>
      </c>
      <c r="AM2835" s="372">
        <f>$AE2698*'Assumptions (T&amp;D)'!K$24</f>
        <v>0.1452040133</v>
      </c>
      <c r="AN2835" s="372">
        <f>$AE2698*'Assumptions (T&amp;D)'!L$24</f>
        <v>0.1452040133</v>
      </c>
      <c r="AO2835" s="372">
        <f>$AE2698*'Assumptions (T&amp;D)'!M$24</f>
        <v>0.1452040133</v>
      </c>
      <c r="AP2835" s="372">
        <f>$AE2698*'Assumptions (T&amp;D)'!N$24</f>
        <v>0.1452040133</v>
      </c>
      <c r="AQ2835" s="372">
        <f>$AE2698*'Assumptions (T&amp;D)'!O$24</f>
        <v>0.1452040133</v>
      </c>
      <c r="AR2835" s="372">
        <f>$AE2698*'Assumptions (T&amp;D)'!P$24</f>
        <v>0.1452040133</v>
      </c>
      <c r="AS2835" s="372">
        <f>$AE2698*'Assumptions (T&amp;D)'!Q$24</f>
        <v>0.1452040133</v>
      </c>
      <c r="AT2835" s="372">
        <f>$AE2698*'Assumptions (T&amp;D)'!R$24</f>
        <v>0.1452040133</v>
      </c>
      <c r="AU2835" s="372">
        <f>$AE2698*'Assumptions (T&amp;D)'!S$24</f>
        <v>0.1452040133</v>
      </c>
      <c r="AV2835" s="372">
        <f>$AE2698*'Assumptions (T&amp;D)'!T$24</f>
        <v>0.1452040133</v>
      </c>
      <c r="AW2835" s="372">
        <f>$AE2698*'Assumptions (T&amp;D)'!U$24</f>
        <v>0.1452040133</v>
      </c>
      <c r="AX2835" s="372">
        <f>$AE2698*'Assumptions (T&amp;D)'!V$24</f>
        <v>0.1452040133</v>
      </c>
      <c r="AY2835" s="372">
        <f>$AE2698*'Assumptions (T&amp;D)'!W$24</f>
        <v>0.07260200665</v>
      </c>
      <c r="AZ2835" s="32"/>
      <c r="BA2835" s="32"/>
      <c r="BB2835" s="32"/>
      <c r="BC2835" s="32"/>
      <c r="BD2835" s="32"/>
      <c r="BE2835" s="32"/>
      <c r="BF2835" s="32"/>
      <c r="BG2835" s="32"/>
      <c r="BH2835" s="32"/>
      <c r="BI2835" s="32"/>
      <c r="BJ2835" s="32"/>
      <c r="BK2835" s="32"/>
      <c r="BL2835" s="32"/>
      <c r="BM2835" s="32"/>
      <c r="BN2835" s="32"/>
      <c r="BO2835" s="32"/>
      <c r="BP2835" s="32"/>
      <c r="BQ2835" s="32"/>
      <c r="BR2835" s="32"/>
      <c r="BS2835" s="32"/>
      <c r="BT2835" s="32"/>
      <c r="BU2835" s="32"/>
      <c r="BV2835" s="32"/>
      <c r="BW2835" s="32"/>
      <c r="BX2835" s="32"/>
      <c r="BY2835" s="32"/>
      <c r="BZ2835" s="32"/>
      <c r="CA2835" s="32"/>
      <c r="CB2835" s="32"/>
      <c r="CC2835" s="32"/>
      <c r="CD2835" s="32"/>
    </row>
    <row r="2836" ht="15.75" hidden="1" customHeight="1" outlineLevel="1">
      <c r="A2836" s="365"/>
      <c r="B2836" s="38"/>
      <c r="C2836" s="38"/>
      <c r="D2836" s="38"/>
      <c r="E2836" s="38"/>
      <c r="F2836" s="38"/>
      <c r="G2836" s="38"/>
      <c r="H2836" s="38"/>
      <c r="I2836" s="38"/>
      <c r="J2836" s="38"/>
      <c r="K2836" s="38"/>
      <c r="L2836" s="38"/>
      <c r="M2836" s="38"/>
      <c r="N2836" s="38"/>
      <c r="O2836" s="38"/>
      <c r="P2836" s="38"/>
      <c r="Q2836" s="38"/>
      <c r="R2836" s="38"/>
      <c r="S2836" s="38"/>
      <c r="T2836" s="38"/>
      <c r="U2836" s="38"/>
      <c r="V2836" s="38"/>
      <c r="W2836" s="38"/>
      <c r="X2836" s="32"/>
      <c r="Y2836" s="32"/>
      <c r="Z2836" s="32"/>
      <c r="AA2836" s="32"/>
      <c r="AB2836" s="32"/>
      <c r="AC2836" s="32"/>
      <c r="AD2836" s="32"/>
      <c r="AE2836" s="32"/>
      <c r="AF2836" s="372">
        <f>$AF2698*'Assumptions (T&amp;D)'!C$24</f>
        <v>0.1253793721</v>
      </c>
      <c r="AG2836" s="372">
        <f>$AF2698*'Assumptions (T&amp;D)'!D$24</f>
        <v>0.2413970844</v>
      </c>
      <c r="AH2836" s="372">
        <f>$AF2698*'Assumptions (T&amp;D)'!E$24</f>
        <v>0.2233424548</v>
      </c>
      <c r="AI2836" s="372">
        <f>$AF2698*'Assumptions (T&amp;D)'!F$24</f>
        <v>0.2066252052</v>
      </c>
      <c r="AJ2836" s="372">
        <f>$AF2698*'Assumptions (T&amp;D)'!G$24</f>
        <v>0.1909109906</v>
      </c>
      <c r="AK2836" s="372">
        <f>$AF2698*'Assumptions (T&amp;D)'!H$24</f>
        <v>0.1768685009</v>
      </c>
      <c r="AL2836" s="372">
        <f>$AF2698*'Assumptions (T&amp;D)'!I$24</f>
        <v>0.1634947012</v>
      </c>
      <c r="AM2836" s="372">
        <f>$AF2698*'Assumptions (T&amp;D)'!J$24</f>
        <v>0.1511239365</v>
      </c>
      <c r="AN2836" s="372">
        <f>$AF2698*'Assumptions (T&amp;D)'!K$24</f>
        <v>0.1491178665</v>
      </c>
      <c r="AO2836" s="372">
        <f>$AF2698*'Assumptions (T&amp;D)'!L$24</f>
        <v>0.1491178665</v>
      </c>
      <c r="AP2836" s="372">
        <f>$AF2698*'Assumptions (T&amp;D)'!M$24</f>
        <v>0.1491178665</v>
      </c>
      <c r="AQ2836" s="372">
        <f>$AF2698*'Assumptions (T&amp;D)'!N$24</f>
        <v>0.1491178665</v>
      </c>
      <c r="AR2836" s="372">
        <f>$AF2698*'Assumptions (T&amp;D)'!O$24</f>
        <v>0.1491178665</v>
      </c>
      <c r="AS2836" s="372">
        <f>$AF2698*'Assumptions (T&amp;D)'!P$24</f>
        <v>0.1491178665</v>
      </c>
      <c r="AT2836" s="372">
        <f>$AF2698*'Assumptions (T&amp;D)'!Q$24</f>
        <v>0.1491178665</v>
      </c>
      <c r="AU2836" s="372">
        <f>$AF2698*'Assumptions (T&amp;D)'!R$24</f>
        <v>0.1491178665</v>
      </c>
      <c r="AV2836" s="372">
        <f>$AF2698*'Assumptions (T&amp;D)'!S$24</f>
        <v>0.1491178665</v>
      </c>
      <c r="AW2836" s="372">
        <f>$AF2698*'Assumptions (T&amp;D)'!T$24</f>
        <v>0.1491178665</v>
      </c>
      <c r="AX2836" s="372">
        <f>$AF2698*'Assumptions (T&amp;D)'!U$24</f>
        <v>0.1491178665</v>
      </c>
      <c r="AY2836" s="372">
        <f>$AF2698*'Assumptions (T&amp;D)'!V$24</f>
        <v>0.1491178665</v>
      </c>
      <c r="AZ2836" s="372">
        <f>$AF2698*'Assumptions (T&amp;D)'!W$24</f>
        <v>0.07455893327</v>
      </c>
      <c r="BA2836" s="32"/>
      <c r="BB2836" s="32"/>
      <c r="BC2836" s="32"/>
      <c r="BD2836" s="32"/>
      <c r="BE2836" s="32"/>
      <c r="BF2836" s="32"/>
      <c r="BG2836" s="32"/>
      <c r="BH2836" s="32"/>
      <c r="BI2836" s="32"/>
      <c r="BJ2836" s="32"/>
      <c r="BK2836" s="32"/>
      <c r="BL2836" s="32"/>
      <c r="BM2836" s="32"/>
      <c r="BN2836" s="32"/>
      <c r="BO2836" s="32"/>
      <c r="BP2836" s="32"/>
      <c r="BQ2836" s="32"/>
      <c r="BR2836" s="32"/>
      <c r="BS2836" s="32"/>
      <c r="BT2836" s="32"/>
      <c r="BU2836" s="32"/>
      <c r="BV2836" s="32"/>
      <c r="BW2836" s="32"/>
      <c r="BX2836" s="32"/>
      <c r="BY2836" s="32"/>
      <c r="BZ2836" s="32"/>
      <c r="CA2836" s="32"/>
      <c r="CB2836" s="32"/>
      <c r="CC2836" s="32"/>
      <c r="CD2836" s="32"/>
    </row>
    <row r="2837" ht="15.75" hidden="1" customHeight="1" outlineLevel="1">
      <c r="A2837" s="365"/>
      <c r="B2837" s="38"/>
      <c r="C2837" s="38"/>
      <c r="D2837" s="38"/>
      <c r="E2837" s="38"/>
      <c r="F2837" s="38"/>
      <c r="G2837" s="38"/>
      <c r="H2837" s="38"/>
      <c r="I2837" s="38"/>
      <c r="J2837" s="38"/>
      <c r="K2837" s="38"/>
      <c r="L2837" s="38"/>
      <c r="M2837" s="38"/>
      <c r="N2837" s="38"/>
      <c r="O2837" s="38"/>
      <c r="P2837" s="38"/>
      <c r="Q2837" s="38"/>
      <c r="R2837" s="38"/>
      <c r="S2837" s="38"/>
      <c r="T2837" s="38"/>
      <c r="U2837" s="38"/>
      <c r="V2837" s="38"/>
      <c r="W2837" s="38"/>
      <c r="X2837" s="32"/>
      <c r="Y2837" s="32"/>
      <c r="Z2837" s="32"/>
      <c r="AA2837" s="32"/>
      <c r="AB2837" s="32"/>
      <c r="AC2837" s="32"/>
      <c r="AD2837" s="32"/>
      <c r="AE2837" s="32"/>
      <c r="AF2837" s="32"/>
      <c r="AG2837" s="372">
        <f>$AG2698*'Assumptions (T&amp;D)'!C$24</f>
        <v>0.1288009747</v>
      </c>
      <c r="AH2837" s="372">
        <f>$AG2698*'Assumptions (T&amp;D)'!D$24</f>
        <v>0.2479848099</v>
      </c>
      <c r="AI2837" s="372">
        <f>$AG2698*'Assumptions (T&amp;D)'!E$24</f>
        <v>0.2294374696</v>
      </c>
      <c r="AJ2837" s="372">
        <f>$AG2698*'Assumptions (T&amp;D)'!F$24</f>
        <v>0.2122640063</v>
      </c>
      <c r="AK2837" s="372">
        <f>$AG2698*'Assumptions (T&amp;D)'!G$24</f>
        <v>0.1961209508</v>
      </c>
      <c r="AL2837" s="372">
        <f>$AG2698*'Assumptions (T&amp;D)'!H$24</f>
        <v>0.1816952416</v>
      </c>
      <c r="AM2837" s="372">
        <f>$AG2698*'Assumptions (T&amp;D)'!I$24</f>
        <v>0.167956471</v>
      </c>
      <c r="AN2837" s="372">
        <f>$AG2698*'Assumptions (T&amp;D)'!J$24</f>
        <v>0.1552481082</v>
      </c>
      <c r="AO2837" s="372">
        <f>$AG2698*'Assumptions (T&amp;D)'!K$24</f>
        <v>0.1531872926</v>
      </c>
      <c r="AP2837" s="372">
        <f>$AG2698*'Assumptions (T&amp;D)'!L$24</f>
        <v>0.1531872926</v>
      </c>
      <c r="AQ2837" s="372">
        <f>$AG2698*'Assumptions (T&amp;D)'!M$24</f>
        <v>0.1531872926</v>
      </c>
      <c r="AR2837" s="372">
        <f>$AG2698*'Assumptions (T&amp;D)'!N$24</f>
        <v>0.1531872926</v>
      </c>
      <c r="AS2837" s="372">
        <f>$AG2698*'Assumptions (T&amp;D)'!O$24</f>
        <v>0.1531872926</v>
      </c>
      <c r="AT2837" s="372">
        <f>$AG2698*'Assumptions (T&amp;D)'!P$24</f>
        <v>0.1531872926</v>
      </c>
      <c r="AU2837" s="372">
        <f>$AG2698*'Assumptions (T&amp;D)'!Q$24</f>
        <v>0.1531872926</v>
      </c>
      <c r="AV2837" s="372">
        <f>$AG2698*'Assumptions (T&amp;D)'!R$24</f>
        <v>0.1531872926</v>
      </c>
      <c r="AW2837" s="372">
        <f>$AG2698*'Assumptions (T&amp;D)'!S$24</f>
        <v>0.1531872926</v>
      </c>
      <c r="AX2837" s="372">
        <f>$AG2698*'Assumptions (T&amp;D)'!T$24</f>
        <v>0.1531872926</v>
      </c>
      <c r="AY2837" s="372">
        <f>$AG2698*'Assumptions (T&amp;D)'!U$24</f>
        <v>0.1531872926</v>
      </c>
      <c r="AZ2837" s="372">
        <f>$AG2698*'Assumptions (T&amp;D)'!V$24</f>
        <v>0.1531872926</v>
      </c>
      <c r="BA2837" s="372">
        <f>$AG2698*'Assumptions (T&amp;D)'!W$24</f>
        <v>0.07659364628</v>
      </c>
      <c r="BB2837" s="32"/>
      <c r="BC2837" s="32"/>
      <c r="BD2837" s="32"/>
      <c r="BE2837" s="32"/>
      <c r="BF2837" s="32"/>
      <c r="BG2837" s="32"/>
      <c r="BH2837" s="32"/>
      <c r="BI2837" s="32"/>
      <c r="BJ2837" s="32"/>
      <c r="BK2837" s="32"/>
      <c r="BL2837" s="32"/>
      <c r="BM2837" s="32"/>
      <c r="BN2837" s="32"/>
      <c r="BO2837" s="32"/>
      <c r="BP2837" s="32"/>
      <c r="BQ2837" s="32"/>
      <c r="BR2837" s="32"/>
      <c r="BS2837" s="32"/>
      <c r="BT2837" s="32"/>
      <c r="BU2837" s="32"/>
      <c r="BV2837" s="32"/>
      <c r="BW2837" s="32"/>
      <c r="BX2837" s="32"/>
      <c r="BY2837" s="32"/>
      <c r="BZ2837" s="32"/>
      <c r="CA2837" s="32"/>
      <c r="CB2837" s="32"/>
      <c r="CC2837" s="32"/>
      <c r="CD2837" s="32"/>
    </row>
    <row r="2838" ht="15.75" hidden="1" customHeight="1" outlineLevel="1">
      <c r="A2838" s="365"/>
      <c r="B2838" s="38"/>
      <c r="C2838" s="38"/>
      <c r="D2838" s="38"/>
      <c r="E2838" s="38"/>
      <c r="F2838" s="38"/>
      <c r="G2838" s="38"/>
      <c r="H2838" s="38"/>
      <c r="I2838" s="38"/>
      <c r="J2838" s="38"/>
      <c r="K2838" s="38"/>
      <c r="L2838" s="38"/>
      <c r="M2838" s="38"/>
      <c r="N2838" s="38"/>
      <c r="O2838" s="38"/>
      <c r="P2838" s="38"/>
      <c r="Q2838" s="38"/>
      <c r="R2838" s="38"/>
      <c r="S2838" s="38"/>
      <c r="T2838" s="38"/>
      <c r="U2838" s="38"/>
      <c r="V2838" s="38"/>
      <c r="W2838" s="38"/>
      <c r="X2838" s="32"/>
      <c r="Y2838" s="32"/>
      <c r="Z2838" s="32"/>
      <c r="AA2838" s="32"/>
      <c r="AB2838" s="32"/>
      <c r="AC2838" s="32"/>
      <c r="AD2838" s="32"/>
      <c r="AE2838" s="32"/>
      <c r="AF2838" s="32"/>
      <c r="AG2838" s="32"/>
      <c r="AH2838" s="372">
        <f>$AH2698*'Assumptions (T&amp;D)'!C$24</f>
        <v>0.132308821</v>
      </c>
      <c r="AI2838" s="372">
        <f>$AH2698*'Assumptions (T&amp;D)'!D$24</f>
        <v>0.2547385833</v>
      </c>
      <c r="AJ2838" s="372">
        <f>$AH2698*'Assumptions (T&amp;D)'!E$24</f>
        <v>0.2356861131</v>
      </c>
      <c r="AK2838" s="372">
        <f>$AH2698*'Assumptions (T&amp;D)'!F$24</f>
        <v>0.2180449369</v>
      </c>
      <c r="AL2838" s="372">
        <f>$AH2698*'Assumptions (T&amp;D)'!G$24</f>
        <v>0.2014622314</v>
      </c>
      <c r="AM2838" s="372">
        <f>$AH2698*'Assumptions (T&amp;D)'!H$24</f>
        <v>0.1866436434</v>
      </c>
      <c r="AN2838" s="372">
        <f>$AH2698*'Assumptions (T&amp;D)'!I$24</f>
        <v>0.1725307025</v>
      </c>
      <c r="AO2838" s="372">
        <f>$AH2698*'Assumptions (T&amp;D)'!J$24</f>
        <v>0.1594762322</v>
      </c>
      <c r="AP2838" s="372">
        <f>$AH2698*'Assumptions (T&amp;D)'!K$24</f>
        <v>0.1573592911</v>
      </c>
      <c r="AQ2838" s="372">
        <f>$AH2698*'Assumptions (T&amp;D)'!L$24</f>
        <v>0.1573592911</v>
      </c>
      <c r="AR2838" s="372">
        <f>$AH2698*'Assumptions (T&amp;D)'!M$24</f>
        <v>0.1573592911</v>
      </c>
      <c r="AS2838" s="372">
        <f>$AH2698*'Assumptions (T&amp;D)'!N$24</f>
        <v>0.1573592911</v>
      </c>
      <c r="AT2838" s="372">
        <f>$AH2698*'Assumptions (T&amp;D)'!O$24</f>
        <v>0.1573592911</v>
      </c>
      <c r="AU2838" s="372">
        <f>$AH2698*'Assumptions (T&amp;D)'!P$24</f>
        <v>0.1573592911</v>
      </c>
      <c r="AV2838" s="372">
        <f>$AH2698*'Assumptions (T&amp;D)'!Q$24</f>
        <v>0.1573592911</v>
      </c>
      <c r="AW2838" s="372">
        <f>$AH2698*'Assumptions (T&amp;D)'!R$24</f>
        <v>0.1573592911</v>
      </c>
      <c r="AX2838" s="372">
        <f>$AH2698*'Assumptions (T&amp;D)'!S$24</f>
        <v>0.1573592911</v>
      </c>
      <c r="AY2838" s="372">
        <f>$AH2698*'Assumptions (T&amp;D)'!T$24</f>
        <v>0.1573592911</v>
      </c>
      <c r="AZ2838" s="372">
        <f>$AH2698*'Assumptions (T&amp;D)'!U$24</f>
        <v>0.1573592911</v>
      </c>
      <c r="BA2838" s="372">
        <f>$AH2698*'Assumptions (T&amp;D)'!V$24</f>
        <v>0.1573592911</v>
      </c>
      <c r="BB2838" s="372">
        <f>$AH2698*'Assumptions (T&amp;D)'!W$24</f>
        <v>0.07867964553</v>
      </c>
      <c r="BC2838" s="32"/>
      <c r="BD2838" s="32"/>
      <c r="BE2838" s="32"/>
      <c r="BF2838" s="32"/>
      <c r="BG2838" s="32"/>
      <c r="BH2838" s="32"/>
      <c r="BI2838" s="32"/>
      <c r="BJ2838" s="32"/>
      <c r="BK2838" s="32"/>
      <c r="BL2838" s="32"/>
      <c r="BM2838" s="32"/>
      <c r="BN2838" s="32"/>
      <c r="BO2838" s="32"/>
      <c r="BP2838" s="32"/>
      <c r="BQ2838" s="32"/>
      <c r="BR2838" s="32"/>
      <c r="BS2838" s="32"/>
      <c r="BT2838" s="32"/>
      <c r="BU2838" s="32"/>
      <c r="BV2838" s="32"/>
      <c r="BW2838" s="32"/>
      <c r="BX2838" s="32"/>
      <c r="BY2838" s="32"/>
      <c r="BZ2838" s="32"/>
      <c r="CA2838" s="32"/>
      <c r="CB2838" s="32"/>
      <c r="CC2838" s="32"/>
      <c r="CD2838" s="32"/>
    </row>
    <row r="2839" ht="15.75" hidden="1" customHeight="1" outlineLevel="1">
      <c r="A2839" s="365"/>
      <c r="B2839" s="38"/>
      <c r="C2839" s="38"/>
      <c r="D2839" s="38"/>
      <c r="E2839" s="38"/>
      <c r="F2839" s="38"/>
      <c r="G2839" s="38"/>
      <c r="H2839" s="38"/>
      <c r="I2839" s="38"/>
      <c r="J2839" s="38"/>
      <c r="K2839" s="38"/>
      <c r="L2839" s="38"/>
      <c r="M2839" s="38"/>
      <c r="N2839" s="38"/>
      <c r="O2839" s="38"/>
      <c r="P2839" s="38"/>
      <c r="Q2839" s="38"/>
      <c r="R2839" s="38"/>
      <c r="S2839" s="38"/>
      <c r="T2839" s="38"/>
      <c r="U2839" s="38"/>
      <c r="V2839" s="38"/>
      <c r="W2839" s="38"/>
      <c r="X2839" s="32"/>
      <c r="Y2839" s="32"/>
      <c r="Z2839" s="32"/>
      <c r="AA2839" s="32"/>
      <c r="AB2839" s="32"/>
      <c r="AC2839" s="32"/>
      <c r="AD2839" s="32"/>
      <c r="AE2839" s="32"/>
      <c r="AF2839" s="32"/>
      <c r="AG2839" s="32"/>
      <c r="AH2839" s="32"/>
      <c r="AI2839" s="372">
        <f>$AI2698*'Assumptions (T&amp;D)'!C$24</f>
        <v>0.1366606576</v>
      </c>
      <c r="AJ2839" s="372">
        <f>$AI2698*'Assumptions (T&amp;D)'!D$24</f>
        <v>0.2631173193</v>
      </c>
      <c r="AK2839" s="372">
        <f>$AI2698*'Assumptions (T&amp;D)'!E$24</f>
        <v>0.2434381847</v>
      </c>
      <c r="AL2839" s="372">
        <f>$AI2698*'Assumptions (T&amp;D)'!F$24</f>
        <v>0.2252167636</v>
      </c>
      <c r="AM2839" s="372">
        <f>$AI2698*'Assumptions (T&amp;D)'!G$24</f>
        <v>0.2080886279</v>
      </c>
      <c r="AN2839" s="372">
        <f>$AI2698*'Assumptions (T&amp;D)'!H$24</f>
        <v>0.1927826343</v>
      </c>
      <c r="AO2839" s="372">
        <f>$AI2698*'Assumptions (T&amp;D)'!I$24</f>
        <v>0.1782054975</v>
      </c>
      <c r="AP2839" s="372">
        <f>$AI2698*'Assumptions (T&amp;D)'!J$24</f>
        <v>0.1647216459</v>
      </c>
      <c r="AQ2839" s="372">
        <f>$AI2698*'Assumptions (T&amp;D)'!K$24</f>
        <v>0.1625350754</v>
      </c>
      <c r="AR2839" s="372">
        <f>$AI2698*'Assumptions (T&amp;D)'!L$24</f>
        <v>0.1625350754</v>
      </c>
      <c r="AS2839" s="372">
        <f>$AI2698*'Assumptions (T&amp;D)'!M$24</f>
        <v>0.1625350754</v>
      </c>
      <c r="AT2839" s="372">
        <f>$AI2698*'Assumptions (T&amp;D)'!N$24</f>
        <v>0.1625350754</v>
      </c>
      <c r="AU2839" s="372">
        <f>$AI2698*'Assumptions (T&amp;D)'!O$24</f>
        <v>0.1625350754</v>
      </c>
      <c r="AV2839" s="372">
        <f>$AI2698*'Assumptions (T&amp;D)'!P$24</f>
        <v>0.1625350754</v>
      </c>
      <c r="AW2839" s="372">
        <f>$AI2698*'Assumptions (T&amp;D)'!Q$24</f>
        <v>0.1625350754</v>
      </c>
      <c r="AX2839" s="372">
        <f>$AI2698*'Assumptions (T&amp;D)'!R$24</f>
        <v>0.1625350754</v>
      </c>
      <c r="AY2839" s="372">
        <f>$AI2698*'Assumptions (T&amp;D)'!S$24</f>
        <v>0.1625350754</v>
      </c>
      <c r="AZ2839" s="372">
        <f>$AI2698*'Assumptions (T&amp;D)'!T$24</f>
        <v>0.1625350754</v>
      </c>
      <c r="BA2839" s="372">
        <f>$AI2698*'Assumptions (T&amp;D)'!U$24</f>
        <v>0.1625350754</v>
      </c>
      <c r="BB2839" s="372">
        <f>$AI2698*'Assumptions (T&amp;D)'!V$24</f>
        <v>0.1625350754</v>
      </c>
      <c r="BC2839" s="372">
        <f>$AI2698*'Assumptions (T&amp;D)'!W$24</f>
        <v>0.08126753769</v>
      </c>
      <c r="BD2839" s="32"/>
      <c r="BE2839" s="32"/>
      <c r="BF2839" s="32"/>
      <c r="BG2839" s="32"/>
      <c r="BH2839" s="32"/>
      <c r="BI2839" s="32"/>
      <c r="BJ2839" s="32"/>
      <c r="BK2839" s="32"/>
      <c r="BL2839" s="32"/>
      <c r="BM2839" s="32"/>
      <c r="BN2839" s="32"/>
      <c r="BO2839" s="32"/>
      <c r="BP2839" s="32"/>
      <c r="BQ2839" s="32"/>
      <c r="BR2839" s="32"/>
      <c r="BS2839" s="32"/>
      <c r="BT2839" s="32"/>
      <c r="BU2839" s="32"/>
      <c r="BV2839" s="32"/>
      <c r="BW2839" s="32"/>
      <c r="BX2839" s="32"/>
      <c r="BY2839" s="32"/>
      <c r="BZ2839" s="32"/>
      <c r="CA2839" s="32"/>
      <c r="CB2839" s="32"/>
      <c r="CC2839" s="32"/>
      <c r="CD2839" s="32"/>
    </row>
    <row r="2840" ht="15.75" hidden="1" customHeight="1" outlineLevel="1">
      <c r="A2840" s="365"/>
      <c r="B2840" s="38"/>
      <c r="C2840" s="38"/>
      <c r="D2840" s="38"/>
      <c r="E2840" s="38"/>
      <c r="F2840" s="38"/>
      <c r="G2840" s="38"/>
      <c r="H2840" s="38"/>
      <c r="I2840" s="38"/>
      <c r="J2840" s="38"/>
      <c r="K2840" s="38"/>
      <c r="L2840" s="38"/>
      <c r="M2840" s="38"/>
      <c r="N2840" s="38"/>
      <c r="O2840" s="38"/>
      <c r="P2840" s="38"/>
      <c r="Q2840" s="38"/>
      <c r="R2840" s="38"/>
      <c r="S2840" s="38"/>
      <c r="T2840" s="38"/>
      <c r="U2840" s="38"/>
      <c r="V2840" s="38"/>
      <c r="W2840" s="38"/>
      <c r="X2840" s="32"/>
      <c r="Y2840" s="32"/>
      <c r="Z2840" s="32"/>
      <c r="AA2840" s="32"/>
      <c r="AB2840" s="32"/>
      <c r="AC2840" s="32"/>
      <c r="AD2840" s="32"/>
      <c r="AE2840" s="32"/>
      <c r="AF2840" s="32"/>
      <c r="AG2840" s="32"/>
      <c r="AH2840" s="32"/>
      <c r="AI2840" s="32"/>
      <c r="AJ2840" s="372">
        <f>$AJ2698*'Assumptions (T&amp;D)'!C$24</f>
        <v>0.1395915803</v>
      </c>
      <c r="AK2840" s="372">
        <f>$AJ2698*'Assumptions (T&amp;D)'!D$24</f>
        <v>0.2687603227</v>
      </c>
      <c r="AL2840" s="372">
        <f>$AJ2698*'Assumptions (T&amp;D)'!E$24</f>
        <v>0.2486591351</v>
      </c>
      <c r="AM2840" s="372">
        <f>$AJ2698*'Assumptions (T&amp;D)'!F$24</f>
        <v>0.2300469244</v>
      </c>
      <c r="AN2840" s="372">
        <f>$AJ2698*'Assumptions (T&amp;D)'!G$24</f>
        <v>0.2125514463</v>
      </c>
      <c r="AO2840" s="372">
        <f>$AJ2698*'Assumptions (T&amp;D)'!H$24</f>
        <v>0.1969171893</v>
      </c>
      <c r="AP2840" s="372">
        <f>$AJ2698*'Assumptions (T&amp;D)'!I$24</f>
        <v>0.1820274208</v>
      </c>
      <c r="AQ2840" s="372">
        <f>$AJ2698*'Assumptions (T&amp;D)'!J$24</f>
        <v>0.1682543848</v>
      </c>
      <c r="AR2840" s="372">
        <f>$AJ2698*'Assumptions (T&amp;D)'!K$24</f>
        <v>0.1660209196</v>
      </c>
      <c r="AS2840" s="372">
        <f>$AJ2698*'Assumptions (T&amp;D)'!L$24</f>
        <v>0.1660209196</v>
      </c>
      <c r="AT2840" s="372">
        <f>$AJ2698*'Assumptions (T&amp;D)'!M$24</f>
        <v>0.1660209196</v>
      </c>
      <c r="AU2840" s="372">
        <f>$AJ2698*'Assumptions (T&amp;D)'!N$24</f>
        <v>0.1660209196</v>
      </c>
      <c r="AV2840" s="372">
        <f>$AJ2698*'Assumptions (T&amp;D)'!O$24</f>
        <v>0.1660209196</v>
      </c>
      <c r="AW2840" s="372">
        <f>$AJ2698*'Assumptions (T&amp;D)'!P$24</f>
        <v>0.1660209196</v>
      </c>
      <c r="AX2840" s="372">
        <f>$AJ2698*'Assumptions (T&amp;D)'!Q$24</f>
        <v>0.1660209196</v>
      </c>
      <c r="AY2840" s="372">
        <f>$AJ2698*'Assumptions (T&amp;D)'!R$24</f>
        <v>0.1660209196</v>
      </c>
      <c r="AZ2840" s="372">
        <f>$AJ2698*'Assumptions (T&amp;D)'!S$24</f>
        <v>0.1660209196</v>
      </c>
      <c r="BA2840" s="372">
        <f>$AJ2698*'Assumptions (T&amp;D)'!T$24</f>
        <v>0.1660209196</v>
      </c>
      <c r="BB2840" s="372">
        <f>$AJ2698*'Assumptions (T&amp;D)'!U$24</f>
        <v>0.1660209196</v>
      </c>
      <c r="BC2840" s="372">
        <f>$AJ2698*'Assumptions (T&amp;D)'!V$24</f>
        <v>0.1660209196</v>
      </c>
      <c r="BD2840" s="372">
        <f>$AJ2698*'Assumptions (T&amp;D)'!W$24</f>
        <v>0.08301045978</v>
      </c>
      <c r="BE2840" s="32"/>
      <c r="BF2840" s="32"/>
      <c r="BG2840" s="32"/>
      <c r="BH2840" s="32"/>
      <c r="BI2840" s="32"/>
      <c r="BJ2840" s="32"/>
      <c r="BK2840" s="32"/>
      <c r="BL2840" s="32"/>
      <c r="BM2840" s="32"/>
      <c r="BN2840" s="32"/>
      <c r="BO2840" s="32"/>
      <c r="BP2840" s="32"/>
      <c r="BQ2840" s="32"/>
      <c r="BR2840" s="32"/>
      <c r="BS2840" s="32"/>
      <c r="BT2840" s="32"/>
      <c r="BU2840" s="32"/>
      <c r="BV2840" s="32"/>
      <c r="BW2840" s="32"/>
      <c r="BX2840" s="32"/>
      <c r="BY2840" s="32"/>
      <c r="BZ2840" s="32"/>
      <c r="CA2840" s="32"/>
      <c r="CB2840" s="32"/>
      <c r="CC2840" s="32"/>
      <c r="CD2840" s="32"/>
    </row>
    <row r="2841" ht="15.75" hidden="1" customHeight="1" outlineLevel="1">
      <c r="A2841" s="365"/>
      <c r="B2841" s="38"/>
      <c r="C2841" s="38"/>
      <c r="D2841" s="38"/>
      <c r="E2841" s="38"/>
      <c r="F2841" s="38"/>
      <c r="G2841" s="38"/>
      <c r="H2841" s="38"/>
      <c r="I2841" s="38"/>
      <c r="J2841" s="38"/>
      <c r="K2841" s="38"/>
      <c r="L2841" s="38"/>
      <c r="M2841" s="38"/>
      <c r="N2841" s="38"/>
      <c r="O2841" s="38"/>
      <c r="P2841" s="38"/>
      <c r="Q2841" s="38"/>
      <c r="R2841" s="38"/>
      <c r="S2841" s="38"/>
      <c r="T2841" s="38"/>
      <c r="U2841" s="38"/>
      <c r="V2841" s="38"/>
      <c r="W2841" s="38"/>
      <c r="X2841" s="32"/>
      <c r="Y2841" s="32"/>
      <c r="Z2841" s="32"/>
      <c r="AA2841" s="32"/>
      <c r="AB2841" s="32"/>
      <c r="AC2841" s="32"/>
      <c r="AD2841" s="32"/>
      <c r="AE2841" s="32"/>
      <c r="AF2841" s="32"/>
      <c r="AG2841" s="32"/>
      <c r="AH2841" s="32"/>
      <c r="AI2841" s="32"/>
      <c r="AJ2841" s="32"/>
      <c r="AK2841" s="372">
        <f>$AK2698*'Assumptions (T&amp;D)'!C$24</f>
        <v>0.143370783</v>
      </c>
      <c r="AL2841" s="372">
        <f>$AK2698*'Assumptions (T&amp;D)'!D$24</f>
        <v>0.2760365475</v>
      </c>
      <c r="AM2841" s="372">
        <f>$AK2698*'Assumptions (T&amp;D)'!E$24</f>
        <v>0.2553911547</v>
      </c>
      <c r="AN2841" s="372">
        <f>$AK2698*'Assumptions (T&amp;D)'!F$24</f>
        <v>0.2362750503</v>
      </c>
      <c r="AO2841" s="372">
        <f>$AK2698*'Assumptions (T&amp;D)'!G$24</f>
        <v>0.2183059122</v>
      </c>
      <c r="AP2841" s="372">
        <f>$AK2698*'Assumptions (T&amp;D)'!H$24</f>
        <v>0.2022483845</v>
      </c>
      <c r="AQ2841" s="372">
        <f>$AK2698*'Assumptions (T&amp;D)'!I$24</f>
        <v>0.186955501</v>
      </c>
      <c r="AR2841" s="372">
        <f>$AK2698*'Assumptions (T&amp;D)'!J$24</f>
        <v>0.1728095837</v>
      </c>
      <c r="AS2841" s="372">
        <f>$AK2698*'Assumptions (T&amp;D)'!K$24</f>
        <v>0.1705156512</v>
      </c>
      <c r="AT2841" s="372">
        <f>$AK2698*'Assumptions (T&amp;D)'!L$24</f>
        <v>0.1705156512</v>
      </c>
      <c r="AU2841" s="372">
        <f>$AK2698*'Assumptions (T&amp;D)'!M$24</f>
        <v>0.1705156512</v>
      </c>
      <c r="AV2841" s="372">
        <f>$AK2698*'Assumptions (T&amp;D)'!N$24</f>
        <v>0.1705156512</v>
      </c>
      <c r="AW2841" s="372">
        <f>$AK2698*'Assumptions (T&amp;D)'!O$24</f>
        <v>0.1705156512</v>
      </c>
      <c r="AX2841" s="372">
        <f>$AK2698*'Assumptions (T&amp;D)'!P$24</f>
        <v>0.1705156512</v>
      </c>
      <c r="AY2841" s="372">
        <f>$AK2698*'Assumptions (T&amp;D)'!Q$24</f>
        <v>0.1705156512</v>
      </c>
      <c r="AZ2841" s="372">
        <f>$AK2698*'Assumptions (T&amp;D)'!R$24</f>
        <v>0.1705156512</v>
      </c>
      <c r="BA2841" s="372">
        <f>$AK2698*'Assumptions (T&amp;D)'!S$24</f>
        <v>0.1705156512</v>
      </c>
      <c r="BB2841" s="372">
        <f>$AK2698*'Assumptions (T&amp;D)'!T$24</f>
        <v>0.1705156512</v>
      </c>
      <c r="BC2841" s="372">
        <f>$AK2698*'Assumptions (T&amp;D)'!U$24</f>
        <v>0.1705156512</v>
      </c>
      <c r="BD2841" s="372">
        <f>$AK2698*'Assumptions (T&amp;D)'!V$24</f>
        <v>0.1705156512</v>
      </c>
      <c r="BE2841" s="372">
        <f>$AK2698*'Assumptions (T&amp;D)'!W$24</f>
        <v>0.08525782561</v>
      </c>
      <c r="BF2841" s="32"/>
      <c r="BG2841" s="32"/>
      <c r="BH2841" s="32"/>
      <c r="BI2841" s="32"/>
      <c r="BJ2841" s="32"/>
      <c r="BK2841" s="32"/>
      <c r="BL2841" s="32"/>
      <c r="BM2841" s="32"/>
      <c r="BN2841" s="32"/>
      <c r="BO2841" s="32"/>
      <c r="BP2841" s="32"/>
      <c r="BQ2841" s="32"/>
      <c r="BR2841" s="32"/>
      <c r="BS2841" s="32"/>
      <c r="BT2841" s="32"/>
      <c r="BU2841" s="32"/>
      <c r="BV2841" s="32"/>
      <c r="BW2841" s="32"/>
      <c r="BX2841" s="32"/>
      <c r="BY2841" s="32"/>
      <c r="BZ2841" s="32"/>
      <c r="CA2841" s="32"/>
      <c r="CB2841" s="32"/>
      <c r="CC2841" s="32"/>
      <c r="CD2841" s="32"/>
    </row>
    <row r="2842" ht="15.75" hidden="1" customHeight="1" outlineLevel="1">
      <c r="A2842" s="365"/>
      <c r="B2842" s="38"/>
      <c r="C2842" s="38"/>
      <c r="D2842" s="38"/>
      <c r="E2842" s="38"/>
      <c r="F2842" s="38"/>
      <c r="G2842" s="38"/>
      <c r="H2842" s="38"/>
      <c r="I2842" s="38"/>
      <c r="J2842" s="38"/>
      <c r="K2842" s="38"/>
      <c r="L2842" s="38"/>
      <c r="M2842" s="38"/>
      <c r="N2842" s="38"/>
      <c r="O2842" s="38"/>
      <c r="P2842" s="38"/>
      <c r="Q2842" s="38"/>
      <c r="R2842" s="38"/>
      <c r="S2842" s="38"/>
      <c r="T2842" s="38"/>
      <c r="U2842" s="38"/>
      <c r="V2842" s="38"/>
      <c r="W2842" s="38"/>
      <c r="X2842" s="32"/>
      <c r="Y2842" s="32"/>
      <c r="Z2842" s="32"/>
      <c r="AA2842" s="32"/>
      <c r="AB2842" s="32"/>
      <c r="AC2842" s="32"/>
      <c r="AD2842" s="32"/>
      <c r="AE2842" s="32"/>
      <c r="AF2842" s="32"/>
      <c r="AG2842" s="32"/>
      <c r="AH2842" s="32"/>
      <c r="AI2842" s="32"/>
      <c r="AJ2842" s="32"/>
      <c r="AK2842" s="32"/>
      <c r="AL2842" s="372">
        <f>$AL2698*'Assumptions (T&amp;D)'!C$24</f>
        <v>0.1472448105</v>
      </c>
      <c r="AM2842" s="372">
        <f>$AL2698*'Assumptions (T&amp;D)'!D$24</f>
        <v>0.2834953419</v>
      </c>
      <c r="AN2842" s="372">
        <f>$AL2698*'Assumptions (T&amp;D)'!E$24</f>
        <v>0.2622920892</v>
      </c>
      <c r="AO2842" s="372">
        <f>$AL2698*'Assumptions (T&amp;D)'!F$24</f>
        <v>0.2426594477</v>
      </c>
      <c r="AP2842" s="372">
        <f>$AL2698*'Assumptions (T&amp;D)'!G$24</f>
        <v>0.2242047648</v>
      </c>
      <c r="AQ2842" s="372">
        <f>$AL2698*'Assumptions (T&amp;D)'!H$24</f>
        <v>0.207713346</v>
      </c>
      <c r="AR2842" s="372">
        <f>$AL2698*'Assumptions (T&amp;D)'!I$24</f>
        <v>0.1920072329</v>
      </c>
      <c r="AS2842" s="372">
        <f>$AL2698*'Assumptions (T&amp;D)'!J$24</f>
        <v>0.1774790783</v>
      </c>
      <c r="AT2842" s="372">
        <f>$AL2698*'Assumptions (T&amp;D)'!K$24</f>
        <v>0.1751231613</v>
      </c>
      <c r="AU2842" s="372">
        <f>$AL2698*'Assumptions (T&amp;D)'!L$24</f>
        <v>0.1751231613</v>
      </c>
      <c r="AV2842" s="372">
        <f>$AL2698*'Assumptions (T&amp;D)'!M$24</f>
        <v>0.1751231613</v>
      </c>
      <c r="AW2842" s="372">
        <f>$AL2698*'Assumptions (T&amp;D)'!N$24</f>
        <v>0.1751231613</v>
      </c>
      <c r="AX2842" s="372">
        <f>$AL2698*'Assumptions (T&amp;D)'!O$24</f>
        <v>0.1751231613</v>
      </c>
      <c r="AY2842" s="372">
        <f>$AL2698*'Assumptions (T&amp;D)'!P$24</f>
        <v>0.1751231613</v>
      </c>
      <c r="AZ2842" s="372">
        <f>$AL2698*'Assumptions (T&amp;D)'!Q$24</f>
        <v>0.1751231613</v>
      </c>
      <c r="BA2842" s="372">
        <f>$AL2698*'Assumptions (T&amp;D)'!R$24</f>
        <v>0.1751231613</v>
      </c>
      <c r="BB2842" s="372">
        <f>$AL2698*'Assumptions (T&amp;D)'!S$24</f>
        <v>0.1751231613</v>
      </c>
      <c r="BC2842" s="372">
        <f>$AL2698*'Assumptions (T&amp;D)'!T$24</f>
        <v>0.1751231613</v>
      </c>
      <c r="BD2842" s="372">
        <f>$AL2698*'Assumptions (T&amp;D)'!U$24</f>
        <v>0.1751231613</v>
      </c>
      <c r="BE2842" s="372">
        <f>$AL2698*'Assumptions (T&amp;D)'!V$24</f>
        <v>0.1751231613</v>
      </c>
      <c r="BF2842" s="372">
        <f>$AL2698*'Assumptions (T&amp;D)'!W$24</f>
        <v>0.08756158066</v>
      </c>
      <c r="BG2842" s="32"/>
      <c r="BH2842" s="32"/>
      <c r="BI2842" s="32"/>
      <c r="BJ2842" s="32"/>
      <c r="BK2842" s="32"/>
      <c r="BL2842" s="32"/>
      <c r="BM2842" s="32"/>
      <c r="BN2842" s="32"/>
      <c r="BO2842" s="32"/>
      <c r="BP2842" s="32"/>
      <c r="BQ2842" s="32"/>
      <c r="BR2842" s="32"/>
      <c r="BS2842" s="32"/>
      <c r="BT2842" s="32"/>
      <c r="BU2842" s="32"/>
      <c r="BV2842" s="32"/>
      <c r="BW2842" s="32"/>
      <c r="BX2842" s="32"/>
      <c r="BY2842" s="32"/>
      <c r="BZ2842" s="32"/>
      <c r="CA2842" s="32"/>
      <c r="CB2842" s="32"/>
      <c r="CC2842" s="32"/>
      <c r="CD2842" s="32"/>
    </row>
    <row r="2843" ht="15.75" hidden="1" customHeight="1" outlineLevel="1">
      <c r="A2843" s="365"/>
      <c r="B2843" s="38"/>
      <c r="C2843" s="38"/>
      <c r="D2843" s="38"/>
      <c r="E2843" s="38"/>
      <c r="F2843" s="38"/>
      <c r="G2843" s="38"/>
      <c r="H2843" s="38"/>
      <c r="I2843" s="38"/>
      <c r="J2843" s="38"/>
      <c r="K2843" s="38"/>
      <c r="L2843" s="38"/>
      <c r="M2843" s="38"/>
      <c r="N2843" s="38"/>
      <c r="O2843" s="38"/>
      <c r="P2843" s="38"/>
      <c r="Q2843" s="38"/>
      <c r="R2843" s="38"/>
      <c r="S2843" s="38"/>
      <c r="T2843" s="38"/>
      <c r="U2843" s="38"/>
      <c r="V2843" s="38"/>
      <c r="W2843" s="38"/>
      <c r="X2843" s="32"/>
      <c r="Y2843" s="32"/>
      <c r="Z2843" s="32"/>
      <c r="AA2843" s="32"/>
      <c r="AB2843" s="32"/>
      <c r="AC2843" s="32"/>
      <c r="AD2843" s="32"/>
      <c r="AE2843" s="32"/>
      <c r="AF2843" s="32"/>
      <c r="AG2843" s="32"/>
      <c r="AH2843" s="32"/>
      <c r="AI2843" s="32"/>
      <c r="AJ2843" s="32"/>
      <c r="AK2843" s="32"/>
      <c r="AL2843" s="32"/>
      <c r="AM2843" s="372">
        <f>$AM2698*'Assumptions (T&amp;D)'!C$24</f>
        <v>0.1512159344</v>
      </c>
      <c r="AN2843" s="372">
        <f>$AM2698*'Assumptions (T&amp;D)'!D$24</f>
        <v>0.291141079</v>
      </c>
      <c r="AO2843" s="372">
        <f>$AM2698*'Assumptions (T&amp;D)'!E$24</f>
        <v>0.2693659844</v>
      </c>
      <c r="AP2843" s="372">
        <f>$AM2698*'Assumptions (T&amp;D)'!F$24</f>
        <v>0.2492038598</v>
      </c>
      <c r="AQ2843" s="372">
        <f>$AM2698*'Assumptions (T&amp;D)'!G$24</f>
        <v>0.2302514627</v>
      </c>
      <c r="AR2843" s="372">
        <f>$AM2698*'Assumptions (T&amp;D)'!H$24</f>
        <v>0.2133152781</v>
      </c>
      <c r="AS2843" s="372">
        <f>$AM2698*'Assumptions (T&amp;D)'!I$24</f>
        <v>0.1971855784</v>
      </c>
      <c r="AT2843" s="372">
        <f>$AM2698*'Assumptions (T&amp;D)'!J$24</f>
        <v>0.1822656062</v>
      </c>
      <c r="AU2843" s="372">
        <f>$AM2698*'Assumptions (T&amp;D)'!K$24</f>
        <v>0.1798461513</v>
      </c>
      <c r="AV2843" s="372">
        <f>$AM2698*'Assumptions (T&amp;D)'!L$24</f>
        <v>0.1798461513</v>
      </c>
      <c r="AW2843" s="372">
        <f>$AM2698*'Assumptions (T&amp;D)'!M$24</f>
        <v>0.1798461513</v>
      </c>
      <c r="AX2843" s="372">
        <f>$AM2698*'Assumptions (T&amp;D)'!N$24</f>
        <v>0.1798461513</v>
      </c>
      <c r="AY2843" s="372">
        <f>$AM2698*'Assumptions (T&amp;D)'!O$24</f>
        <v>0.1798461513</v>
      </c>
      <c r="AZ2843" s="372">
        <f>$AM2698*'Assumptions (T&amp;D)'!P$24</f>
        <v>0.1798461513</v>
      </c>
      <c r="BA2843" s="372">
        <f>$AM2698*'Assumptions (T&amp;D)'!Q$24</f>
        <v>0.1798461513</v>
      </c>
      <c r="BB2843" s="372">
        <f>$AM2698*'Assumptions (T&amp;D)'!R$24</f>
        <v>0.1798461513</v>
      </c>
      <c r="BC2843" s="372">
        <f>$AM2698*'Assumptions (T&amp;D)'!S$24</f>
        <v>0.1798461513</v>
      </c>
      <c r="BD2843" s="372">
        <f>$AM2698*'Assumptions (T&amp;D)'!T$24</f>
        <v>0.1798461513</v>
      </c>
      <c r="BE2843" s="372">
        <f>$AM2698*'Assumptions (T&amp;D)'!U$24</f>
        <v>0.1798461513</v>
      </c>
      <c r="BF2843" s="372">
        <f>$AM2698*'Assumptions (T&amp;D)'!V$24</f>
        <v>0.1798461513</v>
      </c>
      <c r="BG2843" s="372">
        <f>$AM2698*'Assumptions (T&amp;D)'!W$24</f>
        <v>0.08992307564</v>
      </c>
      <c r="BH2843" s="32"/>
      <c r="BI2843" s="32"/>
      <c r="BJ2843" s="32"/>
      <c r="BK2843" s="32"/>
      <c r="BL2843" s="32"/>
      <c r="BM2843" s="32"/>
      <c r="BN2843" s="32"/>
      <c r="BO2843" s="32"/>
      <c r="BP2843" s="32"/>
      <c r="BQ2843" s="32"/>
      <c r="BR2843" s="32"/>
      <c r="BS2843" s="32"/>
      <c r="BT2843" s="32"/>
      <c r="BU2843" s="32"/>
      <c r="BV2843" s="32"/>
      <c r="BW2843" s="32"/>
      <c r="BX2843" s="32"/>
      <c r="BY2843" s="32"/>
      <c r="BZ2843" s="32"/>
      <c r="CA2843" s="32"/>
      <c r="CB2843" s="32"/>
      <c r="CC2843" s="32"/>
      <c r="CD2843" s="32"/>
    </row>
    <row r="2844" ht="15.75" hidden="1" customHeight="1" outlineLevel="1">
      <c r="A2844" s="365"/>
      <c r="B2844" s="38"/>
      <c r="C2844" s="38"/>
      <c r="D2844" s="38"/>
      <c r="E2844" s="38"/>
      <c r="F2844" s="38"/>
      <c r="G2844" s="38"/>
      <c r="H2844" s="38"/>
      <c r="I2844" s="38"/>
      <c r="J2844" s="38"/>
      <c r="K2844" s="38"/>
      <c r="L2844" s="38"/>
      <c r="M2844" s="38"/>
      <c r="N2844" s="38"/>
      <c r="O2844" s="38"/>
      <c r="P2844" s="38"/>
      <c r="Q2844" s="38"/>
      <c r="R2844" s="38"/>
      <c r="S2844" s="38"/>
      <c r="T2844" s="38"/>
      <c r="U2844" s="38"/>
      <c r="V2844" s="38"/>
      <c r="W2844" s="38"/>
      <c r="X2844" s="32"/>
      <c r="Y2844" s="32"/>
      <c r="Z2844" s="32"/>
      <c r="AA2844" s="32"/>
      <c r="AB2844" s="32"/>
      <c r="AC2844" s="32"/>
      <c r="AD2844" s="32"/>
      <c r="AE2844" s="32"/>
      <c r="AF2844" s="32"/>
      <c r="AG2844" s="32"/>
      <c r="AH2844" s="32"/>
      <c r="AI2844" s="32"/>
      <c r="AJ2844" s="32"/>
      <c r="AK2844" s="32"/>
      <c r="AL2844" s="32"/>
      <c r="AM2844" s="32"/>
      <c r="AN2844" s="372">
        <f>$AN2698*'Assumptions (T&amp;D)'!C$24</f>
        <v>0.1552864786</v>
      </c>
      <c r="AO2844" s="372">
        <f>$AN2698*'Assumptions (T&amp;D)'!D$24</f>
        <v>0.2989782335</v>
      </c>
      <c r="AP2844" s="372">
        <f>$AN2698*'Assumptions (T&amp;D)'!E$24</f>
        <v>0.2766169805</v>
      </c>
      <c r="AQ2844" s="372">
        <f>$AN2698*'Assumptions (T&amp;D)'!F$24</f>
        <v>0.2559121167</v>
      </c>
      <c r="AR2844" s="372">
        <f>$AN2698*'Assumptions (T&amp;D)'!G$24</f>
        <v>0.2364495447</v>
      </c>
      <c r="AS2844" s="372">
        <f>$AN2698*'Assumptions (T&amp;D)'!H$24</f>
        <v>0.2190574591</v>
      </c>
      <c r="AT2844" s="372">
        <f>$AN2698*'Assumptions (T&amp;D)'!I$24</f>
        <v>0.2024935681</v>
      </c>
      <c r="AU2844" s="372">
        <f>$AN2698*'Assumptions (T&amp;D)'!J$24</f>
        <v>0.1871719689</v>
      </c>
      <c r="AV2844" s="372">
        <f>$AN2698*'Assumptions (T&amp;D)'!K$24</f>
        <v>0.1846873852</v>
      </c>
      <c r="AW2844" s="372">
        <f>$AN2698*'Assumptions (T&amp;D)'!L$24</f>
        <v>0.1846873852</v>
      </c>
      <c r="AX2844" s="372">
        <f>$AN2698*'Assumptions (T&amp;D)'!M$24</f>
        <v>0.1846873852</v>
      </c>
      <c r="AY2844" s="372">
        <f>$AN2698*'Assumptions (T&amp;D)'!N$24</f>
        <v>0.1846873852</v>
      </c>
      <c r="AZ2844" s="372">
        <f>$AN2698*'Assumptions (T&amp;D)'!O$24</f>
        <v>0.1846873852</v>
      </c>
      <c r="BA2844" s="372">
        <f>$AN2698*'Assumptions (T&amp;D)'!P$24</f>
        <v>0.1846873852</v>
      </c>
      <c r="BB2844" s="372">
        <f>$AN2698*'Assumptions (T&amp;D)'!Q$24</f>
        <v>0.1846873852</v>
      </c>
      <c r="BC2844" s="372">
        <f>$AN2698*'Assumptions (T&amp;D)'!R$24</f>
        <v>0.1846873852</v>
      </c>
      <c r="BD2844" s="372">
        <f>$AN2698*'Assumptions (T&amp;D)'!S$24</f>
        <v>0.1846873852</v>
      </c>
      <c r="BE2844" s="372">
        <f>$AN2698*'Assumptions (T&amp;D)'!T$24</f>
        <v>0.1846873852</v>
      </c>
      <c r="BF2844" s="372">
        <f>$AN2698*'Assumptions (T&amp;D)'!U$24</f>
        <v>0.1846873852</v>
      </c>
      <c r="BG2844" s="372">
        <f>$AN2698*'Assumptions (T&amp;D)'!V$24</f>
        <v>0.1846873852</v>
      </c>
      <c r="BH2844" s="372">
        <f>$AN2698*'Assumptions (T&amp;D)'!W$24</f>
        <v>0.09234369261</v>
      </c>
      <c r="BI2844" s="32"/>
      <c r="BJ2844" s="32"/>
      <c r="BK2844" s="32"/>
      <c r="BL2844" s="32"/>
      <c r="BM2844" s="32"/>
      <c r="BN2844" s="32"/>
      <c r="BO2844" s="32"/>
      <c r="BP2844" s="32"/>
      <c r="BQ2844" s="32"/>
      <c r="BR2844" s="32"/>
      <c r="BS2844" s="32"/>
      <c r="BT2844" s="32"/>
      <c r="BU2844" s="32"/>
      <c r="BV2844" s="32"/>
      <c r="BW2844" s="32"/>
      <c r="BX2844" s="32"/>
      <c r="BY2844" s="32"/>
      <c r="BZ2844" s="32"/>
      <c r="CA2844" s="32"/>
      <c r="CB2844" s="32"/>
      <c r="CC2844" s="32"/>
      <c r="CD2844" s="32"/>
    </row>
    <row r="2845" ht="15.75" hidden="1" customHeight="1" outlineLevel="1">
      <c r="A2845" s="365"/>
      <c r="B2845" s="38"/>
      <c r="C2845" s="38"/>
      <c r="D2845" s="38"/>
      <c r="E2845" s="38"/>
      <c r="F2845" s="38"/>
      <c r="G2845" s="38"/>
      <c r="H2845" s="38"/>
      <c r="I2845" s="38"/>
      <c r="J2845" s="38"/>
      <c r="K2845" s="38"/>
      <c r="L2845" s="38"/>
      <c r="M2845" s="38"/>
      <c r="N2845" s="38"/>
      <c r="O2845" s="38"/>
      <c r="P2845" s="38"/>
      <c r="Q2845" s="38"/>
      <c r="R2845" s="38"/>
      <c r="S2845" s="38"/>
      <c r="T2845" s="38"/>
      <c r="U2845" s="38"/>
      <c r="V2845" s="38"/>
      <c r="W2845" s="38"/>
      <c r="X2845" s="32"/>
      <c r="Y2845" s="32"/>
      <c r="Z2845" s="32"/>
      <c r="AA2845" s="32"/>
      <c r="AB2845" s="32"/>
      <c r="AC2845" s="32"/>
      <c r="AD2845" s="32"/>
      <c r="AE2845" s="32"/>
      <c r="AF2845" s="32"/>
      <c r="AG2845" s="32"/>
      <c r="AH2845" s="32"/>
      <c r="AI2845" s="32"/>
      <c r="AJ2845" s="32"/>
      <c r="AK2845" s="32"/>
      <c r="AL2845" s="32"/>
      <c r="AM2845" s="32"/>
      <c r="AN2845" s="32"/>
      <c r="AO2845" s="372">
        <f>$AO2698*'Assumptions (T&amp;D)'!C$24</f>
        <v>0.1594588213</v>
      </c>
      <c r="AP2845" s="372">
        <f>$AO2698*'Assumptions (T&amp;D)'!D$24</f>
        <v>0.3070113839</v>
      </c>
      <c r="AQ2845" s="372">
        <f>$AO2698*'Assumptions (T&amp;D)'!E$24</f>
        <v>0.2840493136</v>
      </c>
      <c r="AR2845" s="372">
        <f>$AO2698*'Assumptions (T&amp;D)'!F$24</f>
        <v>0.2627881374</v>
      </c>
      <c r="AS2845" s="372">
        <f>$AO2698*'Assumptions (T&amp;D)'!G$24</f>
        <v>0.2428026318</v>
      </c>
      <c r="AT2845" s="372">
        <f>$AO2698*'Assumptions (T&amp;D)'!H$24</f>
        <v>0.2249432439</v>
      </c>
      <c r="AU2845" s="372">
        <f>$AO2698*'Assumptions (T&amp;D)'!I$24</f>
        <v>0.2079343029</v>
      </c>
      <c r="AV2845" s="372">
        <f>$AO2698*'Assumptions (T&amp;D)'!J$24</f>
        <v>0.1922010326</v>
      </c>
      <c r="AW2845" s="372">
        <f>$AO2698*'Assumptions (T&amp;D)'!K$24</f>
        <v>0.1896496914</v>
      </c>
      <c r="AX2845" s="372">
        <f>$AO2698*'Assumptions (T&amp;D)'!L$24</f>
        <v>0.1896496914</v>
      </c>
      <c r="AY2845" s="372">
        <f>$AO2698*'Assumptions (T&amp;D)'!M$24</f>
        <v>0.1896496914</v>
      </c>
      <c r="AZ2845" s="372">
        <f>$AO2698*'Assumptions (T&amp;D)'!N$24</f>
        <v>0.1896496914</v>
      </c>
      <c r="BA2845" s="372">
        <f>$AO2698*'Assumptions (T&amp;D)'!O$24</f>
        <v>0.1896496914</v>
      </c>
      <c r="BB2845" s="372">
        <f>$AO2698*'Assumptions (T&amp;D)'!P$24</f>
        <v>0.1896496914</v>
      </c>
      <c r="BC2845" s="372">
        <f>$AO2698*'Assumptions (T&amp;D)'!Q$24</f>
        <v>0.1896496914</v>
      </c>
      <c r="BD2845" s="372">
        <f>$AO2698*'Assumptions (T&amp;D)'!R$24</f>
        <v>0.1896496914</v>
      </c>
      <c r="BE2845" s="372">
        <f>$AO2698*'Assumptions (T&amp;D)'!S$24</f>
        <v>0.1896496914</v>
      </c>
      <c r="BF2845" s="372">
        <f>$AO2698*'Assumptions (T&amp;D)'!T$24</f>
        <v>0.1896496914</v>
      </c>
      <c r="BG2845" s="372">
        <f>$AO2698*'Assumptions (T&amp;D)'!U$24</f>
        <v>0.1896496914</v>
      </c>
      <c r="BH2845" s="372">
        <f>$AO2698*'Assumptions (T&amp;D)'!V$24</f>
        <v>0.1896496914</v>
      </c>
      <c r="BI2845" s="372">
        <f>$AO2698*'Assumptions (T&amp;D)'!W$24</f>
        <v>0.09482484571</v>
      </c>
      <c r="BJ2845" s="32"/>
      <c r="BK2845" s="32"/>
      <c r="BL2845" s="32"/>
      <c r="BM2845" s="32"/>
      <c r="BN2845" s="32"/>
      <c r="BO2845" s="32"/>
      <c r="BP2845" s="32"/>
      <c r="BQ2845" s="32"/>
      <c r="BR2845" s="32"/>
      <c r="BS2845" s="32"/>
      <c r="BT2845" s="32"/>
      <c r="BU2845" s="32"/>
      <c r="BV2845" s="32"/>
      <c r="BW2845" s="32"/>
      <c r="BX2845" s="32"/>
      <c r="BY2845" s="32"/>
      <c r="BZ2845" s="32"/>
      <c r="CA2845" s="32"/>
      <c r="CB2845" s="32"/>
      <c r="CC2845" s="32"/>
      <c r="CD2845" s="32"/>
    </row>
    <row r="2846" ht="15.75" hidden="1" customHeight="1" outlineLevel="1">
      <c r="A2846" s="365"/>
      <c r="B2846" s="38"/>
      <c r="C2846" s="38"/>
      <c r="D2846" s="38"/>
      <c r="E2846" s="38"/>
      <c r="F2846" s="38"/>
      <c r="G2846" s="38"/>
      <c r="H2846" s="38"/>
      <c r="I2846" s="38"/>
      <c r="J2846" s="38"/>
      <c r="K2846" s="38"/>
      <c r="L2846" s="38"/>
      <c r="M2846" s="38"/>
      <c r="N2846" s="38"/>
      <c r="O2846" s="38"/>
      <c r="P2846" s="38"/>
      <c r="Q2846" s="38"/>
      <c r="R2846" s="38"/>
      <c r="S2846" s="38"/>
      <c r="T2846" s="38"/>
      <c r="U2846" s="38"/>
      <c r="V2846" s="38"/>
      <c r="W2846" s="38"/>
      <c r="X2846" s="32"/>
      <c r="Y2846" s="32"/>
      <c r="Z2846" s="32"/>
      <c r="AA2846" s="32"/>
      <c r="AB2846" s="32"/>
      <c r="AC2846" s="32"/>
      <c r="AD2846" s="32"/>
      <c r="AE2846" s="32"/>
      <c r="AF2846" s="32"/>
      <c r="AG2846" s="32"/>
      <c r="AH2846" s="32"/>
      <c r="AI2846" s="32"/>
      <c r="AJ2846" s="32"/>
      <c r="AK2846" s="32"/>
      <c r="AL2846" s="32"/>
      <c r="AM2846" s="32"/>
      <c r="AN2846" s="32"/>
      <c r="AO2846" s="32"/>
      <c r="AP2846" s="372">
        <f>$AP2698*'Assumptions (T&amp;D)'!C$24</f>
        <v>0.1637353955</v>
      </c>
      <c r="AQ2846" s="372">
        <f>$AP2698*'Assumptions (T&amp;D)'!D$24</f>
        <v>0.3152452149</v>
      </c>
      <c r="AR2846" s="372">
        <f>$AP2698*'Assumptions (T&amp;D)'!E$24</f>
        <v>0.2916673179</v>
      </c>
      <c r="AS2846" s="372">
        <f>$AP2698*'Assumptions (T&amp;D)'!F$24</f>
        <v>0.2698359319</v>
      </c>
      <c r="AT2846" s="372">
        <f>$AP2698*'Assumptions (T&amp;D)'!G$24</f>
        <v>0.249314429</v>
      </c>
      <c r="AU2846" s="372">
        <f>$AP2698*'Assumptions (T&amp;D)'!H$24</f>
        <v>0.2309760647</v>
      </c>
      <c r="AV2846" s="372">
        <f>$AP2698*'Assumptions (T&amp;D)'!I$24</f>
        <v>0.2135109558</v>
      </c>
      <c r="AW2846" s="372">
        <f>$AP2698*'Assumptions (T&amp;D)'!J$24</f>
        <v>0.1973557301</v>
      </c>
      <c r="AX2846" s="372">
        <f>$AP2698*'Assumptions (T&amp;D)'!K$24</f>
        <v>0.1947359638</v>
      </c>
      <c r="AY2846" s="372">
        <f>$AP2698*'Assumptions (T&amp;D)'!L$24</f>
        <v>0.1947359638</v>
      </c>
      <c r="AZ2846" s="372">
        <f>$AP2698*'Assumptions (T&amp;D)'!M$24</f>
        <v>0.1947359638</v>
      </c>
      <c r="BA2846" s="372">
        <f>$AP2698*'Assumptions (T&amp;D)'!N$24</f>
        <v>0.1947359638</v>
      </c>
      <c r="BB2846" s="372">
        <f>$AP2698*'Assumptions (T&amp;D)'!O$24</f>
        <v>0.1947359638</v>
      </c>
      <c r="BC2846" s="372">
        <f>$AP2698*'Assumptions (T&amp;D)'!P$24</f>
        <v>0.1947359638</v>
      </c>
      <c r="BD2846" s="372">
        <f>$AP2698*'Assumptions (T&amp;D)'!Q$24</f>
        <v>0.1947359638</v>
      </c>
      <c r="BE2846" s="372">
        <f>$AP2698*'Assumptions (T&amp;D)'!R$24</f>
        <v>0.1947359638</v>
      </c>
      <c r="BF2846" s="372">
        <f>$AP2698*'Assumptions (T&amp;D)'!S$24</f>
        <v>0.1947359638</v>
      </c>
      <c r="BG2846" s="372">
        <f>$AP2698*'Assumptions (T&amp;D)'!T$24</f>
        <v>0.1947359638</v>
      </c>
      <c r="BH2846" s="372">
        <f>$AP2698*'Assumptions (T&amp;D)'!U$24</f>
        <v>0.1947359638</v>
      </c>
      <c r="BI2846" s="372">
        <f>$AP2698*'Assumptions (T&amp;D)'!V$24</f>
        <v>0.1947359638</v>
      </c>
      <c r="BJ2846" s="372">
        <f>$AP2698*'Assumptions (T&amp;D)'!W$24</f>
        <v>0.09736798189</v>
      </c>
      <c r="BK2846" s="32"/>
      <c r="BL2846" s="32"/>
      <c r="BM2846" s="32"/>
      <c r="BN2846" s="32"/>
      <c r="BO2846" s="32"/>
      <c r="BP2846" s="32"/>
      <c r="BQ2846" s="32"/>
      <c r="BR2846" s="32"/>
      <c r="BS2846" s="32"/>
      <c r="BT2846" s="32"/>
      <c r="BU2846" s="32"/>
      <c r="BV2846" s="32"/>
      <c r="BW2846" s="32"/>
      <c r="BX2846" s="32"/>
      <c r="BY2846" s="32"/>
      <c r="BZ2846" s="32"/>
      <c r="CA2846" s="32"/>
      <c r="CB2846" s="32"/>
      <c r="CC2846" s="32"/>
      <c r="CD2846" s="32"/>
    </row>
    <row r="2847" ht="15.75" hidden="1" customHeight="1" outlineLevel="1">
      <c r="A2847" s="365"/>
      <c r="B2847" s="38"/>
      <c r="C2847" s="38"/>
      <c r="D2847" s="38"/>
      <c r="E2847" s="38"/>
      <c r="F2847" s="38"/>
      <c r="G2847" s="38"/>
      <c r="H2847" s="38"/>
      <c r="I2847" s="38"/>
      <c r="J2847" s="38"/>
      <c r="K2847" s="38"/>
      <c r="L2847" s="38"/>
      <c r="M2847" s="38"/>
      <c r="N2847" s="38"/>
      <c r="O2847" s="38"/>
      <c r="P2847" s="38"/>
      <c r="Q2847" s="38"/>
      <c r="R2847" s="38"/>
      <c r="S2847" s="38"/>
      <c r="T2847" s="38"/>
      <c r="U2847" s="38"/>
      <c r="V2847" s="38"/>
      <c r="W2847" s="38"/>
      <c r="X2847" s="32"/>
      <c r="Y2847" s="32"/>
      <c r="Z2847" s="32"/>
      <c r="AA2847" s="32"/>
      <c r="AB2847" s="32"/>
      <c r="AC2847" s="32"/>
      <c r="AD2847" s="32"/>
      <c r="AE2847" s="32"/>
      <c r="AF2847" s="32"/>
      <c r="AG2847" s="32"/>
      <c r="AH2847" s="32"/>
      <c r="AI2847" s="32"/>
      <c r="AJ2847" s="32"/>
      <c r="AK2847" s="32"/>
      <c r="AL2847" s="32"/>
      <c r="AM2847" s="32"/>
      <c r="AN2847" s="32"/>
      <c r="AO2847" s="32"/>
      <c r="AP2847" s="32"/>
      <c r="AQ2847" s="372">
        <f>$AQ2698*'Assumptions (T&amp;D)'!C$24</f>
        <v>0.168118691</v>
      </c>
      <c r="AR2847" s="372">
        <f>$AQ2698*'Assumptions (T&amp;D)'!D$24</f>
        <v>0.3236845198</v>
      </c>
      <c r="AS2847" s="372">
        <f>$AQ2698*'Assumptions (T&amp;D)'!E$24</f>
        <v>0.2994754283</v>
      </c>
      <c r="AT2847" s="372">
        <f>$AQ2698*'Assumptions (T&amp;D)'!F$24</f>
        <v>0.2770596028</v>
      </c>
      <c r="AU2847" s="372">
        <f>$AQ2698*'Assumptions (T&amp;D)'!G$24</f>
        <v>0.2559887269</v>
      </c>
      <c r="AV2847" s="372">
        <f>$AQ2698*'Assumptions (T&amp;D)'!H$24</f>
        <v>0.2371594335</v>
      </c>
      <c r="AW2847" s="372">
        <f>$AQ2698*'Assumptions (T&amp;D)'!I$24</f>
        <v>0.2192267731</v>
      </c>
      <c r="AX2847" s="372">
        <f>$AQ2698*'Assumptions (T&amp;D)'!J$24</f>
        <v>0.2026390623</v>
      </c>
      <c r="AY2847" s="372">
        <f>$AQ2698*'Assumptions (T&amp;D)'!K$24</f>
        <v>0.1999491632</v>
      </c>
      <c r="AZ2847" s="372">
        <f>$AQ2698*'Assumptions (T&amp;D)'!L$24</f>
        <v>0.1999491632</v>
      </c>
      <c r="BA2847" s="372">
        <f>$AQ2698*'Assumptions (T&amp;D)'!M$24</f>
        <v>0.1999491632</v>
      </c>
      <c r="BB2847" s="372">
        <f>$AQ2698*'Assumptions (T&amp;D)'!N$24</f>
        <v>0.1999491632</v>
      </c>
      <c r="BC2847" s="372">
        <f>$AQ2698*'Assumptions (T&amp;D)'!O$24</f>
        <v>0.1999491632</v>
      </c>
      <c r="BD2847" s="372">
        <f>$AQ2698*'Assumptions (T&amp;D)'!P$24</f>
        <v>0.1999491632</v>
      </c>
      <c r="BE2847" s="372">
        <f>$AQ2698*'Assumptions (T&amp;D)'!Q$24</f>
        <v>0.1999491632</v>
      </c>
      <c r="BF2847" s="372">
        <f>$AQ2698*'Assumptions (T&amp;D)'!R$24</f>
        <v>0.1999491632</v>
      </c>
      <c r="BG2847" s="372">
        <f>$AQ2698*'Assumptions (T&amp;D)'!S$24</f>
        <v>0.1999491632</v>
      </c>
      <c r="BH2847" s="372">
        <f>$AQ2698*'Assumptions (T&amp;D)'!T$24</f>
        <v>0.1999491632</v>
      </c>
      <c r="BI2847" s="372">
        <f>$AQ2698*'Assumptions (T&amp;D)'!U$24</f>
        <v>0.1999491632</v>
      </c>
      <c r="BJ2847" s="372">
        <f>$AQ2698*'Assumptions (T&amp;D)'!V$24</f>
        <v>0.1999491632</v>
      </c>
      <c r="BK2847" s="372">
        <f>$AQ2698*'Assumptions (T&amp;D)'!W$24</f>
        <v>0.0999745816</v>
      </c>
      <c r="BL2847" s="32"/>
      <c r="BM2847" s="32"/>
      <c r="BN2847" s="32"/>
      <c r="BO2847" s="32"/>
      <c r="BP2847" s="32"/>
      <c r="BQ2847" s="32"/>
      <c r="BR2847" s="32"/>
      <c r="BS2847" s="32"/>
      <c r="BT2847" s="32"/>
      <c r="BU2847" s="32"/>
      <c r="BV2847" s="32"/>
      <c r="BW2847" s="32"/>
      <c r="BX2847" s="32"/>
      <c r="BY2847" s="32"/>
      <c r="BZ2847" s="32"/>
      <c r="CA2847" s="32"/>
      <c r="CB2847" s="32"/>
      <c r="CC2847" s="32"/>
      <c r="CD2847" s="32"/>
    </row>
    <row r="2848" ht="15.75" hidden="1" customHeight="1" outlineLevel="1">
      <c r="A2848" s="365"/>
      <c r="B2848" s="38"/>
      <c r="C2848" s="38"/>
      <c r="D2848" s="38"/>
      <c r="E2848" s="38"/>
      <c r="F2848" s="38"/>
      <c r="G2848" s="38"/>
      <c r="H2848" s="38"/>
      <c r="I2848" s="38"/>
      <c r="J2848" s="38"/>
      <c r="K2848" s="38"/>
      <c r="L2848" s="38"/>
      <c r="M2848" s="38"/>
      <c r="N2848" s="38"/>
      <c r="O2848" s="38"/>
      <c r="P2848" s="38"/>
      <c r="Q2848" s="38"/>
      <c r="R2848" s="38"/>
      <c r="S2848" s="38"/>
      <c r="T2848" s="38"/>
      <c r="U2848" s="38"/>
      <c r="V2848" s="38"/>
      <c r="W2848" s="38"/>
      <c r="X2848" s="32"/>
      <c r="Y2848" s="32"/>
      <c r="Z2848" s="32"/>
      <c r="AA2848" s="32"/>
      <c r="AB2848" s="32"/>
      <c r="AC2848" s="32"/>
      <c r="AD2848" s="32"/>
      <c r="AE2848" s="32"/>
      <c r="AF2848" s="32"/>
      <c r="AG2848" s="32"/>
      <c r="AH2848" s="32"/>
      <c r="AI2848" s="32"/>
      <c r="AJ2848" s="32"/>
      <c r="AK2848" s="32"/>
      <c r="AL2848" s="32"/>
      <c r="AM2848" s="32"/>
      <c r="AN2848" s="32"/>
      <c r="AO2848" s="32"/>
      <c r="AP2848" s="32"/>
      <c r="AQ2848" s="32"/>
      <c r="AR2848" s="372">
        <f>$AR2698*'Assumptions (T&amp;D)'!C$24</f>
        <v>0.172611255</v>
      </c>
      <c r="AS2848" s="372">
        <f>$AR2698*'Assumptions (T&amp;D)'!D$24</f>
        <v>0.3323342029</v>
      </c>
      <c r="AT2848" s="372">
        <f>$AR2698*'Assumptions (T&amp;D)'!E$24</f>
        <v>0.3074781822</v>
      </c>
      <c r="AU2848" s="372">
        <f>$AR2698*'Assumptions (T&amp;D)'!F$24</f>
        <v>0.2844633482</v>
      </c>
      <c r="AV2848" s="372">
        <f>$AR2698*'Assumptions (T&amp;D)'!G$24</f>
        <v>0.2628294042</v>
      </c>
      <c r="AW2848" s="372">
        <f>$AR2698*'Assumptions (T&amp;D)'!H$24</f>
        <v>0.2434969437</v>
      </c>
      <c r="AX2848" s="372">
        <f>$AR2698*'Assumptions (T&amp;D)'!I$24</f>
        <v>0.2250850765</v>
      </c>
      <c r="AY2848" s="372">
        <f>$AR2698*'Assumptions (T&amp;D)'!J$24</f>
        <v>0.2080540993</v>
      </c>
      <c r="AZ2848" s="372">
        <f>$AR2698*'Assumptions (T&amp;D)'!K$24</f>
        <v>0.2052923193</v>
      </c>
      <c r="BA2848" s="372">
        <f>$AR2698*'Assumptions (T&amp;D)'!L$24</f>
        <v>0.2052923193</v>
      </c>
      <c r="BB2848" s="372">
        <f>$AR2698*'Assumptions (T&amp;D)'!M$24</f>
        <v>0.2052923193</v>
      </c>
      <c r="BC2848" s="372">
        <f>$AR2698*'Assumptions (T&amp;D)'!N$24</f>
        <v>0.2052923193</v>
      </c>
      <c r="BD2848" s="372">
        <f>$AR2698*'Assumptions (T&amp;D)'!O$24</f>
        <v>0.2052923193</v>
      </c>
      <c r="BE2848" s="372">
        <f>$AR2698*'Assumptions (T&amp;D)'!P$24</f>
        <v>0.2052923193</v>
      </c>
      <c r="BF2848" s="372">
        <f>$AR2698*'Assumptions (T&amp;D)'!Q$24</f>
        <v>0.2052923193</v>
      </c>
      <c r="BG2848" s="372">
        <f>$AR2698*'Assumptions (T&amp;D)'!R$24</f>
        <v>0.2052923193</v>
      </c>
      <c r="BH2848" s="372">
        <f>$AR2698*'Assumptions (T&amp;D)'!S$24</f>
        <v>0.2052923193</v>
      </c>
      <c r="BI2848" s="372">
        <f>$AR2698*'Assumptions (T&amp;D)'!T$24</f>
        <v>0.2052923193</v>
      </c>
      <c r="BJ2848" s="372">
        <f>$AR2698*'Assumptions (T&amp;D)'!U$24</f>
        <v>0.2052923193</v>
      </c>
      <c r="BK2848" s="372">
        <f>$AR2698*'Assumptions (T&amp;D)'!V$24</f>
        <v>0.2052923193</v>
      </c>
      <c r="BL2848" s="372">
        <f>$AR2698*'Assumptions (T&amp;D)'!W$24</f>
        <v>0.1026461596</v>
      </c>
      <c r="BM2848" s="32"/>
      <c r="BN2848" s="32"/>
      <c r="BO2848" s="32"/>
      <c r="BP2848" s="32"/>
      <c r="BQ2848" s="32"/>
      <c r="BR2848" s="32"/>
      <c r="BS2848" s="32"/>
      <c r="BT2848" s="32"/>
      <c r="BU2848" s="32"/>
      <c r="BV2848" s="32"/>
      <c r="BW2848" s="32"/>
      <c r="BX2848" s="32"/>
      <c r="BY2848" s="32"/>
      <c r="BZ2848" s="32"/>
      <c r="CA2848" s="32"/>
      <c r="CB2848" s="32"/>
      <c r="CC2848" s="32"/>
      <c r="CD2848" s="32"/>
    </row>
    <row r="2849" ht="15.75" hidden="1" customHeight="1" outlineLevel="1">
      <c r="A2849" s="365"/>
      <c r="B2849" s="38"/>
      <c r="C2849" s="38"/>
      <c r="D2849" s="38"/>
      <c r="E2849" s="38"/>
      <c r="F2849" s="38"/>
      <c r="G2849" s="38"/>
      <c r="H2849" s="38"/>
      <c r="I2849" s="38"/>
      <c r="J2849" s="38"/>
      <c r="K2849" s="38"/>
      <c r="L2849" s="38"/>
      <c r="M2849" s="38"/>
      <c r="N2849" s="38"/>
      <c r="O2849" s="38"/>
      <c r="P2849" s="38"/>
      <c r="Q2849" s="38"/>
      <c r="R2849" s="38"/>
      <c r="S2849" s="38"/>
      <c r="T2849" s="38"/>
      <c r="U2849" s="38"/>
      <c r="V2849" s="38"/>
      <c r="W2849" s="38"/>
      <c r="X2849" s="32"/>
      <c r="Y2849" s="32"/>
      <c r="Z2849" s="32"/>
      <c r="AA2849" s="32"/>
      <c r="AB2849" s="32"/>
      <c r="AC2849" s="32"/>
      <c r="AD2849" s="32"/>
      <c r="AE2849" s="32"/>
      <c r="AF2849" s="32"/>
      <c r="AG2849" s="32"/>
      <c r="AH2849" s="32"/>
      <c r="AI2849" s="32"/>
      <c r="AJ2849" s="32"/>
      <c r="AK2849" s="32"/>
      <c r="AL2849" s="32"/>
      <c r="AM2849" s="32"/>
      <c r="AN2849" s="32"/>
      <c r="AO2849" s="32"/>
      <c r="AP2849" s="32"/>
      <c r="AQ2849" s="32"/>
      <c r="AR2849" s="32"/>
      <c r="AS2849" s="372">
        <f>$AS2698*'Assumptions (T&amp;D)'!C$24</f>
        <v>0.1772156936</v>
      </c>
      <c r="AT2849" s="372">
        <f>$AS2698*'Assumptions (T&amp;D)'!D$24</f>
        <v>0.3411992822</v>
      </c>
      <c r="AU2849" s="372">
        <f>$AS2698*'Assumptions (T&amp;D)'!E$24</f>
        <v>0.3156802223</v>
      </c>
      <c r="AV2849" s="372">
        <f>$AS2698*'Assumptions (T&amp;D)'!F$24</f>
        <v>0.2920514631</v>
      </c>
      <c r="AW2849" s="372">
        <f>$AS2698*'Assumptions (T&amp;D)'!G$24</f>
        <v>0.2698404295</v>
      </c>
      <c r="AX2849" s="372">
        <f>$AS2698*'Assumptions (T&amp;D)'!H$24</f>
        <v>0.2499922718</v>
      </c>
      <c r="AY2849" s="372">
        <f>$AS2698*'Assumptions (T&amp;D)'!I$24</f>
        <v>0.2310892645</v>
      </c>
      <c r="AZ2849" s="372">
        <f>$AS2698*'Assumptions (T&amp;D)'!J$24</f>
        <v>0.2136039827</v>
      </c>
      <c r="BA2849" s="372">
        <f>$AS2698*'Assumptions (T&amp;D)'!K$24</f>
        <v>0.2107685316</v>
      </c>
      <c r="BB2849" s="372">
        <f>$AS2698*'Assumptions (T&amp;D)'!L$24</f>
        <v>0.2107685316</v>
      </c>
      <c r="BC2849" s="372">
        <f>$AS2698*'Assumptions (T&amp;D)'!M$24</f>
        <v>0.2107685316</v>
      </c>
      <c r="BD2849" s="372">
        <f>$AS2698*'Assumptions (T&amp;D)'!N$24</f>
        <v>0.2107685316</v>
      </c>
      <c r="BE2849" s="372">
        <f>$AS2698*'Assumptions (T&amp;D)'!O$24</f>
        <v>0.2107685316</v>
      </c>
      <c r="BF2849" s="372">
        <f>$AS2698*'Assumptions (T&amp;D)'!P$24</f>
        <v>0.2107685316</v>
      </c>
      <c r="BG2849" s="372">
        <f>$AS2698*'Assumptions (T&amp;D)'!Q$24</f>
        <v>0.2107685316</v>
      </c>
      <c r="BH2849" s="372">
        <f>$AS2698*'Assumptions (T&amp;D)'!R$24</f>
        <v>0.2107685316</v>
      </c>
      <c r="BI2849" s="372">
        <f>$AS2698*'Assumptions (T&amp;D)'!S$24</f>
        <v>0.2107685316</v>
      </c>
      <c r="BJ2849" s="372">
        <f>$AS2698*'Assumptions (T&amp;D)'!T$24</f>
        <v>0.2107685316</v>
      </c>
      <c r="BK2849" s="372">
        <f>$AS2698*'Assumptions (T&amp;D)'!U$24</f>
        <v>0.2107685316</v>
      </c>
      <c r="BL2849" s="372">
        <f>$AS2698*'Assumptions (T&amp;D)'!V$24</f>
        <v>0.2107685316</v>
      </c>
      <c r="BM2849" s="372">
        <f>$AS2698*'Assumptions (T&amp;D)'!W$24</f>
        <v>0.1053842658</v>
      </c>
      <c r="BN2849" s="32"/>
      <c r="BO2849" s="32"/>
      <c r="BP2849" s="32"/>
      <c r="BQ2849" s="32"/>
      <c r="BR2849" s="32"/>
      <c r="BS2849" s="32"/>
      <c r="BT2849" s="32"/>
      <c r="BU2849" s="32"/>
      <c r="BV2849" s="32"/>
      <c r="BW2849" s="32"/>
      <c r="BX2849" s="32"/>
      <c r="BY2849" s="32"/>
      <c r="BZ2849" s="32"/>
      <c r="CA2849" s="32"/>
      <c r="CB2849" s="32"/>
      <c r="CC2849" s="32"/>
      <c r="CD2849" s="32"/>
    </row>
    <row r="2850" ht="15.75" hidden="1" customHeight="1" outlineLevel="1">
      <c r="A2850" s="365"/>
      <c r="B2850" s="38"/>
      <c r="C2850" s="38"/>
      <c r="D2850" s="38"/>
      <c r="E2850" s="38"/>
      <c r="F2850" s="38"/>
      <c r="G2850" s="38"/>
      <c r="H2850" s="38"/>
      <c r="I2850" s="38"/>
      <c r="J2850" s="38"/>
      <c r="K2850" s="38"/>
      <c r="L2850" s="38"/>
      <c r="M2850" s="38"/>
      <c r="N2850" s="38"/>
      <c r="O2850" s="38"/>
      <c r="P2850" s="38"/>
      <c r="Q2850" s="38"/>
      <c r="R2850" s="38"/>
      <c r="S2850" s="38"/>
      <c r="T2850" s="38"/>
      <c r="U2850" s="38"/>
      <c r="V2850" s="38"/>
      <c r="W2850" s="38"/>
      <c r="X2850" s="32"/>
      <c r="Y2850" s="32"/>
      <c r="Z2850" s="32"/>
      <c r="AA2850" s="32"/>
      <c r="AB2850" s="32"/>
      <c r="AC2850" s="32"/>
      <c r="AD2850" s="32"/>
      <c r="AE2850" s="32"/>
      <c r="AF2850" s="32"/>
      <c r="AG2850" s="32"/>
      <c r="AH2850" s="32"/>
      <c r="AI2850" s="32"/>
      <c r="AJ2850" s="32"/>
      <c r="AK2850" s="32"/>
      <c r="AL2850" s="32"/>
      <c r="AM2850" s="32"/>
      <c r="AN2850" s="32"/>
      <c r="AO2850" s="32"/>
      <c r="AP2850" s="32"/>
      <c r="AQ2850" s="32"/>
      <c r="AR2850" s="32"/>
      <c r="AS2850" s="32"/>
      <c r="AT2850" s="372">
        <f>$AT2698*'Assumptions (T&amp;D)'!C$24</f>
        <v>0.1819346736</v>
      </c>
      <c r="AU2850" s="372">
        <f>$AT2698*'Assumptions (T&amp;D)'!D$24</f>
        <v>0.3502848916</v>
      </c>
      <c r="AV2850" s="372">
        <f>$AT2698*'Assumptions (T&amp;D)'!E$24</f>
        <v>0.3240862986</v>
      </c>
      <c r="AW2850" s="372">
        <f>$AT2698*'Assumptions (T&amp;D)'!F$24</f>
        <v>0.2998283421</v>
      </c>
      <c r="AX2850" s="372">
        <f>$AT2698*'Assumptions (T&amp;D)'!G$24</f>
        <v>0.277025863</v>
      </c>
      <c r="AY2850" s="372">
        <f>$AT2698*'Assumptions (T&amp;D)'!H$24</f>
        <v>0.2566491796</v>
      </c>
      <c r="AZ2850" s="372">
        <f>$AT2698*'Assumptions (T&amp;D)'!I$24</f>
        <v>0.2372428144</v>
      </c>
      <c r="BA2850" s="372">
        <f>$AT2698*'Assumptions (T&amp;D)'!J$24</f>
        <v>0.2192919266</v>
      </c>
      <c r="BB2850" s="372">
        <f>$AT2698*'Assumptions (T&amp;D)'!K$24</f>
        <v>0.2163809718</v>
      </c>
      <c r="BC2850" s="372">
        <f>$AT2698*'Assumptions (T&amp;D)'!L$24</f>
        <v>0.2163809718</v>
      </c>
      <c r="BD2850" s="372">
        <f>$AT2698*'Assumptions (T&amp;D)'!M$24</f>
        <v>0.2163809718</v>
      </c>
      <c r="BE2850" s="372">
        <f>$AT2698*'Assumptions (T&amp;D)'!N$24</f>
        <v>0.2163809718</v>
      </c>
      <c r="BF2850" s="372">
        <f>$AT2698*'Assumptions (T&amp;D)'!O$24</f>
        <v>0.2163809718</v>
      </c>
      <c r="BG2850" s="372">
        <f>$AT2698*'Assumptions (T&amp;D)'!P$24</f>
        <v>0.2163809718</v>
      </c>
      <c r="BH2850" s="372">
        <f>$AT2698*'Assumptions (T&amp;D)'!Q$24</f>
        <v>0.2163809718</v>
      </c>
      <c r="BI2850" s="372">
        <f>$AT2698*'Assumptions (T&amp;D)'!R$24</f>
        <v>0.2163809718</v>
      </c>
      <c r="BJ2850" s="372">
        <f>$AT2698*'Assumptions (T&amp;D)'!S$24</f>
        <v>0.2163809718</v>
      </c>
      <c r="BK2850" s="372">
        <f>$AT2698*'Assumptions (T&amp;D)'!T$24</f>
        <v>0.2163809718</v>
      </c>
      <c r="BL2850" s="372">
        <f>$AT2698*'Assumptions (T&amp;D)'!U$24</f>
        <v>0.2163809718</v>
      </c>
      <c r="BM2850" s="372">
        <f>$AT2698*'Assumptions (T&amp;D)'!V$24</f>
        <v>0.2163809718</v>
      </c>
      <c r="BN2850" s="372">
        <f>$AT2698*'Assumptions (T&amp;D)'!W$24</f>
        <v>0.1081904859</v>
      </c>
      <c r="BO2850" s="32"/>
      <c r="BP2850" s="32"/>
      <c r="BQ2850" s="32"/>
      <c r="BR2850" s="32"/>
      <c r="BS2850" s="32"/>
      <c r="BT2850" s="32"/>
      <c r="BU2850" s="32"/>
      <c r="BV2850" s="32"/>
      <c r="BW2850" s="32"/>
      <c r="BX2850" s="32"/>
      <c r="BY2850" s="32"/>
      <c r="BZ2850" s="32"/>
      <c r="CA2850" s="32"/>
      <c r="CB2850" s="32"/>
      <c r="CC2850" s="32"/>
      <c r="CD2850" s="32"/>
    </row>
    <row r="2851" ht="15.75" hidden="1" customHeight="1" outlineLevel="1">
      <c r="A2851" s="365"/>
      <c r="B2851" s="38"/>
      <c r="C2851" s="38"/>
      <c r="D2851" s="38"/>
      <c r="E2851" s="38"/>
      <c r="F2851" s="38"/>
      <c r="G2851" s="38"/>
      <c r="H2851" s="38"/>
      <c r="I2851" s="38"/>
      <c r="J2851" s="38"/>
      <c r="K2851" s="38"/>
      <c r="L2851" s="38"/>
      <c r="M2851" s="38"/>
      <c r="N2851" s="38"/>
      <c r="O2851" s="38"/>
      <c r="P2851" s="38"/>
      <c r="Q2851" s="38"/>
      <c r="R2851" s="38"/>
      <c r="S2851" s="38"/>
      <c r="T2851" s="38"/>
      <c r="U2851" s="38"/>
      <c r="V2851" s="38"/>
      <c r="W2851" s="38"/>
      <c r="X2851" s="32"/>
      <c r="Y2851" s="32"/>
      <c r="Z2851" s="32"/>
      <c r="AA2851" s="32"/>
      <c r="AB2851" s="32"/>
      <c r="AC2851" s="32"/>
      <c r="AD2851" s="32"/>
      <c r="AE2851" s="32"/>
      <c r="AF2851" s="32"/>
      <c r="AG2851" s="32"/>
      <c r="AH2851" s="32"/>
      <c r="AI2851" s="32"/>
      <c r="AJ2851" s="32"/>
      <c r="AK2851" s="32"/>
      <c r="AL2851" s="32"/>
      <c r="AM2851" s="32"/>
      <c r="AN2851" s="32"/>
      <c r="AO2851" s="32"/>
      <c r="AP2851" s="32"/>
      <c r="AQ2851" s="32"/>
      <c r="AR2851" s="32"/>
      <c r="AS2851" s="32"/>
      <c r="AT2851" s="32"/>
      <c r="AU2851" s="372">
        <f>$AU2698*'Assumptions (T&amp;D)'!C$24</f>
        <v>0.1941321242</v>
      </c>
      <c r="AV2851" s="372">
        <f>$AU2698*'Assumptions (T&amp;D)'!D$24</f>
        <v>0.3737690497</v>
      </c>
      <c r="AW2851" s="372">
        <f>$AU2698*'Assumptions (T&amp;D)'!E$24</f>
        <v>0.3458140238</v>
      </c>
      <c r="AX2851" s="372">
        <f>$AU2698*'Assumptions (T&amp;D)'!F$24</f>
        <v>0.3199297406</v>
      </c>
      <c r="AY2851" s="372">
        <f>$AU2698*'Assumptions (T&amp;D)'!G$24</f>
        <v>0.2955985144</v>
      </c>
      <c r="AZ2851" s="372">
        <f>$AU2698*'Assumptions (T&amp;D)'!H$24</f>
        <v>0.2738557165</v>
      </c>
      <c r="BA2851" s="372">
        <f>$AU2698*'Assumptions (T&amp;D)'!I$24</f>
        <v>0.2531482899</v>
      </c>
      <c r="BB2851" s="372">
        <f>$AU2698*'Assumptions (T&amp;D)'!J$24</f>
        <v>0.2339939203</v>
      </c>
      <c r="BC2851" s="372">
        <f>$AU2698*'Assumptions (T&amp;D)'!K$24</f>
        <v>0.2308878063</v>
      </c>
      <c r="BD2851" s="372">
        <f>$AU2698*'Assumptions (T&amp;D)'!L$24</f>
        <v>0.2308878063</v>
      </c>
      <c r="BE2851" s="372">
        <f>$AU2698*'Assumptions (T&amp;D)'!M$24</f>
        <v>0.2308878063</v>
      </c>
      <c r="BF2851" s="372">
        <f>$AU2698*'Assumptions (T&amp;D)'!N$24</f>
        <v>0.2308878063</v>
      </c>
      <c r="BG2851" s="372">
        <f>$AU2698*'Assumptions (T&amp;D)'!O$24</f>
        <v>0.2308878063</v>
      </c>
      <c r="BH2851" s="372">
        <f>$AU2698*'Assumptions (T&amp;D)'!P$24</f>
        <v>0.2308878063</v>
      </c>
      <c r="BI2851" s="372">
        <f>$AU2698*'Assumptions (T&amp;D)'!Q$24</f>
        <v>0.2308878063</v>
      </c>
      <c r="BJ2851" s="372">
        <f>$AU2698*'Assumptions (T&amp;D)'!R$24</f>
        <v>0.2308878063</v>
      </c>
      <c r="BK2851" s="372">
        <f>$AU2698*'Assumptions (T&amp;D)'!S$24</f>
        <v>0.2308878063</v>
      </c>
      <c r="BL2851" s="372">
        <f>$AU2698*'Assumptions (T&amp;D)'!T$24</f>
        <v>0.2308878063</v>
      </c>
      <c r="BM2851" s="372">
        <f>$AU2698*'Assumptions (T&amp;D)'!U$24</f>
        <v>0.2308878063</v>
      </c>
      <c r="BN2851" s="372">
        <f>$AU2698*'Assumptions (T&amp;D)'!V$24</f>
        <v>0.2308878063</v>
      </c>
      <c r="BO2851" s="372">
        <f>$AU2698*'Assumptions (T&amp;D)'!W$24</f>
        <v>0.1154439032</v>
      </c>
      <c r="BP2851" s="32"/>
      <c r="BQ2851" s="32"/>
      <c r="BR2851" s="32"/>
      <c r="BS2851" s="32"/>
      <c r="BT2851" s="32"/>
      <c r="BU2851" s="32"/>
      <c r="BV2851" s="32"/>
      <c r="BW2851" s="32"/>
      <c r="BX2851" s="32"/>
      <c r="BY2851" s="32"/>
      <c r="BZ2851" s="32"/>
      <c r="CA2851" s="32"/>
      <c r="CB2851" s="32"/>
      <c r="CC2851" s="32"/>
      <c r="CD2851" s="32"/>
    </row>
    <row r="2852" ht="15.75" hidden="1" customHeight="1" outlineLevel="1">
      <c r="A2852" s="365"/>
      <c r="B2852" s="38"/>
      <c r="C2852" s="38"/>
      <c r="D2852" s="38"/>
      <c r="E2852" s="38"/>
      <c r="F2852" s="38"/>
      <c r="G2852" s="38"/>
      <c r="H2852" s="38"/>
      <c r="I2852" s="38"/>
      <c r="J2852" s="38"/>
      <c r="K2852" s="38"/>
      <c r="L2852" s="38"/>
      <c r="M2852" s="38"/>
      <c r="N2852" s="38"/>
      <c r="O2852" s="38"/>
      <c r="P2852" s="38"/>
      <c r="Q2852" s="38"/>
      <c r="R2852" s="38"/>
      <c r="S2852" s="38"/>
      <c r="T2852" s="38"/>
      <c r="U2852" s="38"/>
      <c r="V2852" s="38"/>
      <c r="W2852" s="38"/>
      <c r="X2852" s="32"/>
      <c r="Y2852" s="32"/>
      <c r="Z2852" s="32"/>
      <c r="AA2852" s="32"/>
      <c r="AB2852" s="32"/>
      <c r="AC2852" s="32"/>
      <c r="AD2852" s="32"/>
      <c r="AE2852" s="32"/>
      <c r="AF2852" s="32"/>
      <c r="AG2852" s="32"/>
      <c r="AH2852" s="32"/>
      <c r="AI2852" s="32"/>
      <c r="AJ2852" s="32"/>
      <c r="AK2852" s="32"/>
      <c r="AL2852" s="32"/>
      <c r="AM2852" s="32"/>
      <c r="AN2852" s="32"/>
      <c r="AO2852" s="32"/>
      <c r="AP2852" s="32"/>
      <c r="AQ2852" s="32"/>
      <c r="AR2852" s="32"/>
      <c r="AS2852" s="32"/>
      <c r="AT2852" s="32"/>
      <c r="AU2852" s="32"/>
      <c r="AV2852" s="372">
        <f>$AV2698*'Assumptions (T&amp;D)'!C$24</f>
        <v>0.1917272336</v>
      </c>
      <c r="AW2852" s="372">
        <f>$AV2698*'Assumptions (T&amp;D)'!D$24</f>
        <v>0.3691388337</v>
      </c>
      <c r="AX2852" s="372">
        <f>$AV2698*'Assumptions (T&amp;D)'!E$24</f>
        <v>0.3415301121</v>
      </c>
      <c r="AY2852" s="372">
        <f>$AV2698*'Assumptions (T&amp;D)'!F$24</f>
        <v>0.315966481</v>
      </c>
      <c r="AZ2852" s="372">
        <f>$AV2698*'Assumptions (T&amp;D)'!G$24</f>
        <v>0.2919366677</v>
      </c>
      <c r="BA2852" s="372">
        <f>$AV2698*'Assumptions (T&amp;D)'!H$24</f>
        <v>0.2704632175</v>
      </c>
      <c r="BB2852" s="372">
        <f>$AV2698*'Assumptions (T&amp;D)'!I$24</f>
        <v>0.2500123126</v>
      </c>
      <c r="BC2852" s="372">
        <f>$AV2698*'Assumptions (T&amp;D)'!J$24</f>
        <v>0.2310952256</v>
      </c>
      <c r="BD2852" s="372">
        <f>$AV2698*'Assumptions (T&amp;D)'!K$24</f>
        <v>0.2280275898</v>
      </c>
      <c r="BE2852" s="372">
        <f>$AV2698*'Assumptions (T&amp;D)'!L$24</f>
        <v>0.2280275898</v>
      </c>
      <c r="BF2852" s="372">
        <f>$AV2698*'Assumptions (T&amp;D)'!M$24</f>
        <v>0.2280275898</v>
      </c>
      <c r="BG2852" s="372">
        <f>$AV2698*'Assumptions (T&amp;D)'!N$24</f>
        <v>0.2280275898</v>
      </c>
      <c r="BH2852" s="372">
        <f>$AV2698*'Assumptions (T&amp;D)'!O$24</f>
        <v>0.2280275898</v>
      </c>
      <c r="BI2852" s="372">
        <f>$AV2698*'Assumptions (T&amp;D)'!P$24</f>
        <v>0.2280275898</v>
      </c>
      <c r="BJ2852" s="372">
        <f>$AV2698*'Assumptions (T&amp;D)'!Q$24</f>
        <v>0.2280275898</v>
      </c>
      <c r="BK2852" s="372">
        <f>$AV2698*'Assumptions (T&amp;D)'!R$24</f>
        <v>0.2280275898</v>
      </c>
      <c r="BL2852" s="372">
        <f>$AV2698*'Assumptions (T&amp;D)'!S$24</f>
        <v>0.2280275898</v>
      </c>
      <c r="BM2852" s="372">
        <f>$AV2698*'Assumptions (T&amp;D)'!T$24</f>
        <v>0.2280275898</v>
      </c>
      <c r="BN2852" s="372">
        <f>$AV2698*'Assumptions (T&amp;D)'!U$24</f>
        <v>0.2280275898</v>
      </c>
      <c r="BO2852" s="372">
        <f>$AV2698*'Assumptions (T&amp;D)'!V$24</f>
        <v>0.2280275898</v>
      </c>
      <c r="BP2852" s="372">
        <f>$AV2698*'Assumptions (T&amp;D)'!W$24</f>
        <v>0.1140137949</v>
      </c>
      <c r="BQ2852" s="32"/>
      <c r="BR2852" s="32"/>
      <c r="BS2852" s="32"/>
      <c r="BT2852" s="32"/>
      <c r="BU2852" s="32"/>
      <c r="BV2852" s="32"/>
      <c r="BW2852" s="32"/>
      <c r="BX2852" s="32"/>
      <c r="BY2852" s="32"/>
      <c r="BZ2852" s="32"/>
      <c r="CA2852" s="32"/>
      <c r="CB2852" s="32"/>
      <c r="CC2852" s="32"/>
      <c r="CD2852" s="32"/>
    </row>
    <row r="2853" ht="15.75" hidden="1" customHeight="1" outlineLevel="1">
      <c r="A2853" s="365"/>
      <c r="B2853" s="38"/>
      <c r="C2853" s="38"/>
      <c r="D2853" s="38"/>
      <c r="E2853" s="38"/>
      <c r="F2853" s="38"/>
      <c r="G2853" s="38"/>
      <c r="H2853" s="38"/>
      <c r="I2853" s="38"/>
      <c r="J2853" s="38"/>
      <c r="K2853" s="38"/>
      <c r="L2853" s="38"/>
      <c r="M2853" s="38"/>
      <c r="N2853" s="38"/>
      <c r="O2853" s="38"/>
      <c r="P2853" s="38"/>
      <c r="Q2853" s="38"/>
      <c r="R2853" s="38"/>
      <c r="S2853" s="38"/>
      <c r="T2853" s="38"/>
      <c r="U2853" s="38"/>
      <c r="V2853" s="38"/>
      <c r="W2853" s="38"/>
      <c r="X2853" s="32"/>
      <c r="Y2853" s="32"/>
      <c r="Z2853" s="32"/>
      <c r="AA2853" s="32"/>
      <c r="AB2853" s="32"/>
      <c r="AC2853" s="32"/>
      <c r="AD2853" s="32"/>
      <c r="AE2853" s="32"/>
      <c r="AF2853" s="32"/>
      <c r="AG2853" s="32"/>
      <c r="AH2853" s="32"/>
      <c r="AI2853" s="32"/>
      <c r="AJ2853" s="32"/>
      <c r="AK2853" s="32"/>
      <c r="AL2853" s="32"/>
      <c r="AM2853" s="32"/>
      <c r="AN2853" s="32"/>
      <c r="AO2853" s="32"/>
      <c r="AP2853" s="32"/>
      <c r="AQ2853" s="32"/>
      <c r="AR2853" s="32"/>
      <c r="AS2853" s="32"/>
      <c r="AT2853" s="32"/>
      <c r="AU2853" s="32"/>
      <c r="AV2853" s="32"/>
      <c r="AW2853" s="372">
        <f>$AW2698*'Assumptions (T&amp;D)'!C$24</f>
        <v>0.1968064608</v>
      </c>
      <c r="AX2853" s="372">
        <f>$AW2698*'Assumptions (T&amp;D)'!D$24</f>
        <v>0.3789180392</v>
      </c>
      <c r="AY2853" s="372">
        <f>$AW2698*'Assumptions (T&amp;D)'!E$24</f>
        <v>0.3505779089</v>
      </c>
      <c r="AZ2853" s="372">
        <f>$AW2698*'Assumptions (T&amp;D)'!F$24</f>
        <v>0.3243370474</v>
      </c>
      <c r="BA2853" s="372">
        <f>$AW2698*'Assumptions (T&amp;D)'!G$24</f>
        <v>0.2996706377</v>
      </c>
      <c r="BB2853" s="372">
        <f>$AW2698*'Assumptions (T&amp;D)'!H$24</f>
        <v>0.2776283141</v>
      </c>
      <c r="BC2853" s="372">
        <f>$AW2698*'Assumptions (T&amp;D)'!I$24</f>
        <v>0.2566356249</v>
      </c>
      <c r="BD2853" s="372">
        <f>$AW2698*'Assumptions (T&amp;D)'!J$24</f>
        <v>0.2372173874</v>
      </c>
      <c r="BE2853" s="372">
        <f>$AW2698*'Assumptions (T&amp;D)'!K$24</f>
        <v>0.2340684841</v>
      </c>
      <c r="BF2853" s="372">
        <f>$AW2698*'Assumptions (T&amp;D)'!L$24</f>
        <v>0.2340684841</v>
      </c>
      <c r="BG2853" s="372">
        <f>$AW2698*'Assumptions (T&amp;D)'!M$24</f>
        <v>0.2340684841</v>
      </c>
      <c r="BH2853" s="372">
        <f>$AW2698*'Assumptions (T&amp;D)'!N$24</f>
        <v>0.2340684841</v>
      </c>
      <c r="BI2853" s="372">
        <f>$AW2698*'Assumptions (T&amp;D)'!O$24</f>
        <v>0.2340684841</v>
      </c>
      <c r="BJ2853" s="372">
        <f>$AW2698*'Assumptions (T&amp;D)'!P$24</f>
        <v>0.2340684841</v>
      </c>
      <c r="BK2853" s="372">
        <f>$AW2698*'Assumptions (T&amp;D)'!Q$24</f>
        <v>0.2340684841</v>
      </c>
      <c r="BL2853" s="372">
        <f>$AW2698*'Assumptions (T&amp;D)'!R$24</f>
        <v>0.2340684841</v>
      </c>
      <c r="BM2853" s="372">
        <f>$AW2698*'Assumptions (T&amp;D)'!S$24</f>
        <v>0.2340684841</v>
      </c>
      <c r="BN2853" s="372">
        <f>$AW2698*'Assumptions (T&amp;D)'!T$24</f>
        <v>0.2340684841</v>
      </c>
      <c r="BO2853" s="372">
        <f>$AW2698*'Assumptions (T&amp;D)'!U$24</f>
        <v>0.2340684841</v>
      </c>
      <c r="BP2853" s="372">
        <f>$AW2698*'Assumptions (T&amp;D)'!V$24</f>
        <v>0.2340684841</v>
      </c>
      <c r="BQ2853" s="372">
        <f>$AW2698*'Assumptions (T&amp;D)'!W$24</f>
        <v>0.117034242</v>
      </c>
      <c r="BR2853" s="32"/>
      <c r="BS2853" s="32"/>
      <c r="BT2853" s="32"/>
      <c r="BU2853" s="32"/>
      <c r="BV2853" s="32"/>
      <c r="BW2853" s="32"/>
      <c r="BX2853" s="32"/>
      <c r="BY2853" s="32"/>
      <c r="BZ2853" s="32"/>
      <c r="CA2853" s="32"/>
      <c r="CB2853" s="32"/>
      <c r="CC2853" s="32"/>
      <c r="CD2853" s="32"/>
    </row>
    <row r="2854" ht="15.75" hidden="1" customHeight="1" outlineLevel="1">
      <c r="A2854" s="365"/>
      <c r="B2854" s="38"/>
      <c r="C2854" s="38"/>
      <c r="D2854" s="38"/>
      <c r="E2854" s="38"/>
      <c r="F2854" s="38"/>
      <c r="G2854" s="38"/>
      <c r="H2854" s="38"/>
      <c r="I2854" s="38"/>
      <c r="J2854" s="38"/>
      <c r="K2854" s="38"/>
      <c r="L2854" s="38"/>
      <c r="M2854" s="38"/>
      <c r="N2854" s="38"/>
      <c r="O2854" s="38"/>
      <c r="P2854" s="38"/>
      <c r="Q2854" s="38"/>
      <c r="R2854" s="38"/>
      <c r="S2854" s="38"/>
      <c r="T2854" s="38"/>
      <c r="U2854" s="38"/>
      <c r="V2854" s="38"/>
      <c r="W2854" s="38"/>
      <c r="X2854" s="32"/>
      <c r="Y2854" s="32"/>
      <c r="Z2854" s="32"/>
      <c r="AA2854" s="32"/>
      <c r="AB2854" s="32"/>
      <c r="AC2854" s="32"/>
      <c r="AD2854" s="32"/>
      <c r="AE2854" s="32"/>
      <c r="AF2854" s="32"/>
      <c r="AG2854" s="32"/>
      <c r="AH2854" s="32"/>
      <c r="AI2854" s="32"/>
      <c r="AJ2854" s="32"/>
      <c r="AK2854" s="32"/>
      <c r="AL2854" s="32"/>
      <c r="AM2854" s="32"/>
      <c r="AN2854" s="32"/>
      <c r="AO2854" s="32"/>
      <c r="AP2854" s="32"/>
      <c r="AQ2854" s="32"/>
      <c r="AR2854" s="32"/>
      <c r="AS2854" s="32"/>
      <c r="AT2854" s="32"/>
      <c r="AU2854" s="32"/>
      <c r="AV2854" s="32"/>
      <c r="AW2854" s="32"/>
      <c r="AX2854" s="372">
        <f>$AX2698*'Assumptions (T&amp;D)'!C$24</f>
        <v>0.2020115267</v>
      </c>
      <c r="AY2854" s="372">
        <f>$AX2698*'Assumptions (T&amp;D)'!D$24</f>
        <v>0.388939526</v>
      </c>
      <c r="AZ2854" s="372">
        <f>$AX2698*'Assumptions (T&amp;D)'!E$24</f>
        <v>0.3598498662</v>
      </c>
      <c r="BA2854" s="372">
        <f>$AX2698*'Assumptions (T&amp;D)'!F$24</f>
        <v>0.3329149959</v>
      </c>
      <c r="BB2854" s="372">
        <f>$AX2698*'Assumptions (T&amp;D)'!G$24</f>
        <v>0.3075962179</v>
      </c>
      <c r="BC2854" s="372">
        <f>$AX2698*'Assumptions (T&amp;D)'!H$24</f>
        <v>0.284970927</v>
      </c>
      <c r="BD2854" s="372">
        <f>$AX2698*'Assumptions (T&amp;D)'!I$24</f>
        <v>0.2634230308</v>
      </c>
      <c r="BE2854" s="372">
        <f>$AX2698*'Assumptions (T&amp;D)'!J$24</f>
        <v>0.2434912268</v>
      </c>
      <c r="BF2854" s="372">
        <f>$AX2698*'Assumptions (T&amp;D)'!K$24</f>
        <v>0.2402590424</v>
      </c>
      <c r="BG2854" s="372">
        <f>$AX2698*'Assumptions (T&amp;D)'!L$24</f>
        <v>0.2402590424</v>
      </c>
      <c r="BH2854" s="372">
        <f>$AX2698*'Assumptions (T&amp;D)'!M$24</f>
        <v>0.2402590424</v>
      </c>
      <c r="BI2854" s="372">
        <f>$AX2698*'Assumptions (T&amp;D)'!N$24</f>
        <v>0.2402590424</v>
      </c>
      <c r="BJ2854" s="372">
        <f>$AX2698*'Assumptions (T&amp;D)'!O$24</f>
        <v>0.2402590424</v>
      </c>
      <c r="BK2854" s="372">
        <f>$AX2698*'Assumptions (T&amp;D)'!P$24</f>
        <v>0.2402590424</v>
      </c>
      <c r="BL2854" s="372">
        <f>$AX2698*'Assumptions (T&amp;D)'!Q$24</f>
        <v>0.2402590424</v>
      </c>
      <c r="BM2854" s="372">
        <f>$AX2698*'Assumptions (T&amp;D)'!R$24</f>
        <v>0.2402590424</v>
      </c>
      <c r="BN2854" s="372">
        <f>$AX2698*'Assumptions (T&amp;D)'!S$24</f>
        <v>0.2402590424</v>
      </c>
      <c r="BO2854" s="372">
        <f>$AX2698*'Assumptions (T&amp;D)'!T$24</f>
        <v>0.2402590424</v>
      </c>
      <c r="BP2854" s="372">
        <f>$AX2698*'Assumptions (T&amp;D)'!U$24</f>
        <v>0.2402590424</v>
      </c>
      <c r="BQ2854" s="372">
        <f>$AX2698*'Assumptions (T&amp;D)'!V$24</f>
        <v>0.2402590424</v>
      </c>
      <c r="BR2854" s="372">
        <f>$AX2698*'Assumptions (T&amp;D)'!W$24</f>
        <v>0.1201295212</v>
      </c>
      <c r="BS2854" s="32"/>
      <c r="BT2854" s="32"/>
      <c r="BU2854" s="32"/>
      <c r="BV2854" s="32"/>
      <c r="BW2854" s="32"/>
      <c r="BX2854" s="32"/>
      <c r="BY2854" s="32"/>
      <c r="BZ2854" s="32"/>
      <c r="CA2854" s="32"/>
      <c r="CB2854" s="32"/>
      <c r="CC2854" s="32"/>
      <c r="CD2854" s="32"/>
    </row>
    <row r="2855" ht="15.75" hidden="1" customHeight="1" outlineLevel="1">
      <c r="A2855" s="365"/>
      <c r="B2855" s="38"/>
      <c r="C2855" s="38"/>
      <c r="D2855" s="38"/>
      <c r="E2855" s="38"/>
      <c r="F2855" s="38"/>
      <c r="G2855" s="38"/>
      <c r="H2855" s="38"/>
      <c r="I2855" s="38"/>
      <c r="J2855" s="38"/>
      <c r="K2855" s="38"/>
      <c r="L2855" s="38"/>
      <c r="M2855" s="38"/>
      <c r="N2855" s="38"/>
      <c r="O2855" s="38"/>
      <c r="P2855" s="38"/>
      <c r="Q2855" s="38"/>
      <c r="R2855" s="38"/>
      <c r="S2855" s="38"/>
      <c r="T2855" s="38"/>
      <c r="U2855" s="38"/>
      <c r="V2855" s="38"/>
      <c r="W2855" s="38"/>
      <c r="X2855" s="32"/>
      <c r="Y2855" s="32"/>
      <c r="Z2855" s="32"/>
      <c r="AA2855" s="32"/>
      <c r="AB2855" s="32"/>
      <c r="AC2855" s="32"/>
      <c r="AD2855" s="32"/>
      <c r="AE2855" s="32"/>
      <c r="AF2855" s="32"/>
      <c r="AG2855" s="32"/>
      <c r="AH2855" s="32"/>
      <c r="AI2855" s="32"/>
      <c r="AJ2855" s="32"/>
      <c r="AK2855" s="32"/>
      <c r="AL2855" s="32"/>
      <c r="AM2855" s="32"/>
      <c r="AN2855" s="32"/>
      <c r="AO2855" s="32"/>
      <c r="AP2855" s="32"/>
      <c r="AQ2855" s="32"/>
      <c r="AR2855" s="32"/>
      <c r="AS2855" s="32"/>
      <c r="AT2855" s="32"/>
      <c r="AU2855" s="32"/>
      <c r="AV2855" s="32"/>
      <c r="AW2855" s="32"/>
      <c r="AX2855" s="32"/>
      <c r="AY2855" s="372">
        <f>$AY2698*'Assumptions (T&amp;D)'!C$24</f>
        <v>0.2073454204</v>
      </c>
      <c r="AZ2855" s="372">
        <f>$AY2698*'Assumptions (T&amp;D)'!D$24</f>
        <v>0.3992090495</v>
      </c>
      <c r="BA2855" s="372">
        <f>$AY2698*'Assumptions (T&amp;D)'!E$24</f>
        <v>0.369351309</v>
      </c>
      <c r="BB2855" s="372">
        <f>$AY2698*'Assumptions (T&amp;D)'!F$24</f>
        <v>0.3417052529</v>
      </c>
      <c r="BC2855" s="372">
        <f>$AY2698*'Assumptions (T&amp;D)'!G$24</f>
        <v>0.3157179602</v>
      </c>
      <c r="BD2855" s="372">
        <f>$AY2698*'Assumptions (T&amp;D)'!H$24</f>
        <v>0.2924952731</v>
      </c>
      <c r="BE2855" s="372">
        <f>$AY2698*'Assumptions (T&amp;D)'!I$24</f>
        <v>0.2703784283</v>
      </c>
      <c r="BF2855" s="372">
        <f>$AY2698*'Assumptions (T&amp;D)'!J$24</f>
        <v>0.2499203468</v>
      </c>
      <c r="BG2855" s="372">
        <f>$AY2698*'Assumptions (T&amp;D)'!K$24</f>
        <v>0.2466028201</v>
      </c>
      <c r="BH2855" s="372">
        <f>$AY2698*'Assumptions (T&amp;D)'!L$24</f>
        <v>0.2466028201</v>
      </c>
      <c r="BI2855" s="372">
        <f>$AY2698*'Assumptions (T&amp;D)'!M$24</f>
        <v>0.2466028201</v>
      </c>
      <c r="BJ2855" s="372">
        <f>$AY2698*'Assumptions (T&amp;D)'!N$24</f>
        <v>0.2466028201</v>
      </c>
      <c r="BK2855" s="372">
        <f>$AY2698*'Assumptions (T&amp;D)'!O$24</f>
        <v>0.2466028201</v>
      </c>
      <c r="BL2855" s="372">
        <f>$AY2698*'Assumptions (T&amp;D)'!P$24</f>
        <v>0.2466028201</v>
      </c>
      <c r="BM2855" s="372">
        <f>$AY2698*'Assumptions (T&amp;D)'!Q$24</f>
        <v>0.2466028201</v>
      </c>
      <c r="BN2855" s="372">
        <f>$AY2698*'Assumptions (T&amp;D)'!R$24</f>
        <v>0.2466028201</v>
      </c>
      <c r="BO2855" s="372">
        <f>$AY2698*'Assumptions (T&amp;D)'!S$24</f>
        <v>0.2466028201</v>
      </c>
      <c r="BP2855" s="372">
        <f>$AY2698*'Assumptions (T&amp;D)'!T$24</f>
        <v>0.2466028201</v>
      </c>
      <c r="BQ2855" s="372">
        <f>$AY2698*'Assumptions (T&amp;D)'!U$24</f>
        <v>0.2466028201</v>
      </c>
      <c r="BR2855" s="372">
        <f>$AY2698*'Assumptions (T&amp;D)'!V$24</f>
        <v>0.2466028201</v>
      </c>
      <c r="BS2855" s="372">
        <f>$AY2698*'Assumptions (T&amp;D)'!W$24</f>
        <v>0.12330141</v>
      </c>
      <c r="BT2855" s="32"/>
      <c r="BU2855" s="32"/>
      <c r="BV2855" s="32"/>
      <c r="BW2855" s="32"/>
      <c r="BX2855" s="32"/>
      <c r="BY2855" s="32"/>
      <c r="BZ2855" s="32"/>
      <c r="CA2855" s="32"/>
      <c r="CB2855" s="32"/>
      <c r="CC2855" s="32"/>
      <c r="CD2855" s="32"/>
    </row>
    <row r="2856" ht="15.75" hidden="1" customHeight="1" outlineLevel="1">
      <c r="A2856" s="365"/>
      <c r="B2856" s="38"/>
      <c r="C2856" s="38"/>
      <c r="D2856" s="38"/>
      <c r="E2856" s="38"/>
      <c r="F2856" s="38"/>
      <c r="G2856" s="38"/>
      <c r="H2856" s="38"/>
      <c r="I2856" s="38"/>
      <c r="J2856" s="38"/>
      <c r="K2856" s="38"/>
      <c r="L2856" s="38"/>
      <c r="M2856" s="38"/>
      <c r="N2856" s="38"/>
      <c r="O2856" s="38"/>
      <c r="P2856" s="38"/>
      <c r="Q2856" s="38"/>
      <c r="R2856" s="38"/>
      <c r="S2856" s="38"/>
      <c r="T2856" s="38"/>
      <c r="U2856" s="38"/>
      <c r="V2856" s="38"/>
      <c r="W2856" s="38"/>
      <c r="X2856" s="32"/>
      <c r="Y2856" s="32"/>
      <c r="Z2856" s="32"/>
      <c r="AA2856" s="32"/>
      <c r="AB2856" s="32"/>
      <c r="AC2856" s="32"/>
      <c r="AD2856" s="32"/>
      <c r="AE2856" s="32"/>
      <c r="AF2856" s="32"/>
      <c r="AG2856" s="32"/>
      <c r="AH2856" s="32"/>
      <c r="AI2856" s="32"/>
      <c r="AJ2856" s="32"/>
      <c r="AK2856" s="32"/>
      <c r="AL2856" s="32"/>
      <c r="AM2856" s="32"/>
      <c r="AN2856" s="32"/>
      <c r="AO2856" s="32"/>
      <c r="AP2856" s="32"/>
      <c r="AQ2856" s="32"/>
      <c r="AR2856" s="32"/>
      <c r="AS2856" s="32"/>
      <c r="AT2856" s="32"/>
      <c r="AU2856" s="32"/>
      <c r="AV2856" s="32"/>
      <c r="AW2856" s="32"/>
      <c r="AX2856" s="32"/>
      <c r="AY2856" s="32"/>
      <c r="AZ2856" s="372">
        <f>$AZ2698*'Assumptions (T&amp;D)'!C$24</f>
        <v>0.2188776037</v>
      </c>
      <c r="BA2856" s="372">
        <f>$AZ2698*'Assumptions (T&amp;D)'!D$24</f>
        <v>0.4214123463</v>
      </c>
      <c r="BB2856" s="372">
        <f>$AZ2698*'Assumptions (T&amp;D)'!E$24</f>
        <v>0.3898939714</v>
      </c>
      <c r="BC2856" s="372">
        <f>$AZ2698*'Assumptions (T&amp;D)'!F$24</f>
        <v>0.3607102909</v>
      </c>
      <c r="BD2856" s="372">
        <f>$AZ2698*'Assumptions (T&amp;D)'!G$24</f>
        <v>0.3332776312</v>
      </c>
      <c r="BE2856" s="372">
        <f>$AZ2698*'Assumptions (T&amp;D)'!H$24</f>
        <v>0.3087633396</v>
      </c>
      <c r="BF2856" s="372">
        <f>$AZ2698*'Assumptions (T&amp;D)'!I$24</f>
        <v>0.2854163952</v>
      </c>
      <c r="BG2856" s="372">
        <f>$AZ2698*'Assumptions (T&amp;D)'!J$24</f>
        <v>0.2638204716</v>
      </c>
      <c r="BH2856" s="372">
        <f>$AZ2698*'Assumptions (T&amp;D)'!K$24</f>
        <v>0.26031843</v>
      </c>
      <c r="BI2856" s="372">
        <f>$AZ2698*'Assumptions (T&amp;D)'!L$24</f>
        <v>0.26031843</v>
      </c>
      <c r="BJ2856" s="372">
        <f>$AZ2698*'Assumptions (T&amp;D)'!M$24</f>
        <v>0.26031843</v>
      </c>
      <c r="BK2856" s="372">
        <f>$AZ2698*'Assumptions (T&amp;D)'!N$24</f>
        <v>0.26031843</v>
      </c>
      <c r="BL2856" s="372">
        <f>$AZ2698*'Assumptions (T&amp;D)'!O$24</f>
        <v>0.26031843</v>
      </c>
      <c r="BM2856" s="372">
        <f>$AZ2698*'Assumptions (T&amp;D)'!P$24</f>
        <v>0.26031843</v>
      </c>
      <c r="BN2856" s="372">
        <f>$AZ2698*'Assumptions (T&amp;D)'!Q$24</f>
        <v>0.26031843</v>
      </c>
      <c r="BO2856" s="372">
        <f>$AZ2698*'Assumptions (T&amp;D)'!R$24</f>
        <v>0.26031843</v>
      </c>
      <c r="BP2856" s="372">
        <f>$AZ2698*'Assumptions (T&amp;D)'!S$24</f>
        <v>0.26031843</v>
      </c>
      <c r="BQ2856" s="372">
        <f>$AZ2698*'Assumptions (T&amp;D)'!T$24</f>
        <v>0.26031843</v>
      </c>
      <c r="BR2856" s="372">
        <f>$AZ2698*'Assumptions (T&amp;D)'!U$24</f>
        <v>0.26031843</v>
      </c>
      <c r="BS2856" s="372">
        <f>$AZ2698*'Assumptions (T&amp;D)'!V$24</f>
        <v>0.26031843</v>
      </c>
      <c r="BT2856" s="372">
        <f>$AZ2698*'Assumptions (T&amp;D)'!W$24</f>
        <v>0.130159215</v>
      </c>
      <c r="BU2856" s="32"/>
      <c r="BV2856" s="32"/>
      <c r="BW2856" s="32"/>
      <c r="BX2856" s="32"/>
      <c r="BY2856" s="32"/>
      <c r="BZ2856" s="32"/>
      <c r="CA2856" s="32"/>
      <c r="CB2856" s="32"/>
      <c r="CC2856" s="32"/>
      <c r="CD2856" s="32"/>
    </row>
    <row r="2857" ht="15.75" hidden="1" customHeight="1" outlineLevel="1">
      <c r="A2857" s="365"/>
      <c r="B2857" s="38"/>
      <c r="C2857" s="38"/>
      <c r="D2857" s="38"/>
      <c r="E2857" s="38"/>
      <c r="F2857" s="38"/>
      <c r="G2857" s="38"/>
      <c r="H2857" s="38"/>
      <c r="I2857" s="38"/>
      <c r="J2857" s="38"/>
      <c r="K2857" s="38"/>
      <c r="L2857" s="38"/>
      <c r="M2857" s="38"/>
      <c r="N2857" s="38"/>
      <c r="O2857" s="38"/>
      <c r="P2857" s="38"/>
      <c r="Q2857" s="38"/>
      <c r="R2857" s="38"/>
      <c r="S2857" s="38"/>
      <c r="T2857" s="38"/>
      <c r="U2857" s="38"/>
      <c r="V2857" s="38"/>
      <c r="W2857" s="38"/>
      <c r="X2857" s="32"/>
      <c r="Y2857" s="32"/>
      <c r="Z2857" s="32"/>
      <c r="AA2857" s="32"/>
      <c r="AB2857" s="32"/>
      <c r="AC2857" s="32"/>
      <c r="AD2857" s="32"/>
      <c r="AE2857" s="32"/>
      <c r="AF2857" s="32"/>
      <c r="AG2857" s="32"/>
      <c r="AH2857" s="32"/>
      <c r="AI2857" s="32"/>
      <c r="AJ2857" s="32"/>
      <c r="AK2857" s="32"/>
      <c r="AL2857" s="32"/>
      <c r="AM2857" s="32"/>
      <c r="AN2857" s="32"/>
      <c r="AO2857" s="32"/>
      <c r="AP2857" s="32"/>
      <c r="AQ2857" s="32"/>
      <c r="AR2857" s="32"/>
      <c r="AS2857" s="32"/>
      <c r="AT2857" s="32"/>
      <c r="AU2857" s="32"/>
      <c r="AV2857" s="32"/>
      <c r="AW2857" s="32"/>
      <c r="AX2857" s="32"/>
      <c r="AY2857" s="32"/>
      <c r="AZ2857" s="32"/>
      <c r="BA2857" s="372">
        <f>$BA2698*'Assumptions (T&amp;D)'!C$24</f>
        <v>0.2231999921</v>
      </c>
      <c r="BB2857" s="372">
        <f>$BA2698*'Assumptions (T&amp;D)'!D$24</f>
        <v>0.4297343848</v>
      </c>
      <c r="BC2857" s="372">
        <f>$BA2698*'Assumptions (T&amp;D)'!E$24</f>
        <v>0.397593586</v>
      </c>
      <c r="BD2857" s="372">
        <f>$BA2698*'Assumptions (T&amp;D)'!F$24</f>
        <v>0.367833587</v>
      </c>
      <c r="BE2857" s="372">
        <f>$BA2698*'Assumptions (T&amp;D)'!G$24</f>
        <v>0.339859188</v>
      </c>
      <c r="BF2857" s="372">
        <f>$BA2698*'Assumptions (T&amp;D)'!H$24</f>
        <v>0.3148607889</v>
      </c>
      <c r="BG2857" s="372">
        <f>$BA2698*'Assumptions (T&amp;D)'!I$24</f>
        <v>0.2910527897</v>
      </c>
      <c r="BH2857" s="372">
        <f>$BA2698*'Assumptions (T&amp;D)'!J$24</f>
        <v>0.2690303905</v>
      </c>
      <c r="BI2857" s="372">
        <f>$BA2698*'Assumptions (T&amp;D)'!K$24</f>
        <v>0.2654591906</v>
      </c>
      <c r="BJ2857" s="372">
        <f>$BA2698*'Assumptions (T&amp;D)'!L$24</f>
        <v>0.2654591906</v>
      </c>
      <c r="BK2857" s="372">
        <f>$BA2698*'Assumptions (T&amp;D)'!M$24</f>
        <v>0.2654591906</v>
      </c>
      <c r="BL2857" s="372">
        <f>$BA2698*'Assumptions (T&amp;D)'!N$24</f>
        <v>0.2654591906</v>
      </c>
      <c r="BM2857" s="372">
        <f>$BA2698*'Assumptions (T&amp;D)'!O$24</f>
        <v>0.2654591906</v>
      </c>
      <c r="BN2857" s="372">
        <f>$BA2698*'Assumptions (T&amp;D)'!P$24</f>
        <v>0.2654591906</v>
      </c>
      <c r="BO2857" s="372">
        <f>$BA2698*'Assumptions (T&amp;D)'!Q$24</f>
        <v>0.2654591906</v>
      </c>
      <c r="BP2857" s="372">
        <f>$BA2698*'Assumptions (T&amp;D)'!R$24</f>
        <v>0.2654591906</v>
      </c>
      <c r="BQ2857" s="372">
        <f>$BA2698*'Assumptions (T&amp;D)'!S$24</f>
        <v>0.2654591906</v>
      </c>
      <c r="BR2857" s="372">
        <f>$BA2698*'Assumptions (T&amp;D)'!T$24</f>
        <v>0.2654591906</v>
      </c>
      <c r="BS2857" s="372">
        <f>$BA2698*'Assumptions (T&amp;D)'!U$24</f>
        <v>0.2654591906</v>
      </c>
      <c r="BT2857" s="372">
        <f>$BA2698*'Assumptions (T&amp;D)'!V$24</f>
        <v>0.2654591906</v>
      </c>
      <c r="BU2857" s="372">
        <f>$BA2698*'Assumptions (T&amp;D)'!W$24</f>
        <v>0.1327295953</v>
      </c>
      <c r="BV2857" s="32"/>
      <c r="BW2857" s="32"/>
      <c r="BX2857" s="32"/>
      <c r="BY2857" s="32"/>
      <c r="BZ2857" s="32"/>
      <c r="CA2857" s="32"/>
      <c r="CB2857" s="32"/>
      <c r="CC2857" s="32"/>
      <c r="CD2857" s="32"/>
    </row>
    <row r="2858" ht="15.75" customHeight="1" collapsed="1">
      <c r="A2858" s="365" t="s">
        <v>374</v>
      </c>
      <c r="B2858" s="159" t="s">
        <v>351</v>
      </c>
      <c r="C2858" s="377">
        <f>(1/(1-'Assumptions (T&amp;D)'!C$26))*(C2695+C2805+(C2696-C2805-C2696*'Assumptions (T&amp;D)'!$C$25)*'Assumptions (T&amp;D)'!$C$22)</f>
        <v>15.43313755</v>
      </c>
      <c r="D2858" s="377">
        <f>(1/(1-'Assumptions (T&amp;D)'!D$26))*(D2695+D2805+(D2696-D2805-D2696*'Assumptions (T&amp;D)'!$C$25)*'Assumptions (T&amp;D)'!$C$22)</f>
        <v>15.6002297</v>
      </c>
      <c r="E2858" s="377">
        <f>(1/(1-'Assumptions (T&amp;D)'!E$26))*(E2695+E2805+(E2696-E2805-E2696*'Assumptions (T&amp;D)'!$C$25)*'Assumptions (T&amp;D)'!$C$22)</f>
        <v>15.48969159</v>
      </c>
      <c r="F2858" s="377">
        <f>(1/(1-'Assumptions (T&amp;D)'!F$26))*(F2695+F2805+(F2696-F2805-F2696*'Assumptions (T&amp;D)'!$C$25)*'Assumptions (T&amp;D)'!$C$22)</f>
        <v>16.30860611</v>
      </c>
      <c r="G2858" s="377">
        <f>(1/(1-'Assumptions (T&amp;D)'!G$26))*(G2695+G2805+(G2696-G2805-G2696*'Assumptions (T&amp;D)'!$C$25)*'Assumptions (T&amp;D)'!$C$22)</f>
        <v>16.92532377</v>
      </c>
      <c r="H2858" s="377">
        <f>(1/(1-'Assumptions (T&amp;D)'!H$26))*(H2695+H2805+(H2696-H2805-H2696*'Assumptions (T&amp;D)'!$C$25)*'Assumptions (T&amp;D)'!$C$22)</f>
        <v>17.78697309</v>
      </c>
      <c r="I2858" s="377">
        <f>(1/(1-'Assumptions (T&amp;D)'!I$26))*(I2695+I2805+(I2696-I2805-I2696*'Assumptions (T&amp;D)'!$C$25)*'Assumptions (T&amp;D)'!$C$22)</f>
        <v>18.43256066</v>
      </c>
      <c r="J2858" s="377">
        <f>(1/(1-'Assumptions (T&amp;D)'!J$26))*(J2695+J2805+(J2696-J2805-J2696*'Assumptions (T&amp;D)'!$C$25)*'Assumptions (T&amp;D)'!$C$22)</f>
        <v>20.06841706</v>
      </c>
      <c r="K2858" s="377">
        <f>(1/(1-'Assumptions (T&amp;D)'!K$26))*(K2695+K2805+(K2696-K2805-K2696*'Assumptions (T&amp;D)'!$C$25)*'Assumptions (T&amp;D)'!$C$22)</f>
        <v>21.51038857</v>
      </c>
      <c r="L2858" s="377">
        <f>(1/(1-'Assumptions (T&amp;D)'!L$26))*(L2695+L2805+(L2696-L2805-L2696*'Assumptions (T&amp;D)'!$C$25)*'Assumptions (T&amp;D)'!$C$22)</f>
        <v>23.22755819</v>
      </c>
      <c r="M2858" s="377">
        <f>(1/(1-'Assumptions (T&amp;D)'!M$26))*(M2695+M2805+(M2696-M2805-M2696*'Assumptions (T&amp;D)'!$C$25)*'Assumptions (T&amp;D)'!$C$22)</f>
        <v>25.08782595</v>
      </c>
      <c r="N2858" s="377">
        <f>(1/(1-'Assumptions (T&amp;D)'!N$26))*(N2695+N2805+(N2696-N2805-N2696*'Assumptions (T&amp;D)'!$C$25)*'Assumptions (T&amp;D)'!$C$22)</f>
        <v>27.12683077</v>
      </c>
      <c r="O2858" s="377">
        <f>(1/(1-'Assumptions (T&amp;D)'!O$26))*(O2695+O2805+(O2696-O2805-O2696*'Assumptions (T&amp;D)'!$C$25)*'Assumptions (T&amp;D)'!$C$22)</f>
        <v>29.09222254</v>
      </c>
      <c r="P2858" s="377">
        <f>(1/(1-'Assumptions (T&amp;D)'!P$26))*(P2695+P2805+(P2696-P2805-P2696*'Assumptions (T&amp;D)'!$C$25)*'Assumptions (T&amp;D)'!$C$22)</f>
        <v>32.13082598</v>
      </c>
      <c r="Q2858" s="377">
        <f>(1/(1-'Assumptions (T&amp;D)'!Q$26))*(Q2695+Q2805+(Q2696-Q2805-Q2696*'Assumptions (T&amp;D)'!$C$25)*'Assumptions (T&amp;D)'!$C$22)</f>
        <v>35.52947156</v>
      </c>
      <c r="R2858" s="377">
        <f>(1/(1-'Assumptions (T&amp;D)'!R$26))*(R2695+R2805+(R2696-R2805-R2696*'Assumptions (T&amp;D)'!$C$25)*'Assumptions (T&amp;D)'!$C$22)</f>
        <v>39.30172624</v>
      </c>
      <c r="S2858" s="377">
        <f>(1/(1-'Assumptions (T&amp;D)'!S$26))*(S2695+S2805+(S2696-S2805-S2696*'Assumptions (T&amp;D)'!$C$25)*'Assumptions (T&amp;D)'!$C$22)</f>
        <v>43.51025984</v>
      </c>
      <c r="T2858" s="377">
        <f>(1/(1-'Assumptions (T&amp;D)'!T$26))*(T2695+T2805+(T2696-T2805-T2696*'Assumptions (T&amp;D)'!$C$25)*'Assumptions (T&amp;D)'!$C$22)</f>
        <v>2.594553636</v>
      </c>
      <c r="U2858" s="377">
        <f>(1/(1-'Assumptions (T&amp;D)'!U$26))*(U2695+U2805+(U2696-U2805-U2696*'Assumptions (T&amp;D)'!$C$25)*'Assumptions (T&amp;D)'!$C$22)</f>
        <v>2.212398604</v>
      </c>
      <c r="V2858" s="377">
        <f>(1/(1-'Assumptions (T&amp;D)'!V$26))*(V2695+V2805+(V2696-V2805-V2696*'Assumptions (T&amp;D)'!$C$25)*'Assumptions (T&amp;D)'!$C$22)</f>
        <v>2.385773994</v>
      </c>
      <c r="W2858" s="377">
        <f>(1/(1-'Assumptions (T&amp;D)'!W$26))*(W2695+W2805+(W2696-W2805-W2696*'Assumptions (T&amp;D)'!$C$25)*'Assumptions (T&amp;D)'!$C$22)</f>
        <v>2.50813352</v>
      </c>
      <c r="X2858" s="377">
        <f>(1/(1-'Assumptions (T&amp;D)'!X$26))*(X2695+X2805+(X2696-X2805-X2696*'Assumptions (T&amp;D)'!$C$25)*'Assumptions (T&amp;D)'!$C$22)</f>
        <v>2.635758232</v>
      </c>
      <c r="Y2858" s="377">
        <f>(1/(1-'Assumptions (T&amp;D)'!Y$26))*(Y2695+Y2805+(Y2696-Y2805-Y2696*'Assumptions (T&amp;D)'!$C$25)*'Assumptions (T&amp;D)'!$C$22)</f>
        <v>2.777728715</v>
      </c>
      <c r="Z2858" s="377">
        <f>(1/(1-'Assumptions (T&amp;D)'!Z$26))*(Z2695+Z2805+(Z2696-Z2805-Z2696*'Assumptions (T&amp;D)'!$C$25)*'Assumptions (T&amp;D)'!$C$22)</f>
        <v>2.923584439</v>
      </c>
      <c r="AA2858" s="377">
        <f>(1/(1-'Assumptions (T&amp;D)'!AA$26))*(AA2695+AA2805+(AA2696-AA2805-AA2696*'Assumptions (T&amp;D)'!$C$25)*'Assumptions (T&amp;D)'!$C$22)</f>
        <v>3.07342349</v>
      </c>
      <c r="AB2858" s="377">
        <f>(1/(1-'Assumptions (T&amp;D)'!AB$26))*(AB2695+AB2805+(AB2696-AB2805-AB2696*'Assumptions (T&amp;D)'!$C$25)*'Assumptions (T&amp;D)'!$C$22)</f>
        <v>3.227346312</v>
      </c>
      <c r="AC2858" s="377">
        <f>(1/(1-'Assumptions (T&amp;D)'!AC$26))*(AC2695+AC2805+(AC2696-AC2805-AC2696*'Assumptions (T&amp;D)'!$C$25)*'Assumptions (T&amp;D)'!$C$22)</f>
        <v>3.385455762</v>
      </c>
      <c r="AD2858" s="377">
        <f>(1/(1-'Assumptions (T&amp;D)'!AD$26))*(AD2695+AD2805+(AD2696-AD2805-AD2696*'Assumptions (T&amp;D)'!$C$25)*'Assumptions (T&amp;D)'!$C$22)</f>
        <v>3.547857168</v>
      </c>
      <c r="AE2858" s="377">
        <f>(1/(1-'Assumptions (T&amp;D)'!AE$26))*(AE2695+AE2805+(AE2696-AE2805-AE2696*'Assumptions (T&amp;D)'!$C$25)*'Assumptions (T&amp;D)'!$C$22)</f>
        <v>3.714707243</v>
      </c>
      <c r="AF2858" s="377">
        <f>(1/(1-'Assumptions (T&amp;D)'!AF$26))*(AF2695+AF2805+(AF2696-AF2805-AF2696*'Assumptions (T&amp;D)'!$C$25)*'Assumptions (T&amp;D)'!$C$22)</f>
        <v>3.886018712</v>
      </c>
      <c r="AG2858" s="377">
        <f>(1/(1-'Assumptions (T&amp;D)'!AG$26))*(AG2695+AG2805+(AG2696-AG2805-AG2696*'Assumptions (T&amp;D)'!$C$25)*'Assumptions (T&amp;D)'!$C$22)</f>
        <v>4.031805502</v>
      </c>
      <c r="AH2858" s="377">
        <f>(1/(1-'Assumptions (T&amp;D)'!AH$26))*(AH2695+AH2805+(AH2696-AH2805-AH2696*'Assumptions (T&amp;D)'!$C$25)*'Assumptions (T&amp;D)'!$C$22)</f>
        <v>4.166653653</v>
      </c>
      <c r="AI2858" s="377">
        <f>(1/(1-'Assumptions (T&amp;D)'!AI$26))*(AI2695+AI2805+(AI2696-AI2805-AI2696*'Assumptions (T&amp;D)'!$C$25)*'Assumptions (T&amp;D)'!$C$22)</f>
        <v>4.31226484</v>
      </c>
      <c r="AJ2858" s="377">
        <f>(1/(1-'Assumptions (T&amp;D)'!AJ$26))*(AJ2695+AJ2805+(AJ2696-AJ2805-AJ2696*'Assumptions (T&amp;D)'!$C$25)*'Assumptions (T&amp;D)'!$C$22)</f>
        <v>4.461340014</v>
      </c>
      <c r="AK2858" s="377">
        <f>(1/(1-'Assumptions (T&amp;D)'!AK$26))*(AK2695+AK2805+(AK2696-AK2805-AK2696*'Assumptions (T&amp;D)'!$C$25)*'Assumptions (T&amp;D)'!$C$22)</f>
        <v>4.609188997</v>
      </c>
      <c r="AL2858" s="377">
        <f>(1/(1-'Assumptions (T&amp;D)'!AL$26))*(AL2695+AL2805+(AL2696-AL2805-AL2696*'Assumptions (T&amp;D)'!$C$25)*'Assumptions (T&amp;D)'!$C$22)</f>
        <v>4.771860636</v>
      </c>
      <c r="AM2858" s="377">
        <f>(1/(1-'Assumptions (T&amp;D)'!AM$26))*(AM2695+AM2805+(AM2696-AM2805-AM2696*'Assumptions (T&amp;D)'!$C$25)*'Assumptions (T&amp;D)'!$C$22)</f>
        <v>4.92390286</v>
      </c>
      <c r="AN2858" s="377">
        <f>(1/(1-'Assumptions (T&amp;D)'!AN$26))*(AN2695+AN2805+(AN2696-AN2805-AN2696*'Assumptions (T&amp;D)'!$C$25)*'Assumptions (T&amp;D)'!$C$22)</f>
        <v>5.080117381</v>
      </c>
      <c r="AO2858" s="377">
        <f>(1/(1-'Assumptions (T&amp;D)'!AO$26))*(AO2695+AO2805+(AO2696-AO2805-AO2696*'Assumptions (T&amp;D)'!$C$25)*'Assumptions (T&amp;D)'!$C$22)</f>
        <v>5.245773642</v>
      </c>
      <c r="AP2858" s="377">
        <f>(1/(1-'Assumptions (T&amp;D)'!AP$26))*(AP2695+AP2805+(AP2696-AP2805-AP2696*'Assumptions (T&amp;D)'!$C$25)*'Assumptions (T&amp;D)'!$C$22)</f>
        <v>5.42133366</v>
      </c>
      <c r="AQ2858" s="377">
        <f>(1/(1-'Assumptions (T&amp;D)'!AQ$26))*(AQ2695+AQ2805+(AQ2696-AQ2805-AQ2696*'Assumptions (T&amp;D)'!$C$25)*'Assumptions (T&amp;D)'!$C$22)</f>
        <v>5.585097909</v>
      </c>
      <c r="AR2858" s="377">
        <f>(1/(1-'Assumptions (T&amp;D)'!AR$26))*(AR2695+AR2805+(AR2696-AR2805-AR2696*'Assumptions (T&amp;D)'!$C$25)*'Assumptions (T&amp;D)'!$C$22)</f>
        <v>5.745562406</v>
      </c>
      <c r="AS2858" s="377">
        <f>(1/(1-'Assumptions (T&amp;D)'!AS$26))*(AS2695+AS2805+(AS2696-AS2805-AS2696*'Assumptions (T&amp;D)'!$C$25)*'Assumptions (T&amp;D)'!$C$22)</f>
        <v>5.907044646</v>
      </c>
      <c r="AT2858" s="377">
        <f>(1/(1-'Assumptions (T&amp;D)'!AT$26))*(AT2695+AT2805+(AT2696-AT2805-AT2696*'Assumptions (T&amp;D)'!$C$25)*'Assumptions (T&amp;D)'!$C$22)</f>
        <v>6.060527766</v>
      </c>
      <c r="AU2858" s="377">
        <f>(1/(1-'Assumptions (T&amp;D)'!AU$26))*(AU2695+AU2805+(AU2696-AU2805-AU2696*'Assumptions (T&amp;D)'!$C$25)*'Assumptions (T&amp;D)'!$C$22)</f>
        <v>6.23788273</v>
      </c>
      <c r="AV2858" s="377">
        <f>(1/(1-'Assumptions (T&amp;D)'!AV$26))*(AV2695+AV2805+(AV2696-AV2805-AV2696*'Assumptions (T&amp;D)'!$C$25)*'Assumptions (T&amp;D)'!$C$22)</f>
        <v>6.414350835</v>
      </c>
      <c r="AW2858" s="377">
        <f>(1/(1-'Assumptions (T&amp;D)'!AW$26))*(AW2695+AW2805+(AW2696-AW2805-AW2696*'Assumptions (T&amp;D)'!$C$25)*'Assumptions (T&amp;D)'!$C$22)</f>
        <v>6.595385108</v>
      </c>
      <c r="AX2858" s="377">
        <f>(1/(1-'Assumptions (T&amp;D)'!AX$26))*(AX2695+AX2805+(AX2696-AX2805-AX2696*'Assumptions (T&amp;D)'!$C$25)*'Assumptions (T&amp;D)'!$C$22)</f>
        <v>6.778069838</v>
      </c>
      <c r="AY2858" s="377">
        <f>(1/(1-'Assumptions (T&amp;D)'!AY$26))*(AY2695+AY2805+(AY2696-AY2805-AY2696*'Assumptions (T&amp;D)'!$C$25)*'Assumptions (T&amp;D)'!$C$22)</f>
        <v>6.966780762</v>
      </c>
      <c r="AZ2858" s="377">
        <f>(1/(1-'Assumptions (T&amp;D)'!AZ$26))*(AZ2695+AZ2805+(AZ2696-AZ2805-AZ2696*'Assumptions (T&amp;D)'!$C$25)*'Assumptions (T&amp;D)'!$C$22)</f>
        <v>7.165816954</v>
      </c>
      <c r="BA2858" s="377">
        <f>(1/(1-'Assumptions (T&amp;D)'!BA$26))*(BA2695+BA2805+(BA2696-BA2805-BA2696*'Assumptions (T&amp;D)'!$C$25)*'Assumptions (T&amp;D)'!$C$22)</f>
        <v>7.369151266</v>
      </c>
      <c r="BB2858" s="32"/>
      <c r="BC2858" s="32"/>
      <c r="BD2858" s="32"/>
      <c r="BE2858" s="32"/>
      <c r="BF2858" s="32"/>
      <c r="BG2858" s="32"/>
      <c r="BH2858" s="32"/>
      <c r="BI2858" s="32"/>
      <c r="BJ2858" s="32"/>
      <c r="BK2858" s="32"/>
      <c r="BL2858" s="32"/>
      <c r="BM2858" s="32"/>
      <c r="BN2858" s="32"/>
      <c r="BO2858" s="32"/>
      <c r="BP2858" s="32"/>
      <c r="BQ2858" s="32"/>
      <c r="BR2858" s="32"/>
      <c r="BS2858" s="32"/>
      <c r="BT2858" s="32"/>
      <c r="BU2858" s="32"/>
      <c r="BV2858" s="32"/>
      <c r="BW2858" s="32"/>
      <c r="BX2858" s="32"/>
      <c r="BY2858" s="32"/>
      <c r="BZ2858" s="32"/>
      <c r="CA2858" s="32"/>
      <c r="CB2858" s="32"/>
      <c r="CC2858" s="32"/>
      <c r="CD2858" s="32"/>
    </row>
    <row r="2859" ht="15.75" customHeight="1">
      <c r="A2859" s="365" t="s">
        <v>62</v>
      </c>
      <c r="B2859" s="159" t="s">
        <v>351</v>
      </c>
      <c r="C2859" s="372">
        <f>IF(C2858-C2695-C2806-C2753&gt;0,(1-'Assumptions (T&amp;D)'!C$26)*(C2858-C2695-C2806+C2753)-C2700+C2701+Model!C2806,C2858-C2695-C2700+C2701+C2753)</f>
        <v>9.238636902</v>
      </c>
      <c r="D2859" s="372">
        <f>IF(D2858-D2695-D2806-D2753&gt;0,(1-'Assumptions (T&amp;D)'!D$26)*(D2858-D2695-D2806+D2753)-D2700+D2701+Model!D2806,D2858-D2695-D2700+D2701+D2753)</f>
        <v>9.096245806</v>
      </c>
      <c r="E2859" s="372">
        <f>IF(E2858-E2695-E2806-E2753&gt;0,(1-'Assumptions (T&amp;D)'!E$26)*(E2858-E2695-E2806+E2753)-E2700+E2701+Model!E2806,E2858-E2695-E2700+E2701+E2753)</f>
        <v>9.098755436</v>
      </c>
      <c r="F2859" s="372">
        <f>IF(F2858-F2695-F2806-F2753&gt;0,(1-'Assumptions (T&amp;D)'!F$26)*(F2858-F2695-F2806+F2753)-F2700+F2701+Model!F2806,F2858-F2695-F2700+F2701+F2753)</f>
        <v>9.605345319</v>
      </c>
      <c r="G2859" s="372">
        <f>IF(G2858-G2695-G2806-G2753&gt;0,(1-'Assumptions (T&amp;D)'!G$26)*(G2858-G2695-G2806+G2753)-G2700+G2701+Model!G2806,G2858-G2695-G2700+G2701+G2753)</f>
        <v>9.893406372</v>
      </c>
      <c r="H2859" s="372">
        <f>IF(H2858-H2695-H2806-H2753&gt;0,(1-'Assumptions (T&amp;D)'!H$26)*(H2858-H2695-H2806+H2753)-H2700+H2701+Model!H2806,H2858-H2695-H2700+H2701+H2753)</f>
        <v>10.55143595</v>
      </c>
      <c r="I2859" s="372">
        <f>IF(I2858-I2695-I2806-I2753&gt;0,(1-'Assumptions (T&amp;D)'!I$26)*(I2858-I2695-I2806+I2753)-I2700+I2701+Model!I2806,I2858-I2695-I2700+I2701+I2753)</f>
        <v>10.67378377</v>
      </c>
      <c r="J2859" s="372">
        <f>IF(J2858-J2695-J2806-J2753&gt;0,(1-'Assumptions (T&amp;D)'!J$26)*(J2858-J2695-J2806+J2753)-J2700+J2701+Model!J2806,J2858-J2695-J2700+J2701+J2753)</f>
        <v>11.67324584</v>
      </c>
      <c r="K2859" s="372">
        <f>IF(K2858-K2695-K2806-K2753&gt;0,(1-'Assumptions (T&amp;D)'!K$26)*(K2858-K2695-K2806+K2753)-K2700+K2701+Model!K2806,K2858-K2695-K2700+K2701+K2753)</f>
        <v>12.60604578</v>
      </c>
      <c r="L2859" s="372">
        <f>IF(L2858-L2695-L2806-L2753&gt;0,(1-'Assumptions (T&amp;D)'!L$26)*(L2858-L2695-L2806+L2753)-L2700+L2701+Model!L2806,L2858-L2695-L2700+L2701+L2753)</f>
        <v>13.77449416</v>
      </c>
      <c r="M2859" s="372">
        <f>IF(M2858-M2695-M2806-M2753&gt;0,(1-'Assumptions (T&amp;D)'!M$26)*(M2858-M2695-M2806+M2753)-M2700+M2701+Model!M2806,M2858-M2695-M2700+M2701+M2753)</f>
        <v>14.60655787</v>
      </c>
      <c r="N2859" s="372">
        <f>IF(N2858-N2695-N2806-N2753&gt;0,(1-'Assumptions (T&amp;D)'!N$26)*(N2858-N2695-N2806+N2753)-N2700+N2701+Model!N2806,N2858-N2695-N2700+N2701+N2753)</f>
        <v>15.78098859</v>
      </c>
      <c r="O2859" s="372">
        <f>IF(O2858-O2695-O2806-O2753&gt;0,(1-'Assumptions (T&amp;D)'!O$26)*(O2858-O2695-O2806+O2753)-O2700+O2701+Model!O2806,O2858-O2695-O2700+O2701+O2753)</f>
        <v>16.98442918</v>
      </c>
      <c r="P2859" s="372">
        <f>IF(P2858-P2695-P2806-P2753&gt;0,(1-'Assumptions (T&amp;D)'!P$26)*(P2858-P2695-P2806+P2753)-P2700+P2701+Model!P2806,P2858-P2695-P2700+P2701+P2753)</f>
        <v>18.69057691</v>
      </c>
      <c r="Q2859" s="372">
        <f>IF(Q2858-Q2695-Q2806-Q2753&gt;0,(1-'Assumptions (T&amp;D)'!Q$26)*(Q2858-Q2695-Q2806+Q2753)-Q2700+Q2701+Model!Q2806,Q2858-Q2695-Q2700+Q2701+Q2753)</f>
        <v>20.9575</v>
      </c>
      <c r="R2859" s="372">
        <f>IF(R2858-R2695-R2806-R2753&gt;0,(1-'Assumptions (T&amp;D)'!R$26)*(R2858-R2695-R2806+R2753)-R2700+R2701+Model!R2806,R2858-R2695-R2700+R2701+R2753)</f>
        <v>23.4570671</v>
      </c>
      <c r="S2859" s="372">
        <f>IF(S2858-S2695-S2806-S2753&gt;0,(1-'Assumptions (T&amp;D)'!S$26)*(S2858-S2695-S2806+S2753)-S2700+S2701+Model!S2806,S2858-S2695-S2700+S2701+S2753)</f>
        <v>26.09742293</v>
      </c>
      <c r="T2859" s="372">
        <f>IF(T2858-T2695-T2806-T2753&gt;0,(1-'Assumptions (T&amp;D)'!T$26)*(T2858-T2695-T2806+T2753)-T2700+T2701+Model!T2806,T2858-T2695-T2700+T2701+T2753)</f>
        <v>-0.5837436927</v>
      </c>
      <c r="U2859" s="372">
        <f>IF(U2858-U2695-U2806-U2753&gt;0,(1-'Assumptions (T&amp;D)'!U$26)*(U2858-U2695-U2806+U2753)-U2700+U2701+Model!U2806,U2858-U2695-U2700+U2701+U2753)</f>
        <v>-0.9143732341</v>
      </c>
      <c r="V2859" s="372">
        <f>IF(V2858-V2695-V2806-V2753&gt;0,(1-'Assumptions (T&amp;D)'!V$26)*(V2858-V2695-V2806+V2753)-V2700+V2701+Model!V2806,V2858-V2695-V2700+V2701+V2753)</f>
        <v>-0.8974191464</v>
      </c>
      <c r="W2859" s="372">
        <f>IF(W2858-W2695-W2806-W2753&gt;0,(1-'Assumptions (T&amp;D)'!W$26)*(W2858-W2695-W2806+W2753)-W2700+W2701+Model!W2806,W2858-W2695-W2700+W2701+W2753)</f>
        <v>-0.8790469861</v>
      </c>
      <c r="X2859" s="372">
        <f>IF(X2858-X2695-X2806-X2753&gt;0,(1-'Assumptions (T&amp;D)'!X$26)*(X2858-X2695-X2806+X2753)-X2700+X2701+Model!X2806,X2858-X2695-X2700+X2701+X2753)</f>
        <v>-0.932470284</v>
      </c>
      <c r="Y2859" s="372">
        <f>IF(Y2858-Y2695-Y2806-Y2753&gt;0,(1-'Assumptions (T&amp;D)'!Y$26)*(Y2858-Y2695-Y2806+Y2753)-Y2700+Y2701+Model!Y2806,Y2858-Y2695-Y2700+Y2701+Y2753)</f>
        <v>-0.9165322754</v>
      </c>
      <c r="Z2859" s="372">
        <f>IF(Z2858-Z2695-Z2806-Z2753&gt;0,(1-'Assumptions (T&amp;D)'!Z$26)*(Z2858-Z2695-Z2806+Z2753)-Z2700+Z2701+Model!Z2806,Z2858-Z2695-Z2700+Z2701+Z2753)</f>
        <v>-0.904700247</v>
      </c>
      <c r="AA2859" s="372">
        <f>IF(AA2858-AA2695-AA2806-AA2753&gt;0,(1-'Assumptions (T&amp;D)'!AA$26)*(AA2858-AA2695-AA2806+AA2753)-AA2700+AA2701+Model!AA2806,AA2858-AA2695-AA2700+AA2701+AA2753)</f>
        <v>-0.8987254934</v>
      </c>
      <c r="AB2859" s="372">
        <f>IF(AB2858-AB2695-AB2806-AB2753&gt;0,(1-'Assumptions (T&amp;D)'!AB$26)*(AB2858-AB2695-AB2806+AB2753)-AB2700+AB2701+Model!AB2806,AB2858-AB2695-AB2700+AB2701+AB2753)</f>
        <v>-0.8763738585</v>
      </c>
      <c r="AC2859" s="372">
        <f>IF(AC2858-AC2695-AC2806-AC2753&gt;0,(1-'Assumptions (T&amp;D)'!AC$26)*(AC2858-AC2695-AC2806+AC2753)-AC2700+AC2701+Model!AC2806,AC2858-AC2695-AC2700+AC2701+AC2753)</f>
        <v>-0.8467233491</v>
      </c>
      <c r="AD2859" s="372">
        <f>IF(AD2858-AD2695-AD2806-AD2753&gt;0,(1-'Assumptions (T&amp;D)'!AD$26)*(AD2858-AD2695-AD2806+AD2753)-AD2700+AD2701+Model!AD2806,AD2858-AD2695-AD2700+AD2701+AD2753)</f>
        <v>-0.8150332696</v>
      </c>
      <c r="AE2859" s="372">
        <f>IF(AE2858-AE2695-AE2806-AE2753&gt;0,(1-'Assumptions (T&amp;D)'!AE$26)*(AE2858-AE2695-AE2806+AE2753)-AE2700+AE2701+Model!AE2806,AE2858-AE2695-AE2700+AE2701+AE2753)</f>
        <v>-0.7708479601</v>
      </c>
      <c r="AF2859" s="372">
        <f>IF(AF2858-AF2695-AF2806-AF2753&gt;0,(1-'Assumptions (T&amp;D)'!AF$26)*(AF2858-AF2695-AF2806+AF2753)-AF2700+AF2701+Model!AF2806,AF2858-AF2695-AF2700+AF2701+AF2753)</f>
        <v>-0.7342347537</v>
      </c>
      <c r="AG2859" s="372">
        <f>IF(AG2858-AG2695-AG2806-AG2753&gt;0,(1-'Assumptions (T&amp;D)'!AG$26)*(AG2858-AG2695-AG2806+AG2753)-AG2700+AG2701+Model!AG2806,AG2858-AG2695-AG2700+AG2701+AG2753)</f>
        <v>-0.7248057296</v>
      </c>
      <c r="AH2859" s="372">
        <f>IF(AH2858-AH2695-AH2806-AH2753&gt;0,(1-'Assumptions (T&amp;D)'!AH$26)*(AH2858-AH2695-AH2806+AH2753)-AH2700+AH2701+Model!AH2806,AH2858-AH2695-AH2700+AH2701+AH2753)</f>
        <v>-0.7296828966</v>
      </c>
      <c r="AI2859" s="372">
        <f>IF(AI2858-AI2695-AI2806-AI2753&gt;0,(1-'Assumptions (T&amp;D)'!AI$26)*(AI2858-AI2695-AI2806+AI2753)-AI2700+AI2701+Model!AI2806,AI2858-AI2695-AI2700+AI2701+AI2753)</f>
        <v>-0.7399932515</v>
      </c>
      <c r="AJ2859" s="372">
        <f>IF(AJ2858-AJ2695-AJ2806-AJ2753&gt;0,(1-'Assumptions (T&amp;D)'!AJ$26)*(AJ2858-AJ2695-AJ2806+AJ2753)-AJ2700+AJ2701+Model!AJ2806,AJ2858-AJ2695-AJ2700+AJ2701+AJ2753)</f>
        <v>-0.7287756855</v>
      </c>
      <c r="AK2859" s="372">
        <f>IF(AK2858-AK2695-AK2806-AK2753&gt;0,(1-'Assumptions (T&amp;D)'!AK$26)*(AK2858-AK2695-AK2806+AK2753)-AK2700+AK2701+Model!AK2806,AK2858-AK2695-AK2700+AK2701+AK2753)</f>
        <v>-0.7330569257</v>
      </c>
      <c r="AL2859" s="372">
        <f>IF(AL2858-AL2695-AL2806-AL2753&gt;0,(1-'Assumptions (T&amp;D)'!AL$26)*(AL2858-AL2695-AL2806+AL2753)-AL2700+AL2701+Model!AL2806,AL2858-AL2695-AL2700+AL2701+AL2753)</f>
        <v>-0.7277251806</v>
      </c>
      <c r="AM2859" s="372">
        <f>IF(AM2858-AM2695-AM2806-AM2753&gt;0,(1-'Assumptions (T&amp;D)'!AM$26)*(AM2858-AM2695-AM2806+AM2753)-AM2700+AM2701+Model!AM2806,AM2858-AM2695-AM2700+AM2701+AM2753)</f>
        <v>-0.7292569887</v>
      </c>
      <c r="AN2859" s="372">
        <f>IF(AN2858-AN2695-AN2806-AN2753&gt;0,(1-'Assumptions (T&amp;D)'!AN$26)*(AN2858-AN2695-AN2806+AN2753)-AN2700+AN2701+Model!AN2806,AN2858-AN2695-AN2700+AN2701+AN2753)</f>
        <v>-0.7308947317</v>
      </c>
      <c r="AO2859" s="372">
        <f>IF(AO2858-AO2695-AO2806-AO2753&gt;0,(1-'Assumptions (T&amp;D)'!AO$26)*(AO2858-AO2695-AO2806+AO2753)-AO2700+AO2701+Model!AO2806,AO2858-AO2695-AO2700+AO2701+AO2753)</f>
        <v>-0.7284027842</v>
      </c>
      <c r="AP2859" s="372">
        <f>IF(AP2858-AP2695-AP2806-AP2753&gt;0,(1-'Assumptions (T&amp;D)'!AP$26)*(AP2858-AP2695-AP2806+AP2753)-AP2700+AP2701+Model!AP2806,AP2858-AP2695-AP2700+AP2701+AP2753)</f>
        <v>-0.721242322</v>
      </c>
      <c r="AQ2859" s="372">
        <f>IF(AQ2858-AQ2695-AQ2806-AQ2753&gt;0,(1-'Assumptions (T&amp;D)'!AQ$26)*(AQ2858-AQ2695-AQ2806+AQ2753)-AQ2700+AQ2701+Model!AQ2806,AQ2858-AQ2695-AQ2700+AQ2701+AQ2753)</f>
        <v>-0.7266946042</v>
      </c>
      <c r="AR2859" s="372">
        <f>IF(AR2858-AR2695-AR2806-AR2753&gt;0,(1-'Assumptions (T&amp;D)'!AR$26)*(AR2858-AR2695-AR2806+AR2753)-AR2700+AR2701+Model!AR2806,AR2858-AR2695-AR2700+AR2701+AR2753)</f>
        <v>-0.7385842549</v>
      </c>
      <c r="AS2859" s="372">
        <f>IF(AS2858-AS2695-AS2806-AS2753&gt;0,(1-'Assumptions (T&amp;D)'!AS$26)*(AS2858-AS2695-AS2806+AS2753)-AS2700+AS2701+Model!AS2806,AS2858-AS2695-AS2700+AS2701+AS2753)</f>
        <v>-0.7536902303</v>
      </c>
      <c r="AT2859" s="372">
        <f>IF(AT2858-AT2695-AT2806-AT2753&gt;0,(1-'Assumptions (T&amp;D)'!AT$26)*(AT2858-AT2695-AT2806+AT2753)-AT2700+AT2701+Model!AT2806,AT2858-AT2695-AT2700+AT2701+AT2753)</f>
        <v>-0.7786457099</v>
      </c>
      <c r="AU2859" s="372">
        <f>IF(AU2858-AU2695-AU2806-AU2753&gt;0,(1-'Assumptions (T&amp;D)'!AU$26)*(AU2858-AU2695-AU2806+AU2753)-AU2700+AU2701+Model!AU2806,AU2858-AU2695-AU2700+AU2701+AU2753)</f>
        <v>-0.9113395404</v>
      </c>
      <c r="AV2859" s="372">
        <f>IF(AV2858-AV2695-AV2806-AV2753&gt;0,(1-'Assumptions (T&amp;D)'!AV$26)*(AV2858-AV2695-AV2806+AV2753)-AV2700+AV2701+Model!AV2806,AV2858-AV2695-AV2700+AV2701+AV2753)</f>
        <v>-0.8064242807</v>
      </c>
      <c r="AW2859" s="372">
        <f>IF(AW2858-AW2695-AW2806-AW2753&gt;0,(1-'Assumptions (T&amp;D)'!AW$26)*(AW2858-AW2695-AW2806+AW2753)-AW2700+AW2701+Model!AW2806,AW2858-AW2695-AW2700+AW2701+AW2753)</f>
        <v>-0.8211759612</v>
      </c>
      <c r="AX2859" s="372">
        <f>IF(AX2858-AX2695-AX2806-AX2753&gt;0,(1-'Assumptions (T&amp;D)'!AX$26)*(AX2858-AX2695-AX2806+AX2753)-AX2700+AX2701+Model!AX2806,AX2858-AX2695-AX2700+AX2701+AX2753)</f>
        <v>-0.8377775879</v>
      </c>
      <c r="AY2859" s="372">
        <f>IF(AY2858-AY2695-AY2806-AY2753&gt;0,(1-'Assumptions (T&amp;D)'!AY$26)*(AY2858-AY2695-AY2806+AY2753)-AY2700+AY2701+Model!AY2806,AY2858-AY2695-AY2700+AY2701+AY2753)</f>
        <v>-0.854395622</v>
      </c>
      <c r="AZ2859" s="372">
        <f>IF(AZ2858-AZ2695-AZ2806-AZ2753&gt;0,(1-'Assumptions (T&amp;D)'!AZ$26)*(AZ2858-AZ2695-AZ2806+AZ2753)-AZ2700+AZ2701+Model!AZ2806,AZ2858-AZ2695-AZ2700+AZ2701+AZ2753)</f>
        <v>-0.9682319125</v>
      </c>
      <c r="BA2859" s="372">
        <f>IF(BA2858-BA2695-BA2806-BA2753&gt;0,(1-'Assumptions (T&amp;D)'!BA$26)*(BA2858-BA2695-BA2806+BA2753)-BA2700+BA2701+Model!BA2806,BA2858-BA2695-BA2700+BA2701+BA2753)</f>
        <v>-0.96332806</v>
      </c>
      <c r="BB2859" s="32"/>
      <c r="BC2859" s="32"/>
      <c r="BD2859" s="32"/>
      <c r="BE2859" s="32"/>
      <c r="BF2859" s="32"/>
      <c r="BG2859" s="32"/>
      <c r="BH2859" s="32"/>
      <c r="BI2859" s="32"/>
      <c r="BJ2859" s="32"/>
      <c r="BK2859" s="32"/>
      <c r="BL2859" s="32"/>
      <c r="BM2859" s="32"/>
      <c r="BN2859" s="32"/>
      <c r="BO2859" s="32"/>
      <c r="BP2859" s="32"/>
      <c r="BQ2859" s="32"/>
      <c r="BR2859" s="32"/>
      <c r="BS2859" s="32"/>
      <c r="BT2859" s="32"/>
      <c r="BU2859" s="32"/>
      <c r="BV2859" s="32"/>
      <c r="BW2859" s="32"/>
      <c r="BX2859" s="32"/>
      <c r="BY2859" s="32"/>
      <c r="BZ2859" s="32"/>
      <c r="CA2859" s="32"/>
      <c r="CB2859" s="32"/>
      <c r="CC2859" s="32"/>
      <c r="CD2859" s="32"/>
    </row>
    <row r="2860" ht="15.75" customHeight="1">
      <c r="A2860" s="365" t="s">
        <v>375</v>
      </c>
      <c r="B2860" s="159" t="s">
        <v>351</v>
      </c>
      <c r="C2860" s="372">
        <f>IF(C2858-C2695-C2806-C2753&gt;0,'Assumptions (T&amp;D)'!C$26*(C2858-C2695-C2806+C2753),0)</f>
        <v>5.214633971</v>
      </c>
      <c r="D2860" s="372">
        <f>IF(D2858-D2695-D2806-D2753&gt;0,'Assumptions (T&amp;D)'!D$26*(D2858-D2695-D2806+D2753),0)</f>
        <v>5.241124173</v>
      </c>
      <c r="E2860" s="372">
        <f>IF(E2858-E2695-E2806-E2753&gt;0,'Assumptions (T&amp;D)'!E$26*(E2858-E2695-E2806+E2753),0)</f>
        <v>5.171507054</v>
      </c>
      <c r="F2860" s="372">
        <f>IF(F2858-F2695-F2806-F2753&gt;0,'Assumptions (T&amp;D)'!F$26*(F2858-F2695-F2806+F2753),0)</f>
        <v>5.427269121</v>
      </c>
      <c r="G2860" s="372">
        <f>IF(G2858-G2695-G2806-G2753&gt;0,'Assumptions (T&amp;D)'!G$26*(G2858-G2695-G2806+G2753),0)</f>
        <v>5.612682279</v>
      </c>
      <c r="H2860" s="372">
        <f>IF(H2858-H2695-H2806-H2753&gt;0,'Assumptions (T&amp;D)'!H$26*(H2858-H2695-H2806+H2753),0)</f>
        <v>5.869082011</v>
      </c>
      <c r="I2860" s="372">
        <f>IF(I2858-I2695-I2806-I2753&gt;0,'Assumptions (T&amp;D)'!I$26*(I2858-I2695-I2806+I2753),0)</f>
        <v>6.051020341</v>
      </c>
      <c r="J2860" s="372">
        <f>IF(J2858-J2695-J2806-J2753&gt;0,'Assumptions (T&amp;D)'!J$26*(J2858-J2695-J2806+J2753),0)</f>
        <v>6.579504609</v>
      </c>
      <c r="K2860" s="372">
        <f>IF(K2858-K2695-K2806-K2753&gt;0,'Assumptions (T&amp;D)'!K$26*(K2858-K2695-K2806+K2753),0)</f>
        <v>7.032887269</v>
      </c>
      <c r="L2860" s="372">
        <f>IF(L2858-L2695-L2806-L2753&gt;0,'Assumptions (T&amp;D)'!L$26*(L2858-L2695-L2806+L2753),0)</f>
        <v>7.615098533</v>
      </c>
      <c r="M2860" s="372">
        <f>IF(M2858-M2695-M2806-M2753&gt;0,'Assumptions (T&amp;D)'!M$26*(M2858-M2695-M2806+M2753),0)</f>
        <v>8.194561572</v>
      </c>
      <c r="N2860" s="372">
        <f>IF(N2858-N2695-N2806-N2753&gt;0,'Assumptions (T&amp;D)'!N$26*(N2858-N2695-N2806+N2753),0)</f>
        <v>8.88035076</v>
      </c>
      <c r="O2860" s="372">
        <f>IF(O2858-O2695-O2806-O2753&gt;0,'Assumptions (T&amp;D)'!O$26*(O2858-O2695-O2806+O2753),0)</f>
        <v>9.544347258</v>
      </c>
      <c r="P2860" s="372">
        <f>IF(P2858-P2695-P2806-P2753&gt;0,'Assumptions (T&amp;D)'!P$26*(P2858-P2695-P2806+P2753),0)</f>
        <v>10.55188205</v>
      </c>
      <c r="Q2860" s="372">
        <f>IF(Q2858-Q2695-Q2806-Q2753&gt;0,'Assumptions (T&amp;D)'!Q$26*(Q2858-Q2695-Q2806+Q2753),0)</f>
        <v>11.66347338</v>
      </c>
      <c r="R2860" s="372">
        <f>IF(R2858-R2695-R2806-R2753&gt;0,'Assumptions (T&amp;D)'!R$26*(R2858-R2695-R2806+R2753),0)</f>
        <v>12.97143762</v>
      </c>
      <c r="S2860" s="372">
        <f>IF(S2858-S2695-S2806-S2753&gt;0,'Assumptions (T&amp;D)'!S$26*(S2858-S2695-S2806+S2753),0)</f>
        <v>14.36937386</v>
      </c>
      <c r="T2860" s="372">
        <f>IF(T2858-T2695-T2806-T2753&gt;0,'Assumptions (T&amp;D)'!T$26*(T2858-T2695-T2806+T2753),0)</f>
        <v>0.006908732829</v>
      </c>
      <c r="U2860" s="372">
        <f>IF(U2858-U2695-U2806-U2753&gt;0,'Assumptions (T&amp;D)'!U$26*(U2858-U2695-U2806+U2753),0)</f>
        <v>-0.09992892901</v>
      </c>
      <c r="V2860" s="372">
        <f>IF(V2858-V2695-V2806-V2753&gt;0,'Assumptions (T&amp;D)'!V$26*(V2858-V2695-V2806+V2753),0)</f>
        <v>-0.103114514</v>
      </c>
      <c r="W2860" s="372">
        <f>IF(W2858-W2695-W2806-W2753&gt;0,'Assumptions (T&amp;D)'!W$26*(W2858-W2695-W2806+W2753),0)</f>
        <v>-0.1051998777</v>
      </c>
      <c r="X2860" s="372">
        <f>IF(X2858-X2695-X2806-X2753&gt;0,'Assumptions (T&amp;D)'!X$26*(X2858-X2695-X2806+X2753),0)</f>
        <v>-0.1023310422</v>
      </c>
      <c r="Y2860" s="372">
        <f>IF(Y2858-Y2695-Y2806-Y2753&gt;0,'Assumptions (T&amp;D)'!Y$26*(Y2858-Y2695-Y2806+Y2753),0)</f>
        <v>-0.09866747074</v>
      </c>
      <c r="Z2860" s="372">
        <f>IF(Z2858-Z2695-Z2806-Z2753&gt;0,'Assumptions (T&amp;D)'!Z$26*(Z2858-Z2695-Z2806+Z2753),0)</f>
        <v>-0.09541610395</v>
      </c>
      <c r="AA2860" s="372">
        <f>IF(AA2858-AA2695-AA2806-AA2753&gt;0,'Assumptions (T&amp;D)'!AA$26*(AA2858-AA2695-AA2806+AA2753),0)</f>
        <v>-0.09115627845</v>
      </c>
      <c r="AB2860" s="372">
        <f>IF(AB2858-AB2695-AB2806-AB2753&gt;0,'Assumptions (T&amp;D)'!AB$26*(AB2858-AB2695-AB2806+AB2753),0)</f>
        <v>-0.08709954341</v>
      </c>
      <c r="AC2860" s="372">
        <f>IF(AC2858-AC2695-AC2806-AC2753&gt;0,'Assumptions (T&amp;D)'!AC$26*(AC2858-AC2695-AC2806+AC2753),0)</f>
        <v>-0.08223296738</v>
      </c>
      <c r="AD2860" s="372">
        <f>IF(AD2858-AD2695-AD2806-AD2753&gt;0,'Assumptions (T&amp;D)'!AD$26*(AD2858-AD2695-AD2806+AD2753),0)</f>
        <v>-0.07533385954</v>
      </c>
      <c r="AE2860" s="372">
        <f>IF(AE2858-AE2695-AE2806-AE2753&gt;0,'Assumptions (T&amp;D)'!AE$26*(AE2858-AE2695-AE2806+AE2753),0)</f>
        <v>-0.06878881283</v>
      </c>
      <c r="AF2860" s="372">
        <f>IF(AF2858-AF2695-AF2806-AF2753&gt;0,'Assumptions (T&amp;D)'!AF$26*(AF2858-AF2695-AF2806+AF2753),0)</f>
        <v>-0.06343618512</v>
      </c>
      <c r="AG2860" s="372">
        <f>IF(AG2858-AG2695-AG2806-AG2753&gt;0,'Assumptions (T&amp;D)'!AG$26*(AG2858-AG2695-AG2806+AG2753),0)</f>
        <v>-0.06293676128</v>
      </c>
      <c r="AH2860" s="372">
        <f>IF(AH2858-AH2695-AH2806-AH2753&gt;0,'Assumptions (T&amp;D)'!AH$26*(AH2858-AH2695-AH2806+AH2753),0)</f>
        <v>-0.06263387837</v>
      </c>
      <c r="AI2860" s="372">
        <f>IF(AI2858-AI2695-AI2806-AI2753&gt;0,'Assumptions (T&amp;D)'!AI$26*(AI2858-AI2695-AI2806+AI2753),0)</f>
        <v>-0.05972449843</v>
      </c>
      <c r="AJ2860" s="372">
        <f>IF(AJ2858-AJ2695-AJ2806-AJ2753&gt;0,'Assumptions (T&amp;D)'!AJ$26*(AJ2858-AJ2695-AJ2806+AJ2753),0)</f>
        <v>-0.05486487545</v>
      </c>
      <c r="AK2860" s="372">
        <f>IF(AK2858-AK2695-AK2806-AK2753&gt;0,'Assumptions (T&amp;D)'!AK$26*(AK2858-AK2695-AK2806+AK2753),0)</f>
        <v>-0.05074627731</v>
      </c>
      <c r="AL2860" s="372">
        <f>IF(AL2858-AL2695-AL2806-AL2753&gt;0,'Assumptions (T&amp;D)'!AL$26*(AL2858-AL2695-AL2806+AL2753),0)</f>
        <v>-0.04593413051</v>
      </c>
      <c r="AM2860" s="372">
        <f>IF(AM2858-AM2695-AM2806-AM2753&gt;0,'Assumptions (T&amp;D)'!AM$26*(AM2858-AM2695-AM2806+AM2753),0)</f>
        <v>-0.04437723872</v>
      </c>
      <c r="AN2860" s="372">
        <f>IF(AN2858-AN2695-AN2806-AN2753&gt;0,'Assumptions (T&amp;D)'!AN$26*(AN2858-AN2695-AN2806+AN2753),0)</f>
        <v>-0.04238383744</v>
      </c>
      <c r="AO2860" s="372">
        <f>IF(AO2858-AO2695-AO2806-AO2753&gt;0,'Assumptions (T&amp;D)'!AO$26*(AO2858-AO2695-AO2806+AO2753),0)</f>
        <v>-0.03901255591</v>
      </c>
      <c r="AP2860" s="372">
        <f>IF(AP2858-AP2695-AP2806-AP2753&gt;0,'Assumptions (T&amp;D)'!AP$26*(AP2858-AP2695-AP2806+AP2753),0)</f>
        <v>-0.0344348029</v>
      </c>
      <c r="AQ2860" s="372">
        <f>IF(AQ2858-AQ2695-AQ2806-AQ2753&gt;0,'Assumptions (T&amp;D)'!AQ$26*(AQ2858-AQ2695-AQ2806+AQ2753),0)</f>
        <v>-0.03316564887</v>
      </c>
      <c r="AR2860" s="372">
        <f>IF(AR2858-AR2695-AR2806-AR2753&gt;0,'Assumptions (T&amp;D)'!AR$26*(AR2858-AR2695-AR2806+AR2753),0)</f>
        <v>-0.03298351065</v>
      </c>
      <c r="AS2860" s="372">
        <f>IF(AS2858-AS2695-AS2806-AS2753&gt;0,'Assumptions (T&amp;D)'!AS$26*(AS2858-AS2695-AS2806+AS2753),0)</f>
        <v>-0.03289329367</v>
      </c>
      <c r="AT2860" s="372">
        <f>IF(AT2858-AT2695-AT2806-AT2753&gt;0,'Assumptions (T&amp;D)'!AT$26*(AT2858-AT2695-AT2806+AT2753),0)</f>
        <v>-0.03533532709</v>
      </c>
      <c r="AU2860" s="372">
        <f>IF(AU2858-AU2695-AU2806-AU2753&gt;0,'Assumptions (T&amp;D)'!AU$26*(AU2858-AU2695-AU2806+AU2753),0)</f>
        <v>-0.03596673528</v>
      </c>
      <c r="AV2860" s="372">
        <f>IF(AV2858-AV2695-AV2806-AV2753&gt;0,'Assumptions (T&amp;D)'!AV$26*(AV2858-AV2695-AV2806+AV2753),0)</f>
        <v>-0.03674262352</v>
      </c>
      <c r="AW2860" s="372">
        <f>IF(AW2858-AW2695-AW2806-AW2753&gt;0,'Assumptions (T&amp;D)'!AW$26*(AW2858-AW2695-AW2806+AW2753),0)</f>
        <v>-0.0358201457</v>
      </c>
      <c r="AX2860" s="372">
        <f>IF(AX2858-AX2695-AX2806-AX2753&gt;0,'Assumptions (T&amp;D)'!AX$26*(AX2858-AX2695-AX2806+AX2753),0)</f>
        <v>-0.03550297301</v>
      </c>
      <c r="AY2860" s="372">
        <f>IF(AY2858-AY2695-AY2806-AY2753&gt;0,'Assumptions (T&amp;D)'!AY$26*(AY2858-AY2695-AY2806+AY2753),0)</f>
        <v>-0.03489223317</v>
      </c>
      <c r="AZ2860" s="372">
        <f>IF(AZ2858-AZ2695-AZ2806-AZ2753&gt;0,'Assumptions (T&amp;D)'!AZ$26*(AZ2858-AZ2695-AZ2806+AZ2753),0)</f>
        <v>-0.03503421209</v>
      </c>
      <c r="BA2860" s="372">
        <f>IF(BA2858-BA2695-BA2806-BA2753&gt;0,'Assumptions (T&amp;D)'!BA$26*(BA2858-BA2695-BA2806+BA2753),0)</f>
        <v>-0.03603592648</v>
      </c>
      <c r="BB2860" s="32"/>
      <c r="BC2860" s="32"/>
      <c r="BD2860" s="32"/>
      <c r="BE2860" s="32"/>
      <c r="BF2860" s="32"/>
      <c r="BG2860" s="32"/>
      <c r="BH2860" s="32"/>
      <c r="BI2860" s="32"/>
      <c r="BJ2860" s="32"/>
      <c r="BK2860" s="32"/>
      <c r="BL2860" s="32"/>
      <c r="BM2860" s="32"/>
      <c r="BN2860" s="32"/>
      <c r="BO2860" s="32"/>
      <c r="BP2860" s="32"/>
      <c r="BQ2860" s="32"/>
      <c r="BR2860" s="32"/>
      <c r="BS2860" s="32"/>
      <c r="BT2860" s="32"/>
      <c r="BU2860" s="32"/>
      <c r="BV2860" s="32"/>
      <c r="BW2860" s="32"/>
      <c r="BX2860" s="32"/>
      <c r="BY2860" s="32"/>
      <c r="BZ2860" s="32"/>
      <c r="CA2860" s="32"/>
      <c r="CB2860" s="32"/>
      <c r="CC2860" s="32"/>
      <c r="CD2860" s="32"/>
    </row>
    <row r="2861" ht="15.75" customHeight="1">
      <c r="A2861" s="378" t="s">
        <v>452</v>
      </c>
      <c r="B2861" s="24"/>
      <c r="C2861" s="215"/>
      <c r="D2861" s="38"/>
      <c r="E2861" s="38"/>
      <c r="F2861" s="38"/>
      <c r="G2861" s="38"/>
      <c r="H2861" s="38"/>
      <c r="I2861" s="38"/>
      <c r="J2861" s="38"/>
      <c r="K2861" s="38"/>
      <c r="L2861" s="38"/>
      <c r="M2861" s="38"/>
      <c r="N2861" s="38"/>
      <c r="O2861" s="38"/>
      <c r="P2861" s="38"/>
      <c r="Q2861" s="38"/>
      <c r="R2861" s="38"/>
      <c r="S2861" s="38"/>
      <c r="T2861" s="38"/>
      <c r="U2861" s="38"/>
      <c r="V2861" s="38"/>
      <c r="W2861" s="38"/>
      <c r="X2861" s="32"/>
      <c r="Y2861" s="32"/>
      <c r="Z2861" s="32"/>
      <c r="AA2861" s="32"/>
      <c r="AB2861" s="32"/>
      <c r="AC2861" s="32"/>
      <c r="AD2861" s="32"/>
      <c r="AE2861" s="32"/>
      <c r="AF2861" s="32"/>
      <c r="AG2861" s="32"/>
      <c r="AH2861" s="32"/>
      <c r="AI2861" s="32"/>
      <c r="AJ2861" s="32"/>
      <c r="AK2861" s="32"/>
      <c r="AL2861" s="32"/>
      <c r="AM2861" s="32"/>
      <c r="AN2861" s="32"/>
      <c r="AO2861" s="32"/>
      <c r="AP2861" s="32"/>
      <c r="AQ2861" s="32"/>
      <c r="AR2861" s="32"/>
      <c r="AS2861" s="32"/>
      <c r="AT2861" s="32"/>
      <c r="AU2861" s="32"/>
      <c r="AV2861" s="32"/>
      <c r="AW2861" s="32"/>
      <c r="AX2861" s="32"/>
      <c r="AY2861" s="32"/>
      <c r="AZ2861" s="32"/>
      <c r="BA2861" s="32"/>
      <c r="BB2861" s="32"/>
      <c r="BC2861" s="32"/>
      <c r="BD2861" s="32"/>
      <c r="BE2861" s="32"/>
      <c r="BF2861" s="32"/>
      <c r="BG2861" s="32"/>
      <c r="BH2861" s="32"/>
      <c r="BI2861" s="32"/>
      <c r="BJ2861" s="32"/>
      <c r="BK2861" s="32"/>
      <c r="BL2861" s="32"/>
      <c r="BM2861" s="32"/>
      <c r="BN2861" s="32"/>
      <c r="BO2861" s="32"/>
      <c r="BP2861" s="32"/>
      <c r="BQ2861" s="32"/>
      <c r="BR2861" s="32"/>
      <c r="BS2861" s="32"/>
      <c r="BT2861" s="32"/>
      <c r="BU2861" s="32"/>
      <c r="BV2861" s="32"/>
      <c r="BW2861" s="32"/>
      <c r="BX2861" s="32"/>
      <c r="BY2861" s="32"/>
      <c r="BZ2861" s="32"/>
      <c r="CA2861" s="32"/>
      <c r="CB2861" s="32"/>
      <c r="CC2861" s="32"/>
      <c r="CD2861" s="32"/>
    </row>
    <row r="2862" ht="15.75" customHeight="1">
      <c r="A2862" s="365" t="s">
        <v>404</v>
      </c>
      <c r="B2862" s="159" t="s">
        <v>351</v>
      </c>
      <c r="C2862" s="366">
        <f>('Assumptions (T&amp;D)'!C58)*'Inflation GDP Population'!B$11/'Inflation GDP Population'!$S$11</f>
        <v>5.769177121</v>
      </c>
      <c r="D2862" s="366">
        <f>('Assumptions (T&amp;D)'!D58)*'Inflation GDP Population'!C$11/'Inflation GDP Population'!$S$11</f>
        <v>5.35637278</v>
      </c>
      <c r="E2862" s="366">
        <f>('Assumptions (T&amp;D)'!E58)*'Inflation GDP Population'!D$11/'Inflation GDP Population'!$S$11</f>
        <v>5.645715347</v>
      </c>
      <c r="F2862" s="366">
        <f>('Assumptions (T&amp;D)'!F58)*'Inflation GDP Population'!E$11/'Inflation GDP Population'!$S$11</f>
        <v>5.432566833</v>
      </c>
      <c r="G2862" s="366">
        <f>('Assumptions (T&amp;D)'!G58)*'Inflation GDP Population'!F$11/'Inflation GDP Population'!$S$11</f>
        <v>5.597090936</v>
      </c>
      <c r="H2862" s="366">
        <f>('Assumptions (T&amp;D)'!H58)*'Inflation GDP Population'!G$11/'Inflation GDP Population'!$S$11</f>
        <v>6.162640547</v>
      </c>
      <c r="I2862" s="366">
        <f>('Assumptions (T&amp;D)'!I58)*'Inflation GDP Population'!H$11/'Inflation GDP Population'!$S$11</f>
        <v>7.074049465</v>
      </c>
      <c r="J2862" s="366">
        <f>('Assumptions (T&amp;D)'!J58)*'Inflation GDP Population'!I$11/'Inflation GDP Population'!$S$11</f>
        <v>6.571416143</v>
      </c>
      <c r="K2862" s="366">
        <f>('Assumptions (T&amp;D)'!K58)*'Inflation GDP Population'!J$11/'Inflation GDP Population'!$S$11</f>
        <v>6.79496421</v>
      </c>
      <c r="L2862" s="366">
        <f>('Assumptions (T&amp;D)'!L58)*'Inflation GDP Population'!K$11/'Inflation GDP Population'!$S$11</f>
        <v>6.82252656</v>
      </c>
      <c r="M2862" s="366">
        <f>('Assumptions (T&amp;D)'!M58)*'Inflation GDP Population'!L$11/'Inflation GDP Population'!$S$11</f>
        <v>7.729836533</v>
      </c>
      <c r="N2862" s="366">
        <f>('Assumptions (T&amp;D)'!N58)*'Inflation GDP Population'!M$11/'Inflation GDP Population'!$S$11</f>
        <v>7.554301648</v>
      </c>
      <c r="O2862" s="366">
        <f>('Assumptions (T&amp;D)'!O58)*'Inflation GDP Population'!N$11/'Inflation GDP Population'!$S$11</f>
        <v>7.577654713</v>
      </c>
      <c r="P2862" s="366">
        <f>('Assumptions (T&amp;D)'!P58)*'Inflation GDP Population'!O$11/'Inflation GDP Population'!$S$11</f>
        <v>7.687001082</v>
      </c>
      <c r="Q2862" s="366">
        <f>('Assumptions (T&amp;D)'!Q58)*'Inflation GDP Population'!P$11/'Inflation GDP Population'!$S$11</f>
        <v>7.959873665</v>
      </c>
      <c r="R2862" s="366">
        <f>('Assumptions (T&amp;D)'!R58)*'Inflation GDP Population'!Q$11/'Inflation GDP Population'!$S$11</f>
        <v>8.253571405</v>
      </c>
      <c r="S2862" s="366">
        <f>('Assumptions (T&amp;D)'!S58)*'Inflation GDP Population'!R$11/'Inflation GDP Population'!$S$11</f>
        <v>8.282695187</v>
      </c>
      <c r="T2862" s="366">
        <f>('Assumptions (T&amp;D)'!T58)*'Inflation GDP Population'!S$11/'Inflation GDP Population'!$S$11</f>
        <v>8.587592879</v>
      </c>
      <c r="U2862" s="366">
        <f>('Assumptions (T&amp;D)'!U58)*'Inflation GDP Population'!T$11/'Inflation GDP Population'!$S$11</f>
        <v>8.456662099</v>
      </c>
      <c r="V2862" s="367">
        <f>('Assumptions (T&amp;D)'!V58)*'Inflation GDP Population'!U$16/'Inflation GDP Population'!$S$16</f>
        <v>9.102827818</v>
      </c>
      <c r="W2862" s="367">
        <f>('Assumptions (T&amp;D)'!W58)*'Inflation GDP Population'!V$16/'Inflation GDP Population'!$S$16</f>
        <v>9.30358073</v>
      </c>
      <c r="X2862" s="367">
        <f>('Assumptions (T&amp;D)'!X58)*'Inflation GDP Population'!W$16/'Inflation GDP Population'!$S$16</f>
        <v>9.487307566</v>
      </c>
      <c r="Y2862" s="367">
        <f>('Assumptions (T&amp;D)'!Y58)*'Inflation GDP Population'!X$16/'Inflation GDP Population'!$S$16</f>
        <v>9.76704989</v>
      </c>
      <c r="Z2862" s="367">
        <f>('Assumptions (T&amp;D)'!Z58)*'Inflation GDP Population'!Y$16/'Inflation GDP Population'!$S$16</f>
        <v>10.05414102</v>
      </c>
      <c r="AA2862" s="367">
        <f>('Assumptions (T&amp;D)'!AA58)*'Inflation GDP Population'!Z$16/'Inflation GDP Population'!$S$16</f>
        <v>10.3487621</v>
      </c>
      <c r="AB2862" s="367">
        <f>('Assumptions (T&amp;D)'!AB58)*'Inflation GDP Population'!AA$16/'Inflation GDP Population'!$S$16</f>
        <v>10.65109859</v>
      </c>
      <c r="AC2862" s="367">
        <f>('Assumptions (T&amp;D)'!AC58)*'Inflation GDP Population'!AB$16/'Inflation GDP Population'!$S$16</f>
        <v>10.9613403</v>
      </c>
      <c r="AD2862" s="367">
        <f>('Assumptions (T&amp;D)'!AD58)*'Inflation GDP Population'!AC$16/'Inflation GDP Population'!$S$16</f>
        <v>11.27968157</v>
      </c>
      <c r="AE2862" s="367">
        <f>('Assumptions (T&amp;D)'!AE58)*'Inflation GDP Population'!AD$16/'Inflation GDP Population'!$S$16</f>
        <v>11.60632129</v>
      </c>
      <c r="AF2862" s="367">
        <f>('Assumptions (T&amp;D)'!AF58)*'Inflation GDP Population'!AE$16/'Inflation GDP Population'!$S$16</f>
        <v>11.94146308</v>
      </c>
      <c r="AG2862" s="367">
        <f>('Assumptions (T&amp;D)'!AG58)*'Inflation GDP Population'!AF$16/'Inflation GDP Population'!$S$16</f>
        <v>12.28531534</v>
      </c>
      <c r="AH2862" s="367">
        <f>('Assumptions (T&amp;D)'!AH58)*'Inflation GDP Population'!AG$16/'Inflation GDP Population'!$S$16</f>
        <v>12.63809142</v>
      </c>
      <c r="AI2862" s="367">
        <f>('Assumptions (T&amp;D)'!AI58)*'Inflation GDP Population'!AH$16/'Inflation GDP Population'!$S$16</f>
        <v>13.00000966</v>
      </c>
      <c r="AJ2862" s="367">
        <f>('Assumptions (T&amp;D)'!AJ58)*'Inflation GDP Population'!AI$16/'Inflation GDP Population'!$S$16</f>
        <v>13.37129358</v>
      </c>
      <c r="AK2862" s="367">
        <f>('Assumptions (T&amp;D)'!AK58)*'Inflation GDP Population'!AJ$16/'Inflation GDP Population'!$S$16</f>
        <v>13.75217192</v>
      </c>
      <c r="AL2862" s="367">
        <f>('Assumptions (T&amp;D)'!AL58)*'Inflation GDP Population'!AK$16/'Inflation GDP Population'!$S$16</f>
        <v>14.14287885</v>
      </c>
      <c r="AM2862" s="367">
        <f>('Assumptions (T&amp;D)'!AM58)*'Inflation GDP Population'!AL$16/'Inflation GDP Population'!$S$16</f>
        <v>14.54365401</v>
      </c>
      <c r="AN2862" s="367">
        <f>('Assumptions (T&amp;D)'!AN58)*'Inflation GDP Population'!AM$16/'Inflation GDP Population'!$S$16</f>
        <v>14.95474269</v>
      </c>
      <c r="AO2862" s="367">
        <f>('Assumptions (T&amp;D)'!AO58)*'Inflation GDP Population'!AN$16/'Inflation GDP Population'!$S$16</f>
        <v>15.37639593</v>
      </c>
      <c r="AP2862" s="367">
        <f>('Assumptions (T&amp;D)'!AP58)*'Inflation GDP Population'!AO$16/'Inflation GDP Population'!$S$16</f>
        <v>15.80887068</v>
      </c>
      <c r="AQ2862" s="367">
        <f>('Assumptions (T&amp;D)'!AQ58)*'Inflation GDP Population'!AP$16/'Inflation GDP Population'!$S$16</f>
        <v>16.25242991</v>
      </c>
      <c r="AR2862" s="367">
        <f>('Assumptions (T&amp;D)'!AR58)*'Inflation GDP Population'!AQ$16/'Inflation GDP Population'!$S$16</f>
        <v>16.70734274</v>
      </c>
      <c r="AS2862" s="367">
        <f>('Assumptions (T&amp;D)'!AS58)*'Inflation GDP Population'!AR$16/'Inflation GDP Population'!$S$16</f>
        <v>17.17388463</v>
      </c>
      <c r="AT2862" s="367">
        <f>('Assumptions (T&amp;D)'!AT58)*'Inflation GDP Population'!AS$16/'Inflation GDP Population'!$S$16</f>
        <v>17.65233745</v>
      </c>
      <c r="AU2862" s="367">
        <f>('Assumptions (T&amp;D)'!AU58)*'Inflation GDP Population'!AT$16/'Inflation GDP Population'!$S$16</f>
        <v>18.14298971</v>
      </c>
      <c r="AV2862" s="367">
        <f>('Assumptions (T&amp;D)'!AV58)*'Inflation GDP Population'!AU$16/'Inflation GDP Population'!$S$16</f>
        <v>18.64613664</v>
      </c>
      <c r="AW2862" s="367">
        <f>('Assumptions (T&amp;D)'!AW58)*'Inflation GDP Population'!AV$16/'Inflation GDP Population'!$S$16</f>
        <v>19.16208039</v>
      </c>
      <c r="AX2862" s="367">
        <f>('Assumptions (T&amp;D)'!AX58)*'Inflation GDP Population'!AW$16/'Inflation GDP Population'!$S$16</f>
        <v>19.69113016</v>
      </c>
      <c r="AY2862" s="367">
        <f>('Assumptions (T&amp;D)'!AY58)*'Inflation GDP Population'!AX$16/'Inflation GDP Population'!$S$16</f>
        <v>20.23360237</v>
      </c>
      <c r="AZ2862" s="367">
        <f>('Assumptions (T&amp;D)'!AZ58)*'Inflation GDP Population'!AY$16/'Inflation GDP Population'!$S$16</f>
        <v>20.78982084</v>
      </c>
      <c r="BA2862" s="367">
        <f>('Assumptions (T&amp;D)'!BA58)*'Inflation GDP Population'!AZ$16/'Inflation GDP Population'!$S$16</f>
        <v>21.36011694</v>
      </c>
      <c r="BB2862" s="32"/>
      <c r="BC2862" s="32"/>
      <c r="BD2862" s="32"/>
      <c r="BE2862" s="32"/>
      <c r="BF2862" s="32"/>
      <c r="BG2862" s="32"/>
      <c r="BH2862" s="32"/>
      <c r="BI2862" s="32"/>
      <c r="BJ2862" s="32"/>
      <c r="BK2862" s="32"/>
      <c r="BL2862" s="32"/>
      <c r="BM2862" s="32"/>
      <c r="BN2862" s="32"/>
      <c r="BO2862" s="32"/>
      <c r="BP2862" s="32"/>
      <c r="BQ2862" s="32"/>
      <c r="BR2862" s="32"/>
      <c r="BS2862" s="32"/>
      <c r="BT2862" s="32"/>
      <c r="BU2862" s="32"/>
      <c r="BV2862" s="32"/>
      <c r="BW2862" s="32"/>
      <c r="BX2862" s="32"/>
      <c r="BY2862" s="32"/>
      <c r="BZ2862" s="32"/>
      <c r="CA2862" s="32"/>
      <c r="CB2862" s="32"/>
      <c r="CC2862" s="32"/>
      <c r="CD2862" s="32"/>
    </row>
    <row r="2863" ht="15.75" customHeight="1">
      <c r="A2863" s="368" t="s">
        <v>450</v>
      </c>
      <c r="B2863" s="150" t="s">
        <v>351</v>
      </c>
      <c r="C2863" s="379">
        <f>'Assumptions (T&amp;D)'!C66*(2+'Assumptions (T&amp;D)'!C9)</f>
        <v>465.4478916</v>
      </c>
      <c r="D2863" s="379">
        <f>'Assumptions (T&amp;D)'!D66*(2+'Assumptions (T&amp;D)'!D9)</f>
        <v>491.6207661</v>
      </c>
      <c r="E2863" s="379">
        <f>'Assumptions (T&amp;D)'!E66*(2+'Assumptions (T&amp;D)'!E9)</f>
        <v>506.5639619</v>
      </c>
      <c r="F2863" s="379">
        <f>'Assumptions (T&amp;D)'!F66*(2+'Assumptions (T&amp;D)'!F9)</f>
        <v>531.6831783</v>
      </c>
      <c r="G2863" s="379">
        <f>'Assumptions (T&amp;D)'!G66*(2+'Assumptions (T&amp;D)'!G9)</f>
        <v>557.3689828</v>
      </c>
      <c r="H2863" s="379">
        <f>'Assumptions (T&amp;D)'!H66*(2+'Assumptions (T&amp;D)'!H9)</f>
        <v>589.0757657</v>
      </c>
      <c r="I2863" s="379">
        <f>'Assumptions (T&amp;D)'!I66*(2+'Assumptions (T&amp;D)'!I9)</f>
        <v>618.7467783</v>
      </c>
      <c r="J2863" s="379">
        <f>'Assumptions (T&amp;D)'!J66*(2+'Assumptions (T&amp;D)'!J9)</f>
        <v>647.6735802</v>
      </c>
      <c r="K2863" s="379">
        <f>'Assumptions (T&amp;D)'!K66*(2+'Assumptions (T&amp;D)'!K9)</f>
        <v>679.6391453</v>
      </c>
      <c r="L2863" s="379">
        <f>'Assumptions (T&amp;D)'!L66*(2+'Assumptions (T&amp;D)'!L9)</f>
        <v>715.4475853</v>
      </c>
      <c r="M2863" s="379">
        <f>'Assumptions (T&amp;D)'!M66*(2+'Assumptions (T&amp;D)'!M9)</f>
        <v>759.1483315</v>
      </c>
      <c r="N2863" s="379">
        <f>'Assumptions (T&amp;D)'!N66*(2+'Assumptions (T&amp;D)'!N9)</f>
        <v>784.6120988</v>
      </c>
      <c r="O2863" s="379">
        <f>'Assumptions (T&amp;D)'!O66*(2+'Assumptions (T&amp;D)'!O9)</f>
        <v>820.0460538</v>
      </c>
      <c r="P2863" s="379">
        <f>'Assumptions (T&amp;D)'!P66*(2+'Assumptions (T&amp;D)'!P9)</f>
        <v>857.0904086</v>
      </c>
      <c r="Q2863" s="379">
        <f>'Assumptions (T&amp;D)'!Q66*(2+'Assumptions (T&amp;D)'!Q9)</f>
        <v>895.6459117</v>
      </c>
      <c r="R2863" s="379">
        <f>'Assumptions (T&amp;D)'!R66*(2+'Assumptions (T&amp;D)'!R9)</f>
        <v>939.229556</v>
      </c>
      <c r="S2863" s="379">
        <f>'Assumptions (T&amp;D)'!S66*(2+'Assumptions (T&amp;D)'!S9)</f>
        <v>985.3894564</v>
      </c>
      <c r="T2863" s="379">
        <f>'Assumptions (T&amp;D)'!T66*(2+'Assumptions (T&amp;D)'!T9)</f>
        <v>0</v>
      </c>
      <c r="U2863" s="379">
        <f>'Assumptions (T&amp;D)'!U66*(2+'Assumptions (T&amp;D)'!U9)</f>
        <v>0</v>
      </c>
      <c r="V2863" s="379">
        <f>'Assumptions (T&amp;D)'!V66*(2+'Assumptions (T&amp;D)'!V9)</f>
        <v>0</v>
      </c>
      <c r="W2863" s="379">
        <f>'Assumptions (T&amp;D)'!W66*(2+'Assumptions (T&amp;D)'!W9)</f>
        <v>0</v>
      </c>
      <c r="X2863" s="379">
        <f>'Assumptions (T&amp;D)'!X66*(2+'Assumptions (T&amp;D)'!X9)</f>
        <v>0</v>
      </c>
      <c r="Y2863" s="379">
        <f>'Assumptions (T&amp;D)'!Y66*(2+'Assumptions (T&amp;D)'!Y9)</f>
        <v>0</v>
      </c>
      <c r="Z2863" s="379">
        <f>'Assumptions (T&amp;D)'!Z66*(2+'Assumptions (T&amp;D)'!Z9)</f>
        <v>0</v>
      </c>
      <c r="AA2863" s="379">
        <f>'Assumptions (T&amp;D)'!AA66*(2+'Assumptions (T&amp;D)'!AA9)</f>
        <v>0</v>
      </c>
      <c r="AB2863" s="379">
        <f>'Assumptions (T&amp;D)'!AB66*(2+'Assumptions (T&amp;D)'!AB9)</f>
        <v>0</v>
      </c>
      <c r="AC2863" s="379">
        <f>'Assumptions (T&amp;D)'!AC66*(2+'Assumptions (T&amp;D)'!AC9)</f>
        <v>0</v>
      </c>
      <c r="AD2863" s="379">
        <f>'Assumptions (T&amp;D)'!AD66*(2+'Assumptions (T&amp;D)'!AD9)</f>
        <v>0</v>
      </c>
      <c r="AE2863" s="379">
        <f>'Assumptions (T&amp;D)'!AE66*(2+'Assumptions (T&amp;D)'!AE9)</f>
        <v>0</v>
      </c>
      <c r="AF2863" s="379">
        <f>'Assumptions (T&amp;D)'!AF66*(2+'Assumptions (T&amp;D)'!AF9)</f>
        <v>0</v>
      </c>
      <c r="AG2863" s="379">
        <f>'Assumptions (T&amp;D)'!AG66*(2+'Assumptions (T&amp;D)'!AG9)</f>
        <v>0</v>
      </c>
      <c r="AH2863" s="379">
        <f>'Assumptions (T&amp;D)'!AH66*(2+'Assumptions (T&amp;D)'!AH9)</f>
        <v>0</v>
      </c>
      <c r="AI2863" s="379">
        <f>'Assumptions (T&amp;D)'!AI66*(2+'Assumptions (T&amp;D)'!AI9)</f>
        <v>0</v>
      </c>
      <c r="AJ2863" s="379">
        <f>'Assumptions (T&amp;D)'!AJ66*(2+'Assumptions (T&amp;D)'!AJ9)</f>
        <v>0</v>
      </c>
      <c r="AK2863" s="379">
        <f>'Assumptions (T&amp;D)'!AK66*(2+'Assumptions (T&amp;D)'!AK9)</f>
        <v>0</v>
      </c>
      <c r="AL2863" s="379">
        <f>'Assumptions (T&amp;D)'!AL66*(2+'Assumptions (T&amp;D)'!AL9)</f>
        <v>0</v>
      </c>
      <c r="AM2863" s="379">
        <f>'Assumptions (T&amp;D)'!AM66*(2+'Assumptions (T&amp;D)'!AM9)</f>
        <v>0</v>
      </c>
      <c r="AN2863" s="379">
        <f>'Assumptions (T&amp;D)'!AN66*(2+'Assumptions (T&amp;D)'!AN9)</f>
        <v>0</v>
      </c>
      <c r="AO2863" s="379">
        <f>'Assumptions (T&amp;D)'!AO66*(2+'Assumptions (T&amp;D)'!AO9)</f>
        <v>0</v>
      </c>
      <c r="AP2863" s="379">
        <f>'Assumptions (T&amp;D)'!AP66*(2+'Assumptions (T&amp;D)'!AP9)</f>
        <v>0</v>
      </c>
      <c r="AQ2863" s="379">
        <f>'Assumptions (T&amp;D)'!AQ66*(2+'Assumptions (T&amp;D)'!AQ9)</f>
        <v>0</v>
      </c>
      <c r="AR2863" s="379">
        <f>'Assumptions (T&amp;D)'!AR66*(2+'Assumptions (T&amp;D)'!AR9)</f>
        <v>0</v>
      </c>
      <c r="AS2863" s="379">
        <f>'Assumptions (T&amp;D)'!AS66*(2+'Assumptions (T&amp;D)'!AS9)</f>
        <v>0</v>
      </c>
      <c r="AT2863" s="379">
        <f>'Assumptions (T&amp;D)'!AT66*(2+'Assumptions (T&amp;D)'!AT9)</f>
        <v>0</v>
      </c>
      <c r="AU2863" s="379">
        <f>'Assumptions (T&amp;D)'!AU66*(2+'Assumptions (T&amp;D)'!AU9)</f>
        <v>0</v>
      </c>
      <c r="AV2863" s="379">
        <f>'Assumptions (T&amp;D)'!AV66*(2+'Assumptions (T&amp;D)'!AV9)</f>
        <v>0</v>
      </c>
      <c r="AW2863" s="379">
        <f>'Assumptions (T&amp;D)'!AW66*(2+'Assumptions (T&amp;D)'!AW9)</f>
        <v>0</v>
      </c>
      <c r="AX2863" s="379">
        <f>'Assumptions (T&amp;D)'!AX66*(2+'Assumptions (T&amp;D)'!AX9)</f>
        <v>0</v>
      </c>
      <c r="AY2863" s="379">
        <f>'Assumptions (T&amp;D)'!AY66*(2+'Assumptions (T&amp;D)'!AY9)</f>
        <v>0</v>
      </c>
      <c r="AZ2863" s="379">
        <f>'Assumptions (T&amp;D)'!AZ66*(2+'Assumptions (T&amp;D)'!AZ9)</f>
        <v>0</v>
      </c>
      <c r="BA2863" s="379">
        <f>'Assumptions (T&amp;D)'!BA66*(2+'Assumptions (T&amp;D)'!BA9)</f>
        <v>0</v>
      </c>
      <c r="BB2863" s="163"/>
      <c r="BC2863" s="163"/>
      <c r="BD2863" s="163"/>
      <c r="BE2863" s="163"/>
      <c r="BF2863" s="163"/>
      <c r="BG2863" s="163"/>
      <c r="BH2863" s="163"/>
      <c r="BI2863" s="32"/>
      <c r="BJ2863" s="32"/>
      <c r="BK2863" s="32"/>
      <c r="BL2863" s="32"/>
      <c r="BM2863" s="32"/>
      <c r="BN2863" s="32"/>
      <c r="BO2863" s="32"/>
      <c r="BP2863" s="32"/>
      <c r="BQ2863" s="32"/>
      <c r="BR2863" s="32"/>
      <c r="BS2863" s="32"/>
      <c r="BT2863" s="32"/>
      <c r="BU2863" s="32"/>
      <c r="BV2863" s="32"/>
      <c r="BW2863" s="32"/>
      <c r="BX2863" s="32"/>
      <c r="BY2863" s="32"/>
      <c r="BZ2863" s="32"/>
      <c r="CA2863" s="32"/>
      <c r="CB2863" s="32"/>
      <c r="CC2863" s="32"/>
      <c r="CD2863" s="32"/>
    </row>
    <row r="2864" ht="15.75" customHeight="1">
      <c r="A2864" s="365" t="s">
        <v>451</v>
      </c>
      <c r="B2864" s="159" t="s">
        <v>351</v>
      </c>
      <c r="C2864" s="371">
        <f>'Assumptions (T&amp;D)'!C68/('Assumptions (T&amp;D)'!C9)</f>
        <v>3.77871389</v>
      </c>
      <c r="D2864" s="371">
        <f>'Assumptions (T&amp;D)'!D68/('Assumptions (T&amp;D)'!D9)</f>
        <v>4.084378696</v>
      </c>
      <c r="E2864" s="371">
        <f>'Assumptions (T&amp;D)'!E68/('Assumptions (T&amp;D)'!E9)</f>
        <v>3.931560614</v>
      </c>
      <c r="F2864" s="371">
        <f>'Assumptions (T&amp;D)'!F68/('Assumptions (T&amp;D)'!F9)</f>
        <v>4.681461443</v>
      </c>
      <c r="G2864" s="371">
        <f>'Assumptions (T&amp;D)'!G68/('Assumptions (T&amp;D)'!G9)</f>
        <v>4.681775603</v>
      </c>
      <c r="H2864" s="371">
        <f>'Assumptions (T&amp;D)'!H68/('Assumptions (T&amp;D)'!H9)</f>
        <v>5.276669418</v>
      </c>
      <c r="I2864" s="371">
        <f>'Assumptions (T&amp;D)'!I68/('Assumptions (T&amp;D)'!I9)</f>
        <v>5.656996948</v>
      </c>
      <c r="J2864" s="371">
        <f>'Assumptions (T&amp;D)'!J68/('Assumptions (T&amp;D)'!J9)</f>
        <v>6.179592287</v>
      </c>
      <c r="K2864" s="371">
        <f>'Assumptions (T&amp;D)'!K68/('Assumptions (T&amp;D)'!K9)</f>
        <v>6.093536214</v>
      </c>
      <c r="L2864" s="371">
        <f>'Assumptions (T&amp;D)'!L68/('Assumptions (T&amp;D)'!L9)</f>
        <v>6.04705021</v>
      </c>
      <c r="M2864" s="371">
        <f>'Assumptions (T&amp;D)'!M68/('Assumptions (T&amp;D)'!M9)</f>
        <v>8.052532988</v>
      </c>
      <c r="N2864" s="371">
        <f>'Assumptions (T&amp;D)'!N68/('Assumptions (T&amp;D)'!N9)</f>
        <v>7.37985544</v>
      </c>
      <c r="O2864" s="371">
        <f>'Assumptions (T&amp;D)'!O68/('Assumptions (T&amp;D)'!O9)</f>
        <v>7.897019999</v>
      </c>
      <c r="P2864" s="371">
        <f>'Assumptions (T&amp;D)'!P68/('Assumptions (T&amp;D)'!P9)</f>
        <v>6.839542159</v>
      </c>
      <c r="Q2864" s="371">
        <f>'Assumptions (T&amp;D)'!Q68/('Assumptions (T&amp;D)'!Q9)</f>
        <v>7.407510034</v>
      </c>
      <c r="R2864" s="371">
        <f>'Assumptions (T&amp;D)'!R68/('Assumptions (T&amp;D)'!R9)</f>
        <v>8.384730665</v>
      </c>
      <c r="S2864" s="371">
        <f>'Assumptions (T&amp;D)'!S68/('Assumptions (T&amp;D)'!S9)</f>
        <v>8.64022135</v>
      </c>
      <c r="T2864" s="371">
        <f>'Assumptions (T&amp;D)'!T68/('Assumptions (T&amp;D)'!T9)</f>
        <v>10.25770483</v>
      </c>
      <c r="U2864" s="371">
        <f>'Assumptions (T&amp;D)'!U68/('Assumptions (T&amp;D)'!U9)</f>
        <v>10.25770483</v>
      </c>
      <c r="V2864" s="371">
        <f>'Assumptions (T&amp;D)'!V68/('Assumptions (T&amp;D)'!V9)</f>
        <v>10.25770483</v>
      </c>
      <c r="W2864" s="371">
        <f>'Assumptions (T&amp;D)'!W68/('Assumptions (T&amp;D)'!W9)</f>
        <v>10.25770483</v>
      </c>
      <c r="X2864" s="371">
        <f>'Assumptions (T&amp;D)'!X68/('Assumptions (T&amp;D)'!X9)</f>
        <v>10.25770483</v>
      </c>
      <c r="Y2864" s="371">
        <f>'Assumptions (T&amp;D)'!Y68/('Assumptions (T&amp;D)'!Y9)</f>
        <v>10.25770483</v>
      </c>
      <c r="Z2864" s="371">
        <f>'Assumptions (T&amp;D)'!Z68/('Assumptions (T&amp;D)'!Z9)</f>
        <v>10.25770483</v>
      </c>
      <c r="AA2864" s="371">
        <f>'Assumptions (T&amp;D)'!AA68/('Assumptions (T&amp;D)'!AA9)</f>
        <v>10.25770483</v>
      </c>
      <c r="AB2864" s="371">
        <f>'Assumptions (T&amp;D)'!AB68/('Assumptions (T&amp;D)'!AB9)</f>
        <v>10.25770483</v>
      </c>
      <c r="AC2864" s="371">
        <f>'Assumptions (T&amp;D)'!AC68/('Assumptions (T&amp;D)'!AC9)</f>
        <v>10.25770483</v>
      </c>
      <c r="AD2864" s="371">
        <f>'Assumptions (T&amp;D)'!AD68/('Assumptions (T&amp;D)'!AD9)</f>
        <v>10.25770483</v>
      </c>
      <c r="AE2864" s="371">
        <f>'Assumptions (T&amp;D)'!AE68/('Assumptions (T&amp;D)'!AE9)</f>
        <v>10.25770483</v>
      </c>
      <c r="AF2864" s="371">
        <f>'Assumptions (T&amp;D)'!AF68/('Assumptions (T&amp;D)'!AF9)</f>
        <v>10.25770483</v>
      </c>
      <c r="AG2864" s="371">
        <f>'Assumptions (T&amp;D)'!AG68/('Assumptions (T&amp;D)'!AG9)</f>
        <v>10.25770483</v>
      </c>
      <c r="AH2864" s="371">
        <f>'Assumptions (T&amp;D)'!AH68/('Assumptions (T&amp;D)'!AH9)</f>
        <v>10.25770483</v>
      </c>
      <c r="AI2864" s="371">
        <f>'Assumptions (T&amp;D)'!AI68/('Assumptions (T&amp;D)'!AI9)</f>
        <v>10.25770483</v>
      </c>
      <c r="AJ2864" s="371">
        <f>'Assumptions (T&amp;D)'!AJ68/('Assumptions (T&amp;D)'!AJ9)</f>
        <v>10.25770483</v>
      </c>
      <c r="AK2864" s="371">
        <f>'Assumptions (T&amp;D)'!AK68/('Assumptions (T&amp;D)'!AK9)</f>
        <v>10.25770483</v>
      </c>
      <c r="AL2864" s="371">
        <f>'Assumptions (T&amp;D)'!AL68/('Assumptions (T&amp;D)'!AL9)</f>
        <v>10.25770483</v>
      </c>
      <c r="AM2864" s="371">
        <f>'Assumptions (T&amp;D)'!AM68/('Assumptions (T&amp;D)'!AM9)</f>
        <v>10.25770483</v>
      </c>
      <c r="AN2864" s="371">
        <f>'Assumptions (T&amp;D)'!AN68/('Assumptions (T&amp;D)'!AN9)</f>
        <v>10.25770483</v>
      </c>
      <c r="AO2864" s="371">
        <f>'Assumptions (T&amp;D)'!AO68/('Assumptions (T&amp;D)'!AO9)</f>
        <v>10.25770483</v>
      </c>
      <c r="AP2864" s="371">
        <f>'Assumptions (T&amp;D)'!AP68/('Assumptions (T&amp;D)'!AP9)</f>
        <v>10.25770483</v>
      </c>
      <c r="AQ2864" s="371">
        <f>'Assumptions (T&amp;D)'!AQ68/('Assumptions (T&amp;D)'!AQ9)</f>
        <v>10.25770483</v>
      </c>
      <c r="AR2864" s="371">
        <f>'Assumptions (T&amp;D)'!AR68/('Assumptions (T&amp;D)'!AR9)</f>
        <v>10.25770483</v>
      </c>
      <c r="AS2864" s="371">
        <f>'Assumptions (T&amp;D)'!AS68/('Assumptions (T&amp;D)'!AS9)</f>
        <v>10.25770483</v>
      </c>
      <c r="AT2864" s="371">
        <f>'Assumptions (T&amp;D)'!AT68/('Assumptions (T&amp;D)'!AT9)</f>
        <v>10.25770483</v>
      </c>
      <c r="AU2864" s="371">
        <f>'Assumptions (T&amp;D)'!AU68/('Assumptions (T&amp;D)'!AU9)</f>
        <v>10.25770483</v>
      </c>
      <c r="AV2864" s="371">
        <f>'Assumptions (T&amp;D)'!AV68/('Assumptions (T&amp;D)'!AV9)</f>
        <v>10.25770483</v>
      </c>
      <c r="AW2864" s="371">
        <f>'Assumptions (T&amp;D)'!AW68/('Assumptions (T&amp;D)'!AW9)</f>
        <v>10.25770483</v>
      </c>
      <c r="AX2864" s="371">
        <f>'Assumptions (T&amp;D)'!AX68/('Assumptions (T&amp;D)'!AX9)</f>
        <v>10.25770483</v>
      </c>
      <c r="AY2864" s="371">
        <f>'Assumptions (T&amp;D)'!AY68/('Assumptions (T&amp;D)'!AY9)</f>
        <v>10.25770483</v>
      </c>
      <c r="AZ2864" s="371">
        <f>'Assumptions (T&amp;D)'!AZ68/('Assumptions (T&amp;D)'!AZ9)</f>
        <v>10.25770483</v>
      </c>
      <c r="BA2864" s="371">
        <f>'Assumptions (T&amp;D)'!BA68/('Assumptions (T&amp;D)'!BA9)</f>
        <v>10.25770483</v>
      </c>
      <c r="BB2864" s="32"/>
      <c r="BC2864" s="32"/>
      <c r="BD2864" s="32"/>
      <c r="BE2864" s="32"/>
      <c r="BF2864" s="32"/>
      <c r="BG2864" s="32"/>
      <c r="BH2864" s="32"/>
      <c r="BI2864" s="32"/>
      <c r="BJ2864" s="32"/>
      <c r="BK2864" s="32"/>
      <c r="BL2864" s="32"/>
      <c r="BM2864" s="32"/>
      <c r="BN2864" s="32"/>
      <c r="BO2864" s="32"/>
      <c r="BP2864" s="32"/>
      <c r="BQ2864" s="32"/>
      <c r="BR2864" s="32"/>
      <c r="BS2864" s="32"/>
      <c r="BT2864" s="32"/>
      <c r="BU2864" s="32"/>
      <c r="BV2864" s="32"/>
      <c r="BW2864" s="32"/>
      <c r="BX2864" s="32"/>
      <c r="BY2864" s="32"/>
      <c r="BZ2864" s="32"/>
      <c r="CA2864" s="32"/>
      <c r="CB2864" s="32"/>
      <c r="CC2864" s="32"/>
      <c r="CD2864" s="32"/>
    </row>
    <row r="2865" ht="15.75" customHeight="1">
      <c r="A2865" s="365" t="s">
        <v>358</v>
      </c>
      <c r="B2865" s="159" t="s">
        <v>351</v>
      </c>
      <c r="C2865" s="366">
        <f>('Assumptions (T&amp;D)'!C56)*'Inflation GDP Population'!B$11/'Inflation GDP Population'!$S$11</f>
        <v>3.000787825</v>
      </c>
      <c r="D2865" s="366">
        <f>('Assumptions (T&amp;D)'!D56)*'Inflation GDP Population'!C$11/'Inflation GDP Population'!$S$11</f>
        <v>3.022302019</v>
      </c>
      <c r="E2865" s="366">
        <f>('Assumptions (T&amp;D)'!E56)*'Inflation GDP Population'!D$11/'Inflation GDP Population'!$S$11</f>
        <v>2.837160182</v>
      </c>
      <c r="F2865" s="366">
        <f>('Assumptions (T&amp;D)'!F56)*'Inflation GDP Population'!E$11/'Inflation GDP Population'!$S$11</f>
        <v>2.780952186</v>
      </c>
      <c r="G2865" s="366">
        <f>('Assumptions (T&amp;D)'!G56)*'Inflation GDP Population'!F$11/'Inflation GDP Population'!$S$11</f>
        <v>3.064634505</v>
      </c>
      <c r="H2865" s="366">
        <f>('Assumptions (T&amp;D)'!H56)*'Inflation GDP Population'!G$11/'Inflation GDP Population'!$S$11</f>
        <v>2.975628581</v>
      </c>
      <c r="I2865" s="366">
        <f>('Assumptions (T&amp;D)'!I56)*'Inflation GDP Population'!H$11/'Inflation GDP Population'!$S$11</f>
        <v>4.973510893</v>
      </c>
      <c r="J2865" s="366">
        <f>('Assumptions (T&amp;D)'!J56)*'Inflation GDP Population'!I$11/'Inflation GDP Population'!$S$11</f>
        <v>3.921601353</v>
      </c>
      <c r="K2865" s="366">
        <f>('Assumptions (T&amp;D)'!K56)*'Inflation GDP Population'!J$11/'Inflation GDP Population'!$S$11</f>
        <v>4.257400651</v>
      </c>
      <c r="L2865" s="366">
        <f>('Assumptions (T&amp;D)'!L56)*'Inflation GDP Population'!K$11/'Inflation GDP Population'!$S$11</f>
        <v>3.98904064</v>
      </c>
      <c r="M2865" s="366">
        <f>('Assumptions (T&amp;D)'!M56)*'Inflation GDP Population'!L$11/'Inflation GDP Population'!$S$11</f>
        <v>3.780648799</v>
      </c>
      <c r="N2865" s="366">
        <f>('Assumptions (T&amp;D)'!N56)*'Inflation GDP Population'!M$11/'Inflation GDP Population'!$S$11</f>
        <v>4.232725513</v>
      </c>
      <c r="O2865" s="366">
        <f>('Assumptions (T&amp;D)'!O56)*'Inflation GDP Population'!N$11/'Inflation GDP Population'!$S$11</f>
        <v>4.204580246</v>
      </c>
      <c r="P2865" s="366">
        <f>('Assumptions (T&amp;D)'!P56)*'Inflation GDP Population'!O$11/'Inflation GDP Population'!$S$11</f>
        <v>4.350431437</v>
      </c>
      <c r="Q2865" s="366">
        <f>('Assumptions (T&amp;D)'!Q56)*'Inflation GDP Population'!P$11/'Inflation GDP Population'!$S$11</f>
        <v>4.567405864</v>
      </c>
      <c r="R2865" s="366">
        <f>('Assumptions (T&amp;D)'!R56)*'Inflation GDP Population'!Q$11/'Inflation GDP Population'!$S$11</f>
        <v>5.083613051</v>
      </c>
      <c r="S2865" s="366">
        <f>('Assumptions (T&amp;D)'!S56)*'Inflation GDP Population'!R$11/'Inflation GDP Population'!$S$11</f>
        <v>5.791424758</v>
      </c>
      <c r="T2865" s="366">
        <f>('Assumptions (T&amp;D)'!T56)*'Inflation GDP Population'!S$11/'Inflation GDP Population'!$S$11</f>
        <v>5.125172932</v>
      </c>
      <c r="U2865" s="366">
        <f>('Assumptions (T&amp;D)'!U56)*'Inflation GDP Population'!T$11/'Inflation GDP Population'!$S$11</f>
        <v>5.189910753</v>
      </c>
      <c r="V2865" s="367">
        <f>('Assumptions (T&amp;D)'!V56)*'Inflation GDP Population'!U$16/'Inflation GDP Population'!$S$16</f>
        <v>5.379377842</v>
      </c>
      <c r="W2865" s="367">
        <f>('Assumptions (T&amp;D)'!W56)*'Inflation GDP Population'!V$16/'Inflation GDP Population'!$S$16</f>
        <v>5.485609636</v>
      </c>
      <c r="X2865" s="367">
        <f>('Assumptions (T&amp;D)'!X56)*'Inflation GDP Population'!W$16/'Inflation GDP Population'!$S$16</f>
        <v>5.686566163</v>
      </c>
      <c r="Y2865" s="367">
        <f>('Assumptions (T&amp;D)'!Y56)*'Inflation GDP Population'!X$16/'Inflation GDP Population'!$S$16</f>
        <v>5.846092335</v>
      </c>
      <c r="Z2865" s="367">
        <f>('Assumptions (T&amp;D)'!Z56)*'Inflation GDP Population'!Y$16/'Inflation GDP Population'!$S$16</f>
        <v>6.009701482</v>
      </c>
      <c r="AA2865" s="367">
        <f>('Assumptions (T&amp;D)'!AA56)*'Inflation GDP Population'!Z$16/'Inflation GDP Population'!$S$16</f>
        <v>6.177492654</v>
      </c>
      <c r="AB2865" s="367">
        <f>('Assumptions (T&amp;D)'!AB56)*'Inflation GDP Population'!AA$16/'Inflation GDP Population'!$S$16</f>
        <v>6.349567219</v>
      </c>
      <c r="AC2865" s="367">
        <f>('Assumptions (T&amp;D)'!AC56)*'Inflation GDP Population'!AB$16/'Inflation GDP Population'!$S$16</f>
        <v>6.526028917</v>
      </c>
      <c r="AD2865" s="367">
        <f>('Assumptions (T&amp;D)'!AD56)*'Inflation GDP Population'!AC$16/'Inflation GDP Population'!$S$16</f>
        <v>6.706983917</v>
      </c>
      <c r="AE2865" s="367">
        <f>('Assumptions (T&amp;D)'!AE56)*'Inflation GDP Population'!AD$16/'Inflation GDP Population'!$S$16</f>
        <v>6.892540869</v>
      </c>
      <c r="AF2865" s="367">
        <f>('Assumptions (T&amp;D)'!AF56)*'Inflation GDP Population'!AE$16/'Inflation GDP Population'!$S$16</f>
        <v>7.082810963</v>
      </c>
      <c r="AG2865" s="367">
        <f>('Assumptions (T&amp;D)'!AG56)*'Inflation GDP Population'!AF$16/'Inflation GDP Population'!$S$16</f>
        <v>7.277907983</v>
      </c>
      <c r="AH2865" s="367">
        <f>('Assumptions (T&amp;D)'!AH56)*'Inflation GDP Population'!AG$16/'Inflation GDP Population'!$S$16</f>
        <v>7.477948373</v>
      </c>
      <c r="AI2865" s="367">
        <f>('Assumptions (T&amp;D)'!AI56)*'Inflation GDP Population'!AH$16/'Inflation GDP Population'!$S$16</f>
        <v>7.68305129</v>
      </c>
      <c r="AJ2865" s="367">
        <f>('Assumptions (T&amp;D)'!AJ56)*'Inflation GDP Population'!AI$16/'Inflation GDP Population'!$S$16</f>
        <v>7.893338672</v>
      </c>
      <c r="AK2865" s="367">
        <f>('Assumptions (T&amp;D)'!AK56)*'Inflation GDP Population'!AJ$16/'Inflation GDP Population'!$S$16</f>
        <v>8.108935298</v>
      </c>
      <c r="AL2865" s="367">
        <f>('Assumptions (T&amp;D)'!AL56)*'Inflation GDP Population'!AK$16/'Inflation GDP Population'!$S$16</f>
        <v>8.329968853</v>
      </c>
      <c r="AM2865" s="367">
        <f>('Assumptions (T&amp;D)'!AM56)*'Inflation GDP Population'!AL$16/'Inflation GDP Population'!$S$16</f>
        <v>8.556569995</v>
      </c>
      <c r="AN2865" s="367">
        <f>('Assumptions (T&amp;D)'!AN56)*'Inflation GDP Population'!AM$16/'Inflation GDP Population'!$S$16</f>
        <v>8.788872421</v>
      </c>
      <c r="AO2865" s="367">
        <f>('Assumptions (T&amp;D)'!AO56)*'Inflation GDP Population'!AN$16/'Inflation GDP Population'!$S$16</f>
        <v>9.027012939</v>
      </c>
      <c r="AP2865" s="367">
        <f>('Assumptions (T&amp;D)'!AP56)*'Inflation GDP Population'!AO$16/'Inflation GDP Population'!$S$16</f>
        <v>9.271131536</v>
      </c>
      <c r="AQ2865" s="367">
        <f>('Assumptions (T&amp;D)'!AQ56)*'Inflation GDP Population'!AP$16/'Inflation GDP Population'!$S$16</f>
        <v>9.521371451</v>
      </c>
      <c r="AR2865" s="367">
        <f>('Assumptions (T&amp;D)'!AR56)*'Inflation GDP Population'!AQ$16/'Inflation GDP Population'!$S$16</f>
        <v>9.777879249</v>
      </c>
      <c r="AS2865" s="367">
        <f>('Assumptions (T&amp;D)'!AS56)*'Inflation GDP Population'!AR$16/'Inflation GDP Population'!$S$16</f>
        <v>10.0408049</v>
      </c>
      <c r="AT2865" s="367">
        <f>('Assumptions (T&amp;D)'!AT56)*'Inflation GDP Population'!AS$16/'Inflation GDP Population'!$S$16</f>
        <v>10.31030184</v>
      </c>
      <c r="AU2865" s="367">
        <f>('Assumptions (T&amp;D)'!AU56)*'Inflation GDP Population'!AT$16/'Inflation GDP Population'!$S$16</f>
        <v>10.58652708</v>
      </c>
      <c r="AV2865" s="367">
        <f>('Assumptions (T&amp;D)'!AV56)*'Inflation GDP Population'!AU$16/'Inflation GDP Population'!$S$16</f>
        <v>10.86964127</v>
      </c>
      <c r="AW2865" s="367">
        <f>('Assumptions (T&amp;D)'!AW56)*'Inflation GDP Population'!AV$16/'Inflation GDP Population'!$S$16</f>
        <v>11.15980875</v>
      </c>
      <c r="AX2865" s="367">
        <f>('Assumptions (T&amp;D)'!AX56)*'Inflation GDP Population'!AW$16/'Inflation GDP Population'!$S$16</f>
        <v>11.45719771</v>
      </c>
      <c r="AY2865" s="367">
        <f>('Assumptions (T&amp;D)'!AY56)*'Inflation GDP Population'!AX$16/'Inflation GDP Population'!$S$16</f>
        <v>11.76198019</v>
      </c>
      <c r="AZ2865" s="367">
        <f>('Assumptions (T&amp;D)'!AZ56)*'Inflation GDP Population'!AY$16/'Inflation GDP Population'!$S$16</f>
        <v>12.07433224</v>
      </c>
      <c r="BA2865" s="367">
        <f>('Assumptions (T&amp;D)'!BA56)*'Inflation GDP Population'!AZ$16/'Inflation GDP Population'!$S$16</f>
        <v>12.3127758</v>
      </c>
      <c r="BB2865" s="32"/>
      <c r="BC2865" s="32"/>
      <c r="BD2865" s="32"/>
      <c r="BE2865" s="32"/>
      <c r="BF2865" s="32"/>
      <c r="BG2865" s="32"/>
      <c r="BH2865" s="32"/>
      <c r="BI2865" s="32"/>
      <c r="BJ2865" s="32"/>
      <c r="BK2865" s="32"/>
      <c r="BL2865" s="32"/>
      <c r="BM2865" s="32"/>
      <c r="BN2865" s="32"/>
      <c r="BO2865" s="32"/>
      <c r="BP2865" s="32"/>
      <c r="BQ2865" s="32"/>
      <c r="BR2865" s="32"/>
      <c r="BS2865" s="32"/>
      <c r="BT2865" s="32"/>
      <c r="BU2865" s="32"/>
      <c r="BV2865" s="32"/>
      <c r="BW2865" s="32"/>
      <c r="BX2865" s="32"/>
      <c r="BY2865" s="32"/>
      <c r="BZ2865" s="32"/>
      <c r="CA2865" s="32"/>
      <c r="CB2865" s="32"/>
      <c r="CC2865" s="32"/>
      <c r="CD2865" s="32"/>
    </row>
    <row r="2866" ht="15.75" customHeight="1">
      <c r="A2866" s="365" t="s">
        <v>52</v>
      </c>
      <c r="B2866" s="159" t="s">
        <v>351</v>
      </c>
      <c r="C2866" s="371">
        <f>C2865*'Assumptions (T&amp;D)'!$C$18</f>
        <v>1.20031513</v>
      </c>
      <c r="D2866" s="371">
        <f>D2865*'Assumptions (T&amp;D)'!$C$18</f>
        <v>1.208920807</v>
      </c>
      <c r="E2866" s="371">
        <f>E2865*'Assumptions (T&amp;D)'!$C$18</f>
        <v>1.134864073</v>
      </c>
      <c r="F2866" s="371">
        <f>F2865*'Assumptions (T&amp;D)'!$C$18</f>
        <v>1.112380874</v>
      </c>
      <c r="G2866" s="371">
        <f>G2865*'Assumptions (T&amp;D)'!$C$18</f>
        <v>1.225853802</v>
      </c>
      <c r="H2866" s="371">
        <f>H2865*'Assumptions (T&amp;D)'!$C$18</f>
        <v>1.190251432</v>
      </c>
      <c r="I2866" s="371">
        <f>I2865*'Assumptions (T&amp;D)'!$C$18</f>
        <v>1.989404357</v>
      </c>
      <c r="J2866" s="371">
        <f>J2865*'Assumptions (T&amp;D)'!$C$18</f>
        <v>1.568640541</v>
      </c>
      <c r="K2866" s="371">
        <f>K2865*'Assumptions (T&amp;D)'!$C$18</f>
        <v>1.70296026</v>
      </c>
      <c r="L2866" s="371">
        <f>L2865*'Assumptions (T&amp;D)'!$C$18</f>
        <v>1.595616256</v>
      </c>
      <c r="M2866" s="371">
        <f>M2865*'Assumptions (T&amp;D)'!$C$18</f>
        <v>1.51225952</v>
      </c>
      <c r="N2866" s="371">
        <f>N2865*'Assumptions (T&amp;D)'!$C$18</f>
        <v>1.693090205</v>
      </c>
      <c r="O2866" s="371">
        <f>O2865*'Assumptions (T&amp;D)'!$C$18</f>
        <v>1.681832098</v>
      </c>
      <c r="P2866" s="371">
        <f>P2865*'Assumptions (T&amp;D)'!$C$18</f>
        <v>1.740172575</v>
      </c>
      <c r="Q2866" s="371">
        <f>Q2865*'Assumptions (T&amp;D)'!$C$18</f>
        <v>1.826962346</v>
      </c>
      <c r="R2866" s="371">
        <f>R2865*'Assumptions (T&amp;D)'!$C$18</f>
        <v>2.03344522</v>
      </c>
      <c r="S2866" s="371">
        <f>S2865*'Assumptions (T&amp;D)'!$C$18</f>
        <v>2.316569903</v>
      </c>
      <c r="T2866" s="371">
        <f>T2865*'Assumptions (T&amp;D)'!$C$18</f>
        <v>2.050069173</v>
      </c>
      <c r="U2866" s="371">
        <f>U2865*'Assumptions (T&amp;D)'!$C$18</f>
        <v>2.075964301</v>
      </c>
      <c r="V2866" s="371">
        <f>V2865*'Assumptions (T&amp;D)'!$C$18</f>
        <v>2.151751137</v>
      </c>
      <c r="W2866" s="371">
        <f>W2865*'Assumptions (T&amp;D)'!$C$18</f>
        <v>2.194243854</v>
      </c>
      <c r="X2866" s="371">
        <f>X2865*'Assumptions (T&amp;D)'!$C$18</f>
        <v>2.274626465</v>
      </c>
      <c r="Y2866" s="371">
        <f>Y2865*'Assumptions (T&amp;D)'!$C$18</f>
        <v>2.338436934</v>
      </c>
      <c r="Z2866" s="371">
        <f>Z2865*'Assumptions (T&amp;D)'!$C$18</f>
        <v>2.403880593</v>
      </c>
      <c r="AA2866" s="371">
        <f>AA2865*'Assumptions (T&amp;D)'!$C$18</f>
        <v>2.470997062</v>
      </c>
      <c r="AB2866" s="371">
        <f>AB2865*'Assumptions (T&amp;D)'!$C$18</f>
        <v>2.539826887</v>
      </c>
      <c r="AC2866" s="371">
        <f>AC2865*'Assumptions (T&amp;D)'!$C$18</f>
        <v>2.610411567</v>
      </c>
      <c r="AD2866" s="371">
        <f>AD2865*'Assumptions (T&amp;D)'!$C$18</f>
        <v>2.682793567</v>
      </c>
      <c r="AE2866" s="371">
        <f>AE2865*'Assumptions (T&amp;D)'!$C$18</f>
        <v>2.757016348</v>
      </c>
      <c r="AF2866" s="371">
        <f>AF2865*'Assumptions (T&amp;D)'!$C$18</f>
        <v>2.833124385</v>
      </c>
      <c r="AG2866" s="371">
        <f>AG2865*'Assumptions (T&amp;D)'!$C$18</f>
        <v>2.911163193</v>
      </c>
      <c r="AH2866" s="371">
        <f>AH2865*'Assumptions (T&amp;D)'!$C$18</f>
        <v>2.991179349</v>
      </c>
      <c r="AI2866" s="371">
        <f>AI2865*'Assumptions (T&amp;D)'!$C$18</f>
        <v>3.073220516</v>
      </c>
      <c r="AJ2866" s="371">
        <f>AJ2865*'Assumptions (T&amp;D)'!$C$18</f>
        <v>3.157335469</v>
      </c>
      <c r="AK2866" s="371">
        <f>AK2865*'Assumptions (T&amp;D)'!$C$18</f>
        <v>3.243574119</v>
      </c>
      <c r="AL2866" s="371">
        <f>AL2865*'Assumptions (T&amp;D)'!$C$18</f>
        <v>3.331987541</v>
      </c>
      <c r="AM2866" s="371">
        <f>AM2865*'Assumptions (T&amp;D)'!$C$18</f>
        <v>3.422627998</v>
      </c>
      <c r="AN2866" s="371">
        <f>AN2865*'Assumptions (T&amp;D)'!$C$18</f>
        <v>3.515548969</v>
      </c>
      <c r="AO2866" s="371">
        <f>AO2865*'Assumptions (T&amp;D)'!$C$18</f>
        <v>3.610805176</v>
      </c>
      <c r="AP2866" s="371">
        <f>AP2865*'Assumptions (T&amp;D)'!$C$18</f>
        <v>3.708452614</v>
      </c>
      <c r="AQ2866" s="371">
        <f>AQ2865*'Assumptions (T&amp;D)'!$C$18</f>
        <v>3.80854858</v>
      </c>
      <c r="AR2866" s="371">
        <f>AR2865*'Assumptions (T&amp;D)'!$C$18</f>
        <v>3.9111517</v>
      </c>
      <c r="AS2866" s="371">
        <f>AS2865*'Assumptions (T&amp;D)'!$C$18</f>
        <v>4.016321959</v>
      </c>
      <c r="AT2866" s="371">
        <f>AT2865*'Assumptions (T&amp;D)'!$C$18</f>
        <v>4.124120737</v>
      </c>
      <c r="AU2866" s="371">
        <f>AU2865*'Assumptions (T&amp;D)'!$C$18</f>
        <v>4.234610834</v>
      </c>
      <c r="AV2866" s="371">
        <f>AV2865*'Assumptions (T&amp;D)'!$C$18</f>
        <v>4.347856507</v>
      </c>
      <c r="AW2866" s="371">
        <f>AW2865*'Assumptions (T&amp;D)'!$C$18</f>
        <v>4.463923501</v>
      </c>
      <c r="AX2866" s="371">
        <f>AX2865*'Assumptions (T&amp;D)'!$C$18</f>
        <v>4.582879083</v>
      </c>
      <c r="AY2866" s="371">
        <f>AY2865*'Assumptions (T&amp;D)'!$C$18</f>
        <v>4.704792076</v>
      </c>
      <c r="AZ2866" s="371">
        <f>AZ2865*'Assumptions (T&amp;D)'!$C$18</f>
        <v>4.829732896</v>
      </c>
      <c r="BA2866" s="371">
        <f>BA2865*'Assumptions (T&amp;D)'!$C$18</f>
        <v>4.925110318</v>
      </c>
      <c r="BB2866" s="32"/>
      <c r="BC2866" s="32"/>
      <c r="BD2866" s="32"/>
      <c r="BE2866" s="32"/>
      <c r="BF2866" s="32"/>
      <c r="BG2866" s="32"/>
      <c r="BH2866" s="32"/>
      <c r="BI2866" s="32"/>
      <c r="BJ2866" s="32"/>
      <c r="BK2866" s="32"/>
      <c r="BL2866" s="32"/>
      <c r="BM2866" s="32"/>
      <c r="BN2866" s="32"/>
      <c r="BO2866" s="32"/>
      <c r="BP2866" s="32"/>
      <c r="BQ2866" s="32"/>
      <c r="BR2866" s="32"/>
      <c r="BS2866" s="32"/>
      <c r="BT2866" s="32"/>
      <c r="BU2866" s="32"/>
      <c r="BV2866" s="32"/>
      <c r="BW2866" s="32"/>
      <c r="BX2866" s="32"/>
      <c r="BY2866" s="32"/>
      <c r="BZ2866" s="32"/>
      <c r="CA2866" s="32"/>
      <c r="CB2866" s="32"/>
      <c r="CC2866" s="32"/>
      <c r="CD2866" s="32"/>
    </row>
    <row r="2867" ht="15.75" customHeight="1">
      <c r="A2867" s="365" t="s">
        <v>54</v>
      </c>
      <c r="B2867" s="159" t="s">
        <v>351</v>
      </c>
      <c r="C2867" s="371">
        <f>C2865*'Assumptions (T&amp;D)'!$C$19</f>
        <v>1.800472695</v>
      </c>
      <c r="D2867" s="371">
        <f>D2865*'Assumptions (T&amp;D)'!$C$19</f>
        <v>1.813381211</v>
      </c>
      <c r="E2867" s="371">
        <f>E2865*'Assumptions (T&amp;D)'!$C$19</f>
        <v>1.702296109</v>
      </c>
      <c r="F2867" s="371">
        <f>F2865*'Assumptions (T&amp;D)'!$C$19</f>
        <v>1.668571312</v>
      </c>
      <c r="G2867" s="371">
        <f>G2865*'Assumptions (T&amp;D)'!$C$19</f>
        <v>1.838780703</v>
      </c>
      <c r="H2867" s="371">
        <f>H2865*'Assumptions (T&amp;D)'!$C$19</f>
        <v>1.785377149</v>
      </c>
      <c r="I2867" s="371">
        <f>I2865*'Assumptions (T&amp;D)'!$C$19</f>
        <v>2.984106536</v>
      </c>
      <c r="J2867" s="371">
        <f>J2865*'Assumptions (T&amp;D)'!$C$19</f>
        <v>2.352960812</v>
      </c>
      <c r="K2867" s="371">
        <f>K2865*'Assumptions (T&amp;D)'!$C$19</f>
        <v>2.554440391</v>
      </c>
      <c r="L2867" s="371">
        <f>L2865*'Assumptions (T&amp;D)'!$C$19</f>
        <v>2.393424384</v>
      </c>
      <c r="M2867" s="371">
        <f>M2865*'Assumptions (T&amp;D)'!$C$19</f>
        <v>2.26838928</v>
      </c>
      <c r="N2867" s="371">
        <f>N2865*'Assumptions (T&amp;D)'!$C$19</f>
        <v>2.539635308</v>
      </c>
      <c r="O2867" s="371">
        <f>O2865*'Assumptions (T&amp;D)'!$C$19</f>
        <v>2.522748147</v>
      </c>
      <c r="P2867" s="371">
        <f>P2865*'Assumptions (T&amp;D)'!$C$19</f>
        <v>2.610258862</v>
      </c>
      <c r="Q2867" s="371">
        <f>Q2865*'Assumptions (T&amp;D)'!$C$19</f>
        <v>2.740443518</v>
      </c>
      <c r="R2867" s="371">
        <f>R2865*'Assumptions (T&amp;D)'!$C$19</f>
        <v>3.050167831</v>
      </c>
      <c r="S2867" s="371">
        <f>S2865*'Assumptions (T&amp;D)'!$C$19</f>
        <v>3.474854855</v>
      </c>
      <c r="T2867" s="371">
        <f>T2865*'Assumptions (T&amp;D)'!$C$19</f>
        <v>3.075103759</v>
      </c>
      <c r="U2867" s="371">
        <f>U2865*'Assumptions (T&amp;D)'!$C$19</f>
        <v>3.113946452</v>
      </c>
      <c r="V2867" s="371">
        <f>V2865*'Assumptions (T&amp;D)'!$C$19</f>
        <v>3.227626705</v>
      </c>
      <c r="W2867" s="371">
        <f>W2865*'Assumptions (T&amp;D)'!$C$19</f>
        <v>3.291365782</v>
      </c>
      <c r="X2867" s="371">
        <f>X2865*'Assumptions (T&amp;D)'!$C$19</f>
        <v>3.411939698</v>
      </c>
      <c r="Y2867" s="371">
        <f>Y2865*'Assumptions (T&amp;D)'!$C$19</f>
        <v>3.507655401</v>
      </c>
      <c r="Z2867" s="371">
        <f>Z2865*'Assumptions (T&amp;D)'!$C$19</f>
        <v>3.605820889</v>
      </c>
      <c r="AA2867" s="371">
        <f>AA2865*'Assumptions (T&amp;D)'!$C$19</f>
        <v>3.706495592</v>
      </c>
      <c r="AB2867" s="371">
        <f>AB2865*'Assumptions (T&amp;D)'!$C$19</f>
        <v>3.809740331</v>
      </c>
      <c r="AC2867" s="371">
        <f>AC2865*'Assumptions (T&amp;D)'!$C$19</f>
        <v>3.91561735</v>
      </c>
      <c r="AD2867" s="371">
        <f>AD2865*'Assumptions (T&amp;D)'!$C$19</f>
        <v>4.02419035</v>
      </c>
      <c r="AE2867" s="371">
        <f>AE2865*'Assumptions (T&amp;D)'!$C$19</f>
        <v>4.135524522</v>
      </c>
      <c r="AF2867" s="371">
        <f>AF2865*'Assumptions (T&amp;D)'!$C$19</f>
        <v>4.249686578</v>
      </c>
      <c r="AG2867" s="371">
        <f>AG2865*'Assumptions (T&amp;D)'!$C$19</f>
        <v>4.36674479</v>
      </c>
      <c r="AH2867" s="371">
        <f>AH2865*'Assumptions (T&amp;D)'!$C$19</f>
        <v>4.486769024</v>
      </c>
      <c r="AI2867" s="371">
        <f>AI2865*'Assumptions (T&amp;D)'!$C$19</f>
        <v>4.609830774</v>
      </c>
      <c r="AJ2867" s="371">
        <f>AJ2865*'Assumptions (T&amp;D)'!$C$19</f>
        <v>4.736003203</v>
      </c>
      <c r="AK2867" s="371">
        <f>AK2865*'Assumptions (T&amp;D)'!$C$19</f>
        <v>4.865361179</v>
      </c>
      <c r="AL2867" s="371">
        <f>AL2865*'Assumptions (T&amp;D)'!$C$19</f>
        <v>4.997981312</v>
      </c>
      <c r="AM2867" s="371">
        <f>AM2865*'Assumptions (T&amp;D)'!$C$19</f>
        <v>5.133941997</v>
      </c>
      <c r="AN2867" s="371">
        <f>AN2865*'Assumptions (T&amp;D)'!$C$19</f>
        <v>5.273323453</v>
      </c>
      <c r="AO2867" s="371">
        <f>AO2865*'Assumptions (T&amp;D)'!$C$19</f>
        <v>5.416207764</v>
      </c>
      <c r="AP2867" s="371">
        <f>AP2865*'Assumptions (T&amp;D)'!$C$19</f>
        <v>5.562678922</v>
      </c>
      <c r="AQ2867" s="371">
        <f>AQ2865*'Assumptions (T&amp;D)'!$C$19</f>
        <v>5.712822871</v>
      </c>
      <c r="AR2867" s="371">
        <f>AR2865*'Assumptions (T&amp;D)'!$C$19</f>
        <v>5.866727549</v>
      </c>
      <c r="AS2867" s="371">
        <f>AS2865*'Assumptions (T&amp;D)'!$C$19</f>
        <v>6.024482938</v>
      </c>
      <c r="AT2867" s="371">
        <f>AT2865*'Assumptions (T&amp;D)'!$C$19</f>
        <v>6.186181105</v>
      </c>
      <c r="AU2867" s="371">
        <f>AU2865*'Assumptions (T&amp;D)'!$C$19</f>
        <v>6.35191625</v>
      </c>
      <c r="AV2867" s="371">
        <f>AV2865*'Assumptions (T&amp;D)'!$C$19</f>
        <v>6.52178476</v>
      </c>
      <c r="AW2867" s="371">
        <f>AW2865*'Assumptions (T&amp;D)'!$C$19</f>
        <v>6.695885251</v>
      </c>
      <c r="AX2867" s="371">
        <f>AX2865*'Assumptions (T&amp;D)'!$C$19</f>
        <v>6.874318625</v>
      </c>
      <c r="AY2867" s="371">
        <f>AY2865*'Assumptions (T&amp;D)'!$C$19</f>
        <v>7.057188115</v>
      </c>
      <c r="AZ2867" s="371">
        <f>AZ2865*'Assumptions (T&amp;D)'!$C$19</f>
        <v>7.244599344</v>
      </c>
      <c r="BA2867" s="371">
        <f>BA2865*'Assumptions (T&amp;D)'!$C$19</f>
        <v>7.387665477</v>
      </c>
      <c r="BB2867" s="32"/>
      <c r="BC2867" s="32"/>
      <c r="BD2867" s="32"/>
      <c r="BE2867" s="32"/>
      <c r="BF2867" s="32"/>
      <c r="BG2867" s="32"/>
      <c r="BH2867" s="32"/>
      <c r="BI2867" s="32"/>
      <c r="BJ2867" s="32"/>
      <c r="BK2867" s="32"/>
      <c r="BL2867" s="32"/>
      <c r="BM2867" s="32"/>
      <c r="BN2867" s="32"/>
      <c r="BO2867" s="32"/>
      <c r="BP2867" s="32"/>
      <c r="BQ2867" s="32"/>
      <c r="BR2867" s="32"/>
      <c r="BS2867" s="32"/>
      <c r="BT2867" s="32"/>
      <c r="BU2867" s="32"/>
      <c r="BV2867" s="32"/>
      <c r="BW2867" s="32"/>
      <c r="BX2867" s="32"/>
      <c r="BY2867" s="32"/>
      <c r="BZ2867" s="32"/>
      <c r="CA2867" s="32"/>
      <c r="CB2867" s="32"/>
      <c r="CC2867" s="32"/>
      <c r="CD2867" s="32"/>
    </row>
    <row r="2868" ht="15.75" customHeight="1">
      <c r="A2868" s="365" t="s">
        <v>359</v>
      </c>
      <c r="B2868" s="159" t="s">
        <v>351</v>
      </c>
      <c r="C2868" s="372">
        <f t="array" ref="C2868">SUM(IF(ISERROR(C2869:C2919),"",C2869:C2919))</f>
        <v>-0.05668024208</v>
      </c>
      <c r="D2868" s="372">
        <f t="array" ref="D2868">SUM(IF(ISERROR(D2869:D2919),"",D2869:D2919))</f>
        <v>-0.1164591655</v>
      </c>
      <c r="E2868" s="372">
        <f t="array" ref="E2868">SUM(IF(ISERROR(E2869:E2919),"",E2869:E2919))</f>
        <v>-0.1755805448</v>
      </c>
      <c r="F2868" s="372">
        <f t="array" ref="F2868">SUM(IF(ISERROR(F2869:F2919),"",F2869:F2919))</f>
        <v>-0.2364485075</v>
      </c>
      <c r="G2868" s="372">
        <f t="array" ref="G2868">SUM(IF(ISERROR(G2869:G2919),"",G2869:G2919))</f>
        <v>-0.3055660187</v>
      </c>
      <c r="H2868" s="372">
        <f t="array" ref="H2868">SUM(IF(ISERROR(H2869:H2919),"",H2869:H2919))</f>
        <v>-0.3762854275</v>
      </c>
      <c r="I2868" s="372">
        <f t="array" ref="I2868">SUM(IF(ISERROR(I2869:I2919),"",I2869:I2919))</f>
        <v>-0.4881009158</v>
      </c>
      <c r="J2868" s="372">
        <f t="array" ref="J2868">SUM(IF(ISERROR(J2869:J2919),"",J2869:J2919))</f>
        <v>-0.5853586952</v>
      </c>
      <c r="K2868" s="372">
        <f t="array" ref="K2868">SUM(IF(ISERROR(K2869:K2919),"",K2869:K2919))</f>
        <v>-0.6935789486</v>
      </c>
      <c r="L2868" s="372">
        <f t="array" ref="L2868">SUM(IF(ISERROR(L2869:L2919),"",L2869:L2919))</f>
        <v>-0.8018707583</v>
      </c>
      <c r="M2868" s="372">
        <f t="array" ref="M2868">SUM(IF(ISERROR(M2869:M2919),"",M2869:M2919))</f>
        <v>-0.9113702294</v>
      </c>
      <c r="N2868" s="372">
        <f t="array" ref="N2868">SUM(IF(ISERROR(N2869:N2919),"",N2869:N2919))</f>
        <v>-1.034609955</v>
      </c>
      <c r="O2868" s="372">
        <f t="array" ref="O2868">SUM(IF(ISERROR(O2869:O2919),"",O2869:O2919))</f>
        <v>-1.163171948</v>
      </c>
      <c r="P2868" s="372">
        <f t="array" ref="P2868">SUM(IF(ISERROR(P2869:P2919),"",P2869:P2919))</f>
        <v>-1.300595538</v>
      </c>
      <c r="Q2868" s="372">
        <f t="array" ref="Q2868">SUM(IF(ISERROR(Q2869:Q2919),"",Q2869:Q2919))</f>
        <v>-1.448645061</v>
      </c>
      <c r="R2868" s="372">
        <f t="array" ref="R2868">SUM(IF(ISERROR(R2869:R2919),"",R2869:R2919))</f>
        <v>-1.499782081</v>
      </c>
      <c r="S2868" s="372">
        <f t="array" ref="S2868">SUM(IF(ISERROR(S2869:S2919),"",S2869:S2919))</f>
        <v>-1.565902438</v>
      </c>
      <c r="T2868" s="372">
        <f t="array" ref="T2868">SUM(IF(ISERROR(T2869:T2919),"",T2869:T2919))</f>
        <v>-1.629593783</v>
      </c>
      <c r="U2868" s="372">
        <f t="array" ref="U2868">SUM(IF(ISERROR(U2869:U2919),"",U2869:U2919))</f>
        <v>-1.699662899</v>
      </c>
      <c r="V2868" s="372">
        <f t="array" ref="V2868">SUM(IF(ISERROR(V2869:V2919),"",V2869:V2919))</f>
        <v>-1.765890754</v>
      </c>
      <c r="W2868" s="372">
        <f t="array" ref="W2868">SUM(IF(ISERROR(W2869:W2919),"",W2869:W2919))</f>
        <v>-1.840643283</v>
      </c>
      <c r="X2868" s="372">
        <f t="array" ref="X2868">SUM(IF(ISERROR(X2869:X2919),"",X2869:X2919))</f>
        <v>-1.847045643</v>
      </c>
      <c r="Y2868" s="372">
        <f t="array" ref="Y2868">SUM(IF(ISERROR(Y2869:Y2919),"",Y2869:Y2919))</f>
        <v>-1.896620544</v>
      </c>
      <c r="Z2868" s="372">
        <f t="array" ref="Z2868">SUM(IF(ISERROR(Z2869:Z2919),"",Z2869:Z2919))</f>
        <v>-1.938917661</v>
      </c>
      <c r="AA2868" s="372">
        <f t="array" ref="AA2868">SUM(IF(ISERROR(AA2869:AA2919),"",AA2869:AA2919))</f>
        <v>-1.996560952</v>
      </c>
      <c r="AB2868" s="372">
        <f t="array" ref="AB2868">SUM(IF(ISERROR(AB2869:AB2919),"",AB2869:AB2919))</f>
        <v>-2.068088167</v>
      </c>
      <c r="AC2868" s="372">
        <f t="array" ref="AC2868">SUM(IF(ISERROR(AC2869:AC2919),"",AC2869:AC2919))</f>
        <v>-2.129217526</v>
      </c>
      <c r="AD2868" s="372">
        <f t="array" ref="AD2868">SUM(IF(ISERROR(AD2869:AD2919),"",AD2869:AD2919))</f>
        <v>-2.19773487</v>
      </c>
      <c r="AE2868" s="372">
        <f t="array" ref="AE2868">SUM(IF(ISERROR(AE2869:AE2919),"",AE2869:AE2919))</f>
        <v>-2.267485595</v>
      </c>
      <c r="AF2868" s="372">
        <f t="array" ref="AF2868">SUM(IF(ISERROR(AF2869:AF2919),"",AF2869:AF2919))</f>
        <v>-2.335922562</v>
      </c>
      <c r="AG2868" s="372">
        <f t="array" ref="AG2868">SUM(IF(ISERROR(AG2869:AG2919),"",AG2869:AG2919))</f>
        <v>-2.391737075</v>
      </c>
      <c r="AH2868" s="372">
        <f t="array" ref="AH2868">SUM(IF(ISERROR(AH2869:AH2919),"",AH2869:AH2919))</f>
        <v>-2.427163338</v>
      </c>
      <c r="AI2868" s="372">
        <f t="array" ref="AI2868">SUM(IF(ISERROR(AI2869:AI2919),"",AI2869:AI2919))</f>
        <v>-2.493389678</v>
      </c>
      <c r="AJ2868" s="372">
        <f t="array" ref="AJ2868">SUM(IF(ISERROR(AJ2869:AJ2919),"",AJ2869:AJ2919))</f>
        <v>-2.564280957</v>
      </c>
      <c r="AK2868" s="372">
        <f t="array" ref="AK2868">SUM(IF(ISERROR(AK2869:AK2919),"",AK2869:AK2919))</f>
        <v>-2.635433243</v>
      </c>
      <c r="AL2868" s="372">
        <f t="array" ref="AL2868">SUM(IF(ISERROR(AL2869:AL2919),"",AL2869:AL2919))</f>
        <v>-2.710115287</v>
      </c>
      <c r="AM2868" s="372">
        <f t="array" ref="AM2868">SUM(IF(ISERROR(AM2869:AM2919),"",AM2869:AM2919))</f>
        <v>-2.785010941</v>
      </c>
      <c r="AN2868" s="372">
        <f t="array" ref="AN2868">SUM(IF(ISERROR(AN2869:AN2919),"",AN2869:AN2919))</f>
        <v>-2.861807772</v>
      </c>
      <c r="AO2868" s="372">
        <f t="array" ref="AO2868">SUM(IF(ISERROR(AO2869:AO2919),"",AO2869:AO2919))</f>
        <v>-2.940551661</v>
      </c>
      <c r="AP2868" s="372">
        <f t="array" ref="AP2868">SUM(IF(ISERROR(AP2869:AP2919),"",AP2869:AP2919))</f>
        <v>-3.021289559</v>
      </c>
      <c r="AQ2868" s="372">
        <f t="array" ref="AQ2868">SUM(IF(ISERROR(AQ2869:AQ2919),"",AQ2869:AQ2919))</f>
        <v>-3.104069513</v>
      </c>
      <c r="AR2868" s="372">
        <f t="array" ref="AR2868">SUM(IF(ISERROR(AR2869:AR2919),"",AR2869:AR2919))</f>
        <v>-3.188940691</v>
      </c>
      <c r="AS2868" s="372">
        <f t="array" ref="AS2868">SUM(IF(ISERROR(AS2869:AS2919),"",AS2869:AS2919))</f>
        <v>-3.275953402</v>
      </c>
      <c r="AT2868" s="372">
        <f t="array" ref="AT2868">SUM(IF(ISERROR(AT2869:AT2919),"",AT2869:AT2919))</f>
        <v>-3.365159133</v>
      </c>
      <c r="AU2868" s="372">
        <f t="array" ref="AU2868">SUM(IF(ISERROR(AU2869:AU2919),"",AU2869:AU2919))</f>
        <v>-3.456610563</v>
      </c>
      <c r="AV2868" s="372">
        <f t="array" ref="AV2868">SUM(IF(ISERROR(AV2869:AV2919),"",AV2869:AV2919))</f>
        <v>-3.550361601</v>
      </c>
      <c r="AW2868" s="372">
        <f t="array" ref="AW2868">SUM(IF(ISERROR(AW2869:AW2919),"",AW2869:AW2919))</f>
        <v>-3.646467408</v>
      </c>
      <c r="AX2868" s="372">
        <f t="array" ref="AX2868">SUM(IF(ISERROR(AX2869:AX2919),"",AX2869:AX2919))</f>
        <v>-3.744984425</v>
      </c>
      <c r="AY2868" s="372">
        <f t="array" ref="AY2868">SUM(IF(ISERROR(AY2869:AY2919),"",AY2869:AY2919))</f>
        <v>-3.845970407</v>
      </c>
      <c r="AZ2868" s="372">
        <f t="array" ref="AZ2868">SUM(IF(ISERROR(AZ2869:AZ2919),"",AZ2869:AZ2919))</f>
        <v>-3.949484448</v>
      </c>
      <c r="BA2868" s="372">
        <f t="array" ref="BA2868">SUM(IF(ISERROR(BA2869:BA2919),"",BA2869:BA2919))</f>
        <v>-4.054044615</v>
      </c>
      <c r="BB2868" s="372">
        <f t="array" ref="BB2868">SUM(IF(ISERROR(BB2869:BB2919),"",BB2869:BB2919))</f>
        <v>-3.922416528</v>
      </c>
      <c r="BC2868" s="372">
        <f t="array" ref="BC2868">SUM(IF(ISERROR(BC2869:BC2919),"",BC2869:BC2919))</f>
        <v>-3.775734527</v>
      </c>
      <c r="BD2868" s="372">
        <f t="array" ref="BD2868">SUM(IF(ISERROR(BD2869:BD2919),"",BD2869:BD2919))</f>
        <v>-3.613062354</v>
      </c>
      <c r="BE2868" s="372">
        <f t="array" ref="BE2868">SUM(IF(ISERROR(BE2869:BE2919),"",BE2869:BE2919))</f>
        <v>-3.433413978</v>
      </c>
      <c r="BF2868" s="372">
        <f t="array" ref="BF2868">SUM(IF(ISERROR(BF2869:BF2919),"",BF2869:BF2919))</f>
        <v>-3.235751099</v>
      </c>
      <c r="BG2868" s="372">
        <f t="array" ref="BG2868">SUM(IF(ISERROR(BG2869:BG2919),"",BG2869:BG2919))</f>
        <v>-3.018980551</v>
      </c>
      <c r="BH2868" s="372">
        <f t="array" ref="BH2868">SUM(IF(ISERROR(BH2869:BH2919),"",BH2869:BH2919))</f>
        <v>-2.781951555</v>
      </c>
      <c r="BI2868" s="372">
        <f t="array" ref="BI2868">SUM(IF(ISERROR(BI2869:BI2919),"",BI2869:BI2919))</f>
        <v>-2.523452859</v>
      </c>
      <c r="BJ2868" s="372">
        <f t="array" ref="BJ2868">SUM(IF(ISERROR(BJ2869:BJ2919),"",BJ2869:BJ2919))</f>
        <v>-2.242209728</v>
      </c>
      <c r="BK2868" s="372">
        <f t="array" ref="BK2868">SUM(IF(ISERROR(BK2869:BK2919),"",BK2869:BK2919))</f>
        <v>-1.93688079</v>
      </c>
      <c r="BL2868" s="372">
        <f t="array" ref="BL2868">SUM(IF(ISERROR(BL2869:BL2919),"",BL2869:BL2919))</f>
        <v>-1.606054729</v>
      </c>
      <c r="BM2868" s="372">
        <f t="array" ref="BM2868">SUM(IF(ISERROR(BM2869:BM2919),"",BM2869:BM2919))</f>
        <v>-1.248246823</v>
      </c>
      <c r="BN2868" s="372">
        <f t="array" ref="BN2868">SUM(IF(ISERROR(BN2869:BN2919),"",BN2869:BN2919))</f>
        <v>-0.8618953045</v>
      </c>
      <c r="BO2868" s="372">
        <f t="array" ref="BO2868">SUM(IF(ISERROR(BO2869:BO2919),"",BO2869:BO2919))</f>
        <v>-0.4453575527</v>
      </c>
      <c r="BP2868" s="372"/>
      <c r="BQ2868" s="372"/>
      <c r="BR2868" s="372"/>
      <c r="BS2868" s="372"/>
      <c r="BT2868" s="372"/>
      <c r="BU2868" s="372"/>
      <c r="BV2868" s="372"/>
      <c r="BW2868" s="372"/>
      <c r="BX2868" s="372"/>
      <c r="BY2868" s="372"/>
      <c r="BZ2868" s="32"/>
      <c r="CA2868" s="32"/>
      <c r="CB2868" s="32"/>
      <c r="CC2868" s="32"/>
      <c r="CD2868" s="32"/>
    </row>
    <row r="2869" ht="15.75" hidden="1" customHeight="1" outlineLevel="1">
      <c r="A2869" s="365"/>
      <c r="B2869" s="38"/>
      <c r="C2869" s="373">
        <f>PPMT('Assumptions (T&amp;D)'!$C$20,Model!W$1,'Assumptions (T&amp;D)'!$C$23,Model!$C$2866)</f>
        <v>-0.05668024208</v>
      </c>
      <c r="D2869" s="373">
        <f>PPMT('Assumptions (T&amp;D)'!$C$20,Model!X$1,'Assumptions (T&amp;D)'!$C$23,Model!$C$2866)</f>
        <v>-0.05937255358</v>
      </c>
      <c r="E2869" s="373">
        <f>PPMT('Assumptions (T&amp;D)'!$C$20,Model!Y$1,'Assumptions (T&amp;D)'!$C$23,Model!$C$2866)</f>
        <v>-0.06219274988</v>
      </c>
      <c r="F2869" s="373">
        <f>PPMT('Assumptions (T&amp;D)'!$C$20,Model!Z$1,'Assumptions (T&amp;D)'!$C$23,Model!$C$2866)</f>
        <v>-0.0651469055</v>
      </c>
      <c r="G2869" s="373">
        <f>PPMT('Assumptions (T&amp;D)'!$C$20,Model!AA$1,'Assumptions (T&amp;D)'!$C$23,Model!$C$2866)</f>
        <v>-0.06824138351</v>
      </c>
      <c r="H2869" s="373">
        <f>PPMT('Assumptions (T&amp;D)'!$C$20,Model!AB$1,'Assumptions (T&amp;D)'!$C$23,Model!$C$2866)</f>
        <v>-0.07148284923</v>
      </c>
      <c r="I2869" s="373">
        <f>PPMT('Assumptions (T&amp;D)'!$C$20,Model!AC$1,'Assumptions (T&amp;D)'!$C$23,Model!$C$2866)</f>
        <v>-0.07487828456</v>
      </c>
      <c r="J2869" s="373">
        <f>PPMT('Assumptions (T&amp;D)'!$C$20,Model!AD$1,'Assumptions (T&amp;D)'!$C$23,Model!$C$2866)</f>
        <v>-0.07843500308</v>
      </c>
      <c r="K2869" s="373">
        <f>PPMT('Assumptions (T&amp;D)'!$C$20,Model!AE$1,'Assumptions (T&amp;D)'!$C$23,Model!$C$2866)</f>
        <v>-0.08216066573</v>
      </c>
      <c r="L2869" s="373">
        <f>PPMT('Assumptions (T&amp;D)'!$C$20,Model!AF$1,'Assumptions (T&amp;D)'!$C$23,Model!$C$2866)</f>
        <v>-0.08606329735</v>
      </c>
      <c r="M2869" s="373">
        <f>PPMT('Assumptions (T&amp;D)'!$C$20,Model!AG$1,'Assumptions (T&amp;D)'!$C$23,Model!$C$2866)</f>
        <v>-0.09015130397</v>
      </c>
      <c r="N2869" s="373">
        <f>PPMT('Assumptions (T&amp;D)'!$C$20,Model!AH$1,'Assumptions (T&amp;D)'!$C$23,Model!$C$2866)</f>
        <v>-0.09443349091</v>
      </c>
      <c r="O2869" s="373">
        <f>PPMT('Assumptions (T&amp;D)'!$C$20,Model!AI$1,'Assumptions (T&amp;D)'!$C$23,Model!$C$2866)</f>
        <v>-0.09891908173</v>
      </c>
      <c r="P2869" s="373">
        <f>PPMT('Assumptions (T&amp;D)'!$C$20,Model!AJ$1,'Assumptions (T&amp;D)'!$C$23,Model!$C$2866)</f>
        <v>-0.1036177381</v>
      </c>
      <c r="Q2869" s="373">
        <f>PPMT('Assumptions (T&amp;D)'!$C$20,Model!AK$1,'Assumptions (T&amp;D)'!$C$23,Model!$C$2866)</f>
        <v>-0.1085395807</v>
      </c>
      <c r="R2869" s="374"/>
      <c r="S2869" s="374"/>
      <c r="T2869" s="374"/>
      <c r="U2869" s="374"/>
      <c r="V2869" s="374"/>
      <c r="W2869" s="374"/>
      <c r="X2869" s="374"/>
      <c r="Y2869" s="374"/>
      <c r="Z2869" s="374"/>
      <c r="AA2869" s="374"/>
      <c r="AB2869" s="374"/>
      <c r="AC2869" s="32"/>
      <c r="AD2869" s="32"/>
      <c r="AE2869" s="32"/>
      <c r="AF2869" s="32"/>
      <c r="AG2869" s="32"/>
      <c r="AH2869" s="32"/>
      <c r="AI2869" s="32"/>
      <c r="AJ2869" s="32"/>
      <c r="AK2869" s="32"/>
      <c r="AL2869" s="32"/>
      <c r="AM2869" s="32"/>
      <c r="AN2869" s="32"/>
      <c r="AO2869" s="32"/>
      <c r="AP2869" s="32"/>
      <c r="AQ2869" s="32"/>
      <c r="AR2869" s="32"/>
      <c r="AS2869" s="32"/>
      <c r="AT2869" s="32"/>
      <c r="AU2869" s="32"/>
      <c r="AV2869" s="32"/>
      <c r="AW2869" s="32"/>
      <c r="AX2869" s="32"/>
      <c r="AY2869" s="32"/>
      <c r="AZ2869" s="32"/>
      <c r="BA2869" s="32"/>
      <c r="BB2869" s="32"/>
      <c r="BC2869" s="32"/>
      <c r="BD2869" s="32"/>
      <c r="BE2869" s="32"/>
      <c r="BF2869" s="32"/>
      <c r="BG2869" s="32"/>
      <c r="BH2869" s="32"/>
      <c r="BI2869" s="32"/>
      <c r="BJ2869" s="32"/>
      <c r="BK2869" s="32"/>
      <c r="BL2869" s="32"/>
      <c r="BM2869" s="32"/>
      <c r="BN2869" s="32"/>
      <c r="BO2869" s="32"/>
      <c r="BP2869" s="32"/>
      <c r="BQ2869" s="32"/>
      <c r="BR2869" s="32"/>
      <c r="BS2869" s="32"/>
      <c r="BT2869" s="32"/>
      <c r="BU2869" s="32"/>
      <c r="BV2869" s="32"/>
      <c r="BW2869" s="32"/>
      <c r="BX2869" s="32"/>
      <c r="BY2869" s="32"/>
      <c r="BZ2869" s="32"/>
      <c r="CA2869" s="32"/>
      <c r="CB2869" s="32"/>
      <c r="CC2869" s="32"/>
      <c r="CD2869" s="32"/>
    </row>
    <row r="2870" ht="15.75" hidden="1" customHeight="1" outlineLevel="1">
      <c r="A2870" s="365"/>
      <c r="B2870" s="38"/>
      <c r="C2870" s="374"/>
      <c r="D2870" s="373">
        <f>PPMT('Assumptions (T&amp;D)'!$C$20,Model!W$1,'Assumptions (T&amp;D)'!$C$23,Model!$D$2866)</f>
        <v>-0.05708661194</v>
      </c>
      <c r="E2870" s="373">
        <f>PPMT('Assumptions (T&amp;D)'!$C$20,Model!X$1,'Assumptions (T&amp;D)'!$C$23,Model!$D$2866)</f>
        <v>-0.05979822601</v>
      </c>
      <c r="F2870" s="373">
        <f>PPMT('Assumptions (T&amp;D)'!$C$20,Model!Y$1,'Assumptions (T&amp;D)'!$C$23,Model!$D$2866)</f>
        <v>-0.06263864174</v>
      </c>
      <c r="G2870" s="373">
        <f>PPMT('Assumptions (T&amp;D)'!$C$20,Model!Z$1,'Assumptions (T&amp;D)'!$C$23,Model!$D$2866)</f>
        <v>-0.06561397722</v>
      </c>
      <c r="H2870" s="373">
        <f>PPMT('Assumptions (T&amp;D)'!$C$20,Model!AA$1,'Assumptions (T&amp;D)'!$C$23,Model!$D$2866)</f>
        <v>-0.06873064114</v>
      </c>
      <c r="I2870" s="373">
        <f>PPMT('Assumptions (T&amp;D)'!$C$20,Model!AB$1,'Assumptions (T&amp;D)'!$C$23,Model!$D$2866)</f>
        <v>-0.0719953466</v>
      </c>
      <c r="J2870" s="373">
        <f>PPMT('Assumptions (T&amp;D)'!$C$20,Model!AC$1,'Assumptions (T&amp;D)'!$C$23,Model!$D$2866)</f>
        <v>-0.07541512556</v>
      </c>
      <c r="K2870" s="373">
        <f>PPMT('Assumptions (T&amp;D)'!$C$20,Model!AD$1,'Assumptions (T&amp;D)'!$C$23,Model!$D$2866)</f>
        <v>-0.07899734402</v>
      </c>
      <c r="L2870" s="373">
        <f>PPMT('Assumptions (T&amp;D)'!$C$20,Model!AE$1,'Assumptions (T&amp;D)'!$C$23,Model!$D$2866)</f>
        <v>-0.08274971787</v>
      </c>
      <c r="M2870" s="373">
        <f>PPMT('Assumptions (T&amp;D)'!$C$20,Model!AF$1,'Assumptions (T&amp;D)'!$C$23,Model!$D$2866)</f>
        <v>-0.08668032946</v>
      </c>
      <c r="N2870" s="373">
        <f>PPMT('Assumptions (T&amp;D)'!$C$20,Model!AG$1,'Assumptions (T&amp;D)'!$C$23,Model!$D$2866)</f>
        <v>-0.09079764511</v>
      </c>
      <c r="O2870" s="373">
        <f>PPMT('Assumptions (T&amp;D)'!$C$20,Model!AH$1,'Assumptions (T&amp;D)'!$C$23,Model!$D$2866)</f>
        <v>-0.09511053326</v>
      </c>
      <c r="P2870" s="373">
        <f>PPMT('Assumptions (T&amp;D)'!$C$20,Model!AI$1,'Assumptions (T&amp;D)'!$C$23,Model!$D$2866)</f>
        <v>-0.09962828359</v>
      </c>
      <c r="Q2870" s="373">
        <f>PPMT('Assumptions (T&amp;D)'!$C$20,Model!AJ$1,'Assumptions (T&amp;D)'!$C$23,Model!$D$2866)</f>
        <v>-0.1043606271</v>
      </c>
      <c r="R2870" s="373">
        <f>PPMT('Assumptions (T&amp;D)'!$C$20,Model!AK$1,'Assumptions (T&amp;D)'!$C$23,Model!$D$2866)</f>
        <v>-0.1093177568</v>
      </c>
      <c r="S2870" s="374"/>
      <c r="T2870" s="374"/>
      <c r="U2870" s="374"/>
      <c r="V2870" s="374"/>
      <c r="W2870" s="374"/>
      <c r="X2870" s="374"/>
      <c r="Y2870" s="374"/>
      <c r="Z2870" s="374"/>
      <c r="AA2870" s="374"/>
      <c r="AB2870" s="374"/>
      <c r="AC2870" s="32"/>
      <c r="AD2870" s="32"/>
      <c r="AE2870" s="32"/>
      <c r="AF2870" s="32"/>
      <c r="AG2870" s="32"/>
      <c r="AH2870" s="32"/>
      <c r="AI2870" s="32"/>
      <c r="AJ2870" s="32"/>
      <c r="AK2870" s="32"/>
      <c r="AL2870" s="32"/>
      <c r="AM2870" s="32"/>
      <c r="AN2870" s="32"/>
      <c r="AO2870" s="32"/>
      <c r="AP2870" s="32"/>
      <c r="AQ2870" s="32"/>
      <c r="AR2870" s="32"/>
      <c r="AS2870" s="32"/>
      <c r="AT2870" s="32"/>
      <c r="AU2870" s="32"/>
      <c r="AV2870" s="32"/>
      <c r="AW2870" s="32"/>
      <c r="AX2870" s="32"/>
      <c r="AY2870" s="32"/>
      <c r="AZ2870" s="32"/>
      <c r="BA2870" s="32"/>
      <c r="BB2870" s="32"/>
      <c r="BC2870" s="32"/>
      <c r="BD2870" s="32"/>
      <c r="BE2870" s="32"/>
      <c r="BF2870" s="32"/>
      <c r="BG2870" s="32"/>
      <c r="BH2870" s="32"/>
      <c r="BI2870" s="32"/>
      <c r="BJ2870" s="32"/>
      <c r="BK2870" s="32"/>
      <c r="BL2870" s="32"/>
      <c r="BM2870" s="32"/>
      <c r="BN2870" s="32"/>
      <c r="BO2870" s="32"/>
      <c r="BP2870" s="32"/>
      <c r="BQ2870" s="32"/>
      <c r="BR2870" s="32"/>
      <c r="BS2870" s="32"/>
      <c r="BT2870" s="32"/>
      <c r="BU2870" s="32"/>
      <c r="BV2870" s="32"/>
      <c r="BW2870" s="32"/>
      <c r="BX2870" s="32"/>
      <c r="BY2870" s="32"/>
      <c r="BZ2870" s="32"/>
      <c r="CA2870" s="32"/>
      <c r="CB2870" s="32"/>
      <c r="CC2870" s="32"/>
      <c r="CD2870" s="32"/>
    </row>
    <row r="2871" ht="15.75" hidden="1" customHeight="1" outlineLevel="1">
      <c r="A2871" s="365"/>
      <c r="B2871" s="38"/>
      <c r="C2871" s="374"/>
      <c r="D2871" s="374"/>
      <c r="E2871" s="373">
        <f>PPMT('Assumptions (T&amp;D)'!$C$20,Model!W$1,'Assumptions (T&amp;D)'!$C$23,Model!$E$2866)</f>
        <v>-0.05358956891</v>
      </c>
      <c r="F2871" s="373">
        <f>PPMT('Assumptions (T&amp;D)'!$C$20,Model!X$1,'Assumptions (T&amp;D)'!$C$23,Model!$E$2866)</f>
        <v>-0.05613507344</v>
      </c>
      <c r="G2871" s="373">
        <f>PPMT('Assumptions (T&amp;D)'!$C$20,Model!Y$1,'Assumptions (T&amp;D)'!$C$23,Model!$E$2866)</f>
        <v>-0.05880148942</v>
      </c>
      <c r="H2871" s="373">
        <f>PPMT('Assumptions (T&amp;D)'!$C$20,Model!Z$1,'Assumptions (T&amp;D)'!$C$23,Model!$E$2866)</f>
        <v>-0.06159456017</v>
      </c>
      <c r="I2871" s="373">
        <f>PPMT('Assumptions (T&amp;D)'!$C$20,Model!AA$1,'Assumptions (T&amp;D)'!$C$23,Model!$E$2866)</f>
        <v>-0.06452030178</v>
      </c>
      <c r="J2871" s="373">
        <f>PPMT('Assumptions (T&amp;D)'!$C$20,Model!AB$1,'Assumptions (T&amp;D)'!$C$23,Model!$E$2866)</f>
        <v>-0.06758501611</v>
      </c>
      <c r="K2871" s="373">
        <f>PPMT('Assumptions (T&amp;D)'!$C$20,Model!AC$1,'Assumptions (T&amp;D)'!$C$23,Model!$E$2866)</f>
        <v>-0.07079530438</v>
      </c>
      <c r="L2871" s="373">
        <f>PPMT('Assumptions (T&amp;D)'!$C$20,Model!AD$1,'Assumptions (T&amp;D)'!$C$23,Model!$E$2866)</f>
        <v>-0.07415808134</v>
      </c>
      <c r="M2871" s="373">
        <f>PPMT('Assumptions (T&amp;D)'!$C$20,Model!AE$1,'Assumptions (T&amp;D)'!$C$23,Model!$E$2866)</f>
        <v>-0.0776805902</v>
      </c>
      <c r="N2871" s="373">
        <f>PPMT('Assumptions (T&amp;D)'!$C$20,Model!AF$1,'Assumptions (T&amp;D)'!$C$23,Model!$E$2866)</f>
        <v>-0.08137041824</v>
      </c>
      <c r="O2871" s="373">
        <f>PPMT('Assumptions (T&amp;D)'!$C$20,Model!AG$1,'Assumptions (T&amp;D)'!$C$23,Model!$E$2866)</f>
        <v>-0.0852355131</v>
      </c>
      <c r="P2871" s="373">
        <f>PPMT('Assumptions (T&amp;D)'!$C$20,Model!AH$1,'Assumptions (T&amp;D)'!$C$23,Model!$E$2866)</f>
        <v>-0.08928419997</v>
      </c>
      <c r="Q2871" s="373">
        <f>PPMT('Assumptions (T&amp;D)'!$C$20,Model!AI$1,'Assumptions (T&amp;D)'!$C$23,Model!$E$2866)</f>
        <v>-0.09352519947</v>
      </c>
      <c r="R2871" s="373">
        <f>PPMT('Assumptions (T&amp;D)'!$C$20,Model!AJ$1,'Assumptions (T&amp;D)'!$C$23,Model!$E$2866)</f>
        <v>-0.09796764645</v>
      </c>
      <c r="S2871" s="373">
        <f>PPMT('Assumptions (T&amp;D)'!$C$20,Model!AK$1,'Assumptions (T&amp;D)'!$C$23,Model!$E$2866)</f>
        <v>-0.1026211097</v>
      </c>
      <c r="T2871" s="374"/>
      <c r="U2871" s="374"/>
      <c r="V2871" s="374"/>
      <c r="W2871" s="374"/>
      <c r="X2871" s="374"/>
      <c r="Y2871" s="374"/>
      <c r="Z2871" s="374"/>
      <c r="AA2871" s="374"/>
      <c r="AB2871" s="374"/>
      <c r="AC2871" s="374"/>
      <c r="AD2871" s="32"/>
      <c r="AE2871" s="32"/>
      <c r="AF2871" s="32"/>
      <c r="AG2871" s="32"/>
      <c r="AH2871" s="32"/>
      <c r="AI2871" s="32"/>
      <c r="AJ2871" s="32"/>
      <c r="AK2871" s="32"/>
      <c r="AL2871" s="32"/>
      <c r="AM2871" s="32"/>
      <c r="AN2871" s="32"/>
      <c r="AO2871" s="32"/>
      <c r="AP2871" s="32"/>
      <c r="AQ2871" s="32"/>
      <c r="AR2871" s="32"/>
      <c r="AS2871" s="32"/>
      <c r="AT2871" s="32"/>
      <c r="AU2871" s="32"/>
      <c r="AV2871" s="32"/>
      <c r="AW2871" s="32"/>
      <c r="AX2871" s="32"/>
      <c r="AY2871" s="32"/>
      <c r="AZ2871" s="32"/>
      <c r="BA2871" s="32"/>
      <c r="BB2871" s="32"/>
      <c r="BC2871" s="32"/>
      <c r="BD2871" s="32"/>
      <c r="BE2871" s="32"/>
      <c r="BF2871" s="32"/>
      <c r="BG2871" s="32"/>
      <c r="BH2871" s="32"/>
      <c r="BI2871" s="32"/>
      <c r="BJ2871" s="32"/>
      <c r="BK2871" s="32"/>
      <c r="BL2871" s="32"/>
      <c r="BM2871" s="32"/>
      <c r="BN2871" s="32"/>
      <c r="BO2871" s="32"/>
      <c r="BP2871" s="32"/>
      <c r="BQ2871" s="32"/>
      <c r="BR2871" s="32"/>
      <c r="BS2871" s="32"/>
      <c r="BT2871" s="32"/>
      <c r="BU2871" s="32"/>
      <c r="BV2871" s="32"/>
      <c r="BW2871" s="32"/>
      <c r="BX2871" s="32"/>
      <c r="BY2871" s="32"/>
      <c r="BZ2871" s="32"/>
      <c r="CA2871" s="32"/>
      <c r="CB2871" s="32"/>
      <c r="CC2871" s="32"/>
      <c r="CD2871" s="32"/>
    </row>
    <row r="2872" ht="15.75" hidden="1" customHeight="1" outlineLevel="1">
      <c r="A2872" s="365"/>
      <c r="B2872" s="38"/>
      <c r="C2872" s="374"/>
      <c r="D2872" s="374"/>
      <c r="E2872" s="374"/>
      <c r="F2872" s="373">
        <f>PPMT('Assumptions (T&amp;D)'!$C$20,Model!W$1,'Assumptions (T&amp;D)'!$C$23,Model!$F$2866)</f>
        <v>-0.05252788679</v>
      </c>
      <c r="G2872" s="373">
        <f>PPMT('Assumptions (T&amp;D)'!$C$20,Model!X$1,'Assumptions (T&amp;D)'!$C$23,Model!$F$2866)</f>
        <v>-0.05502296141</v>
      </c>
      <c r="H2872" s="373">
        <f>PPMT('Assumptions (T&amp;D)'!$C$20,Model!Y$1,'Assumptions (T&amp;D)'!$C$23,Model!$F$2866)</f>
        <v>-0.05763655208</v>
      </c>
      <c r="I2872" s="373">
        <f>PPMT('Assumptions (T&amp;D)'!$C$20,Model!Z$1,'Assumptions (T&amp;D)'!$C$23,Model!$F$2866)</f>
        <v>-0.0603742883</v>
      </c>
      <c r="J2872" s="373">
        <f>PPMT('Assumptions (T&amp;D)'!$C$20,Model!AA$1,'Assumptions (T&amp;D)'!$C$23,Model!$F$2866)</f>
        <v>-0.063242067</v>
      </c>
      <c r="K2872" s="373">
        <f>PPMT('Assumptions (T&amp;D)'!$C$20,Model!AB$1,'Assumptions (T&amp;D)'!$C$23,Model!$F$2866)</f>
        <v>-0.06624606518</v>
      </c>
      <c r="L2872" s="373">
        <f>PPMT('Assumptions (T&amp;D)'!$C$20,Model!AC$1,'Assumptions (T&amp;D)'!$C$23,Model!$F$2866)</f>
        <v>-0.06939275328</v>
      </c>
      <c r="M2872" s="373">
        <f>PPMT('Assumptions (T&amp;D)'!$C$20,Model!AD$1,'Assumptions (T&amp;D)'!$C$23,Model!$F$2866)</f>
        <v>-0.07268890906</v>
      </c>
      <c r="N2872" s="373">
        <f>PPMT('Assumptions (T&amp;D)'!$C$20,Model!AE$1,'Assumptions (T&amp;D)'!$C$23,Model!$F$2866)</f>
        <v>-0.07614163224</v>
      </c>
      <c r="O2872" s="373">
        <f>PPMT('Assumptions (T&amp;D)'!$C$20,Model!AF$1,'Assumptions (T&amp;D)'!$C$23,Model!$F$2866)</f>
        <v>-0.07975835977</v>
      </c>
      <c r="P2872" s="373">
        <f>PPMT('Assumptions (T&amp;D)'!$C$20,Model!AG$1,'Assumptions (T&amp;D)'!$C$23,Model!$F$2866)</f>
        <v>-0.08354688186</v>
      </c>
      <c r="Q2872" s="373">
        <f>PPMT('Assumptions (T&amp;D)'!$C$20,Model!AH$1,'Assumptions (T&amp;D)'!$C$23,Model!$F$2866)</f>
        <v>-0.08751535875</v>
      </c>
      <c r="R2872" s="373">
        <f>PPMT('Assumptions (T&amp;D)'!$C$20,Model!AI$1,'Assumptions (T&amp;D)'!$C$23,Model!$F$2866)</f>
        <v>-0.09167233829</v>
      </c>
      <c r="S2872" s="373">
        <f>PPMT('Assumptions (T&amp;D)'!$C$20,Model!AJ$1,'Assumptions (T&amp;D)'!$C$23,Model!$F$2866)</f>
        <v>-0.09602677435</v>
      </c>
      <c r="T2872" s="373">
        <f>PPMT('Assumptions (T&amp;D)'!$C$20,Model!AK$1,'Assumptions (T&amp;D)'!$C$23,Model!$F$2866)</f>
        <v>-0.1005880461</v>
      </c>
      <c r="U2872" s="374"/>
      <c r="V2872" s="374"/>
      <c r="W2872" s="374"/>
      <c r="X2872" s="374"/>
      <c r="Y2872" s="374"/>
      <c r="Z2872" s="374"/>
      <c r="AA2872" s="374"/>
      <c r="AB2872" s="374"/>
      <c r="AC2872" s="374"/>
      <c r="AD2872" s="374"/>
      <c r="AE2872" s="32"/>
      <c r="AF2872" s="32"/>
      <c r="AG2872" s="32"/>
      <c r="AH2872" s="32"/>
      <c r="AI2872" s="32"/>
      <c r="AJ2872" s="32"/>
      <c r="AK2872" s="32"/>
      <c r="AL2872" s="32"/>
      <c r="AM2872" s="32"/>
      <c r="AN2872" s="32"/>
      <c r="AO2872" s="32"/>
      <c r="AP2872" s="32"/>
      <c r="AQ2872" s="32"/>
      <c r="AR2872" s="32"/>
      <c r="AS2872" s="32"/>
      <c r="AT2872" s="32"/>
      <c r="AU2872" s="32"/>
      <c r="AV2872" s="32"/>
      <c r="AW2872" s="32"/>
      <c r="AX2872" s="32"/>
      <c r="AY2872" s="32"/>
      <c r="AZ2872" s="32"/>
      <c r="BA2872" s="32"/>
      <c r="BB2872" s="32"/>
      <c r="BC2872" s="32"/>
      <c r="BD2872" s="32"/>
      <c r="BE2872" s="32"/>
      <c r="BF2872" s="32"/>
      <c r="BG2872" s="32"/>
      <c r="BH2872" s="32"/>
      <c r="BI2872" s="32"/>
      <c r="BJ2872" s="32"/>
      <c r="BK2872" s="32"/>
      <c r="BL2872" s="32"/>
      <c r="BM2872" s="32"/>
      <c r="BN2872" s="32"/>
      <c r="BO2872" s="32"/>
      <c r="BP2872" s="32"/>
      <c r="BQ2872" s="32"/>
      <c r="BR2872" s="32"/>
      <c r="BS2872" s="32"/>
      <c r="BT2872" s="32"/>
      <c r="BU2872" s="32"/>
      <c r="BV2872" s="32"/>
      <c r="BW2872" s="32"/>
      <c r="BX2872" s="32"/>
      <c r="BY2872" s="32"/>
      <c r="BZ2872" s="32"/>
      <c r="CA2872" s="32"/>
      <c r="CB2872" s="32"/>
      <c r="CC2872" s="32"/>
      <c r="CD2872" s="32"/>
    </row>
    <row r="2873" ht="15.75" hidden="1" customHeight="1" outlineLevel="1">
      <c r="A2873" s="365"/>
      <c r="B2873" s="38"/>
      <c r="C2873" s="374"/>
      <c r="D2873" s="374"/>
      <c r="E2873" s="374"/>
      <c r="F2873" s="374"/>
      <c r="G2873" s="373">
        <f>PPMT('Assumptions (T&amp;D)'!$C$20,Model!W$1,'Assumptions (T&amp;D)'!$C$23,Model!$G$2866)</f>
        <v>-0.05788620715</v>
      </c>
      <c r="H2873" s="373">
        <f>PPMT('Assumptions (T&amp;D)'!$C$20,Model!X$1,'Assumptions (T&amp;D)'!$C$23,Model!$G$2866)</f>
        <v>-0.06063580199</v>
      </c>
      <c r="I2873" s="373">
        <f>PPMT('Assumptions (T&amp;D)'!$C$20,Model!Y$1,'Assumptions (T&amp;D)'!$C$23,Model!$G$2866)</f>
        <v>-0.06351600259</v>
      </c>
      <c r="J2873" s="373">
        <f>PPMT('Assumptions (T&amp;D)'!$C$20,Model!Z$1,'Assumptions (T&amp;D)'!$C$23,Model!$G$2866)</f>
        <v>-0.06653301271</v>
      </c>
      <c r="K2873" s="373">
        <f>PPMT('Assumptions (T&amp;D)'!$C$20,Model!AA$1,'Assumptions (T&amp;D)'!$C$23,Model!$G$2866)</f>
        <v>-0.06969333081</v>
      </c>
      <c r="L2873" s="373">
        <f>PPMT('Assumptions (T&amp;D)'!$C$20,Model!AB$1,'Assumptions (T&amp;D)'!$C$23,Model!$G$2866)</f>
        <v>-0.07300376403</v>
      </c>
      <c r="M2873" s="373">
        <f>PPMT('Assumptions (T&amp;D)'!$C$20,Model!AC$1,'Assumptions (T&amp;D)'!$C$23,Model!$G$2866)</f>
        <v>-0.07647144282</v>
      </c>
      <c r="N2873" s="373">
        <f>PPMT('Assumptions (T&amp;D)'!$C$20,Model!AD$1,'Assumptions (T&amp;D)'!$C$23,Model!$G$2866)</f>
        <v>-0.08010383635</v>
      </c>
      <c r="O2873" s="373">
        <f>PPMT('Assumptions (T&amp;D)'!$C$20,Model!AE$1,'Assumptions (T&amp;D)'!$C$23,Model!$G$2866)</f>
        <v>-0.08390876858</v>
      </c>
      <c r="P2873" s="373">
        <f>PPMT('Assumptions (T&amp;D)'!$C$20,Model!AF$1,'Assumptions (T&amp;D)'!$C$23,Model!$G$2866)</f>
        <v>-0.08789443509</v>
      </c>
      <c r="Q2873" s="373">
        <f>PPMT('Assumptions (T&amp;D)'!$C$20,Model!AG$1,'Assumptions (T&amp;D)'!$C$23,Model!$G$2866)</f>
        <v>-0.09206942075</v>
      </c>
      <c r="R2873" s="373">
        <f>PPMT('Assumptions (T&amp;D)'!$C$20,Model!AH$1,'Assumptions (T&amp;D)'!$C$23,Model!$G$2866)</f>
        <v>-0.09644271824</v>
      </c>
      <c r="S2873" s="373">
        <f>PPMT('Assumptions (T&amp;D)'!$C$20,Model!AI$1,'Assumptions (T&amp;D)'!$C$23,Model!$G$2866)</f>
        <v>-0.1010237474</v>
      </c>
      <c r="T2873" s="373">
        <f>PPMT('Assumptions (T&amp;D)'!$C$20,Model!AJ$1,'Assumptions (T&amp;D)'!$C$23,Model!$G$2866)</f>
        <v>-0.1058223754</v>
      </c>
      <c r="U2873" s="373">
        <f>PPMT('Assumptions (T&amp;D)'!$C$20,Model!AK$1,'Assumptions (T&amp;D)'!$C$23,Model!$G$2866)</f>
        <v>-0.1108489382</v>
      </c>
      <c r="V2873" s="374"/>
      <c r="W2873" s="374"/>
      <c r="X2873" s="374"/>
      <c r="Y2873" s="374"/>
      <c r="Z2873" s="374"/>
      <c r="AA2873" s="374"/>
      <c r="AB2873" s="374"/>
      <c r="AC2873" s="374"/>
      <c r="AD2873" s="374"/>
      <c r="AE2873" s="374"/>
      <c r="AF2873" s="32"/>
      <c r="AG2873" s="32"/>
      <c r="AH2873" s="32"/>
      <c r="AI2873" s="32"/>
      <c r="AJ2873" s="32"/>
      <c r="AK2873" s="32"/>
      <c r="AL2873" s="32"/>
      <c r="AM2873" s="32"/>
      <c r="AN2873" s="32"/>
      <c r="AO2873" s="32"/>
      <c r="AP2873" s="32"/>
      <c r="AQ2873" s="32"/>
      <c r="AR2873" s="32"/>
      <c r="AS2873" s="32"/>
      <c r="AT2873" s="32"/>
      <c r="AU2873" s="32"/>
      <c r="AV2873" s="32"/>
      <c r="AW2873" s="32"/>
      <c r="AX2873" s="32"/>
      <c r="AY2873" s="32"/>
      <c r="AZ2873" s="32"/>
      <c r="BA2873" s="32"/>
      <c r="BB2873" s="32"/>
      <c r="BC2873" s="32"/>
      <c r="BD2873" s="32"/>
      <c r="BE2873" s="32"/>
      <c r="BF2873" s="32"/>
      <c r="BG2873" s="32"/>
      <c r="BH2873" s="32"/>
      <c r="BI2873" s="32"/>
      <c r="BJ2873" s="32"/>
      <c r="BK2873" s="32"/>
      <c r="BL2873" s="32"/>
      <c r="BM2873" s="32"/>
      <c r="BN2873" s="32"/>
      <c r="BO2873" s="32"/>
      <c r="BP2873" s="32"/>
      <c r="BQ2873" s="32"/>
      <c r="BR2873" s="32"/>
      <c r="BS2873" s="32"/>
      <c r="BT2873" s="32"/>
      <c r="BU2873" s="32"/>
      <c r="BV2873" s="32"/>
      <c r="BW2873" s="32"/>
      <c r="BX2873" s="32"/>
      <c r="BY2873" s="32"/>
      <c r="BZ2873" s="32"/>
      <c r="CA2873" s="32"/>
      <c r="CB2873" s="32"/>
      <c r="CC2873" s="32"/>
      <c r="CD2873" s="32"/>
    </row>
    <row r="2874" ht="15.75" hidden="1" customHeight="1" outlineLevel="1">
      <c r="A2874" s="365"/>
      <c r="B2874" s="38"/>
      <c r="C2874" s="374"/>
      <c r="D2874" s="374"/>
      <c r="E2874" s="374"/>
      <c r="F2874" s="374"/>
      <c r="G2874" s="374"/>
      <c r="H2874" s="373">
        <f>PPMT('Assumptions (T&amp;D)'!$C$20,Model!W$1,'Assumptions (T&amp;D)'!$C$23,Model!$H$2866)</f>
        <v>-0.05620502287</v>
      </c>
      <c r="I2874" s="373">
        <f>PPMT('Assumptions (T&amp;D)'!$C$20,Model!X$1,'Assumptions (T&amp;D)'!$C$23,Model!$H$2866)</f>
        <v>-0.05887476146</v>
      </c>
      <c r="J2874" s="373">
        <f>PPMT('Assumptions (T&amp;D)'!$C$20,Model!Y$1,'Assumptions (T&amp;D)'!$C$23,Model!$H$2866)</f>
        <v>-0.06167131263</v>
      </c>
      <c r="K2874" s="373">
        <f>PPMT('Assumptions (T&amp;D)'!$C$20,Model!Z$1,'Assumptions (T&amp;D)'!$C$23,Model!$H$2866)</f>
        <v>-0.06460069998</v>
      </c>
      <c r="L2874" s="373">
        <f>PPMT('Assumptions (T&amp;D)'!$C$20,Model!AA$1,'Assumptions (T&amp;D)'!$C$23,Model!$H$2866)</f>
        <v>-0.06766923323</v>
      </c>
      <c r="M2874" s="373">
        <f>PPMT('Assumptions (T&amp;D)'!$C$20,Model!AB$1,'Assumptions (T&amp;D)'!$C$23,Model!$H$2866)</f>
        <v>-0.07088352181</v>
      </c>
      <c r="N2874" s="373">
        <f>PPMT('Assumptions (T&amp;D)'!$C$20,Model!AC$1,'Assumptions (T&amp;D)'!$C$23,Model!$H$2866)</f>
        <v>-0.07425048909</v>
      </c>
      <c r="O2874" s="373">
        <f>PPMT('Assumptions (T&amp;D)'!$C$20,Model!AD$1,'Assumptions (T&amp;D)'!$C$23,Model!$H$2866)</f>
        <v>-0.07777738733</v>
      </c>
      <c r="P2874" s="373">
        <f>PPMT('Assumptions (T&amp;D)'!$C$20,Model!AE$1,'Assumptions (T&amp;D)'!$C$23,Model!$H$2866)</f>
        <v>-0.08147181322</v>
      </c>
      <c r="Q2874" s="373">
        <f>PPMT('Assumptions (T&amp;D)'!$C$20,Model!AF$1,'Assumptions (T&amp;D)'!$C$23,Model!$H$2866)</f>
        <v>-0.08534172435</v>
      </c>
      <c r="R2874" s="373">
        <f>PPMT('Assumptions (T&amp;D)'!$C$20,Model!AG$1,'Assumptions (T&amp;D)'!$C$23,Model!$H$2866)</f>
        <v>-0.08939545626</v>
      </c>
      <c r="S2874" s="373">
        <f>PPMT('Assumptions (T&amp;D)'!$C$20,Model!AH$1,'Assumptions (T&amp;D)'!$C$23,Model!$H$2866)</f>
        <v>-0.09364174043</v>
      </c>
      <c r="T2874" s="373">
        <f>PPMT('Assumptions (T&amp;D)'!$C$20,Model!AI$1,'Assumptions (T&amp;D)'!$C$23,Model!$H$2866)</f>
        <v>-0.0980897231</v>
      </c>
      <c r="U2874" s="373">
        <f>PPMT('Assumptions (T&amp;D)'!$C$20,Model!AJ$1,'Assumptions (T&amp;D)'!$C$23,Model!$H$2866)</f>
        <v>-0.1027489849</v>
      </c>
      <c r="V2874" s="373">
        <f>PPMT('Assumptions (T&amp;D)'!$C$20,Model!AK$1,'Assumptions (T&amp;D)'!$C$23,Model!$H$2866)</f>
        <v>-0.1076295617</v>
      </c>
      <c r="W2874" s="374"/>
      <c r="X2874" s="374"/>
      <c r="Y2874" s="374"/>
      <c r="Z2874" s="374"/>
      <c r="AA2874" s="374"/>
      <c r="AB2874" s="374"/>
      <c r="AC2874" s="374"/>
      <c r="AD2874" s="374"/>
      <c r="AE2874" s="374"/>
      <c r="AF2874" s="37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2"/>
      <c r="BA2874" s="32"/>
      <c r="BB2874" s="32"/>
      <c r="BC2874" s="32"/>
      <c r="BD2874" s="32"/>
      <c r="BE2874" s="32"/>
      <c r="BF2874" s="32"/>
      <c r="BG2874" s="32"/>
      <c r="BH2874" s="32"/>
      <c r="BI2874" s="32"/>
      <c r="BJ2874" s="32"/>
      <c r="BK2874" s="32"/>
      <c r="BL2874" s="32"/>
      <c r="BM2874" s="32"/>
      <c r="BN2874" s="32"/>
      <c r="BO2874" s="32"/>
      <c r="BP2874" s="32"/>
      <c r="BQ2874" s="32"/>
      <c r="BR2874" s="32"/>
      <c r="BS2874" s="32"/>
      <c r="BT2874" s="32"/>
      <c r="BU2874" s="32"/>
      <c r="BV2874" s="32"/>
      <c r="BW2874" s="32"/>
      <c r="BX2874" s="32"/>
      <c r="BY2874" s="32"/>
      <c r="BZ2874" s="32"/>
      <c r="CA2874" s="32"/>
      <c r="CB2874" s="32"/>
      <c r="CC2874" s="32"/>
      <c r="CD2874" s="32"/>
    </row>
    <row r="2875" ht="15.75" hidden="1" customHeight="1" outlineLevel="1">
      <c r="A2875" s="365"/>
      <c r="B2875" s="38"/>
      <c r="C2875" s="374"/>
      <c r="D2875" s="374"/>
      <c r="E2875" s="374"/>
      <c r="F2875" s="374"/>
      <c r="G2875" s="374"/>
      <c r="H2875" s="374"/>
      <c r="I2875" s="373">
        <f>PPMT('Assumptions (T&amp;D)'!$C$20,Model!W$1,'Assumptions (T&amp;D)'!$C$23,Model!$I$2866)</f>
        <v>-0.09394193055</v>
      </c>
      <c r="J2875" s="373">
        <f>PPMT('Assumptions (T&amp;D)'!$C$20,Model!X$1,'Assumptions (T&amp;D)'!$C$23,Model!$I$2866)</f>
        <v>-0.09840417225</v>
      </c>
      <c r="K2875" s="373">
        <f>PPMT('Assumptions (T&amp;D)'!$C$20,Model!Y$1,'Assumptions (T&amp;D)'!$C$23,Model!$I$2866)</f>
        <v>-0.1030783704</v>
      </c>
      <c r="L2875" s="373">
        <f>PPMT('Assumptions (T&amp;D)'!$C$20,Model!Z$1,'Assumptions (T&amp;D)'!$C$23,Model!$I$2866)</f>
        <v>-0.107974593</v>
      </c>
      <c r="M2875" s="373">
        <f>PPMT('Assumptions (T&amp;D)'!$C$20,Model!AA$1,'Assumptions (T&amp;D)'!$C$23,Model!$I$2866)</f>
        <v>-0.1131033862</v>
      </c>
      <c r="N2875" s="373">
        <f>PPMT('Assumptions (T&amp;D)'!$C$20,Model!AB$1,'Assumptions (T&amp;D)'!$C$23,Model!$I$2866)</f>
        <v>-0.118475797</v>
      </c>
      <c r="O2875" s="373">
        <f>PPMT('Assumptions (T&amp;D)'!$C$20,Model!AC$1,'Assumptions (T&amp;D)'!$C$23,Model!$I$2866)</f>
        <v>-0.1241033974</v>
      </c>
      <c r="P2875" s="373">
        <f>PPMT('Assumptions (T&amp;D)'!$C$20,Model!AD$1,'Assumptions (T&amp;D)'!$C$23,Model!$I$2866)</f>
        <v>-0.1299983088</v>
      </c>
      <c r="Q2875" s="373">
        <f>PPMT('Assumptions (T&amp;D)'!$C$20,Model!AE$1,'Assumptions (T&amp;D)'!$C$23,Model!$I$2866)</f>
        <v>-0.1361732285</v>
      </c>
      <c r="R2875" s="373">
        <f>PPMT('Assumptions (T&amp;D)'!$C$20,Model!AF$1,'Assumptions (T&amp;D)'!$C$23,Model!$I$2866)</f>
        <v>-0.1426414568</v>
      </c>
      <c r="S2875" s="373">
        <f>PPMT('Assumptions (T&amp;D)'!$C$20,Model!AG$1,'Assumptions (T&amp;D)'!$C$23,Model!$I$2866)</f>
        <v>-0.149416926</v>
      </c>
      <c r="T2875" s="373">
        <f>PPMT('Assumptions (T&amp;D)'!$C$20,Model!AH$1,'Assumptions (T&amp;D)'!$C$23,Model!$I$2866)</f>
        <v>-0.15651423</v>
      </c>
      <c r="U2875" s="373">
        <f>PPMT('Assumptions (T&amp;D)'!$C$20,Model!AI$1,'Assumptions (T&amp;D)'!$C$23,Model!$I$2866)</f>
        <v>-0.1639486559</v>
      </c>
      <c r="V2875" s="373">
        <f>PPMT('Assumptions (T&amp;D)'!$C$20,Model!AJ$1,'Assumptions (T&amp;D)'!$C$23,Model!$I$2866)</f>
        <v>-0.1717362171</v>
      </c>
      <c r="W2875" s="373">
        <f>PPMT('Assumptions (T&amp;D)'!$C$20,Model!AK$1,'Assumptions (T&amp;D)'!$C$23,Model!$I$2866)</f>
        <v>-0.1798936874</v>
      </c>
      <c r="X2875" s="374"/>
      <c r="Y2875" s="374"/>
      <c r="Z2875" s="374"/>
      <c r="AA2875" s="374"/>
      <c r="AB2875" s="374"/>
      <c r="AC2875" s="374"/>
      <c r="AD2875" s="374"/>
      <c r="AE2875" s="374"/>
      <c r="AF2875" s="374"/>
      <c r="AG2875" s="374"/>
      <c r="AH2875" s="32"/>
      <c r="AI2875" s="32"/>
      <c r="AJ2875" s="32"/>
      <c r="AK2875" s="32"/>
      <c r="AL2875" s="32"/>
      <c r="AM2875" s="32"/>
      <c r="AN2875" s="32"/>
      <c r="AO2875" s="32"/>
      <c r="AP2875" s="32"/>
      <c r="AQ2875" s="32"/>
      <c r="AR2875" s="32"/>
      <c r="AS2875" s="32"/>
      <c r="AT2875" s="32"/>
      <c r="AU2875" s="32"/>
      <c r="AV2875" s="32"/>
      <c r="AW2875" s="32"/>
      <c r="AX2875" s="32"/>
      <c r="AY2875" s="32"/>
      <c r="AZ2875" s="32"/>
      <c r="BA2875" s="32"/>
      <c r="BB2875" s="32"/>
      <c r="BC2875" s="32"/>
      <c r="BD2875" s="32"/>
      <c r="BE2875" s="32"/>
      <c r="BF2875" s="32"/>
      <c r="BG2875" s="32"/>
      <c r="BH2875" s="32"/>
      <c r="BI2875" s="32"/>
      <c r="BJ2875" s="32"/>
      <c r="BK2875" s="32"/>
      <c r="BL2875" s="32"/>
      <c r="BM2875" s="32"/>
      <c r="BN2875" s="32"/>
      <c r="BO2875" s="32"/>
      <c r="BP2875" s="32"/>
      <c r="BQ2875" s="32"/>
      <c r="BR2875" s="32"/>
      <c r="BS2875" s="32"/>
      <c r="BT2875" s="32"/>
      <c r="BU2875" s="32"/>
      <c r="BV2875" s="32"/>
      <c r="BW2875" s="32"/>
      <c r="BX2875" s="32"/>
      <c r="BY2875" s="32"/>
      <c r="BZ2875" s="32"/>
      <c r="CA2875" s="32"/>
      <c r="CB2875" s="32"/>
      <c r="CC2875" s="32"/>
      <c r="CD2875" s="32"/>
    </row>
    <row r="2876" ht="15.75" hidden="1" customHeight="1" outlineLevel="1">
      <c r="A2876" s="365"/>
      <c r="B2876" s="38"/>
      <c r="C2876" s="374"/>
      <c r="D2876" s="374"/>
      <c r="E2876" s="374"/>
      <c r="F2876" s="374"/>
      <c r="G2876" s="374"/>
      <c r="H2876" s="374"/>
      <c r="I2876" s="374"/>
      <c r="J2876" s="373">
        <f>PPMT('Assumptions (T&amp;D)'!$C$20,Model!W$1,'Assumptions (T&amp;D)'!$C$23,Model!$J$2866)</f>
        <v>-0.07407298584</v>
      </c>
      <c r="K2876" s="373">
        <f>PPMT('Assumptions (T&amp;D)'!$C$20,Model!X$1,'Assumptions (T&amp;D)'!$C$23,Model!$J$2866)</f>
        <v>-0.07759145267</v>
      </c>
      <c r="L2876" s="373">
        <f>PPMT('Assumptions (T&amp;D)'!$C$20,Model!Y$1,'Assumptions (T&amp;D)'!$C$23,Model!$J$2866)</f>
        <v>-0.08127704667</v>
      </c>
      <c r="M2876" s="373">
        <f>PPMT('Assumptions (T&amp;D)'!$C$20,Model!Z$1,'Assumptions (T&amp;D)'!$C$23,Model!$J$2866)</f>
        <v>-0.08513770638</v>
      </c>
      <c r="N2876" s="373">
        <f>PPMT('Assumptions (T&amp;D)'!$C$20,Model!AA$1,'Assumptions (T&amp;D)'!$C$23,Model!$J$2866)</f>
        <v>-0.08918174744</v>
      </c>
      <c r="O2876" s="373">
        <f>PPMT('Assumptions (T&amp;D)'!$C$20,Model!AB$1,'Assumptions (T&amp;D)'!$C$23,Model!$J$2866)</f>
        <v>-0.09341788044</v>
      </c>
      <c r="P2876" s="373">
        <f>PPMT('Assumptions (T&amp;D)'!$C$20,Model!AC$1,'Assumptions (T&amp;D)'!$C$23,Model!$J$2866)</f>
        <v>-0.09785522976</v>
      </c>
      <c r="Q2876" s="373">
        <f>PPMT('Assumptions (T&amp;D)'!$C$20,Model!AD$1,'Assumptions (T&amp;D)'!$C$23,Model!$J$2866)</f>
        <v>-0.1025033532</v>
      </c>
      <c r="R2876" s="373">
        <f>PPMT('Assumptions (T&amp;D)'!$C$20,Model!AE$1,'Assumptions (T&amp;D)'!$C$23,Model!$J$2866)</f>
        <v>-0.1073722625</v>
      </c>
      <c r="S2876" s="373">
        <f>PPMT('Assumptions (T&amp;D)'!$C$20,Model!AF$1,'Assumptions (T&amp;D)'!$C$23,Model!$J$2866)</f>
        <v>-0.1124724449</v>
      </c>
      <c r="T2876" s="373">
        <f>PPMT('Assumptions (T&amp;D)'!$C$20,Model!AG$1,'Assumptions (T&amp;D)'!$C$23,Model!$J$2866)</f>
        <v>-0.1178148861</v>
      </c>
      <c r="U2876" s="373">
        <f>PPMT('Assumptions (T&amp;D)'!$C$20,Model!AH$1,'Assumptions (T&amp;D)'!$C$23,Model!$J$2866)</f>
        <v>-0.1234110931</v>
      </c>
      <c r="V2876" s="373">
        <f>PPMT('Assumptions (T&amp;D)'!$C$20,Model!AI$1,'Assumptions (T&amp;D)'!$C$23,Model!$J$2866)</f>
        <v>-0.1292731201</v>
      </c>
      <c r="W2876" s="373">
        <f>PPMT('Assumptions (T&amp;D)'!$C$20,Model!AJ$1,'Assumptions (T&amp;D)'!$C$23,Model!$J$2866)</f>
        <v>-0.1354135933</v>
      </c>
      <c r="X2876" s="373">
        <f>PPMT('Assumptions (T&amp;D)'!$C$20,Model!AK$1,'Assumptions (T&amp;D)'!$C$23,Model!$J$2866)</f>
        <v>-0.1418457389</v>
      </c>
      <c r="Y2876" s="374"/>
      <c r="Z2876" s="374"/>
      <c r="AA2876" s="374"/>
      <c r="AB2876" s="374"/>
      <c r="AC2876" s="374"/>
      <c r="AD2876" s="374"/>
      <c r="AE2876" s="374"/>
      <c r="AF2876" s="374"/>
      <c r="AG2876" s="374"/>
      <c r="AH2876" s="374"/>
      <c r="AI2876" s="32"/>
      <c r="AJ2876" s="32"/>
      <c r="AK2876" s="32"/>
      <c r="AL2876" s="32"/>
      <c r="AM2876" s="32"/>
      <c r="AN2876" s="32"/>
      <c r="AO2876" s="32"/>
      <c r="AP2876" s="32"/>
      <c r="AQ2876" s="32"/>
      <c r="AR2876" s="32"/>
      <c r="AS2876" s="32"/>
      <c r="AT2876" s="32"/>
      <c r="AU2876" s="32"/>
      <c r="AV2876" s="32"/>
      <c r="AW2876" s="32"/>
      <c r="AX2876" s="32"/>
      <c r="AY2876" s="32"/>
      <c r="AZ2876" s="32"/>
      <c r="BA2876" s="32"/>
      <c r="BB2876" s="32"/>
      <c r="BC2876" s="32"/>
      <c r="BD2876" s="32"/>
      <c r="BE2876" s="32"/>
      <c r="BF2876" s="32"/>
      <c r="BG2876" s="32"/>
      <c r="BH2876" s="32"/>
      <c r="BI2876" s="32"/>
      <c r="BJ2876" s="32"/>
      <c r="BK2876" s="32"/>
      <c r="BL2876" s="32"/>
      <c r="BM2876" s="32"/>
      <c r="BN2876" s="32"/>
      <c r="BO2876" s="32"/>
      <c r="BP2876" s="32"/>
      <c r="BQ2876" s="32"/>
      <c r="BR2876" s="32"/>
      <c r="BS2876" s="32"/>
      <c r="BT2876" s="32"/>
      <c r="BU2876" s="32"/>
      <c r="BV2876" s="32"/>
      <c r="BW2876" s="32"/>
      <c r="BX2876" s="32"/>
      <c r="BY2876" s="32"/>
      <c r="BZ2876" s="32"/>
      <c r="CA2876" s="32"/>
      <c r="CB2876" s="32"/>
      <c r="CC2876" s="32"/>
      <c r="CD2876" s="32"/>
    </row>
    <row r="2877" ht="15.75" hidden="1" customHeight="1" outlineLevel="1">
      <c r="A2877" s="365"/>
      <c r="B2877" s="38"/>
      <c r="C2877" s="374"/>
      <c r="D2877" s="374"/>
      <c r="E2877" s="374"/>
      <c r="F2877" s="374"/>
      <c r="G2877" s="374"/>
      <c r="H2877" s="374"/>
      <c r="I2877" s="374"/>
      <c r="J2877" s="374"/>
      <c r="K2877" s="373">
        <f>PPMT('Assumptions (T&amp;D)'!$C$20,Model!W$1,'Assumptions (T&amp;D)'!$C$23,Model!$K$2866)</f>
        <v>-0.08041571536</v>
      </c>
      <c r="L2877" s="373">
        <f>PPMT('Assumptions (T&amp;D)'!$C$20,Model!X$1,'Assumptions (T&amp;D)'!$C$23,Model!$K$2866)</f>
        <v>-0.08423546184</v>
      </c>
      <c r="M2877" s="373">
        <f>PPMT('Assumptions (T&amp;D)'!$C$20,Model!Y$1,'Assumptions (T&amp;D)'!$C$23,Model!$K$2866)</f>
        <v>-0.08823664627</v>
      </c>
      <c r="N2877" s="373">
        <f>PPMT('Assumptions (T&amp;D)'!$C$20,Model!Z$1,'Assumptions (T&amp;D)'!$C$23,Model!$K$2866)</f>
        <v>-0.09242788697</v>
      </c>
      <c r="O2877" s="373">
        <f>PPMT('Assumptions (T&amp;D)'!$C$20,Model!AA$1,'Assumptions (T&amp;D)'!$C$23,Model!$K$2866)</f>
        <v>-0.0968182116</v>
      </c>
      <c r="P2877" s="373">
        <f>PPMT('Assumptions (T&amp;D)'!$C$20,Model!AB$1,'Assumptions (T&amp;D)'!$C$23,Model!$K$2866)</f>
        <v>-0.1014170767</v>
      </c>
      <c r="Q2877" s="373">
        <f>PPMT('Assumptions (T&amp;D)'!$C$20,Model!AC$1,'Assumptions (T&amp;D)'!$C$23,Model!$K$2866)</f>
        <v>-0.1062343878</v>
      </c>
      <c r="R2877" s="373">
        <f>PPMT('Assumptions (T&amp;D)'!$C$20,Model!AD$1,'Assumptions (T&amp;D)'!$C$23,Model!$K$2866)</f>
        <v>-0.1112805212</v>
      </c>
      <c r="S2877" s="373">
        <f>PPMT('Assumptions (T&amp;D)'!$C$20,Model!AE$1,'Assumptions (T&amp;D)'!$C$23,Model!$K$2866)</f>
        <v>-0.116566346</v>
      </c>
      <c r="T2877" s="373">
        <f>PPMT('Assumptions (T&amp;D)'!$C$20,Model!AF$1,'Assumptions (T&amp;D)'!$C$23,Model!$K$2866)</f>
        <v>-0.1221032474</v>
      </c>
      <c r="U2877" s="373">
        <f>PPMT('Assumptions (T&amp;D)'!$C$20,Model!AG$1,'Assumptions (T&amp;D)'!$C$23,Model!$K$2866)</f>
        <v>-0.1279031517</v>
      </c>
      <c r="V2877" s="373">
        <f>PPMT('Assumptions (T&amp;D)'!$C$20,Model!AH$1,'Assumptions (T&amp;D)'!$C$23,Model!$K$2866)</f>
        <v>-0.1339785514</v>
      </c>
      <c r="W2877" s="373">
        <f>PPMT('Assumptions (T&amp;D)'!$C$20,Model!AI$1,'Assumptions (T&amp;D)'!$C$23,Model!$K$2866)</f>
        <v>-0.1403425326</v>
      </c>
      <c r="X2877" s="373">
        <f>PPMT('Assumptions (T&amp;D)'!$C$20,Model!AJ$1,'Assumptions (T&amp;D)'!$C$23,Model!$K$2866)</f>
        <v>-0.1470088028</v>
      </c>
      <c r="Y2877" s="373">
        <f>PPMT('Assumptions (T&amp;D)'!$C$20,Model!AK$1,'Assumptions (T&amp;D)'!$C$23,Model!$K$2866)</f>
        <v>-0.153991721</v>
      </c>
      <c r="Z2877" s="374"/>
      <c r="AA2877" s="374"/>
      <c r="AB2877" s="374"/>
      <c r="AC2877" s="374"/>
      <c r="AD2877" s="374"/>
      <c r="AE2877" s="374"/>
      <c r="AF2877" s="374"/>
      <c r="AG2877" s="374"/>
      <c r="AH2877" s="374"/>
      <c r="AI2877" s="374"/>
      <c r="AJ2877" s="32"/>
      <c r="AK2877" s="32"/>
      <c r="AL2877" s="32"/>
      <c r="AM2877" s="32"/>
      <c r="AN2877" s="32"/>
      <c r="AO2877" s="32"/>
      <c r="AP2877" s="32"/>
      <c r="AQ2877" s="32"/>
      <c r="AR2877" s="32"/>
      <c r="AS2877" s="32"/>
      <c r="AT2877" s="32"/>
      <c r="AU2877" s="32"/>
      <c r="AV2877" s="32"/>
      <c r="AW2877" s="32"/>
      <c r="AX2877" s="32"/>
      <c r="AY2877" s="32"/>
      <c r="AZ2877" s="32"/>
      <c r="BA2877" s="32"/>
      <c r="BB2877" s="32"/>
      <c r="BC2877" s="32"/>
      <c r="BD2877" s="32"/>
      <c r="BE2877" s="32"/>
      <c r="BF2877" s="32"/>
      <c r="BG2877" s="32"/>
      <c r="BH2877" s="32"/>
      <c r="BI2877" s="32"/>
      <c r="BJ2877" s="32"/>
      <c r="BK2877" s="32"/>
      <c r="BL2877" s="32"/>
      <c r="BM2877" s="32"/>
      <c r="BN2877" s="32"/>
      <c r="BO2877" s="32"/>
      <c r="BP2877" s="32"/>
      <c r="BQ2877" s="32"/>
      <c r="BR2877" s="32"/>
      <c r="BS2877" s="32"/>
      <c r="BT2877" s="32"/>
      <c r="BU2877" s="32"/>
      <c r="BV2877" s="32"/>
      <c r="BW2877" s="32"/>
      <c r="BX2877" s="32"/>
      <c r="BY2877" s="32"/>
      <c r="BZ2877" s="32"/>
      <c r="CA2877" s="32"/>
      <c r="CB2877" s="32"/>
      <c r="CC2877" s="32"/>
      <c r="CD2877" s="32"/>
    </row>
    <row r="2878" ht="15.75" hidden="1" customHeight="1" outlineLevel="1">
      <c r="A2878" s="365"/>
      <c r="B2878" s="38"/>
      <c r="C2878" s="374"/>
      <c r="D2878" s="374"/>
      <c r="E2878" s="374"/>
      <c r="F2878" s="374"/>
      <c r="G2878" s="374"/>
      <c r="H2878" s="374"/>
      <c r="I2878" s="374"/>
      <c r="J2878" s="374"/>
      <c r="K2878" s="374"/>
      <c r="L2878" s="373">
        <f>PPMT('Assumptions (T&amp;D)'!$C$20,Model!W$1,'Assumptions (T&amp;D)'!$C$23,Model!$L$2866)</f>
        <v>-0.07534680969</v>
      </c>
      <c r="M2878" s="373">
        <f>PPMT('Assumptions (T&amp;D)'!$C$20,Model!X$1,'Assumptions (T&amp;D)'!$C$23,Model!$L$2866)</f>
        <v>-0.07892578315</v>
      </c>
      <c r="N2878" s="373">
        <f>PPMT('Assumptions (T&amp;D)'!$C$20,Model!Y$1,'Assumptions (T&amp;D)'!$C$23,Model!$L$2866)</f>
        <v>-0.08267475784</v>
      </c>
      <c r="O2878" s="373">
        <f>PPMT('Assumptions (T&amp;D)'!$C$20,Model!Z$1,'Assumptions (T&amp;D)'!$C$23,Model!$L$2866)</f>
        <v>-0.08660180884</v>
      </c>
      <c r="P2878" s="373">
        <f>PPMT('Assumptions (T&amp;D)'!$C$20,Model!AA$1,'Assumptions (T&amp;D)'!$C$23,Model!$L$2866)</f>
        <v>-0.09071539476</v>
      </c>
      <c r="Q2878" s="373">
        <f>PPMT('Assumptions (T&amp;D)'!$C$20,Model!AB$1,'Assumptions (T&amp;D)'!$C$23,Model!$L$2866)</f>
        <v>-0.09502437601</v>
      </c>
      <c r="R2878" s="373">
        <f>PPMT('Assumptions (T&amp;D)'!$C$20,Model!AC$1,'Assumptions (T&amp;D)'!$C$23,Model!$L$2866)</f>
        <v>-0.09953803387</v>
      </c>
      <c r="S2878" s="373">
        <f>PPMT('Assumptions (T&amp;D)'!$C$20,Model!AD$1,'Assumptions (T&amp;D)'!$C$23,Model!$L$2866)</f>
        <v>-0.1042660905</v>
      </c>
      <c r="T2878" s="373">
        <f>PPMT('Assumptions (T&amp;D)'!$C$20,Model!AE$1,'Assumptions (T&amp;D)'!$C$23,Model!$L$2866)</f>
        <v>-0.1092187298</v>
      </c>
      <c r="U2878" s="373">
        <f>PPMT('Assumptions (T&amp;D)'!$C$20,Model!AF$1,'Assumptions (T&amp;D)'!$C$23,Model!$L$2866)</f>
        <v>-0.1144066194</v>
      </c>
      <c r="V2878" s="373">
        <f>PPMT('Assumptions (T&amp;D)'!$C$20,Model!AG$1,'Assumptions (T&amp;D)'!$C$23,Model!$L$2866)</f>
        <v>-0.1198409339</v>
      </c>
      <c r="W2878" s="373">
        <f>PPMT('Assumptions (T&amp;D)'!$C$20,Model!AH$1,'Assumptions (T&amp;D)'!$C$23,Model!$L$2866)</f>
        <v>-0.1255333782</v>
      </c>
      <c r="X2878" s="373">
        <f>PPMT('Assumptions (T&amp;D)'!$C$20,Model!AI$1,'Assumptions (T&amp;D)'!$C$23,Model!$L$2866)</f>
        <v>-0.1314962137</v>
      </c>
      <c r="Y2878" s="373">
        <f>PPMT('Assumptions (T&amp;D)'!$C$20,Model!AJ$1,'Assumptions (T&amp;D)'!$C$23,Model!$L$2866)</f>
        <v>-0.1377422838</v>
      </c>
      <c r="Z2878" s="373">
        <f>PPMT('Assumptions (T&amp;D)'!$C$20,Model!AK$1,'Assumptions (T&amp;D)'!$C$23,Model!$L$2866)</f>
        <v>-0.1442850423</v>
      </c>
      <c r="AA2878" s="374"/>
      <c r="AB2878" s="374"/>
      <c r="AC2878" s="374"/>
      <c r="AD2878" s="374"/>
      <c r="AE2878" s="374"/>
      <c r="AF2878" s="374"/>
      <c r="AG2878" s="374"/>
      <c r="AH2878" s="374"/>
      <c r="AI2878" s="374"/>
      <c r="AJ2878" s="374"/>
      <c r="AK2878" s="32"/>
      <c r="AL2878" s="32"/>
      <c r="AM2878" s="32"/>
      <c r="AN2878" s="32"/>
      <c r="AO2878" s="32"/>
      <c r="AP2878" s="32"/>
      <c r="AQ2878" s="32"/>
      <c r="AR2878" s="32"/>
      <c r="AS2878" s="32"/>
      <c r="AT2878" s="32"/>
      <c r="AU2878" s="32"/>
      <c r="AV2878" s="32"/>
      <c r="AW2878" s="32"/>
      <c r="AX2878" s="32"/>
      <c r="AY2878" s="32"/>
      <c r="AZ2878" s="32"/>
      <c r="BA2878" s="32"/>
      <c r="BB2878" s="32"/>
      <c r="BC2878" s="32"/>
      <c r="BD2878" s="32"/>
      <c r="BE2878" s="32"/>
      <c r="BF2878" s="32"/>
      <c r="BG2878" s="32"/>
      <c r="BH2878" s="32"/>
      <c r="BI2878" s="32"/>
      <c r="BJ2878" s="32"/>
      <c r="BK2878" s="32"/>
      <c r="BL2878" s="32"/>
      <c r="BM2878" s="32"/>
      <c r="BN2878" s="32"/>
      <c r="BO2878" s="32"/>
      <c r="BP2878" s="32"/>
      <c r="BQ2878" s="32"/>
      <c r="BR2878" s="32"/>
      <c r="BS2878" s="32"/>
      <c r="BT2878" s="32"/>
      <c r="BU2878" s="32"/>
      <c r="BV2878" s="32"/>
      <c r="BW2878" s="32"/>
      <c r="BX2878" s="32"/>
      <c r="BY2878" s="32"/>
      <c r="BZ2878" s="32"/>
      <c r="CA2878" s="32"/>
      <c r="CB2878" s="32"/>
      <c r="CC2878" s="32"/>
      <c r="CD2878" s="32"/>
    </row>
    <row r="2879" ht="15.75" hidden="1" customHeight="1" outlineLevel="1">
      <c r="A2879" s="365"/>
      <c r="B2879" s="38"/>
      <c r="C2879" s="374"/>
      <c r="D2879" s="374"/>
      <c r="E2879" s="374"/>
      <c r="F2879" s="374"/>
      <c r="G2879" s="374"/>
      <c r="H2879" s="374"/>
      <c r="I2879" s="374"/>
      <c r="J2879" s="374"/>
      <c r="K2879" s="374"/>
      <c r="L2879" s="374"/>
      <c r="M2879" s="373">
        <f>PPMT('Assumptions (T&amp;D)'!$C$20,Model!W$1,'Assumptions (T&amp;D)'!$C$23,Model!$M$2866)</f>
        <v>-0.07141061004</v>
      </c>
      <c r="N2879" s="373">
        <f>PPMT('Assumptions (T&amp;D)'!$C$20,Model!X$1,'Assumptions (T&amp;D)'!$C$23,Model!$M$2866)</f>
        <v>-0.07480261402</v>
      </c>
      <c r="O2879" s="373">
        <f>PPMT('Assumptions (T&amp;D)'!$C$20,Model!Y$1,'Assumptions (T&amp;D)'!$C$23,Model!$M$2866)</f>
        <v>-0.07835573819</v>
      </c>
      <c r="P2879" s="373">
        <f>PPMT('Assumptions (T&amp;D)'!$C$20,Model!Z$1,'Assumptions (T&amp;D)'!$C$23,Model!$M$2866)</f>
        <v>-0.08207763575</v>
      </c>
      <c r="Q2879" s="373">
        <f>PPMT('Assumptions (T&amp;D)'!$C$20,Model!AA$1,'Assumptions (T&amp;D)'!$C$23,Model!$M$2866)</f>
        <v>-0.08597632345</v>
      </c>
      <c r="R2879" s="373">
        <f>PPMT('Assumptions (T&amp;D)'!$C$20,Model!AB$1,'Assumptions (T&amp;D)'!$C$23,Model!$M$2866)</f>
        <v>-0.09006019881</v>
      </c>
      <c r="S2879" s="373">
        <f>PPMT('Assumptions (T&amp;D)'!$C$20,Model!AC$1,'Assumptions (T&amp;D)'!$C$23,Model!$M$2866)</f>
        <v>-0.09433805825</v>
      </c>
      <c r="T2879" s="373">
        <f>PPMT('Assumptions (T&amp;D)'!$C$20,Model!AD$1,'Assumptions (T&amp;D)'!$C$23,Model!$M$2866)</f>
        <v>-0.09881911602</v>
      </c>
      <c r="U2879" s="373">
        <f>PPMT('Assumptions (T&amp;D)'!$C$20,Model!AE$1,'Assumptions (T&amp;D)'!$C$23,Model!$M$2866)</f>
        <v>-0.103513024</v>
      </c>
      <c r="V2879" s="373">
        <f>PPMT('Assumptions (T&amp;D)'!$C$20,Model!AF$1,'Assumptions (T&amp;D)'!$C$23,Model!$M$2866)</f>
        <v>-0.1084298927</v>
      </c>
      <c r="W2879" s="373">
        <f>PPMT('Assumptions (T&amp;D)'!$C$20,Model!AG$1,'Assumptions (T&amp;D)'!$C$23,Model!$M$2866)</f>
        <v>-0.1135803126</v>
      </c>
      <c r="X2879" s="373">
        <f>PPMT('Assumptions (T&amp;D)'!$C$20,Model!AH$1,'Assumptions (T&amp;D)'!$C$23,Model!$M$2866)</f>
        <v>-0.1189753774</v>
      </c>
      <c r="Y2879" s="373">
        <f>PPMT('Assumptions (T&amp;D)'!$C$20,Model!AI$1,'Assumptions (T&amp;D)'!$C$23,Model!$M$2866)</f>
        <v>-0.1246267079</v>
      </c>
      <c r="Z2879" s="373">
        <f>PPMT('Assumptions (T&amp;D)'!$C$20,Model!AJ$1,'Assumptions (T&amp;D)'!$C$23,Model!$M$2866)</f>
        <v>-0.1305464765</v>
      </c>
      <c r="AA2879" s="373">
        <f>PPMT('Assumptions (T&amp;D)'!$C$20,Model!AK$1,'Assumptions (T&amp;D)'!$C$23,Model!$M$2866)</f>
        <v>-0.1367474341</v>
      </c>
      <c r="AB2879" s="374"/>
      <c r="AC2879" s="374"/>
      <c r="AD2879" s="374"/>
      <c r="AE2879" s="374"/>
      <c r="AF2879" s="374"/>
      <c r="AG2879" s="374"/>
      <c r="AH2879" s="374"/>
      <c r="AI2879" s="374"/>
      <c r="AJ2879" s="374"/>
      <c r="AK2879" s="374"/>
      <c r="AL2879" s="32"/>
      <c r="AM2879" s="32"/>
      <c r="AN2879" s="32"/>
      <c r="AO2879" s="32"/>
      <c r="AP2879" s="32"/>
      <c r="AQ2879" s="32"/>
      <c r="AR2879" s="32"/>
      <c r="AS2879" s="32"/>
      <c r="AT2879" s="32"/>
      <c r="AU2879" s="32"/>
      <c r="AV2879" s="32"/>
      <c r="AW2879" s="32"/>
      <c r="AX2879" s="32"/>
      <c r="AY2879" s="32"/>
      <c r="AZ2879" s="32"/>
      <c r="BA2879" s="32"/>
      <c r="BB2879" s="32"/>
      <c r="BC2879" s="32"/>
      <c r="BD2879" s="32"/>
      <c r="BE2879" s="32"/>
      <c r="BF2879" s="32"/>
      <c r="BG2879" s="32"/>
      <c r="BH2879" s="32"/>
      <c r="BI2879" s="32"/>
      <c r="BJ2879" s="32"/>
      <c r="BK2879" s="32"/>
      <c r="BL2879" s="32"/>
      <c r="BM2879" s="32"/>
      <c r="BN2879" s="32"/>
      <c r="BO2879" s="32"/>
      <c r="BP2879" s="32"/>
      <c r="BQ2879" s="32"/>
      <c r="BR2879" s="32"/>
      <c r="BS2879" s="32"/>
      <c r="BT2879" s="32"/>
      <c r="BU2879" s="32"/>
      <c r="BV2879" s="32"/>
      <c r="BW2879" s="32"/>
      <c r="BX2879" s="32"/>
      <c r="BY2879" s="32"/>
      <c r="BZ2879" s="32"/>
      <c r="CA2879" s="32"/>
      <c r="CB2879" s="32"/>
      <c r="CC2879" s="32"/>
      <c r="CD2879" s="32"/>
    </row>
    <row r="2880" ht="15.75" hidden="1" customHeight="1" outlineLevel="1">
      <c r="A2880" s="365"/>
      <c r="B2880" s="38"/>
      <c r="C2880" s="374"/>
      <c r="D2880" s="374"/>
      <c r="E2880" s="374"/>
      <c r="F2880" s="374"/>
      <c r="G2880" s="374"/>
      <c r="H2880" s="374"/>
      <c r="I2880" s="374"/>
      <c r="J2880" s="374"/>
      <c r="K2880" s="374"/>
      <c r="L2880" s="374"/>
      <c r="M2880" s="374"/>
      <c r="N2880" s="373">
        <f>PPMT('Assumptions (T&amp;D)'!$C$20,Model!W$1,'Assumptions (T&amp;D)'!$C$23,Model!$N$2866)</f>
        <v>-0.07994964014</v>
      </c>
      <c r="O2880" s="373">
        <f>PPMT('Assumptions (T&amp;D)'!$C$20,Model!X$1,'Assumptions (T&amp;D)'!$C$23,Model!$N$2866)</f>
        <v>-0.08374724805</v>
      </c>
      <c r="P2880" s="373">
        <f>PPMT('Assumptions (T&amp;D)'!$C$20,Model!Y$1,'Assumptions (T&amp;D)'!$C$23,Model!$N$2866)</f>
        <v>-0.08772524233</v>
      </c>
      <c r="Q2880" s="373">
        <f>PPMT('Assumptions (T&amp;D)'!$C$20,Model!Z$1,'Assumptions (T&amp;D)'!$C$23,Model!$N$2866)</f>
        <v>-0.09189219134</v>
      </c>
      <c r="R2880" s="373">
        <f>PPMT('Assumptions (T&amp;D)'!$C$20,Model!AA$1,'Assumptions (T&amp;D)'!$C$23,Model!$N$2866)</f>
        <v>-0.09625707043</v>
      </c>
      <c r="S2880" s="373">
        <f>PPMT('Assumptions (T&amp;D)'!$C$20,Model!AB$1,'Assumptions (T&amp;D)'!$C$23,Model!$N$2866)</f>
        <v>-0.1008292813</v>
      </c>
      <c r="T2880" s="373">
        <f>PPMT('Assumptions (T&amp;D)'!$C$20,Model!AC$1,'Assumptions (T&amp;D)'!$C$23,Model!$N$2866)</f>
        <v>-0.1056186721</v>
      </c>
      <c r="U2880" s="373">
        <f>PPMT('Assumptions (T&amp;D)'!$C$20,Model!AD$1,'Assumptions (T&amp;D)'!$C$23,Model!$N$2866)</f>
        <v>-0.1106355591</v>
      </c>
      <c r="V2880" s="373">
        <f>PPMT('Assumptions (T&amp;D)'!$C$20,Model!AE$1,'Assumptions (T&amp;D)'!$C$23,Model!$N$2866)</f>
        <v>-0.1158907481</v>
      </c>
      <c r="W2880" s="373">
        <f>PPMT('Assumptions (T&amp;D)'!$C$20,Model!AF$1,'Assumptions (T&amp;D)'!$C$23,Model!$N$2866)</f>
        <v>-0.1213955587</v>
      </c>
      <c r="X2880" s="373">
        <f>PPMT('Assumptions (T&amp;D)'!$C$20,Model!AG$1,'Assumptions (T&amp;D)'!$C$23,Model!$N$2866)</f>
        <v>-0.1271618477</v>
      </c>
      <c r="Y2880" s="373">
        <f>PPMT('Assumptions (T&amp;D)'!$C$20,Model!AH$1,'Assumptions (T&amp;D)'!$C$23,Model!$N$2866)</f>
        <v>-0.1332020355</v>
      </c>
      <c r="Z2880" s="373">
        <f>PPMT('Assumptions (T&amp;D)'!$C$20,Model!AI$1,'Assumptions (T&amp;D)'!$C$23,Model!$N$2866)</f>
        <v>-0.1395291321</v>
      </c>
      <c r="AA2880" s="373">
        <f>PPMT('Assumptions (T&amp;D)'!$C$20,Model!AJ$1,'Assumptions (T&amp;D)'!$C$23,Model!$N$2866)</f>
        <v>-0.1461567659</v>
      </c>
      <c r="AB2880" s="373">
        <f>PPMT('Assumptions (T&amp;D)'!$C$20,Model!AK$1,'Assumptions (T&amp;D)'!$C$23,Model!$N$2866)</f>
        <v>-0.1530992123</v>
      </c>
      <c r="AC2880" s="374"/>
      <c r="AD2880" s="374"/>
      <c r="AE2880" s="374"/>
      <c r="AF2880" s="374"/>
      <c r="AG2880" s="374"/>
      <c r="AH2880" s="374"/>
      <c r="AI2880" s="374"/>
      <c r="AJ2880" s="374"/>
      <c r="AK2880" s="374"/>
      <c r="AL2880" s="374"/>
      <c r="AM2880" s="32"/>
      <c r="AN2880" s="32"/>
      <c r="AO2880" s="32"/>
      <c r="AP2880" s="32"/>
      <c r="AQ2880" s="32"/>
      <c r="AR2880" s="32"/>
      <c r="AS2880" s="32"/>
      <c r="AT2880" s="32"/>
      <c r="AU2880" s="32"/>
      <c r="AV2880" s="32"/>
      <c r="AW2880" s="32"/>
      <c r="AX2880" s="32"/>
      <c r="AY2880" s="32"/>
      <c r="AZ2880" s="32"/>
      <c r="BA2880" s="32"/>
      <c r="BB2880" s="32"/>
      <c r="BC2880" s="32"/>
      <c r="BD2880" s="32"/>
      <c r="BE2880" s="32"/>
      <c r="BF2880" s="32"/>
      <c r="BG2880" s="32"/>
      <c r="BH2880" s="32"/>
      <c r="BI2880" s="32"/>
      <c r="BJ2880" s="32"/>
      <c r="BK2880" s="32"/>
      <c r="BL2880" s="32"/>
      <c r="BM2880" s="32"/>
      <c r="BN2880" s="32"/>
      <c r="BO2880" s="32"/>
      <c r="BP2880" s="32"/>
      <c r="BQ2880" s="32"/>
      <c r="BR2880" s="32"/>
      <c r="BS2880" s="32"/>
      <c r="BT2880" s="32"/>
      <c r="BU2880" s="32"/>
      <c r="BV2880" s="32"/>
      <c r="BW2880" s="32"/>
      <c r="BX2880" s="32"/>
      <c r="BY2880" s="32"/>
      <c r="BZ2880" s="32"/>
      <c r="CA2880" s="32"/>
      <c r="CB2880" s="32"/>
      <c r="CC2880" s="32"/>
      <c r="CD2880" s="32"/>
    </row>
    <row r="2881" ht="15.75" hidden="1" customHeight="1" outlineLevel="1">
      <c r="A2881" s="365"/>
      <c r="B2881" s="38"/>
      <c r="C2881" s="374"/>
      <c r="D2881" s="374"/>
      <c r="E2881" s="374"/>
      <c r="F2881" s="374"/>
      <c r="G2881" s="374"/>
      <c r="H2881" s="374"/>
      <c r="I2881" s="374"/>
      <c r="J2881" s="374"/>
      <c r="K2881" s="374"/>
      <c r="L2881" s="374"/>
      <c r="M2881" s="374"/>
      <c r="N2881" s="374"/>
      <c r="O2881" s="373">
        <f>PPMT('Assumptions (T&amp;D)'!$C$20,Model!W$1,'Assumptions (T&amp;D)'!$C$23,Model!$O$2866)</f>
        <v>-0.07941801957</v>
      </c>
      <c r="P2881" s="373">
        <f>PPMT('Assumptions (T&amp;D)'!$C$20,Model!X$1,'Assumptions (T&amp;D)'!$C$23,Model!$O$2866)</f>
        <v>-0.0831903755</v>
      </c>
      <c r="Q2881" s="373">
        <f>PPMT('Assumptions (T&amp;D)'!$C$20,Model!Y$1,'Assumptions (T&amp;D)'!$C$23,Model!$O$2866)</f>
        <v>-0.08714191833</v>
      </c>
      <c r="R2881" s="373">
        <f>PPMT('Assumptions (T&amp;D)'!$C$20,Model!Z$1,'Assumptions (T&amp;D)'!$C$23,Model!$O$2866)</f>
        <v>-0.09128115946</v>
      </c>
      <c r="S2881" s="373">
        <f>PPMT('Assumptions (T&amp;D)'!$C$20,Model!AA$1,'Assumptions (T&amp;D)'!$C$23,Model!$O$2866)</f>
        <v>-0.09561701453</v>
      </c>
      <c r="T2881" s="373">
        <f>PPMT('Assumptions (T&amp;D)'!$C$20,Model!AB$1,'Assumptions (T&amp;D)'!$C$23,Model!$O$2866)</f>
        <v>-0.1001588227</v>
      </c>
      <c r="U2881" s="373">
        <f>PPMT('Assumptions (T&amp;D)'!$C$20,Model!AC$1,'Assumptions (T&amp;D)'!$C$23,Model!$O$2866)</f>
        <v>-0.1049163668</v>
      </c>
      <c r="V2881" s="373">
        <f>PPMT('Assumptions (T&amp;D)'!$C$20,Model!AD$1,'Assumptions (T&amp;D)'!$C$23,Model!$O$2866)</f>
        <v>-0.1098998942</v>
      </c>
      <c r="W2881" s="373">
        <f>PPMT('Assumptions (T&amp;D)'!$C$20,Model!AE$1,'Assumptions (T&amp;D)'!$C$23,Model!$O$2866)</f>
        <v>-0.1151201392</v>
      </c>
      <c r="X2881" s="373">
        <f>PPMT('Assumptions (T&amp;D)'!$C$20,Model!AF$1,'Assumptions (T&amp;D)'!$C$23,Model!$O$2866)</f>
        <v>-0.1205883458</v>
      </c>
      <c r="Y2881" s="373">
        <f>PPMT('Assumptions (T&amp;D)'!$C$20,Model!AG$1,'Assumptions (T&amp;D)'!$C$23,Model!$O$2866)</f>
        <v>-0.1263162922</v>
      </c>
      <c r="Z2881" s="373">
        <f>PPMT('Assumptions (T&amp;D)'!$C$20,Model!AH$1,'Assumptions (T&amp;D)'!$C$23,Model!$O$2866)</f>
        <v>-0.1323163161</v>
      </c>
      <c r="AA2881" s="373">
        <f>PPMT('Assumptions (T&amp;D)'!$C$20,Model!AI$1,'Assumptions (T&amp;D)'!$C$23,Model!$O$2866)</f>
        <v>-0.1386013411</v>
      </c>
      <c r="AB2881" s="373">
        <f>PPMT('Assumptions (T&amp;D)'!$C$20,Model!AJ$1,'Assumptions (T&amp;D)'!$C$23,Model!$O$2866)</f>
        <v>-0.1451849048</v>
      </c>
      <c r="AC2881" s="373">
        <f>PPMT('Assumptions (T&amp;D)'!$C$20,Model!AK$1,'Assumptions (T&amp;D)'!$C$23,Model!$O$2866)</f>
        <v>-0.1520811878</v>
      </c>
      <c r="AD2881" s="374"/>
      <c r="AE2881" s="374"/>
      <c r="AF2881" s="374"/>
      <c r="AG2881" s="374"/>
      <c r="AH2881" s="374"/>
      <c r="AI2881" s="374"/>
      <c r="AJ2881" s="374"/>
      <c r="AK2881" s="374"/>
      <c r="AL2881" s="374"/>
      <c r="AM2881" s="374"/>
      <c r="AN2881" s="32"/>
      <c r="AO2881" s="32"/>
      <c r="AP2881" s="32"/>
      <c r="AQ2881" s="32"/>
      <c r="AR2881" s="32"/>
      <c r="AS2881" s="32"/>
      <c r="AT2881" s="32"/>
      <c r="AU2881" s="32"/>
      <c r="AV2881" s="32"/>
      <c r="AW2881" s="32"/>
      <c r="AX2881" s="32"/>
      <c r="AY2881" s="32"/>
      <c r="AZ2881" s="32"/>
      <c r="BA2881" s="32"/>
      <c r="BB2881" s="32"/>
      <c r="BC2881" s="32"/>
      <c r="BD2881" s="32"/>
      <c r="BE2881" s="32"/>
      <c r="BF2881" s="32"/>
      <c r="BG2881" s="32"/>
      <c r="BH2881" s="32"/>
      <c r="BI2881" s="32"/>
      <c r="BJ2881" s="32"/>
      <c r="BK2881" s="32"/>
      <c r="BL2881" s="32"/>
      <c r="BM2881" s="32"/>
      <c r="BN2881" s="32"/>
      <c r="BO2881" s="32"/>
      <c r="BP2881" s="32"/>
      <c r="BQ2881" s="32"/>
      <c r="BR2881" s="32"/>
      <c r="BS2881" s="32"/>
      <c r="BT2881" s="32"/>
      <c r="BU2881" s="32"/>
      <c r="BV2881" s="32"/>
      <c r="BW2881" s="32"/>
      <c r="BX2881" s="32"/>
      <c r="BY2881" s="32"/>
      <c r="BZ2881" s="32"/>
      <c r="CA2881" s="32"/>
      <c r="CB2881" s="32"/>
      <c r="CC2881" s="32"/>
      <c r="CD2881" s="32"/>
    </row>
    <row r="2882" ht="15.75" hidden="1" customHeight="1" outlineLevel="1">
      <c r="A2882" s="365"/>
      <c r="B2882" s="38"/>
      <c r="C2882" s="374"/>
      <c r="D2882" s="374"/>
      <c r="E2882" s="374"/>
      <c r="F2882" s="374"/>
      <c r="G2882" s="374"/>
      <c r="H2882" s="374"/>
      <c r="I2882" s="374"/>
      <c r="J2882" s="374"/>
      <c r="K2882" s="374"/>
      <c r="L2882" s="374"/>
      <c r="M2882" s="374"/>
      <c r="N2882" s="374"/>
      <c r="O2882" s="374"/>
      <c r="P2882" s="373">
        <f>PPMT('Assumptions (T&amp;D)'!$C$20,Model!W$1,'Assumptions (T&amp;D)'!$C$23,Model!$P$2866)</f>
        <v>-0.08217292306</v>
      </c>
      <c r="Q2882" s="373">
        <f>PPMT('Assumptions (T&amp;D)'!$C$20,Model!X$1,'Assumptions (T&amp;D)'!$C$23,Model!$P$2866)</f>
        <v>-0.08607613691</v>
      </c>
      <c r="R2882" s="373">
        <f>PPMT('Assumptions (T&amp;D)'!$C$20,Model!Y$1,'Assumptions (T&amp;D)'!$C$23,Model!$P$2866)</f>
        <v>-0.09016475341</v>
      </c>
      <c r="S2882" s="373">
        <f>PPMT('Assumptions (T&amp;D)'!$C$20,Model!Z$1,'Assumptions (T&amp;D)'!$C$23,Model!$P$2866)</f>
        <v>-0.0944475792</v>
      </c>
      <c r="T2882" s="373">
        <f>PPMT('Assumptions (T&amp;D)'!$C$20,Model!AA$1,'Assumptions (T&amp;D)'!$C$23,Model!$P$2866)</f>
        <v>-0.09893383921</v>
      </c>
      <c r="U2882" s="373">
        <f>PPMT('Assumptions (T&amp;D)'!$C$20,Model!AB$1,'Assumptions (T&amp;D)'!$C$23,Model!$P$2866)</f>
        <v>-0.1036331966</v>
      </c>
      <c r="V2882" s="373">
        <f>PPMT('Assumptions (T&amp;D)'!$C$20,Model!AC$1,'Assumptions (T&amp;D)'!$C$23,Model!$P$2866)</f>
        <v>-0.1085557734</v>
      </c>
      <c r="W2882" s="373">
        <f>PPMT('Assumptions (T&amp;D)'!$C$20,Model!AD$1,'Assumptions (T&amp;D)'!$C$23,Model!$P$2866)</f>
        <v>-0.1137121726</v>
      </c>
      <c r="X2882" s="373">
        <f>PPMT('Assumptions (T&amp;D)'!$C$20,Model!AE$1,'Assumptions (T&amp;D)'!$C$23,Model!$P$2866)</f>
        <v>-0.1191135008</v>
      </c>
      <c r="Y2882" s="373">
        <f>PPMT('Assumptions (T&amp;D)'!$C$20,Model!AF$1,'Assumptions (T&amp;D)'!$C$23,Model!$P$2866)</f>
        <v>-0.1247713921</v>
      </c>
      <c r="Z2882" s="373">
        <f>PPMT('Assumptions (T&amp;D)'!$C$20,Model!AG$1,'Assumptions (T&amp;D)'!$C$23,Model!$P$2866)</f>
        <v>-0.1306980333</v>
      </c>
      <c r="AA2882" s="373">
        <f>PPMT('Assumptions (T&amp;D)'!$C$20,Model!AH$1,'Assumptions (T&amp;D)'!$C$23,Model!$P$2866)</f>
        <v>-0.1369061898</v>
      </c>
      <c r="AB2882" s="373">
        <f>PPMT('Assumptions (T&amp;D)'!$C$20,Model!AI$1,'Assumptions (T&amp;D)'!$C$23,Model!$P$2866)</f>
        <v>-0.1434092339</v>
      </c>
      <c r="AC2882" s="373">
        <f>PPMT('Assumptions (T&amp;D)'!$C$20,Model!AJ$1,'Assumptions (T&amp;D)'!$C$23,Model!$P$2866)</f>
        <v>-0.1502211725</v>
      </c>
      <c r="AD2882" s="373">
        <f>PPMT('Assumptions (T&amp;D)'!$C$20,Model!AK$1,'Assumptions (T&amp;D)'!$C$23,Model!$P$2866)</f>
        <v>-0.1573566782</v>
      </c>
      <c r="AE2882" s="374"/>
      <c r="AF2882" s="374"/>
      <c r="AG2882" s="374"/>
      <c r="AH2882" s="374"/>
      <c r="AI2882" s="374"/>
      <c r="AJ2882" s="374"/>
      <c r="AK2882" s="374"/>
      <c r="AL2882" s="374"/>
      <c r="AM2882" s="374"/>
      <c r="AN2882" s="374"/>
      <c r="AO2882" s="32"/>
      <c r="AP2882" s="32"/>
      <c r="AQ2882" s="32"/>
      <c r="AR2882" s="32"/>
      <c r="AS2882" s="32"/>
      <c r="AT2882" s="32"/>
      <c r="AU2882" s="32"/>
      <c r="AV2882" s="32"/>
      <c r="AW2882" s="32"/>
      <c r="AX2882" s="32"/>
      <c r="AY2882" s="32"/>
      <c r="AZ2882" s="32"/>
      <c r="BA2882" s="32"/>
      <c r="BB2882" s="32"/>
      <c r="BC2882" s="32"/>
      <c r="BD2882" s="32"/>
      <c r="BE2882" s="32"/>
      <c r="BF2882" s="32"/>
      <c r="BG2882" s="32"/>
      <c r="BH2882" s="32"/>
      <c r="BI2882" s="32"/>
      <c r="BJ2882" s="32"/>
      <c r="BK2882" s="32"/>
      <c r="BL2882" s="32"/>
      <c r="BM2882" s="32"/>
      <c r="BN2882" s="32"/>
      <c r="BO2882" s="32"/>
      <c r="BP2882" s="32"/>
      <c r="BQ2882" s="32"/>
      <c r="BR2882" s="32"/>
      <c r="BS2882" s="32"/>
      <c r="BT2882" s="32"/>
      <c r="BU2882" s="32"/>
      <c r="BV2882" s="32"/>
      <c r="BW2882" s="32"/>
      <c r="BX2882" s="32"/>
      <c r="BY2882" s="32"/>
      <c r="BZ2882" s="32"/>
      <c r="CA2882" s="32"/>
      <c r="CB2882" s="32"/>
      <c r="CC2882" s="32"/>
      <c r="CD2882" s="32"/>
    </row>
    <row r="2883" ht="15.75" hidden="1" customHeight="1" outlineLevel="1">
      <c r="A2883" s="365"/>
      <c r="B2883" s="38"/>
      <c r="C2883" s="374"/>
      <c r="D2883" s="374"/>
      <c r="E2883" s="374"/>
      <c r="F2883" s="374"/>
      <c r="G2883" s="374"/>
      <c r="H2883" s="374"/>
      <c r="I2883" s="374"/>
      <c r="J2883" s="374"/>
      <c r="K2883" s="374"/>
      <c r="L2883" s="374"/>
      <c r="M2883" s="374"/>
      <c r="N2883" s="374"/>
      <c r="O2883" s="374"/>
      <c r="P2883" s="374"/>
      <c r="Q2883" s="373">
        <f>PPMT('Assumptions (T&amp;D)'!$C$20,Model!W$1,'Assumptions (T&amp;D)'!$C$23,Model!$Q$2866)</f>
        <v>-0.08627123449</v>
      </c>
      <c r="R2883" s="373">
        <f>PPMT('Assumptions (T&amp;D)'!$C$20,Model!X$1,'Assumptions (T&amp;D)'!$C$23,Model!$Q$2866)</f>
        <v>-0.09036911812</v>
      </c>
      <c r="S2883" s="373">
        <f>PPMT('Assumptions (T&amp;D)'!$C$20,Model!Y$1,'Assumptions (T&amp;D)'!$C$23,Model!$Q$2866)</f>
        <v>-0.09466165124</v>
      </c>
      <c r="T2883" s="373">
        <f>PPMT('Assumptions (T&amp;D)'!$C$20,Model!Z$1,'Assumptions (T&amp;D)'!$C$23,Model!$Q$2866)</f>
        <v>-0.09915807967</v>
      </c>
      <c r="U2883" s="373">
        <f>PPMT('Assumptions (T&amp;D)'!$C$20,Model!AA$1,'Assumptions (T&amp;D)'!$C$23,Model!$Q$2866)</f>
        <v>-0.1038680885</v>
      </c>
      <c r="V2883" s="373">
        <f>PPMT('Assumptions (T&amp;D)'!$C$20,Model!AB$1,'Assumptions (T&amp;D)'!$C$23,Model!$Q$2866)</f>
        <v>-0.1088018227</v>
      </c>
      <c r="W2883" s="373">
        <f>PPMT('Assumptions (T&amp;D)'!$C$20,Model!AC$1,'Assumptions (T&amp;D)'!$C$23,Model!$Q$2866)</f>
        <v>-0.1139699092</v>
      </c>
      <c r="X2883" s="373">
        <f>PPMT('Assumptions (T&amp;D)'!$C$20,Model!AD$1,'Assumptions (T&amp;D)'!$C$23,Model!$Q$2866)</f>
        <v>-0.1193834799</v>
      </c>
      <c r="Y2883" s="373">
        <f>PPMT('Assumptions (T&amp;D)'!$C$20,Model!AE$1,'Assumptions (T&amp;D)'!$C$23,Model!$Q$2866)</f>
        <v>-0.1250541952</v>
      </c>
      <c r="Z2883" s="373">
        <f>PPMT('Assumptions (T&amp;D)'!$C$20,Model!AF$1,'Assumptions (T&amp;D)'!$C$23,Model!$Q$2866)</f>
        <v>-0.1309942695</v>
      </c>
      <c r="AA2883" s="373">
        <f>PPMT('Assumptions (T&amp;D)'!$C$20,Model!AG$1,'Assumptions (T&amp;D)'!$C$23,Model!$Q$2866)</f>
        <v>-0.1372164973</v>
      </c>
      <c r="AB2883" s="373">
        <f>PPMT('Assumptions (T&amp;D)'!$C$20,Model!AH$1,'Assumptions (T&amp;D)'!$C$23,Model!$Q$2866)</f>
        <v>-0.1437342809</v>
      </c>
      <c r="AC2883" s="373">
        <f>PPMT('Assumptions (T&amp;D)'!$C$20,Model!AI$1,'Assumptions (T&amp;D)'!$C$23,Model!$Q$2866)</f>
        <v>-0.1505616593</v>
      </c>
      <c r="AD2883" s="373">
        <f>PPMT('Assumptions (T&amp;D)'!$C$20,Model!AJ$1,'Assumptions (T&amp;D)'!$C$23,Model!$Q$2866)</f>
        <v>-0.1577133381</v>
      </c>
      <c r="AE2883" s="373">
        <f>PPMT('Assumptions (T&amp;D)'!$C$20,Model!AK$1,'Assumptions (T&amp;D)'!$C$23,Model!$Q$2866)</f>
        <v>-0.1652047216</v>
      </c>
      <c r="AF2883" s="374"/>
      <c r="AG2883" s="374"/>
      <c r="AH2883" s="374"/>
      <c r="AI2883" s="374"/>
      <c r="AJ2883" s="374"/>
      <c r="AK2883" s="374"/>
      <c r="AL2883" s="374"/>
      <c r="AM2883" s="374"/>
      <c r="AN2883" s="374"/>
      <c r="AO2883" s="374"/>
      <c r="AP2883" s="32"/>
      <c r="AQ2883" s="32"/>
      <c r="AR2883" s="32"/>
      <c r="AS2883" s="32"/>
      <c r="AT2883" s="32"/>
      <c r="AU2883" s="32"/>
      <c r="AV2883" s="32"/>
      <c r="AW2883" s="32"/>
      <c r="AX2883" s="32"/>
      <c r="AY2883" s="32"/>
      <c r="AZ2883" s="32"/>
      <c r="BA2883" s="32"/>
      <c r="BB2883" s="32"/>
      <c r="BC2883" s="32"/>
      <c r="BD2883" s="32"/>
      <c r="BE2883" s="32"/>
      <c r="BF2883" s="32"/>
      <c r="BG2883" s="32"/>
      <c r="BH2883" s="32"/>
      <c r="BI2883" s="32"/>
      <c r="BJ2883" s="32"/>
      <c r="BK2883" s="32"/>
      <c r="BL2883" s="32"/>
      <c r="BM2883" s="32"/>
      <c r="BN2883" s="32"/>
      <c r="BO2883" s="32"/>
      <c r="BP2883" s="32"/>
      <c r="BQ2883" s="32"/>
      <c r="BR2883" s="32"/>
      <c r="BS2883" s="32"/>
      <c r="BT2883" s="32"/>
      <c r="BU2883" s="32"/>
      <c r="BV2883" s="32"/>
      <c r="BW2883" s="32"/>
      <c r="BX2883" s="32"/>
      <c r="BY2883" s="32"/>
      <c r="BZ2883" s="32"/>
      <c r="CA2883" s="32"/>
      <c r="CB2883" s="32"/>
      <c r="CC2883" s="32"/>
      <c r="CD2883" s="32"/>
    </row>
    <row r="2884" ht="15.75" hidden="1" customHeight="1" outlineLevel="1">
      <c r="A2884" s="365"/>
      <c r="B2884" s="38"/>
      <c r="C2884" s="374"/>
      <c r="D2884" s="374"/>
      <c r="E2884" s="374"/>
      <c r="F2884" s="374"/>
      <c r="G2884" s="374"/>
      <c r="H2884" s="374"/>
      <c r="I2884" s="374"/>
      <c r="J2884" s="374"/>
      <c r="K2884" s="374"/>
      <c r="L2884" s="374"/>
      <c r="M2884" s="374"/>
      <c r="N2884" s="374"/>
      <c r="O2884" s="374"/>
      <c r="P2884" s="374"/>
      <c r="Q2884" s="374"/>
      <c r="R2884" s="373">
        <f>PPMT('Assumptions (T&amp;D)'!$C$20,Model!W$1,'Assumptions (T&amp;D)'!$C$23,Model!$R$2866)</f>
        <v>-0.09602159007</v>
      </c>
      <c r="S2884" s="373">
        <f>PPMT('Assumptions (T&amp;D)'!$C$20,Model!X$1,'Assumptions (T&amp;D)'!$C$23,Model!$R$2866)</f>
        <v>-0.1005826156</v>
      </c>
      <c r="T2884" s="373">
        <f>PPMT('Assumptions (T&amp;D)'!$C$20,Model!Y$1,'Assumptions (T&amp;D)'!$C$23,Model!$R$2866)</f>
        <v>-0.1053602898</v>
      </c>
      <c r="U2884" s="373">
        <f>PPMT('Assumptions (T&amp;D)'!$C$20,Model!Z$1,'Assumptions (T&amp;D)'!$C$23,Model!$R$2866)</f>
        <v>-0.1103649036</v>
      </c>
      <c r="V2884" s="373">
        <f>PPMT('Assumptions (T&amp;D)'!$C$20,Model!AA$1,'Assumptions (T&amp;D)'!$C$23,Model!$R$2866)</f>
        <v>-0.1156072365</v>
      </c>
      <c r="W2884" s="373">
        <f>PPMT('Assumptions (T&amp;D)'!$C$20,Model!AB$1,'Assumptions (T&amp;D)'!$C$23,Model!$R$2866)</f>
        <v>-0.1210985803</v>
      </c>
      <c r="X2884" s="373">
        <f>PPMT('Assumptions (T&amp;D)'!$C$20,Model!AC$1,'Assumptions (T&amp;D)'!$C$23,Model!$R$2866)</f>
        <v>-0.1268507628</v>
      </c>
      <c r="Y2884" s="373">
        <f>PPMT('Assumptions (T&amp;D)'!$C$20,Model!AD$1,'Assumptions (T&amp;D)'!$C$23,Model!$R$2866)</f>
        <v>-0.1328761741</v>
      </c>
      <c r="Z2884" s="373">
        <f>PPMT('Assumptions (T&amp;D)'!$C$20,Model!AE$1,'Assumptions (T&amp;D)'!$C$23,Model!$R$2866)</f>
        <v>-0.1391877923</v>
      </c>
      <c r="AA2884" s="373">
        <f>PPMT('Assumptions (T&amp;D)'!$C$20,Model!AF$1,'Assumptions (T&amp;D)'!$C$23,Model!$R$2866)</f>
        <v>-0.1457992125</v>
      </c>
      <c r="AB2884" s="373">
        <f>PPMT('Assumptions (T&amp;D)'!$C$20,Model!AG$1,'Assumptions (T&amp;D)'!$C$23,Model!$R$2866)</f>
        <v>-0.1527246751</v>
      </c>
      <c r="AC2884" s="373">
        <f>PPMT('Assumptions (T&amp;D)'!$C$20,Model!AH$1,'Assumptions (T&amp;D)'!$C$23,Model!$R$2866)</f>
        <v>-0.1599790971</v>
      </c>
      <c r="AD2884" s="373">
        <f>PPMT('Assumptions (T&amp;D)'!$C$20,Model!AI$1,'Assumptions (T&amp;D)'!$C$23,Model!$R$2866)</f>
        <v>-0.1675781042</v>
      </c>
      <c r="AE2884" s="373">
        <f>PPMT('Assumptions (T&amp;D)'!$C$20,Model!AJ$1,'Assumptions (T&amp;D)'!$C$23,Model!$R$2866)</f>
        <v>-0.1755380642</v>
      </c>
      <c r="AF2884" s="373">
        <f>PPMT('Assumptions (T&amp;D)'!$C$20,Model!AK$1,'Assumptions (T&amp;D)'!$C$23,Model!$R$2866)</f>
        <v>-0.1838761222</v>
      </c>
      <c r="AG2884" s="374"/>
      <c r="AH2884" s="374"/>
      <c r="AI2884" s="374"/>
      <c r="AJ2884" s="374"/>
      <c r="AK2884" s="374"/>
      <c r="AL2884" s="374"/>
      <c r="AM2884" s="374"/>
      <c r="AN2884" s="374"/>
      <c r="AO2884" s="374"/>
      <c r="AP2884" s="374"/>
      <c r="AQ2884" s="32"/>
      <c r="AR2884" s="32"/>
      <c r="AS2884" s="32"/>
      <c r="AT2884" s="32"/>
      <c r="AU2884" s="32"/>
      <c r="AV2884" s="32"/>
      <c r="AW2884" s="32"/>
      <c r="AX2884" s="32"/>
      <c r="AY2884" s="32"/>
      <c r="AZ2884" s="32"/>
      <c r="BA2884" s="32"/>
      <c r="BB2884" s="32"/>
      <c r="BC2884" s="32"/>
      <c r="BD2884" s="32"/>
      <c r="BE2884" s="32"/>
      <c r="BF2884" s="32"/>
      <c r="BG2884" s="32"/>
      <c r="BH2884" s="32"/>
      <c r="BI2884" s="32"/>
      <c r="BJ2884" s="32"/>
      <c r="BK2884" s="32"/>
      <c r="BL2884" s="32"/>
      <c r="BM2884" s="32"/>
      <c r="BN2884" s="32"/>
      <c r="BO2884" s="32"/>
      <c r="BP2884" s="32"/>
      <c r="BQ2884" s="32"/>
      <c r="BR2884" s="32"/>
      <c r="BS2884" s="32"/>
      <c r="BT2884" s="32"/>
      <c r="BU2884" s="32"/>
      <c r="BV2884" s="32"/>
      <c r="BW2884" s="32"/>
      <c r="BX2884" s="32"/>
      <c r="BY2884" s="32"/>
      <c r="BZ2884" s="32"/>
      <c r="CA2884" s="32"/>
      <c r="CB2884" s="32"/>
      <c r="CC2884" s="32"/>
      <c r="CD2884" s="32"/>
    </row>
    <row r="2885" ht="15.75" hidden="1" customHeight="1" outlineLevel="1">
      <c r="A2885" s="365"/>
      <c r="B2885" s="38"/>
      <c r="C2885" s="374"/>
      <c r="D2885" s="374"/>
      <c r="E2885" s="374"/>
      <c r="F2885" s="374"/>
      <c r="G2885" s="374"/>
      <c r="H2885" s="374"/>
      <c r="I2885" s="374"/>
      <c r="J2885" s="374"/>
      <c r="K2885" s="374"/>
      <c r="L2885" s="374"/>
      <c r="M2885" s="374"/>
      <c r="N2885" s="374"/>
      <c r="O2885" s="374"/>
      <c r="P2885" s="374"/>
      <c r="Q2885" s="374"/>
      <c r="R2885" s="374"/>
      <c r="S2885" s="373">
        <f>PPMT('Assumptions (T&amp;D)'!$C$20,Model!W$1,'Assumptions (T&amp;D)'!$C$23,Model!$S$2866)</f>
        <v>-0.1093910588</v>
      </c>
      <c r="T2885" s="373">
        <f>PPMT('Assumptions (T&amp;D)'!$C$20,Model!X$1,'Assumptions (T&amp;D)'!$C$23,Model!$S$2866)</f>
        <v>-0.1145871341</v>
      </c>
      <c r="U2885" s="373">
        <f>PPMT('Assumptions (T&amp;D)'!$C$20,Model!Y$1,'Assumptions (T&amp;D)'!$C$23,Model!$S$2866)</f>
        <v>-0.1200300229</v>
      </c>
      <c r="V2885" s="373">
        <f>PPMT('Assumptions (T&amp;D)'!$C$20,Model!Z$1,'Assumptions (T&amp;D)'!$C$23,Model!$S$2866)</f>
        <v>-0.125731449</v>
      </c>
      <c r="W2885" s="373">
        <f>PPMT('Assumptions (T&amp;D)'!$C$20,Model!AA$1,'Assumptions (T&amp;D)'!$C$23,Model!$S$2866)</f>
        <v>-0.1317036928</v>
      </c>
      <c r="X2885" s="373">
        <f>PPMT('Assumptions (T&amp;D)'!$C$20,Model!AB$1,'Assumptions (T&amp;D)'!$C$23,Model!$S$2866)</f>
        <v>-0.1379596183</v>
      </c>
      <c r="Y2885" s="373">
        <f>PPMT('Assumptions (T&amp;D)'!$C$20,Model!AC$1,'Assumptions (T&amp;D)'!$C$23,Model!$S$2866)</f>
        <v>-0.1445127001</v>
      </c>
      <c r="Z2885" s="373">
        <f>PPMT('Assumptions (T&amp;D)'!$C$20,Model!AD$1,'Assumptions (T&amp;D)'!$C$23,Model!$S$2866)</f>
        <v>-0.1513770534</v>
      </c>
      <c r="AA2885" s="373">
        <f>PPMT('Assumptions (T&amp;D)'!$C$20,Model!AE$1,'Assumptions (T&amp;D)'!$C$23,Model!$S$2866)</f>
        <v>-0.1585674634</v>
      </c>
      <c r="AB2885" s="373">
        <f>PPMT('Assumptions (T&amp;D)'!$C$20,Model!AF$1,'Assumptions (T&amp;D)'!$C$23,Model!$S$2866)</f>
        <v>-0.1660994179</v>
      </c>
      <c r="AC2885" s="373">
        <f>PPMT('Assumptions (T&amp;D)'!$C$20,Model!AG$1,'Assumptions (T&amp;D)'!$C$23,Model!$S$2866)</f>
        <v>-0.1739891403</v>
      </c>
      <c r="AD2885" s="373">
        <f>PPMT('Assumptions (T&amp;D)'!$C$20,Model!AH$1,'Assumptions (T&amp;D)'!$C$23,Model!$S$2866)</f>
        <v>-0.1822536244</v>
      </c>
      <c r="AE2885" s="373">
        <f>PPMT('Assumptions (T&amp;D)'!$C$20,Model!AI$1,'Assumptions (T&amp;D)'!$C$23,Model!$S$2866)</f>
        <v>-0.1909106716</v>
      </c>
      <c r="AF2885" s="373">
        <f>PPMT('Assumptions (T&amp;D)'!$C$20,Model!AJ$1,'Assumptions (T&amp;D)'!$C$23,Model!$S$2866)</f>
        <v>-0.1999789285</v>
      </c>
      <c r="AG2885" s="373">
        <f>PPMT('Assumptions (T&amp;D)'!$C$20,Model!AK$1,'Assumptions (T&amp;D)'!$C$23,Model!$S$2866)</f>
        <v>-0.2094779276</v>
      </c>
      <c r="AH2885" s="374"/>
      <c r="AI2885" s="374"/>
      <c r="AJ2885" s="374"/>
      <c r="AK2885" s="374"/>
      <c r="AL2885" s="374"/>
      <c r="AM2885" s="374"/>
      <c r="AN2885" s="374"/>
      <c r="AO2885" s="374"/>
      <c r="AP2885" s="374"/>
      <c r="AQ2885" s="374"/>
      <c r="AR2885" s="32"/>
      <c r="AS2885" s="32"/>
      <c r="AT2885" s="32"/>
      <c r="AU2885" s="32"/>
      <c r="AV2885" s="32"/>
      <c r="AW2885" s="32"/>
      <c r="AX2885" s="32"/>
      <c r="AY2885" s="32"/>
      <c r="AZ2885" s="32"/>
      <c r="BA2885" s="32"/>
      <c r="BB2885" s="32"/>
      <c r="BC2885" s="32"/>
      <c r="BD2885" s="32"/>
      <c r="BE2885" s="32"/>
      <c r="BF2885" s="32"/>
      <c r="BG2885" s="32"/>
      <c r="BH2885" s="32"/>
      <c r="BI2885" s="32"/>
      <c r="BJ2885" s="32"/>
      <c r="BK2885" s="32"/>
      <c r="BL2885" s="32"/>
      <c r="BM2885" s="32"/>
      <c r="BN2885" s="32"/>
      <c r="BO2885" s="32"/>
      <c r="BP2885" s="32"/>
      <c r="BQ2885" s="32"/>
      <c r="BR2885" s="32"/>
      <c r="BS2885" s="32"/>
      <c r="BT2885" s="32"/>
      <c r="BU2885" s="32"/>
      <c r="BV2885" s="32"/>
      <c r="BW2885" s="32"/>
      <c r="BX2885" s="32"/>
      <c r="BY2885" s="32"/>
      <c r="BZ2885" s="32"/>
      <c r="CA2885" s="32"/>
      <c r="CB2885" s="32"/>
      <c r="CC2885" s="32"/>
      <c r="CD2885" s="32"/>
    </row>
    <row r="2886" ht="15.75" hidden="1" customHeight="1" outlineLevel="1">
      <c r="A2886" s="365"/>
      <c r="B2886" s="38"/>
      <c r="C2886" s="374"/>
      <c r="D2886" s="374"/>
      <c r="E2886" s="374"/>
      <c r="F2886" s="374"/>
      <c r="G2886" s="374"/>
      <c r="H2886" s="374"/>
      <c r="I2886" s="374"/>
      <c r="J2886" s="374"/>
      <c r="K2886" s="374"/>
      <c r="L2886" s="374"/>
      <c r="M2886" s="374"/>
      <c r="N2886" s="374"/>
      <c r="O2886" s="374"/>
      <c r="P2886" s="374"/>
      <c r="Q2886" s="374"/>
      <c r="R2886" s="374"/>
      <c r="S2886" s="38"/>
      <c r="T2886" s="373">
        <f>PPMT('Assumptions (T&amp;D)'!$C$20,Model!W$1,'Assumptions (T&amp;D)'!$C$23,Model!$T$2866)</f>
        <v>-0.09680659196</v>
      </c>
      <c r="U2886" s="373">
        <f>PPMT('Assumptions (T&amp;D)'!$C$20,Model!X$1,'Assumptions (T&amp;D)'!$C$23,Model!$T$2866)</f>
        <v>-0.1014049051</v>
      </c>
      <c r="V2886" s="373">
        <f>PPMT('Assumptions (T&amp;D)'!$C$20,Model!Y$1,'Assumptions (T&amp;D)'!$C$23,Model!$T$2866)</f>
        <v>-0.1062216381</v>
      </c>
      <c r="W2886" s="373">
        <f>PPMT('Assumptions (T&amp;D)'!$C$20,Model!Z$1,'Assumptions (T&amp;D)'!$C$23,Model!$T$2866)</f>
        <v>-0.1112671659</v>
      </c>
      <c r="X2886" s="373">
        <f>PPMT('Assumptions (T&amp;D)'!$C$20,Model!AA$1,'Assumptions (T&amp;D)'!$C$23,Model!$T$2866)</f>
        <v>-0.1165523563</v>
      </c>
      <c r="Y2886" s="373">
        <f>PPMT('Assumptions (T&amp;D)'!$C$20,Model!AB$1,'Assumptions (T&amp;D)'!$C$23,Model!$T$2866)</f>
        <v>-0.1220885932</v>
      </c>
      <c r="Z2886" s="373">
        <f>PPMT('Assumptions (T&amp;D)'!$C$20,Model!AC$1,'Assumptions (T&amp;D)'!$C$23,Model!$T$2866)</f>
        <v>-0.1278878014</v>
      </c>
      <c r="AA2886" s="373">
        <f>PPMT('Assumptions (T&amp;D)'!$C$20,Model!AD$1,'Assumptions (T&amp;D)'!$C$23,Model!$T$2866)</f>
        <v>-0.1339624719</v>
      </c>
      <c r="AB2886" s="373">
        <f>PPMT('Assumptions (T&amp;D)'!$C$20,Model!AE$1,'Assumptions (T&amp;D)'!$C$23,Model!$T$2866)</f>
        <v>-0.1403256893</v>
      </c>
      <c r="AC2886" s="373">
        <f>PPMT('Assumptions (T&amp;D)'!$C$20,Model!AF$1,'Assumptions (T&amp;D)'!$C$23,Model!$T$2866)</f>
        <v>-0.1469911596</v>
      </c>
      <c r="AD2886" s="373">
        <f>PPMT('Assumptions (T&amp;D)'!$C$20,Model!AG$1,'Assumptions (T&amp;D)'!$C$23,Model!$T$2866)</f>
        <v>-0.1539732397</v>
      </c>
      <c r="AE2886" s="373">
        <f>PPMT('Assumptions (T&amp;D)'!$C$20,Model!AH$1,'Assumptions (T&amp;D)'!$C$23,Model!$T$2866)</f>
        <v>-0.1612869685</v>
      </c>
      <c r="AF2886" s="373">
        <f>PPMT('Assumptions (T&amp;D)'!$C$20,Model!AI$1,'Assumptions (T&amp;D)'!$C$23,Model!$T$2866)</f>
        <v>-0.1689480996</v>
      </c>
      <c r="AG2886" s="373">
        <f>PPMT('Assumptions (T&amp;D)'!$C$20,Model!AJ$1,'Assumptions (T&amp;D)'!$C$23,Model!$T$2866)</f>
        <v>-0.1769731343</v>
      </c>
      <c r="AH2886" s="373">
        <f>PPMT('Assumptions (T&amp;D)'!$C$20,Model!AK$1,'Assumptions (T&amp;D)'!$C$23,Model!$T$2866)</f>
        <v>-0.1853793582</v>
      </c>
      <c r="AI2886" s="374"/>
      <c r="AJ2886" s="374"/>
      <c r="AK2886" s="374"/>
      <c r="AL2886" s="374"/>
      <c r="AM2886" s="374"/>
      <c r="AN2886" s="374"/>
      <c r="AO2886" s="374"/>
      <c r="AP2886" s="374"/>
      <c r="AQ2886" s="374"/>
      <c r="AR2886" s="374"/>
      <c r="AS2886" s="32"/>
      <c r="AT2886" s="32"/>
      <c r="AU2886" s="32"/>
      <c r="AV2886" s="32"/>
      <c r="AW2886" s="32"/>
      <c r="AX2886" s="32"/>
      <c r="AY2886" s="32"/>
      <c r="AZ2886" s="32"/>
      <c r="BA2886" s="32"/>
      <c r="BB2886" s="32"/>
      <c r="BC2886" s="32"/>
      <c r="BD2886" s="32"/>
      <c r="BE2886" s="32"/>
      <c r="BF2886" s="32"/>
      <c r="BG2886" s="32"/>
      <c r="BH2886" s="32"/>
      <c r="BI2886" s="32"/>
      <c r="BJ2886" s="32"/>
      <c r="BK2886" s="32"/>
      <c r="BL2886" s="32"/>
      <c r="BM2886" s="32"/>
      <c r="BN2886" s="32"/>
      <c r="BO2886" s="32"/>
      <c r="BP2886" s="32"/>
      <c r="BQ2886" s="32"/>
      <c r="BR2886" s="32"/>
      <c r="BS2886" s="32"/>
      <c r="BT2886" s="32"/>
      <c r="BU2886" s="32"/>
      <c r="BV2886" s="32"/>
      <c r="BW2886" s="32"/>
      <c r="BX2886" s="32"/>
      <c r="BY2886" s="32"/>
      <c r="BZ2886" s="32"/>
      <c r="CA2886" s="32"/>
      <c r="CB2886" s="32"/>
      <c r="CC2886" s="32"/>
      <c r="CD2886" s="32"/>
    </row>
    <row r="2887" ht="15.75" hidden="1" customHeight="1" outlineLevel="1">
      <c r="A2887" s="365"/>
      <c r="B2887" s="38"/>
      <c r="C2887" s="374"/>
      <c r="D2887" s="374"/>
      <c r="E2887" s="374"/>
      <c r="F2887" s="374"/>
      <c r="G2887" s="374"/>
      <c r="H2887" s="374"/>
      <c r="I2887" s="374"/>
      <c r="J2887" s="374"/>
      <c r="K2887" s="374"/>
      <c r="L2887" s="374"/>
      <c r="M2887" s="374"/>
      <c r="N2887" s="374"/>
      <c r="O2887" s="374"/>
      <c r="P2887" s="374"/>
      <c r="Q2887" s="374"/>
      <c r="R2887" s="374"/>
      <c r="S2887" s="38"/>
      <c r="T2887" s="38"/>
      <c r="U2887" s="373">
        <f>PPMT('Assumptions (T&amp;D)'!$C$20,Model!W$1,'Assumptions (T&amp;D)'!$C$23,Model!$U$2866)</f>
        <v>-0.09802938929</v>
      </c>
      <c r="V2887" s="373">
        <f>PPMT('Assumptions (T&amp;D)'!$C$20,Model!X$1,'Assumptions (T&amp;D)'!$C$23,Model!$U$2866)</f>
        <v>-0.1026857853</v>
      </c>
      <c r="W2887" s="373">
        <f>PPMT('Assumptions (T&amp;D)'!$C$20,Model!Y$1,'Assumptions (T&amp;D)'!$C$23,Model!$U$2866)</f>
        <v>-0.1075633601</v>
      </c>
      <c r="X2887" s="373">
        <f>PPMT('Assumptions (T&amp;D)'!$C$20,Model!Z$1,'Assumptions (T&amp;D)'!$C$23,Model!$U$2866)</f>
        <v>-0.1126726197</v>
      </c>
      <c r="Y2887" s="373">
        <f>PPMT('Assumptions (T&amp;D)'!$C$20,Model!AA$1,'Assumptions (T&amp;D)'!$C$23,Model!$U$2866)</f>
        <v>-0.1180245691</v>
      </c>
      <c r="Z2887" s="373">
        <f>PPMT('Assumptions (T&amp;D)'!$C$20,Model!AB$1,'Assumptions (T&amp;D)'!$C$23,Model!$U$2866)</f>
        <v>-0.1236307362</v>
      </c>
      <c r="AA2887" s="373">
        <f>PPMT('Assumptions (T&amp;D)'!$C$20,Model!AC$1,'Assumptions (T&amp;D)'!$C$23,Model!$U$2866)</f>
        <v>-0.1295031961</v>
      </c>
      <c r="AB2887" s="373">
        <f>PPMT('Assumptions (T&amp;D)'!$C$20,Model!AD$1,'Assumptions (T&amp;D)'!$C$23,Model!$U$2866)</f>
        <v>-0.1356545979</v>
      </c>
      <c r="AC2887" s="373">
        <f>PPMT('Assumptions (T&amp;D)'!$C$20,Model!AE$1,'Assumptions (T&amp;D)'!$C$23,Model!$U$2866)</f>
        <v>-0.1420981913</v>
      </c>
      <c r="AD2887" s="373">
        <f>PPMT('Assumptions (T&amp;D)'!$C$20,Model!AF$1,'Assumptions (T&amp;D)'!$C$23,Model!$U$2866)</f>
        <v>-0.1488478554</v>
      </c>
      <c r="AE2887" s="373">
        <f>PPMT('Assumptions (T&amp;D)'!$C$20,Model!AG$1,'Assumptions (T&amp;D)'!$C$23,Model!$U$2866)</f>
        <v>-0.1559181286</v>
      </c>
      <c r="AF2887" s="373">
        <f>PPMT('Assumptions (T&amp;D)'!$C$20,Model!AH$1,'Assumptions (T&amp;D)'!$C$23,Model!$U$2866)</f>
        <v>-0.1633242397</v>
      </c>
      <c r="AG2887" s="373">
        <f>PPMT('Assumptions (T&amp;D)'!$C$20,Model!AI$1,'Assumptions (T&amp;D)'!$C$23,Model!$U$2866)</f>
        <v>-0.1710821411</v>
      </c>
      <c r="AH2887" s="373">
        <f>PPMT('Assumptions (T&amp;D)'!$C$20,Model!AJ$1,'Assumptions (T&amp;D)'!$C$23,Model!$U$2866)</f>
        <v>-0.1792085428</v>
      </c>
      <c r="AI2887" s="373">
        <f>PPMT('Assumptions (T&amp;D)'!$C$20,Model!AK$1,'Assumptions (T&amp;D)'!$C$23,Model!$U$2866)</f>
        <v>-0.1877209485</v>
      </c>
      <c r="AJ2887" s="374"/>
      <c r="AK2887" s="374"/>
      <c r="AL2887" s="374"/>
      <c r="AM2887" s="374"/>
      <c r="AN2887" s="374"/>
      <c r="AO2887" s="374"/>
      <c r="AP2887" s="374"/>
      <c r="AQ2887" s="374"/>
      <c r="AR2887" s="374"/>
      <c r="AS2887" s="374"/>
      <c r="AT2887" s="32"/>
      <c r="AU2887" s="32"/>
      <c r="AV2887" s="32"/>
      <c r="AW2887" s="32"/>
      <c r="AX2887" s="32"/>
      <c r="AY2887" s="32"/>
      <c r="AZ2887" s="32"/>
      <c r="BA2887" s="32"/>
      <c r="BB2887" s="32"/>
      <c r="BC2887" s="32"/>
      <c r="BD2887" s="32"/>
      <c r="BE2887" s="32"/>
      <c r="BF2887" s="32"/>
      <c r="BG2887" s="32"/>
      <c r="BH2887" s="32"/>
      <c r="BI2887" s="32"/>
      <c r="BJ2887" s="32"/>
      <c r="BK2887" s="32"/>
      <c r="BL2887" s="32"/>
      <c r="BM2887" s="32"/>
      <c r="BN2887" s="32"/>
      <c r="BO2887" s="32"/>
      <c r="BP2887" s="32"/>
      <c r="BQ2887" s="32"/>
      <c r="BR2887" s="32"/>
      <c r="BS2887" s="32"/>
      <c r="BT2887" s="32"/>
      <c r="BU2887" s="32"/>
      <c r="BV2887" s="32"/>
      <c r="BW2887" s="32"/>
      <c r="BX2887" s="32"/>
      <c r="BY2887" s="32"/>
      <c r="BZ2887" s="32"/>
      <c r="CA2887" s="32"/>
      <c r="CB2887" s="32"/>
      <c r="CC2887" s="32"/>
      <c r="CD2887" s="32"/>
    </row>
    <row r="2888" ht="15.75" hidden="1" customHeight="1" outlineLevel="1">
      <c r="A2888" s="365"/>
      <c r="B2888" s="38"/>
      <c r="C2888" s="374"/>
      <c r="D2888" s="374"/>
      <c r="E2888" s="374"/>
      <c r="F2888" s="374"/>
      <c r="G2888" s="374"/>
      <c r="H2888" s="374"/>
      <c r="I2888" s="374"/>
      <c r="J2888" s="374"/>
      <c r="K2888" s="374"/>
      <c r="L2888" s="374"/>
      <c r="M2888" s="374"/>
      <c r="N2888" s="374"/>
      <c r="O2888" s="374"/>
      <c r="P2888" s="374"/>
      <c r="Q2888" s="374"/>
      <c r="R2888" s="374"/>
      <c r="S2888" s="38"/>
      <c r="T2888" s="38"/>
      <c r="U2888" s="38"/>
      <c r="V2888" s="373">
        <f>PPMT('Assumptions (T&amp;D)'!$C$20,Model!W$1,'Assumptions (T&amp;D)'!$C$23,Model!$V$2866)</f>
        <v>-0.1016081297</v>
      </c>
      <c r="W2888" s="373">
        <f>PPMT('Assumptions (T&amp;D)'!$C$20,Model!X$1,'Assumptions (T&amp;D)'!$C$23,Model!$V$2866)</f>
        <v>-0.1064345158</v>
      </c>
      <c r="X2888" s="373">
        <f>PPMT('Assumptions (T&amp;D)'!$C$20,Model!Y$1,'Assumptions (T&amp;D)'!$C$23,Model!$V$2866)</f>
        <v>-0.1114901553</v>
      </c>
      <c r="Y2888" s="373">
        <f>PPMT('Assumptions (T&amp;D)'!$C$20,Model!Z$1,'Assumptions (T&amp;D)'!$C$23,Model!$V$2866)</f>
        <v>-0.1167859377</v>
      </c>
      <c r="Z2888" s="373">
        <f>PPMT('Assumptions (T&amp;D)'!$C$20,Model!AA$1,'Assumptions (T&amp;D)'!$C$23,Model!$V$2866)</f>
        <v>-0.1223332697</v>
      </c>
      <c r="AA2888" s="373">
        <f>PPMT('Assumptions (T&amp;D)'!$C$20,Model!AB$1,'Assumptions (T&amp;D)'!$C$23,Model!$V$2866)</f>
        <v>-0.1281441</v>
      </c>
      <c r="AB2888" s="373">
        <f>PPMT('Assumptions (T&amp;D)'!$C$20,Model!AC$1,'Assumptions (T&amp;D)'!$C$23,Model!$V$2866)</f>
        <v>-0.1342309448</v>
      </c>
      <c r="AC2888" s="373">
        <f>PPMT('Assumptions (T&amp;D)'!$C$20,Model!AD$1,'Assumptions (T&amp;D)'!$C$23,Model!$V$2866)</f>
        <v>-0.1406069147</v>
      </c>
      <c r="AD2888" s="373">
        <f>PPMT('Assumptions (T&amp;D)'!$C$20,Model!AE$1,'Assumptions (T&amp;D)'!$C$23,Model!$V$2866)</f>
        <v>-0.1472857431</v>
      </c>
      <c r="AE2888" s="373">
        <f>PPMT('Assumptions (T&amp;D)'!$C$20,Model!AF$1,'Assumptions (T&amp;D)'!$C$23,Model!$V$2866)</f>
        <v>-0.1542818159</v>
      </c>
      <c r="AF2888" s="373">
        <f>PPMT('Assumptions (T&amp;D)'!$C$20,Model!AG$1,'Assumptions (T&amp;D)'!$C$23,Model!$V$2866)</f>
        <v>-0.1616102022</v>
      </c>
      <c r="AG2888" s="373">
        <f>PPMT('Assumptions (T&amp;D)'!$C$20,Model!AH$1,'Assumptions (T&amp;D)'!$C$23,Model!$V$2866)</f>
        <v>-0.1692866868</v>
      </c>
      <c r="AH2888" s="373">
        <f>PPMT('Assumptions (T&amp;D)'!$C$20,Model!AI$1,'Assumptions (T&amp;D)'!$C$23,Model!$V$2866)</f>
        <v>-0.1773278044</v>
      </c>
      <c r="AI2888" s="373">
        <f>PPMT('Assumptions (T&amp;D)'!$C$20,Model!AJ$1,'Assumptions (T&amp;D)'!$C$23,Model!$V$2866)</f>
        <v>-0.1857508751</v>
      </c>
      <c r="AJ2888" s="373">
        <f>PPMT('Assumptions (T&amp;D)'!$C$20,Model!AK$1,'Assumptions (T&amp;D)'!$C$23,Model!$V$2866)</f>
        <v>-0.1945740417</v>
      </c>
      <c r="AK2888" s="374"/>
      <c r="AL2888" s="374"/>
      <c r="AM2888" s="374"/>
      <c r="AN2888" s="374"/>
      <c r="AO2888" s="374"/>
      <c r="AP2888" s="374"/>
      <c r="AQ2888" s="374"/>
      <c r="AR2888" s="374"/>
      <c r="AS2888" s="374"/>
      <c r="AT2888" s="374"/>
      <c r="AU2888" s="32"/>
      <c r="AV2888" s="32"/>
      <c r="AW2888" s="32"/>
      <c r="AX2888" s="32"/>
      <c r="AY2888" s="32"/>
      <c r="AZ2888" s="32"/>
      <c r="BA2888" s="32"/>
      <c r="BB2888" s="32"/>
      <c r="BC2888" s="32"/>
      <c r="BD2888" s="32"/>
      <c r="BE2888" s="32"/>
      <c r="BF2888" s="32"/>
      <c r="BG2888" s="32"/>
      <c r="BH2888" s="32"/>
      <c r="BI2888" s="32"/>
      <c r="BJ2888" s="32"/>
      <c r="BK2888" s="32"/>
      <c r="BL2888" s="32"/>
      <c r="BM2888" s="32"/>
      <c r="BN2888" s="32"/>
      <c r="BO2888" s="32"/>
      <c r="BP2888" s="32"/>
      <c r="BQ2888" s="32"/>
      <c r="BR2888" s="32"/>
      <c r="BS2888" s="32"/>
      <c r="BT2888" s="32"/>
      <c r="BU2888" s="32"/>
      <c r="BV2888" s="32"/>
      <c r="BW2888" s="32"/>
      <c r="BX2888" s="32"/>
      <c r="BY2888" s="32"/>
      <c r="BZ2888" s="32"/>
      <c r="CA2888" s="32"/>
      <c r="CB2888" s="32"/>
      <c r="CC2888" s="32"/>
      <c r="CD2888" s="32"/>
    </row>
    <row r="2889" ht="15.75" hidden="1" customHeight="1" outlineLevel="1">
      <c r="A2889" s="365"/>
      <c r="B2889" s="38"/>
      <c r="C2889" s="374"/>
      <c r="D2889" s="374"/>
      <c r="E2889" s="374"/>
      <c r="F2889" s="374"/>
      <c r="G2889" s="374"/>
      <c r="H2889" s="374"/>
      <c r="I2889" s="374"/>
      <c r="J2889" s="374"/>
      <c r="K2889" s="374"/>
      <c r="L2889" s="374"/>
      <c r="M2889" s="374"/>
      <c r="N2889" s="374"/>
      <c r="O2889" s="374"/>
      <c r="P2889" s="374"/>
      <c r="Q2889" s="374"/>
      <c r="R2889" s="374"/>
      <c r="S2889" s="38"/>
      <c r="T2889" s="38"/>
      <c r="U2889" s="38"/>
      <c r="V2889" s="38"/>
      <c r="W2889" s="373">
        <f>PPMT('Assumptions (T&amp;D)'!$C$20,Model!W$1,'Assumptions (T&amp;D)'!$C$23,Model!$W$2866)</f>
        <v>-0.103614684</v>
      </c>
      <c r="X2889" s="373">
        <f>PPMT('Assumptions (T&amp;D)'!$C$20,Model!X$1,'Assumptions (T&amp;D)'!$C$23,Model!$W$2866)</f>
        <v>-0.1085363815</v>
      </c>
      <c r="Y2889" s="373">
        <f>PPMT('Assumptions (T&amp;D)'!$C$20,Model!Y$1,'Assumptions (T&amp;D)'!$C$23,Model!$W$2866)</f>
        <v>-0.1136918596</v>
      </c>
      <c r="Z2889" s="373">
        <f>PPMT('Assumptions (T&amp;D)'!$C$20,Model!Z$1,'Assumptions (T&amp;D)'!$C$23,Model!$W$2866)</f>
        <v>-0.1190922229</v>
      </c>
      <c r="AA2889" s="373">
        <f>PPMT('Assumptions (T&amp;D)'!$C$20,Model!AA$1,'Assumptions (T&amp;D)'!$C$23,Model!$W$2866)</f>
        <v>-0.1247491035</v>
      </c>
      <c r="AB2889" s="373">
        <f>PPMT('Assumptions (T&amp;D)'!$C$20,Model!AB$1,'Assumptions (T&amp;D)'!$C$23,Model!$W$2866)</f>
        <v>-0.1306746859</v>
      </c>
      <c r="AC2889" s="373">
        <f>PPMT('Assumptions (T&amp;D)'!$C$20,Model!AC$1,'Assumptions (T&amp;D)'!$C$23,Model!$W$2866)</f>
        <v>-0.1368817335</v>
      </c>
      <c r="AD2889" s="373">
        <f>PPMT('Assumptions (T&amp;D)'!$C$20,Model!AD$1,'Assumptions (T&amp;D)'!$C$23,Model!$W$2866)</f>
        <v>-0.1433836159</v>
      </c>
      <c r="AE2889" s="373">
        <f>PPMT('Assumptions (T&amp;D)'!$C$20,Model!AE$1,'Assumptions (T&amp;D)'!$C$23,Model!$W$2866)</f>
        <v>-0.1501943376</v>
      </c>
      <c r="AF2889" s="373">
        <f>PPMT('Assumptions (T&amp;D)'!$C$20,Model!AF$1,'Assumptions (T&amp;D)'!$C$23,Model!$W$2866)</f>
        <v>-0.1573285686</v>
      </c>
      <c r="AG2889" s="373">
        <f>PPMT('Assumptions (T&amp;D)'!$C$20,Model!AG$1,'Assumptions (T&amp;D)'!$C$23,Model!$W$2866)</f>
        <v>-0.1648016757</v>
      </c>
      <c r="AH2889" s="373">
        <f>PPMT('Assumptions (T&amp;D)'!$C$20,Model!AH$1,'Assumptions (T&amp;D)'!$C$23,Model!$W$2866)</f>
        <v>-0.1726297552</v>
      </c>
      <c r="AI2889" s="373">
        <f>PPMT('Assumptions (T&amp;D)'!$C$20,Model!AI$1,'Assumptions (T&amp;D)'!$C$23,Model!$W$2866)</f>
        <v>-0.1808296686</v>
      </c>
      <c r="AJ2889" s="373">
        <f>PPMT('Assumptions (T&amp;D)'!$C$20,Model!AJ$1,'Assumptions (T&amp;D)'!$C$23,Model!$W$2866)</f>
        <v>-0.1894190779</v>
      </c>
      <c r="AK2889" s="373">
        <f>PPMT('Assumptions (T&amp;D)'!$C$20,Model!AK$1,'Assumptions (T&amp;D)'!$C$23,Model!$W$2866)</f>
        <v>-0.1984164841</v>
      </c>
      <c r="AL2889" s="374"/>
      <c r="AM2889" s="374"/>
      <c r="AN2889" s="374"/>
      <c r="AO2889" s="374"/>
      <c r="AP2889" s="374"/>
      <c r="AQ2889" s="374"/>
      <c r="AR2889" s="374"/>
      <c r="AS2889" s="374"/>
      <c r="AT2889" s="374"/>
      <c r="AU2889" s="374"/>
      <c r="AV2889" s="32"/>
      <c r="AW2889" s="32"/>
      <c r="AX2889" s="32"/>
      <c r="AY2889" s="32"/>
      <c r="AZ2889" s="32"/>
      <c r="BA2889" s="32"/>
      <c r="BB2889" s="32"/>
      <c r="BC2889" s="32"/>
      <c r="BD2889" s="32"/>
      <c r="BE2889" s="32"/>
      <c r="BF2889" s="32"/>
      <c r="BG2889" s="32"/>
      <c r="BH2889" s="32"/>
      <c r="BI2889" s="32"/>
      <c r="BJ2889" s="32"/>
      <c r="BK2889" s="32"/>
      <c r="BL2889" s="32"/>
      <c r="BM2889" s="32"/>
      <c r="BN2889" s="32"/>
      <c r="BO2889" s="32"/>
      <c r="BP2889" s="32"/>
      <c r="BQ2889" s="32"/>
      <c r="BR2889" s="32"/>
      <c r="BS2889" s="32"/>
      <c r="BT2889" s="32"/>
      <c r="BU2889" s="32"/>
      <c r="BV2889" s="32"/>
      <c r="BW2889" s="32"/>
      <c r="BX2889" s="32"/>
      <c r="BY2889" s="32"/>
      <c r="BZ2889" s="32"/>
      <c r="CA2889" s="32"/>
      <c r="CB2889" s="32"/>
      <c r="CC2889" s="32"/>
      <c r="CD2889" s="32"/>
    </row>
    <row r="2890" ht="15.75" hidden="1" customHeight="1" outlineLevel="1">
      <c r="A2890" s="365"/>
      <c r="B2890" s="38"/>
      <c r="C2890" s="374"/>
      <c r="D2890" s="374"/>
      <c r="E2890" s="374"/>
      <c r="F2890" s="374"/>
      <c r="G2890" s="374"/>
      <c r="H2890" s="374"/>
      <c r="I2890" s="374"/>
      <c r="J2890" s="374"/>
      <c r="K2890" s="374"/>
      <c r="L2890" s="374"/>
      <c r="M2890" s="374"/>
      <c r="N2890" s="374"/>
      <c r="O2890" s="374"/>
      <c r="P2890" s="374"/>
      <c r="Q2890" s="374"/>
      <c r="R2890" s="374"/>
      <c r="S2890" s="38"/>
      <c r="T2890" s="38"/>
      <c r="U2890" s="38"/>
      <c r="V2890" s="38"/>
      <c r="W2890" s="38"/>
      <c r="X2890" s="373">
        <f>PPMT('Assumptions (T&amp;D)'!$C$20,Model!W$1,'Assumptions (T&amp;D)'!$C$23,Model!$X$2866)</f>
        <v>-0.1074104421</v>
      </c>
      <c r="Y2890" s="373">
        <f>PPMT('Assumptions (T&amp;D)'!$C$20,Model!X$1,'Assumptions (T&amp;D)'!$C$23,Model!$X$2866)</f>
        <v>-0.112512438</v>
      </c>
      <c r="Z2890" s="373">
        <f>PPMT('Assumptions (T&amp;D)'!$C$20,Model!Y$1,'Assumptions (T&amp;D)'!$C$23,Model!$X$2866)</f>
        <v>-0.1178567789</v>
      </c>
      <c r="AA2890" s="373">
        <f>PPMT('Assumptions (T&amp;D)'!$C$20,Model!Z$1,'Assumptions (T&amp;D)'!$C$23,Model!$X$2866)</f>
        <v>-0.1234549759</v>
      </c>
      <c r="AB2890" s="373">
        <f>PPMT('Assumptions (T&amp;D)'!$C$20,Model!AA$1,'Assumptions (T&amp;D)'!$C$23,Model!$X$2866)</f>
        <v>-0.1293190872</v>
      </c>
      <c r="AC2890" s="373">
        <f>PPMT('Assumptions (T&amp;D)'!$C$20,Model!AB$1,'Assumptions (T&amp;D)'!$C$23,Model!$X$2866)</f>
        <v>-0.1354617438</v>
      </c>
      <c r="AD2890" s="373">
        <f>PPMT('Assumptions (T&amp;D)'!$C$20,Model!AC$1,'Assumptions (T&amp;D)'!$C$23,Model!$X$2866)</f>
        <v>-0.1418961767</v>
      </c>
      <c r="AE2890" s="373">
        <f>PPMT('Assumptions (T&amp;D)'!$C$20,Model!AD$1,'Assumptions (T&amp;D)'!$C$23,Model!$X$2866)</f>
        <v>-0.1486362451</v>
      </c>
      <c r="AF2890" s="373">
        <f>PPMT('Assumptions (T&amp;D)'!$C$20,Model!AE$1,'Assumptions (T&amp;D)'!$C$23,Model!$X$2866)</f>
        <v>-0.1556964667</v>
      </c>
      <c r="AG2890" s="373">
        <f>PPMT('Assumptions (T&amp;D)'!$C$20,Model!AF$1,'Assumptions (T&amp;D)'!$C$23,Model!$X$2866)</f>
        <v>-0.1630920489</v>
      </c>
      <c r="AH2890" s="373">
        <f>PPMT('Assumptions (T&amp;D)'!$C$20,Model!AG$1,'Assumptions (T&amp;D)'!$C$23,Model!$X$2866)</f>
        <v>-0.1708389212</v>
      </c>
      <c r="AI2890" s="373">
        <f>PPMT('Assumptions (T&amp;D)'!$C$20,Model!AH$1,'Assumptions (T&amp;D)'!$C$23,Model!$X$2866)</f>
        <v>-0.17895377</v>
      </c>
      <c r="AJ2890" s="373">
        <f>PPMT('Assumptions (T&amp;D)'!$C$20,Model!AI$1,'Assumptions (T&amp;D)'!$C$23,Model!$X$2866)</f>
        <v>-0.187454074</v>
      </c>
      <c r="AK2890" s="373">
        <f>PPMT('Assumptions (T&amp;D)'!$C$20,Model!AJ$1,'Assumptions (T&amp;D)'!$C$23,Model!$X$2866)</f>
        <v>-0.1963581426</v>
      </c>
      <c r="AL2890" s="373">
        <f>PPMT('Assumptions (T&amp;D)'!$C$20,Model!AK$1,'Assumptions (T&amp;D)'!$C$23,Model!$X$2866)</f>
        <v>-0.2056851543</v>
      </c>
      <c r="AM2890" s="374"/>
      <c r="AN2890" s="374"/>
      <c r="AO2890" s="374"/>
      <c r="AP2890" s="374"/>
      <c r="AQ2890" s="374"/>
      <c r="AR2890" s="374"/>
      <c r="AS2890" s="374"/>
      <c r="AT2890" s="374"/>
      <c r="AU2890" s="374"/>
      <c r="AV2890" s="374"/>
      <c r="AW2890" s="32"/>
      <c r="AX2890" s="32"/>
      <c r="AY2890" s="32"/>
      <c r="AZ2890" s="32"/>
      <c r="BA2890" s="32"/>
      <c r="BB2890" s="32"/>
      <c r="BC2890" s="32"/>
      <c r="BD2890" s="32"/>
      <c r="BE2890" s="32"/>
      <c r="BF2890" s="32"/>
      <c r="BG2890" s="32"/>
      <c r="BH2890" s="32"/>
      <c r="BI2890" s="32"/>
      <c r="BJ2890" s="32"/>
      <c r="BK2890" s="32"/>
      <c r="BL2890" s="32"/>
      <c r="BM2890" s="32"/>
      <c r="BN2890" s="32"/>
      <c r="BO2890" s="32"/>
      <c r="BP2890" s="32"/>
      <c r="BQ2890" s="32"/>
      <c r="BR2890" s="32"/>
      <c r="BS2890" s="32"/>
      <c r="BT2890" s="32"/>
      <c r="BU2890" s="32"/>
      <c r="BV2890" s="32"/>
      <c r="BW2890" s="32"/>
      <c r="BX2890" s="32"/>
      <c r="BY2890" s="32"/>
      <c r="BZ2890" s="32"/>
      <c r="CA2890" s="32"/>
      <c r="CB2890" s="32"/>
      <c r="CC2890" s="32"/>
      <c r="CD2890" s="32"/>
    </row>
    <row r="2891" ht="15.75" hidden="1" customHeight="1" outlineLevel="1">
      <c r="A2891" s="365"/>
      <c r="B2891" s="38"/>
      <c r="C2891" s="374"/>
      <c r="D2891" s="374"/>
      <c r="E2891" s="374"/>
      <c r="F2891" s="374"/>
      <c r="G2891" s="374"/>
      <c r="H2891" s="374"/>
      <c r="I2891" s="374"/>
      <c r="J2891" s="374"/>
      <c r="K2891" s="374"/>
      <c r="L2891" s="374"/>
      <c r="M2891" s="374"/>
      <c r="N2891" s="374"/>
      <c r="O2891" s="374"/>
      <c r="P2891" s="374"/>
      <c r="Q2891" s="374"/>
      <c r="R2891" s="374"/>
      <c r="S2891" s="38"/>
      <c r="T2891" s="38"/>
      <c r="U2891" s="38"/>
      <c r="V2891" s="38"/>
      <c r="W2891" s="38"/>
      <c r="X2891" s="32"/>
      <c r="Y2891" s="373">
        <f>PPMT('Assumptions (T&amp;D)'!$C$20,Model!W$1,'Assumptions (T&amp;D)'!$C$23,Model!$Y$2866)</f>
        <v>-0.1104236448</v>
      </c>
      <c r="Z2891" s="373">
        <f>PPMT('Assumptions (T&amp;D)'!$C$20,Model!X$1,'Assumptions (T&amp;D)'!$C$23,Model!$Y$2866)</f>
        <v>-0.1156687679</v>
      </c>
      <c r="AA2891" s="373">
        <f>PPMT('Assumptions (T&amp;D)'!$C$20,Model!Y$1,'Assumptions (T&amp;D)'!$C$23,Model!$Y$2866)</f>
        <v>-0.1211630344</v>
      </c>
      <c r="AB2891" s="373">
        <f>PPMT('Assumptions (T&amp;D)'!$C$20,Model!Z$1,'Assumptions (T&amp;D)'!$C$23,Model!$Y$2866)</f>
        <v>-0.1269182785</v>
      </c>
      <c r="AC2891" s="373">
        <f>PPMT('Assumptions (T&amp;D)'!$C$20,Model!AA$1,'Assumptions (T&amp;D)'!$C$23,Model!$Y$2866)</f>
        <v>-0.1329468967</v>
      </c>
      <c r="AD2891" s="373">
        <f>PPMT('Assumptions (T&amp;D)'!$C$20,Model!AB$1,'Assumptions (T&amp;D)'!$C$23,Model!$Y$2866)</f>
        <v>-0.1392618743</v>
      </c>
      <c r="AE2891" s="373">
        <f>PPMT('Assumptions (T&amp;D)'!$C$20,Model!AC$1,'Assumptions (T&amp;D)'!$C$23,Model!$Y$2866)</f>
        <v>-0.1458768134</v>
      </c>
      <c r="AF2891" s="373">
        <f>PPMT('Assumptions (T&amp;D)'!$C$20,Model!AD$1,'Assumptions (T&amp;D)'!$C$23,Model!$Y$2866)</f>
        <v>-0.152805962</v>
      </c>
      <c r="AG2891" s="373">
        <f>PPMT('Assumptions (T&amp;D)'!$C$20,Model!AE$1,'Assumptions (T&amp;D)'!$C$23,Model!$Y$2866)</f>
        <v>-0.1600642452</v>
      </c>
      <c r="AH2891" s="373">
        <f>PPMT('Assumptions (T&amp;D)'!$C$20,Model!AF$1,'Assumptions (T&amp;D)'!$C$23,Model!$Y$2866)</f>
        <v>-0.1676672968</v>
      </c>
      <c r="AI2891" s="373">
        <f>PPMT('Assumptions (T&amp;D)'!$C$20,Model!AG$1,'Assumptions (T&amp;D)'!$C$23,Model!$Y$2866)</f>
        <v>-0.1756314934</v>
      </c>
      <c r="AJ2891" s="373">
        <f>PPMT('Assumptions (T&amp;D)'!$C$20,Model!AH$1,'Assumptions (T&amp;D)'!$C$23,Model!$Y$2866)</f>
        <v>-0.1839739894</v>
      </c>
      <c r="AK2891" s="373">
        <f>PPMT('Assumptions (T&amp;D)'!$C$20,Model!AI$1,'Assumptions (T&amp;D)'!$C$23,Model!$Y$2866)</f>
        <v>-0.1927127539</v>
      </c>
      <c r="AL2891" s="373">
        <f>PPMT('Assumptions (T&amp;D)'!$C$20,Model!AJ$1,'Assumptions (T&amp;D)'!$C$23,Model!$Y$2866)</f>
        <v>-0.2018666097</v>
      </c>
      <c r="AM2891" s="373">
        <f>PPMT('Assumptions (T&amp;D)'!$C$20,Model!AK$1,'Assumptions (T&amp;D)'!$C$23,Model!$Y$2866)</f>
        <v>-0.2114552736</v>
      </c>
      <c r="AN2891" s="374"/>
      <c r="AO2891" s="374"/>
      <c r="AP2891" s="374"/>
      <c r="AQ2891" s="374"/>
      <c r="AR2891" s="374"/>
      <c r="AS2891" s="374"/>
      <c r="AT2891" s="374"/>
      <c r="AU2891" s="374"/>
      <c r="AV2891" s="374"/>
      <c r="AW2891" s="374"/>
      <c r="AX2891" s="32"/>
      <c r="AY2891" s="32"/>
      <c r="AZ2891" s="32"/>
      <c r="BA2891" s="32"/>
      <c r="BB2891" s="32"/>
      <c r="BC2891" s="32"/>
      <c r="BD2891" s="32"/>
      <c r="BE2891" s="32"/>
      <c r="BF2891" s="32"/>
      <c r="BG2891" s="32"/>
      <c r="BH2891" s="32"/>
      <c r="BI2891" s="32"/>
      <c r="BJ2891" s="32"/>
      <c r="BK2891" s="32"/>
      <c r="BL2891" s="32"/>
      <c r="BM2891" s="32"/>
      <c r="BN2891" s="32"/>
      <c r="BO2891" s="32"/>
      <c r="BP2891" s="32"/>
      <c r="BQ2891" s="32"/>
      <c r="BR2891" s="32"/>
      <c r="BS2891" s="32"/>
      <c r="BT2891" s="32"/>
      <c r="BU2891" s="32"/>
      <c r="BV2891" s="32"/>
      <c r="BW2891" s="32"/>
      <c r="BX2891" s="32"/>
      <c r="BY2891" s="32"/>
      <c r="BZ2891" s="32"/>
      <c r="CA2891" s="32"/>
      <c r="CB2891" s="32"/>
      <c r="CC2891" s="32"/>
      <c r="CD2891" s="32"/>
    </row>
    <row r="2892" ht="15.75" hidden="1" customHeight="1" outlineLevel="1">
      <c r="A2892" s="365"/>
      <c r="B2892" s="38"/>
      <c r="C2892" s="374"/>
      <c r="D2892" s="374"/>
      <c r="E2892" s="374"/>
      <c r="F2892" s="374"/>
      <c r="G2892" s="374"/>
      <c r="H2892" s="374"/>
      <c r="I2892" s="374"/>
      <c r="J2892" s="374"/>
      <c r="K2892" s="374"/>
      <c r="L2892" s="374"/>
      <c r="M2892" s="374"/>
      <c r="N2892" s="374"/>
      <c r="O2892" s="374"/>
      <c r="P2892" s="374"/>
      <c r="Q2892" s="374"/>
      <c r="R2892" s="374"/>
      <c r="S2892" s="38"/>
      <c r="T2892" s="38"/>
      <c r="U2892" s="38"/>
      <c r="V2892" s="38"/>
      <c r="W2892" s="38"/>
      <c r="X2892" s="32"/>
      <c r="Y2892" s="32"/>
      <c r="Z2892" s="373">
        <f>PPMT('Assumptions (T&amp;D)'!$C$20,Model!W$1,'Assumptions (T&amp;D)'!$C$23,Model!$Z$2866)</f>
        <v>-0.1135139686</v>
      </c>
      <c r="AA2892" s="373">
        <f>PPMT('Assumptions (T&amp;D)'!$C$20,Model!X$1,'Assumptions (T&amp;D)'!$C$23,Model!$Z$2866)</f>
        <v>-0.1189058821</v>
      </c>
      <c r="AB2892" s="373">
        <f>PPMT('Assumptions (T&amp;D)'!$C$20,Model!Y$1,'Assumptions (T&amp;D)'!$C$23,Model!$Z$2866)</f>
        <v>-0.1245539115</v>
      </c>
      <c r="AC2892" s="373">
        <f>PPMT('Assumptions (T&amp;D)'!$C$20,Model!Z$1,'Assumptions (T&amp;D)'!$C$23,Model!$Z$2866)</f>
        <v>-0.1304702223</v>
      </c>
      <c r="AD2892" s="373">
        <f>PPMT('Assumptions (T&amp;D)'!$C$20,Model!AA$1,'Assumptions (T&amp;D)'!$C$23,Model!$Z$2866)</f>
        <v>-0.1366675578</v>
      </c>
      <c r="AE2892" s="373">
        <f>PPMT('Assumptions (T&amp;D)'!$C$20,Model!AB$1,'Assumptions (T&amp;D)'!$C$23,Model!$Z$2866)</f>
        <v>-0.1431592668</v>
      </c>
      <c r="AF2892" s="373">
        <f>PPMT('Assumptions (T&amp;D)'!$C$20,Model!AC$1,'Assumptions (T&amp;D)'!$C$23,Model!$Z$2866)</f>
        <v>-0.149959332</v>
      </c>
      <c r="AG2892" s="373">
        <f>PPMT('Assumptions (T&amp;D)'!$C$20,Model!AD$1,'Assumptions (T&amp;D)'!$C$23,Model!$Z$2866)</f>
        <v>-0.1570824003</v>
      </c>
      <c r="AH2892" s="373">
        <f>PPMT('Assumptions (T&amp;D)'!$C$20,Model!AE$1,'Assumptions (T&amp;D)'!$C$23,Model!$Z$2866)</f>
        <v>-0.1645438143</v>
      </c>
      <c r="AI2892" s="373">
        <f>PPMT('Assumptions (T&amp;D)'!$C$20,Model!AF$1,'Assumptions (T&amp;D)'!$C$23,Model!$Z$2866)</f>
        <v>-0.1723596455</v>
      </c>
      <c r="AJ2892" s="373">
        <f>PPMT('Assumptions (T&amp;D)'!$C$20,Model!AG$1,'Assumptions (T&amp;D)'!$C$23,Model!$Z$2866)</f>
        <v>-0.1805467286</v>
      </c>
      <c r="AK2892" s="373">
        <f>PPMT('Assumptions (T&amp;D)'!$C$20,Model!AH$1,'Assumptions (T&amp;D)'!$C$23,Model!$Z$2866)</f>
        <v>-0.1891226983</v>
      </c>
      <c r="AL2892" s="373">
        <f>PPMT('Assumptions (T&amp;D)'!$C$20,Model!AI$1,'Assumptions (T&amp;D)'!$C$23,Model!$Z$2866)</f>
        <v>-0.1981060264</v>
      </c>
      <c r="AM2892" s="373">
        <f>PPMT('Assumptions (T&amp;D)'!$C$20,Model!AJ$1,'Assumptions (T&amp;D)'!$C$23,Model!$Z$2866)</f>
        <v>-0.2075160627</v>
      </c>
      <c r="AN2892" s="373">
        <f>PPMT('Assumptions (T&amp;D)'!$C$20,Model!AK$1,'Assumptions (T&amp;D)'!$C$23,Model!$Z$2866)</f>
        <v>-0.2173730756</v>
      </c>
      <c r="AO2892" s="374"/>
      <c r="AP2892" s="374"/>
      <c r="AQ2892" s="374"/>
      <c r="AR2892" s="374"/>
      <c r="AS2892" s="374"/>
      <c r="AT2892" s="374"/>
      <c r="AU2892" s="374"/>
      <c r="AV2892" s="374"/>
      <c r="AW2892" s="374"/>
      <c r="AX2892" s="374"/>
      <c r="AY2892" s="32"/>
      <c r="AZ2892" s="32"/>
      <c r="BA2892" s="32"/>
      <c r="BB2892" s="32"/>
      <c r="BC2892" s="32"/>
      <c r="BD2892" s="32"/>
      <c r="BE2892" s="32"/>
      <c r="BF2892" s="32"/>
      <c r="BG2892" s="32"/>
      <c r="BH2892" s="32"/>
      <c r="BI2892" s="32"/>
      <c r="BJ2892" s="32"/>
      <c r="BK2892" s="32"/>
      <c r="BL2892" s="32"/>
      <c r="BM2892" s="32"/>
      <c r="BN2892" s="32"/>
      <c r="BO2892" s="32"/>
      <c r="BP2892" s="32"/>
      <c r="BQ2892" s="32"/>
      <c r="BR2892" s="32"/>
      <c r="BS2892" s="32"/>
      <c r="BT2892" s="32"/>
      <c r="BU2892" s="32"/>
      <c r="BV2892" s="32"/>
      <c r="BW2892" s="32"/>
      <c r="BX2892" s="32"/>
      <c r="BY2892" s="32"/>
      <c r="BZ2892" s="32"/>
      <c r="CA2892" s="32"/>
      <c r="CB2892" s="32"/>
      <c r="CC2892" s="32"/>
      <c r="CD2892" s="32"/>
    </row>
    <row r="2893" ht="15.75" hidden="1" customHeight="1" outlineLevel="1">
      <c r="A2893" s="365"/>
      <c r="B2893" s="38"/>
      <c r="C2893" s="374"/>
      <c r="D2893" s="374"/>
      <c r="E2893" s="374"/>
      <c r="F2893" s="374"/>
      <c r="G2893" s="374"/>
      <c r="H2893" s="374"/>
      <c r="I2893" s="374"/>
      <c r="J2893" s="374"/>
      <c r="K2893" s="374"/>
      <c r="L2893" s="374"/>
      <c r="M2893" s="374"/>
      <c r="N2893" s="374"/>
      <c r="O2893" s="374"/>
      <c r="P2893" s="374"/>
      <c r="Q2893" s="374"/>
      <c r="R2893" s="374"/>
      <c r="S2893" s="38"/>
      <c r="T2893" s="38"/>
      <c r="U2893" s="38"/>
      <c r="V2893" s="38"/>
      <c r="W2893" s="38"/>
      <c r="X2893" s="32"/>
      <c r="Y2893" s="32"/>
      <c r="Z2893" s="32"/>
      <c r="AA2893" s="373">
        <f>PPMT('Assumptions (T&amp;D)'!$C$20,Model!W$1,'Assumptions (T&amp;D)'!$C$23,Model!$AA$2866)</f>
        <v>-0.1166832844</v>
      </c>
      <c r="AB2893" s="373">
        <f>PPMT('Assumptions (T&amp;D)'!$C$20,Model!X$1,'Assumptions (T&amp;D)'!$C$23,Model!$AA$2866)</f>
        <v>-0.1222257404</v>
      </c>
      <c r="AC2893" s="373">
        <f>PPMT('Assumptions (T&amp;D)'!$C$20,Model!Y$1,'Assumptions (T&amp;D)'!$C$23,Model!$AA$2866)</f>
        <v>-0.1280314631</v>
      </c>
      <c r="AD2893" s="373">
        <f>PPMT('Assumptions (T&amp;D)'!$C$20,Model!Z$1,'Assumptions (T&amp;D)'!$C$23,Model!$AA$2866)</f>
        <v>-0.1341129575</v>
      </c>
      <c r="AE2893" s="373">
        <f>PPMT('Assumptions (T&amp;D)'!$C$20,Model!AA$1,'Assumptions (T&amp;D)'!$C$23,Model!$AA$2866)</f>
        <v>-0.140483323</v>
      </c>
      <c r="AF2893" s="373">
        <f>PPMT('Assumptions (T&amp;D)'!$C$20,Model!AB$1,'Assumptions (T&amp;D)'!$C$23,Model!$AA$2866)</f>
        <v>-0.1471562809</v>
      </c>
      <c r="AG2893" s="373">
        <f>PPMT('Assumptions (T&amp;D)'!$C$20,Model!AC$1,'Assumptions (T&amp;D)'!$C$23,Model!$AA$2866)</f>
        <v>-0.1541462042</v>
      </c>
      <c r="AH2893" s="373">
        <f>PPMT('Assumptions (T&amp;D)'!$C$20,Model!AD$1,'Assumptions (T&amp;D)'!$C$23,Model!$AA$2866)</f>
        <v>-0.1614681489</v>
      </c>
      <c r="AI2893" s="373">
        <f>PPMT('Assumptions (T&amp;D)'!$C$20,Model!AE$1,'Assumptions (T&amp;D)'!$C$23,Model!$AA$2866)</f>
        <v>-0.169137886</v>
      </c>
      <c r="AJ2893" s="373">
        <f>PPMT('Assumptions (T&amp;D)'!$C$20,Model!AF$1,'Assumptions (T&amp;D)'!$C$23,Model!$AA$2866)</f>
        <v>-0.1771719356</v>
      </c>
      <c r="AK2893" s="373">
        <f>PPMT('Assumptions (T&amp;D)'!$C$20,Model!AG$1,'Assumptions (T&amp;D)'!$C$23,Model!$AA$2866)</f>
        <v>-0.1855876025</v>
      </c>
      <c r="AL2893" s="373">
        <f>PPMT('Assumptions (T&amp;D)'!$C$20,Model!AH$1,'Assumptions (T&amp;D)'!$C$23,Model!$AA$2866)</f>
        <v>-0.1944030136</v>
      </c>
      <c r="AM2893" s="373">
        <f>PPMT('Assumptions (T&amp;D)'!$C$20,Model!AI$1,'Assumptions (T&amp;D)'!$C$23,Model!$AA$2866)</f>
        <v>-0.2036371568</v>
      </c>
      <c r="AN2893" s="373">
        <f>PPMT('Assumptions (T&amp;D)'!$C$20,Model!AJ$1,'Assumptions (T&amp;D)'!$C$23,Model!$AA$2866)</f>
        <v>-0.2133099217</v>
      </c>
      <c r="AO2893" s="373">
        <f>PPMT('Assumptions (T&amp;D)'!$C$20,Model!AK$1,'Assumptions (T&amp;D)'!$C$23,Model!$AA$2866)</f>
        <v>-0.223442143</v>
      </c>
      <c r="AP2893" s="374"/>
      <c r="AQ2893" s="374"/>
      <c r="AR2893" s="374"/>
      <c r="AS2893" s="374"/>
      <c r="AT2893" s="374"/>
      <c r="AU2893" s="374"/>
      <c r="AV2893" s="374"/>
      <c r="AW2893" s="374"/>
      <c r="AX2893" s="374"/>
      <c r="AY2893" s="374"/>
      <c r="AZ2893" s="32"/>
      <c r="BA2893" s="32"/>
      <c r="BB2893" s="32"/>
      <c r="BC2893" s="32"/>
      <c r="BD2893" s="32"/>
      <c r="BE2893" s="32"/>
      <c r="BF2893" s="32"/>
      <c r="BG2893" s="32"/>
      <c r="BH2893" s="32"/>
      <c r="BI2893" s="32"/>
      <c r="BJ2893" s="32"/>
      <c r="BK2893" s="32"/>
      <c r="BL2893" s="32"/>
      <c r="BM2893" s="32"/>
      <c r="BN2893" s="32"/>
      <c r="BO2893" s="32"/>
      <c r="BP2893" s="32"/>
      <c r="BQ2893" s="32"/>
      <c r="BR2893" s="32"/>
      <c r="BS2893" s="32"/>
      <c r="BT2893" s="32"/>
      <c r="BU2893" s="32"/>
      <c r="BV2893" s="32"/>
      <c r="BW2893" s="32"/>
      <c r="BX2893" s="32"/>
      <c r="BY2893" s="32"/>
      <c r="BZ2893" s="32"/>
      <c r="CA2893" s="32"/>
      <c r="CB2893" s="32"/>
      <c r="CC2893" s="32"/>
      <c r="CD2893" s="32"/>
    </row>
    <row r="2894" ht="15.75" hidden="1" customHeight="1" outlineLevel="1">
      <c r="A2894" s="365"/>
      <c r="B2894" s="38"/>
      <c r="C2894" s="374"/>
      <c r="D2894" s="374"/>
      <c r="E2894" s="374"/>
      <c r="F2894" s="374"/>
      <c r="G2894" s="374"/>
      <c r="H2894" s="374"/>
      <c r="I2894" s="374"/>
      <c r="J2894" s="374"/>
      <c r="K2894" s="374"/>
      <c r="L2894" s="374"/>
      <c r="M2894" s="374"/>
      <c r="N2894" s="374"/>
      <c r="O2894" s="374"/>
      <c r="P2894" s="374"/>
      <c r="Q2894" s="374"/>
      <c r="R2894" s="374"/>
      <c r="S2894" s="38"/>
      <c r="T2894" s="38"/>
      <c r="U2894" s="38"/>
      <c r="V2894" s="38"/>
      <c r="W2894" s="38"/>
      <c r="X2894" s="32"/>
      <c r="Y2894" s="32"/>
      <c r="Z2894" s="32"/>
      <c r="AA2894" s="32"/>
      <c r="AB2894" s="373">
        <f>PPMT('Assumptions (T&amp;D)'!$C$20,Model!W$1,'Assumptions (T&amp;D)'!$C$23,Model!$AB$2866)</f>
        <v>-0.1199335068</v>
      </c>
      <c r="AC2894" s="373">
        <f>PPMT('Assumptions (T&amp;D)'!$C$20,Model!X$1,'Assumptions (T&amp;D)'!$C$23,Model!$AB$2866)</f>
        <v>-0.1256303484</v>
      </c>
      <c r="AD2894" s="373">
        <f>PPMT('Assumptions (T&amp;D)'!$C$20,Model!Y$1,'Assumptions (T&amp;D)'!$C$23,Model!$AB$2866)</f>
        <v>-0.13159779</v>
      </c>
      <c r="AE2894" s="373">
        <f>PPMT('Assumptions (T&amp;D)'!$C$20,Model!Z$1,'Assumptions (T&amp;D)'!$C$23,Model!$AB$2866)</f>
        <v>-0.137848685</v>
      </c>
      <c r="AF2894" s="373">
        <f>PPMT('Assumptions (T&amp;D)'!$C$20,Model!AA$1,'Assumptions (T&amp;D)'!$C$23,Model!$AB$2866)</f>
        <v>-0.1443964975</v>
      </c>
      <c r="AG2894" s="373">
        <f>PPMT('Assumptions (T&amp;D)'!$C$20,Model!AB$1,'Assumptions (T&amp;D)'!$C$23,Model!$AB$2866)</f>
        <v>-0.1512553311</v>
      </c>
      <c r="AH2894" s="373">
        <f>PPMT('Assumptions (T&amp;D)'!$C$20,Model!AC$1,'Assumptions (T&amp;D)'!$C$23,Model!$AB$2866)</f>
        <v>-0.1584399594</v>
      </c>
      <c r="AI2894" s="373">
        <f>PPMT('Assumptions (T&amp;D)'!$C$20,Model!AD$1,'Assumptions (T&amp;D)'!$C$23,Model!$AB$2866)</f>
        <v>-0.1659658574</v>
      </c>
      <c r="AJ2894" s="373">
        <f>PPMT('Assumptions (T&amp;D)'!$C$20,Model!AE$1,'Assumptions (T&amp;D)'!$C$23,Model!$AB$2866)</f>
        <v>-0.1738492357</v>
      </c>
      <c r="AK2894" s="373">
        <f>PPMT('Assumptions (T&amp;D)'!$C$20,Model!AF$1,'Assumptions (T&amp;D)'!$C$23,Model!$AB$2866)</f>
        <v>-0.1821070744</v>
      </c>
      <c r="AL2894" s="373">
        <f>PPMT('Assumptions (T&amp;D)'!$C$20,Model!AG$1,'Assumptions (T&amp;D)'!$C$23,Model!$AB$2866)</f>
        <v>-0.1907571604</v>
      </c>
      <c r="AM2894" s="373">
        <f>PPMT('Assumptions (T&amp;D)'!$C$20,Model!AH$1,'Assumptions (T&amp;D)'!$C$23,Model!$AB$2866)</f>
        <v>-0.1998181255</v>
      </c>
      <c r="AN2894" s="373">
        <f>PPMT('Assumptions (T&amp;D)'!$C$20,Model!AI$1,'Assumptions (T&amp;D)'!$C$23,Model!$AB$2866)</f>
        <v>-0.2093094865</v>
      </c>
      <c r="AO2894" s="373">
        <f>PPMT('Assumptions (T&amp;D)'!$C$20,Model!AJ$1,'Assumptions (T&amp;D)'!$C$23,Model!$AB$2866)</f>
        <v>-0.2192516871</v>
      </c>
      <c r="AP2894" s="373">
        <f>PPMT('Assumptions (T&amp;D)'!$C$20,Model!AK$1,'Assumptions (T&amp;D)'!$C$23,Model!$AB$2866)</f>
        <v>-0.2296661422</v>
      </c>
      <c r="AQ2894" s="374"/>
      <c r="AR2894" s="374"/>
      <c r="AS2894" s="374"/>
      <c r="AT2894" s="374"/>
      <c r="AU2894" s="374"/>
      <c r="AV2894" s="374"/>
      <c r="AW2894" s="374"/>
      <c r="AX2894" s="374"/>
      <c r="AY2894" s="374"/>
      <c r="AZ2894" s="374"/>
      <c r="BA2894" s="32"/>
      <c r="BB2894" s="32"/>
      <c r="BC2894" s="32"/>
      <c r="BD2894" s="32"/>
      <c r="BE2894" s="32"/>
      <c r="BF2894" s="32"/>
      <c r="BG2894" s="32"/>
      <c r="BH2894" s="32"/>
      <c r="BI2894" s="32"/>
      <c r="BJ2894" s="32"/>
      <c r="BK2894" s="32"/>
      <c r="BL2894" s="32"/>
      <c r="BM2894" s="32"/>
      <c r="BN2894" s="32"/>
      <c r="BO2894" s="32"/>
      <c r="BP2894" s="32"/>
      <c r="BQ2894" s="32"/>
      <c r="BR2894" s="32"/>
      <c r="BS2894" s="32"/>
      <c r="BT2894" s="32"/>
      <c r="BU2894" s="32"/>
      <c r="BV2894" s="32"/>
      <c r="BW2894" s="32"/>
      <c r="BX2894" s="32"/>
      <c r="BY2894" s="32"/>
      <c r="BZ2894" s="32"/>
      <c r="CA2894" s="32"/>
      <c r="CB2894" s="32"/>
      <c r="CC2894" s="32"/>
      <c r="CD2894" s="32"/>
    </row>
    <row r="2895" ht="15.75" hidden="1" customHeight="1" outlineLevel="1">
      <c r="A2895" s="365"/>
      <c r="B2895" s="38"/>
      <c r="C2895" s="374"/>
      <c r="D2895" s="374"/>
      <c r="E2895" s="374"/>
      <c r="F2895" s="374"/>
      <c r="G2895" s="374"/>
      <c r="H2895" s="374"/>
      <c r="I2895" s="374"/>
      <c r="J2895" s="374"/>
      <c r="K2895" s="374"/>
      <c r="L2895" s="374"/>
      <c r="M2895" s="374"/>
      <c r="N2895" s="374"/>
      <c r="O2895" s="374"/>
      <c r="P2895" s="374"/>
      <c r="Q2895" s="374"/>
      <c r="R2895" s="374"/>
      <c r="S2895" s="38"/>
      <c r="T2895" s="38"/>
      <c r="U2895" s="38"/>
      <c r="V2895" s="38"/>
      <c r="W2895" s="38"/>
      <c r="X2895" s="32"/>
      <c r="Y2895" s="32"/>
      <c r="Z2895" s="32"/>
      <c r="AA2895" s="32"/>
      <c r="AB2895" s="32"/>
      <c r="AC2895" s="373">
        <f>PPMT('Assumptions (T&amp;D)'!$C$20,Model!W$1,'Assumptions (T&amp;D)'!$C$23,Model!$AC$2866)</f>
        <v>-0.1232665955</v>
      </c>
      <c r="AD2895" s="373">
        <f>PPMT('Assumptions (T&amp;D)'!$C$20,Model!X$1,'Assumptions (T&amp;D)'!$C$23,Model!$AC$2866)</f>
        <v>-0.1291217587</v>
      </c>
      <c r="AE2895" s="373">
        <f>PPMT('Assumptions (T&amp;D)'!$C$20,Model!Y$1,'Assumptions (T&amp;D)'!$C$23,Model!$AC$2866)</f>
        <v>-0.1352550423</v>
      </c>
      <c r="AF2895" s="373">
        <f>PPMT('Assumptions (T&amp;D)'!$C$20,Model!Z$1,'Assumptions (T&amp;D)'!$C$23,Model!$AC$2866)</f>
        <v>-0.1416796568</v>
      </c>
      <c r="AG2895" s="373">
        <f>PPMT('Assumptions (T&amp;D)'!$C$20,Model!AA$1,'Assumptions (T&amp;D)'!$C$23,Model!$AC$2866)</f>
        <v>-0.1484094405</v>
      </c>
      <c r="AH2895" s="373">
        <f>PPMT('Assumptions (T&amp;D)'!$C$20,Model!AB$1,'Assumptions (T&amp;D)'!$C$23,Model!$AC$2866)</f>
        <v>-0.1554588889</v>
      </c>
      <c r="AI2895" s="373">
        <f>PPMT('Assumptions (T&amp;D)'!$C$20,Model!AC$1,'Assumptions (T&amp;D)'!$C$23,Model!$AC$2866)</f>
        <v>-0.1628431861</v>
      </c>
      <c r="AJ2895" s="373">
        <f>PPMT('Assumptions (T&amp;D)'!$C$20,Model!AD$1,'Assumptions (T&amp;D)'!$C$23,Model!$AC$2866)</f>
        <v>-0.1705782375</v>
      </c>
      <c r="AK2895" s="373">
        <f>PPMT('Assumptions (T&amp;D)'!$C$20,Model!AE$1,'Assumptions (T&amp;D)'!$C$23,Model!$AC$2866)</f>
        <v>-0.1786807038</v>
      </c>
      <c r="AL2895" s="373">
        <f>PPMT('Assumptions (T&amp;D)'!$C$20,Model!AF$1,'Assumptions (T&amp;D)'!$C$23,Model!$AC$2866)</f>
        <v>-0.1871680372</v>
      </c>
      <c r="AM2895" s="373">
        <f>PPMT('Assumptions (T&amp;D)'!$C$20,Model!AG$1,'Assumptions (T&amp;D)'!$C$23,Model!$AC$2866)</f>
        <v>-0.196058519</v>
      </c>
      <c r="AN2895" s="373">
        <f>PPMT('Assumptions (T&amp;D)'!$C$20,Model!AH$1,'Assumptions (T&amp;D)'!$C$23,Model!$AC$2866)</f>
        <v>-0.2053712986</v>
      </c>
      <c r="AO2895" s="373">
        <f>PPMT('Assumptions (T&amp;D)'!$C$20,Model!AI$1,'Assumptions (T&amp;D)'!$C$23,Model!$AC$2866)</f>
        <v>-0.2151264353</v>
      </c>
      <c r="AP2895" s="373">
        <f>PPMT('Assumptions (T&amp;D)'!$C$20,Model!AJ$1,'Assumptions (T&amp;D)'!$C$23,Model!$AC$2866)</f>
        <v>-0.225344941</v>
      </c>
      <c r="AQ2895" s="373">
        <f>PPMT('Assumptions (T&amp;D)'!$C$20,Model!AK$1,'Assumptions (T&amp;D)'!$C$23,Model!$AC$2866)</f>
        <v>-0.2360488257</v>
      </c>
      <c r="AR2895" s="374"/>
      <c r="AS2895" s="374"/>
      <c r="AT2895" s="374"/>
      <c r="AU2895" s="374"/>
      <c r="AV2895" s="374"/>
      <c r="AW2895" s="374"/>
      <c r="AX2895" s="374"/>
      <c r="AY2895" s="374"/>
      <c r="AZ2895" s="374"/>
      <c r="BA2895" s="374"/>
      <c r="BB2895" s="32"/>
      <c r="BC2895" s="32"/>
      <c r="BD2895" s="32"/>
      <c r="BE2895" s="32"/>
      <c r="BF2895" s="32"/>
      <c r="BG2895" s="32"/>
      <c r="BH2895" s="32"/>
      <c r="BI2895" s="32"/>
      <c r="BJ2895" s="32"/>
      <c r="BK2895" s="32"/>
      <c r="BL2895" s="32"/>
      <c r="BM2895" s="32"/>
      <c r="BN2895" s="32"/>
      <c r="BO2895" s="32"/>
      <c r="BP2895" s="32"/>
      <c r="BQ2895" s="32"/>
      <c r="BR2895" s="32"/>
      <c r="BS2895" s="32"/>
      <c r="BT2895" s="32"/>
      <c r="BU2895" s="32"/>
      <c r="BV2895" s="32"/>
      <c r="BW2895" s="32"/>
      <c r="BX2895" s="32"/>
      <c r="BY2895" s="32"/>
      <c r="BZ2895" s="32"/>
      <c r="CA2895" s="32"/>
      <c r="CB2895" s="32"/>
      <c r="CC2895" s="32"/>
      <c r="CD2895" s="32"/>
    </row>
    <row r="2896" ht="15.75" hidden="1" customHeight="1" outlineLevel="1">
      <c r="A2896" s="365"/>
      <c r="B2896" s="38"/>
      <c r="C2896" s="374"/>
      <c r="D2896" s="374"/>
      <c r="E2896" s="374"/>
      <c r="F2896" s="374"/>
      <c r="G2896" s="374"/>
      <c r="H2896" s="374"/>
      <c r="I2896" s="374"/>
      <c r="J2896" s="374"/>
      <c r="K2896" s="374"/>
      <c r="L2896" s="374"/>
      <c r="M2896" s="374"/>
      <c r="N2896" s="374"/>
      <c r="O2896" s="374"/>
      <c r="P2896" s="374"/>
      <c r="Q2896" s="374"/>
      <c r="R2896" s="374"/>
      <c r="S2896" s="38"/>
      <c r="T2896" s="38"/>
      <c r="U2896" s="38"/>
      <c r="V2896" s="38"/>
      <c r="W2896" s="38"/>
      <c r="X2896" s="32"/>
      <c r="Y2896" s="32"/>
      <c r="Z2896" s="32"/>
      <c r="AA2896" s="32"/>
      <c r="AB2896" s="32"/>
      <c r="AC2896" s="32"/>
      <c r="AD2896" s="373">
        <f>PPMT('Assumptions (T&amp;D)'!$C$20,Model!W$1,'Assumptions (T&amp;D)'!$C$23,Model!$AD$2866)</f>
        <v>-0.1266845556</v>
      </c>
      <c r="AE2896" s="373">
        <f>PPMT('Assumptions (T&amp;D)'!$C$20,Model!X$1,'Assumptions (T&amp;D)'!$C$23,Model!$AD$2866)</f>
        <v>-0.132702072</v>
      </c>
      <c r="AF2896" s="373">
        <f>PPMT('Assumptions (T&amp;D)'!$C$20,Model!Y$1,'Assumptions (T&amp;D)'!$C$23,Model!$AD$2866)</f>
        <v>-0.1390054204</v>
      </c>
      <c r="AG2896" s="373">
        <f>PPMT('Assumptions (T&amp;D)'!$C$20,Model!Z$1,'Assumptions (T&amp;D)'!$C$23,Model!$AD$2866)</f>
        <v>-0.1456081779</v>
      </c>
      <c r="AH2896" s="373">
        <f>PPMT('Assumptions (T&amp;D)'!$C$20,Model!AA$1,'Assumptions (T&amp;D)'!$C$23,Model!$AD$2866)</f>
        <v>-0.1525245664</v>
      </c>
      <c r="AI2896" s="373">
        <f>PPMT('Assumptions (T&amp;D)'!$C$20,Model!AB$1,'Assumptions (T&amp;D)'!$C$23,Model!$AD$2866)</f>
        <v>-0.1597694833</v>
      </c>
      <c r="AJ2896" s="373">
        <f>PPMT('Assumptions (T&amp;D)'!$C$20,Model!AC$1,'Assumptions (T&amp;D)'!$C$23,Model!$AD$2866)</f>
        <v>-0.1673585337</v>
      </c>
      <c r="AK2896" s="373">
        <f>PPMT('Assumptions (T&amp;D)'!$C$20,Model!AD$1,'Assumptions (T&amp;D)'!$C$23,Model!$AD$2866)</f>
        <v>-0.1753080641</v>
      </c>
      <c r="AL2896" s="373">
        <f>PPMT('Assumptions (T&amp;D)'!$C$20,Model!AE$1,'Assumptions (T&amp;D)'!$C$23,Model!$AD$2866)</f>
        <v>-0.1836351971</v>
      </c>
      <c r="AM2896" s="373">
        <f>PPMT('Assumptions (T&amp;D)'!$C$20,Model!AF$1,'Assumptions (T&amp;D)'!$C$23,Model!$AD$2866)</f>
        <v>-0.192357869</v>
      </c>
      <c r="AN2896" s="373">
        <f>PPMT('Assumptions (T&amp;D)'!$C$20,Model!AG$1,'Assumptions (T&amp;D)'!$C$23,Model!$AD$2866)</f>
        <v>-0.2014948677</v>
      </c>
      <c r="AO2896" s="373">
        <f>PPMT('Assumptions (T&amp;D)'!$C$20,Model!AH$1,'Assumptions (T&amp;D)'!$C$23,Model!$AD$2866)</f>
        <v>-0.211065874</v>
      </c>
      <c r="AP2896" s="373">
        <f>PPMT('Assumptions (T&amp;D)'!$C$20,Model!AI$1,'Assumptions (T&amp;D)'!$C$23,Model!$AD$2866)</f>
        <v>-0.221091503</v>
      </c>
      <c r="AQ2896" s="373">
        <f>PPMT('Assumptions (T&amp;D)'!$C$20,Model!AJ$1,'Assumptions (T&amp;D)'!$C$23,Model!$AD$2866)</f>
        <v>-0.2315933494</v>
      </c>
      <c r="AR2896" s="373">
        <f>PPMT('Assumptions (T&amp;D)'!$C$20,Model!AK$1,'Assumptions (T&amp;D)'!$C$23,Model!$AD$2866)</f>
        <v>-0.2425940335</v>
      </c>
      <c r="AS2896" s="374"/>
      <c r="AT2896" s="374"/>
      <c r="AU2896" s="374"/>
      <c r="AV2896" s="374"/>
      <c r="AW2896" s="374"/>
      <c r="AX2896" s="374"/>
      <c r="AY2896" s="374"/>
      <c r="AZ2896" s="374"/>
      <c r="BA2896" s="374"/>
      <c r="BB2896" s="374"/>
      <c r="BC2896" s="32"/>
      <c r="BD2896" s="32"/>
      <c r="BE2896" s="32"/>
      <c r="BF2896" s="32"/>
      <c r="BG2896" s="32"/>
      <c r="BH2896" s="32"/>
      <c r="BI2896" s="32"/>
      <c r="BJ2896" s="32"/>
      <c r="BK2896" s="32"/>
      <c r="BL2896" s="32"/>
      <c r="BM2896" s="32"/>
      <c r="BN2896" s="32"/>
      <c r="BO2896" s="32"/>
      <c r="BP2896" s="32"/>
      <c r="BQ2896" s="32"/>
      <c r="BR2896" s="32"/>
      <c r="BS2896" s="32"/>
      <c r="BT2896" s="32"/>
      <c r="BU2896" s="32"/>
      <c r="BV2896" s="32"/>
      <c r="BW2896" s="32"/>
      <c r="BX2896" s="32"/>
      <c r="BY2896" s="32"/>
      <c r="BZ2896" s="32"/>
      <c r="CA2896" s="32"/>
      <c r="CB2896" s="32"/>
      <c r="CC2896" s="32"/>
      <c r="CD2896" s="32"/>
    </row>
    <row r="2897" ht="15.75" hidden="1" customHeight="1" outlineLevel="1">
      <c r="A2897" s="365"/>
      <c r="B2897" s="38"/>
      <c r="C2897" s="374"/>
      <c r="D2897" s="374"/>
      <c r="E2897" s="374"/>
      <c r="F2897" s="374"/>
      <c r="G2897" s="374"/>
      <c r="H2897" s="374"/>
      <c r="I2897" s="374"/>
      <c r="J2897" s="374"/>
      <c r="K2897" s="374"/>
      <c r="L2897" s="374"/>
      <c r="M2897" s="374"/>
      <c r="N2897" s="374"/>
      <c r="O2897" s="374"/>
      <c r="P2897" s="374"/>
      <c r="Q2897" s="374"/>
      <c r="R2897" s="374"/>
      <c r="S2897" s="38"/>
      <c r="T2897" s="38"/>
      <c r="U2897" s="38"/>
      <c r="V2897" s="38"/>
      <c r="W2897" s="38"/>
      <c r="X2897" s="32"/>
      <c r="Y2897" s="32"/>
      <c r="Z2897" s="32"/>
      <c r="AA2897" s="32"/>
      <c r="AB2897" s="32"/>
      <c r="AC2897" s="32"/>
      <c r="AD2897" s="32"/>
      <c r="AE2897" s="373">
        <f>PPMT('Assumptions (T&amp;D)'!$C$20,Model!W$1,'Assumptions (T&amp;D)'!$C$23,Model!$AE$2866)</f>
        <v>-0.1301894395</v>
      </c>
      <c r="AF2897" s="373">
        <f>PPMT('Assumptions (T&amp;D)'!$C$20,Model!X$1,'Assumptions (T&amp;D)'!$C$23,Model!$AE$2866)</f>
        <v>-0.1363734379</v>
      </c>
      <c r="AG2897" s="373">
        <f>PPMT('Assumptions (T&amp;D)'!$C$20,Model!Y$1,'Assumptions (T&amp;D)'!$C$23,Model!$AE$2866)</f>
        <v>-0.1428511762</v>
      </c>
      <c r="AH2897" s="373">
        <f>PPMT('Assumptions (T&amp;D)'!$C$20,Model!Z$1,'Assumptions (T&amp;D)'!$C$23,Model!$AE$2866)</f>
        <v>-0.1496366071</v>
      </c>
      <c r="AI2897" s="373">
        <f>PPMT('Assumptions (T&amp;D)'!$C$20,Model!AA$1,'Assumptions (T&amp;D)'!$C$23,Model!$AE$2866)</f>
        <v>-0.1567443459</v>
      </c>
      <c r="AJ2897" s="373">
        <f>PPMT('Assumptions (T&amp;D)'!$C$20,Model!AB$1,'Assumptions (T&amp;D)'!$C$23,Model!$AE$2866)</f>
        <v>-0.1641897023</v>
      </c>
      <c r="AK2897" s="373">
        <f>PPMT('Assumptions (T&amp;D)'!$C$20,Model!AC$1,'Assumptions (T&amp;D)'!$C$23,Model!$AE$2866)</f>
        <v>-0.1719887132</v>
      </c>
      <c r="AL2897" s="373">
        <f>PPMT('Assumptions (T&amp;D)'!$C$20,Model!AD$1,'Assumptions (T&amp;D)'!$C$23,Model!$AE$2866)</f>
        <v>-0.1801581771</v>
      </c>
      <c r="AM2897" s="373">
        <f>PPMT('Assumptions (T&amp;D)'!$C$20,Model!AE$1,'Assumptions (T&amp;D)'!$C$23,Model!$AE$2866)</f>
        <v>-0.1887156905</v>
      </c>
      <c r="AN2897" s="373">
        <f>PPMT('Assumptions (T&amp;D)'!$C$20,Model!AF$1,'Assumptions (T&amp;D)'!$C$23,Model!$AE$2866)</f>
        <v>-0.1976796858</v>
      </c>
      <c r="AO2897" s="373">
        <f>PPMT('Assumptions (T&amp;D)'!$C$20,Model!AG$1,'Assumptions (T&amp;D)'!$C$23,Model!$AE$2866)</f>
        <v>-0.2070694709</v>
      </c>
      <c r="AP2897" s="373">
        <f>PPMT('Assumptions (T&amp;D)'!$C$20,Model!AH$1,'Assumptions (T&amp;D)'!$C$23,Model!$AE$2866)</f>
        <v>-0.2169052707</v>
      </c>
      <c r="AQ2897" s="373">
        <f>PPMT('Assumptions (T&amp;D)'!$C$20,Model!AI$1,'Assumptions (T&amp;D)'!$C$23,Model!$AE$2866)</f>
        <v>-0.2272082711</v>
      </c>
      <c r="AR2897" s="373">
        <f>PPMT('Assumptions (T&amp;D)'!$C$20,Model!AJ$1,'Assumptions (T&amp;D)'!$C$23,Model!$AE$2866)</f>
        <v>-0.238000664</v>
      </c>
      <c r="AS2897" s="373">
        <f>PPMT('Assumptions (T&amp;D)'!$C$20,Model!AK$1,'Assumptions (T&amp;D)'!$C$23,Model!$AE$2866)</f>
        <v>-0.2493056955</v>
      </c>
      <c r="AT2897" s="374"/>
      <c r="AU2897" s="374"/>
      <c r="AV2897" s="374"/>
      <c r="AW2897" s="374"/>
      <c r="AX2897" s="374"/>
      <c r="AY2897" s="374"/>
      <c r="AZ2897" s="374"/>
      <c r="BA2897" s="374"/>
      <c r="BB2897" s="374"/>
      <c r="BC2897" s="374"/>
      <c r="BD2897" s="32"/>
      <c r="BE2897" s="32"/>
      <c r="BF2897" s="32"/>
      <c r="BG2897" s="32"/>
      <c r="BH2897" s="32"/>
      <c r="BI2897" s="32"/>
      <c r="BJ2897" s="32"/>
      <c r="BK2897" s="32"/>
      <c r="BL2897" s="32"/>
      <c r="BM2897" s="32"/>
      <c r="BN2897" s="32"/>
      <c r="BO2897" s="32"/>
      <c r="BP2897" s="32"/>
      <c r="BQ2897" s="32"/>
      <c r="BR2897" s="32"/>
      <c r="BS2897" s="32"/>
      <c r="BT2897" s="32"/>
      <c r="BU2897" s="32"/>
      <c r="BV2897" s="32"/>
      <c r="BW2897" s="32"/>
      <c r="BX2897" s="32"/>
      <c r="BY2897" s="32"/>
      <c r="BZ2897" s="32"/>
      <c r="CA2897" s="32"/>
      <c r="CB2897" s="32"/>
      <c r="CC2897" s="32"/>
      <c r="CD2897" s="32"/>
    </row>
    <row r="2898" ht="15.75" hidden="1" customHeight="1" outlineLevel="1">
      <c r="A2898" s="365"/>
      <c r="B2898" s="38"/>
      <c r="C2898" s="374"/>
      <c r="D2898" s="374"/>
      <c r="E2898" s="374"/>
      <c r="F2898" s="374"/>
      <c r="G2898" s="374"/>
      <c r="H2898" s="374"/>
      <c r="I2898" s="374"/>
      <c r="J2898" s="374"/>
      <c r="K2898" s="374"/>
      <c r="L2898" s="374"/>
      <c r="M2898" s="374"/>
      <c r="N2898" s="374"/>
      <c r="O2898" s="374"/>
      <c r="P2898" s="374"/>
      <c r="Q2898" s="374"/>
      <c r="R2898" s="374"/>
      <c r="S2898" s="38"/>
      <c r="T2898" s="38"/>
      <c r="U2898" s="38"/>
      <c r="V2898" s="38"/>
      <c r="W2898" s="38"/>
      <c r="X2898" s="32"/>
      <c r="Y2898" s="32"/>
      <c r="Z2898" s="32"/>
      <c r="AA2898" s="32"/>
      <c r="AB2898" s="32"/>
      <c r="AC2898" s="32"/>
      <c r="AD2898" s="32"/>
      <c r="AE2898" s="32"/>
      <c r="AF2898" s="373">
        <f>PPMT('Assumptions (T&amp;D)'!$C$20,Model!W$1,'Assumptions (T&amp;D)'!$C$23,Model!$AF$2866)</f>
        <v>-0.1337833474</v>
      </c>
      <c r="AG2898" s="373">
        <f>PPMT('Assumptions (T&amp;D)'!$C$20,Model!X$1,'Assumptions (T&amp;D)'!$C$23,Model!$AF$2866)</f>
        <v>-0.1401380564</v>
      </c>
      <c r="AH2898" s="373">
        <f>PPMT('Assumptions (T&amp;D)'!$C$20,Model!Y$1,'Assumptions (T&amp;D)'!$C$23,Model!$AF$2866)</f>
        <v>-0.1467946141</v>
      </c>
      <c r="AI2898" s="373">
        <f>PPMT('Assumptions (T&amp;D)'!$C$20,Model!Z$1,'Assumptions (T&amp;D)'!$C$23,Model!$AF$2866)</f>
        <v>-0.1537673582</v>
      </c>
      <c r="AJ2898" s="373">
        <f>PPMT('Assumptions (T&amp;D)'!$C$20,Model!AA$1,'Assumptions (T&amp;D)'!$C$23,Model!$AF$2866)</f>
        <v>-0.1610713078</v>
      </c>
      <c r="AK2898" s="373">
        <f>PPMT('Assumptions (T&amp;D)'!$C$20,Model!AB$1,'Assumptions (T&amp;D)'!$C$23,Model!$AF$2866)</f>
        <v>-0.1687221949</v>
      </c>
      <c r="AL2898" s="373">
        <f>PPMT('Assumptions (T&amp;D)'!$C$20,Model!AC$1,'Assumptions (T&amp;D)'!$C$23,Model!$AF$2866)</f>
        <v>-0.1767364991</v>
      </c>
      <c r="AM2898" s="373">
        <f>PPMT('Assumptions (T&amp;D)'!$C$20,Model!AD$1,'Assumptions (T&amp;D)'!$C$23,Model!$AF$2866)</f>
        <v>-0.1851314828</v>
      </c>
      <c r="AN2898" s="373">
        <f>PPMT('Assumptions (T&amp;D)'!$C$20,Model!AE$1,'Assumptions (T&amp;D)'!$C$23,Model!$AF$2866)</f>
        <v>-0.1939252283</v>
      </c>
      <c r="AO2898" s="373">
        <f>PPMT('Assumptions (T&amp;D)'!$C$20,Model!AF$1,'Assumptions (T&amp;D)'!$C$23,Model!$AF$2866)</f>
        <v>-0.2031366766</v>
      </c>
      <c r="AP2898" s="373">
        <f>PPMT('Assumptions (T&amp;D)'!$C$20,Model!AG$1,'Assumptions (T&amp;D)'!$C$23,Model!$AF$2866)</f>
        <v>-0.2127856688</v>
      </c>
      <c r="AQ2898" s="373">
        <f>PPMT('Assumptions (T&amp;D)'!$C$20,Model!AH$1,'Assumptions (T&amp;D)'!$C$23,Model!$AF$2866)</f>
        <v>-0.222892988</v>
      </c>
      <c r="AR2898" s="373">
        <f>PPMT('Assumptions (T&amp;D)'!$C$20,Model!AI$1,'Assumptions (T&amp;D)'!$C$23,Model!$AF$2866)</f>
        <v>-0.2334804049</v>
      </c>
      <c r="AS2898" s="373">
        <f>PPMT('Assumptions (T&amp;D)'!$C$20,Model!AJ$1,'Assumptions (T&amp;D)'!$C$23,Model!$AF$2866)</f>
        <v>-0.2445707242</v>
      </c>
      <c r="AT2898" s="373">
        <f>PPMT('Assumptions (T&amp;D)'!$C$20,Model!AK$1,'Assumptions (T&amp;D)'!$C$23,Model!$AF$2866)</f>
        <v>-0.2561878336</v>
      </c>
      <c r="AU2898" s="374"/>
      <c r="AV2898" s="374"/>
      <c r="AW2898" s="374"/>
      <c r="AX2898" s="374"/>
      <c r="AY2898" s="374"/>
      <c r="AZ2898" s="374"/>
      <c r="BA2898" s="374"/>
      <c r="BB2898" s="374"/>
      <c r="BC2898" s="374"/>
      <c r="BD2898" s="374"/>
      <c r="BE2898" s="32"/>
      <c r="BF2898" s="32"/>
      <c r="BG2898" s="32"/>
      <c r="BH2898" s="32"/>
      <c r="BI2898" s="32"/>
      <c r="BJ2898" s="32"/>
      <c r="BK2898" s="32"/>
      <c r="BL2898" s="32"/>
      <c r="BM2898" s="32"/>
      <c r="BN2898" s="32"/>
      <c r="BO2898" s="32"/>
      <c r="BP2898" s="32"/>
      <c r="BQ2898" s="32"/>
      <c r="BR2898" s="32"/>
      <c r="BS2898" s="32"/>
      <c r="BT2898" s="32"/>
      <c r="BU2898" s="32"/>
      <c r="BV2898" s="32"/>
      <c r="BW2898" s="32"/>
      <c r="BX2898" s="32"/>
      <c r="BY2898" s="32"/>
      <c r="BZ2898" s="32"/>
      <c r="CA2898" s="32"/>
      <c r="CB2898" s="32"/>
      <c r="CC2898" s="32"/>
      <c r="CD2898" s="32"/>
    </row>
    <row r="2899" ht="15.75" hidden="1" customHeight="1" outlineLevel="1">
      <c r="A2899" s="365"/>
      <c r="B2899" s="38"/>
      <c r="C2899" s="374"/>
      <c r="D2899" s="374"/>
      <c r="E2899" s="374"/>
      <c r="F2899" s="374"/>
      <c r="G2899" s="374"/>
      <c r="H2899" s="374"/>
      <c r="I2899" s="374"/>
      <c r="J2899" s="374"/>
      <c r="K2899" s="374"/>
      <c r="L2899" s="374"/>
      <c r="M2899" s="374"/>
      <c r="N2899" s="374"/>
      <c r="O2899" s="374"/>
      <c r="P2899" s="374"/>
      <c r="Q2899" s="374"/>
      <c r="R2899" s="374"/>
      <c r="S2899" s="38"/>
      <c r="T2899" s="38"/>
      <c r="U2899" s="38"/>
      <c r="V2899" s="38"/>
      <c r="W2899" s="38"/>
      <c r="X2899" s="32"/>
      <c r="Y2899" s="32"/>
      <c r="Z2899" s="32"/>
      <c r="AA2899" s="32"/>
      <c r="AB2899" s="32"/>
      <c r="AC2899" s="32"/>
      <c r="AD2899" s="32"/>
      <c r="AE2899" s="32"/>
      <c r="AF2899" s="32"/>
      <c r="AG2899" s="373">
        <f>PPMT('Assumptions (T&amp;D)'!$C$20,Model!W$1,'Assumptions (T&amp;D)'!$C$23,Model!$AG$2866)</f>
        <v>-0.1374684284</v>
      </c>
      <c r="AH2899" s="373">
        <f>PPMT('Assumptions (T&amp;D)'!$C$20,Model!X$1,'Assumptions (T&amp;D)'!$C$23,Model!$AG$2866)</f>
        <v>-0.1439981788</v>
      </c>
      <c r="AI2899" s="373">
        <f>PPMT('Assumptions (T&amp;D)'!$C$20,Model!Y$1,'Assumptions (T&amp;D)'!$C$23,Model!$AG$2866)</f>
        <v>-0.1508380923</v>
      </c>
      <c r="AJ2899" s="373">
        <f>PPMT('Assumptions (T&amp;D)'!$C$20,Model!Z$1,'Assumptions (T&amp;D)'!$C$23,Model!$AG$2866)</f>
        <v>-0.1580029017</v>
      </c>
      <c r="AK2899" s="373">
        <f>PPMT('Assumptions (T&amp;D)'!$C$20,Model!AA$1,'Assumptions (T&amp;D)'!$C$23,Model!$AG$2866)</f>
        <v>-0.1655080395</v>
      </c>
      <c r="AL2899" s="373">
        <f>PPMT('Assumptions (T&amp;D)'!$C$20,Model!AB$1,'Assumptions (T&amp;D)'!$C$23,Model!$AG$2866)</f>
        <v>-0.1733696714</v>
      </c>
      <c r="AM2899" s="373">
        <f>PPMT('Assumptions (T&amp;D)'!$C$20,Model!AC$1,'Assumptions (T&amp;D)'!$C$23,Model!$AG$2866)</f>
        <v>-0.1816047308</v>
      </c>
      <c r="AN2899" s="373">
        <f>PPMT('Assumptions (T&amp;D)'!$C$20,Model!AD$1,'Assumptions (T&amp;D)'!$C$23,Model!$AG$2866)</f>
        <v>-0.1902309555</v>
      </c>
      <c r="AO2899" s="373">
        <f>PPMT('Assumptions (T&amp;D)'!$C$20,Model!AE$1,'Assumptions (T&amp;D)'!$C$23,Model!$AG$2866)</f>
        <v>-0.1992669259</v>
      </c>
      <c r="AP2899" s="373">
        <f>PPMT('Assumptions (T&amp;D)'!$C$20,Model!AF$1,'Assumptions (T&amp;D)'!$C$23,Model!$AG$2866)</f>
        <v>-0.2087321048</v>
      </c>
      <c r="AQ2899" s="373">
        <f>PPMT('Assumptions (T&amp;D)'!$C$20,Model!AG$1,'Assumptions (T&amp;D)'!$C$23,Model!$AG$2866)</f>
        <v>-0.2186468798</v>
      </c>
      <c r="AR2899" s="373">
        <f>PPMT('Assumptions (T&amp;D)'!$C$20,Model!AH$1,'Assumptions (T&amp;D)'!$C$23,Model!$AG$2866)</f>
        <v>-0.2290326066</v>
      </c>
      <c r="AS2899" s="373">
        <f>PPMT('Assumptions (T&amp;D)'!$C$20,Model!AI$1,'Assumptions (T&amp;D)'!$C$23,Model!$AG$2866)</f>
        <v>-0.2399116554</v>
      </c>
      <c r="AT2899" s="373">
        <f>PPMT('Assumptions (T&amp;D)'!$C$20,Model!AJ$1,'Assumptions (T&amp;D)'!$C$23,Model!$AG$2866)</f>
        <v>-0.2513074591</v>
      </c>
      <c r="AU2899" s="373">
        <f>PPMT('Assumptions (T&amp;D)'!$C$20,Model!AK$1,'Assumptions (T&amp;D)'!$C$23,Model!$AG$2866)</f>
        <v>-0.2632445634</v>
      </c>
      <c r="AV2899" s="374"/>
      <c r="AW2899" s="374"/>
      <c r="AX2899" s="374"/>
      <c r="AY2899" s="374"/>
      <c r="AZ2899" s="374"/>
      <c r="BA2899" s="374"/>
      <c r="BB2899" s="374"/>
      <c r="BC2899" s="374"/>
      <c r="BD2899" s="374"/>
      <c r="BE2899" s="374"/>
      <c r="BF2899" s="32"/>
      <c r="BG2899" s="32"/>
      <c r="BH2899" s="32"/>
      <c r="BI2899" s="32"/>
      <c r="BJ2899" s="32"/>
      <c r="BK2899" s="32"/>
      <c r="BL2899" s="32"/>
      <c r="BM2899" s="32"/>
      <c r="BN2899" s="32"/>
      <c r="BO2899" s="32"/>
      <c r="BP2899" s="32"/>
      <c r="BQ2899" s="32"/>
      <c r="BR2899" s="32"/>
      <c r="BS2899" s="32"/>
      <c r="BT2899" s="32"/>
      <c r="BU2899" s="32"/>
      <c r="BV2899" s="32"/>
      <c r="BW2899" s="32"/>
      <c r="BX2899" s="32"/>
      <c r="BY2899" s="32"/>
      <c r="BZ2899" s="32"/>
      <c r="CA2899" s="32"/>
      <c r="CB2899" s="32"/>
      <c r="CC2899" s="32"/>
      <c r="CD2899" s="32"/>
    </row>
    <row r="2900" ht="15.75" hidden="1" customHeight="1" outlineLevel="1">
      <c r="A2900" s="365"/>
      <c r="B2900" s="38"/>
      <c r="C2900" s="374"/>
      <c r="D2900" s="374"/>
      <c r="E2900" s="374"/>
      <c r="F2900" s="374"/>
      <c r="G2900" s="374"/>
      <c r="H2900" s="374"/>
      <c r="I2900" s="374"/>
      <c r="J2900" s="374"/>
      <c r="K2900" s="374"/>
      <c r="L2900" s="374"/>
      <c r="M2900" s="374"/>
      <c r="N2900" s="374"/>
      <c r="O2900" s="374"/>
      <c r="P2900" s="374"/>
      <c r="Q2900" s="374"/>
      <c r="R2900" s="374"/>
      <c r="S2900" s="38"/>
      <c r="T2900" s="38"/>
      <c r="U2900" s="38"/>
      <c r="V2900" s="38"/>
      <c r="W2900" s="38"/>
      <c r="X2900" s="32"/>
      <c r="Y2900" s="32"/>
      <c r="Z2900" s="32"/>
      <c r="AA2900" s="32"/>
      <c r="AB2900" s="32"/>
      <c r="AC2900" s="32"/>
      <c r="AD2900" s="32"/>
      <c r="AE2900" s="32"/>
      <c r="AF2900" s="32"/>
      <c r="AG2900" s="32"/>
      <c r="AH2900" s="373">
        <f>PPMT('Assumptions (T&amp;D)'!$C$20,Model!W$1,'Assumptions (T&amp;D)'!$C$23,Model!$AH$2866)</f>
        <v>-0.1412468821</v>
      </c>
      <c r="AI2900" s="373">
        <f>PPMT('Assumptions (T&amp;D)'!$C$20,Model!X$1,'Assumptions (T&amp;D)'!$C$23,Model!$AH$2866)</f>
        <v>-0.147956109</v>
      </c>
      <c r="AJ2900" s="373">
        <f>PPMT('Assumptions (T&amp;D)'!$C$20,Model!Y$1,'Assumptions (T&amp;D)'!$C$23,Model!$AH$2866)</f>
        <v>-0.1549840242</v>
      </c>
      <c r="AK2900" s="373">
        <f>PPMT('Assumptions (T&amp;D)'!$C$20,Model!Z$1,'Assumptions (T&amp;D)'!$C$23,Model!$AH$2866)</f>
        <v>-0.1623457653</v>
      </c>
      <c r="AL2900" s="373">
        <f>PPMT('Assumptions (T&amp;D)'!$C$20,Model!AA$1,'Assumptions (T&amp;D)'!$C$23,Model!$AH$2866)</f>
        <v>-0.1700571892</v>
      </c>
      <c r="AM2900" s="373">
        <f>PPMT('Assumptions (T&amp;D)'!$C$20,Model!AB$1,'Assumptions (T&amp;D)'!$C$23,Model!$AH$2866)</f>
        <v>-0.1781349056</v>
      </c>
      <c r="AN2900" s="373">
        <f>PPMT('Assumptions (T&amp;D)'!$C$20,Model!AC$1,'Assumptions (T&amp;D)'!$C$23,Model!$AH$2866)</f>
        <v>-0.1865963137</v>
      </c>
      <c r="AO2900" s="373">
        <f>PPMT('Assumptions (T&amp;D)'!$C$20,Model!AD$1,'Assumptions (T&amp;D)'!$C$23,Model!$AH$2866)</f>
        <v>-0.1954596386</v>
      </c>
      <c r="AP2900" s="373">
        <f>PPMT('Assumptions (T&amp;D)'!$C$20,Model!AE$1,'Assumptions (T&amp;D)'!$C$23,Model!$AH$2866)</f>
        <v>-0.2047439714</v>
      </c>
      <c r="AQ2900" s="373">
        <f>PPMT('Assumptions (T&amp;D)'!$C$20,Model!AF$1,'Assumptions (T&amp;D)'!$C$23,Model!$AH$2866)</f>
        <v>-0.21446931</v>
      </c>
      <c r="AR2900" s="373">
        <f>PPMT('Assumptions (T&amp;D)'!$C$20,Model!AG$1,'Assumptions (T&amp;D)'!$C$23,Model!$AH$2866)</f>
        <v>-0.2246566023</v>
      </c>
      <c r="AS2900" s="373">
        <f>PPMT('Assumptions (T&amp;D)'!$C$20,Model!AH$1,'Assumptions (T&amp;D)'!$C$23,Model!$AH$2866)</f>
        <v>-0.2353277909</v>
      </c>
      <c r="AT2900" s="373">
        <f>PPMT('Assumptions (T&amp;D)'!$C$20,Model!AI$1,'Assumptions (T&amp;D)'!$C$23,Model!$AH$2866)</f>
        <v>-0.2465058609</v>
      </c>
      <c r="AU2900" s="373">
        <f>PPMT('Assumptions (T&amp;D)'!$C$20,Model!AJ$1,'Assumptions (T&amp;D)'!$C$23,Model!$AH$2866)</f>
        <v>-0.2582148893</v>
      </c>
      <c r="AV2900" s="373">
        <f>PPMT('Assumptions (T&amp;D)'!$C$20,Model!AK$1,'Assumptions (T&amp;D)'!$C$23,Model!$AH$2866)</f>
        <v>-0.2704800966</v>
      </c>
      <c r="AW2900" s="374"/>
      <c r="AX2900" s="374"/>
      <c r="AY2900" s="374"/>
      <c r="AZ2900" s="374"/>
      <c r="BA2900" s="374"/>
      <c r="BB2900" s="374"/>
      <c r="BC2900" s="374"/>
      <c r="BD2900" s="374"/>
      <c r="BE2900" s="374"/>
      <c r="BF2900" s="374"/>
      <c r="BG2900" s="32"/>
      <c r="BH2900" s="32"/>
      <c r="BI2900" s="32"/>
      <c r="BJ2900" s="32"/>
      <c r="BK2900" s="32"/>
      <c r="BL2900" s="32"/>
      <c r="BM2900" s="32"/>
      <c r="BN2900" s="32"/>
      <c r="BO2900" s="32"/>
      <c r="BP2900" s="32"/>
      <c r="BQ2900" s="32"/>
      <c r="BR2900" s="32"/>
      <c r="BS2900" s="32"/>
      <c r="BT2900" s="32"/>
      <c r="BU2900" s="32"/>
      <c r="BV2900" s="32"/>
      <c r="BW2900" s="32"/>
      <c r="BX2900" s="32"/>
      <c r="BY2900" s="32"/>
      <c r="BZ2900" s="32"/>
      <c r="CA2900" s="32"/>
      <c r="CB2900" s="32"/>
      <c r="CC2900" s="32"/>
      <c r="CD2900" s="32"/>
    </row>
    <row r="2901" ht="15.75" hidden="1" customHeight="1" outlineLevel="1">
      <c r="A2901" s="365"/>
      <c r="B2901" s="38"/>
      <c r="C2901" s="374"/>
      <c r="D2901" s="374"/>
      <c r="E2901" s="374"/>
      <c r="F2901" s="374"/>
      <c r="G2901" s="374"/>
      <c r="H2901" s="374"/>
      <c r="I2901" s="374"/>
      <c r="J2901" s="374"/>
      <c r="K2901" s="374"/>
      <c r="L2901" s="374"/>
      <c r="M2901" s="374"/>
      <c r="N2901" s="374"/>
      <c r="O2901" s="374"/>
      <c r="P2901" s="374"/>
      <c r="Q2901" s="374"/>
      <c r="R2901" s="374"/>
      <c r="S2901" s="38"/>
      <c r="T2901" s="38"/>
      <c r="U2901" s="38"/>
      <c r="V2901" s="38"/>
      <c r="W2901" s="38"/>
      <c r="X2901" s="32"/>
      <c r="Y2901" s="32"/>
      <c r="Z2901" s="32"/>
      <c r="AA2901" s="32"/>
      <c r="AB2901" s="32"/>
      <c r="AC2901" s="32"/>
      <c r="AD2901" s="32"/>
      <c r="AE2901" s="32"/>
      <c r="AF2901" s="32"/>
      <c r="AG2901" s="32"/>
      <c r="AH2901" s="32"/>
      <c r="AI2901" s="373">
        <f>PPMT('Assumptions (T&amp;D)'!$C$20,Model!W$1,'Assumptions (T&amp;D)'!$C$23,Model!$AI$2866)</f>
        <v>-0.1451209591</v>
      </c>
      <c r="AJ2901" s="373">
        <f>PPMT('Assumptions (T&amp;D)'!$C$20,Model!X$1,'Assumptions (T&amp;D)'!$C$23,Model!$AI$2866)</f>
        <v>-0.1520142046</v>
      </c>
      <c r="AK2901" s="373">
        <f>PPMT('Assumptions (T&amp;D)'!$C$20,Model!Y$1,'Assumptions (T&amp;D)'!$C$23,Model!$AI$2866)</f>
        <v>-0.1592348793</v>
      </c>
      <c r="AL2901" s="373">
        <f>PPMT('Assumptions (T&amp;D)'!$C$20,Model!Z$1,'Assumptions (T&amp;D)'!$C$23,Model!$AI$2866)</f>
        <v>-0.1667985361</v>
      </c>
      <c r="AM2901" s="373">
        <f>PPMT('Assumptions (T&amp;D)'!$C$20,Model!AA$1,'Assumptions (T&amp;D)'!$C$23,Model!$AI$2866)</f>
        <v>-0.1747214666</v>
      </c>
      <c r="AN2901" s="373">
        <f>PPMT('Assumptions (T&amp;D)'!$C$20,Model!AB$1,'Assumptions (T&amp;D)'!$C$23,Model!$AI$2866)</f>
        <v>-0.1830207362</v>
      </c>
      <c r="AO2901" s="373">
        <f>PPMT('Assumptions (T&amp;D)'!$C$20,Model!AC$1,'Assumptions (T&amp;D)'!$C$23,Model!$AI$2866)</f>
        <v>-0.1917142212</v>
      </c>
      <c r="AP2901" s="373">
        <f>PPMT('Assumptions (T&amp;D)'!$C$20,Model!AD$1,'Assumptions (T&amp;D)'!$C$23,Model!$AI$2866)</f>
        <v>-0.2008206467</v>
      </c>
      <c r="AQ2901" s="373">
        <f>PPMT('Assumptions (T&amp;D)'!$C$20,Model!AE$1,'Assumptions (T&amp;D)'!$C$23,Model!$AI$2866)</f>
        <v>-0.2103596274</v>
      </c>
      <c r="AR2901" s="373">
        <f>PPMT('Assumptions (T&amp;D)'!$C$20,Model!AF$1,'Assumptions (T&amp;D)'!$C$23,Model!$AI$2866)</f>
        <v>-0.2203517097</v>
      </c>
      <c r="AS2901" s="373">
        <f>PPMT('Assumptions (T&amp;D)'!$C$20,Model!AG$1,'Assumptions (T&amp;D)'!$C$23,Model!$AI$2866)</f>
        <v>-0.2308184159</v>
      </c>
      <c r="AT2901" s="373">
        <f>PPMT('Assumptions (T&amp;D)'!$C$20,Model!AH$1,'Assumptions (T&amp;D)'!$C$23,Model!$AI$2866)</f>
        <v>-0.2417822907</v>
      </c>
      <c r="AU2901" s="373">
        <f>PPMT('Assumptions (T&amp;D)'!$C$20,Model!AI$1,'Assumptions (T&amp;D)'!$C$23,Model!$AI$2866)</f>
        <v>-0.2532669495</v>
      </c>
      <c r="AV2901" s="373">
        <f>PPMT('Assumptions (T&amp;D)'!$C$20,Model!AJ$1,'Assumptions (T&amp;D)'!$C$23,Model!$AI$2866)</f>
        <v>-0.2652971296</v>
      </c>
      <c r="AW2901" s="373">
        <f>PPMT('Assumptions (T&amp;D)'!$C$20,Model!AK$1,'Assumptions (T&amp;D)'!$C$23,Model!$AI$2866)</f>
        <v>-0.2778987433</v>
      </c>
      <c r="AX2901" s="374"/>
      <c r="AY2901" s="374"/>
      <c r="AZ2901" s="374"/>
      <c r="BA2901" s="374"/>
      <c r="BB2901" s="374"/>
      <c r="BC2901" s="374"/>
      <c r="BD2901" s="374"/>
      <c r="BE2901" s="374"/>
      <c r="BF2901" s="374"/>
      <c r="BG2901" s="374"/>
      <c r="BH2901" s="32"/>
      <c r="BI2901" s="32"/>
      <c r="BJ2901" s="32"/>
      <c r="BK2901" s="32"/>
      <c r="BL2901" s="32"/>
      <c r="BM2901" s="32"/>
      <c r="BN2901" s="32"/>
      <c r="BO2901" s="32"/>
      <c r="BP2901" s="32"/>
      <c r="BQ2901" s="32"/>
      <c r="BR2901" s="32"/>
      <c r="BS2901" s="32"/>
      <c r="BT2901" s="32"/>
      <c r="BU2901" s="32"/>
      <c r="BV2901" s="32"/>
      <c r="BW2901" s="32"/>
      <c r="BX2901" s="32"/>
      <c r="BY2901" s="32"/>
      <c r="BZ2901" s="32"/>
      <c r="CA2901" s="32"/>
      <c r="CB2901" s="32"/>
      <c r="CC2901" s="32"/>
      <c r="CD2901" s="32"/>
    </row>
    <row r="2902" ht="15.75" hidden="1" customHeight="1" outlineLevel="1">
      <c r="A2902" s="365"/>
      <c r="B2902" s="38"/>
      <c r="C2902" s="374"/>
      <c r="D2902" s="374"/>
      <c r="E2902" s="374"/>
      <c r="F2902" s="374"/>
      <c r="G2902" s="374"/>
      <c r="H2902" s="374"/>
      <c r="I2902" s="374"/>
      <c r="J2902" s="374"/>
      <c r="K2902" s="374"/>
      <c r="L2902" s="374"/>
      <c r="M2902" s="374"/>
      <c r="N2902" s="374"/>
      <c r="O2902" s="374"/>
      <c r="P2902" s="374"/>
      <c r="Q2902" s="374"/>
      <c r="R2902" s="374"/>
      <c r="S2902" s="38"/>
      <c r="T2902" s="38"/>
      <c r="U2902" s="38"/>
      <c r="V2902" s="38"/>
      <c r="W2902" s="38"/>
      <c r="X2902" s="32"/>
      <c r="Y2902" s="32"/>
      <c r="Z2902" s="32"/>
      <c r="AA2902" s="32"/>
      <c r="AB2902" s="32"/>
      <c r="AC2902" s="32"/>
      <c r="AD2902" s="32"/>
      <c r="AE2902" s="32"/>
      <c r="AF2902" s="32"/>
      <c r="AG2902" s="32"/>
      <c r="AH2902" s="32"/>
      <c r="AI2902" s="32"/>
      <c r="AJ2902" s="373">
        <f>PPMT('Assumptions (T&amp;D)'!$C$20,Model!W$1,'Assumptions (T&amp;D)'!$C$23,Model!$AJ$2866)</f>
        <v>-0.1490929626</v>
      </c>
      <c r="AK2902" s="373">
        <f>PPMT('Assumptions (T&amp;D)'!$C$20,Model!X$1,'Assumptions (T&amp;D)'!$C$23,Model!$AJ$2866)</f>
        <v>-0.1561748783</v>
      </c>
      <c r="AL2902" s="373">
        <f>PPMT('Assumptions (T&amp;D)'!$C$20,Model!Y$1,'Assumptions (T&amp;D)'!$C$23,Model!$AJ$2866)</f>
        <v>-0.163593185</v>
      </c>
      <c r="AM2902" s="373">
        <f>PPMT('Assumptions (T&amp;D)'!$C$20,Model!Z$1,'Assumptions (T&amp;D)'!$C$23,Model!$AJ$2866)</f>
        <v>-0.1713638613</v>
      </c>
      <c r="AN2902" s="373">
        <f>PPMT('Assumptions (T&amp;D)'!$C$20,Model!AA$1,'Assumptions (T&amp;D)'!$C$23,Model!$AJ$2866)</f>
        <v>-0.1795036447</v>
      </c>
      <c r="AO2902" s="373">
        <f>PPMT('Assumptions (T&amp;D)'!$C$20,Model!AB$1,'Assumptions (T&amp;D)'!$C$23,Model!$AJ$2866)</f>
        <v>-0.1880300678</v>
      </c>
      <c r="AP2902" s="373">
        <f>PPMT('Assumptions (T&amp;D)'!$C$20,Model!AC$1,'Assumptions (T&amp;D)'!$C$23,Model!$AJ$2866)</f>
        <v>-0.196961496</v>
      </c>
      <c r="AQ2902" s="373">
        <f>PPMT('Assumptions (T&amp;D)'!$C$20,Model!AD$1,'Assumptions (T&amp;D)'!$C$23,Model!$AJ$2866)</f>
        <v>-0.2063171671</v>
      </c>
      <c r="AR2902" s="373">
        <f>PPMT('Assumptions (T&amp;D)'!$C$20,Model!AE$1,'Assumptions (T&amp;D)'!$C$23,Model!$AJ$2866)</f>
        <v>-0.2161172325</v>
      </c>
      <c r="AS2902" s="373">
        <f>PPMT('Assumptions (T&amp;D)'!$C$20,Model!AF$1,'Assumptions (T&amp;D)'!$C$23,Model!$AJ$2866)</f>
        <v>-0.2263828011</v>
      </c>
      <c r="AT2902" s="373">
        <f>PPMT('Assumptions (T&amp;D)'!$C$20,Model!AG$1,'Assumptions (T&amp;D)'!$C$23,Model!$AJ$2866)</f>
        <v>-0.2371359841</v>
      </c>
      <c r="AU2902" s="373">
        <f>PPMT('Assumptions (T&amp;D)'!$C$20,Model!AH$1,'Assumptions (T&amp;D)'!$C$23,Model!$AJ$2866)</f>
        <v>-0.2483999434</v>
      </c>
      <c r="AV2902" s="373">
        <f>PPMT('Assumptions (T&amp;D)'!$C$20,Model!AI$1,'Assumptions (T&amp;D)'!$C$23,Model!$AJ$2866)</f>
        <v>-0.2601989407</v>
      </c>
      <c r="AW2902" s="373">
        <f>PPMT('Assumptions (T&amp;D)'!$C$20,Model!AJ$1,'Assumptions (T&amp;D)'!$C$23,Model!$AJ$2866)</f>
        <v>-0.2725583904</v>
      </c>
      <c r="AX2902" s="373">
        <f>PPMT('Assumptions (T&amp;D)'!$C$20,Model!AK$1,'Assumptions (T&amp;D)'!$C$23,Model!$AJ$2866)</f>
        <v>-0.2855049139</v>
      </c>
      <c r="AY2902" s="374"/>
      <c r="AZ2902" s="374"/>
      <c r="BA2902" s="374"/>
      <c r="BB2902" s="374"/>
      <c r="BC2902" s="374"/>
      <c r="BD2902" s="374"/>
      <c r="BE2902" s="374"/>
      <c r="BF2902" s="374"/>
      <c r="BG2902" s="374"/>
      <c r="BH2902" s="374"/>
      <c r="BI2902" s="32"/>
      <c r="BJ2902" s="32"/>
      <c r="BK2902" s="32"/>
      <c r="BL2902" s="32"/>
      <c r="BM2902" s="32"/>
      <c r="BN2902" s="32"/>
      <c r="BO2902" s="32"/>
      <c r="BP2902" s="32"/>
      <c r="BQ2902" s="32"/>
      <c r="BR2902" s="32"/>
      <c r="BS2902" s="32"/>
      <c r="BT2902" s="32"/>
      <c r="BU2902" s="32"/>
      <c r="BV2902" s="32"/>
      <c r="BW2902" s="32"/>
      <c r="BX2902" s="32"/>
      <c r="BY2902" s="32"/>
      <c r="BZ2902" s="32"/>
      <c r="CA2902" s="32"/>
      <c r="CB2902" s="32"/>
      <c r="CC2902" s="32"/>
      <c r="CD2902" s="32"/>
    </row>
    <row r="2903" ht="15.75" hidden="1" customHeight="1" outlineLevel="1">
      <c r="A2903" s="365"/>
      <c r="B2903" s="38"/>
      <c r="C2903" s="374"/>
      <c r="D2903" s="374"/>
      <c r="E2903" s="374"/>
      <c r="F2903" s="374"/>
      <c r="G2903" s="374"/>
      <c r="H2903" s="374"/>
      <c r="I2903" s="374"/>
      <c r="J2903" s="374"/>
      <c r="K2903" s="374"/>
      <c r="L2903" s="374"/>
      <c r="M2903" s="374"/>
      <c r="N2903" s="374"/>
      <c r="O2903" s="374"/>
      <c r="P2903" s="374"/>
      <c r="Q2903" s="374"/>
      <c r="R2903" s="374"/>
      <c r="S2903" s="38"/>
      <c r="T2903" s="38"/>
      <c r="U2903" s="38"/>
      <c r="V2903" s="38"/>
      <c r="W2903" s="38"/>
      <c r="X2903" s="32"/>
      <c r="Y2903" s="32"/>
      <c r="Z2903" s="32"/>
      <c r="AA2903" s="32"/>
      <c r="AB2903" s="32"/>
      <c r="AC2903" s="32"/>
      <c r="AD2903" s="32"/>
      <c r="AE2903" s="32"/>
      <c r="AF2903" s="32"/>
      <c r="AG2903" s="32"/>
      <c r="AH2903" s="32"/>
      <c r="AI2903" s="32"/>
      <c r="AJ2903" s="32"/>
      <c r="AK2903" s="373">
        <f>PPMT('Assumptions (T&amp;D)'!$C$20,Model!W$1,'Assumptions (T&amp;D)'!$C$23,Model!$AK$2866)</f>
        <v>-0.1531652495</v>
      </c>
      <c r="AL2903" s="373">
        <f>PPMT('Assumptions (T&amp;D)'!$C$20,Model!X$1,'Assumptions (T&amp;D)'!$C$23,Model!$AK$2866)</f>
        <v>-0.1604405988</v>
      </c>
      <c r="AM2903" s="373">
        <f>PPMT('Assumptions (T&amp;D)'!$C$20,Model!Y$1,'Assumptions (T&amp;D)'!$C$23,Model!$AK$2866)</f>
        <v>-0.1680615273</v>
      </c>
      <c r="AN2903" s="373">
        <f>PPMT('Assumptions (T&amp;D)'!$C$20,Model!Z$1,'Assumptions (T&amp;D)'!$C$23,Model!$AK$2866)</f>
        <v>-0.1760444498</v>
      </c>
      <c r="AO2903" s="373">
        <f>PPMT('Assumptions (T&amp;D)'!$C$20,Model!AA$1,'Assumptions (T&amp;D)'!$C$23,Model!$AK$2866)</f>
        <v>-0.1844065612</v>
      </c>
      <c r="AP2903" s="373">
        <f>PPMT('Assumptions (T&amp;D)'!$C$20,Model!AB$1,'Assumptions (T&amp;D)'!$C$23,Model!$AK$2866)</f>
        <v>-0.1931658728</v>
      </c>
      <c r="AQ2903" s="373">
        <f>PPMT('Assumptions (T&amp;D)'!$C$20,Model!AC$1,'Assumptions (T&amp;D)'!$C$23,Model!$AK$2866)</f>
        <v>-0.2023412518</v>
      </c>
      <c r="AR2903" s="373">
        <f>PPMT('Assumptions (T&amp;D)'!$C$20,Model!AD$1,'Assumptions (T&amp;D)'!$C$23,Model!$AK$2866)</f>
        <v>-0.2119524612</v>
      </c>
      <c r="AS2903" s="373">
        <f>PPMT('Assumptions (T&amp;D)'!$C$20,Model!AE$1,'Assumptions (T&amp;D)'!$C$23,Model!$AK$2866)</f>
        <v>-0.2220202032</v>
      </c>
      <c r="AT2903" s="373">
        <f>PPMT('Assumptions (T&amp;D)'!$C$20,Model!AF$1,'Assumptions (T&amp;D)'!$C$23,Model!$AK$2866)</f>
        <v>-0.2325661628</v>
      </c>
      <c r="AU2903" s="373">
        <f>PPMT('Assumptions (T&amp;D)'!$C$20,Model!AG$1,'Assumptions (T&amp;D)'!$C$23,Model!$AK$2866)</f>
        <v>-0.2436130555</v>
      </c>
      <c r="AV2903" s="373">
        <f>PPMT('Assumptions (T&amp;D)'!$C$20,Model!AH$1,'Assumptions (T&amp;D)'!$C$23,Model!$AK$2866)</f>
        <v>-0.2551846757</v>
      </c>
      <c r="AW2903" s="373">
        <f>PPMT('Assumptions (T&amp;D)'!$C$20,Model!AI$1,'Assumptions (T&amp;D)'!$C$23,Model!$AK$2866)</f>
        <v>-0.2673059478</v>
      </c>
      <c r="AX2903" s="373">
        <f>PPMT('Assumptions (T&amp;D)'!$C$20,Model!AJ$1,'Assumptions (T&amp;D)'!$C$23,Model!$AK$2866)</f>
        <v>-0.2800029803</v>
      </c>
      <c r="AY2903" s="373">
        <f>PPMT('Assumptions (T&amp;D)'!$C$20,Model!AK$1,'Assumptions (T&amp;D)'!$C$23,Model!$AK$2866)</f>
        <v>-0.2933031218</v>
      </c>
      <c r="AZ2903" s="374"/>
      <c r="BA2903" s="374"/>
      <c r="BB2903" s="374"/>
      <c r="BC2903" s="374"/>
      <c r="BD2903" s="374"/>
      <c r="BE2903" s="374"/>
      <c r="BF2903" s="374"/>
      <c r="BG2903" s="374"/>
      <c r="BH2903" s="374"/>
      <c r="BI2903" s="374"/>
      <c r="BJ2903" s="32"/>
      <c r="BK2903" s="32"/>
      <c r="BL2903" s="32"/>
      <c r="BM2903" s="32"/>
      <c r="BN2903" s="32"/>
      <c r="BO2903" s="32"/>
      <c r="BP2903" s="32"/>
      <c r="BQ2903" s="32"/>
      <c r="BR2903" s="32"/>
      <c r="BS2903" s="32"/>
      <c r="BT2903" s="32"/>
      <c r="BU2903" s="32"/>
      <c r="BV2903" s="32"/>
      <c r="BW2903" s="32"/>
      <c r="BX2903" s="32"/>
      <c r="BY2903" s="32"/>
      <c r="BZ2903" s="32"/>
      <c r="CA2903" s="32"/>
      <c r="CB2903" s="32"/>
      <c r="CC2903" s="32"/>
      <c r="CD2903" s="32"/>
    </row>
    <row r="2904" ht="15.75" hidden="1" customHeight="1" outlineLevel="1">
      <c r="A2904" s="365"/>
      <c r="B2904" s="38"/>
      <c r="C2904" s="374"/>
      <c r="D2904" s="374"/>
      <c r="E2904" s="374"/>
      <c r="F2904" s="374"/>
      <c r="G2904" s="374"/>
      <c r="H2904" s="374"/>
      <c r="I2904" s="374"/>
      <c r="J2904" s="374"/>
      <c r="K2904" s="374"/>
      <c r="L2904" s="374"/>
      <c r="M2904" s="374"/>
      <c r="N2904" s="374"/>
      <c r="O2904" s="374"/>
      <c r="P2904" s="374"/>
      <c r="Q2904" s="374"/>
      <c r="R2904" s="374"/>
      <c r="S2904" s="38"/>
      <c r="T2904" s="38"/>
      <c r="U2904" s="38"/>
      <c r="V2904" s="38"/>
      <c r="W2904" s="38"/>
      <c r="X2904" s="32"/>
      <c r="Y2904" s="32"/>
      <c r="Z2904" s="32"/>
      <c r="AA2904" s="32"/>
      <c r="AB2904" s="32"/>
      <c r="AC2904" s="32"/>
      <c r="AD2904" s="32"/>
      <c r="AE2904" s="32"/>
      <c r="AF2904" s="32"/>
      <c r="AG2904" s="32"/>
      <c r="AH2904" s="32"/>
      <c r="AI2904" s="32"/>
      <c r="AJ2904" s="32"/>
      <c r="AK2904" s="32"/>
      <c r="AL2904" s="373">
        <f>PPMT('Assumptions (T&amp;D)'!$C$20,Model!W$1,'Assumptions (T&amp;D)'!$C$23,Model!$AL$2866)</f>
        <v>-0.1573402315</v>
      </c>
      <c r="AM2904" s="373">
        <f>PPMT('Assumptions (T&amp;D)'!$C$20,Model!X$1,'Assumptions (T&amp;D)'!$C$23,Model!$AL$2866)</f>
        <v>-0.1648138925</v>
      </c>
      <c r="AN2904" s="373">
        <f>PPMT('Assumptions (T&amp;D)'!$C$20,Model!Y$1,'Assumptions (T&amp;D)'!$C$23,Model!$AL$2866)</f>
        <v>-0.1726425524</v>
      </c>
      <c r="AO2904" s="373">
        <f>PPMT('Assumptions (T&amp;D)'!$C$20,Model!Z$1,'Assumptions (T&amp;D)'!$C$23,Model!$AL$2866)</f>
        <v>-0.1808430737</v>
      </c>
      <c r="AP2904" s="373">
        <f>PPMT('Assumptions (T&amp;D)'!$C$20,Model!AA$1,'Assumptions (T&amp;D)'!$C$23,Model!$AL$2866)</f>
        <v>-0.1894331197</v>
      </c>
      <c r="AQ2904" s="373">
        <f>PPMT('Assumptions (T&amp;D)'!$C$20,Model!AB$1,'Assumptions (T&amp;D)'!$C$23,Model!$AL$2866)</f>
        <v>-0.1984311929</v>
      </c>
      <c r="AR2904" s="373">
        <f>PPMT('Assumptions (T&amp;D)'!$C$20,Model!AC$1,'Assumptions (T&amp;D)'!$C$23,Model!$AL$2866)</f>
        <v>-0.2078566745</v>
      </c>
      <c r="AS2904" s="373">
        <f>PPMT('Assumptions (T&amp;D)'!$C$20,Model!AD$1,'Assumptions (T&amp;D)'!$C$23,Model!$AL$2866)</f>
        <v>-0.2177298666</v>
      </c>
      <c r="AT2904" s="373">
        <f>PPMT('Assumptions (T&amp;D)'!$C$20,Model!AE$1,'Assumptions (T&amp;D)'!$C$23,Model!$AL$2866)</f>
        <v>-0.2280720352</v>
      </c>
      <c r="AU2904" s="373">
        <f>PPMT('Assumptions (T&amp;D)'!$C$20,Model!AF$1,'Assumptions (T&amp;D)'!$C$23,Model!$AL$2866)</f>
        <v>-0.2389054569</v>
      </c>
      <c r="AV2904" s="373">
        <f>PPMT('Assumptions (T&amp;D)'!$C$20,Model!AG$1,'Assumptions (T&amp;D)'!$C$23,Model!$AL$2866)</f>
        <v>-0.2502534661</v>
      </c>
      <c r="AW2904" s="373">
        <f>PPMT('Assumptions (T&amp;D)'!$C$20,Model!AH$1,'Assumptions (T&amp;D)'!$C$23,Model!$AL$2866)</f>
        <v>-0.2621405057</v>
      </c>
      <c r="AX2904" s="373">
        <f>PPMT('Assumptions (T&amp;D)'!$C$20,Model!AI$1,'Assumptions (T&amp;D)'!$C$23,Model!$AL$2866)</f>
        <v>-0.2745921798</v>
      </c>
      <c r="AY2904" s="373">
        <f>PPMT('Assumptions (T&amp;D)'!$C$20,Model!AJ$1,'Assumptions (T&amp;D)'!$C$23,Model!$AL$2866)</f>
        <v>-0.2876353083</v>
      </c>
      <c r="AZ2904" s="373">
        <f>PPMT('Assumptions (T&amp;D)'!$C$20,Model!AK$1,'Assumptions (T&amp;D)'!$C$23,Model!$AL$2866)</f>
        <v>-0.3012979855</v>
      </c>
      <c r="BA2904" s="374"/>
      <c r="BB2904" s="374"/>
      <c r="BC2904" s="374"/>
      <c r="BD2904" s="374"/>
      <c r="BE2904" s="374"/>
      <c r="BF2904" s="374"/>
      <c r="BG2904" s="374"/>
      <c r="BH2904" s="374"/>
      <c r="BI2904" s="374"/>
      <c r="BJ2904" s="374"/>
      <c r="BK2904" s="32"/>
      <c r="BL2904" s="32"/>
      <c r="BM2904" s="32"/>
      <c r="BN2904" s="32"/>
      <c r="BO2904" s="32"/>
      <c r="BP2904" s="32"/>
      <c r="BQ2904" s="32"/>
      <c r="BR2904" s="32"/>
      <c r="BS2904" s="32"/>
      <c r="BT2904" s="32"/>
      <c r="BU2904" s="32"/>
      <c r="BV2904" s="32"/>
      <c r="BW2904" s="32"/>
      <c r="BX2904" s="32"/>
      <c r="BY2904" s="32"/>
      <c r="BZ2904" s="32"/>
      <c r="CA2904" s="32"/>
      <c r="CB2904" s="32"/>
      <c r="CC2904" s="32"/>
      <c r="CD2904" s="32"/>
    </row>
    <row r="2905" ht="15.75" hidden="1" customHeight="1" outlineLevel="1">
      <c r="A2905" s="365"/>
      <c r="B2905" s="38"/>
      <c r="C2905" s="374"/>
      <c r="D2905" s="374"/>
      <c r="E2905" s="374"/>
      <c r="F2905" s="374"/>
      <c r="G2905" s="374"/>
      <c r="H2905" s="374"/>
      <c r="I2905" s="374"/>
      <c r="J2905" s="374"/>
      <c r="K2905" s="374"/>
      <c r="L2905" s="374"/>
      <c r="M2905" s="374"/>
      <c r="N2905" s="374"/>
      <c r="O2905" s="374"/>
      <c r="P2905" s="374"/>
      <c r="Q2905" s="374"/>
      <c r="R2905" s="374"/>
      <c r="S2905" s="38"/>
      <c r="T2905" s="38"/>
      <c r="U2905" s="38"/>
      <c r="V2905" s="38"/>
      <c r="W2905" s="38"/>
      <c r="X2905" s="32"/>
      <c r="Y2905" s="32"/>
      <c r="Z2905" s="32"/>
      <c r="AA2905" s="32"/>
      <c r="AB2905" s="32"/>
      <c r="AC2905" s="32"/>
      <c r="AD2905" s="32"/>
      <c r="AE2905" s="32"/>
      <c r="AF2905" s="32"/>
      <c r="AG2905" s="32"/>
      <c r="AH2905" s="32"/>
      <c r="AI2905" s="32"/>
      <c r="AJ2905" s="32"/>
      <c r="AK2905" s="32"/>
      <c r="AL2905" s="32"/>
      <c r="AM2905" s="373">
        <f>PPMT('Assumptions (T&amp;D)'!$C$20,Model!W$1,'Assumptions (T&amp;D)'!$C$23,Model!$AM$2866)</f>
        <v>-0.1616203767</v>
      </c>
      <c r="AN2905" s="373">
        <f>PPMT('Assumptions (T&amp;D)'!$C$20,Model!X$1,'Assumptions (T&amp;D)'!$C$23,Model!$AM$2866)</f>
        <v>-0.1692973446</v>
      </c>
      <c r="AO2905" s="373">
        <f>PPMT('Assumptions (T&amp;D)'!$C$20,Model!Y$1,'Assumptions (T&amp;D)'!$C$23,Model!$AM$2866)</f>
        <v>-0.1773389685</v>
      </c>
      <c r="AP2905" s="373">
        <f>PPMT('Assumptions (T&amp;D)'!$C$20,Model!Z$1,'Assumptions (T&amp;D)'!$C$23,Model!$AM$2866)</f>
        <v>-0.1857625695</v>
      </c>
      <c r="AQ2905" s="373">
        <f>PPMT('Assumptions (T&amp;D)'!$C$20,Model!AA$1,'Assumptions (T&amp;D)'!$C$23,Model!$AM$2866)</f>
        <v>-0.1945862916</v>
      </c>
      <c r="AR2905" s="373">
        <f>PPMT('Assumptions (T&amp;D)'!$C$20,Model!AB$1,'Assumptions (T&amp;D)'!$C$23,Model!$AM$2866)</f>
        <v>-0.2038291404</v>
      </c>
      <c r="AS2905" s="373">
        <f>PPMT('Assumptions (T&amp;D)'!$C$20,Model!AC$1,'Assumptions (T&amp;D)'!$C$23,Model!$AM$2866)</f>
        <v>-0.2135110246</v>
      </c>
      <c r="AT2905" s="373">
        <f>PPMT('Assumptions (T&amp;D)'!$C$20,Model!AD$1,'Assumptions (T&amp;D)'!$C$23,Model!$AM$2866)</f>
        <v>-0.2236527982</v>
      </c>
      <c r="AU2905" s="373">
        <f>PPMT('Assumptions (T&amp;D)'!$C$20,Model!AE$1,'Assumptions (T&amp;D)'!$C$23,Model!$AM$2866)</f>
        <v>-0.2342763062</v>
      </c>
      <c r="AV2905" s="373">
        <f>PPMT('Assumptions (T&amp;D)'!$C$20,Model!AF$1,'Assumptions (T&amp;D)'!$C$23,Model!$AM$2866)</f>
        <v>-0.2454044307</v>
      </c>
      <c r="AW2905" s="373">
        <f>PPMT('Assumptions (T&amp;D)'!$C$20,Model!AG$1,'Assumptions (T&amp;D)'!$C$23,Model!$AM$2866)</f>
        <v>-0.2570611412</v>
      </c>
      <c r="AX2905" s="373">
        <f>PPMT('Assumptions (T&amp;D)'!$C$20,Model!AH$1,'Assumptions (T&amp;D)'!$C$23,Model!$AM$2866)</f>
        <v>-0.2692715454</v>
      </c>
      <c r="AY2905" s="373">
        <f>PPMT('Assumptions (T&amp;D)'!$C$20,Model!AI$1,'Assumptions (T&amp;D)'!$C$23,Model!$AM$2866)</f>
        <v>-0.2820619438</v>
      </c>
      <c r="AZ2905" s="373">
        <f>PPMT('Assumptions (T&amp;D)'!$C$20,Model!AJ$1,'Assumptions (T&amp;D)'!$C$23,Model!$AM$2866)</f>
        <v>-0.2954598861</v>
      </c>
      <c r="BA2905" s="373">
        <f>PPMT('Assumptions (T&amp;D)'!$C$20,Model!AK$1,'Assumptions (T&amp;D)'!$C$23,Model!$AM$2866)</f>
        <v>-0.3094942307</v>
      </c>
      <c r="BB2905" s="374"/>
      <c r="BC2905" s="374"/>
      <c r="BD2905" s="374"/>
      <c r="BE2905" s="374"/>
      <c r="BF2905" s="374"/>
      <c r="BG2905" s="374"/>
      <c r="BH2905" s="374"/>
      <c r="BI2905" s="374"/>
      <c r="BJ2905" s="374"/>
      <c r="BK2905" s="374"/>
      <c r="BL2905" s="32"/>
      <c r="BM2905" s="32"/>
      <c r="BN2905" s="32"/>
      <c r="BO2905" s="32"/>
      <c r="BP2905" s="32"/>
      <c r="BQ2905" s="32"/>
      <c r="BR2905" s="32"/>
      <c r="BS2905" s="32"/>
      <c r="BT2905" s="32"/>
      <c r="BU2905" s="32"/>
      <c r="BV2905" s="32"/>
      <c r="BW2905" s="32"/>
      <c r="BX2905" s="32"/>
      <c r="BY2905" s="32"/>
      <c r="BZ2905" s="32"/>
      <c r="CA2905" s="32"/>
      <c r="CB2905" s="32"/>
      <c r="CC2905" s="32"/>
      <c r="CD2905" s="32"/>
    </row>
    <row r="2906" ht="15.75" hidden="1" customHeight="1" outlineLevel="1">
      <c r="A2906" s="365"/>
      <c r="B2906" s="38"/>
      <c r="C2906" s="374"/>
      <c r="D2906" s="374"/>
      <c r="E2906" s="374"/>
      <c r="F2906" s="374"/>
      <c r="G2906" s="374"/>
      <c r="H2906" s="374"/>
      <c r="I2906" s="374"/>
      <c r="J2906" s="374"/>
      <c r="K2906" s="374"/>
      <c r="L2906" s="374"/>
      <c r="M2906" s="374"/>
      <c r="N2906" s="374"/>
      <c r="O2906" s="374"/>
      <c r="P2906" s="374"/>
      <c r="Q2906" s="374"/>
      <c r="R2906" s="374"/>
      <c r="S2906" s="38"/>
      <c r="T2906" s="38"/>
      <c r="U2906" s="38"/>
      <c r="V2906" s="38"/>
      <c r="W2906" s="38"/>
      <c r="X2906" s="32"/>
      <c r="Y2906" s="32"/>
      <c r="Z2906" s="32"/>
      <c r="AA2906" s="32"/>
      <c r="AB2906" s="32"/>
      <c r="AC2906" s="32"/>
      <c r="AD2906" s="32"/>
      <c r="AE2906" s="32"/>
      <c r="AF2906" s="32"/>
      <c r="AG2906" s="32"/>
      <c r="AH2906" s="32"/>
      <c r="AI2906" s="32"/>
      <c r="AJ2906" s="32"/>
      <c r="AK2906" s="32"/>
      <c r="AL2906" s="32"/>
      <c r="AM2906" s="32"/>
      <c r="AN2906" s="373">
        <f>PPMT('Assumptions (T&amp;D)'!$C$20,Model!W$1,'Assumptions (T&amp;D)'!$C$23,Model!$AN$2866)</f>
        <v>-0.1660082104</v>
      </c>
      <c r="AO2906" s="373">
        <f>PPMT('Assumptions (T&amp;D)'!$C$20,Model!X$1,'Assumptions (T&amp;D)'!$C$23,Model!$AN$2866)</f>
        <v>-0.1738936004</v>
      </c>
      <c r="AP2906" s="373">
        <f>PPMT('Assumptions (T&amp;D)'!$C$20,Model!Y$1,'Assumptions (T&amp;D)'!$C$23,Model!$AN$2866)</f>
        <v>-0.1821535464</v>
      </c>
      <c r="AQ2906" s="373">
        <f>PPMT('Assumptions (T&amp;D)'!$C$20,Model!Z$1,'Assumptions (T&amp;D)'!$C$23,Model!$AN$2866)</f>
        <v>-0.1908058398</v>
      </c>
      <c r="AR2906" s="373">
        <f>PPMT('Assumptions (T&amp;D)'!$C$20,Model!AA$1,'Assumptions (T&amp;D)'!$C$23,Model!$AN$2866)</f>
        <v>-0.1998691172</v>
      </c>
      <c r="AS2906" s="373">
        <f>PPMT('Assumptions (T&amp;D)'!$C$20,Model!AB$1,'Assumptions (T&amp;D)'!$C$23,Model!$AN$2866)</f>
        <v>-0.2093629003</v>
      </c>
      <c r="AT2906" s="373">
        <f>PPMT('Assumptions (T&amp;D)'!$C$20,Model!AC$1,'Assumptions (T&amp;D)'!$C$23,Model!$AN$2866)</f>
        <v>-0.2193076381</v>
      </c>
      <c r="AU2906" s="373">
        <f>PPMT('Assumptions (T&amp;D)'!$C$20,Model!AD$1,'Assumptions (T&amp;D)'!$C$23,Model!$AN$2866)</f>
        <v>-0.2297247509</v>
      </c>
      <c r="AV2906" s="373">
        <f>PPMT('Assumptions (T&amp;D)'!$C$20,Model!AE$1,'Assumptions (T&amp;D)'!$C$23,Model!$AN$2866)</f>
        <v>-0.2406366765</v>
      </c>
      <c r="AW2906" s="373">
        <f>PPMT('Assumptions (T&amp;D)'!$C$20,Model!AF$1,'Assumptions (T&amp;D)'!$C$23,Model!$AN$2866)</f>
        <v>-0.2520669187</v>
      </c>
      <c r="AX2906" s="373">
        <f>PPMT('Assumptions (T&amp;D)'!$C$20,Model!AG$1,'Assumptions (T&amp;D)'!$C$23,Model!$AN$2866)</f>
        <v>-0.2640400973</v>
      </c>
      <c r="AY2906" s="373">
        <f>PPMT('Assumptions (T&amp;D)'!$C$20,Model!AH$1,'Assumptions (T&amp;D)'!$C$23,Model!$AN$2866)</f>
        <v>-0.2765820019</v>
      </c>
      <c r="AZ2906" s="373">
        <f>PPMT('Assumptions (T&amp;D)'!$C$20,Model!AI$1,'Assumptions (T&amp;D)'!$C$23,Model!$AN$2866)</f>
        <v>-0.289719647</v>
      </c>
      <c r="BA2906" s="373">
        <f>PPMT('Assumptions (T&amp;D)'!$C$20,Model!AJ$1,'Assumptions (T&amp;D)'!$C$23,Model!$AN$2866)</f>
        <v>-0.3034813303</v>
      </c>
      <c r="BB2906" s="373">
        <f>PPMT('Assumptions (T&amp;D)'!$C$20,Model!AK$1,'Assumptions (T&amp;D)'!$C$23,Model!$AN$2866)</f>
        <v>-0.3178966934</v>
      </c>
      <c r="BC2906" s="374"/>
      <c r="BD2906" s="374"/>
      <c r="BE2906" s="374"/>
      <c r="BF2906" s="374"/>
      <c r="BG2906" s="374"/>
      <c r="BH2906" s="374"/>
      <c r="BI2906" s="374"/>
      <c r="BJ2906" s="374"/>
      <c r="BK2906" s="374"/>
      <c r="BL2906" s="374"/>
      <c r="BM2906" s="32"/>
      <c r="BN2906" s="32"/>
      <c r="BO2906" s="32"/>
      <c r="BP2906" s="32"/>
      <c r="BQ2906" s="32"/>
      <c r="BR2906" s="32"/>
      <c r="BS2906" s="32"/>
      <c r="BT2906" s="32"/>
      <c r="BU2906" s="32"/>
      <c r="BV2906" s="32"/>
      <c r="BW2906" s="32"/>
      <c r="BX2906" s="32"/>
      <c r="BY2906" s="32"/>
      <c r="BZ2906" s="32"/>
      <c r="CA2906" s="32"/>
      <c r="CB2906" s="32"/>
      <c r="CC2906" s="32"/>
      <c r="CD2906" s="32"/>
    </row>
    <row r="2907" ht="15.75" hidden="1" customHeight="1" outlineLevel="1">
      <c r="A2907" s="365"/>
      <c r="B2907" s="38"/>
      <c r="C2907" s="374"/>
      <c r="D2907" s="374"/>
      <c r="E2907" s="374"/>
      <c r="F2907" s="374"/>
      <c r="G2907" s="374"/>
      <c r="H2907" s="374"/>
      <c r="I2907" s="374"/>
      <c r="J2907" s="374"/>
      <c r="K2907" s="374"/>
      <c r="L2907" s="374"/>
      <c r="M2907" s="374"/>
      <c r="N2907" s="374"/>
      <c r="O2907" s="374"/>
      <c r="P2907" s="374"/>
      <c r="Q2907" s="374"/>
      <c r="R2907" s="374"/>
      <c r="S2907" s="38"/>
      <c r="T2907" s="38"/>
      <c r="U2907" s="38"/>
      <c r="V2907" s="38"/>
      <c r="W2907" s="38"/>
      <c r="X2907" s="32"/>
      <c r="Y2907" s="32"/>
      <c r="Z2907" s="32"/>
      <c r="AA2907" s="32"/>
      <c r="AB2907" s="32"/>
      <c r="AC2907" s="32"/>
      <c r="AD2907" s="32"/>
      <c r="AE2907" s="32"/>
      <c r="AF2907" s="32"/>
      <c r="AG2907" s="32"/>
      <c r="AH2907" s="32"/>
      <c r="AI2907" s="32"/>
      <c r="AJ2907" s="32"/>
      <c r="AK2907" s="32"/>
      <c r="AL2907" s="32"/>
      <c r="AM2907" s="32"/>
      <c r="AN2907" s="32"/>
      <c r="AO2907" s="373">
        <f>PPMT('Assumptions (T&amp;D)'!$C$20,Model!W$1,'Assumptions (T&amp;D)'!$C$23,Model!$AO$2866)</f>
        <v>-0.1705063165</v>
      </c>
      <c r="AP2907" s="373">
        <f>PPMT('Assumptions (T&amp;D)'!$C$20,Model!X$1,'Assumptions (T&amp;D)'!$C$23,Model!$AO$2866)</f>
        <v>-0.1786053666</v>
      </c>
      <c r="AQ2907" s="373">
        <f>PPMT('Assumptions (T&amp;D)'!$C$20,Model!Y$1,'Assumptions (T&amp;D)'!$C$23,Model!$AO$2866)</f>
        <v>-0.1870891215</v>
      </c>
      <c r="AR2907" s="373">
        <f>PPMT('Assumptions (T&amp;D)'!$C$20,Model!Z$1,'Assumptions (T&amp;D)'!$C$23,Model!$AO$2866)</f>
        <v>-0.1959758548</v>
      </c>
      <c r="AS2907" s="373">
        <f>PPMT('Assumptions (T&amp;D)'!$C$20,Model!AA$1,'Assumptions (T&amp;D)'!$C$23,Model!$AO$2866)</f>
        <v>-0.2052847079</v>
      </c>
      <c r="AT2907" s="373">
        <f>PPMT('Assumptions (T&amp;D)'!$C$20,Model!AB$1,'Assumptions (T&amp;D)'!$C$23,Model!$AO$2866)</f>
        <v>-0.2150357315</v>
      </c>
      <c r="AU2907" s="373">
        <f>PPMT('Assumptions (T&amp;D)'!$C$20,Model!AC$1,'Assumptions (T&amp;D)'!$C$23,Model!$AO$2866)</f>
        <v>-0.2252499287</v>
      </c>
      <c r="AV2907" s="373">
        <f>PPMT('Assumptions (T&amp;D)'!$C$20,Model!AD$1,'Assumptions (T&amp;D)'!$C$23,Model!$AO$2866)</f>
        <v>-0.2359493003</v>
      </c>
      <c r="AW2907" s="373">
        <f>PPMT('Assumptions (T&amp;D)'!$C$20,Model!AE$1,'Assumptions (T&amp;D)'!$C$23,Model!$AO$2866)</f>
        <v>-0.2471568921</v>
      </c>
      <c r="AX2907" s="373">
        <f>PPMT('Assumptions (T&amp;D)'!$C$20,Model!AF$1,'Assumptions (T&amp;D)'!$C$23,Model!$AO$2866)</f>
        <v>-0.2588968445</v>
      </c>
      <c r="AY2907" s="373">
        <f>PPMT('Assumptions (T&amp;D)'!$C$20,Model!AG$1,'Assumptions (T&amp;D)'!$C$23,Model!$AO$2866)</f>
        <v>-0.2711944446</v>
      </c>
      <c r="AZ2907" s="373">
        <f>PPMT('Assumptions (T&amp;D)'!$C$20,Model!AH$1,'Assumptions (T&amp;D)'!$C$23,Model!$AO$2866)</f>
        <v>-0.2840761807</v>
      </c>
      <c r="BA2907" s="373">
        <f>PPMT('Assumptions (T&amp;D)'!$C$20,Model!AI$1,'Assumptions (T&amp;D)'!$C$23,Model!$AO$2866)</f>
        <v>-0.2975697993</v>
      </c>
      <c r="BB2907" s="373">
        <f>PPMT('Assumptions (T&amp;D)'!$C$20,Model!AJ$1,'Assumptions (T&amp;D)'!$C$23,Model!$AO$2866)</f>
        <v>-0.3117043648</v>
      </c>
      <c r="BC2907" s="373">
        <f>PPMT('Assumptions (T&amp;D)'!$C$20,Model!AK$1,'Assumptions (T&amp;D)'!$C$23,Model!$AO$2866)</f>
        <v>-0.3265103221</v>
      </c>
      <c r="BD2907" s="374"/>
      <c r="BE2907" s="374"/>
      <c r="BF2907" s="374"/>
      <c r="BG2907" s="374"/>
      <c r="BH2907" s="374"/>
      <c r="BI2907" s="374"/>
      <c r="BJ2907" s="374"/>
      <c r="BK2907" s="374"/>
      <c r="BL2907" s="374"/>
      <c r="BM2907" s="374"/>
      <c r="BN2907" s="32"/>
      <c r="BO2907" s="32"/>
      <c r="BP2907" s="32"/>
      <c r="BQ2907" s="32"/>
      <c r="BR2907" s="32"/>
      <c r="BS2907" s="32"/>
      <c r="BT2907" s="32"/>
      <c r="BU2907" s="32"/>
      <c r="BV2907" s="32"/>
      <c r="BW2907" s="32"/>
      <c r="BX2907" s="32"/>
      <c r="BY2907" s="32"/>
      <c r="BZ2907" s="32"/>
      <c r="CA2907" s="32"/>
      <c r="CB2907" s="32"/>
      <c r="CC2907" s="32"/>
      <c r="CD2907" s="32"/>
    </row>
    <row r="2908" ht="15.75" hidden="1" customHeight="1" outlineLevel="1">
      <c r="A2908" s="365"/>
      <c r="B2908" s="38"/>
      <c r="C2908" s="374"/>
      <c r="D2908" s="374"/>
      <c r="E2908" s="374"/>
      <c r="F2908" s="374"/>
      <c r="G2908" s="374"/>
      <c r="H2908" s="374"/>
      <c r="I2908" s="374"/>
      <c r="J2908" s="374"/>
      <c r="K2908" s="374"/>
      <c r="L2908" s="374"/>
      <c r="M2908" s="374"/>
      <c r="N2908" s="374"/>
      <c r="O2908" s="374"/>
      <c r="P2908" s="374"/>
      <c r="Q2908" s="374"/>
      <c r="R2908" s="374"/>
      <c r="S2908" s="38"/>
      <c r="T2908" s="38"/>
      <c r="U2908" s="38"/>
      <c r="V2908" s="38"/>
      <c r="W2908" s="38"/>
      <c r="X2908" s="32"/>
      <c r="Y2908" s="32"/>
      <c r="Z2908" s="32"/>
      <c r="AA2908" s="32"/>
      <c r="AB2908" s="32"/>
      <c r="AC2908" s="32"/>
      <c r="AD2908" s="32"/>
      <c r="AE2908" s="32"/>
      <c r="AF2908" s="32"/>
      <c r="AG2908" s="32"/>
      <c r="AH2908" s="32"/>
      <c r="AI2908" s="32"/>
      <c r="AJ2908" s="32"/>
      <c r="AK2908" s="32"/>
      <c r="AL2908" s="32"/>
      <c r="AM2908" s="32"/>
      <c r="AN2908" s="32"/>
      <c r="AO2908" s="32"/>
      <c r="AP2908" s="373">
        <f>PPMT('Assumptions (T&amp;D)'!$C$20,Model!W$1,'Assumptions (T&amp;D)'!$C$23,Model!$AP$2866)</f>
        <v>-0.1751173394</v>
      </c>
      <c r="AQ2908" s="373">
        <f>PPMT('Assumptions (T&amp;D)'!$C$20,Model!X$1,'Assumptions (T&amp;D)'!$C$23,Model!$AP$2866)</f>
        <v>-0.183435413</v>
      </c>
      <c r="AR2908" s="373">
        <f>PPMT('Assumptions (T&amp;D)'!$C$20,Model!Y$1,'Assumptions (T&amp;D)'!$C$23,Model!$AP$2866)</f>
        <v>-0.1921485951</v>
      </c>
      <c r="AS2908" s="373">
        <f>PPMT('Assumptions (T&amp;D)'!$C$20,Model!Z$1,'Assumptions (T&amp;D)'!$C$23,Model!$AP$2866)</f>
        <v>-0.2012756534</v>
      </c>
      <c r="AT2908" s="373">
        <f>PPMT('Assumptions (T&amp;D)'!$C$20,Model!AA$1,'Assumptions (T&amp;D)'!$C$23,Model!$AP$2866)</f>
        <v>-0.2108362469</v>
      </c>
      <c r="AU2908" s="373">
        <f>PPMT('Assumptions (T&amp;D)'!$C$20,Model!AB$1,'Assumptions (T&amp;D)'!$C$23,Model!$AP$2866)</f>
        <v>-0.2208509686</v>
      </c>
      <c r="AV2908" s="373">
        <f>PPMT('Assumptions (T&amp;D)'!$C$20,Model!AC$1,'Assumptions (T&amp;D)'!$C$23,Model!$AP$2866)</f>
        <v>-0.2313413896</v>
      </c>
      <c r="AW2908" s="373">
        <f>PPMT('Assumptions (T&amp;D)'!$C$20,Model!AD$1,'Assumptions (T&amp;D)'!$C$23,Model!$AP$2866)</f>
        <v>-0.2423301056</v>
      </c>
      <c r="AX2908" s="373">
        <f>PPMT('Assumptions (T&amp;D)'!$C$20,Model!AE$1,'Assumptions (T&amp;D)'!$C$23,Model!$AP$2866)</f>
        <v>-0.2538407857</v>
      </c>
      <c r="AY2908" s="373">
        <f>PPMT('Assumptions (T&amp;D)'!$C$20,Model!AF$1,'Assumptions (T&amp;D)'!$C$23,Model!$AP$2866)</f>
        <v>-0.265898223</v>
      </c>
      <c r="AZ2908" s="373">
        <f>PPMT('Assumptions (T&amp;D)'!$C$20,Model!AG$1,'Assumptions (T&amp;D)'!$C$23,Model!$AP$2866)</f>
        <v>-0.2785283886</v>
      </c>
      <c r="BA2908" s="373">
        <f>PPMT('Assumptions (T&amp;D)'!$C$20,Model!AH$1,'Assumptions (T&amp;D)'!$C$23,Model!$AP$2866)</f>
        <v>-0.291758487</v>
      </c>
      <c r="BB2908" s="373">
        <f>PPMT('Assumptions (T&amp;D)'!$C$20,Model!AI$1,'Assumptions (T&amp;D)'!$C$23,Model!$AP$2866)</f>
        <v>-0.3056170152</v>
      </c>
      <c r="BC2908" s="373">
        <f>PPMT('Assumptions (T&amp;D)'!$C$20,Model!AJ$1,'Assumptions (T&amp;D)'!$C$23,Model!$AP$2866)</f>
        <v>-0.3201338234</v>
      </c>
      <c r="BD2908" s="373">
        <f>PPMT('Assumptions (T&amp;D)'!$C$20,Model!AK$1,'Assumptions (T&amp;D)'!$C$23,Model!$AP$2866)</f>
        <v>-0.33534018</v>
      </c>
      <c r="BE2908" s="374"/>
      <c r="BF2908" s="374"/>
      <c r="BG2908" s="374"/>
      <c r="BH2908" s="374"/>
      <c r="BI2908" s="374"/>
      <c r="BJ2908" s="374"/>
      <c r="BK2908" s="374"/>
      <c r="BL2908" s="374"/>
      <c r="BM2908" s="374"/>
      <c r="BN2908" s="374"/>
      <c r="BO2908" s="32"/>
      <c r="BP2908" s="32"/>
      <c r="BQ2908" s="32"/>
      <c r="BR2908" s="32"/>
      <c r="BS2908" s="32"/>
      <c r="BT2908" s="32"/>
      <c r="BU2908" s="32"/>
      <c r="BV2908" s="32"/>
      <c r="BW2908" s="32"/>
      <c r="BX2908" s="32"/>
      <c r="BY2908" s="32"/>
      <c r="BZ2908" s="32"/>
      <c r="CA2908" s="32"/>
      <c r="CB2908" s="32"/>
      <c r="CC2908" s="32"/>
      <c r="CD2908" s="32"/>
    </row>
    <row r="2909" ht="15.75" hidden="1" customHeight="1" outlineLevel="1">
      <c r="A2909" s="365"/>
      <c r="B2909" s="38"/>
      <c r="C2909" s="374"/>
      <c r="D2909" s="374"/>
      <c r="E2909" s="374"/>
      <c r="F2909" s="374"/>
      <c r="G2909" s="374"/>
      <c r="H2909" s="374"/>
      <c r="I2909" s="374"/>
      <c r="J2909" s="374"/>
      <c r="K2909" s="374"/>
      <c r="L2909" s="374"/>
      <c r="M2909" s="374"/>
      <c r="N2909" s="374"/>
      <c r="O2909" s="374"/>
      <c r="P2909" s="374"/>
      <c r="Q2909" s="374"/>
      <c r="R2909" s="374"/>
      <c r="S2909" s="38"/>
      <c r="T2909" s="38"/>
      <c r="U2909" s="38"/>
      <c r="V2909" s="38"/>
      <c r="W2909" s="38"/>
      <c r="X2909" s="32"/>
      <c r="Y2909" s="32"/>
      <c r="Z2909" s="32"/>
      <c r="AA2909" s="32"/>
      <c r="AB2909" s="32"/>
      <c r="AC2909" s="32"/>
      <c r="AD2909" s="32"/>
      <c r="AE2909" s="32"/>
      <c r="AF2909" s="32"/>
      <c r="AG2909" s="32"/>
      <c r="AH2909" s="32"/>
      <c r="AI2909" s="32"/>
      <c r="AJ2909" s="32"/>
      <c r="AK2909" s="32"/>
      <c r="AL2909" s="32"/>
      <c r="AM2909" s="32"/>
      <c r="AN2909" s="32"/>
      <c r="AO2909" s="32"/>
      <c r="AP2909" s="32"/>
      <c r="AQ2909" s="373">
        <f>PPMT('Assumptions (T&amp;D)'!$C$20,Model!W$1,'Assumptions (T&amp;D)'!$C$23,Model!$AQ$2866)</f>
        <v>-0.1798439844</v>
      </c>
      <c r="AR2909" s="373">
        <f>PPMT('Assumptions (T&amp;D)'!$C$20,Model!X$1,'Assumptions (T&amp;D)'!$C$23,Model!$AQ$2866)</f>
        <v>-0.1883865737</v>
      </c>
      <c r="AS2909" s="373">
        <f>PPMT('Assumptions (T&amp;D)'!$C$20,Model!Y$1,'Assumptions (T&amp;D)'!$C$23,Model!$AQ$2866)</f>
        <v>-0.1973349359</v>
      </c>
      <c r="AT2909" s="373">
        <f>PPMT('Assumptions (T&amp;D)'!$C$20,Model!Z$1,'Assumptions (T&amp;D)'!$C$23,Model!$AQ$2866)</f>
        <v>-0.2067083454</v>
      </c>
      <c r="AU2909" s="373">
        <f>PPMT('Assumptions (T&amp;D)'!$C$20,Model!AA$1,'Assumptions (T&amp;D)'!$C$23,Model!$AQ$2866)</f>
        <v>-0.2165269918</v>
      </c>
      <c r="AV2909" s="373">
        <f>PPMT('Assumptions (T&amp;D)'!$C$20,Model!AB$1,'Assumptions (T&amp;D)'!$C$23,Model!$AQ$2866)</f>
        <v>-0.2268120239</v>
      </c>
      <c r="AW2909" s="373">
        <f>PPMT('Assumptions (T&amp;D)'!$C$20,Model!AC$1,'Assumptions (T&amp;D)'!$C$23,Model!$AQ$2866)</f>
        <v>-0.237585595</v>
      </c>
      <c r="AX2909" s="373">
        <f>PPMT('Assumptions (T&amp;D)'!$C$20,Model!AD$1,'Assumptions (T&amp;D)'!$C$23,Model!$AQ$2866)</f>
        <v>-0.2488709108</v>
      </c>
      <c r="AY2909" s="373">
        <f>PPMT('Assumptions (T&amp;D)'!$C$20,Model!AE$1,'Assumptions (T&amp;D)'!$C$23,Model!$AQ$2866)</f>
        <v>-0.2606922791</v>
      </c>
      <c r="AZ2909" s="373">
        <f>PPMT('Assumptions (T&amp;D)'!$C$20,Model!AF$1,'Assumptions (T&amp;D)'!$C$23,Model!$AQ$2866)</f>
        <v>-0.2730751623</v>
      </c>
      <c r="BA2909" s="373">
        <f>PPMT('Assumptions (T&amp;D)'!$C$20,Model!AG$1,'Assumptions (T&amp;D)'!$C$23,Model!$AQ$2866)</f>
        <v>-0.2860462325</v>
      </c>
      <c r="BB2909" s="373">
        <f>PPMT('Assumptions (T&amp;D)'!$C$20,Model!AH$1,'Assumptions (T&amp;D)'!$C$23,Model!$AQ$2866)</f>
        <v>-0.2996334286</v>
      </c>
      <c r="BC2909" s="373">
        <f>PPMT('Assumptions (T&amp;D)'!$C$20,Model!AI$1,'Assumptions (T&amp;D)'!$C$23,Model!$AQ$2866)</f>
        <v>-0.3138660164</v>
      </c>
      <c r="BD2909" s="373">
        <f>PPMT('Assumptions (T&amp;D)'!$C$20,Model!AJ$1,'Assumptions (T&amp;D)'!$C$23,Model!$AQ$2866)</f>
        <v>-0.3287746522</v>
      </c>
      <c r="BE2909" s="373">
        <f>PPMT('Assumptions (T&amp;D)'!$C$20,Model!AK$1,'Assumptions (T&amp;D)'!$C$23,Model!$AQ$2866)</f>
        <v>-0.3443914482</v>
      </c>
      <c r="BF2909" s="374"/>
      <c r="BG2909" s="374"/>
      <c r="BH2909" s="374"/>
      <c r="BI2909" s="374"/>
      <c r="BJ2909" s="374"/>
      <c r="BK2909" s="374"/>
      <c r="BL2909" s="374"/>
      <c r="BM2909" s="374"/>
      <c r="BN2909" s="374"/>
      <c r="BO2909" s="374"/>
      <c r="BP2909" s="32"/>
      <c r="BQ2909" s="32"/>
      <c r="BR2909" s="32"/>
      <c r="BS2909" s="32"/>
      <c r="BT2909" s="32"/>
      <c r="BU2909" s="32"/>
      <c r="BV2909" s="32"/>
      <c r="BW2909" s="32"/>
      <c r="BX2909" s="32"/>
      <c r="BY2909" s="32"/>
      <c r="BZ2909" s="32"/>
      <c r="CA2909" s="32"/>
      <c r="CB2909" s="32"/>
      <c r="CC2909" s="32"/>
      <c r="CD2909" s="32"/>
    </row>
    <row r="2910" ht="15.75" hidden="1" customHeight="1" outlineLevel="1">
      <c r="A2910" s="365"/>
      <c r="B2910" s="38"/>
      <c r="C2910" s="374"/>
      <c r="D2910" s="374"/>
      <c r="E2910" s="374"/>
      <c r="F2910" s="374"/>
      <c r="G2910" s="374"/>
      <c r="H2910" s="374"/>
      <c r="I2910" s="374"/>
      <c r="J2910" s="374"/>
      <c r="K2910" s="374"/>
      <c r="L2910" s="374"/>
      <c r="M2910" s="374"/>
      <c r="N2910" s="374"/>
      <c r="O2910" s="374"/>
      <c r="P2910" s="374"/>
      <c r="Q2910" s="374"/>
      <c r="R2910" s="374"/>
      <c r="S2910" s="38"/>
      <c r="T2910" s="38"/>
      <c r="U2910" s="38"/>
      <c r="V2910" s="38"/>
      <c r="W2910" s="38"/>
      <c r="X2910" s="32"/>
      <c r="Y2910" s="32"/>
      <c r="Z2910" s="32"/>
      <c r="AA2910" s="32"/>
      <c r="AB2910" s="32"/>
      <c r="AC2910" s="32"/>
      <c r="AD2910" s="32"/>
      <c r="AE2910" s="32"/>
      <c r="AF2910" s="32"/>
      <c r="AG2910" s="32"/>
      <c r="AH2910" s="32"/>
      <c r="AI2910" s="32"/>
      <c r="AJ2910" s="32"/>
      <c r="AK2910" s="32"/>
      <c r="AL2910" s="32"/>
      <c r="AM2910" s="32"/>
      <c r="AN2910" s="32"/>
      <c r="AO2910" s="32"/>
      <c r="AP2910" s="32"/>
      <c r="AQ2910" s="32"/>
      <c r="AR2910" s="373">
        <f>PPMT('Assumptions (T&amp;D)'!$C$20,Model!W$1,'Assumptions (T&amp;D)'!$C$23,Model!$AR$2866)</f>
        <v>-0.1846890201</v>
      </c>
      <c r="AS2910" s="373">
        <f>PPMT('Assumptions (T&amp;D)'!$C$20,Model!X$1,'Assumptions (T&amp;D)'!$C$23,Model!$AR$2866)</f>
        <v>-0.1934617486</v>
      </c>
      <c r="AT2910" s="373">
        <f>PPMT('Assumptions (T&amp;D)'!$C$20,Model!Y$1,'Assumptions (T&amp;D)'!$C$23,Model!$AR$2866)</f>
        <v>-0.2026511816</v>
      </c>
      <c r="AU2910" s="373">
        <f>PPMT('Assumptions (T&amp;D)'!$C$20,Model!Z$1,'Assumptions (T&amp;D)'!$C$23,Model!$AR$2866)</f>
        <v>-0.2122771127</v>
      </c>
      <c r="AV2910" s="373">
        <f>PPMT('Assumptions (T&amp;D)'!$C$20,Model!AA$1,'Assumptions (T&amp;D)'!$C$23,Model!$AR$2866)</f>
        <v>-0.2223602756</v>
      </c>
      <c r="AW2910" s="373">
        <f>PPMT('Assumptions (T&amp;D)'!$C$20,Model!AB$1,'Assumptions (T&amp;D)'!$C$23,Model!$AR$2866)</f>
        <v>-0.2329223887</v>
      </c>
      <c r="AX2910" s="373">
        <f>PPMT('Assumptions (T&amp;D)'!$C$20,Model!AC$1,'Assumptions (T&amp;D)'!$C$23,Model!$AR$2866)</f>
        <v>-0.2439862022</v>
      </c>
      <c r="AY2910" s="373">
        <f>PPMT('Assumptions (T&amp;D)'!$C$20,Model!AD$1,'Assumptions (T&amp;D)'!$C$23,Model!$AR$2866)</f>
        <v>-0.2555755468</v>
      </c>
      <c r="AZ2910" s="373">
        <f>PPMT('Assumptions (T&amp;D)'!$C$20,Model!AE$1,'Assumptions (T&amp;D)'!$C$23,Model!$AR$2866)</f>
        <v>-0.2677153852</v>
      </c>
      <c r="BA2910" s="373">
        <f>PPMT('Assumptions (T&amp;D)'!$C$20,Model!AF$1,'Assumptions (T&amp;D)'!$C$23,Model!$AR$2866)</f>
        <v>-0.280431866</v>
      </c>
      <c r="BB2910" s="373">
        <f>PPMT('Assumptions (T&amp;D)'!$C$20,Model!AG$1,'Assumptions (T&amp;D)'!$C$23,Model!$AR$2866)</f>
        <v>-0.2937523797</v>
      </c>
      <c r="BC2910" s="373">
        <f>PPMT('Assumptions (T&amp;D)'!$C$20,Model!AH$1,'Assumptions (T&amp;D)'!$C$23,Model!$AR$2866)</f>
        <v>-0.3077056177</v>
      </c>
      <c r="BD2910" s="373">
        <f>PPMT('Assumptions (T&amp;D)'!$C$20,Model!AI$1,'Assumptions (T&amp;D)'!$C$23,Model!$AR$2866)</f>
        <v>-0.3223216345</v>
      </c>
      <c r="BE2910" s="373">
        <f>PPMT('Assumptions (T&amp;D)'!$C$20,Model!AJ$1,'Assumptions (T&amp;D)'!$C$23,Model!$AR$2866)</f>
        <v>-0.3376319122</v>
      </c>
      <c r="BF2910" s="373">
        <f>PPMT('Assumptions (T&amp;D)'!$C$20,Model!AK$1,'Assumptions (T&amp;D)'!$C$23,Model!$AR$2866)</f>
        <v>-0.353669428</v>
      </c>
      <c r="BG2910" s="374"/>
      <c r="BH2910" s="374"/>
      <c r="BI2910" s="374"/>
      <c r="BJ2910" s="374"/>
      <c r="BK2910" s="374"/>
      <c r="BL2910" s="374"/>
      <c r="BM2910" s="374"/>
      <c r="BN2910" s="374"/>
      <c r="BO2910" s="374"/>
      <c r="BP2910" s="374"/>
      <c r="BQ2910" s="32"/>
      <c r="BR2910" s="32"/>
      <c r="BS2910" s="32"/>
      <c r="BT2910" s="32"/>
      <c r="BU2910" s="32"/>
      <c r="BV2910" s="32"/>
      <c r="BW2910" s="32"/>
      <c r="BX2910" s="32"/>
      <c r="BY2910" s="32"/>
      <c r="BZ2910" s="32"/>
      <c r="CA2910" s="32"/>
      <c r="CB2910" s="32"/>
      <c r="CC2910" s="32"/>
      <c r="CD2910" s="32"/>
    </row>
    <row r="2911" ht="15.75" hidden="1" customHeight="1" outlineLevel="1">
      <c r="A2911" s="365"/>
      <c r="B2911" s="38"/>
      <c r="C2911" s="374"/>
      <c r="D2911" s="374"/>
      <c r="E2911" s="374"/>
      <c r="F2911" s="374"/>
      <c r="G2911" s="374"/>
      <c r="H2911" s="374"/>
      <c r="I2911" s="374"/>
      <c r="J2911" s="374"/>
      <c r="K2911" s="374"/>
      <c r="L2911" s="374"/>
      <c r="M2911" s="374"/>
      <c r="N2911" s="374"/>
      <c r="O2911" s="374"/>
      <c r="P2911" s="374"/>
      <c r="Q2911" s="374"/>
      <c r="R2911" s="374"/>
      <c r="S2911" s="38"/>
      <c r="T2911" s="38"/>
      <c r="U2911" s="38"/>
      <c r="V2911" s="38"/>
      <c r="W2911" s="38"/>
      <c r="X2911" s="32"/>
      <c r="Y2911" s="32"/>
      <c r="Z2911" s="32"/>
      <c r="AA2911" s="32"/>
      <c r="AB2911" s="32"/>
      <c r="AC2911" s="32"/>
      <c r="AD2911" s="32"/>
      <c r="AE2911" s="32"/>
      <c r="AF2911" s="32"/>
      <c r="AG2911" s="32"/>
      <c r="AH2911" s="32"/>
      <c r="AI2911" s="32"/>
      <c r="AJ2911" s="32"/>
      <c r="AK2911" s="32"/>
      <c r="AL2911" s="32"/>
      <c r="AM2911" s="32"/>
      <c r="AN2911" s="32"/>
      <c r="AO2911" s="32"/>
      <c r="AP2911" s="32"/>
      <c r="AQ2911" s="32"/>
      <c r="AR2911" s="32"/>
      <c r="AS2911" s="373">
        <f>PPMT('Assumptions (T&amp;D)'!$C$20,Model!W$1,'Assumptions (T&amp;D)'!$C$23,Model!$AS$2866)</f>
        <v>-0.1896552791</v>
      </c>
      <c r="AT2911" s="373">
        <f>PPMT('Assumptions (T&amp;D)'!$C$20,Model!X$1,'Assumptions (T&amp;D)'!$C$23,Model!$AS$2866)</f>
        <v>-0.1986639048</v>
      </c>
      <c r="AU2911" s="373">
        <f>PPMT('Assumptions (T&amp;D)'!$C$20,Model!Y$1,'Assumptions (T&amp;D)'!$C$23,Model!$AS$2866)</f>
        <v>-0.2081004403</v>
      </c>
      <c r="AV2911" s="373">
        <f>PPMT('Assumptions (T&amp;D)'!$C$20,Model!Z$1,'Assumptions (T&amp;D)'!$C$23,Model!$AS$2866)</f>
        <v>-0.2179852112</v>
      </c>
      <c r="AW2911" s="373">
        <f>PPMT('Assumptions (T&amp;D)'!$C$20,Model!AA$1,'Assumptions (T&amp;D)'!$C$23,Model!$AS$2866)</f>
        <v>-0.2283395087</v>
      </c>
      <c r="AX2911" s="373">
        <f>PPMT('Assumptions (T&amp;D)'!$C$20,Model!AB$1,'Assumptions (T&amp;D)'!$C$23,Model!$AS$2866)</f>
        <v>-0.2391856354</v>
      </c>
      <c r="AY2911" s="373">
        <f>PPMT('Assumptions (T&amp;D)'!$C$20,Model!AC$1,'Assumptions (T&amp;D)'!$C$23,Model!$AS$2866)</f>
        <v>-0.2505469531</v>
      </c>
      <c r="AZ2911" s="373">
        <f>PPMT('Assumptions (T&amp;D)'!$C$20,Model!AD$1,'Assumptions (T&amp;D)'!$C$23,Model!$AS$2866)</f>
        <v>-0.2624479334</v>
      </c>
      <c r="BA2911" s="373">
        <f>PPMT('Assumptions (T&amp;D)'!$C$20,Model!AE$1,'Assumptions (T&amp;D)'!$C$23,Model!$AS$2866)</f>
        <v>-0.2749142102</v>
      </c>
      <c r="BB2911" s="373">
        <f>PPMT('Assumptions (T&amp;D)'!$C$20,Model!AF$1,'Assumptions (T&amp;D)'!$C$23,Model!$AS$2866)</f>
        <v>-0.2879726352</v>
      </c>
      <c r="BC2911" s="373">
        <f>PPMT('Assumptions (T&amp;D)'!$C$20,Model!AG$1,'Assumptions (T&amp;D)'!$C$23,Model!$AS$2866)</f>
        <v>-0.3016513354</v>
      </c>
      <c r="BD2911" s="373">
        <f>PPMT('Assumptions (T&amp;D)'!$C$20,Model!AH$1,'Assumptions (T&amp;D)'!$C$23,Model!$AS$2866)</f>
        <v>-0.3159797738</v>
      </c>
      <c r="BE2911" s="373">
        <f>PPMT('Assumptions (T&amp;D)'!$C$20,Model!AI$1,'Assumptions (T&amp;D)'!$C$23,Model!$AS$2866)</f>
        <v>-0.330988813</v>
      </c>
      <c r="BF2911" s="373">
        <f>PPMT('Assumptions (T&amp;D)'!$C$20,Model!AJ$1,'Assumptions (T&amp;D)'!$C$23,Model!$AS$2866)</f>
        <v>-0.3467107817</v>
      </c>
      <c r="BG2911" s="373">
        <f>PPMT('Assumptions (T&amp;D)'!$C$20,Model!AK$1,'Assumptions (T&amp;D)'!$C$23,Model!$AS$2866)</f>
        <v>-0.3631795438</v>
      </c>
      <c r="BH2911" s="374"/>
      <c r="BI2911" s="374"/>
      <c r="BJ2911" s="374"/>
      <c r="BK2911" s="374"/>
      <c r="BL2911" s="374"/>
      <c r="BM2911" s="374"/>
      <c r="BN2911" s="374"/>
      <c r="BO2911" s="374"/>
      <c r="BP2911" s="374"/>
      <c r="BQ2911" s="374"/>
      <c r="BR2911" s="32"/>
      <c r="BS2911" s="32"/>
      <c r="BT2911" s="32"/>
      <c r="BU2911" s="32"/>
      <c r="BV2911" s="32"/>
      <c r="BW2911" s="32"/>
      <c r="BX2911" s="32"/>
      <c r="BY2911" s="32"/>
      <c r="BZ2911" s="32"/>
      <c r="CA2911" s="32"/>
      <c r="CB2911" s="32"/>
      <c r="CC2911" s="32"/>
      <c r="CD2911" s="32"/>
    </row>
    <row r="2912" ht="15.75" hidden="1" customHeight="1" outlineLevel="1">
      <c r="A2912" s="365"/>
      <c r="B2912" s="38"/>
      <c r="C2912" s="374"/>
      <c r="D2912" s="374"/>
      <c r="E2912" s="374"/>
      <c r="F2912" s="374"/>
      <c r="G2912" s="374"/>
      <c r="H2912" s="374"/>
      <c r="I2912" s="374"/>
      <c r="J2912" s="374"/>
      <c r="K2912" s="374"/>
      <c r="L2912" s="374"/>
      <c r="M2912" s="374"/>
      <c r="N2912" s="374"/>
      <c r="O2912" s="374"/>
      <c r="P2912" s="374"/>
      <c r="Q2912" s="374"/>
      <c r="R2912" s="374"/>
      <c r="S2912" s="38"/>
      <c r="T2912" s="38"/>
      <c r="U2912" s="38"/>
      <c r="V2912" s="38"/>
      <c r="W2912" s="38"/>
      <c r="X2912" s="32"/>
      <c r="Y2912" s="32"/>
      <c r="Z2912" s="32"/>
      <c r="AA2912" s="32"/>
      <c r="AB2912" s="32"/>
      <c r="AC2912" s="32"/>
      <c r="AD2912" s="32"/>
      <c r="AE2912" s="32"/>
      <c r="AF2912" s="32"/>
      <c r="AG2912" s="32"/>
      <c r="AH2912" s="32"/>
      <c r="AI2912" s="32"/>
      <c r="AJ2912" s="32"/>
      <c r="AK2912" s="32"/>
      <c r="AL2912" s="32"/>
      <c r="AM2912" s="32"/>
      <c r="AN2912" s="32"/>
      <c r="AO2912" s="32"/>
      <c r="AP2912" s="32"/>
      <c r="AQ2912" s="32"/>
      <c r="AR2912" s="32"/>
      <c r="AS2912" s="32"/>
      <c r="AT2912" s="373">
        <f>PPMT('Assumptions (T&amp;D)'!$C$20,Model!W$1,'Assumptions (T&amp;D)'!$C$23,Model!$AT$2866)</f>
        <v>-0.1947456596</v>
      </c>
      <c r="AU2912" s="373">
        <f>PPMT('Assumptions (T&amp;D)'!$C$20,Model!X$1,'Assumptions (T&amp;D)'!$C$23,Model!$AT$2866)</f>
        <v>-0.2039960785</v>
      </c>
      <c r="AV2912" s="373">
        <f>PPMT('Assumptions (T&amp;D)'!$C$20,Model!Y$1,'Assumptions (T&amp;D)'!$C$23,Model!$AT$2866)</f>
        <v>-0.2136858922</v>
      </c>
      <c r="AW2912" s="373">
        <f>PPMT('Assumptions (T&amp;D)'!$C$20,Model!Z$1,'Assumptions (T&amp;D)'!$C$23,Model!$AT$2866)</f>
        <v>-0.2238359721</v>
      </c>
      <c r="AX2912" s="373">
        <f>PPMT('Assumptions (T&amp;D)'!$C$20,Model!AA$1,'Assumptions (T&amp;D)'!$C$23,Model!$AT$2866)</f>
        <v>-0.2344681807</v>
      </c>
      <c r="AY2912" s="373">
        <f>PPMT('Assumptions (T&amp;D)'!$C$20,Model!AB$1,'Assumptions (T&amp;D)'!$C$23,Model!$AT$2866)</f>
        <v>-0.2456054193</v>
      </c>
      <c r="AZ2912" s="373">
        <f>PPMT('Assumptions (T&amp;D)'!$C$20,Model!AC$1,'Assumptions (T&amp;D)'!$C$23,Model!$AT$2866)</f>
        <v>-0.2572716767</v>
      </c>
      <c r="BA2912" s="373">
        <f>PPMT('Assumptions (T&amp;D)'!$C$20,Model!AD$1,'Assumptions (T&amp;D)'!$C$23,Model!$AT$2866)</f>
        <v>-0.2694920814</v>
      </c>
      <c r="BB2912" s="373">
        <f>PPMT('Assumptions (T&amp;D)'!$C$20,Model!AE$1,'Assumptions (T&amp;D)'!$C$23,Model!$AT$2866)</f>
        <v>-0.2822929553</v>
      </c>
      <c r="BC2912" s="373">
        <f>PPMT('Assumptions (T&amp;D)'!$C$20,Model!AF$1,'Assumptions (T&amp;D)'!$C$23,Model!$AT$2866)</f>
        <v>-0.2957018706</v>
      </c>
      <c r="BD2912" s="373">
        <f>PPMT('Assumptions (T&amp;D)'!$C$20,Model!AG$1,'Assumptions (T&amp;D)'!$C$23,Model!$AT$2866)</f>
        <v>-0.3097477095</v>
      </c>
      <c r="BE2912" s="373">
        <f>PPMT('Assumptions (T&amp;D)'!$C$20,Model!AH$1,'Assumptions (T&amp;D)'!$C$23,Model!$AT$2866)</f>
        <v>-0.3244607257</v>
      </c>
      <c r="BF2912" s="373">
        <f>PPMT('Assumptions (T&amp;D)'!$C$20,Model!AI$1,'Assumptions (T&amp;D)'!$C$23,Model!$AT$2866)</f>
        <v>-0.3398726101</v>
      </c>
      <c r="BG2912" s="373">
        <f>PPMT('Assumptions (T&amp;D)'!$C$20,Model!AJ$1,'Assumptions (T&amp;D)'!$C$23,Model!$AT$2866)</f>
        <v>-0.3560165591</v>
      </c>
      <c r="BH2912" s="373">
        <f>PPMT('Assumptions (T&amp;D)'!$C$20,Model!AK$1,'Assumptions (T&amp;D)'!$C$23,Model!$AT$2866)</f>
        <v>-0.3729273457</v>
      </c>
      <c r="BI2912" s="374"/>
      <c r="BJ2912" s="374"/>
      <c r="BK2912" s="374"/>
      <c r="BL2912" s="374"/>
      <c r="BM2912" s="374"/>
      <c r="BN2912" s="374"/>
      <c r="BO2912" s="374"/>
      <c r="BP2912" s="374"/>
      <c r="BQ2912" s="374"/>
      <c r="BR2912" s="374"/>
      <c r="BS2912" s="32"/>
      <c r="BT2912" s="32"/>
      <c r="BU2912" s="32"/>
      <c r="BV2912" s="32"/>
      <c r="BW2912" s="32"/>
      <c r="BX2912" s="32"/>
      <c r="BY2912" s="32"/>
      <c r="BZ2912" s="32"/>
      <c r="CA2912" s="32"/>
      <c r="CB2912" s="32"/>
      <c r="CC2912" s="32"/>
      <c r="CD2912" s="32"/>
    </row>
    <row r="2913" ht="15.75" hidden="1" customHeight="1" outlineLevel="1">
      <c r="A2913" s="365"/>
      <c r="B2913" s="38"/>
      <c r="C2913" s="374"/>
      <c r="D2913" s="374"/>
      <c r="E2913" s="374"/>
      <c r="F2913" s="374"/>
      <c r="G2913" s="374"/>
      <c r="H2913" s="374"/>
      <c r="I2913" s="374"/>
      <c r="J2913" s="374"/>
      <c r="K2913" s="374"/>
      <c r="L2913" s="374"/>
      <c r="M2913" s="374"/>
      <c r="N2913" s="374"/>
      <c r="O2913" s="374"/>
      <c r="P2913" s="374"/>
      <c r="Q2913" s="374"/>
      <c r="R2913" s="374"/>
      <c r="S2913" s="38"/>
      <c r="T2913" s="38"/>
      <c r="U2913" s="38"/>
      <c r="V2913" s="38"/>
      <c r="W2913" s="38"/>
      <c r="X2913" s="32"/>
      <c r="Y2913" s="32"/>
      <c r="Z2913" s="32"/>
      <c r="AA2913" s="32"/>
      <c r="AB2913" s="32"/>
      <c r="AC2913" s="32"/>
      <c r="AD2913" s="32"/>
      <c r="AE2913" s="32"/>
      <c r="AF2913" s="32"/>
      <c r="AG2913" s="32"/>
      <c r="AH2913" s="32"/>
      <c r="AI2913" s="32"/>
      <c r="AJ2913" s="32"/>
      <c r="AK2913" s="32"/>
      <c r="AL2913" s="32"/>
      <c r="AM2913" s="32"/>
      <c r="AN2913" s="32"/>
      <c r="AO2913" s="32"/>
      <c r="AP2913" s="32"/>
      <c r="AQ2913" s="32"/>
      <c r="AR2913" s="32"/>
      <c r="AS2913" s="32"/>
      <c r="AT2913" s="32"/>
      <c r="AU2913" s="373">
        <f>PPMT('Assumptions (T&amp;D)'!$C$20,Model!W$1,'Assumptions (T&amp;D)'!$C$23,Model!$AU$2866)</f>
        <v>-0.1999631274</v>
      </c>
      <c r="AV2913" s="373">
        <f>PPMT('Assumptions (T&amp;D)'!$C$20,Model!X$1,'Assumptions (T&amp;D)'!$C$23,Model!$AU$2866)</f>
        <v>-0.2094613759</v>
      </c>
      <c r="AW2913" s="373">
        <f>PPMT('Assumptions (T&amp;D)'!$C$20,Model!Y$1,'Assumptions (T&amp;D)'!$C$23,Model!$AU$2866)</f>
        <v>-0.2194107913</v>
      </c>
      <c r="AX2913" s="373">
        <f>PPMT('Assumptions (T&amp;D)'!$C$20,Model!Z$1,'Assumptions (T&amp;D)'!$C$23,Model!$AU$2866)</f>
        <v>-0.2298328038</v>
      </c>
      <c r="AY2913" s="373">
        <f>PPMT('Assumptions (T&amp;D)'!$C$20,Model!AA$1,'Assumptions (T&amp;D)'!$C$23,Model!$AU$2866)</f>
        <v>-0.240749862</v>
      </c>
      <c r="AZ2913" s="373">
        <f>PPMT('Assumptions (T&amp;D)'!$C$20,Model!AB$1,'Assumptions (T&amp;D)'!$C$23,Model!$AU$2866)</f>
        <v>-0.2521854805</v>
      </c>
      <c r="BA2913" s="373">
        <f>PPMT('Assumptions (T&amp;D)'!$C$20,Model!AC$1,'Assumptions (T&amp;D)'!$C$23,Model!$AU$2866)</f>
        <v>-0.2641642908</v>
      </c>
      <c r="BB2913" s="373">
        <f>PPMT('Assumptions (T&amp;D)'!$C$20,Model!AD$1,'Assumptions (T&amp;D)'!$C$23,Model!$AU$2866)</f>
        <v>-0.2767120946</v>
      </c>
      <c r="BC2913" s="373">
        <f>PPMT('Assumptions (T&amp;D)'!$C$20,Model!AE$1,'Assumptions (T&amp;D)'!$C$23,Model!$AU$2866)</f>
        <v>-0.2898559191</v>
      </c>
      <c r="BD2913" s="373">
        <f>PPMT('Assumptions (T&amp;D)'!$C$20,Model!AF$1,'Assumptions (T&amp;D)'!$C$23,Model!$AU$2866)</f>
        <v>-0.3036240753</v>
      </c>
      <c r="BE2913" s="373">
        <f>PPMT('Assumptions (T&amp;D)'!$C$20,Model!AG$1,'Assumptions (T&amp;D)'!$C$23,Model!$AU$2866)</f>
        <v>-0.3180462188</v>
      </c>
      <c r="BF2913" s="373">
        <f>PPMT('Assumptions (T&amp;D)'!$C$20,Model!AH$1,'Assumptions (T&amp;D)'!$C$23,Model!$AU$2866)</f>
        <v>-0.3331534142</v>
      </c>
      <c r="BG2913" s="373">
        <f>PPMT('Assumptions (T&amp;D)'!$C$20,Model!AI$1,'Assumptions (T&amp;D)'!$C$23,Model!$AU$2866)</f>
        <v>-0.3489782014</v>
      </c>
      <c r="BH2913" s="373">
        <f>PPMT('Assumptions (T&amp;D)'!$C$20,Model!AJ$1,'Assumptions (T&amp;D)'!$C$23,Model!$AU$2866)</f>
        <v>-0.365554666</v>
      </c>
      <c r="BI2913" s="373">
        <f>PPMT('Assumptions (T&amp;D)'!$C$20,Model!AK$1,'Assumptions (T&amp;D)'!$C$23,Model!$AU$2866)</f>
        <v>-0.3829185126</v>
      </c>
      <c r="BJ2913" s="374"/>
      <c r="BK2913" s="374"/>
      <c r="BL2913" s="374"/>
      <c r="BM2913" s="374"/>
      <c r="BN2913" s="374"/>
      <c r="BO2913" s="374"/>
      <c r="BP2913" s="374"/>
      <c r="BQ2913" s="374"/>
      <c r="BR2913" s="374"/>
      <c r="BS2913" s="374"/>
      <c r="BT2913" s="32"/>
      <c r="BU2913" s="32"/>
      <c r="BV2913" s="32"/>
      <c r="BW2913" s="32"/>
      <c r="BX2913" s="32"/>
      <c r="BY2913" s="32"/>
      <c r="BZ2913" s="32"/>
      <c r="CA2913" s="32"/>
      <c r="CB2913" s="32"/>
      <c r="CC2913" s="32"/>
      <c r="CD2913" s="32"/>
    </row>
    <row r="2914" ht="15.75" hidden="1" customHeight="1" outlineLevel="1">
      <c r="A2914" s="365"/>
      <c r="B2914" s="38"/>
      <c r="C2914" s="374"/>
      <c r="D2914" s="374"/>
      <c r="E2914" s="374"/>
      <c r="F2914" s="374"/>
      <c r="G2914" s="374"/>
      <c r="H2914" s="374"/>
      <c r="I2914" s="374"/>
      <c r="J2914" s="374"/>
      <c r="K2914" s="374"/>
      <c r="L2914" s="374"/>
      <c r="M2914" s="374"/>
      <c r="N2914" s="374"/>
      <c r="O2914" s="374"/>
      <c r="P2914" s="374"/>
      <c r="Q2914" s="374"/>
      <c r="R2914" s="374"/>
      <c r="S2914" s="38"/>
      <c r="T2914" s="38"/>
      <c r="U2914" s="38"/>
      <c r="V2914" s="38"/>
      <c r="W2914" s="38"/>
      <c r="X2914" s="32"/>
      <c r="Y2914" s="32"/>
      <c r="Z2914" s="32"/>
      <c r="AA2914" s="32"/>
      <c r="AB2914" s="32"/>
      <c r="AC2914" s="32"/>
      <c r="AD2914" s="32"/>
      <c r="AE2914" s="32"/>
      <c r="AF2914" s="32"/>
      <c r="AG2914" s="32"/>
      <c r="AH2914" s="32"/>
      <c r="AI2914" s="32"/>
      <c r="AJ2914" s="32"/>
      <c r="AK2914" s="32"/>
      <c r="AL2914" s="32"/>
      <c r="AM2914" s="32"/>
      <c r="AN2914" s="32"/>
      <c r="AO2914" s="32"/>
      <c r="AP2914" s="32"/>
      <c r="AQ2914" s="32"/>
      <c r="AR2914" s="32"/>
      <c r="AS2914" s="32"/>
      <c r="AT2914" s="32"/>
      <c r="AU2914" s="32"/>
      <c r="AV2914" s="373">
        <f>PPMT('Assumptions (T&amp;D)'!$C$20,Model!W$1,'Assumptions (T&amp;D)'!$C$23,Model!$AV$2866)</f>
        <v>-0.2053107165</v>
      </c>
      <c r="AW2914" s="373">
        <f>PPMT('Assumptions (T&amp;D)'!$C$20,Model!X$1,'Assumptions (T&amp;D)'!$C$23,Model!$AV$2866)</f>
        <v>-0.2150629755</v>
      </c>
      <c r="AX2914" s="373">
        <f>PPMT('Assumptions (T&amp;D)'!$C$20,Model!Y$1,'Assumptions (T&amp;D)'!$C$23,Model!$AV$2866)</f>
        <v>-0.2252784669</v>
      </c>
      <c r="AY2914" s="373">
        <f>PPMT('Assumptions (T&amp;D)'!$C$20,Model!Z$1,'Assumptions (T&amp;D)'!$C$23,Model!$AV$2866)</f>
        <v>-0.2359791941</v>
      </c>
      <c r="AZ2914" s="373">
        <f>PPMT('Assumptions (T&amp;D)'!$C$20,Model!AA$1,'Assumptions (T&amp;D)'!$C$23,Model!$AV$2866)</f>
        <v>-0.2471882058</v>
      </c>
      <c r="BA2914" s="373">
        <f>PPMT('Assumptions (T&amp;D)'!$C$20,Model!AB$1,'Assumptions (T&amp;D)'!$C$23,Model!$AV$2866)</f>
        <v>-0.2589296455</v>
      </c>
      <c r="BB2914" s="373">
        <f>PPMT('Assumptions (T&amp;D)'!$C$20,Model!AC$1,'Assumptions (T&amp;D)'!$C$23,Model!$AV$2866)</f>
        <v>-0.2712288037</v>
      </c>
      <c r="BC2914" s="373">
        <f>PPMT('Assumptions (T&amp;D)'!$C$20,Model!AD$1,'Assumptions (T&amp;D)'!$C$23,Model!$AV$2866)</f>
        <v>-0.2841121719</v>
      </c>
      <c r="BD2914" s="373">
        <f>PPMT('Assumptions (T&amp;D)'!$C$20,Model!AE$1,'Assumptions (T&amp;D)'!$C$23,Model!$AV$2866)</f>
        <v>-0.2976075001</v>
      </c>
      <c r="BE2914" s="373">
        <f>PPMT('Assumptions (T&amp;D)'!$C$20,Model!AF$1,'Assumptions (T&amp;D)'!$C$23,Model!$AV$2866)</f>
        <v>-0.3117438563</v>
      </c>
      <c r="BF2914" s="373">
        <f>PPMT('Assumptions (T&amp;D)'!$C$20,Model!AG$1,'Assumptions (T&amp;D)'!$C$23,Model!$AV$2866)</f>
        <v>-0.3265516895</v>
      </c>
      <c r="BG2914" s="373">
        <f>PPMT('Assumptions (T&amp;D)'!$C$20,Model!AH$1,'Assumptions (T&amp;D)'!$C$23,Model!$AV$2866)</f>
        <v>-0.3420628947</v>
      </c>
      <c r="BH2914" s="373">
        <f>PPMT('Assumptions (T&amp;D)'!$C$20,Model!AI$1,'Assumptions (T&amp;D)'!$C$23,Model!$AV$2866)</f>
        <v>-0.3583108822</v>
      </c>
      <c r="BI2914" s="373">
        <f>PPMT('Assumptions (T&amp;D)'!$C$20,Model!AJ$1,'Assumptions (T&amp;D)'!$C$23,Model!$AV$2866)</f>
        <v>-0.3753306491</v>
      </c>
      <c r="BJ2914" s="373">
        <f>PPMT('Assumptions (T&amp;D)'!$C$20,Model!AK$1,'Assumptions (T&amp;D)'!$C$23,Model!$AV$2866)</f>
        <v>-0.393158855</v>
      </c>
      <c r="BK2914" s="374"/>
      <c r="BL2914" s="374"/>
      <c r="BM2914" s="374"/>
      <c r="BN2914" s="374"/>
      <c r="BO2914" s="374"/>
      <c r="BP2914" s="374"/>
      <c r="BQ2914" s="374"/>
      <c r="BR2914" s="374"/>
      <c r="BS2914" s="374"/>
      <c r="BT2914" s="374"/>
      <c r="BU2914" s="32"/>
      <c r="BV2914" s="32"/>
      <c r="BW2914" s="32"/>
      <c r="BX2914" s="32"/>
      <c r="BY2914" s="32"/>
      <c r="BZ2914" s="32"/>
      <c r="CA2914" s="32"/>
      <c r="CB2914" s="32"/>
      <c r="CC2914" s="32"/>
      <c r="CD2914" s="32"/>
    </row>
    <row r="2915" ht="15.75" hidden="1" customHeight="1" outlineLevel="1">
      <c r="A2915" s="365"/>
      <c r="B2915" s="38"/>
      <c r="C2915" s="374"/>
      <c r="D2915" s="374"/>
      <c r="E2915" s="374"/>
      <c r="F2915" s="374"/>
      <c r="G2915" s="374"/>
      <c r="H2915" s="374"/>
      <c r="I2915" s="374"/>
      <c r="J2915" s="374"/>
      <c r="K2915" s="374"/>
      <c r="L2915" s="374"/>
      <c r="M2915" s="374"/>
      <c r="N2915" s="374"/>
      <c r="O2915" s="374"/>
      <c r="P2915" s="374"/>
      <c r="Q2915" s="374"/>
      <c r="R2915" s="374"/>
      <c r="S2915" s="38"/>
      <c r="T2915" s="38"/>
      <c r="U2915" s="38"/>
      <c r="V2915" s="38"/>
      <c r="W2915" s="38"/>
      <c r="X2915" s="32"/>
      <c r="Y2915" s="32"/>
      <c r="Z2915" s="32"/>
      <c r="AA2915" s="32"/>
      <c r="AB2915" s="32"/>
      <c r="AC2915" s="32"/>
      <c r="AD2915" s="32"/>
      <c r="AE2915" s="32"/>
      <c r="AF2915" s="32"/>
      <c r="AG2915" s="32"/>
      <c r="AH2915" s="32"/>
      <c r="AI2915" s="32"/>
      <c r="AJ2915" s="32"/>
      <c r="AK2915" s="32"/>
      <c r="AL2915" s="32"/>
      <c r="AM2915" s="32"/>
      <c r="AN2915" s="32"/>
      <c r="AO2915" s="32"/>
      <c r="AP2915" s="32"/>
      <c r="AQ2915" s="32"/>
      <c r="AR2915" s="32"/>
      <c r="AS2915" s="32"/>
      <c r="AT2915" s="32"/>
      <c r="AU2915" s="32"/>
      <c r="AV2915" s="32"/>
      <c r="AW2915" s="373">
        <f>PPMT('Assumptions (T&amp;D)'!$C$20,Model!W$1,'Assumptions (T&amp;D)'!$C$23,Model!$AW$2866)</f>
        <v>-0.2107915316</v>
      </c>
      <c r="AX2915" s="373">
        <f>PPMT('Assumptions (T&amp;D)'!$C$20,Model!X$1,'Assumptions (T&amp;D)'!$C$23,Model!$AW$2866)</f>
        <v>-0.2208041294</v>
      </c>
      <c r="AY2915" s="373">
        <f>PPMT('Assumptions (T&amp;D)'!$C$20,Model!Y$1,'Assumptions (T&amp;D)'!$C$23,Model!$AW$2866)</f>
        <v>-0.2312923255</v>
      </c>
      <c r="AZ2915" s="373">
        <f>PPMT('Assumptions (T&amp;D)'!$C$20,Model!Z$1,'Assumptions (T&amp;D)'!$C$23,Model!$AW$2866)</f>
        <v>-0.242278711</v>
      </c>
      <c r="BA2915" s="373">
        <f>PPMT('Assumptions (T&amp;D)'!$C$20,Model!AA$1,'Assumptions (T&amp;D)'!$C$23,Model!$AW$2866)</f>
        <v>-0.2537869498</v>
      </c>
      <c r="BB2915" s="373">
        <f>PPMT('Assumptions (T&amp;D)'!$C$20,Model!AB$1,'Assumptions (T&amp;D)'!$C$23,Model!$AW$2866)</f>
        <v>-0.2658418299</v>
      </c>
      <c r="BC2915" s="373">
        <f>PPMT('Assumptions (T&amp;D)'!$C$20,Model!AC$1,'Assumptions (T&amp;D)'!$C$23,Model!$AW$2866)</f>
        <v>-0.2784693168</v>
      </c>
      <c r="BD2915" s="373">
        <f>PPMT('Assumptions (T&amp;D)'!$C$20,Model!AD$1,'Assumptions (T&amp;D)'!$C$23,Model!$AW$2866)</f>
        <v>-0.2916966094</v>
      </c>
      <c r="BE2915" s="373">
        <f>PPMT('Assumptions (T&amp;D)'!$C$20,Model!AE$1,'Assumptions (T&amp;D)'!$C$23,Model!$AW$2866)</f>
        <v>-0.3055521983</v>
      </c>
      <c r="BF2915" s="373">
        <f>PPMT('Assumptions (T&amp;D)'!$C$20,Model!AF$1,'Assumptions (T&amp;D)'!$C$23,Model!$AW$2866)</f>
        <v>-0.3200659277</v>
      </c>
      <c r="BG2915" s="373">
        <f>PPMT('Assumptions (T&amp;D)'!$C$20,Model!AG$1,'Assumptions (T&amp;D)'!$C$23,Model!$AW$2866)</f>
        <v>-0.3352690593</v>
      </c>
      <c r="BH2915" s="373">
        <f>PPMT('Assumptions (T&amp;D)'!$C$20,Model!AH$1,'Assumptions (T&amp;D)'!$C$23,Model!$AW$2866)</f>
        <v>-0.3511943396</v>
      </c>
      <c r="BI2915" s="373">
        <f>PPMT('Assumptions (T&amp;D)'!$C$20,Model!AI$1,'Assumptions (T&amp;D)'!$C$23,Model!$AW$2866)</f>
        <v>-0.3678760707</v>
      </c>
      <c r="BJ2915" s="373">
        <f>PPMT('Assumptions (T&amp;D)'!$C$20,Model!AJ$1,'Assumptions (T&amp;D)'!$C$23,Model!$AW$2866)</f>
        <v>-0.3853501841</v>
      </c>
      <c r="BK2915" s="373">
        <f>PPMT('Assumptions (T&amp;D)'!$C$20,Model!AK$1,'Assumptions (T&amp;D)'!$C$23,Model!$AW$2866)</f>
        <v>-0.4036543178</v>
      </c>
      <c r="BL2915" s="374"/>
      <c r="BM2915" s="374"/>
      <c r="BN2915" s="374"/>
      <c r="BO2915" s="374"/>
      <c r="BP2915" s="374"/>
      <c r="BQ2915" s="374"/>
      <c r="BR2915" s="374"/>
      <c r="BS2915" s="374"/>
      <c r="BT2915" s="374"/>
      <c r="BU2915" s="374"/>
      <c r="BV2915" s="32"/>
      <c r="BW2915" s="32"/>
      <c r="BX2915" s="32"/>
      <c r="BY2915" s="32"/>
      <c r="BZ2915" s="32"/>
      <c r="CA2915" s="32"/>
      <c r="CB2915" s="32"/>
      <c r="CC2915" s="32"/>
      <c r="CD2915" s="32"/>
    </row>
    <row r="2916" ht="15.75" hidden="1" customHeight="1" outlineLevel="1">
      <c r="A2916" s="365"/>
      <c r="B2916" s="38"/>
      <c r="C2916" s="374"/>
      <c r="D2916" s="374"/>
      <c r="E2916" s="374"/>
      <c r="F2916" s="374"/>
      <c r="G2916" s="374"/>
      <c r="H2916" s="374"/>
      <c r="I2916" s="374"/>
      <c r="J2916" s="374"/>
      <c r="K2916" s="374"/>
      <c r="L2916" s="374"/>
      <c r="M2916" s="374"/>
      <c r="N2916" s="374"/>
      <c r="O2916" s="374"/>
      <c r="P2916" s="374"/>
      <c r="Q2916" s="374"/>
      <c r="R2916" s="374"/>
      <c r="S2916" s="38"/>
      <c r="T2916" s="38"/>
      <c r="U2916" s="38"/>
      <c r="V2916" s="38"/>
      <c r="W2916" s="38"/>
      <c r="X2916" s="32"/>
      <c r="Y2916" s="32"/>
      <c r="Z2916" s="32"/>
      <c r="AA2916" s="32"/>
      <c r="AB2916" s="32"/>
      <c r="AC2916" s="32"/>
      <c r="AD2916" s="32"/>
      <c r="AE2916" s="32"/>
      <c r="AF2916" s="32"/>
      <c r="AG2916" s="32"/>
      <c r="AH2916" s="32"/>
      <c r="AI2916" s="32"/>
      <c r="AJ2916" s="32"/>
      <c r="AK2916" s="32"/>
      <c r="AL2916" s="32"/>
      <c r="AM2916" s="32"/>
      <c r="AN2916" s="32"/>
      <c r="AO2916" s="32"/>
      <c r="AP2916" s="32"/>
      <c r="AQ2916" s="32"/>
      <c r="AR2916" s="32"/>
      <c r="AS2916" s="32"/>
      <c r="AT2916" s="32"/>
      <c r="AU2916" s="32"/>
      <c r="AV2916" s="32"/>
      <c r="AW2916" s="374"/>
      <c r="AX2916" s="373">
        <f>PPMT('Assumptions (T&amp;D)'!$C$20,Model!W$1,'Assumptions (T&amp;D)'!$C$23,Model!$AX$2866)</f>
        <v>-0.2164087492</v>
      </c>
      <c r="AY2916" s="373">
        <f>PPMT('Assumptions (T&amp;D)'!$C$20,Model!X$1,'Assumptions (T&amp;D)'!$C$23,Model!$AX$2866)</f>
        <v>-0.2266881648</v>
      </c>
      <c r="AZ2916" s="373">
        <f>PPMT('Assumptions (T&amp;D)'!$C$20,Model!Y$1,'Assumptions (T&amp;D)'!$C$23,Model!$AX$2866)</f>
        <v>-0.2374558526</v>
      </c>
      <c r="BA2916" s="373">
        <f>PPMT('Assumptions (T&amp;D)'!$C$20,Model!Z$1,'Assumptions (T&amp;D)'!$C$23,Model!$AX$2866)</f>
        <v>-0.2487350056</v>
      </c>
      <c r="BB2916" s="373">
        <f>PPMT('Assumptions (T&amp;D)'!$C$20,Model!AA$1,'Assumptions (T&amp;D)'!$C$23,Model!$AX$2866)</f>
        <v>-0.2605499183</v>
      </c>
      <c r="BC2916" s="373">
        <f>PPMT('Assumptions (T&amp;D)'!$C$20,Model!AB$1,'Assumptions (T&amp;D)'!$C$23,Model!$AX$2866)</f>
        <v>-0.2729260395</v>
      </c>
      <c r="BD2916" s="373">
        <f>PPMT('Assumptions (T&amp;D)'!$C$20,Model!AC$1,'Assumptions (T&amp;D)'!$C$23,Model!$AX$2866)</f>
        <v>-0.2858900263</v>
      </c>
      <c r="BE2916" s="373">
        <f>PPMT('Assumptions (T&amp;D)'!$C$20,Model!AD$1,'Assumptions (T&amp;D)'!$C$23,Model!$AX$2866)</f>
        <v>-0.2994698026</v>
      </c>
      <c r="BF2916" s="373">
        <f>PPMT('Assumptions (T&amp;D)'!$C$20,Model!AE$1,'Assumptions (T&amp;D)'!$C$23,Model!$AX$2866)</f>
        <v>-0.3136946182</v>
      </c>
      <c r="BG2916" s="373">
        <f>PPMT('Assumptions (T&amp;D)'!$C$20,Model!AF$1,'Assumptions (T&amp;D)'!$C$23,Model!$AX$2866)</f>
        <v>-0.3285951126</v>
      </c>
      <c r="BH2916" s="373">
        <f>PPMT('Assumptions (T&amp;D)'!$C$20,Model!AG$1,'Assumptions (T&amp;D)'!$C$23,Model!$AX$2866)</f>
        <v>-0.3442033804</v>
      </c>
      <c r="BI2916" s="373">
        <f>PPMT('Assumptions (T&amp;D)'!$C$20,Model!AH$1,'Assumptions (T&amp;D)'!$C$23,Model!$AX$2866)</f>
        <v>-0.360553041</v>
      </c>
      <c r="BJ2916" s="373">
        <f>PPMT('Assumptions (T&amp;D)'!$C$20,Model!AI$1,'Assumptions (T&amp;D)'!$C$23,Model!$AX$2866)</f>
        <v>-0.3776793104</v>
      </c>
      <c r="BK2916" s="373">
        <f>PPMT('Assumptions (T&amp;D)'!$C$20,Model!AJ$1,'Assumptions (T&amp;D)'!$C$23,Model!$AX$2866)</f>
        <v>-0.3956190777</v>
      </c>
      <c r="BL2916" s="373">
        <f>PPMT('Assumptions (T&amp;D)'!$C$20,Model!AK$1,'Assumptions (T&amp;D)'!$C$23,Model!$AX$2866)</f>
        <v>-0.4144109839</v>
      </c>
      <c r="BM2916" s="374"/>
      <c r="BN2916" s="374"/>
      <c r="BO2916" s="374"/>
      <c r="BP2916" s="374"/>
      <c r="BQ2916" s="374"/>
      <c r="BR2916" s="374"/>
      <c r="BS2916" s="374"/>
      <c r="BT2916" s="374"/>
      <c r="BU2916" s="374"/>
      <c r="BV2916" s="374"/>
      <c r="BW2916" s="32"/>
      <c r="BX2916" s="32"/>
      <c r="BY2916" s="32"/>
      <c r="BZ2916" s="32"/>
      <c r="CA2916" s="32"/>
      <c r="CB2916" s="32"/>
      <c r="CC2916" s="32"/>
      <c r="CD2916" s="32"/>
    </row>
    <row r="2917" ht="15.75" hidden="1" customHeight="1" outlineLevel="1">
      <c r="A2917" s="365"/>
      <c r="B2917" s="38"/>
      <c r="C2917" s="374"/>
      <c r="D2917" s="374"/>
      <c r="E2917" s="374"/>
      <c r="F2917" s="374"/>
      <c r="G2917" s="374"/>
      <c r="H2917" s="374"/>
      <c r="I2917" s="374"/>
      <c r="J2917" s="374"/>
      <c r="K2917" s="374"/>
      <c r="L2917" s="374"/>
      <c r="M2917" s="374"/>
      <c r="N2917" s="374"/>
      <c r="O2917" s="374"/>
      <c r="P2917" s="374"/>
      <c r="Q2917" s="374"/>
      <c r="R2917" s="374"/>
      <c r="S2917" s="38"/>
      <c r="T2917" s="38"/>
      <c r="U2917" s="38"/>
      <c r="V2917" s="38"/>
      <c r="W2917" s="38"/>
      <c r="X2917" s="32"/>
      <c r="Y2917" s="32"/>
      <c r="Z2917" s="32"/>
      <c r="AA2917" s="32"/>
      <c r="AB2917" s="32"/>
      <c r="AC2917" s="32"/>
      <c r="AD2917" s="32"/>
      <c r="AE2917" s="32"/>
      <c r="AF2917" s="32"/>
      <c r="AG2917" s="32"/>
      <c r="AH2917" s="32"/>
      <c r="AI2917" s="32"/>
      <c r="AJ2917" s="32"/>
      <c r="AK2917" s="32"/>
      <c r="AL2917" s="32"/>
      <c r="AM2917" s="32"/>
      <c r="AN2917" s="32"/>
      <c r="AO2917" s="32"/>
      <c r="AP2917" s="32"/>
      <c r="AQ2917" s="32"/>
      <c r="AR2917" s="32"/>
      <c r="AS2917" s="32"/>
      <c r="AT2917" s="32"/>
      <c r="AU2917" s="32"/>
      <c r="AV2917" s="32"/>
      <c r="AW2917" s="374"/>
      <c r="AX2917" s="374"/>
      <c r="AY2917" s="373">
        <f>PPMT('Assumptions (T&amp;D)'!$C$20,Model!W$1,'Assumptions (T&amp;D)'!$C$23,Model!$AY$2866)</f>
        <v>-0.222165619</v>
      </c>
      <c r="AZ2917" s="373">
        <f>PPMT('Assumptions (T&amp;D)'!$C$20,Model!X$1,'Assumptions (T&amp;D)'!$C$23,Model!$AY$2866)</f>
        <v>-0.2327184859</v>
      </c>
      <c r="BA2917" s="373">
        <f>PPMT('Assumptions (T&amp;D)'!$C$20,Model!Y$1,'Assumptions (T&amp;D)'!$C$23,Model!$AY$2866)</f>
        <v>-0.243772614</v>
      </c>
      <c r="BB2917" s="373">
        <f>PPMT('Assumptions (T&amp;D)'!$C$20,Model!Z$1,'Assumptions (T&amp;D)'!$C$23,Model!$AY$2866)</f>
        <v>-0.2553518132</v>
      </c>
      <c r="BC2917" s="373">
        <f>PPMT('Assumptions (T&amp;D)'!$C$20,Model!AA$1,'Assumptions (T&amp;D)'!$C$23,Model!$AY$2866)</f>
        <v>-0.2674810243</v>
      </c>
      <c r="BD2917" s="373">
        <f>PPMT('Assumptions (T&amp;D)'!$C$20,Model!AB$1,'Assumptions (T&amp;D)'!$C$23,Model!$AY$2866)</f>
        <v>-0.2801863729</v>
      </c>
      <c r="BE2917" s="373">
        <f>PPMT('Assumptions (T&amp;D)'!$C$20,Model!AC$1,'Assumptions (T&amp;D)'!$C$23,Model!$AY$2866)</f>
        <v>-0.2934952257</v>
      </c>
      <c r="BF2917" s="373">
        <f>PPMT('Assumptions (T&amp;D)'!$C$20,Model!AD$1,'Assumptions (T&amp;D)'!$C$23,Model!$AY$2866)</f>
        <v>-0.3074362489</v>
      </c>
      <c r="BG2917" s="373">
        <f>PPMT('Assumptions (T&amp;D)'!$C$20,Model!AE$1,'Assumptions (T&amp;D)'!$C$23,Model!$AY$2866)</f>
        <v>-0.3220394707</v>
      </c>
      <c r="BH2917" s="373">
        <f>PPMT('Assumptions (T&amp;D)'!$C$20,Model!AF$1,'Assumptions (T&amp;D)'!$C$23,Model!$AY$2866)</f>
        <v>-0.3373363456</v>
      </c>
      <c r="BI2917" s="373">
        <f>PPMT('Assumptions (T&amp;D)'!$C$20,Model!AG$1,'Assumptions (T&amp;D)'!$C$23,Model!$AY$2866)</f>
        <v>-0.353359822</v>
      </c>
      <c r="BJ2917" s="373">
        <f>PPMT('Assumptions (T&amp;D)'!$C$20,Model!AH$1,'Assumptions (T&amp;D)'!$C$23,Model!$AY$2866)</f>
        <v>-0.3701444135</v>
      </c>
      <c r="BK2917" s="373">
        <f>PPMT('Assumptions (T&amp;D)'!$C$20,Model!AI$1,'Assumptions (T&amp;D)'!$C$23,Model!$AY$2866)</f>
        <v>-0.3877262732</v>
      </c>
      <c r="BL2917" s="373">
        <f>PPMT('Assumptions (T&amp;D)'!$C$20,Model!AJ$1,'Assumptions (T&amp;D)'!$C$23,Model!$AY$2866)</f>
        <v>-0.4061432711</v>
      </c>
      <c r="BM2917" s="373">
        <f>PPMT('Assumptions (T&amp;D)'!$C$20,Model!AK$1,'Assumptions (T&amp;D)'!$C$23,Model!$AY$2866)</f>
        <v>-0.4254350765</v>
      </c>
      <c r="BN2917" s="374"/>
      <c r="BO2917" s="374"/>
      <c r="BP2917" s="374"/>
      <c r="BQ2917" s="374"/>
      <c r="BR2917" s="374"/>
      <c r="BS2917" s="374"/>
      <c r="BT2917" s="374"/>
      <c r="BU2917" s="374"/>
      <c r="BV2917" s="374"/>
      <c r="BW2917" s="374"/>
      <c r="BX2917" s="32"/>
      <c r="BY2917" s="32"/>
      <c r="BZ2917" s="32"/>
      <c r="CA2917" s="32"/>
      <c r="CB2917" s="32"/>
      <c r="CC2917" s="32"/>
      <c r="CD2917" s="32"/>
    </row>
    <row r="2918" ht="15.75" hidden="1" customHeight="1" outlineLevel="1">
      <c r="A2918" s="365"/>
      <c r="B2918" s="38"/>
      <c r="C2918" s="374"/>
      <c r="D2918" s="374"/>
      <c r="E2918" s="374"/>
      <c r="F2918" s="374"/>
      <c r="G2918" s="374"/>
      <c r="H2918" s="374"/>
      <c r="I2918" s="374"/>
      <c r="J2918" s="374"/>
      <c r="K2918" s="374"/>
      <c r="L2918" s="374"/>
      <c r="M2918" s="374"/>
      <c r="N2918" s="374"/>
      <c r="O2918" s="374"/>
      <c r="P2918" s="374"/>
      <c r="Q2918" s="374"/>
      <c r="R2918" s="374"/>
      <c r="S2918" s="38"/>
      <c r="T2918" s="38"/>
      <c r="U2918" s="38"/>
      <c r="V2918" s="38"/>
      <c r="W2918" s="38"/>
      <c r="X2918" s="32"/>
      <c r="Y2918" s="32"/>
      <c r="Z2918" s="32"/>
      <c r="AA2918" s="32"/>
      <c r="AB2918" s="32"/>
      <c r="AC2918" s="32"/>
      <c r="AD2918" s="32"/>
      <c r="AE2918" s="32"/>
      <c r="AF2918" s="32"/>
      <c r="AG2918" s="32"/>
      <c r="AH2918" s="32"/>
      <c r="AI2918" s="32"/>
      <c r="AJ2918" s="32"/>
      <c r="AK2918" s="32"/>
      <c r="AL2918" s="32"/>
      <c r="AM2918" s="32"/>
      <c r="AN2918" s="32"/>
      <c r="AO2918" s="32"/>
      <c r="AP2918" s="32"/>
      <c r="AQ2918" s="32"/>
      <c r="AR2918" s="32"/>
      <c r="AS2918" s="32"/>
      <c r="AT2918" s="32"/>
      <c r="AU2918" s="32"/>
      <c r="AV2918" s="32"/>
      <c r="AW2918" s="374"/>
      <c r="AX2918" s="374"/>
      <c r="AY2918" s="374"/>
      <c r="AZ2918" s="373">
        <f>PPMT('Assumptions (T&amp;D)'!$C$20,Model!W$1,'Assumptions (T&amp;D)'!$C$23,Model!$AZ$2866)</f>
        <v>-0.2280654663</v>
      </c>
      <c r="BA2918" s="373">
        <f>PPMT('Assumptions (T&amp;D)'!$C$20,Model!X$1,'Assumptions (T&amp;D)'!$C$23,Model!$AZ$2866)</f>
        <v>-0.2388985759</v>
      </c>
      <c r="BB2918" s="373">
        <f>PPMT('Assumptions (T&amp;D)'!$C$20,Model!Y$1,'Assumptions (T&amp;D)'!$C$23,Model!$AZ$2866)</f>
        <v>-0.2502462583</v>
      </c>
      <c r="BC2918" s="373">
        <f>PPMT('Assumptions (T&amp;D)'!$C$20,Model!Z$1,'Assumptions (T&amp;D)'!$C$23,Model!$AZ$2866)</f>
        <v>-0.2621329555</v>
      </c>
      <c r="BD2918" s="373">
        <f>PPMT('Assumptions (T&amp;D)'!$C$20,Model!AA$1,'Assumptions (T&amp;D)'!$C$23,Model!$AZ$2866)</f>
        <v>-0.2745842709</v>
      </c>
      <c r="BE2918" s="373">
        <f>PPMT('Assumptions (T&amp;D)'!$C$20,Model!AB$1,'Assumptions (T&amp;D)'!$C$23,Model!$AZ$2866)</f>
        <v>-0.2876270238</v>
      </c>
      <c r="BF2918" s="373">
        <f>PPMT('Assumptions (T&amp;D)'!$C$20,Model!AC$1,'Assumptions (T&amp;D)'!$C$23,Model!$AZ$2866)</f>
        <v>-0.3012893074</v>
      </c>
      <c r="BG2918" s="373">
        <f>PPMT('Assumptions (T&amp;D)'!$C$20,Model!AD$1,'Assumptions (T&amp;D)'!$C$23,Model!$AZ$2866)</f>
        <v>-0.3156005495</v>
      </c>
      <c r="BH2918" s="373">
        <f>PPMT('Assumptions (T&amp;D)'!$C$20,Model!AE$1,'Assumptions (T&amp;D)'!$C$23,Model!$AZ$2866)</f>
        <v>-0.3305915756</v>
      </c>
      <c r="BI2918" s="373">
        <f>PPMT('Assumptions (T&amp;D)'!$C$20,Model!AF$1,'Assumptions (T&amp;D)'!$C$23,Model!$AZ$2866)</f>
        <v>-0.3462946755</v>
      </c>
      <c r="BJ2918" s="373">
        <f>PPMT('Assumptions (T&amp;D)'!$C$20,Model!AG$1,'Assumptions (T&amp;D)'!$C$23,Model!$AZ$2866)</f>
        <v>-0.3627436725</v>
      </c>
      <c r="BK2918" s="373">
        <f>PPMT('Assumptions (T&amp;D)'!$C$20,Model!AH$1,'Assumptions (T&amp;D)'!$C$23,Model!$AZ$2866)</f>
        <v>-0.379973997</v>
      </c>
      <c r="BL2918" s="373">
        <f>PPMT('Assumptions (T&amp;D)'!$C$20,Model!AI$1,'Assumptions (T&amp;D)'!$C$23,Model!$AZ$2866)</f>
        <v>-0.3980227619</v>
      </c>
      <c r="BM2918" s="373">
        <f>PPMT('Assumptions (T&amp;D)'!$C$20,Model!AJ$1,'Assumptions (T&amp;D)'!$C$23,Model!$AZ$2866)</f>
        <v>-0.416928843</v>
      </c>
      <c r="BN2918" s="373">
        <f>PPMT('Assumptions (T&amp;D)'!$C$20,Model!AK$1,'Assumptions (T&amp;D)'!$C$23,Model!$AZ$2866)</f>
        <v>-0.4367329631</v>
      </c>
      <c r="BO2918" s="374"/>
      <c r="BP2918" s="374"/>
      <c r="BQ2918" s="374"/>
      <c r="BR2918" s="374"/>
      <c r="BS2918" s="374"/>
      <c r="BT2918" s="374"/>
      <c r="BU2918" s="374"/>
      <c r="BV2918" s="374"/>
      <c r="BW2918" s="374"/>
      <c r="BX2918" s="374"/>
      <c r="BY2918" s="32"/>
      <c r="BZ2918" s="32"/>
      <c r="CA2918" s="32"/>
      <c r="CB2918" s="32"/>
      <c r="CC2918" s="32"/>
      <c r="CD2918" s="32"/>
    </row>
    <row r="2919" ht="15.75" hidden="1" customHeight="1" outlineLevel="1">
      <c r="A2919" s="365"/>
      <c r="B2919" s="38"/>
      <c r="C2919" s="374"/>
      <c r="D2919" s="374"/>
      <c r="E2919" s="374"/>
      <c r="F2919" s="374"/>
      <c r="G2919" s="374"/>
      <c r="H2919" s="374"/>
      <c r="I2919" s="374"/>
      <c r="J2919" s="374"/>
      <c r="K2919" s="374"/>
      <c r="L2919" s="374"/>
      <c r="M2919" s="374"/>
      <c r="N2919" s="374"/>
      <c r="O2919" s="374"/>
      <c r="P2919" s="374"/>
      <c r="Q2919" s="374"/>
      <c r="R2919" s="374"/>
      <c r="S2919" s="38"/>
      <c r="T2919" s="38"/>
      <c r="U2919" s="38"/>
      <c r="V2919" s="38"/>
      <c r="W2919" s="38"/>
      <c r="X2919" s="32"/>
      <c r="Y2919" s="32"/>
      <c r="Z2919" s="32"/>
      <c r="AA2919" s="32"/>
      <c r="AB2919" s="32"/>
      <c r="AC2919" s="32"/>
      <c r="AD2919" s="32"/>
      <c r="AE2919" s="32"/>
      <c r="AF2919" s="32"/>
      <c r="AG2919" s="32"/>
      <c r="AH2919" s="32"/>
      <c r="AI2919" s="32"/>
      <c r="AJ2919" s="32"/>
      <c r="AK2919" s="32"/>
      <c r="AL2919" s="32"/>
      <c r="AM2919" s="32"/>
      <c r="AN2919" s="32"/>
      <c r="AO2919" s="32"/>
      <c r="AP2919" s="32"/>
      <c r="AQ2919" s="32"/>
      <c r="AR2919" s="32"/>
      <c r="AS2919" s="32"/>
      <c r="AT2919" s="32"/>
      <c r="AU2919" s="32"/>
      <c r="AV2919" s="32"/>
      <c r="AW2919" s="32"/>
      <c r="AX2919" s="32"/>
      <c r="AY2919" s="32"/>
      <c r="AZ2919" s="32"/>
      <c r="BA2919" s="373">
        <f>PPMT('Assumptions (T&amp;D)'!$C$20,Model!W$1,'Assumptions (T&amp;D)'!$C$23,Model!$BA$2866)</f>
        <v>-0.2325692963</v>
      </c>
      <c r="BB2919" s="373">
        <f>PPMT('Assumptions (T&amp;D)'!$C$20,Model!X$1,'Assumptions (T&amp;D)'!$C$23,Model!$BA$2866)</f>
        <v>-0.2436163379</v>
      </c>
      <c r="BC2919" s="373">
        <f>PPMT('Assumptions (T&amp;D)'!$C$20,Model!Y$1,'Assumptions (T&amp;D)'!$C$23,Model!$BA$2866)</f>
        <v>-0.2551881139</v>
      </c>
      <c r="BD2919" s="373">
        <f>PPMT('Assumptions (T&amp;D)'!$C$20,Model!Z$1,'Assumptions (T&amp;D)'!$C$23,Model!$BA$2866)</f>
        <v>-0.2673095494</v>
      </c>
      <c r="BE2919" s="373">
        <f>PPMT('Assumptions (T&amp;D)'!$C$20,Model!AA$1,'Assumptions (T&amp;D)'!$C$23,Model!$BA$2866)</f>
        <v>-0.280006753</v>
      </c>
      <c r="BF2919" s="373">
        <f>PPMT('Assumptions (T&amp;D)'!$C$20,Model!AB$1,'Assumptions (T&amp;D)'!$C$23,Model!$BA$2866)</f>
        <v>-0.2933070737</v>
      </c>
      <c r="BG2919" s="373">
        <f>PPMT('Assumptions (T&amp;D)'!$C$20,Model!AC$1,'Assumptions (T&amp;D)'!$C$23,Model!$BA$2866)</f>
        <v>-0.3072391597</v>
      </c>
      <c r="BH2919" s="373">
        <f>PPMT('Assumptions (T&amp;D)'!$C$20,Model!AD$1,'Assumptions (T&amp;D)'!$C$23,Model!$BA$2866)</f>
        <v>-0.3218330198</v>
      </c>
      <c r="BI2919" s="373">
        <f>PPMT('Assumptions (T&amp;D)'!$C$20,Model!AE$1,'Assumptions (T&amp;D)'!$C$23,Model!$BA$2866)</f>
        <v>-0.3371200882</v>
      </c>
      <c r="BJ2919" s="373">
        <f>PPMT('Assumptions (T&amp;D)'!$C$20,Model!AF$1,'Assumptions (T&amp;D)'!$C$23,Model!$BA$2866)</f>
        <v>-0.3531332924</v>
      </c>
      <c r="BK2919" s="373">
        <f>PPMT('Assumptions (T&amp;D)'!$C$20,Model!AG$1,'Assumptions (T&amp;D)'!$C$23,Model!$BA$2866)</f>
        <v>-0.3699071238</v>
      </c>
      <c r="BL2919" s="373">
        <f>PPMT('Assumptions (T&amp;D)'!$C$20,Model!AH$1,'Assumptions (T&amp;D)'!$C$23,Model!$BA$2866)</f>
        <v>-0.3874777122</v>
      </c>
      <c r="BM2919" s="373">
        <f>PPMT('Assumptions (T&amp;D)'!$C$20,Model!AI$1,'Assumptions (T&amp;D)'!$C$23,Model!$BA$2866)</f>
        <v>-0.4058829035</v>
      </c>
      <c r="BN2919" s="373">
        <f>PPMT('Assumptions (T&amp;D)'!$C$20,Model!AJ$1,'Assumptions (T&amp;D)'!$C$23,Model!$BA$2866)</f>
        <v>-0.4251623415</v>
      </c>
      <c r="BO2919" s="373">
        <f>PPMT('Assumptions (T&amp;D)'!$C$20,Model!AK$1,'Assumptions (T&amp;D) old'!$B$103,Model!$BA$2866)</f>
        <v>-0.4453575527</v>
      </c>
      <c r="BP2919" s="374"/>
      <c r="BQ2919" s="374"/>
      <c r="BR2919" s="374"/>
      <c r="BS2919" s="374"/>
      <c r="BT2919" s="374"/>
      <c r="BU2919" s="374"/>
      <c r="BV2919" s="374"/>
      <c r="BW2919" s="374"/>
      <c r="BX2919" s="374"/>
      <c r="BY2919" s="374"/>
      <c r="BZ2919" s="32"/>
      <c r="CA2919" s="32"/>
      <c r="CB2919" s="32"/>
      <c r="CC2919" s="32"/>
      <c r="CD2919" s="32"/>
    </row>
    <row r="2920" ht="15.75" customHeight="1" collapsed="1">
      <c r="A2920" s="365" t="s">
        <v>360</v>
      </c>
      <c r="B2920" s="159" t="s">
        <v>351</v>
      </c>
      <c r="C2920" s="372">
        <f t="array" ref="C2920">SUM(IF(ISERROR(C2921:C2971),"",C2921:C2971))</f>
        <v>-0.05701496867</v>
      </c>
      <c r="D2920" s="372">
        <f t="array" ref="D2920">SUM(IF(ISERROR(D2921:D2971),"",D2921:D2971))</f>
        <v>-0.1117463955</v>
      </c>
      <c r="E2920" s="372">
        <f t="array" ref="E2920">SUM(IF(ISERROR(E2921:E2971),"",E2921:E2971))</f>
        <v>-0.1601206286</v>
      </c>
      <c r="F2920" s="372">
        <f t="array" ref="F2920">SUM(IF(ISERROR(F2921:F2971),"",F2921:F2971))</f>
        <v>-0.2046186443</v>
      </c>
      <c r="G2920" s="372">
        <f t="array" ref="G2920">SUM(IF(ISERROR(G2921:G2971),"",G2921:G2971))</f>
        <v>-0.2516153958</v>
      </c>
      <c r="H2920" s="372">
        <f t="array" ref="H2920">SUM(IF(ISERROR(H2921:H2971),"",H2921:H2971))</f>
        <v>-0.2936379529</v>
      </c>
      <c r="I2920" s="372">
        <f t="array" ref="I2920">SUM(IF(ISERROR(I2921:I2971),"",I2921:I2971))</f>
        <v>-0.3702611021</v>
      </c>
      <c r="J2920" s="372">
        <f t="array" ref="J2920">SUM(IF(ISERROR(J2921:J2971),"",J2921:J2971))</f>
        <v>-0.4215867343</v>
      </c>
      <c r="K2920" s="372">
        <f t="array" ref="K2920">SUM(IF(ISERROR(K2921:K2971),"",K2921:K2971))</f>
        <v>-0.4746728086</v>
      </c>
      <c r="L2920" s="372">
        <f t="array" ref="L2920">SUM(IF(ISERROR(L2921:L2971),"",L2921:L2971))</f>
        <v>-0.5175195807</v>
      </c>
      <c r="M2920" s="372">
        <f t="array" ref="M2920">SUM(IF(ISERROR(M2921:M2971),"",M2921:M2971))</f>
        <v>-0.5512630469</v>
      </c>
      <c r="N2920" s="372">
        <f t="array" ref="N2920">SUM(IF(ISERROR(N2921:N2971),"",N2921:N2971))</f>
        <v>-0.5883947457</v>
      </c>
      <c r="O2920" s="372">
        <f t="array" ref="O2920">SUM(IF(ISERROR(O2921:O2971),"",O2921:O2971))</f>
        <v>-0.6191377975</v>
      </c>
      <c r="P2920" s="372">
        <f t="array" ref="P2920">SUM(IF(ISERROR(P2921:P2971),"",P2921:P2971))</f>
        <v>-0.6465453273</v>
      </c>
      <c r="Q2920" s="372">
        <f t="array" ref="Q2920">SUM(IF(ISERROR(Q2921:Q2971),"",Q2921:Q2971))</f>
        <v>-0.6715477507</v>
      </c>
      <c r="R2920" s="372">
        <f t="array" ref="R2920">SUM(IF(ISERROR(R2921:R2971),"",R2921:R2971))</f>
        <v>-0.6993257582</v>
      </c>
      <c r="S2920" s="372">
        <f t="array" ref="S2920">SUM(IF(ISERROR(S2921:S2971),"",S2921:S2971))</f>
        <v>-0.7381231798</v>
      </c>
      <c r="T2920" s="372">
        <f t="array" ref="T2920">SUM(IF(ISERROR(T2921:T2971),"",T2921:T2971))</f>
        <v>-0.7611210997</v>
      </c>
      <c r="U2920" s="372">
        <f t="array" ref="U2920">SUM(IF(ISERROR(U2921:U2971),"",U2921:U2971))</f>
        <v>-0.7823236993</v>
      </c>
      <c r="V2920" s="372">
        <f t="array" ref="V2920">SUM(IF(ISERROR(V2921:V2971),"",V2921:V2971))</f>
        <v>-0.8037978906</v>
      </c>
      <c r="W2920" s="372">
        <f t="array" ref="W2920">SUM(IF(ISERROR(W2921:W2971),"",W2921:W2971))</f>
        <v>-0.8241446629</v>
      </c>
      <c r="X2920" s="372">
        <f t="array" ref="X2920">SUM(IF(ISERROR(X2921:X2971),"",X2921:X2971))</f>
        <v>-0.844758864</v>
      </c>
      <c r="Y2920" s="372">
        <f t="array" ref="Y2920">SUM(IF(ISERROR(Y2921:Y2971),"",Y2921:Y2971))</f>
        <v>-0.8680999504</v>
      </c>
      <c r="Z2920" s="372">
        <f t="array" ref="Z2920">SUM(IF(ISERROR(Z2921:Z2971),"",Z2921:Z2971))</f>
        <v>-0.8921948027</v>
      </c>
      <c r="AA2920" s="372">
        <f t="array" ref="AA2920">SUM(IF(ISERROR(AA2921:AA2971),"",AA2921:AA2971))</f>
        <v>-0.9174685742</v>
      </c>
      <c r="AB2920" s="372">
        <f t="array" ref="AB2920">SUM(IF(ISERROR(AB2921:AB2971),"",AB2921:AB2971))</f>
        <v>-0.9432737061</v>
      </c>
      <c r="AC2920" s="372">
        <f t="array" ref="AC2920">SUM(IF(ISERROR(AC2921:AC2971),"",AC2921:AC2971))</f>
        <v>-0.9690340676</v>
      </c>
      <c r="AD2920" s="372">
        <f t="array" ref="AD2920">SUM(IF(ISERROR(AD2921:AD2971),"",AD2921:AD2971))</f>
        <v>-0.9953289295</v>
      </c>
      <c r="AE2920" s="372">
        <f t="array" ref="AE2920">SUM(IF(ISERROR(AE2921:AE2971),"",AE2921:AE2971))</f>
        <v>-1.0218948</v>
      </c>
      <c r="AF2920" s="372">
        <f t="array" ref="AF2920">SUM(IF(ISERROR(AF2921:AF2971),"",AF2921:AF2971))</f>
        <v>-1.048762642</v>
      </c>
      <c r="AG2920" s="372">
        <f t="array" ref="AG2920">SUM(IF(ISERROR(AG2921:AG2971),"",AG2921:AG2971))</f>
        <v>-1.076086572</v>
      </c>
      <c r="AH2920" s="372">
        <f t="array" ref="AH2920">SUM(IF(ISERROR(AH2921:AH2971),"",AH2921:AH2971))</f>
        <v>-1.10456008</v>
      </c>
      <c r="AI2920" s="372">
        <f t="array" ref="AI2920">SUM(IF(ISERROR(AI2921:AI2971),"",AI2921:AI2971))</f>
        <v>-1.135247796</v>
      </c>
      <c r="AJ2920" s="372">
        <f t="array" ref="AJ2920">SUM(IF(ISERROR(AJ2921:AJ2971),"",AJ2921:AJ2971))</f>
        <v>-1.166785221</v>
      </c>
      <c r="AK2920" s="372">
        <f t="array" ref="AK2920">SUM(IF(ISERROR(AK2921:AK2971),"",AK2921:AK2971))</f>
        <v>-1.199051646</v>
      </c>
      <c r="AL2920" s="372">
        <f t="array" ref="AL2920">SUM(IF(ISERROR(AL2921:AL2971),"",AL2921:AL2971))</f>
        <v>-1.232137976</v>
      </c>
      <c r="AM2920" s="372">
        <f t="array" ref="AM2920">SUM(IF(ISERROR(AM2921:AM2971),"",AM2921:AM2971))</f>
        <v>-1.265982329</v>
      </c>
      <c r="AN2920" s="372">
        <f t="array" ref="AN2920">SUM(IF(ISERROR(AN2921:AN2971),"",AN2921:AN2971))</f>
        <v>-1.300682886</v>
      </c>
      <c r="AO2920" s="372">
        <f t="array" ref="AO2920">SUM(IF(ISERROR(AO2921:AO2971),"",AO2921:AO2971))</f>
        <v>-1.336260262</v>
      </c>
      <c r="AP2920" s="372">
        <f t="array" ref="AP2920">SUM(IF(ISERROR(AP2921:AP2971),"",AP2921:AP2971))</f>
        <v>-1.372735558</v>
      </c>
      <c r="AQ2920" s="372">
        <f t="array" ref="AQ2920">SUM(IF(ISERROR(AQ2921:AQ2971),"",AQ2921:AQ2971))</f>
        <v>-1.410130361</v>
      </c>
      <c r="AR2920" s="372">
        <f t="array" ref="AR2920">SUM(IF(ISERROR(AR2921:AR2971),"",AR2921:AR2971))</f>
        <v>-1.448466765</v>
      </c>
      <c r="AS2920" s="372">
        <f t="array" ref="AS2920">SUM(IF(ISERROR(AS2921:AS2971),"",AS2921:AS2971))</f>
        <v>-1.487767375</v>
      </c>
      <c r="AT2920" s="372">
        <f t="array" ref="AT2920">SUM(IF(ISERROR(AT2921:AT2971),"",AT2921:AT2971))</f>
        <v>-1.528055324</v>
      </c>
      <c r="AU2920" s="372">
        <f t="array" ref="AU2920">SUM(IF(ISERROR(AU2921:AU2971),"",AU2921:AU2971))</f>
        <v>-1.569354279</v>
      </c>
      <c r="AV2920" s="372">
        <f t="array" ref="AV2920">SUM(IF(ISERROR(AV2921:AV2971),"",AV2921:AV2971))</f>
        <v>-1.611688462</v>
      </c>
      <c r="AW2920" s="372">
        <f t="array" ref="AW2920">SUM(IF(ISERROR(AW2921:AW2971),"",AW2921:AW2971))</f>
        <v>-1.655082652</v>
      </c>
      <c r="AX2920" s="372">
        <f t="array" ref="AX2920">SUM(IF(ISERROR(AX2921:AX2971),"",AX2921:AX2971))</f>
        <v>-1.699562207</v>
      </c>
      <c r="AY2920" s="372">
        <f t="array" ref="AY2920">SUM(IF(ISERROR(AY2921:AY2971),"",AY2921:AY2971))</f>
        <v>-1.74515307</v>
      </c>
      <c r="AZ2920" s="372">
        <f t="array" ref="AZ2920">SUM(IF(ISERROR(AZ2921:AZ2971),"",AZ2921:AZ2971))</f>
        <v>-1.791881788</v>
      </c>
      <c r="BA2920" s="372">
        <f t="array" ref="BA2920">SUM(IF(ISERROR(BA2921:BA2971),"",BA2921:BA2971))</f>
        <v>-1.838224017</v>
      </c>
      <c r="BB2920" s="372">
        <f t="array" ref="BB2920">SUM(IF(ISERROR(BB2921:BB2971),"",BB2921:BB2971))</f>
        <v>-1.645656898</v>
      </c>
      <c r="BC2920" s="372">
        <f t="array" ref="BC2920">SUM(IF(ISERROR(BC2921:BC2971),"",BC2921:BC2971))</f>
        <v>-1.459342113</v>
      </c>
      <c r="BD2920" s="372">
        <f t="array" ref="BD2920">SUM(IF(ISERROR(BD2921:BD2971),"",BD2921:BD2971))</f>
        <v>-1.279994723</v>
      </c>
      <c r="BE2920" s="372">
        <f t="array" ref="BE2920">SUM(IF(ISERROR(BE2921:BE2971),"",BE2921:BE2971))</f>
        <v>-1.108374261</v>
      </c>
      <c r="BF2920" s="372">
        <f t="array" ref="BF2920">SUM(IF(ISERROR(BF2921:BF2971),"",BF2921:BF2971))</f>
        <v>-0.9452870971</v>
      </c>
      <c r="BG2920" s="372">
        <f t="array" ref="BG2920">SUM(IF(ISERROR(BG2921:BG2971),"",BG2921:BG2971))</f>
        <v>-0.7915889199</v>
      </c>
      <c r="BH2920" s="372">
        <f t="array" ref="BH2920">SUM(IF(ISERROR(BH2921:BH2971),"",BH2921:BH2971))</f>
        <v>-0.6481873437</v>
      </c>
      <c r="BI2920" s="372">
        <f t="array" ref="BI2920">SUM(IF(ISERROR(BI2921:BI2971),"",BI2921:BI2971))</f>
        <v>-0.5160446448</v>
      </c>
      <c r="BJ2920" s="372">
        <f t="array" ref="BJ2920">SUM(IF(ISERROR(BJ2921:BJ2971),"",BJ2921:BJ2971))</f>
        <v>-0.396180634</v>
      </c>
      <c r="BK2920" s="372">
        <f t="array" ref="BK2920">SUM(IF(ISERROR(BK2921:BK2971),"",BK2921:BK2971))</f>
        <v>-0.2896756719</v>
      </c>
      <c r="BL2920" s="372">
        <f t="array" ref="BL2920">SUM(IF(ISERROR(BL2921:BL2971),"",BL2921:BL2971))</f>
        <v>-0.1976738344</v>
      </c>
      <c r="BM2920" s="372">
        <f t="array" ref="BM2920">SUM(IF(ISERROR(BM2921:BM2971),"",BM2921:BM2971))</f>
        <v>-0.1213862348</v>
      </c>
      <c r="BN2920" s="372">
        <f t="array" ref="BN2920">SUM(IF(ISERROR(BN2921:BN2971),"",BN2921:BN2971))</f>
        <v>-0.06209451072</v>
      </c>
      <c r="BO2920" s="372">
        <f t="array" ref="BO2920">SUM(IF(ISERROR(BO2921:BO2971),"",BO2921:BO2971))</f>
        <v>-0.02115448375</v>
      </c>
      <c r="BP2920" s="372"/>
      <c r="BQ2920" s="372"/>
      <c r="BR2920" s="372"/>
      <c r="BS2920" s="372"/>
      <c r="BT2920" s="372"/>
      <c r="BU2920" s="372"/>
      <c r="BV2920" s="372"/>
      <c r="BW2920" s="372"/>
      <c r="BX2920" s="372"/>
      <c r="BY2920" s="372"/>
      <c r="BZ2920" s="32"/>
      <c r="CA2920" s="32"/>
      <c r="CB2920" s="32"/>
      <c r="CC2920" s="32"/>
      <c r="CD2920" s="32"/>
    </row>
    <row r="2921" ht="15.75" hidden="1" customHeight="1" outlineLevel="1">
      <c r="A2921" s="365"/>
      <c r="B2921" s="38"/>
      <c r="C2921" s="373">
        <f>IPMT('Assumptions (T&amp;D)'!$C$20,Model!W$1,'Assumptions (T&amp;D)'!$C$23,Model!$C$2866)</f>
        <v>-0.05701496867</v>
      </c>
      <c r="D2921" s="373">
        <f>IPMT('Assumptions (T&amp;D)'!$C$20,Model!X$1,'Assumptions (T&amp;D)'!$C$23,Model!$C$2866)</f>
        <v>-0.05432265717</v>
      </c>
      <c r="E2921" s="373">
        <f>IPMT('Assumptions (T&amp;D)'!$C$20,Model!Y$1,'Assumptions (T&amp;D)'!$C$23,Model!$C$2866)</f>
        <v>-0.05150246088</v>
      </c>
      <c r="F2921" s="373">
        <f>IPMT('Assumptions (T&amp;D)'!$C$20,Model!Z$1,'Assumptions (T&amp;D)'!$C$23,Model!$C$2866)</f>
        <v>-0.04854830526</v>
      </c>
      <c r="G2921" s="373">
        <f>IPMT('Assumptions (T&amp;D)'!$C$20,Model!AA$1,'Assumptions (T&amp;D)'!$C$23,Model!$C$2866)</f>
        <v>-0.04545382725</v>
      </c>
      <c r="H2921" s="373">
        <f>IPMT('Assumptions (T&amp;D)'!$C$20,Model!AB$1,'Assumptions (T&amp;D)'!$C$23,Model!$C$2866)</f>
        <v>-0.04221236153</v>
      </c>
      <c r="I2921" s="373">
        <f>IPMT('Assumptions (T&amp;D)'!$C$20,Model!AC$1,'Assumptions (T&amp;D)'!$C$23,Model!$C$2866)</f>
        <v>-0.03881692619</v>
      </c>
      <c r="J2921" s="373">
        <f>IPMT('Assumptions (T&amp;D)'!$C$20,Model!AD$1,'Assumptions (T&amp;D)'!$C$23,Model!$C$2866)</f>
        <v>-0.03526020767</v>
      </c>
      <c r="K2921" s="373">
        <f>IPMT('Assumptions (T&amp;D)'!$C$20,Model!AE$1,'Assumptions (T&amp;D)'!$C$23,Model!$C$2866)</f>
        <v>-0.03153454503</v>
      </c>
      <c r="L2921" s="373">
        <f>IPMT('Assumptions (T&amp;D)'!$C$20,Model!AF$1,'Assumptions (T&amp;D)'!$C$23,Model!$C$2866)</f>
        <v>-0.02763191341</v>
      </c>
      <c r="M2921" s="373">
        <f>IPMT('Assumptions (T&amp;D)'!$C$20,Model!AG$1,'Assumptions (T&amp;D)'!$C$23,Model!$C$2866)</f>
        <v>-0.02354390678</v>
      </c>
      <c r="N2921" s="373">
        <f>IPMT('Assumptions (T&amp;D)'!$C$20,Model!AH$1,'Assumptions (T&amp;D)'!$C$23,Model!$C$2866)</f>
        <v>-0.01926171984</v>
      </c>
      <c r="O2921" s="373">
        <f>IPMT('Assumptions (T&amp;D)'!$C$20,Model!AI$1,'Assumptions (T&amp;D)'!$C$23,Model!$C$2866)</f>
        <v>-0.01477612902</v>
      </c>
      <c r="P2921" s="373">
        <f>IPMT('Assumptions (T&amp;D)'!$C$20,Model!AJ$1,'Assumptions (T&amp;D)'!$C$23,Model!$C$2866)</f>
        <v>-0.01007747264</v>
      </c>
      <c r="Q2921" s="373">
        <f>IPMT('Assumptions (T&amp;D)'!$C$20,Model!AK$1,'Assumptions (T&amp;D)'!$C$23,Model!$C$2866)</f>
        <v>-0.005155630082</v>
      </c>
      <c r="R2921" s="374"/>
      <c r="S2921" s="374"/>
      <c r="T2921" s="374"/>
      <c r="U2921" s="374"/>
      <c r="V2921" s="374"/>
      <c r="W2921" s="374"/>
      <c r="X2921" s="374"/>
      <c r="Y2921" s="374"/>
      <c r="Z2921" s="374"/>
      <c r="AA2921" s="374"/>
      <c r="AB2921" s="374"/>
      <c r="AC2921" s="32"/>
      <c r="AD2921" s="32"/>
      <c r="AE2921" s="32"/>
      <c r="AF2921" s="32"/>
      <c r="AG2921" s="32"/>
      <c r="AH2921" s="32"/>
      <c r="AI2921" s="32"/>
      <c r="AJ2921" s="32"/>
      <c r="AK2921" s="32"/>
      <c r="AL2921" s="32"/>
      <c r="AM2921" s="32"/>
      <c r="AN2921" s="32"/>
      <c r="AO2921" s="32"/>
      <c r="AP2921" s="32"/>
      <c r="AQ2921" s="32"/>
      <c r="AR2921" s="32"/>
      <c r="AS2921" s="32"/>
      <c r="AT2921" s="32"/>
      <c r="AU2921" s="32"/>
      <c r="AV2921" s="32"/>
      <c r="AW2921" s="32"/>
      <c r="AX2921" s="32"/>
      <c r="AY2921" s="32"/>
      <c r="AZ2921" s="32"/>
      <c r="BA2921" s="32"/>
      <c r="BB2921" s="32"/>
      <c r="BC2921" s="32"/>
      <c r="BD2921" s="32"/>
      <c r="BE2921" s="32"/>
      <c r="BF2921" s="32"/>
      <c r="BG2921" s="32"/>
      <c r="BH2921" s="32"/>
      <c r="BI2921" s="32"/>
      <c r="BJ2921" s="32"/>
      <c r="BK2921" s="32"/>
      <c r="BL2921" s="32"/>
      <c r="BM2921" s="32"/>
      <c r="BN2921" s="32"/>
      <c r="BO2921" s="32"/>
      <c r="BP2921" s="32"/>
      <c r="BQ2921" s="32"/>
      <c r="BR2921" s="32"/>
      <c r="BS2921" s="32"/>
      <c r="BT2921" s="32"/>
      <c r="BU2921" s="32"/>
      <c r="BV2921" s="32"/>
      <c r="BW2921" s="32"/>
      <c r="BX2921" s="32"/>
      <c r="BY2921" s="32"/>
      <c r="BZ2921" s="32"/>
      <c r="CA2921" s="32"/>
      <c r="CB2921" s="32"/>
      <c r="CC2921" s="32"/>
      <c r="CD2921" s="32"/>
    </row>
    <row r="2922" ht="15.75" hidden="1" customHeight="1" outlineLevel="1">
      <c r="A2922" s="365"/>
      <c r="B2922" s="38"/>
      <c r="C2922" s="374"/>
      <c r="D2922" s="373">
        <f>IPMT('Assumptions (T&amp;D)'!$C$20,Model!W$1,'Assumptions (T&amp;D)'!$C$23,Model!$D$2866)</f>
        <v>-0.05742373835</v>
      </c>
      <c r="E2922" s="373">
        <f>IPMT('Assumptions (T&amp;D)'!$C$20,Model!X$1,'Assumptions (T&amp;D)'!$C$23,Model!$D$2866)</f>
        <v>-0.05471212429</v>
      </c>
      <c r="F2922" s="373">
        <f>IPMT('Assumptions (T&amp;D)'!$C$20,Model!Y$1,'Assumptions (T&amp;D)'!$C$23,Model!$D$2866)</f>
        <v>-0.05187170855</v>
      </c>
      <c r="G2922" s="373">
        <f>IPMT('Assumptions (T&amp;D)'!$C$20,Model!Z$1,'Assumptions (T&amp;D)'!$C$23,Model!$D$2866)</f>
        <v>-0.04889637307</v>
      </c>
      <c r="H2922" s="373">
        <f>IPMT('Assumptions (T&amp;D)'!$C$20,Model!AA$1,'Assumptions (T&amp;D)'!$C$23,Model!$D$2866)</f>
        <v>-0.04577970915</v>
      </c>
      <c r="I2922" s="373">
        <f>IPMT('Assumptions (T&amp;D)'!$C$20,Model!AB$1,'Assumptions (T&amp;D)'!$C$23,Model!$D$2866)</f>
        <v>-0.04251500369</v>
      </c>
      <c r="J2922" s="373">
        <f>IPMT('Assumptions (T&amp;D)'!$C$20,Model!AC$1,'Assumptions (T&amp;D)'!$C$23,Model!$D$2866)</f>
        <v>-0.03909522473</v>
      </c>
      <c r="K2922" s="373">
        <f>IPMT('Assumptions (T&amp;D)'!$C$20,Model!AD$1,'Assumptions (T&amp;D)'!$C$23,Model!$D$2866)</f>
        <v>-0.03551300627</v>
      </c>
      <c r="L2922" s="373">
        <f>IPMT('Assumptions (T&amp;D)'!$C$20,Model!AE$1,'Assumptions (T&amp;D)'!$C$23,Model!$D$2866)</f>
        <v>-0.03176063243</v>
      </c>
      <c r="M2922" s="373">
        <f>IPMT('Assumptions (T&amp;D)'!$C$20,Model!AF$1,'Assumptions (T&amp;D)'!$C$23,Model!$D$2866)</f>
        <v>-0.02783002083</v>
      </c>
      <c r="N2922" s="373">
        <f>IPMT('Assumptions (T&amp;D)'!$C$20,Model!AG$1,'Assumptions (T&amp;D)'!$C$23,Model!$D$2866)</f>
        <v>-0.02371270518</v>
      </c>
      <c r="O2922" s="373">
        <f>IPMT('Assumptions (T&amp;D)'!$C$20,Model!AH$1,'Assumptions (T&amp;D)'!$C$23,Model!$D$2866)</f>
        <v>-0.01939981704</v>
      </c>
      <c r="P2922" s="373">
        <f>IPMT('Assumptions (T&amp;D)'!$C$20,Model!AI$1,'Assumptions (T&amp;D)'!$C$23,Model!$D$2866)</f>
        <v>-0.01488206671</v>
      </c>
      <c r="Q2922" s="373">
        <f>IPMT('Assumptions (T&amp;D)'!$C$20,Model!AJ$1,'Assumptions (T&amp;D)'!$C$23,Model!$D$2866)</f>
        <v>-0.01014972324</v>
      </c>
      <c r="R2922" s="373">
        <f>IPMT('Assumptions (T&amp;D)'!$C$20,Model!AK$1,'Assumptions (T&amp;D)'!$C$23,Model!$D$2866)</f>
        <v>-0.00519259345</v>
      </c>
      <c r="S2922" s="374"/>
      <c r="T2922" s="374"/>
      <c r="U2922" s="374"/>
      <c r="V2922" s="374"/>
      <c r="W2922" s="374"/>
      <c r="X2922" s="374"/>
      <c r="Y2922" s="374"/>
      <c r="Z2922" s="374"/>
      <c r="AA2922" s="374"/>
      <c r="AB2922" s="374"/>
      <c r="AC2922" s="32"/>
      <c r="AD2922" s="32"/>
      <c r="AE2922" s="32"/>
      <c r="AF2922" s="32"/>
      <c r="AG2922" s="32"/>
      <c r="AH2922" s="32"/>
      <c r="AI2922" s="32"/>
      <c r="AJ2922" s="32"/>
      <c r="AK2922" s="32"/>
      <c r="AL2922" s="32"/>
      <c r="AM2922" s="32"/>
      <c r="AN2922" s="32"/>
      <c r="AO2922" s="32"/>
      <c r="AP2922" s="32"/>
      <c r="AQ2922" s="32"/>
      <c r="AR2922" s="32"/>
      <c r="AS2922" s="32"/>
      <c r="AT2922" s="32"/>
      <c r="AU2922" s="32"/>
      <c r="AV2922" s="32"/>
      <c r="AW2922" s="32"/>
      <c r="AX2922" s="32"/>
      <c r="AY2922" s="32"/>
      <c r="AZ2922" s="32"/>
      <c r="BA2922" s="32"/>
      <c r="BB2922" s="32"/>
      <c r="BC2922" s="32"/>
      <c r="BD2922" s="32"/>
      <c r="BE2922" s="32"/>
      <c r="BF2922" s="32"/>
      <c r="BG2922" s="32"/>
      <c r="BH2922" s="32"/>
      <c r="BI2922" s="32"/>
      <c r="BJ2922" s="32"/>
      <c r="BK2922" s="32"/>
      <c r="BL2922" s="32"/>
      <c r="BM2922" s="32"/>
      <c r="BN2922" s="32"/>
      <c r="BO2922" s="32"/>
      <c r="BP2922" s="32"/>
      <c r="BQ2922" s="32"/>
      <c r="BR2922" s="32"/>
      <c r="BS2922" s="32"/>
      <c r="BT2922" s="32"/>
      <c r="BU2922" s="32"/>
      <c r="BV2922" s="32"/>
      <c r="BW2922" s="32"/>
      <c r="BX2922" s="32"/>
      <c r="BY2922" s="32"/>
      <c r="BZ2922" s="32"/>
      <c r="CA2922" s="32"/>
      <c r="CB2922" s="32"/>
      <c r="CC2922" s="32"/>
      <c r="CD2922" s="32"/>
    </row>
    <row r="2923" ht="15.75" hidden="1" customHeight="1" outlineLevel="1">
      <c r="A2923" s="365"/>
      <c r="B2923" s="38"/>
      <c r="C2923" s="374"/>
      <c r="D2923" s="374"/>
      <c r="E2923" s="373">
        <f>IPMT('Assumptions (T&amp;D)'!$C$20,Model!W$1,'Assumptions (T&amp;D)'!$C$23,Model!$E$2866)</f>
        <v>-0.05390604345</v>
      </c>
      <c r="F2923" s="373">
        <f>IPMT('Assumptions (T&amp;D)'!$C$20,Model!X$1,'Assumptions (T&amp;D)'!$C$23,Model!$E$2866)</f>
        <v>-0.05136053893</v>
      </c>
      <c r="G2923" s="373">
        <f>IPMT('Assumptions (T&amp;D)'!$C$20,Model!Y$1,'Assumptions (T&amp;D)'!$C$23,Model!$E$2866)</f>
        <v>-0.04869412294</v>
      </c>
      <c r="H2923" s="373">
        <f>IPMT('Assumptions (T&amp;D)'!$C$20,Model!Z$1,'Assumptions (T&amp;D)'!$C$23,Model!$E$2866)</f>
        <v>-0.04590105219</v>
      </c>
      <c r="I2923" s="373">
        <f>IPMT('Assumptions (T&amp;D)'!$C$20,Model!AA$1,'Assumptions (T&amp;D)'!$C$23,Model!$E$2866)</f>
        <v>-0.04297531058</v>
      </c>
      <c r="J2923" s="373">
        <f>IPMT('Assumptions (T&amp;D)'!$C$20,Model!AB$1,'Assumptions (T&amp;D)'!$C$23,Model!$E$2866)</f>
        <v>-0.03991059625</v>
      </c>
      <c r="K2923" s="373">
        <f>IPMT('Assumptions (T&amp;D)'!$C$20,Model!AC$1,'Assumptions (T&amp;D)'!$C$23,Model!$E$2866)</f>
        <v>-0.03670030798</v>
      </c>
      <c r="L2923" s="373">
        <f>IPMT('Assumptions (T&amp;D)'!$C$20,Model!AD$1,'Assumptions (T&amp;D)'!$C$23,Model!$E$2866)</f>
        <v>-0.03333753103</v>
      </c>
      <c r="M2923" s="373">
        <f>IPMT('Assumptions (T&amp;D)'!$C$20,Model!AE$1,'Assumptions (T&amp;D)'!$C$23,Model!$E$2866)</f>
        <v>-0.02981502216</v>
      </c>
      <c r="N2923" s="373">
        <f>IPMT('Assumptions (T&amp;D)'!$C$20,Model!AF$1,'Assumptions (T&amp;D)'!$C$23,Model!$E$2866)</f>
        <v>-0.02612519413</v>
      </c>
      <c r="O2923" s="373">
        <f>IPMT('Assumptions (T&amp;D)'!$C$20,Model!AG$1,'Assumptions (T&amp;D)'!$C$23,Model!$E$2866)</f>
        <v>-0.02226009926</v>
      </c>
      <c r="P2923" s="373">
        <f>IPMT('Assumptions (T&amp;D)'!$C$20,Model!AH$1,'Assumptions (T&amp;D)'!$C$23,Model!$E$2866)</f>
        <v>-0.01821141239</v>
      </c>
      <c r="Q2923" s="373">
        <f>IPMT('Assumptions (T&amp;D)'!$C$20,Model!AI$1,'Assumptions (T&amp;D)'!$C$23,Model!$E$2866)</f>
        <v>-0.01397041289</v>
      </c>
      <c r="R2923" s="373">
        <f>IPMT('Assumptions (T&amp;D)'!$C$20,Model!AJ$1,'Assumptions (T&amp;D)'!$C$23,Model!$E$2866)</f>
        <v>-0.009527965915</v>
      </c>
      <c r="S2923" s="373">
        <f>IPMT('Assumptions (T&amp;D)'!$C$20,Model!AK$1,'Assumptions (T&amp;D)'!$C$23,Model!$E$2866)</f>
        <v>-0.004874502709</v>
      </c>
      <c r="T2923" s="374"/>
      <c r="U2923" s="374"/>
      <c r="V2923" s="374"/>
      <c r="W2923" s="374"/>
      <c r="X2923" s="374"/>
      <c r="Y2923" s="374"/>
      <c r="Z2923" s="374"/>
      <c r="AA2923" s="374"/>
      <c r="AB2923" s="374"/>
      <c r="AC2923" s="374"/>
      <c r="AD2923" s="32"/>
      <c r="AE2923" s="32"/>
      <c r="AF2923" s="32"/>
      <c r="AG2923" s="32"/>
      <c r="AH2923" s="32"/>
      <c r="AI2923" s="32"/>
      <c r="AJ2923" s="32"/>
      <c r="AK2923" s="32"/>
      <c r="AL2923" s="32"/>
      <c r="AM2923" s="32"/>
      <c r="AN2923" s="32"/>
      <c r="AO2923" s="32"/>
      <c r="AP2923" s="32"/>
      <c r="AQ2923" s="32"/>
      <c r="AR2923" s="32"/>
      <c r="AS2923" s="32"/>
      <c r="AT2923" s="32"/>
      <c r="AU2923" s="32"/>
      <c r="AV2923" s="32"/>
      <c r="AW2923" s="32"/>
      <c r="AX2923" s="32"/>
      <c r="AY2923" s="32"/>
      <c r="AZ2923" s="32"/>
      <c r="BA2923" s="32"/>
      <c r="BB2923" s="32"/>
      <c r="BC2923" s="32"/>
      <c r="BD2923" s="32"/>
      <c r="BE2923" s="32"/>
      <c r="BF2923" s="32"/>
      <c r="BG2923" s="32"/>
      <c r="BH2923" s="32"/>
      <c r="BI2923" s="32"/>
      <c r="BJ2923" s="32"/>
      <c r="BK2923" s="32"/>
      <c r="BL2923" s="32"/>
      <c r="BM2923" s="32"/>
      <c r="BN2923" s="32"/>
      <c r="BO2923" s="32"/>
      <c r="BP2923" s="32"/>
      <c r="BQ2923" s="32"/>
      <c r="BR2923" s="32"/>
      <c r="BS2923" s="32"/>
      <c r="BT2923" s="32"/>
      <c r="BU2923" s="32"/>
      <c r="BV2923" s="32"/>
      <c r="BW2923" s="32"/>
      <c r="BX2923" s="32"/>
      <c r="BY2923" s="32"/>
      <c r="BZ2923" s="32"/>
      <c r="CA2923" s="32"/>
      <c r="CB2923" s="32"/>
      <c r="CC2923" s="32"/>
      <c r="CD2923" s="32"/>
    </row>
    <row r="2924" ht="15.75" hidden="1" customHeight="1" outlineLevel="1">
      <c r="A2924" s="365"/>
      <c r="B2924" s="38"/>
      <c r="C2924" s="374"/>
      <c r="D2924" s="374"/>
      <c r="E2924" s="374"/>
      <c r="F2924" s="373">
        <f>IPMT('Assumptions (T&amp;D)'!$C$20,Model!W$1,'Assumptions (T&amp;D)'!$C$23,Model!$F$2866)</f>
        <v>-0.05283809154</v>
      </c>
      <c r="G2924" s="373">
        <f>IPMT('Assumptions (T&amp;D)'!$C$20,Model!X$1,'Assumptions (T&amp;D)'!$C$23,Model!$F$2866)</f>
        <v>-0.05034301692</v>
      </c>
      <c r="H2924" s="373">
        <f>IPMT('Assumptions (T&amp;D)'!$C$20,Model!Y$1,'Assumptions (T&amp;D)'!$C$23,Model!$F$2866)</f>
        <v>-0.04772942625</v>
      </c>
      <c r="I2924" s="373">
        <f>IPMT('Assumptions (T&amp;D)'!$C$20,Model!Z$1,'Assumptions (T&amp;D)'!$C$23,Model!$F$2866)</f>
        <v>-0.04499169002</v>
      </c>
      <c r="J2924" s="373">
        <f>IPMT('Assumptions (T&amp;D)'!$C$20,Model!AA$1,'Assumptions (T&amp;D)'!$C$23,Model!$F$2866)</f>
        <v>-0.04212391133</v>
      </c>
      <c r="K2924" s="373">
        <f>IPMT('Assumptions (T&amp;D)'!$C$20,Model!AB$1,'Assumptions (T&amp;D)'!$C$23,Model!$F$2866)</f>
        <v>-0.03911991315</v>
      </c>
      <c r="L2924" s="373">
        <f>IPMT('Assumptions (T&amp;D)'!$C$20,Model!AC$1,'Assumptions (T&amp;D)'!$C$23,Model!$F$2866)</f>
        <v>-0.03597322505</v>
      </c>
      <c r="M2924" s="373">
        <f>IPMT('Assumptions (T&amp;D)'!$C$20,Model!AD$1,'Assumptions (T&amp;D)'!$C$23,Model!$F$2866)</f>
        <v>-0.03267706927</v>
      </c>
      <c r="N2924" s="373">
        <f>IPMT('Assumptions (T&amp;D)'!$C$20,Model!AE$1,'Assumptions (T&amp;D)'!$C$23,Model!$F$2866)</f>
        <v>-0.02922434609</v>
      </c>
      <c r="O2924" s="373">
        <f>IPMT('Assumptions (T&amp;D)'!$C$20,Model!AF$1,'Assumptions (T&amp;D)'!$C$23,Model!$F$2866)</f>
        <v>-0.02560761856</v>
      </c>
      <c r="P2924" s="373">
        <f>IPMT('Assumptions (T&amp;D)'!$C$20,Model!AG$1,'Assumptions (T&amp;D)'!$C$23,Model!$F$2866)</f>
        <v>-0.02181909647</v>
      </c>
      <c r="Q2924" s="373">
        <f>IPMT('Assumptions (T&amp;D)'!$C$20,Model!AH$1,'Assumptions (T&amp;D)'!$C$23,Model!$F$2866)</f>
        <v>-0.01785061958</v>
      </c>
      <c r="R2924" s="373">
        <f>IPMT('Assumptions (T&amp;D)'!$C$20,Model!AI$1,'Assumptions (T&amp;D)'!$C$23,Model!$F$2866)</f>
        <v>-0.01369364004</v>
      </c>
      <c r="S2924" s="373">
        <f>IPMT('Assumptions (T&amp;D)'!$C$20,Model!AJ$1,'Assumptions (T&amp;D)'!$C$23,Model!$F$2866)</f>
        <v>-0.009339203973</v>
      </c>
      <c r="T2924" s="373">
        <f>IPMT('Assumptions (T&amp;D)'!$C$20,Model!AK$1,'Assumptions (T&amp;D)'!$C$23,Model!$F$2866)</f>
        <v>-0.004777932191</v>
      </c>
      <c r="U2924" s="374"/>
      <c r="V2924" s="374"/>
      <c r="W2924" s="374"/>
      <c r="X2924" s="374"/>
      <c r="Y2924" s="374"/>
      <c r="Z2924" s="374"/>
      <c r="AA2924" s="374"/>
      <c r="AB2924" s="374"/>
      <c r="AC2924" s="374"/>
      <c r="AD2924" s="374"/>
      <c r="AE2924" s="32"/>
      <c r="AF2924" s="32"/>
      <c r="AG2924" s="32"/>
      <c r="AH2924" s="32"/>
      <c r="AI2924" s="32"/>
      <c r="AJ2924" s="32"/>
      <c r="AK2924" s="32"/>
      <c r="AL2924" s="32"/>
      <c r="AM2924" s="32"/>
      <c r="AN2924" s="32"/>
      <c r="AO2924" s="32"/>
      <c r="AP2924" s="32"/>
      <c r="AQ2924" s="32"/>
      <c r="AR2924" s="32"/>
      <c r="AS2924" s="32"/>
      <c r="AT2924" s="32"/>
      <c r="AU2924" s="32"/>
      <c r="AV2924" s="32"/>
      <c r="AW2924" s="32"/>
      <c r="AX2924" s="32"/>
      <c r="AY2924" s="32"/>
      <c r="AZ2924" s="32"/>
      <c r="BA2924" s="32"/>
      <c r="BB2924" s="32"/>
      <c r="BC2924" s="32"/>
      <c r="BD2924" s="32"/>
      <c r="BE2924" s="32"/>
      <c r="BF2924" s="32"/>
      <c r="BG2924" s="32"/>
      <c r="BH2924" s="32"/>
      <c r="BI2924" s="32"/>
      <c r="BJ2924" s="32"/>
      <c r="BK2924" s="32"/>
      <c r="BL2924" s="32"/>
      <c r="BM2924" s="32"/>
      <c r="BN2924" s="32"/>
      <c r="BO2924" s="32"/>
      <c r="BP2924" s="32"/>
      <c r="BQ2924" s="32"/>
      <c r="BR2924" s="32"/>
      <c r="BS2924" s="32"/>
      <c r="BT2924" s="32"/>
      <c r="BU2924" s="32"/>
      <c r="BV2924" s="32"/>
      <c r="BW2924" s="32"/>
      <c r="BX2924" s="32"/>
      <c r="BY2924" s="32"/>
      <c r="BZ2924" s="32"/>
      <c r="CA2924" s="32"/>
      <c r="CB2924" s="32"/>
      <c r="CC2924" s="32"/>
      <c r="CD2924" s="32"/>
    </row>
    <row r="2925" ht="15.75" hidden="1" customHeight="1" outlineLevel="1">
      <c r="A2925" s="365"/>
      <c r="B2925" s="38"/>
      <c r="C2925" s="374"/>
      <c r="D2925" s="374"/>
      <c r="E2925" s="374"/>
      <c r="F2925" s="374"/>
      <c r="G2925" s="373">
        <f>IPMT('Assumptions (T&amp;D)'!$C$20,Model!W$1,'Assumptions (T&amp;D)'!$C$23,Model!$G$2866)</f>
        <v>-0.0582280556</v>
      </c>
      <c r="H2925" s="373">
        <f>IPMT('Assumptions (T&amp;D)'!$C$20,Model!X$1,'Assumptions (T&amp;D)'!$C$23,Model!$G$2866)</f>
        <v>-0.05547846076</v>
      </c>
      <c r="I2925" s="373">
        <f>IPMT('Assumptions (T&amp;D)'!$C$20,Model!Y$1,'Assumptions (T&amp;D)'!$C$23,Model!$G$2866)</f>
        <v>-0.05259826016</v>
      </c>
      <c r="J2925" s="373">
        <f>IPMT('Assumptions (T&amp;D)'!$C$20,Model!Z$1,'Assumptions (T&amp;D)'!$C$23,Model!$G$2866)</f>
        <v>-0.04958125004</v>
      </c>
      <c r="K2925" s="373">
        <f>IPMT('Assumptions (T&amp;D)'!$C$20,Model!AA$1,'Assumptions (T&amp;D)'!$C$23,Model!$G$2866)</f>
        <v>-0.04642093193</v>
      </c>
      <c r="L2925" s="373">
        <f>IPMT('Assumptions (T&amp;D)'!$C$20,Model!AB$1,'Assumptions (T&amp;D)'!$C$23,Model!$G$2866)</f>
        <v>-0.04311049872</v>
      </c>
      <c r="M2925" s="373">
        <f>IPMT('Assumptions (T&amp;D)'!$C$20,Model!AC$1,'Assumptions (T&amp;D)'!$C$23,Model!$G$2866)</f>
        <v>-0.03964281993</v>
      </c>
      <c r="N2925" s="373">
        <f>IPMT('Assumptions (T&amp;D)'!$C$20,Model!AD$1,'Assumptions (T&amp;D)'!$C$23,Model!$G$2866)</f>
        <v>-0.0360104264</v>
      </c>
      <c r="O2925" s="373">
        <f>IPMT('Assumptions (T&amp;D)'!$C$20,Model!AE$1,'Assumptions (T&amp;D)'!$C$23,Model!$G$2866)</f>
        <v>-0.03220549417</v>
      </c>
      <c r="P2925" s="373">
        <f>IPMT('Assumptions (T&amp;D)'!$C$20,Model!AF$1,'Assumptions (T&amp;D)'!$C$23,Model!$G$2866)</f>
        <v>-0.02821982766</v>
      </c>
      <c r="Q2925" s="373">
        <f>IPMT('Assumptions (T&amp;D)'!$C$20,Model!AG$1,'Assumptions (T&amp;D)'!$C$23,Model!$G$2866)</f>
        <v>-0.02404484199</v>
      </c>
      <c r="R2925" s="373">
        <f>IPMT('Assumptions (T&amp;D)'!$C$20,Model!AH$1,'Assumptions (T&amp;D)'!$C$23,Model!$G$2866)</f>
        <v>-0.01967154451</v>
      </c>
      <c r="S2925" s="373">
        <f>IPMT('Assumptions (T&amp;D)'!$C$20,Model!AI$1,'Assumptions (T&amp;D)'!$C$23,Model!$G$2866)</f>
        <v>-0.01509051539</v>
      </c>
      <c r="T2925" s="373">
        <f>IPMT('Assumptions (T&amp;D)'!$C$20,Model!AJ$1,'Assumptions (T&amp;D)'!$C$23,Model!$G$2866)</f>
        <v>-0.01029188739</v>
      </c>
      <c r="U2925" s="373">
        <f>IPMT('Assumptions (T&amp;D)'!$C$20,Model!AK$1,'Assumptions (T&amp;D)'!$C$23,Model!$G$2866)</f>
        <v>-0.005265324564</v>
      </c>
      <c r="V2925" s="374"/>
      <c r="W2925" s="374"/>
      <c r="X2925" s="374"/>
      <c r="Y2925" s="374"/>
      <c r="Z2925" s="374"/>
      <c r="AA2925" s="374"/>
      <c r="AB2925" s="374"/>
      <c r="AC2925" s="374"/>
      <c r="AD2925" s="374"/>
      <c r="AE2925" s="374"/>
      <c r="AF2925" s="32"/>
      <c r="AG2925" s="32"/>
      <c r="AH2925" s="32"/>
      <c r="AI2925" s="32"/>
      <c r="AJ2925" s="32"/>
      <c r="AK2925" s="32"/>
      <c r="AL2925" s="32"/>
      <c r="AM2925" s="32"/>
      <c r="AN2925" s="32"/>
      <c r="AO2925" s="32"/>
      <c r="AP2925" s="32"/>
      <c r="AQ2925" s="32"/>
      <c r="AR2925" s="32"/>
      <c r="AS2925" s="32"/>
      <c r="AT2925" s="32"/>
      <c r="AU2925" s="32"/>
      <c r="AV2925" s="32"/>
      <c r="AW2925" s="32"/>
      <c r="AX2925" s="32"/>
      <c r="AY2925" s="32"/>
      <c r="AZ2925" s="32"/>
      <c r="BA2925" s="32"/>
      <c r="BB2925" s="32"/>
      <c r="BC2925" s="32"/>
      <c r="BD2925" s="32"/>
      <c r="BE2925" s="32"/>
      <c r="BF2925" s="32"/>
      <c r="BG2925" s="32"/>
      <c r="BH2925" s="32"/>
      <c r="BI2925" s="32"/>
      <c r="BJ2925" s="32"/>
      <c r="BK2925" s="32"/>
      <c r="BL2925" s="32"/>
      <c r="BM2925" s="32"/>
      <c r="BN2925" s="32"/>
      <c r="BO2925" s="32"/>
      <c r="BP2925" s="32"/>
      <c r="BQ2925" s="32"/>
      <c r="BR2925" s="32"/>
      <c r="BS2925" s="32"/>
      <c r="BT2925" s="32"/>
      <c r="BU2925" s="32"/>
      <c r="BV2925" s="32"/>
      <c r="BW2925" s="32"/>
      <c r="BX2925" s="32"/>
      <c r="BY2925" s="32"/>
      <c r="BZ2925" s="32"/>
      <c r="CA2925" s="32"/>
      <c r="CB2925" s="32"/>
      <c r="CC2925" s="32"/>
      <c r="CD2925" s="32"/>
    </row>
    <row r="2926" ht="15.75" hidden="1" customHeight="1" outlineLevel="1">
      <c r="A2926" s="365"/>
      <c r="B2926" s="38"/>
      <c r="C2926" s="374"/>
      <c r="D2926" s="374"/>
      <c r="E2926" s="374"/>
      <c r="F2926" s="374"/>
      <c r="G2926" s="374"/>
      <c r="H2926" s="373">
        <f>IPMT('Assumptions (T&amp;D)'!$C$20,Model!W$1,'Assumptions (T&amp;D)'!$C$23,Model!$H$2866)</f>
        <v>-0.05653694304</v>
      </c>
      <c r="I2926" s="373">
        <f>IPMT('Assumptions (T&amp;D)'!$C$20,Model!X$1,'Assumptions (T&amp;D)'!$C$23,Model!$H$2866)</f>
        <v>-0.05386720445</v>
      </c>
      <c r="J2926" s="373">
        <f>IPMT('Assumptions (T&amp;D)'!$C$20,Model!Y$1,'Assumptions (T&amp;D)'!$C$23,Model!$H$2866)</f>
        <v>-0.05107065329</v>
      </c>
      <c r="K2926" s="373">
        <f>IPMT('Assumptions (T&amp;D)'!$C$20,Model!Z$1,'Assumptions (T&amp;D)'!$C$23,Model!$H$2866)</f>
        <v>-0.04814126594</v>
      </c>
      <c r="L2926" s="373">
        <f>IPMT('Assumptions (T&amp;D)'!$C$20,Model!AA$1,'Assumptions (T&amp;D)'!$C$23,Model!$H$2866)</f>
        <v>-0.04507273269</v>
      </c>
      <c r="M2926" s="373">
        <f>IPMT('Assumptions (T&amp;D)'!$C$20,Model!AB$1,'Assumptions (T&amp;D)'!$C$23,Model!$H$2866)</f>
        <v>-0.04185844411</v>
      </c>
      <c r="N2926" s="373">
        <f>IPMT('Assumptions (T&amp;D)'!$C$20,Model!AC$1,'Assumptions (T&amp;D)'!$C$23,Model!$H$2866)</f>
        <v>-0.03849147682</v>
      </c>
      <c r="O2926" s="373">
        <f>IPMT('Assumptions (T&amp;D)'!$C$20,Model!AD$1,'Assumptions (T&amp;D)'!$C$23,Model!$H$2866)</f>
        <v>-0.03496457859</v>
      </c>
      <c r="P2926" s="373">
        <f>IPMT('Assumptions (T&amp;D)'!$C$20,Model!AE$1,'Assumptions (T&amp;D)'!$C$23,Model!$H$2866)</f>
        <v>-0.03127015269</v>
      </c>
      <c r="Q2926" s="373">
        <f>IPMT('Assumptions (T&amp;D)'!$C$20,Model!AF$1,'Assumptions (T&amp;D)'!$C$23,Model!$H$2866)</f>
        <v>-0.02740024156</v>
      </c>
      <c r="R2926" s="373">
        <f>IPMT('Assumptions (T&amp;D)'!$C$20,Model!AG$1,'Assumptions (T&amp;D)'!$C$23,Model!$H$2866)</f>
        <v>-0.02334650966</v>
      </c>
      <c r="S2926" s="373">
        <f>IPMT('Assumptions (T&amp;D)'!$C$20,Model!AH$1,'Assumptions (T&amp;D)'!$C$23,Model!$H$2866)</f>
        <v>-0.01910022549</v>
      </c>
      <c r="T2926" s="373">
        <f>IPMT('Assumptions (T&amp;D)'!$C$20,Model!AI$1,'Assumptions (T&amp;D)'!$C$23,Model!$H$2866)</f>
        <v>-0.01465224281</v>
      </c>
      <c r="U2926" s="373">
        <f>IPMT('Assumptions (T&amp;D)'!$C$20,Model!AJ$1,'Assumptions (T&amp;D)'!$C$23,Model!$H$2866)</f>
        <v>-0.009992980967</v>
      </c>
      <c r="V2926" s="373">
        <f>IPMT('Assumptions (T&amp;D)'!$C$20,Model!AK$1,'Assumptions (T&amp;D)'!$C$23,Model!$H$2866)</f>
        <v>-0.005112404182</v>
      </c>
      <c r="W2926" s="374"/>
      <c r="X2926" s="374"/>
      <c r="Y2926" s="374"/>
      <c r="Z2926" s="374"/>
      <c r="AA2926" s="374"/>
      <c r="AB2926" s="374"/>
      <c r="AC2926" s="374"/>
      <c r="AD2926" s="374"/>
      <c r="AE2926" s="374"/>
      <c r="AF2926" s="37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2"/>
      <c r="BA2926" s="32"/>
      <c r="BB2926" s="32"/>
      <c r="BC2926" s="32"/>
      <c r="BD2926" s="32"/>
      <c r="BE2926" s="32"/>
      <c r="BF2926" s="32"/>
      <c r="BG2926" s="32"/>
      <c r="BH2926" s="32"/>
      <c r="BI2926" s="32"/>
      <c r="BJ2926" s="32"/>
      <c r="BK2926" s="32"/>
      <c r="BL2926" s="32"/>
      <c r="BM2926" s="32"/>
      <c r="BN2926" s="32"/>
      <c r="BO2926" s="32"/>
      <c r="BP2926" s="32"/>
      <c r="BQ2926" s="32"/>
      <c r="BR2926" s="32"/>
      <c r="BS2926" s="32"/>
      <c r="BT2926" s="32"/>
      <c r="BU2926" s="32"/>
      <c r="BV2926" s="32"/>
      <c r="BW2926" s="32"/>
      <c r="BX2926" s="32"/>
      <c r="BY2926" s="32"/>
      <c r="BZ2926" s="32"/>
      <c r="CA2926" s="32"/>
      <c r="CB2926" s="32"/>
      <c r="CC2926" s="32"/>
      <c r="CD2926" s="32"/>
    </row>
    <row r="2927" ht="15.75" hidden="1" customHeight="1" outlineLevel="1">
      <c r="A2927" s="365"/>
      <c r="B2927" s="38"/>
      <c r="C2927" s="374"/>
      <c r="D2927" s="374"/>
      <c r="E2927" s="374"/>
      <c r="F2927" s="374"/>
      <c r="G2927" s="374"/>
      <c r="H2927" s="374"/>
      <c r="I2927" s="373">
        <f>IPMT('Assumptions (T&amp;D)'!$C$20,Model!W$1,'Assumptions (T&amp;D)'!$C$23,Model!$I$2866)</f>
        <v>-0.09449670697</v>
      </c>
      <c r="J2927" s="373">
        <f>IPMT('Assumptions (T&amp;D)'!$C$20,Model!X$1,'Assumptions (T&amp;D)'!$C$23,Model!$I$2866)</f>
        <v>-0.09003446527</v>
      </c>
      <c r="K2927" s="373">
        <f>IPMT('Assumptions (T&amp;D)'!$C$20,Model!Y$1,'Assumptions (T&amp;D)'!$C$23,Model!$I$2866)</f>
        <v>-0.08536026709</v>
      </c>
      <c r="L2927" s="373">
        <f>IPMT('Assumptions (T&amp;D)'!$C$20,Model!Z$1,'Assumptions (T&amp;D)'!$C$23,Model!$I$2866)</f>
        <v>-0.08046404449</v>
      </c>
      <c r="M2927" s="373">
        <f>IPMT('Assumptions (T&amp;D)'!$C$20,Model!AA$1,'Assumptions (T&amp;D)'!$C$23,Model!$I$2866)</f>
        <v>-0.07533525132</v>
      </c>
      <c r="N2927" s="373">
        <f>IPMT('Assumptions (T&amp;D)'!$C$20,Model!AB$1,'Assumptions (T&amp;D)'!$C$23,Model!$I$2866)</f>
        <v>-0.06996284048</v>
      </c>
      <c r="O2927" s="373">
        <f>IPMT('Assumptions (T&amp;D)'!$C$20,Model!AC$1,'Assumptions (T&amp;D)'!$C$23,Model!$I$2866)</f>
        <v>-0.06433524012</v>
      </c>
      <c r="P2927" s="373">
        <f>IPMT('Assumptions (T&amp;D)'!$C$20,Model!AD$1,'Assumptions (T&amp;D)'!$C$23,Model!$I$2866)</f>
        <v>-0.05844032874</v>
      </c>
      <c r="Q2927" s="373">
        <f>IPMT('Assumptions (T&amp;D)'!$C$20,Model!AE$1,'Assumptions (T&amp;D)'!$C$23,Model!$I$2866)</f>
        <v>-0.05226540908</v>
      </c>
      <c r="R2927" s="373">
        <f>IPMT('Assumptions (T&amp;D)'!$C$20,Model!AF$1,'Assumptions (T&amp;D)'!$C$23,Model!$I$2866)</f>
        <v>-0.04579718072</v>
      </c>
      <c r="S2927" s="373">
        <f>IPMT('Assumptions (T&amp;D)'!$C$20,Model!AG$1,'Assumptions (T&amp;D)'!$C$23,Model!$I$2866)</f>
        <v>-0.03902171153</v>
      </c>
      <c r="T2927" s="373">
        <f>IPMT('Assumptions (T&amp;D)'!$C$20,Model!AH$1,'Assumptions (T&amp;D)'!$C$23,Model!$I$2866)</f>
        <v>-0.03192440754</v>
      </c>
      <c r="U2927" s="373">
        <f>IPMT('Assumptions (T&amp;D)'!$C$20,Model!AI$1,'Assumptions (T&amp;D)'!$C$23,Model!$I$2866)</f>
        <v>-0.02448998162</v>
      </c>
      <c r="V2927" s="373">
        <f>IPMT('Assumptions (T&amp;D)'!$C$20,Model!AJ$1,'Assumptions (T&amp;D)'!$C$23,Model!$I$2866)</f>
        <v>-0.01670242046</v>
      </c>
      <c r="W2927" s="373">
        <f>IPMT('Assumptions (T&amp;D)'!$C$20,Model!AK$1,'Assumptions (T&amp;D)'!$C$23,Model!$I$2866)</f>
        <v>-0.00854495015</v>
      </c>
      <c r="X2927" s="374"/>
      <c r="Y2927" s="374"/>
      <c r="Z2927" s="374"/>
      <c r="AA2927" s="374"/>
      <c r="AB2927" s="374"/>
      <c r="AC2927" s="374"/>
      <c r="AD2927" s="374"/>
      <c r="AE2927" s="374"/>
      <c r="AF2927" s="374"/>
      <c r="AG2927" s="374"/>
      <c r="AH2927" s="32"/>
      <c r="AI2927" s="32"/>
      <c r="AJ2927" s="32"/>
      <c r="AK2927" s="32"/>
      <c r="AL2927" s="32"/>
      <c r="AM2927" s="32"/>
      <c r="AN2927" s="32"/>
      <c r="AO2927" s="32"/>
      <c r="AP2927" s="32"/>
      <c r="AQ2927" s="32"/>
      <c r="AR2927" s="32"/>
      <c r="AS2927" s="32"/>
      <c r="AT2927" s="32"/>
      <c r="AU2927" s="32"/>
      <c r="AV2927" s="32"/>
      <c r="AW2927" s="32"/>
      <c r="AX2927" s="32"/>
      <c r="AY2927" s="32"/>
      <c r="AZ2927" s="32"/>
      <c r="BA2927" s="32"/>
      <c r="BB2927" s="32"/>
      <c r="BC2927" s="32"/>
      <c r="BD2927" s="32"/>
      <c r="BE2927" s="32"/>
      <c r="BF2927" s="32"/>
      <c r="BG2927" s="32"/>
      <c r="BH2927" s="32"/>
      <c r="BI2927" s="32"/>
      <c r="BJ2927" s="32"/>
      <c r="BK2927" s="32"/>
      <c r="BL2927" s="32"/>
      <c r="BM2927" s="32"/>
      <c r="BN2927" s="32"/>
      <c r="BO2927" s="32"/>
      <c r="BP2927" s="32"/>
      <c r="BQ2927" s="32"/>
      <c r="BR2927" s="32"/>
      <c r="BS2927" s="32"/>
      <c r="BT2927" s="32"/>
      <c r="BU2927" s="32"/>
      <c r="BV2927" s="32"/>
      <c r="BW2927" s="32"/>
      <c r="BX2927" s="32"/>
      <c r="BY2927" s="32"/>
      <c r="BZ2927" s="32"/>
      <c r="CA2927" s="32"/>
      <c r="CB2927" s="32"/>
      <c r="CC2927" s="32"/>
      <c r="CD2927" s="32"/>
    </row>
    <row r="2928" ht="15.75" hidden="1" customHeight="1" outlineLevel="1">
      <c r="A2928" s="365"/>
      <c r="B2928" s="38"/>
      <c r="C2928" s="374"/>
      <c r="D2928" s="374"/>
      <c r="E2928" s="374"/>
      <c r="F2928" s="374"/>
      <c r="G2928" s="374"/>
      <c r="H2928" s="374"/>
      <c r="I2928" s="374"/>
      <c r="J2928" s="373">
        <f>IPMT('Assumptions (T&amp;D)'!$C$20,Model!W$1,'Assumptions (T&amp;D)'!$C$23,Model!$J$2866)</f>
        <v>-0.07451042571</v>
      </c>
      <c r="K2928" s="373">
        <f>IPMT('Assumptions (T&amp;D)'!$C$20,Model!X$1,'Assumptions (T&amp;D)'!$C$23,Model!$J$2866)</f>
        <v>-0.07099195888</v>
      </c>
      <c r="L2928" s="373">
        <f>IPMT('Assumptions (T&amp;D)'!$C$20,Model!Y$1,'Assumptions (T&amp;D)'!$C$23,Model!$J$2866)</f>
        <v>-0.06730636488</v>
      </c>
      <c r="M2928" s="373">
        <f>IPMT('Assumptions (T&amp;D)'!$C$20,Model!Z$1,'Assumptions (T&amp;D)'!$C$23,Model!$J$2866)</f>
        <v>-0.06344570516</v>
      </c>
      <c r="N2928" s="373">
        <f>IPMT('Assumptions (T&amp;D)'!$C$20,Model!AA$1,'Assumptions (T&amp;D)'!$C$23,Model!$J$2866)</f>
        <v>-0.05940166411</v>
      </c>
      <c r="O2928" s="373">
        <f>IPMT('Assumptions (T&amp;D)'!$C$20,Model!AB$1,'Assumptions (T&amp;D)'!$C$23,Model!$J$2866)</f>
        <v>-0.05516553111</v>
      </c>
      <c r="P2928" s="373">
        <f>IPMT('Assumptions (T&amp;D)'!$C$20,Model!AC$1,'Assumptions (T&amp;D)'!$C$23,Model!$J$2866)</f>
        <v>-0.05072818178</v>
      </c>
      <c r="Q2928" s="373">
        <f>IPMT('Assumptions (T&amp;D)'!$C$20,Model!AD$1,'Assumptions (T&amp;D)'!$C$23,Model!$J$2866)</f>
        <v>-0.04608005837</v>
      </c>
      <c r="R2928" s="373">
        <f>IPMT('Assumptions (T&amp;D)'!$C$20,Model!AE$1,'Assumptions (T&amp;D)'!$C$23,Model!$J$2866)</f>
        <v>-0.04121114909</v>
      </c>
      <c r="S2928" s="373">
        <f>IPMT('Assumptions (T&amp;D)'!$C$20,Model!AF$1,'Assumptions (T&amp;D)'!$C$23,Model!$J$2866)</f>
        <v>-0.03611096663</v>
      </c>
      <c r="T2928" s="373">
        <f>IPMT('Assumptions (T&amp;D)'!$C$20,Model!AG$1,'Assumptions (T&amp;D)'!$C$23,Model!$J$2866)</f>
        <v>-0.03076852549</v>
      </c>
      <c r="U2928" s="373">
        <f>IPMT('Assumptions (T&amp;D)'!$C$20,Model!AH$1,'Assumptions (T&amp;D)'!$C$23,Model!$J$2866)</f>
        <v>-0.02517231841</v>
      </c>
      <c r="V2928" s="373">
        <f>IPMT('Assumptions (T&amp;D)'!$C$20,Model!AI$1,'Assumptions (T&amp;D)'!$C$23,Model!$J$2866)</f>
        <v>-0.01931029148</v>
      </c>
      <c r="W2928" s="373">
        <f>IPMT('Assumptions (T&amp;D)'!$C$20,Model!AJ$1,'Assumptions (T&amp;D)'!$C$23,Model!$J$2866)</f>
        <v>-0.01316981828</v>
      </c>
      <c r="X2928" s="373">
        <f>IPMT('Assumptions (T&amp;D)'!$C$20,Model!AK$1,'Assumptions (T&amp;D)'!$C$23,Model!$J$2866)</f>
        <v>-0.0067376726</v>
      </c>
      <c r="Y2928" s="374"/>
      <c r="Z2928" s="374"/>
      <c r="AA2928" s="374"/>
      <c r="AB2928" s="374"/>
      <c r="AC2928" s="374"/>
      <c r="AD2928" s="374"/>
      <c r="AE2928" s="374"/>
      <c r="AF2928" s="374"/>
      <c r="AG2928" s="374"/>
      <c r="AH2928" s="374"/>
      <c r="AI2928" s="32"/>
      <c r="AJ2928" s="32"/>
      <c r="AK2928" s="32"/>
      <c r="AL2928" s="32"/>
      <c r="AM2928" s="32"/>
      <c r="AN2928" s="32"/>
      <c r="AO2928" s="32"/>
      <c r="AP2928" s="32"/>
      <c r="AQ2928" s="32"/>
      <c r="AR2928" s="32"/>
      <c r="AS2928" s="32"/>
      <c r="AT2928" s="32"/>
      <c r="AU2928" s="32"/>
      <c r="AV2928" s="32"/>
      <c r="AW2928" s="32"/>
      <c r="AX2928" s="32"/>
      <c r="AY2928" s="32"/>
      <c r="AZ2928" s="32"/>
      <c r="BA2928" s="32"/>
      <c r="BB2928" s="32"/>
      <c r="BC2928" s="32"/>
      <c r="BD2928" s="32"/>
      <c r="BE2928" s="32"/>
      <c r="BF2928" s="32"/>
      <c r="BG2928" s="32"/>
      <c r="BH2928" s="32"/>
      <c r="BI2928" s="32"/>
      <c r="BJ2928" s="32"/>
      <c r="BK2928" s="32"/>
      <c r="BL2928" s="32"/>
      <c r="BM2928" s="32"/>
      <c r="BN2928" s="32"/>
      <c r="BO2928" s="32"/>
      <c r="BP2928" s="32"/>
      <c r="BQ2928" s="32"/>
      <c r="BR2928" s="32"/>
      <c r="BS2928" s="32"/>
      <c r="BT2928" s="32"/>
      <c r="BU2928" s="32"/>
      <c r="BV2928" s="32"/>
      <c r="BW2928" s="32"/>
      <c r="BX2928" s="32"/>
      <c r="BY2928" s="32"/>
      <c r="BZ2928" s="32"/>
      <c r="CA2928" s="32"/>
      <c r="CB2928" s="32"/>
      <c r="CC2928" s="32"/>
      <c r="CD2928" s="32"/>
    </row>
    <row r="2929" ht="15.75" hidden="1" customHeight="1" outlineLevel="1">
      <c r="A2929" s="365"/>
      <c r="B2929" s="38"/>
      <c r="C2929" s="374"/>
      <c r="D2929" s="374"/>
      <c r="E2929" s="374"/>
      <c r="F2929" s="374"/>
      <c r="G2929" s="374"/>
      <c r="H2929" s="374"/>
      <c r="I2929" s="374"/>
      <c r="J2929" s="374"/>
      <c r="K2929" s="373">
        <f>IPMT('Assumptions (T&amp;D)'!$C$20,Model!W$1,'Assumptions (T&amp;D)'!$C$23,Model!$K$2866)</f>
        <v>-0.08089061237</v>
      </c>
      <c r="L2929" s="373">
        <f>IPMT('Assumptions (T&amp;D)'!$C$20,Model!X$1,'Assumptions (T&amp;D)'!$C$23,Model!$K$2866)</f>
        <v>-0.07707086589</v>
      </c>
      <c r="M2929" s="373">
        <f>IPMT('Assumptions (T&amp;D)'!$C$20,Model!Y$1,'Assumptions (T&amp;D)'!$C$23,Model!$K$2866)</f>
        <v>-0.07306968146</v>
      </c>
      <c r="N2929" s="373">
        <f>IPMT('Assumptions (T&amp;D)'!$C$20,Model!Z$1,'Assumptions (T&amp;D)'!$C$23,Model!$K$2866)</f>
        <v>-0.06887844076</v>
      </c>
      <c r="O2929" s="373">
        <f>IPMT('Assumptions (T&amp;D)'!$C$20,Model!AA$1,'Assumptions (T&amp;D)'!$C$23,Model!$K$2866)</f>
        <v>-0.06448811613</v>
      </c>
      <c r="P2929" s="373">
        <f>IPMT('Assumptions (T&amp;D)'!$C$20,Model!AB$1,'Assumptions (T&amp;D)'!$C$23,Model!$K$2866)</f>
        <v>-0.05988925108</v>
      </c>
      <c r="Q2929" s="373">
        <f>IPMT('Assumptions (T&amp;D)'!$C$20,Model!AC$1,'Assumptions (T&amp;D)'!$C$23,Model!$K$2866)</f>
        <v>-0.05507193994</v>
      </c>
      <c r="R2929" s="373">
        <f>IPMT('Assumptions (T&amp;D)'!$C$20,Model!AD$1,'Assumptions (T&amp;D)'!$C$23,Model!$K$2866)</f>
        <v>-0.05002580651</v>
      </c>
      <c r="S2929" s="373">
        <f>IPMT('Assumptions (T&amp;D)'!$C$20,Model!AE$1,'Assumptions (T&amp;D)'!$C$23,Model!$K$2866)</f>
        <v>-0.04473998176</v>
      </c>
      <c r="T2929" s="373">
        <f>IPMT('Assumptions (T&amp;D)'!$C$20,Model!AF$1,'Assumptions (T&amp;D)'!$C$23,Model!$K$2866)</f>
        <v>-0.03920308032</v>
      </c>
      <c r="U2929" s="373">
        <f>IPMT('Assumptions (T&amp;D)'!$C$20,Model!AG$1,'Assumptions (T&amp;D)'!$C$23,Model!$K$2866)</f>
        <v>-0.03340317607</v>
      </c>
      <c r="V2929" s="373">
        <f>IPMT('Assumptions (T&amp;D)'!$C$20,Model!AH$1,'Assumptions (T&amp;D)'!$C$23,Model!$K$2866)</f>
        <v>-0.02732777637</v>
      </c>
      <c r="W2929" s="373">
        <f>IPMT('Assumptions (T&amp;D)'!$C$20,Model!AI$1,'Assumptions (T&amp;D)'!$C$23,Model!$K$2866)</f>
        <v>-0.02096379518</v>
      </c>
      <c r="X2929" s="373">
        <f>IPMT('Assumptions (T&amp;D)'!$C$20,Model!AJ$1,'Assumptions (T&amp;D)'!$C$23,Model!$K$2866)</f>
        <v>-0.01429752488</v>
      </c>
      <c r="Y2929" s="373">
        <f>IPMT('Assumptions (T&amp;D)'!$C$20,Model!AK$1,'Assumptions (T&amp;D)'!$C$23,Model!$K$2866)</f>
        <v>-0.007314606747</v>
      </c>
      <c r="Z2929" s="374"/>
      <c r="AA2929" s="374"/>
      <c r="AB2929" s="374"/>
      <c r="AC2929" s="374"/>
      <c r="AD2929" s="374"/>
      <c r="AE2929" s="374"/>
      <c r="AF2929" s="374"/>
      <c r="AG2929" s="374"/>
      <c r="AH2929" s="374"/>
      <c r="AI2929" s="374"/>
      <c r="AJ2929" s="32"/>
      <c r="AK2929" s="32"/>
      <c r="AL2929" s="32"/>
      <c r="AM2929" s="32"/>
      <c r="AN2929" s="32"/>
      <c r="AO2929" s="32"/>
      <c r="AP2929" s="32"/>
      <c r="AQ2929" s="32"/>
      <c r="AR2929" s="32"/>
      <c r="AS2929" s="32"/>
      <c r="AT2929" s="32"/>
      <c r="AU2929" s="32"/>
      <c r="AV2929" s="32"/>
      <c r="AW2929" s="32"/>
      <c r="AX2929" s="32"/>
      <c r="AY2929" s="32"/>
      <c r="AZ2929" s="32"/>
      <c r="BA2929" s="32"/>
      <c r="BB2929" s="32"/>
      <c r="BC2929" s="32"/>
      <c r="BD2929" s="32"/>
      <c r="BE2929" s="32"/>
      <c r="BF2929" s="32"/>
      <c r="BG2929" s="32"/>
      <c r="BH2929" s="32"/>
      <c r="BI2929" s="32"/>
      <c r="BJ2929" s="32"/>
      <c r="BK2929" s="32"/>
      <c r="BL2929" s="32"/>
      <c r="BM2929" s="32"/>
      <c r="BN2929" s="32"/>
      <c r="BO2929" s="32"/>
      <c r="BP2929" s="32"/>
      <c r="BQ2929" s="32"/>
      <c r="BR2929" s="32"/>
      <c r="BS2929" s="32"/>
      <c r="BT2929" s="32"/>
      <c r="BU2929" s="32"/>
      <c r="BV2929" s="32"/>
      <c r="BW2929" s="32"/>
      <c r="BX2929" s="32"/>
      <c r="BY2929" s="32"/>
      <c r="BZ2929" s="32"/>
      <c r="CA2929" s="32"/>
      <c r="CB2929" s="32"/>
      <c r="CC2929" s="32"/>
      <c r="CD2929" s="32"/>
    </row>
    <row r="2930" ht="15.75" hidden="1" customHeight="1" outlineLevel="1">
      <c r="A2930" s="365"/>
      <c r="B2930" s="38"/>
      <c r="C2930" s="374"/>
      <c r="D2930" s="374"/>
      <c r="E2930" s="374"/>
      <c r="F2930" s="374"/>
      <c r="G2930" s="374"/>
      <c r="H2930" s="374"/>
      <c r="I2930" s="374"/>
      <c r="J2930" s="374"/>
      <c r="K2930" s="374"/>
      <c r="L2930" s="373">
        <f>IPMT('Assumptions (T&amp;D)'!$C$20,Model!W$1,'Assumptions (T&amp;D)'!$C$23,Model!$L$2866)</f>
        <v>-0.07579177215</v>
      </c>
      <c r="M2930" s="373">
        <f>IPMT('Assumptions (T&amp;D)'!$C$20,Model!X$1,'Assumptions (T&amp;D)'!$C$23,Model!$L$2866)</f>
        <v>-0.07221279869</v>
      </c>
      <c r="N2930" s="373">
        <f>IPMT('Assumptions (T&amp;D)'!$C$20,Model!Y$1,'Assumptions (T&amp;D)'!$C$23,Model!$L$2866)</f>
        <v>-0.06846382399</v>
      </c>
      <c r="O2930" s="373">
        <f>IPMT('Assumptions (T&amp;D)'!$C$20,Model!Z$1,'Assumptions (T&amp;D)'!$C$23,Model!$L$2866)</f>
        <v>-0.064536773</v>
      </c>
      <c r="P2930" s="373">
        <f>IPMT('Assumptions (T&amp;D)'!$C$20,Model!AA$1,'Assumptions (T&amp;D)'!$C$23,Model!$L$2866)</f>
        <v>-0.06042318708</v>
      </c>
      <c r="Q2930" s="373">
        <f>IPMT('Assumptions (T&amp;D)'!$C$20,Model!AB$1,'Assumptions (T&amp;D)'!$C$23,Model!$L$2866)</f>
        <v>-0.05611420582</v>
      </c>
      <c r="R2930" s="373">
        <f>IPMT('Assumptions (T&amp;D)'!$C$20,Model!AC$1,'Assumptions (T&amp;D)'!$C$23,Model!$L$2866)</f>
        <v>-0.05160054796</v>
      </c>
      <c r="S2930" s="373">
        <f>IPMT('Assumptions (T&amp;D)'!$C$20,Model!AD$1,'Assumptions (T&amp;D)'!$C$23,Model!$L$2866)</f>
        <v>-0.04687249135</v>
      </c>
      <c r="T2930" s="373">
        <f>IPMT('Assumptions (T&amp;D)'!$C$20,Model!AE$1,'Assumptions (T&amp;D)'!$C$23,Model!$L$2866)</f>
        <v>-0.04191985206</v>
      </c>
      <c r="U2930" s="373">
        <f>IPMT('Assumptions (T&amp;D)'!$C$20,Model!AF$1,'Assumptions (T&amp;D)'!$C$23,Model!$L$2866)</f>
        <v>-0.03673196239</v>
      </c>
      <c r="V2930" s="373">
        <f>IPMT('Assumptions (T&amp;D)'!$C$20,Model!AG$1,'Assumptions (T&amp;D)'!$C$23,Model!$L$2866)</f>
        <v>-0.03129764797</v>
      </c>
      <c r="W2930" s="373">
        <f>IPMT('Assumptions (T&amp;D)'!$C$20,Model!AH$1,'Assumptions (T&amp;D)'!$C$23,Model!$L$2866)</f>
        <v>-0.02560520361</v>
      </c>
      <c r="X2930" s="373">
        <f>IPMT('Assumptions (T&amp;D)'!$C$20,Model!AI$1,'Assumptions (T&amp;D)'!$C$23,Model!$L$2866)</f>
        <v>-0.01964236814</v>
      </c>
      <c r="Y2930" s="373">
        <f>IPMT('Assumptions (T&amp;D)'!$C$20,Model!AJ$1,'Assumptions (T&amp;D)'!$C$23,Model!$L$2866)</f>
        <v>-0.01339629799</v>
      </c>
      <c r="Z2930" s="373">
        <f>IPMT('Assumptions (T&amp;D)'!$C$20,Model!AK$1,'Assumptions (T&amp;D)'!$C$23,Model!$L$2866)</f>
        <v>-0.006853539511</v>
      </c>
      <c r="AA2930" s="374"/>
      <c r="AB2930" s="374"/>
      <c r="AC2930" s="374"/>
      <c r="AD2930" s="374"/>
      <c r="AE2930" s="374"/>
      <c r="AF2930" s="374"/>
      <c r="AG2930" s="374"/>
      <c r="AH2930" s="374"/>
      <c r="AI2930" s="374"/>
      <c r="AJ2930" s="374"/>
      <c r="AK2930" s="32"/>
      <c r="AL2930" s="32"/>
      <c r="AM2930" s="32"/>
      <c r="AN2930" s="32"/>
      <c r="AO2930" s="32"/>
      <c r="AP2930" s="32"/>
      <c r="AQ2930" s="32"/>
      <c r="AR2930" s="32"/>
      <c r="AS2930" s="32"/>
      <c r="AT2930" s="32"/>
      <c r="AU2930" s="32"/>
      <c r="AV2930" s="32"/>
      <c r="AW2930" s="32"/>
      <c r="AX2930" s="32"/>
      <c r="AY2930" s="32"/>
      <c r="AZ2930" s="32"/>
      <c r="BA2930" s="32"/>
      <c r="BB2930" s="32"/>
      <c r="BC2930" s="32"/>
      <c r="BD2930" s="32"/>
      <c r="BE2930" s="32"/>
      <c r="BF2930" s="32"/>
      <c r="BG2930" s="32"/>
      <c r="BH2930" s="32"/>
      <c r="BI2930" s="32"/>
      <c r="BJ2930" s="32"/>
      <c r="BK2930" s="32"/>
      <c r="BL2930" s="32"/>
      <c r="BM2930" s="32"/>
      <c r="BN2930" s="32"/>
      <c r="BO2930" s="32"/>
      <c r="BP2930" s="32"/>
      <c r="BQ2930" s="32"/>
      <c r="BR2930" s="32"/>
      <c r="BS2930" s="32"/>
      <c r="BT2930" s="32"/>
      <c r="BU2930" s="32"/>
      <c r="BV2930" s="32"/>
      <c r="BW2930" s="32"/>
      <c r="BX2930" s="32"/>
      <c r="BY2930" s="32"/>
      <c r="BZ2930" s="32"/>
      <c r="CA2930" s="32"/>
      <c r="CB2930" s="32"/>
      <c r="CC2930" s="32"/>
      <c r="CD2930" s="32"/>
    </row>
    <row r="2931" ht="15.75" hidden="1" customHeight="1" outlineLevel="1">
      <c r="A2931" s="365"/>
      <c r="B2931" s="38"/>
      <c r="C2931" s="374"/>
      <c r="D2931" s="374"/>
      <c r="E2931" s="374"/>
      <c r="F2931" s="374"/>
      <c r="G2931" s="374"/>
      <c r="H2931" s="374"/>
      <c r="I2931" s="374"/>
      <c r="J2931" s="374"/>
      <c r="K2931" s="374"/>
      <c r="L2931" s="374"/>
      <c r="M2931" s="373">
        <f>IPMT('Assumptions (T&amp;D)'!$C$20,Model!W$1,'Assumptions (T&amp;D)'!$C$23,Model!$M$2866)</f>
        <v>-0.07183232718</v>
      </c>
      <c r="N2931" s="373">
        <f>IPMT('Assumptions (T&amp;D)'!$C$20,Model!X$1,'Assumptions (T&amp;D)'!$C$23,Model!$M$2866)</f>
        <v>-0.06844032321</v>
      </c>
      <c r="O2931" s="373">
        <f>IPMT('Assumptions (T&amp;D)'!$C$20,Model!Y$1,'Assumptions (T&amp;D)'!$C$23,Model!$M$2866)</f>
        <v>-0.06488719904</v>
      </c>
      <c r="P2931" s="373">
        <f>IPMT('Assumptions (T&amp;D)'!$C$20,Model!Z$1,'Assumptions (T&amp;D)'!$C$23,Model!$M$2866)</f>
        <v>-0.06116530148</v>
      </c>
      <c r="Q2931" s="373">
        <f>IPMT('Assumptions (T&amp;D)'!$C$20,Model!AA$1,'Assumptions (T&amp;D)'!$C$23,Model!$M$2866)</f>
        <v>-0.05726661378</v>
      </c>
      <c r="R2931" s="373">
        <f>IPMT('Assumptions (T&amp;D)'!$C$20,Model!AB$1,'Assumptions (T&amp;D)'!$C$23,Model!$M$2866)</f>
        <v>-0.05318273842</v>
      </c>
      <c r="S2931" s="373">
        <f>IPMT('Assumptions (T&amp;D)'!$C$20,Model!AC$1,'Assumptions (T&amp;D)'!$C$23,Model!$M$2866)</f>
        <v>-0.04890487897</v>
      </c>
      <c r="T2931" s="373">
        <f>IPMT('Assumptions (T&amp;D)'!$C$20,Model!AD$1,'Assumptions (T&amp;D)'!$C$23,Model!$M$2866)</f>
        <v>-0.04442382121</v>
      </c>
      <c r="U2931" s="373">
        <f>IPMT('Assumptions (T&amp;D)'!$C$20,Model!AE$1,'Assumptions (T&amp;D)'!$C$23,Model!$M$2866)</f>
        <v>-0.03972991319</v>
      </c>
      <c r="V2931" s="373">
        <f>IPMT('Assumptions (T&amp;D)'!$C$20,Model!AF$1,'Assumptions (T&amp;D)'!$C$23,Model!$M$2866)</f>
        <v>-0.03481304455</v>
      </c>
      <c r="W2931" s="373">
        <f>IPMT('Assumptions (T&amp;D)'!$C$20,Model!AG$1,'Assumptions (T&amp;D)'!$C$23,Model!$M$2866)</f>
        <v>-0.02966262465</v>
      </c>
      <c r="X2931" s="373">
        <f>IPMT('Assumptions (T&amp;D)'!$C$20,Model!AH$1,'Assumptions (T&amp;D)'!$C$23,Model!$M$2866)</f>
        <v>-0.0242675598</v>
      </c>
      <c r="Y2931" s="373">
        <f>IPMT('Assumptions (T&amp;D)'!$C$20,Model!AI$1,'Assumptions (T&amp;D)'!$C$23,Model!$M$2866)</f>
        <v>-0.01861622938</v>
      </c>
      <c r="Z2931" s="373">
        <f>IPMT('Assumptions (T&amp;D)'!$C$20,Model!AJ$1,'Assumptions (T&amp;D)'!$C$23,Model!$M$2866)</f>
        <v>-0.01269646075</v>
      </c>
      <c r="AA2931" s="373">
        <f>IPMT('Assumptions (T&amp;D)'!$C$20,Model!AK$1,'Assumptions (T&amp;D)'!$C$23,Model!$M$2866)</f>
        <v>-0.00649550312</v>
      </c>
      <c r="AB2931" s="374"/>
      <c r="AC2931" s="374"/>
      <c r="AD2931" s="374"/>
      <c r="AE2931" s="374"/>
      <c r="AF2931" s="374"/>
      <c r="AG2931" s="374"/>
      <c r="AH2931" s="374"/>
      <c r="AI2931" s="374"/>
      <c r="AJ2931" s="374"/>
      <c r="AK2931" s="374"/>
      <c r="AL2931" s="32"/>
      <c r="AM2931" s="32"/>
      <c r="AN2931" s="32"/>
      <c r="AO2931" s="32"/>
      <c r="AP2931" s="32"/>
      <c r="AQ2931" s="32"/>
      <c r="AR2931" s="32"/>
      <c r="AS2931" s="32"/>
      <c r="AT2931" s="32"/>
      <c r="AU2931" s="32"/>
      <c r="AV2931" s="32"/>
      <c r="AW2931" s="32"/>
      <c r="AX2931" s="32"/>
      <c r="AY2931" s="32"/>
      <c r="AZ2931" s="32"/>
      <c r="BA2931" s="32"/>
      <c r="BB2931" s="32"/>
      <c r="BC2931" s="32"/>
      <c r="BD2931" s="32"/>
      <c r="BE2931" s="32"/>
      <c r="BF2931" s="32"/>
      <c r="BG2931" s="32"/>
      <c r="BH2931" s="32"/>
      <c r="BI2931" s="32"/>
      <c r="BJ2931" s="32"/>
      <c r="BK2931" s="32"/>
      <c r="BL2931" s="32"/>
      <c r="BM2931" s="32"/>
      <c r="BN2931" s="32"/>
      <c r="BO2931" s="32"/>
      <c r="BP2931" s="32"/>
      <c r="BQ2931" s="32"/>
      <c r="BR2931" s="32"/>
      <c r="BS2931" s="32"/>
      <c r="BT2931" s="32"/>
      <c r="BU2931" s="32"/>
      <c r="BV2931" s="32"/>
      <c r="BW2931" s="32"/>
      <c r="BX2931" s="32"/>
      <c r="BY2931" s="32"/>
      <c r="BZ2931" s="32"/>
      <c r="CA2931" s="32"/>
      <c r="CB2931" s="32"/>
      <c r="CC2931" s="32"/>
      <c r="CD2931" s="32"/>
    </row>
    <row r="2932" ht="15.75" hidden="1" customHeight="1" outlineLevel="1">
      <c r="A2932" s="365"/>
      <c r="B2932" s="38"/>
      <c r="C2932" s="374"/>
      <c r="D2932" s="374"/>
      <c r="E2932" s="374"/>
      <c r="F2932" s="374"/>
      <c r="G2932" s="374"/>
      <c r="H2932" s="374"/>
      <c r="I2932" s="374"/>
      <c r="J2932" s="374"/>
      <c r="K2932" s="374"/>
      <c r="L2932" s="374"/>
      <c r="M2932" s="374"/>
      <c r="N2932" s="373">
        <f>IPMT('Assumptions (T&amp;D)'!$C$20,Model!W$1,'Assumptions (T&amp;D)'!$C$23,Model!$N$2866)</f>
        <v>-0.08042178474</v>
      </c>
      <c r="O2932" s="373">
        <f>IPMT('Assumptions (T&amp;D)'!$C$20,Model!X$1,'Assumptions (T&amp;D)'!$C$23,Model!$N$2866)</f>
        <v>-0.07662417683</v>
      </c>
      <c r="P2932" s="373">
        <f>IPMT('Assumptions (T&amp;D)'!$C$20,Model!Y$1,'Assumptions (T&amp;D)'!$C$23,Model!$N$2866)</f>
        <v>-0.07264618255</v>
      </c>
      <c r="Q2932" s="373">
        <f>IPMT('Assumptions (T&amp;D)'!$C$20,Model!Z$1,'Assumptions (T&amp;D)'!$C$23,Model!$N$2866)</f>
        <v>-0.06847923354</v>
      </c>
      <c r="R2932" s="373">
        <f>IPMT('Assumptions (T&amp;D)'!$C$20,Model!AA$1,'Assumptions (T&amp;D)'!$C$23,Model!$N$2866)</f>
        <v>-0.06411435445</v>
      </c>
      <c r="S2932" s="373">
        <f>IPMT('Assumptions (T&amp;D)'!$C$20,Model!AB$1,'Assumptions (T&amp;D)'!$C$23,Model!$N$2866)</f>
        <v>-0.05954214361</v>
      </c>
      <c r="T2932" s="373">
        <f>IPMT('Assumptions (T&amp;D)'!$C$20,Model!AC$1,'Assumptions (T&amp;D)'!$C$23,Model!$N$2866)</f>
        <v>-0.05475275275</v>
      </c>
      <c r="U2932" s="373">
        <f>IPMT('Assumptions (T&amp;D)'!$C$20,Model!AD$1,'Assumptions (T&amp;D)'!$C$23,Model!$N$2866)</f>
        <v>-0.04973586582</v>
      </c>
      <c r="V2932" s="373">
        <f>IPMT('Assumptions (T&amp;D)'!$C$20,Model!AE$1,'Assumptions (T&amp;D)'!$C$23,Model!$N$2866)</f>
        <v>-0.04448067676</v>
      </c>
      <c r="W2932" s="373">
        <f>IPMT('Assumptions (T&amp;D)'!$C$20,Model!AF$1,'Assumptions (T&amp;D)'!$C$23,Model!$N$2866)</f>
        <v>-0.03897586623</v>
      </c>
      <c r="X2932" s="373">
        <f>IPMT('Assumptions (T&amp;D)'!$C$20,Model!AG$1,'Assumptions (T&amp;D)'!$C$23,Model!$N$2866)</f>
        <v>-0.03320957719</v>
      </c>
      <c r="Y2932" s="373">
        <f>IPMT('Assumptions (T&amp;D)'!$C$20,Model!AH$1,'Assumptions (T&amp;D)'!$C$23,Model!$N$2866)</f>
        <v>-0.02716938943</v>
      </c>
      <c r="Z2932" s="373">
        <f>IPMT('Assumptions (T&amp;D)'!$C$20,Model!AI$1,'Assumptions (T&amp;D)'!$C$23,Model!$N$2866)</f>
        <v>-0.02084229274</v>
      </c>
      <c r="AA2932" s="373">
        <f>IPMT('Assumptions (T&amp;D)'!$C$20,Model!AJ$1,'Assumptions (T&amp;D)'!$C$23,Model!$N$2866)</f>
        <v>-0.01421465897</v>
      </c>
      <c r="AB2932" s="373">
        <f>IPMT('Assumptions (T&amp;D)'!$C$20,Model!AK$1,'Assumptions (T&amp;D)'!$C$23,Model!$N$2866)</f>
        <v>-0.007272212584</v>
      </c>
      <c r="AC2932" s="374"/>
      <c r="AD2932" s="374"/>
      <c r="AE2932" s="374"/>
      <c r="AF2932" s="374"/>
      <c r="AG2932" s="374"/>
      <c r="AH2932" s="374"/>
      <c r="AI2932" s="374"/>
      <c r="AJ2932" s="374"/>
      <c r="AK2932" s="374"/>
      <c r="AL2932" s="374"/>
      <c r="AM2932" s="32"/>
      <c r="AN2932" s="32"/>
      <c r="AO2932" s="32"/>
      <c r="AP2932" s="32"/>
      <c r="AQ2932" s="32"/>
      <c r="AR2932" s="32"/>
      <c r="AS2932" s="32"/>
      <c r="AT2932" s="32"/>
      <c r="AU2932" s="32"/>
      <c r="AV2932" s="32"/>
      <c r="AW2932" s="32"/>
      <c r="AX2932" s="32"/>
      <c r="AY2932" s="32"/>
      <c r="AZ2932" s="32"/>
      <c r="BA2932" s="32"/>
      <c r="BB2932" s="32"/>
      <c r="BC2932" s="32"/>
      <c r="BD2932" s="32"/>
      <c r="BE2932" s="32"/>
      <c r="BF2932" s="32"/>
      <c r="BG2932" s="32"/>
      <c r="BH2932" s="32"/>
      <c r="BI2932" s="32"/>
      <c r="BJ2932" s="32"/>
      <c r="BK2932" s="32"/>
      <c r="BL2932" s="32"/>
      <c r="BM2932" s="32"/>
      <c r="BN2932" s="32"/>
      <c r="BO2932" s="32"/>
      <c r="BP2932" s="32"/>
      <c r="BQ2932" s="32"/>
      <c r="BR2932" s="32"/>
      <c r="BS2932" s="32"/>
      <c r="BT2932" s="32"/>
      <c r="BU2932" s="32"/>
      <c r="BV2932" s="32"/>
      <c r="BW2932" s="32"/>
      <c r="BX2932" s="32"/>
      <c r="BY2932" s="32"/>
      <c r="BZ2932" s="32"/>
      <c r="CA2932" s="32"/>
      <c r="CB2932" s="32"/>
      <c r="CC2932" s="32"/>
      <c r="CD2932" s="32"/>
    </row>
    <row r="2933" ht="15.75" hidden="1" customHeight="1" outlineLevel="1">
      <c r="A2933" s="365"/>
      <c r="B2933" s="38"/>
      <c r="C2933" s="374"/>
      <c r="D2933" s="374"/>
      <c r="E2933" s="374"/>
      <c r="F2933" s="374"/>
      <c r="G2933" s="374"/>
      <c r="H2933" s="374"/>
      <c r="I2933" s="374"/>
      <c r="J2933" s="374"/>
      <c r="K2933" s="374"/>
      <c r="L2933" s="374"/>
      <c r="M2933" s="374"/>
      <c r="N2933" s="374"/>
      <c r="O2933" s="373">
        <f>IPMT('Assumptions (T&amp;D)'!$C$20,Model!W$1,'Assumptions (T&amp;D)'!$C$23,Model!$O$2866)</f>
        <v>-0.07988702467</v>
      </c>
      <c r="P2933" s="373">
        <f>IPMT('Assumptions (T&amp;D)'!$C$20,Model!X$1,'Assumptions (T&amp;D)'!$C$23,Model!$O$2866)</f>
        <v>-0.07611466874</v>
      </c>
      <c r="Q2933" s="373">
        <f>IPMT('Assumptions (T&amp;D)'!$C$20,Model!Y$1,'Assumptions (T&amp;D)'!$C$23,Model!$O$2866)</f>
        <v>-0.0721631259</v>
      </c>
      <c r="R2933" s="373">
        <f>IPMT('Assumptions (T&amp;D)'!$C$20,Model!Z$1,'Assumptions (T&amp;D)'!$C$23,Model!$O$2866)</f>
        <v>-0.06802388478</v>
      </c>
      <c r="S2933" s="373">
        <f>IPMT('Assumptions (T&amp;D)'!$C$20,Model!AA$1,'Assumptions (T&amp;D)'!$C$23,Model!$O$2866)</f>
        <v>-0.06368802971</v>
      </c>
      <c r="T2933" s="373">
        <f>IPMT('Assumptions (T&amp;D)'!$C$20,Model!AB$1,'Assumptions (T&amp;D)'!$C$23,Model!$O$2866)</f>
        <v>-0.05914622152</v>
      </c>
      <c r="U2933" s="373">
        <f>IPMT('Assumptions (T&amp;D)'!$C$20,Model!AC$1,'Assumptions (T&amp;D)'!$C$23,Model!$O$2866)</f>
        <v>-0.05438867744</v>
      </c>
      <c r="V2933" s="373">
        <f>IPMT('Assumptions (T&amp;D)'!$C$20,Model!AD$1,'Assumptions (T&amp;D)'!$C$23,Model!$O$2866)</f>
        <v>-0.04940515001</v>
      </c>
      <c r="W2933" s="373">
        <f>IPMT('Assumptions (T&amp;D)'!$C$20,Model!AE$1,'Assumptions (T&amp;D)'!$C$23,Model!$O$2866)</f>
        <v>-0.04418490504</v>
      </c>
      <c r="X2933" s="373">
        <f>IPMT('Assumptions (T&amp;D)'!$C$20,Model!AF$1,'Assumptions (T&amp;D)'!$C$23,Model!$O$2866)</f>
        <v>-0.03871669843</v>
      </c>
      <c r="Y2933" s="373">
        <f>IPMT('Assumptions (T&amp;D)'!$C$20,Model!AG$1,'Assumptions (T&amp;D)'!$C$23,Model!$O$2866)</f>
        <v>-0.032988752</v>
      </c>
      <c r="Z2933" s="373">
        <f>IPMT('Assumptions (T&amp;D)'!$C$20,Model!AH$1,'Assumptions (T&amp;D)'!$C$23,Model!$O$2866)</f>
        <v>-0.02698872812</v>
      </c>
      <c r="AA2933" s="373">
        <f>IPMT('Assumptions (T&amp;D)'!$C$20,Model!AI$1,'Assumptions (T&amp;D)'!$C$23,Model!$O$2866)</f>
        <v>-0.0207037031</v>
      </c>
      <c r="AB2933" s="373">
        <f>IPMT('Assumptions (T&amp;D)'!$C$20,Model!AJ$1,'Assumptions (T&amp;D)'!$C$23,Model!$O$2866)</f>
        <v>-0.0141201394</v>
      </c>
      <c r="AC2933" s="373">
        <f>IPMT('Assumptions (T&amp;D)'!$C$20,Model!AK$1,'Assumptions (T&amp;D)'!$C$23,Model!$O$2866)</f>
        <v>-0.007223856421</v>
      </c>
      <c r="AD2933" s="374"/>
      <c r="AE2933" s="374"/>
      <c r="AF2933" s="374"/>
      <c r="AG2933" s="374"/>
      <c r="AH2933" s="374"/>
      <c r="AI2933" s="374"/>
      <c r="AJ2933" s="374"/>
      <c r="AK2933" s="374"/>
      <c r="AL2933" s="374"/>
      <c r="AM2933" s="374"/>
      <c r="AN2933" s="32"/>
      <c r="AO2933" s="32"/>
      <c r="AP2933" s="32"/>
      <c r="AQ2933" s="32"/>
      <c r="AR2933" s="32"/>
      <c r="AS2933" s="32"/>
      <c r="AT2933" s="32"/>
      <c r="AU2933" s="32"/>
      <c r="AV2933" s="32"/>
      <c r="AW2933" s="32"/>
      <c r="AX2933" s="32"/>
      <c r="AY2933" s="32"/>
      <c r="AZ2933" s="32"/>
      <c r="BA2933" s="32"/>
      <c r="BB2933" s="32"/>
      <c r="BC2933" s="32"/>
      <c r="BD2933" s="32"/>
      <c r="BE2933" s="32"/>
      <c r="BF2933" s="32"/>
      <c r="BG2933" s="32"/>
      <c r="BH2933" s="32"/>
      <c r="BI2933" s="32"/>
      <c r="BJ2933" s="32"/>
      <c r="BK2933" s="32"/>
      <c r="BL2933" s="32"/>
      <c r="BM2933" s="32"/>
      <c r="BN2933" s="32"/>
      <c r="BO2933" s="32"/>
      <c r="BP2933" s="32"/>
      <c r="BQ2933" s="32"/>
      <c r="BR2933" s="32"/>
      <c r="BS2933" s="32"/>
      <c r="BT2933" s="32"/>
      <c r="BU2933" s="32"/>
      <c r="BV2933" s="32"/>
      <c r="BW2933" s="32"/>
      <c r="BX2933" s="32"/>
      <c r="BY2933" s="32"/>
      <c r="BZ2933" s="32"/>
      <c r="CA2933" s="32"/>
      <c r="CB2933" s="32"/>
      <c r="CC2933" s="32"/>
      <c r="CD2933" s="32"/>
    </row>
    <row r="2934" ht="15.75" hidden="1" customHeight="1" outlineLevel="1">
      <c r="A2934" s="365"/>
      <c r="B2934" s="38"/>
      <c r="C2934" s="374"/>
      <c r="D2934" s="374"/>
      <c r="E2934" s="374"/>
      <c r="F2934" s="374"/>
      <c r="G2934" s="374"/>
      <c r="H2934" s="374"/>
      <c r="I2934" s="374"/>
      <c r="J2934" s="374"/>
      <c r="K2934" s="374"/>
      <c r="L2934" s="374"/>
      <c r="M2934" s="374"/>
      <c r="N2934" s="374"/>
      <c r="O2934" s="374"/>
      <c r="P2934" s="373">
        <f>IPMT('Assumptions (T&amp;D)'!$C$20,Model!W$1,'Assumptions (T&amp;D)'!$C$23,Model!$P$2866)</f>
        <v>-0.08265819731</v>
      </c>
      <c r="Q2934" s="373">
        <f>IPMT('Assumptions (T&amp;D)'!$C$20,Model!X$1,'Assumptions (T&amp;D)'!$C$23,Model!$P$2866)</f>
        <v>-0.07875498347</v>
      </c>
      <c r="R2934" s="373">
        <f>IPMT('Assumptions (T&amp;D)'!$C$20,Model!Y$1,'Assumptions (T&amp;D)'!$C$23,Model!$P$2866)</f>
        <v>-0.07466636696</v>
      </c>
      <c r="S2934" s="373">
        <f>IPMT('Assumptions (T&amp;D)'!$C$20,Model!Z$1,'Assumptions (T&amp;D)'!$C$23,Model!$P$2866)</f>
        <v>-0.07038354118</v>
      </c>
      <c r="T2934" s="373">
        <f>IPMT('Assumptions (T&amp;D)'!$C$20,Model!AA$1,'Assumptions (T&amp;D)'!$C$23,Model!$P$2866)</f>
        <v>-0.06589728116</v>
      </c>
      <c r="U2934" s="373">
        <f>IPMT('Assumptions (T&amp;D)'!$C$20,Model!AB$1,'Assumptions (T&amp;D)'!$C$23,Model!$P$2866)</f>
        <v>-0.0611979238</v>
      </c>
      <c r="V2934" s="373">
        <f>IPMT('Assumptions (T&amp;D)'!$C$20,Model!AC$1,'Assumptions (T&amp;D)'!$C$23,Model!$P$2866)</f>
        <v>-0.05627534696</v>
      </c>
      <c r="W2934" s="373">
        <f>IPMT('Assumptions (T&amp;D)'!$C$20,Model!AD$1,'Assumptions (T&amp;D)'!$C$23,Model!$P$2866)</f>
        <v>-0.05111894773</v>
      </c>
      <c r="X2934" s="373">
        <f>IPMT('Assumptions (T&amp;D)'!$C$20,Model!AE$1,'Assumptions (T&amp;D)'!$C$23,Model!$P$2866)</f>
        <v>-0.04571761953</v>
      </c>
      <c r="Y2934" s="373">
        <f>IPMT('Assumptions (T&amp;D)'!$C$20,Model!AF$1,'Assumptions (T&amp;D)'!$C$23,Model!$P$2866)</f>
        <v>-0.04005972824</v>
      </c>
      <c r="Z2934" s="373">
        <f>IPMT('Assumptions (T&amp;D)'!$C$20,Model!AG$1,'Assumptions (T&amp;D)'!$C$23,Model!$P$2866)</f>
        <v>-0.03413308711</v>
      </c>
      <c r="AA2934" s="373">
        <f>IPMT('Assumptions (T&amp;D)'!$C$20,Model!AH$1,'Assumptions (T&amp;D)'!$C$23,Model!$P$2866)</f>
        <v>-0.02792493053</v>
      </c>
      <c r="AB2934" s="373">
        <f>IPMT('Assumptions (T&amp;D)'!$C$20,Model!AI$1,'Assumptions (T&amp;D)'!$C$23,Model!$P$2866)</f>
        <v>-0.02142188651</v>
      </c>
      <c r="AC2934" s="373">
        <f>IPMT('Assumptions (T&amp;D)'!$C$20,Model!AJ$1,'Assumptions (T&amp;D)'!$C$23,Model!$P$2866)</f>
        <v>-0.0146099479</v>
      </c>
      <c r="AD2934" s="373">
        <f>IPMT('Assumptions (T&amp;D)'!$C$20,Model!AK$1,'Assumptions (T&amp;D)'!$C$23,Model!$P$2866)</f>
        <v>-0.007474442213</v>
      </c>
      <c r="AE2934" s="374"/>
      <c r="AF2934" s="374"/>
      <c r="AG2934" s="374"/>
      <c r="AH2934" s="374"/>
      <c r="AI2934" s="374"/>
      <c r="AJ2934" s="374"/>
      <c r="AK2934" s="374"/>
      <c r="AL2934" s="374"/>
      <c r="AM2934" s="374"/>
      <c r="AN2934" s="374"/>
      <c r="AO2934" s="32"/>
      <c r="AP2934" s="32"/>
      <c r="AQ2934" s="32"/>
      <c r="AR2934" s="32"/>
      <c r="AS2934" s="32"/>
      <c r="AT2934" s="32"/>
      <c r="AU2934" s="32"/>
      <c r="AV2934" s="32"/>
      <c r="AW2934" s="32"/>
      <c r="AX2934" s="32"/>
      <c r="AY2934" s="32"/>
      <c r="AZ2934" s="32"/>
      <c r="BA2934" s="32"/>
      <c r="BB2934" s="32"/>
      <c r="BC2934" s="32"/>
      <c r="BD2934" s="32"/>
      <c r="BE2934" s="32"/>
      <c r="BF2934" s="32"/>
      <c r="BG2934" s="32"/>
      <c r="BH2934" s="32"/>
      <c r="BI2934" s="32"/>
      <c r="BJ2934" s="32"/>
      <c r="BK2934" s="32"/>
      <c r="BL2934" s="32"/>
      <c r="BM2934" s="32"/>
      <c r="BN2934" s="32"/>
      <c r="BO2934" s="32"/>
      <c r="BP2934" s="32"/>
      <c r="BQ2934" s="32"/>
      <c r="BR2934" s="32"/>
      <c r="BS2934" s="32"/>
      <c r="BT2934" s="32"/>
      <c r="BU2934" s="32"/>
      <c r="BV2934" s="32"/>
      <c r="BW2934" s="32"/>
      <c r="BX2934" s="32"/>
      <c r="BY2934" s="32"/>
      <c r="BZ2934" s="32"/>
      <c r="CA2934" s="32"/>
      <c r="CB2934" s="32"/>
      <c r="CC2934" s="32"/>
      <c r="CD2934" s="32"/>
    </row>
    <row r="2935" ht="15.75" hidden="1" customHeight="1" outlineLevel="1">
      <c r="A2935" s="365"/>
      <c r="B2935" s="38"/>
      <c r="C2935" s="374"/>
      <c r="D2935" s="374"/>
      <c r="E2935" s="374"/>
      <c r="F2935" s="374"/>
      <c r="G2935" s="374"/>
      <c r="H2935" s="374"/>
      <c r="I2935" s="374"/>
      <c r="J2935" s="374"/>
      <c r="K2935" s="374"/>
      <c r="L2935" s="374"/>
      <c r="M2935" s="374"/>
      <c r="N2935" s="374"/>
      <c r="O2935" s="374"/>
      <c r="P2935" s="374"/>
      <c r="Q2935" s="373">
        <f>IPMT('Assumptions (T&amp;D)'!$C$20,Model!W$1,'Assumptions (T&amp;D)'!$C$23,Model!$Q$2866)</f>
        <v>-0.08678071142</v>
      </c>
      <c r="R2935" s="373">
        <f>IPMT('Assumptions (T&amp;D)'!$C$20,Model!X$1,'Assumptions (T&amp;D)'!$C$23,Model!$Q$2866)</f>
        <v>-0.08268282778</v>
      </c>
      <c r="S2935" s="373">
        <f>IPMT('Assumptions (T&amp;D)'!$C$20,Model!Y$1,'Assumptions (T&amp;D)'!$C$23,Model!$Q$2866)</f>
        <v>-0.07839029467</v>
      </c>
      <c r="T2935" s="373">
        <f>IPMT('Assumptions (T&amp;D)'!$C$20,Model!Z$1,'Assumptions (T&amp;D)'!$C$23,Model!$Q$2866)</f>
        <v>-0.07389386623</v>
      </c>
      <c r="U2935" s="373">
        <f>IPMT('Assumptions (T&amp;D)'!$C$20,Model!AA$1,'Assumptions (T&amp;D)'!$C$23,Model!$Q$2866)</f>
        <v>-0.06918385745</v>
      </c>
      <c r="V2935" s="373">
        <f>IPMT('Assumptions (T&amp;D)'!$C$20,Model!AB$1,'Assumptions (T&amp;D)'!$C$23,Model!$Q$2866)</f>
        <v>-0.06425012325</v>
      </c>
      <c r="W2935" s="373">
        <f>IPMT('Assumptions (T&amp;D)'!$C$20,Model!AC$1,'Assumptions (T&amp;D)'!$C$23,Model!$Q$2866)</f>
        <v>-0.05908203667</v>
      </c>
      <c r="X2935" s="373">
        <f>IPMT('Assumptions (T&amp;D)'!$C$20,Model!AD$1,'Assumptions (T&amp;D)'!$C$23,Model!$Q$2866)</f>
        <v>-0.05366846598</v>
      </c>
      <c r="Y2935" s="373">
        <f>IPMT('Assumptions (T&amp;D)'!$C$20,Model!AE$1,'Assumptions (T&amp;D)'!$C$23,Model!$Q$2866)</f>
        <v>-0.04799775069</v>
      </c>
      <c r="Z2935" s="373">
        <f>IPMT('Assumptions (T&amp;D)'!$C$20,Model!AF$1,'Assumptions (T&amp;D)'!$C$23,Model!$Q$2866)</f>
        <v>-0.04205767642</v>
      </c>
      <c r="AA2935" s="373">
        <f>IPMT('Assumptions (T&amp;D)'!$C$20,Model!AG$1,'Assumptions (T&amp;D)'!$C$23,Model!$Q$2866)</f>
        <v>-0.03583544861</v>
      </c>
      <c r="AB2935" s="373">
        <f>IPMT('Assumptions (T&amp;D)'!$C$20,Model!AH$1,'Assumptions (T&amp;D)'!$C$23,Model!$Q$2866)</f>
        <v>-0.02931766499</v>
      </c>
      <c r="AC2935" s="373">
        <f>IPMT('Assumptions (T&amp;D)'!$C$20,Model!AI$1,'Assumptions (T&amp;D)'!$C$23,Model!$Q$2866)</f>
        <v>-0.02249028665</v>
      </c>
      <c r="AD2935" s="373">
        <f>IPMT('Assumptions (T&amp;D)'!$C$20,Model!AJ$1,'Assumptions (T&amp;D)'!$C$23,Model!$Q$2866)</f>
        <v>-0.01533860784</v>
      </c>
      <c r="AE2935" s="373">
        <f>IPMT('Assumptions (T&amp;D)'!$C$20,Model!AK$1,'Assumptions (T&amp;D)'!$C$23,Model!$Q$2866)</f>
        <v>-0.007847224277</v>
      </c>
      <c r="AF2935" s="374"/>
      <c r="AG2935" s="374"/>
      <c r="AH2935" s="374"/>
      <c r="AI2935" s="374"/>
      <c r="AJ2935" s="374"/>
      <c r="AK2935" s="374"/>
      <c r="AL2935" s="374"/>
      <c r="AM2935" s="374"/>
      <c r="AN2935" s="374"/>
      <c r="AO2935" s="374"/>
      <c r="AP2935" s="32"/>
      <c r="AQ2935" s="32"/>
      <c r="AR2935" s="32"/>
      <c r="AS2935" s="32"/>
      <c r="AT2935" s="32"/>
      <c r="AU2935" s="32"/>
      <c r="AV2935" s="32"/>
      <c r="AW2935" s="32"/>
      <c r="AX2935" s="32"/>
      <c r="AY2935" s="32"/>
      <c r="AZ2935" s="32"/>
      <c r="BA2935" s="32"/>
      <c r="BB2935" s="32"/>
      <c r="BC2935" s="32"/>
      <c r="BD2935" s="32"/>
      <c r="BE2935" s="32"/>
      <c r="BF2935" s="32"/>
      <c r="BG2935" s="32"/>
      <c r="BH2935" s="32"/>
      <c r="BI2935" s="32"/>
      <c r="BJ2935" s="32"/>
      <c r="BK2935" s="32"/>
      <c r="BL2935" s="32"/>
      <c r="BM2935" s="32"/>
      <c r="BN2935" s="32"/>
      <c r="BO2935" s="32"/>
      <c r="BP2935" s="32"/>
      <c r="BQ2935" s="32"/>
      <c r="BR2935" s="32"/>
      <c r="BS2935" s="32"/>
      <c r="BT2935" s="32"/>
      <c r="BU2935" s="32"/>
      <c r="BV2935" s="32"/>
      <c r="BW2935" s="32"/>
      <c r="BX2935" s="32"/>
      <c r="BY2935" s="32"/>
      <c r="BZ2935" s="32"/>
      <c r="CA2935" s="32"/>
      <c r="CB2935" s="32"/>
      <c r="CC2935" s="32"/>
      <c r="CD2935" s="32"/>
    </row>
    <row r="2936" ht="15.75" hidden="1" customHeight="1" outlineLevel="1">
      <c r="A2936" s="365"/>
      <c r="B2936" s="38"/>
      <c r="C2936" s="374"/>
      <c r="D2936" s="374"/>
      <c r="E2936" s="374"/>
      <c r="F2936" s="374"/>
      <c r="G2936" s="374"/>
      <c r="H2936" s="374"/>
      <c r="I2936" s="374"/>
      <c r="J2936" s="374"/>
      <c r="K2936" s="374"/>
      <c r="L2936" s="374"/>
      <c r="M2936" s="374"/>
      <c r="N2936" s="374"/>
      <c r="O2936" s="374"/>
      <c r="P2936" s="374"/>
      <c r="Q2936" s="374"/>
      <c r="R2936" s="373">
        <f>IPMT('Assumptions (T&amp;D)'!$C$20,Model!W$1,'Assumptions (T&amp;D)'!$C$23,Model!$R$2866)</f>
        <v>-0.09658864797</v>
      </c>
      <c r="S2936" s="373">
        <f>IPMT('Assumptions (T&amp;D)'!$C$20,Model!X$1,'Assumptions (T&amp;D)'!$C$23,Model!$R$2866)</f>
        <v>-0.09202762244</v>
      </c>
      <c r="T2936" s="373">
        <f>IPMT('Assumptions (T&amp;D)'!$C$20,Model!Y$1,'Assumptions (T&amp;D)'!$C$23,Model!$R$2866)</f>
        <v>-0.0872499482</v>
      </c>
      <c r="U2936" s="373">
        <f>IPMT('Assumptions (T&amp;D)'!$C$20,Model!Z$1,'Assumptions (T&amp;D)'!$C$23,Model!$R$2866)</f>
        <v>-0.08224533443</v>
      </c>
      <c r="V2936" s="373">
        <f>IPMT('Assumptions (T&amp;D)'!$C$20,Model!AA$1,'Assumptions (T&amp;D)'!$C$23,Model!$R$2866)</f>
        <v>-0.07700300151</v>
      </c>
      <c r="W2936" s="373">
        <f>IPMT('Assumptions (T&amp;D)'!$C$20,Model!AB$1,'Assumptions (T&amp;D)'!$C$23,Model!$R$2866)</f>
        <v>-0.07151165778</v>
      </c>
      <c r="X2936" s="373">
        <f>IPMT('Assumptions (T&amp;D)'!$C$20,Model!AC$1,'Assumptions (T&amp;D)'!$C$23,Model!$R$2866)</f>
        <v>-0.06575947521</v>
      </c>
      <c r="Y2936" s="373">
        <f>IPMT('Assumptions (T&amp;D)'!$C$20,Model!AD$1,'Assumptions (T&amp;D)'!$C$23,Model!$R$2866)</f>
        <v>-0.05973406398</v>
      </c>
      <c r="Z2936" s="373">
        <f>IPMT('Assumptions (T&amp;D)'!$C$20,Model!AE$1,'Assumptions (T&amp;D)'!$C$23,Model!$R$2866)</f>
        <v>-0.05342244571</v>
      </c>
      <c r="AA2936" s="373">
        <f>IPMT('Assumptions (T&amp;D)'!$C$20,Model!AF$1,'Assumptions (T&amp;D)'!$C$23,Model!$R$2866)</f>
        <v>-0.04681102558</v>
      </c>
      <c r="AB2936" s="373">
        <f>IPMT('Assumptions (T&amp;D)'!$C$20,Model!AG$1,'Assumptions (T&amp;D)'!$C$23,Model!$R$2866)</f>
        <v>-0.03988556298</v>
      </c>
      <c r="AC2936" s="373">
        <f>IPMT('Assumptions (T&amp;D)'!$C$20,Model!AH$1,'Assumptions (T&amp;D)'!$C$23,Model!$R$2866)</f>
        <v>-0.03263114092</v>
      </c>
      <c r="AD2936" s="373">
        <f>IPMT('Assumptions (T&amp;D)'!$C$20,Model!AI$1,'Assumptions (T&amp;D)'!$C$23,Model!$R$2866)</f>
        <v>-0.02503213381</v>
      </c>
      <c r="AE2936" s="373">
        <f>IPMT('Assumptions (T&amp;D)'!$C$20,Model!AJ$1,'Assumptions (T&amp;D)'!$C$23,Model!$R$2866)</f>
        <v>-0.01707217385</v>
      </c>
      <c r="AF2936" s="373">
        <f>IPMT('Assumptions (T&amp;D)'!$C$20,Model!AK$1,'Assumptions (T&amp;D)'!$C$23,Model!$R$2866)</f>
        <v>-0.008734115806</v>
      </c>
      <c r="AG2936" s="374"/>
      <c r="AH2936" s="374"/>
      <c r="AI2936" s="374"/>
      <c r="AJ2936" s="374"/>
      <c r="AK2936" s="374"/>
      <c r="AL2936" s="374"/>
      <c r="AM2936" s="374"/>
      <c r="AN2936" s="374"/>
      <c r="AO2936" s="374"/>
      <c r="AP2936" s="374"/>
      <c r="AQ2936" s="32"/>
      <c r="AR2936" s="32"/>
      <c r="AS2936" s="32"/>
      <c r="AT2936" s="32"/>
      <c r="AU2936" s="32"/>
      <c r="AV2936" s="32"/>
      <c r="AW2936" s="32"/>
      <c r="AX2936" s="32"/>
      <c r="AY2936" s="32"/>
      <c r="AZ2936" s="32"/>
      <c r="BA2936" s="32"/>
      <c r="BB2936" s="32"/>
      <c r="BC2936" s="32"/>
      <c r="BD2936" s="32"/>
      <c r="BE2936" s="32"/>
      <c r="BF2936" s="32"/>
      <c r="BG2936" s="32"/>
      <c r="BH2936" s="32"/>
      <c r="BI2936" s="32"/>
      <c r="BJ2936" s="32"/>
      <c r="BK2936" s="32"/>
      <c r="BL2936" s="32"/>
      <c r="BM2936" s="32"/>
      <c r="BN2936" s="32"/>
      <c r="BO2936" s="32"/>
      <c r="BP2936" s="32"/>
      <c r="BQ2936" s="32"/>
      <c r="BR2936" s="32"/>
      <c r="BS2936" s="32"/>
      <c r="BT2936" s="32"/>
      <c r="BU2936" s="32"/>
      <c r="BV2936" s="32"/>
      <c r="BW2936" s="32"/>
      <c r="BX2936" s="32"/>
      <c r="BY2936" s="32"/>
      <c r="BZ2936" s="32"/>
      <c r="CA2936" s="32"/>
      <c r="CB2936" s="32"/>
      <c r="CC2936" s="32"/>
      <c r="CD2936" s="32"/>
    </row>
    <row r="2937" ht="15.75" hidden="1" customHeight="1" outlineLevel="1">
      <c r="A2937" s="365"/>
      <c r="B2937" s="38"/>
      <c r="C2937" s="374"/>
      <c r="D2937" s="374"/>
      <c r="E2937" s="374"/>
      <c r="F2937" s="374"/>
      <c r="G2937" s="374"/>
      <c r="H2937" s="374"/>
      <c r="I2937" s="374"/>
      <c r="J2937" s="374"/>
      <c r="K2937" s="374"/>
      <c r="L2937" s="374"/>
      <c r="M2937" s="374"/>
      <c r="N2937" s="374"/>
      <c r="O2937" s="374"/>
      <c r="P2937" s="374"/>
      <c r="Q2937" s="374"/>
      <c r="R2937" s="374"/>
      <c r="S2937" s="373">
        <f>IPMT('Assumptions (T&amp;D)'!$C$20,Model!W$1,'Assumptions (T&amp;D)'!$C$23,Model!$S$2866)</f>
        <v>-0.1100370704</v>
      </c>
      <c r="T2937" s="373">
        <f>IPMT('Assumptions (T&amp;D)'!$C$20,Model!X$1,'Assumptions (T&amp;D)'!$C$23,Model!$S$2866)</f>
        <v>-0.1048409951</v>
      </c>
      <c r="U2937" s="373">
        <f>IPMT('Assumptions (T&amp;D)'!$C$20,Model!Y$1,'Assumptions (T&amp;D)'!$C$23,Model!$S$2866)</f>
        <v>-0.09939810624</v>
      </c>
      <c r="V2937" s="373">
        <f>IPMT('Assumptions (T&amp;D)'!$C$20,Model!Z$1,'Assumptions (T&amp;D)'!$C$23,Model!$S$2866)</f>
        <v>-0.09369668015</v>
      </c>
      <c r="W2937" s="373">
        <f>IPMT('Assumptions (T&amp;D)'!$C$20,Model!AA$1,'Assumptions (T&amp;D)'!$C$23,Model!$S$2866)</f>
        <v>-0.08772443632</v>
      </c>
      <c r="X2937" s="373">
        <f>IPMT('Assumptions (T&amp;D)'!$C$20,Model!AB$1,'Assumptions (T&amp;D)'!$C$23,Model!$S$2866)</f>
        <v>-0.08146851091</v>
      </c>
      <c r="Y2937" s="373">
        <f>IPMT('Assumptions (T&amp;D)'!$C$20,Model!AC$1,'Assumptions (T&amp;D)'!$C$23,Model!$S$2866)</f>
        <v>-0.07491542905</v>
      </c>
      <c r="Z2937" s="373">
        <f>IPMT('Assumptions (T&amp;D)'!$C$20,Model!AD$1,'Assumptions (T&amp;D)'!$C$23,Model!$S$2866)</f>
        <v>-0.06805107579</v>
      </c>
      <c r="AA2937" s="373">
        <f>IPMT('Assumptions (T&amp;D)'!$C$20,Model!AE$1,'Assumptions (T&amp;D)'!$C$23,Model!$S$2866)</f>
        <v>-0.06086066575</v>
      </c>
      <c r="AB2937" s="373">
        <f>IPMT('Assumptions (T&amp;D)'!$C$20,Model!AF$1,'Assumptions (T&amp;D)'!$C$23,Model!$S$2866)</f>
        <v>-0.05332871124</v>
      </c>
      <c r="AC2937" s="373">
        <f>IPMT('Assumptions (T&amp;D)'!$C$20,Model!AG$1,'Assumptions (T&amp;D)'!$C$23,Model!$S$2866)</f>
        <v>-0.04543898889</v>
      </c>
      <c r="AD2937" s="373">
        <f>IPMT('Assumptions (T&amp;D)'!$C$20,Model!AH$1,'Assumptions (T&amp;D)'!$C$23,Model!$S$2866)</f>
        <v>-0.03717450473</v>
      </c>
      <c r="AE2937" s="373">
        <f>IPMT('Assumptions (T&amp;D)'!$C$20,Model!AI$1,'Assumptions (T&amp;D)'!$C$23,Model!$S$2866)</f>
        <v>-0.02851745757</v>
      </c>
      <c r="AF2937" s="373">
        <f>IPMT('Assumptions (T&amp;D)'!$C$20,Model!AJ$1,'Assumptions (T&amp;D)'!$C$23,Model!$S$2866)</f>
        <v>-0.01944920067</v>
      </c>
      <c r="AG2937" s="373">
        <f>IPMT('Assumptions (T&amp;D)'!$C$20,Model!AK$1,'Assumptions (T&amp;D)'!$C$23,Model!$S$2866)</f>
        <v>-0.009950201561</v>
      </c>
      <c r="AH2937" s="374"/>
      <c r="AI2937" s="374"/>
      <c r="AJ2937" s="374"/>
      <c r="AK2937" s="374"/>
      <c r="AL2937" s="374"/>
      <c r="AM2937" s="374"/>
      <c r="AN2937" s="374"/>
      <c r="AO2937" s="374"/>
      <c r="AP2937" s="374"/>
      <c r="AQ2937" s="374"/>
      <c r="AR2937" s="32"/>
      <c r="AS2937" s="32"/>
      <c r="AT2937" s="32"/>
      <c r="AU2937" s="32"/>
      <c r="AV2937" s="32"/>
      <c r="AW2937" s="32"/>
      <c r="AX2937" s="32"/>
      <c r="AY2937" s="32"/>
      <c r="AZ2937" s="32"/>
      <c r="BA2937" s="32"/>
      <c r="BB2937" s="32"/>
      <c r="BC2937" s="32"/>
      <c r="BD2937" s="32"/>
      <c r="BE2937" s="32"/>
      <c r="BF2937" s="32"/>
      <c r="BG2937" s="32"/>
      <c r="BH2937" s="32"/>
      <c r="BI2937" s="32"/>
      <c r="BJ2937" s="32"/>
      <c r="BK2937" s="32"/>
      <c r="BL2937" s="32"/>
      <c r="BM2937" s="32"/>
      <c r="BN2937" s="32"/>
      <c r="BO2937" s="32"/>
      <c r="BP2937" s="32"/>
      <c r="BQ2937" s="32"/>
      <c r="BR2937" s="32"/>
      <c r="BS2937" s="32"/>
      <c r="BT2937" s="32"/>
      <c r="BU2937" s="32"/>
      <c r="BV2937" s="32"/>
      <c r="BW2937" s="32"/>
      <c r="BX2937" s="32"/>
      <c r="BY2937" s="32"/>
      <c r="BZ2937" s="32"/>
      <c r="CA2937" s="32"/>
      <c r="CB2937" s="32"/>
      <c r="CC2937" s="32"/>
      <c r="CD2937" s="32"/>
    </row>
    <row r="2938" ht="15.75" hidden="1" customHeight="1" outlineLevel="1">
      <c r="A2938" s="365"/>
      <c r="B2938" s="38"/>
      <c r="C2938" s="374"/>
      <c r="D2938" s="374"/>
      <c r="E2938" s="374"/>
      <c r="F2938" s="374"/>
      <c r="G2938" s="374"/>
      <c r="H2938" s="374"/>
      <c r="I2938" s="374"/>
      <c r="J2938" s="374"/>
      <c r="K2938" s="374"/>
      <c r="L2938" s="374"/>
      <c r="M2938" s="374"/>
      <c r="N2938" s="374"/>
      <c r="O2938" s="374"/>
      <c r="P2938" s="374"/>
      <c r="Q2938" s="374"/>
      <c r="R2938" s="374"/>
      <c r="S2938" s="38"/>
      <c r="T2938" s="373">
        <f>IPMT('Assumptions (T&amp;D)'!$C$20,Model!W$1,'Assumptions (T&amp;D)'!$C$23,Model!$T$2866)</f>
        <v>-0.09737828571</v>
      </c>
      <c r="U2938" s="373">
        <f>IPMT('Assumptions (T&amp;D)'!$C$20,Model!X$1,'Assumptions (T&amp;D)'!$C$23,Model!$T$2866)</f>
        <v>-0.09277997259</v>
      </c>
      <c r="V2938" s="373">
        <f>IPMT('Assumptions (T&amp;D)'!$C$20,Model!Y$1,'Assumptions (T&amp;D)'!$C$23,Model!$T$2866)</f>
        <v>-0.0879632396</v>
      </c>
      <c r="W2938" s="373">
        <f>IPMT('Assumptions (T&amp;D)'!$C$20,Model!Z$1,'Assumptions (T&amp;D)'!$C$23,Model!$T$2866)</f>
        <v>-0.08291771179</v>
      </c>
      <c r="X2938" s="373">
        <f>IPMT('Assumptions (T&amp;D)'!$C$20,Model!AA$1,'Assumptions (T&amp;D)'!$C$23,Model!$T$2866)</f>
        <v>-0.07763252141</v>
      </c>
      <c r="Y2938" s="373">
        <f>IPMT('Assumptions (T&amp;D)'!$C$20,Model!AB$1,'Assumptions (T&amp;D)'!$C$23,Model!$T$2866)</f>
        <v>-0.07209628449</v>
      </c>
      <c r="Z2938" s="373">
        <f>IPMT('Assumptions (T&amp;D)'!$C$20,Model!AC$1,'Assumptions (T&amp;D)'!$C$23,Model!$T$2866)</f>
        <v>-0.06629707632</v>
      </c>
      <c r="AA2938" s="373">
        <f>IPMT('Assumptions (T&amp;D)'!$C$20,Model!AD$1,'Assumptions (T&amp;D)'!$C$23,Model!$T$2866)</f>
        <v>-0.06022240575</v>
      </c>
      <c r="AB2938" s="373">
        <f>IPMT('Assumptions (T&amp;D)'!$C$20,Model!AE$1,'Assumptions (T&amp;D)'!$C$23,Model!$T$2866)</f>
        <v>-0.05385918833</v>
      </c>
      <c r="AC2938" s="373">
        <f>IPMT('Assumptions (T&amp;D)'!$C$20,Model!AF$1,'Assumptions (T&amp;D)'!$C$23,Model!$T$2866)</f>
        <v>-0.04719371809</v>
      </c>
      <c r="AD2938" s="373">
        <f>IPMT('Assumptions (T&amp;D)'!$C$20,Model!AG$1,'Assumptions (T&amp;D)'!$C$23,Model!$T$2866)</f>
        <v>-0.04021163801</v>
      </c>
      <c r="AE2938" s="373">
        <f>IPMT('Assumptions (T&amp;D)'!$C$20,Model!AH$1,'Assumptions (T&amp;D)'!$C$23,Model!$T$2866)</f>
        <v>-0.03289790913</v>
      </c>
      <c r="AF2938" s="373">
        <f>IPMT('Assumptions (T&amp;D)'!$C$20,Model!AI$1,'Assumptions (T&amp;D)'!$C$23,Model!$T$2866)</f>
        <v>-0.02523677812</v>
      </c>
      <c r="AG2938" s="373">
        <f>IPMT('Assumptions (T&amp;D)'!$C$20,Model!AJ$1,'Assumptions (T&amp;D)'!$C$23,Model!$T$2866)</f>
        <v>-0.01721174339</v>
      </c>
      <c r="AH2938" s="373">
        <f>IPMT('Assumptions (T&amp;D)'!$C$20,Model!AK$1,'Assumptions (T&amp;D)'!$C$23,Model!$T$2866)</f>
        <v>-0.008805519513</v>
      </c>
      <c r="AI2938" s="374"/>
      <c r="AJ2938" s="374"/>
      <c r="AK2938" s="374"/>
      <c r="AL2938" s="374"/>
      <c r="AM2938" s="374"/>
      <c r="AN2938" s="374"/>
      <c r="AO2938" s="374"/>
      <c r="AP2938" s="374"/>
      <c r="AQ2938" s="374"/>
      <c r="AR2938" s="374"/>
      <c r="AS2938" s="32"/>
      <c r="AT2938" s="32"/>
      <c r="AU2938" s="32"/>
      <c r="AV2938" s="32"/>
      <c r="AW2938" s="32"/>
      <c r="AX2938" s="32"/>
      <c r="AY2938" s="32"/>
      <c r="AZ2938" s="32"/>
      <c r="BA2938" s="32"/>
      <c r="BB2938" s="32"/>
      <c r="BC2938" s="32"/>
      <c r="BD2938" s="32"/>
      <c r="BE2938" s="32"/>
      <c r="BF2938" s="32"/>
      <c r="BG2938" s="32"/>
      <c r="BH2938" s="32"/>
      <c r="BI2938" s="32"/>
      <c r="BJ2938" s="32"/>
      <c r="BK2938" s="32"/>
      <c r="BL2938" s="32"/>
      <c r="BM2938" s="32"/>
      <c r="BN2938" s="32"/>
      <c r="BO2938" s="32"/>
      <c r="BP2938" s="32"/>
      <c r="BQ2938" s="32"/>
      <c r="BR2938" s="32"/>
      <c r="BS2938" s="32"/>
      <c r="BT2938" s="32"/>
      <c r="BU2938" s="32"/>
      <c r="BV2938" s="32"/>
      <c r="BW2938" s="32"/>
      <c r="BX2938" s="32"/>
      <c r="BY2938" s="32"/>
      <c r="BZ2938" s="32"/>
      <c r="CA2938" s="32"/>
      <c r="CB2938" s="32"/>
      <c r="CC2938" s="32"/>
      <c r="CD2938" s="32"/>
    </row>
    <row r="2939" ht="15.75" hidden="1" customHeight="1" outlineLevel="1">
      <c r="A2939" s="365"/>
      <c r="B2939" s="38"/>
      <c r="C2939" s="374"/>
      <c r="D2939" s="374"/>
      <c r="E2939" s="374"/>
      <c r="F2939" s="374"/>
      <c r="G2939" s="374"/>
      <c r="H2939" s="374"/>
      <c r="I2939" s="374"/>
      <c r="J2939" s="374"/>
      <c r="K2939" s="374"/>
      <c r="L2939" s="374"/>
      <c r="M2939" s="374"/>
      <c r="N2939" s="374"/>
      <c r="O2939" s="374"/>
      <c r="P2939" s="374"/>
      <c r="Q2939" s="374"/>
      <c r="R2939" s="374"/>
      <c r="S2939" s="38"/>
      <c r="T2939" s="38"/>
      <c r="U2939" s="373">
        <f>IPMT('Assumptions (T&amp;D)'!$C$20,Model!W$1,'Assumptions (T&amp;D)'!$C$23,Model!$U$2866)</f>
        <v>-0.0986083043</v>
      </c>
      <c r="V2939" s="373">
        <f>IPMT('Assumptions (T&amp;D)'!$C$20,Model!X$1,'Assumptions (T&amp;D)'!$C$23,Model!$U$2866)</f>
        <v>-0.09395190831</v>
      </c>
      <c r="W2939" s="373">
        <f>IPMT('Assumptions (T&amp;D)'!$C$20,Model!Y$1,'Assumptions (T&amp;D)'!$C$23,Model!$U$2866)</f>
        <v>-0.08907433351</v>
      </c>
      <c r="X2939" s="373">
        <f>IPMT('Assumptions (T&amp;D)'!$C$20,Model!Z$1,'Assumptions (T&amp;D)'!$C$23,Model!$U$2866)</f>
        <v>-0.0839650739</v>
      </c>
      <c r="Y2939" s="373">
        <f>IPMT('Assumptions (T&amp;D)'!$C$20,Model!AA$1,'Assumptions (T&amp;D)'!$C$23,Model!$U$2866)</f>
        <v>-0.07861312447</v>
      </c>
      <c r="Z2939" s="373">
        <f>IPMT('Assumptions (T&amp;D)'!$C$20,Model!AB$1,'Assumptions (T&amp;D)'!$C$23,Model!$U$2866)</f>
        <v>-0.07300695743</v>
      </c>
      <c r="AA2939" s="373">
        <f>IPMT('Assumptions (T&amp;D)'!$C$20,Model!AC$1,'Assumptions (T&amp;D)'!$C$23,Model!$U$2866)</f>
        <v>-0.06713449747</v>
      </c>
      <c r="AB2939" s="373">
        <f>IPMT('Assumptions (T&amp;D)'!$C$20,Model!AD$1,'Assumptions (T&amp;D)'!$C$23,Model!$U$2866)</f>
        <v>-0.06098309565</v>
      </c>
      <c r="AC2939" s="373">
        <f>IPMT('Assumptions (T&amp;D)'!$C$20,Model!AE$1,'Assumptions (T&amp;D)'!$C$23,Model!$U$2866)</f>
        <v>-0.05453950225</v>
      </c>
      <c r="AD2939" s="373">
        <f>IPMT('Assumptions (T&amp;D)'!$C$20,Model!AF$1,'Assumptions (T&amp;D)'!$C$23,Model!$U$2866)</f>
        <v>-0.04778983816</v>
      </c>
      <c r="AE2939" s="373">
        <f>IPMT('Assumptions (T&amp;D)'!$C$20,Model!AG$1,'Assumptions (T&amp;D)'!$C$23,Model!$U$2866)</f>
        <v>-0.04071956503</v>
      </c>
      <c r="AF2939" s="373">
        <f>IPMT('Assumptions (T&amp;D)'!$C$20,Model!AH$1,'Assumptions (T&amp;D)'!$C$23,Model!$U$2866)</f>
        <v>-0.03331345392</v>
      </c>
      <c r="AG2939" s="373">
        <f>IPMT('Assumptions (T&amp;D)'!$C$20,Model!AI$1,'Assumptions (T&amp;D)'!$C$23,Model!$U$2866)</f>
        <v>-0.02555555254</v>
      </c>
      <c r="AH2939" s="373">
        <f>IPMT('Assumptions (T&amp;D)'!$C$20,Model!AJ$1,'Assumptions (T&amp;D)'!$C$23,Model!$U$2866)</f>
        <v>-0.01742915084</v>
      </c>
      <c r="AI2939" s="373">
        <f>IPMT('Assumptions (T&amp;D)'!$C$20,Model!AK$1,'Assumptions (T&amp;D)'!$C$23,Model!$U$2866)</f>
        <v>-0.008916745055</v>
      </c>
      <c r="AJ2939" s="374"/>
      <c r="AK2939" s="374"/>
      <c r="AL2939" s="374"/>
      <c r="AM2939" s="374"/>
      <c r="AN2939" s="374"/>
      <c r="AO2939" s="374"/>
      <c r="AP2939" s="374"/>
      <c r="AQ2939" s="374"/>
      <c r="AR2939" s="374"/>
      <c r="AS2939" s="374"/>
      <c r="AT2939" s="32"/>
      <c r="AU2939" s="32"/>
      <c r="AV2939" s="32"/>
      <c r="AW2939" s="32"/>
      <c r="AX2939" s="32"/>
      <c r="AY2939" s="32"/>
      <c r="AZ2939" s="32"/>
      <c r="BA2939" s="32"/>
      <c r="BB2939" s="32"/>
      <c r="BC2939" s="32"/>
      <c r="BD2939" s="32"/>
      <c r="BE2939" s="32"/>
      <c r="BF2939" s="32"/>
      <c r="BG2939" s="32"/>
      <c r="BH2939" s="32"/>
      <c r="BI2939" s="32"/>
      <c r="BJ2939" s="32"/>
      <c r="BK2939" s="32"/>
      <c r="BL2939" s="32"/>
      <c r="BM2939" s="32"/>
      <c r="BN2939" s="32"/>
      <c r="BO2939" s="32"/>
      <c r="BP2939" s="32"/>
      <c r="BQ2939" s="32"/>
      <c r="BR2939" s="32"/>
      <c r="BS2939" s="32"/>
      <c r="BT2939" s="32"/>
      <c r="BU2939" s="32"/>
      <c r="BV2939" s="32"/>
      <c r="BW2939" s="32"/>
      <c r="BX2939" s="32"/>
      <c r="BY2939" s="32"/>
      <c r="BZ2939" s="32"/>
      <c r="CA2939" s="32"/>
      <c r="CB2939" s="32"/>
      <c r="CC2939" s="32"/>
      <c r="CD2939" s="32"/>
    </row>
    <row r="2940" ht="15.75" hidden="1" customHeight="1" outlineLevel="1">
      <c r="A2940" s="365"/>
      <c r="B2940" s="38"/>
      <c r="C2940" s="374"/>
      <c r="D2940" s="374"/>
      <c r="E2940" s="374"/>
      <c r="F2940" s="374"/>
      <c r="G2940" s="374"/>
      <c r="H2940" s="374"/>
      <c r="I2940" s="374"/>
      <c r="J2940" s="374"/>
      <c r="K2940" s="374"/>
      <c r="L2940" s="374"/>
      <c r="M2940" s="374"/>
      <c r="N2940" s="374"/>
      <c r="O2940" s="374"/>
      <c r="P2940" s="374"/>
      <c r="Q2940" s="374"/>
      <c r="R2940" s="374"/>
      <c r="S2940" s="38"/>
      <c r="T2940" s="38"/>
      <c r="U2940" s="38"/>
      <c r="V2940" s="373">
        <f>IPMT('Assumptions (T&amp;D)'!$C$20,Model!W$1,'Assumptions (T&amp;D)'!$C$23,Model!$V$2866)</f>
        <v>-0.102208179</v>
      </c>
      <c r="W2940" s="373">
        <f>IPMT('Assumptions (T&amp;D)'!$C$20,Model!X$1,'Assumptions (T&amp;D)'!$C$23,Model!$V$2866)</f>
        <v>-0.09738179284</v>
      </c>
      <c r="X2940" s="373">
        <f>IPMT('Assumptions (T&amp;D)'!$C$20,Model!Y$1,'Assumptions (T&amp;D)'!$C$23,Model!$V$2866)</f>
        <v>-0.09232615334</v>
      </c>
      <c r="Y2940" s="373">
        <f>IPMT('Assumptions (T&amp;D)'!$C$20,Model!Z$1,'Assumptions (T&amp;D)'!$C$23,Model!$V$2866)</f>
        <v>-0.08703037097</v>
      </c>
      <c r="Z2940" s="373">
        <f>IPMT('Assumptions (T&amp;D)'!$C$20,Model!AA$1,'Assumptions (T&amp;D)'!$C$23,Model!$V$2866)</f>
        <v>-0.08148303893</v>
      </c>
      <c r="AA2940" s="373">
        <f>IPMT('Assumptions (T&amp;D)'!$C$20,Model!AB$1,'Assumptions (T&amp;D)'!$C$23,Model!$V$2866)</f>
        <v>-0.07567220861</v>
      </c>
      <c r="AB2940" s="373">
        <f>IPMT('Assumptions (T&amp;D)'!$C$20,Model!AC$1,'Assumptions (T&amp;D)'!$C$23,Model!$V$2866)</f>
        <v>-0.06958536386</v>
      </c>
      <c r="AC2940" s="373">
        <f>IPMT('Assumptions (T&amp;D)'!$C$20,Model!AD$1,'Assumptions (T&amp;D)'!$C$23,Model!$V$2866)</f>
        <v>-0.06320939398</v>
      </c>
      <c r="AD2940" s="373">
        <f>IPMT('Assumptions (T&amp;D)'!$C$20,Model!AE$1,'Assumptions (T&amp;D)'!$C$23,Model!$V$2866)</f>
        <v>-0.05653056554</v>
      </c>
      <c r="AE2940" s="373">
        <f>IPMT('Assumptions (T&amp;D)'!$C$20,Model!AF$1,'Assumptions (T&amp;D)'!$C$23,Model!$V$2866)</f>
        <v>-0.04953449274</v>
      </c>
      <c r="AF2940" s="373">
        <f>IPMT('Assumptions (T&amp;D)'!$C$20,Model!AG$1,'Assumptions (T&amp;D)'!$C$23,Model!$V$2866)</f>
        <v>-0.04220610648</v>
      </c>
      <c r="AG2940" s="373">
        <f>IPMT('Assumptions (T&amp;D)'!$C$20,Model!AH$1,'Assumptions (T&amp;D)'!$C$23,Model!$V$2866)</f>
        <v>-0.03452962188</v>
      </c>
      <c r="AH2940" s="373">
        <f>IPMT('Assumptions (T&amp;D)'!$C$20,Model!AI$1,'Assumptions (T&amp;D)'!$C$23,Model!$V$2866)</f>
        <v>-0.02648850426</v>
      </c>
      <c r="AI2940" s="373">
        <f>IPMT('Assumptions (T&amp;D)'!$C$20,Model!AJ$1,'Assumptions (T&amp;D)'!$C$23,Model!$V$2866)</f>
        <v>-0.01806543355</v>
      </c>
      <c r="AJ2940" s="373">
        <f>IPMT('Assumptions (T&amp;D)'!$C$20,Model!AK$1,'Assumptions (T&amp;D)'!$C$23,Model!$V$2866)</f>
        <v>-0.00924226698</v>
      </c>
      <c r="AK2940" s="374"/>
      <c r="AL2940" s="374"/>
      <c r="AM2940" s="374"/>
      <c r="AN2940" s="374"/>
      <c r="AO2940" s="374"/>
      <c r="AP2940" s="374"/>
      <c r="AQ2940" s="374"/>
      <c r="AR2940" s="374"/>
      <c r="AS2940" s="374"/>
      <c r="AT2940" s="374"/>
      <c r="AU2940" s="32"/>
      <c r="AV2940" s="32"/>
      <c r="AW2940" s="32"/>
      <c r="AX2940" s="32"/>
      <c r="AY2940" s="32"/>
      <c r="AZ2940" s="32"/>
      <c r="BA2940" s="32"/>
      <c r="BB2940" s="32"/>
      <c r="BC2940" s="32"/>
      <c r="BD2940" s="32"/>
      <c r="BE2940" s="32"/>
      <c r="BF2940" s="32"/>
      <c r="BG2940" s="32"/>
      <c r="BH2940" s="32"/>
      <c r="BI2940" s="32"/>
      <c r="BJ2940" s="32"/>
      <c r="BK2940" s="32"/>
      <c r="BL2940" s="32"/>
      <c r="BM2940" s="32"/>
      <c r="BN2940" s="32"/>
      <c r="BO2940" s="32"/>
      <c r="BP2940" s="32"/>
      <c r="BQ2940" s="32"/>
      <c r="BR2940" s="32"/>
      <c r="BS2940" s="32"/>
      <c r="BT2940" s="32"/>
      <c r="BU2940" s="32"/>
      <c r="BV2940" s="32"/>
      <c r="BW2940" s="32"/>
      <c r="BX2940" s="32"/>
      <c r="BY2940" s="32"/>
      <c r="BZ2940" s="32"/>
      <c r="CA2940" s="32"/>
      <c r="CB2940" s="32"/>
      <c r="CC2940" s="32"/>
      <c r="CD2940" s="32"/>
    </row>
    <row r="2941" ht="15.75" hidden="1" customHeight="1" outlineLevel="1">
      <c r="A2941" s="365"/>
      <c r="B2941" s="38"/>
      <c r="C2941" s="374"/>
      <c r="D2941" s="374"/>
      <c r="E2941" s="374"/>
      <c r="F2941" s="374"/>
      <c r="G2941" s="374"/>
      <c r="H2941" s="374"/>
      <c r="I2941" s="374"/>
      <c r="J2941" s="374"/>
      <c r="K2941" s="374"/>
      <c r="L2941" s="374"/>
      <c r="M2941" s="374"/>
      <c r="N2941" s="374"/>
      <c r="O2941" s="374"/>
      <c r="P2941" s="374"/>
      <c r="Q2941" s="374"/>
      <c r="R2941" s="374"/>
      <c r="S2941" s="38"/>
      <c r="T2941" s="38"/>
      <c r="U2941" s="38"/>
      <c r="V2941" s="38"/>
      <c r="W2941" s="373">
        <f>IPMT('Assumptions (T&amp;D)'!$C$20,Model!W$1,'Assumptions (T&amp;D)'!$C$23,Model!$W$2866)</f>
        <v>-0.1042265831</v>
      </c>
      <c r="X2941" s="373">
        <f>IPMT('Assumptions (T&amp;D)'!$C$20,Model!X$1,'Assumptions (T&amp;D)'!$C$23,Model!$W$2866)</f>
        <v>-0.0993048856</v>
      </c>
      <c r="Y2941" s="373">
        <f>IPMT('Assumptions (T&amp;D)'!$C$20,Model!Y$1,'Assumptions (T&amp;D)'!$C$23,Model!$W$2866)</f>
        <v>-0.09414940748</v>
      </c>
      <c r="Z2941" s="373">
        <f>IPMT('Assumptions (T&amp;D)'!$C$20,Model!Z$1,'Assumptions (T&amp;D)'!$C$23,Model!$W$2866)</f>
        <v>-0.08874904415</v>
      </c>
      <c r="AA2941" s="373">
        <f>IPMT('Assumptions (T&amp;D)'!$C$20,Model!AA$1,'Assumptions (T&amp;D)'!$C$23,Model!$W$2866)</f>
        <v>-0.08309216356</v>
      </c>
      <c r="AB2941" s="373">
        <f>IPMT('Assumptions (T&amp;D)'!$C$20,Model!AB$1,'Assumptions (T&amp;D)'!$C$23,Model!$W$2866)</f>
        <v>-0.07716658114</v>
      </c>
      <c r="AC2941" s="373">
        <f>IPMT('Assumptions (T&amp;D)'!$C$20,Model!AC$1,'Assumptions (T&amp;D)'!$C$23,Model!$W$2866)</f>
        <v>-0.07095953356</v>
      </c>
      <c r="AD2941" s="373">
        <f>IPMT('Assumptions (T&amp;D)'!$C$20,Model!AD$1,'Assumptions (T&amp;D)'!$C$23,Model!$W$2866)</f>
        <v>-0.06445765122</v>
      </c>
      <c r="AE2941" s="373">
        <f>IPMT('Assumptions (T&amp;D)'!$C$20,Model!AE$1,'Assumptions (T&amp;D)'!$C$23,Model!$W$2866)</f>
        <v>-0.05764692947</v>
      </c>
      <c r="AF2941" s="373">
        <f>IPMT('Assumptions (T&amp;D)'!$C$20,Model!AF$1,'Assumptions (T&amp;D)'!$C$23,Model!$W$2866)</f>
        <v>-0.05051269843</v>
      </c>
      <c r="AG2941" s="373">
        <f>IPMT('Assumptions (T&amp;D)'!$C$20,Model!AG$1,'Assumptions (T&amp;D)'!$C$23,Model!$W$2866)</f>
        <v>-0.04303959142</v>
      </c>
      <c r="AH2941" s="373">
        <f>IPMT('Assumptions (T&amp;D)'!$C$20,Model!AH$1,'Assumptions (T&amp;D)'!$C$23,Model!$W$2866)</f>
        <v>-0.03521151183</v>
      </c>
      <c r="AI2941" s="373">
        <f>IPMT('Assumptions (T&amp;D)'!$C$20,Model!AI$1,'Assumptions (T&amp;D)'!$C$23,Model!$W$2866)</f>
        <v>-0.02701159845</v>
      </c>
      <c r="AJ2941" s="373">
        <f>IPMT('Assumptions (T&amp;D)'!$C$20,Model!AJ$1,'Assumptions (T&amp;D)'!$C$23,Model!$W$2866)</f>
        <v>-0.01842218919</v>
      </c>
      <c r="AK2941" s="373">
        <f>IPMT('Assumptions (T&amp;D)'!$C$20,Model!AK$1,'Assumptions (T&amp;D)'!$C$23,Model!$W$2866)</f>
        <v>-0.009424782994</v>
      </c>
      <c r="AL2941" s="374"/>
      <c r="AM2941" s="374"/>
      <c r="AN2941" s="374"/>
      <c r="AO2941" s="374"/>
      <c r="AP2941" s="374"/>
      <c r="AQ2941" s="374"/>
      <c r="AR2941" s="374"/>
      <c r="AS2941" s="374"/>
      <c r="AT2941" s="374"/>
      <c r="AU2941" s="374"/>
      <c r="AV2941" s="32"/>
      <c r="AW2941" s="32"/>
      <c r="AX2941" s="32"/>
      <c r="AY2941" s="32"/>
      <c r="AZ2941" s="32"/>
      <c r="BA2941" s="32"/>
      <c r="BB2941" s="32"/>
      <c r="BC2941" s="32"/>
      <c r="BD2941" s="32"/>
      <c r="BE2941" s="32"/>
      <c r="BF2941" s="32"/>
      <c r="BG2941" s="32"/>
      <c r="BH2941" s="32"/>
      <c r="BI2941" s="32"/>
      <c r="BJ2941" s="32"/>
      <c r="BK2941" s="32"/>
      <c r="BL2941" s="32"/>
      <c r="BM2941" s="32"/>
      <c r="BN2941" s="32"/>
      <c r="BO2941" s="32"/>
      <c r="BP2941" s="32"/>
      <c r="BQ2941" s="32"/>
      <c r="BR2941" s="32"/>
      <c r="BS2941" s="32"/>
      <c r="BT2941" s="32"/>
      <c r="BU2941" s="32"/>
      <c r="BV2941" s="32"/>
      <c r="BW2941" s="32"/>
      <c r="BX2941" s="32"/>
      <c r="BY2941" s="32"/>
      <c r="BZ2941" s="32"/>
      <c r="CA2941" s="32"/>
      <c r="CB2941" s="32"/>
      <c r="CC2941" s="32"/>
      <c r="CD2941" s="32"/>
    </row>
    <row r="2942" ht="15.75" hidden="1" customHeight="1" outlineLevel="1">
      <c r="A2942" s="365"/>
      <c r="B2942" s="38"/>
      <c r="C2942" s="374"/>
      <c r="D2942" s="374"/>
      <c r="E2942" s="374"/>
      <c r="F2942" s="374"/>
      <c r="G2942" s="374"/>
      <c r="H2942" s="374"/>
      <c r="I2942" s="374"/>
      <c r="J2942" s="374"/>
      <c r="K2942" s="374"/>
      <c r="L2942" s="374"/>
      <c r="M2942" s="374"/>
      <c r="N2942" s="374"/>
      <c r="O2942" s="374"/>
      <c r="P2942" s="374"/>
      <c r="Q2942" s="374"/>
      <c r="R2942" s="374"/>
      <c r="S2942" s="38"/>
      <c r="T2942" s="38"/>
      <c r="U2942" s="38"/>
      <c r="V2942" s="38"/>
      <c r="W2942" s="38"/>
      <c r="X2942" s="373">
        <f>IPMT('Assumptions (T&amp;D)'!$C$20,Model!W$1,'Assumptions (T&amp;D)'!$C$23,Model!$X$2866)</f>
        <v>-0.1080447571</v>
      </c>
      <c r="Y2942" s="373">
        <f>IPMT('Assumptions (T&amp;D)'!$C$20,Model!X$1,'Assumptions (T&amp;D)'!$C$23,Model!$X$2866)</f>
        <v>-0.1029427611</v>
      </c>
      <c r="Z2942" s="373">
        <f>IPMT('Assumptions (T&amp;D)'!$C$20,Model!Y$1,'Assumptions (T&amp;D)'!$C$23,Model!$X$2866)</f>
        <v>-0.0975984203</v>
      </c>
      <c r="AA2942" s="373">
        <f>IPMT('Assumptions (T&amp;D)'!$C$20,Model!Z$1,'Assumptions (T&amp;D)'!$C$23,Model!$X$2866)</f>
        <v>-0.0920002233</v>
      </c>
      <c r="AB2942" s="373">
        <f>IPMT('Assumptions (T&amp;D)'!$C$20,Model!AA$1,'Assumptions (T&amp;D)'!$C$23,Model!$X$2866)</f>
        <v>-0.08613611195</v>
      </c>
      <c r="AC2942" s="373">
        <f>IPMT('Assumptions (T&amp;D)'!$C$20,Model!AB$1,'Assumptions (T&amp;D)'!$C$23,Model!$X$2866)</f>
        <v>-0.07999345531</v>
      </c>
      <c r="AD2942" s="373">
        <f>IPMT('Assumptions (T&amp;D)'!$C$20,Model!AC$1,'Assumptions (T&amp;D)'!$C$23,Model!$X$2866)</f>
        <v>-0.07355902247</v>
      </c>
      <c r="AE2942" s="373">
        <f>IPMT('Assumptions (T&amp;D)'!$C$20,Model!AD$1,'Assumptions (T&amp;D)'!$C$23,Model!$X$2866)</f>
        <v>-0.06681895408</v>
      </c>
      <c r="AF2942" s="373">
        <f>IPMT('Assumptions (T&amp;D)'!$C$20,Model!AE$1,'Assumptions (T&amp;D)'!$C$23,Model!$X$2866)</f>
        <v>-0.05975873244</v>
      </c>
      <c r="AG2942" s="373">
        <f>IPMT('Assumptions (T&amp;D)'!$C$20,Model!AF$1,'Assumptions (T&amp;D)'!$C$23,Model!$X$2866)</f>
        <v>-0.05236315027</v>
      </c>
      <c r="AH2942" s="373">
        <f>IPMT('Assumptions (T&amp;D)'!$C$20,Model!AG$1,'Assumptions (T&amp;D)'!$C$23,Model!$X$2866)</f>
        <v>-0.04461627795</v>
      </c>
      <c r="AI2942" s="373">
        <f>IPMT('Assumptions (T&amp;D)'!$C$20,Model!AH$1,'Assumptions (T&amp;D)'!$C$23,Model!$X$2866)</f>
        <v>-0.03650142919</v>
      </c>
      <c r="AJ2942" s="373">
        <f>IPMT('Assumptions (T&amp;D)'!$C$20,Model!AI$1,'Assumptions (T&amp;D)'!$C$23,Model!$X$2866)</f>
        <v>-0.02800112512</v>
      </c>
      <c r="AK2942" s="373">
        <f>IPMT('Assumptions (T&amp;D)'!$C$20,Model!AJ$1,'Assumptions (T&amp;D)'!$C$23,Model!$X$2866)</f>
        <v>-0.0190970566</v>
      </c>
      <c r="AL2942" s="373">
        <f>IPMT('Assumptions (T&amp;D)'!$C$20,Model!AK$1,'Assumptions (T&amp;D)'!$C$23,Model!$X$2866)</f>
        <v>-0.00977004483</v>
      </c>
      <c r="AM2942" s="374"/>
      <c r="AN2942" s="374"/>
      <c r="AO2942" s="374"/>
      <c r="AP2942" s="374"/>
      <c r="AQ2942" s="374"/>
      <c r="AR2942" s="374"/>
      <c r="AS2942" s="374"/>
      <c r="AT2942" s="374"/>
      <c r="AU2942" s="374"/>
      <c r="AV2942" s="374"/>
      <c r="AW2942" s="32"/>
      <c r="AX2942" s="32"/>
      <c r="AY2942" s="32"/>
      <c r="AZ2942" s="32"/>
      <c r="BA2942" s="32"/>
      <c r="BB2942" s="32"/>
      <c r="BC2942" s="32"/>
      <c r="BD2942" s="32"/>
      <c r="BE2942" s="32"/>
      <c r="BF2942" s="32"/>
      <c r="BG2942" s="32"/>
      <c r="BH2942" s="32"/>
      <c r="BI2942" s="32"/>
      <c r="BJ2942" s="32"/>
      <c r="BK2942" s="32"/>
      <c r="BL2942" s="32"/>
      <c r="BM2942" s="32"/>
      <c r="BN2942" s="32"/>
      <c r="BO2942" s="32"/>
      <c r="BP2942" s="32"/>
      <c r="BQ2942" s="32"/>
      <c r="BR2942" s="32"/>
      <c r="BS2942" s="32"/>
      <c r="BT2942" s="32"/>
      <c r="BU2942" s="32"/>
      <c r="BV2942" s="32"/>
      <c r="BW2942" s="32"/>
      <c r="BX2942" s="32"/>
      <c r="BY2942" s="32"/>
      <c r="BZ2942" s="32"/>
      <c r="CA2942" s="32"/>
      <c r="CB2942" s="32"/>
      <c r="CC2942" s="32"/>
      <c r="CD2942" s="32"/>
    </row>
    <row r="2943" ht="15.75" hidden="1" customHeight="1" outlineLevel="1">
      <c r="A2943" s="365"/>
      <c r="B2943" s="38"/>
      <c r="C2943" s="374"/>
      <c r="D2943" s="374"/>
      <c r="E2943" s="374"/>
      <c r="F2943" s="374"/>
      <c r="G2943" s="374"/>
      <c r="H2943" s="374"/>
      <c r="I2943" s="374"/>
      <c r="J2943" s="374"/>
      <c r="K2943" s="374"/>
      <c r="L2943" s="374"/>
      <c r="M2943" s="374"/>
      <c r="N2943" s="374"/>
      <c r="O2943" s="374"/>
      <c r="P2943" s="374"/>
      <c r="Q2943" s="374"/>
      <c r="R2943" s="374"/>
      <c r="S2943" s="38"/>
      <c r="T2943" s="38"/>
      <c r="U2943" s="38"/>
      <c r="V2943" s="38"/>
      <c r="W2943" s="38"/>
      <c r="X2943" s="32"/>
      <c r="Y2943" s="373">
        <f>IPMT('Assumptions (T&amp;D)'!$C$20,Model!W$1,'Assumptions (T&amp;D)'!$C$23,Model!$Y$2866)</f>
        <v>-0.1110757544</v>
      </c>
      <c r="Z2943" s="373">
        <f>IPMT('Assumptions (T&amp;D)'!$C$20,Model!X$1,'Assumptions (T&amp;D)'!$C$23,Model!$Y$2866)</f>
        <v>-0.1058306312</v>
      </c>
      <c r="AA2943" s="373">
        <f>IPMT('Assumptions (T&amp;D)'!$C$20,Model!Y$1,'Assumptions (T&amp;D)'!$C$23,Model!$Y$2866)</f>
        <v>-0.1003363648</v>
      </c>
      <c r="AB2943" s="373">
        <f>IPMT('Assumptions (T&amp;D)'!$C$20,Model!Z$1,'Assumptions (T&amp;D)'!$C$23,Model!$Y$2866)</f>
        <v>-0.09458112063</v>
      </c>
      <c r="AC2943" s="373">
        <f>IPMT('Assumptions (T&amp;D)'!$C$20,Model!AA$1,'Assumptions (T&amp;D)'!$C$23,Model!$Y$2866)</f>
        <v>-0.0885525024</v>
      </c>
      <c r="AD2943" s="373">
        <f>IPMT('Assumptions (T&amp;D)'!$C$20,Model!AB$1,'Assumptions (T&amp;D)'!$C$23,Model!$Y$2866)</f>
        <v>-0.0822375248</v>
      </c>
      <c r="AE2943" s="373">
        <f>IPMT('Assumptions (T&amp;D)'!$C$20,Model!AC$1,'Assumptions (T&amp;D)'!$C$23,Model!$Y$2866)</f>
        <v>-0.07562258577</v>
      </c>
      <c r="AF2943" s="373">
        <f>IPMT('Assumptions (T&amp;D)'!$C$20,Model!AD$1,'Assumptions (T&amp;D)'!$C$23,Model!$Y$2866)</f>
        <v>-0.06869343714</v>
      </c>
      <c r="AG2943" s="373">
        <f>IPMT('Assumptions (T&amp;D)'!$C$20,Model!AE$1,'Assumptions (T&amp;D)'!$C$23,Model!$Y$2866)</f>
        <v>-0.06143515394</v>
      </c>
      <c r="AH2943" s="373">
        <f>IPMT('Assumptions (T&amp;D)'!$C$20,Model!AF$1,'Assumptions (T&amp;D)'!$C$23,Model!$Y$2866)</f>
        <v>-0.0538321023</v>
      </c>
      <c r="AI2943" s="373">
        <f>IPMT('Assumptions (T&amp;D)'!$C$20,Model!AG$1,'Assumptions (T&amp;D)'!$C$23,Model!$Y$2866)</f>
        <v>-0.0458679057</v>
      </c>
      <c r="AJ2943" s="373">
        <f>IPMT('Assumptions (T&amp;D)'!$C$20,Model!AH$1,'Assumptions (T&amp;D)'!$C$23,Model!$Y$2866)</f>
        <v>-0.03752540976</v>
      </c>
      <c r="AK2943" s="373">
        <f>IPMT('Assumptions (T&amp;D)'!$C$20,Model!AI$1,'Assumptions (T&amp;D)'!$C$23,Model!$Y$2866)</f>
        <v>-0.02878664527</v>
      </c>
      <c r="AL2943" s="373">
        <f>IPMT('Assumptions (T&amp;D)'!$C$20,Model!AJ$1,'Assumptions (T&amp;D)'!$C$23,Model!$Y$2866)</f>
        <v>-0.01963278946</v>
      </c>
      <c r="AM2943" s="373">
        <f>IPMT('Assumptions (T&amp;D)'!$C$20,Model!AK$1,'Assumptions (T&amp;D)'!$C$23,Model!$Y$2866)</f>
        <v>-0.0100441255</v>
      </c>
      <c r="AN2943" s="374"/>
      <c r="AO2943" s="374"/>
      <c r="AP2943" s="374"/>
      <c r="AQ2943" s="374"/>
      <c r="AR2943" s="374"/>
      <c r="AS2943" s="374"/>
      <c r="AT2943" s="374"/>
      <c r="AU2943" s="374"/>
      <c r="AV2943" s="374"/>
      <c r="AW2943" s="374"/>
      <c r="AX2943" s="32"/>
      <c r="AY2943" s="32"/>
      <c r="AZ2943" s="32"/>
      <c r="BA2943" s="32"/>
      <c r="BB2943" s="32"/>
      <c r="BC2943" s="32"/>
      <c r="BD2943" s="32"/>
      <c r="BE2943" s="32"/>
      <c r="BF2943" s="32"/>
      <c r="BG2943" s="32"/>
      <c r="BH2943" s="32"/>
      <c r="BI2943" s="32"/>
      <c r="BJ2943" s="32"/>
      <c r="BK2943" s="32"/>
      <c r="BL2943" s="32"/>
      <c r="BM2943" s="32"/>
      <c r="BN2943" s="32"/>
      <c r="BO2943" s="32"/>
      <c r="BP2943" s="32"/>
      <c r="BQ2943" s="32"/>
      <c r="BR2943" s="32"/>
      <c r="BS2943" s="32"/>
      <c r="BT2943" s="32"/>
      <c r="BU2943" s="32"/>
      <c r="BV2943" s="32"/>
      <c r="BW2943" s="32"/>
      <c r="BX2943" s="32"/>
      <c r="BY2943" s="32"/>
      <c r="BZ2943" s="32"/>
      <c r="CA2943" s="32"/>
      <c r="CB2943" s="32"/>
      <c r="CC2943" s="32"/>
      <c r="CD2943" s="32"/>
    </row>
    <row r="2944" ht="15.75" hidden="1" customHeight="1" outlineLevel="1">
      <c r="A2944" s="365"/>
      <c r="B2944" s="38"/>
      <c r="C2944" s="374"/>
      <c r="D2944" s="374"/>
      <c r="E2944" s="374"/>
      <c r="F2944" s="374"/>
      <c r="G2944" s="374"/>
      <c r="H2944" s="374"/>
      <c r="I2944" s="374"/>
      <c r="J2944" s="374"/>
      <c r="K2944" s="374"/>
      <c r="L2944" s="374"/>
      <c r="M2944" s="374"/>
      <c r="N2944" s="374"/>
      <c r="O2944" s="374"/>
      <c r="P2944" s="374"/>
      <c r="Q2944" s="374"/>
      <c r="R2944" s="374"/>
      <c r="S2944" s="38"/>
      <c r="T2944" s="38"/>
      <c r="U2944" s="38"/>
      <c r="V2944" s="38"/>
      <c r="W2944" s="38"/>
      <c r="X2944" s="32"/>
      <c r="Y2944" s="32"/>
      <c r="Z2944" s="373">
        <f>IPMT('Assumptions (T&amp;D)'!$C$20,Model!W$1,'Assumptions (T&amp;D)'!$C$23,Model!$Z$2866)</f>
        <v>-0.1141843282</v>
      </c>
      <c r="AA2944" s="373">
        <f>IPMT('Assumptions (T&amp;D)'!$C$20,Model!X$1,'Assumptions (T&amp;D)'!$C$23,Model!$Z$2866)</f>
        <v>-0.1087924147</v>
      </c>
      <c r="AB2944" s="373">
        <f>IPMT('Assumptions (T&amp;D)'!$C$20,Model!Y$1,'Assumptions (T&amp;D)'!$C$23,Model!$Z$2866)</f>
        <v>-0.1031443853</v>
      </c>
      <c r="AC2944" s="373">
        <f>IPMT('Assumptions (T&amp;D)'!$C$20,Model!Z$1,'Assumptions (T&amp;D)'!$C$23,Model!$Z$2866)</f>
        <v>-0.09722807446</v>
      </c>
      <c r="AD2944" s="373">
        <f>IPMT('Assumptions (T&amp;D)'!$C$20,Model!AA$1,'Assumptions (T&amp;D)'!$C$23,Model!$Z$2866)</f>
        <v>-0.0910307389</v>
      </c>
      <c r="AE2944" s="373">
        <f>IPMT('Assumptions (T&amp;D)'!$C$20,Model!AB$1,'Assumptions (T&amp;D)'!$C$23,Model!$Z$2866)</f>
        <v>-0.0845390299</v>
      </c>
      <c r="AF2944" s="373">
        <f>IPMT('Assumptions (T&amp;D)'!$C$20,Model!AC$1,'Assumptions (T&amp;D)'!$C$23,Model!$Z$2866)</f>
        <v>-0.07773896473</v>
      </c>
      <c r="AG2944" s="373">
        <f>IPMT('Assumptions (T&amp;D)'!$C$20,Model!AD$1,'Assumptions (T&amp;D)'!$C$23,Model!$Z$2866)</f>
        <v>-0.07061589646</v>
      </c>
      <c r="AH2944" s="373">
        <f>IPMT('Assumptions (T&amp;D)'!$C$20,Model!AE$1,'Assumptions (T&amp;D)'!$C$23,Model!$Z$2866)</f>
        <v>-0.06315448244</v>
      </c>
      <c r="AI2944" s="373">
        <f>IPMT('Assumptions (T&amp;D)'!$C$20,Model!AF$1,'Assumptions (T&amp;D)'!$C$23,Model!$Z$2866)</f>
        <v>-0.05533865126</v>
      </c>
      <c r="AJ2944" s="373">
        <f>IPMT('Assumptions (T&amp;D)'!$C$20,Model!AG$1,'Assumptions (T&amp;D)'!$C$23,Model!$Z$2866)</f>
        <v>-0.0471515681</v>
      </c>
      <c r="AK2944" s="373">
        <f>IPMT('Assumptions (T&amp;D)'!$C$20,Model!AH$1,'Assumptions (T&amp;D)'!$C$23,Model!$Z$2866)</f>
        <v>-0.03857559849</v>
      </c>
      <c r="AL2944" s="373">
        <f>IPMT('Assumptions (T&amp;D)'!$C$20,Model!AI$1,'Assumptions (T&amp;D)'!$C$23,Model!$Z$2866)</f>
        <v>-0.02959227033</v>
      </c>
      <c r="AM2944" s="373">
        <f>IPMT('Assumptions (T&amp;D)'!$C$20,Model!AJ$1,'Assumptions (T&amp;D)'!$C$23,Model!$Z$2866)</f>
        <v>-0.02018223407</v>
      </c>
      <c r="AN2944" s="373">
        <f>IPMT('Assumptions (T&amp;D)'!$C$20,Model!AK$1,'Assumptions (T&amp;D)'!$C$23,Model!$Z$2866)</f>
        <v>-0.01032522109</v>
      </c>
      <c r="AO2944" s="374"/>
      <c r="AP2944" s="374"/>
      <c r="AQ2944" s="374"/>
      <c r="AR2944" s="374"/>
      <c r="AS2944" s="374"/>
      <c r="AT2944" s="374"/>
      <c r="AU2944" s="374"/>
      <c r="AV2944" s="374"/>
      <c r="AW2944" s="374"/>
      <c r="AX2944" s="374"/>
      <c r="AY2944" s="32"/>
      <c r="AZ2944" s="32"/>
      <c r="BA2944" s="32"/>
      <c r="BB2944" s="32"/>
      <c r="BC2944" s="32"/>
      <c r="BD2944" s="32"/>
      <c r="BE2944" s="32"/>
      <c r="BF2944" s="32"/>
      <c r="BG2944" s="32"/>
      <c r="BH2944" s="32"/>
      <c r="BI2944" s="32"/>
      <c r="BJ2944" s="32"/>
      <c r="BK2944" s="32"/>
      <c r="BL2944" s="32"/>
      <c r="BM2944" s="32"/>
      <c r="BN2944" s="32"/>
      <c r="BO2944" s="32"/>
      <c r="BP2944" s="32"/>
      <c r="BQ2944" s="32"/>
      <c r="BR2944" s="32"/>
      <c r="BS2944" s="32"/>
      <c r="BT2944" s="32"/>
      <c r="BU2944" s="32"/>
      <c r="BV2944" s="32"/>
      <c r="BW2944" s="32"/>
      <c r="BX2944" s="32"/>
      <c r="BY2944" s="32"/>
      <c r="BZ2944" s="32"/>
      <c r="CA2944" s="32"/>
      <c r="CB2944" s="32"/>
      <c r="CC2944" s="32"/>
      <c r="CD2944" s="32"/>
    </row>
    <row r="2945" ht="15.75" hidden="1" customHeight="1" outlineLevel="1">
      <c r="A2945" s="365"/>
      <c r="B2945" s="38"/>
      <c r="C2945" s="374"/>
      <c r="D2945" s="374"/>
      <c r="E2945" s="374"/>
      <c r="F2945" s="374"/>
      <c r="G2945" s="374"/>
      <c r="H2945" s="374"/>
      <c r="I2945" s="374"/>
      <c r="J2945" s="374"/>
      <c r="K2945" s="374"/>
      <c r="L2945" s="374"/>
      <c r="M2945" s="374"/>
      <c r="N2945" s="374"/>
      <c r="O2945" s="374"/>
      <c r="P2945" s="374"/>
      <c r="Q2945" s="374"/>
      <c r="R2945" s="374"/>
      <c r="S2945" s="38"/>
      <c r="T2945" s="38"/>
      <c r="U2945" s="38"/>
      <c r="V2945" s="38"/>
      <c r="W2945" s="38"/>
      <c r="X2945" s="32"/>
      <c r="Y2945" s="32"/>
      <c r="Z2945" s="32"/>
      <c r="AA2945" s="373">
        <f>IPMT('Assumptions (T&amp;D)'!$C$20,Model!W$1,'Assumptions (T&amp;D)'!$C$23,Model!$AA$2866)</f>
        <v>-0.1173723604</v>
      </c>
      <c r="AB2945" s="373">
        <f>IPMT('Assumptions (T&amp;D)'!$C$20,Model!X$1,'Assumptions (T&amp;D)'!$C$23,Model!$AA$2866)</f>
        <v>-0.1118299044</v>
      </c>
      <c r="AC2945" s="373">
        <f>IPMT('Assumptions (T&amp;D)'!$C$20,Model!Y$1,'Assumptions (T&amp;D)'!$C$23,Model!$AA$2866)</f>
        <v>-0.1060241817</v>
      </c>
      <c r="AD2945" s="373">
        <f>IPMT('Assumptions (T&amp;D)'!$C$20,Model!Z$1,'Assumptions (T&amp;D)'!$C$23,Model!$AA$2866)</f>
        <v>-0.09994268725</v>
      </c>
      <c r="AE2945" s="373">
        <f>IPMT('Assumptions (T&amp;D)'!$C$20,Model!AA$1,'Assumptions (T&amp;D)'!$C$23,Model!$AA$2866)</f>
        <v>-0.09357232177</v>
      </c>
      <c r="AF2945" s="373">
        <f>IPMT('Assumptions (T&amp;D)'!$C$20,Model!AB$1,'Assumptions (T&amp;D)'!$C$23,Model!$AA$2866)</f>
        <v>-0.08689936393</v>
      </c>
      <c r="AG2945" s="373">
        <f>IPMT('Assumptions (T&amp;D)'!$C$20,Model!AC$1,'Assumptions (T&amp;D)'!$C$23,Model!$AA$2866)</f>
        <v>-0.07990944059</v>
      </c>
      <c r="AH2945" s="373">
        <f>IPMT('Assumptions (T&amp;D)'!$C$20,Model!AD$1,'Assumptions (T&amp;D)'!$C$23,Model!$AA$2866)</f>
        <v>-0.07258749589</v>
      </c>
      <c r="AI2945" s="373">
        <f>IPMT('Assumptions (T&amp;D)'!$C$20,Model!AE$1,'Assumptions (T&amp;D)'!$C$23,Model!$AA$2866)</f>
        <v>-0.06491775881</v>
      </c>
      <c r="AJ2945" s="373">
        <f>IPMT('Assumptions (T&amp;D)'!$C$20,Model!AF$1,'Assumptions (T&amp;D)'!$C$23,Model!$AA$2866)</f>
        <v>-0.05688370923</v>
      </c>
      <c r="AK2945" s="373">
        <f>IPMT('Assumptions (T&amp;D)'!$C$20,Model!AG$1,'Assumptions (T&amp;D)'!$C$23,Model!$AA$2866)</f>
        <v>-0.04846804229</v>
      </c>
      <c r="AL2945" s="373">
        <f>IPMT('Assumptions (T&amp;D)'!$C$20,Model!AH$1,'Assumptions (T&amp;D)'!$C$23,Model!$AA$2866)</f>
        <v>-0.03965263117</v>
      </c>
      <c r="AM2945" s="373">
        <f>IPMT('Assumptions (T&amp;D)'!$C$20,Model!AI$1,'Assumptions (T&amp;D)'!$C$23,Model!$AA$2866)</f>
        <v>-0.03041848802</v>
      </c>
      <c r="AN2945" s="373">
        <f>IPMT('Assumptions (T&amp;D)'!$C$20,Model!AJ$1,'Assumptions (T&amp;D)'!$C$23,Model!$AA$2866)</f>
        <v>-0.02074572307</v>
      </c>
      <c r="AO2945" s="373">
        <f>IPMT('Assumptions (T&amp;D)'!$C$20,Model!AK$1,'Assumptions (T&amp;D)'!$C$23,Model!$AA$2866)</f>
        <v>-0.01061350179</v>
      </c>
      <c r="AP2945" s="374"/>
      <c r="AQ2945" s="374"/>
      <c r="AR2945" s="374"/>
      <c r="AS2945" s="374"/>
      <c r="AT2945" s="374"/>
      <c r="AU2945" s="374"/>
      <c r="AV2945" s="374"/>
      <c r="AW2945" s="374"/>
      <c r="AX2945" s="374"/>
      <c r="AY2945" s="374"/>
      <c r="AZ2945" s="32"/>
      <c r="BA2945" s="32"/>
      <c r="BB2945" s="32"/>
      <c r="BC2945" s="32"/>
      <c r="BD2945" s="32"/>
      <c r="BE2945" s="32"/>
      <c r="BF2945" s="32"/>
      <c r="BG2945" s="32"/>
      <c r="BH2945" s="32"/>
      <c r="BI2945" s="32"/>
      <c r="BJ2945" s="32"/>
      <c r="BK2945" s="32"/>
      <c r="BL2945" s="32"/>
      <c r="BM2945" s="32"/>
      <c r="BN2945" s="32"/>
      <c r="BO2945" s="32"/>
      <c r="BP2945" s="32"/>
      <c r="BQ2945" s="32"/>
      <c r="BR2945" s="32"/>
      <c r="BS2945" s="32"/>
      <c r="BT2945" s="32"/>
      <c r="BU2945" s="32"/>
      <c r="BV2945" s="32"/>
      <c r="BW2945" s="32"/>
      <c r="BX2945" s="32"/>
      <c r="BY2945" s="32"/>
      <c r="BZ2945" s="32"/>
      <c r="CA2945" s="32"/>
      <c r="CB2945" s="32"/>
      <c r="CC2945" s="32"/>
      <c r="CD2945" s="32"/>
    </row>
    <row r="2946" ht="15.75" hidden="1" customHeight="1" outlineLevel="1">
      <c r="A2946" s="365"/>
      <c r="B2946" s="38"/>
      <c r="C2946" s="374"/>
      <c r="D2946" s="374"/>
      <c r="E2946" s="374"/>
      <c r="F2946" s="374"/>
      <c r="G2946" s="374"/>
      <c r="H2946" s="374"/>
      <c r="I2946" s="374"/>
      <c r="J2946" s="374"/>
      <c r="K2946" s="374"/>
      <c r="L2946" s="374"/>
      <c r="M2946" s="374"/>
      <c r="N2946" s="374"/>
      <c r="O2946" s="374"/>
      <c r="P2946" s="374"/>
      <c r="Q2946" s="374"/>
      <c r="R2946" s="374"/>
      <c r="S2946" s="38"/>
      <c r="T2946" s="38"/>
      <c r="U2946" s="38"/>
      <c r="V2946" s="38"/>
      <c r="W2946" s="38"/>
      <c r="X2946" s="32"/>
      <c r="Y2946" s="32"/>
      <c r="Z2946" s="32"/>
      <c r="AA2946" s="32"/>
      <c r="AB2946" s="373">
        <f>IPMT('Assumptions (T&amp;D)'!$C$20,Model!W$1,'Assumptions (T&amp;D)'!$C$23,Model!$AB$2866)</f>
        <v>-0.1206417772</v>
      </c>
      <c r="AC2946" s="373">
        <f>IPMT('Assumptions (T&amp;D)'!$C$20,Model!X$1,'Assumptions (T&amp;D)'!$C$23,Model!$AB$2866)</f>
        <v>-0.1149449356</v>
      </c>
      <c r="AD2946" s="373">
        <f>IPMT('Assumptions (T&amp;D)'!$C$20,Model!Y$1,'Assumptions (T&amp;D)'!$C$23,Model!$AB$2866)</f>
        <v>-0.108977494</v>
      </c>
      <c r="AE2946" s="373">
        <f>IPMT('Assumptions (T&amp;D)'!$C$20,Model!Z$1,'Assumptions (T&amp;D)'!$C$23,Model!$AB$2866)</f>
        <v>-0.102726599</v>
      </c>
      <c r="AF2946" s="373">
        <f>IPMT('Assumptions (T&amp;D)'!$C$20,Model!AA$1,'Assumptions (T&amp;D)'!$C$23,Model!$AB$2866)</f>
        <v>-0.09617878647</v>
      </c>
      <c r="AG2946" s="373">
        <f>IPMT('Assumptions (T&amp;D)'!$C$20,Model!AB$1,'Assumptions (T&amp;D)'!$C$23,Model!$AB$2866)</f>
        <v>-0.08931995284</v>
      </c>
      <c r="AH2946" s="373">
        <f>IPMT('Assumptions (T&amp;D)'!$C$20,Model!AC$1,'Assumptions (T&amp;D)'!$C$23,Model!$AB$2866)</f>
        <v>-0.08213532461</v>
      </c>
      <c r="AI2946" s="373">
        <f>IPMT('Assumptions (T&amp;D)'!$C$20,Model!AD$1,'Assumptions (T&amp;D)'!$C$23,Model!$AB$2866)</f>
        <v>-0.07460942654</v>
      </c>
      <c r="AJ2946" s="373">
        <f>IPMT('Assumptions (T&amp;D)'!$C$20,Model!AE$1,'Assumptions (T&amp;D)'!$C$23,Model!$AB$2866)</f>
        <v>-0.06672604831</v>
      </c>
      <c r="AK2946" s="373">
        <f>IPMT('Assumptions (T&amp;D)'!$C$20,Model!AF$1,'Assumptions (T&amp;D)'!$C$23,Model!$AB$2866)</f>
        <v>-0.05846820961</v>
      </c>
      <c r="AL2946" s="373">
        <f>IPMT('Assumptions (T&amp;D)'!$C$20,Model!AG$1,'Assumptions (T&amp;D)'!$C$23,Model!$AB$2866)</f>
        <v>-0.04981812358</v>
      </c>
      <c r="AM2946" s="373">
        <f>IPMT('Assumptions (T&amp;D)'!$C$20,Model!AH$1,'Assumptions (T&amp;D)'!$C$23,Model!$AB$2866)</f>
        <v>-0.04075715846</v>
      </c>
      <c r="AN2946" s="373">
        <f>IPMT('Assumptions (T&amp;D)'!$C$20,Model!AI$1,'Assumptions (T&amp;D)'!$C$23,Model!$AB$2866)</f>
        <v>-0.0312657975</v>
      </c>
      <c r="AO2946" s="373">
        <f>IPMT('Assumptions (T&amp;D)'!$C$20,Model!AJ$1,'Assumptions (T&amp;D)'!$C$23,Model!$AB$2866)</f>
        <v>-0.02132359689</v>
      </c>
      <c r="AP2946" s="373">
        <f>IPMT('Assumptions (T&amp;D)'!$C$20,Model!AK$1,'Assumptions (T&amp;D)'!$C$23,Model!$AB$2866)</f>
        <v>-0.01090914176</v>
      </c>
      <c r="AQ2946" s="374"/>
      <c r="AR2946" s="374"/>
      <c r="AS2946" s="374"/>
      <c r="AT2946" s="374"/>
      <c r="AU2946" s="374"/>
      <c r="AV2946" s="374"/>
      <c r="AW2946" s="374"/>
      <c r="AX2946" s="374"/>
      <c r="AY2946" s="374"/>
      <c r="AZ2946" s="374"/>
      <c r="BA2946" s="32"/>
      <c r="BB2946" s="32"/>
      <c r="BC2946" s="32"/>
      <c r="BD2946" s="32"/>
      <c r="BE2946" s="32"/>
      <c r="BF2946" s="32"/>
      <c r="BG2946" s="32"/>
      <c r="BH2946" s="32"/>
      <c r="BI2946" s="32"/>
      <c r="BJ2946" s="32"/>
      <c r="BK2946" s="32"/>
      <c r="BL2946" s="32"/>
      <c r="BM2946" s="32"/>
      <c r="BN2946" s="32"/>
      <c r="BO2946" s="32"/>
      <c r="BP2946" s="32"/>
      <c r="BQ2946" s="32"/>
      <c r="BR2946" s="32"/>
      <c r="BS2946" s="32"/>
      <c r="BT2946" s="32"/>
      <c r="BU2946" s="32"/>
      <c r="BV2946" s="32"/>
      <c r="BW2946" s="32"/>
      <c r="BX2946" s="32"/>
      <c r="BY2946" s="32"/>
      <c r="BZ2946" s="32"/>
      <c r="CA2946" s="32"/>
      <c r="CB2946" s="32"/>
      <c r="CC2946" s="32"/>
      <c r="CD2946" s="32"/>
    </row>
    <row r="2947" ht="15.75" hidden="1" customHeight="1" outlineLevel="1">
      <c r="A2947" s="365"/>
      <c r="B2947" s="38"/>
      <c r="C2947" s="374"/>
      <c r="D2947" s="374"/>
      <c r="E2947" s="374"/>
      <c r="F2947" s="374"/>
      <c r="G2947" s="374"/>
      <c r="H2947" s="374"/>
      <c r="I2947" s="374"/>
      <c r="J2947" s="374"/>
      <c r="K2947" s="374"/>
      <c r="L2947" s="374"/>
      <c r="M2947" s="374"/>
      <c r="N2947" s="374"/>
      <c r="O2947" s="374"/>
      <c r="P2947" s="374"/>
      <c r="Q2947" s="374"/>
      <c r="R2947" s="374"/>
      <c r="S2947" s="38"/>
      <c r="T2947" s="38"/>
      <c r="U2947" s="38"/>
      <c r="V2947" s="38"/>
      <c r="W2947" s="38"/>
      <c r="X2947" s="32"/>
      <c r="Y2947" s="32"/>
      <c r="Z2947" s="32"/>
      <c r="AA2947" s="32"/>
      <c r="AB2947" s="32"/>
      <c r="AC2947" s="373">
        <f>IPMT('Assumptions (T&amp;D)'!$C$20,Model!W$1,'Assumptions (T&amp;D)'!$C$23,Model!$AC$2866)</f>
        <v>-0.1239945494</v>
      </c>
      <c r="AD2947" s="373">
        <f>IPMT('Assumptions (T&amp;D)'!$C$20,Model!X$1,'Assumptions (T&amp;D)'!$C$23,Model!$AC$2866)</f>
        <v>-0.1181393861</v>
      </c>
      <c r="AE2947" s="373">
        <f>IPMT('Assumptions (T&amp;D)'!$C$20,Model!Y$1,'Assumptions (T&amp;D)'!$C$23,Model!$AC$2866)</f>
        <v>-0.1120061026</v>
      </c>
      <c r="AF2947" s="373">
        <f>IPMT('Assumptions (T&amp;D)'!$C$20,Model!Z$1,'Assumptions (T&amp;D)'!$C$23,Model!$AC$2866)</f>
        <v>-0.1055814881</v>
      </c>
      <c r="AG2947" s="373">
        <f>IPMT('Assumptions (T&amp;D)'!$C$20,Model!AA$1,'Assumptions (T&amp;D)'!$C$23,Model!$AC$2866)</f>
        <v>-0.09885170439</v>
      </c>
      <c r="AH2947" s="373">
        <f>IPMT('Assumptions (T&amp;D)'!$C$20,Model!AB$1,'Assumptions (T&amp;D)'!$C$23,Model!$AC$2866)</f>
        <v>-0.09180225597</v>
      </c>
      <c r="AI2947" s="373">
        <f>IPMT('Assumptions (T&amp;D)'!$C$20,Model!AC$1,'Assumptions (T&amp;D)'!$C$23,Model!$AC$2866)</f>
        <v>-0.08441795874</v>
      </c>
      <c r="AJ2947" s="373">
        <f>IPMT('Assumptions (T&amp;D)'!$C$20,Model!AD$1,'Assumptions (T&amp;D)'!$C$23,Model!$AC$2866)</f>
        <v>-0.0766829074</v>
      </c>
      <c r="AK2947" s="373">
        <f>IPMT('Assumptions (T&amp;D)'!$C$20,Model!AE$1,'Assumptions (T&amp;D)'!$C$23,Model!$AC$2866)</f>
        <v>-0.06858044112</v>
      </c>
      <c r="AL2947" s="373">
        <f>IPMT('Assumptions (T&amp;D)'!$C$20,Model!AF$1,'Assumptions (T&amp;D)'!$C$23,Model!$AC$2866)</f>
        <v>-0.06009310769</v>
      </c>
      <c r="AM2947" s="373">
        <f>IPMT('Assumptions (T&amp;D)'!$C$20,Model!AG$1,'Assumptions (T&amp;D)'!$C$23,Model!$AC$2866)</f>
        <v>-0.05120262593</v>
      </c>
      <c r="AN2947" s="373">
        <f>IPMT('Assumptions (T&amp;D)'!$C$20,Model!AH$1,'Assumptions (T&amp;D)'!$C$23,Model!$AC$2866)</f>
        <v>-0.04188984628</v>
      </c>
      <c r="AO2947" s="373">
        <f>IPMT('Assumptions (T&amp;D)'!$C$20,Model!AI$1,'Assumptions (T&amp;D)'!$C$23,Model!$AC$2866)</f>
        <v>-0.03213470959</v>
      </c>
      <c r="AP2947" s="373">
        <f>IPMT('Assumptions (T&amp;D)'!$C$20,Model!AJ$1,'Assumptions (T&amp;D)'!$C$23,Model!$AC$2866)</f>
        <v>-0.02191620392</v>
      </c>
      <c r="AQ2947" s="373">
        <f>IPMT('Assumptions (T&amp;D)'!$C$20,Model!AK$1,'Assumptions (T&amp;D)'!$C$23,Model!$AC$2866)</f>
        <v>-0.01121231922</v>
      </c>
      <c r="AR2947" s="374"/>
      <c r="AS2947" s="374"/>
      <c r="AT2947" s="374"/>
      <c r="AU2947" s="374"/>
      <c r="AV2947" s="374"/>
      <c r="AW2947" s="374"/>
      <c r="AX2947" s="374"/>
      <c r="AY2947" s="374"/>
      <c r="AZ2947" s="374"/>
      <c r="BA2947" s="374"/>
      <c r="BB2947" s="32"/>
      <c r="BC2947" s="32"/>
      <c r="BD2947" s="32"/>
      <c r="BE2947" s="32"/>
      <c r="BF2947" s="32"/>
      <c r="BG2947" s="32"/>
      <c r="BH2947" s="32"/>
      <c r="BI2947" s="32"/>
      <c r="BJ2947" s="32"/>
      <c r="BK2947" s="32"/>
      <c r="BL2947" s="32"/>
      <c r="BM2947" s="32"/>
      <c r="BN2947" s="32"/>
      <c r="BO2947" s="32"/>
      <c r="BP2947" s="32"/>
      <c r="BQ2947" s="32"/>
      <c r="BR2947" s="32"/>
      <c r="BS2947" s="32"/>
      <c r="BT2947" s="32"/>
      <c r="BU2947" s="32"/>
      <c r="BV2947" s="32"/>
      <c r="BW2947" s="32"/>
      <c r="BX2947" s="32"/>
      <c r="BY2947" s="32"/>
      <c r="BZ2947" s="32"/>
      <c r="CA2947" s="32"/>
      <c r="CB2947" s="32"/>
      <c r="CC2947" s="32"/>
      <c r="CD2947" s="32"/>
    </row>
    <row r="2948" ht="15.75" hidden="1" customHeight="1" outlineLevel="1">
      <c r="A2948" s="365"/>
      <c r="B2948" s="38"/>
      <c r="C2948" s="374"/>
      <c r="D2948" s="374"/>
      <c r="E2948" s="374"/>
      <c r="F2948" s="374"/>
      <c r="G2948" s="374"/>
      <c r="H2948" s="374"/>
      <c r="I2948" s="374"/>
      <c r="J2948" s="374"/>
      <c r="K2948" s="374"/>
      <c r="L2948" s="374"/>
      <c r="M2948" s="374"/>
      <c r="N2948" s="374"/>
      <c r="O2948" s="374"/>
      <c r="P2948" s="374"/>
      <c r="Q2948" s="374"/>
      <c r="R2948" s="374"/>
      <c r="S2948" s="38"/>
      <c r="T2948" s="38"/>
      <c r="U2948" s="38"/>
      <c r="V2948" s="38"/>
      <c r="W2948" s="38"/>
      <c r="X2948" s="32"/>
      <c r="Y2948" s="32"/>
      <c r="Z2948" s="32"/>
      <c r="AA2948" s="32"/>
      <c r="AB2948" s="32"/>
      <c r="AC2948" s="32"/>
      <c r="AD2948" s="373">
        <f>IPMT('Assumptions (T&amp;D)'!$C$20,Model!W$1,'Assumptions (T&amp;D)'!$C$23,Model!$AD$2866)</f>
        <v>-0.1274326944</v>
      </c>
      <c r="AE2948" s="373">
        <f>IPMT('Assumptions (T&amp;D)'!$C$20,Model!X$1,'Assumptions (T&amp;D)'!$C$23,Model!$AD$2866)</f>
        <v>-0.121415178</v>
      </c>
      <c r="AF2948" s="373">
        <f>IPMT('Assumptions (T&amp;D)'!$C$20,Model!Y$1,'Assumptions (T&amp;D)'!$C$23,Model!$AD$2866)</f>
        <v>-0.1151118296</v>
      </c>
      <c r="AG2948" s="373">
        <f>IPMT('Assumptions (T&amp;D)'!$C$20,Model!Z$1,'Assumptions (T&amp;D)'!$C$23,Model!$AD$2866)</f>
        <v>-0.1085090721</v>
      </c>
      <c r="AH2948" s="373">
        <f>IPMT('Assumptions (T&amp;D)'!$C$20,Model!AA$1,'Assumptions (T&amp;D)'!$C$23,Model!$AD$2866)</f>
        <v>-0.1015926837</v>
      </c>
      <c r="AI2948" s="373">
        <f>IPMT('Assumptions (T&amp;D)'!$C$20,Model!AB$1,'Assumptions (T&amp;D)'!$C$23,Model!$AD$2866)</f>
        <v>-0.09434776679</v>
      </c>
      <c r="AJ2948" s="373">
        <f>IPMT('Assumptions (T&amp;D)'!$C$20,Model!AC$1,'Assumptions (T&amp;D)'!$C$23,Model!$AD$2866)</f>
        <v>-0.08675871634</v>
      </c>
      <c r="AK2948" s="373">
        <f>IPMT('Assumptions (T&amp;D)'!$C$20,Model!AD$1,'Assumptions (T&amp;D)'!$C$23,Model!$AD$2866)</f>
        <v>-0.07880918599</v>
      </c>
      <c r="AL2948" s="373">
        <f>IPMT('Assumptions (T&amp;D)'!$C$20,Model!AE$1,'Assumptions (T&amp;D)'!$C$23,Model!$AD$2866)</f>
        <v>-0.07048205294</v>
      </c>
      <c r="AM2948" s="373">
        <f>IPMT('Assumptions (T&amp;D)'!$C$20,Model!AF$1,'Assumptions (T&amp;D)'!$C$23,Model!$AD$2866)</f>
        <v>-0.06175938108</v>
      </c>
      <c r="AN2948" s="373">
        <f>IPMT('Assumptions (T&amp;D)'!$C$20,Model!AG$1,'Assumptions (T&amp;D)'!$C$23,Model!$AD$2866)</f>
        <v>-0.05262238231</v>
      </c>
      <c r="AO2948" s="373">
        <f>IPMT('Assumptions (T&amp;D)'!$C$20,Model!AH$1,'Assumptions (T&amp;D)'!$C$23,Model!$AD$2866)</f>
        <v>-0.04305137609</v>
      </c>
      <c r="AP2948" s="373">
        <f>IPMT('Assumptions (T&amp;D)'!$C$20,Model!AI$1,'Assumptions (T&amp;D)'!$C$23,Model!$AD$2866)</f>
        <v>-0.03302574707</v>
      </c>
      <c r="AQ2948" s="373">
        <f>IPMT('Assumptions (T&amp;D)'!$C$20,Model!AJ$1,'Assumptions (T&amp;D)'!$C$23,Model!$AD$2866)</f>
        <v>-0.02252390068</v>
      </c>
      <c r="AR2948" s="373">
        <f>IPMT('Assumptions (T&amp;D)'!$C$20,Model!AK$1,'Assumptions (T&amp;D)'!$C$23,Model!$AD$2866)</f>
        <v>-0.01152321659</v>
      </c>
      <c r="AS2948" s="374"/>
      <c r="AT2948" s="374"/>
      <c r="AU2948" s="374"/>
      <c r="AV2948" s="374"/>
      <c r="AW2948" s="374"/>
      <c r="AX2948" s="374"/>
      <c r="AY2948" s="374"/>
      <c r="AZ2948" s="374"/>
      <c r="BA2948" s="374"/>
      <c r="BB2948" s="374"/>
      <c r="BC2948" s="32"/>
      <c r="BD2948" s="32"/>
      <c r="BE2948" s="32"/>
      <c r="BF2948" s="32"/>
      <c r="BG2948" s="32"/>
      <c r="BH2948" s="32"/>
      <c r="BI2948" s="32"/>
      <c r="BJ2948" s="32"/>
      <c r="BK2948" s="32"/>
      <c r="BL2948" s="32"/>
      <c r="BM2948" s="32"/>
      <c r="BN2948" s="32"/>
      <c r="BO2948" s="32"/>
      <c r="BP2948" s="32"/>
      <c r="BQ2948" s="32"/>
      <c r="BR2948" s="32"/>
      <c r="BS2948" s="32"/>
      <c r="BT2948" s="32"/>
      <c r="BU2948" s="32"/>
      <c r="BV2948" s="32"/>
      <c r="BW2948" s="32"/>
      <c r="BX2948" s="32"/>
      <c r="BY2948" s="32"/>
      <c r="BZ2948" s="32"/>
      <c r="CA2948" s="32"/>
      <c r="CB2948" s="32"/>
      <c r="CC2948" s="32"/>
      <c r="CD2948" s="32"/>
    </row>
    <row r="2949" ht="15.75" hidden="1" customHeight="1" outlineLevel="1">
      <c r="A2949" s="365"/>
      <c r="B2949" s="38"/>
      <c r="C2949" s="374"/>
      <c r="D2949" s="374"/>
      <c r="E2949" s="374"/>
      <c r="F2949" s="374"/>
      <c r="G2949" s="374"/>
      <c r="H2949" s="374"/>
      <c r="I2949" s="374"/>
      <c r="J2949" s="374"/>
      <c r="K2949" s="374"/>
      <c r="L2949" s="374"/>
      <c r="M2949" s="374"/>
      <c r="N2949" s="374"/>
      <c r="O2949" s="374"/>
      <c r="P2949" s="374"/>
      <c r="Q2949" s="374"/>
      <c r="R2949" s="374"/>
      <c r="S2949" s="38"/>
      <c r="T2949" s="38"/>
      <c r="U2949" s="38"/>
      <c r="V2949" s="38"/>
      <c r="W2949" s="38"/>
      <c r="X2949" s="32"/>
      <c r="Y2949" s="32"/>
      <c r="Z2949" s="32"/>
      <c r="AA2949" s="32"/>
      <c r="AB2949" s="32"/>
      <c r="AC2949" s="32"/>
      <c r="AD2949" s="32"/>
      <c r="AE2949" s="373">
        <f>IPMT('Assumptions (T&amp;D)'!$C$20,Model!W$1,'Assumptions (T&amp;D)'!$C$23,Model!$AE$2866)</f>
        <v>-0.1309582765</v>
      </c>
      <c r="AF2949" s="373">
        <f>IPMT('Assumptions (T&amp;D)'!$C$20,Model!X$1,'Assumptions (T&amp;D)'!$C$23,Model!$AE$2866)</f>
        <v>-0.1247742781</v>
      </c>
      <c r="AG2949" s="373">
        <f>IPMT('Assumptions (T&amp;D)'!$C$20,Model!Y$1,'Assumptions (T&amp;D)'!$C$23,Model!$AE$2866)</f>
        <v>-0.1182965398</v>
      </c>
      <c r="AH2949" s="373">
        <f>IPMT('Assumptions (T&amp;D)'!$C$20,Model!Z$1,'Assumptions (T&amp;D)'!$C$23,Model!$AE$2866)</f>
        <v>-0.111511109</v>
      </c>
      <c r="AI2949" s="373">
        <f>IPMT('Assumptions (T&amp;D)'!$C$20,Model!AA$1,'Assumptions (T&amp;D)'!$C$23,Model!$AE$2866)</f>
        <v>-0.1044033701</v>
      </c>
      <c r="AJ2949" s="373">
        <f>IPMT('Assumptions (T&amp;D)'!$C$20,Model!AB$1,'Assumptions (T&amp;D)'!$C$23,Model!$AE$2866)</f>
        <v>-0.0969580137</v>
      </c>
      <c r="AK2949" s="373">
        <f>IPMT('Assumptions (T&amp;D)'!$C$20,Model!AC$1,'Assumptions (T&amp;D)'!$C$23,Model!$AE$2866)</f>
        <v>-0.08915900284</v>
      </c>
      <c r="AL2949" s="373">
        <f>IPMT('Assumptions (T&amp;D)'!$C$20,Model!AD$1,'Assumptions (T&amp;D)'!$C$23,Model!$AE$2866)</f>
        <v>-0.08098953896</v>
      </c>
      <c r="AM2949" s="373">
        <f>IPMT('Assumptions (T&amp;D)'!$C$20,Model!AE$1,'Assumptions (T&amp;D)'!$C$23,Model!$AE$2866)</f>
        <v>-0.07243202555</v>
      </c>
      <c r="AN2949" s="373">
        <f>IPMT('Assumptions (T&amp;D)'!$C$20,Model!AF$1,'Assumptions (T&amp;D)'!$C$23,Model!$AE$2866)</f>
        <v>-0.06346803025</v>
      </c>
      <c r="AO2949" s="373">
        <f>IPMT('Assumptions (T&amp;D)'!$C$20,Model!AG$1,'Assumptions (T&amp;D)'!$C$23,Model!$AE$2866)</f>
        <v>-0.05407824518</v>
      </c>
      <c r="AP2949" s="373">
        <f>IPMT('Assumptions (T&amp;D)'!$C$20,Model!AH$1,'Assumptions (T&amp;D)'!$C$23,Model!$AE$2866)</f>
        <v>-0.04424244531</v>
      </c>
      <c r="AQ2949" s="373">
        <f>IPMT('Assumptions (T&amp;D)'!$C$20,Model!AI$1,'Assumptions (T&amp;D)'!$C$23,Model!$AE$2866)</f>
        <v>-0.03393944495</v>
      </c>
      <c r="AR2949" s="373">
        <f>IPMT('Assumptions (T&amp;D)'!$C$20,Model!AJ$1,'Assumptions (T&amp;D)'!$C$23,Model!$AE$2866)</f>
        <v>-0.02314705208</v>
      </c>
      <c r="AS2949" s="373">
        <f>IPMT('Assumptions (T&amp;D)'!$C$20,Model!AK$1,'Assumptions (T&amp;D)'!$C$23,Model!$AE$2866)</f>
        <v>-0.01184202054</v>
      </c>
      <c r="AT2949" s="374"/>
      <c r="AU2949" s="374"/>
      <c r="AV2949" s="374"/>
      <c r="AW2949" s="374"/>
      <c r="AX2949" s="374"/>
      <c r="AY2949" s="374"/>
      <c r="AZ2949" s="374"/>
      <c r="BA2949" s="374"/>
      <c r="BB2949" s="374"/>
      <c r="BC2949" s="374"/>
      <c r="BD2949" s="32"/>
      <c r="BE2949" s="32"/>
      <c r="BF2949" s="32"/>
      <c r="BG2949" s="32"/>
      <c r="BH2949" s="32"/>
      <c r="BI2949" s="32"/>
      <c r="BJ2949" s="32"/>
      <c r="BK2949" s="32"/>
      <c r="BL2949" s="32"/>
      <c r="BM2949" s="32"/>
      <c r="BN2949" s="32"/>
      <c r="BO2949" s="32"/>
      <c r="BP2949" s="32"/>
      <c r="BQ2949" s="32"/>
      <c r="BR2949" s="32"/>
      <c r="BS2949" s="32"/>
      <c r="BT2949" s="32"/>
      <c r="BU2949" s="32"/>
      <c r="BV2949" s="32"/>
      <c r="BW2949" s="32"/>
      <c r="BX2949" s="32"/>
      <c r="BY2949" s="32"/>
      <c r="BZ2949" s="32"/>
      <c r="CA2949" s="32"/>
      <c r="CB2949" s="32"/>
      <c r="CC2949" s="32"/>
      <c r="CD2949" s="32"/>
    </row>
    <row r="2950" ht="15.75" hidden="1" customHeight="1" outlineLevel="1">
      <c r="A2950" s="365"/>
      <c r="B2950" s="38"/>
      <c r="C2950" s="374"/>
      <c r="D2950" s="374"/>
      <c r="E2950" s="374"/>
      <c r="F2950" s="374"/>
      <c r="G2950" s="374"/>
      <c r="H2950" s="374"/>
      <c r="I2950" s="374"/>
      <c r="J2950" s="374"/>
      <c r="K2950" s="374"/>
      <c r="L2950" s="374"/>
      <c r="M2950" s="374"/>
      <c r="N2950" s="374"/>
      <c r="O2950" s="374"/>
      <c r="P2950" s="374"/>
      <c r="Q2950" s="374"/>
      <c r="R2950" s="374"/>
      <c r="S2950" s="38"/>
      <c r="T2950" s="38"/>
      <c r="U2950" s="38"/>
      <c r="V2950" s="38"/>
      <c r="W2950" s="38"/>
      <c r="X2950" s="32"/>
      <c r="Y2950" s="32"/>
      <c r="Z2950" s="32"/>
      <c r="AA2950" s="32"/>
      <c r="AB2950" s="32"/>
      <c r="AC2950" s="32"/>
      <c r="AD2950" s="32"/>
      <c r="AE2950" s="32"/>
      <c r="AF2950" s="373">
        <f>IPMT('Assumptions (T&amp;D)'!$C$20,Model!W$1,'Assumptions (T&amp;D)'!$C$23,Model!$AF$2866)</f>
        <v>-0.1345734083</v>
      </c>
      <c r="AG2950" s="373">
        <f>IPMT('Assumptions (T&amp;D)'!$C$20,Model!X$1,'Assumptions (T&amp;D)'!$C$23,Model!$AF$2866)</f>
        <v>-0.1282186993</v>
      </c>
      <c r="AH2950" s="373">
        <f>IPMT('Assumptions (T&amp;D)'!$C$20,Model!Y$1,'Assumptions (T&amp;D)'!$C$23,Model!$AF$2866)</f>
        <v>-0.1215621416</v>
      </c>
      <c r="AI2950" s="373">
        <f>IPMT('Assumptions (T&amp;D)'!$C$20,Model!Z$1,'Assumptions (T&amp;D)'!$C$23,Model!$AF$2866)</f>
        <v>-0.1145893974</v>
      </c>
      <c r="AJ2950" s="373">
        <f>IPMT('Assumptions (T&amp;D)'!$C$20,Model!AA$1,'Assumptions (T&amp;D)'!$C$23,Model!$AF$2866)</f>
        <v>-0.1072854479</v>
      </c>
      <c r="AK2950" s="373">
        <f>IPMT('Assumptions (T&amp;D)'!$C$20,Model!AB$1,'Assumptions (T&amp;D)'!$C$23,Model!$AF$2866)</f>
        <v>-0.09963456081</v>
      </c>
      <c r="AL2950" s="373">
        <f>IPMT('Assumptions (T&amp;D)'!$C$20,Model!AC$1,'Assumptions (T&amp;D)'!$C$23,Model!$AF$2866)</f>
        <v>-0.09162025655</v>
      </c>
      <c r="AM2950" s="373">
        <f>IPMT('Assumptions (T&amp;D)'!$C$20,Model!AD$1,'Assumptions (T&amp;D)'!$C$23,Model!$AF$2866)</f>
        <v>-0.08322527284</v>
      </c>
      <c r="AN2950" s="373">
        <f>IPMT('Assumptions (T&amp;D)'!$C$20,Model!AE$1,'Assumptions (T&amp;D)'!$C$23,Model!$AF$2866)</f>
        <v>-0.07443152741</v>
      </c>
      <c r="AO2950" s="373">
        <f>IPMT('Assumptions (T&amp;D)'!$C$20,Model!AF$1,'Assumptions (T&amp;D)'!$C$23,Model!$AF$2866)</f>
        <v>-0.06522007906</v>
      </c>
      <c r="AP2950" s="373">
        <f>IPMT('Assumptions (T&amp;D)'!$C$20,Model!AG$1,'Assumptions (T&amp;D)'!$C$23,Model!$AF$2866)</f>
        <v>-0.05557108693</v>
      </c>
      <c r="AQ2950" s="373">
        <f>IPMT('Assumptions (T&amp;D)'!$C$20,Model!AH$1,'Assumptions (T&amp;D)'!$C$23,Model!$AF$2866)</f>
        <v>-0.04546376766</v>
      </c>
      <c r="AR2950" s="373">
        <f>IPMT('Assumptions (T&amp;D)'!$C$20,Model!AI$1,'Assumptions (T&amp;D)'!$C$23,Model!$AF$2866)</f>
        <v>-0.03487635073</v>
      </c>
      <c r="AS2950" s="373">
        <f>IPMT('Assumptions (T&amp;D)'!$C$20,Model!AJ$1,'Assumptions (T&amp;D)'!$C$23,Model!$AF$2866)</f>
        <v>-0.02378603149</v>
      </c>
      <c r="AT2950" s="373">
        <f>IPMT('Assumptions (T&amp;D)'!$C$20,Model!AK$1,'Assumptions (T&amp;D)'!$C$23,Model!$AF$2866)</f>
        <v>-0.0121689221</v>
      </c>
      <c r="AU2950" s="374"/>
      <c r="AV2950" s="374"/>
      <c r="AW2950" s="374"/>
      <c r="AX2950" s="374"/>
      <c r="AY2950" s="374"/>
      <c r="AZ2950" s="374"/>
      <c r="BA2950" s="374"/>
      <c r="BB2950" s="374"/>
      <c r="BC2950" s="374"/>
      <c r="BD2950" s="374"/>
      <c r="BE2950" s="32"/>
      <c r="BF2950" s="32"/>
      <c r="BG2950" s="32"/>
      <c r="BH2950" s="32"/>
      <c r="BI2950" s="32"/>
      <c r="BJ2950" s="32"/>
      <c r="BK2950" s="32"/>
      <c r="BL2950" s="32"/>
      <c r="BM2950" s="32"/>
      <c r="BN2950" s="32"/>
      <c r="BO2950" s="32"/>
      <c r="BP2950" s="32"/>
      <c r="BQ2950" s="32"/>
      <c r="BR2950" s="32"/>
      <c r="BS2950" s="32"/>
      <c r="BT2950" s="32"/>
      <c r="BU2950" s="32"/>
      <c r="BV2950" s="32"/>
      <c r="BW2950" s="32"/>
      <c r="BX2950" s="32"/>
      <c r="BY2950" s="32"/>
      <c r="BZ2950" s="32"/>
      <c r="CA2950" s="32"/>
      <c r="CB2950" s="32"/>
      <c r="CC2950" s="32"/>
      <c r="CD2950" s="32"/>
    </row>
    <row r="2951" ht="15.75" hidden="1" customHeight="1" outlineLevel="1">
      <c r="A2951" s="365"/>
      <c r="B2951" s="38"/>
      <c r="C2951" s="374"/>
      <c r="D2951" s="374"/>
      <c r="E2951" s="374"/>
      <c r="F2951" s="374"/>
      <c r="G2951" s="374"/>
      <c r="H2951" s="374"/>
      <c r="I2951" s="374"/>
      <c r="J2951" s="374"/>
      <c r="K2951" s="374"/>
      <c r="L2951" s="374"/>
      <c r="M2951" s="374"/>
      <c r="N2951" s="374"/>
      <c r="O2951" s="374"/>
      <c r="P2951" s="374"/>
      <c r="Q2951" s="374"/>
      <c r="R2951" s="374"/>
      <c r="S2951" s="38"/>
      <c r="T2951" s="38"/>
      <c r="U2951" s="38"/>
      <c r="V2951" s="38"/>
      <c r="W2951" s="38"/>
      <c r="X2951" s="32"/>
      <c r="Y2951" s="32"/>
      <c r="Z2951" s="32"/>
      <c r="AA2951" s="32"/>
      <c r="AB2951" s="32"/>
      <c r="AC2951" s="32"/>
      <c r="AD2951" s="32"/>
      <c r="AE2951" s="32"/>
      <c r="AF2951" s="32"/>
      <c r="AG2951" s="373">
        <f>IPMT('Assumptions (T&amp;D)'!$C$20,Model!W$1,'Assumptions (T&amp;D)'!$C$23,Model!$AG$2866)</f>
        <v>-0.1382802517</v>
      </c>
      <c r="AH2951" s="373">
        <f>IPMT('Assumptions (T&amp;D)'!$C$20,Model!X$1,'Assumptions (T&amp;D)'!$C$23,Model!$AG$2866)</f>
        <v>-0.1317505013</v>
      </c>
      <c r="AI2951" s="373">
        <f>IPMT('Assumptions (T&amp;D)'!$C$20,Model!Y$1,'Assumptions (T&amp;D)'!$C$23,Model!$AG$2866)</f>
        <v>-0.1249105878</v>
      </c>
      <c r="AJ2951" s="373">
        <f>IPMT('Assumptions (T&amp;D)'!$C$20,Model!Z$1,'Assumptions (T&amp;D)'!$C$23,Model!$AG$2866)</f>
        <v>-0.1177457785</v>
      </c>
      <c r="AK2951" s="373">
        <f>IPMT('Assumptions (T&amp;D)'!$C$20,Model!AA$1,'Assumptions (T&amp;D)'!$C$23,Model!$AG$2866)</f>
        <v>-0.1102406406</v>
      </c>
      <c r="AL2951" s="373">
        <f>IPMT('Assumptions (T&amp;D)'!$C$20,Model!AB$1,'Assumptions (T&amp;D)'!$C$23,Model!$AG$2866)</f>
        <v>-0.1023790087</v>
      </c>
      <c r="AM2951" s="373">
        <f>IPMT('Assumptions (T&amp;D)'!$C$20,Model!AC$1,'Assumptions (T&amp;D)'!$C$23,Model!$AG$2866)</f>
        <v>-0.09414394936</v>
      </c>
      <c r="AN2951" s="373">
        <f>IPMT('Assumptions (T&amp;D)'!$C$20,Model!AD$1,'Assumptions (T&amp;D)'!$C$23,Model!$AG$2866)</f>
        <v>-0.08551772464</v>
      </c>
      <c r="AO2951" s="373">
        <f>IPMT('Assumptions (T&amp;D)'!$C$20,Model!AE$1,'Assumptions (T&amp;D)'!$C$23,Model!$AG$2866)</f>
        <v>-0.07648175426</v>
      </c>
      <c r="AP2951" s="373">
        <f>IPMT('Assumptions (T&amp;D)'!$C$20,Model!AF$1,'Assumptions (T&amp;D)'!$C$23,Model!$AG$2866)</f>
        <v>-0.06701657528</v>
      </c>
      <c r="AQ2951" s="373">
        <f>IPMT('Assumptions (T&amp;D)'!$C$20,Model!AG$1,'Assumptions (T&amp;D)'!$C$23,Model!$AG$2866)</f>
        <v>-0.0571018003</v>
      </c>
      <c r="AR2951" s="373">
        <f>IPMT('Assumptions (T&amp;D)'!$C$20,Model!AH$1,'Assumptions (T&amp;D)'!$C$23,Model!$AG$2866)</f>
        <v>-0.04671607351</v>
      </c>
      <c r="AS2951" s="373">
        <f>IPMT('Assumptions (T&amp;D)'!$C$20,Model!AI$1,'Assumptions (T&amp;D)'!$C$23,Model!$AG$2866)</f>
        <v>-0.0358370247</v>
      </c>
      <c r="AT2951" s="373">
        <f>IPMT('Assumptions (T&amp;D)'!$C$20,Model!AJ$1,'Assumptions (T&amp;D)'!$C$23,Model!$AG$2866)</f>
        <v>-0.02444122106</v>
      </c>
      <c r="AU2951" s="373">
        <f>IPMT('Assumptions (T&amp;D)'!$C$20,Model!AK$1,'Assumptions (T&amp;D)'!$C$23,Model!$AG$2866)</f>
        <v>-0.01250411676</v>
      </c>
      <c r="AV2951" s="374"/>
      <c r="AW2951" s="374"/>
      <c r="AX2951" s="374"/>
      <c r="AY2951" s="374"/>
      <c r="AZ2951" s="374"/>
      <c r="BA2951" s="374"/>
      <c r="BB2951" s="374"/>
      <c r="BC2951" s="374"/>
      <c r="BD2951" s="374"/>
      <c r="BE2951" s="374"/>
      <c r="BF2951" s="32"/>
      <c r="BG2951" s="32"/>
      <c r="BH2951" s="32"/>
      <c r="BI2951" s="32"/>
      <c r="BJ2951" s="32"/>
      <c r="BK2951" s="32"/>
      <c r="BL2951" s="32"/>
      <c r="BM2951" s="32"/>
      <c r="BN2951" s="32"/>
      <c r="BO2951" s="32"/>
      <c r="BP2951" s="32"/>
      <c r="BQ2951" s="32"/>
      <c r="BR2951" s="32"/>
      <c r="BS2951" s="32"/>
      <c r="BT2951" s="32"/>
      <c r="BU2951" s="32"/>
      <c r="BV2951" s="32"/>
      <c r="BW2951" s="32"/>
      <c r="BX2951" s="32"/>
      <c r="BY2951" s="32"/>
      <c r="BZ2951" s="32"/>
      <c r="CA2951" s="32"/>
      <c r="CB2951" s="32"/>
      <c r="CC2951" s="32"/>
      <c r="CD2951" s="32"/>
    </row>
    <row r="2952" ht="15.75" hidden="1" customHeight="1" outlineLevel="1">
      <c r="A2952" s="365"/>
      <c r="B2952" s="38"/>
      <c r="C2952" s="374"/>
      <c r="D2952" s="374"/>
      <c r="E2952" s="374"/>
      <c r="F2952" s="374"/>
      <c r="G2952" s="374"/>
      <c r="H2952" s="374"/>
      <c r="I2952" s="374"/>
      <c r="J2952" s="374"/>
      <c r="K2952" s="374"/>
      <c r="L2952" s="374"/>
      <c r="M2952" s="374"/>
      <c r="N2952" s="374"/>
      <c r="O2952" s="374"/>
      <c r="P2952" s="374"/>
      <c r="Q2952" s="374"/>
      <c r="R2952" s="374"/>
      <c r="S2952" s="38"/>
      <c r="T2952" s="38"/>
      <c r="U2952" s="38"/>
      <c r="V2952" s="38"/>
      <c r="W2952" s="38"/>
      <c r="X2952" s="32"/>
      <c r="Y2952" s="32"/>
      <c r="Z2952" s="32"/>
      <c r="AA2952" s="32"/>
      <c r="AB2952" s="32"/>
      <c r="AC2952" s="32"/>
      <c r="AD2952" s="32"/>
      <c r="AE2952" s="32"/>
      <c r="AF2952" s="32"/>
      <c r="AG2952" s="32"/>
      <c r="AH2952" s="373">
        <f>IPMT('Assumptions (T&amp;D)'!$C$20,Model!W$1,'Assumptions (T&amp;D)'!$C$23,Model!$AH$2866)</f>
        <v>-0.1420810191</v>
      </c>
      <c r="AI2952" s="373">
        <f>IPMT('Assumptions (T&amp;D)'!$C$20,Model!X$1,'Assumptions (T&amp;D)'!$C$23,Model!$AH$2866)</f>
        <v>-0.1353717922</v>
      </c>
      <c r="AJ2952" s="373">
        <f>IPMT('Assumptions (T&amp;D)'!$C$20,Model!Y$1,'Assumptions (T&amp;D)'!$C$23,Model!$AH$2866)</f>
        <v>-0.128343877</v>
      </c>
      <c r="AK2952" s="373">
        <f>IPMT('Assumptions (T&amp;D)'!$C$20,Model!Z$1,'Assumptions (T&amp;D)'!$C$23,Model!$AH$2866)</f>
        <v>-0.1209821359</v>
      </c>
      <c r="AL2952" s="373">
        <f>IPMT('Assumptions (T&amp;D)'!$C$20,Model!AA$1,'Assumptions (T&amp;D)'!$C$23,Model!$AH$2866)</f>
        <v>-0.113270712</v>
      </c>
      <c r="AM2952" s="373">
        <f>IPMT('Assumptions (T&amp;D)'!$C$20,Model!AB$1,'Assumptions (T&amp;D)'!$C$23,Model!$AH$2866)</f>
        <v>-0.1051929955</v>
      </c>
      <c r="AN2952" s="373">
        <f>IPMT('Assumptions (T&amp;D)'!$C$20,Model!AC$1,'Assumptions (T&amp;D)'!$C$23,Model!$AH$2866)</f>
        <v>-0.0967315875</v>
      </c>
      <c r="AO2952" s="373">
        <f>IPMT('Assumptions (T&amp;D)'!$C$20,Model!AD$1,'Assumptions (T&amp;D)'!$C$23,Model!$AH$2866)</f>
        <v>-0.0878682626</v>
      </c>
      <c r="AP2952" s="373">
        <f>IPMT('Assumptions (T&amp;D)'!$C$20,Model!AE$1,'Assumptions (T&amp;D)'!$C$23,Model!$AH$2866)</f>
        <v>-0.07858392977</v>
      </c>
      <c r="AQ2952" s="373">
        <f>IPMT('Assumptions (T&amp;D)'!$C$20,Model!AF$1,'Assumptions (T&amp;D)'!$C$23,Model!$AH$2866)</f>
        <v>-0.06885859113</v>
      </c>
      <c r="AR2952" s="373">
        <f>IPMT('Assumptions (T&amp;D)'!$C$20,Model!AG$1,'Assumptions (T&amp;D)'!$C$23,Model!$AH$2866)</f>
        <v>-0.0586712989</v>
      </c>
      <c r="AS2952" s="373">
        <f>IPMT('Assumptions (T&amp;D)'!$C$20,Model!AH$1,'Assumptions (T&amp;D)'!$C$23,Model!$AH$2866)</f>
        <v>-0.04800011029</v>
      </c>
      <c r="AT2952" s="373">
        <f>IPMT('Assumptions (T&amp;D)'!$C$20,Model!AI$1,'Assumptions (T&amp;D)'!$C$23,Model!$AH$2866)</f>
        <v>-0.03682204023</v>
      </c>
      <c r="AU2952" s="373">
        <f>IPMT('Assumptions (T&amp;D)'!$C$20,Model!AJ$1,'Assumptions (T&amp;D)'!$C$23,Model!$AH$2866)</f>
        <v>-0.02511301183</v>
      </c>
      <c r="AV2952" s="373">
        <f>IPMT('Assumptions (T&amp;D)'!$C$20,Model!AK$1,'Assumptions (T&amp;D)'!$C$23,Model!$AH$2866)</f>
        <v>-0.01284780459</v>
      </c>
      <c r="AW2952" s="374"/>
      <c r="AX2952" s="374"/>
      <c r="AY2952" s="374"/>
      <c r="AZ2952" s="374"/>
      <c r="BA2952" s="374"/>
      <c r="BB2952" s="374"/>
      <c r="BC2952" s="374"/>
      <c r="BD2952" s="374"/>
      <c r="BE2952" s="374"/>
      <c r="BF2952" s="374"/>
      <c r="BG2952" s="32"/>
      <c r="BH2952" s="32"/>
      <c r="BI2952" s="32"/>
      <c r="BJ2952" s="32"/>
      <c r="BK2952" s="32"/>
      <c r="BL2952" s="32"/>
      <c r="BM2952" s="32"/>
      <c r="BN2952" s="32"/>
      <c r="BO2952" s="32"/>
      <c r="BP2952" s="32"/>
      <c r="BQ2952" s="32"/>
      <c r="BR2952" s="32"/>
      <c r="BS2952" s="32"/>
      <c r="BT2952" s="32"/>
      <c r="BU2952" s="32"/>
      <c r="BV2952" s="32"/>
      <c r="BW2952" s="32"/>
      <c r="BX2952" s="32"/>
      <c r="BY2952" s="32"/>
      <c r="BZ2952" s="32"/>
      <c r="CA2952" s="32"/>
      <c r="CB2952" s="32"/>
      <c r="CC2952" s="32"/>
      <c r="CD2952" s="32"/>
    </row>
    <row r="2953" ht="15.75" hidden="1" customHeight="1" outlineLevel="1">
      <c r="A2953" s="365"/>
      <c r="B2953" s="38"/>
      <c r="C2953" s="374"/>
      <c r="D2953" s="374"/>
      <c r="E2953" s="374"/>
      <c r="F2953" s="374"/>
      <c r="G2953" s="374"/>
      <c r="H2953" s="374"/>
      <c r="I2953" s="374"/>
      <c r="J2953" s="374"/>
      <c r="K2953" s="374"/>
      <c r="L2953" s="374"/>
      <c r="M2953" s="374"/>
      <c r="N2953" s="374"/>
      <c r="O2953" s="374"/>
      <c r="P2953" s="374"/>
      <c r="Q2953" s="374"/>
      <c r="R2953" s="374"/>
      <c r="S2953" s="38"/>
      <c r="T2953" s="38"/>
      <c r="U2953" s="38"/>
      <c r="V2953" s="38"/>
      <c r="W2953" s="38"/>
      <c r="X2953" s="32"/>
      <c r="Y2953" s="32"/>
      <c r="Z2953" s="32"/>
      <c r="AA2953" s="32"/>
      <c r="AB2953" s="32"/>
      <c r="AC2953" s="32"/>
      <c r="AD2953" s="32"/>
      <c r="AE2953" s="32"/>
      <c r="AF2953" s="32"/>
      <c r="AG2953" s="32"/>
      <c r="AH2953" s="32"/>
      <c r="AI2953" s="373">
        <f>IPMT('Assumptions (T&amp;D)'!$C$20,Model!W$1,'Assumptions (T&amp;D)'!$C$23,Model!$AI$2866)</f>
        <v>-0.1459779745</v>
      </c>
      <c r="AJ2953" s="373">
        <f>IPMT('Assumptions (T&amp;D)'!$C$20,Model!X$1,'Assumptions (T&amp;D)'!$C$23,Model!$AI$2866)</f>
        <v>-0.139084729</v>
      </c>
      <c r="AK2953" s="373">
        <f>IPMT('Assumptions (T&amp;D)'!$C$20,Model!Y$1,'Assumptions (T&amp;D)'!$C$23,Model!$AI$2866)</f>
        <v>-0.1318640542</v>
      </c>
      <c r="AL2953" s="373">
        <f>IPMT('Assumptions (T&amp;D)'!$C$20,Model!Z$1,'Assumptions (T&amp;D)'!$C$23,Model!$AI$2866)</f>
        <v>-0.1243003975</v>
      </c>
      <c r="AM2953" s="373">
        <f>IPMT('Assumptions (T&amp;D)'!$C$20,Model!AA$1,'Assumptions (T&amp;D)'!$C$23,Model!$AI$2866)</f>
        <v>-0.116377467</v>
      </c>
      <c r="AN2953" s="373">
        <f>IPMT('Assumptions (T&amp;D)'!$C$20,Model!AB$1,'Assumptions (T&amp;D)'!$C$23,Model!$AI$2866)</f>
        <v>-0.1080781973</v>
      </c>
      <c r="AO2953" s="373">
        <f>IPMT('Assumptions (T&amp;D)'!$C$20,Model!AC$1,'Assumptions (T&amp;D)'!$C$23,Model!$AI$2866)</f>
        <v>-0.09938471237</v>
      </c>
      <c r="AP2953" s="373">
        <f>IPMT('Assumptions (T&amp;D)'!$C$20,Model!AD$1,'Assumptions (T&amp;D)'!$C$23,Model!$AI$2866)</f>
        <v>-0.09027828686</v>
      </c>
      <c r="AQ2953" s="373">
        <f>IPMT('Assumptions (T&amp;D)'!$C$20,Model!AE$1,'Assumptions (T&amp;D)'!$C$23,Model!$AI$2866)</f>
        <v>-0.08073930614</v>
      </c>
      <c r="AR2953" s="373">
        <f>IPMT('Assumptions (T&amp;D)'!$C$20,Model!AF$1,'Assumptions (T&amp;D)'!$C$23,Model!$AI$2866)</f>
        <v>-0.07074722384</v>
      </c>
      <c r="AS2953" s="373">
        <f>IPMT('Assumptions (T&amp;D)'!$C$20,Model!AG$1,'Assumptions (T&amp;D)'!$C$23,Model!$AI$2866)</f>
        <v>-0.06028051763</v>
      </c>
      <c r="AT2953" s="373">
        <f>IPMT('Assumptions (T&amp;D)'!$C$20,Model!AH$1,'Assumptions (T&amp;D)'!$C$23,Model!$AI$2866)</f>
        <v>-0.04931664287</v>
      </c>
      <c r="AU2953" s="373">
        <f>IPMT('Assumptions (T&amp;D)'!$C$20,Model!AI$1,'Assumptions (T&amp;D)'!$C$23,Model!$AI$2866)</f>
        <v>-0.03783198406</v>
      </c>
      <c r="AV2953" s="373">
        <f>IPMT('Assumptions (T&amp;D)'!$C$20,Model!AJ$1,'Assumptions (T&amp;D)'!$C$23,Model!$AI$2866)</f>
        <v>-0.02580180396</v>
      </c>
      <c r="AW2953" s="373">
        <f>IPMT('Assumptions (T&amp;D)'!$C$20,Model!AK$1,'Assumptions (T&amp;D)'!$C$23,Model!$AI$2866)</f>
        <v>-0.01320019031</v>
      </c>
      <c r="AX2953" s="374"/>
      <c r="AY2953" s="374"/>
      <c r="AZ2953" s="374"/>
      <c r="BA2953" s="374"/>
      <c r="BB2953" s="374"/>
      <c r="BC2953" s="374"/>
      <c r="BD2953" s="374"/>
      <c r="BE2953" s="374"/>
      <c r="BF2953" s="374"/>
      <c r="BG2953" s="374"/>
      <c r="BH2953" s="32"/>
      <c r="BI2953" s="32"/>
      <c r="BJ2953" s="32"/>
      <c r="BK2953" s="32"/>
      <c r="BL2953" s="32"/>
      <c r="BM2953" s="32"/>
      <c r="BN2953" s="32"/>
      <c r="BO2953" s="32"/>
      <c r="BP2953" s="32"/>
      <c r="BQ2953" s="32"/>
      <c r="BR2953" s="32"/>
      <c r="BS2953" s="32"/>
      <c r="BT2953" s="32"/>
      <c r="BU2953" s="32"/>
      <c r="BV2953" s="32"/>
      <c r="BW2953" s="32"/>
      <c r="BX2953" s="32"/>
      <c r="BY2953" s="32"/>
      <c r="BZ2953" s="32"/>
      <c r="CA2953" s="32"/>
      <c r="CB2953" s="32"/>
      <c r="CC2953" s="32"/>
      <c r="CD2953" s="32"/>
    </row>
    <row r="2954" ht="15.75" hidden="1" customHeight="1" outlineLevel="1">
      <c r="A2954" s="365"/>
      <c r="B2954" s="38"/>
      <c r="C2954" s="374"/>
      <c r="D2954" s="374"/>
      <c r="E2954" s="374"/>
      <c r="F2954" s="374"/>
      <c r="G2954" s="374"/>
      <c r="H2954" s="374"/>
      <c r="I2954" s="374"/>
      <c r="J2954" s="374"/>
      <c r="K2954" s="374"/>
      <c r="L2954" s="374"/>
      <c r="M2954" s="374"/>
      <c r="N2954" s="374"/>
      <c r="O2954" s="374"/>
      <c r="P2954" s="374"/>
      <c r="Q2954" s="374"/>
      <c r="R2954" s="374"/>
      <c r="S2954" s="38"/>
      <c r="T2954" s="38"/>
      <c r="U2954" s="38"/>
      <c r="V2954" s="38"/>
      <c r="W2954" s="38"/>
      <c r="X2954" s="32"/>
      <c r="Y2954" s="32"/>
      <c r="Z2954" s="32"/>
      <c r="AA2954" s="32"/>
      <c r="AB2954" s="32"/>
      <c r="AC2954" s="32"/>
      <c r="AD2954" s="32"/>
      <c r="AE2954" s="32"/>
      <c r="AF2954" s="32"/>
      <c r="AG2954" s="32"/>
      <c r="AH2954" s="32"/>
      <c r="AI2954" s="32"/>
      <c r="AJ2954" s="373">
        <f>IPMT('Assumptions (T&amp;D)'!$C$20,Model!W$1,'Assumptions (T&amp;D)'!$C$23,Model!$AJ$2866)</f>
        <v>-0.1499734348</v>
      </c>
      <c r="AK2954" s="373">
        <f>IPMT('Assumptions (T&amp;D)'!$C$20,Model!X$1,'Assumptions (T&amp;D)'!$C$23,Model!$AJ$2866)</f>
        <v>-0.1428915191</v>
      </c>
      <c r="AL2954" s="373">
        <f>IPMT('Assumptions (T&amp;D)'!$C$20,Model!Y$1,'Assumptions (T&amp;D)'!$C$23,Model!$AJ$2866)</f>
        <v>-0.1354732123</v>
      </c>
      <c r="AM2954" s="373">
        <f>IPMT('Assumptions (T&amp;D)'!$C$20,Model!Z$1,'Assumptions (T&amp;D)'!$C$23,Model!$AJ$2866)</f>
        <v>-0.127702536</v>
      </c>
      <c r="AN2954" s="373">
        <f>IPMT('Assumptions (T&amp;D)'!$C$20,Model!AA$1,'Assumptions (T&amp;D)'!$C$23,Model!$AJ$2866)</f>
        <v>-0.1195627526</v>
      </c>
      <c r="AO2954" s="373">
        <f>IPMT('Assumptions (T&amp;D)'!$C$20,Model!AB$1,'Assumptions (T&amp;D)'!$C$23,Model!$AJ$2866)</f>
        <v>-0.1110363295</v>
      </c>
      <c r="AP2954" s="373">
        <f>IPMT('Assumptions (T&amp;D)'!$C$20,Model!AC$1,'Assumptions (T&amp;D)'!$C$23,Model!$AJ$2866)</f>
        <v>-0.1021049013</v>
      </c>
      <c r="AQ2954" s="373">
        <f>IPMT('Assumptions (T&amp;D)'!$C$20,Model!AD$1,'Assumptions (T&amp;D)'!$C$23,Model!$AJ$2866)</f>
        <v>-0.09274923023</v>
      </c>
      <c r="AR2954" s="373">
        <f>IPMT('Assumptions (T&amp;D)'!$C$20,Model!AE$1,'Assumptions (T&amp;D)'!$C$23,Model!$AJ$2866)</f>
        <v>-0.08294916479</v>
      </c>
      <c r="AS2954" s="373">
        <f>IPMT('Assumptions (T&amp;D)'!$C$20,Model!AF$1,'Assumptions (T&amp;D)'!$C$23,Model!$AJ$2866)</f>
        <v>-0.07268359625</v>
      </c>
      <c r="AT2954" s="373">
        <f>IPMT('Assumptions (T&amp;D)'!$C$20,Model!AG$1,'Assumptions (T&amp;D)'!$C$23,Model!$AJ$2866)</f>
        <v>-0.0619304132</v>
      </c>
      <c r="AU2954" s="373">
        <f>IPMT('Assumptions (T&amp;D)'!$C$20,Model!AH$1,'Assumptions (T&amp;D)'!$C$23,Model!$AJ$2866)</f>
        <v>-0.05066645395</v>
      </c>
      <c r="AV2954" s="373">
        <f>IPMT('Assumptions (T&amp;D)'!$C$20,Model!AI$1,'Assumptions (T&amp;D)'!$C$23,Model!$AJ$2866)</f>
        <v>-0.03886745664</v>
      </c>
      <c r="AW2954" s="373">
        <f>IPMT('Assumptions (T&amp;D)'!$C$20,Model!AJ$1,'Assumptions (T&amp;D)'!$C$23,Model!$AJ$2866)</f>
        <v>-0.02650800695</v>
      </c>
      <c r="AX2954" s="373">
        <f>IPMT('Assumptions (T&amp;D)'!$C$20,Model!AK$1,'Assumptions (T&amp;D)'!$C$23,Model!$AJ$2866)</f>
        <v>-0.01356148341</v>
      </c>
      <c r="AY2954" s="374"/>
      <c r="AZ2954" s="374"/>
      <c r="BA2954" s="374"/>
      <c r="BB2954" s="374"/>
      <c r="BC2954" s="374"/>
      <c r="BD2954" s="374"/>
      <c r="BE2954" s="374"/>
      <c r="BF2954" s="374"/>
      <c r="BG2954" s="374"/>
      <c r="BH2954" s="374"/>
      <c r="BI2954" s="32"/>
      <c r="BJ2954" s="32"/>
      <c r="BK2954" s="32"/>
      <c r="BL2954" s="32"/>
      <c r="BM2954" s="32"/>
      <c r="BN2954" s="32"/>
      <c r="BO2954" s="32"/>
      <c r="BP2954" s="32"/>
      <c r="BQ2954" s="32"/>
      <c r="BR2954" s="32"/>
      <c r="BS2954" s="32"/>
      <c r="BT2954" s="32"/>
      <c r="BU2954" s="32"/>
      <c r="BV2954" s="32"/>
      <c r="BW2954" s="32"/>
      <c r="BX2954" s="32"/>
      <c r="BY2954" s="32"/>
      <c r="BZ2954" s="32"/>
      <c r="CA2954" s="32"/>
      <c r="CB2954" s="32"/>
      <c r="CC2954" s="32"/>
      <c r="CD2954" s="32"/>
    </row>
    <row r="2955" ht="15.75" hidden="1" customHeight="1" outlineLevel="1">
      <c r="A2955" s="365"/>
      <c r="B2955" s="38"/>
      <c r="C2955" s="374"/>
      <c r="D2955" s="374"/>
      <c r="E2955" s="374"/>
      <c r="F2955" s="374"/>
      <c r="G2955" s="374"/>
      <c r="H2955" s="374"/>
      <c r="I2955" s="374"/>
      <c r="J2955" s="374"/>
      <c r="K2955" s="374"/>
      <c r="L2955" s="374"/>
      <c r="M2955" s="374"/>
      <c r="N2955" s="374"/>
      <c r="O2955" s="374"/>
      <c r="P2955" s="374"/>
      <c r="Q2955" s="374"/>
      <c r="R2955" s="374"/>
      <c r="S2955" s="38"/>
      <c r="T2955" s="38"/>
      <c r="U2955" s="38"/>
      <c r="V2955" s="38"/>
      <c r="W2955" s="38"/>
      <c r="X2955" s="32"/>
      <c r="Y2955" s="32"/>
      <c r="Z2955" s="32"/>
      <c r="AA2955" s="32"/>
      <c r="AB2955" s="32"/>
      <c r="AC2955" s="32"/>
      <c r="AD2955" s="32"/>
      <c r="AE2955" s="32"/>
      <c r="AF2955" s="32"/>
      <c r="AG2955" s="32"/>
      <c r="AH2955" s="32"/>
      <c r="AI2955" s="32"/>
      <c r="AJ2955" s="32"/>
      <c r="AK2955" s="373">
        <f>IPMT('Assumptions (T&amp;D)'!$C$20,Model!W$1,'Assumptions (T&amp;D)'!$C$23,Model!$AK$2866)</f>
        <v>-0.1540697707</v>
      </c>
      <c r="AL2955" s="373">
        <f>IPMT('Assumptions (T&amp;D)'!$C$20,Model!X$1,'Assumptions (T&amp;D)'!$C$23,Model!$AK$2866)</f>
        <v>-0.1467944213</v>
      </c>
      <c r="AM2955" s="373">
        <f>IPMT('Assumptions (T&amp;D)'!$C$20,Model!Y$1,'Assumptions (T&amp;D)'!$C$23,Model!$AK$2866)</f>
        <v>-0.1391734929</v>
      </c>
      <c r="AN2955" s="373">
        <f>IPMT('Assumptions (T&amp;D)'!$C$20,Model!Z$1,'Assumptions (T&amp;D)'!$C$23,Model!$AK$2866)</f>
        <v>-0.1311905703</v>
      </c>
      <c r="AO2955" s="373">
        <f>IPMT('Assumptions (T&amp;D)'!$C$20,Model!AA$1,'Assumptions (T&amp;D)'!$C$23,Model!$AK$2866)</f>
        <v>-0.122828459</v>
      </c>
      <c r="AP2955" s="373">
        <f>IPMT('Assumptions (T&amp;D)'!$C$20,Model!AB$1,'Assumptions (T&amp;D)'!$C$23,Model!$AK$2866)</f>
        <v>-0.1140691473</v>
      </c>
      <c r="AQ2955" s="373">
        <f>IPMT('Assumptions (T&amp;D)'!$C$20,Model!AC$1,'Assumptions (T&amp;D)'!$C$23,Model!$AK$2866)</f>
        <v>-0.1048937684</v>
      </c>
      <c r="AR2955" s="373">
        <f>IPMT('Assumptions (T&amp;D)'!$C$20,Model!AD$1,'Assumptions (T&amp;D)'!$C$23,Model!$AK$2866)</f>
        <v>-0.09528255889</v>
      </c>
      <c r="AS2955" s="373">
        <f>IPMT('Assumptions (T&amp;D)'!$C$20,Model!AE$1,'Assumptions (T&amp;D)'!$C$23,Model!$AK$2866)</f>
        <v>-0.08521481698</v>
      </c>
      <c r="AT2955" s="373">
        <f>IPMT('Assumptions (T&amp;D)'!$C$20,Model!AF$1,'Assumptions (T&amp;D)'!$C$23,Model!$AK$2866)</f>
        <v>-0.07466885734</v>
      </c>
      <c r="AU2955" s="373">
        <f>IPMT('Assumptions (T&amp;D)'!$C$20,Model!AG$1,'Assumptions (T&amp;D)'!$C$23,Model!$AK$2866)</f>
        <v>-0.0636219646</v>
      </c>
      <c r="AV2955" s="373">
        <f>IPMT('Assumptions (T&amp;D)'!$C$20,Model!AH$1,'Assumptions (T&amp;D)'!$C$23,Model!$AK$2866)</f>
        <v>-0.05205034446</v>
      </c>
      <c r="AW2955" s="373">
        <f>IPMT('Assumptions (T&amp;D)'!$C$20,Model!AI$1,'Assumptions (T&amp;D)'!$C$23,Model!$AK$2866)</f>
        <v>-0.03992907237</v>
      </c>
      <c r="AX2955" s="373">
        <f>IPMT('Assumptions (T&amp;D)'!$C$20,Model!AJ$1,'Assumptions (T&amp;D)'!$C$23,Model!$AK$2866)</f>
        <v>-0.02723203985</v>
      </c>
      <c r="AY2955" s="373">
        <f>IPMT('Assumptions (T&amp;D)'!$C$20,Model!AK$1,'Assumptions (T&amp;D)'!$C$23,Model!$AK$2866)</f>
        <v>-0.01393189829</v>
      </c>
      <c r="AZ2955" s="374"/>
      <c r="BA2955" s="374"/>
      <c r="BB2955" s="374"/>
      <c r="BC2955" s="374"/>
      <c r="BD2955" s="374"/>
      <c r="BE2955" s="374"/>
      <c r="BF2955" s="374"/>
      <c r="BG2955" s="374"/>
      <c r="BH2955" s="374"/>
      <c r="BI2955" s="374"/>
      <c r="BJ2955" s="32"/>
      <c r="BK2955" s="32"/>
      <c r="BL2955" s="32"/>
      <c r="BM2955" s="32"/>
      <c r="BN2955" s="32"/>
      <c r="BO2955" s="32"/>
      <c r="BP2955" s="32"/>
      <c r="BQ2955" s="32"/>
      <c r="BR2955" s="32"/>
      <c r="BS2955" s="32"/>
      <c r="BT2955" s="32"/>
      <c r="BU2955" s="32"/>
      <c r="BV2955" s="32"/>
      <c r="BW2955" s="32"/>
      <c r="BX2955" s="32"/>
      <c r="BY2955" s="32"/>
      <c r="BZ2955" s="32"/>
      <c r="CA2955" s="32"/>
      <c r="CB2955" s="32"/>
      <c r="CC2955" s="32"/>
      <c r="CD2955" s="32"/>
    </row>
    <row r="2956" ht="15.75" hidden="1" customHeight="1" outlineLevel="1">
      <c r="A2956" s="365"/>
      <c r="B2956" s="38"/>
      <c r="C2956" s="374"/>
      <c r="D2956" s="374"/>
      <c r="E2956" s="374"/>
      <c r="F2956" s="374"/>
      <c r="G2956" s="374"/>
      <c r="H2956" s="374"/>
      <c r="I2956" s="374"/>
      <c r="J2956" s="374"/>
      <c r="K2956" s="374"/>
      <c r="L2956" s="374"/>
      <c r="M2956" s="374"/>
      <c r="N2956" s="374"/>
      <c r="O2956" s="374"/>
      <c r="P2956" s="374"/>
      <c r="Q2956" s="374"/>
      <c r="R2956" s="374"/>
      <c r="S2956" s="38"/>
      <c r="T2956" s="38"/>
      <c r="U2956" s="38"/>
      <c r="V2956" s="38"/>
      <c r="W2956" s="38"/>
      <c r="X2956" s="32"/>
      <c r="Y2956" s="32"/>
      <c r="Z2956" s="32"/>
      <c r="AA2956" s="32"/>
      <c r="AB2956" s="32"/>
      <c r="AC2956" s="32"/>
      <c r="AD2956" s="32"/>
      <c r="AE2956" s="32"/>
      <c r="AF2956" s="32"/>
      <c r="AG2956" s="32"/>
      <c r="AH2956" s="32"/>
      <c r="AI2956" s="32"/>
      <c r="AJ2956" s="32"/>
      <c r="AK2956" s="32"/>
      <c r="AL2956" s="373">
        <f>IPMT('Assumptions (T&amp;D)'!$C$20,Model!W$1,'Assumptions (T&amp;D)'!$C$23,Model!$AL$2866)</f>
        <v>-0.1582694082</v>
      </c>
      <c r="AM2956" s="373">
        <f>IPMT('Assumptions (T&amp;D)'!$C$20,Model!X$1,'Assumptions (T&amp;D)'!$C$23,Model!$AL$2866)</f>
        <v>-0.1507957472</v>
      </c>
      <c r="AN2956" s="373">
        <f>IPMT('Assumptions (T&amp;D)'!$C$20,Model!Y$1,'Assumptions (T&amp;D)'!$C$23,Model!$AL$2866)</f>
        <v>-0.1429670873</v>
      </c>
      <c r="AO2956" s="373">
        <f>IPMT('Assumptions (T&amp;D)'!$C$20,Model!Z$1,'Assumptions (T&amp;D)'!$C$23,Model!$AL$2866)</f>
        <v>-0.1347665661</v>
      </c>
      <c r="AP2956" s="373">
        <f>IPMT('Assumptions (T&amp;D)'!$C$20,Model!AA$1,'Assumptions (T&amp;D)'!$C$23,Model!$AL$2866)</f>
        <v>-0.1261765201</v>
      </c>
      <c r="AQ2956" s="373">
        <f>IPMT('Assumptions (T&amp;D)'!$C$20,Model!AB$1,'Assumptions (T&amp;D)'!$C$23,Model!$AL$2866)</f>
        <v>-0.1171784469</v>
      </c>
      <c r="AR2956" s="373">
        <f>IPMT('Assumptions (T&amp;D)'!$C$20,Model!AC$1,'Assumptions (T&amp;D)'!$C$23,Model!$AL$2866)</f>
        <v>-0.1077529652</v>
      </c>
      <c r="AS2956" s="373">
        <f>IPMT('Assumptions (T&amp;D)'!$C$20,Model!AD$1,'Assumptions (T&amp;D)'!$C$23,Model!$AL$2866)</f>
        <v>-0.09787977319</v>
      </c>
      <c r="AT2956" s="373">
        <f>IPMT('Assumptions (T&amp;D)'!$C$20,Model!AE$1,'Assumptions (T&amp;D)'!$C$23,Model!$AL$2866)</f>
        <v>-0.08753760453</v>
      </c>
      <c r="AU2956" s="373">
        <f>IPMT('Assumptions (T&amp;D)'!$C$20,Model!AF$1,'Assumptions (T&amp;D)'!$C$23,Model!$AL$2866)</f>
        <v>-0.07670418286</v>
      </c>
      <c r="AV2956" s="373">
        <f>IPMT('Assumptions (T&amp;D)'!$C$20,Model!AG$1,'Assumptions (T&amp;D)'!$C$23,Model!$AL$2866)</f>
        <v>-0.06535617366</v>
      </c>
      <c r="AW2956" s="373">
        <f>IPMT('Assumptions (T&amp;D)'!$C$20,Model!AH$1,'Assumptions (T&amp;D)'!$C$23,Model!$AL$2866)</f>
        <v>-0.05346913402</v>
      </c>
      <c r="AX2956" s="373">
        <f>IPMT('Assumptions (T&amp;D)'!$C$20,Model!AI$1,'Assumptions (T&amp;D)'!$C$23,Model!$AL$2866)</f>
        <v>-0.04101745999</v>
      </c>
      <c r="AY2956" s="373">
        <f>IPMT('Assumptions (T&amp;D)'!$C$20,Model!AJ$1,'Assumptions (T&amp;D)'!$C$23,Model!$AL$2866)</f>
        <v>-0.02797433145</v>
      </c>
      <c r="AZ2956" s="373">
        <f>IPMT('Assumptions (T&amp;D)'!$C$20,Model!AK$1,'Assumptions (T&amp;D)'!$C$23,Model!$AL$2866)</f>
        <v>-0.01431165431</v>
      </c>
      <c r="BA2956" s="374"/>
      <c r="BB2956" s="374"/>
      <c r="BC2956" s="374"/>
      <c r="BD2956" s="374"/>
      <c r="BE2956" s="374"/>
      <c r="BF2956" s="374"/>
      <c r="BG2956" s="374"/>
      <c r="BH2956" s="374"/>
      <c r="BI2956" s="374"/>
      <c r="BJ2956" s="374"/>
      <c r="BK2956" s="32"/>
      <c r="BL2956" s="32"/>
      <c r="BM2956" s="32"/>
      <c r="BN2956" s="32"/>
      <c r="BO2956" s="32"/>
      <c r="BP2956" s="32"/>
      <c r="BQ2956" s="32"/>
      <c r="BR2956" s="32"/>
      <c r="BS2956" s="32"/>
      <c r="BT2956" s="32"/>
      <c r="BU2956" s="32"/>
      <c r="BV2956" s="32"/>
      <c r="BW2956" s="32"/>
      <c r="BX2956" s="32"/>
      <c r="BY2956" s="32"/>
      <c r="BZ2956" s="32"/>
      <c r="CA2956" s="32"/>
      <c r="CB2956" s="32"/>
      <c r="CC2956" s="32"/>
      <c r="CD2956" s="32"/>
    </row>
    <row r="2957" ht="15.75" hidden="1" customHeight="1" outlineLevel="1">
      <c r="A2957" s="365"/>
      <c r="B2957" s="38"/>
      <c r="C2957" s="374"/>
      <c r="D2957" s="374"/>
      <c r="E2957" s="374"/>
      <c r="F2957" s="374"/>
      <c r="G2957" s="374"/>
      <c r="H2957" s="374"/>
      <c r="I2957" s="374"/>
      <c r="J2957" s="374"/>
      <c r="K2957" s="374"/>
      <c r="L2957" s="374"/>
      <c r="M2957" s="374"/>
      <c r="N2957" s="374"/>
      <c r="O2957" s="374"/>
      <c r="P2957" s="374"/>
      <c r="Q2957" s="374"/>
      <c r="R2957" s="374"/>
      <c r="S2957" s="38"/>
      <c r="T2957" s="38"/>
      <c r="U2957" s="38"/>
      <c r="V2957" s="38"/>
      <c r="W2957" s="38"/>
      <c r="X2957" s="32"/>
      <c r="Y2957" s="32"/>
      <c r="Z2957" s="32"/>
      <c r="AA2957" s="32"/>
      <c r="AB2957" s="32"/>
      <c r="AC2957" s="32"/>
      <c r="AD2957" s="32"/>
      <c r="AE2957" s="32"/>
      <c r="AF2957" s="32"/>
      <c r="AG2957" s="32"/>
      <c r="AH2957" s="32"/>
      <c r="AI2957" s="32"/>
      <c r="AJ2957" s="32"/>
      <c r="AK2957" s="32"/>
      <c r="AL2957" s="32"/>
      <c r="AM2957" s="373">
        <f>IPMT('Assumptions (T&amp;D)'!$C$20,Model!W$1,'Assumptions (T&amp;D)'!$C$23,Model!$AM$2866)</f>
        <v>-0.1625748299</v>
      </c>
      <c r="AN2957" s="373">
        <f>IPMT('Assumptions (T&amp;D)'!$C$20,Model!X$1,'Assumptions (T&amp;D)'!$C$23,Model!$AM$2866)</f>
        <v>-0.154897862</v>
      </c>
      <c r="AO2957" s="373">
        <f>IPMT('Assumptions (T&amp;D)'!$C$20,Model!Y$1,'Assumptions (T&amp;D)'!$C$23,Model!$AM$2866)</f>
        <v>-0.1468562381</v>
      </c>
      <c r="AP2957" s="373">
        <f>IPMT('Assumptions (T&amp;D)'!$C$20,Model!Z$1,'Assumptions (T&amp;D)'!$C$23,Model!$AM$2866)</f>
        <v>-0.1384326371</v>
      </c>
      <c r="AQ2957" s="373">
        <f>IPMT('Assumptions (T&amp;D)'!$C$20,Model!AA$1,'Assumptions (T&amp;D)'!$C$23,Model!$AM$2866)</f>
        <v>-0.1296089151</v>
      </c>
      <c r="AR2957" s="373">
        <f>IPMT('Assumptions (T&amp;D)'!$C$20,Model!AB$1,'Assumptions (T&amp;D)'!$C$23,Model!$AM$2866)</f>
        <v>-0.1203660662</v>
      </c>
      <c r="AS2957" s="373">
        <f>IPMT('Assumptions (T&amp;D)'!$C$20,Model!AC$1,'Assumptions (T&amp;D)'!$C$23,Model!$AM$2866)</f>
        <v>-0.1106841821</v>
      </c>
      <c r="AT2957" s="373">
        <f>IPMT('Assumptions (T&amp;D)'!$C$20,Model!AD$1,'Assumptions (T&amp;D)'!$C$23,Model!$AM$2866)</f>
        <v>-0.1005424084</v>
      </c>
      <c r="AU2957" s="373">
        <f>IPMT('Assumptions (T&amp;D)'!$C$20,Model!AE$1,'Assumptions (T&amp;D)'!$C$23,Model!$AM$2866)</f>
        <v>-0.08991890049</v>
      </c>
      <c r="AV2957" s="373">
        <f>IPMT('Assumptions (T&amp;D)'!$C$20,Model!AF$1,'Assumptions (T&amp;D)'!$C$23,Model!$AM$2866)</f>
        <v>-0.07879077594</v>
      </c>
      <c r="AW2957" s="373">
        <f>IPMT('Assumptions (T&amp;D)'!$C$20,Model!AG$1,'Assumptions (T&amp;D)'!$C$23,Model!$AM$2866)</f>
        <v>-0.06713406549</v>
      </c>
      <c r="AX2957" s="373">
        <f>IPMT('Assumptions (T&amp;D)'!$C$20,Model!AH$1,'Assumptions (T&amp;D)'!$C$23,Model!$AM$2866)</f>
        <v>-0.05492366128</v>
      </c>
      <c r="AY2957" s="373">
        <f>IPMT('Assumptions (T&amp;D)'!$C$20,Model!AI$1,'Assumptions (T&amp;D)'!$C$23,Model!$AM$2866)</f>
        <v>-0.04213326288</v>
      </c>
      <c r="AZ2957" s="373">
        <f>IPMT('Assumptions (T&amp;D)'!$C$20,Model!AJ$1,'Assumptions (T&amp;D)'!$C$23,Model!$AM$2866)</f>
        <v>-0.02873532055</v>
      </c>
      <c r="BA2957" s="373">
        <f>IPMT('Assumptions (T&amp;D)'!$C$20,Model!AK$1,'Assumptions (T&amp;D)'!$C$23,Model!$AM$2866)</f>
        <v>-0.01470097596</v>
      </c>
      <c r="BB2957" s="374"/>
      <c r="BC2957" s="374"/>
      <c r="BD2957" s="374"/>
      <c r="BE2957" s="374"/>
      <c r="BF2957" s="374"/>
      <c r="BG2957" s="374"/>
      <c r="BH2957" s="374"/>
      <c r="BI2957" s="374"/>
      <c r="BJ2957" s="374"/>
      <c r="BK2957" s="374"/>
      <c r="BL2957" s="32"/>
      <c r="BM2957" s="32"/>
      <c r="BN2957" s="32"/>
      <c r="BO2957" s="32"/>
      <c r="BP2957" s="32"/>
      <c r="BQ2957" s="32"/>
      <c r="BR2957" s="32"/>
      <c r="BS2957" s="32"/>
      <c r="BT2957" s="32"/>
      <c r="BU2957" s="32"/>
      <c r="BV2957" s="32"/>
      <c r="BW2957" s="32"/>
      <c r="BX2957" s="32"/>
      <c r="BY2957" s="32"/>
      <c r="BZ2957" s="32"/>
      <c r="CA2957" s="32"/>
      <c r="CB2957" s="32"/>
      <c r="CC2957" s="32"/>
      <c r="CD2957" s="32"/>
    </row>
    <row r="2958" ht="15.75" hidden="1" customHeight="1" outlineLevel="1">
      <c r="A2958" s="365"/>
      <c r="B2958" s="38"/>
      <c r="C2958" s="374"/>
      <c r="D2958" s="374"/>
      <c r="E2958" s="374"/>
      <c r="F2958" s="374"/>
      <c r="G2958" s="374"/>
      <c r="H2958" s="374"/>
      <c r="I2958" s="374"/>
      <c r="J2958" s="374"/>
      <c r="K2958" s="374"/>
      <c r="L2958" s="374"/>
      <c r="M2958" s="374"/>
      <c r="N2958" s="374"/>
      <c r="O2958" s="374"/>
      <c r="P2958" s="374"/>
      <c r="Q2958" s="374"/>
      <c r="R2958" s="374"/>
      <c r="S2958" s="38"/>
      <c r="T2958" s="38"/>
      <c r="U2958" s="38"/>
      <c r="V2958" s="38"/>
      <c r="W2958" s="38"/>
      <c r="X2958" s="32"/>
      <c r="Y2958" s="32"/>
      <c r="Z2958" s="32"/>
      <c r="AA2958" s="32"/>
      <c r="AB2958" s="32"/>
      <c r="AC2958" s="32"/>
      <c r="AD2958" s="32"/>
      <c r="AE2958" s="32"/>
      <c r="AF2958" s="32"/>
      <c r="AG2958" s="32"/>
      <c r="AH2958" s="32"/>
      <c r="AI2958" s="32"/>
      <c r="AJ2958" s="32"/>
      <c r="AK2958" s="32"/>
      <c r="AL2958" s="32"/>
      <c r="AM2958" s="32"/>
      <c r="AN2958" s="373">
        <f>IPMT('Assumptions (T&amp;D)'!$C$20,Model!W$1,'Assumptions (T&amp;D)'!$C$23,Model!$AN$2866)</f>
        <v>-0.166988576</v>
      </c>
      <c r="AO2958" s="373">
        <f>IPMT('Assumptions (T&amp;D)'!$C$20,Model!X$1,'Assumptions (T&amp;D)'!$C$23,Model!$AN$2866)</f>
        <v>-0.159103186</v>
      </c>
      <c r="AP2958" s="373">
        <f>IPMT('Assumptions (T&amp;D)'!$C$20,Model!Y$1,'Assumptions (T&amp;D)'!$C$23,Model!$AN$2866)</f>
        <v>-0.15084324</v>
      </c>
      <c r="AQ2958" s="373">
        <f>IPMT('Assumptions (T&amp;D)'!$C$20,Model!Z$1,'Assumptions (T&amp;D)'!$C$23,Model!$AN$2866)</f>
        <v>-0.1421909465</v>
      </c>
      <c r="AR2958" s="373">
        <f>IPMT('Assumptions (T&amp;D)'!$C$20,Model!AA$1,'Assumptions (T&amp;D)'!$C$23,Model!$AN$2866)</f>
        <v>-0.1331276692</v>
      </c>
      <c r="AS2958" s="373">
        <f>IPMT('Assumptions (T&amp;D)'!$C$20,Model!AB$1,'Assumptions (T&amp;D)'!$C$23,Model!$AN$2866)</f>
        <v>-0.1236338861</v>
      </c>
      <c r="AT2958" s="373">
        <f>IPMT('Assumptions (T&amp;D)'!$C$20,Model!AC$1,'Assumptions (T&amp;D)'!$C$23,Model!$AN$2866)</f>
        <v>-0.1136891483</v>
      </c>
      <c r="AU2958" s="373">
        <f>IPMT('Assumptions (T&amp;D)'!$C$20,Model!AD$1,'Assumptions (T&amp;D)'!$C$23,Model!$AN$2866)</f>
        <v>-0.1032720355</v>
      </c>
      <c r="AV2958" s="373">
        <f>IPMT('Assumptions (T&amp;D)'!$C$20,Model!AE$1,'Assumptions (T&amp;D)'!$C$23,Model!$AN$2866)</f>
        <v>-0.09236010984</v>
      </c>
      <c r="AW2958" s="373">
        <f>IPMT('Assumptions (T&amp;D)'!$C$20,Model!AF$1,'Assumptions (T&amp;D)'!$C$23,Model!$AN$2866)</f>
        <v>-0.08092986771</v>
      </c>
      <c r="AX2958" s="373">
        <f>IPMT('Assumptions (T&amp;D)'!$C$20,Model!AG$1,'Assumptions (T&amp;D)'!$C$23,Model!$AN$2866)</f>
        <v>-0.06895668907</v>
      </c>
      <c r="AY2958" s="373">
        <f>IPMT('Assumptions (T&amp;D)'!$C$20,Model!AH$1,'Assumptions (T&amp;D)'!$C$23,Model!$AN$2866)</f>
        <v>-0.05641478445</v>
      </c>
      <c r="AZ2958" s="373">
        <f>IPMT('Assumptions (T&amp;D)'!$C$20,Model!AI$1,'Assumptions (T&amp;D)'!$C$23,Model!$AN$2866)</f>
        <v>-0.04327713936</v>
      </c>
      <c r="BA2958" s="373">
        <f>IPMT('Assumptions (T&amp;D)'!$C$20,Model!AJ$1,'Assumptions (T&amp;D)'!$C$23,Model!$AN$2866)</f>
        <v>-0.02951545613</v>
      </c>
      <c r="BB2958" s="373">
        <f>IPMT('Assumptions (T&amp;D)'!$C$20,Model!AK$1,'Assumptions (T&amp;D)'!$C$23,Model!$AN$2866)</f>
        <v>-0.01510009294</v>
      </c>
      <c r="BC2958" s="374"/>
      <c r="BD2958" s="374"/>
      <c r="BE2958" s="374"/>
      <c r="BF2958" s="374"/>
      <c r="BG2958" s="374"/>
      <c r="BH2958" s="374"/>
      <c r="BI2958" s="374"/>
      <c r="BJ2958" s="374"/>
      <c r="BK2958" s="374"/>
      <c r="BL2958" s="374"/>
      <c r="BM2958" s="32"/>
      <c r="BN2958" s="32"/>
      <c r="BO2958" s="32"/>
      <c r="BP2958" s="32"/>
      <c r="BQ2958" s="32"/>
      <c r="BR2958" s="32"/>
      <c r="BS2958" s="32"/>
      <c r="BT2958" s="32"/>
      <c r="BU2958" s="32"/>
      <c r="BV2958" s="32"/>
      <c r="BW2958" s="32"/>
      <c r="BX2958" s="32"/>
      <c r="BY2958" s="32"/>
      <c r="BZ2958" s="32"/>
      <c r="CA2958" s="32"/>
      <c r="CB2958" s="32"/>
      <c r="CC2958" s="32"/>
      <c r="CD2958" s="32"/>
    </row>
    <row r="2959" ht="15.75" hidden="1" customHeight="1" outlineLevel="1">
      <c r="A2959" s="365"/>
      <c r="B2959" s="38"/>
      <c r="C2959" s="374"/>
      <c r="D2959" s="374"/>
      <c r="E2959" s="374"/>
      <c r="F2959" s="374"/>
      <c r="G2959" s="374"/>
      <c r="H2959" s="374"/>
      <c r="I2959" s="374"/>
      <c r="J2959" s="374"/>
      <c r="K2959" s="374"/>
      <c r="L2959" s="374"/>
      <c r="M2959" s="374"/>
      <c r="N2959" s="374"/>
      <c r="O2959" s="374"/>
      <c r="P2959" s="374"/>
      <c r="Q2959" s="374"/>
      <c r="R2959" s="374"/>
      <c r="S2959" s="38"/>
      <c r="T2959" s="38"/>
      <c r="U2959" s="38"/>
      <c r="V2959" s="38"/>
      <c r="W2959" s="38"/>
      <c r="X2959" s="32"/>
      <c r="Y2959" s="32"/>
      <c r="Z2959" s="32"/>
      <c r="AA2959" s="32"/>
      <c r="AB2959" s="32"/>
      <c r="AC2959" s="32"/>
      <c r="AD2959" s="32"/>
      <c r="AE2959" s="32"/>
      <c r="AF2959" s="32"/>
      <c r="AG2959" s="32"/>
      <c r="AH2959" s="32"/>
      <c r="AI2959" s="32"/>
      <c r="AJ2959" s="32"/>
      <c r="AK2959" s="32"/>
      <c r="AL2959" s="32"/>
      <c r="AM2959" s="32"/>
      <c r="AN2959" s="32"/>
      <c r="AO2959" s="373">
        <f>IPMT('Assumptions (T&amp;D)'!$C$20,Model!W$1,'Assumptions (T&amp;D)'!$C$23,Model!$AO$2866)</f>
        <v>-0.1715132458</v>
      </c>
      <c r="AP2959" s="373">
        <f>IPMT('Assumptions (T&amp;D)'!$C$20,Model!X$1,'Assumptions (T&amp;D)'!$C$23,Model!$AO$2866)</f>
        <v>-0.1634141958</v>
      </c>
      <c r="AQ2959" s="373">
        <f>IPMT('Assumptions (T&amp;D)'!$C$20,Model!Y$1,'Assumptions (T&amp;D)'!$C$23,Model!$AO$2866)</f>
        <v>-0.1549304409</v>
      </c>
      <c r="AR2959" s="373">
        <f>IPMT('Assumptions (T&amp;D)'!$C$20,Model!Z$1,'Assumptions (T&amp;D)'!$C$23,Model!$AO$2866)</f>
        <v>-0.1460437076</v>
      </c>
      <c r="AS2959" s="373">
        <f>IPMT('Assumptions (T&amp;D)'!$C$20,Model!AA$1,'Assumptions (T&amp;D)'!$C$23,Model!$AO$2866)</f>
        <v>-0.1367348545</v>
      </c>
      <c r="AT2959" s="373">
        <f>IPMT('Assumptions (T&amp;D)'!$C$20,Model!AB$1,'Assumptions (T&amp;D)'!$C$23,Model!$AO$2866)</f>
        <v>-0.1269838309</v>
      </c>
      <c r="AU2959" s="373">
        <f>IPMT('Assumptions (T&amp;D)'!$C$20,Model!AC$1,'Assumptions (T&amp;D)'!$C$23,Model!$AO$2866)</f>
        <v>-0.1167696337</v>
      </c>
      <c r="AV2959" s="373">
        <f>IPMT('Assumptions (T&amp;D)'!$C$20,Model!AD$1,'Assumptions (T&amp;D)'!$C$23,Model!$AO$2866)</f>
        <v>-0.106070262</v>
      </c>
      <c r="AW2959" s="373">
        <f>IPMT('Assumptions (T&amp;D)'!$C$20,Model!AE$1,'Assumptions (T&amp;D)'!$C$23,Model!$AO$2866)</f>
        <v>-0.09486267028</v>
      </c>
      <c r="AX2959" s="373">
        <f>IPMT('Assumptions (T&amp;D)'!$C$20,Model!AF$1,'Assumptions (T&amp;D)'!$C$23,Model!$AO$2866)</f>
        <v>-0.08312271791</v>
      </c>
      <c r="AY2959" s="373">
        <f>IPMT('Assumptions (T&amp;D)'!$C$20,Model!AG$1,'Assumptions (T&amp;D)'!$C$23,Model!$AO$2866)</f>
        <v>-0.07082511779</v>
      </c>
      <c r="AZ2959" s="373">
        <f>IPMT('Assumptions (T&amp;D)'!$C$20,Model!AH$1,'Assumptions (T&amp;D)'!$C$23,Model!$AO$2866)</f>
        <v>-0.05794338168</v>
      </c>
      <c r="BA2959" s="373">
        <f>IPMT('Assumptions (T&amp;D)'!$C$20,Model!AI$1,'Assumptions (T&amp;D)'!$C$23,Model!$AO$2866)</f>
        <v>-0.04444976309</v>
      </c>
      <c r="BB2959" s="373">
        <f>IPMT('Assumptions (T&amp;D)'!$C$20,Model!AJ$1,'Assumptions (T&amp;D)'!$C$23,Model!$AO$2866)</f>
        <v>-0.03031519763</v>
      </c>
      <c r="BC2959" s="373">
        <f>IPMT('Assumptions (T&amp;D)'!$C$20,Model!AK$1,'Assumptions (T&amp;D)'!$C$23,Model!$AO$2866)</f>
        <v>-0.0155092403</v>
      </c>
      <c r="BD2959" s="374"/>
      <c r="BE2959" s="374"/>
      <c r="BF2959" s="374"/>
      <c r="BG2959" s="374"/>
      <c r="BH2959" s="374"/>
      <c r="BI2959" s="374"/>
      <c r="BJ2959" s="374"/>
      <c r="BK2959" s="374"/>
      <c r="BL2959" s="374"/>
      <c r="BM2959" s="374"/>
      <c r="BN2959" s="32"/>
      <c r="BO2959" s="32"/>
      <c r="BP2959" s="32"/>
      <c r="BQ2959" s="32"/>
      <c r="BR2959" s="32"/>
      <c r="BS2959" s="32"/>
      <c r="BT2959" s="32"/>
      <c r="BU2959" s="32"/>
      <c r="BV2959" s="32"/>
      <c r="BW2959" s="32"/>
      <c r="BX2959" s="32"/>
      <c r="BY2959" s="32"/>
      <c r="BZ2959" s="32"/>
      <c r="CA2959" s="32"/>
      <c r="CB2959" s="32"/>
      <c r="CC2959" s="32"/>
      <c r="CD2959" s="32"/>
    </row>
    <row r="2960" ht="15.75" hidden="1" customHeight="1" outlineLevel="1">
      <c r="A2960" s="365"/>
      <c r="B2960" s="38"/>
      <c r="C2960" s="374"/>
      <c r="D2960" s="374"/>
      <c r="E2960" s="374"/>
      <c r="F2960" s="374"/>
      <c r="G2960" s="374"/>
      <c r="H2960" s="374"/>
      <c r="I2960" s="374"/>
      <c r="J2960" s="374"/>
      <c r="K2960" s="374"/>
      <c r="L2960" s="374"/>
      <c r="M2960" s="374"/>
      <c r="N2960" s="374"/>
      <c r="O2960" s="374"/>
      <c r="P2960" s="374"/>
      <c r="Q2960" s="374"/>
      <c r="R2960" s="374"/>
      <c r="S2960" s="38"/>
      <c r="T2960" s="38"/>
      <c r="U2960" s="38"/>
      <c r="V2960" s="38"/>
      <c r="W2960" s="38"/>
      <c r="X2960" s="32"/>
      <c r="Y2960" s="32"/>
      <c r="Z2960" s="32"/>
      <c r="AA2960" s="32"/>
      <c r="AB2960" s="32"/>
      <c r="AC2960" s="32"/>
      <c r="AD2960" s="32"/>
      <c r="AE2960" s="32"/>
      <c r="AF2960" s="32"/>
      <c r="AG2960" s="32"/>
      <c r="AH2960" s="32"/>
      <c r="AI2960" s="32"/>
      <c r="AJ2960" s="32"/>
      <c r="AK2960" s="32"/>
      <c r="AL2960" s="32"/>
      <c r="AM2960" s="32"/>
      <c r="AN2960" s="32"/>
      <c r="AO2960" s="32"/>
      <c r="AP2960" s="373">
        <f>IPMT('Assumptions (T&amp;D)'!$C$20,Model!W$1,'Assumptions (T&amp;D)'!$C$23,Model!$AP$2866)</f>
        <v>-0.1761514992</v>
      </c>
      <c r="AQ2960" s="373">
        <f>IPMT('Assumptions (T&amp;D)'!$C$20,Model!X$1,'Assumptions (T&amp;D)'!$C$23,Model!$AP$2866)</f>
        <v>-0.1678334256</v>
      </c>
      <c r="AR2960" s="373">
        <f>IPMT('Assumptions (T&amp;D)'!$C$20,Model!Y$1,'Assumptions (T&amp;D)'!$C$23,Model!$AP$2866)</f>
        <v>-0.1591202435</v>
      </c>
      <c r="AS2960" s="373">
        <f>IPMT('Assumptions (T&amp;D)'!$C$20,Model!Z$1,'Assumptions (T&amp;D)'!$C$23,Model!$AP$2866)</f>
        <v>-0.1499931852</v>
      </c>
      <c r="AT2960" s="373">
        <f>IPMT('Assumptions (T&amp;D)'!$C$20,Model!AA$1,'Assumptions (T&amp;D)'!$C$23,Model!$AP$2866)</f>
        <v>-0.1404325916</v>
      </c>
      <c r="AU2960" s="373">
        <f>IPMT('Assumptions (T&amp;D)'!$C$20,Model!AB$1,'Assumptions (T&amp;D)'!$C$23,Model!$AP$2866)</f>
        <v>-0.1304178699</v>
      </c>
      <c r="AV2960" s="373">
        <f>IPMT('Assumptions (T&amp;D)'!$C$20,Model!AC$1,'Assumptions (T&amp;D)'!$C$23,Model!$AP$2866)</f>
        <v>-0.1199274489</v>
      </c>
      <c r="AW2960" s="373">
        <f>IPMT('Assumptions (T&amp;D)'!$C$20,Model!AD$1,'Assumptions (T&amp;D)'!$C$23,Model!$AP$2866)</f>
        <v>-0.1089387329</v>
      </c>
      <c r="AX2960" s="373">
        <f>IPMT('Assumptions (T&amp;D)'!$C$20,Model!AE$1,'Assumptions (T&amp;D)'!$C$23,Model!$AP$2866)</f>
        <v>-0.09742805288</v>
      </c>
      <c r="AY2960" s="373">
        <f>IPMT('Assumptions (T&amp;D)'!$C$20,Model!AF$1,'Assumptions (T&amp;D)'!$C$23,Model!$AP$2866)</f>
        <v>-0.08537061556</v>
      </c>
      <c r="AZ2960" s="373">
        <f>IPMT('Assumptions (T&amp;D)'!$C$20,Model!AG$1,'Assumptions (T&amp;D)'!$C$23,Model!$AP$2866)</f>
        <v>-0.07274044997</v>
      </c>
      <c r="BA2960" s="373">
        <f>IPMT('Assumptions (T&amp;D)'!$C$20,Model!AH$1,'Assumptions (T&amp;D)'!$C$23,Model!$AP$2866)</f>
        <v>-0.05951035152</v>
      </c>
      <c r="BB2960" s="373">
        <f>IPMT('Assumptions (T&amp;D)'!$C$20,Model!AI$1,'Assumptions (T&amp;D)'!$C$23,Model!$AP$2866)</f>
        <v>-0.04565182338</v>
      </c>
      <c r="BC2960" s="373">
        <f>IPMT('Assumptions (T&amp;D)'!$C$20,Model!AJ$1,'Assumptions (T&amp;D)'!$C$23,Model!$AP$2866)</f>
        <v>-0.03113501516</v>
      </c>
      <c r="BD2960" s="373">
        <f>IPMT('Assumptions (T&amp;D)'!$C$20,Model!AK$1,'Assumptions (T&amp;D)'!$C$23,Model!$AP$2866)</f>
        <v>-0.01592865855</v>
      </c>
      <c r="BE2960" s="374"/>
      <c r="BF2960" s="374"/>
      <c r="BG2960" s="374"/>
      <c r="BH2960" s="374"/>
      <c r="BI2960" s="374"/>
      <c r="BJ2960" s="374"/>
      <c r="BK2960" s="374"/>
      <c r="BL2960" s="374"/>
      <c r="BM2960" s="374"/>
      <c r="BN2960" s="374"/>
      <c r="BO2960" s="32"/>
      <c r="BP2960" s="32"/>
      <c r="BQ2960" s="32"/>
      <c r="BR2960" s="32"/>
      <c r="BS2960" s="32"/>
      <c r="BT2960" s="32"/>
      <c r="BU2960" s="32"/>
      <c r="BV2960" s="32"/>
      <c r="BW2960" s="32"/>
      <c r="BX2960" s="32"/>
      <c r="BY2960" s="32"/>
      <c r="BZ2960" s="32"/>
      <c r="CA2960" s="32"/>
      <c r="CB2960" s="32"/>
      <c r="CC2960" s="32"/>
      <c r="CD2960" s="32"/>
    </row>
    <row r="2961" ht="15.75" hidden="1" customHeight="1" outlineLevel="1">
      <c r="A2961" s="365"/>
      <c r="B2961" s="38"/>
      <c r="C2961" s="374"/>
      <c r="D2961" s="374"/>
      <c r="E2961" s="374"/>
      <c r="F2961" s="374"/>
      <c r="G2961" s="374"/>
      <c r="H2961" s="374"/>
      <c r="I2961" s="374"/>
      <c r="J2961" s="374"/>
      <c r="K2961" s="374"/>
      <c r="L2961" s="374"/>
      <c r="M2961" s="374"/>
      <c r="N2961" s="374"/>
      <c r="O2961" s="374"/>
      <c r="P2961" s="374"/>
      <c r="Q2961" s="374"/>
      <c r="R2961" s="374"/>
      <c r="S2961" s="38"/>
      <c r="T2961" s="38"/>
      <c r="U2961" s="38"/>
      <c r="V2961" s="38"/>
      <c r="W2961" s="38"/>
      <c r="X2961" s="32"/>
      <c r="Y2961" s="32"/>
      <c r="Z2961" s="32"/>
      <c r="AA2961" s="32"/>
      <c r="AB2961" s="32"/>
      <c r="AC2961" s="32"/>
      <c r="AD2961" s="32"/>
      <c r="AE2961" s="32"/>
      <c r="AF2961" s="32"/>
      <c r="AG2961" s="32"/>
      <c r="AH2961" s="32"/>
      <c r="AI2961" s="32"/>
      <c r="AJ2961" s="32"/>
      <c r="AK2961" s="32"/>
      <c r="AL2961" s="32"/>
      <c r="AM2961" s="32"/>
      <c r="AN2961" s="32"/>
      <c r="AO2961" s="32"/>
      <c r="AP2961" s="32"/>
      <c r="AQ2961" s="373">
        <f>IPMT('Assumptions (T&amp;D)'!$C$20,Model!W$1,'Assumptions (T&amp;D)'!$C$23,Model!$AQ$2866)</f>
        <v>-0.1809060576</v>
      </c>
      <c r="AR2961" s="373">
        <f>IPMT('Assumptions (T&amp;D)'!$C$20,Model!X$1,'Assumptions (T&amp;D)'!$C$23,Model!$AQ$2866)</f>
        <v>-0.1723634683</v>
      </c>
      <c r="AS2961" s="373">
        <f>IPMT('Assumptions (T&amp;D)'!$C$20,Model!Y$1,'Assumptions (T&amp;D)'!$C$23,Model!$AQ$2866)</f>
        <v>-0.1634151061</v>
      </c>
      <c r="AT2961" s="373">
        <f>IPMT('Assumptions (T&amp;D)'!$C$20,Model!Z$1,'Assumptions (T&amp;D)'!$C$23,Model!$AQ$2866)</f>
        <v>-0.1540416966</v>
      </c>
      <c r="AU2961" s="373">
        <f>IPMT('Assumptions (T&amp;D)'!$C$20,Model!AA$1,'Assumptions (T&amp;D)'!$C$23,Model!$AQ$2866)</f>
        <v>-0.1442230502</v>
      </c>
      <c r="AV2961" s="373">
        <f>IPMT('Assumptions (T&amp;D)'!$C$20,Model!AB$1,'Assumptions (T&amp;D)'!$C$23,Model!$AQ$2866)</f>
        <v>-0.1339380181</v>
      </c>
      <c r="AW2961" s="373">
        <f>IPMT('Assumptions (T&amp;D)'!$C$20,Model!AC$1,'Assumptions (T&amp;D)'!$C$23,Model!$AQ$2866)</f>
        <v>-0.1231644469</v>
      </c>
      <c r="AX2961" s="373">
        <f>IPMT('Assumptions (T&amp;D)'!$C$20,Model!AD$1,'Assumptions (T&amp;D)'!$C$23,Model!$AQ$2866)</f>
        <v>-0.1118791312</v>
      </c>
      <c r="AY2961" s="373">
        <f>IPMT('Assumptions (T&amp;D)'!$C$20,Model!AE$1,'Assumptions (T&amp;D)'!$C$23,Model!$AQ$2866)</f>
        <v>-0.1000577629</v>
      </c>
      <c r="AZ2961" s="373">
        <f>IPMT('Assumptions (T&amp;D)'!$C$20,Model!AF$1,'Assumptions (T&amp;D)'!$C$23,Model!$AQ$2866)</f>
        <v>-0.08767487967</v>
      </c>
      <c r="BA2961" s="373">
        <f>IPMT('Assumptions (T&amp;D)'!$C$20,Model!AG$1,'Assumptions (T&amp;D)'!$C$23,Model!$AQ$2866)</f>
        <v>-0.07470380945</v>
      </c>
      <c r="BB2961" s="373">
        <f>IPMT('Assumptions (T&amp;D)'!$C$20,Model!AH$1,'Assumptions (T&amp;D)'!$C$23,Model!$AQ$2866)</f>
        <v>-0.06111661341</v>
      </c>
      <c r="BC2961" s="373">
        <f>IPMT('Assumptions (T&amp;D)'!$C$20,Model!AI$1,'Assumptions (T&amp;D)'!$C$23,Model!$AQ$2866)</f>
        <v>-0.04688402555</v>
      </c>
      <c r="BD2961" s="373">
        <f>IPMT('Assumptions (T&amp;D)'!$C$20,Model!AJ$1,'Assumptions (T&amp;D)'!$C$23,Model!$AQ$2866)</f>
        <v>-0.03197538977</v>
      </c>
      <c r="BE2961" s="373">
        <f>IPMT('Assumptions (T&amp;D)'!$C$20,Model!AK$1,'Assumptions (T&amp;D)'!$C$23,Model!$AQ$2866)</f>
        <v>-0.01635859379</v>
      </c>
      <c r="BF2961" s="374"/>
      <c r="BG2961" s="374"/>
      <c r="BH2961" s="374"/>
      <c r="BI2961" s="374"/>
      <c r="BJ2961" s="374"/>
      <c r="BK2961" s="374"/>
      <c r="BL2961" s="374"/>
      <c r="BM2961" s="374"/>
      <c r="BN2961" s="374"/>
      <c r="BO2961" s="374"/>
      <c r="BP2961" s="32"/>
      <c r="BQ2961" s="32"/>
      <c r="BR2961" s="32"/>
      <c r="BS2961" s="32"/>
      <c r="BT2961" s="32"/>
      <c r="BU2961" s="32"/>
      <c r="BV2961" s="32"/>
      <c r="BW2961" s="32"/>
      <c r="BX2961" s="32"/>
      <c r="BY2961" s="32"/>
      <c r="BZ2961" s="32"/>
      <c r="CA2961" s="32"/>
      <c r="CB2961" s="32"/>
      <c r="CC2961" s="32"/>
      <c r="CD2961" s="32"/>
    </row>
    <row r="2962" ht="15.75" hidden="1" customHeight="1" outlineLevel="1">
      <c r="A2962" s="365"/>
      <c r="B2962" s="38"/>
      <c r="C2962" s="374"/>
      <c r="D2962" s="374"/>
      <c r="E2962" s="374"/>
      <c r="F2962" s="374"/>
      <c r="G2962" s="374"/>
      <c r="H2962" s="374"/>
      <c r="I2962" s="374"/>
      <c r="J2962" s="374"/>
      <c r="K2962" s="374"/>
      <c r="L2962" s="374"/>
      <c r="M2962" s="374"/>
      <c r="N2962" s="374"/>
      <c r="O2962" s="374"/>
      <c r="P2962" s="374"/>
      <c r="Q2962" s="374"/>
      <c r="R2962" s="374"/>
      <c r="S2962" s="38"/>
      <c r="T2962" s="38"/>
      <c r="U2962" s="38"/>
      <c r="V2962" s="38"/>
      <c r="W2962" s="38"/>
      <c r="X2962" s="32"/>
      <c r="Y2962" s="32"/>
      <c r="Z2962" s="32"/>
      <c r="AA2962" s="32"/>
      <c r="AB2962" s="32"/>
      <c r="AC2962" s="32"/>
      <c r="AD2962" s="32"/>
      <c r="AE2962" s="32"/>
      <c r="AF2962" s="32"/>
      <c r="AG2962" s="32"/>
      <c r="AH2962" s="32"/>
      <c r="AI2962" s="32"/>
      <c r="AJ2962" s="32"/>
      <c r="AK2962" s="32"/>
      <c r="AL2962" s="32"/>
      <c r="AM2962" s="32"/>
      <c r="AN2962" s="32"/>
      <c r="AO2962" s="32"/>
      <c r="AP2962" s="32"/>
      <c r="AQ2962" s="32"/>
      <c r="AR2962" s="373">
        <f>IPMT('Assumptions (T&amp;D)'!$C$20,Model!W$1,'Assumptions (T&amp;D)'!$C$23,Model!$AR$2866)</f>
        <v>-0.1857797057</v>
      </c>
      <c r="AS2962" s="373">
        <f>IPMT('Assumptions (T&amp;D)'!$C$20,Model!X$1,'Assumptions (T&amp;D)'!$C$23,Model!$AR$2866)</f>
        <v>-0.1770069773</v>
      </c>
      <c r="AT2962" s="373">
        <f>IPMT('Assumptions (T&amp;D)'!$C$20,Model!Y$1,'Assumptions (T&amp;D)'!$C$23,Model!$AR$2866)</f>
        <v>-0.1678175442</v>
      </c>
      <c r="AU2962" s="373">
        <f>IPMT('Assumptions (T&amp;D)'!$C$20,Model!Z$1,'Assumptions (T&amp;D)'!$C$23,Model!$AR$2866)</f>
        <v>-0.1581916131</v>
      </c>
      <c r="AV2962" s="373">
        <f>IPMT('Assumptions (T&amp;D)'!$C$20,Model!AA$1,'Assumptions (T&amp;D)'!$C$23,Model!$AR$2866)</f>
        <v>-0.1481084502</v>
      </c>
      <c r="AW2962" s="373">
        <f>IPMT('Assumptions (T&amp;D)'!$C$20,Model!AB$1,'Assumptions (T&amp;D)'!$C$23,Model!$AR$2866)</f>
        <v>-0.1375463371</v>
      </c>
      <c r="AX2962" s="373">
        <f>IPMT('Assumptions (T&amp;D)'!$C$20,Model!AC$1,'Assumptions (T&amp;D)'!$C$23,Model!$AR$2866)</f>
        <v>-0.1264825237</v>
      </c>
      <c r="AY2962" s="373">
        <f>IPMT('Assumptions (T&amp;D)'!$C$20,Model!AD$1,'Assumptions (T&amp;D)'!$C$23,Model!$AR$2866)</f>
        <v>-0.1148931791</v>
      </c>
      <c r="AZ2962" s="373">
        <f>IPMT('Assumptions (T&amp;D)'!$C$20,Model!AE$1,'Assumptions (T&amp;D)'!$C$23,Model!$AR$2866)</f>
        <v>-0.1027533406</v>
      </c>
      <c r="BA2962" s="373">
        <f>IPMT('Assumptions (T&amp;D)'!$C$20,Model!AF$1,'Assumptions (T&amp;D)'!$C$23,Model!$AR$2866)</f>
        <v>-0.09003685981</v>
      </c>
      <c r="BB2962" s="373">
        <f>IPMT('Assumptions (T&amp;D)'!$C$20,Model!AG$1,'Assumptions (T&amp;D)'!$C$23,Model!$AR$2866)</f>
        <v>-0.07671634618</v>
      </c>
      <c r="BC2962" s="373">
        <f>IPMT('Assumptions (T&amp;D)'!$C$20,Model!AH$1,'Assumptions (T&amp;D)'!$C$23,Model!$AR$2866)</f>
        <v>-0.06276310814</v>
      </c>
      <c r="BD2962" s="373">
        <f>IPMT('Assumptions (T&amp;D)'!$C$20,Model!AI$1,'Assumptions (T&amp;D)'!$C$23,Model!$AR$2866)</f>
        <v>-0.0481470913</v>
      </c>
      <c r="BE2962" s="373">
        <f>IPMT('Assumptions (T&amp;D)'!$C$20,Model!AJ$1,'Assumptions (T&amp;D)'!$C$23,Model!$AR$2866)</f>
        <v>-0.03283681366</v>
      </c>
      <c r="BF2962" s="373">
        <f>IPMT('Assumptions (T&amp;D)'!$C$20,Model!AK$1,'Assumptions (T&amp;D)'!$C$23,Model!$AR$2866)</f>
        <v>-0.01679929783</v>
      </c>
      <c r="BG2962" s="374"/>
      <c r="BH2962" s="374"/>
      <c r="BI2962" s="374"/>
      <c r="BJ2962" s="374"/>
      <c r="BK2962" s="374"/>
      <c r="BL2962" s="374"/>
      <c r="BM2962" s="374"/>
      <c r="BN2962" s="374"/>
      <c r="BO2962" s="374"/>
      <c r="BP2962" s="374"/>
      <c r="BQ2962" s="32"/>
      <c r="BR2962" s="32"/>
      <c r="BS2962" s="32"/>
      <c r="BT2962" s="32"/>
      <c r="BU2962" s="32"/>
      <c r="BV2962" s="32"/>
      <c r="BW2962" s="32"/>
      <c r="BX2962" s="32"/>
      <c r="BY2962" s="32"/>
      <c r="BZ2962" s="32"/>
      <c r="CA2962" s="32"/>
      <c r="CB2962" s="32"/>
      <c r="CC2962" s="32"/>
      <c r="CD2962" s="32"/>
    </row>
    <row r="2963" ht="15.75" hidden="1" customHeight="1" outlineLevel="1">
      <c r="A2963" s="365"/>
      <c r="B2963" s="38"/>
      <c r="C2963" s="374"/>
      <c r="D2963" s="374"/>
      <c r="E2963" s="374"/>
      <c r="F2963" s="374"/>
      <c r="G2963" s="374"/>
      <c r="H2963" s="374"/>
      <c r="I2963" s="374"/>
      <c r="J2963" s="374"/>
      <c r="K2963" s="374"/>
      <c r="L2963" s="374"/>
      <c r="M2963" s="374"/>
      <c r="N2963" s="374"/>
      <c r="O2963" s="374"/>
      <c r="P2963" s="374"/>
      <c r="Q2963" s="374"/>
      <c r="R2963" s="374"/>
      <c r="S2963" s="38"/>
      <c r="T2963" s="38"/>
      <c r="U2963" s="38"/>
      <c r="V2963" s="38"/>
      <c r="W2963" s="38"/>
      <c r="X2963" s="32"/>
      <c r="Y2963" s="32"/>
      <c r="Z2963" s="32"/>
      <c r="AA2963" s="32"/>
      <c r="AB2963" s="32"/>
      <c r="AC2963" s="32"/>
      <c r="AD2963" s="32"/>
      <c r="AE2963" s="32"/>
      <c r="AF2963" s="32"/>
      <c r="AG2963" s="32"/>
      <c r="AH2963" s="32"/>
      <c r="AI2963" s="32"/>
      <c r="AJ2963" s="32"/>
      <c r="AK2963" s="32"/>
      <c r="AL2963" s="32"/>
      <c r="AM2963" s="32"/>
      <c r="AN2963" s="32"/>
      <c r="AO2963" s="32"/>
      <c r="AP2963" s="32"/>
      <c r="AQ2963" s="32"/>
      <c r="AR2963" s="32"/>
      <c r="AS2963" s="373">
        <f>IPMT('Assumptions (T&amp;D)'!$C$20,Model!W$1,'Assumptions (T&amp;D)'!$C$23,Model!$AS$2866)</f>
        <v>-0.1907752931</v>
      </c>
      <c r="AT2963" s="373">
        <f>IPMT('Assumptions (T&amp;D)'!$C$20,Model!X$1,'Assumptions (T&amp;D)'!$C$23,Model!$AS$2866)</f>
        <v>-0.1817666673</v>
      </c>
      <c r="AU2963" s="373">
        <f>IPMT('Assumptions (T&amp;D)'!$C$20,Model!Y$1,'Assumptions (T&amp;D)'!$C$23,Model!$AS$2866)</f>
        <v>-0.1723301318</v>
      </c>
      <c r="AV2963" s="373">
        <f>IPMT('Assumptions (T&amp;D)'!$C$20,Model!Z$1,'Assumptions (T&amp;D)'!$C$23,Model!$AS$2866)</f>
        <v>-0.1624453609</v>
      </c>
      <c r="AW2963" s="373">
        <f>IPMT('Assumptions (T&amp;D)'!$C$20,Model!AA$1,'Assumptions (T&amp;D)'!$C$23,Model!$AS$2866)</f>
        <v>-0.1520910634</v>
      </c>
      <c r="AX2963" s="373">
        <f>IPMT('Assumptions (T&amp;D)'!$C$20,Model!AB$1,'Assumptions (T&amp;D)'!$C$23,Model!$AS$2866)</f>
        <v>-0.1412449367</v>
      </c>
      <c r="AY2963" s="373">
        <f>IPMT('Assumptions (T&amp;D)'!$C$20,Model!AC$1,'Assumptions (T&amp;D)'!$C$23,Model!$AS$2866)</f>
        <v>-0.129883619</v>
      </c>
      <c r="AZ2963" s="373">
        <f>IPMT('Assumptions (T&amp;D)'!$C$20,Model!AD$1,'Assumptions (T&amp;D)'!$C$23,Model!$AS$2866)</f>
        <v>-0.1179826388</v>
      </c>
      <c r="BA2963" s="373">
        <f>IPMT('Assumptions (T&amp;D)'!$C$20,Model!AE$1,'Assumptions (T&amp;D)'!$C$23,Model!$AS$2866)</f>
        <v>-0.1055163619</v>
      </c>
      <c r="BB2963" s="373">
        <f>IPMT('Assumptions (T&amp;D)'!$C$20,Model!AF$1,'Assumptions (T&amp;D)'!$C$23,Model!$AS$2866)</f>
        <v>-0.09245793693</v>
      </c>
      <c r="BC2963" s="373">
        <f>IPMT('Assumptions (T&amp;D)'!$C$20,Model!AG$1,'Assumptions (T&amp;D)'!$C$23,Model!$AS$2866)</f>
        <v>-0.07877923676</v>
      </c>
      <c r="BD2963" s="373">
        <f>IPMT('Assumptions (T&amp;D)'!$C$20,Model!AH$1,'Assumptions (T&amp;D)'!$C$23,Model!$AS$2866)</f>
        <v>-0.06445079833</v>
      </c>
      <c r="BE2963" s="373">
        <f>IPMT('Assumptions (T&amp;D)'!$C$20,Model!AI$1,'Assumptions (T&amp;D)'!$C$23,Model!$AS$2866)</f>
        <v>-0.04944175908</v>
      </c>
      <c r="BF2963" s="373">
        <f>IPMT('Assumptions (T&amp;D)'!$C$20,Model!AJ$1,'Assumptions (T&amp;D)'!$C$23,Model!$AS$2866)</f>
        <v>-0.03371979046</v>
      </c>
      <c r="BG2963" s="373">
        <f>IPMT('Assumptions (T&amp;D)'!$C$20,Model!AK$1,'Assumptions (T&amp;D)'!$C$23,Model!$AS$2866)</f>
        <v>-0.01725102833</v>
      </c>
      <c r="BH2963" s="374"/>
      <c r="BI2963" s="374"/>
      <c r="BJ2963" s="374"/>
      <c r="BK2963" s="374"/>
      <c r="BL2963" s="374"/>
      <c r="BM2963" s="374"/>
      <c r="BN2963" s="374"/>
      <c r="BO2963" s="374"/>
      <c r="BP2963" s="374"/>
      <c r="BQ2963" s="374"/>
      <c r="BR2963" s="32"/>
      <c r="BS2963" s="32"/>
      <c r="BT2963" s="32"/>
      <c r="BU2963" s="32"/>
      <c r="BV2963" s="32"/>
      <c r="BW2963" s="32"/>
      <c r="BX2963" s="32"/>
      <c r="BY2963" s="32"/>
      <c r="BZ2963" s="32"/>
      <c r="CA2963" s="32"/>
      <c r="CB2963" s="32"/>
      <c r="CC2963" s="32"/>
      <c r="CD2963" s="32"/>
    </row>
    <row r="2964" ht="15.75" hidden="1" customHeight="1" outlineLevel="1">
      <c r="A2964" s="365"/>
      <c r="B2964" s="38"/>
      <c r="C2964" s="374"/>
      <c r="D2964" s="374"/>
      <c r="E2964" s="374"/>
      <c r="F2964" s="374"/>
      <c r="G2964" s="374"/>
      <c r="H2964" s="374"/>
      <c r="I2964" s="374"/>
      <c r="J2964" s="374"/>
      <c r="K2964" s="374"/>
      <c r="L2964" s="374"/>
      <c r="M2964" s="374"/>
      <c r="N2964" s="374"/>
      <c r="O2964" s="374"/>
      <c r="P2964" s="374"/>
      <c r="Q2964" s="374"/>
      <c r="R2964" s="374"/>
      <c r="S2964" s="38"/>
      <c r="T2964" s="38"/>
      <c r="U2964" s="38"/>
      <c r="V2964" s="38"/>
      <c r="W2964" s="38"/>
      <c r="X2964" s="32"/>
      <c r="Y2964" s="32"/>
      <c r="Z2964" s="32"/>
      <c r="AA2964" s="32"/>
      <c r="AB2964" s="32"/>
      <c r="AC2964" s="32"/>
      <c r="AD2964" s="32"/>
      <c r="AE2964" s="32"/>
      <c r="AF2964" s="32"/>
      <c r="AG2964" s="32"/>
      <c r="AH2964" s="32"/>
      <c r="AI2964" s="32"/>
      <c r="AJ2964" s="32"/>
      <c r="AK2964" s="32"/>
      <c r="AL2964" s="32"/>
      <c r="AM2964" s="32"/>
      <c r="AN2964" s="32"/>
      <c r="AO2964" s="32"/>
      <c r="AP2964" s="32"/>
      <c r="AQ2964" s="32"/>
      <c r="AR2964" s="32"/>
      <c r="AS2964" s="32"/>
      <c r="AT2964" s="373">
        <f>IPMT('Assumptions (T&amp;D)'!$C$20,Model!W$1,'Assumptions (T&amp;D)'!$C$23,Model!$AT$2866)</f>
        <v>-0.195895735</v>
      </c>
      <c r="AU2964" s="373">
        <f>IPMT('Assumptions (T&amp;D)'!$C$20,Model!X$1,'Assumptions (T&amp;D)'!$C$23,Model!$AT$2866)</f>
        <v>-0.1866453162</v>
      </c>
      <c r="AV2964" s="373">
        <f>IPMT('Assumptions (T&amp;D)'!$C$20,Model!Y$1,'Assumptions (T&amp;D)'!$C$23,Model!$AT$2866)</f>
        <v>-0.1769555024</v>
      </c>
      <c r="AW2964" s="373">
        <f>IPMT('Assumptions (T&amp;D)'!$C$20,Model!Z$1,'Assumptions (T&amp;D)'!$C$23,Model!$AT$2866)</f>
        <v>-0.1668054225</v>
      </c>
      <c r="AX2964" s="373">
        <f>IPMT('Assumptions (T&amp;D)'!$C$20,Model!AA$1,'Assumptions (T&amp;D)'!$C$23,Model!$AT$2866)</f>
        <v>-0.1561732139</v>
      </c>
      <c r="AY2964" s="373">
        <f>IPMT('Assumptions (T&amp;D)'!$C$20,Model!AB$1,'Assumptions (T&amp;D)'!$C$23,Model!$AT$2866)</f>
        <v>-0.1450359753</v>
      </c>
      <c r="AZ2964" s="373">
        <f>IPMT('Assumptions (T&amp;D)'!$C$20,Model!AC$1,'Assumptions (T&amp;D)'!$C$23,Model!$AT$2866)</f>
        <v>-0.1333697179</v>
      </c>
      <c r="BA2964" s="373">
        <f>IPMT('Assumptions (T&amp;D)'!$C$20,Model!AD$1,'Assumptions (T&amp;D)'!$C$23,Model!$AT$2866)</f>
        <v>-0.1211493132</v>
      </c>
      <c r="BB2964" s="373">
        <f>IPMT('Assumptions (T&amp;D)'!$C$20,Model!AE$1,'Assumptions (T&amp;D)'!$C$23,Model!$AT$2866)</f>
        <v>-0.1083484394</v>
      </c>
      <c r="BC2964" s="373">
        <f>IPMT('Assumptions (T&amp;D)'!$C$20,Model!AF$1,'Assumptions (T&amp;D)'!$C$23,Model!$AT$2866)</f>
        <v>-0.09493952399</v>
      </c>
      <c r="BD2964" s="373">
        <f>IPMT('Assumptions (T&amp;D)'!$C$20,Model!AG$1,'Assumptions (T&amp;D)'!$C$23,Model!$AT$2866)</f>
        <v>-0.08089368513</v>
      </c>
      <c r="BE2964" s="373">
        <f>IPMT('Assumptions (T&amp;D)'!$C$20,Model!AH$1,'Assumptions (T&amp;D)'!$C$23,Model!$AT$2866)</f>
        <v>-0.06618066893</v>
      </c>
      <c r="BF2964" s="373">
        <f>IPMT('Assumptions (T&amp;D)'!$C$20,Model!AI$1,'Assumptions (T&amp;D)'!$C$23,Model!$AT$2866)</f>
        <v>-0.05076878446</v>
      </c>
      <c r="BG2964" s="373">
        <f>IPMT('Assumptions (T&amp;D)'!$C$20,Model!AJ$1,'Assumptions (T&amp;D)'!$C$23,Model!$AT$2866)</f>
        <v>-0.03462483548</v>
      </c>
      <c r="BH2964" s="373">
        <f>IPMT('Assumptions (T&amp;D)'!$C$20,Model!AK$1,'Assumptions (T&amp;D)'!$C$23,Model!$AT$2866)</f>
        <v>-0.01771404892</v>
      </c>
      <c r="BI2964" s="374"/>
      <c r="BJ2964" s="374"/>
      <c r="BK2964" s="374"/>
      <c r="BL2964" s="374"/>
      <c r="BM2964" s="374"/>
      <c r="BN2964" s="374"/>
      <c r="BO2964" s="374"/>
      <c r="BP2964" s="374"/>
      <c r="BQ2964" s="374"/>
      <c r="BR2964" s="374"/>
      <c r="BS2964" s="32"/>
      <c r="BT2964" s="32"/>
      <c r="BU2964" s="32"/>
      <c r="BV2964" s="32"/>
      <c r="BW2964" s="32"/>
      <c r="BX2964" s="32"/>
      <c r="BY2964" s="32"/>
      <c r="BZ2964" s="32"/>
      <c r="CA2964" s="32"/>
      <c r="CB2964" s="32"/>
      <c r="CC2964" s="32"/>
      <c r="CD2964" s="32"/>
    </row>
    <row r="2965" ht="15.75" hidden="1" customHeight="1" outlineLevel="1">
      <c r="A2965" s="365"/>
      <c r="B2965" s="38"/>
      <c r="C2965" s="374"/>
      <c r="D2965" s="374"/>
      <c r="E2965" s="374"/>
      <c r="F2965" s="374"/>
      <c r="G2965" s="374"/>
      <c r="H2965" s="374"/>
      <c r="I2965" s="374"/>
      <c r="J2965" s="374"/>
      <c r="K2965" s="374"/>
      <c r="L2965" s="374"/>
      <c r="M2965" s="374"/>
      <c r="N2965" s="374"/>
      <c r="O2965" s="374"/>
      <c r="P2965" s="374"/>
      <c r="Q2965" s="374"/>
      <c r="R2965" s="374"/>
      <c r="S2965" s="38"/>
      <c r="T2965" s="38"/>
      <c r="U2965" s="38"/>
      <c r="V2965" s="38"/>
      <c r="W2965" s="38"/>
      <c r="X2965" s="32"/>
      <c r="Y2965" s="32"/>
      <c r="Z2965" s="32"/>
      <c r="AA2965" s="32"/>
      <c r="AB2965" s="32"/>
      <c r="AC2965" s="32"/>
      <c r="AD2965" s="32"/>
      <c r="AE2965" s="32"/>
      <c r="AF2965" s="32"/>
      <c r="AG2965" s="32"/>
      <c r="AH2965" s="32"/>
      <c r="AI2965" s="32"/>
      <c r="AJ2965" s="32"/>
      <c r="AK2965" s="32"/>
      <c r="AL2965" s="32"/>
      <c r="AM2965" s="32"/>
      <c r="AN2965" s="32"/>
      <c r="AO2965" s="32"/>
      <c r="AP2965" s="32"/>
      <c r="AQ2965" s="32"/>
      <c r="AR2965" s="32"/>
      <c r="AS2965" s="32"/>
      <c r="AT2965" s="32"/>
      <c r="AU2965" s="373">
        <f>IPMT('Assumptions (T&amp;D)'!$C$20,Model!W$1,'Assumptions (T&amp;D)'!$C$23,Model!$AU$2866)</f>
        <v>-0.2011440146</v>
      </c>
      <c r="AV2965" s="373">
        <f>IPMT('Assumptions (T&amp;D)'!$C$20,Model!X$1,'Assumptions (T&amp;D)'!$C$23,Model!$AU$2866)</f>
        <v>-0.191645766</v>
      </c>
      <c r="AW2965" s="373">
        <f>IPMT('Assumptions (T&amp;D)'!$C$20,Model!Y$1,'Assumptions (T&amp;D)'!$C$23,Model!$AU$2866)</f>
        <v>-0.1816963507</v>
      </c>
      <c r="AX2965" s="373">
        <f>IPMT('Assumptions (T&amp;D)'!$C$20,Model!Z$1,'Assumptions (T&amp;D)'!$C$23,Model!$AU$2866)</f>
        <v>-0.1712743381</v>
      </c>
      <c r="AY2965" s="373">
        <f>IPMT('Assumptions (T&amp;D)'!$C$20,Model!AA$1,'Assumptions (T&amp;D)'!$C$23,Model!$AU$2866)</f>
        <v>-0.1603572799</v>
      </c>
      <c r="AZ2965" s="373">
        <f>IPMT('Assumptions (T&amp;D)'!$C$20,Model!AB$1,'Assumptions (T&amp;D)'!$C$23,Model!$AU$2866)</f>
        <v>-0.1489216615</v>
      </c>
      <c r="BA2965" s="373">
        <f>IPMT('Assumptions (T&amp;D)'!$C$20,Model!AC$1,'Assumptions (T&amp;D)'!$C$23,Model!$AU$2866)</f>
        <v>-0.1369428512</v>
      </c>
      <c r="BB2965" s="373">
        <f>IPMT('Assumptions (T&amp;D)'!$C$20,Model!AD$1,'Assumptions (T&amp;D)'!$C$23,Model!$AU$2866)</f>
        <v>-0.1243950473</v>
      </c>
      <c r="BC2965" s="373">
        <f>IPMT('Assumptions (T&amp;D)'!$C$20,Model!AE$1,'Assumptions (T&amp;D)'!$C$23,Model!$AU$2866)</f>
        <v>-0.1112512229</v>
      </c>
      <c r="BD2965" s="373">
        <f>IPMT('Assumptions (T&amp;D)'!$C$20,Model!AF$1,'Assumptions (T&amp;D)'!$C$23,Model!$AU$2866)</f>
        <v>-0.09748306669</v>
      </c>
      <c r="BE2965" s="373">
        <f>IPMT('Assumptions (T&amp;D)'!$C$20,Model!AG$1,'Assumptions (T&amp;D)'!$C$23,Model!$AU$2866)</f>
        <v>-0.08306092312</v>
      </c>
      <c r="BF2965" s="373">
        <f>IPMT('Assumptions (T&amp;D)'!$C$20,Model!AH$1,'Assumptions (T&amp;D)'!$C$23,Model!$AU$2866)</f>
        <v>-0.06795372772</v>
      </c>
      <c r="BG2965" s="373">
        <f>IPMT('Assumptions (T&amp;D)'!$C$20,Model!AI$1,'Assumptions (T&amp;D)'!$C$23,Model!$AU$2866)</f>
        <v>-0.05212894055</v>
      </c>
      <c r="BH2965" s="373">
        <f>IPMT('Assumptions (T&amp;D)'!$C$20,Model!AJ$1,'Assumptions (T&amp;D)'!$C$23,Model!$AU$2866)</f>
        <v>-0.03555247598</v>
      </c>
      <c r="BI2965" s="373">
        <f>IPMT('Assumptions (T&amp;D)'!$C$20,Model!AK$1,'Assumptions (T&amp;D)'!$C$23,Model!$AU$2866)</f>
        <v>-0.01818862935</v>
      </c>
      <c r="BJ2965" s="374"/>
      <c r="BK2965" s="374"/>
      <c r="BL2965" s="374"/>
      <c r="BM2965" s="374"/>
      <c r="BN2965" s="374"/>
      <c r="BO2965" s="374"/>
      <c r="BP2965" s="374"/>
      <c r="BQ2965" s="374"/>
      <c r="BR2965" s="374"/>
      <c r="BS2965" s="374"/>
      <c r="BT2965" s="32"/>
      <c r="BU2965" s="32"/>
      <c r="BV2965" s="32"/>
      <c r="BW2965" s="32"/>
      <c r="BX2965" s="32"/>
      <c r="BY2965" s="32"/>
      <c r="BZ2965" s="32"/>
      <c r="CA2965" s="32"/>
      <c r="CB2965" s="32"/>
      <c r="CC2965" s="32"/>
      <c r="CD2965" s="32"/>
    </row>
    <row r="2966" ht="15.75" hidden="1" customHeight="1" outlineLevel="1">
      <c r="A2966" s="365"/>
      <c r="B2966" s="38"/>
      <c r="C2966" s="374"/>
      <c r="D2966" s="374"/>
      <c r="E2966" s="374"/>
      <c r="F2966" s="374"/>
      <c r="G2966" s="374"/>
      <c r="H2966" s="374"/>
      <c r="I2966" s="374"/>
      <c r="J2966" s="374"/>
      <c r="K2966" s="374"/>
      <c r="L2966" s="374"/>
      <c r="M2966" s="374"/>
      <c r="N2966" s="374"/>
      <c r="O2966" s="374"/>
      <c r="P2966" s="374"/>
      <c r="Q2966" s="374"/>
      <c r="R2966" s="374"/>
      <c r="S2966" s="38"/>
      <c r="T2966" s="38"/>
      <c r="U2966" s="38"/>
      <c r="V2966" s="38"/>
      <c r="W2966" s="38"/>
      <c r="X2966" s="32"/>
      <c r="Y2966" s="32"/>
      <c r="Z2966" s="32"/>
      <c r="AA2966" s="32"/>
      <c r="AB2966" s="32"/>
      <c r="AC2966" s="32"/>
      <c r="AD2966" s="32"/>
      <c r="AE2966" s="32"/>
      <c r="AF2966" s="32"/>
      <c r="AG2966" s="32"/>
      <c r="AH2966" s="32"/>
      <c r="AI2966" s="32"/>
      <c r="AJ2966" s="32"/>
      <c r="AK2966" s="32"/>
      <c r="AL2966" s="32"/>
      <c r="AM2966" s="32"/>
      <c r="AN2966" s="32"/>
      <c r="AO2966" s="32"/>
      <c r="AP2966" s="32"/>
      <c r="AQ2966" s="32"/>
      <c r="AR2966" s="32"/>
      <c r="AS2966" s="32"/>
      <c r="AT2966" s="32"/>
      <c r="AU2966" s="32"/>
      <c r="AV2966" s="373">
        <f>IPMT('Assumptions (T&amp;D)'!$C$20,Model!W$1,'Assumptions (T&amp;D)'!$C$23,Model!$AV$2866)</f>
        <v>-0.2065231841</v>
      </c>
      <c r="AW2966" s="373">
        <f>IPMT('Assumptions (T&amp;D)'!$C$20,Model!X$1,'Assumptions (T&amp;D)'!$C$23,Model!$AV$2866)</f>
        <v>-0.196770925</v>
      </c>
      <c r="AX2966" s="373">
        <f>IPMT('Assumptions (T&amp;D)'!$C$20,Model!Y$1,'Assumptions (T&amp;D)'!$C$23,Model!$AV$2866)</f>
        <v>-0.1865554337</v>
      </c>
      <c r="AY2966" s="373">
        <f>IPMT('Assumptions (T&amp;D)'!$C$20,Model!Z$1,'Assumptions (T&amp;D)'!$C$23,Model!$AV$2866)</f>
        <v>-0.1758547065</v>
      </c>
      <c r="AZ2966" s="373">
        <f>IPMT('Assumptions (T&amp;D)'!$C$20,Model!AA$1,'Assumptions (T&amp;D)'!$C$23,Model!$AV$2866)</f>
        <v>-0.1646456948</v>
      </c>
      <c r="BA2966" s="373">
        <f>IPMT('Assumptions (T&amp;D)'!$C$20,Model!AB$1,'Assumptions (T&amp;D)'!$C$23,Model!$AV$2866)</f>
        <v>-0.152904255</v>
      </c>
      <c r="BB2966" s="373">
        <f>IPMT('Assumptions (T&amp;D)'!$C$20,Model!AC$1,'Assumptions (T&amp;D)'!$C$23,Model!$AV$2866)</f>
        <v>-0.1406050969</v>
      </c>
      <c r="BC2966" s="373">
        <f>IPMT('Assumptions (T&amp;D)'!$C$20,Model!AD$1,'Assumptions (T&amp;D)'!$C$23,Model!$AV$2866)</f>
        <v>-0.1277217287</v>
      </c>
      <c r="BD2966" s="373">
        <f>IPMT('Assumptions (T&amp;D)'!$C$20,Model!AE$1,'Assumptions (T&amp;D)'!$C$23,Model!$AV$2866)</f>
        <v>-0.1142264005</v>
      </c>
      <c r="BE2966" s="373">
        <f>IPMT('Assumptions (T&amp;D)'!$C$20,Model!AF$1,'Assumptions (T&amp;D)'!$C$23,Model!$AV$2866)</f>
        <v>-0.1000900443</v>
      </c>
      <c r="BF2966" s="373">
        <f>IPMT('Assumptions (T&amp;D)'!$C$20,Model!AG$1,'Assumptions (T&amp;D)'!$C$23,Model!$AV$2866)</f>
        <v>-0.0852822111</v>
      </c>
      <c r="BG2966" s="373">
        <f>IPMT('Assumptions (T&amp;D)'!$C$20,Model!AH$1,'Assumptions (T&amp;D)'!$C$23,Model!$AV$2866)</f>
        <v>-0.06977100585</v>
      </c>
      <c r="BH2966" s="373">
        <f>IPMT('Assumptions (T&amp;D)'!$C$20,Model!AI$1,'Assumptions (T&amp;D)'!$C$23,Model!$AV$2866)</f>
        <v>-0.05352301835</v>
      </c>
      <c r="BI2966" s="373">
        <f>IPMT('Assumptions (T&amp;D)'!$C$20,Model!AJ$1,'Assumptions (T&amp;D)'!$C$23,Model!$AV$2866)</f>
        <v>-0.03650325144</v>
      </c>
      <c r="BJ2966" s="373">
        <f>IPMT('Assumptions (T&amp;D)'!$C$20,Model!AK$1,'Assumptions (T&amp;D)'!$C$23,Model!$AV$2866)</f>
        <v>-0.01867504561</v>
      </c>
      <c r="BK2966" s="374"/>
      <c r="BL2966" s="374"/>
      <c r="BM2966" s="374"/>
      <c r="BN2966" s="374"/>
      <c r="BO2966" s="374"/>
      <c r="BP2966" s="374"/>
      <c r="BQ2966" s="374"/>
      <c r="BR2966" s="374"/>
      <c r="BS2966" s="374"/>
      <c r="BT2966" s="374"/>
      <c r="BU2966" s="32"/>
      <c r="BV2966" s="32"/>
      <c r="BW2966" s="32"/>
      <c r="BX2966" s="32"/>
      <c r="BY2966" s="32"/>
      <c r="BZ2966" s="32"/>
      <c r="CA2966" s="32"/>
      <c r="CB2966" s="32"/>
      <c r="CC2966" s="32"/>
      <c r="CD2966" s="32"/>
    </row>
    <row r="2967" ht="15.75" hidden="1" customHeight="1" outlineLevel="1">
      <c r="A2967" s="365"/>
      <c r="B2967" s="38"/>
      <c r="C2967" s="374"/>
      <c r="D2967" s="374"/>
      <c r="E2967" s="374"/>
      <c r="F2967" s="374"/>
      <c r="G2967" s="374"/>
      <c r="H2967" s="374"/>
      <c r="I2967" s="374"/>
      <c r="J2967" s="374"/>
      <c r="K2967" s="374"/>
      <c r="L2967" s="374"/>
      <c r="M2967" s="374"/>
      <c r="N2967" s="374"/>
      <c r="O2967" s="374"/>
      <c r="P2967" s="374"/>
      <c r="Q2967" s="374"/>
      <c r="R2967" s="374"/>
      <c r="S2967" s="38"/>
      <c r="T2967" s="38"/>
      <c r="U2967" s="38"/>
      <c r="V2967" s="38"/>
      <c r="W2967" s="38"/>
      <c r="X2967" s="32"/>
      <c r="Y2967" s="32"/>
      <c r="Z2967" s="32"/>
      <c r="AA2967" s="32"/>
      <c r="AB2967" s="32"/>
      <c r="AC2967" s="32"/>
      <c r="AD2967" s="32"/>
      <c r="AE2967" s="32"/>
      <c r="AF2967" s="32"/>
      <c r="AG2967" s="32"/>
      <c r="AH2967" s="32"/>
      <c r="AI2967" s="32"/>
      <c r="AJ2967" s="32"/>
      <c r="AK2967" s="32"/>
      <c r="AL2967" s="32"/>
      <c r="AM2967" s="32"/>
      <c r="AN2967" s="32"/>
      <c r="AO2967" s="32"/>
      <c r="AP2967" s="32"/>
      <c r="AQ2967" s="32"/>
      <c r="AR2967" s="32"/>
      <c r="AS2967" s="32"/>
      <c r="AT2967" s="32"/>
      <c r="AU2967" s="32"/>
      <c r="AV2967" s="32"/>
      <c r="AW2967" s="373">
        <f>IPMT('Assumptions (T&amp;D)'!$C$20,Model!W$1,'Assumptions (T&amp;D)'!$C$23,Model!$AW$2866)</f>
        <v>-0.2120363663</v>
      </c>
      <c r="AX2967" s="373">
        <f>IPMT('Assumptions (T&amp;D)'!$C$20,Model!X$1,'Assumptions (T&amp;D)'!$C$23,Model!$AW$2866)</f>
        <v>-0.2020237685</v>
      </c>
      <c r="AY2967" s="373">
        <f>IPMT('Assumptions (T&amp;D)'!$C$20,Model!Y$1,'Assumptions (T&amp;D)'!$C$23,Model!$AW$2866)</f>
        <v>-0.1915355724</v>
      </c>
      <c r="AZ2967" s="373">
        <f>IPMT('Assumptions (T&amp;D)'!$C$20,Model!Z$1,'Assumptions (T&amp;D)'!$C$23,Model!$AW$2866)</f>
        <v>-0.1805491869</v>
      </c>
      <c r="BA2967" s="373">
        <f>IPMT('Assumptions (T&amp;D)'!$C$20,Model!AA$1,'Assumptions (T&amp;D)'!$C$23,Model!$AW$2866)</f>
        <v>-0.1690409482</v>
      </c>
      <c r="BB2967" s="373">
        <f>IPMT('Assumptions (T&amp;D)'!$C$20,Model!AB$1,'Assumptions (T&amp;D)'!$C$23,Model!$AW$2866)</f>
        <v>-0.156986068</v>
      </c>
      <c r="BC2967" s="373">
        <f>IPMT('Assumptions (T&amp;D)'!$C$20,Model!AC$1,'Assumptions (T&amp;D)'!$C$23,Model!$AW$2866)</f>
        <v>-0.1443585811</v>
      </c>
      <c r="BD2967" s="373">
        <f>IPMT('Assumptions (T&amp;D)'!$C$20,Model!AD$1,'Assumptions (T&amp;D)'!$C$23,Model!$AW$2866)</f>
        <v>-0.1311312886</v>
      </c>
      <c r="BE2967" s="373">
        <f>IPMT('Assumptions (T&amp;D)'!$C$20,Model!AE$1,'Assumptions (T&amp;D)'!$C$23,Model!$AW$2866)</f>
        <v>-0.1172756996</v>
      </c>
      <c r="BF2967" s="373">
        <f>IPMT('Assumptions (T&amp;D)'!$C$20,Model!AF$1,'Assumptions (T&amp;D)'!$C$23,Model!$AW$2866)</f>
        <v>-0.1027619702</v>
      </c>
      <c r="BG2967" s="373">
        <f>IPMT('Assumptions (T&amp;D)'!$C$20,Model!AG$1,'Assumptions (T&amp;D)'!$C$23,Model!$AW$2866)</f>
        <v>-0.08755883865</v>
      </c>
      <c r="BH2967" s="373">
        <f>IPMT('Assumptions (T&amp;D)'!$C$20,Model!AH$1,'Assumptions (T&amp;D)'!$C$23,Model!$AW$2866)</f>
        <v>-0.07163355833</v>
      </c>
      <c r="BI2967" s="373">
        <f>IPMT('Assumptions (T&amp;D)'!$C$20,Model!AI$1,'Assumptions (T&amp;D)'!$C$23,Model!$AW$2866)</f>
        <v>-0.0549518272</v>
      </c>
      <c r="BJ2967" s="373">
        <f>IPMT('Assumptions (T&amp;D)'!$C$20,Model!AJ$1,'Assumptions (T&amp;D)'!$C$23,Model!$AW$2866)</f>
        <v>-0.03747771384</v>
      </c>
      <c r="BK2967" s="373">
        <f>IPMT('Assumptions (T&amp;D)'!$C$20,Model!AK$1,'Assumptions (T&amp;D)'!$C$23,Model!$AW$2866)</f>
        <v>-0.0191735801</v>
      </c>
      <c r="BL2967" s="374"/>
      <c r="BM2967" s="374"/>
      <c r="BN2967" s="374"/>
      <c r="BO2967" s="374"/>
      <c r="BP2967" s="374"/>
      <c r="BQ2967" s="374"/>
      <c r="BR2967" s="374"/>
      <c r="BS2967" s="374"/>
      <c r="BT2967" s="374"/>
      <c r="BU2967" s="374"/>
      <c r="BV2967" s="32"/>
      <c r="BW2967" s="32"/>
      <c r="BX2967" s="32"/>
      <c r="BY2967" s="32"/>
      <c r="BZ2967" s="32"/>
      <c r="CA2967" s="32"/>
      <c r="CB2967" s="32"/>
      <c r="CC2967" s="32"/>
      <c r="CD2967" s="32"/>
    </row>
    <row r="2968" ht="15.75" hidden="1" customHeight="1" outlineLevel="1">
      <c r="A2968" s="365"/>
      <c r="B2968" s="38"/>
      <c r="C2968" s="374"/>
      <c r="D2968" s="374"/>
      <c r="E2968" s="374"/>
      <c r="F2968" s="374"/>
      <c r="G2968" s="374"/>
      <c r="H2968" s="374"/>
      <c r="I2968" s="374"/>
      <c r="J2968" s="374"/>
      <c r="K2968" s="374"/>
      <c r="L2968" s="374"/>
      <c r="M2968" s="374"/>
      <c r="N2968" s="374"/>
      <c r="O2968" s="374"/>
      <c r="P2968" s="374"/>
      <c r="Q2968" s="374"/>
      <c r="R2968" s="374"/>
      <c r="S2968" s="38"/>
      <c r="T2968" s="38"/>
      <c r="U2968" s="38"/>
      <c r="V2968" s="38"/>
      <c r="W2968" s="38"/>
      <c r="X2968" s="32"/>
      <c r="Y2968" s="32"/>
      <c r="Z2968" s="32"/>
      <c r="AA2968" s="32"/>
      <c r="AB2968" s="32"/>
      <c r="AC2968" s="32"/>
      <c r="AD2968" s="32"/>
      <c r="AE2968" s="32"/>
      <c r="AF2968" s="32"/>
      <c r="AG2968" s="32"/>
      <c r="AH2968" s="32"/>
      <c r="AI2968" s="32"/>
      <c r="AJ2968" s="32"/>
      <c r="AK2968" s="32"/>
      <c r="AL2968" s="32"/>
      <c r="AM2968" s="32"/>
      <c r="AN2968" s="32"/>
      <c r="AO2968" s="32"/>
      <c r="AP2968" s="32"/>
      <c r="AQ2968" s="32"/>
      <c r="AR2968" s="32"/>
      <c r="AS2968" s="32"/>
      <c r="AT2968" s="32"/>
      <c r="AU2968" s="32"/>
      <c r="AV2968" s="32"/>
      <c r="AW2968" s="374"/>
      <c r="AX2968" s="373">
        <f>IPMT('Assumptions (T&amp;D)'!$C$20,Model!W$1,'Assumptions (T&amp;D)'!$C$23,Model!$AX$2866)</f>
        <v>-0.2176867564</v>
      </c>
      <c r="AY2968" s="373">
        <f>IPMT('Assumptions (T&amp;D)'!$C$20,Model!X$1,'Assumptions (T&amp;D)'!$C$23,Model!$AX$2866)</f>
        <v>-0.2074073409</v>
      </c>
      <c r="AZ2968" s="373">
        <f>IPMT('Assumptions (T&amp;D)'!$C$20,Model!Y$1,'Assumptions (T&amp;D)'!$C$23,Model!$AX$2866)</f>
        <v>-0.196639653</v>
      </c>
      <c r="BA2968" s="373">
        <f>IPMT('Assumptions (T&amp;D)'!$C$20,Model!Z$1,'Assumptions (T&amp;D)'!$C$23,Model!$AX$2866)</f>
        <v>-0.1853605</v>
      </c>
      <c r="BB2968" s="373">
        <f>IPMT('Assumptions (T&amp;D)'!$C$20,Model!AA$1,'Assumptions (T&amp;D)'!$C$23,Model!$AX$2866)</f>
        <v>-0.1735455873</v>
      </c>
      <c r="BC2968" s="373">
        <f>IPMT('Assumptions (T&amp;D)'!$C$20,Model!AB$1,'Assumptions (T&amp;D)'!$C$23,Model!$AX$2866)</f>
        <v>-0.1611694661</v>
      </c>
      <c r="BD2968" s="373">
        <f>IPMT('Assumptions (T&amp;D)'!$C$20,Model!AC$1,'Assumptions (T&amp;D)'!$C$23,Model!$AX$2866)</f>
        <v>-0.1482054793</v>
      </c>
      <c r="BE2968" s="373">
        <f>IPMT('Assumptions (T&amp;D)'!$C$20,Model!AD$1,'Assumptions (T&amp;D)'!$C$23,Model!$AX$2866)</f>
        <v>-0.134625703</v>
      </c>
      <c r="BF2968" s="373">
        <f>IPMT('Assumptions (T&amp;D)'!$C$20,Model!AE$1,'Assumptions (T&amp;D)'!$C$23,Model!$AX$2866)</f>
        <v>-0.1204008874</v>
      </c>
      <c r="BG2968" s="373">
        <f>IPMT('Assumptions (T&amp;D)'!$C$20,Model!AF$1,'Assumptions (T&amp;D)'!$C$23,Model!$AX$2866)</f>
        <v>-0.105500393</v>
      </c>
      <c r="BH2968" s="373">
        <f>IPMT('Assumptions (T&amp;D)'!$C$20,Model!AG$1,'Assumptions (T&amp;D)'!$C$23,Model!$AX$2866)</f>
        <v>-0.08989212519</v>
      </c>
      <c r="BI2968" s="373">
        <f>IPMT('Assumptions (T&amp;D)'!$C$20,Model!AH$1,'Assumptions (T&amp;D)'!$C$23,Model!$AX$2866)</f>
        <v>-0.07354246462</v>
      </c>
      <c r="BJ2968" s="373">
        <f>IPMT('Assumptions (T&amp;D)'!$C$20,Model!AI$1,'Assumptions (T&amp;D)'!$C$23,Model!$AX$2866)</f>
        <v>-0.05641619517</v>
      </c>
      <c r="BK2968" s="373">
        <f>IPMT('Assumptions (T&amp;D)'!$C$20,Model!AJ$1,'Assumptions (T&amp;D)'!$C$23,Model!$AX$2866)</f>
        <v>-0.03847642792</v>
      </c>
      <c r="BL2968" s="373">
        <f>IPMT('Assumptions (T&amp;D)'!$C$20,Model!AK$1,'Assumptions (T&amp;D)'!$C$23,Model!$AX$2866)</f>
        <v>-0.01968452173</v>
      </c>
      <c r="BM2968" s="374"/>
      <c r="BN2968" s="374"/>
      <c r="BO2968" s="374"/>
      <c r="BP2968" s="374"/>
      <c r="BQ2968" s="374"/>
      <c r="BR2968" s="374"/>
      <c r="BS2968" s="374"/>
      <c r="BT2968" s="374"/>
      <c r="BU2968" s="374"/>
      <c r="BV2968" s="374"/>
      <c r="BW2968" s="32"/>
      <c r="BX2968" s="32"/>
      <c r="BY2968" s="32"/>
      <c r="BZ2968" s="32"/>
      <c r="CA2968" s="32"/>
      <c r="CB2968" s="32"/>
      <c r="CC2968" s="32"/>
      <c r="CD2968" s="32"/>
    </row>
    <row r="2969" ht="15.75" hidden="1" customHeight="1" outlineLevel="1">
      <c r="A2969" s="365"/>
      <c r="B2969" s="38"/>
      <c r="C2969" s="374"/>
      <c r="D2969" s="374"/>
      <c r="E2969" s="374"/>
      <c r="F2969" s="374"/>
      <c r="G2969" s="374"/>
      <c r="H2969" s="374"/>
      <c r="I2969" s="374"/>
      <c r="J2969" s="374"/>
      <c r="K2969" s="374"/>
      <c r="L2969" s="374"/>
      <c r="M2969" s="374"/>
      <c r="N2969" s="374"/>
      <c r="O2969" s="374"/>
      <c r="P2969" s="374"/>
      <c r="Q2969" s="374"/>
      <c r="R2969" s="374"/>
      <c r="S2969" s="38"/>
      <c r="T2969" s="38"/>
      <c r="U2969" s="38"/>
      <c r="V2969" s="38"/>
      <c r="W2969" s="38"/>
      <c r="X2969" s="32"/>
      <c r="Y2969" s="32"/>
      <c r="Z2969" s="32"/>
      <c r="AA2969" s="32"/>
      <c r="AB2969" s="32"/>
      <c r="AC2969" s="32"/>
      <c r="AD2969" s="32"/>
      <c r="AE2969" s="32"/>
      <c r="AF2969" s="32"/>
      <c r="AG2969" s="32"/>
      <c r="AH2969" s="32"/>
      <c r="AI2969" s="32"/>
      <c r="AJ2969" s="32"/>
      <c r="AK2969" s="32"/>
      <c r="AL2969" s="32"/>
      <c r="AM2969" s="32"/>
      <c r="AN2969" s="32"/>
      <c r="AO2969" s="32"/>
      <c r="AP2969" s="32"/>
      <c r="AQ2969" s="32"/>
      <c r="AR2969" s="32"/>
      <c r="AS2969" s="32"/>
      <c r="AT2969" s="32"/>
      <c r="AU2969" s="32"/>
      <c r="AV2969" s="32"/>
      <c r="AW2969" s="374"/>
      <c r="AX2969" s="374"/>
      <c r="AY2969" s="373">
        <f>IPMT('Assumptions (T&amp;D)'!$C$20,Model!W$1,'Assumptions (T&amp;D)'!$C$23,Model!$AY$2866)</f>
        <v>-0.2234776236</v>
      </c>
      <c r="AZ2969" s="373">
        <f>IPMT('Assumptions (T&amp;D)'!$C$20,Model!X$1,'Assumptions (T&amp;D)'!$C$23,Model!$AY$2866)</f>
        <v>-0.2129247567</v>
      </c>
      <c r="BA2969" s="373">
        <f>IPMT('Assumptions (T&amp;D)'!$C$20,Model!Y$1,'Assumptions (T&amp;D)'!$C$23,Model!$AY$2866)</f>
        <v>-0.2018706286</v>
      </c>
      <c r="BB2969" s="373">
        <f>IPMT('Assumptions (T&amp;D)'!$C$20,Model!Z$1,'Assumptions (T&amp;D)'!$C$23,Model!$AY$2866)</f>
        <v>-0.1902914295</v>
      </c>
      <c r="BC2969" s="373">
        <f>IPMT('Assumptions (T&amp;D)'!$C$20,Model!AA$1,'Assumptions (T&amp;D)'!$C$23,Model!$AY$2866)</f>
        <v>-0.1781622184</v>
      </c>
      <c r="BD2969" s="373">
        <f>IPMT('Assumptions (T&amp;D)'!$C$20,Model!AB$1,'Assumptions (T&amp;D)'!$C$23,Model!$AY$2866)</f>
        <v>-0.1654568697</v>
      </c>
      <c r="BE2969" s="373">
        <f>IPMT('Assumptions (T&amp;D)'!$C$20,Model!AC$1,'Assumptions (T&amp;D)'!$C$23,Model!$AY$2866)</f>
        <v>-0.152148017</v>
      </c>
      <c r="BF2969" s="373">
        <f>IPMT('Assumptions (T&amp;D)'!$C$20,Model!AD$1,'Assumptions (T&amp;D)'!$C$23,Model!$AY$2866)</f>
        <v>-0.1382069938</v>
      </c>
      <c r="BG2969" s="373">
        <f>IPMT('Assumptions (T&amp;D)'!$C$20,Model!AE$1,'Assumptions (T&amp;D)'!$C$23,Model!$AY$2866)</f>
        <v>-0.1236037719</v>
      </c>
      <c r="BH2969" s="373">
        <f>IPMT('Assumptions (T&amp;D)'!$C$20,Model!AF$1,'Assumptions (T&amp;D)'!$C$23,Model!$AY$2866)</f>
        <v>-0.1083068971</v>
      </c>
      <c r="BI2969" s="373">
        <f>IPMT('Assumptions (T&amp;D)'!$C$20,Model!AG$1,'Assumptions (T&amp;D)'!$C$23,Model!$AY$2866)</f>
        <v>-0.09228342067</v>
      </c>
      <c r="BJ2969" s="373">
        <f>IPMT('Assumptions (T&amp;D)'!$C$20,Model!AH$1,'Assumptions (T&amp;D)'!$C$23,Model!$AY$2866)</f>
        <v>-0.07549882913</v>
      </c>
      <c r="BK2969" s="373">
        <f>IPMT('Assumptions (T&amp;D)'!$C$20,Model!AI$1,'Assumptions (T&amp;D)'!$C$23,Model!$AY$2866)</f>
        <v>-0.05791696949</v>
      </c>
      <c r="BL2969" s="373">
        <f>IPMT('Assumptions (T&amp;D)'!$C$20,Model!AJ$1,'Assumptions (T&amp;D)'!$C$23,Model!$AY$2866)</f>
        <v>-0.03949997151</v>
      </c>
      <c r="BM2969" s="373">
        <f>IPMT('Assumptions (T&amp;D)'!$C$20,Model!AK$1,'Assumptions (T&amp;D)'!$C$23,Model!$AY$2866)</f>
        <v>-0.02020816613</v>
      </c>
      <c r="BN2969" s="374"/>
      <c r="BO2969" s="374"/>
      <c r="BP2969" s="374"/>
      <c r="BQ2969" s="374"/>
      <c r="BR2969" s="374"/>
      <c r="BS2969" s="374"/>
      <c r="BT2969" s="374"/>
      <c r="BU2969" s="374"/>
      <c r="BV2969" s="374"/>
      <c r="BW2969" s="374"/>
      <c r="BX2969" s="32"/>
      <c r="BY2969" s="32"/>
      <c r="BZ2969" s="32"/>
      <c r="CA2969" s="32"/>
      <c r="CB2969" s="32"/>
      <c r="CC2969" s="32"/>
      <c r="CD2969" s="32"/>
    </row>
    <row r="2970" ht="15.75" hidden="1" customHeight="1" outlineLevel="1">
      <c r="A2970" s="365"/>
      <c r="B2970" s="38"/>
      <c r="C2970" s="374"/>
      <c r="D2970" s="374"/>
      <c r="E2970" s="374"/>
      <c r="F2970" s="374"/>
      <c r="G2970" s="374"/>
      <c r="H2970" s="374"/>
      <c r="I2970" s="374"/>
      <c r="J2970" s="374"/>
      <c r="K2970" s="374"/>
      <c r="L2970" s="374"/>
      <c r="M2970" s="374"/>
      <c r="N2970" s="374"/>
      <c r="O2970" s="374"/>
      <c r="P2970" s="374"/>
      <c r="Q2970" s="374"/>
      <c r="R2970" s="374"/>
      <c r="S2970" s="38"/>
      <c r="T2970" s="38"/>
      <c r="U2970" s="38"/>
      <c r="V2970" s="38"/>
      <c r="W2970" s="38"/>
      <c r="X2970" s="32"/>
      <c r="Y2970" s="32"/>
      <c r="Z2970" s="32"/>
      <c r="AA2970" s="32"/>
      <c r="AB2970" s="32"/>
      <c r="AC2970" s="32"/>
      <c r="AD2970" s="32"/>
      <c r="AE2970" s="32"/>
      <c r="AF2970" s="32"/>
      <c r="AG2970" s="32"/>
      <c r="AH2970" s="32"/>
      <c r="AI2970" s="32"/>
      <c r="AJ2970" s="32"/>
      <c r="AK2970" s="32"/>
      <c r="AL2970" s="32"/>
      <c r="AM2970" s="32"/>
      <c r="AN2970" s="32"/>
      <c r="AO2970" s="32"/>
      <c r="AP2970" s="32"/>
      <c r="AQ2970" s="32"/>
      <c r="AR2970" s="32"/>
      <c r="AS2970" s="32"/>
      <c r="AT2970" s="32"/>
      <c r="AU2970" s="32"/>
      <c r="AV2970" s="32"/>
      <c r="AW2970" s="374"/>
      <c r="AX2970" s="374"/>
      <c r="AY2970" s="374"/>
      <c r="AZ2970" s="373">
        <f>IPMT('Assumptions (T&amp;D)'!$C$20,Model!W$1,'Assumptions (T&amp;D)'!$C$23,Model!$AZ$2866)</f>
        <v>-0.2294123126</v>
      </c>
      <c r="BA2970" s="373">
        <f>IPMT('Assumptions (T&amp;D)'!$C$20,Model!X$1,'Assumptions (T&amp;D)'!$C$23,Model!$AZ$2866)</f>
        <v>-0.2185792029</v>
      </c>
      <c r="BB2970" s="373">
        <f>IPMT('Assumptions (T&amp;D)'!$C$20,Model!Y$1,'Assumptions (T&amp;D)'!$C$23,Model!$AZ$2866)</f>
        <v>-0.2072315206</v>
      </c>
      <c r="BC2970" s="373">
        <f>IPMT('Assumptions (T&amp;D)'!$C$20,Model!Z$1,'Assumptions (T&amp;D)'!$C$23,Model!$AZ$2866)</f>
        <v>-0.1953448233</v>
      </c>
      <c r="BD2970" s="373">
        <f>IPMT('Assumptions (T&amp;D)'!$C$20,Model!AA$1,'Assumptions (T&amp;D)'!$C$23,Model!$AZ$2866)</f>
        <v>-0.1828935079</v>
      </c>
      <c r="BE2970" s="373">
        <f>IPMT('Assumptions (T&amp;D)'!$C$20,Model!AB$1,'Assumptions (T&amp;D)'!$C$23,Model!$AZ$2866)</f>
        <v>-0.169850755</v>
      </c>
      <c r="BF2970" s="373">
        <f>IPMT('Assumptions (T&amp;D)'!$C$20,Model!AC$1,'Assumptions (T&amp;D)'!$C$23,Model!$AZ$2866)</f>
        <v>-0.1561884714</v>
      </c>
      <c r="BG2970" s="373">
        <f>IPMT('Assumptions (T&amp;D)'!$C$20,Model!AD$1,'Assumptions (T&amp;D)'!$C$23,Model!$AZ$2866)</f>
        <v>-0.1418772293</v>
      </c>
      <c r="BH2970" s="373">
        <f>IPMT('Assumptions (T&amp;D)'!$C$20,Model!AE$1,'Assumptions (T&amp;D)'!$C$23,Model!$AZ$2866)</f>
        <v>-0.1268862032</v>
      </c>
      <c r="BI2970" s="373">
        <f>IPMT('Assumptions (T&amp;D)'!$C$20,Model!AF$1,'Assumptions (T&amp;D)'!$C$23,Model!$AZ$2866)</f>
        <v>-0.1111831034</v>
      </c>
      <c r="BJ2970" s="373">
        <f>IPMT('Assumptions (T&amp;D)'!$C$20,Model!AG$1,'Assumptions (T&amp;D)'!$C$23,Model!$AZ$2866)</f>
        <v>-0.09473410628</v>
      </c>
      <c r="BK2970" s="373">
        <f>IPMT('Assumptions (T&amp;D)'!$C$20,Model!AH$1,'Assumptions (T&amp;D)'!$C$23,Model!$AZ$2866)</f>
        <v>-0.07750378184</v>
      </c>
      <c r="BL2970" s="373">
        <f>IPMT('Assumptions (T&amp;D)'!$C$20,Model!AI$1,'Assumptions (T&amp;D)'!$C$23,Model!$AZ$2866)</f>
        <v>-0.05945501698</v>
      </c>
      <c r="BM2970" s="373">
        <f>IPMT('Assumptions (T&amp;D)'!$C$20,Model!AJ$1,'Assumptions (T&amp;D)'!$C$23,Model!$AZ$2866)</f>
        <v>-0.04054893579</v>
      </c>
      <c r="BN2970" s="373">
        <f>IPMT('Assumptions (T&amp;D)'!$C$20,Model!AK$1,'Assumptions (T&amp;D)'!$C$23,Model!$AZ$2866)</f>
        <v>-0.02074481575</v>
      </c>
      <c r="BO2970" s="374"/>
      <c r="BP2970" s="374"/>
      <c r="BQ2970" s="374"/>
      <c r="BR2970" s="374"/>
      <c r="BS2970" s="374"/>
      <c r="BT2970" s="374"/>
      <c r="BU2970" s="374"/>
      <c r="BV2970" s="374"/>
      <c r="BW2970" s="374"/>
      <c r="BX2970" s="374"/>
      <c r="BY2970" s="32"/>
      <c r="BZ2970" s="32"/>
      <c r="CA2970" s="32"/>
      <c r="CB2970" s="32"/>
      <c r="CC2970" s="32"/>
      <c r="CD2970" s="32"/>
    </row>
    <row r="2971" ht="15.75" hidden="1" customHeight="1" outlineLevel="1">
      <c r="A2971" s="365"/>
      <c r="B2971" s="38"/>
      <c r="C2971" s="374"/>
      <c r="D2971" s="374"/>
      <c r="E2971" s="374"/>
      <c r="F2971" s="374"/>
      <c r="G2971" s="374"/>
      <c r="H2971" s="374"/>
      <c r="I2971" s="374"/>
      <c r="J2971" s="374"/>
      <c r="K2971" s="374"/>
      <c r="L2971" s="374"/>
      <c r="M2971" s="374"/>
      <c r="N2971" s="374"/>
      <c r="O2971" s="374"/>
      <c r="P2971" s="374"/>
      <c r="Q2971" s="374"/>
      <c r="R2971" s="374"/>
      <c r="S2971" s="38"/>
      <c r="T2971" s="38"/>
      <c r="U2971" s="38"/>
      <c r="V2971" s="38"/>
      <c r="W2971" s="38"/>
      <c r="X2971" s="32"/>
      <c r="Y2971" s="32"/>
      <c r="Z2971" s="32"/>
      <c r="AA2971" s="32"/>
      <c r="AB2971" s="32"/>
      <c r="AC2971" s="32"/>
      <c r="AD2971" s="32"/>
      <c r="AE2971" s="32"/>
      <c r="AF2971" s="32"/>
      <c r="AG2971" s="32"/>
      <c r="AH2971" s="32"/>
      <c r="AI2971" s="32"/>
      <c r="AJ2971" s="32"/>
      <c r="AK2971" s="32"/>
      <c r="AL2971" s="32"/>
      <c r="AM2971" s="32"/>
      <c r="AN2971" s="32"/>
      <c r="AO2971" s="32"/>
      <c r="AP2971" s="32"/>
      <c r="AQ2971" s="32"/>
      <c r="AR2971" s="32"/>
      <c r="AS2971" s="32"/>
      <c r="AT2971" s="32"/>
      <c r="AU2971" s="32"/>
      <c r="AV2971" s="32"/>
      <c r="AW2971" s="32"/>
      <c r="AX2971" s="32"/>
      <c r="AY2971" s="32"/>
      <c r="AZ2971" s="32"/>
      <c r="BA2971" s="373">
        <f>IPMT('Assumptions (T&amp;D)'!$C$20,Model!W$1,'Assumptions (T&amp;D)'!$C$23,Model!$BA$2866)</f>
        <v>-0.2339427401</v>
      </c>
      <c r="BB2971" s="373">
        <f>IPMT('Assumptions (T&amp;D)'!$C$20,Model!X$1,'Assumptions (T&amp;D)'!$C$23,Model!$BA$2866)</f>
        <v>-0.2228956985</v>
      </c>
      <c r="BC2971" s="373">
        <f>IPMT('Assumptions (T&amp;D)'!$C$20,Model!Y$1,'Assumptions (T&amp;D)'!$C$23,Model!$BA$2866)</f>
        <v>-0.2113239225</v>
      </c>
      <c r="BD2971" s="373">
        <f>IPMT('Assumptions (T&amp;D)'!$C$20,Model!Z$1,'Assumptions (T&amp;D)'!$C$23,Model!$BA$2866)</f>
        <v>-0.1992024871</v>
      </c>
      <c r="BE2971" s="373">
        <f>IPMT('Assumptions (T&amp;D)'!$C$20,Model!AA$1,'Assumptions (T&amp;D)'!$C$23,Model!$BA$2866)</f>
        <v>-0.1865052835</v>
      </c>
      <c r="BF2971" s="373">
        <f>IPMT('Assumptions (T&amp;D)'!$C$20,Model!AB$1,'Assumptions (T&amp;D)'!$C$23,Model!$BA$2866)</f>
        <v>-0.1732049627</v>
      </c>
      <c r="BG2971" s="373">
        <f>IPMT('Assumptions (T&amp;D)'!$C$20,Model!AC$1,'Assumptions (T&amp;D)'!$C$23,Model!$BA$2866)</f>
        <v>-0.1592728767</v>
      </c>
      <c r="BH2971" s="373">
        <f>IPMT('Assumptions (T&amp;D)'!$C$20,Model!AD$1,'Assumptions (T&amp;D)'!$C$23,Model!$BA$2866)</f>
        <v>-0.1446790166</v>
      </c>
      <c r="BI2971" s="373">
        <f>IPMT('Assumptions (T&amp;D)'!$C$20,Model!AE$1,'Assumptions (T&amp;D)'!$C$23,Model!$BA$2866)</f>
        <v>-0.1293919482</v>
      </c>
      <c r="BJ2971" s="373">
        <f>IPMT('Assumptions (T&amp;D)'!$C$20,Model!AF$1,'Assumptions (T&amp;D)'!$C$23,Model!$BA$2866)</f>
        <v>-0.113378744</v>
      </c>
      <c r="BK2971" s="373">
        <f>IPMT('Assumptions (T&amp;D)'!$C$20,Model!AG$1,'Assumptions (T&amp;D)'!$C$23,Model!$BA$2866)</f>
        <v>-0.0966049126</v>
      </c>
      <c r="BL2971" s="373">
        <f>IPMT('Assumptions (T&amp;D)'!$C$20,Model!AH$1,'Assumptions (T&amp;D)'!$C$23,Model!$BA$2866)</f>
        <v>-0.07903432422</v>
      </c>
      <c r="BM2971" s="373">
        <f>IPMT('Assumptions (T&amp;D)'!$C$20,Model!AI$1,'Assumptions (T&amp;D)'!$C$23,Model!$BA$2866)</f>
        <v>-0.06062913289</v>
      </c>
      <c r="BN2971" s="373">
        <f>IPMT('Assumptions (T&amp;D)'!$C$20,Model!AJ$1,'Assumptions (T&amp;D)'!$C$23,Model!$BA$2866)</f>
        <v>-0.04134969497</v>
      </c>
      <c r="BO2971" s="373">
        <f>IPMT('Assumptions (T&amp;D)'!$C$20,Model!AK$1,'Assumptions (T&amp;D)'!$C$23,Model!$BA$2866)</f>
        <v>-0.02115448375</v>
      </c>
      <c r="BP2971" s="374"/>
      <c r="BQ2971" s="374"/>
      <c r="BR2971" s="374"/>
      <c r="BS2971" s="374"/>
      <c r="BT2971" s="374"/>
      <c r="BU2971" s="374"/>
      <c r="BV2971" s="374"/>
      <c r="BW2971" s="374"/>
      <c r="BX2971" s="374"/>
      <c r="BY2971" s="374"/>
      <c r="BZ2971" s="32"/>
      <c r="CA2971" s="32"/>
      <c r="CB2971" s="32"/>
      <c r="CC2971" s="32"/>
      <c r="CD2971" s="32"/>
    </row>
    <row r="2972" ht="15.75" customHeight="1" collapsed="1">
      <c r="A2972" s="365" t="s">
        <v>372</v>
      </c>
      <c r="B2972" s="159" t="s">
        <v>351</v>
      </c>
      <c r="C2972" s="371">
        <f>SUM($C$2865:C2865)*'Assumptions (T&amp;D)'!$C$25</f>
        <v>0.09992623456</v>
      </c>
      <c r="D2972" s="371">
        <f>SUM($C$2865:D2865)*'Assumptions (T&amp;D)'!$C$25</f>
        <v>0.2005688918</v>
      </c>
      <c r="E2972" s="371">
        <f>SUM($C$2865:E2865)*'Assumptions (T&amp;D)'!$C$25</f>
        <v>0.2950463258</v>
      </c>
      <c r="F2972" s="371">
        <f>SUM($C$2865:F2865)*'Assumptions (T&amp;D)'!$C$25</f>
        <v>0.3876520336</v>
      </c>
      <c r="G2972" s="371">
        <f>SUM($C$2865:G2865)*'Assumptions (T&amp;D)'!$C$25</f>
        <v>0.4897043626</v>
      </c>
      <c r="H2972" s="371">
        <f>SUM($C$2865:H2865)*'Assumptions (T&amp;D)'!$C$25</f>
        <v>0.5887927944</v>
      </c>
      <c r="I2972" s="371">
        <f>SUM($C$2865:I2865)*'Assumptions (T&amp;D)'!$C$25</f>
        <v>0.7544107071</v>
      </c>
      <c r="J2972" s="371">
        <f>SUM($C$2865:J2865)*'Assumptions (T&amp;D)'!$C$25</f>
        <v>0.8850000322</v>
      </c>
      <c r="K2972" s="371">
        <f>SUM($C$2865:K2865)*'Assumptions (T&amp;D)'!$C$25</f>
        <v>1.026771474</v>
      </c>
      <c r="L2972" s="371">
        <f>SUM($C$2865:L2865)*'Assumptions (T&amp;D)'!$C$25</f>
        <v>1.159606527</v>
      </c>
      <c r="M2972" s="371">
        <f>SUM($C$2865:M2865)*'Assumptions (T&amp;D)'!$C$25</f>
        <v>1.285502132</v>
      </c>
      <c r="N2972" s="371">
        <f>SUM($C$2865:N2865)*'Assumptions (T&amp;D)'!$C$25</f>
        <v>1.426451892</v>
      </c>
      <c r="O2972" s="371">
        <f>SUM($C$2865:O2865)*'Assumptions (T&amp;D)'!$C$25</f>
        <v>1.566464414</v>
      </c>
      <c r="P2972" s="371">
        <f>SUM($C$2865:P2865)*'Assumptions (T&amp;D)'!$C$25</f>
        <v>1.711333781</v>
      </c>
      <c r="Q2972" s="371">
        <f>SUM($C$2865:Q2865)*'Assumptions (T&amp;D)'!$C$25</f>
        <v>1.863428396</v>
      </c>
      <c r="R2972" s="371">
        <f>SUM($C$2865:R2865)*'Assumptions (T&amp;D)'!$C$25</f>
        <v>2.032712711</v>
      </c>
      <c r="S2972" s="371">
        <f>SUM($C$2865:S2865)*'Assumptions (T&amp;D)'!$C$25</f>
        <v>2.225567155</v>
      </c>
      <c r="T2972" s="371">
        <f>SUM($C$2865:T2865)*'Assumptions (T&amp;D)'!$C$25</f>
        <v>2.396235414</v>
      </c>
      <c r="U2972" s="371">
        <f>SUM($C$2865:U2865)*'Assumptions (T&amp;D)'!$C$25</f>
        <v>2.569059442</v>
      </c>
      <c r="V2972" s="371">
        <f>SUM($C$2865:V2865)*'Assumptions (T&amp;D)'!$C$25</f>
        <v>2.748192724</v>
      </c>
      <c r="W2972" s="371">
        <f>SUM($C$2865:W2865)*'Assumptions (T&amp;D)'!$C$25</f>
        <v>2.930863525</v>
      </c>
      <c r="X2972" s="371">
        <f>SUM($C$2865:X2865)*'Assumptions (T&amp;D)'!$C$25</f>
        <v>3.120226178</v>
      </c>
      <c r="Y2972" s="371">
        <f>SUM($C$2865:Y2865)*'Assumptions (T&amp;D)'!$C$25</f>
        <v>3.314901053</v>
      </c>
      <c r="Z2972" s="371">
        <f>SUM($C$2865:Z2865)*'Assumptions (T&amp;D)'!$C$25</f>
        <v>3.515024112</v>
      </c>
      <c r="AA2972" s="371">
        <f>SUM($C$2865:AA2865)*'Assumptions (T&amp;D)'!$C$25</f>
        <v>3.720734618</v>
      </c>
      <c r="AB2972" s="371">
        <f>SUM($C$2865:AB2865)*'Assumptions (T&amp;D)'!$C$25</f>
        <v>3.932175206</v>
      </c>
      <c r="AC2972" s="371">
        <f>SUM($C$2865:AC2865)*'Assumptions (T&amp;D)'!$C$25</f>
        <v>4.149491969</v>
      </c>
      <c r="AD2972" s="371">
        <f>SUM($C$2865:AD2865)*'Assumptions (T&amp;D)'!$C$25</f>
        <v>4.372834533</v>
      </c>
      <c r="AE2972" s="371">
        <f>SUM($C$2865:AE2865)*'Assumptions (T&amp;D)'!$C$25</f>
        <v>4.602356144</v>
      </c>
      <c r="AF2972" s="371">
        <f>SUM($C$2865:AF2865)*'Assumptions (T&amp;D)'!$C$25</f>
        <v>4.838213749</v>
      </c>
      <c r="AG2972" s="371">
        <f>SUM($C$2865:AG2865)*'Assumptions (T&amp;D)'!$C$25</f>
        <v>5.080568085</v>
      </c>
      <c r="AH2972" s="371">
        <f>SUM($C$2865:AH2865)*'Assumptions (T&amp;D)'!$C$25</f>
        <v>5.329583766</v>
      </c>
      <c r="AI2972" s="371">
        <f>SUM($C$2865:AI2865)*'Assumptions (T&amp;D)'!$C$25</f>
        <v>5.585429374</v>
      </c>
      <c r="AJ2972" s="371">
        <f>SUM($C$2865:AJ2865)*'Assumptions (T&amp;D)'!$C$25</f>
        <v>5.848277552</v>
      </c>
      <c r="AK2972" s="371">
        <f>SUM($C$2865:AK2865)*'Assumptions (T&amp;D)'!$C$25</f>
        <v>6.118305097</v>
      </c>
      <c r="AL2972" s="371">
        <f>SUM($C$2865:AL2865)*'Assumptions (T&amp;D)'!$C$25</f>
        <v>6.39569306</v>
      </c>
      <c r="AM2972" s="371">
        <f>SUM($C$2865:AM2865)*'Assumptions (T&amp;D)'!$C$25</f>
        <v>6.680626841</v>
      </c>
      <c r="AN2972" s="371">
        <f>SUM($C$2865:AN2865)*'Assumptions (T&amp;D)'!$C$25</f>
        <v>6.973296292</v>
      </c>
      <c r="AO2972" s="371">
        <f>SUM($C$2865:AO2865)*'Assumptions (T&amp;D)'!$C$25</f>
        <v>7.273895823</v>
      </c>
      <c r="AP2972" s="371">
        <f>SUM($C$2865:AP2865)*'Assumptions (T&amp;D)'!$C$25</f>
        <v>7.582624504</v>
      </c>
      <c r="AQ2972" s="371">
        <f>SUM($C$2865:AQ2865)*'Assumptions (T&amp;D)'!$C$25</f>
        <v>7.899686173</v>
      </c>
      <c r="AR2972" s="371">
        <f>SUM($C$2865:AR2865)*'Assumptions (T&amp;D)'!$C$25</f>
        <v>8.225289552</v>
      </c>
      <c r="AS2972" s="371">
        <f>SUM($C$2865:AS2865)*'Assumptions (T&amp;D)'!$C$25</f>
        <v>8.559648355</v>
      </c>
      <c r="AT2972" s="371">
        <f>SUM($C$2865:AT2865)*'Assumptions (T&amp;D)'!$C$25</f>
        <v>8.902981406</v>
      </c>
      <c r="AU2972" s="371">
        <f>SUM($C$2865:AU2865)*'Assumptions (T&amp;D)'!$C$25</f>
        <v>9.255512758</v>
      </c>
      <c r="AV2972" s="371">
        <f>SUM($C$2865:AV2865)*'Assumptions (T&amp;D)'!$C$25</f>
        <v>9.617471812</v>
      </c>
      <c r="AW2972" s="371">
        <f>SUM($C$2865:AW2865)*'Assumptions (T&amp;D)'!$C$25</f>
        <v>9.989093444</v>
      </c>
      <c r="AX2972" s="371">
        <f>SUM($C$2865:AX2865)*'Assumptions (T&amp;D)'!$C$25</f>
        <v>10.37061813</v>
      </c>
      <c r="AY2972" s="371">
        <f>SUM($C$2865:AY2865)*'Assumptions (T&amp;D)'!$C$25</f>
        <v>10.76229207</v>
      </c>
      <c r="AZ2972" s="371">
        <f>SUM($C$2865:AZ2865)*'Assumptions (T&amp;D)'!$C$25</f>
        <v>11.16436733</v>
      </c>
      <c r="BA2972" s="371">
        <f>SUM($C$2865:BA2865)*'Assumptions (T&amp;D)'!$C$25</f>
        <v>11.57438277</v>
      </c>
      <c r="BB2972" s="371">
        <f>SUM($C$2865:BB2865)*'Assumptions (T&amp;D)'!$C$25</f>
        <v>11.57438277</v>
      </c>
      <c r="BC2972" s="371">
        <f>SUM($C$2865:BC2865)*'Assumptions (T&amp;D)'!$C$25</f>
        <v>11.57438277</v>
      </c>
      <c r="BD2972" s="371">
        <f>SUM($C$2865:BD2865)*'Assumptions (T&amp;D)'!$C$25</f>
        <v>11.57438277</v>
      </c>
      <c r="BE2972" s="371">
        <f>SUM($C$2865:BE2865)*'Assumptions (T&amp;D)'!$C$25</f>
        <v>11.57438277</v>
      </c>
      <c r="BF2972" s="371">
        <f>SUM($C$2865:BF2865)*'Assumptions (T&amp;D)'!$C$25</f>
        <v>11.57438277</v>
      </c>
      <c r="BG2972" s="371">
        <f>SUM($C$2865:BG2865)*'Assumptions (T&amp;D)'!$C$25</f>
        <v>11.57438277</v>
      </c>
      <c r="BH2972" s="371">
        <f>SUM($C$2865:BH2865)*'Assumptions (T&amp;D)'!$C$25</f>
        <v>11.57438277</v>
      </c>
      <c r="BI2972" s="371">
        <f>SUM($C$2865:BI2865)*'Assumptions (T&amp;D)'!$C$25</f>
        <v>11.57438277</v>
      </c>
      <c r="BJ2972" s="371">
        <f>SUM($C$2865:BJ2865)*'Assumptions (T&amp;D)'!$C$25</f>
        <v>11.57438277</v>
      </c>
      <c r="BK2972" s="371">
        <f>SUM($C$2865:BK2865)*'Assumptions (T&amp;D)'!$C$25</f>
        <v>11.57438277</v>
      </c>
      <c r="BL2972" s="371">
        <f>SUM($C$2865:BL2865)*'Assumptions (T&amp;D)'!$C$25</f>
        <v>11.57438277</v>
      </c>
      <c r="BM2972" s="371">
        <f>SUM($C$2865:BM2865)*'Assumptions (T&amp;D)'!$C$25</f>
        <v>11.57438277</v>
      </c>
      <c r="BN2972" s="371">
        <f>SUM($C$2865:BN2865)*'Assumptions (T&amp;D)'!$C$25</f>
        <v>11.57438277</v>
      </c>
      <c r="BO2972" s="371">
        <f>SUM($C$2865:BO2865)*'Assumptions (T&amp;D)'!$C$25</f>
        <v>11.57438277</v>
      </c>
      <c r="BP2972" s="371">
        <f>SUM($C$2865:BP2865)*'Assumptions (T&amp;D)'!$C$25</f>
        <v>11.57438277</v>
      </c>
      <c r="BQ2972" s="371">
        <f>SUM($C$2865:BQ2865)*'Assumptions (T&amp;D)'!$C$25</f>
        <v>11.57438277</v>
      </c>
      <c r="BR2972" s="371">
        <f>SUM($C$2865:BR2865)*'Assumptions (T&amp;D)'!$C$25</f>
        <v>11.57438277</v>
      </c>
      <c r="BS2972" s="371">
        <f>SUM($C$2865:BS2865)*'Assumptions (T&amp;D)'!$C$25</f>
        <v>11.57438277</v>
      </c>
      <c r="BT2972" s="371">
        <f>SUM($C$2865:BT2865)*'Assumptions (T&amp;D)'!$C$25</f>
        <v>11.57438277</v>
      </c>
      <c r="BU2972" s="371">
        <f>SUM($C$2865:BU2865)*'Assumptions (T&amp;D)'!$C$25</f>
        <v>11.57438277</v>
      </c>
      <c r="BV2972" s="371">
        <f>SUM($C$2865:BV2865)*'Assumptions (T&amp;D)'!$C$25</f>
        <v>11.57438277</v>
      </c>
      <c r="BW2972" s="371">
        <f>SUM($C$2865:BW2865)*'Assumptions (T&amp;D)'!$C$25</f>
        <v>11.57438277</v>
      </c>
      <c r="BX2972" s="371">
        <f>SUM($C$2865:BX2865)*'Assumptions (T&amp;D)'!$C$25</f>
        <v>11.57438277</v>
      </c>
      <c r="BY2972" s="371">
        <f>SUM($C$2865:BY2865)*'Assumptions (T&amp;D)'!$C$25</f>
        <v>11.57438277</v>
      </c>
      <c r="BZ2972" s="371">
        <f>SUM($C$2865:BZ2865)*'Assumptions (T&amp;D)'!$C$25</f>
        <v>11.57438277</v>
      </c>
      <c r="CA2972" s="371">
        <f>SUM($C$2865:CA2865)*'Assumptions (T&amp;D)'!$C$25</f>
        <v>11.57438277</v>
      </c>
      <c r="CB2972" s="371">
        <f>SUM($C$2865:CB2865)*'Assumptions (T&amp;D)'!$C$25</f>
        <v>11.57438277</v>
      </c>
      <c r="CC2972" s="371">
        <f>SUM($C$2865:CC2865)*'Assumptions (T&amp;D)'!$C$25</f>
        <v>11.57438277</v>
      </c>
      <c r="CD2972" s="371">
        <f>SUM($C$2865:CD2865)*'Assumptions (T&amp;D)'!$C$25</f>
        <v>11.57438277</v>
      </c>
    </row>
    <row r="2973" ht="15.75" customHeight="1">
      <c r="A2973" s="365" t="s">
        <v>373</v>
      </c>
      <c r="B2973" s="159" t="s">
        <v>351</v>
      </c>
      <c r="C2973" s="372">
        <f t="shared" ref="C2973:BU2973" si="96">SUM(C2974:C3024)</f>
        <v>0.1125295434</v>
      </c>
      <c r="D2973" s="372">
        <f t="shared" si="96"/>
        <v>0.3299932066</v>
      </c>
      <c r="E2973" s="372">
        <f t="shared" si="96"/>
        <v>0.5250563392</v>
      </c>
      <c r="F2973" s="372">
        <f t="shared" si="96"/>
        <v>0.6964671345</v>
      </c>
      <c r="G2973" s="372">
        <f t="shared" si="96"/>
        <v>0.8633540915</v>
      </c>
      <c r="H2973" s="372">
        <f t="shared" si="96"/>
        <v>1.02527191</v>
      </c>
      <c r="I2973" s="372">
        <f t="shared" si="96"/>
        <v>1.24654762</v>
      </c>
      <c r="J2973" s="372">
        <f t="shared" si="96"/>
        <v>1.486618261</v>
      </c>
      <c r="K2973" s="372">
        <f t="shared" si="96"/>
        <v>1.690199838</v>
      </c>
      <c r="L2973" s="372">
        <f t="shared" si="96"/>
        <v>1.891184861</v>
      </c>
      <c r="M2973" s="372">
        <f t="shared" si="96"/>
        <v>2.068657432</v>
      </c>
      <c r="N2973" s="372">
        <f t="shared" si="96"/>
        <v>2.251514824</v>
      </c>
      <c r="O2973" s="372">
        <f t="shared" si="96"/>
        <v>2.446478293</v>
      </c>
      <c r="P2973" s="372">
        <f t="shared" si="96"/>
        <v>2.641255098</v>
      </c>
      <c r="Q2973" s="372">
        <f t="shared" si="96"/>
        <v>2.850577774</v>
      </c>
      <c r="R2973" s="372">
        <f t="shared" si="96"/>
        <v>3.085352975</v>
      </c>
      <c r="S2973" s="372">
        <f t="shared" si="96"/>
        <v>3.362541168</v>
      </c>
      <c r="T2973" s="372">
        <f t="shared" si="96"/>
        <v>3.63399006</v>
      </c>
      <c r="U2973" s="372">
        <f t="shared" si="96"/>
        <v>3.875277041</v>
      </c>
      <c r="V2973" s="372">
        <f t="shared" si="96"/>
        <v>4.121886161</v>
      </c>
      <c r="W2973" s="372">
        <f t="shared" si="96"/>
        <v>4.308232144</v>
      </c>
      <c r="X2973" s="372">
        <f t="shared" si="96"/>
        <v>4.434259522</v>
      </c>
      <c r="Y2973" s="372">
        <f t="shared" si="96"/>
        <v>4.572992824</v>
      </c>
      <c r="Z2973" s="372">
        <f t="shared" si="96"/>
        <v>4.725736791</v>
      </c>
      <c r="AA2973" s="372">
        <f t="shared" si="96"/>
        <v>4.883997704</v>
      </c>
      <c r="AB2973" s="372">
        <f t="shared" si="96"/>
        <v>5.046523047</v>
      </c>
      <c r="AC2973" s="372">
        <f t="shared" si="96"/>
        <v>5.174586041</v>
      </c>
      <c r="AD2973" s="372">
        <f t="shared" si="96"/>
        <v>5.28994518</v>
      </c>
      <c r="AE2973" s="372">
        <f t="shared" si="96"/>
        <v>5.429776676</v>
      </c>
      <c r="AF2973" s="372">
        <f t="shared" si="96"/>
        <v>5.576940034</v>
      </c>
      <c r="AG2973" s="372">
        <f t="shared" si="96"/>
        <v>5.74382237</v>
      </c>
      <c r="AH2973" s="372">
        <f t="shared" si="96"/>
        <v>5.914587752</v>
      </c>
      <c r="AI2973" s="372">
        <f t="shared" si="96"/>
        <v>6.085452023</v>
      </c>
      <c r="AJ2973" s="372">
        <f t="shared" si="96"/>
        <v>6.263485015</v>
      </c>
      <c r="AK2973" s="372">
        <f t="shared" si="96"/>
        <v>6.443467355</v>
      </c>
      <c r="AL2973" s="372">
        <f t="shared" si="96"/>
        <v>6.617392828</v>
      </c>
      <c r="AM2973" s="372">
        <f t="shared" si="96"/>
        <v>6.774574554</v>
      </c>
      <c r="AN2973" s="372">
        <f t="shared" si="96"/>
        <v>6.941646365</v>
      </c>
      <c r="AO2973" s="372">
        <f t="shared" si="96"/>
        <v>7.133220158</v>
      </c>
      <c r="AP2973" s="372">
        <f t="shared" si="96"/>
        <v>7.330491247</v>
      </c>
      <c r="AQ2973" s="372">
        <f t="shared" si="96"/>
        <v>7.532818815</v>
      </c>
      <c r="AR2973" s="372">
        <f t="shared" si="96"/>
        <v>7.740237947</v>
      </c>
      <c r="AS2973" s="372">
        <f t="shared" si="96"/>
        <v>7.951858442</v>
      </c>
      <c r="AT2973" s="372">
        <f t="shared" si="96"/>
        <v>8.168818531</v>
      </c>
      <c r="AU2973" s="372">
        <f t="shared" si="96"/>
        <v>8.391246579</v>
      </c>
      <c r="AV2973" s="372">
        <f t="shared" si="96"/>
        <v>8.619273936</v>
      </c>
      <c r="AW2973" s="372">
        <f t="shared" si="96"/>
        <v>8.853035011</v>
      </c>
      <c r="AX2973" s="372">
        <f t="shared" si="96"/>
        <v>9.092667335</v>
      </c>
      <c r="AY2973" s="372">
        <f t="shared" si="96"/>
        <v>9.338311635</v>
      </c>
      <c r="AZ2973" s="372">
        <f t="shared" si="96"/>
        <v>9.590111909</v>
      </c>
      <c r="BA2973" s="372">
        <f t="shared" si="96"/>
        <v>9.845153314</v>
      </c>
      <c r="BB2973" s="372">
        <f t="shared" si="96"/>
        <v>9.62978482</v>
      </c>
      <c r="BC2973" s="372">
        <f t="shared" si="96"/>
        <v>8.970223515</v>
      </c>
      <c r="BD2973" s="372">
        <f t="shared" si="96"/>
        <v>8.361514594</v>
      </c>
      <c r="BE2973" s="372">
        <f t="shared" si="96"/>
        <v>7.799946205</v>
      </c>
      <c r="BF2973" s="372">
        <f t="shared" si="96"/>
        <v>7.28295401</v>
      </c>
      <c r="BG2973" s="372">
        <f t="shared" si="96"/>
        <v>6.805400873</v>
      </c>
      <c r="BH2973" s="372">
        <f t="shared" si="96"/>
        <v>6.365795637</v>
      </c>
      <c r="BI2973" s="372">
        <f t="shared" si="96"/>
        <v>5.961113728</v>
      </c>
      <c r="BJ2973" s="372">
        <f t="shared" si="96"/>
        <v>5.553065107</v>
      </c>
      <c r="BK2973" s="372">
        <f t="shared" si="96"/>
        <v>5.13399229</v>
      </c>
      <c r="BL2973" s="372">
        <f t="shared" si="96"/>
        <v>4.703618999</v>
      </c>
      <c r="BM2973" s="372">
        <f t="shared" si="96"/>
        <v>4.261662343</v>
      </c>
      <c r="BN2973" s="372">
        <f t="shared" si="96"/>
        <v>3.807832663</v>
      </c>
      <c r="BO2973" s="372">
        <f t="shared" si="96"/>
        <v>3.341833378</v>
      </c>
      <c r="BP2973" s="372">
        <f t="shared" si="96"/>
        <v>2.863360823</v>
      </c>
      <c r="BQ2973" s="372">
        <f t="shared" si="96"/>
        <v>2.372104088</v>
      </c>
      <c r="BR2973" s="372">
        <f t="shared" si="96"/>
        <v>1.867744844</v>
      </c>
      <c r="BS2973" s="372">
        <f t="shared" si="96"/>
        <v>1.349957177</v>
      </c>
      <c r="BT2973" s="372">
        <f t="shared" si="96"/>
        <v>0.8184074094</v>
      </c>
      <c r="BU2973" s="372">
        <f t="shared" si="96"/>
        <v>0.2745749002</v>
      </c>
      <c r="BV2973" s="32"/>
      <c r="BW2973" s="32"/>
      <c r="BX2973" s="32"/>
      <c r="BY2973" s="32"/>
      <c r="BZ2973" s="32"/>
      <c r="CA2973" s="32"/>
      <c r="CB2973" s="32"/>
      <c r="CC2973" s="32"/>
      <c r="CD2973" s="32"/>
    </row>
    <row r="2974" ht="15.75" hidden="1" customHeight="1" outlineLevel="1">
      <c r="A2974" s="365"/>
      <c r="B2974" s="38"/>
      <c r="C2974" s="372">
        <f>$C2865*'Assumptions (T&amp;D)'!C$24</f>
        <v>0.1125295434</v>
      </c>
      <c r="D2974" s="372">
        <f>$C2865*'Assumptions (T&amp;D)'!D$24</f>
        <v>0.2166568809</v>
      </c>
      <c r="E2974" s="372">
        <f>$C2865*'Assumptions (T&amp;D)'!E$24</f>
        <v>0.2004526267</v>
      </c>
      <c r="F2974" s="372">
        <f>$C2865*'Assumptions (T&amp;D)'!F$24</f>
        <v>0.1854486876</v>
      </c>
      <c r="G2974" s="372">
        <f>$C2865*'Assumptions (T&amp;D)'!G$24</f>
        <v>0.1713449848</v>
      </c>
      <c r="H2974" s="372">
        <f>$C2865*'Assumptions (T&amp;D)'!H$24</f>
        <v>0.1587416759</v>
      </c>
      <c r="I2974" s="372">
        <f>$C2865*'Assumptions (T&amp;D)'!I$24</f>
        <v>0.1467385246</v>
      </c>
      <c r="J2974" s="372">
        <f>$C2865*'Assumptions (T&amp;D)'!J$24</f>
        <v>0.1356356097</v>
      </c>
      <c r="K2974" s="372">
        <f>$C2865*'Assumptions (T&amp;D)'!K$24</f>
        <v>0.133835137</v>
      </c>
      <c r="L2974" s="372">
        <f>$C2865*'Assumptions (T&amp;D)'!L$24</f>
        <v>0.133835137</v>
      </c>
      <c r="M2974" s="372">
        <f>$C2865*'Assumptions (T&amp;D)'!M$24</f>
        <v>0.133835137</v>
      </c>
      <c r="N2974" s="372">
        <f>$C2865*'Assumptions (T&amp;D)'!N$24</f>
        <v>0.133835137</v>
      </c>
      <c r="O2974" s="372">
        <f>$C2865*'Assumptions (T&amp;D)'!O$24</f>
        <v>0.133835137</v>
      </c>
      <c r="P2974" s="372">
        <f>$C2865*'Assumptions (T&amp;D)'!P$24</f>
        <v>0.133835137</v>
      </c>
      <c r="Q2974" s="372">
        <f>$C2865*'Assumptions (T&amp;D)'!Q$24</f>
        <v>0.133835137</v>
      </c>
      <c r="R2974" s="372">
        <f>$C2865*'Assumptions (T&amp;D)'!R$24</f>
        <v>0.133835137</v>
      </c>
      <c r="S2974" s="372">
        <f>$C2865*'Assumptions (T&amp;D)'!S$24</f>
        <v>0.133835137</v>
      </c>
      <c r="T2974" s="372">
        <f>$C2865*'Assumptions (T&amp;D)'!T$24</f>
        <v>0.133835137</v>
      </c>
      <c r="U2974" s="372">
        <f>$C2865*'Assumptions (T&amp;D)'!U$24</f>
        <v>0.133835137</v>
      </c>
      <c r="V2974" s="372">
        <f>$C2865*'Assumptions (T&amp;D)'!V$24</f>
        <v>0.133835137</v>
      </c>
      <c r="W2974" s="372">
        <f>$C2865*'Assumptions (T&amp;D)'!W$24</f>
        <v>0.06691756849</v>
      </c>
      <c r="X2974" s="215"/>
      <c r="Y2974" s="32"/>
      <c r="Z2974" s="32"/>
      <c r="AA2974" s="32"/>
      <c r="AB2974" s="32"/>
      <c r="AC2974" s="32"/>
      <c r="AD2974" s="32"/>
      <c r="AE2974" s="32"/>
      <c r="AF2974" s="32"/>
      <c r="AG2974" s="32"/>
      <c r="AH2974" s="32"/>
      <c r="AI2974" s="32"/>
      <c r="AJ2974" s="32"/>
      <c r="AK2974" s="32"/>
      <c r="AL2974" s="32"/>
      <c r="AM2974" s="32"/>
      <c r="AN2974" s="32"/>
      <c r="AO2974" s="32"/>
      <c r="AP2974" s="32"/>
      <c r="AQ2974" s="32"/>
      <c r="AR2974" s="32"/>
      <c r="AS2974" s="32"/>
      <c r="AT2974" s="32"/>
      <c r="AU2974" s="32"/>
      <c r="AV2974" s="32"/>
      <c r="AW2974" s="32"/>
      <c r="AX2974" s="32"/>
      <c r="AY2974" s="32"/>
      <c r="AZ2974" s="32"/>
      <c r="BA2974" s="32"/>
      <c r="BB2974" s="32"/>
      <c r="BC2974" s="32"/>
      <c r="BD2974" s="32"/>
      <c r="BE2974" s="32"/>
      <c r="BF2974" s="32"/>
      <c r="BG2974" s="32"/>
      <c r="BH2974" s="32"/>
      <c r="BI2974" s="32"/>
      <c r="BJ2974" s="32"/>
      <c r="BK2974" s="32"/>
      <c r="BL2974" s="32"/>
      <c r="BM2974" s="32"/>
      <c r="BN2974" s="32"/>
      <c r="BO2974" s="32"/>
      <c r="BP2974" s="32"/>
      <c r="BQ2974" s="32"/>
      <c r="BR2974" s="32"/>
      <c r="BS2974" s="32"/>
      <c r="BT2974" s="32"/>
      <c r="BU2974" s="32"/>
      <c r="BV2974" s="32"/>
      <c r="BW2974" s="32"/>
      <c r="BX2974" s="32"/>
      <c r="BY2974" s="32"/>
      <c r="BZ2974" s="32"/>
      <c r="CA2974" s="32"/>
      <c r="CB2974" s="32"/>
      <c r="CC2974" s="32"/>
      <c r="CD2974" s="32"/>
    </row>
    <row r="2975" ht="15.75" hidden="1" customHeight="1" outlineLevel="1">
      <c r="A2975" s="365"/>
      <c r="B2975" s="38"/>
      <c r="C2975" s="215"/>
      <c r="D2975" s="372">
        <f>$D2865*'Assumptions (T&amp;D)'!C$24</f>
        <v>0.1133363257</v>
      </c>
      <c r="E2975" s="372">
        <f>$D2865*'Assumptions (T&amp;D)'!D$24</f>
        <v>0.2182102057</v>
      </c>
      <c r="F2975" s="372">
        <f>$D2865*'Assumptions (T&amp;D)'!E$24</f>
        <v>0.2018897748</v>
      </c>
      <c r="G2975" s="372">
        <f>$D2865*'Assumptions (T&amp;D)'!F$24</f>
        <v>0.1867782647</v>
      </c>
      <c r="H2975" s="372">
        <f>$D2865*'Assumptions (T&amp;D)'!G$24</f>
        <v>0.1725734453</v>
      </c>
      <c r="I2975" s="372">
        <f>$D2865*'Assumptions (T&amp;D)'!H$24</f>
        <v>0.1598797768</v>
      </c>
      <c r="J2975" s="372">
        <f>$D2865*'Assumptions (T&amp;D)'!I$24</f>
        <v>0.1477905687</v>
      </c>
      <c r="K2975" s="372">
        <f>$D2865*'Assumptions (T&amp;D)'!J$24</f>
        <v>0.1366080512</v>
      </c>
      <c r="L2975" s="372">
        <f>$D2865*'Assumptions (T&amp;D)'!K$24</f>
        <v>0.13479467</v>
      </c>
      <c r="M2975" s="372">
        <f>$D2865*'Assumptions (T&amp;D)'!L$24</f>
        <v>0.13479467</v>
      </c>
      <c r="N2975" s="372">
        <f>$D2865*'Assumptions (T&amp;D)'!M$24</f>
        <v>0.13479467</v>
      </c>
      <c r="O2975" s="372">
        <f>$D2865*'Assumptions (T&amp;D)'!N$24</f>
        <v>0.13479467</v>
      </c>
      <c r="P2975" s="372">
        <f>$D2865*'Assumptions (T&amp;D)'!O$24</f>
        <v>0.13479467</v>
      </c>
      <c r="Q2975" s="372">
        <f>$D2865*'Assumptions (T&amp;D)'!P$24</f>
        <v>0.13479467</v>
      </c>
      <c r="R2975" s="372">
        <f>$D2865*'Assumptions (T&amp;D)'!Q$24</f>
        <v>0.13479467</v>
      </c>
      <c r="S2975" s="372">
        <f>$D2865*'Assumptions (T&amp;D)'!R$24</f>
        <v>0.13479467</v>
      </c>
      <c r="T2975" s="372">
        <f>$D2865*'Assumptions (T&amp;D)'!S$24</f>
        <v>0.13479467</v>
      </c>
      <c r="U2975" s="372">
        <f>$D2865*'Assumptions (T&amp;D)'!T$24</f>
        <v>0.13479467</v>
      </c>
      <c r="V2975" s="372">
        <f>$D2865*'Assumptions (T&amp;D)'!U$24</f>
        <v>0.13479467</v>
      </c>
      <c r="W2975" s="372">
        <f>$D2865*'Assumptions (T&amp;D)'!V$24</f>
        <v>0.13479467</v>
      </c>
      <c r="X2975" s="372">
        <f>$D2865*'Assumptions (T&amp;D)'!W$24</f>
        <v>0.06739733501</v>
      </c>
      <c r="Y2975" s="32"/>
      <c r="Z2975" s="32"/>
      <c r="AA2975" s="32"/>
      <c r="AB2975" s="32"/>
      <c r="AC2975" s="32"/>
      <c r="AD2975" s="32"/>
      <c r="AE2975" s="32"/>
      <c r="AF2975" s="32"/>
      <c r="AG2975" s="32"/>
      <c r="AH2975" s="32"/>
      <c r="AI2975" s="32"/>
      <c r="AJ2975" s="32"/>
      <c r="AK2975" s="32"/>
      <c r="AL2975" s="32"/>
      <c r="AM2975" s="32"/>
      <c r="AN2975" s="32"/>
      <c r="AO2975" s="32"/>
      <c r="AP2975" s="32"/>
      <c r="AQ2975" s="32"/>
      <c r="AR2975" s="32"/>
      <c r="AS2975" s="32"/>
      <c r="AT2975" s="32"/>
      <c r="AU2975" s="32"/>
      <c r="AV2975" s="32"/>
      <c r="AW2975" s="32"/>
      <c r="AX2975" s="32"/>
      <c r="AY2975" s="32"/>
      <c r="AZ2975" s="32"/>
      <c r="BA2975" s="32"/>
      <c r="BB2975" s="32"/>
      <c r="BC2975" s="32"/>
      <c r="BD2975" s="32"/>
      <c r="BE2975" s="32"/>
      <c r="BF2975" s="32"/>
      <c r="BG2975" s="32"/>
      <c r="BH2975" s="32"/>
      <c r="BI2975" s="32"/>
      <c r="BJ2975" s="32"/>
      <c r="BK2975" s="32"/>
      <c r="BL2975" s="32"/>
      <c r="BM2975" s="32"/>
      <c r="BN2975" s="32"/>
      <c r="BO2975" s="32"/>
      <c r="BP2975" s="32"/>
      <c r="BQ2975" s="32"/>
      <c r="BR2975" s="32"/>
      <c r="BS2975" s="32"/>
      <c r="BT2975" s="32"/>
      <c r="BU2975" s="32"/>
      <c r="BV2975" s="32"/>
      <c r="BW2975" s="32"/>
      <c r="BX2975" s="32"/>
      <c r="BY2975" s="32"/>
      <c r="BZ2975" s="32"/>
      <c r="CA2975" s="32"/>
      <c r="CB2975" s="32"/>
      <c r="CC2975" s="32"/>
      <c r="CD2975" s="32"/>
    </row>
    <row r="2976" ht="15.75" hidden="1" customHeight="1" outlineLevel="1">
      <c r="A2976" s="363"/>
      <c r="B2976" s="38"/>
      <c r="C2976" s="215"/>
      <c r="D2976" s="38"/>
      <c r="E2976" s="372">
        <f>$E2865*'Assumptions (T&amp;D)'!C$24</f>
        <v>0.1063935068</v>
      </c>
      <c r="F2976" s="372">
        <f>$E2865*'Assumptions (T&amp;D)'!D$24</f>
        <v>0.2048429651</v>
      </c>
      <c r="G2976" s="372">
        <f>$E2865*'Assumptions (T&amp;D)'!E$24</f>
        <v>0.1895223001</v>
      </c>
      <c r="H2976" s="372">
        <f>$E2865*'Assumptions (T&amp;D)'!F$24</f>
        <v>0.1753364992</v>
      </c>
      <c r="I2976" s="372">
        <f>$E2865*'Assumptions (T&amp;D)'!G$24</f>
        <v>0.1620018464</v>
      </c>
      <c r="J2976" s="372">
        <f>$E2865*'Assumptions (T&amp;D)'!H$24</f>
        <v>0.1500857736</v>
      </c>
      <c r="K2976" s="372">
        <f>$E2865*'Assumptions (T&amp;D)'!I$24</f>
        <v>0.1387371329</v>
      </c>
      <c r="L2976" s="372">
        <f>$E2865*'Assumptions (T&amp;D)'!J$24</f>
        <v>0.1282396402</v>
      </c>
      <c r="M2976" s="372">
        <f>$E2865*'Assumptions (T&amp;D)'!K$24</f>
        <v>0.1265373441</v>
      </c>
      <c r="N2976" s="372">
        <f>$E2865*'Assumptions (T&amp;D)'!L$24</f>
        <v>0.1265373441</v>
      </c>
      <c r="O2976" s="372">
        <f>$E2865*'Assumptions (T&amp;D)'!M$24</f>
        <v>0.1265373441</v>
      </c>
      <c r="P2976" s="372">
        <f>$E2865*'Assumptions (T&amp;D)'!N$24</f>
        <v>0.1265373441</v>
      </c>
      <c r="Q2976" s="372">
        <f>$E2865*'Assumptions (T&amp;D)'!O$24</f>
        <v>0.1265373441</v>
      </c>
      <c r="R2976" s="372">
        <f>$E2865*'Assumptions (T&amp;D)'!P$24</f>
        <v>0.1265373441</v>
      </c>
      <c r="S2976" s="372">
        <f>$E2865*'Assumptions (T&amp;D)'!Q$24</f>
        <v>0.1265373441</v>
      </c>
      <c r="T2976" s="372">
        <f>$E2865*'Assumptions (T&amp;D)'!R$24</f>
        <v>0.1265373441</v>
      </c>
      <c r="U2976" s="372">
        <f>$E2865*'Assumptions (T&amp;D)'!S$24</f>
        <v>0.1265373441</v>
      </c>
      <c r="V2976" s="372">
        <f>$E2865*'Assumptions (T&amp;D)'!T$24</f>
        <v>0.1265373441</v>
      </c>
      <c r="W2976" s="372">
        <f>$E2865*'Assumptions (T&amp;D)'!U$24</f>
        <v>0.1265373441</v>
      </c>
      <c r="X2976" s="372">
        <f>$E2865*'Assumptions (T&amp;D)'!V$24</f>
        <v>0.1265373441</v>
      </c>
      <c r="Y2976" s="372">
        <f>$E2865*'Assumptions (T&amp;D)'!W$24</f>
        <v>0.06326867205</v>
      </c>
      <c r="Z2976" s="32"/>
      <c r="AA2976" s="32"/>
      <c r="AB2976" s="32"/>
      <c r="AC2976" s="32"/>
      <c r="AD2976" s="32"/>
      <c r="AE2976" s="32"/>
      <c r="AF2976" s="32"/>
      <c r="AG2976" s="32"/>
      <c r="AH2976" s="32"/>
      <c r="AI2976" s="32"/>
      <c r="AJ2976" s="32"/>
      <c r="AK2976" s="32"/>
      <c r="AL2976" s="32"/>
      <c r="AM2976" s="32"/>
      <c r="AN2976" s="32"/>
      <c r="AO2976" s="32"/>
      <c r="AP2976" s="32"/>
      <c r="AQ2976" s="32"/>
      <c r="AR2976" s="32"/>
      <c r="AS2976" s="32"/>
      <c r="AT2976" s="32"/>
      <c r="AU2976" s="32"/>
      <c r="AV2976" s="32"/>
      <c r="AW2976" s="32"/>
      <c r="AX2976" s="32"/>
      <c r="AY2976" s="32"/>
      <c r="AZ2976" s="32"/>
      <c r="BA2976" s="32"/>
      <c r="BB2976" s="32"/>
      <c r="BC2976" s="32"/>
      <c r="BD2976" s="32"/>
      <c r="BE2976" s="32"/>
      <c r="BF2976" s="32"/>
      <c r="BG2976" s="32"/>
      <c r="BH2976" s="32"/>
      <c r="BI2976" s="32"/>
      <c r="BJ2976" s="32"/>
      <c r="BK2976" s="32"/>
      <c r="BL2976" s="32"/>
      <c r="BM2976" s="32"/>
      <c r="BN2976" s="32"/>
      <c r="BO2976" s="32"/>
      <c r="BP2976" s="32"/>
      <c r="BQ2976" s="32"/>
      <c r="BR2976" s="32"/>
      <c r="BS2976" s="32"/>
      <c r="BT2976" s="32"/>
      <c r="BU2976" s="32"/>
      <c r="BV2976" s="32"/>
      <c r="BW2976" s="32"/>
      <c r="BX2976" s="32"/>
      <c r="BY2976" s="32"/>
      <c r="BZ2976" s="32"/>
      <c r="CA2976" s="32"/>
      <c r="CB2976" s="32"/>
      <c r="CC2976" s="32"/>
      <c r="CD2976" s="32"/>
    </row>
    <row r="2977" ht="15.75" hidden="1" customHeight="1" outlineLevel="1">
      <c r="A2977" s="363"/>
      <c r="B2977" s="38"/>
      <c r="C2977" s="215"/>
      <c r="D2977" s="38"/>
      <c r="E2977" s="38"/>
      <c r="F2977" s="372">
        <f>$F2865*'Assumptions (T&amp;D)'!C$24</f>
        <v>0.104285707</v>
      </c>
      <c r="G2977" s="372">
        <f>$F2865*'Assumptions (T&amp;D)'!D$24</f>
        <v>0.2007847478</v>
      </c>
      <c r="H2977" s="372">
        <f>$F2865*'Assumptions (T&amp;D)'!E$24</f>
        <v>0.185767606</v>
      </c>
      <c r="I2977" s="372">
        <f>$F2865*'Assumptions (T&amp;D)'!F$24</f>
        <v>0.1718628451</v>
      </c>
      <c r="J2977" s="372">
        <f>$F2865*'Assumptions (T&amp;D)'!G$24</f>
        <v>0.1587923698</v>
      </c>
      <c r="K2977" s="372">
        <f>$F2865*'Assumptions (T&amp;D)'!H$24</f>
        <v>0.1471123707</v>
      </c>
      <c r="L2977" s="372">
        <f>$F2865*'Assumptions (T&amp;D)'!I$24</f>
        <v>0.1359885619</v>
      </c>
      <c r="M2977" s="372">
        <f>$F2865*'Assumptions (T&amp;D)'!J$24</f>
        <v>0.1256990388</v>
      </c>
      <c r="N2977" s="372">
        <f>$F2865*'Assumptions (T&amp;D)'!K$24</f>
        <v>0.1240304675</v>
      </c>
      <c r="O2977" s="372">
        <f>$F2865*'Assumptions (T&amp;D)'!L$24</f>
        <v>0.1240304675</v>
      </c>
      <c r="P2977" s="372">
        <f>$F2865*'Assumptions (T&amp;D)'!M$24</f>
        <v>0.1240304675</v>
      </c>
      <c r="Q2977" s="372">
        <f>$F2865*'Assumptions (T&amp;D)'!N$24</f>
        <v>0.1240304675</v>
      </c>
      <c r="R2977" s="372">
        <f>$F2865*'Assumptions (T&amp;D)'!O$24</f>
        <v>0.1240304675</v>
      </c>
      <c r="S2977" s="372">
        <f>$F2865*'Assumptions (T&amp;D)'!P$24</f>
        <v>0.1240304675</v>
      </c>
      <c r="T2977" s="372">
        <f>$F2865*'Assumptions (T&amp;D)'!Q$24</f>
        <v>0.1240304675</v>
      </c>
      <c r="U2977" s="372">
        <f>$F2865*'Assumptions (T&amp;D)'!R$24</f>
        <v>0.1240304675</v>
      </c>
      <c r="V2977" s="372">
        <f>$F2865*'Assumptions (T&amp;D)'!S$24</f>
        <v>0.1240304675</v>
      </c>
      <c r="W2977" s="372">
        <f>$F2865*'Assumptions (T&amp;D)'!T$24</f>
        <v>0.1240304675</v>
      </c>
      <c r="X2977" s="372">
        <f>$F2865*'Assumptions (T&amp;D)'!U$24</f>
        <v>0.1240304675</v>
      </c>
      <c r="Y2977" s="372">
        <f>$F2865*'Assumptions (T&amp;D)'!V$24</f>
        <v>0.1240304675</v>
      </c>
      <c r="Z2977" s="372">
        <f>$F2865*'Assumptions (T&amp;D)'!W$24</f>
        <v>0.06201523375</v>
      </c>
      <c r="AA2977" s="32"/>
      <c r="AB2977" s="32"/>
      <c r="AC2977" s="32"/>
      <c r="AD2977" s="32"/>
      <c r="AE2977" s="32"/>
      <c r="AF2977" s="32"/>
      <c r="AG2977" s="32"/>
      <c r="AH2977" s="32"/>
      <c r="AI2977" s="32"/>
      <c r="AJ2977" s="32"/>
      <c r="AK2977" s="32"/>
      <c r="AL2977" s="32"/>
      <c r="AM2977" s="32"/>
      <c r="AN2977" s="32"/>
      <c r="AO2977" s="32"/>
      <c r="AP2977" s="32"/>
      <c r="AQ2977" s="32"/>
      <c r="AR2977" s="32"/>
      <c r="AS2977" s="32"/>
      <c r="AT2977" s="32"/>
      <c r="AU2977" s="32"/>
      <c r="AV2977" s="32"/>
      <c r="AW2977" s="32"/>
      <c r="AX2977" s="32"/>
      <c r="AY2977" s="32"/>
      <c r="AZ2977" s="32"/>
      <c r="BA2977" s="32"/>
      <c r="BB2977" s="32"/>
      <c r="BC2977" s="32"/>
      <c r="BD2977" s="32"/>
      <c r="BE2977" s="32"/>
      <c r="BF2977" s="32"/>
      <c r="BG2977" s="32"/>
      <c r="BH2977" s="32"/>
      <c r="BI2977" s="32"/>
      <c r="BJ2977" s="32"/>
      <c r="BK2977" s="32"/>
      <c r="BL2977" s="32"/>
      <c r="BM2977" s="32"/>
      <c r="BN2977" s="32"/>
      <c r="BO2977" s="32"/>
      <c r="BP2977" s="32"/>
      <c r="BQ2977" s="32"/>
      <c r="BR2977" s="32"/>
      <c r="BS2977" s="32"/>
      <c r="BT2977" s="32"/>
      <c r="BU2977" s="32"/>
      <c r="BV2977" s="32"/>
      <c r="BW2977" s="32"/>
      <c r="BX2977" s="32"/>
      <c r="BY2977" s="32"/>
      <c r="BZ2977" s="32"/>
      <c r="CA2977" s="32"/>
      <c r="CB2977" s="32"/>
      <c r="CC2977" s="32"/>
      <c r="CD2977" s="32"/>
    </row>
    <row r="2978" ht="15.75" hidden="1" customHeight="1" outlineLevel="1">
      <c r="A2978" s="363"/>
      <c r="B2978" s="38"/>
      <c r="C2978" s="215"/>
      <c r="D2978" s="38"/>
      <c r="E2978" s="38"/>
      <c r="F2978" s="38"/>
      <c r="G2978" s="372">
        <f>$G2865*'Assumptions (T&amp;D)'!C$24</f>
        <v>0.1149237939</v>
      </c>
      <c r="H2978" s="372">
        <f>$G2865*'Assumptions (T&amp;D)'!D$24</f>
        <v>0.2212666113</v>
      </c>
      <c r="I2978" s="372">
        <f>$G2865*'Assumptions (T&amp;D)'!E$24</f>
        <v>0.2047175849</v>
      </c>
      <c r="J2978" s="372">
        <f>$G2865*'Assumptions (T&amp;D)'!F$24</f>
        <v>0.1893944124</v>
      </c>
      <c r="K2978" s="372">
        <f>$G2865*'Assumptions (T&amp;D)'!G$24</f>
        <v>0.1749906302</v>
      </c>
      <c r="L2978" s="372">
        <f>$G2865*'Assumptions (T&amp;D)'!H$24</f>
        <v>0.1621191653</v>
      </c>
      <c r="M2978" s="372">
        <f>$G2865*'Assumptions (T&amp;D)'!I$24</f>
        <v>0.1498606273</v>
      </c>
      <c r="N2978" s="372">
        <f>$G2865*'Assumptions (T&amp;D)'!J$24</f>
        <v>0.1385214796</v>
      </c>
      <c r="O2978" s="372">
        <f>$G2865*'Assumptions (T&amp;D)'!K$24</f>
        <v>0.1366826989</v>
      </c>
      <c r="P2978" s="372">
        <f>$G2865*'Assumptions (T&amp;D)'!L$24</f>
        <v>0.1366826989</v>
      </c>
      <c r="Q2978" s="372">
        <f>$G2865*'Assumptions (T&amp;D)'!M$24</f>
        <v>0.1366826989</v>
      </c>
      <c r="R2978" s="372">
        <f>$G2865*'Assumptions (T&amp;D)'!N$24</f>
        <v>0.1366826989</v>
      </c>
      <c r="S2978" s="372">
        <f>$G2865*'Assumptions (T&amp;D)'!O$24</f>
        <v>0.1366826989</v>
      </c>
      <c r="T2978" s="372">
        <f>$G2865*'Assumptions (T&amp;D)'!P$24</f>
        <v>0.1366826989</v>
      </c>
      <c r="U2978" s="372">
        <f>$G2865*'Assumptions (T&amp;D)'!Q$24</f>
        <v>0.1366826989</v>
      </c>
      <c r="V2978" s="372">
        <f>$G2865*'Assumptions (T&amp;D)'!R$24</f>
        <v>0.1366826989</v>
      </c>
      <c r="W2978" s="372">
        <f>$G2865*'Assumptions (T&amp;D)'!S$24</f>
        <v>0.1366826989</v>
      </c>
      <c r="X2978" s="372">
        <f>$G2865*'Assumptions (T&amp;D)'!T$24</f>
        <v>0.1366826989</v>
      </c>
      <c r="Y2978" s="372">
        <f>$G2865*'Assumptions (T&amp;D)'!U$24</f>
        <v>0.1366826989</v>
      </c>
      <c r="Z2978" s="372">
        <f>$G2865*'Assumptions (T&amp;D)'!V$24</f>
        <v>0.1366826989</v>
      </c>
      <c r="AA2978" s="372">
        <f>$G2865*'Assumptions (T&amp;D)'!W$24</f>
        <v>0.06834134946</v>
      </c>
      <c r="AB2978" s="32"/>
      <c r="AC2978" s="32"/>
      <c r="AD2978" s="32"/>
      <c r="AE2978" s="32"/>
      <c r="AF2978" s="32"/>
      <c r="AG2978" s="32"/>
      <c r="AH2978" s="32"/>
      <c r="AI2978" s="32"/>
      <c r="AJ2978" s="32"/>
      <c r="AK2978" s="32"/>
      <c r="AL2978" s="32"/>
      <c r="AM2978" s="32"/>
      <c r="AN2978" s="32"/>
      <c r="AO2978" s="32"/>
      <c r="AP2978" s="32"/>
      <c r="AQ2978" s="32"/>
      <c r="AR2978" s="32"/>
      <c r="AS2978" s="32"/>
      <c r="AT2978" s="32"/>
      <c r="AU2978" s="32"/>
      <c r="AV2978" s="32"/>
      <c r="AW2978" s="32"/>
      <c r="AX2978" s="32"/>
      <c r="AY2978" s="32"/>
      <c r="AZ2978" s="32"/>
      <c r="BA2978" s="32"/>
      <c r="BB2978" s="32"/>
      <c r="BC2978" s="32"/>
      <c r="BD2978" s="32"/>
      <c r="BE2978" s="32"/>
      <c r="BF2978" s="32"/>
      <c r="BG2978" s="32"/>
      <c r="BH2978" s="32"/>
      <c r="BI2978" s="32"/>
      <c r="BJ2978" s="32"/>
      <c r="BK2978" s="32"/>
      <c r="BL2978" s="32"/>
      <c r="BM2978" s="32"/>
      <c r="BN2978" s="32"/>
      <c r="BO2978" s="32"/>
      <c r="BP2978" s="32"/>
      <c r="BQ2978" s="32"/>
      <c r="BR2978" s="32"/>
      <c r="BS2978" s="32"/>
      <c r="BT2978" s="32"/>
      <c r="BU2978" s="32"/>
      <c r="BV2978" s="32"/>
      <c r="BW2978" s="32"/>
      <c r="BX2978" s="32"/>
      <c r="BY2978" s="32"/>
      <c r="BZ2978" s="32"/>
      <c r="CA2978" s="32"/>
      <c r="CB2978" s="32"/>
      <c r="CC2978" s="32"/>
      <c r="CD2978" s="32"/>
    </row>
    <row r="2979" ht="15.75" hidden="1" customHeight="1" outlineLevel="1">
      <c r="A2979" s="363"/>
      <c r="B2979" s="38"/>
      <c r="C2979" s="215"/>
      <c r="D2979" s="38"/>
      <c r="E2979" s="38"/>
      <c r="F2979" s="38"/>
      <c r="G2979" s="38"/>
      <c r="H2979" s="372">
        <f>$H2865*'Assumptions (T&amp;D)'!C$24</f>
        <v>0.1115860718</v>
      </c>
      <c r="I2979" s="372">
        <f>$H2865*'Assumptions (T&amp;D)'!D$24</f>
        <v>0.2148403836</v>
      </c>
      <c r="J2979" s="372">
        <f>$H2865*'Assumptions (T&amp;D)'!E$24</f>
        <v>0.1987719892</v>
      </c>
      <c r="K2979" s="372">
        <f>$H2865*'Assumptions (T&amp;D)'!F$24</f>
        <v>0.1838938463</v>
      </c>
      <c r="L2979" s="372">
        <f>$H2865*'Assumptions (T&amp;D)'!G$24</f>
        <v>0.169908392</v>
      </c>
      <c r="M2979" s="372">
        <f>$H2865*'Assumptions (T&amp;D)'!H$24</f>
        <v>0.1574107519</v>
      </c>
      <c r="N2979" s="372">
        <f>$H2865*'Assumptions (T&amp;D)'!I$24</f>
        <v>0.1455082376</v>
      </c>
      <c r="O2979" s="372">
        <f>$H2865*'Assumptions (T&amp;D)'!J$24</f>
        <v>0.1344984119</v>
      </c>
      <c r="P2979" s="372">
        <f>$H2865*'Assumptions (T&amp;D)'!K$24</f>
        <v>0.1327130347</v>
      </c>
      <c r="Q2979" s="372">
        <f>$H2865*'Assumptions (T&amp;D)'!L$24</f>
        <v>0.1327130347</v>
      </c>
      <c r="R2979" s="372">
        <f>$H2865*'Assumptions (T&amp;D)'!M$24</f>
        <v>0.1327130347</v>
      </c>
      <c r="S2979" s="372">
        <f>$H2865*'Assumptions (T&amp;D)'!N$24</f>
        <v>0.1327130347</v>
      </c>
      <c r="T2979" s="372">
        <f>$H2865*'Assumptions (T&amp;D)'!O$24</f>
        <v>0.1327130347</v>
      </c>
      <c r="U2979" s="372">
        <f>$H2865*'Assumptions (T&amp;D)'!P$24</f>
        <v>0.1327130347</v>
      </c>
      <c r="V2979" s="372">
        <f>$H2865*'Assumptions (T&amp;D)'!Q$24</f>
        <v>0.1327130347</v>
      </c>
      <c r="W2979" s="372">
        <f>$H2865*'Assumptions (T&amp;D)'!R$24</f>
        <v>0.1327130347</v>
      </c>
      <c r="X2979" s="372">
        <f>$H2865*'Assumptions (T&amp;D)'!S$24</f>
        <v>0.1327130347</v>
      </c>
      <c r="Y2979" s="372">
        <f>$H2865*'Assumptions (T&amp;D)'!T$24</f>
        <v>0.1327130347</v>
      </c>
      <c r="Z2979" s="372">
        <f>$H2865*'Assumptions (T&amp;D)'!U$24</f>
        <v>0.1327130347</v>
      </c>
      <c r="AA2979" s="372">
        <f>$H2865*'Assumptions (T&amp;D)'!V$24</f>
        <v>0.1327130347</v>
      </c>
      <c r="AB2979" s="372">
        <f>$H2865*'Assumptions (T&amp;D)'!W$24</f>
        <v>0.06635651736</v>
      </c>
      <c r="AC2979" s="32"/>
      <c r="AD2979" s="32"/>
      <c r="AE2979" s="32"/>
      <c r="AF2979" s="32"/>
      <c r="AG2979" s="32"/>
      <c r="AH2979" s="32"/>
      <c r="AI2979" s="32"/>
      <c r="AJ2979" s="32"/>
      <c r="AK2979" s="32"/>
      <c r="AL2979" s="32"/>
      <c r="AM2979" s="32"/>
      <c r="AN2979" s="32"/>
      <c r="AO2979" s="32"/>
      <c r="AP2979" s="32"/>
      <c r="AQ2979" s="32"/>
      <c r="AR2979" s="32"/>
      <c r="AS2979" s="32"/>
      <c r="AT2979" s="32"/>
      <c r="AU2979" s="32"/>
      <c r="AV2979" s="32"/>
      <c r="AW2979" s="32"/>
      <c r="AX2979" s="32"/>
      <c r="AY2979" s="32"/>
      <c r="AZ2979" s="32"/>
      <c r="BA2979" s="32"/>
      <c r="BB2979" s="32"/>
      <c r="BC2979" s="32"/>
      <c r="BD2979" s="32"/>
      <c r="BE2979" s="32"/>
      <c r="BF2979" s="32"/>
      <c r="BG2979" s="32"/>
      <c r="BH2979" s="32"/>
      <c r="BI2979" s="32"/>
      <c r="BJ2979" s="32"/>
      <c r="BK2979" s="32"/>
      <c r="BL2979" s="32"/>
      <c r="BM2979" s="32"/>
      <c r="BN2979" s="32"/>
      <c r="BO2979" s="32"/>
      <c r="BP2979" s="32"/>
      <c r="BQ2979" s="32"/>
      <c r="BR2979" s="32"/>
      <c r="BS2979" s="32"/>
      <c r="BT2979" s="32"/>
      <c r="BU2979" s="32"/>
      <c r="BV2979" s="32"/>
      <c r="BW2979" s="32"/>
      <c r="BX2979" s="32"/>
      <c r="BY2979" s="32"/>
      <c r="BZ2979" s="32"/>
      <c r="CA2979" s="32"/>
      <c r="CB2979" s="32"/>
      <c r="CC2979" s="32"/>
      <c r="CD2979" s="32"/>
    </row>
    <row r="2980" ht="15.75" hidden="1" customHeight="1" outlineLevel="1">
      <c r="A2980" s="363"/>
      <c r="B2980" s="38"/>
      <c r="C2980" s="215"/>
      <c r="D2980" s="38"/>
      <c r="E2980" s="38"/>
      <c r="F2980" s="38"/>
      <c r="G2980" s="38"/>
      <c r="H2980" s="38"/>
      <c r="I2980" s="372">
        <f>$I2865*'Assumptions (T&amp;D)'!C$24</f>
        <v>0.1865066585</v>
      </c>
      <c r="J2980" s="372">
        <f>$I2865*'Assumptions (T&amp;D)'!D$24</f>
        <v>0.3590874865</v>
      </c>
      <c r="K2980" s="372">
        <f>$I2865*'Assumptions (T&amp;D)'!E$24</f>
        <v>0.3322305277</v>
      </c>
      <c r="L2980" s="372">
        <f>$I2865*'Assumptions (T&amp;D)'!F$24</f>
        <v>0.3073629732</v>
      </c>
      <c r="M2980" s="372">
        <f>$I2865*'Assumptions (T&amp;D)'!G$24</f>
        <v>0.283987472</v>
      </c>
      <c r="N2980" s="372">
        <f>$I2865*'Assumptions (T&amp;D)'!H$24</f>
        <v>0.2630987263</v>
      </c>
      <c r="O2980" s="372">
        <f>$I2865*'Assumptions (T&amp;D)'!I$24</f>
        <v>0.2432046827</v>
      </c>
      <c r="P2980" s="372">
        <f>$I2865*'Assumptions (T&amp;D)'!J$24</f>
        <v>0.2248026924</v>
      </c>
      <c r="Q2980" s="372">
        <f>$I2865*'Assumptions (T&amp;D)'!K$24</f>
        <v>0.2218185858</v>
      </c>
      <c r="R2980" s="372">
        <f>$I2865*'Assumptions (T&amp;D)'!L$24</f>
        <v>0.2218185858</v>
      </c>
      <c r="S2980" s="372">
        <f>$I2865*'Assumptions (T&amp;D)'!M$24</f>
        <v>0.2218185858</v>
      </c>
      <c r="T2980" s="372">
        <f>$I2865*'Assumptions (T&amp;D)'!N$24</f>
        <v>0.2218185858</v>
      </c>
      <c r="U2980" s="372">
        <f>$I2865*'Assumptions (T&amp;D)'!O$24</f>
        <v>0.2218185858</v>
      </c>
      <c r="V2980" s="372">
        <f>$I2865*'Assumptions (T&amp;D)'!P$24</f>
        <v>0.2218185858</v>
      </c>
      <c r="W2980" s="372">
        <f>$I2865*'Assumptions (T&amp;D)'!Q$24</f>
        <v>0.2218185858</v>
      </c>
      <c r="X2980" s="372">
        <f>$I2865*'Assumptions (T&amp;D)'!R$24</f>
        <v>0.2218185858</v>
      </c>
      <c r="Y2980" s="372">
        <f>$I2865*'Assumptions (T&amp;D)'!S$24</f>
        <v>0.2218185858</v>
      </c>
      <c r="Z2980" s="372">
        <f>$I2865*'Assumptions (T&amp;D)'!T$24</f>
        <v>0.2218185858</v>
      </c>
      <c r="AA2980" s="372">
        <f>$I2865*'Assumptions (T&amp;D)'!U$24</f>
        <v>0.2218185858</v>
      </c>
      <c r="AB2980" s="372">
        <f>$I2865*'Assumptions (T&amp;D)'!V$24</f>
        <v>0.2218185858</v>
      </c>
      <c r="AC2980" s="372">
        <f>$I2865*'Assumptions (T&amp;D)'!W$24</f>
        <v>0.1109092929</v>
      </c>
      <c r="AD2980" s="32"/>
      <c r="AE2980" s="32"/>
      <c r="AF2980" s="32"/>
      <c r="AG2980" s="32"/>
      <c r="AH2980" s="32"/>
      <c r="AI2980" s="32"/>
      <c r="AJ2980" s="32"/>
      <c r="AK2980" s="32"/>
      <c r="AL2980" s="32"/>
      <c r="AM2980" s="32"/>
      <c r="AN2980" s="32"/>
      <c r="AO2980" s="32"/>
      <c r="AP2980" s="32"/>
      <c r="AQ2980" s="32"/>
      <c r="AR2980" s="32"/>
      <c r="AS2980" s="32"/>
      <c r="AT2980" s="32"/>
      <c r="AU2980" s="32"/>
      <c r="AV2980" s="32"/>
      <c r="AW2980" s="32"/>
      <c r="AX2980" s="32"/>
      <c r="AY2980" s="32"/>
      <c r="AZ2980" s="32"/>
      <c r="BA2980" s="32"/>
      <c r="BB2980" s="32"/>
      <c r="BC2980" s="32"/>
      <c r="BD2980" s="32"/>
      <c r="BE2980" s="32"/>
      <c r="BF2980" s="32"/>
      <c r="BG2980" s="32"/>
      <c r="BH2980" s="32"/>
      <c r="BI2980" s="32"/>
      <c r="BJ2980" s="32"/>
      <c r="BK2980" s="32"/>
      <c r="BL2980" s="32"/>
      <c r="BM2980" s="32"/>
      <c r="BN2980" s="32"/>
      <c r="BO2980" s="32"/>
      <c r="BP2980" s="32"/>
      <c r="BQ2980" s="32"/>
      <c r="BR2980" s="32"/>
      <c r="BS2980" s="32"/>
      <c r="BT2980" s="32"/>
      <c r="BU2980" s="32"/>
      <c r="BV2980" s="32"/>
      <c r="BW2980" s="32"/>
      <c r="BX2980" s="32"/>
      <c r="BY2980" s="32"/>
      <c r="BZ2980" s="32"/>
      <c r="CA2980" s="32"/>
      <c r="CB2980" s="32"/>
      <c r="CC2980" s="32"/>
      <c r="CD2980" s="32"/>
    </row>
    <row r="2981" ht="15.75" hidden="1" customHeight="1" outlineLevel="1">
      <c r="A2981" s="363"/>
      <c r="B2981" s="38"/>
      <c r="C2981" s="215"/>
      <c r="D2981" s="38"/>
      <c r="E2981" s="38"/>
      <c r="F2981" s="38"/>
      <c r="G2981" s="38"/>
      <c r="H2981" s="38"/>
      <c r="I2981" s="38"/>
      <c r="J2981" s="372">
        <f>$J2865*'Assumptions (T&amp;D)'!C$24</f>
        <v>0.1470600507</v>
      </c>
      <c r="K2981" s="372">
        <f>$J2865*'Assumptions (T&amp;D)'!D$24</f>
        <v>0.2831396177</v>
      </c>
      <c r="L2981" s="372">
        <f>$J2865*'Assumptions (T&amp;D)'!E$24</f>
        <v>0.2619629704</v>
      </c>
      <c r="M2981" s="372">
        <f>$J2865*'Assumptions (T&amp;D)'!F$24</f>
        <v>0.2423549636</v>
      </c>
      <c r="N2981" s="372">
        <f>$J2865*'Assumptions (T&amp;D)'!G$24</f>
        <v>0.2239234373</v>
      </c>
      <c r="O2981" s="372">
        <f>$J2865*'Assumptions (T&amp;D)'!H$24</f>
        <v>0.2074527116</v>
      </c>
      <c r="P2981" s="372">
        <f>$J2865*'Assumptions (T&amp;D)'!I$24</f>
        <v>0.1917663062</v>
      </c>
      <c r="Q2981" s="372">
        <f>$J2865*'Assumptions (T&amp;D)'!J$24</f>
        <v>0.1772563812</v>
      </c>
      <c r="R2981" s="372">
        <f>$J2865*'Assumptions (T&amp;D)'!K$24</f>
        <v>0.1749034203</v>
      </c>
      <c r="S2981" s="372">
        <f>$J2865*'Assumptions (T&amp;D)'!L$24</f>
        <v>0.1749034203</v>
      </c>
      <c r="T2981" s="372">
        <f>$J2865*'Assumptions (T&amp;D)'!M$24</f>
        <v>0.1749034203</v>
      </c>
      <c r="U2981" s="372">
        <f>$J2865*'Assumptions (T&amp;D)'!N$24</f>
        <v>0.1749034203</v>
      </c>
      <c r="V2981" s="372">
        <f>$J2865*'Assumptions (T&amp;D)'!O$24</f>
        <v>0.1749034203</v>
      </c>
      <c r="W2981" s="372">
        <f>$J2865*'Assumptions (T&amp;D)'!P$24</f>
        <v>0.1749034203</v>
      </c>
      <c r="X2981" s="372">
        <f>$J2865*'Assumptions (T&amp;D)'!Q$24</f>
        <v>0.1749034203</v>
      </c>
      <c r="Y2981" s="372">
        <f>$J2865*'Assumptions (T&amp;D)'!R$24</f>
        <v>0.1749034203</v>
      </c>
      <c r="Z2981" s="372">
        <f>$J2865*'Assumptions (T&amp;D)'!S$24</f>
        <v>0.1749034203</v>
      </c>
      <c r="AA2981" s="372">
        <f>$J2865*'Assumptions (T&amp;D)'!T$24</f>
        <v>0.1749034203</v>
      </c>
      <c r="AB2981" s="372">
        <f>$J2865*'Assumptions (T&amp;D)'!U$24</f>
        <v>0.1749034203</v>
      </c>
      <c r="AC2981" s="372">
        <f>$J2865*'Assumptions (T&amp;D)'!V$24</f>
        <v>0.1749034203</v>
      </c>
      <c r="AD2981" s="372">
        <f>$J2865*'Assumptions (T&amp;D)'!W$24</f>
        <v>0.08745171017</v>
      </c>
      <c r="AE2981" s="32"/>
      <c r="AF2981" s="32"/>
      <c r="AG2981" s="32"/>
      <c r="AH2981" s="32"/>
      <c r="AI2981" s="32"/>
      <c r="AJ2981" s="32"/>
      <c r="AK2981" s="32"/>
      <c r="AL2981" s="32"/>
      <c r="AM2981" s="32"/>
      <c r="AN2981" s="32"/>
      <c r="AO2981" s="32"/>
      <c r="AP2981" s="32"/>
      <c r="AQ2981" s="32"/>
      <c r="AR2981" s="32"/>
      <c r="AS2981" s="32"/>
      <c r="AT2981" s="32"/>
      <c r="AU2981" s="32"/>
      <c r="AV2981" s="32"/>
      <c r="AW2981" s="32"/>
      <c r="AX2981" s="32"/>
      <c r="AY2981" s="32"/>
      <c r="AZ2981" s="32"/>
      <c r="BA2981" s="32"/>
      <c r="BB2981" s="32"/>
      <c r="BC2981" s="32"/>
      <c r="BD2981" s="32"/>
      <c r="BE2981" s="32"/>
      <c r="BF2981" s="32"/>
      <c r="BG2981" s="32"/>
      <c r="BH2981" s="32"/>
      <c r="BI2981" s="32"/>
      <c r="BJ2981" s="32"/>
      <c r="BK2981" s="32"/>
      <c r="BL2981" s="32"/>
      <c r="BM2981" s="32"/>
      <c r="BN2981" s="32"/>
      <c r="BO2981" s="32"/>
      <c r="BP2981" s="32"/>
      <c r="BQ2981" s="32"/>
      <c r="BR2981" s="32"/>
      <c r="BS2981" s="32"/>
      <c r="BT2981" s="32"/>
      <c r="BU2981" s="32"/>
      <c r="BV2981" s="32"/>
      <c r="BW2981" s="32"/>
      <c r="BX2981" s="32"/>
      <c r="BY2981" s="32"/>
      <c r="BZ2981" s="32"/>
      <c r="CA2981" s="32"/>
      <c r="CB2981" s="32"/>
      <c r="CC2981" s="32"/>
      <c r="CD2981" s="32"/>
    </row>
    <row r="2982" ht="15.75" hidden="1" customHeight="1" outlineLevel="1">
      <c r="A2982" s="363"/>
      <c r="B2982" s="38"/>
      <c r="C2982" s="215"/>
      <c r="D2982" s="38"/>
      <c r="E2982" s="38"/>
      <c r="F2982" s="38"/>
      <c r="G2982" s="38"/>
      <c r="H2982" s="38"/>
      <c r="I2982" s="38"/>
      <c r="J2982" s="38"/>
      <c r="K2982" s="372">
        <f>$K2865*'Assumptions (T&amp;D)'!C$24</f>
        <v>0.1596525244</v>
      </c>
      <c r="L2982" s="372">
        <f>$K2865*'Assumptions (T&amp;D)'!D$24</f>
        <v>0.307384327</v>
      </c>
      <c r="M2982" s="372">
        <f>$K2865*'Assumptions (T&amp;D)'!E$24</f>
        <v>0.2843943635</v>
      </c>
      <c r="N2982" s="372">
        <f>$K2865*'Assumptions (T&amp;D)'!F$24</f>
        <v>0.2631073602</v>
      </c>
      <c r="O2982" s="372">
        <f>$K2865*'Assumptions (T&amp;D)'!G$24</f>
        <v>0.2430975772</v>
      </c>
      <c r="P2982" s="372">
        <f>$K2865*'Assumptions (T&amp;D)'!H$24</f>
        <v>0.2252164944</v>
      </c>
      <c r="Q2982" s="372">
        <f>$K2865*'Assumptions (T&amp;D)'!I$24</f>
        <v>0.2081868918</v>
      </c>
      <c r="R2982" s="372">
        <f>$K2865*'Assumptions (T&amp;D)'!J$24</f>
        <v>0.1924345094</v>
      </c>
      <c r="S2982" s="372">
        <f>$K2865*'Assumptions (T&amp;D)'!K$24</f>
        <v>0.189880069</v>
      </c>
      <c r="T2982" s="372">
        <f>$K2865*'Assumptions (T&amp;D)'!L$24</f>
        <v>0.189880069</v>
      </c>
      <c r="U2982" s="372">
        <f>$K2865*'Assumptions (T&amp;D)'!M$24</f>
        <v>0.189880069</v>
      </c>
      <c r="V2982" s="372">
        <f>$K2865*'Assumptions (T&amp;D)'!N$24</f>
        <v>0.189880069</v>
      </c>
      <c r="W2982" s="372">
        <f>$K2865*'Assumptions (T&amp;D)'!O$24</f>
        <v>0.189880069</v>
      </c>
      <c r="X2982" s="372">
        <f>$K2865*'Assumptions (T&amp;D)'!P$24</f>
        <v>0.189880069</v>
      </c>
      <c r="Y2982" s="372">
        <f>$K2865*'Assumptions (T&amp;D)'!Q$24</f>
        <v>0.189880069</v>
      </c>
      <c r="Z2982" s="372">
        <f>$K2865*'Assumptions (T&amp;D)'!R$24</f>
        <v>0.189880069</v>
      </c>
      <c r="AA2982" s="372">
        <f>$K2865*'Assumptions (T&amp;D)'!S$24</f>
        <v>0.189880069</v>
      </c>
      <c r="AB2982" s="372">
        <f>$K2865*'Assumptions (T&amp;D)'!T$24</f>
        <v>0.189880069</v>
      </c>
      <c r="AC2982" s="372">
        <f>$K2865*'Assumptions (T&amp;D)'!U$24</f>
        <v>0.189880069</v>
      </c>
      <c r="AD2982" s="372">
        <f>$K2865*'Assumptions (T&amp;D)'!V$24</f>
        <v>0.189880069</v>
      </c>
      <c r="AE2982" s="372">
        <f>$K2865*'Assumptions (T&amp;D)'!W$24</f>
        <v>0.09494003452</v>
      </c>
      <c r="AF2982" s="32"/>
      <c r="AG2982" s="32"/>
      <c r="AH2982" s="32"/>
      <c r="AI2982" s="32"/>
      <c r="AJ2982" s="32"/>
      <c r="AK2982" s="32"/>
      <c r="AL2982" s="32"/>
      <c r="AM2982" s="32"/>
      <c r="AN2982" s="32"/>
      <c r="AO2982" s="32"/>
      <c r="AP2982" s="32"/>
      <c r="AQ2982" s="32"/>
      <c r="AR2982" s="32"/>
      <c r="AS2982" s="32"/>
      <c r="AT2982" s="32"/>
      <c r="AU2982" s="32"/>
      <c r="AV2982" s="32"/>
      <c r="AW2982" s="32"/>
      <c r="AX2982" s="32"/>
      <c r="AY2982" s="32"/>
      <c r="AZ2982" s="32"/>
      <c r="BA2982" s="32"/>
      <c r="BB2982" s="32"/>
      <c r="BC2982" s="32"/>
      <c r="BD2982" s="32"/>
      <c r="BE2982" s="32"/>
      <c r="BF2982" s="32"/>
      <c r="BG2982" s="32"/>
      <c r="BH2982" s="32"/>
      <c r="BI2982" s="32"/>
      <c r="BJ2982" s="32"/>
      <c r="BK2982" s="32"/>
      <c r="BL2982" s="32"/>
      <c r="BM2982" s="32"/>
      <c r="BN2982" s="32"/>
      <c r="BO2982" s="32"/>
      <c r="BP2982" s="32"/>
      <c r="BQ2982" s="32"/>
      <c r="BR2982" s="32"/>
      <c r="BS2982" s="32"/>
      <c r="BT2982" s="32"/>
      <c r="BU2982" s="32"/>
      <c r="BV2982" s="32"/>
      <c r="BW2982" s="32"/>
      <c r="BX2982" s="32"/>
      <c r="BY2982" s="32"/>
      <c r="BZ2982" s="32"/>
      <c r="CA2982" s="32"/>
      <c r="CB2982" s="32"/>
      <c r="CC2982" s="32"/>
      <c r="CD2982" s="32"/>
    </row>
    <row r="2983" ht="15.75" hidden="1" customHeight="1" outlineLevel="1">
      <c r="A2983" s="363"/>
      <c r="B2983" s="38"/>
      <c r="C2983" s="38"/>
      <c r="D2983" s="38"/>
      <c r="E2983" s="38"/>
      <c r="F2983" s="38"/>
      <c r="G2983" s="38"/>
      <c r="H2983" s="38"/>
      <c r="I2983" s="38"/>
      <c r="J2983" s="38"/>
      <c r="K2983" s="38"/>
      <c r="L2983" s="372">
        <f>$L2865*'Assumptions (T&amp;D)'!C$24</f>
        <v>0.149589024</v>
      </c>
      <c r="M2983" s="372">
        <f>$L2865*'Assumptions (T&amp;D)'!D$24</f>
        <v>0.2880087342</v>
      </c>
      <c r="N2983" s="372">
        <f>$L2865*'Assumptions (T&amp;D)'!E$24</f>
        <v>0.2664679147</v>
      </c>
      <c r="O2983" s="372">
        <f>$L2865*'Assumptions (T&amp;D)'!F$24</f>
        <v>0.2465227115</v>
      </c>
      <c r="P2983" s="372">
        <f>$L2865*'Assumptions (T&amp;D)'!G$24</f>
        <v>0.2277742205</v>
      </c>
      <c r="Q2983" s="372">
        <f>$L2865*'Assumptions (T&amp;D)'!H$24</f>
        <v>0.2110202498</v>
      </c>
      <c r="R2983" s="372">
        <f>$L2865*'Assumptions (T&amp;D)'!I$24</f>
        <v>0.1950640873</v>
      </c>
      <c r="S2983" s="372">
        <f>$L2865*'Assumptions (T&amp;D)'!J$24</f>
        <v>0.1803046369</v>
      </c>
      <c r="T2983" s="372">
        <f>$L2865*'Assumptions (T&amp;D)'!K$24</f>
        <v>0.1779112125</v>
      </c>
      <c r="U2983" s="372">
        <f>$L2865*'Assumptions (T&amp;D)'!L$24</f>
        <v>0.1779112125</v>
      </c>
      <c r="V2983" s="372">
        <f>$L2865*'Assumptions (T&amp;D)'!M$24</f>
        <v>0.1779112125</v>
      </c>
      <c r="W2983" s="372">
        <f>$L2865*'Assumptions (T&amp;D)'!N$24</f>
        <v>0.1779112125</v>
      </c>
      <c r="X2983" s="372">
        <f>$L2865*'Assumptions (T&amp;D)'!O$24</f>
        <v>0.1779112125</v>
      </c>
      <c r="Y2983" s="372">
        <f>$L2865*'Assumptions (T&amp;D)'!P$24</f>
        <v>0.1779112125</v>
      </c>
      <c r="Z2983" s="372">
        <f>$L2865*'Assumptions (T&amp;D)'!Q$24</f>
        <v>0.1779112125</v>
      </c>
      <c r="AA2983" s="372">
        <f>$L2865*'Assumptions (T&amp;D)'!R$24</f>
        <v>0.1779112125</v>
      </c>
      <c r="AB2983" s="372">
        <f>$L2865*'Assumptions (T&amp;D)'!S$24</f>
        <v>0.1779112125</v>
      </c>
      <c r="AC2983" s="372">
        <f>$L2865*'Assumptions (T&amp;D)'!T$24</f>
        <v>0.1779112125</v>
      </c>
      <c r="AD2983" s="372">
        <f>$L2865*'Assumptions (T&amp;D)'!U$24</f>
        <v>0.1779112125</v>
      </c>
      <c r="AE2983" s="372">
        <f>$L2865*'Assumptions (T&amp;D)'!V$24</f>
        <v>0.1779112125</v>
      </c>
      <c r="AF2983" s="372">
        <f>$L2865*'Assumptions (T&amp;D)'!W$24</f>
        <v>0.08895560626</v>
      </c>
      <c r="AG2983" s="32"/>
      <c r="AH2983" s="32"/>
      <c r="AI2983" s="32"/>
      <c r="AJ2983" s="32"/>
      <c r="AK2983" s="32"/>
      <c r="AL2983" s="32"/>
      <c r="AM2983" s="32"/>
      <c r="AN2983" s="32"/>
      <c r="AO2983" s="32"/>
      <c r="AP2983" s="32"/>
      <c r="AQ2983" s="32"/>
      <c r="AR2983" s="32"/>
      <c r="AS2983" s="32"/>
      <c r="AT2983" s="32"/>
      <c r="AU2983" s="32"/>
      <c r="AV2983" s="32"/>
      <c r="AW2983" s="32"/>
      <c r="AX2983" s="32"/>
      <c r="AY2983" s="32"/>
      <c r="AZ2983" s="32"/>
      <c r="BA2983" s="32"/>
      <c r="BB2983" s="32"/>
      <c r="BC2983" s="32"/>
      <c r="BD2983" s="32"/>
      <c r="BE2983" s="32"/>
      <c r="BF2983" s="32"/>
      <c r="BG2983" s="32"/>
      <c r="BH2983" s="32"/>
      <c r="BI2983" s="32"/>
      <c r="BJ2983" s="32"/>
      <c r="BK2983" s="32"/>
      <c r="BL2983" s="32"/>
      <c r="BM2983" s="32"/>
      <c r="BN2983" s="32"/>
      <c r="BO2983" s="32"/>
      <c r="BP2983" s="32"/>
      <c r="BQ2983" s="32"/>
      <c r="BR2983" s="32"/>
      <c r="BS2983" s="32"/>
      <c r="BT2983" s="32"/>
      <c r="BU2983" s="32"/>
      <c r="BV2983" s="32"/>
      <c r="BW2983" s="32"/>
      <c r="BX2983" s="32"/>
      <c r="BY2983" s="32"/>
      <c r="BZ2983" s="32"/>
      <c r="CA2983" s="32"/>
      <c r="CB2983" s="32"/>
      <c r="CC2983" s="32"/>
      <c r="CD2983" s="32"/>
    </row>
    <row r="2984" ht="15.75" hidden="1" customHeight="1" outlineLevel="1">
      <c r="A2984" s="363"/>
      <c r="B2984" s="38"/>
      <c r="C2984" s="38"/>
      <c r="D2984" s="38"/>
      <c r="E2984" s="38"/>
      <c r="F2984" s="38"/>
      <c r="G2984" s="38"/>
      <c r="H2984" s="38"/>
      <c r="I2984" s="38"/>
      <c r="J2984" s="38"/>
      <c r="K2984" s="38"/>
      <c r="L2984" s="38"/>
      <c r="M2984" s="372">
        <f>$M2865*'Assumptions (T&amp;D)'!C$24</f>
        <v>0.14177433</v>
      </c>
      <c r="N2984" s="372">
        <f>$M2865*'Assumptions (T&amp;D)'!D$24</f>
        <v>0.2729628433</v>
      </c>
      <c r="O2984" s="372">
        <f>$M2865*'Assumptions (T&amp;D)'!E$24</f>
        <v>0.2525473398</v>
      </c>
      <c r="P2984" s="372">
        <f>$M2865*'Assumptions (T&amp;D)'!F$24</f>
        <v>0.2336440958</v>
      </c>
      <c r="Q2984" s="372">
        <f>$M2865*'Assumptions (T&amp;D)'!G$24</f>
        <v>0.2158750464</v>
      </c>
      <c r="R2984" s="372">
        <f>$M2865*'Assumptions (T&amp;D)'!H$24</f>
        <v>0.1999963215</v>
      </c>
      <c r="S2984" s="372">
        <f>$M2865*'Assumptions (T&amp;D)'!I$24</f>
        <v>0.1848737263</v>
      </c>
      <c r="T2984" s="372">
        <f>$M2865*'Assumptions (T&amp;D)'!J$24</f>
        <v>0.1708853257</v>
      </c>
      <c r="U2984" s="372">
        <f>$M2865*'Assumptions (T&amp;D)'!K$24</f>
        <v>0.1686169364</v>
      </c>
      <c r="V2984" s="372">
        <f>$M2865*'Assumptions (T&amp;D)'!L$24</f>
        <v>0.1686169364</v>
      </c>
      <c r="W2984" s="372">
        <f>$M2865*'Assumptions (T&amp;D)'!M$24</f>
        <v>0.1686169364</v>
      </c>
      <c r="X2984" s="372">
        <f>$M2865*'Assumptions (T&amp;D)'!N$24</f>
        <v>0.1686169364</v>
      </c>
      <c r="Y2984" s="372">
        <f>$M2865*'Assumptions (T&amp;D)'!O$24</f>
        <v>0.1686169364</v>
      </c>
      <c r="Z2984" s="372">
        <f>$M2865*'Assumptions (T&amp;D)'!P$24</f>
        <v>0.1686169364</v>
      </c>
      <c r="AA2984" s="372">
        <f>$M2865*'Assumptions (T&amp;D)'!Q$24</f>
        <v>0.1686169364</v>
      </c>
      <c r="AB2984" s="372">
        <f>$M2865*'Assumptions (T&amp;D)'!R$24</f>
        <v>0.1686169364</v>
      </c>
      <c r="AC2984" s="372">
        <f>$M2865*'Assumptions (T&amp;D)'!S$24</f>
        <v>0.1686169364</v>
      </c>
      <c r="AD2984" s="372">
        <f>$M2865*'Assumptions (T&amp;D)'!T$24</f>
        <v>0.1686169364</v>
      </c>
      <c r="AE2984" s="372">
        <f>$M2865*'Assumptions (T&amp;D)'!U$24</f>
        <v>0.1686169364</v>
      </c>
      <c r="AF2984" s="372">
        <f>$M2865*'Assumptions (T&amp;D)'!V$24</f>
        <v>0.1686169364</v>
      </c>
      <c r="AG2984" s="372">
        <f>$M2865*'Assumptions (T&amp;D)'!W$24</f>
        <v>0.08430846822</v>
      </c>
      <c r="AH2984" s="32"/>
      <c r="AI2984" s="32"/>
      <c r="AJ2984" s="32"/>
      <c r="AK2984" s="32"/>
      <c r="AL2984" s="32"/>
      <c r="AM2984" s="32"/>
      <c r="AN2984" s="32"/>
      <c r="AO2984" s="32"/>
      <c r="AP2984" s="32"/>
      <c r="AQ2984" s="32"/>
      <c r="AR2984" s="32"/>
      <c r="AS2984" s="32"/>
      <c r="AT2984" s="32"/>
      <c r="AU2984" s="32"/>
      <c r="AV2984" s="32"/>
      <c r="AW2984" s="32"/>
      <c r="AX2984" s="32"/>
      <c r="AY2984" s="32"/>
      <c r="AZ2984" s="32"/>
      <c r="BA2984" s="32"/>
      <c r="BB2984" s="32"/>
      <c r="BC2984" s="32"/>
      <c r="BD2984" s="32"/>
      <c r="BE2984" s="32"/>
      <c r="BF2984" s="32"/>
      <c r="BG2984" s="32"/>
      <c r="BH2984" s="32"/>
      <c r="BI2984" s="32"/>
      <c r="BJ2984" s="32"/>
      <c r="BK2984" s="32"/>
      <c r="BL2984" s="32"/>
      <c r="BM2984" s="32"/>
      <c r="BN2984" s="32"/>
      <c r="BO2984" s="32"/>
      <c r="BP2984" s="32"/>
      <c r="BQ2984" s="32"/>
      <c r="BR2984" s="32"/>
      <c r="BS2984" s="32"/>
      <c r="BT2984" s="32"/>
      <c r="BU2984" s="32"/>
      <c r="BV2984" s="32"/>
      <c r="BW2984" s="32"/>
      <c r="BX2984" s="32"/>
      <c r="BY2984" s="32"/>
      <c r="BZ2984" s="32"/>
      <c r="CA2984" s="32"/>
      <c r="CB2984" s="32"/>
      <c r="CC2984" s="32"/>
      <c r="CD2984" s="32"/>
    </row>
    <row r="2985" ht="15.75" hidden="1" customHeight="1" outlineLevel="1">
      <c r="A2985" s="363"/>
      <c r="B2985" s="38"/>
      <c r="C2985" s="38"/>
      <c r="D2985" s="38"/>
      <c r="E2985" s="38"/>
      <c r="F2985" s="38"/>
      <c r="G2985" s="38"/>
      <c r="H2985" s="38"/>
      <c r="I2985" s="38"/>
      <c r="J2985" s="38"/>
      <c r="K2985" s="38"/>
      <c r="L2985" s="38"/>
      <c r="M2985" s="38"/>
      <c r="N2985" s="372">
        <f>$N2865*'Assumptions (T&amp;D)'!C$24</f>
        <v>0.1587272067</v>
      </c>
      <c r="O2985" s="372">
        <f>$N2865*'Assumptions (T&amp;D)'!D$24</f>
        <v>0.305602782</v>
      </c>
      <c r="P2985" s="372">
        <f>$N2865*'Assumptions (T&amp;D)'!E$24</f>
        <v>0.2827460643</v>
      </c>
      <c r="Q2985" s="372">
        <f>$N2865*'Assumptions (T&amp;D)'!F$24</f>
        <v>0.2615824367</v>
      </c>
      <c r="R2985" s="372">
        <f>$N2865*'Assumptions (T&amp;D)'!G$24</f>
        <v>0.2416886268</v>
      </c>
      <c r="S2985" s="372">
        <f>$N2865*'Assumptions (T&amp;D)'!H$24</f>
        <v>0.2239111796</v>
      </c>
      <c r="T2985" s="372">
        <f>$N2865*'Assumptions (T&amp;D)'!I$24</f>
        <v>0.2069802776</v>
      </c>
      <c r="U2985" s="372">
        <f>$N2865*'Assumptions (T&amp;D)'!J$24</f>
        <v>0.1913191932</v>
      </c>
      <c r="V2985" s="372">
        <f>$N2865*'Assumptions (T&amp;D)'!K$24</f>
        <v>0.1887795579</v>
      </c>
      <c r="W2985" s="372">
        <f>$N2865*'Assumptions (T&amp;D)'!L$24</f>
        <v>0.1887795579</v>
      </c>
      <c r="X2985" s="372">
        <f>$N2865*'Assumptions (T&amp;D)'!M$24</f>
        <v>0.1887795579</v>
      </c>
      <c r="Y2985" s="372">
        <f>$N2865*'Assumptions (T&amp;D)'!N$24</f>
        <v>0.1887795579</v>
      </c>
      <c r="Z2985" s="372">
        <f>$N2865*'Assumptions (T&amp;D)'!O$24</f>
        <v>0.1887795579</v>
      </c>
      <c r="AA2985" s="372">
        <f>$N2865*'Assumptions (T&amp;D)'!P$24</f>
        <v>0.1887795579</v>
      </c>
      <c r="AB2985" s="372">
        <f>$N2865*'Assumptions (T&amp;D)'!Q$24</f>
        <v>0.1887795579</v>
      </c>
      <c r="AC2985" s="372">
        <f>$N2865*'Assumptions (T&amp;D)'!R$24</f>
        <v>0.1887795579</v>
      </c>
      <c r="AD2985" s="372">
        <f>$N2865*'Assumptions (T&amp;D)'!S$24</f>
        <v>0.1887795579</v>
      </c>
      <c r="AE2985" s="372">
        <f>$N2865*'Assumptions (T&amp;D)'!T$24</f>
        <v>0.1887795579</v>
      </c>
      <c r="AF2985" s="372">
        <f>$N2865*'Assumptions (T&amp;D)'!U$24</f>
        <v>0.1887795579</v>
      </c>
      <c r="AG2985" s="372">
        <f>$N2865*'Assumptions (T&amp;D)'!V$24</f>
        <v>0.1887795579</v>
      </c>
      <c r="AH2985" s="372">
        <f>$N2865*'Assumptions (T&amp;D)'!W$24</f>
        <v>0.09438977893</v>
      </c>
      <c r="AI2985" s="32"/>
      <c r="AJ2985" s="32"/>
      <c r="AK2985" s="32"/>
      <c r="AL2985" s="32"/>
      <c r="AM2985" s="32"/>
      <c r="AN2985" s="32"/>
      <c r="AO2985" s="32"/>
      <c r="AP2985" s="32"/>
      <c r="AQ2985" s="32"/>
      <c r="AR2985" s="32"/>
      <c r="AS2985" s="32"/>
      <c r="AT2985" s="32"/>
      <c r="AU2985" s="32"/>
      <c r="AV2985" s="32"/>
      <c r="AW2985" s="32"/>
      <c r="AX2985" s="32"/>
      <c r="AY2985" s="32"/>
      <c r="AZ2985" s="32"/>
      <c r="BA2985" s="32"/>
      <c r="BB2985" s="32"/>
      <c r="BC2985" s="32"/>
      <c r="BD2985" s="32"/>
      <c r="BE2985" s="32"/>
      <c r="BF2985" s="32"/>
      <c r="BG2985" s="32"/>
      <c r="BH2985" s="32"/>
      <c r="BI2985" s="32"/>
      <c r="BJ2985" s="32"/>
      <c r="BK2985" s="32"/>
      <c r="BL2985" s="32"/>
      <c r="BM2985" s="32"/>
      <c r="BN2985" s="32"/>
      <c r="BO2985" s="32"/>
      <c r="BP2985" s="32"/>
      <c r="BQ2985" s="32"/>
      <c r="BR2985" s="32"/>
      <c r="BS2985" s="32"/>
      <c r="BT2985" s="32"/>
      <c r="BU2985" s="32"/>
      <c r="BV2985" s="32"/>
      <c r="BW2985" s="32"/>
      <c r="BX2985" s="32"/>
      <c r="BY2985" s="32"/>
      <c r="BZ2985" s="32"/>
      <c r="CA2985" s="32"/>
      <c r="CB2985" s="32"/>
      <c r="CC2985" s="32"/>
      <c r="CD2985" s="32"/>
    </row>
    <row r="2986" ht="15.75" hidden="1" customHeight="1" outlineLevel="1">
      <c r="A2986" s="363"/>
      <c r="B2986" s="38"/>
      <c r="C2986" s="38"/>
      <c r="D2986" s="38"/>
      <c r="E2986" s="38"/>
      <c r="F2986" s="38"/>
      <c r="G2986" s="38"/>
      <c r="H2986" s="38"/>
      <c r="I2986" s="38"/>
      <c r="J2986" s="38"/>
      <c r="K2986" s="38"/>
      <c r="L2986" s="38"/>
      <c r="M2986" s="38"/>
      <c r="N2986" s="38"/>
      <c r="O2986" s="372">
        <f>$O2865*'Assumptions (T&amp;D)'!C$24</f>
        <v>0.1576717592</v>
      </c>
      <c r="P2986" s="372">
        <f>$O2865*'Assumptions (T&amp;D)'!D$24</f>
        <v>0.3035706937</v>
      </c>
      <c r="Q2986" s="372">
        <f>$O2865*'Assumptions (T&amp;D)'!E$24</f>
        <v>0.2808659604</v>
      </c>
      <c r="R2986" s="372">
        <f>$O2865*'Assumptions (T&amp;D)'!F$24</f>
        <v>0.2598430592</v>
      </c>
      <c r="S2986" s="372">
        <f>$O2865*'Assumptions (T&amp;D)'!G$24</f>
        <v>0.240081532</v>
      </c>
      <c r="T2986" s="372">
        <f>$O2865*'Assumptions (T&amp;D)'!H$24</f>
        <v>0.222422295</v>
      </c>
      <c r="U2986" s="372">
        <f>$O2865*'Assumptions (T&amp;D)'!I$24</f>
        <v>0.205603974</v>
      </c>
      <c r="V2986" s="372">
        <f>$O2865*'Assumptions (T&amp;D)'!J$24</f>
        <v>0.1900470271</v>
      </c>
      <c r="W2986" s="372">
        <f>$O2865*'Assumptions (T&amp;D)'!K$24</f>
        <v>0.187524279</v>
      </c>
      <c r="X2986" s="372">
        <f>$O2865*'Assumptions (T&amp;D)'!L$24</f>
        <v>0.187524279</v>
      </c>
      <c r="Y2986" s="372">
        <f>$O2865*'Assumptions (T&amp;D)'!M$24</f>
        <v>0.187524279</v>
      </c>
      <c r="Z2986" s="372">
        <f>$O2865*'Assumptions (T&amp;D)'!N$24</f>
        <v>0.187524279</v>
      </c>
      <c r="AA2986" s="372">
        <f>$O2865*'Assumptions (T&amp;D)'!O$24</f>
        <v>0.187524279</v>
      </c>
      <c r="AB2986" s="372">
        <f>$O2865*'Assumptions (T&amp;D)'!P$24</f>
        <v>0.187524279</v>
      </c>
      <c r="AC2986" s="372">
        <f>$O2865*'Assumptions (T&amp;D)'!Q$24</f>
        <v>0.187524279</v>
      </c>
      <c r="AD2986" s="372">
        <f>$O2865*'Assumptions (T&amp;D)'!R$24</f>
        <v>0.187524279</v>
      </c>
      <c r="AE2986" s="372">
        <f>$O2865*'Assumptions (T&amp;D)'!S$24</f>
        <v>0.187524279</v>
      </c>
      <c r="AF2986" s="372">
        <f>$O2865*'Assumptions (T&amp;D)'!T$24</f>
        <v>0.187524279</v>
      </c>
      <c r="AG2986" s="372">
        <f>$O2865*'Assumptions (T&amp;D)'!U$24</f>
        <v>0.187524279</v>
      </c>
      <c r="AH2986" s="372">
        <f>$O2865*'Assumptions (T&amp;D)'!V$24</f>
        <v>0.187524279</v>
      </c>
      <c r="AI2986" s="372">
        <f>$O2865*'Assumptions (T&amp;D)'!W$24</f>
        <v>0.09376213948</v>
      </c>
      <c r="AJ2986" s="32"/>
      <c r="AK2986" s="32"/>
      <c r="AL2986" s="32"/>
      <c r="AM2986" s="32"/>
      <c r="AN2986" s="32"/>
      <c r="AO2986" s="32"/>
      <c r="AP2986" s="32"/>
      <c r="AQ2986" s="32"/>
      <c r="AR2986" s="32"/>
      <c r="AS2986" s="32"/>
      <c r="AT2986" s="32"/>
      <c r="AU2986" s="32"/>
      <c r="AV2986" s="32"/>
      <c r="AW2986" s="32"/>
      <c r="AX2986" s="32"/>
      <c r="AY2986" s="32"/>
      <c r="AZ2986" s="32"/>
      <c r="BA2986" s="32"/>
      <c r="BB2986" s="32"/>
      <c r="BC2986" s="32"/>
      <c r="BD2986" s="32"/>
      <c r="BE2986" s="32"/>
      <c r="BF2986" s="32"/>
      <c r="BG2986" s="32"/>
      <c r="BH2986" s="32"/>
      <c r="BI2986" s="32"/>
      <c r="BJ2986" s="32"/>
      <c r="BK2986" s="32"/>
      <c r="BL2986" s="32"/>
      <c r="BM2986" s="32"/>
      <c r="BN2986" s="32"/>
      <c r="BO2986" s="32"/>
      <c r="BP2986" s="32"/>
      <c r="BQ2986" s="32"/>
      <c r="BR2986" s="32"/>
      <c r="BS2986" s="32"/>
      <c r="BT2986" s="32"/>
      <c r="BU2986" s="32"/>
      <c r="BV2986" s="32"/>
      <c r="BW2986" s="32"/>
      <c r="BX2986" s="32"/>
      <c r="BY2986" s="32"/>
      <c r="BZ2986" s="32"/>
      <c r="CA2986" s="32"/>
      <c r="CB2986" s="32"/>
      <c r="CC2986" s="32"/>
      <c r="CD2986" s="32"/>
    </row>
    <row r="2987" ht="15.75" hidden="1" customHeight="1" outlineLevel="1">
      <c r="A2987" s="363"/>
      <c r="B2987" s="38"/>
      <c r="C2987" s="38"/>
      <c r="D2987" s="38"/>
      <c r="E2987" s="38"/>
      <c r="F2987" s="38"/>
      <c r="G2987" s="38"/>
      <c r="H2987" s="38"/>
      <c r="I2987" s="38"/>
      <c r="J2987" s="38"/>
      <c r="K2987" s="38"/>
      <c r="L2987" s="38"/>
      <c r="M2987" s="38"/>
      <c r="N2987" s="38"/>
      <c r="O2987" s="38"/>
      <c r="P2987" s="372">
        <f>$P2865*'Assumptions (T&amp;D)'!C$24</f>
        <v>0.1631411789</v>
      </c>
      <c r="Q2987" s="372">
        <f>$P2865*'Assumptions (T&amp;D)'!D$24</f>
        <v>0.3141011498</v>
      </c>
      <c r="R2987" s="372">
        <f>$P2865*'Assumptions (T&amp;D)'!E$24</f>
        <v>0.29060882</v>
      </c>
      <c r="S2987" s="372">
        <f>$P2865*'Assumptions (T&amp;D)'!F$24</f>
        <v>0.2688566628</v>
      </c>
      <c r="T2987" s="372">
        <f>$P2865*'Assumptions (T&amp;D)'!G$24</f>
        <v>0.2484096351</v>
      </c>
      <c r="U2987" s="372">
        <f>$P2865*'Assumptions (T&amp;D)'!H$24</f>
        <v>0.230137823</v>
      </c>
      <c r="V2987" s="372">
        <f>$P2865*'Assumptions (T&amp;D)'!I$24</f>
        <v>0.2127360973</v>
      </c>
      <c r="W2987" s="372">
        <f>$P2865*'Assumptions (T&amp;D)'!J$24</f>
        <v>0.196639501</v>
      </c>
      <c r="X2987" s="372">
        <f>$P2865*'Assumptions (T&amp;D)'!K$24</f>
        <v>0.1940292421</v>
      </c>
      <c r="Y2987" s="372">
        <f>$P2865*'Assumptions (T&amp;D)'!L$24</f>
        <v>0.1940292421</v>
      </c>
      <c r="Z2987" s="372">
        <f>$P2865*'Assumptions (T&amp;D)'!M$24</f>
        <v>0.1940292421</v>
      </c>
      <c r="AA2987" s="372">
        <f>$P2865*'Assumptions (T&amp;D)'!N$24</f>
        <v>0.1940292421</v>
      </c>
      <c r="AB2987" s="372">
        <f>$P2865*'Assumptions (T&amp;D)'!O$24</f>
        <v>0.1940292421</v>
      </c>
      <c r="AC2987" s="372">
        <f>$P2865*'Assumptions (T&amp;D)'!P$24</f>
        <v>0.1940292421</v>
      </c>
      <c r="AD2987" s="372">
        <f>$P2865*'Assumptions (T&amp;D)'!Q$24</f>
        <v>0.1940292421</v>
      </c>
      <c r="AE2987" s="372">
        <f>$P2865*'Assumptions (T&amp;D)'!R$24</f>
        <v>0.1940292421</v>
      </c>
      <c r="AF2987" s="372">
        <f>$P2865*'Assumptions (T&amp;D)'!S$24</f>
        <v>0.1940292421</v>
      </c>
      <c r="AG2987" s="372">
        <f>$P2865*'Assumptions (T&amp;D)'!T$24</f>
        <v>0.1940292421</v>
      </c>
      <c r="AH2987" s="372">
        <f>$P2865*'Assumptions (T&amp;D)'!U$24</f>
        <v>0.1940292421</v>
      </c>
      <c r="AI2987" s="372">
        <f>$P2865*'Assumptions (T&amp;D)'!V$24</f>
        <v>0.1940292421</v>
      </c>
      <c r="AJ2987" s="372">
        <f>$P2865*'Assumptions (T&amp;D)'!W$24</f>
        <v>0.09701462105</v>
      </c>
      <c r="AK2987" s="32"/>
      <c r="AL2987" s="32"/>
      <c r="AM2987" s="32"/>
      <c r="AN2987" s="32"/>
      <c r="AO2987" s="32"/>
      <c r="AP2987" s="32"/>
      <c r="AQ2987" s="32"/>
      <c r="AR2987" s="32"/>
      <c r="AS2987" s="32"/>
      <c r="AT2987" s="32"/>
      <c r="AU2987" s="32"/>
      <c r="AV2987" s="32"/>
      <c r="AW2987" s="32"/>
      <c r="AX2987" s="32"/>
      <c r="AY2987" s="32"/>
      <c r="AZ2987" s="32"/>
      <c r="BA2987" s="32"/>
      <c r="BB2987" s="32"/>
      <c r="BC2987" s="32"/>
      <c r="BD2987" s="32"/>
      <c r="BE2987" s="32"/>
      <c r="BF2987" s="32"/>
      <c r="BG2987" s="32"/>
      <c r="BH2987" s="32"/>
      <c r="BI2987" s="32"/>
      <c r="BJ2987" s="32"/>
      <c r="BK2987" s="32"/>
      <c r="BL2987" s="32"/>
      <c r="BM2987" s="32"/>
      <c r="BN2987" s="32"/>
      <c r="BO2987" s="32"/>
      <c r="BP2987" s="32"/>
      <c r="BQ2987" s="32"/>
      <c r="BR2987" s="32"/>
      <c r="BS2987" s="32"/>
      <c r="BT2987" s="32"/>
      <c r="BU2987" s="32"/>
      <c r="BV2987" s="32"/>
      <c r="BW2987" s="32"/>
      <c r="BX2987" s="32"/>
      <c r="BY2987" s="32"/>
      <c r="BZ2987" s="32"/>
      <c r="CA2987" s="32"/>
      <c r="CB2987" s="32"/>
      <c r="CC2987" s="32"/>
      <c r="CD2987" s="32"/>
    </row>
    <row r="2988" ht="15.75" hidden="1" customHeight="1" outlineLevel="1">
      <c r="A2988" s="363"/>
      <c r="B2988" s="38"/>
      <c r="C2988" s="38"/>
      <c r="D2988" s="38"/>
      <c r="E2988" s="38"/>
      <c r="F2988" s="38"/>
      <c r="G2988" s="38"/>
      <c r="H2988" s="38"/>
      <c r="I2988" s="38"/>
      <c r="J2988" s="38"/>
      <c r="K2988" s="38"/>
      <c r="L2988" s="38"/>
      <c r="M2988" s="38"/>
      <c r="N2988" s="38"/>
      <c r="O2988" s="38"/>
      <c r="P2988" s="38"/>
      <c r="Q2988" s="372">
        <f>$Q2865*'Assumptions (T&amp;D)'!C$24</f>
        <v>0.1712777199</v>
      </c>
      <c r="R2988" s="372">
        <f>$Q2865*'Assumptions (T&amp;D)'!D$24</f>
        <v>0.3297667034</v>
      </c>
      <c r="S2988" s="372">
        <f>$Q2865*'Assumptions (T&amp;D)'!E$24</f>
        <v>0.3051027117</v>
      </c>
      <c r="T2988" s="372">
        <f>$Q2865*'Assumptions (T&amp;D)'!F$24</f>
        <v>0.2822656824</v>
      </c>
      <c r="U2988" s="372">
        <f>$Q2865*'Assumptions (T&amp;D)'!G$24</f>
        <v>0.2607988748</v>
      </c>
      <c r="V2988" s="372">
        <f>$Q2865*'Assumptions (T&amp;D)'!H$24</f>
        <v>0.2416157702</v>
      </c>
      <c r="W2988" s="372">
        <f>$Q2865*'Assumptions (T&amp;D)'!I$24</f>
        <v>0.2233461468</v>
      </c>
      <c r="X2988" s="372">
        <f>$Q2865*'Assumptions (T&amp;D)'!J$24</f>
        <v>0.2064467451</v>
      </c>
      <c r="Y2988" s="372">
        <f>$Q2865*'Assumptions (T&amp;D)'!K$24</f>
        <v>0.2037063015</v>
      </c>
      <c r="Z2988" s="372">
        <f>$Q2865*'Assumptions (T&amp;D)'!L$24</f>
        <v>0.2037063015</v>
      </c>
      <c r="AA2988" s="372">
        <f>$Q2865*'Assumptions (T&amp;D)'!M$24</f>
        <v>0.2037063015</v>
      </c>
      <c r="AB2988" s="372">
        <f>$Q2865*'Assumptions (T&amp;D)'!N$24</f>
        <v>0.2037063015</v>
      </c>
      <c r="AC2988" s="372">
        <f>$Q2865*'Assumptions (T&amp;D)'!O$24</f>
        <v>0.2037063015</v>
      </c>
      <c r="AD2988" s="372">
        <f>$Q2865*'Assumptions (T&amp;D)'!P$24</f>
        <v>0.2037063015</v>
      </c>
      <c r="AE2988" s="372">
        <f>$Q2865*'Assumptions (T&amp;D)'!Q$24</f>
        <v>0.2037063015</v>
      </c>
      <c r="AF2988" s="372">
        <f>$Q2865*'Assumptions (T&amp;D)'!R$24</f>
        <v>0.2037063015</v>
      </c>
      <c r="AG2988" s="372">
        <f>$Q2865*'Assumptions (T&amp;D)'!S$24</f>
        <v>0.2037063015</v>
      </c>
      <c r="AH2988" s="372">
        <f>$Q2865*'Assumptions (T&amp;D)'!T$24</f>
        <v>0.2037063015</v>
      </c>
      <c r="AI2988" s="372">
        <f>$Q2865*'Assumptions (T&amp;D)'!U$24</f>
        <v>0.2037063015</v>
      </c>
      <c r="AJ2988" s="372">
        <f>$Q2865*'Assumptions (T&amp;D)'!V$24</f>
        <v>0.2037063015</v>
      </c>
      <c r="AK2988" s="372">
        <f>$Q2865*'Assumptions (T&amp;D)'!W$24</f>
        <v>0.1018531508</v>
      </c>
      <c r="AL2988" s="32"/>
      <c r="AM2988" s="32"/>
      <c r="AN2988" s="32"/>
      <c r="AO2988" s="32"/>
      <c r="AP2988" s="32"/>
      <c r="AQ2988" s="32"/>
      <c r="AR2988" s="32"/>
      <c r="AS2988" s="32"/>
      <c r="AT2988" s="32"/>
      <c r="AU2988" s="32"/>
      <c r="AV2988" s="32"/>
      <c r="AW2988" s="32"/>
      <c r="AX2988" s="32"/>
      <c r="AY2988" s="32"/>
      <c r="AZ2988" s="32"/>
      <c r="BA2988" s="32"/>
      <c r="BB2988" s="32"/>
      <c r="BC2988" s="32"/>
      <c r="BD2988" s="32"/>
      <c r="BE2988" s="32"/>
      <c r="BF2988" s="32"/>
      <c r="BG2988" s="32"/>
      <c r="BH2988" s="32"/>
      <c r="BI2988" s="32"/>
      <c r="BJ2988" s="32"/>
      <c r="BK2988" s="32"/>
      <c r="BL2988" s="32"/>
      <c r="BM2988" s="32"/>
      <c r="BN2988" s="32"/>
      <c r="BO2988" s="32"/>
      <c r="BP2988" s="32"/>
      <c r="BQ2988" s="32"/>
      <c r="BR2988" s="32"/>
      <c r="BS2988" s="32"/>
      <c r="BT2988" s="32"/>
      <c r="BU2988" s="32"/>
      <c r="BV2988" s="32"/>
      <c r="BW2988" s="32"/>
      <c r="BX2988" s="32"/>
      <c r="BY2988" s="32"/>
      <c r="BZ2988" s="32"/>
      <c r="CA2988" s="32"/>
      <c r="CB2988" s="32"/>
      <c r="CC2988" s="32"/>
      <c r="CD2988" s="32"/>
    </row>
    <row r="2989" ht="15.75" hidden="1" customHeight="1" outlineLevel="1">
      <c r="A2989" s="363"/>
      <c r="B2989" s="38"/>
      <c r="C2989" s="38"/>
      <c r="D2989" s="38"/>
      <c r="E2989" s="38"/>
      <c r="F2989" s="38"/>
      <c r="G2989" s="38"/>
      <c r="H2989" s="38"/>
      <c r="I2989" s="38"/>
      <c r="J2989" s="38"/>
      <c r="K2989" s="38"/>
      <c r="L2989" s="38"/>
      <c r="M2989" s="38"/>
      <c r="N2989" s="38"/>
      <c r="O2989" s="38"/>
      <c r="P2989" s="38"/>
      <c r="Q2989" s="38"/>
      <c r="R2989" s="372">
        <f>$R2865*'Assumptions (T&amp;D)'!C$24</f>
        <v>0.1906354894</v>
      </c>
      <c r="S2989" s="372">
        <f>$R2865*'Assumptions (T&amp;D)'!D$24</f>
        <v>0.3670368623</v>
      </c>
      <c r="T2989" s="372">
        <f>$R2865*'Assumptions (T&amp;D)'!E$24</f>
        <v>0.3395853518</v>
      </c>
      <c r="U2989" s="372">
        <f>$R2865*'Assumptions (T&amp;D)'!F$24</f>
        <v>0.3141672866</v>
      </c>
      <c r="V2989" s="372">
        <f>$R2865*'Assumptions (T&amp;D)'!G$24</f>
        <v>0.2902743052</v>
      </c>
      <c r="W2989" s="372">
        <f>$R2865*'Assumptions (T&amp;D)'!H$24</f>
        <v>0.2689231304</v>
      </c>
      <c r="X2989" s="372">
        <f>$R2865*'Assumptions (T&amp;D)'!I$24</f>
        <v>0.2485886782</v>
      </c>
      <c r="Y2989" s="372">
        <f>$R2865*'Assumptions (T&amp;D)'!J$24</f>
        <v>0.2297793099</v>
      </c>
      <c r="Z2989" s="372">
        <f>$R2865*'Assumptions (T&amp;D)'!K$24</f>
        <v>0.2267291421</v>
      </c>
      <c r="AA2989" s="372">
        <f>$R2865*'Assumptions (T&amp;D)'!L$24</f>
        <v>0.2267291421</v>
      </c>
      <c r="AB2989" s="372">
        <f>$R2865*'Assumptions (T&amp;D)'!M$24</f>
        <v>0.2267291421</v>
      </c>
      <c r="AC2989" s="372">
        <f>$R2865*'Assumptions (T&amp;D)'!N$24</f>
        <v>0.2267291421</v>
      </c>
      <c r="AD2989" s="372">
        <f>$R2865*'Assumptions (T&amp;D)'!O$24</f>
        <v>0.2267291421</v>
      </c>
      <c r="AE2989" s="372">
        <f>$R2865*'Assumptions (T&amp;D)'!P$24</f>
        <v>0.2267291421</v>
      </c>
      <c r="AF2989" s="372">
        <f>$R2865*'Assumptions (T&amp;D)'!Q$24</f>
        <v>0.2267291421</v>
      </c>
      <c r="AG2989" s="372">
        <f>$R2865*'Assumptions (T&amp;D)'!R$24</f>
        <v>0.2267291421</v>
      </c>
      <c r="AH2989" s="372">
        <f>$R2865*'Assumptions (T&amp;D)'!S$24</f>
        <v>0.2267291421</v>
      </c>
      <c r="AI2989" s="372">
        <f>$R2865*'Assumptions (T&amp;D)'!T$24</f>
        <v>0.2267291421</v>
      </c>
      <c r="AJ2989" s="372">
        <f>$R2865*'Assumptions (T&amp;D)'!U$24</f>
        <v>0.2267291421</v>
      </c>
      <c r="AK2989" s="372">
        <f>$R2865*'Assumptions (T&amp;D)'!V$24</f>
        <v>0.2267291421</v>
      </c>
      <c r="AL2989" s="372">
        <f>$R2865*'Assumptions (T&amp;D)'!W$24</f>
        <v>0.113364571</v>
      </c>
      <c r="AM2989" s="32"/>
      <c r="AN2989" s="32"/>
      <c r="AO2989" s="32"/>
      <c r="AP2989" s="32"/>
      <c r="AQ2989" s="32"/>
      <c r="AR2989" s="32"/>
      <c r="AS2989" s="32"/>
      <c r="AT2989" s="32"/>
      <c r="AU2989" s="32"/>
      <c r="AV2989" s="32"/>
      <c r="AW2989" s="32"/>
      <c r="AX2989" s="32"/>
      <c r="AY2989" s="32"/>
      <c r="AZ2989" s="32"/>
      <c r="BA2989" s="32"/>
      <c r="BB2989" s="32"/>
      <c r="BC2989" s="32"/>
      <c r="BD2989" s="32"/>
      <c r="BE2989" s="32"/>
      <c r="BF2989" s="32"/>
      <c r="BG2989" s="32"/>
      <c r="BH2989" s="32"/>
      <c r="BI2989" s="32"/>
      <c r="BJ2989" s="32"/>
      <c r="BK2989" s="32"/>
      <c r="BL2989" s="32"/>
      <c r="BM2989" s="32"/>
      <c r="BN2989" s="32"/>
      <c r="BO2989" s="32"/>
      <c r="BP2989" s="32"/>
      <c r="BQ2989" s="32"/>
      <c r="BR2989" s="32"/>
      <c r="BS2989" s="32"/>
      <c r="BT2989" s="32"/>
      <c r="BU2989" s="32"/>
      <c r="BV2989" s="32"/>
      <c r="BW2989" s="32"/>
      <c r="BX2989" s="32"/>
      <c r="BY2989" s="32"/>
      <c r="BZ2989" s="32"/>
      <c r="CA2989" s="32"/>
      <c r="CB2989" s="32"/>
      <c r="CC2989" s="32"/>
      <c r="CD2989" s="32"/>
    </row>
    <row r="2990" ht="15.75" hidden="1" customHeight="1" outlineLevel="1">
      <c r="A2990" s="363"/>
      <c r="B2990" s="38"/>
      <c r="C2990" s="38"/>
      <c r="D2990" s="38"/>
      <c r="E2990" s="38"/>
      <c r="F2990" s="38"/>
      <c r="G2990" s="38"/>
      <c r="H2990" s="38"/>
      <c r="I2990" s="38"/>
      <c r="J2990" s="38"/>
      <c r="K2990" s="38"/>
      <c r="L2990" s="38"/>
      <c r="M2990" s="38"/>
      <c r="N2990" s="38"/>
      <c r="O2990" s="38"/>
      <c r="P2990" s="38"/>
      <c r="Q2990" s="38"/>
      <c r="R2990" s="38"/>
      <c r="S2990" s="372">
        <f>$S2865*'Assumptions (T&amp;D)'!C$24</f>
        <v>0.2171784284</v>
      </c>
      <c r="T2990" s="372">
        <f>$S2865*'Assumptions (T&amp;D)'!D$24</f>
        <v>0.4181408675</v>
      </c>
      <c r="U2990" s="372">
        <f>$S2865*'Assumptions (T&amp;D)'!E$24</f>
        <v>0.3868671738</v>
      </c>
      <c r="V2990" s="372">
        <f>$S2865*'Assumptions (T&amp;D)'!F$24</f>
        <v>0.35791005</v>
      </c>
      <c r="W2990" s="372">
        <f>$S2865*'Assumptions (T&amp;D)'!G$24</f>
        <v>0.3306903537</v>
      </c>
      <c r="X2990" s="372">
        <f>$S2865*'Assumptions (T&amp;D)'!H$24</f>
        <v>0.3063663697</v>
      </c>
      <c r="Y2990" s="372">
        <f>$S2865*'Assumptions (T&amp;D)'!I$24</f>
        <v>0.2832006707</v>
      </c>
      <c r="Z2990" s="372">
        <f>$S2865*'Assumptions (T&amp;D)'!J$24</f>
        <v>0.2617723991</v>
      </c>
      <c r="AA2990" s="372">
        <f>$S2865*'Assumptions (T&amp;D)'!K$24</f>
        <v>0.2582975442</v>
      </c>
      <c r="AB2990" s="372">
        <f>$S2865*'Assumptions (T&amp;D)'!L$24</f>
        <v>0.2582975442</v>
      </c>
      <c r="AC2990" s="372">
        <f>$S2865*'Assumptions (T&amp;D)'!M$24</f>
        <v>0.2582975442</v>
      </c>
      <c r="AD2990" s="372">
        <f>$S2865*'Assumptions (T&amp;D)'!N$24</f>
        <v>0.2582975442</v>
      </c>
      <c r="AE2990" s="372">
        <f>$S2865*'Assumptions (T&amp;D)'!O$24</f>
        <v>0.2582975442</v>
      </c>
      <c r="AF2990" s="372">
        <f>$S2865*'Assumptions (T&amp;D)'!P$24</f>
        <v>0.2582975442</v>
      </c>
      <c r="AG2990" s="372">
        <f>$S2865*'Assumptions (T&amp;D)'!Q$24</f>
        <v>0.2582975442</v>
      </c>
      <c r="AH2990" s="372">
        <f>$S2865*'Assumptions (T&amp;D)'!R$24</f>
        <v>0.2582975442</v>
      </c>
      <c r="AI2990" s="372">
        <f>$S2865*'Assumptions (T&amp;D)'!S$24</f>
        <v>0.2582975442</v>
      </c>
      <c r="AJ2990" s="372">
        <f>$S2865*'Assumptions (T&amp;D)'!T$24</f>
        <v>0.2582975442</v>
      </c>
      <c r="AK2990" s="372">
        <f>$S2865*'Assumptions (T&amp;D)'!U$24</f>
        <v>0.2582975442</v>
      </c>
      <c r="AL2990" s="372">
        <f>$S2865*'Assumptions (T&amp;D)'!V$24</f>
        <v>0.2582975442</v>
      </c>
      <c r="AM2990" s="372">
        <f>$S2865*'Assumptions (T&amp;D)'!W$24</f>
        <v>0.1291487721</v>
      </c>
      <c r="AN2990" s="32"/>
      <c r="AO2990" s="32"/>
      <c r="AP2990" s="32"/>
      <c r="AQ2990" s="32"/>
      <c r="AR2990" s="32"/>
      <c r="AS2990" s="32"/>
      <c r="AT2990" s="32"/>
      <c r="AU2990" s="32"/>
      <c r="AV2990" s="32"/>
      <c r="AW2990" s="32"/>
      <c r="AX2990" s="32"/>
      <c r="AY2990" s="32"/>
      <c r="AZ2990" s="32"/>
      <c r="BA2990" s="32"/>
      <c r="BB2990" s="32"/>
      <c r="BC2990" s="32"/>
      <c r="BD2990" s="32"/>
      <c r="BE2990" s="32"/>
      <c r="BF2990" s="32"/>
      <c r="BG2990" s="32"/>
      <c r="BH2990" s="32"/>
      <c r="BI2990" s="32"/>
      <c r="BJ2990" s="32"/>
      <c r="BK2990" s="32"/>
      <c r="BL2990" s="32"/>
      <c r="BM2990" s="32"/>
      <c r="BN2990" s="32"/>
      <c r="BO2990" s="32"/>
      <c r="BP2990" s="32"/>
      <c r="BQ2990" s="32"/>
      <c r="BR2990" s="32"/>
      <c r="BS2990" s="32"/>
      <c r="BT2990" s="32"/>
      <c r="BU2990" s="32"/>
      <c r="BV2990" s="32"/>
      <c r="BW2990" s="32"/>
      <c r="BX2990" s="32"/>
      <c r="BY2990" s="32"/>
      <c r="BZ2990" s="32"/>
      <c r="CA2990" s="32"/>
      <c r="CB2990" s="32"/>
      <c r="CC2990" s="32"/>
      <c r="CD2990" s="32"/>
    </row>
    <row r="2991" ht="15.75" hidden="1" customHeight="1" outlineLevel="1">
      <c r="A2991" s="363"/>
      <c r="B2991" s="38"/>
      <c r="C2991" s="38"/>
      <c r="D2991" s="38"/>
      <c r="E2991" s="38"/>
      <c r="F2991" s="38"/>
      <c r="G2991" s="38"/>
      <c r="H2991" s="38"/>
      <c r="I2991" s="38"/>
      <c r="J2991" s="38"/>
      <c r="K2991" s="38"/>
      <c r="L2991" s="38"/>
      <c r="M2991" s="38"/>
      <c r="N2991" s="38"/>
      <c r="O2991" s="38"/>
      <c r="P2991" s="38"/>
      <c r="Q2991" s="38"/>
      <c r="R2991" s="38"/>
      <c r="S2991" s="38"/>
      <c r="T2991" s="372">
        <f>$T2865*'Assumptions (T&amp;D)'!C$24</f>
        <v>0.192193985</v>
      </c>
      <c r="U2991" s="372">
        <f>$T2865*'Assumptions (T&amp;D)'!D$24</f>
        <v>0.3700374857</v>
      </c>
      <c r="V2991" s="372">
        <f>$T2865*'Assumptions (T&amp;D)'!E$24</f>
        <v>0.3423615519</v>
      </c>
      <c r="W2991" s="372">
        <f>$T2865*'Assumptions (T&amp;D)'!F$24</f>
        <v>0.3167356872</v>
      </c>
      <c r="X2991" s="372">
        <f>$T2865*'Assumptions (T&amp;D)'!G$24</f>
        <v>0.2926473744</v>
      </c>
      <c r="Y2991" s="372">
        <f>$T2865*'Assumptions (T&amp;D)'!H$24</f>
        <v>0.2711216481</v>
      </c>
      <c r="Z2991" s="372">
        <f>$T2865*'Assumptions (T&amp;D)'!I$24</f>
        <v>0.2506209564</v>
      </c>
      <c r="AA2991" s="372">
        <f>$T2865*'Assumptions (T&amp;D)'!J$24</f>
        <v>0.2316578165</v>
      </c>
      <c r="AB2991" s="372">
        <f>$T2865*'Assumptions (T&amp;D)'!K$24</f>
        <v>0.2285827128</v>
      </c>
      <c r="AC2991" s="372">
        <f>$T2865*'Assumptions (T&amp;D)'!L$24</f>
        <v>0.2285827128</v>
      </c>
      <c r="AD2991" s="372">
        <f>$T2865*'Assumptions (T&amp;D)'!M$24</f>
        <v>0.2285827128</v>
      </c>
      <c r="AE2991" s="372">
        <f>$T2865*'Assumptions (T&amp;D)'!N$24</f>
        <v>0.2285827128</v>
      </c>
      <c r="AF2991" s="372">
        <f>$T2865*'Assumptions (T&amp;D)'!O$24</f>
        <v>0.2285827128</v>
      </c>
      <c r="AG2991" s="372">
        <f>$T2865*'Assumptions (T&amp;D)'!P$24</f>
        <v>0.2285827128</v>
      </c>
      <c r="AH2991" s="372">
        <f>$T2865*'Assumptions (T&amp;D)'!Q$24</f>
        <v>0.2285827128</v>
      </c>
      <c r="AI2991" s="372">
        <f>$T2865*'Assumptions (T&amp;D)'!R$24</f>
        <v>0.2285827128</v>
      </c>
      <c r="AJ2991" s="372">
        <f>$T2865*'Assumptions (T&amp;D)'!S$24</f>
        <v>0.2285827128</v>
      </c>
      <c r="AK2991" s="372">
        <f>$T2865*'Assumptions (T&amp;D)'!T$24</f>
        <v>0.2285827128</v>
      </c>
      <c r="AL2991" s="372">
        <f>$T2865*'Assumptions (T&amp;D)'!U$24</f>
        <v>0.2285827128</v>
      </c>
      <c r="AM2991" s="372">
        <f>$T2865*'Assumptions (T&amp;D)'!V$24</f>
        <v>0.2285827128</v>
      </c>
      <c r="AN2991" s="372">
        <f>$T2865*'Assumptions (T&amp;D)'!W$24</f>
        <v>0.1142913564</v>
      </c>
      <c r="AO2991" s="32"/>
      <c r="AP2991" s="32"/>
      <c r="AQ2991" s="32"/>
      <c r="AR2991" s="32"/>
      <c r="AS2991" s="32"/>
      <c r="AT2991" s="32"/>
      <c r="AU2991" s="32"/>
      <c r="AV2991" s="32"/>
      <c r="AW2991" s="32"/>
      <c r="AX2991" s="32"/>
      <c r="AY2991" s="32"/>
      <c r="AZ2991" s="32"/>
      <c r="BA2991" s="32"/>
      <c r="BB2991" s="32"/>
      <c r="BC2991" s="32"/>
      <c r="BD2991" s="32"/>
      <c r="BE2991" s="32"/>
      <c r="BF2991" s="32"/>
      <c r="BG2991" s="32"/>
      <c r="BH2991" s="32"/>
      <c r="BI2991" s="32"/>
      <c r="BJ2991" s="32"/>
      <c r="BK2991" s="32"/>
      <c r="BL2991" s="32"/>
      <c r="BM2991" s="32"/>
      <c r="BN2991" s="32"/>
      <c r="BO2991" s="32"/>
      <c r="BP2991" s="32"/>
      <c r="BQ2991" s="32"/>
      <c r="BR2991" s="32"/>
      <c r="BS2991" s="32"/>
      <c r="BT2991" s="32"/>
      <c r="BU2991" s="32"/>
      <c r="BV2991" s="32"/>
      <c r="BW2991" s="32"/>
      <c r="BX2991" s="32"/>
      <c r="BY2991" s="32"/>
      <c r="BZ2991" s="32"/>
      <c r="CA2991" s="32"/>
      <c r="CB2991" s="32"/>
      <c r="CC2991" s="32"/>
      <c r="CD2991" s="32"/>
    </row>
    <row r="2992" ht="15.75" hidden="1" customHeight="1" outlineLevel="1">
      <c r="A2992" s="363"/>
      <c r="B2992" s="38"/>
      <c r="C2992" s="38"/>
      <c r="D2992" s="38"/>
      <c r="E2992" s="38"/>
      <c r="F2992" s="38"/>
      <c r="G2992" s="38"/>
      <c r="H2992" s="38"/>
      <c r="I2992" s="38"/>
      <c r="J2992" s="38"/>
      <c r="K2992" s="38"/>
      <c r="L2992" s="38"/>
      <c r="M2992" s="38"/>
      <c r="N2992" s="38"/>
      <c r="O2992" s="38"/>
      <c r="P2992" s="38"/>
      <c r="Q2992" s="38"/>
      <c r="R2992" s="38"/>
      <c r="S2992" s="38"/>
      <c r="T2992" s="38"/>
      <c r="U2992" s="372">
        <f>$U2865*'Assumptions (T&amp;D)'!C$24</f>
        <v>0.1946216532</v>
      </c>
      <c r="V2992" s="372">
        <f>$U2865*'Assumptions (T&amp;D)'!D$24</f>
        <v>0.3747115563</v>
      </c>
      <c r="W2992" s="372">
        <f>$U2865*'Assumptions (T&amp;D)'!E$24</f>
        <v>0.3466860383</v>
      </c>
      <c r="X2992" s="372">
        <f>$U2865*'Assumptions (T&amp;D)'!F$24</f>
        <v>0.3207364845</v>
      </c>
      <c r="Y2992" s="372">
        <f>$U2865*'Assumptions (T&amp;D)'!G$24</f>
        <v>0.296343904</v>
      </c>
      <c r="Z2992" s="372">
        <f>$U2865*'Assumptions (T&amp;D)'!H$24</f>
        <v>0.2745462788</v>
      </c>
      <c r="AA2992" s="372">
        <f>$U2865*'Assumptions (T&amp;D)'!I$24</f>
        <v>0.2537866358</v>
      </c>
      <c r="AB2992" s="372">
        <f>$U2865*'Assumptions (T&amp;D)'!J$24</f>
        <v>0.234583966</v>
      </c>
      <c r="AC2992" s="372">
        <f>$U2865*'Assumptions (T&amp;D)'!K$24</f>
        <v>0.2314700196</v>
      </c>
      <c r="AD2992" s="372">
        <f>$U2865*'Assumptions (T&amp;D)'!L$24</f>
        <v>0.2314700196</v>
      </c>
      <c r="AE2992" s="372">
        <f>$U2865*'Assumptions (T&amp;D)'!M$24</f>
        <v>0.2314700196</v>
      </c>
      <c r="AF2992" s="372">
        <f>$U2865*'Assumptions (T&amp;D)'!N$24</f>
        <v>0.2314700196</v>
      </c>
      <c r="AG2992" s="372">
        <f>$U2865*'Assumptions (T&amp;D)'!O$24</f>
        <v>0.2314700196</v>
      </c>
      <c r="AH2992" s="372">
        <f>$U2865*'Assumptions (T&amp;D)'!P$24</f>
        <v>0.2314700196</v>
      </c>
      <c r="AI2992" s="372">
        <f>$U2865*'Assumptions (T&amp;D)'!Q$24</f>
        <v>0.2314700196</v>
      </c>
      <c r="AJ2992" s="372">
        <f>$U2865*'Assumptions (T&amp;D)'!R$24</f>
        <v>0.2314700196</v>
      </c>
      <c r="AK2992" s="372">
        <f>$U2865*'Assumptions (T&amp;D)'!S$24</f>
        <v>0.2314700196</v>
      </c>
      <c r="AL2992" s="372">
        <f>$U2865*'Assumptions (T&amp;D)'!T$24</f>
        <v>0.2314700196</v>
      </c>
      <c r="AM2992" s="372">
        <f>$U2865*'Assumptions (T&amp;D)'!U$24</f>
        <v>0.2314700196</v>
      </c>
      <c r="AN2992" s="372">
        <f>$U2865*'Assumptions (T&amp;D)'!V$24</f>
        <v>0.2314700196</v>
      </c>
      <c r="AO2992" s="372">
        <f>$U2865*'Assumptions (T&amp;D)'!W$24</f>
        <v>0.1157350098</v>
      </c>
      <c r="AP2992" s="32"/>
      <c r="AQ2992" s="32"/>
      <c r="AR2992" s="32"/>
      <c r="AS2992" s="32"/>
      <c r="AT2992" s="32"/>
      <c r="AU2992" s="32"/>
      <c r="AV2992" s="32"/>
      <c r="AW2992" s="32"/>
      <c r="AX2992" s="32"/>
      <c r="AY2992" s="32"/>
      <c r="AZ2992" s="32"/>
      <c r="BA2992" s="32"/>
      <c r="BB2992" s="32"/>
      <c r="BC2992" s="32"/>
      <c r="BD2992" s="32"/>
      <c r="BE2992" s="32"/>
      <c r="BF2992" s="32"/>
      <c r="BG2992" s="32"/>
      <c r="BH2992" s="32"/>
      <c r="BI2992" s="32"/>
      <c r="BJ2992" s="32"/>
      <c r="BK2992" s="32"/>
      <c r="BL2992" s="32"/>
      <c r="BM2992" s="32"/>
      <c r="BN2992" s="32"/>
      <c r="BO2992" s="32"/>
      <c r="BP2992" s="32"/>
      <c r="BQ2992" s="32"/>
      <c r="BR2992" s="32"/>
      <c r="BS2992" s="32"/>
      <c r="BT2992" s="32"/>
      <c r="BU2992" s="32"/>
      <c r="BV2992" s="32"/>
      <c r="BW2992" s="32"/>
      <c r="BX2992" s="32"/>
      <c r="BY2992" s="32"/>
      <c r="BZ2992" s="32"/>
      <c r="CA2992" s="32"/>
      <c r="CB2992" s="32"/>
      <c r="CC2992" s="32"/>
      <c r="CD2992" s="32"/>
    </row>
    <row r="2993" ht="15.75" hidden="1" customHeight="1" outlineLevel="1">
      <c r="A2993" s="363"/>
      <c r="B2993" s="38"/>
      <c r="C2993" s="38"/>
      <c r="D2993" s="38"/>
      <c r="E2993" s="38"/>
      <c r="F2993" s="38"/>
      <c r="G2993" s="38"/>
      <c r="H2993" s="38"/>
      <c r="I2993" s="38"/>
      <c r="J2993" s="38"/>
      <c r="K2993" s="38"/>
      <c r="L2993" s="38"/>
      <c r="M2993" s="38"/>
      <c r="N2993" s="38"/>
      <c r="O2993" s="38"/>
      <c r="P2993" s="38"/>
      <c r="Q2993" s="38"/>
      <c r="R2993" s="38"/>
      <c r="S2993" s="38"/>
      <c r="T2993" s="38"/>
      <c r="U2993" s="38"/>
      <c r="V2993" s="372">
        <f>$V2865*'Assumptions (T&amp;D)'!C$24</f>
        <v>0.2017266691</v>
      </c>
      <c r="W2993" s="372">
        <f>$V2865*'Assumptions (T&amp;D)'!D$24</f>
        <v>0.3883910802</v>
      </c>
      <c r="X2993" s="372">
        <f>$V2865*'Assumptions (T&amp;D)'!E$24</f>
        <v>0.3593424399</v>
      </c>
      <c r="Y2993" s="372">
        <f>$V2865*'Assumptions (T&amp;D)'!F$24</f>
        <v>0.3324455506</v>
      </c>
      <c r="Z2993" s="372">
        <f>$V2865*'Assumptions (T&amp;D)'!G$24</f>
        <v>0.3071624748</v>
      </c>
      <c r="AA2993" s="372">
        <f>$V2865*'Assumptions (T&amp;D)'!H$24</f>
        <v>0.2845690879</v>
      </c>
      <c r="AB2993" s="372">
        <f>$V2865*'Assumptions (T&amp;D)'!I$24</f>
        <v>0.2630515765</v>
      </c>
      <c r="AC2993" s="372">
        <f>$V2865*'Assumptions (T&amp;D)'!J$24</f>
        <v>0.2431478785</v>
      </c>
      <c r="AD2993" s="372">
        <f>$V2865*'Assumptions (T&amp;D)'!K$24</f>
        <v>0.2399202518</v>
      </c>
      <c r="AE2993" s="372">
        <f>$V2865*'Assumptions (T&amp;D)'!L$24</f>
        <v>0.2399202518</v>
      </c>
      <c r="AF2993" s="372">
        <f>$V2865*'Assumptions (T&amp;D)'!M$24</f>
        <v>0.2399202518</v>
      </c>
      <c r="AG2993" s="372">
        <f>$V2865*'Assumptions (T&amp;D)'!N$24</f>
        <v>0.2399202518</v>
      </c>
      <c r="AH2993" s="372">
        <f>$V2865*'Assumptions (T&amp;D)'!O$24</f>
        <v>0.2399202518</v>
      </c>
      <c r="AI2993" s="372">
        <f>$V2865*'Assumptions (T&amp;D)'!P$24</f>
        <v>0.2399202518</v>
      </c>
      <c r="AJ2993" s="372">
        <f>$V2865*'Assumptions (T&amp;D)'!Q$24</f>
        <v>0.2399202518</v>
      </c>
      <c r="AK2993" s="372">
        <f>$V2865*'Assumptions (T&amp;D)'!R$24</f>
        <v>0.2399202518</v>
      </c>
      <c r="AL2993" s="372">
        <f>$V2865*'Assumptions (T&amp;D)'!S$24</f>
        <v>0.2399202518</v>
      </c>
      <c r="AM2993" s="372">
        <f>$V2865*'Assumptions (T&amp;D)'!T$24</f>
        <v>0.2399202518</v>
      </c>
      <c r="AN2993" s="372">
        <f>$V2865*'Assumptions (T&amp;D)'!U$24</f>
        <v>0.2399202518</v>
      </c>
      <c r="AO2993" s="372">
        <f>$V2865*'Assumptions (T&amp;D)'!V$24</f>
        <v>0.2399202518</v>
      </c>
      <c r="AP2993" s="372">
        <f>$V2865*'Assumptions (T&amp;D)'!W$24</f>
        <v>0.1199601259</v>
      </c>
      <c r="AQ2993" s="32"/>
      <c r="AR2993" s="32"/>
      <c r="AS2993" s="32"/>
      <c r="AT2993" s="32"/>
      <c r="AU2993" s="32"/>
      <c r="AV2993" s="32"/>
      <c r="AW2993" s="32"/>
      <c r="AX2993" s="32"/>
      <c r="AY2993" s="32"/>
      <c r="AZ2993" s="32"/>
      <c r="BA2993" s="32"/>
      <c r="BB2993" s="32"/>
      <c r="BC2993" s="32"/>
      <c r="BD2993" s="32"/>
      <c r="BE2993" s="32"/>
      <c r="BF2993" s="32"/>
      <c r="BG2993" s="32"/>
      <c r="BH2993" s="32"/>
      <c r="BI2993" s="32"/>
      <c r="BJ2993" s="32"/>
      <c r="BK2993" s="32"/>
      <c r="BL2993" s="32"/>
      <c r="BM2993" s="32"/>
      <c r="BN2993" s="32"/>
      <c r="BO2993" s="32"/>
      <c r="BP2993" s="32"/>
      <c r="BQ2993" s="32"/>
      <c r="BR2993" s="32"/>
      <c r="BS2993" s="32"/>
      <c r="BT2993" s="32"/>
      <c r="BU2993" s="32"/>
      <c r="BV2993" s="32"/>
      <c r="BW2993" s="32"/>
      <c r="BX2993" s="32"/>
      <c r="BY2993" s="32"/>
      <c r="BZ2993" s="32"/>
      <c r="CA2993" s="32"/>
      <c r="CB2993" s="32"/>
      <c r="CC2993" s="32"/>
      <c r="CD2993" s="32"/>
    </row>
    <row r="2994" ht="15.75" hidden="1" customHeight="1" outlineLevel="1">
      <c r="A2994" s="363"/>
      <c r="B2994" s="38"/>
      <c r="C2994" s="38"/>
      <c r="D2994" s="38"/>
      <c r="E2994" s="38"/>
      <c r="F2994" s="38"/>
      <c r="G2994" s="38"/>
      <c r="H2994" s="38"/>
      <c r="I2994" s="38"/>
      <c r="J2994" s="38"/>
      <c r="K2994" s="38"/>
      <c r="L2994" s="38"/>
      <c r="M2994" s="38"/>
      <c r="N2994" s="38"/>
      <c r="O2994" s="38"/>
      <c r="P2994" s="38"/>
      <c r="Q2994" s="38"/>
      <c r="R2994" s="38"/>
      <c r="S2994" s="38"/>
      <c r="T2994" s="38"/>
      <c r="U2994" s="38"/>
      <c r="V2994" s="38"/>
      <c r="W2994" s="372">
        <f>$W2865*'Assumptions (T&amp;D)'!C$24</f>
        <v>0.2057103614</v>
      </c>
      <c r="X2994" s="372">
        <f>$W2865*'Assumptions (T&amp;D)'!D$24</f>
        <v>0.3960610157</v>
      </c>
      <c r="Y2994" s="372">
        <f>$W2865*'Assumptions (T&amp;D)'!E$24</f>
        <v>0.3664387237</v>
      </c>
      <c r="Z2994" s="372">
        <f>$W2865*'Assumptions (T&amp;D)'!F$24</f>
        <v>0.3390106755</v>
      </c>
      <c r="AA2994" s="372">
        <f>$W2865*'Assumptions (T&amp;D)'!G$24</f>
        <v>0.3132283102</v>
      </c>
      <c r="AB2994" s="372">
        <f>$W2865*'Assumptions (T&amp;D)'!H$24</f>
        <v>0.2901887498</v>
      </c>
      <c r="AC2994" s="372">
        <f>$W2865*'Assumptions (T&amp;D)'!I$24</f>
        <v>0.2682463112</v>
      </c>
      <c r="AD2994" s="372">
        <f>$W2865*'Assumptions (T&amp;D)'!J$24</f>
        <v>0.2479495556</v>
      </c>
      <c r="AE2994" s="372">
        <f>$W2865*'Assumptions (T&amp;D)'!K$24</f>
        <v>0.2446581898</v>
      </c>
      <c r="AF2994" s="372">
        <f>$W2865*'Assumptions (T&amp;D)'!L$24</f>
        <v>0.2446581898</v>
      </c>
      <c r="AG2994" s="372">
        <f>$W2865*'Assumptions (T&amp;D)'!M$24</f>
        <v>0.2446581898</v>
      </c>
      <c r="AH2994" s="372">
        <f>$W2865*'Assumptions (T&amp;D)'!N$24</f>
        <v>0.2446581898</v>
      </c>
      <c r="AI2994" s="372">
        <f>$W2865*'Assumptions (T&amp;D)'!O$24</f>
        <v>0.2446581898</v>
      </c>
      <c r="AJ2994" s="372">
        <f>$W2865*'Assumptions (T&amp;D)'!P$24</f>
        <v>0.2446581898</v>
      </c>
      <c r="AK2994" s="372">
        <f>$W2865*'Assumptions (T&amp;D)'!Q$24</f>
        <v>0.2446581898</v>
      </c>
      <c r="AL2994" s="372">
        <f>$W2865*'Assumptions (T&amp;D)'!R$24</f>
        <v>0.2446581898</v>
      </c>
      <c r="AM2994" s="372">
        <f>$W2865*'Assumptions (T&amp;D)'!S$24</f>
        <v>0.2446581898</v>
      </c>
      <c r="AN2994" s="372">
        <f>$W2865*'Assumptions (T&amp;D)'!T$24</f>
        <v>0.2446581898</v>
      </c>
      <c r="AO2994" s="372">
        <f>$W2865*'Assumptions (T&amp;D)'!U$24</f>
        <v>0.2446581898</v>
      </c>
      <c r="AP2994" s="372">
        <f>$W2865*'Assumptions (T&amp;D)'!V$24</f>
        <v>0.2446581898</v>
      </c>
      <c r="AQ2994" s="372">
        <f>$W2865*'Assumptions (T&amp;D)'!W$24</f>
        <v>0.1223290949</v>
      </c>
      <c r="AR2994" s="32"/>
      <c r="AS2994" s="32"/>
      <c r="AT2994" s="32"/>
      <c r="AU2994" s="32"/>
      <c r="AV2994" s="32"/>
      <c r="AW2994" s="32"/>
      <c r="AX2994" s="32"/>
      <c r="AY2994" s="32"/>
      <c r="AZ2994" s="32"/>
      <c r="BA2994" s="32"/>
      <c r="BB2994" s="32"/>
      <c r="BC2994" s="32"/>
      <c r="BD2994" s="32"/>
      <c r="BE2994" s="32"/>
      <c r="BF2994" s="32"/>
      <c r="BG2994" s="32"/>
      <c r="BH2994" s="32"/>
      <c r="BI2994" s="32"/>
      <c r="BJ2994" s="32"/>
      <c r="BK2994" s="32"/>
      <c r="BL2994" s="32"/>
      <c r="BM2994" s="32"/>
      <c r="BN2994" s="32"/>
      <c r="BO2994" s="32"/>
      <c r="BP2994" s="32"/>
      <c r="BQ2994" s="32"/>
      <c r="BR2994" s="32"/>
      <c r="BS2994" s="32"/>
      <c r="BT2994" s="32"/>
      <c r="BU2994" s="32"/>
      <c r="BV2994" s="32"/>
      <c r="BW2994" s="32"/>
      <c r="BX2994" s="32"/>
      <c r="BY2994" s="32"/>
      <c r="BZ2994" s="32"/>
      <c r="CA2994" s="32"/>
      <c r="CB2994" s="32"/>
      <c r="CC2994" s="32"/>
      <c r="CD2994" s="32"/>
    </row>
    <row r="2995" ht="15.75" hidden="1" customHeight="1" outlineLevel="1">
      <c r="A2995" s="363"/>
      <c r="B2995" s="38"/>
      <c r="C2995" s="38"/>
      <c r="D2995" s="38"/>
      <c r="E2995" s="38"/>
      <c r="F2995" s="38"/>
      <c r="G2995" s="38"/>
      <c r="H2995" s="38"/>
      <c r="I2995" s="38"/>
      <c r="J2995" s="38"/>
      <c r="K2995" s="38"/>
      <c r="L2995" s="38"/>
      <c r="M2995" s="38"/>
      <c r="N2995" s="38"/>
      <c r="O2995" s="38"/>
      <c r="P2995" s="38"/>
      <c r="Q2995" s="38"/>
      <c r="R2995" s="38"/>
      <c r="S2995" s="38"/>
      <c r="T2995" s="38"/>
      <c r="U2995" s="38"/>
      <c r="V2995" s="38"/>
      <c r="W2995" s="38"/>
      <c r="X2995" s="372">
        <f>$X2865*'Assumptions (T&amp;D)'!C$24</f>
        <v>0.2132462311</v>
      </c>
      <c r="Y2995" s="372">
        <f>$X2865*'Assumptions (T&amp;D)'!D$24</f>
        <v>0.410570077</v>
      </c>
      <c r="Z2995" s="372">
        <f>$X2865*'Assumptions (T&amp;D)'!E$24</f>
        <v>0.3798626197</v>
      </c>
      <c r="AA2995" s="372">
        <f>$X2865*'Assumptions (T&amp;D)'!F$24</f>
        <v>0.3514297889</v>
      </c>
      <c r="AB2995" s="372">
        <f>$X2865*'Assumptions (T&amp;D)'!G$24</f>
        <v>0.3247029279</v>
      </c>
      <c r="AC2995" s="372">
        <f>$X2865*'Assumptions (T&amp;D)'!H$24</f>
        <v>0.30081935</v>
      </c>
      <c r="AD2995" s="372">
        <f>$X2865*'Assumptions (T&amp;D)'!I$24</f>
        <v>0.2780730854</v>
      </c>
      <c r="AE2995" s="372">
        <f>$X2865*'Assumptions (T&amp;D)'!J$24</f>
        <v>0.2570327906</v>
      </c>
      <c r="AF2995" s="372">
        <f>$X2865*'Assumptions (T&amp;D)'!K$24</f>
        <v>0.2536208509</v>
      </c>
      <c r="AG2995" s="372">
        <f>$X2865*'Assumptions (T&amp;D)'!L$24</f>
        <v>0.2536208509</v>
      </c>
      <c r="AH2995" s="372">
        <f>$X2865*'Assumptions (T&amp;D)'!M$24</f>
        <v>0.2536208509</v>
      </c>
      <c r="AI2995" s="372">
        <f>$X2865*'Assumptions (T&amp;D)'!N$24</f>
        <v>0.2536208509</v>
      </c>
      <c r="AJ2995" s="372">
        <f>$X2865*'Assumptions (T&amp;D)'!O$24</f>
        <v>0.2536208509</v>
      </c>
      <c r="AK2995" s="372">
        <f>$X2865*'Assumptions (T&amp;D)'!P$24</f>
        <v>0.2536208509</v>
      </c>
      <c r="AL2995" s="372">
        <f>$X2865*'Assumptions (T&amp;D)'!Q$24</f>
        <v>0.2536208509</v>
      </c>
      <c r="AM2995" s="372">
        <f>$X2865*'Assumptions (T&amp;D)'!R$24</f>
        <v>0.2536208509</v>
      </c>
      <c r="AN2995" s="372">
        <f>$X2865*'Assumptions (T&amp;D)'!S$24</f>
        <v>0.2536208509</v>
      </c>
      <c r="AO2995" s="372">
        <f>$X2865*'Assumptions (T&amp;D)'!T$24</f>
        <v>0.2536208509</v>
      </c>
      <c r="AP2995" s="372">
        <f>$X2865*'Assumptions (T&amp;D)'!U$24</f>
        <v>0.2536208509</v>
      </c>
      <c r="AQ2995" s="372">
        <f>$X2865*'Assumptions (T&amp;D)'!V$24</f>
        <v>0.2536208509</v>
      </c>
      <c r="AR2995" s="372">
        <f>$X2865*'Assumptions (T&amp;D)'!W$24</f>
        <v>0.1268104254</v>
      </c>
      <c r="AS2995" s="32"/>
      <c r="AT2995" s="32"/>
      <c r="AU2995" s="32"/>
      <c r="AV2995" s="32"/>
      <c r="AW2995" s="32"/>
      <c r="AX2995" s="32"/>
      <c r="AY2995" s="32"/>
      <c r="AZ2995" s="32"/>
      <c r="BA2995" s="32"/>
      <c r="BB2995" s="32"/>
      <c r="BC2995" s="32"/>
      <c r="BD2995" s="32"/>
      <c r="BE2995" s="32"/>
      <c r="BF2995" s="32"/>
      <c r="BG2995" s="32"/>
      <c r="BH2995" s="32"/>
      <c r="BI2995" s="32"/>
      <c r="BJ2995" s="32"/>
      <c r="BK2995" s="32"/>
      <c r="BL2995" s="32"/>
      <c r="BM2995" s="32"/>
      <c r="BN2995" s="32"/>
      <c r="BO2995" s="32"/>
      <c r="BP2995" s="32"/>
      <c r="BQ2995" s="32"/>
      <c r="BR2995" s="32"/>
      <c r="BS2995" s="32"/>
      <c r="BT2995" s="32"/>
      <c r="BU2995" s="32"/>
      <c r="BV2995" s="32"/>
      <c r="BW2995" s="32"/>
      <c r="BX2995" s="32"/>
      <c r="BY2995" s="32"/>
      <c r="BZ2995" s="32"/>
      <c r="CA2995" s="32"/>
      <c r="CB2995" s="32"/>
      <c r="CC2995" s="32"/>
      <c r="CD2995" s="32"/>
    </row>
    <row r="2996" ht="15.75" hidden="1" customHeight="1" outlineLevel="1">
      <c r="A2996" s="363"/>
      <c r="B2996" s="38"/>
      <c r="C2996" s="38"/>
      <c r="D2996" s="38"/>
      <c r="E2996" s="38"/>
      <c r="F2996" s="38"/>
      <c r="G2996" s="38"/>
      <c r="H2996" s="38"/>
      <c r="I2996" s="38"/>
      <c r="J2996" s="38"/>
      <c r="K2996" s="38"/>
      <c r="L2996" s="38"/>
      <c r="M2996" s="38"/>
      <c r="N2996" s="38"/>
      <c r="O2996" s="38"/>
      <c r="P2996" s="38"/>
      <c r="Q2996" s="38"/>
      <c r="R2996" s="38"/>
      <c r="S2996" s="38"/>
      <c r="T2996" s="38"/>
      <c r="U2996" s="38"/>
      <c r="V2996" s="38"/>
      <c r="W2996" s="38"/>
      <c r="X2996" s="32"/>
      <c r="Y2996" s="372">
        <f>$Y2865*'Assumptions (T&amp;D)'!C$24</f>
        <v>0.2192284626</v>
      </c>
      <c r="Z2996" s="372">
        <f>$Y2865*'Assumptions (T&amp;D)'!D$24</f>
        <v>0.4220878666</v>
      </c>
      <c r="AA2996" s="372">
        <f>$Y2865*'Assumptions (T&amp;D)'!E$24</f>
        <v>0.390518968</v>
      </c>
      <c r="AB2996" s="372">
        <f>$Y2865*'Assumptions (T&amp;D)'!F$24</f>
        <v>0.3612885063</v>
      </c>
      <c r="AC2996" s="372">
        <f>$Y2865*'Assumptions (T&amp;D)'!G$24</f>
        <v>0.3338118723</v>
      </c>
      <c r="AD2996" s="372">
        <f>$Y2865*'Assumptions (T&amp;D)'!H$24</f>
        <v>0.3092582845</v>
      </c>
      <c r="AE2996" s="372">
        <f>$Y2865*'Assumptions (T&amp;D)'!I$24</f>
        <v>0.2858739152</v>
      </c>
      <c r="AF2996" s="372">
        <f>$Y2865*'Assumptions (T&amp;D)'!J$24</f>
        <v>0.2642433735</v>
      </c>
      <c r="AG2996" s="372">
        <f>$Y2865*'Assumptions (T&amp;D)'!K$24</f>
        <v>0.2607357181</v>
      </c>
      <c r="AH2996" s="372">
        <f>$Y2865*'Assumptions (T&amp;D)'!L$24</f>
        <v>0.2607357181</v>
      </c>
      <c r="AI2996" s="372">
        <f>$Y2865*'Assumptions (T&amp;D)'!M$24</f>
        <v>0.2607357181</v>
      </c>
      <c r="AJ2996" s="372">
        <f>$Y2865*'Assumptions (T&amp;D)'!N$24</f>
        <v>0.2607357181</v>
      </c>
      <c r="AK2996" s="372">
        <f>$Y2865*'Assumptions (T&amp;D)'!O$24</f>
        <v>0.2607357181</v>
      </c>
      <c r="AL2996" s="372">
        <f>$Y2865*'Assumptions (T&amp;D)'!P$24</f>
        <v>0.2607357181</v>
      </c>
      <c r="AM2996" s="372">
        <f>$Y2865*'Assumptions (T&amp;D)'!Q$24</f>
        <v>0.2607357181</v>
      </c>
      <c r="AN2996" s="372">
        <f>$Y2865*'Assumptions (T&amp;D)'!R$24</f>
        <v>0.2607357181</v>
      </c>
      <c r="AO2996" s="372">
        <f>$Y2865*'Assumptions (T&amp;D)'!S$24</f>
        <v>0.2607357181</v>
      </c>
      <c r="AP2996" s="372">
        <f>$Y2865*'Assumptions (T&amp;D)'!T$24</f>
        <v>0.2607357181</v>
      </c>
      <c r="AQ2996" s="372">
        <f>$Y2865*'Assumptions (T&amp;D)'!U$24</f>
        <v>0.2607357181</v>
      </c>
      <c r="AR2996" s="372">
        <f>$Y2865*'Assumptions (T&amp;D)'!V$24</f>
        <v>0.2607357181</v>
      </c>
      <c r="AS2996" s="372">
        <f>$Y2865*'Assumptions (T&amp;D)'!W$24</f>
        <v>0.1303678591</v>
      </c>
      <c r="AT2996" s="32"/>
      <c r="AU2996" s="32"/>
      <c r="AV2996" s="32"/>
      <c r="AW2996" s="32"/>
      <c r="AX2996" s="32"/>
      <c r="AY2996" s="32"/>
      <c r="AZ2996" s="32"/>
      <c r="BA2996" s="32"/>
      <c r="BB2996" s="32"/>
      <c r="BC2996" s="32"/>
      <c r="BD2996" s="32"/>
      <c r="BE2996" s="32"/>
      <c r="BF2996" s="32"/>
      <c r="BG2996" s="32"/>
      <c r="BH2996" s="32"/>
      <c r="BI2996" s="32"/>
      <c r="BJ2996" s="32"/>
      <c r="BK2996" s="32"/>
      <c r="BL2996" s="32"/>
      <c r="BM2996" s="32"/>
      <c r="BN2996" s="32"/>
      <c r="BO2996" s="32"/>
      <c r="BP2996" s="32"/>
      <c r="BQ2996" s="32"/>
      <c r="BR2996" s="32"/>
      <c r="BS2996" s="32"/>
      <c r="BT2996" s="32"/>
      <c r="BU2996" s="32"/>
      <c r="BV2996" s="32"/>
      <c r="BW2996" s="32"/>
      <c r="BX2996" s="32"/>
      <c r="BY2996" s="32"/>
      <c r="BZ2996" s="32"/>
      <c r="CA2996" s="32"/>
      <c r="CB2996" s="32"/>
      <c r="CC2996" s="32"/>
      <c r="CD2996" s="32"/>
    </row>
    <row r="2997" ht="15.75" hidden="1" customHeight="1" outlineLevel="1">
      <c r="A2997" s="363"/>
      <c r="B2997" s="38"/>
      <c r="C2997" s="38"/>
      <c r="D2997" s="38"/>
      <c r="E2997" s="38"/>
      <c r="F2997" s="38"/>
      <c r="G2997" s="38"/>
      <c r="H2997" s="38"/>
      <c r="I2997" s="38"/>
      <c r="J2997" s="38"/>
      <c r="K2997" s="38"/>
      <c r="L2997" s="38"/>
      <c r="M2997" s="38"/>
      <c r="N2997" s="38"/>
      <c r="O2997" s="38"/>
      <c r="P2997" s="38"/>
      <c r="Q2997" s="38"/>
      <c r="R2997" s="38"/>
      <c r="S2997" s="38"/>
      <c r="T2997" s="38"/>
      <c r="U2997" s="38"/>
      <c r="V2997" s="38"/>
      <c r="W2997" s="38"/>
      <c r="X2997" s="32"/>
      <c r="Y2997" s="32"/>
      <c r="Z2997" s="372">
        <f>$Z2865*'Assumptions (T&amp;D)'!C$24</f>
        <v>0.2253638056</v>
      </c>
      <c r="AA2997" s="372">
        <f>$Z2865*'Assumptions (T&amp;D)'!D$24</f>
        <v>0.433900447</v>
      </c>
      <c r="AB2997" s="372">
        <f>$Z2865*'Assumptions (T&amp;D)'!E$24</f>
        <v>0.401448059</v>
      </c>
      <c r="AC2997" s="372">
        <f>$Z2865*'Assumptions (T&amp;D)'!F$24</f>
        <v>0.3713995516</v>
      </c>
      <c r="AD2997" s="372">
        <f>$Z2865*'Assumptions (T&amp;D)'!G$24</f>
        <v>0.3431539546</v>
      </c>
      <c r="AE2997" s="372">
        <f>$Z2865*'Assumptions (T&amp;D)'!H$24</f>
        <v>0.3179132084</v>
      </c>
      <c r="AF2997" s="372">
        <f>$Z2865*'Assumptions (T&amp;D)'!I$24</f>
        <v>0.2938744025</v>
      </c>
      <c r="AG2997" s="372">
        <f>$Z2865*'Assumptions (T&amp;D)'!J$24</f>
        <v>0.271638507</v>
      </c>
      <c r="AH2997" s="372">
        <f>$Z2865*'Assumptions (T&amp;D)'!K$24</f>
        <v>0.2680326861</v>
      </c>
      <c r="AI2997" s="372">
        <f>$Z2865*'Assumptions (T&amp;D)'!L$24</f>
        <v>0.2680326861</v>
      </c>
      <c r="AJ2997" s="372">
        <f>$Z2865*'Assumptions (T&amp;D)'!M$24</f>
        <v>0.2680326861</v>
      </c>
      <c r="AK2997" s="372">
        <f>$Z2865*'Assumptions (T&amp;D)'!N$24</f>
        <v>0.2680326861</v>
      </c>
      <c r="AL2997" s="372">
        <f>$Z2865*'Assumptions (T&amp;D)'!O$24</f>
        <v>0.2680326861</v>
      </c>
      <c r="AM2997" s="372">
        <f>$Z2865*'Assumptions (T&amp;D)'!P$24</f>
        <v>0.2680326861</v>
      </c>
      <c r="AN2997" s="372">
        <f>$Z2865*'Assumptions (T&amp;D)'!Q$24</f>
        <v>0.2680326861</v>
      </c>
      <c r="AO2997" s="372">
        <f>$Z2865*'Assumptions (T&amp;D)'!R$24</f>
        <v>0.2680326861</v>
      </c>
      <c r="AP2997" s="372">
        <f>$Z2865*'Assumptions (T&amp;D)'!S$24</f>
        <v>0.2680326861</v>
      </c>
      <c r="AQ2997" s="372">
        <f>$Z2865*'Assumptions (T&amp;D)'!T$24</f>
        <v>0.2680326861</v>
      </c>
      <c r="AR2997" s="372">
        <f>$Z2865*'Assumptions (T&amp;D)'!U$24</f>
        <v>0.2680326861</v>
      </c>
      <c r="AS2997" s="372">
        <f>$Z2865*'Assumptions (T&amp;D)'!V$24</f>
        <v>0.2680326861</v>
      </c>
      <c r="AT2997" s="372">
        <f>$Z2865*'Assumptions (T&amp;D)'!W$24</f>
        <v>0.1340163431</v>
      </c>
      <c r="AU2997" s="32"/>
      <c r="AV2997" s="32"/>
      <c r="AW2997" s="32"/>
      <c r="AX2997" s="32"/>
      <c r="AY2997" s="32"/>
      <c r="AZ2997" s="32"/>
      <c r="BA2997" s="32"/>
      <c r="BB2997" s="32"/>
      <c r="BC2997" s="32"/>
      <c r="BD2997" s="32"/>
      <c r="BE2997" s="32"/>
      <c r="BF2997" s="32"/>
      <c r="BG2997" s="32"/>
      <c r="BH2997" s="32"/>
      <c r="BI2997" s="32"/>
      <c r="BJ2997" s="32"/>
      <c r="BK2997" s="32"/>
      <c r="BL2997" s="32"/>
      <c r="BM2997" s="32"/>
      <c r="BN2997" s="32"/>
      <c r="BO2997" s="32"/>
      <c r="BP2997" s="32"/>
      <c r="BQ2997" s="32"/>
      <c r="BR2997" s="32"/>
      <c r="BS2997" s="32"/>
      <c r="BT2997" s="32"/>
      <c r="BU2997" s="32"/>
      <c r="BV2997" s="32"/>
      <c r="BW2997" s="32"/>
      <c r="BX2997" s="32"/>
      <c r="BY2997" s="32"/>
      <c r="BZ2997" s="32"/>
      <c r="CA2997" s="32"/>
      <c r="CB2997" s="32"/>
      <c r="CC2997" s="32"/>
      <c r="CD2997" s="32"/>
    </row>
    <row r="2998" ht="15.75" hidden="1" customHeight="1" outlineLevel="1">
      <c r="A2998" s="363"/>
      <c r="B2998" s="38"/>
      <c r="C2998" s="38"/>
      <c r="D2998" s="38"/>
      <c r="E2998" s="38"/>
      <c r="F2998" s="38"/>
      <c r="G2998" s="38"/>
      <c r="H2998" s="38"/>
      <c r="I2998" s="38"/>
      <c r="J2998" s="38"/>
      <c r="K2998" s="38"/>
      <c r="L2998" s="38"/>
      <c r="M2998" s="38"/>
      <c r="N2998" s="38"/>
      <c r="O2998" s="38"/>
      <c r="P2998" s="38"/>
      <c r="Q2998" s="38"/>
      <c r="R2998" s="38"/>
      <c r="S2998" s="38"/>
      <c r="T2998" s="38"/>
      <c r="U2998" s="38"/>
      <c r="V2998" s="38"/>
      <c r="W2998" s="38"/>
      <c r="X2998" s="32"/>
      <c r="Y2998" s="32"/>
      <c r="Z2998" s="32"/>
      <c r="AA2998" s="372">
        <f>$AA2865*'Assumptions (T&amp;D)'!C$24</f>
        <v>0.2316559745</v>
      </c>
      <c r="AB2998" s="372">
        <f>$AA2865*'Assumptions (T&amp;D)'!D$24</f>
        <v>0.4460149696</v>
      </c>
      <c r="AC2998" s="372">
        <f>$AA2865*'Assumptions (T&amp;D)'!E$24</f>
        <v>0.4126565093</v>
      </c>
      <c r="AD2998" s="372">
        <f>$AA2865*'Assumptions (T&amp;D)'!F$24</f>
        <v>0.381769046</v>
      </c>
      <c r="AE2998" s="372">
        <f>$AA2865*'Assumptions (T&amp;D)'!G$24</f>
        <v>0.3527348305</v>
      </c>
      <c r="AF2998" s="372">
        <f>$AA2865*'Assumptions (T&amp;D)'!H$24</f>
        <v>0.3267893614</v>
      </c>
      <c r="AG2998" s="372">
        <f>$AA2865*'Assumptions (T&amp;D)'!I$24</f>
        <v>0.3020793908</v>
      </c>
      <c r="AH2998" s="372">
        <f>$AA2865*'Assumptions (T&amp;D)'!J$24</f>
        <v>0.279222668</v>
      </c>
      <c r="AI2998" s="372">
        <f>$AA2865*'Assumptions (T&amp;D)'!K$24</f>
        <v>0.2755161724</v>
      </c>
      <c r="AJ2998" s="372">
        <f>$AA2865*'Assumptions (T&amp;D)'!L$24</f>
        <v>0.2755161724</v>
      </c>
      <c r="AK2998" s="372">
        <f>$AA2865*'Assumptions (T&amp;D)'!M$24</f>
        <v>0.2755161724</v>
      </c>
      <c r="AL2998" s="372">
        <f>$AA2865*'Assumptions (T&amp;D)'!N$24</f>
        <v>0.2755161724</v>
      </c>
      <c r="AM2998" s="372">
        <f>$AA2865*'Assumptions (T&amp;D)'!O$24</f>
        <v>0.2755161724</v>
      </c>
      <c r="AN2998" s="372">
        <f>$AA2865*'Assumptions (T&amp;D)'!P$24</f>
        <v>0.2755161724</v>
      </c>
      <c r="AO2998" s="372">
        <f>$AA2865*'Assumptions (T&amp;D)'!Q$24</f>
        <v>0.2755161724</v>
      </c>
      <c r="AP2998" s="372">
        <f>$AA2865*'Assumptions (T&amp;D)'!R$24</f>
        <v>0.2755161724</v>
      </c>
      <c r="AQ2998" s="372">
        <f>$AA2865*'Assumptions (T&amp;D)'!S$24</f>
        <v>0.2755161724</v>
      </c>
      <c r="AR2998" s="372">
        <f>$AA2865*'Assumptions (T&amp;D)'!T$24</f>
        <v>0.2755161724</v>
      </c>
      <c r="AS2998" s="372">
        <f>$AA2865*'Assumptions (T&amp;D)'!U$24</f>
        <v>0.2755161724</v>
      </c>
      <c r="AT2998" s="372">
        <f>$AA2865*'Assumptions (T&amp;D)'!V$24</f>
        <v>0.2755161724</v>
      </c>
      <c r="AU2998" s="372">
        <f>$AA2865*'Assumptions (T&amp;D)'!W$24</f>
        <v>0.1377580862</v>
      </c>
      <c r="AV2998" s="32"/>
      <c r="AW2998" s="32"/>
      <c r="AX2998" s="32"/>
      <c r="AY2998" s="32"/>
      <c r="AZ2998" s="32"/>
      <c r="BA2998" s="32"/>
      <c r="BB2998" s="32"/>
      <c r="BC2998" s="32"/>
      <c r="BD2998" s="32"/>
      <c r="BE2998" s="32"/>
      <c r="BF2998" s="32"/>
      <c r="BG2998" s="32"/>
      <c r="BH2998" s="32"/>
      <c r="BI2998" s="32"/>
      <c r="BJ2998" s="32"/>
      <c r="BK2998" s="32"/>
      <c r="BL2998" s="32"/>
      <c r="BM2998" s="32"/>
      <c r="BN2998" s="32"/>
      <c r="BO2998" s="32"/>
      <c r="BP2998" s="32"/>
      <c r="BQ2998" s="32"/>
      <c r="BR2998" s="32"/>
      <c r="BS2998" s="32"/>
      <c r="BT2998" s="32"/>
      <c r="BU2998" s="32"/>
      <c r="BV2998" s="32"/>
      <c r="BW2998" s="32"/>
      <c r="BX2998" s="32"/>
      <c r="BY2998" s="32"/>
      <c r="BZ2998" s="32"/>
      <c r="CA2998" s="32"/>
      <c r="CB2998" s="32"/>
      <c r="CC2998" s="32"/>
      <c r="CD2998" s="32"/>
    </row>
    <row r="2999" ht="15.75" hidden="1" customHeight="1" outlineLevel="1">
      <c r="A2999" s="363"/>
      <c r="B2999" s="38"/>
      <c r="C2999" s="38"/>
      <c r="D2999" s="38"/>
      <c r="E2999" s="38"/>
      <c r="F2999" s="38"/>
      <c r="G2999" s="38"/>
      <c r="H2999" s="38"/>
      <c r="I2999" s="38"/>
      <c r="J2999" s="38"/>
      <c r="K2999" s="38"/>
      <c r="L2999" s="38"/>
      <c r="M2999" s="38"/>
      <c r="N2999" s="38"/>
      <c r="O2999" s="38"/>
      <c r="P2999" s="38"/>
      <c r="Q2999" s="38"/>
      <c r="R2999" s="38"/>
      <c r="S2999" s="38"/>
      <c r="T2999" s="38"/>
      <c r="U2999" s="38"/>
      <c r="V2999" s="38"/>
      <c r="W2999" s="38"/>
      <c r="X2999" s="32"/>
      <c r="Y2999" s="32"/>
      <c r="Z2999" s="32"/>
      <c r="AA2999" s="32"/>
      <c r="AB2999" s="372">
        <f>$AB2865*'Assumptions (T&amp;D)'!C$24</f>
        <v>0.2381087707</v>
      </c>
      <c r="AC2999" s="372">
        <f>$AB2865*'Assumptions (T&amp;D)'!D$24</f>
        <v>0.4584387532</v>
      </c>
      <c r="AD2999" s="372">
        <f>$AB2865*'Assumptions (T&amp;D)'!E$24</f>
        <v>0.4241510902</v>
      </c>
      <c r="AE2999" s="372">
        <f>$AB2865*'Assumptions (T&amp;D)'!F$24</f>
        <v>0.3924032541</v>
      </c>
      <c r="AF2999" s="372">
        <f>$AB2865*'Assumptions (T&amp;D)'!G$24</f>
        <v>0.3625602882</v>
      </c>
      <c r="AG2999" s="372">
        <f>$AB2865*'Assumptions (T&amp;D)'!H$24</f>
        <v>0.3358921059</v>
      </c>
      <c r="AH2999" s="372">
        <f>$AB2865*'Assumptions (T&amp;D)'!I$24</f>
        <v>0.310493837</v>
      </c>
      <c r="AI2999" s="372">
        <f>$AB2865*'Assumptions (T&amp;D)'!J$24</f>
        <v>0.2870004383</v>
      </c>
      <c r="AJ2999" s="372">
        <f>$AB2865*'Assumptions (T&amp;D)'!K$24</f>
        <v>0.2831906979</v>
      </c>
      <c r="AK2999" s="372">
        <f>$AB2865*'Assumptions (T&amp;D)'!L$24</f>
        <v>0.2831906979</v>
      </c>
      <c r="AL2999" s="372">
        <f>$AB2865*'Assumptions (T&amp;D)'!M$24</f>
        <v>0.2831906979</v>
      </c>
      <c r="AM2999" s="372">
        <f>$AB2865*'Assumptions (T&amp;D)'!N$24</f>
        <v>0.2831906979</v>
      </c>
      <c r="AN2999" s="372">
        <f>$AB2865*'Assumptions (T&amp;D)'!O$24</f>
        <v>0.2831906979</v>
      </c>
      <c r="AO2999" s="372">
        <f>$AB2865*'Assumptions (T&amp;D)'!P$24</f>
        <v>0.2831906979</v>
      </c>
      <c r="AP2999" s="372">
        <f>$AB2865*'Assumptions (T&amp;D)'!Q$24</f>
        <v>0.2831906979</v>
      </c>
      <c r="AQ2999" s="372">
        <f>$AB2865*'Assumptions (T&amp;D)'!R$24</f>
        <v>0.2831906979</v>
      </c>
      <c r="AR2999" s="372">
        <f>$AB2865*'Assumptions (T&amp;D)'!S$24</f>
        <v>0.2831906979</v>
      </c>
      <c r="AS2999" s="372">
        <f>$AB2865*'Assumptions (T&amp;D)'!T$24</f>
        <v>0.2831906979</v>
      </c>
      <c r="AT2999" s="372">
        <f>$AB2865*'Assumptions (T&amp;D)'!U$24</f>
        <v>0.2831906979</v>
      </c>
      <c r="AU2999" s="372">
        <f>$AB2865*'Assumptions (T&amp;D)'!V$24</f>
        <v>0.2831906979</v>
      </c>
      <c r="AV2999" s="372">
        <f>$AB2865*'Assumptions (T&amp;D)'!W$24</f>
        <v>0.141595349</v>
      </c>
      <c r="AW2999" s="32"/>
      <c r="AX2999" s="32"/>
      <c r="AY2999" s="32"/>
      <c r="AZ2999" s="32"/>
      <c r="BA2999" s="32"/>
      <c r="BB2999" s="32"/>
      <c r="BC2999" s="32"/>
      <c r="BD2999" s="32"/>
      <c r="BE2999" s="32"/>
      <c r="BF2999" s="32"/>
      <c r="BG2999" s="32"/>
      <c r="BH2999" s="32"/>
      <c r="BI2999" s="32"/>
      <c r="BJ2999" s="32"/>
      <c r="BK2999" s="32"/>
      <c r="BL2999" s="32"/>
      <c r="BM2999" s="32"/>
      <c r="BN2999" s="32"/>
      <c r="BO2999" s="32"/>
      <c r="BP2999" s="32"/>
      <c r="BQ2999" s="32"/>
      <c r="BR2999" s="32"/>
      <c r="BS2999" s="32"/>
      <c r="BT2999" s="32"/>
      <c r="BU2999" s="32"/>
      <c r="BV2999" s="32"/>
      <c r="BW2999" s="32"/>
      <c r="BX2999" s="32"/>
      <c r="BY2999" s="32"/>
      <c r="BZ2999" s="32"/>
      <c r="CA2999" s="32"/>
      <c r="CB2999" s="32"/>
      <c r="CC2999" s="32"/>
      <c r="CD2999" s="32"/>
    </row>
    <row r="3000" ht="15.75" hidden="1" customHeight="1" outlineLevel="1">
      <c r="A3000" s="363"/>
      <c r="B3000" s="38"/>
      <c r="C3000" s="38"/>
      <c r="D3000" s="38"/>
      <c r="E3000" s="38"/>
      <c r="F3000" s="38"/>
      <c r="G3000" s="38"/>
      <c r="H3000" s="38"/>
      <c r="I3000" s="38"/>
      <c r="J3000" s="38"/>
      <c r="K3000" s="38"/>
      <c r="L3000" s="38"/>
      <c r="M3000" s="38"/>
      <c r="N3000" s="38"/>
      <c r="O3000" s="38"/>
      <c r="P3000" s="38"/>
      <c r="Q3000" s="38"/>
      <c r="R3000" s="38"/>
      <c r="S3000" s="38"/>
      <c r="T3000" s="38"/>
      <c r="U3000" s="38"/>
      <c r="V3000" s="38"/>
      <c r="W3000" s="38"/>
      <c r="X3000" s="32"/>
      <c r="Y3000" s="32"/>
      <c r="Z3000" s="32"/>
      <c r="AA3000" s="32"/>
      <c r="AB3000" s="32"/>
      <c r="AC3000" s="372">
        <f>$AC2865*'Assumptions (T&amp;D)'!C$24</f>
        <v>0.2447260844</v>
      </c>
      <c r="AD3000" s="372">
        <f>$AC2865*'Assumptions (T&amp;D)'!D$24</f>
        <v>0.4711792878</v>
      </c>
      <c r="AE3000" s="372">
        <f>$AC2865*'Assumptions (T&amp;D)'!E$24</f>
        <v>0.4359387317</v>
      </c>
      <c r="AF3000" s="372">
        <f>$AC2865*'Assumptions (T&amp;D)'!F$24</f>
        <v>0.4033085871</v>
      </c>
      <c r="AG3000" s="372">
        <f>$AC2865*'Assumptions (T&amp;D)'!G$24</f>
        <v>0.3726362512</v>
      </c>
      <c r="AH3000" s="372">
        <f>$AC2865*'Assumptions (T&amp;D)'!H$24</f>
        <v>0.3452269297</v>
      </c>
      <c r="AI3000" s="372">
        <f>$AC2865*'Assumptions (T&amp;D)'!I$24</f>
        <v>0.319122814</v>
      </c>
      <c r="AJ3000" s="372">
        <f>$AC2865*'Assumptions (T&amp;D)'!J$24</f>
        <v>0.294976507</v>
      </c>
      <c r="AK3000" s="372">
        <f>$AC2865*'Assumptions (T&amp;D)'!K$24</f>
        <v>0.2910608897</v>
      </c>
      <c r="AL3000" s="372">
        <f>$AC2865*'Assumptions (T&amp;D)'!L$24</f>
        <v>0.2910608897</v>
      </c>
      <c r="AM3000" s="372">
        <f>$AC2865*'Assumptions (T&amp;D)'!M$24</f>
        <v>0.2910608897</v>
      </c>
      <c r="AN3000" s="372">
        <f>$AC2865*'Assumptions (T&amp;D)'!N$24</f>
        <v>0.2910608897</v>
      </c>
      <c r="AO3000" s="372">
        <f>$AC2865*'Assumptions (T&amp;D)'!O$24</f>
        <v>0.2910608897</v>
      </c>
      <c r="AP3000" s="372">
        <f>$AC2865*'Assumptions (T&amp;D)'!P$24</f>
        <v>0.2910608897</v>
      </c>
      <c r="AQ3000" s="372">
        <f>$AC2865*'Assumptions (T&amp;D)'!Q$24</f>
        <v>0.2910608897</v>
      </c>
      <c r="AR3000" s="372">
        <f>$AC2865*'Assumptions (T&amp;D)'!R$24</f>
        <v>0.2910608897</v>
      </c>
      <c r="AS3000" s="372">
        <f>$AC2865*'Assumptions (T&amp;D)'!S$24</f>
        <v>0.2910608897</v>
      </c>
      <c r="AT3000" s="372">
        <f>$AC2865*'Assumptions (T&amp;D)'!T$24</f>
        <v>0.2910608897</v>
      </c>
      <c r="AU3000" s="372">
        <f>$AC2865*'Assumptions (T&amp;D)'!U$24</f>
        <v>0.2910608897</v>
      </c>
      <c r="AV3000" s="372">
        <f>$AC2865*'Assumptions (T&amp;D)'!V$24</f>
        <v>0.2910608897</v>
      </c>
      <c r="AW3000" s="372">
        <f>$AC2865*'Assumptions (T&amp;D)'!W$24</f>
        <v>0.1455304448</v>
      </c>
      <c r="AX3000" s="32"/>
      <c r="AY3000" s="32"/>
      <c r="AZ3000" s="32"/>
      <c r="BA3000" s="32"/>
      <c r="BB3000" s="32"/>
      <c r="BC3000" s="32"/>
      <c r="BD3000" s="32"/>
      <c r="BE3000" s="32"/>
      <c r="BF3000" s="32"/>
      <c r="BG3000" s="32"/>
      <c r="BH3000" s="32"/>
      <c r="BI3000" s="32"/>
      <c r="BJ3000" s="32"/>
      <c r="BK3000" s="32"/>
      <c r="BL3000" s="32"/>
      <c r="BM3000" s="32"/>
      <c r="BN3000" s="32"/>
      <c r="BO3000" s="32"/>
      <c r="BP3000" s="32"/>
      <c r="BQ3000" s="32"/>
      <c r="BR3000" s="32"/>
      <c r="BS3000" s="32"/>
      <c r="BT3000" s="32"/>
      <c r="BU3000" s="32"/>
      <c r="BV3000" s="32"/>
      <c r="BW3000" s="32"/>
      <c r="BX3000" s="32"/>
      <c r="BY3000" s="32"/>
      <c r="BZ3000" s="32"/>
      <c r="CA3000" s="32"/>
      <c r="CB3000" s="32"/>
      <c r="CC3000" s="32"/>
      <c r="CD3000" s="32"/>
    </row>
    <row r="3001" ht="15.75" hidden="1" customHeight="1" outlineLevel="1">
      <c r="A3001" s="363"/>
      <c r="B3001" s="38"/>
      <c r="C3001" s="38"/>
      <c r="D3001" s="38"/>
      <c r="E3001" s="38"/>
      <c r="F3001" s="38"/>
      <c r="G3001" s="38"/>
      <c r="H3001" s="38"/>
      <c r="I3001" s="38"/>
      <c r="J3001" s="38"/>
      <c r="K3001" s="38"/>
      <c r="L3001" s="38"/>
      <c r="M3001" s="38"/>
      <c r="N3001" s="38"/>
      <c r="O3001" s="38"/>
      <c r="P3001" s="38"/>
      <c r="Q3001" s="38"/>
      <c r="R3001" s="38"/>
      <c r="S3001" s="38"/>
      <c r="T3001" s="38"/>
      <c r="U3001" s="38"/>
      <c r="V3001" s="38"/>
      <c r="W3001" s="38"/>
      <c r="X3001" s="32"/>
      <c r="Y3001" s="32"/>
      <c r="Z3001" s="32"/>
      <c r="AA3001" s="32"/>
      <c r="AB3001" s="32"/>
      <c r="AC3001" s="32"/>
      <c r="AD3001" s="372">
        <f>$AD2865*'Assumptions (T&amp;D)'!C$24</f>
        <v>0.2515118969</v>
      </c>
      <c r="AE3001" s="372">
        <f>$AD2865*'Assumptions (T&amp;D)'!D$24</f>
        <v>0.4842442388</v>
      </c>
      <c r="AF3001" s="372">
        <f>$AD2865*'Assumptions (T&amp;D)'!E$24</f>
        <v>0.4480265257</v>
      </c>
      <c r="AG3001" s="372">
        <f>$AD2865*'Assumptions (T&amp;D)'!F$24</f>
        <v>0.4144916061</v>
      </c>
      <c r="AH3001" s="372">
        <f>$AD2865*'Assumptions (T&amp;D)'!G$24</f>
        <v>0.3829687817</v>
      </c>
      <c r="AI3001" s="372">
        <f>$AD2865*'Assumptions (T&amp;D)'!H$24</f>
        <v>0.3547994492</v>
      </c>
      <c r="AJ3001" s="372">
        <f>$AD2865*'Assumptions (T&amp;D)'!I$24</f>
        <v>0.3279715135</v>
      </c>
      <c r="AK3001" s="372">
        <f>$AD2865*'Assumptions (T&amp;D)'!J$24</f>
        <v>0.3031556731</v>
      </c>
      <c r="AL3001" s="372">
        <f>$AD2865*'Assumptions (T&amp;D)'!K$24</f>
        <v>0.2991314827</v>
      </c>
      <c r="AM3001" s="372">
        <f>$AD2865*'Assumptions (T&amp;D)'!L$24</f>
        <v>0.2991314827</v>
      </c>
      <c r="AN3001" s="372">
        <f>$AD2865*'Assumptions (T&amp;D)'!M$24</f>
        <v>0.2991314827</v>
      </c>
      <c r="AO3001" s="372">
        <f>$AD2865*'Assumptions (T&amp;D)'!N$24</f>
        <v>0.2991314827</v>
      </c>
      <c r="AP3001" s="372">
        <f>$AD2865*'Assumptions (T&amp;D)'!O$24</f>
        <v>0.2991314827</v>
      </c>
      <c r="AQ3001" s="372">
        <f>$AD2865*'Assumptions (T&amp;D)'!P$24</f>
        <v>0.2991314827</v>
      </c>
      <c r="AR3001" s="372">
        <f>$AD2865*'Assumptions (T&amp;D)'!Q$24</f>
        <v>0.2991314827</v>
      </c>
      <c r="AS3001" s="372">
        <f>$AD2865*'Assumptions (T&amp;D)'!R$24</f>
        <v>0.2991314827</v>
      </c>
      <c r="AT3001" s="372">
        <f>$AD2865*'Assumptions (T&amp;D)'!S$24</f>
        <v>0.2991314827</v>
      </c>
      <c r="AU3001" s="372">
        <f>$AD2865*'Assumptions (T&amp;D)'!T$24</f>
        <v>0.2991314827</v>
      </c>
      <c r="AV3001" s="372">
        <f>$AD2865*'Assumptions (T&amp;D)'!U$24</f>
        <v>0.2991314827</v>
      </c>
      <c r="AW3001" s="372">
        <f>$AD2865*'Assumptions (T&amp;D)'!V$24</f>
        <v>0.2991314827</v>
      </c>
      <c r="AX3001" s="372">
        <f>$AD2865*'Assumptions (T&amp;D)'!W$24</f>
        <v>0.1495657414</v>
      </c>
      <c r="AY3001" s="32"/>
      <c r="AZ3001" s="32"/>
      <c r="BA3001" s="32"/>
      <c r="BB3001" s="32"/>
      <c r="BC3001" s="32"/>
      <c r="BD3001" s="32"/>
      <c r="BE3001" s="32"/>
      <c r="BF3001" s="32"/>
      <c r="BG3001" s="32"/>
      <c r="BH3001" s="32"/>
      <c r="BI3001" s="32"/>
      <c r="BJ3001" s="32"/>
      <c r="BK3001" s="32"/>
      <c r="BL3001" s="32"/>
      <c r="BM3001" s="32"/>
      <c r="BN3001" s="32"/>
      <c r="BO3001" s="32"/>
      <c r="BP3001" s="32"/>
      <c r="BQ3001" s="32"/>
      <c r="BR3001" s="32"/>
      <c r="BS3001" s="32"/>
      <c r="BT3001" s="32"/>
      <c r="BU3001" s="32"/>
      <c r="BV3001" s="32"/>
      <c r="BW3001" s="32"/>
      <c r="BX3001" s="32"/>
      <c r="BY3001" s="32"/>
      <c r="BZ3001" s="32"/>
      <c r="CA3001" s="32"/>
      <c r="CB3001" s="32"/>
      <c r="CC3001" s="32"/>
      <c r="CD3001" s="32"/>
    </row>
    <row r="3002" ht="15.75" hidden="1" customHeight="1" outlineLevel="1">
      <c r="A3002" s="363"/>
      <c r="B3002" s="38"/>
      <c r="C3002" s="38"/>
      <c r="D3002" s="38"/>
      <c r="E3002" s="38"/>
      <c r="F3002" s="38"/>
      <c r="G3002" s="38"/>
      <c r="H3002" s="38"/>
      <c r="I3002" s="38"/>
      <c r="J3002" s="38"/>
      <c r="K3002" s="38"/>
      <c r="L3002" s="38"/>
      <c r="M3002" s="38"/>
      <c r="N3002" s="38"/>
      <c r="O3002" s="38"/>
      <c r="P3002" s="38"/>
      <c r="Q3002" s="38"/>
      <c r="R3002" s="38"/>
      <c r="S3002" s="38"/>
      <c r="T3002" s="38"/>
      <c r="U3002" s="38"/>
      <c r="V3002" s="38"/>
      <c r="W3002" s="38"/>
      <c r="X3002" s="32"/>
      <c r="Y3002" s="32"/>
      <c r="Z3002" s="32"/>
      <c r="AA3002" s="32"/>
      <c r="AB3002" s="32"/>
      <c r="AC3002" s="32"/>
      <c r="AD3002" s="32"/>
      <c r="AE3002" s="372">
        <f>$AE2865*'Assumptions (T&amp;D)'!C$24</f>
        <v>0.2584702826</v>
      </c>
      <c r="AF3002" s="372">
        <f>$AE2865*'Assumptions (T&amp;D)'!D$24</f>
        <v>0.4976414508</v>
      </c>
      <c r="AG3002" s="372">
        <f>$AE2865*'Assumptions (T&amp;D)'!E$24</f>
        <v>0.4604217301</v>
      </c>
      <c r="AH3002" s="372">
        <f>$AE2865*'Assumptions (T&amp;D)'!F$24</f>
        <v>0.4259590257</v>
      </c>
      <c r="AI3002" s="372">
        <f>$AE2865*'Assumptions (T&amp;D)'!G$24</f>
        <v>0.3935640836</v>
      </c>
      <c r="AJ3002" s="372">
        <f>$AE2865*'Assumptions (T&amp;D)'!H$24</f>
        <v>0.364615412</v>
      </c>
      <c r="AK3002" s="372">
        <f>$AE2865*'Assumptions (T&amp;D)'!I$24</f>
        <v>0.3370452485</v>
      </c>
      <c r="AL3002" s="372">
        <f>$AE2865*'Assumptions (T&amp;D)'!J$24</f>
        <v>0.3115428473</v>
      </c>
      <c r="AM3002" s="372">
        <f>$AE2865*'Assumptions (T&amp;D)'!K$24</f>
        <v>0.3074073228</v>
      </c>
      <c r="AN3002" s="372">
        <f>$AE2865*'Assumptions (T&amp;D)'!L$24</f>
        <v>0.3074073228</v>
      </c>
      <c r="AO3002" s="372">
        <f>$AE2865*'Assumptions (T&amp;D)'!M$24</f>
        <v>0.3074073228</v>
      </c>
      <c r="AP3002" s="372">
        <f>$AE2865*'Assumptions (T&amp;D)'!N$24</f>
        <v>0.3074073228</v>
      </c>
      <c r="AQ3002" s="372">
        <f>$AE2865*'Assumptions (T&amp;D)'!O$24</f>
        <v>0.3074073228</v>
      </c>
      <c r="AR3002" s="372">
        <f>$AE2865*'Assumptions (T&amp;D)'!P$24</f>
        <v>0.3074073228</v>
      </c>
      <c r="AS3002" s="372">
        <f>$AE2865*'Assumptions (T&amp;D)'!Q$24</f>
        <v>0.3074073228</v>
      </c>
      <c r="AT3002" s="372">
        <f>$AE2865*'Assumptions (T&amp;D)'!R$24</f>
        <v>0.3074073228</v>
      </c>
      <c r="AU3002" s="372">
        <f>$AE2865*'Assumptions (T&amp;D)'!S$24</f>
        <v>0.3074073228</v>
      </c>
      <c r="AV3002" s="372">
        <f>$AE2865*'Assumptions (T&amp;D)'!T$24</f>
        <v>0.3074073228</v>
      </c>
      <c r="AW3002" s="372">
        <f>$AE2865*'Assumptions (T&amp;D)'!U$24</f>
        <v>0.3074073228</v>
      </c>
      <c r="AX3002" s="372">
        <f>$AE2865*'Assumptions (T&amp;D)'!V$24</f>
        <v>0.3074073228</v>
      </c>
      <c r="AY3002" s="372">
        <f>$AE2865*'Assumptions (T&amp;D)'!W$24</f>
        <v>0.1537036614</v>
      </c>
      <c r="AZ3002" s="32"/>
      <c r="BA3002" s="32"/>
      <c r="BB3002" s="32"/>
      <c r="BC3002" s="32"/>
      <c r="BD3002" s="32"/>
      <c r="BE3002" s="32"/>
      <c r="BF3002" s="32"/>
      <c r="BG3002" s="32"/>
      <c r="BH3002" s="32"/>
      <c r="BI3002" s="32"/>
      <c r="BJ3002" s="32"/>
      <c r="BK3002" s="32"/>
      <c r="BL3002" s="32"/>
      <c r="BM3002" s="32"/>
      <c r="BN3002" s="32"/>
      <c r="BO3002" s="32"/>
      <c r="BP3002" s="32"/>
      <c r="BQ3002" s="32"/>
      <c r="BR3002" s="32"/>
      <c r="BS3002" s="32"/>
      <c r="BT3002" s="32"/>
      <c r="BU3002" s="32"/>
      <c r="BV3002" s="32"/>
      <c r="BW3002" s="32"/>
      <c r="BX3002" s="32"/>
      <c r="BY3002" s="32"/>
      <c r="BZ3002" s="32"/>
      <c r="CA3002" s="32"/>
      <c r="CB3002" s="32"/>
      <c r="CC3002" s="32"/>
      <c r="CD3002" s="32"/>
    </row>
    <row r="3003" ht="15.75" hidden="1" customHeight="1" outlineLevel="1">
      <c r="A3003" s="363"/>
      <c r="B3003" s="38"/>
      <c r="C3003" s="38"/>
      <c r="D3003" s="38"/>
      <c r="E3003" s="38"/>
      <c r="F3003" s="38"/>
      <c r="G3003" s="38"/>
      <c r="H3003" s="38"/>
      <c r="I3003" s="38"/>
      <c r="J3003" s="38"/>
      <c r="K3003" s="38"/>
      <c r="L3003" s="38"/>
      <c r="M3003" s="38"/>
      <c r="N3003" s="38"/>
      <c r="O3003" s="38"/>
      <c r="P3003" s="38"/>
      <c r="Q3003" s="38"/>
      <c r="R3003" s="38"/>
      <c r="S3003" s="38"/>
      <c r="T3003" s="38"/>
      <c r="U3003" s="38"/>
      <c r="V3003" s="38"/>
      <c r="W3003" s="38"/>
      <c r="X3003" s="32"/>
      <c r="Y3003" s="32"/>
      <c r="Z3003" s="32"/>
      <c r="AA3003" s="32"/>
      <c r="AB3003" s="32"/>
      <c r="AC3003" s="32"/>
      <c r="AD3003" s="32"/>
      <c r="AE3003" s="32"/>
      <c r="AF3003" s="372">
        <f>$AF2865*'Assumptions (T&amp;D)'!C$24</f>
        <v>0.2656054111</v>
      </c>
      <c r="AG3003" s="372">
        <f>$AF2865*'Assumptions (T&amp;D)'!D$24</f>
        <v>0.5113789515</v>
      </c>
      <c r="AH3003" s="372">
        <f>$AF2865*'Assumptions (T&amp;D)'!E$24</f>
        <v>0.4731317723</v>
      </c>
      <c r="AI3003" s="372">
        <f>$AF2865*'Assumptions (T&amp;D)'!F$24</f>
        <v>0.4377177175</v>
      </c>
      <c r="AJ3003" s="372">
        <f>$AF2865*'Assumptions (T&amp;D)'!G$24</f>
        <v>0.404428506</v>
      </c>
      <c r="AK3003" s="372">
        <f>$AF2865*'Assumptions (T&amp;D)'!H$24</f>
        <v>0.3746806999</v>
      </c>
      <c r="AL3003" s="372">
        <f>$AF2865*'Assumptions (T&amp;D)'!I$24</f>
        <v>0.3463494561</v>
      </c>
      <c r="AM3003" s="372">
        <f>$AF2865*'Assumptions (T&amp;D)'!J$24</f>
        <v>0.3201430555</v>
      </c>
      <c r="AN3003" s="372">
        <f>$AF2865*'Assumptions (T&amp;D)'!K$24</f>
        <v>0.3158933689</v>
      </c>
      <c r="AO3003" s="372">
        <f>$AF2865*'Assumptions (T&amp;D)'!L$24</f>
        <v>0.3158933689</v>
      </c>
      <c r="AP3003" s="372">
        <f>$AF2865*'Assumptions (T&amp;D)'!M$24</f>
        <v>0.3158933689</v>
      </c>
      <c r="AQ3003" s="372">
        <f>$AF2865*'Assumptions (T&amp;D)'!N$24</f>
        <v>0.3158933689</v>
      </c>
      <c r="AR3003" s="372">
        <f>$AF2865*'Assumptions (T&amp;D)'!O$24</f>
        <v>0.3158933689</v>
      </c>
      <c r="AS3003" s="372">
        <f>$AF2865*'Assumptions (T&amp;D)'!P$24</f>
        <v>0.3158933689</v>
      </c>
      <c r="AT3003" s="372">
        <f>$AF2865*'Assumptions (T&amp;D)'!Q$24</f>
        <v>0.3158933689</v>
      </c>
      <c r="AU3003" s="372">
        <f>$AF2865*'Assumptions (T&amp;D)'!R$24</f>
        <v>0.3158933689</v>
      </c>
      <c r="AV3003" s="372">
        <f>$AF2865*'Assumptions (T&amp;D)'!S$24</f>
        <v>0.3158933689</v>
      </c>
      <c r="AW3003" s="372">
        <f>$AF2865*'Assumptions (T&amp;D)'!T$24</f>
        <v>0.3158933689</v>
      </c>
      <c r="AX3003" s="372">
        <f>$AF2865*'Assumptions (T&amp;D)'!U$24</f>
        <v>0.3158933689</v>
      </c>
      <c r="AY3003" s="372">
        <f>$AF2865*'Assumptions (T&amp;D)'!V$24</f>
        <v>0.3158933689</v>
      </c>
      <c r="AZ3003" s="372">
        <f>$AF2865*'Assumptions (T&amp;D)'!W$24</f>
        <v>0.1579466845</v>
      </c>
      <c r="BA3003" s="32"/>
      <c r="BB3003" s="32"/>
      <c r="BC3003" s="32"/>
      <c r="BD3003" s="32"/>
      <c r="BE3003" s="32"/>
      <c r="BF3003" s="32"/>
      <c r="BG3003" s="32"/>
      <c r="BH3003" s="32"/>
      <c r="BI3003" s="32"/>
      <c r="BJ3003" s="32"/>
      <c r="BK3003" s="32"/>
      <c r="BL3003" s="32"/>
      <c r="BM3003" s="32"/>
      <c r="BN3003" s="32"/>
      <c r="BO3003" s="32"/>
      <c r="BP3003" s="32"/>
      <c r="BQ3003" s="32"/>
      <c r="BR3003" s="32"/>
      <c r="BS3003" s="32"/>
      <c r="BT3003" s="32"/>
      <c r="BU3003" s="32"/>
      <c r="BV3003" s="32"/>
      <c r="BW3003" s="32"/>
      <c r="BX3003" s="32"/>
      <c r="BY3003" s="32"/>
      <c r="BZ3003" s="32"/>
      <c r="CA3003" s="32"/>
      <c r="CB3003" s="32"/>
      <c r="CC3003" s="32"/>
      <c r="CD3003" s="32"/>
    </row>
    <row r="3004" ht="15.75" hidden="1" customHeight="1" outlineLevel="1">
      <c r="A3004" s="363"/>
      <c r="B3004" s="38"/>
      <c r="C3004" s="38"/>
      <c r="D3004" s="38"/>
      <c r="E3004" s="38"/>
      <c r="F3004" s="38"/>
      <c r="G3004" s="38"/>
      <c r="H3004" s="38"/>
      <c r="I3004" s="38"/>
      <c r="J3004" s="38"/>
      <c r="K3004" s="38"/>
      <c r="L3004" s="38"/>
      <c r="M3004" s="38"/>
      <c r="N3004" s="38"/>
      <c r="O3004" s="38"/>
      <c r="P3004" s="38"/>
      <c r="Q3004" s="38"/>
      <c r="R3004" s="38"/>
      <c r="S3004" s="38"/>
      <c r="T3004" s="38"/>
      <c r="U3004" s="38"/>
      <c r="V3004" s="38"/>
      <c r="W3004" s="38"/>
      <c r="X3004" s="32"/>
      <c r="Y3004" s="32"/>
      <c r="Z3004" s="32"/>
      <c r="AA3004" s="32"/>
      <c r="AB3004" s="32"/>
      <c r="AC3004" s="32"/>
      <c r="AD3004" s="32"/>
      <c r="AE3004" s="32"/>
      <c r="AF3004" s="32"/>
      <c r="AG3004" s="372">
        <f>$AG2865*'Assumptions (T&amp;D)'!C$24</f>
        <v>0.2729215494</v>
      </c>
      <c r="AH3004" s="372">
        <f>$AG2865*'Assumptions (T&amp;D)'!D$24</f>
        <v>0.5254649564</v>
      </c>
      <c r="AI3004" s="372">
        <f>$AG2865*'Assumptions (T&amp;D)'!E$24</f>
        <v>0.4861642533</v>
      </c>
      <c r="AJ3004" s="372">
        <f>$AG2865*'Assumptions (T&amp;D)'!F$24</f>
        <v>0.4497747133</v>
      </c>
      <c r="AK3004" s="372">
        <f>$AG2865*'Assumptions (T&amp;D)'!G$24</f>
        <v>0.4155685458</v>
      </c>
      <c r="AL3004" s="372">
        <f>$AG2865*'Assumptions (T&amp;D)'!H$24</f>
        <v>0.3850013323</v>
      </c>
      <c r="AM3004" s="372">
        <f>$AG2865*'Assumptions (T&amp;D)'!I$24</f>
        <v>0.3558897004</v>
      </c>
      <c r="AN3004" s="372">
        <f>$AG2865*'Assumptions (T&amp;D)'!J$24</f>
        <v>0.3289614408</v>
      </c>
      <c r="AO3004" s="372">
        <f>$AG2865*'Assumptions (T&amp;D)'!K$24</f>
        <v>0.324594696</v>
      </c>
      <c r="AP3004" s="372">
        <f>$AG2865*'Assumptions (T&amp;D)'!L$24</f>
        <v>0.324594696</v>
      </c>
      <c r="AQ3004" s="372">
        <f>$AG2865*'Assumptions (T&amp;D)'!M$24</f>
        <v>0.324594696</v>
      </c>
      <c r="AR3004" s="372">
        <f>$AG2865*'Assumptions (T&amp;D)'!N$24</f>
        <v>0.324594696</v>
      </c>
      <c r="AS3004" s="372">
        <f>$AG2865*'Assumptions (T&amp;D)'!O$24</f>
        <v>0.324594696</v>
      </c>
      <c r="AT3004" s="372">
        <f>$AG2865*'Assumptions (T&amp;D)'!P$24</f>
        <v>0.324594696</v>
      </c>
      <c r="AU3004" s="372">
        <f>$AG2865*'Assumptions (T&amp;D)'!Q$24</f>
        <v>0.324594696</v>
      </c>
      <c r="AV3004" s="372">
        <f>$AG2865*'Assumptions (T&amp;D)'!R$24</f>
        <v>0.324594696</v>
      </c>
      <c r="AW3004" s="372">
        <f>$AG2865*'Assumptions (T&amp;D)'!S$24</f>
        <v>0.324594696</v>
      </c>
      <c r="AX3004" s="372">
        <f>$AG2865*'Assumptions (T&amp;D)'!T$24</f>
        <v>0.324594696</v>
      </c>
      <c r="AY3004" s="372">
        <f>$AG2865*'Assumptions (T&amp;D)'!U$24</f>
        <v>0.324594696</v>
      </c>
      <c r="AZ3004" s="372">
        <f>$AG2865*'Assumptions (T&amp;D)'!V$24</f>
        <v>0.324594696</v>
      </c>
      <c r="BA3004" s="372">
        <f>$AG2865*'Assumptions (T&amp;D)'!W$24</f>
        <v>0.162297348</v>
      </c>
      <c r="BB3004" s="32"/>
      <c r="BC3004" s="32"/>
      <c r="BD3004" s="32"/>
      <c r="BE3004" s="32"/>
      <c r="BF3004" s="32"/>
      <c r="BG3004" s="32"/>
      <c r="BH3004" s="32"/>
      <c r="BI3004" s="32"/>
      <c r="BJ3004" s="32"/>
      <c r="BK3004" s="32"/>
      <c r="BL3004" s="32"/>
      <c r="BM3004" s="32"/>
      <c r="BN3004" s="32"/>
      <c r="BO3004" s="32"/>
      <c r="BP3004" s="32"/>
      <c r="BQ3004" s="32"/>
      <c r="BR3004" s="32"/>
      <c r="BS3004" s="32"/>
      <c r="BT3004" s="32"/>
      <c r="BU3004" s="32"/>
      <c r="BV3004" s="32"/>
      <c r="BW3004" s="32"/>
      <c r="BX3004" s="32"/>
      <c r="BY3004" s="32"/>
      <c r="BZ3004" s="32"/>
      <c r="CA3004" s="32"/>
      <c r="CB3004" s="32"/>
      <c r="CC3004" s="32"/>
      <c r="CD3004" s="32"/>
    </row>
    <row r="3005" ht="15.75" hidden="1" customHeight="1" outlineLevel="1">
      <c r="A3005" s="363"/>
      <c r="B3005" s="38"/>
      <c r="C3005" s="38"/>
      <c r="D3005" s="38"/>
      <c r="E3005" s="38"/>
      <c r="F3005" s="38"/>
      <c r="G3005" s="38"/>
      <c r="H3005" s="38"/>
      <c r="I3005" s="38"/>
      <c r="J3005" s="38"/>
      <c r="K3005" s="38"/>
      <c r="L3005" s="38"/>
      <c r="M3005" s="38"/>
      <c r="N3005" s="38"/>
      <c r="O3005" s="38"/>
      <c r="P3005" s="38"/>
      <c r="Q3005" s="38"/>
      <c r="R3005" s="38"/>
      <c r="S3005" s="38"/>
      <c r="T3005" s="38"/>
      <c r="U3005" s="38"/>
      <c r="V3005" s="38"/>
      <c r="W3005" s="38"/>
      <c r="X3005" s="32"/>
      <c r="Y3005" s="32"/>
      <c r="Z3005" s="32"/>
      <c r="AA3005" s="32"/>
      <c r="AB3005" s="32"/>
      <c r="AC3005" s="32"/>
      <c r="AD3005" s="32"/>
      <c r="AE3005" s="32"/>
      <c r="AF3005" s="32"/>
      <c r="AG3005" s="32"/>
      <c r="AH3005" s="372">
        <f>$AH2865*'Assumptions (T&amp;D)'!C$24</f>
        <v>0.280423064</v>
      </c>
      <c r="AI3005" s="372">
        <f>$AH2865*'Assumptions (T&amp;D)'!D$24</f>
        <v>0.5399078725</v>
      </c>
      <c r="AJ3005" s="372">
        <f>$AH2865*'Assumptions (T&amp;D)'!E$24</f>
        <v>0.4995269513</v>
      </c>
      <c r="AK3005" s="372">
        <f>$AH2865*'Assumptions (T&amp;D)'!F$24</f>
        <v>0.4621372094</v>
      </c>
      <c r="AL3005" s="372">
        <f>$AH2865*'Assumptions (T&amp;D)'!G$24</f>
        <v>0.4269908521</v>
      </c>
      <c r="AM3005" s="372">
        <f>$AH2865*'Assumptions (T&amp;D)'!H$24</f>
        <v>0.3955834689</v>
      </c>
      <c r="AN3005" s="372">
        <f>$AH2865*'Assumptions (T&amp;D)'!I$24</f>
        <v>0.3656716754</v>
      </c>
      <c r="AO3005" s="372">
        <f>$AH2865*'Assumptions (T&amp;D)'!J$24</f>
        <v>0.3380032664</v>
      </c>
      <c r="AP3005" s="372">
        <f>$AH2865*'Assumptions (T&amp;D)'!K$24</f>
        <v>0.3335164974</v>
      </c>
      <c r="AQ3005" s="372">
        <f>$AH2865*'Assumptions (T&amp;D)'!L$24</f>
        <v>0.3335164974</v>
      </c>
      <c r="AR3005" s="372">
        <f>$AH2865*'Assumptions (T&amp;D)'!M$24</f>
        <v>0.3335164974</v>
      </c>
      <c r="AS3005" s="372">
        <f>$AH2865*'Assumptions (T&amp;D)'!N$24</f>
        <v>0.3335164974</v>
      </c>
      <c r="AT3005" s="372">
        <f>$AH2865*'Assumptions (T&amp;D)'!O$24</f>
        <v>0.3335164974</v>
      </c>
      <c r="AU3005" s="372">
        <f>$AH2865*'Assumptions (T&amp;D)'!P$24</f>
        <v>0.3335164974</v>
      </c>
      <c r="AV3005" s="372">
        <f>$AH2865*'Assumptions (T&amp;D)'!Q$24</f>
        <v>0.3335164974</v>
      </c>
      <c r="AW3005" s="372">
        <f>$AH2865*'Assumptions (T&amp;D)'!R$24</f>
        <v>0.3335164974</v>
      </c>
      <c r="AX3005" s="372">
        <f>$AH2865*'Assumptions (T&amp;D)'!S$24</f>
        <v>0.3335164974</v>
      </c>
      <c r="AY3005" s="372">
        <f>$AH2865*'Assumptions (T&amp;D)'!T$24</f>
        <v>0.3335164974</v>
      </c>
      <c r="AZ3005" s="372">
        <f>$AH2865*'Assumptions (T&amp;D)'!U$24</f>
        <v>0.3335164974</v>
      </c>
      <c r="BA3005" s="372">
        <f>$AH2865*'Assumptions (T&amp;D)'!V$24</f>
        <v>0.3335164974</v>
      </c>
      <c r="BB3005" s="372">
        <f>$AH2865*'Assumptions (T&amp;D)'!W$24</f>
        <v>0.1667582487</v>
      </c>
      <c r="BC3005" s="32"/>
      <c r="BD3005" s="32"/>
      <c r="BE3005" s="32"/>
      <c r="BF3005" s="32"/>
      <c r="BG3005" s="32"/>
      <c r="BH3005" s="32"/>
      <c r="BI3005" s="32"/>
      <c r="BJ3005" s="32"/>
      <c r="BK3005" s="32"/>
      <c r="BL3005" s="32"/>
      <c r="BM3005" s="32"/>
      <c r="BN3005" s="32"/>
      <c r="BO3005" s="32"/>
      <c r="BP3005" s="32"/>
      <c r="BQ3005" s="32"/>
      <c r="BR3005" s="32"/>
      <c r="BS3005" s="32"/>
      <c r="BT3005" s="32"/>
      <c r="BU3005" s="32"/>
      <c r="BV3005" s="32"/>
      <c r="BW3005" s="32"/>
      <c r="BX3005" s="32"/>
      <c r="BY3005" s="32"/>
      <c r="BZ3005" s="32"/>
      <c r="CA3005" s="32"/>
      <c r="CB3005" s="32"/>
      <c r="CC3005" s="32"/>
      <c r="CD3005" s="32"/>
    </row>
    <row r="3006" ht="15.75" hidden="1" customHeight="1" outlineLevel="1">
      <c r="A3006" s="363"/>
      <c r="B3006" s="38"/>
      <c r="C3006" s="38"/>
      <c r="D3006" s="38"/>
      <c r="E3006" s="38"/>
      <c r="F3006" s="38"/>
      <c r="G3006" s="38"/>
      <c r="H3006" s="38"/>
      <c r="I3006" s="38"/>
      <c r="J3006" s="38"/>
      <c r="K3006" s="38"/>
      <c r="L3006" s="38"/>
      <c r="M3006" s="38"/>
      <c r="N3006" s="38"/>
      <c r="O3006" s="38"/>
      <c r="P3006" s="38"/>
      <c r="Q3006" s="38"/>
      <c r="R3006" s="38"/>
      <c r="S3006" s="38"/>
      <c r="T3006" s="38"/>
      <c r="U3006" s="38"/>
      <c r="V3006" s="38"/>
      <c r="W3006" s="38"/>
      <c r="X3006" s="32"/>
      <c r="Y3006" s="32"/>
      <c r="Z3006" s="32"/>
      <c r="AA3006" s="32"/>
      <c r="AB3006" s="32"/>
      <c r="AC3006" s="32"/>
      <c r="AD3006" s="32"/>
      <c r="AE3006" s="32"/>
      <c r="AF3006" s="32"/>
      <c r="AG3006" s="32"/>
      <c r="AH3006" s="32"/>
      <c r="AI3006" s="372">
        <f>$AI2865*'Assumptions (T&amp;D)'!C$24</f>
        <v>0.2881144234</v>
      </c>
      <c r="AJ3006" s="372">
        <f>$AI2865*'Assumptions (T&amp;D)'!D$24</f>
        <v>0.5547163031</v>
      </c>
      <c r="AK3006" s="372">
        <f>$AI2865*'Assumptions (T&amp;D)'!E$24</f>
        <v>0.5132278262</v>
      </c>
      <c r="AL3006" s="372">
        <f>$AI2865*'Assumptions (T&amp;D)'!F$24</f>
        <v>0.4748125697</v>
      </c>
      <c r="AM3006" s="372">
        <f>$AI2865*'Assumptions (T&amp;D)'!G$24</f>
        <v>0.4387022287</v>
      </c>
      <c r="AN3006" s="372">
        <f>$AI2865*'Assumptions (T&amp;D)'!H$24</f>
        <v>0.4064334132</v>
      </c>
      <c r="AO3006" s="372">
        <f>$AI2865*'Assumptions (T&amp;D)'!I$24</f>
        <v>0.3757012081</v>
      </c>
      <c r="AP3006" s="372">
        <f>$AI2865*'Assumptions (T&amp;D)'!J$24</f>
        <v>0.3472739183</v>
      </c>
      <c r="AQ3006" s="372">
        <f>$AI2865*'Assumptions (T&amp;D)'!K$24</f>
        <v>0.3426640875</v>
      </c>
      <c r="AR3006" s="372">
        <f>$AI2865*'Assumptions (T&amp;D)'!L$24</f>
        <v>0.3426640875</v>
      </c>
      <c r="AS3006" s="372">
        <f>$AI2865*'Assumptions (T&amp;D)'!M$24</f>
        <v>0.3426640875</v>
      </c>
      <c r="AT3006" s="372">
        <f>$AI2865*'Assumptions (T&amp;D)'!N$24</f>
        <v>0.3426640875</v>
      </c>
      <c r="AU3006" s="372">
        <f>$AI2865*'Assumptions (T&amp;D)'!O$24</f>
        <v>0.3426640875</v>
      </c>
      <c r="AV3006" s="372">
        <f>$AI2865*'Assumptions (T&amp;D)'!P$24</f>
        <v>0.3426640875</v>
      </c>
      <c r="AW3006" s="372">
        <f>$AI2865*'Assumptions (T&amp;D)'!Q$24</f>
        <v>0.3426640875</v>
      </c>
      <c r="AX3006" s="372">
        <f>$AI2865*'Assumptions (T&amp;D)'!R$24</f>
        <v>0.3426640875</v>
      </c>
      <c r="AY3006" s="372">
        <f>$AI2865*'Assumptions (T&amp;D)'!S$24</f>
        <v>0.3426640875</v>
      </c>
      <c r="AZ3006" s="372">
        <f>$AI2865*'Assumptions (T&amp;D)'!T$24</f>
        <v>0.3426640875</v>
      </c>
      <c r="BA3006" s="372">
        <f>$AI2865*'Assumptions (T&amp;D)'!U$24</f>
        <v>0.3426640875</v>
      </c>
      <c r="BB3006" s="372">
        <f>$AI2865*'Assumptions (T&amp;D)'!V$24</f>
        <v>0.3426640875</v>
      </c>
      <c r="BC3006" s="372">
        <f>$AI2865*'Assumptions (T&amp;D)'!W$24</f>
        <v>0.1713320438</v>
      </c>
      <c r="BD3006" s="32"/>
      <c r="BE3006" s="32"/>
      <c r="BF3006" s="32"/>
      <c r="BG3006" s="32"/>
      <c r="BH3006" s="32"/>
      <c r="BI3006" s="32"/>
      <c r="BJ3006" s="32"/>
      <c r="BK3006" s="32"/>
      <c r="BL3006" s="32"/>
      <c r="BM3006" s="32"/>
      <c r="BN3006" s="32"/>
      <c r="BO3006" s="32"/>
      <c r="BP3006" s="32"/>
      <c r="BQ3006" s="32"/>
      <c r="BR3006" s="32"/>
      <c r="BS3006" s="32"/>
      <c r="BT3006" s="32"/>
      <c r="BU3006" s="32"/>
      <c r="BV3006" s="32"/>
      <c r="BW3006" s="32"/>
      <c r="BX3006" s="32"/>
      <c r="BY3006" s="32"/>
      <c r="BZ3006" s="32"/>
      <c r="CA3006" s="32"/>
      <c r="CB3006" s="32"/>
      <c r="CC3006" s="32"/>
      <c r="CD3006" s="32"/>
    </row>
    <row r="3007" ht="15.75" hidden="1" customHeight="1" outlineLevel="1">
      <c r="A3007" s="363"/>
      <c r="B3007" s="38"/>
      <c r="C3007" s="38"/>
      <c r="D3007" s="38"/>
      <c r="E3007" s="38"/>
      <c r="F3007" s="38"/>
      <c r="G3007" s="38"/>
      <c r="H3007" s="38"/>
      <c r="I3007" s="38"/>
      <c r="J3007" s="38"/>
      <c r="K3007" s="38"/>
      <c r="L3007" s="38"/>
      <c r="M3007" s="38"/>
      <c r="N3007" s="38"/>
      <c r="O3007" s="38"/>
      <c r="P3007" s="38"/>
      <c r="Q3007" s="38"/>
      <c r="R3007" s="38"/>
      <c r="S3007" s="38"/>
      <c r="T3007" s="38"/>
      <c r="U3007" s="38"/>
      <c r="V3007" s="38"/>
      <c r="W3007" s="38"/>
      <c r="X3007" s="32"/>
      <c r="Y3007" s="32"/>
      <c r="Z3007" s="32"/>
      <c r="AA3007" s="32"/>
      <c r="AB3007" s="32"/>
      <c r="AC3007" s="32"/>
      <c r="AD3007" s="32"/>
      <c r="AE3007" s="32"/>
      <c r="AF3007" s="32"/>
      <c r="AG3007" s="32"/>
      <c r="AH3007" s="32"/>
      <c r="AI3007" s="32"/>
      <c r="AJ3007" s="372">
        <f>$AJ2865*'Assumptions (T&amp;D)'!C$24</f>
        <v>0.2960002002</v>
      </c>
      <c r="AK3007" s="372">
        <f>$AJ2865*'Assumptions (T&amp;D)'!D$24</f>
        <v>0.5698990521</v>
      </c>
      <c r="AL3007" s="372">
        <f>$AJ2865*'Assumptions (T&amp;D)'!E$24</f>
        <v>0.5272750233</v>
      </c>
      <c r="AM3007" s="372">
        <f>$AJ2865*'Assumptions (T&amp;D)'!F$24</f>
        <v>0.48780833</v>
      </c>
      <c r="AN3007" s="372">
        <f>$AJ2865*'Assumptions (T&amp;D)'!G$24</f>
        <v>0.4507096382</v>
      </c>
      <c r="AO3007" s="372">
        <f>$AJ2865*'Assumptions (T&amp;D)'!H$24</f>
        <v>0.4175576158</v>
      </c>
      <c r="AP3007" s="372">
        <f>$AJ2865*'Assumptions (T&amp;D)'!I$24</f>
        <v>0.3859842611</v>
      </c>
      <c r="AQ3007" s="372">
        <f>$AJ2865*'Assumptions (T&amp;D)'!J$24</f>
        <v>0.356778908</v>
      </c>
      <c r="AR3007" s="372">
        <f>$AJ2865*'Assumptions (T&amp;D)'!K$24</f>
        <v>0.3520429048</v>
      </c>
      <c r="AS3007" s="372">
        <f>$AJ2865*'Assumptions (T&amp;D)'!L$24</f>
        <v>0.3520429048</v>
      </c>
      <c r="AT3007" s="372">
        <f>$AJ2865*'Assumptions (T&amp;D)'!M$24</f>
        <v>0.3520429048</v>
      </c>
      <c r="AU3007" s="372">
        <f>$AJ2865*'Assumptions (T&amp;D)'!N$24</f>
        <v>0.3520429048</v>
      </c>
      <c r="AV3007" s="372">
        <f>$AJ2865*'Assumptions (T&amp;D)'!O$24</f>
        <v>0.3520429048</v>
      </c>
      <c r="AW3007" s="372">
        <f>$AJ2865*'Assumptions (T&amp;D)'!P$24</f>
        <v>0.3520429048</v>
      </c>
      <c r="AX3007" s="372">
        <f>$AJ2865*'Assumptions (T&amp;D)'!Q$24</f>
        <v>0.3520429048</v>
      </c>
      <c r="AY3007" s="372">
        <f>$AJ2865*'Assumptions (T&amp;D)'!R$24</f>
        <v>0.3520429048</v>
      </c>
      <c r="AZ3007" s="372">
        <f>$AJ2865*'Assumptions (T&amp;D)'!S$24</f>
        <v>0.3520429048</v>
      </c>
      <c r="BA3007" s="372">
        <f>$AJ2865*'Assumptions (T&amp;D)'!T$24</f>
        <v>0.3520429048</v>
      </c>
      <c r="BB3007" s="372">
        <f>$AJ2865*'Assumptions (T&amp;D)'!U$24</f>
        <v>0.3520429048</v>
      </c>
      <c r="BC3007" s="372">
        <f>$AJ2865*'Assumptions (T&amp;D)'!V$24</f>
        <v>0.3520429048</v>
      </c>
      <c r="BD3007" s="372">
        <f>$AJ2865*'Assumptions (T&amp;D)'!W$24</f>
        <v>0.1760214524</v>
      </c>
      <c r="BE3007" s="32"/>
      <c r="BF3007" s="32"/>
      <c r="BG3007" s="32"/>
      <c r="BH3007" s="32"/>
      <c r="BI3007" s="32"/>
      <c r="BJ3007" s="32"/>
      <c r="BK3007" s="32"/>
      <c r="BL3007" s="32"/>
      <c r="BM3007" s="32"/>
      <c r="BN3007" s="32"/>
      <c r="BO3007" s="32"/>
      <c r="BP3007" s="32"/>
      <c r="BQ3007" s="32"/>
      <c r="BR3007" s="32"/>
      <c r="BS3007" s="32"/>
      <c r="BT3007" s="32"/>
      <c r="BU3007" s="32"/>
      <c r="BV3007" s="32"/>
      <c r="BW3007" s="32"/>
      <c r="BX3007" s="32"/>
      <c r="BY3007" s="32"/>
      <c r="BZ3007" s="32"/>
      <c r="CA3007" s="32"/>
      <c r="CB3007" s="32"/>
      <c r="CC3007" s="32"/>
      <c r="CD3007" s="32"/>
    </row>
    <row r="3008" ht="15.75" hidden="1" customHeight="1" outlineLevel="1">
      <c r="A3008" s="363"/>
      <c r="B3008" s="38"/>
      <c r="C3008" s="38"/>
      <c r="D3008" s="38"/>
      <c r="E3008" s="38"/>
      <c r="F3008" s="38"/>
      <c r="G3008" s="38"/>
      <c r="H3008" s="38"/>
      <c r="I3008" s="38"/>
      <c r="J3008" s="38"/>
      <c r="K3008" s="38"/>
      <c r="L3008" s="38"/>
      <c r="M3008" s="38"/>
      <c r="N3008" s="38"/>
      <c r="O3008" s="38"/>
      <c r="P3008" s="38"/>
      <c r="Q3008" s="38"/>
      <c r="R3008" s="38"/>
      <c r="S3008" s="38"/>
      <c r="T3008" s="38"/>
      <c r="U3008" s="38"/>
      <c r="V3008" s="38"/>
      <c r="W3008" s="38"/>
      <c r="X3008" s="32"/>
      <c r="Y3008" s="32"/>
      <c r="Z3008" s="32"/>
      <c r="AA3008" s="32"/>
      <c r="AB3008" s="32"/>
      <c r="AC3008" s="32"/>
      <c r="AD3008" s="32"/>
      <c r="AE3008" s="32"/>
      <c r="AF3008" s="32"/>
      <c r="AG3008" s="32"/>
      <c r="AH3008" s="32"/>
      <c r="AI3008" s="32"/>
      <c r="AJ3008" s="32"/>
      <c r="AK3008" s="372">
        <f>$AK2865*'Assumptions (T&amp;D)'!C$24</f>
        <v>0.3040850737</v>
      </c>
      <c r="AL3008" s="372">
        <f>$AK2865*'Assumptions (T&amp;D)'!D$24</f>
        <v>0.5854651286</v>
      </c>
      <c r="AM3008" s="372">
        <f>$AK2865*'Assumptions (T&amp;D)'!E$24</f>
        <v>0.5416768779</v>
      </c>
      <c r="AN3008" s="372">
        <f>$AK2865*'Assumptions (T&amp;D)'!F$24</f>
        <v>0.5011322014</v>
      </c>
      <c r="AO3008" s="372">
        <f>$AK2865*'Assumptions (T&amp;D)'!G$24</f>
        <v>0.4630202055</v>
      </c>
      <c r="AP3008" s="372">
        <f>$AK2865*'Assumptions (T&amp;D)'!H$24</f>
        <v>0.4289626773</v>
      </c>
      <c r="AQ3008" s="372">
        <f>$AK2865*'Assumptions (T&amp;D)'!I$24</f>
        <v>0.3965269361</v>
      </c>
      <c r="AR3008" s="372">
        <f>$AK2865*'Assumptions (T&amp;D)'!J$24</f>
        <v>0.3665238755</v>
      </c>
      <c r="AS3008" s="372">
        <f>$AK2865*'Assumptions (T&amp;D)'!K$24</f>
        <v>0.3616585143</v>
      </c>
      <c r="AT3008" s="372">
        <f>$AK2865*'Assumptions (T&amp;D)'!L$24</f>
        <v>0.3616585143</v>
      </c>
      <c r="AU3008" s="372">
        <f>$AK2865*'Assumptions (T&amp;D)'!M$24</f>
        <v>0.3616585143</v>
      </c>
      <c r="AV3008" s="372">
        <f>$AK2865*'Assumptions (T&amp;D)'!N$24</f>
        <v>0.3616585143</v>
      </c>
      <c r="AW3008" s="372">
        <f>$AK2865*'Assumptions (T&amp;D)'!O$24</f>
        <v>0.3616585143</v>
      </c>
      <c r="AX3008" s="372">
        <f>$AK2865*'Assumptions (T&amp;D)'!P$24</f>
        <v>0.3616585143</v>
      </c>
      <c r="AY3008" s="372">
        <f>$AK2865*'Assumptions (T&amp;D)'!Q$24</f>
        <v>0.3616585143</v>
      </c>
      <c r="AZ3008" s="372">
        <f>$AK2865*'Assumptions (T&amp;D)'!R$24</f>
        <v>0.3616585143</v>
      </c>
      <c r="BA3008" s="372">
        <f>$AK2865*'Assumptions (T&amp;D)'!S$24</f>
        <v>0.3616585143</v>
      </c>
      <c r="BB3008" s="372">
        <f>$AK2865*'Assumptions (T&amp;D)'!T$24</f>
        <v>0.3616585143</v>
      </c>
      <c r="BC3008" s="372">
        <f>$AK2865*'Assumptions (T&amp;D)'!U$24</f>
        <v>0.3616585143</v>
      </c>
      <c r="BD3008" s="372">
        <f>$AK2865*'Assumptions (T&amp;D)'!V$24</f>
        <v>0.3616585143</v>
      </c>
      <c r="BE3008" s="372">
        <f>$AK2865*'Assumptions (T&amp;D)'!W$24</f>
        <v>0.1808292572</v>
      </c>
      <c r="BF3008" s="32"/>
      <c r="BG3008" s="32"/>
      <c r="BH3008" s="32"/>
      <c r="BI3008" s="32"/>
      <c r="BJ3008" s="32"/>
      <c r="BK3008" s="32"/>
      <c r="BL3008" s="32"/>
      <c r="BM3008" s="32"/>
      <c r="BN3008" s="32"/>
      <c r="BO3008" s="32"/>
      <c r="BP3008" s="32"/>
      <c r="BQ3008" s="32"/>
      <c r="BR3008" s="32"/>
      <c r="BS3008" s="32"/>
      <c r="BT3008" s="32"/>
      <c r="BU3008" s="32"/>
      <c r="BV3008" s="32"/>
      <c r="BW3008" s="32"/>
      <c r="BX3008" s="32"/>
      <c r="BY3008" s="32"/>
      <c r="BZ3008" s="32"/>
      <c r="CA3008" s="32"/>
      <c r="CB3008" s="32"/>
      <c r="CC3008" s="32"/>
      <c r="CD3008" s="32"/>
    </row>
    <row r="3009" ht="15.75" hidden="1" customHeight="1" outlineLevel="1">
      <c r="A3009" s="363"/>
      <c r="B3009" s="38"/>
      <c r="C3009" s="38"/>
      <c r="D3009" s="38"/>
      <c r="E3009" s="38"/>
      <c r="F3009" s="38"/>
      <c r="G3009" s="38"/>
      <c r="H3009" s="38"/>
      <c r="I3009" s="38"/>
      <c r="J3009" s="38"/>
      <c r="K3009" s="38"/>
      <c r="L3009" s="38"/>
      <c r="M3009" s="38"/>
      <c r="N3009" s="38"/>
      <c r="O3009" s="38"/>
      <c r="P3009" s="38"/>
      <c r="Q3009" s="38"/>
      <c r="R3009" s="38"/>
      <c r="S3009" s="38"/>
      <c r="T3009" s="38"/>
      <c r="U3009" s="38"/>
      <c r="V3009" s="38"/>
      <c r="W3009" s="38"/>
      <c r="X3009" s="32"/>
      <c r="Y3009" s="32"/>
      <c r="Z3009" s="32"/>
      <c r="AA3009" s="32"/>
      <c r="AB3009" s="32"/>
      <c r="AC3009" s="32"/>
      <c r="AD3009" s="32"/>
      <c r="AE3009" s="32"/>
      <c r="AF3009" s="32"/>
      <c r="AG3009" s="32"/>
      <c r="AH3009" s="32"/>
      <c r="AI3009" s="32"/>
      <c r="AJ3009" s="32"/>
      <c r="AK3009" s="32"/>
      <c r="AL3009" s="372">
        <f>$AL2865*'Assumptions (T&amp;D)'!C$24</f>
        <v>0.312373832</v>
      </c>
      <c r="AM3009" s="372">
        <f>$AL2865*'Assumptions (T&amp;D)'!D$24</f>
        <v>0.6014237512</v>
      </c>
      <c r="AN3009" s="372">
        <f>$AL2865*'Assumptions (T&amp;D)'!E$24</f>
        <v>0.5564419194</v>
      </c>
      <c r="AO3009" s="372">
        <f>$AL2865*'Assumptions (T&amp;D)'!F$24</f>
        <v>0.5147920751</v>
      </c>
      <c r="AP3009" s="372">
        <f>$AL2865*'Assumptions (T&amp;D)'!G$24</f>
        <v>0.4756412215</v>
      </c>
      <c r="AQ3009" s="372">
        <f>$AL2865*'Assumptions (T&amp;D)'!H$24</f>
        <v>0.4406553524</v>
      </c>
      <c r="AR3009" s="372">
        <f>$AL2865*'Assumptions (T&amp;D)'!I$24</f>
        <v>0.4073354769</v>
      </c>
      <c r="AS3009" s="372">
        <f>$AL2865*'Assumptions (T&amp;D)'!J$24</f>
        <v>0.3765145922</v>
      </c>
      <c r="AT3009" s="372">
        <f>$AL2865*'Assumptions (T&amp;D)'!K$24</f>
        <v>0.3715166109</v>
      </c>
      <c r="AU3009" s="372">
        <f>$AL2865*'Assumptions (T&amp;D)'!L$24</f>
        <v>0.3715166109</v>
      </c>
      <c r="AV3009" s="372">
        <f>$AL2865*'Assumptions (T&amp;D)'!M$24</f>
        <v>0.3715166109</v>
      </c>
      <c r="AW3009" s="372">
        <f>$AL2865*'Assumptions (T&amp;D)'!N$24</f>
        <v>0.3715166109</v>
      </c>
      <c r="AX3009" s="372">
        <f>$AL2865*'Assumptions (T&amp;D)'!O$24</f>
        <v>0.3715166109</v>
      </c>
      <c r="AY3009" s="372">
        <f>$AL2865*'Assumptions (T&amp;D)'!P$24</f>
        <v>0.3715166109</v>
      </c>
      <c r="AZ3009" s="372">
        <f>$AL2865*'Assumptions (T&amp;D)'!Q$24</f>
        <v>0.3715166109</v>
      </c>
      <c r="BA3009" s="372">
        <f>$AL2865*'Assumptions (T&amp;D)'!R$24</f>
        <v>0.3715166109</v>
      </c>
      <c r="BB3009" s="372">
        <f>$AL2865*'Assumptions (T&amp;D)'!S$24</f>
        <v>0.3715166109</v>
      </c>
      <c r="BC3009" s="372">
        <f>$AL2865*'Assumptions (T&amp;D)'!T$24</f>
        <v>0.3715166109</v>
      </c>
      <c r="BD3009" s="372">
        <f>$AL2865*'Assumptions (T&amp;D)'!U$24</f>
        <v>0.3715166109</v>
      </c>
      <c r="BE3009" s="372">
        <f>$AL2865*'Assumptions (T&amp;D)'!V$24</f>
        <v>0.3715166109</v>
      </c>
      <c r="BF3009" s="372">
        <f>$AL2865*'Assumptions (T&amp;D)'!W$24</f>
        <v>0.1857583054</v>
      </c>
      <c r="BG3009" s="32"/>
      <c r="BH3009" s="32"/>
      <c r="BI3009" s="32"/>
      <c r="BJ3009" s="32"/>
      <c r="BK3009" s="32"/>
      <c r="BL3009" s="32"/>
      <c r="BM3009" s="32"/>
      <c r="BN3009" s="32"/>
      <c r="BO3009" s="32"/>
      <c r="BP3009" s="32"/>
      <c r="BQ3009" s="32"/>
      <c r="BR3009" s="32"/>
      <c r="BS3009" s="32"/>
      <c r="BT3009" s="32"/>
      <c r="BU3009" s="32"/>
      <c r="BV3009" s="32"/>
      <c r="BW3009" s="32"/>
      <c r="BX3009" s="32"/>
      <c r="BY3009" s="32"/>
      <c r="BZ3009" s="32"/>
      <c r="CA3009" s="32"/>
      <c r="CB3009" s="32"/>
      <c r="CC3009" s="32"/>
      <c r="CD3009" s="32"/>
    </row>
    <row r="3010" ht="15.75" hidden="1" customHeight="1" outlineLevel="1">
      <c r="A3010" s="363"/>
      <c r="B3010" s="38"/>
      <c r="C3010" s="38"/>
      <c r="D3010" s="38"/>
      <c r="E3010" s="38"/>
      <c r="F3010" s="38"/>
      <c r="G3010" s="38"/>
      <c r="H3010" s="38"/>
      <c r="I3010" s="38"/>
      <c r="J3010" s="38"/>
      <c r="K3010" s="38"/>
      <c r="L3010" s="38"/>
      <c r="M3010" s="38"/>
      <c r="N3010" s="38"/>
      <c r="O3010" s="38"/>
      <c r="P3010" s="38"/>
      <c r="Q3010" s="38"/>
      <c r="R3010" s="38"/>
      <c r="S3010" s="38"/>
      <c r="T3010" s="38"/>
      <c r="U3010" s="38"/>
      <c r="V3010" s="38"/>
      <c r="W3010" s="38"/>
      <c r="X3010" s="32"/>
      <c r="Y3010" s="32"/>
      <c r="Z3010" s="32"/>
      <c r="AA3010" s="32"/>
      <c r="AB3010" s="32"/>
      <c r="AC3010" s="32"/>
      <c r="AD3010" s="32"/>
      <c r="AE3010" s="32"/>
      <c r="AF3010" s="32"/>
      <c r="AG3010" s="32"/>
      <c r="AH3010" s="32"/>
      <c r="AI3010" s="32"/>
      <c r="AJ3010" s="32"/>
      <c r="AK3010" s="32"/>
      <c r="AL3010" s="32"/>
      <c r="AM3010" s="372">
        <f>$AM2865*'Assumptions (T&amp;D)'!C$24</f>
        <v>0.3208713748</v>
      </c>
      <c r="AN3010" s="372">
        <f>$AM2865*'Assumptions (T&amp;D)'!D$24</f>
        <v>0.6177843537</v>
      </c>
      <c r="AO3010" s="372">
        <f>$AM2865*'Assumptions (T&amp;D)'!E$24</f>
        <v>0.5715788757</v>
      </c>
      <c r="AP3010" s="372">
        <f>$AM2865*'Assumptions (T&amp;D)'!F$24</f>
        <v>0.5287960257</v>
      </c>
      <c r="AQ3010" s="372">
        <f>$AM2865*'Assumptions (T&amp;D)'!G$24</f>
        <v>0.4885801467</v>
      </c>
      <c r="AR3010" s="372">
        <f>$AM2865*'Assumptions (T&amp;D)'!H$24</f>
        <v>0.4526425527</v>
      </c>
      <c r="AS3010" s="372">
        <f>$AM2865*'Assumptions (T&amp;D)'!I$24</f>
        <v>0.4184162728</v>
      </c>
      <c r="AT3010" s="372">
        <f>$AM2865*'Assumptions (T&amp;D)'!J$24</f>
        <v>0.3867569638</v>
      </c>
      <c r="AU3010" s="372">
        <f>$AM2865*'Assumptions (T&amp;D)'!K$24</f>
        <v>0.3816230218</v>
      </c>
      <c r="AV3010" s="372">
        <f>$AM2865*'Assumptions (T&amp;D)'!L$24</f>
        <v>0.3816230218</v>
      </c>
      <c r="AW3010" s="372">
        <f>$AM2865*'Assumptions (T&amp;D)'!M$24</f>
        <v>0.3816230218</v>
      </c>
      <c r="AX3010" s="372">
        <f>$AM2865*'Assumptions (T&amp;D)'!N$24</f>
        <v>0.3816230218</v>
      </c>
      <c r="AY3010" s="372">
        <f>$AM2865*'Assumptions (T&amp;D)'!O$24</f>
        <v>0.3816230218</v>
      </c>
      <c r="AZ3010" s="372">
        <f>$AM2865*'Assumptions (T&amp;D)'!P$24</f>
        <v>0.3816230218</v>
      </c>
      <c r="BA3010" s="372">
        <f>$AM2865*'Assumptions (T&amp;D)'!Q$24</f>
        <v>0.3816230218</v>
      </c>
      <c r="BB3010" s="372">
        <f>$AM2865*'Assumptions (T&amp;D)'!R$24</f>
        <v>0.3816230218</v>
      </c>
      <c r="BC3010" s="372">
        <f>$AM2865*'Assumptions (T&amp;D)'!S$24</f>
        <v>0.3816230218</v>
      </c>
      <c r="BD3010" s="372">
        <f>$AM2865*'Assumptions (T&amp;D)'!T$24</f>
        <v>0.3816230218</v>
      </c>
      <c r="BE3010" s="372">
        <f>$AM2865*'Assumptions (T&amp;D)'!U$24</f>
        <v>0.3816230218</v>
      </c>
      <c r="BF3010" s="372">
        <f>$AM2865*'Assumptions (T&amp;D)'!V$24</f>
        <v>0.3816230218</v>
      </c>
      <c r="BG3010" s="372">
        <f>$AM2865*'Assumptions (T&amp;D)'!W$24</f>
        <v>0.1908115109</v>
      </c>
      <c r="BH3010" s="32"/>
      <c r="BI3010" s="32"/>
      <c r="BJ3010" s="32"/>
      <c r="BK3010" s="32"/>
      <c r="BL3010" s="32"/>
      <c r="BM3010" s="32"/>
      <c r="BN3010" s="32"/>
      <c r="BO3010" s="32"/>
      <c r="BP3010" s="32"/>
      <c r="BQ3010" s="32"/>
      <c r="BR3010" s="32"/>
      <c r="BS3010" s="32"/>
      <c r="BT3010" s="32"/>
      <c r="BU3010" s="32"/>
      <c r="BV3010" s="32"/>
      <c r="BW3010" s="32"/>
      <c r="BX3010" s="32"/>
      <c r="BY3010" s="32"/>
      <c r="BZ3010" s="32"/>
      <c r="CA3010" s="32"/>
      <c r="CB3010" s="32"/>
      <c r="CC3010" s="32"/>
      <c r="CD3010" s="32"/>
    </row>
    <row r="3011" ht="15.75" hidden="1" customHeight="1" outlineLevel="1">
      <c r="A3011" s="363"/>
      <c r="B3011" s="38"/>
      <c r="C3011" s="38"/>
      <c r="D3011" s="38"/>
      <c r="E3011" s="38"/>
      <c r="F3011" s="38"/>
      <c r="G3011" s="38"/>
      <c r="H3011" s="38"/>
      <c r="I3011" s="38"/>
      <c r="J3011" s="38"/>
      <c r="K3011" s="38"/>
      <c r="L3011" s="38"/>
      <c r="M3011" s="38"/>
      <c r="N3011" s="38"/>
      <c r="O3011" s="38"/>
      <c r="P3011" s="38"/>
      <c r="Q3011" s="38"/>
      <c r="R3011" s="38"/>
      <c r="S3011" s="38"/>
      <c r="T3011" s="38"/>
      <c r="U3011" s="38"/>
      <c r="V3011" s="38"/>
      <c r="W3011" s="38"/>
      <c r="X3011" s="32"/>
      <c r="Y3011" s="32"/>
      <c r="Z3011" s="32"/>
      <c r="AA3011" s="32"/>
      <c r="AB3011" s="32"/>
      <c r="AC3011" s="32"/>
      <c r="AD3011" s="32"/>
      <c r="AE3011" s="32"/>
      <c r="AF3011" s="32"/>
      <c r="AG3011" s="32"/>
      <c r="AH3011" s="32"/>
      <c r="AI3011" s="32"/>
      <c r="AJ3011" s="32"/>
      <c r="AK3011" s="32"/>
      <c r="AL3011" s="32"/>
      <c r="AM3011" s="32"/>
      <c r="AN3011" s="372">
        <f>$AN2865*'Assumptions (T&amp;D)'!C$24</f>
        <v>0.3295827158</v>
      </c>
      <c r="AO3011" s="372">
        <f>$AN2865*'Assumptions (T&amp;D)'!D$24</f>
        <v>0.6345565888</v>
      </c>
      <c r="AP3011" s="372">
        <f>$AN2865*'Assumptions (T&amp;D)'!E$24</f>
        <v>0.5870966778</v>
      </c>
      <c r="AQ3011" s="372">
        <f>$AN2865*'Assumptions (T&amp;D)'!F$24</f>
        <v>0.5431523156</v>
      </c>
      <c r="AR3011" s="372">
        <f>$AN2865*'Assumptions (T&amp;D)'!G$24</f>
        <v>0.5018446153</v>
      </c>
      <c r="AS3011" s="372">
        <f>$AN2865*'Assumptions (T&amp;D)'!H$24</f>
        <v>0.4649313511</v>
      </c>
      <c r="AT3011" s="372">
        <f>$AN2865*'Assumptions (T&amp;D)'!I$24</f>
        <v>0.4297758614</v>
      </c>
      <c r="AU3011" s="372">
        <f>$AN2865*'Assumptions (T&amp;D)'!J$24</f>
        <v>0.3972570334</v>
      </c>
      <c r="AV3011" s="372">
        <f>$AN2865*'Assumptions (T&amp;D)'!K$24</f>
        <v>0.39198371</v>
      </c>
      <c r="AW3011" s="372">
        <f>$AN2865*'Assumptions (T&amp;D)'!L$24</f>
        <v>0.39198371</v>
      </c>
      <c r="AX3011" s="372">
        <f>$AN2865*'Assumptions (T&amp;D)'!M$24</f>
        <v>0.39198371</v>
      </c>
      <c r="AY3011" s="372">
        <f>$AN2865*'Assumptions (T&amp;D)'!N$24</f>
        <v>0.39198371</v>
      </c>
      <c r="AZ3011" s="372">
        <f>$AN2865*'Assumptions (T&amp;D)'!O$24</f>
        <v>0.39198371</v>
      </c>
      <c r="BA3011" s="372">
        <f>$AN2865*'Assumptions (T&amp;D)'!P$24</f>
        <v>0.39198371</v>
      </c>
      <c r="BB3011" s="372">
        <f>$AN2865*'Assumptions (T&amp;D)'!Q$24</f>
        <v>0.39198371</v>
      </c>
      <c r="BC3011" s="372">
        <f>$AN2865*'Assumptions (T&amp;D)'!R$24</f>
        <v>0.39198371</v>
      </c>
      <c r="BD3011" s="372">
        <f>$AN2865*'Assumptions (T&amp;D)'!S$24</f>
        <v>0.39198371</v>
      </c>
      <c r="BE3011" s="372">
        <f>$AN2865*'Assumptions (T&amp;D)'!T$24</f>
        <v>0.39198371</v>
      </c>
      <c r="BF3011" s="372">
        <f>$AN2865*'Assumptions (T&amp;D)'!U$24</f>
        <v>0.39198371</v>
      </c>
      <c r="BG3011" s="372">
        <f>$AN2865*'Assumptions (T&amp;D)'!V$24</f>
        <v>0.39198371</v>
      </c>
      <c r="BH3011" s="372">
        <f>$AN2865*'Assumptions (T&amp;D)'!W$24</f>
        <v>0.195991855</v>
      </c>
      <c r="BI3011" s="32"/>
      <c r="BJ3011" s="32"/>
      <c r="BK3011" s="32"/>
      <c r="BL3011" s="32"/>
      <c r="BM3011" s="32"/>
      <c r="BN3011" s="32"/>
      <c r="BO3011" s="32"/>
      <c r="BP3011" s="32"/>
      <c r="BQ3011" s="32"/>
      <c r="BR3011" s="32"/>
      <c r="BS3011" s="32"/>
      <c r="BT3011" s="32"/>
      <c r="BU3011" s="32"/>
      <c r="BV3011" s="32"/>
      <c r="BW3011" s="32"/>
      <c r="BX3011" s="32"/>
      <c r="BY3011" s="32"/>
      <c r="BZ3011" s="32"/>
      <c r="CA3011" s="32"/>
      <c r="CB3011" s="32"/>
      <c r="CC3011" s="32"/>
      <c r="CD3011" s="32"/>
    </row>
    <row r="3012" ht="15.75" hidden="1" customHeight="1" outlineLevel="1">
      <c r="A3012" s="363"/>
      <c r="B3012" s="38"/>
      <c r="C3012" s="38"/>
      <c r="D3012" s="38"/>
      <c r="E3012" s="38"/>
      <c r="F3012" s="38"/>
      <c r="G3012" s="38"/>
      <c r="H3012" s="38"/>
      <c r="I3012" s="38"/>
      <c r="J3012" s="38"/>
      <c r="K3012" s="38"/>
      <c r="L3012" s="38"/>
      <c r="M3012" s="38"/>
      <c r="N3012" s="38"/>
      <c r="O3012" s="38"/>
      <c r="P3012" s="38"/>
      <c r="Q3012" s="38"/>
      <c r="R3012" s="38"/>
      <c r="S3012" s="38"/>
      <c r="T3012" s="38"/>
      <c r="U3012" s="38"/>
      <c r="V3012" s="38"/>
      <c r="W3012" s="38"/>
      <c r="X3012" s="32"/>
      <c r="Y3012" s="32"/>
      <c r="Z3012" s="32"/>
      <c r="AA3012" s="32"/>
      <c r="AB3012" s="32"/>
      <c r="AC3012" s="32"/>
      <c r="AD3012" s="32"/>
      <c r="AE3012" s="32"/>
      <c r="AF3012" s="32"/>
      <c r="AG3012" s="32"/>
      <c r="AH3012" s="32"/>
      <c r="AI3012" s="32"/>
      <c r="AJ3012" s="32"/>
      <c r="AK3012" s="32"/>
      <c r="AL3012" s="32"/>
      <c r="AM3012" s="32"/>
      <c r="AN3012" s="32"/>
      <c r="AO3012" s="372">
        <f>$AO2865*'Assumptions (T&amp;D)'!C$24</f>
        <v>0.3385129852</v>
      </c>
      <c r="AP3012" s="372">
        <f>$AO2865*'Assumptions (T&amp;D)'!D$24</f>
        <v>0.6517503342</v>
      </c>
      <c r="AQ3012" s="372">
        <f>$AO2865*'Assumptions (T&amp;D)'!E$24</f>
        <v>0.6030044644</v>
      </c>
      <c r="AR3012" s="372">
        <f>$AO2865*'Assumptions (T&amp;D)'!F$24</f>
        <v>0.5578693997</v>
      </c>
      <c r="AS3012" s="372">
        <f>$AO2865*'Assumptions (T&amp;D)'!G$24</f>
        <v>0.5154424388</v>
      </c>
      <c r="AT3012" s="372">
        <f>$AO2865*'Assumptions (T&amp;D)'!H$24</f>
        <v>0.4775289845</v>
      </c>
      <c r="AU3012" s="372">
        <f>$AO2865*'Assumptions (T&amp;D)'!I$24</f>
        <v>0.4414209327</v>
      </c>
      <c r="AV3012" s="372">
        <f>$AO2865*'Assumptions (T&amp;D)'!J$24</f>
        <v>0.4080209849</v>
      </c>
      <c r="AW3012" s="372">
        <f>$AO2865*'Assumptions (T&amp;D)'!K$24</f>
        <v>0.4026047771</v>
      </c>
      <c r="AX3012" s="372">
        <f>$AO2865*'Assumptions (T&amp;D)'!L$24</f>
        <v>0.4026047771</v>
      </c>
      <c r="AY3012" s="372">
        <f>$AO2865*'Assumptions (T&amp;D)'!M$24</f>
        <v>0.4026047771</v>
      </c>
      <c r="AZ3012" s="372">
        <f>$AO2865*'Assumptions (T&amp;D)'!N$24</f>
        <v>0.4026047771</v>
      </c>
      <c r="BA3012" s="372">
        <f>$AO2865*'Assumptions (T&amp;D)'!O$24</f>
        <v>0.4026047771</v>
      </c>
      <c r="BB3012" s="372">
        <f>$AO2865*'Assumptions (T&amp;D)'!P$24</f>
        <v>0.4026047771</v>
      </c>
      <c r="BC3012" s="372">
        <f>$AO2865*'Assumptions (T&amp;D)'!Q$24</f>
        <v>0.4026047771</v>
      </c>
      <c r="BD3012" s="372">
        <f>$AO2865*'Assumptions (T&amp;D)'!R$24</f>
        <v>0.4026047771</v>
      </c>
      <c r="BE3012" s="372">
        <f>$AO2865*'Assumptions (T&amp;D)'!S$24</f>
        <v>0.4026047771</v>
      </c>
      <c r="BF3012" s="372">
        <f>$AO2865*'Assumptions (T&amp;D)'!T$24</f>
        <v>0.4026047771</v>
      </c>
      <c r="BG3012" s="372">
        <f>$AO2865*'Assumptions (T&amp;D)'!U$24</f>
        <v>0.4026047771</v>
      </c>
      <c r="BH3012" s="372">
        <f>$AO2865*'Assumptions (T&amp;D)'!V$24</f>
        <v>0.4026047771</v>
      </c>
      <c r="BI3012" s="372">
        <f>$AO2865*'Assumptions (T&amp;D)'!W$24</f>
        <v>0.2013023885</v>
      </c>
      <c r="BJ3012" s="32"/>
      <c r="BK3012" s="32"/>
      <c r="BL3012" s="32"/>
      <c r="BM3012" s="32"/>
      <c r="BN3012" s="32"/>
      <c r="BO3012" s="32"/>
      <c r="BP3012" s="32"/>
      <c r="BQ3012" s="32"/>
      <c r="BR3012" s="32"/>
      <c r="BS3012" s="32"/>
      <c r="BT3012" s="32"/>
      <c r="BU3012" s="32"/>
      <c r="BV3012" s="32"/>
      <c r="BW3012" s="32"/>
      <c r="BX3012" s="32"/>
      <c r="BY3012" s="32"/>
      <c r="BZ3012" s="32"/>
      <c r="CA3012" s="32"/>
      <c r="CB3012" s="32"/>
      <c r="CC3012" s="32"/>
      <c r="CD3012" s="32"/>
    </row>
    <row r="3013" ht="15.75" hidden="1" customHeight="1" outlineLevel="1">
      <c r="A3013" s="363"/>
      <c r="B3013" s="38"/>
      <c r="C3013" s="38"/>
      <c r="D3013" s="38"/>
      <c r="E3013" s="38"/>
      <c r="F3013" s="38"/>
      <c r="G3013" s="38"/>
      <c r="H3013" s="38"/>
      <c r="I3013" s="38"/>
      <c r="J3013" s="38"/>
      <c r="K3013" s="38"/>
      <c r="L3013" s="38"/>
      <c r="M3013" s="38"/>
      <c r="N3013" s="38"/>
      <c r="O3013" s="38"/>
      <c r="P3013" s="38"/>
      <c r="Q3013" s="38"/>
      <c r="R3013" s="38"/>
      <c r="S3013" s="38"/>
      <c r="T3013" s="38"/>
      <c r="U3013" s="38"/>
      <c r="V3013" s="38"/>
      <c r="W3013" s="38"/>
      <c r="X3013" s="32"/>
      <c r="Y3013" s="32"/>
      <c r="Z3013" s="32"/>
      <c r="AA3013" s="32"/>
      <c r="AB3013" s="32"/>
      <c r="AC3013" s="32"/>
      <c r="AD3013" s="32"/>
      <c r="AE3013" s="32"/>
      <c r="AF3013" s="32"/>
      <c r="AG3013" s="32"/>
      <c r="AH3013" s="32"/>
      <c r="AI3013" s="32"/>
      <c r="AJ3013" s="32"/>
      <c r="AK3013" s="32"/>
      <c r="AL3013" s="32"/>
      <c r="AM3013" s="32"/>
      <c r="AN3013" s="32"/>
      <c r="AO3013" s="32"/>
      <c r="AP3013" s="372">
        <f>$AP2865*'Assumptions (T&amp;D)'!C$24</f>
        <v>0.3476674326</v>
      </c>
      <c r="AQ3013" s="372">
        <f>$AP2865*'Assumptions (T&amp;D)'!D$24</f>
        <v>0.6693756969</v>
      </c>
      <c r="AR3013" s="372">
        <f>$AP2865*'Assumptions (T&amp;D)'!E$24</f>
        <v>0.6193115866</v>
      </c>
      <c r="AS3013" s="372">
        <f>$AP2865*'Assumptions (T&amp;D)'!F$24</f>
        <v>0.5729559289</v>
      </c>
      <c r="AT3013" s="372">
        <f>$AP2865*'Assumptions (T&amp;D)'!G$24</f>
        <v>0.5293816107</v>
      </c>
      <c r="AU3013" s="372">
        <f>$AP2865*'Assumptions (T&amp;D)'!H$24</f>
        <v>0.4904428583</v>
      </c>
      <c r="AV3013" s="372">
        <f>$AP2865*'Assumptions (T&amp;D)'!I$24</f>
        <v>0.4533583321</v>
      </c>
      <c r="AW3013" s="372">
        <f>$AP2865*'Assumptions (T&amp;D)'!J$24</f>
        <v>0.4190551454</v>
      </c>
      <c r="AX3013" s="372">
        <f>$AP2865*'Assumptions (T&amp;D)'!K$24</f>
        <v>0.4134924665</v>
      </c>
      <c r="AY3013" s="372">
        <f>$AP2865*'Assumptions (T&amp;D)'!L$24</f>
        <v>0.4134924665</v>
      </c>
      <c r="AZ3013" s="372">
        <f>$AP2865*'Assumptions (T&amp;D)'!M$24</f>
        <v>0.4134924665</v>
      </c>
      <c r="BA3013" s="372">
        <f>$AP2865*'Assumptions (T&amp;D)'!N$24</f>
        <v>0.4134924665</v>
      </c>
      <c r="BB3013" s="372">
        <f>$AP2865*'Assumptions (T&amp;D)'!O$24</f>
        <v>0.4134924665</v>
      </c>
      <c r="BC3013" s="372">
        <f>$AP2865*'Assumptions (T&amp;D)'!P$24</f>
        <v>0.4134924665</v>
      </c>
      <c r="BD3013" s="372">
        <f>$AP2865*'Assumptions (T&amp;D)'!Q$24</f>
        <v>0.4134924665</v>
      </c>
      <c r="BE3013" s="372">
        <f>$AP2865*'Assumptions (T&amp;D)'!R$24</f>
        <v>0.4134924665</v>
      </c>
      <c r="BF3013" s="372">
        <f>$AP2865*'Assumptions (T&amp;D)'!S$24</f>
        <v>0.4134924665</v>
      </c>
      <c r="BG3013" s="372">
        <f>$AP2865*'Assumptions (T&amp;D)'!T$24</f>
        <v>0.4134924665</v>
      </c>
      <c r="BH3013" s="372">
        <f>$AP2865*'Assumptions (T&amp;D)'!U$24</f>
        <v>0.4134924665</v>
      </c>
      <c r="BI3013" s="372">
        <f>$AP2865*'Assumptions (T&amp;D)'!V$24</f>
        <v>0.4134924665</v>
      </c>
      <c r="BJ3013" s="372">
        <f>$AP2865*'Assumptions (T&amp;D)'!W$24</f>
        <v>0.2067462333</v>
      </c>
      <c r="BK3013" s="32"/>
      <c r="BL3013" s="32"/>
      <c r="BM3013" s="32"/>
      <c r="BN3013" s="32"/>
      <c r="BO3013" s="32"/>
      <c r="BP3013" s="32"/>
      <c r="BQ3013" s="32"/>
      <c r="BR3013" s="32"/>
      <c r="BS3013" s="32"/>
      <c r="BT3013" s="32"/>
      <c r="BU3013" s="32"/>
      <c r="BV3013" s="32"/>
      <c r="BW3013" s="32"/>
      <c r="BX3013" s="32"/>
      <c r="BY3013" s="32"/>
      <c r="BZ3013" s="32"/>
      <c r="CA3013" s="32"/>
      <c r="CB3013" s="32"/>
      <c r="CC3013" s="32"/>
      <c r="CD3013" s="32"/>
    </row>
    <row r="3014" ht="15.75" hidden="1" customHeight="1" outlineLevel="1">
      <c r="A3014" s="363"/>
      <c r="B3014" s="38"/>
      <c r="C3014" s="38"/>
      <c r="D3014" s="38"/>
      <c r="E3014" s="38"/>
      <c r="F3014" s="38"/>
      <c r="G3014" s="38"/>
      <c r="H3014" s="38"/>
      <c r="I3014" s="38"/>
      <c r="J3014" s="38"/>
      <c r="K3014" s="38"/>
      <c r="L3014" s="38"/>
      <c r="M3014" s="38"/>
      <c r="N3014" s="38"/>
      <c r="O3014" s="38"/>
      <c r="P3014" s="38"/>
      <c r="Q3014" s="38"/>
      <c r="R3014" s="38"/>
      <c r="S3014" s="38"/>
      <c r="T3014" s="38"/>
      <c r="U3014" s="38"/>
      <c r="V3014" s="38"/>
      <c r="W3014" s="38"/>
      <c r="X3014" s="32"/>
      <c r="Y3014" s="32"/>
      <c r="Z3014" s="32"/>
      <c r="AA3014" s="32"/>
      <c r="AB3014" s="32"/>
      <c r="AC3014" s="32"/>
      <c r="AD3014" s="32"/>
      <c r="AE3014" s="32"/>
      <c r="AF3014" s="32"/>
      <c r="AG3014" s="32"/>
      <c r="AH3014" s="32"/>
      <c r="AI3014" s="32"/>
      <c r="AJ3014" s="32"/>
      <c r="AK3014" s="32"/>
      <c r="AL3014" s="32"/>
      <c r="AM3014" s="32"/>
      <c r="AN3014" s="32"/>
      <c r="AO3014" s="32"/>
      <c r="AP3014" s="32"/>
      <c r="AQ3014" s="372">
        <f>$AQ2865*'Assumptions (T&amp;D)'!C$24</f>
        <v>0.3570514294</v>
      </c>
      <c r="AR3014" s="372">
        <f>$AQ2865*'Assumptions (T&amp;D)'!D$24</f>
        <v>0.6874430188</v>
      </c>
      <c r="AS3014" s="372">
        <f>$AQ2865*'Assumptions (T&amp;D)'!E$24</f>
        <v>0.6360276129</v>
      </c>
      <c r="AT3014" s="372">
        <f>$AQ2865*'Assumptions (T&amp;D)'!F$24</f>
        <v>0.5884207557</v>
      </c>
      <c r="AU3014" s="372">
        <f>$AQ2865*'Assumptions (T&amp;D)'!G$24</f>
        <v>0.5436703098</v>
      </c>
      <c r="AV3014" s="372">
        <f>$AQ2865*'Assumptions (T&amp;D)'!H$24</f>
        <v>0.5036805498</v>
      </c>
      <c r="AW3014" s="372">
        <f>$AQ2865*'Assumptions (T&amp;D)'!I$24</f>
        <v>0.465595064</v>
      </c>
      <c r="AX3014" s="372">
        <f>$AQ2865*'Assumptions (T&amp;D)'!J$24</f>
        <v>0.4303659896</v>
      </c>
      <c r="AY3014" s="372">
        <f>$AQ2865*'Assumptions (T&amp;D)'!K$24</f>
        <v>0.4246531667</v>
      </c>
      <c r="AZ3014" s="372">
        <f>$AQ2865*'Assumptions (T&amp;D)'!L$24</f>
        <v>0.4246531667</v>
      </c>
      <c r="BA3014" s="372">
        <f>$AQ2865*'Assumptions (T&amp;D)'!M$24</f>
        <v>0.4246531667</v>
      </c>
      <c r="BB3014" s="372">
        <f>$AQ2865*'Assumptions (T&amp;D)'!N$24</f>
        <v>0.4246531667</v>
      </c>
      <c r="BC3014" s="372">
        <f>$AQ2865*'Assumptions (T&amp;D)'!O$24</f>
        <v>0.4246531667</v>
      </c>
      <c r="BD3014" s="372">
        <f>$AQ2865*'Assumptions (T&amp;D)'!P$24</f>
        <v>0.4246531667</v>
      </c>
      <c r="BE3014" s="372">
        <f>$AQ2865*'Assumptions (T&amp;D)'!Q$24</f>
        <v>0.4246531667</v>
      </c>
      <c r="BF3014" s="372">
        <f>$AQ2865*'Assumptions (T&amp;D)'!R$24</f>
        <v>0.4246531667</v>
      </c>
      <c r="BG3014" s="372">
        <f>$AQ2865*'Assumptions (T&amp;D)'!S$24</f>
        <v>0.4246531667</v>
      </c>
      <c r="BH3014" s="372">
        <f>$AQ2865*'Assumptions (T&amp;D)'!T$24</f>
        <v>0.4246531667</v>
      </c>
      <c r="BI3014" s="372">
        <f>$AQ2865*'Assumptions (T&amp;D)'!U$24</f>
        <v>0.4246531667</v>
      </c>
      <c r="BJ3014" s="372">
        <f>$AQ2865*'Assumptions (T&amp;D)'!V$24</f>
        <v>0.4246531667</v>
      </c>
      <c r="BK3014" s="372">
        <f>$AQ2865*'Assumptions (T&amp;D)'!W$24</f>
        <v>0.2123265834</v>
      </c>
      <c r="BL3014" s="32"/>
      <c r="BM3014" s="32"/>
      <c r="BN3014" s="32"/>
      <c r="BO3014" s="32"/>
      <c r="BP3014" s="32"/>
      <c r="BQ3014" s="32"/>
      <c r="BR3014" s="32"/>
      <c r="BS3014" s="32"/>
      <c r="BT3014" s="32"/>
      <c r="BU3014" s="32"/>
      <c r="BV3014" s="32"/>
      <c r="BW3014" s="32"/>
      <c r="BX3014" s="32"/>
      <c r="BY3014" s="32"/>
      <c r="BZ3014" s="32"/>
      <c r="CA3014" s="32"/>
      <c r="CB3014" s="32"/>
      <c r="CC3014" s="32"/>
      <c r="CD3014" s="32"/>
    </row>
    <row r="3015" ht="15.75" hidden="1" customHeight="1" outlineLevel="1">
      <c r="A3015" s="363"/>
      <c r="B3015" s="38"/>
      <c r="C3015" s="38"/>
      <c r="D3015" s="38"/>
      <c r="E3015" s="38"/>
      <c r="F3015" s="38"/>
      <c r="G3015" s="38"/>
      <c r="H3015" s="38"/>
      <c r="I3015" s="38"/>
      <c r="J3015" s="38"/>
      <c r="K3015" s="38"/>
      <c r="L3015" s="38"/>
      <c r="M3015" s="38"/>
      <c r="N3015" s="38"/>
      <c r="O3015" s="38"/>
      <c r="P3015" s="38"/>
      <c r="Q3015" s="38"/>
      <c r="R3015" s="38"/>
      <c r="S3015" s="38"/>
      <c r="T3015" s="38"/>
      <c r="U3015" s="38"/>
      <c r="V3015" s="38"/>
      <c r="W3015" s="38"/>
      <c r="X3015" s="32"/>
      <c r="Y3015" s="32"/>
      <c r="Z3015" s="32"/>
      <c r="AA3015" s="32"/>
      <c r="AB3015" s="32"/>
      <c r="AC3015" s="32"/>
      <c r="AD3015" s="32"/>
      <c r="AE3015" s="32"/>
      <c r="AF3015" s="32"/>
      <c r="AG3015" s="32"/>
      <c r="AH3015" s="32"/>
      <c r="AI3015" s="32"/>
      <c r="AJ3015" s="32"/>
      <c r="AK3015" s="32"/>
      <c r="AL3015" s="32"/>
      <c r="AM3015" s="32"/>
      <c r="AN3015" s="32"/>
      <c r="AO3015" s="32"/>
      <c r="AP3015" s="32"/>
      <c r="AQ3015" s="32"/>
      <c r="AR3015" s="372">
        <f>$AR2865*'Assumptions (T&amp;D)'!C$24</f>
        <v>0.3666704718</v>
      </c>
      <c r="AS3015" s="372">
        <f>$AR2865*'Assumptions (T&amp;D)'!D$24</f>
        <v>0.7059628818</v>
      </c>
      <c r="AT3015" s="372">
        <f>$AR2865*'Assumptions (T&amp;D)'!E$24</f>
        <v>0.6531623338</v>
      </c>
      <c r="AU3015" s="372">
        <f>$AR2865*'Assumptions (T&amp;D)'!F$24</f>
        <v>0.6042729376</v>
      </c>
      <c r="AV3015" s="372">
        <f>$AR2865*'Assumptions (T&amp;D)'!G$24</f>
        <v>0.5583169051</v>
      </c>
      <c r="AW3015" s="372">
        <f>$AR2865*'Assumptions (T&amp;D)'!H$24</f>
        <v>0.5172498123</v>
      </c>
      <c r="AX3015" s="372">
        <f>$AR2865*'Assumptions (T&amp;D)'!I$24</f>
        <v>0.4781382953</v>
      </c>
      <c r="AY3015" s="372">
        <f>$AR2865*'Assumptions (T&amp;D)'!J$24</f>
        <v>0.4419601421</v>
      </c>
      <c r="AZ3015" s="372">
        <f>$AR2865*'Assumptions (T&amp;D)'!K$24</f>
        <v>0.4360934145</v>
      </c>
      <c r="BA3015" s="372">
        <f>$AR2865*'Assumptions (T&amp;D)'!L$24</f>
        <v>0.4360934145</v>
      </c>
      <c r="BB3015" s="372">
        <f>$AR2865*'Assumptions (T&amp;D)'!M$24</f>
        <v>0.4360934145</v>
      </c>
      <c r="BC3015" s="372">
        <f>$AR2865*'Assumptions (T&amp;D)'!N$24</f>
        <v>0.4360934145</v>
      </c>
      <c r="BD3015" s="372">
        <f>$AR2865*'Assumptions (T&amp;D)'!O$24</f>
        <v>0.4360934145</v>
      </c>
      <c r="BE3015" s="372">
        <f>$AR2865*'Assumptions (T&amp;D)'!P$24</f>
        <v>0.4360934145</v>
      </c>
      <c r="BF3015" s="372">
        <f>$AR2865*'Assumptions (T&amp;D)'!Q$24</f>
        <v>0.4360934145</v>
      </c>
      <c r="BG3015" s="372">
        <f>$AR2865*'Assumptions (T&amp;D)'!R$24</f>
        <v>0.4360934145</v>
      </c>
      <c r="BH3015" s="372">
        <f>$AR2865*'Assumptions (T&amp;D)'!S$24</f>
        <v>0.4360934145</v>
      </c>
      <c r="BI3015" s="372">
        <f>$AR2865*'Assumptions (T&amp;D)'!T$24</f>
        <v>0.4360934145</v>
      </c>
      <c r="BJ3015" s="372">
        <f>$AR2865*'Assumptions (T&amp;D)'!U$24</f>
        <v>0.4360934145</v>
      </c>
      <c r="BK3015" s="372">
        <f>$AR2865*'Assumptions (T&amp;D)'!V$24</f>
        <v>0.4360934145</v>
      </c>
      <c r="BL3015" s="372">
        <f>$AR2865*'Assumptions (T&amp;D)'!W$24</f>
        <v>0.2180467073</v>
      </c>
      <c r="BM3015" s="32"/>
      <c r="BN3015" s="32"/>
      <c r="BO3015" s="32"/>
      <c r="BP3015" s="32"/>
      <c r="BQ3015" s="32"/>
      <c r="BR3015" s="32"/>
      <c r="BS3015" s="32"/>
      <c r="BT3015" s="32"/>
      <c r="BU3015" s="32"/>
      <c r="BV3015" s="32"/>
      <c r="BW3015" s="32"/>
      <c r="BX3015" s="32"/>
      <c r="BY3015" s="32"/>
      <c r="BZ3015" s="32"/>
      <c r="CA3015" s="32"/>
      <c r="CB3015" s="32"/>
      <c r="CC3015" s="32"/>
      <c r="CD3015" s="32"/>
    </row>
    <row r="3016" ht="15.75" hidden="1" customHeight="1" outlineLevel="1">
      <c r="A3016" s="363"/>
      <c r="B3016" s="38"/>
      <c r="C3016" s="38"/>
      <c r="D3016" s="38"/>
      <c r="E3016" s="38"/>
      <c r="F3016" s="38"/>
      <c r="G3016" s="38"/>
      <c r="H3016" s="38"/>
      <c r="I3016" s="38"/>
      <c r="J3016" s="38"/>
      <c r="K3016" s="38"/>
      <c r="L3016" s="38"/>
      <c r="M3016" s="38"/>
      <c r="N3016" s="38"/>
      <c r="O3016" s="38"/>
      <c r="P3016" s="38"/>
      <c r="Q3016" s="38"/>
      <c r="R3016" s="38"/>
      <c r="S3016" s="38"/>
      <c r="T3016" s="38"/>
      <c r="U3016" s="38"/>
      <c r="V3016" s="38"/>
      <c r="W3016" s="38"/>
      <c r="X3016" s="32"/>
      <c r="Y3016" s="32"/>
      <c r="Z3016" s="32"/>
      <c r="AA3016" s="32"/>
      <c r="AB3016" s="32"/>
      <c r="AC3016" s="32"/>
      <c r="AD3016" s="32"/>
      <c r="AE3016" s="32"/>
      <c r="AF3016" s="32"/>
      <c r="AG3016" s="32"/>
      <c r="AH3016" s="32"/>
      <c r="AI3016" s="32"/>
      <c r="AJ3016" s="32"/>
      <c r="AK3016" s="32"/>
      <c r="AL3016" s="32"/>
      <c r="AM3016" s="32"/>
      <c r="AN3016" s="32"/>
      <c r="AO3016" s="32"/>
      <c r="AP3016" s="32"/>
      <c r="AQ3016" s="32"/>
      <c r="AR3016" s="32"/>
      <c r="AS3016" s="372">
        <f>$AS2865*'Assumptions (T&amp;D)'!C$24</f>
        <v>0.3765301837</v>
      </c>
      <c r="AT3016" s="372">
        <f>$AS2865*'Assumptions (T&amp;D)'!D$24</f>
        <v>0.7249461136</v>
      </c>
      <c r="AU3016" s="372">
        <f>$AS2865*'Assumptions (T&amp;D)'!E$24</f>
        <v>0.6707257671</v>
      </c>
      <c r="AV3016" s="372">
        <f>$AS2865*'Assumptions (T&amp;D)'!F$24</f>
        <v>0.6205217427</v>
      </c>
      <c r="AW3016" s="372">
        <f>$AS2865*'Assumptions (T&amp;D)'!G$24</f>
        <v>0.5733299596</v>
      </c>
      <c r="AX3016" s="372">
        <f>$AS2865*'Assumptions (T&amp;D)'!H$24</f>
        <v>0.5311585791</v>
      </c>
      <c r="AY3016" s="372">
        <f>$AS2865*'Assumptions (T&amp;D)'!I$24</f>
        <v>0.4909953595</v>
      </c>
      <c r="AZ3016" s="372">
        <f>$AS2865*'Assumptions (T&amp;D)'!J$24</f>
        <v>0.4538443814</v>
      </c>
      <c r="BA3016" s="372">
        <f>$AS2865*'Assumptions (T&amp;D)'!K$24</f>
        <v>0.4478198984</v>
      </c>
      <c r="BB3016" s="372">
        <f>$AS2865*'Assumptions (T&amp;D)'!L$24</f>
        <v>0.4478198984</v>
      </c>
      <c r="BC3016" s="372">
        <f>$AS2865*'Assumptions (T&amp;D)'!M$24</f>
        <v>0.4478198984</v>
      </c>
      <c r="BD3016" s="372">
        <f>$AS2865*'Assumptions (T&amp;D)'!N$24</f>
        <v>0.4478198984</v>
      </c>
      <c r="BE3016" s="372">
        <f>$AS2865*'Assumptions (T&amp;D)'!O$24</f>
        <v>0.4478198984</v>
      </c>
      <c r="BF3016" s="372">
        <f>$AS2865*'Assumptions (T&amp;D)'!P$24</f>
        <v>0.4478198984</v>
      </c>
      <c r="BG3016" s="372">
        <f>$AS2865*'Assumptions (T&amp;D)'!Q$24</f>
        <v>0.4478198984</v>
      </c>
      <c r="BH3016" s="372">
        <f>$AS2865*'Assumptions (T&amp;D)'!R$24</f>
        <v>0.4478198984</v>
      </c>
      <c r="BI3016" s="372">
        <f>$AS2865*'Assumptions (T&amp;D)'!S$24</f>
        <v>0.4478198984</v>
      </c>
      <c r="BJ3016" s="372">
        <f>$AS2865*'Assumptions (T&amp;D)'!T$24</f>
        <v>0.4478198984</v>
      </c>
      <c r="BK3016" s="372">
        <f>$AS2865*'Assumptions (T&amp;D)'!U$24</f>
        <v>0.4478198984</v>
      </c>
      <c r="BL3016" s="372">
        <f>$AS2865*'Assumptions (T&amp;D)'!V$24</f>
        <v>0.4478198984</v>
      </c>
      <c r="BM3016" s="372">
        <f>$AS2865*'Assumptions (T&amp;D)'!W$24</f>
        <v>0.2239099492</v>
      </c>
      <c r="BN3016" s="32"/>
      <c r="BO3016" s="32"/>
      <c r="BP3016" s="32"/>
      <c r="BQ3016" s="32"/>
      <c r="BR3016" s="32"/>
      <c r="BS3016" s="32"/>
      <c r="BT3016" s="32"/>
      <c r="BU3016" s="32"/>
      <c r="BV3016" s="32"/>
      <c r="BW3016" s="32"/>
      <c r="BX3016" s="32"/>
      <c r="BY3016" s="32"/>
      <c r="BZ3016" s="32"/>
      <c r="CA3016" s="32"/>
      <c r="CB3016" s="32"/>
      <c r="CC3016" s="32"/>
      <c r="CD3016" s="32"/>
    </row>
    <row r="3017" ht="15.75" hidden="1" customHeight="1" outlineLevel="1">
      <c r="A3017" s="363"/>
      <c r="B3017" s="38"/>
      <c r="C3017" s="38"/>
      <c r="D3017" s="38"/>
      <c r="E3017" s="38"/>
      <c r="F3017" s="38"/>
      <c r="G3017" s="38"/>
      <c r="H3017" s="38"/>
      <c r="I3017" s="38"/>
      <c r="J3017" s="38"/>
      <c r="K3017" s="38"/>
      <c r="L3017" s="38"/>
      <c r="M3017" s="38"/>
      <c r="N3017" s="38"/>
      <c r="O3017" s="38"/>
      <c r="P3017" s="38"/>
      <c r="Q3017" s="38"/>
      <c r="R3017" s="38"/>
      <c r="S3017" s="38"/>
      <c r="T3017" s="38"/>
      <c r="U3017" s="38"/>
      <c r="V3017" s="38"/>
      <c r="W3017" s="38"/>
      <c r="X3017" s="32"/>
      <c r="Y3017" s="32"/>
      <c r="Z3017" s="32"/>
      <c r="AA3017" s="32"/>
      <c r="AB3017" s="32"/>
      <c r="AC3017" s="32"/>
      <c r="AD3017" s="32"/>
      <c r="AE3017" s="32"/>
      <c r="AF3017" s="32"/>
      <c r="AG3017" s="32"/>
      <c r="AH3017" s="32"/>
      <c r="AI3017" s="32"/>
      <c r="AJ3017" s="32"/>
      <c r="AK3017" s="32"/>
      <c r="AL3017" s="32"/>
      <c r="AM3017" s="32"/>
      <c r="AN3017" s="32"/>
      <c r="AO3017" s="32"/>
      <c r="AP3017" s="32"/>
      <c r="AQ3017" s="32"/>
      <c r="AR3017" s="32"/>
      <c r="AS3017" s="32"/>
      <c r="AT3017" s="372">
        <f>$AT2865*'Assumptions (T&amp;D)'!C$24</f>
        <v>0.386636319</v>
      </c>
      <c r="AU3017" s="372">
        <f>$AT2865*'Assumptions (T&amp;D)'!D$24</f>
        <v>0.7444037929</v>
      </c>
      <c r="AV3017" s="372">
        <f>$AT2865*'Assumptions (T&amp;D)'!E$24</f>
        <v>0.688728163</v>
      </c>
      <c r="AW3017" s="372">
        <f>$AT2865*'Assumptions (T&amp;D)'!F$24</f>
        <v>0.6371766538</v>
      </c>
      <c r="AX3017" s="372">
        <f>$AT2865*'Assumptions (T&amp;D)'!G$24</f>
        <v>0.5887182351</v>
      </c>
      <c r="AY3017" s="372">
        <f>$AT2865*'Assumptions (T&amp;D)'!H$24</f>
        <v>0.5454149674</v>
      </c>
      <c r="AZ3017" s="372">
        <f>$AT2865*'Assumptions (T&amp;D)'!I$24</f>
        <v>0.50417376</v>
      </c>
      <c r="BA3017" s="372">
        <f>$AT2865*'Assumptions (T&amp;D)'!J$24</f>
        <v>0.4660256432</v>
      </c>
      <c r="BB3017" s="372">
        <f>$AT2865*'Assumptions (T&amp;D)'!K$24</f>
        <v>0.4598394621</v>
      </c>
      <c r="BC3017" s="372">
        <f>$AT2865*'Assumptions (T&amp;D)'!L$24</f>
        <v>0.4598394621</v>
      </c>
      <c r="BD3017" s="372">
        <f>$AT2865*'Assumptions (T&amp;D)'!M$24</f>
        <v>0.4598394621</v>
      </c>
      <c r="BE3017" s="372">
        <f>$AT2865*'Assumptions (T&amp;D)'!N$24</f>
        <v>0.4598394621</v>
      </c>
      <c r="BF3017" s="372">
        <f>$AT2865*'Assumptions (T&amp;D)'!O$24</f>
        <v>0.4598394621</v>
      </c>
      <c r="BG3017" s="372">
        <f>$AT2865*'Assumptions (T&amp;D)'!P$24</f>
        <v>0.4598394621</v>
      </c>
      <c r="BH3017" s="372">
        <f>$AT2865*'Assumptions (T&amp;D)'!Q$24</f>
        <v>0.4598394621</v>
      </c>
      <c r="BI3017" s="372">
        <f>$AT2865*'Assumptions (T&amp;D)'!R$24</f>
        <v>0.4598394621</v>
      </c>
      <c r="BJ3017" s="372">
        <f>$AT2865*'Assumptions (T&amp;D)'!S$24</f>
        <v>0.4598394621</v>
      </c>
      <c r="BK3017" s="372">
        <f>$AT2865*'Assumptions (T&amp;D)'!T$24</f>
        <v>0.4598394621</v>
      </c>
      <c r="BL3017" s="372">
        <f>$AT2865*'Assumptions (T&amp;D)'!U$24</f>
        <v>0.4598394621</v>
      </c>
      <c r="BM3017" s="372">
        <f>$AT2865*'Assumptions (T&amp;D)'!V$24</f>
        <v>0.4598394621</v>
      </c>
      <c r="BN3017" s="372">
        <f>$AT2865*'Assumptions (T&amp;D)'!W$24</f>
        <v>0.2299197311</v>
      </c>
      <c r="BO3017" s="32"/>
      <c r="BP3017" s="32"/>
      <c r="BQ3017" s="32"/>
      <c r="BR3017" s="32"/>
      <c r="BS3017" s="32"/>
      <c r="BT3017" s="32"/>
      <c r="BU3017" s="32"/>
      <c r="BV3017" s="32"/>
      <c r="BW3017" s="32"/>
      <c r="BX3017" s="32"/>
      <c r="BY3017" s="32"/>
      <c r="BZ3017" s="32"/>
      <c r="CA3017" s="32"/>
      <c r="CB3017" s="32"/>
      <c r="CC3017" s="32"/>
      <c r="CD3017" s="32"/>
    </row>
    <row r="3018" ht="15.75" hidden="1" customHeight="1" outlineLevel="1">
      <c r="A3018" s="363"/>
      <c r="B3018" s="38"/>
      <c r="C3018" s="38"/>
      <c r="D3018" s="38"/>
      <c r="E3018" s="38"/>
      <c r="F3018" s="38"/>
      <c r="G3018" s="38"/>
      <c r="H3018" s="38"/>
      <c r="I3018" s="38"/>
      <c r="J3018" s="38"/>
      <c r="K3018" s="38"/>
      <c r="L3018" s="38"/>
      <c r="M3018" s="38"/>
      <c r="N3018" s="38"/>
      <c r="O3018" s="38"/>
      <c r="P3018" s="38"/>
      <c r="Q3018" s="38"/>
      <c r="R3018" s="38"/>
      <c r="S3018" s="38"/>
      <c r="T3018" s="38"/>
      <c r="U3018" s="38"/>
      <c r="V3018" s="38"/>
      <c r="W3018" s="38"/>
      <c r="X3018" s="32"/>
      <c r="Y3018" s="32"/>
      <c r="Z3018" s="32"/>
      <c r="AA3018" s="32"/>
      <c r="AB3018" s="32"/>
      <c r="AC3018" s="32"/>
      <c r="AD3018" s="32"/>
      <c r="AE3018" s="32"/>
      <c r="AF3018" s="32"/>
      <c r="AG3018" s="32"/>
      <c r="AH3018" s="32"/>
      <c r="AI3018" s="32"/>
      <c r="AJ3018" s="32"/>
      <c r="AK3018" s="32"/>
      <c r="AL3018" s="32"/>
      <c r="AM3018" s="32"/>
      <c r="AN3018" s="32"/>
      <c r="AO3018" s="32"/>
      <c r="AP3018" s="32"/>
      <c r="AQ3018" s="32"/>
      <c r="AR3018" s="32"/>
      <c r="AS3018" s="32"/>
      <c r="AT3018" s="32"/>
      <c r="AU3018" s="372">
        <f>$AU2865*'Assumptions (T&amp;D)'!C$24</f>
        <v>0.3969947657</v>
      </c>
      <c r="AV3018" s="372">
        <f>$AU2865*'Assumptions (T&amp;D)'!D$24</f>
        <v>0.7643472555</v>
      </c>
      <c r="AW3018" s="372">
        <f>$AU2865*'Assumptions (T&amp;D)'!E$24</f>
        <v>0.7071800092</v>
      </c>
      <c r="AX3018" s="372">
        <f>$AU2865*'Assumptions (T&amp;D)'!F$24</f>
        <v>0.6542473738</v>
      </c>
      <c r="AY3018" s="372">
        <f>$AU2865*'Assumptions (T&amp;D)'!G$24</f>
        <v>0.6044906965</v>
      </c>
      <c r="AZ3018" s="372">
        <f>$AU2865*'Assumptions (T&amp;D)'!H$24</f>
        <v>0.5600272827</v>
      </c>
      <c r="BA3018" s="372">
        <f>$AU2865*'Assumptions (T&amp;D)'!I$24</f>
        <v>0.5176811744</v>
      </c>
      <c r="BB3018" s="372">
        <f>$AU2865*'Assumptions (T&amp;D)'!J$24</f>
        <v>0.4785110242</v>
      </c>
      <c r="BC3018" s="372">
        <f>$AU2865*'Assumptions (T&amp;D)'!K$24</f>
        <v>0.4721591079</v>
      </c>
      <c r="BD3018" s="372">
        <f>$AU2865*'Assumptions (T&amp;D)'!L$24</f>
        <v>0.4721591079</v>
      </c>
      <c r="BE3018" s="372">
        <f>$AU2865*'Assumptions (T&amp;D)'!M$24</f>
        <v>0.4721591079</v>
      </c>
      <c r="BF3018" s="372">
        <f>$AU2865*'Assumptions (T&amp;D)'!N$24</f>
        <v>0.4721591079</v>
      </c>
      <c r="BG3018" s="372">
        <f>$AU2865*'Assumptions (T&amp;D)'!O$24</f>
        <v>0.4721591079</v>
      </c>
      <c r="BH3018" s="372">
        <f>$AU2865*'Assumptions (T&amp;D)'!P$24</f>
        <v>0.4721591079</v>
      </c>
      <c r="BI3018" s="372">
        <f>$AU2865*'Assumptions (T&amp;D)'!Q$24</f>
        <v>0.4721591079</v>
      </c>
      <c r="BJ3018" s="372">
        <f>$AU2865*'Assumptions (T&amp;D)'!R$24</f>
        <v>0.4721591079</v>
      </c>
      <c r="BK3018" s="372">
        <f>$AU2865*'Assumptions (T&amp;D)'!S$24</f>
        <v>0.4721591079</v>
      </c>
      <c r="BL3018" s="372">
        <f>$AU2865*'Assumptions (T&amp;D)'!T$24</f>
        <v>0.4721591079</v>
      </c>
      <c r="BM3018" s="372">
        <f>$AU2865*'Assumptions (T&amp;D)'!U$24</f>
        <v>0.4721591079</v>
      </c>
      <c r="BN3018" s="372">
        <f>$AU2865*'Assumptions (T&amp;D)'!V$24</f>
        <v>0.4721591079</v>
      </c>
      <c r="BO3018" s="372">
        <f>$AU2865*'Assumptions (T&amp;D)'!W$24</f>
        <v>0.236079554</v>
      </c>
      <c r="BP3018" s="32"/>
      <c r="BQ3018" s="32"/>
      <c r="BR3018" s="32"/>
      <c r="BS3018" s="32"/>
      <c r="BT3018" s="32"/>
      <c r="BU3018" s="32"/>
      <c r="BV3018" s="32"/>
      <c r="BW3018" s="32"/>
      <c r="BX3018" s="32"/>
      <c r="BY3018" s="32"/>
      <c r="BZ3018" s="32"/>
      <c r="CA3018" s="32"/>
      <c r="CB3018" s="32"/>
      <c r="CC3018" s="32"/>
      <c r="CD3018" s="32"/>
    </row>
    <row r="3019" ht="15.75" hidden="1" customHeight="1" outlineLevel="1">
      <c r="A3019" s="363"/>
      <c r="B3019" s="38"/>
      <c r="C3019" s="38"/>
      <c r="D3019" s="38"/>
      <c r="E3019" s="38"/>
      <c r="F3019" s="38"/>
      <c r="G3019" s="38"/>
      <c r="H3019" s="38"/>
      <c r="I3019" s="38"/>
      <c r="J3019" s="38"/>
      <c r="K3019" s="38"/>
      <c r="L3019" s="38"/>
      <c r="M3019" s="38"/>
      <c r="N3019" s="38"/>
      <c r="O3019" s="38"/>
      <c r="P3019" s="38"/>
      <c r="Q3019" s="38"/>
      <c r="R3019" s="38"/>
      <c r="S3019" s="38"/>
      <c r="T3019" s="38"/>
      <c r="U3019" s="38"/>
      <c r="V3019" s="38"/>
      <c r="W3019" s="38"/>
      <c r="X3019" s="32"/>
      <c r="Y3019" s="32"/>
      <c r="Z3019" s="32"/>
      <c r="AA3019" s="32"/>
      <c r="AB3019" s="32"/>
      <c r="AC3019" s="32"/>
      <c r="AD3019" s="32"/>
      <c r="AE3019" s="32"/>
      <c r="AF3019" s="32"/>
      <c r="AG3019" s="32"/>
      <c r="AH3019" s="32"/>
      <c r="AI3019" s="32"/>
      <c r="AJ3019" s="32"/>
      <c r="AK3019" s="32"/>
      <c r="AL3019" s="32"/>
      <c r="AM3019" s="32"/>
      <c r="AN3019" s="32"/>
      <c r="AO3019" s="32"/>
      <c r="AP3019" s="32"/>
      <c r="AQ3019" s="32"/>
      <c r="AR3019" s="32"/>
      <c r="AS3019" s="32"/>
      <c r="AT3019" s="32"/>
      <c r="AU3019" s="32"/>
      <c r="AV3019" s="372">
        <f>$AV2865*'Assumptions (T&amp;D)'!C$24</f>
        <v>0.4076115475</v>
      </c>
      <c r="AW3019" s="372">
        <f>$AV2865*'Assumptions (T&amp;D)'!D$24</f>
        <v>0.7847880995</v>
      </c>
      <c r="AX3019" s="372">
        <f>$AV2865*'Assumptions (T&amp;D)'!E$24</f>
        <v>0.7260920366</v>
      </c>
      <c r="AY3019" s="372">
        <f>$AV2865*'Assumptions (T&amp;D)'!F$24</f>
        <v>0.6717438303</v>
      </c>
      <c r="AZ3019" s="372">
        <f>$AV2865*'Assumptions (T&amp;D)'!G$24</f>
        <v>0.6206565163</v>
      </c>
      <c r="BA3019" s="372">
        <f>$AV2865*'Assumptions (T&amp;D)'!H$24</f>
        <v>0.575004023</v>
      </c>
      <c r="BB3019" s="372">
        <f>$AV2865*'Assumptions (T&amp;D)'!I$24</f>
        <v>0.531525458</v>
      </c>
      <c r="BC3019" s="372">
        <f>$AV2865*'Assumptions (T&amp;D)'!J$24</f>
        <v>0.4913077853</v>
      </c>
      <c r="BD3019" s="372">
        <f>$AV2865*'Assumptions (T&amp;D)'!K$24</f>
        <v>0.4847860005</v>
      </c>
      <c r="BE3019" s="372">
        <f>$AV2865*'Assumptions (T&amp;D)'!L$24</f>
        <v>0.4847860005</v>
      </c>
      <c r="BF3019" s="372">
        <f>$AV2865*'Assumptions (T&amp;D)'!M$24</f>
        <v>0.4847860005</v>
      </c>
      <c r="BG3019" s="372">
        <f>$AV2865*'Assumptions (T&amp;D)'!N$24</f>
        <v>0.4847860005</v>
      </c>
      <c r="BH3019" s="372">
        <f>$AV2865*'Assumptions (T&amp;D)'!O$24</f>
        <v>0.4847860005</v>
      </c>
      <c r="BI3019" s="372">
        <f>$AV2865*'Assumptions (T&amp;D)'!P$24</f>
        <v>0.4847860005</v>
      </c>
      <c r="BJ3019" s="372">
        <f>$AV2865*'Assumptions (T&amp;D)'!Q$24</f>
        <v>0.4847860005</v>
      </c>
      <c r="BK3019" s="372">
        <f>$AV2865*'Assumptions (T&amp;D)'!R$24</f>
        <v>0.4847860005</v>
      </c>
      <c r="BL3019" s="372">
        <f>$AV2865*'Assumptions (T&amp;D)'!S$24</f>
        <v>0.4847860005</v>
      </c>
      <c r="BM3019" s="372">
        <f>$AV2865*'Assumptions (T&amp;D)'!T$24</f>
        <v>0.4847860005</v>
      </c>
      <c r="BN3019" s="372">
        <f>$AV2865*'Assumptions (T&amp;D)'!U$24</f>
        <v>0.4847860005</v>
      </c>
      <c r="BO3019" s="372">
        <f>$AV2865*'Assumptions (T&amp;D)'!V$24</f>
        <v>0.4847860005</v>
      </c>
      <c r="BP3019" s="372">
        <f>$AV2865*'Assumptions (T&amp;D)'!W$24</f>
        <v>0.2423930003</v>
      </c>
      <c r="BQ3019" s="32"/>
      <c r="BR3019" s="32"/>
      <c r="BS3019" s="32"/>
      <c r="BT3019" s="32"/>
      <c r="BU3019" s="32"/>
      <c r="BV3019" s="32"/>
      <c r="BW3019" s="32"/>
      <c r="BX3019" s="32"/>
      <c r="BY3019" s="32"/>
      <c r="BZ3019" s="32"/>
      <c r="CA3019" s="32"/>
      <c r="CB3019" s="32"/>
      <c r="CC3019" s="32"/>
      <c r="CD3019" s="32"/>
    </row>
    <row r="3020" ht="15.75" hidden="1" customHeight="1" outlineLevel="1">
      <c r="A3020" s="363"/>
      <c r="B3020" s="38"/>
      <c r="C3020" s="38"/>
      <c r="D3020" s="38"/>
      <c r="E3020" s="38"/>
      <c r="F3020" s="38"/>
      <c r="G3020" s="38"/>
      <c r="H3020" s="38"/>
      <c r="I3020" s="38"/>
      <c r="J3020" s="38"/>
      <c r="K3020" s="38"/>
      <c r="L3020" s="38"/>
      <c r="M3020" s="38"/>
      <c r="N3020" s="38"/>
      <c r="O3020" s="38"/>
      <c r="P3020" s="38"/>
      <c r="Q3020" s="38"/>
      <c r="R3020" s="38"/>
      <c r="S3020" s="38"/>
      <c r="T3020" s="38"/>
      <c r="U3020" s="38"/>
      <c r="V3020" s="38"/>
      <c r="W3020" s="38"/>
      <c r="X3020" s="32"/>
      <c r="Y3020" s="32"/>
      <c r="Z3020" s="32"/>
      <c r="AA3020" s="32"/>
      <c r="AB3020" s="32"/>
      <c r="AC3020" s="32"/>
      <c r="AD3020" s="32"/>
      <c r="AE3020" s="32"/>
      <c r="AF3020" s="32"/>
      <c r="AG3020" s="32"/>
      <c r="AH3020" s="32"/>
      <c r="AI3020" s="32"/>
      <c r="AJ3020" s="32"/>
      <c r="AK3020" s="32"/>
      <c r="AL3020" s="32"/>
      <c r="AM3020" s="32"/>
      <c r="AN3020" s="32"/>
      <c r="AO3020" s="32"/>
      <c r="AP3020" s="32"/>
      <c r="AQ3020" s="32"/>
      <c r="AR3020" s="32"/>
      <c r="AS3020" s="32"/>
      <c r="AT3020" s="32"/>
      <c r="AU3020" s="32"/>
      <c r="AV3020" s="32"/>
      <c r="AW3020" s="372">
        <f>$AW2865*'Assumptions (T&amp;D)'!C$24</f>
        <v>0.4184928282</v>
      </c>
      <c r="AX3020" s="372">
        <f>$AW2865*'Assumptions (T&amp;D)'!D$24</f>
        <v>0.8057381919</v>
      </c>
      <c r="AY3020" s="372">
        <f>$AW2865*'Assumptions (T&amp;D)'!E$24</f>
        <v>0.7454752247</v>
      </c>
      <c r="AZ3020" s="372">
        <f>$AW2865*'Assumptions (T&amp;D)'!F$24</f>
        <v>0.6896761809</v>
      </c>
      <c r="BA3020" s="372">
        <f>$AW2865*'Assumptions (T&amp;D)'!G$24</f>
        <v>0.6372250798</v>
      </c>
      <c r="BB3020" s="372">
        <f>$AW2865*'Assumptions (T&amp;D)'!H$24</f>
        <v>0.590353883</v>
      </c>
      <c r="BC3020" s="372">
        <f>$AW2865*'Assumptions (T&amp;D)'!I$24</f>
        <v>0.545714648</v>
      </c>
      <c r="BD3020" s="372">
        <f>$AW2865*'Assumptions (T&amp;D)'!J$24</f>
        <v>0.5044233556</v>
      </c>
      <c r="BE3020" s="372">
        <f>$AW2865*'Assumptions (T&amp;D)'!K$24</f>
        <v>0.4977274704</v>
      </c>
      <c r="BF3020" s="372">
        <f>$AW2865*'Assumptions (T&amp;D)'!L$24</f>
        <v>0.4977274704</v>
      </c>
      <c r="BG3020" s="372">
        <f>$AW2865*'Assumptions (T&amp;D)'!M$24</f>
        <v>0.4977274704</v>
      </c>
      <c r="BH3020" s="372">
        <f>$AW2865*'Assumptions (T&amp;D)'!N$24</f>
        <v>0.4977274704</v>
      </c>
      <c r="BI3020" s="372">
        <f>$AW2865*'Assumptions (T&amp;D)'!O$24</f>
        <v>0.4977274704</v>
      </c>
      <c r="BJ3020" s="372">
        <f>$AW2865*'Assumptions (T&amp;D)'!P$24</f>
        <v>0.4977274704</v>
      </c>
      <c r="BK3020" s="372">
        <f>$AW2865*'Assumptions (T&amp;D)'!Q$24</f>
        <v>0.4977274704</v>
      </c>
      <c r="BL3020" s="372">
        <f>$AW2865*'Assumptions (T&amp;D)'!R$24</f>
        <v>0.4977274704</v>
      </c>
      <c r="BM3020" s="372">
        <f>$AW2865*'Assumptions (T&amp;D)'!S$24</f>
        <v>0.4977274704</v>
      </c>
      <c r="BN3020" s="372">
        <f>$AW2865*'Assumptions (T&amp;D)'!T$24</f>
        <v>0.4977274704</v>
      </c>
      <c r="BO3020" s="372">
        <f>$AW2865*'Assumptions (T&amp;D)'!U$24</f>
        <v>0.4977274704</v>
      </c>
      <c r="BP3020" s="372">
        <f>$AW2865*'Assumptions (T&amp;D)'!V$24</f>
        <v>0.4977274704</v>
      </c>
      <c r="BQ3020" s="372">
        <f>$AW2865*'Assumptions (T&amp;D)'!W$24</f>
        <v>0.2488637352</v>
      </c>
      <c r="BR3020" s="32"/>
      <c r="BS3020" s="32"/>
      <c r="BT3020" s="32"/>
      <c r="BU3020" s="32"/>
      <c r="BV3020" s="32"/>
      <c r="BW3020" s="32"/>
      <c r="BX3020" s="32"/>
      <c r="BY3020" s="32"/>
      <c r="BZ3020" s="32"/>
      <c r="CA3020" s="32"/>
      <c r="CB3020" s="32"/>
      <c r="CC3020" s="32"/>
      <c r="CD3020" s="32"/>
    </row>
    <row r="3021" ht="15.75" hidden="1" customHeight="1" outlineLevel="1">
      <c r="A3021" s="363"/>
      <c r="B3021" s="38"/>
      <c r="C3021" s="38"/>
      <c r="D3021" s="38"/>
      <c r="E3021" s="38"/>
      <c r="F3021" s="38"/>
      <c r="G3021" s="38"/>
      <c r="H3021" s="38"/>
      <c r="I3021" s="38"/>
      <c r="J3021" s="38"/>
      <c r="K3021" s="38"/>
      <c r="L3021" s="38"/>
      <c r="M3021" s="38"/>
      <c r="N3021" s="38"/>
      <c r="O3021" s="38"/>
      <c r="P3021" s="38"/>
      <c r="Q3021" s="38"/>
      <c r="R3021" s="38"/>
      <c r="S3021" s="38"/>
      <c r="T3021" s="38"/>
      <c r="U3021" s="38"/>
      <c r="V3021" s="38"/>
      <c r="W3021" s="38"/>
      <c r="X3021" s="32"/>
      <c r="Y3021" s="32"/>
      <c r="Z3021" s="32"/>
      <c r="AA3021" s="32"/>
      <c r="AB3021" s="32"/>
      <c r="AC3021" s="32"/>
      <c r="AD3021" s="32"/>
      <c r="AE3021" s="32"/>
      <c r="AF3021" s="32"/>
      <c r="AG3021" s="32"/>
      <c r="AH3021" s="32"/>
      <c r="AI3021" s="32"/>
      <c r="AJ3021" s="32"/>
      <c r="AK3021" s="32"/>
      <c r="AL3021" s="32"/>
      <c r="AM3021" s="32"/>
      <c r="AN3021" s="32"/>
      <c r="AO3021" s="32"/>
      <c r="AP3021" s="32"/>
      <c r="AQ3021" s="32"/>
      <c r="AR3021" s="32"/>
      <c r="AS3021" s="32"/>
      <c r="AT3021" s="32"/>
      <c r="AU3021" s="32"/>
      <c r="AV3021" s="32"/>
      <c r="AW3021" s="32"/>
      <c r="AX3021" s="372">
        <f>$AX2865*'Assumptions (T&amp;D)'!C$24</f>
        <v>0.429644914</v>
      </c>
      <c r="AY3021" s="372">
        <f>$AX2865*'Assumptions (T&amp;D)'!D$24</f>
        <v>0.8272096745</v>
      </c>
      <c r="AZ3021" s="372">
        <f>$AX2865*'Assumptions (T&amp;D)'!E$24</f>
        <v>0.7653408069</v>
      </c>
      <c r="BA3021" s="372">
        <f>$AX2865*'Assumptions (T&amp;D)'!F$24</f>
        <v>0.7080548183</v>
      </c>
      <c r="BB3021" s="372">
        <f>$AX2865*'Assumptions (T&amp;D)'!G$24</f>
        <v>0.6542059891</v>
      </c>
      <c r="BC3021" s="372">
        <f>$AX2865*'Assumptions (T&amp;D)'!H$24</f>
        <v>0.6060857587</v>
      </c>
      <c r="BD3021" s="372">
        <f>$AX2865*'Assumptions (T&amp;D)'!I$24</f>
        <v>0.5602569679</v>
      </c>
      <c r="BE3021" s="372">
        <f>$AX2865*'Assumptions (T&amp;D)'!J$24</f>
        <v>0.5178653364</v>
      </c>
      <c r="BF3021" s="372">
        <f>$AX2865*'Assumptions (T&amp;D)'!K$24</f>
        <v>0.5109910178</v>
      </c>
      <c r="BG3021" s="372">
        <f>$AX2865*'Assumptions (T&amp;D)'!L$24</f>
        <v>0.5109910178</v>
      </c>
      <c r="BH3021" s="372">
        <f>$AX2865*'Assumptions (T&amp;D)'!M$24</f>
        <v>0.5109910178</v>
      </c>
      <c r="BI3021" s="372">
        <f>$AX2865*'Assumptions (T&amp;D)'!N$24</f>
        <v>0.5109910178</v>
      </c>
      <c r="BJ3021" s="372">
        <f>$AX2865*'Assumptions (T&amp;D)'!O$24</f>
        <v>0.5109910178</v>
      </c>
      <c r="BK3021" s="372">
        <f>$AX2865*'Assumptions (T&amp;D)'!P$24</f>
        <v>0.5109910178</v>
      </c>
      <c r="BL3021" s="372">
        <f>$AX2865*'Assumptions (T&amp;D)'!Q$24</f>
        <v>0.5109910178</v>
      </c>
      <c r="BM3021" s="372">
        <f>$AX2865*'Assumptions (T&amp;D)'!R$24</f>
        <v>0.5109910178</v>
      </c>
      <c r="BN3021" s="372">
        <f>$AX2865*'Assumptions (T&amp;D)'!S$24</f>
        <v>0.5109910178</v>
      </c>
      <c r="BO3021" s="372">
        <f>$AX2865*'Assumptions (T&amp;D)'!T$24</f>
        <v>0.5109910178</v>
      </c>
      <c r="BP3021" s="372">
        <f>$AX2865*'Assumptions (T&amp;D)'!U$24</f>
        <v>0.5109910178</v>
      </c>
      <c r="BQ3021" s="372">
        <f>$AX2865*'Assumptions (T&amp;D)'!V$24</f>
        <v>0.5109910178</v>
      </c>
      <c r="BR3021" s="372">
        <f>$AX2865*'Assumptions (T&amp;D)'!W$24</f>
        <v>0.2554955089</v>
      </c>
      <c r="BS3021" s="32"/>
      <c r="BT3021" s="32"/>
      <c r="BU3021" s="32"/>
      <c r="BV3021" s="32"/>
      <c r="BW3021" s="32"/>
      <c r="BX3021" s="32"/>
      <c r="BY3021" s="32"/>
      <c r="BZ3021" s="32"/>
      <c r="CA3021" s="32"/>
      <c r="CB3021" s="32"/>
      <c r="CC3021" s="32"/>
      <c r="CD3021" s="32"/>
    </row>
    <row r="3022" ht="15.75" hidden="1" customHeight="1" outlineLevel="1">
      <c r="A3022" s="363"/>
      <c r="B3022" s="38"/>
      <c r="C3022" s="38"/>
      <c r="D3022" s="38"/>
      <c r="E3022" s="38"/>
      <c r="F3022" s="38"/>
      <c r="G3022" s="38"/>
      <c r="H3022" s="38"/>
      <c r="I3022" s="38"/>
      <c r="J3022" s="38"/>
      <c r="K3022" s="38"/>
      <c r="L3022" s="38"/>
      <c r="M3022" s="38"/>
      <c r="N3022" s="38"/>
      <c r="O3022" s="38"/>
      <c r="P3022" s="38"/>
      <c r="Q3022" s="38"/>
      <c r="R3022" s="38"/>
      <c r="S3022" s="38"/>
      <c r="T3022" s="38"/>
      <c r="U3022" s="38"/>
      <c r="V3022" s="38"/>
      <c r="W3022" s="38"/>
      <c r="X3022" s="32"/>
      <c r="Y3022" s="32"/>
      <c r="Z3022" s="32"/>
      <c r="AA3022" s="32"/>
      <c r="AB3022" s="32"/>
      <c r="AC3022" s="32"/>
      <c r="AD3022" s="32"/>
      <c r="AE3022" s="32"/>
      <c r="AF3022" s="32"/>
      <c r="AG3022" s="32"/>
      <c r="AH3022" s="32"/>
      <c r="AI3022" s="32"/>
      <c r="AJ3022" s="32"/>
      <c r="AK3022" s="32"/>
      <c r="AL3022" s="32"/>
      <c r="AM3022" s="32"/>
      <c r="AN3022" s="32"/>
      <c r="AO3022" s="32"/>
      <c r="AP3022" s="32"/>
      <c r="AQ3022" s="32"/>
      <c r="AR3022" s="32"/>
      <c r="AS3022" s="32"/>
      <c r="AT3022" s="32"/>
      <c r="AU3022" s="32"/>
      <c r="AV3022" s="32"/>
      <c r="AW3022" s="32"/>
      <c r="AX3022" s="32"/>
      <c r="AY3022" s="372">
        <f>$AY2865*'Assumptions (T&amp;D)'!C$24</f>
        <v>0.4410742572</v>
      </c>
      <c r="AZ3022" s="372">
        <f>$AY2865*'Assumptions (T&amp;D)'!D$24</f>
        <v>0.8492149698</v>
      </c>
      <c r="BA3022" s="372">
        <f>$AY2865*'Assumptions (T&amp;D)'!E$24</f>
        <v>0.7857002768</v>
      </c>
      <c r="BB3022" s="372">
        <f>$AY2865*'Assumptions (T&amp;D)'!F$24</f>
        <v>0.7268903758</v>
      </c>
      <c r="BC3022" s="372">
        <f>$AY2865*'Assumptions (T&amp;D)'!G$24</f>
        <v>0.6716090689</v>
      </c>
      <c r="BD3022" s="372">
        <f>$AY2865*'Assumptions (T&amp;D)'!H$24</f>
        <v>0.6222087521</v>
      </c>
      <c r="BE3022" s="372">
        <f>$AY2865*'Assumptions (T&amp;D)'!I$24</f>
        <v>0.5751608313</v>
      </c>
      <c r="BF3022" s="372">
        <f>$AY2865*'Assumptions (T&amp;D)'!J$24</f>
        <v>0.5316415046</v>
      </c>
      <c r="BG3022" s="372">
        <f>$AY2865*'Assumptions (T&amp;D)'!K$24</f>
        <v>0.5245843165</v>
      </c>
      <c r="BH3022" s="372">
        <f>$AY2865*'Assumptions (T&amp;D)'!L$24</f>
        <v>0.5245843165</v>
      </c>
      <c r="BI3022" s="372">
        <f>$AY2865*'Assumptions (T&amp;D)'!M$24</f>
        <v>0.5245843165</v>
      </c>
      <c r="BJ3022" s="372">
        <f>$AY2865*'Assumptions (T&amp;D)'!N$24</f>
        <v>0.5245843165</v>
      </c>
      <c r="BK3022" s="372">
        <f>$AY2865*'Assumptions (T&amp;D)'!O$24</f>
        <v>0.5245843165</v>
      </c>
      <c r="BL3022" s="372">
        <f>$AY2865*'Assumptions (T&amp;D)'!P$24</f>
        <v>0.5245843165</v>
      </c>
      <c r="BM3022" s="372">
        <f>$AY2865*'Assumptions (T&amp;D)'!Q$24</f>
        <v>0.5245843165</v>
      </c>
      <c r="BN3022" s="372">
        <f>$AY2865*'Assumptions (T&amp;D)'!R$24</f>
        <v>0.5245843165</v>
      </c>
      <c r="BO3022" s="372">
        <f>$AY2865*'Assumptions (T&amp;D)'!S$24</f>
        <v>0.5245843165</v>
      </c>
      <c r="BP3022" s="372">
        <f>$AY2865*'Assumptions (T&amp;D)'!T$24</f>
        <v>0.5245843165</v>
      </c>
      <c r="BQ3022" s="372">
        <f>$AY2865*'Assumptions (T&amp;D)'!U$24</f>
        <v>0.5245843165</v>
      </c>
      <c r="BR3022" s="372">
        <f>$AY2865*'Assumptions (T&amp;D)'!V$24</f>
        <v>0.5245843165</v>
      </c>
      <c r="BS3022" s="372">
        <f>$AY2865*'Assumptions (T&amp;D)'!W$24</f>
        <v>0.2622921583</v>
      </c>
      <c r="BT3022" s="32"/>
      <c r="BU3022" s="32"/>
      <c r="BV3022" s="32"/>
      <c r="BW3022" s="32"/>
      <c r="BX3022" s="32"/>
      <c r="BY3022" s="32"/>
      <c r="BZ3022" s="32"/>
      <c r="CA3022" s="32"/>
      <c r="CB3022" s="32"/>
      <c r="CC3022" s="32"/>
      <c r="CD3022" s="32"/>
    </row>
    <row r="3023" ht="15.75" hidden="1" customHeight="1" outlineLevel="1">
      <c r="A3023" s="363"/>
      <c r="B3023" s="38"/>
      <c r="C3023" s="38"/>
      <c r="D3023" s="38"/>
      <c r="E3023" s="38"/>
      <c r="F3023" s="38"/>
      <c r="G3023" s="38"/>
      <c r="H3023" s="38"/>
      <c r="I3023" s="38"/>
      <c r="J3023" s="38"/>
      <c r="K3023" s="38"/>
      <c r="L3023" s="38"/>
      <c r="M3023" s="38"/>
      <c r="N3023" s="38"/>
      <c r="O3023" s="38"/>
      <c r="P3023" s="38"/>
      <c r="Q3023" s="38"/>
      <c r="R3023" s="38"/>
      <c r="S3023" s="38"/>
      <c r="T3023" s="38"/>
      <c r="U3023" s="38"/>
      <c r="V3023" s="38"/>
      <c r="W3023" s="38"/>
      <c r="X3023" s="32"/>
      <c r="Y3023" s="32"/>
      <c r="Z3023" s="32"/>
      <c r="AA3023" s="32"/>
      <c r="AB3023" s="32"/>
      <c r="AC3023" s="32"/>
      <c r="AD3023" s="32"/>
      <c r="AE3023" s="32"/>
      <c r="AF3023" s="32"/>
      <c r="AG3023" s="32"/>
      <c r="AH3023" s="32"/>
      <c r="AI3023" s="32"/>
      <c r="AJ3023" s="32"/>
      <c r="AK3023" s="32"/>
      <c r="AL3023" s="32"/>
      <c r="AM3023" s="32"/>
      <c r="AN3023" s="32"/>
      <c r="AO3023" s="32"/>
      <c r="AP3023" s="32"/>
      <c r="AQ3023" s="32"/>
      <c r="AR3023" s="32"/>
      <c r="AS3023" s="32"/>
      <c r="AT3023" s="32"/>
      <c r="AU3023" s="32"/>
      <c r="AV3023" s="32"/>
      <c r="AW3023" s="32"/>
      <c r="AX3023" s="32"/>
      <c r="AY3023" s="32"/>
      <c r="AZ3023" s="372">
        <f>$AZ2865*'Assumptions (T&amp;D)'!C$24</f>
        <v>0.452787459</v>
      </c>
      <c r="BA3023" s="372">
        <f>$AZ2865*'Assumptions (T&amp;D)'!D$24</f>
        <v>0.8717667878</v>
      </c>
      <c r="BB3023" s="372">
        <f>$AZ2865*'Assumptions (T&amp;D)'!E$24</f>
        <v>0.8065653937</v>
      </c>
      <c r="BC3023" s="372">
        <f>$AZ2865*'Assumptions (T&amp;D)'!F$24</f>
        <v>0.7461937325</v>
      </c>
      <c r="BD3023" s="372">
        <f>$AZ2865*'Assumptions (T&amp;D)'!G$24</f>
        <v>0.6894443709</v>
      </c>
      <c r="BE3023" s="372">
        <f>$AZ2865*'Assumptions (T&amp;D)'!H$24</f>
        <v>0.6387321755</v>
      </c>
      <c r="BF3023" s="372">
        <f>$AZ2865*'Assumptions (T&amp;D)'!I$24</f>
        <v>0.5904348466</v>
      </c>
      <c r="BG3023" s="372">
        <f>$AZ2865*'Assumptions (T&amp;D)'!J$24</f>
        <v>0.5457598173</v>
      </c>
      <c r="BH3023" s="372">
        <f>$AZ2865*'Assumptions (T&amp;D)'!K$24</f>
        <v>0.5385152179</v>
      </c>
      <c r="BI3023" s="372">
        <f>$AZ2865*'Assumptions (T&amp;D)'!L$24</f>
        <v>0.5385152179</v>
      </c>
      <c r="BJ3023" s="372">
        <f>$AZ2865*'Assumptions (T&amp;D)'!M$24</f>
        <v>0.5385152179</v>
      </c>
      <c r="BK3023" s="372">
        <f>$AZ2865*'Assumptions (T&amp;D)'!N$24</f>
        <v>0.5385152179</v>
      </c>
      <c r="BL3023" s="372">
        <f>$AZ2865*'Assumptions (T&amp;D)'!O$24</f>
        <v>0.5385152179</v>
      </c>
      <c r="BM3023" s="372">
        <f>$AZ2865*'Assumptions (T&amp;D)'!P$24</f>
        <v>0.5385152179</v>
      </c>
      <c r="BN3023" s="372">
        <f>$AZ2865*'Assumptions (T&amp;D)'!Q$24</f>
        <v>0.5385152179</v>
      </c>
      <c r="BO3023" s="372">
        <f>$AZ2865*'Assumptions (T&amp;D)'!R$24</f>
        <v>0.5385152179</v>
      </c>
      <c r="BP3023" s="372">
        <f>$AZ2865*'Assumptions (T&amp;D)'!S$24</f>
        <v>0.5385152179</v>
      </c>
      <c r="BQ3023" s="372">
        <f>$AZ2865*'Assumptions (T&amp;D)'!T$24</f>
        <v>0.5385152179</v>
      </c>
      <c r="BR3023" s="372">
        <f>$AZ2865*'Assumptions (T&amp;D)'!U$24</f>
        <v>0.5385152179</v>
      </c>
      <c r="BS3023" s="372">
        <f>$AZ2865*'Assumptions (T&amp;D)'!V$24</f>
        <v>0.5385152179</v>
      </c>
      <c r="BT3023" s="372">
        <f>$AZ2865*'Assumptions (T&amp;D)'!W$24</f>
        <v>0.269257609</v>
      </c>
      <c r="BU3023" s="32"/>
      <c r="BV3023" s="32"/>
      <c r="BW3023" s="32"/>
      <c r="BX3023" s="32"/>
      <c r="BY3023" s="32"/>
      <c r="BZ3023" s="32"/>
      <c r="CA3023" s="32"/>
      <c r="CB3023" s="32"/>
      <c r="CC3023" s="32"/>
      <c r="CD3023" s="32"/>
    </row>
    <row r="3024" ht="15.75" hidden="1" customHeight="1" outlineLevel="1">
      <c r="A3024" s="363"/>
      <c r="B3024" s="38"/>
      <c r="C3024" s="38"/>
      <c r="D3024" s="38"/>
      <c r="E3024" s="38"/>
      <c r="F3024" s="38"/>
      <c r="G3024" s="38"/>
      <c r="H3024" s="38"/>
      <c r="I3024" s="38"/>
      <c r="J3024" s="38"/>
      <c r="K3024" s="38"/>
      <c r="L3024" s="38"/>
      <c r="M3024" s="38"/>
      <c r="N3024" s="38"/>
      <c r="O3024" s="38"/>
      <c r="P3024" s="38"/>
      <c r="Q3024" s="38"/>
      <c r="R3024" s="38"/>
      <c r="S3024" s="38"/>
      <c r="T3024" s="38"/>
      <c r="U3024" s="38"/>
      <c r="V3024" s="38"/>
      <c r="W3024" s="38"/>
      <c r="X3024" s="32"/>
      <c r="Y3024" s="32"/>
      <c r="Z3024" s="32"/>
      <c r="AA3024" s="32"/>
      <c r="AB3024" s="32"/>
      <c r="AC3024" s="32"/>
      <c r="AD3024" s="32"/>
      <c r="AE3024" s="32"/>
      <c r="AF3024" s="32"/>
      <c r="AG3024" s="32"/>
      <c r="AH3024" s="32"/>
      <c r="AI3024" s="32"/>
      <c r="AJ3024" s="32"/>
      <c r="AK3024" s="32"/>
      <c r="AL3024" s="32"/>
      <c r="AM3024" s="32"/>
      <c r="AN3024" s="32"/>
      <c r="AO3024" s="32"/>
      <c r="AP3024" s="32"/>
      <c r="AQ3024" s="32"/>
      <c r="AR3024" s="32"/>
      <c r="AS3024" s="32"/>
      <c r="AT3024" s="32"/>
      <c r="AU3024" s="32"/>
      <c r="AV3024" s="32"/>
      <c r="AW3024" s="32"/>
      <c r="AX3024" s="32"/>
      <c r="AY3024" s="32"/>
      <c r="AZ3024" s="32"/>
      <c r="BA3024" s="372">
        <f>$BA2865*'Assumptions (T&amp;D)'!C$24</f>
        <v>0.4617290923</v>
      </c>
      <c r="BB3024" s="372">
        <f>$BA2865*'Assumptions (T&amp;D)'!D$24</f>
        <v>0.8889824124</v>
      </c>
      <c r="BC3024" s="372">
        <f>$BA2865*'Assumptions (T&amp;D)'!E$24</f>
        <v>0.8224934231</v>
      </c>
      <c r="BD3024" s="372">
        <f>$BA2865*'Assumptions (T&amp;D)'!F$24</f>
        <v>0.7609295442</v>
      </c>
      <c r="BE3024" s="372">
        <f>$BA2865*'Assumptions (T&amp;D)'!G$24</f>
        <v>0.7030594979</v>
      </c>
      <c r="BF3024" s="372">
        <f>$BA2865*'Assumptions (T&amp;D)'!H$24</f>
        <v>0.6513458396</v>
      </c>
      <c r="BG3024" s="372">
        <f>$BA2865*'Assumptions (T&amp;D)'!I$24</f>
        <v>0.6020947364</v>
      </c>
      <c r="BH3024" s="372">
        <f>$BA2865*'Assumptions (T&amp;D)'!J$24</f>
        <v>0.556537466</v>
      </c>
      <c r="BI3024" s="372">
        <f>$BA2865*'Assumptions (T&amp;D)'!K$24</f>
        <v>0.5491498005</v>
      </c>
      <c r="BJ3024" s="372">
        <f>$BA2865*'Assumptions (T&amp;D)'!L$24</f>
        <v>0.5491498005</v>
      </c>
      <c r="BK3024" s="372">
        <f>$BA2865*'Assumptions (T&amp;D)'!M$24</f>
        <v>0.5491498005</v>
      </c>
      <c r="BL3024" s="372">
        <f>$BA2865*'Assumptions (T&amp;D)'!N$24</f>
        <v>0.5491498005</v>
      </c>
      <c r="BM3024" s="372">
        <f>$BA2865*'Assumptions (T&amp;D)'!O$24</f>
        <v>0.5491498005</v>
      </c>
      <c r="BN3024" s="372">
        <f>$BA2865*'Assumptions (T&amp;D)'!P$24</f>
        <v>0.5491498005</v>
      </c>
      <c r="BO3024" s="372">
        <f>$BA2865*'Assumptions (T&amp;D)'!Q$24</f>
        <v>0.5491498005</v>
      </c>
      <c r="BP3024" s="372">
        <f>$BA2865*'Assumptions (T&amp;D)'!R$24</f>
        <v>0.5491498005</v>
      </c>
      <c r="BQ3024" s="372">
        <f>$BA2865*'Assumptions (T&amp;D)'!S$24</f>
        <v>0.5491498005</v>
      </c>
      <c r="BR3024" s="372">
        <f>$BA2865*'Assumptions (T&amp;D)'!T$24</f>
        <v>0.5491498005</v>
      </c>
      <c r="BS3024" s="372">
        <f>$BA2865*'Assumptions (T&amp;D)'!U$24</f>
        <v>0.5491498005</v>
      </c>
      <c r="BT3024" s="372">
        <f>$BA2865*'Assumptions (T&amp;D)'!V$24</f>
        <v>0.5491498005</v>
      </c>
      <c r="BU3024" s="372">
        <f>$BA2865*'Assumptions (T&amp;D)'!W$24</f>
        <v>0.2745749002</v>
      </c>
      <c r="BV3024" s="32"/>
      <c r="BW3024" s="32"/>
      <c r="BX3024" s="32"/>
      <c r="BY3024" s="32"/>
      <c r="BZ3024" s="32"/>
      <c r="CA3024" s="32"/>
      <c r="CB3024" s="32"/>
      <c r="CC3024" s="32"/>
      <c r="CD3024" s="32"/>
    </row>
    <row r="3025" ht="15.75" customHeight="1" collapsed="1">
      <c r="A3025" s="365" t="s">
        <v>374</v>
      </c>
      <c r="B3025" s="159" t="s">
        <v>351</v>
      </c>
      <c r="C3025" s="377">
        <f>(1/(1-'Assumptions (T&amp;D)'!C$26))*(C2862+C2972+(C2863-C2972-C2863*'Assumptions (T&amp;D)'!$C$25)*'Assumptions (T&amp;D)'!$C$22)</f>
        <v>55.39839422</v>
      </c>
      <c r="D3025" s="377">
        <f>(1/(1-'Assumptions (T&amp;D)'!D$26))*(D2862+D2972+(D2863-D2972-D2863*'Assumptions (T&amp;D)'!$C$25)*'Assumptions (T&amp;D)'!$C$22)</f>
        <v>57.51575353</v>
      </c>
      <c r="E3025" s="377">
        <f>(1/(1-'Assumptions (T&amp;D)'!E$26))*(E2862+E2972+(E2863-E2972-E2863*'Assumptions (T&amp;D)'!$C$25)*'Assumptions (T&amp;D)'!$C$22)</f>
        <v>59.5855141</v>
      </c>
      <c r="F3025" s="377">
        <f>(1/(1-'Assumptions (T&amp;D)'!F$26))*(F2862+F2972+(F2863-F2972-F2863*'Assumptions (T&amp;D)'!$C$25)*'Assumptions (T&amp;D)'!$C$22)</f>
        <v>61.8935089</v>
      </c>
      <c r="G3025" s="377">
        <f>(1/(1-'Assumptions (T&amp;D)'!G$26))*(G2862+G2972+(G2863-G2972-G2863*'Assumptions (T&amp;D)'!$C$25)*'Assumptions (T&amp;D)'!$C$22)</f>
        <v>64.85255541</v>
      </c>
      <c r="H3025" s="377">
        <f>(1/(1-'Assumptions (T&amp;D)'!H$26))*(H2862+H2972+(H2863-H2972-H2863*'Assumptions (T&amp;D)'!$C$25)*'Assumptions (T&amp;D)'!$C$22)</f>
        <v>69.02426706</v>
      </c>
      <c r="I3025" s="377">
        <f>(1/(1-'Assumptions (T&amp;D)'!I$26))*(I2862+I2972+(I2863-I2972-I2863*'Assumptions (T&amp;D)'!$C$25)*'Assumptions (T&amp;D)'!$C$22)</f>
        <v>73.6207121</v>
      </c>
      <c r="J3025" s="377">
        <f>(1/(1-'Assumptions (T&amp;D)'!J$26))*(J2862+J2972+(J2863-J2972-J2863*'Assumptions (T&amp;D)'!$C$25)*'Assumptions (T&amp;D)'!$C$22)</f>
        <v>75.91727157</v>
      </c>
      <c r="K3025" s="377">
        <f>(1/(1-'Assumptions (T&amp;D)'!K$26))*(K2862+K2972+(K2863-K2972-K2863*'Assumptions (T&amp;D)'!$C$25)*'Assumptions (T&amp;D)'!$C$22)</f>
        <v>79.64987974</v>
      </c>
      <c r="L3025" s="377">
        <f>(1/(1-'Assumptions (T&amp;D)'!L$26))*(L2862+L2972+(L2863-L2972-L2863*'Assumptions (T&amp;D)'!$C$25)*'Assumptions (T&amp;D)'!$C$22)</f>
        <v>83.45106547</v>
      </c>
      <c r="M3025" s="377">
        <f>(1/(1-'Assumptions (T&amp;D)'!M$26))*(M2862+M2972+(M2863-M2972-M2863*'Assumptions (T&amp;D)'!$C$25)*'Assumptions (T&amp;D)'!$C$22)</f>
        <v>89.38217291</v>
      </c>
      <c r="N3025" s="377">
        <f>(1/(1-'Assumptions (T&amp;D)'!N$26))*(N2862+N2972+(N2863-N2972-N2863*'Assumptions (T&amp;D)'!$C$25)*'Assumptions (T&amp;D)'!$C$22)</f>
        <v>91.85175974</v>
      </c>
      <c r="O3025" s="377">
        <f>(1/(1-'Assumptions (T&amp;D)'!O$26))*(O2862+O2972+(O2863-O2972-O2863*'Assumptions (T&amp;D)'!$C$25)*'Assumptions (T&amp;D)'!$C$22)</f>
        <v>95.61945672</v>
      </c>
      <c r="P3025" s="377">
        <f>(1/(1-'Assumptions (T&amp;D)'!P$26))*(P2862+P2972+(P2863-P2972-P2863*'Assumptions (T&amp;D)'!$C$25)*'Assumptions (T&amp;D)'!$C$22)</f>
        <v>99.68688994</v>
      </c>
      <c r="Q3025" s="377">
        <f>(1/(1-'Assumptions (T&amp;D)'!Q$26))*(Q2862+Q2972+(Q2863-Q2972-Q2863*'Assumptions (T&amp;D)'!$C$25)*'Assumptions (T&amp;D)'!$C$22)</f>
        <v>104.1668505</v>
      </c>
      <c r="R3025" s="377">
        <f>(1/(1-'Assumptions (T&amp;D)'!R$26))*(R2862+R2972+(R2863-R2972-R2863*'Assumptions (T&amp;D)'!$C$25)*'Assumptions (T&amp;D)'!$C$22)</f>
        <v>109.2045501</v>
      </c>
      <c r="S3025" s="377">
        <f>(1/(1-'Assumptions (T&amp;D)'!S$26))*(S2862+S2972+(S2863-S2972-S2863*'Assumptions (T&amp;D)'!$C$25)*'Assumptions (T&amp;D)'!$C$22)</f>
        <v>114.1257546</v>
      </c>
      <c r="T3025" s="377">
        <f>(1/(1-'Assumptions (T&amp;D)'!T$26))*(T2862+T2972+(T2863-T2972-T2863*'Assumptions (T&amp;D)'!$C$25)*'Assumptions (T&amp;D)'!$C$22)</f>
        <v>16.6512008</v>
      </c>
      <c r="U3025" s="377">
        <f>(1/(1-'Assumptions (T&amp;D)'!U$26))*(U2862+U2972+(U2863-U2972-U2863*'Assumptions (T&amp;D)'!$C$25)*'Assumptions (T&amp;D)'!$C$22)</f>
        <v>13.73872729</v>
      </c>
      <c r="V3025" s="377">
        <f>(1/(1-'Assumptions (T&amp;D)'!V$26))*(V2862+V2972+(V2863-V2972-V2863*'Assumptions (T&amp;D)'!$C$25)*'Assumptions (T&amp;D)'!$C$22)</f>
        <v>14.76821725</v>
      </c>
      <c r="W3025" s="377">
        <f>(1/(1-'Assumptions (T&amp;D)'!W$26))*(W2862+W2972+(W2863-W2972-W2863*'Assumptions (T&amp;D)'!$C$25)*'Assumptions (T&amp;D)'!$C$22)</f>
        <v>15.23807139</v>
      </c>
      <c r="X3025" s="377">
        <f>(1/(1-'Assumptions (T&amp;D)'!X$26))*(X2862+X2972+(X2863-X2972-X2863*'Assumptions (T&amp;D)'!$C$25)*'Assumptions (T&amp;D)'!$C$22)</f>
        <v>15.6942767</v>
      </c>
      <c r="Y3025" s="377">
        <f>(1/(1-'Assumptions (T&amp;D)'!Y$26))*(Y2862+Y2972+(Y2863-Y2972-Y2863*'Assumptions (T&amp;D)'!$C$25)*'Assumptions (T&amp;D)'!$C$22)</f>
        <v>16.2782944</v>
      </c>
      <c r="Z3025" s="377">
        <f>(1/(1-'Assumptions (T&amp;D)'!Z$26))*(Z2862+Z2972+(Z2863-Z2972-Z2863*'Assumptions (T&amp;D)'!$C$25)*'Assumptions (T&amp;D)'!$C$22)</f>
        <v>16.87804875</v>
      </c>
      <c r="AA3025" s="377">
        <f>(1/(1-'Assumptions (T&amp;D)'!AA$26))*(AA2862+AA2972+(AA2863-AA2972-AA2863*'Assumptions (T&amp;D)'!$C$25)*'Assumptions (T&amp;D)'!$C$22)</f>
        <v>17.49393355</v>
      </c>
      <c r="AB3025" s="377">
        <f>(1/(1-'Assumptions (T&amp;D)'!AB$26))*(AB2862+AB2972+(AB2863-AB2972-AB2863*'Assumptions (T&amp;D)'!$C$25)*'Assumptions (T&amp;D)'!$C$22)</f>
        <v>18.12635197</v>
      </c>
      <c r="AC3025" s="377">
        <f>(1/(1-'Assumptions (T&amp;D)'!AC$26))*(AC2862+AC2972+(AC2863-AC2972-AC2863*'Assumptions (T&amp;D)'!$C$25)*'Assumptions (T&amp;D)'!$C$22)</f>
        <v>18.77571685</v>
      </c>
      <c r="AD3025" s="377">
        <f>(1/(1-'Assumptions (T&amp;D)'!AD$26))*(AD2862+AD2972+(AD2863-AD2972-AD2863*'Assumptions (T&amp;D)'!$C$25)*'Assumptions (T&amp;D)'!$C$22)</f>
        <v>19.44245087</v>
      </c>
      <c r="AE3025" s="377">
        <f>(1/(1-'Assumptions (T&amp;D)'!AE$26))*(AE2862+AE2972+(AE2863-AE2972-AE2863*'Assumptions (T&amp;D)'!$C$25)*'Assumptions (T&amp;D)'!$C$22)</f>
        <v>20.1269868</v>
      </c>
      <c r="AF3025" s="377">
        <f>(1/(1-'Assumptions (T&amp;D)'!AF$26))*(AF2862+AF2972+(AF2863-AF2972-AF2863*'Assumptions (T&amp;D)'!$C$25)*'Assumptions (T&amp;D)'!$C$22)</f>
        <v>20.82976773</v>
      </c>
      <c r="AG3025" s="377">
        <f>(1/(1-'Assumptions (T&amp;D)'!AG$26))*(AG2862+AG2972+(AG2863-AG2972-AG2863*'Assumptions (T&amp;D)'!$C$25)*'Assumptions (T&amp;D)'!$C$22)</f>
        <v>21.5512473</v>
      </c>
      <c r="AH3025" s="377">
        <f>(1/(1-'Assumptions (T&amp;D)'!AH$26))*(AH2862+AH2972+(AH2863-AH2972-AH2863*'Assumptions (T&amp;D)'!$C$25)*'Assumptions (T&amp;D)'!$C$22)</f>
        <v>22.29188997</v>
      </c>
      <c r="AI3025" s="377">
        <f>(1/(1-'Assumptions (T&amp;D)'!AI$26))*(AI2862+AI2972+(AI2863-AI2972-AI2863*'Assumptions (T&amp;D)'!$C$25)*'Assumptions (T&amp;D)'!$C$22)</f>
        <v>23.05217123</v>
      </c>
      <c r="AJ3025" s="377">
        <f>(1/(1-'Assumptions (T&amp;D)'!AJ$26))*(AJ2862+AJ2972+(AJ2863-AJ2972-AJ2863*'Assumptions (T&amp;D)'!$C$25)*'Assumptions (T&amp;D)'!$C$22)</f>
        <v>23.83257789</v>
      </c>
      <c r="AK3025" s="377">
        <f>(1/(1-'Assumptions (T&amp;D)'!AK$26))*(AK2862+AK2972+(AK2863-AK2972-AK2863*'Assumptions (T&amp;D)'!$C$25)*'Assumptions (T&amp;D)'!$C$22)</f>
        <v>24.63360833</v>
      </c>
      <c r="AL3025" s="377">
        <f>(1/(1-'Assumptions (T&amp;D)'!AL$26))*(AL2862+AL2972+(AL2863-AL2972-AL2863*'Assumptions (T&amp;D)'!$C$25)*'Assumptions (T&amp;D)'!$C$22)</f>
        <v>25.45577275</v>
      </c>
      <c r="AM3025" s="377">
        <f>(1/(1-'Assumptions (T&amp;D)'!AM$26))*(AM2862+AM2972+(AM2863-AM2972-AM2863*'Assumptions (T&amp;D)'!$C$25)*'Assumptions (T&amp;D)'!$C$22)</f>
        <v>26.29959348</v>
      </c>
      <c r="AN3025" s="377">
        <f>(1/(1-'Assumptions (T&amp;D)'!AN$26))*(AN2862+AN2972+(AN2863-AN2972-AN2863*'Assumptions (T&amp;D)'!$C$25)*'Assumptions (T&amp;D)'!$C$22)</f>
        <v>27.16560523</v>
      </c>
      <c r="AO3025" s="377">
        <f>(1/(1-'Assumptions (T&amp;D)'!AO$26))*(AO2862+AO2972+(AO2863-AO2972-AO2863*'Assumptions (T&amp;D)'!$C$25)*'Assumptions (T&amp;D)'!$C$22)</f>
        <v>28.05435536</v>
      </c>
      <c r="AP3025" s="377">
        <f>(1/(1-'Assumptions (T&amp;D)'!AP$26))*(AP2862+AP2972+(AP2863-AP2972-AP2863*'Assumptions (T&amp;D)'!$C$25)*'Assumptions (T&amp;D)'!$C$22)</f>
        <v>28.96640424</v>
      </c>
      <c r="AQ3025" s="377">
        <f>(1/(1-'Assumptions (T&amp;D)'!AQ$26))*(AQ2862+AQ2972+(AQ2863-AQ2972-AQ2863*'Assumptions (T&amp;D)'!$C$25)*'Assumptions (T&amp;D)'!$C$22)</f>
        <v>29.90232545</v>
      </c>
      <c r="AR3025" s="377">
        <f>(1/(1-'Assumptions (T&amp;D)'!AR$26))*(AR2862+AR2972+(AR2863-AR2972-AR2863*'Assumptions (T&amp;D)'!$C$25)*'Assumptions (T&amp;D)'!$C$22)</f>
        <v>30.8627062</v>
      </c>
      <c r="AS3025" s="377">
        <f>(1/(1-'Assumptions (T&amp;D)'!AS$26))*(AS2862+AS2972+(AS2863-AS2972-AS2863*'Assumptions (T&amp;D)'!$C$25)*'Assumptions (T&amp;D)'!$C$22)</f>
        <v>31.84814752</v>
      </c>
      <c r="AT3025" s="377">
        <f>(1/(1-'Assumptions (T&amp;D)'!AT$26))*(AT2862+AT2972+(AT2863-AT2972-AT2863*'Assumptions (T&amp;D)'!$C$25)*'Assumptions (T&amp;D)'!$C$22)</f>
        <v>32.85926469</v>
      </c>
      <c r="AU3025" s="377">
        <f>(1/(1-'Assumptions (T&amp;D)'!AU$26))*(AU2862+AU2972+(AU2863-AU2972-AU2863*'Assumptions (T&amp;D)'!$C$25)*'Assumptions (T&amp;D)'!$C$22)</f>
        <v>33.89668749</v>
      </c>
      <c r="AV3025" s="377">
        <f>(1/(1-'Assumptions (T&amp;D)'!AV$26))*(AV2862+AV2972+(AV2863-AV2972-AV2863*'Assumptions (T&amp;D)'!$C$25)*'Assumptions (T&amp;D)'!$C$22)</f>
        <v>34.96106056</v>
      </c>
      <c r="AW3025" s="377">
        <f>(1/(1-'Assumptions (T&amp;D)'!AW$26))*(AW2862+AW2972+(AW2863-AW2972-AW2863*'Assumptions (T&amp;D)'!$C$25)*'Assumptions (T&amp;D)'!$C$22)</f>
        <v>36.05304377</v>
      </c>
      <c r="AX3025" s="377">
        <f>(1/(1-'Assumptions (T&amp;D)'!AX$26))*(AX2862+AX2972+(AX2863-AX2972-AX2863*'Assumptions (T&amp;D)'!$C$25)*'Assumptions (T&amp;D)'!$C$22)</f>
        <v>37.1733125</v>
      </c>
      <c r="AY3025" s="377">
        <f>(1/(1-'Assumptions (T&amp;D)'!AY$26))*(AY2862+AY2972+(AY2863-AY2972-AY2863*'Assumptions (T&amp;D)'!$C$25)*'Assumptions (T&amp;D)'!$C$22)</f>
        <v>38.32255807</v>
      </c>
      <c r="AZ3025" s="377">
        <f>(1/(1-'Assumptions (T&amp;D)'!AZ$26))*(AZ2862+AZ2972+(AZ2863-AZ2972-AZ2863*'Assumptions (T&amp;D)'!$C$25)*'Assumptions (T&amp;D)'!$C$22)</f>
        <v>39.50148805</v>
      </c>
      <c r="BA3025" s="377">
        <f>(1/(1-'Assumptions (T&amp;D)'!BA$26))*(BA2862+BA2972+(BA2863-BA2972-BA2863*'Assumptions (T&amp;D)'!$C$25)*'Assumptions (T&amp;D)'!$C$22)</f>
        <v>40.70761526</v>
      </c>
      <c r="BB3025" s="32"/>
      <c r="BC3025" s="32"/>
      <c r="BD3025" s="32"/>
      <c r="BE3025" s="32"/>
      <c r="BF3025" s="32"/>
      <c r="BG3025" s="32"/>
      <c r="BH3025" s="32"/>
      <c r="BI3025" s="32"/>
      <c r="BJ3025" s="32"/>
      <c r="BK3025" s="32"/>
      <c r="BL3025" s="32"/>
      <c r="BM3025" s="32"/>
      <c r="BN3025" s="32"/>
      <c r="BO3025" s="32"/>
      <c r="BP3025" s="32"/>
      <c r="BQ3025" s="32"/>
      <c r="BR3025" s="32"/>
      <c r="BS3025" s="32"/>
      <c r="BT3025" s="32"/>
      <c r="BU3025" s="32"/>
      <c r="BV3025" s="32"/>
      <c r="BW3025" s="32"/>
      <c r="BX3025" s="32"/>
      <c r="BY3025" s="32"/>
      <c r="BZ3025" s="32"/>
      <c r="CA3025" s="32"/>
      <c r="CB3025" s="32"/>
      <c r="CC3025" s="32"/>
      <c r="CD3025" s="32"/>
    </row>
    <row r="3026" ht="15.75" customHeight="1">
      <c r="A3026" s="365" t="s">
        <v>62</v>
      </c>
      <c r="B3026" s="159" t="s">
        <v>351</v>
      </c>
      <c r="C3026" s="372">
        <f>IF(C3025-C2862-C2973-C2920&gt;0,(1-'Assumptions (T&amp;D)'!C$26)*(C3025-C2862-C2973+C2920)-C2867+C2868+Model!C2973,C3025-C2862-C2867+C2868+C2920)</f>
        <v>30.40416379</v>
      </c>
      <c r="D3026" s="372">
        <f>IF(D3025-D2862-D2973-D2920&gt;0,(1-'Assumptions (T&amp;D)'!D$26)*(D3025-D2862-D2973+D2920)-D2867+D2868+Model!D2973,D3025-D2862-D2867+D2868+D2920)</f>
        <v>32.01661958</v>
      </c>
      <c r="E3026" s="372">
        <f>IF(E3025-E2862-E2973-E2920&gt;0,(1-'Assumptions (T&amp;D)'!E$26)*(E3025-E2862-E2973+E2920)-E2867+E2868+Model!E2973,E3025-E2862-E2867+E2868+E2920)</f>
        <v>33.26268384</v>
      </c>
      <c r="F3026" s="372">
        <f>IF(F3025-F2862-F2973-F2920&gt;0,(1-'Assumptions (T&amp;D)'!F$26)*(F3025-F2862-F2973+F2920)-F2867+F2868+Model!F2973,F3025-F2862-F2867+F2868+F2920)</f>
        <v>34.9053539</v>
      </c>
      <c r="G3026" s="372">
        <f>IF(G3025-G2862-G2973-G2920&gt;0,(1-'Assumptions (T&amp;D)'!G$26)*(G3025-G2862-G2973+G2920)-G2867+G2868+Model!G2973,G3025-G2862-G2867+G2868+G2920)</f>
        <v>36.51032911</v>
      </c>
      <c r="H3026" s="372">
        <f>IF(H3025-H2862-H2973-H2920&gt;0,(1-'Assumptions (T&amp;D)'!H$26)*(H3025-H2862-H2973+H2920)-H2867+H2868+Model!H2973,H3025-H2862-H2867+H2868+H2920)</f>
        <v>38.86637516</v>
      </c>
      <c r="I3026" s="372">
        <f>IF(I3025-I2862-I2973-I2920&gt;0,(1-'Assumptions (T&amp;D)'!I$26)*(I3025-I2862-I2973+I2920)-I2867+I2868+Model!I2973,I3025-I2862-I2867+I2868+I2920)</f>
        <v>39.97874521</v>
      </c>
      <c r="J3026" s="372">
        <f>IF(J3025-J2862-J2973-J2920&gt;0,(1-'Assumptions (T&amp;D)'!J$26)*(J3025-J2862-J2973+J2920)-J2867+J2868+Model!J2973,J3025-J2862-J2867+J2868+J2920)</f>
        <v>42.38277153</v>
      </c>
      <c r="K3026" s="372">
        <f>IF(K3025-K2862-K2973-K2920&gt;0,(1-'Assumptions (T&amp;D)'!K$26)*(K3025-K2862-K2973+K2920)-K2867+K2868+Model!K2973,K3025-K2862-K2867+K2868+K2920)</f>
        <v>44.39070837</v>
      </c>
      <c r="L3026" s="372">
        <f>IF(L3025-L2862-L2973-L2920&gt;0,(1-'Assumptions (T&amp;D)'!L$26)*(L3025-L2862-L2973+L2920)-L2867+L2868+Model!L2973,L3025-L2862-L2867+L2868+L2920)</f>
        <v>46.93878212</v>
      </c>
      <c r="M3026" s="372">
        <f>IF(M3025-M2862-M2973-M2920&gt;0,(1-'Assumptions (T&amp;D)'!M$26)*(M3025-M2862-M2973+M2920)-M2867+M2868+Model!M2973,M3025-M2862-M2867+M2868+M2920)</f>
        <v>50.25996826</v>
      </c>
      <c r="N3026" s="372">
        <f>IF(N3025-N2862-N2973-N2920&gt;0,(1-'Assumptions (T&amp;D)'!N$26)*(N3025-N2862-N2973+N2920)-N2867+N2868+Model!N2973,N3025-N2862-N2867+N2868+N2920)</f>
        <v>51.6246761</v>
      </c>
      <c r="O3026" s="372">
        <f>IF(O3025-O2862-O2973-O2920&gt;0,(1-'Assumptions (T&amp;D)'!O$26)*(O3025-O2862-O2973+O2920)-O2867+O2868+Model!O2973,O3025-O2862-O2867+O2868+O2920)</f>
        <v>53.99507904</v>
      </c>
      <c r="P3026" s="372">
        <f>IF(P3025-P2862-P2973-P2920&gt;0,(1-'Assumptions (T&amp;D)'!P$26)*(P3025-P2862-P2973+P2920)-P2867+P2868+Model!P2973,P3025-P2862-P2867+P2868+P2920)</f>
        <v>56.39325818</v>
      </c>
      <c r="Q3026" s="372">
        <f>IF(Q3025-Q2862-Q2973-Q2920&gt;0,(1-'Assumptions (T&amp;D)'!Q$26)*(Q3025-Q2862-Q2973+Q2920)-Q2867+Q2868+Model!Q2973,Q3025-Q2862-Q2867+Q2868+Q2920)</f>
        <v>58.90664257</v>
      </c>
      <c r="R3026" s="372">
        <f>IF(R3025-R2862-R2973-R2920&gt;0,(1-'Assumptions (T&amp;D)'!R$26)*(R3025-R2862-R2973+R2920)-R2867+R2868+Model!R2973,R3025-R2862-R2867+R2868+R2920)</f>
        <v>61.69349803</v>
      </c>
      <c r="S3026" s="372">
        <f>IF(S3025-S2862-S2973-S2920&gt;0,(1-'Assumptions (T&amp;D)'!S$26)*(S3025-S2862-S2973+S2920)-S2867+S2868+Model!S2973,S3025-S2862-S2867+S2868+S2920)</f>
        <v>64.45434068</v>
      </c>
      <c r="T3026" s="372">
        <f>IF(T3025-T2862-T2973-T2920&gt;0,(1-'Assumptions (T&amp;D)'!T$26)*(T3025-T2862-T2973+T2920)-T2867+T2868+Model!T2973,T3025-T2862-T2867+T2868+T2920)</f>
        <v>1.313815412</v>
      </c>
      <c r="U3026" s="372">
        <f>IF(U3025-U2862-U2973-U2920&gt;0,(1-'Assumptions (T&amp;D)'!U$26)*(U3025-U2862-U2973+U2920)-U2867+U2868+Model!U2973,U3025-U2862-U2867+U2868+U2920)</f>
        <v>-0.4450053946</v>
      </c>
      <c r="V3026" s="372">
        <f>IF(V3025-V2862-V2973-V2920&gt;0,(1-'Assumptions (T&amp;D)'!V$26)*(V3025-V2862-V2973+V2920)-V2867+V2868+Model!V2973,V3025-V2862-V2867+V2868+V2920)</f>
        <v>-0.2872640454</v>
      </c>
      <c r="W3026" s="372">
        <f>IF(W3025-W2862-W2973-W2920&gt;0,(1-'Assumptions (T&amp;D)'!W$26)*(W3025-W2862-W2973+W2920)-W2867+W2868+Model!W2973,W3025-W2862-W2867+W2868+W2920)</f>
        <v>-0.1901069759</v>
      </c>
      <c r="X3026" s="372">
        <f>IF(X3025-X2862-X2973-X2920&gt;0,(1-'Assumptions (T&amp;D)'!X$26)*(X3025-X2862-X2973+X2920)-X2867+X2868+Model!X2973,X3025-X2862-X2867+X2868+X2920)</f>
        <v>-0.09164473091</v>
      </c>
      <c r="Y3026" s="372">
        <f>IF(Y3025-Y2862-Y2973-Y2920&gt;0,(1-'Assumptions (T&amp;D)'!Y$26)*(Y3025-Y2862-Y2973+Y2920)-Y2867+Y2868+Model!Y2973,Y3025-Y2862-Y2867+Y2868+Y2920)</f>
        <v>0.01413674647</v>
      </c>
      <c r="Z3026" s="372">
        <f>IF(Z3025-Z2862-Z2973-Z2920&gt;0,(1-'Assumptions (T&amp;D)'!Z$26)*(Z3025-Z2862-Z2973+Z2920)-Z2867+Z2868+Model!Z2973,Z3025-Z2862-Z2867+Z2868+Z2920)</f>
        <v>0.1337193922</v>
      </c>
      <c r="AA3026" s="372">
        <f>IF(AA3025-AA2862-AA2973-AA2920&gt;0,(1-'Assumptions (T&amp;D)'!AA$26)*(AA3025-AA2862-AA2973+AA2920)-AA2867+AA2868+Model!AA2973,AA3025-AA2862-AA2867+AA2868+AA2920)</f>
        <v>0.2424682394</v>
      </c>
      <c r="AB3026" s="372">
        <f>IF(AB3025-AB2862-AB2973-AB2920&gt;0,(1-'Assumptions (T&amp;D)'!AB$26)*(AB3025-AB2862-AB2973+AB2920)-AB2867+AB2868+Model!AB2973,AB3025-AB2862-AB2867+AB2868+AB2920)</f>
        <v>0.3422052844</v>
      </c>
      <c r="AC3026" s="372">
        <f>IF(AC3025-AC2862-AC2973-AC2920&gt;0,(1-'Assumptions (T&amp;D)'!AC$26)*(AC3025-AC2862-AC2973+AC2920)-AC2867+AC2868+Model!AC2973,AC3025-AC2862-AC2867+AC2868+AC2920)</f>
        <v>0.4496487499</v>
      </c>
      <c r="AD3026" s="372">
        <f>IF(AD3025-AD2862-AD2973-AD2920&gt;0,(1-'Assumptions (T&amp;D)'!AD$26)*(AD3025-AD2862-AD2973+AD2920)-AD2867+AD2868+Model!AD2973,AD3025-AD2862-AD2867+AD2868+AD2920)</f>
        <v>0.551241162</v>
      </c>
      <c r="AE3026" s="372">
        <f>IF(AE3025-AE2862-AE2973-AE2920&gt;0,(1-'Assumptions (T&amp;D)'!AE$26)*(AE3025-AE2862-AE2973+AE2920)-AE2867+AE2868+Model!AE2973,AE3025-AE2862-AE2867+AE2868+AE2920)</f>
        <v>0.6612718464</v>
      </c>
      <c r="AF3026" s="372">
        <f>IF(AF3025-AF2862-AF2973-AF2920&gt;0,(1-'Assumptions (T&amp;D)'!AF$26)*(AF3025-AF2862-AF2973+AF2920)-AF2867+AF2868+Model!AF2973,AF3025-AF2862-AF2867+AF2868+AF2920)</f>
        <v>0.7787864538</v>
      </c>
      <c r="AG3026" s="372">
        <f>IF(AG3025-AG2862-AG2973-AG2920&gt;0,(1-'Assumptions (T&amp;D)'!AG$26)*(AG3025-AG2862-AG2973+AG2920)-AG2867+AG2868+Model!AG2973,AG3025-AG2862-AG2867+AG2868+AG2920)</f>
        <v>0.9176986867</v>
      </c>
      <c r="AH3026" s="372">
        <f>IF(AH3025-AH2862-AH2973-AH2920&gt;0,(1-'Assumptions (T&amp;D)'!AH$26)*(AH3025-AH2862-AH2973+AH2920)-AH2867+AH2868+Model!AH2973,AH3025-AH2862-AH2867+AH2868+AH2920)</f>
        <v>1.082029454</v>
      </c>
      <c r="AI3026" s="372">
        <f>IF(AI3025-AI2862-AI2973-AI2920&gt;0,(1-'Assumptions (T&amp;D)'!AI$26)*(AI3025-AI2862-AI2973+AI2920)-AI2867+AI2868+Model!AI2973,AI3025-AI2862-AI2867+AI2868+AI2920)</f>
        <v>1.219086348</v>
      </c>
      <c r="AJ3026" s="372">
        <f>IF(AJ3025-AJ2862-AJ2973-AJ2920&gt;0,(1-'Assumptions (T&amp;D)'!AJ$26)*(AJ3025-AJ2862-AJ2973+AJ2920)-AJ2867+AJ2868+Model!AJ2973,AJ3025-AJ2862-AJ2867+AJ2868+AJ2920)</f>
        <v>1.357701975</v>
      </c>
      <c r="AK3026" s="372">
        <f>IF(AK3025-AK2862-AK2973-AK2920&gt;0,(1-'Assumptions (T&amp;D)'!AK$26)*(AK3025-AK2862-AK2973+AK2920)-AK2867+AK2868+Model!AK2973,AK3025-AK2862-AK2867+AK2868+AK2920)</f>
        <v>1.501417681</v>
      </c>
      <c r="AL3026" s="372">
        <f>IF(AL3025-AL2862-AL2973-AL2920&gt;0,(1-'Assumptions (T&amp;D)'!AL$26)*(AL3025-AL2862-AL2973+AL2920)-AL2867+AL2868+Model!AL2973,AL3025-AL2862-AL2867+AL2868+AL2920)</f>
        <v>1.645353077</v>
      </c>
      <c r="AM3026" s="372">
        <f>IF(AM3025-AM2862-AM2973-AM2920&gt;0,(1-'Assumptions (T&amp;D)'!AM$26)*(AM3025-AM2862-AM2973+AM2920)-AM2867+AM2868+Model!AM2973,AM3025-AM2862-AM2867+AM2868+AM2920)</f>
        <v>1.790773863</v>
      </c>
      <c r="AN3026" s="372">
        <f>IF(AN3025-AN2862-AN2973-AN2920&gt;0,(1-'Assumptions (T&amp;D)'!AN$26)*(AN3025-AN2862-AN2973+AN2920)-AN2867+AN2868+Model!AN2973,AN3025-AN2862-AN2867+AN2868+AN2920)</f>
        <v>1.941656438</v>
      </c>
      <c r="AO3026" s="372">
        <f>IF(AO3025-AO2862-AO2973-AO2920&gt;0,(1-'Assumptions (T&amp;D)'!AO$26)*(AO3025-AO2862-AO2973+AO2920)-AO2867+AO2868+Model!AO2973,AO3025-AO2862-AO2867+AO2868+AO2920)</f>
        <v>2.101159151</v>
      </c>
      <c r="AP3026" s="372">
        <f>IF(AP3025-AP2862-AP2973-AP2920&gt;0,(1-'Assumptions (T&amp;D)'!AP$26)*(AP3025-AP2862-AP2973+AP2920)-AP2867+AP2868+Model!AP2973,AP3025-AP2862-AP2867+AP2868+AP2920)</f>
        <v>2.265425096</v>
      </c>
      <c r="AQ3026" s="372">
        <f>IF(AQ3025-AQ2862-AQ2973-AQ2920&gt;0,(1-'Assumptions (T&amp;D)'!AQ$26)*(AQ3025-AQ2862-AQ2973+AQ2920)-AQ2867+AQ2868+Model!AQ2973,AQ3025-AQ2862-AQ2867+AQ2868+AQ2920)</f>
        <v>2.434414062</v>
      </c>
      <c r="AR3026" s="372">
        <f>IF(AR3025-AR2862-AR2973-AR2920&gt;0,(1-'Assumptions (T&amp;D)'!AR$26)*(AR3025-AR2862-AR2973+AR2920)-AR2867+AR2868+Model!AR2973,AR3025-AR2862-AR2867+AR2868+AR2920)</f>
        <v>2.608230113</v>
      </c>
      <c r="AS3026" s="372">
        <f>IF(AS3025-AS2862-AS2973-AS2920&gt;0,(1-'Assumptions (T&amp;D)'!AS$26)*(AS3025-AS2862-AS2973+AS2920)-AS2867+AS2868+Model!AS2973,AS3025-AS2862-AS2867+AS2868+AS2920)</f>
        <v>2.786785393</v>
      </c>
      <c r="AT3026" s="372">
        <f>IF(AT3025-AT2862-AT2973-AT2920&gt;0,(1-'Assumptions (T&amp;D)'!AT$26)*(AT3025-AT2862-AT2973+AT2920)-AT2867+AT2868+Model!AT2973,AT3025-AT2862-AT2867+AT2868+AT2920)</f>
        <v>2.970420466</v>
      </c>
      <c r="AU3026" s="372">
        <f>IF(AU3025-AU2862-AU2973-AU2920&gt;0,(1-'Assumptions (T&amp;D)'!AU$26)*(AU3025-AU2862-AU2973+AU2920)-AU2867+AU2868+Model!AU2973,AU3025-AU2862-AU2867+AU2868+AU2920)</f>
        <v>3.15926633</v>
      </c>
      <c r="AV3026" s="372">
        <f>IF(AV3025-AV2862-AV2973-AV2920&gt;0,(1-'Assumptions (T&amp;D)'!AV$26)*(AV3025-AV2862-AV2973+AV2920)-AV2867+AV2868+Model!AV2973,AV3025-AV2862-AV2867+AV2868+AV2920)</f>
        <v>3.353457177</v>
      </c>
      <c r="AW3026" s="372">
        <f>IF(AW3025-AW2862-AW2973-AW2920&gt;0,(1-'Assumptions (T&amp;D)'!AW$26)*(AW3025-AW2862-AW2973+AW2920)-AW2867+AW2868+Model!AW2973,AW3025-AW2862-AW2867+AW2868+AW2920)</f>
        <v>3.553130463</v>
      </c>
      <c r="AX3026" s="372">
        <f>IF(AX3025-AX2862-AX2973-AX2920&gt;0,(1-'Assumptions (T&amp;D)'!AX$26)*(AX3025-AX2862-AX2973+AX2920)-AX2867+AX2868+Model!AX2973,AX3025-AX2862-AX2867+AX2868+AX2920)</f>
        <v>3.758426994</v>
      </c>
      <c r="AY3026" s="372">
        <f>IF(AY3025-AY2862-AY2973-AY2920&gt;0,(1-'Assumptions (T&amp;D)'!AY$26)*(AY3025-AY2862-AY2973+AY2920)-AY2867+AY2868+Model!AY2973,AY3025-AY2862-AY2867+AY2868+AY2920)</f>
        <v>3.969490994</v>
      </c>
      <c r="AZ3026" s="372">
        <f>IF(AZ3025-AZ2862-AZ2973-AZ2920&gt;0,(1-'Assumptions (T&amp;D)'!AZ$26)*(AZ3025-AZ2862-AZ2973+AZ2920)-AZ2867+AZ2868+Model!AZ2973,AZ3025-AZ2862-AZ2867+AZ2868+AZ2920)</f>
        <v>4.186470193</v>
      </c>
      <c r="BA3026" s="372">
        <f>IF(BA3025-BA2862-BA2973-BA2920&gt;0,(1-'Assumptions (T&amp;D)'!BA$26)*(BA3025-BA2862-BA2973+BA2920)-BA2867+BA2868+Model!BA2973,BA3025-BA2862-BA2867+BA2868+BA2920)</f>
        <v>4.458098807</v>
      </c>
      <c r="BB3026" s="32"/>
      <c r="BC3026" s="32"/>
      <c r="BD3026" s="32"/>
      <c r="BE3026" s="32"/>
      <c r="BF3026" s="32"/>
      <c r="BG3026" s="32"/>
      <c r="BH3026" s="32"/>
      <c r="BI3026" s="32"/>
      <c r="BJ3026" s="32"/>
      <c r="BK3026" s="32"/>
      <c r="BL3026" s="32"/>
      <c r="BM3026" s="32"/>
      <c r="BN3026" s="32"/>
      <c r="BO3026" s="32"/>
      <c r="BP3026" s="32"/>
      <c r="BQ3026" s="32"/>
      <c r="BR3026" s="32"/>
      <c r="BS3026" s="32"/>
      <c r="BT3026" s="32"/>
      <c r="BU3026" s="32"/>
      <c r="BV3026" s="32"/>
      <c r="BW3026" s="32"/>
      <c r="BX3026" s="32"/>
      <c r="BY3026" s="32"/>
      <c r="BZ3026" s="32"/>
      <c r="CA3026" s="32"/>
      <c r="CB3026" s="32"/>
      <c r="CC3026" s="32"/>
      <c r="CD3026" s="32"/>
    </row>
    <row r="3027" ht="15.75" customHeight="1">
      <c r="A3027" s="365" t="s">
        <v>375</v>
      </c>
      <c r="B3027" s="159" t="s">
        <v>351</v>
      </c>
      <c r="C3027" s="372">
        <f>IF(C3025-C2862-C2973-C2920&gt;0,'Assumptions (T&amp;D)'!C$26*(C3025-C2862-C2973+C2920),0)</f>
        <v>17.31088541</v>
      </c>
      <c r="D3027" s="372">
        <f>IF(D3025-D2862-D2973-D2920&gt;0,'Assumptions (T&amp;D)'!D$26*(D3025-D2862-D2973+D2920),0)</f>
        <v>18.1011744</v>
      </c>
      <c r="E3027" s="372">
        <f>IF(E3025-E2862-E2973-E2920&gt;0,'Assumptions (T&amp;D)'!E$26*(E3025-E2862-E2973+E2920),0)</f>
        <v>18.63911762</v>
      </c>
      <c r="F3027" s="372">
        <f>IF(F3025-F2862-F2973-F2920&gt;0,'Assumptions (T&amp;D)'!F$26*(F3025-F2862-F2973+F2920),0)</f>
        <v>19.4459497</v>
      </c>
      <c r="G3027" s="372">
        <f>IF(G3025-G2862-G2973-G2920&gt;0,'Assumptions (T&amp;D)'!G$26*(G3025-G2862-G2973+G2920),0)</f>
        <v>20.34917324</v>
      </c>
      <c r="H3027" s="372">
        <f>IF(H3025-H2862-H2973-H2920&gt;0,'Assumptions (T&amp;D)'!H$26*(H3025-H2862-H2973+H2920),0)</f>
        <v>21.53995083</v>
      </c>
      <c r="I3027" s="372">
        <f>IF(I3025-I2862-I2973-I2920&gt;0,'Assumptions (T&amp;D)'!I$26*(I3025-I2862-I2973+I2920),0)</f>
        <v>22.72544887</v>
      </c>
      <c r="J3027" s="372">
        <f>IF(J3025-J2862-J2973-J2920&gt;0,'Assumptions (T&amp;D)'!J$26*(J3025-J2862-J2973+J2920),0)</f>
        <v>23.60317765</v>
      </c>
      <c r="K3027" s="372">
        <f>IF(K3025-K2862-K2973-K2920&gt;0,'Assumptions (T&amp;D)'!K$26*(K3025-K2862-K2973+K2920),0)</f>
        <v>24.74151501</v>
      </c>
      <c r="L3027" s="372">
        <f>IF(L3025-L2862-L2973-L2920&gt;0,'Assumptions (T&amp;D)'!L$26*(L3025-L2862-L2973+L2920),0)</f>
        <v>25.97694206</v>
      </c>
      <c r="M3027" s="372">
        <f>IF(M3025-M2862-M2973-M2920&gt;0,'Assumptions (T&amp;D)'!M$26*(M3025-M2862-M2973+M2920),0)</f>
        <v>27.66134556</v>
      </c>
      <c r="N3027" s="372">
        <f>IF(N3025-N2862-N2973-N2920&gt;0,'Assumptions (T&amp;D)'!N$26*(N3025-N2862-N2973+N2920),0)</f>
        <v>28.51014198</v>
      </c>
      <c r="O3027" s="372">
        <f>IF(O3025-O2862-O2973-O2920&gt;0,'Assumptions (T&amp;D)'!O$26*(O3025-O2862-O2973+O2920),0)</f>
        <v>29.74166507</v>
      </c>
      <c r="P3027" s="372">
        <f>IF(P3025-P2862-P2973-P2920&gt;0,'Assumptions (T&amp;D)'!P$26*(P3025-P2862-P2973+P2920),0)</f>
        <v>31.04923095</v>
      </c>
      <c r="Q3027" s="372">
        <f>IF(Q3025-Q2862-Q2973-Q2920&gt;0,'Assumptions (T&amp;D)'!Q$26*(Q3025-Q2862-Q2973+Q2920),0)</f>
        <v>32.43969797</v>
      </c>
      <c r="R3027" s="372">
        <f>IF(R3025-R2862-R2973-R2920&gt;0,'Assumptions (T&amp;D)'!R$26*(R3025-R2862-R2973+R2920),0)</f>
        <v>34.00820498</v>
      </c>
      <c r="S3027" s="372">
        <f>IF(S3025-S2862-S2973-S2920&gt;0,'Assumptions (T&amp;D)'!S$26*(S3025-S2862-S2973+S2920),0)</f>
        <v>35.60983828</v>
      </c>
      <c r="T3027" s="372">
        <f>IF(T3025-T2862-T2973-T2920&gt;0,'Assumptions (T&amp;D)'!T$26*(T3025-T2862-T2973+T2920),0)</f>
        <v>1.283973866</v>
      </c>
      <c r="U3027" s="372">
        <f>IF(U3025-U2862-U2973-U2920&gt;0,'Assumptions (T&amp;D)'!U$26*(U3025-U2862-U2973+U2920),0)</f>
        <v>0.1311375344</v>
      </c>
      <c r="V3027" s="372">
        <f>IF(V3025-V2862-V2973-V2920&gt;0,'Assumptions (T&amp;D)'!V$26*(V3025-V2862-V2973+V2920),0)</f>
        <v>0.1553381303</v>
      </c>
      <c r="W3027" s="372">
        <f>IF(W3025-W2862-W2973-W2920&gt;0,'Assumptions (T&amp;D)'!W$26*(W3025-W2862-W2973+W2920),0)</f>
        <v>0.1684439094</v>
      </c>
      <c r="X3027" s="372">
        <f>IF(X3025-X2862-X2973-X2920&gt;0,'Assumptions (T&amp;D)'!X$26*(X3025-X2862-X2973+X2920),0)</f>
        <v>0.1948696563</v>
      </c>
      <c r="Y3027" s="372">
        <f>IF(Y3025-Y2862-Y2973-Y2920&gt;0,'Assumptions (T&amp;D)'!Y$26*(Y3025-Y2862-Y2973+Y2920),0)</f>
        <v>0.2247318634</v>
      </c>
      <c r="Z3027" s="372">
        <f>IF(Z3025-Z2862-Z2973-Z2920&gt;0,'Assumptions (T&amp;D)'!Z$26*(Z3025-Z2862-Z2973+Z2920),0)</f>
        <v>0.2532549898</v>
      </c>
      <c r="AA3027" s="372">
        <f>IF(AA3025-AA2862-AA2973-AA2920&gt;0,'Assumptions (T&amp;D)'!AA$26*(AA3025-AA2862-AA2973+AA2920),0)</f>
        <v>0.2821780846</v>
      </c>
      <c r="AB3027" s="372">
        <f>IF(AB3025-AB2862-AB2973-AB2920&gt;0,'Assumptions (T&amp;D)'!AB$26*(AB3025-AB2862-AB2973+AB2920),0)</f>
        <v>0.3119458919</v>
      </c>
      <c r="AC3027" s="372">
        <f>IF(AC3025-AC2862-AC2973-AC2920&gt;0,'Assumptions (T&amp;D)'!AC$26*(AC3025-AC2862-AC2973+AC2920),0)</f>
        <v>0.3508588517</v>
      </c>
      <c r="AD3027" s="372">
        <f>IF(AD3025-AD2862-AD2973-AD2920&gt;0,'Assumptions (T&amp;D)'!AD$26*(AD3025-AD2862-AD2973+AD2920),0)</f>
        <v>0.3942739904</v>
      </c>
      <c r="AE3027" s="372">
        <f>IF(AE3025-AE2862-AE2973-AE2920&gt;0,'Assumptions (T&amp;D)'!AE$26*(AE3025-AE2862-AE2973+AE2920),0)</f>
        <v>0.4344887472</v>
      </c>
      <c r="AF3027" s="372">
        <f>IF(AF3025-AF2862-AF2973-AF2920&gt;0,'Assumptions (T&amp;D)'!AF$26*(AF3025-AF2862-AF2973+AF2920),0)</f>
        <v>0.4751464145</v>
      </c>
      <c r="AG3027" s="372">
        <f>IF(AG3025-AG2862-AG2973-AG2920&gt;0,'Assumptions (T&amp;D)'!AG$26*(AG3025-AG2862-AG2973+AG2920),0)</f>
        <v>0.513664833</v>
      </c>
      <c r="AH3027" s="372">
        <f>IF(AH3025-AH2862-AH2973-AH2920&gt;0,'Assumptions (T&amp;D)'!AH$26*(AH3025-AH2862-AH2973+AH2920),0)</f>
        <v>0.5532766501</v>
      </c>
      <c r="AI3027" s="372">
        <f>IF(AI3025-AI2862-AI2973-AI2920&gt;0,'Assumptions (T&amp;D)'!AI$26*(AI3025-AI2862-AI2973+AI2920),0)</f>
        <v>0.5946069664</v>
      </c>
      <c r="AJ3027" s="372">
        <f>IF(AJ3025-AJ2862-AJ2973-AJ2920&gt;0,'Assumptions (T&amp;D)'!AJ$26*(AJ3025-AJ2862-AJ2973+AJ2920),0)</f>
        <v>0.636512956</v>
      </c>
      <c r="AK3027" s="372">
        <f>IF(AK3025-AK2862-AK2973-AK2920&gt;0,'Assumptions (T&amp;D)'!AK$26*(AK3025-AK2862-AK2973+AK2920),0)</f>
        <v>0.6801726546</v>
      </c>
      <c r="AL3027" s="372">
        <f>IF(AL3025-AL2862-AL2973-AL2920&gt;0,'Assumptions (T&amp;D)'!AL$26*(AL3025-AL2862-AL2973+AL2920),0)</f>
        <v>0.7273062508</v>
      </c>
      <c r="AM3027" s="372">
        <f>IF(AM3025-AM2862-AM2973-AM2920&gt;0,'Assumptions (T&amp;D)'!AM$26*(AM3025-AM2862-AM2973+AM2920),0)</f>
        <v>0.780230344</v>
      </c>
      <c r="AN3027" s="372">
        <f>IF(AN3025-AN2862-AN2973-AN2920&gt;0,'Assumptions (T&amp;D)'!AN$26*(AN3025-AN2862-AN2973+AN2920),0)</f>
        <v>0.8333919904</v>
      </c>
      <c r="AO3027" s="372">
        <f>IF(AO3025-AO2862-AO2973-AO2920&gt;0,'Assumptions (T&amp;D)'!AO$26*(AO3025-AO2862-AO2973+AO2920),0)</f>
        <v>0.883780592</v>
      </c>
      <c r="AP3027" s="372">
        <f>IF(AP3025-AP2862-AP2973-AP2920&gt;0,'Assumptions (T&amp;D)'!AP$26*(AP3025-AP2862-AP2973+AP2920),0)</f>
        <v>0.9354044168</v>
      </c>
      <c r="AQ3027" s="372">
        <f>IF(AQ3025-AQ2862-AQ2973-AQ2920&gt;0,'Assumptions (T&amp;D)'!AQ$26*(AQ3025-AQ2862-AQ2973+AQ2920),0)</f>
        <v>0.9884587374</v>
      </c>
      <c r="AR3027" s="372">
        <f>IF(AR3025-AR2862-AR2973-AR2920&gt;0,'Assumptions (T&amp;D)'!AR$26*(AR3025-AR2862-AR2973+AR2920),0)</f>
        <v>1.042998336</v>
      </c>
      <c r="AS3027" s="372">
        <f>IF(AS3025-AS2862-AS2973-AS2920&gt;0,'Assumptions (T&amp;D)'!AS$26*(AS3025-AS2862-AS2973+AS2920),0)</f>
        <v>1.099273786</v>
      </c>
      <c r="AT3027" s="372">
        <f>IF(AT3025-AT2862-AT2973-AT2920&gt;0,'Assumptions (T&amp;D)'!AT$26*(AT3025-AT2862-AT2973+AT2920),0)</f>
        <v>1.15711121</v>
      </c>
      <c r="AU3027" s="372">
        <f>IF(AU3025-AU2862-AU2973-AU2920&gt;0,'Assumptions (T&amp;D)'!AU$26*(AU3025-AU2862-AU2973+AU2920),0)</f>
        <v>1.216550353</v>
      </c>
      <c r="AV3027" s="372">
        <f>IF(AV3025-AV2862-AV2973-AV2920&gt;0,'Assumptions (T&amp;D)'!AV$26*(AV3025-AV2862-AV2973+AV2920),0)</f>
        <v>1.277631919</v>
      </c>
      <c r="AW3027" s="372">
        <f>IF(AW3025-AW2862-AW2973-AW2920&gt;0,'Assumptions (T&amp;D)'!AW$26*(AW3025-AW2862-AW2973+AW2920),0)</f>
        <v>1.340397599</v>
      </c>
      <c r="AX3027" s="372">
        <f>IF(AX3025-AX2862-AX2973-AX2920&gt;0,'Assumptions (T&amp;D)'!AX$26*(AX3025-AX2862-AX2973+AX2920),0)</f>
        <v>1.404890087</v>
      </c>
      <c r="AY3027" s="372">
        <f>IF(AY3025-AY2862-AY2973-AY2920&gt;0,'Assumptions (T&amp;D)'!AY$26*(AY3025-AY2862-AY2973+AY2920),0)</f>
        <v>1.471153107</v>
      </c>
      <c r="AZ3027" s="372">
        <f>IF(AZ3025-AZ2862-AZ2973-AZ2920&gt;0,'Assumptions (T&amp;D)'!AZ$26*(AZ3025-AZ2862-AZ2973+AZ2920),0)</f>
        <v>1.539231438</v>
      </c>
      <c r="BA3027" s="372">
        <f>IF(BA3025-BA2862-BA2973-BA2920&gt;0,'Assumptions (T&amp;D)'!BA$26*(BA3025-BA2862-BA2973+BA2920),0)</f>
        <v>1.609465409</v>
      </c>
      <c r="BB3027" s="32"/>
      <c r="BC3027" s="32"/>
      <c r="BD3027" s="32"/>
      <c r="BE3027" s="32"/>
      <c r="BF3027" s="32"/>
      <c r="BG3027" s="32"/>
      <c r="BH3027" s="32"/>
      <c r="BI3027" s="32"/>
      <c r="BJ3027" s="32"/>
      <c r="BK3027" s="32"/>
      <c r="BL3027" s="32"/>
      <c r="BM3027" s="32"/>
      <c r="BN3027" s="32"/>
      <c r="BO3027" s="32"/>
      <c r="BP3027" s="32"/>
      <c r="BQ3027" s="32"/>
      <c r="BR3027" s="32"/>
      <c r="BS3027" s="32"/>
      <c r="BT3027" s="32"/>
      <c r="BU3027" s="32"/>
      <c r="BV3027" s="32"/>
      <c r="BW3027" s="32"/>
      <c r="BX3027" s="32"/>
      <c r="BY3027" s="32"/>
      <c r="BZ3027" s="32"/>
      <c r="CA3027" s="32"/>
      <c r="CB3027" s="32"/>
      <c r="CC3027" s="32"/>
      <c r="CD3027" s="32"/>
    </row>
    <row r="3028" ht="15.75" customHeight="1">
      <c r="A3028" s="378" t="s">
        <v>453</v>
      </c>
      <c r="B3028" s="380"/>
      <c r="C3028" s="215"/>
      <c r="D3028" s="215"/>
      <c r="E3028" s="215"/>
      <c r="F3028" s="215"/>
      <c r="G3028" s="215"/>
      <c r="H3028" s="215"/>
      <c r="I3028" s="215"/>
      <c r="J3028" s="215"/>
      <c r="K3028" s="215"/>
      <c r="L3028" s="215"/>
      <c r="M3028" s="215"/>
      <c r="N3028" s="215"/>
      <c r="O3028" s="215"/>
      <c r="P3028" s="215"/>
      <c r="Q3028" s="215"/>
      <c r="R3028" s="215"/>
      <c r="S3028" s="215"/>
      <c r="T3028" s="215"/>
      <c r="U3028" s="215"/>
      <c r="V3028" s="215"/>
      <c r="W3028" s="215"/>
      <c r="X3028" s="215"/>
      <c r="Y3028" s="215"/>
      <c r="Z3028" s="215"/>
      <c r="AA3028" s="215"/>
      <c r="AB3028" s="215"/>
      <c r="AC3028" s="215"/>
      <c r="AD3028" s="215"/>
      <c r="AE3028" s="215"/>
      <c r="AF3028" s="215"/>
      <c r="AG3028" s="215"/>
      <c r="AH3028" s="215"/>
      <c r="AI3028" s="215"/>
      <c r="AJ3028" s="215"/>
      <c r="AK3028" s="215"/>
      <c r="AL3028" s="215"/>
      <c r="AM3028" s="215"/>
      <c r="AN3028" s="215"/>
      <c r="AO3028" s="215"/>
      <c r="AP3028" s="215"/>
      <c r="AQ3028" s="215"/>
      <c r="AR3028" s="215"/>
      <c r="AS3028" s="215"/>
      <c r="AT3028" s="215"/>
      <c r="AU3028" s="215"/>
      <c r="AV3028" s="215"/>
      <c r="AW3028" s="215"/>
      <c r="AX3028" s="215"/>
      <c r="AY3028" s="215"/>
      <c r="AZ3028" s="215"/>
      <c r="BA3028" s="215"/>
      <c r="BB3028" s="32"/>
      <c r="BC3028" s="32"/>
      <c r="BD3028" s="32"/>
      <c r="BE3028" s="32"/>
      <c r="BF3028" s="32"/>
      <c r="BG3028" s="32"/>
      <c r="BH3028" s="32"/>
      <c r="BI3028" s="32"/>
      <c r="BJ3028" s="32"/>
      <c r="BK3028" s="32"/>
      <c r="BL3028" s="32"/>
      <c r="BM3028" s="32"/>
      <c r="BN3028" s="32"/>
      <c r="BO3028" s="32"/>
      <c r="BP3028" s="32"/>
      <c r="BQ3028" s="32"/>
      <c r="BR3028" s="32"/>
      <c r="BS3028" s="32"/>
      <c r="BT3028" s="32"/>
      <c r="BU3028" s="32"/>
      <c r="BV3028" s="32"/>
      <c r="BW3028" s="32"/>
      <c r="BX3028" s="32"/>
      <c r="BY3028" s="32"/>
      <c r="BZ3028" s="32"/>
      <c r="CA3028" s="32"/>
      <c r="CB3028" s="32"/>
      <c r="CC3028" s="32"/>
      <c r="CD3028" s="32"/>
    </row>
    <row r="3029" ht="15.75" customHeight="1">
      <c r="A3029" s="365" t="s">
        <v>404</v>
      </c>
      <c r="B3029" s="381" t="s">
        <v>351</v>
      </c>
      <c r="C3029" s="382">
        <v>0.0</v>
      </c>
      <c r="D3029" s="382">
        <v>0.0</v>
      </c>
      <c r="E3029" s="382">
        <v>0.0</v>
      </c>
      <c r="F3029" s="382">
        <v>0.0</v>
      </c>
      <c r="G3029" s="382">
        <v>0.0</v>
      </c>
      <c r="H3029" s="382">
        <v>0.0</v>
      </c>
      <c r="I3029" s="382">
        <v>0.0</v>
      </c>
      <c r="J3029" s="382">
        <v>0.0</v>
      </c>
      <c r="K3029" s="382">
        <v>0.0</v>
      </c>
      <c r="L3029" s="382">
        <v>0.0</v>
      </c>
      <c r="M3029" s="382">
        <v>0.0</v>
      </c>
      <c r="N3029" s="382">
        <v>0.0</v>
      </c>
      <c r="O3029" s="382">
        <v>0.0</v>
      </c>
      <c r="P3029" s="382">
        <v>0.0</v>
      </c>
      <c r="Q3029" s="382">
        <v>0.0</v>
      </c>
      <c r="R3029" s="382">
        <v>0.0</v>
      </c>
      <c r="S3029" s="382">
        <v>0.0</v>
      </c>
      <c r="T3029" s="382">
        <v>0.0</v>
      </c>
      <c r="U3029" s="382">
        <v>0.0</v>
      </c>
      <c r="V3029" s="382">
        <v>0.0</v>
      </c>
      <c r="W3029" s="382">
        <v>0.0</v>
      </c>
      <c r="X3029" s="382">
        <v>0.0</v>
      </c>
      <c r="Y3029" s="382">
        <v>0.0</v>
      </c>
      <c r="Z3029" s="382">
        <v>0.0</v>
      </c>
      <c r="AA3029" s="382">
        <v>0.0</v>
      </c>
      <c r="AB3029" s="382">
        <v>0.0</v>
      </c>
      <c r="AC3029" s="382">
        <v>0.0</v>
      </c>
      <c r="AD3029" s="382">
        <v>0.0</v>
      </c>
      <c r="AE3029" s="382">
        <v>0.0</v>
      </c>
      <c r="AF3029" s="382">
        <v>0.0</v>
      </c>
      <c r="AG3029" s="382">
        <v>0.0</v>
      </c>
      <c r="AH3029" s="382">
        <v>0.0</v>
      </c>
      <c r="AI3029" s="382">
        <v>0.0</v>
      </c>
      <c r="AJ3029" s="382">
        <v>0.0</v>
      </c>
      <c r="AK3029" s="382">
        <v>0.0</v>
      </c>
      <c r="AL3029" s="382">
        <v>0.0</v>
      </c>
      <c r="AM3029" s="382">
        <v>0.0</v>
      </c>
      <c r="AN3029" s="382">
        <v>0.0</v>
      </c>
      <c r="AO3029" s="382">
        <v>0.0</v>
      </c>
      <c r="AP3029" s="382">
        <v>0.0</v>
      </c>
      <c r="AQ3029" s="382">
        <v>0.0</v>
      </c>
      <c r="AR3029" s="382">
        <v>0.0</v>
      </c>
      <c r="AS3029" s="382">
        <v>0.0</v>
      </c>
      <c r="AT3029" s="382">
        <v>0.0</v>
      </c>
      <c r="AU3029" s="382">
        <v>0.0</v>
      </c>
      <c r="AV3029" s="382">
        <v>0.0</v>
      </c>
      <c r="AW3029" s="382">
        <v>0.0</v>
      </c>
      <c r="AX3029" s="382">
        <v>0.0</v>
      </c>
      <c r="AY3029" s="382">
        <v>0.0</v>
      </c>
      <c r="AZ3029" s="382">
        <v>0.0</v>
      </c>
      <c r="BA3029" s="382">
        <v>0.0</v>
      </c>
      <c r="BB3029" s="32"/>
      <c r="BC3029" s="32"/>
      <c r="BD3029" s="32"/>
      <c r="BE3029" s="32"/>
      <c r="BF3029" s="32"/>
      <c r="BG3029" s="32"/>
      <c r="BH3029" s="32"/>
      <c r="BI3029" s="32"/>
      <c r="BJ3029" s="32"/>
      <c r="BK3029" s="32"/>
      <c r="BL3029" s="32"/>
      <c r="BM3029" s="32"/>
      <c r="BN3029" s="32"/>
      <c r="BO3029" s="32"/>
      <c r="BP3029" s="32"/>
      <c r="BQ3029" s="32"/>
      <c r="BR3029" s="32"/>
      <c r="BS3029" s="32"/>
      <c r="BT3029" s="32"/>
      <c r="BU3029" s="32"/>
      <c r="BV3029" s="32"/>
      <c r="BW3029" s="32"/>
      <c r="BX3029" s="32"/>
      <c r="BY3029" s="32"/>
      <c r="BZ3029" s="32"/>
      <c r="CA3029" s="32"/>
      <c r="CB3029" s="32"/>
      <c r="CC3029" s="32"/>
      <c r="CD3029" s="32"/>
    </row>
    <row r="3030" ht="15.75" customHeight="1">
      <c r="A3030" s="368" t="s">
        <v>450</v>
      </c>
      <c r="B3030" s="383" t="s">
        <v>351</v>
      </c>
      <c r="C3030" s="382">
        <v>0.0</v>
      </c>
      <c r="D3030" s="382">
        <v>0.0</v>
      </c>
      <c r="E3030" s="382">
        <v>0.0</v>
      </c>
      <c r="F3030" s="382">
        <v>0.0</v>
      </c>
      <c r="G3030" s="382">
        <v>0.0</v>
      </c>
      <c r="H3030" s="382">
        <v>0.0</v>
      </c>
      <c r="I3030" s="382">
        <v>0.0</v>
      </c>
      <c r="J3030" s="382">
        <v>0.0</v>
      </c>
      <c r="K3030" s="382">
        <v>0.0</v>
      </c>
      <c r="L3030" s="382">
        <v>0.0</v>
      </c>
      <c r="M3030" s="382">
        <v>0.0</v>
      </c>
      <c r="N3030" s="382">
        <v>0.0</v>
      </c>
      <c r="O3030" s="382">
        <v>0.0</v>
      </c>
      <c r="P3030" s="382">
        <v>0.0</v>
      </c>
      <c r="Q3030" s="382">
        <v>0.0</v>
      </c>
      <c r="R3030" s="382">
        <v>0.0</v>
      </c>
      <c r="S3030" s="382">
        <v>0.0</v>
      </c>
      <c r="T3030" s="382">
        <v>0.0</v>
      </c>
      <c r="U3030" s="382">
        <v>0.0</v>
      </c>
      <c r="V3030" s="382">
        <v>0.0</v>
      </c>
      <c r="W3030" s="382">
        <v>0.0</v>
      </c>
      <c r="X3030" s="382">
        <v>0.0</v>
      </c>
      <c r="Y3030" s="382">
        <v>0.0</v>
      </c>
      <c r="Z3030" s="382">
        <v>0.0</v>
      </c>
      <c r="AA3030" s="382">
        <v>0.0</v>
      </c>
      <c r="AB3030" s="382">
        <v>0.0</v>
      </c>
      <c r="AC3030" s="382">
        <v>0.0</v>
      </c>
      <c r="AD3030" s="382">
        <v>0.0</v>
      </c>
      <c r="AE3030" s="382">
        <v>0.0</v>
      </c>
      <c r="AF3030" s="382">
        <v>0.0</v>
      </c>
      <c r="AG3030" s="382">
        <v>0.0</v>
      </c>
      <c r="AH3030" s="382">
        <v>0.0</v>
      </c>
      <c r="AI3030" s="382">
        <v>0.0</v>
      </c>
      <c r="AJ3030" s="382">
        <v>0.0</v>
      </c>
      <c r="AK3030" s="382">
        <v>0.0</v>
      </c>
      <c r="AL3030" s="382">
        <v>0.0</v>
      </c>
      <c r="AM3030" s="382">
        <v>0.0</v>
      </c>
      <c r="AN3030" s="382">
        <v>0.0</v>
      </c>
      <c r="AO3030" s="382">
        <v>0.0</v>
      </c>
      <c r="AP3030" s="382">
        <v>0.0</v>
      </c>
      <c r="AQ3030" s="382">
        <v>0.0</v>
      </c>
      <c r="AR3030" s="382">
        <v>0.0</v>
      </c>
      <c r="AS3030" s="382">
        <v>0.0</v>
      </c>
      <c r="AT3030" s="382">
        <v>0.0</v>
      </c>
      <c r="AU3030" s="382">
        <v>0.0</v>
      </c>
      <c r="AV3030" s="382">
        <v>0.0</v>
      </c>
      <c r="AW3030" s="382">
        <v>0.0</v>
      </c>
      <c r="AX3030" s="382">
        <v>0.0</v>
      </c>
      <c r="AY3030" s="382">
        <v>0.0</v>
      </c>
      <c r="AZ3030" s="382">
        <v>0.0</v>
      </c>
      <c r="BA3030" s="382">
        <v>0.0</v>
      </c>
      <c r="BB3030" s="32"/>
      <c r="BC3030" s="32"/>
      <c r="BD3030" s="32"/>
      <c r="BE3030" s="32"/>
      <c r="BF3030" s="32"/>
      <c r="BG3030" s="32"/>
      <c r="BH3030" s="32"/>
      <c r="BI3030" s="32"/>
      <c r="BJ3030" s="32"/>
      <c r="BK3030" s="32"/>
      <c r="BL3030" s="32"/>
      <c r="BM3030" s="32"/>
      <c r="BN3030" s="32"/>
      <c r="BO3030" s="32"/>
      <c r="BP3030" s="32"/>
      <c r="BQ3030" s="32"/>
      <c r="BR3030" s="32"/>
      <c r="BS3030" s="32"/>
      <c r="BT3030" s="32"/>
      <c r="BU3030" s="32"/>
      <c r="BV3030" s="32"/>
      <c r="BW3030" s="32"/>
      <c r="BX3030" s="32"/>
      <c r="BY3030" s="32"/>
      <c r="BZ3030" s="32"/>
      <c r="CA3030" s="32"/>
      <c r="CB3030" s="32"/>
      <c r="CC3030" s="32"/>
      <c r="CD3030" s="32"/>
    </row>
    <row r="3031" ht="15.75" customHeight="1">
      <c r="A3031" s="365" t="s">
        <v>451</v>
      </c>
      <c r="B3031" s="381" t="s">
        <v>351</v>
      </c>
      <c r="C3031" s="382">
        <v>0.0</v>
      </c>
      <c r="D3031" s="382">
        <v>0.0</v>
      </c>
      <c r="E3031" s="382">
        <v>0.0</v>
      </c>
      <c r="F3031" s="382">
        <v>0.0</v>
      </c>
      <c r="G3031" s="382">
        <v>0.0</v>
      </c>
      <c r="H3031" s="382">
        <v>0.0</v>
      </c>
      <c r="I3031" s="382">
        <v>0.0</v>
      </c>
      <c r="J3031" s="382">
        <v>0.0</v>
      </c>
      <c r="K3031" s="382">
        <v>0.0</v>
      </c>
      <c r="L3031" s="382">
        <v>0.0</v>
      </c>
      <c r="M3031" s="382">
        <v>0.0</v>
      </c>
      <c r="N3031" s="382">
        <v>0.0</v>
      </c>
      <c r="O3031" s="382">
        <v>0.0</v>
      </c>
      <c r="P3031" s="382">
        <v>0.0</v>
      </c>
      <c r="Q3031" s="382">
        <v>0.0</v>
      </c>
      <c r="R3031" s="382">
        <v>0.0</v>
      </c>
      <c r="S3031" s="382">
        <v>0.0</v>
      </c>
      <c r="T3031" s="382">
        <v>0.0</v>
      </c>
      <c r="U3031" s="382">
        <v>0.0</v>
      </c>
      <c r="V3031" s="382">
        <v>0.0</v>
      </c>
      <c r="W3031" s="382">
        <v>0.0</v>
      </c>
      <c r="X3031" s="382">
        <v>0.0</v>
      </c>
      <c r="Y3031" s="382">
        <v>0.0</v>
      </c>
      <c r="Z3031" s="382">
        <v>0.0</v>
      </c>
      <c r="AA3031" s="382">
        <v>0.0</v>
      </c>
      <c r="AB3031" s="382">
        <v>0.0</v>
      </c>
      <c r="AC3031" s="382">
        <v>0.0</v>
      </c>
      <c r="AD3031" s="382">
        <v>0.0</v>
      </c>
      <c r="AE3031" s="382">
        <v>0.0</v>
      </c>
      <c r="AF3031" s="382">
        <v>0.0</v>
      </c>
      <c r="AG3031" s="382">
        <v>0.0</v>
      </c>
      <c r="AH3031" s="382">
        <v>0.0</v>
      </c>
      <c r="AI3031" s="382">
        <v>0.0</v>
      </c>
      <c r="AJ3031" s="382">
        <v>0.0</v>
      </c>
      <c r="AK3031" s="382">
        <v>0.0</v>
      </c>
      <c r="AL3031" s="382">
        <v>0.0</v>
      </c>
      <c r="AM3031" s="382">
        <v>0.0</v>
      </c>
      <c r="AN3031" s="382">
        <v>0.0</v>
      </c>
      <c r="AO3031" s="382">
        <v>0.0</v>
      </c>
      <c r="AP3031" s="382">
        <v>0.0</v>
      </c>
      <c r="AQ3031" s="382">
        <v>0.0</v>
      </c>
      <c r="AR3031" s="382">
        <v>0.0</v>
      </c>
      <c r="AS3031" s="382">
        <v>0.0</v>
      </c>
      <c r="AT3031" s="382">
        <v>0.0</v>
      </c>
      <c r="AU3031" s="382">
        <v>0.0</v>
      </c>
      <c r="AV3031" s="382">
        <v>0.0</v>
      </c>
      <c r="AW3031" s="382">
        <v>0.0</v>
      </c>
      <c r="AX3031" s="382">
        <v>0.0</v>
      </c>
      <c r="AY3031" s="382">
        <v>0.0</v>
      </c>
      <c r="AZ3031" s="382">
        <v>0.0</v>
      </c>
      <c r="BA3031" s="382">
        <v>0.0</v>
      </c>
      <c r="BB3031" s="32"/>
      <c r="BC3031" s="32"/>
      <c r="BD3031" s="32"/>
      <c r="BE3031" s="32"/>
      <c r="BF3031" s="32"/>
      <c r="BG3031" s="32"/>
      <c r="BH3031" s="32"/>
      <c r="BI3031" s="32"/>
      <c r="BJ3031" s="32"/>
      <c r="BK3031" s="32"/>
      <c r="BL3031" s="32"/>
      <c r="BM3031" s="32"/>
      <c r="BN3031" s="32"/>
      <c r="BO3031" s="32"/>
      <c r="BP3031" s="32"/>
      <c r="BQ3031" s="32"/>
      <c r="BR3031" s="32"/>
      <c r="BS3031" s="32"/>
      <c r="BT3031" s="32"/>
      <c r="BU3031" s="32"/>
      <c r="BV3031" s="32"/>
      <c r="BW3031" s="32"/>
      <c r="BX3031" s="32"/>
      <c r="BY3031" s="32"/>
      <c r="BZ3031" s="32"/>
      <c r="CA3031" s="32"/>
      <c r="CB3031" s="32"/>
      <c r="CC3031" s="32"/>
      <c r="CD3031" s="32"/>
    </row>
    <row r="3032" ht="15.75" customHeight="1">
      <c r="A3032" s="365" t="s">
        <v>358</v>
      </c>
      <c r="B3032" s="381" t="s">
        <v>351</v>
      </c>
      <c r="C3032" s="382">
        <v>0.0</v>
      </c>
      <c r="D3032" s="382">
        <v>0.0</v>
      </c>
      <c r="E3032" s="382">
        <v>0.0</v>
      </c>
      <c r="F3032" s="382">
        <v>0.0</v>
      </c>
      <c r="G3032" s="382">
        <v>0.0</v>
      </c>
      <c r="H3032" s="382">
        <v>0.0</v>
      </c>
      <c r="I3032" s="382">
        <v>0.0</v>
      </c>
      <c r="J3032" s="382">
        <v>0.0</v>
      </c>
      <c r="K3032" s="382">
        <v>0.0</v>
      </c>
      <c r="L3032" s="382">
        <v>0.0</v>
      </c>
      <c r="M3032" s="382">
        <v>0.0</v>
      </c>
      <c r="N3032" s="382">
        <v>0.0</v>
      </c>
      <c r="O3032" s="382">
        <v>0.0</v>
      </c>
      <c r="P3032" s="382">
        <v>0.0</v>
      </c>
      <c r="Q3032" s="382">
        <v>0.0</v>
      </c>
      <c r="R3032" s="382">
        <v>0.0</v>
      </c>
      <c r="S3032" s="382">
        <v>0.0</v>
      </c>
      <c r="T3032" s="382">
        <v>0.0</v>
      </c>
      <c r="U3032" s="382">
        <v>0.0</v>
      </c>
      <c r="V3032" s="382">
        <v>0.0</v>
      </c>
      <c r="W3032" s="382">
        <v>0.0</v>
      </c>
      <c r="X3032" s="382">
        <v>0.0</v>
      </c>
      <c r="Y3032" s="382">
        <v>0.0</v>
      </c>
      <c r="Z3032" s="382">
        <v>0.0</v>
      </c>
      <c r="AA3032" s="382">
        <v>0.0</v>
      </c>
      <c r="AB3032" s="382">
        <v>0.0</v>
      </c>
      <c r="AC3032" s="382">
        <v>0.0</v>
      </c>
      <c r="AD3032" s="382">
        <v>0.0</v>
      </c>
      <c r="AE3032" s="382">
        <v>0.0</v>
      </c>
      <c r="AF3032" s="382">
        <v>0.0</v>
      </c>
      <c r="AG3032" s="382">
        <v>0.0</v>
      </c>
      <c r="AH3032" s="382">
        <v>0.0</v>
      </c>
      <c r="AI3032" s="382">
        <v>0.0</v>
      </c>
      <c r="AJ3032" s="382">
        <v>0.0</v>
      </c>
      <c r="AK3032" s="382">
        <v>0.0</v>
      </c>
      <c r="AL3032" s="382">
        <v>0.0</v>
      </c>
      <c r="AM3032" s="382">
        <v>0.0</v>
      </c>
      <c r="AN3032" s="382">
        <v>0.0</v>
      </c>
      <c r="AO3032" s="382">
        <v>0.0</v>
      </c>
      <c r="AP3032" s="382">
        <v>0.0</v>
      </c>
      <c r="AQ3032" s="382">
        <v>0.0</v>
      </c>
      <c r="AR3032" s="382">
        <v>0.0</v>
      </c>
      <c r="AS3032" s="382">
        <v>0.0</v>
      </c>
      <c r="AT3032" s="382">
        <v>0.0</v>
      </c>
      <c r="AU3032" s="382">
        <v>0.0</v>
      </c>
      <c r="AV3032" s="382">
        <v>0.0</v>
      </c>
      <c r="AW3032" s="382">
        <v>0.0</v>
      </c>
      <c r="AX3032" s="382">
        <v>0.0</v>
      </c>
      <c r="AY3032" s="382">
        <v>0.0</v>
      </c>
      <c r="AZ3032" s="382">
        <v>0.0</v>
      </c>
      <c r="BA3032" s="382">
        <v>0.0</v>
      </c>
      <c r="BB3032" s="32"/>
      <c r="BC3032" s="32"/>
      <c r="BD3032" s="32"/>
      <c r="BE3032" s="32"/>
      <c r="BF3032" s="32"/>
      <c r="BG3032" s="32"/>
      <c r="BH3032" s="32"/>
      <c r="BI3032" s="32"/>
      <c r="BJ3032" s="32"/>
      <c r="BK3032" s="32"/>
      <c r="BL3032" s="32"/>
      <c r="BM3032" s="32"/>
      <c r="BN3032" s="32"/>
      <c r="BO3032" s="32"/>
      <c r="BP3032" s="32"/>
      <c r="BQ3032" s="32"/>
      <c r="BR3032" s="32"/>
      <c r="BS3032" s="32"/>
      <c r="BT3032" s="32"/>
      <c r="BU3032" s="32"/>
      <c r="BV3032" s="32"/>
      <c r="BW3032" s="32"/>
      <c r="BX3032" s="32"/>
      <c r="BY3032" s="32"/>
      <c r="BZ3032" s="32"/>
      <c r="CA3032" s="32"/>
      <c r="CB3032" s="32"/>
      <c r="CC3032" s="32"/>
      <c r="CD3032" s="32"/>
    </row>
    <row r="3033" ht="15.75" customHeight="1">
      <c r="A3033" s="365" t="s">
        <v>52</v>
      </c>
      <c r="B3033" s="381" t="s">
        <v>351</v>
      </c>
      <c r="C3033" s="382">
        <v>0.0</v>
      </c>
      <c r="D3033" s="382">
        <v>0.0</v>
      </c>
      <c r="E3033" s="382">
        <v>0.0</v>
      </c>
      <c r="F3033" s="382">
        <v>0.0</v>
      </c>
      <c r="G3033" s="382">
        <v>0.0</v>
      </c>
      <c r="H3033" s="382">
        <v>0.0</v>
      </c>
      <c r="I3033" s="382">
        <v>0.0</v>
      </c>
      <c r="J3033" s="382">
        <v>0.0</v>
      </c>
      <c r="K3033" s="382">
        <v>0.0</v>
      </c>
      <c r="L3033" s="382">
        <v>0.0</v>
      </c>
      <c r="M3033" s="382">
        <v>0.0</v>
      </c>
      <c r="N3033" s="382">
        <v>0.0</v>
      </c>
      <c r="O3033" s="382">
        <v>0.0</v>
      </c>
      <c r="P3033" s="382">
        <v>0.0</v>
      </c>
      <c r="Q3033" s="382">
        <v>0.0</v>
      </c>
      <c r="R3033" s="382">
        <v>0.0</v>
      </c>
      <c r="S3033" s="382">
        <v>0.0</v>
      </c>
      <c r="T3033" s="382">
        <v>0.0</v>
      </c>
      <c r="U3033" s="382">
        <v>0.0</v>
      </c>
      <c r="V3033" s="382">
        <v>0.0</v>
      </c>
      <c r="W3033" s="382">
        <v>0.0</v>
      </c>
      <c r="X3033" s="382">
        <v>0.0</v>
      </c>
      <c r="Y3033" s="382">
        <v>0.0</v>
      </c>
      <c r="Z3033" s="382">
        <v>0.0</v>
      </c>
      <c r="AA3033" s="382">
        <v>0.0</v>
      </c>
      <c r="AB3033" s="382">
        <v>0.0</v>
      </c>
      <c r="AC3033" s="382">
        <v>0.0</v>
      </c>
      <c r="AD3033" s="382">
        <v>0.0</v>
      </c>
      <c r="AE3033" s="382">
        <v>0.0</v>
      </c>
      <c r="AF3033" s="382">
        <v>0.0</v>
      </c>
      <c r="AG3033" s="382">
        <v>0.0</v>
      </c>
      <c r="AH3033" s="382">
        <v>0.0</v>
      </c>
      <c r="AI3033" s="382">
        <v>0.0</v>
      </c>
      <c r="AJ3033" s="382">
        <v>0.0</v>
      </c>
      <c r="AK3033" s="382">
        <v>0.0</v>
      </c>
      <c r="AL3033" s="382">
        <v>0.0</v>
      </c>
      <c r="AM3033" s="382">
        <v>0.0</v>
      </c>
      <c r="AN3033" s="382">
        <v>0.0</v>
      </c>
      <c r="AO3033" s="382">
        <v>0.0</v>
      </c>
      <c r="AP3033" s="382">
        <v>0.0</v>
      </c>
      <c r="AQ3033" s="382">
        <v>0.0</v>
      </c>
      <c r="AR3033" s="382">
        <v>0.0</v>
      </c>
      <c r="AS3033" s="382">
        <v>0.0</v>
      </c>
      <c r="AT3033" s="382">
        <v>0.0</v>
      </c>
      <c r="AU3033" s="382">
        <v>0.0</v>
      </c>
      <c r="AV3033" s="382">
        <v>0.0</v>
      </c>
      <c r="AW3033" s="382">
        <v>0.0</v>
      </c>
      <c r="AX3033" s="382">
        <v>0.0</v>
      </c>
      <c r="AY3033" s="382">
        <v>0.0</v>
      </c>
      <c r="AZ3033" s="382">
        <v>0.0</v>
      </c>
      <c r="BA3033" s="382">
        <v>0.0</v>
      </c>
      <c r="BB3033" s="32"/>
      <c r="BC3033" s="32"/>
      <c r="BD3033" s="32"/>
      <c r="BE3033" s="32"/>
      <c r="BF3033" s="32"/>
      <c r="BG3033" s="32"/>
      <c r="BH3033" s="32"/>
      <c r="BI3033" s="32"/>
      <c r="BJ3033" s="32"/>
      <c r="BK3033" s="32"/>
      <c r="BL3033" s="32"/>
      <c r="BM3033" s="32"/>
      <c r="BN3033" s="32"/>
      <c r="BO3033" s="32"/>
      <c r="BP3033" s="32"/>
      <c r="BQ3033" s="32"/>
      <c r="BR3033" s="32"/>
      <c r="BS3033" s="32"/>
      <c r="BT3033" s="32"/>
      <c r="BU3033" s="32"/>
      <c r="BV3033" s="32"/>
      <c r="BW3033" s="32"/>
      <c r="BX3033" s="32"/>
      <c r="BY3033" s="32"/>
      <c r="BZ3033" s="32"/>
      <c r="CA3033" s="32"/>
      <c r="CB3033" s="32"/>
      <c r="CC3033" s="32"/>
      <c r="CD3033" s="32"/>
    </row>
    <row r="3034" ht="15.75" customHeight="1">
      <c r="A3034" s="365" t="s">
        <v>54</v>
      </c>
      <c r="B3034" s="381" t="s">
        <v>351</v>
      </c>
      <c r="C3034" s="382">
        <v>0.0</v>
      </c>
      <c r="D3034" s="382">
        <v>0.0</v>
      </c>
      <c r="E3034" s="382">
        <v>0.0</v>
      </c>
      <c r="F3034" s="382">
        <v>0.0</v>
      </c>
      <c r="G3034" s="382">
        <v>0.0</v>
      </c>
      <c r="H3034" s="382">
        <v>0.0</v>
      </c>
      <c r="I3034" s="382">
        <v>0.0</v>
      </c>
      <c r="J3034" s="382">
        <v>0.0</v>
      </c>
      <c r="K3034" s="382">
        <v>0.0</v>
      </c>
      <c r="L3034" s="382">
        <v>0.0</v>
      </c>
      <c r="M3034" s="382">
        <v>0.0</v>
      </c>
      <c r="N3034" s="382">
        <v>0.0</v>
      </c>
      <c r="O3034" s="382">
        <v>0.0</v>
      </c>
      <c r="P3034" s="382">
        <v>0.0</v>
      </c>
      <c r="Q3034" s="382">
        <v>0.0</v>
      </c>
      <c r="R3034" s="382">
        <v>0.0</v>
      </c>
      <c r="S3034" s="382">
        <v>0.0</v>
      </c>
      <c r="T3034" s="382">
        <v>0.0</v>
      </c>
      <c r="U3034" s="382">
        <v>0.0</v>
      </c>
      <c r="V3034" s="382">
        <v>0.0</v>
      </c>
      <c r="W3034" s="382">
        <v>0.0</v>
      </c>
      <c r="X3034" s="382">
        <v>0.0</v>
      </c>
      <c r="Y3034" s="382">
        <v>0.0</v>
      </c>
      <c r="Z3034" s="382">
        <v>0.0</v>
      </c>
      <c r="AA3034" s="382">
        <v>0.0</v>
      </c>
      <c r="AB3034" s="382">
        <v>0.0</v>
      </c>
      <c r="AC3034" s="382">
        <v>0.0</v>
      </c>
      <c r="AD3034" s="382">
        <v>0.0</v>
      </c>
      <c r="AE3034" s="382">
        <v>0.0</v>
      </c>
      <c r="AF3034" s="382">
        <v>0.0</v>
      </c>
      <c r="AG3034" s="382">
        <v>0.0</v>
      </c>
      <c r="AH3034" s="382">
        <v>0.0</v>
      </c>
      <c r="AI3034" s="382">
        <v>0.0</v>
      </c>
      <c r="AJ3034" s="382">
        <v>0.0</v>
      </c>
      <c r="AK3034" s="382">
        <v>0.0</v>
      </c>
      <c r="AL3034" s="382">
        <v>0.0</v>
      </c>
      <c r="AM3034" s="382">
        <v>0.0</v>
      </c>
      <c r="AN3034" s="382">
        <v>0.0</v>
      </c>
      <c r="AO3034" s="382">
        <v>0.0</v>
      </c>
      <c r="AP3034" s="382">
        <v>0.0</v>
      </c>
      <c r="AQ3034" s="382">
        <v>0.0</v>
      </c>
      <c r="AR3034" s="382">
        <v>0.0</v>
      </c>
      <c r="AS3034" s="382">
        <v>0.0</v>
      </c>
      <c r="AT3034" s="382">
        <v>0.0</v>
      </c>
      <c r="AU3034" s="382">
        <v>0.0</v>
      </c>
      <c r="AV3034" s="382">
        <v>0.0</v>
      </c>
      <c r="AW3034" s="382">
        <v>0.0</v>
      </c>
      <c r="AX3034" s="382">
        <v>0.0</v>
      </c>
      <c r="AY3034" s="382">
        <v>0.0</v>
      </c>
      <c r="AZ3034" s="382">
        <v>0.0</v>
      </c>
      <c r="BA3034" s="382">
        <v>0.0</v>
      </c>
      <c r="BB3034" s="32"/>
      <c r="BC3034" s="32"/>
      <c r="BD3034" s="32"/>
      <c r="BE3034" s="32"/>
      <c r="BF3034" s="32"/>
      <c r="BG3034" s="32"/>
      <c r="BH3034" s="32"/>
      <c r="BI3034" s="32"/>
      <c r="BJ3034" s="32"/>
      <c r="BK3034" s="32"/>
      <c r="BL3034" s="32"/>
      <c r="BM3034" s="32"/>
      <c r="BN3034" s="32"/>
      <c r="BO3034" s="32"/>
      <c r="BP3034" s="32"/>
      <c r="BQ3034" s="32"/>
      <c r="BR3034" s="32"/>
      <c r="BS3034" s="32"/>
      <c r="BT3034" s="32"/>
      <c r="BU3034" s="32"/>
      <c r="BV3034" s="32"/>
      <c r="BW3034" s="32"/>
      <c r="BX3034" s="32"/>
      <c r="BY3034" s="32"/>
      <c r="BZ3034" s="32"/>
      <c r="CA3034" s="32"/>
      <c r="CB3034" s="32"/>
      <c r="CC3034" s="32"/>
      <c r="CD3034" s="32"/>
    </row>
    <row r="3035" ht="15.75" customHeight="1">
      <c r="A3035" s="365" t="s">
        <v>359</v>
      </c>
      <c r="B3035" s="381" t="s">
        <v>351</v>
      </c>
      <c r="C3035" s="382">
        <v>0.0</v>
      </c>
      <c r="D3035" s="382">
        <v>0.0</v>
      </c>
      <c r="E3035" s="382">
        <v>0.0</v>
      </c>
      <c r="F3035" s="382">
        <v>0.0</v>
      </c>
      <c r="G3035" s="382">
        <v>0.0</v>
      </c>
      <c r="H3035" s="382">
        <v>0.0</v>
      </c>
      <c r="I3035" s="382">
        <v>0.0</v>
      </c>
      <c r="J3035" s="382">
        <v>0.0</v>
      </c>
      <c r="K3035" s="382">
        <v>0.0</v>
      </c>
      <c r="L3035" s="382">
        <v>0.0</v>
      </c>
      <c r="M3035" s="382">
        <v>0.0</v>
      </c>
      <c r="N3035" s="382">
        <v>0.0</v>
      </c>
      <c r="O3035" s="382">
        <v>0.0</v>
      </c>
      <c r="P3035" s="382">
        <v>0.0</v>
      </c>
      <c r="Q3035" s="382">
        <v>0.0</v>
      </c>
      <c r="R3035" s="382">
        <v>0.0</v>
      </c>
      <c r="S3035" s="382">
        <v>0.0</v>
      </c>
      <c r="T3035" s="382">
        <v>0.0</v>
      </c>
      <c r="U3035" s="382">
        <v>0.0</v>
      </c>
      <c r="V3035" s="382">
        <v>0.0</v>
      </c>
      <c r="W3035" s="382">
        <v>0.0</v>
      </c>
      <c r="X3035" s="382">
        <v>0.0</v>
      </c>
      <c r="Y3035" s="382">
        <v>0.0</v>
      </c>
      <c r="Z3035" s="382">
        <v>0.0</v>
      </c>
      <c r="AA3035" s="382">
        <v>0.0</v>
      </c>
      <c r="AB3035" s="382">
        <v>0.0</v>
      </c>
      <c r="AC3035" s="382">
        <v>0.0</v>
      </c>
      <c r="AD3035" s="382">
        <v>0.0</v>
      </c>
      <c r="AE3035" s="382">
        <v>0.0</v>
      </c>
      <c r="AF3035" s="382">
        <v>0.0</v>
      </c>
      <c r="AG3035" s="382">
        <v>0.0</v>
      </c>
      <c r="AH3035" s="382">
        <v>0.0</v>
      </c>
      <c r="AI3035" s="382">
        <v>0.0</v>
      </c>
      <c r="AJ3035" s="382">
        <v>0.0</v>
      </c>
      <c r="AK3035" s="382">
        <v>0.0</v>
      </c>
      <c r="AL3035" s="382">
        <v>0.0</v>
      </c>
      <c r="AM3035" s="382">
        <v>0.0</v>
      </c>
      <c r="AN3035" s="382">
        <v>0.0</v>
      </c>
      <c r="AO3035" s="382">
        <v>0.0</v>
      </c>
      <c r="AP3035" s="382">
        <v>0.0</v>
      </c>
      <c r="AQ3035" s="382">
        <v>0.0</v>
      </c>
      <c r="AR3035" s="382">
        <v>0.0</v>
      </c>
      <c r="AS3035" s="382">
        <v>0.0</v>
      </c>
      <c r="AT3035" s="382">
        <v>0.0</v>
      </c>
      <c r="AU3035" s="382">
        <v>0.0</v>
      </c>
      <c r="AV3035" s="382">
        <v>0.0</v>
      </c>
      <c r="AW3035" s="382">
        <v>0.0</v>
      </c>
      <c r="AX3035" s="382">
        <v>0.0</v>
      </c>
      <c r="AY3035" s="382">
        <v>0.0</v>
      </c>
      <c r="AZ3035" s="382">
        <v>0.0</v>
      </c>
      <c r="BA3035" s="382">
        <v>0.0</v>
      </c>
      <c r="BB3035" s="372">
        <f t="array" ref="BB3035">SUM(IF(ISERROR(BB3036:BB3086),"",BB3036:BB3086))</f>
        <v>0</v>
      </c>
      <c r="BC3035" s="372">
        <f t="array" ref="BC3035">SUM(IF(ISERROR(BC3036:BC3086),"",BC3036:BC3086))</f>
        <v>0</v>
      </c>
      <c r="BD3035" s="372">
        <f t="array" ref="BD3035">SUM(IF(ISERROR(BD3036:BD3086),"",BD3036:BD3086))</f>
        <v>0</v>
      </c>
      <c r="BE3035" s="372">
        <f t="array" ref="BE3035">SUM(IF(ISERROR(BE3036:BE3086),"",BE3036:BE3086))</f>
        <v>0</v>
      </c>
      <c r="BF3035" s="372">
        <f t="array" ref="BF3035">SUM(IF(ISERROR(BF3036:BF3086),"",BF3036:BF3086))</f>
        <v>0</v>
      </c>
      <c r="BG3035" s="372">
        <f t="array" ref="BG3035">SUM(IF(ISERROR(BG3036:BG3086),"",BG3036:BG3086))</f>
        <v>0</v>
      </c>
      <c r="BH3035" s="372">
        <f t="array" ref="BH3035">SUM(IF(ISERROR(BH3036:BH3086),"",BH3036:BH3086))</f>
        <v>0</v>
      </c>
      <c r="BI3035" s="372">
        <f t="array" ref="BI3035">SUM(IF(ISERROR(BI3036:BI3086),"",BI3036:BI3086))</f>
        <v>0</v>
      </c>
      <c r="BJ3035" s="372">
        <f t="array" ref="BJ3035">SUM(IF(ISERROR(BJ3036:BJ3086),"",BJ3036:BJ3086))</f>
        <v>0</v>
      </c>
      <c r="BK3035" s="372">
        <f t="array" ref="BK3035">SUM(IF(ISERROR(BK3036:BK3086),"",BK3036:BK3086))</f>
        <v>0</v>
      </c>
      <c r="BL3035" s="372">
        <f t="array" ref="BL3035">SUM(IF(ISERROR(BL3036:BL3086),"",BL3036:BL3086))</f>
        <v>0</v>
      </c>
      <c r="BM3035" s="372">
        <f t="array" ref="BM3035">SUM(IF(ISERROR(BM3036:BM3086),"",BM3036:BM3086))</f>
        <v>0</v>
      </c>
      <c r="BN3035" s="372">
        <f t="array" ref="BN3035">SUM(IF(ISERROR(BN3036:BN3086),"",BN3036:BN3086))</f>
        <v>0</v>
      </c>
      <c r="BO3035" s="372">
        <f t="array" ref="BO3035">SUM(IF(ISERROR(BO3036:BO3086),"",BO3036:BO3086))</f>
        <v>0</v>
      </c>
      <c r="BP3035" s="372"/>
      <c r="BQ3035" s="372"/>
      <c r="BR3035" s="372"/>
      <c r="BS3035" s="372"/>
      <c r="BT3035" s="372"/>
      <c r="BU3035" s="372"/>
      <c r="BV3035" s="372"/>
      <c r="BW3035" s="372"/>
      <c r="BX3035" s="372"/>
      <c r="BY3035" s="372"/>
      <c r="BZ3035" s="32"/>
      <c r="CA3035" s="32"/>
      <c r="CB3035" s="32"/>
      <c r="CC3035" s="32"/>
      <c r="CD3035" s="32"/>
    </row>
    <row r="3036" ht="15.75" hidden="1" customHeight="1" outlineLevel="1">
      <c r="A3036" s="365"/>
      <c r="B3036" s="381"/>
      <c r="C3036" s="382">
        <v>0.0</v>
      </c>
      <c r="D3036" s="382">
        <v>0.0</v>
      </c>
      <c r="E3036" s="382">
        <v>0.0</v>
      </c>
      <c r="F3036" s="382">
        <v>0.0</v>
      </c>
      <c r="G3036" s="382">
        <v>0.0</v>
      </c>
      <c r="H3036" s="382">
        <v>0.0</v>
      </c>
      <c r="I3036" s="382">
        <v>0.0</v>
      </c>
      <c r="J3036" s="382">
        <v>0.0</v>
      </c>
      <c r="K3036" s="382">
        <v>0.0</v>
      </c>
      <c r="L3036" s="382">
        <v>0.0</v>
      </c>
      <c r="M3036" s="382">
        <v>0.0</v>
      </c>
      <c r="N3036" s="382">
        <v>0.0</v>
      </c>
      <c r="O3036" s="382">
        <v>0.0</v>
      </c>
      <c r="P3036" s="382">
        <v>0.0</v>
      </c>
      <c r="Q3036" s="382">
        <v>0.0</v>
      </c>
      <c r="R3036" s="382">
        <v>0.0</v>
      </c>
      <c r="S3036" s="382">
        <v>0.0</v>
      </c>
      <c r="T3036" s="382">
        <v>0.0</v>
      </c>
      <c r="U3036" s="382">
        <v>0.0</v>
      </c>
      <c r="V3036" s="382">
        <v>0.0</v>
      </c>
      <c r="W3036" s="382">
        <v>0.0</v>
      </c>
      <c r="X3036" s="382">
        <v>0.0</v>
      </c>
      <c r="Y3036" s="382">
        <v>0.0</v>
      </c>
      <c r="Z3036" s="382">
        <v>0.0</v>
      </c>
      <c r="AA3036" s="382">
        <v>0.0</v>
      </c>
      <c r="AB3036" s="382">
        <v>0.0</v>
      </c>
      <c r="AC3036" s="382">
        <v>0.0</v>
      </c>
      <c r="AD3036" s="382">
        <v>0.0</v>
      </c>
      <c r="AE3036" s="382">
        <v>0.0</v>
      </c>
      <c r="AF3036" s="382">
        <v>0.0</v>
      </c>
      <c r="AG3036" s="382">
        <v>0.0</v>
      </c>
      <c r="AH3036" s="382">
        <v>0.0</v>
      </c>
      <c r="AI3036" s="382">
        <v>0.0</v>
      </c>
      <c r="AJ3036" s="382">
        <v>0.0</v>
      </c>
      <c r="AK3036" s="382">
        <v>0.0</v>
      </c>
      <c r="AL3036" s="382">
        <v>0.0</v>
      </c>
      <c r="AM3036" s="382">
        <v>0.0</v>
      </c>
      <c r="AN3036" s="382">
        <v>0.0</v>
      </c>
      <c r="AO3036" s="382">
        <v>0.0</v>
      </c>
      <c r="AP3036" s="382">
        <v>0.0</v>
      </c>
      <c r="AQ3036" s="382">
        <v>0.0</v>
      </c>
      <c r="AR3036" s="382">
        <v>0.0</v>
      </c>
      <c r="AS3036" s="382">
        <v>0.0</v>
      </c>
      <c r="AT3036" s="382">
        <v>0.0</v>
      </c>
      <c r="AU3036" s="382">
        <v>0.0</v>
      </c>
      <c r="AV3036" s="382">
        <v>0.0</v>
      </c>
      <c r="AW3036" s="382">
        <v>0.0</v>
      </c>
      <c r="AX3036" s="382">
        <v>0.0</v>
      </c>
      <c r="AY3036" s="382">
        <v>0.0</v>
      </c>
      <c r="AZ3036" s="382">
        <v>0.0</v>
      </c>
      <c r="BA3036" s="382">
        <v>0.0</v>
      </c>
      <c r="BB3036" s="32"/>
      <c r="BC3036" s="32"/>
      <c r="BD3036" s="32"/>
      <c r="BE3036" s="32"/>
      <c r="BF3036" s="32"/>
      <c r="BG3036" s="32"/>
      <c r="BH3036" s="32"/>
      <c r="BI3036" s="32"/>
      <c r="BJ3036" s="32"/>
      <c r="BK3036" s="32"/>
      <c r="BL3036" s="32"/>
      <c r="BM3036" s="32"/>
      <c r="BN3036" s="32"/>
      <c r="BO3036" s="32"/>
      <c r="BP3036" s="32"/>
      <c r="BQ3036" s="32"/>
      <c r="BR3036" s="32"/>
      <c r="BS3036" s="32"/>
      <c r="BT3036" s="32"/>
      <c r="BU3036" s="32"/>
      <c r="BV3036" s="32"/>
      <c r="BW3036" s="32"/>
      <c r="BX3036" s="32"/>
      <c r="BY3036" s="32"/>
      <c r="BZ3036" s="32"/>
      <c r="CA3036" s="32"/>
      <c r="CB3036" s="32"/>
      <c r="CC3036" s="32"/>
      <c r="CD3036" s="32"/>
    </row>
    <row r="3037" ht="15.75" hidden="1" customHeight="1" outlineLevel="1">
      <c r="A3037" s="365"/>
      <c r="B3037" s="381"/>
      <c r="C3037" s="382">
        <v>0.0</v>
      </c>
      <c r="D3037" s="382">
        <v>0.0</v>
      </c>
      <c r="E3037" s="382">
        <v>0.0</v>
      </c>
      <c r="F3037" s="382">
        <v>0.0</v>
      </c>
      <c r="G3037" s="382">
        <v>0.0</v>
      </c>
      <c r="H3037" s="382">
        <v>0.0</v>
      </c>
      <c r="I3037" s="382">
        <v>0.0</v>
      </c>
      <c r="J3037" s="382">
        <v>0.0</v>
      </c>
      <c r="K3037" s="382">
        <v>0.0</v>
      </c>
      <c r="L3037" s="382">
        <v>0.0</v>
      </c>
      <c r="M3037" s="382">
        <v>0.0</v>
      </c>
      <c r="N3037" s="382">
        <v>0.0</v>
      </c>
      <c r="O3037" s="382">
        <v>0.0</v>
      </c>
      <c r="P3037" s="382">
        <v>0.0</v>
      </c>
      <c r="Q3037" s="382">
        <v>0.0</v>
      </c>
      <c r="R3037" s="382">
        <v>0.0</v>
      </c>
      <c r="S3037" s="382">
        <v>0.0</v>
      </c>
      <c r="T3037" s="382">
        <v>0.0</v>
      </c>
      <c r="U3037" s="382">
        <v>0.0</v>
      </c>
      <c r="V3037" s="382">
        <v>0.0</v>
      </c>
      <c r="W3037" s="382">
        <v>0.0</v>
      </c>
      <c r="X3037" s="382">
        <v>0.0</v>
      </c>
      <c r="Y3037" s="382">
        <v>0.0</v>
      </c>
      <c r="Z3037" s="382">
        <v>0.0</v>
      </c>
      <c r="AA3037" s="382">
        <v>0.0</v>
      </c>
      <c r="AB3037" s="382">
        <v>0.0</v>
      </c>
      <c r="AC3037" s="382">
        <v>0.0</v>
      </c>
      <c r="AD3037" s="382">
        <v>0.0</v>
      </c>
      <c r="AE3037" s="382">
        <v>0.0</v>
      </c>
      <c r="AF3037" s="382">
        <v>0.0</v>
      </c>
      <c r="AG3037" s="382">
        <v>0.0</v>
      </c>
      <c r="AH3037" s="382">
        <v>0.0</v>
      </c>
      <c r="AI3037" s="382">
        <v>0.0</v>
      </c>
      <c r="AJ3037" s="382">
        <v>0.0</v>
      </c>
      <c r="AK3037" s="382">
        <v>0.0</v>
      </c>
      <c r="AL3037" s="382">
        <v>0.0</v>
      </c>
      <c r="AM3037" s="382">
        <v>0.0</v>
      </c>
      <c r="AN3037" s="382">
        <v>0.0</v>
      </c>
      <c r="AO3037" s="382">
        <v>0.0</v>
      </c>
      <c r="AP3037" s="382">
        <v>0.0</v>
      </c>
      <c r="AQ3037" s="382">
        <v>0.0</v>
      </c>
      <c r="AR3037" s="382">
        <v>0.0</v>
      </c>
      <c r="AS3037" s="382">
        <v>0.0</v>
      </c>
      <c r="AT3037" s="382">
        <v>0.0</v>
      </c>
      <c r="AU3037" s="382">
        <v>0.0</v>
      </c>
      <c r="AV3037" s="382">
        <v>0.0</v>
      </c>
      <c r="AW3037" s="382">
        <v>0.0</v>
      </c>
      <c r="AX3037" s="382">
        <v>0.0</v>
      </c>
      <c r="AY3037" s="382">
        <v>0.0</v>
      </c>
      <c r="AZ3037" s="382">
        <v>0.0</v>
      </c>
      <c r="BA3037" s="382">
        <v>0.0</v>
      </c>
      <c r="BB3037" s="32"/>
      <c r="BC3037" s="32"/>
      <c r="BD3037" s="32"/>
      <c r="BE3037" s="32"/>
      <c r="BF3037" s="32"/>
      <c r="BG3037" s="32"/>
      <c r="BH3037" s="32"/>
      <c r="BI3037" s="32"/>
      <c r="BJ3037" s="32"/>
      <c r="BK3037" s="32"/>
      <c r="BL3037" s="32"/>
      <c r="BM3037" s="32"/>
      <c r="BN3037" s="32"/>
      <c r="BO3037" s="32"/>
      <c r="BP3037" s="32"/>
      <c r="BQ3037" s="32"/>
      <c r="BR3037" s="32"/>
      <c r="BS3037" s="32"/>
      <c r="BT3037" s="32"/>
      <c r="BU3037" s="32"/>
      <c r="BV3037" s="32"/>
      <c r="BW3037" s="32"/>
      <c r="BX3037" s="32"/>
      <c r="BY3037" s="32"/>
      <c r="BZ3037" s="32"/>
      <c r="CA3037" s="32"/>
      <c r="CB3037" s="32"/>
      <c r="CC3037" s="32"/>
      <c r="CD3037" s="32"/>
    </row>
    <row r="3038" ht="15.75" hidden="1" customHeight="1" outlineLevel="1">
      <c r="A3038" s="365"/>
      <c r="B3038" s="381"/>
      <c r="C3038" s="382">
        <v>0.0</v>
      </c>
      <c r="D3038" s="382">
        <v>0.0</v>
      </c>
      <c r="E3038" s="382">
        <v>0.0</v>
      </c>
      <c r="F3038" s="382">
        <v>0.0</v>
      </c>
      <c r="G3038" s="382">
        <v>0.0</v>
      </c>
      <c r="H3038" s="382">
        <v>0.0</v>
      </c>
      <c r="I3038" s="382">
        <v>0.0</v>
      </c>
      <c r="J3038" s="382">
        <v>0.0</v>
      </c>
      <c r="K3038" s="382">
        <v>0.0</v>
      </c>
      <c r="L3038" s="382">
        <v>0.0</v>
      </c>
      <c r="M3038" s="382">
        <v>0.0</v>
      </c>
      <c r="N3038" s="382">
        <v>0.0</v>
      </c>
      <c r="O3038" s="382">
        <v>0.0</v>
      </c>
      <c r="P3038" s="382">
        <v>0.0</v>
      </c>
      <c r="Q3038" s="382">
        <v>0.0</v>
      </c>
      <c r="R3038" s="382">
        <v>0.0</v>
      </c>
      <c r="S3038" s="382">
        <v>0.0</v>
      </c>
      <c r="T3038" s="382">
        <v>0.0</v>
      </c>
      <c r="U3038" s="382">
        <v>0.0</v>
      </c>
      <c r="V3038" s="382">
        <v>0.0</v>
      </c>
      <c r="W3038" s="382">
        <v>0.0</v>
      </c>
      <c r="X3038" s="382">
        <v>0.0</v>
      </c>
      <c r="Y3038" s="382">
        <v>0.0</v>
      </c>
      <c r="Z3038" s="382">
        <v>0.0</v>
      </c>
      <c r="AA3038" s="382">
        <v>0.0</v>
      </c>
      <c r="AB3038" s="382">
        <v>0.0</v>
      </c>
      <c r="AC3038" s="382">
        <v>0.0</v>
      </c>
      <c r="AD3038" s="382">
        <v>0.0</v>
      </c>
      <c r="AE3038" s="382">
        <v>0.0</v>
      </c>
      <c r="AF3038" s="382">
        <v>0.0</v>
      </c>
      <c r="AG3038" s="382">
        <v>0.0</v>
      </c>
      <c r="AH3038" s="382">
        <v>0.0</v>
      </c>
      <c r="AI3038" s="382">
        <v>0.0</v>
      </c>
      <c r="AJ3038" s="382">
        <v>0.0</v>
      </c>
      <c r="AK3038" s="382">
        <v>0.0</v>
      </c>
      <c r="AL3038" s="382">
        <v>0.0</v>
      </c>
      <c r="AM3038" s="382">
        <v>0.0</v>
      </c>
      <c r="AN3038" s="382">
        <v>0.0</v>
      </c>
      <c r="AO3038" s="382">
        <v>0.0</v>
      </c>
      <c r="AP3038" s="382">
        <v>0.0</v>
      </c>
      <c r="AQ3038" s="382">
        <v>0.0</v>
      </c>
      <c r="AR3038" s="382">
        <v>0.0</v>
      </c>
      <c r="AS3038" s="382">
        <v>0.0</v>
      </c>
      <c r="AT3038" s="382">
        <v>0.0</v>
      </c>
      <c r="AU3038" s="382">
        <v>0.0</v>
      </c>
      <c r="AV3038" s="382">
        <v>0.0</v>
      </c>
      <c r="AW3038" s="382">
        <v>0.0</v>
      </c>
      <c r="AX3038" s="382">
        <v>0.0</v>
      </c>
      <c r="AY3038" s="382">
        <v>0.0</v>
      </c>
      <c r="AZ3038" s="382">
        <v>0.0</v>
      </c>
      <c r="BA3038" s="382">
        <v>0.0</v>
      </c>
      <c r="BB3038" s="32"/>
      <c r="BC3038" s="32"/>
      <c r="BD3038" s="32"/>
      <c r="BE3038" s="32"/>
      <c r="BF3038" s="32"/>
      <c r="BG3038" s="32"/>
      <c r="BH3038" s="32"/>
      <c r="BI3038" s="32"/>
      <c r="BJ3038" s="32"/>
      <c r="BK3038" s="32"/>
      <c r="BL3038" s="32"/>
      <c r="BM3038" s="32"/>
      <c r="BN3038" s="32"/>
      <c r="BO3038" s="32"/>
      <c r="BP3038" s="32"/>
      <c r="BQ3038" s="32"/>
      <c r="BR3038" s="32"/>
      <c r="BS3038" s="32"/>
      <c r="BT3038" s="32"/>
      <c r="BU3038" s="32"/>
      <c r="BV3038" s="32"/>
      <c r="BW3038" s="32"/>
      <c r="BX3038" s="32"/>
      <c r="BY3038" s="32"/>
      <c r="BZ3038" s="32"/>
      <c r="CA3038" s="32"/>
      <c r="CB3038" s="32"/>
      <c r="CC3038" s="32"/>
      <c r="CD3038" s="32"/>
    </row>
    <row r="3039" ht="15.75" hidden="1" customHeight="1" outlineLevel="1">
      <c r="A3039" s="365"/>
      <c r="B3039" s="381"/>
      <c r="C3039" s="382">
        <v>0.0</v>
      </c>
      <c r="D3039" s="382">
        <v>0.0</v>
      </c>
      <c r="E3039" s="382">
        <v>0.0</v>
      </c>
      <c r="F3039" s="382">
        <v>0.0</v>
      </c>
      <c r="G3039" s="382">
        <v>0.0</v>
      </c>
      <c r="H3039" s="382">
        <v>0.0</v>
      </c>
      <c r="I3039" s="382">
        <v>0.0</v>
      </c>
      <c r="J3039" s="382">
        <v>0.0</v>
      </c>
      <c r="K3039" s="382">
        <v>0.0</v>
      </c>
      <c r="L3039" s="382">
        <v>0.0</v>
      </c>
      <c r="M3039" s="382">
        <v>0.0</v>
      </c>
      <c r="N3039" s="382">
        <v>0.0</v>
      </c>
      <c r="O3039" s="382">
        <v>0.0</v>
      </c>
      <c r="P3039" s="382">
        <v>0.0</v>
      </c>
      <c r="Q3039" s="382">
        <v>0.0</v>
      </c>
      <c r="R3039" s="382">
        <v>0.0</v>
      </c>
      <c r="S3039" s="382">
        <v>0.0</v>
      </c>
      <c r="T3039" s="382">
        <v>0.0</v>
      </c>
      <c r="U3039" s="382">
        <v>0.0</v>
      </c>
      <c r="V3039" s="382">
        <v>0.0</v>
      </c>
      <c r="W3039" s="382">
        <v>0.0</v>
      </c>
      <c r="X3039" s="382">
        <v>0.0</v>
      </c>
      <c r="Y3039" s="382">
        <v>0.0</v>
      </c>
      <c r="Z3039" s="382">
        <v>0.0</v>
      </c>
      <c r="AA3039" s="382">
        <v>0.0</v>
      </c>
      <c r="AB3039" s="382">
        <v>0.0</v>
      </c>
      <c r="AC3039" s="382">
        <v>0.0</v>
      </c>
      <c r="AD3039" s="382">
        <v>0.0</v>
      </c>
      <c r="AE3039" s="382">
        <v>0.0</v>
      </c>
      <c r="AF3039" s="382">
        <v>0.0</v>
      </c>
      <c r="AG3039" s="382">
        <v>0.0</v>
      </c>
      <c r="AH3039" s="382">
        <v>0.0</v>
      </c>
      <c r="AI3039" s="382">
        <v>0.0</v>
      </c>
      <c r="AJ3039" s="382">
        <v>0.0</v>
      </c>
      <c r="AK3039" s="382">
        <v>0.0</v>
      </c>
      <c r="AL3039" s="382">
        <v>0.0</v>
      </c>
      <c r="AM3039" s="382">
        <v>0.0</v>
      </c>
      <c r="AN3039" s="382">
        <v>0.0</v>
      </c>
      <c r="AO3039" s="382">
        <v>0.0</v>
      </c>
      <c r="AP3039" s="382">
        <v>0.0</v>
      </c>
      <c r="AQ3039" s="382">
        <v>0.0</v>
      </c>
      <c r="AR3039" s="382">
        <v>0.0</v>
      </c>
      <c r="AS3039" s="382">
        <v>0.0</v>
      </c>
      <c r="AT3039" s="382">
        <v>0.0</v>
      </c>
      <c r="AU3039" s="382">
        <v>0.0</v>
      </c>
      <c r="AV3039" s="382">
        <v>0.0</v>
      </c>
      <c r="AW3039" s="382">
        <v>0.0</v>
      </c>
      <c r="AX3039" s="382">
        <v>0.0</v>
      </c>
      <c r="AY3039" s="382">
        <v>0.0</v>
      </c>
      <c r="AZ3039" s="382">
        <v>0.0</v>
      </c>
      <c r="BA3039" s="382">
        <v>0.0</v>
      </c>
      <c r="BB3039" s="32"/>
      <c r="BC3039" s="32"/>
      <c r="BD3039" s="32"/>
      <c r="BE3039" s="32"/>
      <c r="BF3039" s="32"/>
      <c r="BG3039" s="32"/>
      <c r="BH3039" s="32"/>
      <c r="BI3039" s="32"/>
      <c r="BJ3039" s="32"/>
      <c r="BK3039" s="32"/>
      <c r="BL3039" s="32"/>
      <c r="BM3039" s="32"/>
      <c r="BN3039" s="32"/>
      <c r="BO3039" s="32"/>
      <c r="BP3039" s="32"/>
      <c r="BQ3039" s="32"/>
      <c r="BR3039" s="32"/>
      <c r="BS3039" s="32"/>
      <c r="BT3039" s="32"/>
      <c r="BU3039" s="32"/>
      <c r="BV3039" s="32"/>
      <c r="BW3039" s="32"/>
      <c r="BX3039" s="32"/>
      <c r="BY3039" s="32"/>
      <c r="BZ3039" s="32"/>
      <c r="CA3039" s="32"/>
      <c r="CB3039" s="32"/>
      <c r="CC3039" s="32"/>
      <c r="CD3039" s="32"/>
    </row>
    <row r="3040" ht="15.75" hidden="1" customHeight="1" outlineLevel="1">
      <c r="A3040" s="365"/>
      <c r="B3040" s="381"/>
      <c r="C3040" s="382">
        <v>0.0</v>
      </c>
      <c r="D3040" s="382">
        <v>0.0</v>
      </c>
      <c r="E3040" s="382">
        <v>0.0</v>
      </c>
      <c r="F3040" s="382">
        <v>0.0</v>
      </c>
      <c r="G3040" s="382">
        <v>0.0</v>
      </c>
      <c r="H3040" s="382">
        <v>0.0</v>
      </c>
      <c r="I3040" s="382">
        <v>0.0</v>
      </c>
      <c r="J3040" s="382">
        <v>0.0</v>
      </c>
      <c r="K3040" s="382">
        <v>0.0</v>
      </c>
      <c r="L3040" s="382">
        <v>0.0</v>
      </c>
      <c r="M3040" s="382">
        <v>0.0</v>
      </c>
      <c r="N3040" s="382">
        <v>0.0</v>
      </c>
      <c r="O3040" s="382">
        <v>0.0</v>
      </c>
      <c r="P3040" s="382">
        <v>0.0</v>
      </c>
      <c r="Q3040" s="382">
        <v>0.0</v>
      </c>
      <c r="R3040" s="382">
        <v>0.0</v>
      </c>
      <c r="S3040" s="382">
        <v>0.0</v>
      </c>
      <c r="T3040" s="382">
        <v>0.0</v>
      </c>
      <c r="U3040" s="382">
        <v>0.0</v>
      </c>
      <c r="V3040" s="382">
        <v>0.0</v>
      </c>
      <c r="W3040" s="382">
        <v>0.0</v>
      </c>
      <c r="X3040" s="382">
        <v>0.0</v>
      </c>
      <c r="Y3040" s="382">
        <v>0.0</v>
      </c>
      <c r="Z3040" s="382">
        <v>0.0</v>
      </c>
      <c r="AA3040" s="382">
        <v>0.0</v>
      </c>
      <c r="AB3040" s="382">
        <v>0.0</v>
      </c>
      <c r="AC3040" s="382">
        <v>0.0</v>
      </c>
      <c r="AD3040" s="382">
        <v>0.0</v>
      </c>
      <c r="AE3040" s="382">
        <v>0.0</v>
      </c>
      <c r="AF3040" s="382">
        <v>0.0</v>
      </c>
      <c r="AG3040" s="382">
        <v>0.0</v>
      </c>
      <c r="AH3040" s="382">
        <v>0.0</v>
      </c>
      <c r="AI3040" s="382">
        <v>0.0</v>
      </c>
      <c r="AJ3040" s="382">
        <v>0.0</v>
      </c>
      <c r="AK3040" s="382">
        <v>0.0</v>
      </c>
      <c r="AL3040" s="382">
        <v>0.0</v>
      </c>
      <c r="AM3040" s="382">
        <v>0.0</v>
      </c>
      <c r="AN3040" s="382">
        <v>0.0</v>
      </c>
      <c r="AO3040" s="382">
        <v>0.0</v>
      </c>
      <c r="AP3040" s="382">
        <v>0.0</v>
      </c>
      <c r="AQ3040" s="382">
        <v>0.0</v>
      </c>
      <c r="AR3040" s="382">
        <v>0.0</v>
      </c>
      <c r="AS3040" s="382">
        <v>0.0</v>
      </c>
      <c r="AT3040" s="382">
        <v>0.0</v>
      </c>
      <c r="AU3040" s="382">
        <v>0.0</v>
      </c>
      <c r="AV3040" s="382">
        <v>0.0</v>
      </c>
      <c r="AW3040" s="382">
        <v>0.0</v>
      </c>
      <c r="AX3040" s="382">
        <v>0.0</v>
      </c>
      <c r="AY3040" s="382">
        <v>0.0</v>
      </c>
      <c r="AZ3040" s="382">
        <v>0.0</v>
      </c>
      <c r="BA3040" s="382">
        <v>0.0</v>
      </c>
      <c r="BB3040" s="32"/>
      <c r="BC3040" s="32"/>
      <c r="BD3040" s="32"/>
      <c r="BE3040" s="32"/>
      <c r="BF3040" s="32"/>
      <c r="BG3040" s="32"/>
      <c r="BH3040" s="32"/>
      <c r="BI3040" s="32"/>
      <c r="BJ3040" s="32"/>
      <c r="BK3040" s="32"/>
      <c r="BL3040" s="32"/>
      <c r="BM3040" s="32"/>
      <c r="BN3040" s="32"/>
      <c r="BO3040" s="32"/>
      <c r="BP3040" s="32"/>
      <c r="BQ3040" s="32"/>
      <c r="BR3040" s="32"/>
      <c r="BS3040" s="32"/>
      <c r="BT3040" s="32"/>
      <c r="BU3040" s="32"/>
      <c r="BV3040" s="32"/>
      <c r="BW3040" s="32"/>
      <c r="BX3040" s="32"/>
      <c r="BY3040" s="32"/>
      <c r="BZ3040" s="32"/>
      <c r="CA3040" s="32"/>
      <c r="CB3040" s="32"/>
      <c r="CC3040" s="32"/>
      <c r="CD3040" s="32"/>
    </row>
    <row r="3041" ht="15.75" hidden="1" customHeight="1" outlineLevel="1">
      <c r="A3041" s="365"/>
      <c r="B3041" s="381"/>
      <c r="C3041" s="382">
        <v>0.0</v>
      </c>
      <c r="D3041" s="382">
        <v>0.0</v>
      </c>
      <c r="E3041" s="382">
        <v>0.0</v>
      </c>
      <c r="F3041" s="382">
        <v>0.0</v>
      </c>
      <c r="G3041" s="382">
        <v>0.0</v>
      </c>
      <c r="H3041" s="382">
        <v>0.0</v>
      </c>
      <c r="I3041" s="382">
        <v>0.0</v>
      </c>
      <c r="J3041" s="382">
        <v>0.0</v>
      </c>
      <c r="K3041" s="382">
        <v>0.0</v>
      </c>
      <c r="L3041" s="382">
        <v>0.0</v>
      </c>
      <c r="M3041" s="382">
        <v>0.0</v>
      </c>
      <c r="N3041" s="382">
        <v>0.0</v>
      </c>
      <c r="O3041" s="382">
        <v>0.0</v>
      </c>
      <c r="P3041" s="382">
        <v>0.0</v>
      </c>
      <c r="Q3041" s="382">
        <v>0.0</v>
      </c>
      <c r="R3041" s="382">
        <v>0.0</v>
      </c>
      <c r="S3041" s="382">
        <v>0.0</v>
      </c>
      <c r="T3041" s="382">
        <v>0.0</v>
      </c>
      <c r="U3041" s="382">
        <v>0.0</v>
      </c>
      <c r="V3041" s="382">
        <v>0.0</v>
      </c>
      <c r="W3041" s="382">
        <v>0.0</v>
      </c>
      <c r="X3041" s="382">
        <v>0.0</v>
      </c>
      <c r="Y3041" s="382">
        <v>0.0</v>
      </c>
      <c r="Z3041" s="382">
        <v>0.0</v>
      </c>
      <c r="AA3041" s="382">
        <v>0.0</v>
      </c>
      <c r="AB3041" s="382">
        <v>0.0</v>
      </c>
      <c r="AC3041" s="382">
        <v>0.0</v>
      </c>
      <c r="AD3041" s="382">
        <v>0.0</v>
      </c>
      <c r="AE3041" s="382">
        <v>0.0</v>
      </c>
      <c r="AF3041" s="382">
        <v>0.0</v>
      </c>
      <c r="AG3041" s="382">
        <v>0.0</v>
      </c>
      <c r="AH3041" s="382">
        <v>0.0</v>
      </c>
      <c r="AI3041" s="382">
        <v>0.0</v>
      </c>
      <c r="AJ3041" s="382">
        <v>0.0</v>
      </c>
      <c r="AK3041" s="382">
        <v>0.0</v>
      </c>
      <c r="AL3041" s="382">
        <v>0.0</v>
      </c>
      <c r="AM3041" s="382">
        <v>0.0</v>
      </c>
      <c r="AN3041" s="382">
        <v>0.0</v>
      </c>
      <c r="AO3041" s="382">
        <v>0.0</v>
      </c>
      <c r="AP3041" s="382">
        <v>0.0</v>
      </c>
      <c r="AQ3041" s="382">
        <v>0.0</v>
      </c>
      <c r="AR3041" s="382">
        <v>0.0</v>
      </c>
      <c r="AS3041" s="382">
        <v>0.0</v>
      </c>
      <c r="AT3041" s="382">
        <v>0.0</v>
      </c>
      <c r="AU3041" s="382">
        <v>0.0</v>
      </c>
      <c r="AV3041" s="382">
        <v>0.0</v>
      </c>
      <c r="AW3041" s="382">
        <v>0.0</v>
      </c>
      <c r="AX3041" s="382">
        <v>0.0</v>
      </c>
      <c r="AY3041" s="382">
        <v>0.0</v>
      </c>
      <c r="AZ3041" s="382">
        <v>0.0</v>
      </c>
      <c r="BA3041" s="382">
        <v>0.0</v>
      </c>
      <c r="BB3041" s="32"/>
      <c r="BC3041" s="32"/>
      <c r="BD3041" s="32"/>
      <c r="BE3041" s="32"/>
      <c r="BF3041" s="32"/>
      <c r="BG3041" s="32"/>
      <c r="BH3041" s="32"/>
      <c r="BI3041" s="32"/>
      <c r="BJ3041" s="32"/>
      <c r="BK3041" s="32"/>
      <c r="BL3041" s="32"/>
      <c r="BM3041" s="32"/>
      <c r="BN3041" s="32"/>
      <c r="BO3041" s="32"/>
      <c r="BP3041" s="32"/>
      <c r="BQ3041" s="32"/>
      <c r="BR3041" s="32"/>
      <c r="BS3041" s="32"/>
      <c r="BT3041" s="32"/>
      <c r="BU3041" s="32"/>
      <c r="BV3041" s="32"/>
      <c r="BW3041" s="32"/>
      <c r="BX3041" s="32"/>
      <c r="BY3041" s="32"/>
      <c r="BZ3041" s="32"/>
      <c r="CA3041" s="32"/>
      <c r="CB3041" s="32"/>
      <c r="CC3041" s="32"/>
      <c r="CD3041" s="32"/>
    </row>
    <row r="3042" ht="15.75" hidden="1" customHeight="1" outlineLevel="1">
      <c r="A3042" s="365"/>
      <c r="B3042" s="381"/>
      <c r="C3042" s="382">
        <v>0.0</v>
      </c>
      <c r="D3042" s="382">
        <v>0.0</v>
      </c>
      <c r="E3042" s="382">
        <v>0.0</v>
      </c>
      <c r="F3042" s="382">
        <v>0.0</v>
      </c>
      <c r="G3042" s="382">
        <v>0.0</v>
      </c>
      <c r="H3042" s="382">
        <v>0.0</v>
      </c>
      <c r="I3042" s="382">
        <v>0.0</v>
      </c>
      <c r="J3042" s="382">
        <v>0.0</v>
      </c>
      <c r="K3042" s="382">
        <v>0.0</v>
      </c>
      <c r="L3042" s="382">
        <v>0.0</v>
      </c>
      <c r="M3042" s="382">
        <v>0.0</v>
      </c>
      <c r="N3042" s="382">
        <v>0.0</v>
      </c>
      <c r="O3042" s="382">
        <v>0.0</v>
      </c>
      <c r="P3042" s="382">
        <v>0.0</v>
      </c>
      <c r="Q3042" s="382">
        <v>0.0</v>
      </c>
      <c r="R3042" s="382">
        <v>0.0</v>
      </c>
      <c r="S3042" s="382">
        <v>0.0</v>
      </c>
      <c r="T3042" s="382">
        <v>0.0</v>
      </c>
      <c r="U3042" s="382">
        <v>0.0</v>
      </c>
      <c r="V3042" s="382">
        <v>0.0</v>
      </c>
      <c r="W3042" s="382">
        <v>0.0</v>
      </c>
      <c r="X3042" s="382">
        <v>0.0</v>
      </c>
      <c r="Y3042" s="382">
        <v>0.0</v>
      </c>
      <c r="Z3042" s="382">
        <v>0.0</v>
      </c>
      <c r="AA3042" s="382">
        <v>0.0</v>
      </c>
      <c r="AB3042" s="382">
        <v>0.0</v>
      </c>
      <c r="AC3042" s="382">
        <v>0.0</v>
      </c>
      <c r="AD3042" s="382">
        <v>0.0</v>
      </c>
      <c r="AE3042" s="382">
        <v>0.0</v>
      </c>
      <c r="AF3042" s="382">
        <v>0.0</v>
      </c>
      <c r="AG3042" s="382">
        <v>0.0</v>
      </c>
      <c r="AH3042" s="382">
        <v>0.0</v>
      </c>
      <c r="AI3042" s="382">
        <v>0.0</v>
      </c>
      <c r="AJ3042" s="382">
        <v>0.0</v>
      </c>
      <c r="AK3042" s="382">
        <v>0.0</v>
      </c>
      <c r="AL3042" s="382">
        <v>0.0</v>
      </c>
      <c r="AM3042" s="382">
        <v>0.0</v>
      </c>
      <c r="AN3042" s="382">
        <v>0.0</v>
      </c>
      <c r="AO3042" s="382">
        <v>0.0</v>
      </c>
      <c r="AP3042" s="382">
        <v>0.0</v>
      </c>
      <c r="AQ3042" s="382">
        <v>0.0</v>
      </c>
      <c r="AR3042" s="382">
        <v>0.0</v>
      </c>
      <c r="AS3042" s="382">
        <v>0.0</v>
      </c>
      <c r="AT3042" s="382">
        <v>0.0</v>
      </c>
      <c r="AU3042" s="382">
        <v>0.0</v>
      </c>
      <c r="AV3042" s="382">
        <v>0.0</v>
      </c>
      <c r="AW3042" s="382">
        <v>0.0</v>
      </c>
      <c r="AX3042" s="382">
        <v>0.0</v>
      </c>
      <c r="AY3042" s="382">
        <v>0.0</v>
      </c>
      <c r="AZ3042" s="382">
        <v>0.0</v>
      </c>
      <c r="BA3042" s="382">
        <v>0.0</v>
      </c>
      <c r="BB3042" s="32"/>
      <c r="BC3042" s="32"/>
      <c r="BD3042" s="32"/>
      <c r="BE3042" s="32"/>
      <c r="BF3042" s="32"/>
      <c r="BG3042" s="32"/>
      <c r="BH3042" s="32"/>
      <c r="BI3042" s="32"/>
      <c r="BJ3042" s="32"/>
      <c r="BK3042" s="32"/>
      <c r="BL3042" s="32"/>
      <c r="BM3042" s="32"/>
      <c r="BN3042" s="32"/>
      <c r="BO3042" s="32"/>
      <c r="BP3042" s="32"/>
      <c r="BQ3042" s="32"/>
      <c r="BR3042" s="32"/>
      <c r="BS3042" s="32"/>
      <c r="BT3042" s="32"/>
      <c r="BU3042" s="32"/>
      <c r="BV3042" s="32"/>
      <c r="BW3042" s="32"/>
      <c r="BX3042" s="32"/>
      <c r="BY3042" s="32"/>
      <c r="BZ3042" s="32"/>
      <c r="CA3042" s="32"/>
      <c r="CB3042" s="32"/>
      <c r="CC3042" s="32"/>
      <c r="CD3042" s="32"/>
    </row>
    <row r="3043" ht="15.75" hidden="1" customHeight="1" outlineLevel="1">
      <c r="A3043" s="365"/>
      <c r="B3043" s="381"/>
      <c r="C3043" s="382">
        <v>0.0</v>
      </c>
      <c r="D3043" s="382">
        <v>0.0</v>
      </c>
      <c r="E3043" s="382">
        <v>0.0</v>
      </c>
      <c r="F3043" s="382">
        <v>0.0</v>
      </c>
      <c r="G3043" s="382">
        <v>0.0</v>
      </c>
      <c r="H3043" s="382">
        <v>0.0</v>
      </c>
      <c r="I3043" s="382">
        <v>0.0</v>
      </c>
      <c r="J3043" s="382">
        <v>0.0</v>
      </c>
      <c r="K3043" s="382">
        <v>0.0</v>
      </c>
      <c r="L3043" s="382">
        <v>0.0</v>
      </c>
      <c r="M3043" s="382">
        <v>0.0</v>
      </c>
      <c r="N3043" s="382">
        <v>0.0</v>
      </c>
      <c r="O3043" s="382">
        <v>0.0</v>
      </c>
      <c r="P3043" s="382">
        <v>0.0</v>
      </c>
      <c r="Q3043" s="382">
        <v>0.0</v>
      </c>
      <c r="R3043" s="382">
        <v>0.0</v>
      </c>
      <c r="S3043" s="382">
        <v>0.0</v>
      </c>
      <c r="T3043" s="382">
        <v>0.0</v>
      </c>
      <c r="U3043" s="382">
        <v>0.0</v>
      </c>
      <c r="V3043" s="382">
        <v>0.0</v>
      </c>
      <c r="W3043" s="382">
        <v>0.0</v>
      </c>
      <c r="X3043" s="382">
        <v>0.0</v>
      </c>
      <c r="Y3043" s="382">
        <v>0.0</v>
      </c>
      <c r="Z3043" s="382">
        <v>0.0</v>
      </c>
      <c r="AA3043" s="382">
        <v>0.0</v>
      </c>
      <c r="AB3043" s="382">
        <v>0.0</v>
      </c>
      <c r="AC3043" s="382">
        <v>0.0</v>
      </c>
      <c r="AD3043" s="382">
        <v>0.0</v>
      </c>
      <c r="AE3043" s="382">
        <v>0.0</v>
      </c>
      <c r="AF3043" s="382">
        <v>0.0</v>
      </c>
      <c r="AG3043" s="382">
        <v>0.0</v>
      </c>
      <c r="AH3043" s="382">
        <v>0.0</v>
      </c>
      <c r="AI3043" s="382">
        <v>0.0</v>
      </c>
      <c r="AJ3043" s="382">
        <v>0.0</v>
      </c>
      <c r="AK3043" s="382">
        <v>0.0</v>
      </c>
      <c r="AL3043" s="382">
        <v>0.0</v>
      </c>
      <c r="AM3043" s="382">
        <v>0.0</v>
      </c>
      <c r="AN3043" s="382">
        <v>0.0</v>
      </c>
      <c r="AO3043" s="382">
        <v>0.0</v>
      </c>
      <c r="AP3043" s="382">
        <v>0.0</v>
      </c>
      <c r="AQ3043" s="382">
        <v>0.0</v>
      </c>
      <c r="AR3043" s="382">
        <v>0.0</v>
      </c>
      <c r="AS3043" s="382">
        <v>0.0</v>
      </c>
      <c r="AT3043" s="382">
        <v>0.0</v>
      </c>
      <c r="AU3043" s="382">
        <v>0.0</v>
      </c>
      <c r="AV3043" s="382">
        <v>0.0</v>
      </c>
      <c r="AW3043" s="382">
        <v>0.0</v>
      </c>
      <c r="AX3043" s="382">
        <v>0.0</v>
      </c>
      <c r="AY3043" s="382">
        <v>0.0</v>
      </c>
      <c r="AZ3043" s="382">
        <v>0.0</v>
      </c>
      <c r="BA3043" s="382">
        <v>0.0</v>
      </c>
      <c r="BB3043" s="32"/>
      <c r="BC3043" s="32"/>
      <c r="BD3043" s="32"/>
      <c r="BE3043" s="32"/>
      <c r="BF3043" s="32"/>
      <c r="BG3043" s="32"/>
      <c r="BH3043" s="32"/>
      <c r="BI3043" s="32"/>
      <c r="BJ3043" s="32"/>
      <c r="BK3043" s="32"/>
      <c r="BL3043" s="32"/>
      <c r="BM3043" s="32"/>
      <c r="BN3043" s="32"/>
      <c r="BO3043" s="32"/>
      <c r="BP3043" s="32"/>
      <c r="BQ3043" s="32"/>
      <c r="BR3043" s="32"/>
      <c r="BS3043" s="32"/>
      <c r="BT3043" s="32"/>
      <c r="BU3043" s="32"/>
      <c r="BV3043" s="32"/>
      <c r="BW3043" s="32"/>
      <c r="BX3043" s="32"/>
      <c r="BY3043" s="32"/>
      <c r="BZ3043" s="32"/>
      <c r="CA3043" s="32"/>
      <c r="CB3043" s="32"/>
      <c r="CC3043" s="32"/>
      <c r="CD3043" s="32"/>
    </row>
    <row r="3044" ht="15.75" hidden="1" customHeight="1" outlineLevel="1">
      <c r="A3044" s="365"/>
      <c r="B3044" s="381"/>
      <c r="C3044" s="382">
        <v>0.0</v>
      </c>
      <c r="D3044" s="382">
        <v>0.0</v>
      </c>
      <c r="E3044" s="382">
        <v>0.0</v>
      </c>
      <c r="F3044" s="382">
        <v>0.0</v>
      </c>
      <c r="G3044" s="382">
        <v>0.0</v>
      </c>
      <c r="H3044" s="382">
        <v>0.0</v>
      </c>
      <c r="I3044" s="382">
        <v>0.0</v>
      </c>
      <c r="J3044" s="382">
        <v>0.0</v>
      </c>
      <c r="K3044" s="382">
        <v>0.0</v>
      </c>
      <c r="L3044" s="382">
        <v>0.0</v>
      </c>
      <c r="M3044" s="382">
        <v>0.0</v>
      </c>
      <c r="N3044" s="382">
        <v>0.0</v>
      </c>
      <c r="O3044" s="382">
        <v>0.0</v>
      </c>
      <c r="P3044" s="382">
        <v>0.0</v>
      </c>
      <c r="Q3044" s="382">
        <v>0.0</v>
      </c>
      <c r="R3044" s="382">
        <v>0.0</v>
      </c>
      <c r="S3044" s="382">
        <v>0.0</v>
      </c>
      <c r="T3044" s="382">
        <v>0.0</v>
      </c>
      <c r="U3044" s="382">
        <v>0.0</v>
      </c>
      <c r="V3044" s="382">
        <v>0.0</v>
      </c>
      <c r="W3044" s="382">
        <v>0.0</v>
      </c>
      <c r="X3044" s="382">
        <v>0.0</v>
      </c>
      <c r="Y3044" s="382">
        <v>0.0</v>
      </c>
      <c r="Z3044" s="382">
        <v>0.0</v>
      </c>
      <c r="AA3044" s="382">
        <v>0.0</v>
      </c>
      <c r="AB3044" s="382">
        <v>0.0</v>
      </c>
      <c r="AC3044" s="382">
        <v>0.0</v>
      </c>
      <c r="AD3044" s="382">
        <v>0.0</v>
      </c>
      <c r="AE3044" s="382">
        <v>0.0</v>
      </c>
      <c r="AF3044" s="382">
        <v>0.0</v>
      </c>
      <c r="AG3044" s="382">
        <v>0.0</v>
      </c>
      <c r="AH3044" s="382">
        <v>0.0</v>
      </c>
      <c r="AI3044" s="382">
        <v>0.0</v>
      </c>
      <c r="AJ3044" s="382">
        <v>0.0</v>
      </c>
      <c r="AK3044" s="382">
        <v>0.0</v>
      </c>
      <c r="AL3044" s="382">
        <v>0.0</v>
      </c>
      <c r="AM3044" s="382">
        <v>0.0</v>
      </c>
      <c r="AN3044" s="382">
        <v>0.0</v>
      </c>
      <c r="AO3044" s="382">
        <v>0.0</v>
      </c>
      <c r="AP3044" s="382">
        <v>0.0</v>
      </c>
      <c r="AQ3044" s="382">
        <v>0.0</v>
      </c>
      <c r="AR3044" s="382">
        <v>0.0</v>
      </c>
      <c r="AS3044" s="382">
        <v>0.0</v>
      </c>
      <c r="AT3044" s="382">
        <v>0.0</v>
      </c>
      <c r="AU3044" s="382">
        <v>0.0</v>
      </c>
      <c r="AV3044" s="382">
        <v>0.0</v>
      </c>
      <c r="AW3044" s="382">
        <v>0.0</v>
      </c>
      <c r="AX3044" s="382">
        <v>0.0</v>
      </c>
      <c r="AY3044" s="382">
        <v>0.0</v>
      </c>
      <c r="AZ3044" s="382">
        <v>0.0</v>
      </c>
      <c r="BA3044" s="382">
        <v>0.0</v>
      </c>
      <c r="BB3044" s="32"/>
      <c r="BC3044" s="32"/>
      <c r="BD3044" s="32"/>
      <c r="BE3044" s="32"/>
      <c r="BF3044" s="32"/>
      <c r="BG3044" s="32"/>
      <c r="BH3044" s="32"/>
      <c r="BI3044" s="32"/>
      <c r="BJ3044" s="32"/>
      <c r="BK3044" s="32"/>
      <c r="BL3044" s="32"/>
      <c r="BM3044" s="32"/>
      <c r="BN3044" s="32"/>
      <c r="BO3044" s="32"/>
      <c r="BP3044" s="32"/>
      <c r="BQ3044" s="32"/>
      <c r="BR3044" s="32"/>
      <c r="BS3044" s="32"/>
      <c r="BT3044" s="32"/>
      <c r="BU3044" s="32"/>
      <c r="BV3044" s="32"/>
      <c r="BW3044" s="32"/>
      <c r="BX3044" s="32"/>
      <c r="BY3044" s="32"/>
      <c r="BZ3044" s="32"/>
      <c r="CA3044" s="32"/>
      <c r="CB3044" s="32"/>
      <c r="CC3044" s="32"/>
      <c r="CD3044" s="32"/>
    </row>
    <row r="3045" ht="15.75" hidden="1" customHeight="1" outlineLevel="1">
      <c r="A3045" s="365"/>
      <c r="B3045" s="381"/>
      <c r="C3045" s="382">
        <v>0.0</v>
      </c>
      <c r="D3045" s="382">
        <v>0.0</v>
      </c>
      <c r="E3045" s="382">
        <v>0.0</v>
      </c>
      <c r="F3045" s="382">
        <v>0.0</v>
      </c>
      <c r="G3045" s="382">
        <v>0.0</v>
      </c>
      <c r="H3045" s="382">
        <v>0.0</v>
      </c>
      <c r="I3045" s="382">
        <v>0.0</v>
      </c>
      <c r="J3045" s="382">
        <v>0.0</v>
      </c>
      <c r="K3045" s="382">
        <v>0.0</v>
      </c>
      <c r="L3045" s="382">
        <v>0.0</v>
      </c>
      <c r="M3045" s="382">
        <v>0.0</v>
      </c>
      <c r="N3045" s="382">
        <v>0.0</v>
      </c>
      <c r="O3045" s="382">
        <v>0.0</v>
      </c>
      <c r="P3045" s="382">
        <v>0.0</v>
      </c>
      <c r="Q3045" s="382">
        <v>0.0</v>
      </c>
      <c r="R3045" s="382">
        <v>0.0</v>
      </c>
      <c r="S3045" s="382">
        <v>0.0</v>
      </c>
      <c r="T3045" s="382">
        <v>0.0</v>
      </c>
      <c r="U3045" s="382">
        <v>0.0</v>
      </c>
      <c r="V3045" s="382">
        <v>0.0</v>
      </c>
      <c r="W3045" s="382">
        <v>0.0</v>
      </c>
      <c r="X3045" s="382">
        <v>0.0</v>
      </c>
      <c r="Y3045" s="382">
        <v>0.0</v>
      </c>
      <c r="Z3045" s="382">
        <v>0.0</v>
      </c>
      <c r="AA3045" s="382">
        <v>0.0</v>
      </c>
      <c r="AB3045" s="382">
        <v>0.0</v>
      </c>
      <c r="AC3045" s="382">
        <v>0.0</v>
      </c>
      <c r="AD3045" s="382">
        <v>0.0</v>
      </c>
      <c r="AE3045" s="382">
        <v>0.0</v>
      </c>
      <c r="AF3045" s="382">
        <v>0.0</v>
      </c>
      <c r="AG3045" s="382">
        <v>0.0</v>
      </c>
      <c r="AH3045" s="382">
        <v>0.0</v>
      </c>
      <c r="AI3045" s="382">
        <v>0.0</v>
      </c>
      <c r="AJ3045" s="382">
        <v>0.0</v>
      </c>
      <c r="AK3045" s="382">
        <v>0.0</v>
      </c>
      <c r="AL3045" s="382">
        <v>0.0</v>
      </c>
      <c r="AM3045" s="382">
        <v>0.0</v>
      </c>
      <c r="AN3045" s="382">
        <v>0.0</v>
      </c>
      <c r="AO3045" s="382">
        <v>0.0</v>
      </c>
      <c r="AP3045" s="382">
        <v>0.0</v>
      </c>
      <c r="AQ3045" s="382">
        <v>0.0</v>
      </c>
      <c r="AR3045" s="382">
        <v>0.0</v>
      </c>
      <c r="AS3045" s="382">
        <v>0.0</v>
      </c>
      <c r="AT3045" s="382">
        <v>0.0</v>
      </c>
      <c r="AU3045" s="382">
        <v>0.0</v>
      </c>
      <c r="AV3045" s="382">
        <v>0.0</v>
      </c>
      <c r="AW3045" s="382">
        <v>0.0</v>
      </c>
      <c r="AX3045" s="382">
        <v>0.0</v>
      </c>
      <c r="AY3045" s="382">
        <v>0.0</v>
      </c>
      <c r="AZ3045" s="382">
        <v>0.0</v>
      </c>
      <c r="BA3045" s="382">
        <v>0.0</v>
      </c>
      <c r="BB3045" s="32"/>
      <c r="BC3045" s="32"/>
      <c r="BD3045" s="32"/>
      <c r="BE3045" s="32"/>
      <c r="BF3045" s="32"/>
      <c r="BG3045" s="32"/>
      <c r="BH3045" s="32"/>
      <c r="BI3045" s="32"/>
      <c r="BJ3045" s="32"/>
      <c r="BK3045" s="32"/>
      <c r="BL3045" s="32"/>
      <c r="BM3045" s="32"/>
      <c r="BN3045" s="32"/>
      <c r="BO3045" s="32"/>
      <c r="BP3045" s="32"/>
      <c r="BQ3045" s="32"/>
      <c r="BR3045" s="32"/>
      <c r="BS3045" s="32"/>
      <c r="BT3045" s="32"/>
      <c r="BU3045" s="32"/>
      <c r="BV3045" s="32"/>
      <c r="BW3045" s="32"/>
      <c r="BX3045" s="32"/>
      <c r="BY3045" s="32"/>
      <c r="BZ3045" s="32"/>
      <c r="CA3045" s="32"/>
      <c r="CB3045" s="32"/>
      <c r="CC3045" s="32"/>
      <c r="CD3045" s="32"/>
    </row>
    <row r="3046" ht="15.75" hidden="1" customHeight="1" outlineLevel="1">
      <c r="A3046" s="365"/>
      <c r="B3046" s="381"/>
      <c r="C3046" s="382">
        <v>0.0</v>
      </c>
      <c r="D3046" s="382">
        <v>0.0</v>
      </c>
      <c r="E3046" s="382">
        <v>0.0</v>
      </c>
      <c r="F3046" s="382">
        <v>0.0</v>
      </c>
      <c r="G3046" s="382">
        <v>0.0</v>
      </c>
      <c r="H3046" s="382">
        <v>0.0</v>
      </c>
      <c r="I3046" s="382">
        <v>0.0</v>
      </c>
      <c r="J3046" s="382">
        <v>0.0</v>
      </c>
      <c r="K3046" s="382">
        <v>0.0</v>
      </c>
      <c r="L3046" s="382">
        <v>0.0</v>
      </c>
      <c r="M3046" s="382">
        <v>0.0</v>
      </c>
      <c r="N3046" s="382">
        <v>0.0</v>
      </c>
      <c r="O3046" s="382">
        <v>0.0</v>
      </c>
      <c r="P3046" s="382">
        <v>0.0</v>
      </c>
      <c r="Q3046" s="382">
        <v>0.0</v>
      </c>
      <c r="R3046" s="382">
        <v>0.0</v>
      </c>
      <c r="S3046" s="382">
        <v>0.0</v>
      </c>
      <c r="T3046" s="382">
        <v>0.0</v>
      </c>
      <c r="U3046" s="382">
        <v>0.0</v>
      </c>
      <c r="V3046" s="382">
        <v>0.0</v>
      </c>
      <c r="W3046" s="382">
        <v>0.0</v>
      </c>
      <c r="X3046" s="382">
        <v>0.0</v>
      </c>
      <c r="Y3046" s="382">
        <v>0.0</v>
      </c>
      <c r="Z3046" s="382">
        <v>0.0</v>
      </c>
      <c r="AA3046" s="382">
        <v>0.0</v>
      </c>
      <c r="AB3046" s="382">
        <v>0.0</v>
      </c>
      <c r="AC3046" s="382">
        <v>0.0</v>
      </c>
      <c r="AD3046" s="382">
        <v>0.0</v>
      </c>
      <c r="AE3046" s="382">
        <v>0.0</v>
      </c>
      <c r="AF3046" s="382">
        <v>0.0</v>
      </c>
      <c r="AG3046" s="382">
        <v>0.0</v>
      </c>
      <c r="AH3046" s="382">
        <v>0.0</v>
      </c>
      <c r="AI3046" s="382">
        <v>0.0</v>
      </c>
      <c r="AJ3046" s="382">
        <v>0.0</v>
      </c>
      <c r="AK3046" s="382">
        <v>0.0</v>
      </c>
      <c r="AL3046" s="382">
        <v>0.0</v>
      </c>
      <c r="AM3046" s="382">
        <v>0.0</v>
      </c>
      <c r="AN3046" s="382">
        <v>0.0</v>
      </c>
      <c r="AO3046" s="382">
        <v>0.0</v>
      </c>
      <c r="AP3046" s="382">
        <v>0.0</v>
      </c>
      <c r="AQ3046" s="382">
        <v>0.0</v>
      </c>
      <c r="AR3046" s="382">
        <v>0.0</v>
      </c>
      <c r="AS3046" s="382">
        <v>0.0</v>
      </c>
      <c r="AT3046" s="382">
        <v>0.0</v>
      </c>
      <c r="AU3046" s="382">
        <v>0.0</v>
      </c>
      <c r="AV3046" s="382">
        <v>0.0</v>
      </c>
      <c r="AW3046" s="382">
        <v>0.0</v>
      </c>
      <c r="AX3046" s="382">
        <v>0.0</v>
      </c>
      <c r="AY3046" s="382">
        <v>0.0</v>
      </c>
      <c r="AZ3046" s="382">
        <v>0.0</v>
      </c>
      <c r="BA3046" s="382">
        <v>0.0</v>
      </c>
      <c r="BB3046" s="32"/>
      <c r="BC3046" s="32"/>
      <c r="BD3046" s="32"/>
      <c r="BE3046" s="32"/>
      <c r="BF3046" s="32"/>
      <c r="BG3046" s="32"/>
      <c r="BH3046" s="32"/>
      <c r="BI3046" s="32"/>
      <c r="BJ3046" s="32"/>
      <c r="BK3046" s="32"/>
      <c r="BL3046" s="32"/>
      <c r="BM3046" s="32"/>
      <c r="BN3046" s="32"/>
      <c r="BO3046" s="32"/>
      <c r="BP3046" s="32"/>
      <c r="BQ3046" s="32"/>
      <c r="BR3046" s="32"/>
      <c r="BS3046" s="32"/>
      <c r="BT3046" s="32"/>
      <c r="BU3046" s="32"/>
      <c r="BV3046" s="32"/>
      <c r="BW3046" s="32"/>
      <c r="BX3046" s="32"/>
      <c r="BY3046" s="32"/>
      <c r="BZ3046" s="32"/>
      <c r="CA3046" s="32"/>
      <c r="CB3046" s="32"/>
      <c r="CC3046" s="32"/>
      <c r="CD3046" s="32"/>
    </row>
    <row r="3047" ht="15.75" hidden="1" customHeight="1" outlineLevel="1">
      <c r="A3047" s="365"/>
      <c r="B3047" s="381"/>
      <c r="C3047" s="382">
        <v>0.0</v>
      </c>
      <c r="D3047" s="382">
        <v>0.0</v>
      </c>
      <c r="E3047" s="382">
        <v>0.0</v>
      </c>
      <c r="F3047" s="382">
        <v>0.0</v>
      </c>
      <c r="G3047" s="382">
        <v>0.0</v>
      </c>
      <c r="H3047" s="382">
        <v>0.0</v>
      </c>
      <c r="I3047" s="382">
        <v>0.0</v>
      </c>
      <c r="J3047" s="382">
        <v>0.0</v>
      </c>
      <c r="K3047" s="382">
        <v>0.0</v>
      </c>
      <c r="L3047" s="382">
        <v>0.0</v>
      </c>
      <c r="M3047" s="382">
        <v>0.0</v>
      </c>
      <c r="N3047" s="382">
        <v>0.0</v>
      </c>
      <c r="O3047" s="382">
        <v>0.0</v>
      </c>
      <c r="P3047" s="382">
        <v>0.0</v>
      </c>
      <c r="Q3047" s="382">
        <v>0.0</v>
      </c>
      <c r="R3047" s="382">
        <v>0.0</v>
      </c>
      <c r="S3047" s="382">
        <v>0.0</v>
      </c>
      <c r="T3047" s="382">
        <v>0.0</v>
      </c>
      <c r="U3047" s="382">
        <v>0.0</v>
      </c>
      <c r="V3047" s="382">
        <v>0.0</v>
      </c>
      <c r="W3047" s="382">
        <v>0.0</v>
      </c>
      <c r="X3047" s="382">
        <v>0.0</v>
      </c>
      <c r="Y3047" s="382">
        <v>0.0</v>
      </c>
      <c r="Z3047" s="382">
        <v>0.0</v>
      </c>
      <c r="AA3047" s="382">
        <v>0.0</v>
      </c>
      <c r="AB3047" s="382">
        <v>0.0</v>
      </c>
      <c r="AC3047" s="382">
        <v>0.0</v>
      </c>
      <c r="AD3047" s="382">
        <v>0.0</v>
      </c>
      <c r="AE3047" s="382">
        <v>0.0</v>
      </c>
      <c r="AF3047" s="382">
        <v>0.0</v>
      </c>
      <c r="AG3047" s="382">
        <v>0.0</v>
      </c>
      <c r="AH3047" s="382">
        <v>0.0</v>
      </c>
      <c r="AI3047" s="382">
        <v>0.0</v>
      </c>
      <c r="AJ3047" s="382">
        <v>0.0</v>
      </c>
      <c r="AK3047" s="382">
        <v>0.0</v>
      </c>
      <c r="AL3047" s="382">
        <v>0.0</v>
      </c>
      <c r="AM3047" s="382">
        <v>0.0</v>
      </c>
      <c r="AN3047" s="382">
        <v>0.0</v>
      </c>
      <c r="AO3047" s="382">
        <v>0.0</v>
      </c>
      <c r="AP3047" s="382">
        <v>0.0</v>
      </c>
      <c r="AQ3047" s="382">
        <v>0.0</v>
      </c>
      <c r="AR3047" s="382">
        <v>0.0</v>
      </c>
      <c r="AS3047" s="382">
        <v>0.0</v>
      </c>
      <c r="AT3047" s="382">
        <v>0.0</v>
      </c>
      <c r="AU3047" s="382">
        <v>0.0</v>
      </c>
      <c r="AV3047" s="382">
        <v>0.0</v>
      </c>
      <c r="AW3047" s="382">
        <v>0.0</v>
      </c>
      <c r="AX3047" s="382">
        <v>0.0</v>
      </c>
      <c r="AY3047" s="382">
        <v>0.0</v>
      </c>
      <c r="AZ3047" s="382">
        <v>0.0</v>
      </c>
      <c r="BA3047" s="382">
        <v>0.0</v>
      </c>
      <c r="BB3047" s="32"/>
      <c r="BC3047" s="32"/>
      <c r="BD3047" s="32"/>
      <c r="BE3047" s="32"/>
      <c r="BF3047" s="32"/>
      <c r="BG3047" s="32"/>
      <c r="BH3047" s="32"/>
      <c r="BI3047" s="32"/>
      <c r="BJ3047" s="32"/>
      <c r="BK3047" s="32"/>
      <c r="BL3047" s="32"/>
      <c r="BM3047" s="32"/>
      <c r="BN3047" s="32"/>
      <c r="BO3047" s="32"/>
      <c r="BP3047" s="32"/>
      <c r="BQ3047" s="32"/>
      <c r="BR3047" s="32"/>
      <c r="BS3047" s="32"/>
      <c r="BT3047" s="32"/>
      <c r="BU3047" s="32"/>
      <c r="BV3047" s="32"/>
      <c r="BW3047" s="32"/>
      <c r="BX3047" s="32"/>
      <c r="BY3047" s="32"/>
      <c r="BZ3047" s="32"/>
      <c r="CA3047" s="32"/>
      <c r="CB3047" s="32"/>
      <c r="CC3047" s="32"/>
      <c r="CD3047" s="32"/>
    </row>
    <row r="3048" ht="15.75" hidden="1" customHeight="1" outlineLevel="1">
      <c r="A3048" s="365"/>
      <c r="B3048" s="381"/>
      <c r="C3048" s="382">
        <v>0.0</v>
      </c>
      <c r="D3048" s="382">
        <v>0.0</v>
      </c>
      <c r="E3048" s="382">
        <v>0.0</v>
      </c>
      <c r="F3048" s="382">
        <v>0.0</v>
      </c>
      <c r="G3048" s="382">
        <v>0.0</v>
      </c>
      <c r="H3048" s="382">
        <v>0.0</v>
      </c>
      <c r="I3048" s="382">
        <v>0.0</v>
      </c>
      <c r="J3048" s="382">
        <v>0.0</v>
      </c>
      <c r="K3048" s="382">
        <v>0.0</v>
      </c>
      <c r="L3048" s="382">
        <v>0.0</v>
      </c>
      <c r="M3048" s="382">
        <v>0.0</v>
      </c>
      <c r="N3048" s="382">
        <v>0.0</v>
      </c>
      <c r="O3048" s="382">
        <v>0.0</v>
      </c>
      <c r="P3048" s="382">
        <v>0.0</v>
      </c>
      <c r="Q3048" s="382">
        <v>0.0</v>
      </c>
      <c r="R3048" s="382">
        <v>0.0</v>
      </c>
      <c r="S3048" s="382">
        <v>0.0</v>
      </c>
      <c r="T3048" s="382">
        <v>0.0</v>
      </c>
      <c r="U3048" s="382">
        <v>0.0</v>
      </c>
      <c r="V3048" s="382">
        <v>0.0</v>
      </c>
      <c r="W3048" s="382">
        <v>0.0</v>
      </c>
      <c r="X3048" s="382">
        <v>0.0</v>
      </c>
      <c r="Y3048" s="382">
        <v>0.0</v>
      </c>
      <c r="Z3048" s="382">
        <v>0.0</v>
      </c>
      <c r="AA3048" s="382">
        <v>0.0</v>
      </c>
      <c r="AB3048" s="382">
        <v>0.0</v>
      </c>
      <c r="AC3048" s="382">
        <v>0.0</v>
      </c>
      <c r="AD3048" s="382">
        <v>0.0</v>
      </c>
      <c r="AE3048" s="382">
        <v>0.0</v>
      </c>
      <c r="AF3048" s="382">
        <v>0.0</v>
      </c>
      <c r="AG3048" s="382">
        <v>0.0</v>
      </c>
      <c r="AH3048" s="382">
        <v>0.0</v>
      </c>
      <c r="AI3048" s="382">
        <v>0.0</v>
      </c>
      <c r="AJ3048" s="382">
        <v>0.0</v>
      </c>
      <c r="AK3048" s="382">
        <v>0.0</v>
      </c>
      <c r="AL3048" s="382">
        <v>0.0</v>
      </c>
      <c r="AM3048" s="382">
        <v>0.0</v>
      </c>
      <c r="AN3048" s="382">
        <v>0.0</v>
      </c>
      <c r="AO3048" s="382">
        <v>0.0</v>
      </c>
      <c r="AP3048" s="382">
        <v>0.0</v>
      </c>
      <c r="AQ3048" s="382">
        <v>0.0</v>
      </c>
      <c r="AR3048" s="382">
        <v>0.0</v>
      </c>
      <c r="AS3048" s="382">
        <v>0.0</v>
      </c>
      <c r="AT3048" s="382">
        <v>0.0</v>
      </c>
      <c r="AU3048" s="382">
        <v>0.0</v>
      </c>
      <c r="AV3048" s="382">
        <v>0.0</v>
      </c>
      <c r="AW3048" s="382">
        <v>0.0</v>
      </c>
      <c r="AX3048" s="382">
        <v>0.0</v>
      </c>
      <c r="AY3048" s="382">
        <v>0.0</v>
      </c>
      <c r="AZ3048" s="382">
        <v>0.0</v>
      </c>
      <c r="BA3048" s="382">
        <v>0.0</v>
      </c>
      <c r="BB3048" s="32"/>
      <c r="BC3048" s="32"/>
      <c r="BD3048" s="32"/>
      <c r="BE3048" s="32"/>
      <c r="BF3048" s="32"/>
      <c r="BG3048" s="32"/>
      <c r="BH3048" s="32"/>
      <c r="BI3048" s="32"/>
      <c r="BJ3048" s="32"/>
      <c r="BK3048" s="32"/>
      <c r="BL3048" s="32"/>
      <c r="BM3048" s="32"/>
      <c r="BN3048" s="32"/>
      <c r="BO3048" s="32"/>
      <c r="BP3048" s="32"/>
      <c r="BQ3048" s="32"/>
      <c r="BR3048" s="32"/>
      <c r="BS3048" s="32"/>
      <c r="BT3048" s="32"/>
      <c r="BU3048" s="32"/>
      <c r="BV3048" s="32"/>
      <c r="BW3048" s="32"/>
      <c r="BX3048" s="32"/>
      <c r="BY3048" s="32"/>
      <c r="BZ3048" s="32"/>
      <c r="CA3048" s="32"/>
      <c r="CB3048" s="32"/>
      <c r="CC3048" s="32"/>
      <c r="CD3048" s="32"/>
    </row>
    <row r="3049" ht="15.75" hidden="1" customHeight="1" outlineLevel="1">
      <c r="A3049" s="365"/>
      <c r="B3049" s="381"/>
      <c r="C3049" s="382">
        <v>0.0</v>
      </c>
      <c r="D3049" s="382">
        <v>0.0</v>
      </c>
      <c r="E3049" s="382">
        <v>0.0</v>
      </c>
      <c r="F3049" s="382">
        <v>0.0</v>
      </c>
      <c r="G3049" s="382">
        <v>0.0</v>
      </c>
      <c r="H3049" s="382">
        <v>0.0</v>
      </c>
      <c r="I3049" s="382">
        <v>0.0</v>
      </c>
      <c r="J3049" s="382">
        <v>0.0</v>
      </c>
      <c r="K3049" s="382">
        <v>0.0</v>
      </c>
      <c r="L3049" s="382">
        <v>0.0</v>
      </c>
      <c r="M3049" s="382">
        <v>0.0</v>
      </c>
      <c r="N3049" s="382">
        <v>0.0</v>
      </c>
      <c r="O3049" s="382">
        <v>0.0</v>
      </c>
      <c r="P3049" s="382">
        <v>0.0</v>
      </c>
      <c r="Q3049" s="382">
        <v>0.0</v>
      </c>
      <c r="R3049" s="382">
        <v>0.0</v>
      </c>
      <c r="S3049" s="382">
        <v>0.0</v>
      </c>
      <c r="T3049" s="382">
        <v>0.0</v>
      </c>
      <c r="U3049" s="382">
        <v>0.0</v>
      </c>
      <c r="V3049" s="382">
        <v>0.0</v>
      </c>
      <c r="W3049" s="382">
        <v>0.0</v>
      </c>
      <c r="X3049" s="382">
        <v>0.0</v>
      </c>
      <c r="Y3049" s="382">
        <v>0.0</v>
      </c>
      <c r="Z3049" s="382">
        <v>0.0</v>
      </c>
      <c r="AA3049" s="382">
        <v>0.0</v>
      </c>
      <c r="AB3049" s="382">
        <v>0.0</v>
      </c>
      <c r="AC3049" s="382">
        <v>0.0</v>
      </c>
      <c r="AD3049" s="382">
        <v>0.0</v>
      </c>
      <c r="AE3049" s="382">
        <v>0.0</v>
      </c>
      <c r="AF3049" s="382">
        <v>0.0</v>
      </c>
      <c r="AG3049" s="382">
        <v>0.0</v>
      </c>
      <c r="AH3049" s="382">
        <v>0.0</v>
      </c>
      <c r="AI3049" s="382">
        <v>0.0</v>
      </c>
      <c r="AJ3049" s="382">
        <v>0.0</v>
      </c>
      <c r="AK3049" s="382">
        <v>0.0</v>
      </c>
      <c r="AL3049" s="382">
        <v>0.0</v>
      </c>
      <c r="AM3049" s="382">
        <v>0.0</v>
      </c>
      <c r="AN3049" s="382">
        <v>0.0</v>
      </c>
      <c r="AO3049" s="382">
        <v>0.0</v>
      </c>
      <c r="AP3049" s="382">
        <v>0.0</v>
      </c>
      <c r="AQ3049" s="382">
        <v>0.0</v>
      </c>
      <c r="AR3049" s="382">
        <v>0.0</v>
      </c>
      <c r="AS3049" s="382">
        <v>0.0</v>
      </c>
      <c r="AT3049" s="382">
        <v>0.0</v>
      </c>
      <c r="AU3049" s="382">
        <v>0.0</v>
      </c>
      <c r="AV3049" s="382">
        <v>0.0</v>
      </c>
      <c r="AW3049" s="382">
        <v>0.0</v>
      </c>
      <c r="AX3049" s="382">
        <v>0.0</v>
      </c>
      <c r="AY3049" s="382">
        <v>0.0</v>
      </c>
      <c r="AZ3049" s="382">
        <v>0.0</v>
      </c>
      <c r="BA3049" s="382">
        <v>0.0</v>
      </c>
      <c r="BB3049" s="32"/>
      <c r="BC3049" s="32"/>
      <c r="BD3049" s="32"/>
      <c r="BE3049" s="32"/>
      <c r="BF3049" s="32"/>
      <c r="BG3049" s="32"/>
      <c r="BH3049" s="32"/>
      <c r="BI3049" s="32"/>
      <c r="BJ3049" s="32"/>
      <c r="BK3049" s="32"/>
      <c r="BL3049" s="32"/>
      <c r="BM3049" s="32"/>
      <c r="BN3049" s="32"/>
      <c r="BO3049" s="32"/>
      <c r="BP3049" s="32"/>
      <c r="BQ3049" s="32"/>
      <c r="BR3049" s="32"/>
      <c r="BS3049" s="32"/>
      <c r="BT3049" s="32"/>
      <c r="BU3049" s="32"/>
      <c r="BV3049" s="32"/>
      <c r="BW3049" s="32"/>
      <c r="BX3049" s="32"/>
      <c r="BY3049" s="32"/>
      <c r="BZ3049" s="32"/>
      <c r="CA3049" s="32"/>
      <c r="CB3049" s="32"/>
      <c r="CC3049" s="32"/>
      <c r="CD3049" s="32"/>
    </row>
    <row r="3050" ht="15.75" hidden="1" customHeight="1" outlineLevel="1">
      <c r="A3050" s="365"/>
      <c r="B3050" s="381"/>
      <c r="C3050" s="382">
        <v>0.0</v>
      </c>
      <c r="D3050" s="382">
        <v>0.0</v>
      </c>
      <c r="E3050" s="382">
        <v>0.0</v>
      </c>
      <c r="F3050" s="382">
        <v>0.0</v>
      </c>
      <c r="G3050" s="382">
        <v>0.0</v>
      </c>
      <c r="H3050" s="382">
        <v>0.0</v>
      </c>
      <c r="I3050" s="382">
        <v>0.0</v>
      </c>
      <c r="J3050" s="382">
        <v>0.0</v>
      </c>
      <c r="K3050" s="382">
        <v>0.0</v>
      </c>
      <c r="L3050" s="382">
        <v>0.0</v>
      </c>
      <c r="M3050" s="382">
        <v>0.0</v>
      </c>
      <c r="N3050" s="382">
        <v>0.0</v>
      </c>
      <c r="O3050" s="382">
        <v>0.0</v>
      </c>
      <c r="P3050" s="382">
        <v>0.0</v>
      </c>
      <c r="Q3050" s="382">
        <v>0.0</v>
      </c>
      <c r="R3050" s="382">
        <v>0.0</v>
      </c>
      <c r="S3050" s="382">
        <v>0.0</v>
      </c>
      <c r="T3050" s="382">
        <v>0.0</v>
      </c>
      <c r="U3050" s="382">
        <v>0.0</v>
      </c>
      <c r="V3050" s="382">
        <v>0.0</v>
      </c>
      <c r="W3050" s="382">
        <v>0.0</v>
      </c>
      <c r="X3050" s="382">
        <v>0.0</v>
      </c>
      <c r="Y3050" s="382">
        <v>0.0</v>
      </c>
      <c r="Z3050" s="382">
        <v>0.0</v>
      </c>
      <c r="AA3050" s="382">
        <v>0.0</v>
      </c>
      <c r="AB3050" s="382">
        <v>0.0</v>
      </c>
      <c r="AC3050" s="382">
        <v>0.0</v>
      </c>
      <c r="AD3050" s="382">
        <v>0.0</v>
      </c>
      <c r="AE3050" s="382">
        <v>0.0</v>
      </c>
      <c r="AF3050" s="382">
        <v>0.0</v>
      </c>
      <c r="AG3050" s="382">
        <v>0.0</v>
      </c>
      <c r="AH3050" s="382">
        <v>0.0</v>
      </c>
      <c r="AI3050" s="382">
        <v>0.0</v>
      </c>
      <c r="AJ3050" s="382">
        <v>0.0</v>
      </c>
      <c r="AK3050" s="382">
        <v>0.0</v>
      </c>
      <c r="AL3050" s="382">
        <v>0.0</v>
      </c>
      <c r="AM3050" s="382">
        <v>0.0</v>
      </c>
      <c r="AN3050" s="382">
        <v>0.0</v>
      </c>
      <c r="AO3050" s="382">
        <v>0.0</v>
      </c>
      <c r="AP3050" s="382">
        <v>0.0</v>
      </c>
      <c r="AQ3050" s="382">
        <v>0.0</v>
      </c>
      <c r="AR3050" s="382">
        <v>0.0</v>
      </c>
      <c r="AS3050" s="382">
        <v>0.0</v>
      </c>
      <c r="AT3050" s="382">
        <v>0.0</v>
      </c>
      <c r="AU3050" s="382">
        <v>0.0</v>
      </c>
      <c r="AV3050" s="382">
        <v>0.0</v>
      </c>
      <c r="AW3050" s="382">
        <v>0.0</v>
      </c>
      <c r="AX3050" s="382">
        <v>0.0</v>
      </c>
      <c r="AY3050" s="382">
        <v>0.0</v>
      </c>
      <c r="AZ3050" s="382">
        <v>0.0</v>
      </c>
      <c r="BA3050" s="382">
        <v>0.0</v>
      </c>
      <c r="BB3050" s="32"/>
      <c r="BC3050" s="32"/>
      <c r="BD3050" s="32"/>
      <c r="BE3050" s="32"/>
      <c r="BF3050" s="32"/>
      <c r="BG3050" s="32"/>
      <c r="BH3050" s="32"/>
      <c r="BI3050" s="32"/>
      <c r="BJ3050" s="32"/>
      <c r="BK3050" s="32"/>
      <c r="BL3050" s="32"/>
      <c r="BM3050" s="32"/>
      <c r="BN3050" s="32"/>
      <c r="BO3050" s="32"/>
      <c r="BP3050" s="32"/>
      <c r="BQ3050" s="32"/>
      <c r="BR3050" s="32"/>
      <c r="BS3050" s="32"/>
      <c r="BT3050" s="32"/>
      <c r="BU3050" s="32"/>
      <c r="BV3050" s="32"/>
      <c r="BW3050" s="32"/>
      <c r="BX3050" s="32"/>
      <c r="BY3050" s="32"/>
      <c r="BZ3050" s="32"/>
      <c r="CA3050" s="32"/>
      <c r="CB3050" s="32"/>
      <c r="CC3050" s="32"/>
      <c r="CD3050" s="32"/>
    </row>
    <row r="3051" ht="15.75" hidden="1" customHeight="1" outlineLevel="1">
      <c r="A3051" s="365"/>
      <c r="B3051" s="381"/>
      <c r="C3051" s="382">
        <v>0.0</v>
      </c>
      <c r="D3051" s="382">
        <v>0.0</v>
      </c>
      <c r="E3051" s="382">
        <v>0.0</v>
      </c>
      <c r="F3051" s="382">
        <v>0.0</v>
      </c>
      <c r="G3051" s="382">
        <v>0.0</v>
      </c>
      <c r="H3051" s="382">
        <v>0.0</v>
      </c>
      <c r="I3051" s="382">
        <v>0.0</v>
      </c>
      <c r="J3051" s="382">
        <v>0.0</v>
      </c>
      <c r="K3051" s="382">
        <v>0.0</v>
      </c>
      <c r="L3051" s="382">
        <v>0.0</v>
      </c>
      <c r="M3051" s="382">
        <v>0.0</v>
      </c>
      <c r="N3051" s="382">
        <v>0.0</v>
      </c>
      <c r="O3051" s="382">
        <v>0.0</v>
      </c>
      <c r="P3051" s="382">
        <v>0.0</v>
      </c>
      <c r="Q3051" s="382">
        <v>0.0</v>
      </c>
      <c r="R3051" s="382">
        <v>0.0</v>
      </c>
      <c r="S3051" s="382">
        <v>0.0</v>
      </c>
      <c r="T3051" s="382">
        <v>0.0</v>
      </c>
      <c r="U3051" s="382">
        <v>0.0</v>
      </c>
      <c r="V3051" s="382">
        <v>0.0</v>
      </c>
      <c r="W3051" s="382">
        <v>0.0</v>
      </c>
      <c r="X3051" s="382">
        <v>0.0</v>
      </c>
      <c r="Y3051" s="382">
        <v>0.0</v>
      </c>
      <c r="Z3051" s="382">
        <v>0.0</v>
      </c>
      <c r="AA3051" s="382">
        <v>0.0</v>
      </c>
      <c r="AB3051" s="382">
        <v>0.0</v>
      </c>
      <c r="AC3051" s="382">
        <v>0.0</v>
      </c>
      <c r="AD3051" s="382">
        <v>0.0</v>
      </c>
      <c r="AE3051" s="382">
        <v>0.0</v>
      </c>
      <c r="AF3051" s="382">
        <v>0.0</v>
      </c>
      <c r="AG3051" s="382">
        <v>0.0</v>
      </c>
      <c r="AH3051" s="382">
        <v>0.0</v>
      </c>
      <c r="AI3051" s="382">
        <v>0.0</v>
      </c>
      <c r="AJ3051" s="382">
        <v>0.0</v>
      </c>
      <c r="AK3051" s="382">
        <v>0.0</v>
      </c>
      <c r="AL3051" s="382">
        <v>0.0</v>
      </c>
      <c r="AM3051" s="382">
        <v>0.0</v>
      </c>
      <c r="AN3051" s="382">
        <v>0.0</v>
      </c>
      <c r="AO3051" s="382">
        <v>0.0</v>
      </c>
      <c r="AP3051" s="382">
        <v>0.0</v>
      </c>
      <c r="AQ3051" s="382">
        <v>0.0</v>
      </c>
      <c r="AR3051" s="382">
        <v>0.0</v>
      </c>
      <c r="AS3051" s="382">
        <v>0.0</v>
      </c>
      <c r="AT3051" s="382">
        <v>0.0</v>
      </c>
      <c r="AU3051" s="382">
        <v>0.0</v>
      </c>
      <c r="AV3051" s="382">
        <v>0.0</v>
      </c>
      <c r="AW3051" s="382">
        <v>0.0</v>
      </c>
      <c r="AX3051" s="382">
        <v>0.0</v>
      </c>
      <c r="AY3051" s="382">
        <v>0.0</v>
      </c>
      <c r="AZ3051" s="382">
        <v>0.0</v>
      </c>
      <c r="BA3051" s="382">
        <v>0.0</v>
      </c>
      <c r="BB3051" s="32"/>
      <c r="BC3051" s="32"/>
      <c r="BD3051" s="32"/>
      <c r="BE3051" s="32"/>
      <c r="BF3051" s="32"/>
      <c r="BG3051" s="32"/>
      <c r="BH3051" s="32"/>
      <c r="BI3051" s="32"/>
      <c r="BJ3051" s="32"/>
      <c r="BK3051" s="32"/>
      <c r="BL3051" s="32"/>
      <c r="BM3051" s="32"/>
      <c r="BN3051" s="32"/>
      <c r="BO3051" s="32"/>
      <c r="BP3051" s="32"/>
      <c r="BQ3051" s="32"/>
      <c r="BR3051" s="32"/>
      <c r="BS3051" s="32"/>
      <c r="BT3051" s="32"/>
      <c r="BU3051" s="32"/>
      <c r="BV3051" s="32"/>
      <c r="BW3051" s="32"/>
      <c r="BX3051" s="32"/>
      <c r="BY3051" s="32"/>
      <c r="BZ3051" s="32"/>
      <c r="CA3051" s="32"/>
      <c r="CB3051" s="32"/>
      <c r="CC3051" s="32"/>
      <c r="CD3051" s="32"/>
    </row>
    <row r="3052" ht="15.75" hidden="1" customHeight="1" outlineLevel="1">
      <c r="A3052" s="365"/>
      <c r="B3052" s="381"/>
      <c r="C3052" s="382">
        <v>0.0</v>
      </c>
      <c r="D3052" s="382">
        <v>0.0</v>
      </c>
      <c r="E3052" s="382">
        <v>0.0</v>
      </c>
      <c r="F3052" s="382">
        <v>0.0</v>
      </c>
      <c r="G3052" s="382">
        <v>0.0</v>
      </c>
      <c r="H3052" s="382">
        <v>0.0</v>
      </c>
      <c r="I3052" s="382">
        <v>0.0</v>
      </c>
      <c r="J3052" s="382">
        <v>0.0</v>
      </c>
      <c r="K3052" s="382">
        <v>0.0</v>
      </c>
      <c r="L3052" s="382">
        <v>0.0</v>
      </c>
      <c r="M3052" s="382">
        <v>0.0</v>
      </c>
      <c r="N3052" s="382">
        <v>0.0</v>
      </c>
      <c r="O3052" s="382">
        <v>0.0</v>
      </c>
      <c r="P3052" s="382">
        <v>0.0</v>
      </c>
      <c r="Q3052" s="382">
        <v>0.0</v>
      </c>
      <c r="R3052" s="382">
        <v>0.0</v>
      </c>
      <c r="S3052" s="382">
        <v>0.0</v>
      </c>
      <c r="T3052" s="382">
        <v>0.0</v>
      </c>
      <c r="U3052" s="382">
        <v>0.0</v>
      </c>
      <c r="V3052" s="382">
        <v>0.0</v>
      </c>
      <c r="W3052" s="382">
        <v>0.0</v>
      </c>
      <c r="X3052" s="382">
        <v>0.0</v>
      </c>
      <c r="Y3052" s="382">
        <v>0.0</v>
      </c>
      <c r="Z3052" s="382">
        <v>0.0</v>
      </c>
      <c r="AA3052" s="382">
        <v>0.0</v>
      </c>
      <c r="AB3052" s="382">
        <v>0.0</v>
      </c>
      <c r="AC3052" s="382">
        <v>0.0</v>
      </c>
      <c r="AD3052" s="382">
        <v>0.0</v>
      </c>
      <c r="AE3052" s="382">
        <v>0.0</v>
      </c>
      <c r="AF3052" s="382">
        <v>0.0</v>
      </c>
      <c r="AG3052" s="382">
        <v>0.0</v>
      </c>
      <c r="AH3052" s="382">
        <v>0.0</v>
      </c>
      <c r="AI3052" s="382">
        <v>0.0</v>
      </c>
      <c r="AJ3052" s="382">
        <v>0.0</v>
      </c>
      <c r="AK3052" s="382">
        <v>0.0</v>
      </c>
      <c r="AL3052" s="382">
        <v>0.0</v>
      </c>
      <c r="AM3052" s="382">
        <v>0.0</v>
      </c>
      <c r="AN3052" s="382">
        <v>0.0</v>
      </c>
      <c r="AO3052" s="382">
        <v>0.0</v>
      </c>
      <c r="AP3052" s="382">
        <v>0.0</v>
      </c>
      <c r="AQ3052" s="382">
        <v>0.0</v>
      </c>
      <c r="AR3052" s="382">
        <v>0.0</v>
      </c>
      <c r="AS3052" s="382">
        <v>0.0</v>
      </c>
      <c r="AT3052" s="382">
        <v>0.0</v>
      </c>
      <c r="AU3052" s="382">
        <v>0.0</v>
      </c>
      <c r="AV3052" s="382">
        <v>0.0</v>
      </c>
      <c r="AW3052" s="382">
        <v>0.0</v>
      </c>
      <c r="AX3052" s="382">
        <v>0.0</v>
      </c>
      <c r="AY3052" s="382">
        <v>0.0</v>
      </c>
      <c r="AZ3052" s="382">
        <v>0.0</v>
      </c>
      <c r="BA3052" s="382">
        <v>0.0</v>
      </c>
      <c r="BB3052" s="32"/>
      <c r="BC3052" s="32"/>
      <c r="BD3052" s="32"/>
      <c r="BE3052" s="32"/>
      <c r="BF3052" s="32"/>
      <c r="BG3052" s="32"/>
      <c r="BH3052" s="32"/>
      <c r="BI3052" s="32"/>
      <c r="BJ3052" s="32"/>
      <c r="BK3052" s="32"/>
      <c r="BL3052" s="32"/>
      <c r="BM3052" s="32"/>
      <c r="BN3052" s="32"/>
      <c r="BO3052" s="32"/>
      <c r="BP3052" s="32"/>
      <c r="BQ3052" s="32"/>
      <c r="BR3052" s="32"/>
      <c r="BS3052" s="32"/>
      <c r="BT3052" s="32"/>
      <c r="BU3052" s="32"/>
      <c r="BV3052" s="32"/>
      <c r="BW3052" s="32"/>
      <c r="BX3052" s="32"/>
      <c r="BY3052" s="32"/>
      <c r="BZ3052" s="32"/>
      <c r="CA3052" s="32"/>
      <c r="CB3052" s="32"/>
      <c r="CC3052" s="32"/>
      <c r="CD3052" s="32"/>
    </row>
    <row r="3053" ht="15.75" hidden="1" customHeight="1" outlineLevel="1">
      <c r="A3053" s="365"/>
      <c r="B3053" s="381"/>
      <c r="C3053" s="382">
        <v>0.0</v>
      </c>
      <c r="D3053" s="382">
        <v>0.0</v>
      </c>
      <c r="E3053" s="382">
        <v>0.0</v>
      </c>
      <c r="F3053" s="382">
        <v>0.0</v>
      </c>
      <c r="G3053" s="382">
        <v>0.0</v>
      </c>
      <c r="H3053" s="382">
        <v>0.0</v>
      </c>
      <c r="I3053" s="382">
        <v>0.0</v>
      </c>
      <c r="J3053" s="382">
        <v>0.0</v>
      </c>
      <c r="K3053" s="382">
        <v>0.0</v>
      </c>
      <c r="L3053" s="382">
        <v>0.0</v>
      </c>
      <c r="M3053" s="382">
        <v>0.0</v>
      </c>
      <c r="N3053" s="382">
        <v>0.0</v>
      </c>
      <c r="O3053" s="382">
        <v>0.0</v>
      </c>
      <c r="P3053" s="382">
        <v>0.0</v>
      </c>
      <c r="Q3053" s="382">
        <v>0.0</v>
      </c>
      <c r="R3053" s="382">
        <v>0.0</v>
      </c>
      <c r="S3053" s="382">
        <v>0.0</v>
      </c>
      <c r="T3053" s="382">
        <v>0.0</v>
      </c>
      <c r="U3053" s="382">
        <v>0.0</v>
      </c>
      <c r="V3053" s="382">
        <v>0.0</v>
      </c>
      <c r="W3053" s="382">
        <v>0.0</v>
      </c>
      <c r="X3053" s="382">
        <v>0.0</v>
      </c>
      <c r="Y3053" s="382">
        <v>0.0</v>
      </c>
      <c r="Z3053" s="382">
        <v>0.0</v>
      </c>
      <c r="AA3053" s="382">
        <v>0.0</v>
      </c>
      <c r="AB3053" s="382">
        <v>0.0</v>
      </c>
      <c r="AC3053" s="382">
        <v>0.0</v>
      </c>
      <c r="AD3053" s="382">
        <v>0.0</v>
      </c>
      <c r="AE3053" s="382">
        <v>0.0</v>
      </c>
      <c r="AF3053" s="382">
        <v>0.0</v>
      </c>
      <c r="AG3053" s="382">
        <v>0.0</v>
      </c>
      <c r="AH3053" s="382">
        <v>0.0</v>
      </c>
      <c r="AI3053" s="382">
        <v>0.0</v>
      </c>
      <c r="AJ3053" s="382">
        <v>0.0</v>
      </c>
      <c r="AK3053" s="382">
        <v>0.0</v>
      </c>
      <c r="AL3053" s="382">
        <v>0.0</v>
      </c>
      <c r="AM3053" s="382">
        <v>0.0</v>
      </c>
      <c r="AN3053" s="382">
        <v>0.0</v>
      </c>
      <c r="AO3053" s="382">
        <v>0.0</v>
      </c>
      <c r="AP3053" s="382">
        <v>0.0</v>
      </c>
      <c r="AQ3053" s="382">
        <v>0.0</v>
      </c>
      <c r="AR3053" s="382">
        <v>0.0</v>
      </c>
      <c r="AS3053" s="382">
        <v>0.0</v>
      </c>
      <c r="AT3053" s="382">
        <v>0.0</v>
      </c>
      <c r="AU3053" s="382">
        <v>0.0</v>
      </c>
      <c r="AV3053" s="382">
        <v>0.0</v>
      </c>
      <c r="AW3053" s="382">
        <v>0.0</v>
      </c>
      <c r="AX3053" s="382">
        <v>0.0</v>
      </c>
      <c r="AY3053" s="382">
        <v>0.0</v>
      </c>
      <c r="AZ3053" s="382">
        <v>0.0</v>
      </c>
      <c r="BA3053" s="382">
        <v>0.0</v>
      </c>
      <c r="BB3053" s="32"/>
      <c r="BC3053" s="32"/>
      <c r="BD3053" s="32"/>
      <c r="BE3053" s="32"/>
      <c r="BF3053" s="32"/>
      <c r="BG3053" s="32"/>
      <c r="BH3053" s="32"/>
      <c r="BI3053" s="32"/>
      <c r="BJ3053" s="32"/>
      <c r="BK3053" s="32"/>
      <c r="BL3053" s="32"/>
      <c r="BM3053" s="32"/>
      <c r="BN3053" s="32"/>
      <c r="BO3053" s="32"/>
      <c r="BP3053" s="32"/>
      <c r="BQ3053" s="32"/>
      <c r="BR3053" s="32"/>
      <c r="BS3053" s="32"/>
      <c r="BT3053" s="32"/>
      <c r="BU3053" s="32"/>
      <c r="BV3053" s="32"/>
      <c r="BW3053" s="32"/>
      <c r="BX3053" s="32"/>
      <c r="BY3053" s="32"/>
      <c r="BZ3053" s="32"/>
      <c r="CA3053" s="32"/>
      <c r="CB3053" s="32"/>
      <c r="CC3053" s="32"/>
      <c r="CD3053" s="32"/>
    </row>
    <row r="3054" ht="15.75" hidden="1" customHeight="1" outlineLevel="1">
      <c r="A3054" s="365"/>
      <c r="B3054" s="381"/>
      <c r="C3054" s="382">
        <v>0.0</v>
      </c>
      <c r="D3054" s="382">
        <v>0.0</v>
      </c>
      <c r="E3054" s="382">
        <v>0.0</v>
      </c>
      <c r="F3054" s="382">
        <v>0.0</v>
      </c>
      <c r="G3054" s="382">
        <v>0.0</v>
      </c>
      <c r="H3054" s="382">
        <v>0.0</v>
      </c>
      <c r="I3054" s="382">
        <v>0.0</v>
      </c>
      <c r="J3054" s="382">
        <v>0.0</v>
      </c>
      <c r="K3054" s="382">
        <v>0.0</v>
      </c>
      <c r="L3054" s="382">
        <v>0.0</v>
      </c>
      <c r="M3054" s="382">
        <v>0.0</v>
      </c>
      <c r="N3054" s="382">
        <v>0.0</v>
      </c>
      <c r="O3054" s="382">
        <v>0.0</v>
      </c>
      <c r="P3054" s="382">
        <v>0.0</v>
      </c>
      <c r="Q3054" s="382">
        <v>0.0</v>
      </c>
      <c r="R3054" s="382">
        <v>0.0</v>
      </c>
      <c r="S3054" s="382">
        <v>0.0</v>
      </c>
      <c r="T3054" s="382">
        <v>0.0</v>
      </c>
      <c r="U3054" s="382">
        <v>0.0</v>
      </c>
      <c r="V3054" s="382">
        <v>0.0</v>
      </c>
      <c r="W3054" s="382">
        <v>0.0</v>
      </c>
      <c r="X3054" s="382">
        <v>0.0</v>
      </c>
      <c r="Y3054" s="382">
        <v>0.0</v>
      </c>
      <c r="Z3054" s="382">
        <v>0.0</v>
      </c>
      <c r="AA3054" s="382">
        <v>0.0</v>
      </c>
      <c r="AB3054" s="382">
        <v>0.0</v>
      </c>
      <c r="AC3054" s="382">
        <v>0.0</v>
      </c>
      <c r="AD3054" s="382">
        <v>0.0</v>
      </c>
      <c r="AE3054" s="382">
        <v>0.0</v>
      </c>
      <c r="AF3054" s="382">
        <v>0.0</v>
      </c>
      <c r="AG3054" s="382">
        <v>0.0</v>
      </c>
      <c r="AH3054" s="382">
        <v>0.0</v>
      </c>
      <c r="AI3054" s="382">
        <v>0.0</v>
      </c>
      <c r="AJ3054" s="382">
        <v>0.0</v>
      </c>
      <c r="AK3054" s="382">
        <v>0.0</v>
      </c>
      <c r="AL3054" s="382">
        <v>0.0</v>
      </c>
      <c r="AM3054" s="382">
        <v>0.0</v>
      </c>
      <c r="AN3054" s="382">
        <v>0.0</v>
      </c>
      <c r="AO3054" s="382">
        <v>0.0</v>
      </c>
      <c r="AP3054" s="382">
        <v>0.0</v>
      </c>
      <c r="AQ3054" s="382">
        <v>0.0</v>
      </c>
      <c r="AR3054" s="382">
        <v>0.0</v>
      </c>
      <c r="AS3054" s="382">
        <v>0.0</v>
      </c>
      <c r="AT3054" s="382">
        <v>0.0</v>
      </c>
      <c r="AU3054" s="382">
        <v>0.0</v>
      </c>
      <c r="AV3054" s="382">
        <v>0.0</v>
      </c>
      <c r="AW3054" s="382">
        <v>0.0</v>
      </c>
      <c r="AX3054" s="382">
        <v>0.0</v>
      </c>
      <c r="AY3054" s="382">
        <v>0.0</v>
      </c>
      <c r="AZ3054" s="382">
        <v>0.0</v>
      </c>
      <c r="BA3054" s="382">
        <v>0.0</v>
      </c>
      <c r="BB3054" s="32"/>
      <c r="BC3054" s="32"/>
      <c r="BD3054" s="32"/>
      <c r="BE3054" s="32"/>
      <c r="BF3054" s="32"/>
      <c r="BG3054" s="32"/>
      <c r="BH3054" s="32"/>
      <c r="BI3054" s="32"/>
      <c r="BJ3054" s="32"/>
      <c r="BK3054" s="32"/>
      <c r="BL3054" s="32"/>
      <c r="BM3054" s="32"/>
      <c r="BN3054" s="32"/>
      <c r="BO3054" s="32"/>
      <c r="BP3054" s="32"/>
      <c r="BQ3054" s="32"/>
      <c r="BR3054" s="32"/>
      <c r="BS3054" s="32"/>
      <c r="BT3054" s="32"/>
      <c r="BU3054" s="32"/>
      <c r="BV3054" s="32"/>
      <c r="BW3054" s="32"/>
      <c r="BX3054" s="32"/>
      <c r="BY3054" s="32"/>
      <c r="BZ3054" s="32"/>
      <c r="CA3054" s="32"/>
      <c r="CB3054" s="32"/>
      <c r="CC3054" s="32"/>
      <c r="CD3054" s="32"/>
    </row>
    <row r="3055" ht="15.75" hidden="1" customHeight="1" outlineLevel="1">
      <c r="A3055" s="365"/>
      <c r="B3055" s="381"/>
      <c r="C3055" s="382">
        <v>0.0</v>
      </c>
      <c r="D3055" s="382">
        <v>0.0</v>
      </c>
      <c r="E3055" s="382">
        <v>0.0</v>
      </c>
      <c r="F3055" s="382">
        <v>0.0</v>
      </c>
      <c r="G3055" s="382">
        <v>0.0</v>
      </c>
      <c r="H3055" s="382">
        <v>0.0</v>
      </c>
      <c r="I3055" s="382">
        <v>0.0</v>
      </c>
      <c r="J3055" s="382">
        <v>0.0</v>
      </c>
      <c r="K3055" s="382">
        <v>0.0</v>
      </c>
      <c r="L3055" s="382">
        <v>0.0</v>
      </c>
      <c r="M3055" s="382">
        <v>0.0</v>
      </c>
      <c r="N3055" s="382">
        <v>0.0</v>
      </c>
      <c r="O3055" s="382">
        <v>0.0</v>
      </c>
      <c r="P3055" s="382">
        <v>0.0</v>
      </c>
      <c r="Q3055" s="382">
        <v>0.0</v>
      </c>
      <c r="R3055" s="382">
        <v>0.0</v>
      </c>
      <c r="S3055" s="382">
        <v>0.0</v>
      </c>
      <c r="T3055" s="382">
        <v>0.0</v>
      </c>
      <c r="U3055" s="382">
        <v>0.0</v>
      </c>
      <c r="V3055" s="382">
        <v>0.0</v>
      </c>
      <c r="W3055" s="382">
        <v>0.0</v>
      </c>
      <c r="X3055" s="382">
        <v>0.0</v>
      </c>
      <c r="Y3055" s="382">
        <v>0.0</v>
      </c>
      <c r="Z3055" s="382">
        <v>0.0</v>
      </c>
      <c r="AA3055" s="382">
        <v>0.0</v>
      </c>
      <c r="AB3055" s="382">
        <v>0.0</v>
      </c>
      <c r="AC3055" s="382">
        <v>0.0</v>
      </c>
      <c r="AD3055" s="382">
        <v>0.0</v>
      </c>
      <c r="AE3055" s="382">
        <v>0.0</v>
      </c>
      <c r="AF3055" s="382">
        <v>0.0</v>
      </c>
      <c r="AG3055" s="382">
        <v>0.0</v>
      </c>
      <c r="AH3055" s="382">
        <v>0.0</v>
      </c>
      <c r="AI3055" s="382">
        <v>0.0</v>
      </c>
      <c r="AJ3055" s="382">
        <v>0.0</v>
      </c>
      <c r="AK3055" s="382">
        <v>0.0</v>
      </c>
      <c r="AL3055" s="382">
        <v>0.0</v>
      </c>
      <c r="AM3055" s="382">
        <v>0.0</v>
      </c>
      <c r="AN3055" s="382">
        <v>0.0</v>
      </c>
      <c r="AO3055" s="382">
        <v>0.0</v>
      </c>
      <c r="AP3055" s="382">
        <v>0.0</v>
      </c>
      <c r="AQ3055" s="382">
        <v>0.0</v>
      </c>
      <c r="AR3055" s="382">
        <v>0.0</v>
      </c>
      <c r="AS3055" s="382">
        <v>0.0</v>
      </c>
      <c r="AT3055" s="382">
        <v>0.0</v>
      </c>
      <c r="AU3055" s="382">
        <v>0.0</v>
      </c>
      <c r="AV3055" s="382">
        <v>0.0</v>
      </c>
      <c r="AW3055" s="382">
        <v>0.0</v>
      </c>
      <c r="AX3055" s="382">
        <v>0.0</v>
      </c>
      <c r="AY3055" s="382">
        <v>0.0</v>
      </c>
      <c r="AZ3055" s="382">
        <v>0.0</v>
      </c>
      <c r="BA3055" s="382">
        <v>0.0</v>
      </c>
      <c r="BB3055" s="32"/>
      <c r="BC3055" s="32"/>
      <c r="BD3055" s="32"/>
      <c r="BE3055" s="32"/>
      <c r="BF3055" s="32"/>
      <c r="BG3055" s="32"/>
      <c r="BH3055" s="32"/>
      <c r="BI3055" s="32"/>
      <c r="BJ3055" s="32"/>
      <c r="BK3055" s="32"/>
      <c r="BL3055" s="32"/>
      <c r="BM3055" s="32"/>
      <c r="BN3055" s="32"/>
      <c r="BO3055" s="32"/>
      <c r="BP3055" s="32"/>
      <c r="BQ3055" s="32"/>
      <c r="BR3055" s="32"/>
      <c r="BS3055" s="32"/>
      <c r="BT3055" s="32"/>
      <c r="BU3055" s="32"/>
      <c r="BV3055" s="32"/>
      <c r="BW3055" s="32"/>
      <c r="BX3055" s="32"/>
      <c r="BY3055" s="32"/>
      <c r="BZ3055" s="32"/>
      <c r="CA3055" s="32"/>
      <c r="CB3055" s="32"/>
      <c r="CC3055" s="32"/>
      <c r="CD3055" s="32"/>
    </row>
    <row r="3056" ht="15.75" hidden="1" customHeight="1" outlineLevel="1">
      <c r="A3056" s="365"/>
      <c r="B3056" s="381"/>
      <c r="C3056" s="382">
        <v>0.0</v>
      </c>
      <c r="D3056" s="382">
        <v>0.0</v>
      </c>
      <c r="E3056" s="382">
        <v>0.0</v>
      </c>
      <c r="F3056" s="382">
        <v>0.0</v>
      </c>
      <c r="G3056" s="382">
        <v>0.0</v>
      </c>
      <c r="H3056" s="382">
        <v>0.0</v>
      </c>
      <c r="I3056" s="382">
        <v>0.0</v>
      </c>
      <c r="J3056" s="382">
        <v>0.0</v>
      </c>
      <c r="K3056" s="382">
        <v>0.0</v>
      </c>
      <c r="L3056" s="382">
        <v>0.0</v>
      </c>
      <c r="M3056" s="382">
        <v>0.0</v>
      </c>
      <c r="N3056" s="382">
        <v>0.0</v>
      </c>
      <c r="O3056" s="382">
        <v>0.0</v>
      </c>
      <c r="P3056" s="382">
        <v>0.0</v>
      </c>
      <c r="Q3056" s="382">
        <v>0.0</v>
      </c>
      <c r="R3056" s="382">
        <v>0.0</v>
      </c>
      <c r="S3056" s="382">
        <v>0.0</v>
      </c>
      <c r="T3056" s="382">
        <v>0.0</v>
      </c>
      <c r="U3056" s="382">
        <v>0.0</v>
      </c>
      <c r="V3056" s="382">
        <v>0.0</v>
      </c>
      <c r="W3056" s="382">
        <v>0.0</v>
      </c>
      <c r="X3056" s="382">
        <v>0.0</v>
      </c>
      <c r="Y3056" s="382">
        <v>0.0</v>
      </c>
      <c r="Z3056" s="382">
        <v>0.0</v>
      </c>
      <c r="AA3056" s="382">
        <v>0.0</v>
      </c>
      <c r="AB3056" s="382">
        <v>0.0</v>
      </c>
      <c r="AC3056" s="382">
        <v>0.0</v>
      </c>
      <c r="AD3056" s="382">
        <v>0.0</v>
      </c>
      <c r="AE3056" s="382">
        <v>0.0</v>
      </c>
      <c r="AF3056" s="382">
        <v>0.0</v>
      </c>
      <c r="AG3056" s="382">
        <v>0.0</v>
      </c>
      <c r="AH3056" s="382">
        <v>0.0</v>
      </c>
      <c r="AI3056" s="382">
        <v>0.0</v>
      </c>
      <c r="AJ3056" s="382">
        <v>0.0</v>
      </c>
      <c r="AK3056" s="382">
        <v>0.0</v>
      </c>
      <c r="AL3056" s="382">
        <v>0.0</v>
      </c>
      <c r="AM3056" s="382">
        <v>0.0</v>
      </c>
      <c r="AN3056" s="382">
        <v>0.0</v>
      </c>
      <c r="AO3056" s="382">
        <v>0.0</v>
      </c>
      <c r="AP3056" s="382">
        <v>0.0</v>
      </c>
      <c r="AQ3056" s="382">
        <v>0.0</v>
      </c>
      <c r="AR3056" s="382">
        <v>0.0</v>
      </c>
      <c r="AS3056" s="382">
        <v>0.0</v>
      </c>
      <c r="AT3056" s="382">
        <v>0.0</v>
      </c>
      <c r="AU3056" s="382">
        <v>0.0</v>
      </c>
      <c r="AV3056" s="382">
        <v>0.0</v>
      </c>
      <c r="AW3056" s="382">
        <v>0.0</v>
      </c>
      <c r="AX3056" s="382">
        <v>0.0</v>
      </c>
      <c r="AY3056" s="382">
        <v>0.0</v>
      </c>
      <c r="AZ3056" s="382">
        <v>0.0</v>
      </c>
      <c r="BA3056" s="382">
        <v>0.0</v>
      </c>
      <c r="BB3056" s="32"/>
      <c r="BC3056" s="32"/>
      <c r="BD3056" s="32"/>
      <c r="BE3056" s="32"/>
      <c r="BF3056" s="32"/>
      <c r="BG3056" s="32"/>
      <c r="BH3056" s="32"/>
      <c r="BI3056" s="32"/>
      <c r="BJ3056" s="32"/>
      <c r="BK3056" s="32"/>
      <c r="BL3056" s="32"/>
      <c r="BM3056" s="32"/>
      <c r="BN3056" s="32"/>
      <c r="BO3056" s="32"/>
      <c r="BP3056" s="32"/>
      <c r="BQ3056" s="32"/>
      <c r="BR3056" s="32"/>
      <c r="BS3056" s="32"/>
      <c r="BT3056" s="32"/>
      <c r="BU3056" s="32"/>
      <c r="BV3056" s="32"/>
      <c r="BW3056" s="32"/>
      <c r="BX3056" s="32"/>
      <c r="BY3056" s="32"/>
      <c r="BZ3056" s="32"/>
      <c r="CA3056" s="32"/>
      <c r="CB3056" s="32"/>
      <c r="CC3056" s="32"/>
      <c r="CD3056" s="32"/>
    </row>
    <row r="3057" ht="15.75" hidden="1" customHeight="1" outlineLevel="1">
      <c r="A3057" s="365"/>
      <c r="B3057" s="381"/>
      <c r="C3057" s="382">
        <v>0.0</v>
      </c>
      <c r="D3057" s="382">
        <v>0.0</v>
      </c>
      <c r="E3057" s="382">
        <v>0.0</v>
      </c>
      <c r="F3057" s="382">
        <v>0.0</v>
      </c>
      <c r="G3057" s="382">
        <v>0.0</v>
      </c>
      <c r="H3057" s="382">
        <v>0.0</v>
      </c>
      <c r="I3057" s="382">
        <v>0.0</v>
      </c>
      <c r="J3057" s="382">
        <v>0.0</v>
      </c>
      <c r="K3057" s="382">
        <v>0.0</v>
      </c>
      <c r="L3057" s="382">
        <v>0.0</v>
      </c>
      <c r="M3057" s="382">
        <v>0.0</v>
      </c>
      <c r="N3057" s="382">
        <v>0.0</v>
      </c>
      <c r="O3057" s="382">
        <v>0.0</v>
      </c>
      <c r="P3057" s="382">
        <v>0.0</v>
      </c>
      <c r="Q3057" s="382">
        <v>0.0</v>
      </c>
      <c r="R3057" s="382">
        <v>0.0</v>
      </c>
      <c r="S3057" s="382">
        <v>0.0</v>
      </c>
      <c r="T3057" s="382">
        <v>0.0</v>
      </c>
      <c r="U3057" s="382">
        <v>0.0</v>
      </c>
      <c r="V3057" s="382">
        <v>0.0</v>
      </c>
      <c r="W3057" s="382">
        <v>0.0</v>
      </c>
      <c r="X3057" s="382">
        <v>0.0</v>
      </c>
      <c r="Y3057" s="382">
        <v>0.0</v>
      </c>
      <c r="Z3057" s="382">
        <v>0.0</v>
      </c>
      <c r="AA3057" s="382">
        <v>0.0</v>
      </c>
      <c r="AB3057" s="382">
        <v>0.0</v>
      </c>
      <c r="AC3057" s="382">
        <v>0.0</v>
      </c>
      <c r="AD3057" s="382">
        <v>0.0</v>
      </c>
      <c r="AE3057" s="382">
        <v>0.0</v>
      </c>
      <c r="AF3057" s="382">
        <v>0.0</v>
      </c>
      <c r="AG3057" s="382">
        <v>0.0</v>
      </c>
      <c r="AH3057" s="382">
        <v>0.0</v>
      </c>
      <c r="AI3057" s="382">
        <v>0.0</v>
      </c>
      <c r="AJ3057" s="382">
        <v>0.0</v>
      </c>
      <c r="AK3057" s="382">
        <v>0.0</v>
      </c>
      <c r="AL3057" s="382">
        <v>0.0</v>
      </c>
      <c r="AM3057" s="382">
        <v>0.0</v>
      </c>
      <c r="AN3057" s="382">
        <v>0.0</v>
      </c>
      <c r="AO3057" s="382">
        <v>0.0</v>
      </c>
      <c r="AP3057" s="382">
        <v>0.0</v>
      </c>
      <c r="AQ3057" s="382">
        <v>0.0</v>
      </c>
      <c r="AR3057" s="382">
        <v>0.0</v>
      </c>
      <c r="AS3057" s="382">
        <v>0.0</v>
      </c>
      <c r="AT3057" s="382">
        <v>0.0</v>
      </c>
      <c r="AU3057" s="382">
        <v>0.0</v>
      </c>
      <c r="AV3057" s="382">
        <v>0.0</v>
      </c>
      <c r="AW3057" s="382">
        <v>0.0</v>
      </c>
      <c r="AX3057" s="382">
        <v>0.0</v>
      </c>
      <c r="AY3057" s="382">
        <v>0.0</v>
      </c>
      <c r="AZ3057" s="382">
        <v>0.0</v>
      </c>
      <c r="BA3057" s="382">
        <v>0.0</v>
      </c>
      <c r="BB3057" s="32"/>
      <c r="BC3057" s="32"/>
      <c r="BD3057" s="32"/>
      <c r="BE3057" s="32"/>
      <c r="BF3057" s="32"/>
      <c r="BG3057" s="32"/>
      <c r="BH3057" s="32"/>
      <c r="BI3057" s="32"/>
      <c r="BJ3057" s="32"/>
      <c r="BK3057" s="32"/>
      <c r="BL3057" s="32"/>
      <c r="BM3057" s="32"/>
      <c r="BN3057" s="32"/>
      <c r="BO3057" s="32"/>
      <c r="BP3057" s="32"/>
      <c r="BQ3057" s="32"/>
      <c r="BR3057" s="32"/>
      <c r="BS3057" s="32"/>
      <c r="BT3057" s="32"/>
      <c r="BU3057" s="32"/>
      <c r="BV3057" s="32"/>
      <c r="BW3057" s="32"/>
      <c r="BX3057" s="32"/>
      <c r="BY3057" s="32"/>
      <c r="BZ3057" s="32"/>
      <c r="CA3057" s="32"/>
      <c r="CB3057" s="32"/>
      <c r="CC3057" s="32"/>
      <c r="CD3057" s="32"/>
    </row>
    <row r="3058" ht="15.75" hidden="1" customHeight="1" outlineLevel="1">
      <c r="A3058" s="365"/>
      <c r="B3058" s="381"/>
      <c r="C3058" s="382">
        <v>0.0</v>
      </c>
      <c r="D3058" s="382">
        <v>0.0</v>
      </c>
      <c r="E3058" s="382">
        <v>0.0</v>
      </c>
      <c r="F3058" s="382">
        <v>0.0</v>
      </c>
      <c r="G3058" s="382">
        <v>0.0</v>
      </c>
      <c r="H3058" s="382">
        <v>0.0</v>
      </c>
      <c r="I3058" s="382">
        <v>0.0</v>
      </c>
      <c r="J3058" s="382">
        <v>0.0</v>
      </c>
      <c r="K3058" s="382">
        <v>0.0</v>
      </c>
      <c r="L3058" s="382">
        <v>0.0</v>
      </c>
      <c r="M3058" s="382">
        <v>0.0</v>
      </c>
      <c r="N3058" s="382">
        <v>0.0</v>
      </c>
      <c r="O3058" s="382">
        <v>0.0</v>
      </c>
      <c r="P3058" s="382">
        <v>0.0</v>
      </c>
      <c r="Q3058" s="382">
        <v>0.0</v>
      </c>
      <c r="R3058" s="382">
        <v>0.0</v>
      </c>
      <c r="S3058" s="382">
        <v>0.0</v>
      </c>
      <c r="T3058" s="382">
        <v>0.0</v>
      </c>
      <c r="U3058" s="382">
        <v>0.0</v>
      </c>
      <c r="V3058" s="382">
        <v>0.0</v>
      </c>
      <c r="W3058" s="382">
        <v>0.0</v>
      </c>
      <c r="X3058" s="382">
        <v>0.0</v>
      </c>
      <c r="Y3058" s="382">
        <v>0.0</v>
      </c>
      <c r="Z3058" s="382">
        <v>0.0</v>
      </c>
      <c r="AA3058" s="382">
        <v>0.0</v>
      </c>
      <c r="AB3058" s="382">
        <v>0.0</v>
      </c>
      <c r="AC3058" s="382">
        <v>0.0</v>
      </c>
      <c r="AD3058" s="382">
        <v>0.0</v>
      </c>
      <c r="AE3058" s="382">
        <v>0.0</v>
      </c>
      <c r="AF3058" s="382">
        <v>0.0</v>
      </c>
      <c r="AG3058" s="382">
        <v>0.0</v>
      </c>
      <c r="AH3058" s="382">
        <v>0.0</v>
      </c>
      <c r="AI3058" s="382">
        <v>0.0</v>
      </c>
      <c r="AJ3058" s="382">
        <v>0.0</v>
      </c>
      <c r="AK3058" s="382">
        <v>0.0</v>
      </c>
      <c r="AL3058" s="382">
        <v>0.0</v>
      </c>
      <c r="AM3058" s="382">
        <v>0.0</v>
      </c>
      <c r="AN3058" s="382">
        <v>0.0</v>
      </c>
      <c r="AO3058" s="382">
        <v>0.0</v>
      </c>
      <c r="AP3058" s="382">
        <v>0.0</v>
      </c>
      <c r="AQ3058" s="382">
        <v>0.0</v>
      </c>
      <c r="AR3058" s="382">
        <v>0.0</v>
      </c>
      <c r="AS3058" s="382">
        <v>0.0</v>
      </c>
      <c r="AT3058" s="382">
        <v>0.0</v>
      </c>
      <c r="AU3058" s="382">
        <v>0.0</v>
      </c>
      <c r="AV3058" s="382">
        <v>0.0</v>
      </c>
      <c r="AW3058" s="382">
        <v>0.0</v>
      </c>
      <c r="AX3058" s="382">
        <v>0.0</v>
      </c>
      <c r="AY3058" s="382">
        <v>0.0</v>
      </c>
      <c r="AZ3058" s="382">
        <v>0.0</v>
      </c>
      <c r="BA3058" s="382">
        <v>0.0</v>
      </c>
      <c r="BB3058" s="32"/>
      <c r="BC3058" s="32"/>
      <c r="BD3058" s="32"/>
      <c r="BE3058" s="32"/>
      <c r="BF3058" s="32"/>
      <c r="BG3058" s="32"/>
      <c r="BH3058" s="32"/>
      <c r="BI3058" s="32"/>
      <c r="BJ3058" s="32"/>
      <c r="BK3058" s="32"/>
      <c r="BL3058" s="32"/>
      <c r="BM3058" s="32"/>
      <c r="BN3058" s="32"/>
      <c r="BO3058" s="32"/>
      <c r="BP3058" s="32"/>
      <c r="BQ3058" s="32"/>
      <c r="BR3058" s="32"/>
      <c r="BS3058" s="32"/>
      <c r="BT3058" s="32"/>
      <c r="BU3058" s="32"/>
      <c r="BV3058" s="32"/>
      <c r="BW3058" s="32"/>
      <c r="BX3058" s="32"/>
      <c r="BY3058" s="32"/>
      <c r="BZ3058" s="32"/>
      <c r="CA3058" s="32"/>
      <c r="CB3058" s="32"/>
      <c r="CC3058" s="32"/>
      <c r="CD3058" s="32"/>
    </row>
    <row r="3059" ht="15.75" hidden="1" customHeight="1" outlineLevel="1">
      <c r="A3059" s="365"/>
      <c r="B3059" s="381"/>
      <c r="C3059" s="382">
        <v>0.0</v>
      </c>
      <c r="D3059" s="382">
        <v>0.0</v>
      </c>
      <c r="E3059" s="382">
        <v>0.0</v>
      </c>
      <c r="F3059" s="382">
        <v>0.0</v>
      </c>
      <c r="G3059" s="382">
        <v>0.0</v>
      </c>
      <c r="H3059" s="382">
        <v>0.0</v>
      </c>
      <c r="I3059" s="382">
        <v>0.0</v>
      </c>
      <c r="J3059" s="382">
        <v>0.0</v>
      </c>
      <c r="K3059" s="382">
        <v>0.0</v>
      </c>
      <c r="L3059" s="382">
        <v>0.0</v>
      </c>
      <c r="M3059" s="382">
        <v>0.0</v>
      </c>
      <c r="N3059" s="382">
        <v>0.0</v>
      </c>
      <c r="O3059" s="382">
        <v>0.0</v>
      </c>
      <c r="P3059" s="382">
        <v>0.0</v>
      </c>
      <c r="Q3059" s="382">
        <v>0.0</v>
      </c>
      <c r="R3059" s="382">
        <v>0.0</v>
      </c>
      <c r="S3059" s="382">
        <v>0.0</v>
      </c>
      <c r="T3059" s="382">
        <v>0.0</v>
      </c>
      <c r="U3059" s="382">
        <v>0.0</v>
      </c>
      <c r="V3059" s="382">
        <v>0.0</v>
      </c>
      <c r="W3059" s="382">
        <v>0.0</v>
      </c>
      <c r="X3059" s="382">
        <v>0.0</v>
      </c>
      <c r="Y3059" s="382">
        <v>0.0</v>
      </c>
      <c r="Z3059" s="382">
        <v>0.0</v>
      </c>
      <c r="AA3059" s="382">
        <v>0.0</v>
      </c>
      <c r="AB3059" s="382">
        <v>0.0</v>
      </c>
      <c r="AC3059" s="382">
        <v>0.0</v>
      </c>
      <c r="AD3059" s="382">
        <v>0.0</v>
      </c>
      <c r="AE3059" s="382">
        <v>0.0</v>
      </c>
      <c r="AF3059" s="382">
        <v>0.0</v>
      </c>
      <c r="AG3059" s="382">
        <v>0.0</v>
      </c>
      <c r="AH3059" s="382">
        <v>0.0</v>
      </c>
      <c r="AI3059" s="382">
        <v>0.0</v>
      </c>
      <c r="AJ3059" s="382">
        <v>0.0</v>
      </c>
      <c r="AK3059" s="382">
        <v>0.0</v>
      </c>
      <c r="AL3059" s="382">
        <v>0.0</v>
      </c>
      <c r="AM3059" s="382">
        <v>0.0</v>
      </c>
      <c r="AN3059" s="382">
        <v>0.0</v>
      </c>
      <c r="AO3059" s="382">
        <v>0.0</v>
      </c>
      <c r="AP3059" s="382">
        <v>0.0</v>
      </c>
      <c r="AQ3059" s="382">
        <v>0.0</v>
      </c>
      <c r="AR3059" s="382">
        <v>0.0</v>
      </c>
      <c r="AS3059" s="382">
        <v>0.0</v>
      </c>
      <c r="AT3059" s="382">
        <v>0.0</v>
      </c>
      <c r="AU3059" s="382">
        <v>0.0</v>
      </c>
      <c r="AV3059" s="382">
        <v>0.0</v>
      </c>
      <c r="AW3059" s="382">
        <v>0.0</v>
      </c>
      <c r="AX3059" s="382">
        <v>0.0</v>
      </c>
      <c r="AY3059" s="382">
        <v>0.0</v>
      </c>
      <c r="AZ3059" s="382">
        <v>0.0</v>
      </c>
      <c r="BA3059" s="382">
        <v>0.0</v>
      </c>
      <c r="BB3059" s="32"/>
      <c r="BC3059" s="32"/>
      <c r="BD3059" s="32"/>
      <c r="BE3059" s="32"/>
      <c r="BF3059" s="32"/>
      <c r="BG3059" s="32"/>
      <c r="BH3059" s="32"/>
      <c r="BI3059" s="32"/>
      <c r="BJ3059" s="32"/>
      <c r="BK3059" s="32"/>
      <c r="BL3059" s="32"/>
      <c r="BM3059" s="32"/>
      <c r="BN3059" s="32"/>
      <c r="BO3059" s="32"/>
      <c r="BP3059" s="32"/>
      <c r="BQ3059" s="32"/>
      <c r="BR3059" s="32"/>
      <c r="BS3059" s="32"/>
      <c r="BT3059" s="32"/>
      <c r="BU3059" s="32"/>
      <c r="BV3059" s="32"/>
      <c r="BW3059" s="32"/>
      <c r="BX3059" s="32"/>
      <c r="BY3059" s="32"/>
      <c r="BZ3059" s="32"/>
      <c r="CA3059" s="32"/>
      <c r="CB3059" s="32"/>
      <c r="CC3059" s="32"/>
      <c r="CD3059" s="32"/>
    </row>
    <row r="3060" ht="15.75" hidden="1" customHeight="1" outlineLevel="1">
      <c r="A3060" s="365"/>
      <c r="B3060" s="381"/>
      <c r="C3060" s="382">
        <v>0.0</v>
      </c>
      <c r="D3060" s="382">
        <v>0.0</v>
      </c>
      <c r="E3060" s="382">
        <v>0.0</v>
      </c>
      <c r="F3060" s="382">
        <v>0.0</v>
      </c>
      <c r="G3060" s="382">
        <v>0.0</v>
      </c>
      <c r="H3060" s="382">
        <v>0.0</v>
      </c>
      <c r="I3060" s="382">
        <v>0.0</v>
      </c>
      <c r="J3060" s="382">
        <v>0.0</v>
      </c>
      <c r="K3060" s="382">
        <v>0.0</v>
      </c>
      <c r="L3060" s="382">
        <v>0.0</v>
      </c>
      <c r="M3060" s="382">
        <v>0.0</v>
      </c>
      <c r="N3060" s="382">
        <v>0.0</v>
      </c>
      <c r="O3060" s="382">
        <v>0.0</v>
      </c>
      <c r="P3060" s="382">
        <v>0.0</v>
      </c>
      <c r="Q3060" s="382">
        <v>0.0</v>
      </c>
      <c r="R3060" s="382">
        <v>0.0</v>
      </c>
      <c r="S3060" s="382">
        <v>0.0</v>
      </c>
      <c r="T3060" s="382">
        <v>0.0</v>
      </c>
      <c r="U3060" s="382">
        <v>0.0</v>
      </c>
      <c r="V3060" s="382">
        <v>0.0</v>
      </c>
      <c r="W3060" s="382">
        <v>0.0</v>
      </c>
      <c r="X3060" s="382">
        <v>0.0</v>
      </c>
      <c r="Y3060" s="382">
        <v>0.0</v>
      </c>
      <c r="Z3060" s="382">
        <v>0.0</v>
      </c>
      <c r="AA3060" s="382">
        <v>0.0</v>
      </c>
      <c r="AB3060" s="382">
        <v>0.0</v>
      </c>
      <c r="AC3060" s="382">
        <v>0.0</v>
      </c>
      <c r="AD3060" s="382">
        <v>0.0</v>
      </c>
      <c r="AE3060" s="382">
        <v>0.0</v>
      </c>
      <c r="AF3060" s="382">
        <v>0.0</v>
      </c>
      <c r="AG3060" s="382">
        <v>0.0</v>
      </c>
      <c r="AH3060" s="382">
        <v>0.0</v>
      </c>
      <c r="AI3060" s="382">
        <v>0.0</v>
      </c>
      <c r="AJ3060" s="382">
        <v>0.0</v>
      </c>
      <c r="AK3060" s="382">
        <v>0.0</v>
      </c>
      <c r="AL3060" s="382">
        <v>0.0</v>
      </c>
      <c r="AM3060" s="382">
        <v>0.0</v>
      </c>
      <c r="AN3060" s="382">
        <v>0.0</v>
      </c>
      <c r="AO3060" s="382">
        <v>0.0</v>
      </c>
      <c r="AP3060" s="382">
        <v>0.0</v>
      </c>
      <c r="AQ3060" s="382">
        <v>0.0</v>
      </c>
      <c r="AR3060" s="382">
        <v>0.0</v>
      </c>
      <c r="AS3060" s="382">
        <v>0.0</v>
      </c>
      <c r="AT3060" s="382">
        <v>0.0</v>
      </c>
      <c r="AU3060" s="382">
        <v>0.0</v>
      </c>
      <c r="AV3060" s="382">
        <v>0.0</v>
      </c>
      <c r="AW3060" s="382">
        <v>0.0</v>
      </c>
      <c r="AX3060" s="382">
        <v>0.0</v>
      </c>
      <c r="AY3060" s="382">
        <v>0.0</v>
      </c>
      <c r="AZ3060" s="382">
        <v>0.0</v>
      </c>
      <c r="BA3060" s="382">
        <v>0.0</v>
      </c>
      <c r="BB3060" s="32"/>
      <c r="BC3060" s="32"/>
      <c r="BD3060" s="32"/>
      <c r="BE3060" s="32"/>
      <c r="BF3060" s="32"/>
      <c r="BG3060" s="32"/>
      <c r="BH3060" s="32"/>
      <c r="BI3060" s="32"/>
      <c r="BJ3060" s="32"/>
      <c r="BK3060" s="32"/>
      <c r="BL3060" s="32"/>
      <c r="BM3060" s="32"/>
      <c r="BN3060" s="32"/>
      <c r="BO3060" s="32"/>
      <c r="BP3060" s="32"/>
      <c r="BQ3060" s="32"/>
      <c r="BR3060" s="32"/>
      <c r="BS3060" s="32"/>
      <c r="BT3060" s="32"/>
      <c r="BU3060" s="32"/>
      <c r="BV3060" s="32"/>
      <c r="BW3060" s="32"/>
      <c r="BX3060" s="32"/>
      <c r="BY3060" s="32"/>
      <c r="BZ3060" s="32"/>
      <c r="CA3060" s="32"/>
      <c r="CB3060" s="32"/>
      <c r="CC3060" s="32"/>
      <c r="CD3060" s="32"/>
    </row>
    <row r="3061" ht="15.75" hidden="1" customHeight="1" outlineLevel="1">
      <c r="A3061" s="365"/>
      <c r="B3061" s="381"/>
      <c r="C3061" s="382">
        <v>0.0</v>
      </c>
      <c r="D3061" s="382">
        <v>0.0</v>
      </c>
      <c r="E3061" s="382">
        <v>0.0</v>
      </c>
      <c r="F3061" s="382">
        <v>0.0</v>
      </c>
      <c r="G3061" s="382">
        <v>0.0</v>
      </c>
      <c r="H3061" s="382">
        <v>0.0</v>
      </c>
      <c r="I3061" s="382">
        <v>0.0</v>
      </c>
      <c r="J3061" s="382">
        <v>0.0</v>
      </c>
      <c r="K3061" s="382">
        <v>0.0</v>
      </c>
      <c r="L3061" s="382">
        <v>0.0</v>
      </c>
      <c r="M3061" s="382">
        <v>0.0</v>
      </c>
      <c r="N3061" s="382">
        <v>0.0</v>
      </c>
      <c r="O3061" s="382">
        <v>0.0</v>
      </c>
      <c r="P3061" s="382">
        <v>0.0</v>
      </c>
      <c r="Q3061" s="382">
        <v>0.0</v>
      </c>
      <c r="R3061" s="382">
        <v>0.0</v>
      </c>
      <c r="S3061" s="382">
        <v>0.0</v>
      </c>
      <c r="T3061" s="382">
        <v>0.0</v>
      </c>
      <c r="U3061" s="382">
        <v>0.0</v>
      </c>
      <c r="V3061" s="382">
        <v>0.0</v>
      </c>
      <c r="W3061" s="382">
        <v>0.0</v>
      </c>
      <c r="X3061" s="382">
        <v>0.0</v>
      </c>
      <c r="Y3061" s="382">
        <v>0.0</v>
      </c>
      <c r="Z3061" s="382">
        <v>0.0</v>
      </c>
      <c r="AA3061" s="382">
        <v>0.0</v>
      </c>
      <c r="AB3061" s="382">
        <v>0.0</v>
      </c>
      <c r="AC3061" s="382">
        <v>0.0</v>
      </c>
      <c r="AD3061" s="382">
        <v>0.0</v>
      </c>
      <c r="AE3061" s="382">
        <v>0.0</v>
      </c>
      <c r="AF3061" s="382">
        <v>0.0</v>
      </c>
      <c r="AG3061" s="382">
        <v>0.0</v>
      </c>
      <c r="AH3061" s="382">
        <v>0.0</v>
      </c>
      <c r="AI3061" s="382">
        <v>0.0</v>
      </c>
      <c r="AJ3061" s="382">
        <v>0.0</v>
      </c>
      <c r="AK3061" s="382">
        <v>0.0</v>
      </c>
      <c r="AL3061" s="382">
        <v>0.0</v>
      </c>
      <c r="AM3061" s="382">
        <v>0.0</v>
      </c>
      <c r="AN3061" s="382">
        <v>0.0</v>
      </c>
      <c r="AO3061" s="382">
        <v>0.0</v>
      </c>
      <c r="AP3061" s="382">
        <v>0.0</v>
      </c>
      <c r="AQ3061" s="382">
        <v>0.0</v>
      </c>
      <c r="AR3061" s="382">
        <v>0.0</v>
      </c>
      <c r="AS3061" s="382">
        <v>0.0</v>
      </c>
      <c r="AT3061" s="382">
        <v>0.0</v>
      </c>
      <c r="AU3061" s="382">
        <v>0.0</v>
      </c>
      <c r="AV3061" s="382">
        <v>0.0</v>
      </c>
      <c r="AW3061" s="382">
        <v>0.0</v>
      </c>
      <c r="AX3061" s="382">
        <v>0.0</v>
      </c>
      <c r="AY3061" s="382">
        <v>0.0</v>
      </c>
      <c r="AZ3061" s="382">
        <v>0.0</v>
      </c>
      <c r="BA3061" s="382">
        <v>0.0</v>
      </c>
      <c r="BB3061" s="32"/>
      <c r="BC3061" s="32"/>
      <c r="BD3061" s="32"/>
      <c r="BE3061" s="32"/>
      <c r="BF3061" s="32"/>
      <c r="BG3061" s="32"/>
      <c r="BH3061" s="32"/>
      <c r="BI3061" s="32"/>
      <c r="BJ3061" s="32"/>
      <c r="BK3061" s="32"/>
      <c r="BL3061" s="32"/>
      <c r="BM3061" s="32"/>
      <c r="BN3061" s="32"/>
      <c r="BO3061" s="32"/>
      <c r="BP3061" s="32"/>
      <c r="BQ3061" s="32"/>
      <c r="BR3061" s="32"/>
      <c r="BS3061" s="32"/>
      <c r="BT3061" s="32"/>
      <c r="BU3061" s="32"/>
      <c r="BV3061" s="32"/>
      <c r="BW3061" s="32"/>
      <c r="BX3061" s="32"/>
      <c r="BY3061" s="32"/>
      <c r="BZ3061" s="32"/>
      <c r="CA3061" s="32"/>
      <c r="CB3061" s="32"/>
      <c r="CC3061" s="32"/>
      <c r="CD3061" s="32"/>
    </row>
    <row r="3062" ht="15.75" hidden="1" customHeight="1" outlineLevel="1">
      <c r="A3062" s="365"/>
      <c r="B3062" s="381"/>
      <c r="C3062" s="382">
        <v>0.0</v>
      </c>
      <c r="D3062" s="382">
        <v>0.0</v>
      </c>
      <c r="E3062" s="382">
        <v>0.0</v>
      </c>
      <c r="F3062" s="382">
        <v>0.0</v>
      </c>
      <c r="G3062" s="382">
        <v>0.0</v>
      </c>
      <c r="H3062" s="382">
        <v>0.0</v>
      </c>
      <c r="I3062" s="382">
        <v>0.0</v>
      </c>
      <c r="J3062" s="382">
        <v>0.0</v>
      </c>
      <c r="K3062" s="382">
        <v>0.0</v>
      </c>
      <c r="L3062" s="382">
        <v>0.0</v>
      </c>
      <c r="M3062" s="382">
        <v>0.0</v>
      </c>
      <c r="N3062" s="382">
        <v>0.0</v>
      </c>
      <c r="O3062" s="382">
        <v>0.0</v>
      </c>
      <c r="P3062" s="382">
        <v>0.0</v>
      </c>
      <c r="Q3062" s="382">
        <v>0.0</v>
      </c>
      <c r="R3062" s="382">
        <v>0.0</v>
      </c>
      <c r="S3062" s="382">
        <v>0.0</v>
      </c>
      <c r="T3062" s="382">
        <v>0.0</v>
      </c>
      <c r="U3062" s="382">
        <v>0.0</v>
      </c>
      <c r="V3062" s="382">
        <v>0.0</v>
      </c>
      <c r="W3062" s="382">
        <v>0.0</v>
      </c>
      <c r="X3062" s="382">
        <v>0.0</v>
      </c>
      <c r="Y3062" s="382">
        <v>0.0</v>
      </c>
      <c r="Z3062" s="382">
        <v>0.0</v>
      </c>
      <c r="AA3062" s="382">
        <v>0.0</v>
      </c>
      <c r="AB3062" s="382">
        <v>0.0</v>
      </c>
      <c r="AC3062" s="382">
        <v>0.0</v>
      </c>
      <c r="AD3062" s="382">
        <v>0.0</v>
      </c>
      <c r="AE3062" s="382">
        <v>0.0</v>
      </c>
      <c r="AF3062" s="382">
        <v>0.0</v>
      </c>
      <c r="AG3062" s="382">
        <v>0.0</v>
      </c>
      <c r="AH3062" s="382">
        <v>0.0</v>
      </c>
      <c r="AI3062" s="382">
        <v>0.0</v>
      </c>
      <c r="AJ3062" s="382">
        <v>0.0</v>
      </c>
      <c r="AK3062" s="382">
        <v>0.0</v>
      </c>
      <c r="AL3062" s="382">
        <v>0.0</v>
      </c>
      <c r="AM3062" s="382">
        <v>0.0</v>
      </c>
      <c r="AN3062" s="382">
        <v>0.0</v>
      </c>
      <c r="AO3062" s="382">
        <v>0.0</v>
      </c>
      <c r="AP3062" s="382">
        <v>0.0</v>
      </c>
      <c r="AQ3062" s="382">
        <v>0.0</v>
      </c>
      <c r="AR3062" s="382">
        <v>0.0</v>
      </c>
      <c r="AS3062" s="382">
        <v>0.0</v>
      </c>
      <c r="AT3062" s="382">
        <v>0.0</v>
      </c>
      <c r="AU3062" s="382">
        <v>0.0</v>
      </c>
      <c r="AV3062" s="382">
        <v>0.0</v>
      </c>
      <c r="AW3062" s="382">
        <v>0.0</v>
      </c>
      <c r="AX3062" s="382">
        <v>0.0</v>
      </c>
      <c r="AY3062" s="382">
        <v>0.0</v>
      </c>
      <c r="AZ3062" s="382">
        <v>0.0</v>
      </c>
      <c r="BA3062" s="382">
        <v>0.0</v>
      </c>
      <c r="BB3062" s="32"/>
      <c r="BC3062" s="32"/>
      <c r="BD3062" s="32"/>
      <c r="BE3062" s="32"/>
      <c r="BF3062" s="32"/>
      <c r="BG3062" s="32"/>
      <c r="BH3062" s="32"/>
      <c r="BI3062" s="32"/>
      <c r="BJ3062" s="32"/>
      <c r="BK3062" s="32"/>
      <c r="BL3062" s="32"/>
      <c r="BM3062" s="32"/>
      <c r="BN3062" s="32"/>
      <c r="BO3062" s="32"/>
      <c r="BP3062" s="32"/>
      <c r="BQ3062" s="32"/>
      <c r="BR3062" s="32"/>
      <c r="BS3062" s="32"/>
      <c r="BT3062" s="32"/>
      <c r="BU3062" s="32"/>
      <c r="BV3062" s="32"/>
      <c r="BW3062" s="32"/>
      <c r="BX3062" s="32"/>
      <c r="BY3062" s="32"/>
      <c r="BZ3062" s="32"/>
      <c r="CA3062" s="32"/>
      <c r="CB3062" s="32"/>
      <c r="CC3062" s="32"/>
      <c r="CD3062" s="32"/>
    </row>
    <row r="3063" ht="15.75" hidden="1" customHeight="1" outlineLevel="1">
      <c r="A3063" s="365"/>
      <c r="B3063" s="381"/>
      <c r="C3063" s="382">
        <v>0.0</v>
      </c>
      <c r="D3063" s="382">
        <v>0.0</v>
      </c>
      <c r="E3063" s="382">
        <v>0.0</v>
      </c>
      <c r="F3063" s="382">
        <v>0.0</v>
      </c>
      <c r="G3063" s="382">
        <v>0.0</v>
      </c>
      <c r="H3063" s="382">
        <v>0.0</v>
      </c>
      <c r="I3063" s="382">
        <v>0.0</v>
      </c>
      <c r="J3063" s="382">
        <v>0.0</v>
      </c>
      <c r="K3063" s="382">
        <v>0.0</v>
      </c>
      <c r="L3063" s="382">
        <v>0.0</v>
      </c>
      <c r="M3063" s="382">
        <v>0.0</v>
      </c>
      <c r="N3063" s="382">
        <v>0.0</v>
      </c>
      <c r="O3063" s="382">
        <v>0.0</v>
      </c>
      <c r="P3063" s="382">
        <v>0.0</v>
      </c>
      <c r="Q3063" s="382">
        <v>0.0</v>
      </c>
      <c r="R3063" s="382">
        <v>0.0</v>
      </c>
      <c r="S3063" s="382">
        <v>0.0</v>
      </c>
      <c r="T3063" s="382">
        <v>0.0</v>
      </c>
      <c r="U3063" s="382">
        <v>0.0</v>
      </c>
      <c r="V3063" s="382">
        <v>0.0</v>
      </c>
      <c r="W3063" s="382">
        <v>0.0</v>
      </c>
      <c r="X3063" s="382">
        <v>0.0</v>
      </c>
      <c r="Y3063" s="382">
        <v>0.0</v>
      </c>
      <c r="Z3063" s="382">
        <v>0.0</v>
      </c>
      <c r="AA3063" s="382">
        <v>0.0</v>
      </c>
      <c r="AB3063" s="382">
        <v>0.0</v>
      </c>
      <c r="AC3063" s="382">
        <v>0.0</v>
      </c>
      <c r="AD3063" s="382">
        <v>0.0</v>
      </c>
      <c r="AE3063" s="382">
        <v>0.0</v>
      </c>
      <c r="AF3063" s="382">
        <v>0.0</v>
      </c>
      <c r="AG3063" s="382">
        <v>0.0</v>
      </c>
      <c r="AH3063" s="382">
        <v>0.0</v>
      </c>
      <c r="AI3063" s="382">
        <v>0.0</v>
      </c>
      <c r="AJ3063" s="382">
        <v>0.0</v>
      </c>
      <c r="AK3063" s="382">
        <v>0.0</v>
      </c>
      <c r="AL3063" s="382">
        <v>0.0</v>
      </c>
      <c r="AM3063" s="382">
        <v>0.0</v>
      </c>
      <c r="AN3063" s="382">
        <v>0.0</v>
      </c>
      <c r="AO3063" s="382">
        <v>0.0</v>
      </c>
      <c r="AP3063" s="382">
        <v>0.0</v>
      </c>
      <c r="AQ3063" s="382">
        <v>0.0</v>
      </c>
      <c r="AR3063" s="382">
        <v>0.0</v>
      </c>
      <c r="AS3063" s="382">
        <v>0.0</v>
      </c>
      <c r="AT3063" s="382">
        <v>0.0</v>
      </c>
      <c r="AU3063" s="382">
        <v>0.0</v>
      </c>
      <c r="AV3063" s="382">
        <v>0.0</v>
      </c>
      <c r="AW3063" s="382">
        <v>0.0</v>
      </c>
      <c r="AX3063" s="382">
        <v>0.0</v>
      </c>
      <c r="AY3063" s="382">
        <v>0.0</v>
      </c>
      <c r="AZ3063" s="382">
        <v>0.0</v>
      </c>
      <c r="BA3063" s="382">
        <v>0.0</v>
      </c>
      <c r="BB3063" s="374"/>
      <c r="BC3063" s="32"/>
      <c r="BD3063" s="32"/>
      <c r="BE3063" s="32"/>
      <c r="BF3063" s="32"/>
      <c r="BG3063" s="32"/>
      <c r="BH3063" s="32"/>
      <c r="BI3063" s="32"/>
      <c r="BJ3063" s="32"/>
      <c r="BK3063" s="32"/>
      <c r="BL3063" s="32"/>
      <c r="BM3063" s="32"/>
      <c r="BN3063" s="32"/>
      <c r="BO3063" s="32"/>
      <c r="BP3063" s="32"/>
      <c r="BQ3063" s="32"/>
      <c r="BR3063" s="32"/>
      <c r="BS3063" s="32"/>
      <c r="BT3063" s="32"/>
      <c r="BU3063" s="32"/>
      <c r="BV3063" s="32"/>
      <c r="BW3063" s="32"/>
      <c r="BX3063" s="32"/>
      <c r="BY3063" s="32"/>
      <c r="BZ3063" s="32"/>
      <c r="CA3063" s="32"/>
      <c r="CB3063" s="32"/>
      <c r="CC3063" s="32"/>
      <c r="CD3063" s="32"/>
    </row>
    <row r="3064" ht="15.75" hidden="1" customHeight="1" outlineLevel="1">
      <c r="A3064" s="365"/>
      <c r="B3064" s="381"/>
      <c r="C3064" s="382">
        <v>0.0</v>
      </c>
      <c r="D3064" s="382">
        <v>0.0</v>
      </c>
      <c r="E3064" s="382">
        <v>0.0</v>
      </c>
      <c r="F3064" s="382">
        <v>0.0</v>
      </c>
      <c r="G3064" s="382">
        <v>0.0</v>
      </c>
      <c r="H3064" s="382">
        <v>0.0</v>
      </c>
      <c r="I3064" s="382">
        <v>0.0</v>
      </c>
      <c r="J3064" s="382">
        <v>0.0</v>
      </c>
      <c r="K3064" s="382">
        <v>0.0</v>
      </c>
      <c r="L3064" s="382">
        <v>0.0</v>
      </c>
      <c r="M3064" s="382">
        <v>0.0</v>
      </c>
      <c r="N3064" s="382">
        <v>0.0</v>
      </c>
      <c r="O3064" s="382">
        <v>0.0</v>
      </c>
      <c r="P3064" s="382">
        <v>0.0</v>
      </c>
      <c r="Q3064" s="382">
        <v>0.0</v>
      </c>
      <c r="R3064" s="382">
        <v>0.0</v>
      </c>
      <c r="S3064" s="382">
        <v>0.0</v>
      </c>
      <c r="T3064" s="382">
        <v>0.0</v>
      </c>
      <c r="U3064" s="382">
        <v>0.0</v>
      </c>
      <c r="V3064" s="382">
        <v>0.0</v>
      </c>
      <c r="W3064" s="382">
        <v>0.0</v>
      </c>
      <c r="X3064" s="382">
        <v>0.0</v>
      </c>
      <c r="Y3064" s="382">
        <v>0.0</v>
      </c>
      <c r="Z3064" s="382">
        <v>0.0</v>
      </c>
      <c r="AA3064" s="382">
        <v>0.0</v>
      </c>
      <c r="AB3064" s="382">
        <v>0.0</v>
      </c>
      <c r="AC3064" s="382">
        <v>0.0</v>
      </c>
      <c r="AD3064" s="382">
        <v>0.0</v>
      </c>
      <c r="AE3064" s="382">
        <v>0.0</v>
      </c>
      <c r="AF3064" s="382">
        <v>0.0</v>
      </c>
      <c r="AG3064" s="382">
        <v>0.0</v>
      </c>
      <c r="AH3064" s="382">
        <v>0.0</v>
      </c>
      <c r="AI3064" s="382">
        <v>0.0</v>
      </c>
      <c r="AJ3064" s="382">
        <v>0.0</v>
      </c>
      <c r="AK3064" s="382">
        <v>0.0</v>
      </c>
      <c r="AL3064" s="382">
        <v>0.0</v>
      </c>
      <c r="AM3064" s="382">
        <v>0.0</v>
      </c>
      <c r="AN3064" s="382">
        <v>0.0</v>
      </c>
      <c r="AO3064" s="382">
        <v>0.0</v>
      </c>
      <c r="AP3064" s="382">
        <v>0.0</v>
      </c>
      <c r="AQ3064" s="382">
        <v>0.0</v>
      </c>
      <c r="AR3064" s="382">
        <v>0.0</v>
      </c>
      <c r="AS3064" s="382">
        <v>0.0</v>
      </c>
      <c r="AT3064" s="382">
        <v>0.0</v>
      </c>
      <c r="AU3064" s="382">
        <v>0.0</v>
      </c>
      <c r="AV3064" s="382">
        <v>0.0</v>
      </c>
      <c r="AW3064" s="382">
        <v>0.0</v>
      </c>
      <c r="AX3064" s="382">
        <v>0.0</v>
      </c>
      <c r="AY3064" s="382">
        <v>0.0</v>
      </c>
      <c r="AZ3064" s="382">
        <v>0.0</v>
      </c>
      <c r="BA3064" s="382">
        <v>0.0</v>
      </c>
      <c r="BB3064" s="374"/>
      <c r="BC3064" s="374"/>
      <c r="BD3064" s="32"/>
      <c r="BE3064" s="32"/>
      <c r="BF3064" s="32"/>
      <c r="BG3064" s="32"/>
      <c r="BH3064" s="32"/>
      <c r="BI3064" s="32"/>
      <c r="BJ3064" s="32"/>
      <c r="BK3064" s="32"/>
      <c r="BL3064" s="32"/>
      <c r="BM3064" s="32"/>
      <c r="BN3064" s="32"/>
      <c r="BO3064" s="32"/>
      <c r="BP3064" s="32"/>
      <c r="BQ3064" s="32"/>
      <c r="BR3064" s="32"/>
      <c r="BS3064" s="32"/>
      <c r="BT3064" s="32"/>
      <c r="BU3064" s="32"/>
      <c r="BV3064" s="32"/>
      <c r="BW3064" s="32"/>
      <c r="BX3064" s="32"/>
      <c r="BY3064" s="32"/>
      <c r="BZ3064" s="32"/>
      <c r="CA3064" s="32"/>
      <c r="CB3064" s="32"/>
      <c r="CC3064" s="32"/>
      <c r="CD3064" s="32"/>
    </row>
    <row r="3065" ht="15.75" hidden="1" customHeight="1" outlineLevel="1">
      <c r="A3065" s="365"/>
      <c r="B3065" s="381"/>
      <c r="C3065" s="382">
        <v>0.0</v>
      </c>
      <c r="D3065" s="382">
        <v>0.0</v>
      </c>
      <c r="E3065" s="382">
        <v>0.0</v>
      </c>
      <c r="F3065" s="382">
        <v>0.0</v>
      </c>
      <c r="G3065" s="382">
        <v>0.0</v>
      </c>
      <c r="H3065" s="382">
        <v>0.0</v>
      </c>
      <c r="I3065" s="382">
        <v>0.0</v>
      </c>
      <c r="J3065" s="382">
        <v>0.0</v>
      </c>
      <c r="K3065" s="382">
        <v>0.0</v>
      </c>
      <c r="L3065" s="382">
        <v>0.0</v>
      </c>
      <c r="M3065" s="382">
        <v>0.0</v>
      </c>
      <c r="N3065" s="382">
        <v>0.0</v>
      </c>
      <c r="O3065" s="382">
        <v>0.0</v>
      </c>
      <c r="P3065" s="382">
        <v>0.0</v>
      </c>
      <c r="Q3065" s="382">
        <v>0.0</v>
      </c>
      <c r="R3065" s="382">
        <v>0.0</v>
      </c>
      <c r="S3065" s="382">
        <v>0.0</v>
      </c>
      <c r="T3065" s="382">
        <v>0.0</v>
      </c>
      <c r="U3065" s="382">
        <v>0.0</v>
      </c>
      <c r="V3065" s="382">
        <v>0.0</v>
      </c>
      <c r="W3065" s="382">
        <v>0.0</v>
      </c>
      <c r="X3065" s="382">
        <v>0.0</v>
      </c>
      <c r="Y3065" s="382">
        <v>0.0</v>
      </c>
      <c r="Z3065" s="382">
        <v>0.0</v>
      </c>
      <c r="AA3065" s="382">
        <v>0.0</v>
      </c>
      <c r="AB3065" s="382">
        <v>0.0</v>
      </c>
      <c r="AC3065" s="382">
        <v>0.0</v>
      </c>
      <c r="AD3065" s="382">
        <v>0.0</v>
      </c>
      <c r="AE3065" s="382">
        <v>0.0</v>
      </c>
      <c r="AF3065" s="382">
        <v>0.0</v>
      </c>
      <c r="AG3065" s="382">
        <v>0.0</v>
      </c>
      <c r="AH3065" s="382">
        <v>0.0</v>
      </c>
      <c r="AI3065" s="382">
        <v>0.0</v>
      </c>
      <c r="AJ3065" s="382">
        <v>0.0</v>
      </c>
      <c r="AK3065" s="382">
        <v>0.0</v>
      </c>
      <c r="AL3065" s="382">
        <v>0.0</v>
      </c>
      <c r="AM3065" s="382">
        <v>0.0</v>
      </c>
      <c r="AN3065" s="382">
        <v>0.0</v>
      </c>
      <c r="AO3065" s="382">
        <v>0.0</v>
      </c>
      <c r="AP3065" s="382">
        <v>0.0</v>
      </c>
      <c r="AQ3065" s="382">
        <v>0.0</v>
      </c>
      <c r="AR3065" s="382">
        <v>0.0</v>
      </c>
      <c r="AS3065" s="382">
        <v>0.0</v>
      </c>
      <c r="AT3065" s="382">
        <v>0.0</v>
      </c>
      <c r="AU3065" s="382">
        <v>0.0</v>
      </c>
      <c r="AV3065" s="382">
        <v>0.0</v>
      </c>
      <c r="AW3065" s="382">
        <v>0.0</v>
      </c>
      <c r="AX3065" s="382">
        <v>0.0</v>
      </c>
      <c r="AY3065" s="382">
        <v>0.0</v>
      </c>
      <c r="AZ3065" s="382">
        <v>0.0</v>
      </c>
      <c r="BA3065" s="382">
        <v>0.0</v>
      </c>
      <c r="BB3065" s="374"/>
      <c r="BC3065" s="374"/>
      <c r="BD3065" s="374"/>
      <c r="BE3065" s="32"/>
      <c r="BF3065" s="32"/>
      <c r="BG3065" s="32"/>
      <c r="BH3065" s="32"/>
      <c r="BI3065" s="32"/>
      <c r="BJ3065" s="32"/>
      <c r="BK3065" s="32"/>
      <c r="BL3065" s="32"/>
      <c r="BM3065" s="32"/>
      <c r="BN3065" s="32"/>
      <c r="BO3065" s="32"/>
      <c r="BP3065" s="32"/>
      <c r="BQ3065" s="32"/>
      <c r="BR3065" s="32"/>
      <c r="BS3065" s="32"/>
      <c r="BT3065" s="32"/>
      <c r="BU3065" s="32"/>
      <c r="BV3065" s="32"/>
      <c r="BW3065" s="32"/>
      <c r="BX3065" s="32"/>
      <c r="BY3065" s="32"/>
      <c r="BZ3065" s="32"/>
      <c r="CA3065" s="32"/>
      <c r="CB3065" s="32"/>
      <c r="CC3065" s="32"/>
      <c r="CD3065" s="32"/>
    </row>
    <row r="3066" ht="15.75" hidden="1" customHeight="1" outlineLevel="1">
      <c r="A3066" s="365"/>
      <c r="B3066" s="381"/>
      <c r="C3066" s="382">
        <v>0.0</v>
      </c>
      <c r="D3066" s="382">
        <v>0.0</v>
      </c>
      <c r="E3066" s="382">
        <v>0.0</v>
      </c>
      <c r="F3066" s="382">
        <v>0.0</v>
      </c>
      <c r="G3066" s="382">
        <v>0.0</v>
      </c>
      <c r="H3066" s="382">
        <v>0.0</v>
      </c>
      <c r="I3066" s="382">
        <v>0.0</v>
      </c>
      <c r="J3066" s="382">
        <v>0.0</v>
      </c>
      <c r="K3066" s="382">
        <v>0.0</v>
      </c>
      <c r="L3066" s="382">
        <v>0.0</v>
      </c>
      <c r="M3066" s="382">
        <v>0.0</v>
      </c>
      <c r="N3066" s="382">
        <v>0.0</v>
      </c>
      <c r="O3066" s="382">
        <v>0.0</v>
      </c>
      <c r="P3066" s="382">
        <v>0.0</v>
      </c>
      <c r="Q3066" s="382">
        <v>0.0</v>
      </c>
      <c r="R3066" s="382">
        <v>0.0</v>
      </c>
      <c r="S3066" s="382">
        <v>0.0</v>
      </c>
      <c r="T3066" s="382">
        <v>0.0</v>
      </c>
      <c r="U3066" s="382">
        <v>0.0</v>
      </c>
      <c r="V3066" s="382">
        <v>0.0</v>
      </c>
      <c r="W3066" s="382">
        <v>0.0</v>
      </c>
      <c r="X3066" s="382">
        <v>0.0</v>
      </c>
      <c r="Y3066" s="382">
        <v>0.0</v>
      </c>
      <c r="Z3066" s="382">
        <v>0.0</v>
      </c>
      <c r="AA3066" s="382">
        <v>0.0</v>
      </c>
      <c r="AB3066" s="382">
        <v>0.0</v>
      </c>
      <c r="AC3066" s="382">
        <v>0.0</v>
      </c>
      <c r="AD3066" s="382">
        <v>0.0</v>
      </c>
      <c r="AE3066" s="382">
        <v>0.0</v>
      </c>
      <c r="AF3066" s="382">
        <v>0.0</v>
      </c>
      <c r="AG3066" s="382">
        <v>0.0</v>
      </c>
      <c r="AH3066" s="382">
        <v>0.0</v>
      </c>
      <c r="AI3066" s="382">
        <v>0.0</v>
      </c>
      <c r="AJ3066" s="382">
        <v>0.0</v>
      </c>
      <c r="AK3066" s="382">
        <v>0.0</v>
      </c>
      <c r="AL3066" s="382">
        <v>0.0</v>
      </c>
      <c r="AM3066" s="382">
        <v>0.0</v>
      </c>
      <c r="AN3066" s="382">
        <v>0.0</v>
      </c>
      <c r="AO3066" s="382">
        <v>0.0</v>
      </c>
      <c r="AP3066" s="382">
        <v>0.0</v>
      </c>
      <c r="AQ3066" s="382">
        <v>0.0</v>
      </c>
      <c r="AR3066" s="382">
        <v>0.0</v>
      </c>
      <c r="AS3066" s="382">
        <v>0.0</v>
      </c>
      <c r="AT3066" s="382">
        <v>0.0</v>
      </c>
      <c r="AU3066" s="382">
        <v>0.0</v>
      </c>
      <c r="AV3066" s="382">
        <v>0.0</v>
      </c>
      <c r="AW3066" s="382">
        <v>0.0</v>
      </c>
      <c r="AX3066" s="382">
        <v>0.0</v>
      </c>
      <c r="AY3066" s="382">
        <v>0.0</v>
      </c>
      <c r="AZ3066" s="382">
        <v>0.0</v>
      </c>
      <c r="BA3066" s="382">
        <v>0.0</v>
      </c>
      <c r="BB3066" s="374"/>
      <c r="BC3066" s="374"/>
      <c r="BD3066" s="374"/>
      <c r="BE3066" s="374"/>
      <c r="BF3066" s="32"/>
      <c r="BG3066" s="32"/>
      <c r="BH3066" s="32"/>
      <c r="BI3066" s="32"/>
      <c r="BJ3066" s="32"/>
      <c r="BK3066" s="32"/>
      <c r="BL3066" s="32"/>
      <c r="BM3066" s="32"/>
      <c r="BN3066" s="32"/>
      <c r="BO3066" s="32"/>
      <c r="BP3066" s="32"/>
      <c r="BQ3066" s="32"/>
      <c r="BR3066" s="32"/>
      <c r="BS3066" s="32"/>
      <c r="BT3066" s="32"/>
      <c r="BU3066" s="32"/>
      <c r="BV3066" s="32"/>
      <c r="BW3066" s="32"/>
      <c r="BX3066" s="32"/>
      <c r="BY3066" s="32"/>
      <c r="BZ3066" s="32"/>
      <c r="CA3066" s="32"/>
      <c r="CB3066" s="32"/>
      <c r="CC3066" s="32"/>
      <c r="CD3066" s="32"/>
    </row>
    <row r="3067" ht="15.75" hidden="1" customHeight="1" outlineLevel="1">
      <c r="A3067" s="365"/>
      <c r="B3067" s="381"/>
      <c r="C3067" s="382">
        <v>0.0</v>
      </c>
      <c r="D3067" s="382">
        <v>0.0</v>
      </c>
      <c r="E3067" s="382">
        <v>0.0</v>
      </c>
      <c r="F3067" s="382">
        <v>0.0</v>
      </c>
      <c r="G3067" s="382">
        <v>0.0</v>
      </c>
      <c r="H3067" s="382">
        <v>0.0</v>
      </c>
      <c r="I3067" s="382">
        <v>0.0</v>
      </c>
      <c r="J3067" s="382">
        <v>0.0</v>
      </c>
      <c r="K3067" s="382">
        <v>0.0</v>
      </c>
      <c r="L3067" s="382">
        <v>0.0</v>
      </c>
      <c r="M3067" s="382">
        <v>0.0</v>
      </c>
      <c r="N3067" s="382">
        <v>0.0</v>
      </c>
      <c r="O3067" s="382">
        <v>0.0</v>
      </c>
      <c r="P3067" s="382">
        <v>0.0</v>
      </c>
      <c r="Q3067" s="382">
        <v>0.0</v>
      </c>
      <c r="R3067" s="382">
        <v>0.0</v>
      </c>
      <c r="S3067" s="382">
        <v>0.0</v>
      </c>
      <c r="T3067" s="382">
        <v>0.0</v>
      </c>
      <c r="U3067" s="382">
        <v>0.0</v>
      </c>
      <c r="V3067" s="382">
        <v>0.0</v>
      </c>
      <c r="W3067" s="382">
        <v>0.0</v>
      </c>
      <c r="X3067" s="382">
        <v>0.0</v>
      </c>
      <c r="Y3067" s="382">
        <v>0.0</v>
      </c>
      <c r="Z3067" s="382">
        <v>0.0</v>
      </c>
      <c r="AA3067" s="382">
        <v>0.0</v>
      </c>
      <c r="AB3067" s="382">
        <v>0.0</v>
      </c>
      <c r="AC3067" s="382">
        <v>0.0</v>
      </c>
      <c r="AD3067" s="382">
        <v>0.0</v>
      </c>
      <c r="AE3067" s="382">
        <v>0.0</v>
      </c>
      <c r="AF3067" s="382">
        <v>0.0</v>
      </c>
      <c r="AG3067" s="382">
        <v>0.0</v>
      </c>
      <c r="AH3067" s="382">
        <v>0.0</v>
      </c>
      <c r="AI3067" s="382">
        <v>0.0</v>
      </c>
      <c r="AJ3067" s="382">
        <v>0.0</v>
      </c>
      <c r="AK3067" s="382">
        <v>0.0</v>
      </c>
      <c r="AL3067" s="382">
        <v>0.0</v>
      </c>
      <c r="AM3067" s="382">
        <v>0.0</v>
      </c>
      <c r="AN3067" s="382">
        <v>0.0</v>
      </c>
      <c r="AO3067" s="382">
        <v>0.0</v>
      </c>
      <c r="AP3067" s="382">
        <v>0.0</v>
      </c>
      <c r="AQ3067" s="382">
        <v>0.0</v>
      </c>
      <c r="AR3067" s="382">
        <v>0.0</v>
      </c>
      <c r="AS3067" s="382">
        <v>0.0</v>
      </c>
      <c r="AT3067" s="382">
        <v>0.0</v>
      </c>
      <c r="AU3067" s="382">
        <v>0.0</v>
      </c>
      <c r="AV3067" s="382">
        <v>0.0</v>
      </c>
      <c r="AW3067" s="382">
        <v>0.0</v>
      </c>
      <c r="AX3067" s="382">
        <v>0.0</v>
      </c>
      <c r="AY3067" s="382">
        <v>0.0</v>
      </c>
      <c r="AZ3067" s="382">
        <v>0.0</v>
      </c>
      <c r="BA3067" s="382">
        <v>0.0</v>
      </c>
      <c r="BB3067" s="374"/>
      <c r="BC3067" s="374"/>
      <c r="BD3067" s="374"/>
      <c r="BE3067" s="374"/>
      <c r="BF3067" s="374"/>
      <c r="BG3067" s="32"/>
      <c r="BH3067" s="32"/>
      <c r="BI3067" s="32"/>
      <c r="BJ3067" s="32"/>
      <c r="BK3067" s="32"/>
      <c r="BL3067" s="32"/>
      <c r="BM3067" s="32"/>
      <c r="BN3067" s="32"/>
      <c r="BO3067" s="32"/>
      <c r="BP3067" s="32"/>
      <c r="BQ3067" s="32"/>
      <c r="BR3067" s="32"/>
      <c r="BS3067" s="32"/>
      <c r="BT3067" s="32"/>
      <c r="BU3067" s="32"/>
      <c r="BV3067" s="32"/>
      <c r="BW3067" s="32"/>
      <c r="BX3067" s="32"/>
      <c r="BY3067" s="32"/>
      <c r="BZ3067" s="32"/>
      <c r="CA3067" s="32"/>
      <c r="CB3067" s="32"/>
      <c r="CC3067" s="32"/>
      <c r="CD3067" s="32"/>
    </row>
    <row r="3068" ht="15.75" hidden="1" customHeight="1" outlineLevel="1">
      <c r="A3068" s="365"/>
      <c r="B3068" s="381"/>
      <c r="C3068" s="382">
        <v>0.0</v>
      </c>
      <c r="D3068" s="382">
        <v>0.0</v>
      </c>
      <c r="E3068" s="382">
        <v>0.0</v>
      </c>
      <c r="F3068" s="382">
        <v>0.0</v>
      </c>
      <c r="G3068" s="382">
        <v>0.0</v>
      </c>
      <c r="H3068" s="382">
        <v>0.0</v>
      </c>
      <c r="I3068" s="382">
        <v>0.0</v>
      </c>
      <c r="J3068" s="382">
        <v>0.0</v>
      </c>
      <c r="K3068" s="382">
        <v>0.0</v>
      </c>
      <c r="L3068" s="382">
        <v>0.0</v>
      </c>
      <c r="M3068" s="382">
        <v>0.0</v>
      </c>
      <c r="N3068" s="382">
        <v>0.0</v>
      </c>
      <c r="O3068" s="382">
        <v>0.0</v>
      </c>
      <c r="P3068" s="382">
        <v>0.0</v>
      </c>
      <c r="Q3068" s="382">
        <v>0.0</v>
      </c>
      <c r="R3068" s="382">
        <v>0.0</v>
      </c>
      <c r="S3068" s="382">
        <v>0.0</v>
      </c>
      <c r="T3068" s="382">
        <v>0.0</v>
      </c>
      <c r="U3068" s="382">
        <v>0.0</v>
      </c>
      <c r="V3068" s="382">
        <v>0.0</v>
      </c>
      <c r="W3068" s="382">
        <v>0.0</v>
      </c>
      <c r="X3068" s="382">
        <v>0.0</v>
      </c>
      <c r="Y3068" s="382">
        <v>0.0</v>
      </c>
      <c r="Z3068" s="382">
        <v>0.0</v>
      </c>
      <c r="AA3068" s="382">
        <v>0.0</v>
      </c>
      <c r="AB3068" s="382">
        <v>0.0</v>
      </c>
      <c r="AC3068" s="382">
        <v>0.0</v>
      </c>
      <c r="AD3068" s="382">
        <v>0.0</v>
      </c>
      <c r="AE3068" s="382">
        <v>0.0</v>
      </c>
      <c r="AF3068" s="382">
        <v>0.0</v>
      </c>
      <c r="AG3068" s="382">
        <v>0.0</v>
      </c>
      <c r="AH3068" s="382">
        <v>0.0</v>
      </c>
      <c r="AI3068" s="382">
        <v>0.0</v>
      </c>
      <c r="AJ3068" s="382">
        <v>0.0</v>
      </c>
      <c r="AK3068" s="382">
        <v>0.0</v>
      </c>
      <c r="AL3068" s="382">
        <v>0.0</v>
      </c>
      <c r="AM3068" s="382">
        <v>0.0</v>
      </c>
      <c r="AN3068" s="382">
        <v>0.0</v>
      </c>
      <c r="AO3068" s="382">
        <v>0.0</v>
      </c>
      <c r="AP3068" s="382">
        <v>0.0</v>
      </c>
      <c r="AQ3068" s="382">
        <v>0.0</v>
      </c>
      <c r="AR3068" s="382">
        <v>0.0</v>
      </c>
      <c r="AS3068" s="382">
        <v>0.0</v>
      </c>
      <c r="AT3068" s="382">
        <v>0.0</v>
      </c>
      <c r="AU3068" s="382">
        <v>0.0</v>
      </c>
      <c r="AV3068" s="382">
        <v>0.0</v>
      </c>
      <c r="AW3068" s="382">
        <v>0.0</v>
      </c>
      <c r="AX3068" s="382">
        <v>0.0</v>
      </c>
      <c r="AY3068" s="382">
        <v>0.0</v>
      </c>
      <c r="AZ3068" s="382">
        <v>0.0</v>
      </c>
      <c r="BA3068" s="382">
        <v>0.0</v>
      </c>
      <c r="BB3068" s="374"/>
      <c r="BC3068" s="374"/>
      <c r="BD3068" s="374"/>
      <c r="BE3068" s="374"/>
      <c r="BF3068" s="374"/>
      <c r="BG3068" s="374"/>
      <c r="BH3068" s="32"/>
      <c r="BI3068" s="32"/>
      <c r="BJ3068" s="32"/>
      <c r="BK3068" s="32"/>
      <c r="BL3068" s="32"/>
      <c r="BM3068" s="32"/>
      <c r="BN3068" s="32"/>
      <c r="BO3068" s="32"/>
      <c r="BP3068" s="32"/>
      <c r="BQ3068" s="32"/>
      <c r="BR3068" s="32"/>
      <c r="BS3068" s="32"/>
      <c r="BT3068" s="32"/>
      <c r="BU3068" s="32"/>
      <c r="BV3068" s="32"/>
      <c r="BW3068" s="32"/>
      <c r="BX3068" s="32"/>
      <c r="BY3068" s="32"/>
      <c r="BZ3068" s="32"/>
      <c r="CA3068" s="32"/>
      <c r="CB3068" s="32"/>
      <c r="CC3068" s="32"/>
      <c r="CD3068" s="32"/>
    </row>
    <row r="3069" ht="15.75" hidden="1" customHeight="1" outlineLevel="1">
      <c r="A3069" s="365"/>
      <c r="B3069" s="381"/>
      <c r="C3069" s="382">
        <v>0.0</v>
      </c>
      <c r="D3069" s="382">
        <v>0.0</v>
      </c>
      <c r="E3069" s="382">
        <v>0.0</v>
      </c>
      <c r="F3069" s="382">
        <v>0.0</v>
      </c>
      <c r="G3069" s="382">
        <v>0.0</v>
      </c>
      <c r="H3069" s="382">
        <v>0.0</v>
      </c>
      <c r="I3069" s="382">
        <v>0.0</v>
      </c>
      <c r="J3069" s="382">
        <v>0.0</v>
      </c>
      <c r="K3069" s="382">
        <v>0.0</v>
      </c>
      <c r="L3069" s="382">
        <v>0.0</v>
      </c>
      <c r="M3069" s="382">
        <v>0.0</v>
      </c>
      <c r="N3069" s="382">
        <v>0.0</v>
      </c>
      <c r="O3069" s="382">
        <v>0.0</v>
      </c>
      <c r="P3069" s="382">
        <v>0.0</v>
      </c>
      <c r="Q3069" s="382">
        <v>0.0</v>
      </c>
      <c r="R3069" s="382">
        <v>0.0</v>
      </c>
      <c r="S3069" s="382">
        <v>0.0</v>
      </c>
      <c r="T3069" s="382">
        <v>0.0</v>
      </c>
      <c r="U3069" s="382">
        <v>0.0</v>
      </c>
      <c r="V3069" s="382">
        <v>0.0</v>
      </c>
      <c r="W3069" s="382">
        <v>0.0</v>
      </c>
      <c r="X3069" s="382">
        <v>0.0</v>
      </c>
      <c r="Y3069" s="382">
        <v>0.0</v>
      </c>
      <c r="Z3069" s="382">
        <v>0.0</v>
      </c>
      <c r="AA3069" s="382">
        <v>0.0</v>
      </c>
      <c r="AB3069" s="382">
        <v>0.0</v>
      </c>
      <c r="AC3069" s="382">
        <v>0.0</v>
      </c>
      <c r="AD3069" s="382">
        <v>0.0</v>
      </c>
      <c r="AE3069" s="382">
        <v>0.0</v>
      </c>
      <c r="AF3069" s="382">
        <v>0.0</v>
      </c>
      <c r="AG3069" s="382">
        <v>0.0</v>
      </c>
      <c r="AH3069" s="382">
        <v>0.0</v>
      </c>
      <c r="AI3069" s="382">
        <v>0.0</v>
      </c>
      <c r="AJ3069" s="382">
        <v>0.0</v>
      </c>
      <c r="AK3069" s="382">
        <v>0.0</v>
      </c>
      <c r="AL3069" s="382">
        <v>0.0</v>
      </c>
      <c r="AM3069" s="382">
        <v>0.0</v>
      </c>
      <c r="AN3069" s="382">
        <v>0.0</v>
      </c>
      <c r="AO3069" s="382">
        <v>0.0</v>
      </c>
      <c r="AP3069" s="382">
        <v>0.0</v>
      </c>
      <c r="AQ3069" s="382">
        <v>0.0</v>
      </c>
      <c r="AR3069" s="382">
        <v>0.0</v>
      </c>
      <c r="AS3069" s="382">
        <v>0.0</v>
      </c>
      <c r="AT3069" s="382">
        <v>0.0</v>
      </c>
      <c r="AU3069" s="382">
        <v>0.0</v>
      </c>
      <c r="AV3069" s="382">
        <v>0.0</v>
      </c>
      <c r="AW3069" s="382">
        <v>0.0</v>
      </c>
      <c r="AX3069" s="382">
        <v>0.0</v>
      </c>
      <c r="AY3069" s="382">
        <v>0.0</v>
      </c>
      <c r="AZ3069" s="382">
        <v>0.0</v>
      </c>
      <c r="BA3069" s="382">
        <v>0.0</v>
      </c>
      <c r="BB3069" s="374"/>
      <c r="BC3069" s="374"/>
      <c r="BD3069" s="374"/>
      <c r="BE3069" s="374"/>
      <c r="BF3069" s="374"/>
      <c r="BG3069" s="374"/>
      <c r="BH3069" s="374"/>
      <c r="BI3069" s="32"/>
      <c r="BJ3069" s="32"/>
      <c r="BK3069" s="32"/>
      <c r="BL3069" s="32"/>
      <c r="BM3069" s="32"/>
      <c r="BN3069" s="32"/>
      <c r="BO3069" s="32"/>
      <c r="BP3069" s="32"/>
      <c r="BQ3069" s="32"/>
      <c r="BR3069" s="32"/>
      <c r="BS3069" s="32"/>
      <c r="BT3069" s="32"/>
      <c r="BU3069" s="32"/>
      <c r="BV3069" s="32"/>
      <c r="BW3069" s="32"/>
      <c r="BX3069" s="32"/>
      <c r="BY3069" s="32"/>
      <c r="BZ3069" s="32"/>
      <c r="CA3069" s="32"/>
      <c r="CB3069" s="32"/>
      <c r="CC3069" s="32"/>
      <c r="CD3069" s="32"/>
    </row>
    <row r="3070" ht="15.75" hidden="1" customHeight="1" outlineLevel="1">
      <c r="A3070" s="365"/>
      <c r="B3070" s="381"/>
      <c r="C3070" s="382">
        <v>0.0</v>
      </c>
      <c r="D3070" s="382">
        <v>0.0</v>
      </c>
      <c r="E3070" s="382">
        <v>0.0</v>
      </c>
      <c r="F3070" s="382">
        <v>0.0</v>
      </c>
      <c r="G3070" s="382">
        <v>0.0</v>
      </c>
      <c r="H3070" s="382">
        <v>0.0</v>
      </c>
      <c r="I3070" s="382">
        <v>0.0</v>
      </c>
      <c r="J3070" s="382">
        <v>0.0</v>
      </c>
      <c r="K3070" s="382">
        <v>0.0</v>
      </c>
      <c r="L3070" s="382">
        <v>0.0</v>
      </c>
      <c r="M3070" s="382">
        <v>0.0</v>
      </c>
      <c r="N3070" s="382">
        <v>0.0</v>
      </c>
      <c r="O3070" s="382">
        <v>0.0</v>
      </c>
      <c r="P3070" s="382">
        <v>0.0</v>
      </c>
      <c r="Q3070" s="382">
        <v>0.0</v>
      </c>
      <c r="R3070" s="382">
        <v>0.0</v>
      </c>
      <c r="S3070" s="382">
        <v>0.0</v>
      </c>
      <c r="T3070" s="382">
        <v>0.0</v>
      </c>
      <c r="U3070" s="382">
        <v>0.0</v>
      </c>
      <c r="V3070" s="382">
        <v>0.0</v>
      </c>
      <c r="W3070" s="382">
        <v>0.0</v>
      </c>
      <c r="X3070" s="382">
        <v>0.0</v>
      </c>
      <c r="Y3070" s="382">
        <v>0.0</v>
      </c>
      <c r="Z3070" s="382">
        <v>0.0</v>
      </c>
      <c r="AA3070" s="382">
        <v>0.0</v>
      </c>
      <c r="AB3070" s="382">
        <v>0.0</v>
      </c>
      <c r="AC3070" s="382">
        <v>0.0</v>
      </c>
      <c r="AD3070" s="382">
        <v>0.0</v>
      </c>
      <c r="AE3070" s="382">
        <v>0.0</v>
      </c>
      <c r="AF3070" s="382">
        <v>0.0</v>
      </c>
      <c r="AG3070" s="382">
        <v>0.0</v>
      </c>
      <c r="AH3070" s="382">
        <v>0.0</v>
      </c>
      <c r="AI3070" s="382">
        <v>0.0</v>
      </c>
      <c r="AJ3070" s="382">
        <v>0.0</v>
      </c>
      <c r="AK3070" s="382">
        <v>0.0</v>
      </c>
      <c r="AL3070" s="382">
        <v>0.0</v>
      </c>
      <c r="AM3070" s="382">
        <v>0.0</v>
      </c>
      <c r="AN3070" s="382">
        <v>0.0</v>
      </c>
      <c r="AO3070" s="382">
        <v>0.0</v>
      </c>
      <c r="AP3070" s="382">
        <v>0.0</v>
      </c>
      <c r="AQ3070" s="382">
        <v>0.0</v>
      </c>
      <c r="AR3070" s="382">
        <v>0.0</v>
      </c>
      <c r="AS3070" s="382">
        <v>0.0</v>
      </c>
      <c r="AT3070" s="382">
        <v>0.0</v>
      </c>
      <c r="AU3070" s="382">
        <v>0.0</v>
      </c>
      <c r="AV3070" s="382">
        <v>0.0</v>
      </c>
      <c r="AW3070" s="382">
        <v>0.0</v>
      </c>
      <c r="AX3070" s="382">
        <v>0.0</v>
      </c>
      <c r="AY3070" s="382">
        <v>0.0</v>
      </c>
      <c r="AZ3070" s="382">
        <v>0.0</v>
      </c>
      <c r="BA3070" s="382">
        <v>0.0</v>
      </c>
      <c r="BB3070" s="374"/>
      <c r="BC3070" s="374"/>
      <c r="BD3070" s="374"/>
      <c r="BE3070" s="374"/>
      <c r="BF3070" s="374"/>
      <c r="BG3070" s="374"/>
      <c r="BH3070" s="374"/>
      <c r="BI3070" s="374"/>
      <c r="BJ3070" s="32"/>
      <c r="BK3070" s="32"/>
      <c r="BL3070" s="32"/>
      <c r="BM3070" s="32"/>
      <c r="BN3070" s="32"/>
      <c r="BO3070" s="32"/>
      <c r="BP3070" s="32"/>
      <c r="BQ3070" s="32"/>
      <c r="BR3070" s="32"/>
      <c r="BS3070" s="32"/>
      <c r="BT3070" s="32"/>
      <c r="BU3070" s="32"/>
      <c r="BV3070" s="32"/>
      <c r="BW3070" s="32"/>
      <c r="BX3070" s="32"/>
      <c r="BY3070" s="32"/>
      <c r="BZ3070" s="32"/>
      <c r="CA3070" s="32"/>
      <c r="CB3070" s="32"/>
      <c r="CC3070" s="32"/>
      <c r="CD3070" s="32"/>
    </row>
    <row r="3071" ht="15.75" hidden="1" customHeight="1" outlineLevel="1">
      <c r="A3071" s="365"/>
      <c r="B3071" s="381"/>
      <c r="C3071" s="382">
        <v>0.0</v>
      </c>
      <c r="D3071" s="382">
        <v>0.0</v>
      </c>
      <c r="E3071" s="382">
        <v>0.0</v>
      </c>
      <c r="F3071" s="382">
        <v>0.0</v>
      </c>
      <c r="G3071" s="382">
        <v>0.0</v>
      </c>
      <c r="H3071" s="382">
        <v>0.0</v>
      </c>
      <c r="I3071" s="382">
        <v>0.0</v>
      </c>
      <c r="J3071" s="382">
        <v>0.0</v>
      </c>
      <c r="K3071" s="382">
        <v>0.0</v>
      </c>
      <c r="L3071" s="382">
        <v>0.0</v>
      </c>
      <c r="M3071" s="382">
        <v>0.0</v>
      </c>
      <c r="N3071" s="382">
        <v>0.0</v>
      </c>
      <c r="O3071" s="382">
        <v>0.0</v>
      </c>
      <c r="P3071" s="382">
        <v>0.0</v>
      </c>
      <c r="Q3071" s="382">
        <v>0.0</v>
      </c>
      <c r="R3071" s="382">
        <v>0.0</v>
      </c>
      <c r="S3071" s="382">
        <v>0.0</v>
      </c>
      <c r="T3071" s="382">
        <v>0.0</v>
      </c>
      <c r="U3071" s="382">
        <v>0.0</v>
      </c>
      <c r="V3071" s="382">
        <v>0.0</v>
      </c>
      <c r="W3071" s="382">
        <v>0.0</v>
      </c>
      <c r="X3071" s="382">
        <v>0.0</v>
      </c>
      <c r="Y3071" s="382">
        <v>0.0</v>
      </c>
      <c r="Z3071" s="382">
        <v>0.0</v>
      </c>
      <c r="AA3071" s="382">
        <v>0.0</v>
      </c>
      <c r="AB3071" s="382">
        <v>0.0</v>
      </c>
      <c r="AC3071" s="382">
        <v>0.0</v>
      </c>
      <c r="AD3071" s="382">
        <v>0.0</v>
      </c>
      <c r="AE3071" s="382">
        <v>0.0</v>
      </c>
      <c r="AF3071" s="382">
        <v>0.0</v>
      </c>
      <c r="AG3071" s="382">
        <v>0.0</v>
      </c>
      <c r="AH3071" s="382">
        <v>0.0</v>
      </c>
      <c r="AI3071" s="382">
        <v>0.0</v>
      </c>
      <c r="AJ3071" s="382">
        <v>0.0</v>
      </c>
      <c r="AK3071" s="382">
        <v>0.0</v>
      </c>
      <c r="AL3071" s="382">
        <v>0.0</v>
      </c>
      <c r="AM3071" s="382">
        <v>0.0</v>
      </c>
      <c r="AN3071" s="382">
        <v>0.0</v>
      </c>
      <c r="AO3071" s="382">
        <v>0.0</v>
      </c>
      <c r="AP3071" s="382">
        <v>0.0</v>
      </c>
      <c r="AQ3071" s="382">
        <v>0.0</v>
      </c>
      <c r="AR3071" s="382">
        <v>0.0</v>
      </c>
      <c r="AS3071" s="382">
        <v>0.0</v>
      </c>
      <c r="AT3071" s="382">
        <v>0.0</v>
      </c>
      <c r="AU3071" s="382">
        <v>0.0</v>
      </c>
      <c r="AV3071" s="382">
        <v>0.0</v>
      </c>
      <c r="AW3071" s="382">
        <v>0.0</v>
      </c>
      <c r="AX3071" s="382">
        <v>0.0</v>
      </c>
      <c r="AY3071" s="382">
        <v>0.0</v>
      </c>
      <c r="AZ3071" s="382">
        <v>0.0</v>
      </c>
      <c r="BA3071" s="382">
        <v>0.0</v>
      </c>
      <c r="BB3071" s="374"/>
      <c r="BC3071" s="374"/>
      <c r="BD3071" s="374"/>
      <c r="BE3071" s="374"/>
      <c r="BF3071" s="374"/>
      <c r="BG3071" s="374"/>
      <c r="BH3071" s="374"/>
      <c r="BI3071" s="374"/>
      <c r="BJ3071" s="374"/>
      <c r="BK3071" s="32"/>
      <c r="BL3071" s="32"/>
      <c r="BM3071" s="32"/>
      <c r="BN3071" s="32"/>
      <c r="BO3071" s="32"/>
      <c r="BP3071" s="32"/>
      <c r="BQ3071" s="32"/>
      <c r="BR3071" s="32"/>
      <c r="BS3071" s="32"/>
      <c r="BT3071" s="32"/>
      <c r="BU3071" s="32"/>
      <c r="BV3071" s="32"/>
      <c r="BW3071" s="32"/>
      <c r="BX3071" s="32"/>
      <c r="BY3071" s="32"/>
      <c r="BZ3071" s="32"/>
      <c r="CA3071" s="32"/>
      <c r="CB3071" s="32"/>
      <c r="CC3071" s="32"/>
      <c r="CD3071" s="32"/>
    </row>
    <row r="3072" ht="15.75" hidden="1" customHeight="1" outlineLevel="1">
      <c r="A3072" s="365"/>
      <c r="B3072" s="381"/>
      <c r="C3072" s="382">
        <v>0.0</v>
      </c>
      <c r="D3072" s="382">
        <v>0.0</v>
      </c>
      <c r="E3072" s="382">
        <v>0.0</v>
      </c>
      <c r="F3072" s="382">
        <v>0.0</v>
      </c>
      <c r="G3072" s="382">
        <v>0.0</v>
      </c>
      <c r="H3072" s="382">
        <v>0.0</v>
      </c>
      <c r="I3072" s="382">
        <v>0.0</v>
      </c>
      <c r="J3072" s="382">
        <v>0.0</v>
      </c>
      <c r="K3072" s="382">
        <v>0.0</v>
      </c>
      <c r="L3072" s="382">
        <v>0.0</v>
      </c>
      <c r="M3072" s="382">
        <v>0.0</v>
      </c>
      <c r="N3072" s="382">
        <v>0.0</v>
      </c>
      <c r="O3072" s="382">
        <v>0.0</v>
      </c>
      <c r="P3072" s="382">
        <v>0.0</v>
      </c>
      <c r="Q3072" s="382">
        <v>0.0</v>
      </c>
      <c r="R3072" s="382">
        <v>0.0</v>
      </c>
      <c r="S3072" s="382">
        <v>0.0</v>
      </c>
      <c r="T3072" s="382">
        <v>0.0</v>
      </c>
      <c r="U3072" s="382">
        <v>0.0</v>
      </c>
      <c r="V3072" s="382">
        <v>0.0</v>
      </c>
      <c r="W3072" s="382">
        <v>0.0</v>
      </c>
      <c r="X3072" s="382">
        <v>0.0</v>
      </c>
      <c r="Y3072" s="382">
        <v>0.0</v>
      </c>
      <c r="Z3072" s="382">
        <v>0.0</v>
      </c>
      <c r="AA3072" s="382">
        <v>0.0</v>
      </c>
      <c r="AB3072" s="382">
        <v>0.0</v>
      </c>
      <c r="AC3072" s="382">
        <v>0.0</v>
      </c>
      <c r="AD3072" s="382">
        <v>0.0</v>
      </c>
      <c r="AE3072" s="382">
        <v>0.0</v>
      </c>
      <c r="AF3072" s="382">
        <v>0.0</v>
      </c>
      <c r="AG3072" s="382">
        <v>0.0</v>
      </c>
      <c r="AH3072" s="382">
        <v>0.0</v>
      </c>
      <c r="AI3072" s="382">
        <v>0.0</v>
      </c>
      <c r="AJ3072" s="382">
        <v>0.0</v>
      </c>
      <c r="AK3072" s="382">
        <v>0.0</v>
      </c>
      <c r="AL3072" s="382">
        <v>0.0</v>
      </c>
      <c r="AM3072" s="382">
        <v>0.0</v>
      </c>
      <c r="AN3072" s="382">
        <v>0.0</v>
      </c>
      <c r="AO3072" s="382">
        <v>0.0</v>
      </c>
      <c r="AP3072" s="382">
        <v>0.0</v>
      </c>
      <c r="AQ3072" s="382">
        <v>0.0</v>
      </c>
      <c r="AR3072" s="382">
        <v>0.0</v>
      </c>
      <c r="AS3072" s="382">
        <v>0.0</v>
      </c>
      <c r="AT3072" s="382">
        <v>0.0</v>
      </c>
      <c r="AU3072" s="382">
        <v>0.0</v>
      </c>
      <c r="AV3072" s="382">
        <v>0.0</v>
      </c>
      <c r="AW3072" s="382">
        <v>0.0</v>
      </c>
      <c r="AX3072" s="382">
        <v>0.0</v>
      </c>
      <c r="AY3072" s="382">
        <v>0.0</v>
      </c>
      <c r="AZ3072" s="382">
        <v>0.0</v>
      </c>
      <c r="BA3072" s="382">
        <v>0.0</v>
      </c>
      <c r="BB3072" s="374"/>
      <c r="BC3072" s="374"/>
      <c r="BD3072" s="374"/>
      <c r="BE3072" s="374"/>
      <c r="BF3072" s="374"/>
      <c r="BG3072" s="374"/>
      <c r="BH3072" s="374"/>
      <c r="BI3072" s="374"/>
      <c r="BJ3072" s="374"/>
      <c r="BK3072" s="374"/>
      <c r="BL3072" s="32"/>
      <c r="BM3072" s="32"/>
      <c r="BN3072" s="32"/>
      <c r="BO3072" s="32"/>
      <c r="BP3072" s="32"/>
      <c r="BQ3072" s="32"/>
      <c r="BR3072" s="32"/>
      <c r="BS3072" s="32"/>
      <c r="BT3072" s="32"/>
      <c r="BU3072" s="32"/>
      <c r="BV3072" s="32"/>
      <c r="BW3072" s="32"/>
      <c r="BX3072" s="32"/>
      <c r="BY3072" s="32"/>
      <c r="BZ3072" s="32"/>
      <c r="CA3072" s="32"/>
      <c r="CB3072" s="32"/>
      <c r="CC3072" s="32"/>
      <c r="CD3072" s="32"/>
    </row>
    <row r="3073" ht="15.75" hidden="1" customHeight="1" outlineLevel="1">
      <c r="A3073" s="365"/>
      <c r="B3073" s="381"/>
      <c r="C3073" s="382">
        <v>0.0</v>
      </c>
      <c r="D3073" s="382">
        <v>0.0</v>
      </c>
      <c r="E3073" s="382">
        <v>0.0</v>
      </c>
      <c r="F3073" s="382">
        <v>0.0</v>
      </c>
      <c r="G3073" s="382">
        <v>0.0</v>
      </c>
      <c r="H3073" s="382">
        <v>0.0</v>
      </c>
      <c r="I3073" s="382">
        <v>0.0</v>
      </c>
      <c r="J3073" s="382">
        <v>0.0</v>
      </c>
      <c r="K3073" s="382">
        <v>0.0</v>
      </c>
      <c r="L3073" s="382">
        <v>0.0</v>
      </c>
      <c r="M3073" s="382">
        <v>0.0</v>
      </c>
      <c r="N3073" s="382">
        <v>0.0</v>
      </c>
      <c r="O3073" s="382">
        <v>0.0</v>
      </c>
      <c r="P3073" s="382">
        <v>0.0</v>
      </c>
      <c r="Q3073" s="382">
        <v>0.0</v>
      </c>
      <c r="R3073" s="382">
        <v>0.0</v>
      </c>
      <c r="S3073" s="382">
        <v>0.0</v>
      </c>
      <c r="T3073" s="382">
        <v>0.0</v>
      </c>
      <c r="U3073" s="382">
        <v>0.0</v>
      </c>
      <c r="V3073" s="382">
        <v>0.0</v>
      </c>
      <c r="W3073" s="382">
        <v>0.0</v>
      </c>
      <c r="X3073" s="382">
        <v>0.0</v>
      </c>
      <c r="Y3073" s="382">
        <v>0.0</v>
      </c>
      <c r="Z3073" s="382">
        <v>0.0</v>
      </c>
      <c r="AA3073" s="382">
        <v>0.0</v>
      </c>
      <c r="AB3073" s="382">
        <v>0.0</v>
      </c>
      <c r="AC3073" s="382">
        <v>0.0</v>
      </c>
      <c r="AD3073" s="382">
        <v>0.0</v>
      </c>
      <c r="AE3073" s="382">
        <v>0.0</v>
      </c>
      <c r="AF3073" s="382">
        <v>0.0</v>
      </c>
      <c r="AG3073" s="382">
        <v>0.0</v>
      </c>
      <c r="AH3073" s="382">
        <v>0.0</v>
      </c>
      <c r="AI3073" s="382">
        <v>0.0</v>
      </c>
      <c r="AJ3073" s="382">
        <v>0.0</v>
      </c>
      <c r="AK3073" s="382">
        <v>0.0</v>
      </c>
      <c r="AL3073" s="382">
        <v>0.0</v>
      </c>
      <c r="AM3073" s="382">
        <v>0.0</v>
      </c>
      <c r="AN3073" s="382">
        <v>0.0</v>
      </c>
      <c r="AO3073" s="382">
        <v>0.0</v>
      </c>
      <c r="AP3073" s="382">
        <v>0.0</v>
      </c>
      <c r="AQ3073" s="382">
        <v>0.0</v>
      </c>
      <c r="AR3073" s="382">
        <v>0.0</v>
      </c>
      <c r="AS3073" s="382">
        <v>0.0</v>
      </c>
      <c r="AT3073" s="382">
        <v>0.0</v>
      </c>
      <c r="AU3073" s="382">
        <v>0.0</v>
      </c>
      <c r="AV3073" s="382">
        <v>0.0</v>
      </c>
      <c r="AW3073" s="382">
        <v>0.0</v>
      </c>
      <c r="AX3073" s="382">
        <v>0.0</v>
      </c>
      <c r="AY3073" s="382">
        <v>0.0</v>
      </c>
      <c r="AZ3073" s="382">
        <v>0.0</v>
      </c>
      <c r="BA3073" s="382">
        <v>0.0</v>
      </c>
      <c r="BB3073" s="373">
        <f>PPMT('Assumptions (T&amp;D) old'!$B$100,Model!AK$1,'Assumptions (T&amp;D) old'!$B$103,Model!$AN$3033)</f>
        <v>0</v>
      </c>
      <c r="BC3073" s="374"/>
      <c r="BD3073" s="374"/>
      <c r="BE3073" s="374"/>
      <c r="BF3073" s="374"/>
      <c r="BG3073" s="374"/>
      <c r="BH3073" s="374"/>
      <c r="BI3073" s="374"/>
      <c r="BJ3073" s="374"/>
      <c r="BK3073" s="374"/>
      <c r="BL3073" s="374"/>
      <c r="BM3073" s="32"/>
      <c r="BN3073" s="32"/>
      <c r="BO3073" s="32"/>
      <c r="BP3073" s="32"/>
      <c r="BQ3073" s="32"/>
      <c r="BR3073" s="32"/>
      <c r="BS3073" s="32"/>
      <c r="BT3073" s="32"/>
      <c r="BU3073" s="32"/>
      <c r="BV3073" s="32"/>
      <c r="BW3073" s="32"/>
      <c r="BX3073" s="32"/>
      <c r="BY3073" s="32"/>
      <c r="BZ3073" s="32"/>
      <c r="CA3073" s="32"/>
      <c r="CB3073" s="32"/>
      <c r="CC3073" s="32"/>
      <c r="CD3073" s="32"/>
    </row>
    <row r="3074" ht="15.75" hidden="1" customHeight="1" outlineLevel="1">
      <c r="A3074" s="365"/>
      <c r="B3074" s="381"/>
      <c r="C3074" s="382">
        <v>0.0</v>
      </c>
      <c r="D3074" s="382">
        <v>0.0</v>
      </c>
      <c r="E3074" s="382">
        <v>0.0</v>
      </c>
      <c r="F3074" s="382">
        <v>0.0</v>
      </c>
      <c r="G3074" s="382">
        <v>0.0</v>
      </c>
      <c r="H3074" s="382">
        <v>0.0</v>
      </c>
      <c r="I3074" s="382">
        <v>0.0</v>
      </c>
      <c r="J3074" s="382">
        <v>0.0</v>
      </c>
      <c r="K3074" s="382">
        <v>0.0</v>
      </c>
      <c r="L3074" s="382">
        <v>0.0</v>
      </c>
      <c r="M3074" s="382">
        <v>0.0</v>
      </c>
      <c r="N3074" s="382">
        <v>0.0</v>
      </c>
      <c r="O3074" s="382">
        <v>0.0</v>
      </c>
      <c r="P3074" s="382">
        <v>0.0</v>
      </c>
      <c r="Q3074" s="382">
        <v>0.0</v>
      </c>
      <c r="R3074" s="382">
        <v>0.0</v>
      </c>
      <c r="S3074" s="382">
        <v>0.0</v>
      </c>
      <c r="T3074" s="382">
        <v>0.0</v>
      </c>
      <c r="U3074" s="382">
        <v>0.0</v>
      </c>
      <c r="V3074" s="382">
        <v>0.0</v>
      </c>
      <c r="W3074" s="382">
        <v>0.0</v>
      </c>
      <c r="X3074" s="382">
        <v>0.0</v>
      </c>
      <c r="Y3074" s="382">
        <v>0.0</v>
      </c>
      <c r="Z3074" s="382">
        <v>0.0</v>
      </c>
      <c r="AA3074" s="382">
        <v>0.0</v>
      </c>
      <c r="AB3074" s="382">
        <v>0.0</v>
      </c>
      <c r="AC3074" s="382">
        <v>0.0</v>
      </c>
      <c r="AD3074" s="382">
        <v>0.0</v>
      </c>
      <c r="AE3074" s="382">
        <v>0.0</v>
      </c>
      <c r="AF3074" s="382">
        <v>0.0</v>
      </c>
      <c r="AG3074" s="382">
        <v>0.0</v>
      </c>
      <c r="AH3074" s="382">
        <v>0.0</v>
      </c>
      <c r="AI3074" s="382">
        <v>0.0</v>
      </c>
      <c r="AJ3074" s="382">
        <v>0.0</v>
      </c>
      <c r="AK3074" s="382">
        <v>0.0</v>
      </c>
      <c r="AL3074" s="382">
        <v>0.0</v>
      </c>
      <c r="AM3074" s="382">
        <v>0.0</v>
      </c>
      <c r="AN3074" s="382">
        <v>0.0</v>
      </c>
      <c r="AO3074" s="382">
        <v>0.0</v>
      </c>
      <c r="AP3074" s="382">
        <v>0.0</v>
      </c>
      <c r="AQ3074" s="382">
        <v>0.0</v>
      </c>
      <c r="AR3074" s="382">
        <v>0.0</v>
      </c>
      <c r="AS3074" s="382">
        <v>0.0</v>
      </c>
      <c r="AT3074" s="382">
        <v>0.0</v>
      </c>
      <c r="AU3074" s="382">
        <v>0.0</v>
      </c>
      <c r="AV3074" s="382">
        <v>0.0</v>
      </c>
      <c r="AW3074" s="382">
        <v>0.0</v>
      </c>
      <c r="AX3074" s="382">
        <v>0.0</v>
      </c>
      <c r="AY3074" s="382">
        <v>0.0</v>
      </c>
      <c r="AZ3074" s="382">
        <v>0.0</v>
      </c>
      <c r="BA3074" s="382">
        <v>0.0</v>
      </c>
      <c r="BB3074" s="373">
        <f>PPMT('Assumptions (T&amp;D) old'!$B$100,Model!AJ$1,'Assumptions (T&amp;D) old'!$B$103,Model!$AO$3033)</f>
        <v>0</v>
      </c>
      <c r="BC3074" s="373">
        <f>PPMT('Assumptions (T&amp;D) old'!$B$100,Model!AK$1,'Assumptions (T&amp;D) old'!$B$103,Model!$AO$3033)</f>
        <v>0</v>
      </c>
      <c r="BD3074" s="374"/>
      <c r="BE3074" s="374"/>
      <c r="BF3074" s="374"/>
      <c r="BG3074" s="374"/>
      <c r="BH3074" s="374"/>
      <c r="BI3074" s="374"/>
      <c r="BJ3074" s="374"/>
      <c r="BK3074" s="374"/>
      <c r="BL3074" s="374"/>
      <c r="BM3074" s="374"/>
      <c r="BN3074" s="32"/>
      <c r="BO3074" s="32"/>
      <c r="BP3074" s="32"/>
      <c r="BQ3074" s="32"/>
      <c r="BR3074" s="32"/>
      <c r="BS3074" s="32"/>
      <c r="BT3074" s="32"/>
      <c r="BU3074" s="32"/>
      <c r="BV3074" s="32"/>
      <c r="BW3074" s="32"/>
      <c r="BX3074" s="32"/>
      <c r="BY3074" s="32"/>
      <c r="BZ3074" s="32"/>
      <c r="CA3074" s="32"/>
      <c r="CB3074" s="32"/>
      <c r="CC3074" s="32"/>
      <c r="CD3074" s="32"/>
    </row>
    <row r="3075" ht="15.75" hidden="1" customHeight="1" outlineLevel="1">
      <c r="A3075" s="365"/>
      <c r="B3075" s="381"/>
      <c r="C3075" s="382">
        <v>0.0</v>
      </c>
      <c r="D3075" s="382">
        <v>0.0</v>
      </c>
      <c r="E3075" s="382">
        <v>0.0</v>
      </c>
      <c r="F3075" s="382">
        <v>0.0</v>
      </c>
      <c r="G3075" s="382">
        <v>0.0</v>
      </c>
      <c r="H3075" s="382">
        <v>0.0</v>
      </c>
      <c r="I3075" s="382">
        <v>0.0</v>
      </c>
      <c r="J3075" s="382">
        <v>0.0</v>
      </c>
      <c r="K3075" s="382">
        <v>0.0</v>
      </c>
      <c r="L3075" s="382">
        <v>0.0</v>
      </c>
      <c r="M3075" s="382">
        <v>0.0</v>
      </c>
      <c r="N3075" s="382">
        <v>0.0</v>
      </c>
      <c r="O3075" s="382">
        <v>0.0</v>
      </c>
      <c r="P3075" s="382">
        <v>0.0</v>
      </c>
      <c r="Q3075" s="382">
        <v>0.0</v>
      </c>
      <c r="R3075" s="382">
        <v>0.0</v>
      </c>
      <c r="S3075" s="382">
        <v>0.0</v>
      </c>
      <c r="T3075" s="382">
        <v>0.0</v>
      </c>
      <c r="U3075" s="382">
        <v>0.0</v>
      </c>
      <c r="V3075" s="382">
        <v>0.0</v>
      </c>
      <c r="W3075" s="382">
        <v>0.0</v>
      </c>
      <c r="X3075" s="382">
        <v>0.0</v>
      </c>
      <c r="Y3075" s="382">
        <v>0.0</v>
      </c>
      <c r="Z3075" s="382">
        <v>0.0</v>
      </c>
      <c r="AA3075" s="382">
        <v>0.0</v>
      </c>
      <c r="AB3075" s="382">
        <v>0.0</v>
      </c>
      <c r="AC3075" s="382">
        <v>0.0</v>
      </c>
      <c r="AD3075" s="382">
        <v>0.0</v>
      </c>
      <c r="AE3075" s="382">
        <v>0.0</v>
      </c>
      <c r="AF3075" s="382">
        <v>0.0</v>
      </c>
      <c r="AG3075" s="382">
        <v>0.0</v>
      </c>
      <c r="AH3075" s="382">
        <v>0.0</v>
      </c>
      <c r="AI3075" s="382">
        <v>0.0</v>
      </c>
      <c r="AJ3075" s="382">
        <v>0.0</v>
      </c>
      <c r="AK3075" s="382">
        <v>0.0</v>
      </c>
      <c r="AL3075" s="382">
        <v>0.0</v>
      </c>
      <c r="AM3075" s="382">
        <v>0.0</v>
      </c>
      <c r="AN3075" s="382">
        <v>0.0</v>
      </c>
      <c r="AO3075" s="382">
        <v>0.0</v>
      </c>
      <c r="AP3075" s="382">
        <v>0.0</v>
      </c>
      <c r="AQ3075" s="382">
        <v>0.0</v>
      </c>
      <c r="AR3075" s="382">
        <v>0.0</v>
      </c>
      <c r="AS3075" s="382">
        <v>0.0</v>
      </c>
      <c r="AT3075" s="382">
        <v>0.0</v>
      </c>
      <c r="AU3075" s="382">
        <v>0.0</v>
      </c>
      <c r="AV3075" s="382">
        <v>0.0</v>
      </c>
      <c r="AW3075" s="382">
        <v>0.0</v>
      </c>
      <c r="AX3075" s="382">
        <v>0.0</v>
      </c>
      <c r="AY3075" s="382">
        <v>0.0</v>
      </c>
      <c r="AZ3075" s="382">
        <v>0.0</v>
      </c>
      <c r="BA3075" s="382">
        <v>0.0</v>
      </c>
      <c r="BB3075" s="373">
        <f>PPMT('Assumptions (T&amp;D) old'!$B$100,Model!AI$1,'Assumptions (T&amp;D) old'!$B$103,Model!$AP$3033)</f>
        <v>0</v>
      </c>
      <c r="BC3075" s="373">
        <f>PPMT('Assumptions (T&amp;D) old'!$B$100,Model!AJ$1,'Assumptions (T&amp;D) old'!$B$103,Model!$AP$3033)</f>
        <v>0</v>
      </c>
      <c r="BD3075" s="373">
        <f>PPMT('Assumptions (T&amp;D) old'!$B$100,Model!AK$1,'Assumptions (T&amp;D) old'!$B$103,Model!$AP$3033)</f>
        <v>0</v>
      </c>
      <c r="BE3075" s="374"/>
      <c r="BF3075" s="374"/>
      <c r="BG3075" s="374"/>
      <c r="BH3075" s="374"/>
      <c r="BI3075" s="374"/>
      <c r="BJ3075" s="374"/>
      <c r="BK3075" s="374"/>
      <c r="BL3075" s="374"/>
      <c r="BM3075" s="374"/>
      <c r="BN3075" s="374"/>
      <c r="BO3075" s="32"/>
      <c r="BP3075" s="32"/>
      <c r="BQ3075" s="32"/>
      <c r="BR3075" s="32"/>
      <c r="BS3075" s="32"/>
      <c r="BT3075" s="32"/>
      <c r="BU3075" s="32"/>
      <c r="BV3075" s="32"/>
      <c r="BW3075" s="32"/>
      <c r="BX3075" s="32"/>
      <c r="BY3075" s="32"/>
      <c r="BZ3075" s="32"/>
      <c r="CA3075" s="32"/>
      <c r="CB3075" s="32"/>
      <c r="CC3075" s="32"/>
      <c r="CD3075" s="32"/>
    </row>
    <row r="3076" ht="15.75" hidden="1" customHeight="1" outlineLevel="1">
      <c r="A3076" s="365"/>
      <c r="B3076" s="381"/>
      <c r="C3076" s="382">
        <v>0.0</v>
      </c>
      <c r="D3076" s="382">
        <v>0.0</v>
      </c>
      <c r="E3076" s="382">
        <v>0.0</v>
      </c>
      <c r="F3076" s="382">
        <v>0.0</v>
      </c>
      <c r="G3076" s="382">
        <v>0.0</v>
      </c>
      <c r="H3076" s="382">
        <v>0.0</v>
      </c>
      <c r="I3076" s="382">
        <v>0.0</v>
      </c>
      <c r="J3076" s="382">
        <v>0.0</v>
      </c>
      <c r="K3076" s="382">
        <v>0.0</v>
      </c>
      <c r="L3076" s="382">
        <v>0.0</v>
      </c>
      <c r="M3076" s="382">
        <v>0.0</v>
      </c>
      <c r="N3076" s="382">
        <v>0.0</v>
      </c>
      <c r="O3076" s="382">
        <v>0.0</v>
      </c>
      <c r="P3076" s="382">
        <v>0.0</v>
      </c>
      <c r="Q3076" s="382">
        <v>0.0</v>
      </c>
      <c r="R3076" s="382">
        <v>0.0</v>
      </c>
      <c r="S3076" s="382">
        <v>0.0</v>
      </c>
      <c r="T3076" s="382">
        <v>0.0</v>
      </c>
      <c r="U3076" s="382">
        <v>0.0</v>
      </c>
      <c r="V3076" s="382">
        <v>0.0</v>
      </c>
      <c r="W3076" s="382">
        <v>0.0</v>
      </c>
      <c r="X3076" s="382">
        <v>0.0</v>
      </c>
      <c r="Y3076" s="382">
        <v>0.0</v>
      </c>
      <c r="Z3076" s="382">
        <v>0.0</v>
      </c>
      <c r="AA3076" s="382">
        <v>0.0</v>
      </c>
      <c r="AB3076" s="382">
        <v>0.0</v>
      </c>
      <c r="AC3076" s="382">
        <v>0.0</v>
      </c>
      <c r="AD3076" s="382">
        <v>0.0</v>
      </c>
      <c r="AE3076" s="382">
        <v>0.0</v>
      </c>
      <c r="AF3076" s="382">
        <v>0.0</v>
      </c>
      <c r="AG3076" s="382">
        <v>0.0</v>
      </c>
      <c r="AH3076" s="382">
        <v>0.0</v>
      </c>
      <c r="AI3076" s="382">
        <v>0.0</v>
      </c>
      <c r="AJ3076" s="382">
        <v>0.0</v>
      </c>
      <c r="AK3076" s="382">
        <v>0.0</v>
      </c>
      <c r="AL3076" s="382">
        <v>0.0</v>
      </c>
      <c r="AM3076" s="382">
        <v>0.0</v>
      </c>
      <c r="AN3076" s="382">
        <v>0.0</v>
      </c>
      <c r="AO3076" s="382">
        <v>0.0</v>
      </c>
      <c r="AP3076" s="382">
        <v>0.0</v>
      </c>
      <c r="AQ3076" s="382">
        <v>0.0</v>
      </c>
      <c r="AR3076" s="382">
        <v>0.0</v>
      </c>
      <c r="AS3076" s="382">
        <v>0.0</v>
      </c>
      <c r="AT3076" s="382">
        <v>0.0</v>
      </c>
      <c r="AU3076" s="382">
        <v>0.0</v>
      </c>
      <c r="AV3076" s="382">
        <v>0.0</v>
      </c>
      <c r="AW3076" s="382">
        <v>0.0</v>
      </c>
      <c r="AX3076" s="382">
        <v>0.0</v>
      </c>
      <c r="AY3076" s="382">
        <v>0.0</v>
      </c>
      <c r="AZ3076" s="382">
        <v>0.0</v>
      </c>
      <c r="BA3076" s="382">
        <v>0.0</v>
      </c>
      <c r="BB3076" s="373">
        <f>PPMT('Assumptions (T&amp;D) old'!$B$100,Model!AH$1,'Assumptions (T&amp;D) old'!$B$103,Model!$AQ$3033)</f>
        <v>0</v>
      </c>
      <c r="BC3076" s="373">
        <f>PPMT('Assumptions (T&amp;D) old'!$B$100,Model!AI$1,'Assumptions (T&amp;D) old'!$B$103,Model!$AQ$3033)</f>
        <v>0</v>
      </c>
      <c r="BD3076" s="373">
        <f>PPMT('Assumptions (T&amp;D) old'!$B$100,Model!AJ$1,'Assumptions (T&amp;D) old'!$B$103,Model!$AQ$3033)</f>
        <v>0</v>
      </c>
      <c r="BE3076" s="373">
        <f>PPMT('Assumptions (T&amp;D) old'!$B$100,Model!AK$1,'Assumptions (T&amp;D) old'!$B$103,Model!$AQ$3033)</f>
        <v>0</v>
      </c>
      <c r="BF3076" s="374"/>
      <c r="BG3076" s="374"/>
      <c r="BH3076" s="374"/>
      <c r="BI3076" s="374"/>
      <c r="BJ3076" s="374"/>
      <c r="BK3076" s="374"/>
      <c r="BL3076" s="374"/>
      <c r="BM3076" s="374"/>
      <c r="BN3076" s="374"/>
      <c r="BO3076" s="374"/>
      <c r="BP3076" s="32"/>
      <c r="BQ3076" s="32"/>
      <c r="BR3076" s="32"/>
      <c r="BS3076" s="32"/>
      <c r="BT3076" s="32"/>
      <c r="BU3076" s="32"/>
      <c r="BV3076" s="32"/>
      <c r="BW3076" s="32"/>
      <c r="BX3076" s="32"/>
      <c r="BY3076" s="32"/>
      <c r="BZ3076" s="32"/>
      <c r="CA3076" s="32"/>
      <c r="CB3076" s="32"/>
      <c r="CC3076" s="32"/>
      <c r="CD3076" s="32"/>
    </row>
    <row r="3077" ht="15.75" hidden="1" customHeight="1" outlineLevel="1">
      <c r="A3077" s="365"/>
      <c r="B3077" s="381"/>
      <c r="C3077" s="382">
        <v>0.0</v>
      </c>
      <c r="D3077" s="382">
        <v>0.0</v>
      </c>
      <c r="E3077" s="382">
        <v>0.0</v>
      </c>
      <c r="F3077" s="382">
        <v>0.0</v>
      </c>
      <c r="G3077" s="382">
        <v>0.0</v>
      </c>
      <c r="H3077" s="382">
        <v>0.0</v>
      </c>
      <c r="I3077" s="382">
        <v>0.0</v>
      </c>
      <c r="J3077" s="382">
        <v>0.0</v>
      </c>
      <c r="K3077" s="382">
        <v>0.0</v>
      </c>
      <c r="L3077" s="382">
        <v>0.0</v>
      </c>
      <c r="M3077" s="382">
        <v>0.0</v>
      </c>
      <c r="N3077" s="382">
        <v>0.0</v>
      </c>
      <c r="O3077" s="382">
        <v>0.0</v>
      </c>
      <c r="P3077" s="382">
        <v>0.0</v>
      </c>
      <c r="Q3077" s="382">
        <v>0.0</v>
      </c>
      <c r="R3077" s="382">
        <v>0.0</v>
      </c>
      <c r="S3077" s="382">
        <v>0.0</v>
      </c>
      <c r="T3077" s="382">
        <v>0.0</v>
      </c>
      <c r="U3077" s="382">
        <v>0.0</v>
      </c>
      <c r="V3077" s="382">
        <v>0.0</v>
      </c>
      <c r="W3077" s="382">
        <v>0.0</v>
      </c>
      <c r="X3077" s="382">
        <v>0.0</v>
      </c>
      <c r="Y3077" s="382">
        <v>0.0</v>
      </c>
      <c r="Z3077" s="382">
        <v>0.0</v>
      </c>
      <c r="AA3077" s="382">
        <v>0.0</v>
      </c>
      <c r="AB3077" s="382">
        <v>0.0</v>
      </c>
      <c r="AC3077" s="382">
        <v>0.0</v>
      </c>
      <c r="AD3077" s="382">
        <v>0.0</v>
      </c>
      <c r="AE3077" s="382">
        <v>0.0</v>
      </c>
      <c r="AF3077" s="382">
        <v>0.0</v>
      </c>
      <c r="AG3077" s="382">
        <v>0.0</v>
      </c>
      <c r="AH3077" s="382">
        <v>0.0</v>
      </c>
      <c r="AI3077" s="382">
        <v>0.0</v>
      </c>
      <c r="AJ3077" s="382">
        <v>0.0</v>
      </c>
      <c r="AK3077" s="382">
        <v>0.0</v>
      </c>
      <c r="AL3077" s="382">
        <v>0.0</v>
      </c>
      <c r="AM3077" s="382">
        <v>0.0</v>
      </c>
      <c r="AN3077" s="382">
        <v>0.0</v>
      </c>
      <c r="AO3077" s="382">
        <v>0.0</v>
      </c>
      <c r="AP3077" s="382">
        <v>0.0</v>
      </c>
      <c r="AQ3077" s="382">
        <v>0.0</v>
      </c>
      <c r="AR3077" s="382">
        <v>0.0</v>
      </c>
      <c r="AS3077" s="382">
        <v>0.0</v>
      </c>
      <c r="AT3077" s="382">
        <v>0.0</v>
      </c>
      <c r="AU3077" s="382">
        <v>0.0</v>
      </c>
      <c r="AV3077" s="382">
        <v>0.0</v>
      </c>
      <c r="AW3077" s="382">
        <v>0.0</v>
      </c>
      <c r="AX3077" s="382">
        <v>0.0</v>
      </c>
      <c r="AY3077" s="382">
        <v>0.0</v>
      </c>
      <c r="AZ3077" s="382">
        <v>0.0</v>
      </c>
      <c r="BA3077" s="382">
        <v>0.0</v>
      </c>
      <c r="BB3077" s="373">
        <f>PPMT('Assumptions (T&amp;D) old'!$B$100,Model!AG$1,'Assumptions (T&amp;D) old'!$B$103,Model!$AR$3033)</f>
        <v>0</v>
      </c>
      <c r="BC3077" s="373">
        <f>PPMT('Assumptions (T&amp;D) old'!$B$100,Model!AH$1,'Assumptions (T&amp;D) old'!$B$103,Model!$AR$3033)</f>
        <v>0</v>
      </c>
      <c r="BD3077" s="373">
        <f>PPMT('Assumptions (T&amp;D) old'!$B$100,Model!AI$1,'Assumptions (T&amp;D) old'!$B$103,Model!$AR$3033)</f>
        <v>0</v>
      </c>
      <c r="BE3077" s="373">
        <f>PPMT('Assumptions (T&amp;D) old'!$B$100,Model!AJ$1,'Assumptions (T&amp;D) old'!$B$103,Model!$AR$3033)</f>
        <v>0</v>
      </c>
      <c r="BF3077" s="373">
        <f>PPMT('Assumptions (T&amp;D) old'!$B$100,Model!AK$1,'Assumptions (T&amp;D) old'!$B$103,Model!$AR$3033)</f>
        <v>0</v>
      </c>
      <c r="BG3077" s="374"/>
      <c r="BH3077" s="374"/>
      <c r="BI3077" s="374"/>
      <c r="BJ3077" s="374"/>
      <c r="BK3077" s="374"/>
      <c r="BL3077" s="374"/>
      <c r="BM3077" s="374"/>
      <c r="BN3077" s="374"/>
      <c r="BO3077" s="374"/>
      <c r="BP3077" s="374"/>
      <c r="BQ3077" s="32"/>
      <c r="BR3077" s="32"/>
      <c r="BS3077" s="32"/>
      <c r="BT3077" s="32"/>
      <c r="BU3077" s="32"/>
      <c r="BV3077" s="32"/>
      <c r="BW3077" s="32"/>
      <c r="BX3077" s="32"/>
      <c r="BY3077" s="32"/>
      <c r="BZ3077" s="32"/>
      <c r="CA3077" s="32"/>
      <c r="CB3077" s="32"/>
      <c r="CC3077" s="32"/>
      <c r="CD3077" s="32"/>
    </row>
    <row r="3078" ht="15.75" hidden="1" customHeight="1" outlineLevel="1">
      <c r="A3078" s="365"/>
      <c r="B3078" s="381"/>
      <c r="C3078" s="382">
        <v>0.0</v>
      </c>
      <c r="D3078" s="382">
        <v>0.0</v>
      </c>
      <c r="E3078" s="382">
        <v>0.0</v>
      </c>
      <c r="F3078" s="382">
        <v>0.0</v>
      </c>
      <c r="G3078" s="382">
        <v>0.0</v>
      </c>
      <c r="H3078" s="382">
        <v>0.0</v>
      </c>
      <c r="I3078" s="382">
        <v>0.0</v>
      </c>
      <c r="J3078" s="382">
        <v>0.0</v>
      </c>
      <c r="K3078" s="382">
        <v>0.0</v>
      </c>
      <c r="L3078" s="382">
        <v>0.0</v>
      </c>
      <c r="M3078" s="382">
        <v>0.0</v>
      </c>
      <c r="N3078" s="382">
        <v>0.0</v>
      </c>
      <c r="O3078" s="382">
        <v>0.0</v>
      </c>
      <c r="P3078" s="382">
        <v>0.0</v>
      </c>
      <c r="Q3078" s="382">
        <v>0.0</v>
      </c>
      <c r="R3078" s="382">
        <v>0.0</v>
      </c>
      <c r="S3078" s="382">
        <v>0.0</v>
      </c>
      <c r="T3078" s="382">
        <v>0.0</v>
      </c>
      <c r="U3078" s="382">
        <v>0.0</v>
      </c>
      <c r="V3078" s="382">
        <v>0.0</v>
      </c>
      <c r="W3078" s="382">
        <v>0.0</v>
      </c>
      <c r="X3078" s="382">
        <v>0.0</v>
      </c>
      <c r="Y3078" s="382">
        <v>0.0</v>
      </c>
      <c r="Z3078" s="382">
        <v>0.0</v>
      </c>
      <c r="AA3078" s="382">
        <v>0.0</v>
      </c>
      <c r="AB3078" s="382">
        <v>0.0</v>
      </c>
      <c r="AC3078" s="382">
        <v>0.0</v>
      </c>
      <c r="AD3078" s="382">
        <v>0.0</v>
      </c>
      <c r="AE3078" s="382">
        <v>0.0</v>
      </c>
      <c r="AF3078" s="382">
        <v>0.0</v>
      </c>
      <c r="AG3078" s="382">
        <v>0.0</v>
      </c>
      <c r="AH3078" s="382">
        <v>0.0</v>
      </c>
      <c r="AI3078" s="382">
        <v>0.0</v>
      </c>
      <c r="AJ3078" s="382">
        <v>0.0</v>
      </c>
      <c r="AK3078" s="382">
        <v>0.0</v>
      </c>
      <c r="AL3078" s="382">
        <v>0.0</v>
      </c>
      <c r="AM3078" s="382">
        <v>0.0</v>
      </c>
      <c r="AN3078" s="382">
        <v>0.0</v>
      </c>
      <c r="AO3078" s="382">
        <v>0.0</v>
      </c>
      <c r="AP3078" s="382">
        <v>0.0</v>
      </c>
      <c r="AQ3078" s="382">
        <v>0.0</v>
      </c>
      <c r="AR3078" s="382">
        <v>0.0</v>
      </c>
      <c r="AS3078" s="382">
        <v>0.0</v>
      </c>
      <c r="AT3078" s="382">
        <v>0.0</v>
      </c>
      <c r="AU3078" s="382">
        <v>0.0</v>
      </c>
      <c r="AV3078" s="382">
        <v>0.0</v>
      </c>
      <c r="AW3078" s="382">
        <v>0.0</v>
      </c>
      <c r="AX3078" s="382">
        <v>0.0</v>
      </c>
      <c r="AY3078" s="382">
        <v>0.0</v>
      </c>
      <c r="AZ3078" s="382">
        <v>0.0</v>
      </c>
      <c r="BA3078" s="382">
        <v>0.0</v>
      </c>
      <c r="BB3078" s="373">
        <f>PPMT('Assumptions (T&amp;D) old'!$B$100,Model!AF$1,'Assumptions (T&amp;D) old'!$B$103,Model!$AS$3033)</f>
        <v>0</v>
      </c>
      <c r="BC3078" s="373">
        <f>PPMT('Assumptions (T&amp;D) old'!$B$100,Model!AG$1,'Assumptions (T&amp;D) old'!$B$103,Model!$AS$3033)</f>
        <v>0</v>
      </c>
      <c r="BD3078" s="373">
        <f>PPMT('Assumptions (T&amp;D) old'!$B$100,Model!AH$1,'Assumptions (T&amp;D) old'!$B$103,Model!$AS$3033)</f>
        <v>0</v>
      </c>
      <c r="BE3078" s="373">
        <f>PPMT('Assumptions (T&amp;D) old'!$B$100,Model!AI$1,'Assumptions (T&amp;D) old'!$B$103,Model!$AS$3033)</f>
        <v>0</v>
      </c>
      <c r="BF3078" s="373">
        <f>PPMT('Assumptions (T&amp;D) old'!$B$100,Model!AJ$1,'Assumptions (T&amp;D) old'!$B$103,Model!$AS$3033)</f>
        <v>0</v>
      </c>
      <c r="BG3078" s="373">
        <f>PPMT('Assumptions (T&amp;D) old'!$B$100,Model!AK$1,'Assumptions (T&amp;D) old'!$B$103,Model!$AS$3033)</f>
        <v>0</v>
      </c>
      <c r="BH3078" s="374"/>
      <c r="BI3078" s="374"/>
      <c r="BJ3078" s="374"/>
      <c r="BK3078" s="374"/>
      <c r="BL3078" s="374"/>
      <c r="BM3078" s="374"/>
      <c r="BN3078" s="374"/>
      <c r="BO3078" s="374"/>
      <c r="BP3078" s="374"/>
      <c r="BQ3078" s="374"/>
      <c r="BR3078" s="32"/>
      <c r="BS3078" s="32"/>
      <c r="BT3078" s="32"/>
      <c r="BU3078" s="32"/>
      <c r="BV3078" s="32"/>
      <c r="BW3078" s="32"/>
      <c r="BX3078" s="32"/>
      <c r="BY3078" s="32"/>
      <c r="BZ3078" s="32"/>
      <c r="CA3078" s="32"/>
      <c r="CB3078" s="32"/>
      <c r="CC3078" s="32"/>
      <c r="CD3078" s="32"/>
    </row>
    <row r="3079" ht="15.75" hidden="1" customHeight="1" outlineLevel="1">
      <c r="A3079" s="365"/>
      <c r="B3079" s="381"/>
      <c r="C3079" s="382">
        <v>0.0</v>
      </c>
      <c r="D3079" s="382">
        <v>0.0</v>
      </c>
      <c r="E3079" s="382">
        <v>0.0</v>
      </c>
      <c r="F3079" s="382">
        <v>0.0</v>
      </c>
      <c r="G3079" s="382">
        <v>0.0</v>
      </c>
      <c r="H3079" s="382">
        <v>0.0</v>
      </c>
      <c r="I3079" s="382">
        <v>0.0</v>
      </c>
      <c r="J3079" s="382">
        <v>0.0</v>
      </c>
      <c r="K3079" s="382">
        <v>0.0</v>
      </c>
      <c r="L3079" s="382">
        <v>0.0</v>
      </c>
      <c r="M3079" s="382">
        <v>0.0</v>
      </c>
      <c r="N3079" s="382">
        <v>0.0</v>
      </c>
      <c r="O3079" s="382">
        <v>0.0</v>
      </c>
      <c r="P3079" s="382">
        <v>0.0</v>
      </c>
      <c r="Q3079" s="382">
        <v>0.0</v>
      </c>
      <c r="R3079" s="382">
        <v>0.0</v>
      </c>
      <c r="S3079" s="382">
        <v>0.0</v>
      </c>
      <c r="T3079" s="382">
        <v>0.0</v>
      </c>
      <c r="U3079" s="382">
        <v>0.0</v>
      </c>
      <c r="V3079" s="382">
        <v>0.0</v>
      </c>
      <c r="W3079" s="382">
        <v>0.0</v>
      </c>
      <c r="X3079" s="382">
        <v>0.0</v>
      </c>
      <c r="Y3079" s="382">
        <v>0.0</v>
      </c>
      <c r="Z3079" s="382">
        <v>0.0</v>
      </c>
      <c r="AA3079" s="382">
        <v>0.0</v>
      </c>
      <c r="AB3079" s="382">
        <v>0.0</v>
      </c>
      <c r="AC3079" s="382">
        <v>0.0</v>
      </c>
      <c r="AD3079" s="382">
        <v>0.0</v>
      </c>
      <c r="AE3079" s="382">
        <v>0.0</v>
      </c>
      <c r="AF3079" s="382">
        <v>0.0</v>
      </c>
      <c r="AG3079" s="382">
        <v>0.0</v>
      </c>
      <c r="AH3079" s="382">
        <v>0.0</v>
      </c>
      <c r="AI3079" s="382">
        <v>0.0</v>
      </c>
      <c r="AJ3079" s="382">
        <v>0.0</v>
      </c>
      <c r="AK3079" s="382">
        <v>0.0</v>
      </c>
      <c r="AL3079" s="382">
        <v>0.0</v>
      </c>
      <c r="AM3079" s="382">
        <v>0.0</v>
      </c>
      <c r="AN3079" s="382">
        <v>0.0</v>
      </c>
      <c r="AO3079" s="382">
        <v>0.0</v>
      </c>
      <c r="AP3079" s="382">
        <v>0.0</v>
      </c>
      <c r="AQ3079" s="382">
        <v>0.0</v>
      </c>
      <c r="AR3079" s="382">
        <v>0.0</v>
      </c>
      <c r="AS3079" s="382">
        <v>0.0</v>
      </c>
      <c r="AT3079" s="382">
        <v>0.0</v>
      </c>
      <c r="AU3079" s="382">
        <v>0.0</v>
      </c>
      <c r="AV3079" s="382">
        <v>0.0</v>
      </c>
      <c r="AW3079" s="382">
        <v>0.0</v>
      </c>
      <c r="AX3079" s="382">
        <v>0.0</v>
      </c>
      <c r="AY3079" s="382">
        <v>0.0</v>
      </c>
      <c r="AZ3079" s="382">
        <v>0.0</v>
      </c>
      <c r="BA3079" s="382">
        <v>0.0</v>
      </c>
      <c r="BB3079" s="373">
        <f>PPMT('Assumptions (T&amp;D) old'!$B$100,Model!AE$1,'Assumptions (T&amp;D) old'!$B$103,Model!$AT$3033)</f>
        <v>0</v>
      </c>
      <c r="BC3079" s="373">
        <f>PPMT('Assumptions (T&amp;D) old'!$B$100,Model!AF$1,'Assumptions (T&amp;D) old'!$B$103,Model!$AT$3033)</f>
        <v>0</v>
      </c>
      <c r="BD3079" s="373">
        <f>PPMT('Assumptions (T&amp;D) old'!$B$100,Model!AG$1,'Assumptions (T&amp;D) old'!$B$103,Model!$AT$3033)</f>
        <v>0</v>
      </c>
      <c r="BE3079" s="373">
        <f>PPMT('Assumptions (T&amp;D) old'!$B$100,Model!AH$1,'Assumptions (T&amp;D) old'!$B$103,Model!$AT$3033)</f>
        <v>0</v>
      </c>
      <c r="BF3079" s="373">
        <f>PPMT('Assumptions (T&amp;D) old'!$B$100,Model!AI$1,'Assumptions (T&amp;D) old'!$B$103,Model!$AT$3033)</f>
        <v>0</v>
      </c>
      <c r="BG3079" s="373">
        <f>PPMT('Assumptions (T&amp;D) old'!$B$100,Model!AJ$1,'Assumptions (T&amp;D) old'!$B$103,Model!$AT$3033)</f>
        <v>0</v>
      </c>
      <c r="BH3079" s="373">
        <f>PPMT('Assumptions (T&amp;D) old'!$B$100,Model!AK$1,'Assumptions (T&amp;D) old'!$B$103,Model!$AT$3033)</f>
        <v>0</v>
      </c>
      <c r="BI3079" s="374"/>
      <c r="BJ3079" s="374"/>
      <c r="BK3079" s="374"/>
      <c r="BL3079" s="374"/>
      <c r="BM3079" s="374"/>
      <c r="BN3079" s="374"/>
      <c r="BO3079" s="374"/>
      <c r="BP3079" s="374"/>
      <c r="BQ3079" s="374"/>
      <c r="BR3079" s="374"/>
      <c r="BS3079" s="32"/>
      <c r="BT3079" s="32"/>
      <c r="BU3079" s="32"/>
      <c r="BV3079" s="32"/>
      <c r="BW3079" s="32"/>
      <c r="BX3079" s="32"/>
      <c r="BY3079" s="32"/>
      <c r="BZ3079" s="32"/>
      <c r="CA3079" s="32"/>
      <c r="CB3079" s="32"/>
      <c r="CC3079" s="32"/>
      <c r="CD3079" s="32"/>
    </row>
    <row r="3080" ht="15.75" hidden="1" customHeight="1" outlineLevel="1">
      <c r="A3080" s="365"/>
      <c r="B3080" s="381"/>
      <c r="C3080" s="382">
        <v>0.0</v>
      </c>
      <c r="D3080" s="382">
        <v>0.0</v>
      </c>
      <c r="E3080" s="382">
        <v>0.0</v>
      </c>
      <c r="F3080" s="382">
        <v>0.0</v>
      </c>
      <c r="G3080" s="382">
        <v>0.0</v>
      </c>
      <c r="H3080" s="382">
        <v>0.0</v>
      </c>
      <c r="I3080" s="382">
        <v>0.0</v>
      </c>
      <c r="J3080" s="382">
        <v>0.0</v>
      </c>
      <c r="K3080" s="382">
        <v>0.0</v>
      </c>
      <c r="L3080" s="382">
        <v>0.0</v>
      </c>
      <c r="M3080" s="382">
        <v>0.0</v>
      </c>
      <c r="N3080" s="382">
        <v>0.0</v>
      </c>
      <c r="O3080" s="382">
        <v>0.0</v>
      </c>
      <c r="P3080" s="382">
        <v>0.0</v>
      </c>
      <c r="Q3080" s="382">
        <v>0.0</v>
      </c>
      <c r="R3080" s="382">
        <v>0.0</v>
      </c>
      <c r="S3080" s="382">
        <v>0.0</v>
      </c>
      <c r="T3080" s="382">
        <v>0.0</v>
      </c>
      <c r="U3080" s="382">
        <v>0.0</v>
      </c>
      <c r="V3080" s="382">
        <v>0.0</v>
      </c>
      <c r="W3080" s="382">
        <v>0.0</v>
      </c>
      <c r="X3080" s="382">
        <v>0.0</v>
      </c>
      <c r="Y3080" s="382">
        <v>0.0</v>
      </c>
      <c r="Z3080" s="382">
        <v>0.0</v>
      </c>
      <c r="AA3080" s="382">
        <v>0.0</v>
      </c>
      <c r="AB3080" s="382">
        <v>0.0</v>
      </c>
      <c r="AC3080" s="382">
        <v>0.0</v>
      </c>
      <c r="AD3080" s="382">
        <v>0.0</v>
      </c>
      <c r="AE3080" s="382">
        <v>0.0</v>
      </c>
      <c r="AF3080" s="382">
        <v>0.0</v>
      </c>
      <c r="AG3080" s="382">
        <v>0.0</v>
      </c>
      <c r="AH3080" s="382">
        <v>0.0</v>
      </c>
      <c r="AI3080" s="382">
        <v>0.0</v>
      </c>
      <c r="AJ3080" s="382">
        <v>0.0</v>
      </c>
      <c r="AK3080" s="382">
        <v>0.0</v>
      </c>
      <c r="AL3080" s="382">
        <v>0.0</v>
      </c>
      <c r="AM3080" s="382">
        <v>0.0</v>
      </c>
      <c r="AN3080" s="382">
        <v>0.0</v>
      </c>
      <c r="AO3080" s="382">
        <v>0.0</v>
      </c>
      <c r="AP3080" s="382">
        <v>0.0</v>
      </c>
      <c r="AQ3080" s="382">
        <v>0.0</v>
      </c>
      <c r="AR3080" s="382">
        <v>0.0</v>
      </c>
      <c r="AS3080" s="382">
        <v>0.0</v>
      </c>
      <c r="AT3080" s="382">
        <v>0.0</v>
      </c>
      <c r="AU3080" s="382">
        <v>0.0</v>
      </c>
      <c r="AV3080" s="382">
        <v>0.0</v>
      </c>
      <c r="AW3080" s="382">
        <v>0.0</v>
      </c>
      <c r="AX3080" s="382">
        <v>0.0</v>
      </c>
      <c r="AY3080" s="382">
        <v>0.0</v>
      </c>
      <c r="AZ3080" s="382">
        <v>0.0</v>
      </c>
      <c r="BA3080" s="382">
        <v>0.0</v>
      </c>
      <c r="BB3080" s="373">
        <f>PPMT('Assumptions (T&amp;D) old'!$B$100,Model!AD$1,'Assumptions (T&amp;D) old'!$B$103,Model!$AU$3033)</f>
        <v>0</v>
      </c>
      <c r="BC3080" s="373">
        <f>PPMT('Assumptions (T&amp;D) old'!$B$100,Model!AE$1,'Assumptions (T&amp;D) old'!$B$103,Model!$AU$3033)</f>
        <v>0</v>
      </c>
      <c r="BD3080" s="373">
        <f>PPMT('Assumptions (T&amp;D) old'!$B$100,Model!AF$1,'Assumptions (T&amp;D) old'!$B$103,Model!$AU$3033)</f>
        <v>0</v>
      </c>
      <c r="BE3080" s="373">
        <f>PPMT('Assumptions (T&amp;D) old'!$B$100,Model!AG$1,'Assumptions (T&amp;D) old'!$B$103,Model!$AU$3033)</f>
        <v>0</v>
      </c>
      <c r="BF3080" s="373">
        <f>PPMT('Assumptions (T&amp;D) old'!$B$100,Model!AH$1,'Assumptions (T&amp;D) old'!$B$103,Model!$AU$3033)</f>
        <v>0</v>
      </c>
      <c r="BG3080" s="373">
        <f>PPMT('Assumptions (T&amp;D) old'!$B$100,Model!AI$1,'Assumptions (T&amp;D) old'!$B$103,Model!$AU$3033)</f>
        <v>0</v>
      </c>
      <c r="BH3080" s="373">
        <f>PPMT('Assumptions (T&amp;D) old'!$B$100,Model!AJ$1,'Assumptions (T&amp;D) old'!$B$103,Model!$AU$3033)</f>
        <v>0</v>
      </c>
      <c r="BI3080" s="373">
        <f>PPMT('Assumptions (T&amp;D) old'!$B$100,Model!AK$1,'Assumptions (T&amp;D) old'!$B$103,Model!$AU$3033)</f>
        <v>0</v>
      </c>
      <c r="BJ3080" s="374"/>
      <c r="BK3080" s="374"/>
      <c r="BL3080" s="374"/>
      <c r="BM3080" s="374"/>
      <c r="BN3080" s="374"/>
      <c r="BO3080" s="374"/>
      <c r="BP3080" s="374"/>
      <c r="BQ3080" s="374"/>
      <c r="BR3080" s="374"/>
      <c r="BS3080" s="374"/>
      <c r="BT3080" s="32"/>
      <c r="BU3080" s="32"/>
      <c r="BV3080" s="32"/>
      <c r="BW3080" s="32"/>
      <c r="BX3080" s="32"/>
      <c r="BY3080" s="32"/>
      <c r="BZ3080" s="32"/>
      <c r="CA3080" s="32"/>
      <c r="CB3080" s="32"/>
      <c r="CC3080" s="32"/>
      <c r="CD3080" s="32"/>
    </row>
    <row r="3081" ht="15.75" hidden="1" customHeight="1" outlineLevel="1">
      <c r="A3081" s="365"/>
      <c r="B3081" s="381"/>
      <c r="C3081" s="382">
        <v>0.0</v>
      </c>
      <c r="D3081" s="382">
        <v>0.0</v>
      </c>
      <c r="E3081" s="382">
        <v>0.0</v>
      </c>
      <c r="F3081" s="382">
        <v>0.0</v>
      </c>
      <c r="G3081" s="382">
        <v>0.0</v>
      </c>
      <c r="H3081" s="382">
        <v>0.0</v>
      </c>
      <c r="I3081" s="382">
        <v>0.0</v>
      </c>
      <c r="J3081" s="382">
        <v>0.0</v>
      </c>
      <c r="K3081" s="382">
        <v>0.0</v>
      </c>
      <c r="L3081" s="382">
        <v>0.0</v>
      </c>
      <c r="M3081" s="382">
        <v>0.0</v>
      </c>
      <c r="N3081" s="382">
        <v>0.0</v>
      </c>
      <c r="O3081" s="382">
        <v>0.0</v>
      </c>
      <c r="P3081" s="382">
        <v>0.0</v>
      </c>
      <c r="Q3081" s="382">
        <v>0.0</v>
      </c>
      <c r="R3081" s="382">
        <v>0.0</v>
      </c>
      <c r="S3081" s="382">
        <v>0.0</v>
      </c>
      <c r="T3081" s="382">
        <v>0.0</v>
      </c>
      <c r="U3081" s="382">
        <v>0.0</v>
      </c>
      <c r="V3081" s="382">
        <v>0.0</v>
      </c>
      <c r="W3081" s="382">
        <v>0.0</v>
      </c>
      <c r="X3081" s="382">
        <v>0.0</v>
      </c>
      <c r="Y3081" s="382">
        <v>0.0</v>
      </c>
      <c r="Z3081" s="382">
        <v>0.0</v>
      </c>
      <c r="AA3081" s="382">
        <v>0.0</v>
      </c>
      <c r="AB3081" s="382">
        <v>0.0</v>
      </c>
      <c r="AC3081" s="382">
        <v>0.0</v>
      </c>
      <c r="AD3081" s="382">
        <v>0.0</v>
      </c>
      <c r="AE3081" s="382">
        <v>0.0</v>
      </c>
      <c r="AF3081" s="382">
        <v>0.0</v>
      </c>
      <c r="AG3081" s="382">
        <v>0.0</v>
      </c>
      <c r="AH3081" s="382">
        <v>0.0</v>
      </c>
      <c r="AI3081" s="382">
        <v>0.0</v>
      </c>
      <c r="AJ3081" s="382">
        <v>0.0</v>
      </c>
      <c r="AK3081" s="382">
        <v>0.0</v>
      </c>
      <c r="AL3081" s="382">
        <v>0.0</v>
      </c>
      <c r="AM3081" s="382">
        <v>0.0</v>
      </c>
      <c r="AN3081" s="382">
        <v>0.0</v>
      </c>
      <c r="AO3081" s="382">
        <v>0.0</v>
      </c>
      <c r="AP3081" s="382">
        <v>0.0</v>
      </c>
      <c r="AQ3081" s="382">
        <v>0.0</v>
      </c>
      <c r="AR3081" s="382">
        <v>0.0</v>
      </c>
      <c r="AS3081" s="382">
        <v>0.0</v>
      </c>
      <c r="AT3081" s="382">
        <v>0.0</v>
      </c>
      <c r="AU3081" s="382">
        <v>0.0</v>
      </c>
      <c r="AV3081" s="382">
        <v>0.0</v>
      </c>
      <c r="AW3081" s="382">
        <v>0.0</v>
      </c>
      <c r="AX3081" s="382">
        <v>0.0</v>
      </c>
      <c r="AY3081" s="382">
        <v>0.0</v>
      </c>
      <c r="AZ3081" s="382">
        <v>0.0</v>
      </c>
      <c r="BA3081" s="382">
        <v>0.0</v>
      </c>
      <c r="BB3081" s="373">
        <f>PPMT('Assumptions (T&amp;D) old'!$B$100,Model!AC$1,'Assumptions (T&amp;D) old'!$B$103,Model!$AV$3033)</f>
        <v>0</v>
      </c>
      <c r="BC3081" s="373">
        <f>PPMT('Assumptions (T&amp;D) old'!$B$100,Model!AD$1,'Assumptions (T&amp;D) old'!$B$103,Model!$AV$3033)</f>
        <v>0</v>
      </c>
      <c r="BD3081" s="373">
        <f>PPMT('Assumptions (T&amp;D) old'!$B$100,Model!AE$1,'Assumptions (T&amp;D) old'!$B$103,Model!$AV$3033)</f>
        <v>0</v>
      </c>
      <c r="BE3081" s="373">
        <f>PPMT('Assumptions (T&amp;D) old'!$B$100,Model!AF$1,'Assumptions (T&amp;D) old'!$B$103,Model!$AV$3033)</f>
        <v>0</v>
      </c>
      <c r="BF3081" s="373">
        <f>PPMT('Assumptions (T&amp;D) old'!$B$100,Model!AG$1,'Assumptions (T&amp;D) old'!$B$103,Model!$AV$3033)</f>
        <v>0</v>
      </c>
      <c r="BG3081" s="373">
        <f>PPMT('Assumptions (T&amp;D) old'!$B$100,Model!AH$1,'Assumptions (T&amp;D) old'!$B$103,Model!$AV$3033)</f>
        <v>0</v>
      </c>
      <c r="BH3081" s="373">
        <f>PPMT('Assumptions (T&amp;D) old'!$B$100,Model!AI$1,'Assumptions (T&amp;D) old'!$B$103,Model!$AV$3033)</f>
        <v>0</v>
      </c>
      <c r="BI3081" s="373">
        <f>PPMT('Assumptions (T&amp;D) old'!$B$100,Model!AJ$1,'Assumptions (T&amp;D) old'!$B$103,Model!$AV$3033)</f>
        <v>0</v>
      </c>
      <c r="BJ3081" s="373">
        <f>PPMT('Assumptions (T&amp;D) old'!$B$100,Model!AK$1,'Assumptions (T&amp;D) old'!$B$103,Model!$AV$3033)</f>
        <v>0</v>
      </c>
      <c r="BK3081" s="374"/>
      <c r="BL3081" s="374"/>
      <c r="BM3081" s="374"/>
      <c r="BN3081" s="374"/>
      <c r="BO3081" s="374"/>
      <c r="BP3081" s="374"/>
      <c r="BQ3081" s="374"/>
      <c r="BR3081" s="374"/>
      <c r="BS3081" s="374"/>
      <c r="BT3081" s="374"/>
      <c r="BU3081" s="32"/>
      <c r="BV3081" s="32"/>
      <c r="BW3081" s="32"/>
      <c r="BX3081" s="32"/>
      <c r="BY3081" s="32"/>
      <c r="BZ3081" s="32"/>
      <c r="CA3081" s="32"/>
      <c r="CB3081" s="32"/>
      <c r="CC3081" s="32"/>
      <c r="CD3081" s="32"/>
    </row>
    <row r="3082" ht="15.75" hidden="1" customHeight="1" outlineLevel="1">
      <c r="A3082" s="365"/>
      <c r="B3082" s="381"/>
      <c r="C3082" s="382">
        <v>0.0</v>
      </c>
      <c r="D3082" s="382">
        <v>0.0</v>
      </c>
      <c r="E3082" s="382">
        <v>0.0</v>
      </c>
      <c r="F3082" s="382">
        <v>0.0</v>
      </c>
      <c r="G3082" s="382">
        <v>0.0</v>
      </c>
      <c r="H3082" s="382">
        <v>0.0</v>
      </c>
      <c r="I3082" s="382">
        <v>0.0</v>
      </c>
      <c r="J3082" s="382">
        <v>0.0</v>
      </c>
      <c r="K3082" s="382">
        <v>0.0</v>
      </c>
      <c r="L3082" s="382">
        <v>0.0</v>
      </c>
      <c r="M3082" s="382">
        <v>0.0</v>
      </c>
      <c r="N3082" s="382">
        <v>0.0</v>
      </c>
      <c r="O3082" s="382">
        <v>0.0</v>
      </c>
      <c r="P3082" s="382">
        <v>0.0</v>
      </c>
      <c r="Q3082" s="382">
        <v>0.0</v>
      </c>
      <c r="R3082" s="382">
        <v>0.0</v>
      </c>
      <c r="S3082" s="382">
        <v>0.0</v>
      </c>
      <c r="T3082" s="382">
        <v>0.0</v>
      </c>
      <c r="U3082" s="382">
        <v>0.0</v>
      </c>
      <c r="V3082" s="382">
        <v>0.0</v>
      </c>
      <c r="W3082" s="382">
        <v>0.0</v>
      </c>
      <c r="X3082" s="382">
        <v>0.0</v>
      </c>
      <c r="Y3082" s="382">
        <v>0.0</v>
      </c>
      <c r="Z3082" s="382">
        <v>0.0</v>
      </c>
      <c r="AA3082" s="382">
        <v>0.0</v>
      </c>
      <c r="AB3082" s="382">
        <v>0.0</v>
      </c>
      <c r="AC3082" s="382">
        <v>0.0</v>
      </c>
      <c r="AD3082" s="382">
        <v>0.0</v>
      </c>
      <c r="AE3082" s="382">
        <v>0.0</v>
      </c>
      <c r="AF3082" s="382">
        <v>0.0</v>
      </c>
      <c r="AG3082" s="382">
        <v>0.0</v>
      </c>
      <c r="AH3082" s="382">
        <v>0.0</v>
      </c>
      <c r="AI3082" s="382">
        <v>0.0</v>
      </c>
      <c r="AJ3082" s="382">
        <v>0.0</v>
      </c>
      <c r="AK3082" s="382">
        <v>0.0</v>
      </c>
      <c r="AL3082" s="382">
        <v>0.0</v>
      </c>
      <c r="AM3082" s="382">
        <v>0.0</v>
      </c>
      <c r="AN3082" s="382">
        <v>0.0</v>
      </c>
      <c r="AO3082" s="382">
        <v>0.0</v>
      </c>
      <c r="AP3082" s="382">
        <v>0.0</v>
      </c>
      <c r="AQ3082" s="382">
        <v>0.0</v>
      </c>
      <c r="AR3082" s="382">
        <v>0.0</v>
      </c>
      <c r="AS3082" s="382">
        <v>0.0</v>
      </c>
      <c r="AT3082" s="382">
        <v>0.0</v>
      </c>
      <c r="AU3082" s="382">
        <v>0.0</v>
      </c>
      <c r="AV3082" s="382">
        <v>0.0</v>
      </c>
      <c r="AW3082" s="382">
        <v>0.0</v>
      </c>
      <c r="AX3082" s="382">
        <v>0.0</v>
      </c>
      <c r="AY3082" s="382">
        <v>0.0</v>
      </c>
      <c r="AZ3082" s="382">
        <v>0.0</v>
      </c>
      <c r="BA3082" s="382">
        <v>0.0</v>
      </c>
      <c r="BB3082" s="373">
        <f>PPMT('Assumptions (T&amp;D) old'!$B$100,Model!AB$1,'Assumptions (T&amp;D) old'!$B$103,Model!$AW$3033)</f>
        <v>0</v>
      </c>
      <c r="BC3082" s="373">
        <f>PPMT('Assumptions (T&amp;D) old'!$B$100,Model!AC$1,'Assumptions (T&amp;D) old'!$B$103,Model!$AW$3033)</f>
        <v>0</v>
      </c>
      <c r="BD3082" s="373">
        <f>PPMT('Assumptions (T&amp;D) old'!$B$100,Model!AD$1,'Assumptions (T&amp;D) old'!$B$103,Model!$AW$3033)</f>
        <v>0</v>
      </c>
      <c r="BE3082" s="373">
        <f>PPMT('Assumptions (T&amp;D) old'!$B$100,Model!AE$1,'Assumptions (T&amp;D) old'!$B$103,Model!$AW$3033)</f>
        <v>0</v>
      </c>
      <c r="BF3082" s="373">
        <f>PPMT('Assumptions (T&amp;D) old'!$B$100,Model!AF$1,'Assumptions (T&amp;D) old'!$B$103,Model!$AW$3033)</f>
        <v>0</v>
      </c>
      <c r="BG3082" s="373">
        <f>PPMT('Assumptions (T&amp;D) old'!$B$100,Model!AG$1,'Assumptions (T&amp;D) old'!$B$103,Model!$AW$3033)</f>
        <v>0</v>
      </c>
      <c r="BH3082" s="373">
        <f>PPMT('Assumptions (T&amp;D) old'!$B$100,Model!AH$1,'Assumptions (T&amp;D) old'!$B$103,Model!$AW$3033)</f>
        <v>0</v>
      </c>
      <c r="BI3082" s="373">
        <f>PPMT('Assumptions (T&amp;D) old'!$B$100,Model!AI$1,'Assumptions (T&amp;D) old'!$B$103,Model!$AW$3033)</f>
        <v>0</v>
      </c>
      <c r="BJ3082" s="373">
        <f>PPMT('Assumptions (T&amp;D) old'!$B$100,Model!AJ$1,'Assumptions (T&amp;D) old'!$B$103,Model!$AW$3033)</f>
        <v>0</v>
      </c>
      <c r="BK3082" s="373">
        <f>PPMT('Assumptions (T&amp;D) old'!$B$100,Model!AK$1,'Assumptions (T&amp;D) old'!$B$103,Model!$AW$3033)</f>
        <v>0</v>
      </c>
      <c r="BL3082" s="374"/>
      <c r="BM3082" s="374"/>
      <c r="BN3082" s="374"/>
      <c r="BO3082" s="374"/>
      <c r="BP3082" s="374"/>
      <c r="BQ3082" s="374"/>
      <c r="BR3082" s="374"/>
      <c r="BS3082" s="374"/>
      <c r="BT3082" s="374"/>
      <c r="BU3082" s="374"/>
      <c r="BV3082" s="32"/>
      <c r="BW3082" s="32"/>
      <c r="BX3082" s="32"/>
      <c r="BY3082" s="32"/>
      <c r="BZ3082" s="32"/>
      <c r="CA3082" s="32"/>
      <c r="CB3082" s="32"/>
      <c r="CC3082" s="32"/>
      <c r="CD3082" s="32"/>
    </row>
    <row r="3083" ht="15.75" hidden="1" customHeight="1" outlineLevel="1">
      <c r="A3083" s="365"/>
      <c r="B3083" s="381"/>
      <c r="C3083" s="382">
        <v>0.0</v>
      </c>
      <c r="D3083" s="382">
        <v>0.0</v>
      </c>
      <c r="E3083" s="382">
        <v>0.0</v>
      </c>
      <c r="F3083" s="382">
        <v>0.0</v>
      </c>
      <c r="G3083" s="382">
        <v>0.0</v>
      </c>
      <c r="H3083" s="382">
        <v>0.0</v>
      </c>
      <c r="I3083" s="382">
        <v>0.0</v>
      </c>
      <c r="J3083" s="382">
        <v>0.0</v>
      </c>
      <c r="K3083" s="382">
        <v>0.0</v>
      </c>
      <c r="L3083" s="382">
        <v>0.0</v>
      </c>
      <c r="M3083" s="382">
        <v>0.0</v>
      </c>
      <c r="N3083" s="382">
        <v>0.0</v>
      </c>
      <c r="O3083" s="382">
        <v>0.0</v>
      </c>
      <c r="P3083" s="382">
        <v>0.0</v>
      </c>
      <c r="Q3083" s="382">
        <v>0.0</v>
      </c>
      <c r="R3083" s="382">
        <v>0.0</v>
      </c>
      <c r="S3083" s="382">
        <v>0.0</v>
      </c>
      <c r="T3083" s="382">
        <v>0.0</v>
      </c>
      <c r="U3083" s="382">
        <v>0.0</v>
      </c>
      <c r="V3083" s="382">
        <v>0.0</v>
      </c>
      <c r="W3083" s="382">
        <v>0.0</v>
      </c>
      <c r="X3083" s="382">
        <v>0.0</v>
      </c>
      <c r="Y3083" s="382">
        <v>0.0</v>
      </c>
      <c r="Z3083" s="382">
        <v>0.0</v>
      </c>
      <c r="AA3083" s="382">
        <v>0.0</v>
      </c>
      <c r="AB3083" s="382">
        <v>0.0</v>
      </c>
      <c r="AC3083" s="382">
        <v>0.0</v>
      </c>
      <c r="AD3083" s="382">
        <v>0.0</v>
      </c>
      <c r="AE3083" s="382">
        <v>0.0</v>
      </c>
      <c r="AF3083" s="382">
        <v>0.0</v>
      </c>
      <c r="AG3083" s="382">
        <v>0.0</v>
      </c>
      <c r="AH3083" s="382">
        <v>0.0</v>
      </c>
      <c r="AI3083" s="382">
        <v>0.0</v>
      </c>
      <c r="AJ3083" s="382">
        <v>0.0</v>
      </c>
      <c r="AK3083" s="382">
        <v>0.0</v>
      </c>
      <c r="AL3083" s="382">
        <v>0.0</v>
      </c>
      <c r="AM3083" s="382">
        <v>0.0</v>
      </c>
      <c r="AN3083" s="382">
        <v>0.0</v>
      </c>
      <c r="AO3083" s="382">
        <v>0.0</v>
      </c>
      <c r="AP3083" s="382">
        <v>0.0</v>
      </c>
      <c r="AQ3083" s="382">
        <v>0.0</v>
      </c>
      <c r="AR3083" s="382">
        <v>0.0</v>
      </c>
      <c r="AS3083" s="382">
        <v>0.0</v>
      </c>
      <c r="AT3083" s="382">
        <v>0.0</v>
      </c>
      <c r="AU3083" s="382">
        <v>0.0</v>
      </c>
      <c r="AV3083" s="382">
        <v>0.0</v>
      </c>
      <c r="AW3083" s="382">
        <v>0.0</v>
      </c>
      <c r="AX3083" s="382">
        <v>0.0</v>
      </c>
      <c r="AY3083" s="382">
        <v>0.0</v>
      </c>
      <c r="AZ3083" s="382">
        <v>0.0</v>
      </c>
      <c r="BA3083" s="382">
        <v>0.0</v>
      </c>
      <c r="BB3083" s="373">
        <f>PPMT('Assumptions (T&amp;D) old'!$B$100,Model!AA$1,'Assumptions (T&amp;D) old'!$B$103,Model!$AX$3033)</f>
        <v>0</v>
      </c>
      <c r="BC3083" s="373">
        <f>PPMT('Assumptions (T&amp;D) old'!$B$100,Model!AB$1,'Assumptions (T&amp;D) old'!$B$103,Model!$AX$3033)</f>
        <v>0</v>
      </c>
      <c r="BD3083" s="373">
        <f>PPMT('Assumptions (T&amp;D) old'!$B$100,Model!AC$1,'Assumptions (T&amp;D) old'!$B$103,Model!$AX$3033)</f>
        <v>0</v>
      </c>
      <c r="BE3083" s="373">
        <f>PPMT('Assumptions (T&amp;D) old'!$B$100,Model!AD$1,'Assumptions (T&amp;D) old'!$B$103,Model!$AX$3033)</f>
        <v>0</v>
      </c>
      <c r="BF3083" s="373">
        <f>PPMT('Assumptions (T&amp;D) old'!$B$100,Model!AE$1,'Assumptions (T&amp;D) old'!$B$103,Model!$AX$3033)</f>
        <v>0</v>
      </c>
      <c r="BG3083" s="373">
        <f>PPMT('Assumptions (T&amp;D) old'!$B$100,Model!AF$1,'Assumptions (T&amp;D) old'!$B$103,Model!$AX$3033)</f>
        <v>0</v>
      </c>
      <c r="BH3083" s="373">
        <f>PPMT('Assumptions (T&amp;D) old'!$B$100,Model!AG$1,'Assumptions (T&amp;D) old'!$B$103,Model!$AX$3033)</f>
        <v>0</v>
      </c>
      <c r="BI3083" s="373">
        <f>PPMT('Assumptions (T&amp;D) old'!$B$100,Model!AH$1,'Assumptions (T&amp;D) old'!$B$103,Model!$AX$3033)</f>
        <v>0</v>
      </c>
      <c r="BJ3083" s="373">
        <f>PPMT('Assumptions (T&amp;D) old'!$B$100,Model!AI$1,'Assumptions (T&amp;D) old'!$B$103,Model!$AX$3033)</f>
        <v>0</v>
      </c>
      <c r="BK3083" s="373">
        <f>PPMT('Assumptions (T&amp;D) old'!$B$100,Model!AJ$1,'Assumptions (T&amp;D) old'!$B$103,Model!$AX$3033)</f>
        <v>0</v>
      </c>
      <c r="BL3083" s="373">
        <f>PPMT('Assumptions (T&amp;D) old'!$B$100,Model!AK$1,'Assumptions (T&amp;D) old'!$B$103,Model!$AX$3033)</f>
        <v>0</v>
      </c>
      <c r="BM3083" s="374"/>
      <c r="BN3083" s="374"/>
      <c r="BO3083" s="374"/>
      <c r="BP3083" s="374"/>
      <c r="BQ3083" s="374"/>
      <c r="BR3083" s="374"/>
      <c r="BS3083" s="374"/>
      <c r="BT3083" s="374"/>
      <c r="BU3083" s="374"/>
      <c r="BV3083" s="374"/>
      <c r="BW3083" s="32"/>
      <c r="BX3083" s="32"/>
      <c r="BY3083" s="32"/>
      <c r="BZ3083" s="32"/>
      <c r="CA3083" s="32"/>
      <c r="CB3083" s="32"/>
      <c r="CC3083" s="32"/>
      <c r="CD3083" s="32"/>
    </row>
    <row r="3084" ht="15.75" hidden="1" customHeight="1" outlineLevel="1">
      <c r="A3084" s="365"/>
      <c r="B3084" s="381"/>
      <c r="C3084" s="382">
        <v>0.0</v>
      </c>
      <c r="D3084" s="382">
        <v>0.0</v>
      </c>
      <c r="E3084" s="382">
        <v>0.0</v>
      </c>
      <c r="F3084" s="382">
        <v>0.0</v>
      </c>
      <c r="G3084" s="382">
        <v>0.0</v>
      </c>
      <c r="H3084" s="382">
        <v>0.0</v>
      </c>
      <c r="I3084" s="382">
        <v>0.0</v>
      </c>
      <c r="J3084" s="382">
        <v>0.0</v>
      </c>
      <c r="K3084" s="382">
        <v>0.0</v>
      </c>
      <c r="L3084" s="382">
        <v>0.0</v>
      </c>
      <c r="M3084" s="382">
        <v>0.0</v>
      </c>
      <c r="N3084" s="382">
        <v>0.0</v>
      </c>
      <c r="O3084" s="382">
        <v>0.0</v>
      </c>
      <c r="P3084" s="382">
        <v>0.0</v>
      </c>
      <c r="Q3084" s="382">
        <v>0.0</v>
      </c>
      <c r="R3084" s="382">
        <v>0.0</v>
      </c>
      <c r="S3084" s="382">
        <v>0.0</v>
      </c>
      <c r="T3084" s="382">
        <v>0.0</v>
      </c>
      <c r="U3084" s="382">
        <v>0.0</v>
      </c>
      <c r="V3084" s="382">
        <v>0.0</v>
      </c>
      <c r="W3084" s="382">
        <v>0.0</v>
      </c>
      <c r="X3084" s="382">
        <v>0.0</v>
      </c>
      <c r="Y3084" s="382">
        <v>0.0</v>
      </c>
      <c r="Z3084" s="382">
        <v>0.0</v>
      </c>
      <c r="AA3084" s="382">
        <v>0.0</v>
      </c>
      <c r="AB3084" s="382">
        <v>0.0</v>
      </c>
      <c r="AC3084" s="382">
        <v>0.0</v>
      </c>
      <c r="AD3084" s="382">
        <v>0.0</v>
      </c>
      <c r="AE3084" s="382">
        <v>0.0</v>
      </c>
      <c r="AF3084" s="382">
        <v>0.0</v>
      </c>
      <c r="AG3084" s="382">
        <v>0.0</v>
      </c>
      <c r="AH3084" s="382">
        <v>0.0</v>
      </c>
      <c r="AI3084" s="382">
        <v>0.0</v>
      </c>
      <c r="AJ3084" s="382">
        <v>0.0</v>
      </c>
      <c r="AK3084" s="382">
        <v>0.0</v>
      </c>
      <c r="AL3084" s="382">
        <v>0.0</v>
      </c>
      <c r="AM3084" s="382">
        <v>0.0</v>
      </c>
      <c r="AN3084" s="382">
        <v>0.0</v>
      </c>
      <c r="AO3084" s="382">
        <v>0.0</v>
      </c>
      <c r="AP3084" s="382">
        <v>0.0</v>
      </c>
      <c r="AQ3084" s="382">
        <v>0.0</v>
      </c>
      <c r="AR3084" s="382">
        <v>0.0</v>
      </c>
      <c r="AS3084" s="382">
        <v>0.0</v>
      </c>
      <c r="AT3084" s="382">
        <v>0.0</v>
      </c>
      <c r="AU3084" s="382">
        <v>0.0</v>
      </c>
      <c r="AV3084" s="382">
        <v>0.0</v>
      </c>
      <c r="AW3084" s="382">
        <v>0.0</v>
      </c>
      <c r="AX3084" s="382">
        <v>0.0</v>
      </c>
      <c r="AY3084" s="382">
        <v>0.0</v>
      </c>
      <c r="AZ3084" s="382">
        <v>0.0</v>
      </c>
      <c r="BA3084" s="382">
        <v>0.0</v>
      </c>
      <c r="BB3084" s="373">
        <f>PPMT('Assumptions (T&amp;D) old'!$B$100,Model!Z$1,'Assumptions (T&amp;D) old'!$B$103,Model!$AY$3033)</f>
        <v>0</v>
      </c>
      <c r="BC3084" s="373">
        <f>PPMT('Assumptions (T&amp;D) old'!$B$100,Model!AA$1,'Assumptions (T&amp;D) old'!$B$103,Model!$AY$3033)</f>
        <v>0</v>
      </c>
      <c r="BD3084" s="373">
        <f>PPMT('Assumptions (T&amp;D) old'!$B$100,Model!AB$1,'Assumptions (T&amp;D) old'!$B$103,Model!$AY$3033)</f>
        <v>0</v>
      </c>
      <c r="BE3084" s="373">
        <f>PPMT('Assumptions (T&amp;D) old'!$B$100,Model!AC$1,'Assumptions (T&amp;D) old'!$B$103,Model!$AY$3033)</f>
        <v>0</v>
      </c>
      <c r="BF3084" s="373">
        <f>PPMT('Assumptions (T&amp;D) old'!$B$100,Model!AD$1,'Assumptions (T&amp;D) old'!$B$103,Model!$AY$3033)</f>
        <v>0</v>
      </c>
      <c r="BG3084" s="373">
        <f>PPMT('Assumptions (T&amp;D) old'!$B$100,Model!AE$1,'Assumptions (T&amp;D) old'!$B$103,Model!$AY$3033)</f>
        <v>0</v>
      </c>
      <c r="BH3084" s="373">
        <f>PPMT('Assumptions (T&amp;D) old'!$B$100,Model!AF$1,'Assumptions (T&amp;D) old'!$B$103,Model!$AY$3033)</f>
        <v>0</v>
      </c>
      <c r="BI3084" s="373">
        <f>PPMT('Assumptions (T&amp;D) old'!$B$100,Model!AG$1,'Assumptions (T&amp;D) old'!$B$103,Model!$AY$3033)</f>
        <v>0</v>
      </c>
      <c r="BJ3084" s="373">
        <f>PPMT('Assumptions (T&amp;D) old'!$B$100,Model!AH$1,'Assumptions (T&amp;D) old'!$B$103,Model!$AY$3033)</f>
        <v>0</v>
      </c>
      <c r="BK3084" s="373">
        <f>PPMT('Assumptions (T&amp;D) old'!$B$100,Model!AI$1,'Assumptions (T&amp;D) old'!$B$103,Model!$AY$3033)</f>
        <v>0</v>
      </c>
      <c r="BL3084" s="373">
        <f>PPMT('Assumptions (T&amp;D) old'!$B$100,Model!AJ$1,'Assumptions (T&amp;D) old'!$B$103,Model!$AY$3033)</f>
        <v>0</v>
      </c>
      <c r="BM3084" s="373">
        <f>PPMT('Assumptions (T&amp;D) old'!$B$100,Model!AK$1,'Assumptions (T&amp;D) old'!$B$103,Model!$AY$3033)</f>
        <v>0</v>
      </c>
      <c r="BN3084" s="374"/>
      <c r="BO3084" s="374"/>
      <c r="BP3084" s="374"/>
      <c r="BQ3084" s="374"/>
      <c r="BR3084" s="374"/>
      <c r="BS3084" s="374"/>
      <c r="BT3084" s="374"/>
      <c r="BU3084" s="374"/>
      <c r="BV3084" s="374"/>
      <c r="BW3084" s="374"/>
      <c r="BX3084" s="32"/>
      <c r="BY3084" s="32"/>
      <c r="BZ3084" s="32"/>
      <c r="CA3084" s="32"/>
      <c r="CB3084" s="32"/>
      <c r="CC3084" s="32"/>
      <c r="CD3084" s="32"/>
    </row>
    <row r="3085" ht="15.75" hidden="1" customHeight="1" outlineLevel="1">
      <c r="A3085" s="365"/>
      <c r="B3085" s="381"/>
      <c r="C3085" s="382">
        <v>0.0</v>
      </c>
      <c r="D3085" s="382">
        <v>0.0</v>
      </c>
      <c r="E3085" s="382">
        <v>0.0</v>
      </c>
      <c r="F3085" s="382">
        <v>0.0</v>
      </c>
      <c r="G3085" s="382">
        <v>0.0</v>
      </c>
      <c r="H3085" s="382">
        <v>0.0</v>
      </c>
      <c r="I3085" s="382">
        <v>0.0</v>
      </c>
      <c r="J3085" s="382">
        <v>0.0</v>
      </c>
      <c r="K3085" s="382">
        <v>0.0</v>
      </c>
      <c r="L3085" s="382">
        <v>0.0</v>
      </c>
      <c r="M3085" s="382">
        <v>0.0</v>
      </c>
      <c r="N3085" s="382">
        <v>0.0</v>
      </c>
      <c r="O3085" s="382">
        <v>0.0</v>
      </c>
      <c r="P3085" s="382">
        <v>0.0</v>
      </c>
      <c r="Q3085" s="382">
        <v>0.0</v>
      </c>
      <c r="R3085" s="382">
        <v>0.0</v>
      </c>
      <c r="S3085" s="382">
        <v>0.0</v>
      </c>
      <c r="T3085" s="382">
        <v>0.0</v>
      </c>
      <c r="U3085" s="382">
        <v>0.0</v>
      </c>
      <c r="V3085" s="382">
        <v>0.0</v>
      </c>
      <c r="W3085" s="382">
        <v>0.0</v>
      </c>
      <c r="X3085" s="382">
        <v>0.0</v>
      </c>
      <c r="Y3085" s="382">
        <v>0.0</v>
      </c>
      <c r="Z3085" s="382">
        <v>0.0</v>
      </c>
      <c r="AA3085" s="382">
        <v>0.0</v>
      </c>
      <c r="AB3085" s="382">
        <v>0.0</v>
      </c>
      <c r="AC3085" s="382">
        <v>0.0</v>
      </c>
      <c r="AD3085" s="382">
        <v>0.0</v>
      </c>
      <c r="AE3085" s="382">
        <v>0.0</v>
      </c>
      <c r="AF3085" s="382">
        <v>0.0</v>
      </c>
      <c r="AG3085" s="382">
        <v>0.0</v>
      </c>
      <c r="AH3085" s="382">
        <v>0.0</v>
      </c>
      <c r="AI3085" s="382">
        <v>0.0</v>
      </c>
      <c r="AJ3085" s="382">
        <v>0.0</v>
      </c>
      <c r="AK3085" s="382">
        <v>0.0</v>
      </c>
      <c r="AL3085" s="382">
        <v>0.0</v>
      </c>
      <c r="AM3085" s="382">
        <v>0.0</v>
      </c>
      <c r="AN3085" s="382">
        <v>0.0</v>
      </c>
      <c r="AO3085" s="382">
        <v>0.0</v>
      </c>
      <c r="AP3085" s="382">
        <v>0.0</v>
      </c>
      <c r="AQ3085" s="382">
        <v>0.0</v>
      </c>
      <c r="AR3085" s="382">
        <v>0.0</v>
      </c>
      <c r="AS3085" s="382">
        <v>0.0</v>
      </c>
      <c r="AT3085" s="382">
        <v>0.0</v>
      </c>
      <c r="AU3085" s="382">
        <v>0.0</v>
      </c>
      <c r="AV3085" s="382">
        <v>0.0</v>
      </c>
      <c r="AW3085" s="382">
        <v>0.0</v>
      </c>
      <c r="AX3085" s="382">
        <v>0.0</v>
      </c>
      <c r="AY3085" s="382">
        <v>0.0</v>
      </c>
      <c r="AZ3085" s="382">
        <v>0.0</v>
      </c>
      <c r="BA3085" s="382">
        <v>0.0</v>
      </c>
      <c r="BB3085" s="373">
        <f>PPMT('Assumptions (T&amp;D) old'!$B$100,Model!Y$1,'Assumptions (T&amp;D) old'!$B$103,Model!$AZ$3033)</f>
        <v>0</v>
      </c>
      <c r="BC3085" s="373">
        <f>PPMT('Assumptions (T&amp;D) old'!$B$100,Model!Z$1,'Assumptions (T&amp;D) old'!$B$103,Model!$AZ$3033)</f>
        <v>0</v>
      </c>
      <c r="BD3085" s="373">
        <f>PPMT('Assumptions (T&amp;D) old'!$B$100,Model!AA$1,'Assumptions (T&amp;D) old'!$B$103,Model!$AZ$3033)</f>
        <v>0</v>
      </c>
      <c r="BE3085" s="373">
        <f>PPMT('Assumptions (T&amp;D) old'!$B$100,Model!AB$1,'Assumptions (T&amp;D) old'!$B$103,Model!$AZ$3033)</f>
        <v>0</v>
      </c>
      <c r="BF3085" s="373">
        <f>PPMT('Assumptions (T&amp;D) old'!$B$100,Model!AC$1,'Assumptions (T&amp;D) old'!$B$103,Model!$AZ$3033)</f>
        <v>0</v>
      </c>
      <c r="BG3085" s="373">
        <f>PPMT('Assumptions (T&amp;D) old'!$B$100,Model!AD$1,'Assumptions (T&amp;D) old'!$B$103,Model!$AZ$3033)</f>
        <v>0</v>
      </c>
      <c r="BH3085" s="373">
        <f>PPMT('Assumptions (T&amp;D) old'!$B$100,Model!AE$1,'Assumptions (T&amp;D) old'!$B$103,Model!$AZ$3033)</f>
        <v>0</v>
      </c>
      <c r="BI3085" s="373">
        <f>PPMT('Assumptions (T&amp;D) old'!$B$100,Model!AF$1,'Assumptions (T&amp;D) old'!$B$103,Model!$AZ$3033)</f>
        <v>0</v>
      </c>
      <c r="BJ3085" s="373">
        <f>PPMT('Assumptions (T&amp;D) old'!$B$100,Model!AG$1,'Assumptions (T&amp;D) old'!$B$103,Model!$AZ$3033)</f>
        <v>0</v>
      </c>
      <c r="BK3085" s="373">
        <f>PPMT('Assumptions (T&amp;D) old'!$B$100,Model!AH$1,'Assumptions (T&amp;D) old'!$B$103,Model!$AZ$3033)</f>
        <v>0</v>
      </c>
      <c r="BL3085" s="373">
        <f>PPMT('Assumptions (T&amp;D) old'!$B$100,Model!AI$1,'Assumptions (T&amp;D) old'!$B$103,Model!$AZ$3033)</f>
        <v>0</v>
      </c>
      <c r="BM3085" s="373">
        <f>PPMT('Assumptions (T&amp;D) old'!$B$100,Model!AJ$1,'Assumptions (T&amp;D) old'!$B$103,Model!$AZ$3033)</f>
        <v>0</v>
      </c>
      <c r="BN3085" s="373">
        <f>PPMT('Assumptions (T&amp;D) old'!$B$100,Model!AK$1,'Assumptions (T&amp;D) old'!$B$103,Model!$AZ$3033)</f>
        <v>0</v>
      </c>
      <c r="BO3085" s="374"/>
      <c r="BP3085" s="374"/>
      <c r="BQ3085" s="374"/>
      <c r="BR3085" s="374"/>
      <c r="BS3085" s="374"/>
      <c r="BT3085" s="374"/>
      <c r="BU3085" s="374"/>
      <c r="BV3085" s="374"/>
      <c r="BW3085" s="374"/>
      <c r="BX3085" s="374"/>
      <c r="BY3085" s="32"/>
      <c r="BZ3085" s="32"/>
      <c r="CA3085" s="32"/>
      <c r="CB3085" s="32"/>
      <c r="CC3085" s="32"/>
      <c r="CD3085" s="32"/>
    </row>
    <row r="3086" ht="15.75" hidden="1" customHeight="1" outlineLevel="1">
      <c r="A3086" s="365"/>
      <c r="B3086" s="381"/>
      <c r="C3086" s="382">
        <v>0.0</v>
      </c>
      <c r="D3086" s="382">
        <v>0.0</v>
      </c>
      <c r="E3086" s="382">
        <v>0.0</v>
      </c>
      <c r="F3086" s="382">
        <v>0.0</v>
      </c>
      <c r="G3086" s="382">
        <v>0.0</v>
      </c>
      <c r="H3086" s="382">
        <v>0.0</v>
      </c>
      <c r="I3086" s="382">
        <v>0.0</v>
      </c>
      <c r="J3086" s="382">
        <v>0.0</v>
      </c>
      <c r="K3086" s="382">
        <v>0.0</v>
      </c>
      <c r="L3086" s="382">
        <v>0.0</v>
      </c>
      <c r="M3086" s="382">
        <v>0.0</v>
      </c>
      <c r="N3086" s="382">
        <v>0.0</v>
      </c>
      <c r="O3086" s="382">
        <v>0.0</v>
      </c>
      <c r="P3086" s="382">
        <v>0.0</v>
      </c>
      <c r="Q3086" s="382">
        <v>0.0</v>
      </c>
      <c r="R3086" s="382">
        <v>0.0</v>
      </c>
      <c r="S3086" s="382">
        <v>0.0</v>
      </c>
      <c r="T3086" s="382">
        <v>0.0</v>
      </c>
      <c r="U3086" s="382">
        <v>0.0</v>
      </c>
      <c r="V3086" s="382">
        <v>0.0</v>
      </c>
      <c r="W3086" s="382">
        <v>0.0</v>
      </c>
      <c r="X3086" s="382">
        <v>0.0</v>
      </c>
      <c r="Y3086" s="382">
        <v>0.0</v>
      </c>
      <c r="Z3086" s="382">
        <v>0.0</v>
      </c>
      <c r="AA3086" s="382">
        <v>0.0</v>
      </c>
      <c r="AB3086" s="382">
        <v>0.0</v>
      </c>
      <c r="AC3086" s="382">
        <v>0.0</v>
      </c>
      <c r="AD3086" s="382">
        <v>0.0</v>
      </c>
      <c r="AE3086" s="382">
        <v>0.0</v>
      </c>
      <c r="AF3086" s="382">
        <v>0.0</v>
      </c>
      <c r="AG3086" s="382">
        <v>0.0</v>
      </c>
      <c r="AH3086" s="382">
        <v>0.0</v>
      </c>
      <c r="AI3086" s="382">
        <v>0.0</v>
      </c>
      <c r="AJ3086" s="382">
        <v>0.0</v>
      </c>
      <c r="AK3086" s="382">
        <v>0.0</v>
      </c>
      <c r="AL3086" s="382">
        <v>0.0</v>
      </c>
      <c r="AM3086" s="382">
        <v>0.0</v>
      </c>
      <c r="AN3086" s="382">
        <v>0.0</v>
      </c>
      <c r="AO3086" s="382">
        <v>0.0</v>
      </c>
      <c r="AP3086" s="382">
        <v>0.0</v>
      </c>
      <c r="AQ3086" s="382">
        <v>0.0</v>
      </c>
      <c r="AR3086" s="382">
        <v>0.0</v>
      </c>
      <c r="AS3086" s="382">
        <v>0.0</v>
      </c>
      <c r="AT3086" s="382">
        <v>0.0</v>
      </c>
      <c r="AU3086" s="382">
        <v>0.0</v>
      </c>
      <c r="AV3086" s="382">
        <v>0.0</v>
      </c>
      <c r="AW3086" s="382">
        <v>0.0</v>
      </c>
      <c r="AX3086" s="382">
        <v>0.0</v>
      </c>
      <c r="AY3086" s="382">
        <v>0.0</v>
      </c>
      <c r="AZ3086" s="382">
        <v>0.0</v>
      </c>
      <c r="BA3086" s="382">
        <v>0.0</v>
      </c>
      <c r="BB3086" s="373">
        <f>PPMT('Assumptions (T&amp;D) old'!$B$100,Model!X$1,'Assumptions (T&amp;D) old'!$B$103,Model!$BA$3033)</f>
        <v>0</v>
      </c>
      <c r="BC3086" s="373">
        <f>PPMT('Assumptions (T&amp;D) old'!$B$100,Model!Y$1,'Assumptions (T&amp;D) old'!$B$103,Model!$BA$3033)</f>
        <v>0</v>
      </c>
      <c r="BD3086" s="373">
        <f>PPMT('Assumptions (T&amp;D) old'!$B$100,Model!Z$1,'Assumptions (T&amp;D) old'!$B$103,Model!$BA$3033)</f>
        <v>0</v>
      </c>
      <c r="BE3086" s="373">
        <f>PPMT('Assumptions (T&amp;D) old'!$B$100,Model!AA$1,'Assumptions (T&amp;D) old'!$B$103,Model!$BA$3033)</f>
        <v>0</v>
      </c>
      <c r="BF3086" s="373">
        <f>PPMT('Assumptions (T&amp;D) old'!$B$100,Model!AB$1,'Assumptions (T&amp;D) old'!$B$103,Model!$BA$3033)</f>
        <v>0</v>
      </c>
      <c r="BG3086" s="373">
        <f>PPMT('Assumptions (T&amp;D) old'!$B$100,Model!AC$1,'Assumptions (T&amp;D) old'!$B$103,Model!$BA$3033)</f>
        <v>0</v>
      </c>
      <c r="BH3086" s="373">
        <f>PPMT('Assumptions (T&amp;D) old'!$B$100,Model!AD$1,'Assumptions (T&amp;D) old'!$B$103,Model!$BA$3033)</f>
        <v>0</v>
      </c>
      <c r="BI3086" s="373">
        <f>PPMT('Assumptions (T&amp;D) old'!$B$100,Model!AE$1,'Assumptions (T&amp;D) old'!$B$103,Model!$BA$3033)</f>
        <v>0</v>
      </c>
      <c r="BJ3086" s="373">
        <f>PPMT('Assumptions (T&amp;D) old'!$B$100,Model!AF$1,'Assumptions (T&amp;D) old'!$B$103,Model!$BA$3033)</f>
        <v>0</v>
      </c>
      <c r="BK3086" s="373">
        <f>PPMT('Assumptions (T&amp;D) old'!$B$100,Model!AG$1,'Assumptions (T&amp;D) old'!$B$103,Model!$BA$3033)</f>
        <v>0</v>
      </c>
      <c r="BL3086" s="373">
        <f>PPMT('Assumptions (T&amp;D) old'!$B$100,Model!AH$1,'Assumptions (T&amp;D) old'!$B$103,Model!$BA$3033)</f>
        <v>0</v>
      </c>
      <c r="BM3086" s="373">
        <f>PPMT('Assumptions (T&amp;D) old'!$B$100,Model!AI$1,'Assumptions (T&amp;D) old'!$B$103,Model!$BA$3033)</f>
        <v>0</v>
      </c>
      <c r="BN3086" s="373">
        <f>PPMT('Assumptions (T&amp;D) old'!$B$100,Model!AJ$1,'Assumptions (T&amp;D) old'!$B$103,Model!$BA$3033)</f>
        <v>0</v>
      </c>
      <c r="BO3086" s="373">
        <f>PPMT('Assumptions (T&amp;D) old'!$B$100,Model!AK$1,'Assumptions (T&amp;D) old'!$B$103,Model!$BA$3033)</f>
        <v>0</v>
      </c>
      <c r="BP3086" s="374"/>
      <c r="BQ3086" s="374"/>
      <c r="BR3086" s="374"/>
      <c r="BS3086" s="374"/>
      <c r="BT3086" s="374"/>
      <c r="BU3086" s="374"/>
      <c r="BV3086" s="374"/>
      <c r="BW3086" s="374"/>
      <c r="BX3086" s="374"/>
      <c r="BY3086" s="374"/>
      <c r="BZ3086" s="32"/>
      <c r="CA3086" s="32"/>
      <c r="CB3086" s="32"/>
      <c r="CC3086" s="32"/>
      <c r="CD3086" s="32"/>
    </row>
    <row r="3087" ht="15.75" customHeight="1" collapsed="1">
      <c r="A3087" s="365" t="s">
        <v>360</v>
      </c>
      <c r="B3087" s="381" t="s">
        <v>351</v>
      </c>
      <c r="C3087" s="382">
        <v>0.0</v>
      </c>
      <c r="D3087" s="382">
        <v>0.0</v>
      </c>
      <c r="E3087" s="382">
        <v>0.0</v>
      </c>
      <c r="F3087" s="382">
        <v>0.0</v>
      </c>
      <c r="G3087" s="382">
        <v>0.0</v>
      </c>
      <c r="H3087" s="382">
        <v>0.0</v>
      </c>
      <c r="I3087" s="382">
        <v>0.0</v>
      </c>
      <c r="J3087" s="382">
        <v>0.0</v>
      </c>
      <c r="K3087" s="382">
        <v>0.0</v>
      </c>
      <c r="L3087" s="382">
        <v>0.0</v>
      </c>
      <c r="M3087" s="382">
        <v>0.0</v>
      </c>
      <c r="N3087" s="382">
        <v>0.0</v>
      </c>
      <c r="O3087" s="382">
        <v>0.0</v>
      </c>
      <c r="P3087" s="382">
        <v>0.0</v>
      </c>
      <c r="Q3087" s="382">
        <v>0.0</v>
      </c>
      <c r="R3087" s="382">
        <v>0.0</v>
      </c>
      <c r="S3087" s="382">
        <v>0.0</v>
      </c>
      <c r="T3087" s="382">
        <v>0.0</v>
      </c>
      <c r="U3087" s="382">
        <v>0.0</v>
      </c>
      <c r="V3087" s="382">
        <v>0.0</v>
      </c>
      <c r="W3087" s="382">
        <v>0.0</v>
      </c>
      <c r="X3087" s="382">
        <v>0.0</v>
      </c>
      <c r="Y3087" s="382">
        <v>0.0</v>
      </c>
      <c r="Z3087" s="382">
        <v>0.0</v>
      </c>
      <c r="AA3087" s="382">
        <v>0.0</v>
      </c>
      <c r="AB3087" s="382">
        <v>0.0</v>
      </c>
      <c r="AC3087" s="382">
        <v>0.0</v>
      </c>
      <c r="AD3087" s="382">
        <v>0.0</v>
      </c>
      <c r="AE3087" s="382">
        <v>0.0</v>
      </c>
      <c r="AF3087" s="382">
        <v>0.0</v>
      </c>
      <c r="AG3087" s="382">
        <v>0.0</v>
      </c>
      <c r="AH3087" s="382">
        <v>0.0</v>
      </c>
      <c r="AI3087" s="382">
        <v>0.0</v>
      </c>
      <c r="AJ3087" s="382">
        <v>0.0</v>
      </c>
      <c r="AK3087" s="382">
        <v>0.0</v>
      </c>
      <c r="AL3087" s="382">
        <v>0.0</v>
      </c>
      <c r="AM3087" s="382">
        <v>0.0</v>
      </c>
      <c r="AN3087" s="382">
        <v>0.0</v>
      </c>
      <c r="AO3087" s="382">
        <v>0.0</v>
      </c>
      <c r="AP3087" s="382">
        <v>0.0</v>
      </c>
      <c r="AQ3087" s="382">
        <v>0.0</v>
      </c>
      <c r="AR3087" s="382">
        <v>0.0</v>
      </c>
      <c r="AS3087" s="382">
        <v>0.0</v>
      </c>
      <c r="AT3087" s="382">
        <v>0.0</v>
      </c>
      <c r="AU3087" s="382">
        <v>0.0</v>
      </c>
      <c r="AV3087" s="382">
        <v>0.0</v>
      </c>
      <c r="AW3087" s="382">
        <v>0.0</v>
      </c>
      <c r="AX3087" s="382">
        <v>0.0</v>
      </c>
      <c r="AY3087" s="382">
        <v>0.0</v>
      </c>
      <c r="AZ3087" s="382">
        <v>0.0</v>
      </c>
      <c r="BA3087" s="382">
        <v>0.0</v>
      </c>
      <c r="BB3087" s="372">
        <f t="array" ref="BB3087">SUM(IF(ISERROR(BB3088:BB3138),"",BB3088:BB3138))</f>
        <v>0</v>
      </c>
      <c r="BC3087" s="372">
        <f t="array" ref="BC3087">SUM(IF(ISERROR(BC3088:BC3138),"",BC3088:BC3138))</f>
        <v>0</v>
      </c>
      <c r="BD3087" s="372">
        <f t="array" ref="BD3087">SUM(IF(ISERROR(BD3088:BD3138),"",BD3088:BD3138))</f>
        <v>0</v>
      </c>
      <c r="BE3087" s="372">
        <f t="array" ref="BE3087">SUM(IF(ISERROR(BE3088:BE3138),"",BE3088:BE3138))</f>
        <v>0</v>
      </c>
      <c r="BF3087" s="372">
        <f t="array" ref="BF3087">SUM(IF(ISERROR(BF3088:BF3138),"",BF3088:BF3138))</f>
        <v>0</v>
      </c>
      <c r="BG3087" s="372">
        <f t="array" ref="BG3087">SUM(IF(ISERROR(BG3088:BG3138),"",BG3088:BG3138))</f>
        <v>0</v>
      </c>
      <c r="BH3087" s="372">
        <f t="array" ref="BH3087">SUM(IF(ISERROR(BH3088:BH3138),"",BH3088:BH3138))</f>
        <v>0</v>
      </c>
      <c r="BI3087" s="372">
        <f t="array" ref="BI3087">SUM(IF(ISERROR(BI3088:BI3138),"",BI3088:BI3138))</f>
        <v>0</v>
      </c>
      <c r="BJ3087" s="372">
        <f t="array" ref="BJ3087">SUM(IF(ISERROR(BJ3088:BJ3138),"",BJ3088:BJ3138))</f>
        <v>0</v>
      </c>
      <c r="BK3087" s="372">
        <f t="array" ref="BK3087">SUM(IF(ISERROR(BK3088:BK3138),"",BK3088:BK3138))</f>
        <v>0</v>
      </c>
      <c r="BL3087" s="372">
        <f t="array" ref="BL3087">SUM(IF(ISERROR(BL3088:BL3138),"",BL3088:BL3138))</f>
        <v>0</v>
      </c>
      <c r="BM3087" s="372">
        <f t="array" ref="BM3087">SUM(IF(ISERROR(BM3088:BM3138),"",BM3088:BM3138))</f>
        <v>0</v>
      </c>
      <c r="BN3087" s="372">
        <f t="array" ref="BN3087">SUM(IF(ISERROR(BN3088:BN3138),"",BN3088:BN3138))</f>
        <v>0</v>
      </c>
      <c r="BO3087" s="372">
        <f t="array" ref="BO3087">SUM(IF(ISERROR(BO3088:BO3138),"",BO3088:BO3138))</f>
        <v>0</v>
      </c>
      <c r="BP3087" s="372"/>
      <c r="BQ3087" s="372"/>
      <c r="BR3087" s="372"/>
      <c r="BS3087" s="372"/>
      <c r="BT3087" s="372"/>
      <c r="BU3087" s="372"/>
      <c r="BV3087" s="372"/>
      <c r="BW3087" s="372"/>
      <c r="BX3087" s="372"/>
      <c r="BY3087" s="372"/>
      <c r="BZ3087" s="32"/>
      <c r="CA3087" s="32"/>
      <c r="CB3087" s="32"/>
      <c r="CC3087" s="32"/>
      <c r="CD3087" s="32"/>
    </row>
    <row r="3088" ht="15.75" hidden="1" customHeight="1" outlineLevel="1">
      <c r="A3088" s="365"/>
      <c r="B3088" s="381"/>
      <c r="C3088" s="382">
        <v>0.0</v>
      </c>
      <c r="D3088" s="382">
        <v>0.0</v>
      </c>
      <c r="E3088" s="382">
        <v>0.0</v>
      </c>
      <c r="F3088" s="382">
        <v>0.0</v>
      </c>
      <c r="G3088" s="382">
        <v>0.0</v>
      </c>
      <c r="H3088" s="382">
        <v>0.0</v>
      </c>
      <c r="I3088" s="382">
        <v>0.0</v>
      </c>
      <c r="J3088" s="382">
        <v>0.0</v>
      </c>
      <c r="K3088" s="382">
        <v>0.0</v>
      </c>
      <c r="L3088" s="382">
        <v>0.0</v>
      </c>
      <c r="M3088" s="382">
        <v>0.0</v>
      </c>
      <c r="N3088" s="382">
        <v>0.0</v>
      </c>
      <c r="O3088" s="382">
        <v>0.0</v>
      </c>
      <c r="P3088" s="382">
        <v>0.0</v>
      </c>
      <c r="Q3088" s="382">
        <v>0.0</v>
      </c>
      <c r="R3088" s="382">
        <v>0.0</v>
      </c>
      <c r="S3088" s="382">
        <v>0.0</v>
      </c>
      <c r="T3088" s="382">
        <v>0.0</v>
      </c>
      <c r="U3088" s="382">
        <v>0.0</v>
      </c>
      <c r="V3088" s="382">
        <v>0.0</v>
      </c>
      <c r="W3088" s="382">
        <v>0.0</v>
      </c>
      <c r="X3088" s="382">
        <v>0.0</v>
      </c>
      <c r="Y3088" s="382">
        <v>0.0</v>
      </c>
      <c r="Z3088" s="382">
        <v>0.0</v>
      </c>
      <c r="AA3088" s="382">
        <v>0.0</v>
      </c>
      <c r="AB3088" s="382">
        <v>0.0</v>
      </c>
      <c r="AC3088" s="382">
        <v>0.0</v>
      </c>
      <c r="AD3088" s="382">
        <v>0.0</v>
      </c>
      <c r="AE3088" s="382">
        <v>0.0</v>
      </c>
      <c r="AF3088" s="382">
        <v>0.0</v>
      </c>
      <c r="AG3088" s="382">
        <v>0.0</v>
      </c>
      <c r="AH3088" s="382">
        <v>0.0</v>
      </c>
      <c r="AI3088" s="382">
        <v>0.0</v>
      </c>
      <c r="AJ3088" s="382">
        <v>0.0</v>
      </c>
      <c r="AK3088" s="382">
        <v>0.0</v>
      </c>
      <c r="AL3088" s="382">
        <v>0.0</v>
      </c>
      <c r="AM3088" s="382">
        <v>0.0</v>
      </c>
      <c r="AN3088" s="382">
        <v>0.0</v>
      </c>
      <c r="AO3088" s="382">
        <v>0.0</v>
      </c>
      <c r="AP3088" s="382">
        <v>0.0</v>
      </c>
      <c r="AQ3088" s="382">
        <v>0.0</v>
      </c>
      <c r="AR3088" s="382">
        <v>0.0</v>
      </c>
      <c r="AS3088" s="382">
        <v>0.0</v>
      </c>
      <c r="AT3088" s="382">
        <v>0.0</v>
      </c>
      <c r="AU3088" s="382">
        <v>0.0</v>
      </c>
      <c r="AV3088" s="382">
        <v>0.0</v>
      </c>
      <c r="AW3088" s="382">
        <v>0.0</v>
      </c>
      <c r="AX3088" s="382">
        <v>0.0</v>
      </c>
      <c r="AY3088" s="382">
        <v>0.0</v>
      </c>
      <c r="AZ3088" s="382">
        <v>0.0</v>
      </c>
      <c r="BA3088" s="382">
        <v>0.0</v>
      </c>
      <c r="BB3088" s="32"/>
      <c r="BC3088" s="32"/>
      <c r="BD3088" s="32"/>
      <c r="BE3088" s="32"/>
      <c r="BF3088" s="32"/>
      <c r="BG3088" s="32"/>
      <c r="BH3088" s="32"/>
      <c r="BI3088" s="32"/>
      <c r="BJ3088" s="32"/>
      <c r="BK3088" s="32"/>
      <c r="BL3088" s="32"/>
      <c r="BM3088" s="32"/>
      <c r="BN3088" s="32"/>
      <c r="BO3088" s="32"/>
      <c r="BP3088" s="32"/>
      <c r="BQ3088" s="32"/>
      <c r="BR3088" s="32"/>
      <c r="BS3088" s="32"/>
      <c r="BT3088" s="32"/>
      <c r="BU3088" s="32"/>
      <c r="BV3088" s="32"/>
      <c r="BW3088" s="32"/>
      <c r="BX3088" s="32"/>
      <c r="BY3088" s="32"/>
      <c r="BZ3088" s="32"/>
      <c r="CA3088" s="32"/>
      <c r="CB3088" s="32"/>
      <c r="CC3088" s="32"/>
      <c r="CD3088" s="32"/>
    </row>
    <row r="3089" ht="15.75" hidden="1" customHeight="1" outlineLevel="1">
      <c r="A3089" s="365"/>
      <c r="B3089" s="381"/>
      <c r="C3089" s="382">
        <v>0.0</v>
      </c>
      <c r="D3089" s="382">
        <v>0.0</v>
      </c>
      <c r="E3089" s="382">
        <v>0.0</v>
      </c>
      <c r="F3089" s="382">
        <v>0.0</v>
      </c>
      <c r="G3089" s="382">
        <v>0.0</v>
      </c>
      <c r="H3089" s="382">
        <v>0.0</v>
      </c>
      <c r="I3089" s="382">
        <v>0.0</v>
      </c>
      <c r="J3089" s="382">
        <v>0.0</v>
      </c>
      <c r="K3089" s="382">
        <v>0.0</v>
      </c>
      <c r="L3089" s="382">
        <v>0.0</v>
      </c>
      <c r="M3089" s="382">
        <v>0.0</v>
      </c>
      <c r="N3089" s="382">
        <v>0.0</v>
      </c>
      <c r="O3089" s="382">
        <v>0.0</v>
      </c>
      <c r="P3089" s="382">
        <v>0.0</v>
      </c>
      <c r="Q3089" s="382">
        <v>0.0</v>
      </c>
      <c r="R3089" s="382">
        <v>0.0</v>
      </c>
      <c r="S3089" s="382">
        <v>0.0</v>
      </c>
      <c r="T3089" s="382">
        <v>0.0</v>
      </c>
      <c r="U3089" s="382">
        <v>0.0</v>
      </c>
      <c r="V3089" s="382">
        <v>0.0</v>
      </c>
      <c r="W3089" s="382">
        <v>0.0</v>
      </c>
      <c r="X3089" s="382">
        <v>0.0</v>
      </c>
      <c r="Y3089" s="382">
        <v>0.0</v>
      </c>
      <c r="Z3089" s="382">
        <v>0.0</v>
      </c>
      <c r="AA3089" s="382">
        <v>0.0</v>
      </c>
      <c r="AB3089" s="382">
        <v>0.0</v>
      </c>
      <c r="AC3089" s="382">
        <v>0.0</v>
      </c>
      <c r="AD3089" s="382">
        <v>0.0</v>
      </c>
      <c r="AE3089" s="382">
        <v>0.0</v>
      </c>
      <c r="AF3089" s="382">
        <v>0.0</v>
      </c>
      <c r="AG3089" s="382">
        <v>0.0</v>
      </c>
      <c r="AH3089" s="382">
        <v>0.0</v>
      </c>
      <c r="AI3089" s="382">
        <v>0.0</v>
      </c>
      <c r="AJ3089" s="382">
        <v>0.0</v>
      </c>
      <c r="AK3089" s="382">
        <v>0.0</v>
      </c>
      <c r="AL3089" s="382">
        <v>0.0</v>
      </c>
      <c r="AM3089" s="382">
        <v>0.0</v>
      </c>
      <c r="AN3089" s="382">
        <v>0.0</v>
      </c>
      <c r="AO3089" s="382">
        <v>0.0</v>
      </c>
      <c r="AP3089" s="382">
        <v>0.0</v>
      </c>
      <c r="AQ3089" s="382">
        <v>0.0</v>
      </c>
      <c r="AR3089" s="382">
        <v>0.0</v>
      </c>
      <c r="AS3089" s="382">
        <v>0.0</v>
      </c>
      <c r="AT3089" s="382">
        <v>0.0</v>
      </c>
      <c r="AU3089" s="382">
        <v>0.0</v>
      </c>
      <c r="AV3089" s="382">
        <v>0.0</v>
      </c>
      <c r="AW3089" s="382">
        <v>0.0</v>
      </c>
      <c r="AX3089" s="382">
        <v>0.0</v>
      </c>
      <c r="AY3089" s="382">
        <v>0.0</v>
      </c>
      <c r="AZ3089" s="382">
        <v>0.0</v>
      </c>
      <c r="BA3089" s="382">
        <v>0.0</v>
      </c>
      <c r="BB3089" s="32"/>
      <c r="BC3089" s="32"/>
      <c r="BD3089" s="32"/>
      <c r="BE3089" s="32"/>
      <c r="BF3089" s="32"/>
      <c r="BG3089" s="32"/>
      <c r="BH3089" s="32"/>
      <c r="BI3089" s="32"/>
      <c r="BJ3089" s="32"/>
      <c r="BK3089" s="32"/>
      <c r="BL3089" s="32"/>
      <c r="BM3089" s="32"/>
      <c r="BN3089" s="32"/>
      <c r="BO3089" s="32"/>
      <c r="BP3089" s="32"/>
      <c r="BQ3089" s="32"/>
      <c r="BR3089" s="32"/>
      <c r="BS3089" s="32"/>
      <c r="BT3089" s="32"/>
      <c r="BU3089" s="32"/>
      <c r="BV3089" s="32"/>
      <c r="BW3089" s="32"/>
      <c r="BX3089" s="32"/>
      <c r="BY3089" s="32"/>
      <c r="BZ3089" s="32"/>
      <c r="CA3089" s="32"/>
      <c r="CB3089" s="32"/>
      <c r="CC3089" s="32"/>
      <c r="CD3089" s="32"/>
    </row>
    <row r="3090" ht="15.75" hidden="1" customHeight="1" outlineLevel="1">
      <c r="A3090" s="365"/>
      <c r="B3090" s="381"/>
      <c r="C3090" s="382">
        <v>0.0</v>
      </c>
      <c r="D3090" s="382">
        <v>0.0</v>
      </c>
      <c r="E3090" s="382">
        <v>0.0</v>
      </c>
      <c r="F3090" s="382">
        <v>0.0</v>
      </c>
      <c r="G3090" s="382">
        <v>0.0</v>
      </c>
      <c r="H3090" s="382">
        <v>0.0</v>
      </c>
      <c r="I3090" s="382">
        <v>0.0</v>
      </c>
      <c r="J3090" s="382">
        <v>0.0</v>
      </c>
      <c r="K3090" s="382">
        <v>0.0</v>
      </c>
      <c r="L3090" s="382">
        <v>0.0</v>
      </c>
      <c r="M3090" s="382">
        <v>0.0</v>
      </c>
      <c r="N3090" s="382">
        <v>0.0</v>
      </c>
      <c r="O3090" s="382">
        <v>0.0</v>
      </c>
      <c r="P3090" s="382">
        <v>0.0</v>
      </c>
      <c r="Q3090" s="382">
        <v>0.0</v>
      </c>
      <c r="R3090" s="382">
        <v>0.0</v>
      </c>
      <c r="S3090" s="382">
        <v>0.0</v>
      </c>
      <c r="T3090" s="382">
        <v>0.0</v>
      </c>
      <c r="U3090" s="382">
        <v>0.0</v>
      </c>
      <c r="V3090" s="382">
        <v>0.0</v>
      </c>
      <c r="W3090" s="382">
        <v>0.0</v>
      </c>
      <c r="X3090" s="382">
        <v>0.0</v>
      </c>
      <c r="Y3090" s="382">
        <v>0.0</v>
      </c>
      <c r="Z3090" s="382">
        <v>0.0</v>
      </c>
      <c r="AA3090" s="382">
        <v>0.0</v>
      </c>
      <c r="AB3090" s="382">
        <v>0.0</v>
      </c>
      <c r="AC3090" s="382">
        <v>0.0</v>
      </c>
      <c r="AD3090" s="382">
        <v>0.0</v>
      </c>
      <c r="AE3090" s="382">
        <v>0.0</v>
      </c>
      <c r="AF3090" s="382">
        <v>0.0</v>
      </c>
      <c r="AG3090" s="382">
        <v>0.0</v>
      </c>
      <c r="AH3090" s="382">
        <v>0.0</v>
      </c>
      <c r="AI3090" s="382">
        <v>0.0</v>
      </c>
      <c r="AJ3090" s="382">
        <v>0.0</v>
      </c>
      <c r="AK3090" s="382">
        <v>0.0</v>
      </c>
      <c r="AL3090" s="382">
        <v>0.0</v>
      </c>
      <c r="AM3090" s="382">
        <v>0.0</v>
      </c>
      <c r="AN3090" s="382">
        <v>0.0</v>
      </c>
      <c r="AO3090" s="382">
        <v>0.0</v>
      </c>
      <c r="AP3090" s="382">
        <v>0.0</v>
      </c>
      <c r="AQ3090" s="382">
        <v>0.0</v>
      </c>
      <c r="AR3090" s="382">
        <v>0.0</v>
      </c>
      <c r="AS3090" s="382">
        <v>0.0</v>
      </c>
      <c r="AT3090" s="382">
        <v>0.0</v>
      </c>
      <c r="AU3090" s="382">
        <v>0.0</v>
      </c>
      <c r="AV3090" s="382">
        <v>0.0</v>
      </c>
      <c r="AW3090" s="382">
        <v>0.0</v>
      </c>
      <c r="AX3090" s="382">
        <v>0.0</v>
      </c>
      <c r="AY3090" s="382">
        <v>0.0</v>
      </c>
      <c r="AZ3090" s="382">
        <v>0.0</v>
      </c>
      <c r="BA3090" s="382">
        <v>0.0</v>
      </c>
      <c r="BB3090" s="32"/>
      <c r="BC3090" s="32"/>
      <c r="BD3090" s="32"/>
      <c r="BE3090" s="32"/>
      <c r="BF3090" s="32"/>
      <c r="BG3090" s="32"/>
      <c r="BH3090" s="32"/>
      <c r="BI3090" s="32"/>
      <c r="BJ3090" s="32"/>
      <c r="BK3090" s="32"/>
      <c r="BL3090" s="32"/>
      <c r="BM3090" s="32"/>
      <c r="BN3090" s="32"/>
      <c r="BO3090" s="32"/>
      <c r="BP3090" s="32"/>
      <c r="BQ3090" s="32"/>
      <c r="BR3090" s="32"/>
      <c r="BS3090" s="32"/>
      <c r="BT3090" s="32"/>
      <c r="BU3090" s="32"/>
      <c r="BV3090" s="32"/>
      <c r="BW3090" s="32"/>
      <c r="BX3090" s="32"/>
      <c r="BY3090" s="32"/>
      <c r="BZ3090" s="32"/>
      <c r="CA3090" s="32"/>
      <c r="CB3090" s="32"/>
      <c r="CC3090" s="32"/>
      <c r="CD3090" s="32"/>
    </row>
    <row r="3091" ht="15.75" hidden="1" customHeight="1" outlineLevel="1">
      <c r="A3091" s="365"/>
      <c r="B3091" s="381"/>
      <c r="C3091" s="382">
        <v>0.0</v>
      </c>
      <c r="D3091" s="382">
        <v>0.0</v>
      </c>
      <c r="E3091" s="382">
        <v>0.0</v>
      </c>
      <c r="F3091" s="382">
        <v>0.0</v>
      </c>
      <c r="G3091" s="382">
        <v>0.0</v>
      </c>
      <c r="H3091" s="382">
        <v>0.0</v>
      </c>
      <c r="I3091" s="382">
        <v>0.0</v>
      </c>
      <c r="J3091" s="382">
        <v>0.0</v>
      </c>
      <c r="K3091" s="382">
        <v>0.0</v>
      </c>
      <c r="L3091" s="382">
        <v>0.0</v>
      </c>
      <c r="M3091" s="382">
        <v>0.0</v>
      </c>
      <c r="N3091" s="382">
        <v>0.0</v>
      </c>
      <c r="O3091" s="382">
        <v>0.0</v>
      </c>
      <c r="P3091" s="382">
        <v>0.0</v>
      </c>
      <c r="Q3091" s="382">
        <v>0.0</v>
      </c>
      <c r="R3091" s="382">
        <v>0.0</v>
      </c>
      <c r="S3091" s="382">
        <v>0.0</v>
      </c>
      <c r="T3091" s="382">
        <v>0.0</v>
      </c>
      <c r="U3091" s="382">
        <v>0.0</v>
      </c>
      <c r="V3091" s="382">
        <v>0.0</v>
      </c>
      <c r="W3091" s="382">
        <v>0.0</v>
      </c>
      <c r="X3091" s="382">
        <v>0.0</v>
      </c>
      <c r="Y3091" s="382">
        <v>0.0</v>
      </c>
      <c r="Z3091" s="382">
        <v>0.0</v>
      </c>
      <c r="AA3091" s="382">
        <v>0.0</v>
      </c>
      <c r="AB3091" s="382">
        <v>0.0</v>
      </c>
      <c r="AC3091" s="382">
        <v>0.0</v>
      </c>
      <c r="AD3091" s="382">
        <v>0.0</v>
      </c>
      <c r="AE3091" s="382">
        <v>0.0</v>
      </c>
      <c r="AF3091" s="382">
        <v>0.0</v>
      </c>
      <c r="AG3091" s="382">
        <v>0.0</v>
      </c>
      <c r="AH3091" s="382">
        <v>0.0</v>
      </c>
      <c r="AI3091" s="382">
        <v>0.0</v>
      </c>
      <c r="AJ3091" s="382">
        <v>0.0</v>
      </c>
      <c r="AK3091" s="382">
        <v>0.0</v>
      </c>
      <c r="AL3091" s="382">
        <v>0.0</v>
      </c>
      <c r="AM3091" s="382">
        <v>0.0</v>
      </c>
      <c r="AN3091" s="382">
        <v>0.0</v>
      </c>
      <c r="AO3091" s="382">
        <v>0.0</v>
      </c>
      <c r="AP3091" s="382">
        <v>0.0</v>
      </c>
      <c r="AQ3091" s="382">
        <v>0.0</v>
      </c>
      <c r="AR3091" s="382">
        <v>0.0</v>
      </c>
      <c r="AS3091" s="382">
        <v>0.0</v>
      </c>
      <c r="AT3091" s="382">
        <v>0.0</v>
      </c>
      <c r="AU3091" s="382">
        <v>0.0</v>
      </c>
      <c r="AV3091" s="382">
        <v>0.0</v>
      </c>
      <c r="AW3091" s="382">
        <v>0.0</v>
      </c>
      <c r="AX3091" s="382">
        <v>0.0</v>
      </c>
      <c r="AY3091" s="382">
        <v>0.0</v>
      </c>
      <c r="AZ3091" s="382">
        <v>0.0</v>
      </c>
      <c r="BA3091" s="382">
        <v>0.0</v>
      </c>
      <c r="BB3091" s="32"/>
      <c r="BC3091" s="32"/>
      <c r="BD3091" s="32"/>
      <c r="BE3091" s="32"/>
      <c r="BF3091" s="32"/>
      <c r="BG3091" s="32"/>
      <c r="BH3091" s="32"/>
      <c r="BI3091" s="32"/>
      <c r="BJ3091" s="32"/>
      <c r="BK3091" s="32"/>
      <c r="BL3091" s="32"/>
      <c r="BM3091" s="32"/>
      <c r="BN3091" s="32"/>
      <c r="BO3091" s="32"/>
      <c r="BP3091" s="32"/>
      <c r="BQ3091" s="32"/>
      <c r="BR3091" s="32"/>
      <c r="BS3091" s="32"/>
      <c r="BT3091" s="32"/>
      <c r="BU3091" s="32"/>
      <c r="BV3091" s="32"/>
      <c r="BW3091" s="32"/>
      <c r="BX3091" s="32"/>
      <c r="BY3091" s="32"/>
      <c r="BZ3091" s="32"/>
      <c r="CA3091" s="32"/>
      <c r="CB3091" s="32"/>
      <c r="CC3091" s="32"/>
      <c r="CD3091" s="32"/>
    </row>
    <row r="3092" ht="15.75" hidden="1" customHeight="1" outlineLevel="1">
      <c r="A3092" s="365"/>
      <c r="B3092" s="381"/>
      <c r="C3092" s="382">
        <v>0.0</v>
      </c>
      <c r="D3092" s="382">
        <v>0.0</v>
      </c>
      <c r="E3092" s="382">
        <v>0.0</v>
      </c>
      <c r="F3092" s="382">
        <v>0.0</v>
      </c>
      <c r="G3092" s="382">
        <v>0.0</v>
      </c>
      <c r="H3092" s="382">
        <v>0.0</v>
      </c>
      <c r="I3092" s="382">
        <v>0.0</v>
      </c>
      <c r="J3092" s="382">
        <v>0.0</v>
      </c>
      <c r="K3092" s="382">
        <v>0.0</v>
      </c>
      <c r="L3092" s="382">
        <v>0.0</v>
      </c>
      <c r="M3092" s="382">
        <v>0.0</v>
      </c>
      <c r="N3092" s="382">
        <v>0.0</v>
      </c>
      <c r="O3092" s="382">
        <v>0.0</v>
      </c>
      <c r="P3092" s="382">
        <v>0.0</v>
      </c>
      <c r="Q3092" s="382">
        <v>0.0</v>
      </c>
      <c r="R3092" s="382">
        <v>0.0</v>
      </c>
      <c r="S3092" s="382">
        <v>0.0</v>
      </c>
      <c r="T3092" s="382">
        <v>0.0</v>
      </c>
      <c r="U3092" s="382">
        <v>0.0</v>
      </c>
      <c r="V3092" s="382">
        <v>0.0</v>
      </c>
      <c r="W3092" s="382">
        <v>0.0</v>
      </c>
      <c r="X3092" s="382">
        <v>0.0</v>
      </c>
      <c r="Y3092" s="382">
        <v>0.0</v>
      </c>
      <c r="Z3092" s="382">
        <v>0.0</v>
      </c>
      <c r="AA3092" s="382">
        <v>0.0</v>
      </c>
      <c r="AB3092" s="382">
        <v>0.0</v>
      </c>
      <c r="AC3092" s="382">
        <v>0.0</v>
      </c>
      <c r="AD3092" s="382">
        <v>0.0</v>
      </c>
      <c r="AE3092" s="382">
        <v>0.0</v>
      </c>
      <c r="AF3092" s="382">
        <v>0.0</v>
      </c>
      <c r="AG3092" s="382">
        <v>0.0</v>
      </c>
      <c r="AH3092" s="382">
        <v>0.0</v>
      </c>
      <c r="AI3092" s="382">
        <v>0.0</v>
      </c>
      <c r="AJ3092" s="382">
        <v>0.0</v>
      </c>
      <c r="AK3092" s="382">
        <v>0.0</v>
      </c>
      <c r="AL3092" s="382">
        <v>0.0</v>
      </c>
      <c r="AM3092" s="382">
        <v>0.0</v>
      </c>
      <c r="AN3092" s="382">
        <v>0.0</v>
      </c>
      <c r="AO3092" s="382">
        <v>0.0</v>
      </c>
      <c r="AP3092" s="382">
        <v>0.0</v>
      </c>
      <c r="AQ3092" s="382">
        <v>0.0</v>
      </c>
      <c r="AR3092" s="382">
        <v>0.0</v>
      </c>
      <c r="AS3092" s="382">
        <v>0.0</v>
      </c>
      <c r="AT3092" s="382">
        <v>0.0</v>
      </c>
      <c r="AU3092" s="382">
        <v>0.0</v>
      </c>
      <c r="AV3092" s="382">
        <v>0.0</v>
      </c>
      <c r="AW3092" s="382">
        <v>0.0</v>
      </c>
      <c r="AX3092" s="382">
        <v>0.0</v>
      </c>
      <c r="AY3092" s="382">
        <v>0.0</v>
      </c>
      <c r="AZ3092" s="382">
        <v>0.0</v>
      </c>
      <c r="BA3092" s="382">
        <v>0.0</v>
      </c>
      <c r="BB3092" s="32"/>
      <c r="BC3092" s="32"/>
      <c r="BD3092" s="32"/>
      <c r="BE3092" s="32"/>
      <c r="BF3092" s="32"/>
      <c r="BG3092" s="32"/>
      <c r="BH3092" s="32"/>
      <c r="BI3092" s="32"/>
      <c r="BJ3092" s="32"/>
      <c r="BK3092" s="32"/>
      <c r="BL3092" s="32"/>
      <c r="BM3092" s="32"/>
      <c r="BN3092" s="32"/>
      <c r="BO3092" s="32"/>
      <c r="BP3092" s="32"/>
      <c r="BQ3092" s="32"/>
      <c r="BR3092" s="32"/>
      <c r="BS3092" s="32"/>
      <c r="BT3092" s="32"/>
      <c r="BU3092" s="32"/>
      <c r="BV3092" s="32"/>
      <c r="BW3092" s="32"/>
      <c r="BX3092" s="32"/>
      <c r="BY3092" s="32"/>
      <c r="BZ3092" s="32"/>
      <c r="CA3092" s="32"/>
      <c r="CB3092" s="32"/>
      <c r="CC3092" s="32"/>
      <c r="CD3092" s="32"/>
    </row>
    <row r="3093" ht="15.75" hidden="1" customHeight="1" outlineLevel="1">
      <c r="A3093" s="365"/>
      <c r="B3093" s="381"/>
      <c r="C3093" s="382">
        <v>0.0</v>
      </c>
      <c r="D3093" s="382">
        <v>0.0</v>
      </c>
      <c r="E3093" s="382">
        <v>0.0</v>
      </c>
      <c r="F3093" s="382">
        <v>0.0</v>
      </c>
      <c r="G3093" s="382">
        <v>0.0</v>
      </c>
      <c r="H3093" s="382">
        <v>0.0</v>
      </c>
      <c r="I3093" s="382">
        <v>0.0</v>
      </c>
      <c r="J3093" s="382">
        <v>0.0</v>
      </c>
      <c r="K3093" s="382">
        <v>0.0</v>
      </c>
      <c r="L3093" s="382">
        <v>0.0</v>
      </c>
      <c r="M3093" s="382">
        <v>0.0</v>
      </c>
      <c r="N3093" s="382">
        <v>0.0</v>
      </c>
      <c r="O3093" s="382">
        <v>0.0</v>
      </c>
      <c r="P3093" s="382">
        <v>0.0</v>
      </c>
      <c r="Q3093" s="382">
        <v>0.0</v>
      </c>
      <c r="R3093" s="382">
        <v>0.0</v>
      </c>
      <c r="S3093" s="382">
        <v>0.0</v>
      </c>
      <c r="T3093" s="382">
        <v>0.0</v>
      </c>
      <c r="U3093" s="382">
        <v>0.0</v>
      </c>
      <c r="V3093" s="382">
        <v>0.0</v>
      </c>
      <c r="W3093" s="382">
        <v>0.0</v>
      </c>
      <c r="X3093" s="382">
        <v>0.0</v>
      </c>
      <c r="Y3093" s="382">
        <v>0.0</v>
      </c>
      <c r="Z3093" s="382">
        <v>0.0</v>
      </c>
      <c r="AA3093" s="382">
        <v>0.0</v>
      </c>
      <c r="AB3093" s="382">
        <v>0.0</v>
      </c>
      <c r="AC3093" s="382">
        <v>0.0</v>
      </c>
      <c r="AD3093" s="382">
        <v>0.0</v>
      </c>
      <c r="AE3093" s="382">
        <v>0.0</v>
      </c>
      <c r="AF3093" s="382">
        <v>0.0</v>
      </c>
      <c r="AG3093" s="382">
        <v>0.0</v>
      </c>
      <c r="AH3093" s="382">
        <v>0.0</v>
      </c>
      <c r="AI3093" s="382">
        <v>0.0</v>
      </c>
      <c r="AJ3093" s="382">
        <v>0.0</v>
      </c>
      <c r="AK3093" s="382">
        <v>0.0</v>
      </c>
      <c r="AL3093" s="382">
        <v>0.0</v>
      </c>
      <c r="AM3093" s="382">
        <v>0.0</v>
      </c>
      <c r="AN3093" s="382">
        <v>0.0</v>
      </c>
      <c r="AO3093" s="382">
        <v>0.0</v>
      </c>
      <c r="AP3093" s="382">
        <v>0.0</v>
      </c>
      <c r="AQ3093" s="382">
        <v>0.0</v>
      </c>
      <c r="AR3093" s="382">
        <v>0.0</v>
      </c>
      <c r="AS3093" s="382">
        <v>0.0</v>
      </c>
      <c r="AT3093" s="382">
        <v>0.0</v>
      </c>
      <c r="AU3093" s="382">
        <v>0.0</v>
      </c>
      <c r="AV3093" s="382">
        <v>0.0</v>
      </c>
      <c r="AW3093" s="382">
        <v>0.0</v>
      </c>
      <c r="AX3093" s="382">
        <v>0.0</v>
      </c>
      <c r="AY3093" s="382">
        <v>0.0</v>
      </c>
      <c r="AZ3093" s="382">
        <v>0.0</v>
      </c>
      <c r="BA3093" s="382">
        <v>0.0</v>
      </c>
      <c r="BB3093" s="32"/>
      <c r="BC3093" s="32"/>
      <c r="BD3093" s="32"/>
      <c r="BE3093" s="32"/>
      <c r="BF3093" s="32"/>
      <c r="BG3093" s="32"/>
      <c r="BH3093" s="32"/>
      <c r="BI3093" s="32"/>
      <c r="BJ3093" s="32"/>
      <c r="BK3093" s="32"/>
      <c r="BL3093" s="32"/>
      <c r="BM3093" s="32"/>
      <c r="BN3093" s="32"/>
      <c r="BO3093" s="32"/>
      <c r="BP3093" s="32"/>
      <c r="BQ3093" s="32"/>
      <c r="BR3093" s="32"/>
      <c r="BS3093" s="32"/>
      <c r="BT3093" s="32"/>
      <c r="BU3093" s="32"/>
      <c r="BV3093" s="32"/>
      <c r="BW3093" s="32"/>
      <c r="BX3093" s="32"/>
      <c r="BY3093" s="32"/>
      <c r="BZ3093" s="32"/>
      <c r="CA3093" s="32"/>
      <c r="CB3093" s="32"/>
      <c r="CC3093" s="32"/>
      <c r="CD3093" s="32"/>
    </row>
    <row r="3094" ht="15.75" hidden="1" customHeight="1" outlineLevel="1">
      <c r="A3094" s="365"/>
      <c r="B3094" s="381"/>
      <c r="C3094" s="382">
        <v>0.0</v>
      </c>
      <c r="D3094" s="382">
        <v>0.0</v>
      </c>
      <c r="E3094" s="382">
        <v>0.0</v>
      </c>
      <c r="F3094" s="382">
        <v>0.0</v>
      </c>
      <c r="G3094" s="382">
        <v>0.0</v>
      </c>
      <c r="H3094" s="382">
        <v>0.0</v>
      </c>
      <c r="I3094" s="382">
        <v>0.0</v>
      </c>
      <c r="J3094" s="382">
        <v>0.0</v>
      </c>
      <c r="K3094" s="382">
        <v>0.0</v>
      </c>
      <c r="L3094" s="382">
        <v>0.0</v>
      </c>
      <c r="M3094" s="382">
        <v>0.0</v>
      </c>
      <c r="N3094" s="382">
        <v>0.0</v>
      </c>
      <c r="O3094" s="382">
        <v>0.0</v>
      </c>
      <c r="P3094" s="382">
        <v>0.0</v>
      </c>
      <c r="Q3094" s="382">
        <v>0.0</v>
      </c>
      <c r="R3094" s="382">
        <v>0.0</v>
      </c>
      <c r="S3094" s="382">
        <v>0.0</v>
      </c>
      <c r="T3094" s="382">
        <v>0.0</v>
      </c>
      <c r="U3094" s="382">
        <v>0.0</v>
      </c>
      <c r="V3094" s="382">
        <v>0.0</v>
      </c>
      <c r="W3094" s="382">
        <v>0.0</v>
      </c>
      <c r="X3094" s="382">
        <v>0.0</v>
      </c>
      <c r="Y3094" s="382">
        <v>0.0</v>
      </c>
      <c r="Z3094" s="382">
        <v>0.0</v>
      </c>
      <c r="AA3094" s="382">
        <v>0.0</v>
      </c>
      <c r="AB3094" s="382">
        <v>0.0</v>
      </c>
      <c r="AC3094" s="382">
        <v>0.0</v>
      </c>
      <c r="AD3094" s="382">
        <v>0.0</v>
      </c>
      <c r="AE3094" s="382">
        <v>0.0</v>
      </c>
      <c r="AF3094" s="382">
        <v>0.0</v>
      </c>
      <c r="AG3094" s="382">
        <v>0.0</v>
      </c>
      <c r="AH3094" s="382">
        <v>0.0</v>
      </c>
      <c r="AI3094" s="382">
        <v>0.0</v>
      </c>
      <c r="AJ3094" s="382">
        <v>0.0</v>
      </c>
      <c r="AK3094" s="382">
        <v>0.0</v>
      </c>
      <c r="AL3094" s="382">
        <v>0.0</v>
      </c>
      <c r="AM3094" s="382">
        <v>0.0</v>
      </c>
      <c r="AN3094" s="382">
        <v>0.0</v>
      </c>
      <c r="AO3094" s="382">
        <v>0.0</v>
      </c>
      <c r="AP3094" s="382">
        <v>0.0</v>
      </c>
      <c r="AQ3094" s="382">
        <v>0.0</v>
      </c>
      <c r="AR3094" s="382">
        <v>0.0</v>
      </c>
      <c r="AS3094" s="382">
        <v>0.0</v>
      </c>
      <c r="AT3094" s="382">
        <v>0.0</v>
      </c>
      <c r="AU3094" s="382">
        <v>0.0</v>
      </c>
      <c r="AV3094" s="382">
        <v>0.0</v>
      </c>
      <c r="AW3094" s="382">
        <v>0.0</v>
      </c>
      <c r="AX3094" s="382">
        <v>0.0</v>
      </c>
      <c r="AY3094" s="382">
        <v>0.0</v>
      </c>
      <c r="AZ3094" s="382">
        <v>0.0</v>
      </c>
      <c r="BA3094" s="382">
        <v>0.0</v>
      </c>
      <c r="BB3094" s="32"/>
      <c r="BC3094" s="32"/>
      <c r="BD3094" s="32"/>
      <c r="BE3094" s="32"/>
      <c r="BF3094" s="32"/>
      <c r="BG3094" s="32"/>
      <c r="BH3094" s="32"/>
      <c r="BI3094" s="32"/>
      <c r="BJ3094" s="32"/>
      <c r="BK3094" s="32"/>
      <c r="BL3094" s="32"/>
      <c r="BM3094" s="32"/>
      <c r="BN3094" s="32"/>
      <c r="BO3094" s="32"/>
      <c r="BP3094" s="32"/>
      <c r="BQ3094" s="32"/>
      <c r="BR3094" s="32"/>
      <c r="BS3094" s="32"/>
      <c r="BT3094" s="32"/>
      <c r="BU3094" s="32"/>
      <c r="BV3094" s="32"/>
      <c r="BW3094" s="32"/>
      <c r="BX3094" s="32"/>
      <c r="BY3094" s="32"/>
      <c r="BZ3094" s="32"/>
      <c r="CA3094" s="32"/>
      <c r="CB3094" s="32"/>
      <c r="CC3094" s="32"/>
      <c r="CD3094" s="32"/>
    </row>
    <row r="3095" ht="15.75" hidden="1" customHeight="1" outlineLevel="1">
      <c r="A3095" s="365"/>
      <c r="B3095" s="381"/>
      <c r="C3095" s="382">
        <v>0.0</v>
      </c>
      <c r="D3095" s="382">
        <v>0.0</v>
      </c>
      <c r="E3095" s="382">
        <v>0.0</v>
      </c>
      <c r="F3095" s="382">
        <v>0.0</v>
      </c>
      <c r="G3095" s="382">
        <v>0.0</v>
      </c>
      <c r="H3095" s="382">
        <v>0.0</v>
      </c>
      <c r="I3095" s="382">
        <v>0.0</v>
      </c>
      <c r="J3095" s="382">
        <v>0.0</v>
      </c>
      <c r="K3095" s="382">
        <v>0.0</v>
      </c>
      <c r="L3095" s="382">
        <v>0.0</v>
      </c>
      <c r="M3095" s="382">
        <v>0.0</v>
      </c>
      <c r="N3095" s="382">
        <v>0.0</v>
      </c>
      <c r="O3095" s="382">
        <v>0.0</v>
      </c>
      <c r="P3095" s="382">
        <v>0.0</v>
      </c>
      <c r="Q3095" s="382">
        <v>0.0</v>
      </c>
      <c r="R3095" s="382">
        <v>0.0</v>
      </c>
      <c r="S3095" s="382">
        <v>0.0</v>
      </c>
      <c r="T3095" s="382">
        <v>0.0</v>
      </c>
      <c r="U3095" s="382">
        <v>0.0</v>
      </c>
      <c r="V3095" s="382">
        <v>0.0</v>
      </c>
      <c r="W3095" s="382">
        <v>0.0</v>
      </c>
      <c r="X3095" s="382">
        <v>0.0</v>
      </c>
      <c r="Y3095" s="382">
        <v>0.0</v>
      </c>
      <c r="Z3095" s="382">
        <v>0.0</v>
      </c>
      <c r="AA3095" s="382">
        <v>0.0</v>
      </c>
      <c r="AB3095" s="382">
        <v>0.0</v>
      </c>
      <c r="AC3095" s="382">
        <v>0.0</v>
      </c>
      <c r="AD3095" s="382">
        <v>0.0</v>
      </c>
      <c r="AE3095" s="382">
        <v>0.0</v>
      </c>
      <c r="AF3095" s="382">
        <v>0.0</v>
      </c>
      <c r="AG3095" s="382">
        <v>0.0</v>
      </c>
      <c r="AH3095" s="382">
        <v>0.0</v>
      </c>
      <c r="AI3095" s="382">
        <v>0.0</v>
      </c>
      <c r="AJ3095" s="382">
        <v>0.0</v>
      </c>
      <c r="AK3095" s="382">
        <v>0.0</v>
      </c>
      <c r="AL3095" s="382">
        <v>0.0</v>
      </c>
      <c r="AM3095" s="382">
        <v>0.0</v>
      </c>
      <c r="AN3095" s="382">
        <v>0.0</v>
      </c>
      <c r="AO3095" s="382">
        <v>0.0</v>
      </c>
      <c r="AP3095" s="382">
        <v>0.0</v>
      </c>
      <c r="AQ3095" s="382">
        <v>0.0</v>
      </c>
      <c r="AR3095" s="382">
        <v>0.0</v>
      </c>
      <c r="AS3095" s="382">
        <v>0.0</v>
      </c>
      <c r="AT3095" s="382">
        <v>0.0</v>
      </c>
      <c r="AU3095" s="382">
        <v>0.0</v>
      </c>
      <c r="AV3095" s="382">
        <v>0.0</v>
      </c>
      <c r="AW3095" s="382">
        <v>0.0</v>
      </c>
      <c r="AX3095" s="382">
        <v>0.0</v>
      </c>
      <c r="AY3095" s="382">
        <v>0.0</v>
      </c>
      <c r="AZ3095" s="382">
        <v>0.0</v>
      </c>
      <c r="BA3095" s="382">
        <v>0.0</v>
      </c>
      <c r="BB3095" s="32"/>
      <c r="BC3095" s="32"/>
      <c r="BD3095" s="32"/>
      <c r="BE3095" s="32"/>
      <c r="BF3095" s="32"/>
      <c r="BG3095" s="32"/>
      <c r="BH3095" s="32"/>
      <c r="BI3095" s="32"/>
      <c r="BJ3095" s="32"/>
      <c r="BK3095" s="32"/>
      <c r="BL3095" s="32"/>
      <c r="BM3095" s="32"/>
      <c r="BN3095" s="32"/>
      <c r="BO3095" s="32"/>
      <c r="BP3095" s="32"/>
      <c r="BQ3095" s="32"/>
      <c r="BR3095" s="32"/>
      <c r="BS3095" s="32"/>
      <c r="BT3095" s="32"/>
      <c r="BU3095" s="32"/>
      <c r="BV3095" s="32"/>
      <c r="BW3095" s="32"/>
      <c r="BX3095" s="32"/>
      <c r="BY3095" s="32"/>
      <c r="BZ3095" s="32"/>
      <c r="CA3095" s="32"/>
      <c r="CB3095" s="32"/>
      <c r="CC3095" s="32"/>
      <c r="CD3095" s="32"/>
    </row>
    <row r="3096" ht="15.75" hidden="1" customHeight="1" outlineLevel="1">
      <c r="A3096" s="365"/>
      <c r="B3096" s="381"/>
      <c r="C3096" s="382">
        <v>0.0</v>
      </c>
      <c r="D3096" s="382">
        <v>0.0</v>
      </c>
      <c r="E3096" s="382">
        <v>0.0</v>
      </c>
      <c r="F3096" s="382">
        <v>0.0</v>
      </c>
      <c r="G3096" s="382">
        <v>0.0</v>
      </c>
      <c r="H3096" s="382">
        <v>0.0</v>
      </c>
      <c r="I3096" s="382">
        <v>0.0</v>
      </c>
      <c r="J3096" s="382">
        <v>0.0</v>
      </c>
      <c r="K3096" s="382">
        <v>0.0</v>
      </c>
      <c r="L3096" s="382">
        <v>0.0</v>
      </c>
      <c r="M3096" s="382">
        <v>0.0</v>
      </c>
      <c r="N3096" s="382">
        <v>0.0</v>
      </c>
      <c r="O3096" s="382">
        <v>0.0</v>
      </c>
      <c r="P3096" s="382">
        <v>0.0</v>
      </c>
      <c r="Q3096" s="382">
        <v>0.0</v>
      </c>
      <c r="R3096" s="382">
        <v>0.0</v>
      </c>
      <c r="S3096" s="382">
        <v>0.0</v>
      </c>
      <c r="T3096" s="382">
        <v>0.0</v>
      </c>
      <c r="U3096" s="382">
        <v>0.0</v>
      </c>
      <c r="V3096" s="382">
        <v>0.0</v>
      </c>
      <c r="W3096" s="382">
        <v>0.0</v>
      </c>
      <c r="X3096" s="382">
        <v>0.0</v>
      </c>
      <c r="Y3096" s="382">
        <v>0.0</v>
      </c>
      <c r="Z3096" s="382">
        <v>0.0</v>
      </c>
      <c r="AA3096" s="382">
        <v>0.0</v>
      </c>
      <c r="AB3096" s="382">
        <v>0.0</v>
      </c>
      <c r="AC3096" s="382">
        <v>0.0</v>
      </c>
      <c r="AD3096" s="382">
        <v>0.0</v>
      </c>
      <c r="AE3096" s="382">
        <v>0.0</v>
      </c>
      <c r="AF3096" s="382">
        <v>0.0</v>
      </c>
      <c r="AG3096" s="382">
        <v>0.0</v>
      </c>
      <c r="AH3096" s="382">
        <v>0.0</v>
      </c>
      <c r="AI3096" s="382">
        <v>0.0</v>
      </c>
      <c r="AJ3096" s="382">
        <v>0.0</v>
      </c>
      <c r="AK3096" s="382">
        <v>0.0</v>
      </c>
      <c r="AL3096" s="382">
        <v>0.0</v>
      </c>
      <c r="AM3096" s="382">
        <v>0.0</v>
      </c>
      <c r="AN3096" s="382">
        <v>0.0</v>
      </c>
      <c r="AO3096" s="382">
        <v>0.0</v>
      </c>
      <c r="AP3096" s="382">
        <v>0.0</v>
      </c>
      <c r="AQ3096" s="382">
        <v>0.0</v>
      </c>
      <c r="AR3096" s="382">
        <v>0.0</v>
      </c>
      <c r="AS3096" s="382">
        <v>0.0</v>
      </c>
      <c r="AT3096" s="382">
        <v>0.0</v>
      </c>
      <c r="AU3096" s="382">
        <v>0.0</v>
      </c>
      <c r="AV3096" s="382">
        <v>0.0</v>
      </c>
      <c r="AW3096" s="382">
        <v>0.0</v>
      </c>
      <c r="AX3096" s="382">
        <v>0.0</v>
      </c>
      <c r="AY3096" s="382">
        <v>0.0</v>
      </c>
      <c r="AZ3096" s="382">
        <v>0.0</v>
      </c>
      <c r="BA3096" s="382">
        <v>0.0</v>
      </c>
      <c r="BB3096" s="32"/>
      <c r="BC3096" s="32"/>
      <c r="BD3096" s="32"/>
      <c r="BE3096" s="32"/>
      <c r="BF3096" s="32"/>
      <c r="BG3096" s="32"/>
      <c r="BH3096" s="32"/>
      <c r="BI3096" s="32"/>
      <c r="BJ3096" s="32"/>
      <c r="BK3096" s="32"/>
      <c r="BL3096" s="32"/>
      <c r="BM3096" s="32"/>
      <c r="BN3096" s="32"/>
      <c r="BO3096" s="32"/>
      <c r="BP3096" s="32"/>
      <c r="BQ3096" s="32"/>
      <c r="BR3096" s="32"/>
      <c r="BS3096" s="32"/>
      <c r="BT3096" s="32"/>
      <c r="BU3096" s="32"/>
      <c r="BV3096" s="32"/>
      <c r="BW3096" s="32"/>
      <c r="BX3096" s="32"/>
      <c r="BY3096" s="32"/>
      <c r="BZ3096" s="32"/>
      <c r="CA3096" s="32"/>
      <c r="CB3096" s="32"/>
      <c r="CC3096" s="32"/>
      <c r="CD3096" s="32"/>
    </row>
    <row r="3097" ht="15.75" hidden="1" customHeight="1" outlineLevel="1">
      <c r="A3097" s="365"/>
      <c r="B3097" s="381"/>
      <c r="C3097" s="382">
        <v>0.0</v>
      </c>
      <c r="D3097" s="382">
        <v>0.0</v>
      </c>
      <c r="E3097" s="382">
        <v>0.0</v>
      </c>
      <c r="F3097" s="382">
        <v>0.0</v>
      </c>
      <c r="G3097" s="382">
        <v>0.0</v>
      </c>
      <c r="H3097" s="382">
        <v>0.0</v>
      </c>
      <c r="I3097" s="382">
        <v>0.0</v>
      </c>
      <c r="J3097" s="382">
        <v>0.0</v>
      </c>
      <c r="K3097" s="382">
        <v>0.0</v>
      </c>
      <c r="L3097" s="382">
        <v>0.0</v>
      </c>
      <c r="M3097" s="382">
        <v>0.0</v>
      </c>
      <c r="N3097" s="382">
        <v>0.0</v>
      </c>
      <c r="O3097" s="382">
        <v>0.0</v>
      </c>
      <c r="P3097" s="382">
        <v>0.0</v>
      </c>
      <c r="Q3097" s="382">
        <v>0.0</v>
      </c>
      <c r="R3097" s="382">
        <v>0.0</v>
      </c>
      <c r="S3097" s="382">
        <v>0.0</v>
      </c>
      <c r="T3097" s="382">
        <v>0.0</v>
      </c>
      <c r="U3097" s="382">
        <v>0.0</v>
      </c>
      <c r="V3097" s="382">
        <v>0.0</v>
      </c>
      <c r="W3097" s="382">
        <v>0.0</v>
      </c>
      <c r="X3097" s="382">
        <v>0.0</v>
      </c>
      <c r="Y3097" s="382">
        <v>0.0</v>
      </c>
      <c r="Z3097" s="382">
        <v>0.0</v>
      </c>
      <c r="AA3097" s="382">
        <v>0.0</v>
      </c>
      <c r="AB3097" s="382">
        <v>0.0</v>
      </c>
      <c r="AC3097" s="382">
        <v>0.0</v>
      </c>
      <c r="AD3097" s="382">
        <v>0.0</v>
      </c>
      <c r="AE3097" s="382">
        <v>0.0</v>
      </c>
      <c r="AF3097" s="382">
        <v>0.0</v>
      </c>
      <c r="AG3097" s="382">
        <v>0.0</v>
      </c>
      <c r="AH3097" s="382">
        <v>0.0</v>
      </c>
      <c r="AI3097" s="382">
        <v>0.0</v>
      </c>
      <c r="AJ3097" s="382">
        <v>0.0</v>
      </c>
      <c r="AK3097" s="382">
        <v>0.0</v>
      </c>
      <c r="AL3097" s="382">
        <v>0.0</v>
      </c>
      <c r="AM3097" s="382">
        <v>0.0</v>
      </c>
      <c r="AN3097" s="382">
        <v>0.0</v>
      </c>
      <c r="AO3097" s="382">
        <v>0.0</v>
      </c>
      <c r="AP3097" s="382">
        <v>0.0</v>
      </c>
      <c r="AQ3097" s="382">
        <v>0.0</v>
      </c>
      <c r="AR3097" s="382">
        <v>0.0</v>
      </c>
      <c r="AS3097" s="382">
        <v>0.0</v>
      </c>
      <c r="AT3097" s="382">
        <v>0.0</v>
      </c>
      <c r="AU3097" s="382">
        <v>0.0</v>
      </c>
      <c r="AV3097" s="382">
        <v>0.0</v>
      </c>
      <c r="AW3097" s="382">
        <v>0.0</v>
      </c>
      <c r="AX3097" s="382">
        <v>0.0</v>
      </c>
      <c r="AY3097" s="382">
        <v>0.0</v>
      </c>
      <c r="AZ3097" s="382">
        <v>0.0</v>
      </c>
      <c r="BA3097" s="382">
        <v>0.0</v>
      </c>
      <c r="BB3097" s="32"/>
      <c r="BC3097" s="32"/>
      <c r="BD3097" s="32"/>
      <c r="BE3097" s="32"/>
      <c r="BF3097" s="32"/>
      <c r="BG3097" s="32"/>
      <c r="BH3097" s="32"/>
      <c r="BI3097" s="32"/>
      <c r="BJ3097" s="32"/>
      <c r="BK3097" s="32"/>
      <c r="BL3097" s="32"/>
      <c r="BM3097" s="32"/>
      <c r="BN3097" s="32"/>
      <c r="BO3097" s="32"/>
      <c r="BP3097" s="32"/>
      <c r="BQ3097" s="32"/>
      <c r="BR3097" s="32"/>
      <c r="BS3097" s="32"/>
      <c r="BT3097" s="32"/>
      <c r="BU3097" s="32"/>
      <c r="BV3097" s="32"/>
      <c r="BW3097" s="32"/>
      <c r="BX3097" s="32"/>
      <c r="BY3097" s="32"/>
      <c r="BZ3097" s="32"/>
      <c r="CA3097" s="32"/>
      <c r="CB3097" s="32"/>
      <c r="CC3097" s="32"/>
      <c r="CD3097" s="32"/>
    </row>
    <row r="3098" ht="15.75" hidden="1" customHeight="1" outlineLevel="1">
      <c r="A3098" s="365"/>
      <c r="B3098" s="381"/>
      <c r="C3098" s="382">
        <v>0.0</v>
      </c>
      <c r="D3098" s="382">
        <v>0.0</v>
      </c>
      <c r="E3098" s="382">
        <v>0.0</v>
      </c>
      <c r="F3098" s="382">
        <v>0.0</v>
      </c>
      <c r="G3098" s="382">
        <v>0.0</v>
      </c>
      <c r="H3098" s="382">
        <v>0.0</v>
      </c>
      <c r="I3098" s="382">
        <v>0.0</v>
      </c>
      <c r="J3098" s="382">
        <v>0.0</v>
      </c>
      <c r="K3098" s="382">
        <v>0.0</v>
      </c>
      <c r="L3098" s="382">
        <v>0.0</v>
      </c>
      <c r="M3098" s="382">
        <v>0.0</v>
      </c>
      <c r="N3098" s="382">
        <v>0.0</v>
      </c>
      <c r="O3098" s="382">
        <v>0.0</v>
      </c>
      <c r="P3098" s="382">
        <v>0.0</v>
      </c>
      <c r="Q3098" s="382">
        <v>0.0</v>
      </c>
      <c r="R3098" s="382">
        <v>0.0</v>
      </c>
      <c r="S3098" s="382">
        <v>0.0</v>
      </c>
      <c r="T3098" s="382">
        <v>0.0</v>
      </c>
      <c r="U3098" s="382">
        <v>0.0</v>
      </c>
      <c r="V3098" s="382">
        <v>0.0</v>
      </c>
      <c r="W3098" s="382">
        <v>0.0</v>
      </c>
      <c r="X3098" s="382">
        <v>0.0</v>
      </c>
      <c r="Y3098" s="382">
        <v>0.0</v>
      </c>
      <c r="Z3098" s="382">
        <v>0.0</v>
      </c>
      <c r="AA3098" s="382">
        <v>0.0</v>
      </c>
      <c r="AB3098" s="382">
        <v>0.0</v>
      </c>
      <c r="AC3098" s="382">
        <v>0.0</v>
      </c>
      <c r="AD3098" s="382">
        <v>0.0</v>
      </c>
      <c r="AE3098" s="382">
        <v>0.0</v>
      </c>
      <c r="AF3098" s="382">
        <v>0.0</v>
      </c>
      <c r="AG3098" s="382">
        <v>0.0</v>
      </c>
      <c r="AH3098" s="382">
        <v>0.0</v>
      </c>
      <c r="AI3098" s="382">
        <v>0.0</v>
      </c>
      <c r="AJ3098" s="382">
        <v>0.0</v>
      </c>
      <c r="AK3098" s="382">
        <v>0.0</v>
      </c>
      <c r="AL3098" s="382">
        <v>0.0</v>
      </c>
      <c r="AM3098" s="382">
        <v>0.0</v>
      </c>
      <c r="AN3098" s="382">
        <v>0.0</v>
      </c>
      <c r="AO3098" s="382">
        <v>0.0</v>
      </c>
      <c r="AP3098" s="382">
        <v>0.0</v>
      </c>
      <c r="AQ3098" s="382">
        <v>0.0</v>
      </c>
      <c r="AR3098" s="382">
        <v>0.0</v>
      </c>
      <c r="AS3098" s="382">
        <v>0.0</v>
      </c>
      <c r="AT3098" s="382">
        <v>0.0</v>
      </c>
      <c r="AU3098" s="382">
        <v>0.0</v>
      </c>
      <c r="AV3098" s="382">
        <v>0.0</v>
      </c>
      <c r="AW3098" s="382">
        <v>0.0</v>
      </c>
      <c r="AX3098" s="382">
        <v>0.0</v>
      </c>
      <c r="AY3098" s="382">
        <v>0.0</v>
      </c>
      <c r="AZ3098" s="382">
        <v>0.0</v>
      </c>
      <c r="BA3098" s="382">
        <v>0.0</v>
      </c>
      <c r="BB3098" s="32"/>
      <c r="BC3098" s="32"/>
      <c r="BD3098" s="32"/>
      <c r="BE3098" s="32"/>
      <c r="BF3098" s="32"/>
      <c r="BG3098" s="32"/>
      <c r="BH3098" s="32"/>
      <c r="BI3098" s="32"/>
      <c r="BJ3098" s="32"/>
      <c r="BK3098" s="32"/>
      <c r="BL3098" s="32"/>
      <c r="BM3098" s="32"/>
      <c r="BN3098" s="32"/>
      <c r="BO3098" s="32"/>
      <c r="BP3098" s="32"/>
      <c r="BQ3098" s="32"/>
      <c r="BR3098" s="32"/>
      <c r="BS3098" s="32"/>
      <c r="BT3098" s="32"/>
      <c r="BU3098" s="32"/>
      <c r="BV3098" s="32"/>
      <c r="BW3098" s="32"/>
      <c r="BX3098" s="32"/>
      <c r="BY3098" s="32"/>
      <c r="BZ3098" s="32"/>
      <c r="CA3098" s="32"/>
      <c r="CB3098" s="32"/>
      <c r="CC3098" s="32"/>
      <c r="CD3098" s="32"/>
    </row>
    <row r="3099" ht="15.75" hidden="1" customHeight="1" outlineLevel="1">
      <c r="A3099" s="365"/>
      <c r="B3099" s="381"/>
      <c r="C3099" s="382">
        <v>0.0</v>
      </c>
      <c r="D3099" s="382">
        <v>0.0</v>
      </c>
      <c r="E3099" s="382">
        <v>0.0</v>
      </c>
      <c r="F3099" s="382">
        <v>0.0</v>
      </c>
      <c r="G3099" s="382">
        <v>0.0</v>
      </c>
      <c r="H3099" s="382">
        <v>0.0</v>
      </c>
      <c r="I3099" s="382">
        <v>0.0</v>
      </c>
      <c r="J3099" s="382">
        <v>0.0</v>
      </c>
      <c r="K3099" s="382">
        <v>0.0</v>
      </c>
      <c r="L3099" s="382">
        <v>0.0</v>
      </c>
      <c r="M3099" s="382">
        <v>0.0</v>
      </c>
      <c r="N3099" s="382">
        <v>0.0</v>
      </c>
      <c r="O3099" s="382">
        <v>0.0</v>
      </c>
      <c r="P3099" s="382">
        <v>0.0</v>
      </c>
      <c r="Q3099" s="382">
        <v>0.0</v>
      </c>
      <c r="R3099" s="382">
        <v>0.0</v>
      </c>
      <c r="S3099" s="382">
        <v>0.0</v>
      </c>
      <c r="T3099" s="382">
        <v>0.0</v>
      </c>
      <c r="U3099" s="382">
        <v>0.0</v>
      </c>
      <c r="V3099" s="382">
        <v>0.0</v>
      </c>
      <c r="W3099" s="382">
        <v>0.0</v>
      </c>
      <c r="X3099" s="382">
        <v>0.0</v>
      </c>
      <c r="Y3099" s="382">
        <v>0.0</v>
      </c>
      <c r="Z3099" s="382">
        <v>0.0</v>
      </c>
      <c r="AA3099" s="382">
        <v>0.0</v>
      </c>
      <c r="AB3099" s="382">
        <v>0.0</v>
      </c>
      <c r="AC3099" s="382">
        <v>0.0</v>
      </c>
      <c r="AD3099" s="382">
        <v>0.0</v>
      </c>
      <c r="AE3099" s="382">
        <v>0.0</v>
      </c>
      <c r="AF3099" s="382">
        <v>0.0</v>
      </c>
      <c r="AG3099" s="382">
        <v>0.0</v>
      </c>
      <c r="AH3099" s="382">
        <v>0.0</v>
      </c>
      <c r="AI3099" s="382">
        <v>0.0</v>
      </c>
      <c r="AJ3099" s="382">
        <v>0.0</v>
      </c>
      <c r="AK3099" s="382">
        <v>0.0</v>
      </c>
      <c r="AL3099" s="382">
        <v>0.0</v>
      </c>
      <c r="AM3099" s="382">
        <v>0.0</v>
      </c>
      <c r="AN3099" s="382">
        <v>0.0</v>
      </c>
      <c r="AO3099" s="382">
        <v>0.0</v>
      </c>
      <c r="AP3099" s="382">
        <v>0.0</v>
      </c>
      <c r="AQ3099" s="382">
        <v>0.0</v>
      </c>
      <c r="AR3099" s="382">
        <v>0.0</v>
      </c>
      <c r="AS3099" s="382">
        <v>0.0</v>
      </c>
      <c r="AT3099" s="382">
        <v>0.0</v>
      </c>
      <c r="AU3099" s="382">
        <v>0.0</v>
      </c>
      <c r="AV3099" s="382">
        <v>0.0</v>
      </c>
      <c r="AW3099" s="382">
        <v>0.0</v>
      </c>
      <c r="AX3099" s="382">
        <v>0.0</v>
      </c>
      <c r="AY3099" s="382">
        <v>0.0</v>
      </c>
      <c r="AZ3099" s="382">
        <v>0.0</v>
      </c>
      <c r="BA3099" s="382">
        <v>0.0</v>
      </c>
      <c r="BB3099" s="32"/>
      <c r="BC3099" s="32"/>
      <c r="BD3099" s="32"/>
      <c r="BE3099" s="32"/>
      <c r="BF3099" s="32"/>
      <c r="BG3099" s="32"/>
      <c r="BH3099" s="32"/>
      <c r="BI3099" s="32"/>
      <c r="BJ3099" s="32"/>
      <c r="BK3099" s="32"/>
      <c r="BL3099" s="32"/>
      <c r="BM3099" s="32"/>
      <c r="BN3099" s="32"/>
      <c r="BO3099" s="32"/>
      <c r="BP3099" s="32"/>
      <c r="BQ3099" s="32"/>
      <c r="BR3099" s="32"/>
      <c r="BS3099" s="32"/>
      <c r="BT3099" s="32"/>
      <c r="BU3099" s="32"/>
      <c r="BV3099" s="32"/>
      <c r="BW3099" s="32"/>
      <c r="BX3099" s="32"/>
      <c r="BY3099" s="32"/>
      <c r="BZ3099" s="32"/>
      <c r="CA3099" s="32"/>
      <c r="CB3099" s="32"/>
      <c r="CC3099" s="32"/>
      <c r="CD3099" s="32"/>
    </row>
    <row r="3100" ht="15.75" hidden="1" customHeight="1" outlineLevel="1">
      <c r="A3100" s="365"/>
      <c r="B3100" s="381"/>
      <c r="C3100" s="382">
        <v>0.0</v>
      </c>
      <c r="D3100" s="382">
        <v>0.0</v>
      </c>
      <c r="E3100" s="382">
        <v>0.0</v>
      </c>
      <c r="F3100" s="382">
        <v>0.0</v>
      </c>
      <c r="G3100" s="382">
        <v>0.0</v>
      </c>
      <c r="H3100" s="382">
        <v>0.0</v>
      </c>
      <c r="I3100" s="382">
        <v>0.0</v>
      </c>
      <c r="J3100" s="382">
        <v>0.0</v>
      </c>
      <c r="K3100" s="382">
        <v>0.0</v>
      </c>
      <c r="L3100" s="382">
        <v>0.0</v>
      </c>
      <c r="M3100" s="382">
        <v>0.0</v>
      </c>
      <c r="N3100" s="382">
        <v>0.0</v>
      </c>
      <c r="O3100" s="382">
        <v>0.0</v>
      </c>
      <c r="P3100" s="382">
        <v>0.0</v>
      </c>
      <c r="Q3100" s="382">
        <v>0.0</v>
      </c>
      <c r="R3100" s="382">
        <v>0.0</v>
      </c>
      <c r="S3100" s="382">
        <v>0.0</v>
      </c>
      <c r="T3100" s="382">
        <v>0.0</v>
      </c>
      <c r="U3100" s="382">
        <v>0.0</v>
      </c>
      <c r="V3100" s="382">
        <v>0.0</v>
      </c>
      <c r="W3100" s="382">
        <v>0.0</v>
      </c>
      <c r="X3100" s="382">
        <v>0.0</v>
      </c>
      <c r="Y3100" s="382">
        <v>0.0</v>
      </c>
      <c r="Z3100" s="382">
        <v>0.0</v>
      </c>
      <c r="AA3100" s="382">
        <v>0.0</v>
      </c>
      <c r="AB3100" s="382">
        <v>0.0</v>
      </c>
      <c r="AC3100" s="382">
        <v>0.0</v>
      </c>
      <c r="AD3100" s="382">
        <v>0.0</v>
      </c>
      <c r="AE3100" s="382">
        <v>0.0</v>
      </c>
      <c r="AF3100" s="382">
        <v>0.0</v>
      </c>
      <c r="AG3100" s="382">
        <v>0.0</v>
      </c>
      <c r="AH3100" s="382">
        <v>0.0</v>
      </c>
      <c r="AI3100" s="382">
        <v>0.0</v>
      </c>
      <c r="AJ3100" s="382">
        <v>0.0</v>
      </c>
      <c r="AK3100" s="382">
        <v>0.0</v>
      </c>
      <c r="AL3100" s="382">
        <v>0.0</v>
      </c>
      <c r="AM3100" s="382">
        <v>0.0</v>
      </c>
      <c r="AN3100" s="382">
        <v>0.0</v>
      </c>
      <c r="AO3100" s="382">
        <v>0.0</v>
      </c>
      <c r="AP3100" s="382">
        <v>0.0</v>
      </c>
      <c r="AQ3100" s="382">
        <v>0.0</v>
      </c>
      <c r="AR3100" s="382">
        <v>0.0</v>
      </c>
      <c r="AS3100" s="382">
        <v>0.0</v>
      </c>
      <c r="AT3100" s="382">
        <v>0.0</v>
      </c>
      <c r="AU3100" s="382">
        <v>0.0</v>
      </c>
      <c r="AV3100" s="382">
        <v>0.0</v>
      </c>
      <c r="AW3100" s="382">
        <v>0.0</v>
      </c>
      <c r="AX3100" s="382">
        <v>0.0</v>
      </c>
      <c r="AY3100" s="382">
        <v>0.0</v>
      </c>
      <c r="AZ3100" s="382">
        <v>0.0</v>
      </c>
      <c r="BA3100" s="382">
        <v>0.0</v>
      </c>
      <c r="BB3100" s="32"/>
      <c r="BC3100" s="32"/>
      <c r="BD3100" s="32"/>
      <c r="BE3100" s="32"/>
      <c r="BF3100" s="32"/>
      <c r="BG3100" s="32"/>
      <c r="BH3100" s="32"/>
      <c r="BI3100" s="32"/>
      <c r="BJ3100" s="32"/>
      <c r="BK3100" s="32"/>
      <c r="BL3100" s="32"/>
      <c r="BM3100" s="32"/>
      <c r="BN3100" s="32"/>
      <c r="BO3100" s="32"/>
      <c r="BP3100" s="32"/>
      <c r="BQ3100" s="32"/>
      <c r="BR3100" s="32"/>
      <c r="BS3100" s="32"/>
      <c r="BT3100" s="32"/>
      <c r="BU3100" s="32"/>
      <c r="BV3100" s="32"/>
      <c r="BW3100" s="32"/>
      <c r="BX3100" s="32"/>
      <c r="BY3100" s="32"/>
      <c r="BZ3100" s="32"/>
      <c r="CA3100" s="32"/>
      <c r="CB3100" s="32"/>
      <c r="CC3100" s="32"/>
      <c r="CD3100" s="32"/>
    </row>
    <row r="3101" ht="15.75" hidden="1" customHeight="1" outlineLevel="1">
      <c r="A3101" s="365"/>
      <c r="B3101" s="381"/>
      <c r="C3101" s="382">
        <v>0.0</v>
      </c>
      <c r="D3101" s="382">
        <v>0.0</v>
      </c>
      <c r="E3101" s="382">
        <v>0.0</v>
      </c>
      <c r="F3101" s="382">
        <v>0.0</v>
      </c>
      <c r="G3101" s="382">
        <v>0.0</v>
      </c>
      <c r="H3101" s="382">
        <v>0.0</v>
      </c>
      <c r="I3101" s="382">
        <v>0.0</v>
      </c>
      <c r="J3101" s="382">
        <v>0.0</v>
      </c>
      <c r="K3101" s="382">
        <v>0.0</v>
      </c>
      <c r="L3101" s="382">
        <v>0.0</v>
      </c>
      <c r="M3101" s="382">
        <v>0.0</v>
      </c>
      <c r="N3101" s="382">
        <v>0.0</v>
      </c>
      <c r="O3101" s="382">
        <v>0.0</v>
      </c>
      <c r="P3101" s="382">
        <v>0.0</v>
      </c>
      <c r="Q3101" s="382">
        <v>0.0</v>
      </c>
      <c r="R3101" s="382">
        <v>0.0</v>
      </c>
      <c r="S3101" s="382">
        <v>0.0</v>
      </c>
      <c r="T3101" s="382">
        <v>0.0</v>
      </c>
      <c r="U3101" s="382">
        <v>0.0</v>
      </c>
      <c r="V3101" s="382">
        <v>0.0</v>
      </c>
      <c r="W3101" s="382">
        <v>0.0</v>
      </c>
      <c r="X3101" s="382">
        <v>0.0</v>
      </c>
      <c r="Y3101" s="382">
        <v>0.0</v>
      </c>
      <c r="Z3101" s="382">
        <v>0.0</v>
      </c>
      <c r="AA3101" s="382">
        <v>0.0</v>
      </c>
      <c r="AB3101" s="382">
        <v>0.0</v>
      </c>
      <c r="AC3101" s="382">
        <v>0.0</v>
      </c>
      <c r="AD3101" s="382">
        <v>0.0</v>
      </c>
      <c r="AE3101" s="382">
        <v>0.0</v>
      </c>
      <c r="AF3101" s="382">
        <v>0.0</v>
      </c>
      <c r="AG3101" s="382">
        <v>0.0</v>
      </c>
      <c r="AH3101" s="382">
        <v>0.0</v>
      </c>
      <c r="AI3101" s="382">
        <v>0.0</v>
      </c>
      <c r="AJ3101" s="382">
        <v>0.0</v>
      </c>
      <c r="AK3101" s="382">
        <v>0.0</v>
      </c>
      <c r="AL3101" s="382">
        <v>0.0</v>
      </c>
      <c r="AM3101" s="382">
        <v>0.0</v>
      </c>
      <c r="AN3101" s="382">
        <v>0.0</v>
      </c>
      <c r="AO3101" s="382">
        <v>0.0</v>
      </c>
      <c r="AP3101" s="382">
        <v>0.0</v>
      </c>
      <c r="AQ3101" s="382">
        <v>0.0</v>
      </c>
      <c r="AR3101" s="382">
        <v>0.0</v>
      </c>
      <c r="AS3101" s="382">
        <v>0.0</v>
      </c>
      <c r="AT3101" s="382">
        <v>0.0</v>
      </c>
      <c r="AU3101" s="382">
        <v>0.0</v>
      </c>
      <c r="AV3101" s="382">
        <v>0.0</v>
      </c>
      <c r="AW3101" s="382">
        <v>0.0</v>
      </c>
      <c r="AX3101" s="382">
        <v>0.0</v>
      </c>
      <c r="AY3101" s="382">
        <v>0.0</v>
      </c>
      <c r="AZ3101" s="382">
        <v>0.0</v>
      </c>
      <c r="BA3101" s="382">
        <v>0.0</v>
      </c>
      <c r="BB3101" s="32"/>
      <c r="BC3101" s="32"/>
      <c r="BD3101" s="32"/>
      <c r="BE3101" s="32"/>
      <c r="BF3101" s="32"/>
      <c r="BG3101" s="32"/>
      <c r="BH3101" s="32"/>
      <c r="BI3101" s="32"/>
      <c r="BJ3101" s="32"/>
      <c r="BK3101" s="32"/>
      <c r="BL3101" s="32"/>
      <c r="BM3101" s="32"/>
      <c r="BN3101" s="32"/>
      <c r="BO3101" s="32"/>
      <c r="BP3101" s="32"/>
      <c r="BQ3101" s="32"/>
      <c r="BR3101" s="32"/>
      <c r="BS3101" s="32"/>
      <c r="BT3101" s="32"/>
      <c r="BU3101" s="32"/>
      <c r="BV3101" s="32"/>
      <c r="BW3101" s="32"/>
      <c r="BX3101" s="32"/>
      <c r="BY3101" s="32"/>
      <c r="BZ3101" s="32"/>
      <c r="CA3101" s="32"/>
      <c r="CB3101" s="32"/>
      <c r="CC3101" s="32"/>
      <c r="CD3101" s="32"/>
    </row>
    <row r="3102" ht="15.75" hidden="1" customHeight="1" outlineLevel="1">
      <c r="A3102" s="365"/>
      <c r="B3102" s="381"/>
      <c r="C3102" s="382">
        <v>0.0</v>
      </c>
      <c r="D3102" s="382">
        <v>0.0</v>
      </c>
      <c r="E3102" s="382">
        <v>0.0</v>
      </c>
      <c r="F3102" s="382">
        <v>0.0</v>
      </c>
      <c r="G3102" s="382">
        <v>0.0</v>
      </c>
      <c r="H3102" s="382">
        <v>0.0</v>
      </c>
      <c r="I3102" s="382">
        <v>0.0</v>
      </c>
      <c r="J3102" s="382">
        <v>0.0</v>
      </c>
      <c r="K3102" s="382">
        <v>0.0</v>
      </c>
      <c r="L3102" s="382">
        <v>0.0</v>
      </c>
      <c r="M3102" s="382">
        <v>0.0</v>
      </c>
      <c r="N3102" s="382">
        <v>0.0</v>
      </c>
      <c r="O3102" s="382">
        <v>0.0</v>
      </c>
      <c r="P3102" s="382">
        <v>0.0</v>
      </c>
      <c r="Q3102" s="382">
        <v>0.0</v>
      </c>
      <c r="R3102" s="382">
        <v>0.0</v>
      </c>
      <c r="S3102" s="382">
        <v>0.0</v>
      </c>
      <c r="T3102" s="382">
        <v>0.0</v>
      </c>
      <c r="U3102" s="382">
        <v>0.0</v>
      </c>
      <c r="V3102" s="382">
        <v>0.0</v>
      </c>
      <c r="W3102" s="382">
        <v>0.0</v>
      </c>
      <c r="X3102" s="382">
        <v>0.0</v>
      </c>
      <c r="Y3102" s="382">
        <v>0.0</v>
      </c>
      <c r="Z3102" s="382">
        <v>0.0</v>
      </c>
      <c r="AA3102" s="382">
        <v>0.0</v>
      </c>
      <c r="AB3102" s="382">
        <v>0.0</v>
      </c>
      <c r="AC3102" s="382">
        <v>0.0</v>
      </c>
      <c r="AD3102" s="382">
        <v>0.0</v>
      </c>
      <c r="AE3102" s="382">
        <v>0.0</v>
      </c>
      <c r="AF3102" s="382">
        <v>0.0</v>
      </c>
      <c r="AG3102" s="382">
        <v>0.0</v>
      </c>
      <c r="AH3102" s="382">
        <v>0.0</v>
      </c>
      <c r="AI3102" s="382">
        <v>0.0</v>
      </c>
      <c r="AJ3102" s="382">
        <v>0.0</v>
      </c>
      <c r="AK3102" s="382">
        <v>0.0</v>
      </c>
      <c r="AL3102" s="382">
        <v>0.0</v>
      </c>
      <c r="AM3102" s="382">
        <v>0.0</v>
      </c>
      <c r="AN3102" s="382">
        <v>0.0</v>
      </c>
      <c r="AO3102" s="382">
        <v>0.0</v>
      </c>
      <c r="AP3102" s="382">
        <v>0.0</v>
      </c>
      <c r="AQ3102" s="382">
        <v>0.0</v>
      </c>
      <c r="AR3102" s="382">
        <v>0.0</v>
      </c>
      <c r="AS3102" s="382">
        <v>0.0</v>
      </c>
      <c r="AT3102" s="382">
        <v>0.0</v>
      </c>
      <c r="AU3102" s="382">
        <v>0.0</v>
      </c>
      <c r="AV3102" s="382">
        <v>0.0</v>
      </c>
      <c r="AW3102" s="382">
        <v>0.0</v>
      </c>
      <c r="AX3102" s="382">
        <v>0.0</v>
      </c>
      <c r="AY3102" s="382">
        <v>0.0</v>
      </c>
      <c r="AZ3102" s="382">
        <v>0.0</v>
      </c>
      <c r="BA3102" s="382">
        <v>0.0</v>
      </c>
      <c r="BB3102" s="32"/>
      <c r="BC3102" s="32"/>
      <c r="BD3102" s="32"/>
      <c r="BE3102" s="32"/>
      <c r="BF3102" s="32"/>
      <c r="BG3102" s="32"/>
      <c r="BH3102" s="32"/>
      <c r="BI3102" s="32"/>
      <c r="BJ3102" s="32"/>
      <c r="BK3102" s="32"/>
      <c r="BL3102" s="32"/>
      <c r="BM3102" s="32"/>
      <c r="BN3102" s="32"/>
      <c r="BO3102" s="32"/>
      <c r="BP3102" s="32"/>
      <c r="BQ3102" s="32"/>
      <c r="BR3102" s="32"/>
      <c r="BS3102" s="32"/>
      <c r="BT3102" s="32"/>
      <c r="BU3102" s="32"/>
      <c r="BV3102" s="32"/>
      <c r="BW3102" s="32"/>
      <c r="BX3102" s="32"/>
      <c r="BY3102" s="32"/>
      <c r="BZ3102" s="32"/>
      <c r="CA3102" s="32"/>
      <c r="CB3102" s="32"/>
      <c r="CC3102" s="32"/>
      <c r="CD3102" s="32"/>
    </row>
    <row r="3103" ht="15.75" hidden="1" customHeight="1" outlineLevel="1">
      <c r="A3103" s="365"/>
      <c r="B3103" s="381"/>
      <c r="C3103" s="382">
        <v>0.0</v>
      </c>
      <c r="D3103" s="382">
        <v>0.0</v>
      </c>
      <c r="E3103" s="382">
        <v>0.0</v>
      </c>
      <c r="F3103" s="382">
        <v>0.0</v>
      </c>
      <c r="G3103" s="382">
        <v>0.0</v>
      </c>
      <c r="H3103" s="382">
        <v>0.0</v>
      </c>
      <c r="I3103" s="382">
        <v>0.0</v>
      </c>
      <c r="J3103" s="382">
        <v>0.0</v>
      </c>
      <c r="K3103" s="382">
        <v>0.0</v>
      </c>
      <c r="L3103" s="382">
        <v>0.0</v>
      </c>
      <c r="M3103" s="382">
        <v>0.0</v>
      </c>
      <c r="N3103" s="382">
        <v>0.0</v>
      </c>
      <c r="O3103" s="382">
        <v>0.0</v>
      </c>
      <c r="P3103" s="382">
        <v>0.0</v>
      </c>
      <c r="Q3103" s="382">
        <v>0.0</v>
      </c>
      <c r="R3103" s="382">
        <v>0.0</v>
      </c>
      <c r="S3103" s="382">
        <v>0.0</v>
      </c>
      <c r="T3103" s="382">
        <v>0.0</v>
      </c>
      <c r="U3103" s="382">
        <v>0.0</v>
      </c>
      <c r="V3103" s="382">
        <v>0.0</v>
      </c>
      <c r="W3103" s="382">
        <v>0.0</v>
      </c>
      <c r="X3103" s="382">
        <v>0.0</v>
      </c>
      <c r="Y3103" s="382">
        <v>0.0</v>
      </c>
      <c r="Z3103" s="382">
        <v>0.0</v>
      </c>
      <c r="AA3103" s="382">
        <v>0.0</v>
      </c>
      <c r="AB3103" s="382">
        <v>0.0</v>
      </c>
      <c r="AC3103" s="382">
        <v>0.0</v>
      </c>
      <c r="AD3103" s="382">
        <v>0.0</v>
      </c>
      <c r="AE3103" s="382">
        <v>0.0</v>
      </c>
      <c r="AF3103" s="382">
        <v>0.0</v>
      </c>
      <c r="AG3103" s="382">
        <v>0.0</v>
      </c>
      <c r="AH3103" s="382">
        <v>0.0</v>
      </c>
      <c r="AI3103" s="382">
        <v>0.0</v>
      </c>
      <c r="AJ3103" s="382">
        <v>0.0</v>
      </c>
      <c r="AK3103" s="382">
        <v>0.0</v>
      </c>
      <c r="AL3103" s="382">
        <v>0.0</v>
      </c>
      <c r="AM3103" s="382">
        <v>0.0</v>
      </c>
      <c r="AN3103" s="382">
        <v>0.0</v>
      </c>
      <c r="AO3103" s="382">
        <v>0.0</v>
      </c>
      <c r="AP3103" s="382">
        <v>0.0</v>
      </c>
      <c r="AQ3103" s="382">
        <v>0.0</v>
      </c>
      <c r="AR3103" s="382">
        <v>0.0</v>
      </c>
      <c r="AS3103" s="382">
        <v>0.0</v>
      </c>
      <c r="AT3103" s="382">
        <v>0.0</v>
      </c>
      <c r="AU3103" s="382">
        <v>0.0</v>
      </c>
      <c r="AV3103" s="382">
        <v>0.0</v>
      </c>
      <c r="AW3103" s="382">
        <v>0.0</v>
      </c>
      <c r="AX3103" s="382">
        <v>0.0</v>
      </c>
      <c r="AY3103" s="382">
        <v>0.0</v>
      </c>
      <c r="AZ3103" s="382">
        <v>0.0</v>
      </c>
      <c r="BA3103" s="382">
        <v>0.0</v>
      </c>
      <c r="BB3103" s="32"/>
      <c r="BC3103" s="32"/>
      <c r="BD3103" s="32"/>
      <c r="BE3103" s="32"/>
      <c r="BF3103" s="32"/>
      <c r="BG3103" s="32"/>
      <c r="BH3103" s="32"/>
      <c r="BI3103" s="32"/>
      <c r="BJ3103" s="32"/>
      <c r="BK3103" s="32"/>
      <c r="BL3103" s="32"/>
      <c r="BM3103" s="32"/>
      <c r="BN3103" s="32"/>
      <c r="BO3103" s="32"/>
      <c r="BP3103" s="32"/>
      <c r="BQ3103" s="32"/>
      <c r="BR3103" s="32"/>
      <c r="BS3103" s="32"/>
      <c r="BT3103" s="32"/>
      <c r="BU3103" s="32"/>
      <c r="BV3103" s="32"/>
      <c r="BW3103" s="32"/>
      <c r="BX3103" s="32"/>
      <c r="BY3103" s="32"/>
      <c r="BZ3103" s="32"/>
      <c r="CA3103" s="32"/>
      <c r="CB3103" s="32"/>
      <c r="CC3103" s="32"/>
      <c r="CD3103" s="32"/>
    </row>
    <row r="3104" ht="15.75" hidden="1" customHeight="1" outlineLevel="1">
      <c r="A3104" s="365"/>
      <c r="B3104" s="381"/>
      <c r="C3104" s="382">
        <v>0.0</v>
      </c>
      <c r="D3104" s="382">
        <v>0.0</v>
      </c>
      <c r="E3104" s="382">
        <v>0.0</v>
      </c>
      <c r="F3104" s="382">
        <v>0.0</v>
      </c>
      <c r="G3104" s="382">
        <v>0.0</v>
      </c>
      <c r="H3104" s="382">
        <v>0.0</v>
      </c>
      <c r="I3104" s="382">
        <v>0.0</v>
      </c>
      <c r="J3104" s="382">
        <v>0.0</v>
      </c>
      <c r="K3104" s="382">
        <v>0.0</v>
      </c>
      <c r="L3104" s="382">
        <v>0.0</v>
      </c>
      <c r="M3104" s="382">
        <v>0.0</v>
      </c>
      <c r="N3104" s="382">
        <v>0.0</v>
      </c>
      <c r="O3104" s="382">
        <v>0.0</v>
      </c>
      <c r="P3104" s="382">
        <v>0.0</v>
      </c>
      <c r="Q3104" s="382">
        <v>0.0</v>
      </c>
      <c r="R3104" s="382">
        <v>0.0</v>
      </c>
      <c r="S3104" s="382">
        <v>0.0</v>
      </c>
      <c r="T3104" s="382">
        <v>0.0</v>
      </c>
      <c r="U3104" s="382">
        <v>0.0</v>
      </c>
      <c r="V3104" s="382">
        <v>0.0</v>
      </c>
      <c r="W3104" s="382">
        <v>0.0</v>
      </c>
      <c r="X3104" s="382">
        <v>0.0</v>
      </c>
      <c r="Y3104" s="382">
        <v>0.0</v>
      </c>
      <c r="Z3104" s="382">
        <v>0.0</v>
      </c>
      <c r="AA3104" s="382">
        <v>0.0</v>
      </c>
      <c r="AB3104" s="382">
        <v>0.0</v>
      </c>
      <c r="AC3104" s="382">
        <v>0.0</v>
      </c>
      <c r="AD3104" s="382">
        <v>0.0</v>
      </c>
      <c r="AE3104" s="382">
        <v>0.0</v>
      </c>
      <c r="AF3104" s="382">
        <v>0.0</v>
      </c>
      <c r="AG3104" s="382">
        <v>0.0</v>
      </c>
      <c r="AH3104" s="382">
        <v>0.0</v>
      </c>
      <c r="AI3104" s="382">
        <v>0.0</v>
      </c>
      <c r="AJ3104" s="382">
        <v>0.0</v>
      </c>
      <c r="AK3104" s="382">
        <v>0.0</v>
      </c>
      <c r="AL3104" s="382">
        <v>0.0</v>
      </c>
      <c r="AM3104" s="382">
        <v>0.0</v>
      </c>
      <c r="AN3104" s="382">
        <v>0.0</v>
      </c>
      <c r="AO3104" s="382">
        <v>0.0</v>
      </c>
      <c r="AP3104" s="382">
        <v>0.0</v>
      </c>
      <c r="AQ3104" s="382">
        <v>0.0</v>
      </c>
      <c r="AR3104" s="382">
        <v>0.0</v>
      </c>
      <c r="AS3104" s="382">
        <v>0.0</v>
      </c>
      <c r="AT3104" s="382">
        <v>0.0</v>
      </c>
      <c r="AU3104" s="382">
        <v>0.0</v>
      </c>
      <c r="AV3104" s="382">
        <v>0.0</v>
      </c>
      <c r="AW3104" s="382">
        <v>0.0</v>
      </c>
      <c r="AX3104" s="382">
        <v>0.0</v>
      </c>
      <c r="AY3104" s="382">
        <v>0.0</v>
      </c>
      <c r="AZ3104" s="382">
        <v>0.0</v>
      </c>
      <c r="BA3104" s="382">
        <v>0.0</v>
      </c>
      <c r="BB3104" s="32"/>
      <c r="BC3104" s="32"/>
      <c r="BD3104" s="32"/>
      <c r="BE3104" s="32"/>
      <c r="BF3104" s="32"/>
      <c r="BG3104" s="32"/>
      <c r="BH3104" s="32"/>
      <c r="BI3104" s="32"/>
      <c r="BJ3104" s="32"/>
      <c r="BK3104" s="32"/>
      <c r="BL3104" s="32"/>
      <c r="BM3104" s="32"/>
      <c r="BN3104" s="32"/>
      <c r="BO3104" s="32"/>
      <c r="BP3104" s="32"/>
      <c r="BQ3104" s="32"/>
      <c r="BR3104" s="32"/>
      <c r="BS3104" s="32"/>
      <c r="BT3104" s="32"/>
      <c r="BU3104" s="32"/>
      <c r="BV3104" s="32"/>
      <c r="BW3104" s="32"/>
      <c r="BX3104" s="32"/>
      <c r="BY3104" s="32"/>
      <c r="BZ3104" s="32"/>
      <c r="CA3104" s="32"/>
      <c r="CB3104" s="32"/>
      <c r="CC3104" s="32"/>
      <c r="CD3104" s="32"/>
    </row>
    <row r="3105" ht="15.75" hidden="1" customHeight="1" outlineLevel="1">
      <c r="A3105" s="365"/>
      <c r="B3105" s="381"/>
      <c r="C3105" s="382">
        <v>0.0</v>
      </c>
      <c r="D3105" s="382">
        <v>0.0</v>
      </c>
      <c r="E3105" s="382">
        <v>0.0</v>
      </c>
      <c r="F3105" s="382">
        <v>0.0</v>
      </c>
      <c r="G3105" s="382">
        <v>0.0</v>
      </c>
      <c r="H3105" s="382">
        <v>0.0</v>
      </c>
      <c r="I3105" s="382">
        <v>0.0</v>
      </c>
      <c r="J3105" s="382">
        <v>0.0</v>
      </c>
      <c r="K3105" s="382">
        <v>0.0</v>
      </c>
      <c r="L3105" s="382">
        <v>0.0</v>
      </c>
      <c r="M3105" s="382">
        <v>0.0</v>
      </c>
      <c r="N3105" s="382">
        <v>0.0</v>
      </c>
      <c r="O3105" s="382">
        <v>0.0</v>
      </c>
      <c r="P3105" s="382">
        <v>0.0</v>
      </c>
      <c r="Q3105" s="382">
        <v>0.0</v>
      </c>
      <c r="R3105" s="382">
        <v>0.0</v>
      </c>
      <c r="S3105" s="382">
        <v>0.0</v>
      </c>
      <c r="T3105" s="382">
        <v>0.0</v>
      </c>
      <c r="U3105" s="382">
        <v>0.0</v>
      </c>
      <c r="V3105" s="382">
        <v>0.0</v>
      </c>
      <c r="W3105" s="382">
        <v>0.0</v>
      </c>
      <c r="X3105" s="382">
        <v>0.0</v>
      </c>
      <c r="Y3105" s="382">
        <v>0.0</v>
      </c>
      <c r="Z3105" s="382">
        <v>0.0</v>
      </c>
      <c r="AA3105" s="382">
        <v>0.0</v>
      </c>
      <c r="AB3105" s="382">
        <v>0.0</v>
      </c>
      <c r="AC3105" s="382">
        <v>0.0</v>
      </c>
      <c r="AD3105" s="382">
        <v>0.0</v>
      </c>
      <c r="AE3105" s="382">
        <v>0.0</v>
      </c>
      <c r="AF3105" s="382">
        <v>0.0</v>
      </c>
      <c r="AG3105" s="382">
        <v>0.0</v>
      </c>
      <c r="AH3105" s="382">
        <v>0.0</v>
      </c>
      <c r="AI3105" s="382">
        <v>0.0</v>
      </c>
      <c r="AJ3105" s="382">
        <v>0.0</v>
      </c>
      <c r="AK3105" s="382">
        <v>0.0</v>
      </c>
      <c r="AL3105" s="382">
        <v>0.0</v>
      </c>
      <c r="AM3105" s="382">
        <v>0.0</v>
      </c>
      <c r="AN3105" s="382">
        <v>0.0</v>
      </c>
      <c r="AO3105" s="382">
        <v>0.0</v>
      </c>
      <c r="AP3105" s="382">
        <v>0.0</v>
      </c>
      <c r="AQ3105" s="382">
        <v>0.0</v>
      </c>
      <c r="AR3105" s="382">
        <v>0.0</v>
      </c>
      <c r="AS3105" s="382">
        <v>0.0</v>
      </c>
      <c r="AT3105" s="382">
        <v>0.0</v>
      </c>
      <c r="AU3105" s="382">
        <v>0.0</v>
      </c>
      <c r="AV3105" s="382">
        <v>0.0</v>
      </c>
      <c r="AW3105" s="382">
        <v>0.0</v>
      </c>
      <c r="AX3105" s="382">
        <v>0.0</v>
      </c>
      <c r="AY3105" s="382">
        <v>0.0</v>
      </c>
      <c r="AZ3105" s="382">
        <v>0.0</v>
      </c>
      <c r="BA3105" s="382">
        <v>0.0</v>
      </c>
      <c r="BB3105" s="32"/>
      <c r="BC3105" s="32"/>
      <c r="BD3105" s="32"/>
      <c r="BE3105" s="32"/>
      <c r="BF3105" s="32"/>
      <c r="BG3105" s="32"/>
      <c r="BH3105" s="32"/>
      <c r="BI3105" s="32"/>
      <c r="BJ3105" s="32"/>
      <c r="BK3105" s="32"/>
      <c r="BL3105" s="32"/>
      <c r="BM3105" s="32"/>
      <c r="BN3105" s="32"/>
      <c r="BO3105" s="32"/>
      <c r="BP3105" s="32"/>
      <c r="BQ3105" s="32"/>
      <c r="BR3105" s="32"/>
      <c r="BS3105" s="32"/>
      <c r="BT3105" s="32"/>
      <c r="BU3105" s="32"/>
      <c r="BV3105" s="32"/>
      <c r="BW3105" s="32"/>
      <c r="BX3105" s="32"/>
      <c r="BY3105" s="32"/>
      <c r="BZ3105" s="32"/>
      <c r="CA3105" s="32"/>
      <c r="CB3105" s="32"/>
      <c r="CC3105" s="32"/>
      <c r="CD3105" s="32"/>
    </row>
    <row r="3106" ht="15.75" hidden="1" customHeight="1" outlineLevel="1">
      <c r="A3106" s="365"/>
      <c r="B3106" s="381"/>
      <c r="C3106" s="382">
        <v>0.0</v>
      </c>
      <c r="D3106" s="382">
        <v>0.0</v>
      </c>
      <c r="E3106" s="382">
        <v>0.0</v>
      </c>
      <c r="F3106" s="382">
        <v>0.0</v>
      </c>
      <c r="G3106" s="382">
        <v>0.0</v>
      </c>
      <c r="H3106" s="382">
        <v>0.0</v>
      </c>
      <c r="I3106" s="382">
        <v>0.0</v>
      </c>
      <c r="J3106" s="382">
        <v>0.0</v>
      </c>
      <c r="K3106" s="382">
        <v>0.0</v>
      </c>
      <c r="L3106" s="382">
        <v>0.0</v>
      </c>
      <c r="M3106" s="382">
        <v>0.0</v>
      </c>
      <c r="N3106" s="382">
        <v>0.0</v>
      </c>
      <c r="O3106" s="382">
        <v>0.0</v>
      </c>
      <c r="P3106" s="382">
        <v>0.0</v>
      </c>
      <c r="Q3106" s="382">
        <v>0.0</v>
      </c>
      <c r="R3106" s="382">
        <v>0.0</v>
      </c>
      <c r="S3106" s="382">
        <v>0.0</v>
      </c>
      <c r="T3106" s="382">
        <v>0.0</v>
      </c>
      <c r="U3106" s="382">
        <v>0.0</v>
      </c>
      <c r="V3106" s="382">
        <v>0.0</v>
      </c>
      <c r="W3106" s="382">
        <v>0.0</v>
      </c>
      <c r="X3106" s="382">
        <v>0.0</v>
      </c>
      <c r="Y3106" s="382">
        <v>0.0</v>
      </c>
      <c r="Z3106" s="382">
        <v>0.0</v>
      </c>
      <c r="AA3106" s="382">
        <v>0.0</v>
      </c>
      <c r="AB3106" s="382">
        <v>0.0</v>
      </c>
      <c r="AC3106" s="382">
        <v>0.0</v>
      </c>
      <c r="AD3106" s="382">
        <v>0.0</v>
      </c>
      <c r="AE3106" s="382">
        <v>0.0</v>
      </c>
      <c r="AF3106" s="382">
        <v>0.0</v>
      </c>
      <c r="AG3106" s="382">
        <v>0.0</v>
      </c>
      <c r="AH3106" s="382">
        <v>0.0</v>
      </c>
      <c r="AI3106" s="382">
        <v>0.0</v>
      </c>
      <c r="AJ3106" s="382">
        <v>0.0</v>
      </c>
      <c r="AK3106" s="382">
        <v>0.0</v>
      </c>
      <c r="AL3106" s="382">
        <v>0.0</v>
      </c>
      <c r="AM3106" s="382">
        <v>0.0</v>
      </c>
      <c r="AN3106" s="382">
        <v>0.0</v>
      </c>
      <c r="AO3106" s="382">
        <v>0.0</v>
      </c>
      <c r="AP3106" s="382">
        <v>0.0</v>
      </c>
      <c r="AQ3106" s="382">
        <v>0.0</v>
      </c>
      <c r="AR3106" s="382">
        <v>0.0</v>
      </c>
      <c r="AS3106" s="382">
        <v>0.0</v>
      </c>
      <c r="AT3106" s="382">
        <v>0.0</v>
      </c>
      <c r="AU3106" s="382">
        <v>0.0</v>
      </c>
      <c r="AV3106" s="382">
        <v>0.0</v>
      </c>
      <c r="AW3106" s="382">
        <v>0.0</v>
      </c>
      <c r="AX3106" s="382">
        <v>0.0</v>
      </c>
      <c r="AY3106" s="382">
        <v>0.0</v>
      </c>
      <c r="AZ3106" s="382">
        <v>0.0</v>
      </c>
      <c r="BA3106" s="382">
        <v>0.0</v>
      </c>
      <c r="BB3106" s="32"/>
      <c r="BC3106" s="32"/>
      <c r="BD3106" s="32"/>
      <c r="BE3106" s="32"/>
      <c r="BF3106" s="32"/>
      <c r="BG3106" s="32"/>
      <c r="BH3106" s="32"/>
      <c r="BI3106" s="32"/>
      <c r="BJ3106" s="32"/>
      <c r="BK3106" s="32"/>
      <c r="BL3106" s="32"/>
      <c r="BM3106" s="32"/>
      <c r="BN3106" s="32"/>
      <c r="BO3106" s="32"/>
      <c r="BP3106" s="32"/>
      <c r="BQ3106" s="32"/>
      <c r="BR3106" s="32"/>
      <c r="BS3106" s="32"/>
      <c r="BT3106" s="32"/>
      <c r="BU3106" s="32"/>
      <c r="BV3106" s="32"/>
      <c r="BW3106" s="32"/>
      <c r="BX3106" s="32"/>
      <c r="BY3106" s="32"/>
      <c r="BZ3106" s="32"/>
      <c r="CA3106" s="32"/>
      <c r="CB3106" s="32"/>
      <c r="CC3106" s="32"/>
      <c r="CD3106" s="32"/>
    </row>
    <row r="3107" ht="15.75" hidden="1" customHeight="1" outlineLevel="1">
      <c r="A3107" s="365"/>
      <c r="B3107" s="381"/>
      <c r="C3107" s="382">
        <v>0.0</v>
      </c>
      <c r="D3107" s="382">
        <v>0.0</v>
      </c>
      <c r="E3107" s="382">
        <v>0.0</v>
      </c>
      <c r="F3107" s="382">
        <v>0.0</v>
      </c>
      <c r="G3107" s="382">
        <v>0.0</v>
      </c>
      <c r="H3107" s="382">
        <v>0.0</v>
      </c>
      <c r="I3107" s="382">
        <v>0.0</v>
      </c>
      <c r="J3107" s="382">
        <v>0.0</v>
      </c>
      <c r="K3107" s="382">
        <v>0.0</v>
      </c>
      <c r="L3107" s="382">
        <v>0.0</v>
      </c>
      <c r="M3107" s="382">
        <v>0.0</v>
      </c>
      <c r="N3107" s="382">
        <v>0.0</v>
      </c>
      <c r="O3107" s="382">
        <v>0.0</v>
      </c>
      <c r="P3107" s="382">
        <v>0.0</v>
      </c>
      <c r="Q3107" s="382">
        <v>0.0</v>
      </c>
      <c r="R3107" s="382">
        <v>0.0</v>
      </c>
      <c r="S3107" s="382">
        <v>0.0</v>
      </c>
      <c r="T3107" s="382">
        <v>0.0</v>
      </c>
      <c r="U3107" s="382">
        <v>0.0</v>
      </c>
      <c r="V3107" s="382">
        <v>0.0</v>
      </c>
      <c r="W3107" s="382">
        <v>0.0</v>
      </c>
      <c r="X3107" s="382">
        <v>0.0</v>
      </c>
      <c r="Y3107" s="382">
        <v>0.0</v>
      </c>
      <c r="Z3107" s="382">
        <v>0.0</v>
      </c>
      <c r="AA3107" s="382">
        <v>0.0</v>
      </c>
      <c r="AB3107" s="382">
        <v>0.0</v>
      </c>
      <c r="AC3107" s="382">
        <v>0.0</v>
      </c>
      <c r="AD3107" s="382">
        <v>0.0</v>
      </c>
      <c r="AE3107" s="382">
        <v>0.0</v>
      </c>
      <c r="AF3107" s="382">
        <v>0.0</v>
      </c>
      <c r="AG3107" s="382">
        <v>0.0</v>
      </c>
      <c r="AH3107" s="382">
        <v>0.0</v>
      </c>
      <c r="AI3107" s="382">
        <v>0.0</v>
      </c>
      <c r="AJ3107" s="382">
        <v>0.0</v>
      </c>
      <c r="AK3107" s="382">
        <v>0.0</v>
      </c>
      <c r="AL3107" s="382">
        <v>0.0</v>
      </c>
      <c r="AM3107" s="382">
        <v>0.0</v>
      </c>
      <c r="AN3107" s="382">
        <v>0.0</v>
      </c>
      <c r="AO3107" s="382">
        <v>0.0</v>
      </c>
      <c r="AP3107" s="382">
        <v>0.0</v>
      </c>
      <c r="AQ3107" s="382">
        <v>0.0</v>
      </c>
      <c r="AR3107" s="382">
        <v>0.0</v>
      </c>
      <c r="AS3107" s="382">
        <v>0.0</v>
      </c>
      <c r="AT3107" s="382">
        <v>0.0</v>
      </c>
      <c r="AU3107" s="382">
        <v>0.0</v>
      </c>
      <c r="AV3107" s="382">
        <v>0.0</v>
      </c>
      <c r="AW3107" s="382">
        <v>0.0</v>
      </c>
      <c r="AX3107" s="382">
        <v>0.0</v>
      </c>
      <c r="AY3107" s="382">
        <v>0.0</v>
      </c>
      <c r="AZ3107" s="382">
        <v>0.0</v>
      </c>
      <c r="BA3107" s="382">
        <v>0.0</v>
      </c>
      <c r="BB3107" s="32"/>
      <c r="BC3107" s="32"/>
      <c r="BD3107" s="32"/>
      <c r="BE3107" s="32"/>
      <c r="BF3107" s="32"/>
      <c r="BG3107" s="32"/>
      <c r="BH3107" s="32"/>
      <c r="BI3107" s="32"/>
      <c r="BJ3107" s="32"/>
      <c r="BK3107" s="32"/>
      <c r="BL3107" s="32"/>
      <c r="BM3107" s="32"/>
      <c r="BN3107" s="32"/>
      <c r="BO3107" s="32"/>
      <c r="BP3107" s="32"/>
      <c r="BQ3107" s="32"/>
      <c r="BR3107" s="32"/>
      <c r="BS3107" s="32"/>
      <c r="BT3107" s="32"/>
      <c r="BU3107" s="32"/>
      <c r="BV3107" s="32"/>
      <c r="BW3107" s="32"/>
      <c r="BX3107" s="32"/>
      <c r="BY3107" s="32"/>
      <c r="BZ3107" s="32"/>
      <c r="CA3107" s="32"/>
      <c r="CB3107" s="32"/>
      <c r="CC3107" s="32"/>
      <c r="CD3107" s="32"/>
    </row>
    <row r="3108" ht="15.75" hidden="1" customHeight="1" outlineLevel="1">
      <c r="A3108" s="365"/>
      <c r="B3108" s="381"/>
      <c r="C3108" s="382">
        <v>0.0</v>
      </c>
      <c r="D3108" s="382">
        <v>0.0</v>
      </c>
      <c r="E3108" s="382">
        <v>0.0</v>
      </c>
      <c r="F3108" s="382">
        <v>0.0</v>
      </c>
      <c r="G3108" s="382">
        <v>0.0</v>
      </c>
      <c r="H3108" s="382">
        <v>0.0</v>
      </c>
      <c r="I3108" s="382">
        <v>0.0</v>
      </c>
      <c r="J3108" s="382">
        <v>0.0</v>
      </c>
      <c r="K3108" s="382">
        <v>0.0</v>
      </c>
      <c r="L3108" s="382">
        <v>0.0</v>
      </c>
      <c r="M3108" s="382">
        <v>0.0</v>
      </c>
      <c r="N3108" s="382">
        <v>0.0</v>
      </c>
      <c r="O3108" s="382">
        <v>0.0</v>
      </c>
      <c r="P3108" s="382">
        <v>0.0</v>
      </c>
      <c r="Q3108" s="382">
        <v>0.0</v>
      </c>
      <c r="R3108" s="382">
        <v>0.0</v>
      </c>
      <c r="S3108" s="382">
        <v>0.0</v>
      </c>
      <c r="T3108" s="382">
        <v>0.0</v>
      </c>
      <c r="U3108" s="382">
        <v>0.0</v>
      </c>
      <c r="V3108" s="382">
        <v>0.0</v>
      </c>
      <c r="W3108" s="382">
        <v>0.0</v>
      </c>
      <c r="X3108" s="382">
        <v>0.0</v>
      </c>
      <c r="Y3108" s="382">
        <v>0.0</v>
      </c>
      <c r="Z3108" s="382">
        <v>0.0</v>
      </c>
      <c r="AA3108" s="382">
        <v>0.0</v>
      </c>
      <c r="AB3108" s="382">
        <v>0.0</v>
      </c>
      <c r="AC3108" s="382">
        <v>0.0</v>
      </c>
      <c r="AD3108" s="382">
        <v>0.0</v>
      </c>
      <c r="AE3108" s="382">
        <v>0.0</v>
      </c>
      <c r="AF3108" s="382">
        <v>0.0</v>
      </c>
      <c r="AG3108" s="382">
        <v>0.0</v>
      </c>
      <c r="AH3108" s="382">
        <v>0.0</v>
      </c>
      <c r="AI3108" s="382">
        <v>0.0</v>
      </c>
      <c r="AJ3108" s="382">
        <v>0.0</v>
      </c>
      <c r="AK3108" s="382">
        <v>0.0</v>
      </c>
      <c r="AL3108" s="382">
        <v>0.0</v>
      </c>
      <c r="AM3108" s="382">
        <v>0.0</v>
      </c>
      <c r="AN3108" s="382">
        <v>0.0</v>
      </c>
      <c r="AO3108" s="382">
        <v>0.0</v>
      </c>
      <c r="AP3108" s="382">
        <v>0.0</v>
      </c>
      <c r="AQ3108" s="382">
        <v>0.0</v>
      </c>
      <c r="AR3108" s="382">
        <v>0.0</v>
      </c>
      <c r="AS3108" s="382">
        <v>0.0</v>
      </c>
      <c r="AT3108" s="382">
        <v>0.0</v>
      </c>
      <c r="AU3108" s="382">
        <v>0.0</v>
      </c>
      <c r="AV3108" s="382">
        <v>0.0</v>
      </c>
      <c r="AW3108" s="382">
        <v>0.0</v>
      </c>
      <c r="AX3108" s="382">
        <v>0.0</v>
      </c>
      <c r="AY3108" s="382">
        <v>0.0</v>
      </c>
      <c r="AZ3108" s="382">
        <v>0.0</v>
      </c>
      <c r="BA3108" s="382">
        <v>0.0</v>
      </c>
      <c r="BB3108" s="32"/>
      <c r="BC3108" s="32"/>
      <c r="BD3108" s="32"/>
      <c r="BE3108" s="32"/>
      <c r="BF3108" s="32"/>
      <c r="BG3108" s="32"/>
      <c r="BH3108" s="32"/>
      <c r="BI3108" s="32"/>
      <c r="BJ3108" s="32"/>
      <c r="BK3108" s="32"/>
      <c r="BL3108" s="32"/>
      <c r="BM3108" s="32"/>
      <c r="BN3108" s="32"/>
      <c r="BO3108" s="32"/>
      <c r="BP3108" s="32"/>
      <c r="BQ3108" s="32"/>
      <c r="BR3108" s="32"/>
      <c r="BS3108" s="32"/>
      <c r="BT3108" s="32"/>
      <c r="BU3108" s="32"/>
      <c r="BV3108" s="32"/>
      <c r="BW3108" s="32"/>
      <c r="BX3108" s="32"/>
      <c r="BY3108" s="32"/>
      <c r="BZ3108" s="32"/>
      <c r="CA3108" s="32"/>
      <c r="CB3108" s="32"/>
      <c r="CC3108" s="32"/>
      <c r="CD3108" s="32"/>
    </row>
    <row r="3109" ht="15.75" hidden="1" customHeight="1" outlineLevel="1">
      <c r="A3109" s="365"/>
      <c r="B3109" s="381"/>
      <c r="C3109" s="382">
        <v>0.0</v>
      </c>
      <c r="D3109" s="382">
        <v>0.0</v>
      </c>
      <c r="E3109" s="382">
        <v>0.0</v>
      </c>
      <c r="F3109" s="382">
        <v>0.0</v>
      </c>
      <c r="G3109" s="382">
        <v>0.0</v>
      </c>
      <c r="H3109" s="382">
        <v>0.0</v>
      </c>
      <c r="I3109" s="382">
        <v>0.0</v>
      </c>
      <c r="J3109" s="382">
        <v>0.0</v>
      </c>
      <c r="K3109" s="382">
        <v>0.0</v>
      </c>
      <c r="L3109" s="382">
        <v>0.0</v>
      </c>
      <c r="M3109" s="382">
        <v>0.0</v>
      </c>
      <c r="N3109" s="382">
        <v>0.0</v>
      </c>
      <c r="O3109" s="382">
        <v>0.0</v>
      </c>
      <c r="P3109" s="382">
        <v>0.0</v>
      </c>
      <c r="Q3109" s="382">
        <v>0.0</v>
      </c>
      <c r="R3109" s="382">
        <v>0.0</v>
      </c>
      <c r="S3109" s="382">
        <v>0.0</v>
      </c>
      <c r="T3109" s="382">
        <v>0.0</v>
      </c>
      <c r="U3109" s="382">
        <v>0.0</v>
      </c>
      <c r="V3109" s="382">
        <v>0.0</v>
      </c>
      <c r="W3109" s="382">
        <v>0.0</v>
      </c>
      <c r="X3109" s="382">
        <v>0.0</v>
      </c>
      <c r="Y3109" s="382">
        <v>0.0</v>
      </c>
      <c r="Z3109" s="382">
        <v>0.0</v>
      </c>
      <c r="AA3109" s="382">
        <v>0.0</v>
      </c>
      <c r="AB3109" s="382">
        <v>0.0</v>
      </c>
      <c r="AC3109" s="382">
        <v>0.0</v>
      </c>
      <c r="AD3109" s="382">
        <v>0.0</v>
      </c>
      <c r="AE3109" s="382">
        <v>0.0</v>
      </c>
      <c r="AF3109" s="382">
        <v>0.0</v>
      </c>
      <c r="AG3109" s="382">
        <v>0.0</v>
      </c>
      <c r="AH3109" s="382">
        <v>0.0</v>
      </c>
      <c r="AI3109" s="382">
        <v>0.0</v>
      </c>
      <c r="AJ3109" s="382">
        <v>0.0</v>
      </c>
      <c r="AK3109" s="382">
        <v>0.0</v>
      </c>
      <c r="AL3109" s="382">
        <v>0.0</v>
      </c>
      <c r="AM3109" s="382">
        <v>0.0</v>
      </c>
      <c r="AN3109" s="382">
        <v>0.0</v>
      </c>
      <c r="AO3109" s="382">
        <v>0.0</v>
      </c>
      <c r="AP3109" s="382">
        <v>0.0</v>
      </c>
      <c r="AQ3109" s="382">
        <v>0.0</v>
      </c>
      <c r="AR3109" s="382">
        <v>0.0</v>
      </c>
      <c r="AS3109" s="382">
        <v>0.0</v>
      </c>
      <c r="AT3109" s="382">
        <v>0.0</v>
      </c>
      <c r="AU3109" s="382">
        <v>0.0</v>
      </c>
      <c r="AV3109" s="382">
        <v>0.0</v>
      </c>
      <c r="AW3109" s="382">
        <v>0.0</v>
      </c>
      <c r="AX3109" s="382">
        <v>0.0</v>
      </c>
      <c r="AY3109" s="382">
        <v>0.0</v>
      </c>
      <c r="AZ3109" s="382">
        <v>0.0</v>
      </c>
      <c r="BA3109" s="382">
        <v>0.0</v>
      </c>
      <c r="BB3109" s="32"/>
      <c r="BC3109" s="32"/>
      <c r="BD3109" s="32"/>
      <c r="BE3109" s="32"/>
      <c r="BF3109" s="32"/>
      <c r="BG3109" s="32"/>
      <c r="BH3109" s="32"/>
      <c r="BI3109" s="32"/>
      <c r="BJ3109" s="32"/>
      <c r="BK3109" s="32"/>
      <c r="BL3109" s="32"/>
      <c r="BM3109" s="32"/>
      <c r="BN3109" s="32"/>
      <c r="BO3109" s="32"/>
      <c r="BP3109" s="32"/>
      <c r="BQ3109" s="32"/>
      <c r="BR3109" s="32"/>
      <c r="BS3109" s="32"/>
      <c r="BT3109" s="32"/>
      <c r="BU3109" s="32"/>
      <c r="BV3109" s="32"/>
      <c r="BW3109" s="32"/>
      <c r="BX3109" s="32"/>
      <c r="BY3109" s="32"/>
      <c r="BZ3109" s="32"/>
      <c r="CA3109" s="32"/>
      <c r="CB3109" s="32"/>
      <c r="CC3109" s="32"/>
      <c r="CD3109" s="32"/>
    </row>
    <row r="3110" ht="15.75" hidden="1" customHeight="1" outlineLevel="1">
      <c r="A3110" s="365"/>
      <c r="B3110" s="381"/>
      <c r="C3110" s="382">
        <v>0.0</v>
      </c>
      <c r="D3110" s="382">
        <v>0.0</v>
      </c>
      <c r="E3110" s="382">
        <v>0.0</v>
      </c>
      <c r="F3110" s="382">
        <v>0.0</v>
      </c>
      <c r="G3110" s="382">
        <v>0.0</v>
      </c>
      <c r="H3110" s="382">
        <v>0.0</v>
      </c>
      <c r="I3110" s="382">
        <v>0.0</v>
      </c>
      <c r="J3110" s="382">
        <v>0.0</v>
      </c>
      <c r="K3110" s="382">
        <v>0.0</v>
      </c>
      <c r="L3110" s="382">
        <v>0.0</v>
      </c>
      <c r="M3110" s="382">
        <v>0.0</v>
      </c>
      <c r="N3110" s="382">
        <v>0.0</v>
      </c>
      <c r="O3110" s="382">
        <v>0.0</v>
      </c>
      <c r="P3110" s="382">
        <v>0.0</v>
      </c>
      <c r="Q3110" s="382">
        <v>0.0</v>
      </c>
      <c r="R3110" s="382">
        <v>0.0</v>
      </c>
      <c r="S3110" s="382">
        <v>0.0</v>
      </c>
      <c r="T3110" s="382">
        <v>0.0</v>
      </c>
      <c r="U3110" s="382">
        <v>0.0</v>
      </c>
      <c r="V3110" s="382">
        <v>0.0</v>
      </c>
      <c r="W3110" s="382">
        <v>0.0</v>
      </c>
      <c r="X3110" s="382">
        <v>0.0</v>
      </c>
      <c r="Y3110" s="382">
        <v>0.0</v>
      </c>
      <c r="Z3110" s="382">
        <v>0.0</v>
      </c>
      <c r="AA3110" s="382">
        <v>0.0</v>
      </c>
      <c r="AB3110" s="382">
        <v>0.0</v>
      </c>
      <c r="AC3110" s="382">
        <v>0.0</v>
      </c>
      <c r="AD3110" s="382">
        <v>0.0</v>
      </c>
      <c r="AE3110" s="382">
        <v>0.0</v>
      </c>
      <c r="AF3110" s="382">
        <v>0.0</v>
      </c>
      <c r="AG3110" s="382">
        <v>0.0</v>
      </c>
      <c r="AH3110" s="382">
        <v>0.0</v>
      </c>
      <c r="AI3110" s="382">
        <v>0.0</v>
      </c>
      <c r="AJ3110" s="382">
        <v>0.0</v>
      </c>
      <c r="AK3110" s="382">
        <v>0.0</v>
      </c>
      <c r="AL3110" s="382">
        <v>0.0</v>
      </c>
      <c r="AM3110" s="382">
        <v>0.0</v>
      </c>
      <c r="AN3110" s="382">
        <v>0.0</v>
      </c>
      <c r="AO3110" s="382">
        <v>0.0</v>
      </c>
      <c r="AP3110" s="382">
        <v>0.0</v>
      </c>
      <c r="AQ3110" s="382">
        <v>0.0</v>
      </c>
      <c r="AR3110" s="382">
        <v>0.0</v>
      </c>
      <c r="AS3110" s="382">
        <v>0.0</v>
      </c>
      <c r="AT3110" s="382">
        <v>0.0</v>
      </c>
      <c r="AU3110" s="382">
        <v>0.0</v>
      </c>
      <c r="AV3110" s="382">
        <v>0.0</v>
      </c>
      <c r="AW3110" s="382">
        <v>0.0</v>
      </c>
      <c r="AX3110" s="382">
        <v>0.0</v>
      </c>
      <c r="AY3110" s="382">
        <v>0.0</v>
      </c>
      <c r="AZ3110" s="382">
        <v>0.0</v>
      </c>
      <c r="BA3110" s="382">
        <v>0.0</v>
      </c>
      <c r="BB3110" s="32"/>
      <c r="BC3110" s="32"/>
      <c r="BD3110" s="32"/>
      <c r="BE3110" s="32"/>
      <c r="BF3110" s="32"/>
      <c r="BG3110" s="32"/>
      <c r="BH3110" s="32"/>
      <c r="BI3110" s="32"/>
      <c r="BJ3110" s="32"/>
      <c r="BK3110" s="32"/>
      <c r="BL3110" s="32"/>
      <c r="BM3110" s="32"/>
      <c r="BN3110" s="32"/>
      <c r="BO3110" s="32"/>
      <c r="BP3110" s="32"/>
      <c r="BQ3110" s="32"/>
      <c r="BR3110" s="32"/>
      <c r="BS3110" s="32"/>
      <c r="BT3110" s="32"/>
      <c r="BU3110" s="32"/>
      <c r="BV3110" s="32"/>
      <c r="BW3110" s="32"/>
      <c r="BX3110" s="32"/>
      <c r="BY3110" s="32"/>
      <c r="BZ3110" s="32"/>
      <c r="CA3110" s="32"/>
      <c r="CB3110" s="32"/>
      <c r="CC3110" s="32"/>
      <c r="CD3110" s="32"/>
    </row>
    <row r="3111" ht="15.75" hidden="1" customHeight="1" outlineLevel="1">
      <c r="A3111" s="365"/>
      <c r="B3111" s="381"/>
      <c r="C3111" s="382">
        <v>0.0</v>
      </c>
      <c r="D3111" s="382">
        <v>0.0</v>
      </c>
      <c r="E3111" s="382">
        <v>0.0</v>
      </c>
      <c r="F3111" s="382">
        <v>0.0</v>
      </c>
      <c r="G3111" s="382">
        <v>0.0</v>
      </c>
      <c r="H3111" s="382">
        <v>0.0</v>
      </c>
      <c r="I3111" s="382">
        <v>0.0</v>
      </c>
      <c r="J3111" s="382">
        <v>0.0</v>
      </c>
      <c r="K3111" s="382">
        <v>0.0</v>
      </c>
      <c r="L3111" s="382">
        <v>0.0</v>
      </c>
      <c r="M3111" s="382">
        <v>0.0</v>
      </c>
      <c r="N3111" s="382">
        <v>0.0</v>
      </c>
      <c r="O3111" s="382">
        <v>0.0</v>
      </c>
      <c r="P3111" s="382">
        <v>0.0</v>
      </c>
      <c r="Q3111" s="382">
        <v>0.0</v>
      </c>
      <c r="R3111" s="382">
        <v>0.0</v>
      </c>
      <c r="S3111" s="382">
        <v>0.0</v>
      </c>
      <c r="T3111" s="382">
        <v>0.0</v>
      </c>
      <c r="U3111" s="382">
        <v>0.0</v>
      </c>
      <c r="V3111" s="382">
        <v>0.0</v>
      </c>
      <c r="W3111" s="382">
        <v>0.0</v>
      </c>
      <c r="X3111" s="382">
        <v>0.0</v>
      </c>
      <c r="Y3111" s="382">
        <v>0.0</v>
      </c>
      <c r="Z3111" s="382">
        <v>0.0</v>
      </c>
      <c r="AA3111" s="382">
        <v>0.0</v>
      </c>
      <c r="AB3111" s="382">
        <v>0.0</v>
      </c>
      <c r="AC3111" s="382">
        <v>0.0</v>
      </c>
      <c r="AD3111" s="382">
        <v>0.0</v>
      </c>
      <c r="AE3111" s="382">
        <v>0.0</v>
      </c>
      <c r="AF3111" s="382">
        <v>0.0</v>
      </c>
      <c r="AG3111" s="382">
        <v>0.0</v>
      </c>
      <c r="AH3111" s="382">
        <v>0.0</v>
      </c>
      <c r="AI3111" s="382">
        <v>0.0</v>
      </c>
      <c r="AJ3111" s="382">
        <v>0.0</v>
      </c>
      <c r="AK3111" s="382">
        <v>0.0</v>
      </c>
      <c r="AL3111" s="382">
        <v>0.0</v>
      </c>
      <c r="AM3111" s="382">
        <v>0.0</v>
      </c>
      <c r="AN3111" s="382">
        <v>0.0</v>
      </c>
      <c r="AO3111" s="382">
        <v>0.0</v>
      </c>
      <c r="AP3111" s="382">
        <v>0.0</v>
      </c>
      <c r="AQ3111" s="382">
        <v>0.0</v>
      </c>
      <c r="AR3111" s="382">
        <v>0.0</v>
      </c>
      <c r="AS3111" s="382">
        <v>0.0</v>
      </c>
      <c r="AT3111" s="382">
        <v>0.0</v>
      </c>
      <c r="AU3111" s="382">
        <v>0.0</v>
      </c>
      <c r="AV3111" s="382">
        <v>0.0</v>
      </c>
      <c r="AW3111" s="382">
        <v>0.0</v>
      </c>
      <c r="AX3111" s="382">
        <v>0.0</v>
      </c>
      <c r="AY3111" s="382">
        <v>0.0</v>
      </c>
      <c r="AZ3111" s="382">
        <v>0.0</v>
      </c>
      <c r="BA3111" s="382">
        <v>0.0</v>
      </c>
      <c r="BB3111" s="32"/>
      <c r="BC3111" s="32"/>
      <c r="BD3111" s="32"/>
      <c r="BE3111" s="32"/>
      <c r="BF3111" s="32"/>
      <c r="BG3111" s="32"/>
      <c r="BH3111" s="32"/>
      <c r="BI3111" s="32"/>
      <c r="BJ3111" s="32"/>
      <c r="BK3111" s="32"/>
      <c r="BL3111" s="32"/>
      <c r="BM3111" s="32"/>
      <c r="BN3111" s="32"/>
      <c r="BO3111" s="32"/>
      <c r="BP3111" s="32"/>
      <c r="BQ3111" s="32"/>
      <c r="BR3111" s="32"/>
      <c r="BS3111" s="32"/>
      <c r="BT3111" s="32"/>
      <c r="BU3111" s="32"/>
      <c r="BV3111" s="32"/>
      <c r="BW3111" s="32"/>
      <c r="BX3111" s="32"/>
      <c r="BY3111" s="32"/>
      <c r="BZ3111" s="32"/>
      <c r="CA3111" s="32"/>
      <c r="CB3111" s="32"/>
      <c r="CC3111" s="32"/>
      <c r="CD3111" s="32"/>
    </row>
    <row r="3112" ht="15.75" hidden="1" customHeight="1" outlineLevel="1">
      <c r="A3112" s="365"/>
      <c r="B3112" s="381"/>
      <c r="C3112" s="382">
        <v>0.0</v>
      </c>
      <c r="D3112" s="382">
        <v>0.0</v>
      </c>
      <c r="E3112" s="382">
        <v>0.0</v>
      </c>
      <c r="F3112" s="382">
        <v>0.0</v>
      </c>
      <c r="G3112" s="382">
        <v>0.0</v>
      </c>
      <c r="H3112" s="382">
        <v>0.0</v>
      </c>
      <c r="I3112" s="382">
        <v>0.0</v>
      </c>
      <c r="J3112" s="382">
        <v>0.0</v>
      </c>
      <c r="K3112" s="382">
        <v>0.0</v>
      </c>
      <c r="L3112" s="382">
        <v>0.0</v>
      </c>
      <c r="M3112" s="382">
        <v>0.0</v>
      </c>
      <c r="N3112" s="382">
        <v>0.0</v>
      </c>
      <c r="O3112" s="382">
        <v>0.0</v>
      </c>
      <c r="P3112" s="382">
        <v>0.0</v>
      </c>
      <c r="Q3112" s="382">
        <v>0.0</v>
      </c>
      <c r="R3112" s="382">
        <v>0.0</v>
      </c>
      <c r="S3112" s="382">
        <v>0.0</v>
      </c>
      <c r="T3112" s="382">
        <v>0.0</v>
      </c>
      <c r="U3112" s="382">
        <v>0.0</v>
      </c>
      <c r="V3112" s="382">
        <v>0.0</v>
      </c>
      <c r="W3112" s="382">
        <v>0.0</v>
      </c>
      <c r="X3112" s="382">
        <v>0.0</v>
      </c>
      <c r="Y3112" s="382">
        <v>0.0</v>
      </c>
      <c r="Z3112" s="382">
        <v>0.0</v>
      </c>
      <c r="AA3112" s="382">
        <v>0.0</v>
      </c>
      <c r="AB3112" s="382">
        <v>0.0</v>
      </c>
      <c r="AC3112" s="382">
        <v>0.0</v>
      </c>
      <c r="AD3112" s="382">
        <v>0.0</v>
      </c>
      <c r="AE3112" s="382">
        <v>0.0</v>
      </c>
      <c r="AF3112" s="382">
        <v>0.0</v>
      </c>
      <c r="AG3112" s="382">
        <v>0.0</v>
      </c>
      <c r="AH3112" s="382">
        <v>0.0</v>
      </c>
      <c r="AI3112" s="382">
        <v>0.0</v>
      </c>
      <c r="AJ3112" s="382">
        <v>0.0</v>
      </c>
      <c r="AK3112" s="382">
        <v>0.0</v>
      </c>
      <c r="AL3112" s="382">
        <v>0.0</v>
      </c>
      <c r="AM3112" s="382">
        <v>0.0</v>
      </c>
      <c r="AN3112" s="382">
        <v>0.0</v>
      </c>
      <c r="AO3112" s="382">
        <v>0.0</v>
      </c>
      <c r="AP3112" s="382">
        <v>0.0</v>
      </c>
      <c r="AQ3112" s="382">
        <v>0.0</v>
      </c>
      <c r="AR3112" s="382">
        <v>0.0</v>
      </c>
      <c r="AS3112" s="382">
        <v>0.0</v>
      </c>
      <c r="AT3112" s="382">
        <v>0.0</v>
      </c>
      <c r="AU3112" s="382">
        <v>0.0</v>
      </c>
      <c r="AV3112" s="382">
        <v>0.0</v>
      </c>
      <c r="AW3112" s="382">
        <v>0.0</v>
      </c>
      <c r="AX3112" s="382">
        <v>0.0</v>
      </c>
      <c r="AY3112" s="382">
        <v>0.0</v>
      </c>
      <c r="AZ3112" s="382">
        <v>0.0</v>
      </c>
      <c r="BA3112" s="382">
        <v>0.0</v>
      </c>
      <c r="BB3112" s="32"/>
      <c r="BC3112" s="32"/>
      <c r="BD3112" s="32"/>
      <c r="BE3112" s="32"/>
      <c r="BF3112" s="32"/>
      <c r="BG3112" s="32"/>
      <c r="BH3112" s="32"/>
      <c r="BI3112" s="32"/>
      <c r="BJ3112" s="32"/>
      <c r="BK3112" s="32"/>
      <c r="BL3112" s="32"/>
      <c r="BM3112" s="32"/>
      <c r="BN3112" s="32"/>
      <c r="BO3112" s="32"/>
      <c r="BP3112" s="32"/>
      <c r="BQ3112" s="32"/>
      <c r="BR3112" s="32"/>
      <c r="BS3112" s="32"/>
      <c r="BT3112" s="32"/>
      <c r="BU3112" s="32"/>
      <c r="BV3112" s="32"/>
      <c r="BW3112" s="32"/>
      <c r="BX3112" s="32"/>
      <c r="BY3112" s="32"/>
      <c r="BZ3112" s="32"/>
      <c r="CA3112" s="32"/>
      <c r="CB3112" s="32"/>
      <c r="CC3112" s="32"/>
      <c r="CD3112" s="32"/>
    </row>
    <row r="3113" ht="15.75" hidden="1" customHeight="1" outlineLevel="1">
      <c r="A3113" s="365"/>
      <c r="B3113" s="381"/>
      <c r="C3113" s="382">
        <v>0.0</v>
      </c>
      <c r="D3113" s="382">
        <v>0.0</v>
      </c>
      <c r="E3113" s="382">
        <v>0.0</v>
      </c>
      <c r="F3113" s="382">
        <v>0.0</v>
      </c>
      <c r="G3113" s="382">
        <v>0.0</v>
      </c>
      <c r="H3113" s="382">
        <v>0.0</v>
      </c>
      <c r="I3113" s="382">
        <v>0.0</v>
      </c>
      <c r="J3113" s="382">
        <v>0.0</v>
      </c>
      <c r="K3113" s="382">
        <v>0.0</v>
      </c>
      <c r="L3113" s="382">
        <v>0.0</v>
      </c>
      <c r="M3113" s="382">
        <v>0.0</v>
      </c>
      <c r="N3113" s="382">
        <v>0.0</v>
      </c>
      <c r="O3113" s="382">
        <v>0.0</v>
      </c>
      <c r="P3113" s="382">
        <v>0.0</v>
      </c>
      <c r="Q3113" s="382">
        <v>0.0</v>
      </c>
      <c r="R3113" s="382">
        <v>0.0</v>
      </c>
      <c r="S3113" s="382">
        <v>0.0</v>
      </c>
      <c r="T3113" s="382">
        <v>0.0</v>
      </c>
      <c r="U3113" s="382">
        <v>0.0</v>
      </c>
      <c r="V3113" s="382">
        <v>0.0</v>
      </c>
      <c r="W3113" s="382">
        <v>0.0</v>
      </c>
      <c r="X3113" s="382">
        <v>0.0</v>
      </c>
      <c r="Y3113" s="382">
        <v>0.0</v>
      </c>
      <c r="Z3113" s="382">
        <v>0.0</v>
      </c>
      <c r="AA3113" s="382">
        <v>0.0</v>
      </c>
      <c r="AB3113" s="382">
        <v>0.0</v>
      </c>
      <c r="AC3113" s="382">
        <v>0.0</v>
      </c>
      <c r="AD3113" s="382">
        <v>0.0</v>
      </c>
      <c r="AE3113" s="382">
        <v>0.0</v>
      </c>
      <c r="AF3113" s="382">
        <v>0.0</v>
      </c>
      <c r="AG3113" s="382">
        <v>0.0</v>
      </c>
      <c r="AH3113" s="382">
        <v>0.0</v>
      </c>
      <c r="AI3113" s="382">
        <v>0.0</v>
      </c>
      <c r="AJ3113" s="382">
        <v>0.0</v>
      </c>
      <c r="AK3113" s="382">
        <v>0.0</v>
      </c>
      <c r="AL3113" s="382">
        <v>0.0</v>
      </c>
      <c r="AM3113" s="382">
        <v>0.0</v>
      </c>
      <c r="AN3113" s="382">
        <v>0.0</v>
      </c>
      <c r="AO3113" s="382">
        <v>0.0</v>
      </c>
      <c r="AP3113" s="382">
        <v>0.0</v>
      </c>
      <c r="AQ3113" s="382">
        <v>0.0</v>
      </c>
      <c r="AR3113" s="382">
        <v>0.0</v>
      </c>
      <c r="AS3113" s="382">
        <v>0.0</v>
      </c>
      <c r="AT3113" s="382">
        <v>0.0</v>
      </c>
      <c r="AU3113" s="382">
        <v>0.0</v>
      </c>
      <c r="AV3113" s="382">
        <v>0.0</v>
      </c>
      <c r="AW3113" s="382">
        <v>0.0</v>
      </c>
      <c r="AX3113" s="382">
        <v>0.0</v>
      </c>
      <c r="AY3113" s="382">
        <v>0.0</v>
      </c>
      <c r="AZ3113" s="382">
        <v>0.0</v>
      </c>
      <c r="BA3113" s="382">
        <v>0.0</v>
      </c>
      <c r="BB3113" s="32"/>
      <c r="BC3113" s="32"/>
      <c r="BD3113" s="32"/>
      <c r="BE3113" s="32"/>
      <c r="BF3113" s="32"/>
      <c r="BG3113" s="32"/>
      <c r="BH3113" s="32"/>
      <c r="BI3113" s="32"/>
      <c r="BJ3113" s="32"/>
      <c r="BK3113" s="32"/>
      <c r="BL3113" s="32"/>
      <c r="BM3113" s="32"/>
      <c r="BN3113" s="32"/>
      <c r="BO3113" s="32"/>
      <c r="BP3113" s="32"/>
      <c r="BQ3113" s="32"/>
      <c r="BR3113" s="32"/>
      <c r="BS3113" s="32"/>
      <c r="BT3113" s="32"/>
      <c r="BU3113" s="32"/>
      <c r="BV3113" s="32"/>
      <c r="BW3113" s="32"/>
      <c r="BX3113" s="32"/>
      <c r="BY3113" s="32"/>
      <c r="BZ3113" s="32"/>
      <c r="CA3113" s="32"/>
      <c r="CB3113" s="32"/>
      <c r="CC3113" s="32"/>
      <c r="CD3113" s="32"/>
    </row>
    <row r="3114" ht="15.75" hidden="1" customHeight="1" outlineLevel="1">
      <c r="A3114" s="365"/>
      <c r="B3114" s="381"/>
      <c r="C3114" s="382">
        <v>0.0</v>
      </c>
      <c r="D3114" s="382">
        <v>0.0</v>
      </c>
      <c r="E3114" s="382">
        <v>0.0</v>
      </c>
      <c r="F3114" s="382">
        <v>0.0</v>
      </c>
      <c r="G3114" s="382">
        <v>0.0</v>
      </c>
      <c r="H3114" s="382">
        <v>0.0</v>
      </c>
      <c r="I3114" s="382">
        <v>0.0</v>
      </c>
      <c r="J3114" s="382">
        <v>0.0</v>
      </c>
      <c r="K3114" s="382">
        <v>0.0</v>
      </c>
      <c r="L3114" s="382">
        <v>0.0</v>
      </c>
      <c r="M3114" s="382">
        <v>0.0</v>
      </c>
      <c r="N3114" s="382">
        <v>0.0</v>
      </c>
      <c r="O3114" s="382">
        <v>0.0</v>
      </c>
      <c r="P3114" s="382">
        <v>0.0</v>
      </c>
      <c r="Q3114" s="382">
        <v>0.0</v>
      </c>
      <c r="R3114" s="382">
        <v>0.0</v>
      </c>
      <c r="S3114" s="382">
        <v>0.0</v>
      </c>
      <c r="T3114" s="382">
        <v>0.0</v>
      </c>
      <c r="U3114" s="382">
        <v>0.0</v>
      </c>
      <c r="V3114" s="382">
        <v>0.0</v>
      </c>
      <c r="W3114" s="382">
        <v>0.0</v>
      </c>
      <c r="X3114" s="382">
        <v>0.0</v>
      </c>
      <c r="Y3114" s="382">
        <v>0.0</v>
      </c>
      <c r="Z3114" s="382">
        <v>0.0</v>
      </c>
      <c r="AA3114" s="382">
        <v>0.0</v>
      </c>
      <c r="AB3114" s="382">
        <v>0.0</v>
      </c>
      <c r="AC3114" s="382">
        <v>0.0</v>
      </c>
      <c r="AD3114" s="382">
        <v>0.0</v>
      </c>
      <c r="AE3114" s="382">
        <v>0.0</v>
      </c>
      <c r="AF3114" s="382">
        <v>0.0</v>
      </c>
      <c r="AG3114" s="382">
        <v>0.0</v>
      </c>
      <c r="AH3114" s="382">
        <v>0.0</v>
      </c>
      <c r="AI3114" s="382">
        <v>0.0</v>
      </c>
      <c r="AJ3114" s="382">
        <v>0.0</v>
      </c>
      <c r="AK3114" s="382">
        <v>0.0</v>
      </c>
      <c r="AL3114" s="382">
        <v>0.0</v>
      </c>
      <c r="AM3114" s="382">
        <v>0.0</v>
      </c>
      <c r="AN3114" s="382">
        <v>0.0</v>
      </c>
      <c r="AO3114" s="382">
        <v>0.0</v>
      </c>
      <c r="AP3114" s="382">
        <v>0.0</v>
      </c>
      <c r="AQ3114" s="382">
        <v>0.0</v>
      </c>
      <c r="AR3114" s="382">
        <v>0.0</v>
      </c>
      <c r="AS3114" s="382">
        <v>0.0</v>
      </c>
      <c r="AT3114" s="382">
        <v>0.0</v>
      </c>
      <c r="AU3114" s="382">
        <v>0.0</v>
      </c>
      <c r="AV3114" s="382">
        <v>0.0</v>
      </c>
      <c r="AW3114" s="382">
        <v>0.0</v>
      </c>
      <c r="AX3114" s="382">
        <v>0.0</v>
      </c>
      <c r="AY3114" s="382">
        <v>0.0</v>
      </c>
      <c r="AZ3114" s="382">
        <v>0.0</v>
      </c>
      <c r="BA3114" s="382">
        <v>0.0</v>
      </c>
      <c r="BB3114" s="32"/>
      <c r="BC3114" s="32"/>
      <c r="BD3114" s="32"/>
      <c r="BE3114" s="32"/>
      <c r="BF3114" s="32"/>
      <c r="BG3114" s="32"/>
      <c r="BH3114" s="32"/>
      <c r="BI3114" s="32"/>
      <c r="BJ3114" s="32"/>
      <c r="BK3114" s="32"/>
      <c r="BL3114" s="32"/>
      <c r="BM3114" s="32"/>
      <c r="BN3114" s="32"/>
      <c r="BO3114" s="32"/>
      <c r="BP3114" s="32"/>
      <c r="BQ3114" s="32"/>
      <c r="BR3114" s="32"/>
      <c r="BS3114" s="32"/>
      <c r="BT3114" s="32"/>
      <c r="BU3114" s="32"/>
      <c r="BV3114" s="32"/>
      <c r="BW3114" s="32"/>
      <c r="BX3114" s="32"/>
      <c r="BY3114" s="32"/>
      <c r="BZ3114" s="32"/>
      <c r="CA3114" s="32"/>
      <c r="CB3114" s="32"/>
      <c r="CC3114" s="32"/>
      <c r="CD3114" s="32"/>
    </row>
    <row r="3115" ht="15.75" hidden="1" customHeight="1" outlineLevel="1">
      <c r="A3115" s="365"/>
      <c r="B3115" s="381"/>
      <c r="C3115" s="382">
        <v>0.0</v>
      </c>
      <c r="D3115" s="382">
        <v>0.0</v>
      </c>
      <c r="E3115" s="382">
        <v>0.0</v>
      </c>
      <c r="F3115" s="382">
        <v>0.0</v>
      </c>
      <c r="G3115" s="382">
        <v>0.0</v>
      </c>
      <c r="H3115" s="382">
        <v>0.0</v>
      </c>
      <c r="I3115" s="382">
        <v>0.0</v>
      </c>
      <c r="J3115" s="382">
        <v>0.0</v>
      </c>
      <c r="K3115" s="382">
        <v>0.0</v>
      </c>
      <c r="L3115" s="382">
        <v>0.0</v>
      </c>
      <c r="M3115" s="382">
        <v>0.0</v>
      </c>
      <c r="N3115" s="382">
        <v>0.0</v>
      </c>
      <c r="O3115" s="382">
        <v>0.0</v>
      </c>
      <c r="P3115" s="382">
        <v>0.0</v>
      </c>
      <c r="Q3115" s="382">
        <v>0.0</v>
      </c>
      <c r="R3115" s="382">
        <v>0.0</v>
      </c>
      <c r="S3115" s="382">
        <v>0.0</v>
      </c>
      <c r="T3115" s="382">
        <v>0.0</v>
      </c>
      <c r="U3115" s="382">
        <v>0.0</v>
      </c>
      <c r="V3115" s="382">
        <v>0.0</v>
      </c>
      <c r="W3115" s="382">
        <v>0.0</v>
      </c>
      <c r="X3115" s="382">
        <v>0.0</v>
      </c>
      <c r="Y3115" s="382">
        <v>0.0</v>
      </c>
      <c r="Z3115" s="382">
        <v>0.0</v>
      </c>
      <c r="AA3115" s="382">
        <v>0.0</v>
      </c>
      <c r="AB3115" s="382">
        <v>0.0</v>
      </c>
      <c r="AC3115" s="382">
        <v>0.0</v>
      </c>
      <c r="AD3115" s="382">
        <v>0.0</v>
      </c>
      <c r="AE3115" s="382">
        <v>0.0</v>
      </c>
      <c r="AF3115" s="382">
        <v>0.0</v>
      </c>
      <c r="AG3115" s="382">
        <v>0.0</v>
      </c>
      <c r="AH3115" s="382">
        <v>0.0</v>
      </c>
      <c r="AI3115" s="382">
        <v>0.0</v>
      </c>
      <c r="AJ3115" s="382">
        <v>0.0</v>
      </c>
      <c r="AK3115" s="382">
        <v>0.0</v>
      </c>
      <c r="AL3115" s="382">
        <v>0.0</v>
      </c>
      <c r="AM3115" s="382">
        <v>0.0</v>
      </c>
      <c r="AN3115" s="382">
        <v>0.0</v>
      </c>
      <c r="AO3115" s="382">
        <v>0.0</v>
      </c>
      <c r="AP3115" s="382">
        <v>0.0</v>
      </c>
      <c r="AQ3115" s="382">
        <v>0.0</v>
      </c>
      <c r="AR3115" s="382">
        <v>0.0</v>
      </c>
      <c r="AS3115" s="382">
        <v>0.0</v>
      </c>
      <c r="AT3115" s="382">
        <v>0.0</v>
      </c>
      <c r="AU3115" s="382">
        <v>0.0</v>
      </c>
      <c r="AV3115" s="382">
        <v>0.0</v>
      </c>
      <c r="AW3115" s="382">
        <v>0.0</v>
      </c>
      <c r="AX3115" s="382">
        <v>0.0</v>
      </c>
      <c r="AY3115" s="382">
        <v>0.0</v>
      </c>
      <c r="AZ3115" s="382">
        <v>0.0</v>
      </c>
      <c r="BA3115" s="382">
        <v>0.0</v>
      </c>
      <c r="BB3115" s="374"/>
      <c r="BC3115" s="32"/>
      <c r="BD3115" s="32"/>
      <c r="BE3115" s="32"/>
      <c r="BF3115" s="32"/>
      <c r="BG3115" s="32"/>
      <c r="BH3115" s="32"/>
      <c r="BI3115" s="32"/>
      <c r="BJ3115" s="32"/>
      <c r="BK3115" s="32"/>
      <c r="BL3115" s="32"/>
      <c r="BM3115" s="32"/>
      <c r="BN3115" s="32"/>
      <c r="BO3115" s="32"/>
      <c r="BP3115" s="32"/>
      <c r="BQ3115" s="32"/>
      <c r="BR3115" s="32"/>
      <c r="BS3115" s="32"/>
      <c r="BT3115" s="32"/>
      <c r="BU3115" s="32"/>
      <c r="BV3115" s="32"/>
      <c r="BW3115" s="32"/>
      <c r="BX3115" s="32"/>
      <c r="BY3115" s="32"/>
      <c r="BZ3115" s="32"/>
      <c r="CA3115" s="32"/>
      <c r="CB3115" s="32"/>
      <c r="CC3115" s="32"/>
      <c r="CD3115" s="32"/>
    </row>
    <row r="3116" ht="15.75" hidden="1" customHeight="1" outlineLevel="1">
      <c r="A3116" s="365"/>
      <c r="B3116" s="381"/>
      <c r="C3116" s="382">
        <v>0.0</v>
      </c>
      <c r="D3116" s="382">
        <v>0.0</v>
      </c>
      <c r="E3116" s="382">
        <v>0.0</v>
      </c>
      <c r="F3116" s="382">
        <v>0.0</v>
      </c>
      <c r="G3116" s="382">
        <v>0.0</v>
      </c>
      <c r="H3116" s="382">
        <v>0.0</v>
      </c>
      <c r="I3116" s="382">
        <v>0.0</v>
      </c>
      <c r="J3116" s="382">
        <v>0.0</v>
      </c>
      <c r="K3116" s="382">
        <v>0.0</v>
      </c>
      <c r="L3116" s="382">
        <v>0.0</v>
      </c>
      <c r="M3116" s="382">
        <v>0.0</v>
      </c>
      <c r="N3116" s="382">
        <v>0.0</v>
      </c>
      <c r="O3116" s="382">
        <v>0.0</v>
      </c>
      <c r="P3116" s="382">
        <v>0.0</v>
      </c>
      <c r="Q3116" s="382">
        <v>0.0</v>
      </c>
      <c r="R3116" s="382">
        <v>0.0</v>
      </c>
      <c r="S3116" s="382">
        <v>0.0</v>
      </c>
      <c r="T3116" s="382">
        <v>0.0</v>
      </c>
      <c r="U3116" s="382">
        <v>0.0</v>
      </c>
      <c r="V3116" s="382">
        <v>0.0</v>
      </c>
      <c r="W3116" s="382">
        <v>0.0</v>
      </c>
      <c r="X3116" s="382">
        <v>0.0</v>
      </c>
      <c r="Y3116" s="382">
        <v>0.0</v>
      </c>
      <c r="Z3116" s="382">
        <v>0.0</v>
      </c>
      <c r="AA3116" s="382">
        <v>0.0</v>
      </c>
      <c r="AB3116" s="382">
        <v>0.0</v>
      </c>
      <c r="AC3116" s="382">
        <v>0.0</v>
      </c>
      <c r="AD3116" s="382">
        <v>0.0</v>
      </c>
      <c r="AE3116" s="382">
        <v>0.0</v>
      </c>
      <c r="AF3116" s="382">
        <v>0.0</v>
      </c>
      <c r="AG3116" s="382">
        <v>0.0</v>
      </c>
      <c r="AH3116" s="382">
        <v>0.0</v>
      </c>
      <c r="AI3116" s="382">
        <v>0.0</v>
      </c>
      <c r="AJ3116" s="382">
        <v>0.0</v>
      </c>
      <c r="AK3116" s="382">
        <v>0.0</v>
      </c>
      <c r="AL3116" s="382">
        <v>0.0</v>
      </c>
      <c r="AM3116" s="382">
        <v>0.0</v>
      </c>
      <c r="AN3116" s="382">
        <v>0.0</v>
      </c>
      <c r="AO3116" s="382">
        <v>0.0</v>
      </c>
      <c r="AP3116" s="382">
        <v>0.0</v>
      </c>
      <c r="AQ3116" s="382">
        <v>0.0</v>
      </c>
      <c r="AR3116" s="382">
        <v>0.0</v>
      </c>
      <c r="AS3116" s="382">
        <v>0.0</v>
      </c>
      <c r="AT3116" s="382">
        <v>0.0</v>
      </c>
      <c r="AU3116" s="382">
        <v>0.0</v>
      </c>
      <c r="AV3116" s="382">
        <v>0.0</v>
      </c>
      <c r="AW3116" s="382">
        <v>0.0</v>
      </c>
      <c r="AX3116" s="382">
        <v>0.0</v>
      </c>
      <c r="AY3116" s="382">
        <v>0.0</v>
      </c>
      <c r="AZ3116" s="382">
        <v>0.0</v>
      </c>
      <c r="BA3116" s="382">
        <v>0.0</v>
      </c>
      <c r="BB3116" s="374"/>
      <c r="BC3116" s="374"/>
      <c r="BD3116" s="32"/>
      <c r="BE3116" s="32"/>
      <c r="BF3116" s="32"/>
      <c r="BG3116" s="32"/>
      <c r="BH3116" s="32"/>
      <c r="BI3116" s="32"/>
      <c r="BJ3116" s="32"/>
      <c r="BK3116" s="32"/>
      <c r="BL3116" s="32"/>
      <c r="BM3116" s="32"/>
      <c r="BN3116" s="32"/>
      <c r="BO3116" s="32"/>
      <c r="BP3116" s="32"/>
      <c r="BQ3116" s="32"/>
      <c r="BR3116" s="32"/>
      <c r="BS3116" s="32"/>
      <c r="BT3116" s="32"/>
      <c r="BU3116" s="32"/>
      <c r="BV3116" s="32"/>
      <c r="BW3116" s="32"/>
      <c r="BX3116" s="32"/>
      <c r="BY3116" s="32"/>
      <c r="BZ3116" s="32"/>
      <c r="CA3116" s="32"/>
      <c r="CB3116" s="32"/>
      <c r="CC3116" s="32"/>
      <c r="CD3116" s="32"/>
    </row>
    <row r="3117" ht="15.75" hidden="1" customHeight="1" outlineLevel="1">
      <c r="A3117" s="365"/>
      <c r="B3117" s="381"/>
      <c r="C3117" s="382">
        <v>0.0</v>
      </c>
      <c r="D3117" s="382">
        <v>0.0</v>
      </c>
      <c r="E3117" s="382">
        <v>0.0</v>
      </c>
      <c r="F3117" s="382">
        <v>0.0</v>
      </c>
      <c r="G3117" s="382">
        <v>0.0</v>
      </c>
      <c r="H3117" s="382">
        <v>0.0</v>
      </c>
      <c r="I3117" s="382">
        <v>0.0</v>
      </c>
      <c r="J3117" s="382">
        <v>0.0</v>
      </c>
      <c r="K3117" s="382">
        <v>0.0</v>
      </c>
      <c r="L3117" s="382">
        <v>0.0</v>
      </c>
      <c r="M3117" s="382">
        <v>0.0</v>
      </c>
      <c r="N3117" s="382">
        <v>0.0</v>
      </c>
      <c r="O3117" s="382">
        <v>0.0</v>
      </c>
      <c r="P3117" s="382">
        <v>0.0</v>
      </c>
      <c r="Q3117" s="382">
        <v>0.0</v>
      </c>
      <c r="R3117" s="382">
        <v>0.0</v>
      </c>
      <c r="S3117" s="382">
        <v>0.0</v>
      </c>
      <c r="T3117" s="382">
        <v>0.0</v>
      </c>
      <c r="U3117" s="382">
        <v>0.0</v>
      </c>
      <c r="V3117" s="382">
        <v>0.0</v>
      </c>
      <c r="W3117" s="382">
        <v>0.0</v>
      </c>
      <c r="X3117" s="382">
        <v>0.0</v>
      </c>
      <c r="Y3117" s="382">
        <v>0.0</v>
      </c>
      <c r="Z3117" s="382">
        <v>0.0</v>
      </c>
      <c r="AA3117" s="382">
        <v>0.0</v>
      </c>
      <c r="AB3117" s="382">
        <v>0.0</v>
      </c>
      <c r="AC3117" s="382">
        <v>0.0</v>
      </c>
      <c r="AD3117" s="382">
        <v>0.0</v>
      </c>
      <c r="AE3117" s="382">
        <v>0.0</v>
      </c>
      <c r="AF3117" s="382">
        <v>0.0</v>
      </c>
      <c r="AG3117" s="382">
        <v>0.0</v>
      </c>
      <c r="AH3117" s="382">
        <v>0.0</v>
      </c>
      <c r="AI3117" s="382">
        <v>0.0</v>
      </c>
      <c r="AJ3117" s="382">
        <v>0.0</v>
      </c>
      <c r="AK3117" s="382">
        <v>0.0</v>
      </c>
      <c r="AL3117" s="382">
        <v>0.0</v>
      </c>
      <c r="AM3117" s="382">
        <v>0.0</v>
      </c>
      <c r="AN3117" s="382">
        <v>0.0</v>
      </c>
      <c r="AO3117" s="382">
        <v>0.0</v>
      </c>
      <c r="AP3117" s="382">
        <v>0.0</v>
      </c>
      <c r="AQ3117" s="382">
        <v>0.0</v>
      </c>
      <c r="AR3117" s="382">
        <v>0.0</v>
      </c>
      <c r="AS3117" s="382">
        <v>0.0</v>
      </c>
      <c r="AT3117" s="382">
        <v>0.0</v>
      </c>
      <c r="AU3117" s="382">
        <v>0.0</v>
      </c>
      <c r="AV3117" s="382">
        <v>0.0</v>
      </c>
      <c r="AW3117" s="382">
        <v>0.0</v>
      </c>
      <c r="AX3117" s="382">
        <v>0.0</v>
      </c>
      <c r="AY3117" s="382">
        <v>0.0</v>
      </c>
      <c r="AZ3117" s="382">
        <v>0.0</v>
      </c>
      <c r="BA3117" s="382">
        <v>0.0</v>
      </c>
      <c r="BB3117" s="374"/>
      <c r="BC3117" s="374"/>
      <c r="BD3117" s="374"/>
      <c r="BE3117" s="32"/>
      <c r="BF3117" s="32"/>
      <c r="BG3117" s="32"/>
      <c r="BH3117" s="32"/>
      <c r="BI3117" s="32"/>
      <c r="BJ3117" s="32"/>
      <c r="BK3117" s="32"/>
      <c r="BL3117" s="32"/>
      <c r="BM3117" s="32"/>
      <c r="BN3117" s="32"/>
      <c r="BO3117" s="32"/>
      <c r="BP3117" s="32"/>
      <c r="BQ3117" s="32"/>
      <c r="BR3117" s="32"/>
      <c r="BS3117" s="32"/>
      <c r="BT3117" s="32"/>
      <c r="BU3117" s="32"/>
      <c r="BV3117" s="32"/>
      <c r="BW3117" s="32"/>
      <c r="BX3117" s="32"/>
      <c r="BY3117" s="32"/>
      <c r="BZ3117" s="32"/>
      <c r="CA3117" s="32"/>
      <c r="CB3117" s="32"/>
      <c r="CC3117" s="32"/>
      <c r="CD3117" s="32"/>
    </row>
    <row r="3118" ht="15.75" hidden="1" customHeight="1" outlineLevel="1">
      <c r="A3118" s="365"/>
      <c r="B3118" s="381"/>
      <c r="C3118" s="382">
        <v>0.0</v>
      </c>
      <c r="D3118" s="382">
        <v>0.0</v>
      </c>
      <c r="E3118" s="382">
        <v>0.0</v>
      </c>
      <c r="F3118" s="382">
        <v>0.0</v>
      </c>
      <c r="G3118" s="382">
        <v>0.0</v>
      </c>
      <c r="H3118" s="382">
        <v>0.0</v>
      </c>
      <c r="I3118" s="382">
        <v>0.0</v>
      </c>
      <c r="J3118" s="382">
        <v>0.0</v>
      </c>
      <c r="K3118" s="382">
        <v>0.0</v>
      </c>
      <c r="L3118" s="382">
        <v>0.0</v>
      </c>
      <c r="M3118" s="382">
        <v>0.0</v>
      </c>
      <c r="N3118" s="382">
        <v>0.0</v>
      </c>
      <c r="O3118" s="382">
        <v>0.0</v>
      </c>
      <c r="P3118" s="382">
        <v>0.0</v>
      </c>
      <c r="Q3118" s="382">
        <v>0.0</v>
      </c>
      <c r="R3118" s="382">
        <v>0.0</v>
      </c>
      <c r="S3118" s="382">
        <v>0.0</v>
      </c>
      <c r="T3118" s="382">
        <v>0.0</v>
      </c>
      <c r="U3118" s="382">
        <v>0.0</v>
      </c>
      <c r="V3118" s="382">
        <v>0.0</v>
      </c>
      <c r="W3118" s="382">
        <v>0.0</v>
      </c>
      <c r="X3118" s="382">
        <v>0.0</v>
      </c>
      <c r="Y3118" s="382">
        <v>0.0</v>
      </c>
      <c r="Z3118" s="382">
        <v>0.0</v>
      </c>
      <c r="AA3118" s="382">
        <v>0.0</v>
      </c>
      <c r="AB3118" s="382">
        <v>0.0</v>
      </c>
      <c r="AC3118" s="382">
        <v>0.0</v>
      </c>
      <c r="AD3118" s="382">
        <v>0.0</v>
      </c>
      <c r="AE3118" s="382">
        <v>0.0</v>
      </c>
      <c r="AF3118" s="382">
        <v>0.0</v>
      </c>
      <c r="AG3118" s="382">
        <v>0.0</v>
      </c>
      <c r="AH3118" s="382">
        <v>0.0</v>
      </c>
      <c r="AI3118" s="382">
        <v>0.0</v>
      </c>
      <c r="AJ3118" s="382">
        <v>0.0</v>
      </c>
      <c r="AK3118" s="382">
        <v>0.0</v>
      </c>
      <c r="AL3118" s="382">
        <v>0.0</v>
      </c>
      <c r="AM3118" s="382">
        <v>0.0</v>
      </c>
      <c r="AN3118" s="382">
        <v>0.0</v>
      </c>
      <c r="AO3118" s="382">
        <v>0.0</v>
      </c>
      <c r="AP3118" s="382">
        <v>0.0</v>
      </c>
      <c r="AQ3118" s="382">
        <v>0.0</v>
      </c>
      <c r="AR3118" s="382">
        <v>0.0</v>
      </c>
      <c r="AS3118" s="382">
        <v>0.0</v>
      </c>
      <c r="AT3118" s="382">
        <v>0.0</v>
      </c>
      <c r="AU3118" s="382">
        <v>0.0</v>
      </c>
      <c r="AV3118" s="382">
        <v>0.0</v>
      </c>
      <c r="AW3118" s="382">
        <v>0.0</v>
      </c>
      <c r="AX3118" s="382">
        <v>0.0</v>
      </c>
      <c r="AY3118" s="382">
        <v>0.0</v>
      </c>
      <c r="AZ3118" s="382">
        <v>0.0</v>
      </c>
      <c r="BA3118" s="382">
        <v>0.0</v>
      </c>
      <c r="BB3118" s="374"/>
      <c r="BC3118" s="374"/>
      <c r="BD3118" s="374"/>
      <c r="BE3118" s="374"/>
      <c r="BF3118" s="32"/>
      <c r="BG3118" s="32"/>
      <c r="BH3118" s="32"/>
      <c r="BI3118" s="32"/>
      <c r="BJ3118" s="32"/>
      <c r="BK3118" s="32"/>
      <c r="BL3118" s="32"/>
      <c r="BM3118" s="32"/>
      <c r="BN3118" s="32"/>
      <c r="BO3118" s="32"/>
      <c r="BP3118" s="32"/>
      <c r="BQ3118" s="32"/>
      <c r="BR3118" s="32"/>
      <c r="BS3118" s="32"/>
      <c r="BT3118" s="32"/>
      <c r="BU3118" s="32"/>
      <c r="BV3118" s="32"/>
      <c r="BW3118" s="32"/>
      <c r="BX3118" s="32"/>
      <c r="BY3118" s="32"/>
      <c r="BZ3118" s="32"/>
      <c r="CA3118" s="32"/>
      <c r="CB3118" s="32"/>
      <c r="CC3118" s="32"/>
      <c r="CD3118" s="32"/>
    </row>
    <row r="3119" ht="15.75" hidden="1" customHeight="1" outlineLevel="1">
      <c r="A3119" s="365"/>
      <c r="B3119" s="381"/>
      <c r="C3119" s="382">
        <v>0.0</v>
      </c>
      <c r="D3119" s="382">
        <v>0.0</v>
      </c>
      <c r="E3119" s="382">
        <v>0.0</v>
      </c>
      <c r="F3119" s="382">
        <v>0.0</v>
      </c>
      <c r="G3119" s="382">
        <v>0.0</v>
      </c>
      <c r="H3119" s="382">
        <v>0.0</v>
      </c>
      <c r="I3119" s="382">
        <v>0.0</v>
      </c>
      <c r="J3119" s="382">
        <v>0.0</v>
      </c>
      <c r="K3119" s="382">
        <v>0.0</v>
      </c>
      <c r="L3119" s="382">
        <v>0.0</v>
      </c>
      <c r="M3119" s="382">
        <v>0.0</v>
      </c>
      <c r="N3119" s="382">
        <v>0.0</v>
      </c>
      <c r="O3119" s="382">
        <v>0.0</v>
      </c>
      <c r="P3119" s="382">
        <v>0.0</v>
      </c>
      <c r="Q3119" s="382">
        <v>0.0</v>
      </c>
      <c r="R3119" s="382">
        <v>0.0</v>
      </c>
      <c r="S3119" s="382">
        <v>0.0</v>
      </c>
      <c r="T3119" s="382">
        <v>0.0</v>
      </c>
      <c r="U3119" s="382">
        <v>0.0</v>
      </c>
      <c r="V3119" s="382">
        <v>0.0</v>
      </c>
      <c r="W3119" s="382">
        <v>0.0</v>
      </c>
      <c r="X3119" s="382">
        <v>0.0</v>
      </c>
      <c r="Y3119" s="382">
        <v>0.0</v>
      </c>
      <c r="Z3119" s="382">
        <v>0.0</v>
      </c>
      <c r="AA3119" s="382">
        <v>0.0</v>
      </c>
      <c r="AB3119" s="382">
        <v>0.0</v>
      </c>
      <c r="AC3119" s="382">
        <v>0.0</v>
      </c>
      <c r="AD3119" s="382">
        <v>0.0</v>
      </c>
      <c r="AE3119" s="382">
        <v>0.0</v>
      </c>
      <c r="AF3119" s="382">
        <v>0.0</v>
      </c>
      <c r="AG3119" s="382">
        <v>0.0</v>
      </c>
      <c r="AH3119" s="382">
        <v>0.0</v>
      </c>
      <c r="AI3119" s="382">
        <v>0.0</v>
      </c>
      <c r="AJ3119" s="382">
        <v>0.0</v>
      </c>
      <c r="AK3119" s="382">
        <v>0.0</v>
      </c>
      <c r="AL3119" s="382">
        <v>0.0</v>
      </c>
      <c r="AM3119" s="382">
        <v>0.0</v>
      </c>
      <c r="AN3119" s="382">
        <v>0.0</v>
      </c>
      <c r="AO3119" s="382">
        <v>0.0</v>
      </c>
      <c r="AP3119" s="382">
        <v>0.0</v>
      </c>
      <c r="AQ3119" s="382">
        <v>0.0</v>
      </c>
      <c r="AR3119" s="382">
        <v>0.0</v>
      </c>
      <c r="AS3119" s="382">
        <v>0.0</v>
      </c>
      <c r="AT3119" s="382">
        <v>0.0</v>
      </c>
      <c r="AU3119" s="382">
        <v>0.0</v>
      </c>
      <c r="AV3119" s="382">
        <v>0.0</v>
      </c>
      <c r="AW3119" s="382">
        <v>0.0</v>
      </c>
      <c r="AX3119" s="382">
        <v>0.0</v>
      </c>
      <c r="AY3119" s="382">
        <v>0.0</v>
      </c>
      <c r="AZ3119" s="382">
        <v>0.0</v>
      </c>
      <c r="BA3119" s="382">
        <v>0.0</v>
      </c>
      <c r="BB3119" s="374"/>
      <c r="BC3119" s="374"/>
      <c r="BD3119" s="374"/>
      <c r="BE3119" s="374"/>
      <c r="BF3119" s="374"/>
      <c r="BG3119" s="32"/>
      <c r="BH3119" s="32"/>
      <c r="BI3119" s="32"/>
      <c r="BJ3119" s="32"/>
      <c r="BK3119" s="32"/>
      <c r="BL3119" s="32"/>
      <c r="BM3119" s="32"/>
      <c r="BN3119" s="32"/>
      <c r="BO3119" s="32"/>
      <c r="BP3119" s="32"/>
      <c r="BQ3119" s="32"/>
      <c r="BR3119" s="32"/>
      <c r="BS3119" s="32"/>
      <c r="BT3119" s="32"/>
      <c r="BU3119" s="32"/>
      <c r="BV3119" s="32"/>
      <c r="BW3119" s="32"/>
      <c r="BX3119" s="32"/>
      <c r="BY3119" s="32"/>
      <c r="BZ3119" s="32"/>
      <c r="CA3119" s="32"/>
      <c r="CB3119" s="32"/>
      <c r="CC3119" s="32"/>
      <c r="CD3119" s="32"/>
    </row>
    <row r="3120" ht="15.75" hidden="1" customHeight="1" outlineLevel="1">
      <c r="A3120" s="365"/>
      <c r="B3120" s="381"/>
      <c r="C3120" s="382">
        <v>0.0</v>
      </c>
      <c r="D3120" s="382">
        <v>0.0</v>
      </c>
      <c r="E3120" s="382">
        <v>0.0</v>
      </c>
      <c r="F3120" s="382">
        <v>0.0</v>
      </c>
      <c r="G3120" s="382">
        <v>0.0</v>
      </c>
      <c r="H3120" s="382">
        <v>0.0</v>
      </c>
      <c r="I3120" s="382">
        <v>0.0</v>
      </c>
      <c r="J3120" s="382">
        <v>0.0</v>
      </c>
      <c r="K3120" s="382">
        <v>0.0</v>
      </c>
      <c r="L3120" s="382">
        <v>0.0</v>
      </c>
      <c r="M3120" s="382">
        <v>0.0</v>
      </c>
      <c r="N3120" s="382">
        <v>0.0</v>
      </c>
      <c r="O3120" s="382">
        <v>0.0</v>
      </c>
      <c r="P3120" s="382">
        <v>0.0</v>
      </c>
      <c r="Q3120" s="382">
        <v>0.0</v>
      </c>
      <c r="R3120" s="382">
        <v>0.0</v>
      </c>
      <c r="S3120" s="382">
        <v>0.0</v>
      </c>
      <c r="T3120" s="382">
        <v>0.0</v>
      </c>
      <c r="U3120" s="382">
        <v>0.0</v>
      </c>
      <c r="V3120" s="382">
        <v>0.0</v>
      </c>
      <c r="W3120" s="382">
        <v>0.0</v>
      </c>
      <c r="X3120" s="382">
        <v>0.0</v>
      </c>
      <c r="Y3120" s="382">
        <v>0.0</v>
      </c>
      <c r="Z3120" s="382">
        <v>0.0</v>
      </c>
      <c r="AA3120" s="382">
        <v>0.0</v>
      </c>
      <c r="AB3120" s="382">
        <v>0.0</v>
      </c>
      <c r="AC3120" s="382">
        <v>0.0</v>
      </c>
      <c r="AD3120" s="382">
        <v>0.0</v>
      </c>
      <c r="AE3120" s="382">
        <v>0.0</v>
      </c>
      <c r="AF3120" s="382">
        <v>0.0</v>
      </c>
      <c r="AG3120" s="382">
        <v>0.0</v>
      </c>
      <c r="AH3120" s="382">
        <v>0.0</v>
      </c>
      <c r="AI3120" s="382">
        <v>0.0</v>
      </c>
      <c r="AJ3120" s="382">
        <v>0.0</v>
      </c>
      <c r="AK3120" s="382">
        <v>0.0</v>
      </c>
      <c r="AL3120" s="382">
        <v>0.0</v>
      </c>
      <c r="AM3120" s="382">
        <v>0.0</v>
      </c>
      <c r="AN3120" s="382">
        <v>0.0</v>
      </c>
      <c r="AO3120" s="382">
        <v>0.0</v>
      </c>
      <c r="AP3120" s="382">
        <v>0.0</v>
      </c>
      <c r="AQ3120" s="382">
        <v>0.0</v>
      </c>
      <c r="AR3120" s="382">
        <v>0.0</v>
      </c>
      <c r="AS3120" s="382">
        <v>0.0</v>
      </c>
      <c r="AT3120" s="382">
        <v>0.0</v>
      </c>
      <c r="AU3120" s="382">
        <v>0.0</v>
      </c>
      <c r="AV3120" s="382">
        <v>0.0</v>
      </c>
      <c r="AW3120" s="382">
        <v>0.0</v>
      </c>
      <c r="AX3120" s="382">
        <v>0.0</v>
      </c>
      <c r="AY3120" s="382">
        <v>0.0</v>
      </c>
      <c r="AZ3120" s="382">
        <v>0.0</v>
      </c>
      <c r="BA3120" s="382">
        <v>0.0</v>
      </c>
      <c r="BB3120" s="374"/>
      <c r="BC3120" s="374"/>
      <c r="BD3120" s="374"/>
      <c r="BE3120" s="374"/>
      <c r="BF3120" s="374"/>
      <c r="BG3120" s="374"/>
      <c r="BH3120" s="32"/>
      <c r="BI3120" s="32"/>
      <c r="BJ3120" s="32"/>
      <c r="BK3120" s="32"/>
      <c r="BL3120" s="32"/>
      <c r="BM3120" s="32"/>
      <c r="BN3120" s="32"/>
      <c r="BO3120" s="32"/>
      <c r="BP3120" s="32"/>
      <c r="BQ3120" s="32"/>
      <c r="BR3120" s="32"/>
      <c r="BS3120" s="32"/>
      <c r="BT3120" s="32"/>
      <c r="BU3120" s="32"/>
      <c r="BV3120" s="32"/>
      <c r="BW3120" s="32"/>
      <c r="BX3120" s="32"/>
      <c r="BY3120" s="32"/>
      <c r="BZ3120" s="32"/>
      <c r="CA3120" s="32"/>
      <c r="CB3120" s="32"/>
      <c r="CC3120" s="32"/>
      <c r="CD3120" s="32"/>
    </row>
    <row r="3121" ht="15.75" hidden="1" customHeight="1" outlineLevel="1">
      <c r="A3121" s="365"/>
      <c r="B3121" s="381"/>
      <c r="C3121" s="382">
        <v>0.0</v>
      </c>
      <c r="D3121" s="382">
        <v>0.0</v>
      </c>
      <c r="E3121" s="382">
        <v>0.0</v>
      </c>
      <c r="F3121" s="382">
        <v>0.0</v>
      </c>
      <c r="G3121" s="382">
        <v>0.0</v>
      </c>
      <c r="H3121" s="382">
        <v>0.0</v>
      </c>
      <c r="I3121" s="382">
        <v>0.0</v>
      </c>
      <c r="J3121" s="382">
        <v>0.0</v>
      </c>
      <c r="K3121" s="382">
        <v>0.0</v>
      </c>
      <c r="L3121" s="382">
        <v>0.0</v>
      </c>
      <c r="M3121" s="382">
        <v>0.0</v>
      </c>
      <c r="N3121" s="382">
        <v>0.0</v>
      </c>
      <c r="O3121" s="382">
        <v>0.0</v>
      </c>
      <c r="P3121" s="382">
        <v>0.0</v>
      </c>
      <c r="Q3121" s="382">
        <v>0.0</v>
      </c>
      <c r="R3121" s="382">
        <v>0.0</v>
      </c>
      <c r="S3121" s="382">
        <v>0.0</v>
      </c>
      <c r="T3121" s="382">
        <v>0.0</v>
      </c>
      <c r="U3121" s="382">
        <v>0.0</v>
      </c>
      <c r="V3121" s="382">
        <v>0.0</v>
      </c>
      <c r="W3121" s="382">
        <v>0.0</v>
      </c>
      <c r="X3121" s="382">
        <v>0.0</v>
      </c>
      <c r="Y3121" s="382">
        <v>0.0</v>
      </c>
      <c r="Z3121" s="382">
        <v>0.0</v>
      </c>
      <c r="AA3121" s="382">
        <v>0.0</v>
      </c>
      <c r="AB3121" s="382">
        <v>0.0</v>
      </c>
      <c r="AC3121" s="382">
        <v>0.0</v>
      </c>
      <c r="AD3121" s="382">
        <v>0.0</v>
      </c>
      <c r="AE3121" s="382">
        <v>0.0</v>
      </c>
      <c r="AF3121" s="382">
        <v>0.0</v>
      </c>
      <c r="AG3121" s="382">
        <v>0.0</v>
      </c>
      <c r="AH3121" s="382">
        <v>0.0</v>
      </c>
      <c r="AI3121" s="382">
        <v>0.0</v>
      </c>
      <c r="AJ3121" s="382">
        <v>0.0</v>
      </c>
      <c r="AK3121" s="382">
        <v>0.0</v>
      </c>
      <c r="AL3121" s="382">
        <v>0.0</v>
      </c>
      <c r="AM3121" s="382">
        <v>0.0</v>
      </c>
      <c r="AN3121" s="382">
        <v>0.0</v>
      </c>
      <c r="AO3121" s="382">
        <v>0.0</v>
      </c>
      <c r="AP3121" s="382">
        <v>0.0</v>
      </c>
      <c r="AQ3121" s="382">
        <v>0.0</v>
      </c>
      <c r="AR3121" s="382">
        <v>0.0</v>
      </c>
      <c r="AS3121" s="382">
        <v>0.0</v>
      </c>
      <c r="AT3121" s="382">
        <v>0.0</v>
      </c>
      <c r="AU3121" s="382">
        <v>0.0</v>
      </c>
      <c r="AV3121" s="382">
        <v>0.0</v>
      </c>
      <c r="AW3121" s="382">
        <v>0.0</v>
      </c>
      <c r="AX3121" s="382">
        <v>0.0</v>
      </c>
      <c r="AY3121" s="382">
        <v>0.0</v>
      </c>
      <c r="AZ3121" s="382">
        <v>0.0</v>
      </c>
      <c r="BA3121" s="382">
        <v>0.0</v>
      </c>
      <c r="BB3121" s="374"/>
      <c r="BC3121" s="374"/>
      <c r="BD3121" s="374"/>
      <c r="BE3121" s="374"/>
      <c r="BF3121" s="374"/>
      <c r="BG3121" s="374"/>
      <c r="BH3121" s="374"/>
      <c r="BI3121" s="32"/>
      <c r="BJ3121" s="32"/>
      <c r="BK3121" s="32"/>
      <c r="BL3121" s="32"/>
      <c r="BM3121" s="32"/>
      <c r="BN3121" s="32"/>
      <c r="BO3121" s="32"/>
      <c r="BP3121" s="32"/>
      <c r="BQ3121" s="32"/>
      <c r="BR3121" s="32"/>
      <c r="BS3121" s="32"/>
      <c r="BT3121" s="32"/>
      <c r="BU3121" s="32"/>
      <c r="BV3121" s="32"/>
      <c r="BW3121" s="32"/>
      <c r="BX3121" s="32"/>
      <c r="BY3121" s="32"/>
      <c r="BZ3121" s="32"/>
      <c r="CA3121" s="32"/>
      <c r="CB3121" s="32"/>
      <c r="CC3121" s="32"/>
      <c r="CD3121" s="32"/>
    </row>
    <row r="3122" ht="15.75" hidden="1" customHeight="1" outlineLevel="1">
      <c r="A3122" s="365"/>
      <c r="B3122" s="381"/>
      <c r="C3122" s="382">
        <v>0.0</v>
      </c>
      <c r="D3122" s="382">
        <v>0.0</v>
      </c>
      <c r="E3122" s="382">
        <v>0.0</v>
      </c>
      <c r="F3122" s="382">
        <v>0.0</v>
      </c>
      <c r="G3122" s="382">
        <v>0.0</v>
      </c>
      <c r="H3122" s="382">
        <v>0.0</v>
      </c>
      <c r="I3122" s="382">
        <v>0.0</v>
      </c>
      <c r="J3122" s="382">
        <v>0.0</v>
      </c>
      <c r="K3122" s="382">
        <v>0.0</v>
      </c>
      <c r="L3122" s="382">
        <v>0.0</v>
      </c>
      <c r="M3122" s="382">
        <v>0.0</v>
      </c>
      <c r="N3122" s="382">
        <v>0.0</v>
      </c>
      <c r="O3122" s="382">
        <v>0.0</v>
      </c>
      <c r="P3122" s="382">
        <v>0.0</v>
      </c>
      <c r="Q3122" s="382">
        <v>0.0</v>
      </c>
      <c r="R3122" s="382">
        <v>0.0</v>
      </c>
      <c r="S3122" s="382">
        <v>0.0</v>
      </c>
      <c r="T3122" s="382">
        <v>0.0</v>
      </c>
      <c r="U3122" s="382">
        <v>0.0</v>
      </c>
      <c r="V3122" s="382">
        <v>0.0</v>
      </c>
      <c r="W3122" s="382">
        <v>0.0</v>
      </c>
      <c r="X3122" s="382">
        <v>0.0</v>
      </c>
      <c r="Y3122" s="382">
        <v>0.0</v>
      </c>
      <c r="Z3122" s="382">
        <v>0.0</v>
      </c>
      <c r="AA3122" s="382">
        <v>0.0</v>
      </c>
      <c r="AB3122" s="382">
        <v>0.0</v>
      </c>
      <c r="AC3122" s="382">
        <v>0.0</v>
      </c>
      <c r="AD3122" s="382">
        <v>0.0</v>
      </c>
      <c r="AE3122" s="382">
        <v>0.0</v>
      </c>
      <c r="AF3122" s="382">
        <v>0.0</v>
      </c>
      <c r="AG3122" s="382">
        <v>0.0</v>
      </c>
      <c r="AH3122" s="382">
        <v>0.0</v>
      </c>
      <c r="AI3122" s="382">
        <v>0.0</v>
      </c>
      <c r="AJ3122" s="382">
        <v>0.0</v>
      </c>
      <c r="AK3122" s="382">
        <v>0.0</v>
      </c>
      <c r="AL3122" s="382">
        <v>0.0</v>
      </c>
      <c r="AM3122" s="382">
        <v>0.0</v>
      </c>
      <c r="AN3122" s="382">
        <v>0.0</v>
      </c>
      <c r="AO3122" s="382">
        <v>0.0</v>
      </c>
      <c r="AP3122" s="382">
        <v>0.0</v>
      </c>
      <c r="AQ3122" s="382">
        <v>0.0</v>
      </c>
      <c r="AR3122" s="382">
        <v>0.0</v>
      </c>
      <c r="AS3122" s="382">
        <v>0.0</v>
      </c>
      <c r="AT3122" s="382">
        <v>0.0</v>
      </c>
      <c r="AU3122" s="382">
        <v>0.0</v>
      </c>
      <c r="AV3122" s="382">
        <v>0.0</v>
      </c>
      <c r="AW3122" s="382">
        <v>0.0</v>
      </c>
      <c r="AX3122" s="382">
        <v>0.0</v>
      </c>
      <c r="AY3122" s="382">
        <v>0.0</v>
      </c>
      <c r="AZ3122" s="382">
        <v>0.0</v>
      </c>
      <c r="BA3122" s="382">
        <v>0.0</v>
      </c>
      <c r="BB3122" s="374"/>
      <c r="BC3122" s="374"/>
      <c r="BD3122" s="374"/>
      <c r="BE3122" s="374"/>
      <c r="BF3122" s="374"/>
      <c r="BG3122" s="374"/>
      <c r="BH3122" s="374"/>
      <c r="BI3122" s="374"/>
      <c r="BJ3122" s="32"/>
      <c r="BK3122" s="32"/>
      <c r="BL3122" s="32"/>
      <c r="BM3122" s="32"/>
      <c r="BN3122" s="32"/>
      <c r="BO3122" s="32"/>
      <c r="BP3122" s="32"/>
      <c r="BQ3122" s="32"/>
      <c r="BR3122" s="32"/>
      <c r="BS3122" s="32"/>
      <c r="BT3122" s="32"/>
      <c r="BU3122" s="32"/>
      <c r="BV3122" s="32"/>
      <c r="BW3122" s="32"/>
      <c r="BX3122" s="32"/>
      <c r="BY3122" s="32"/>
      <c r="BZ3122" s="32"/>
      <c r="CA3122" s="32"/>
      <c r="CB3122" s="32"/>
      <c r="CC3122" s="32"/>
      <c r="CD3122" s="32"/>
    </row>
    <row r="3123" ht="15.75" hidden="1" customHeight="1" outlineLevel="1">
      <c r="A3123" s="365"/>
      <c r="B3123" s="381"/>
      <c r="C3123" s="382">
        <v>0.0</v>
      </c>
      <c r="D3123" s="382">
        <v>0.0</v>
      </c>
      <c r="E3123" s="382">
        <v>0.0</v>
      </c>
      <c r="F3123" s="382">
        <v>0.0</v>
      </c>
      <c r="G3123" s="382">
        <v>0.0</v>
      </c>
      <c r="H3123" s="382">
        <v>0.0</v>
      </c>
      <c r="I3123" s="382">
        <v>0.0</v>
      </c>
      <c r="J3123" s="382">
        <v>0.0</v>
      </c>
      <c r="K3123" s="382">
        <v>0.0</v>
      </c>
      <c r="L3123" s="382">
        <v>0.0</v>
      </c>
      <c r="M3123" s="382">
        <v>0.0</v>
      </c>
      <c r="N3123" s="382">
        <v>0.0</v>
      </c>
      <c r="O3123" s="382">
        <v>0.0</v>
      </c>
      <c r="P3123" s="382">
        <v>0.0</v>
      </c>
      <c r="Q3123" s="382">
        <v>0.0</v>
      </c>
      <c r="R3123" s="382">
        <v>0.0</v>
      </c>
      <c r="S3123" s="382">
        <v>0.0</v>
      </c>
      <c r="T3123" s="382">
        <v>0.0</v>
      </c>
      <c r="U3123" s="382">
        <v>0.0</v>
      </c>
      <c r="V3123" s="382">
        <v>0.0</v>
      </c>
      <c r="W3123" s="382">
        <v>0.0</v>
      </c>
      <c r="X3123" s="382">
        <v>0.0</v>
      </c>
      <c r="Y3123" s="382">
        <v>0.0</v>
      </c>
      <c r="Z3123" s="382">
        <v>0.0</v>
      </c>
      <c r="AA3123" s="382">
        <v>0.0</v>
      </c>
      <c r="AB3123" s="382">
        <v>0.0</v>
      </c>
      <c r="AC3123" s="382">
        <v>0.0</v>
      </c>
      <c r="AD3123" s="382">
        <v>0.0</v>
      </c>
      <c r="AE3123" s="382">
        <v>0.0</v>
      </c>
      <c r="AF3123" s="382">
        <v>0.0</v>
      </c>
      <c r="AG3123" s="382">
        <v>0.0</v>
      </c>
      <c r="AH3123" s="382">
        <v>0.0</v>
      </c>
      <c r="AI3123" s="382">
        <v>0.0</v>
      </c>
      <c r="AJ3123" s="382">
        <v>0.0</v>
      </c>
      <c r="AK3123" s="382">
        <v>0.0</v>
      </c>
      <c r="AL3123" s="382">
        <v>0.0</v>
      </c>
      <c r="AM3123" s="382">
        <v>0.0</v>
      </c>
      <c r="AN3123" s="382">
        <v>0.0</v>
      </c>
      <c r="AO3123" s="382">
        <v>0.0</v>
      </c>
      <c r="AP3123" s="382">
        <v>0.0</v>
      </c>
      <c r="AQ3123" s="382">
        <v>0.0</v>
      </c>
      <c r="AR3123" s="382">
        <v>0.0</v>
      </c>
      <c r="AS3123" s="382">
        <v>0.0</v>
      </c>
      <c r="AT3123" s="382">
        <v>0.0</v>
      </c>
      <c r="AU3123" s="382">
        <v>0.0</v>
      </c>
      <c r="AV3123" s="382">
        <v>0.0</v>
      </c>
      <c r="AW3123" s="382">
        <v>0.0</v>
      </c>
      <c r="AX3123" s="382">
        <v>0.0</v>
      </c>
      <c r="AY3123" s="382">
        <v>0.0</v>
      </c>
      <c r="AZ3123" s="382">
        <v>0.0</v>
      </c>
      <c r="BA3123" s="382">
        <v>0.0</v>
      </c>
      <c r="BB3123" s="374"/>
      <c r="BC3123" s="374"/>
      <c r="BD3123" s="374"/>
      <c r="BE3123" s="374"/>
      <c r="BF3123" s="374"/>
      <c r="BG3123" s="374"/>
      <c r="BH3123" s="374"/>
      <c r="BI3123" s="374"/>
      <c r="BJ3123" s="374"/>
      <c r="BK3123" s="32"/>
      <c r="BL3123" s="32"/>
      <c r="BM3123" s="32"/>
      <c r="BN3123" s="32"/>
      <c r="BO3123" s="32"/>
      <c r="BP3123" s="32"/>
      <c r="BQ3123" s="32"/>
      <c r="BR3123" s="32"/>
      <c r="BS3123" s="32"/>
      <c r="BT3123" s="32"/>
      <c r="BU3123" s="32"/>
      <c r="BV3123" s="32"/>
      <c r="BW3123" s="32"/>
      <c r="BX3123" s="32"/>
      <c r="BY3123" s="32"/>
      <c r="BZ3123" s="32"/>
      <c r="CA3123" s="32"/>
      <c r="CB3123" s="32"/>
      <c r="CC3123" s="32"/>
      <c r="CD3123" s="32"/>
    </row>
    <row r="3124" ht="15.75" hidden="1" customHeight="1" outlineLevel="1">
      <c r="A3124" s="365"/>
      <c r="B3124" s="381"/>
      <c r="C3124" s="382">
        <v>0.0</v>
      </c>
      <c r="D3124" s="382">
        <v>0.0</v>
      </c>
      <c r="E3124" s="382">
        <v>0.0</v>
      </c>
      <c r="F3124" s="382">
        <v>0.0</v>
      </c>
      <c r="G3124" s="382">
        <v>0.0</v>
      </c>
      <c r="H3124" s="382">
        <v>0.0</v>
      </c>
      <c r="I3124" s="382">
        <v>0.0</v>
      </c>
      <c r="J3124" s="382">
        <v>0.0</v>
      </c>
      <c r="K3124" s="382">
        <v>0.0</v>
      </c>
      <c r="L3124" s="382">
        <v>0.0</v>
      </c>
      <c r="M3124" s="382">
        <v>0.0</v>
      </c>
      <c r="N3124" s="382">
        <v>0.0</v>
      </c>
      <c r="O3124" s="382">
        <v>0.0</v>
      </c>
      <c r="P3124" s="382">
        <v>0.0</v>
      </c>
      <c r="Q3124" s="382">
        <v>0.0</v>
      </c>
      <c r="R3124" s="382">
        <v>0.0</v>
      </c>
      <c r="S3124" s="382">
        <v>0.0</v>
      </c>
      <c r="T3124" s="382">
        <v>0.0</v>
      </c>
      <c r="U3124" s="382">
        <v>0.0</v>
      </c>
      <c r="V3124" s="382">
        <v>0.0</v>
      </c>
      <c r="W3124" s="382">
        <v>0.0</v>
      </c>
      <c r="X3124" s="382">
        <v>0.0</v>
      </c>
      <c r="Y3124" s="382">
        <v>0.0</v>
      </c>
      <c r="Z3124" s="382">
        <v>0.0</v>
      </c>
      <c r="AA3124" s="382">
        <v>0.0</v>
      </c>
      <c r="AB3124" s="382">
        <v>0.0</v>
      </c>
      <c r="AC3124" s="382">
        <v>0.0</v>
      </c>
      <c r="AD3124" s="382">
        <v>0.0</v>
      </c>
      <c r="AE3124" s="382">
        <v>0.0</v>
      </c>
      <c r="AF3124" s="382">
        <v>0.0</v>
      </c>
      <c r="AG3124" s="382">
        <v>0.0</v>
      </c>
      <c r="AH3124" s="382">
        <v>0.0</v>
      </c>
      <c r="AI3124" s="382">
        <v>0.0</v>
      </c>
      <c r="AJ3124" s="382">
        <v>0.0</v>
      </c>
      <c r="AK3124" s="382">
        <v>0.0</v>
      </c>
      <c r="AL3124" s="382">
        <v>0.0</v>
      </c>
      <c r="AM3124" s="382">
        <v>0.0</v>
      </c>
      <c r="AN3124" s="382">
        <v>0.0</v>
      </c>
      <c r="AO3124" s="382">
        <v>0.0</v>
      </c>
      <c r="AP3124" s="382">
        <v>0.0</v>
      </c>
      <c r="AQ3124" s="382">
        <v>0.0</v>
      </c>
      <c r="AR3124" s="382">
        <v>0.0</v>
      </c>
      <c r="AS3124" s="382">
        <v>0.0</v>
      </c>
      <c r="AT3124" s="382">
        <v>0.0</v>
      </c>
      <c r="AU3124" s="382">
        <v>0.0</v>
      </c>
      <c r="AV3124" s="382">
        <v>0.0</v>
      </c>
      <c r="AW3124" s="382">
        <v>0.0</v>
      </c>
      <c r="AX3124" s="382">
        <v>0.0</v>
      </c>
      <c r="AY3124" s="382">
        <v>0.0</v>
      </c>
      <c r="AZ3124" s="382">
        <v>0.0</v>
      </c>
      <c r="BA3124" s="382">
        <v>0.0</v>
      </c>
      <c r="BB3124" s="374"/>
      <c r="BC3124" s="374"/>
      <c r="BD3124" s="374"/>
      <c r="BE3124" s="374"/>
      <c r="BF3124" s="374"/>
      <c r="BG3124" s="374"/>
      <c r="BH3124" s="374"/>
      <c r="BI3124" s="374"/>
      <c r="BJ3124" s="374"/>
      <c r="BK3124" s="374"/>
      <c r="BL3124" s="32"/>
      <c r="BM3124" s="32"/>
      <c r="BN3124" s="32"/>
      <c r="BO3124" s="32"/>
      <c r="BP3124" s="32"/>
      <c r="BQ3124" s="32"/>
      <c r="BR3124" s="32"/>
      <c r="BS3124" s="32"/>
      <c r="BT3124" s="32"/>
      <c r="BU3124" s="32"/>
      <c r="BV3124" s="32"/>
      <c r="BW3124" s="32"/>
      <c r="BX3124" s="32"/>
      <c r="BY3124" s="32"/>
      <c r="BZ3124" s="32"/>
      <c r="CA3124" s="32"/>
      <c r="CB3124" s="32"/>
      <c r="CC3124" s="32"/>
      <c r="CD3124" s="32"/>
    </row>
    <row r="3125" ht="15.75" hidden="1" customHeight="1" outlineLevel="1">
      <c r="A3125" s="365"/>
      <c r="B3125" s="381"/>
      <c r="C3125" s="382">
        <v>0.0</v>
      </c>
      <c r="D3125" s="382">
        <v>0.0</v>
      </c>
      <c r="E3125" s="382">
        <v>0.0</v>
      </c>
      <c r="F3125" s="382">
        <v>0.0</v>
      </c>
      <c r="G3125" s="382">
        <v>0.0</v>
      </c>
      <c r="H3125" s="382">
        <v>0.0</v>
      </c>
      <c r="I3125" s="382">
        <v>0.0</v>
      </c>
      <c r="J3125" s="382">
        <v>0.0</v>
      </c>
      <c r="K3125" s="382">
        <v>0.0</v>
      </c>
      <c r="L3125" s="382">
        <v>0.0</v>
      </c>
      <c r="M3125" s="382">
        <v>0.0</v>
      </c>
      <c r="N3125" s="382">
        <v>0.0</v>
      </c>
      <c r="O3125" s="382">
        <v>0.0</v>
      </c>
      <c r="P3125" s="382">
        <v>0.0</v>
      </c>
      <c r="Q3125" s="382">
        <v>0.0</v>
      </c>
      <c r="R3125" s="382">
        <v>0.0</v>
      </c>
      <c r="S3125" s="382">
        <v>0.0</v>
      </c>
      <c r="T3125" s="382">
        <v>0.0</v>
      </c>
      <c r="U3125" s="382">
        <v>0.0</v>
      </c>
      <c r="V3125" s="382">
        <v>0.0</v>
      </c>
      <c r="W3125" s="382">
        <v>0.0</v>
      </c>
      <c r="X3125" s="382">
        <v>0.0</v>
      </c>
      <c r="Y3125" s="382">
        <v>0.0</v>
      </c>
      <c r="Z3125" s="382">
        <v>0.0</v>
      </c>
      <c r="AA3125" s="382">
        <v>0.0</v>
      </c>
      <c r="AB3125" s="382">
        <v>0.0</v>
      </c>
      <c r="AC3125" s="382">
        <v>0.0</v>
      </c>
      <c r="AD3125" s="382">
        <v>0.0</v>
      </c>
      <c r="AE3125" s="382">
        <v>0.0</v>
      </c>
      <c r="AF3125" s="382">
        <v>0.0</v>
      </c>
      <c r="AG3125" s="382">
        <v>0.0</v>
      </c>
      <c r="AH3125" s="382">
        <v>0.0</v>
      </c>
      <c r="AI3125" s="382">
        <v>0.0</v>
      </c>
      <c r="AJ3125" s="382">
        <v>0.0</v>
      </c>
      <c r="AK3125" s="382">
        <v>0.0</v>
      </c>
      <c r="AL3125" s="382">
        <v>0.0</v>
      </c>
      <c r="AM3125" s="382">
        <v>0.0</v>
      </c>
      <c r="AN3125" s="382">
        <v>0.0</v>
      </c>
      <c r="AO3125" s="382">
        <v>0.0</v>
      </c>
      <c r="AP3125" s="382">
        <v>0.0</v>
      </c>
      <c r="AQ3125" s="382">
        <v>0.0</v>
      </c>
      <c r="AR3125" s="382">
        <v>0.0</v>
      </c>
      <c r="AS3125" s="382">
        <v>0.0</v>
      </c>
      <c r="AT3125" s="382">
        <v>0.0</v>
      </c>
      <c r="AU3125" s="382">
        <v>0.0</v>
      </c>
      <c r="AV3125" s="382">
        <v>0.0</v>
      </c>
      <c r="AW3125" s="382">
        <v>0.0</v>
      </c>
      <c r="AX3125" s="382">
        <v>0.0</v>
      </c>
      <c r="AY3125" s="382">
        <v>0.0</v>
      </c>
      <c r="AZ3125" s="382">
        <v>0.0</v>
      </c>
      <c r="BA3125" s="382">
        <v>0.0</v>
      </c>
      <c r="BB3125" s="373">
        <f>IPMT('Assumptions (T&amp;D) old'!$B$100,Model!AK$1,'Assumptions (T&amp;D) old'!$B$103,Model!$AN$3033)</f>
        <v>0</v>
      </c>
      <c r="BC3125" s="374"/>
      <c r="BD3125" s="374"/>
      <c r="BE3125" s="374"/>
      <c r="BF3125" s="374"/>
      <c r="BG3125" s="374"/>
      <c r="BH3125" s="374"/>
      <c r="BI3125" s="374"/>
      <c r="BJ3125" s="374"/>
      <c r="BK3125" s="374"/>
      <c r="BL3125" s="374"/>
      <c r="BM3125" s="32"/>
      <c r="BN3125" s="32"/>
      <c r="BO3125" s="32"/>
      <c r="BP3125" s="32"/>
      <c r="BQ3125" s="32"/>
      <c r="BR3125" s="32"/>
      <c r="BS3125" s="32"/>
      <c r="BT3125" s="32"/>
      <c r="BU3125" s="32"/>
      <c r="BV3125" s="32"/>
      <c r="BW3125" s="32"/>
      <c r="BX3125" s="32"/>
      <c r="BY3125" s="32"/>
      <c r="BZ3125" s="32"/>
      <c r="CA3125" s="32"/>
      <c r="CB3125" s="32"/>
      <c r="CC3125" s="32"/>
      <c r="CD3125" s="32"/>
    </row>
    <row r="3126" ht="15.75" hidden="1" customHeight="1" outlineLevel="1">
      <c r="A3126" s="365"/>
      <c r="B3126" s="381"/>
      <c r="C3126" s="382">
        <v>0.0</v>
      </c>
      <c r="D3126" s="382">
        <v>0.0</v>
      </c>
      <c r="E3126" s="382">
        <v>0.0</v>
      </c>
      <c r="F3126" s="382">
        <v>0.0</v>
      </c>
      <c r="G3126" s="382">
        <v>0.0</v>
      </c>
      <c r="H3126" s="382">
        <v>0.0</v>
      </c>
      <c r="I3126" s="382">
        <v>0.0</v>
      </c>
      <c r="J3126" s="382">
        <v>0.0</v>
      </c>
      <c r="K3126" s="382">
        <v>0.0</v>
      </c>
      <c r="L3126" s="382">
        <v>0.0</v>
      </c>
      <c r="M3126" s="382">
        <v>0.0</v>
      </c>
      <c r="N3126" s="382">
        <v>0.0</v>
      </c>
      <c r="O3126" s="382">
        <v>0.0</v>
      </c>
      <c r="P3126" s="382">
        <v>0.0</v>
      </c>
      <c r="Q3126" s="382">
        <v>0.0</v>
      </c>
      <c r="R3126" s="382">
        <v>0.0</v>
      </c>
      <c r="S3126" s="382">
        <v>0.0</v>
      </c>
      <c r="T3126" s="382">
        <v>0.0</v>
      </c>
      <c r="U3126" s="382">
        <v>0.0</v>
      </c>
      <c r="V3126" s="382">
        <v>0.0</v>
      </c>
      <c r="W3126" s="382">
        <v>0.0</v>
      </c>
      <c r="X3126" s="382">
        <v>0.0</v>
      </c>
      <c r="Y3126" s="382">
        <v>0.0</v>
      </c>
      <c r="Z3126" s="382">
        <v>0.0</v>
      </c>
      <c r="AA3126" s="382">
        <v>0.0</v>
      </c>
      <c r="AB3126" s="382">
        <v>0.0</v>
      </c>
      <c r="AC3126" s="382">
        <v>0.0</v>
      </c>
      <c r="AD3126" s="382">
        <v>0.0</v>
      </c>
      <c r="AE3126" s="382">
        <v>0.0</v>
      </c>
      <c r="AF3126" s="382">
        <v>0.0</v>
      </c>
      <c r="AG3126" s="382">
        <v>0.0</v>
      </c>
      <c r="AH3126" s="382">
        <v>0.0</v>
      </c>
      <c r="AI3126" s="382">
        <v>0.0</v>
      </c>
      <c r="AJ3126" s="382">
        <v>0.0</v>
      </c>
      <c r="AK3126" s="382">
        <v>0.0</v>
      </c>
      <c r="AL3126" s="382">
        <v>0.0</v>
      </c>
      <c r="AM3126" s="382">
        <v>0.0</v>
      </c>
      <c r="AN3126" s="382">
        <v>0.0</v>
      </c>
      <c r="AO3126" s="382">
        <v>0.0</v>
      </c>
      <c r="AP3126" s="382">
        <v>0.0</v>
      </c>
      <c r="AQ3126" s="382">
        <v>0.0</v>
      </c>
      <c r="AR3126" s="382">
        <v>0.0</v>
      </c>
      <c r="AS3126" s="382">
        <v>0.0</v>
      </c>
      <c r="AT3126" s="382">
        <v>0.0</v>
      </c>
      <c r="AU3126" s="382">
        <v>0.0</v>
      </c>
      <c r="AV3126" s="382">
        <v>0.0</v>
      </c>
      <c r="AW3126" s="382">
        <v>0.0</v>
      </c>
      <c r="AX3126" s="382">
        <v>0.0</v>
      </c>
      <c r="AY3126" s="382">
        <v>0.0</v>
      </c>
      <c r="AZ3126" s="382">
        <v>0.0</v>
      </c>
      <c r="BA3126" s="382">
        <v>0.0</v>
      </c>
      <c r="BB3126" s="373">
        <f>IPMT('Assumptions (T&amp;D) old'!$B$100,Model!AJ$1,'Assumptions (T&amp;D) old'!$B$103,Model!$AO$3033)</f>
        <v>0</v>
      </c>
      <c r="BC3126" s="373">
        <f>IPMT('Assumptions (T&amp;D) old'!$B$100,Model!AK$1,'Assumptions (T&amp;D) old'!$B$103,Model!$AO$3033)</f>
        <v>0</v>
      </c>
      <c r="BD3126" s="374"/>
      <c r="BE3126" s="374"/>
      <c r="BF3126" s="374"/>
      <c r="BG3126" s="374"/>
      <c r="BH3126" s="374"/>
      <c r="BI3126" s="374"/>
      <c r="BJ3126" s="374"/>
      <c r="BK3126" s="374"/>
      <c r="BL3126" s="374"/>
      <c r="BM3126" s="374"/>
      <c r="BN3126" s="32"/>
      <c r="BO3126" s="32"/>
      <c r="BP3126" s="32"/>
      <c r="BQ3126" s="32"/>
      <c r="BR3126" s="32"/>
      <c r="BS3126" s="32"/>
      <c r="BT3126" s="32"/>
      <c r="BU3126" s="32"/>
      <c r="BV3126" s="32"/>
      <c r="BW3126" s="32"/>
      <c r="BX3126" s="32"/>
      <c r="BY3126" s="32"/>
      <c r="BZ3126" s="32"/>
      <c r="CA3126" s="32"/>
      <c r="CB3126" s="32"/>
      <c r="CC3126" s="32"/>
      <c r="CD3126" s="32"/>
    </row>
    <row r="3127" ht="15.75" hidden="1" customHeight="1" outlineLevel="1">
      <c r="A3127" s="365"/>
      <c r="B3127" s="381"/>
      <c r="C3127" s="382">
        <v>0.0</v>
      </c>
      <c r="D3127" s="382">
        <v>0.0</v>
      </c>
      <c r="E3127" s="382">
        <v>0.0</v>
      </c>
      <c r="F3127" s="382">
        <v>0.0</v>
      </c>
      <c r="G3127" s="382">
        <v>0.0</v>
      </c>
      <c r="H3127" s="382">
        <v>0.0</v>
      </c>
      <c r="I3127" s="382">
        <v>0.0</v>
      </c>
      <c r="J3127" s="382">
        <v>0.0</v>
      </c>
      <c r="K3127" s="382">
        <v>0.0</v>
      </c>
      <c r="L3127" s="382">
        <v>0.0</v>
      </c>
      <c r="M3127" s="382">
        <v>0.0</v>
      </c>
      <c r="N3127" s="382">
        <v>0.0</v>
      </c>
      <c r="O3127" s="382">
        <v>0.0</v>
      </c>
      <c r="P3127" s="382">
        <v>0.0</v>
      </c>
      <c r="Q3127" s="382">
        <v>0.0</v>
      </c>
      <c r="R3127" s="382">
        <v>0.0</v>
      </c>
      <c r="S3127" s="382">
        <v>0.0</v>
      </c>
      <c r="T3127" s="382">
        <v>0.0</v>
      </c>
      <c r="U3127" s="382">
        <v>0.0</v>
      </c>
      <c r="V3127" s="382">
        <v>0.0</v>
      </c>
      <c r="W3127" s="382">
        <v>0.0</v>
      </c>
      <c r="X3127" s="382">
        <v>0.0</v>
      </c>
      <c r="Y3127" s="382">
        <v>0.0</v>
      </c>
      <c r="Z3127" s="382">
        <v>0.0</v>
      </c>
      <c r="AA3127" s="382">
        <v>0.0</v>
      </c>
      <c r="AB3127" s="382">
        <v>0.0</v>
      </c>
      <c r="AC3127" s="382">
        <v>0.0</v>
      </c>
      <c r="AD3127" s="382">
        <v>0.0</v>
      </c>
      <c r="AE3127" s="382">
        <v>0.0</v>
      </c>
      <c r="AF3127" s="382">
        <v>0.0</v>
      </c>
      <c r="AG3127" s="382">
        <v>0.0</v>
      </c>
      <c r="AH3127" s="382">
        <v>0.0</v>
      </c>
      <c r="AI3127" s="382">
        <v>0.0</v>
      </c>
      <c r="AJ3127" s="382">
        <v>0.0</v>
      </c>
      <c r="AK3127" s="382">
        <v>0.0</v>
      </c>
      <c r="AL3127" s="382">
        <v>0.0</v>
      </c>
      <c r="AM3127" s="382">
        <v>0.0</v>
      </c>
      <c r="AN3127" s="382">
        <v>0.0</v>
      </c>
      <c r="AO3127" s="382">
        <v>0.0</v>
      </c>
      <c r="AP3127" s="382">
        <v>0.0</v>
      </c>
      <c r="AQ3127" s="382">
        <v>0.0</v>
      </c>
      <c r="AR3127" s="382">
        <v>0.0</v>
      </c>
      <c r="AS3127" s="382">
        <v>0.0</v>
      </c>
      <c r="AT3127" s="382">
        <v>0.0</v>
      </c>
      <c r="AU3127" s="382">
        <v>0.0</v>
      </c>
      <c r="AV3127" s="382">
        <v>0.0</v>
      </c>
      <c r="AW3127" s="382">
        <v>0.0</v>
      </c>
      <c r="AX3127" s="382">
        <v>0.0</v>
      </c>
      <c r="AY3127" s="382">
        <v>0.0</v>
      </c>
      <c r="AZ3127" s="382">
        <v>0.0</v>
      </c>
      <c r="BA3127" s="382">
        <v>0.0</v>
      </c>
      <c r="BB3127" s="373">
        <f>IPMT('Assumptions (T&amp;D) old'!$B$100,Model!AI$1,'Assumptions (T&amp;D) old'!$B$103,Model!$AP$3033)</f>
        <v>0</v>
      </c>
      <c r="BC3127" s="373">
        <f>IPMT('Assumptions (T&amp;D) old'!$B$100,Model!AJ$1,'Assumptions (T&amp;D) old'!$B$103,Model!$AP$3033)</f>
        <v>0</v>
      </c>
      <c r="BD3127" s="373">
        <f>IPMT('Assumptions (T&amp;D) old'!$B$100,Model!AK$1,'Assumptions (T&amp;D) old'!$B$103,Model!$AP$3033)</f>
        <v>0</v>
      </c>
      <c r="BE3127" s="374"/>
      <c r="BF3127" s="374"/>
      <c r="BG3127" s="374"/>
      <c r="BH3127" s="374"/>
      <c r="BI3127" s="374"/>
      <c r="BJ3127" s="374"/>
      <c r="BK3127" s="374"/>
      <c r="BL3127" s="374"/>
      <c r="BM3127" s="374"/>
      <c r="BN3127" s="374"/>
      <c r="BO3127" s="32"/>
      <c r="BP3127" s="32"/>
      <c r="BQ3127" s="32"/>
      <c r="BR3127" s="32"/>
      <c r="BS3127" s="32"/>
      <c r="BT3127" s="32"/>
      <c r="BU3127" s="32"/>
      <c r="BV3127" s="32"/>
      <c r="BW3127" s="32"/>
      <c r="BX3127" s="32"/>
      <c r="BY3127" s="32"/>
      <c r="BZ3127" s="32"/>
      <c r="CA3127" s="32"/>
      <c r="CB3127" s="32"/>
      <c r="CC3127" s="32"/>
      <c r="CD3127" s="32"/>
    </row>
    <row r="3128" ht="15.75" hidden="1" customHeight="1" outlineLevel="1">
      <c r="A3128" s="365"/>
      <c r="B3128" s="381"/>
      <c r="C3128" s="382">
        <v>0.0</v>
      </c>
      <c r="D3128" s="382">
        <v>0.0</v>
      </c>
      <c r="E3128" s="382">
        <v>0.0</v>
      </c>
      <c r="F3128" s="382">
        <v>0.0</v>
      </c>
      <c r="G3128" s="382">
        <v>0.0</v>
      </c>
      <c r="H3128" s="382">
        <v>0.0</v>
      </c>
      <c r="I3128" s="382">
        <v>0.0</v>
      </c>
      <c r="J3128" s="382">
        <v>0.0</v>
      </c>
      <c r="K3128" s="382">
        <v>0.0</v>
      </c>
      <c r="L3128" s="382">
        <v>0.0</v>
      </c>
      <c r="M3128" s="382">
        <v>0.0</v>
      </c>
      <c r="N3128" s="382">
        <v>0.0</v>
      </c>
      <c r="O3128" s="382">
        <v>0.0</v>
      </c>
      <c r="P3128" s="382">
        <v>0.0</v>
      </c>
      <c r="Q3128" s="382">
        <v>0.0</v>
      </c>
      <c r="R3128" s="382">
        <v>0.0</v>
      </c>
      <c r="S3128" s="382">
        <v>0.0</v>
      </c>
      <c r="T3128" s="382">
        <v>0.0</v>
      </c>
      <c r="U3128" s="382">
        <v>0.0</v>
      </c>
      <c r="V3128" s="382">
        <v>0.0</v>
      </c>
      <c r="W3128" s="382">
        <v>0.0</v>
      </c>
      <c r="X3128" s="382">
        <v>0.0</v>
      </c>
      <c r="Y3128" s="382">
        <v>0.0</v>
      </c>
      <c r="Z3128" s="382">
        <v>0.0</v>
      </c>
      <c r="AA3128" s="382">
        <v>0.0</v>
      </c>
      <c r="AB3128" s="382">
        <v>0.0</v>
      </c>
      <c r="AC3128" s="382">
        <v>0.0</v>
      </c>
      <c r="AD3128" s="382">
        <v>0.0</v>
      </c>
      <c r="AE3128" s="382">
        <v>0.0</v>
      </c>
      <c r="AF3128" s="382">
        <v>0.0</v>
      </c>
      <c r="AG3128" s="382">
        <v>0.0</v>
      </c>
      <c r="AH3128" s="382">
        <v>0.0</v>
      </c>
      <c r="AI3128" s="382">
        <v>0.0</v>
      </c>
      <c r="AJ3128" s="382">
        <v>0.0</v>
      </c>
      <c r="AK3128" s="382">
        <v>0.0</v>
      </c>
      <c r="AL3128" s="382">
        <v>0.0</v>
      </c>
      <c r="AM3128" s="382">
        <v>0.0</v>
      </c>
      <c r="AN3128" s="382">
        <v>0.0</v>
      </c>
      <c r="AO3128" s="382">
        <v>0.0</v>
      </c>
      <c r="AP3128" s="382">
        <v>0.0</v>
      </c>
      <c r="AQ3128" s="382">
        <v>0.0</v>
      </c>
      <c r="AR3128" s="382">
        <v>0.0</v>
      </c>
      <c r="AS3128" s="382">
        <v>0.0</v>
      </c>
      <c r="AT3128" s="382">
        <v>0.0</v>
      </c>
      <c r="AU3128" s="382">
        <v>0.0</v>
      </c>
      <c r="AV3128" s="382">
        <v>0.0</v>
      </c>
      <c r="AW3128" s="382">
        <v>0.0</v>
      </c>
      <c r="AX3128" s="382">
        <v>0.0</v>
      </c>
      <c r="AY3128" s="382">
        <v>0.0</v>
      </c>
      <c r="AZ3128" s="382">
        <v>0.0</v>
      </c>
      <c r="BA3128" s="382">
        <v>0.0</v>
      </c>
      <c r="BB3128" s="373">
        <f>IPMT('Assumptions (T&amp;D) old'!$B$100,Model!AH$1,'Assumptions (T&amp;D) old'!$B$103,Model!$AQ$3033)</f>
        <v>0</v>
      </c>
      <c r="BC3128" s="373">
        <f>IPMT('Assumptions (T&amp;D) old'!$B$100,Model!AI$1,'Assumptions (T&amp;D) old'!$B$103,Model!$AQ$3033)</f>
        <v>0</v>
      </c>
      <c r="BD3128" s="373">
        <f>IPMT('Assumptions (T&amp;D) old'!$B$100,Model!AJ$1,'Assumptions (T&amp;D) old'!$B$103,Model!$AQ$3033)</f>
        <v>0</v>
      </c>
      <c r="BE3128" s="373">
        <f>IPMT('Assumptions (T&amp;D) old'!$B$100,Model!AK$1,'Assumptions (T&amp;D) old'!$B$103,Model!$AQ$3033)</f>
        <v>0</v>
      </c>
      <c r="BF3128" s="374"/>
      <c r="BG3128" s="374"/>
      <c r="BH3128" s="374"/>
      <c r="BI3128" s="374"/>
      <c r="BJ3128" s="374"/>
      <c r="BK3128" s="374"/>
      <c r="BL3128" s="374"/>
      <c r="BM3128" s="374"/>
      <c r="BN3128" s="374"/>
      <c r="BO3128" s="374"/>
      <c r="BP3128" s="32"/>
      <c r="BQ3128" s="32"/>
      <c r="BR3128" s="32"/>
      <c r="BS3128" s="32"/>
      <c r="BT3128" s="32"/>
      <c r="BU3128" s="32"/>
      <c r="BV3128" s="32"/>
      <c r="BW3128" s="32"/>
      <c r="BX3128" s="32"/>
      <c r="BY3128" s="32"/>
      <c r="BZ3128" s="32"/>
      <c r="CA3128" s="32"/>
      <c r="CB3128" s="32"/>
      <c r="CC3128" s="32"/>
      <c r="CD3128" s="32"/>
    </row>
    <row r="3129" ht="15.75" hidden="1" customHeight="1" outlineLevel="1">
      <c r="A3129" s="365"/>
      <c r="B3129" s="381"/>
      <c r="C3129" s="382">
        <v>0.0</v>
      </c>
      <c r="D3129" s="382">
        <v>0.0</v>
      </c>
      <c r="E3129" s="382">
        <v>0.0</v>
      </c>
      <c r="F3129" s="382">
        <v>0.0</v>
      </c>
      <c r="G3129" s="382">
        <v>0.0</v>
      </c>
      <c r="H3129" s="382">
        <v>0.0</v>
      </c>
      <c r="I3129" s="382">
        <v>0.0</v>
      </c>
      <c r="J3129" s="382">
        <v>0.0</v>
      </c>
      <c r="K3129" s="382">
        <v>0.0</v>
      </c>
      <c r="L3129" s="382">
        <v>0.0</v>
      </c>
      <c r="M3129" s="382">
        <v>0.0</v>
      </c>
      <c r="N3129" s="382">
        <v>0.0</v>
      </c>
      <c r="O3129" s="382">
        <v>0.0</v>
      </c>
      <c r="P3129" s="382">
        <v>0.0</v>
      </c>
      <c r="Q3129" s="382">
        <v>0.0</v>
      </c>
      <c r="R3129" s="382">
        <v>0.0</v>
      </c>
      <c r="S3129" s="382">
        <v>0.0</v>
      </c>
      <c r="T3129" s="382">
        <v>0.0</v>
      </c>
      <c r="U3129" s="382">
        <v>0.0</v>
      </c>
      <c r="V3129" s="382">
        <v>0.0</v>
      </c>
      <c r="W3129" s="382">
        <v>0.0</v>
      </c>
      <c r="X3129" s="382">
        <v>0.0</v>
      </c>
      <c r="Y3129" s="382">
        <v>0.0</v>
      </c>
      <c r="Z3129" s="382">
        <v>0.0</v>
      </c>
      <c r="AA3129" s="382">
        <v>0.0</v>
      </c>
      <c r="AB3129" s="382">
        <v>0.0</v>
      </c>
      <c r="AC3129" s="382">
        <v>0.0</v>
      </c>
      <c r="AD3129" s="382">
        <v>0.0</v>
      </c>
      <c r="AE3129" s="382">
        <v>0.0</v>
      </c>
      <c r="AF3129" s="382">
        <v>0.0</v>
      </c>
      <c r="AG3129" s="382">
        <v>0.0</v>
      </c>
      <c r="AH3129" s="382">
        <v>0.0</v>
      </c>
      <c r="AI3129" s="382">
        <v>0.0</v>
      </c>
      <c r="AJ3129" s="382">
        <v>0.0</v>
      </c>
      <c r="AK3129" s="382">
        <v>0.0</v>
      </c>
      <c r="AL3129" s="382">
        <v>0.0</v>
      </c>
      <c r="AM3129" s="382">
        <v>0.0</v>
      </c>
      <c r="AN3129" s="382">
        <v>0.0</v>
      </c>
      <c r="AO3129" s="382">
        <v>0.0</v>
      </c>
      <c r="AP3129" s="382">
        <v>0.0</v>
      </c>
      <c r="AQ3129" s="382">
        <v>0.0</v>
      </c>
      <c r="AR3129" s="382">
        <v>0.0</v>
      </c>
      <c r="AS3129" s="382">
        <v>0.0</v>
      </c>
      <c r="AT3129" s="382">
        <v>0.0</v>
      </c>
      <c r="AU3129" s="382">
        <v>0.0</v>
      </c>
      <c r="AV3129" s="382">
        <v>0.0</v>
      </c>
      <c r="AW3129" s="382">
        <v>0.0</v>
      </c>
      <c r="AX3129" s="382">
        <v>0.0</v>
      </c>
      <c r="AY3129" s="382">
        <v>0.0</v>
      </c>
      <c r="AZ3129" s="382">
        <v>0.0</v>
      </c>
      <c r="BA3129" s="382">
        <v>0.0</v>
      </c>
      <c r="BB3129" s="373">
        <f>IPMT('Assumptions (T&amp;D) old'!$B$100,Model!AG$1,'Assumptions (T&amp;D) old'!$B$103,Model!$AR$3033)</f>
        <v>0</v>
      </c>
      <c r="BC3129" s="373">
        <f>IPMT('Assumptions (T&amp;D) old'!$B$100,Model!AH$1,'Assumptions (T&amp;D) old'!$B$103,Model!$AR$3033)</f>
        <v>0</v>
      </c>
      <c r="BD3129" s="373">
        <f>IPMT('Assumptions (T&amp;D) old'!$B$100,Model!AI$1,'Assumptions (T&amp;D) old'!$B$103,Model!$AR$3033)</f>
        <v>0</v>
      </c>
      <c r="BE3129" s="373">
        <f>IPMT('Assumptions (T&amp;D) old'!$B$100,Model!AJ$1,'Assumptions (T&amp;D) old'!$B$103,Model!$AR$3033)</f>
        <v>0</v>
      </c>
      <c r="BF3129" s="373">
        <f>IPMT('Assumptions (T&amp;D) old'!$B$100,Model!AK$1,'Assumptions (T&amp;D) old'!$B$103,Model!$AR$3033)</f>
        <v>0</v>
      </c>
      <c r="BG3129" s="374"/>
      <c r="BH3129" s="374"/>
      <c r="BI3129" s="374"/>
      <c r="BJ3129" s="374"/>
      <c r="BK3129" s="374"/>
      <c r="BL3129" s="374"/>
      <c r="BM3129" s="374"/>
      <c r="BN3129" s="374"/>
      <c r="BO3129" s="374"/>
      <c r="BP3129" s="374"/>
      <c r="BQ3129" s="32"/>
      <c r="BR3129" s="32"/>
      <c r="BS3129" s="32"/>
      <c r="BT3129" s="32"/>
      <c r="BU3129" s="32"/>
      <c r="BV3129" s="32"/>
      <c r="BW3129" s="32"/>
      <c r="BX3129" s="32"/>
      <c r="BY3129" s="32"/>
      <c r="BZ3129" s="32"/>
      <c r="CA3129" s="32"/>
      <c r="CB3129" s="32"/>
      <c r="CC3129" s="32"/>
      <c r="CD3129" s="32"/>
    </row>
    <row r="3130" ht="15.75" hidden="1" customHeight="1" outlineLevel="1">
      <c r="A3130" s="365"/>
      <c r="B3130" s="381"/>
      <c r="C3130" s="382">
        <v>0.0</v>
      </c>
      <c r="D3130" s="382">
        <v>0.0</v>
      </c>
      <c r="E3130" s="382">
        <v>0.0</v>
      </c>
      <c r="F3130" s="382">
        <v>0.0</v>
      </c>
      <c r="G3130" s="382">
        <v>0.0</v>
      </c>
      <c r="H3130" s="382">
        <v>0.0</v>
      </c>
      <c r="I3130" s="382">
        <v>0.0</v>
      </c>
      <c r="J3130" s="382">
        <v>0.0</v>
      </c>
      <c r="K3130" s="382">
        <v>0.0</v>
      </c>
      <c r="L3130" s="382">
        <v>0.0</v>
      </c>
      <c r="M3130" s="382">
        <v>0.0</v>
      </c>
      <c r="N3130" s="382">
        <v>0.0</v>
      </c>
      <c r="O3130" s="382">
        <v>0.0</v>
      </c>
      <c r="P3130" s="382">
        <v>0.0</v>
      </c>
      <c r="Q3130" s="382">
        <v>0.0</v>
      </c>
      <c r="R3130" s="382">
        <v>0.0</v>
      </c>
      <c r="S3130" s="382">
        <v>0.0</v>
      </c>
      <c r="T3130" s="382">
        <v>0.0</v>
      </c>
      <c r="U3130" s="382">
        <v>0.0</v>
      </c>
      <c r="V3130" s="382">
        <v>0.0</v>
      </c>
      <c r="W3130" s="382">
        <v>0.0</v>
      </c>
      <c r="X3130" s="382">
        <v>0.0</v>
      </c>
      <c r="Y3130" s="382">
        <v>0.0</v>
      </c>
      <c r="Z3130" s="382">
        <v>0.0</v>
      </c>
      <c r="AA3130" s="382">
        <v>0.0</v>
      </c>
      <c r="AB3130" s="382">
        <v>0.0</v>
      </c>
      <c r="AC3130" s="382">
        <v>0.0</v>
      </c>
      <c r="AD3130" s="382">
        <v>0.0</v>
      </c>
      <c r="AE3130" s="382">
        <v>0.0</v>
      </c>
      <c r="AF3130" s="382">
        <v>0.0</v>
      </c>
      <c r="AG3130" s="382">
        <v>0.0</v>
      </c>
      <c r="AH3130" s="382">
        <v>0.0</v>
      </c>
      <c r="AI3130" s="382">
        <v>0.0</v>
      </c>
      <c r="AJ3130" s="382">
        <v>0.0</v>
      </c>
      <c r="AK3130" s="382">
        <v>0.0</v>
      </c>
      <c r="AL3130" s="382">
        <v>0.0</v>
      </c>
      <c r="AM3130" s="382">
        <v>0.0</v>
      </c>
      <c r="AN3130" s="382">
        <v>0.0</v>
      </c>
      <c r="AO3130" s="382">
        <v>0.0</v>
      </c>
      <c r="AP3130" s="382">
        <v>0.0</v>
      </c>
      <c r="AQ3130" s="382">
        <v>0.0</v>
      </c>
      <c r="AR3130" s="382">
        <v>0.0</v>
      </c>
      <c r="AS3130" s="382">
        <v>0.0</v>
      </c>
      <c r="AT3130" s="382">
        <v>0.0</v>
      </c>
      <c r="AU3130" s="382">
        <v>0.0</v>
      </c>
      <c r="AV3130" s="382">
        <v>0.0</v>
      </c>
      <c r="AW3130" s="382">
        <v>0.0</v>
      </c>
      <c r="AX3130" s="382">
        <v>0.0</v>
      </c>
      <c r="AY3130" s="382">
        <v>0.0</v>
      </c>
      <c r="AZ3130" s="382">
        <v>0.0</v>
      </c>
      <c r="BA3130" s="382">
        <v>0.0</v>
      </c>
      <c r="BB3130" s="373">
        <f>IPMT('Assumptions (T&amp;D) old'!$B$100,Model!AF$1,'Assumptions (T&amp;D) old'!$B$103,Model!$AS$3033)</f>
        <v>0</v>
      </c>
      <c r="BC3130" s="373">
        <f>IPMT('Assumptions (T&amp;D) old'!$B$100,Model!AG$1,'Assumptions (T&amp;D) old'!$B$103,Model!$AS$3033)</f>
        <v>0</v>
      </c>
      <c r="BD3130" s="373">
        <f>IPMT('Assumptions (T&amp;D) old'!$B$100,Model!AH$1,'Assumptions (T&amp;D) old'!$B$103,Model!$AS$3033)</f>
        <v>0</v>
      </c>
      <c r="BE3130" s="373">
        <f>IPMT('Assumptions (T&amp;D) old'!$B$100,Model!AI$1,'Assumptions (T&amp;D) old'!$B$103,Model!$AS$3033)</f>
        <v>0</v>
      </c>
      <c r="BF3130" s="373">
        <f>IPMT('Assumptions (T&amp;D) old'!$B$100,Model!AJ$1,'Assumptions (T&amp;D) old'!$B$103,Model!$AS$3033)</f>
        <v>0</v>
      </c>
      <c r="BG3130" s="373">
        <f>IPMT('Assumptions (T&amp;D) old'!$B$100,Model!AK$1,'Assumptions (T&amp;D) old'!$B$103,Model!$AS$3033)</f>
        <v>0</v>
      </c>
      <c r="BH3130" s="374"/>
      <c r="BI3130" s="374"/>
      <c r="BJ3130" s="374"/>
      <c r="BK3130" s="374"/>
      <c r="BL3130" s="374"/>
      <c r="BM3130" s="374"/>
      <c r="BN3130" s="374"/>
      <c r="BO3130" s="374"/>
      <c r="BP3130" s="374"/>
      <c r="BQ3130" s="374"/>
      <c r="BR3130" s="32"/>
      <c r="BS3130" s="32"/>
      <c r="BT3130" s="32"/>
      <c r="BU3130" s="32"/>
      <c r="BV3130" s="32"/>
      <c r="BW3130" s="32"/>
      <c r="BX3130" s="32"/>
      <c r="BY3130" s="32"/>
      <c r="BZ3130" s="32"/>
      <c r="CA3130" s="32"/>
      <c r="CB3130" s="32"/>
      <c r="CC3130" s="32"/>
      <c r="CD3130" s="32"/>
    </row>
    <row r="3131" ht="15.75" hidden="1" customHeight="1" outlineLevel="1">
      <c r="A3131" s="365"/>
      <c r="B3131" s="381"/>
      <c r="C3131" s="382">
        <v>0.0</v>
      </c>
      <c r="D3131" s="382">
        <v>0.0</v>
      </c>
      <c r="E3131" s="382">
        <v>0.0</v>
      </c>
      <c r="F3131" s="382">
        <v>0.0</v>
      </c>
      <c r="G3131" s="382">
        <v>0.0</v>
      </c>
      <c r="H3131" s="382">
        <v>0.0</v>
      </c>
      <c r="I3131" s="382">
        <v>0.0</v>
      </c>
      <c r="J3131" s="382">
        <v>0.0</v>
      </c>
      <c r="K3131" s="382">
        <v>0.0</v>
      </c>
      <c r="L3131" s="382">
        <v>0.0</v>
      </c>
      <c r="M3131" s="382">
        <v>0.0</v>
      </c>
      <c r="N3131" s="382">
        <v>0.0</v>
      </c>
      <c r="O3131" s="382">
        <v>0.0</v>
      </c>
      <c r="P3131" s="382">
        <v>0.0</v>
      </c>
      <c r="Q3131" s="382">
        <v>0.0</v>
      </c>
      <c r="R3131" s="382">
        <v>0.0</v>
      </c>
      <c r="S3131" s="382">
        <v>0.0</v>
      </c>
      <c r="T3131" s="382">
        <v>0.0</v>
      </c>
      <c r="U3131" s="382">
        <v>0.0</v>
      </c>
      <c r="V3131" s="382">
        <v>0.0</v>
      </c>
      <c r="W3131" s="382">
        <v>0.0</v>
      </c>
      <c r="X3131" s="382">
        <v>0.0</v>
      </c>
      <c r="Y3131" s="382">
        <v>0.0</v>
      </c>
      <c r="Z3131" s="382">
        <v>0.0</v>
      </c>
      <c r="AA3131" s="382">
        <v>0.0</v>
      </c>
      <c r="AB3131" s="382">
        <v>0.0</v>
      </c>
      <c r="AC3131" s="382">
        <v>0.0</v>
      </c>
      <c r="AD3131" s="382">
        <v>0.0</v>
      </c>
      <c r="AE3131" s="382">
        <v>0.0</v>
      </c>
      <c r="AF3131" s="382">
        <v>0.0</v>
      </c>
      <c r="AG3131" s="382">
        <v>0.0</v>
      </c>
      <c r="AH3131" s="382">
        <v>0.0</v>
      </c>
      <c r="AI3131" s="382">
        <v>0.0</v>
      </c>
      <c r="AJ3131" s="382">
        <v>0.0</v>
      </c>
      <c r="AK3131" s="382">
        <v>0.0</v>
      </c>
      <c r="AL3131" s="382">
        <v>0.0</v>
      </c>
      <c r="AM3131" s="382">
        <v>0.0</v>
      </c>
      <c r="AN3131" s="382">
        <v>0.0</v>
      </c>
      <c r="AO3131" s="382">
        <v>0.0</v>
      </c>
      <c r="AP3131" s="382">
        <v>0.0</v>
      </c>
      <c r="AQ3131" s="382">
        <v>0.0</v>
      </c>
      <c r="AR3131" s="382">
        <v>0.0</v>
      </c>
      <c r="AS3131" s="382">
        <v>0.0</v>
      </c>
      <c r="AT3131" s="382">
        <v>0.0</v>
      </c>
      <c r="AU3131" s="382">
        <v>0.0</v>
      </c>
      <c r="AV3131" s="382">
        <v>0.0</v>
      </c>
      <c r="AW3131" s="382">
        <v>0.0</v>
      </c>
      <c r="AX3131" s="382">
        <v>0.0</v>
      </c>
      <c r="AY3131" s="382">
        <v>0.0</v>
      </c>
      <c r="AZ3131" s="382">
        <v>0.0</v>
      </c>
      <c r="BA3131" s="382">
        <v>0.0</v>
      </c>
      <c r="BB3131" s="373">
        <f>IPMT('Assumptions (T&amp;D) old'!$B$100,Model!AE$1,'Assumptions (T&amp;D) old'!$B$103,Model!$AT$3033)</f>
        <v>0</v>
      </c>
      <c r="BC3131" s="373">
        <f>IPMT('Assumptions (T&amp;D) old'!$B$100,Model!AF$1,'Assumptions (T&amp;D) old'!$B$103,Model!$AT$3033)</f>
        <v>0</v>
      </c>
      <c r="BD3131" s="373">
        <f>IPMT('Assumptions (T&amp;D) old'!$B$100,Model!AG$1,'Assumptions (T&amp;D) old'!$B$103,Model!$AT$3033)</f>
        <v>0</v>
      </c>
      <c r="BE3131" s="373">
        <f>IPMT('Assumptions (T&amp;D) old'!$B$100,Model!AH$1,'Assumptions (T&amp;D) old'!$B$103,Model!$AT$3033)</f>
        <v>0</v>
      </c>
      <c r="BF3131" s="373">
        <f>IPMT('Assumptions (T&amp;D) old'!$B$100,Model!AI$1,'Assumptions (T&amp;D) old'!$B$103,Model!$AT$3033)</f>
        <v>0</v>
      </c>
      <c r="BG3131" s="373">
        <f>IPMT('Assumptions (T&amp;D) old'!$B$100,Model!AJ$1,'Assumptions (T&amp;D) old'!$B$103,Model!$AT$3033)</f>
        <v>0</v>
      </c>
      <c r="BH3131" s="373">
        <f>IPMT('Assumptions (T&amp;D) old'!$B$100,Model!AK$1,'Assumptions (T&amp;D) old'!$B$103,Model!$AT$3033)</f>
        <v>0</v>
      </c>
      <c r="BI3131" s="374"/>
      <c r="BJ3131" s="374"/>
      <c r="BK3131" s="374"/>
      <c r="BL3131" s="374"/>
      <c r="BM3131" s="374"/>
      <c r="BN3131" s="374"/>
      <c r="BO3131" s="374"/>
      <c r="BP3131" s="374"/>
      <c r="BQ3131" s="374"/>
      <c r="BR3131" s="374"/>
      <c r="BS3131" s="32"/>
      <c r="BT3131" s="32"/>
      <c r="BU3131" s="32"/>
      <c r="BV3131" s="32"/>
      <c r="BW3131" s="32"/>
      <c r="BX3131" s="32"/>
      <c r="BY3131" s="32"/>
      <c r="BZ3131" s="32"/>
      <c r="CA3131" s="32"/>
      <c r="CB3131" s="32"/>
      <c r="CC3131" s="32"/>
      <c r="CD3131" s="32"/>
    </row>
    <row r="3132" ht="15.75" hidden="1" customHeight="1" outlineLevel="1">
      <c r="A3132" s="365"/>
      <c r="B3132" s="381"/>
      <c r="C3132" s="382">
        <v>0.0</v>
      </c>
      <c r="D3132" s="382">
        <v>0.0</v>
      </c>
      <c r="E3132" s="382">
        <v>0.0</v>
      </c>
      <c r="F3132" s="382">
        <v>0.0</v>
      </c>
      <c r="G3132" s="382">
        <v>0.0</v>
      </c>
      <c r="H3132" s="382">
        <v>0.0</v>
      </c>
      <c r="I3132" s="382">
        <v>0.0</v>
      </c>
      <c r="J3132" s="382">
        <v>0.0</v>
      </c>
      <c r="K3132" s="382">
        <v>0.0</v>
      </c>
      <c r="L3132" s="382">
        <v>0.0</v>
      </c>
      <c r="M3132" s="382">
        <v>0.0</v>
      </c>
      <c r="N3132" s="382">
        <v>0.0</v>
      </c>
      <c r="O3132" s="382">
        <v>0.0</v>
      </c>
      <c r="P3132" s="382">
        <v>0.0</v>
      </c>
      <c r="Q3132" s="382">
        <v>0.0</v>
      </c>
      <c r="R3132" s="382">
        <v>0.0</v>
      </c>
      <c r="S3132" s="382">
        <v>0.0</v>
      </c>
      <c r="T3132" s="382">
        <v>0.0</v>
      </c>
      <c r="U3132" s="382">
        <v>0.0</v>
      </c>
      <c r="V3132" s="382">
        <v>0.0</v>
      </c>
      <c r="W3132" s="382">
        <v>0.0</v>
      </c>
      <c r="X3132" s="382">
        <v>0.0</v>
      </c>
      <c r="Y3132" s="382">
        <v>0.0</v>
      </c>
      <c r="Z3132" s="382">
        <v>0.0</v>
      </c>
      <c r="AA3132" s="382">
        <v>0.0</v>
      </c>
      <c r="AB3132" s="382">
        <v>0.0</v>
      </c>
      <c r="AC3132" s="382">
        <v>0.0</v>
      </c>
      <c r="AD3132" s="382">
        <v>0.0</v>
      </c>
      <c r="AE3132" s="382">
        <v>0.0</v>
      </c>
      <c r="AF3132" s="382">
        <v>0.0</v>
      </c>
      <c r="AG3132" s="382">
        <v>0.0</v>
      </c>
      <c r="AH3132" s="382">
        <v>0.0</v>
      </c>
      <c r="AI3132" s="382">
        <v>0.0</v>
      </c>
      <c r="AJ3132" s="382">
        <v>0.0</v>
      </c>
      <c r="AK3132" s="382">
        <v>0.0</v>
      </c>
      <c r="AL3132" s="382">
        <v>0.0</v>
      </c>
      <c r="AM3132" s="382">
        <v>0.0</v>
      </c>
      <c r="AN3132" s="382">
        <v>0.0</v>
      </c>
      <c r="AO3132" s="382">
        <v>0.0</v>
      </c>
      <c r="AP3132" s="382">
        <v>0.0</v>
      </c>
      <c r="AQ3132" s="382">
        <v>0.0</v>
      </c>
      <c r="AR3132" s="382">
        <v>0.0</v>
      </c>
      <c r="AS3132" s="382">
        <v>0.0</v>
      </c>
      <c r="AT3132" s="382">
        <v>0.0</v>
      </c>
      <c r="AU3132" s="382">
        <v>0.0</v>
      </c>
      <c r="AV3132" s="382">
        <v>0.0</v>
      </c>
      <c r="AW3132" s="382">
        <v>0.0</v>
      </c>
      <c r="AX3132" s="382">
        <v>0.0</v>
      </c>
      <c r="AY3132" s="382">
        <v>0.0</v>
      </c>
      <c r="AZ3132" s="382">
        <v>0.0</v>
      </c>
      <c r="BA3132" s="382">
        <v>0.0</v>
      </c>
      <c r="BB3132" s="373">
        <f>IPMT('Assumptions (T&amp;D) old'!$B$100,Model!AD$1,'Assumptions (T&amp;D) old'!$B$103,Model!$AU$3033)</f>
        <v>0</v>
      </c>
      <c r="BC3132" s="373">
        <f>IPMT('Assumptions (T&amp;D) old'!$B$100,Model!AE$1,'Assumptions (T&amp;D) old'!$B$103,Model!$AU$3033)</f>
        <v>0</v>
      </c>
      <c r="BD3132" s="373">
        <f>IPMT('Assumptions (T&amp;D) old'!$B$100,Model!AF$1,'Assumptions (T&amp;D) old'!$B$103,Model!$AU$3033)</f>
        <v>0</v>
      </c>
      <c r="BE3132" s="373">
        <f>IPMT('Assumptions (T&amp;D) old'!$B$100,Model!AG$1,'Assumptions (T&amp;D) old'!$B$103,Model!$AU$3033)</f>
        <v>0</v>
      </c>
      <c r="BF3132" s="373">
        <f>IPMT('Assumptions (T&amp;D) old'!$B$100,Model!AH$1,'Assumptions (T&amp;D) old'!$B$103,Model!$AU$3033)</f>
        <v>0</v>
      </c>
      <c r="BG3132" s="373">
        <f>IPMT('Assumptions (T&amp;D) old'!$B$100,Model!AI$1,'Assumptions (T&amp;D) old'!$B$103,Model!$AU$3033)</f>
        <v>0</v>
      </c>
      <c r="BH3132" s="373">
        <f>IPMT('Assumptions (T&amp;D) old'!$B$100,Model!AJ$1,'Assumptions (T&amp;D) old'!$B$103,Model!$AU$3033)</f>
        <v>0</v>
      </c>
      <c r="BI3132" s="373">
        <f>IPMT('Assumptions (T&amp;D) old'!$B$100,Model!AK$1,'Assumptions (T&amp;D) old'!$B$103,Model!$AU$3033)</f>
        <v>0</v>
      </c>
      <c r="BJ3132" s="374"/>
      <c r="BK3132" s="374"/>
      <c r="BL3132" s="374"/>
      <c r="BM3132" s="374"/>
      <c r="BN3132" s="374"/>
      <c r="BO3132" s="374"/>
      <c r="BP3132" s="374"/>
      <c r="BQ3132" s="374"/>
      <c r="BR3132" s="374"/>
      <c r="BS3132" s="374"/>
      <c r="BT3132" s="32"/>
      <c r="BU3132" s="32"/>
      <c r="BV3132" s="32"/>
      <c r="BW3132" s="32"/>
      <c r="BX3132" s="32"/>
      <c r="BY3132" s="32"/>
      <c r="BZ3132" s="32"/>
      <c r="CA3132" s="32"/>
      <c r="CB3132" s="32"/>
      <c r="CC3132" s="32"/>
      <c r="CD3132" s="32"/>
    </row>
    <row r="3133" ht="15.75" hidden="1" customHeight="1" outlineLevel="1">
      <c r="A3133" s="365"/>
      <c r="B3133" s="381"/>
      <c r="C3133" s="382">
        <v>0.0</v>
      </c>
      <c r="D3133" s="382">
        <v>0.0</v>
      </c>
      <c r="E3133" s="382">
        <v>0.0</v>
      </c>
      <c r="F3133" s="382">
        <v>0.0</v>
      </c>
      <c r="G3133" s="382">
        <v>0.0</v>
      </c>
      <c r="H3133" s="382">
        <v>0.0</v>
      </c>
      <c r="I3133" s="382">
        <v>0.0</v>
      </c>
      <c r="J3133" s="382">
        <v>0.0</v>
      </c>
      <c r="K3133" s="382">
        <v>0.0</v>
      </c>
      <c r="L3133" s="382">
        <v>0.0</v>
      </c>
      <c r="M3133" s="382">
        <v>0.0</v>
      </c>
      <c r="N3133" s="382">
        <v>0.0</v>
      </c>
      <c r="O3133" s="382">
        <v>0.0</v>
      </c>
      <c r="P3133" s="382">
        <v>0.0</v>
      </c>
      <c r="Q3133" s="382">
        <v>0.0</v>
      </c>
      <c r="R3133" s="382">
        <v>0.0</v>
      </c>
      <c r="S3133" s="382">
        <v>0.0</v>
      </c>
      <c r="T3133" s="382">
        <v>0.0</v>
      </c>
      <c r="U3133" s="382">
        <v>0.0</v>
      </c>
      <c r="V3133" s="382">
        <v>0.0</v>
      </c>
      <c r="W3133" s="382">
        <v>0.0</v>
      </c>
      <c r="X3133" s="382">
        <v>0.0</v>
      </c>
      <c r="Y3133" s="382">
        <v>0.0</v>
      </c>
      <c r="Z3133" s="382">
        <v>0.0</v>
      </c>
      <c r="AA3133" s="382">
        <v>0.0</v>
      </c>
      <c r="AB3133" s="382">
        <v>0.0</v>
      </c>
      <c r="AC3133" s="382">
        <v>0.0</v>
      </c>
      <c r="AD3133" s="382">
        <v>0.0</v>
      </c>
      <c r="AE3133" s="382">
        <v>0.0</v>
      </c>
      <c r="AF3133" s="382">
        <v>0.0</v>
      </c>
      <c r="AG3133" s="382">
        <v>0.0</v>
      </c>
      <c r="AH3133" s="382">
        <v>0.0</v>
      </c>
      <c r="AI3133" s="382">
        <v>0.0</v>
      </c>
      <c r="AJ3133" s="382">
        <v>0.0</v>
      </c>
      <c r="AK3133" s="382">
        <v>0.0</v>
      </c>
      <c r="AL3133" s="382">
        <v>0.0</v>
      </c>
      <c r="AM3133" s="382">
        <v>0.0</v>
      </c>
      <c r="AN3133" s="382">
        <v>0.0</v>
      </c>
      <c r="AO3133" s="382">
        <v>0.0</v>
      </c>
      <c r="AP3133" s="382">
        <v>0.0</v>
      </c>
      <c r="AQ3133" s="382">
        <v>0.0</v>
      </c>
      <c r="AR3133" s="382">
        <v>0.0</v>
      </c>
      <c r="AS3133" s="382">
        <v>0.0</v>
      </c>
      <c r="AT3133" s="382">
        <v>0.0</v>
      </c>
      <c r="AU3133" s="382">
        <v>0.0</v>
      </c>
      <c r="AV3133" s="382">
        <v>0.0</v>
      </c>
      <c r="AW3133" s="382">
        <v>0.0</v>
      </c>
      <c r="AX3133" s="382">
        <v>0.0</v>
      </c>
      <c r="AY3133" s="382">
        <v>0.0</v>
      </c>
      <c r="AZ3133" s="382">
        <v>0.0</v>
      </c>
      <c r="BA3133" s="382">
        <v>0.0</v>
      </c>
      <c r="BB3133" s="373">
        <f>IPMT('Assumptions (T&amp;D) old'!$B$100,Model!AC$1,'Assumptions (T&amp;D) old'!$B$103,Model!$AV$3033)</f>
        <v>0</v>
      </c>
      <c r="BC3133" s="373">
        <f>IPMT('Assumptions (T&amp;D) old'!$B$100,Model!AD$1,'Assumptions (T&amp;D) old'!$B$103,Model!$AV$3033)</f>
        <v>0</v>
      </c>
      <c r="BD3133" s="373">
        <f>IPMT('Assumptions (T&amp;D) old'!$B$100,Model!AE$1,'Assumptions (T&amp;D) old'!$B$103,Model!$AV$3033)</f>
        <v>0</v>
      </c>
      <c r="BE3133" s="373">
        <f>IPMT('Assumptions (T&amp;D) old'!$B$100,Model!AF$1,'Assumptions (T&amp;D) old'!$B$103,Model!$AV$3033)</f>
        <v>0</v>
      </c>
      <c r="BF3133" s="373">
        <f>IPMT('Assumptions (T&amp;D) old'!$B$100,Model!AG$1,'Assumptions (T&amp;D) old'!$B$103,Model!$AV$3033)</f>
        <v>0</v>
      </c>
      <c r="BG3133" s="373">
        <f>IPMT('Assumptions (T&amp;D) old'!$B$100,Model!AH$1,'Assumptions (T&amp;D) old'!$B$103,Model!$AV$3033)</f>
        <v>0</v>
      </c>
      <c r="BH3133" s="373">
        <f>IPMT('Assumptions (T&amp;D) old'!$B$100,Model!AI$1,'Assumptions (T&amp;D) old'!$B$103,Model!$AV$3033)</f>
        <v>0</v>
      </c>
      <c r="BI3133" s="373">
        <f>IPMT('Assumptions (T&amp;D) old'!$B$100,Model!AJ$1,'Assumptions (T&amp;D) old'!$B$103,Model!$AV$3033)</f>
        <v>0</v>
      </c>
      <c r="BJ3133" s="373">
        <f>IPMT('Assumptions (T&amp;D) old'!$B$100,Model!AK$1,'Assumptions (T&amp;D) old'!$B$103,Model!$AV$3033)</f>
        <v>0</v>
      </c>
      <c r="BK3133" s="374"/>
      <c r="BL3133" s="374"/>
      <c r="BM3133" s="374"/>
      <c r="BN3133" s="374"/>
      <c r="BO3133" s="374"/>
      <c r="BP3133" s="374"/>
      <c r="BQ3133" s="374"/>
      <c r="BR3133" s="374"/>
      <c r="BS3133" s="374"/>
      <c r="BT3133" s="374"/>
      <c r="BU3133" s="32"/>
      <c r="BV3133" s="32"/>
      <c r="BW3133" s="32"/>
      <c r="BX3133" s="32"/>
      <c r="BY3133" s="32"/>
      <c r="BZ3133" s="32"/>
      <c r="CA3133" s="32"/>
      <c r="CB3133" s="32"/>
      <c r="CC3133" s="32"/>
      <c r="CD3133" s="32"/>
    </row>
    <row r="3134" ht="15.75" hidden="1" customHeight="1" outlineLevel="1">
      <c r="A3134" s="365"/>
      <c r="B3134" s="381"/>
      <c r="C3134" s="382">
        <v>0.0</v>
      </c>
      <c r="D3134" s="382">
        <v>0.0</v>
      </c>
      <c r="E3134" s="382">
        <v>0.0</v>
      </c>
      <c r="F3134" s="382">
        <v>0.0</v>
      </c>
      <c r="G3134" s="382">
        <v>0.0</v>
      </c>
      <c r="H3134" s="382">
        <v>0.0</v>
      </c>
      <c r="I3134" s="382">
        <v>0.0</v>
      </c>
      <c r="J3134" s="382">
        <v>0.0</v>
      </c>
      <c r="K3134" s="382">
        <v>0.0</v>
      </c>
      <c r="L3134" s="382">
        <v>0.0</v>
      </c>
      <c r="M3134" s="382">
        <v>0.0</v>
      </c>
      <c r="N3134" s="382">
        <v>0.0</v>
      </c>
      <c r="O3134" s="382">
        <v>0.0</v>
      </c>
      <c r="P3134" s="382">
        <v>0.0</v>
      </c>
      <c r="Q3134" s="382">
        <v>0.0</v>
      </c>
      <c r="R3134" s="382">
        <v>0.0</v>
      </c>
      <c r="S3134" s="382">
        <v>0.0</v>
      </c>
      <c r="T3134" s="382">
        <v>0.0</v>
      </c>
      <c r="U3134" s="382">
        <v>0.0</v>
      </c>
      <c r="V3134" s="382">
        <v>0.0</v>
      </c>
      <c r="W3134" s="382">
        <v>0.0</v>
      </c>
      <c r="X3134" s="382">
        <v>0.0</v>
      </c>
      <c r="Y3134" s="382">
        <v>0.0</v>
      </c>
      <c r="Z3134" s="382">
        <v>0.0</v>
      </c>
      <c r="AA3134" s="382">
        <v>0.0</v>
      </c>
      <c r="AB3134" s="382">
        <v>0.0</v>
      </c>
      <c r="AC3134" s="382">
        <v>0.0</v>
      </c>
      <c r="AD3134" s="382">
        <v>0.0</v>
      </c>
      <c r="AE3134" s="382">
        <v>0.0</v>
      </c>
      <c r="AF3134" s="382">
        <v>0.0</v>
      </c>
      <c r="AG3134" s="382">
        <v>0.0</v>
      </c>
      <c r="AH3134" s="382">
        <v>0.0</v>
      </c>
      <c r="AI3134" s="382">
        <v>0.0</v>
      </c>
      <c r="AJ3134" s="382">
        <v>0.0</v>
      </c>
      <c r="AK3134" s="382">
        <v>0.0</v>
      </c>
      <c r="AL3134" s="382">
        <v>0.0</v>
      </c>
      <c r="AM3134" s="382">
        <v>0.0</v>
      </c>
      <c r="AN3134" s="382">
        <v>0.0</v>
      </c>
      <c r="AO3134" s="382">
        <v>0.0</v>
      </c>
      <c r="AP3134" s="382">
        <v>0.0</v>
      </c>
      <c r="AQ3134" s="382">
        <v>0.0</v>
      </c>
      <c r="AR3134" s="382">
        <v>0.0</v>
      </c>
      <c r="AS3134" s="382">
        <v>0.0</v>
      </c>
      <c r="AT3134" s="382">
        <v>0.0</v>
      </c>
      <c r="AU3134" s="382">
        <v>0.0</v>
      </c>
      <c r="AV3134" s="382">
        <v>0.0</v>
      </c>
      <c r="AW3134" s="382">
        <v>0.0</v>
      </c>
      <c r="AX3134" s="382">
        <v>0.0</v>
      </c>
      <c r="AY3134" s="382">
        <v>0.0</v>
      </c>
      <c r="AZ3134" s="382">
        <v>0.0</v>
      </c>
      <c r="BA3134" s="382">
        <v>0.0</v>
      </c>
      <c r="BB3134" s="373">
        <f>IPMT('Assumptions (T&amp;D) old'!$B$100,Model!AB$1,'Assumptions (T&amp;D) old'!$B$103,Model!$AW$3033)</f>
        <v>0</v>
      </c>
      <c r="BC3134" s="373">
        <f>IPMT('Assumptions (T&amp;D) old'!$B$100,Model!AC$1,'Assumptions (T&amp;D) old'!$B$103,Model!$AW$3033)</f>
        <v>0</v>
      </c>
      <c r="BD3134" s="373">
        <f>IPMT('Assumptions (T&amp;D) old'!$B$100,Model!AD$1,'Assumptions (T&amp;D) old'!$B$103,Model!$AW$3033)</f>
        <v>0</v>
      </c>
      <c r="BE3134" s="373">
        <f>IPMT('Assumptions (T&amp;D) old'!$B$100,Model!AE$1,'Assumptions (T&amp;D) old'!$B$103,Model!$AW$3033)</f>
        <v>0</v>
      </c>
      <c r="BF3134" s="373">
        <f>IPMT('Assumptions (T&amp;D) old'!$B$100,Model!AF$1,'Assumptions (T&amp;D) old'!$B$103,Model!$AW$3033)</f>
        <v>0</v>
      </c>
      <c r="BG3134" s="373">
        <f>IPMT('Assumptions (T&amp;D) old'!$B$100,Model!AG$1,'Assumptions (T&amp;D) old'!$B$103,Model!$AW$3033)</f>
        <v>0</v>
      </c>
      <c r="BH3134" s="373">
        <f>IPMT('Assumptions (T&amp;D) old'!$B$100,Model!AH$1,'Assumptions (T&amp;D) old'!$B$103,Model!$AW$3033)</f>
        <v>0</v>
      </c>
      <c r="BI3134" s="373">
        <f>IPMT('Assumptions (T&amp;D) old'!$B$100,Model!AI$1,'Assumptions (T&amp;D) old'!$B$103,Model!$AW$3033)</f>
        <v>0</v>
      </c>
      <c r="BJ3134" s="373">
        <f>IPMT('Assumptions (T&amp;D) old'!$B$100,Model!AJ$1,'Assumptions (T&amp;D) old'!$B$103,Model!$AW$3033)</f>
        <v>0</v>
      </c>
      <c r="BK3134" s="373">
        <f>IPMT('Assumptions (T&amp;D) old'!$B$100,Model!AK$1,'Assumptions (T&amp;D) old'!$B$103,Model!$AW$3033)</f>
        <v>0</v>
      </c>
      <c r="BL3134" s="374"/>
      <c r="BM3134" s="374"/>
      <c r="BN3134" s="374"/>
      <c r="BO3134" s="374"/>
      <c r="BP3134" s="374"/>
      <c r="BQ3134" s="374"/>
      <c r="BR3134" s="374"/>
      <c r="BS3134" s="374"/>
      <c r="BT3134" s="374"/>
      <c r="BU3134" s="374"/>
      <c r="BV3134" s="32"/>
      <c r="BW3134" s="32"/>
      <c r="BX3134" s="32"/>
      <c r="BY3134" s="32"/>
      <c r="BZ3134" s="32"/>
      <c r="CA3134" s="32"/>
      <c r="CB3134" s="32"/>
      <c r="CC3134" s="32"/>
      <c r="CD3134" s="32"/>
    </row>
    <row r="3135" ht="15.75" hidden="1" customHeight="1" outlineLevel="1">
      <c r="A3135" s="365"/>
      <c r="B3135" s="381"/>
      <c r="C3135" s="382">
        <v>0.0</v>
      </c>
      <c r="D3135" s="382">
        <v>0.0</v>
      </c>
      <c r="E3135" s="382">
        <v>0.0</v>
      </c>
      <c r="F3135" s="382">
        <v>0.0</v>
      </c>
      <c r="G3135" s="382">
        <v>0.0</v>
      </c>
      <c r="H3135" s="382">
        <v>0.0</v>
      </c>
      <c r="I3135" s="382">
        <v>0.0</v>
      </c>
      <c r="J3135" s="382">
        <v>0.0</v>
      </c>
      <c r="K3135" s="382">
        <v>0.0</v>
      </c>
      <c r="L3135" s="382">
        <v>0.0</v>
      </c>
      <c r="M3135" s="382">
        <v>0.0</v>
      </c>
      <c r="N3135" s="382">
        <v>0.0</v>
      </c>
      <c r="O3135" s="382">
        <v>0.0</v>
      </c>
      <c r="P3135" s="382">
        <v>0.0</v>
      </c>
      <c r="Q3135" s="382">
        <v>0.0</v>
      </c>
      <c r="R3135" s="382">
        <v>0.0</v>
      </c>
      <c r="S3135" s="382">
        <v>0.0</v>
      </c>
      <c r="T3135" s="382">
        <v>0.0</v>
      </c>
      <c r="U3135" s="382">
        <v>0.0</v>
      </c>
      <c r="V3135" s="382">
        <v>0.0</v>
      </c>
      <c r="W3135" s="382">
        <v>0.0</v>
      </c>
      <c r="X3135" s="382">
        <v>0.0</v>
      </c>
      <c r="Y3135" s="382">
        <v>0.0</v>
      </c>
      <c r="Z3135" s="382">
        <v>0.0</v>
      </c>
      <c r="AA3135" s="382">
        <v>0.0</v>
      </c>
      <c r="AB3135" s="382">
        <v>0.0</v>
      </c>
      <c r="AC3135" s="382">
        <v>0.0</v>
      </c>
      <c r="AD3135" s="382">
        <v>0.0</v>
      </c>
      <c r="AE3135" s="382">
        <v>0.0</v>
      </c>
      <c r="AF3135" s="382">
        <v>0.0</v>
      </c>
      <c r="AG3135" s="382">
        <v>0.0</v>
      </c>
      <c r="AH3135" s="382">
        <v>0.0</v>
      </c>
      <c r="AI3135" s="382">
        <v>0.0</v>
      </c>
      <c r="AJ3135" s="382">
        <v>0.0</v>
      </c>
      <c r="AK3135" s="382">
        <v>0.0</v>
      </c>
      <c r="AL3135" s="382">
        <v>0.0</v>
      </c>
      <c r="AM3135" s="382">
        <v>0.0</v>
      </c>
      <c r="AN3135" s="382">
        <v>0.0</v>
      </c>
      <c r="AO3135" s="382">
        <v>0.0</v>
      </c>
      <c r="AP3135" s="382">
        <v>0.0</v>
      </c>
      <c r="AQ3135" s="382">
        <v>0.0</v>
      </c>
      <c r="AR3135" s="382">
        <v>0.0</v>
      </c>
      <c r="AS3135" s="382">
        <v>0.0</v>
      </c>
      <c r="AT3135" s="382">
        <v>0.0</v>
      </c>
      <c r="AU3135" s="382">
        <v>0.0</v>
      </c>
      <c r="AV3135" s="382">
        <v>0.0</v>
      </c>
      <c r="AW3135" s="382">
        <v>0.0</v>
      </c>
      <c r="AX3135" s="382">
        <v>0.0</v>
      </c>
      <c r="AY3135" s="382">
        <v>0.0</v>
      </c>
      <c r="AZ3135" s="382">
        <v>0.0</v>
      </c>
      <c r="BA3135" s="382">
        <v>0.0</v>
      </c>
      <c r="BB3135" s="373">
        <f>IPMT('Assumptions (T&amp;D) old'!$B$100,Model!AA$1,'Assumptions (T&amp;D) old'!$B$103,Model!$AX$3033)</f>
        <v>0</v>
      </c>
      <c r="BC3135" s="373">
        <f>IPMT('Assumptions (T&amp;D) old'!$B$100,Model!AB$1,'Assumptions (T&amp;D) old'!$B$103,Model!$AX$3033)</f>
        <v>0</v>
      </c>
      <c r="BD3135" s="373">
        <f>IPMT('Assumptions (T&amp;D) old'!$B$100,Model!AC$1,'Assumptions (T&amp;D) old'!$B$103,Model!$AX$3033)</f>
        <v>0</v>
      </c>
      <c r="BE3135" s="373">
        <f>IPMT('Assumptions (T&amp;D) old'!$B$100,Model!AD$1,'Assumptions (T&amp;D) old'!$B$103,Model!$AX$3033)</f>
        <v>0</v>
      </c>
      <c r="BF3135" s="373">
        <f>IPMT('Assumptions (T&amp;D) old'!$B$100,Model!AE$1,'Assumptions (T&amp;D) old'!$B$103,Model!$AX$3033)</f>
        <v>0</v>
      </c>
      <c r="BG3135" s="373">
        <f>IPMT('Assumptions (T&amp;D) old'!$B$100,Model!AF$1,'Assumptions (T&amp;D) old'!$B$103,Model!$AX$3033)</f>
        <v>0</v>
      </c>
      <c r="BH3135" s="373">
        <f>IPMT('Assumptions (T&amp;D) old'!$B$100,Model!AG$1,'Assumptions (T&amp;D) old'!$B$103,Model!$AX$3033)</f>
        <v>0</v>
      </c>
      <c r="BI3135" s="373">
        <f>IPMT('Assumptions (T&amp;D) old'!$B$100,Model!AH$1,'Assumptions (T&amp;D) old'!$B$103,Model!$AX$3033)</f>
        <v>0</v>
      </c>
      <c r="BJ3135" s="373">
        <f>IPMT('Assumptions (T&amp;D) old'!$B$100,Model!AI$1,'Assumptions (T&amp;D) old'!$B$103,Model!$AX$3033)</f>
        <v>0</v>
      </c>
      <c r="BK3135" s="373">
        <f>IPMT('Assumptions (T&amp;D) old'!$B$100,Model!AJ$1,'Assumptions (T&amp;D) old'!$B$103,Model!$AX$3033)</f>
        <v>0</v>
      </c>
      <c r="BL3135" s="373">
        <f>IPMT('Assumptions (T&amp;D) old'!$B$100,Model!AK$1,'Assumptions (T&amp;D) old'!$B$103,Model!$AX$3033)</f>
        <v>0</v>
      </c>
      <c r="BM3135" s="374"/>
      <c r="BN3135" s="374"/>
      <c r="BO3135" s="374"/>
      <c r="BP3135" s="374"/>
      <c r="BQ3135" s="374"/>
      <c r="BR3135" s="374"/>
      <c r="BS3135" s="374"/>
      <c r="BT3135" s="374"/>
      <c r="BU3135" s="374"/>
      <c r="BV3135" s="374"/>
      <c r="BW3135" s="32"/>
      <c r="BX3135" s="32"/>
      <c r="BY3135" s="32"/>
      <c r="BZ3135" s="32"/>
      <c r="CA3135" s="32"/>
      <c r="CB3135" s="32"/>
      <c r="CC3135" s="32"/>
      <c r="CD3135" s="32"/>
    </row>
    <row r="3136" ht="15.75" hidden="1" customHeight="1" outlineLevel="1">
      <c r="A3136" s="365"/>
      <c r="B3136" s="381"/>
      <c r="C3136" s="382">
        <v>0.0</v>
      </c>
      <c r="D3136" s="382">
        <v>0.0</v>
      </c>
      <c r="E3136" s="382">
        <v>0.0</v>
      </c>
      <c r="F3136" s="382">
        <v>0.0</v>
      </c>
      <c r="G3136" s="382">
        <v>0.0</v>
      </c>
      <c r="H3136" s="382">
        <v>0.0</v>
      </c>
      <c r="I3136" s="382">
        <v>0.0</v>
      </c>
      <c r="J3136" s="382">
        <v>0.0</v>
      </c>
      <c r="K3136" s="382">
        <v>0.0</v>
      </c>
      <c r="L3136" s="382">
        <v>0.0</v>
      </c>
      <c r="M3136" s="382">
        <v>0.0</v>
      </c>
      <c r="N3136" s="382">
        <v>0.0</v>
      </c>
      <c r="O3136" s="382">
        <v>0.0</v>
      </c>
      <c r="P3136" s="382">
        <v>0.0</v>
      </c>
      <c r="Q3136" s="382">
        <v>0.0</v>
      </c>
      <c r="R3136" s="382">
        <v>0.0</v>
      </c>
      <c r="S3136" s="382">
        <v>0.0</v>
      </c>
      <c r="T3136" s="382">
        <v>0.0</v>
      </c>
      <c r="U3136" s="382">
        <v>0.0</v>
      </c>
      <c r="V3136" s="382">
        <v>0.0</v>
      </c>
      <c r="W3136" s="382">
        <v>0.0</v>
      </c>
      <c r="X3136" s="382">
        <v>0.0</v>
      </c>
      <c r="Y3136" s="382">
        <v>0.0</v>
      </c>
      <c r="Z3136" s="382">
        <v>0.0</v>
      </c>
      <c r="AA3136" s="382">
        <v>0.0</v>
      </c>
      <c r="AB3136" s="382">
        <v>0.0</v>
      </c>
      <c r="AC3136" s="382">
        <v>0.0</v>
      </c>
      <c r="AD3136" s="382">
        <v>0.0</v>
      </c>
      <c r="AE3136" s="382">
        <v>0.0</v>
      </c>
      <c r="AF3136" s="382">
        <v>0.0</v>
      </c>
      <c r="AG3136" s="382">
        <v>0.0</v>
      </c>
      <c r="AH3136" s="382">
        <v>0.0</v>
      </c>
      <c r="AI3136" s="382">
        <v>0.0</v>
      </c>
      <c r="AJ3136" s="382">
        <v>0.0</v>
      </c>
      <c r="AK3136" s="382">
        <v>0.0</v>
      </c>
      <c r="AL3136" s="382">
        <v>0.0</v>
      </c>
      <c r="AM3136" s="382">
        <v>0.0</v>
      </c>
      <c r="AN3136" s="382">
        <v>0.0</v>
      </c>
      <c r="AO3136" s="382">
        <v>0.0</v>
      </c>
      <c r="AP3136" s="382">
        <v>0.0</v>
      </c>
      <c r="AQ3136" s="382">
        <v>0.0</v>
      </c>
      <c r="AR3136" s="382">
        <v>0.0</v>
      </c>
      <c r="AS3136" s="382">
        <v>0.0</v>
      </c>
      <c r="AT3136" s="382">
        <v>0.0</v>
      </c>
      <c r="AU3136" s="382">
        <v>0.0</v>
      </c>
      <c r="AV3136" s="382">
        <v>0.0</v>
      </c>
      <c r="AW3136" s="382">
        <v>0.0</v>
      </c>
      <c r="AX3136" s="382">
        <v>0.0</v>
      </c>
      <c r="AY3136" s="382">
        <v>0.0</v>
      </c>
      <c r="AZ3136" s="382">
        <v>0.0</v>
      </c>
      <c r="BA3136" s="382">
        <v>0.0</v>
      </c>
      <c r="BB3136" s="373">
        <f>IPMT('Assumptions (T&amp;D) old'!$B$100,Model!Z$1,'Assumptions (T&amp;D) old'!$B$103,Model!$AY$3033)</f>
        <v>0</v>
      </c>
      <c r="BC3136" s="373">
        <f>IPMT('Assumptions (T&amp;D) old'!$B$100,Model!AA$1,'Assumptions (T&amp;D) old'!$B$103,Model!$AY$3033)</f>
        <v>0</v>
      </c>
      <c r="BD3136" s="373">
        <f>IPMT('Assumptions (T&amp;D) old'!$B$100,Model!AB$1,'Assumptions (T&amp;D) old'!$B$103,Model!$AY$3033)</f>
        <v>0</v>
      </c>
      <c r="BE3136" s="373">
        <f>IPMT('Assumptions (T&amp;D) old'!$B$100,Model!AC$1,'Assumptions (T&amp;D) old'!$B$103,Model!$AY$3033)</f>
        <v>0</v>
      </c>
      <c r="BF3136" s="373">
        <f>IPMT('Assumptions (T&amp;D) old'!$B$100,Model!AD$1,'Assumptions (T&amp;D) old'!$B$103,Model!$AY$3033)</f>
        <v>0</v>
      </c>
      <c r="BG3136" s="373">
        <f>IPMT('Assumptions (T&amp;D) old'!$B$100,Model!AE$1,'Assumptions (T&amp;D) old'!$B$103,Model!$AY$3033)</f>
        <v>0</v>
      </c>
      <c r="BH3136" s="373">
        <f>IPMT('Assumptions (T&amp;D) old'!$B$100,Model!AF$1,'Assumptions (T&amp;D) old'!$B$103,Model!$AY$3033)</f>
        <v>0</v>
      </c>
      <c r="BI3136" s="373">
        <f>IPMT('Assumptions (T&amp;D) old'!$B$100,Model!AG$1,'Assumptions (T&amp;D) old'!$B$103,Model!$AY$3033)</f>
        <v>0</v>
      </c>
      <c r="BJ3136" s="373">
        <f>IPMT('Assumptions (T&amp;D) old'!$B$100,Model!AH$1,'Assumptions (T&amp;D) old'!$B$103,Model!$AY$3033)</f>
        <v>0</v>
      </c>
      <c r="BK3136" s="373">
        <f>IPMT('Assumptions (T&amp;D) old'!$B$100,Model!AI$1,'Assumptions (T&amp;D) old'!$B$103,Model!$AY$3033)</f>
        <v>0</v>
      </c>
      <c r="BL3136" s="373">
        <f>IPMT('Assumptions (T&amp;D) old'!$B$100,Model!AJ$1,'Assumptions (T&amp;D) old'!$B$103,Model!$AY$3033)</f>
        <v>0</v>
      </c>
      <c r="BM3136" s="373">
        <f>IPMT('Assumptions (T&amp;D) old'!$B$100,Model!AK$1,'Assumptions (T&amp;D) old'!$B$103,Model!$AY$3033)</f>
        <v>0</v>
      </c>
      <c r="BN3136" s="374"/>
      <c r="BO3136" s="374"/>
      <c r="BP3136" s="374"/>
      <c r="BQ3136" s="374"/>
      <c r="BR3136" s="374"/>
      <c r="BS3136" s="374"/>
      <c r="BT3136" s="374"/>
      <c r="BU3136" s="374"/>
      <c r="BV3136" s="374"/>
      <c r="BW3136" s="374"/>
      <c r="BX3136" s="32"/>
      <c r="BY3136" s="32"/>
      <c r="BZ3136" s="32"/>
      <c r="CA3136" s="32"/>
      <c r="CB3136" s="32"/>
      <c r="CC3136" s="32"/>
      <c r="CD3136" s="32"/>
    </row>
    <row r="3137" ht="15.75" hidden="1" customHeight="1" outlineLevel="1">
      <c r="A3137" s="365"/>
      <c r="B3137" s="381"/>
      <c r="C3137" s="382">
        <v>0.0</v>
      </c>
      <c r="D3137" s="382">
        <v>0.0</v>
      </c>
      <c r="E3137" s="382">
        <v>0.0</v>
      </c>
      <c r="F3137" s="382">
        <v>0.0</v>
      </c>
      <c r="G3137" s="382">
        <v>0.0</v>
      </c>
      <c r="H3137" s="382">
        <v>0.0</v>
      </c>
      <c r="I3137" s="382">
        <v>0.0</v>
      </c>
      <c r="J3137" s="382">
        <v>0.0</v>
      </c>
      <c r="K3137" s="382">
        <v>0.0</v>
      </c>
      <c r="L3137" s="382">
        <v>0.0</v>
      </c>
      <c r="M3137" s="382">
        <v>0.0</v>
      </c>
      <c r="N3137" s="382">
        <v>0.0</v>
      </c>
      <c r="O3137" s="382">
        <v>0.0</v>
      </c>
      <c r="P3137" s="382">
        <v>0.0</v>
      </c>
      <c r="Q3137" s="382">
        <v>0.0</v>
      </c>
      <c r="R3137" s="382">
        <v>0.0</v>
      </c>
      <c r="S3137" s="382">
        <v>0.0</v>
      </c>
      <c r="T3137" s="382">
        <v>0.0</v>
      </c>
      <c r="U3137" s="382">
        <v>0.0</v>
      </c>
      <c r="V3137" s="382">
        <v>0.0</v>
      </c>
      <c r="W3137" s="382">
        <v>0.0</v>
      </c>
      <c r="X3137" s="382">
        <v>0.0</v>
      </c>
      <c r="Y3137" s="382">
        <v>0.0</v>
      </c>
      <c r="Z3137" s="382">
        <v>0.0</v>
      </c>
      <c r="AA3137" s="382">
        <v>0.0</v>
      </c>
      <c r="AB3137" s="382">
        <v>0.0</v>
      </c>
      <c r="AC3137" s="382">
        <v>0.0</v>
      </c>
      <c r="AD3137" s="382">
        <v>0.0</v>
      </c>
      <c r="AE3137" s="382">
        <v>0.0</v>
      </c>
      <c r="AF3137" s="382">
        <v>0.0</v>
      </c>
      <c r="AG3137" s="382">
        <v>0.0</v>
      </c>
      <c r="AH3137" s="382">
        <v>0.0</v>
      </c>
      <c r="AI3137" s="382">
        <v>0.0</v>
      </c>
      <c r="AJ3137" s="382">
        <v>0.0</v>
      </c>
      <c r="AK3137" s="382">
        <v>0.0</v>
      </c>
      <c r="AL3137" s="382">
        <v>0.0</v>
      </c>
      <c r="AM3137" s="382">
        <v>0.0</v>
      </c>
      <c r="AN3137" s="382">
        <v>0.0</v>
      </c>
      <c r="AO3137" s="382">
        <v>0.0</v>
      </c>
      <c r="AP3137" s="382">
        <v>0.0</v>
      </c>
      <c r="AQ3137" s="382">
        <v>0.0</v>
      </c>
      <c r="AR3137" s="382">
        <v>0.0</v>
      </c>
      <c r="AS3137" s="382">
        <v>0.0</v>
      </c>
      <c r="AT3137" s="382">
        <v>0.0</v>
      </c>
      <c r="AU3137" s="382">
        <v>0.0</v>
      </c>
      <c r="AV3137" s="382">
        <v>0.0</v>
      </c>
      <c r="AW3137" s="382">
        <v>0.0</v>
      </c>
      <c r="AX3137" s="382">
        <v>0.0</v>
      </c>
      <c r="AY3137" s="382">
        <v>0.0</v>
      </c>
      <c r="AZ3137" s="382">
        <v>0.0</v>
      </c>
      <c r="BA3137" s="382">
        <v>0.0</v>
      </c>
      <c r="BB3137" s="373">
        <f>IPMT('Assumptions (T&amp;D) old'!$B$100,Model!Y$1,'Assumptions (T&amp;D) old'!$B$103,Model!$AZ$3033)</f>
        <v>0</v>
      </c>
      <c r="BC3137" s="373">
        <f>IPMT('Assumptions (T&amp;D) old'!$B$100,Model!Z$1,'Assumptions (T&amp;D) old'!$B$103,Model!$AZ$3033)</f>
        <v>0</v>
      </c>
      <c r="BD3137" s="373">
        <f>IPMT('Assumptions (T&amp;D) old'!$B$100,Model!AA$1,'Assumptions (T&amp;D) old'!$B$103,Model!$AZ$3033)</f>
        <v>0</v>
      </c>
      <c r="BE3137" s="373">
        <f>IPMT('Assumptions (T&amp;D) old'!$B$100,Model!AB$1,'Assumptions (T&amp;D) old'!$B$103,Model!$AZ$3033)</f>
        <v>0</v>
      </c>
      <c r="BF3137" s="373">
        <f>IPMT('Assumptions (T&amp;D) old'!$B$100,Model!AC$1,'Assumptions (T&amp;D) old'!$B$103,Model!$AZ$3033)</f>
        <v>0</v>
      </c>
      <c r="BG3137" s="373">
        <f>IPMT('Assumptions (T&amp;D) old'!$B$100,Model!AD$1,'Assumptions (T&amp;D) old'!$B$103,Model!$AZ$3033)</f>
        <v>0</v>
      </c>
      <c r="BH3137" s="373">
        <f>IPMT('Assumptions (T&amp;D) old'!$B$100,Model!AE$1,'Assumptions (T&amp;D) old'!$B$103,Model!$AZ$3033)</f>
        <v>0</v>
      </c>
      <c r="BI3137" s="373">
        <f>IPMT('Assumptions (T&amp;D) old'!$B$100,Model!AF$1,'Assumptions (T&amp;D) old'!$B$103,Model!$AZ$3033)</f>
        <v>0</v>
      </c>
      <c r="BJ3137" s="373">
        <f>IPMT('Assumptions (T&amp;D) old'!$B$100,Model!AG$1,'Assumptions (T&amp;D) old'!$B$103,Model!$AZ$3033)</f>
        <v>0</v>
      </c>
      <c r="BK3137" s="373">
        <f>IPMT('Assumptions (T&amp;D) old'!$B$100,Model!AH$1,'Assumptions (T&amp;D) old'!$B$103,Model!$AZ$3033)</f>
        <v>0</v>
      </c>
      <c r="BL3137" s="373">
        <f>IPMT('Assumptions (T&amp;D) old'!$B$100,Model!AI$1,'Assumptions (T&amp;D) old'!$B$103,Model!$AZ$3033)</f>
        <v>0</v>
      </c>
      <c r="BM3137" s="373">
        <f>IPMT('Assumptions (T&amp;D) old'!$B$100,Model!AJ$1,'Assumptions (T&amp;D) old'!$B$103,Model!$AZ$3033)</f>
        <v>0</v>
      </c>
      <c r="BN3137" s="373">
        <f>IPMT('Assumptions (T&amp;D) old'!$B$100,Model!AK$1,'Assumptions (T&amp;D) old'!$B$103,Model!$AZ$3033)</f>
        <v>0</v>
      </c>
      <c r="BO3137" s="374"/>
      <c r="BP3137" s="374"/>
      <c r="BQ3137" s="374"/>
      <c r="BR3137" s="374"/>
      <c r="BS3137" s="374"/>
      <c r="BT3137" s="374"/>
      <c r="BU3137" s="374"/>
      <c r="BV3137" s="374"/>
      <c r="BW3137" s="374"/>
      <c r="BX3137" s="374"/>
      <c r="BY3137" s="32"/>
      <c r="BZ3137" s="32"/>
      <c r="CA3137" s="32"/>
      <c r="CB3137" s="32"/>
      <c r="CC3137" s="32"/>
      <c r="CD3137" s="32"/>
    </row>
    <row r="3138" ht="15.75" hidden="1" customHeight="1" outlineLevel="1">
      <c r="A3138" s="365"/>
      <c r="B3138" s="381"/>
      <c r="C3138" s="382">
        <v>0.0</v>
      </c>
      <c r="D3138" s="382">
        <v>0.0</v>
      </c>
      <c r="E3138" s="382">
        <v>0.0</v>
      </c>
      <c r="F3138" s="382">
        <v>0.0</v>
      </c>
      <c r="G3138" s="382">
        <v>0.0</v>
      </c>
      <c r="H3138" s="382">
        <v>0.0</v>
      </c>
      <c r="I3138" s="382">
        <v>0.0</v>
      </c>
      <c r="J3138" s="382">
        <v>0.0</v>
      </c>
      <c r="K3138" s="382">
        <v>0.0</v>
      </c>
      <c r="L3138" s="382">
        <v>0.0</v>
      </c>
      <c r="M3138" s="382">
        <v>0.0</v>
      </c>
      <c r="N3138" s="382">
        <v>0.0</v>
      </c>
      <c r="O3138" s="382">
        <v>0.0</v>
      </c>
      <c r="P3138" s="382">
        <v>0.0</v>
      </c>
      <c r="Q3138" s="382">
        <v>0.0</v>
      </c>
      <c r="R3138" s="382">
        <v>0.0</v>
      </c>
      <c r="S3138" s="382">
        <v>0.0</v>
      </c>
      <c r="T3138" s="382">
        <v>0.0</v>
      </c>
      <c r="U3138" s="382">
        <v>0.0</v>
      </c>
      <c r="V3138" s="382">
        <v>0.0</v>
      </c>
      <c r="W3138" s="382">
        <v>0.0</v>
      </c>
      <c r="X3138" s="382">
        <v>0.0</v>
      </c>
      <c r="Y3138" s="382">
        <v>0.0</v>
      </c>
      <c r="Z3138" s="382">
        <v>0.0</v>
      </c>
      <c r="AA3138" s="382">
        <v>0.0</v>
      </c>
      <c r="AB3138" s="382">
        <v>0.0</v>
      </c>
      <c r="AC3138" s="382">
        <v>0.0</v>
      </c>
      <c r="AD3138" s="382">
        <v>0.0</v>
      </c>
      <c r="AE3138" s="382">
        <v>0.0</v>
      </c>
      <c r="AF3138" s="382">
        <v>0.0</v>
      </c>
      <c r="AG3138" s="382">
        <v>0.0</v>
      </c>
      <c r="AH3138" s="382">
        <v>0.0</v>
      </c>
      <c r="AI3138" s="382">
        <v>0.0</v>
      </c>
      <c r="AJ3138" s="382">
        <v>0.0</v>
      </c>
      <c r="AK3138" s="382">
        <v>0.0</v>
      </c>
      <c r="AL3138" s="382">
        <v>0.0</v>
      </c>
      <c r="AM3138" s="382">
        <v>0.0</v>
      </c>
      <c r="AN3138" s="382">
        <v>0.0</v>
      </c>
      <c r="AO3138" s="382">
        <v>0.0</v>
      </c>
      <c r="AP3138" s="382">
        <v>0.0</v>
      </c>
      <c r="AQ3138" s="382">
        <v>0.0</v>
      </c>
      <c r="AR3138" s="382">
        <v>0.0</v>
      </c>
      <c r="AS3138" s="382">
        <v>0.0</v>
      </c>
      <c r="AT3138" s="382">
        <v>0.0</v>
      </c>
      <c r="AU3138" s="382">
        <v>0.0</v>
      </c>
      <c r="AV3138" s="382">
        <v>0.0</v>
      </c>
      <c r="AW3138" s="382">
        <v>0.0</v>
      </c>
      <c r="AX3138" s="382">
        <v>0.0</v>
      </c>
      <c r="AY3138" s="382">
        <v>0.0</v>
      </c>
      <c r="AZ3138" s="382">
        <v>0.0</v>
      </c>
      <c r="BA3138" s="382">
        <v>0.0</v>
      </c>
      <c r="BB3138" s="373">
        <f>IPMT('Assumptions (T&amp;D) old'!$B$100,Model!X$1,'Assumptions (T&amp;D) old'!$B$103,Model!$BA$3033)</f>
        <v>0</v>
      </c>
      <c r="BC3138" s="373">
        <f>IPMT('Assumptions (T&amp;D) old'!$B$100,Model!Y$1,'Assumptions (T&amp;D) old'!$B$103,Model!$BA$3033)</f>
        <v>0</v>
      </c>
      <c r="BD3138" s="373">
        <f>IPMT('Assumptions (T&amp;D) old'!$B$100,Model!Z$1,'Assumptions (T&amp;D) old'!$B$103,Model!$BA$3033)</f>
        <v>0</v>
      </c>
      <c r="BE3138" s="373">
        <f>IPMT('Assumptions (T&amp;D) old'!$B$100,Model!AA$1,'Assumptions (T&amp;D) old'!$B$103,Model!$BA$3033)</f>
        <v>0</v>
      </c>
      <c r="BF3138" s="373">
        <f>IPMT('Assumptions (T&amp;D) old'!$B$100,Model!AB$1,'Assumptions (T&amp;D) old'!$B$103,Model!$BA$3033)</f>
        <v>0</v>
      </c>
      <c r="BG3138" s="373">
        <f>IPMT('Assumptions (T&amp;D) old'!$B$100,Model!AC$1,'Assumptions (T&amp;D) old'!$B$103,Model!$BA$3033)</f>
        <v>0</v>
      </c>
      <c r="BH3138" s="373">
        <f>IPMT('Assumptions (T&amp;D) old'!$B$100,Model!AD$1,'Assumptions (T&amp;D) old'!$B$103,Model!$BA$3033)</f>
        <v>0</v>
      </c>
      <c r="BI3138" s="373">
        <f>IPMT('Assumptions (T&amp;D) old'!$B$100,Model!AE$1,'Assumptions (T&amp;D) old'!$B$103,Model!$BA$3033)</f>
        <v>0</v>
      </c>
      <c r="BJ3138" s="373">
        <f>IPMT('Assumptions (T&amp;D) old'!$B$100,Model!AF$1,'Assumptions (T&amp;D) old'!$B$103,Model!$BA$3033)</f>
        <v>0</v>
      </c>
      <c r="BK3138" s="373">
        <f>IPMT('Assumptions (T&amp;D) old'!$B$100,Model!AG$1,'Assumptions (T&amp;D) old'!$B$103,Model!$BA$3033)</f>
        <v>0</v>
      </c>
      <c r="BL3138" s="373">
        <f>IPMT('Assumptions (T&amp;D) old'!$B$100,Model!AH$1,'Assumptions (T&amp;D) old'!$B$103,Model!$BA$3033)</f>
        <v>0</v>
      </c>
      <c r="BM3138" s="373">
        <f>IPMT('Assumptions (T&amp;D) old'!$B$100,Model!AI$1,'Assumptions (T&amp;D) old'!$B$103,Model!$BA$3033)</f>
        <v>0</v>
      </c>
      <c r="BN3138" s="373">
        <f>IPMT('Assumptions (T&amp;D) old'!$B$100,Model!AJ$1,'Assumptions (T&amp;D) old'!$B$103,Model!$BA$3033)</f>
        <v>0</v>
      </c>
      <c r="BO3138" s="373">
        <f>IPMT('Assumptions (T&amp;D) old'!$B$100,Model!AK$1,'Assumptions (T&amp;D) old'!$B$103,Model!$BA$3033)</f>
        <v>0</v>
      </c>
      <c r="BP3138" s="374"/>
      <c r="BQ3138" s="374"/>
      <c r="BR3138" s="374"/>
      <c r="BS3138" s="374"/>
      <c r="BT3138" s="374"/>
      <c r="BU3138" s="374"/>
      <c r="BV3138" s="374"/>
      <c r="BW3138" s="374"/>
      <c r="BX3138" s="374"/>
      <c r="BY3138" s="374"/>
      <c r="BZ3138" s="32"/>
      <c r="CA3138" s="32"/>
      <c r="CB3138" s="32"/>
      <c r="CC3138" s="32"/>
      <c r="CD3138" s="32"/>
    </row>
    <row r="3139" ht="15.75" customHeight="1" collapsed="1">
      <c r="A3139" s="365" t="s">
        <v>372</v>
      </c>
      <c r="B3139" s="381" t="s">
        <v>351</v>
      </c>
      <c r="C3139" s="382">
        <v>0.0</v>
      </c>
      <c r="D3139" s="382">
        <v>0.0</v>
      </c>
      <c r="E3139" s="382">
        <v>0.0</v>
      </c>
      <c r="F3139" s="382">
        <v>0.0</v>
      </c>
      <c r="G3139" s="382">
        <v>0.0</v>
      </c>
      <c r="H3139" s="382">
        <v>0.0</v>
      </c>
      <c r="I3139" s="382">
        <v>0.0</v>
      </c>
      <c r="J3139" s="382">
        <v>0.0</v>
      </c>
      <c r="K3139" s="382">
        <v>0.0</v>
      </c>
      <c r="L3139" s="382">
        <v>0.0</v>
      </c>
      <c r="M3139" s="382">
        <v>0.0</v>
      </c>
      <c r="N3139" s="382">
        <v>0.0</v>
      </c>
      <c r="O3139" s="382">
        <v>0.0</v>
      </c>
      <c r="P3139" s="382">
        <v>0.0</v>
      </c>
      <c r="Q3139" s="382">
        <v>0.0</v>
      </c>
      <c r="R3139" s="382">
        <v>0.0</v>
      </c>
      <c r="S3139" s="382">
        <v>0.0</v>
      </c>
      <c r="T3139" s="382">
        <v>0.0</v>
      </c>
      <c r="U3139" s="382">
        <v>0.0</v>
      </c>
      <c r="V3139" s="382">
        <v>0.0</v>
      </c>
      <c r="W3139" s="382">
        <v>0.0</v>
      </c>
      <c r="X3139" s="382">
        <v>0.0</v>
      </c>
      <c r="Y3139" s="382">
        <v>0.0</v>
      </c>
      <c r="Z3139" s="382">
        <v>0.0</v>
      </c>
      <c r="AA3139" s="382">
        <v>0.0</v>
      </c>
      <c r="AB3139" s="382">
        <v>0.0</v>
      </c>
      <c r="AC3139" s="382">
        <v>0.0</v>
      </c>
      <c r="AD3139" s="382">
        <v>0.0</v>
      </c>
      <c r="AE3139" s="382">
        <v>0.0</v>
      </c>
      <c r="AF3139" s="382">
        <v>0.0</v>
      </c>
      <c r="AG3139" s="382">
        <v>0.0</v>
      </c>
      <c r="AH3139" s="382">
        <v>0.0</v>
      </c>
      <c r="AI3139" s="382">
        <v>0.0</v>
      </c>
      <c r="AJ3139" s="382">
        <v>0.0</v>
      </c>
      <c r="AK3139" s="382">
        <v>0.0</v>
      </c>
      <c r="AL3139" s="382">
        <v>0.0</v>
      </c>
      <c r="AM3139" s="382">
        <v>0.0</v>
      </c>
      <c r="AN3139" s="382">
        <v>0.0</v>
      </c>
      <c r="AO3139" s="382">
        <v>0.0</v>
      </c>
      <c r="AP3139" s="382">
        <v>0.0</v>
      </c>
      <c r="AQ3139" s="382">
        <v>0.0</v>
      </c>
      <c r="AR3139" s="382">
        <v>0.0</v>
      </c>
      <c r="AS3139" s="382">
        <v>0.0</v>
      </c>
      <c r="AT3139" s="382">
        <v>0.0</v>
      </c>
      <c r="AU3139" s="382">
        <v>0.0</v>
      </c>
      <c r="AV3139" s="382">
        <v>0.0</v>
      </c>
      <c r="AW3139" s="382">
        <v>0.0</v>
      </c>
      <c r="AX3139" s="382">
        <v>0.0</v>
      </c>
      <c r="AY3139" s="382">
        <v>0.0</v>
      </c>
      <c r="AZ3139" s="382">
        <v>0.0</v>
      </c>
      <c r="BA3139" s="382">
        <v>0.0</v>
      </c>
      <c r="BB3139" s="371">
        <f>SUM($C$3032:BB3032)*'Assumptions (T&amp;D)'!$C$25</f>
        <v>0</v>
      </c>
      <c r="BC3139" s="371">
        <f>SUM($C$3032:BC3032)*'Assumptions (T&amp;D)'!$C$25</f>
        <v>0</v>
      </c>
      <c r="BD3139" s="371">
        <f>SUM($C$3032:BD3032)*'Assumptions (T&amp;D)'!$C$25</f>
        <v>0</v>
      </c>
      <c r="BE3139" s="371">
        <f>SUM($C$3032:BE3032)*'Assumptions (T&amp;D)'!$C$25</f>
        <v>0</v>
      </c>
      <c r="BF3139" s="371">
        <f>SUM($C$3032:BF3032)*'Assumptions (T&amp;D)'!$C$25</f>
        <v>0</v>
      </c>
      <c r="BG3139" s="371">
        <f>SUM($C$3032:BG3032)*'Assumptions (T&amp;D)'!$C$25</f>
        <v>0</v>
      </c>
      <c r="BH3139" s="371">
        <f>SUM($C$3032:BH3032)*'Assumptions (T&amp;D)'!$C$25</f>
        <v>0</v>
      </c>
      <c r="BI3139" s="371">
        <f>SUM($C$3032:BI3032)*'Assumptions (T&amp;D)'!$C$25</f>
        <v>0</v>
      </c>
      <c r="BJ3139" s="371">
        <f>SUM($C$3032:BJ3032)*'Assumptions (T&amp;D)'!$C$25</f>
        <v>0</v>
      </c>
      <c r="BK3139" s="371">
        <f>SUM($C$3032:BK3032)*'Assumptions (T&amp;D)'!$C$25</f>
        <v>0</v>
      </c>
      <c r="BL3139" s="371">
        <f>SUM($C$3032:BL3032)*'Assumptions (T&amp;D)'!$C$25</f>
        <v>0</v>
      </c>
      <c r="BM3139" s="371">
        <f>SUM($C$3032:BM3032)*'Assumptions (T&amp;D)'!$C$25</f>
        <v>0</v>
      </c>
      <c r="BN3139" s="371">
        <f>SUM($C$3032:BN3032)*'Assumptions (T&amp;D)'!$C$25</f>
        <v>0</v>
      </c>
      <c r="BO3139" s="371">
        <f>SUM($C$3032:BO3032)*'Assumptions (T&amp;D)'!$C$25</f>
        <v>0</v>
      </c>
      <c r="BP3139" s="371">
        <f>SUM($C$3032:BP3032)*'Assumptions (T&amp;D)'!$C$25</f>
        <v>0</v>
      </c>
      <c r="BQ3139" s="371">
        <f>SUM($C$3032:BQ3032)*'Assumptions (T&amp;D)'!$C$25</f>
        <v>0</v>
      </c>
      <c r="BR3139" s="371">
        <f>SUM($C$3032:BR3032)*'Assumptions (T&amp;D)'!$C$25</f>
        <v>0</v>
      </c>
      <c r="BS3139" s="371">
        <f>SUM($C$3032:BS3032)*'Assumptions (T&amp;D)'!$C$25</f>
        <v>0</v>
      </c>
      <c r="BT3139" s="371">
        <f>SUM($C$3032:BT3032)*'Assumptions (T&amp;D)'!$C$25</f>
        <v>0</v>
      </c>
      <c r="BU3139" s="371">
        <f>SUM($C$3032:BU3032)*'Assumptions (T&amp;D)'!$C$25</f>
        <v>0</v>
      </c>
      <c r="BV3139" s="371">
        <f>SUM($C$3032:BV3032)*'Assumptions (T&amp;D)'!$C$25</f>
        <v>0</v>
      </c>
      <c r="BW3139" s="371">
        <f>SUM($C$3032:BW3032)*'Assumptions (T&amp;D)'!$C$25</f>
        <v>0</v>
      </c>
      <c r="BX3139" s="371">
        <f>SUM($C$3032:BX3032)*'Assumptions (T&amp;D)'!$C$25</f>
        <v>0</v>
      </c>
      <c r="BY3139" s="371">
        <f>SUM($C$3032:BY3032)*'Assumptions (T&amp;D)'!$C$25</f>
        <v>0</v>
      </c>
      <c r="BZ3139" s="371">
        <f>SUM($C$3032:BZ3032)*'Assumptions (T&amp;D)'!$C$25</f>
        <v>0</v>
      </c>
      <c r="CA3139" s="371">
        <f>SUM($C$3032:CA3032)*'Assumptions (T&amp;D)'!$C$25</f>
        <v>0</v>
      </c>
      <c r="CB3139" s="371">
        <f>SUM($C$3032:CB3032)*'Assumptions (T&amp;D)'!$C$25</f>
        <v>0</v>
      </c>
      <c r="CC3139" s="371">
        <f>SUM($C$3032:CC3032)*'Assumptions (T&amp;D)'!$C$25</f>
        <v>0</v>
      </c>
      <c r="CD3139" s="371">
        <f>SUM($C$3032:CD3032)*'Assumptions (T&amp;D)'!$C$25</f>
        <v>0</v>
      </c>
    </row>
    <row r="3140" ht="15.75" customHeight="1">
      <c r="A3140" s="365" t="s">
        <v>373</v>
      </c>
      <c r="B3140" s="381" t="s">
        <v>351</v>
      </c>
      <c r="C3140" s="382">
        <v>0.0</v>
      </c>
      <c r="D3140" s="382">
        <v>0.0</v>
      </c>
      <c r="E3140" s="382">
        <v>0.0</v>
      </c>
      <c r="F3140" s="382">
        <v>0.0</v>
      </c>
      <c r="G3140" s="382">
        <v>0.0</v>
      </c>
      <c r="H3140" s="382">
        <v>0.0</v>
      </c>
      <c r="I3140" s="382">
        <v>0.0</v>
      </c>
      <c r="J3140" s="382">
        <v>0.0</v>
      </c>
      <c r="K3140" s="382">
        <v>0.0</v>
      </c>
      <c r="L3140" s="382">
        <v>0.0</v>
      </c>
      <c r="M3140" s="382">
        <v>0.0</v>
      </c>
      <c r="N3140" s="382">
        <v>0.0</v>
      </c>
      <c r="O3140" s="382">
        <v>0.0</v>
      </c>
      <c r="P3140" s="382">
        <v>0.0</v>
      </c>
      <c r="Q3140" s="382">
        <v>0.0</v>
      </c>
      <c r="R3140" s="382">
        <v>0.0</v>
      </c>
      <c r="S3140" s="382">
        <v>0.0</v>
      </c>
      <c r="T3140" s="382">
        <v>0.0</v>
      </c>
      <c r="U3140" s="382">
        <v>0.0</v>
      </c>
      <c r="V3140" s="382">
        <v>0.0</v>
      </c>
      <c r="W3140" s="382">
        <v>0.0</v>
      </c>
      <c r="X3140" s="382">
        <v>0.0</v>
      </c>
      <c r="Y3140" s="382">
        <v>0.0</v>
      </c>
      <c r="Z3140" s="382">
        <v>0.0</v>
      </c>
      <c r="AA3140" s="382">
        <v>0.0</v>
      </c>
      <c r="AB3140" s="382">
        <v>0.0</v>
      </c>
      <c r="AC3140" s="382">
        <v>0.0</v>
      </c>
      <c r="AD3140" s="382">
        <v>0.0</v>
      </c>
      <c r="AE3140" s="382">
        <v>0.0</v>
      </c>
      <c r="AF3140" s="382">
        <v>0.0</v>
      </c>
      <c r="AG3140" s="382">
        <v>0.0</v>
      </c>
      <c r="AH3140" s="382">
        <v>0.0</v>
      </c>
      <c r="AI3140" s="382">
        <v>0.0</v>
      </c>
      <c r="AJ3140" s="382">
        <v>0.0</v>
      </c>
      <c r="AK3140" s="382">
        <v>0.0</v>
      </c>
      <c r="AL3140" s="382">
        <v>0.0</v>
      </c>
      <c r="AM3140" s="382">
        <v>0.0</v>
      </c>
      <c r="AN3140" s="382">
        <v>0.0</v>
      </c>
      <c r="AO3140" s="382">
        <v>0.0</v>
      </c>
      <c r="AP3140" s="382">
        <v>0.0</v>
      </c>
      <c r="AQ3140" s="382">
        <v>0.0</v>
      </c>
      <c r="AR3140" s="382">
        <v>0.0</v>
      </c>
      <c r="AS3140" s="382">
        <v>0.0</v>
      </c>
      <c r="AT3140" s="382">
        <v>0.0</v>
      </c>
      <c r="AU3140" s="382">
        <v>0.0</v>
      </c>
      <c r="AV3140" s="382">
        <v>0.0</v>
      </c>
      <c r="AW3140" s="382">
        <v>0.0</v>
      </c>
      <c r="AX3140" s="382">
        <v>0.0</v>
      </c>
      <c r="AY3140" s="382">
        <v>0.0</v>
      </c>
      <c r="AZ3140" s="382">
        <v>0.0</v>
      </c>
      <c r="BA3140" s="382">
        <v>0.0</v>
      </c>
      <c r="BB3140" s="372">
        <f t="shared" ref="BB3140:BU3140" si="97">SUM(BB3141:BB3191)</f>
        <v>0</v>
      </c>
      <c r="BC3140" s="372">
        <f t="shared" si="97"/>
        <v>0</v>
      </c>
      <c r="BD3140" s="372">
        <f t="shared" si="97"/>
        <v>0</v>
      </c>
      <c r="BE3140" s="372">
        <f t="shared" si="97"/>
        <v>0</v>
      </c>
      <c r="BF3140" s="372">
        <f t="shared" si="97"/>
        <v>0</v>
      </c>
      <c r="BG3140" s="372">
        <f t="shared" si="97"/>
        <v>0</v>
      </c>
      <c r="BH3140" s="372">
        <f t="shared" si="97"/>
        <v>0</v>
      </c>
      <c r="BI3140" s="372">
        <f t="shared" si="97"/>
        <v>0</v>
      </c>
      <c r="BJ3140" s="372">
        <f t="shared" si="97"/>
        <v>0</v>
      </c>
      <c r="BK3140" s="372">
        <f t="shared" si="97"/>
        <v>0</v>
      </c>
      <c r="BL3140" s="372">
        <f t="shared" si="97"/>
        <v>0</v>
      </c>
      <c r="BM3140" s="372">
        <f t="shared" si="97"/>
        <v>0</v>
      </c>
      <c r="BN3140" s="372">
        <f t="shared" si="97"/>
        <v>0</v>
      </c>
      <c r="BO3140" s="372">
        <f t="shared" si="97"/>
        <v>0</v>
      </c>
      <c r="BP3140" s="372">
        <f t="shared" si="97"/>
        <v>0</v>
      </c>
      <c r="BQ3140" s="372">
        <f t="shared" si="97"/>
        <v>0</v>
      </c>
      <c r="BR3140" s="372">
        <f t="shared" si="97"/>
        <v>0</v>
      </c>
      <c r="BS3140" s="372">
        <f t="shared" si="97"/>
        <v>0</v>
      </c>
      <c r="BT3140" s="372">
        <f t="shared" si="97"/>
        <v>0</v>
      </c>
      <c r="BU3140" s="372">
        <f t="shared" si="97"/>
        <v>0</v>
      </c>
      <c r="BV3140" s="32"/>
      <c r="BW3140" s="32"/>
      <c r="BX3140" s="32"/>
      <c r="BY3140" s="32"/>
      <c r="BZ3140" s="32"/>
      <c r="CA3140" s="32"/>
      <c r="CB3140" s="32"/>
      <c r="CC3140" s="32"/>
      <c r="CD3140" s="32"/>
    </row>
    <row r="3141" ht="15.75" hidden="1" customHeight="1" outlineLevel="1">
      <c r="A3141" s="365"/>
      <c r="B3141" s="381"/>
      <c r="C3141" s="382">
        <v>0.0</v>
      </c>
      <c r="D3141" s="382">
        <v>0.0</v>
      </c>
      <c r="E3141" s="382">
        <v>0.0</v>
      </c>
      <c r="F3141" s="382">
        <v>0.0</v>
      </c>
      <c r="G3141" s="382">
        <v>0.0</v>
      </c>
      <c r="H3141" s="382">
        <v>0.0</v>
      </c>
      <c r="I3141" s="382">
        <v>0.0</v>
      </c>
      <c r="J3141" s="382">
        <v>0.0</v>
      </c>
      <c r="K3141" s="382">
        <v>0.0</v>
      </c>
      <c r="L3141" s="382">
        <v>0.0</v>
      </c>
      <c r="M3141" s="382">
        <v>0.0</v>
      </c>
      <c r="N3141" s="382">
        <v>0.0</v>
      </c>
      <c r="O3141" s="382">
        <v>0.0</v>
      </c>
      <c r="P3141" s="382">
        <v>0.0</v>
      </c>
      <c r="Q3141" s="382">
        <v>0.0</v>
      </c>
      <c r="R3141" s="382">
        <v>0.0</v>
      </c>
      <c r="S3141" s="382">
        <v>0.0</v>
      </c>
      <c r="T3141" s="382">
        <v>0.0</v>
      </c>
      <c r="U3141" s="382">
        <v>0.0</v>
      </c>
      <c r="V3141" s="382">
        <v>0.0</v>
      </c>
      <c r="W3141" s="382">
        <v>0.0</v>
      </c>
      <c r="X3141" s="382">
        <v>0.0</v>
      </c>
      <c r="Y3141" s="382">
        <v>0.0</v>
      </c>
      <c r="Z3141" s="382">
        <v>0.0</v>
      </c>
      <c r="AA3141" s="382">
        <v>0.0</v>
      </c>
      <c r="AB3141" s="382">
        <v>0.0</v>
      </c>
      <c r="AC3141" s="382">
        <v>0.0</v>
      </c>
      <c r="AD3141" s="382">
        <v>0.0</v>
      </c>
      <c r="AE3141" s="382">
        <v>0.0</v>
      </c>
      <c r="AF3141" s="382">
        <v>0.0</v>
      </c>
      <c r="AG3141" s="382">
        <v>0.0</v>
      </c>
      <c r="AH3141" s="382">
        <v>0.0</v>
      </c>
      <c r="AI3141" s="382">
        <v>0.0</v>
      </c>
      <c r="AJ3141" s="382">
        <v>0.0</v>
      </c>
      <c r="AK3141" s="382">
        <v>0.0</v>
      </c>
      <c r="AL3141" s="382">
        <v>0.0</v>
      </c>
      <c r="AM3141" s="382">
        <v>0.0</v>
      </c>
      <c r="AN3141" s="382">
        <v>0.0</v>
      </c>
      <c r="AO3141" s="382">
        <v>0.0</v>
      </c>
      <c r="AP3141" s="382">
        <v>0.0</v>
      </c>
      <c r="AQ3141" s="382">
        <v>0.0</v>
      </c>
      <c r="AR3141" s="382">
        <v>0.0</v>
      </c>
      <c r="AS3141" s="382">
        <v>0.0</v>
      </c>
      <c r="AT3141" s="382">
        <v>0.0</v>
      </c>
      <c r="AU3141" s="382">
        <v>0.0</v>
      </c>
      <c r="AV3141" s="382">
        <v>0.0</v>
      </c>
      <c r="AW3141" s="382">
        <v>0.0</v>
      </c>
      <c r="AX3141" s="382">
        <v>0.0</v>
      </c>
      <c r="AY3141" s="382">
        <v>0.0</v>
      </c>
      <c r="AZ3141" s="382">
        <v>0.0</v>
      </c>
      <c r="BA3141" s="382">
        <v>0.0</v>
      </c>
      <c r="BB3141" s="32"/>
      <c r="BC3141" s="32"/>
      <c r="BD3141" s="32"/>
      <c r="BE3141" s="32"/>
      <c r="BF3141" s="32"/>
      <c r="BG3141" s="32"/>
      <c r="BH3141" s="32"/>
      <c r="BI3141" s="32"/>
      <c r="BJ3141" s="32"/>
      <c r="BK3141" s="32"/>
      <c r="BL3141" s="32"/>
      <c r="BM3141" s="32"/>
      <c r="BN3141" s="32"/>
      <c r="BO3141" s="32"/>
      <c r="BP3141" s="32"/>
      <c r="BQ3141" s="32"/>
      <c r="BR3141" s="32"/>
      <c r="BS3141" s="32"/>
      <c r="BT3141" s="32"/>
      <c r="BU3141" s="32"/>
      <c r="BV3141" s="32"/>
      <c r="BW3141" s="32"/>
      <c r="BX3141" s="32"/>
      <c r="BY3141" s="32"/>
      <c r="BZ3141" s="32"/>
      <c r="CA3141" s="32"/>
      <c r="CB3141" s="32"/>
      <c r="CC3141" s="32"/>
      <c r="CD3141" s="32"/>
    </row>
    <row r="3142" ht="15.75" hidden="1" customHeight="1" outlineLevel="1">
      <c r="A3142" s="365"/>
      <c r="B3142" s="381"/>
      <c r="C3142" s="382">
        <v>0.0</v>
      </c>
      <c r="D3142" s="382">
        <v>0.0</v>
      </c>
      <c r="E3142" s="382">
        <v>0.0</v>
      </c>
      <c r="F3142" s="382">
        <v>0.0</v>
      </c>
      <c r="G3142" s="382">
        <v>0.0</v>
      </c>
      <c r="H3142" s="382">
        <v>0.0</v>
      </c>
      <c r="I3142" s="382">
        <v>0.0</v>
      </c>
      <c r="J3142" s="382">
        <v>0.0</v>
      </c>
      <c r="K3142" s="382">
        <v>0.0</v>
      </c>
      <c r="L3142" s="382">
        <v>0.0</v>
      </c>
      <c r="M3142" s="382">
        <v>0.0</v>
      </c>
      <c r="N3142" s="382">
        <v>0.0</v>
      </c>
      <c r="O3142" s="382">
        <v>0.0</v>
      </c>
      <c r="P3142" s="382">
        <v>0.0</v>
      </c>
      <c r="Q3142" s="382">
        <v>0.0</v>
      </c>
      <c r="R3142" s="382">
        <v>0.0</v>
      </c>
      <c r="S3142" s="382">
        <v>0.0</v>
      </c>
      <c r="T3142" s="382">
        <v>0.0</v>
      </c>
      <c r="U3142" s="382">
        <v>0.0</v>
      </c>
      <c r="V3142" s="382">
        <v>0.0</v>
      </c>
      <c r="W3142" s="382">
        <v>0.0</v>
      </c>
      <c r="X3142" s="382">
        <v>0.0</v>
      </c>
      <c r="Y3142" s="382">
        <v>0.0</v>
      </c>
      <c r="Z3142" s="382">
        <v>0.0</v>
      </c>
      <c r="AA3142" s="382">
        <v>0.0</v>
      </c>
      <c r="AB3142" s="382">
        <v>0.0</v>
      </c>
      <c r="AC3142" s="382">
        <v>0.0</v>
      </c>
      <c r="AD3142" s="382">
        <v>0.0</v>
      </c>
      <c r="AE3142" s="382">
        <v>0.0</v>
      </c>
      <c r="AF3142" s="382">
        <v>0.0</v>
      </c>
      <c r="AG3142" s="382">
        <v>0.0</v>
      </c>
      <c r="AH3142" s="382">
        <v>0.0</v>
      </c>
      <c r="AI3142" s="382">
        <v>0.0</v>
      </c>
      <c r="AJ3142" s="382">
        <v>0.0</v>
      </c>
      <c r="AK3142" s="382">
        <v>0.0</v>
      </c>
      <c r="AL3142" s="382">
        <v>0.0</v>
      </c>
      <c r="AM3142" s="382">
        <v>0.0</v>
      </c>
      <c r="AN3142" s="382">
        <v>0.0</v>
      </c>
      <c r="AO3142" s="382">
        <v>0.0</v>
      </c>
      <c r="AP3142" s="382">
        <v>0.0</v>
      </c>
      <c r="AQ3142" s="382">
        <v>0.0</v>
      </c>
      <c r="AR3142" s="382">
        <v>0.0</v>
      </c>
      <c r="AS3142" s="382">
        <v>0.0</v>
      </c>
      <c r="AT3142" s="382">
        <v>0.0</v>
      </c>
      <c r="AU3142" s="382">
        <v>0.0</v>
      </c>
      <c r="AV3142" s="382">
        <v>0.0</v>
      </c>
      <c r="AW3142" s="382">
        <v>0.0</v>
      </c>
      <c r="AX3142" s="382">
        <v>0.0</v>
      </c>
      <c r="AY3142" s="382">
        <v>0.0</v>
      </c>
      <c r="AZ3142" s="382">
        <v>0.0</v>
      </c>
      <c r="BA3142" s="382">
        <v>0.0</v>
      </c>
      <c r="BB3142" s="32"/>
      <c r="BC3142" s="32"/>
      <c r="BD3142" s="32"/>
      <c r="BE3142" s="32"/>
      <c r="BF3142" s="32"/>
      <c r="BG3142" s="32"/>
      <c r="BH3142" s="32"/>
      <c r="BI3142" s="32"/>
      <c r="BJ3142" s="32"/>
      <c r="BK3142" s="32"/>
      <c r="BL3142" s="32"/>
      <c r="BM3142" s="32"/>
      <c r="BN3142" s="32"/>
      <c r="BO3142" s="32"/>
      <c r="BP3142" s="32"/>
      <c r="BQ3142" s="32"/>
      <c r="BR3142" s="32"/>
      <c r="BS3142" s="32"/>
      <c r="BT3142" s="32"/>
      <c r="BU3142" s="32"/>
      <c r="BV3142" s="32"/>
      <c r="BW3142" s="32"/>
      <c r="BX3142" s="32"/>
      <c r="BY3142" s="32"/>
      <c r="BZ3142" s="32"/>
      <c r="CA3142" s="32"/>
      <c r="CB3142" s="32"/>
      <c r="CC3142" s="32"/>
      <c r="CD3142" s="32"/>
    </row>
    <row r="3143" ht="15.75" hidden="1" customHeight="1" outlineLevel="1">
      <c r="A3143" s="363"/>
      <c r="B3143" s="381"/>
      <c r="C3143" s="382">
        <v>0.0</v>
      </c>
      <c r="D3143" s="382">
        <v>0.0</v>
      </c>
      <c r="E3143" s="382">
        <v>0.0</v>
      </c>
      <c r="F3143" s="382">
        <v>0.0</v>
      </c>
      <c r="G3143" s="382">
        <v>0.0</v>
      </c>
      <c r="H3143" s="382">
        <v>0.0</v>
      </c>
      <c r="I3143" s="382">
        <v>0.0</v>
      </c>
      <c r="J3143" s="382">
        <v>0.0</v>
      </c>
      <c r="K3143" s="382">
        <v>0.0</v>
      </c>
      <c r="L3143" s="382">
        <v>0.0</v>
      </c>
      <c r="M3143" s="382">
        <v>0.0</v>
      </c>
      <c r="N3143" s="382">
        <v>0.0</v>
      </c>
      <c r="O3143" s="382">
        <v>0.0</v>
      </c>
      <c r="P3143" s="382">
        <v>0.0</v>
      </c>
      <c r="Q3143" s="382">
        <v>0.0</v>
      </c>
      <c r="R3143" s="382">
        <v>0.0</v>
      </c>
      <c r="S3143" s="382">
        <v>0.0</v>
      </c>
      <c r="T3143" s="382">
        <v>0.0</v>
      </c>
      <c r="U3143" s="382">
        <v>0.0</v>
      </c>
      <c r="V3143" s="382">
        <v>0.0</v>
      </c>
      <c r="W3143" s="382">
        <v>0.0</v>
      </c>
      <c r="X3143" s="382">
        <v>0.0</v>
      </c>
      <c r="Y3143" s="382">
        <v>0.0</v>
      </c>
      <c r="Z3143" s="382">
        <v>0.0</v>
      </c>
      <c r="AA3143" s="382">
        <v>0.0</v>
      </c>
      <c r="AB3143" s="382">
        <v>0.0</v>
      </c>
      <c r="AC3143" s="382">
        <v>0.0</v>
      </c>
      <c r="AD3143" s="382">
        <v>0.0</v>
      </c>
      <c r="AE3143" s="382">
        <v>0.0</v>
      </c>
      <c r="AF3143" s="382">
        <v>0.0</v>
      </c>
      <c r="AG3143" s="382">
        <v>0.0</v>
      </c>
      <c r="AH3143" s="382">
        <v>0.0</v>
      </c>
      <c r="AI3143" s="382">
        <v>0.0</v>
      </c>
      <c r="AJ3143" s="382">
        <v>0.0</v>
      </c>
      <c r="AK3143" s="382">
        <v>0.0</v>
      </c>
      <c r="AL3143" s="382">
        <v>0.0</v>
      </c>
      <c r="AM3143" s="382">
        <v>0.0</v>
      </c>
      <c r="AN3143" s="382">
        <v>0.0</v>
      </c>
      <c r="AO3143" s="382">
        <v>0.0</v>
      </c>
      <c r="AP3143" s="382">
        <v>0.0</v>
      </c>
      <c r="AQ3143" s="382">
        <v>0.0</v>
      </c>
      <c r="AR3143" s="382">
        <v>0.0</v>
      </c>
      <c r="AS3143" s="382">
        <v>0.0</v>
      </c>
      <c r="AT3143" s="382">
        <v>0.0</v>
      </c>
      <c r="AU3143" s="382">
        <v>0.0</v>
      </c>
      <c r="AV3143" s="382">
        <v>0.0</v>
      </c>
      <c r="AW3143" s="382">
        <v>0.0</v>
      </c>
      <c r="AX3143" s="382">
        <v>0.0</v>
      </c>
      <c r="AY3143" s="382">
        <v>0.0</v>
      </c>
      <c r="AZ3143" s="382">
        <v>0.0</v>
      </c>
      <c r="BA3143" s="382">
        <v>0.0</v>
      </c>
      <c r="BB3143" s="32"/>
      <c r="BC3143" s="32"/>
      <c r="BD3143" s="32"/>
      <c r="BE3143" s="32"/>
      <c r="BF3143" s="32"/>
      <c r="BG3143" s="32"/>
      <c r="BH3143" s="32"/>
      <c r="BI3143" s="32"/>
      <c r="BJ3143" s="32"/>
      <c r="BK3143" s="32"/>
      <c r="BL3143" s="32"/>
      <c r="BM3143" s="32"/>
      <c r="BN3143" s="32"/>
      <c r="BO3143" s="32"/>
      <c r="BP3143" s="32"/>
      <c r="BQ3143" s="32"/>
      <c r="BR3143" s="32"/>
      <c r="BS3143" s="32"/>
      <c r="BT3143" s="32"/>
      <c r="BU3143" s="32"/>
      <c r="BV3143" s="32"/>
      <c r="BW3143" s="32"/>
      <c r="BX3143" s="32"/>
      <c r="BY3143" s="32"/>
      <c r="BZ3143" s="32"/>
      <c r="CA3143" s="32"/>
      <c r="CB3143" s="32"/>
      <c r="CC3143" s="32"/>
      <c r="CD3143" s="32"/>
    </row>
    <row r="3144" ht="15.75" hidden="1" customHeight="1" outlineLevel="1">
      <c r="A3144" s="363"/>
      <c r="B3144" s="381"/>
      <c r="C3144" s="382">
        <v>0.0</v>
      </c>
      <c r="D3144" s="382">
        <v>0.0</v>
      </c>
      <c r="E3144" s="382">
        <v>0.0</v>
      </c>
      <c r="F3144" s="382">
        <v>0.0</v>
      </c>
      <c r="G3144" s="382">
        <v>0.0</v>
      </c>
      <c r="H3144" s="382">
        <v>0.0</v>
      </c>
      <c r="I3144" s="382">
        <v>0.0</v>
      </c>
      <c r="J3144" s="382">
        <v>0.0</v>
      </c>
      <c r="K3144" s="382">
        <v>0.0</v>
      </c>
      <c r="L3144" s="382">
        <v>0.0</v>
      </c>
      <c r="M3144" s="382">
        <v>0.0</v>
      </c>
      <c r="N3144" s="382">
        <v>0.0</v>
      </c>
      <c r="O3144" s="382">
        <v>0.0</v>
      </c>
      <c r="P3144" s="382">
        <v>0.0</v>
      </c>
      <c r="Q3144" s="382">
        <v>0.0</v>
      </c>
      <c r="R3144" s="382">
        <v>0.0</v>
      </c>
      <c r="S3144" s="382">
        <v>0.0</v>
      </c>
      <c r="T3144" s="382">
        <v>0.0</v>
      </c>
      <c r="U3144" s="382">
        <v>0.0</v>
      </c>
      <c r="V3144" s="382">
        <v>0.0</v>
      </c>
      <c r="W3144" s="382">
        <v>0.0</v>
      </c>
      <c r="X3144" s="382">
        <v>0.0</v>
      </c>
      <c r="Y3144" s="382">
        <v>0.0</v>
      </c>
      <c r="Z3144" s="382">
        <v>0.0</v>
      </c>
      <c r="AA3144" s="382">
        <v>0.0</v>
      </c>
      <c r="AB3144" s="382">
        <v>0.0</v>
      </c>
      <c r="AC3144" s="382">
        <v>0.0</v>
      </c>
      <c r="AD3144" s="382">
        <v>0.0</v>
      </c>
      <c r="AE3144" s="382">
        <v>0.0</v>
      </c>
      <c r="AF3144" s="382">
        <v>0.0</v>
      </c>
      <c r="AG3144" s="382">
        <v>0.0</v>
      </c>
      <c r="AH3144" s="382">
        <v>0.0</v>
      </c>
      <c r="AI3144" s="382">
        <v>0.0</v>
      </c>
      <c r="AJ3144" s="382">
        <v>0.0</v>
      </c>
      <c r="AK3144" s="382">
        <v>0.0</v>
      </c>
      <c r="AL3144" s="382">
        <v>0.0</v>
      </c>
      <c r="AM3144" s="382">
        <v>0.0</v>
      </c>
      <c r="AN3144" s="382">
        <v>0.0</v>
      </c>
      <c r="AO3144" s="382">
        <v>0.0</v>
      </c>
      <c r="AP3144" s="382">
        <v>0.0</v>
      </c>
      <c r="AQ3144" s="382">
        <v>0.0</v>
      </c>
      <c r="AR3144" s="382">
        <v>0.0</v>
      </c>
      <c r="AS3144" s="382">
        <v>0.0</v>
      </c>
      <c r="AT3144" s="382">
        <v>0.0</v>
      </c>
      <c r="AU3144" s="382">
        <v>0.0</v>
      </c>
      <c r="AV3144" s="382">
        <v>0.0</v>
      </c>
      <c r="AW3144" s="382">
        <v>0.0</v>
      </c>
      <c r="AX3144" s="382">
        <v>0.0</v>
      </c>
      <c r="AY3144" s="382">
        <v>0.0</v>
      </c>
      <c r="AZ3144" s="382">
        <v>0.0</v>
      </c>
      <c r="BA3144" s="382">
        <v>0.0</v>
      </c>
      <c r="BB3144" s="32"/>
      <c r="BC3144" s="32"/>
      <c r="BD3144" s="32"/>
      <c r="BE3144" s="32"/>
      <c r="BF3144" s="32"/>
      <c r="BG3144" s="32"/>
      <c r="BH3144" s="32"/>
      <c r="BI3144" s="32"/>
      <c r="BJ3144" s="32"/>
      <c r="BK3144" s="32"/>
      <c r="BL3144" s="32"/>
      <c r="BM3144" s="32"/>
      <c r="BN3144" s="32"/>
      <c r="BO3144" s="32"/>
      <c r="BP3144" s="32"/>
      <c r="BQ3144" s="32"/>
      <c r="BR3144" s="32"/>
      <c r="BS3144" s="32"/>
      <c r="BT3144" s="32"/>
      <c r="BU3144" s="32"/>
      <c r="BV3144" s="32"/>
      <c r="BW3144" s="32"/>
      <c r="BX3144" s="32"/>
      <c r="BY3144" s="32"/>
      <c r="BZ3144" s="32"/>
      <c r="CA3144" s="32"/>
      <c r="CB3144" s="32"/>
      <c r="CC3144" s="32"/>
      <c r="CD3144" s="32"/>
    </row>
    <row r="3145" ht="15.75" hidden="1" customHeight="1" outlineLevel="1">
      <c r="A3145" s="363"/>
      <c r="B3145" s="381"/>
      <c r="C3145" s="382">
        <v>0.0</v>
      </c>
      <c r="D3145" s="382">
        <v>0.0</v>
      </c>
      <c r="E3145" s="382">
        <v>0.0</v>
      </c>
      <c r="F3145" s="382">
        <v>0.0</v>
      </c>
      <c r="G3145" s="382">
        <v>0.0</v>
      </c>
      <c r="H3145" s="382">
        <v>0.0</v>
      </c>
      <c r="I3145" s="382">
        <v>0.0</v>
      </c>
      <c r="J3145" s="382">
        <v>0.0</v>
      </c>
      <c r="K3145" s="382">
        <v>0.0</v>
      </c>
      <c r="L3145" s="382">
        <v>0.0</v>
      </c>
      <c r="M3145" s="382">
        <v>0.0</v>
      </c>
      <c r="N3145" s="382">
        <v>0.0</v>
      </c>
      <c r="O3145" s="382">
        <v>0.0</v>
      </c>
      <c r="P3145" s="382">
        <v>0.0</v>
      </c>
      <c r="Q3145" s="382">
        <v>0.0</v>
      </c>
      <c r="R3145" s="382">
        <v>0.0</v>
      </c>
      <c r="S3145" s="382">
        <v>0.0</v>
      </c>
      <c r="T3145" s="382">
        <v>0.0</v>
      </c>
      <c r="U3145" s="382">
        <v>0.0</v>
      </c>
      <c r="V3145" s="382">
        <v>0.0</v>
      </c>
      <c r="W3145" s="382">
        <v>0.0</v>
      </c>
      <c r="X3145" s="382">
        <v>0.0</v>
      </c>
      <c r="Y3145" s="382">
        <v>0.0</v>
      </c>
      <c r="Z3145" s="382">
        <v>0.0</v>
      </c>
      <c r="AA3145" s="382">
        <v>0.0</v>
      </c>
      <c r="AB3145" s="382">
        <v>0.0</v>
      </c>
      <c r="AC3145" s="382">
        <v>0.0</v>
      </c>
      <c r="AD3145" s="382">
        <v>0.0</v>
      </c>
      <c r="AE3145" s="382">
        <v>0.0</v>
      </c>
      <c r="AF3145" s="382">
        <v>0.0</v>
      </c>
      <c r="AG3145" s="382">
        <v>0.0</v>
      </c>
      <c r="AH3145" s="382">
        <v>0.0</v>
      </c>
      <c r="AI3145" s="382">
        <v>0.0</v>
      </c>
      <c r="AJ3145" s="382">
        <v>0.0</v>
      </c>
      <c r="AK3145" s="382">
        <v>0.0</v>
      </c>
      <c r="AL3145" s="382">
        <v>0.0</v>
      </c>
      <c r="AM3145" s="382">
        <v>0.0</v>
      </c>
      <c r="AN3145" s="382">
        <v>0.0</v>
      </c>
      <c r="AO3145" s="382">
        <v>0.0</v>
      </c>
      <c r="AP3145" s="382">
        <v>0.0</v>
      </c>
      <c r="AQ3145" s="382">
        <v>0.0</v>
      </c>
      <c r="AR3145" s="382">
        <v>0.0</v>
      </c>
      <c r="AS3145" s="382">
        <v>0.0</v>
      </c>
      <c r="AT3145" s="382">
        <v>0.0</v>
      </c>
      <c r="AU3145" s="382">
        <v>0.0</v>
      </c>
      <c r="AV3145" s="382">
        <v>0.0</v>
      </c>
      <c r="AW3145" s="382">
        <v>0.0</v>
      </c>
      <c r="AX3145" s="382">
        <v>0.0</v>
      </c>
      <c r="AY3145" s="382">
        <v>0.0</v>
      </c>
      <c r="AZ3145" s="382">
        <v>0.0</v>
      </c>
      <c r="BA3145" s="382">
        <v>0.0</v>
      </c>
      <c r="BB3145" s="32"/>
      <c r="BC3145" s="32"/>
      <c r="BD3145" s="32"/>
      <c r="BE3145" s="32"/>
      <c r="BF3145" s="32"/>
      <c r="BG3145" s="32"/>
      <c r="BH3145" s="32"/>
      <c r="BI3145" s="32"/>
      <c r="BJ3145" s="32"/>
      <c r="BK3145" s="32"/>
      <c r="BL3145" s="32"/>
      <c r="BM3145" s="32"/>
      <c r="BN3145" s="32"/>
      <c r="BO3145" s="32"/>
      <c r="BP3145" s="32"/>
      <c r="BQ3145" s="32"/>
      <c r="BR3145" s="32"/>
      <c r="BS3145" s="32"/>
      <c r="BT3145" s="32"/>
      <c r="BU3145" s="32"/>
      <c r="BV3145" s="32"/>
      <c r="BW3145" s="32"/>
      <c r="BX3145" s="32"/>
      <c r="BY3145" s="32"/>
      <c r="BZ3145" s="32"/>
      <c r="CA3145" s="32"/>
      <c r="CB3145" s="32"/>
      <c r="CC3145" s="32"/>
      <c r="CD3145" s="32"/>
    </row>
    <row r="3146" ht="15.75" hidden="1" customHeight="1" outlineLevel="1">
      <c r="A3146" s="363"/>
      <c r="B3146" s="381"/>
      <c r="C3146" s="382">
        <v>0.0</v>
      </c>
      <c r="D3146" s="382">
        <v>0.0</v>
      </c>
      <c r="E3146" s="382">
        <v>0.0</v>
      </c>
      <c r="F3146" s="382">
        <v>0.0</v>
      </c>
      <c r="G3146" s="382">
        <v>0.0</v>
      </c>
      <c r="H3146" s="382">
        <v>0.0</v>
      </c>
      <c r="I3146" s="382">
        <v>0.0</v>
      </c>
      <c r="J3146" s="382">
        <v>0.0</v>
      </c>
      <c r="K3146" s="382">
        <v>0.0</v>
      </c>
      <c r="L3146" s="382">
        <v>0.0</v>
      </c>
      <c r="M3146" s="382">
        <v>0.0</v>
      </c>
      <c r="N3146" s="382">
        <v>0.0</v>
      </c>
      <c r="O3146" s="382">
        <v>0.0</v>
      </c>
      <c r="P3146" s="382">
        <v>0.0</v>
      </c>
      <c r="Q3146" s="382">
        <v>0.0</v>
      </c>
      <c r="R3146" s="382">
        <v>0.0</v>
      </c>
      <c r="S3146" s="382">
        <v>0.0</v>
      </c>
      <c r="T3146" s="382">
        <v>0.0</v>
      </c>
      <c r="U3146" s="382">
        <v>0.0</v>
      </c>
      <c r="V3146" s="382">
        <v>0.0</v>
      </c>
      <c r="W3146" s="382">
        <v>0.0</v>
      </c>
      <c r="X3146" s="382">
        <v>0.0</v>
      </c>
      <c r="Y3146" s="382">
        <v>0.0</v>
      </c>
      <c r="Z3146" s="382">
        <v>0.0</v>
      </c>
      <c r="AA3146" s="382">
        <v>0.0</v>
      </c>
      <c r="AB3146" s="382">
        <v>0.0</v>
      </c>
      <c r="AC3146" s="382">
        <v>0.0</v>
      </c>
      <c r="AD3146" s="382">
        <v>0.0</v>
      </c>
      <c r="AE3146" s="382">
        <v>0.0</v>
      </c>
      <c r="AF3146" s="382">
        <v>0.0</v>
      </c>
      <c r="AG3146" s="382">
        <v>0.0</v>
      </c>
      <c r="AH3146" s="382">
        <v>0.0</v>
      </c>
      <c r="AI3146" s="382">
        <v>0.0</v>
      </c>
      <c r="AJ3146" s="382">
        <v>0.0</v>
      </c>
      <c r="AK3146" s="382">
        <v>0.0</v>
      </c>
      <c r="AL3146" s="382">
        <v>0.0</v>
      </c>
      <c r="AM3146" s="382">
        <v>0.0</v>
      </c>
      <c r="AN3146" s="382">
        <v>0.0</v>
      </c>
      <c r="AO3146" s="382">
        <v>0.0</v>
      </c>
      <c r="AP3146" s="382">
        <v>0.0</v>
      </c>
      <c r="AQ3146" s="382">
        <v>0.0</v>
      </c>
      <c r="AR3146" s="382">
        <v>0.0</v>
      </c>
      <c r="AS3146" s="382">
        <v>0.0</v>
      </c>
      <c r="AT3146" s="382">
        <v>0.0</v>
      </c>
      <c r="AU3146" s="382">
        <v>0.0</v>
      </c>
      <c r="AV3146" s="382">
        <v>0.0</v>
      </c>
      <c r="AW3146" s="382">
        <v>0.0</v>
      </c>
      <c r="AX3146" s="382">
        <v>0.0</v>
      </c>
      <c r="AY3146" s="382">
        <v>0.0</v>
      </c>
      <c r="AZ3146" s="382">
        <v>0.0</v>
      </c>
      <c r="BA3146" s="382">
        <v>0.0</v>
      </c>
      <c r="BB3146" s="32"/>
      <c r="BC3146" s="32"/>
      <c r="BD3146" s="32"/>
      <c r="BE3146" s="32"/>
      <c r="BF3146" s="32"/>
      <c r="BG3146" s="32"/>
      <c r="BH3146" s="32"/>
      <c r="BI3146" s="32"/>
      <c r="BJ3146" s="32"/>
      <c r="BK3146" s="32"/>
      <c r="BL3146" s="32"/>
      <c r="BM3146" s="32"/>
      <c r="BN3146" s="32"/>
      <c r="BO3146" s="32"/>
      <c r="BP3146" s="32"/>
      <c r="BQ3146" s="32"/>
      <c r="BR3146" s="32"/>
      <c r="BS3146" s="32"/>
      <c r="BT3146" s="32"/>
      <c r="BU3146" s="32"/>
      <c r="BV3146" s="32"/>
      <c r="BW3146" s="32"/>
      <c r="BX3146" s="32"/>
      <c r="BY3146" s="32"/>
      <c r="BZ3146" s="32"/>
      <c r="CA3146" s="32"/>
      <c r="CB3146" s="32"/>
      <c r="CC3146" s="32"/>
      <c r="CD3146" s="32"/>
    </row>
    <row r="3147" ht="15.75" hidden="1" customHeight="1" outlineLevel="1">
      <c r="A3147" s="363"/>
      <c r="B3147" s="381"/>
      <c r="C3147" s="382">
        <v>0.0</v>
      </c>
      <c r="D3147" s="382">
        <v>0.0</v>
      </c>
      <c r="E3147" s="382">
        <v>0.0</v>
      </c>
      <c r="F3147" s="382">
        <v>0.0</v>
      </c>
      <c r="G3147" s="382">
        <v>0.0</v>
      </c>
      <c r="H3147" s="382">
        <v>0.0</v>
      </c>
      <c r="I3147" s="382">
        <v>0.0</v>
      </c>
      <c r="J3147" s="382">
        <v>0.0</v>
      </c>
      <c r="K3147" s="382">
        <v>0.0</v>
      </c>
      <c r="L3147" s="382">
        <v>0.0</v>
      </c>
      <c r="M3147" s="382">
        <v>0.0</v>
      </c>
      <c r="N3147" s="382">
        <v>0.0</v>
      </c>
      <c r="O3147" s="382">
        <v>0.0</v>
      </c>
      <c r="P3147" s="382">
        <v>0.0</v>
      </c>
      <c r="Q3147" s="382">
        <v>0.0</v>
      </c>
      <c r="R3147" s="382">
        <v>0.0</v>
      </c>
      <c r="S3147" s="382">
        <v>0.0</v>
      </c>
      <c r="T3147" s="382">
        <v>0.0</v>
      </c>
      <c r="U3147" s="382">
        <v>0.0</v>
      </c>
      <c r="V3147" s="382">
        <v>0.0</v>
      </c>
      <c r="W3147" s="382">
        <v>0.0</v>
      </c>
      <c r="X3147" s="382">
        <v>0.0</v>
      </c>
      <c r="Y3147" s="382">
        <v>0.0</v>
      </c>
      <c r="Z3147" s="382">
        <v>0.0</v>
      </c>
      <c r="AA3147" s="382">
        <v>0.0</v>
      </c>
      <c r="AB3147" s="382">
        <v>0.0</v>
      </c>
      <c r="AC3147" s="382">
        <v>0.0</v>
      </c>
      <c r="AD3147" s="382">
        <v>0.0</v>
      </c>
      <c r="AE3147" s="382">
        <v>0.0</v>
      </c>
      <c r="AF3147" s="382">
        <v>0.0</v>
      </c>
      <c r="AG3147" s="382">
        <v>0.0</v>
      </c>
      <c r="AH3147" s="382">
        <v>0.0</v>
      </c>
      <c r="AI3147" s="382">
        <v>0.0</v>
      </c>
      <c r="AJ3147" s="382">
        <v>0.0</v>
      </c>
      <c r="AK3147" s="382">
        <v>0.0</v>
      </c>
      <c r="AL3147" s="382">
        <v>0.0</v>
      </c>
      <c r="AM3147" s="382">
        <v>0.0</v>
      </c>
      <c r="AN3147" s="382">
        <v>0.0</v>
      </c>
      <c r="AO3147" s="382">
        <v>0.0</v>
      </c>
      <c r="AP3147" s="382">
        <v>0.0</v>
      </c>
      <c r="AQ3147" s="382">
        <v>0.0</v>
      </c>
      <c r="AR3147" s="382">
        <v>0.0</v>
      </c>
      <c r="AS3147" s="382">
        <v>0.0</v>
      </c>
      <c r="AT3147" s="382">
        <v>0.0</v>
      </c>
      <c r="AU3147" s="382">
        <v>0.0</v>
      </c>
      <c r="AV3147" s="382">
        <v>0.0</v>
      </c>
      <c r="AW3147" s="382">
        <v>0.0</v>
      </c>
      <c r="AX3147" s="382">
        <v>0.0</v>
      </c>
      <c r="AY3147" s="382">
        <v>0.0</v>
      </c>
      <c r="AZ3147" s="382">
        <v>0.0</v>
      </c>
      <c r="BA3147" s="382">
        <v>0.0</v>
      </c>
      <c r="BB3147" s="32"/>
      <c r="BC3147" s="32"/>
      <c r="BD3147" s="32"/>
      <c r="BE3147" s="32"/>
      <c r="BF3147" s="32"/>
      <c r="BG3147" s="32"/>
      <c r="BH3147" s="32"/>
      <c r="BI3147" s="32"/>
      <c r="BJ3147" s="32"/>
      <c r="BK3147" s="32"/>
      <c r="BL3147" s="32"/>
      <c r="BM3147" s="32"/>
      <c r="BN3147" s="32"/>
      <c r="BO3147" s="32"/>
      <c r="BP3147" s="32"/>
      <c r="BQ3147" s="32"/>
      <c r="BR3147" s="32"/>
      <c r="BS3147" s="32"/>
      <c r="BT3147" s="32"/>
      <c r="BU3147" s="32"/>
      <c r="BV3147" s="32"/>
      <c r="BW3147" s="32"/>
      <c r="BX3147" s="32"/>
      <c r="BY3147" s="32"/>
      <c r="BZ3147" s="32"/>
      <c r="CA3147" s="32"/>
      <c r="CB3147" s="32"/>
      <c r="CC3147" s="32"/>
      <c r="CD3147" s="32"/>
    </row>
    <row r="3148" ht="15.75" hidden="1" customHeight="1" outlineLevel="1">
      <c r="A3148" s="363"/>
      <c r="B3148" s="381"/>
      <c r="C3148" s="382">
        <v>0.0</v>
      </c>
      <c r="D3148" s="382">
        <v>0.0</v>
      </c>
      <c r="E3148" s="382">
        <v>0.0</v>
      </c>
      <c r="F3148" s="382">
        <v>0.0</v>
      </c>
      <c r="G3148" s="382">
        <v>0.0</v>
      </c>
      <c r="H3148" s="382">
        <v>0.0</v>
      </c>
      <c r="I3148" s="382">
        <v>0.0</v>
      </c>
      <c r="J3148" s="382">
        <v>0.0</v>
      </c>
      <c r="K3148" s="382">
        <v>0.0</v>
      </c>
      <c r="L3148" s="382">
        <v>0.0</v>
      </c>
      <c r="M3148" s="382">
        <v>0.0</v>
      </c>
      <c r="N3148" s="382">
        <v>0.0</v>
      </c>
      <c r="O3148" s="382">
        <v>0.0</v>
      </c>
      <c r="P3148" s="382">
        <v>0.0</v>
      </c>
      <c r="Q3148" s="382">
        <v>0.0</v>
      </c>
      <c r="R3148" s="382">
        <v>0.0</v>
      </c>
      <c r="S3148" s="382">
        <v>0.0</v>
      </c>
      <c r="T3148" s="382">
        <v>0.0</v>
      </c>
      <c r="U3148" s="382">
        <v>0.0</v>
      </c>
      <c r="V3148" s="382">
        <v>0.0</v>
      </c>
      <c r="W3148" s="382">
        <v>0.0</v>
      </c>
      <c r="X3148" s="382">
        <v>0.0</v>
      </c>
      <c r="Y3148" s="382">
        <v>0.0</v>
      </c>
      <c r="Z3148" s="382">
        <v>0.0</v>
      </c>
      <c r="AA3148" s="382">
        <v>0.0</v>
      </c>
      <c r="AB3148" s="382">
        <v>0.0</v>
      </c>
      <c r="AC3148" s="382">
        <v>0.0</v>
      </c>
      <c r="AD3148" s="382">
        <v>0.0</v>
      </c>
      <c r="AE3148" s="382">
        <v>0.0</v>
      </c>
      <c r="AF3148" s="382">
        <v>0.0</v>
      </c>
      <c r="AG3148" s="382">
        <v>0.0</v>
      </c>
      <c r="AH3148" s="382">
        <v>0.0</v>
      </c>
      <c r="AI3148" s="382">
        <v>0.0</v>
      </c>
      <c r="AJ3148" s="382">
        <v>0.0</v>
      </c>
      <c r="AK3148" s="382">
        <v>0.0</v>
      </c>
      <c r="AL3148" s="382">
        <v>0.0</v>
      </c>
      <c r="AM3148" s="382">
        <v>0.0</v>
      </c>
      <c r="AN3148" s="382">
        <v>0.0</v>
      </c>
      <c r="AO3148" s="382">
        <v>0.0</v>
      </c>
      <c r="AP3148" s="382">
        <v>0.0</v>
      </c>
      <c r="AQ3148" s="382">
        <v>0.0</v>
      </c>
      <c r="AR3148" s="382">
        <v>0.0</v>
      </c>
      <c r="AS3148" s="382">
        <v>0.0</v>
      </c>
      <c r="AT3148" s="382">
        <v>0.0</v>
      </c>
      <c r="AU3148" s="382">
        <v>0.0</v>
      </c>
      <c r="AV3148" s="382">
        <v>0.0</v>
      </c>
      <c r="AW3148" s="382">
        <v>0.0</v>
      </c>
      <c r="AX3148" s="382">
        <v>0.0</v>
      </c>
      <c r="AY3148" s="382">
        <v>0.0</v>
      </c>
      <c r="AZ3148" s="382">
        <v>0.0</v>
      </c>
      <c r="BA3148" s="382">
        <v>0.0</v>
      </c>
      <c r="BB3148" s="32"/>
      <c r="BC3148" s="32"/>
      <c r="BD3148" s="32"/>
      <c r="BE3148" s="32"/>
      <c r="BF3148" s="32"/>
      <c r="BG3148" s="32"/>
      <c r="BH3148" s="32"/>
      <c r="BI3148" s="32"/>
      <c r="BJ3148" s="32"/>
      <c r="BK3148" s="32"/>
      <c r="BL3148" s="32"/>
      <c r="BM3148" s="32"/>
      <c r="BN3148" s="32"/>
      <c r="BO3148" s="32"/>
      <c r="BP3148" s="32"/>
      <c r="BQ3148" s="32"/>
      <c r="BR3148" s="32"/>
      <c r="BS3148" s="32"/>
      <c r="BT3148" s="32"/>
      <c r="BU3148" s="32"/>
      <c r="BV3148" s="32"/>
      <c r="BW3148" s="32"/>
      <c r="BX3148" s="32"/>
      <c r="BY3148" s="32"/>
      <c r="BZ3148" s="32"/>
      <c r="CA3148" s="32"/>
      <c r="CB3148" s="32"/>
      <c r="CC3148" s="32"/>
      <c r="CD3148" s="32"/>
    </row>
    <row r="3149" ht="15.75" hidden="1" customHeight="1" outlineLevel="1">
      <c r="A3149" s="363"/>
      <c r="B3149" s="381"/>
      <c r="C3149" s="382">
        <v>0.0</v>
      </c>
      <c r="D3149" s="382">
        <v>0.0</v>
      </c>
      <c r="E3149" s="382">
        <v>0.0</v>
      </c>
      <c r="F3149" s="382">
        <v>0.0</v>
      </c>
      <c r="G3149" s="382">
        <v>0.0</v>
      </c>
      <c r="H3149" s="382">
        <v>0.0</v>
      </c>
      <c r="I3149" s="382">
        <v>0.0</v>
      </c>
      <c r="J3149" s="382">
        <v>0.0</v>
      </c>
      <c r="K3149" s="382">
        <v>0.0</v>
      </c>
      <c r="L3149" s="382">
        <v>0.0</v>
      </c>
      <c r="M3149" s="382">
        <v>0.0</v>
      </c>
      <c r="N3149" s="382">
        <v>0.0</v>
      </c>
      <c r="O3149" s="382">
        <v>0.0</v>
      </c>
      <c r="P3149" s="382">
        <v>0.0</v>
      </c>
      <c r="Q3149" s="382">
        <v>0.0</v>
      </c>
      <c r="R3149" s="382">
        <v>0.0</v>
      </c>
      <c r="S3149" s="382">
        <v>0.0</v>
      </c>
      <c r="T3149" s="382">
        <v>0.0</v>
      </c>
      <c r="U3149" s="382">
        <v>0.0</v>
      </c>
      <c r="V3149" s="382">
        <v>0.0</v>
      </c>
      <c r="W3149" s="382">
        <v>0.0</v>
      </c>
      <c r="X3149" s="382">
        <v>0.0</v>
      </c>
      <c r="Y3149" s="382">
        <v>0.0</v>
      </c>
      <c r="Z3149" s="382">
        <v>0.0</v>
      </c>
      <c r="AA3149" s="382">
        <v>0.0</v>
      </c>
      <c r="AB3149" s="382">
        <v>0.0</v>
      </c>
      <c r="AC3149" s="382">
        <v>0.0</v>
      </c>
      <c r="AD3149" s="382">
        <v>0.0</v>
      </c>
      <c r="AE3149" s="382">
        <v>0.0</v>
      </c>
      <c r="AF3149" s="382">
        <v>0.0</v>
      </c>
      <c r="AG3149" s="382">
        <v>0.0</v>
      </c>
      <c r="AH3149" s="382">
        <v>0.0</v>
      </c>
      <c r="AI3149" s="382">
        <v>0.0</v>
      </c>
      <c r="AJ3149" s="382">
        <v>0.0</v>
      </c>
      <c r="AK3149" s="382">
        <v>0.0</v>
      </c>
      <c r="AL3149" s="382">
        <v>0.0</v>
      </c>
      <c r="AM3149" s="382">
        <v>0.0</v>
      </c>
      <c r="AN3149" s="382">
        <v>0.0</v>
      </c>
      <c r="AO3149" s="382">
        <v>0.0</v>
      </c>
      <c r="AP3149" s="382">
        <v>0.0</v>
      </c>
      <c r="AQ3149" s="382">
        <v>0.0</v>
      </c>
      <c r="AR3149" s="382">
        <v>0.0</v>
      </c>
      <c r="AS3149" s="382">
        <v>0.0</v>
      </c>
      <c r="AT3149" s="382">
        <v>0.0</v>
      </c>
      <c r="AU3149" s="382">
        <v>0.0</v>
      </c>
      <c r="AV3149" s="382">
        <v>0.0</v>
      </c>
      <c r="AW3149" s="382">
        <v>0.0</v>
      </c>
      <c r="AX3149" s="382">
        <v>0.0</v>
      </c>
      <c r="AY3149" s="382">
        <v>0.0</v>
      </c>
      <c r="AZ3149" s="382">
        <v>0.0</v>
      </c>
      <c r="BA3149" s="382">
        <v>0.0</v>
      </c>
      <c r="BB3149" s="32"/>
      <c r="BC3149" s="32"/>
      <c r="BD3149" s="32"/>
      <c r="BE3149" s="32"/>
      <c r="BF3149" s="32"/>
      <c r="BG3149" s="32"/>
      <c r="BH3149" s="32"/>
      <c r="BI3149" s="32"/>
      <c r="BJ3149" s="32"/>
      <c r="BK3149" s="32"/>
      <c r="BL3149" s="32"/>
      <c r="BM3149" s="32"/>
      <c r="BN3149" s="32"/>
      <c r="BO3149" s="32"/>
      <c r="BP3149" s="32"/>
      <c r="BQ3149" s="32"/>
      <c r="BR3149" s="32"/>
      <c r="BS3149" s="32"/>
      <c r="BT3149" s="32"/>
      <c r="BU3149" s="32"/>
      <c r="BV3149" s="32"/>
      <c r="BW3149" s="32"/>
      <c r="BX3149" s="32"/>
      <c r="BY3149" s="32"/>
      <c r="BZ3149" s="32"/>
      <c r="CA3149" s="32"/>
      <c r="CB3149" s="32"/>
      <c r="CC3149" s="32"/>
      <c r="CD3149" s="32"/>
    </row>
    <row r="3150" ht="15.75" hidden="1" customHeight="1" outlineLevel="1">
      <c r="A3150" s="363"/>
      <c r="B3150" s="381"/>
      <c r="C3150" s="382">
        <v>0.0</v>
      </c>
      <c r="D3150" s="382">
        <v>0.0</v>
      </c>
      <c r="E3150" s="382">
        <v>0.0</v>
      </c>
      <c r="F3150" s="382">
        <v>0.0</v>
      </c>
      <c r="G3150" s="382">
        <v>0.0</v>
      </c>
      <c r="H3150" s="382">
        <v>0.0</v>
      </c>
      <c r="I3150" s="382">
        <v>0.0</v>
      </c>
      <c r="J3150" s="382">
        <v>0.0</v>
      </c>
      <c r="K3150" s="382">
        <v>0.0</v>
      </c>
      <c r="L3150" s="382">
        <v>0.0</v>
      </c>
      <c r="M3150" s="382">
        <v>0.0</v>
      </c>
      <c r="N3150" s="382">
        <v>0.0</v>
      </c>
      <c r="O3150" s="382">
        <v>0.0</v>
      </c>
      <c r="P3150" s="382">
        <v>0.0</v>
      </c>
      <c r="Q3150" s="382">
        <v>0.0</v>
      </c>
      <c r="R3150" s="382">
        <v>0.0</v>
      </c>
      <c r="S3150" s="382">
        <v>0.0</v>
      </c>
      <c r="T3150" s="382">
        <v>0.0</v>
      </c>
      <c r="U3150" s="382">
        <v>0.0</v>
      </c>
      <c r="V3150" s="382">
        <v>0.0</v>
      </c>
      <c r="W3150" s="382">
        <v>0.0</v>
      </c>
      <c r="X3150" s="382">
        <v>0.0</v>
      </c>
      <c r="Y3150" s="382">
        <v>0.0</v>
      </c>
      <c r="Z3150" s="382">
        <v>0.0</v>
      </c>
      <c r="AA3150" s="382">
        <v>0.0</v>
      </c>
      <c r="AB3150" s="382">
        <v>0.0</v>
      </c>
      <c r="AC3150" s="382">
        <v>0.0</v>
      </c>
      <c r="AD3150" s="382">
        <v>0.0</v>
      </c>
      <c r="AE3150" s="382">
        <v>0.0</v>
      </c>
      <c r="AF3150" s="382">
        <v>0.0</v>
      </c>
      <c r="AG3150" s="382">
        <v>0.0</v>
      </c>
      <c r="AH3150" s="382">
        <v>0.0</v>
      </c>
      <c r="AI3150" s="382">
        <v>0.0</v>
      </c>
      <c r="AJ3150" s="382">
        <v>0.0</v>
      </c>
      <c r="AK3150" s="382">
        <v>0.0</v>
      </c>
      <c r="AL3150" s="382">
        <v>0.0</v>
      </c>
      <c r="AM3150" s="382">
        <v>0.0</v>
      </c>
      <c r="AN3150" s="382">
        <v>0.0</v>
      </c>
      <c r="AO3150" s="382">
        <v>0.0</v>
      </c>
      <c r="AP3150" s="382">
        <v>0.0</v>
      </c>
      <c r="AQ3150" s="382">
        <v>0.0</v>
      </c>
      <c r="AR3150" s="382">
        <v>0.0</v>
      </c>
      <c r="AS3150" s="382">
        <v>0.0</v>
      </c>
      <c r="AT3150" s="382">
        <v>0.0</v>
      </c>
      <c r="AU3150" s="382">
        <v>0.0</v>
      </c>
      <c r="AV3150" s="382">
        <v>0.0</v>
      </c>
      <c r="AW3150" s="382">
        <v>0.0</v>
      </c>
      <c r="AX3150" s="382">
        <v>0.0</v>
      </c>
      <c r="AY3150" s="382">
        <v>0.0</v>
      </c>
      <c r="AZ3150" s="382">
        <v>0.0</v>
      </c>
      <c r="BA3150" s="382">
        <v>0.0</v>
      </c>
      <c r="BB3150" s="32"/>
      <c r="BC3150" s="32"/>
      <c r="BD3150" s="32"/>
      <c r="BE3150" s="32"/>
      <c r="BF3150" s="32"/>
      <c r="BG3150" s="32"/>
      <c r="BH3150" s="32"/>
      <c r="BI3150" s="32"/>
      <c r="BJ3150" s="32"/>
      <c r="BK3150" s="32"/>
      <c r="BL3150" s="32"/>
      <c r="BM3150" s="32"/>
      <c r="BN3150" s="32"/>
      <c r="BO3150" s="32"/>
      <c r="BP3150" s="32"/>
      <c r="BQ3150" s="32"/>
      <c r="BR3150" s="32"/>
      <c r="BS3150" s="32"/>
      <c r="BT3150" s="32"/>
      <c r="BU3150" s="32"/>
      <c r="BV3150" s="32"/>
      <c r="BW3150" s="32"/>
      <c r="BX3150" s="32"/>
      <c r="BY3150" s="32"/>
      <c r="BZ3150" s="32"/>
      <c r="CA3150" s="32"/>
      <c r="CB3150" s="32"/>
      <c r="CC3150" s="32"/>
      <c r="CD3150" s="32"/>
    </row>
    <row r="3151" ht="15.75" hidden="1" customHeight="1" outlineLevel="1">
      <c r="A3151" s="363"/>
      <c r="B3151" s="381"/>
      <c r="C3151" s="382">
        <v>0.0</v>
      </c>
      <c r="D3151" s="382">
        <v>0.0</v>
      </c>
      <c r="E3151" s="382">
        <v>0.0</v>
      </c>
      <c r="F3151" s="382">
        <v>0.0</v>
      </c>
      <c r="G3151" s="382">
        <v>0.0</v>
      </c>
      <c r="H3151" s="382">
        <v>0.0</v>
      </c>
      <c r="I3151" s="382">
        <v>0.0</v>
      </c>
      <c r="J3151" s="382">
        <v>0.0</v>
      </c>
      <c r="K3151" s="382">
        <v>0.0</v>
      </c>
      <c r="L3151" s="382">
        <v>0.0</v>
      </c>
      <c r="M3151" s="382">
        <v>0.0</v>
      </c>
      <c r="N3151" s="382">
        <v>0.0</v>
      </c>
      <c r="O3151" s="382">
        <v>0.0</v>
      </c>
      <c r="P3151" s="382">
        <v>0.0</v>
      </c>
      <c r="Q3151" s="382">
        <v>0.0</v>
      </c>
      <c r="R3151" s="382">
        <v>0.0</v>
      </c>
      <c r="S3151" s="382">
        <v>0.0</v>
      </c>
      <c r="T3151" s="382">
        <v>0.0</v>
      </c>
      <c r="U3151" s="382">
        <v>0.0</v>
      </c>
      <c r="V3151" s="382">
        <v>0.0</v>
      </c>
      <c r="W3151" s="382">
        <v>0.0</v>
      </c>
      <c r="X3151" s="382">
        <v>0.0</v>
      </c>
      <c r="Y3151" s="382">
        <v>0.0</v>
      </c>
      <c r="Z3151" s="382">
        <v>0.0</v>
      </c>
      <c r="AA3151" s="382">
        <v>0.0</v>
      </c>
      <c r="AB3151" s="382">
        <v>0.0</v>
      </c>
      <c r="AC3151" s="382">
        <v>0.0</v>
      </c>
      <c r="AD3151" s="382">
        <v>0.0</v>
      </c>
      <c r="AE3151" s="382">
        <v>0.0</v>
      </c>
      <c r="AF3151" s="382">
        <v>0.0</v>
      </c>
      <c r="AG3151" s="382">
        <v>0.0</v>
      </c>
      <c r="AH3151" s="382">
        <v>0.0</v>
      </c>
      <c r="AI3151" s="382">
        <v>0.0</v>
      </c>
      <c r="AJ3151" s="382">
        <v>0.0</v>
      </c>
      <c r="AK3151" s="382">
        <v>0.0</v>
      </c>
      <c r="AL3151" s="382">
        <v>0.0</v>
      </c>
      <c r="AM3151" s="382">
        <v>0.0</v>
      </c>
      <c r="AN3151" s="382">
        <v>0.0</v>
      </c>
      <c r="AO3151" s="382">
        <v>0.0</v>
      </c>
      <c r="AP3151" s="382">
        <v>0.0</v>
      </c>
      <c r="AQ3151" s="382">
        <v>0.0</v>
      </c>
      <c r="AR3151" s="382">
        <v>0.0</v>
      </c>
      <c r="AS3151" s="382">
        <v>0.0</v>
      </c>
      <c r="AT3151" s="382">
        <v>0.0</v>
      </c>
      <c r="AU3151" s="382">
        <v>0.0</v>
      </c>
      <c r="AV3151" s="382">
        <v>0.0</v>
      </c>
      <c r="AW3151" s="382">
        <v>0.0</v>
      </c>
      <c r="AX3151" s="382">
        <v>0.0</v>
      </c>
      <c r="AY3151" s="382">
        <v>0.0</v>
      </c>
      <c r="AZ3151" s="382">
        <v>0.0</v>
      </c>
      <c r="BA3151" s="382">
        <v>0.0</v>
      </c>
      <c r="BB3151" s="32"/>
      <c r="BC3151" s="32"/>
      <c r="BD3151" s="32"/>
      <c r="BE3151" s="32"/>
      <c r="BF3151" s="32"/>
      <c r="BG3151" s="32"/>
      <c r="BH3151" s="32"/>
      <c r="BI3151" s="32"/>
      <c r="BJ3151" s="32"/>
      <c r="BK3151" s="32"/>
      <c r="BL3151" s="32"/>
      <c r="BM3151" s="32"/>
      <c r="BN3151" s="32"/>
      <c r="BO3151" s="32"/>
      <c r="BP3151" s="32"/>
      <c r="BQ3151" s="32"/>
      <c r="BR3151" s="32"/>
      <c r="BS3151" s="32"/>
      <c r="BT3151" s="32"/>
      <c r="BU3151" s="32"/>
      <c r="BV3151" s="32"/>
      <c r="BW3151" s="32"/>
      <c r="BX3151" s="32"/>
      <c r="BY3151" s="32"/>
      <c r="BZ3151" s="32"/>
      <c r="CA3151" s="32"/>
      <c r="CB3151" s="32"/>
      <c r="CC3151" s="32"/>
      <c r="CD3151" s="32"/>
    </row>
    <row r="3152" ht="15.75" hidden="1" customHeight="1" outlineLevel="1">
      <c r="A3152" s="363"/>
      <c r="B3152" s="381"/>
      <c r="C3152" s="382">
        <v>0.0</v>
      </c>
      <c r="D3152" s="382">
        <v>0.0</v>
      </c>
      <c r="E3152" s="382">
        <v>0.0</v>
      </c>
      <c r="F3152" s="382">
        <v>0.0</v>
      </c>
      <c r="G3152" s="382">
        <v>0.0</v>
      </c>
      <c r="H3152" s="382">
        <v>0.0</v>
      </c>
      <c r="I3152" s="382">
        <v>0.0</v>
      </c>
      <c r="J3152" s="382">
        <v>0.0</v>
      </c>
      <c r="K3152" s="382">
        <v>0.0</v>
      </c>
      <c r="L3152" s="382">
        <v>0.0</v>
      </c>
      <c r="M3152" s="382">
        <v>0.0</v>
      </c>
      <c r="N3152" s="382">
        <v>0.0</v>
      </c>
      <c r="O3152" s="382">
        <v>0.0</v>
      </c>
      <c r="P3152" s="382">
        <v>0.0</v>
      </c>
      <c r="Q3152" s="382">
        <v>0.0</v>
      </c>
      <c r="R3152" s="382">
        <v>0.0</v>
      </c>
      <c r="S3152" s="382">
        <v>0.0</v>
      </c>
      <c r="T3152" s="382">
        <v>0.0</v>
      </c>
      <c r="U3152" s="382">
        <v>0.0</v>
      </c>
      <c r="V3152" s="382">
        <v>0.0</v>
      </c>
      <c r="W3152" s="382">
        <v>0.0</v>
      </c>
      <c r="X3152" s="382">
        <v>0.0</v>
      </c>
      <c r="Y3152" s="382">
        <v>0.0</v>
      </c>
      <c r="Z3152" s="382">
        <v>0.0</v>
      </c>
      <c r="AA3152" s="382">
        <v>0.0</v>
      </c>
      <c r="AB3152" s="382">
        <v>0.0</v>
      </c>
      <c r="AC3152" s="382">
        <v>0.0</v>
      </c>
      <c r="AD3152" s="382">
        <v>0.0</v>
      </c>
      <c r="AE3152" s="382">
        <v>0.0</v>
      </c>
      <c r="AF3152" s="382">
        <v>0.0</v>
      </c>
      <c r="AG3152" s="382">
        <v>0.0</v>
      </c>
      <c r="AH3152" s="382">
        <v>0.0</v>
      </c>
      <c r="AI3152" s="382">
        <v>0.0</v>
      </c>
      <c r="AJ3152" s="382">
        <v>0.0</v>
      </c>
      <c r="AK3152" s="382">
        <v>0.0</v>
      </c>
      <c r="AL3152" s="382">
        <v>0.0</v>
      </c>
      <c r="AM3152" s="382">
        <v>0.0</v>
      </c>
      <c r="AN3152" s="382">
        <v>0.0</v>
      </c>
      <c r="AO3152" s="382">
        <v>0.0</v>
      </c>
      <c r="AP3152" s="382">
        <v>0.0</v>
      </c>
      <c r="AQ3152" s="382">
        <v>0.0</v>
      </c>
      <c r="AR3152" s="382">
        <v>0.0</v>
      </c>
      <c r="AS3152" s="382">
        <v>0.0</v>
      </c>
      <c r="AT3152" s="382">
        <v>0.0</v>
      </c>
      <c r="AU3152" s="382">
        <v>0.0</v>
      </c>
      <c r="AV3152" s="382">
        <v>0.0</v>
      </c>
      <c r="AW3152" s="382">
        <v>0.0</v>
      </c>
      <c r="AX3152" s="382">
        <v>0.0</v>
      </c>
      <c r="AY3152" s="382">
        <v>0.0</v>
      </c>
      <c r="AZ3152" s="382">
        <v>0.0</v>
      </c>
      <c r="BA3152" s="382">
        <v>0.0</v>
      </c>
      <c r="BB3152" s="32"/>
      <c r="BC3152" s="32"/>
      <c r="BD3152" s="32"/>
      <c r="BE3152" s="32"/>
      <c r="BF3152" s="32"/>
      <c r="BG3152" s="32"/>
      <c r="BH3152" s="32"/>
      <c r="BI3152" s="32"/>
      <c r="BJ3152" s="32"/>
      <c r="BK3152" s="32"/>
      <c r="BL3152" s="32"/>
      <c r="BM3152" s="32"/>
      <c r="BN3152" s="32"/>
      <c r="BO3152" s="32"/>
      <c r="BP3152" s="32"/>
      <c r="BQ3152" s="32"/>
      <c r="BR3152" s="32"/>
      <c r="BS3152" s="32"/>
      <c r="BT3152" s="32"/>
      <c r="BU3152" s="32"/>
      <c r="BV3152" s="32"/>
      <c r="BW3152" s="32"/>
      <c r="BX3152" s="32"/>
      <c r="BY3152" s="32"/>
      <c r="BZ3152" s="32"/>
      <c r="CA3152" s="32"/>
      <c r="CB3152" s="32"/>
      <c r="CC3152" s="32"/>
      <c r="CD3152" s="32"/>
    </row>
    <row r="3153" ht="15.75" hidden="1" customHeight="1" outlineLevel="1">
      <c r="A3153" s="363"/>
      <c r="B3153" s="381"/>
      <c r="C3153" s="382">
        <v>0.0</v>
      </c>
      <c r="D3153" s="382">
        <v>0.0</v>
      </c>
      <c r="E3153" s="382">
        <v>0.0</v>
      </c>
      <c r="F3153" s="382">
        <v>0.0</v>
      </c>
      <c r="G3153" s="382">
        <v>0.0</v>
      </c>
      <c r="H3153" s="382">
        <v>0.0</v>
      </c>
      <c r="I3153" s="382">
        <v>0.0</v>
      </c>
      <c r="J3153" s="382">
        <v>0.0</v>
      </c>
      <c r="K3153" s="382">
        <v>0.0</v>
      </c>
      <c r="L3153" s="382">
        <v>0.0</v>
      </c>
      <c r="M3153" s="382">
        <v>0.0</v>
      </c>
      <c r="N3153" s="382">
        <v>0.0</v>
      </c>
      <c r="O3153" s="382">
        <v>0.0</v>
      </c>
      <c r="P3153" s="382">
        <v>0.0</v>
      </c>
      <c r="Q3153" s="382">
        <v>0.0</v>
      </c>
      <c r="R3153" s="382">
        <v>0.0</v>
      </c>
      <c r="S3153" s="382">
        <v>0.0</v>
      </c>
      <c r="T3153" s="382">
        <v>0.0</v>
      </c>
      <c r="U3153" s="382">
        <v>0.0</v>
      </c>
      <c r="V3153" s="382">
        <v>0.0</v>
      </c>
      <c r="W3153" s="382">
        <v>0.0</v>
      </c>
      <c r="X3153" s="382">
        <v>0.0</v>
      </c>
      <c r="Y3153" s="382">
        <v>0.0</v>
      </c>
      <c r="Z3153" s="382">
        <v>0.0</v>
      </c>
      <c r="AA3153" s="382">
        <v>0.0</v>
      </c>
      <c r="AB3153" s="382">
        <v>0.0</v>
      </c>
      <c r="AC3153" s="382">
        <v>0.0</v>
      </c>
      <c r="AD3153" s="382">
        <v>0.0</v>
      </c>
      <c r="AE3153" s="382">
        <v>0.0</v>
      </c>
      <c r="AF3153" s="382">
        <v>0.0</v>
      </c>
      <c r="AG3153" s="382">
        <v>0.0</v>
      </c>
      <c r="AH3153" s="382">
        <v>0.0</v>
      </c>
      <c r="AI3153" s="382">
        <v>0.0</v>
      </c>
      <c r="AJ3153" s="382">
        <v>0.0</v>
      </c>
      <c r="AK3153" s="382">
        <v>0.0</v>
      </c>
      <c r="AL3153" s="382">
        <v>0.0</v>
      </c>
      <c r="AM3153" s="382">
        <v>0.0</v>
      </c>
      <c r="AN3153" s="382">
        <v>0.0</v>
      </c>
      <c r="AO3153" s="382">
        <v>0.0</v>
      </c>
      <c r="AP3153" s="382">
        <v>0.0</v>
      </c>
      <c r="AQ3153" s="382">
        <v>0.0</v>
      </c>
      <c r="AR3153" s="382">
        <v>0.0</v>
      </c>
      <c r="AS3153" s="382">
        <v>0.0</v>
      </c>
      <c r="AT3153" s="382">
        <v>0.0</v>
      </c>
      <c r="AU3153" s="382">
        <v>0.0</v>
      </c>
      <c r="AV3153" s="382">
        <v>0.0</v>
      </c>
      <c r="AW3153" s="382">
        <v>0.0</v>
      </c>
      <c r="AX3153" s="382">
        <v>0.0</v>
      </c>
      <c r="AY3153" s="382">
        <v>0.0</v>
      </c>
      <c r="AZ3153" s="382">
        <v>0.0</v>
      </c>
      <c r="BA3153" s="382">
        <v>0.0</v>
      </c>
      <c r="BB3153" s="32"/>
      <c r="BC3153" s="32"/>
      <c r="BD3153" s="32"/>
      <c r="BE3153" s="32"/>
      <c r="BF3153" s="32"/>
      <c r="BG3153" s="32"/>
      <c r="BH3153" s="32"/>
      <c r="BI3153" s="32"/>
      <c r="BJ3153" s="32"/>
      <c r="BK3153" s="32"/>
      <c r="BL3153" s="32"/>
      <c r="BM3153" s="32"/>
      <c r="BN3153" s="32"/>
      <c r="BO3153" s="32"/>
      <c r="BP3153" s="32"/>
      <c r="BQ3153" s="32"/>
      <c r="BR3153" s="32"/>
      <c r="BS3153" s="32"/>
      <c r="BT3153" s="32"/>
      <c r="BU3153" s="32"/>
      <c r="BV3153" s="32"/>
      <c r="BW3153" s="32"/>
      <c r="BX3153" s="32"/>
      <c r="BY3153" s="32"/>
      <c r="BZ3153" s="32"/>
      <c r="CA3153" s="32"/>
      <c r="CB3153" s="32"/>
      <c r="CC3153" s="32"/>
      <c r="CD3153" s="32"/>
    </row>
    <row r="3154" ht="15.75" hidden="1" customHeight="1" outlineLevel="1">
      <c r="A3154" s="363"/>
      <c r="B3154" s="381"/>
      <c r="C3154" s="382">
        <v>0.0</v>
      </c>
      <c r="D3154" s="382">
        <v>0.0</v>
      </c>
      <c r="E3154" s="382">
        <v>0.0</v>
      </c>
      <c r="F3154" s="382">
        <v>0.0</v>
      </c>
      <c r="G3154" s="382">
        <v>0.0</v>
      </c>
      <c r="H3154" s="382">
        <v>0.0</v>
      </c>
      <c r="I3154" s="382">
        <v>0.0</v>
      </c>
      <c r="J3154" s="382">
        <v>0.0</v>
      </c>
      <c r="K3154" s="382">
        <v>0.0</v>
      </c>
      <c r="L3154" s="382">
        <v>0.0</v>
      </c>
      <c r="M3154" s="382">
        <v>0.0</v>
      </c>
      <c r="N3154" s="382">
        <v>0.0</v>
      </c>
      <c r="O3154" s="382">
        <v>0.0</v>
      </c>
      <c r="P3154" s="382">
        <v>0.0</v>
      </c>
      <c r="Q3154" s="382">
        <v>0.0</v>
      </c>
      <c r="R3154" s="382">
        <v>0.0</v>
      </c>
      <c r="S3154" s="382">
        <v>0.0</v>
      </c>
      <c r="T3154" s="382">
        <v>0.0</v>
      </c>
      <c r="U3154" s="382">
        <v>0.0</v>
      </c>
      <c r="V3154" s="382">
        <v>0.0</v>
      </c>
      <c r="W3154" s="382">
        <v>0.0</v>
      </c>
      <c r="X3154" s="382">
        <v>0.0</v>
      </c>
      <c r="Y3154" s="382">
        <v>0.0</v>
      </c>
      <c r="Z3154" s="382">
        <v>0.0</v>
      </c>
      <c r="AA3154" s="382">
        <v>0.0</v>
      </c>
      <c r="AB3154" s="382">
        <v>0.0</v>
      </c>
      <c r="AC3154" s="382">
        <v>0.0</v>
      </c>
      <c r="AD3154" s="382">
        <v>0.0</v>
      </c>
      <c r="AE3154" s="382">
        <v>0.0</v>
      </c>
      <c r="AF3154" s="382">
        <v>0.0</v>
      </c>
      <c r="AG3154" s="382">
        <v>0.0</v>
      </c>
      <c r="AH3154" s="382">
        <v>0.0</v>
      </c>
      <c r="AI3154" s="382">
        <v>0.0</v>
      </c>
      <c r="AJ3154" s="382">
        <v>0.0</v>
      </c>
      <c r="AK3154" s="382">
        <v>0.0</v>
      </c>
      <c r="AL3154" s="382">
        <v>0.0</v>
      </c>
      <c r="AM3154" s="382">
        <v>0.0</v>
      </c>
      <c r="AN3154" s="382">
        <v>0.0</v>
      </c>
      <c r="AO3154" s="382">
        <v>0.0</v>
      </c>
      <c r="AP3154" s="382">
        <v>0.0</v>
      </c>
      <c r="AQ3154" s="382">
        <v>0.0</v>
      </c>
      <c r="AR3154" s="382">
        <v>0.0</v>
      </c>
      <c r="AS3154" s="382">
        <v>0.0</v>
      </c>
      <c r="AT3154" s="382">
        <v>0.0</v>
      </c>
      <c r="AU3154" s="382">
        <v>0.0</v>
      </c>
      <c r="AV3154" s="382">
        <v>0.0</v>
      </c>
      <c r="AW3154" s="382">
        <v>0.0</v>
      </c>
      <c r="AX3154" s="382">
        <v>0.0</v>
      </c>
      <c r="AY3154" s="382">
        <v>0.0</v>
      </c>
      <c r="AZ3154" s="382">
        <v>0.0</v>
      </c>
      <c r="BA3154" s="382">
        <v>0.0</v>
      </c>
      <c r="BB3154" s="32"/>
      <c r="BC3154" s="32"/>
      <c r="BD3154" s="32"/>
      <c r="BE3154" s="32"/>
      <c r="BF3154" s="32"/>
      <c r="BG3154" s="32"/>
      <c r="BH3154" s="32"/>
      <c r="BI3154" s="32"/>
      <c r="BJ3154" s="32"/>
      <c r="BK3154" s="32"/>
      <c r="BL3154" s="32"/>
      <c r="BM3154" s="32"/>
      <c r="BN3154" s="32"/>
      <c r="BO3154" s="32"/>
      <c r="BP3154" s="32"/>
      <c r="BQ3154" s="32"/>
      <c r="BR3154" s="32"/>
      <c r="BS3154" s="32"/>
      <c r="BT3154" s="32"/>
      <c r="BU3154" s="32"/>
      <c r="BV3154" s="32"/>
      <c r="BW3154" s="32"/>
      <c r="BX3154" s="32"/>
      <c r="BY3154" s="32"/>
      <c r="BZ3154" s="32"/>
      <c r="CA3154" s="32"/>
      <c r="CB3154" s="32"/>
      <c r="CC3154" s="32"/>
      <c r="CD3154" s="32"/>
    </row>
    <row r="3155" ht="15.75" hidden="1" customHeight="1" outlineLevel="1">
      <c r="A3155" s="363"/>
      <c r="B3155" s="381"/>
      <c r="C3155" s="382">
        <v>0.0</v>
      </c>
      <c r="D3155" s="382">
        <v>0.0</v>
      </c>
      <c r="E3155" s="382">
        <v>0.0</v>
      </c>
      <c r="F3155" s="382">
        <v>0.0</v>
      </c>
      <c r="G3155" s="382">
        <v>0.0</v>
      </c>
      <c r="H3155" s="382">
        <v>0.0</v>
      </c>
      <c r="I3155" s="382">
        <v>0.0</v>
      </c>
      <c r="J3155" s="382">
        <v>0.0</v>
      </c>
      <c r="K3155" s="382">
        <v>0.0</v>
      </c>
      <c r="L3155" s="382">
        <v>0.0</v>
      </c>
      <c r="M3155" s="382">
        <v>0.0</v>
      </c>
      <c r="N3155" s="382">
        <v>0.0</v>
      </c>
      <c r="O3155" s="382">
        <v>0.0</v>
      </c>
      <c r="P3155" s="382">
        <v>0.0</v>
      </c>
      <c r="Q3155" s="382">
        <v>0.0</v>
      </c>
      <c r="R3155" s="382">
        <v>0.0</v>
      </c>
      <c r="S3155" s="382">
        <v>0.0</v>
      </c>
      <c r="T3155" s="382">
        <v>0.0</v>
      </c>
      <c r="U3155" s="382">
        <v>0.0</v>
      </c>
      <c r="V3155" s="382">
        <v>0.0</v>
      </c>
      <c r="W3155" s="382">
        <v>0.0</v>
      </c>
      <c r="X3155" s="382">
        <v>0.0</v>
      </c>
      <c r="Y3155" s="382">
        <v>0.0</v>
      </c>
      <c r="Z3155" s="382">
        <v>0.0</v>
      </c>
      <c r="AA3155" s="382">
        <v>0.0</v>
      </c>
      <c r="AB3155" s="382">
        <v>0.0</v>
      </c>
      <c r="AC3155" s="382">
        <v>0.0</v>
      </c>
      <c r="AD3155" s="382">
        <v>0.0</v>
      </c>
      <c r="AE3155" s="382">
        <v>0.0</v>
      </c>
      <c r="AF3155" s="382">
        <v>0.0</v>
      </c>
      <c r="AG3155" s="382">
        <v>0.0</v>
      </c>
      <c r="AH3155" s="382">
        <v>0.0</v>
      </c>
      <c r="AI3155" s="382">
        <v>0.0</v>
      </c>
      <c r="AJ3155" s="382">
        <v>0.0</v>
      </c>
      <c r="AK3155" s="382">
        <v>0.0</v>
      </c>
      <c r="AL3155" s="382">
        <v>0.0</v>
      </c>
      <c r="AM3155" s="382">
        <v>0.0</v>
      </c>
      <c r="AN3155" s="382">
        <v>0.0</v>
      </c>
      <c r="AO3155" s="382">
        <v>0.0</v>
      </c>
      <c r="AP3155" s="382">
        <v>0.0</v>
      </c>
      <c r="AQ3155" s="382">
        <v>0.0</v>
      </c>
      <c r="AR3155" s="382">
        <v>0.0</v>
      </c>
      <c r="AS3155" s="382">
        <v>0.0</v>
      </c>
      <c r="AT3155" s="382">
        <v>0.0</v>
      </c>
      <c r="AU3155" s="382">
        <v>0.0</v>
      </c>
      <c r="AV3155" s="382">
        <v>0.0</v>
      </c>
      <c r="AW3155" s="382">
        <v>0.0</v>
      </c>
      <c r="AX3155" s="382">
        <v>0.0</v>
      </c>
      <c r="AY3155" s="382">
        <v>0.0</v>
      </c>
      <c r="AZ3155" s="382">
        <v>0.0</v>
      </c>
      <c r="BA3155" s="382">
        <v>0.0</v>
      </c>
      <c r="BB3155" s="32"/>
      <c r="BC3155" s="32"/>
      <c r="BD3155" s="32"/>
      <c r="BE3155" s="32"/>
      <c r="BF3155" s="32"/>
      <c r="BG3155" s="32"/>
      <c r="BH3155" s="32"/>
      <c r="BI3155" s="32"/>
      <c r="BJ3155" s="32"/>
      <c r="BK3155" s="32"/>
      <c r="BL3155" s="32"/>
      <c r="BM3155" s="32"/>
      <c r="BN3155" s="32"/>
      <c r="BO3155" s="32"/>
      <c r="BP3155" s="32"/>
      <c r="BQ3155" s="32"/>
      <c r="BR3155" s="32"/>
      <c r="BS3155" s="32"/>
      <c r="BT3155" s="32"/>
      <c r="BU3155" s="32"/>
      <c r="BV3155" s="32"/>
      <c r="BW3155" s="32"/>
      <c r="BX3155" s="32"/>
      <c r="BY3155" s="32"/>
      <c r="BZ3155" s="32"/>
      <c r="CA3155" s="32"/>
      <c r="CB3155" s="32"/>
      <c r="CC3155" s="32"/>
      <c r="CD3155" s="32"/>
    </row>
    <row r="3156" ht="15.75" hidden="1" customHeight="1" outlineLevel="1">
      <c r="A3156" s="363"/>
      <c r="B3156" s="381"/>
      <c r="C3156" s="382">
        <v>0.0</v>
      </c>
      <c r="D3156" s="382">
        <v>0.0</v>
      </c>
      <c r="E3156" s="382">
        <v>0.0</v>
      </c>
      <c r="F3156" s="382">
        <v>0.0</v>
      </c>
      <c r="G3156" s="382">
        <v>0.0</v>
      </c>
      <c r="H3156" s="382">
        <v>0.0</v>
      </c>
      <c r="I3156" s="382">
        <v>0.0</v>
      </c>
      <c r="J3156" s="382">
        <v>0.0</v>
      </c>
      <c r="K3156" s="382">
        <v>0.0</v>
      </c>
      <c r="L3156" s="382">
        <v>0.0</v>
      </c>
      <c r="M3156" s="382">
        <v>0.0</v>
      </c>
      <c r="N3156" s="382">
        <v>0.0</v>
      </c>
      <c r="O3156" s="382">
        <v>0.0</v>
      </c>
      <c r="P3156" s="382">
        <v>0.0</v>
      </c>
      <c r="Q3156" s="382">
        <v>0.0</v>
      </c>
      <c r="R3156" s="382">
        <v>0.0</v>
      </c>
      <c r="S3156" s="382">
        <v>0.0</v>
      </c>
      <c r="T3156" s="382">
        <v>0.0</v>
      </c>
      <c r="U3156" s="382">
        <v>0.0</v>
      </c>
      <c r="V3156" s="382">
        <v>0.0</v>
      </c>
      <c r="W3156" s="382">
        <v>0.0</v>
      </c>
      <c r="X3156" s="382">
        <v>0.0</v>
      </c>
      <c r="Y3156" s="382">
        <v>0.0</v>
      </c>
      <c r="Z3156" s="382">
        <v>0.0</v>
      </c>
      <c r="AA3156" s="382">
        <v>0.0</v>
      </c>
      <c r="AB3156" s="382">
        <v>0.0</v>
      </c>
      <c r="AC3156" s="382">
        <v>0.0</v>
      </c>
      <c r="AD3156" s="382">
        <v>0.0</v>
      </c>
      <c r="AE3156" s="382">
        <v>0.0</v>
      </c>
      <c r="AF3156" s="382">
        <v>0.0</v>
      </c>
      <c r="AG3156" s="382">
        <v>0.0</v>
      </c>
      <c r="AH3156" s="382">
        <v>0.0</v>
      </c>
      <c r="AI3156" s="382">
        <v>0.0</v>
      </c>
      <c r="AJ3156" s="382">
        <v>0.0</v>
      </c>
      <c r="AK3156" s="382">
        <v>0.0</v>
      </c>
      <c r="AL3156" s="382">
        <v>0.0</v>
      </c>
      <c r="AM3156" s="382">
        <v>0.0</v>
      </c>
      <c r="AN3156" s="382">
        <v>0.0</v>
      </c>
      <c r="AO3156" s="382">
        <v>0.0</v>
      </c>
      <c r="AP3156" s="382">
        <v>0.0</v>
      </c>
      <c r="AQ3156" s="382">
        <v>0.0</v>
      </c>
      <c r="AR3156" s="382">
        <v>0.0</v>
      </c>
      <c r="AS3156" s="382">
        <v>0.0</v>
      </c>
      <c r="AT3156" s="382">
        <v>0.0</v>
      </c>
      <c r="AU3156" s="382">
        <v>0.0</v>
      </c>
      <c r="AV3156" s="382">
        <v>0.0</v>
      </c>
      <c r="AW3156" s="382">
        <v>0.0</v>
      </c>
      <c r="AX3156" s="382">
        <v>0.0</v>
      </c>
      <c r="AY3156" s="382">
        <v>0.0</v>
      </c>
      <c r="AZ3156" s="382">
        <v>0.0</v>
      </c>
      <c r="BA3156" s="382">
        <v>0.0</v>
      </c>
      <c r="BB3156" s="32"/>
      <c r="BC3156" s="32"/>
      <c r="BD3156" s="32"/>
      <c r="BE3156" s="32"/>
      <c r="BF3156" s="32"/>
      <c r="BG3156" s="32"/>
      <c r="BH3156" s="32"/>
      <c r="BI3156" s="32"/>
      <c r="BJ3156" s="32"/>
      <c r="BK3156" s="32"/>
      <c r="BL3156" s="32"/>
      <c r="BM3156" s="32"/>
      <c r="BN3156" s="32"/>
      <c r="BO3156" s="32"/>
      <c r="BP3156" s="32"/>
      <c r="BQ3156" s="32"/>
      <c r="BR3156" s="32"/>
      <c r="BS3156" s="32"/>
      <c r="BT3156" s="32"/>
      <c r="BU3156" s="32"/>
      <c r="BV3156" s="32"/>
      <c r="BW3156" s="32"/>
      <c r="BX3156" s="32"/>
      <c r="BY3156" s="32"/>
      <c r="BZ3156" s="32"/>
      <c r="CA3156" s="32"/>
      <c r="CB3156" s="32"/>
      <c r="CC3156" s="32"/>
      <c r="CD3156" s="32"/>
    </row>
    <row r="3157" ht="15.75" hidden="1" customHeight="1" outlineLevel="1">
      <c r="A3157" s="363"/>
      <c r="B3157" s="381"/>
      <c r="C3157" s="382">
        <v>0.0</v>
      </c>
      <c r="D3157" s="382">
        <v>0.0</v>
      </c>
      <c r="E3157" s="382">
        <v>0.0</v>
      </c>
      <c r="F3157" s="382">
        <v>0.0</v>
      </c>
      <c r="G3157" s="382">
        <v>0.0</v>
      </c>
      <c r="H3157" s="382">
        <v>0.0</v>
      </c>
      <c r="I3157" s="382">
        <v>0.0</v>
      </c>
      <c r="J3157" s="382">
        <v>0.0</v>
      </c>
      <c r="K3157" s="382">
        <v>0.0</v>
      </c>
      <c r="L3157" s="382">
        <v>0.0</v>
      </c>
      <c r="M3157" s="382">
        <v>0.0</v>
      </c>
      <c r="N3157" s="382">
        <v>0.0</v>
      </c>
      <c r="O3157" s="382">
        <v>0.0</v>
      </c>
      <c r="P3157" s="382">
        <v>0.0</v>
      </c>
      <c r="Q3157" s="382">
        <v>0.0</v>
      </c>
      <c r="R3157" s="382">
        <v>0.0</v>
      </c>
      <c r="S3157" s="382">
        <v>0.0</v>
      </c>
      <c r="T3157" s="382">
        <v>0.0</v>
      </c>
      <c r="U3157" s="382">
        <v>0.0</v>
      </c>
      <c r="V3157" s="382">
        <v>0.0</v>
      </c>
      <c r="W3157" s="382">
        <v>0.0</v>
      </c>
      <c r="X3157" s="382">
        <v>0.0</v>
      </c>
      <c r="Y3157" s="382">
        <v>0.0</v>
      </c>
      <c r="Z3157" s="382">
        <v>0.0</v>
      </c>
      <c r="AA3157" s="382">
        <v>0.0</v>
      </c>
      <c r="AB3157" s="382">
        <v>0.0</v>
      </c>
      <c r="AC3157" s="382">
        <v>0.0</v>
      </c>
      <c r="AD3157" s="382">
        <v>0.0</v>
      </c>
      <c r="AE3157" s="382">
        <v>0.0</v>
      </c>
      <c r="AF3157" s="382">
        <v>0.0</v>
      </c>
      <c r="AG3157" s="382">
        <v>0.0</v>
      </c>
      <c r="AH3157" s="382">
        <v>0.0</v>
      </c>
      <c r="AI3157" s="382">
        <v>0.0</v>
      </c>
      <c r="AJ3157" s="382">
        <v>0.0</v>
      </c>
      <c r="AK3157" s="382">
        <v>0.0</v>
      </c>
      <c r="AL3157" s="382">
        <v>0.0</v>
      </c>
      <c r="AM3157" s="382">
        <v>0.0</v>
      </c>
      <c r="AN3157" s="382">
        <v>0.0</v>
      </c>
      <c r="AO3157" s="382">
        <v>0.0</v>
      </c>
      <c r="AP3157" s="382">
        <v>0.0</v>
      </c>
      <c r="AQ3157" s="382">
        <v>0.0</v>
      </c>
      <c r="AR3157" s="382">
        <v>0.0</v>
      </c>
      <c r="AS3157" s="382">
        <v>0.0</v>
      </c>
      <c r="AT3157" s="382">
        <v>0.0</v>
      </c>
      <c r="AU3157" s="382">
        <v>0.0</v>
      </c>
      <c r="AV3157" s="382">
        <v>0.0</v>
      </c>
      <c r="AW3157" s="382">
        <v>0.0</v>
      </c>
      <c r="AX3157" s="382">
        <v>0.0</v>
      </c>
      <c r="AY3157" s="382">
        <v>0.0</v>
      </c>
      <c r="AZ3157" s="382">
        <v>0.0</v>
      </c>
      <c r="BA3157" s="382">
        <v>0.0</v>
      </c>
      <c r="BB3157" s="32"/>
      <c r="BC3157" s="32"/>
      <c r="BD3157" s="32"/>
      <c r="BE3157" s="32"/>
      <c r="BF3157" s="32"/>
      <c r="BG3157" s="32"/>
      <c r="BH3157" s="32"/>
      <c r="BI3157" s="32"/>
      <c r="BJ3157" s="32"/>
      <c r="BK3157" s="32"/>
      <c r="BL3157" s="32"/>
      <c r="BM3157" s="32"/>
      <c r="BN3157" s="32"/>
      <c r="BO3157" s="32"/>
      <c r="BP3157" s="32"/>
      <c r="BQ3157" s="32"/>
      <c r="BR3157" s="32"/>
      <c r="BS3157" s="32"/>
      <c r="BT3157" s="32"/>
      <c r="BU3157" s="32"/>
      <c r="BV3157" s="32"/>
      <c r="BW3157" s="32"/>
      <c r="BX3157" s="32"/>
      <c r="BY3157" s="32"/>
      <c r="BZ3157" s="32"/>
      <c r="CA3157" s="32"/>
      <c r="CB3157" s="32"/>
      <c r="CC3157" s="32"/>
      <c r="CD3157" s="32"/>
    </row>
    <row r="3158" ht="15.75" hidden="1" customHeight="1" outlineLevel="1">
      <c r="A3158" s="363"/>
      <c r="B3158" s="381"/>
      <c r="C3158" s="382">
        <v>0.0</v>
      </c>
      <c r="D3158" s="382">
        <v>0.0</v>
      </c>
      <c r="E3158" s="382">
        <v>0.0</v>
      </c>
      <c r="F3158" s="382">
        <v>0.0</v>
      </c>
      <c r="G3158" s="382">
        <v>0.0</v>
      </c>
      <c r="H3158" s="382">
        <v>0.0</v>
      </c>
      <c r="I3158" s="382">
        <v>0.0</v>
      </c>
      <c r="J3158" s="382">
        <v>0.0</v>
      </c>
      <c r="K3158" s="382">
        <v>0.0</v>
      </c>
      <c r="L3158" s="382">
        <v>0.0</v>
      </c>
      <c r="M3158" s="382">
        <v>0.0</v>
      </c>
      <c r="N3158" s="382">
        <v>0.0</v>
      </c>
      <c r="O3158" s="382">
        <v>0.0</v>
      </c>
      <c r="P3158" s="382">
        <v>0.0</v>
      </c>
      <c r="Q3158" s="382">
        <v>0.0</v>
      </c>
      <c r="R3158" s="382">
        <v>0.0</v>
      </c>
      <c r="S3158" s="382">
        <v>0.0</v>
      </c>
      <c r="T3158" s="382">
        <v>0.0</v>
      </c>
      <c r="U3158" s="382">
        <v>0.0</v>
      </c>
      <c r="V3158" s="382">
        <v>0.0</v>
      </c>
      <c r="W3158" s="382">
        <v>0.0</v>
      </c>
      <c r="X3158" s="382">
        <v>0.0</v>
      </c>
      <c r="Y3158" s="382">
        <v>0.0</v>
      </c>
      <c r="Z3158" s="382">
        <v>0.0</v>
      </c>
      <c r="AA3158" s="382">
        <v>0.0</v>
      </c>
      <c r="AB3158" s="382">
        <v>0.0</v>
      </c>
      <c r="AC3158" s="382">
        <v>0.0</v>
      </c>
      <c r="AD3158" s="382">
        <v>0.0</v>
      </c>
      <c r="AE3158" s="382">
        <v>0.0</v>
      </c>
      <c r="AF3158" s="382">
        <v>0.0</v>
      </c>
      <c r="AG3158" s="382">
        <v>0.0</v>
      </c>
      <c r="AH3158" s="382">
        <v>0.0</v>
      </c>
      <c r="AI3158" s="382">
        <v>0.0</v>
      </c>
      <c r="AJ3158" s="382">
        <v>0.0</v>
      </c>
      <c r="AK3158" s="382">
        <v>0.0</v>
      </c>
      <c r="AL3158" s="382">
        <v>0.0</v>
      </c>
      <c r="AM3158" s="382">
        <v>0.0</v>
      </c>
      <c r="AN3158" s="382">
        <v>0.0</v>
      </c>
      <c r="AO3158" s="382">
        <v>0.0</v>
      </c>
      <c r="AP3158" s="382">
        <v>0.0</v>
      </c>
      <c r="AQ3158" s="382">
        <v>0.0</v>
      </c>
      <c r="AR3158" s="382">
        <v>0.0</v>
      </c>
      <c r="AS3158" s="382">
        <v>0.0</v>
      </c>
      <c r="AT3158" s="382">
        <v>0.0</v>
      </c>
      <c r="AU3158" s="382">
        <v>0.0</v>
      </c>
      <c r="AV3158" s="382">
        <v>0.0</v>
      </c>
      <c r="AW3158" s="382">
        <v>0.0</v>
      </c>
      <c r="AX3158" s="382">
        <v>0.0</v>
      </c>
      <c r="AY3158" s="382">
        <v>0.0</v>
      </c>
      <c r="AZ3158" s="382">
        <v>0.0</v>
      </c>
      <c r="BA3158" s="382">
        <v>0.0</v>
      </c>
      <c r="BB3158" s="32"/>
      <c r="BC3158" s="32"/>
      <c r="BD3158" s="32"/>
      <c r="BE3158" s="32"/>
      <c r="BF3158" s="32"/>
      <c r="BG3158" s="32"/>
      <c r="BH3158" s="32"/>
      <c r="BI3158" s="32"/>
      <c r="BJ3158" s="32"/>
      <c r="BK3158" s="32"/>
      <c r="BL3158" s="32"/>
      <c r="BM3158" s="32"/>
      <c r="BN3158" s="32"/>
      <c r="BO3158" s="32"/>
      <c r="BP3158" s="32"/>
      <c r="BQ3158" s="32"/>
      <c r="BR3158" s="32"/>
      <c r="BS3158" s="32"/>
      <c r="BT3158" s="32"/>
      <c r="BU3158" s="32"/>
      <c r="BV3158" s="32"/>
      <c r="BW3158" s="32"/>
      <c r="BX3158" s="32"/>
      <c r="BY3158" s="32"/>
      <c r="BZ3158" s="32"/>
      <c r="CA3158" s="32"/>
      <c r="CB3158" s="32"/>
      <c r="CC3158" s="32"/>
      <c r="CD3158" s="32"/>
    </row>
    <row r="3159" ht="15.75" hidden="1" customHeight="1" outlineLevel="1">
      <c r="A3159" s="363"/>
      <c r="B3159" s="381"/>
      <c r="C3159" s="382">
        <v>0.0</v>
      </c>
      <c r="D3159" s="382">
        <v>0.0</v>
      </c>
      <c r="E3159" s="382">
        <v>0.0</v>
      </c>
      <c r="F3159" s="382">
        <v>0.0</v>
      </c>
      <c r="G3159" s="382">
        <v>0.0</v>
      </c>
      <c r="H3159" s="382">
        <v>0.0</v>
      </c>
      <c r="I3159" s="382">
        <v>0.0</v>
      </c>
      <c r="J3159" s="382">
        <v>0.0</v>
      </c>
      <c r="K3159" s="382">
        <v>0.0</v>
      </c>
      <c r="L3159" s="382">
        <v>0.0</v>
      </c>
      <c r="M3159" s="382">
        <v>0.0</v>
      </c>
      <c r="N3159" s="382">
        <v>0.0</v>
      </c>
      <c r="O3159" s="382">
        <v>0.0</v>
      </c>
      <c r="P3159" s="382">
        <v>0.0</v>
      </c>
      <c r="Q3159" s="382">
        <v>0.0</v>
      </c>
      <c r="R3159" s="382">
        <v>0.0</v>
      </c>
      <c r="S3159" s="382">
        <v>0.0</v>
      </c>
      <c r="T3159" s="382">
        <v>0.0</v>
      </c>
      <c r="U3159" s="382">
        <v>0.0</v>
      </c>
      <c r="V3159" s="382">
        <v>0.0</v>
      </c>
      <c r="W3159" s="382">
        <v>0.0</v>
      </c>
      <c r="X3159" s="382">
        <v>0.0</v>
      </c>
      <c r="Y3159" s="382">
        <v>0.0</v>
      </c>
      <c r="Z3159" s="382">
        <v>0.0</v>
      </c>
      <c r="AA3159" s="382">
        <v>0.0</v>
      </c>
      <c r="AB3159" s="382">
        <v>0.0</v>
      </c>
      <c r="AC3159" s="382">
        <v>0.0</v>
      </c>
      <c r="AD3159" s="382">
        <v>0.0</v>
      </c>
      <c r="AE3159" s="382">
        <v>0.0</v>
      </c>
      <c r="AF3159" s="382">
        <v>0.0</v>
      </c>
      <c r="AG3159" s="382">
        <v>0.0</v>
      </c>
      <c r="AH3159" s="382">
        <v>0.0</v>
      </c>
      <c r="AI3159" s="382">
        <v>0.0</v>
      </c>
      <c r="AJ3159" s="382">
        <v>0.0</v>
      </c>
      <c r="AK3159" s="382">
        <v>0.0</v>
      </c>
      <c r="AL3159" s="382">
        <v>0.0</v>
      </c>
      <c r="AM3159" s="382">
        <v>0.0</v>
      </c>
      <c r="AN3159" s="382">
        <v>0.0</v>
      </c>
      <c r="AO3159" s="382">
        <v>0.0</v>
      </c>
      <c r="AP3159" s="382">
        <v>0.0</v>
      </c>
      <c r="AQ3159" s="382">
        <v>0.0</v>
      </c>
      <c r="AR3159" s="382">
        <v>0.0</v>
      </c>
      <c r="AS3159" s="382">
        <v>0.0</v>
      </c>
      <c r="AT3159" s="382">
        <v>0.0</v>
      </c>
      <c r="AU3159" s="382">
        <v>0.0</v>
      </c>
      <c r="AV3159" s="382">
        <v>0.0</v>
      </c>
      <c r="AW3159" s="382">
        <v>0.0</v>
      </c>
      <c r="AX3159" s="382">
        <v>0.0</v>
      </c>
      <c r="AY3159" s="382">
        <v>0.0</v>
      </c>
      <c r="AZ3159" s="382">
        <v>0.0</v>
      </c>
      <c r="BA3159" s="382">
        <v>0.0</v>
      </c>
      <c r="BB3159" s="32"/>
      <c r="BC3159" s="32"/>
      <c r="BD3159" s="32"/>
      <c r="BE3159" s="32"/>
      <c r="BF3159" s="32"/>
      <c r="BG3159" s="32"/>
      <c r="BH3159" s="32"/>
      <c r="BI3159" s="32"/>
      <c r="BJ3159" s="32"/>
      <c r="BK3159" s="32"/>
      <c r="BL3159" s="32"/>
      <c r="BM3159" s="32"/>
      <c r="BN3159" s="32"/>
      <c r="BO3159" s="32"/>
      <c r="BP3159" s="32"/>
      <c r="BQ3159" s="32"/>
      <c r="BR3159" s="32"/>
      <c r="BS3159" s="32"/>
      <c r="BT3159" s="32"/>
      <c r="BU3159" s="32"/>
      <c r="BV3159" s="32"/>
      <c r="BW3159" s="32"/>
      <c r="BX3159" s="32"/>
      <c r="BY3159" s="32"/>
      <c r="BZ3159" s="32"/>
      <c r="CA3159" s="32"/>
      <c r="CB3159" s="32"/>
      <c r="CC3159" s="32"/>
      <c r="CD3159" s="32"/>
    </row>
    <row r="3160" ht="15.75" hidden="1" customHeight="1" outlineLevel="1">
      <c r="A3160" s="363"/>
      <c r="B3160" s="381"/>
      <c r="C3160" s="382">
        <v>0.0</v>
      </c>
      <c r="D3160" s="382">
        <v>0.0</v>
      </c>
      <c r="E3160" s="382">
        <v>0.0</v>
      </c>
      <c r="F3160" s="382">
        <v>0.0</v>
      </c>
      <c r="G3160" s="382">
        <v>0.0</v>
      </c>
      <c r="H3160" s="382">
        <v>0.0</v>
      </c>
      <c r="I3160" s="382">
        <v>0.0</v>
      </c>
      <c r="J3160" s="382">
        <v>0.0</v>
      </c>
      <c r="K3160" s="382">
        <v>0.0</v>
      </c>
      <c r="L3160" s="382">
        <v>0.0</v>
      </c>
      <c r="M3160" s="382">
        <v>0.0</v>
      </c>
      <c r="N3160" s="382">
        <v>0.0</v>
      </c>
      <c r="O3160" s="382">
        <v>0.0</v>
      </c>
      <c r="P3160" s="382">
        <v>0.0</v>
      </c>
      <c r="Q3160" s="382">
        <v>0.0</v>
      </c>
      <c r="R3160" s="382">
        <v>0.0</v>
      </c>
      <c r="S3160" s="382">
        <v>0.0</v>
      </c>
      <c r="T3160" s="382">
        <v>0.0</v>
      </c>
      <c r="U3160" s="382">
        <v>0.0</v>
      </c>
      <c r="V3160" s="382">
        <v>0.0</v>
      </c>
      <c r="W3160" s="382">
        <v>0.0</v>
      </c>
      <c r="X3160" s="382">
        <v>0.0</v>
      </c>
      <c r="Y3160" s="382">
        <v>0.0</v>
      </c>
      <c r="Z3160" s="382">
        <v>0.0</v>
      </c>
      <c r="AA3160" s="382">
        <v>0.0</v>
      </c>
      <c r="AB3160" s="382">
        <v>0.0</v>
      </c>
      <c r="AC3160" s="382">
        <v>0.0</v>
      </c>
      <c r="AD3160" s="382">
        <v>0.0</v>
      </c>
      <c r="AE3160" s="382">
        <v>0.0</v>
      </c>
      <c r="AF3160" s="382">
        <v>0.0</v>
      </c>
      <c r="AG3160" s="382">
        <v>0.0</v>
      </c>
      <c r="AH3160" s="382">
        <v>0.0</v>
      </c>
      <c r="AI3160" s="382">
        <v>0.0</v>
      </c>
      <c r="AJ3160" s="382">
        <v>0.0</v>
      </c>
      <c r="AK3160" s="382">
        <v>0.0</v>
      </c>
      <c r="AL3160" s="382">
        <v>0.0</v>
      </c>
      <c r="AM3160" s="382">
        <v>0.0</v>
      </c>
      <c r="AN3160" s="382">
        <v>0.0</v>
      </c>
      <c r="AO3160" s="382">
        <v>0.0</v>
      </c>
      <c r="AP3160" s="382">
        <v>0.0</v>
      </c>
      <c r="AQ3160" s="382">
        <v>0.0</v>
      </c>
      <c r="AR3160" s="382">
        <v>0.0</v>
      </c>
      <c r="AS3160" s="382">
        <v>0.0</v>
      </c>
      <c r="AT3160" s="382">
        <v>0.0</v>
      </c>
      <c r="AU3160" s="382">
        <v>0.0</v>
      </c>
      <c r="AV3160" s="382">
        <v>0.0</v>
      </c>
      <c r="AW3160" s="382">
        <v>0.0</v>
      </c>
      <c r="AX3160" s="382">
        <v>0.0</v>
      </c>
      <c r="AY3160" s="382">
        <v>0.0</v>
      </c>
      <c r="AZ3160" s="382">
        <v>0.0</v>
      </c>
      <c r="BA3160" s="382">
        <v>0.0</v>
      </c>
      <c r="BB3160" s="32"/>
      <c r="BC3160" s="32"/>
      <c r="BD3160" s="32"/>
      <c r="BE3160" s="32"/>
      <c r="BF3160" s="32"/>
      <c r="BG3160" s="32"/>
      <c r="BH3160" s="32"/>
      <c r="BI3160" s="32"/>
      <c r="BJ3160" s="32"/>
      <c r="BK3160" s="32"/>
      <c r="BL3160" s="32"/>
      <c r="BM3160" s="32"/>
      <c r="BN3160" s="32"/>
      <c r="BO3160" s="32"/>
      <c r="BP3160" s="32"/>
      <c r="BQ3160" s="32"/>
      <c r="BR3160" s="32"/>
      <c r="BS3160" s="32"/>
      <c r="BT3160" s="32"/>
      <c r="BU3160" s="32"/>
      <c r="BV3160" s="32"/>
      <c r="BW3160" s="32"/>
      <c r="BX3160" s="32"/>
      <c r="BY3160" s="32"/>
      <c r="BZ3160" s="32"/>
      <c r="CA3160" s="32"/>
      <c r="CB3160" s="32"/>
      <c r="CC3160" s="32"/>
      <c r="CD3160" s="32"/>
    </row>
    <row r="3161" ht="15.75" hidden="1" customHeight="1" outlineLevel="1">
      <c r="A3161" s="363"/>
      <c r="B3161" s="381"/>
      <c r="C3161" s="382">
        <v>0.0</v>
      </c>
      <c r="D3161" s="382">
        <v>0.0</v>
      </c>
      <c r="E3161" s="382">
        <v>0.0</v>
      </c>
      <c r="F3161" s="382">
        <v>0.0</v>
      </c>
      <c r="G3161" s="382">
        <v>0.0</v>
      </c>
      <c r="H3161" s="382">
        <v>0.0</v>
      </c>
      <c r="I3161" s="382">
        <v>0.0</v>
      </c>
      <c r="J3161" s="382">
        <v>0.0</v>
      </c>
      <c r="K3161" s="382">
        <v>0.0</v>
      </c>
      <c r="L3161" s="382">
        <v>0.0</v>
      </c>
      <c r="M3161" s="382">
        <v>0.0</v>
      </c>
      <c r="N3161" s="382">
        <v>0.0</v>
      </c>
      <c r="O3161" s="382">
        <v>0.0</v>
      </c>
      <c r="P3161" s="382">
        <v>0.0</v>
      </c>
      <c r="Q3161" s="382">
        <v>0.0</v>
      </c>
      <c r="R3161" s="382">
        <v>0.0</v>
      </c>
      <c r="S3161" s="382">
        <v>0.0</v>
      </c>
      <c r="T3161" s="382">
        <v>0.0</v>
      </c>
      <c r="U3161" s="382">
        <v>0.0</v>
      </c>
      <c r="V3161" s="382">
        <v>0.0</v>
      </c>
      <c r="W3161" s="382">
        <v>0.0</v>
      </c>
      <c r="X3161" s="382">
        <v>0.0</v>
      </c>
      <c r="Y3161" s="382">
        <v>0.0</v>
      </c>
      <c r="Z3161" s="382">
        <v>0.0</v>
      </c>
      <c r="AA3161" s="382">
        <v>0.0</v>
      </c>
      <c r="AB3161" s="382">
        <v>0.0</v>
      </c>
      <c r="AC3161" s="382">
        <v>0.0</v>
      </c>
      <c r="AD3161" s="382">
        <v>0.0</v>
      </c>
      <c r="AE3161" s="382">
        <v>0.0</v>
      </c>
      <c r="AF3161" s="382">
        <v>0.0</v>
      </c>
      <c r="AG3161" s="382">
        <v>0.0</v>
      </c>
      <c r="AH3161" s="382">
        <v>0.0</v>
      </c>
      <c r="AI3161" s="382">
        <v>0.0</v>
      </c>
      <c r="AJ3161" s="382">
        <v>0.0</v>
      </c>
      <c r="AK3161" s="382">
        <v>0.0</v>
      </c>
      <c r="AL3161" s="382">
        <v>0.0</v>
      </c>
      <c r="AM3161" s="382">
        <v>0.0</v>
      </c>
      <c r="AN3161" s="382">
        <v>0.0</v>
      </c>
      <c r="AO3161" s="382">
        <v>0.0</v>
      </c>
      <c r="AP3161" s="382">
        <v>0.0</v>
      </c>
      <c r="AQ3161" s="382">
        <v>0.0</v>
      </c>
      <c r="AR3161" s="382">
        <v>0.0</v>
      </c>
      <c r="AS3161" s="382">
        <v>0.0</v>
      </c>
      <c r="AT3161" s="382">
        <v>0.0</v>
      </c>
      <c r="AU3161" s="382">
        <v>0.0</v>
      </c>
      <c r="AV3161" s="382">
        <v>0.0</v>
      </c>
      <c r="AW3161" s="382">
        <v>0.0</v>
      </c>
      <c r="AX3161" s="382">
        <v>0.0</v>
      </c>
      <c r="AY3161" s="382">
        <v>0.0</v>
      </c>
      <c r="AZ3161" s="382">
        <v>0.0</v>
      </c>
      <c r="BA3161" s="382">
        <v>0.0</v>
      </c>
      <c r="BB3161" s="32"/>
      <c r="BC3161" s="32"/>
      <c r="BD3161" s="32"/>
      <c r="BE3161" s="32"/>
      <c r="BF3161" s="32"/>
      <c r="BG3161" s="32"/>
      <c r="BH3161" s="32"/>
      <c r="BI3161" s="32"/>
      <c r="BJ3161" s="32"/>
      <c r="BK3161" s="32"/>
      <c r="BL3161" s="32"/>
      <c r="BM3161" s="32"/>
      <c r="BN3161" s="32"/>
      <c r="BO3161" s="32"/>
      <c r="BP3161" s="32"/>
      <c r="BQ3161" s="32"/>
      <c r="BR3161" s="32"/>
      <c r="BS3161" s="32"/>
      <c r="BT3161" s="32"/>
      <c r="BU3161" s="32"/>
      <c r="BV3161" s="32"/>
      <c r="BW3161" s="32"/>
      <c r="BX3161" s="32"/>
      <c r="BY3161" s="32"/>
      <c r="BZ3161" s="32"/>
      <c r="CA3161" s="32"/>
      <c r="CB3161" s="32"/>
      <c r="CC3161" s="32"/>
      <c r="CD3161" s="32"/>
    </row>
    <row r="3162" ht="15.75" hidden="1" customHeight="1" outlineLevel="1">
      <c r="A3162" s="363"/>
      <c r="B3162" s="381"/>
      <c r="C3162" s="382">
        <v>0.0</v>
      </c>
      <c r="D3162" s="382">
        <v>0.0</v>
      </c>
      <c r="E3162" s="382">
        <v>0.0</v>
      </c>
      <c r="F3162" s="382">
        <v>0.0</v>
      </c>
      <c r="G3162" s="382">
        <v>0.0</v>
      </c>
      <c r="H3162" s="382">
        <v>0.0</v>
      </c>
      <c r="I3162" s="382">
        <v>0.0</v>
      </c>
      <c r="J3162" s="382">
        <v>0.0</v>
      </c>
      <c r="K3162" s="382">
        <v>0.0</v>
      </c>
      <c r="L3162" s="382">
        <v>0.0</v>
      </c>
      <c r="M3162" s="382">
        <v>0.0</v>
      </c>
      <c r="N3162" s="382">
        <v>0.0</v>
      </c>
      <c r="O3162" s="382">
        <v>0.0</v>
      </c>
      <c r="P3162" s="382">
        <v>0.0</v>
      </c>
      <c r="Q3162" s="382">
        <v>0.0</v>
      </c>
      <c r="R3162" s="382">
        <v>0.0</v>
      </c>
      <c r="S3162" s="382">
        <v>0.0</v>
      </c>
      <c r="T3162" s="382">
        <v>0.0</v>
      </c>
      <c r="U3162" s="382">
        <v>0.0</v>
      </c>
      <c r="V3162" s="382">
        <v>0.0</v>
      </c>
      <c r="W3162" s="382">
        <v>0.0</v>
      </c>
      <c r="X3162" s="382">
        <v>0.0</v>
      </c>
      <c r="Y3162" s="382">
        <v>0.0</v>
      </c>
      <c r="Z3162" s="382">
        <v>0.0</v>
      </c>
      <c r="AA3162" s="382">
        <v>0.0</v>
      </c>
      <c r="AB3162" s="382">
        <v>0.0</v>
      </c>
      <c r="AC3162" s="382">
        <v>0.0</v>
      </c>
      <c r="AD3162" s="382">
        <v>0.0</v>
      </c>
      <c r="AE3162" s="382">
        <v>0.0</v>
      </c>
      <c r="AF3162" s="382">
        <v>0.0</v>
      </c>
      <c r="AG3162" s="382">
        <v>0.0</v>
      </c>
      <c r="AH3162" s="382">
        <v>0.0</v>
      </c>
      <c r="AI3162" s="382">
        <v>0.0</v>
      </c>
      <c r="AJ3162" s="382">
        <v>0.0</v>
      </c>
      <c r="AK3162" s="382">
        <v>0.0</v>
      </c>
      <c r="AL3162" s="382">
        <v>0.0</v>
      </c>
      <c r="AM3162" s="382">
        <v>0.0</v>
      </c>
      <c r="AN3162" s="382">
        <v>0.0</v>
      </c>
      <c r="AO3162" s="382">
        <v>0.0</v>
      </c>
      <c r="AP3162" s="382">
        <v>0.0</v>
      </c>
      <c r="AQ3162" s="382">
        <v>0.0</v>
      </c>
      <c r="AR3162" s="382">
        <v>0.0</v>
      </c>
      <c r="AS3162" s="382">
        <v>0.0</v>
      </c>
      <c r="AT3162" s="382">
        <v>0.0</v>
      </c>
      <c r="AU3162" s="382">
        <v>0.0</v>
      </c>
      <c r="AV3162" s="382">
        <v>0.0</v>
      </c>
      <c r="AW3162" s="382">
        <v>0.0</v>
      </c>
      <c r="AX3162" s="382">
        <v>0.0</v>
      </c>
      <c r="AY3162" s="382">
        <v>0.0</v>
      </c>
      <c r="AZ3162" s="382">
        <v>0.0</v>
      </c>
      <c r="BA3162" s="382">
        <v>0.0</v>
      </c>
      <c r="BB3162" s="32"/>
      <c r="BC3162" s="32"/>
      <c r="BD3162" s="32"/>
      <c r="BE3162" s="32"/>
      <c r="BF3162" s="32"/>
      <c r="BG3162" s="32"/>
      <c r="BH3162" s="32"/>
      <c r="BI3162" s="32"/>
      <c r="BJ3162" s="32"/>
      <c r="BK3162" s="32"/>
      <c r="BL3162" s="32"/>
      <c r="BM3162" s="32"/>
      <c r="BN3162" s="32"/>
      <c r="BO3162" s="32"/>
      <c r="BP3162" s="32"/>
      <c r="BQ3162" s="32"/>
      <c r="BR3162" s="32"/>
      <c r="BS3162" s="32"/>
      <c r="BT3162" s="32"/>
      <c r="BU3162" s="32"/>
      <c r="BV3162" s="32"/>
      <c r="BW3162" s="32"/>
      <c r="BX3162" s="32"/>
      <c r="BY3162" s="32"/>
      <c r="BZ3162" s="32"/>
      <c r="CA3162" s="32"/>
      <c r="CB3162" s="32"/>
      <c r="CC3162" s="32"/>
      <c r="CD3162" s="32"/>
    </row>
    <row r="3163" ht="15.75" hidden="1" customHeight="1" outlineLevel="1">
      <c r="A3163" s="363"/>
      <c r="B3163" s="381"/>
      <c r="C3163" s="382">
        <v>0.0</v>
      </c>
      <c r="D3163" s="382">
        <v>0.0</v>
      </c>
      <c r="E3163" s="382">
        <v>0.0</v>
      </c>
      <c r="F3163" s="382">
        <v>0.0</v>
      </c>
      <c r="G3163" s="382">
        <v>0.0</v>
      </c>
      <c r="H3163" s="382">
        <v>0.0</v>
      </c>
      <c r="I3163" s="382">
        <v>0.0</v>
      </c>
      <c r="J3163" s="382">
        <v>0.0</v>
      </c>
      <c r="K3163" s="382">
        <v>0.0</v>
      </c>
      <c r="L3163" s="382">
        <v>0.0</v>
      </c>
      <c r="M3163" s="382">
        <v>0.0</v>
      </c>
      <c r="N3163" s="382">
        <v>0.0</v>
      </c>
      <c r="O3163" s="382">
        <v>0.0</v>
      </c>
      <c r="P3163" s="382">
        <v>0.0</v>
      </c>
      <c r="Q3163" s="382">
        <v>0.0</v>
      </c>
      <c r="R3163" s="382">
        <v>0.0</v>
      </c>
      <c r="S3163" s="382">
        <v>0.0</v>
      </c>
      <c r="T3163" s="382">
        <v>0.0</v>
      </c>
      <c r="U3163" s="382">
        <v>0.0</v>
      </c>
      <c r="V3163" s="382">
        <v>0.0</v>
      </c>
      <c r="W3163" s="382">
        <v>0.0</v>
      </c>
      <c r="X3163" s="382">
        <v>0.0</v>
      </c>
      <c r="Y3163" s="382">
        <v>0.0</v>
      </c>
      <c r="Z3163" s="382">
        <v>0.0</v>
      </c>
      <c r="AA3163" s="382">
        <v>0.0</v>
      </c>
      <c r="AB3163" s="382">
        <v>0.0</v>
      </c>
      <c r="AC3163" s="382">
        <v>0.0</v>
      </c>
      <c r="AD3163" s="382">
        <v>0.0</v>
      </c>
      <c r="AE3163" s="382">
        <v>0.0</v>
      </c>
      <c r="AF3163" s="382">
        <v>0.0</v>
      </c>
      <c r="AG3163" s="382">
        <v>0.0</v>
      </c>
      <c r="AH3163" s="382">
        <v>0.0</v>
      </c>
      <c r="AI3163" s="382">
        <v>0.0</v>
      </c>
      <c r="AJ3163" s="382">
        <v>0.0</v>
      </c>
      <c r="AK3163" s="382">
        <v>0.0</v>
      </c>
      <c r="AL3163" s="382">
        <v>0.0</v>
      </c>
      <c r="AM3163" s="382">
        <v>0.0</v>
      </c>
      <c r="AN3163" s="382">
        <v>0.0</v>
      </c>
      <c r="AO3163" s="382">
        <v>0.0</v>
      </c>
      <c r="AP3163" s="382">
        <v>0.0</v>
      </c>
      <c r="AQ3163" s="382">
        <v>0.0</v>
      </c>
      <c r="AR3163" s="382">
        <v>0.0</v>
      </c>
      <c r="AS3163" s="382">
        <v>0.0</v>
      </c>
      <c r="AT3163" s="382">
        <v>0.0</v>
      </c>
      <c r="AU3163" s="382">
        <v>0.0</v>
      </c>
      <c r="AV3163" s="382">
        <v>0.0</v>
      </c>
      <c r="AW3163" s="382">
        <v>0.0</v>
      </c>
      <c r="AX3163" s="382">
        <v>0.0</v>
      </c>
      <c r="AY3163" s="382">
        <v>0.0</v>
      </c>
      <c r="AZ3163" s="382">
        <v>0.0</v>
      </c>
      <c r="BA3163" s="382">
        <v>0.0</v>
      </c>
      <c r="BB3163" s="32"/>
      <c r="BC3163" s="32"/>
      <c r="BD3163" s="32"/>
      <c r="BE3163" s="32"/>
      <c r="BF3163" s="32"/>
      <c r="BG3163" s="32"/>
      <c r="BH3163" s="32"/>
      <c r="BI3163" s="32"/>
      <c r="BJ3163" s="32"/>
      <c r="BK3163" s="32"/>
      <c r="BL3163" s="32"/>
      <c r="BM3163" s="32"/>
      <c r="BN3163" s="32"/>
      <c r="BO3163" s="32"/>
      <c r="BP3163" s="32"/>
      <c r="BQ3163" s="32"/>
      <c r="BR3163" s="32"/>
      <c r="BS3163" s="32"/>
      <c r="BT3163" s="32"/>
      <c r="BU3163" s="32"/>
      <c r="BV3163" s="32"/>
      <c r="BW3163" s="32"/>
      <c r="BX3163" s="32"/>
      <c r="BY3163" s="32"/>
      <c r="BZ3163" s="32"/>
      <c r="CA3163" s="32"/>
      <c r="CB3163" s="32"/>
      <c r="CC3163" s="32"/>
      <c r="CD3163" s="32"/>
    </row>
    <row r="3164" ht="15.75" hidden="1" customHeight="1" outlineLevel="1">
      <c r="A3164" s="363"/>
      <c r="B3164" s="381"/>
      <c r="C3164" s="382">
        <v>0.0</v>
      </c>
      <c r="D3164" s="382">
        <v>0.0</v>
      </c>
      <c r="E3164" s="382">
        <v>0.0</v>
      </c>
      <c r="F3164" s="382">
        <v>0.0</v>
      </c>
      <c r="G3164" s="382">
        <v>0.0</v>
      </c>
      <c r="H3164" s="382">
        <v>0.0</v>
      </c>
      <c r="I3164" s="382">
        <v>0.0</v>
      </c>
      <c r="J3164" s="382">
        <v>0.0</v>
      </c>
      <c r="K3164" s="382">
        <v>0.0</v>
      </c>
      <c r="L3164" s="382">
        <v>0.0</v>
      </c>
      <c r="M3164" s="382">
        <v>0.0</v>
      </c>
      <c r="N3164" s="382">
        <v>0.0</v>
      </c>
      <c r="O3164" s="382">
        <v>0.0</v>
      </c>
      <c r="P3164" s="382">
        <v>0.0</v>
      </c>
      <c r="Q3164" s="382">
        <v>0.0</v>
      </c>
      <c r="R3164" s="382">
        <v>0.0</v>
      </c>
      <c r="S3164" s="382">
        <v>0.0</v>
      </c>
      <c r="T3164" s="382">
        <v>0.0</v>
      </c>
      <c r="U3164" s="382">
        <v>0.0</v>
      </c>
      <c r="V3164" s="382">
        <v>0.0</v>
      </c>
      <c r="W3164" s="382">
        <v>0.0</v>
      </c>
      <c r="X3164" s="382">
        <v>0.0</v>
      </c>
      <c r="Y3164" s="382">
        <v>0.0</v>
      </c>
      <c r="Z3164" s="382">
        <v>0.0</v>
      </c>
      <c r="AA3164" s="382">
        <v>0.0</v>
      </c>
      <c r="AB3164" s="382">
        <v>0.0</v>
      </c>
      <c r="AC3164" s="382">
        <v>0.0</v>
      </c>
      <c r="AD3164" s="382">
        <v>0.0</v>
      </c>
      <c r="AE3164" s="382">
        <v>0.0</v>
      </c>
      <c r="AF3164" s="382">
        <v>0.0</v>
      </c>
      <c r="AG3164" s="382">
        <v>0.0</v>
      </c>
      <c r="AH3164" s="382">
        <v>0.0</v>
      </c>
      <c r="AI3164" s="382">
        <v>0.0</v>
      </c>
      <c r="AJ3164" s="382">
        <v>0.0</v>
      </c>
      <c r="AK3164" s="382">
        <v>0.0</v>
      </c>
      <c r="AL3164" s="382">
        <v>0.0</v>
      </c>
      <c r="AM3164" s="382">
        <v>0.0</v>
      </c>
      <c r="AN3164" s="382">
        <v>0.0</v>
      </c>
      <c r="AO3164" s="382">
        <v>0.0</v>
      </c>
      <c r="AP3164" s="382">
        <v>0.0</v>
      </c>
      <c r="AQ3164" s="382">
        <v>0.0</v>
      </c>
      <c r="AR3164" s="382">
        <v>0.0</v>
      </c>
      <c r="AS3164" s="382">
        <v>0.0</v>
      </c>
      <c r="AT3164" s="382">
        <v>0.0</v>
      </c>
      <c r="AU3164" s="382">
        <v>0.0</v>
      </c>
      <c r="AV3164" s="382">
        <v>0.0</v>
      </c>
      <c r="AW3164" s="382">
        <v>0.0</v>
      </c>
      <c r="AX3164" s="382">
        <v>0.0</v>
      </c>
      <c r="AY3164" s="382">
        <v>0.0</v>
      </c>
      <c r="AZ3164" s="382">
        <v>0.0</v>
      </c>
      <c r="BA3164" s="382">
        <v>0.0</v>
      </c>
      <c r="BB3164" s="32"/>
      <c r="BC3164" s="32"/>
      <c r="BD3164" s="32"/>
      <c r="BE3164" s="32"/>
      <c r="BF3164" s="32"/>
      <c r="BG3164" s="32"/>
      <c r="BH3164" s="32"/>
      <c r="BI3164" s="32"/>
      <c r="BJ3164" s="32"/>
      <c r="BK3164" s="32"/>
      <c r="BL3164" s="32"/>
      <c r="BM3164" s="32"/>
      <c r="BN3164" s="32"/>
      <c r="BO3164" s="32"/>
      <c r="BP3164" s="32"/>
      <c r="BQ3164" s="32"/>
      <c r="BR3164" s="32"/>
      <c r="BS3164" s="32"/>
      <c r="BT3164" s="32"/>
      <c r="BU3164" s="32"/>
      <c r="BV3164" s="32"/>
      <c r="BW3164" s="32"/>
      <c r="BX3164" s="32"/>
      <c r="BY3164" s="32"/>
      <c r="BZ3164" s="32"/>
      <c r="CA3164" s="32"/>
      <c r="CB3164" s="32"/>
      <c r="CC3164" s="32"/>
      <c r="CD3164" s="32"/>
    </row>
    <row r="3165" ht="15.75" hidden="1" customHeight="1" outlineLevel="1">
      <c r="A3165" s="363"/>
      <c r="B3165" s="381"/>
      <c r="C3165" s="382">
        <v>0.0</v>
      </c>
      <c r="D3165" s="382">
        <v>0.0</v>
      </c>
      <c r="E3165" s="382">
        <v>0.0</v>
      </c>
      <c r="F3165" s="382">
        <v>0.0</v>
      </c>
      <c r="G3165" s="382">
        <v>0.0</v>
      </c>
      <c r="H3165" s="382">
        <v>0.0</v>
      </c>
      <c r="I3165" s="382">
        <v>0.0</v>
      </c>
      <c r="J3165" s="382">
        <v>0.0</v>
      </c>
      <c r="K3165" s="382">
        <v>0.0</v>
      </c>
      <c r="L3165" s="382">
        <v>0.0</v>
      </c>
      <c r="M3165" s="382">
        <v>0.0</v>
      </c>
      <c r="N3165" s="382">
        <v>0.0</v>
      </c>
      <c r="O3165" s="382">
        <v>0.0</v>
      </c>
      <c r="P3165" s="382">
        <v>0.0</v>
      </c>
      <c r="Q3165" s="382">
        <v>0.0</v>
      </c>
      <c r="R3165" s="382">
        <v>0.0</v>
      </c>
      <c r="S3165" s="382">
        <v>0.0</v>
      </c>
      <c r="T3165" s="382">
        <v>0.0</v>
      </c>
      <c r="U3165" s="382">
        <v>0.0</v>
      </c>
      <c r="V3165" s="382">
        <v>0.0</v>
      </c>
      <c r="W3165" s="382">
        <v>0.0</v>
      </c>
      <c r="X3165" s="382">
        <v>0.0</v>
      </c>
      <c r="Y3165" s="382">
        <v>0.0</v>
      </c>
      <c r="Z3165" s="382">
        <v>0.0</v>
      </c>
      <c r="AA3165" s="382">
        <v>0.0</v>
      </c>
      <c r="AB3165" s="382">
        <v>0.0</v>
      </c>
      <c r="AC3165" s="382">
        <v>0.0</v>
      </c>
      <c r="AD3165" s="382">
        <v>0.0</v>
      </c>
      <c r="AE3165" s="382">
        <v>0.0</v>
      </c>
      <c r="AF3165" s="382">
        <v>0.0</v>
      </c>
      <c r="AG3165" s="382">
        <v>0.0</v>
      </c>
      <c r="AH3165" s="382">
        <v>0.0</v>
      </c>
      <c r="AI3165" s="382">
        <v>0.0</v>
      </c>
      <c r="AJ3165" s="382">
        <v>0.0</v>
      </c>
      <c r="AK3165" s="382">
        <v>0.0</v>
      </c>
      <c r="AL3165" s="382">
        <v>0.0</v>
      </c>
      <c r="AM3165" s="382">
        <v>0.0</v>
      </c>
      <c r="AN3165" s="382">
        <v>0.0</v>
      </c>
      <c r="AO3165" s="382">
        <v>0.0</v>
      </c>
      <c r="AP3165" s="382">
        <v>0.0</v>
      </c>
      <c r="AQ3165" s="382">
        <v>0.0</v>
      </c>
      <c r="AR3165" s="382">
        <v>0.0</v>
      </c>
      <c r="AS3165" s="382">
        <v>0.0</v>
      </c>
      <c r="AT3165" s="382">
        <v>0.0</v>
      </c>
      <c r="AU3165" s="382">
        <v>0.0</v>
      </c>
      <c r="AV3165" s="382">
        <v>0.0</v>
      </c>
      <c r="AW3165" s="382">
        <v>0.0</v>
      </c>
      <c r="AX3165" s="382">
        <v>0.0</v>
      </c>
      <c r="AY3165" s="382">
        <v>0.0</v>
      </c>
      <c r="AZ3165" s="382">
        <v>0.0</v>
      </c>
      <c r="BA3165" s="382">
        <v>0.0</v>
      </c>
      <c r="BB3165" s="32"/>
      <c r="BC3165" s="32"/>
      <c r="BD3165" s="32"/>
      <c r="BE3165" s="32"/>
      <c r="BF3165" s="32"/>
      <c r="BG3165" s="32"/>
      <c r="BH3165" s="32"/>
      <c r="BI3165" s="32"/>
      <c r="BJ3165" s="32"/>
      <c r="BK3165" s="32"/>
      <c r="BL3165" s="32"/>
      <c r="BM3165" s="32"/>
      <c r="BN3165" s="32"/>
      <c r="BO3165" s="32"/>
      <c r="BP3165" s="32"/>
      <c r="BQ3165" s="32"/>
      <c r="BR3165" s="32"/>
      <c r="BS3165" s="32"/>
      <c r="BT3165" s="32"/>
      <c r="BU3165" s="32"/>
      <c r="BV3165" s="32"/>
      <c r="BW3165" s="32"/>
      <c r="BX3165" s="32"/>
      <c r="BY3165" s="32"/>
      <c r="BZ3165" s="32"/>
      <c r="CA3165" s="32"/>
      <c r="CB3165" s="32"/>
      <c r="CC3165" s="32"/>
      <c r="CD3165" s="32"/>
    </row>
    <row r="3166" ht="15.75" hidden="1" customHeight="1" outlineLevel="1">
      <c r="A3166" s="363"/>
      <c r="B3166" s="381"/>
      <c r="C3166" s="382">
        <v>0.0</v>
      </c>
      <c r="D3166" s="382">
        <v>0.0</v>
      </c>
      <c r="E3166" s="382">
        <v>0.0</v>
      </c>
      <c r="F3166" s="382">
        <v>0.0</v>
      </c>
      <c r="G3166" s="382">
        <v>0.0</v>
      </c>
      <c r="H3166" s="382">
        <v>0.0</v>
      </c>
      <c r="I3166" s="382">
        <v>0.0</v>
      </c>
      <c r="J3166" s="382">
        <v>0.0</v>
      </c>
      <c r="K3166" s="382">
        <v>0.0</v>
      </c>
      <c r="L3166" s="382">
        <v>0.0</v>
      </c>
      <c r="M3166" s="382">
        <v>0.0</v>
      </c>
      <c r="N3166" s="382">
        <v>0.0</v>
      </c>
      <c r="O3166" s="382">
        <v>0.0</v>
      </c>
      <c r="P3166" s="382">
        <v>0.0</v>
      </c>
      <c r="Q3166" s="382">
        <v>0.0</v>
      </c>
      <c r="R3166" s="382">
        <v>0.0</v>
      </c>
      <c r="S3166" s="382">
        <v>0.0</v>
      </c>
      <c r="T3166" s="382">
        <v>0.0</v>
      </c>
      <c r="U3166" s="382">
        <v>0.0</v>
      </c>
      <c r="V3166" s="382">
        <v>0.0</v>
      </c>
      <c r="W3166" s="382">
        <v>0.0</v>
      </c>
      <c r="X3166" s="382">
        <v>0.0</v>
      </c>
      <c r="Y3166" s="382">
        <v>0.0</v>
      </c>
      <c r="Z3166" s="382">
        <v>0.0</v>
      </c>
      <c r="AA3166" s="382">
        <v>0.0</v>
      </c>
      <c r="AB3166" s="382">
        <v>0.0</v>
      </c>
      <c r="AC3166" s="382">
        <v>0.0</v>
      </c>
      <c r="AD3166" s="382">
        <v>0.0</v>
      </c>
      <c r="AE3166" s="382">
        <v>0.0</v>
      </c>
      <c r="AF3166" s="382">
        <v>0.0</v>
      </c>
      <c r="AG3166" s="382">
        <v>0.0</v>
      </c>
      <c r="AH3166" s="382">
        <v>0.0</v>
      </c>
      <c r="AI3166" s="382">
        <v>0.0</v>
      </c>
      <c r="AJ3166" s="382">
        <v>0.0</v>
      </c>
      <c r="AK3166" s="382">
        <v>0.0</v>
      </c>
      <c r="AL3166" s="382">
        <v>0.0</v>
      </c>
      <c r="AM3166" s="382">
        <v>0.0</v>
      </c>
      <c r="AN3166" s="382">
        <v>0.0</v>
      </c>
      <c r="AO3166" s="382">
        <v>0.0</v>
      </c>
      <c r="AP3166" s="382">
        <v>0.0</v>
      </c>
      <c r="AQ3166" s="382">
        <v>0.0</v>
      </c>
      <c r="AR3166" s="382">
        <v>0.0</v>
      </c>
      <c r="AS3166" s="382">
        <v>0.0</v>
      </c>
      <c r="AT3166" s="382">
        <v>0.0</v>
      </c>
      <c r="AU3166" s="382">
        <v>0.0</v>
      </c>
      <c r="AV3166" s="382">
        <v>0.0</v>
      </c>
      <c r="AW3166" s="382">
        <v>0.0</v>
      </c>
      <c r="AX3166" s="382">
        <v>0.0</v>
      </c>
      <c r="AY3166" s="382">
        <v>0.0</v>
      </c>
      <c r="AZ3166" s="382">
        <v>0.0</v>
      </c>
      <c r="BA3166" s="382">
        <v>0.0</v>
      </c>
      <c r="BB3166" s="32"/>
      <c r="BC3166" s="32"/>
      <c r="BD3166" s="32"/>
      <c r="BE3166" s="32"/>
      <c r="BF3166" s="32"/>
      <c r="BG3166" s="32"/>
      <c r="BH3166" s="32"/>
      <c r="BI3166" s="32"/>
      <c r="BJ3166" s="32"/>
      <c r="BK3166" s="32"/>
      <c r="BL3166" s="32"/>
      <c r="BM3166" s="32"/>
      <c r="BN3166" s="32"/>
      <c r="BO3166" s="32"/>
      <c r="BP3166" s="32"/>
      <c r="BQ3166" s="32"/>
      <c r="BR3166" s="32"/>
      <c r="BS3166" s="32"/>
      <c r="BT3166" s="32"/>
      <c r="BU3166" s="32"/>
      <c r="BV3166" s="32"/>
      <c r="BW3166" s="32"/>
      <c r="BX3166" s="32"/>
      <c r="BY3166" s="32"/>
      <c r="BZ3166" s="32"/>
      <c r="CA3166" s="32"/>
      <c r="CB3166" s="32"/>
      <c r="CC3166" s="32"/>
      <c r="CD3166" s="32"/>
    </row>
    <row r="3167" ht="15.75" hidden="1" customHeight="1" outlineLevel="1">
      <c r="A3167" s="363"/>
      <c r="B3167" s="381"/>
      <c r="C3167" s="382">
        <v>0.0</v>
      </c>
      <c r="D3167" s="382">
        <v>0.0</v>
      </c>
      <c r="E3167" s="382">
        <v>0.0</v>
      </c>
      <c r="F3167" s="382">
        <v>0.0</v>
      </c>
      <c r="G3167" s="382">
        <v>0.0</v>
      </c>
      <c r="H3167" s="382">
        <v>0.0</v>
      </c>
      <c r="I3167" s="382">
        <v>0.0</v>
      </c>
      <c r="J3167" s="382">
        <v>0.0</v>
      </c>
      <c r="K3167" s="382">
        <v>0.0</v>
      </c>
      <c r="L3167" s="382">
        <v>0.0</v>
      </c>
      <c r="M3167" s="382">
        <v>0.0</v>
      </c>
      <c r="N3167" s="382">
        <v>0.0</v>
      </c>
      <c r="O3167" s="382">
        <v>0.0</v>
      </c>
      <c r="P3167" s="382">
        <v>0.0</v>
      </c>
      <c r="Q3167" s="382">
        <v>0.0</v>
      </c>
      <c r="R3167" s="382">
        <v>0.0</v>
      </c>
      <c r="S3167" s="382">
        <v>0.0</v>
      </c>
      <c r="T3167" s="382">
        <v>0.0</v>
      </c>
      <c r="U3167" s="382">
        <v>0.0</v>
      </c>
      <c r="V3167" s="382">
        <v>0.0</v>
      </c>
      <c r="W3167" s="382">
        <v>0.0</v>
      </c>
      <c r="X3167" s="382">
        <v>0.0</v>
      </c>
      <c r="Y3167" s="382">
        <v>0.0</v>
      </c>
      <c r="Z3167" s="382">
        <v>0.0</v>
      </c>
      <c r="AA3167" s="382">
        <v>0.0</v>
      </c>
      <c r="AB3167" s="382">
        <v>0.0</v>
      </c>
      <c r="AC3167" s="382">
        <v>0.0</v>
      </c>
      <c r="AD3167" s="382">
        <v>0.0</v>
      </c>
      <c r="AE3167" s="382">
        <v>0.0</v>
      </c>
      <c r="AF3167" s="382">
        <v>0.0</v>
      </c>
      <c r="AG3167" s="382">
        <v>0.0</v>
      </c>
      <c r="AH3167" s="382">
        <v>0.0</v>
      </c>
      <c r="AI3167" s="382">
        <v>0.0</v>
      </c>
      <c r="AJ3167" s="382">
        <v>0.0</v>
      </c>
      <c r="AK3167" s="382">
        <v>0.0</v>
      </c>
      <c r="AL3167" s="382">
        <v>0.0</v>
      </c>
      <c r="AM3167" s="382">
        <v>0.0</v>
      </c>
      <c r="AN3167" s="382">
        <v>0.0</v>
      </c>
      <c r="AO3167" s="382">
        <v>0.0</v>
      </c>
      <c r="AP3167" s="382">
        <v>0.0</v>
      </c>
      <c r="AQ3167" s="382">
        <v>0.0</v>
      </c>
      <c r="AR3167" s="382">
        <v>0.0</v>
      </c>
      <c r="AS3167" s="382">
        <v>0.0</v>
      </c>
      <c r="AT3167" s="382">
        <v>0.0</v>
      </c>
      <c r="AU3167" s="382">
        <v>0.0</v>
      </c>
      <c r="AV3167" s="382">
        <v>0.0</v>
      </c>
      <c r="AW3167" s="382">
        <v>0.0</v>
      </c>
      <c r="AX3167" s="382">
        <v>0.0</v>
      </c>
      <c r="AY3167" s="382">
        <v>0.0</v>
      </c>
      <c r="AZ3167" s="382">
        <v>0.0</v>
      </c>
      <c r="BA3167" s="382">
        <v>0.0</v>
      </c>
      <c r="BB3167" s="32"/>
      <c r="BC3167" s="32"/>
      <c r="BD3167" s="32"/>
      <c r="BE3167" s="32"/>
      <c r="BF3167" s="32"/>
      <c r="BG3167" s="32"/>
      <c r="BH3167" s="32"/>
      <c r="BI3167" s="32"/>
      <c r="BJ3167" s="32"/>
      <c r="BK3167" s="32"/>
      <c r="BL3167" s="32"/>
      <c r="BM3167" s="32"/>
      <c r="BN3167" s="32"/>
      <c r="BO3167" s="32"/>
      <c r="BP3167" s="32"/>
      <c r="BQ3167" s="32"/>
      <c r="BR3167" s="32"/>
      <c r="BS3167" s="32"/>
      <c r="BT3167" s="32"/>
      <c r="BU3167" s="32"/>
      <c r="BV3167" s="32"/>
      <c r="BW3167" s="32"/>
      <c r="BX3167" s="32"/>
      <c r="BY3167" s="32"/>
      <c r="BZ3167" s="32"/>
      <c r="CA3167" s="32"/>
      <c r="CB3167" s="32"/>
      <c r="CC3167" s="32"/>
      <c r="CD3167" s="32"/>
    </row>
    <row r="3168" ht="15.75" hidden="1" customHeight="1" outlineLevel="1">
      <c r="A3168" s="363"/>
      <c r="B3168" s="381"/>
      <c r="C3168" s="382">
        <v>0.0</v>
      </c>
      <c r="D3168" s="382">
        <v>0.0</v>
      </c>
      <c r="E3168" s="382">
        <v>0.0</v>
      </c>
      <c r="F3168" s="382">
        <v>0.0</v>
      </c>
      <c r="G3168" s="382">
        <v>0.0</v>
      </c>
      <c r="H3168" s="382">
        <v>0.0</v>
      </c>
      <c r="I3168" s="382">
        <v>0.0</v>
      </c>
      <c r="J3168" s="382">
        <v>0.0</v>
      </c>
      <c r="K3168" s="382">
        <v>0.0</v>
      </c>
      <c r="L3168" s="382">
        <v>0.0</v>
      </c>
      <c r="M3168" s="382">
        <v>0.0</v>
      </c>
      <c r="N3168" s="382">
        <v>0.0</v>
      </c>
      <c r="O3168" s="382">
        <v>0.0</v>
      </c>
      <c r="P3168" s="382">
        <v>0.0</v>
      </c>
      <c r="Q3168" s="382">
        <v>0.0</v>
      </c>
      <c r="R3168" s="382">
        <v>0.0</v>
      </c>
      <c r="S3168" s="382">
        <v>0.0</v>
      </c>
      <c r="T3168" s="382">
        <v>0.0</v>
      </c>
      <c r="U3168" s="382">
        <v>0.0</v>
      </c>
      <c r="V3168" s="382">
        <v>0.0</v>
      </c>
      <c r="W3168" s="382">
        <v>0.0</v>
      </c>
      <c r="X3168" s="382">
        <v>0.0</v>
      </c>
      <c r="Y3168" s="382">
        <v>0.0</v>
      </c>
      <c r="Z3168" s="382">
        <v>0.0</v>
      </c>
      <c r="AA3168" s="382">
        <v>0.0</v>
      </c>
      <c r="AB3168" s="382">
        <v>0.0</v>
      </c>
      <c r="AC3168" s="382">
        <v>0.0</v>
      </c>
      <c r="AD3168" s="382">
        <v>0.0</v>
      </c>
      <c r="AE3168" s="382">
        <v>0.0</v>
      </c>
      <c r="AF3168" s="382">
        <v>0.0</v>
      </c>
      <c r="AG3168" s="382">
        <v>0.0</v>
      </c>
      <c r="AH3168" s="382">
        <v>0.0</v>
      </c>
      <c r="AI3168" s="382">
        <v>0.0</v>
      </c>
      <c r="AJ3168" s="382">
        <v>0.0</v>
      </c>
      <c r="AK3168" s="382">
        <v>0.0</v>
      </c>
      <c r="AL3168" s="382">
        <v>0.0</v>
      </c>
      <c r="AM3168" s="382">
        <v>0.0</v>
      </c>
      <c r="AN3168" s="382">
        <v>0.0</v>
      </c>
      <c r="AO3168" s="382">
        <v>0.0</v>
      </c>
      <c r="AP3168" s="382">
        <v>0.0</v>
      </c>
      <c r="AQ3168" s="382">
        <v>0.0</v>
      </c>
      <c r="AR3168" s="382">
        <v>0.0</v>
      </c>
      <c r="AS3168" s="382">
        <v>0.0</v>
      </c>
      <c r="AT3168" s="382">
        <v>0.0</v>
      </c>
      <c r="AU3168" s="382">
        <v>0.0</v>
      </c>
      <c r="AV3168" s="382">
        <v>0.0</v>
      </c>
      <c r="AW3168" s="382">
        <v>0.0</v>
      </c>
      <c r="AX3168" s="382">
        <v>0.0</v>
      </c>
      <c r="AY3168" s="382">
        <v>0.0</v>
      </c>
      <c r="AZ3168" s="382">
        <v>0.0</v>
      </c>
      <c r="BA3168" s="382">
        <v>0.0</v>
      </c>
      <c r="BB3168" s="32"/>
      <c r="BC3168" s="32"/>
      <c r="BD3168" s="32"/>
      <c r="BE3168" s="32"/>
      <c r="BF3168" s="32"/>
      <c r="BG3168" s="32"/>
      <c r="BH3168" s="32"/>
      <c r="BI3168" s="32"/>
      <c r="BJ3168" s="32"/>
      <c r="BK3168" s="32"/>
      <c r="BL3168" s="32"/>
      <c r="BM3168" s="32"/>
      <c r="BN3168" s="32"/>
      <c r="BO3168" s="32"/>
      <c r="BP3168" s="32"/>
      <c r="BQ3168" s="32"/>
      <c r="BR3168" s="32"/>
      <c r="BS3168" s="32"/>
      <c r="BT3168" s="32"/>
      <c r="BU3168" s="32"/>
      <c r="BV3168" s="32"/>
      <c r="BW3168" s="32"/>
      <c r="BX3168" s="32"/>
      <c r="BY3168" s="32"/>
      <c r="BZ3168" s="32"/>
      <c r="CA3168" s="32"/>
      <c r="CB3168" s="32"/>
      <c r="CC3168" s="32"/>
      <c r="CD3168" s="32"/>
    </row>
    <row r="3169" ht="15.75" hidden="1" customHeight="1" outlineLevel="1">
      <c r="A3169" s="363"/>
      <c r="B3169" s="381"/>
      <c r="C3169" s="382">
        <v>0.0</v>
      </c>
      <c r="D3169" s="382">
        <v>0.0</v>
      </c>
      <c r="E3169" s="382">
        <v>0.0</v>
      </c>
      <c r="F3169" s="382">
        <v>0.0</v>
      </c>
      <c r="G3169" s="382">
        <v>0.0</v>
      </c>
      <c r="H3169" s="382">
        <v>0.0</v>
      </c>
      <c r="I3169" s="382">
        <v>0.0</v>
      </c>
      <c r="J3169" s="382">
        <v>0.0</v>
      </c>
      <c r="K3169" s="382">
        <v>0.0</v>
      </c>
      <c r="L3169" s="382">
        <v>0.0</v>
      </c>
      <c r="M3169" s="382">
        <v>0.0</v>
      </c>
      <c r="N3169" s="382">
        <v>0.0</v>
      </c>
      <c r="O3169" s="382">
        <v>0.0</v>
      </c>
      <c r="P3169" s="382">
        <v>0.0</v>
      </c>
      <c r="Q3169" s="382">
        <v>0.0</v>
      </c>
      <c r="R3169" s="382">
        <v>0.0</v>
      </c>
      <c r="S3169" s="382">
        <v>0.0</v>
      </c>
      <c r="T3169" s="382">
        <v>0.0</v>
      </c>
      <c r="U3169" s="382">
        <v>0.0</v>
      </c>
      <c r="V3169" s="382">
        <v>0.0</v>
      </c>
      <c r="W3169" s="382">
        <v>0.0</v>
      </c>
      <c r="X3169" s="382">
        <v>0.0</v>
      </c>
      <c r="Y3169" s="382">
        <v>0.0</v>
      </c>
      <c r="Z3169" s="382">
        <v>0.0</v>
      </c>
      <c r="AA3169" s="382">
        <v>0.0</v>
      </c>
      <c r="AB3169" s="382">
        <v>0.0</v>
      </c>
      <c r="AC3169" s="382">
        <v>0.0</v>
      </c>
      <c r="AD3169" s="382">
        <v>0.0</v>
      </c>
      <c r="AE3169" s="382">
        <v>0.0</v>
      </c>
      <c r="AF3169" s="382">
        <v>0.0</v>
      </c>
      <c r="AG3169" s="382">
        <v>0.0</v>
      </c>
      <c r="AH3169" s="382">
        <v>0.0</v>
      </c>
      <c r="AI3169" s="382">
        <v>0.0</v>
      </c>
      <c r="AJ3169" s="382">
        <v>0.0</v>
      </c>
      <c r="AK3169" s="382">
        <v>0.0</v>
      </c>
      <c r="AL3169" s="382">
        <v>0.0</v>
      </c>
      <c r="AM3169" s="382">
        <v>0.0</v>
      </c>
      <c r="AN3169" s="382">
        <v>0.0</v>
      </c>
      <c r="AO3169" s="382">
        <v>0.0</v>
      </c>
      <c r="AP3169" s="382">
        <v>0.0</v>
      </c>
      <c r="AQ3169" s="382">
        <v>0.0</v>
      </c>
      <c r="AR3169" s="382">
        <v>0.0</v>
      </c>
      <c r="AS3169" s="382">
        <v>0.0</v>
      </c>
      <c r="AT3169" s="382">
        <v>0.0</v>
      </c>
      <c r="AU3169" s="382">
        <v>0.0</v>
      </c>
      <c r="AV3169" s="382">
        <v>0.0</v>
      </c>
      <c r="AW3169" s="382">
        <v>0.0</v>
      </c>
      <c r="AX3169" s="382">
        <v>0.0</v>
      </c>
      <c r="AY3169" s="382">
        <v>0.0</v>
      </c>
      <c r="AZ3169" s="382">
        <v>0.0</v>
      </c>
      <c r="BA3169" s="382">
        <v>0.0</v>
      </c>
      <c r="BB3169" s="32"/>
      <c r="BC3169" s="32"/>
      <c r="BD3169" s="32"/>
      <c r="BE3169" s="32"/>
      <c r="BF3169" s="32"/>
      <c r="BG3169" s="32"/>
      <c r="BH3169" s="32"/>
      <c r="BI3169" s="32"/>
      <c r="BJ3169" s="32"/>
      <c r="BK3169" s="32"/>
      <c r="BL3169" s="32"/>
      <c r="BM3169" s="32"/>
      <c r="BN3169" s="32"/>
      <c r="BO3169" s="32"/>
      <c r="BP3169" s="32"/>
      <c r="BQ3169" s="32"/>
      <c r="BR3169" s="32"/>
      <c r="BS3169" s="32"/>
      <c r="BT3169" s="32"/>
      <c r="BU3169" s="32"/>
      <c r="BV3169" s="32"/>
      <c r="BW3169" s="32"/>
      <c r="BX3169" s="32"/>
      <c r="BY3169" s="32"/>
      <c r="BZ3169" s="32"/>
      <c r="CA3169" s="32"/>
      <c r="CB3169" s="32"/>
      <c r="CC3169" s="32"/>
      <c r="CD3169" s="32"/>
    </row>
    <row r="3170" ht="15.75" hidden="1" customHeight="1" outlineLevel="1">
      <c r="A3170" s="363"/>
      <c r="B3170" s="381"/>
      <c r="C3170" s="382">
        <v>0.0</v>
      </c>
      <c r="D3170" s="382">
        <v>0.0</v>
      </c>
      <c r="E3170" s="382">
        <v>0.0</v>
      </c>
      <c r="F3170" s="382">
        <v>0.0</v>
      </c>
      <c r="G3170" s="382">
        <v>0.0</v>
      </c>
      <c r="H3170" s="382">
        <v>0.0</v>
      </c>
      <c r="I3170" s="382">
        <v>0.0</v>
      </c>
      <c r="J3170" s="382">
        <v>0.0</v>
      </c>
      <c r="K3170" s="382">
        <v>0.0</v>
      </c>
      <c r="L3170" s="382">
        <v>0.0</v>
      </c>
      <c r="M3170" s="382">
        <v>0.0</v>
      </c>
      <c r="N3170" s="382">
        <v>0.0</v>
      </c>
      <c r="O3170" s="382">
        <v>0.0</v>
      </c>
      <c r="P3170" s="382">
        <v>0.0</v>
      </c>
      <c r="Q3170" s="382">
        <v>0.0</v>
      </c>
      <c r="R3170" s="382">
        <v>0.0</v>
      </c>
      <c r="S3170" s="382">
        <v>0.0</v>
      </c>
      <c r="T3170" s="382">
        <v>0.0</v>
      </c>
      <c r="U3170" s="382">
        <v>0.0</v>
      </c>
      <c r="V3170" s="382">
        <v>0.0</v>
      </c>
      <c r="W3170" s="382">
        <v>0.0</v>
      </c>
      <c r="X3170" s="382">
        <v>0.0</v>
      </c>
      <c r="Y3170" s="382">
        <v>0.0</v>
      </c>
      <c r="Z3170" s="382">
        <v>0.0</v>
      </c>
      <c r="AA3170" s="382">
        <v>0.0</v>
      </c>
      <c r="AB3170" s="382">
        <v>0.0</v>
      </c>
      <c r="AC3170" s="382">
        <v>0.0</v>
      </c>
      <c r="AD3170" s="382">
        <v>0.0</v>
      </c>
      <c r="AE3170" s="382">
        <v>0.0</v>
      </c>
      <c r="AF3170" s="382">
        <v>0.0</v>
      </c>
      <c r="AG3170" s="382">
        <v>0.0</v>
      </c>
      <c r="AH3170" s="382">
        <v>0.0</v>
      </c>
      <c r="AI3170" s="382">
        <v>0.0</v>
      </c>
      <c r="AJ3170" s="382">
        <v>0.0</v>
      </c>
      <c r="AK3170" s="382">
        <v>0.0</v>
      </c>
      <c r="AL3170" s="382">
        <v>0.0</v>
      </c>
      <c r="AM3170" s="382">
        <v>0.0</v>
      </c>
      <c r="AN3170" s="382">
        <v>0.0</v>
      </c>
      <c r="AO3170" s="382">
        <v>0.0</v>
      </c>
      <c r="AP3170" s="382">
        <v>0.0</v>
      </c>
      <c r="AQ3170" s="382">
        <v>0.0</v>
      </c>
      <c r="AR3170" s="382">
        <v>0.0</v>
      </c>
      <c r="AS3170" s="382">
        <v>0.0</v>
      </c>
      <c r="AT3170" s="382">
        <v>0.0</v>
      </c>
      <c r="AU3170" s="382">
        <v>0.0</v>
      </c>
      <c r="AV3170" s="382">
        <v>0.0</v>
      </c>
      <c r="AW3170" s="382">
        <v>0.0</v>
      </c>
      <c r="AX3170" s="382">
        <v>0.0</v>
      </c>
      <c r="AY3170" s="382">
        <v>0.0</v>
      </c>
      <c r="AZ3170" s="382">
        <v>0.0</v>
      </c>
      <c r="BA3170" s="382">
        <v>0.0</v>
      </c>
      <c r="BB3170" s="32"/>
      <c r="BC3170" s="32"/>
      <c r="BD3170" s="32"/>
      <c r="BE3170" s="32"/>
      <c r="BF3170" s="32"/>
      <c r="BG3170" s="32"/>
      <c r="BH3170" s="32"/>
      <c r="BI3170" s="32"/>
      <c r="BJ3170" s="32"/>
      <c r="BK3170" s="32"/>
      <c r="BL3170" s="32"/>
      <c r="BM3170" s="32"/>
      <c r="BN3170" s="32"/>
      <c r="BO3170" s="32"/>
      <c r="BP3170" s="32"/>
      <c r="BQ3170" s="32"/>
      <c r="BR3170" s="32"/>
      <c r="BS3170" s="32"/>
      <c r="BT3170" s="32"/>
      <c r="BU3170" s="32"/>
      <c r="BV3170" s="32"/>
      <c r="BW3170" s="32"/>
      <c r="BX3170" s="32"/>
      <c r="BY3170" s="32"/>
      <c r="BZ3170" s="32"/>
      <c r="CA3170" s="32"/>
      <c r="CB3170" s="32"/>
      <c r="CC3170" s="32"/>
      <c r="CD3170" s="32"/>
    </row>
    <row r="3171" ht="15.75" hidden="1" customHeight="1" outlineLevel="1">
      <c r="A3171" s="363"/>
      <c r="B3171" s="381"/>
      <c r="C3171" s="382">
        <v>0.0</v>
      </c>
      <c r="D3171" s="382">
        <v>0.0</v>
      </c>
      <c r="E3171" s="382">
        <v>0.0</v>
      </c>
      <c r="F3171" s="382">
        <v>0.0</v>
      </c>
      <c r="G3171" s="382">
        <v>0.0</v>
      </c>
      <c r="H3171" s="382">
        <v>0.0</v>
      </c>
      <c r="I3171" s="382">
        <v>0.0</v>
      </c>
      <c r="J3171" s="382">
        <v>0.0</v>
      </c>
      <c r="K3171" s="382">
        <v>0.0</v>
      </c>
      <c r="L3171" s="382">
        <v>0.0</v>
      </c>
      <c r="M3171" s="382">
        <v>0.0</v>
      </c>
      <c r="N3171" s="382">
        <v>0.0</v>
      </c>
      <c r="O3171" s="382">
        <v>0.0</v>
      </c>
      <c r="P3171" s="382">
        <v>0.0</v>
      </c>
      <c r="Q3171" s="382">
        <v>0.0</v>
      </c>
      <c r="R3171" s="382">
        <v>0.0</v>
      </c>
      <c r="S3171" s="382">
        <v>0.0</v>
      </c>
      <c r="T3171" s="382">
        <v>0.0</v>
      </c>
      <c r="U3171" s="382">
        <v>0.0</v>
      </c>
      <c r="V3171" s="382">
        <v>0.0</v>
      </c>
      <c r="W3171" s="382">
        <v>0.0</v>
      </c>
      <c r="X3171" s="382">
        <v>0.0</v>
      </c>
      <c r="Y3171" s="382">
        <v>0.0</v>
      </c>
      <c r="Z3171" s="382">
        <v>0.0</v>
      </c>
      <c r="AA3171" s="382">
        <v>0.0</v>
      </c>
      <c r="AB3171" s="382">
        <v>0.0</v>
      </c>
      <c r="AC3171" s="382">
        <v>0.0</v>
      </c>
      <c r="AD3171" s="382">
        <v>0.0</v>
      </c>
      <c r="AE3171" s="382">
        <v>0.0</v>
      </c>
      <c r="AF3171" s="382">
        <v>0.0</v>
      </c>
      <c r="AG3171" s="382">
        <v>0.0</v>
      </c>
      <c r="AH3171" s="382">
        <v>0.0</v>
      </c>
      <c r="AI3171" s="382">
        <v>0.0</v>
      </c>
      <c r="AJ3171" s="382">
        <v>0.0</v>
      </c>
      <c r="AK3171" s="382">
        <v>0.0</v>
      </c>
      <c r="AL3171" s="382">
        <v>0.0</v>
      </c>
      <c r="AM3171" s="382">
        <v>0.0</v>
      </c>
      <c r="AN3171" s="382">
        <v>0.0</v>
      </c>
      <c r="AO3171" s="382">
        <v>0.0</v>
      </c>
      <c r="AP3171" s="382">
        <v>0.0</v>
      </c>
      <c r="AQ3171" s="382">
        <v>0.0</v>
      </c>
      <c r="AR3171" s="382">
        <v>0.0</v>
      </c>
      <c r="AS3171" s="382">
        <v>0.0</v>
      </c>
      <c r="AT3171" s="382">
        <v>0.0</v>
      </c>
      <c r="AU3171" s="382">
        <v>0.0</v>
      </c>
      <c r="AV3171" s="382">
        <v>0.0</v>
      </c>
      <c r="AW3171" s="382">
        <v>0.0</v>
      </c>
      <c r="AX3171" s="382">
        <v>0.0</v>
      </c>
      <c r="AY3171" s="382">
        <v>0.0</v>
      </c>
      <c r="AZ3171" s="382">
        <v>0.0</v>
      </c>
      <c r="BA3171" s="382">
        <v>0.0</v>
      </c>
      <c r="BB3171" s="32"/>
      <c r="BC3171" s="32"/>
      <c r="BD3171" s="32"/>
      <c r="BE3171" s="32"/>
      <c r="BF3171" s="32"/>
      <c r="BG3171" s="32"/>
      <c r="BH3171" s="32"/>
      <c r="BI3171" s="32"/>
      <c r="BJ3171" s="32"/>
      <c r="BK3171" s="32"/>
      <c r="BL3171" s="32"/>
      <c r="BM3171" s="32"/>
      <c r="BN3171" s="32"/>
      <c r="BO3171" s="32"/>
      <c r="BP3171" s="32"/>
      <c r="BQ3171" s="32"/>
      <c r="BR3171" s="32"/>
      <c r="BS3171" s="32"/>
      <c r="BT3171" s="32"/>
      <c r="BU3171" s="32"/>
      <c r="BV3171" s="32"/>
      <c r="BW3171" s="32"/>
      <c r="BX3171" s="32"/>
      <c r="BY3171" s="32"/>
      <c r="BZ3171" s="32"/>
      <c r="CA3171" s="32"/>
      <c r="CB3171" s="32"/>
      <c r="CC3171" s="32"/>
      <c r="CD3171" s="32"/>
    </row>
    <row r="3172" ht="15.75" hidden="1" customHeight="1" outlineLevel="1">
      <c r="A3172" s="363"/>
      <c r="B3172" s="381"/>
      <c r="C3172" s="382">
        <v>0.0</v>
      </c>
      <c r="D3172" s="382">
        <v>0.0</v>
      </c>
      <c r="E3172" s="382">
        <v>0.0</v>
      </c>
      <c r="F3172" s="382">
        <v>0.0</v>
      </c>
      <c r="G3172" s="382">
        <v>0.0</v>
      </c>
      <c r="H3172" s="382">
        <v>0.0</v>
      </c>
      <c r="I3172" s="382">
        <v>0.0</v>
      </c>
      <c r="J3172" s="382">
        <v>0.0</v>
      </c>
      <c r="K3172" s="382">
        <v>0.0</v>
      </c>
      <c r="L3172" s="382">
        <v>0.0</v>
      </c>
      <c r="M3172" s="382">
        <v>0.0</v>
      </c>
      <c r="N3172" s="382">
        <v>0.0</v>
      </c>
      <c r="O3172" s="382">
        <v>0.0</v>
      </c>
      <c r="P3172" s="382">
        <v>0.0</v>
      </c>
      <c r="Q3172" s="382">
        <v>0.0</v>
      </c>
      <c r="R3172" s="382">
        <v>0.0</v>
      </c>
      <c r="S3172" s="382">
        <v>0.0</v>
      </c>
      <c r="T3172" s="382">
        <v>0.0</v>
      </c>
      <c r="U3172" s="382">
        <v>0.0</v>
      </c>
      <c r="V3172" s="382">
        <v>0.0</v>
      </c>
      <c r="W3172" s="382">
        <v>0.0</v>
      </c>
      <c r="X3172" s="382">
        <v>0.0</v>
      </c>
      <c r="Y3172" s="382">
        <v>0.0</v>
      </c>
      <c r="Z3172" s="382">
        <v>0.0</v>
      </c>
      <c r="AA3172" s="382">
        <v>0.0</v>
      </c>
      <c r="AB3172" s="382">
        <v>0.0</v>
      </c>
      <c r="AC3172" s="382">
        <v>0.0</v>
      </c>
      <c r="AD3172" s="382">
        <v>0.0</v>
      </c>
      <c r="AE3172" s="382">
        <v>0.0</v>
      </c>
      <c r="AF3172" s="382">
        <v>0.0</v>
      </c>
      <c r="AG3172" s="382">
        <v>0.0</v>
      </c>
      <c r="AH3172" s="382">
        <v>0.0</v>
      </c>
      <c r="AI3172" s="382">
        <v>0.0</v>
      </c>
      <c r="AJ3172" s="382">
        <v>0.0</v>
      </c>
      <c r="AK3172" s="382">
        <v>0.0</v>
      </c>
      <c r="AL3172" s="382">
        <v>0.0</v>
      </c>
      <c r="AM3172" s="382">
        <v>0.0</v>
      </c>
      <c r="AN3172" s="382">
        <v>0.0</v>
      </c>
      <c r="AO3172" s="382">
        <v>0.0</v>
      </c>
      <c r="AP3172" s="382">
        <v>0.0</v>
      </c>
      <c r="AQ3172" s="382">
        <v>0.0</v>
      </c>
      <c r="AR3172" s="382">
        <v>0.0</v>
      </c>
      <c r="AS3172" s="382">
        <v>0.0</v>
      </c>
      <c r="AT3172" s="382">
        <v>0.0</v>
      </c>
      <c r="AU3172" s="382">
        <v>0.0</v>
      </c>
      <c r="AV3172" s="382">
        <v>0.0</v>
      </c>
      <c r="AW3172" s="382">
        <v>0.0</v>
      </c>
      <c r="AX3172" s="382">
        <v>0.0</v>
      </c>
      <c r="AY3172" s="382">
        <v>0.0</v>
      </c>
      <c r="AZ3172" s="382">
        <v>0.0</v>
      </c>
      <c r="BA3172" s="382">
        <v>0.0</v>
      </c>
      <c r="BB3172" s="372">
        <f>$AH3032*'Assumptions (T&amp;D) old'!V$104</f>
        <v>0</v>
      </c>
      <c r="BC3172" s="32"/>
      <c r="BD3172" s="32"/>
      <c r="BE3172" s="32"/>
      <c r="BF3172" s="32"/>
      <c r="BG3172" s="32"/>
      <c r="BH3172" s="32"/>
      <c r="BI3172" s="32"/>
      <c r="BJ3172" s="32"/>
      <c r="BK3172" s="32"/>
      <c r="BL3172" s="32"/>
      <c r="BM3172" s="32"/>
      <c r="BN3172" s="32"/>
      <c r="BO3172" s="32"/>
      <c r="BP3172" s="32"/>
      <c r="BQ3172" s="32"/>
      <c r="BR3172" s="32"/>
      <c r="BS3172" s="32"/>
      <c r="BT3172" s="32"/>
      <c r="BU3172" s="32"/>
      <c r="BV3172" s="32"/>
      <c r="BW3172" s="32"/>
      <c r="BX3172" s="32"/>
      <c r="BY3172" s="32"/>
      <c r="BZ3172" s="32"/>
      <c r="CA3172" s="32"/>
      <c r="CB3172" s="32"/>
      <c r="CC3172" s="32"/>
      <c r="CD3172" s="32"/>
    </row>
    <row r="3173" ht="15.75" hidden="1" customHeight="1" outlineLevel="1">
      <c r="A3173" s="363"/>
      <c r="B3173" s="381"/>
      <c r="C3173" s="382">
        <v>0.0</v>
      </c>
      <c r="D3173" s="382">
        <v>0.0</v>
      </c>
      <c r="E3173" s="382">
        <v>0.0</v>
      </c>
      <c r="F3173" s="382">
        <v>0.0</v>
      </c>
      <c r="G3173" s="382">
        <v>0.0</v>
      </c>
      <c r="H3173" s="382">
        <v>0.0</v>
      </c>
      <c r="I3173" s="382">
        <v>0.0</v>
      </c>
      <c r="J3173" s="382">
        <v>0.0</v>
      </c>
      <c r="K3173" s="382">
        <v>0.0</v>
      </c>
      <c r="L3173" s="382">
        <v>0.0</v>
      </c>
      <c r="M3173" s="382">
        <v>0.0</v>
      </c>
      <c r="N3173" s="382">
        <v>0.0</v>
      </c>
      <c r="O3173" s="382">
        <v>0.0</v>
      </c>
      <c r="P3173" s="382">
        <v>0.0</v>
      </c>
      <c r="Q3173" s="382">
        <v>0.0</v>
      </c>
      <c r="R3173" s="382">
        <v>0.0</v>
      </c>
      <c r="S3173" s="382">
        <v>0.0</v>
      </c>
      <c r="T3173" s="382">
        <v>0.0</v>
      </c>
      <c r="U3173" s="382">
        <v>0.0</v>
      </c>
      <c r="V3173" s="382">
        <v>0.0</v>
      </c>
      <c r="W3173" s="382">
        <v>0.0</v>
      </c>
      <c r="X3173" s="382">
        <v>0.0</v>
      </c>
      <c r="Y3173" s="382">
        <v>0.0</v>
      </c>
      <c r="Z3173" s="382">
        <v>0.0</v>
      </c>
      <c r="AA3173" s="382">
        <v>0.0</v>
      </c>
      <c r="AB3173" s="382">
        <v>0.0</v>
      </c>
      <c r="AC3173" s="382">
        <v>0.0</v>
      </c>
      <c r="AD3173" s="382">
        <v>0.0</v>
      </c>
      <c r="AE3173" s="382">
        <v>0.0</v>
      </c>
      <c r="AF3173" s="382">
        <v>0.0</v>
      </c>
      <c r="AG3173" s="382">
        <v>0.0</v>
      </c>
      <c r="AH3173" s="382">
        <v>0.0</v>
      </c>
      <c r="AI3173" s="382">
        <v>0.0</v>
      </c>
      <c r="AJ3173" s="382">
        <v>0.0</v>
      </c>
      <c r="AK3173" s="382">
        <v>0.0</v>
      </c>
      <c r="AL3173" s="382">
        <v>0.0</v>
      </c>
      <c r="AM3173" s="382">
        <v>0.0</v>
      </c>
      <c r="AN3173" s="382">
        <v>0.0</v>
      </c>
      <c r="AO3173" s="382">
        <v>0.0</v>
      </c>
      <c r="AP3173" s="382">
        <v>0.0</v>
      </c>
      <c r="AQ3173" s="382">
        <v>0.0</v>
      </c>
      <c r="AR3173" s="382">
        <v>0.0</v>
      </c>
      <c r="AS3173" s="382">
        <v>0.0</v>
      </c>
      <c r="AT3173" s="382">
        <v>0.0</v>
      </c>
      <c r="AU3173" s="382">
        <v>0.0</v>
      </c>
      <c r="AV3173" s="382">
        <v>0.0</v>
      </c>
      <c r="AW3173" s="382">
        <v>0.0</v>
      </c>
      <c r="AX3173" s="382">
        <v>0.0</v>
      </c>
      <c r="AY3173" s="382">
        <v>0.0</v>
      </c>
      <c r="AZ3173" s="382">
        <v>0.0</v>
      </c>
      <c r="BA3173" s="382">
        <v>0.0</v>
      </c>
      <c r="BB3173" s="372">
        <f>$AI3032*'Assumptions (T&amp;D) old'!U$104</f>
        <v>0</v>
      </c>
      <c r="BC3173" s="372">
        <f>$AI3032*'Assumptions (T&amp;D) old'!V$104</f>
        <v>0</v>
      </c>
      <c r="BD3173" s="32"/>
      <c r="BE3173" s="32"/>
      <c r="BF3173" s="32"/>
      <c r="BG3173" s="32"/>
      <c r="BH3173" s="32"/>
      <c r="BI3173" s="32"/>
      <c r="BJ3173" s="32"/>
      <c r="BK3173" s="32"/>
      <c r="BL3173" s="32"/>
      <c r="BM3173" s="32"/>
      <c r="BN3173" s="32"/>
      <c r="BO3173" s="32"/>
      <c r="BP3173" s="32"/>
      <c r="BQ3173" s="32"/>
      <c r="BR3173" s="32"/>
      <c r="BS3173" s="32"/>
      <c r="BT3173" s="32"/>
      <c r="BU3173" s="32"/>
      <c r="BV3173" s="32"/>
      <c r="BW3173" s="32"/>
      <c r="BX3173" s="32"/>
      <c r="BY3173" s="32"/>
      <c r="BZ3173" s="32"/>
      <c r="CA3173" s="32"/>
      <c r="CB3173" s="32"/>
      <c r="CC3173" s="32"/>
      <c r="CD3173" s="32"/>
    </row>
    <row r="3174" ht="15.75" hidden="1" customHeight="1" outlineLevel="1">
      <c r="A3174" s="363"/>
      <c r="B3174" s="381"/>
      <c r="C3174" s="382">
        <v>0.0</v>
      </c>
      <c r="D3174" s="382">
        <v>0.0</v>
      </c>
      <c r="E3174" s="382">
        <v>0.0</v>
      </c>
      <c r="F3174" s="382">
        <v>0.0</v>
      </c>
      <c r="G3174" s="382">
        <v>0.0</v>
      </c>
      <c r="H3174" s="382">
        <v>0.0</v>
      </c>
      <c r="I3174" s="382">
        <v>0.0</v>
      </c>
      <c r="J3174" s="382">
        <v>0.0</v>
      </c>
      <c r="K3174" s="382">
        <v>0.0</v>
      </c>
      <c r="L3174" s="382">
        <v>0.0</v>
      </c>
      <c r="M3174" s="382">
        <v>0.0</v>
      </c>
      <c r="N3174" s="382">
        <v>0.0</v>
      </c>
      <c r="O3174" s="382">
        <v>0.0</v>
      </c>
      <c r="P3174" s="382">
        <v>0.0</v>
      </c>
      <c r="Q3174" s="382">
        <v>0.0</v>
      </c>
      <c r="R3174" s="382">
        <v>0.0</v>
      </c>
      <c r="S3174" s="382">
        <v>0.0</v>
      </c>
      <c r="T3174" s="382">
        <v>0.0</v>
      </c>
      <c r="U3174" s="382">
        <v>0.0</v>
      </c>
      <c r="V3174" s="382">
        <v>0.0</v>
      </c>
      <c r="W3174" s="382">
        <v>0.0</v>
      </c>
      <c r="X3174" s="382">
        <v>0.0</v>
      </c>
      <c r="Y3174" s="382">
        <v>0.0</v>
      </c>
      <c r="Z3174" s="382">
        <v>0.0</v>
      </c>
      <c r="AA3174" s="382">
        <v>0.0</v>
      </c>
      <c r="AB3174" s="382">
        <v>0.0</v>
      </c>
      <c r="AC3174" s="382">
        <v>0.0</v>
      </c>
      <c r="AD3174" s="382">
        <v>0.0</v>
      </c>
      <c r="AE3174" s="382">
        <v>0.0</v>
      </c>
      <c r="AF3174" s="382">
        <v>0.0</v>
      </c>
      <c r="AG3174" s="382">
        <v>0.0</v>
      </c>
      <c r="AH3174" s="382">
        <v>0.0</v>
      </c>
      <c r="AI3174" s="382">
        <v>0.0</v>
      </c>
      <c r="AJ3174" s="382">
        <v>0.0</v>
      </c>
      <c r="AK3174" s="382">
        <v>0.0</v>
      </c>
      <c r="AL3174" s="382">
        <v>0.0</v>
      </c>
      <c r="AM3174" s="382">
        <v>0.0</v>
      </c>
      <c r="AN3174" s="382">
        <v>0.0</v>
      </c>
      <c r="AO3174" s="382">
        <v>0.0</v>
      </c>
      <c r="AP3174" s="382">
        <v>0.0</v>
      </c>
      <c r="AQ3174" s="382">
        <v>0.0</v>
      </c>
      <c r="AR3174" s="382">
        <v>0.0</v>
      </c>
      <c r="AS3174" s="382">
        <v>0.0</v>
      </c>
      <c r="AT3174" s="382">
        <v>0.0</v>
      </c>
      <c r="AU3174" s="382">
        <v>0.0</v>
      </c>
      <c r="AV3174" s="382">
        <v>0.0</v>
      </c>
      <c r="AW3174" s="382">
        <v>0.0</v>
      </c>
      <c r="AX3174" s="382">
        <v>0.0</v>
      </c>
      <c r="AY3174" s="382">
        <v>0.0</v>
      </c>
      <c r="AZ3174" s="382">
        <v>0.0</v>
      </c>
      <c r="BA3174" s="382">
        <v>0.0</v>
      </c>
      <c r="BB3174" s="372">
        <f>$AJ3032*'Assumptions (T&amp;D) old'!T$104</f>
        <v>0</v>
      </c>
      <c r="BC3174" s="372">
        <f>$AJ3032*'Assumptions (T&amp;D) old'!U$104</f>
        <v>0</v>
      </c>
      <c r="BD3174" s="372">
        <f>$AJ3032*'Assumptions (T&amp;D) old'!V$104</f>
        <v>0</v>
      </c>
      <c r="BE3174" s="32"/>
      <c r="BF3174" s="32"/>
      <c r="BG3174" s="32"/>
      <c r="BH3174" s="32"/>
      <c r="BI3174" s="32"/>
      <c r="BJ3174" s="32"/>
      <c r="BK3174" s="32"/>
      <c r="BL3174" s="32"/>
      <c r="BM3174" s="32"/>
      <c r="BN3174" s="32"/>
      <c r="BO3174" s="32"/>
      <c r="BP3174" s="32"/>
      <c r="BQ3174" s="32"/>
      <c r="BR3174" s="32"/>
      <c r="BS3174" s="32"/>
      <c r="BT3174" s="32"/>
      <c r="BU3174" s="32"/>
      <c r="BV3174" s="32"/>
      <c r="BW3174" s="32"/>
      <c r="BX3174" s="32"/>
      <c r="BY3174" s="32"/>
      <c r="BZ3174" s="32"/>
      <c r="CA3174" s="32"/>
      <c r="CB3174" s="32"/>
      <c r="CC3174" s="32"/>
      <c r="CD3174" s="32"/>
    </row>
    <row r="3175" ht="15.75" hidden="1" customHeight="1" outlineLevel="1">
      <c r="A3175" s="363"/>
      <c r="B3175" s="381"/>
      <c r="C3175" s="382">
        <v>0.0</v>
      </c>
      <c r="D3175" s="382">
        <v>0.0</v>
      </c>
      <c r="E3175" s="382">
        <v>0.0</v>
      </c>
      <c r="F3175" s="382">
        <v>0.0</v>
      </c>
      <c r="G3175" s="382">
        <v>0.0</v>
      </c>
      <c r="H3175" s="382">
        <v>0.0</v>
      </c>
      <c r="I3175" s="382">
        <v>0.0</v>
      </c>
      <c r="J3175" s="382">
        <v>0.0</v>
      </c>
      <c r="K3175" s="382">
        <v>0.0</v>
      </c>
      <c r="L3175" s="382">
        <v>0.0</v>
      </c>
      <c r="M3175" s="382">
        <v>0.0</v>
      </c>
      <c r="N3175" s="382">
        <v>0.0</v>
      </c>
      <c r="O3175" s="382">
        <v>0.0</v>
      </c>
      <c r="P3175" s="382">
        <v>0.0</v>
      </c>
      <c r="Q3175" s="382">
        <v>0.0</v>
      </c>
      <c r="R3175" s="382">
        <v>0.0</v>
      </c>
      <c r="S3175" s="382">
        <v>0.0</v>
      </c>
      <c r="T3175" s="382">
        <v>0.0</v>
      </c>
      <c r="U3175" s="382">
        <v>0.0</v>
      </c>
      <c r="V3175" s="382">
        <v>0.0</v>
      </c>
      <c r="W3175" s="382">
        <v>0.0</v>
      </c>
      <c r="X3175" s="382">
        <v>0.0</v>
      </c>
      <c r="Y3175" s="382">
        <v>0.0</v>
      </c>
      <c r="Z3175" s="382">
        <v>0.0</v>
      </c>
      <c r="AA3175" s="382">
        <v>0.0</v>
      </c>
      <c r="AB3175" s="382">
        <v>0.0</v>
      </c>
      <c r="AC3175" s="382">
        <v>0.0</v>
      </c>
      <c r="AD3175" s="382">
        <v>0.0</v>
      </c>
      <c r="AE3175" s="382">
        <v>0.0</v>
      </c>
      <c r="AF3175" s="382">
        <v>0.0</v>
      </c>
      <c r="AG3175" s="382">
        <v>0.0</v>
      </c>
      <c r="AH3175" s="382">
        <v>0.0</v>
      </c>
      <c r="AI3175" s="382">
        <v>0.0</v>
      </c>
      <c r="AJ3175" s="382">
        <v>0.0</v>
      </c>
      <c r="AK3175" s="382">
        <v>0.0</v>
      </c>
      <c r="AL3175" s="382">
        <v>0.0</v>
      </c>
      <c r="AM3175" s="382">
        <v>0.0</v>
      </c>
      <c r="AN3175" s="382">
        <v>0.0</v>
      </c>
      <c r="AO3175" s="382">
        <v>0.0</v>
      </c>
      <c r="AP3175" s="382">
        <v>0.0</v>
      </c>
      <c r="AQ3175" s="382">
        <v>0.0</v>
      </c>
      <c r="AR3175" s="382">
        <v>0.0</v>
      </c>
      <c r="AS3175" s="382">
        <v>0.0</v>
      </c>
      <c r="AT3175" s="382">
        <v>0.0</v>
      </c>
      <c r="AU3175" s="382">
        <v>0.0</v>
      </c>
      <c r="AV3175" s="382">
        <v>0.0</v>
      </c>
      <c r="AW3175" s="382">
        <v>0.0</v>
      </c>
      <c r="AX3175" s="382">
        <v>0.0</v>
      </c>
      <c r="AY3175" s="382">
        <v>0.0</v>
      </c>
      <c r="AZ3175" s="382">
        <v>0.0</v>
      </c>
      <c r="BA3175" s="382">
        <v>0.0</v>
      </c>
      <c r="BB3175" s="372">
        <f>$AK3032*'Assumptions (T&amp;D) old'!S$104</f>
        <v>0</v>
      </c>
      <c r="BC3175" s="372">
        <f>$AK3032*'Assumptions (T&amp;D) old'!T$104</f>
        <v>0</v>
      </c>
      <c r="BD3175" s="372">
        <f>$AK3032*'Assumptions (T&amp;D) old'!U$104</f>
        <v>0</v>
      </c>
      <c r="BE3175" s="372">
        <f>$AK3032*'Assumptions (T&amp;D) old'!V$104</f>
        <v>0</v>
      </c>
      <c r="BF3175" s="32"/>
      <c r="BG3175" s="32"/>
      <c r="BH3175" s="32"/>
      <c r="BI3175" s="32"/>
      <c r="BJ3175" s="32"/>
      <c r="BK3175" s="32"/>
      <c r="BL3175" s="32"/>
      <c r="BM3175" s="32"/>
      <c r="BN3175" s="32"/>
      <c r="BO3175" s="32"/>
      <c r="BP3175" s="32"/>
      <c r="BQ3175" s="32"/>
      <c r="BR3175" s="32"/>
      <c r="BS3175" s="32"/>
      <c r="BT3175" s="32"/>
      <c r="BU3175" s="32"/>
      <c r="BV3175" s="32"/>
      <c r="BW3175" s="32"/>
      <c r="BX3175" s="32"/>
      <c r="BY3175" s="32"/>
      <c r="BZ3175" s="32"/>
      <c r="CA3175" s="32"/>
      <c r="CB3175" s="32"/>
      <c r="CC3175" s="32"/>
      <c r="CD3175" s="32"/>
    </row>
    <row r="3176" ht="15.75" hidden="1" customHeight="1" outlineLevel="1">
      <c r="A3176" s="363"/>
      <c r="B3176" s="381"/>
      <c r="C3176" s="382">
        <v>0.0</v>
      </c>
      <c r="D3176" s="382">
        <v>0.0</v>
      </c>
      <c r="E3176" s="382">
        <v>0.0</v>
      </c>
      <c r="F3176" s="382">
        <v>0.0</v>
      </c>
      <c r="G3176" s="382">
        <v>0.0</v>
      </c>
      <c r="H3176" s="382">
        <v>0.0</v>
      </c>
      <c r="I3176" s="382">
        <v>0.0</v>
      </c>
      <c r="J3176" s="382">
        <v>0.0</v>
      </c>
      <c r="K3176" s="382">
        <v>0.0</v>
      </c>
      <c r="L3176" s="382">
        <v>0.0</v>
      </c>
      <c r="M3176" s="382">
        <v>0.0</v>
      </c>
      <c r="N3176" s="382">
        <v>0.0</v>
      </c>
      <c r="O3176" s="382">
        <v>0.0</v>
      </c>
      <c r="P3176" s="382">
        <v>0.0</v>
      </c>
      <c r="Q3176" s="382">
        <v>0.0</v>
      </c>
      <c r="R3176" s="382">
        <v>0.0</v>
      </c>
      <c r="S3176" s="382">
        <v>0.0</v>
      </c>
      <c r="T3176" s="382">
        <v>0.0</v>
      </c>
      <c r="U3176" s="382">
        <v>0.0</v>
      </c>
      <c r="V3176" s="382">
        <v>0.0</v>
      </c>
      <c r="W3176" s="382">
        <v>0.0</v>
      </c>
      <c r="X3176" s="382">
        <v>0.0</v>
      </c>
      <c r="Y3176" s="382">
        <v>0.0</v>
      </c>
      <c r="Z3176" s="382">
        <v>0.0</v>
      </c>
      <c r="AA3176" s="382">
        <v>0.0</v>
      </c>
      <c r="AB3176" s="382">
        <v>0.0</v>
      </c>
      <c r="AC3176" s="382">
        <v>0.0</v>
      </c>
      <c r="AD3176" s="382">
        <v>0.0</v>
      </c>
      <c r="AE3176" s="382">
        <v>0.0</v>
      </c>
      <c r="AF3176" s="382">
        <v>0.0</v>
      </c>
      <c r="AG3176" s="382">
        <v>0.0</v>
      </c>
      <c r="AH3176" s="382">
        <v>0.0</v>
      </c>
      <c r="AI3176" s="382">
        <v>0.0</v>
      </c>
      <c r="AJ3176" s="382">
        <v>0.0</v>
      </c>
      <c r="AK3176" s="382">
        <v>0.0</v>
      </c>
      <c r="AL3176" s="382">
        <v>0.0</v>
      </c>
      <c r="AM3176" s="382">
        <v>0.0</v>
      </c>
      <c r="AN3176" s="382">
        <v>0.0</v>
      </c>
      <c r="AO3176" s="382">
        <v>0.0</v>
      </c>
      <c r="AP3176" s="382">
        <v>0.0</v>
      </c>
      <c r="AQ3176" s="382">
        <v>0.0</v>
      </c>
      <c r="AR3176" s="382">
        <v>0.0</v>
      </c>
      <c r="AS3176" s="382">
        <v>0.0</v>
      </c>
      <c r="AT3176" s="382">
        <v>0.0</v>
      </c>
      <c r="AU3176" s="382">
        <v>0.0</v>
      </c>
      <c r="AV3176" s="382">
        <v>0.0</v>
      </c>
      <c r="AW3176" s="382">
        <v>0.0</v>
      </c>
      <c r="AX3176" s="382">
        <v>0.0</v>
      </c>
      <c r="AY3176" s="382">
        <v>0.0</v>
      </c>
      <c r="AZ3176" s="382">
        <v>0.0</v>
      </c>
      <c r="BA3176" s="382">
        <v>0.0</v>
      </c>
      <c r="BB3176" s="372">
        <f>$AL3032*'Assumptions (T&amp;D) old'!R$104</f>
        <v>0</v>
      </c>
      <c r="BC3176" s="372">
        <f>$AL3032*'Assumptions (T&amp;D) old'!S$104</f>
        <v>0</v>
      </c>
      <c r="BD3176" s="372">
        <f>$AL3032*'Assumptions (T&amp;D) old'!T$104</f>
        <v>0</v>
      </c>
      <c r="BE3176" s="372">
        <f>$AL3032*'Assumptions (T&amp;D) old'!U$104</f>
        <v>0</v>
      </c>
      <c r="BF3176" s="372">
        <f>$AL3032*'Assumptions (T&amp;D) old'!V$104</f>
        <v>0</v>
      </c>
      <c r="BG3176" s="32"/>
      <c r="BH3176" s="32"/>
      <c r="BI3176" s="32"/>
      <c r="BJ3176" s="32"/>
      <c r="BK3176" s="32"/>
      <c r="BL3176" s="32"/>
      <c r="BM3176" s="32"/>
      <c r="BN3176" s="32"/>
      <c r="BO3176" s="32"/>
      <c r="BP3176" s="32"/>
      <c r="BQ3176" s="32"/>
      <c r="BR3176" s="32"/>
      <c r="BS3176" s="32"/>
      <c r="BT3176" s="32"/>
      <c r="BU3176" s="32"/>
      <c r="BV3176" s="32"/>
      <c r="BW3176" s="32"/>
      <c r="BX3176" s="32"/>
      <c r="BY3176" s="32"/>
      <c r="BZ3176" s="32"/>
      <c r="CA3176" s="32"/>
      <c r="CB3176" s="32"/>
      <c r="CC3176" s="32"/>
      <c r="CD3176" s="32"/>
    </row>
    <row r="3177" ht="15.75" hidden="1" customHeight="1" outlineLevel="1">
      <c r="A3177" s="363"/>
      <c r="B3177" s="381"/>
      <c r="C3177" s="382">
        <v>0.0</v>
      </c>
      <c r="D3177" s="382">
        <v>0.0</v>
      </c>
      <c r="E3177" s="382">
        <v>0.0</v>
      </c>
      <c r="F3177" s="382">
        <v>0.0</v>
      </c>
      <c r="G3177" s="382">
        <v>0.0</v>
      </c>
      <c r="H3177" s="382">
        <v>0.0</v>
      </c>
      <c r="I3177" s="382">
        <v>0.0</v>
      </c>
      <c r="J3177" s="382">
        <v>0.0</v>
      </c>
      <c r="K3177" s="382">
        <v>0.0</v>
      </c>
      <c r="L3177" s="382">
        <v>0.0</v>
      </c>
      <c r="M3177" s="382">
        <v>0.0</v>
      </c>
      <c r="N3177" s="382">
        <v>0.0</v>
      </c>
      <c r="O3177" s="382">
        <v>0.0</v>
      </c>
      <c r="P3177" s="382">
        <v>0.0</v>
      </c>
      <c r="Q3177" s="382">
        <v>0.0</v>
      </c>
      <c r="R3177" s="382">
        <v>0.0</v>
      </c>
      <c r="S3177" s="382">
        <v>0.0</v>
      </c>
      <c r="T3177" s="382">
        <v>0.0</v>
      </c>
      <c r="U3177" s="382">
        <v>0.0</v>
      </c>
      <c r="V3177" s="382">
        <v>0.0</v>
      </c>
      <c r="W3177" s="382">
        <v>0.0</v>
      </c>
      <c r="X3177" s="382">
        <v>0.0</v>
      </c>
      <c r="Y3177" s="382">
        <v>0.0</v>
      </c>
      <c r="Z3177" s="382">
        <v>0.0</v>
      </c>
      <c r="AA3177" s="382">
        <v>0.0</v>
      </c>
      <c r="AB3177" s="382">
        <v>0.0</v>
      </c>
      <c r="AC3177" s="382">
        <v>0.0</v>
      </c>
      <c r="AD3177" s="382">
        <v>0.0</v>
      </c>
      <c r="AE3177" s="382">
        <v>0.0</v>
      </c>
      <c r="AF3177" s="382">
        <v>0.0</v>
      </c>
      <c r="AG3177" s="382">
        <v>0.0</v>
      </c>
      <c r="AH3177" s="382">
        <v>0.0</v>
      </c>
      <c r="AI3177" s="382">
        <v>0.0</v>
      </c>
      <c r="AJ3177" s="382">
        <v>0.0</v>
      </c>
      <c r="AK3177" s="382">
        <v>0.0</v>
      </c>
      <c r="AL3177" s="382">
        <v>0.0</v>
      </c>
      <c r="AM3177" s="382">
        <v>0.0</v>
      </c>
      <c r="AN3177" s="382">
        <v>0.0</v>
      </c>
      <c r="AO3177" s="382">
        <v>0.0</v>
      </c>
      <c r="AP3177" s="382">
        <v>0.0</v>
      </c>
      <c r="AQ3177" s="382">
        <v>0.0</v>
      </c>
      <c r="AR3177" s="382">
        <v>0.0</v>
      </c>
      <c r="AS3177" s="382">
        <v>0.0</v>
      </c>
      <c r="AT3177" s="382">
        <v>0.0</v>
      </c>
      <c r="AU3177" s="382">
        <v>0.0</v>
      </c>
      <c r="AV3177" s="382">
        <v>0.0</v>
      </c>
      <c r="AW3177" s="382">
        <v>0.0</v>
      </c>
      <c r="AX3177" s="382">
        <v>0.0</v>
      </c>
      <c r="AY3177" s="382">
        <v>0.0</v>
      </c>
      <c r="AZ3177" s="382">
        <v>0.0</v>
      </c>
      <c r="BA3177" s="382">
        <v>0.0</v>
      </c>
      <c r="BB3177" s="372">
        <f>$AM3032*'Assumptions (T&amp;D) old'!Q$104</f>
        <v>0</v>
      </c>
      <c r="BC3177" s="372">
        <f>$AM3032*'Assumptions (T&amp;D) old'!R$104</f>
        <v>0</v>
      </c>
      <c r="BD3177" s="372">
        <f>$AM3032*'Assumptions (T&amp;D) old'!S$104</f>
        <v>0</v>
      </c>
      <c r="BE3177" s="372">
        <f>$AM3032*'Assumptions (T&amp;D) old'!T$104</f>
        <v>0</v>
      </c>
      <c r="BF3177" s="372">
        <f>$AM3032*'Assumptions (T&amp;D) old'!U$104</f>
        <v>0</v>
      </c>
      <c r="BG3177" s="372">
        <f>$AM3032*'Assumptions (T&amp;D) old'!V$104</f>
        <v>0</v>
      </c>
      <c r="BH3177" s="32"/>
      <c r="BI3177" s="32"/>
      <c r="BJ3177" s="32"/>
      <c r="BK3177" s="32"/>
      <c r="BL3177" s="32"/>
      <c r="BM3177" s="32"/>
      <c r="BN3177" s="32"/>
      <c r="BO3177" s="32"/>
      <c r="BP3177" s="32"/>
      <c r="BQ3177" s="32"/>
      <c r="BR3177" s="32"/>
      <c r="BS3177" s="32"/>
      <c r="BT3177" s="32"/>
      <c r="BU3177" s="32"/>
      <c r="BV3177" s="32"/>
      <c r="BW3177" s="32"/>
      <c r="BX3177" s="32"/>
      <c r="BY3177" s="32"/>
      <c r="BZ3177" s="32"/>
      <c r="CA3177" s="32"/>
      <c r="CB3177" s="32"/>
      <c r="CC3177" s="32"/>
      <c r="CD3177" s="32"/>
    </row>
    <row r="3178" ht="15.75" hidden="1" customHeight="1" outlineLevel="1">
      <c r="A3178" s="363"/>
      <c r="B3178" s="381"/>
      <c r="C3178" s="382">
        <v>0.0</v>
      </c>
      <c r="D3178" s="382">
        <v>0.0</v>
      </c>
      <c r="E3178" s="382">
        <v>0.0</v>
      </c>
      <c r="F3178" s="382">
        <v>0.0</v>
      </c>
      <c r="G3178" s="382">
        <v>0.0</v>
      </c>
      <c r="H3178" s="382">
        <v>0.0</v>
      </c>
      <c r="I3178" s="382">
        <v>0.0</v>
      </c>
      <c r="J3178" s="382">
        <v>0.0</v>
      </c>
      <c r="K3178" s="382">
        <v>0.0</v>
      </c>
      <c r="L3178" s="382">
        <v>0.0</v>
      </c>
      <c r="M3178" s="382">
        <v>0.0</v>
      </c>
      <c r="N3178" s="382">
        <v>0.0</v>
      </c>
      <c r="O3178" s="382">
        <v>0.0</v>
      </c>
      <c r="P3178" s="382">
        <v>0.0</v>
      </c>
      <c r="Q3178" s="382">
        <v>0.0</v>
      </c>
      <c r="R3178" s="382">
        <v>0.0</v>
      </c>
      <c r="S3178" s="382">
        <v>0.0</v>
      </c>
      <c r="T3178" s="382">
        <v>0.0</v>
      </c>
      <c r="U3178" s="382">
        <v>0.0</v>
      </c>
      <c r="V3178" s="382">
        <v>0.0</v>
      </c>
      <c r="W3178" s="382">
        <v>0.0</v>
      </c>
      <c r="X3178" s="382">
        <v>0.0</v>
      </c>
      <c r="Y3178" s="382">
        <v>0.0</v>
      </c>
      <c r="Z3178" s="382">
        <v>0.0</v>
      </c>
      <c r="AA3178" s="382">
        <v>0.0</v>
      </c>
      <c r="AB3178" s="382">
        <v>0.0</v>
      </c>
      <c r="AC3178" s="382">
        <v>0.0</v>
      </c>
      <c r="AD3178" s="382">
        <v>0.0</v>
      </c>
      <c r="AE3178" s="382">
        <v>0.0</v>
      </c>
      <c r="AF3178" s="382">
        <v>0.0</v>
      </c>
      <c r="AG3178" s="382">
        <v>0.0</v>
      </c>
      <c r="AH3178" s="382">
        <v>0.0</v>
      </c>
      <c r="AI3178" s="382">
        <v>0.0</v>
      </c>
      <c r="AJ3178" s="382">
        <v>0.0</v>
      </c>
      <c r="AK3178" s="382">
        <v>0.0</v>
      </c>
      <c r="AL3178" s="382">
        <v>0.0</v>
      </c>
      <c r="AM3178" s="382">
        <v>0.0</v>
      </c>
      <c r="AN3178" s="382">
        <v>0.0</v>
      </c>
      <c r="AO3178" s="382">
        <v>0.0</v>
      </c>
      <c r="AP3178" s="382">
        <v>0.0</v>
      </c>
      <c r="AQ3178" s="382">
        <v>0.0</v>
      </c>
      <c r="AR3178" s="382">
        <v>0.0</v>
      </c>
      <c r="AS3178" s="382">
        <v>0.0</v>
      </c>
      <c r="AT3178" s="382">
        <v>0.0</v>
      </c>
      <c r="AU3178" s="382">
        <v>0.0</v>
      </c>
      <c r="AV3178" s="382">
        <v>0.0</v>
      </c>
      <c r="AW3178" s="382">
        <v>0.0</v>
      </c>
      <c r="AX3178" s="382">
        <v>0.0</v>
      </c>
      <c r="AY3178" s="382">
        <v>0.0</v>
      </c>
      <c r="AZ3178" s="382">
        <v>0.0</v>
      </c>
      <c r="BA3178" s="382">
        <v>0.0</v>
      </c>
      <c r="BB3178" s="372">
        <f>$AN3032*'Assumptions (T&amp;D) old'!P$104</f>
        <v>0</v>
      </c>
      <c r="BC3178" s="372">
        <f>$AN3032*'Assumptions (T&amp;D) old'!Q$104</f>
        <v>0</v>
      </c>
      <c r="BD3178" s="372">
        <f>$AN3032*'Assumptions (T&amp;D) old'!R$104</f>
        <v>0</v>
      </c>
      <c r="BE3178" s="372">
        <f>$AN3032*'Assumptions (T&amp;D) old'!S$104</f>
        <v>0</v>
      </c>
      <c r="BF3178" s="372">
        <f>$AN3032*'Assumptions (T&amp;D) old'!T$104</f>
        <v>0</v>
      </c>
      <c r="BG3178" s="372">
        <f>$AN3032*'Assumptions (T&amp;D) old'!U$104</f>
        <v>0</v>
      </c>
      <c r="BH3178" s="372">
        <f>$AN3032*'Assumptions (T&amp;D) old'!V$104</f>
        <v>0</v>
      </c>
      <c r="BI3178" s="32"/>
      <c r="BJ3178" s="32"/>
      <c r="BK3178" s="32"/>
      <c r="BL3178" s="32"/>
      <c r="BM3178" s="32"/>
      <c r="BN3178" s="32"/>
      <c r="BO3178" s="32"/>
      <c r="BP3178" s="32"/>
      <c r="BQ3178" s="32"/>
      <c r="BR3178" s="32"/>
      <c r="BS3178" s="32"/>
      <c r="BT3178" s="32"/>
      <c r="BU3178" s="32"/>
      <c r="BV3178" s="32"/>
      <c r="BW3178" s="32"/>
      <c r="BX3178" s="32"/>
      <c r="BY3178" s="32"/>
      <c r="BZ3178" s="32"/>
      <c r="CA3178" s="32"/>
      <c r="CB3178" s="32"/>
      <c r="CC3178" s="32"/>
      <c r="CD3178" s="32"/>
    </row>
    <row r="3179" ht="15.75" hidden="1" customHeight="1" outlineLevel="1">
      <c r="A3179" s="363"/>
      <c r="B3179" s="381"/>
      <c r="C3179" s="382">
        <v>0.0</v>
      </c>
      <c r="D3179" s="382">
        <v>0.0</v>
      </c>
      <c r="E3179" s="382">
        <v>0.0</v>
      </c>
      <c r="F3179" s="382">
        <v>0.0</v>
      </c>
      <c r="G3179" s="382">
        <v>0.0</v>
      </c>
      <c r="H3179" s="382">
        <v>0.0</v>
      </c>
      <c r="I3179" s="382">
        <v>0.0</v>
      </c>
      <c r="J3179" s="382">
        <v>0.0</v>
      </c>
      <c r="K3179" s="382">
        <v>0.0</v>
      </c>
      <c r="L3179" s="382">
        <v>0.0</v>
      </c>
      <c r="M3179" s="382">
        <v>0.0</v>
      </c>
      <c r="N3179" s="382">
        <v>0.0</v>
      </c>
      <c r="O3179" s="382">
        <v>0.0</v>
      </c>
      <c r="P3179" s="382">
        <v>0.0</v>
      </c>
      <c r="Q3179" s="382">
        <v>0.0</v>
      </c>
      <c r="R3179" s="382">
        <v>0.0</v>
      </c>
      <c r="S3179" s="382">
        <v>0.0</v>
      </c>
      <c r="T3179" s="382">
        <v>0.0</v>
      </c>
      <c r="U3179" s="382">
        <v>0.0</v>
      </c>
      <c r="V3179" s="382">
        <v>0.0</v>
      </c>
      <c r="W3179" s="382">
        <v>0.0</v>
      </c>
      <c r="X3179" s="382">
        <v>0.0</v>
      </c>
      <c r="Y3179" s="382">
        <v>0.0</v>
      </c>
      <c r="Z3179" s="382">
        <v>0.0</v>
      </c>
      <c r="AA3179" s="382">
        <v>0.0</v>
      </c>
      <c r="AB3179" s="382">
        <v>0.0</v>
      </c>
      <c r="AC3179" s="382">
        <v>0.0</v>
      </c>
      <c r="AD3179" s="382">
        <v>0.0</v>
      </c>
      <c r="AE3179" s="382">
        <v>0.0</v>
      </c>
      <c r="AF3179" s="382">
        <v>0.0</v>
      </c>
      <c r="AG3179" s="382">
        <v>0.0</v>
      </c>
      <c r="AH3179" s="382">
        <v>0.0</v>
      </c>
      <c r="AI3179" s="382">
        <v>0.0</v>
      </c>
      <c r="AJ3179" s="382">
        <v>0.0</v>
      </c>
      <c r="AK3179" s="382">
        <v>0.0</v>
      </c>
      <c r="AL3179" s="382">
        <v>0.0</v>
      </c>
      <c r="AM3179" s="382">
        <v>0.0</v>
      </c>
      <c r="AN3179" s="382">
        <v>0.0</v>
      </c>
      <c r="AO3179" s="382">
        <v>0.0</v>
      </c>
      <c r="AP3179" s="382">
        <v>0.0</v>
      </c>
      <c r="AQ3179" s="382">
        <v>0.0</v>
      </c>
      <c r="AR3179" s="382">
        <v>0.0</v>
      </c>
      <c r="AS3179" s="382">
        <v>0.0</v>
      </c>
      <c r="AT3179" s="382">
        <v>0.0</v>
      </c>
      <c r="AU3179" s="382">
        <v>0.0</v>
      </c>
      <c r="AV3179" s="382">
        <v>0.0</v>
      </c>
      <c r="AW3179" s="382">
        <v>0.0</v>
      </c>
      <c r="AX3179" s="382">
        <v>0.0</v>
      </c>
      <c r="AY3179" s="382">
        <v>0.0</v>
      </c>
      <c r="AZ3179" s="382">
        <v>0.0</v>
      </c>
      <c r="BA3179" s="382">
        <v>0.0</v>
      </c>
      <c r="BB3179" s="372">
        <f>$AO3032*'Assumptions (T&amp;D) old'!O$104</f>
        <v>0</v>
      </c>
      <c r="BC3179" s="372">
        <f>$AO3032*'Assumptions (T&amp;D) old'!P$104</f>
        <v>0</v>
      </c>
      <c r="BD3179" s="372">
        <f>$AO3032*'Assumptions (T&amp;D) old'!Q$104</f>
        <v>0</v>
      </c>
      <c r="BE3179" s="372">
        <f>$AO3032*'Assumptions (T&amp;D) old'!R$104</f>
        <v>0</v>
      </c>
      <c r="BF3179" s="372">
        <f>$AO3032*'Assumptions (T&amp;D) old'!S$104</f>
        <v>0</v>
      </c>
      <c r="BG3179" s="372">
        <f>$AO3032*'Assumptions (T&amp;D) old'!T$104</f>
        <v>0</v>
      </c>
      <c r="BH3179" s="372">
        <f>$AO3032*'Assumptions (T&amp;D) old'!U$104</f>
        <v>0</v>
      </c>
      <c r="BI3179" s="372">
        <f>$AO3032*'Assumptions (T&amp;D) old'!V$104</f>
        <v>0</v>
      </c>
      <c r="BJ3179" s="32"/>
      <c r="BK3179" s="32"/>
      <c r="BL3179" s="32"/>
      <c r="BM3179" s="32"/>
      <c r="BN3179" s="32"/>
      <c r="BO3179" s="32"/>
      <c r="BP3179" s="32"/>
      <c r="BQ3179" s="32"/>
      <c r="BR3179" s="32"/>
      <c r="BS3179" s="32"/>
      <c r="BT3179" s="32"/>
      <c r="BU3179" s="32"/>
      <c r="BV3179" s="32"/>
      <c r="BW3179" s="32"/>
      <c r="BX3179" s="32"/>
      <c r="BY3179" s="32"/>
      <c r="BZ3179" s="32"/>
      <c r="CA3179" s="32"/>
      <c r="CB3179" s="32"/>
      <c r="CC3179" s="32"/>
      <c r="CD3179" s="32"/>
    </row>
    <row r="3180" ht="15.75" hidden="1" customHeight="1" outlineLevel="1">
      <c r="A3180" s="363"/>
      <c r="B3180" s="381"/>
      <c r="C3180" s="382">
        <v>0.0</v>
      </c>
      <c r="D3180" s="382">
        <v>0.0</v>
      </c>
      <c r="E3180" s="382">
        <v>0.0</v>
      </c>
      <c r="F3180" s="382">
        <v>0.0</v>
      </c>
      <c r="G3180" s="382">
        <v>0.0</v>
      </c>
      <c r="H3180" s="382">
        <v>0.0</v>
      </c>
      <c r="I3180" s="382">
        <v>0.0</v>
      </c>
      <c r="J3180" s="382">
        <v>0.0</v>
      </c>
      <c r="K3180" s="382">
        <v>0.0</v>
      </c>
      <c r="L3180" s="382">
        <v>0.0</v>
      </c>
      <c r="M3180" s="382">
        <v>0.0</v>
      </c>
      <c r="N3180" s="382">
        <v>0.0</v>
      </c>
      <c r="O3180" s="382">
        <v>0.0</v>
      </c>
      <c r="P3180" s="382">
        <v>0.0</v>
      </c>
      <c r="Q3180" s="382">
        <v>0.0</v>
      </c>
      <c r="R3180" s="382">
        <v>0.0</v>
      </c>
      <c r="S3180" s="382">
        <v>0.0</v>
      </c>
      <c r="T3180" s="382">
        <v>0.0</v>
      </c>
      <c r="U3180" s="382">
        <v>0.0</v>
      </c>
      <c r="V3180" s="382">
        <v>0.0</v>
      </c>
      <c r="W3180" s="382">
        <v>0.0</v>
      </c>
      <c r="X3180" s="382">
        <v>0.0</v>
      </c>
      <c r="Y3180" s="382">
        <v>0.0</v>
      </c>
      <c r="Z3180" s="382">
        <v>0.0</v>
      </c>
      <c r="AA3180" s="382">
        <v>0.0</v>
      </c>
      <c r="AB3180" s="382">
        <v>0.0</v>
      </c>
      <c r="AC3180" s="382">
        <v>0.0</v>
      </c>
      <c r="AD3180" s="382">
        <v>0.0</v>
      </c>
      <c r="AE3180" s="382">
        <v>0.0</v>
      </c>
      <c r="AF3180" s="382">
        <v>0.0</v>
      </c>
      <c r="AG3180" s="382">
        <v>0.0</v>
      </c>
      <c r="AH3180" s="382">
        <v>0.0</v>
      </c>
      <c r="AI3180" s="382">
        <v>0.0</v>
      </c>
      <c r="AJ3180" s="382">
        <v>0.0</v>
      </c>
      <c r="AK3180" s="382">
        <v>0.0</v>
      </c>
      <c r="AL3180" s="382">
        <v>0.0</v>
      </c>
      <c r="AM3180" s="382">
        <v>0.0</v>
      </c>
      <c r="AN3180" s="382">
        <v>0.0</v>
      </c>
      <c r="AO3180" s="382">
        <v>0.0</v>
      </c>
      <c r="AP3180" s="382">
        <v>0.0</v>
      </c>
      <c r="AQ3180" s="382">
        <v>0.0</v>
      </c>
      <c r="AR3180" s="382">
        <v>0.0</v>
      </c>
      <c r="AS3180" s="382">
        <v>0.0</v>
      </c>
      <c r="AT3180" s="382">
        <v>0.0</v>
      </c>
      <c r="AU3180" s="382">
        <v>0.0</v>
      </c>
      <c r="AV3180" s="382">
        <v>0.0</v>
      </c>
      <c r="AW3180" s="382">
        <v>0.0</v>
      </c>
      <c r="AX3180" s="382">
        <v>0.0</v>
      </c>
      <c r="AY3180" s="382">
        <v>0.0</v>
      </c>
      <c r="AZ3180" s="382">
        <v>0.0</v>
      </c>
      <c r="BA3180" s="382">
        <v>0.0</v>
      </c>
      <c r="BB3180" s="372">
        <f>$AP3032*'Assumptions (T&amp;D) old'!N$104</f>
        <v>0</v>
      </c>
      <c r="BC3180" s="372">
        <f>$AP3032*'Assumptions (T&amp;D) old'!O$104</f>
        <v>0</v>
      </c>
      <c r="BD3180" s="372">
        <f>$AP3032*'Assumptions (T&amp;D) old'!P$104</f>
        <v>0</v>
      </c>
      <c r="BE3180" s="372">
        <f>$AP3032*'Assumptions (T&amp;D) old'!Q$104</f>
        <v>0</v>
      </c>
      <c r="BF3180" s="372">
        <f>$AP3032*'Assumptions (T&amp;D) old'!R$104</f>
        <v>0</v>
      </c>
      <c r="BG3180" s="372">
        <f>$AP3032*'Assumptions (T&amp;D) old'!S$104</f>
        <v>0</v>
      </c>
      <c r="BH3180" s="372">
        <f>$AP3032*'Assumptions (T&amp;D) old'!T$104</f>
        <v>0</v>
      </c>
      <c r="BI3180" s="372">
        <f>$AP3032*'Assumptions (T&amp;D) old'!U$104</f>
        <v>0</v>
      </c>
      <c r="BJ3180" s="372">
        <f>$AP3032*'Assumptions (T&amp;D) old'!V$104</f>
        <v>0</v>
      </c>
      <c r="BK3180" s="32"/>
      <c r="BL3180" s="32"/>
      <c r="BM3180" s="32"/>
      <c r="BN3180" s="32"/>
      <c r="BO3180" s="32"/>
      <c r="BP3180" s="32"/>
      <c r="BQ3180" s="32"/>
      <c r="BR3180" s="32"/>
      <c r="BS3180" s="32"/>
      <c r="BT3180" s="32"/>
      <c r="BU3180" s="32"/>
      <c r="BV3180" s="32"/>
      <c r="BW3180" s="32"/>
      <c r="BX3180" s="32"/>
      <c r="BY3180" s="32"/>
      <c r="BZ3180" s="32"/>
      <c r="CA3180" s="32"/>
      <c r="CB3180" s="32"/>
      <c r="CC3180" s="32"/>
      <c r="CD3180" s="32"/>
    </row>
    <row r="3181" ht="15.75" hidden="1" customHeight="1" outlineLevel="1">
      <c r="A3181" s="363"/>
      <c r="B3181" s="381"/>
      <c r="C3181" s="382">
        <v>0.0</v>
      </c>
      <c r="D3181" s="382">
        <v>0.0</v>
      </c>
      <c r="E3181" s="382">
        <v>0.0</v>
      </c>
      <c r="F3181" s="382">
        <v>0.0</v>
      </c>
      <c r="G3181" s="382">
        <v>0.0</v>
      </c>
      <c r="H3181" s="382">
        <v>0.0</v>
      </c>
      <c r="I3181" s="382">
        <v>0.0</v>
      </c>
      <c r="J3181" s="382">
        <v>0.0</v>
      </c>
      <c r="K3181" s="382">
        <v>0.0</v>
      </c>
      <c r="L3181" s="382">
        <v>0.0</v>
      </c>
      <c r="M3181" s="382">
        <v>0.0</v>
      </c>
      <c r="N3181" s="382">
        <v>0.0</v>
      </c>
      <c r="O3181" s="382">
        <v>0.0</v>
      </c>
      <c r="P3181" s="382">
        <v>0.0</v>
      </c>
      <c r="Q3181" s="382">
        <v>0.0</v>
      </c>
      <c r="R3181" s="382">
        <v>0.0</v>
      </c>
      <c r="S3181" s="382">
        <v>0.0</v>
      </c>
      <c r="T3181" s="382">
        <v>0.0</v>
      </c>
      <c r="U3181" s="382">
        <v>0.0</v>
      </c>
      <c r="V3181" s="382">
        <v>0.0</v>
      </c>
      <c r="W3181" s="382">
        <v>0.0</v>
      </c>
      <c r="X3181" s="382">
        <v>0.0</v>
      </c>
      <c r="Y3181" s="382">
        <v>0.0</v>
      </c>
      <c r="Z3181" s="382">
        <v>0.0</v>
      </c>
      <c r="AA3181" s="382">
        <v>0.0</v>
      </c>
      <c r="AB3181" s="382">
        <v>0.0</v>
      </c>
      <c r="AC3181" s="382">
        <v>0.0</v>
      </c>
      <c r="AD3181" s="382">
        <v>0.0</v>
      </c>
      <c r="AE3181" s="382">
        <v>0.0</v>
      </c>
      <c r="AF3181" s="382">
        <v>0.0</v>
      </c>
      <c r="AG3181" s="382">
        <v>0.0</v>
      </c>
      <c r="AH3181" s="382">
        <v>0.0</v>
      </c>
      <c r="AI3181" s="382">
        <v>0.0</v>
      </c>
      <c r="AJ3181" s="382">
        <v>0.0</v>
      </c>
      <c r="AK3181" s="382">
        <v>0.0</v>
      </c>
      <c r="AL3181" s="382">
        <v>0.0</v>
      </c>
      <c r="AM3181" s="382">
        <v>0.0</v>
      </c>
      <c r="AN3181" s="382">
        <v>0.0</v>
      </c>
      <c r="AO3181" s="382">
        <v>0.0</v>
      </c>
      <c r="AP3181" s="382">
        <v>0.0</v>
      </c>
      <c r="AQ3181" s="382">
        <v>0.0</v>
      </c>
      <c r="AR3181" s="382">
        <v>0.0</v>
      </c>
      <c r="AS3181" s="382">
        <v>0.0</v>
      </c>
      <c r="AT3181" s="382">
        <v>0.0</v>
      </c>
      <c r="AU3181" s="382">
        <v>0.0</v>
      </c>
      <c r="AV3181" s="382">
        <v>0.0</v>
      </c>
      <c r="AW3181" s="382">
        <v>0.0</v>
      </c>
      <c r="AX3181" s="382">
        <v>0.0</v>
      </c>
      <c r="AY3181" s="382">
        <v>0.0</v>
      </c>
      <c r="AZ3181" s="382">
        <v>0.0</v>
      </c>
      <c r="BA3181" s="382">
        <v>0.0</v>
      </c>
      <c r="BB3181" s="372">
        <f>$AQ3032*'Assumptions (T&amp;D) old'!M$104</f>
        <v>0</v>
      </c>
      <c r="BC3181" s="372">
        <f>$AQ3032*'Assumptions (T&amp;D) old'!N$104</f>
        <v>0</v>
      </c>
      <c r="BD3181" s="372">
        <f>$AQ3032*'Assumptions (T&amp;D) old'!O$104</f>
        <v>0</v>
      </c>
      <c r="BE3181" s="372">
        <f>$AQ3032*'Assumptions (T&amp;D) old'!P$104</f>
        <v>0</v>
      </c>
      <c r="BF3181" s="372">
        <f>$AQ3032*'Assumptions (T&amp;D) old'!Q$104</f>
        <v>0</v>
      </c>
      <c r="BG3181" s="372">
        <f>$AQ3032*'Assumptions (T&amp;D) old'!R$104</f>
        <v>0</v>
      </c>
      <c r="BH3181" s="372">
        <f>$AQ3032*'Assumptions (T&amp;D) old'!S$104</f>
        <v>0</v>
      </c>
      <c r="BI3181" s="372">
        <f>$AQ3032*'Assumptions (T&amp;D) old'!T$104</f>
        <v>0</v>
      </c>
      <c r="BJ3181" s="372">
        <f>$AQ3032*'Assumptions (T&amp;D) old'!U$104</f>
        <v>0</v>
      </c>
      <c r="BK3181" s="372">
        <f>$AQ3032*'Assumptions (T&amp;D) old'!V$104</f>
        <v>0</v>
      </c>
      <c r="BL3181" s="32"/>
      <c r="BM3181" s="32"/>
      <c r="BN3181" s="32"/>
      <c r="BO3181" s="32"/>
      <c r="BP3181" s="32"/>
      <c r="BQ3181" s="32"/>
      <c r="BR3181" s="32"/>
      <c r="BS3181" s="32"/>
      <c r="BT3181" s="32"/>
      <c r="BU3181" s="32"/>
      <c r="BV3181" s="32"/>
      <c r="BW3181" s="32"/>
      <c r="BX3181" s="32"/>
      <c r="BY3181" s="32"/>
      <c r="BZ3181" s="32"/>
      <c r="CA3181" s="32"/>
      <c r="CB3181" s="32"/>
      <c r="CC3181" s="32"/>
      <c r="CD3181" s="32"/>
    </row>
    <row r="3182" ht="15.75" hidden="1" customHeight="1" outlineLevel="1">
      <c r="A3182" s="363"/>
      <c r="B3182" s="381"/>
      <c r="C3182" s="382">
        <v>0.0</v>
      </c>
      <c r="D3182" s="382">
        <v>0.0</v>
      </c>
      <c r="E3182" s="382">
        <v>0.0</v>
      </c>
      <c r="F3182" s="382">
        <v>0.0</v>
      </c>
      <c r="G3182" s="382">
        <v>0.0</v>
      </c>
      <c r="H3182" s="382">
        <v>0.0</v>
      </c>
      <c r="I3182" s="382">
        <v>0.0</v>
      </c>
      <c r="J3182" s="382">
        <v>0.0</v>
      </c>
      <c r="K3182" s="382">
        <v>0.0</v>
      </c>
      <c r="L3182" s="382">
        <v>0.0</v>
      </c>
      <c r="M3182" s="382">
        <v>0.0</v>
      </c>
      <c r="N3182" s="382">
        <v>0.0</v>
      </c>
      <c r="O3182" s="382">
        <v>0.0</v>
      </c>
      <c r="P3182" s="382">
        <v>0.0</v>
      </c>
      <c r="Q3182" s="382">
        <v>0.0</v>
      </c>
      <c r="R3182" s="382">
        <v>0.0</v>
      </c>
      <c r="S3182" s="382">
        <v>0.0</v>
      </c>
      <c r="T3182" s="382">
        <v>0.0</v>
      </c>
      <c r="U3182" s="382">
        <v>0.0</v>
      </c>
      <c r="V3182" s="382">
        <v>0.0</v>
      </c>
      <c r="W3182" s="382">
        <v>0.0</v>
      </c>
      <c r="X3182" s="382">
        <v>0.0</v>
      </c>
      <c r="Y3182" s="382">
        <v>0.0</v>
      </c>
      <c r="Z3182" s="382">
        <v>0.0</v>
      </c>
      <c r="AA3182" s="382">
        <v>0.0</v>
      </c>
      <c r="AB3182" s="382">
        <v>0.0</v>
      </c>
      <c r="AC3182" s="382">
        <v>0.0</v>
      </c>
      <c r="AD3182" s="382">
        <v>0.0</v>
      </c>
      <c r="AE3182" s="382">
        <v>0.0</v>
      </c>
      <c r="AF3182" s="382">
        <v>0.0</v>
      </c>
      <c r="AG3182" s="382">
        <v>0.0</v>
      </c>
      <c r="AH3182" s="382">
        <v>0.0</v>
      </c>
      <c r="AI3182" s="382">
        <v>0.0</v>
      </c>
      <c r="AJ3182" s="382">
        <v>0.0</v>
      </c>
      <c r="AK3182" s="382">
        <v>0.0</v>
      </c>
      <c r="AL3182" s="382">
        <v>0.0</v>
      </c>
      <c r="AM3182" s="382">
        <v>0.0</v>
      </c>
      <c r="AN3182" s="382">
        <v>0.0</v>
      </c>
      <c r="AO3182" s="382">
        <v>0.0</v>
      </c>
      <c r="AP3182" s="382">
        <v>0.0</v>
      </c>
      <c r="AQ3182" s="382">
        <v>0.0</v>
      </c>
      <c r="AR3182" s="382">
        <v>0.0</v>
      </c>
      <c r="AS3182" s="382">
        <v>0.0</v>
      </c>
      <c r="AT3182" s="382">
        <v>0.0</v>
      </c>
      <c r="AU3182" s="382">
        <v>0.0</v>
      </c>
      <c r="AV3182" s="382">
        <v>0.0</v>
      </c>
      <c r="AW3182" s="382">
        <v>0.0</v>
      </c>
      <c r="AX3182" s="382">
        <v>0.0</v>
      </c>
      <c r="AY3182" s="382">
        <v>0.0</v>
      </c>
      <c r="AZ3182" s="382">
        <v>0.0</v>
      </c>
      <c r="BA3182" s="382">
        <v>0.0</v>
      </c>
      <c r="BB3182" s="372">
        <f>$AR3032*'Assumptions (T&amp;D) old'!L$104</f>
        <v>0</v>
      </c>
      <c r="BC3182" s="372">
        <f>$AR3032*'Assumptions (T&amp;D) old'!M$104</f>
        <v>0</v>
      </c>
      <c r="BD3182" s="372">
        <f>$AR3032*'Assumptions (T&amp;D) old'!N$104</f>
        <v>0</v>
      </c>
      <c r="BE3182" s="372">
        <f>$AR3032*'Assumptions (T&amp;D) old'!O$104</f>
        <v>0</v>
      </c>
      <c r="BF3182" s="372">
        <f>$AR3032*'Assumptions (T&amp;D) old'!P$104</f>
        <v>0</v>
      </c>
      <c r="BG3182" s="372">
        <f>$AR3032*'Assumptions (T&amp;D) old'!Q$104</f>
        <v>0</v>
      </c>
      <c r="BH3182" s="372">
        <f>$AR3032*'Assumptions (T&amp;D) old'!R$104</f>
        <v>0</v>
      </c>
      <c r="BI3182" s="372">
        <f>$AR3032*'Assumptions (T&amp;D) old'!S$104</f>
        <v>0</v>
      </c>
      <c r="BJ3182" s="372">
        <f>$AR3032*'Assumptions (T&amp;D) old'!T$104</f>
        <v>0</v>
      </c>
      <c r="BK3182" s="372">
        <f>$AR3032*'Assumptions (T&amp;D) old'!U$104</f>
        <v>0</v>
      </c>
      <c r="BL3182" s="372">
        <f>$AR3032*'Assumptions (T&amp;D) old'!V$104</f>
        <v>0</v>
      </c>
      <c r="BM3182" s="32"/>
      <c r="BN3182" s="32"/>
      <c r="BO3182" s="32"/>
      <c r="BP3182" s="32"/>
      <c r="BQ3182" s="32"/>
      <c r="BR3182" s="32"/>
      <c r="BS3182" s="32"/>
      <c r="BT3182" s="32"/>
      <c r="BU3182" s="32"/>
      <c r="BV3182" s="32"/>
      <c r="BW3182" s="32"/>
      <c r="BX3182" s="32"/>
      <c r="BY3182" s="32"/>
      <c r="BZ3182" s="32"/>
      <c r="CA3182" s="32"/>
      <c r="CB3182" s="32"/>
      <c r="CC3182" s="32"/>
      <c r="CD3182" s="32"/>
    </row>
    <row r="3183" ht="15.75" hidden="1" customHeight="1" outlineLevel="1">
      <c r="A3183" s="363"/>
      <c r="B3183" s="381"/>
      <c r="C3183" s="382">
        <v>0.0</v>
      </c>
      <c r="D3183" s="382">
        <v>0.0</v>
      </c>
      <c r="E3183" s="382">
        <v>0.0</v>
      </c>
      <c r="F3183" s="382">
        <v>0.0</v>
      </c>
      <c r="G3183" s="382">
        <v>0.0</v>
      </c>
      <c r="H3183" s="382">
        <v>0.0</v>
      </c>
      <c r="I3183" s="382">
        <v>0.0</v>
      </c>
      <c r="J3183" s="382">
        <v>0.0</v>
      </c>
      <c r="K3183" s="382">
        <v>0.0</v>
      </c>
      <c r="L3183" s="382">
        <v>0.0</v>
      </c>
      <c r="M3183" s="382">
        <v>0.0</v>
      </c>
      <c r="N3183" s="382">
        <v>0.0</v>
      </c>
      <c r="O3183" s="382">
        <v>0.0</v>
      </c>
      <c r="P3183" s="382">
        <v>0.0</v>
      </c>
      <c r="Q3183" s="382">
        <v>0.0</v>
      </c>
      <c r="R3183" s="382">
        <v>0.0</v>
      </c>
      <c r="S3183" s="382">
        <v>0.0</v>
      </c>
      <c r="T3183" s="382">
        <v>0.0</v>
      </c>
      <c r="U3183" s="382">
        <v>0.0</v>
      </c>
      <c r="V3183" s="382">
        <v>0.0</v>
      </c>
      <c r="W3183" s="382">
        <v>0.0</v>
      </c>
      <c r="X3183" s="382">
        <v>0.0</v>
      </c>
      <c r="Y3183" s="382">
        <v>0.0</v>
      </c>
      <c r="Z3183" s="382">
        <v>0.0</v>
      </c>
      <c r="AA3183" s="382">
        <v>0.0</v>
      </c>
      <c r="AB3183" s="382">
        <v>0.0</v>
      </c>
      <c r="AC3183" s="382">
        <v>0.0</v>
      </c>
      <c r="AD3183" s="382">
        <v>0.0</v>
      </c>
      <c r="AE3183" s="382">
        <v>0.0</v>
      </c>
      <c r="AF3183" s="382">
        <v>0.0</v>
      </c>
      <c r="AG3183" s="382">
        <v>0.0</v>
      </c>
      <c r="AH3183" s="382">
        <v>0.0</v>
      </c>
      <c r="AI3183" s="382">
        <v>0.0</v>
      </c>
      <c r="AJ3183" s="382">
        <v>0.0</v>
      </c>
      <c r="AK3183" s="382">
        <v>0.0</v>
      </c>
      <c r="AL3183" s="382">
        <v>0.0</v>
      </c>
      <c r="AM3183" s="382">
        <v>0.0</v>
      </c>
      <c r="AN3183" s="382">
        <v>0.0</v>
      </c>
      <c r="AO3183" s="382">
        <v>0.0</v>
      </c>
      <c r="AP3183" s="382">
        <v>0.0</v>
      </c>
      <c r="AQ3183" s="382">
        <v>0.0</v>
      </c>
      <c r="AR3183" s="382">
        <v>0.0</v>
      </c>
      <c r="AS3183" s="382">
        <v>0.0</v>
      </c>
      <c r="AT3183" s="382">
        <v>0.0</v>
      </c>
      <c r="AU3183" s="382">
        <v>0.0</v>
      </c>
      <c r="AV3183" s="382">
        <v>0.0</v>
      </c>
      <c r="AW3183" s="382">
        <v>0.0</v>
      </c>
      <c r="AX3183" s="382">
        <v>0.0</v>
      </c>
      <c r="AY3183" s="382">
        <v>0.0</v>
      </c>
      <c r="AZ3183" s="382">
        <v>0.0</v>
      </c>
      <c r="BA3183" s="382">
        <v>0.0</v>
      </c>
      <c r="BB3183" s="372">
        <f>$AS3032*'Assumptions (T&amp;D) old'!K$104</f>
        <v>0</v>
      </c>
      <c r="BC3183" s="372">
        <f>$AS3032*'Assumptions (T&amp;D) old'!L$104</f>
        <v>0</v>
      </c>
      <c r="BD3183" s="372">
        <f>$AS3032*'Assumptions (T&amp;D) old'!M$104</f>
        <v>0</v>
      </c>
      <c r="BE3183" s="372">
        <f>$AS3032*'Assumptions (T&amp;D) old'!N$104</f>
        <v>0</v>
      </c>
      <c r="BF3183" s="372">
        <f>$AS3032*'Assumptions (T&amp;D) old'!O$104</f>
        <v>0</v>
      </c>
      <c r="BG3183" s="372">
        <f>$AS3032*'Assumptions (T&amp;D) old'!P$104</f>
        <v>0</v>
      </c>
      <c r="BH3183" s="372">
        <f>$AS3032*'Assumptions (T&amp;D) old'!Q$104</f>
        <v>0</v>
      </c>
      <c r="BI3183" s="372">
        <f>$AS3032*'Assumptions (T&amp;D) old'!R$104</f>
        <v>0</v>
      </c>
      <c r="BJ3183" s="372">
        <f>$AS3032*'Assumptions (T&amp;D) old'!S$104</f>
        <v>0</v>
      </c>
      <c r="BK3183" s="372">
        <f>$AS3032*'Assumptions (T&amp;D) old'!T$104</f>
        <v>0</v>
      </c>
      <c r="BL3183" s="372">
        <f>$AS3032*'Assumptions (T&amp;D) old'!U$104</f>
        <v>0</v>
      </c>
      <c r="BM3183" s="372">
        <f>$AS3032*'Assumptions (T&amp;D) old'!V$104</f>
        <v>0</v>
      </c>
      <c r="BN3183" s="32"/>
      <c r="BO3183" s="32"/>
      <c r="BP3183" s="32"/>
      <c r="BQ3183" s="32"/>
      <c r="BR3183" s="32"/>
      <c r="BS3183" s="32"/>
      <c r="BT3183" s="32"/>
      <c r="BU3183" s="32"/>
      <c r="BV3183" s="32"/>
      <c r="BW3183" s="32"/>
      <c r="BX3183" s="32"/>
      <c r="BY3183" s="32"/>
      <c r="BZ3183" s="32"/>
      <c r="CA3183" s="32"/>
      <c r="CB3183" s="32"/>
      <c r="CC3183" s="32"/>
      <c r="CD3183" s="32"/>
    </row>
    <row r="3184" ht="15.75" hidden="1" customHeight="1" outlineLevel="1">
      <c r="A3184" s="363"/>
      <c r="B3184" s="381"/>
      <c r="C3184" s="382">
        <v>0.0</v>
      </c>
      <c r="D3184" s="382">
        <v>0.0</v>
      </c>
      <c r="E3184" s="382">
        <v>0.0</v>
      </c>
      <c r="F3184" s="382">
        <v>0.0</v>
      </c>
      <c r="G3184" s="382">
        <v>0.0</v>
      </c>
      <c r="H3184" s="382">
        <v>0.0</v>
      </c>
      <c r="I3184" s="382">
        <v>0.0</v>
      </c>
      <c r="J3184" s="382">
        <v>0.0</v>
      </c>
      <c r="K3184" s="382">
        <v>0.0</v>
      </c>
      <c r="L3184" s="382">
        <v>0.0</v>
      </c>
      <c r="M3184" s="382">
        <v>0.0</v>
      </c>
      <c r="N3184" s="382">
        <v>0.0</v>
      </c>
      <c r="O3184" s="382">
        <v>0.0</v>
      </c>
      <c r="P3184" s="382">
        <v>0.0</v>
      </c>
      <c r="Q3184" s="382">
        <v>0.0</v>
      </c>
      <c r="R3184" s="382">
        <v>0.0</v>
      </c>
      <c r="S3184" s="382">
        <v>0.0</v>
      </c>
      <c r="T3184" s="382">
        <v>0.0</v>
      </c>
      <c r="U3184" s="382">
        <v>0.0</v>
      </c>
      <c r="V3184" s="382">
        <v>0.0</v>
      </c>
      <c r="W3184" s="382">
        <v>0.0</v>
      </c>
      <c r="X3184" s="382">
        <v>0.0</v>
      </c>
      <c r="Y3184" s="382">
        <v>0.0</v>
      </c>
      <c r="Z3184" s="382">
        <v>0.0</v>
      </c>
      <c r="AA3184" s="382">
        <v>0.0</v>
      </c>
      <c r="AB3184" s="382">
        <v>0.0</v>
      </c>
      <c r="AC3184" s="382">
        <v>0.0</v>
      </c>
      <c r="AD3184" s="382">
        <v>0.0</v>
      </c>
      <c r="AE3184" s="382">
        <v>0.0</v>
      </c>
      <c r="AF3184" s="382">
        <v>0.0</v>
      </c>
      <c r="AG3184" s="382">
        <v>0.0</v>
      </c>
      <c r="AH3184" s="382">
        <v>0.0</v>
      </c>
      <c r="AI3184" s="382">
        <v>0.0</v>
      </c>
      <c r="AJ3184" s="382">
        <v>0.0</v>
      </c>
      <c r="AK3184" s="382">
        <v>0.0</v>
      </c>
      <c r="AL3184" s="382">
        <v>0.0</v>
      </c>
      <c r="AM3184" s="382">
        <v>0.0</v>
      </c>
      <c r="AN3184" s="382">
        <v>0.0</v>
      </c>
      <c r="AO3184" s="382">
        <v>0.0</v>
      </c>
      <c r="AP3184" s="382">
        <v>0.0</v>
      </c>
      <c r="AQ3184" s="382">
        <v>0.0</v>
      </c>
      <c r="AR3184" s="382">
        <v>0.0</v>
      </c>
      <c r="AS3184" s="382">
        <v>0.0</v>
      </c>
      <c r="AT3184" s="382">
        <v>0.0</v>
      </c>
      <c r="AU3184" s="382">
        <v>0.0</v>
      </c>
      <c r="AV3184" s="382">
        <v>0.0</v>
      </c>
      <c r="AW3184" s="382">
        <v>0.0</v>
      </c>
      <c r="AX3184" s="382">
        <v>0.0</v>
      </c>
      <c r="AY3184" s="382">
        <v>0.0</v>
      </c>
      <c r="AZ3184" s="382">
        <v>0.0</v>
      </c>
      <c r="BA3184" s="382">
        <v>0.0</v>
      </c>
      <c r="BB3184" s="372">
        <f>$AT3032*'Assumptions (T&amp;D) old'!J$104</f>
        <v>0</v>
      </c>
      <c r="BC3184" s="372">
        <f>$AT3032*'Assumptions (T&amp;D) old'!K$104</f>
        <v>0</v>
      </c>
      <c r="BD3184" s="372">
        <f>$AT3032*'Assumptions (T&amp;D) old'!L$104</f>
        <v>0</v>
      </c>
      <c r="BE3184" s="372">
        <f>$AT3032*'Assumptions (T&amp;D) old'!M$104</f>
        <v>0</v>
      </c>
      <c r="BF3184" s="372">
        <f>$AT3032*'Assumptions (T&amp;D) old'!N$104</f>
        <v>0</v>
      </c>
      <c r="BG3184" s="372">
        <f>$AT3032*'Assumptions (T&amp;D) old'!O$104</f>
        <v>0</v>
      </c>
      <c r="BH3184" s="372">
        <f>$AT3032*'Assumptions (T&amp;D) old'!P$104</f>
        <v>0</v>
      </c>
      <c r="BI3184" s="372">
        <f>$AT3032*'Assumptions (T&amp;D) old'!Q$104</f>
        <v>0</v>
      </c>
      <c r="BJ3184" s="372">
        <f>$AT3032*'Assumptions (T&amp;D) old'!R$104</f>
        <v>0</v>
      </c>
      <c r="BK3184" s="372">
        <f>$AT3032*'Assumptions (T&amp;D) old'!S$104</f>
        <v>0</v>
      </c>
      <c r="BL3184" s="372">
        <f>$AT3032*'Assumptions (T&amp;D) old'!T$104</f>
        <v>0</v>
      </c>
      <c r="BM3184" s="372">
        <f>$AT3032*'Assumptions (T&amp;D) old'!U$104</f>
        <v>0</v>
      </c>
      <c r="BN3184" s="372">
        <f>$AT3032*'Assumptions (T&amp;D) old'!V$104</f>
        <v>0</v>
      </c>
      <c r="BO3184" s="32"/>
      <c r="BP3184" s="32"/>
      <c r="BQ3184" s="32"/>
      <c r="BR3184" s="32"/>
      <c r="BS3184" s="32"/>
      <c r="BT3184" s="32"/>
      <c r="BU3184" s="32"/>
      <c r="BV3184" s="32"/>
      <c r="BW3184" s="32"/>
      <c r="BX3184" s="32"/>
      <c r="BY3184" s="32"/>
      <c r="BZ3184" s="32"/>
      <c r="CA3184" s="32"/>
      <c r="CB3184" s="32"/>
      <c r="CC3184" s="32"/>
      <c r="CD3184" s="32"/>
    </row>
    <row r="3185" ht="15.75" hidden="1" customHeight="1" outlineLevel="1">
      <c r="A3185" s="363"/>
      <c r="B3185" s="381"/>
      <c r="C3185" s="382">
        <v>0.0</v>
      </c>
      <c r="D3185" s="382">
        <v>0.0</v>
      </c>
      <c r="E3185" s="382">
        <v>0.0</v>
      </c>
      <c r="F3185" s="382">
        <v>0.0</v>
      </c>
      <c r="G3185" s="382">
        <v>0.0</v>
      </c>
      <c r="H3185" s="382">
        <v>0.0</v>
      </c>
      <c r="I3185" s="382">
        <v>0.0</v>
      </c>
      <c r="J3185" s="382">
        <v>0.0</v>
      </c>
      <c r="K3185" s="382">
        <v>0.0</v>
      </c>
      <c r="L3185" s="382">
        <v>0.0</v>
      </c>
      <c r="M3185" s="382">
        <v>0.0</v>
      </c>
      <c r="N3185" s="382">
        <v>0.0</v>
      </c>
      <c r="O3185" s="382">
        <v>0.0</v>
      </c>
      <c r="P3185" s="382">
        <v>0.0</v>
      </c>
      <c r="Q3185" s="382">
        <v>0.0</v>
      </c>
      <c r="R3185" s="382">
        <v>0.0</v>
      </c>
      <c r="S3185" s="382">
        <v>0.0</v>
      </c>
      <c r="T3185" s="382">
        <v>0.0</v>
      </c>
      <c r="U3185" s="382">
        <v>0.0</v>
      </c>
      <c r="V3185" s="382">
        <v>0.0</v>
      </c>
      <c r="W3185" s="382">
        <v>0.0</v>
      </c>
      <c r="X3185" s="382">
        <v>0.0</v>
      </c>
      <c r="Y3185" s="382">
        <v>0.0</v>
      </c>
      <c r="Z3185" s="382">
        <v>0.0</v>
      </c>
      <c r="AA3185" s="382">
        <v>0.0</v>
      </c>
      <c r="AB3185" s="382">
        <v>0.0</v>
      </c>
      <c r="AC3185" s="382">
        <v>0.0</v>
      </c>
      <c r="AD3185" s="382">
        <v>0.0</v>
      </c>
      <c r="AE3185" s="382">
        <v>0.0</v>
      </c>
      <c r="AF3185" s="382">
        <v>0.0</v>
      </c>
      <c r="AG3185" s="382">
        <v>0.0</v>
      </c>
      <c r="AH3185" s="382">
        <v>0.0</v>
      </c>
      <c r="AI3185" s="382">
        <v>0.0</v>
      </c>
      <c r="AJ3185" s="382">
        <v>0.0</v>
      </c>
      <c r="AK3185" s="382">
        <v>0.0</v>
      </c>
      <c r="AL3185" s="382">
        <v>0.0</v>
      </c>
      <c r="AM3185" s="382">
        <v>0.0</v>
      </c>
      <c r="AN3185" s="382">
        <v>0.0</v>
      </c>
      <c r="AO3185" s="382">
        <v>0.0</v>
      </c>
      <c r="AP3185" s="382">
        <v>0.0</v>
      </c>
      <c r="AQ3185" s="382">
        <v>0.0</v>
      </c>
      <c r="AR3185" s="382">
        <v>0.0</v>
      </c>
      <c r="AS3185" s="382">
        <v>0.0</v>
      </c>
      <c r="AT3185" s="382">
        <v>0.0</v>
      </c>
      <c r="AU3185" s="382">
        <v>0.0</v>
      </c>
      <c r="AV3185" s="382">
        <v>0.0</v>
      </c>
      <c r="AW3185" s="382">
        <v>0.0</v>
      </c>
      <c r="AX3185" s="382">
        <v>0.0</v>
      </c>
      <c r="AY3185" s="382">
        <v>0.0</v>
      </c>
      <c r="AZ3185" s="382">
        <v>0.0</v>
      </c>
      <c r="BA3185" s="382">
        <v>0.0</v>
      </c>
      <c r="BB3185" s="372">
        <f>$AU3032*'Assumptions (T&amp;D) old'!I$104</f>
        <v>0</v>
      </c>
      <c r="BC3185" s="372">
        <f>$AU3032*'Assumptions (T&amp;D) old'!J$104</f>
        <v>0</v>
      </c>
      <c r="BD3185" s="372">
        <f>$AU3032*'Assumptions (T&amp;D) old'!K$104</f>
        <v>0</v>
      </c>
      <c r="BE3185" s="372">
        <f>$AU3032*'Assumptions (T&amp;D) old'!L$104</f>
        <v>0</v>
      </c>
      <c r="BF3185" s="372">
        <f>$AU3032*'Assumptions (T&amp;D) old'!M$104</f>
        <v>0</v>
      </c>
      <c r="BG3185" s="372">
        <f>$AU3032*'Assumptions (T&amp;D) old'!N$104</f>
        <v>0</v>
      </c>
      <c r="BH3185" s="372">
        <f>$AU3032*'Assumptions (T&amp;D) old'!O$104</f>
        <v>0</v>
      </c>
      <c r="BI3185" s="372">
        <f>$AU3032*'Assumptions (T&amp;D) old'!P$104</f>
        <v>0</v>
      </c>
      <c r="BJ3185" s="372">
        <f>$AU3032*'Assumptions (T&amp;D) old'!Q$104</f>
        <v>0</v>
      </c>
      <c r="BK3185" s="372">
        <f>$AU3032*'Assumptions (T&amp;D) old'!R$104</f>
        <v>0</v>
      </c>
      <c r="BL3185" s="372">
        <f>$AU3032*'Assumptions (T&amp;D) old'!S$104</f>
        <v>0</v>
      </c>
      <c r="BM3185" s="372">
        <f>$AU3032*'Assumptions (T&amp;D) old'!T$104</f>
        <v>0</v>
      </c>
      <c r="BN3185" s="372">
        <f>$AU3032*'Assumptions (T&amp;D) old'!U$104</f>
        <v>0</v>
      </c>
      <c r="BO3185" s="372">
        <f>$AU3032*'Assumptions (T&amp;D) old'!V$104</f>
        <v>0</v>
      </c>
      <c r="BP3185" s="32"/>
      <c r="BQ3185" s="32"/>
      <c r="BR3185" s="32"/>
      <c r="BS3185" s="32"/>
      <c r="BT3185" s="32"/>
      <c r="BU3185" s="32"/>
      <c r="BV3185" s="32"/>
      <c r="BW3185" s="32"/>
      <c r="BX3185" s="32"/>
      <c r="BY3185" s="32"/>
      <c r="BZ3185" s="32"/>
      <c r="CA3185" s="32"/>
      <c r="CB3185" s="32"/>
      <c r="CC3185" s="32"/>
      <c r="CD3185" s="32"/>
    </row>
    <row r="3186" ht="15.75" hidden="1" customHeight="1" outlineLevel="1">
      <c r="A3186" s="363"/>
      <c r="B3186" s="381"/>
      <c r="C3186" s="382">
        <v>0.0</v>
      </c>
      <c r="D3186" s="382">
        <v>0.0</v>
      </c>
      <c r="E3186" s="382">
        <v>0.0</v>
      </c>
      <c r="F3186" s="382">
        <v>0.0</v>
      </c>
      <c r="G3186" s="382">
        <v>0.0</v>
      </c>
      <c r="H3186" s="382">
        <v>0.0</v>
      </c>
      <c r="I3186" s="382">
        <v>0.0</v>
      </c>
      <c r="J3186" s="382">
        <v>0.0</v>
      </c>
      <c r="K3186" s="382">
        <v>0.0</v>
      </c>
      <c r="L3186" s="382">
        <v>0.0</v>
      </c>
      <c r="M3186" s="382">
        <v>0.0</v>
      </c>
      <c r="N3186" s="382">
        <v>0.0</v>
      </c>
      <c r="O3186" s="382">
        <v>0.0</v>
      </c>
      <c r="P3186" s="382">
        <v>0.0</v>
      </c>
      <c r="Q3186" s="382">
        <v>0.0</v>
      </c>
      <c r="R3186" s="382">
        <v>0.0</v>
      </c>
      <c r="S3186" s="382">
        <v>0.0</v>
      </c>
      <c r="T3186" s="382">
        <v>0.0</v>
      </c>
      <c r="U3186" s="382">
        <v>0.0</v>
      </c>
      <c r="V3186" s="382">
        <v>0.0</v>
      </c>
      <c r="W3186" s="382">
        <v>0.0</v>
      </c>
      <c r="X3186" s="382">
        <v>0.0</v>
      </c>
      <c r="Y3186" s="382">
        <v>0.0</v>
      </c>
      <c r="Z3186" s="382">
        <v>0.0</v>
      </c>
      <c r="AA3186" s="382">
        <v>0.0</v>
      </c>
      <c r="AB3186" s="382">
        <v>0.0</v>
      </c>
      <c r="AC3186" s="382">
        <v>0.0</v>
      </c>
      <c r="AD3186" s="382">
        <v>0.0</v>
      </c>
      <c r="AE3186" s="382">
        <v>0.0</v>
      </c>
      <c r="AF3186" s="382">
        <v>0.0</v>
      </c>
      <c r="AG3186" s="382">
        <v>0.0</v>
      </c>
      <c r="AH3186" s="382">
        <v>0.0</v>
      </c>
      <c r="AI3186" s="382">
        <v>0.0</v>
      </c>
      <c r="AJ3186" s="382">
        <v>0.0</v>
      </c>
      <c r="AK3186" s="382">
        <v>0.0</v>
      </c>
      <c r="AL3186" s="382">
        <v>0.0</v>
      </c>
      <c r="AM3186" s="382">
        <v>0.0</v>
      </c>
      <c r="AN3186" s="382">
        <v>0.0</v>
      </c>
      <c r="AO3186" s="382">
        <v>0.0</v>
      </c>
      <c r="AP3186" s="382">
        <v>0.0</v>
      </c>
      <c r="AQ3186" s="382">
        <v>0.0</v>
      </c>
      <c r="AR3186" s="382">
        <v>0.0</v>
      </c>
      <c r="AS3186" s="382">
        <v>0.0</v>
      </c>
      <c r="AT3186" s="382">
        <v>0.0</v>
      </c>
      <c r="AU3186" s="382">
        <v>0.0</v>
      </c>
      <c r="AV3186" s="382">
        <v>0.0</v>
      </c>
      <c r="AW3186" s="382">
        <v>0.0</v>
      </c>
      <c r="AX3186" s="382">
        <v>0.0</v>
      </c>
      <c r="AY3186" s="382">
        <v>0.0</v>
      </c>
      <c r="AZ3186" s="382">
        <v>0.0</v>
      </c>
      <c r="BA3186" s="382">
        <v>0.0</v>
      </c>
      <c r="BB3186" s="372">
        <f>$AV3032*'Assumptions (T&amp;D) old'!H$104</f>
        <v>0</v>
      </c>
      <c r="BC3186" s="372">
        <f>$AV3032*'Assumptions (T&amp;D) old'!I$104</f>
        <v>0</v>
      </c>
      <c r="BD3186" s="372">
        <f>$AV3032*'Assumptions (T&amp;D) old'!J$104</f>
        <v>0</v>
      </c>
      <c r="BE3186" s="372">
        <f>$AV3032*'Assumptions (T&amp;D) old'!K$104</f>
        <v>0</v>
      </c>
      <c r="BF3186" s="372">
        <f>$AV3032*'Assumptions (T&amp;D) old'!L$104</f>
        <v>0</v>
      </c>
      <c r="BG3186" s="372">
        <f>$AV3032*'Assumptions (T&amp;D) old'!M$104</f>
        <v>0</v>
      </c>
      <c r="BH3186" s="372">
        <f>$AV3032*'Assumptions (T&amp;D) old'!N$104</f>
        <v>0</v>
      </c>
      <c r="BI3186" s="372">
        <f>$AV3032*'Assumptions (T&amp;D) old'!O$104</f>
        <v>0</v>
      </c>
      <c r="BJ3186" s="372">
        <f>$AV3032*'Assumptions (T&amp;D) old'!P$104</f>
        <v>0</v>
      </c>
      <c r="BK3186" s="372">
        <f>$AV3032*'Assumptions (T&amp;D) old'!Q$104</f>
        <v>0</v>
      </c>
      <c r="BL3186" s="372">
        <f>$AV3032*'Assumptions (T&amp;D) old'!R$104</f>
        <v>0</v>
      </c>
      <c r="BM3186" s="372">
        <f>$AV3032*'Assumptions (T&amp;D) old'!S$104</f>
        <v>0</v>
      </c>
      <c r="BN3186" s="372">
        <f>$AV3032*'Assumptions (T&amp;D) old'!T$104</f>
        <v>0</v>
      </c>
      <c r="BO3186" s="372">
        <f>$AV3032*'Assumptions (T&amp;D) old'!U$104</f>
        <v>0</v>
      </c>
      <c r="BP3186" s="372">
        <f>$AV3032*'Assumptions (T&amp;D) old'!V$104</f>
        <v>0</v>
      </c>
      <c r="BQ3186" s="32"/>
      <c r="BR3186" s="32"/>
      <c r="BS3186" s="32"/>
      <c r="BT3186" s="32"/>
      <c r="BU3186" s="32"/>
      <c r="BV3186" s="32"/>
      <c r="BW3186" s="32"/>
      <c r="BX3186" s="32"/>
      <c r="BY3186" s="32"/>
      <c r="BZ3186" s="32"/>
      <c r="CA3186" s="32"/>
      <c r="CB3186" s="32"/>
      <c r="CC3186" s="32"/>
      <c r="CD3186" s="32"/>
    </row>
    <row r="3187" ht="15.75" hidden="1" customHeight="1" outlineLevel="1">
      <c r="A3187" s="363"/>
      <c r="B3187" s="381"/>
      <c r="C3187" s="382">
        <v>0.0</v>
      </c>
      <c r="D3187" s="382">
        <v>0.0</v>
      </c>
      <c r="E3187" s="382">
        <v>0.0</v>
      </c>
      <c r="F3187" s="382">
        <v>0.0</v>
      </c>
      <c r="G3187" s="382">
        <v>0.0</v>
      </c>
      <c r="H3187" s="382">
        <v>0.0</v>
      </c>
      <c r="I3187" s="382">
        <v>0.0</v>
      </c>
      <c r="J3187" s="382">
        <v>0.0</v>
      </c>
      <c r="K3187" s="382">
        <v>0.0</v>
      </c>
      <c r="L3187" s="382">
        <v>0.0</v>
      </c>
      <c r="M3187" s="382">
        <v>0.0</v>
      </c>
      <c r="N3187" s="382">
        <v>0.0</v>
      </c>
      <c r="O3187" s="382">
        <v>0.0</v>
      </c>
      <c r="P3187" s="382">
        <v>0.0</v>
      </c>
      <c r="Q3187" s="382">
        <v>0.0</v>
      </c>
      <c r="R3187" s="382">
        <v>0.0</v>
      </c>
      <c r="S3187" s="382">
        <v>0.0</v>
      </c>
      <c r="T3187" s="382">
        <v>0.0</v>
      </c>
      <c r="U3187" s="382">
        <v>0.0</v>
      </c>
      <c r="V3187" s="382">
        <v>0.0</v>
      </c>
      <c r="W3187" s="382">
        <v>0.0</v>
      </c>
      <c r="X3187" s="382">
        <v>0.0</v>
      </c>
      <c r="Y3187" s="382">
        <v>0.0</v>
      </c>
      <c r="Z3187" s="382">
        <v>0.0</v>
      </c>
      <c r="AA3187" s="382">
        <v>0.0</v>
      </c>
      <c r="AB3187" s="382">
        <v>0.0</v>
      </c>
      <c r="AC3187" s="382">
        <v>0.0</v>
      </c>
      <c r="AD3187" s="382">
        <v>0.0</v>
      </c>
      <c r="AE3187" s="382">
        <v>0.0</v>
      </c>
      <c r="AF3187" s="382">
        <v>0.0</v>
      </c>
      <c r="AG3187" s="382">
        <v>0.0</v>
      </c>
      <c r="AH3187" s="382">
        <v>0.0</v>
      </c>
      <c r="AI3187" s="382">
        <v>0.0</v>
      </c>
      <c r="AJ3187" s="382">
        <v>0.0</v>
      </c>
      <c r="AK3187" s="382">
        <v>0.0</v>
      </c>
      <c r="AL3187" s="382">
        <v>0.0</v>
      </c>
      <c r="AM3187" s="382">
        <v>0.0</v>
      </c>
      <c r="AN3187" s="382">
        <v>0.0</v>
      </c>
      <c r="AO3187" s="382">
        <v>0.0</v>
      </c>
      <c r="AP3187" s="382">
        <v>0.0</v>
      </c>
      <c r="AQ3187" s="382">
        <v>0.0</v>
      </c>
      <c r="AR3187" s="382">
        <v>0.0</v>
      </c>
      <c r="AS3187" s="382">
        <v>0.0</v>
      </c>
      <c r="AT3187" s="382">
        <v>0.0</v>
      </c>
      <c r="AU3187" s="382">
        <v>0.0</v>
      </c>
      <c r="AV3187" s="382">
        <v>0.0</v>
      </c>
      <c r="AW3187" s="382">
        <v>0.0</v>
      </c>
      <c r="AX3187" s="382">
        <v>0.0</v>
      </c>
      <c r="AY3187" s="382">
        <v>0.0</v>
      </c>
      <c r="AZ3187" s="382">
        <v>0.0</v>
      </c>
      <c r="BA3187" s="382">
        <v>0.0</v>
      </c>
      <c r="BB3187" s="372">
        <f>$AW3032*'Assumptions (T&amp;D) old'!G$104</f>
        <v>0</v>
      </c>
      <c r="BC3187" s="372">
        <f>$AW3032*'Assumptions (T&amp;D) old'!H$104</f>
        <v>0</v>
      </c>
      <c r="BD3187" s="372">
        <f>$AW3032*'Assumptions (T&amp;D) old'!I$104</f>
        <v>0</v>
      </c>
      <c r="BE3187" s="372">
        <f>$AW3032*'Assumptions (T&amp;D) old'!J$104</f>
        <v>0</v>
      </c>
      <c r="BF3187" s="372">
        <f>$AW3032*'Assumptions (T&amp;D) old'!K$104</f>
        <v>0</v>
      </c>
      <c r="BG3187" s="372">
        <f>$AW3032*'Assumptions (T&amp;D) old'!L$104</f>
        <v>0</v>
      </c>
      <c r="BH3187" s="372">
        <f>$AW3032*'Assumptions (T&amp;D) old'!M$104</f>
        <v>0</v>
      </c>
      <c r="BI3187" s="372">
        <f>$AW3032*'Assumptions (T&amp;D) old'!N$104</f>
        <v>0</v>
      </c>
      <c r="BJ3187" s="372">
        <f>$AW3032*'Assumptions (T&amp;D) old'!O$104</f>
        <v>0</v>
      </c>
      <c r="BK3187" s="372">
        <f>$AW3032*'Assumptions (T&amp;D) old'!P$104</f>
        <v>0</v>
      </c>
      <c r="BL3187" s="372">
        <f>$AW3032*'Assumptions (T&amp;D) old'!Q$104</f>
        <v>0</v>
      </c>
      <c r="BM3187" s="372">
        <f>$AW3032*'Assumptions (T&amp;D) old'!R$104</f>
        <v>0</v>
      </c>
      <c r="BN3187" s="372">
        <f>$AW3032*'Assumptions (T&amp;D) old'!S$104</f>
        <v>0</v>
      </c>
      <c r="BO3187" s="372">
        <f>$AW3032*'Assumptions (T&amp;D) old'!T$104</f>
        <v>0</v>
      </c>
      <c r="BP3187" s="372">
        <f>$AW3032*'Assumptions (T&amp;D) old'!U$104</f>
        <v>0</v>
      </c>
      <c r="BQ3187" s="372">
        <f>$AW3032*'Assumptions (T&amp;D) old'!V$104</f>
        <v>0</v>
      </c>
      <c r="BR3187" s="32"/>
      <c r="BS3187" s="32"/>
      <c r="BT3187" s="32"/>
      <c r="BU3187" s="32"/>
      <c r="BV3187" s="32"/>
      <c r="BW3187" s="32"/>
      <c r="BX3187" s="32"/>
      <c r="BY3187" s="32"/>
      <c r="BZ3187" s="32"/>
      <c r="CA3187" s="32"/>
      <c r="CB3187" s="32"/>
      <c r="CC3187" s="32"/>
      <c r="CD3187" s="32"/>
    </row>
    <row r="3188" ht="15.75" hidden="1" customHeight="1" outlineLevel="1">
      <c r="A3188" s="363"/>
      <c r="B3188" s="381"/>
      <c r="C3188" s="382">
        <v>0.0</v>
      </c>
      <c r="D3188" s="382">
        <v>0.0</v>
      </c>
      <c r="E3188" s="382">
        <v>0.0</v>
      </c>
      <c r="F3188" s="382">
        <v>0.0</v>
      </c>
      <c r="G3188" s="382">
        <v>0.0</v>
      </c>
      <c r="H3188" s="382">
        <v>0.0</v>
      </c>
      <c r="I3188" s="382">
        <v>0.0</v>
      </c>
      <c r="J3188" s="382">
        <v>0.0</v>
      </c>
      <c r="K3188" s="382">
        <v>0.0</v>
      </c>
      <c r="L3188" s="382">
        <v>0.0</v>
      </c>
      <c r="M3188" s="382">
        <v>0.0</v>
      </c>
      <c r="N3188" s="382">
        <v>0.0</v>
      </c>
      <c r="O3188" s="382">
        <v>0.0</v>
      </c>
      <c r="P3188" s="382">
        <v>0.0</v>
      </c>
      <c r="Q3188" s="382">
        <v>0.0</v>
      </c>
      <c r="R3188" s="382">
        <v>0.0</v>
      </c>
      <c r="S3188" s="382">
        <v>0.0</v>
      </c>
      <c r="T3188" s="382">
        <v>0.0</v>
      </c>
      <c r="U3188" s="382">
        <v>0.0</v>
      </c>
      <c r="V3188" s="382">
        <v>0.0</v>
      </c>
      <c r="W3188" s="382">
        <v>0.0</v>
      </c>
      <c r="X3188" s="382">
        <v>0.0</v>
      </c>
      <c r="Y3188" s="382">
        <v>0.0</v>
      </c>
      <c r="Z3188" s="382">
        <v>0.0</v>
      </c>
      <c r="AA3188" s="382">
        <v>0.0</v>
      </c>
      <c r="AB3188" s="382">
        <v>0.0</v>
      </c>
      <c r="AC3188" s="382">
        <v>0.0</v>
      </c>
      <c r="AD3188" s="382">
        <v>0.0</v>
      </c>
      <c r="AE3188" s="382">
        <v>0.0</v>
      </c>
      <c r="AF3188" s="382">
        <v>0.0</v>
      </c>
      <c r="AG3188" s="382">
        <v>0.0</v>
      </c>
      <c r="AH3188" s="382">
        <v>0.0</v>
      </c>
      <c r="AI3188" s="382">
        <v>0.0</v>
      </c>
      <c r="AJ3188" s="382">
        <v>0.0</v>
      </c>
      <c r="AK3188" s="382">
        <v>0.0</v>
      </c>
      <c r="AL3188" s="382">
        <v>0.0</v>
      </c>
      <c r="AM3188" s="382">
        <v>0.0</v>
      </c>
      <c r="AN3188" s="382">
        <v>0.0</v>
      </c>
      <c r="AO3188" s="382">
        <v>0.0</v>
      </c>
      <c r="AP3188" s="382">
        <v>0.0</v>
      </c>
      <c r="AQ3188" s="382">
        <v>0.0</v>
      </c>
      <c r="AR3188" s="382">
        <v>0.0</v>
      </c>
      <c r="AS3188" s="382">
        <v>0.0</v>
      </c>
      <c r="AT3188" s="382">
        <v>0.0</v>
      </c>
      <c r="AU3188" s="382">
        <v>0.0</v>
      </c>
      <c r="AV3188" s="382">
        <v>0.0</v>
      </c>
      <c r="AW3188" s="382">
        <v>0.0</v>
      </c>
      <c r="AX3188" s="382">
        <v>0.0</v>
      </c>
      <c r="AY3188" s="382">
        <v>0.0</v>
      </c>
      <c r="AZ3188" s="382">
        <v>0.0</v>
      </c>
      <c r="BA3188" s="382">
        <v>0.0</v>
      </c>
      <c r="BB3188" s="372">
        <f>$AX3032*'Assumptions (T&amp;D) old'!F$104</f>
        <v>0</v>
      </c>
      <c r="BC3188" s="372">
        <f>$AX3032*'Assumptions (T&amp;D) old'!G$104</f>
        <v>0</v>
      </c>
      <c r="BD3188" s="372">
        <f>$AX3032*'Assumptions (T&amp;D) old'!H$104</f>
        <v>0</v>
      </c>
      <c r="BE3188" s="372">
        <f>$AX3032*'Assumptions (T&amp;D) old'!I$104</f>
        <v>0</v>
      </c>
      <c r="BF3188" s="372">
        <f>$AX3032*'Assumptions (T&amp;D) old'!J$104</f>
        <v>0</v>
      </c>
      <c r="BG3188" s="372">
        <f>$AX3032*'Assumptions (T&amp;D) old'!K$104</f>
        <v>0</v>
      </c>
      <c r="BH3188" s="372">
        <f>$AX3032*'Assumptions (T&amp;D) old'!L$104</f>
        <v>0</v>
      </c>
      <c r="BI3188" s="372">
        <f>$AX3032*'Assumptions (T&amp;D) old'!M$104</f>
        <v>0</v>
      </c>
      <c r="BJ3188" s="372">
        <f>$AX3032*'Assumptions (T&amp;D) old'!N$104</f>
        <v>0</v>
      </c>
      <c r="BK3188" s="372">
        <f>$AX3032*'Assumptions (T&amp;D) old'!O$104</f>
        <v>0</v>
      </c>
      <c r="BL3188" s="372">
        <f>$AX3032*'Assumptions (T&amp;D) old'!P$104</f>
        <v>0</v>
      </c>
      <c r="BM3188" s="372">
        <f>$AX3032*'Assumptions (T&amp;D) old'!Q$104</f>
        <v>0</v>
      </c>
      <c r="BN3188" s="372">
        <f>$AX3032*'Assumptions (T&amp;D) old'!R$104</f>
        <v>0</v>
      </c>
      <c r="BO3188" s="372">
        <f>$AX3032*'Assumptions (T&amp;D) old'!S$104</f>
        <v>0</v>
      </c>
      <c r="BP3188" s="372">
        <f>$AX3032*'Assumptions (T&amp;D) old'!T$104</f>
        <v>0</v>
      </c>
      <c r="BQ3188" s="372">
        <f>$AX3032*'Assumptions (T&amp;D) old'!U$104</f>
        <v>0</v>
      </c>
      <c r="BR3188" s="372">
        <f>$AX3032*'Assumptions (T&amp;D) old'!V$104</f>
        <v>0</v>
      </c>
      <c r="BS3188" s="32"/>
      <c r="BT3188" s="32"/>
      <c r="BU3188" s="32"/>
      <c r="BV3188" s="32"/>
      <c r="BW3188" s="32"/>
      <c r="BX3188" s="32"/>
      <c r="BY3188" s="32"/>
      <c r="BZ3188" s="32"/>
      <c r="CA3188" s="32"/>
      <c r="CB3188" s="32"/>
      <c r="CC3188" s="32"/>
      <c r="CD3188" s="32"/>
    </row>
    <row r="3189" ht="15.75" hidden="1" customHeight="1" outlineLevel="1">
      <c r="A3189" s="363"/>
      <c r="B3189" s="381"/>
      <c r="C3189" s="382">
        <v>0.0</v>
      </c>
      <c r="D3189" s="382">
        <v>0.0</v>
      </c>
      <c r="E3189" s="382">
        <v>0.0</v>
      </c>
      <c r="F3189" s="382">
        <v>0.0</v>
      </c>
      <c r="G3189" s="382">
        <v>0.0</v>
      </c>
      <c r="H3189" s="382">
        <v>0.0</v>
      </c>
      <c r="I3189" s="382">
        <v>0.0</v>
      </c>
      <c r="J3189" s="382">
        <v>0.0</v>
      </c>
      <c r="K3189" s="382">
        <v>0.0</v>
      </c>
      <c r="L3189" s="382">
        <v>0.0</v>
      </c>
      <c r="M3189" s="382">
        <v>0.0</v>
      </c>
      <c r="N3189" s="382">
        <v>0.0</v>
      </c>
      <c r="O3189" s="382">
        <v>0.0</v>
      </c>
      <c r="P3189" s="382">
        <v>0.0</v>
      </c>
      <c r="Q3189" s="382">
        <v>0.0</v>
      </c>
      <c r="R3189" s="382">
        <v>0.0</v>
      </c>
      <c r="S3189" s="382">
        <v>0.0</v>
      </c>
      <c r="T3189" s="382">
        <v>0.0</v>
      </c>
      <c r="U3189" s="382">
        <v>0.0</v>
      </c>
      <c r="V3189" s="382">
        <v>0.0</v>
      </c>
      <c r="W3189" s="382">
        <v>0.0</v>
      </c>
      <c r="X3189" s="382">
        <v>0.0</v>
      </c>
      <c r="Y3189" s="382">
        <v>0.0</v>
      </c>
      <c r="Z3189" s="382">
        <v>0.0</v>
      </c>
      <c r="AA3189" s="382">
        <v>0.0</v>
      </c>
      <c r="AB3189" s="382">
        <v>0.0</v>
      </c>
      <c r="AC3189" s="382">
        <v>0.0</v>
      </c>
      <c r="AD3189" s="382">
        <v>0.0</v>
      </c>
      <c r="AE3189" s="382">
        <v>0.0</v>
      </c>
      <c r="AF3189" s="382">
        <v>0.0</v>
      </c>
      <c r="AG3189" s="382">
        <v>0.0</v>
      </c>
      <c r="AH3189" s="382">
        <v>0.0</v>
      </c>
      <c r="AI3189" s="382">
        <v>0.0</v>
      </c>
      <c r="AJ3189" s="382">
        <v>0.0</v>
      </c>
      <c r="AK3189" s="382">
        <v>0.0</v>
      </c>
      <c r="AL3189" s="382">
        <v>0.0</v>
      </c>
      <c r="AM3189" s="382">
        <v>0.0</v>
      </c>
      <c r="AN3189" s="382">
        <v>0.0</v>
      </c>
      <c r="AO3189" s="382">
        <v>0.0</v>
      </c>
      <c r="AP3189" s="382">
        <v>0.0</v>
      </c>
      <c r="AQ3189" s="382">
        <v>0.0</v>
      </c>
      <c r="AR3189" s="382">
        <v>0.0</v>
      </c>
      <c r="AS3189" s="382">
        <v>0.0</v>
      </c>
      <c r="AT3189" s="382">
        <v>0.0</v>
      </c>
      <c r="AU3189" s="382">
        <v>0.0</v>
      </c>
      <c r="AV3189" s="382">
        <v>0.0</v>
      </c>
      <c r="AW3189" s="382">
        <v>0.0</v>
      </c>
      <c r="AX3189" s="382">
        <v>0.0</v>
      </c>
      <c r="AY3189" s="382">
        <v>0.0</v>
      </c>
      <c r="AZ3189" s="382">
        <v>0.0</v>
      </c>
      <c r="BA3189" s="382">
        <v>0.0</v>
      </c>
      <c r="BB3189" s="372">
        <f>$AY3032*'Assumptions (T&amp;D) old'!E$104</f>
        <v>0</v>
      </c>
      <c r="BC3189" s="372">
        <f>$AY3032*'Assumptions (T&amp;D) old'!F$104</f>
        <v>0</v>
      </c>
      <c r="BD3189" s="372">
        <f>$AY3032*'Assumptions (T&amp;D) old'!G$104</f>
        <v>0</v>
      </c>
      <c r="BE3189" s="372">
        <f>$AY3032*'Assumptions (T&amp;D) old'!H$104</f>
        <v>0</v>
      </c>
      <c r="BF3189" s="372">
        <f>$AY3032*'Assumptions (T&amp;D) old'!I$104</f>
        <v>0</v>
      </c>
      <c r="BG3189" s="372">
        <f>$AY3032*'Assumptions (T&amp;D) old'!J$104</f>
        <v>0</v>
      </c>
      <c r="BH3189" s="372">
        <f>$AY3032*'Assumptions (T&amp;D) old'!K$104</f>
        <v>0</v>
      </c>
      <c r="BI3189" s="372">
        <f>$AY3032*'Assumptions (T&amp;D) old'!L$104</f>
        <v>0</v>
      </c>
      <c r="BJ3189" s="372">
        <f>$AY3032*'Assumptions (T&amp;D) old'!M$104</f>
        <v>0</v>
      </c>
      <c r="BK3189" s="372">
        <f>$AY3032*'Assumptions (T&amp;D) old'!N$104</f>
        <v>0</v>
      </c>
      <c r="BL3189" s="372">
        <f>$AY3032*'Assumptions (T&amp;D) old'!O$104</f>
        <v>0</v>
      </c>
      <c r="BM3189" s="372">
        <f>$AY3032*'Assumptions (T&amp;D) old'!P$104</f>
        <v>0</v>
      </c>
      <c r="BN3189" s="372">
        <f>$AY3032*'Assumptions (T&amp;D) old'!Q$104</f>
        <v>0</v>
      </c>
      <c r="BO3189" s="372">
        <f>$AY3032*'Assumptions (T&amp;D) old'!R$104</f>
        <v>0</v>
      </c>
      <c r="BP3189" s="372">
        <f>$AY3032*'Assumptions (T&amp;D) old'!S$104</f>
        <v>0</v>
      </c>
      <c r="BQ3189" s="372">
        <f>$AY3032*'Assumptions (T&amp;D) old'!T$104</f>
        <v>0</v>
      </c>
      <c r="BR3189" s="372">
        <f>$AY3032*'Assumptions (T&amp;D) old'!U$104</f>
        <v>0</v>
      </c>
      <c r="BS3189" s="372">
        <f>$AY3032*'Assumptions (T&amp;D) old'!V$104</f>
        <v>0</v>
      </c>
      <c r="BT3189" s="32"/>
      <c r="BU3189" s="32"/>
      <c r="BV3189" s="32"/>
      <c r="BW3189" s="32"/>
      <c r="BX3189" s="32"/>
      <c r="BY3189" s="32"/>
      <c r="BZ3189" s="32"/>
      <c r="CA3189" s="32"/>
      <c r="CB3189" s="32"/>
      <c r="CC3189" s="32"/>
      <c r="CD3189" s="32"/>
    </row>
    <row r="3190" ht="15.75" hidden="1" customHeight="1" outlineLevel="1">
      <c r="A3190" s="363"/>
      <c r="B3190" s="381"/>
      <c r="C3190" s="382">
        <v>0.0</v>
      </c>
      <c r="D3190" s="382">
        <v>0.0</v>
      </c>
      <c r="E3190" s="382">
        <v>0.0</v>
      </c>
      <c r="F3190" s="382">
        <v>0.0</v>
      </c>
      <c r="G3190" s="382">
        <v>0.0</v>
      </c>
      <c r="H3190" s="382">
        <v>0.0</v>
      </c>
      <c r="I3190" s="382">
        <v>0.0</v>
      </c>
      <c r="J3190" s="382">
        <v>0.0</v>
      </c>
      <c r="K3190" s="382">
        <v>0.0</v>
      </c>
      <c r="L3190" s="382">
        <v>0.0</v>
      </c>
      <c r="M3190" s="382">
        <v>0.0</v>
      </c>
      <c r="N3190" s="382">
        <v>0.0</v>
      </c>
      <c r="O3190" s="382">
        <v>0.0</v>
      </c>
      <c r="P3190" s="382">
        <v>0.0</v>
      </c>
      <c r="Q3190" s="382">
        <v>0.0</v>
      </c>
      <c r="R3190" s="382">
        <v>0.0</v>
      </c>
      <c r="S3190" s="382">
        <v>0.0</v>
      </c>
      <c r="T3190" s="382">
        <v>0.0</v>
      </c>
      <c r="U3190" s="382">
        <v>0.0</v>
      </c>
      <c r="V3190" s="382">
        <v>0.0</v>
      </c>
      <c r="W3190" s="382">
        <v>0.0</v>
      </c>
      <c r="X3190" s="382">
        <v>0.0</v>
      </c>
      <c r="Y3190" s="382">
        <v>0.0</v>
      </c>
      <c r="Z3190" s="382">
        <v>0.0</v>
      </c>
      <c r="AA3190" s="382">
        <v>0.0</v>
      </c>
      <c r="AB3190" s="382">
        <v>0.0</v>
      </c>
      <c r="AC3190" s="382">
        <v>0.0</v>
      </c>
      <c r="AD3190" s="382">
        <v>0.0</v>
      </c>
      <c r="AE3190" s="382">
        <v>0.0</v>
      </c>
      <c r="AF3190" s="382">
        <v>0.0</v>
      </c>
      <c r="AG3190" s="382">
        <v>0.0</v>
      </c>
      <c r="AH3190" s="382">
        <v>0.0</v>
      </c>
      <c r="AI3190" s="382">
        <v>0.0</v>
      </c>
      <c r="AJ3190" s="382">
        <v>0.0</v>
      </c>
      <c r="AK3190" s="382">
        <v>0.0</v>
      </c>
      <c r="AL3190" s="382">
        <v>0.0</v>
      </c>
      <c r="AM3190" s="382">
        <v>0.0</v>
      </c>
      <c r="AN3190" s="382">
        <v>0.0</v>
      </c>
      <c r="AO3190" s="382">
        <v>0.0</v>
      </c>
      <c r="AP3190" s="382">
        <v>0.0</v>
      </c>
      <c r="AQ3190" s="382">
        <v>0.0</v>
      </c>
      <c r="AR3190" s="382">
        <v>0.0</v>
      </c>
      <c r="AS3190" s="382">
        <v>0.0</v>
      </c>
      <c r="AT3190" s="382">
        <v>0.0</v>
      </c>
      <c r="AU3190" s="382">
        <v>0.0</v>
      </c>
      <c r="AV3190" s="382">
        <v>0.0</v>
      </c>
      <c r="AW3190" s="382">
        <v>0.0</v>
      </c>
      <c r="AX3190" s="382">
        <v>0.0</v>
      </c>
      <c r="AY3190" s="382">
        <v>0.0</v>
      </c>
      <c r="AZ3190" s="382">
        <v>0.0</v>
      </c>
      <c r="BA3190" s="382">
        <v>0.0</v>
      </c>
      <c r="BB3190" s="372">
        <f>$AZ3032*'Assumptions (T&amp;D) old'!D$104</f>
        <v>0</v>
      </c>
      <c r="BC3190" s="372">
        <f>$AZ3032*'Assumptions (T&amp;D) old'!E$104</f>
        <v>0</v>
      </c>
      <c r="BD3190" s="372">
        <f>$AZ3032*'Assumptions (T&amp;D) old'!F$104</f>
        <v>0</v>
      </c>
      <c r="BE3190" s="372">
        <f>$AZ3032*'Assumptions (T&amp;D) old'!G$104</f>
        <v>0</v>
      </c>
      <c r="BF3190" s="372">
        <f>$AZ3032*'Assumptions (T&amp;D) old'!H$104</f>
        <v>0</v>
      </c>
      <c r="BG3190" s="372">
        <f>$AZ3032*'Assumptions (T&amp;D) old'!I$104</f>
        <v>0</v>
      </c>
      <c r="BH3190" s="372">
        <f>$AZ3032*'Assumptions (T&amp;D) old'!J$104</f>
        <v>0</v>
      </c>
      <c r="BI3190" s="372">
        <f>$AZ3032*'Assumptions (T&amp;D) old'!K$104</f>
        <v>0</v>
      </c>
      <c r="BJ3190" s="372">
        <f>$AZ3032*'Assumptions (T&amp;D) old'!L$104</f>
        <v>0</v>
      </c>
      <c r="BK3190" s="372">
        <f>$AZ3032*'Assumptions (T&amp;D) old'!M$104</f>
        <v>0</v>
      </c>
      <c r="BL3190" s="372">
        <f>$AZ3032*'Assumptions (T&amp;D) old'!N$104</f>
        <v>0</v>
      </c>
      <c r="BM3190" s="372">
        <f>$AZ3032*'Assumptions (T&amp;D) old'!O$104</f>
        <v>0</v>
      </c>
      <c r="BN3190" s="372">
        <f>$AZ3032*'Assumptions (T&amp;D) old'!P$104</f>
        <v>0</v>
      </c>
      <c r="BO3190" s="372">
        <f>$AZ3032*'Assumptions (T&amp;D) old'!Q$104</f>
        <v>0</v>
      </c>
      <c r="BP3190" s="372">
        <f>$AZ3032*'Assumptions (T&amp;D) old'!R$104</f>
        <v>0</v>
      </c>
      <c r="BQ3190" s="372">
        <f>$AZ3032*'Assumptions (T&amp;D) old'!S$104</f>
        <v>0</v>
      </c>
      <c r="BR3190" s="372">
        <f>$AZ3032*'Assumptions (T&amp;D) old'!T$104</f>
        <v>0</v>
      </c>
      <c r="BS3190" s="372">
        <f>$AZ3032*'Assumptions (T&amp;D) old'!U$104</f>
        <v>0</v>
      </c>
      <c r="BT3190" s="372">
        <f>$AZ3032*'Assumptions (T&amp;D) old'!V$104</f>
        <v>0</v>
      </c>
      <c r="BU3190" s="32"/>
      <c r="BV3190" s="32"/>
      <c r="BW3190" s="32"/>
      <c r="BX3190" s="32"/>
      <c r="BY3190" s="32"/>
      <c r="BZ3190" s="32"/>
      <c r="CA3190" s="32"/>
      <c r="CB3190" s="32"/>
      <c r="CC3190" s="32"/>
      <c r="CD3190" s="32"/>
    </row>
    <row r="3191" ht="15.75" hidden="1" customHeight="1" outlineLevel="1">
      <c r="A3191" s="363"/>
      <c r="B3191" s="381"/>
      <c r="C3191" s="382">
        <v>0.0</v>
      </c>
      <c r="D3191" s="382">
        <v>0.0</v>
      </c>
      <c r="E3191" s="382">
        <v>0.0</v>
      </c>
      <c r="F3191" s="382">
        <v>0.0</v>
      </c>
      <c r="G3191" s="382">
        <v>0.0</v>
      </c>
      <c r="H3191" s="382">
        <v>0.0</v>
      </c>
      <c r="I3191" s="382">
        <v>0.0</v>
      </c>
      <c r="J3191" s="382">
        <v>0.0</v>
      </c>
      <c r="K3191" s="382">
        <v>0.0</v>
      </c>
      <c r="L3191" s="382">
        <v>0.0</v>
      </c>
      <c r="M3191" s="382">
        <v>0.0</v>
      </c>
      <c r="N3191" s="382">
        <v>0.0</v>
      </c>
      <c r="O3191" s="382">
        <v>0.0</v>
      </c>
      <c r="P3191" s="382">
        <v>0.0</v>
      </c>
      <c r="Q3191" s="382">
        <v>0.0</v>
      </c>
      <c r="R3191" s="382">
        <v>0.0</v>
      </c>
      <c r="S3191" s="382">
        <v>0.0</v>
      </c>
      <c r="T3191" s="382">
        <v>0.0</v>
      </c>
      <c r="U3191" s="382">
        <v>0.0</v>
      </c>
      <c r="V3191" s="382">
        <v>0.0</v>
      </c>
      <c r="W3191" s="382">
        <v>0.0</v>
      </c>
      <c r="X3191" s="382">
        <v>0.0</v>
      </c>
      <c r="Y3191" s="382">
        <v>0.0</v>
      </c>
      <c r="Z3191" s="382">
        <v>0.0</v>
      </c>
      <c r="AA3191" s="382">
        <v>0.0</v>
      </c>
      <c r="AB3191" s="382">
        <v>0.0</v>
      </c>
      <c r="AC3191" s="382">
        <v>0.0</v>
      </c>
      <c r="AD3191" s="382">
        <v>0.0</v>
      </c>
      <c r="AE3191" s="382">
        <v>0.0</v>
      </c>
      <c r="AF3191" s="382">
        <v>0.0</v>
      </c>
      <c r="AG3191" s="382">
        <v>0.0</v>
      </c>
      <c r="AH3191" s="382">
        <v>0.0</v>
      </c>
      <c r="AI3191" s="382">
        <v>0.0</v>
      </c>
      <c r="AJ3191" s="382">
        <v>0.0</v>
      </c>
      <c r="AK3191" s="382">
        <v>0.0</v>
      </c>
      <c r="AL3191" s="382">
        <v>0.0</v>
      </c>
      <c r="AM3191" s="382">
        <v>0.0</v>
      </c>
      <c r="AN3191" s="382">
        <v>0.0</v>
      </c>
      <c r="AO3191" s="382">
        <v>0.0</v>
      </c>
      <c r="AP3191" s="382">
        <v>0.0</v>
      </c>
      <c r="AQ3191" s="382">
        <v>0.0</v>
      </c>
      <c r="AR3191" s="382">
        <v>0.0</v>
      </c>
      <c r="AS3191" s="382">
        <v>0.0</v>
      </c>
      <c r="AT3191" s="382">
        <v>0.0</v>
      </c>
      <c r="AU3191" s="382">
        <v>0.0</v>
      </c>
      <c r="AV3191" s="382">
        <v>0.0</v>
      </c>
      <c r="AW3191" s="382">
        <v>0.0</v>
      </c>
      <c r="AX3191" s="382">
        <v>0.0</v>
      </c>
      <c r="AY3191" s="382">
        <v>0.0</v>
      </c>
      <c r="AZ3191" s="382">
        <v>0.0</v>
      </c>
      <c r="BA3191" s="382">
        <v>0.0</v>
      </c>
      <c r="BB3191" s="372">
        <f>$BA3032*'Assumptions (T&amp;D) old'!C$104</f>
        <v>0</v>
      </c>
      <c r="BC3191" s="372">
        <f>$BA3032*'Assumptions (T&amp;D) old'!D$104</f>
        <v>0</v>
      </c>
      <c r="BD3191" s="372">
        <f>$BA3032*'Assumptions (T&amp;D) old'!E$104</f>
        <v>0</v>
      </c>
      <c r="BE3191" s="372">
        <f>$BA3032*'Assumptions (T&amp;D) old'!F$104</f>
        <v>0</v>
      </c>
      <c r="BF3191" s="372">
        <f>$BA3032*'Assumptions (T&amp;D) old'!G$104</f>
        <v>0</v>
      </c>
      <c r="BG3191" s="372">
        <f>$BA3032*'Assumptions (T&amp;D) old'!H$104</f>
        <v>0</v>
      </c>
      <c r="BH3191" s="372">
        <f>$BA3032*'Assumptions (T&amp;D) old'!I$104</f>
        <v>0</v>
      </c>
      <c r="BI3191" s="372">
        <f>$BA3032*'Assumptions (T&amp;D) old'!J$104</f>
        <v>0</v>
      </c>
      <c r="BJ3191" s="372">
        <f>$BA3032*'Assumptions (T&amp;D) old'!K$104</f>
        <v>0</v>
      </c>
      <c r="BK3191" s="372">
        <f>$BA3032*'Assumptions (T&amp;D) old'!L$104</f>
        <v>0</v>
      </c>
      <c r="BL3191" s="372">
        <f>$BA3032*'Assumptions (T&amp;D) old'!M$104</f>
        <v>0</v>
      </c>
      <c r="BM3191" s="372">
        <f>$BA3032*'Assumptions (T&amp;D) old'!N$104</f>
        <v>0</v>
      </c>
      <c r="BN3191" s="372">
        <f>$BA3032*'Assumptions (T&amp;D) old'!O$104</f>
        <v>0</v>
      </c>
      <c r="BO3191" s="372">
        <f>$BA3032*'Assumptions (T&amp;D) old'!P$104</f>
        <v>0</v>
      </c>
      <c r="BP3191" s="372">
        <f>$BA3032*'Assumptions (T&amp;D) old'!Q$104</f>
        <v>0</v>
      </c>
      <c r="BQ3191" s="372">
        <f>$BA3032*'Assumptions (T&amp;D) old'!R$104</f>
        <v>0</v>
      </c>
      <c r="BR3191" s="372">
        <f>$BA3032*'Assumptions (T&amp;D) old'!S$104</f>
        <v>0</v>
      </c>
      <c r="BS3191" s="372">
        <f>$BA3032*'Assumptions (T&amp;D) old'!T$104</f>
        <v>0</v>
      </c>
      <c r="BT3191" s="372">
        <f>$BA3032*'Assumptions (T&amp;D) old'!U$104</f>
        <v>0</v>
      </c>
      <c r="BU3191" s="372">
        <f>$BA3032*'Assumptions (T&amp;D) old'!V$104</f>
        <v>0</v>
      </c>
      <c r="BV3191" s="32"/>
      <c r="BW3191" s="32"/>
      <c r="BX3191" s="32"/>
      <c r="BY3191" s="32"/>
      <c r="BZ3191" s="32"/>
      <c r="CA3191" s="32"/>
      <c r="CB3191" s="32"/>
      <c r="CC3191" s="32"/>
      <c r="CD3191" s="32"/>
    </row>
    <row r="3192" ht="15.75" customHeight="1" collapsed="1">
      <c r="A3192" s="365" t="s">
        <v>374</v>
      </c>
      <c r="B3192" s="381" t="s">
        <v>351</v>
      </c>
      <c r="C3192" s="382">
        <v>0.0</v>
      </c>
      <c r="D3192" s="382">
        <v>0.0</v>
      </c>
      <c r="E3192" s="382">
        <v>0.0</v>
      </c>
      <c r="F3192" s="382">
        <v>0.0</v>
      </c>
      <c r="G3192" s="382">
        <v>0.0</v>
      </c>
      <c r="H3192" s="382">
        <v>0.0</v>
      </c>
      <c r="I3192" s="382">
        <v>0.0</v>
      </c>
      <c r="J3192" s="382">
        <v>0.0</v>
      </c>
      <c r="K3192" s="382">
        <v>0.0</v>
      </c>
      <c r="L3192" s="382">
        <v>0.0</v>
      </c>
      <c r="M3192" s="382">
        <v>0.0</v>
      </c>
      <c r="N3192" s="382">
        <v>0.0</v>
      </c>
      <c r="O3192" s="382">
        <v>0.0</v>
      </c>
      <c r="P3192" s="382">
        <v>0.0</v>
      </c>
      <c r="Q3192" s="382">
        <v>0.0</v>
      </c>
      <c r="R3192" s="382">
        <v>0.0</v>
      </c>
      <c r="S3192" s="382">
        <v>0.0</v>
      </c>
      <c r="T3192" s="382">
        <v>0.0</v>
      </c>
      <c r="U3192" s="382">
        <v>0.0</v>
      </c>
      <c r="V3192" s="382">
        <v>0.0</v>
      </c>
      <c r="W3192" s="382">
        <v>0.0</v>
      </c>
      <c r="X3192" s="382">
        <v>0.0</v>
      </c>
      <c r="Y3192" s="382">
        <v>0.0</v>
      </c>
      <c r="Z3192" s="382">
        <v>0.0</v>
      </c>
      <c r="AA3192" s="382">
        <v>0.0</v>
      </c>
      <c r="AB3192" s="382">
        <v>0.0</v>
      </c>
      <c r="AC3192" s="382">
        <v>0.0</v>
      </c>
      <c r="AD3192" s="382">
        <v>0.0</v>
      </c>
      <c r="AE3192" s="382">
        <v>0.0</v>
      </c>
      <c r="AF3192" s="382">
        <v>0.0</v>
      </c>
      <c r="AG3192" s="382">
        <v>0.0</v>
      </c>
      <c r="AH3192" s="382">
        <v>0.0</v>
      </c>
      <c r="AI3192" s="382">
        <v>0.0</v>
      </c>
      <c r="AJ3192" s="382">
        <v>0.0</v>
      </c>
      <c r="AK3192" s="382">
        <v>0.0</v>
      </c>
      <c r="AL3192" s="382">
        <v>0.0</v>
      </c>
      <c r="AM3192" s="382">
        <v>0.0</v>
      </c>
      <c r="AN3192" s="382">
        <v>0.0</v>
      </c>
      <c r="AO3192" s="382">
        <v>0.0</v>
      </c>
      <c r="AP3192" s="382">
        <v>0.0</v>
      </c>
      <c r="AQ3192" s="382">
        <v>0.0</v>
      </c>
      <c r="AR3192" s="382">
        <v>0.0</v>
      </c>
      <c r="AS3192" s="382">
        <v>0.0</v>
      </c>
      <c r="AT3192" s="382">
        <v>0.0</v>
      </c>
      <c r="AU3192" s="382">
        <v>0.0</v>
      </c>
      <c r="AV3192" s="382">
        <v>0.0</v>
      </c>
      <c r="AW3192" s="382">
        <v>0.0</v>
      </c>
      <c r="AX3192" s="382">
        <v>0.0</v>
      </c>
      <c r="AY3192" s="382">
        <v>0.0</v>
      </c>
      <c r="AZ3192" s="382">
        <v>0.0</v>
      </c>
      <c r="BA3192" s="382">
        <v>0.0</v>
      </c>
      <c r="BB3192" s="32"/>
      <c r="BC3192" s="32"/>
      <c r="BD3192" s="32"/>
      <c r="BE3192" s="32"/>
      <c r="BF3192" s="32"/>
      <c r="BG3192" s="32"/>
      <c r="BH3192" s="32"/>
      <c r="BI3192" s="32"/>
      <c r="BJ3192" s="32"/>
      <c r="BK3192" s="32"/>
      <c r="BL3192" s="32"/>
      <c r="BM3192" s="32"/>
      <c r="BN3192" s="32"/>
      <c r="BO3192" s="32"/>
      <c r="BP3192" s="32"/>
      <c r="BQ3192" s="32"/>
      <c r="BR3192" s="32"/>
      <c r="BS3192" s="32"/>
      <c r="BT3192" s="32"/>
      <c r="BU3192" s="32"/>
      <c r="BV3192" s="32"/>
      <c r="BW3192" s="32"/>
      <c r="BX3192" s="32"/>
      <c r="BY3192" s="32"/>
      <c r="BZ3192" s="32"/>
      <c r="CA3192" s="32"/>
      <c r="CB3192" s="32"/>
      <c r="CC3192" s="32"/>
      <c r="CD3192" s="32"/>
    </row>
    <row r="3193" ht="15.75" customHeight="1">
      <c r="A3193" s="365" t="s">
        <v>62</v>
      </c>
      <c r="B3193" s="381" t="s">
        <v>351</v>
      </c>
      <c r="C3193" s="382">
        <v>0.0</v>
      </c>
      <c r="D3193" s="382">
        <v>0.0</v>
      </c>
      <c r="E3193" s="382">
        <v>0.0</v>
      </c>
      <c r="F3193" s="382">
        <v>0.0</v>
      </c>
      <c r="G3193" s="382">
        <v>0.0</v>
      </c>
      <c r="H3193" s="382">
        <v>0.0</v>
      </c>
      <c r="I3193" s="382">
        <v>0.0</v>
      </c>
      <c r="J3193" s="382">
        <v>0.0</v>
      </c>
      <c r="K3193" s="382">
        <v>0.0</v>
      </c>
      <c r="L3193" s="382">
        <v>0.0</v>
      </c>
      <c r="M3193" s="382">
        <v>0.0</v>
      </c>
      <c r="N3193" s="382">
        <v>0.0</v>
      </c>
      <c r="O3193" s="382">
        <v>0.0</v>
      </c>
      <c r="P3193" s="382">
        <v>0.0</v>
      </c>
      <c r="Q3193" s="382">
        <v>0.0</v>
      </c>
      <c r="R3193" s="382">
        <v>0.0</v>
      </c>
      <c r="S3193" s="382">
        <v>0.0</v>
      </c>
      <c r="T3193" s="382">
        <v>0.0</v>
      </c>
      <c r="U3193" s="382">
        <v>0.0</v>
      </c>
      <c r="V3193" s="382">
        <v>0.0</v>
      </c>
      <c r="W3193" s="382">
        <v>0.0</v>
      </c>
      <c r="X3193" s="382">
        <v>0.0</v>
      </c>
      <c r="Y3193" s="382">
        <v>0.0</v>
      </c>
      <c r="Z3193" s="382">
        <v>0.0</v>
      </c>
      <c r="AA3193" s="382">
        <v>0.0</v>
      </c>
      <c r="AB3193" s="382">
        <v>0.0</v>
      </c>
      <c r="AC3193" s="382">
        <v>0.0</v>
      </c>
      <c r="AD3193" s="382">
        <v>0.0</v>
      </c>
      <c r="AE3193" s="382">
        <v>0.0</v>
      </c>
      <c r="AF3193" s="382">
        <v>0.0</v>
      </c>
      <c r="AG3193" s="382">
        <v>0.0</v>
      </c>
      <c r="AH3193" s="382">
        <v>0.0</v>
      </c>
      <c r="AI3193" s="382">
        <v>0.0</v>
      </c>
      <c r="AJ3193" s="382">
        <v>0.0</v>
      </c>
      <c r="AK3193" s="382">
        <v>0.0</v>
      </c>
      <c r="AL3193" s="382">
        <v>0.0</v>
      </c>
      <c r="AM3193" s="382">
        <v>0.0</v>
      </c>
      <c r="AN3193" s="382">
        <v>0.0</v>
      </c>
      <c r="AO3193" s="382">
        <v>0.0</v>
      </c>
      <c r="AP3193" s="382">
        <v>0.0</v>
      </c>
      <c r="AQ3193" s="382">
        <v>0.0</v>
      </c>
      <c r="AR3193" s="382">
        <v>0.0</v>
      </c>
      <c r="AS3193" s="382">
        <v>0.0</v>
      </c>
      <c r="AT3193" s="382">
        <v>0.0</v>
      </c>
      <c r="AU3193" s="382">
        <v>0.0</v>
      </c>
      <c r="AV3193" s="382">
        <v>0.0</v>
      </c>
      <c r="AW3193" s="382">
        <v>0.0</v>
      </c>
      <c r="AX3193" s="382">
        <v>0.0</v>
      </c>
      <c r="AY3193" s="382">
        <v>0.0</v>
      </c>
      <c r="AZ3193" s="382">
        <v>0.0</v>
      </c>
      <c r="BA3193" s="382">
        <v>0.0</v>
      </c>
      <c r="BB3193" s="32"/>
      <c r="BC3193" s="32"/>
      <c r="BD3193" s="32"/>
      <c r="BE3193" s="32"/>
      <c r="BF3193" s="32"/>
      <c r="BG3193" s="32"/>
      <c r="BH3193" s="32"/>
      <c r="BI3193" s="32"/>
      <c r="BJ3193" s="32"/>
      <c r="BK3193" s="32"/>
      <c r="BL3193" s="32"/>
      <c r="BM3193" s="32"/>
      <c r="BN3193" s="32"/>
      <c r="BO3193" s="32"/>
      <c r="BP3193" s="32"/>
      <c r="BQ3193" s="32"/>
      <c r="BR3193" s="32"/>
      <c r="BS3193" s="32"/>
      <c r="BT3193" s="32"/>
      <c r="BU3193" s="32"/>
      <c r="BV3193" s="32"/>
      <c r="BW3193" s="32"/>
      <c r="BX3193" s="32"/>
      <c r="BY3193" s="32"/>
      <c r="BZ3193" s="32"/>
      <c r="CA3193" s="32"/>
      <c r="CB3193" s="32"/>
      <c r="CC3193" s="32"/>
      <c r="CD3193" s="32"/>
    </row>
    <row r="3194" ht="15.75" customHeight="1">
      <c r="A3194" s="365" t="s">
        <v>375</v>
      </c>
      <c r="B3194" s="381" t="s">
        <v>351</v>
      </c>
      <c r="C3194" s="382">
        <v>0.0</v>
      </c>
      <c r="D3194" s="382">
        <v>0.0</v>
      </c>
      <c r="E3194" s="382">
        <v>0.0</v>
      </c>
      <c r="F3194" s="382">
        <v>0.0</v>
      </c>
      <c r="G3194" s="382">
        <v>0.0</v>
      </c>
      <c r="H3194" s="382">
        <v>0.0</v>
      </c>
      <c r="I3194" s="382">
        <v>0.0</v>
      </c>
      <c r="J3194" s="382">
        <v>0.0</v>
      </c>
      <c r="K3194" s="382">
        <v>0.0</v>
      </c>
      <c r="L3194" s="382">
        <v>0.0</v>
      </c>
      <c r="M3194" s="382">
        <v>0.0</v>
      </c>
      <c r="N3194" s="382">
        <v>0.0</v>
      </c>
      <c r="O3194" s="382">
        <v>0.0</v>
      </c>
      <c r="P3194" s="382">
        <v>0.0</v>
      </c>
      <c r="Q3194" s="382">
        <v>0.0</v>
      </c>
      <c r="R3194" s="382">
        <v>0.0</v>
      </c>
      <c r="S3194" s="382">
        <v>0.0</v>
      </c>
      <c r="T3194" s="382">
        <v>0.0</v>
      </c>
      <c r="U3194" s="382">
        <v>0.0</v>
      </c>
      <c r="V3194" s="382">
        <v>0.0</v>
      </c>
      <c r="W3194" s="382">
        <v>0.0</v>
      </c>
      <c r="X3194" s="382">
        <v>0.0</v>
      </c>
      <c r="Y3194" s="382">
        <v>0.0</v>
      </c>
      <c r="Z3194" s="382">
        <v>0.0</v>
      </c>
      <c r="AA3194" s="382">
        <v>0.0</v>
      </c>
      <c r="AB3194" s="382">
        <v>0.0</v>
      </c>
      <c r="AC3194" s="382">
        <v>0.0</v>
      </c>
      <c r="AD3194" s="382">
        <v>0.0</v>
      </c>
      <c r="AE3194" s="382">
        <v>0.0</v>
      </c>
      <c r="AF3194" s="382">
        <v>0.0</v>
      </c>
      <c r="AG3194" s="382">
        <v>0.0</v>
      </c>
      <c r="AH3194" s="382">
        <v>0.0</v>
      </c>
      <c r="AI3194" s="382">
        <v>0.0</v>
      </c>
      <c r="AJ3194" s="382">
        <v>0.0</v>
      </c>
      <c r="AK3194" s="382">
        <v>0.0</v>
      </c>
      <c r="AL3194" s="382">
        <v>0.0</v>
      </c>
      <c r="AM3194" s="382">
        <v>0.0</v>
      </c>
      <c r="AN3194" s="382">
        <v>0.0</v>
      </c>
      <c r="AO3194" s="382">
        <v>0.0</v>
      </c>
      <c r="AP3194" s="382">
        <v>0.0</v>
      </c>
      <c r="AQ3194" s="382">
        <v>0.0</v>
      </c>
      <c r="AR3194" s="382">
        <v>0.0</v>
      </c>
      <c r="AS3194" s="382">
        <v>0.0</v>
      </c>
      <c r="AT3194" s="382">
        <v>0.0</v>
      </c>
      <c r="AU3194" s="382">
        <v>0.0</v>
      </c>
      <c r="AV3194" s="382">
        <v>0.0</v>
      </c>
      <c r="AW3194" s="382">
        <v>0.0</v>
      </c>
      <c r="AX3194" s="382">
        <v>0.0</v>
      </c>
      <c r="AY3194" s="382">
        <v>0.0</v>
      </c>
      <c r="AZ3194" s="382">
        <v>0.0</v>
      </c>
      <c r="BA3194" s="382">
        <v>0.0</v>
      </c>
      <c r="BB3194" s="32"/>
      <c r="BC3194" s="32"/>
      <c r="BD3194" s="32"/>
      <c r="BE3194" s="32"/>
      <c r="BF3194" s="32"/>
      <c r="BG3194" s="32"/>
      <c r="BH3194" s="32"/>
      <c r="BI3194" s="32"/>
      <c r="BJ3194" s="32"/>
      <c r="BK3194" s="32"/>
      <c r="BL3194" s="32"/>
      <c r="BM3194" s="32"/>
      <c r="BN3194" s="32"/>
      <c r="BO3194" s="32"/>
      <c r="BP3194" s="32"/>
      <c r="BQ3194" s="32"/>
      <c r="BR3194" s="32"/>
      <c r="BS3194" s="32"/>
      <c r="BT3194" s="32"/>
      <c r="BU3194" s="32"/>
      <c r="BV3194" s="32"/>
      <c r="BW3194" s="32"/>
      <c r="BX3194" s="32"/>
      <c r="BY3194" s="32"/>
      <c r="BZ3194" s="32"/>
      <c r="CA3194" s="32"/>
      <c r="CB3194" s="32"/>
      <c r="CC3194" s="32"/>
      <c r="CD3194" s="32"/>
    </row>
    <row r="3195" ht="15.75" customHeight="1">
      <c r="A3195" s="384" t="s">
        <v>454</v>
      </c>
      <c r="B3195" s="159"/>
      <c r="C3195" s="95"/>
      <c r="D3195" s="95"/>
      <c r="E3195" s="95"/>
      <c r="F3195" s="95"/>
      <c r="G3195" s="95"/>
      <c r="H3195" s="95"/>
      <c r="I3195" s="95"/>
      <c r="J3195" s="95"/>
      <c r="K3195" s="95"/>
      <c r="L3195" s="95"/>
      <c r="M3195" s="95"/>
      <c r="N3195" s="95"/>
      <c r="O3195" s="95"/>
      <c r="P3195" s="95"/>
      <c r="Q3195" s="95"/>
      <c r="R3195" s="95"/>
      <c r="S3195" s="95"/>
      <c r="T3195" s="95"/>
      <c r="U3195" s="95"/>
      <c r="V3195" s="95"/>
      <c r="W3195" s="95"/>
      <c r="X3195" s="95"/>
      <c r="Y3195" s="95"/>
      <c r="Z3195" s="95"/>
      <c r="AA3195" s="95"/>
      <c r="AB3195" s="95"/>
      <c r="AC3195" s="95"/>
      <c r="AD3195" s="95"/>
      <c r="AE3195" s="95"/>
      <c r="AF3195" s="95"/>
      <c r="AG3195" s="95"/>
      <c r="AH3195" s="95"/>
      <c r="AI3195" s="95"/>
      <c r="AJ3195" s="95"/>
      <c r="AK3195" s="95"/>
      <c r="AL3195" s="95"/>
      <c r="AM3195" s="95"/>
      <c r="AN3195" s="95"/>
      <c r="AO3195" s="95"/>
      <c r="AP3195" s="95"/>
      <c r="AQ3195" s="95"/>
      <c r="AR3195" s="95"/>
      <c r="AS3195" s="95"/>
      <c r="AT3195" s="95"/>
      <c r="AU3195" s="95"/>
      <c r="AV3195" s="95"/>
      <c r="AW3195" s="95"/>
      <c r="AX3195" s="95"/>
      <c r="AY3195" s="95"/>
      <c r="AZ3195" s="95"/>
      <c r="BA3195" s="95"/>
    </row>
    <row r="3196" ht="15.75" customHeight="1">
      <c r="A3196" s="385" t="s">
        <v>404</v>
      </c>
      <c r="B3196" s="159" t="s">
        <v>351</v>
      </c>
      <c r="C3196" s="95">
        <f>(1+'Assumptions (Oil G&amp;T)'!B43)*'Assumptions (Oil G&amp;T)'!B41</f>
        <v>5.377980716</v>
      </c>
      <c r="D3196" s="95">
        <f>(1+'Assumptions (Oil G&amp;T)'!C43)*'Assumptions (Oil G&amp;T)'!C41</f>
        <v>5.813259167</v>
      </c>
      <c r="E3196" s="95">
        <f>(1+'Assumptions (Oil G&amp;T)'!D43)*'Assumptions (Oil G&amp;T)'!D41</f>
        <v>5.931134569</v>
      </c>
      <c r="F3196" s="95">
        <f>(1+'Assumptions (Oil G&amp;T)'!E43)*'Assumptions (Oil G&amp;T)'!E41</f>
        <v>5.996788051</v>
      </c>
      <c r="G3196" s="95">
        <f>(1+'Assumptions (Oil G&amp;T)'!F43)*'Assumptions (Oil G&amp;T)'!F41</f>
        <v>3.821794285</v>
      </c>
      <c r="H3196" s="95">
        <f>(1+'Assumptions (Oil G&amp;T)'!G43)*'Assumptions (Oil G&amp;T)'!G41</f>
        <v>3.787008249</v>
      </c>
      <c r="I3196" s="95">
        <f>(1+'Assumptions (Oil G&amp;T)'!H43)*'Assumptions (Oil G&amp;T)'!H41</f>
        <v>4.640575012</v>
      </c>
      <c r="J3196" s="95">
        <f>(1+'Assumptions (Oil G&amp;T)'!I43)*'Assumptions (Oil G&amp;T)'!I41</f>
        <v>5.143333169</v>
      </c>
      <c r="K3196" s="95">
        <f>(1+'Assumptions (Oil G&amp;T)'!J43)*'Assumptions (Oil G&amp;T)'!J41</f>
        <v>4.799603532</v>
      </c>
      <c r="L3196" s="95">
        <f>(1+'Assumptions (Oil G&amp;T)'!K43)*'Assumptions (Oil G&amp;T)'!K41</f>
        <v>4.959881601</v>
      </c>
      <c r="M3196" s="95">
        <f>(1+'Assumptions (Oil G&amp;T)'!L43)*'Assumptions (Oil G&amp;T)'!L41</f>
        <v>6.349940234</v>
      </c>
      <c r="N3196" s="95">
        <f>(1+'Assumptions (Oil G&amp;T)'!M43)*'Assumptions (Oil G&amp;T)'!M41</f>
        <v>5.733044309</v>
      </c>
      <c r="O3196" s="95">
        <f>(1+'Assumptions (Oil G&amp;T)'!N43)*'Assumptions (Oil G&amp;T)'!N41</f>
        <v>5.891185489</v>
      </c>
      <c r="P3196" s="95">
        <f>(1+'Assumptions (Oil G&amp;T)'!O43)*'Assumptions (Oil G&amp;T)'!O41</f>
        <v>7.362638118</v>
      </c>
      <c r="Q3196" s="95">
        <f>(1+'Assumptions (Oil G&amp;T)'!P43)*'Assumptions (Oil G&amp;T)'!P41</f>
        <v>7.946472389</v>
      </c>
      <c r="R3196" s="95">
        <f>(1+'Assumptions (Oil G&amp;T)'!Q43)*'Assumptions (Oil G&amp;T)'!Q41</f>
        <v>8.776246301</v>
      </c>
      <c r="S3196" s="95">
        <f>(1+'Assumptions (Oil G&amp;T)'!R43)*'Assumptions (Oil G&amp;T)'!R41</f>
        <v>9.168329576</v>
      </c>
      <c r="T3196" s="95">
        <f>(1+'Assumptions (Oil G&amp;T)'!S43)*'Assumptions (Oil G&amp;T)'!S41</f>
        <v>9.02081873</v>
      </c>
      <c r="U3196" s="95">
        <f>(1+'Assumptions (Oil G&amp;T)'!T43)*'Assumptions (Oil G&amp;T)'!T41</f>
        <v>10.33470578</v>
      </c>
      <c r="V3196" s="95">
        <f>(1+'Assumptions (Oil G&amp;T)'!U43)*'Assumptions (Oil G&amp;T)'!U41</f>
        <v>11.35093075</v>
      </c>
      <c r="W3196" s="95">
        <f>(1+'Assumptions (Oil G&amp;T)'!V43)*'Assumptions (Oil G&amp;T)'!V41</f>
        <v>12.14906654</v>
      </c>
      <c r="X3196" s="95">
        <f>(1+'Assumptions (Oil G&amp;T)'!W43)*'Assumptions (Oil G&amp;T)'!W41</f>
        <v>12.55845239</v>
      </c>
      <c r="Y3196" s="95">
        <f>(1+'Assumptions (Oil G&amp;T)'!X43)*'Assumptions (Oil G&amp;T)'!X41</f>
        <v>12.6427313</v>
      </c>
      <c r="Z3196" s="95">
        <f>(1+'Assumptions (Oil G&amp;T)'!Y43)*'Assumptions (Oil G&amp;T)'!Y41</f>
        <v>12.63908016</v>
      </c>
      <c r="AA3196" s="95">
        <f>(1+'Assumptions (Oil G&amp;T)'!Z43)*'Assumptions (Oil G&amp;T)'!Z41</f>
        <v>12.84262267</v>
      </c>
      <c r="AB3196" s="95">
        <f>(1+'Assumptions (Oil G&amp;T)'!AA43)*'Assumptions (Oil G&amp;T)'!AA41</f>
        <v>12.94001615</v>
      </c>
      <c r="AC3196" s="95">
        <f>(1+'Assumptions (Oil G&amp;T)'!AB43)*'Assumptions (Oil G&amp;T)'!AB41</f>
        <v>13.14427963</v>
      </c>
      <c r="AD3196" s="95">
        <f>(1+'Assumptions (Oil G&amp;T)'!AC43)*'Assumptions (Oil G&amp;T)'!AC41</f>
        <v>13.39082572</v>
      </c>
      <c r="AE3196" s="95">
        <f>(1+'Assumptions (Oil G&amp;T)'!AD43)*'Assumptions (Oil G&amp;T)'!AD41</f>
        <v>13.42662042</v>
      </c>
      <c r="AF3196" s="95">
        <f>(1+'Assumptions (Oil G&amp;T)'!AE43)*'Assumptions (Oil G&amp;T)'!AE41</f>
        <v>13.53240461</v>
      </c>
      <c r="AG3196" s="95">
        <f>(1+'Assumptions (Oil G&amp;T)'!AF43)*'Assumptions (Oil G&amp;T)'!AF41</f>
        <v>13.61057531</v>
      </c>
      <c r="AH3196" s="95">
        <f>(1+'Assumptions (Oil G&amp;T)'!AG43)*'Assumptions (Oil G&amp;T)'!AG41</f>
        <v>13.66774436</v>
      </c>
      <c r="AI3196" s="95">
        <f>(1+'Assumptions (Oil G&amp;T)'!AH43)*'Assumptions (Oil G&amp;T)'!AH41</f>
        <v>13.63100698</v>
      </c>
      <c r="AJ3196" s="95">
        <f>(1+'Assumptions (Oil G&amp;T)'!AI43)*'Assumptions (Oil G&amp;T)'!AI41</f>
        <v>13.5660137</v>
      </c>
      <c r="AK3196" s="95">
        <f>(1+'Assumptions (Oil G&amp;T)'!AJ43)*'Assumptions (Oil G&amp;T)'!AJ41</f>
        <v>13.53785817</v>
      </c>
      <c r="AL3196" s="95">
        <f>(1+'Assumptions (Oil G&amp;T)'!AK43)*'Assumptions (Oil G&amp;T)'!AK41</f>
        <v>13.44667852</v>
      </c>
      <c r="AM3196" s="95">
        <f>(1+'Assumptions (Oil G&amp;T)'!AL43)*'Assumptions (Oil G&amp;T)'!AL41</f>
        <v>13.32768899</v>
      </c>
      <c r="AN3196" s="95">
        <f>(1+'Assumptions (Oil G&amp;T)'!AM43)*'Assumptions (Oil G&amp;T)'!AM41</f>
        <v>13.19147463</v>
      </c>
      <c r="AO3196" s="95">
        <f>(1+'Assumptions (Oil G&amp;T)'!AN43)*'Assumptions (Oil G&amp;T)'!AN41</f>
        <v>13.10420447</v>
      </c>
      <c r="AP3196" s="95">
        <f>(1+'Assumptions (Oil G&amp;T)'!AO43)*'Assumptions (Oil G&amp;T)'!AO41</f>
        <v>13.02792262</v>
      </c>
      <c r="AQ3196" s="95">
        <f>(1+'Assumptions (Oil G&amp;T)'!AP43)*'Assumptions (Oil G&amp;T)'!AP41</f>
        <v>12.9485727</v>
      </c>
      <c r="AR3196" s="95">
        <f>(1+'Assumptions (Oil G&amp;T)'!AQ43)*'Assumptions (Oil G&amp;T)'!AQ41</f>
        <v>12.92576775</v>
      </c>
      <c r="AS3196" s="95">
        <f>(1+'Assumptions (Oil G&amp;T)'!AR43)*'Assumptions (Oil G&amp;T)'!AR41</f>
        <v>12.86889546</v>
      </c>
      <c r="AT3196" s="95">
        <f>(1+'Assumptions (Oil G&amp;T)'!AS43)*'Assumptions (Oil G&amp;T)'!AS41</f>
        <v>12.78196135</v>
      </c>
      <c r="AU3196" s="95">
        <f>(1+'Assumptions (Oil G&amp;T)'!AT43)*'Assumptions (Oil G&amp;T)'!AT41</f>
        <v>12.69996407</v>
      </c>
      <c r="AV3196" s="95">
        <f>(1+'Assumptions (Oil G&amp;T)'!AU43)*'Assumptions (Oil G&amp;T)'!AU41</f>
        <v>12.55318125</v>
      </c>
      <c r="AW3196" s="95">
        <f>(1+'Assumptions (Oil G&amp;T)'!AV43)*'Assumptions (Oil G&amp;T)'!AV41</f>
        <v>12.43919228</v>
      </c>
      <c r="AX3196" s="95">
        <f>(1+'Assumptions (Oil G&amp;T)'!AW43)*'Assumptions (Oil G&amp;T)'!AW41</f>
        <v>12.3492512</v>
      </c>
      <c r="AY3196" s="95">
        <f>(1+'Assumptions (Oil G&amp;T)'!AX43)*'Assumptions (Oil G&amp;T)'!AX41</f>
        <v>12.26013932</v>
      </c>
      <c r="AZ3196" s="95">
        <f>(1+'Assumptions (Oil G&amp;T)'!AY43)*'Assumptions (Oil G&amp;T)'!AY41</f>
        <v>12.09757363</v>
      </c>
      <c r="BA3196" s="95">
        <f>(1+'Assumptions (Oil G&amp;T)'!AZ43)*'Assumptions (Oil G&amp;T)'!AZ41</f>
        <v>12.00407743</v>
      </c>
    </row>
    <row r="3197" ht="15.75" customHeight="1">
      <c r="A3197" s="386" t="s">
        <v>369</v>
      </c>
      <c r="B3197" s="150" t="s">
        <v>351</v>
      </c>
      <c r="C3197" s="95">
        <f>(1+'Assumptions (Oil G&amp;T)'!B43)*'Assumptions (Oil G&amp;T)'!B36-C3308</f>
        <v>38.45758253</v>
      </c>
      <c r="D3197" s="95">
        <f>(1+'Assumptions (Oil G&amp;T)'!C43)*'Assumptions (Oil G&amp;T)'!C36-D3308</f>
        <v>36.22076175</v>
      </c>
      <c r="E3197" s="95">
        <f>(1+'Assumptions (Oil G&amp;T)'!D43)*'Assumptions (Oil G&amp;T)'!D36-E3308</f>
        <v>40.06151512</v>
      </c>
      <c r="F3197" s="95">
        <f>(1+'Assumptions (Oil G&amp;T)'!E43)*'Assumptions (Oil G&amp;T)'!E36-F3308</f>
        <v>35.66358013</v>
      </c>
      <c r="G3197" s="95">
        <f>(1+'Assumptions (Oil G&amp;T)'!F43)*'Assumptions (Oil G&amp;T)'!F36-G3308</f>
        <v>36.41452227</v>
      </c>
      <c r="H3197" s="95">
        <f>(1+'Assumptions (Oil G&amp;T)'!G43)*'Assumptions (Oil G&amp;T)'!G36-H3308</f>
        <v>38.04118516</v>
      </c>
      <c r="I3197" s="95">
        <f>(1+'Assumptions (Oil G&amp;T)'!H43)*'Assumptions (Oil G&amp;T)'!H36-I3308</f>
        <v>43.62783163</v>
      </c>
      <c r="J3197" s="95">
        <f>(1+'Assumptions (Oil G&amp;T)'!I43)*'Assumptions (Oil G&amp;T)'!I36-J3308</f>
        <v>42.71740147</v>
      </c>
      <c r="K3197" s="95">
        <f>(1+'Assumptions (Oil G&amp;T)'!J43)*'Assumptions (Oil G&amp;T)'!J36-K3308</f>
        <v>46.50600908</v>
      </c>
      <c r="L3197" s="95">
        <f>(1+'Assumptions (Oil G&amp;T)'!K43)*'Assumptions (Oil G&amp;T)'!K36-L3308</f>
        <v>49.46914009</v>
      </c>
      <c r="M3197" s="95">
        <f>(1+'Assumptions (Oil G&amp;T)'!L43)*'Assumptions (Oil G&amp;T)'!L36-M3308</f>
        <v>53.57331857</v>
      </c>
      <c r="N3197" s="95">
        <f>(1+'Assumptions (Oil G&amp;T)'!M43)*'Assumptions (Oil G&amp;T)'!M36-N3308</f>
        <v>60.60837823</v>
      </c>
      <c r="O3197" s="95">
        <f>(1+'Assumptions (Oil G&amp;T)'!N43)*'Assumptions (Oil G&amp;T)'!N36-O3308</f>
        <v>66.44530244</v>
      </c>
      <c r="P3197" s="95">
        <f>(1+'Assumptions (Oil G&amp;T)'!O43)*'Assumptions (Oil G&amp;T)'!O36-P3308</f>
        <v>71.13760158</v>
      </c>
      <c r="Q3197" s="95">
        <f>(1+'Assumptions (Oil G&amp;T)'!P43)*'Assumptions (Oil G&amp;T)'!P36-Q3308</f>
        <v>88.48964421</v>
      </c>
      <c r="R3197" s="95">
        <f>(1+'Assumptions (Oil G&amp;T)'!Q43)*'Assumptions (Oil G&amp;T)'!Q36-R3308</f>
        <v>103.8709148</v>
      </c>
      <c r="S3197" s="95">
        <f>(1+'Assumptions (Oil G&amp;T)'!R43)*'Assumptions (Oil G&amp;T)'!R36-S3308</f>
        <v>112.0109163</v>
      </c>
      <c r="T3197" s="95">
        <f>(1+'Assumptions (Oil G&amp;T)'!S43)*'Assumptions (Oil G&amp;T)'!S36-T3308</f>
        <v>118.4198232</v>
      </c>
      <c r="U3197" s="95">
        <f>(1+'Assumptions (Oil G&amp;T)'!T43)*'Assumptions (Oil G&amp;T)'!T36-U3308</f>
        <v>129.0742652</v>
      </c>
      <c r="V3197" s="95">
        <f>(1+'Assumptions (Oil G&amp;T)'!U43)*'Assumptions (Oil G&amp;T)'!U36-V3308</f>
        <v>139.541132</v>
      </c>
      <c r="W3197" s="95">
        <f>(1+'Assumptions (Oil G&amp;T)'!V43)*'Assumptions (Oil G&amp;T)'!V36-W3308</f>
        <v>149.6883037</v>
      </c>
      <c r="X3197" s="95">
        <f>(1+'Assumptions (Oil G&amp;T)'!W43)*'Assumptions (Oil G&amp;T)'!W36-X3308</f>
        <v>159.487154</v>
      </c>
      <c r="Y3197" s="95">
        <f>(1+'Assumptions (Oil G&amp;T)'!X43)*'Assumptions (Oil G&amp;T)'!X36-Y3308</f>
        <v>169.0168966</v>
      </c>
      <c r="Z3197" s="95">
        <f>(1+'Assumptions (Oil G&amp;T)'!Y43)*'Assumptions (Oil G&amp;T)'!Y36-Z3308</f>
        <v>178.4639557</v>
      </c>
      <c r="AA3197" s="95">
        <f>(1+'Assumptions (Oil G&amp;T)'!Z43)*'Assumptions (Oil G&amp;T)'!Z36-AA3308</f>
        <v>187.9617301</v>
      </c>
      <c r="AB3197" s="95">
        <f>(1+'Assumptions (Oil G&amp;T)'!AA43)*'Assumptions (Oil G&amp;T)'!AA36-AB3308</f>
        <v>197.3748189</v>
      </c>
      <c r="AC3197" s="95">
        <f>(1+'Assumptions (Oil G&amp;T)'!AB43)*'Assumptions (Oil G&amp;T)'!AB36-AC3308</f>
        <v>206.7423479</v>
      </c>
      <c r="AD3197" s="95">
        <f>(1+'Assumptions (Oil G&amp;T)'!AC43)*'Assumptions (Oil G&amp;T)'!AC36-AD3308</f>
        <v>216.0778514</v>
      </c>
      <c r="AE3197" s="95">
        <f>(1+'Assumptions (Oil G&amp;T)'!AD43)*'Assumptions (Oil G&amp;T)'!AD36-AE3308</f>
        <v>225.316329</v>
      </c>
      <c r="AF3197" s="95">
        <f>(1+'Assumptions (Oil G&amp;T)'!AE43)*'Assumptions (Oil G&amp;T)'!AE36-AF3308</f>
        <v>234.5075862</v>
      </c>
      <c r="AG3197" s="95">
        <f>(1+'Assumptions (Oil G&amp;T)'!AF43)*'Assumptions (Oil G&amp;T)'!AF36-AG3308</f>
        <v>243.6836319</v>
      </c>
      <c r="AH3197" s="95">
        <f>(1+'Assumptions (Oil G&amp;T)'!AG43)*'Assumptions (Oil G&amp;T)'!AG36-AH3308</f>
        <v>252.8008909</v>
      </c>
      <c r="AI3197" s="95">
        <f>(1+'Assumptions (Oil G&amp;T)'!AH43)*'Assumptions (Oil G&amp;T)'!AH36-AI3308</f>
        <v>261.8722258</v>
      </c>
      <c r="AJ3197" s="95">
        <f>(1+'Assumptions (Oil G&amp;T)'!AI43)*'Assumptions (Oil G&amp;T)'!AI36-AJ3308</f>
        <v>271.2644821</v>
      </c>
      <c r="AK3197" s="95">
        <f>(1+'Assumptions (Oil G&amp;T)'!AJ43)*'Assumptions (Oil G&amp;T)'!AJ36-AK3308</f>
        <v>281.0658176</v>
      </c>
      <c r="AL3197" s="95">
        <f>(1+'Assumptions (Oil G&amp;T)'!AK43)*'Assumptions (Oil G&amp;T)'!AK36-AL3308</f>
        <v>290.9100737</v>
      </c>
      <c r="AM3197" s="95">
        <f>(1+'Assumptions (Oil G&amp;T)'!AL43)*'Assumptions (Oil G&amp;T)'!AL36-AM3308</f>
        <v>300.5334137</v>
      </c>
      <c r="AN3197" s="95">
        <f>(1+'Assumptions (Oil G&amp;T)'!AM43)*'Assumptions (Oil G&amp;T)'!AM36-AN3308</f>
        <v>310.2188264</v>
      </c>
      <c r="AO3197" s="95">
        <f>(1+'Assumptions (Oil G&amp;T)'!AN43)*'Assumptions (Oil G&amp;T)'!AN36-AO3308</f>
        <v>320.1652673</v>
      </c>
      <c r="AP3197" s="95">
        <f>(1+'Assumptions (Oil G&amp;T)'!AO43)*'Assumptions (Oil G&amp;T)'!AO36-AP3308</f>
        <v>330.2230513</v>
      </c>
      <c r="AQ3197" s="95">
        <f>(1+'Assumptions (Oil G&amp;T)'!AP43)*'Assumptions (Oil G&amp;T)'!AP36-AQ3308</f>
        <v>340.3651726</v>
      </c>
      <c r="AR3197" s="95">
        <f>(1+'Assumptions (Oil G&amp;T)'!AQ43)*'Assumptions (Oil G&amp;T)'!AQ36-AR3308</f>
        <v>350.5771865</v>
      </c>
      <c r="AS3197" s="95">
        <f>(1+'Assumptions (Oil G&amp;T)'!AR43)*'Assumptions (Oil G&amp;T)'!AR36-AS3308</f>
        <v>360.8120197</v>
      </c>
      <c r="AT3197" s="95">
        <f>(1+'Assumptions (Oil G&amp;T)'!AS43)*'Assumptions (Oil G&amp;T)'!AS36-AT3308</f>
        <v>371.0838453</v>
      </c>
      <c r="AU3197" s="95">
        <f>(1+'Assumptions (Oil G&amp;T)'!AT43)*'Assumptions (Oil G&amp;T)'!AT36-AU3308</f>
        <v>381.4119079</v>
      </c>
      <c r="AV3197" s="95">
        <f>(1+'Assumptions (Oil G&amp;T)'!AU43)*'Assumptions (Oil G&amp;T)'!AU36-AV3308</f>
        <v>391.7957908</v>
      </c>
      <c r="AW3197" s="95">
        <f>(1+'Assumptions (Oil G&amp;T)'!AV43)*'Assumptions (Oil G&amp;T)'!AV36-AW3308</f>
        <v>402.2708358</v>
      </c>
      <c r="AX3197" s="95">
        <f>(1+'Assumptions (Oil G&amp;T)'!AW43)*'Assumptions (Oil G&amp;T)'!AW36-AX3308</f>
        <v>412.8182133</v>
      </c>
      <c r="AY3197" s="95">
        <f>(1+'Assumptions (Oil G&amp;T)'!AX43)*'Assumptions (Oil G&amp;T)'!AX36-AY3308</f>
        <v>423.4207395</v>
      </c>
      <c r="AZ3197" s="95">
        <f>(1+'Assumptions (Oil G&amp;T)'!AY43)*'Assumptions (Oil G&amp;T)'!AY36-AZ3308</f>
        <v>434.0771354</v>
      </c>
      <c r="BA3197" s="95">
        <f>(1+'Assumptions (Oil G&amp;T)'!AZ43)*'Assumptions (Oil G&amp;T)'!AZ36-BA3308</f>
        <v>444.8240693</v>
      </c>
    </row>
    <row r="3198" ht="15.75" customHeight="1">
      <c r="A3198" s="386" t="s">
        <v>455</v>
      </c>
      <c r="B3198" s="150" t="s">
        <v>351</v>
      </c>
      <c r="C3198" s="95">
        <f>(1+'Assumptions (Oil G&amp;T)'!B43)*'Assumptions (Oil G&amp;T)'!B38</f>
        <v>1.162156281</v>
      </c>
      <c r="D3198" s="95">
        <f>(1+'Assumptions (Oil G&amp;T)'!C43)*'Assumptions (Oil G&amp;T)'!C38</f>
        <v>0.7414276366</v>
      </c>
      <c r="E3198" s="95">
        <f>(1+'Assumptions (Oil G&amp;T)'!D43)*'Assumptions (Oil G&amp;T)'!D38</f>
        <v>0.7282383729</v>
      </c>
      <c r="F3198" s="95">
        <f>(1+'Assumptions (Oil G&amp;T)'!E43)*'Assumptions (Oil G&amp;T)'!E38</f>
        <v>0.4339595656</v>
      </c>
      <c r="G3198" s="95">
        <f>(1+'Assumptions (Oil G&amp;T)'!F43)*'Assumptions (Oil G&amp;T)'!F38</f>
        <v>0.8353421819</v>
      </c>
      <c r="H3198" s="95">
        <f>(1+'Assumptions (Oil G&amp;T)'!G43)*'Assumptions (Oil G&amp;T)'!G38</f>
        <v>0.8423377435</v>
      </c>
      <c r="I3198" s="95">
        <f>(1+'Assumptions (Oil G&amp;T)'!H43)*'Assumptions (Oil G&amp;T)'!H38</f>
        <v>0.7317302363</v>
      </c>
      <c r="J3198" s="95">
        <f>(1+'Assumptions (Oil G&amp;T)'!I43)*'Assumptions (Oil G&amp;T)'!I38</f>
        <v>0.7091240205</v>
      </c>
      <c r="K3198" s="95">
        <f>(1+'Assumptions (Oil G&amp;T)'!J43)*'Assumptions (Oil G&amp;T)'!J38</f>
        <v>0.6242781153</v>
      </c>
      <c r="L3198" s="95">
        <f>(1+'Assumptions (Oil G&amp;T)'!K43)*'Assumptions (Oil G&amp;T)'!K38</f>
        <v>0.6566317932</v>
      </c>
      <c r="M3198" s="95">
        <f>(1+'Assumptions (Oil G&amp;T)'!L43)*'Assumptions (Oil G&amp;T)'!L38</f>
        <v>0.6694827109</v>
      </c>
      <c r="N3198" s="95">
        <f>(1+'Assumptions (Oil G&amp;T)'!M43)*'Assumptions (Oil G&amp;T)'!M38</f>
        <v>0.4274040079</v>
      </c>
      <c r="O3198" s="95">
        <f>(1+'Assumptions (Oil G&amp;T)'!N43)*'Assumptions (Oil G&amp;T)'!N38</f>
        <v>0.4098509541</v>
      </c>
      <c r="P3198" s="95">
        <f>(1+'Assumptions (Oil G&amp;T)'!O43)*'Assumptions (Oil G&amp;T)'!O38</f>
        <v>0.7880573697</v>
      </c>
      <c r="Q3198" s="95">
        <f>(1+'Assumptions (Oil G&amp;T)'!P43)*'Assumptions (Oil G&amp;T)'!P38</f>
        <v>0.8592106884</v>
      </c>
      <c r="R3198" s="95">
        <f>(1+'Assumptions (Oil G&amp;T)'!Q43)*'Assumptions (Oil G&amp;T)'!Q38</f>
        <v>1.116651846</v>
      </c>
      <c r="S3198" s="95">
        <f>(1+'Assumptions (Oil G&amp;T)'!R43)*'Assumptions (Oil G&amp;T)'!R38</f>
        <v>1.291272725</v>
      </c>
      <c r="T3198" s="95">
        <f>(1+'Assumptions (Oil G&amp;T)'!S43)*'Assumptions (Oil G&amp;T)'!S38</f>
        <v>0.7603155789</v>
      </c>
      <c r="U3198" s="95">
        <f>(1+'Assumptions (Oil G&amp;T)'!T43)*'Assumptions (Oil G&amp;T)'!T38</f>
        <v>0.7754308527</v>
      </c>
      <c r="V3198" s="95">
        <f>(1+'Assumptions (Oil G&amp;T)'!U43)*'Assumptions (Oil G&amp;T)'!U38</f>
        <v>0.7886307482</v>
      </c>
      <c r="W3198" s="95">
        <f>(1+'Assumptions (Oil G&amp;T)'!V43)*'Assumptions (Oil G&amp;T)'!V38</f>
        <v>0.801869419</v>
      </c>
      <c r="X3198" s="95">
        <f>(1+'Assumptions (Oil G&amp;T)'!W43)*'Assumptions (Oil G&amp;T)'!W38</f>
        <v>0.8434766869</v>
      </c>
      <c r="Y3198" s="95">
        <f>(1+'Assumptions (Oil G&amp;T)'!X43)*'Assumptions (Oil G&amp;T)'!X38</f>
        <v>0.8916573238</v>
      </c>
      <c r="Z3198" s="95">
        <f>(1+'Assumptions (Oil G&amp;T)'!Y43)*'Assumptions (Oil G&amp;T)'!Y38</f>
        <v>0.9031684299</v>
      </c>
      <c r="AA3198" s="95">
        <f>(1+'Assumptions (Oil G&amp;T)'!Z43)*'Assumptions (Oil G&amp;T)'!Z38</f>
        <v>0.9080526234</v>
      </c>
      <c r="AB3198" s="95">
        <f>(1+'Assumptions (Oil G&amp;T)'!AA43)*'Assumptions (Oil G&amp;T)'!AA38</f>
        <v>0.884874932</v>
      </c>
      <c r="AC3198" s="95">
        <f>(1+'Assumptions (Oil G&amp;T)'!AB43)*'Assumptions (Oil G&amp;T)'!AB38</f>
        <v>0.8397196216</v>
      </c>
      <c r="AD3198" s="95">
        <f>(1+'Assumptions (Oil G&amp;T)'!AC43)*'Assumptions (Oil G&amp;T)'!AC38</f>
        <v>0.848542293</v>
      </c>
      <c r="AE3198" s="95">
        <f>(1+'Assumptions (Oil G&amp;T)'!AD43)*'Assumptions (Oil G&amp;T)'!AD38</f>
        <v>0.8566657864</v>
      </c>
      <c r="AF3198" s="95">
        <f>(1+'Assumptions (Oil G&amp;T)'!AE43)*'Assumptions (Oil G&amp;T)'!AE38</f>
        <v>0.8642252351</v>
      </c>
      <c r="AG3198" s="95">
        <f>(1+'Assumptions (Oil G&amp;T)'!AF43)*'Assumptions (Oil G&amp;T)'!AF38</f>
        <v>0.8711536591</v>
      </c>
      <c r="AH3198" s="95">
        <f>(1+'Assumptions (Oil G&amp;T)'!AG43)*'Assumptions (Oil G&amp;T)'!AG38</f>
        <v>0.8742288783</v>
      </c>
      <c r="AI3198" s="95">
        <f>(1+'Assumptions (Oil G&amp;T)'!AH43)*'Assumptions (Oil G&amp;T)'!AH38</f>
        <v>0.8722923843</v>
      </c>
      <c r="AJ3198" s="95">
        <f>(1+'Assumptions (Oil G&amp;T)'!AI43)*'Assumptions (Oil G&amp;T)'!AI38</f>
        <v>0.8688617126</v>
      </c>
      <c r="AK3198" s="95">
        <f>(1+'Assumptions (Oil G&amp;T)'!AJ43)*'Assumptions (Oil G&amp;T)'!AJ38</f>
        <v>0.8645071669</v>
      </c>
      <c r="AL3198" s="95">
        <f>(1+'Assumptions (Oil G&amp;T)'!AK43)*'Assumptions (Oil G&amp;T)'!AK38</f>
        <v>0.8622440819</v>
      </c>
      <c r="AM3198" s="95">
        <f>(1+'Assumptions (Oil G&amp;T)'!AL43)*'Assumptions (Oil G&amp;T)'!AL38</f>
        <v>0.8647467997</v>
      </c>
      <c r="AN3198" s="95">
        <f>(1+'Assumptions (Oil G&amp;T)'!AM43)*'Assumptions (Oil G&amp;T)'!AM38</f>
        <v>0.8665473005</v>
      </c>
      <c r="AO3198" s="95">
        <f>(1+'Assumptions (Oil G&amp;T)'!AN43)*'Assumptions (Oil G&amp;T)'!AN38</f>
        <v>0.8676452465</v>
      </c>
      <c r="AP3198" s="95">
        <f>(1+'Assumptions (Oil G&amp;T)'!AO43)*'Assumptions (Oil G&amp;T)'!AO38</f>
        <v>0.8680252478</v>
      </c>
      <c r="AQ3198" s="95">
        <f>(1+'Assumptions (Oil G&amp;T)'!AP43)*'Assumptions (Oil G&amp;T)'!AP38</f>
        <v>0.8676776465</v>
      </c>
      <c r="AR3198" s="95">
        <f>(1+'Assumptions (Oil G&amp;T)'!AQ43)*'Assumptions (Oil G&amp;T)'!AQ38</f>
        <v>0.8669497319</v>
      </c>
      <c r="AS3198" s="95">
        <f>(1+'Assumptions (Oil G&amp;T)'!AR43)*'Assumptions (Oil G&amp;T)'!AR38</f>
        <v>0.8663561038</v>
      </c>
      <c r="AT3198" s="95">
        <f>(1+'Assumptions (Oil G&amp;T)'!AS43)*'Assumptions (Oil G&amp;T)'!AS38</f>
        <v>0.8660777028</v>
      </c>
      <c r="AU3198" s="95">
        <f>(1+'Assumptions (Oil G&amp;T)'!AT43)*'Assumptions (Oil G&amp;T)'!AT38</f>
        <v>0.8662522068</v>
      </c>
      <c r="AV3198" s="95">
        <f>(1+'Assumptions (Oil G&amp;T)'!AU43)*'Assumptions (Oil G&amp;T)'!AU38</f>
        <v>0.866697554</v>
      </c>
      <c r="AW3198" s="95">
        <f>(1+'Assumptions (Oil G&amp;T)'!AV43)*'Assumptions (Oil G&amp;T)'!AV38</f>
        <v>0.8669143045</v>
      </c>
      <c r="AX3198" s="95">
        <f>(1+'Assumptions (Oil G&amp;T)'!AW43)*'Assumptions (Oil G&amp;T)'!AW38</f>
        <v>0.8669550827</v>
      </c>
      <c r="AY3198" s="95">
        <f>(1+'Assumptions (Oil G&amp;T)'!AX43)*'Assumptions (Oil G&amp;T)'!AX38</f>
        <v>0.8668783979</v>
      </c>
      <c r="AZ3198" s="95">
        <f>(1+'Assumptions (Oil G&amp;T)'!AY43)*'Assumptions (Oil G&amp;T)'!AY38</f>
        <v>0.8667509701</v>
      </c>
      <c r="BA3198" s="95">
        <f>(1+'Assumptions (Oil G&amp;T)'!AZ43)*'Assumptions (Oil G&amp;T)'!AZ38</f>
        <v>0.8666480061</v>
      </c>
    </row>
    <row r="3199" ht="15.75" customHeight="1">
      <c r="A3199" s="386" t="s">
        <v>371</v>
      </c>
      <c r="B3199" s="150" t="s">
        <v>351</v>
      </c>
      <c r="C3199" s="95">
        <f>(1+'Assumptions (Oil G&amp;T)'!B43)*'Assumptions (Oil G&amp;T)'!B39</f>
        <v>0.1237034036</v>
      </c>
      <c r="D3199" s="95">
        <f>(1+'Assumptions (Oil G&amp;T)'!C43)*'Assumptions (Oil G&amp;T)'!C39</f>
        <v>-0.1214116157</v>
      </c>
      <c r="E3199" s="95">
        <f>(1+'Assumptions (Oil G&amp;T)'!D43)*'Assumptions (Oil G&amp;T)'!D39</f>
        <v>-0.6013816279</v>
      </c>
      <c r="F3199" s="95">
        <f>(1+'Assumptions (Oil G&amp;T)'!E43)*'Assumptions (Oil G&amp;T)'!E39</f>
        <v>-0.3133012126</v>
      </c>
      <c r="G3199" s="95">
        <f>(1+'Assumptions (Oil G&amp;T)'!F43)*'Assumptions (Oil G&amp;T)'!F39</f>
        <v>-0.3867516091</v>
      </c>
      <c r="H3199" s="95">
        <f>(1+'Assumptions (Oil G&amp;T)'!G43)*'Assumptions (Oil G&amp;T)'!G39</f>
        <v>0.3474744941</v>
      </c>
      <c r="I3199" s="95">
        <f>(1+'Assumptions (Oil G&amp;T)'!H43)*'Assumptions (Oil G&amp;T)'!H39</f>
        <v>0.2256731791</v>
      </c>
      <c r="J3199" s="95">
        <f>(1+'Assumptions (Oil G&amp;T)'!I43)*'Assumptions (Oil G&amp;T)'!I39</f>
        <v>-1.03533127</v>
      </c>
      <c r="K3199" s="95">
        <f>(1+'Assumptions (Oil G&amp;T)'!J43)*'Assumptions (Oil G&amp;T)'!J39</f>
        <v>-1.313218684</v>
      </c>
      <c r="L3199" s="95">
        <f>(1+'Assumptions (Oil G&amp;T)'!K43)*'Assumptions (Oil G&amp;T)'!K39</f>
        <v>-0.4217405925</v>
      </c>
      <c r="M3199" s="95">
        <f>(1+'Assumptions (Oil G&amp;T)'!L43)*'Assumptions (Oil G&amp;T)'!L39</f>
        <v>-1.244231821</v>
      </c>
      <c r="N3199" s="95">
        <f>(1+'Assumptions (Oil G&amp;T)'!M43)*'Assumptions (Oil G&amp;T)'!M39</f>
        <v>-0.09480408295</v>
      </c>
      <c r="O3199" s="95">
        <f>(1+'Assumptions (Oil G&amp;T)'!N43)*'Assumptions (Oil G&amp;T)'!N39</f>
        <v>-1.739977101</v>
      </c>
      <c r="P3199" s="95">
        <f>(1+'Assumptions (Oil G&amp;T)'!O43)*'Assumptions (Oil G&amp;T)'!O39</f>
        <v>-0.7632857372</v>
      </c>
      <c r="Q3199" s="95">
        <f>(1+'Assumptions (Oil G&amp;T)'!P43)*'Assumptions (Oil G&amp;T)'!P39</f>
        <v>-6.522886467</v>
      </c>
      <c r="R3199" s="95">
        <f>(1+'Assumptions (Oil G&amp;T)'!Q43)*'Assumptions (Oil G&amp;T)'!Q39</f>
        <v>-6.665502445</v>
      </c>
      <c r="S3199" s="95">
        <f>(1+'Assumptions (Oil G&amp;T)'!R43)*'Assumptions (Oil G&amp;T)'!R39</f>
        <v>-3.078075573</v>
      </c>
      <c r="T3199" s="95">
        <f>(1+'Assumptions (Oil G&amp;T)'!S43)*'Assumptions (Oil G&amp;T)'!S39</f>
        <v>-5.366741937</v>
      </c>
      <c r="U3199" s="95">
        <f>(1+'Assumptions (Oil G&amp;T)'!T43)*'Assumptions (Oil G&amp;T)'!T39</f>
        <v>-7.083969811</v>
      </c>
      <c r="V3199" s="95">
        <f>(1+'Assumptions (Oil G&amp;T)'!U43)*'Assumptions (Oil G&amp;T)'!U39</f>
        <v>-8.412158442</v>
      </c>
      <c r="W3199" s="95">
        <f>(1+'Assumptions (Oil G&amp;T)'!V43)*'Assumptions (Oil G&amp;T)'!V39</f>
        <v>-9.455308243</v>
      </c>
      <c r="X3199" s="95">
        <f>(1+'Assumptions (Oil G&amp;T)'!W43)*'Assumptions (Oil G&amp;T)'!W39</f>
        <v>-9.990368541</v>
      </c>
      <c r="Y3199" s="95">
        <f>(1+'Assumptions (Oil G&amp;T)'!X43)*'Assumptions (Oil G&amp;T)'!X39</f>
        <v>-10.10051963</v>
      </c>
      <c r="Z3199" s="95">
        <f>(1+'Assumptions (Oil G&amp;T)'!Y43)*'Assumptions (Oil G&amp;T)'!Y39</f>
        <v>-10.09574766</v>
      </c>
      <c r="AA3199" s="95">
        <f>(1+'Assumptions (Oil G&amp;T)'!Z43)*'Assumptions (Oil G&amp;T)'!Z39</f>
        <v>-10.36177423</v>
      </c>
      <c r="AB3199" s="95">
        <f>(1+'Assumptions (Oil G&amp;T)'!AA43)*'Assumptions (Oil G&amp;T)'!AA39</f>
        <v>-10.48906584</v>
      </c>
      <c r="AC3199" s="95">
        <f>(1+'Assumptions (Oil G&amp;T)'!AB43)*'Assumptions (Oil G&amp;T)'!AB39</f>
        <v>-10.75603471</v>
      </c>
      <c r="AD3199" s="95">
        <f>(1+'Assumptions (Oil G&amp;T)'!AC43)*'Assumptions (Oil G&amp;T)'!AC39</f>
        <v>-11.07826622</v>
      </c>
      <c r="AE3199" s="95">
        <f>(1+'Assumptions (Oil G&amp;T)'!AD43)*'Assumptions (Oil G&amp;T)'!AD39</f>
        <v>-11.12504929</v>
      </c>
      <c r="AF3199" s="95">
        <f>(1+'Assumptions (Oil G&amp;T)'!AE43)*'Assumptions (Oil G&amp;T)'!AE39</f>
        <v>-11.2633074</v>
      </c>
      <c r="AG3199" s="95">
        <f>(1+'Assumptions (Oil G&amp;T)'!AF43)*'Assumptions (Oil G&amp;T)'!AF39</f>
        <v>-11.36547517</v>
      </c>
      <c r="AH3199" s="95">
        <f>(1+'Assumptions (Oil G&amp;T)'!AG43)*'Assumptions (Oil G&amp;T)'!AG39</f>
        <v>-11.44019415</v>
      </c>
      <c r="AI3199" s="95">
        <f>(1+'Assumptions (Oil G&amp;T)'!AH43)*'Assumptions (Oil G&amp;T)'!AH39</f>
        <v>-11.39217902</v>
      </c>
      <c r="AJ3199" s="95">
        <f>(1+'Assumptions (Oil G&amp;T)'!AI43)*'Assumptions (Oil G&amp;T)'!AI39</f>
        <v>-11.30723391</v>
      </c>
      <c r="AK3199" s="95">
        <f>(1+'Assumptions (Oil G&amp;T)'!AJ43)*'Assumptions (Oil G&amp;T)'!AJ39</f>
        <v>-11.27043512</v>
      </c>
      <c r="AL3199" s="95">
        <f>(1+'Assumptions (Oil G&amp;T)'!AK43)*'Assumptions (Oil G&amp;T)'!AK39</f>
        <v>-11.15126487</v>
      </c>
      <c r="AM3199" s="95">
        <f>(1+'Assumptions (Oil G&amp;T)'!AL43)*'Assumptions (Oil G&amp;T)'!AL39</f>
        <v>-10.9957476</v>
      </c>
      <c r="AN3199" s="95">
        <f>(1+'Assumptions (Oil G&amp;T)'!AM43)*'Assumptions (Oil G&amp;T)'!AM39</f>
        <v>-10.81771777</v>
      </c>
      <c r="AO3199" s="95">
        <f>(1+'Assumptions (Oil G&amp;T)'!AN43)*'Assumptions (Oil G&amp;T)'!AN39</f>
        <v>-10.70365716</v>
      </c>
      <c r="AP3199" s="95">
        <f>(1+'Assumptions (Oil G&amp;T)'!AO43)*'Assumptions (Oil G&amp;T)'!AO39</f>
        <v>-10.60395809</v>
      </c>
      <c r="AQ3199" s="95">
        <f>(1+'Assumptions (Oil G&amp;T)'!AP43)*'Assumptions (Oil G&amp;T)'!AP39</f>
        <v>-10.5002491</v>
      </c>
      <c r="AR3199" s="95">
        <f>(1+'Assumptions (Oil G&amp;T)'!AQ43)*'Assumptions (Oil G&amp;T)'!AQ39</f>
        <v>-10.47044342</v>
      </c>
      <c r="AS3199" s="95">
        <f>(1+'Assumptions (Oil G&amp;T)'!AR43)*'Assumptions (Oil G&amp;T)'!AR39</f>
        <v>-10.39611231</v>
      </c>
      <c r="AT3199" s="95">
        <f>(1+'Assumptions (Oil G&amp;T)'!AS43)*'Assumptions (Oil G&amp;T)'!AS39</f>
        <v>-10.28249092</v>
      </c>
      <c r="AU3199" s="95">
        <f>(1+'Assumptions (Oil G&amp;T)'!AT43)*'Assumptions (Oil G&amp;T)'!AT39</f>
        <v>-10.17532188</v>
      </c>
      <c r="AV3199" s="95">
        <f>(1+'Assumptions (Oil G&amp;T)'!AU43)*'Assumptions (Oil G&amp;T)'!AU39</f>
        <v>-9.98347925</v>
      </c>
      <c r="AW3199" s="95">
        <f>(1+'Assumptions (Oil G&amp;T)'!AV43)*'Assumptions (Oil G&amp;T)'!AV39</f>
        <v>-9.834497614</v>
      </c>
      <c r="AX3199" s="95">
        <f>(1+'Assumptions (Oil G&amp;T)'!AW43)*'Assumptions (Oil G&amp;T)'!AW39</f>
        <v>-9.71694616</v>
      </c>
      <c r="AY3199" s="95">
        <f>(1+'Assumptions (Oil G&amp;T)'!AX43)*'Assumptions (Oil G&amp;T)'!AX39</f>
        <v>-9.600478466</v>
      </c>
      <c r="AZ3199" s="95">
        <f>(1+'Assumptions (Oil G&amp;T)'!AY43)*'Assumptions (Oil G&amp;T)'!AY39</f>
        <v>-9.388007888</v>
      </c>
      <c r="BA3199" s="95">
        <f>(1+'Assumptions (Oil G&amp;T)'!AZ43)*'Assumptions (Oil G&amp;T)'!AZ39</f>
        <v>-9.265809955</v>
      </c>
    </row>
    <row r="3200" ht="15.75" customHeight="1">
      <c r="A3200" s="385" t="s">
        <v>358</v>
      </c>
      <c r="B3200" s="159" t="s">
        <v>351</v>
      </c>
      <c r="C3200" s="95">
        <f>(1+'Assumptions (Oil G&amp;T)'!B43)*'Assumptions (Oil G&amp;T)'!B37</f>
        <v>1.949077341</v>
      </c>
      <c r="D3200" s="95">
        <f>(1+'Assumptions (Oil G&amp;T)'!C43)*'Assumptions (Oil G&amp;T)'!C37</f>
        <v>2.052131844</v>
      </c>
      <c r="E3200" s="95">
        <f>(1+'Assumptions (Oil G&amp;T)'!D43)*'Assumptions (Oil G&amp;T)'!D37</f>
        <v>2.086486495</v>
      </c>
      <c r="F3200" s="95">
        <f>(1+'Assumptions (Oil G&amp;T)'!E43)*'Assumptions (Oil G&amp;T)'!E37</f>
        <v>2.111605894</v>
      </c>
      <c r="G3200" s="95">
        <f>(1+'Assumptions (Oil G&amp;T)'!F43)*'Assumptions (Oil G&amp;T)'!F37</f>
        <v>3.498255582</v>
      </c>
      <c r="H3200" s="95">
        <f>(1+'Assumptions (Oil G&amp;T)'!G43)*'Assumptions (Oil G&amp;T)'!G37</f>
        <v>3.203338061</v>
      </c>
      <c r="I3200" s="95">
        <f>(1+'Assumptions (Oil G&amp;T)'!H43)*'Assumptions (Oil G&amp;T)'!H37</f>
        <v>2.852567921</v>
      </c>
      <c r="J3200" s="95">
        <f>(1+'Assumptions (Oil G&amp;T)'!I43)*'Assumptions (Oil G&amp;T)'!I37</f>
        <v>5.399294779</v>
      </c>
      <c r="K3200" s="95">
        <f>(1+'Assumptions (Oil G&amp;T)'!J43)*'Assumptions (Oil G&amp;T)'!J37</f>
        <v>5.766810164</v>
      </c>
      <c r="L3200" s="95">
        <f>(1+'Assumptions (Oil G&amp;T)'!K43)*'Assumptions (Oil G&amp;T)'!K37</f>
        <v>4.661808593</v>
      </c>
      <c r="M3200" s="95">
        <f>(1+'Assumptions (Oil G&amp;T)'!L43)*'Assumptions (Oil G&amp;T)'!L37</f>
        <v>8.472766811</v>
      </c>
      <c r="N3200" s="95">
        <f>(1+'Assumptions (Oil G&amp;T)'!M43)*'Assumptions (Oil G&amp;T)'!M37</f>
        <v>4.575311624</v>
      </c>
      <c r="O3200" s="95">
        <f>(1+'Assumptions (Oil G&amp;T)'!N43)*'Assumptions (Oil G&amp;T)'!N37</f>
        <v>8.091986004</v>
      </c>
      <c r="P3200" s="95">
        <f>(1+'Assumptions (Oil G&amp;T)'!O43)*'Assumptions (Oil G&amp;T)'!O37</f>
        <v>17.61732686</v>
      </c>
      <c r="Q3200" s="95">
        <f>(1+'Assumptions (Oil G&amp;T)'!P43)*'Assumptions (Oil G&amp;T)'!P37</f>
        <v>24.26279765</v>
      </c>
      <c r="R3200" s="95">
        <f>(1+'Assumptions (Oil G&amp;T)'!Q43)*'Assumptions (Oil G&amp;T)'!Q37</f>
        <v>18.39529843</v>
      </c>
      <c r="S3200" s="95">
        <f>(1+'Assumptions (Oil G&amp;T)'!R43)*'Assumptions (Oil G&amp;T)'!R37</f>
        <v>11.45075472</v>
      </c>
      <c r="T3200" s="95">
        <f>(1+'Assumptions (Oil G&amp;T)'!S43)*'Assumptions (Oil G&amp;T)'!S37</f>
        <v>17.72460659</v>
      </c>
      <c r="U3200" s="95">
        <f>(1+'Assumptions (Oil G&amp;T)'!T43)*'Assumptions (Oil G&amp;T)'!T37</f>
        <v>19.31276753</v>
      </c>
      <c r="V3200" s="95">
        <f>(1+'Assumptions (Oil G&amp;T)'!U43)*'Assumptions (Oil G&amp;T)'!U37</f>
        <v>20.30493132</v>
      </c>
      <c r="W3200" s="95">
        <f>(1+'Assumptions (Oil G&amp;T)'!V43)*'Assumptions (Oil G&amp;T)'!V37</f>
        <v>20.98318822</v>
      </c>
      <c r="X3200" s="95">
        <f>(1+'Assumptions (Oil G&amp;T)'!W43)*'Assumptions (Oil G&amp;T)'!W37</f>
        <v>21.30340437</v>
      </c>
      <c r="Y3200" s="95">
        <f>(1+'Assumptions (Oil G&amp;T)'!X43)*'Assumptions (Oil G&amp;T)'!X37</f>
        <v>21.36725415</v>
      </c>
      <c r="Z3200" s="95">
        <f>(1+'Assumptions (Oil G&amp;T)'!Y43)*'Assumptions (Oil G&amp;T)'!Y37</f>
        <v>21.36450211</v>
      </c>
      <c r="AA3200" s="95">
        <f>(1+'Assumptions (Oil G&amp;T)'!Z43)*'Assumptions (Oil G&amp;T)'!Z37</f>
        <v>21.51602558</v>
      </c>
      <c r="AB3200" s="95">
        <f>(1+'Assumptions (Oil G&amp;T)'!AA43)*'Assumptions (Oil G&amp;T)'!AA37</f>
        <v>21.58719489</v>
      </c>
      <c r="AC3200" s="95">
        <f>(1+'Assumptions (Oil G&amp;T)'!AB43)*'Assumptions (Oil G&amp;T)'!AB37</f>
        <v>21.73376782</v>
      </c>
      <c r="AD3200" s="95">
        <f>(1+'Assumptions (Oil G&amp;T)'!AC43)*'Assumptions (Oil G&amp;T)'!AC37</f>
        <v>21.90603458</v>
      </c>
      <c r="AE3200" s="95">
        <f>(1+'Assumptions (Oil G&amp;T)'!AD43)*'Assumptions (Oil G&amp;T)'!AD37</f>
        <v>21.93063835</v>
      </c>
      <c r="AF3200" s="95">
        <f>(1+'Assumptions (Oil G&amp;T)'!AE43)*'Assumptions (Oil G&amp;T)'!AE37</f>
        <v>22.00276497</v>
      </c>
      <c r="AG3200" s="95">
        <f>(1+'Assumptions (Oil G&amp;T)'!AF43)*'Assumptions (Oil G&amp;T)'!AF37</f>
        <v>22.05551156</v>
      </c>
      <c r="AH3200" s="95">
        <f>(1+'Assumptions (Oil G&amp;T)'!AG43)*'Assumptions (Oil G&amp;T)'!AG37</f>
        <v>22.09379517</v>
      </c>
      <c r="AI3200" s="95">
        <f>(1+'Assumptions (Oil G&amp;T)'!AH43)*'Assumptions (Oil G&amp;T)'!AH37</f>
        <v>22.06922186</v>
      </c>
      <c r="AJ3200" s="95">
        <f>(1+'Assumptions (Oil G&amp;T)'!AI43)*'Assumptions (Oil G&amp;T)'!AI37</f>
        <v>22.02550002</v>
      </c>
      <c r="AK3200" s="95">
        <f>(1+'Assumptions (Oil G&amp;T)'!AJ43)*'Assumptions (Oil G&amp;T)'!AJ37</f>
        <v>22.00645994</v>
      </c>
      <c r="AL3200" s="95">
        <f>(1+'Assumptions (Oil G&amp;T)'!AK43)*'Assumptions (Oil G&amp;T)'!AK37</f>
        <v>21.9443814</v>
      </c>
      <c r="AM3200" s="95">
        <f>(1+'Assumptions (Oil G&amp;T)'!AL43)*'Assumptions (Oil G&amp;T)'!AL37</f>
        <v>21.86238924</v>
      </c>
      <c r="AN3200" s="95">
        <f>(1+'Assumptions (Oil G&amp;T)'!AM43)*'Assumptions (Oil G&amp;T)'!AM37</f>
        <v>21.76712951</v>
      </c>
      <c r="AO3200" s="95">
        <f>(1+'Assumptions (Oil G&amp;T)'!AN43)*'Assumptions (Oil G&amp;T)'!AN37</f>
        <v>21.70529251</v>
      </c>
      <c r="AP3200" s="95">
        <f>(1+'Assumptions (Oil G&amp;T)'!AO43)*'Assumptions (Oil G&amp;T)'!AO37</f>
        <v>21.65071376</v>
      </c>
      <c r="AQ3200" s="95">
        <f>(1+'Assumptions (Oil G&amp;T)'!AP43)*'Assumptions (Oil G&amp;T)'!AP37</f>
        <v>21.59340729</v>
      </c>
      <c r="AR3200" s="95">
        <f>(1+'Assumptions (Oil G&amp;T)'!AQ43)*'Assumptions (Oil G&amp;T)'!AQ37</f>
        <v>21.57683565</v>
      </c>
      <c r="AS3200" s="95">
        <f>(1+'Assumptions (Oil G&amp;T)'!AR43)*'Assumptions (Oil G&amp;T)'!AR37</f>
        <v>21.53530757</v>
      </c>
      <c r="AT3200" s="95">
        <f>(1+'Assumptions (Oil G&amp;T)'!AS43)*'Assumptions (Oil G&amp;T)'!AS37</f>
        <v>21.47126684</v>
      </c>
      <c r="AU3200" s="95">
        <f>(1+'Assumptions (Oil G&amp;T)'!AT43)*'Assumptions (Oil G&amp;T)'!AT37</f>
        <v>21.41022905</v>
      </c>
      <c r="AV3200" s="95">
        <f>(1+'Assumptions (Oil G&amp;T)'!AU43)*'Assumptions (Oil G&amp;T)'!AU37</f>
        <v>21.29938825</v>
      </c>
      <c r="AW3200" s="95">
        <f>(1+'Assumptions (Oil G&amp;T)'!AV43)*'Assumptions (Oil G&amp;T)'!AV37</f>
        <v>21.21187406</v>
      </c>
      <c r="AX3200" s="95">
        <f>(1+'Assumptions (Oil G&amp;T)'!AW43)*'Assumptions (Oil G&amp;T)'!AW37</f>
        <v>21.14190878</v>
      </c>
      <c r="AY3200" s="95">
        <f>(1+'Assumptions (Oil G&amp;T)'!AX43)*'Assumptions (Oil G&amp;T)'!AX37</f>
        <v>21.07177332</v>
      </c>
      <c r="AZ3200" s="95">
        <f>(1+'Assumptions (Oil G&amp;T)'!AY43)*'Assumptions (Oil G&amp;T)'!AY37</f>
        <v>20.9416719</v>
      </c>
      <c r="BA3200" s="95">
        <f>(1+'Assumptions (Oil G&amp;T)'!AZ43)*'Assumptions (Oil G&amp;T)'!AZ37</f>
        <v>20.86554698</v>
      </c>
    </row>
    <row r="3201" ht="15.75" customHeight="1">
      <c r="A3201" s="385" t="s">
        <v>52</v>
      </c>
      <c r="B3201" s="159" t="s">
        <v>351</v>
      </c>
      <c r="C3201" s="95">
        <f>C3200*'Assumptions (Oil G&amp;T)'!$B$71</f>
        <v>1.169446405</v>
      </c>
      <c r="D3201" s="95">
        <f>D3200*'Assumptions (Oil G&amp;T)'!$B$71</f>
        <v>1.231279106</v>
      </c>
      <c r="E3201" s="95">
        <f>E3200*'Assumptions (Oil G&amp;T)'!$B$71</f>
        <v>1.251891897</v>
      </c>
      <c r="F3201" s="95">
        <f>F3200*'Assumptions (Oil G&amp;T)'!$B$71</f>
        <v>1.266963536</v>
      </c>
      <c r="G3201" s="95">
        <f>G3200*'Assumptions (Oil G&amp;T)'!$B$71</f>
        <v>2.098953349</v>
      </c>
      <c r="H3201" s="95">
        <f>H3200*'Assumptions (Oil G&amp;T)'!$B$71</f>
        <v>1.922002836</v>
      </c>
      <c r="I3201" s="95">
        <f>I3200*'Assumptions (Oil G&amp;T)'!$B$71</f>
        <v>1.711540752</v>
      </c>
      <c r="J3201" s="95">
        <f>J3200*'Assumptions (Oil G&amp;T)'!$B$71</f>
        <v>3.239576867</v>
      </c>
      <c r="K3201" s="95">
        <f>K3200*'Assumptions (Oil G&amp;T)'!$B$71</f>
        <v>3.460086098</v>
      </c>
      <c r="L3201" s="95">
        <f>L3200*'Assumptions (Oil G&amp;T)'!$B$71</f>
        <v>2.797085156</v>
      </c>
      <c r="M3201" s="95">
        <f>M3200*'Assumptions (Oil G&amp;T)'!$B$71</f>
        <v>5.083660087</v>
      </c>
      <c r="N3201" s="95">
        <f>N3200*'Assumptions (Oil G&amp;T)'!$B$71</f>
        <v>2.745186974</v>
      </c>
      <c r="O3201" s="95">
        <f>O3200*'Assumptions (Oil G&amp;T)'!$B$71</f>
        <v>4.855191603</v>
      </c>
      <c r="P3201" s="95">
        <f>P3200*'Assumptions (Oil G&amp;T)'!$B$71</f>
        <v>10.57039611</v>
      </c>
      <c r="Q3201" s="95">
        <f>Q3200*'Assumptions (Oil G&amp;T)'!$B$71</f>
        <v>14.55767859</v>
      </c>
      <c r="R3201" s="95">
        <f>R3200*'Assumptions (Oil G&amp;T)'!$B$71</f>
        <v>11.03717906</v>
      </c>
      <c r="S3201" s="95">
        <f>S3200*'Assumptions (Oil G&amp;T)'!$B$71</f>
        <v>6.870452834</v>
      </c>
      <c r="T3201" s="95">
        <f>T3200*'Assumptions (Oil G&amp;T)'!$B$71</f>
        <v>10.63476395</v>
      </c>
      <c r="U3201" s="95">
        <f>U3200*'Assumptions (Oil G&amp;T)'!$B$71</f>
        <v>11.58766052</v>
      </c>
      <c r="V3201" s="95">
        <f>V3200*'Assumptions (Oil G&amp;T)'!$B$71</f>
        <v>12.18295879</v>
      </c>
      <c r="W3201" s="95">
        <f>W3200*'Assumptions (Oil G&amp;T)'!$B$71</f>
        <v>12.58991293</v>
      </c>
      <c r="X3201" s="95">
        <f>X3200*'Assumptions (Oil G&amp;T)'!$B$71</f>
        <v>12.78204262</v>
      </c>
      <c r="Y3201" s="95">
        <f>Y3200*'Assumptions (Oil G&amp;T)'!$B$71</f>
        <v>12.82035249</v>
      </c>
      <c r="Z3201" s="95">
        <f>Z3200*'Assumptions (Oil G&amp;T)'!$B$71</f>
        <v>12.81870126</v>
      </c>
      <c r="AA3201" s="95">
        <f>AA3200*'Assumptions (Oil G&amp;T)'!$B$71</f>
        <v>12.90961535</v>
      </c>
      <c r="AB3201" s="95">
        <f>AB3200*'Assumptions (Oil G&amp;T)'!$B$71</f>
        <v>12.95231693</v>
      </c>
      <c r="AC3201" s="95">
        <f>AC3200*'Assumptions (Oil G&amp;T)'!$B$71</f>
        <v>13.04026069</v>
      </c>
      <c r="AD3201" s="95">
        <f>AD3200*'Assumptions (Oil G&amp;T)'!$B$71</f>
        <v>13.14362075</v>
      </c>
      <c r="AE3201" s="95">
        <f>AE3200*'Assumptions (Oil G&amp;T)'!$B$71</f>
        <v>13.15838301</v>
      </c>
      <c r="AF3201" s="95">
        <f>AF3200*'Assumptions (Oil G&amp;T)'!$B$71</f>
        <v>13.20165898</v>
      </c>
      <c r="AG3201" s="95">
        <f>AG3200*'Assumptions (Oil G&amp;T)'!$B$71</f>
        <v>13.23330694</v>
      </c>
      <c r="AH3201" s="95">
        <f>AH3200*'Assumptions (Oil G&amp;T)'!$B$71</f>
        <v>13.2562771</v>
      </c>
      <c r="AI3201" s="95">
        <f>AI3200*'Assumptions (Oil G&amp;T)'!$B$71</f>
        <v>13.24153312</v>
      </c>
      <c r="AJ3201" s="95">
        <f>AJ3200*'Assumptions (Oil G&amp;T)'!$B$71</f>
        <v>13.21530001</v>
      </c>
      <c r="AK3201" s="95">
        <f>AK3200*'Assumptions (Oil G&amp;T)'!$B$71</f>
        <v>13.20387596</v>
      </c>
      <c r="AL3201" s="95">
        <f>AL3200*'Assumptions (Oil G&amp;T)'!$B$71</f>
        <v>13.16662884</v>
      </c>
      <c r="AM3201" s="95">
        <f>AM3200*'Assumptions (Oil G&amp;T)'!$B$71</f>
        <v>13.11743354</v>
      </c>
      <c r="AN3201" s="95">
        <f>AN3200*'Assumptions (Oil G&amp;T)'!$B$71</f>
        <v>13.06027771</v>
      </c>
      <c r="AO3201" s="95">
        <f>AO3200*'Assumptions (Oil G&amp;T)'!$B$71</f>
        <v>13.0231755</v>
      </c>
      <c r="AP3201" s="95">
        <f>AP3200*'Assumptions (Oil G&amp;T)'!$B$71</f>
        <v>12.99042826</v>
      </c>
      <c r="AQ3201" s="95">
        <f>AQ3200*'Assumptions (Oil G&amp;T)'!$B$71</f>
        <v>12.95604437</v>
      </c>
      <c r="AR3201" s="95">
        <f>AR3200*'Assumptions (Oil G&amp;T)'!$B$71</f>
        <v>12.94610139</v>
      </c>
      <c r="AS3201" s="95">
        <f>AS3200*'Assumptions (Oil G&amp;T)'!$B$71</f>
        <v>12.92118454</v>
      </c>
      <c r="AT3201" s="95">
        <f>AT3200*'Assumptions (Oil G&amp;T)'!$B$71</f>
        <v>12.8827601</v>
      </c>
      <c r="AU3201" s="95">
        <f>AU3200*'Assumptions (Oil G&amp;T)'!$B$71</f>
        <v>12.84613743</v>
      </c>
      <c r="AV3201" s="95">
        <f>AV3200*'Assumptions (Oil G&amp;T)'!$B$71</f>
        <v>12.77963295</v>
      </c>
      <c r="AW3201" s="95">
        <f>AW3200*'Assumptions (Oil G&amp;T)'!$B$71</f>
        <v>12.72712444</v>
      </c>
      <c r="AX3201" s="95">
        <f>AX3200*'Assumptions (Oil G&amp;T)'!$B$71</f>
        <v>12.68514527</v>
      </c>
      <c r="AY3201" s="95">
        <f>AY3200*'Assumptions (Oil G&amp;T)'!$B$71</f>
        <v>12.64306399</v>
      </c>
      <c r="AZ3201" s="95">
        <f>AZ3200*'Assumptions (Oil G&amp;T)'!$B$71</f>
        <v>12.56500314</v>
      </c>
      <c r="BA3201" s="95">
        <f>BA3200*'Assumptions (Oil G&amp;T)'!$B$71</f>
        <v>12.51932819</v>
      </c>
    </row>
    <row r="3202" ht="15.75" customHeight="1">
      <c r="A3202" s="385" t="s">
        <v>54</v>
      </c>
      <c r="B3202" s="159" t="s">
        <v>351</v>
      </c>
      <c r="C3202" s="95">
        <f>C3200*'Assumptions (Oil G&amp;T)'!$B$72</f>
        <v>0.7796309365</v>
      </c>
      <c r="D3202" s="95">
        <f>D3200*'Assumptions (Oil G&amp;T)'!$B$72</f>
        <v>0.8208527376</v>
      </c>
      <c r="E3202" s="95">
        <f>E3200*'Assumptions (Oil G&amp;T)'!$B$72</f>
        <v>0.8345945982</v>
      </c>
      <c r="F3202" s="95">
        <f>F3200*'Assumptions (Oil G&amp;T)'!$B$72</f>
        <v>0.8446423575</v>
      </c>
      <c r="G3202" s="95">
        <f>G3200*'Assumptions (Oil G&amp;T)'!$B$72</f>
        <v>1.399302233</v>
      </c>
      <c r="H3202" s="95">
        <f>H3200*'Assumptions (Oil G&amp;T)'!$B$72</f>
        <v>1.281335224</v>
      </c>
      <c r="I3202" s="95">
        <f>I3200*'Assumptions (Oil G&amp;T)'!$B$72</f>
        <v>1.141027168</v>
      </c>
      <c r="J3202" s="95">
        <f>J3200*'Assumptions (Oil G&amp;T)'!$B$72</f>
        <v>2.159717911</v>
      </c>
      <c r="K3202" s="95">
        <f>K3200*'Assumptions (Oil G&amp;T)'!$B$72</f>
        <v>2.306724066</v>
      </c>
      <c r="L3202" s="95">
        <f>L3200*'Assumptions (Oil G&amp;T)'!$B$72</f>
        <v>1.864723437</v>
      </c>
      <c r="M3202" s="95">
        <f>M3200*'Assumptions (Oil G&amp;T)'!$B$72</f>
        <v>3.389106724</v>
      </c>
      <c r="N3202" s="95">
        <f>N3200*'Assumptions (Oil G&amp;T)'!$B$72</f>
        <v>1.83012465</v>
      </c>
      <c r="O3202" s="95">
        <f>O3200*'Assumptions (Oil G&amp;T)'!$B$72</f>
        <v>3.236794402</v>
      </c>
      <c r="P3202" s="95">
        <f>P3200*'Assumptions (Oil G&amp;T)'!$B$72</f>
        <v>7.046930743</v>
      </c>
      <c r="Q3202" s="95">
        <f>Q3200*'Assumptions (Oil G&amp;T)'!$B$72</f>
        <v>9.70511906</v>
      </c>
      <c r="R3202" s="95">
        <f>R3200*'Assumptions (Oil G&amp;T)'!$B$72</f>
        <v>7.35811937</v>
      </c>
      <c r="S3202" s="95">
        <f>S3200*'Assumptions (Oil G&amp;T)'!$B$72</f>
        <v>4.580301889</v>
      </c>
      <c r="T3202" s="95">
        <f>T3200*'Assumptions (Oil G&amp;T)'!$B$72</f>
        <v>7.089842635</v>
      </c>
      <c r="U3202" s="95">
        <f>U3200*'Assumptions (Oil G&amp;T)'!$B$72</f>
        <v>7.725107012</v>
      </c>
      <c r="V3202" s="95">
        <f>V3200*'Assumptions (Oil G&amp;T)'!$B$72</f>
        <v>8.121972528</v>
      </c>
      <c r="W3202" s="95">
        <f>W3200*'Assumptions (Oil G&amp;T)'!$B$72</f>
        <v>8.393275287</v>
      </c>
      <c r="X3202" s="95">
        <f>X3200*'Assumptions (Oil G&amp;T)'!$B$72</f>
        <v>8.52136175</v>
      </c>
      <c r="Y3202" s="95">
        <f>Y3200*'Assumptions (Oil G&amp;T)'!$B$72</f>
        <v>8.546901661</v>
      </c>
      <c r="Z3202" s="95">
        <f>Z3200*'Assumptions (Oil G&amp;T)'!$B$72</f>
        <v>8.545800842</v>
      </c>
      <c r="AA3202" s="95">
        <f>AA3200*'Assumptions (Oil G&amp;T)'!$B$72</f>
        <v>8.606410233</v>
      </c>
      <c r="AB3202" s="95">
        <f>AB3200*'Assumptions (Oil G&amp;T)'!$B$72</f>
        <v>8.634877955</v>
      </c>
      <c r="AC3202" s="95">
        <f>AC3200*'Assumptions (Oil G&amp;T)'!$B$72</f>
        <v>8.69350713</v>
      </c>
      <c r="AD3202" s="95">
        <f>AD3200*'Assumptions (Oil G&amp;T)'!$B$72</f>
        <v>8.762413831</v>
      </c>
      <c r="AE3202" s="95">
        <f>AE3200*'Assumptions (Oil G&amp;T)'!$B$72</f>
        <v>8.772255341</v>
      </c>
      <c r="AF3202" s="95">
        <f>AF3200*'Assumptions (Oil G&amp;T)'!$B$72</f>
        <v>8.801105989</v>
      </c>
      <c r="AG3202" s="95">
        <f>AG3200*'Assumptions (Oil G&amp;T)'!$B$72</f>
        <v>8.822204624</v>
      </c>
      <c r="AH3202" s="95">
        <f>AH3200*'Assumptions (Oil G&amp;T)'!$B$72</f>
        <v>8.837518067</v>
      </c>
      <c r="AI3202" s="95">
        <f>AI3200*'Assumptions (Oil G&amp;T)'!$B$72</f>
        <v>8.827688744</v>
      </c>
      <c r="AJ3202" s="95">
        <f>AJ3200*'Assumptions (Oil G&amp;T)'!$B$72</f>
        <v>8.81020001</v>
      </c>
      <c r="AK3202" s="95">
        <f>AK3200*'Assumptions (Oil G&amp;T)'!$B$72</f>
        <v>8.802583975</v>
      </c>
      <c r="AL3202" s="95">
        <f>AL3200*'Assumptions (Oil G&amp;T)'!$B$72</f>
        <v>8.777752559</v>
      </c>
      <c r="AM3202" s="95">
        <f>AM3200*'Assumptions (Oil G&amp;T)'!$B$72</f>
        <v>8.744955695</v>
      </c>
      <c r="AN3202" s="95">
        <f>AN3200*'Assumptions (Oil G&amp;T)'!$B$72</f>
        <v>8.706851805</v>
      </c>
      <c r="AO3202" s="95">
        <f>AO3200*'Assumptions (Oil G&amp;T)'!$B$72</f>
        <v>8.682117002</v>
      </c>
      <c r="AP3202" s="95">
        <f>AP3200*'Assumptions (Oil G&amp;T)'!$B$72</f>
        <v>8.660285504</v>
      </c>
      <c r="AQ3202" s="95">
        <f>AQ3200*'Assumptions (Oil G&amp;T)'!$B$72</f>
        <v>8.637362916</v>
      </c>
      <c r="AR3202" s="95">
        <f>AR3200*'Assumptions (Oil G&amp;T)'!$B$72</f>
        <v>8.630734261</v>
      </c>
      <c r="AS3202" s="95">
        <f>AS3200*'Assumptions (Oil G&amp;T)'!$B$72</f>
        <v>8.614123029</v>
      </c>
      <c r="AT3202" s="95">
        <f>AT3200*'Assumptions (Oil G&amp;T)'!$B$72</f>
        <v>8.588506737</v>
      </c>
      <c r="AU3202" s="95">
        <f>AU3200*'Assumptions (Oil G&amp;T)'!$B$72</f>
        <v>8.564091619</v>
      </c>
      <c r="AV3202" s="95">
        <f>AV3200*'Assumptions (Oil G&amp;T)'!$B$72</f>
        <v>8.519755301</v>
      </c>
      <c r="AW3202" s="95">
        <f>AW3200*'Assumptions (Oil G&amp;T)'!$B$72</f>
        <v>8.484749625</v>
      </c>
      <c r="AX3202" s="95">
        <f>AX3200*'Assumptions (Oil G&amp;T)'!$B$72</f>
        <v>8.456763512</v>
      </c>
      <c r="AY3202" s="95">
        <f>AY3200*'Assumptions (Oil G&amp;T)'!$B$72</f>
        <v>8.428709328</v>
      </c>
      <c r="AZ3202" s="95">
        <f>AZ3200*'Assumptions (Oil G&amp;T)'!$B$72</f>
        <v>8.376668761</v>
      </c>
      <c r="BA3202" s="95">
        <f>BA3200*'Assumptions (Oil G&amp;T)'!$B$72</f>
        <v>8.346218793</v>
      </c>
    </row>
    <row r="3203" ht="15.75" customHeight="1">
      <c r="A3203" s="385" t="s">
        <v>359</v>
      </c>
      <c r="B3203" s="159" t="s">
        <v>351</v>
      </c>
      <c r="C3203" s="177">
        <f t="array" ref="C3203">SUM(IF(ISERROR(C3204:C3254),"",C3204:C3254))</f>
        <v>-0.04477487079</v>
      </c>
      <c r="D3203" s="177">
        <f t="array" ref="D3203">SUM(IF(ISERROR(D3204:D3254),"",D3204:D3254))</f>
        <v>-0.09527526014</v>
      </c>
      <c r="E3203" s="177">
        <f t="array" ref="E3203">SUM(IF(ISERROR(E3204:E3254),"",E3204:E3254))</f>
        <v>-0.1503523855</v>
      </c>
      <c r="F3203" s="177">
        <f t="array" ref="F3203">SUM(IF(ISERROR(F3204:F3254),"",F3204:F3254))</f>
        <v>-0.2101373466</v>
      </c>
      <c r="G3203" s="177">
        <f t="array" ref="G3203">SUM(IF(ISERROR(G3204:G3254),"",G3204:G3254))</f>
        <v>-0.3062607704</v>
      </c>
      <c r="H3203" s="177">
        <f t="array" ref="H3203">SUM(IF(ISERROR(H3204:H3254),"",H3204:H3254))</f>
        <v>-0.4028185049</v>
      </c>
      <c r="I3203" s="177">
        <f t="array" ref="I3203">SUM(IF(ISERROR(I3204:I3254),"",I3204:I3254))</f>
        <v>-0.4985600579</v>
      </c>
      <c r="J3203" s="177">
        <f t="array" ref="J3203">SUM(IF(ISERROR(J3204:J3254),"",J3204:J3254))</f>
        <v>-0.6599865071</v>
      </c>
      <c r="K3203" s="177">
        <f t="array" ref="K3203">SUM(IF(ISERROR(K3204:K3254),"",K3204:K3254))</f>
        <v>-0.841962629</v>
      </c>
      <c r="L3203" s="177">
        <f t="array" ref="L3203">SUM(IF(ISERROR(L3204:L3254),"",L3204:L3254))</f>
        <v>-1.012202486</v>
      </c>
      <c r="M3203" s="177">
        <f t="array" ref="M3203">SUM(IF(ISERROR(M3204:M3254),"",M3204:M3254))</f>
        <v>-1.282756968</v>
      </c>
      <c r="N3203" s="177">
        <f t="array" ref="N3203">SUM(IF(ISERROR(N3204:N3254),"",N3204:N3254))</f>
        <v>-1.484069362</v>
      </c>
      <c r="O3203" s="177">
        <f t="array" ref="O3203">SUM(IF(ISERROR(O3204:O3254),"",O3204:O3254))</f>
        <v>-1.781266433</v>
      </c>
      <c r="P3203" s="177">
        <f t="array" ref="P3203">SUM(IF(ISERROR(P3204:P3254),"",P3204:P3254))</f>
        <v>-2.319572668</v>
      </c>
      <c r="Q3203" s="177">
        <f t="array" ref="Q3203">SUM(IF(ISERROR(Q3204:Q3254),"",Q3204:Q3254))</f>
        <v>-3.050913898</v>
      </c>
      <c r="R3203" s="177">
        <f t="array" ref="R3203">SUM(IF(ISERROR(R3204:R3254),"",R3204:R3254))</f>
        <v>-3.569832171</v>
      </c>
      <c r="S3203" s="177">
        <f t="array" ref="S3203">SUM(IF(ISERROR(S3204:S3254),"",S3204:S3254))</f>
        <v>-3.961132028</v>
      </c>
      <c r="T3203" s="177">
        <f t="array" ref="T3203">SUM(IF(ISERROR(T3204:T3254),"",T3204:T3254))</f>
        <v>-4.523569277</v>
      </c>
      <c r="U3203" s="177">
        <f t="array" ref="U3203">SUM(IF(ISERROR(U3204:U3254),"",U3204:U3254))</f>
        <v>-5.162965671</v>
      </c>
      <c r="V3203" s="177">
        <f t="array" ref="V3203">SUM(IF(ISERROR(V3204:V3254),"",V3204:V3254))</f>
        <v>-5.778855294</v>
      </c>
      <c r="W3203" s="177">
        <f t="array" ref="W3203">SUM(IF(ISERROR(W3204:W3254),"",W3204:W3254))</f>
        <v>-6.476564022</v>
      </c>
      <c r="X3203" s="177">
        <f t="array" ref="X3203">SUM(IF(ISERROR(X3204:X3254),"",X3204:X3254))</f>
        <v>-7.257799688</v>
      </c>
      <c r="Y3203" s="177">
        <f t="array" ref="Y3203">SUM(IF(ISERROR(Y3204:Y3254),"",Y3204:Y3254))</f>
        <v>-7.92598782</v>
      </c>
      <c r="Z3203" s="177">
        <f t="array" ref="Z3203">SUM(IF(ISERROR(Z3204:Z3254),"",Z3204:Z3254))</f>
        <v>-8.619245959</v>
      </c>
      <c r="AA3203" s="177">
        <f t="array" ref="AA3203">SUM(IF(ISERROR(AA3204:AA3254),"",AA3204:AA3254))</f>
        <v>-9.443088851</v>
      </c>
      <c r="AB3203" s="177">
        <f t="array" ref="AB3203">SUM(IF(ISERROR(AB3204:AB3254),"",AB3204:AB3254))</f>
        <v>-10.07131513</v>
      </c>
      <c r="AC3203" s="177">
        <f t="array" ref="AC3203">SUM(IF(ISERROR(AC3204:AC3254),"",AC3204:AC3254))</f>
        <v>-11.01494466</v>
      </c>
      <c r="AD3203" s="177">
        <f t="array" ref="AD3203">SUM(IF(ISERROR(AD3204:AD3254),"",AD3204:AD3254))</f>
        <v>-11.79426719</v>
      </c>
      <c r="AE3203" s="177">
        <f t="array" ref="AE3203">SUM(IF(ISERROR(AE3204:AE3254),"",AE3204:AE3254))</f>
        <v>-11.98514438</v>
      </c>
      <c r="AF3203" s="177">
        <f t="array" ref="AF3203">SUM(IF(ISERROR(AF3204:AF3254),"",AF3204:AF3254))</f>
        <v>-11.74028608</v>
      </c>
      <c r="AG3203" s="177">
        <f t="array" ref="AG3203">SUM(IF(ISERROR(AG3204:AG3254),"",AG3204:AG3254))</f>
        <v>-11.87710277</v>
      </c>
      <c r="AH3203" s="177">
        <f t="array" ref="AH3203">SUM(IF(ISERROR(AH3204:AH3254),"",AH3204:AH3254))</f>
        <v>-12.49709708</v>
      </c>
      <c r="AI3203" s="177">
        <f t="array" ref="AI3203">SUM(IF(ISERROR(AI3204:AI3254),"",AI3204:AI3254))</f>
        <v>-12.73657805</v>
      </c>
      <c r="AJ3203" s="177">
        <f t="array" ref="AJ3203">SUM(IF(ISERROR(AJ3204:AJ3254),"",AJ3204:AJ3254))</f>
        <v>-12.88506468</v>
      </c>
      <c r="AK3203" s="177">
        <f t="array" ref="AK3203">SUM(IF(ISERROR(AK3204:AK3254),"",AK3204:AK3254))</f>
        <v>-12.97681072</v>
      </c>
      <c r="AL3203" s="177">
        <f t="array" ref="AL3203">SUM(IF(ISERROR(AL3204:AL3254),"",AL3204:AL3254))</f>
        <v>-13.02790891</v>
      </c>
      <c r="AM3203" s="177">
        <f t="array" ref="AM3203">SUM(IF(ISERROR(AM3204:AM3254),"",AM3204:AM3254))</f>
        <v>-13.05919008</v>
      </c>
      <c r="AN3203" s="177">
        <f t="array" ref="AN3203">SUM(IF(ISERROR(AN3204:AN3254),"",AN3204:AN3254))</f>
        <v>-13.08628897</v>
      </c>
      <c r="AO3203" s="177">
        <f t="array" ref="AO3203">SUM(IF(ISERROR(AO3204:AO3254),"",AO3204:AO3254))</f>
        <v>-13.1141868</v>
      </c>
      <c r="AP3203" s="177">
        <f t="array" ref="AP3203">SUM(IF(ISERROR(AP3204:AP3254),"",AP3204:AP3254))</f>
        <v>-13.13262376</v>
      </c>
      <c r="AQ3203" s="177">
        <f t="array" ref="AQ3203">SUM(IF(ISERROR(AQ3204:AQ3254),"",AQ3204:AQ3254))</f>
        <v>-13.14628949</v>
      </c>
      <c r="AR3203" s="177">
        <f t="array" ref="AR3203">SUM(IF(ISERROR(AR3204:AR3254),"",AR3204:AR3254))</f>
        <v>-13.15063655</v>
      </c>
      <c r="AS3203" s="177">
        <f t="array" ref="AS3203">SUM(IF(ISERROR(AS3204:AS3254),"",AS3204:AS3254))</f>
        <v>-13.14264626</v>
      </c>
      <c r="AT3203" s="177">
        <f t="array" ref="AT3203">SUM(IF(ISERROR(AT3204:AT3254),"",AT3204:AT3254))</f>
        <v>-13.13091317</v>
      </c>
      <c r="AU3203" s="177">
        <f t="array" ref="AU3203">SUM(IF(ISERROR(AU3204:AU3254),"",AU3204:AU3254))</f>
        <v>-13.11199529</v>
      </c>
      <c r="AV3203" s="177">
        <f t="array" ref="AV3203">SUM(IF(ISERROR(AV3204:AV3254),"",AV3204:AV3254))</f>
        <v>-13.085527</v>
      </c>
      <c r="AW3203" s="177">
        <f t="array" ref="AW3203">SUM(IF(ISERROR(AW3204:AW3254),"",AW3204:AW3254))</f>
        <v>-13.05246095</v>
      </c>
      <c r="AX3203" s="177">
        <f t="array" ref="AX3203">SUM(IF(ISERROR(AX3204:AX3254),"",AX3204:AX3254))</f>
        <v>-13.01697798</v>
      </c>
      <c r="AY3203" s="177">
        <f t="array" ref="AY3203">SUM(IF(ISERROR(AY3204:AY3254),"",AY3204:AY3254))</f>
        <v>-12.98019449</v>
      </c>
      <c r="AZ3203" s="177">
        <f t="array" ref="AZ3203">SUM(IF(ISERROR(AZ3204:AZ3254),"",AZ3204:AZ3254))</f>
        <v>-12.93895771</v>
      </c>
      <c r="BA3203" s="177">
        <f t="array" ref="BA3203">SUM(IF(ISERROR(BA3204:BA3254),"",BA3204:BA3254))</f>
        <v>-12.89709902</v>
      </c>
      <c r="BB3203" s="177">
        <f t="array" ref="BB3203">SUM(IF(ISERROR(BB3204:BB3254),"",BB3204:BB3254))</f>
        <v>-12.37834365</v>
      </c>
      <c r="BC3203" s="177">
        <f t="array" ref="BC3203">SUM(IF(ISERROR(BC3204:BC3254),"",BC3204:BC3254))</f>
        <v>-11.82715666</v>
      </c>
      <c r="BD3203" s="177">
        <f t="array" ref="BD3203">SUM(IF(ISERROR(BD3204:BD3254),"",BD3204:BD3254))</f>
        <v>-11.23883385</v>
      </c>
      <c r="BE3203" s="177">
        <f t="array" ref="BE3203">SUM(IF(ISERROR(BE3204:BE3254),"",BE3204:BE3254))</f>
        <v>-10.61009668</v>
      </c>
      <c r="BF3203" s="177">
        <f t="array" ref="BF3203">SUM(IF(ISERROR(BF3204:BF3254),"",BF3204:BF3254))</f>
        <v>-9.938099467</v>
      </c>
      <c r="BG3203" s="177">
        <f t="array" ref="BG3203">SUM(IF(ISERROR(BG3204:BG3254),"",BG3204:BG3254))</f>
        <v>-9.21682888</v>
      </c>
      <c r="BH3203" s="177">
        <f t="array" ref="BH3203">SUM(IF(ISERROR(BH3204:BH3254),"",BH3204:BH3254))</f>
        <v>-8.44428576</v>
      </c>
      <c r="BI3203" s="177">
        <f t="array" ref="BI3203">SUM(IF(ISERROR(BI3204:BI3254),"",BI3204:BI3254))</f>
        <v>-7.618154905</v>
      </c>
      <c r="BJ3203" s="177">
        <f t="array" ref="BJ3203">SUM(IF(ISERROR(BJ3204:BJ3254),"",BJ3204:BJ3254))</f>
        <v>-6.734213117</v>
      </c>
      <c r="BK3203" s="177">
        <f t="array" ref="BK3203">SUM(IF(ISERROR(BK3204:BK3254),"",BK3204:BK3254))</f>
        <v>-5.791509803</v>
      </c>
      <c r="BL3203" s="177">
        <f t="array" ref="BL3203">SUM(IF(ISERROR(BL3204:BL3254),"",BL3204:BL3254))</f>
        <v>-4.784052285</v>
      </c>
      <c r="BM3203" s="177">
        <f t="array" ref="BM3203">SUM(IF(ISERROR(BM3204:BM3254),"",BM3204:BM3254))</f>
        <v>-3.705791158</v>
      </c>
      <c r="BN3203" s="177">
        <f t="array" ref="BN3203">SUM(IF(ISERROR(BN3204:BN3254),"",BN3204:BN3254))</f>
        <v>-2.551427717</v>
      </c>
      <c r="BO3203" s="177">
        <f t="array" ref="BO3203">SUM(IF(ISERROR(BO3204:BO3254),"",BO3204:BO3254))</f>
        <v>-1.319330317</v>
      </c>
      <c r="BP3203" s="177">
        <f t="array" ref="BP3203">SUM(IF(ISERROR(BP3204:BP3254),"",BP3204:BP3254))</f>
        <v>0</v>
      </c>
      <c r="BQ3203" s="177">
        <f t="array" ref="BQ3203">SUM(IF(ISERROR(BQ3204:BQ3254),"",BQ3204:BQ3254))</f>
        <v>0</v>
      </c>
      <c r="BR3203" s="177">
        <f t="array" ref="BR3203">SUM(IF(ISERROR(BR3204:BR3254),"",BR3204:BR3254))</f>
        <v>0</v>
      </c>
      <c r="BS3203" s="177">
        <f t="array" ref="BS3203">SUM(IF(ISERROR(BS3204:BS3254),"",BS3204:BS3254))</f>
        <v>0</v>
      </c>
      <c r="BT3203" s="177">
        <f t="array" ref="BT3203">SUM(IF(ISERROR(BT3204:BT3254),"",BT3204:BT3254))</f>
        <v>0</v>
      </c>
      <c r="BU3203" s="177">
        <f t="array" ref="BU3203">SUM(IF(ISERROR(BU3204:BU3254),"",BU3204:BU3254))</f>
        <v>0</v>
      </c>
      <c r="BV3203" s="177">
        <f t="array" ref="BV3203">SUM(IF(ISERROR(BV3204:BV3254),"",BV3204:BV3254))</f>
        <v>0</v>
      </c>
      <c r="BW3203" s="177">
        <f t="array" ref="BW3203">SUM(IF(ISERROR(BW3204:BW3254),"",BW3204:BW3254))</f>
        <v>0</v>
      </c>
      <c r="BX3203" s="177">
        <f t="array" ref="BX3203">SUM(IF(ISERROR(BX3204:BX3254),"",BX3204:BX3254))</f>
        <v>0</v>
      </c>
      <c r="BY3203" s="177">
        <f t="array" ref="BY3203">SUM(IF(ISERROR(BY3204:BY3254),"",BY3204:BY3254))</f>
        <v>0</v>
      </c>
    </row>
    <row r="3204" ht="15.75" hidden="1" customHeight="1" outlineLevel="1">
      <c r="A3204" s="385"/>
      <c r="B3204" s="38"/>
      <c r="C3204" s="188">
        <f>PPMT('Assumptions (Oil G&amp;T)'!$B$73,Model!W$1,'Assumptions (Oil G&amp;T)'!$B$76,Model!$C$3201)</f>
        <v>-0.04477487079</v>
      </c>
      <c r="D3204" s="188">
        <f>PPMT('Assumptions (Oil G&amp;T)'!$B$73,Model!X$1,'Assumptions (Oil G&amp;T)'!$B$76,Model!$C$3201)</f>
        <v>-0.0481329861</v>
      </c>
      <c r="E3204" s="188">
        <f>PPMT('Assumptions (Oil G&amp;T)'!$B$73,Model!Y$1,'Assumptions (Oil G&amp;T)'!$B$76,Model!$C$3201)</f>
        <v>-0.05174296005</v>
      </c>
      <c r="F3204" s="188">
        <f>PPMT('Assumptions (Oil G&amp;T)'!$B$73,Model!Z$1,'Assumptions (Oil G&amp;T)'!$B$76,Model!$C$3201)</f>
        <v>-0.05562368206</v>
      </c>
      <c r="G3204" s="188">
        <f>PPMT('Assumptions (Oil G&amp;T)'!$B$73,Model!AA$1,'Assumptions (Oil G&amp;T)'!$B$76,Model!$C$3201)</f>
        <v>-0.05979545821</v>
      </c>
      <c r="H3204" s="188">
        <f>PPMT('Assumptions (Oil G&amp;T)'!$B$73,Model!AB$1,'Assumptions (Oil G&amp;T)'!$B$76,Model!$C$3201)</f>
        <v>-0.06428011758</v>
      </c>
      <c r="I3204" s="188">
        <f>PPMT('Assumptions (Oil G&amp;T)'!$B$73,Model!AC$1,'Assumptions (Oil G&amp;T)'!$B$76,Model!$C$3201)</f>
        <v>-0.06910112639</v>
      </c>
      <c r="J3204" s="188">
        <f>PPMT('Assumptions (Oil G&amp;T)'!$B$73,Model!AD$1,'Assumptions (Oil G&amp;T)'!$B$76,Model!$C$3201)</f>
        <v>-0.07428371087</v>
      </c>
      <c r="K3204" s="188">
        <f>PPMT('Assumptions (Oil G&amp;T)'!$B$73,Model!AE$1,'Assumptions (Oil G&amp;T)'!$B$76,Model!$C$3201)</f>
        <v>-0.07985498919</v>
      </c>
      <c r="L3204" s="188">
        <f>PPMT('Assumptions (Oil G&amp;T)'!$B$73,Model!AF$1,'Assumptions (Oil G&amp;T)'!$B$76,Model!$C$3201)</f>
        <v>-0.08584411338</v>
      </c>
      <c r="M3204" s="188">
        <f>PPMT('Assumptions (Oil G&amp;T)'!$B$73,Model!AG$1,'Assumptions (Oil G&amp;T)'!$B$76,Model!$C$3201)</f>
        <v>-0.09228242188</v>
      </c>
      <c r="N3204" s="188">
        <f>PPMT('Assumptions (Oil G&amp;T)'!$B$73,Model!AH$1,'Assumptions (Oil G&amp;T)'!$B$76,Model!$C$3201)</f>
        <v>-0.09920360352</v>
      </c>
      <c r="O3204" s="188">
        <f>PPMT('Assumptions (Oil G&amp;T)'!$B$73,Model!AI$1,'Assumptions (Oil G&amp;T)'!$B$76,Model!$C$3201)</f>
        <v>-0.1066438738</v>
      </c>
      <c r="P3204" s="188">
        <f>PPMT('Assumptions (Oil G&amp;T)'!$B$73,Model!AJ$1,'Assumptions (Oil G&amp;T)'!$B$76,Model!$C$3201)</f>
        <v>-0.1146421643</v>
      </c>
      <c r="Q3204" s="188">
        <f>PPMT('Assumptions (Oil G&amp;T)'!$B$73,Model!AK$1,'Assumptions (Oil G&amp;T)'!$B$76,Model!$C$3201)</f>
        <v>-0.1232403266</v>
      </c>
      <c r="R3204" s="188"/>
      <c r="S3204" s="188"/>
      <c r="T3204" s="188"/>
      <c r="U3204" s="188"/>
      <c r="V3204" s="188"/>
      <c r="W3204" s="188"/>
      <c r="X3204" s="188"/>
      <c r="Y3204" s="188"/>
      <c r="Z3204" s="188"/>
      <c r="AA3204" s="188"/>
      <c r="AB3204" s="188"/>
    </row>
    <row r="3205" ht="15.75" hidden="1" customHeight="1" outlineLevel="1">
      <c r="A3205" s="385"/>
      <c r="B3205" s="38"/>
      <c r="C3205" s="188"/>
      <c r="D3205" s="188">
        <f>PPMT('Assumptions (Oil G&amp;T)'!$B$73,Model!W$1,'Assumptions (Oil G&amp;T)'!$B$76,Model!$D$3201)</f>
        <v>-0.04714227404</v>
      </c>
      <c r="E3205" s="188">
        <f>PPMT('Assumptions (Oil G&amp;T)'!$B$73,Model!X$1,'Assumptions (Oil G&amp;T)'!$B$76,Model!$D$3201)</f>
        <v>-0.05067794459</v>
      </c>
      <c r="F3205" s="188">
        <f>PPMT('Assumptions (Oil G&amp;T)'!$B$73,Model!Y$1,'Assumptions (Oil G&amp;T)'!$B$76,Model!$D$3201)</f>
        <v>-0.05447879044</v>
      </c>
      <c r="G3205" s="188">
        <f>PPMT('Assumptions (Oil G&amp;T)'!$B$73,Model!Z$1,'Assumptions (Oil G&amp;T)'!$B$76,Model!$D$3201)</f>
        <v>-0.05856469972</v>
      </c>
      <c r="H3205" s="188">
        <f>PPMT('Assumptions (Oil G&amp;T)'!$B$73,Model!AA$1,'Assumptions (Oil G&amp;T)'!$B$76,Model!$D$3201)</f>
        <v>-0.0629570522</v>
      </c>
      <c r="I3205" s="188">
        <f>PPMT('Assumptions (Oil G&amp;T)'!$B$73,Model!AB$1,'Assumptions (Oil G&amp;T)'!$B$76,Model!$D$3201)</f>
        <v>-0.06767883111</v>
      </c>
      <c r="J3205" s="188">
        <f>PPMT('Assumptions (Oil G&amp;T)'!$B$73,Model!AC$1,'Assumptions (Oil G&amp;T)'!$B$76,Model!$D$3201)</f>
        <v>-0.07275474345</v>
      </c>
      <c r="K3205" s="188">
        <f>PPMT('Assumptions (Oil G&amp;T)'!$B$73,Model!AD$1,'Assumptions (Oil G&amp;T)'!$B$76,Model!$D$3201)</f>
        <v>-0.07821134921</v>
      </c>
      <c r="L3205" s="188">
        <f>PPMT('Assumptions (Oil G&amp;T)'!$B$73,Model!AE$1,'Assumptions (Oil G&amp;T)'!$B$76,Model!$D$3201)</f>
        <v>-0.0840772004</v>
      </c>
      <c r="M3205" s="188">
        <f>PPMT('Assumptions (Oil G&amp;T)'!$B$73,Model!AF$1,'Assumptions (Oil G&amp;T)'!$B$76,Model!$D$3201)</f>
        <v>-0.09038299043</v>
      </c>
      <c r="N3205" s="188">
        <f>PPMT('Assumptions (Oil G&amp;T)'!$B$73,Model!AG$1,'Assumptions (Oil G&amp;T)'!$B$76,Model!$D$3201)</f>
        <v>-0.09716171471</v>
      </c>
      <c r="O3205" s="188">
        <f>PPMT('Assumptions (Oil G&amp;T)'!$B$73,Model!AH$1,'Assumptions (Oil G&amp;T)'!$B$76,Model!$D$3201)</f>
        <v>-0.1044488433</v>
      </c>
      <c r="P3205" s="188">
        <f>PPMT('Assumptions (Oil G&amp;T)'!$B$73,Model!AI$1,'Assumptions (Oil G&amp;T)'!$B$76,Model!$D$3201)</f>
        <v>-0.1122825066</v>
      </c>
      <c r="Q3205" s="188">
        <f>PPMT('Assumptions (Oil G&amp;T)'!$B$73,Model!AJ$1,'Assumptions (Oil G&amp;T)'!$B$76,Model!$D$3201)</f>
        <v>-0.1207036946</v>
      </c>
      <c r="R3205" s="188">
        <f>PPMT('Assumptions (Oil G&amp;T)'!$B$73,Model!AK$1,'Assumptions (Oil G&amp;T)'!$B$76,Model!$D$3201)</f>
        <v>-0.1297564716</v>
      </c>
      <c r="S3205" s="188"/>
      <c r="T3205" s="188"/>
      <c r="U3205" s="188"/>
      <c r="V3205" s="188"/>
      <c r="W3205" s="188"/>
      <c r="X3205" s="188"/>
      <c r="Y3205" s="188"/>
      <c r="Z3205" s="188"/>
      <c r="AA3205" s="188"/>
      <c r="AB3205" s="188"/>
    </row>
    <row r="3206" ht="15.75" hidden="1" customHeight="1" outlineLevel="1">
      <c r="A3206" s="385"/>
      <c r="B3206" s="38"/>
      <c r="C3206" s="188"/>
      <c r="D3206" s="188"/>
      <c r="E3206" s="188">
        <f>PPMT('Assumptions (Oil G&amp;T)'!$B$73,Model!W$1,'Assumptions (Oil G&amp;T)'!$B$76,Model!$E$3201)</f>
        <v>-0.04793148084</v>
      </c>
      <c r="F3206" s="188">
        <f>PPMT('Assumptions (Oil G&amp;T)'!$B$73,Model!X$1,'Assumptions (Oil G&amp;T)'!$B$76,Model!$E$3201)</f>
        <v>-0.0515263419</v>
      </c>
      <c r="G3206" s="188">
        <f>PPMT('Assumptions (Oil G&amp;T)'!$B$73,Model!Y$1,'Assumptions (Oil G&amp;T)'!$B$76,Model!$E$3201)</f>
        <v>-0.05539081754</v>
      </c>
      <c r="H3206" s="188">
        <f>PPMT('Assumptions (Oil G&amp;T)'!$B$73,Model!Z$1,'Assumptions (Oil G&amp;T)'!$B$76,Model!$E$3201)</f>
        <v>-0.05954512886</v>
      </c>
      <c r="I3206" s="188">
        <f>PPMT('Assumptions (Oil G&amp;T)'!$B$73,Model!AA$1,'Assumptions (Oil G&amp;T)'!$B$76,Model!$E$3201)</f>
        <v>-0.06401101352</v>
      </c>
      <c r="J3206" s="188">
        <f>PPMT('Assumptions (Oil G&amp;T)'!$B$73,Model!AB$1,'Assumptions (Oil G&amp;T)'!$B$76,Model!$E$3201)</f>
        <v>-0.06881183953</v>
      </c>
      <c r="K3206" s="188">
        <f>PPMT('Assumptions (Oil G&amp;T)'!$B$73,Model!AC$1,'Assumptions (Oil G&amp;T)'!$B$76,Model!$E$3201)</f>
        <v>-0.0739727275</v>
      </c>
      <c r="L3206" s="188">
        <f>PPMT('Assumptions (Oil G&amp;T)'!$B$73,Model!AD$1,'Assumptions (Oil G&amp;T)'!$B$76,Model!$E$3201)</f>
        <v>-0.07952068206</v>
      </c>
      <c r="M3206" s="188">
        <f>PPMT('Assumptions (Oil G&amp;T)'!$B$73,Model!AE$1,'Assumptions (Oil G&amp;T)'!$B$76,Model!$E$3201)</f>
        <v>-0.08548473322</v>
      </c>
      <c r="N3206" s="188">
        <f>PPMT('Assumptions (Oil G&amp;T)'!$B$73,Model!AF$1,'Assumptions (Oil G&amp;T)'!$B$76,Model!$E$3201)</f>
        <v>-0.09189608821</v>
      </c>
      <c r="O3206" s="188">
        <f>PPMT('Assumptions (Oil G&amp;T)'!$B$73,Model!AG$1,'Assumptions (Oil G&amp;T)'!$B$76,Model!$E$3201)</f>
        <v>-0.09878829482</v>
      </c>
      <c r="P3206" s="188">
        <f>PPMT('Assumptions (Oil G&amp;T)'!$B$73,Model!AH$1,'Assumptions (Oil G&amp;T)'!$B$76,Model!$E$3201)</f>
        <v>-0.1061974169</v>
      </c>
      <c r="Q3206" s="188">
        <f>PPMT('Assumptions (Oil G&amp;T)'!$B$73,Model!AI$1,'Assumptions (Oil G&amp;T)'!$B$76,Model!$E$3201)</f>
        <v>-0.1141622232</v>
      </c>
      <c r="R3206" s="188">
        <f>PPMT('Assumptions (Oil G&amp;T)'!$B$73,Model!AJ$1,'Assumptions (Oil G&amp;T)'!$B$76,Model!$E$3201)</f>
        <v>-0.1227243899</v>
      </c>
      <c r="S3206" s="188">
        <f>PPMT('Assumptions (Oil G&amp;T)'!$B$73,Model!AK$1,'Assumptions (Oil G&amp;T)'!$B$76,Model!$E$3201)</f>
        <v>-0.1319287192</v>
      </c>
      <c r="T3206" s="188"/>
      <c r="U3206" s="188"/>
      <c r="V3206" s="188"/>
      <c r="W3206" s="188"/>
      <c r="X3206" s="188"/>
      <c r="Y3206" s="188"/>
      <c r="Z3206" s="188"/>
      <c r="AA3206" s="188"/>
      <c r="AB3206" s="188"/>
      <c r="AC3206" s="188"/>
    </row>
    <row r="3207" ht="15.75" hidden="1" customHeight="1" outlineLevel="1">
      <c r="A3207" s="385"/>
      <c r="B3207" s="38"/>
      <c r="C3207" s="188"/>
      <c r="D3207" s="188"/>
      <c r="E3207" s="188"/>
      <c r="F3207" s="188">
        <f>PPMT('Assumptions (Oil G&amp;T)'!$B$73,Model!W$1,'Assumptions (Oil G&amp;T)'!$B$76,Model!$F$3201)</f>
        <v>-0.04850853224</v>
      </c>
      <c r="G3207" s="188">
        <f>PPMT('Assumptions (Oil G&amp;T)'!$B$73,Model!X$1,'Assumptions (Oil G&amp;T)'!$B$76,Model!$F$3201)</f>
        <v>-0.05214667215</v>
      </c>
      <c r="H3207" s="188">
        <f>PPMT('Assumptions (Oil G&amp;T)'!$B$73,Model!Y$1,'Assumptions (Oil G&amp;T)'!$B$76,Model!$F$3201)</f>
        <v>-0.05605767257</v>
      </c>
      <c r="I3207" s="188">
        <f>PPMT('Assumptions (Oil G&amp;T)'!$B$73,Model!Z$1,'Assumptions (Oil G&amp;T)'!$B$76,Model!$F$3201)</f>
        <v>-0.06026199801</v>
      </c>
      <c r="J3207" s="188">
        <f>PPMT('Assumptions (Oil G&amp;T)'!$B$73,Model!AA$1,'Assumptions (Oil G&amp;T)'!$B$76,Model!$F$3201)</f>
        <v>-0.06478164786</v>
      </c>
      <c r="K3207" s="188">
        <f>PPMT('Assumptions (Oil G&amp;T)'!$B$73,Model!AB$1,'Assumptions (Oil G&amp;T)'!$B$76,Model!$F$3201)</f>
        <v>-0.06964027145</v>
      </c>
      <c r="L3207" s="188">
        <f>PPMT('Assumptions (Oil G&amp;T)'!$B$73,Model!AC$1,'Assumptions (Oil G&amp;T)'!$B$76,Model!$F$3201)</f>
        <v>-0.07486329181</v>
      </c>
      <c r="M3207" s="188">
        <f>PPMT('Assumptions (Oil G&amp;T)'!$B$73,Model!AD$1,'Assumptions (Oil G&amp;T)'!$B$76,Model!$F$3201)</f>
        <v>-0.08047803869</v>
      </c>
      <c r="N3207" s="188">
        <f>PPMT('Assumptions (Oil G&amp;T)'!$B$73,Model!AE$1,'Assumptions (Oil G&amp;T)'!$B$76,Model!$F$3201)</f>
        <v>-0.08651389159</v>
      </c>
      <c r="O3207" s="188">
        <f>PPMT('Assumptions (Oil G&amp;T)'!$B$73,Model!AF$1,'Assumptions (Oil G&amp;T)'!$B$76,Model!$F$3201)</f>
        <v>-0.09300243346</v>
      </c>
      <c r="P3207" s="188">
        <f>PPMT('Assumptions (Oil G&amp;T)'!$B$73,Model!AG$1,'Assumptions (Oil G&amp;T)'!$B$76,Model!$F$3201)</f>
        <v>-0.09997761597</v>
      </c>
      <c r="Q3207" s="188">
        <f>PPMT('Assumptions (Oil G&amp;T)'!$B$73,Model!AH$1,'Assumptions (Oil G&amp;T)'!$B$76,Model!$F$3201)</f>
        <v>-0.1074759372</v>
      </c>
      <c r="R3207" s="188">
        <f>PPMT('Assumptions (Oil G&amp;T)'!$B$73,Model!AI$1,'Assumptions (Oil G&amp;T)'!$B$76,Model!$F$3201)</f>
        <v>-0.1155366325</v>
      </c>
      <c r="S3207" s="188">
        <f>PPMT('Assumptions (Oil G&amp;T)'!$B$73,Model!AJ$1,'Assumptions (Oil G&amp;T)'!$B$76,Model!$F$3201)</f>
        <v>-0.1242018799</v>
      </c>
      <c r="T3207" s="188">
        <f>PPMT('Assumptions (Oil G&amp;T)'!$B$73,Model!AK$1,'Assumptions (Oil G&amp;T)'!$B$76,Model!$F$3201)</f>
        <v>-0.1335170209</v>
      </c>
      <c r="U3207" s="188"/>
      <c r="V3207" s="188"/>
      <c r="W3207" s="188"/>
      <c r="X3207" s="188"/>
      <c r="Y3207" s="188"/>
      <c r="Z3207" s="188"/>
      <c r="AA3207" s="188"/>
      <c r="AB3207" s="188"/>
      <c r="AC3207" s="188"/>
      <c r="AD3207" s="188"/>
    </row>
    <row r="3208" ht="15.75" hidden="1" customHeight="1" outlineLevel="1">
      <c r="A3208" s="385"/>
      <c r="B3208" s="38"/>
      <c r="C3208" s="188"/>
      <c r="D3208" s="188"/>
      <c r="E3208" s="188"/>
      <c r="F3208" s="188"/>
      <c r="G3208" s="188">
        <f>PPMT('Assumptions (Oil G&amp;T)'!$B$73,Model!W$1,'Assumptions (Oil G&amp;T)'!$B$76,Model!$G$3201)</f>
        <v>-0.08036312278</v>
      </c>
      <c r="H3208" s="188">
        <f>PPMT('Assumptions (Oil G&amp;T)'!$B$73,Model!X$1,'Assumptions (Oil G&amp;T)'!$B$76,Model!$G$3201)</f>
        <v>-0.08639035698</v>
      </c>
      <c r="I3208" s="188">
        <f>PPMT('Assumptions (Oil G&amp;T)'!$B$73,Model!Y$1,'Assumptions (Oil G&amp;T)'!$B$76,Model!$G$3201)</f>
        <v>-0.09286963376</v>
      </c>
      <c r="J3208" s="188">
        <f>PPMT('Assumptions (Oil G&amp;T)'!$B$73,Model!Z$1,'Assumptions (Oil G&amp;T)'!$B$76,Model!$G$3201)</f>
        <v>-0.09983485629</v>
      </c>
      <c r="K3208" s="188">
        <f>PPMT('Assumptions (Oil G&amp;T)'!$B$73,Model!AA$1,'Assumptions (Oil G&amp;T)'!$B$76,Model!$G$3201)</f>
        <v>-0.1073224705</v>
      </c>
      <c r="L3208" s="188">
        <f>PPMT('Assumptions (Oil G&amp;T)'!$B$73,Model!AB$1,'Assumptions (Oil G&amp;T)'!$B$76,Model!$G$3201)</f>
        <v>-0.1153716558</v>
      </c>
      <c r="M3208" s="188">
        <f>PPMT('Assumptions (Oil G&amp;T)'!$B$73,Model!AC$1,'Assumptions (Oil G&amp;T)'!$B$76,Model!$G$3201)</f>
        <v>-0.12402453</v>
      </c>
      <c r="N3208" s="188">
        <f>PPMT('Assumptions (Oil G&amp;T)'!$B$73,Model!AD$1,'Assumptions (Oil G&amp;T)'!$B$76,Model!$G$3201)</f>
        <v>-0.1333263697</v>
      </c>
      <c r="O3208" s="188">
        <f>PPMT('Assumptions (Oil G&amp;T)'!$B$73,Model!AE$1,'Assumptions (Oil G&amp;T)'!$B$76,Model!$G$3201)</f>
        <v>-0.1433258475</v>
      </c>
      <c r="P3208" s="188">
        <f>PPMT('Assumptions (Oil G&amp;T)'!$B$73,Model!AF$1,'Assumptions (Oil G&amp;T)'!$B$76,Model!$G$3201)</f>
        <v>-0.154075286</v>
      </c>
      <c r="Q3208" s="188">
        <f>PPMT('Assumptions (Oil G&amp;T)'!$B$73,Model!AG$1,'Assumptions (Oil G&amp;T)'!$B$76,Model!$G$3201)</f>
        <v>-0.1656309325</v>
      </c>
      <c r="R3208" s="188">
        <f>PPMT('Assumptions (Oil G&amp;T)'!$B$73,Model!AH$1,'Assumptions (Oil G&amp;T)'!$B$76,Model!$G$3201)</f>
        <v>-0.1780532524</v>
      </c>
      <c r="S3208" s="188">
        <f>PPMT('Assumptions (Oil G&amp;T)'!$B$73,Model!AI$1,'Assumptions (Oil G&amp;T)'!$B$76,Model!$G$3201)</f>
        <v>-0.1914072463</v>
      </c>
      <c r="T3208" s="188">
        <f>PPMT('Assumptions (Oil G&amp;T)'!$B$73,Model!AJ$1,'Assumptions (Oil G&amp;T)'!$B$76,Model!$G$3201)</f>
        <v>-0.2057627898</v>
      </c>
      <c r="U3208" s="188">
        <f>PPMT('Assumptions (Oil G&amp;T)'!$B$73,Model!AK$1,'Assumptions (Oil G&amp;T)'!$B$76,Model!$G$3201)</f>
        <v>-0.2211949991</v>
      </c>
      <c r="V3208" s="188"/>
      <c r="W3208" s="188"/>
      <c r="X3208" s="188"/>
      <c r="Y3208" s="188"/>
      <c r="Z3208" s="188"/>
      <c r="AA3208" s="188"/>
      <c r="AB3208" s="188"/>
      <c r="AC3208" s="188"/>
      <c r="AD3208" s="188"/>
      <c r="AE3208" s="188"/>
    </row>
    <row r="3209" ht="15.75" hidden="1" customHeight="1" outlineLevel="1">
      <c r="A3209" s="385"/>
      <c r="B3209" s="38"/>
      <c r="C3209" s="188"/>
      <c r="D3209" s="188"/>
      <c r="E3209" s="188"/>
      <c r="F3209" s="188"/>
      <c r="G3209" s="188"/>
      <c r="H3209" s="188">
        <f>PPMT('Assumptions (Oil G&amp;T)'!$B$73,Model!W$1,'Assumptions (Oil G&amp;T)'!$B$76,Model!$H$3201)</f>
        <v>-0.07358817668</v>
      </c>
      <c r="I3209" s="188">
        <f>PPMT('Assumptions (Oil G&amp;T)'!$B$73,Model!X$1,'Assumptions (Oil G&amp;T)'!$B$76,Model!$H$3201)</f>
        <v>-0.07910728993</v>
      </c>
      <c r="J3209" s="188">
        <f>PPMT('Assumptions (Oil G&amp;T)'!$B$73,Model!Y$1,'Assumptions (Oil G&amp;T)'!$B$76,Model!$H$3201)</f>
        <v>-0.08504033667</v>
      </c>
      <c r="K3209" s="188">
        <f>PPMT('Assumptions (Oil G&amp;T)'!$B$73,Model!Z$1,'Assumptions (Oil G&amp;T)'!$B$76,Model!$H$3201)</f>
        <v>-0.09141836192</v>
      </c>
      <c r="L3209" s="188">
        <f>PPMT('Assumptions (Oil G&amp;T)'!$B$73,Model!AA$1,'Assumptions (Oil G&amp;T)'!$B$76,Model!$H$3201)</f>
        <v>-0.09827473907</v>
      </c>
      <c r="M3209" s="188">
        <f>PPMT('Assumptions (Oil G&amp;T)'!$B$73,Model!AB$1,'Assumptions (Oil G&amp;T)'!$B$76,Model!$H$3201)</f>
        <v>-0.1056453445</v>
      </c>
      <c r="N3209" s="188">
        <f>PPMT('Assumptions (Oil G&amp;T)'!$B$73,Model!AC$1,'Assumptions (Oil G&amp;T)'!$B$76,Model!$H$3201)</f>
        <v>-0.1135687453</v>
      </c>
      <c r="O3209" s="188">
        <f>PPMT('Assumptions (Oil G&amp;T)'!$B$73,Model!AD$1,'Assumptions (Oil G&amp;T)'!$B$76,Model!$H$3201)</f>
        <v>-0.1220864012</v>
      </c>
      <c r="P3209" s="188">
        <f>PPMT('Assumptions (Oil G&amp;T)'!$B$73,Model!AE$1,'Assumptions (Oil G&amp;T)'!$B$76,Model!$H$3201)</f>
        <v>-0.1312428813</v>
      </c>
      <c r="Q3209" s="188">
        <f>PPMT('Assumptions (Oil G&amp;T)'!$B$73,Model!AF$1,'Assumptions (Oil G&amp;T)'!$B$76,Model!$H$3201)</f>
        <v>-0.1410860974</v>
      </c>
      <c r="R3209" s="188">
        <f>PPMT('Assumptions (Oil G&amp;T)'!$B$73,Model!AG$1,'Assumptions (Oil G&amp;T)'!$B$76,Model!$H$3201)</f>
        <v>-0.1516675547</v>
      </c>
      <c r="S3209" s="188">
        <f>PPMT('Assumptions (Oil G&amp;T)'!$B$73,Model!AH$1,'Assumptions (Oil G&amp;T)'!$B$76,Model!$H$3201)</f>
        <v>-0.1630426213</v>
      </c>
      <c r="T3209" s="188">
        <f>PPMT('Assumptions (Oil G&amp;T)'!$B$73,Model!AI$1,'Assumptions (Oil G&amp;T)'!$B$76,Model!$H$3201)</f>
        <v>-0.1752708179</v>
      </c>
      <c r="U3209" s="188">
        <f>PPMT('Assumptions (Oil G&amp;T)'!$B$73,Model!AJ$1,'Assumptions (Oil G&amp;T)'!$B$76,Model!$H$3201)</f>
        <v>-0.1884161293</v>
      </c>
      <c r="V3209" s="188">
        <f>PPMT('Assumptions (Oil G&amp;T)'!$B$73,Model!AK$1,'Assumptions (Oil G&amp;T)'!$B$76,Model!$H$3201)</f>
        <v>-0.202547339</v>
      </c>
      <c r="W3209" s="188"/>
      <c r="X3209" s="188"/>
      <c r="Y3209" s="188"/>
      <c r="Z3209" s="188"/>
      <c r="AA3209" s="188"/>
      <c r="AB3209" s="188"/>
      <c r="AC3209" s="188"/>
      <c r="AD3209" s="188"/>
      <c r="AE3209" s="188"/>
      <c r="AF3209" s="188"/>
    </row>
    <row r="3210" ht="15.75" hidden="1" customHeight="1" outlineLevel="1">
      <c r="A3210" s="385"/>
      <c r="B3210" s="38"/>
      <c r="C3210" s="188"/>
      <c r="D3210" s="188"/>
      <c r="E3210" s="188"/>
      <c r="F3210" s="188"/>
      <c r="G3210" s="188"/>
      <c r="H3210" s="188"/>
      <c r="I3210" s="188">
        <f>PPMT('Assumptions (Oil G&amp;T)'!$B$73,Model!W$1,'Assumptions (Oil G&amp;T)'!$B$76,Model!$I$3201)</f>
        <v>-0.06553016514</v>
      </c>
      <c r="J3210" s="188">
        <f>PPMT('Assumptions (Oil G&amp;T)'!$B$73,Model!X$1,'Assumptions (Oil G&amp;T)'!$B$76,Model!$I$3201)</f>
        <v>-0.07044492753</v>
      </c>
      <c r="K3210" s="188">
        <f>PPMT('Assumptions (Oil G&amp;T)'!$B$73,Model!Y$1,'Assumptions (Oil G&amp;T)'!$B$76,Model!$I$3201)</f>
        <v>-0.07572829709</v>
      </c>
      <c r="L3210" s="188">
        <f>PPMT('Assumptions (Oil G&amp;T)'!$B$73,Model!Z$1,'Assumptions (Oil G&amp;T)'!$B$76,Model!$I$3201)</f>
        <v>-0.08140791938</v>
      </c>
      <c r="M3210" s="188">
        <f>PPMT('Assumptions (Oil G&amp;T)'!$B$73,Model!AA$1,'Assumptions (Oil G&amp;T)'!$B$76,Model!$I$3201)</f>
        <v>-0.08751351333</v>
      </c>
      <c r="N3210" s="188">
        <f>PPMT('Assumptions (Oil G&amp;T)'!$B$73,Model!AB$1,'Assumptions (Oil G&amp;T)'!$B$76,Model!$I$3201)</f>
        <v>-0.09407702683</v>
      </c>
      <c r="O3210" s="188">
        <f>PPMT('Assumptions (Oil G&amp;T)'!$B$73,Model!AC$1,'Assumptions (Oil G&amp;T)'!$B$76,Model!$I$3201)</f>
        <v>-0.1011328038</v>
      </c>
      <c r="P3210" s="188">
        <f>PPMT('Assumptions (Oil G&amp;T)'!$B$73,Model!AD$1,'Assumptions (Oil G&amp;T)'!$B$76,Model!$I$3201)</f>
        <v>-0.1087177641</v>
      </c>
      <c r="Q3210" s="188">
        <f>PPMT('Assumptions (Oil G&amp;T)'!$B$73,Model!AE$1,'Assumptions (Oil G&amp;T)'!$B$76,Model!$I$3201)</f>
        <v>-0.1168715964</v>
      </c>
      <c r="R3210" s="188">
        <f>PPMT('Assumptions (Oil G&amp;T)'!$B$73,Model!AF$1,'Assumptions (Oil G&amp;T)'!$B$76,Model!$I$3201)</f>
        <v>-0.1256369662</v>
      </c>
      <c r="S3210" s="188">
        <f>PPMT('Assumptions (Oil G&amp;T)'!$B$73,Model!AG$1,'Assumptions (Oil G&amp;T)'!$B$76,Model!$I$3201)</f>
        <v>-0.1350597386</v>
      </c>
      <c r="T3210" s="188">
        <f>PPMT('Assumptions (Oil G&amp;T)'!$B$73,Model!AH$1,'Assumptions (Oil G&amp;T)'!$B$76,Model!$I$3201)</f>
        <v>-0.145189219</v>
      </c>
      <c r="U3210" s="188">
        <f>PPMT('Assumptions (Oil G&amp;T)'!$B$73,Model!AI$1,'Assumptions (Oil G&amp;T)'!$B$76,Model!$I$3201)</f>
        <v>-0.1560784105</v>
      </c>
      <c r="V3210" s="188">
        <f>PPMT('Assumptions (Oil G&amp;T)'!$B$73,Model!AJ$1,'Assumptions (Oil G&amp;T)'!$B$76,Model!$I$3201)</f>
        <v>-0.1677842912</v>
      </c>
      <c r="W3210" s="188">
        <f>PPMT('Assumptions (Oil G&amp;T)'!$B$73,Model!AK$1,'Assumptions (Oil G&amp;T)'!$B$76,Model!$I$3201)</f>
        <v>-0.1803681131</v>
      </c>
      <c r="X3210" s="188"/>
      <c r="Y3210" s="188"/>
      <c r="Z3210" s="188"/>
      <c r="AA3210" s="188"/>
      <c r="AB3210" s="188"/>
      <c r="AC3210" s="188"/>
      <c r="AD3210" s="188"/>
      <c r="AE3210" s="188"/>
      <c r="AF3210" s="188"/>
      <c r="AG3210" s="188"/>
    </row>
    <row r="3211" ht="15.75" hidden="1" customHeight="1" outlineLevel="1">
      <c r="A3211" s="385"/>
      <c r="B3211" s="38"/>
      <c r="C3211" s="188"/>
      <c r="D3211" s="188"/>
      <c r="E3211" s="188"/>
      <c r="F3211" s="188"/>
      <c r="G3211" s="188"/>
      <c r="H3211" s="188"/>
      <c r="I3211" s="188"/>
      <c r="J3211" s="188">
        <f>PPMT('Assumptions (Oil G&amp;T)'!$B$73,Model!W$1,'Assumptions (Oil G&amp;T)'!$B$76,Model!$J$3201)</f>
        <v>-0.1240344449</v>
      </c>
      <c r="K3211" s="188">
        <f>PPMT('Assumptions (Oil G&amp;T)'!$B$73,Model!X$1,'Assumptions (Oil G&amp;T)'!$B$76,Model!$J$3201)</f>
        <v>-0.1333370282</v>
      </c>
      <c r="L3211" s="188">
        <f>PPMT('Assumptions (Oil G&amp;T)'!$B$73,Model!Y$1,'Assumptions (Oil G&amp;T)'!$B$76,Model!$J$3201)</f>
        <v>-0.1433373054</v>
      </c>
      <c r="M3211" s="188">
        <f>PPMT('Assumptions (Oil G&amp;T)'!$B$73,Model!Z$1,'Assumptions (Oil G&amp;T)'!$B$76,Model!$J$3201)</f>
        <v>-0.1540876033</v>
      </c>
      <c r="N3211" s="188">
        <f>PPMT('Assumptions (Oil G&amp;T)'!$B$73,Model!AA$1,'Assumptions (Oil G&amp;T)'!$B$76,Model!$J$3201)</f>
        <v>-0.1656441735</v>
      </c>
      <c r="O3211" s="188">
        <f>PPMT('Assumptions (Oil G&amp;T)'!$B$73,Model!AB$1,'Assumptions (Oil G&amp;T)'!$B$76,Model!$J$3201)</f>
        <v>-0.1780674865</v>
      </c>
      <c r="P3211" s="188">
        <f>PPMT('Assumptions (Oil G&amp;T)'!$B$73,Model!AC$1,'Assumptions (Oil G&amp;T)'!$B$76,Model!$J$3201)</f>
        <v>-0.191422548</v>
      </c>
      <c r="Q3211" s="188">
        <f>PPMT('Assumptions (Oil G&amp;T)'!$B$73,Model!AD$1,'Assumptions (Oil G&amp;T)'!$B$76,Model!$J$3201)</f>
        <v>-0.2057792391</v>
      </c>
      <c r="R3211" s="188">
        <f>PPMT('Assumptions (Oil G&amp;T)'!$B$73,Model!AE$1,'Assumptions (Oil G&amp;T)'!$B$76,Model!$J$3201)</f>
        <v>-0.221212682</v>
      </c>
      <c r="S3211" s="188">
        <f>PPMT('Assumptions (Oil G&amp;T)'!$B$73,Model!AF$1,'Assumptions (Oil G&amp;T)'!$B$76,Model!$J$3201)</f>
        <v>-0.2378036332</v>
      </c>
      <c r="T3211" s="188">
        <f>PPMT('Assumptions (Oil G&amp;T)'!$B$73,Model!AG$1,'Assumptions (Oil G&amp;T)'!$B$76,Model!$J$3201)</f>
        <v>-0.2556389057</v>
      </c>
      <c r="U3211" s="188">
        <f>PPMT('Assumptions (Oil G&amp;T)'!$B$73,Model!AH$1,'Assumptions (Oil G&amp;T)'!$B$76,Model!$J$3201)</f>
        <v>-0.2748118236</v>
      </c>
      <c r="V3211" s="188">
        <f>PPMT('Assumptions (Oil G&amp;T)'!$B$73,Model!AI$1,'Assumptions (Oil G&amp;T)'!$B$76,Model!$J$3201)</f>
        <v>-0.2954227104</v>
      </c>
      <c r="W3211" s="188">
        <f>PPMT('Assumptions (Oil G&amp;T)'!$B$73,Model!AJ$1,'Assumptions (Oil G&amp;T)'!$B$76,Model!$J$3201)</f>
        <v>-0.3175794137</v>
      </c>
      <c r="X3211" s="188">
        <f>PPMT('Assumptions (Oil G&amp;T)'!$B$73,Model!AK$1,'Assumptions (Oil G&amp;T)'!$B$76,Model!$J$3201)</f>
        <v>-0.3413978697</v>
      </c>
      <c r="Y3211" s="188"/>
      <c r="Z3211" s="188"/>
      <c r="AA3211" s="188"/>
      <c r="AB3211" s="188"/>
      <c r="AC3211" s="188"/>
      <c r="AD3211" s="188"/>
      <c r="AE3211" s="188"/>
      <c r="AF3211" s="188"/>
      <c r="AG3211" s="188"/>
      <c r="AH3211" s="188"/>
    </row>
    <row r="3212" ht="15.75" hidden="1" customHeight="1" outlineLevel="1">
      <c r="A3212" s="385"/>
      <c r="B3212" s="38"/>
      <c r="C3212" s="188"/>
      <c r="D3212" s="188"/>
      <c r="E3212" s="188"/>
      <c r="F3212" s="188"/>
      <c r="G3212" s="188"/>
      <c r="H3212" s="188"/>
      <c r="I3212" s="188"/>
      <c r="J3212" s="188"/>
      <c r="K3212" s="188">
        <f>PPMT('Assumptions (Oil G&amp;T)'!$B$73,Model!W$1,'Assumptions (Oil G&amp;T)'!$B$76,Model!$K$3201)</f>
        <v>-0.1324771339</v>
      </c>
      <c r="L3212" s="188">
        <f>PPMT('Assumptions (Oil G&amp;T)'!$B$73,Model!X$1,'Assumptions (Oil G&amp;T)'!$B$76,Model!$K$3201)</f>
        <v>-0.142412919</v>
      </c>
      <c r="M3212" s="188">
        <f>PPMT('Assumptions (Oil G&amp;T)'!$B$73,Model!Y$1,'Assumptions (Oil G&amp;T)'!$B$76,Model!$K$3201)</f>
        <v>-0.1530938879</v>
      </c>
      <c r="N3212" s="188">
        <f>PPMT('Assumptions (Oil G&amp;T)'!$B$73,Model!Z$1,'Assumptions (Oil G&amp;T)'!$B$76,Model!$K$3201)</f>
        <v>-0.1645759295</v>
      </c>
      <c r="O3212" s="188">
        <f>PPMT('Assumptions (Oil G&amp;T)'!$B$73,Model!AA$1,'Assumptions (Oil G&amp;T)'!$B$76,Model!$K$3201)</f>
        <v>-0.1769191242</v>
      </c>
      <c r="P3212" s="188">
        <f>PPMT('Assumptions (Oil G&amp;T)'!$B$73,Model!AB$1,'Assumptions (Oil G&amp;T)'!$B$76,Model!$K$3201)</f>
        <v>-0.1901880585</v>
      </c>
      <c r="Q3212" s="188">
        <f>PPMT('Assumptions (Oil G&amp;T)'!$B$73,Model!AC$1,'Assumptions (Oil G&amp;T)'!$B$76,Model!$K$3201)</f>
        <v>-0.2044521629</v>
      </c>
      <c r="R3212" s="188">
        <f>PPMT('Assumptions (Oil G&amp;T)'!$B$73,Model!AD$1,'Assumptions (Oil G&amp;T)'!$B$76,Model!$K$3201)</f>
        <v>-0.2197860751</v>
      </c>
      <c r="S3212" s="188">
        <f>PPMT('Assumptions (Oil G&amp;T)'!$B$73,Model!AE$1,'Assumptions (Oil G&amp;T)'!$B$76,Model!$K$3201)</f>
        <v>-0.2362700307</v>
      </c>
      <c r="T3212" s="188">
        <f>PPMT('Assumptions (Oil G&amp;T)'!$B$73,Model!AF$1,'Assumptions (Oil G&amp;T)'!$B$76,Model!$K$3201)</f>
        <v>-0.253990283</v>
      </c>
      <c r="U3212" s="188">
        <f>PPMT('Assumptions (Oil G&amp;T)'!$B$73,Model!AG$1,'Assumptions (Oil G&amp;T)'!$B$76,Model!$K$3201)</f>
        <v>-0.2730395543</v>
      </c>
      <c r="V3212" s="188">
        <f>PPMT('Assumptions (Oil G&amp;T)'!$B$73,Model!AH$1,'Assumptions (Oil G&amp;T)'!$B$76,Model!$K$3201)</f>
        <v>-0.2935175208</v>
      </c>
      <c r="W3212" s="188">
        <f>PPMT('Assumptions (Oil G&amp;T)'!$B$73,Model!AI$1,'Assumptions (Oil G&amp;T)'!$B$76,Model!$K$3201)</f>
        <v>-0.3155313349</v>
      </c>
      <c r="X3212" s="188">
        <f>PPMT('Assumptions (Oil G&amp;T)'!$B$73,Model!AJ$1,'Assumptions (Oil G&amp;T)'!$B$76,Model!$K$3201)</f>
        <v>-0.339196185</v>
      </c>
      <c r="Y3212" s="188">
        <f>PPMT('Assumptions (Oil G&amp;T)'!$B$73,Model!AK$1,'Assumptions (Oil G&amp;T)'!$B$76,Model!$K$3201)</f>
        <v>-0.3646358989</v>
      </c>
      <c r="Z3212" s="188"/>
      <c r="AA3212" s="188"/>
      <c r="AB3212" s="188"/>
      <c r="AC3212" s="188"/>
      <c r="AD3212" s="188"/>
      <c r="AE3212" s="188"/>
      <c r="AF3212" s="188"/>
      <c r="AG3212" s="188"/>
      <c r="AH3212" s="188"/>
      <c r="AI3212" s="188"/>
    </row>
    <row r="3213" ht="15.75" hidden="1" customHeight="1" outlineLevel="1">
      <c r="A3213" s="385"/>
      <c r="B3213" s="38"/>
      <c r="C3213" s="188"/>
      <c r="D3213" s="188"/>
      <c r="E3213" s="188"/>
      <c r="F3213" s="188"/>
      <c r="G3213" s="188"/>
      <c r="H3213" s="188"/>
      <c r="I3213" s="188"/>
      <c r="J3213" s="188"/>
      <c r="K3213" s="188"/>
      <c r="L3213" s="188">
        <f>PPMT('Assumptions (Oil G&amp;T)'!$B$73,Model!W$1,'Assumptions (Oil G&amp;T)'!$B$76,Model!$L$3201)</f>
        <v>-0.1070926602</v>
      </c>
      <c r="M3213" s="188">
        <f>PPMT('Assumptions (Oil G&amp;T)'!$B$73,Model!X$1,'Assumptions (Oil G&amp;T)'!$B$76,Model!$L$3201)</f>
        <v>-0.1151246097</v>
      </c>
      <c r="N3213" s="188">
        <f>PPMT('Assumptions (Oil G&amp;T)'!$B$73,Model!Y$1,'Assumptions (Oil G&amp;T)'!$B$76,Model!$L$3201)</f>
        <v>-0.1237589554</v>
      </c>
      <c r="O3213" s="188">
        <f>PPMT('Assumptions (Oil G&amp;T)'!$B$73,Model!Z$1,'Assumptions (Oil G&amp;T)'!$B$76,Model!$L$3201)</f>
        <v>-0.1330408771</v>
      </c>
      <c r="P3213" s="188">
        <f>PPMT('Assumptions (Oil G&amp;T)'!$B$73,Model!AA$1,'Assumptions (Oil G&amp;T)'!$B$76,Model!$L$3201)</f>
        <v>-0.1430189429</v>
      </c>
      <c r="Q3213" s="188">
        <f>PPMT('Assumptions (Oil G&amp;T)'!$B$73,Model!AB$1,'Assumptions (Oil G&amp;T)'!$B$76,Model!$L$3201)</f>
        <v>-0.1537453636</v>
      </c>
      <c r="R3213" s="188">
        <f>PPMT('Assumptions (Oil G&amp;T)'!$B$73,Model!AC$1,'Assumptions (Oil G&amp;T)'!$B$76,Model!$L$3201)</f>
        <v>-0.1652762659</v>
      </c>
      <c r="S3213" s="188">
        <f>PPMT('Assumptions (Oil G&amp;T)'!$B$73,Model!AD$1,'Assumptions (Oil G&amp;T)'!$B$76,Model!$L$3201)</f>
        <v>-0.1776719858</v>
      </c>
      <c r="T3213" s="188">
        <f>PPMT('Assumptions (Oil G&amp;T)'!$B$73,Model!AE$1,'Assumptions (Oil G&amp;T)'!$B$76,Model!$L$3201)</f>
        <v>-0.1909973847</v>
      </c>
      <c r="U3213" s="188">
        <f>PPMT('Assumptions (Oil G&amp;T)'!$B$73,Model!AF$1,'Assumptions (Oil G&amp;T)'!$B$76,Model!$L$3201)</f>
        <v>-0.2053221886</v>
      </c>
      <c r="V3213" s="188">
        <f>PPMT('Assumptions (Oil G&amp;T)'!$B$73,Model!AG$1,'Assumptions (Oil G&amp;T)'!$B$76,Model!$L$3201)</f>
        <v>-0.2207213527</v>
      </c>
      <c r="W3213" s="188">
        <f>PPMT('Assumptions (Oil G&amp;T)'!$B$73,Model!AH$1,'Assumptions (Oil G&amp;T)'!$B$76,Model!$L$3201)</f>
        <v>-0.2372754542</v>
      </c>
      <c r="X3213" s="188">
        <f>PPMT('Assumptions (Oil G&amp;T)'!$B$73,Model!AI$1,'Assumptions (Oil G&amp;T)'!$B$76,Model!$L$3201)</f>
        <v>-0.2550711133</v>
      </c>
      <c r="Y3213" s="188">
        <f>PPMT('Assumptions (Oil G&amp;T)'!$B$73,Model!AJ$1,'Assumptions (Oil G&amp;T)'!$B$76,Model!$L$3201)</f>
        <v>-0.2742014467</v>
      </c>
      <c r="Z3213" s="188">
        <f>PPMT('Assumptions (Oil G&amp;T)'!$B$73,Model!AK$1,'Assumptions (Oil G&amp;T)'!$B$76,Model!$L$3201)</f>
        <v>-0.2947665553</v>
      </c>
      <c r="AA3213" s="188"/>
      <c r="AB3213" s="188"/>
      <c r="AC3213" s="188"/>
      <c r="AD3213" s="188"/>
      <c r="AE3213" s="188"/>
      <c r="AF3213" s="188"/>
      <c r="AG3213" s="188"/>
      <c r="AH3213" s="188"/>
      <c r="AI3213" s="188"/>
      <c r="AJ3213" s="188"/>
    </row>
    <row r="3214" ht="15.75" hidden="1" customHeight="1" outlineLevel="1">
      <c r="A3214" s="385"/>
      <c r="B3214" s="38"/>
      <c r="C3214" s="188"/>
      <c r="D3214" s="188"/>
      <c r="E3214" s="188"/>
      <c r="F3214" s="188"/>
      <c r="G3214" s="188"/>
      <c r="H3214" s="188"/>
      <c r="I3214" s="188"/>
      <c r="J3214" s="188"/>
      <c r="K3214" s="188"/>
      <c r="L3214" s="188"/>
      <c r="M3214" s="188">
        <f>PPMT('Assumptions (Oil G&amp;T)'!$B$73,Model!W$1,'Assumptions (Oil G&amp;T)'!$B$76,Model!$M$3201)</f>
        <v>-0.1946392948</v>
      </c>
      <c r="N3214" s="188">
        <f>PPMT('Assumptions (Oil G&amp;T)'!$B$73,Model!X$1,'Assumptions (Oil G&amp;T)'!$B$76,Model!$M$3201)</f>
        <v>-0.2092372419</v>
      </c>
      <c r="O3214" s="188">
        <f>PPMT('Assumptions (Oil G&amp;T)'!$B$73,Model!Y$1,'Assumptions (Oil G&amp;T)'!$B$76,Model!$M$3201)</f>
        <v>-0.224930035</v>
      </c>
      <c r="P3214" s="188">
        <f>PPMT('Assumptions (Oil G&amp;T)'!$B$73,Model!Z$1,'Assumptions (Oil G&amp;T)'!$B$76,Model!$M$3201)</f>
        <v>-0.2417997876</v>
      </c>
      <c r="Q3214" s="188">
        <f>PPMT('Assumptions (Oil G&amp;T)'!$B$73,Model!AA$1,'Assumptions (Oil G&amp;T)'!$B$76,Model!$M$3201)</f>
        <v>-0.2599347717</v>
      </c>
      <c r="R3214" s="188">
        <f>PPMT('Assumptions (Oil G&amp;T)'!$B$73,Model!AB$1,'Assumptions (Oil G&amp;T)'!$B$76,Model!$M$3201)</f>
        <v>-0.2794298796</v>
      </c>
      <c r="S3214" s="188">
        <f>PPMT('Assumptions (Oil G&amp;T)'!$B$73,Model!AC$1,'Assumptions (Oil G&amp;T)'!$B$76,Model!$M$3201)</f>
        <v>-0.3003871206</v>
      </c>
      <c r="T3214" s="188">
        <f>PPMT('Assumptions (Oil G&amp;T)'!$B$73,Model!AD$1,'Assumptions (Oil G&amp;T)'!$B$76,Model!$M$3201)</f>
        <v>-0.3229161546</v>
      </c>
      <c r="U3214" s="188">
        <f>PPMT('Assumptions (Oil G&amp;T)'!$B$73,Model!AE$1,'Assumptions (Oil G&amp;T)'!$B$76,Model!$M$3201)</f>
        <v>-0.3471348662</v>
      </c>
      <c r="V3214" s="188">
        <f>PPMT('Assumptions (Oil G&amp;T)'!$B$73,Model!AF$1,'Assumptions (Oil G&amp;T)'!$B$76,Model!$M$3201)</f>
        <v>-0.3731699812</v>
      </c>
      <c r="W3214" s="188">
        <f>PPMT('Assumptions (Oil G&amp;T)'!$B$73,Model!AG$1,'Assumptions (Oil G&amp;T)'!$B$76,Model!$M$3201)</f>
        <v>-0.4011577298</v>
      </c>
      <c r="X3214" s="188">
        <f>PPMT('Assumptions (Oil G&amp;T)'!$B$73,Model!AH$1,'Assumptions (Oil G&amp;T)'!$B$76,Model!$M$3201)</f>
        <v>-0.4312445595</v>
      </c>
      <c r="Y3214" s="188">
        <f>PPMT('Assumptions (Oil G&amp;T)'!$B$73,Model!AI$1,'Assumptions (Oil G&amp;T)'!$B$76,Model!$M$3201)</f>
        <v>-0.4635879015</v>
      </c>
      <c r="Z3214" s="188">
        <f>PPMT('Assumptions (Oil G&amp;T)'!$B$73,Model!AJ$1,'Assumptions (Oil G&amp;T)'!$B$76,Model!$M$3201)</f>
        <v>-0.4983569941</v>
      </c>
      <c r="AA3214" s="188">
        <f>PPMT('Assumptions (Oil G&amp;T)'!$B$73,Model!AK$1,'Assumptions (Oil G&amp;T)'!$B$76,Model!$M$3201)</f>
        <v>-0.5357337686</v>
      </c>
      <c r="AB3214" s="188"/>
      <c r="AC3214" s="188"/>
      <c r="AD3214" s="188"/>
      <c r="AE3214" s="188"/>
      <c r="AF3214" s="188"/>
      <c r="AG3214" s="188"/>
      <c r="AH3214" s="188"/>
      <c r="AI3214" s="188"/>
      <c r="AJ3214" s="188"/>
      <c r="AK3214" s="188"/>
    </row>
    <row r="3215" ht="15.75" hidden="1" customHeight="1" outlineLevel="1">
      <c r="A3215" s="385"/>
      <c r="B3215" s="38"/>
      <c r="C3215" s="188"/>
      <c r="D3215" s="188"/>
      <c r="E3215" s="188"/>
      <c r="F3215" s="188"/>
      <c r="G3215" s="188"/>
      <c r="H3215" s="188"/>
      <c r="I3215" s="188"/>
      <c r="J3215" s="188"/>
      <c r="K3215" s="188"/>
      <c r="L3215" s="188"/>
      <c r="M3215" s="188"/>
      <c r="N3215" s="188">
        <f>PPMT('Assumptions (Oil G&amp;T)'!$B$73,Model!W$1,'Assumptions (Oil G&amp;T)'!$B$76,Model!$N$3201)</f>
        <v>-0.1051056223</v>
      </c>
      <c r="O3215" s="188">
        <f>PPMT('Assumptions (Oil G&amp;T)'!$B$73,Model!X$1,'Assumptions (Oil G&amp;T)'!$B$76,Model!$N$3201)</f>
        <v>-0.1129885439</v>
      </c>
      <c r="P3215" s="188">
        <f>PPMT('Assumptions (Oil G&amp;T)'!$B$73,Model!Y$1,'Assumptions (Oil G&amp;T)'!$B$76,Model!$N$3201)</f>
        <v>-0.1214626847</v>
      </c>
      <c r="Q3215" s="188">
        <f>PPMT('Assumptions (Oil G&amp;T)'!$B$73,Model!Z$1,'Assumptions (Oil G&amp;T)'!$B$76,Model!$N$3201)</f>
        <v>-0.1305723861</v>
      </c>
      <c r="R3215" s="188">
        <f>PPMT('Assumptions (Oil G&amp;T)'!$B$73,Model!AA$1,'Assumptions (Oil G&amp;T)'!$B$76,Model!$N$3201)</f>
        <v>-0.140365315</v>
      </c>
      <c r="S3215" s="188">
        <f>PPMT('Assumptions (Oil G&amp;T)'!$B$73,Model!AB$1,'Assumptions (Oil G&amp;T)'!$B$76,Model!$N$3201)</f>
        <v>-0.1508927137</v>
      </c>
      <c r="T3215" s="188">
        <f>PPMT('Assumptions (Oil G&amp;T)'!$B$73,Model!AC$1,'Assumptions (Oil G&amp;T)'!$B$76,Model!$N$3201)</f>
        <v>-0.1622096672</v>
      </c>
      <c r="U3215" s="188">
        <f>PPMT('Assumptions (Oil G&amp;T)'!$B$73,Model!AD$1,'Assumptions (Oil G&amp;T)'!$B$76,Model!$N$3201)</f>
        <v>-0.1743753922</v>
      </c>
      <c r="V3215" s="188">
        <f>PPMT('Assumptions (Oil G&amp;T)'!$B$73,Model!AE$1,'Assumptions (Oil G&amp;T)'!$B$76,Model!$N$3201)</f>
        <v>-0.1874535466</v>
      </c>
      <c r="W3215" s="188">
        <f>PPMT('Assumptions (Oil G&amp;T)'!$B$73,Model!AF$1,'Assumptions (Oil G&amp;T)'!$B$76,Model!$N$3201)</f>
        <v>-0.2015125626</v>
      </c>
      <c r="X3215" s="188">
        <f>PPMT('Assumptions (Oil G&amp;T)'!$B$73,Model!AG$1,'Assumptions (Oil G&amp;T)'!$B$76,Model!$N$3201)</f>
        <v>-0.2166260048</v>
      </c>
      <c r="Y3215" s="188">
        <f>PPMT('Assumptions (Oil G&amp;T)'!$B$73,Model!AH$1,'Assumptions (Oil G&amp;T)'!$B$76,Model!$N$3201)</f>
        <v>-0.2328729552</v>
      </c>
      <c r="Z3215" s="188">
        <f>PPMT('Assumptions (Oil G&amp;T)'!$B$73,Model!AI$1,'Assumptions (Oil G&amp;T)'!$B$76,Model!$N$3201)</f>
        <v>-0.2503384268</v>
      </c>
      <c r="AA3215" s="188">
        <f>PPMT('Assumptions (Oil G&amp;T)'!$B$73,Model!AJ$1,'Assumptions (Oil G&amp;T)'!$B$76,Model!$N$3201)</f>
        <v>-0.2691138088</v>
      </c>
      <c r="AB3215" s="188">
        <f>PPMT('Assumptions (Oil G&amp;T)'!$B$73,Model!AK$1,'Assumptions (Oil G&amp;T)'!$B$76,Model!$N$3201)</f>
        <v>-0.2892973445</v>
      </c>
      <c r="AC3215" s="188"/>
      <c r="AD3215" s="188"/>
      <c r="AE3215" s="188"/>
      <c r="AF3215" s="188"/>
      <c r="AG3215" s="188"/>
      <c r="AH3215" s="188"/>
      <c r="AI3215" s="188"/>
      <c r="AJ3215" s="188"/>
      <c r="AK3215" s="188"/>
      <c r="AL3215" s="188"/>
    </row>
    <row r="3216" ht="15.75" hidden="1" customHeight="1" outlineLevel="1">
      <c r="A3216" s="385"/>
      <c r="B3216" s="38"/>
      <c r="C3216" s="188"/>
      <c r="D3216" s="188"/>
      <c r="E3216" s="188"/>
      <c r="F3216" s="188"/>
      <c r="G3216" s="188"/>
      <c r="H3216" s="188"/>
      <c r="I3216" s="188"/>
      <c r="J3216" s="188"/>
      <c r="K3216" s="188"/>
      <c r="L3216" s="188"/>
      <c r="M3216" s="188"/>
      <c r="N3216" s="188"/>
      <c r="O3216" s="188">
        <f>PPMT('Assumptions (Oil G&amp;T)'!$B$73,Model!W$1,'Assumptions (Oil G&amp;T)'!$B$76,Model!$O$3201)</f>
        <v>-0.1858918679</v>
      </c>
      <c r="P3216" s="188">
        <f>PPMT('Assumptions (Oil G&amp;T)'!$B$73,Model!X$1,'Assumptions (Oil G&amp;T)'!$B$76,Model!$O$3201)</f>
        <v>-0.199833758</v>
      </c>
      <c r="Q3216" s="188">
        <f>PPMT('Assumptions (Oil G&amp;T)'!$B$73,Model!Y$1,'Assumptions (Oil G&amp;T)'!$B$76,Model!$O$3201)</f>
        <v>-0.2148212899</v>
      </c>
      <c r="R3216" s="188">
        <f>PPMT('Assumptions (Oil G&amp;T)'!$B$73,Model!Z$1,'Assumptions (Oil G&amp;T)'!$B$76,Model!$O$3201)</f>
        <v>-0.2309328866</v>
      </c>
      <c r="S3216" s="188">
        <f>PPMT('Assumptions (Oil G&amp;T)'!$B$73,Model!AA$1,'Assumptions (Oil G&amp;T)'!$B$76,Model!$O$3201)</f>
        <v>-0.2482528531</v>
      </c>
      <c r="T3216" s="188">
        <f>PPMT('Assumptions (Oil G&amp;T)'!$B$73,Model!AB$1,'Assumptions (Oil G&amp;T)'!$B$76,Model!$O$3201)</f>
        <v>-0.2668718171</v>
      </c>
      <c r="U3216" s="188">
        <f>PPMT('Assumptions (Oil G&amp;T)'!$B$73,Model!AC$1,'Assumptions (Oil G&amp;T)'!$B$76,Model!$O$3201)</f>
        <v>-0.2868872034</v>
      </c>
      <c r="V3216" s="188">
        <f>PPMT('Assumptions (Oil G&amp;T)'!$B$73,Model!AD$1,'Assumptions (Oil G&amp;T)'!$B$76,Model!$O$3201)</f>
        <v>-0.3084037437</v>
      </c>
      <c r="W3216" s="188">
        <f>PPMT('Assumptions (Oil G&amp;T)'!$B$73,Model!AE$1,'Assumptions (Oil G&amp;T)'!$B$76,Model!$O$3201)</f>
        <v>-0.3315340244</v>
      </c>
      <c r="X3216" s="188">
        <f>PPMT('Assumptions (Oil G&amp;T)'!$B$73,Model!AF$1,'Assumptions (Oil G&amp;T)'!$B$76,Model!$O$3201)</f>
        <v>-0.3563990763</v>
      </c>
      <c r="Y3216" s="188">
        <f>PPMT('Assumptions (Oil G&amp;T)'!$B$73,Model!AG$1,'Assumptions (Oil G&amp;T)'!$B$76,Model!$O$3201)</f>
        <v>-0.383129007</v>
      </c>
      <c r="Z3216" s="188">
        <f>PPMT('Assumptions (Oil G&amp;T)'!$B$73,Model!AH$1,'Assumptions (Oil G&amp;T)'!$B$76,Model!$O$3201)</f>
        <v>-0.4118636825</v>
      </c>
      <c r="AA3216" s="188">
        <f>PPMT('Assumptions (Oil G&amp;T)'!$B$73,Model!AI$1,'Assumptions (Oil G&amp;T)'!$B$76,Model!$O$3201)</f>
        <v>-0.4427534587</v>
      </c>
      <c r="AB3216" s="188">
        <f>PPMT('Assumptions (Oil G&amp;T)'!$B$73,Model!AJ$1,'Assumptions (Oil G&amp;T)'!$B$76,Model!$O$3201)</f>
        <v>-0.4759599681</v>
      </c>
      <c r="AC3216" s="188">
        <f>PPMT('Assumptions (Oil G&amp;T)'!$B$73,Model!AK$1,'Assumptions (Oil G&amp;T)'!$B$76,Model!$O$3201)</f>
        <v>-0.5116569657</v>
      </c>
      <c r="AD3216" s="188"/>
      <c r="AE3216" s="188"/>
      <c r="AF3216" s="188"/>
      <c r="AG3216" s="188"/>
      <c r="AH3216" s="188"/>
      <c r="AI3216" s="188"/>
      <c r="AJ3216" s="188"/>
      <c r="AK3216" s="188"/>
      <c r="AL3216" s="188"/>
      <c r="AM3216" s="188"/>
    </row>
    <row r="3217" ht="15.75" hidden="1" customHeight="1" outlineLevel="1">
      <c r="A3217" s="385"/>
      <c r="B3217" s="38"/>
      <c r="C3217" s="188"/>
      <c r="D3217" s="188"/>
      <c r="E3217" s="188"/>
      <c r="F3217" s="188"/>
      <c r="G3217" s="188"/>
      <c r="H3217" s="188"/>
      <c r="I3217" s="188"/>
      <c r="J3217" s="188"/>
      <c r="K3217" s="188"/>
      <c r="L3217" s="188"/>
      <c r="M3217" s="188"/>
      <c r="N3217" s="188"/>
      <c r="O3217" s="188"/>
      <c r="P3217" s="188">
        <f>PPMT('Assumptions (Oil G&amp;T)'!$B$73,Model!W$1,'Assumptions (Oil G&amp;T)'!$B$76,Model!$P$3201)</f>
        <v>-0.4047112533</v>
      </c>
      <c r="Q3217" s="188">
        <f>PPMT('Assumptions (Oil G&amp;T)'!$B$73,Model!X$1,'Assumptions (Oil G&amp;T)'!$B$76,Model!$P$3201)</f>
        <v>-0.4350645973</v>
      </c>
      <c r="R3217" s="188">
        <f>PPMT('Assumptions (Oil G&amp;T)'!$B$73,Model!Y$1,'Assumptions (Oil G&amp;T)'!$B$76,Model!$P$3201)</f>
        <v>-0.4676944421</v>
      </c>
      <c r="S3217" s="188">
        <f>PPMT('Assumptions (Oil G&amp;T)'!$B$73,Model!Z$1,'Assumptions (Oil G&amp;T)'!$B$76,Model!$P$3201)</f>
        <v>-0.5027715253</v>
      </c>
      <c r="T3217" s="188">
        <f>PPMT('Assumptions (Oil G&amp;T)'!$B$73,Model!AA$1,'Assumptions (Oil G&amp;T)'!$B$76,Model!$P$3201)</f>
        <v>-0.5404793897</v>
      </c>
      <c r="U3217" s="188">
        <f>PPMT('Assumptions (Oil G&amp;T)'!$B$73,Model!AB$1,'Assumptions (Oil G&amp;T)'!$B$76,Model!$P$3201)</f>
        <v>-0.5810153439</v>
      </c>
      <c r="V3217" s="188">
        <f>PPMT('Assumptions (Oil G&amp;T)'!$B$73,Model!AC$1,'Assumptions (Oil G&amp;T)'!$B$76,Model!$P$3201)</f>
        <v>-0.6245914947</v>
      </c>
      <c r="W3217" s="188">
        <f>PPMT('Assumptions (Oil G&amp;T)'!$B$73,Model!AD$1,'Assumptions (Oil G&amp;T)'!$B$76,Model!$P$3201)</f>
        <v>-0.6714358568</v>
      </c>
      <c r="X3217" s="188">
        <f>PPMT('Assumptions (Oil G&amp;T)'!$B$73,Model!AE$1,'Assumptions (Oil G&amp;T)'!$B$76,Model!$P$3201)</f>
        <v>-0.721793546</v>
      </c>
      <c r="Y3217" s="188">
        <f>PPMT('Assumptions (Oil G&amp;T)'!$B$73,Model!AF$1,'Assumptions (Oil G&amp;T)'!$B$76,Model!$P$3201)</f>
        <v>-0.775928062</v>
      </c>
      <c r="Z3217" s="188">
        <f>PPMT('Assumptions (Oil G&amp;T)'!$B$73,Model!AG$1,'Assumptions (Oil G&amp;T)'!$B$76,Model!$P$3201)</f>
        <v>-0.8341226667</v>
      </c>
      <c r="AA3217" s="188">
        <f>PPMT('Assumptions (Oil G&amp;T)'!$B$73,Model!AH$1,'Assumptions (Oil G&amp;T)'!$B$76,Model!$P$3201)</f>
        <v>-0.8966818667</v>
      </c>
      <c r="AB3217" s="188">
        <f>PPMT('Assumptions (Oil G&amp;T)'!$B$73,Model!AI$1,'Assumptions (Oil G&amp;T)'!$B$76,Model!$P$3201)</f>
        <v>-0.9639330066</v>
      </c>
      <c r="AC3217" s="188">
        <f>PPMT('Assumptions (Oil G&amp;T)'!$B$73,Model!AJ$1,'Assumptions (Oil G&amp;T)'!$B$76,Model!$P$3201)</f>
        <v>-1.036227982</v>
      </c>
      <c r="AD3217" s="188">
        <f>PPMT('Assumptions (Oil G&amp;T)'!$B$73,Model!AK$1,'Assumptions (Oil G&amp;T)'!$B$76,Model!$P$3201)</f>
        <v>-1.113945081</v>
      </c>
      <c r="AE3217" s="188"/>
      <c r="AF3217" s="188"/>
      <c r="AG3217" s="188"/>
      <c r="AH3217" s="188"/>
      <c r="AI3217" s="188"/>
      <c r="AJ3217" s="188"/>
      <c r="AK3217" s="188"/>
      <c r="AL3217" s="188"/>
      <c r="AM3217" s="188"/>
      <c r="AN3217" s="188"/>
    </row>
    <row r="3218" ht="15.75" hidden="1" customHeight="1" outlineLevel="1">
      <c r="A3218" s="385"/>
      <c r="B3218" s="38"/>
      <c r="C3218" s="188"/>
      <c r="D3218" s="188"/>
      <c r="E3218" s="188"/>
      <c r="F3218" s="188"/>
      <c r="G3218" s="188"/>
      <c r="H3218" s="188"/>
      <c r="I3218" s="188"/>
      <c r="J3218" s="188"/>
      <c r="K3218" s="188"/>
      <c r="L3218" s="188"/>
      <c r="M3218" s="188"/>
      <c r="N3218" s="188"/>
      <c r="O3218" s="188"/>
      <c r="P3218" s="188"/>
      <c r="Q3218" s="188">
        <f>PPMT('Assumptions (Oil G&amp;T)'!$B$73,Model!W$1,'Assumptions (Oil G&amp;T)'!$B$76,Model!$Q$3201)</f>
        <v>-0.5573732795</v>
      </c>
      <c r="R3218" s="188">
        <f>PPMT('Assumptions (Oil G&amp;T)'!$B$73,Model!X$1,'Assumptions (Oil G&amp;T)'!$B$76,Model!$Q$3201)</f>
        <v>-0.5991762754</v>
      </c>
      <c r="S3218" s="188">
        <f>PPMT('Assumptions (Oil G&amp;T)'!$B$73,Model!Y$1,'Assumptions (Oil G&amp;T)'!$B$76,Model!$Q$3201)</f>
        <v>-0.6441144961</v>
      </c>
      <c r="T3218" s="188">
        <f>PPMT('Assumptions (Oil G&amp;T)'!$B$73,Model!Z$1,'Assumptions (Oil G&amp;T)'!$B$76,Model!$Q$3201)</f>
        <v>-0.6924230833</v>
      </c>
      <c r="U3218" s="188">
        <f>PPMT('Assumptions (Oil G&amp;T)'!$B$73,Model!AA$1,'Assumptions (Oil G&amp;T)'!$B$76,Model!$Q$3201)</f>
        <v>-0.7443548145</v>
      </c>
      <c r="V3218" s="188">
        <f>PPMT('Assumptions (Oil G&amp;T)'!$B$73,Model!AB$1,'Assumptions (Oil G&amp;T)'!$B$76,Model!$Q$3201)</f>
        <v>-0.8001814256</v>
      </c>
      <c r="W3218" s="188">
        <f>PPMT('Assumptions (Oil G&amp;T)'!$B$73,Model!AC$1,'Assumptions (Oil G&amp;T)'!$B$76,Model!$Q$3201)</f>
        <v>-0.8601950325</v>
      </c>
      <c r="X3218" s="188">
        <f>PPMT('Assumptions (Oil G&amp;T)'!$B$73,Model!AD$1,'Assumptions (Oil G&amp;T)'!$B$76,Model!$Q$3201)</f>
        <v>-0.92470966</v>
      </c>
      <c r="Y3218" s="188">
        <f>PPMT('Assumptions (Oil G&amp;T)'!$B$73,Model!AE$1,'Assumptions (Oil G&amp;T)'!$B$76,Model!$Q$3201)</f>
        <v>-0.9940628845</v>
      </c>
      <c r="Z3218" s="188">
        <f>PPMT('Assumptions (Oil G&amp;T)'!$B$73,Model!AF$1,'Assumptions (Oil G&amp;T)'!$B$76,Model!$Q$3201)</f>
        <v>-1.068617601</v>
      </c>
      <c r="AA3218" s="188">
        <f>PPMT('Assumptions (Oil G&amp;T)'!$B$73,Model!AG$1,'Assumptions (Oil G&amp;T)'!$B$76,Model!$Q$3201)</f>
        <v>-1.148763921</v>
      </c>
      <c r="AB3218" s="188">
        <f>PPMT('Assumptions (Oil G&amp;T)'!$B$73,Model!AH$1,'Assumptions (Oil G&amp;T)'!$B$76,Model!$Q$3201)</f>
        <v>-1.234921215</v>
      </c>
      <c r="AC3218" s="188">
        <f>PPMT('Assumptions (Oil G&amp;T)'!$B$73,Model!AI$1,'Assumptions (Oil G&amp;T)'!$B$76,Model!$Q$3201)</f>
        <v>-1.327540306</v>
      </c>
      <c r="AD3218" s="188">
        <f>PPMT('Assumptions (Oil G&amp;T)'!$B$73,Model!AJ$1,'Assumptions (Oil G&amp;T)'!$B$76,Model!$Q$3201)</f>
        <v>-1.427105829</v>
      </c>
      <c r="AE3218" s="188">
        <f>PPMT('Assumptions (Oil G&amp;T)'!$B$73,Model!AK$1,'Assumptions (Oil G&amp;T)'!$B$76,Model!$Q$3201)</f>
        <v>-1.534138766</v>
      </c>
      <c r="AF3218" s="188"/>
      <c r="AG3218" s="188"/>
      <c r="AH3218" s="188"/>
      <c r="AI3218" s="188"/>
      <c r="AJ3218" s="188"/>
      <c r="AK3218" s="188"/>
      <c r="AL3218" s="188"/>
      <c r="AM3218" s="188"/>
      <c r="AN3218" s="188"/>
      <c r="AO3218" s="188"/>
    </row>
    <row r="3219" ht="15.75" hidden="1" customHeight="1" outlineLevel="1">
      <c r="A3219" s="385"/>
      <c r="B3219" s="38"/>
      <c r="C3219" s="188"/>
      <c r="D3219" s="188"/>
      <c r="E3219" s="188"/>
      <c r="F3219" s="188"/>
      <c r="G3219" s="188"/>
      <c r="H3219" s="188"/>
      <c r="I3219" s="188"/>
      <c r="J3219" s="188"/>
      <c r="K3219" s="188"/>
      <c r="L3219" s="188"/>
      <c r="M3219" s="188"/>
      <c r="N3219" s="188"/>
      <c r="O3219" s="188"/>
      <c r="P3219" s="188"/>
      <c r="Q3219" s="188"/>
      <c r="R3219" s="188">
        <f>PPMT('Assumptions (Oil G&amp;T)'!$B$73,Model!W$1,'Assumptions (Oil G&amp;T)'!$B$76,Model!$R$3201)</f>
        <v>-0.4225830821</v>
      </c>
      <c r="S3219" s="188">
        <f>PPMT('Assumptions (Oil G&amp;T)'!$B$73,Model!X$1,'Assumptions (Oil G&amp;T)'!$B$76,Model!$R$3201)</f>
        <v>-0.4542768132</v>
      </c>
      <c r="T3219" s="188">
        <f>PPMT('Assumptions (Oil G&amp;T)'!$B$73,Model!Y$1,'Assumptions (Oil G&amp;T)'!$B$76,Model!$R$3201)</f>
        <v>-0.4883475742</v>
      </c>
      <c r="U3219" s="188">
        <f>PPMT('Assumptions (Oil G&amp;T)'!$B$73,Model!Z$1,'Assumptions (Oil G&amp;T)'!$B$76,Model!$R$3201)</f>
        <v>-0.5249736423</v>
      </c>
      <c r="V3219" s="188">
        <f>PPMT('Assumptions (Oil G&amp;T)'!$B$73,Model!AA$1,'Assumptions (Oil G&amp;T)'!$B$76,Model!$R$3201)</f>
        <v>-0.5643466654</v>
      </c>
      <c r="W3219" s="188">
        <f>PPMT('Assumptions (Oil G&amp;T)'!$B$73,Model!AB$1,'Assumptions (Oil G&amp;T)'!$B$76,Model!$R$3201)</f>
        <v>-0.6066726654</v>
      </c>
      <c r="X3219" s="188">
        <f>PPMT('Assumptions (Oil G&amp;T)'!$B$73,Model!AC$1,'Assumptions (Oil G&amp;T)'!$B$76,Model!$R$3201)</f>
        <v>-0.6521731153</v>
      </c>
      <c r="Y3219" s="188">
        <f>PPMT('Assumptions (Oil G&amp;T)'!$B$73,Model!AD$1,'Assumptions (Oil G&amp;T)'!$B$76,Model!$R$3201)</f>
        <v>-0.7010860989</v>
      </c>
      <c r="Z3219" s="188">
        <f>PPMT('Assumptions (Oil G&amp;T)'!$B$73,Model!AE$1,'Assumptions (Oil G&amp;T)'!$B$76,Model!$R$3201)</f>
        <v>-0.7536675563</v>
      </c>
      <c r="AA3219" s="188">
        <f>PPMT('Assumptions (Oil G&amp;T)'!$B$73,Model!AF$1,'Assumptions (Oil G&amp;T)'!$B$76,Model!$R$3201)</f>
        <v>-0.810192623</v>
      </c>
      <c r="AB3219" s="188">
        <f>PPMT('Assumptions (Oil G&amp;T)'!$B$73,Model!AG$1,'Assumptions (Oil G&amp;T)'!$B$76,Model!$R$3201)</f>
        <v>-0.8709570698</v>
      </c>
      <c r="AC3219" s="188">
        <f>PPMT('Assumptions (Oil G&amp;T)'!$B$73,Model!AH$1,'Assumptions (Oil G&amp;T)'!$B$76,Model!$R$3201)</f>
        <v>-0.93627885</v>
      </c>
      <c r="AD3219" s="188">
        <f>PPMT('Assumptions (Oil G&amp;T)'!$B$73,Model!AI$1,'Assumptions (Oil G&amp;T)'!$B$76,Model!$R$3201)</f>
        <v>-1.006499764</v>
      </c>
      <c r="AE3219" s="188">
        <f>PPMT('Assumptions (Oil G&amp;T)'!$B$73,Model!AJ$1,'Assumptions (Oil G&amp;T)'!$B$76,Model!$R$3201)</f>
        <v>-1.081987246</v>
      </c>
      <c r="AF3219" s="188">
        <f>PPMT('Assumptions (Oil G&amp;T)'!$B$73,Model!AK$1,'Assumptions (Oil G&amp;T)'!$B$76,Model!$R$3201)</f>
        <v>-1.163136289</v>
      </c>
      <c r="AG3219" s="188"/>
      <c r="AH3219" s="188"/>
      <c r="AI3219" s="188"/>
      <c r="AJ3219" s="188"/>
      <c r="AK3219" s="188"/>
      <c r="AL3219" s="188"/>
      <c r="AM3219" s="188"/>
      <c r="AN3219" s="188"/>
      <c r="AO3219" s="188"/>
      <c r="AP3219" s="188"/>
    </row>
    <row r="3220" ht="15.75" hidden="1" customHeight="1" outlineLevel="1">
      <c r="A3220" s="385"/>
      <c r="B3220" s="38"/>
      <c r="C3220" s="188"/>
      <c r="D3220" s="188"/>
      <c r="E3220" s="188"/>
      <c r="F3220" s="188"/>
      <c r="G3220" s="188"/>
      <c r="H3220" s="188"/>
      <c r="I3220" s="188"/>
      <c r="J3220" s="188"/>
      <c r="K3220" s="188"/>
      <c r="L3220" s="188"/>
      <c r="M3220" s="188"/>
      <c r="N3220" s="188"/>
      <c r="O3220" s="188"/>
      <c r="P3220" s="188"/>
      <c r="Q3220" s="188"/>
      <c r="R3220" s="188"/>
      <c r="S3220" s="188">
        <f>PPMT('Assumptions (Oil G&amp;T)'!$B$73,Model!W$1,'Assumptions (Oil G&amp;T)'!$B$76,Model!$S$3201)</f>
        <v>-0.2630506508</v>
      </c>
      <c r="T3220" s="188">
        <f>PPMT('Assumptions (Oil G&amp;T)'!$B$73,Model!X$1,'Assumptions (Oil G&amp;T)'!$B$76,Model!$S$3201)</f>
        <v>-0.2827794496</v>
      </c>
      <c r="U3220" s="188">
        <f>PPMT('Assumptions (Oil G&amp;T)'!$B$73,Model!Y$1,'Assumptions (Oil G&amp;T)'!$B$76,Model!$S$3201)</f>
        <v>-0.3039879084</v>
      </c>
      <c r="V3220" s="188">
        <f>PPMT('Assumptions (Oil G&amp;T)'!$B$73,Model!Z$1,'Assumptions (Oil G&amp;T)'!$B$76,Model!$S$3201)</f>
        <v>-0.3267870015</v>
      </c>
      <c r="W3220" s="188">
        <f>PPMT('Assumptions (Oil G&amp;T)'!$B$73,Model!AA$1,'Assumptions (Oil G&amp;T)'!$B$76,Model!$S$3201)</f>
        <v>-0.3512960266</v>
      </c>
      <c r="X3220" s="188">
        <f>PPMT('Assumptions (Oil G&amp;T)'!$B$73,Model!AB$1,'Assumptions (Oil G&amp;T)'!$B$76,Model!$S$3201)</f>
        <v>-0.3776432286</v>
      </c>
      <c r="Y3220" s="188">
        <f>PPMT('Assumptions (Oil G&amp;T)'!$B$73,Model!AC$1,'Assumptions (Oil G&amp;T)'!$B$76,Model!$S$3201)</f>
        <v>-0.4059664707</v>
      </c>
      <c r="Z3220" s="188">
        <f>PPMT('Assumptions (Oil G&amp;T)'!$B$73,Model!AD$1,'Assumptions (Oil G&amp;T)'!$B$76,Model!$S$3201)</f>
        <v>-0.436413956</v>
      </c>
      <c r="AA3220" s="188">
        <f>PPMT('Assumptions (Oil G&amp;T)'!$B$73,Model!AE$1,'Assumptions (Oil G&amp;T)'!$B$76,Model!$S$3201)</f>
        <v>-0.4691450027</v>
      </c>
      <c r="AB3220" s="188">
        <f>PPMT('Assumptions (Oil G&amp;T)'!$B$73,Model!AF$1,'Assumptions (Oil G&amp;T)'!$B$76,Model!$S$3201)</f>
        <v>-0.5043308779</v>
      </c>
      <c r="AC3220" s="188">
        <f>PPMT('Assumptions (Oil G&amp;T)'!$B$73,Model!AG$1,'Assumptions (Oil G&amp;T)'!$B$76,Model!$S$3201)</f>
        <v>-0.5421556938</v>
      </c>
      <c r="AD3220" s="188">
        <f>PPMT('Assumptions (Oil G&amp;T)'!$B$73,Model!AH$1,'Assumptions (Oil G&amp;T)'!$B$76,Model!$S$3201)</f>
        <v>-0.5828173708</v>
      </c>
      <c r="AE3220" s="188">
        <f>PPMT('Assumptions (Oil G&amp;T)'!$B$73,Model!AI$1,'Assumptions (Oil G&amp;T)'!$B$76,Model!$S$3201)</f>
        <v>-0.6265286736</v>
      </c>
      <c r="AF3220" s="188">
        <f>PPMT('Assumptions (Oil G&amp;T)'!$B$73,Model!AJ$1,'Assumptions (Oil G&amp;T)'!$B$76,Model!$S$3201)</f>
        <v>-0.6735183242</v>
      </c>
      <c r="AG3220" s="188">
        <f>PPMT('Assumptions (Oil G&amp;T)'!$B$73,Model!AK$1,'Assumptions (Oil G&amp;T)'!$B$76,Model!$S$3201)</f>
        <v>-0.7240321985</v>
      </c>
      <c r="AH3220" s="188"/>
      <c r="AI3220" s="188"/>
      <c r="AJ3220" s="188"/>
      <c r="AK3220" s="188"/>
      <c r="AL3220" s="188"/>
      <c r="AM3220" s="188"/>
      <c r="AN3220" s="188"/>
      <c r="AO3220" s="188"/>
      <c r="AP3220" s="188"/>
      <c r="AQ3220" s="188"/>
    </row>
    <row r="3221" ht="15.75" hidden="1" customHeight="1" outlineLevel="1">
      <c r="A3221" s="385"/>
      <c r="B3221" s="38"/>
      <c r="C3221" s="188"/>
      <c r="D3221" s="188"/>
      <c r="E3221" s="188"/>
      <c r="F3221" s="188"/>
      <c r="G3221" s="188"/>
      <c r="H3221" s="188"/>
      <c r="I3221" s="188"/>
      <c r="J3221" s="188"/>
      <c r="K3221" s="188"/>
      <c r="L3221" s="188"/>
      <c r="M3221" s="188"/>
      <c r="N3221" s="188"/>
      <c r="O3221" s="188"/>
      <c r="P3221" s="188"/>
      <c r="Q3221" s="188"/>
      <c r="R3221" s="188"/>
      <c r="S3221" s="78"/>
      <c r="T3221" s="188">
        <f>PPMT('Assumptions (Oil G&amp;T)'!$B$73,Model!W$1,'Assumptions (Oil G&amp;T)'!$B$76,Model!$T$3201)</f>
        <v>-0.4071757199</v>
      </c>
      <c r="U3221" s="188">
        <f>PPMT('Assumptions (Oil G&amp;T)'!$B$73,Model!X$1,'Assumptions (Oil G&amp;T)'!$B$76,Model!$T$3201)</f>
        <v>-0.4377138989</v>
      </c>
      <c r="V3221" s="188">
        <f>PPMT('Assumptions (Oil G&amp;T)'!$B$73,Model!Y$1,'Assumptions (Oil G&amp;T)'!$B$76,Model!$T$3201)</f>
        <v>-0.4705424414</v>
      </c>
      <c r="W3221" s="188">
        <f>PPMT('Assumptions (Oil G&amp;T)'!$B$73,Model!Z$1,'Assumptions (Oil G&amp;T)'!$B$76,Model!$T$3201)</f>
        <v>-0.5058331245</v>
      </c>
      <c r="X3221" s="188">
        <f>PPMT('Assumptions (Oil G&amp;T)'!$B$73,Model!AA$1,'Assumptions (Oil G&amp;T)'!$B$76,Model!$T$3201)</f>
        <v>-0.5437706088</v>
      </c>
      <c r="Y3221" s="188">
        <f>PPMT('Assumptions (Oil G&amp;T)'!$B$73,Model!AB$1,'Assumptions (Oil G&amp;T)'!$B$76,Model!$T$3201)</f>
        <v>-0.5845534045</v>
      </c>
      <c r="Z3221" s="188">
        <f>PPMT('Assumptions (Oil G&amp;T)'!$B$73,Model!AC$1,'Assumptions (Oil G&amp;T)'!$B$76,Model!$T$3201)</f>
        <v>-0.6283949098</v>
      </c>
      <c r="AA3221" s="188">
        <f>PPMT('Assumptions (Oil G&amp;T)'!$B$73,Model!AD$1,'Assumptions (Oil G&amp;T)'!$B$76,Model!$T$3201)</f>
        <v>-0.675524528</v>
      </c>
      <c r="AB3221" s="188">
        <f>PPMT('Assumptions (Oil G&amp;T)'!$B$73,Model!AE$1,'Assumptions (Oil G&amp;T)'!$B$76,Model!$T$3201)</f>
        <v>-0.7261888676</v>
      </c>
      <c r="AC3221" s="188">
        <f>PPMT('Assumptions (Oil G&amp;T)'!$B$73,Model!AF$1,'Assumptions (Oil G&amp;T)'!$B$76,Model!$T$3201)</f>
        <v>-0.7806530327</v>
      </c>
      <c r="AD3221" s="188">
        <f>PPMT('Assumptions (Oil G&amp;T)'!$B$73,Model!AG$1,'Assumptions (Oil G&amp;T)'!$B$76,Model!$T$3201)</f>
        <v>-0.8392020102</v>
      </c>
      <c r="AE3221" s="188">
        <f>PPMT('Assumptions (Oil G&amp;T)'!$B$73,Model!AH$1,'Assumptions (Oil G&amp;T)'!$B$76,Model!$T$3201)</f>
        <v>-0.9021421609</v>
      </c>
      <c r="AF3221" s="188">
        <f>PPMT('Assumptions (Oil G&amp;T)'!$B$73,Model!AI$1,'Assumptions (Oil G&amp;T)'!$B$76,Model!$T$3201)</f>
        <v>-0.969802823</v>
      </c>
      <c r="AG3221" s="188">
        <f>PPMT('Assumptions (Oil G&amp;T)'!$B$73,Model!AJ$1,'Assumptions (Oil G&amp;T)'!$B$76,Model!$T$3201)</f>
        <v>-1.042538035</v>
      </c>
      <c r="AH3221" s="188">
        <f>PPMT('Assumptions (Oil G&amp;T)'!$B$73,Model!AK$1,'Assumptions (Oil G&amp;T)'!$B$76,Model!$T$3201)</f>
        <v>-1.120728387</v>
      </c>
      <c r="AI3221" s="188"/>
      <c r="AJ3221" s="188"/>
      <c r="AK3221" s="188"/>
      <c r="AL3221" s="188"/>
      <c r="AM3221" s="188"/>
      <c r="AN3221" s="188"/>
      <c r="AO3221" s="188"/>
      <c r="AP3221" s="188"/>
      <c r="AQ3221" s="188"/>
      <c r="AR3221" s="188"/>
    </row>
    <row r="3222" ht="15.75" hidden="1" customHeight="1" outlineLevel="1">
      <c r="A3222" s="385"/>
      <c r="B3222" s="38"/>
      <c r="C3222" s="188"/>
      <c r="D3222" s="188"/>
      <c r="E3222" s="188"/>
      <c r="F3222" s="188"/>
      <c r="G3222" s="188"/>
      <c r="H3222" s="188"/>
      <c r="I3222" s="188"/>
      <c r="J3222" s="188"/>
      <c r="K3222" s="188"/>
      <c r="L3222" s="188"/>
      <c r="M3222" s="188"/>
      <c r="N3222" s="188"/>
      <c r="O3222" s="188"/>
      <c r="P3222" s="188"/>
      <c r="Q3222" s="188"/>
      <c r="R3222" s="188"/>
      <c r="S3222" s="78"/>
      <c r="T3222" s="78"/>
      <c r="U3222" s="188">
        <f>PPMT('Assumptions (Oil G&amp;T)'!$B$73,Model!W$1,'Assumptions (Oil G&amp;T)'!$B$76,Model!$U$3201)</f>
        <v>-0.4436594959</v>
      </c>
      <c r="V3222" s="188">
        <f>PPMT('Assumptions (Oil G&amp;T)'!$B$73,Model!X$1,'Assumptions (Oil G&amp;T)'!$B$76,Model!$U$3201)</f>
        <v>-0.4769339581</v>
      </c>
      <c r="W3222" s="188">
        <f>PPMT('Assumptions (Oil G&amp;T)'!$B$73,Model!Y$1,'Assumptions (Oil G&amp;T)'!$B$76,Model!$U$3201)</f>
        <v>-0.512704005</v>
      </c>
      <c r="X3222" s="188">
        <f>PPMT('Assumptions (Oil G&amp;T)'!$B$73,Model!Z$1,'Assumptions (Oil G&amp;T)'!$B$76,Model!$U$3201)</f>
        <v>-0.5511568053</v>
      </c>
      <c r="Y3222" s="188">
        <f>PPMT('Assumptions (Oil G&amp;T)'!$B$73,Model!AA$1,'Assumptions (Oil G&amp;T)'!$B$76,Model!$U$3201)</f>
        <v>-0.5924935657</v>
      </c>
      <c r="Z3222" s="188">
        <f>PPMT('Assumptions (Oil G&amp;T)'!$B$73,Model!AB$1,'Assumptions (Oil G&amp;T)'!$B$76,Model!$U$3201)</f>
        <v>-0.6369305832</v>
      </c>
      <c r="AA3222" s="188">
        <f>PPMT('Assumptions (Oil G&amp;T)'!$B$73,Model!AC$1,'Assumptions (Oil G&amp;T)'!$B$76,Model!$U$3201)</f>
        <v>-0.6847003769</v>
      </c>
      <c r="AB3222" s="188">
        <f>PPMT('Assumptions (Oil G&amp;T)'!$B$73,Model!AD$1,'Assumptions (Oil G&amp;T)'!$B$76,Model!$U$3201)</f>
        <v>-0.7360529052</v>
      </c>
      <c r="AC3222" s="188">
        <f>PPMT('Assumptions (Oil G&amp;T)'!$B$73,Model!AE$1,'Assumptions (Oil G&amp;T)'!$B$76,Model!$U$3201)</f>
        <v>-0.791256873</v>
      </c>
      <c r="AD3222" s="188">
        <f>PPMT('Assumptions (Oil G&amp;T)'!$B$73,Model!AF$1,'Assumptions (Oil G&amp;T)'!$B$76,Model!$U$3201)</f>
        <v>-0.8506011385</v>
      </c>
      <c r="AE3222" s="188">
        <f>PPMT('Assumptions (Oil G&amp;T)'!$B$73,Model!AG$1,'Assumptions (Oil G&amp;T)'!$B$76,Model!$U$3201)</f>
        <v>-0.9143962239</v>
      </c>
      <c r="AF3222" s="188">
        <f>PPMT('Assumptions (Oil G&amp;T)'!$B$73,Model!AH$1,'Assumptions (Oil G&amp;T)'!$B$76,Model!$U$3201)</f>
        <v>-0.9829759407</v>
      </c>
      <c r="AG3222" s="188">
        <f>PPMT('Assumptions (Oil G&amp;T)'!$B$73,Model!AI$1,'Assumptions (Oil G&amp;T)'!$B$76,Model!$U$3201)</f>
        <v>-1.056699136</v>
      </c>
      <c r="AH3222" s="188">
        <f>PPMT('Assumptions (Oil G&amp;T)'!$B$73,Model!AJ$1,'Assumptions (Oil G&amp;T)'!$B$76,Model!$U$3201)</f>
        <v>-1.135951571</v>
      </c>
      <c r="AI3222" s="188">
        <f>PPMT('Assumptions (Oil G&amp;T)'!$B$73,Model!AK$1,'Assumptions (Oil G&amp;T)'!$B$76,Model!$U$3201)</f>
        <v>-1.221147939</v>
      </c>
      <c r="AJ3222" s="188"/>
      <c r="AK3222" s="188"/>
      <c r="AL3222" s="188"/>
      <c r="AM3222" s="188"/>
      <c r="AN3222" s="188"/>
      <c r="AO3222" s="188"/>
      <c r="AP3222" s="188"/>
      <c r="AQ3222" s="188"/>
      <c r="AR3222" s="188"/>
      <c r="AS3222" s="188"/>
    </row>
    <row r="3223" ht="15.75" hidden="1" customHeight="1" outlineLevel="1">
      <c r="A3223" s="385"/>
      <c r="B3223" s="38"/>
      <c r="C3223" s="188"/>
      <c r="D3223" s="188"/>
      <c r="E3223" s="188"/>
      <c r="F3223" s="188"/>
      <c r="G3223" s="188"/>
      <c r="H3223" s="188"/>
      <c r="I3223" s="188"/>
      <c r="J3223" s="188"/>
      <c r="K3223" s="188"/>
      <c r="L3223" s="188"/>
      <c r="M3223" s="188"/>
      <c r="N3223" s="188"/>
      <c r="O3223" s="188"/>
      <c r="P3223" s="188"/>
      <c r="Q3223" s="188"/>
      <c r="R3223" s="188"/>
      <c r="S3223" s="78"/>
      <c r="T3223" s="78"/>
      <c r="U3223" s="78"/>
      <c r="V3223" s="188">
        <f>PPMT('Assumptions (Oil G&amp;T)'!$B$73,Model!W$1,'Assumptions (Oil G&amp;T)'!$B$76,Model!$V$3201)</f>
        <v>-0.4664518216</v>
      </c>
      <c r="W3223" s="188">
        <f>PPMT('Assumptions (Oil G&amp;T)'!$B$73,Model!X$1,'Assumptions (Oil G&amp;T)'!$B$76,Model!$V$3201)</f>
        <v>-0.5014357082</v>
      </c>
      <c r="X3223" s="188">
        <f>PPMT('Assumptions (Oil G&amp;T)'!$B$73,Model!Y$1,'Assumptions (Oil G&amp;T)'!$B$76,Model!$V$3201)</f>
        <v>-0.5390433863</v>
      </c>
      <c r="Y3223" s="188">
        <f>PPMT('Assumptions (Oil G&amp;T)'!$B$73,Model!Z$1,'Assumptions (Oil G&amp;T)'!$B$76,Model!$V$3201)</f>
        <v>-0.5794716403</v>
      </c>
      <c r="Z3223" s="188">
        <f>PPMT('Assumptions (Oil G&amp;T)'!$B$73,Model!AA$1,'Assumptions (Oil G&amp;T)'!$B$76,Model!$V$3201)</f>
        <v>-0.6229320133</v>
      </c>
      <c r="AA3223" s="188">
        <f>PPMT('Assumptions (Oil G&amp;T)'!$B$73,Model!AB$1,'Assumptions (Oil G&amp;T)'!$B$76,Model!$V$3201)</f>
        <v>-0.6696519143</v>
      </c>
      <c r="AB3223" s="188">
        <f>PPMT('Assumptions (Oil G&amp;T)'!$B$73,Model!AC$1,'Assumptions (Oil G&amp;T)'!$B$76,Model!$V$3201)</f>
        <v>-0.7198758079</v>
      </c>
      <c r="AC3223" s="188">
        <f>PPMT('Assumptions (Oil G&amp;T)'!$B$73,Model!AD$1,'Assumptions (Oil G&amp;T)'!$B$76,Model!$V$3201)</f>
        <v>-0.7738664934</v>
      </c>
      <c r="AD3223" s="188">
        <f>PPMT('Assumptions (Oil G&amp;T)'!$B$73,Model!AE$1,'Assumptions (Oil G&amp;T)'!$B$76,Model!$V$3201)</f>
        <v>-0.8319064804</v>
      </c>
      <c r="AE3223" s="188">
        <f>PPMT('Assumptions (Oil G&amp;T)'!$B$73,Model!AF$1,'Assumptions (Oil G&amp;T)'!$B$76,Model!$V$3201)</f>
        <v>-0.8942994665</v>
      </c>
      <c r="AF3223" s="188">
        <f>PPMT('Assumptions (Oil G&amp;T)'!$B$73,Model!AG$1,'Assumptions (Oil G&amp;T)'!$B$76,Model!$V$3201)</f>
        <v>-0.9613719265</v>
      </c>
      <c r="AG3223" s="188">
        <f>PPMT('Assumptions (Oil G&amp;T)'!$B$73,Model!AH$1,'Assumptions (Oil G&amp;T)'!$B$76,Model!$V$3201)</f>
        <v>-1.033474821</v>
      </c>
      <c r="AH3223" s="188">
        <f>PPMT('Assumptions (Oil G&amp;T)'!$B$73,Model!AI$1,'Assumptions (Oil G&amp;T)'!$B$76,Model!$V$3201)</f>
        <v>-1.110985433</v>
      </c>
      <c r="AI3223" s="188">
        <f>PPMT('Assumptions (Oil G&amp;T)'!$B$73,Model!AJ$1,'Assumptions (Oil G&amp;T)'!$B$76,Model!$V$3201)</f>
        <v>-1.19430934</v>
      </c>
      <c r="AJ3223" s="188">
        <f>PPMT('Assumptions (Oil G&amp;T)'!$B$73,Model!AK$1,'Assumptions (Oil G&amp;T)'!$B$76,Model!$V$3201)</f>
        <v>-1.28388254</v>
      </c>
      <c r="AK3223" s="188"/>
      <c r="AL3223" s="188"/>
      <c r="AM3223" s="188"/>
      <c r="AN3223" s="188"/>
      <c r="AO3223" s="188"/>
      <c r="AP3223" s="188"/>
      <c r="AQ3223" s="188"/>
      <c r="AR3223" s="188"/>
      <c r="AS3223" s="188"/>
      <c r="AT3223" s="188"/>
    </row>
    <row r="3224" ht="15.75" hidden="1" customHeight="1" outlineLevel="1">
      <c r="A3224" s="385"/>
      <c r="B3224" s="38"/>
      <c r="C3224" s="188"/>
      <c r="D3224" s="188"/>
      <c r="E3224" s="188"/>
      <c r="F3224" s="188"/>
      <c r="G3224" s="188"/>
      <c r="H3224" s="188"/>
      <c r="I3224" s="188"/>
      <c r="J3224" s="188"/>
      <c r="K3224" s="188"/>
      <c r="L3224" s="188"/>
      <c r="M3224" s="188"/>
      <c r="N3224" s="188"/>
      <c r="O3224" s="188"/>
      <c r="P3224" s="188"/>
      <c r="Q3224" s="188"/>
      <c r="R3224" s="188"/>
      <c r="S3224" s="78"/>
      <c r="T3224" s="78"/>
      <c r="U3224" s="78"/>
      <c r="V3224" s="78"/>
      <c r="W3224" s="188">
        <f>PPMT('Assumptions (Oil G&amp;T)'!$B$73,Model!W$1,'Assumptions (Oil G&amp;T)'!$B$76,Model!$W$3201)</f>
        <v>-0.4820329708</v>
      </c>
      <c r="X3224" s="188">
        <f>PPMT('Assumptions (Oil G&amp;T)'!$B$73,Model!X$1,'Assumptions (Oil G&amp;T)'!$B$76,Model!$W$3201)</f>
        <v>-0.5181854436</v>
      </c>
      <c r="Y3224" s="188">
        <f>PPMT('Assumptions (Oil G&amp;T)'!$B$73,Model!Y$1,'Assumptions (Oil G&amp;T)'!$B$76,Model!$W$3201)</f>
        <v>-0.5570493519</v>
      </c>
      <c r="Z3224" s="188">
        <f>PPMT('Assumptions (Oil G&amp;T)'!$B$73,Model!Z$1,'Assumptions (Oil G&amp;T)'!$B$76,Model!$W$3201)</f>
        <v>-0.5988280533</v>
      </c>
      <c r="AA3224" s="188">
        <f>PPMT('Assumptions (Oil G&amp;T)'!$B$73,Model!AA$1,'Assumptions (Oil G&amp;T)'!$B$76,Model!$W$3201)</f>
        <v>-0.6437401573</v>
      </c>
      <c r="AB3224" s="188">
        <f>PPMT('Assumptions (Oil G&amp;T)'!$B$73,Model!AB$1,'Assumptions (Oil G&amp;T)'!$B$76,Model!$W$3201)</f>
        <v>-0.6920206691</v>
      </c>
      <c r="AC3224" s="188">
        <f>PPMT('Assumptions (Oil G&amp;T)'!$B$73,Model!AC$1,'Assumptions (Oil G&amp;T)'!$B$76,Model!$W$3201)</f>
        <v>-0.7439222193</v>
      </c>
      <c r="AD3224" s="188">
        <f>PPMT('Assumptions (Oil G&amp;T)'!$B$73,Model!AD$1,'Assumptions (Oil G&amp;T)'!$B$76,Model!$W$3201)</f>
        <v>-0.7997163857</v>
      </c>
      <c r="AE3224" s="188">
        <f>PPMT('Assumptions (Oil G&amp;T)'!$B$73,Model!AE$1,'Assumptions (Oil G&amp;T)'!$B$76,Model!$W$3201)</f>
        <v>-0.8596951146</v>
      </c>
      <c r="AF3224" s="188">
        <f>PPMT('Assumptions (Oil G&amp;T)'!$B$73,Model!AF$1,'Assumptions (Oil G&amp;T)'!$B$76,Model!$W$3201)</f>
        <v>-0.9241722482</v>
      </c>
      <c r="AG3224" s="188">
        <f>PPMT('Assumptions (Oil G&amp;T)'!$B$73,Model!AG$1,'Assumptions (Oil G&amp;T)'!$B$76,Model!$W$3201)</f>
        <v>-0.9934851668</v>
      </c>
      <c r="AH3224" s="188">
        <f>PPMT('Assumptions (Oil G&amp;T)'!$B$73,Model!AH$1,'Assumptions (Oil G&amp;T)'!$B$76,Model!$W$3201)</f>
        <v>-1.067996554</v>
      </c>
      <c r="AI3224" s="188">
        <f>PPMT('Assumptions (Oil G&amp;T)'!$B$73,Model!AI$1,'Assumptions (Oil G&amp;T)'!$B$76,Model!$W$3201)</f>
        <v>-1.148096296</v>
      </c>
      <c r="AJ3224" s="188">
        <f>PPMT('Assumptions (Oil G&amp;T)'!$B$73,Model!AJ$1,'Assumptions (Oil G&amp;T)'!$B$76,Model!$W$3201)</f>
        <v>-1.234203518</v>
      </c>
      <c r="AK3224" s="188">
        <f>PPMT('Assumptions (Oil G&amp;T)'!$B$73,Model!AK$1,'Assumptions (Oil G&amp;T)'!$B$76,Model!$W$3201)</f>
        <v>-1.326768782</v>
      </c>
      <c r="AL3224" s="188"/>
      <c r="AM3224" s="188"/>
      <c r="AN3224" s="188"/>
      <c r="AO3224" s="188"/>
      <c r="AP3224" s="188"/>
      <c r="AQ3224" s="188"/>
      <c r="AR3224" s="188"/>
      <c r="AS3224" s="188"/>
      <c r="AT3224" s="188"/>
      <c r="AU3224" s="188"/>
    </row>
    <row r="3225" ht="15.75" hidden="1" customHeight="1" outlineLevel="1">
      <c r="A3225" s="385"/>
      <c r="B3225" s="38"/>
      <c r="C3225" s="188"/>
      <c r="D3225" s="188"/>
      <c r="E3225" s="188"/>
      <c r="F3225" s="188"/>
      <c r="G3225" s="188"/>
      <c r="H3225" s="188"/>
      <c r="I3225" s="188"/>
      <c r="J3225" s="188"/>
      <c r="K3225" s="188"/>
      <c r="L3225" s="188"/>
      <c r="M3225" s="188"/>
      <c r="N3225" s="188"/>
      <c r="O3225" s="188"/>
      <c r="P3225" s="188"/>
      <c r="Q3225" s="188"/>
      <c r="R3225" s="188"/>
      <c r="S3225" s="78"/>
      <c r="T3225" s="78"/>
      <c r="U3225" s="78"/>
      <c r="V3225" s="78"/>
      <c r="W3225" s="139"/>
      <c r="X3225" s="188">
        <f>PPMT('Assumptions (Oil G&amp;T)'!$B$73,Model!W$1,'Assumptions (Oil G&amp;T)'!$B$76,Model!$X$3201)</f>
        <v>-0.4893890858</v>
      </c>
      <c r="Y3225" s="188">
        <f>PPMT('Assumptions (Oil G&amp;T)'!$B$73,Model!X$1,'Assumptions (Oil G&amp;T)'!$B$76,Model!$X$3201)</f>
        <v>-0.5260932672</v>
      </c>
      <c r="Z3225" s="188">
        <f>PPMT('Assumptions (Oil G&amp;T)'!$B$73,Model!Y$1,'Assumptions (Oil G&amp;T)'!$B$76,Model!$X$3201)</f>
        <v>-0.5655502622</v>
      </c>
      <c r="AA3225" s="188">
        <f>PPMT('Assumptions (Oil G&amp;T)'!$B$73,Model!Z$1,'Assumptions (Oil G&amp;T)'!$B$76,Model!$X$3201)</f>
        <v>-0.6079665319</v>
      </c>
      <c r="AB3225" s="188">
        <f>PPMT('Assumptions (Oil G&amp;T)'!$B$73,Model!AA$1,'Assumptions (Oil G&amp;T)'!$B$76,Model!$X$3201)</f>
        <v>-0.6535640218</v>
      </c>
      <c r="AC3225" s="188">
        <f>PPMT('Assumptions (Oil G&amp;T)'!$B$73,Model!AB$1,'Assumptions (Oil G&amp;T)'!$B$76,Model!$X$3201)</f>
        <v>-0.7025813234</v>
      </c>
      <c r="AD3225" s="188">
        <f>PPMT('Assumptions (Oil G&amp;T)'!$B$73,Model!AC$1,'Assumptions (Oil G&amp;T)'!$B$76,Model!$X$3201)</f>
        <v>-0.7552749227</v>
      </c>
      <c r="AE3225" s="188">
        <f>PPMT('Assumptions (Oil G&amp;T)'!$B$73,Model!AD$1,'Assumptions (Oil G&amp;T)'!$B$76,Model!$X$3201)</f>
        <v>-0.8119205419</v>
      </c>
      <c r="AF3225" s="188">
        <f>PPMT('Assumptions (Oil G&amp;T)'!$B$73,Model!AE$1,'Assumptions (Oil G&amp;T)'!$B$76,Model!$X$3201)</f>
        <v>-0.8728145825</v>
      </c>
      <c r="AG3225" s="188">
        <f>PPMT('Assumptions (Oil G&amp;T)'!$B$73,Model!AF$1,'Assumptions (Oil G&amp;T)'!$B$76,Model!$X$3201)</f>
        <v>-0.9382756762</v>
      </c>
      <c r="AH3225" s="188">
        <f>PPMT('Assumptions (Oil G&amp;T)'!$B$73,Model!AG$1,'Assumptions (Oil G&amp;T)'!$B$76,Model!$X$3201)</f>
        <v>-1.008646352</v>
      </c>
      <c r="AI3225" s="188">
        <f>PPMT('Assumptions (Oil G&amp;T)'!$B$73,Model!AH$1,'Assumptions (Oil G&amp;T)'!$B$76,Model!$X$3201)</f>
        <v>-1.084294828</v>
      </c>
      <c r="AJ3225" s="188">
        <f>PPMT('Assumptions (Oil G&amp;T)'!$B$73,Model!AI$1,'Assumptions (Oil G&amp;T)'!$B$76,Model!$X$3201)</f>
        <v>-1.16561694</v>
      </c>
      <c r="AK3225" s="188">
        <f>PPMT('Assumptions (Oil G&amp;T)'!$B$73,Model!AJ$1,'Assumptions (Oil G&amp;T)'!$B$76,Model!$X$3201)</f>
        <v>-1.253038211</v>
      </c>
      <c r="AL3225" s="188">
        <f>PPMT('Assumptions (Oil G&amp;T)'!$B$73,Model!AK$1,'Assumptions (Oil G&amp;T)'!$B$76,Model!$X$3201)</f>
        <v>-1.347016077</v>
      </c>
      <c r="AM3225" s="188"/>
      <c r="AN3225" s="188"/>
      <c r="AO3225" s="188"/>
      <c r="AP3225" s="188"/>
      <c r="AQ3225" s="188"/>
      <c r="AR3225" s="188"/>
      <c r="AS3225" s="188"/>
      <c r="AT3225" s="188"/>
      <c r="AU3225" s="188"/>
      <c r="AV3225" s="188"/>
    </row>
    <row r="3226" ht="15.75" hidden="1" customHeight="1" outlineLevel="1">
      <c r="A3226" s="385"/>
      <c r="B3226" s="38"/>
      <c r="C3226" s="188"/>
      <c r="D3226" s="188"/>
      <c r="E3226" s="188"/>
      <c r="F3226" s="188"/>
      <c r="G3226" s="188"/>
      <c r="H3226" s="188"/>
      <c r="I3226" s="188"/>
      <c r="J3226" s="188"/>
      <c r="K3226" s="188"/>
      <c r="L3226" s="188"/>
      <c r="M3226" s="188"/>
      <c r="N3226" s="188"/>
      <c r="O3226" s="188"/>
      <c r="P3226" s="188"/>
      <c r="Q3226" s="188"/>
      <c r="R3226" s="188"/>
      <c r="S3226" s="78"/>
      <c r="T3226" s="78"/>
      <c r="U3226" s="78"/>
      <c r="V3226" s="78"/>
      <c r="W3226" s="139"/>
      <c r="Y3226" s="188">
        <f>PPMT('Assumptions (Oil G&amp;T)'!$B$73,Model!W$1,'Assumptions (Oil G&amp;T)'!$B$76,Model!$Y$3201)</f>
        <v>-0.4908558647</v>
      </c>
      <c r="Z3226" s="188">
        <f>PPMT('Assumptions (Oil G&amp;T)'!$B$73,Model!X$1,'Assumptions (Oil G&amp;T)'!$B$76,Model!$Y$3201)</f>
        <v>-0.5276700545</v>
      </c>
      <c r="AA3226" s="188">
        <f>PPMT('Assumptions (Oil G&amp;T)'!$B$73,Model!Y$1,'Assumptions (Oil G&amp;T)'!$B$76,Model!$Y$3201)</f>
        <v>-0.5672453086</v>
      </c>
      <c r="AB3226" s="188">
        <f>PPMT('Assumptions (Oil G&amp;T)'!$B$73,Model!Z$1,'Assumptions (Oil G&amp;T)'!$B$76,Model!$Y$3201)</f>
        <v>-0.6097887068</v>
      </c>
      <c r="AC3226" s="188">
        <f>PPMT('Assumptions (Oil G&amp;T)'!$B$73,Model!AA$1,'Assumptions (Oil G&amp;T)'!$B$76,Model!$Y$3201)</f>
        <v>-0.6555228598</v>
      </c>
      <c r="AD3226" s="188">
        <f>PPMT('Assumptions (Oil G&amp;T)'!$B$73,Model!AB$1,'Assumptions (Oil G&amp;T)'!$B$76,Model!$Y$3201)</f>
        <v>-0.7046870743</v>
      </c>
      <c r="AE3226" s="188">
        <f>PPMT('Assumptions (Oil G&amp;T)'!$B$73,Model!AC$1,'Assumptions (Oil G&amp;T)'!$B$76,Model!$Y$3201)</f>
        <v>-0.7575386048</v>
      </c>
      <c r="AF3226" s="188">
        <f>PPMT('Assumptions (Oil G&amp;T)'!$B$73,Model!AD$1,'Assumptions (Oil G&amp;T)'!$B$76,Model!$Y$3201)</f>
        <v>-0.8143540002</v>
      </c>
      <c r="AG3226" s="188">
        <f>PPMT('Assumptions (Oil G&amp;T)'!$B$73,Model!AE$1,'Assumptions (Oil G&amp;T)'!$B$76,Model!$Y$3201)</f>
        <v>-0.8754305502</v>
      </c>
      <c r="AH3226" s="188">
        <f>PPMT('Assumptions (Oil G&amp;T)'!$B$73,Model!AF$1,'Assumptions (Oil G&amp;T)'!$B$76,Model!$Y$3201)</f>
        <v>-0.9410878415</v>
      </c>
      <c r="AI3226" s="188">
        <f>PPMT('Assumptions (Oil G&amp;T)'!$B$73,Model!AG$1,'Assumptions (Oil G&amp;T)'!$B$76,Model!$Y$3201)</f>
        <v>-1.01166943</v>
      </c>
      <c r="AJ3226" s="188">
        <f>PPMT('Assumptions (Oil G&amp;T)'!$B$73,Model!AH$1,'Assumptions (Oil G&amp;T)'!$B$76,Model!$Y$3201)</f>
        <v>-1.087544637</v>
      </c>
      <c r="AK3226" s="188">
        <f>PPMT('Assumptions (Oil G&amp;T)'!$B$73,Model!AI$1,'Assumptions (Oil G&amp;T)'!$B$76,Model!$Y$3201)</f>
        <v>-1.169110485</v>
      </c>
      <c r="AL3226" s="188">
        <f>PPMT('Assumptions (Oil G&amp;T)'!$B$73,Model!AJ$1,'Assumptions (Oil G&amp;T)'!$B$76,Model!$Y$3201)</f>
        <v>-1.256793771</v>
      </c>
      <c r="AM3226" s="188">
        <f>PPMT('Assumptions (Oil G&amp;T)'!$B$73,Model!AK$1,'Assumptions (Oil G&amp;T)'!$B$76,Model!$Y$3201)</f>
        <v>-1.351053304</v>
      </c>
      <c r="AN3226" s="188"/>
      <c r="AO3226" s="188"/>
      <c r="AP3226" s="188"/>
      <c r="AQ3226" s="188"/>
      <c r="AR3226" s="188"/>
      <c r="AS3226" s="188"/>
      <c r="AT3226" s="188"/>
      <c r="AU3226" s="188"/>
      <c r="AV3226" s="188"/>
      <c r="AW3226" s="188"/>
    </row>
    <row r="3227" ht="15.75" hidden="1" customHeight="1" outlineLevel="1">
      <c r="A3227" s="385"/>
      <c r="B3227" s="38"/>
      <c r="C3227" s="188"/>
      <c r="D3227" s="188"/>
      <c r="E3227" s="188"/>
      <c r="F3227" s="188"/>
      <c r="G3227" s="188"/>
      <c r="H3227" s="188"/>
      <c r="I3227" s="188"/>
      <c r="J3227" s="188"/>
      <c r="K3227" s="188"/>
      <c r="L3227" s="188"/>
      <c r="M3227" s="188"/>
      <c r="N3227" s="188"/>
      <c r="O3227" s="188"/>
      <c r="P3227" s="188"/>
      <c r="Q3227" s="188"/>
      <c r="R3227" s="188"/>
      <c r="S3227" s="78"/>
      <c r="T3227" s="78"/>
      <c r="U3227" s="78"/>
      <c r="V3227" s="78"/>
      <c r="W3227" s="139"/>
      <c r="Z3227" s="188">
        <f>PPMT('Assumptions (Oil G&amp;T)'!$B$73,Model!W$1,'Assumptions (Oil G&amp;T)'!$B$76,Model!$Z$3201)</f>
        <v>-0.4907926437</v>
      </c>
      <c r="AA3227" s="188">
        <f>PPMT('Assumptions (Oil G&amp;T)'!$B$73,Model!X$1,'Assumptions (Oil G&amp;T)'!$B$76,Model!$Z$3201)</f>
        <v>-0.527602092</v>
      </c>
      <c r="AB3227" s="188">
        <f>PPMT('Assumptions (Oil G&amp;T)'!$B$73,Model!Y$1,'Assumptions (Oil G&amp;T)'!$B$76,Model!$Z$3201)</f>
        <v>-0.5671722489</v>
      </c>
      <c r="AC3227" s="188">
        <f>PPMT('Assumptions (Oil G&amp;T)'!$B$73,Model!Z$1,'Assumptions (Oil G&amp;T)'!$B$76,Model!$Z$3201)</f>
        <v>-0.6097101676</v>
      </c>
      <c r="AD3227" s="188">
        <f>PPMT('Assumptions (Oil G&amp;T)'!$B$73,Model!AA$1,'Assumptions (Oil G&amp;T)'!$B$76,Model!$Z$3201)</f>
        <v>-0.6554384302</v>
      </c>
      <c r="AE3227" s="188">
        <f>PPMT('Assumptions (Oil G&amp;T)'!$B$73,Model!AB$1,'Assumptions (Oil G&amp;T)'!$B$76,Model!$Z$3201)</f>
        <v>-0.7045963124</v>
      </c>
      <c r="AF3227" s="188">
        <f>PPMT('Assumptions (Oil G&amp;T)'!$B$73,Model!AC$1,'Assumptions (Oil G&amp;T)'!$B$76,Model!$Z$3201)</f>
        <v>-0.7574410359</v>
      </c>
      <c r="AG3227" s="188">
        <f>PPMT('Assumptions (Oil G&amp;T)'!$B$73,Model!AD$1,'Assumptions (Oil G&amp;T)'!$B$76,Model!$Z$3201)</f>
        <v>-0.8142491136</v>
      </c>
      <c r="AH3227" s="188">
        <f>PPMT('Assumptions (Oil G&amp;T)'!$B$73,Model!AE$1,'Assumptions (Oil G&amp;T)'!$B$76,Model!$Z$3201)</f>
        <v>-0.8753177971</v>
      </c>
      <c r="AI3227" s="188">
        <f>PPMT('Assumptions (Oil G&amp;T)'!$B$73,Model!AF$1,'Assumptions (Oil G&amp;T)'!$B$76,Model!$Z$3201)</f>
        <v>-0.9409666319</v>
      </c>
      <c r="AJ3227" s="188">
        <f>PPMT('Assumptions (Oil G&amp;T)'!$B$73,Model!AG$1,'Assumptions (Oil G&amp;T)'!$B$76,Model!$Z$3201)</f>
        <v>-1.011539129</v>
      </c>
      <c r="AK3227" s="188">
        <f>PPMT('Assumptions (Oil G&amp;T)'!$B$73,Model!AH$1,'Assumptions (Oil G&amp;T)'!$B$76,Model!$Z$3201)</f>
        <v>-1.087404564</v>
      </c>
      <c r="AL3227" s="188">
        <f>PPMT('Assumptions (Oil G&amp;T)'!$B$73,Model!AI$1,'Assumptions (Oil G&amp;T)'!$B$76,Model!$Z$3201)</f>
        <v>-1.168959906</v>
      </c>
      <c r="AM3227" s="188">
        <f>PPMT('Assumptions (Oil G&amp;T)'!$B$73,Model!AJ$1,'Assumptions (Oil G&amp;T)'!$B$76,Model!$Z$3201)</f>
        <v>-1.256631899</v>
      </c>
      <c r="AN3227" s="188">
        <f>PPMT('Assumptions (Oil G&amp;T)'!$B$73,Model!AK$1,'Assumptions (Oil G&amp;T)'!$B$76,Model!$Z$3201)</f>
        <v>-1.350879292</v>
      </c>
      <c r="AO3227" s="188"/>
      <c r="AP3227" s="188"/>
      <c r="AQ3227" s="188"/>
      <c r="AR3227" s="188"/>
      <c r="AS3227" s="188"/>
      <c r="AT3227" s="188"/>
      <c r="AU3227" s="188"/>
      <c r="AV3227" s="188"/>
      <c r="AW3227" s="188"/>
      <c r="AX3227" s="188"/>
    </row>
    <row r="3228" ht="15.75" hidden="1" customHeight="1" outlineLevel="1">
      <c r="A3228" s="385"/>
      <c r="B3228" s="38"/>
      <c r="C3228" s="188"/>
      <c r="D3228" s="188"/>
      <c r="E3228" s="188"/>
      <c r="F3228" s="188"/>
      <c r="G3228" s="188"/>
      <c r="H3228" s="188"/>
      <c r="I3228" s="188"/>
      <c r="J3228" s="188"/>
      <c r="K3228" s="188"/>
      <c r="L3228" s="188"/>
      <c r="M3228" s="188"/>
      <c r="N3228" s="188"/>
      <c r="O3228" s="188"/>
      <c r="P3228" s="188"/>
      <c r="Q3228" s="188"/>
      <c r="R3228" s="188"/>
      <c r="S3228" s="78"/>
      <c r="T3228" s="78"/>
      <c r="U3228" s="78"/>
      <c r="V3228" s="78"/>
      <c r="W3228" s="139"/>
      <c r="AA3228" s="188">
        <f>PPMT('Assumptions (Oil G&amp;T)'!$B$73,Model!W$1,'Assumptions (Oil G&amp;T)'!$B$76,Model!$AA$3201)</f>
        <v>-0.4942734928</v>
      </c>
      <c r="AB3228" s="188">
        <f>PPMT('Assumptions (Oil G&amp;T)'!$B$73,Model!X$1,'Assumptions (Oil G&amp;T)'!$B$76,Model!$AA$3201)</f>
        <v>-0.5313440048</v>
      </c>
      <c r="AC3228" s="188">
        <f>PPMT('Assumptions (Oil G&amp;T)'!$B$73,Model!Y$1,'Assumptions (Oil G&amp;T)'!$B$76,Model!$AA$3201)</f>
        <v>-0.5711948051</v>
      </c>
      <c r="AD3228" s="188">
        <f>PPMT('Assumptions (Oil G&amp;T)'!$B$73,Model!Z$1,'Assumptions (Oil G&amp;T)'!$B$76,Model!$AA$3201)</f>
        <v>-0.6140344155</v>
      </c>
      <c r="AE3228" s="188">
        <f>PPMT('Assumptions (Oil G&amp;T)'!$B$73,Model!AA$1,'Assumptions (Oil G&amp;T)'!$B$76,Model!$AA$3201)</f>
        <v>-0.6600869967</v>
      </c>
      <c r="AF3228" s="188">
        <f>PPMT('Assumptions (Oil G&amp;T)'!$B$73,Model!AB$1,'Assumptions (Oil G&amp;T)'!$B$76,Model!$AA$3201)</f>
        <v>-0.7095935215</v>
      </c>
      <c r="AG3228" s="188">
        <f>PPMT('Assumptions (Oil G&amp;T)'!$B$73,Model!AC$1,'Assumptions (Oil G&amp;T)'!$B$76,Model!$AA$3201)</f>
        <v>-0.7628130356</v>
      </c>
      <c r="AH3228" s="188">
        <f>PPMT('Assumptions (Oil G&amp;T)'!$B$73,Model!AD$1,'Assumptions (Oil G&amp;T)'!$B$76,Model!$AA$3201)</f>
        <v>-0.8200240132</v>
      </c>
      <c r="AI3228" s="188">
        <f>PPMT('Assumptions (Oil G&amp;T)'!$B$73,Model!AE$1,'Assumptions (Oil G&amp;T)'!$B$76,Model!$AA$3201)</f>
        <v>-0.8815258142</v>
      </c>
      <c r="AJ3228" s="188">
        <f>PPMT('Assumptions (Oil G&amp;T)'!$B$73,Model!AF$1,'Assumptions (Oil G&amp;T)'!$B$76,Model!$AA$3201)</f>
        <v>-0.9476402503</v>
      </c>
      <c r="AK3228" s="188">
        <f>PPMT('Assumptions (Oil G&amp;T)'!$B$73,Model!AG$1,'Assumptions (Oil G&amp;T)'!$B$76,Model!$AA$3201)</f>
        <v>-1.018713269</v>
      </c>
      <c r="AL3228" s="188">
        <f>PPMT('Assumptions (Oil G&amp;T)'!$B$73,Model!AH$1,'Assumptions (Oil G&amp;T)'!$B$76,Model!$AA$3201)</f>
        <v>-1.095116764</v>
      </c>
      <c r="AM3228" s="188">
        <f>PPMT('Assumptions (Oil G&amp;T)'!$B$73,Model!AI$1,'Assumptions (Oil G&amp;T)'!$B$76,Model!$AA$3201)</f>
        <v>-1.177250522</v>
      </c>
      <c r="AN3228" s="188">
        <f>PPMT('Assumptions (Oil G&amp;T)'!$B$73,Model!AJ$1,'Assumptions (Oil G&amp;T)'!$B$76,Model!$AA$3201)</f>
        <v>-1.265544311</v>
      </c>
      <c r="AO3228" s="188">
        <f>PPMT('Assumptions (Oil G&amp;T)'!$B$73,Model!AK$1,'Assumptions (Oil G&amp;T)'!$B$76,Model!$AA$3201)</f>
        <v>-1.360460134</v>
      </c>
      <c r="AP3228" s="188"/>
      <c r="AQ3228" s="188"/>
      <c r="AR3228" s="188"/>
      <c r="AS3228" s="188"/>
      <c r="AT3228" s="188"/>
      <c r="AU3228" s="188"/>
      <c r="AV3228" s="188"/>
      <c r="AW3228" s="188"/>
      <c r="AX3228" s="188"/>
      <c r="AY3228" s="188"/>
    </row>
    <row r="3229" ht="15.75" hidden="1" customHeight="1" outlineLevel="1">
      <c r="A3229" s="385"/>
      <c r="B3229" s="38"/>
      <c r="C3229" s="188"/>
      <c r="D3229" s="188"/>
      <c r="E3229" s="188"/>
      <c r="F3229" s="188"/>
      <c r="G3229" s="188"/>
      <c r="H3229" s="188"/>
      <c r="I3229" s="188"/>
      <c r="J3229" s="188"/>
      <c r="K3229" s="188"/>
      <c r="L3229" s="188"/>
      <c r="M3229" s="188"/>
      <c r="N3229" s="188"/>
      <c r="O3229" s="188"/>
      <c r="P3229" s="188"/>
      <c r="Q3229" s="188"/>
      <c r="R3229" s="188"/>
      <c r="S3229" s="78"/>
      <c r="T3229" s="78"/>
      <c r="U3229" s="78"/>
      <c r="V3229" s="78"/>
      <c r="W3229" s="139"/>
      <c r="AB3229" s="188">
        <f>PPMT('Assumptions (Oil G&amp;T)'!$B$73,Model!W$1,'Assumptions (Oil G&amp;T)'!$B$76,Model!$AB$3201)</f>
        <v>-0.4959084184</v>
      </c>
      <c r="AC3229" s="188">
        <f>PPMT('Assumptions (Oil G&amp;T)'!$B$73,Model!X$1,'Assumptions (Oil G&amp;T)'!$B$76,Model!$AB$3201)</f>
        <v>-0.5331015498</v>
      </c>
      <c r="AD3229" s="188">
        <f>PPMT('Assumptions (Oil G&amp;T)'!$B$73,Model!Y$1,'Assumptions (Oil G&amp;T)'!$B$76,Model!$AB$3201)</f>
        <v>-0.5730841661</v>
      </c>
      <c r="AE3229" s="188">
        <f>PPMT('Assumptions (Oil G&amp;T)'!$B$73,Model!Z$1,'Assumptions (Oil G&amp;T)'!$B$76,Model!$AB$3201)</f>
        <v>-0.6160654785</v>
      </c>
      <c r="AF3229" s="188">
        <f>PPMT('Assumptions (Oil G&amp;T)'!$B$73,Model!AA$1,'Assumptions (Oil G&amp;T)'!$B$76,Model!$AB$3201)</f>
        <v>-0.6622703894</v>
      </c>
      <c r="AG3229" s="188">
        <f>PPMT('Assumptions (Oil G&amp;T)'!$B$73,Model!AB$1,'Assumptions (Oil G&amp;T)'!$B$76,Model!$AB$3201)</f>
        <v>-0.7119406686</v>
      </c>
      <c r="AH3229" s="188">
        <f>PPMT('Assumptions (Oil G&amp;T)'!$B$73,Model!AC$1,'Assumptions (Oil G&amp;T)'!$B$76,Model!$AB$3201)</f>
        <v>-0.7653362188</v>
      </c>
      <c r="AI3229" s="188">
        <f>PPMT('Assumptions (Oil G&amp;T)'!$B$73,Model!AD$1,'Assumptions (Oil G&amp;T)'!$B$76,Model!$AB$3201)</f>
        <v>-0.8227364352</v>
      </c>
      <c r="AJ3229" s="188">
        <f>PPMT('Assumptions (Oil G&amp;T)'!$B$73,Model!AE$1,'Assumptions (Oil G&amp;T)'!$B$76,Model!$AB$3201)</f>
        <v>-0.8844416678</v>
      </c>
      <c r="AK3229" s="188">
        <f>PPMT('Assumptions (Oil G&amp;T)'!$B$73,Model!AF$1,'Assumptions (Oil G&amp;T)'!$B$76,Model!$AB$3201)</f>
        <v>-0.9507747929</v>
      </c>
      <c r="AL3229" s="188">
        <f>PPMT('Assumptions (Oil G&amp;T)'!$B$73,Model!AG$1,'Assumptions (Oil G&amp;T)'!$B$76,Model!$AB$3201)</f>
        <v>-1.022082902</v>
      </c>
      <c r="AM3229" s="188">
        <f>PPMT('Assumptions (Oil G&amp;T)'!$B$73,Model!AH$1,'Assumptions (Oil G&amp;T)'!$B$76,Model!$AB$3201)</f>
        <v>-1.09873912</v>
      </c>
      <c r="AN3229" s="188">
        <f>PPMT('Assumptions (Oil G&amp;T)'!$B$73,Model!AI$1,'Assumptions (Oil G&amp;T)'!$B$76,Model!$AB$3201)</f>
        <v>-1.181144554</v>
      </c>
      <c r="AO3229" s="188">
        <f>PPMT('Assumptions (Oil G&amp;T)'!$B$73,Model!AJ$1,'Assumptions (Oil G&amp;T)'!$B$76,Model!$AB$3201)</f>
        <v>-1.269730396</v>
      </c>
      <c r="AP3229" s="188">
        <f>PPMT('Assumptions (Oil G&amp;T)'!$B$73,Model!AK$1,'Assumptions (Oil G&amp;T)'!$B$76,Model!$AB$3201)</f>
        <v>-1.364960175</v>
      </c>
      <c r="AQ3229" s="188"/>
      <c r="AR3229" s="188"/>
      <c r="AS3229" s="188"/>
      <c r="AT3229" s="188"/>
      <c r="AU3229" s="188"/>
      <c r="AV3229" s="188"/>
      <c r="AW3229" s="188"/>
      <c r="AX3229" s="188"/>
      <c r="AY3229" s="188"/>
      <c r="AZ3229" s="188"/>
    </row>
    <row r="3230" ht="15.75" hidden="1" customHeight="1" outlineLevel="1">
      <c r="A3230" s="385"/>
      <c r="B3230" s="38"/>
      <c r="C3230" s="188"/>
      <c r="D3230" s="188"/>
      <c r="E3230" s="188"/>
      <c r="F3230" s="188"/>
      <c r="G3230" s="188"/>
      <c r="H3230" s="188"/>
      <c r="I3230" s="188"/>
      <c r="J3230" s="188"/>
      <c r="K3230" s="188"/>
      <c r="L3230" s="188"/>
      <c r="M3230" s="188"/>
      <c r="N3230" s="188"/>
      <c r="O3230" s="188"/>
      <c r="P3230" s="188"/>
      <c r="Q3230" s="188"/>
      <c r="R3230" s="188"/>
      <c r="S3230" s="78"/>
      <c r="T3230" s="78"/>
      <c r="U3230" s="78"/>
      <c r="V3230" s="78"/>
      <c r="W3230" s="139"/>
      <c r="AC3230" s="188">
        <f>PPMT('Assumptions (Oil G&amp;T)'!$B$73,Model!W$1,'Assumptions (Oil G&amp;T)'!$B$76,Model!$AC$3201)</f>
        <v>-0.499275542</v>
      </c>
      <c r="AD3230" s="188">
        <f>PPMT('Assumptions (Oil G&amp;T)'!$B$73,Model!X$1,'Assumptions (Oil G&amp;T)'!$B$76,Model!$AC$3201)</f>
        <v>-0.5367212077</v>
      </c>
      <c r="AE3230" s="188">
        <f>PPMT('Assumptions (Oil G&amp;T)'!$B$73,Model!Y$1,'Assumptions (Oil G&amp;T)'!$B$76,Model!$AC$3201)</f>
        <v>-0.5769752983</v>
      </c>
      <c r="AF3230" s="188">
        <f>PPMT('Assumptions (Oil G&amp;T)'!$B$73,Model!Z$1,'Assumptions (Oil G&amp;T)'!$B$76,Model!$AC$3201)</f>
        <v>-0.6202484456</v>
      </c>
      <c r="AG3230" s="188">
        <f>PPMT('Assumptions (Oil G&amp;T)'!$B$73,Model!AA$1,'Assumptions (Oil G&amp;T)'!$B$76,Model!$AC$3201)</f>
        <v>-0.6667670791</v>
      </c>
      <c r="AH3230" s="188">
        <f>PPMT('Assumptions (Oil G&amp;T)'!$B$73,Model!AB$1,'Assumptions (Oil G&amp;T)'!$B$76,Model!$AC$3201)</f>
        <v>-0.71677461</v>
      </c>
      <c r="AI3230" s="188">
        <f>PPMT('Assumptions (Oil G&amp;T)'!$B$73,Model!AC$1,'Assumptions (Oil G&amp;T)'!$B$76,Model!$AC$3201)</f>
        <v>-0.7705327057</v>
      </c>
      <c r="AJ3230" s="188">
        <f>PPMT('Assumptions (Oil G&amp;T)'!$B$73,Model!AD$1,'Assumptions (Oil G&amp;T)'!$B$76,Model!$AC$3201)</f>
        <v>-0.8283226587</v>
      </c>
      <c r="AK3230" s="188">
        <f>PPMT('Assumptions (Oil G&amp;T)'!$B$73,Model!AE$1,'Assumptions (Oil G&amp;T)'!$B$76,Model!$AC$3201)</f>
        <v>-0.8904468581</v>
      </c>
      <c r="AL3230" s="188">
        <f>PPMT('Assumptions (Oil G&amp;T)'!$B$73,Model!AF$1,'Assumptions (Oil G&amp;T)'!$B$76,Model!$AC$3201)</f>
        <v>-0.9572303724</v>
      </c>
      <c r="AM3230" s="188">
        <f>PPMT('Assumptions (Oil G&amp;T)'!$B$73,Model!AG$1,'Assumptions (Oil G&amp;T)'!$B$76,Model!$AC$3201)</f>
        <v>-1.02902265</v>
      </c>
      <c r="AN3230" s="188">
        <f>PPMT('Assumptions (Oil G&amp;T)'!$B$73,Model!AH$1,'Assumptions (Oil G&amp;T)'!$B$76,Model!$AC$3201)</f>
        <v>-1.106199349</v>
      </c>
      <c r="AO3230" s="188">
        <f>PPMT('Assumptions (Oil G&amp;T)'!$B$73,Model!AI$1,'Assumptions (Oil G&amp;T)'!$B$76,Model!$AC$3201)</f>
        <v>-1.1891643</v>
      </c>
      <c r="AP3230" s="188">
        <f>PPMT('Assumptions (Oil G&amp;T)'!$B$73,Model!AJ$1,'Assumptions (Oil G&amp;T)'!$B$76,Model!$AC$3201)</f>
        <v>-1.278351623</v>
      </c>
      <c r="AQ3230" s="188">
        <f>PPMT('Assumptions (Oil G&amp;T)'!$B$73,Model!AK$1,'Assumptions (Oil G&amp;T)'!$B$76,Model!$AC$3201)</f>
        <v>-1.374227995</v>
      </c>
      <c r="AR3230" s="188"/>
      <c r="AS3230" s="188"/>
      <c r="AT3230" s="188"/>
      <c r="AU3230" s="188"/>
      <c r="AV3230" s="188"/>
      <c r="AW3230" s="188"/>
      <c r="AX3230" s="188"/>
      <c r="AY3230" s="188"/>
      <c r="AZ3230" s="188"/>
      <c r="BA3230" s="188"/>
    </row>
    <row r="3231" ht="15.75" hidden="1" customHeight="1" outlineLevel="1">
      <c r="A3231" s="385"/>
      <c r="B3231" s="38"/>
      <c r="C3231" s="188"/>
      <c r="D3231" s="188"/>
      <c r="E3231" s="188"/>
      <c r="F3231" s="188"/>
      <c r="G3231" s="188"/>
      <c r="H3231" s="188"/>
      <c r="I3231" s="188"/>
      <c r="J3231" s="188"/>
      <c r="K3231" s="188"/>
      <c r="L3231" s="188"/>
      <c r="M3231" s="188"/>
      <c r="N3231" s="188"/>
      <c r="O3231" s="188"/>
      <c r="P3231" s="188"/>
      <c r="Q3231" s="188"/>
      <c r="R3231" s="188"/>
      <c r="S3231" s="78"/>
      <c r="T3231" s="78"/>
      <c r="U3231" s="78"/>
      <c r="V3231" s="78"/>
      <c r="W3231" s="139"/>
      <c r="AD3231" s="188">
        <f>PPMT('Assumptions (Oil G&amp;T)'!$B$73,Model!W$1,'Assumptions (Oil G&amp;T)'!$B$76,Model!$AD$3201)</f>
        <v>-0.5032329128</v>
      </c>
      <c r="AE3231" s="188">
        <f>PPMT('Assumptions (Oil G&amp;T)'!$B$73,Model!X$1,'Assumptions (Oil G&amp;T)'!$B$76,Model!$AD$3201)</f>
        <v>-0.5409753812</v>
      </c>
      <c r="AF3231" s="188">
        <f>PPMT('Assumptions (Oil G&amp;T)'!$B$73,Model!Y$1,'Assumptions (Oil G&amp;T)'!$B$76,Model!$AD$3201)</f>
        <v>-0.5815485348</v>
      </c>
      <c r="AG3231" s="188">
        <f>PPMT('Assumptions (Oil G&amp;T)'!$B$73,Model!Z$1,'Assumptions (Oil G&amp;T)'!$B$76,Model!$AD$3201)</f>
        <v>-0.6251646749</v>
      </c>
      <c r="AH3231" s="188">
        <f>PPMT('Assumptions (Oil G&amp;T)'!$B$73,Model!AA$1,'Assumptions (Oil G&amp;T)'!$B$76,Model!$AD$3201)</f>
        <v>-0.6720520256</v>
      </c>
      <c r="AI3231" s="188">
        <f>PPMT('Assumptions (Oil G&amp;T)'!$B$73,Model!AB$1,'Assumptions (Oil G&amp;T)'!$B$76,Model!$AD$3201)</f>
        <v>-0.7224559275</v>
      </c>
      <c r="AJ3231" s="188">
        <f>PPMT('Assumptions (Oil G&amp;T)'!$B$73,Model!AC$1,'Assumptions (Oil G&amp;T)'!$B$76,Model!$AD$3201)</f>
        <v>-0.776640122</v>
      </c>
      <c r="AK3231" s="188">
        <f>PPMT('Assumptions (Oil G&amp;T)'!$B$73,Model!AD$1,'Assumptions (Oil G&amp;T)'!$B$76,Model!$AD$3201)</f>
        <v>-0.8348881312</v>
      </c>
      <c r="AL3231" s="188">
        <f>PPMT('Assumptions (Oil G&amp;T)'!$B$73,Model!AE$1,'Assumptions (Oil G&amp;T)'!$B$76,Model!$AD$3201)</f>
        <v>-0.897504741</v>
      </c>
      <c r="AM3231" s="188">
        <f>PPMT('Assumptions (Oil G&amp;T)'!$B$73,Model!AF$1,'Assumptions (Oil G&amp;T)'!$B$76,Model!$AD$3201)</f>
        <v>-0.9648175966</v>
      </c>
      <c r="AN3231" s="188">
        <f>PPMT('Assumptions (Oil G&amp;T)'!$B$73,Model!AG$1,'Assumptions (Oil G&amp;T)'!$B$76,Model!$AD$3201)</f>
        <v>-1.037178916</v>
      </c>
      <c r="AO3231" s="188">
        <f>PPMT('Assumptions (Oil G&amp;T)'!$B$73,Model!AH$1,'Assumptions (Oil G&amp;T)'!$B$76,Model!$AD$3201)</f>
        <v>-1.114967335</v>
      </c>
      <c r="AP3231" s="188">
        <f>PPMT('Assumptions (Oil G&amp;T)'!$B$73,Model!AI$1,'Assumptions (Oil G&amp;T)'!$B$76,Model!$AD$3201)</f>
        <v>-1.198589885</v>
      </c>
      <c r="AQ3231" s="188">
        <f>PPMT('Assumptions (Oil G&amp;T)'!$B$73,Model!AJ$1,'Assumptions (Oil G&amp;T)'!$B$76,Model!$AD$3201)</f>
        <v>-1.288484127</v>
      </c>
      <c r="AR3231" s="188">
        <f>PPMT('Assumptions (Oil G&amp;T)'!$B$73,Model!AK$1,'Assumptions (Oil G&amp;T)'!$B$76,Model!$AD$3201)</f>
        <v>-1.385120436</v>
      </c>
      <c r="AS3231" s="188"/>
      <c r="AT3231" s="188"/>
      <c r="AU3231" s="188"/>
      <c r="AV3231" s="188"/>
      <c r="AW3231" s="188"/>
      <c r="AX3231" s="188"/>
      <c r="AY3231" s="188"/>
      <c r="AZ3231" s="188"/>
      <c r="BA3231" s="188"/>
      <c r="BB3231" s="188"/>
    </row>
    <row r="3232" ht="15.75" hidden="1" customHeight="1" outlineLevel="1">
      <c r="A3232" s="385"/>
      <c r="B3232" s="38"/>
      <c r="C3232" s="188"/>
      <c r="D3232" s="188"/>
      <c r="E3232" s="188"/>
      <c r="F3232" s="188"/>
      <c r="G3232" s="188"/>
      <c r="H3232" s="188"/>
      <c r="I3232" s="188"/>
      <c r="J3232" s="188"/>
      <c r="K3232" s="188"/>
      <c r="L3232" s="188"/>
      <c r="M3232" s="188"/>
      <c r="N3232" s="188"/>
      <c r="O3232" s="188"/>
      <c r="P3232" s="188"/>
      <c r="Q3232" s="188"/>
      <c r="R3232" s="188"/>
      <c r="S3232" s="78"/>
      <c r="T3232" s="78"/>
      <c r="U3232" s="78"/>
      <c r="V3232" s="78"/>
      <c r="W3232" s="139"/>
      <c r="AE3232" s="188">
        <f>PPMT('Assumptions (Oil G&amp;T)'!$B$73,Model!W$1,'Assumptions (Oil G&amp;T)'!$B$76,Model!$AE$3201)</f>
        <v>-0.5037981191</v>
      </c>
      <c r="AF3232" s="188">
        <f>PPMT('Assumptions (Oil G&amp;T)'!$B$73,Model!X$1,'Assumptions (Oil G&amp;T)'!$B$76,Model!$AE$3201)</f>
        <v>-0.541582978</v>
      </c>
      <c r="AG3232" s="188">
        <f>PPMT('Assumptions (Oil G&amp;T)'!$B$73,Model!Y$1,'Assumptions (Oil G&amp;T)'!$B$76,Model!$AE$3201)</f>
        <v>-0.5822017014</v>
      </c>
      <c r="AH3232" s="188">
        <f>PPMT('Assumptions (Oil G&amp;T)'!$B$73,Model!Z$1,'Assumptions (Oil G&amp;T)'!$B$76,Model!$AE$3201)</f>
        <v>-0.625866829</v>
      </c>
      <c r="AI3232" s="188">
        <f>PPMT('Assumptions (Oil G&amp;T)'!$B$73,Model!AA$1,'Assumptions (Oil G&amp;T)'!$B$76,Model!$AE$3201)</f>
        <v>-0.6728068411</v>
      </c>
      <c r="AJ3232" s="188">
        <f>PPMT('Assumptions (Oil G&amp;T)'!$B$73,Model!AB$1,'Assumptions (Oil G&amp;T)'!$B$76,Model!$AE$3201)</f>
        <v>-0.7232673542</v>
      </c>
      <c r="AK3232" s="188">
        <f>PPMT('Assumptions (Oil G&amp;T)'!$B$73,Model!AC$1,'Assumptions (Oil G&amp;T)'!$B$76,Model!$AE$3201)</f>
        <v>-0.7775124058</v>
      </c>
      <c r="AL3232" s="188">
        <f>PPMT('Assumptions (Oil G&amp;T)'!$B$73,Model!AD$1,'Assumptions (Oil G&amp;T)'!$B$76,Model!$AE$3201)</f>
        <v>-0.8358258362</v>
      </c>
      <c r="AM3232" s="188">
        <f>PPMT('Assumptions (Oil G&amp;T)'!$B$73,Model!AE$1,'Assumptions (Oil G&amp;T)'!$B$76,Model!$AE$3201)</f>
        <v>-0.8985127739</v>
      </c>
      <c r="AN3232" s="188">
        <f>PPMT('Assumptions (Oil G&amp;T)'!$B$73,Model!AF$1,'Assumptions (Oil G&amp;T)'!$B$76,Model!$AE$3201)</f>
        <v>-0.965901232</v>
      </c>
      <c r="AO3232" s="188">
        <f>PPMT('Assumptions (Oil G&amp;T)'!$B$73,Model!AG$1,'Assumptions (Oil G&amp;T)'!$B$76,Model!$AE$3201)</f>
        <v>-1.038343824</v>
      </c>
      <c r="AP3232" s="188">
        <f>PPMT('Assumptions (Oil G&amp;T)'!$B$73,Model!AH$1,'Assumptions (Oil G&amp;T)'!$B$76,Model!$AE$3201)</f>
        <v>-1.116219611</v>
      </c>
      <c r="AQ3232" s="188">
        <f>PPMT('Assumptions (Oil G&amp;T)'!$B$73,Model!AI$1,'Assumptions (Oil G&amp;T)'!$B$76,Model!$AE$3201)</f>
        <v>-1.199936082</v>
      </c>
      <c r="AR3232" s="188">
        <f>PPMT('Assumptions (Oil G&amp;T)'!$B$73,Model!AJ$1,'Assumptions (Oil G&amp;T)'!$B$76,Model!$AE$3201)</f>
        <v>-1.289931288</v>
      </c>
      <c r="AS3232" s="188">
        <f>PPMT('Assumptions (Oil G&amp;T)'!$B$73,Model!AK$1,'Assumptions (Oil G&amp;T)'!$B$76,Model!$AE$3201)</f>
        <v>-1.386676135</v>
      </c>
      <c r="AT3232" s="188"/>
      <c r="AU3232" s="188"/>
      <c r="AV3232" s="188"/>
      <c r="AW3232" s="188"/>
      <c r="AX3232" s="188"/>
      <c r="AY3232" s="188"/>
      <c r="AZ3232" s="188"/>
      <c r="BA3232" s="188"/>
      <c r="BB3232" s="188"/>
      <c r="BC3232" s="188"/>
    </row>
    <row r="3233" ht="15.75" hidden="1" customHeight="1" outlineLevel="1">
      <c r="A3233" s="385"/>
      <c r="B3233" s="38"/>
      <c r="C3233" s="188"/>
      <c r="D3233" s="188"/>
      <c r="E3233" s="188"/>
      <c r="F3233" s="188"/>
      <c r="G3233" s="188"/>
      <c r="H3233" s="188"/>
      <c r="I3233" s="188"/>
      <c r="J3233" s="188"/>
      <c r="K3233" s="188"/>
      <c r="L3233" s="188"/>
      <c r="M3233" s="188"/>
      <c r="N3233" s="188"/>
      <c r="O3233" s="188"/>
      <c r="P3233" s="188"/>
      <c r="Q3233" s="188"/>
      <c r="R3233" s="188"/>
      <c r="S3233" s="78"/>
      <c r="T3233" s="78"/>
      <c r="U3233" s="78"/>
      <c r="V3233" s="78"/>
      <c r="W3233" s="139"/>
      <c r="AF3233" s="188">
        <f>PPMT('Assumptions (Oil G&amp;T)'!$B$73,Model!W$1,'Assumptions (Oil G&amp;T)'!$B$76,Model!$AF$3201)</f>
        <v>-0.5054550365</v>
      </c>
      <c r="AG3233" s="188">
        <f>PPMT('Assumptions (Oil G&amp;T)'!$B$73,Model!X$1,'Assumptions (Oil G&amp;T)'!$B$76,Model!$AF$3201)</f>
        <v>-0.5433641642</v>
      </c>
      <c r="AH3233" s="188">
        <f>PPMT('Assumptions (Oil G&amp;T)'!$B$73,Model!Y$1,'Assumptions (Oil G&amp;T)'!$B$76,Model!$AF$3201)</f>
        <v>-0.5841164765</v>
      </c>
      <c r="AI3233" s="188">
        <f>PPMT('Assumptions (Oil G&amp;T)'!$B$73,Model!Z$1,'Assumptions (Oil G&amp;T)'!$B$76,Model!$AF$3201)</f>
        <v>-0.6279252123</v>
      </c>
      <c r="AJ3233" s="188">
        <f>PPMT('Assumptions (Oil G&amp;T)'!$B$73,Model!AA$1,'Assumptions (Oil G&amp;T)'!$B$76,Model!$AF$3201)</f>
        <v>-0.6750196032</v>
      </c>
      <c r="AK3233" s="188">
        <f>PPMT('Assumptions (Oil G&amp;T)'!$B$73,Model!AB$1,'Assumptions (Oil G&amp;T)'!$B$76,Model!$AF$3201)</f>
        <v>-0.7256460734</v>
      </c>
      <c r="AL3233" s="188">
        <f>PPMT('Assumptions (Oil G&amp;T)'!$B$73,Model!AC$1,'Assumptions (Oil G&amp;T)'!$B$76,Model!$AF$3201)</f>
        <v>-0.7800695289</v>
      </c>
      <c r="AM3233" s="188">
        <f>PPMT('Assumptions (Oil G&amp;T)'!$B$73,Model!AD$1,'Assumptions (Oil G&amp;T)'!$B$76,Model!$AF$3201)</f>
        <v>-0.8385747436</v>
      </c>
      <c r="AN3233" s="188">
        <f>PPMT('Assumptions (Oil G&amp;T)'!$B$73,Model!AE$1,'Assumptions (Oil G&amp;T)'!$B$76,Model!$AF$3201)</f>
        <v>-0.9014678494</v>
      </c>
      <c r="AO3233" s="188">
        <f>PPMT('Assumptions (Oil G&amp;T)'!$B$73,Model!AF$1,'Assumptions (Oil G&amp;T)'!$B$76,Model!$AF$3201)</f>
        <v>-0.9690779381</v>
      </c>
      <c r="AP3233" s="188">
        <f>PPMT('Assumptions (Oil G&amp;T)'!$B$73,Model!AG$1,'Assumptions (Oil G&amp;T)'!$B$76,Model!$AF$3201)</f>
        <v>-1.041758783</v>
      </c>
      <c r="AQ3233" s="188">
        <f>PPMT('Assumptions (Oil G&amp;T)'!$B$73,Model!AH$1,'Assumptions (Oil G&amp;T)'!$B$76,Model!$AF$3201)</f>
        <v>-1.119890692</v>
      </c>
      <c r="AR3233" s="188">
        <f>PPMT('Assumptions (Oil G&amp;T)'!$B$73,Model!AI$1,'Assumptions (Oil G&amp;T)'!$B$76,Model!$AF$3201)</f>
        <v>-1.203882494</v>
      </c>
      <c r="AS3233" s="188">
        <f>PPMT('Assumptions (Oil G&amp;T)'!$B$73,Model!AJ$1,'Assumptions (Oil G&amp;T)'!$B$76,Model!$AF$3201)</f>
        <v>-1.294173681</v>
      </c>
      <c r="AT3233" s="188">
        <f>PPMT('Assumptions (Oil G&amp;T)'!$B$73,Model!AK$1,'Assumptions (Oil G&amp;T)'!$B$76,Model!$AF$3201)</f>
        <v>-1.391236707</v>
      </c>
      <c r="AU3233" s="188"/>
      <c r="AV3233" s="188"/>
      <c r="AW3233" s="188"/>
      <c r="AX3233" s="188"/>
      <c r="AY3233" s="188"/>
      <c r="AZ3233" s="188"/>
      <c r="BA3233" s="188"/>
      <c r="BB3233" s="188"/>
      <c r="BC3233" s="188"/>
      <c r="BD3233" s="188"/>
    </row>
    <row r="3234" ht="15.75" hidden="1" customHeight="1" outlineLevel="1">
      <c r="A3234" s="385"/>
      <c r="B3234" s="38"/>
      <c r="C3234" s="188"/>
      <c r="D3234" s="188"/>
      <c r="E3234" s="188"/>
      <c r="F3234" s="188"/>
      <c r="G3234" s="188"/>
      <c r="H3234" s="188"/>
      <c r="I3234" s="188"/>
      <c r="J3234" s="188"/>
      <c r="K3234" s="188"/>
      <c r="L3234" s="188"/>
      <c r="M3234" s="188"/>
      <c r="N3234" s="188"/>
      <c r="O3234" s="188"/>
      <c r="P3234" s="188"/>
      <c r="Q3234" s="188"/>
      <c r="R3234" s="188"/>
      <c r="S3234" s="78"/>
      <c r="T3234" s="78"/>
      <c r="U3234" s="78"/>
      <c r="V3234" s="78"/>
      <c r="W3234" s="139"/>
      <c r="AG3234" s="188">
        <f>PPMT('Assumptions (Oil G&amp;T)'!$B$73,Model!W$1,'Assumptions (Oil G&amp;T)'!$B$76,Model!$AG$3201)</f>
        <v>-0.5066667491</v>
      </c>
      <c r="AH3234" s="188">
        <f>PPMT('Assumptions (Oil G&amp;T)'!$B$73,Model!X$1,'Assumptions (Oil G&amp;T)'!$B$76,Model!$AG$3201)</f>
        <v>-0.5446667552</v>
      </c>
      <c r="AI3234" s="188">
        <f>PPMT('Assumptions (Oil G&amp;T)'!$B$73,Model!Y$1,'Assumptions (Oil G&amp;T)'!$B$76,Model!$AG$3201)</f>
        <v>-0.5855167619</v>
      </c>
      <c r="AJ3234" s="188">
        <f>PPMT('Assumptions (Oil G&amp;T)'!$B$73,Model!Z$1,'Assumptions (Oil G&amp;T)'!$B$76,Model!$AG$3201)</f>
        <v>-0.629430519</v>
      </c>
      <c r="AK3234" s="188">
        <f>PPMT('Assumptions (Oil G&amp;T)'!$B$73,Model!AA$1,'Assumptions (Oil G&amp;T)'!$B$76,Model!$AG$3201)</f>
        <v>-0.6766378079</v>
      </c>
      <c r="AL3234" s="188">
        <f>PPMT('Assumptions (Oil G&amp;T)'!$B$73,Model!AB$1,'Assumptions (Oil G&amp;T)'!$B$76,Model!$AG$3201)</f>
        <v>-0.7273856435</v>
      </c>
      <c r="AM3234" s="188">
        <f>PPMT('Assumptions (Oil G&amp;T)'!$B$73,Model!AC$1,'Assumptions (Oil G&amp;T)'!$B$76,Model!$AG$3201)</f>
        <v>-0.7819395668</v>
      </c>
      <c r="AN3234" s="188">
        <f>PPMT('Assumptions (Oil G&amp;T)'!$B$73,Model!AD$1,'Assumptions (Oil G&amp;T)'!$B$76,Model!$AG$3201)</f>
        <v>-0.8405850343</v>
      </c>
      <c r="AO3234" s="188">
        <f>PPMT('Assumptions (Oil G&amp;T)'!$B$73,Model!AE$1,'Assumptions (Oil G&amp;T)'!$B$76,Model!$AG$3201)</f>
        <v>-0.9036289119</v>
      </c>
      <c r="AP3234" s="188">
        <f>PPMT('Assumptions (Oil G&amp;T)'!$B$73,Model!AF$1,'Assumptions (Oil G&amp;T)'!$B$76,Model!$AG$3201)</f>
        <v>-0.9714010803</v>
      </c>
      <c r="AQ3234" s="188">
        <f>PPMT('Assumptions (Oil G&amp;T)'!$B$73,Model!AG$1,'Assumptions (Oil G&amp;T)'!$B$76,Model!$AG$3201)</f>
        <v>-1.044256161</v>
      </c>
      <c r="AR3234" s="188">
        <f>PPMT('Assumptions (Oil G&amp;T)'!$B$73,Model!AH$1,'Assumptions (Oil G&amp;T)'!$B$76,Model!$AG$3201)</f>
        <v>-1.122575373</v>
      </c>
      <c r="AS3234" s="188">
        <f>PPMT('Assumptions (Oil G&amp;T)'!$B$73,Model!AI$1,'Assumptions (Oil G&amp;T)'!$B$76,Model!$AG$3201)</f>
        <v>-1.206768526</v>
      </c>
      <c r="AT3234" s="188">
        <f>PPMT('Assumptions (Oil G&amp;T)'!$B$73,Model!AJ$1,'Assumptions (Oil G&amp;T)'!$B$76,Model!$AG$3201)</f>
        <v>-1.297276166</v>
      </c>
      <c r="AU3234" s="188">
        <f>PPMT('Assumptions (Oil G&amp;T)'!$B$73,Model!AK$1,'Assumptions (Oil G&amp;T)'!$B$76,Model!$AG$3201)</f>
        <v>-1.394571878</v>
      </c>
      <c r="AV3234" s="188"/>
      <c r="AW3234" s="188"/>
      <c r="AX3234" s="188"/>
      <c r="AY3234" s="188"/>
      <c r="AZ3234" s="188"/>
      <c r="BA3234" s="188"/>
      <c r="BB3234" s="188"/>
      <c r="BC3234" s="188"/>
      <c r="BD3234" s="188"/>
      <c r="BE3234" s="188"/>
    </row>
    <row r="3235" ht="15.75" hidden="1" customHeight="1" outlineLevel="1">
      <c r="A3235" s="385"/>
      <c r="B3235" s="38"/>
      <c r="C3235" s="188"/>
      <c r="D3235" s="188"/>
      <c r="E3235" s="188"/>
      <c r="F3235" s="188"/>
      <c r="G3235" s="188"/>
      <c r="H3235" s="188"/>
      <c r="I3235" s="188"/>
      <c r="J3235" s="188"/>
      <c r="K3235" s="188"/>
      <c r="L3235" s="188"/>
      <c r="M3235" s="188"/>
      <c r="N3235" s="188"/>
      <c r="O3235" s="188"/>
      <c r="P3235" s="188"/>
      <c r="Q3235" s="188"/>
      <c r="R3235" s="188"/>
      <c r="S3235" s="78"/>
      <c r="T3235" s="78"/>
      <c r="U3235" s="78"/>
      <c r="V3235" s="78"/>
      <c r="W3235" s="139"/>
      <c r="AH3235" s="188">
        <f>PPMT('Assumptions (Oil G&amp;T)'!$B$73,Model!W$1,'Assumptions (Oil G&amp;T)'!$B$76,Model!$AH$3201)</f>
        <v>-0.5075462132</v>
      </c>
      <c r="AI3235" s="188">
        <f>PPMT('Assumptions (Oil G&amp;T)'!$B$73,Model!X$1,'Assumptions (Oil G&amp;T)'!$B$76,Model!$AH$3201)</f>
        <v>-0.5456121792</v>
      </c>
      <c r="AJ3235" s="188">
        <f>PPMT('Assumptions (Oil G&amp;T)'!$B$73,Model!Y$1,'Assumptions (Oil G&amp;T)'!$B$76,Model!$AH$3201)</f>
        <v>-0.5865330926</v>
      </c>
      <c r="AK3235" s="188">
        <f>PPMT('Assumptions (Oil G&amp;T)'!$B$73,Model!Z$1,'Assumptions (Oil G&amp;T)'!$B$76,Model!$AH$3201)</f>
        <v>-0.6305230746</v>
      </c>
      <c r="AL3235" s="188">
        <f>PPMT('Assumptions (Oil G&amp;T)'!$B$73,Model!AA$1,'Assumptions (Oil G&amp;T)'!$B$76,Model!$AH$3201)</f>
        <v>-0.6778123052</v>
      </c>
      <c r="AM3235" s="188">
        <f>PPMT('Assumptions (Oil G&amp;T)'!$B$73,Model!AB$1,'Assumptions (Oil G&amp;T)'!$B$76,Model!$AH$3201)</f>
        <v>-0.7286482281</v>
      </c>
      <c r="AN3235" s="188">
        <f>PPMT('Assumptions (Oil G&amp;T)'!$B$73,Model!AC$1,'Assumptions (Oil G&amp;T)'!$B$76,Model!$AH$3201)</f>
        <v>-0.7832968452</v>
      </c>
      <c r="AO3235" s="188">
        <f>PPMT('Assumptions (Oil G&amp;T)'!$B$73,Model!AD$1,'Assumptions (Oil G&amp;T)'!$B$76,Model!$AH$3201)</f>
        <v>-0.8420441085</v>
      </c>
      <c r="AP3235" s="188">
        <f>PPMT('Assumptions (Oil G&amp;T)'!$B$73,Model!AE$1,'Assumptions (Oil G&amp;T)'!$B$76,Model!$AH$3201)</f>
        <v>-0.9051974167</v>
      </c>
      <c r="AQ3235" s="188">
        <f>PPMT('Assumptions (Oil G&amp;T)'!$B$73,Model!AF$1,'Assumptions (Oil G&amp;T)'!$B$76,Model!$AH$3201)</f>
        <v>-0.9730872229</v>
      </c>
      <c r="AR3235" s="188">
        <f>PPMT('Assumptions (Oil G&amp;T)'!$B$73,Model!AG$1,'Assumptions (Oil G&amp;T)'!$B$76,Model!$AH$3201)</f>
        <v>-1.046068765</v>
      </c>
      <c r="AS3235" s="188">
        <f>PPMT('Assumptions (Oil G&amp;T)'!$B$73,Model!AH$1,'Assumptions (Oil G&amp;T)'!$B$76,Model!$AH$3201)</f>
        <v>-1.124523922</v>
      </c>
      <c r="AT3235" s="188">
        <f>PPMT('Assumptions (Oil G&amp;T)'!$B$73,Model!AI$1,'Assumptions (Oil G&amp;T)'!$B$76,Model!$AH$3201)</f>
        <v>-1.208863216</v>
      </c>
      <c r="AU3235" s="188">
        <f>PPMT('Assumptions (Oil G&amp;T)'!$B$73,Model!AJ$1,'Assumptions (Oil G&amp;T)'!$B$76,Model!$AH$3201)</f>
        <v>-1.299527957</v>
      </c>
      <c r="AV3235" s="188">
        <f>PPMT('Assumptions (Oil G&amp;T)'!$B$73,Model!AK$1,'Assumptions (Oil G&amp;T)'!$B$76,Model!$AH$3201)</f>
        <v>-1.396992554</v>
      </c>
      <c r="AW3235" s="188"/>
      <c r="AX3235" s="188"/>
      <c r="AY3235" s="188"/>
      <c r="AZ3235" s="188"/>
      <c r="BA3235" s="188"/>
      <c r="BB3235" s="188"/>
      <c r="BC3235" s="188"/>
      <c r="BD3235" s="188"/>
      <c r="BE3235" s="188"/>
      <c r="BF3235" s="188"/>
    </row>
    <row r="3236" ht="15.75" hidden="1" customHeight="1" outlineLevel="1">
      <c r="A3236" s="385"/>
      <c r="B3236" s="38"/>
      <c r="C3236" s="188"/>
      <c r="D3236" s="188"/>
      <c r="E3236" s="188"/>
      <c r="F3236" s="188"/>
      <c r="G3236" s="188"/>
      <c r="H3236" s="188"/>
      <c r="I3236" s="188"/>
      <c r="J3236" s="188"/>
      <c r="K3236" s="188"/>
      <c r="L3236" s="188"/>
      <c r="M3236" s="188"/>
      <c r="N3236" s="188"/>
      <c r="O3236" s="188"/>
      <c r="P3236" s="188"/>
      <c r="Q3236" s="188"/>
      <c r="R3236" s="188"/>
      <c r="S3236" s="78"/>
      <c r="T3236" s="78"/>
      <c r="U3236" s="78"/>
      <c r="V3236" s="78"/>
      <c r="W3236" s="139"/>
      <c r="AI3236" s="188">
        <f>PPMT('Assumptions (Oil G&amp;T)'!$B$73,Model!W$1,'Assumptions (Oil G&amp;T)'!$B$76,Model!$AI$3201)</f>
        <v>-0.5069817068</v>
      </c>
      <c r="AJ3236" s="188">
        <f>PPMT('Assumptions (Oil G&amp;T)'!$B$73,Model!X$1,'Assumptions (Oil G&amp;T)'!$B$76,Model!$AI$3201)</f>
        <v>-0.5450053348</v>
      </c>
      <c r="AK3236" s="188">
        <f>PPMT('Assumptions (Oil G&amp;T)'!$B$73,Model!Y$1,'Assumptions (Oil G&amp;T)'!$B$76,Model!$AI$3201)</f>
        <v>-0.5858807349</v>
      </c>
      <c r="AL3236" s="188">
        <f>PPMT('Assumptions (Oil G&amp;T)'!$B$73,Model!Z$1,'Assumptions (Oil G&amp;T)'!$B$76,Model!$AI$3201)</f>
        <v>-0.62982179</v>
      </c>
      <c r="AM3236" s="188">
        <f>PPMT('Assumptions (Oil G&amp;T)'!$B$73,Model!AA$1,'Assumptions (Oil G&amp;T)'!$B$76,Model!$AI$3201)</f>
        <v>-0.6770584243</v>
      </c>
      <c r="AN3236" s="188">
        <f>PPMT('Assumptions (Oil G&amp;T)'!$B$73,Model!AB$1,'Assumptions (Oil G&amp;T)'!$B$76,Model!$AI$3201)</f>
        <v>-0.7278378061</v>
      </c>
      <c r="AO3236" s="188">
        <f>PPMT('Assumptions (Oil G&amp;T)'!$B$73,Model!AC$1,'Assumptions (Oil G&amp;T)'!$B$76,Model!$AI$3201)</f>
        <v>-0.7824256416</v>
      </c>
      <c r="AP3236" s="188">
        <f>PPMT('Assumptions (Oil G&amp;T)'!$B$73,Model!AD$1,'Assumptions (Oil G&amp;T)'!$B$76,Model!$AI$3201)</f>
        <v>-0.8411075647</v>
      </c>
      <c r="AQ3236" s="188">
        <f>PPMT('Assumptions (Oil G&amp;T)'!$B$73,Model!AE$1,'Assumptions (Oil G&amp;T)'!$B$76,Model!$AI$3201)</f>
        <v>-0.904190632</v>
      </c>
      <c r="AR3236" s="188">
        <f>PPMT('Assumptions (Oil G&amp;T)'!$B$73,Model!AF$1,'Assumptions (Oil G&amp;T)'!$B$76,Model!$AI$3201)</f>
        <v>-0.9720049294</v>
      </c>
      <c r="AS3236" s="188">
        <f>PPMT('Assumptions (Oil G&amp;T)'!$B$73,Model!AG$1,'Assumptions (Oil G&amp;T)'!$B$76,Model!$AI$3201)</f>
        <v>-1.044905299</v>
      </c>
      <c r="AT3236" s="188">
        <f>PPMT('Assumptions (Oil G&amp;T)'!$B$73,Model!AH$1,'Assumptions (Oil G&amp;T)'!$B$76,Model!$AI$3201)</f>
        <v>-1.123273197</v>
      </c>
      <c r="AU3236" s="188">
        <f>PPMT('Assumptions (Oil G&amp;T)'!$B$73,Model!AI$1,'Assumptions (Oil G&amp;T)'!$B$76,Model!$AI$3201)</f>
        <v>-1.207518686</v>
      </c>
      <c r="AV3236" s="188">
        <f>PPMT('Assumptions (Oil G&amp;T)'!$B$73,Model!AJ$1,'Assumptions (Oil G&amp;T)'!$B$76,Model!$AI$3201)</f>
        <v>-1.298082588</v>
      </c>
      <c r="AW3236" s="188">
        <f>PPMT('Assumptions (Oil G&amp;T)'!$B$73,Model!AK$1,'Assumptions (Oil G&amp;T)'!$B$76,Model!$AI$3201)</f>
        <v>-1.395438782</v>
      </c>
      <c r="AX3236" s="188"/>
      <c r="AY3236" s="188"/>
      <c r="AZ3236" s="188"/>
      <c r="BA3236" s="188"/>
      <c r="BB3236" s="188"/>
      <c r="BC3236" s="188"/>
      <c r="BD3236" s="188"/>
      <c r="BE3236" s="188"/>
      <c r="BF3236" s="188"/>
      <c r="BG3236" s="188"/>
    </row>
    <row r="3237" ht="15.75" hidden="1" customHeight="1" outlineLevel="1">
      <c r="A3237" s="385"/>
      <c r="B3237" s="38"/>
      <c r="C3237" s="188"/>
      <c r="D3237" s="188"/>
      <c r="E3237" s="188"/>
      <c r="F3237" s="188"/>
      <c r="G3237" s="188"/>
      <c r="H3237" s="188"/>
      <c r="I3237" s="188"/>
      <c r="J3237" s="188"/>
      <c r="K3237" s="188"/>
      <c r="L3237" s="188"/>
      <c r="M3237" s="188"/>
      <c r="N3237" s="188"/>
      <c r="O3237" s="188"/>
      <c r="P3237" s="188"/>
      <c r="Q3237" s="188"/>
      <c r="R3237" s="188"/>
      <c r="S3237" s="78"/>
      <c r="T3237" s="78"/>
      <c r="U3237" s="78"/>
      <c r="V3237" s="78"/>
      <c r="W3237" s="139"/>
      <c r="AJ3237" s="188">
        <f>PPMT('Assumptions (Oil G&amp;T)'!$B$73,Model!W$1,'Assumptions (Oil G&amp;T)'!$B$76,Model!$AJ$3201)</f>
        <v>-0.5059773138</v>
      </c>
      <c r="AK3237" s="188">
        <f>PPMT('Assumptions (Oil G&amp;T)'!$B$73,Model!X$1,'Assumptions (Oil G&amp;T)'!$B$76,Model!$AJ$3201)</f>
        <v>-0.5439256124</v>
      </c>
      <c r="AL3237" s="188">
        <f>PPMT('Assumptions (Oil G&amp;T)'!$B$73,Model!Y$1,'Assumptions (Oil G&amp;T)'!$B$76,Model!$AJ$3201)</f>
        <v>-0.5847200333</v>
      </c>
      <c r="AM3237" s="188">
        <f>PPMT('Assumptions (Oil G&amp;T)'!$B$73,Model!Z$1,'Assumptions (Oil G&amp;T)'!$B$76,Model!$AJ$3201)</f>
        <v>-0.6285740358</v>
      </c>
      <c r="AN3237" s="188">
        <f>PPMT('Assumptions (Oil G&amp;T)'!$B$73,Model!AA$1,'Assumptions (Oil G&amp;T)'!$B$76,Model!$AJ$3201)</f>
        <v>-0.6757170885</v>
      </c>
      <c r="AO3237" s="188">
        <f>PPMT('Assumptions (Oil G&amp;T)'!$B$73,Model!AB$1,'Assumptions (Oil G&amp;T)'!$B$76,Model!$AJ$3201)</f>
        <v>-0.7263958701</v>
      </c>
      <c r="AP3237" s="188">
        <f>PPMT('Assumptions (Oil G&amp;T)'!$B$73,Model!AC$1,'Assumptions (Oil G&amp;T)'!$B$76,Model!$AJ$3201)</f>
        <v>-0.7808755604</v>
      </c>
      <c r="AQ3237" s="188">
        <f>PPMT('Assumptions (Oil G&amp;T)'!$B$73,Model!AD$1,'Assumptions (Oil G&amp;T)'!$B$76,Model!$AJ$3201)</f>
        <v>-0.8394412274</v>
      </c>
      <c r="AR3237" s="188">
        <f>PPMT('Assumptions (Oil G&amp;T)'!$B$73,Model!AE$1,'Assumptions (Oil G&amp;T)'!$B$76,Model!$AJ$3201)</f>
        <v>-0.9023993194</v>
      </c>
      <c r="AS3237" s="188">
        <f>PPMT('Assumptions (Oil G&amp;T)'!$B$73,Model!AF$1,'Assumptions (Oil G&amp;T)'!$B$76,Model!$AJ$3201)</f>
        <v>-0.9700792684</v>
      </c>
      <c r="AT3237" s="188">
        <f>PPMT('Assumptions (Oil G&amp;T)'!$B$73,Model!AG$1,'Assumptions (Oil G&amp;T)'!$B$76,Model!$AJ$3201)</f>
        <v>-1.042835214</v>
      </c>
      <c r="AU3237" s="188">
        <f>PPMT('Assumptions (Oil G&amp;T)'!$B$73,Model!AH$1,'Assumptions (Oil G&amp;T)'!$B$76,Model!$AJ$3201)</f>
        <v>-1.121047855</v>
      </c>
      <c r="AV3237" s="188">
        <f>PPMT('Assumptions (Oil G&amp;T)'!$B$73,Model!AI$1,'Assumptions (Oil G&amp;T)'!$B$76,Model!$AJ$3201)</f>
        <v>-1.205126444</v>
      </c>
      <c r="AW3237" s="188">
        <f>PPMT('Assumptions (Oil G&amp;T)'!$B$73,Model!AJ$1,'Assumptions (Oil G&amp;T)'!$B$76,Model!$AJ$3201)</f>
        <v>-1.295510927</v>
      </c>
      <c r="AX3237" s="188">
        <f>PPMT('Assumptions (Oil G&amp;T)'!$B$73,Model!AK$1,'Assumptions (Oil G&amp;T)'!$B$76,Model!$AJ$3201)</f>
        <v>-1.392674246</v>
      </c>
      <c r="AY3237" s="188"/>
      <c r="AZ3237" s="188"/>
      <c r="BA3237" s="188"/>
      <c r="BB3237" s="188"/>
      <c r="BC3237" s="188"/>
      <c r="BD3237" s="188"/>
      <c r="BE3237" s="188"/>
      <c r="BF3237" s="188"/>
      <c r="BG3237" s="188"/>
      <c r="BH3237" s="188"/>
    </row>
    <row r="3238" ht="15.75" hidden="1" customHeight="1" outlineLevel="1">
      <c r="A3238" s="385"/>
      <c r="B3238" s="38"/>
      <c r="C3238" s="188"/>
      <c r="D3238" s="188"/>
      <c r="E3238" s="188"/>
      <c r="F3238" s="188"/>
      <c r="G3238" s="188"/>
      <c r="H3238" s="188"/>
      <c r="I3238" s="188"/>
      <c r="J3238" s="188"/>
      <c r="K3238" s="188"/>
      <c r="L3238" s="188"/>
      <c r="M3238" s="188"/>
      <c r="N3238" s="188"/>
      <c r="O3238" s="188"/>
      <c r="P3238" s="188"/>
      <c r="Q3238" s="188"/>
      <c r="R3238" s="188"/>
      <c r="S3238" s="78"/>
      <c r="T3238" s="78"/>
      <c r="U3238" s="78"/>
      <c r="V3238" s="78"/>
      <c r="W3238" s="139"/>
      <c r="AK3238" s="188">
        <f>PPMT('Assumptions (Oil G&amp;T)'!$B$73,Model!W$1,'Assumptions (Oil G&amp;T)'!$B$76,Model!$AK$3201)</f>
        <v>-0.5055399184</v>
      </c>
      <c r="AL3238" s="188">
        <f>PPMT('Assumptions (Oil G&amp;T)'!$B$73,Model!X$1,'Assumptions (Oil G&amp;T)'!$B$76,Model!$AK$3201)</f>
        <v>-0.5434554123</v>
      </c>
      <c r="AM3238" s="188">
        <f>PPMT('Assumptions (Oil G&amp;T)'!$B$73,Model!Y$1,'Assumptions (Oil G&amp;T)'!$B$76,Model!$AK$3201)</f>
        <v>-0.5842145682</v>
      </c>
      <c r="AN3238" s="188">
        <f>PPMT('Assumptions (Oil G&amp;T)'!$B$73,Model!Z$1,'Assumptions (Oil G&amp;T)'!$B$76,Model!$AK$3201)</f>
        <v>-0.6280306609</v>
      </c>
      <c r="AO3238" s="188">
        <f>PPMT('Assumptions (Oil G&amp;T)'!$B$73,Model!AA$1,'Assumptions (Oil G&amp;T)'!$B$76,Model!$AK$3201)</f>
        <v>-0.6751329604</v>
      </c>
      <c r="AP3238" s="188">
        <f>PPMT('Assumptions (Oil G&amp;T)'!$B$73,Model!AB$1,'Assumptions (Oil G&amp;T)'!$B$76,Model!$AK$3201)</f>
        <v>-0.7257679324</v>
      </c>
      <c r="AQ3238" s="188">
        <f>PPMT('Assumptions (Oil G&amp;T)'!$B$73,Model!AC$1,'Assumptions (Oil G&amp;T)'!$B$76,Model!$AK$3201)</f>
        <v>-0.7802005274</v>
      </c>
      <c r="AR3238" s="188">
        <f>PPMT('Assumptions (Oil G&amp;T)'!$B$73,Model!AD$1,'Assumptions (Oil G&amp;T)'!$B$76,Model!$AK$3201)</f>
        <v>-0.8387155669</v>
      </c>
      <c r="AS3238" s="188">
        <f>PPMT('Assumptions (Oil G&amp;T)'!$B$73,Model!AE$1,'Assumptions (Oil G&amp;T)'!$B$76,Model!$AK$3201)</f>
        <v>-0.9016192345</v>
      </c>
      <c r="AT3238" s="188">
        <f>PPMT('Assumptions (Oil G&amp;T)'!$B$73,Model!AF$1,'Assumptions (Oil G&amp;T)'!$B$76,Model!$AK$3201)</f>
        <v>-0.969240677</v>
      </c>
      <c r="AU3238" s="188">
        <f>PPMT('Assumptions (Oil G&amp;T)'!$B$73,Model!AG$1,'Assumptions (Oil G&amp;T)'!$B$76,Model!$AK$3201)</f>
        <v>-1.041933728</v>
      </c>
      <c r="AV3238" s="188">
        <f>PPMT('Assumptions (Oil G&amp;T)'!$B$73,Model!AH$1,'Assumptions (Oil G&amp;T)'!$B$76,Model!$AK$3201)</f>
        <v>-1.120078757</v>
      </c>
      <c r="AW3238" s="188">
        <f>PPMT('Assumptions (Oil G&amp;T)'!$B$73,Model!AI$1,'Assumptions (Oil G&amp;T)'!$B$76,Model!$AK$3201)</f>
        <v>-1.204084664</v>
      </c>
      <c r="AX3238" s="188">
        <f>PPMT('Assumptions (Oil G&amp;T)'!$B$73,Model!AJ$1,'Assumptions (Oil G&amp;T)'!$B$76,Model!$AK$3201)</f>
        <v>-1.294391014</v>
      </c>
      <c r="AY3238" s="188">
        <f>PPMT('Assumptions (Oil G&amp;T)'!$B$73,Model!AK$1,'Assumptions (Oil G&amp;T)'!$B$76,Model!$AK$3201)</f>
        <v>-1.39147034</v>
      </c>
      <c r="AZ3238" s="188"/>
      <c r="BA3238" s="188"/>
      <c r="BB3238" s="188"/>
      <c r="BC3238" s="188"/>
      <c r="BD3238" s="188"/>
      <c r="BE3238" s="188"/>
      <c r="BF3238" s="188"/>
      <c r="BG3238" s="188"/>
      <c r="BH3238" s="188"/>
      <c r="BI3238" s="188"/>
    </row>
    <row r="3239" ht="15.75" hidden="1" customHeight="1" outlineLevel="1">
      <c r="A3239" s="385"/>
      <c r="B3239" s="38"/>
      <c r="C3239" s="188"/>
      <c r="D3239" s="188"/>
      <c r="E3239" s="188"/>
      <c r="F3239" s="188"/>
      <c r="G3239" s="188"/>
      <c r="H3239" s="188"/>
      <c r="I3239" s="188"/>
      <c r="J3239" s="188"/>
      <c r="K3239" s="188"/>
      <c r="L3239" s="188"/>
      <c r="M3239" s="188"/>
      <c r="N3239" s="188"/>
      <c r="O3239" s="188"/>
      <c r="P3239" s="188"/>
      <c r="Q3239" s="188"/>
      <c r="R3239" s="188"/>
      <c r="S3239" s="78"/>
      <c r="T3239" s="78"/>
      <c r="U3239" s="78"/>
      <c r="V3239" s="78"/>
      <c r="W3239" s="139"/>
      <c r="AL3239" s="188">
        <f>PPMT('Assumptions (Oil G&amp;T)'!$B$73,Model!W$1,'Assumptions (Oil G&amp;T)'!$B$76,Model!$AL$3201)</f>
        <v>-0.504113829</v>
      </c>
      <c r="AM3239" s="188">
        <f>PPMT('Assumptions (Oil G&amp;T)'!$B$73,Model!X$1,'Assumptions (Oil G&amp;T)'!$B$76,Model!$AL$3201)</f>
        <v>-0.5419223662</v>
      </c>
      <c r="AN3239" s="188">
        <f>PPMT('Assumptions (Oil G&amp;T)'!$B$73,Model!Y$1,'Assumptions (Oil G&amp;T)'!$B$76,Model!$AL$3201)</f>
        <v>-0.5825665437</v>
      </c>
      <c r="AO3239" s="188">
        <f>PPMT('Assumptions (Oil G&amp;T)'!$B$73,Model!Z$1,'Assumptions (Oil G&amp;T)'!$B$76,Model!$AL$3201)</f>
        <v>-0.6262590344</v>
      </c>
      <c r="AP3239" s="188">
        <f>PPMT('Assumptions (Oil G&amp;T)'!$B$73,Model!AA$1,'Assumptions (Oil G&amp;T)'!$B$76,Model!$AL$3201)</f>
        <v>-0.673228462</v>
      </c>
      <c r="AQ3239" s="188">
        <f>PPMT('Assumptions (Oil G&amp;T)'!$B$73,Model!AB$1,'Assumptions (Oil G&amp;T)'!$B$76,Model!$AL$3201)</f>
        <v>-0.7237205967</v>
      </c>
      <c r="AR3239" s="188">
        <f>PPMT('Assumptions (Oil G&amp;T)'!$B$73,Model!AC$1,'Assumptions (Oil G&amp;T)'!$B$76,Model!$AL$3201)</f>
        <v>-0.7779996414</v>
      </c>
      <c r="AS3239" s="188">
        <f>PPMT('Assumptions (Oil G&amp;T)'!$B$73,Model!AD$1,'Assumptions (Oil G&amp;T)'!$B$76,Model!$AL$3201)</f>
        <v>-0.8363496145</v>
      </c>
      <c r="AT3239" s="188">
        <f>PPMT('Assumptions (Oil G&amp;T)'!$B$73,Model!AE$1,'Assumptions (Oil G&amp;T)'!$B$76,Model!$AL$3201)</f>
        <v>-0.8990758356</v>
      </c>
      <c r="AU3239" s="188">
        <f>PPMT('Assumptions (Oil G&amp;T)'!$B$73,Model!AF$1,'Assumptions (Oil G&amp;T)'!$B$76,Model!$AL$3201)</f>
        <v>-0.9665065233</v>
      </c>
      <c r="AV3239" s="188">
        <f>PPMT('Assumptions (Oil G&amp;T)'!$B$73,Model!AG$1,'Assumptions (Oil G&amp;T)'!$B$76,Model!$AL$3201)</f>
        <v>-1.038994513</v>
      </c>
      <c r="AW3239" s="188">
        <f>PPMT('Assumptions (Oil G&amp;T)'!$B$73,Model!AH$1,'Assumptions (Oil G&amp;T)'!$B$76,Model!$AL$3201)</f>
        <v>-1.116919101</v>
      </c>
      <c r="AX3239" s="188">
        <f>PPMT('Assumptions (Oil G&amp;T)'!$B$73,Model!AI$1,'Assumptions (Oil G&amp;T)'!$B$76,Model!$AL$3201)</f>
        <v>-1.200688034</v>
      </c>
      <c r="AY3239" s="188">
        <f>PPMT('Assumptions (Oil G&amp;T)'!$B$73,Model!AJ$1,'Assumptions (Oil G&amp;T)'!$B$76,Model!$AL$3201)</f>
        <v>-1.290739636</v>
      </c>
      <c r="AZ3239" s="188">
        <f>PPMT('Assumptions (Oil G&amp;T)'!$B$73,Model!AK$1,'Assumptions (Oil G&amp;T)'!$B$76,Model!$AL$3201)</f>
        <v>-1.387545109</v>
      </c>
      <c r="BA3239" s="188"/>
      <c r="BB3239" s="188"/>
      <c r="BC3239" s="188"/>
      <c r="BD3239" s="188"/>
      <c r="BE3239" s="188"/>
      <c r="BF3239" s="188"/>
      <c r="BG3239" s="188"/>
      <c r="BH3239" s="188"/>
      <c r="BI3239" s="188"/>
      <c r="BJ3239" s="188"/>
    </row>
    <row r="3240" ht="15.75" hidden="1" customHeight="1" outlineLevel="1">
      <c r="A3240" s="385"/>
      <c r="B3240" s="38"/>
      <c r="C3240" s="188"/>
      <c r="D3240" s="188"/>
      <c r="E3240" s="188"/>
      <c r="F3240" s="188"/>
      <c r="G3240" s="188"/>
      <c r="H3240" s="188"/>
      <c r="I3240" s="188"/>
      <c r="J3240" s="188"/>
      <c r="K3240" s="188"/>
      <c r="L3240" s="188"/>
      <c r="M3240" s="188"/>
      <c r="N3240" s="188"/>
      <c r="O3240" s="188"/>
      <c r="P3240" s="188"/>
      <c r="Q3240" s="188"/>
      <c r="R3240" s="188"/>
      <c r="S3240" s="78"/>
      <c r="T3240" s="78"/>
      <c r="U3240" s="78"/>
      <c r="V3240" s="78"/>
      <c r="W3240" s="139"/>
      <c r="AM3240" s="188">
        <f>PPMT('Assumptions (Oil G&amp;T)'!$B$73,Model!W$1,'Assumptions (Oil G&amp;T)'!$B$76,Model!$AM$3201)</f>
        <v>-0.5022302771</v>
      </c>
      <c r="AN3240" s="188">
        <f>PPMT('Assumptions (Oil G&amp;T)'!$B$73,Model!X$1,'Assumptions (Oil G&amp;T)'!$B$76,Model!$AM$3201)</f>
        <v>-0.5398975479</v>
      </c>
      <c r="AO3240" s="188">
        <f>PPMT('Assumptions (Oil G&amp;T)'!$B$73,Model!Y$1,'Assumptions (Oil G&amp;T)'!$B$76,Model!$AM$3201)</f>
        <v>-0.580389864</v>
      </c>
      <c r="AP3240" s="188">
        <f>PPMT('Assumptions (Oil G&amp;T)'!$B$73,Model!Z$1,'Assumptions (Oil G&amp;T)'!$B$76,Model!$AM$3201)</f>
        <v>-0.6239191038</v>
      </c>
      <c r="AQ3240" s="188">
        <f>PPMT('Assumptions (Oil G&amp;T)'!$B$73,Model!AA$1,'Assumptions (Oil G&amp;T)'!$B$76,Model!$AM$3201)</f>
        <v>-0.6707130366</v>
      </c>
      <c r="AR3240" s="188">
        <f>PPMT('Assumptions (Oil G&amp;T)'!$B$73,Model!AB$1,'Assumptions (Oil G&amp;T)'!$B$76,Model!$AM$3201)</f>
        <v>-0.7210165143</v>
      </c>
      <c r="AS3240" s="188">
        <f>PPMT('Assumptions (Oil G&amp;T)'!$B$73,Model!AC$1,'Assumptions (Oil G&amp;T)'!$B$76,Model!$AM$3201)</f>
        <v>-0.7750927529</v>
      </c>
      <c r="AT3240" s="188">
        <f>PPMT('Assumptions (Oil G&amp;T)'!$B$73,Model!AD$1,'Assumptions (Oil G&amp;T)'!$B$76,Model!$AM$3201)</f>
        <v>-0.8332247093</v>
      </c>
      <c r="AU3240" s="188">
        <f>PPMT('Assumptions (Oil G&amp;T)'!$B$73,Model!AE$1,'Assumptions (Oil G&amp;T)'!$B$76,Model!$AM$3201)</f>
        <v>-0.8957165625</v>
      </c>
      <c r="AV3240" s="188">
        <f>PPMT('Assumptions (Oil G&amp;T)'!$B$73,Model!AF$1,'Assumptions (Oil G&amp;T)'!$B$76,Model!$AM$3201)</f>
        <v>-0.9628953047</v>
      </c>
      <c r="AW3240" s="188">
        <f>PPMT('Assumptions (Oil G&amp;T)'!$B$73,Model!AG$1,'Assumptions (Oil G&amp;T)'!$B$76,Model!$AM$3201)</f>
        <v>-1.035112453</v>
      </c>
      <c r="AX3240" s="188">
        <f>PPMT('Assumptions (Oil G&amp;T)'!$B$73,Model!AH$1,'Assumptions (Oil G&amp;T)'!$B$76,Model!$AM$3201)</f>
        <v>-1.112745887</v>
      </c>
      <c r="AY3240" s="188">
        <f>PPMT('Assumptions (Oil G&amp;T)'!$B$73,Model!AI$1,'Assumptions (Oil G&amp;T)'!$B$76,Model!$AM$3201)</f>
        <v>-1.196201828</v>
      </c>
      <c r="AZ3240" s="188">
        <f>PPMT('Assumptions (Oil G&amp;T)'!$B$73,Model!AJ$1,'Assumptions (Oil G&amp;T)'!$B$76,Model!$AM$3201)</f>
        <v>-1.285916965</v>
      </c>
      <c r="BA3240" s="188">
        <f>PPMT('Assumptions (Oil G&amp;T)'!$B$73,Model!AK$1,'Assumptions (Oil G&amp;T)'!$B$76,Model!$AM$3201)</f>
        <v>-1.382360737</v>
      </c>
      <c r="BB3240" s="188"/>
      <c r="BC3240" s="188"/>
      <c r="BD3240" s="188"/>
      <c r="BE3240" s="188"/>
      <c r="BF3240" s="188"/>
      <c r="BG3240" s="188"/>
      <c r="BH3240" s="188"/>
      <c r="BI3240" s="188"/>
      <c r="BJ3240" s="188"/>
      <c r="BK3240" s="188"/>
    </row>
    <row r="3241" ht="15.75" hidden="1" customHeight="1" outlineLevel="1">
      <c r="A3241" s="385"/>
      <c r="B3241" s="38"/>
      <c r="C3241" s="188"/>
      <c r="D3241" s="188"/>
      <c r="E3241" s="188"/>
      <c r="F3241" s="188"/>
      <c r="G3241" s="188"/>
      <c r="H3241" s="188"/>
      <c r="I3241" s="188"/>
      <c r="J3241" s="188"/>
      <c r="K3241" s="188"/>
      <c r="L3241" s="188"/>
      <c r="M3241" s="188"/>
      <c r="N3241" s="188"/>
      <c r="O3241" s="188"/>
      <c r="P3241" s="188"/>
      <c r="Q3241" s="188"/>
      <c r="R3241" s="188"/>
      <c r="S3241" s="78"/>
      <c r="T3241" s="78"/>
      <c r="U3241" s="78"/>
      <c r="V3241" s="78"/>
      <c r="W3241" s="139"/>
      <c r="AN3241" s="188">
        <f>PPMT('Assumptions (Oil G&amp;T)'!$B$73,Model!W$1,'Assumptions (Oil G&amp;T)'!$B$76,Model!$AN$3201)</f>
        <v>-0.5000419381</v>
      </c>
      <c r="AO3241" s="188">
        <f>PPMT('Assumptions (Oil G&amp;T)'!$B$73,Model!X$1,'Assumptions (Oil G&amp;T)'!$B$76,Model!$AN$3201)</f>
        <v>-0.5375450835</v>
      </c>
      <c r="AP3241" s="188">
        <f>PPMT('Assumptions (Oil G&amp;T)'!$B$73,Model!Y$1,'Assumptions (Oil G&amp;T)'!$B$76,Model!$AN$3201)</f>
        <v>-0.5778609648</v>
      </c>
      <c r="AQ3241" s="188">
        <f>PPMT('Assumptions (Oil G&amp;T)'!$B$73,Model!Z$1,'Assumptions (Oil G&amp;T)'!$B$76,Model!$AN$3201)</f>
        <v>-0.6212005371</v>
      </c>
      <c r="AR3241" s="188">
        <f>PPMT('Assumptions (Oil G&amp;T)'!$B$73,Model!AA$1,'Assumptions (Oil G&amp;T)'!$B$76,Model!$AN$3201)</f>
        <v>-0.6677905774</v>
      </c>
      <c r="AS3241" s="188">
        <f>PPMT('Assumptions (Oil G&amp;T)'!$B$73,Model!AB$1,'Assumptions (Oil G&amp;T)'!$B$76,Model!$AN$3201)</f>
        <v>-0.7178748707</v>
      </c>
      <c r="AT3241" s="188">
        <f>PPMT('Assumptions (Oil G&amp;T)'!$B$73,Model!AC$1,'Assumptions (Oil G&amp;T)'!$B$76,Model!$AN$3201)</f>
        <v>-0.771715486</v>
      </c>
      <c r="AU3241" s="188">
        <f>PPMT('Assumptions (Oil G&amp;T)'!$B$73,Model!AD$1,'Assumptions (Oil G&amp;T)'!$B$76,Model!$AN$3201)</f>
        <v>-0.8295941475</v>
      </c>
      <c r="AV3241" s="188">
        <f>PPMT('Assumptions (Oil G&amp;T)'!$B$73,Model!AE$1,'Assumptions (Oil G&amp;T)'!$B$76,Model!$AN$3201)</f>
        <v>-0.8918137085</v>
      </c>
      <c r="AW3241" s="188">
        <f>PPMT('Assumptions (Oil G&amp;T)'!$B$73,Model!AF$1,'Assumptions (Oil G&amp;T)'!$B$76,Model!$AN$3201)</f>
        <v>-0.9586997367</v>
      </c>
      <c r="AX3241" s="188">
        <f>PPMT('Assumptions (Oil G&amp;T)'!$B$73,Model!AG$1,'Assumptions (Oil G&amp;T)'!$B$76,Model!$AN$3201)</f>
        <v>-1.030602217</v>
      </c>
      <c r="AY3241" s="188">
        <f>PPMT('Assumptions (Oil G&amp;T)'!$B$73,Model!AH$1,'Assumptions (Oil G&amp;T)'!$B$76,Model!$AN$3201)</f>
        <v>-1.107897383</v>
      </c>
      <c r="AZ3241" s="188">
        <f>PPMT('Assumptions (Oil G&amp;T)'!$B$73,Model!AI$1,'Assumptions (Oil G&amp;T)'!$B$76,Model!$AN$3201)</f>
        <v>-1.190989687</v>
      </c>
      <c r="BA3241" s="188">
        <f>PPMT('Assumptions (Oil G&amp;T)'!$B$73,Model!AJ$1,'Assumptions (Oil G&amp;T)'!$B$76,Model!$AN$3201)</f>
        <v>-1.280313913</v>
      </c>
      <c r="BB3241" s="188">
        <f>PPMT('Assumptions (Oil G&amp;T)'!$B$73,Model!AK$1,'Assumptions (Oil G&amp;T)'!$B$76,Model!$AN$3201)</f>
        <v>-1.376337457</v>
      </c>
      <c r="BC3241" s="188"/>
      <c r="BD3241" s="188"/>
      <c r="BE3241" s="188"/>
      <c r="BF3241" s="188"/>
      <c r="BG3241" s="188"/>
      <c r="BH3241" s="188"/>
      <c r="BI3241" s="188"/>
      <c r="BJ3241" s="188"/>
      <c r="BK3241" s="188"/>
      <c r="BL3241" s="188"/>
    </row>
    <row r="3242" ht="15.75" hidden="1" customHeight="1" outlineLevel="1">
      <c r="A3242" s="385"/>
      <c r="B3242" s="38"/>
      <c r="C3242" s="188"/>
      <c r="D3242" s="188"/>
      <c r="E3242" s="188"/>
      <c r="F3242" s="188"/>
      <c r="G3242" s="188"/>
      <c r="H3242" s="188"/>
      <c r="I3242" s="188"/>
      <c r="J3242" s="188"/>
      <c r="K3242" s="188"/>
      <c r="L3242" s="188"/>
      <c r="M3242" s="188"/>
      <c r="N3242" s="188"/>
      <c r="O3242" s="188"/>
      <c r="P3242" s="188"/>
      <c r="Q3242" s="188"/>
      <c r="R3242" s="188"/>
      <c r="S3242" s="78"/>
      <c r="T3242" s="78"/>
      <c r="U3242" s="78"/>
      <c r="V3242" s="78"/>
      <c r="W3242" s="139"/>
      <c r="AO3242" s="188">
        <f>PPMT('Assumptions (Oil G&amp;T)'!$B$73,Model!W$1,'Assumptions (Oil G&amp;T)'!$B$76,Model!$AO$3201)</f>
        <v>-0.4986213973</v>
      </c>
      <c r="AP3242" s="188">
        <f>PPMT('Assumptions (Oil G&amp;T)'!$B$73,Model!X$1,'Assumptions (Oil G&amp;T)'!$B$76,Model!$AO$3201)</f>
        <v>-0.5360180021</v>
      </c>
      <c r="AQ3242" s="188">
        <f>PPMT('Assumptions (Oil G&amp;T)'!$B$73,Model!Y$1,'Assumptions (Oil G&amp;T)'!$B$76,Model!$AO$3201)</f>
        <v>-0.5762193522</v>
      </c>
      <c r="AR3242" s="188">
        <f>PPMT('Assumptions (Oil G&amp;T)'!$B$73,Model!Z$1,'Assumptions (Oil G&amp;T)'!$B$76,Model!$AO$3201)</f>
        <v>-0.6194358036</v>
      </c>
      <c r="AS3242" s="188">
        <f>PPMT('Assumptions (Oil G&amp;T)'!$B$73,Model!AA$1,'Assumptions (Oil G&amp;T)'!$B$76,Model!$AO$3201)</f>
        <v>-0.6658934889</v>
      </c>
      <c r="AT3242" s="188">
        <f>PPMT('Assumptions (Oil G&amp;T)'!$B$73,Model!AB$1,'Assumptions (Oil G&amp;T)'!$B$76,Model!$AO$3201)</f>
        <v>-0.7158355006</v>
      </c>
      <c r="AU3242" s="188">
        <f>PPMT('Assumptions (Oil G&amp;T)'!$B$73,Model!AC$1,'Assumptions (Oil G&amp;T)'!$B$76,Model!$AO$3201)</f>
        <v>-0.7695231631</v>
      </c>
      <c r="AV3242" s="188">
        <f>PPMT('Assumptions (Oil G&amp;T)'!$B$73,Model!AD$1,'Assumptions (Oil G&amp;T)'!$B$76,Model!$AO$3201)</f>
        <v>-0.8272374004</v>
      </c>
      <c r="AW3242" s="188">
        <f>PPMT('Assumptions (Oil G&amp;T)'!$B$73,Model!AE$1,'Assumptions (Oil G&amp;T)'!$B$76,Model!$AO$3201)</f>
        <v>-0.8892802054</v>
      </c>
      <c r="AX3242" s="188">
        <f>PPMT('Assumptions (Oil G&amp;T)'!$B$73,Model!AF$1,'Assumptions (Oil G&amp;T)'!$B$76,Model!$AO$3201)</f>
        <v>-0.9559762208</v>
      </c>
      <c r="AY3242" s="188">
        <f>PPMT('Assumptions (Oil G&amp;T)'!$B$73,Model!AG$1,'Assumptions (Oil G&amp;T)'!$B$76,Model!$AO$3201)</f>
        <v>-1.027674437</v>
      </c>
      <c r="AZ3242" s="188">
        <f>PPMT('Assumptions (Oil G&amp;T)'!$B$73,Model!AH$1,'Assumptions (Oil G&amp;T)'!$B$76,Model!$AO$3201)</f>
        <v>-1.10475002</v>
      </c>
      <c r="BA3242" s="188">
        <f>PPMT('Assumptions (Oil G&amp;T)'!$B$73,Model!AI$1,'Assumptions (Oil G&amp;T)'!$B$76,Model!$AO$3201)</f>
        <v>-1.187606272</v>
      </c>
      <c r="BB3242" s="188">
        <f>PPMT('Assumptions (Oil G&amp;T)'!$B$73,Model!AJ$1,'Assumptions (Oil G&amp;T)'!$B$76,Model!$AO$3201)</f>
        <v>-1.276676742</v>
      </c>
      <c r="BC3242" s="188">
        <f>PPMT('Assumptions (Oil G&amp;T)'!$B$73,Model!AK$1,'Assumptions (Oil G&amp;T)'!$B$76,Model!$AO$3201)</f>
        <v>-1.372427498</v>
      </c>
      <c r="BD3242" s="188"/>
      <c r="BE3242" s="188"/>
      <c r="BF3242" s="188"/>
      <c r="BG3242" s="188"/>
      <c r="BH3242" s="188"/>
      <c r="BI3242" s="188"/>
      <c r="BJ3242" s="188"/>
      <c r="BK3242" s="188"/>
      <c r="BL3242" s="188"/>
      <c r="BM3242" s="188"/>
    </row>
    <row r="3243" ht="15.75" hidden="1" customHeight="1" outlineLevel="1">
      <c r="A3243" s="385"/>
      <c r="B3243" s="38"/>
      <c r="C3243" s="188"/>
      <c r="D3243" s="188"/>
      <c r="E3243" s="188"/>
      <c r="F3243" s="188"/>
      <c r="G3243" s="188"/>
      <c r="H3243" s="188"/>
      <c r="I3243" s="188"/>
      <c r="J3243" s="188"/>
      <c r="K3243" s="188"/>
      <c r="L3243" s="188"/>
      <c r="M3243" s="188"/>
      <c r="N3243" s="188"/>
      <c r="O3243" s="188"/>
      <c r="P3243" s="188"/>
      <c r="Q3243" s="188"/>
      <c r="R3243" s="188"/>
      <c r="S3243" s="78"/>
      <c r="T3243" s="78"/>
      <c r="U3243" s="78"/>
      <c r="V3243" s="78"/>
      <c r="W3243" s="139"/>
      <c r="AP3243" s="188">
        <f>PPMT('Assumptions (Oil G&amp;T)'!$B$73,Model!W$1,'Assumptions (Oil G&amp;T)'!$B$76,Model!$AP$3201)</f>
        <v>-0.4973675957</v>
      </c>
      <c r="AQ3243" s="188">
        <f>PPMT('Assumptions (Oil G&amp;T)'!$B$73,Model!X$1,'Assumptions (Oil G&amp;T)'!$B$76,Model!$AP$3201)</f>
        <v>-0.5346701654</v>
      </c>
      <c r="AR3243" s="188">
        <f>PPMT('Assumptions (Oil G&amp;T)'!$B$73,Model!Y$1,'Assumptions (Oil G&amp;T)'!$B$76,Model!$AP$3201)</f>
        <v>-0.5747704278</v>
      </c>
      <c r="AS3243" s="188">
        <f>PPMT('Assumptions (Oil G&amp;T)'!$B$73,Model!Z$1,'Assumptions (Oil G&amp;T)'!$B$76,Model!$AP$3201)</f>
        <v>-0.6178782098</v>
      </c>
      <c r="AT3243" s="188">
        <f>PPMT('Assumptions (Oil G&amp;T)'!$B$73,Model!AA$1,'Assumptions (Oil G&amp;T)'!$B$76,Model!$AP$3201)</f>
        <v>-0.6642190756</v>
      </c>
      <c r="AU3243" s="188">
        <f>PPMT('Assumptions (Oil G&amp;T)'!$B$73,Model!AB$1,'Assumptions (Oil G&amp;T)'!$B$76,Model!$AP$3201)</f>
        <v>-0.7140355063</v>
      </c>
      <c r="AV3243" s="188">
        <f>PPMT('Assumptions (Oil G&amp;T)'!$B$73,Model!AC$1,'Assumptions (Oil G&amp;T)'!$B$76,Model!$AP$3201)</f>
        <v>-0.7675881692</v>
      </c>
      <c r="AW3243" s="188">
        <f>PPMT('Assumptions (Oil G&amp;T)'!$B$73,Model!AD$1,'Assumptions (Oil G&amp;T)'!$B$76,Model!$AP$3201)</f>
        <v>-0.8251572819</v>
      </c>
      <c r="AX3243" s="188">
        <f>PPMT('Assumptions (Oil G&amp;T)'!$B$73,Model!AE$1,'Assumptions (Oil G&amp;T)'!$B$76,Model!$AP$3201)</f>
        <v>-0.8870440781</v>
      </c>
      <c r="AY3243" s="188">
        <f>PPMT('Assumptions (Oil G&amp;T)'!$B$73,Model!AF$1,'Assumptions (Oil G&amp;T)'!$B$76,Model!$AP$3201)</f>
        <v>-0.9535723839</v>
      </c>
      <c r="AZ3243" s="188">
        <f>PPMT('Assumptions (Oil G&amp;T)'!$B$73,Model!AG$1,'Assumptions (Oil G&amp;T)'!$B$76,Model!$AP$3201)</f>
        <v>-1.025090313</v>
      </c>
      <c r="BA3243" s="188">
        <f>PPMT('Assumptions (Oil G&amp;T)'!$B$73,Model!AH$1,'Assumptions (Oil G&amp;T)'!$B$76,Model!$AP$3201)</f>
        <v>-1.101972086</v>
      </c>
      <c r="BB3243" s="188">
        <f>PPMT('Assumptions (Oil G&amp;T)'!$B$73,Model!AI$1,'Assumptions (Oil G&amp;T)'!$B$76,Model!$AP$3201)</f>
        <v>-1.184619993</v>
      </c>
      <c r="BC3243" s="188">
        <f>PPMT('Assumptions (Oil G&amp;T)'!$B$73,Model!AJ$1,'Assumptions (Oil G&amp;T)'!$B$76,Model!$AP$3201)</f>
        <v>-1.273466492</v>
      </c>
      <c r="BD3243" s="188">
        <f>PPMT('Assumptions (Oil G&amp;T)'!$B$73,Model!AK$1,'Assumptions (Oil G&amp;T)'!$B$76,Model!$AP$3201)</f>
        <v>-1.368976479</v>
      </c>
      <c r="BE3243" s="188"/>
      <c r="BF3243" s="188"/>
      <c r="BG3243" s="188"/>
      <c r="BH3243" s="188"/>
      <c r="BI3243" s="188"/>
      <c r="BJ3243" s="188"/>
      <c r="BK3243" s="188"/>
      <c r="BL3243" s="188"/>
      <c r="BM3243" s="188"/>
      <c r="BN3243" s="188"/>
    </row>
    <row r="3244" ht="15.75" hidden="1" customHeight="1" outlineLevel="1">
      <c r="A3244" s="385"/>
      <c r="B3244" s="38"/>
      <c r="C3244" s="188"/>
      <c r="D3244" s="188"/>
      <c r="E3244" s="188"/>
      <c r="F3244" s="188"/>
      <c r="G3244" s="188"/>
      <c r="H3244" s="188"/>
      <c r="I3244" s="188"/>
      <c r="J3244" s="188"/>
      <c r="K3244" s="188"/>
      <c r="L3244" s="188"/>
      <c r="M3244" s="188"/>
      <c r="N3244" s="188"/>
      <c r="O3244" s="188"/>
      <c r="P3244" s="188"/>
      <c r="Q3244" s="188"/>
      <c r="R3244" s="188"/>
      <c r="S3244" s="78"/>
      <c r="T3244" s="78"/>
      <c r="U3244" s="78"/>
      <c r="V3244" s="78"/>
      <c r="W3244" s="139"/>
      <c r="AQ3244" s="188">
        <f>PPMT('Assumptions (Oil G&amp;T)'!$B$73,Model!W$1,'Assumptions (Oil G&amp;T)'!$B$76,Model!$AQ$3201)</f>
        <v>-0.4960511319</v>
      </c>
      <c r="AR3244" s="188">
        <f>PPMT('Assumptions (Oil G&amp;T)'!$B$73,Model!X$1,'Assumptions (Oil G&amp;T)'!$B$76,Model!$AQ$3201)</f>
        <v>-0.5332549667</v>
      </c>
      <c r="AS3244" s="188">
        <f>PPMT('Assumptions (Oil G&amp;T)'!$B$73,Model!Y$1,'Assumptions (Oil G&amp;T)'!$B$76,Model!$AQ$3201)</f>
        <v>-0.5732490892</v>
      </c>
      <c r="AT3244" s="188">
        <f>PPMT('Assumptions (Oil G&amp;T)'!$B$73,Model!Z$1,'Assumptions (Oil G&amp;T)'!$B$76,Model!$AQ$3201)</f>
        <v>-0.6162427709</v>
      </c>
      <c r="AU3244" s="188">
        <f>PPMT('Assumptions (Oil G&amp;T)'!$B$73,Model!AA$1,'Assumptions (Oil G&amp;T)'!$B$76,Model!$AQ$3201)</f>
        <v>-0.6624609788</v>
      </c>
      <c r="AV3244" s="188">
        <f>PPMT('Assumptions (Oil G&amp;T)'!$B$73,Model!AB$1,'Assumptions (Oil G&amp;T)'!$B$76,Model!$AQ$3201)</f>
        <v>-0.7121455522</v>
      </c>
      <c r="AW3244" s="188">
        <f>PPMT('Assumptions (Oil G&amp;T)'!$B$73,Model!AC$1,'Assumptions (Oil G&amp;T)'!$B$76,Model!$AQ$3201)</f>
        <v>-0.7655564686</v>
      </c>
      <c r="AX3244" s="188">
        <f>PPMT('Assumptions (Oil G&amp;T)'!$B$73,Model!AD$1,'Assumptions (Oil G&amp;T)'!$B$76,Model!$AQ$3201)</f>
        <v>-0.8229732037</v>
      </c>
      <c r="AY3244" s="188">
        <f>PPMT('Assumptions (Oil G&amp;T)'!$B$73,Model!AE$1,'Assumptions (Oil G&amp;T)'!$B$76,Model!$AQ$3201)</f>
        <v>-0.884696194</v>
      </c>
      <c r="AZ3244" s="188">
        <f>PPMT('Assumptions (Oil G&amp;T)'!$B$73,Model!AF$1,'Assumptions (Oil G&amp;T)'!$B$76,Model!$AQ$3201)</f>
        <v>-0.9510484086</v>
      </c>
      <c r="BA3244" s="188">
        <f>PPMT('Assumptions (Oil G&amp;T)'!$B$73,Model!AG$1,'Assumptions (Oil G&amp;T)'!$B$76,Model!$AQ$3201)</f>
        <v>-1.022377039</v>
      </c>
      <c r="BB3244" s="188">
        <f>PPMT('Assumptions (Oil G&amp;T)'!$B$73,Model!AH$1,'Assumptions (Oil G&amp;T)'!$B$76,Model!$AQ$3201)</f>
        <v>-1.099055317</v>
      </c>
      <c r="BC3244" s="188">
        <f>PPMT('Assumptions (Oil G&amp;T)'!$B$73,Model!AI$1,'Assumptions (Oil G&amp;T)'!$B$76,Model!$AQ$3201)</f>
        <v>-1.181484466</v>
      </c>
      <c r="BD3244" s="188">
        <f>PPMT('Assumptions (Oil G&amp;T)'!$B$73,Model!AJ$1,'Assumptions (Oil G&amp;T)'!$B$76,Model!$AQ$3201)</f>
        <v>-1.270095801</v>
      </c>
      <c r="BE3244" s="188">
        <f>PPMT('Assumptions (Oil G&amp;T)'!$B$73,Model!AK$1,'Assumptions (Oil G&amp;T)'!$B$76,Model!$AQ$3201)</f>
        <v>-1.365352986</v>
      </c>
      <c r="BF3244" s="188"/>
      <c r="BG3244" s="188"/>
      <c r="BH3244" s="188"/>
      <c r="BI3244" s="188"/>
      <c r="BJ3244" s="188"/>
      <c r="BK3244" s="188"/>
      <c r="BL3244" s="188"/>
      <c r="BM3244" s="188"/>
      <c r="BN3244" s="188"/>
      <c r="BO3244" s="188"/>
    </row>
    <row r="3245" ht="15.75" hidden="1" customHeight="1" outlineLevel="1">
      <c r="A3245" s="385"/>
      <c r="B3245" s="38"/>
      <c r="C3245" s="188"/>
      <c r="D3245" s="188"/>
      <c r="E3245" s="188"/>
      <c r="F3245" s="188"/>
      <c r="G3245" s="188"/>
      <c r="H3245" s="188"/>
      <c r="I3245" s="188"/>
      <c r="J3245" s="188"/>
      <c r="K3245" s="188"/>
      <c r="L3245" s="188"/>
      <c r="M3245" s="188"/>
      <c r="N3245" s="188"/>
      <c r="O3245" s="188"/>
      <c r="P3245" s="188"/>
      <c r="Q3245" s="188"/>
      <c r="R3245" s="188"/>
      <c r="S3245" s="78"/>
      <c r="T3245" s="78"/>
      <c r="U3245" s="78"/>
      <c r="V3245" s="78"/>
      <c r="W3245" s="139"/>
      <c r="AR3245" s="188">
        <f>PPMT('Assumptions (Oil G&amp;T)'!$B$73,Model!W$1,'Assumptions (Oil G&amp;T)'!$B$76,Model!$AR$3201)</f>
        <v>-0.4956704426</v>
      </c>
      <c r="AS3245" s="188">
        <f>PPMT('Assumptions (Oil G&amp;T)'!$B$73,Model!X$1,'Assumptions (Oil G&amp;T)'!$B$76,Model!$AR$3201)</f>
        <v>-0.5328457258</v>
      </c>
      <c r="AT3245" s="188">
        <f>PPMT('Assumptions (Oil G&amp;T)'!$B$73,Model!Y$1,'Assumptions (Oil G&amp;T)'!$B$76,Model!$AR$3201)</f>
        <v>-0.5728091552</v>
      </c>
      <c r="AU3245" s="188">
        <f>PPMT('Assumptions (Oil G&amp;T)'!$B$73,Model!Z$1,'Assumptions (Oil G&amp;T)'!$B$76,Model!$AR$3201)</f>
        <v>-0.6157698418</v>
      </c>
      <c r="AV3245" s="188">
        <f>PPMT('Assumptions (Oil G&amp;T)'!$B$73,Model!AA$1,'Assumptions (Oil G&amp;T)'!$B$76,Model!$AR$3201)</f>
        <v>-0.66195258</v>
      </c>
      <c r="AW3245" s="188">
        <f>PPMT('Assumptions (Oil G&amp;T)'!$B$73,Model!AB$1,'Assumptions (Oil G&amp;T)'!$B$76,Model!$AR$3201)</f>
        <v>-0.7115990235</v>
      </c>
      <c r="AX3245" s="188">
        <f>PPMT('Assumptions (Oil G&amp;T)'!$B$73,Model!AC$1,'Assumptions (Oil G&amp;T)'!$B$76,Model!$AR$3201)</f>
        <v>-0.7649689502</v>
      </c>
      <c r="AY3245" s="188">
        <f>PPMT('Assumptions (Oil G&amp;T)'!$B$73,Model!AD$1,'Assumptions (Oil G&amp;T)'!$B$76,Model!$AR$3201)</f>
        <v>-0.8223416215</v>
      </c>
      <c r="AZ3245" s="188">
        <f>PPMT('Assumptions (Oil G&amp;T)'!$B$73,Model!AE$1,'Assumptions (Oil G&amp;T)'!$B$76,Model!$AR$3201)</f>
        <v>-0.8840172431</v>
      </c>
      <c r="BA3245" s="188">
        <f>PPMT('Assumptions (Oil G&amp;T)'!$B$73,Model!AF$1,'Assumptions (Oil G&amp;T)'!$B$76,Model!$AR$3201)</f>
        <v>-0.9503185364</v>
      </c>
      <c r="BB3245" s="188">
        <f>PPMT('Assumptions (Oil G&amp;T)'!$B$73,Model!AG$1,'Assumptions (Oil G&amp;T)'!$B$76,Model!$AR$3201)</f>
        <v>-1.021592427</v>
      </c>
      <c r="BC3245" s="188">
        <f>PPMT('Assumptions (Oil G&amp;T)'!$B$73,Model!AH$1,'Assumptions (Oil G&amp;T)'!$B$76,Model!$AR$3201)</f>
        <v>-1.098211859</v>
      </c>
      <c r="BD3245" s="188">
        <f>PPMT('Assumptions (Oil G&amp;T)'!$B$73,Model!AI$1,'Assumptions (Oil G&amp;T)'!$B$76,Model!$AR$3201)</f>
        <v>-1.180577748</v>
      </c>
      <c r="BE3245" s="188">
        <f>PPMT('Assumptions (Oil G&amp;T)'!$B$73,Model!AJ$1,'Assumptions (Oil G&amp;T)'!$B$76,Model!$AR$3201)</f>
        <v>-1.269121079</v>
      </c>
      <c r="BF3245" s="188">
        <f>PPMT('Assumptions (Oil G&amp;T)'!$B$73,Model!AK$1,'Assumptions (Oil G&amp;T)'!$B$76,Model!$AR$3201)</f>
        <v>-1.36430516</v>
      </c>
      <c r="BG3245" s="188"/>
      <c r="BH3245" s="188"/>
      <c r="BI3245" s="188"/>
      <c r="BJ3245" s="188"/>
      <c r="BK3245" s="188"/>
      <c r="BL3245" s="188"/>
      <c r="BM3245" s="188"/>
      <c r="BN3245" s="188"/>
      <c r="BO3245" s="188"/>
      <c r="BP3245" s="188"/>
    </row>
    <row r="3246" ht="15.75" hidden="1" customHeight="1" outlineLevel="1">
      <c r="A3246" s="385"/>
      <c r="B3246" s="38"/>
      <c r="C3246" s="188"/>
      <c r="D3246" s="188"/>
      <c r="E3246" s="188"/>
      <c r="F3246" s="188"/>
      <c r="G3246" s="188"/>
      <c r="H3246" s="188"/>
      <c r="I3246" s="188"/>
      <c r="J3246" s="188"/>
      <c r="K3246" s="188"/>
      <c r="L3246" s="188"/>
      <c r="M3246" s="188"/>
      <c r="N3246" s="188"/>
      <c r="O3246" s="188"/>
      <c r="P3246" s="188"/>
      <c r="Q3246" s="188"/>
      <c r="R3246" s="188"/>
      <c r="S3246" s="78"/>
      <c r="T3246" s="78"/>
      <c r="U3246" s="78"/>
      <c r="V3246" s="78"/>
      <c r="W3246" s="139"/>
      <c r="AS3246" s="188">
        <f>PPMT('Assumptions (Oil G&amp;T)'!$B$73,Model!W$1,'Assumptions (Oil G&amp;T)'!$B$76,Model!$AS$3201)</f>
        <v>-0.4947164453</v>
      </c>
      <c r="AT3246" s="188">
        <f>PPMT('Assumptions (Oil G&amp;T)'!$B$73,Model!X$1,'Assumptions (Oil G&amp;T)'!$B$76,Model!$AS$3201)</f>
        <v>-0.5318201787</v>
      </c>
      <c r="AU3246" s="188">
        <f>PPMT('Assumptions (Oil G&amp;T)'!$B$73,Model!Y$1,'Assumptions (Oil G&amp;T)'!$B$76,Model!$AS$3201)</f>
        <v>-0.5717066921</v>
      </c>
      <c r="AV3246" s="188">
        <f>PPMT('Assumptions (Oil G&amp;T)'!$B$73,Model!Z$1,'Assumptions (Oil G&amp;T)'!$B$76,Model!$AS$3201)</f>
        <v>-0.614584694</v>
      </c>
      <c r="AW3246" s="188">
        <f>PPMT('Assumptions (Oil G&amp;T)'!$B$73,Model!AA$1,'Assumptions (Oil G&amp;T)'!$B$76,Model!$AS$3201)</f>
        <v>-0.6606785461</v>
      </c>
      <c r="AX3246" s="188">
        <f>PPMT('Assumptions (Oil G&amp;T)'!$B$73,Model!AB$1,'Assumptions (Oil G&amp;T)'!$B$76,Model!$AS$3201)</f>
        <v>-0.710229437</v>
      </c>
      <c r="AY3246" s="188">
        <f>PPMT('Assumptions (Oil G&amp;T)'!$B$73,Model!AC$1,'Assumptions (Oil G&amp;T)'!$B$76,Model!$AS$3201)</f>
        <v>-0.7634966448</v>
      </c>
      <c r="AZ3246" s="188">
        <f>PPMT('Assumptions (Oil G&amp;T)'!$B$73,Model!AD$1,'Assumptions (Oil G&amp;T)'!$B$76,Model!$AS$3201)</f>
        <v>-0.8207588932</v>
      </c>
      <c r="BA3246" s="188">
        <f>PPMT('Assumptions (Oil G&amp;T)'!$B$73,Model!AE$1,'Assumptions (Oil G&amp;T)'!$B$76,Model!$AS$3201)</f>
        <v>-0.8823158101</v>
      </c>
      <c r="BB3246" s="188">
        <f>PPMT('Assumptions (Oil G&amp;T)'!$B$73,Model!AF$1,'Assumptions (Oil G&amp;T)'!$B$76,Model!$AS$3201)</f>
        <v>-0.9484894959</v>
      </c>
      <c r="BC3246" s="188">
        <f>PPMT('Assumptions (Oil G&amp;T)'!$B$73,Model!AG$1,'Assumptions (Oil G&amp;T)'!$B$76,Model!$AS$3201)</f>
        <v>-1.019626208</v>
      </c>
      <c r="BD3246" s="188">
        <f>PPMT('Assumptions (Oil G&amp;T)'!$B$73,Model!AH$1,'Assumptions (Oil G&amp;T)'!$B$76,Model!$AS$3201)</f>
        <v>-1.096098174</v>
      </c>
      <c r="BE3246" s="188">
        <f>PPMT('Assumptions (Oil G&amp;T)'!$B$73,Model!AI$1,'Assumptions (Oil G&amp;T)'!$B$76,Model!$AS$3201)</f>
        <v>-1.178305537</v>
      </c>
      <c r="BF3246" s="188">
        <f>PPMT('Assumptions (Oil G&amp;T)'!$B$73,Model!AJ$1,'Assumptions (Oil G&amp;T)'!$B$76,Model!$AS$3201)</f>
        <v>-1.266678452</v>
      </c>
      <c r="BG3246" s="188">
        <f>PPMT('Assumptions (Oil G&amp;T)'!$B$73,Model!AK$1,'Assumptions (Oil G&amp;T)'!$B$76,Model!$AS$3201)</f>
        <v>-1.361679336</v>
      </c>
      <c r="BH3246" s="188"/>
      <c r="BI3246" s="188"/>
      <c r="BJ3246" s="188"/>
      <c r="BK3246" s="188"/>
      <c r="BL3246" s="188"/>
      <c r="BM3246" s="188"/>
      <c r="BN3246" s="188"/>
      <c r="BO3246" s="188"/>
      <c r="BP3246" s="188"/>
      <c r="BQ3246" s="188"/>
    </row>
    <row r="3247" ht="15.75" hidden="1" customHeight="1" outlineLevel="1">
      <c r="A3247" s="385"/>
      <c r="B3247" s="38"/>
      <c r="C3247" s="188"/>
      <c r="D3247" s="188"/>
      <c r="E3247" s="188"/>
      <c r="F3247" s="188"/>
      <c r="G3247" s="188"/>
      <c r="H3247" s="188"/>
      <c r="I3247" s="188"/>
      <c r="J3247" s="188"/>
      <c r="K3247" s="188"/>
      <c r="L3247" s="188"/>
      <c r="M3247" s="188"/>
      <c r="N3247" s="188"/>
      <c r="O3247" s="188"/>
      <c r="P3247" s="188"/>
      <c r="Q3247" s="188"/>
      <c r="R3247" s="188"/>
      <c r="S3247" s="78"/>
      <c r="T3247" s="78"/>
      <c r="U3247" s="78"/>
      <c r="V3247" s="78"/>
      <c r="W3247" s="139"/>
      <c r="AT3247" s="188">
        <f>PPMT('Assumptions (Oil G&amp;T)'!$B$73,Model!W$1,'Assumptions (Oil G&amp;T)'!$B$76,Model!$AT$3201)</f>
        <v>-0.4932452797</v>
      </c>
      <c r="AU3247" s="188">
        <f>PPMT('Assumptions (Oil G&amp;T)'!$B$73,Model!X$1,'Assumptions (Oil G&amp;T)'!$B$76,Model!$AT$3201)</f>
        <v>-0.5302386757</v>
      </c>
      <c r="AV3247" s="188">
        <f>PPMT('Assumptions (Oil G&amp;T)'!$B$73,Model!Y$1,'Assumptions (Oil G&amp;T)'!$B$76,Model!$AT$3201)</f>
        <v>-0.5700065764</v>
      </c>
      <c r="AW3247" s="188">
        <f>PPMT('Assumptions (Oil G&amp;T)'!$B$73,Model!Z$1,'Assumptions (Oil G&amp;T)'!$B$76,Model!$AT$3201)</f>
        <v>-0.6127570696</v>
      </c>
      <c r="AX3247" s="188">
        <f>PPMT('Assumptions (Oil G&amp;T)'!$B$73,Model!AA$1,'Assumptions (Oil G&amp;T)'!$B$76,Model!$AT$3201)</f>
        <v>-0.6587138498</v>
      </c>
      <c r="AY3247" s="188">
        <f>PPMT('Assumptions (Oil G&amp;T)'!$B$73,Model!AB$1,'Assumptions (Oil G&amp;T)'!$B$76,Model!$AT$3201)</f>
        <v>-0.7081173886</v>
      </c>
      <c r="AZ3247" s="188">
        <f>PPMT('Assumptions (Oil G&amp;T)'!$B$73,Model!AC$1,'Assumptions (Oil G&amp;T)'!$B$76,Model!$AT$3201)</f>
        <v>-0.7612261927</v>
      </c>
      <c r="BA3247" s="188">
        <f>PPMT('Assumptions (Oil G&amp;T)'!$B$73,Model!AD$1,'Assumptions (Oil G&amp;T)'!$B$76,Model!$AT$3201)</f>
        <v>-0.8183181572</v>
      </c>
      <c r="BB3247" s="188">
        <f>PPMT('Assumptions (Oil G&amp;T)'!$B$73,Model!AE$1,'Assumptions (Oil G&amp;T)'!$B$76,Model!$AT$3201)</f>
        <v>-0.879692019</v>
      </c>
      <c r="BC3247" s="188">
        <f>PPMT('Assumptions (Oil G&amp;T)'!$B$73,Model!AF$1,'Assumptions (Oil G&amp;T)'!$B$76,Model!$AT$3201)</f>
        <v>-0.9456689204</v>
      </c>
      <c r="BD3247" s="188">
        <f>PPMT('Assumptions (Oil G&amp;T)'!$B$73,Model!AG$1,'Assumptions (Oil G&amp;T)'!$B$76,Model!$AT$3201)</f>
        <v>-1.016594089</v>
      </c>
      <c r="BE3247" s="188">
        <f>PPMT('Assumptions (Oil G&amp;T)'!$B$73,Model!AH$1,'Assumptions (Oil G&amp;T)'!$B$76,Model!$AT$3201)</f>
        <v>-1.092838646</v>
      </c>
      <c r="BF3247" s="188">
        <f>PPMT('Assumptions (Oil G&amp;T)'!$B$73,Model!AI$1,'Assumptions (Oil G&amp;T)'!$B$76,Model!$AT$3201)</f>
        <v>-1.174801545</v>
      </c>
      <c r="BG3247" s="188">
        <f>PPMT('Assumptions (Oil G&amp;T)'!$B$73,Model!AJ$1,'Assumptions (Oil G&amp;T)'!$B$76,Model!$AT$3201)</f>
        <v>-1.26291166</v>
      </c>
      <c r="BH3247" s="188">
        <f>PPMT('Assumptions (Oil G&amp;T)'!$B$73,Model!AK$1,'Assumptions (Oil G&amp;T)'!$B$76,Model!$AT$3201)</f>
        <v>-1.357630035</v>
      </c>
      <c r="BI3247" s="188"/>
      <c r="BJ3247" s="188"/>
      <c r="BK3247" s="188"/>
      <c r="BL3247" s="188"/>
      <c r="BM3247" s="188"/>
      <c r="BN3247" s="188"/>
      <c r="BO3247" s="188"/>
      <c r="BP3247" s="188"/>
      <c r="BQ3247" s="188"/>
      <c r="BR3247" s="188"/>
    </row>
    <row r="3248" ht="15.75" hidden="1" customHeight="1" outlineLevel="1">
      <c r="A3248" s="385"/>
      <c r="B3248" s="38"/>
      <c r="C3248" s="188"/>
      <c r="D3248" s="188"/>
      <c r="E3248" s="188"/>
      <c r="F3248" s="188"/>
      <c r="G3248" s="188"/>
      <c r="H3248" s="188"/>
      <c r="I3248" s="188"/>
      <c r="J3248" s="188"/>
      <c r="K3248" s="188"/>
      <c r="L3248" s="188"/>
      <c r="M3248" s="188"/>
      <c r="N3248" s="188"/>
      <c r="O3248" s="188"/>
      <c r="P3248" s="188"/>
      <c r="Q3248" s="188"/>
      <c r="R3248" s="188"/>
      <c r="S3248" s="78"/>
      <c r="T3248" s="78"/>
      <c r="U3248" s="78"/>
      <c r="V3248" s="78"/>
      <c r="W3248" s="139"/>
      <c r="AU3248" s="188">
        <f>PPMT('Assumptions (Oil G&amp;T)'!$B$73,Model!W$1,'Assumptions (Oil G&amp;T)'!$B$76,Model!$AU$3201)</f>
        <v>-0.4918430987</v>
      </c>
      <c r="AV3248" s="188">
        <f>PPMT('Assumptions (Oil G&amp;T)'!$B$73,Model!X$1,'Assumptions (Oil G&amp;T)'!$B$76,Model!$AU$3201)</f>
        <v>-0.5287313311</v>
      </c>
      <c r="AW3248" s="188">
        <f>PPMT('Assumptions (Oil G&amp;T)'!$B$73,Model!Y$1,'Assumptions (Oil G&amp;T)'!$B$76,Model!$AU$3201)</f>
        <v>-0.5683861809</v>
      </c>
      <c r="AX3248" s="188">
        <f>PPMT('Assumptions (Oil G&amp;T)'!$B$73,Model!Z$1,'Assumptions (Oil G&amp;T)'!$B$76,Model!$AU$3201)</f>
        <v>-0.6110151445</v>
      </c>
      <c r="AY3248" s="188">
        <f>PPMT('Assumptions (Oil G&amp;T)'!$B$73,Model!AA$1,'Assumptions (Oil G&amp;T)'!$B$76,Model!$AU$3201)</f>
        <v>-0.6568412803</v>
      </c>
      <c r="AZ3248" s="188">
        <f>PPMT('Assumptions (Oil G&amp;T)'!$B$73,Model!AB$1,'Assumptions (Oil G&amp;T)'!$B$76,Model!$AU$3201)</f>
        <v>-0.7061043764</v>
      </c>
      <c r="BA3248" s="188">
        <f>PPMT('Assumptions (Oil G&amp;T)'!$B$73,Model!AC$1,'Assumptions (Oil G&amp;T)'!$B$76,Model!$AU$3201)</f>
        <v>-0.7590622046</v>
      </c>
      <c r="BB3248" s="188">
        <f>PPMT('Assumptions (Oil G&amp;T)'!$B$73,Model!AD$1,'Assumptions (Oil G&amp;T)'!$B$76,Model!$AU$3201)</f>
        <v>-0.8159918699</v>
      </c>
      <c r="BC3248" s="188">
        <f>PPMT('Assumptions (Oil G&amp;T)'!$B$73,Model!AE$1,'Assumptions (Oil G&amp;T)'!$B$76,Model!$AU$3201)</f>
        <v>-0.8771912602</v>
      </c>
      <c r="BD3248" s="188">
        <f>PPMT('Assumptions (Oil G&amp;T)'!$B$73,Model!AF$1,'Assumptions (Oil G&amp;T)'!$B$76,Model!$AU$3201)</f>
        <v>-0.9429806047</v>
      </c>
      <c r="BE3248" s="188">
        <f>PPMT('Assumptions (Oil G&amp;T)'!$B$73,Model!AG$1,'Assumptions (Oil G&amp;T)'!$B$76,Model!$AU$3201)</f>
        <v>-1.01370415</v>
      </c>
      <c r="BF3248" s="188">
        <f>PPMT('Assumptions (Oil G&amp;T)'!$B$73,Model!AH$1,'Assumptions (Oil G&amp;T)'!$B$76,Model!$AU$3201)</f>
        <v>-1.089731961</v>
      </c>
      <c r="BG3248" s="188">
        <f>PPMT('Assumptions (Oil G&amp;T)'!$B$73,Model!AI$1,'Assumptions (Oil G&amp;T)'!$B$76,Model!$AU$3201)</f>
        <v>-1.171461858</v>
      </c>
      <c r="BH3248" s="188">
        <f>PPMT('Assumptions (Oil G&amp;T)'!$B$73,Model!AJ$1,'Assumptions (Oil G&amp;T)'!$B$76,Model!$AU$3201)</f>
        <v>-1.259321498</v>
      </c>
      <c r="BI3248" s="188">
        <f>PPMT('Assumptions (Oil G&amp;T)'!$B$73,Model!AK$1,'Assumptions (Oil G&amp;T)'!$B$76,Model!$AU$3201)</f>
        <v>-1.35377061</v>
      </c>
      <c r="BJ3248" s="188"/>
      <c r="BK3248" s="188"/>
      <c r="BL3248" s="188"/>
      <c r="BM3248" s="188"/>
      <c r="BN3248" s="188"/>
      <c r="BO3248" s="188"/>
      <c r="BP3248" s="188"/>
      <c r="BQ3248" s="188"/>
      <c r="BR3248" s="188"/>
      <c r="BS3248" s="188"/>
    </row>
    <row r="3249" ht="15.75" hidden="1" customHeight="1" outlineLevel="1">
      <c r="A3249" s="385"/>
      <c r="B3249" s="38"/>
      <c r="C3249" s="188"/>
      <c r="D3249" s="188"/>
      <c r="E3249" s="188"/>
      <c r="F3249" s="188"/>
      <c r="G3249" s="188"/>
      <c r="H3249" s="188"/>
      <c r="I3249" s="188"/>
      <c r="J3249" s="188"/>
      <c r="K3249" s="188"/>
      <c r="L3249" s="188"/>
      <c r="M3249" s="188"/>
      <c r="N3249" s="188"/>
      <c r="O3249" s="188"/>
      <c r="P3249" s="188"/>
      <c r="Q3249" s="188"/>
      <c r="R3249" s="188"/>
      <c r="S3249" s="78"/>
      <c r="T3249" s="78"/>
      <c r="U3249" s="78"/>
      <c r="V3249" s="78"/>
      <c r="W3249" s="139"/>
      <c r="AV3249" s="188">
        <f>PPMT('Assumptions (Oil G&amp;T)'!$B$73,Model!W$1,'Assumptions (Oil G&amp;T)'!$B$76,Model!$AV$3201)</f>
        <v>-0.4892968261</v>
      </c>
      <c r="AW3249" s="188">
        <f>PPMT('Assumptions (Oil G&amp;T)'!$B$73,Model!X$1,'Assumptions (Oil G&amp;T)'!$B$76,Model!$AV$3201)</f>
        <v>-0.525994088</v>
      </c>
      <c r="AX3249" s="188">
        <f>PPMT('Assumptions (Oil G&amp;T)'!$B$73,Model!Y$1,'Assumptions (Oil G&amp;T)'!$B$76,Model!$AV$3201)</f>
        <v>-0.5654436446</v>
      </c>
      <c r="AY3249" s="188">
        <f>PPMT('Assumptions (Oil G&amp;T)'!$B$73,Model!Z$1,'Assumptions (Oil G&amp;T)'!$B$76,Model!$AV$3201)</f>
        <v>-0.607851918</v>
      </c>
      <c r="AZ3249" s="188">
        <f>PPMT('Assumptions (Oil G&amp;T)'!$B$73,Model!AA$1,'Assumptions (Oil G&amp;T)'!$B$76,Model!$AV$3201)</f>
        <v>-0.6534408118</v>
      </c>
      <c r="BA3249" s="188">
        <f>PPMT('Assumptions (Oil G&amp;T)'!$B$73,Model!AB$1,'Assumptions (Oil G&amp;T)'!$B$76,Model!$AV$3201)</f>
        <v>-0.7024488727</v>
      </c>
      <c r="BB3249" s="188">
        <f>PPMT('Assumptions (Oil G&amp;T)'!$B$73,Model!AC$1,'Assumptions (Oil G&amp;T)'!$B$76,Model!$AV$3201)</f>
        <v>-0.7551325381</v>
      </c>
      <c r="BC3249" s="188">
        <f>PPMT('Assumptions (Oil G&amp;T)'!$B$73,Model!AD$1,'Assumptions (Oil G&amp;T)'!$B$76,Model!$AV$3201)</f>
        <v>-0.8117674785</v>
      </c>
      <c r="BD3249" s="188">
        <f>PPMT('Assumptions (Oil G&amp;T)'!$B$73,Model!AE$1,'Assumptions (Oil G&amp;T)'!$B$76,Model!$AV$3201)</f>
        <v>-0.8726500394</v>
      </c>
      <c r="BE3249" s="188">
        <f>PPMT('Assumptions (Oil G&amp;T)'!$B$73,Model!AF$1,'Assumptions (Oil G&amp;T)'!$B$76,Model!$AV$3201)</f>
        <v>-0.9380987923</v>
      </c>
      <c r="BF3249" s="188">
        <f>PPMT('Assumptions (Oil G&amp;T)'!$B$73,Model!AG$1,'Assumptions (Oil G&amp;T)'!$B$76,Model!$AV$3201)</f>
        <v>-1.008456202</v>
      </c>
      <c r="BG3249" s="188">
        <f>PPMT('Assumptions (Oil G&amp;T)'!$B$73,Model!AH$1,'Assumptions (Oil G&amp;T)'!$B$76,Model!$AV$3201)</f>
        <v>-1.084090417</v>
      </c>
      <c r="BH3249" s="188">
        <f>PPMT('Assumptions (Oil G&amp;T)'!$B$73,Model!AI$1,'Assumptions (Oil G&amp;T)'!$B$76,Model!$AV$3201)</f>
        <v>-1.165397198</v>
      </c>
      <c r="BI3249" s="188">
        <f>PPMT('Assumptions (Oil G&amp;T)'!$B$73,Model!AJ$1,'Assumptions (Oil G&amp;T)'!$B$76,Model!$AV$3201)</f>
        <v>-1.252801988</v>
      </c>
      <c r="BJ3249" s="188">
        <f>PPMT('Assumptions (Oil G&amp;T)'!$B$73,Model!AK$1,'Assumptions (Oil G&amp;T)'!$B$76,Model!$AV$3201)</f>
        <v>-1.346762137</v>
      </c>
      <c r="BK3249" s="188"/>
      <c r="BL3249" s="188"/>
      <c r="BM3249" s="188"/>
      <c r="BN3249" s="188"/>
      <c r="BO3249" s="188"/>
      <c r="BP3249" s="188"/>
      <c r="BQ3249" s="188"/>
      <c r="BR3249" s="188"/>
      <c r="BS3249" s="188"/>
      <c r="BT3249" s="188"/>
    </row>
    <row r="3250" ht="15.75" hidden="1" customHeight="1" outlineLevel="1">
      <c r="A3250" s="385"/>
      <c r="B3250" s="38"/>
      <c r="C3250" s="188"/>
      <c r="D3250" s="188"/>
      <c r="E3250" s="188"/>
      <c r="F3250" s="188"/>
      <c r="G3250" s="188"/>
      <c r="H3250" s="188"/>
      <c r="I3250" s="188"/>
      <c r="J3250" s="188"/>
      <c r="K3250" s="188"/>
      <c r="L3250" s="188"/>
      <c r="M3250" s="188"/>
      <c r="N3250" s="188"/>
      <c r="O3250" s="188"/>
      <c r="P3250" s="188"/>
      <c r="Q3250" s="188"/>
      <c r="R3250" s="188"/>
      <c r="S3250" s="78"/>
      <c r="T3250" s="78"/>
      <c r="U3250" s="78"/>
      <c r="V3250" s="78"/>
      <c r="W3250" s="139"/>
      <c r="AW3250" s="188">
        <f>PPMT('Assumptions (Oil G&amp;T)'!$B$73,Model!W$1,'Assumptions (Oil G&amp;T)'!$B$76,Model!$AW$3201)</f>
        <v>-0.4872864202</v>
      </c>
      <c r="AX3250" s="188">
        <f>PPMT('Assumptions (Oil G&amp;T)'!$B$73,Model!X$1,'Assumptions (Oil G&amp;T)'!$B$76,Model!$AW$3201)</f>
        <v>-0.5238329017</v>
      </c>
      <c r="AY3250" s="188">
        <f>PPMT('Assumptions (Oil G&amp;T)'!$B$73,Model!Y$1,'Assumptions (Oil G&amp;T)'!$B$76,Model!$AW$3201)</f>
        <v>-0.5631203693</v>
      </c>
      <c r="AZ3250" s="188">
        <f>PPMT('Assumptions (Oil G&amp;T)'!$B$73,Model!Z$1,'Assumptions (Oil G&amp;T)'!$B$76,Model!$AW$3201)</f>
        <v>-0.605354397</v>
      </c>
      <c r="BA3250" s="188">
        <f>PPMT('Assumptions (Oil G&amp;T)'!$B$73,Model!AA$1,'Assumptions (Oil G&amp;T)'!$B$76,Model!$AW$3201)</f>
        <v>-0.6507559768</v>
      </c>
      <c r="BB3250" s="188">
        <f>PPMT('Assumptions (Oil G&amp;T)'!$B$73,Model!AB$1,'Assumptions (Oil G&amp;T)'!$B$76,Model!$AW$3201)</f>
        <v>-0.6995626751</v>
      </c>
      <c r="BC3250" s="188">
        <f>PPMT('Assumptions (Oil G&amp;T)'!$B$73,Model!AC$1,'Assumptions (Oil G&amp;T)'!$B$76,Model!$AW$3201)</f>
        <v>-0.7520298757</v>
      </c>
      <c r="BD3250" s="188">
        <f>PPMT('Assumptions (Oil G&amp;T)'!$B$73,Model!AD$1,'Assumptions (Oil G&amp;T)'!$B$76,Model!$AW$3201)</f>
        <v>-0.8084321164</v>
      </c>
      <c r="BE3250" s="188">
        <f>PPMT('Assumptions (Oil G&amp;T)'!$B$73,Model!AE$1,'Assumptions (Oil G&amp;T)'!$B$76,Model!$AW$3201)</f>
        <v>-0.8690645251</v>
      </c>
      <c r="BF3250" s="188">
        <f>PPMT('Assumptions (Oil G&amp;T)'!$B$73,Model!AF$1,'Assumptions (Oil G&amp;T)'!$B$76,Model!$AW$3201)</f>
        <v>-0.9342443645</v>
      </c>
      <c r="BG3250" s="188">
        <f>PPMT('Assumptions (Oil G&amp;T)'!$B$73,Model!AG$1,'Assumptions (Oil G&amp;T)'!$B$76,Model!$AW$3201)</f>
        <v>-1.004312692</v>
      </c>
      <c r="BH3250" s="188">
        <f>PPMT('Assumptions (Oil G&amp;T)'!$B$73,Model!AH$1,'Assumptions (Oil G&amp;T)'!$B$76,Model!$AW$3201)</f>
        <v>-1.079636144</v>
      </c>
      <c r="BI3250" s="188">
        <f>PPMT('Assumptions (Oil G&amp;T)'!$B$73,Model!AI$1,'Assumptions (Oil G&amp;T)'!$B$76,Model!$AW$3201)</f>
        <v>-1.160608855</v>
      </c>
      <c r="BJ3250" s="188">
        <f>PPMT('Assumptions (Oil G&amp;T)'!$B$73,Model!AJ$1,'Assumptions (Oil G&amp;T)'!$B$76,Model!$AW$3201)</f>
        <v>-1.247654519</v>
      </c>
      <c r="BK3250" s="188">
        <f>PPMT('Assumptions (Oil G&amp;T)'!$B$73,Model!AK$1,'Assumptions (Oil G&amp;T)'!$B$76,Model!$AW$3201)</f>
        <v>-1.341228607</v>
      </c>
      <c r="BL3250" s="188"/>
      <c r="BM3250" s="188"/>
      <c r="BN3250" s="188"/>
      <c r="BO3250" s="188"/>
      <c r="BP3250" s="188"/>
      <c r="BQ3250" s="188"/>
      <c r="BR3250" s="188"/>
      <c r="BS3250" s="188"/>
      <c r="BT3250" s="188"/>
      <c r="BU3250" s="188"/>
    </row>
    <row r="3251" ht="15.75" hidden="1" customHeight="1" outlineLevel="1">
      <c r="A3251" s="385"/>
      <c r="B3251" s="38"/>
      <c r="C3251" s="188"/>
      <c r="D3251" s="188"/>
      <c r="E3251" s="188"/>
      <c r="F3251" s="188"/>
      <c r="G3251" s="188"/>
      <c r="H3251" s="188"/>
      <c r="I3251" s="188"/>
      <c r="J3251" s="188"/>
      <c r="K3251" s="188"/>
      <c r="L3251" s="188"/>
      <c r="M3251" s="188"/>
      <c r="N3251" s="188"/>
      <c r="O3251" s="188"/>
      <c r="P3251" s="188"/>
      <c r="Q3251" s="188"/>
      <c r="R3251" s="188"/>
      <c r="S3251" s="78"/>
      <c r="T3251" s="78"/>
      <c r="U3251" s="78"/>
      <c r="V3251" s="78"/>
      <c r="W3251" s="139"/>
      <c r="AW3251" s="188"/>
      <c r="AX3251" s="188">
        <f>PPMT('Assumptions (Oil G&amp;T)'!$B$73,Model!W$1,'Assumptions (Oil G&amp;T)'!$B$76,Model!$AX$3201)</f>
        <v>-0.4856791538</v>
      </c>
      <c r="AY3251" s="188">
        <f>PPMT('Assumptions (Oil G&amp;T)'!$B$73,Model!X$1,'Assumptions (Oil G&amp;T)'!$B$76,Model!$AX$3201)</f>
        <v>-0.5221050904</v>
      </c>
      <c r="AZ3251" s="188">
        <f>PPMT('Assumptions (Oil G&amp;T)'!$B$73,Model!Y$1,'Assumptions (Oil G&amp;T)'!$B$76,Model!$AX$3201)</f>
        <v>-0.5612629721</v>
      </c>
      <c r="BA3251" s="188">
        <f>PPMT('Assumptions (Oil G&amp;T)'!$B$73,Model!Z$1,'Assumptions (Oil G&amp;T)'!$B$76,Model!$AX$3201)</f>
        <v>-0.603357695</v>
      </c>
      <c r="BB3251" s="188">
        <f>PPMT('Assumptions (Oil G&amp;T)'!$B$73,Model!AA$1,'Assumptions (Oil G&amp;T)'!$B$76,Model!$AX$3201)</f>
        <v>-0.6486095222</v>
      </c>
      <c r="BC3251" s="188">
        <f>PPMT('Assumptions (Oil G&amp;T)'!$B$73,Model!AB$1,'Assumptions (Oil G&amp;T)'!$B$76,Model!$AX$3201)</f>
        <v>-0.6972552363</v>
      </c>
      <c r="BD3251" s="188">
        <f>PPMT('Assumptions (Oil G&amp;T)'!$B$73,Model!AC$1,'Assumptions (Oil G&amp;T)'!$B$76,Model!$AX$3201)</f>
        <v>-0.7495493791</v>
      </c>
      <c r="BE3251" s="188">
        <f>PPMT('Assumptions (Oil G&amp;T)'!$B$73,Model!AD$1,'Assumptions (Oil G&amp;T)'!$B$76,Model!$AX$3201)</f>
        <v>-0.8057655825</v>
      </c>
      <c r="BF3251" s="188">
        <f>PPMT('Assumptions (Oil G&amp;T)'!$B$73,Model!AE$1,'Assumptions (Oil G&amp;T)'!$B$76,Model!$AX$3201)</f>
        <v>-0.8661980012</v>
      </c>
      <c r="BG3251" s="188">
        <f>PPMT('Assumptions (Oil G&amp;T)'!$B$73,Model!AF$1,'Assumptions (Oil G&amp;T)'!$B$76,Model!$AX$3201)</f>
        <v>-0.9311628513</v>
      </c>
      <c r="BH3251" s="188">
        <f>PPMT('Assumptions (Oil G&amp;T)'!$B$73,Model!AG$1,'Assumptions (Oil G&amp;T)'!$B$76,Model!$AX$3201)</f>
        <v>-1.001000065</v>
      </c>
      <c r="BI3251" s="188">
        <f>PPMT('Assumptions (Oil G&amp;T)'!$B$73,Model!AH$1,'Assumptions (Oil G&amp;T)'!$B$76,Model!$AX$3201)</f>
        <v>-1.07607507</v>
      </c>
      <c r="BJ3251" s="188">
        <f>PPMT('Assumptions (Oil G&amp;T)'!$B$73,Model!AI$1,'Assumptions (Oil G&amp;T)'!$B$76,Model!$AX$3201)</f>
        <v>-1.1567807</v>
      </c>
      <c r="BK3251" s="188">
        <f>PPMT('Assumptions (Oil G&amp;T)'!$B$73,Model!AJ$1,'Assumptions (Oil G&amp;T)'!$B$76,Model!$AX$3201)</f>
        <v>-1.243539253</v>
      </c>
      <c r="BL3251" s="188">
        <f>PPMT('Assumptions (Oil G&amp;T)'!$B$73,Model!AK$1,'Assumptions (Oil G&amp;T)'!$B$76,Model!$AX$3201)</f>
        <v>-1.336804697</v>
      </c>
      <c r="BM3251" s="188"/>
      <c r="BN3251" s="188"/>
      <c r="BO3251" s="188"/>
      <c r="BP3251" s="188"/>
      <c r="BQ3251" s="188"/>
      <c r="BR3251" s="188"/>
      <c r="BS3251" s="188"/>
      <c r="BT3251" s="188"/>
      <c r="BU3251" s="188"/>
      <c r="BV3251" s="188"/>
    </row>
    <row r="3252" ht="15.75" hidden="1" customHeight="1" outlineLevel="1">
      <c r="A3252" s="385"/>
      <c r="B3252" s="38"/>
      <c r="C3252" s="188"/>
      <c r="D3252" s="188"/>
      <c r="E3252" s="188"/>
      <c r="F3252" s="188"/>
      <c r="G3252" s="188"/>
      <c r="H3252" s="188"/>
      <c r="I3252" s="188"/>
      <c r="J3252" s="188"/>
      <c r="K3252" s="188"/>
      <c r="L3252" s="188"/>
      <c r="M3252" s="188"/>
      <c r="N3252" s="188"/>
      <c r="O3252" s="188"/>
      <c r="P3252" s="188"/>
      <c r="Q3252" s="188"/>
      <c r="R3252" s="188"/>
      <c r="S3252" s="78"/>
      <c r="T3252" s="78"/>
      <c r="U3252" s="78"/>
      <c r="V3252" s="78"/>
      <c r="W3252" s="139"/>
      <c r="AW3252" s="188"/>
      <c r="AX3252" s="188"/>
      <c r="AY3252" s="188">
        <f>PPMT('Assumptions (Oil G&amp;T)'!$B$73,Model!W$1,'Assumptions (Oil G&amp;T)'!$B$76,Model!$AY$3201)</f>
        <v>-0.484067978</v>
      </c>
      <c r="AZ3252" s="188">
        <f>PPMT('Assumptions (Oil G&amp;T)'!$B$73,Model!X$1,'Assumptions (Oil G&amp;T)'!$B$76,Model!$AY$3201)</f>
        <v>-0.5203730764</v>
      </c>
      <c r="BA3252" s="188">
        <f>PPMT('Assumptions (Oil G&amp;T)'!$B$73,Model!Y$1,'Assumptions (Oil G&amp;T)'!$B$76,Model!$AY$3201)</f>
        <v>-0.5594010571</v>
      </c>
      <c r="BB3252" s="188">
        <f>PPMT('Assumptions (Oil G&amp;T)'!$B$73,Model!Z$1,'Assumptions (Oil G&amp;T)'!$B$76,Model!$AY$3201)</f>
        <v>-0.6013561364</v>
      </c>
      <c r="BC3252" s="188">
        <f>PPMT('Assumptions (Oil G&amp;T)'!$B$73,Model!AA$1,'Assumptions (Oil G&amp;T)'!$B$76,Model!$AY$3201)</f>
        <v>-0.6464578466</v>
      </c>
      <c r="BD3252" s="188">
        <f>PPMT('Assumptions (Oil G&amp;T)'!$B$73,Model!AB$1,'Assumptions (Oil G&amp;T)'!$B$76,Model!$AY$3201)</f>
        <v>-0.6949421851</v>
      </c>
      <c r="BE3252" s="188">
        <f>PPMT('Assumptions (Oil G&amp;T)'!$B$73,Model!AC$1,'Assumptions (Oil G&amp;T)'!$B$76,Model!$AY$3201)</f>
        <v>-0.747062849</v>
      </c>
      <c r="BF3252" s="188">
        <f>PPMT('Assumptions (Oil G&amp;T)'!$B$73,Model!AD$1,'Assumptions (Oil G&amp;T)'!$B$76,Model!$AY$3201)</f>
        <v>-0.8030925627</v>
      </c>
      <c r="BG3252" s="188">
        <f>PPMT('Assumptions (Oil G&amp;T)'!$B$73,Model!AE$1,'Assumptions (Oil G&amp;T)'!$B$76,Model!$AY$3201)</f>
        <v>-0.8633245049</v>
      </c>
      <c r="BH3252" s="188">
        <f>PPMT('Assumptions (Oil G&amp;T)'!$B$73,Model!AF$1,'Assumptions (Oil G&amp;T)'!$B$76,Model!$AY$3201)</f>
        <v>-0.9280738427</v>
      </c>
      <c r="BI3252" s="188">
        <f>PPMT('Assumptions (Oil G&amp;T)'!$B$73,Model!AG$1,'Assumptions (Oil G&amp;T)'!$B$76,Model!$AY$3201)</f>
        <v>-0.9976793809</v>
      </c>
      <c r="BJ3252" s="188">
        <f>PPMT('Assumptions (Oil G&amp;T)'!$B$73,Model!AH$1,'Assumptions (Oil G&amp;T)'!$B$76,Model!$AY$3201)</f>
        <v>-1.072505335</v>
      </c>
      <c r="BK3252" s="188">
        <f>PPMT('Assumptions (Oil G&amp;T)'!$B$73,Model!AI$1,'Assumptions (Oil G&amp;T)'!$B$76,Model!$AY$3201)</f>
        <v>-1.152943235</v>
      </c>
      <c r="BL3252" s="188">
        <f>PPMT('Assumptions (Oil G&amp;T)'!$B$73,Model!AJ$1,'Assumptions (Oil G&amp;T)'!$B$76,Model!$AY$3201)</f>
        <v>-1.239413977</v>
      </c>
      <c r="BM3252" s="188">
        <f>PPMT('Assumptions (Oil G&amp;T)'!$B$73,Model!AK$1,'Assumptions (Oil G&amp;T)'!$B$76,Model!$AY$3201)</f>
        <v>-1.332370025</v>
      </c>
      <c r="BN3252" s="188"/>
      <c r="BO3252" s="188"/>
      <c r="BP3252" s="188"/>
      <c r="BQ3252" s="188"/>
      <c r="BR3252" s="188"/>
      <c r="BS3252" s="188"/>
      <c r="BT3252" s="188"/>
      <c r="BU3252" s="188"/>
      <c r="BV3252" s="188"/>
      <c r="BW3252" s="188"/>
    </row>
    <row r="3253" ht="15.75" hidden="1" customHeight="1" outlineLevel="1">
      <c r="A3253" s="385"/>
      <c r="B3253" s="38"/>
      <c r="C3253" s="188"/>
      <c r="D3253" s="188"/>
      <c r="E3253" s="188"/>
      <c r="F3253" s="188"/>
      <c r="G3253" s="188"/>
      <c r="H3253" s="188"/>
      <c r="I3253" s="188"/>
      <c r="J3253" s="188"/>
      <c r="K3253" s="188"/>
      <c r="L3253" s="188"/>
      <c r="M3253" s="188"/>
      <c r="N3253" s="188"/>
      <c r="O3253" s="188"/>
      <c r="P3253" s="188"/>
      <c r="Q3253" s="188"/>
      <c r="R3253" s="188"/>
      <c r="S3253" s="78"/>
      <c r="T3253" s="78"/>
      <c r="U3253" s="78"/>
      <c r="V3253" s="78"/>
      <c r="W3253" s="139"/>
      <c r="AW3253" s="188"/>
      <c r="AX3253" s="188"/>
      <c r="AY3253" s="188"/>
      <c r="AZ3253" s="188">
        <f>PPMT('Assumptions (Oil G&amp;T)'!$B$73,Model!W$1,'Assumptions (Oil G&amp;T)'!$B$76,Model!$AZ$3201)</f>
        <v>-0.4810792438</v>
      </c>
      <c r="BA3253" s="188">
        <f>PPMT('Assumptions (Oil G&amp;T)'!$B$73,Model!X$1,'Assumptions (Oil G&amp;T)'!$B$76,Model!$AZ$3201)</f>
        <v>-0.5171601871</v>
      </c>
      <c r="BB3253" s="188">
        <f>PPMT('Assumptions (Oil G&amp;T)'!$B$73,Model!Y$1,'Assumptions (Oil G&amp;T)'!$B$76,Model!$AZ$3201)</f>
        <v>-0.5559472012</v>
      </c>
      <c r="BC3253" s="188">
        <f>PPMT('Assumptions (Oil G&amp;T)'!$B$73,Model!Z$1,'Assumptions (Oil G&amp;T)'!$B$76,Model!$AZ$3201)</f>
        <v>-0.5976432413</v>
      </c>
      <c r="BD3253" s="188">
        <f>PPMT('Assumptions (Oil G&amp;T)'!$B$73,Model!AA$1,'Assumptions (Oil G&amp;T)'!$B$76,Model!$AZ$3201)</f>
        <v>-0.6424664843</v>
      </c>
      <c r="BE3253" s="188">
        <f>PPMT('Assumptions (Oil G&amp;T)'!$B$73,Model!AB$1,'Assumptions (Oil G&amp;T)'!$B$76,Model!$AZ$3201)</f>
        <v>-0.6906514707</v>
      </c>
      <c r="BF3253" s="188">
        <f>PPMT('Assumptions (Oil G&amp;T)'!$B$73,Model!AC$1,'Assumptions (Oil G&amp;T)'!$B$76,Model!$AZ$3201)</f>
        <v>-0.742450331</v>
      </c>
      <c r="BG3253" s="188">
        <f>PPMT('Assumptions (Oil G&amp;T)'!$B$73,Model!AD$1,'Assumptions (Oil G&amp;T)'!$B$76,Model!$AZ$3201)</f>
        <v>-0.7981341058</v>
      </c>
      <c r="BH3253" s="188">
        <f>PPMT('Assumptions (Oil G&amp;T)'!$B$73,Model!AE$1,'Assumptions (Oil G&amp;T)'!$B$76,Model!$AZ$3201)</f>
        <v>-0.8579941637</v>
      </c>
      <c r="BI3253" s="188">
        <f>PPMT('Assumptions (Oil G&amp;T)'!$B$73,Model!AF$1,'Assumptions (Oil G&amp;T)'!$B$76,Model!$AZ$3201)</f>
        <v>-0.922343726</v>
      </c>
      <c r="BJ3253" s="188">
        <f>PPMT('Assumptions (Oil G&amp;T)'!$B$73,Model!AG$1,'Assumptions (Oil G&amp;T)'!$B$76,Model!$AZ$3201)</f>
        <v>-0.9915195055</v>
      </c>
      <c r="BK3253" s="188">
        <f>PPMT('Assumptions (Oil G&amp;T)'!$B$73,Model!AH$1,'Assumptions (Oil G&amp;T)'!$B$76,Model!$AZ$3201)</f>
        <v>-1.065883468</v>
      </c>
      <c r="BL3253" s="188">
        <f>PPMT('Assumptions (Oil G&amp;T)'!$B$73,Model!AI$1,'Assumptions (Oil G&amp;T)'!$B$76,Model!$AZ$3201)</f>
        <v>-1.145824728</v>
      </c>
      <c r="BM3253" s="188">
        <f>PPMT('Assumptions (Oil G&amp;T)'!$B$73,Model!AJ$1,'Assumptions (Oil G&amp;T)'!$B$76,Model!$AZ$3201)</f>
        <v>-1.231761583</v>
      </c>
      <c r="BN3253" s="188">
        <f>PPMT('Assumptions (Oil G&amp;T)'!$B$73,Model!AK$1,'Assumptions (Oil G&amp;T)'!$B$76,Model!$AZ$3201)</f>
        <v>-1.324143702</v>
      </c>
      <c r="BO3253" s="188"/>
      <c r="BP3253" s="188"/>
      <c r="BQ3253" s="188"/>
      <c r="BR3253" s="188"/>
      <c r="BS3253" s="188"/>
      <c r="BT3253" s="188"/>
      <c r="BU3253" s="188"/>
      <c r="BV3253" s="188"/>
      <c r="BW3253" s="188"/>
      <c r="BX3253" s="188"/>
    </row>
    <row r="3254" ht="15.75" hidden="1" customHeight="1" outlineLevel="1">
      <c r="A3254" s="385"/>
      <c r="B3254" s="38"/>
      <c r="C3254" s="188"/>
      <c r="D3254" s="188"/>
      <c r="E3254" s="188"/>
      <c r="F3254" s="188"/>
      <c r="G3254" s="188"/>
      <c r="H3254" s="188"/>
      <c r="I3254" s="188"/>
      <c r="J3254" s="188"/>
      <c r="K3254" s="188"/>
      <c r="L3254" s="188"/>
      <c r="M3254" s="188"/>
      <c r="N3254" s="188"/>
      <c r="O3254" s="188"/>
      <c r="P3254" s="188"/>
      <c r="Q3254" s="188"/>
      <c r="R3254" s="188"/>
      <c r="S3254" s="78"/>
      <c r="T3254" s="78"/>
      <c r="U3254" s="78"/>
      <c r="V3254" s="78"/>
      <c r="W3254" s="139"/>
      <c r="BA3254" s="188">
        <f>PPMT('Assumptions (Oil G&amp;T)'!$B$73,Model!W$1,'Assumptions (Oil G&amp;T)'!$B$76,Model!$BA$3201)</f>
        <v>-0.4793304761</v>
      </c>
      <c r="BB3254" s="188">
        <f>PPMT('Assumptions (Oil G&amp;T)'!$B$73,Model!X$1,'Assumptions (Oil G&amp;T)'!$B$76,Model!$BA$3201)</f>
        <v>-0.5152802618</v>
      </c>
      <c r="BC3254" s="188">
        <f>PPMT('Assumptions (Oil G&amp;T)'!$B$73,Model!Y$1,'Assumptions (Oil G&amp;T)'!$B$76,Model!$BA$3201)</f>
        <v>-0.5539262815</v>
      </c>
      <c r="BD3254" s="188">
        <f>PPMT('Assumptions (Oil G&amp;T)'!$B$73,Model!Z$1,'Assumptions (Oil G&amp;T)'!$B$76,Model!$BA$3201)</f>
        <v>-0.5954707526</v>
      </c>
      <c r="BE3254" s="188">
        <f>PPMT('Assumptions (Oil G&amp;T)'!$B$73,Model!AA$1,'Assumptions (Oil G&amp;T)'!$B$76,Model!$BA$3201)</f>
        <v>-0.640131059</v>
      </c>
      <c r="BF3254" s="188">
        <f>PPMT('Assumptions (Oil G&amp;T)'!$B$73,Model!AB$1,'Assumptions (Oil G&amp;T)'!$B$76,Model!$BA$3201)</f>
        <v>-0.6881408884</v>
      </c>
      <c r="BG3254" s="188">
        <f>PPMT('Assumptions (Oil G&amp;T)'!$B$73,Model!AC$1,'Assumptions (Oil G&amp;T)'!$B$76,Model!$BA$3201)</f>
        <v>-0.7397514551</v>
      </c>
      <c r="BH3254" s="188">
        <f>PPMT('Assumptions (Oil G&amp;T)'!$B$73,Model!AD$1,'Assumptions (Oil G&amp;T)'!$B$76,Model!$BA$3201)</f>
        <v>-0.7952328142</v>
      </c>
      <c r="BI3254" s="188">
        <f>PPMT('Assumptions (Oil G&amp;T)'!$B$73,Model!AE$1,'Assumptions (Oil G&amp;T)'!$B$76,Model!$BA$3201)</f>
        <v>-0.8548752753</v>
      </c>
      <c r="BJ3254" s="188">
        <f>PPMT('Assumptions (Oil G&amp;T)'!$B$73,Model!AF$1,'Assumptions (Oil G&amp;T)'!$B$76,Model!$BA$3201)</f>
        <v>-0.9189909209</v>
      </c>
      <c r="BK3254" s="188">
        <f>PPMT('Assumptions (Oil G&amp;T)'!$B$73,Model!AG$1,'Assumptions (Oil G&amp;T)'!$B$76,Model!$BA$3201)</f>
        <v>-0.98791524</v>
      </c>
      <c r="BL3254" s="188">
        <f>PPMT('Assumptions (Oil G&amp;T)'!$B$73,Model!AH$1,'Assumptions (Oil G&amp;T)'!$B$76,Model!$BA$3201)</f>
        <v>-1.062008883</v>
      </c>
      <c r="BM3254" s="188">
        <f>PPMT('Assumptions (Oil G&amp;T)'!$B$73,Model!AI$1,'Assumptions (Oil G&amp;T)'!$B$76,Model!$BA$3201)</f>
        <v>-1.141659549</v>
      </c>
      <c r="BN3254" s="188">
        <f>PPMT('Assumptions (Oil G&amp;T)'!$B$73,Model!AJ$1,'Assumptions (Oil G&amp;T)'!$B$76,Model!$BA$3201)</f>
        <v>-1.227284015</v>
      </c>
      <c r="BO3254" s="188">
        <f>PPMT('Assumptions (Oil G&amp;T)'!$B$73,Model!AK$1,'Assumptions (Oil G&amp;T)'!$B$76,Model!$BA$3201)</f>
        <v>-1.319330317</v>
      </c>
      <c r="BP3254" s="188"/>
      <c r="BQ3254" s="188"/>
      <c r="BR3254" s="188"/>
      <c r="BS3254" s="188"/>
      <c r="BT3254" s="188"/>
      <c r="BU3254" s="188"/>
      <c r="BV3254" s="188"/>
      <c r="BW3254" s="188"/>
      <c r="BX3254" s="188"/>
      <c r="BY3254" s="188"/>
    </row>
    <row r="3255" ht="15.75" customHeight="1" collapsed="1">
      <c r="A3255" s="385" t="s">
        <v>360</v>
      </c>
      <c r="B3255" s="159" t="s">
        <v>351</v>
      </c>
      <c r="C3255" s="177">
        <f t="array" ref="C3255">SUM(IF(ISERROR(C3256:C3306),"",C3256:C3306))</f>
        <v>-0.08770848036</v>
      </c>
      <c r="D3255" s="177">
        <f t="array" ref="D3255">SUM(IF(ISERROR(D3256:D3306),"",D3256:D3306))</f>
        <v>-0.176696298</v>
      </c>
      <c r="E3255" s="177">
        <f t="array" ref="E3255">SUM(IF(ISERROR(E3256:E3306),"",E3256:E3306))</f>
        <v>-0.2634425458</v>
      </c>
      <c r="F3255" s="177">
        <f t="array" ref="F3255">SUM(IF(ISERROR(F3256:F3306),"",F3256:F3306))</f>
        <v>-0.3471883821</v>
      </c>
      <c r="G3255" s="177">
        <f t="array" ref="G3255">SUM(IF(ISERROR(G3256:G3306),"",G3256:G3306))</f>
        <v>-0.4888495823</v>
      </c>
      <c r="H3255" s="177">
        <f t="array" ref="H3255">SUM(IF(ISERROR(H3256:H3306),"",H3256:H3306))</f>
        <v>-0.6100302373</v>
      </c>
      <c r="I3255" s="177">
        <f t="array" ref="I3255">SUM(IF(ISERROR(I3256:I3306),"",I3256:I3306))</f>
        <v>-0.7081844058</v>
      </c>
      <c r="J3255" s="177">
        <f t="array" ref="J3255">SUM(IF(ISERROR(J3256:J3306),"",J3256:J3306))</f>
        <v>-0.9137606665</v>
      </c>
      <c r="K3255" s="177">
        <f t="array" ref="K3255">SUM(IF(ISERROR(K3256:K3306),"",K3256:K3306))</f>
        <v>-1.123768136</v>
      </c>
      <c r="L3255" s="177">
        <f t="array" ref="L3255">SUM(IF(ISERROR(L3256:L3306),"",L3256:L3306))</f>
        <v>-1.270402325</v>
      </c>
      <c r="M3255" s="177">
        <f t="array" ref="M3255">SUM(IF(ISERROR(M3256:M3306),"",M3256:M3306))</f>
        <v>-1.575761645</v>
      </c>
      <c r="N3255" s="177">
        <f t="array" ref="N3255">SUM(IF(ISERROR(N3256:N3306),"",N3256:N3306))</f>
        <v>-1.685443896</v>
      </c>
      <c r="O3255" s="177">
        <f t="array" ref="O3255">SUM(IF(ISERROR(O3256:O3306),"",O3256:O3306))</f>
        <v>-1.938278064</v>
      </c>
      <c r="P3255" s="177">
        <f t="array" ref="P3255">SUM(IF(ISERROR(P3256:P3306),"",P3256:P3306))</f>
        <v>-2.59746279</v>
      </c>
      <c r="Q3255" s="177">
        <f t="array" ref="Q3255">SUM(IF(ISERROR(Q3256:Q3306),"",Q3256:Q3306))</f>
        <v>-3.515320734</v>
      </c>
      <c r="R3255" s="177">
        <f t="array" ref="R3255">SUM(IF(ISERROR(R3256:R3306),"",R3256:R3306))</f>
        <v>-4.114290621</v>
      </c>
      <c r="S3255" s="177">
        <f t="array" ref="S3255">SUM(IF(ISERROR(S3256:S3306),"",S3256:S3306))</f>
        <v>-4.361837171</v>
      </c>
      <c r="T3255" s="177">
        <f t="array" ref="T3255">SUM(IF(ISERROR(T3256:T3306),"",T3256:T3306))</f>
        <v>-4.862359565</v>
      </c>
      <c r="U3255" s="177">
        <f t="array" ref="U3255">SUM(IF(ISERROR(U3256:U3306),"",U3256:U3306))</f>
        <v>-5.392166408</v>
      </c>
      <c r="V3255" s="177">
        <f t="array" ref="V3255">SUM(IF(ISERROR(V3256:V3306),"",V3256:V3306))</f>
        <v>-5.918665892</v>
      </c>
      <c r="W3255" s="177">
        <f t="array" ref="W3255">SUM(IF(ISERROR(W3256:W3306),"",W3256:W3306))</f>
        <v>-6.429495215</v>
      </c>
      <c r="X3255" s="177">
        <f t="array" ref="X3255">SUM(IF(ISERROR(X3256:X3306),"",X3256:X3306))</f>
        <v>-6.90240611</v>
      </c>
      <c r="Y3255" s="177">
        <f t="array" ref="Y3255">SUM(IF(ISERROR(Y3256:Y3306),"",Y3256:Y3306))</f>
        <v>-7.31959757</v>
      </c>
      <c r="Z3255" s="177">
        <f t="array" ref="Z3255">SUM(IF(ISERROR(Z3256:Z3306),"",Z3256:Z3306))</f>
        <v>-7.686551079</v>
      </c>
      <c r="AA3255" s="177">
        <f t="array" ref="AA3255">SUM(IF(ISERROR(AA3256:AA3306),"",AA3256:AA3306))</f>
        <v>-8.008328783</v>
      </c>
      <c r="AB3255" s="177">
        <f t="array" ref="AB3255">SUM(IF(ISERROR(AB3256:AB3306),"",AB3256:AB3306))</f>
        <v>-8.271520889</v>
      </c>
      <c r="AC3255" s="177">
        <f t="array" ref="AC3255">SUM(IF(ISERROR(AC3256:AC3306),"",AC3256:AC3306))</f>
        <v>-8.494191806</v>
      </c>
      <c r="AD3255" s="177">
        <f t="array" ref="AD3255">SUM(IF(ISERROR(AD3256:AD3306),"",AD3256:AD3306))</f>
        <v>-8.653842512</v>
      </c>
      <c r="AE3255" s="177">
        <f t="array" ref="AE3255">SUM(IF(ISERROR(AE3256:AE3306),"",AE3256:AE3306))</f>
        <v>-8.756151199</v>
      </c>
      <c r="AF3255" s="177">
        <f t="array" ref="AF3255">SUM(IF(ISERROR(AF3256:AF3306),"",AF3256:AF3306))</f>
        <v>-8.847389794</v>
      </c>
      <c r="AG3255" s="177">
        <f t="array" ref="AG3255">SUM(IF(ISERROR(AG3256:AG3306),"",AG3256:AG3306))</f>
        <v>-8.959366359</v>
      </c>
      <c r="AH3255" s="177">
        <f t="array" ref="AH3255">SUM(IF(ISERROR(AH3256:AH3306),"",AH3256:AH3306))</f>
        <v>-9.062804433</v>
      </c>
      <c r="AI3255" s="177">
        <f t="array" ref="AI3255">SUM(IF(ISERROR(AI3256:AI3306),"",AI3256:AI3306))</f>
        <v>-9.118637136</v>
      </c>
      <c r="AJ3255" s="177">
        <f t="array" ref="AJ3255">SUM(IF(ISERROR(AJ3256:AJ3306),"",AJ3256:AJ3306))</f>
        <v>-9.154541284</v>
      </c>
      <c r="AK3255" s="177">
        <f t="array" ref="AK3255">SUM(IF(ISERROR(AK3256:AK3306),"",AK3256:AK3306))</f>
        <v>-9.17845213</v>
      </c>
      <c r="AL3255" s="177">
        <f t="array" ref="AL3255">SUM(IF(ISERROR(AL3256:AL3306),"",AL3256:AL3306))</f>
        <v>-9.192688489</v>
      </c>
      <c r="AM3255" s="177">
        <f t="array" ref="AM3255">SUM(IF(ISERROR(AM3256:AM3306),"",AM3256:AM3306))</f>
        <v>-9.199402836</v>
      </c>
      <c r="AN3255" s="177">
        <f t="array" ref="AN3255">SUM(IF(ISERROR(AN3256:AN3306),"",AN3256:AN3306))</f>
        <v>-9.199484408</v>
      </c>
      <c r="AO3255" s="177">
        <f t="array" ref="AO3255">SUM(IF(ISERROR(AO3256:AO3306),"",AO3256:AO3306))</f>
        <v>-9.194750898</v>
      </c>
      <c r="AP3255" s="177">
        <f t="array" ref="AP3255">SUM(IF(ISERROR(AP3256:AP3306),"",AP3256:AP3306))</f>
        <v>-9.185469008</v>
      </c>
      <c r="AQ3255" s="177">
        <f t="array" ref="AQ3255">SUM(IF(ISERROR(AQ3256:AQ3306),"",AQ3256:AQ3306))</f>
        <v>-9.172225554</v>
      </c>
      <c r="AR3255" s="177">
        <f t="array" ref="AR3255">SUM(IF(ISERROR(AR3256:AR3306),"",AR3256:AR3306))</f>
        <v>-9.157211447</v>
      </c>
      <c r="AS3255" s="177">
        <f t="array" ref="AS3255">SUM(IF(ISERROR(AS3256:AS3306),"",AS3256:AS3306))</f>
        <v>-9.140002546</v>
      </c>
      <c r="AT3255" s="177">
        <f t="array" ref="AT3255">SUM(IF(ISERROR(AT3256:AT3306),"",AT3256:AT3306))</f>
        <v>-9.120511085</v>
      </c>
      <c r="AU3255" s="177">
        <f t="array" ref="AU3255">SUM(IF(ISERROR(AU3256:AU3306),"",AU3256:AU3306))</f>
        <v>-9.099152904</v>
      </c>
      <c r="AV3255" s="177">
        <f t="array" ref="AV3255">SUM(IF(ISERROR(AV3256:AV3306),"",AV3256:AV3306))</f>
        <v>-9.074225728</v>
      </c>
      <c r="AW3255" s="177">
        <f t="array" ref="AW3255">SUM(IF(ISERROR(AW3256:AW3306),"",AW3256:AW3306))</f>
        <v>-9.047345536</v>
      </c>
      <c r="AX3255" s="177">
        <f t="array" ref="AX3255">SUM(IF(ISERROR(AX3256:AX3306),"",AX3256:AX3306))</f>
        <v>-9.01979686</v>
      </c>
      <c r="AY3255" s="177">
        <f t="array" ref="AY3255">SUM(IF(ISERROR(AY3256:AY3306),"",AY3256:AY3306))</f>
        <v>-8.991753311</v>
      </c>
      <c r="AZ3255" s="177">
        <f t="array" ref="AZ3255">SUM(IF(ISERROR(AZ3256:AZ3306),"",AZ3256:AZ3306))</f>
        <v>-8.96061396</v>
      </c>
      <c r="BA3255" s="177">
        <f t="array" ref="BA3255">SUM(IF(ISERROR(BA3256:BA3306),"",BA3256:BA3306))</f>
        <v>-8.929141746</v>
      </c>
      <c r="BB3255" s="177">
        <f t="array" ref="BB3255">SUM(IF(ISERROR(BB3256:BB3306),"",BB3256:BB3306))</f>
        <v>-7.961859319</v>
      </c>
      <c r="BC3255" s="177">
        <f t="array" ref="BC3255">SUM(IF(ISERROR(BC3256:BC3306),"",BC3256:BC3306))</f>
        <v>-7.033483545</v>
      </c>
      <c r="BD3255" s="177">
        <f t="array" ref="BD3255">SUM(IF(ISERROR(BD3256:BD3306),"",BD3256:BD3306))</f>
        <v>-6.146446795</v>
      </c>
      <c r="BE3255" s="177">
        <f t="array" ref="BE3255">SUM(IF(ISERROR(BE3256:BE3306),"",BE3256:BE3306))</f>
        <v>-5.303534257</v>
      </c>
      <c r="BF3255" s="177">
        <f t="array" ref="BF3255">SUM(IF(ISERROR(BF3256:BF3306),"",BF3256:BF3306))</f>
        <v>-4.507777006</v>
      </c>
      <c r="BG3255" s="177">
        <f t="array" ref="BG3255">SUM(IF(ISERROR(BG3256:BG3306),"",BG3256:BG3306))</f>
        <v>-3.762419546</v>
      </c>
      <c r="BH3255" s="177">
        <f t="array" ref="BH3255">SUM(IF(ISERROR(BH3256:BH3306),"",BH3256:BH3306))</f>
        <v>-3.07115738</v>
      </c>
      <c r="BI3255" s="177">
        <f t="array" ref="BI3255">SUM(IF(ISERROR(BI3256:BI3306),"",BI3256:BI3306))</f>
        <v>-2.437835948</v>
      </c>
      <c r="BJ3255" s="177">
        <f t="array" ref="BJ3255">SUM(IF(ISERROR(BJ3256:BJ3306),"",BJ3256:BJ3306))</f>
        <v>-1.86647433</v>
      </c>
      <c r="BK3255" s="177">
        <f t="array" ref="BK3255">SUM(IF(ISERROR(BK3256:BK3306),"",BK3256:BK3306))</f>
        <v>-1.361408346</v>
      </c>
      <c r="BL3255" s="177">
        <f t="array" ref="BL3255">SUM(IF(ISERROR(BL3256:BL3306),"",BL3256:BL3306))</f>
        <v>-0.9270451108</v>
      </c>
      <c r="BM3255" s="177">
        <f t="array" ref="BM3255">SUM(IF(ISERROR(BM3256:BM3306),"",BM3256:BM3306))</f>
        <v>-0.5682411894</v>
      </c>
      <c r="BN3255" s="177">
        <f t="array" ref="BN3255">SUM(IF(ISERROR(BN3256:BN3306),"",BN3256:BN3306))</f>
        <v>-0.2903068525</v>
      </c>
      <c r="BO3255" s="177">
        <f t="array" ref="BO3255">SUM(IF(ISERROR(BO3256:BO3306),"",BO3256:BO3306))</f>
        <v>-0.09894977374</v>
      </c>
      <c r="BP3255" s="177">
        <f t="array" ref="BP3255">SUM(IF(ISERROR(BP3256:BP3306),"",BP3256:BP3306))</f>
        <v>0</v>
      </c>
      <c r="BQ3255" s="177">
        <f t="array" ref="BQ3255">SUM(IF(ISERROR(BQ3256:BQ3306),"",BQ3256:BQ3306))</f>
        <v>0</v>
      </c>
      <c r="BR3255" s="177">
        <f t="array" ref="BR3255">SUM(IF(ISERROR(BR3256:BR3306),"",BR3256:BR3306))</f>
        <v>0</v>
      </c>
      <c r="BS3255" s="177">
        <f t="array" ref="BS3255">SUM(IF(ISERROR(BS3256:BS3306),"",BS3256:BS3306))</f>
        <v>0</v>
      </c>
      <c r="BT3255" s="177">
        <f t="array" ref="BT3255">SUM(IF(ISERROR(BT3256:BT3306),"",BT3256:BT3306))</f>
        <v>0</v>
      </c>
      <c r="BU3255" s="177">
        <f t="array" ref="BU3255">SUM(IF(ISERROR(BU3256:BU3306),"",BU3256:BU3306))</f>
        <v>0</v>
      </c>
      <c r="BV3255" s="177">
        <f t="array" ref="BV3255">SUM(IF(ISERROR(BV3256:BV3306),"",BV3256:BV3306))</f>
        <v>0</v>
      </c>
      <c r="BW3255" s="177">
        <f t="array" ref="BW3255">SUM(IF(ISERROR(BW3256:BW3306),"",BW3256:BW3306))</f>
        <v>0</v>
      </c>
      <c r="BX3255" s="177">
        <f t="array" ref="BX3255">SUM(IF(ISERROR(BX3256:BX3306),"",BX3256:BX3306))</f>
        <v>0</v>
      </c>
      <c r="BY3255" s="177">
        <f t="array" ref="BY3255">SUM(IF(ISERROR(BY3256:BY3306),"",BY3256:BY3306))</f>
        <v>0</v>
      </c>
    </row>
    <row r="3256" ht="15.75" hidden="1" customHeight="1" outlineLevel="1">
      <c r="A3256" s="385"/>
      <c r="B3256" s="38"/>
      <c r="C3256" s="188">
        <f>IPMT('Assumptions (Oil G&amp;T)'!$B$73,Model!W$1,'Assumptions (Oil G&amp;T)'!$B$76,Model!$C$3201)</f>
        <v>-0.08770848036</v>
      </c>
      <c r="D3256" s="188">
        <f>IPMT('Assumptions (Oil G&amp;T)'!$B$73,Model!X$1,'Assumptions (Oil G&amp;T)'!$B$76,Model!$C$3201)</f>
        <v>-0.08435036505</v>
      </c>
      <c r="E3256" s="188">
        <f>IPMT('Assumptions (Oil G&amp;T)'!$B$73,Model!Y$1,'Assumptions (Oil G&amp;T)'!$B$76,Model!$C$3201)</f>
        <v>-0.08074039109</v>
      </c>
      <c r="F3256" s="188">
        <f>IPMT('Assumptions (Oil G&amp;T)'!$B$73,Model!Z$1,'Assumptions (Oil G&amp;T)'!$B$76,Model!$C$3201)</f>
        <v>-0.07685966909</v>
      </c>
      <c r="G3256" s="188">
        <f>IPMT('Assumptions (Oil G&amp;T)'!$B$73,Model!AA$1,'Assumptions (Oil G&amp;T)'!$B$76,Model!$C$3201)</f>
        <v>-0.07268789293</v>
      </c>
      <c r="H3256" s="188">
        <f>IPMT('Assumptions (Oil G&amp;T)'!$B$73,Model!AB$1,'Assumptions (Oil G&amp;T)'!$B$76,Model!$C$3201)</f>
        <v>-0.06820323357</v>
      </c>
      <c r="I3256" s="188">
        <f>IPMT('Assumptions (Oil G&amp;T)'!$B$73,Model!AC$1,'Assumptions (Oil G&amp;T)'!$B$76,Model!$C$3201)</f>
        <v>-0.06338222475</v>
      </c>
      <c r="J3256" s="188">
        <f>IPMT('Assumptions (Oil G&amp;T)'!$B$73,Model!AD$1,'Assumptions (Oil G&amp;T)'!$B$76,Model!$C$3201)</f>
        <v>-0.05819964027</v>
      </c>
      <c r="K3256" s="188">
        <f>IPMT('Assumptions (Oil G&amp;T)'!$B$73,Model!AE$1,'Assumptions (Oil G&amp;T)'!$B$76,Model!$C$3201)</f>
        <v>-0.05262836195</v>
      </c>
      <c r="L3256" s="188">
        <f>IPMT('Assumptions (Oil G&amp;T)'!$B$73,Model!AF$1,'Assumptions (Oil G&amp;T)'!$B$76,Model!$C$3201)</f>
        <v>-0.04663923777</v>
      </c>
      <c r="M3256" s="188">
        <f>IPMT('Assumptions (Oil G&amp;T)'!$B$73,Model!AG$1,'Assumptions (Oil G&amp;T)'!$B$76,Model!$C$3201)</f>
        <v>-0.04020092926</v>
      </c>
      <c r="N3256" s="188">
        <f>IPMT('Assumptions (Oil G&amp;T)'!$B$73,Model!AH$1,'Assumptions (Oil G&amp;T)'!$B$76,Model!$C$3201)</f>
        <v>-0.03327974762</v>
      </c>
      <c r="O3256" s="188">
        <f>IPMT('Assumptions (Oil G&amp;T)'!$B$73,Model!AI$1,'Assumptions (Oil G&amp;T)'!$B$76,Model!$C$3201)</f>
        <v>-0.02583947736</v>
      </c>
      <c r="P3256" s="188">
        <f>IPMT('Assumptions (Oil G&amp;T)'!$B$73,Model!AJ$1,'Assumptions (Oil G&amp;T)'!$B$76,Model!$C$3201)</f>
        <v>-0.01784118682</v>
      </c>
      <c r="Q3256" s="188">
        <f>IPMT('Assumptions (Oil G&amp;T)'!$B$73,Model!AK$1,'Assumptions (Oil G&amp;T)'!$B$76,Model!$C$3201)</f>
        <v>-0.009243024498</v>
      </c>
      <c r="R3256" s="188"/>
      <c r="S3256" s="188"/>
      <c r="T3256" s="188"/>
      <c r="U3256" s="188"/>
      <c r="V3256" s="188"/>
      <c r="W3256" s="188"/>
      <c r="X3256" s="188"/>
      <c r="Y3256" s="188"/>
      <c r="Z3256" s="188"/>
      <c r="AA3256" s="188"/>
      <c r="AB3256" s="188"/>
    </row>
    <row r="3257" ht="15.75" hidden="1" customHeight="1" outlineLevel="1">
      <c r="A3257" s="385"/>
      <c r="B3257" s="38"/>
      <c r="C3257" s="188"/>
      <c r="D3257" s="188">
        <f>IPMT('Assumptions (Oil G&amp;T)'!$B$73,Model!W$1,'Assumptions (Oil G&amp;T)'!$B$76,Model!$D$3201)</f>
        <v>-0.09234593298</v>
      </c>
      <c r="E3257" s="188">
        <f>IPMT('Assumptions (Oil G&amp;T)'!$B$73,Model!X$1,'Assumptions (Oil G&amp;T)'!$B$76,Model!$D$3201)</f>
        <v>-0.08881026242</v>
      </c>
      <c r="F3257" s="188">
        <f>IPMT('Assumptions (Oil G&amp;T)'!$B$73,Model!Y$1,'Assumptions (Oil G&amp;T)'!$B$76,Model!$D$3201)</f>
        <v>-0.08500941658</v>
      </c>
      <c r="G3257" s="188">
        <f>IPMT('Assumptions (Oil G&amp;T)'!$B$73,Model!Z$1,'Assumptions (Oil G&amp;T)'!$B$76,Model!$D$3201)</f>
        <v>-0.0809235073</v>
      </c>
      <c r="H3257" s="188">
        <f>IPMT('Assumptions (Oil G&amp;T)'!$B$73,Model!AA$1,'Assumptions (Oil G&amp;T)'!$B$76,Model!$D$3201)</f>
        <v>-0.07653115482</v>
      </c>
      <c r="I3257" s="188">
        <f>IPMT('Assumptions (Oil G&amp;T)'!$B$73,Model!AB$1,'Assumptions (Oil G&amp;T)'!$B$76,Model!$D$3201)</f>
        <v>-0.0718093759</v>
      </c>
      <c r="J3257" s="188">
        <f>IPMT('Assumptions (Oil G&amp;T)'!$B$73,Model!AC$1,'Assumptions (Oil G&amp;T)'!$B$76,Model!$D$3201)</f>
        <v>-0.06673346357</v>
      </c>
      <c r="K3257" s="188">
        <f>IPMT('Assumptions (Oil G&amp;T)'!$B$73,Model!AD$1,'Assumptions (Oil G&amp;T)'!$B$76,Model!$D$3201)</f>
        <v>-0.06127685781</v>
      </c>
      <c r="L3257" s="188">
        <f>IPMT('Assumptions (Oil G&amp;T)'!$B$73,Model!AE$1,'Assumptions (Oil G&amp;T)'!$B$76,Model!$D$3201)</f>
        <v>-0.05541100662</v>
      </c>
      <c r="M3257" s="188">
        <f>IPMT('Assumptions (Oil G&amp;T)'!$B$73,Model!AF$1,'Assumptions (Oil G&amp;T)'!$B$76,Model!$D$3201)</f>
        <v>-0.04910521659</v>
      </c>
      <c r="N3257" s="188">
        <f>IPMT('Assumptions (Oil G&amp;T)'!$B$73,Model!AG$1,'Assumptions (Oil G&amp;T)'!$B$76,Model!$D$3201)</f>
        <v>-0.04232649231</v>
      </c>
      <c r="O3257" s="188">
        <f>IPMT('Assumptions (Oil G&amp;T)'!$B$73,Model!AH$1,'Assumptions (Oil G&amp;T)'!$B$76,Model!$D$3201)</f>
        <v>-0.03503936371</v>
      </c>
      <c r="P3257" s="188">
        <f>IPMT('Assumptions (Oil G&amp;T)'!$B$73,Model!AI$1,'Assumptions (Oil G&amp;T)'!$B$76,Model!$D$3201)</f>
        <v>-0.02720570046</v>
      </c>
      <c r="Q3257" s="188">
        <f>IPMT('Assumptions (Oil G&amp;T)'!$B$73,Model!AJ$1,'Assumptions (Oil G&amp;T)'!$B$76,Model!$D$3201)</f>
        <v>-0.01878451246</v>
      </c>
      <c r="R3257" s="188">
        <f>IPMT('Assumptions (Oil G&amp;T)'!$B$73,Model!AK$1,'Assumptions (Oil G&amp;T)'!$B$76,Model!$D$3201)</f>
        <v>-0.009731735373</v>
      </c>
      <c r="S3257" s="188"/>
      <c r="T3257" s="188"/>
      <c r="U3257" s="188"/>
      <c r="V3257" s="188"/>
      <c r="W3257" s="188"/>
      <c r="X3257" s="188"/>
      <c r="Y3257" s="188"/>
      <c r="Z3257" s="188"/>
      <c r="AA3257" s="188"/>
      <c r="AB3257" s="188"/>
    </row>
    <row r="3258" ht="15.75" hidden="1" customHeight="1" outlineLevel="1">
      <c r="A3258" s="385"/>
      <c r="B3258" s="38"/>
      <c r="C3258" s="188"/>
      <c r="D3258" s="188"/>
      <c r="E3258" s="188">
        <f>IPMT('Assumptions (Oil G&amp;T)'!$B$73,Model!W$1,'Assumptions (Oil G&amp;T)'!$B$76,Model!$E$3201)</f>
        <v>-0.0938918923</v>
      </c>
      <c r="F3258" s="188">
        <f>IPMT('Assumptions (Oil G&amp;T)'!$B$73,Model!X$1,'Assumptions (Oil G&amp;T)'!$B$76,Model!$E$3201)</f>
        <v>-0.09029703123</v>
      </c>
      <c r="G3258" s="188">
        <f>IPMT('Assumptions (Oil G&amp;T)'!$B$73,Model!Y$1,'Assumptions (Oil G&amp;T)'!$B$76,Model!$E$3201)</f>
        <v>-0.08643255559</v>
      </c>
      <c r="H3258" s="188">
        <f>IPMT('Assumptions (Oil G&amp;T)'!$B$73,Model!Z$1,'Assumptions (Oil G&amp;T)'!$B$76,Model!$E$3201)</f>
        <v>-0.08227824427</v>
      </c>
      <c r="I3258" s="188">
        <f>IPMT('Assumptions (Oil G&amp;T)'!$B$73,Model!AA$1,'Assumptions (Oil G&amp;T)'!$B$76,Model!$E$3201)</f>
        <v>-0.07781235961</v>
      </c>
      <c r="J3258" s="188">
        <f>IPMT('Assumptions (Oil G&amp;T)'!$B$73,Model!AB$1,'Assumptions (Oil G&amp;T)'!$B$76,Model!$E$3201)</f>
        <v>-0.0730115336</v>
      </c>
      <c r="K3258" s="188">
        <f>IPMT('Assumptions (Oil G&amp;T)'!$B$73,Model!AC$1,'Assumptions (Oil G&amp;T)'!$B$76,Model!$E$3201)</f>
        <v>-0.06785064563</v>
      </c>
      <c r="L3258" s="188">
        <f>IPMT('Assumptions (Oil G&amp;T)'!$B$73,Model!AD$1,'Assumptions (Oil G&amp;T)'!$B$76,Model!$E$3201)</f>
        <v>-0.06230269107</v>
      </c>
      <c r="M3258" s="188">
        <f>IPMT('Assumptions (Oil G&amp;T)'!$B$73,Model!AE$1,'Assumptions (Oil G&amp;T)'!$B$76,Model!$E$3201)</f>
        <v>-0.05633863991</v>
      </c>
      <c r="N3258" s="188">
        <f>IPMT('Assumptions (Oil G&amp;T)'!$B$73,Model!AF$1,'Assumptions (Oil G&amp;T)'!$B$76,Model!$E$3201)</f>
        <v>-0.04992728492</v>
      </c>
      <c r="O3258" s="188">
        <f>IPMT('Assumptions (Oil G&amp;T)'!$B$73,Model!AG$1,'Assumptions (Oil G&amp;T)'!$B$76,Model!$E$3201)</f>
        <v>-0.04303507831</v>
      </c>
      <c r="P3258" s="188">
        <f>IPMT('Assumptions (Oil G&amp;T)'!$B$73,Model!AH$1,'Assumptions (Oil G&amp;T)'!$B$76,Model!$E$3201)</f>
        <v>-0.0356259562</v>
      </c>
      <c r="Q3258" s="188">
        <f>IPMT('Assumptions (Oil G&amp;T)'!$B$73,Model!AI$1,'Assumptions (Oil G&amp;T)'!$B$76,Model!$E$3201)</f>
        <v>-0.02766114993</v>
      </c>
      <c r="R3258" s="188">
        <f>IPMT('Assumptions (Oil G&amp;T)'!$B$73,Model!AJ$1,'Assumptions (Oil G&amp;T)'!$B$76,Model!$E$3201)</f>
        <v>-0.01909898319</v>
      </c>
      <c r="S3258" s="188">
        <f>IPMT('Assumptions (Oil G&amp;T)'!$B$73,Model!AK$1,'Assumptions (Oil G&amp;T)'!$B$76,Model!$E$3201)</f>
        <v>-0.009894653939</v>
      </c>
      <c r="T3258" s="188"/>
      <c r="U3258" s="188"/>
      <c r="V3258" s="188"/>
      <c r="W3258" s="188"/>
      <c r="X3258" s="188"/>
      <c r="Y3258" s="188"/>
      <c r="Z3258" s="188"/>
      <c r="AA3258" s="188"/>
      <c r="AB3258" s="188"/>
      <c r="AC3258" s="188"/>
    </row>
    <row r="3259" ht="15.75" hidden="1" customHeight="1" outlineLevel="1">
      <c r="A3259" s="385"/>
      <c r="B3259" s="38"/>
      <c r="C3259" s="188"/>
      <c r="D3259" s="188"/>
      <c r="E3259" s="188"/>
      <c r="F3259" s="188">
        <f>IPMT('Assumptions (Oil G&amp;T)'!$B$73,Model!W$1,'Assumptions (Oil G&amp;T)'!$B$76,Model!$F$3201)</f>
        <v>-0.09502226522</v>
      </c>
      <c r="G3259" s="188">
        <f>IPMT('Assumptions (Oil G&amp;T)'!$B$73,Model!X$1,'Assumptions (Oil G&amp;T)'!$B$76,Model!$F$3201)</f>
        <v>-0.0913841253</v>
      </c>
      <c r="H3259" s="188">
        <f>IPMT('Assumptions (Oil G&amp;T)'!$B$73,Model!Y$1,'Assumptions (Oil G&amp;T)'!$B$76,Model!$F$3201)</f>
        <v>-0.08747312489</v>
      </c>
      <c r="I3259" s="188">
        <f>IPMT('Assumptions (Oil G&amp;T)'!$B$73,Model!Z$1,'Assumptions (Oil G&amp;T)'!$B$76,Model!$F$3201)</f>
        <v>-0.08326879944</v>
      </c>
      <c r="J3259" s="188">
        <f>IPMT('Assumptions (Oil G&amp;T)'!$B$73,Model!AA$1,'Assumptions (Oil G&amp;T)'!$B$76,Model!$F$3201)</f>
        <v>-0.07874914959</v>
      </c>
      <c r="K3259" s="188">
        <f>IPMT('Assumptions (Oil G&amp;T)'!$B$73,Model!AB$1,'Assumptions (Oil G&amp;T)'!$B$76,Model!$F$3201)</f>
        <v>-0.073890526</v>
      </c>
      <c r="L3259" s="188">
        <f>IPMT('Assumptions (Oil G&amp;T)'!$B$73,Model!AC$1,'Assumptions (Oil G&amp;T)'!$B$76,Model!$F$3201)</f>
        <v>-0.06866750565</v>
      </c>
      <c r="M3259" s="188">
        <f>IPMT('Assumptions (Oil G&amp;T)'!$B$73,Model!AD$1,'Assumptions (Oil G&amp;T)'!$B$76,Model!$F$3201)</f>
        <v>-0.06305275876</v>
      </c>
      <c r="N3259" s="188">
        <f>IPMT('Assumptions (Oil G&amp;T)'!$B$73,Model!AE$1,'Assumptions (Oil G&amp;T)'!$B$76,Model!$F$3201)</f>
        <v>-0.05701690586</v>
      </c>
      <c r="O3259" s="188">
        <f>IPMT('Assumptions (Oil G&amp;T)'!$B$73,Model!AF$1,'Assumptions (Oil G&amp;T)'!$B$76,Model!$F$3201)</f>
        <v>-0.05052836399</v>
      </c>
      <c r="P3259" s="188">
        <f>IPMT('Assumptions (Oil G&amp;T)'!$B$73,Model!AG$1,'Assumptions (Oil G&amp;T)'!$B$76,Model!$F$3201)</f>
        <v>-0.04355318148</v>
      </c>
      <c r="Q3259" s="188">
        <f>IPMT('Assumptions (Oil G&amp;T)'!$B$73,Model!AH$1,'Assumptions (Oil G&amp;T)'!$B$76,Model!$F$3201)</f>
        <v>-0.03605486028</v>
      </c>
      <c r="R3259" s="188">
        <f>IPMT('Assumptions (Oil G&amp;T)'!$B$73,Model!AI$1,'Assumptions (Oil G&amp;T)'!$B$76,Model!$F$3201)</f>
        <v>-0.02799416499</v>
      </c>
      <c r="S3259" s="188">
        <f>IPMT('Assumptions (Oil G&amp;T)'!$B$73,Model!AJ$1,'Assumptions (Oil G&amp;T)'!$B$76,Model!$F$3201)</f>
        <v>-0.01932891756</v>
      </c>
      <c r="T3259" s="188">
        <f>IPMT('Assumptions (Oil G&amp;T)'!$B$73,Model!AK$1,'Assumptions (Oil G&amp;T)'!$B$76,Model!$F$3201)</f>
        <v>-0.01001377657</v>
      </c>
      <c r="U3259" s="188"/>
      <c r="V3259" s="188"/>
      <c r="W3259" s="188"/>
      <c r="X3259" s="188"/>
      <c r="Y3259" s="188"/>
      <c r="Z3259" s="188"/>
      <c r="AA3259" s="188"/>
      <c r="AB3259" s="188"/>
      <c r="AC3259" s="188"/>
      <c r="AD3259" s="188"/>
    </row>
    <row r="3260" ht="15.75" hidden="1" customHeight="1" outlineLevel="1">
      <c r="A3260" s="385"/>
      <c r="B3260" s="38"/>
      <c r="C3260" s="188"/>
      <c r="D3260" s="188"/>
      <c r="E3260" s="188"/>
      <c r="F3260" s="188"/>
      <c r="G3260" s="188">
        <f>IPMT('Assumptions (Oil G&amp;T)'!$B$73,Model!W$1,'Assumptions (Oil G&amp;T)'!$B$76,Model!$G$3201)</f>
        <v>-0.1574215012</v>
      </c>
      <c r="H3260" s="188">
        <f>IPMT('Assumptions (Oil G&amp;T)'!$B$73,Model!X$1,'Assumptions (Oil G&amp;T)'!$B$76,Model!$G$3201)</f>
        <v>-0.151394267</v>
      </c>
      <c r="I3260" s="188">
        <f>IPMT('Assumptions (Oil G&amp;T)'!$B$73,Model!Y$1,'Assumptions (Oil G&amp;T)'!$B$76,Model!$G$3201)</f>
        <v>-0.1449149902</v>
      </c>
      <c r="J3260" s="188">
        <f>IPMT('Assumptions (Oil G&amp;T)'!$B$73,Model!Z$1,'Assumptions (Oil G&amp;T)'!$B$76,Model!$G$3201)</f>
        <v>-0.1379497677</v>
      </c>
      <c r="K3260" s="188">
        <f>IPMT('Assumptions (Oil G&amp;T)'!$B$73,Model!AA$1,'Assumptions (Oil G&amp;T)'!$B$76,Model!$G$3201)</f>
        <v>-0.1304621535</v>
      </c>
      <c r="L3260" s="188">
        <f>IPMT('Assumptions (Oil G&amp;T)'!$B$73,Model!AB$1,'Assumptions (Oil G&amp;T)'!$B$76,Model!$G$3201)</f>
        <v>-0.1224129682</v>
      </c>
      <c r="M3260" s="188">
        <f>IPMT('Assumptions (Oil G&amp;T)'!$B$73,Model!AC$1,'Assumptions (Oil G&amp;T)'!$B$76,Model!$G$3201)</f>
        <v>-0.113760094</v>
      </c>
      <c r="N3260" s="188">
        <f>IPMT('Assumptions (Oil G&amp;T)'!$B$73,Model!AD$1,'Assumptions (Oil G&amp;T)'!$B$76,Model!$G$3201)</f>
        <v>-0.1044582542</v>
      </c>
      <c r="O3260" s="188">
        <f>IPMT('Assumptions (Oil G&amp;T)'!$B$73,Model!AE$1,'Assumptions (Oil G&amp;T)'!$B$76,Model!$G$3201)</f>
        <v>-0.09445877652</v>
      </c>
      <c r="P3260" s="188">
        <f>IPMT('Assumptions (Oil G&amp;T)'!$B$73,Model!AF$1,'Assumptions (Oil G&amp;T)'!$B$76,Model!$G$3201)</f>
        <v>-0.08370933796</v>
      </c>
      <c r="Q3260" s="188">
        <f>IPMT('Assumptions (Oil G&amp;T)'!$B$73,Model!AG$1,'Assumptions (Oil G&amp;T)'!$B$76,Model!$G$3201)</f>
        <v>-0.07215369151</v>
      </c>
      <c r="R3260" s="188">
        <f>IPMT('Assumptions (Oil G&amp;T)'!$B$73,Model!AH$1,'Assumptions (Oil G&amp;T)'!$B$76,Model!$G$3201)</f>
        <v>-0.05973137157</v>
      </c>
      <c r="S3260" s="188">
        <f>IPMT('Assumptions (Oil G&amp;T)'!$B$73,Model!AI$1,'Assumptions (Oil G&amp;T)'!$B$76,Model!$G$3201)</f>
        <v>-0.04637737764</v>
      </c>
      <c r="T3260" s="188">
        <f>IPMT('Assumptions (Oil G&amp;T)'!$B$73,Model!AJ$1,'Assumptions (Oil G&amp;T)'!$B$76,Model!$G$3201)</f>
        <v>-0.03202183417</v>
      </c>
      <c r="U3260" s="188">
        <f>IPMT('Assumptions (Oil G&amp;T)'!$B$73,Model!AK$1,'Assumptions (Oil G&amp;T)'!$B$76,Model!$G$3201)</f>
        <v>-0.01658962493</v>
      </c>
      <c r="V3260" s="188"/>
      <c r="W3260" s="188"/>
      <c r="X3260" s="188"/>
      <c r="Y3260" s="188"/>
      <c r="Z3260" s="188"/>
      <c r="AA3260" s="188"/>
      <c r="AB3260" s="188"/>
      <c r="AC3260" s="188"/>
      <c r="AD3260" s="188"/>
      <c r="AE3260" s="188"/>
    </row>
    <row r="3261" ht="15.75" hidden="1" customHeight="1" outlineLevel="1">
      <c r="A3261" s="385"/>
      <c r="B3261" s="38"/>
      <c r="C3261" s="188"/>
      <c r="D3261" s="188"/>
      <c r="E3261" s="188"/>
      <c r="F3261" s="188"/>
      <c r="G3261" s="188"/>
      <c r="H3261" s="188">
        <f>IPMT('Assumptions (Oil G&amp;T)'!$B$73,Model!W$1,'Assumptions (Oil G&amp;T)'!$B$76,Model!$H$3201)</f>
        <v>-0.1441502127</v>
      </c>
      <c r="I3261" s="188">
        <f>IPMT('Assumptions (Oil G&amp;T)'!$B$73,Model!X$1,'Assumptions (Oil G&amp;T)'!$B$76,Model!$H$3201)</f>
        <v>-0.1386310995</v>
      </c>
      <c r="J3261" s="188">
        <f>IPMT('Assumptions (Oil G&amp;T)'!$B$73,Model!Y$1,'Assumptions (Oil G&amp;T)'!$B$76,Model!$H$3201)</f>
        <v>-0.1326980527</v>
      </c>
      <c r="K3261" s="188">
        <f>IPMT('Assumptions (Oil G&amp;T)'!$B$73,Model!Z$1,'Assumptions (Oil G&amp;T)'!$B$76,Model!$H$3201)</f>
        <v>-0.1263200275</v>
      </c>
      <c r="L3261" s="188">
        <f>IPMT('Assumptions (Oil G&amp;T)'!$B$73,Model!AA$1,'Assumptions (Oil G&amp;T)'!$B$76,Model!$H$3201)</f>
        <v>-0.1194636503</v>
      </c>
      <c r="M3261" s="188">
        <f>IPMT('Assumptions (Oil G&amp;T)'!$B$73,Model!AB$1,'Assumptions (Oil G&amp;T)'!$B$76,Model!$H$3201)</f>
        <v>-0.1120930449</v>
      </c>
      <c r="N3261" s="188">
        <f>IPMT('Assumptions (Oil G&amp;T)'!$B$73,Model!AC$1,'Assumptions (Oil G&amp;T)'!$B$76,Model!$H$3201)</f>
        <v>-0.1041696441</v>
      </c>
      <c r="O3261" s="188">
        <f>IPMT('Assumptions (Oil G&amp;T)'!$B$73,Model!AD$1,'Assumptions (Oil G&amp;T)'!$B$76,Model!$H$3201)</f>
        <v>-0.09565198817</v>
      </c>
      <c r="P3261" s="188">
        <f>IPMT('Assumptions (Oil G&amp;T)'!$B$73,Model!AE$1,'Assumptions (Oil G&amp;T)'!$B$76,Model!$H$3201)</f>
        <v>-0.08649550808</v>
      </c>
      <c r="Q3261" s="188">
        <f>IPMT('Assumptions (Oil G&amp;T)'!$B$73,Model!AF$1,'Assumptions (Oil G&amp;T)'!$B$76,Model!$H$3201)</f>
        <v>-0.07665229198</v>
      </c>
      <c r="R3261" s="188">
        <f>IPMT('Assumptions (Oil G&amp;T)'!$B$73,Model!AG$1,'Assumptions (Oil G&amp;T)'!$B$76,Model!$H$3201)</f>
        <v>-0.06607083467</v>
      </c>
      <c r="S3261" s="188">
        <f>IPMT('Assumptions (Oil G&amp;T)'!$B$73,Model!AH$1,'Assumptions (Oil G&amp;T)'!$B$76,Model!$H$3201)</f>
        <v>-0.05469576806</v>
      </c>
      <c r="T3261" s="188">
        <f>IPMT('Assumptions (Oil G&amp;T)'!$B$73,Model!AI$1,'Assumptions (Oil G&amp;T)'!$B$76,Model!$H$3201)</f>
        <v>-0.04246757146</v>
      </c>
      <c r="U3261" s="188">
        <f>IPMT('Assumptions (Oil G&amp;T)'!$B$73,Model!AJ$1,'Assumptions (Oil G&amp;T)'!$B$76,Model!$H$3201)</f>
        <v>-0.02932226012</v>
      </c>
      <c r="V3261" s="188">
        <f>IPMT('Assumptions (Oil G&amp;T)'!$B$73,Model!AK$1,'Assumptions (Oil G&amp;T)'!$B$76,Model!$H$3201)</f>
        <v>-0.01519105042</v>
      </c>
      <c r="W3261" s="188"/>
      <c r="X3261" s="188"/>
      <c r="Y3261" s="188"/>
      <c r="Z3261" s="188"/>
      <c r="AA3261" s="188"/>
      <c r="AB3261" s="188"/>
      <c r="AC3261" s="188"/>
      <c r="AD3261" s="188"/>
      <c r="AE3261" s="188"/>
      <c r="AF3261" s="188"/>
    </row>
    <row r="3262" ht="15.75" hidden="1" customHeight="1" outlineLevel="1">
      <c r="A3262" s="385"/>
      <c r="B3262" s="38"/>
      <c r="C3262" s="188"/>
      <c r="D3262" s="188"/>
      <c r="E3262" s="188"/>
      <c r="F3262" s="188"/>
      <c r="G3262" s="188"/>
      <c r="H3262" s="188"/>
      <c r="I3262" s="188">
        <f>IPMT('Assumptions (Oil G&amp;T)'!$B$73,Model!W$1,'Assumptions (Oil G&amp;T)'!$B$76,Model!$I$3201)</f>
        <v>-0.1283655564</v>
      </c>
      <c r="J3262" s="188">
        <f>IPMT('Assumptions (Oil G&amp;T)'!$B$73,Model!X$1,'Assumptions (Oil G&amp;T)'!$B$76,Model!$I$3201)</f>
        <v>-0.123450794</v>
      </c>
      <c r="K3262" s="188">
        <f>IPMT('Assumptions (Oil G&amp;T)'!$B$73,Model!Y$1,'Assumptions (Oil G&amp;T)'!$B$76,Model!$I$3201)</f>
        <v>-0.1181674245</v>
      </c>
      <c r="L3262" s="188">
        <f>IPMT('Assumptions (Oil G&amp;T)'!$B$73,Model!Z$1,'Assumptions (Oil G&amp;T)'!$B$76,Model!$I$3201)</f>
        <v>-0.1124878022</v>
      </c>
      <c r="M3262" s="188">
        <f>IPMT('Assumptions (Oil G&amp;T)'!$B$73,Model!AA$1,'Assumptions (Oil G&amp;T)'!$B$76,Model!$I$3201)</f>
        <v>-0.1063822082</v>
      </c>
      <c r="N3262" s="188">
        <f>IPMT('Assumptions (Oil G&amp;T)'!$B$73,Model!AB$1,'Assumptions (Oil G&amp;T)'!$B$76,Model!$I$3201)</f>
        <v>-0.09981869474</v>
      </c>
      <c r="O3262" s="188">
        <f>IPMT('Assumptions (Oil G&amp;T)'!$B$73,Model!AC$1,'Assumptions (Oil G&amp;T)'!$B$76,Model!$I$3201)</f>
        <v>-0.09276291773</v>
      </c>
      <c r="P3262" s="188">
        <f>IPMT('Assumptions (Oil G&amp;T)'!$B$73,Model!AD$1,'Assumptions (Oil G&amp;T)'!$B$76,Model!$I$3201)</f>
        <v>-0.08517795744</v>
      </c>
      <c r="Q3262" s="188">
        <f>IPMT('Assumptions (Oil G&amp;T)'!$B$73,Model!AE$1,'Assumptions (Oil G&amp;T)'!$B$76,Model!$I$3201)</f>
        <v>-0.07702412513</v>
      </c>
      <c r="R3262" s="188">
        <f>IPMT('Assumptions (Oil G&amp;T)'!$B$73,Model!AF$1,'Assumptions (Oil G&amp;T)'!$B$76,Model!$I$3201)</f>
        <v>-0.0682587554</v>
      </c>
      <c r="S3262" s="188">
        <f>IPMT('Assumptions (Oil G&amp;T)'!$B$73,Model!AG$1,'Assumptions (Oil G&amp;T)'!$B$76,Model!$I$3201)</f>
        <v>-0.05883598294</v>
      </c>
      <c r="T3262" s="188">
        <f>IPMT('Assumptions (Oil G&amp;T)'!$B$73,Model!AH$1,'Assumptions (Oil G&amp;T)'!$B$76,Model!$I$3201)</f>
        <v>-0.04870650254</v>
      </c>
      <c r="U3262" s="188">
        <f>IPMT('Assumptions (Oil G&amp;T)'!$B$73,Model!AI$1,'Assumptions (Oil G&amp;T)'!$B$76,Model!$I$3201)</f>
        <v>-0.03781731111</v>
      </c>
      <c r="V3262" s="188">
        <f>IPMT('Assumptions (Oil G&amp;T)'!$B$73,Model!AJ$1,'Assumptions (Oil G&amp;T)'!$B$76,Model!$I$3201)</f>
        <v>-0.02611143033</v>
      </c>
      <c r="W3262" s="188">
        <f>IPMT('Assumptions (Oil G&amp;T)'!$B$73,Model!AK$1,'Assumptions (Oil G&amp;T)'!$B$76,Model!$I$3201)</f>
        <v>-0.01352760848</v>
      </c>
      <c r="X3262" s="188"/>
      <c r="Y3262" s="188"/>
      <c r="Z3262" s="188"/>
      <c r="AA3262" s="188"/>
      <c r="AB3262" s="188"/>
      <c r="AC3262" s="188"/>
      <c r="AD3262" s="188"/>
      <c r="AE3262" s="188"/>
      <c r="AF3262" s="188"/>
      <c r="AG3262" s="188"/>
    </row>
    <row r="3263" ht="15.75" hidden="1" customHeight="1" outlineLevel="1">
      <c r="A3263" s="385"/>
      <c r="B3263" s="38"/>
      <c r="C3263" s="188"/>
      <c r="D3263" s="188"/>
      <c r="E3263" s="188"/>
      <c r="F3263" s="188"/>
      <c r="G3263" s="188"/>
      <c r="H3263" s="188"/>
      <c r="I3263" s="188"/>
      <c r="J3263" s="188">
        <f>IPMT('Assumptions (Oil G&amp;T)'!$B$73,Model!W$1,'Assumptions (Oil G&amp;T)'!$B$76,Model!$J$3201)</f>
        <v>-0.242968265</v>
      </c>
      <c r="K3263" s="188">
        <f>IPMT('Assumptions (Oil G&amp;T)'!$B$73,Model!X$1,'Assumptions (Oil G&amp;T)'!$B$76,Model!$J$3201)</f>
        <v>-0.2336656817</v>
      </c>
      <c r="L3263" s="188">
        <f>IPMT('Assumptions (Oil G&amp;T)'!$B$73,Model!Y$1,'Assumptions (Oil G&amp;T)'!$B$76,Model!$J$3201)</f>
        <v>-0.2236654046</v>
      </c>
      <c r="M3263" s="188">
        <f>IPMT('Assumptions (Oil G&amp;T)'!$B$73,Model!Z$1,'Assumptions (Oil G&amp;T)'!$B$76,Model!$J$3201)</f>
        <v>-0.2129151067</v>
      </c>
      <c r="N3263" s="188">
        <f>IPMT('Assumptions (Oil G&amp;T)'!$B$73,Model!AA$1,'Assumptions (Oil G&amp;T)'!$B$76,Model!$J$3201)</f>
        <v>-0.2013585364</v>
      </c>
      <c r="O3263" s="188">
        <f>IPMT('Assumptions (Oil G&amp;T)'!$B$73,Model!AB$1,'Assumptions (Oil G&amp;T)'!$B$76,Model!$J$3201)</f>
        <v>-0.1889352234</v>
      </c>
      <c r="P3263" s="188">
        <f>IPMT('Assumptions (Oil G&amp;T)'!$B$73,Model!AC$1,'Assumptions (Oil G&amp;T)'!$B$76,Model!$J$3201)</f>
        <v>-0.1755801619</v>
      </c>
      <c r="Q3263" s="188">
        <f>IPMT('Assumptions (Oil G&amp;T)'!$B$73,Model!AD$1,'Assumptions (Oil G&amp;T)'!$B$76,Model!$J$3201)</f>
        <v>-0.1612234708</v>
      </c>
      <c r="R3263" s="188">
        <f>IPMT('Assumptions (Oil G&amp;T)'!$B$73,Model!AE$1,'Assumptions (Oil G&amp;T)'!$B$76,Model!$J$3201)</f>
        <v>-0.1457900279</v>
      </c>
      <c r="S3263" s="188">
        <f>IPMT('Assumptions (Oil G&amp;T)'!$B$73,Model!AF$1,'Assumptions (Oil G&amp;T)'!$B$76,Model!$J$3201)</f>
        <v>-0.1291990767</v>
      </c>
      <c r="T3263" s="188">
        <f>IPMT('Assumptions (Oil G&amp;T)'!$B$73,Model!AG$1,'Assumptions (Oil G&amp;T)'!$B$76,Model!$J$3201)</f>
        <v>-0.1113638042</v>
      </c>
      <c r="U3263" s="188">
        <f>IPMT('Assumptions (Oil G&amp;T)'!$B$73,Model!AH$1,'Assumptions (Oil G&amp;T)'!$B$76,Model!$J$3201)</f>
        <v>-0.0921908863</v>
      </c>
      <c r="V3263" s="188">
        <f>IPMT('Assumptions (Oil G&amp;T)'!$B$73,Model!AI$1,'Assumptions (Oil G&amp;T)'!$B$76,Model!$J$3201)</f>
        <v>-0.07157999953</v>
      </c>
      <c r="W3263" s="188">
        <f>IPMT('Assumptions (Oil G&amp;T)'!$B$73,Model!AJ$1,'Assumptions (Oil G&amp;T)'!$B$76,Model!$J$3201)</f>
        <v>-0.04942329625</v>
      </c>
      <c r="X3263" s="188">
        <f>IPMT('Assumptions (Oil G&amp;T)'!$B$73,Model!AK$1,'Assumptions (Oil G&amp;T)'!$B$76,Model!$J$3201)</f>
        <v>-0.02560484023</v>
      </c>
      <c r="Y3263" s="188"/>
      <c r="Z3263" s="188"/>
      <c r="AA3263" s="188"/>
      <c r="AB3263" s="188"/>
      <c r="AC3263" s="188"/>
      <c r="AD3263" s="188"/>
      <c r="AE3263" s="188"/>
      <c r="AF3263" s="188"/>
      <c r="AG3263" s="188"/>
      <c r="AH3263" s="188"/>
    </row>
    <row r="3264" ht="15.75" hidden="1" customHeight="1" outlineLevel="1">
      <c r="A3264" s="385"/>
      <c r="B3264" s="38"/>
      <c r="C3264" s="188"/>
      <c r="D3264" s="188"/>
      <c r="E3264" s="188"/>
      <c r="F3264" s="188"/>
      <c r="G3264" s="188"/>
      <c r="H3264" s="188"/>
      <c r="I3264" s="188"/>
      <c r="J3264" s="188"/>
      <c r="K3264" s="188">
        <f>IPMT('Assumptions (Oil G&amp;T)'!$B$73,Model!W$1,'Assumptions (Oil G&amp;T)'!$B$76,Model!$K$3201)</f>
        <v>-0.2595064574</v>
      </c>
      <c r="L3264" s="188">
        <f>IPMT('Assumptions (Oil G&amp;T)'!$B$73,Model!X$1,'Assumptions (Oil G&amp;T)'!$B$76,Model!$K$3201)</f>
        <v>-0.2495706723</v>
      </c>
      <c r="M3264" s="188">
        <f>IPMT('Assumptions (Oil G&amp;T)'!$B$73,Model!Y$1,'Assumptions (Oil G&amp;T)'!$B$76,Model!$K$3201)</f>
        <v>-0.2388897034</v>
      </c>
      <c r="N3264" s="188">
        <f>IPMT('Assumptions (Oil G&amp;T)'!$B$73,Model!Z$1,'Assumptions (Oil G&amp;T)'!$B$76,Model!$K$3201)</f>
        <v>-0.2274076618</v>
      </c>
      <c r="O3264" s="188">
        <f>IPMT('Assumptions (Oil G&amp;T)'!$B$73,Model!AA$1,'Assumptions (Oil G&amp;T)'!$B$76,Model!$K$3201)</f>
        <v>-0.2150644671</v>
      </c>
      <c r="P3264" s="188">
        <f>IPMT('Assumptions (Oil G&amp;T)'!$B$73,Model!AB$1,'Assumptions (Oil G&amp;T)'!$B$76,Model!$K$3201)</f>
        <v>-0.2017955328</v>
      </c>
      <c r="Q3264" s="188">
        <f>IPMT('Assumptions (Oil G&amp;T)'!$B$73,Model!AC$1,'Assumptions (Oil G&amp;T)'!$B$76,Model!$K$3201)</f>
        <v>-0.1875314284</v>
      </c>
      <c r="R3264" s="188">
        <f>IPMT('Assumptions (Oil G&amp;T)'!$B$73,Model!AD$1,'Assumptions (Oil G&amp;T)'!$B$76,Model!$K$3201)</f>
        <v>-0.1721975162</v>
      </c>
      <c r="S3264" s="188">
        <f>IPMT('Assumptions (Oil G&amp;T)'!$B$73,Model!AE$1,'Assumptions (Oil G&amp;T)'!$B$76,Model!$K$3201)</f>
        <v>-0.1557135606</v>
      </c>
      <c r="T3264" s="188">
        <f>IPMT('Assumptions (Oil G&amp;T)'!$B$73,Model!AF$1,'Assumptions (Oil G&amp;T)'!$B$76,Model!$K$3201)</f>
        <v>-0.1379933083</v>
      </c>
      <c r="U3264" s="188">
        <f>IPMT('Assumptions (Oil G&amp;T)'!$B$73,Model!AG$1,'Assumptions (Oil G&amp;T)'!$B$76,Model!$K$3201)</f>
        <v>-0.118944037</v>
      </c>
      <c r="V3264" s="188">
        <f>IPMT('Assumptions (Oil G&amp;T)'!$B$73,Model!AH$1,'Assumptions (Oil G&amp;T)'!$B$76,Model!$K$3201)</f>
        <v>-0.09846607047</v>
      </c>
      <c r="W3264" s="188">
        <f>IPMT('Assumptions (Oil G&amp;T)'!$B$73,Model!AI$1,'Assumptions (Oil G&amp;T)'!$B$76,Model!$K$3201)</f>
        <v>-0.07645225641</v>
      </c>
      <c r="X3264" s="188">
        <f>IPMT('Assumptions (Oil G&amp;T)'!$B$73,Model!AJ$1,'Assumptions (Oil G&amp;T)'!$B$76,Model!$K$3201)</f>
        <v>-0.05278740629</v>
      </c>
      <c r="Y3264" s="188">
        <f>IPMT('Assumptions (Oil G&amp;T)'!$B$73,Model!AK$1,'Assumptions (Oil G&amp;T)'!$B$76,Model!$K$3201)</f>
        <v>-0.02734769242</v>
      </c>
      <c r="Z3264" s="188"/>
      <c r="AA3264" s="188"/>
      <c r="AB3264" s="188"/>
      <c r="AC3264" s="188"/>
      <c r="AD3264" s="188"/>
      <c r="AE3264" s="188"/>
      <c r="AF3264" s="188"/>
      <c r="AG3264" s="188"/>
      <c r="AH3264" s="188"/>
      <c r="AI3264" s="188"/>
    </row>
    <row r="3265" ht="15.75" hidden="1" customHeight="1" outlineLevel="1">
      <c r="A3265" s="385"/>
      <c r="B3265" s="38"/>
      <c r="C3265" s="188"/>
      <c r="D3265" s="188"/>
      <c r="E3265" s="188"/>
      <c r="F3265" s="188"/>
      <c r="G3265" s="188"/>
      <c r="H3265" s="188"/>
      <c r="I3265" s="188"/>
      <c r="J3265" s="188"/>
      <c r="K3265" s="188"/>
      <c r="L3265" s="188">
        <f>IPMT('Assumptions (Oil G&amp;T)'!$B$73,Model!W$1,'Assumptions (Oil G&amp;T)'!$B$76,Model!$L$3201)</f>
        <v>-0.2097813867</v>
      </c>
      <c r="M3265" s="188">
        <f>IPMT('Assumptions (Oil G&amp;T)'!$B$73,Model!X$1,'Assumptions (Oil G&amp;T)'!$B$76,Model!$L$3201)</f>
        <v>-0.2017494372</v>
      </c>
      <c r="N3265" s="188">
        <f>IPMT('Assumptions (Oil G&amp;T)'!$B$73,Model!Y$1,'Assumptions (Oil G&amp;T)'!$B$76,Model!$L$3201)</f>
        <v>-0.1931150915</v>
      </c>
      <c r="O3265" s="188">
        <f>IPMT('Assumptions (Oil G&amp;T)'!$B$73,Model!Z$1,'Assumptions (Oil G&amp;T)'!$B$76,Model!$L$3201)</f>
        <v>-0.1838331698</v>
      </c>
      <c r="P3265" s="188">
        <f>IPMT('Assumptions (Oil G&amp;T)'!$B$73,Model!AA$1,'Assumptions (Oil G&amp;T)'!$B$76,Model!$L$3201)</f>
        <v>-0.173855104</v>
      </c>
      <c r="Q3265" s="188">
        <f>IPMT('Assumptions (Oil G&amp;T)'!$B$73,Model!AB$1,'Assumptions (Oil G&amp;T)'!$B$76,Model!$L$3201)</f>
        <v>-0.1631286833</v>
      </c>
      <c r="R3265" s="188">
        <f>IPMT('Assumptions (Oil G&amp;T)'!$B$73,Model!AC$1,'Assumptions (Oil G&amp;T)'!$B$76,Model!$L$3201)</f>
        <v>-0.151597781</v>
      </c>
      <c r="S3265" s="188">
        <f>IPMT('Assumptions (Oil G&amp;T)'!$B$73,Model!AD$1,'Assumptions (Oil G&amp;T)'!$B$76,Model!$L$3201)</f>
        <v>-0.1392020611</v>
      </c>
      <c r="T3265" s="188">
        <f>IPMT('Assumptions (Oil G&amp;T)'!$B$73,Model!AE$1,'Assumptions (Oil G&amp;T)'!$B$76,Model!$L$3201)</f>
        <v>-0.1258766622</v>
      </c>
      <c r="U3265" s="188">
        <f>IPMT('Assumptions (Oil G&amp;T)'!$B$73,Model!AF$1,'Assumptions (Oil G&amp;T)'!$B$76,Model!$L$3201)</f>
        <v>-0.1115518583</v>
      </c>
      <c r="V3265" s="188">
        <f>IPMT('Assumptions (Oil G&amp;T)'!$B$73,Model!AG$1,'Assumptions (Oil G&amp;T)'!$B$76,Model!$L$3201)</f>
        <v>-0.09615269416</v>
      </c>
      <c r="W3265" s="188">
        <f>IPMT('Assumptions (Oil G&amp;T)'!$B$73,Model!AH$1,'Assumptions (Oil G&amp;T)'!$B$76,Model!$L$3201)</f>
        <v>-0.07959859271</v>
      </c>
      <c r="X3265" s="188">
        <f>IPMT('Assumptions (Oil G&amp;T)'!$B$73,Model!AI$1,'Assumptions (Oil G&amp;T)'!$B$76,Model!$L$3201)</f>
        <v>-0.06180293364</v>
      </c>
      <c r="Y3265" s="188">
        <f>IPMT('Assumptions (Oil G&amp;T)'!$B$73,Model!AJ$1,'Assumptions (Oil G&amp;T)'!$B$76,Model!$L$3201)</f>
        <v>-0.04267260015</v>
      </c>
      <c r="Z3265" s="188">
        <f>IPMT('Assumptions (Oil G&amp;T)'!$B$73,Model!AK$1,'Assumptions (Oil G&amp;T)'!$B$76,Model!$L$3201)</f>
        <v>-0.02210749164</v>
      </c>
      <c r="AA3265" s="188"/>
      <c r="AB3265" s="188"/>
      <c r="AC3265" s="188"/>
      <c r="AD3265" s="188"/>
      <c r="AE3265" s="188"/>
      <c r="AF3265" s="188"/>
      <c r="AG3265" s="188"/>
      <c r="AH3265" s="188"/>
      <c r="AI3265" s="188"/>
      <c r="AJ3265" s="188"/>
    </row>
    <row r="3266" ht="15.75" hidden="1" customHeight="1" outlineLevel="1">
      <c r="A3266" s="385"/>
      <c r="B3266" s="38"/>
      <c r="C3266" s="188"/>
      <c r="D3266" s="188"/>
      <c r="E3266" s="188"/>
      <c r="F3266" s="188"/>
      <c r="G3266" s="188"/>
      <c r="H3266" s="188"/>
      <c r="I3266" s="188"/>
      <c r="J3266" s="188"/>
      <c r="K3266" s="188"/>
      <c r="L3266" s="188"/>
      <c r="M3266" s="188">
        <f>IPMT('Assumptions (Oil G&amp;T)'!$B$73,Model!W$1,'Assumptions (Oil G&amp;T)'!$B$76,Model!$M$3201)</f>
        <v>-0.3812745065</v>
      </c>
      <c r="N3266" s="188">
        <f>IPMT('Assumptions (Oil G&amp;T)'!$B$73,Model!X$1,'Assumptions (Oil G&amp;T)'!$B$76,Model!$M$3201)</f>
        <v>-0.3666765594</v>
      </c>
      <c r="O3266" s="188">
        <f>IPMT('Assumptions (Oil G&amp;T)'!$B$73,Model!Y$1,'Assumptions (Oil G&amp;T)'!$B$76,Model!$M$3201)</f>
        <v>-0.3509837663</v>
      </c>
      <c r="P3266" s="188">
        <f>IPMT('Assumptions (Oil G&amp;T)'!$B$73,Model!Z$1,'Assumptions (Oil G&amp;T)'!$B$76,Model!$M$3201)</f>
        <v>-0.3341140136</v>
      </c>
      <c r="Q3266" s="188">
        <f>IPMT('Assumptions (Oil G&amp;T)'!$B$73,Model!AA$1,'Assumptions (Oil G&amp;T)'!$B$76,Model!$M$3201)</f>
        <v>-0.3159790295</v>
      </c>
      <c r="R3266" s="188">
        <f>IPMT('Assumptions (Oil G&amp;T)'!$B$73,Model!AB$1,'Assumptions (Oil G&amp;T)'!$B$76,Model!$M$3201)</f>
        <v>-0.2964839217</v>
      </c>
      <c r="S3266" s="188">
        <f>IPMT('Assumptions (Oil G&amp;T)'!$B$73,Model!AC$1,'Assumptions (Oil G&amp;T)'!$B$76,Model!$M$3201)</f>
        <v>-0.2755266807</v>
      </c>
      <c r="T3266" s="188">
        <f>IPMT('Assumptions (Oil G&amp;T)'!$B$73,Model!AD$1,'Assumptions (Oil G&amp;T)'!$B$76,Model!$M$3201)</f>
        <v>-0.2529976467</v>
      </c>
      <c r="U3266" s="188">
        <f>IPMT('Assumptions (Oil G&amp;T)'!$B$73,Model!AE$1,'Assumptions (Oil G&amp;T)'!$B$76,Model!$M$3201)</f>
        <v>-0.2287789351</v>
      </c>
      <c r="V3266" s="188">
        <f>IPMT('Assumptions (Oil G&amp;T)'!$B$73,Model!AF$1,'Assumptions (Oil G&amp;T)'!$B$76,Model!$M$3201)</f>
        <v>-0.2027438201</v>
      </c>
      <c r="W3266" s="188">
        <f>IPMT('Assumptions (Oil G&amp;T)'!$B$73,Model!AG$1,'Assumptions (Oil G&amp;T)'!$B$76,Model!$M$3201)</f>
        <v>-0.1747560715</v>
      </c>
      <c r="X3266" s="188">
        <f>IPMT('Assumptions (Oil G&amp;T)'!$B$73,Model!AH$1,'Assumptions (Oil G&amp;T)'!$B$76,Model!$M$3201)</f>
        <v>-0.1446692418</v>
      </c>
      <c r="Y3266" s="188">
        <f>IPMT('Assumptions (Oil G&amp;T)'!$B$73,Model!AI$1,'Assumptions (Oil G&amp;T)'!$B$76,Model!$M$3201)</f>
        <v>-0.1123258998</v>
      </c>
      <c r="Z3266" s="188">
        <f>IPMT('Assumptions (Oil G&amp;T)'!$B$73,Model!AJ$1,'Assumptions (Oil G&amp;T)'!$B$76,Model!$M$3201)</f>
        <v>-0.0775568072</v>
      </c>
      <c r="AA3266" s="188">
        <f>IPMT('Assumptions (Oil G&amp;T)'!$B$73,Model!AK$1,'Assumptions (Oil G&amp;T)'!$B$76,Model!$M$3201)</f>
        <v>-0.04018003265</v>
      </c>
      <c r="AB3266" s="188"/>
      <c r="AC3266" s="188"/>
      <c r="AD3266" s="188"/>
      <c r="AE3266" s="188"/>
      <c r="AF3266" s="188"/>
      <c r="AG3266" s="188"/>
      <c r="AH3266" s="188"/>
      <c r="AI3266" s="188"/>
      <c r="AJ3266" s="188"/>
      <c r="AK3266" s="188"/>
    </row>
    <row r="3267" ht="15.75" hidden="1" customHeight="1" outlineLevel="1">
      <c r="A3267" s="385"/>
      <c r="B3267" s="38"/>
      <c r="C3267" s="188"/>
      <c r="D3267" s="188"/>
      <c r="E3267" s="188"/>
      <c r="F3267" s="188"/>
      <c r="G3267" s="188"/>
      <c r="H3267" s="188"/>
      <c r="I3267" s="188"/>
      <c r="J3267" s="188"/>
      <c r="K3267" s="188"/>
      <c r="L3267" s="188"/>
      <c r="M3267" s="188"/>
      <c r="N3267" s="188">
        <f>IPMT('Assumptions (Oil G&amp;T)'!$B$73,Model!W$1,'Assumptions (Oil G&amp;T)'!$B$76,Model!$N$3201)</f>
        <v>-0.2058890231</v>
      </c>
      <c r="O3267" s="188">
        <f>IPMT('Assumptions (Oil G&amp;T)'!$B$73,Model!X$1,'Assumptions (Oil G&amp;T)'!$B$76,Model!$N$3201)</f>
        <v>-0.1980061014</v>
      </c>
      <c r="P3267" s="188">
        <f>IPMT('Assumptions (Oil G&amp;T)'!$B$73,Model!Y$1,'Assumptions (Oil G&amp;T)'!$B$76,Model!$N$3201)</f>
        <v>-0.1895319606</v>
      </c>
      <c r="Q3267" s="188">
        <f>IPMT('Assumptions (Oil G&amp;T)'!$B$73,Model!Z$1,'Assumptions (Oil G&amp;T)'!$B$76,Model!$N$3201)</f>
        <v>-0.1804222593</v>
      </c>
      <c r="R3267" s="188">
        <f>IPMT('Assumptions (Oil G&amp;T)'!$B$73,Model!AA$1,'Assumptions (Oil G&amp;T)'!$B$76,Model!$N$3201)</f>
        <v>-0.1706293303</v>
      </c>
      <c r="S3267" s="188">
        <f>IPMT('Assumptions (Oil G&amp;T)'!$B$73,Model!AB$1,'Assumptions (Oil G&amp;T)'!$B$76,Model!$N$3201)</f>
        <v>-0.1601019317</v>
      </c>
      <c r="T3267" s="188">
        <f>IPMT('Assumptions (Oil G&amp;T)'!$B$73,Model!AC$1,'Assumptions (Oil G&amp;T)'!$B$76,Model!$N$3201)</f>
        <v>-0.1487849782</v>
      </c>
      <c r="U3267" s="188">
        <f>IPMT('Assumptions (Oil G&amp;T)'!$B$73,Model!AD$1,'Assumptions (Oil G&amp;T)'!$B$76,Model!$N$3201)</f>
        <v>-0.1366192531</v>
      </c>
      <c r="V3267" s="188">
        <f>IPMT('Assumptions (Oil G&amp;T)'!$B$73,Model!AE$1,'Assumptions (Oil G&amp;T)'!$B$76,Model!$N$3201)</f>
        <v>-0.1235410987</v>
      </c>
      <c r="W3267" s="188">
        <f>IPMT('Assumptions (Oil G&amp;T)'!$B$73,Model!AF$1,'Assumptions (Oil G&amp;T)'!$B$76,Model!$N$3201)</f>
        <v>-0.1094820827</v>
      </c>
      <c r="X3267" s="188">
        <f>IPMT('Assumptions (Oil G&amp;T)'!$B$73,Model!AG$1,'Assumptions (Oil G&amp;T)'!$B$76,Model!$N$3201)</f>
        <v>-0.09436864051</v>
      </c>
      <c r="Y3267" s="188">
        <f>IPMT('Assumptions (Oil G&amp;T)'!$B$73,Model!AH$1,'Assumptions (Oil G&amp;T)'!$B$76,Model!$N$3201)</f>
        <v>-0.07812169015</v>
      </c>
      <c r="Z3267" s="188">
        <f>IPMT('Assumptions (Oil G&amp;T)'!$B$73,Model!AI$1,'Assumptions (Oil G&amp;T)'!$B$76,Model!$N$3201)</f>
        <v>-0.06065621851</v>
      </c>
      <c r="AA3267" s="188">
        <f>IPMT('Assumptions (Oil G&amp;T)'!$B$73,Model!AJ$1,'Assumptions (Oil G&amp;T)'!$B$76,Model!$N$3201)</f>
        <v>-0.0418808365</v>
      </c>
      <c r="AB3267" s="188">
        <f>IPMT('Assumptions (Oil G&amp;T)'!$B$73,Model!AK$1,'Assumptions (Oil G&amp;T)'!$B$76,Model!$N$3201)</f>
        <v>-0.02169730084</v>
      </c>
      <c r="AC3267" s="188"/>
      <c r="AD3267" s="188"/>
      <c r="AE3267" s="188"/>
      <c r="AF3267" s="188"/>
      <c r="AG3267" s="188"/>
      <c r="AH3267" s="188"/>
      <c r="AI3267" s="188"/>
      <c r="AJ3267" s="188"/>
      <c r="AK3267" s="188"/>
      <c r="AL3267" s="188"/>
    </row>
    <row r="3268" ht="15.75" hidden="1" customHeight="1" outlineLevel="1">
      <c r="A3268" s="385"/>
      <c r="B3268" s="38"/>
      <c r="C3268" s="188"/>
      <c r="D3268" s="188"/>
      <c r="E3268" s="188"/>
      <c r="F3268" s="188"/>
      <c r="G3268" s="188"/>
      <c r="H3268" s="188"/>
      <c r="I3268" s="188"/>
      <c r="J3268" s="188"/>
      <c r="K3268" s="188"/>
      <c r="L3268" s="188"/>
      <c r="M3268" s="188"/>
      <c r="N3268" s="188"/>
      <c r="O3268" s="188">
        <f>IPMT('Assumptions (Oil G&amp;T)'!$B$73,Model!W$1,'Assumptions (Oil G&amp;T)'!$B$76,Model!$O$3201)</f>
        <v>-0.3641393702</v>
      </c>
      <c r="P3268" s="188">
        <f>IPMT('Assumptions (Oil G&amp;T)'!$B$73,Model!X$1,'Assumptions (Oil G&amp;T)'!$B$76,Model!$O$3201)</f>
        <v>-0.3501974801</v>
      </c>
      <c r="Q3268" s="188">
        <f>IPMT('Assumptions (Oil G&amp;T)'!$B$73,Model!Y$1,'Assumptions (Oil G&amp;T)'!$B$76,Model!$O$3201)</f>
        <v>-0.3352099482</v>
      </c>
      <c r="R3268" s="188">
        <f>IPMT('Assumptions (Oil G&amp;T)'!$B$73,Model!Z$1,'Assumptions (Oil G&amp;T)'!$B$76,Model!$O$3201)</f>
        <v>-0.3190983515</v>
      </c>
      <c r="S3268" s="188">
        <f>IPMT('Assumptions (Oil G&amp;T)'!$B$73,Model!AA$1,'Assumptions (Oil G&amp;T)'!$B$76,Model!$O$3201)</f>
        <v>-0.301778385</v>
      </c>
      <c r="T3268" s="188">
        <f>IPMT('Assumptions (Oil G&amp;T)'!$B$73,Model!AB$1,'Assumptions (Oil G&amp;T)'!$B$76,Model!$O$3201)</f>
        <v>-0.283159421</v>
      </c>
      <c r="U3268" s="188">
        <f>IPMT('Assumptions (Oil G&amp;T)'!$B$73,Model!AC$1,'Assumptions (Oil G&amp;T)'!$B$76,Model!$O$3201)</f>
        <v>-0.2631440347</v>
      </c>
      <c r="V3268" s="188">
        <f>IPMT('Assumptions (Oil G&amp;T)'!$B$73,Model!AD$1,'Assumptions (Oil G&amp;T)'!$B$76,Model!$O$3201)</f>
        <v>-0.2416274945</v>
      </c>
      <c r="W3268" s="188">
        <f>IPMT('Assumptions (Oil G&amp;T)'!$B$73,Model!AE$1,'Assumptions (Oil G&amp;T)'!$B$76,Model!$O$3201)</f>
        <v>-0.2184972137</v>
      </c>
      <c r="X3268" s="188">
        <f>IPMT('Assumptions (Oil G&amp;T)'!$B$73,Model!AF$1,'Assumptions (Oil G&amp;T)'!$B$76,Model!$O$3201)</f>
        <v>-0.1936321619</v>
      </c>
      <c r="Y3268" s="188">
        <f>IPMT('Assumptions (Oil G&amp;T)'!$B$73,Model!AG$1,'Assumptions (Oil G&amp;T)'!$B$76,Model!$O$3201)</f>
        <v>-0.1669022312</v>
      </c>
      <c r="Z3268" s="188">
        <f>IPMT('Assumptions (Oil G&amp;T)'!$B$73,Model!AH$1,'Assumptions (Oil G&amp;T)'!$B$76,Model!$O$3201)</f>
        <v>-0.1381675556</v>
      </c>
      <c r="AA3268" s="188">
        <f>IPMT('Assumptions (Oil G&amp;T)'!$B$73,Model!AI$1,'Assumptions (Oil G&amp;T)'!$B$76,Model!$O$3201)</f>
        <v>-0.1072777794</v>
      </c>
      <c r="AB3268" s="188">
        <f>IPMT('Assumptions (Oil G&amp;T)'!$B$73,Model!AJ$1,'Assumptions (Oil G&amp;T)'!$B$76,Model!$O$3201)</f>
        <v>-0.07407127004</v>
      </c>
      <c r="AC3268" s="188">
        <f>IPMT('Assumptions (Oil G&amp;T)'!$B$73,Model!AK$1,'Assumptions (Oil G&amp;T)'!$B$76,Model!$O$3201)</f>
        <v>-0.03837427243</v>
      </c>
      <c r="AD3268" s="188"/>
      <c r="AE3268" s="188"/>
      <c r="AF3268" s="188"/>
      <c r="AG3268" s="188"/>
      <c r="AH3268" s="188"/>
      <c r="AI3268" s="188"/>
      <c r="AJ3268" s="188"/>
      <c r="AK3268" s="188"/>
      <c r="AL3268" s="188"/>
      <c r="AM3268" s="188"/>
    </row>
    <row r="3269" ht="15.75" hidden="1" customHeight="1" outlineLevel="1">
      <c r="A3269" s="385"/>
      <c r="B3269" s="38"/>
      <c r="C3269" s="188"/>
      <c r="D3269" s="188"/>
      <c r="E3269" s="188"/>
      <c r="F3269" s="188"/>
      <c r="G3269" s="188"/>
      <c r="H3269" s="188"/>
      <c r="I3269" s="188"/>
      <c r="J3269" s="188"/>
      <c r="K3269" s="188"/>
      <c r="L3269" s="188"/>
      <c r="M3269" s="188"/>
      <c r="N3269" s="188"/>
      <c r="O3269" s="188"/>
      <c r="P3269" s="188">
        <f>IPMT('Assumptions (Oil G&amp;T)'!$B$73,Model!W$1,'Assumptions (Oil G&amp;T)'!$B$76,Model!$P$3201)</f>
        <v>-0.7927797086</v>
      </c>
      <c r="Q3269" s="188">
        <f>IPMT('Assumptions (Oil G&amp;T)'!$B$73,Model!X$1,'Assumptions (Oil G&amp;T)'!$B$76,Model!$P$3201)</f>
        <v>-0.7624263646</v>
      </c>
      <c r="R3269" s="188">
        <f>IPMT('Assumptions (Oil G&amp;T)'!$B$73,Model!Y$1,'Assumptions (Oil G&amp;T)'!$B$76,Model!$P$3201)</f>
        <v>-0.7297965198</v>
      </c>
      <c r="S3269" s="188">
        <f>IPMT('Assumptions (Oil G&amp;T)'!$B$73,Model!Z$1,'Assumptions (Oil G&amp;T)'!$B$76,Model!$P$3201)</f>
        <v>-0.6947194366</v>
      </c>
      <c r="T3269" s="188">
        <f>IPMT('Assumptions (Oil G&amp;T)'!$B$73,Model!AA$1,'Assumptions (Oil G&amp;T)'!$B$76,Model!$P$3201)</f>
        <v>-0.6570115722</v>
      </c>
      <c r="U3269" s="188">
        <f>IPMT('Assumptions (Oil G&amp;T)'!$B$73,Model!AB$1,'Assumptions (Oil G&amp;T)'!$B$76,Model!$P$3201)</f>
        <v>-0.616475618</v>
      </c>
      <c r="V3269" s="188">
        <f>IPMT('Assumptions (Oil G&amp;T)'!$B$73,Model!AC$1,'Assumptions (Oil G&amp;T)'!$B$76,Model!$P$3201)</f>
        <v>-0.5728994672</v>
      </c>
      <c r="W3269" s="188">
        <f>IPMT('Assumptions (Oil G&amp;T)'!$B$73,Model!AD$1,'Assumptions (Oil G&amp;T)'!$B$76,Model!$P$3201)</f>
        <v>-0.5260551051</v>
      </c>
      <c r="X3269" s="188">
        <f>IPMT('Assumptions (Oil G&amp;T)'!$B$73,Model!AE$1,'Assumptions (Oil G&amp;T)'!$B$76,Model!$P$3201)</f>
        <v>-0.4756974158</v>
      </c>
      <c r="Y3269" s="188">
        <f>IPMT('Assumptions (Oil G&amp;T)'!$B$73,Model!AF$1,'Assumptions (Oil G&amp;T)'!$B$76,Model!$P$3201)</f>
        <v>-0.4215628999</v>
      </c>
      <c r="Z3269" s="188">
        <f>IPMT('Assumptions (Oil G&amp;T)'!$B$73,Model!AG$1,'Assumptions (Oil G&amp;T)'!$B$76,Model!$P$3201)</f>
        <v>-0.3633682952</v>
      </c>
      <c r="AA3269" s="188">
        <f>IPMT('Assumptions (Oil G&amp;T)'!$B$73,Model!AH$1,'Assumptions (Oil G&amp;T)'!$B$76,Model!$P$3201)</f>
        <v>-0.3008090952</v>
      </c>
      <c r="AB3269" s="188">
        <f>IPMT('Assumptions (Oil G&amp;T)'!$B$73,Model!AI$1,'Assumptions (Oil G&amp;T)'!$B$76,Model!$P$3201)</f>
        <v>-0.2335579552</v>
      </c>
      <c r="AC3269" s="188">
        <f>IPMT('Assumptions (Oil G&amp;T)'!$B$73,Model!AJ$1,'Assumptions (Oil G&amp;T)'!$B$76,Model!$P$3201)</f>
        <v>-0.1612629797</v>
      </c>
      <c r="AD3269" s="188">
        <f>IPMT('Assumptions (Oil G&amp;T)'!$B$73,Model!AK$1,'Assumptions (Oil G&amp;T)'!$B$76,Model!$P$3201)</f>
        <v>-0.08354588106</v>
      </c>
      <c r="AE3269" s="188"/>
      <c r="AF3269" s="188"/>
      <c r="AG3269" s="188"/>
      <c r="AH3269" s="188"/>
      <c r="AI3269" s="188"/>
      <c r="AJ3269" s="188"/>
      <c r="AK3269" s="188"/>
      <c r="AL3269" s="188"/>
      <c r="AM3269" s="188"/>
      <c r="AN3269" s="188"/>
    </row>
    <row r="3270" ht="15.75" hidden="1" customHeight="1" outlineLevel="1">
      <c r="A3270" s="385"/>
      <c r="B3270" s="38"/>
      <c r="C3270" s="188"/>
      <c r="D3270" s="188"/>
      <c r="E3270" s="188"/>
      <c r="F3270" s="188"/>
      <c r="G3270" s="188"/>
      <c r="H3270" s="188"/>
      <c r="I3270" s="188"/>
      <c r="J3270" s="188"/>
      <c r="K3270" s="188"/>
      <c r="L3270" s="188"/>
      <c r="M3270" s="188"/>
      <c r="N3270" s="188"/>
      <c r="O3270" s="188"/>
      <c r="P3270" s="188"/>
      <c r="Q3270" s="188">
        <f>IPMT('Assumptions (Oil G&amp;T)'!$B$73,Model!W$1,'Assumptions (Oil G&amp;T)'!$B$76,Model!$Q$3201)</f>
        <v>-1.091825894</v>
      </c>
      <c r="R3270" s="188">
        <f>IPMT('Assumptions (Oil G&amp;T)'!$B$73,Model!X$1,'Assumptions (Oil G&amp;T)'!$B$76,Model!$Q$3201)</f>
        <v>-1.050022898</v>
      </c>
      <c r="S3270" s="188">
        <f>IPMT('Assumptions (Oil G&amp;T)'!$B$73,Model!Y$1,'Assumptions (Oil G&amp;T)'!$B$76,Model!$Q$3201)</f>
        <v>-1.005084678</v>
      </c>
      <c r="T3270" s="188">
        <f>IPMT('Assumptions (Oil G&amp;T)'!$B$73,Model!Z$1,'Assumptions (Oil G&amp;T)'!$B$76,Model!$Q$3201)</f>
        <v>-0.9567760904</v>
      </c>
      <c r="U3270" s="188">
        <f>IPMT('Assumptions (Oil G&amp;T)'!$B$73,Model!AA$1,'Assumptions (Oil G&amp;T)'!$B$76,Model!$Q$3201)</f>
        <v>-0.9048443591</v>
      </c>
      <c r="V3270" s="188">
        <f>IPMT('Assumptions (Oil G&amp;T)'!$B$73,Model!AB$1,'Assumptions (Oil G&amp;T)'!$B$76,Model!$Q$3201)</f>
        <v>-0.849017748</v>
      </c>
      <c r="W3270" s="188">
        <f>IPMT('Assumptions (Oil G&amp;T)'!$B$73,Model!AC$1,'Assumptions (Oil G&amp;T)'!$B$76,Model!$Q$3201)</f>
        <v>-0.7890041411</v>
      </c>
      <c r="X3270" s="188">
        <f>IPMT('Assumptions (Oil G&amp;T)'!$B$73,Model!AD$1,'Assumptions (Oil G&amp;T)'!$B$76,Model!$Q$3201)</f>
        <v>-0.7244895137</v>
      </c>
      <c r="Y3270" s="188">
        <f>IPMT('Assumptions (Oil G&amp;T)'!$B$73,Model!AE$1,'Assumptions (Oil G&amp;T)'!$B$76,Model!$Q$3201)</f>
        <v>-0.6551362892</v>
      </c>
      <c r="Z3270" s="188">
        <f>IPMT('Assumptions (Oil G&amp;T)'!$B$73,Model!AF$1,'Assumptions (Oil G&amp;T)'!$B$76,Model!$Q$3201)</f>
        <v>-0.5805815728</v>
      </c>
      <c r="AA3270" s="188">
        <f>IPMT('Assumptions (Oil G&amp;T)'!$B$73,Model!AG$1,'Assumptions (Oil G&amp;T)'!$B$76,Model!$Q$3201)</f>
        <v>-0.5004352528</v>
      </c>
      <c r="AB3270" s="188">
        <f>IPMT('Assumptions (Oil G&amp;T)'!$B$73,Model!AH$1,'Assumptions (Oil G&amp;T)'!$B$76,Model!$Q$3201)</f>
        <v>-0.4142779587</v>
      </c>
      <c r="AC3270" s="188">
        <f>IPMT('Assumptions (Oil G&amp;T)'!$B$73,Model!AI$1,'Assumptions (Oil G&amp;T)'!$B$76,Model!$Q$3201)</f>
        <v>-0.3216588676</v>
      </c>
      <c r="AD3270" s="188">
        <f>IPMT('Assumptions (Oil G&amp;T)'!$B$73,Model!AJ$1,'Assumptions (Oil G&amp;T)'!$B$76,Model!$Q$3201)</f>
        <v>-0.2220933446</v>
      </c>
      <c r="AE3270" s="188">
        <f>IPMT('Assumptions (Oil G&amp;T)'!$B$73,Model!AK$1,'Assumptions (Oil G&amp;T)'!$B$76,Model!$Q$3201)</f>
        <v>-0.1150604075</v>
      </c>
      <c r="AF3270" s="188"/>
      <c r="AG3270" s="188"/>
      <c r="AH3270" s="188"/>
      <c r="AI3270" s="188"/>
      <c r="AJ3270" s="188"/>
      <c r="AK3270" s="188"/>
      <c r="AL3270" s="188"/>
      <c r="AM3270" s="188"/>
      <c r="AN3270" s="188"/>
      <c r="AO3270" s="188"/>
    </row>
    <row r="3271" ht="15.75" hidden="1" customHeight="1" outlineLevel="1">
      <c r="A3271" s="385"/>
      <c r="B3271" s="38"/>
      <c r="C3271" s="188"/>
      <c r="D3271" s="188"/>
      <c r="E3271" s="188"/>
      <c r="F3271" s="188"/>
      <c r="G3271" s="188"/>
      <c r="H3271" s="188"/>
      <c r="I3271" s="188"/>
      <c r="J3271" s="188"/>
      <c r="K3271" s="188"/>
      <c r="L3271" s="188"/>
      <c r="M3271" s="188"/>
      <c r="N3271" s="188"/>
      <c r="O3271" s="188"/>
      <c r="P3271" s="188"/>
      <c r="Q3271" s="188"/>
      <c r="R3271" s="188">
        <f>IPMT('Assumptions (Oil G&amp;T)'!$B$73,Model!W$1,'Assumptions (Oil G&amp;T)'!$B$76,Model!$R$3201)</f>
        <v>-0.8277884291</v>
      </c>
      <c r="S3271" s="188">
        <f>IPMT('Assumptions (Oil G&amp;T)'!$B$73,Model!X$1,'Assumptions (Oil G&amp;T)'!$B$76,Model!$R$3201)</f>
        <v>-0.796094698</v>
      </c>
      <c r="T3271" s="188">
        <f>IPMT('Assumptions (Oil G&amp;T)'!$B$73,Model!Y$1,'Assumptions (Oil G&amp;T)'!$B$76,Model!$R$3201)</f>
        <v>-0.762023937</v>
      </c>
      <c r="U3271" s="188">
        <f>IPMT('Assumptions (Oil G&amp;T)'!$B$73,Model!Z$1,'Assumptions (Oil G&amp;T)'!$B$76,Model!$R$3201)</f>
        <v>-0.7253978689</v>
      </c>
      <c r="V3271" s="188">
        <f>IPMT('Assumptions (Oil G&amp;T)'!$B$73,Model!AA$1,'Assumptions (Oil G&amp;T)'!$B$76,Model!$R$3201)</f>
        <v>-0.6860248457</v>
      </c>
      <c r="W3271" s="188">
        <f>IPMT('Assumptions (Oil G&amp;T)'!$B$73,Model!AB$1,'Assumptions (Oil G&amp;T)'!$B$76,Model!$R$3201)</f>
        <v>-0.6436988458</v>
      </c>
      <c r="X3271" s="188">
        <f>IPMT('Assumptions (Oil G&amp;T)'!$B$73,Model!AC$1,'Assumptions (Oil G&amp;T)'!$B$76,Model!$R$3201)</f>
        <v>-0.5981983959</v>
      </c>
      <c r="Y3271" s="188">
        <f>IPMT('Assumptions (Oil G&amp;T)'!$B$73,Model!AD$1,'Assumptions (Oil G&amp;T)'!$B$76,Model!$R$3201)</f>
        <v>-0.5492854123</v>
      </c>
      <c r="Z3271" s="188">
        <f>IPMT('Assumptions (Oil G&amp;T)'!$B$73,Model!AE$1,'Assumptions (Oil G&amp;T)'!$B$76,Model!$R$3201)</f>
        <v>-0.4967039549</v>
      </c>
      <c r="AA3271" s="188">
        <f>IPMT('Assumptions (Oil G&amp;T)'!$B$73,Model!AF$1,'Assumptions (Oil G&amp;T)'!$B$76,Model!$R$3201)</f>
        <v>-0.4401788882</v>
      </c>
      <c r="AB3271" s="188">
        <f>IPMT('Assumptions (Oil G&amp;T)'!$B$73,Model!AG$1,'Assumptions (Oil G&amp;T)'!$B$76,Model!$R$3201)</f>
        <v>-0.3794144414</v>
      </c>
      <c r="AC3271" s="188">
        <f>IPMT('Assumptions (Oil G&amp;T)'!$B$73,Model!AH$1,'Assumptions (Oil G&amp;T)'!$B$76,Model!$R$3201)</f>
        <v>-0.3140926612</v>
      </c>
      <c r="AD3271" s="188">
        <f>IPMT('Assumptions (Oil G&amp;T)'!$B$73,Model!AI$1,'Assumptions (Oil G&amp;T)'!$B$76,Model!$R$3201)</f>
        <v>-0.2438717474</v>
      </c>
      <c r="AE3271" s="188">
        <f>IPMT('Assumptions (Oil G&amp;T)'!$B$73,Model!AJ$1,'Assumptions (Oil G&amp;T)'!$B$76,Model!$R$3201)</f>
        <v>-0.1683842652</v>
      </c>
      <c r="AF3271" s="188">
        <f>IPMT('Assumptions (Oil G&amp;T)'!$B$73,Model!AK$1,'Assumptions (Oil G&amp;T)'!$B$76,Model!$R$3201)</f>
        <v>-0.08723522171</v>
      </c>
      <c r="AG3271" s="188"/>
      <c r="AH3271" s="188"/>
      <c r="AI3271" s="188"/>
      <c r="AJ3271" s="188"/>
      <c r="AK3271" s="188"/>
      <c r="AL3271" s="188"/>
      <c r="AM3271" s="188"/>
      <c r="AN3271" s="188"/>
      <c r="AO3271" s="188"/>
      <c r="AP3271" s="188"/>
    </row>
    <row r="3272" ht="15.75" hidden="1" customHeight="1" outlineLevel="1">
      <c r="A3272" s="385"/>
      <c r="B3272" s="38"/>
      <c r="C3272" s="188"/>
      <c r="D3272" s="188"/>
      <c r="E3272" s="188"/>
      <c r="F3272" s="188"/>
      <c r="G3272" s="188"/>
      <c r="H3272" s="188"/>
      <c r="I3272" s="188"/>
      <c r="J3272" s="188"/>
      <c r="K3272" s="188"/>
      <c r="L3272" s="188"/>
      <c r="M3272" s="188"/>
      <c r="N3272" s="188"/>
      <c r="O3272" s="188"/>
      <c r="P3272" s="188"/>
      <c r="Q3272" s="188"/>
      <c r="R3272" s="188"/>
      <c r="S3272" s="188">
        <f>IPMT('Assumptions (Oil G&amp;T)'!$B$73,Model!W$1,'Assumptions (Oil G&amp;T)'!$B$76,Model!$S$3201)</f>
        <v>-0.5152839625</v>
      </c>
      <c r="T3272" s="188">
        <f>IPMT('Assumptions (Oil G&amp;T)'!$B$73,Model!X$1,'Assumptions (Oil G&amp;T)'!$B$76,Model!$S$3201)</f>
        <v>-0.4955551637</v>
      </c>
      <c r="U3272" s="188">
        <f>IPMT('Assumptions (Oil G&amp;T)'!$B$73,Model!Y$1,'Assumptions (Oil G&amp;T)'!$B$76,Model!$S$3201)</f>
        <v>-0.474346705</v>
      </c>
      <c r="V3272" s="188">
        <f>IPMT('Assumptions (Oil G&amp;T)'!$B$73,Model!Z$1,'Assumptions (Oil G&amp;T)'!$B$76,Model!$S$3201)</f>
        <v>-0.4515476119</v>
      </c>
      <c r="W3272" s="188">
        <f>IPMT('Assumptions (Oil G&amp;T)'!$B$73,Model!AA$1,'Assumptions (Oil G&amp;T)'!$B$76,Model!$S$3201)</f>
        <v>-0.4270385868</v>
      </c>
      <c r="X3272" s="188">
        <f>IPMT('Assumptions (Oil G&amp;T)'!$B$73,Model!AB$1,'Assumptions (Oil G&amp;T)'!$B$76,Model!$S$3201)</f>
        <v>-0.4006913848</v>
      </c>
      <c r="Y3272" s="188">
        <f>IPMT('Assumptions (Oil G&amp;T)'!$B$73,Model!AC$1,'Assumptions (Oil G&amp;T)'!$B$76,Model!$S$3201)</f>
        <v>-0.3723681426</v>
      </c>
      <c r="Z3272" s="188">
        <f>IPMT('Assumptions (Oil G&amp;T)'!$B$73,Model!AD$1,'Assumptions (Oil G&amp;T)'!$B$76,Model!$S$3201)</f>
        <v>-0.3419206573</v>
      </c>
      <c r="AA3272" s="188">
        <f>IPMT('Assumptions (Oil G&amp;T)'!$B$73,Model!AE$1,'Assumptions (Oil G&amp;T)'!$B$76,Model!$S$3201)</f>
        <v>-0.3091896106</v>
      </c>
      <c r="AB3272" s="188">
        <f>IPMT('Assumptions (Oil G&amp;T)'!$B$73,Model!AF$1,'Assumptions (Oil G&amp;T)'!$B$76,Model!$S$3201)</f>
        <v>-0.2740037354</v>
      </c>
      <c r="AC3272" s="188">
        <f>IPMT('Assumptions (Oil G&amp;T)'!$B$73,Model!AG$1,'Assumptions (Oil G&amp;T)'!$B$76,Model!$S$3201)</f>
        <v>-0.2361789196</v>
      </c>
      <c r="AD3272" s="188">
        <f>IPMT('Assumptions (Oil G&amp;T)'!$B$73,Model!AH$1,'Assumptions (Oil G&amp;T)'!$B$76,Model!$S$3201)</f>
        <v>-0.1955172425</v>
      </c>
      <c r="AE3272" s="188">
        <f>IPMT('Assumptions (Oil G&amp;T)'!$B$73,Model!AI$1,'Assumptions (Oil G&amp;T)'!$B$76,Model!$S$3201)</f>
        <v>-0.1518059397</v>
      </c>
      <c r="AF3272" s="188">
        <f>IPMT('Assumptions (Oil G&amp;T)'!$B$73,Model!AJ$1,'Assumptions (Oil G&amp;T)'!$B$76,Model!$S$3201)</f>
        <v>-0.1048162892</v>
      </c>
      <c r="AG3272" s="188">
        <f>IPMT('Assumptions (Oil G&amp;T)'!$B$73,Model!AK$1,'Assumptions (Oil G&amp;T)'!$B$76,Model!$S$3201)</f>
        <v>-0.05430241489</v>
      </c>
      <c r="AH3272" s="188"/>
      <c r="AI3272" s="188"/>
      <c r="AJ3272" s="188"/>
      <c r="AK3272" s="188"/>
      <c r="AL3272" s="188"/>
      <c r="AM3272" s="188"/>
      <c r="AN3272" s="188"/>
      <c r="AO3272" s="188"/>
      <c r="AP3272" s="188"/>
      <c r="AQ3272" s="188"/>
    </row>
    <row r="3273" ht="15.75" hidden="1" customHeight="1" outlineLevel="1">
      <c r="A3273" s="385"/>
      <c r="B3273" s="38"/>
      <c r="C3273" s="188"/>
      <c r="D3273" s="188"/>
      <c r="E3273" s="188"/>
      <c r="F3273" s="188"/>
      <c r="G3273" s="188"/>
      <c r="H3273" s="188"/>
      <c r="I3273" s="188"/>
      <c r="J3273" s="188"/>
      <c r="K3273" s="188"/>
      <c r="L3273" s="188"/>
      <c r="M3273" s="188"/>
      <c r="N3273" s="188"/>
      <c r="O3273" s="188"/>
      <c r="P3273" s="188"/>
      <c r="Q3273" s="188"/>
      <c r="R3273" s="188"/>
      <c r="S3273" s="78"/>
      <c r="T3273" s="188">
        <f>IPMT('Assumptions (Oil G&amp;T)'!$B$73,Model!W$1,'Assumptions (Oil G&amp;T)'!$B$76,Model!$T$3201)</f>
        <v>-0.7976072964</v>
      </c>
      <c r="U3273" s="188">
        <f>IPMT('Assumptions (Oil G&amp;T)'!$B$73,Model!X$1,'Assumptions (Oil G&amp;T)'!$B$76,Model!$T$3201)</f>
        <v>-0.7670691174</v>
      </c>
      <c r="V3273" s="188">
        <f>IPMT('Assumptions (Oil G&amp;T)'!$B$73,Model!Y$1,'Assumptions (Oil G&amp;T)'!$B$76,Model!$T$3201)</f>
        <v>-0.734240575</v>
      </c>
      <c r="W3273" s="188">
        <f>IPMT('Assumptions (Oil G&amp;T)'!$B$73,Model!Z$1,'Assumptions (Oil G&amp;T)'!$B$76,Model!$T$3201)</f>
        <v>-0.6989498919</v>
      </c>
      <c r="X3273" s="188">
        <f>IPMT('Assumptions (Oil G&amp;T)'!$B$73,Model!AA$1,'Assumptions (Oil G&amp;T)'!$B$76,Model!$T$3201)</f>
        <v>-0.6610124076</v>
      </c>
      <c r="Y3273" s="188">
        <f>IPMT('Assumptions (Oil G&amp;T)'!$B$73,Model!AB$1,'Assumptions (Oil G&amp;T)'!$B$76,Model!$T$3201)</f>
        <v>-0.6202296119</v>
      </c>
      <c r="Z3273" s="188">
        <f>IPMT('Assumptions (Oil G&amp;T)'!$B$73,Model!AC$1,'Assumptions (Oil G&amp;T)'!$B$76,Model!$T$3201)</f>
        <v>-0.5763881066</v>
      </c>
      <c r="AA3273" s="188">
        <f>IPMT('Assumptions (Oil G&amp;T)'!$B$73,Model!AD$1,'Assumptions (Oil G&amp;T)'!$B$76,Model!$T$3201)</f>
        <v>-0.5292584883</v>
      </c>
      <c r="AB3273" s="188">
        <f>IPMT('Assumptions (Oil G&amp;T)'!$B$73,Model!AE$1,'Assumptions (Oil G&amp;T)'!$B$76,Model!$T$3201)</f>
        <v>-0.4785941487</v>
      </c>
      <c r="AC3273" s="188">
        <f>IPMT('Assumptions (Oil G&amp;T)'!$B$73,Model!AF$1,'Assumptions (Oil G&amp;T)'!$B$76,Model!$T$3201)</f>
        <v>-0.4241299837</v>
      </c>
      <c r="AD3273" s="188">
        <f>IPMT('Assumptions (Oil G&amp;T)'!$B$73,Model!AG$1,'Assumptions (Oil G&amp;T)'!$B$76,Model!$T$3201)</f>
        <v>-0.3655810062</v>
      </c>
      <c r="AE3273" s="188">
        <f>IPMT('Assumptions (Oil G&amp;T)'!$B$73,Model!AH$1,'Assumptions (Oil G&amp;T)'!$B$76,Model!$T$3201)</f>
        <v>-0.3026408554</v>
      </c>
      <c r="AF3273" s="188">
        <f>IPMT('Assumptions (Oil G&amp;T)'!$B$73,Model!AI$1,'Assumptions (Oil G&amp;T)'!$B$76,Model!$T$3201)</f>
        <v>-0.2349801934</v>
      </c>
      <c r="AG3273" s="188">
        <f>IPMT('Assumptions (Oil G&amp;T)'!$B$73,Model!AJ$1,'Assumptions (Oil G&amp;T)'!$B$76,Model!$T$3201)</f>
        <v>-0.1622449817</v>
      </c>
      <c r="AH3273" s="188">
        <f>IPMT('Assumptions (Oil G&amp;T)'!$B$73,Model!AK$1,'Assumptions (Oil G&amp;T)'!$B$76,Model!$T$3201)</f>
        <v>-0.08405462905</v>
      </c>
      <c r="AI3273" s="188"/>
      <c r="AJ3273" s="188"/>
      <c r="AK3273" s="188"/>
      <c r="AL3273" s="188"/>
      <c r="AM3273" s="188"/>
      <c r="AN3273" s="188"/>
      <c r="AO3273" s="188"/>
      <c r="AP3273" s="188"/>
      <c r="AQ3273" s="188"/>
      <c r="AR3273" s="188"/>
    </row>
    <row r="3274" ht="15.75" hidden="1" customHeight="1" outlineLevel="1">
      <c r="A3274" s="385"/>
      <c r="B3274" s="38"/>
      <c r="C3274" s="188"/>
      <c r="D3274" s="188"/>
      <c r="E3274" s="188"/>
      <c r="F3274" s="188"/>
      <c r="G3274" s="188"/>
      <c r="H3274" s="188"/>
      <c r="I3274" s="188"/>
      <c r="J3274" s="188"/>
      <c r="K3274" s="188"/>
      <c r="L3274" s="188"/>
      <c r="M3274" s="188"/>
      <c r="N3274" s="188"/>
      <c r="O3274" s="188"/>
      <c r="P3274" s="188"/>
      <c r="Q3274" s="188"/>
      <c r="R3274" s="188"/>
      <c r="S3274" s="78"/>
      <c r="T3274" s="78"/>
      <c r="U3274" s="188">
        <f>IPMT('Assumptions (Oil G&amp;T)'!$B$73,Model!W$1,'Assumptions (Oil G&amp;T)'!$B$76,Model!$U$3201)</f>
        <v>-0.8690745389</v>
      </c>
      <c r="V3274" s="188">
        <f>IPMT('Assumptions (Oil G&amp;T)'!$B$73,Model!X$1,'Assumptions (Oil G&amp;T)'!$B$76,Model!$U$3201)</f>
        <v>-0.8358000767</v>
      </c>
      <c r="W3274" s="188">
        <f>IPMT('Assumptions (Oil G&amp;T)'!$B$73,Model!Y$1,'Assumptions (Oil G&amp;T)'!$B$76,Model!$U$3201)</f>
        <v>-0.8000300298</v>
      </c>
      <c r="X3274" s="188">
        <f>IPMT('Assumptions (Oil G&amp;T)'!$B$73,Model!Z$1,'Assumptions (Oil G&amp;T)'!$B$76,Model!$U$3201)</f>
        <v>-0.7615772295</v>
      </c>
      <c r="Y3274" s="188">
        <f>IPMT('Assumptions (Oil G&amp;T)'!$B$73,Model!AA$1,'Assumptions (Oil G&amp;T)'!$B$76,Model!$U$3201)</f>
        <v>-0.7202404691</v>
      </c>
      <c r="Z3274" s="188">
        <f>IPMT('Assumptions (Oil G&amp;T)'!$B$73,Model!AB$1,'Assumptions (Oil G&amp;T)'!$B$76,Model!$U$3201)</f>
        <v>-0.6758034516</v>
      </c>
      <c r="AA3274" s="188">
        <f>IPMT('Assumptions (Oil G&amp;T)'!$B$73,Model!AC$1,'Assumptions (Oil G&amp;T)'!$B$76,Model!$U$3201)</f>
        <v>-0.6280336579</v>
      </c>
      <c r="AB3274" s="188">
        <f>IPMT('Assumptions (Oil G&amp;T)'!$B$73,Model!AD$1,'Assumptions (Oil G&amp;T)'!$B$76,Model!$U$3201)</f>
        <v>-0.5766811296</v>
      </c>
      <c r="AC3274" s="188">
        <f>IPMT('Assumptions (Oil G&amp;T)'!$B$73,Model!AE$1,'Assumptions (Oil G&amp;T)'!$B$76,Model!$U$3201)</f>
        <v>-0.5214771617</v>
      </c>
      <c r="AD3274" s="188">
        <f>IPMT('Assumptions (Oil G&amp;T)'!$B$73,Model!AF$1,'Assumptions (Oil G&amp;T)'!$B$76,Model!$U$3201)</f>
        <v>-0.4621328963</v>
      </c>
      <c r="AE3274" s="188">
        <f>IPMT('Assumptions (Oil G&amp;T)'!$B$73,Model!AG$1,'Assumptions (Oil G&amp;T)'!$B$76,Model!$U$3201)</f>
        <v>-0.3983378109</v>
      </c>
      <c r="AF3274" s="188">
        <f>IPMT('Assumptions (Oil G&amp;T)'!$B$73,Model!AH$1,'Assumptions (Oil G&amp;T)'!$B$76,Model!$U$3201)</f>
        <v>-0.3297580941</v>
      </c>
      <c r="AG3274" s="188">
        <f>IPMT('Assumptions (Oil G&amp;T)'!$B$73,Model!AI$1,'Assumptions (Oil G&amp;T)'!$B$76,Model!$U$3201)</f>
        <v>-0.2560348985</v>
      </c>
      <c r="AH3274" s="188">
        <f>IPMT('Assumptions (Oil G&amp;T)'!$B$73,Model!AJ$1,'Assumptions (Oil G&amp;T)'!$B$76,Model!$U$3201)</f>
        <v>-0.1767824633</v>
      </c>
      <c r="AI3274" s="188">
        <f>IPMT('Assumptions (Oil G&amp;T)'!$B$73,Model!AK$1,'Assumptions (Oil G&amp;T)'!$B$76,Model!$U$3201)</f>
        <v>-0.09158609545</v>
      </c>
      <c r="AJ3274" s="188"/>
      <c r="AK3274" s="188"/>
      <c r="AL3274" s="188"/>
      <c r="AM3274" s="188"/>
      <c r="AN3274" s="188"/>
      <c r="AO3274" s="188"/>
      <c r="AP3274" s="188"/>
      <c r="AQ3274" s="188"/>
      <c r="AR3274" s="188"/>
      <c r="AS3274" s="188"/>
    </row>
    <row r="3275" ht="15.75" hidden="1" customHeight="1" outlineLevel="1">
      <c r="A3275" s="385"/>
      <c r="B3275" s="38"/>
      <c r="C3275" s="188"/>
      <c r="D3275" s="188"/>
      <c r="E3275" s="188"/>
      <c r="F3275" s="188"/>
      <c r="G3275" s="188"/>
      <c r="H3275" s="188"/>
      <c r="I3275" s="188"/>
      <c r="J3275" s="188"/>
      <c r="K3275" s="188"/>
      <c r="L3275" s="188"/>
      <c r="M3275" s="188"/>
      <c r="N3275" s="188"/>
      <c r="O3275" s="188"/>
      <c r="P3275" s="188"/>
      <c r="Q3275" s="188"/>
      <c r="R3275" s="188"/>
      <c r="S3275" s="78"/>
      <c r="T3275" s="78"/>
      <c r="U3275" s="78"/>
      <c r="V3275" s="188">
        <f>IPMT('Assumptions (Oil G&amp;T)'!$B$73,Model!W$1,'Assumptions (Oil G&amp;T)'!$B$76,Model!$V$3201)</f>
        <v>-0.9137219094</v>
      </c>
      <c r="W3275" s="188">
        <f>IPMT('Assumptions (Oil G&amp;T)'!$B$73,Model!X$1,'Assumptions (Oil G&amp;T)'!$B$76,Model!$V$3201)</f>
        <v>-0.8787380228</v>
      </c>
      <c r="X3275" s="188">
        <f>IPMT('Assumptions (Oil G&amp;T)'!$B$73,Model!Y$1,'Assumptions (Oil G&amp;T)'!$B$76,Model!$V$3201)</f>
        <v>-0.8411303447</v>
      </c>
      <c r="Y3275" s="188">
        <f>IPMT('Assumptions (Oil G&amp;T)'!$B$73,Model!Z$1,'Assumptions (Oil G&amp;T)'!$B$76,Model!$V$3201)</f>
        <v>-0.8007020907</v>
      </c>
      <c r="Z3275" s="188">
        <f>IPMT('Assumptions (Oil G&amp;T)'!$B$73,Model!AA$1,'Assumptions (Oil G&amp;T)'!$B$76,Model!$V$3201)</f>
        <v>-0.7572417177</v>
      </c>
      <c r="AA3275" s="188">
        <f>IPMT('Assumptions (Oil G&amp;T)'!$B$73,Model!AB$1,'Assumptions (Oil G&amp;T)'!$B$76,Model!$V$3201)</f>
        <v>-0.7105218167</v>
      </c>
      <c r="AB3275" s="188">
        <f>IPMT('Assumptions (Oil G&amp;T)'!$B$73,Model!AC$1,'Assumptions (Oil G&amp;T)'!$B$76,Model!$V$3201)</f>
        <v>-0.6602979231</v>
      </c>
      <c r="AC3275" s="188">
        <f>IPMT('Assumptions (Oil G&amp;T)'!$B$73,Model!AD$1,'Assumptions (Oil G&amp;T)'!$B$76,Model!$V$3201)</f>
        <v>-0.6063072376</v>
      </c>
      <c r="AD3275" s="188">
        <f>IPMT('Assumptions (Oil G&amp;T)'!$B$73,Model!AE$1,'Assumptions (Oil G&amp;T)'!$B$76,Model!$V$3201)</f>
        <v>-0.5482672505</v>
      </c>
      <c r="AE3275" s="188">
        <f>IPMT('Assumptions (Oil G&amp;T)'!$B$73,Model!AF$1,'Assumptions (Oil G&amp;T)'!$B$76,Model!$V$3201)</f>
        <v>-0.4858742645</v>
      </c>
      <c r="AF3275" s="188">
        <f>IPMT('Assumptions (Oil G&amp;T)'!$B$73,Model!AG$1,'Assumptions (Oil G&amp;T)'!$B$76,Model!$V$3201)</f>
        <v>-0.4188018045</v>
      </c>
      <c r="AG3275" s="188">
        <f>IPMT('Assumptions (Oil G&amp;T)'!$B$73,Model!AH$1,'Assumptions (Oil G&amp;T)'!$B$76,Model!$V$3201)</f>
        <v>-0.34669891</v>
      </c>
      <c r="AH3275" s="188">
        <f>IPMT('Assumptions (Oil G&amp;T)'!$B$73,Model!AI$1,'Assumptions (Oil G&amp;T)'!$B$76,Model!$V$3201)</f>
        <v>-0.2691882985</v>
      </c>
      <c r="AI3275" s="188">
        <f>IPMT('Assumptions (Oil G&amp;T)'!$B$73,Model!AJ$1,'Assumptions (Oil G&amp;T)'!$B$76,Model!$V$3201)</f>
        <v>-0.185864391</v>
      </c>
      <c r="AJ3275" s="188">
        <f>IPMT('Assumptions (Oil G&amp;T)'!$B$73,Model!AK$1,'Assumptions (Oil G&amp;T)'!$B$76,Model!$V$3201)</f>
        <v>-0.09629119053</v>
      </c>
      <c r="AK3275" s="188"/>
      <c r="AL3275" s="188"/>
      <c r="AM3275" s="188"/>
      <c r="AN3275" s="188"/>
      <c r="AO3275" s="188"/>
      <c r="AP3275" s="188"/>
      <c r="AQ3275" s="188"/>
      <c r="AR3275" s="188"/>
      <c r="AS3275" s="188"/>
      <c r="AT3275" s="188"/>
    </row>
    <row r="3276" ht="15.75" hidden="1" customHeight="1" outlineLevel="1">
      <c r="A3276" s="385"/>
      <c r="B3276" s="38"/>
      <c r="C3276" s="188"/>
      <c r="D3276" s="188"/>
      <c r="E3276" s="188"/>
      <c r="F3276" s="188"/>
      <c r="G3276" s="188"/>
      <c r="H3276" s="188"/>
      <c r="I3276" s="188"/>
      <c r="J3276" s="188"/>
      <c r="K3276" s="188"/>
      <c r="L3276" s="188"/>
      <c r="M3276" s="188"/>
      <c r="N3276" s="188"/>
      <c r="O3276" s="188"/>
      <c r="P3276" s="188"/>
      <c r="Q3276" s="188"/>
      <c r="R3276" s="188"/>
      <c r="S3276" s="78"/>
      <c r="T3276" s="78"/>
      <c r="U3276" s="78"/>
      <c r="V3276" s="78"/>
      <c r="W3276" s="188">
        <f>IPMT('Assumptions (Oil G&amp;T)'!$B$73,Model!W$1,'Assumptions (Oil G&amp;T)'!$B$76,Model!$W$3201)</f>
        <v>-0.9442434698</v>
      </c>
      <c r="X3276" s="188">
        <f>IPMT('Assumptions (Oil G&amp;T)'!$B$73,Model!X$1,'Assumptions (Oil G&amp;T)'!$B$76,Model!$W$3201)</f>
        <v>-0.908090997</v>
      </c>
      <c r="Y3276" s="188">
        <f>IPMT('Assumptions (Oil G&amp;T)'!$B$73,Model!Y$1,'Assumptions (Oil G&amp;T)'!$B$76,Model!$W$3201)</f>
        <v>-0.8692270887</v>
      </c>
      <c r="Z3276" s="188">
        <f>IPMT('Assumptions (Oil G&amp;T)'!$B$73,Model!Z$1,'Assumptions (Oil G&amp;T)'!$B$76,Model!$W$3201)</f>
        <v>-0.8274483873</v>
      </c>
      <c r="AA3276" s="188">
        <f>IPMT('Assumptions (Oil G&amp;T)'!$B$73,Model!AA$1,'Assumptions (Oil G&amp;T)'!$B$76,Model!$W$3201)</f>
        <v>-0.7825362834</v>
      </c>
      <c r="AB3276" s="188">
        <f>IPMT('Assumptions (Oil G&amp;T)'!$B$73,Model!AB$1,'Assumptions (Oil G&amp;T)'!$B$76,Model!$W$3201)</f>
        <v>-0.7342557716</v>
      </c>
      <c r="AC3276" s="188">
        <f>IPMT('Assumptions (Oil G&amp;T)'!$B$73,Model!AC$1,'Assumptions (Oil G&amp;T)'!$B$76,Model!$W$3201)</f>
        <v>-0.6823542214</v>
      </c>
      <c r="AD3276" s="188">
        <f>IPMT('Assumptions (Oil G&amp;T)'!$B$73,Model!AD$1,'Assumptions (Oil G&amp;T)'!$B$76,Model!$W$3201)</f>
        <v>-0.6265600549</v>
      </c>
      <c r="AE3276" s="188">
        <f>IPMT('Assumptions (Oil G&amp;T)'!$B$73,Model!AE$1,'Assumptions (Oil G&amp;T)'!$B$76,Model!$W$3201)</f>
        <v>-0.566581326</v>
      </c>
      <c r="AF3276" s="188">
        <f>IPMT('Assumptions (Oil G&amp;T)'!$B$73,Model!AF$1,'Assumptions (Oil G&amp;T)'!$B$76,Model!$W$3201)</f>
        <v>-0.5021041924</v>
      </c>
      <c r="AG3276" s="188">
        <f>IPMT('Assumptions (Oil G&amp;T)'!$B$73,Model!AG$1,'Assumptions (Oil G&amp;T)'!$B$76,Model!$W$3201)</f>
        <v>-0.4327912738</v>
      </c>
      <c r="AH3276" s="188">
        <f>IPMT('Assumptions (Oil G&amp;T)'!$B$73,Model!AH$1,'Assumptions (Oil G&amp;T)'!$B$76,Model!$W$3201)</f>
        <v>-0.3582798863</v>
      </c>
      <c r="AI3276" s="188">
        <f>IPMT('Assumptions (Oil G&amp;T)'!$B$73,Model!AI$1,'Assumptions (Oil G&amp;T)'!$B$76,Model!$W$3201)</f>
        <v>-0.2781801447</v>
      </c>
      <c r="AJ3276" s="188">
        <f>IPMT('Assumptions (Oil G&amp;T)'!$B$73,Model!AJ$1,'Assumptions (Oil G&amp;T)'!$B$76,Model!$W$3201)</f>
        <v>-0.1920729225</v>
      </c>
      <c r="AK3276" s="188">
        <f>IPMT('Assumptions (Oil G&amp;T)'!$B$73,Model!AK$1,'Assumptions (Oil G&amp;T)'!$B$76,Model!$W$3201)</f>
        <v>-0.09950765865</v>
      </c>
      <c r="AL3276" s="188"/>
      <c r="AM3276" s="188"/>
      <c r="AN3276" s="188"/>
      <c r="AO3276" s="188"/>
      <c r="AP3276" s="188"/>
      <c r="AQ3276" s="188"/>
      <c r="AR3276" s="188"/>
      <c r="AS3276" s="188"/>
      <c r="AT3276" s="188"/>
      <c r="AU3276" s="188"/>
    </row>
    <row r="3277" ht="15.75" hidden="1" customHeight="1" outlineLevel="1">
      <c r="A3277" s="385"/>
      <c r="B3277" s="38"/>
      <c r="C3277" s="188"/>
      <c r="D3277" s="188"/>
      <c r="E3277" s="188"/>
      <c r="F3277" s="188"/>
      <c r="G3277" s="188"/>
      <c r="H3277" s="188"/>
      <c r="I3277" s="188"/>
      <c r="J3277" s="188"/>
      <c r="K3277" s="188"/>
      <c r="L3277" s="188"/>
      <c r="M3277" s="188"/>
      <c r="N3277" s="188"/>
      <c r="O3277" s="188"/>
      <c r="P3277" s="188"/>
      <c r="Q3277" s="188"/>
      <c r="R3277" s="188"/>
      <c r="S3277" s="78"/>
      <c r="T3277" s="78"/>
      <c r="U3277" s="78"/>
      <c r="V3277" s="78"/>
      <c r="W3277" s="139"/>
      <c r="X3277" s="188">
        <f>IPMT('Assumptions (Oil G&amp;T)'!$B$73,Model!W$1,'Assumptions (Oil G&amp;T)'!$B$76,Model!$X$3201)</f>
        <v>-0.9586531968</v>
      </c>
      <c r="Y3277" s="188">
        <f>IPMT('Assumptions (Oil G&amp;T)'!$B$73,Model!X$1,'Assumptions (Oil G&amp;T)'!$B$76,Model!$X$3201)</f>
        <v>-0.9219490154</v>
      </c>
      <c r="Z3277" s="188">
        <f>IPMT('Assumptions (Oil G&amp;T)'!$B$73,Model!Y$1,'Assumptions (Oil G&amp;T)'!$B$76,Model!$X$3201)</f>
        <v>-0.8824920203</v>
      </c>
      <c r="AA3277" s="188">
        <f>IPMT('Assumptions (Oil G&amp;T)'!$B$73,Model!Z$1,'Assumptions (Oil G&amp;T)'!$B$76,Model!$X$3201)</f>
        <v>-0.8400757507</v>
      </c>
      <c r="AB3277" s="188">
        <f>IPMT('Assumptions (Oil G&amp;T)'!$B$73,Model!AA$1,'Assumptions (Oil G&amp;T)'!$B$76,Model!$X$3201)</f>
        <v>-0.7944782608</v>
      </c>
      <c r="AC3277" s="188">
        <f>IPMT('Assumptions (Oil G&amp;T)'!$B$73,Model!AB$1,'Assumptions (Oil G&amp;T)'!$B$76,Model!$X$3201)</f>
        <v>-0.7454609592</v>
      </c>
      <c r="AD3277" s="188">
        <f>IPMT('Assumptions (Oil G&amp;T)'!$B$73,Model!AC$1,'Assumptions (Oil G&amp;T)'!$B$76,Model!$X$3201)</f>
        <v>-0.6927673599</v>
      </c>
      <c r="AE3277" s="188">
        <f>IPMT('Assumptions (Oil G&amp;T)'!$B$73,Model!AD$1,'Assumptions (Oil G&amp;T)'!$B$76,Model!$X$3201)</f>
        <v>-0.6361217407</v>
      </c>
      <c r="AF3277" s="188">
        <f>IPMT('Assumptions (Oil G&amp;T)'!$B$73,Model!AE$1,'Assumptions (Oil G&amp;T)'!$B$76,Model!$X$3201)</f>
        <v>-0.5752277</v>
      </c>
      <c r="AG3277" s="188">
        <f>IPMT('Assumptions (Oil G&amp;T)'!$B$73,Model!AF$1,'Assumptions (Oil G&amp;T)'!$B$76,Model!$X$3201)</f>
        <v>-0.5097666064</v>
      </c>
      <c r="AH3277" s="188">
        <f>IPMT('Assumptions (Oil G&amp;T)'!$B$73,Model!AG$1,'Assumptions (Oil G&amp;T)'!$B$76,Model!$X$3201)</f>
        <v>-0.4393959306</v>
      </c>
      <c r="AI3277" s="188">
        <f>IPMT('Assumptions (Oil G&amp;T)'!$B$73,Model!AH$1,'Assumptions (Oil G&amp;T)'!$B$76,Model!$X$3201)</f>
        <v>-0.3637474542</v>
      </c>
      <c r="AJ3277" s="188">
        <f>IPMT('Assumptions (Oil G&amp;T)'!$B$73,Model!AI$1,'Assumptions (Oil G&amp;T)'!$B$76,Model!$X$3201)</f>
        <v>-0.2824253421</v>
      </c>
      <c r="AK3277" s="188">
        <f>IPMT('Assumptions (Oil G&amp;T)'!$B$73,Model!AJ$1,'Assumptions (Oil G&amp;T)'!$B$76,Model!$X$3201)</f>
        <v>-0.1950040716</v>
      </c>
      <c r="AL3277" s="188">
        <f>IPMT('Assumptions (Oil G&amp;T)'!$B$73,Model!AK$1,'Assumptions (Oil G&amp;T)'!$B$76,Model!$X$3201)</f>
        <v>-0.1010262058</v>
      </c>
      <c r="AM3277" s="188"/>
      <c r="AN3277" s="188"/>
      <c r="AO3277" s="188"/>
      <c r="AP3277" s="188"/>
      <c r="AQ3277" s="188"/>
      <c r="AR3277" s="188"/>
      <c r="AS3277" s="188"/>
      <c r="AT3277" s="188"/>
      <c r="AU3277" s="188"/>
      <c r="AV3277" s="188"/>
    </row>
    <row r="3278" ht="15.75" hidden="1" customHeight="1" outlineLevel="1">
      <c r="A3278" s="385"/>
      <c r="B3278" s="38"/>
      <c r="C3278" s="188"/>
      <c r="D3278" s="188"/>
      <c r="E3278" s="188"/>
      <c r="F3278" s="188"/>
      <c r="G3278" s="188"/>
      <c r="H3278" s="188"/>
      <c r="I3278" s="188"/>
      <c r="J3278" s="188"/>
      <c r="K3278" s="188"/>
      <c r="L3278" s="188"/>
      <c r="M3278" s="188"/>
      <c r="N3278" s="188"/>
      <c r="O3278" s="188"/>
      <c r="P3278" s="188"/>
      <c r="Q3278" s="188"/>
      <c r="R3278" s="188"/>
      <c r="S3278" s="78"/>
      <c r="T3278" s="78"/>
      <c r="U3278" s="78"/>
      <c r="V3278" s="78"/>
      <c r="W3278" s="139"/>
      <c r="Y3278" s="188">
        <f>IPMT('Assumptions (Oil G&amp;T)'!$B$73,Model!W$1,'Assumptions (Oil G&amp;T)'!$B$76,Model!$Y$3201)</f>
        <v>-0.9615264368</v>
      </c>
      <c r="Z3278" s="188">
        <f>IPMT('Assumptions (Oil G&amp;T)'!$B$73,Model!X$1,'Assumptions (Oil G&amp;T)'!$B$76,Model!$Y$3201)</f>
        <v>-0.924712247</v>
      </c>
      <c r="AA3278" s="188">
        <f>IPMT('Assumptions (Oil G&amp;T)'!$B$73,Model!Y$1,'Assumptions (Oil G&amp;T)'!$B$76,Model!$Y$3201)</f>
        <v>-0.8851369929</v>
      </c>
      <c r="AB3278" s="188">
        <f>IPMT('Assumptions (Oil G&amp;T)'!$B$73,Model!Z$1,'Assumptions (Oil G&amp;T)'!$B$76,Model!$Y$3201)</f>
        <v>-0.8425935948</v>
      </c>
      <c r="AC3278" s="188">
        <f>IPMT('Assumptions (Oil G&amp;T)'!$B$73,Model!AA$1,'Assumptions (Oil G&amp;T)'!$B$76,Model!$Y$3201)</f>
        <v>-0.7968594417</v>
      </c>
      <c r="AD3278" s="188">
        <f>IPMT('Assumptions (Oil G&amp;T)'!$B$73,Model!AB$1,'Assumptions (Oil G&amp;T)'!$B$76,Model!$Y$3201)</f>
        <v>-0.7476952273</v>
      </c>
      <c r="AE3278" s="188">
        <f>IPMT('Assumptions (Oil G&amp;T)'!$B$73,Model!AC$1,'Assumptions (Oil G&amp;T)'!$B$76,Model!$Y$3201)</f>
        <v>-0.6948436967</v>
      </c>
      <c r="AF3278" s="188">
        <f>IPMT('Assumptions (Oil G&amp;T)'!$B$73,Model!AD$1,'Assumptions (Oil G&amp;T)'!$B$76,Model!$Y$3201)</f>
        <v>-0.6380283013</v>
      </c>
      <c r="AG3278" s="188">
        <f>IPMT('Assumptions (Oil G&amp;T)'!$B$73,Model!AE$1,'Assumptions (Oil G&amp;T)'!$B$76,Model!$Y$3201)</f>
        <v>-0.5769517513</v>
      </c>
      <c r="AH3278" s="188">
        <f>IPMT('Assumptions (Oil G&amp;T)'!$B$73,Model!AF$1,'Assumptions (Oil G&amp;T)'!$B$76,Model!$Y$3201)</f>
        <v>-0.51129446</v>
      </c>
      <c r="AI3278" s="188">
        <f>IPMT('Assumptions (Oil G&amp;T)'!$B$73,Model!AG$1,'Assumptions (Oil G&amp;T)'!$B$76,Model!$Y$3201)</f>
        <v>-0.4407128719</v>
      </c>
      <c r="AJ3278" s="188">
        <f>IPMT('Assumptions (Oil G&amp;T)'!$B$73,Model!AH$1,'Assumptions (Oil G&amp;T)'!$B$76,Model!$Y$3201)</f>
        <v>-0.3648376647</v>
      </c>
      <c r="AK3278" s="188">
        <f>IPMT('Assumptions (Oil G&amp;T)'!$B$73,Model!AI$1,'Assumptions (Oil G&amp;T)'!$B$76,Model!$Y$3201)</f>
        <v>-0.2832718169</v>
      </c>
      <c r="AL3278" s="188">
        <f>IPMT('Assumptions (Oil G&amp;T)'!$B$73,Model!AJ$1,'Assumptions (Oil G&amp;T)'!$B$76,Model!$Y$3201)</f>
        <v>-0.1955885306</v>
      </c>
      <c r="AM3278" s="188">
        <f>IPMT('Assumptions (Oil G&amp;T)'!$B$73,Model!AK$1,'Assumptions (Oil G&amp;T)'!$B$76,Model!$Y$3201)</f>
        <v>-0.1013289978</v>
      </c>
      <c r="AN3278" s="188"/>
      <c r="AO3278" s="188"/>
      <c r="AP3278" s="188"/>
      <c r="AQ3278" s="188"/>
      <c r="AR3278" s="188"/>
      <c r="AS3278" s="188"/>
      <c r="AT3278" s="188"/>
      <c r="AU3278" s="188"/>
      <c r="AV3278" s="188"/>
      <c r="AW3278" s="188"/>
    </row>
    <row r="3279" ht="15.75" hidden="1" customHeight="1" outlineLevel="1">
      <c r="A3279" s="385"/>
      <c r="B3279" s="38"/>
      <c r="C3279" s="188"/>
      <c r="D3279" s="188"/>
      <c r="E3279" s="188"/>
      <c r="F3279" s="188"/>
      <c r="G3279" s="188"/>
      <c r="H3279" s="188"/>
      <c r="I3279" s="188"/>
      <c r="J3279" s="188"/>
      <c r="K3279" s="188"/>
      <c r="L3279" s="188"/>
      <c r="M3279" s="188"/>
      <c r="N3279" s="188"/>
      <c r="O3279" s="188"/>
      <c r="P3279" s="188"/>
      <c r="Q3279" s="188"/>
      <c r="R3279" s="188"/>
      <c r="S3279" s="78"/>
      <c r="T3279" s="78"/>
      <c r="U3279" s="78"/>
      <c r="V3279" s="78"/>
      <c r="W3279" s="139"/>
      <c r="Z3279" s="188">
        <f>IPMT('Assumptions (Oil G&amp;T)'!$B$73,Model!W$1,'Assumptions (Oil G&amp;T)'!$B$76,Model!$Z$3201)</f>
        <v>-0.9614025948</v>
      </c>
      <c r="AA3279" s="188">
        <f>IPMT('Assumptions (Oil G&amp;T)'!$B$73,Model!X$1,'Assumptions (Oil G&amp;T)'!$B$76,Model!$Z$3201)</f>
        <v>-0.9245931465</v>
      </c>
      <c r="AB3279" s="188">
        <f>IPMT('Assumptions (Oil G&amp;T)'!$B$73,Model!Y$1,'Assumptions (Oil G&amp;T)'!$B$76,Model!$Z$3201)</f>
        <v>-0.8850229896</v>
      </c>
      <c r="AC3279" s="188">
        <f>IPMT('Assumptions (Oil G&amp;T)'!$B$73,Model!Z$1,'Assumptions (Oil G&amp;T)'!$B$76,Model!$Z$3201)</f>
        <v>-0.8424850709</v>
      </c>
      <c r="AD3279" s="188">
        <f>IPMT('Assumptions (Oil G&amp;T)'!$B$73,Model!AA$1,'Assumptions (Oil G&amp;T)'!$B$76,Model!$Z$3201)</f>
        <v>-0.7967568083</v>
      </c>
      <c r="AE3279" s="188">
        <f>IPMT('Assumptions (Oil G&amp;T)'!$B$73,Model!AB$1,'Assumptions (Oil G&amp;T)'!$B$76,Model!$Z$3201)</f>
        <v>-0.7475989261</v>
      </c>
      <c r="AF3279" s="188">
        <f>IPMT('Assumptions (Oil G&amp;T)'!$B$73,Model!AC$1,'Assumptions (Oil G&amp;T)'!$B$76,Model!$Z$3201)</f>
        <v>-0.6947542026</v>
      </c>
      <c r="AG3279" s="188">
        <f>IPMT('Assumptions (Oil G&amp;T)'!$B$73,Model!AD$1,'Assumptions (Oil G&amp;T)'!$B$76,Model!$Z$3201)</f>
        <v>-0.637946125</v>
      </c>
      <c r="AH3279" s="188">
        <f>IPMT('Assumptions (Oil G&amp;T)'!$B$73,Model!AE$1,'Assumptions (Oil G&amp;T)'!$B$76,Model!$Z$3201)</f>
        <v>-0.5768774414</v>
      </c>
      <c r="AI3279" s="188">
        <f>IPMT('Assumptions (Oil G&amp;T)'!$B$73,Model!AF$1,'Assumptions (Oil G&amp;T)'!$B$76,Model!$Z$3201)</f>
        <v>-0.5112286067</v>
      </c>
      <c r="AJ3279" s="188">
        <f>IPMT('Assumptions (Oil G&amp;T)'!$B$73,Model!AG$1,'Assumptions (Oil G&amp;T)'!$B$76,Model!$Z$3201)</f>
        <v>-0.4406561093</v>
      </c>
      <c r="AK3279" s="188">
        <f>IPMT('Assumptions (Oil G&amp;T)'!$B$73,Model!AH$1,'Assumptions (Oil G&amp;T)'!$B$76,Model!$Z$3201)</f>
        <v>-0.3647906746</v>
      </c>
      <c r="AL3279" s="188">
        <f>IPMT('Assumptions (Oil G&amp;T)'!$B$73,Model!AI$1,'Assumptions (Oil G&amp;T)'!$B$76,Model!$Z$3201)</f>
        <v>-0.2832353323</v>
      </c>
      <c r="AM3279" s="188">
        <f>IPMT('Assumptions (Oil G&amp;T)'!$B$73,Model!AJ$1,'Assumptions (Oil G&amp;T)'!$B$76,Model!$Z$3201)</f>
        <v>-0.1955633393</v>
      </c>
      <c r="AN3279" s="188">
        <f>IPMT('Assumptions (Oil G&amp;T)'!$B$73,Model!AK$1,'Assumptions (Oil G&amp;T)'!$B$76,Model!$Z$3201)</f>
        <v>-0.1013159469</v>
      </c>
      <c r="AO3279" s="188"/>
      <c r="AP3279" s="188"/>
      <c r="AQ3279" s="188"/>
      <c r="AR3279" s="188"/>
      <c r="AS3279" s="188"/>
      <c r="AT3279" s="188"/>
      <c r="AU3279" s="188"/>
      <c r="AV3279" s="188"/>
      <c r="AW3279" s="188"/>
      <c r="AX3279" s="188"/>
    </row>
    <row r="3280" ht="15.75" hidden="1" customHeight="1" outlineLevel="1">
      <c r="A3280" s="385"/>
      <c r="B3280" s="38"/>
      <c r="C3280" s="188"/>
      <c r="D3280" s="188"/>
      <c r="E3280" s="188"/>
      <c r="F3280" s="188"/>
      <c r="G3280" s="188"/>
      <c r="H3280" s="188"/>
      <c r="I3280" s="188"/>
      <c r="J3280" s="188"/>
      <c r="K3280" s="188"/>
      <c r="L3280" s="188"/>
      <c r="M3280" s="188"/>
      <c r="N3280" s="188"/>
      <c r="O3280" s="188"/>
      <c r="P3280" s="188"/>
      <c r="Q3280" s="188"/>
      <c r="R3280" s="188"/>
      <c r="S3280" s="78"/>
      <c r="T3280" s="78"/>
      <c r="U3280" s="78"/>
      <c r="V3280" s="78"/>
      <c r="W3280" s="139"/>
      <c r="AA3280" s="188">
        <f>IPMT('Assumptions (Oil G&amp;T)'!$B$73,Model!W$1,'Assumptions (Oil G&amp;T)'!$B$76,Model!$AA$3201)</f>
        <v>-0.9682211512</v>
      </c>
      <c r="AB3280" s="188">
        <f>IPMT('Assumptions (Oil G&amp;T)'!$B$73,Model!X$1,'Assumptions (Oil G&amp;T)'!$B$76,Model!$AA$3201)</f>
        <v>-0.9311506392</v>
      </c>
      <c r="AC3280" s="188">
        <f>IPMT('Assumptions (Oil G&amp;T)'!$B$73,Model!Y$1,'Assumptions (Oil G&amp;T)'!$B$76,Model!$AA$3201)</f>
        <v>-0.8912998389</v>
      </c>
      <c r="AD3280" s="188">
        <f>IPMT('Assumptions (Oil G&amp;T)'!$B$73,Model!Z$1,'Assumptions (Oil G&amp;T)'!$B$76,Model!$AA$3201)</f>
        <v>-0.8484602285</v>
      </c>
      <c r="AE3280" s="188">
        <f>IPMT('Assumptions (Oil G&amp;T)'!$B$73,Model!AA$1,'Assumptions (Oil G&amp;T)'!$B$76,Model!$AA$3201)</f>
        <v>-0.8024076473</v>
      </c>
      <c r="AF3280" s="188">
        <f>IPMT('Assumptions (Oil G&amp;T)'!$B$73,Model!AB$1,'Assumptions (Oil G&amp;T)'!$B$76,Model!$AA$3201)</f>
        <v>-0.7529011226</v>
      </c>
      <c r="AG3280" s="188">
        <f>IPMT('Assumptions (Oil G&amp;T)'!$B$73,Model!AC$1,'Assumptions (Oil G&amp;T)'!$B$76,Model!$AA$3201)</f>
        <v>-0.6996816085</v>
      </c>
      <c r="AH3280" s="188">
        <f>IPMT('Assumptions (Oil G&amp;T)'!$B$73,Model!AD$1,'Assumptions (Oil G&amp;T)'!$B$76,Model!$AA$3201)</f>
        <v>-0.6424706308</v>
      </c>
      <c r="AI3280" s="188">
        <f>IPMT('Assumptions (Oil G&amp;T)'!$B$73,Model!AE$1,'Assumptions (Oil G&amp;T)'!$B$76,Model!$AA$3201)</f>
        <v>-0.5809688298</v>
      </c>
      <c r="AJ3280" s="188">
        <f>IPMT('Assumptions (Oil G&amp;T)'!$B$73,Model!AF$1,'Assumptions (Oil G&amp;T)'!$B$76,Model!$AA$3201)</f>
        <v>-0.5148543937</v>
      </c>
      <c r="AK3280" s="188">
        <f>IPMT('Assumptions (Oil G&amp;T)'!$B$73,Model!AG$1,'Assumptions (Oil G&amp;T)'!$B$76,Model!$AA$3201)</f>
        <v>-0.443781375</v>
      </c>
      <c r="AL3280" s="188">
        <f>IPMT('Assumptions (Oil G&amp;T)'!$B$73,Model!AH$1,'Assumptions (Oil G&amp;T)'!$B$76,Model!$AA$3201)</f>
        <v>-0.3673778798</v>
      </c>
      <c r="AM3280" s="188">
        <f>IPMT('Assumptions (Oil G&amp;T)'!$B$73,Model!AI$1,'Assumptions (Oil G&amp;T)'!$B$76,Model!$AA$3201)</f>
        <v>-0.2852441225</v>
      </c>
      <c r="AN3280" s="188">
        <f>IPMT('Assumptions (Oil G&amp;T)'!$B$73,Model!AJ$1,'Assumptions (Oil G&amp;T)'!$B$76,Model!$AA$3201)</f>
        <v>-0.1969503333</v>
      </c>
      <c r="AO3280" s="188">
        <f>IPMT('Assumptions (Oil G&amp;T)'!$B$73,Model!AK$1,'Assumptions (Oil G&amp;T)'!$B$76,Model!$AA$3201)</f>
        <v>-0.10203451</v>
      </c>
      <c r="AP3280" s="188"/>
      <c r="AQ3280" s="188"/>
      <c r="AR3280" s="188"/>
      <c r="AS3280" s="188"/>
      <c r="AT3280" s="188"/>
      <c r="AU3280" s="188"/>
      <c r="AV3280" s="188"/>
      <c r="AW3280" s="188"/>
      <c r="AX3280" s="188"/>
      <c r="AY3280" s="188"/>
    </row>
    <row r="3281" ht="15.75" hidden="1" customHeight="1" outlineLevel="1">
      <c r="A3281" s="385"/>
      <c r="B3281" s="38"/>
      <c r="C3281" s="188"/>
      <c r="D3281" s="188"/>
      <c r="E3281" s="188"/>
      <c r="F3281" s="188"/>
      <c r="G3281" s="188"/>
      <c r="H3281" s="188"/>
      <c r="I3281" s="188"/>
      <c r="J3281" s="188"/>
      <c r="K3281" s="188"/>
      <c r="L3281" s="188"/>
      <c r="M3281" s="188"/>
      <c r="N3281" s="188"/>
      <c r="O3281" s="188"/>
      <c r="P3281" s="188"/>
      <c r="Q3281" s="188"/>
      <c r="R3281" s="188"/>
      <c r="S3281" s="78"/>
      <c r="T3281" s="78"/>
      <c r="U3281" s="78"/>
      <c r="V3281" s="78"/>
      <c r="W3281" s="139"/>
      <c r="AB3281" s="188">
        <f>IPMT('Assumptions (Oil G&amp;T)'!$B$73,Model!W$1,'Assumptions (Oil G&amp;T)'!$B$76,Model!$AB$3201)</f>
        <v>-0.97142377</v>
      </c>
      <c r="AC3281" s="188">
        <f>IPMT('Assumptions (Oil G&amp;T)'!$B$73,Model!X$1,'Assumptions (Oil G&amp;T)'!$B$76,Model!$AB$3201)</f>
        <v>-0.9342306386</v>
      </c>
      <c r="AD3281" s="188">
        <f>IPMT('Assumptions (Oil G&amp;T)'!$B$73,Model!Y$1,'Assumptions (Oil G&amp;T)'!$B$76,Model!$AB$3201)</f>
        <v>-0.8942480223</v>
      </c>
      <c r="AE3281" s="188">
        <f>IPMT('Assumptions (Oil G&amp;T)'!$B$73,Model!Z$1,'Assumptions (Oil G&amp;T)'!$B$76,Model!$AB$3201)</f>
        <v>-0.8512667099</v>
      </c>
      <c r="AF3281" s="188">
        <f>IPMT('Assumptions (Oil G&amp;T)'!$B$73,Model!AA$1,'Assumptions (Oil G&amp;T)'!$B$76,Model!$AB$3201)</f>
        <v>-0.805061799</v>
      </c>
      <c r="AG3281" s="188">
        <f>IPMT('Assumptions (Oil G&amp;T)'!$B$73,Model!AB$1,'Assumptions (Oil G&amp;T)'!$B$76,Model!$AB$3201)</f>
        <v>-0.7553915198</v>
      </c>
      <c r="AH3281" s="188">
        <f>IPMT('Assumptions (Oil G&amp;T)'!$B$73,Model!AC$1,'Assumptions (Oil G&amp;T)'!$B$76,Model!$AB$3201)</f>
        <v>-0.7019959696</v>
      </c>
      <c r="AI3281" s="188">
        <f>IPMT('Assumptions (Oil G&amp;T)'!$B$73,Model!AD$1,'Assumptions (Oil G&amp;T)'!$B$76,Model!$AB$3201)</f>
        <v>-0.6445957532</v>
      </c>
      <c r="AJ3281" s="188">
        <f>IPMT('Assumptions (Oil G&amp;T)'!$B$73,Model!AE$1,'Assumptions (Oil G&amp;T)'!$B$76,Model!$AB$3201)</f>
        <v>-0.5828905206</v>
      </c>
      <c r="AK3281" s="188">
        <f>IPMT('Assumptions (Oil G&amp;T)'!$B$73,Model!AF$1,'Assumptions (Oil G&amp;T)'!$B$76,Model!$AB$3201)</f>
        <v>-0.5165573955</v>
      </c>
      <c r="AL3281" s="188">
        <f>IPMT('Assumptions (Oil G&amp;T)'!$B$73,Model!AG$1,'Assumptions (Oil G&amp;T)'!$B$76,Model!$AB$3201)</f>
        <v>-0.445249286</v>
      </c>
      <c r="AM3281" s="188">
        <f>IPMT('Assumptions (Oil G&amp;T)'!$B$73,Model!AH$1,'Assumptions (Oil G&amp;T)'!$B$76,Model!$AB$3201)</f>
        <v>-0.3685930684</v>
      </c>
      <c r="AN3281" s="188">
        <f>IPMT('Assumptions (Oil G&amp;T)'!$B$73,Model!AI$1,'Assumptions (Oil G&amp;T)'!$B$76,Model!$AB$3201)</f>
        <v>-0.2861876344</v>
      </c>
      <c r="AO3281" s="188">
        <f>IPMT('Assumptions (Oil G&amp;T)'!$B$73,Model!AJ$1,'Assumptions (Oil G&amp;T)'!$B$76,Model!$AB$3201)</f>
        <v>-0.1976017928</v>
      </c>
      <c r="AP3281" s="188">
        <f>IPMT('Assumptions (Oil G&amp;T)'!$B$73,Model!AK$1,'Assumptions (Oil G&amp;T)'!$B$76,Model!$AB$3201)</f>
        <v>-0.1023720131</v>
      </c>
      <c r="AQ3281" s="188"/>
      <c r="AR3281" s="188"/>
      <c r="AS3281" s="188"/>
      <c r="AT3281" s="188"/>
      <c r="AU3281" s="188"/>
      <c r="AV3281" s="188"/>
      <c r="AW3281" s="188"/>
      <c r="AX3281" s="188"/>
      <c r="AY3281" s="188"/>
      <c r="AZ3281" s="188"/>
    </row>
    <row r="3282" ht="15.75" hidden="1" customHeight="1" outlineLevel="1">
      <c r="A3282" s="385"/>
      <c r="B3282" s="38"/>
      <c r="C3282" s="188"/>
      <c r="D3282" s="188"/>
      <c r="E3282" s="188"/>
      <c r="F3282" s="188"/>
      <c r="G3282" s="188"/>
      <c r="H3282" s="188"/>
      <c r="I3282" s="188"/>
      <c r="J3282" s="188"/>
      <c r="K3282" s="188"/>
      <c r="L3282" s="188"/>
      <c r="M3282" s="188"/>
      <c r="N3282" s="188"/>
      <c r="O3282" s="188"/>
      <c r="P3282" s="188"/>
      <c r="Q3282" s="188"/>
      <c r="R3282" s="188"/>
      <c r="S3282" s="78"/>
      <c r="T3282" s="78"/>
      <c r="U3282" s="78"/>
      <c r="V3282" s="78"/>
      <c r="W3282" s="139"/>
      <c r="AC3282" s="188">
        <f>IPMT('Assumptions (Oil G&amp;T)'!$B$73,Model!W$1,'Assumptions (Oil G&amp;T)'!$B$76,Model!$AC$3201)</f>
        <v>-0.9780195521</v>
      </c>
      <c r="AD3282" s="188">
        <f>IPMT('Assumptions (Oil G&amp;T)'!$B$73,Model!X$1,'Assumptions (Oil G&amp;T)'!$B$76,Model!$AC$3201)</f>
        <v>-0.9405738865</v>
      </c>
      <c r="AE3282" s="188">
        <f>IPMT('Assumptions (Oil G&amp;T)'!$B$73,Model!Y$1,'Assumptions (Oil G&amp;T)'!$B$76,Model!$AC$3201)</f>
        <v>-0.9003197959</v>
      </c>
      <c r="AF3282" s="188">
        <f>IPMT('Assumptions (Oil G&amp;T)'!$B$73,Model!Z$1,'Assumptions (Oil G&amp;T)'!$B$76,Model!$AC$3201)</f>
        <v>-0.8570466485</v>
      </c>
      <c r="AG3282" s="188">
        <f>IPMT('Assumptions (Oil G&amp;T)'!$B$73,Model!AA$1,'Assumptions (Oil G&amp;T)'!$B$76,Model!$AC$3201)</f>
        <v>-0.8105280151</v>
      </c>
      <c r="AH3282" s="188">
        <f>IPMT('Assumptions (Oil G&amp;T)'!$B$73,Model!AB$1,'Assumptions (Oil G&amp;T)'!$B$76,Model!$AC$3201)</f>
        <v>-0.7605204842</v>
      </c>
      <c r="AI3282" s="188">
        <f>IPMT('Assumptions (Oil G&amp;T)'!$B$73,Model!AC$1,'Assumptions (Oil G&amp;T)'!$B$76,Model!$AC$3201)</f>
        <v>-0.7067623884</v>
      </c>
      <c r="AJ3282" s="188">
        <f>IPMT('Assumptions (Oil G&amp;T)'!$B$73,Model!AD$1,'Assumptions (Oil G&amp;T)'!$B$76,Model!$AC$3201)</f>
        <v>-0.6489724355</v>
      </c>
      <c r="AK3282" s="188">
        <f>IPMT('Assumptions (Oil G&amp;T)'!$B$73,Model!AE$1,'Assumptions (Oil G&amp;T)'!$B$76,Model!$AC$3201)</f>
        <v>-0.5868482361</v>
      </c>
      <c r="AL3282" s="188">
        <f>IPMT('Assumptions (Oil G&amp;T)'!$B$73,Model!AF$1,'Assumptions (Oil G&amp;T)'!$B$76,Model!$AC$3201)</f>
        <v>-0.5200647217</v>
      </c>
      <c r="AM3282" s="188">
        <f>IPMT('Assumptions (Oil G&amp;T)'!$B$73,Model!AG$1,'Assumptions (Oil G&amp;T)'!$B$76,Model!$AC$3201)</f>
        <v>-0.4482724438</v>
      </c>
      <c r="AN3282" s="188">
        <f>IPMT('Assumptions (Oil G&amp;T)'!$B$73,Model!AH$1,'Assumptions (Oil G&amp;T)'!$B$76,Model!$AC$3201)</f>
        <v>-0.371095745</v>
      </c>
      <c r="AO3282" s="188">
        <f>IPMT('Assumptions (Oil G&amp;T)'!$B$73,Model!AI$1,'Assumptions (Oil G&amp;T)'!$B$76,Model!$AC$3201)</f>
        <v>-0.2881307938</v>
      </c>
      <c r="AP3282" s="188">
        <f>IPMT('Assumptions (Oil G&amp;T)'!$B$73,Model!AJ$1,'Assumptions (Oil G&amp;T)'!$B$76,Model!$AC$3201)</f>
        <v>-0.1989434713</v>
      </c>
      <c r="AQ3282" s="188">
        <f>IPMT('Assumptions (Oil G&amp;T)'!$B$73,Model!AK$1,'Assumptions (Oil G&amp;T)'!$B$76,Model!$AC$3201)</f>
        <v>-0.1030670996</v>
      </c>
      <c r="AR3282" s="188"/>
      <c r="AS3282" s="188"/>
      <c r="AT3282" s="188"/>
      <c r="AU3282" s="188"/>
      <c r="AV3282" s="188"/>
      <c r="AW3282" s="188"/>
      <c r="AX3282" s="188"/>
      <c r="AY3282" s="188"/>
      <c r="AZ3282" s="188"/>
      <c r="BA3282" s="188"/>
    </row>
    <row r="3283" ht="15.75" hidden="1" customHeight="1" outlineLevel="1">
      <c r="A3283" s="385"/>
      <c r="B3283" s="38"/>
      <c r="C3283" s="188"/>
      <c r="D3283" s="188"/>
      <c r="E3283" s="188"/>
      <c r="F3283" s="188"/>
      <c r="G3283" s="188"/>
      <c r="H3283" s="188"/>
      <c r="I3283" s="188"/>
      <c r="J3283" s="188"/>
      <c r="K3283" s="188"/>
      <c r="L3283" s="188"/>
      <c r="M3283" s="188"/>
      <c r="N3283" s="188"/>
      <c r="O3283" s="188"/>
      <c r="P3283" s="188"/>
      <c r="Q3283" s="188"/>
      <c r="R3283" s="188"/>
      <c r="S3283" s="78"/>
      <c r="T3283" s="78"/>
      <c r="U3283" s="78"/>
      <c r="V3283" s="78"/>
      <c r="W3283" s="139"/>
      <c r="AD3283" s="188">
        <f>IPMT('Assumptions (Oil G&amp;T)'!$B$73,Model!W$1,'Assumptions (Oil G&amp;T)'!$B$76,Model!$AD$3201)</f>
        <v>-0.985771556</v>
      </c>
      <c r="AE3283" s="188">
        <f>IPMT('Assumptions (Oil G&amp;T)'!$B$73,Model!X$1,'Assumptions (Oil G&amp;T)'!$B$76,Model!$AD$3201)</f>
        <v>-0.9480290876</v>
      </c>
      <c r="AF3283" s="188">
        <f>IPMT('Assumptions (Oil G&amp;T)'!$B$73,Model!Y$1,'Assumptions (Oil G&amp;T)'!$B$76,Model!$AD$3201)</f>
        <v>-0.907455934</v>
      </c>
      <c r="AG3283" s="188">
        <f>IPMT('Assumptions (Oil G&amp;T)'!$B$73,Model!Z$1,'Assumptions (Oil G&amp;T)'!$B$76,Model!$AD$3201)</f>
        <v>-0.8638397939</v>
      </c>
      <c r="AH3283" s="188">
        <f>IPMT('Assumptions (Oil G&amp;T)'!$B$73,Model!AA$1,'Assumptions (Oil G&amp;T)'!$B$76,Model!$AD$3201)</f>
        <v>-0.8169524433</v>
      </c>
      <c r="AI3283" s="188">
        <f>IPMT('Assumptions (Oil G&amp;T)'!$B$73,Model!AB$1,'Assumptions (Oil G&amp;T)'!$B$76,Model!$AD$3201)</f>
        <v>-0.7665485413</v>
      </c>
      <c r="AJ3283" s="188">
        <f>IPMT('Assumptions (Oil G&amp;T)'!$B$73,Model!AC$1,'Assumptions (Oil G&amp;T)'!$B$76,Model!$AD$3201)</f>
        <v>-0.7123643468</v>
      </c>
      <c r="AK3283" s="188">
        <f>IPMT('Assumptions (Oil G&amp;T)'!$B$73,Model!AD$1,'Assumptions (Oil G&amp;T)'!$B$76,Model!$AD$3201)</f>
        <v>-0.6541163376</v>
      </c>
      <c r="AL3283" s="188">
        <f>IPMT('Assumptions (Oil G&amp;T)'!$B$73,Model!AE$1,'Assumptions (Oil G&amp;T)'!$B$76,Model!$AD$3201)</f>
        <v>-0.5914997278</v>
      </c>
      <c r="AM3283" s="188">
        <f>IPMT('Assumptions (Oil G&amp;T)'!$B$73,Model!AF$1,'Assumptions (Oil G&amp;T)'!$B$76,Model!$AD$3201)</f>
        <v>-0.5241868722</v>
      </c>
      <c r="AN3283" s="188">
        <f>IPMT('Assumptions (Oil G&amp;T)'!$B$73,Model!AG$1,'Assumptions (Oil G&amp;T)'!$B$76,Model!$AD$3201)</f>
        <v>-0.4518255525</v>
      </c>
      <c r="AO3283" s="188">
        <f>IPMT('Assumptions (Oil G&amp;T)'!$B$73,Model!AH$1,'Assumptions (Oil G&amp;T)'!$B$76,Model!$AD$3201)</f>
        <v>-0.3740371337</v>
      </c>
      <c r="AP3283" s="188">
        <f>IPMT('Assumptions (Oil G&amp;T)'!$B$73,Model!AI$1,'Assumptions (Oil G&amp;T)'!$B$76,Model!$AD$3201)</f>
        <v>-0.2904145836</v>
      </c>
      <c r="AQ3283" s="188">
        <f>IPMT('Assumptions (Oil G&amp;T)'!$B$73,Model!AJ$1,'Assumptions (Oil G&amp;T)'!$B$76,Model!$AD$3201)</f>
        <v>-0.2005203422</v>
      </c>
      <c r="AR3283" s="188">
        <f>IPMT('Assumptions (Oil G&amp;T)'!$B$73,Model!AK$1,'Assumptions (Oil G&amp;T)'!$B$76,Model!$AD$3201)</f>
        <v>-0.1038840327</v>
      </c>
      <c r="AS3283" s="188"/>
      <c r="AT3283" s="188"/>
      <c r="AU3283" s="188"/>
      <c r="AV3283" s="188"/>
      <c r="AW3283" s="188"/>
      <c r="AX3283" s="188"/>
      <c r="AY3283" s="188"/>
      <c r="AZ3283" s="188"/>
      <c r="BA3283" s="188"/>
      <c r="BB3283" s="188"/>
    </row>
    <row r="3284" ht="15.75" hidden="1" customHeight="1" outlineLevel="1">
      <c r="A3284" s="385"/>
      <c r="B3284" s="38"/>
      <c r="C3284" s="188"/>
      <c r="D3284" s="188"/>
      <c r="E3284" s="188"/>
      <c r="F3284" s="188"/>
      <c r="G3284" s="188"/>
      <c r="H3284" s="188"/>
      <c r="I3284" s="188"/>
      <c r="J3284" s="188"/>
      <c r="K3284" s="188"/>
      <c r="L3284" s="188"/>
      <c r="M3284" s="188"/>
      <c r="N3284" s="188"/>
      <c r="O3284" s="188"/>
      <c r="P3284" s="188"/>
      <c r="Q3284" s="188"/>
      <c r="R3284" s="188"/>
      <c r="S3284" s="78"/>
      <c r="T3284" s="78"/>
      <c r="U3284" s="78"/>
      <c r="V3284" s="78"/>
      <c r="W3284" s="139"/>
      <c r="AE3284" s="188">
        <f>IPMT('Assumptions (Oil G&amp;T)'!$B$73,Model!W$1,'Assumptions (Oil G&amp;T)'!$B$76,Model!$AE$3201)</f>
        <v>-0.9868787258</v>
      </c>
      <c r="AF3284" s="188">
        <f>IPMT('Assumptions (Oil G&amp;T)'!$B$73,Model!X$1,'Assumptions (Oil G&amp;T)'!$B$76,Model!$AE$3201)</f>
        <v>-0.9490938669</v>
      </c>
      <c r="AG3284" s="188">
        <f>IPMT('Assumptions (Oil G&amp;T)'!$B$73,Model!Y$1,'Assumptions (Oil G&amp;T)'!$B$76,Model!$AE$3201)</f>
        <v>-0.9084751436</v>
      </c>
      <c r="AH3284" s="188">
        <f>IPMT('Assumptions (Oil G&amp;T)'!$B$73,Model!Z$1,'Assumptions (Oil G&amp;T)'!$B$76,Model!$AE$3201)</f>
        <v>-0.864810016</v>
      </c>
      <c r="AI3284" s="188">
        <f>IPMT('Assumptions (Oil G&amp;T)'!$B$73,Model!AA$1,'Assumptions (Oil G&amp;T)'!$B$76,Model!$AE$3201)</f>
        <v>-0.8178700038</v>
      </c>
      <c r="AJ3284" s="188">
        <f>IPMT('Assumptions (Oil G&amp;T)'!$B$73,Model!AB$1,'Assumptions (Oil G&amp;T)'!$B$76,Model!$AE$3201)</f>
        <v>-0.7674094907</v>
      </c>
      <c r="AK3284" s="188">
        <f>IPMT('Assumptions (Oil G&amp;T)'!$B$73,Model!AC$1,'Assumptions (Oil G&amp;T)'!$B$76,Model!$AE$3201)</f>
        <v>-0.7131644391</v>
      </c>
      <c r="AL3284" s="188">
        <f>IPMT('Assumptions (Oil G&amp;T)'!$B$73,Model!AD$1,'Assumptions (Oil G&amp;T)'!$B$76,Model!$AE$3201)</f>
        <v>-0.6548510087</v>
      </c>
      <c r="AM3284" s="188">
        <f>IPMT('Assumptions (Oil G&amp;T)'!$B$73,Model!AE$1,'Assumptions (Oil G&amp;T)'!$B$76,Model!$AE$3201)</f>
        <v>-0.592164071</v>
      </c>
      <c r="AN3284" s="188">
        <f>IPMT('Assumptions (Oil G&amp;T)'!$B$73,Model!AF$1,'Assumptions (Oil G&amp;T)'!$B$76,Model!$AE$3201)</f>
        <v>-0.5247756129</v>
      </c>
      <c r="AO3284" s="188">
        <f>IPMT('Assumptions (Oil G&amp;T)'!$B$73,Model!AG$1,'Assumptions (Oil G&amp;T)'!$B$76,Model!$AE$3201)</f>
        <v>-0.4523330205</v>
      </c>
      <c r="AP3284" s="188">
        <f>IPMT('Assumptions (Oil G&amp;T)'!$B$73,Model!AH$1,'Assumptions (Oil G&amp;T)'!$B$76,Model!$AE$3201)</f>
        <v>-0.3744572337</v>
      </c>
      <c r="AQ3284" s="188">
        <f>IPMT('Assumptions (Oil G&amp;T)'!$B$73,Model!AI$1,'Assumptions (Oil G&amp;T)'!$B$76,Model!$AE$3201)</f>
        <v>-0.2907407629</v>
      </c>
      <c r="AR3284" s="188">
        <f>IPMT('Assumptions (Oil G&amp;T)'!$B$73,Model!AJ$1,'Assumptions (Oil G&amp;T)'!$B$76,Model!$AE$3201)</f>
        <v>-0.2007455567</v>
      </c>
      <c r="AS3284" s="188">
        <f>IPMT('Assumptions (Oil G&amp;T)'!$B$73,Model!AK$1,'Assumptions (Oil G&amp;T)'!$B$76,Model!$AE$3201)</f>
        <v>-0.1040007101</v>
      </c>
      <c r="AT3284" s="188"/>
      <c r="AU3284" s="188"/>
      <c r="AV3284" s="188"/>
      <c r="AW3284" s="188"/>
      <c r="AX3284" s="188"/>
      <c r="AY3284" s="188"/>
      <c r="AZ3284" s="188"/>
      <c r="BA3284" s="188"/>
      <c r="BB3284" s="188"/>
      <c r="BC3284" s="188"/>
    </row>
    <row r="3285" ht="15.75" hidden="1" customHeight="1" outlineLevel="1">
      <c r="A3285" s="385"/>
      <c r="B3285" s="38"/>
      <c r="C3285" s="188"/>
      <c r="D3285" s="188"/>
      <c r="E3285" s="188"/>
      <c r="F3285" s="188"/>
      <c r="G3285" s="188"/>
      <c r="H3285" s="188"/>
      <c r="I3285" s="188"/>
      <c r="J3285" s="188"/>
      <c r="K3285" s="188"/>
      <c r="L3285" s="188"/>
      <c r="M3285" s="188"/>
      <c r="N3285" s="188"/>
      <c r="O3285" s="188"/>
      <c r="P3285" s="188"/>
      <c r="Q3285" s="188"/>
      <c r="R3285" s="188"/>
      <c r="S3285" s="78"/>
      <c r="T3285" s="78"/>
      <c r="U3285" s="78"/>
      <c r="V3285" s="78"/>
      <c r="W3285" s="139"/>
      <c r="AF3285" s="188">
        <f>IPMT('Assumptions (Oil G&amp;T)'!$B$73,Model!W$1,'Assumptions (Oil G&amp;T)'!$B$76,Model!$AF$3201)</f>
        <v>-0.9901244238</v>
      </c>
      <c r="AG3285" s="188">
        <f>IPMT('Assumptions (Oil G&amp;T)'!$B$73,Model!X$1,'Assumptions (Oil G&amp;T)'!$B$76,Model!$AF$3201)</f>
        <v>-0.9522152961</v>
      </c>
      <c r="AH3285" s="188">
        <f>IPMT('Assumptions (Oil G&amp;T)'!$B$73,Model!Y$1,'Assumptions (Oil G&amp;T)'!$B$76,Model!$AF$3201)</f>
        <v>-0.9114629838</v>
      </c>
      <c r="AI3285" s="188">
        <f>IPMT('Assumptions (Oil G&amp;T)'!$B$73,Model!Z$1,'Assumptions (Oil G&amp;T)'!$B$76,Model!$AF$3201)</f>
        <v>-0.867654248</v>
      </c>
      <c r="AJ3285" s="188">
        <f>IPMT('Assumptions (Oil G&amp;T)'!$B$73,Model!AA$1,'Assumptions (Oil G&amp;T)'!$B$76,Model!$AF$3201)</f>
        <v>-0.8205598571</v>
      </c>
      <c r="AK3285" s="188">
        <f>IPMT('Assumptions (Oil G&amp;T)'!$B$73,Model!AB$1,'Assumptions (Oil G&amp;T)'!$B$76,Model!$AF$3201)</f>
        <v>-0.7699333869</v>
      </c>
      <c r="AL3285" s="188">
        <f>IPMT('Assumptions (Oil G&amp;T)'!$B$73,Model!AC$1,'Assumptions (Oil G&amp;T)'!$B$76,Model!$AF$3201)</f>
        <v>-0.7155099313</v>
      </c>
      <c r="AM3285" s="188">
        <f>IPMT('Assumptions (Oil G&amp;T)'!$B$73,Model!AD$1,'Assumptions (Oil G&amp;T)'!$B$76,Model!$AF$3201)</f>
        <v>-0.6570047167</v>
      </c>
      <c r="AN3285" s="188">
        <f>IPMT('Assumptions (Oil G&amp;T)'!$B$73,Model!AE$1,'Assumptions (Oil G&amp;T)'!$B$76,Model!$AF$3201)</f>
        <v>-0.5941116109</v>
      </c>
      <c r="AO3285" s="188">
        <f>IPMT('Assumptions (Oil G&amp;T)'!$B$73,Model!AF$1,'Assumptions (Oil G&amp;T)'!$B$76,Model!$AF$3201)</f>
        <v>-0.5265015222</v>
      </c>
      <c r="AP3285" s="188">
        <f>IPMT('Assumptions (Oil G&amp;T)'!$B$73,Model!AG$1,'Assumptions (Oil G&amp;T)'!$B$76,Model!$AF$3201)</f>
        <v>-0.4538206769</v>
      </c>
      <c r="AQ3285" s="188">
        <f>IPMT('Assumptions (Oil G&amp;T)'!$B$73,Model!AH$1,'Assumptions (Oil G&amp;T)'!$B$76,Model!$AF$3201)</f>
        <v>-0.3756887681</v>
      </c>
      <c r="AR3285" s="188">
        <f>IPMT('Assumptions (Oil G&amp;T)'!$B$73,Model!AI$1,'Assumptions (Oil G&amp;T)'!$B$76,Model!$AF$3201)</f>
        <v>-0.2916969662</v>
      </c>
      <c r="AS3285" s="188">
        <f>IPMT('Assumptions (Oil G&amp;T)'!$B$73,Model!AJ$1,'Assumptions (Oil G&amp;T)'!$B$76,Model!$AF$3201)</f>
        <v>-0.2014057791</v>
      </c>
      <c r="AT3285" s="188">
        <f>IPMT('Assumptions (Oil G&amp;T)'!$B$73,Model!AK$1,'Assumptions (Oil G&amp;T)'!$B$76,Model!$AF$3201)</f>
        <v>-0.104342753</v>
      </c>
      <c r="AU3285" s="188"/>
      <c r="AV3285" s="188"/>
      <c r="AW3285" s="188"/>
      <c r="AX3285" s="188"/>
      <c r="AY3285" s="188"/>
      <c r="AZ3285" s="188"/>
      <c r="BA3285" s="188"/>
      <c r="BB3285" s="188"/>
      <c r="BC3285" s="188"/>
      <c r="BD3285" s="188"/>
    </row>
    <row r="3286" ht="15.75" hidden="1" customHeight="1" outlineLevel="1">
      <c r="A3286" s="385"/>
      <c r="B3286" s="38"/>
      <c r="C3286" s="188"/>
      <c r="D3286" s="188"/>
      <c r="E3286" s="188"/>
      <c r="F3286" s="188"/>
      <c r="G3286" s="188"/>
      <c r="H3286" s="188"/>
      <c r="I3286" s="188"/>
      <c r="J3286" s="188"/>
      <c r="K3286" s="188"/>
      <c r="L3286" s="188"/>
      <c r="M3286" s="188"/>
      <c r="N3286" s="188"/>
      <c r="O3286" s="188"/>
      <c r="P3286" s="188"/>
      <c r="Q3286" s="188"/>
      <c r="R3286" s="188"/>
      <c r="S3286" s="78"/>
      <c r="T3286" s="78"/>
      <c r="U3286" s="78"/>
      <c r="V3286" s="78"/>
      <c r="W3286" s="139"/>
      <c r="AG3286" s="188">
        <f>IPMT('Assumptions (Oil G&amp;T)'!$B$73,Model!W$1,'Assumptions (Oil G&amp;T)'!$B$76,Model!$AG$3201)</f>
        <v>-0.9924980201</v>
      </c>
      <c r="AH3286" s="188">
        <f>IPMT('Assumptions (Oil G&amp;T)'!$B$73,Model!X$1,'Assumptions (Oil G&amp;T)'!$B$76,Model!$AG$3201)</f>
        <v>-0.954498014</v>
      </c>
      <c r="AI3286" s="188">
        <f>IPMT('Assumptions (Oil G&amp;T)'!$B$73,Model!Y$1,'Assumptions (Oil G&amp;T)'!$B$76,Model!$AG$3201)</f>
        <v>-0.9136480073</v>
      </c>
      <c r="AJ3286" s="188">
        <f>IPMT('Assumptions (Oil G&amp;T)'!$B$73,Model!Z$1,'Assumptions (Oil G&amp;T)'!$B$76,Model!$AG$3201)</f>
        <v>-0.8697342502</v>
      </c>
      <c r="AK3286" s="188">
        <f>IPMT('Assumptions (Oil G&amp;T)'!$B$73,Model!AA$1,'Assumptions (Oil G&amp;T)'!$B$76,Model!$AG$3201)</f>
        <v>-0.8225269613</v>
      </c>
      <c r="AL3286" s="188">
        <f>IPMT('Assumptions (Oil G&amp;T)'!$B$73,Model!AB$1,'Assumptions (Oil G&amp;T)'!$B$76,Model!$AG$3201)</f>
        <v>-0.7717791257</v>
      </c>
      <c r="AM3286" s="188">
        <f>IPMT('Assumptions (Oil G&amp;T)'!$B$73,Model!AC$1,'Assumptions (Oil G&amp;T)'!$B$76,Model!$AG$3201)</f>
        <v>-0.7172252024</v>
      </c>
      <c r="AN3286" s="188">
        <f>IPMT('Assumptions (Oil G&amp;T)'!$B$73,Model!AD$1,'Assumptions (Oil G&amp;T)'!$B$76,Model!$AG$3201)</f>
        <v>-0.6585797349</v>
      </c>
      <c r="AO3286" s="188">
        <f>IPMT('Assumptions (Oil G&amp;T)'!$B$73,Model!AE$1,'Assumptions (Oil G&amp;T)'!$B$76,Model!$AG$3201)</f>
        <v>-0.5955358573</v>
      </c>
      <c r="AP3286" s="188">
        <f>IPMT('Assumptions (Oil G&amp;T)'!$B$73,Model!AF$1,'Assumptions (Oil G&amp;T)'!$B$76,Model!$AG$3201)</f>
        <v>-0.5277636889</v>
      </c>
      <c r="AQ3286" s="188">
        <f>IPMT('Assumptions (Oil G&amp;T)'!$B$73,Model!AG$1,'Assumptions (Oil G&amp;T)'!$B$76,Model!$AG$3201)</f>
        <v>-0.4549086079</v>
      </c>
      <c r="AR3286" s="188">
        <f>IPMT('Assumptions (Oil G&amp;T)'!$B$73,Model!AH$1,'Assumptions (Oil G&amp;T)'!$B$76,Model!$AG$3201)</f>
        <v>-0.3765893958</v>
      </c>
      <c r="AS3286" s="188">
        <f>IPMT('Assumptions (Oil G&amp;T)'!$B$73,Model!AI$1,'Assumptions (Oil G&amp;T)'!$B$76,Model!$AG$3201)</f>
        <v>-0.2923962428</v>
      </c>
      <c r="AT3286" s="188">
        <f>IPMT('Assumptions (Oil G&amp;T)'!$B$73,Model!AJ$1,'Assumptions (Oil G&amp;T)'!$B$76,Model!$AG$3201)</f>
        <v>-0.2018886033</v>
      </c>
      <c r="AU3286" s="188">
        <f>IPMT('Assumptions (Oil G&amp;T)'!$B$73,Model!AK$1,'Assumptions (Oil G&amp;T)'!$B$76,Model!$AG$3201)</f>
        <v>-0.1045928909</v>
      </c>
      <c r="AV3286" s="188"/>
      <c r="AW3286" s="188"/>
      <c r="AX3286" s="188"/>
      <c r="AY3286" s="188"/>
      <c r="AZ3286" s="188"/>
      <c r="BA3286" s="188"/>
      <c r="BB3286" s="188"/>
      <c r="BC3286" s="188"/>
      <c r="BD3286" s="188"/>
      <c r="BE3286" s="188"/>
    </row>
    <row r="3287" ht="15.75" hidden="1" customHeight="1" outlineLevel="1">
      <c r="A3287" s="385"/>
      <c r="B3287" s="38"/>
      <c r="C3287" s="188"/>
      <c r="D3287" s="188"/>
      <c r="E3287" s="188"/>
      <c r="F3287" s="188"/>
      <c r="G3287" s="188"/>
      <c r="H3287" s="188"/>
      <c r="I3287" s="188"/>
      <c r="J3287" s="188"/>
      <c r="K3287" s="188"/>
      <c r="L3287" s="188"/>
      <c r="M3287" s="188"/>
      <c r="N3287" s="188"/>
      <c r="O3287" s="188"/>
      <c r="P3287" s="188"/>
      <c r="Q3287" s="188"/>
      <c r="R3287" s="188"/>
      <c r="S3287" s="78"/>
      <c r="T3287" s="78"/>
      <c r="U3287" s="78"/>
      <c r="V3287" s="78"/>
      <c r="W3287" s="139"/>
      <c r="AH3287" s="188">
        <f>IPMT('Assumptions (Oil G&amp;T)'!$B$73,Model!W$1,'Assumptions (Oil G&amp;T)'!$B$76,Model!$AH$3201)</f>
        <v>-0.9942207825</v>
      </c>
      <c r="AI3287" s="188">
        <f>IPMT('Assumptions (Oil G&amp;T)'!$B$73,Model!X$1,'Assumptions (Oil G&amp;T)'!$B$76,Model!$AH$3201)</f>
        <v>-0.9561548166</v>
      </c>
      <c r="AJ3287" s="188">
        <f>IPMT('Assumptions (Oil G&amp;T)'!$B$73,Model!Y$1,'Assumptions (Oil G&amp;T)'!$B$76,Model!$AH$3201)</f>
        <v>-0.9152339031</v>
      </c>
      <c r="AK3287" s="188">
        <f>IPMT('Assumptions (Oil G&amp;T)'!$B$73,Model!Z$1,'Assumptions (Oil G&amp;T)'!$B$76,Model!$AH$3201)</f>
        <v>-0.8712439212</v>
      </c>
      <c r="AL3287" s="188">
        <f>IPMT('Assumptions (Oil G&amp;T)'!$B$73,Model!AA$1,'Assumptions (Oil G&amp;T)'!$B$76,Model!$AH$3201)</f>
        <v>-0.8239546906</v>
      </c>
      <c r="AM3287" s="188">
        <f>IPMT('Assumptions (Oil G&amp;T)'!$B$73,Model!AB$1,'Assumptions (Oil G&amp;T)'!$B$76,Model!$AH$3201)</f>
        <v>-0.7731187677</v>
      </c>
      <c r="AN3287" s="188">
        <f>IPMT('Assumptions (Oil G&amp;T)'!$B$73,Model!AC$1,'Assumptions (Oil G&amp;T)'!$B$76,Model!$AH$3201)</f>
        <v>-0.7184701506</v>
      </c>
      <c r="AO3287" s="188">
        <f>IPMT('Assumptions (Oil G&amp;T)'!$B$73,Model!AD$1,'Assumptions (Oil G&amp;T)'!$B$76,Model!$AH$3201)</f>
        <v>-0.6597228872</v>
      </c>
      <c r="AP3287" s="188">
        <f>IPMT('Assumptions (Oil G&amp;T)'!$B$73,Model!AE$1,'Assumptions (Oil G&amp;T)'!$B$76,Model!$AH$3201)</f>
        <v>-0.5965695791</v>
      </c>
      <c r="AQ3287" s="188">
        <f>IPMT('Assumptions (Oil G&amp;T)'!$B$73,Model!AF$1,'Assumptions (Oil G&amp;T)'!$B$76,Model!$AH$3201)</f>
        <v>-0.5286797728</v>
      </c>
      <c r="AR3287" s="188">
        <f>IPMT('Assumptions (Oil G&amp;T)'!$B$73,Model!AG$1,'Assumptions (Oil G&amp;T)'!$B$76,Model!$AH$3201)</f>
        <v>-0.4556982311</v>
      </c>
      <c r="AS3287" s="188">
        <f>IPMT('Assumptions (Oil G&amp;T)'!$B$73,Model!AH$1,'Assumptions (Oil G&amp;T)'!$B$76,Model!$AH$3201)</f>
        <v>-0.3772430737</v>
      </c>
      <c r="AT3287" s="188">
        <f>IPMT('Assumptions (Oil G&amp;T)'!$B$73,Model!AI$1,'Assumptions (Oil G&amp;T)'!$B$76,Model!$AH$3201)</f>
        <v>-0.2929037796</v>
      </c>
      <c r="AU3287" s="188">
        <f>IPMT('Assumptions (Oil G&amp;T)'!$B$73,Model!AJ$1,'Assumptions (Oil G&amp;T)'!$B$76,Model!$AH$3201)</f>
        <v>-0.2022390384</v>
      </c>
      <c r="AV3287" s="188">
        <f>IPMT('Assumptions (Oil G&amp;T)'!$B$73,Model!AK$1,'Assumptions (Oil G&amp;T)'!$B$76,Model!$AH$3201)</f>
        <v>-0.1047744416</v>
      </c>
      <c r="AW3287" s="188"/>
      <c r="AX3287" s="188"/>
      <c r="AY3287" s="188"/>
      <c r="AZ3287" s="188"/>
      <c r="BA3287" s="188"/>
      <c r="BB3287" s="188"/>
      <c r="BC3287" s="188"/>
      <c r="BD3287" s="188"/>
      <c r="BE3287" s="188"/>
      <c r="BF3287" s="188"/>
    </row>
    <row r="3288" ht="15.75" hidden="1" customHeight="1" outlineLevel="1">
      <c r="A3288" s="385"/>
      <c r="B3288" s="38"/>
      <c r="C3288" s="188"/>
      <c r="D3288" s="188"/>
      <c r="E3288" s="188"/>
      <c r="F3288" s="188"/>
      <c r="G3288" s="188"/>
      <c r="H3288" s="188"/>
      <c r="I3288" s="188"/>
      <c r="J3288" s="188"/>
      <c r="K3288" s="188"/>
      <c r="L3288" s="188"/>
      <c r="M3288" s="188"/>
      <c r="N3288" s="188"/>
      <c r="O3288" s="188"/>
      <c r="P3288" s="188"/>
      <c r="Q3288" s="188"/>
      <c r="R3288" s="188"/>
      <c r="S3288" s="78"/>
      <c r="T3288" s="78"/>
      <c r="U3288" s="78"/>
      <c r="V3288" s="78"/>
      <c r="W3288" s="139"/>
      <c r="AI3288" s="188">
        <f>IPMT('Assumptions (Oil G&amp;T)'!$B$73,Model!W$1,'Assumptions (Oil G&amp;T)'!$B$76,Model!$AI$3201)</f>
        <v>-0.9931149837</v>
      </c>
      <c r="AJ3288" s="188">
        <f>IPMT('Assumptions (Oil G&amp;T)'!$B$73,Model!X$1,'Assumptions (Oil G&amp;T)'!$B$76,Model!$AI$3201)</f>
        <v>-0.9550913557</v>
      </c>
      <c r="AK3288" s="188">
        <f>IPMT('Assumptions (Oil G&amp;T)'!$B$73,Model!Y$1,'Assumptions (Oil G&amp;T)'!$B$76,Model!$AI$3201)</f>
        <v>-0.9142159556</v>
      </c>
      <c r="AL3288" s="188">
        <f>IPMT('Assumptions (Oil G&amp;T)'!$B$73,Model!Z$1,'Assumptions (Oil G&amp;T)'!$B$76,Model!$AI$3201)</f>
        <v>-0.8702749005</v>
      </c>
      <c r="AM3288" s="188">
        <f>IPMT('Assumptions (Oil G&amp;T)'!$B$73,Model!AA$1,'Assumptions (Oil G&amp;T)'!$B$76,Model!$AI$3201)</f>
        <v>-0.8230382662</v>
      </c>
      <c r="AN3288" s="188">
        <f>IPMT('Assumptions (Oil G&amp;T)'!$B$73,Model!AB$1,'Assumptions (Oil G&amp;T)'!$B$76,Model!$AI$3201)</f>
        <v>-0.7722588844</v>
      </c>
      <c r="AO3288" s="188">
        <f>IPMT('Assumptions (Oil G&amp;T)'!$B$73,Model!AC$1,'Assumptions (Oil G&amp;T)'!$B$76,Model!$AI$3201)</f>
        <v>-0.717671049</v>
      </c>
      <c r="AP3288" s="188">
        <f>IPMT('Assumptions (Oil G&amp;T)'!$B$73,Model!AD$1,'Assumptions (Oil G&amp;T)'!$B$76,Model!$AI$3201)</f>
        <v>-0.6589891258</v>
      </c>
      <c r="AQ3288" s="188">
        <f>IPMT('Assumptions (Oil G&amp;T)'!$B$73,Model!AE$1,'Assumptions (Oil G&amp;T)'!$B$76,Model!$AI$3201)</f>
        <v>-0.5959060585</v>
      </c>
      <c r="AR3288" s="188">
        <f>IPMT('Assumptions (Oil G&amp;T)'!$B$73,Model!AF$1,'Assumptions (Oil G&amp;T)'!$B$76,Model!$AI$3201)</f>
        <v>-0.5280917611</v>
      </c>
      <c r="AS3288" s="188">
        <f>IPMT('Assumptions (Oil G&amp;T)'!$B$73,Model!AG$1,'Assumptions (Oil G&amp;T)'!$B$76,Model!$AI$3201)</f>
        <v>-0.4551913914</v>
      </c>
      <c r="AT3288" s="188">
        <f>IPMT('Assumptions (Oil G&amp;T)'!$B$73,Model!AH$1,'Assumptions (Oil G&amp;T)'!$B$76,Model!$AI$3201)</f>
        <v>-0.3768234939</v>
      </c>
      <c r="AU3288" s="188">
        <f>IPMT('Assumptions (Oil G&amp;T)'!$B$73,Model!AI$1,'Assumptions (Oil G&amp;T)'!$B$76,Model!$AI$3201)</f>
        <v>-0.2925780042</v>
      </c>
      <c r="AV3288" s="188">
        <f>IPMT('Assumptions (Oil G&amp;T)'!$B$73,Model!AJ$1,'Assumptions (Oil G&amp;T)'!$B$76,Model!$AI$3201)</f>
        <v>-0.2020141027</v>
      </c>
      <c r="AW3288" s="188">
        <f>IPMT('Assumptions (Oil G&amp;T)'!$B$73,Model!AK$1,'Assumptions (Oil G&amp;T)'!$B$76,Model!$AI$3201)</f>
        <v>-0.1046579086</v>
      </c>
      <c r="AX3288" s="188"/>
      <c r="AY3288" s="188"/>
      <c r="AZ3288" s="188"/>
      <c r="BA3288" s="188"/>
      <c r="BB3288" s="188"/>
      <c r="BC3288" s="188"/>
      <c r="BD3288" s="188"/>
      <c r="BE3288" s="188"/>
      <c r="BF3288" s="188"/>
      <c r="BG3288" s="188"/>
    </row>
    <row r="3289" ht="15.75" hidden="1" customHeight="1" outlineLevel="1">
      <c r="A3289" s="385"/>
      <c r="B3289" s="38"/>
      <c r="C3289" s="188"/>
      <c r="D3289" s="188"/>
      <c r="E3289" s="188"/>
      <c r="F3289" s="188"/>
      <c r="G3289" s="188"/>
      <c r="H3289" s="188"/>
      <c r="I3289" s="188"/>
      <c r="J3289" s="188"/>
      <c r="K3289" s="188"/>
      <c r="L3289" s="188"/>
      <c r="M3289" s="188"/>
      <c r="N3289" s="188"/>
      <c r="O3289" s="188"/>
      <c r="P3289" s="188"/>
      <c r="Q3289" s="188"/>
      <c r="R3289" s="188"/>
      <c r="S3289" s="78"/>
      <c r="T3289" s="78"/>
      <c r="U3289" s="78"/>
      <c r="V3289" s="78"/>
      <c r="W3289" s="139"/>
      <c r="AJ3289" s="188">
        <f>IPMT('Assumptions (Oil G&amp;T)'!$B$73,Model!W$1,'Assumptions (Oil G&amp;T)'!$B$76,Model!$AJ$3201)</f>
        <v>-0.9911475011</v>
      </c>
      <c r="AK3289" s="188">
        <f>IPMT('Assumptions (Oil G&amp;T)'!$B$73,Model!X$1,'Assumptions (Oil G&amp;T)'!$B$76,Model!$AJ$3201)</f>
        <v>-0.9531992025</v>
      </c>
      <c r="AL3289" s="188">
        <f>IPMT('Assumptions (Oil G&amp;T)'!$B$73,Model!Y$1,'Assumptions (Oil G&amp;T)'!$B$76,Model!$AJ$3201)</f>
        <v>-0.9124047816</v>
      </c>
      <c r="AM3289" s="188">
        <f>IPMT('Assumptions (Oil G&amp;T)'!$B$73,Model!Z$1,'Assumptions (Oil G&amp;T)'!$B$76,Model!$AJ$3201)</f>
        <v>-0.8685507791</v>
      </c>
      <c r="AN3289" s="188">
        <f>IPMT('Assumptions (Oil G&amp;T)'!$B$73,Model!AA$1,'Assumptions (Oil G&amp;T)'!$B$76,Model!$AJ$3201)</f>
        <v>-0.8214077264</v>
      </c>
      <c r="AO3289" s="188">
        <f>IPMT('Assumptions (Oil G&amp;T)'!$B$73,Model!AB$1,'Assumptions (Oil G&amp;T)'!$B$76,Model!$AJ$3201)</f>
        <v>-0.7707289448</v>
      </c>
      <c r="AP3289" s="188">
        <f>IPMT('Assumptions (Oil G&amp;T)'!$B$73,Model!AC$1,'Assumptions (Oil G&amp;T)'!$B$76,Model!$AJ$3201)</f>
        <v>-0.7162492545</v>
      </c>
      <c r="AQ3289" s="188">
        <f>IPMT('Assumptions (Oil G&amp;T)'!$B$73,Model!AD$1,'Assumptions (Oil G&amp;T)'!$B$76,Model!$AJ$3201)</f>
        <v>-0.6576835875</v>
      </c>
      <c r="AR3289" s="188">
        <f>IPMT('Assumptions (Oil G&amp;T)'!$B$73,Model!AE$1,'Assumptions (Oil G&amp;T)'!$B$76,Model!$AJ$3201)</f>
        <v>-0.5947254955</v>
      </c>
      <c r="AS3289" s="188">
        <f>IPMT('Assumptions (Oil G&amp;T)'!$B$73,Model!AF$1,'Assumptions (Oil G&amp;T)'!$B$76,Model!$AJ$3201)</f>
        <v>-0.5270455465</v>
      </c>
      <c r="AT3289" s="188">
        <f>IPMT('Assumptions (Oil G&amp;T)'!$B$73,Model!AG$1,'Assumptions (Oil G&amp;T)'!$B$76,Model!$AJ$3201)</f>
        <v>-0.4542896014</v>
      </c>
      <c r="AU3289" s="188">
        <f>IPMT('Assumptions (Oil G&amp;T)'!$B$73,Model!AH$1,'Assumptions (Oil G&amp;T)'!$B$76,Model!$AJ$3201)</f>
        <v>-0.3760769604</v>
      </c>
      <c r="AV3289" s="188">
        <f>IPMT('Assumptions (Oil G&amp;T)'!$B$73,Model!AI$1,'Assumptions (Oil G&amp;T)'!$B$76,Model!$AJ$3201)</f>
        <v>-0.2919983713</v>
      </c>
      <c r="AW3289" s="188">
        <f>IPMT('Assumptions (Oil G&amp;T)'!$B$73,Model!AJ$1,'Assumptions (Oil G&amp;T)'!$B$76,Model!$AJ$3201)</f>
        <v>-0.201613888</v>
      </c>
      <c r="AX3289" s="188">
        <f>IPMT('Assumptions (Oil G&amp;T)'!$B$73,Model!AK$1,'Assumptions (Oil G&amp;T)'!$B$76,Model!$AJ$3201)</f>
        <v>-0.1044505685</v>
      </c>
      <c r="AY3289" s="188"/>
      <c r="AZ3289" s="188"/>
      <c r="BA3289" s="188"/>
      <c r="BB3289" s="188"/>
      <c r="BC3289" s="188"/>
      <c r="BD3289" s="188"/>
      <c r="BE3289" s="188"/>
      <c r="BF3289" s="188"/>
      <c r="BG3289" s="188"/>
      <c r="BH3289" s="188"/>
    </row>
    <row r="3290" ht="15.75" hidden="1" customHeight="1" outlineLevel="1">
      <c r="A3290" s="385"/>
      <c r="B3290" s="38"/>
      <c r="C3290" s="188"/>
      <c r="D3290" s="188"/>
      <c r="E3290" s="188"/>
      <c r="F3290" s="188"/>
      <c r="G3290" s="188"/>
      <c r="H3290" s="188"/>
      <c r="I3290" s="188"/>
      <c r="J3290" s="188"/>
      <c r="K3290" s="188"/>
      <c r="L3290" s="188"/>
      <c r="M3290" s="188"/>
      <c r="N3290" s="188"/>
      <c r="O3290" s="188"/>
      <c r="P3290" s="188"/>
      <c r="Q3290" s="188"/>
      <c r="R3290" s="188"/>
      <c r="S3290" s="78"/>
      <c r="T3290" s="78"/>
      <c r="U3290" s="78"/>
      <c r="V3290" s="78"/>
      <c r="W3290" s="139"/>
      <c r="AK3290" s="188">
        <f>IPMT('Assumptions (Oil G&amp;T)'!$B$73,Model!W$1,'Assumptions (Oil G&amp;T)'!$B$76,Model!$AK$3201)</f>
        <v>-0.9902906972</v>
      </c>
      <c r="AL3290" s="188">
        <f>IPMT('Assumptions (Oil G&amp;T)'!$B$73,Model!X$1,'Assumptions (Oil G&amp;T)'!$B$76,Model!$AK$3201)</f>
        <v>-0.9523752033</v>
      </c>
      <c r="AM3290" s="188">
        <f>IPMT('Assumptions (Oil G&amp;T)'!$B$73,Model!Y$1,'Assumptions (Oil G&amp;T)'!$B$76,Model!$AK$3201)</f>
        <v>-0.9116160473</v>
      </c>
      <c r="AN3290" s="188">
        <f>IPMT('Assumptions (Oil G&amp;T)'!$B$73,Model!Z$1,'Assumptions (Oil G&amp;T)'!$B$76,Model!$AK$3201)</f>
        <v>-0.8677999547</v>
      </c>
      <c r="AO3290" s="188">
        <f>IPMT('Assumptions (Oil G&amp;T)'!$B$73,Model!AA$1,'Assumptions (Oil G&amp;T)'!$B$76,Model!$AK$3201)</f>
        <v>-0.8206976552</v>
      </c>
      <c r="AP3290" s="188">
        <f>IPMT('Assumptions (Oil G&amp;T)'!$B$73,Model!AB$1,'Assumptions (Oil G&amp;T)'!$B$76,Model!$AK$3201)</f>
        <v>-0.7700626831</v>
      </c>
      <c r="AQ3290" s="188">
        <f>IPMT('Assumptions (Oil G&amp;T)'!$B$73,Model!AC$1,'Assumptions (Oil G&amp;T)'!$B$76,Model!$AK$3201)</f>
        <v>-0.7156300882</v>
      </c>
      <c r="AR3290" s="188">
        <f>IPMT('Assumptions (Oil G&amp;T)'!$B$73,Model!AD$1,'Assumptions (Oil G&amp;T)'!$B$76,Model!$AK$3201)</f>
        <v>-0.6571150486</v>
      </c>
      <c r="AS3290" s="188">
        <f>IPMT('Assumptions (Oil G&amp;T)'!$B$73,Model!AE$1,'Assumptions (Oil G&amp;T)'!$B$76,Model!$AK$3201)</f>
        <v>-0.5942113811</v>
      </c>
      <c r="AT3290" s="188">
        <f>IPMT('Assumptions (Oil G&amp;T)'!$B$73,Model!AF$1,'Assumptions (Oil G&amp;T)'!$B$76,Model!$AK$3201)</f>
        <v>-0.5265899385</v>
      </c>
      <c r="AU3290" s="188">
        <f>IPMT('Assumptions (Oil G&amp;T)'!$B$73,Model!AG$1,'Assumptions (Oil G&amp;T)'!$B$76,Model!$AK$3201)</f>
        <v>-0.4538968878</v>
      </c>
      <c r="AV3290" s="188">
        <f>IPMT('Assumptions (Oil G&amp;T)'!$B$73,Model!AH$1,'Assumptions (Oil G&amp;T)'!$B$76,Model!$AK$3201)</f>
        <v>-0.3757518582</v>
      </c>
      <c r="AW3290" s="188">
        <f>IPMT('Assumptions (Oil G&amp;T)'!$B$73,Model!AI$1,'Assumptions (Oil G&amp;T)'!$B$76,Model!$AK$3201)</f>
        <v>-0.2917459514</v>
      </c>
      <c r="AX3290" s="188">
        <f>IPMT('Assumptions (Oil G&amp;T)'!$B$73,Model!AJ$1,'Assumptions (Oil G&amp;T)'!$B$76,Model!$AK$3201)</f>
        <v>-0.2014396016</v>
      </c>
      <c r="AY3290" s="188">
        <f>IPMT('Assumptions (Oil G&amp;T)'!$B$73,Model!AK$1,'Assumptions (Oil G&amp;T)'!$B$76,Model!$AK$3201)</f>
        <v>-0.1043602755</v>
      </c>
      <c r="AZ3290" s="188"/>
      <c r="BA3290" s="188"/>
      <c r="BB3290" s="188"/>
      <c r="BC3290" s="188"/>
      <c r="BD3290" s="188"/>
      <c r="BE3290" s="188"/>
      <c r="BF3290" s="188"/>
      <c r="BG3290" s="188"/>
      <c r="BH3290" s="188"/>
      <c r="BI3290" s="188"/>
    </row>
    <row r="3291" ht="15.75" hidden="1" customHeight="1" outlineLevel="1">
      <c r="A3291" s="385"/>
      <c r="B3291" s="38"/>
      <c r="C3291" s="188"/>
      <c r="D3291" s="188"/>
      <c r="E3291" s="188"/>
      <c r="F3291" s="188"/>
      <c r="G3291" s="188"/>
      <c r="H3291" s="188"/>
      <c r="I3291" s="188"/>
      <c r="J3291" s="188"/>
      <c r="K3291" s="188"/>
      <c r="L3291" s="188"/>
      <c r="M3291" s="188"/>
      <c r="N3291" s="188"/>
      <c r="O3291" s="188"/>
      <c r="P3291" s="188"/>
      <c r="Q3291" s="188"/>
      <c r="R3291" s="188"/>
      <c r="S3291" s="78"/>
      <c r="T3291" s="78"/>
      <c r="U3291" s="78"/>
      <c r="V3291" s="78"/>
      <c r="W3291" s="139"/>
      <c r="AL3291" s="188">
        <f>IPMT('Assumptions (Oil G&amp;T)'!$B$73,Model!W$1,'Assumptions (Oil G&amp;T)'!$B$76,Model!$AL$3201)</f>
        <v>-0.9874971629</v>
      </c>
      <c r="AM3291" s="188">
        <f>IPMT('Assumptions (Oil G&amp;T)'!$B$73,Model!X$1,'Assumptions (Oil G&amp;T)'!$B$76,Model!$AL$3201)</f>
        <v>-0.9496886257</v>
      </c>
      <c r="AN3291" s="188">
        <f>IPMT('Assumptions (Oil G&amp;T)'!$B$73,Model!Y$1,'Assumptions (Oil G&amp;T)'!$B$76,Model!$AL$3201)</f>
        <v>-0.9090444483</v>
      </c>
      <c r="AO3291" s="188">
        <f>IPMT('Assumptions (Oil G&amp;T)'!$B$73,Model!Z$1,'Assumptions (Oil G&amp;T)'!$B$76,Model!$AL$3201)</f>
        <v>-0.8653519575</v>
      </c>
      <c r="AP3291" s="188">
        <f>IPMT('Assumptions (Oil G&amp;T)'!$B$73,Model!AA$1,'Assumptions (Oil G&amp;T)'!$B$76,Model!$AL$3201)</f>
        <v>-0.8183825299</v>
      </c>
      <c r="AQ3291" s="188">
        <f>IPMT('Assumptions (Oil G&amp;T)'!$B$73,Model!AB$1,'Assumptions (Oil G&amp;T)'!$B$76,Model!$AL$3201)</f>
        <v>-0.7678903953</v>
      </c>
      <c r="AR3291" s="188">
        <f>IPMT('Assumptions (Oil G&amp;T)'!$B$73,Model!AC$1,'Assumptions (Oil G&amp;T)'!$B$76,Model!$AL$3201)</f>
        <v>-0.7136113505</v>
      </c>
      <c r="AS3291" s="188">
        <f>IPMT('Assumptions (Oil G&amp;T)'!$B$73,Model!AD$1,'Assumptions (Oil G&amp;T)'!$B$76,Model!$AL$3201)</f>
        <v>-0.6552613774</v>
      </c>
      <c r="AT3291" s="188">
        <f>IPMT('Assumptions (Oil G&amp;T)'!$B$73,Model!AE$1,'Assumptions (Oil G&amp;T)'!$B$76,Model!$AL$3201)</f>
        <v>-0.5925351563</v>
      </c>
      <c r="AU3291" s="188">
        <f>IPMT('Assumptions (Oil G&amp;T)'!$B$73,Model!AF$1,'Assumptions (Oil G&amp;T)'!$B$76,Model!$AL$3201)</f>
        <v>-0.5251044686</v>
      </c>
      <c r="AV3291" s="188">
        <f>IPMT('Assumptions (Oil G&amp;T)'!$B$73,Model!AG$1,'Assumptions (Oil G&amp;T)'!$B$76,Model!$AL$3201)</f>
        <v>-0.4526164794</v>
      </c>
      <c r="AW3291" s="188">
        <f>IPMT('Assumptions (Oil G&amp;T)'!$B$73,Model!AH$1,'Assumptions (Oil G&amp;T)'!$B$76,Model!$AL$3201)</f>
        <v>-0.374691891</v>
      </c>
      <c r="AX3291" s="188">
        <f>IPMT('Assumptions (Oil G&amp;T)'!$B$73,Model!AI$1,'Assumptions (Oil G&amp;T)'!$B$76,Model!$AL$3201)</f>
        <v>-0.2909229584</v>
      </c>
      <c r="AY3291" s="188">
        <f>IPMT('Assumptions (Oil G&amp;T)'!$B$73,Model!AJ$1,'Assumptions (Oil G&amp;T)'!$B$76,Model!$AL$3201)</f>
        <v>-0.2008713559</v>
      </c>
      <c r="AZ3291" s="188">
        <f>IPMT('Assumptions (Oil G&amp;T)'!$B$73,Model!AK$1,'Assumptions (Oil G&amp;T)'!$B$76,Model!$AL$3201)</f>
        <v>-0.1040658832</v>
      </c>
      <c r="BA3291" s="188"/>
      <c r="BB3291" s="188"/>
      <c r="BC3291" s="188"/>
      <c r="BD3291" s="188"/>
      <c r="BE3291" s="188"/>
      <c r="BF3291" s="188"/>
      <c r="BG3291" s="188"/>
      <c r="BH3291" s="188"/>
      <c r="BI3291" s="188"/>
      <c r="BJ3291" s="188"/>
    </row>
    <row r="3292" ht="15.75" hidden="1" customHeight="1" outlineLevel="1">
      <c r="A3292" s="385"/>
      <c r="B3292" s="38"/>
      <c r="C3292" s="188"/>
      <c r="D3292" s="188"/>
      <c r="E3292" s="188"/>
      <c r="F3292" s="188"/>
      <c r="G3292" s="188"/>
      <c r="H3292" s="188"/>
      <c r="I3292" s="188"/>
      <c r="J3292" s="188"/>
      <c r="K3292" s="188"/>
      <c r="L3292" s="188"/>
      <c r="M3292" s="188"/>
      <c r="N3292" s="188"/>
      <c r="O3292" s="188"/>
      <c r="P3292" s="188"/>
      <c r="Q3292" s="188"/>
      <c r="R3292" s="188"/>
      <c r="S3292" s="78"/>
      <c r="T3292" s="78"/>
      <c r="U3292" s="78"/>
      <c r="V3292" s="78"/>
      <c r="W3292" s="139"/>
      <c r="AM3292" s="188">
        <f>IPMT('Assumptions (Oil G&amp;T)'!$B$73,Model!W$1,'Assumptions (Oil G&amp;T)'!$B$76,Model!$AM$3201)</f>
        <v>-0.9838075157</v>
      </c>
      <c r="AN3292" s="188">
        <f>IPMT('Assumptions (Oil G&amp;T)'!$B$73,Model!X$1,'Assumptions (Oil G&amp;T)'!$B$76,Model!$AM$3201)</f>
        <v>-0.9461402449</v>
      </c>
      <c r="AO3292" s="188">
        <f>IPMT('Assumptions (Oil G&amp;T)'!$B$73,Model!Y$1,'Assumptions (Oil G&amp;T)'!$B$76,Model!$AM$3201)</f>
        <v>-0.9056479288</v>
      </c>
      <c r="AP3292" s="188">
        <f>IPMT('Assumptions (Oil G&amp;T)'!$B$73,Model!Z$1,'Assumptions (Oil G&amp;T)'!$B$76,Model!$AM$3201)</f>
        <v>-0.862118689</v>
      </c>
      <c r="AQ3292" s="188">
        <f>IPMT('Assumptions (Oil G&amp;T)'!$B$73,Model!AA$1,'Assumptions (Oil G&amp;T)'!$B$76,Model!$AM$3201)</f>
        <v>-0.8153247562</v>
      </c>
      <c r="AR3292" s="188">
        <f>IPMT('Assumptions (Oil G&amp;T)'!$B$73,Model!AB$1,'Assumptions (Oil G&amp;T)'!$B$76,Model!$AM$3201)</f>
        <v>-0.7650212785</v>
      </c>
      <c r="AS3292" s="188">
        <f>IPMT('Assumptions (Oil G&amp;T)'!$B$73,Model!AC$1,'Assumptions (Oil G&amp;T)'!$B$76,Model!$AM$3201)</f>
        <v>-0.7109450399</v>
      </c>
      <c r="AT3292" s="188">
        <f>IPMT('Assumptions (Oil G&amp;T)'!$B$73,Model!AD$1,'Assumptions (Oil G&amp;T)'!$B$76,Model!$AM$3201)</f>
        <v>-0.6528130835</v>
      </c>
      <c r="AU3292" s="188">
        <f>IPMT('Assumptions (Oil G&amp;T)'!$B$73,Model!AE$1,'Assumptions (Oil G&amp;T)'!$B$76,Model!$AM$3201)</f>
        <v>-0.5903212303</v>
      </c>
      <c r="AV3292" s="188">
        <f>IPMT('Assumptions (Oil G&amp;T)'!$B$73,Model!AF$1,'Assumptions (Oil G&amp;T)'!$B$76,Model!$AM$3201)</f>
        <v>-0.5231424881</v>
      </c>
      <c r="AW3292" s="188">
        <f>IPMT('Assumptions (Oil G&amp;T)'!$B$73,Model!AG$1,'Assumptions (Oil G&amp;T)'!$B$76,Model!$AM$3201)</f>
        <v>-0.4509253402</v>
      </c>
      <c r="AX3292" s="188">
        <f>IPMT('Assumptions (Oil G&amp;T)'!$B$73,Model!AH$1,'Assumptions (Oil G&amp;T)'!$B$76,Model!$AM$3201)</f>
        <v>-0.3732919063</v>
      </c>
      <c r="AY3292" s="188">
        <f>IPMT('Assumptions (Oil G&amp;T)'!$B$73,Model!AI$1,'Assumptions (Oil G&amp;T)'!$B$76,Model!$AM$3201)</f>
        <v>-0.2898359648</v>
      </c>
      <c r="AZ3292" s="188">
        <f>IPMT('Assumptions (Oil G&amp;T)'!$B$73,Model!AJ$1,'Assumptions (Oil G&amp;T)'!$B$76,Model!$AM$3201)</f>
        <v>-0.2001208277</v>
      </c>
      <c r="BA3292" s="188">
        <f>IPMT('Assumptions (Oil G&amp;T)'!$B$73,Model!AK$1,'Assumptions (Oil G&amp;T)'!$B$76,Model!$AM$3201)</f>
        <v>-0.1036770553</v>
      </c>
      <c r="BB3292" s="188"/>
      <c r="BC3292" s="188"/>
      <c r="BD3292" s="188"/>
      <c r="BE3292" s="188"/>
      <c r="BF3292" s="188"/>
      <c r="BG3292" s="188"/>
      <c r="BH3292" s="188"/>
      <c r="BI3292" s="188"/>
      <c r="BJ3292" s="188"/>
      <c r="BK3292" s="188"/>
    </row>
    <row r="3293" ht="15.75" hidden="1" customHeight="1" outlineLevel="1">
      <c r="A3293" s="385"/>
      <c r="B3293" s="38"/>
      <c r="C3293" s="188"/>
      <c r="D3293" s="188"/>
      <c r="E3293" s="188"/>
      <c r="F3293" s="188"/>
      <c r="G3293" s="188"/>
      <c r="H3293" s="188"/>
      <c r="I3293" s="188"/>
      <c r="J3293" s="188"/>
      <c r="K3293" s="188"/>
      <c r="L3293" s="188"/>
      <c r="M3293" s="188"/>
      <c r="N3293" s="188"/>
      <c r="O3293" s="188"/>
      <c r="P3293" s="188"/>
      <c r="Q3293" s="188"/>
      <c r="R3293" s="188"/>
      <c r="S3293" s="78"/>
      <c r="T3293" s="78"/>
      <c r="U3293" s="78"/>
      <c r="V3293" s="78"/>
      <c r="W3293" s="139"/>
      <c r="AN3293" s="188">
        <f>IPMT('Assumptions (Oil G&amp;T)'!$B$73,Model!W$1,'Assumptions (Oil G&amp;T)'!$B$76,Model!$AN$3201)</f>
        <v>-0.9795208281</v>
      </c>
      <c r="AO3293" s="188">
        <f>IPMT('Assumptions (Oil G&amp;T)'!$B$73,Model!X$1,'Assumptions (Oil G&amp;T)'!$B$76,Model!$AN$3201)</f>
        <v>-0.9420176827</v>
      </c>
      <c r="AP3293" s="188">
        <f>IPMT('Assumptions (Oil G&amp;T)'!$B$73,Model!Y$1,'Assumptions (Oil G&amp;T)'!$B$76,Model!$AN$3201)</f>
        <v>-0.9017018015</v>
      </c>
      <c r="AQ3293" s="188">
        <f>IPMT('Assumptions (Oil G&amp;T)'!$B$73,Model!Z$1,'Assumptions (Oil G&amp;T)'!$B$76,Model!$AN$3201)</f>
        <v>-0.8583622291</v>
      </c>
      <c r="AR3293" s="188">
        <f>IPMT('Assumptions (Oil G&amp;T)'!$B$73,Model!AA$1,'Assumptions (Oil G&amp;T)'!$B$76,Model!$AN$3201)</f>
        <v>-0.8117721888</v>
      </c>
      <c r="AS3293" s="188">
        <f>IPMT('Assumptions (Oil G&amp;T)'!$B$73,Model!AB$1,'Assumptions (Oil G&amp;T)'!$B$76,Model!$AN$3201)</f>
        <v>-0.7616878955</v>
      </c>
      <c r="AT3293" s="188">
        <f>IPMT('Assumptions (Oil G&amp;T)'!$B$73,Model!AC$1,'Assumptions (Oil G&amp;T)'!$B$76,Model!$AN$3201)</f>
        <v>-0.7078472802</v>
      </c>
      <c r="AU3293" s="188">
        <f>IPMT('Assumptions (Oil G&amp;T)'!$B$73,Model!AD$1,'Assumptions (Oil G&amp;T)'!$B$76,Model!$AN$3201)</f>
        <v>-0.6499686188</v>
      </c>
      <c r="AV3293" s="188">
        <f>IPMT('Assumptions (Oil G&amp;T)'!$B$73,Model!AE$1,'Assumptions (Oil G&amp;T)'!$B$76,Model!$AN$3201)</f>
        <v>-0.5877490577</v>
      </c>
      <c r="AW3293" s="188">
        <f>IPMT('Assumptions (Oil G&amp;T)'!$B$73,Model!AF$1,'Assumptions (Oil G&amp;T)'!$B$76,Model!$AN$3201)</f>
        <v>-0.5208630296</v>
      </c>
      <c r="AX3293" s="188">
        <f>IPMT('Assumptions (Oil G&amp;T)'!$B$73,Model!AG$1,'Assumptions (Oil G&amp;T)'!$B$76,Model!$AN$3201)</f>
        <v>-0.4489605493</v>
      </c>
      <c r="AY3293" s="188">
        <f>IPMT('Assumptions (Oil G&amp;T)'!$B$73,Model!AH$1,'Assumptions (Oil G&amp;T)'!$B$76,Model!$AN$3201)</f>
        <v>-0.371665383</v>
      </c>
      <c r="AZ3293" s="188">
        <f>IPMT('Assumptions (Oil G&amp;T)'!$B$73,Model!AI$1,'Assumptions (Oil G&amp;T)'!$B$76,Model!$AN$3201)</f>
        <v>-0.2885730793</v>
      </c>
      <c r="BA3293" s="188">
        <f>IPMT('Assumptions (Oil G&amp;T)'!$B$73,Model!AJ$1,'Assumptions (Oil G&amp;T)'!$B$76,Model!$AN$3201)</f>
        <v>-0.1992488528</v>
      </c>
      <c r="BB3293" s="188">
        <f>IPMT('Assumptions (Oil G&amp;T)'!$B$73,Model!AK$1,'Assumptions (Oil G&amp;T)'!$B$76,Model!$AN$3201)</f>
        <v>-0.1032253093</v>
      </c>
      <c r="BC3293" s="188"/>
      <c r="BD3293" s="188"/>
      <c r="BE3293" s="188"/>
      <c r="BF3293" s="188"/>
      <c r="BG3293" s="188"/>
      <c r="BH3293" s="188"/>
      <c r="BI3293" s="188"/>
      <c r="BJ3293" s="188"/>
      <c r="BK3293" s="188"/>
      <c r="BL3293" s="188"/>
    </row>
    <row r="3294" ht="15.75" hidden="1" customHeight="1" outlineLevel="1">
      <c r="A3294" s="385"/>
      <c r="B3294" s="38"/>
      <c r="C3294" s="188"/>
      <c r="D3294" s="188"/>
      <c r="E3294" s="188"/>
      <c r="F3294" s="188"/>
      <c r="G3294" s="188"/>
      <c r="H3294" s="188"/>
      <c r="I3294" s="188"/>
      <c r="J3294" s="188"/>
      <c r="K3294" s="188"/>
      <c r="L3294" s="188"/>
      <c r="M3294" s="188"/>
      <c r="N3294" s="188"/>
      <c r="O3294" s="188"/>
      <c r="P3294" s="188"/>
      <c r="Q3294" s="188"/>
      <c r="R3294" s="188"/>
      <c r="S3294" s="78"/>
      <c r="T3294" s="78"/>
      <c r="U3294" s="78"/>
      <c r="V3294" s="78"/>
      <c r="W3294" s="139"/>
      <c r="AO3294" s="188">
        <f>IPMT('Assumptions (Oil G&amp;T)'!$B$73,Model!W$1,'Assumptions (Oil G&amp;T)'!$B$76,Model!$AO$3201)</f>
        <v>-0.9767381627</v>
      </c>
      <c r="AP3294" s="188">
        <f>IPMT('Assumptions (Oil G&amp;T)'!$B$73,Model!X$1,'Assumptions (Oil G&amp;T)'!$B$76,Model!$AO$3201)</f>
        <v>-0.939341558</v>
      </c>
      <c r="AQ3294" s="188">
        <f>IPMT('Assumptions (Oil G&amp;T)'!$B$73,Model!Y$1,'Assumptions (Oil G&amp;T)'!$B$76,Model!$AO$3201)</f>
        <v>-0.8991402078</v>
      </c>
      <c r="AR3294" s="188">
        <f>IPMT('Assumptions (Oil G&amp;T)'!$B$73,Model!Z$1,'Assumptions (Oil G&amp;T)'!$B$76,Model!$AO$3201)</f>
        <v>-0.8559237564</v>
      </c>
      <c r="AS3294" s="188">
        <f>IPMT('Assumptions (Oil G&amp;T)'!$B$73,Model!AA$1,'Assumptions (Oil G&amp;T)'!$B$76,Model!$AO$3201)</f>
        <v>-0.8094660711</v>
      </c>
      <c r="AT3294" s="188">
        <f>IPMT('Assumptions (Oil G&amp;T)'!$B$73,Model!AB$1,'Assumptions (Oil G&amp;T)'!$B$76,Model!$AO$3201)</f>
        <v>-0.7595240594</v>
      </c>
      <c r="AU3294" s="188">
        <f>IPMT('Assumptions (Oil G&amp;T)'!$B$73,Model!AC$1,'Assumptions (Oil G&amp;T)'!$B$76,Model!$AO$3201)</f>
        <v>-0.7058363969</v>
      </c>
      <c r="AV3294" s="188">
        <f>IPMT('Assumptions (Oil G&amp;T)'!$B$73,Model!AD$1,'Assumptions (Oil G&amp;T)'!$B$76,Model!$AO$3201)</f>
        <v>-0.6481221597</v>
      </c>
      <c r="AW3294" s="188">
        <f>IPMT('Assumptions (Oil G&amp;T)'!$B$73,Model!AE$1,'Assumptions (Oil G&amp;T)'!$B$76,Model!$AO$3201)</f>
        <v>-0.5860793546</v>
      </c>
      <c r="AX3294" s="188">
        <f>IPMT('Assumptions (Oil G&amp;T)'!$B$73,Model!AF$1,'Assumptions (Oil G&amp;T)'!$B$76,Model!$AO$3201)</f>
        <v>-0.5193833392</v>
      </c>
      <c r="AY3294" s="188">
        <f>IPMT('Assumptions (Oil G&amp;T)'!$B$73,Model!AG$1,'Assumptions (Oil G&amp;T)'!$B$76,Model!$AO$3201)</f>
        <v>-0.4476851227</v>
      </c>
      <c r="AZ3294" s="188">
        <f>IPMT('Assumptions (Oil G&amp;T)'!$B$73,Model!AH$1,'Assumptions (Oil G&amp;T)'!$B$76,Model!$AO$3201)</f>
        <v>-0.3706095399</v>
      </c>
      <c r="BA3294" s="188">
        <f>IPMT('Assumptions (Oil G&amp;T)'!$B$73,Model!AI$1,'Assumptions (Oil G&amp;T)'!$B$76,Model!$AO$3201)</f>
        <v>-0.2877532884</v>
      </c>
      <c r="BB3294" s="188">
        <f>IPMT('Assumptions (Oil G&amp;T)'!$B$73,Model!AJ$1,'Assumptions (Oil G&amp;T)'!$B$76,Model!$AO$3201)</f>
        <v>-0.198682818</v>
      </c>
      <c r="BC3294" s="188">
        <f>IPMT('Assumptions (Oil G&amp;T)'!$B$73,Model!AK$1,'Assumptions (Oil G&amp;T)'!$B$76,Model!$AO$3201)</f>
        <v>-0.1029320623</v>
      </c>
      <c r="BD3294" s="188"/>
      <c r="BE3294" s="188"/>
      <c r="BF3294" s="188"/>
      <c r="BG3294" s="188"/>
      <c r="BH3294" s="188"/>
      <c r="BI3294" s="188"/>
      <c r="BJ3294" s="188"/>
      <c r="BK3294" s="188"/>
      <c r="BL3294" s="188"/>
      <c r="BM3294" s="188"/>
    </row>
    <row r="3295" ht="15.75" hidden="1" customHeight="1" outlineLevel="1">
      <c r="A3295" s="385"/>
      <c r="B3295" s="38"/>
      <c r="C3295" s="188"/>
      <c r="D3295" s="188"/>
      <c r="E3295" s="188"/>
      <c r="F3295" s="188"/>
      <c r="G3295" s="188"/>
      <c r="H3295" s="188"/>
      <c r="I3295" s="188"/>
      <c r="J3295" s="188"/>
      <c r="K3295" s="188"/>
      <c r="L3295" s="188"/>
      <c r="M3295" s="188"/>
      <c r="N3295" s="188"/>
      <c r="O3295" s="188"/>
      <c r="P3295" s="188"/>
      <c r="Q3295" s="188"/>
      <c r="R3295" s="188"/>
      <c r="S3295" s="78"/>
      <c r="T3295" s="78"/>
      <c r="U3295" s="78"/>
      <c r="V3295" s="78"/>
      <c r="W3295" s="139"/>
      <c r="AP3295" s="188">
        <f>IPMT('Assumptions (Oil G&amp;T)'!$B$73,Model!W$1,'Assumptions (Oil G&amp;T)'!$B$76,Model!$AP$3201)</f>
        <v>-0.9742821192</v>
      </c>
      <c r="AQ3295" s="188">
        <f>IPMT('Assumptions (Oil G&amp;T)'!$B$73,Model!X$1,'Assumptions (Oil G&amp;T)'!$B$76,Model!$AP$3201)</f>
        <v>-0.9369795495</v>
      </c>
      <c r="AR3295" s="188">
        <f>IPMT('Assumptions (Oil G&amp;T)'!$B$73,Model!Y$1,'Assumptions (Oil G&amp;T)'!$B$76,Model!$AP$3201)</f>
        <v>-0.8968792871</v>
      </c>
      <c r="AS3295" s="188">
        <f>IPMT('Assumptions (Oil G&amp;T)'!$B$73,Model!Z$1,'Assumptions (Oil G&amp;T)'!$B$76,Model!$AP$3201)</f>
        <v>-0.853771505</v>
      </c>
      <c r="AT3295" s="188">
        <f>IPMT('Assumptions (Oil G&amp;T)'!$B$73,Model!AA$1,'Assumptions (Oil G&amp;T)'!$B$76,Model!$AP$3201)</f>
        <v>-0.8074306393</v>
      </c>
      <c r="AU3295" s="188">
        <f>IPMT('Assumptions (Oil G&amp;T)'!$B$73,Model!AB$1,'Assumptions (Oil G&amp;T)'!$B$76,Model!$AP$3201)</f>
        <v>-0.7576142086</v>
      </c>
      <c r="AV3295" s="188">
        <f>IPMT('Assumptions (Oil G&amp;T)'!$B$73,Model!AC$1,'Assumptions (Oil G&amp;T)'!$B$76,Model!$AP$3201)</f>
        <v>-0.7040615457</v>
      </c>
      <c r="AW3295" s="188">
        <f>IPMT('Assumptions (Oil G&amp;T)'!$B$73,Model!AD$1,'Assumptions (Oil G&amp;T)'!$B$76,Model!$AP$3201)</f>
        <v>-0.646492433</v>
      </c>
      <c r="AX3295" s="188">
        <f>IPMT('Assumptions (Oil G&amp;T)'!$B$73,Model!AE$1,'Assumptions (Oil G&amp;T)'!$B$76,Model!$AP$3201)</f>
        <v>-0.5846056368</v>
      </c>
      <c r="AY3295" s="188">
        <f>IPMT('Assumptions (Oil G&amp;T)'!$B$73,Model!AF$1,'Assumptions (Oil G&amp;T)'!$B$76,Model!$AP$3201)</f>
        <v>-0.518077331</v>
      </c>
      <c r="AZ3295" s="188">
        <f>IPMT('Assumptions (Oil G&amp;T)'!$B$73,Model!AG$1,'Assumptions (Oil G&amp;T)'!$B$76,Model!$AP$3201)</f>
        <v>-0.4465594022</v>
      </c>
      <c r="BA3295" s="188">
        <f>IPMT('Assumptions (Oil G&amp;T)'!$B$73,Model!AH$1,'Assumptions (Oil G&amp;T)'!$B$76,Model!$AP$3201)</f>
        <v>-0.3696776287</v>
      </c>
      <c r="BB3295" s="188">
        <f>IPMT('Assumptions (Oil G&amp;T)'!$B$73,Model!AI$1,'Assumptions (Oil G&amp;T)'!$B$76,Model!$AP$3201)</f>
        <v>-0.2870297223</v>
      </c>
      <c r="BC3295" s="188">
        <f>IPMT('Assumptions (Oil G&amp;T)'!$B$73,Model!AJ$1,'Assumptions (Oil G&amp;T)'!$B$76,Model!$AP$3201)</f>
        <v>-0.1981832228</v>
      </c>
      <c r="BD3295" s="188">
        <f>IPMT('Assumptions (Oil G&amp;T)'!$B$73,Model!AK$1,'Assumptions (Oil G&amp;T)'!$B$76,Model!$AP$3201)</f>
        <v>-0.1026732359</v>
      </c>
      <c r="BE3295" s="188"/>
      <c r="BF3295" s="188"/>
      <c r="BG3295" s="188"/>
      <c r="BH3295" s="188"/>
      <c r="BI3295" s="188"/>
      <c r="BJ3295" s="188"/>
      <c r="BK3295" s="188"/>
      <c r="BL3295" s="188"/>
      <c r="BM3295" s="188"/>
      <c r="BN3295" s="188"/>
    </row>
    <row r="3296" ht="15.75" hidden="1" customHeight="1" outlineLevel="1">
      <c r="A3296" s="385"/>
      <c r="B3296" s="38"/>
      <c r="C3296" s="188"/>
      <c r="D3296" s="188"/>
      <c r="E3296" s="188"/>
      <c r="F3296" s="188"/>
      <c r="G3296" s="188"/>
      <c r="H3296" s="188"/>
      <c r="I3296" s="188"/>
      <c r="J3296" s="188"/>
      <c r="K3296" s="188"/>
      <c r="L3296" s="188"/>
      <c r="M3296" s="188"/>
      <c r="N3296" s="188"/>
      <c r="O3296" s="188"/>
      <c r="P3296" s="188"/>
      <c r="Q3296" s="188"/>
      <c r="R3296" s="188"/>
      <c r="S3296" s="78"/>
      <c r="T3296" s="78"/>
      <c r="U3296" s="78"/>
      <c r="V3296" s="78"/>
      <c r="W3296" s="139"/>
      <c r="AQ3296" s="188">
        <f>IPMT('Assumptions (Oil G&amp;T)'!$B$73,Model!W$1,'Assumptions (Oil G&amp;T)'!$B$76,Model!$AQ$3201)</f>
        <v>-0.971703328</v>
      </c>
      <c r="AR3296" s="188">
        <f>IPMT('Assumptions (Oil G&amp;T)'!$B$73,Model!X$1,'Assumptions (Oil G&amp;T)'!$B$76,Model!$AQ$3201)</f>
        <v>-0.9344994931</v>
      </c>
      <c r="AS3296" s="188">
        <f>IPMT('Assumptions (Oil G&amp;T)'!$B$73,Model!Y$1,'Assumptions (Oil G&amp;T)'!$B$76,Model!$AQ$3201)</f>
        <v>-0.8945053706</v>
      </c>
      <c r="AT3296" s="188">
        <f>IPMT('Assumptions (Oil G&amp;T)'!$B$73,Model!Z$1,'Assumptions (Oil G&amp;T)'!$B$76,Model!$AQ$3201)</f>
        <v>-0.8515116889</v>
      </c>
      <c r="AU3296" s="188">
        <f>IPMT('Assumptions (Oil G&amp;T)'!$B$73,Model!AA$1,'Assumptions (Oil G&amp;T)'!$B$76,Model!$AQ$3201)</f>
        <v>-0.8052934811</v>
      </c>
      <c r="AV3296" s="188">
        <f>IPMT('Assumptions (Oil G&amp;T)'!$B$73,Model!AB$1,'Assumptions (Oil G&amp;T)'!$B$76,Model!$AQ$3201)</f>
        <v>-0.7556089077</v>
      </c>
      <c r="AW3296" s="188">
        <f>IPMT('Assumptions (Oil G&amp;T)'!$B$73,Model!AC$1,'Assumptions (Oil G&amp;T)'!$B$76,Model!$AQ$3201)</f>
        <v>-0.7021979913</v>
      </c>
      <c r="AX3296" s="188">
        <f>IPMT('Assumptions (Oil G&amp;T)'!$B$73,Model!AD$1,'Assumptions (Oil G&amp;T)'!$B$76,Model!$AQ$3201)</f>
        <v>-0.6447812561</v>
      </c>
      <c r="AY3296" s="188">
        <f>IPMT('Assumptions (Oil G&amp;T)'!$B$73,Model!AE$1,'Assumptions (Oil G&amp;T)'!$B$76,Model!$AQ$3201)</f>
        <v>-0.5830582659</v>
      </c>
      <c r="AZ3296" s="188">
        <f>IPMT('Assumptions (Oil G&amp;T)'!$B$73,Model!AF$1,'Assumptions (Oil G&amp;T)'!$B$76,Model!$AQ$3201)</f>
        <v>-0.5167060513</v>
      </c>
      <c r="BA3296" s="188">
        <f>IPMT('Assumptions (Oil G&amp;T)'!$B$73,Model!AG$1,'Assumptions (Oil G&amp;T)'!$B$76,Model!$AQ$3201)</f>
        <v>-0.4453774207</v>
      </c>
      <c r="BB3296" s="188">
        <f>IPMT('Assumptions (Oil G&amp;T)'!$B$73,Model!AH$1,'Assumptions (Oil G&amp;T)'!$B$76,Model!$AQ$3201)</f>
        <v>-0.3686991427</v>
      </c>
      <c r="BC3296" s="188">
        <f>IPMT('Assumptions (Oil G&amp;T)'!$B$73,Model!AI$1,'Assumptions (Oil G&amp;T)'!$B$76,Model!$AQ$3201)</f>
        <v>-0.286269994</v>
      </c>
      <c r="BD3296" s="188">
        <f>IPMT('Assumptions (Oil G&amp;T)'!$B$73,Model!AJ$1,'Assumptions (Oil G&amp;T)'!$B$76,Model!$AQ$3201)</f>
        <v>-0.197658659</v>
      </c>
      <c r="BE3296" s="188">
        <f>IPMT('Assumptions (Oil G&amp;T)'!$B$73,Model!AK$1,'Assumptions (Oil G&amp;T)'!$B$76,Model!$AQ$3201)</f>
        <v>-0.1024014739</v>
      </c>
      <c r="BF3296" s="188"/>
      <c r="BG3296" s="188"/>
      <c r="BH3296" s="188"/>
      <c r="BI3296" s="188"/>
      <c r="BJ3296" s="188"/>
      <c r="BK3296" s="188"/>
      <c r="BL3296" s="188"/>
      <c r="BM3296" s="188"/>
      <c r="BN3296" s="188"/>
      <c r="BO3296" s="188"/>
    </row>
    <row r="3297" ht="15.75" hidden="1" customHeight="1" outlineLevel="1">
      <c r="A3297" s="385"/>
      <c r="B3297" s="38"/>
      <c r="C3297" s="188"/>
      <c r="D3297" s="188"/>
      <c r="E3297" s="188"/>
      <c r="F3297" s="188"/>
      <c r="G3297" s="188"/>
      <c r="H3297" s="188"/>
      <c r="I3297" s="188"/>
      <c r="J3297" s="188"/>
      <c r="K3297" s="188"/>
      <c r="L3297" s="188"/>
      <c r="M3297" s="188"/>
      <c r="N3297" s="188"/>
      <c r="O3297" s="188"/>
      <c r="P3297" s="188"/>
      <c r="Q3297" s="188"/>
      <c r="R3297" s="188"/>
      <c r="S3297" s="78"/>
      <c r="T3297" s="78"/>
      <c r="U3297" s="78"/>
      <c r="V3297" s="78"/>
      <c r="W3297" s="139"/>
      <c r="AR3297" s="188">
        <f>IPMT('Assumptions (Oil G&amp;T)'!$B$73,Model!W$1,'Assumptions (Oil G&amp;T)'!$B$76,Model!$AR$3201)</f>
        <v>-0.9709576044</v>
      </c>
      <c r="AS3297" s="188">
        <f>IPMT('Assumptions (Oil G&amp;T)'!$B$73,Model!X$1,'Assumptions (Oil G&amp;T)'!$B$76,Model!$AR$3201)</f>
        <v>-0.9337823212</v>
      </c>
      <c r="AT3297" s="188">
        <f>IPMT('Assumptions (Oil G&amp;T)'!$B$73,Model!Y$1,'Assumptions (Oil G&amp;T)'!$B$76,Model!$AR$3201)</f>
        <v>-0.8938188918</v>
      </c>
      <c r="AU3297" s="188">
        <f>IPMT('Assumptions (Oil G&amp;T)'!$B$73,Model!Z$1,'Assumptions (Oil G&amp;T)'!$B$76,Model!$AR$3201)</f>
        <v>-0.8508582052</v>
      </c>
      <c r="AV3297" s="188">
        <f>IPMT('Assumptions (Oil G&amp;T)'!$B$73,Model!AA$1,'Assumptions (Oil G&amp;T)'!$B$76,Model!$AR$3201)</f>
        <v>-0.804675467</v>
      </c>
      <c r="AW3297" s="188">
        <f>IPMT('Assumptions (Oil G&amp;T)'!$B$73,Model!AB$1,'Assumptions (Oil G&amp;T)'!$B$76,Model!$AR$3201)</f>
        <v>-0.7550290235</v>
      </c>
      <c r="AX3297" s="188">
        <f>IPMT('Assumptions (Oil G&amp;T)'!$B$73,Model!AC$1,'Assumptions (Oil G&amp;T)'!$B$76,Model!$AR$3201)</f>
        <v>-0.7016590968</v>
      </c>
      <c r="AY3297" s="188">
        <f>IPMT('Assumptions (Oil G&amp;T)'!$B$73,Model!AD$1,'Assumptions (Oil G&amp;T)'!$B$76,Model!$AR$3201)</f>
        <v>-0.6442864255</v>
      </c>
      <c r="AZ3297" s="188">
        <f>IPMT('Assumptions (Oil G&amp;T)'!$B$73,Model!AE$1,'Assumptions (Oil G&amp;T)'!$B$76,Model!$AR$3201)</f>
        <v>-0.5826108039</v>
      </c>
      <c r="BA3297" s="188">
        <f>IPMT('Assumptions (Oil G&amp;T)'!$B$73,Model!AF$1,'Assumptions (Oil G&amp;T)'!$B$76,Model!$AR$3201)</f>
        <v>-0.5163095106</v>
      </c>
      <c r="BB3297" s="188">
        <f>IPMT('Assumptions (Oil G&amp;T)'!$B$73,Model!AG$1,'Assumptions (Oil G&amp;T)'!$B$76,Model!$AR$3201)</f>
        <v>-0.4450356204</v>
      </c>
      <c r="BC3297" s="188">
        <f>IPMT('Assumptions (Oil G&amp;T)'!$B$73,Model!AH$1,'Assumptions (Oil G&amp;T)'!$B$76,Model!$AR$3201)</f>
        <v>-0.3684161884</v>
      </c>
      <c r="BD3297" s="188">
        <f>IPMT('Assumptions (Oil G&amp;T)'!$B$73,Model!AI$1,'Assumptions (Oil G&amp;T)'!$B$76,Model!$AR$3201)</f>
        <v>-0.286050299</v>
      </c>
      <c r="BE3297" s="188">
        <f>IPMT('Assumptions (Oil G&amp;T)'!$B$73,Model!AJ$1,'Assumptions (Oil G&amp;T)'!$B$76,Model!$AR$3201)</f>
        <v>-0.1975069679</v>
      </c>
      <c r="BF3297" s="188">
        <f>IPMT('Assumptions (Oil G&amp;T)'!$B$73,Model!AK$1,'Assumptions (Oil G&amp;T)'!$B$76,Model!$AR$3201)</f>
        <v>-0.102322887</v>
      </c>
      <c r="BG3297" s="188"/>
      <c r="BH3297" s="188"/>
      <c r="BI3297" s="188"/>
      <c r="BJ3297" s="188"/>
      <c r="BK3297" s="188"/>
      <c r="BL3297" s="188"/>
      <c r="BM3297" s="188"/>
      <c r="BN3297" s="188"/>
      <c r="BO3297" s="188"/>
      <c r="BP3297" s="188"/>
    </row>
    <row r="3298" ht="15.75" hidden="1" customHeight="1" outlineLevel="1">
      <c r="A3298" s="385"/>
      <c r="B3298" s="38"/>
      <c r="C3298" s="188"/>
      <c r="D3298" s="188"/>
      <c r="E3298" s="188"/>
      <c r="F3298" s="188"/>
      <c r="G3298" s="188"/>
      <c r="H3298" s="188"/>
      <c r="I3298" s="188"/>
      <c r="J3298" s="188"/>
      <c r="K3298" s="188"/>
      <c r="L3298" s="188"/>
      <c r="M3298" s="188"/>
      <c r="N3298" s="188"/>
      <c r="O3298" s="188"/>
      <c r="P3298" s="188"/>
      <c r="Q3298" s="188"/>
      <c r="R3298" s="188"/>
      <c r="S3298" s="78"/>
      <c r="T3298" s="78"/>
      <c r="U3298" s="78"/>
      <c r="V3298" s="78"/>
      <c r="W3298" s="139"/>
      <c r="AS3298" s="188">
        <f>IPMT('Assumptions (Oil G&amp;T)'!$B$73,Model!W$1,'Assumptions (Oil G&amp;T)'!$B$76,Model!$AS$3201)</f>
        <v>-0.9690888408</v>
      </c>
      <c r="AT3298" s="188">
        <f>IPMT('Assumptions (Oil G&amp;T)'!$B$73,Model!X$1,'Assumptions (Oil G&amp;T)'!$B$76,Model!$AS$3201)</f>
        <v>-0.9319851074</v>
      </c>
      <c r="AU3298" s="188">
        <f>IPMT('Assumptions (Oil G&amp;T)'!$B$73,Model!Y$1,'Assumptions (Oil G&amp;T)'!$B$76,Model!$AS$3201)</f>
        <v>-0.892098594</v>
      </c>
      <c r="AV3298" s="188">
        <f>IPMT('Assumptions (Oil G&amp;T)'!$B$73,Model!Z$1,'Assumptions (Oil G&amp;T)'!$B$76,Model!$AS$3201)</f>
        <v>-0.8492205921</v>
      </c>
      <c r="AW3298" s="188">
        <f>IPMT('Assumptions (Oil G&amp;T)'!$B$73,Model!AA$1,'Assumptions (Oil G&amp;T)'!$B$76,Model!$AS$3201)</f>
        <v>-0.80312674</v>
      </c>
      <c r="AX3298" s="188">
        <f>IPMT('Assumptions (Oil G&amp;T)'!$B$73,Model!AB$1,'Assumptions (Oil G&amp;T)'!$B$76,Model!$AS$3201)</f>
        <v>-0.7535758491</v>
      </c>
      <c r="AY3298" s="188">
        <f>IPMT('Assumptions (Oil G&amp;T)'!$B$73,Model!AC$1,'Assumptions (Oil G&amp;T)'!$B$76,Model!$AS$3201)</f>
        <v>-0.7003086413</v>
      </c>
      <c r="AZ3298" s="188">
        <f>IPMT('Assumptions (Oil G&amp;T)'!$B$73,Model!AD$1,'Assumptions (Oil G&amp;T)'!$B$76,Model!$AS$3201)</f>
        <v>-0.6430463929</v>
      </c>
      <c r="BA3298" s="188">
        <f>IPMT('Assumptions (Oil G&amp;T)'!$B$73,Model!AE$1,'Assumptions (Oil G&amp;T)'!$B$76,Model!$AS$3201)</f>
        <v>-0.5814894759</v>
      </c>
      <c r="BB3298" s="188">
        <f>IPMT('Assumptions (Oil G&amp;T)'!$B$73,Model!AF$1,'Assumptions (Oil G&amp;T)'!$B$76,Model!$AS$3201)</f>
        <v>-0.5153157902</v>
      </c>
      <c r="BC3298" s="188">
        <f>IPMT('Assumptions (Oil G&amp;T)'!$B$73,Model!AG$1,'Assumptions (Oil G&amp;T)'!$B$76,Model!$AS$3201)</f>
        <v>-0.444179078</v>
      </c>
      <c r="BD3298" s="188">
        <f>IPMT('Assumptions (Oil G&amp;T)'!$B$73,Model!AH$1,'Assumptions (Oil G&amp;T)'!$B$76,Model!$AS$3201)</f>
        <v>-0.3677071124</v>
      </c>
      <c r="BE3298" s="188">
        <f>IPMT('Assumptions (Oil G&amp;T)'!$B$73,Model!AI$1,'Assumptions (Oil G&amp;T)'!$B$76,Model!$AS$3201)</f>
        <v>-0.2854997493</v>
      </c>
      <c r="BF3298" s="188">
        <f>IPMT('Assumptions (Oil G&amp;T)'!$B$73,Model!AJ$1,'Assumptions (Oil G&amp;T)'!$B$76,Model!$AS$3201)</f>
        <v>-0.1971268341</v>
      </c>
      <c r="BG3298" s="188">
        <f>IPMT('Assumptions (Oil G&amp;T)'!$B$73,Model!AK$1,'Assumptions (Oil G&amp;T)'!$B$76,Model!$AS$3201)</f>
        <v>-0.1021259502</v>
      </c>
      <c r="BH3298" s="188"/>
      <c r="BI3298" s="188"/>
      <c r="BJ3298" s="188"/>
      <c r="BK3298" s="188"/>
      <c r="BL3298" s="188"/>
      <c r="BM3298" s="188"/>
      <c r="BN3298" s="188"/>
      <c r="BO3298" s="188"/>
      <c r="BP3298" s="188"/>
      <c r="BQ3298" s="188"/>
    </row>
    <row r="3299" ht="15.75" hidden="1" customHeight="1" outlineLevel="1">
      <c r="A3299" s="385"/>
      <c r="B3299" s="38"/>
      <c r="C3299" s="188"/>
      <c r="D3299" s="188"/>
      <c r="E3299" s="188"/>
      <c r="F3299" s="188"/>
      <c r="G3299" s="188"/>
      <c r="H3299" s="188"/>
      <c r="I3299" s="188"/>
      <c r="J3299" s="188"/>
      <c r="K3299" s="188"/>
      <c r="L3299" s="188"/>
      <c r="M3299" s="188"/>
      <c r="N3299" s="188"/>
      <c r="O3299" s="188"/>
      <c r="P3299" s="188"/>
      <c r="Q3299" s="188"/>
      <c r="R3299" s="188"/>
      <c r="S3299" s="78"/>
      <c r="T3299" s="78"/>
      <c r="U3299" s="78"/>
      <c r="V3299" s="78"/>
      <c r="W3299" s="139"/>
      <c r="AT3299" s="188">
        <f>IPMT('Assumptions (Oil G&amp;T)'!$B$73,Model!W$1,'Assumptions (Oil G&amp;T)'!$B$76,Model!$AT$3201)</f>
        <v>-0.9662070079</v>
      </c>
      <c r="AU3299" s="188">
        <f>IPMT('Assumptions (Oil G&amp;T)'!$B$73,Model!X$1,'Assumptions (Oil G&amp;T)'!$B$76,Model!$AT$3201)</f>
        <v>-0.9292136119</v>
      </c>
      <c r="AV3299" s="188">
        <f>IPMT('Assumptions (Oil G&amp;T)'!$B$73,Model!Y$1,'Assumptions (Oil G&amp;T)'!$B$76,Model!$AT$3201)</f>
        <v>-0.8894457112</v>
      </c>
      <c r="AW3299" s="188">
        <f>IPMT('Assumptions (Oil G&amp;T)'!$B$73,Model!Z$1,'Assumptions (Oil G&amp;T)'!$B$76,Model!$AT$3201)</f>
        <v>-0.846695218</v>
      </c>
      <c r="AX3299" s="188">
        <f>IPMT('Assumptions (Oil G&amp;T)'!$B$73,Model!AA$1,'Assumptions (Oil G&amp;T)'!$B$76,Model!$AT$3201)</f>
        <v>-0.8007384377</v>
      </c>
      <c r="AY3299" s="188">
        <f>IPMT('Assumptions (Oil G&amp;T)'!$B$73,Model!AB$1,'Assumptions (Oil G&amp;T)'!$B$76,Model!$AT$3201)</f>
        <v>-0.751334899</v>
      </c>
      <c r="AZ3299" s="188">
        <f>IPMT('Assumptions (Oil G&amp;T)'!$B$73,Model!AC$1,'Assumptions (Oil G&amp;T)'!$B$76,Model!$AT$3201)</f>
        <v>-0.6982260949</v>
      </c>
      <c r="BA3299" s="188">
        <f>IPMT('Assumptions (Oil G&amp;T)'!$B$73,Model!AD$1,'Assumptions (Oil G&amp;T)'!$B$76,Model!$AT$3201)</f>
        <v>-0.6411341304</v>
      </c>
      <c r="BB3299" s="188">
        <f>IPMT('Assumptions (Oil G&amp;T)'!$B$73,Model!AE$1,'Assumptions (Oil G&amp;T)'!$B$76,Model!$AT$3201)</f>
        <v>-0.5797602686</v>
      </c>
      <c r="BC3299" s="188">
        <f>IPMT('Assumptions (Oil G&amp;T)'!$B$73,Model!AF$1,'Assumptions (Oil G&amp;T)'!$B$76,Model!$AT$3201)</f>
        <v>-0.5137833672</v>
      </c>
      <c r="BD3299" s="188">
        <f>IPMT('Assumptions (Oil G&amp;T)'!$B$73,Model!AG$1,'Assumptions (Oil G&amp;T)'!$B$76,Model!$AT$3201)</f>
        <v>-0.4428581982</v>
      </c>
      <c r="BE3299" s="188">
        <f>IPMT('Assumptions (Oil G&amp;T)'!$B$73,Model!AH$1,'Assumptions (Oil G&amp;T)'!$B$76,Model!$AT$3201)</f>
        <v>-0.3666136415</v>
      </c>
      <c r="BF3299" s="188">
        <f>IPMT('Assumptions (Oil G&amp;T)'!$B$73,Model!AI$1,'Assumptions (Oil G&amp;T)'!$B$76,Model!$AT$3201)</f>
        <v>-0.284650743</v>
      </c>
      <c r="BG3299" s="188">
        <f>IPMT('Assumptions (Oil G&amp;T)'!$B$73,Model!AJ$1,'Assumptions (Oil G&amp;T)'!$B$76,Model!$AT$3201)</f>
        <v>-0.1965406272</v>
      </c>
      <c r="BH3299" s="188">
        <f>IPMT('Assumptions (Oil G&amp;T)'!$B$73,Model!AK$1,'Assumptions (Oil G&amp;T)'!$B$76,Model!$AT$3201)</f>
        <v>-0.1018222526</v>
      </c>
      <c r="BI3299" s="188"/>
      <c r="BJ3299" s="188"/>
      <c r="BK3299" s="188"/>
      <c r="BL3299" s="188"/>
      <c r="BM3299" s="188"/>
      <c r="BN3299" s="188"/>
      <c r="BO3299" s="188"/>
      <c r="BP3299" s="188"/>
      <c r="BQ3299" s="188"/>
      <c r="BR3299" s="188"/>
    </row>
    <row r="3300" ht="15.75" hidden="1" customHeight="1" outlineLevel="1">
      <c r="A3300" s="385"/>
      <c r="B3300" s="38"/>
      <c r="C3300" s="188"/>
      <c r="D3300" s="188"/>
      <c r="E3300" s="188"/>
      <c r="F3300" s="188"/>
      <c r="G3300" s="188"/>
      <c r="H3300" s="188"/>
      <c r="I3300" s="188"/>
      <c r="J3300" s="188"/>
      <c r="K3300" s="188"/>
      <c r="L3300" s="188"/>
      <c r="M3300" s="188"/>
      <c r="N3300" s="188"/>
      <c r="O3300" s="188"/>
      <c r="P3300" s="188"/>
      <c r="Q3300" s="188"/>
      <c r="R3300" s="188"/>
      <c r="S3300" s="78"/>
      <c r="T3300" s="78"/>
      <c r="U3300" s="78"/>
      <c r="V3300" s="78"/>
      <c r="W3300" s="139"/>
      <c r="AU3300" s="188">
        <f>IPMT('Assumptions (Oil G&amp;T)'!$B$73,Model!W$1,'Assumptions (Oil G&amp;T)'!$B$76,Model!$AU$3201)</f>
        <v>-0.9634603072</v>
      </c>
      <c r="AV3300" s="188">
        <f>IPMT('Assumptions (Oil G&amp;T)'!$B$73,Model!X$1,'Assumptions (Oil G&amp;T)'!$B$76,Model!$AU$3201)</f>
        <v>-0.9265720748</v>
      </c>
      <c r="AW3300" s="188">
        <f>IPMT('Assumptions (Oil G&amp;T)'!$B$73,Model!Y$1,'Assumptions (Oil G&amp;T)'!$B$76,Model!$AU$3201)</f>
        <v>-0.8869172249</v>
      </c>
      <c r="AX3300" s="188">
        <f>IPMT('Assumptions (Oil G&amp;T)'!$B$73,Model!Z$1,'Assumptions (Oil G&amp;T)'!$B$76,Model!$AU$3201)</f>
        <v>-0.8442882614</v>
      </c>
      <c r="AY3300" s="188">
        <f>IPMT('Assumptions (Oil G&amp;T)'!$B$73,Model!AA$1,'Assumptions (Oil G&amp;T)'!$B$76,Model!$AU$3201)</f>
        <v>-0.7984621255</v>
      </c>
      <c r="AZ3300" s="188">
        <f>IPMT('Assumptions (Oil G&amp;T)'!$B$73,Model!AB$1,'Assumptions (Oil G&amp;T)'!$B$76,Model!$AU$3201)</f>
        <v>-0.7491990295</v>
      </c>
      <c r="BA3300" s="188">
        <f>IPMT('Assumptions (Oil G&amp;T)'!$B$73,Model!AC$1,'Assumptions (Oil G&amp;T)'!$B$76,Model!$AU$3201)</f>
        <v>-0.6962412013</v>
      </c>
      <c r="BB3300" s="188">
        <f>IPMT('Assumptions (Oil G&amp;T)'!$B$73,Model!AD$1,'Assumptions (Oil G&amp;T)'!$B$76,Model!$AU$3201)</f>
        <v>-0.6393115359</v>
      </c>
      <c r="BC3300" s="188">
        <f>IPMT('Assumptions (Oil G&amp;T)'!$B$73,Model!AE$1,'Assumptions (Oil G&amp;T)'!$B$76,Model!$AU$3201)</f>
        <v>-0.5781121457</v>
      </c>
      <c r="BD3300" s="188">
        <f>IPMT('Assumptions (Oil G&amp;T)'!$B$73,Model!AF$1,'Assumptions (Oil G&amp;T)'!$B$76,Model!$AU$3201)</f>
        <v>-0.5123228012</v>
      </c>
      <c r="BE3300" s="188">
        <f>IPMT('Assumptions (Oil G&amp;T)'!$B$73,Model!AG$1,'Assumptions (Oil G&amp;T)'!$B$76,Model!$AU$3201)</f>
        <v>-0.4415992558</v>
      </c>
      <c r="BF3300" s="188">
        <f>IPMT('Assumptions (Oil G&amp;T)'!$B$73,Model!AH$1,'Assumptions (Oil G&amp;T)'!$B$76,Model!$AU$3201)</f>
        <v>-0.3655714446</v>
      </c>
      <c r="BG3300" s="188">
        <f>IPMT('Assumptions (Oil G&amp;T)'!$B$73,Model!AI$1,'Assumptions (Oil G&amp;T)'!$B$76,Model!$AU$3201)</f>
        <v>-0.2838415475</v>
      </c>
      <c r="BH3300" s="188">
        <f>IPMT('Assumptions (Oil G&amp;T)'!$B$73,Model!AJ$1,'Assumptions (Oil G&amp;T)'!$B$76,Model!$AU$3201)</f>
        <v>-0.1959819081</v>
      </c>
      <c r="BI3300" s="188">
        <f>IPMT('Assumptions (Oil G&amp;T)'!$B$73,Model!AK$1,'Assumptions (Oil G&amp;T)'!$B$76,Model!$AU$3201)</f>
        <v>-0.1015327958</v>
      </c>
      <c r="BJ3300" s="188"/>
      <c r="BK3300" s="188"/>
      <c r="BL3300" s="188"/>
      <c r="BM3300" s="188"/>
      <c r="BN3300" s="188"/>
      <c r="BO3300" s="188"/>
      <c r="BP3300" s="188"/>
      <c r="BQ3300" s="188"/>
      <c r="BR3300" s="188"/>
      <c r="BS3300" s="188"/>
    </row>
    <row r="3301" ht="15.75" hidden="1" customHeight="1" outlineLevel="1">
      <c r="A3301" s="385"/>
      <c r="B3301" s="38"/>
      <c r="C3301" s="188"/>
      <c r="D3301" s="188"/>
      <c r="E3301" s="188"/>
      <c r="F3301" s="188"/>
      <c r="G3301" s="188"/>
      <c r="H3301" s="188"/>
      <c r="I3301" s="188"/>
      <c r="J3301" s="188"/>
      <c r="K3301" s="188"/>
      <c r="L3301" s="188"/>
      <c r="M3301" s="188"/>
      <c r="N3301" s="188"/>
      <c r="O3301" s="188"/>
      <c r="P3301" s="188"/>
      <c r="Q3301" s="188"/>
      <c r="R3301" s="188"/>
      <c r="S3301" s="78"/>
      <c r="T3301" s="78"/>
      <c r="U3301" s="78"/>
      <c r="V3301" s="78"/>
      <c r="W3301" s="139"/>
      <c r="AV3301" s="188">
        <f>IPMT('Assumptions (Oil G&amp;T)'!$B$73,Model!W$1,'Assumptions (Oil G&amp;T)'!$B$76,Model!$AV$3201)</f>
        <v>-0.9584724714</v>
      </c>
      <c r="AW3301" s="188">
        <f>IPMT('Assumptions (Oil G&amp;T)'!$B$73,Model!X$1,'Assumptions (Oil G&amp;T)'!$B$76,Model!$AV$3201)</f>
        <v>-0.9217752094</v>
      </c>
      <c r="AX3301" s="188">
        <f>IPMT('Assumptions (Oil G&amp;T)'!$B$73,Model!Y$1,'Assumptions (Oil G&amp;T)'!$B$76,Model!$AV$3201)</f>
        <v>-0.8823256528</v>
      </c>
      <c r="AY3301" s="188">
        <f>IPMT('Assumptions (Oil G&amp;T)'!$B$73,Model!Z$1,'Assumptions (Oil G&amp;T)'!$B$76,Model!$AV$3201)</f>
        <v>-0.8399173795</v>
      </c>
      <c r="AZ3301" s="188">
        <f>IPMT('Assumptions (Oil G&amp;T)'!$B$73,Model!AA$1,'Assumptions (Oil G&amp;T)'!$B$76,Model!$AV$3201)</f>
        <v>-0.7943284856</v>
      </c>
      <c r="BA3301" s="188">
        <f>IPMT('Assumptions (Oil G&amp;T)'!$B$73,Model!AB$1,'Assumptions (Oil G&amp;T)'!$B$76,Model!$AV$3201)</f>
        <v>-0.7453204247</v>
      </c>
      <c r="BB3301" s="188">
        <f>IPMT('Assumptions (Oil G&amp;T)'!$B$73,Model!AC$1,'Assumptions (Oil G&amp;T)'!$B$76,Model!$AV$3201)</f>
        <v>-0.6926367593</v>
      </c>
      <c r="BC3301" s="188">
        <f>IPMT('Assumptions (Oil G&amp;T)'!$B$73,Model!AD$1,'Assumptions (Oil G&amp;T)'!$B$76,Model!$AV$3201)</f>
        <v>-0.6360018189</v>
      </c>
      <c r="BD3301" s="188">
        <f>IPMT('Assumptions (Oil G&amp;T)'!$B$73,Model!AE$1,'Assumptions (Oil G&amp;T)'!$B$76,Model!$AV$3201)</f>
        <v>-0.575119258</v>
      </c>
      <c r="BE3301" s="188">
        <f>IPMT('Assumptions (Oil G&amp;T)'!$B$73,Model!AF$1,'Assumptions (Oil G&amp;T)'!$B$76,Model!$AV$3201)</f>
        <v>-0.5096705051</v>
      </c>
      <c r="BF3301" s="188">
        <f>IPMT('Assumptions (Oil G&amp;T)'!$B$73,Model!AG$1,'Assumptions (Oil G&amp;T)'!$B$76,Model!$AV$3201)</f>
        <v>-0.4393130956</v>
      </c>
      <c r="BG3301" s="188">
        <f>IPMT('Assumptions (Oil G&amp;T)'!$B$73,Model!AH$1,'Assumptions (Oil G&amp;T)'!$B$76,Model!$AV$3201)</f>
        <v>-0.3636788805</v>
      </c>
      <c r="BH3301" s="188">
        <f>IPMT('Assumptions (Oil G&amp;T)'!$B$73,Model!AI$1,'Assumptions (Oil G&amp;T)'!$B$76,Model!$AV$3201)</f>
        <v>-0.2823720992</v>
      </c>
      <c r="BI3301" s="188">
        <f>IPMT('Assumptions (Oil G&amp;T)'!$B$73,Model!AJ$1,'Assumptions (Oil G&amp;T)'!$B$76,Model!$AV$3201)</f>
        <v>-0.1949673094</v>
      </c>
      <c r="BJ3301" s="188">
        <f>IPMT('Assumptions (Oil G&amp;T)'!$B$73,Model!AK$1,'Assumptions (Oil G&amp;T)'!$B$76,Model!$AV$3201)</f>
        <v>-0.1010071603</v>
      </c>
      <c r="BK3301" s="188"/>
      <c r="BL3301" s="188"/>
      <c r="BM3301" s="188"/>
      <c r="BN3301" s="188"/>
      <c r="BO3301" s="188"/>
      <c r="BP3301" s="188"/>
      <c r="BQ3301" s="188"/>
      <c r="BR3301" s="188"/>
      <c r="BS3301" s="188"/>
      <c r="BT3301" s="188"/>
    </row>
    <row r="3302" ht="15.75" hidden="1" customHeight="1" outlineLevel="1">
      <c r="A3302" s="385"/>
      <c r="B3302" s="38"/>
      <c r="C3302" s="188"/>
      <c r="D3302" s="188"/>
      <c r="E3302" s="188"/>
      <c r="F3302" s="188"/>
      <c r="G3302" s="188"/>
      <c r="H3302" s="188"/>
      <c r="I3302" s="188"/>
      <c r="J3302" s="188"/>
      <c r="K3302" s="188"/>
      <c r="L3302" s="188"/>
      <c r="M3302" s="188"/>
      <c r="N3302" s="188"/>
      <c r="O3302" s="188"/>
      <c r="P3302" s="188"/>
      <c r="Q3302" s="188"/>
      <c r="R3302" s="188"/>
      <c r="S3302" s="78"/>
      <c r="T3302" s="78"/>
      <c r="U3302" s="78"/>
      <c r="V3302" s="78"/>
      <c r="W3302" s="139"/>
      <c r="AW3302" s="188">
        <f>IPMT('Assumptions (Oil G&amp;T)'!$B$73,Model!W$1,'Assumptions (Oil G&amp;T)'!$B$76,Model!$AW$3201)</f>
        <v>-0.9545343329</v>
      </c>
      <c r="AX3302" s="188">
        <f>IPMT('Assumptions (Oil G&amp;T)'!$B$73,Model!X$1,'Assumptions (Oil G&amp;T)'!$B$76,Model!$AW$3201)</f>
        <v>-0.9179878513</v>
      </c>
      <c r="AY3302" s="188">
        <f>IPMT('Assumptions (Oil G&amp;T)'!$B$73,Model!Y$1,'Assumptions (Oil G&amp;T)'!$B$76,Model!$AW$3201)</f>
        <v>-0.8787003837</v>
      </c>
      <c r="AZ3302" s="188">
        <f>IPMT('Assumptions (Oil G&amp;T)'!$B$73,Model!Z$1,'Assumptions (Oil G&amp;T)'!$B$76,Model!$AW$3201)</f>
        <v>-0.836466356</v>
      </c>
      <c r="BA3302" s="188">
        <f>IPMT('Assumptions (Oil G&amp;T)'!$B$73,Model!AA$1,'Assumptions (Oil G&amp;T)'!$B$76,Model!$AW$3201)</f>
        <v>-0.7910647762</v>
      </c>
      <c r="BB3302" s="188">
        <f>IPMT('Assumptions (Oil G&amp;T)'!$B$73,Model!AB$1,'Assumptions (Oil G&amp;T)'!$B$76,Model!$AW$3201)</f>
        <v>-0.742258078</v>
      </c>
      <c r="BC3302" s="188">
        <f>IPMT('Assumptions (Oil G&amp;T)'!$B$73,Model!AC$1,'Assumptions (Oil G&amp;T)'!$B$76,Model!$AW$3201)</f>
        <v>-0.6897908773</v>
      </c>
      <c r="BD3302" s="188">
        <f>IPMT('Assumptions (Oil G&amp;T)'!$B$73,Model!AD$1,'Assumptions (Oil G&amp;T)'!$B$76,Model!$AW$3201)</f>
        <v>-0.6333886367</v>
      </c>
      <c r="BE3302" s="188">
        <f>IPMT('Assumptions (Oil G&amp;T)'!$B$73,Model!AE$1,'Assumptions (Oil G&amp;T)'!$B$76,Model!$AW$3201)</f>
        <v>-0.5727562279</v>
      </c>
      <c r="BF3302" s="188">
        <f>IPMT('Assumptions (Oil G&amp;T)'!$B$73,Model!AF$1,'Assumptions (Oil G&amp;T)'!$B$76,Model!$AW$3201)</f>
        <v>-0.5075763886</v>
      </c>
      <c r="BG3302" s="188">
        <f>IPMT('Assumptions (Oil G&amp;T)'!$B$73,Model!AG$1,'Assumptions (Oil G&amp;T)'!$B$76,Model!$AW$3201)</f>
        <v>-0.4375080612</v>
      </c>
      <c r="BH3302" s="188">
        <f>IPMT('Assumptions (Oil G&amp;T)'!$B$73,Model!AH$1,'Assumptions (Oil G&amp;T)'!$B$76,Model!$AW$3201)</f>
        <v>-0.3621846093</v>
      </c>
      <c r="BI3302" s="188">
        <f>IPMT('Assumptions (Oil G&amp;T)'!$B$73,Model!AI$1,'Assumptions (Oil G&amp;T)'!$B$76,Model!$AW$3201)</f>
        <v>-0.2812118985</v>
      </c>
      <c r="BJ3302" s="188">
        <f>IPMT('Assumptions (Oil G&amp;T)'!$B$73,Model!AJ$1,'Assumptions (Oil G&amp;T)'!$B$76,Model!$AW$3201)</f>
        <v>-0.1941662345</v>
      </c>
      <c r="BK3302" s="188">
        <f>IPMT('Assumptions (Oil G&amp;T)'!$B$73,Model!AK$1,'Assumptions (Oil G&amp;T)'!$B$76,Model!$AW$3201)</f>
        <v>-0.1005921456</v>
      </c>
      <c r="BL3302" s="188"/>
      <c r="BM3302" s="188"/>
      <c r="BN3302" s="188"/>
      <c r="BO3302" s="188"/>
      <c r="BP3302" s="188"/>
      <c r="BQ3302" s="188"/>
      <c r="BR3302" s="188"/>
      <c r="BS3302" s="188"/>
      <c r="BT3302" s="188"/>
      <c r="BU3302" s="188"/>
    </row>
    <row r="3303" ht="15.75" hidden="1" customHeight="1" outlineLevel="1">
      <c r="A3303" s="385"/>
      <c r="B3303" s="38"/>
      <c r="C3303" s="188"/>
      <c r="D3303" s="188"/>
      <c r="E3303" s="188"/>
      <c r="F3303" s="188"/>
      <c r="G3303" s="188"/>
      <c r="H3303" s="188"/>
      <c r="I3303" s="188"/>
      <c r="J3303" s="188"/>
      <c r="K3303" s="188"/>
      <c r="L3303" s="188"/>
      <c r="M3303" s="188"/>
      <c r="N3303" s="188"/>
      <c r="O3303" s="188"/>
      <c r="P3303" s="188"/>
      <c r="Q3303" s="188"/>
      <c r="R3303" s="188"/>
      <c r="S3303" s="78"/>
      <c r="T3303" s="78"/>
      <c r="U3303" s="78"/>
      <c r="V3303" s="78"/>
      <c r="W3303" s="139"/>
      <c r="AW3303" s="188"/>
      <c r="AX3303" s="188">
        <f>IPMT('Assumptions (Oil G&amp;T)'!$B$73,Model!W$1,'Assumptions (Oil G&amp;T)'!$B$76,Model!$AX$3201)</f>
        <v>-0.9513858951</v>
      </c>
      <c r="AY3303" s="188">
        <f>IPMT('Assumptions (Oil G&amp;T)'!$B$73,Model!X$1,'Assumptions (Oil G&amp;T)'!$B$76,Model!$AX$3201)</f>
        <v>-0.9149599586</v>
      </c>
      <c r="AZ3303" s="188">
        <f>IPMT('Assumptions (Oil G&amp;T)'!$B$73,Model!Y$1,'Assumptions (Oil G&amp;T)'!$B$76,Model!$AX$3201)</f>
        <v>-0.8758020768</v>
      </c>
      <c r="BA3303" s="188">
        <f>IPMT('Assumptions (Oil G&amp;T)'!$B$73,Model!Z$1,'Assumptions (Oil G&amp;T)'!$B$76,Model!$AX$3201)</f>
        <v>-0.8337073539</v>
      </c>
      <c r="BB3303" s="188">
        <f>IPMT('Assumptions (Oil G&amp;T)'!$B$73,Model!AA$1,'Assumptions (Oil G&amp;T)'!$B$76,Model!$AX$3201)</f>
        <v>-0.7884555268</v>
      </c>
      <c r="BC3303" s="188">
        <f>IPMT('Assumptions (Oil G&amp;T)'!$B$73,Model!AB$1,'Assumptions (Oil G&amp;T)'!$B$76,Model!$AX$3201)</f>
        <v>-0.7398098126</v>
      </c>
      <c r="BD3303" s="188">
        <f>IPMT('Assumptions (Oil G&amp;T)'!$B$73,Model!AC$1,'Assumptions (Oil G&amp;T)'!$B$76,Model!$AX$3201)</f>
        <v>-0.6875156699</v>
      </c>
      <c r="BE3303" s="188">
        <f>IPMT('Assumptions (Oil G&amp;T)'!$B$73,Model!AD$1,'Assumptions (Oil G&amp;T)'!$B$76,Model!$AX$3201)</f>
        <v>-0.6312994665</v>
      </c>
      <c r="BF3303" s="188">
        <f>IPMT('Assumptions (Oil G&amp;T)'!$B$73,Model!AE$1,'Assumptions (Oil G&amp;T)'!$B$76,Model!$AX$3201)</f>
        <v>-0.5708670478</v>
      </c>
      <c r="BG3303" s="188">
        <f>IPMT('Assumptions (Oil G&amp;T)'!$B$73,Model!AF$1,'Assumptions (Oil G&amp;T)'!$B$76,Model!$AX$3201)</f>
        <v>-0.5059021977</v>
      </c>
      <c r="BH3303" s="188">
        <f>IPMT('Assumptions (Oil G&amp;T)'!$B$73,Model!AG$1,'Assumptions (Oil G&amp;T)'!$B$76,Model!$AX$3201)</f>
        <v>-0.4360649839</v>
      </c>
      <c r="BI3303" s="188">
        <f>IPMT('Assumptions (Oil G&amp;T)'!$B$73,Model!AH$1,'Assumptions (Oil G&amp;T)'!$B$76,Model!$AX$3201)</f>
        <v>-0.360989979</v>
      </c>
      <c r="BJ3303" s="188">
        <f>IPMT('Assumptions (Oil G&amp;T)'!$B$73,Model!AI$1,'Assumptions (Oil G&amp;T)'!$B$76,Model!$AX$3201)</f>
        <v>-0.2802843487</v>
      </c>
      <c r="BK3303" s="188">
        <f>IPMT('Assumptions (Oil G&amp;T)'!$B$73,Model!AJ$1,'Assumptions (Oil G&amp;T)'!$B$76,Model!$AX$3201)</f>
        <v>-0.1935257962</v>
      </c>
      <c r="BL3303" s="188">
        <f>IPMT('Assumptions (Oil G&amp;T)'!$B$73,Model!AK$1,'Assumptions (Oil G&amp;T)'!$B$76,Model!$AX$3201)</f>
        <v>-0.1002603523</v>
      </c>
      <c r="BM3303" s="188"/>
      <c r="BN3303" s="188"/>
      <c r="BO3303" s="188"/>
      <c r="BP3303" s="188"/>
      <c r="BQ3303" s="188"/>
      <c r="BR3303" s="188"/>
      <c r="BS3303" s="188"/>
      <c r="BT3303" s="188"/>
      <c r="BU3303" s="188"/>
      <c r="BV3303" s="188"/>
    </row>
    <row r="3304" ht="15.75" hidden="1" customHeight="1" outlineLevel="1">
      <c r="A3304" s="385"/>
      <c r="B3304" s="38"/>
      <c r="C3304" s="188"/>
      <c r="D3304" s="188"/>
      <c r="E3304" s="188"/>
      <c r="F3304" s="188"/>
      <c r="G3304" s="188"/>
      <c r="H3304" s="188"/>
      <c r="I3304" s="188"/>
      <c r="J3304" s="188"/>
      <c r="K3304" s="188"/>
      <c r="L3304" s="188"/>
      <c r="M3304" s="188"/>
      <c r="N3304" s="188"/>
      <c r="O3304" s="188"/>
      <c r="P3304" s="188"/>
      <c r="Q3304" s="188"/>
      <c r="R3304" s="188"/>
      <c r="S3304" s="78"/>
      <c r="T3304" s="78"/>
      <c r="U3304" s="78"/>
      <c r="V3304" s="78"/>
      <c r="W3304" s="139"/>
      <c r="AW3304" s="188"/>
      <c r="AX3304" s="188"/>
      <c r="AY3304" s="188">
        <f>IPMT('Assumptions (Oil G&amp;T)'!$B$73,Model!W$1,'Assumptions (Oil G&amp;T)'!$B$76,Model!$AY$3201)</f>
        <v>-0.9482297994</v>
      </c>
      <c r="AZ3304" s="188">
        <f>IPMT('Assumptions (Oil G&amp;T)'!$B$73,Model!X$1,'Assumptions (Oil G&amp;T)'!$B$76,Model!$AY$3201)</f>
        <v>-0.911924701</v>
      </c>
      <c r="BA3304" s="188">
        <f>IPMT('Assumptions (Oil G&amp;T)'!$B$73,Model!Y$1,'Assumptions (Oil G&amp;T)'!$B$76,Model!$AY$3201)</f>
        <v>-0.8728967203</v>
      </c>
      <c r="BB3304" s="188">
        <f>IPMT('Assumptions (Oil G&amp;T)'!$B$73,Model!Z$1,'Assumptions (Oil G&amp;T)'!$B$76,Model!$AY$3201)</f>
        <v>-0.830941641</v>
      </c>
      <c r="BC3304" s="188">
        <f>IPMT('Assumptions (Oil G&amp;T)'!$B$73,Model!AA$1,'Assumptions (Oil G&amp;T)'!$B$76,Model!$AY$3201)</f>
        <v>-0.7858399308</v>
      </c>
      <c r="BD3304" s="188">
        <f>IPMT('Assumptions (Oil G&amp;T)'!$B$73,Model!AB$1,'Assumptions (Oil G&amp;T)'!$B$76,Model!$AY$3201)</f>
        <v>-0.7373555923</v>
      </c>
      <c r="BE3304" s="188">
        <f>IPMT('Assumptions (Oil G&amp;T)'!$B$73,Model!AC$1,'Assumptions (Oil G&amp;T)'!$B$76,Model!$AY$3201)</f>
        <v>-0.6852349284</v>
      </c>
      <c r="BF3304" s="188">
        <f>IPMT('Assumptions (Oil G&amp;T)'!$B$73,Model!AD$1,'Assumptions (Oil G&amp;T)'!$B$76,Model!$AY$3201)</f>
        <v>-0.6292052147</v>
      </c>
      <c r="BG3304" s="188">
        <f>IPMT('Assumptions (Oil G&amp;T)'!$B$73,Model!AE$1,'Assumptions (Oil G&amp;T)'!$B$76,Model!$AY$3201)</f>
        <v>-0.5689732725</v>
      </c>
      <c r="BH3304" s="188">
        <f>IPMT('Assumptions (Oil G&amp;T)'!$B$73,Model!AF$1,'Assumptions (Oil G&amp;T)'!$B$76,Model!$AY$3201)</f>
        <v>-0.5042239347</v>
      </c>
      <c r="BI3304" s="188">
        <f>IPMT('Assumptions (Oil G&amp;T)'!$B$73,Model!AG$1,'Assumptions (Oil G&amp;T)'!$B$76,Model!$AY$3201)</f>
        <v>-0.4346183965</v>
      </c>
      <c r="BJ3304" s="188">
        <f>IPMT('Assumptions (Oil G&amp;T)'!$B$73,Model!AH$1,'Assumptions (Oil G&amp;T)'!$B$76,Model!$AY$3201)</f>
        <v>-0.3597924429</v>
      </c>
      <c r="BK3304" s="188">
        <f>IPMT('Assumptions (Oil G&amp;T)'!$B$73,Model!AI$1,'Assumptions (Oil G&amp;T)'!$B$76,Model!$AY$3201)</f>
        <v>-0.2793545428</v>
      </c>
      <c r="BL3304" s="188">
        <f>IPMT('Assumptions (Oil G&amp;T)'!$B$73,Model!AJ$1,'Assumptions (Oil G&amp;T)'!$B$76,Model!$AY$3201)</f>
        <v>-0.1928838002</v>
      </c>
      <c r="BM3304" s="188">
        <f>IPMT('Assumptions (Oil G&amp;T)'!$B$73,Model!AK$1,'Assumptions (Oil G&amp;T)'!$B$76,Model!$AY$3201)</f>
        <v>-0.09992775191</v>
      </c>
      <c r="BN3304" s="188"/>
      <c r="BO3304" s="188"/>
      <c r="BP3304" s="188"/>
      <c r="BQ3304" s="188"/>
      <c r="BR3304" s="188"/>
      <c r="BS3304" s="188"/>
      <c r="BT3304" s="188"/>
      <c r="BU3304" s="188"/>
      <c r="BV3304" s="188"/>
      <c r="BW3304" s="188"/>
    </row>
    <row r="3305" ht="15.75" hidden="1" customHeight="1" outlineLevel="1">
      <c r="A3305" s="385"/>
      <c r="B3305" s="38"/>
      <c r="C3305" s="188"/>
      <c r="D3305" s="188"/>
      <c r="E3305" s="188"/>
      <c r="F3305" s="188"/>
      <c r="G3305" s="188"/>
      <c r="H3305" s="188"/>
      <c r="I3305" s="188"/>
      <c r="J3305" s="188"/>
      <c r="K3305" s="188"/>
      <c r="L3305" s="188"/>
      <c r="M3305" s="188"/>
      <c r="N3305" s="188"/>
      <c r="O3305" s="188"/>
      <c r="P3305" s="188"/>
      <c r="Q3305" s="188"/>
      <c r="R3305" s="188"/>
      <c r="S3305" s="78"/>
      <c r="T3305" s="78"/>
      <c r="U3305" s="78"/>
      <c r="V3305" s="78"/>
      <c r="W3305" s="139"/>
      <c r="AW3305" s="188"/>
      <c r="AX3305" s="188"/>
      <c r="AY3305" s="188"/>
      <c r="AZ3305" s="188">
        <f>IPMT('Assumptions (Oil G&amp;T)'!$B$73,Model!W$1,'Assumptions (Oil G&amp;T)'!$B$76,Model!$AZ$3201)</f>
        <v>-0.9423752357</v>
      </c>
      <c r="BA3305" s="188">
        <f>IPMT('Assumptions (Oil G&amp;T)'!$B$73,Model!X$1,'Assumptions (Oil G&amp;T)'!$B$76,Model!$AZ$3201)</f>
        <v>-0.9062942924</v>
      </c>
      <c r="BB3305" s="188">
        <f>IPMT('Assumptions (Oil G&amp;T)'!$B$73,Model!Y$1,'Assumptions (Oil G&amp;T)'!$B$76,Model!$AZ$3201)</f>
        <v>-0.8675072783</v>
      </c>
      <c r="BC3305" s="188">
        <f>IPMT('Assumptions (Oil G&amp;T)'!$B$73,Model!Z$1,'Assumptions (Oil G&amp;T)'!$B$76,Model!$AZ$3201)</f>
        <v>-0.8258112383</v>
      </c>
      <c r="BD3305" s="188">
        <f>IPMT('Assumptions (Oil G&amp;T)'!$B$73,Model!AA$1,'Assumptions (Oil G&amp;T)'!$B$76,Model!$AZ$3201)</f>
        <v>-0.7809879952</v>
      </c>
      <c r="BE3305" s="188">
        <f>IPMT('Assumptions (Oil G&amp;T)'!$B$73,Model!AB$1,'Assumptions (Oil G&amp;T)'!$B$76,Model!$AZ$3201)</f>
        <v>-0.7328030088</v>
      </c>
      <c r="BF3305" s="188">
        <f>IPMT('Assumptions (Oil G&amp;T)'!$B$73,Model!AC$1,'Assumptions (Oil G&amp;T)'!$B$76,Model!$AZ$3201)</f>
        <v>-0.6810041485</v>
      </c>
      <c r="BG3305" s="188">
        <f>IPMT('Assumptions (Oil G&amp;T)'!$B$73,Model!AD$1,'Assumptions (Oil G&amp;T)'!$B$76,Model!$AZ$3201)</f>
        <v>-0.6253203737</v>
      </c>
      <c r="BH3305" s="188">
        <f>IPMT('Assumptions (Oil G&amp;T)'!$B$73,Model!AE$1,'Assumptions (Oil G&amp;T)'!$B$76,Model!$AZ$3201)</f>
        <v>-0.5654603158</v>
      </c>
      <c r="BI3305" s="188">
        <f>IPMT('Assumptions (Oil G&amp;T)'!$B$73,Model!AF$1,'Assumptions (Oil G&amp;T)'!$B$76,Model!$AZ$3201)</f>
        <v>-0.5011107535</v>
      </c>
      <c r="BJ3305" s="188">
        <f>IPMT('Assumptions (Oil G&amp;T)'!$B$73,Model!AG$1,'Assumptions (Oil G&amp;T)'!$B$76,Model!$AZ$3201)</f>
        <v>-0.431934974</v>
      </c>
      <c r="BK3305" s="188">
        <f>IPMT('Assumptions (Oil G&amp;T)'!$B$73,Model!AH$1,'Assumptions (Oil G&amp;T)'!$B$76,Model!$AZ$3201)</f>
        <v>-0.3575710111</v>
      </c>
      <c r="BL3305" s="188">
        <f>IPMT('Assumptions (Oil G&amp;T)'!$B$73,Model!AI$1,'Assumptions (Oil G&amp;T)'!$B$76,Model!$AZ$3201)</f>
        <v>-0.277629751</v>
      </c>
      <c r="BM3305" s="188">
        <f>IPMT('Assumptions (Oil G&amp;T)'!$B$73,Model!AJ$1,'Assumptions (Oil G&amp;T)'!$B$76,Model!$AZ$3201)</f>
        <v>-0.1916928964</v>
      </c>
      <c r="BN3305" s="188">
        <f>IPMT('Assumptions (Oil G&amp;T)'!$B$73,Model!AK$1,'Assumptions (Oil G&amp;T)'!$B$76,Model!$AZ$3201)</f>
        <v>-0.09931077764</v>
      </c>
      <c r="BO3305" s="188"/>
      <c r="BP3305" s="188"/>
      <c r="BQ3305" s="188"/>
      <c r="BR3305" s="188"/>
      <c r="BS3305" s="188"/>
      <c r="BT3305" s="188"/>
      <c r="BU3305" s="188"/>
      <c r="BV3305" s="188"/>
      <c r="BW3305" s="188"/>
      <c r="BX3305" s="188"/>
    </row>
    <row r="3306" ht="15.75" hidden="1" customHeight="1" outlineLevel="1">
      <c r="A3306" s="385"/>
      <c r="B3306" s="38"/>
      <c r="C3306" s="188"/>
      <c r="D3306" s="188"/>
      <c r="E3306" s="188"/>
      <c r="F3306" s="188"/>
      <c r="G3306" s="188"/>
      <c r="H3306" s="188"/>
      <c r="I3306" s="188"/>
      <c r="J3306" s="188"/>
      <c r="K3306" s="188"/>
      <c r="L3306" s="188"/>
      <c r="M3306" s="188"/>
      <c r="N3306" s="188"/>
      <c r="O3306" s="188"/>
      <c r="P3306" s="188"/>
      <c r="Q3306" s="188"/>
      <c r="R3306" s="188"/>
      <c r="S3306" s="78"/>
      <c r="T3306" s="78"/>
      <c r="U3306" s="78"/>
      <c r="V3306" s="78"/>
      <c r="W3306" s="139"/>
      <c r="BA3306" s="188">
        <f>IPMT('Assumptions (Oil G&amp;T)'!$B$73,Model!W$1,'Assumptions (Oil G&amp;T)'!$B$76,Model!$BA$3201)</f>
        <v>-0.9389496142</v>
      </c>
      <c r="BB3306" s="188">
        <f>IPMT('Assumptions (Oil G&amp;T)'!$B$73,Model!X$1,'Assumptions (Oil G&amp;T)'!$B$76,Model!$BA$3201)</f>
        <v>-0.9029998285</v>
      </c>
      <c r="BC3306" s="188">
        <f>IPMT('Assumptions (Oil G&amp;T)'!$B$73,Model!Y$1,'Assumptions (Oil G&amp;T)'!$B$76,Model!$BA$3201)</f>
        <v>-0.8643538088</v>
      </c>
      <c r="BD3306" s="188">
        <f>IPMT('Assumptions (Oil G&amp;T)'!$B$73,Model!Z$1,'Assumptions (Oil G&amp;T)'!$B$76,Model!$BA$3201)</f>
        <v>-0.8228093377</v>
      </c>
      <c r="BE3306" s="188">
        <f>IPMT('Assumptions (Oil G&amp;T)'!$B$73,Model!AA$1,'Assumptions (Oil G&amp;T)'!$B$76,Model!$BA$3201)</f>
        <v>-0.7781490313</v>
      </c>
      <c r="BF3306" s="188">
        <f>IPMT('Assumptions (Oil G&amp;T)'!$B$73,Model!AB$1,'Assumptions (Oil G&amp;T)'!$B$76,Model!$BA$3201)</f>
        <v>-0.7301392018</v>
      </c>
      <c r="BG3306" s="188">
        <f>IPMT('Assumptions (Oil G&amp;T)'!$B$73,Model!AC$1,'Assumptions (Oil G&amp;T)'!$B$76,Model!$BA$3201)</f>
        <v>-0.6785286352</v>
      </c>
      <c r="BH3306" s="188">
        <f>IPMT('Assumptions (Oil G&amp;T)'!$B$73,Model!AD$1,'Assumptions (Oil G&amp;T)'!$B$76,Model!$BA$3201)</f>
        <v>-0.6230472761</v>
      </c>
      <c r="BI3306" s="188">
        <f>IPMT('Assumptions (Oil G&amp;T)'!$B$73,Model!AE$1,'Assumptions (Oil G&amp;T)'!$B$76,Model!$BA$3201)</f>
        <v>-0.563404815</v>
      </c>
      <c r="BJ3306" s="188">
        <f>IPMT('Assumptions (Oil G&amp;T)'!$B$73,Model!AF$1,'Assumptions (Oil G&amp;T)'!$B$76,Model!$BA$3201)</f>
        <v>-0.4992891694</v>
      </c>
      <c r="BK3306" s="188">
        <f>IPMT('Assumptions (Oil G&amp;T)'!$B$73,Model!AG$1,'Assumptions (Oil G&amp;T)'!$B$76,Model!$BA$3201)</f>
        <v>-0.4303648503</v>
      </c>
      <c r="BL3306" s="188">
        <f>IPMT('Assumptions (Oil G&amp;T)'!$B$73,Model!AH$1,'Assumptions (Oil G&amp;T)'!$B$76,Model!$BA$3201)</f>
        <v>-0.3562712073</v>
      </c>
      <c r="BM3306" s="188">
        <f>IPMT('Assumptions (Oil G&amp;T)'!$B$73,Model!AI$1,'Assumptions (Oil G&amp;T)'!$B$76,Model!$BA$3201)</f>
        <v>-0.2766205411</v>
      </c>
      <c r="BN3306" s="188">
        <f>IPMT('Assumptions (Oil G&amp;T)'!$B$73,Model!AJ$1,'Assumptions (Oil G&amp;T)'!$B$76,Model!$BA$3201)</f>
        <v>-0.1909960749</v>
      </c>
      <c r="BO3306" s="188">
        <f>IPMT('Assumptions (Oil G&amp;T)'!$B$73,Model!AK$1,'Assumptions (Oil G&amp;T)'!$B$76,Model!$BA$3201)</f>
        <v>-0.09894977374</v>
      </c>
      <c r="BP3306" s="188"/>
      <c r="BQ3306" s="188"/>
      <c r="BR3306" s="188"/>
      <c r="BS3306" s="188"/>
      <c r="BT3306" s="188"/>
      <c r="BU3306" s="188"/>
      <c r="BV3306" s="188"/>
      <c r="BW3306" s="188"/>
      <c r="BX3306" s="188"/>
      <c r="BY3306" s="188"/>
    </row>
    <row r="3307" ht="15.75" customHeight="1" collapsed="1">
      <c r="A3307" s="385" t="s">
        <v>372</v>
      </c>
      <c r="B3307" s="159" t="s">
        <v>351</v>
      </c>
      <c r="C3307" s="95">
        <f>SUM($C$3200:C3200)*'Assumptions (Oil G&amp;T)'!$B$78</f>
        <v>0.06496924471</v>
      </c>
      <c r="D3307" s="95">
        <f>SUM($C$3200:D3200)*'Assumptions (Oil G&amp;T)'!$B$78</f>
        <v>0.1333736395</v>
      </c>
      <c r="E3307" s="95">
        <f>SUM($C$3200:E3200)*'Assumptions (Oil G&amp;T)'!$B$78</f>
        <v>0.2029231894</v>
      </c>
      <c r="F3307" s="95">
        <f>SUM($C$3200:F3200)*'Assumptions (Oil G&amp;T)'!$B$78</f>
        <v>0.2733100525</v>
      </c>
      <c r="G3307" s="95">
        <f>SUM($C$3200:G3200)*'Assumptions (Oil G&amp;T)'!$B$78</f>
        <v>0.3899185719</v>
      </c>
      <c r="H3307" s="95">
        <f>SUM($C$3200:H3200)*'Assumptions (Oil G&amp;T)'!$B$78</f>
        <v>0.4966965072</v>
      </c>
      <c r="I3307" s="95">
        <f>SUM($C$3200:I3200)*'Assumptions (Oil G&amp;T)'!$B$78</f>
        <v>0.5917821046</v>
      </c>
      <c r="J3307" s="95">
        <f>SUM($C$3200:J3200)*'Assumptions (Oil G&amp;T)'!$B$78</f>
        <v>0.7717585972</v>
      </c>
      <c r="K3307" s="95">
        <f>SUM($C$3200:K3200)*'Assumptions (Oil G&amp;T)'!$B$78</f>
        <v>0.9639856027</v>
      </c>
      <c r="L3307" s="95">
        <f>SUM($C$3200:L3200)*'Assumptions (Oil G&amp;T)'!$B$78</f>
        <v>1.119379222</v>
      </c>
      <c r="M3307" s="95">
        <f>SUM($C$3200:M3200)*'Assumptions (Oil G&amp;T)'!$B$78</f>
        <v>1.401804783</v>
      </c>
      <c r="N3307" s="95">
        <f>SUM($C$3200:N3200)*'Assumptions (Oil G&amp;T)'!$B$78</f>
        <v>1.55431517</v>
      </c>
      <c r="O3307" s="95">
        <f>SUM($C$3200:O3200)*'Assumptions (Oil G&amp;T)'!$B$78</f>
        <v>1.824048037</v>
      </c>
      <c r="P3307" s="95">
        <f>SUM($C$3200:P3200)*'Assumptions (Oil G&amp;T)'!$B$78</f>
        <v>2.411292266</v>
      </c>
      <c r="Q3307" s="95">
        <f>SUM($C$3200:Q3200)*'Assumptions (Oil G&amp;T)'!$B$78</f>
        <v>3.220052187</v>
      </c>
      <c r="R3307" s="95">
        <f>SUM($C$3200:R3200)*'Assumptions (Oil G&amp;T)'!$B$78</f>
        <v>3.833228801</v>
      </c>
      <c r="S3307" s="95">
        <f>SUM($C$3200:S3200)*'Assumptions (Oil G&amp;T)'!$B$78</f>
        <v>4.214920626</v>
      </c>
      <c r="T3307" s="95">
        <f>SUM($C$3200:T3200)*'Assumptions (Oil G&amp;T)'!$B$78</f>
        <v>4.805740845</v>
      </c>
      <c r="U3307" s="95">
        <f>SUM($C$3200:U3200)*'Assumptions (Oil G&amp;T)'!$B$78</f>
        <v>5.449499763</v>
      </c>
      <c r="V3307" s="95">
        <f>SUM($C$3200:V3200)*'Assumptions (Oil G&amp;T)'!$B$78</f>
        <v>6.126330807</v>
      </c>
      <c r="W3307" s="95">
        <f>SUM($C$3200:W3200)*'Assumptions (Oil G&amp;T)'!$B$78</f>
        <v>6.825770414</v>
      </c>
      <c r="X3307" s="95">
        <f>SUM($C$3200:X3200)*'Assumptions (Oil G&amp;T)'!$B$78</f>
        <v>7.535883893</v>
      </c>
      <c r="Y3307" s="95">
        <f>SUM($C$3200:Y3200)*'Assumptions (Oil G&amp;T)'!$B$78</f>
        <v>8.248125698</v>
      </c>
      <c r="Z3307" s="95">
        <f>SUM($C$3200:Z3200)*'Assumptions (Oil G&amp;T)'!$B$78</f>
        <v>8.960275769</v>
      </c>
      <c r="AA3307" s="95">
        <f>SUM($C$3200:AA3200)*'Assumptions (Oil G&amp;T)'!$B$78</f>
        <v>9.677476621</v>
      </c>
      <c r="AB3307" s="95">
        <f>SUM($C$3200:AB3200)*'Assumptions (Oil G&amp;T)'!$B$78</f>
        <v>10.39704978</v>
      </c>
      <c r="AC3307" s="95">
        <f>SUM($C$3200:AC3200)*'Assumptions (Oil G&amp;T)'!$B$78</f>
        <v>11.12150871</v>
      </c>
      <c r="AD3307" s="95">
        <f>SUM($C$3200:AD3200)*'Assumptions (Oil G&amp;T)'!$B$78</f>
        <v>11.85170986</v>
      </c>
      <c r="AE3307" s="95">
        <f>SUM($C$3200:AE3200)*'Assumptions (Oil G&amp;T)'!$B$78</f>
        <v>12.58273114</v>
      </c>
      <c r="AF3307" s="95">
        <f>SUM($C$3200:AF3200)*'Assumptions (Oil G&amp;T)'!$B$78</f>
        <v>13.31615664</v>
      </c>
      <c r="AG3307" s="95">
        <f>SUM(D3200:AG3200)*'Assumptions (Oil G&amp;T)'!$B$78</f>
        <v>13.98637112</v>
      </c>
      <c r="AH3307" s="95">
        <f>SUM(E3200:AH3200)*'Assumptions (Oil G&amp;T)'!$B$78</f>
        <v>14.65442656</v>
      </c>
      <c r="AI3307" s="95">
        <f>SUM(F3200:AI3200)*'Assumptions (Oil G&amp;T)'!$B$78</f>
        <v>15.32051774</v>
      </c>
      <c r="AJ3307" s="95">
        <f>SUM(G3200:AJ3200)*'Assumptions (Oil G&amp;T)'!$B$78</f>
        <v>15.98431421</v>
      </c>
      <c r="AK3307" s="95">
        <f>SUM(H3200:AK3200)*'Assumptions (Oil G&amp;T)'!$B$78</f>
        <v>16.60125435</v>
      </c>
      <c r="AL3307" s="95">
        <f>SUM(I3200:AL3200)*'Assumptions (Oil G&amp;T)'!$B$78</f>
        <v>17.2259558</v>
      </c>
      <c r="AM3307" s="95">
        <f>SUM(J3200:AM3200)*'Assumptions (Oil G&amp;T)'!$B$78</f>
        <v>17.85961651</v>
      </c>
      <c r="AN3307" s="95">
        <f>SUM(K3200:AN3200)*'Assumptions (Oil G&amp;T)'!$B$78</f>
        <v>18.405211</v>
      </c>
      <c r="AO3307" s="95">
        <f>SUM(L3200:AO3200)*'Assumptions (Oil G&amp;T)'!$B$78</f>
        <v>18.93649375</v>
      </c>
      <c r="AP3307" s="95">
        <f>SUM(M3200:AP3200)*'Assumptions (Oil G&amp;T)'!$B$78</f>
        <v>19.50279058</v>
      </c>
      <c r="AQ3307" s="95">
        <f>SUM(N3200:AQ3200)*'Assumptions (Oil G&amp;T)'!$B$78</f>
        <v>19.94014527</v>
      </c>
      <c r="AR3307" s="95">
        <f>SUM(O3200:AR3200)*'Assumptions (Oil G&amp;T)'!$B$78</f>
        <v>20.50686274</v>
      </c>
      <c r="AS3307" s="95">
        <f>SUM(P3200:AS3200)*'Assumptions (Oil G&amp;T)'!$B$78</f>
        <v>20.95497345</v>
      </c>
      <c r="AT3307" s="95">
        <f>SUM(Q3200:AT3200)*'Assumptions (Oil G&amp;T)'!$B$78</f>
        <v>21.08343812</v>
      </c>
      <c r="AU3307" s="95">
        <f>SUM(R3200:AU3200)*'Assumptions (Oil G&amp;T)'!$B$78</f>
        <v>20.9883525</v>
      </c>
      <c r="AV3307" s="95">
        <f>SUM(S3200:AV3200)*'Assumptions (Oil G&amp;T)'!$B$78</f>
        <v>21.08515549</v>
      </c>
      <c r="AW3307" s="95">
        <f>SUM(T3200:AW3200)*'Assumptions (Oil G&amp;T)'!$B$78</f>
        <v>21.41052614</v>
      </c>
      <c r="AX3307" s="95">
        <f>SUM(U3200:AX3200)*'Assumptions (Oil G&amp;T)'!$B$78</f>
        <v>21.52443621</v>
      </c>
      <c r="AY3307" s="95">
        <f>SUM(V3200:AY3200)*'Assumptions (Oil G&amp;T)'!$B$78</f>
        <v>21.58306974</v>
      </c>
      <c r="AZ3307" s="95">
        <f>SUM(W3200:AZ3200)*'Assumptions (Oil G&amp;T)'!$B$78</f>
        <v>21.60429442</v>
      </c>
      <c r="BA3307" s="95">
        <f>SUM(X3200:BA3200)*'Assumptions (Oil G&amp;T)'!$B$78</f>
        <v>21.60037305</v>
      </c>
      <c r="BB3307" s="95">
        <f>SUM(Y3200:BB3200)*'Assumptions (Oil G&amp;T)'!$B$78</f>
        <v>20.89025957</v>
      </c>
      <c r="BC3307" s="95">
        <f>SUM(Z3200:BC3200)*'Assumptions (Oil G&amp;T)'!$B$78</f>
        <v>20.17801777</v>
      </c>
      <c r="BD3307" s="95">
        <f>SUM(AA3200:BD3200)*'Assumptions (Oil G&amp;T)'!$B$78</f>
        <v>19.4658677</v>
      </c>
      <c r="BE3307" s="95">
        <f>SUM(AB3200:BE3200)*'Assumptions (Oil G&amp;T)'!$B$78</f>
        <v>18.74866684</v>
      </c>
      <c r="BF3307" s="95">
        <f>SUM(AC3200:BF3200)*'Assumptions (Oil G&amp;T)'!$B$78</f>
        <v>18.02909368</v>
      </c>
      <c r="BG3307" s="95">
        <f>SUM(AD3200:BG3200)*'Assumptions (Oil G&amp;T)'!$B$78</f>
        <v>17.30463475</v>
      </c>
      <c r="BH3307" s="95">
        <f>SUM(AE3200:BH3200)*'Assumptions (Oil G&amp;T)'!$B$78</f>
        <v>16.5744336</v>
      </c>
      <c r="BI3307" s="95">
        <f>SUM(AF3200:BI3200)*'Assumptions (Oil G&amp;T)'!$B$78</f>
        <v>15.84341232</v>
      </c>
      <c r="BJ3307" s="95">
        <f>SUM(AG3200:BJ3200)*'Assumptions (Oil G&amp;T)'!$B$78</f>
        <v>15.10998682</v>
      </c>
      <c r="BK3307" s="95">
        <f>SUM(AH3200:BK3200)*'Assumptions (Oil G&amp;T)'!$B$78</f>
        <v>14.3748031</v>
      </c>
      <c r="BL3307" s="95">
        <f>SUM(AI3200:BL3200)*'Assumptions (Oil G&amp;T)'!$B$78</f>
        <v>13.63834326</v>
      </c>
      <c r="BM3307" s="95">
        <f>SUM(AJ3200:BM3200)*'Assumptions (Oil G&amp;T)'!$B$78</f>
        <v>12.90270254</v>
      </c>
      <c r="BN3307" s="95">
        <f>SUM(AK3200:BN3200)*'Assumptions (Oil G&amp;T)'!$B$78</f>
        <v>12.1685192</v>
      </c>
      <c r="BO3307" s="95">
        <f>SUM(AL3200:BO3200)*'Assumptions (Oil G&amp;T)'!$B$78</f>
        <v>11.43497054</v>
      </c>
      <c r="BP3307" s="95">
        <f>SUM(AM3200:BP3200)*'Assumptions (Oil G&amp;T)'!$B$78</f>
        <v>10.70349116</v>
      </c>
      <c r="BQ3307" s="95">
        <f>SUM(AN3200:BQ3200)*'Assumptions (Oil G&amp;T)'!$B$78</f>
        <v>9.97474485</v>
      </c>
      <c r="BR3307" s="95">
        <f>SUM(AO3200:BR3200)*'Assumptions (Oil G&amp;T)'!$B$78</f>
        <v>9.249173866</v>
      </c>
      <c r="BS3307" s="95">
        <f>SUM(AP3200:BS3200)*'Assumptions (Oil G&amp;T)'!$B$78</f>
        <v>8.525664116</v>
      </c>
      <c r="BT3307" s="95">
        <f>SUM(AQ3200:BT3200)*'Assumptions (Oil G&amp;T)'!$B$78</f>
        <v>7.803973657</v>
      </c>
      <c r="BU3307" s="95">
        <f>SUM(AR3200:BU3200)*'Assumptions (Oil G&amp;T)'!$B$78</f>
        <v>7.084193414</v>
      </c>
      <c r="BV3307" s="95">
        <f>SUM(AS3200:BV3200)*'Assumptions (Oil G&amp;T)'!$B$78</f>
        <v>6.364965559</v>
      </c>
      <c r="BW3307" s="95">
        <f>SUM(AT3200:BW3200)*'Assumptions (Oil G&amp;T)'!$B$78</f>
        <v>5.647121973</v>
      </c>
      <c r="BX3307" s="95">
        <f>SUM(AU3200:BX3200)*'Assumptions (Oil G&amp;T)'!$B$78</f>
        <v>4.931413078</v>
      </c>
      <c r="BY3307" s="95">
        <f>SUM(AV3200:BY3200)*'Assumptions (Oil G&amp;T)'!$B$78</f>
        <v>4.217738777</v>
      </c>
      <c r="BZ3307" s="95">
        <f>SUM(AW3200:BZ3200)*'Assumptions (Oil G&amp;T)'!$B$78</f>
        <v>3.507759168</v>
      </c>
      <c r="CA3307" s="95">
        <f>SUM(AX3200:CA3200)*'Assumptions (Oil G&amp;T)'!$B$78</f>
        <v>2.8006967</v>
      </c>
      <c r="CB3307" s="95">
        <f>SUM(AY3200:CB3200)*'Assumptions (Oil G&amp;T)'!$B$78</f>
        <v>2.095966407</v>
      </c>
      <c r="CC3307" s="95">
        <f>SUM(AZ3200:CC3200)*'Assumptions (Oil G&amp;T)'!$B$78</f>
        <v>1.393573963</v>
      </c>
      <c r="CD3307" s="95">
        <f>SUM(BA3200:CD3200)*'Assumptions (Oil G&amp;T)'!$B$78</f>
        <v>0.6955182327</v>
      </c>
    </row>
    <row r="3308" ht="15.75" customHeight="1">
      <c r="A3308" s="385" t="s">
        <v>373</v>
      </c>
      <c r="B3308" s="159" t="s">
        <v>351</v>
      </c>
      <c r="C3308" s="95">
        <f t="shared" ref="C3308:BU3308" si="98">SUM(C3309:C3359)</f>
        <v>0.0730904003</v>
      </c>
      <c r="D3308" s="95">
        <f t="shared" si="98"/>
        <v>0.2176588374</v>
      </c>
      <c r="E3308" s="95">
        <f t="shared" si="98"/>
        <v>0.3565265355</v>
      </c>
      <c r="F3308" s="95">
        <f t="shared" si="98"/>
        <v>0.4872240317</v>
      </c>
      <c r="G3308" s="95">
        <f t="shared" si="98"/>
        <v>0.6610470896</v>
      </c>
      <c r="H3308" s="95">
        <f t="shared" si="98"/>
        <v>0.8627854738</v>
      </c>
      <c r="I3308" s="95">
        <f t="shared" si="98"/>
        <v>1.025159735</v>
      </c>
      <c r="J3308" s="95">
        <f t="shared" si="98"/>
        <v>1.2577269</v>
      </c>
      <c r="K3308" s="95">
        <f t="shared" si="98"/>
        <v>1.587573029</v>
      </c>
      <c r="L3308" s="95">
        <f t="shared" si="98"/>
        <v>1.87180807</v>
      </c>
      <c r="M3308" s="95">
        <f t="shared" si="98"/>
        <v>2.243186704</v>
      </c>
      <c r="N3308" s="95">
        <f t="shared" si="98"/>
        <v>2.590510733</v>
      </c>
      <c r="O3308" s="95">
        <f t="shared" si="98"/>
        <v>2.908430202</v>
      </c>
      <c r="P3308" s="95">
        <f t="shared" si="98"/>
        <v>3.702484889</v>
      </c>
      <c r="Q3308" s="95">
        <f t="shared" si="98"/>
        <v>5.053118039</v>
      </c>
      <c r="R3308" s="95">
        <f t="shared" si="98"/>
        <v>6.348295776</v>
      </c>
      <c r="S3308" s="95">
        <f t="shared" si="98"/>
        <v>7.084928845</v>
      </c>
      <c r="T3308" s="95">
        <f t="shared" si="98"/>
        <v>7.757428403</v>
      </c>
      <c r="U3308" s="95">
        <f t="shared" si="98"/>
        <v>8.700535431</v>
      </c>
      <c r="V3308" s="95">
        <f t="shared" si="98"/>
        <v>9.68703554</v>
      </c>
      <c r="W3308" s="95">
        <f t="shared" si="98"/>
        <v>10.64400595</v>
      </c>
      <c r="X3308" s="95">
        <f t="shared" si="98"/>
        <v>11.57116624</v>
      </c>
      <c r="Y3308" s="95">
        <f t="shared" si="98"/>
        <v>12.51098273</v>
      </c>
      <c r="Z3308" s="95">
        <f t="shared" si="98"/>
        <v>13.43900085</v>
      </c>
      <c r="AA3308" s="95">
        <f t="shared" si="98"/>
        <v>14.30681247</v>
      </c>
      <c r="AB3308" s="95">
        <f t="shared" si="98"/>
        <v>15.13992242</v>
      </c>
      <c r="AC3308" s="95">
        <f t="shared" si="98"/>
        <v>15.98564751</v>
      </c>
      <c r="AD3308" s="95">
        <f t="shared" si="98"/>
        <v>16.78815751</v>
      </c>
      <c r="AE3308" s="95">
        <f t="shared" si="98"/>
        <v>17.52890598</v>
      </c>
      <c r="AF3308" s="95">
        <f t="shared" si="98"/>
        <v>18.28657209</v>
      </c>
      <c r="AG3308" s="95">
        <f t="shared" si="98"/>
        <v>18.98575868</v>
      </c>
      <c r="AH3308" s="95">
        <f t="shared" si="98"/>
        <v>19.68738237</v>
      </c>
      <c r="AI3308" s="95">
        <f t="shared" si="98"/>
        <v>20.39541962</v>
      </c>
      <c r="AJ3308" s="95">
        <f t="shared" si="98"/>
        <v>20.80791383</v>
      </c>
      <c r="AK3308" s="95">
        <f t="shared" si="98"/>
        <v>20.85598268</v>
      </c>
      <c r="AL3308" s="95">
        <f t="shared" si="98"/>
        <v>20.88324426</v>
      </c>
      <c r="AM3308" s="95">
        <f t="shared" si="98"/>
        <v>21.1907767</v>
      </c>
      <c r="AN3308" s="95">
        <f t="shared" si="98"/>
        <v>21.50725887</v>
      </c>
      <c r="AO3308" s="95">
        <f t="shared" si="98"/>
        <v>21.64368241</v>
      </c>
      <c r="AP3308" s="95">
        <f t="shared" si="98"/>
        <v>21.71988851</v>
      </c>
      <c r="AQ3308" s="95">
        <f t="shared" si="98"/>
        <v>21.7564976</v>
      </c>
      <c r="AR3308" s="95">
        <f t="shared" si="98"/>
        <v>21.76996423</v>
      </c>
      <c r="AS3308" s="95">
        <f t="shared" si="98"/>
        <v>21.77457352</v>
      </c>
      <c r="AT3308" s="95">
        <f t="shared" si="98"/>
        <v>21.77558712</v>
      </c>
      <c r="AU3308" s="95">
        <f t="shared" si="98"/>
        <v>21.77022276</v>
      </c>
      <c r="AV3308" s="95">
        <f t="shared" si="98"/>
        <v>21.75499474</v>
      </c>
      <c r="AW3308" s="95">
        <f t="shared" si="98"/>
        <v>21.72916123</v>
      </c>
      <c r="AX3308" s="95">
        <f t="shared" si="98"/>
        <v>21.69224587</v>
      </c>
      <c r="AY3308" s="95">
        <f t="shared" si="98"/>
        <v>21.64772725</v>
      </c>
      <c r="AZ3308" s="95">
        <f t="shared" si="98"/>
        <v>21.59574774</v>
      </c>
      <c r="BA3308" s="95">
        <f t="shared" si="98"/>
        <v>21.53572687</v>
      </c>
      <c r="BB3308" s="95">
        <f t="shared" si="98"/>
        <v>20.69103375</v>
      </c>
      <c r="BC3308" s="95">
        <f t="shared" si="98"/>
        <v>19.12468714</v>
      </c>
      <c r="BD3308" s="95">
        <f t="shared" si="98"/>
        <v>17.67490437</v>
      </c>
      <c r="BE3308" s="95">
        <f t="shared" si="98"/>
        <v>16.33234744</v>
      </c>
      <c r="BF3308" s="95">
        <f t="shared" si="98"/>
        <v>15.08955727</v>
      </c>
      <c r="BG3308" s="95">
        <f t="shared" si="98"/>
        <v>13.94010652</v>
      </c>
      <c r="BH3308" s="95">
        <f t="shared" si="98"/>
        <v>12.87780285</v>
      </c>
      <c r="BI3308" s="95">
        <f t="shared" si="98"/>
        <v>11.89541824</v>
      </c>
      <c r="BJ3308" s="95">
        <f t="shared" si="98"/>
        <v>10.92814968</v>
      </c>
      <c r="BK3308" s="95">
        <f t="shared" si="98"/>
        <v>9.96358591</v>
      </c>
      <c r="BL3308" s="95">
        <f t="shared" si="98"/>
        <v>9.000461153</v>
      </c>
      <c r="BM3308" s="95">
        <f t="shared" si="98"/>
        <v>8.038841643</v>
      </c>
      <c r="BN3308" s="95">
        <f t="shared" si="98"/>
        <v>7.079367916</v>
      </c>
      <c r="BO3308" s="95">
        <f t="shared" si="98"/>
        <v>6.122893507</v>
      </c>
      <c r="BP3308" s="95">
        <f t="shared" si="98"/>
        <v>5.170044283</v>
      </c>
      <c r="BQ3308" s="95">
        <f t="shared" si="98"/>
        <v>4.221828677</v>
      </c>
      <c r="BR3308" s="95">
        <f t="shared" si="98"/>
        <v>3.276917244</v>
      </c>
      <c r="BS3308" s="95">
        <f t="shared" si="98"/>
        <v>2.335339953</v>
      </c>
      <c r="BT3308" s="95">
        <f t="shared" si="98"/>
        <v>1.398020751</v>
      </c>
      <c r="BU3308" s="95">
        <f t="shared" si="98"/>
        <v>0.4655103532</v>
      </c>
    </row>
    <row r="3309" ht="15.75" hidden="1" customHeight="1" outlineLevel="1">
      <c r="A3309" s="385"/>
      <c r="B3309" s="38"/>
      <c r="C3309" s="95">
        <f>$C3200*'Assumptions (Oil G&amp;T)'!B$77</f>
        <v>0.0730904003</v>
      </c>
      <c r="D3309" s="95">
        <f>$C3200*'Assumptions (Oil G&amp;T)'!C$77</f>
        <v>0.1407038933</v>
      </c>
      <c r="E3309" s="95">
        <f>$C3200*'Assumptions (Oil G&amp;T)'!D$77</f>
        <v>0.1301398941</v>
      </c>
      <c r="F3309" s="95">
        <f>$C3200*'Assumptions (Oil G&amp;T)'!E$77</f>
        <v>0.1203945074</v>
      </c>
      <c r="G3309" s="95">
        <f>$C3200*'Assumptions (Oil G&amp;T)'!F$77</f>
        <v>0.1113507885</v>
      </c>
      <c r="H3309" s="95">
        <f>$C3200*'Assumptions (Oil G&amp;T)'!G$77</f>
        <v>0.1030087375</v>
      </c>
      <c r="I3309" s="95">
        <f>$C3200*'Assumptions (Oil G&amp;T)'!H$77</f>
        <v>0.09527090044</v>
      </c>
      <c r="J3309" s="95">
        <f>$C3200*'Assumptions (Oil G&amp;T)'!I$77</f>
        <v>0.08813727737</v>
      </c>
      <c r="K3309" s="95">
        <f>$C3200*'Assumptions (Oil G&amp;T)'!J$77</f>
        <v>0.08696783097</v>
      </c>
      <c r="L3309" s="95">
        <f>$C3200*'Assumptions (Oil G&amp;T)'!K$77</f>
        <v>0.0869483402</v>
      </c>
      <c r="M3309" s="95">
        <f>$C3200*'Assumptions (Oil G&amp;T)'!L$77</f>
        <v>0.08696783097</v>
      </c>
      <c r="N3309" s="95">
        <f>$C3200*'Assumptions (Oil G&amp;T)'!M$77</f>
        <v>0.0869483402</v>
      </c>
      <c r="O3309" s="95">
        <f>$C3200*'Assumptions (Oil G&amp;T)'!N$77</f>
        <v>0.08696783097</v>
      </c>
      <c r="P3309" s="95">
        <f>$C3200*'Assumptions (Oil G&amp;T)'!O$77</f>
        <v>0.0869483402</v>
      </c>
      <c r="Q3309" s="95">
        <f>$C3200*'Assumptions (Oil G&amp;T)'!P$77</f>
        <v>0.08696783097</v>
      </c>
      <c r="R3309" s="95">
        <f>$C3200*'Assumptions (Oil G&amp;T)'!Q$77</f>
        <v>0.0869483402</v>
      </c>
      <c r="S3309" s="95">
        <f>$C3200*'Assumptions (Oil G&amp;T)'!R$77</f>
        <v>0.08696783097</v>
      </c>
      <c r="T3309" s="95">
        <f>$C3200*'Assumptions (Oil G&amp;T)'!S$77</f>
        <v>0.0869483402</v>
      </c>
      <c r="U3309" s="95">
        <f>$C3200*'Assumptions (Oil G&amp;T)'!T$77</f>
        <v>0.08696783097</v>
      </c>
      <c r="V3309" s="95">
        <f>$C3200*'Assumptions (Oil G&amp;T)'!U$77</f>
        <v>0.0869483402</v>
      </c>
      <c r="W3309" s="95">
        <f>$C3200*'Assumptions (Oil G&amp;T)'!V$77</f>
        <v>0.04348391548</v>
      </c>
      <c r="X3309" s="95"/>
    </row>
    <row r="3310" ht="15.75" hidden="1" customHeight="1" outlineLevel="1">
      <c r="A3310" s="385"/>
      <c r="B3310" s="38"/>
      <c r="C3310" s="95"/>
      <c r="D3310" s="95">
        <f>$D3200*'Assumptions (Oil G&amp;T)'!B$77</f>
        <v>0.07695494415</v>
      </c>
      <c r="E3310" s="95">
        <f>$D3200*'Assumptions (Oil G&amp;T)'!C$77</f>
        <v>0.1481433978</v>
      </c>
      <c r="F3310" s="95">
        <f>$D3200*'Assumptions (Oil G&amp;T)'!D$77</f>
        <v>0.1370208432</v>
      </c>
      <c r="G3310" s="95">
        <f>$D3200*'Assumptions (Oil G&amp;T)'!E$77</f>
        <v>0.126760184</v>
      </c>
      <c r="H3310" s="95">
        <f>$D3200*'Assumptions (Oil G&amp;T)'!F$77</f>
        <v>0.1172382922</v>
      </c>
      <c r="I3310" s="95">
        <f>$D3200*'Assumptions (Oil G&amp;T)'!G$77</f>
        <v>0.108455168</v>
      </c>
      <c r="J3310" s="95">
        <f>$D3200*'Assumptions (Oil G&amp;T)'!H$77</f>
        <v>0.1003082045</v>
      </c>
      <c r="K3310" s="95">
        <f>$D3200*'Assumptions (Oil G&amp;T)'!I$77</f>
        <v>0.09279740198</v>
      </c>
      <c r="L3310" s="95">
        <f>$D3200*'Assumptions (Oil G&amp;T)'!J$77</f>
        <v>0.09156612288</v>
      </c>
      <c r="M3310" s="95">
        <f>$D3200*'Assumptions (Oil G&amp;T)'!K$77</f>
        <v>0.09154560156</v>
      </c>
      <c r="N3310" s="95">
        <f>$D3200*'Assumptions (Oil G&amp;T)'!L$77</f>
        <v>0.09156612288</v>
      </c>
      <c r="O3310" s="95">
        <f>$D3200*'Assumptions (Oil G&amp;T)'!M$77</f>
        <v>0.09154560156</v>
      </c>
      <c r="P3310" s="95">
        <f>$D3200*'Assumptions (Oil G&amp;T)'!N$77</f>
        <v>0.09156612288</v>
      </c>
      <c r="Q3310" s="95">
        <f>$D3200*'Assumptions (Oil G&amp;T)'!O$77</f>
        <v>0.09154560156</v>
      </c>
      <c r="R3310" s="95">
        <f>$D3200*'Assumptions (Oil G&amp;T)'!P$77</f>
        <v>0.09156612288</v>
      </c>
      <c r="S3310" s="95">
        <f>$D3200*'Assumptions (Oil G&amp;T)'!Q$77</f>
        <v>0.09154560156</v>
      </c>
      <c r="T3310" s="95">
        <f>$D3200*'Assumptions (Oil G&amp;T)'!R$77</f>
        <v>0.09156612288</v>
      </c>
      <c r="U3310" s="95">
        <f>$D3200*'Assumptions (Oil G&amp;T)'!S$77</f>
        <v>0.09154560156</v>
      </c>
      <c r="V3310" s="95">
        <f>$D3200*'Assumptions (Oil G&amp;T)'!T$77</f>
        <v>0.09156612288</v>
      </c>
      <c r="W3310" s="95">
        <f>$D3200*'Assumptions (Oil G&amp;T)'!U$77</f>
        <v>0.09154560156</v>
      </c>
      <c r="X3310" s="95">
        <f>$D3200*'Assumptions (Oil G&amp;T)'!V$77</f>
        <v>0.04578306144</v>
      </c>
    </row>
    <row r="3311" ht="15.75" hidden="1" customHeight="1" outlineLevel="1">
      <c r="A3311" s="387"/>
      <c r="B3311" s="38"/>
      <c r="C3311" s="95"/>
      <c r="D3311" s="78"/>
      <c r="E3311" s="95">
        <f>$E3200*'Assumptions (Oil G&amp;T)'!B$77</f>
        <v>0.07824324358</v>
      </c>
      <c r="F3311" s="95">
        <f>$E3200*'Assumptions (Oil G&amp;T)'!C$77</f>
        <v>0.1506234601</v>
      </c>
      <c r="G3311" s="95">
        <f>$E3200*'Assumptions (Oil G&amp;T)'!D$77</f>
        <v>0.1393147033</v>
      </c>
      <c r="H3311" s="95">
        <f>$E3200*'Assumptions (Oil G&amp;T)'!E$77</f>
        <v>0.1288822708</v>
      </c>
      <c r="I3311" s="95">
        <f>$E3200*'Assumptions (Oil G&amp;T)'!F$77</f>
        <v>0.1192009735</v>
      </c>
      <c r="J3311" s="95">
        <f>$E3200*'Assumptions (Oil G&amp;T)'!G$77</f>
        <v>0.1102708113</v>
      </c>
      <c r="K3311" s="95">
        <f>$E3200*'Assumptions (Oil G&amp;T)'!H$77</f>
        <v>0.1019874599</v>
      </c>
      <c r="L3311" s="95">
        <f>$E3200*'Assumptions (Oil G&amp;T)'!I$77</f>
        <v>0.09435091932</v>
      </c>
      <c r="M3311" s="95">
        <f>$E3200*'Assumptions (Oil G&amp;T)'!J$77</f>
        <v>0.09309902743</v>
      </c>
      <c r="N3311" s="95">
        <f>$E3200*'Assumptions (Oil G&amp;T)'!K$77</f>
        <v>0.09307816256</v>
      </c>
      <c r="O3311" s="95">
        <f>$E3200*'Assumptions (Oil G&amp;T)'!L$77</f>
        <v>0.09309902743</v>
      </c>
      <c r="P3311" s="95">
        <f>$E3200*'Assumptions (Oil G&amp;T)'!M$77</f>
        <v>0.09307816256</v>
      </c>
      <c r="Q3311" s="95">
        <f>$E3200*'Assumptions (Oil G&amp;T)'!N$77</f>
        <v>0.09309902743</v>
      </c>
      <c r="R3311" s="95">
        <f>$E3200*'Assumptions (Oil G&amp;T)'!O$77</f>
        <v>0.09307816256</v>
      </c>
      <c r="S3311" s="95">
        <f>$E3200*'Assumptions (Oil G&amp;T)'!P$77</f>
        <v>0.09309902743</v>
      </c>
      <c r="T3311" s="95">
        <f>$E3200*'Assumptions (Oil G&amp;T)'!Q$77</f>
        <v>0.09307816256</v>
      </c>
      <c r="U3311" s="95">
        <f>$E3200*'Assumptions (Oil G&amp;T)'!R$77</f>
        <v>0.09309902743</v>
      </c>
      <c r="V3311" s="95">
        <f>$E3200*'Assumptions (Oil G&amp;T)'!S$77</f>
        <v>0.09307816256</v>
      </c>
      <c r="W3311" s="95">
        <f>$E3200*'Assumptions (Oil G&amp;T)'!T$77</f>
        <v>0.09309902743</v>
      </c>
      <c r="X3311" s="95">
        <f>$E3200*'Assumptions (Oil G&amp;T)'!U$77</f>
        <v>0.09307816256</v>
      </c>
      <c r="Y3311" s="95">
        <f>$E3200*'Assumptions (Oil G&amp;T)'!V$77</f>
        <v>0.04654951371</v>
      </c>
    </row>
    <row r="3312" ht="15.75" hidden="1" customHeight="1" outlineLevel="1">
      <c r="A3312" s="387"/>
      <c r="B3312" s="38"/>
      <c r="C3312" s="95"/>
      <c r="D3312" s="78"/>
      <c r="E3312" s="78"/>
      <c r="F3312" s="95">
        <f>$F3200*'Assumptions (Oil G&amp;T)'!B$77</f>
        <v>0.07918522101</v>
      </c>
      <c r="G3312" s="95">
        <f>$F3200*'Assumptions (Oil G&amp;T)'!C$77</f>
        <v>0.1524368295</v>
      </c>
      <c r="H3312" s="95">
        <f>$F3200*'Assumptions (Oil G&amp;T)'!D$77</f>
        <v>0.1409919255</v>
      </c>
      <c r="I3312" s="95">
        <f>$F3200*'Assumptions (Oil G&amp;T)'!E$77</f>
        <v>0.1304338961</v>
      </c>
      <c r="J3312" s="95">
        <f>$F3200*'Assumptions (Oil G&amp;T)'!F$77</f>
        <v>0.1206360447</v>
      </c>
      <c r="K3312" s="95">
        <f>$F3200*'Assumptions (Oil G&amp;T)'!G$77</f>
        <v>0.1115983715</v>
      </c>
      <c r="L3312" s="95">
        <f>$F3200*'Assumptions (Oil G&amp;T)'!H$77</f>
        <v>0.1032152961</v>
      </c>
      <c r="M3312" s="95">
        <f>$F3200*'Assumptions (Oil G&amp;T)'!I$77</f>
        <v>0.09548681851</v>
      </c>
      <c r="N3312" s="95">
        <f>$F3200*'Assumptions (Oil G&amp;T)'!J$77</f>
        <v>0.09421985498</v>
      </c>
      <c r="O3312" s="95">
        <f>$F3200*'Assumptions (Oil G&amp;T)'!K$77</f>
        <v>0.09419873892</v>
      </c>
      <c r="P3312" s="95">
        <f>$F3200*'Assumptions (Oil G&amp;T)'!L$77</f>
        <v>0.09421985498</v>
      </c>
      <c r="Q3312" s="95">
        <f>$F3200*'Assumptions (Oil G&amp;T)'!M$77</f>
        <v>0.09419873892</v>
      </c>
      <c r="R3312" s="95">
        <f>$F3200*'Assumptions (Oil G&amp;T)'!N$77</f>
        <v>0.09421985498</v>
      </c>
      <c r="S3312" s="95">
        <f>$F3200*'Assumptions (Oil G&amp;T)'!O$77</f>
        <v>0.09419873892</v>
      </c>
      <c r="T3312" s="95">
        <f>$F3200*'Assumptions (Oil G&amp;T)'!P$77</f>
        <v>0.09421985498</v>
      </c>
      <c r="U3312" s="95">
        <f>$F3200*'Assumptions (Oil G&amp;T)'!Q$77</f>
        <v>0.09419873892</v>
      </c>
      <c r="V3312" s="95">
        <f>$F3200*'Assumptions (Oil G&amp;T)'!R$77</f>
        <v>0.09421985498</v>
      </c>
      <c r="W3312" s="95">
        <f>$F3200*'Assumptions (Oil G&amp;T)'!S$77</f>
        <v>0.09419873892</v>
      </c>
      <c r="X3312" s="95">
        <f>$F3200*'Assumptions (Oil G&amp;T)'!T$77</f>
        <v>0.09421985498</v>
      </c>
      <c r="Y3312" s="95">
        <f>$F3200*'Assumptions (Oil G&amp;T)'!U$77</f>
        <v>0.09419873892</v>
      </c>
      <c r="Z3312" s="95">
        <f>$F3200*'Assumptions (Oil G&amp;T)'!V$77</f>
        <v>0.04710992749</v>
      </c>
    </row>
    <row r="3313" ht="15.75" hidden="1" customHeight="1" outlineLevel="1">
      <c r="A3313" s="387"/>
      <c r="B3313" s="38"/>
      <c r="C3313" s="95"/>
      <c r="D3313" s="78"/>
      <c r="E3313" s="78"/>
      <c r="F3313" s="78"/>
      <c r="G3313" s="95">
        <f>$G3200*'Assumptions (Oil G&amp;T)'!B$77</f>
        <v>0.1311845843</v>
      </c>
      <c r="H3313" s="95">
        <f>$G3200*'Assumptions (Oil G&amp;T)'!C$77</f>
        <v>0.2525390705</v>
      </c>
      <c r="I3313" s="95">
        <f>$G3200*'Assumptions (Oil G&amp;T)'!D$77</f>
        <v>0.2335785252</v>
      </c>
      <c r="J3313" s="95">
        <f>$G3200*'Assumptions (Oil G&amp;T)'!E$77</f>
        <v>0.2160872473</v>
      </c>
      <c r="K3313" s="95">
        <f>$G3200*'Assumptions (Oil G&amp;T)'!F$77</f>
        <v>0.1998553414</v>
      </c>
      <c r="L3313" s="95">
        <f>$G3200*'Assumptions (Oil G&amp;T)'!G$77</f>
        <v>0.1848828075</v>
      </c>
      <c r="M3313" s="95">
        <f>$G3200*'Assumptions (Oil G&amp;T)'!H$77</f>
        <v>0.1709947329</v>
      </c>
      <c r="N3313" s="95">
        <f>$G3200*'Assumptions (Oil G&amp;T)'!I$77</f>
        <v>0.1581911174</v>
      </c>
      <c r="O3313" s="95">
        <f>$G3200*'Assumptions (Oil G&amp;T)'!J$77</f>
        <v>0.1560921641</v>
      </c>
      <c r="P3313" s="95">
        <f>$G3200*'Assumptions (Oil G&amp;T)'!K$77</f>
        <v>0.1560571815</v>
      </c>
      <c r="Q3313" s="95">
        <f>$G3200*'Assumptions (Oil G&amp;T)'!L$77</f>
        <v>0.1560921641</v>
      </c>
      <c r="R3313" s="95">
        <f>$G3200*'Assumptions (Oil G&amp;T)'!M$77</f>
        <v>0.1560571815</v>
      </c>
      <c r="S3313" s="95">
        <f>$G3200*'Assumptions (Oil G&amp;T)'!N$77</f>
        <v>0.1560921641</v>
      </c>
      <c r="T3313" s="95">
        <f>$G3200*'Assumptions (Oil G&amp;T)'!O$77</f>
        <v>0.1560571815</v>
      </c>
      <c r="U3313" s="95">
        <f>$G3200*'Assumptions (Oil G&amp;T)'!P$77</f>
        <v>0.1560921641</v>
      </c>
      <c r="V3313" s="95">
        <f>$G3200*'Assumptions (Oil G&amp;T)'!Q$77</f>
        <v>0.1560571815</v>
      </c>
      <c r="W3313" s="95">
        <f>$G3200*'Assumptions (Oil G&amp;T)'!R$77</f>
        <v>0.1560921641</v>
      </c>
      <c r="X3313" s="95">
        <f>$G3200*'Assumptions (Oil G&amp;T)'!S$77</f>
        <v>0.1560571815</v>
      </c>
      <c r="Y3313" s="95">
        <f>$G3200*'Assumptions (Oil G&amp;T)'!T$77</f>
        <v>0.1560921641</v>
      </c>
      <c r="Z3313" s="95">
        <f>$G3200*'Assumptions (Oil G&amp;T)'!U$77</f>
        <v>0.1560571815</v>
      </c>
      <c r="AA3313" s="95">
        <f>$G3200*'Assumptions (Oil G&amp;T)'!V$77</f>
        <v>0.07804608204</v>
      </c>
    </row>
    <row r="3314" ht="15.75" hidden="1" customHeight="1" outlineLevel="1">
      <c r="A3314" s="387"/>
      <c r="B3314" s="38"/>
      <c r="C3314" s="95"/>
      <c r="D3314" s="78"/>
      <c r="E3314" s="78"/>
      <c r="F3314" s="78"/>
      <c r="G3314" s="78"/>
      <c r="H3314" s="95">
        <f>$H3200*'Assumptions (Oil G&amp;T)'!B$77</f>
        <v>0.1201251773</v>
      </c>
      <c r="I3314" s="95">
        <f>$H3200*'Assumptions (Oil G&amp;T)'!C$77</f>
        <v>0.2312489746</v>
      </c>
      <c r="J3314" s="95">
        <f>$H3200*'Assumptions (Oil G&amp;T)'!D$77</f>
        <v>0.2138868823</v>
      </c>
      <c r="K3314" s="95">
        <f>$H3200*'Assumptions (Oil G&amp;T)'!E$77</f>
        <v>0.197870192</v>
      </c>
      <c r="L3314" s="95">
        <f>$H3200*'Assumptions (Oil G&amp;T)'!F$77</f>
        <v>0.1830067034</v>
      </c>
      <c r="M3314" s="95">
        <f>$H3200*'Assumptions (Oil G&amp;T)'!G$77</f>
        <v>0.1692964165</v>
      </c>
      <c r="N3314" s="95">
        <f>$H3200*'Assumptions (Oil G&amp;T)'!H$77</f>
        <v>0.1565791644</v>
      </c>
      <c r="O3314" s="95">
        <f>$H3200*'Assumptions (Oil G&amp;T)'!I$77</f>
        <v>0.1448549471</v>
      </c>
      <c r="P3314" s="95">
        <f>$H3200*'Assumptions (Oil G&amp;T)'!J$77</f>
        <v>0.1429329443</v>
      </c>
      <c r="Q3314" s="95">
        <f>$H3200*'Assumptions (Oil G&amp;T)'!K$77</f>
        <v>0.1429009109</v>
      </c>
      <c r="R3314" s="95">
        <f>$H3200*'Assumptions (Oil G&amp;T)'!L$77</f>
        <v>0.1429329443</v>
      </c>
      <c r="S3314" s="95">
        <f>$H3200*'Assumptions (Oil G&amp;T)'!M$77</f>
        <v>0.1429009109</v>
      </c>
      <c r="T3314" s="95">
        <f>$H3200*'Assumptions (Oil G&amp;T)'!N$77</f>
        <v>0.1429329443</v>
      </c>
      <c r="U3314" s="95">
        <f>$H3200*'Assumptions (Oil G&amp;T)'!O$77</f>
        <v>0.1429009109</v>
      </c>
      <c r="V3314" s="95">
        <f>$H3200*'Assumptions (Oil G&amp;T)'!P$77</f>
        <v>0.1429329443</v>
      </c>
      <c r="W3314" s="95">
        <f>$H3200*'Assumptions (Oil G&amp;T)'!Q$77</f>
        <v>0.1429009109</v>
      </c>
      <c r="X3314" s="95">
        <f>$H3200*'Assumptions (Oil G&amp;T)'!R$77</f>
        <v>0.1429329443</v>
      </c>
      <c r="Y3314" s="95">
        <f>$H3200*'Assumptions (Oil G&amp;T)'!S$77</f>
        <v>0.1429009109</v>
      </c>
      <c r="Z3314" s="95">
        <f>$H3200*'Assumptions (Oil G&amp;T)'!T$77</f>
        <v>0.1429329443</v>
      </c>
      <c r="AA3314" s="95">
        <f>$H3200*'Assumptions (Oil G&amp;T)'!U$77</f>
        <v>0.1429009109</v>
      </c>
      <c r="AB3314" s="95">
        <f>$H3200*'Assumptions (Oil G&amp;T)'!V$77</f>
        <v>0.07146647213</v>
      </c>
    </row>
    <row r="3315" ht="15.75" hidden="1" customHeight="1" outlineLevel="1">
      <c r="A3315" s="387"/>
      <c r="B3315" s="38"/>
      <c r="C3315" s="95"/>
      <c r="D3315" s="78"/>
      <c r="E3315" s="78"/>
      <c r="F3315" s="78"/>
      <c r="G3315" s="78"/>
      <c r="H3315" s="78"/>
      <c r="I3315" s="95">
        <f>$I3200*'Assumptions (Oil G&amp;T)'!B$77</f>
        <v>0.106971297</v>
      </c>
      <c r="J3315" s="95">
        <f>$I3200*'Assumptions (Oil G&amp;T)'!C$77</f>
        <v>0.2059268782</v>
      </c>
      <c r="K3315" s="95">
        <f>$I3200*'Assumptions (Oil G&amp;T)'!D$77</f>
        <v>0.1904659601</v>
      </c>
      <c r="L3315" s="95">
        <f>$I3200*'Assumptions (Oil G&amp;T)'!E$77</f>
        <v>0.1762031205</v>
      </c>
      <c r="M3315" s="95">
        <f>$I3200*'Assumptions (Oil G&amp;T)'!F$77</f>
        <v>0.1629672053</v>
      </c>
      <c r="N3315" s="95">
        <f>$I3200*'Assumptions (Oil G&amp;T)'!G$77</f>
        <v>0.1507582146</v>
      </c>
      <c r="O3315" s="95">
        <f>$I3200*'Assumptions (Oil G&amp;T)'!H$77</f>
        <v>0.13943352</v>
      </c>
      <c r="P3315" s="95">
        <f>$I3200*'Assumptions (Oil G&amp;T)'!I$77</f>
        <v>0.1289931214</v>
      </c>
      <c r="Q3315" s="95">
        <f>$I3200*'Assumptions (Oil G&amp;T)'!J$77</f>
        <v>0.1272815806</v>
      </c>
      <c r="R3315" s="95">
        <f>$I3200*'Assumptions (Oil G&amp;T)'!K$77</f>
        <v>0.1272530549</v>
      </c>
      <c r="S3315" s="95">
        <f>$I3200*'Assumptions (Oil G&amp;T)'!L$77</f>
        <v>0.1272815806</v>
      </c>
      <c r="T3315" s="95">
        <f>$I3200*'Assumptions (Oil G&amp;T)'!M$77</f>
        <v>0.1272530549</v>
      </c>
      <c r="U3315" s="95">
        <f>$I3200*'Assumptions (Oil G&amp;T)'!N$77</f>
        <v>0.1272815806</v>
      </c>
      <c r="V3315" s="95">
        <f>$I3200*'Assumptions (Oil G&amp;T)'!O$77</f>
        <v>0.1272530549</v>
      </c>
      <c r="W3315" s="95">
        <f>$I3200*'Assumptions (Oil G&amp;T)'!P$77</f>
        <v>0.1272815806</v>
      </c>
      <c r="X3315" s="95">
        <f>$I3200*'Assumptions (Oil G&amp;T)'!Q$77</f>
        <v>0.1272530549</v>
      </c>
      <c r="Y3315" s="95">
        <f>$I3200*'Assumptions (Oil G&amp;T)'!R$77</f>
        <v>0.1272815806</v>
      </c>
      <c r="Z3315" s="95">
        <f>$I3200*'Assumptions (Oil G&amp;T)'!S$77</f>
        <v>0.1272530549</v>
      </c>
      <c r="AA3315" s="95">
        <f>$I3200*'Assumptions (Oil G&amp;T)'!T$77</f>
        <v>0.1272815806</v>
      </c>
      <c r="AB3315" s="95">
        <f>$I3200*'Assumptions (Oil G&amp;T)'!U$77</f>
        <v>0.1272530549</v>
      </c>
      <c r="AC3315" s="95">
        <f>$I3200*'Assumptions (Oil G&amp;T)'!V$77</f>
        <v>0.06364079031</v>
      </c>
    </row>
    <row r="3316" ht="15.75" hidden="1" customHeight="1" outlineLevel="1">
      <c r="A3316" s="387"/>
      <c r="B3316" s="38"/>
      <c r="C3316" s="95"/>
      <c r="D3316" s="78"/>
      <c r="E3316" s="78"/>
      <c r="F3316" s="78"/>
      <c r="G3316" s="78"/>
      <c r="H3316" s="78"/>
      <c r="I3316" s="78"/>
      <c r="J3316" s="95">
        <f>$J3200*'Assumptions (Oil G&amp;T)'!B$77</f>
        <v>0.2024735542</v>
      </c>
      <c r="K3316" s="95">
        <f>$J3200*'Assumptions (Oil G&amp;T)'!C$77</f>
        <v>0.3897750901</v>
      </c>
      <c r="L3316" s="95">
        <f>$J3200*'Assumptions (Oil G&amp;T)'!D$77</f>
        <v>0.3605109124</v>
      </c>
      <c r="M3316" s="95">
        <f>$J3200*'Assumptions (Oil G&amp;T)'!E$77</f>
        <v>0.3335144385</v>
      </c>
      <c r="N3316" s="95">
        <f>$J3200*'Assumptions (Oil G&amp;T)'!F$77</f>
        <v>0.3084617107</v>
      </c>
      <c r="O3316" s="95">
        <f>$J3200*'Assumptions (Oil G&amp;T)'!G$77</f>
        <v>0.2853527291</v>
      </c>
      <c r="P3316" s="95">
        <f>$J3200*'Assumptions (Oil G&amp;T)'!H$77</f>
        <v>0.2639175288</v>
      </c>
      <c r="Q3316" s="95">
        <f>$J3200*'Assumptions (Oil G&amp;T)'!I$77</f>
        <v>0.2441561099</v>
      </c>
      <c r="R3316" s="95">
        <f>$J3200*'Assumptions (Oil G&amp;T)'!J$77</f>
        <v>0.240916533</v>
      </c>
      <c r="S3316" s="95">
        <f>$J3200*'Assumptions (Oil G&amp;T)'!K$77</f>
        <v>0.2408625401</v>
      </c>
      <c r="T3316" s="95">
        <f>$J3200*'Assumptions (Oil G&amp;T)'!L$77</f>
        <v>0.240916533</v>
      </c>
      <c r="U3316" s="95">
        <f>$J3200*'Assumptions (Oil G&amp;T)'!M$77</f>
        <v>0.2408625401</v>
      </c>
      <c r="V3316" s="95">
        <f>$J3200*'Assumptions (Oil G&amp;T)'!N$77</f>
        <v>0.240916533</v>
      </c>
      <c r="W3316" s="95">
        <f>$J3200*'Assumptions (Oil G&amp;T)'!O$77</f>
        <v>0.2408625401</v>
      </c>
      <c r="X3316" s="95">
        <f>$J3200*'Assumptions (Oil G&amp;T)'!P$77</f>
        <v>0.240916533</v>
      </c>
      <c r="Y3316" s="95">
        <f>$J3200*'Assumptions (Oil G&amp;T)'!Q$77</f>
        <v>0.2408625401</v>
      </c>
      <c r="Z3316" s="95">
        <f>$J3200*'Assumptions (Oil G&amp;T)'!R$77</f>
        <v>0.240916533</v>
      </c>
      <c r="AA3316" s="95">
        <f>$J3200*'Assumptions (Oil G&amp;T)'!S$77</f>
        <v>0.2408625401</v>
      </c>
      <c r="AB3316" s="95">
        <f>$J3200*'Assumptions (Oil G&amp;T)'!T$77</f>
        <v>0.240916533</v>
      </c>
      <c r="AC3316" s="95">
        <f>$J3200*'Assumptions (Oil G&amp;T)'!U$77</f>
        <v>0.2408625401</v>
      </c>
      <c r="AD3316" s="95">
        <f>$J3200*'Assumptions (Oil G&amp;T)'!V$77</f>
        <v>0.1204582665</v>
      </c>
    </row>
    <row r="3317" ht="15.75" hidden="1" customHeight="1" outlineLevel="1">
      <c r="A3317" s="387"/>
      <c r="B3317" s="38"/>
      <c r="C3317" s="95"/>
      <c r="D3317" s="78"/>
      <c r="E3317" s="78"/>
      <c r="F3317" s="78"/>
      <c r="G3317" s="78"/>
      <c r="H3317" s="78"/>
      <c r="I3317" s="78"/>
      <c r="J3317" s="78"/>
      <c r="K3317" s="95">
        <f>$K3200*'Assumptions (Oil G&amp;T)'!B$77</f>
        <v>0.2162553812</v>
      </c>
      <c r="L3317" s="95">
        <f>$K3200*'Assumptions (Oil G&amp;T)'!C$77</f>
        <v>0.4163060257</v>
      </c>
      <c r="M3317" s="95">
        <f>$K3200*'Assumptions (Oil G&amp;T)'!D$77</f>
        <v>0.3850499147</v>
      </c>
      <c r="N3317" s="95">
        <f>$K3200*'Assumptions (Oil G&amp;T)'!E$77</f>
        <v>0.3562158638</v>
      </c>
      <c r="O3317" s="95">
        <f>$K3200*'Assumptions (Oil G&amp;T)'!F$77</f>
        <v>0.3294578647</v>
      </c>
      <c r="P3317" s="95">
        <f>$K3200*'Assumptions (Oil G&amp;T)'!G$77</f>
        <v>0.3047759172</v>
      </c>
      <c r="Q3317" s="95">
        <f>$K3200*'Assumptions (Oil G&amp;T)'!H$77</f>
        <v>0.2818816808</v>
      </c>
      <c r="R3317" s="95">
        <f>$K3200*'Assumptions (Oil G&amp;T)'!I$77</f>
        <v>0.2607751556</v>
      </c>
      <c r="S3317" s="95">
        <f>$K3200*'Assumptions (Oil G&amp;T)'!J$77</f>
        <v>0.2573150695</v>
      </c>
      <c r="T3317" s="95">
        <f>$K3200*'Assumptions (Oil G&amp;T)'!K$77</f>
        <v>0.2572574014</v>
      </c>
      <c r="U3317" s="95">
        <f>$K3200*'Assumptions (Oil G&amp;T)'!L$77</f>
        <v>0.2573150695</v>
      </c>
      <c r="V3317" s="95">
        <f>$K3200*'Assumptions (Oil G&amp;T)'!M$77</f>
        <v>0.2572574014</v>
      </c>
      <c r="W3317" s="95">
        <f>$K3200*'Assumptions (Oil G&amp;T)'!N$77</f>
        <v>0.2573150695</v>
      </c>
      <c r="X3317" s="95">
        <f>$K3200*'Assumptions (Oil G&amp;T)'!O$77</f>
        <v>0.2572574014</v>
      </c>
      <c r="Y3317" s="95">
        <f>$K3200*'Assumptions (Oil G&amp;T)'!P$77</f>
        <v>0.2573150695</v>
      </c>
      <c r="Z3317" s="95">
        <f>$K3200*'Assumptions (Oil G&amp;T)'!Q$77</f>
        <v>0.2572574014</v>
      </c>
      <c r="AA3317" s="95">
        <f>$K3200*'Assumptions (Oil G&amp;T)'!R$77</f>
        <v>0.2573150695</v>
      </c>
      <c r="AB3317" s="95">
        <f>$K3200*'Assumptions (Oil G&amp;T)'!S$77</f>
        <v>0.2572574014</v>
      </c>
      <c r="AC3317" s="95">
        <f>$K3200*'Assumptions (Oil G&amp;T)'!T$77</f>
        <v>0.2573150695</v>
      </c>
      <c r="AD3317" s="95">
        <f>$K3200*'Assumptions (Oil G&amp;T)'!U$77</f>
        <v>0.2572574014</v>
      </c>
      <c r="AE3317" s="95">
        <f>$K3200*'Assumptions (Oil G&amp;T)'!V$77</f>
        <v>0.1286575348</v>
      </c>
    </row>
    <row r="3318" ht="15.75" hidden="1" customHeight="1" outlineLevel="1">
      <c r="A3318" s="387"/>
      <c r="B3318" s="38"/>
      <c r="C3318" s="78"/>
      <c r="D3318" s="78"/>
      <c r="E3318" s="78"/>
      <c r="F3318" s="78"/>
      <c r="G3318" s="78"/>
      <c r="H3318" s="78"/>
      <c r="I3318" s="78"/>
      <c r="J3318" s="78"/>
      <c r="K3318" s="78"/>
      <c r="L3318" s="95">
        <f>$L3200*'Assumptions (Oil G&amp;T)'!B$77</f>
        <v>0.1748178223</v>
      </c>
      <c r="M3318" s="95">
        <f>$L3200*'Assumptions (Oil G&amp;T)'!C$77</f>
        <v>0.3365359624</v>
      </c>
      <c r="N3318" s="95">
        <f>$L3200*'Assumptions (Oil G&amp;T)'!D$77</f>
        <v>0.3112689598</v>
      </c>
      <c r="O3318" s="95">
        <f>$L3200*'Assumptions (Oil G&amp;T)'!E$77</f>
        <v>0.2879599168</v>
      </c>
      <c r="P3318" s="95">
        <f>$L3200*'Assumptions (Oil G&amp;T)'!F$77</f>
        <v>0.2663291249</v>
      </c>
      <c r="Q3318" s="95">
        <f>$L3200*'Assumptions (Oil G&amp;T)'!G$77</f>
        <v>0.2463765842</v>
      </c>
      <c r="R3318" s="95">
        <f>$L3200*'Assumptions (Oil G&amp;T)'!H$77</f>
        <v>0.227869204</v>
      </c>
      <c r="S3318" s="95">
        <f>$L3200*'Assumptions (Oil G&amp;T)'!I$77</f>
        <v>0.2108069846</v>
      </c>
      <c r="T3318" s="95">
        <f>$L3200*'Assumptions (Oil G&amp;T)'!J$77</f>
        <v>0.2080098994</v>
      </c>
      <c r="U3318" s="95">
        <f>$L3200*'Assumptions (Oil G&amp;T)'!K$77</f>
        <v>0.2079632814</v>
      </c>
      <c r="V3318" s="95">
        <f>$L3200*'Assumptions (Oil G&amp;T)'!L$77</f>
        <v>0.2080098994</v>
      </c>
      <c r="W3318" s="95">
        <f>$L3200*'Assumptions (Oil G&amp;T)'!M$77</f>
        <v>0.2079632814</v>
      </c>
      <c r="X3318" s="95">
        <f>$L3200*'Assumptions (Oil G&amp;T)'!N$77</f>
        <v>0.2080098994</v>
      </c>
      <c r="Y3318" s="95">
        <f>$L3200*'Assumptions (Oil G&amp;T)'!O$77</f>
        <v>0.2079632814</v>
      </c>
      <c r="Z3318" s="95">
        <f>$L3200*'Assumptions (Oil G&amp;T)'!P$77</f>
        <v>0.2080098994</v>
      </c>
      <c r="AA3318" s="95">
        <f>$L3200*'Assumptions (Oil G&amp;T)'!Q$77</f>
        <v>0.2079632814</v>
      </c>
      <c r="AB3318" s="95">
        <f>$L3200*'Assumptions (Oil G&amp;T)'!R$77</f>
        <v>0.2080098994</v>
      </c>
      <c r="AC3318" s="95">
        <f>$L3200*'Assumptions (Oil G&amp;T)'!S$77</f>
        <v>0.2079632814</v>
      </c>
      <c r="AD3318" s="95">
        <f>$L3200*'Assumptions (Oil G&amp;T)'!T$77</f>
        <v>0.2080098994</v>
      </c>
      <c r="AE3318" s="95">
        <f>$L3200*'Assumptions (Oil G&amp;T)'!U$77</f>
        <v>0.2079632814</v>
      </c>
      <c r="AF3318" s="95">
        <f>$L3200*'Assumptions (Oil G&amp;T)'!V$77</f>
        <v>0.1040049497</v>
      </c>
    </row>
    <row r="3319" ht="15.75" hidden="1" customHeight="1" outlineLevel="1">
      <c r="A3319" s="387"/>
      <c r="B3319" s="38"/>
      <c r="C3319" s="78"/>
      <c r="D3319" s="78"/>
      <c r="E3319" s="78"/>
      <c r="F3319" s="78"/>
      <c r="G3319" s="78"/>
      <c r="H3319" s="78"/>
      <c r="I3319" s="78"/>
      <c r="J3319" s="78"/>
      <c r="K3319" s="78"/>
      <c r="L3319" s="78"/>
      <c r="M3319" s="95">
        <f>$M3200*'Assumptions (Oil G&amp;T)'!B$77</f>
        <v>0.3177287554</v>
      </c>
      <c r="N3319" s="95">
        <f>$M3200*'Assumptions (Oil G&amp;T)'!C$77</f>
        <v>0.6116490361</v>
      </c>
      <c r="O3319" s="95">
        <f>$M3200*'Assumptions (Oil G&amp;T)'!D$77</f>
        <v>0.56572664</v>
      </c>
      <c r="P3319" s="95">
        <f>$M3200*'Assumptions (Oil G&amp;T)'!E$77</f>
        <v>0.5233628059</v>
      </c>
      <c r="Q3319" s="95">
        <f>$M3200*'Assumptions (Oil G&amp;T)'!F$77</f>
        <v>0.4840491679</v>
      </c>
      <c r="R3319" s="95">
        <f>$M3200*'Assumptions (Oil G&amp;T)'!G$77</f>
        <v>0.447785726</v>
      </c>
      <c r="S3319" s="95">
        <f>$M3200*'Assumptions (Oil G&amp;T)'!H$77</f>
        <v>0.4141488417</v>
      </c>
      <c r="T3319" s="95">
        <f>$M3200*'Assumptions (Oil G&amp;T)'!I$77</f>
        <v>0.3831385152</v>
      </c>
      <c r="U3319" s="95">
        <f>$M3200*'Assumptions (Oil G&amp;T)'!J$77</f>
        <v>0.3780548551</v>
      </c>
      <c r="V3319" s="95">
        <f>$M3200*'Assumptions (Oil G&amp;T)'!K$77</f>
        <v>0.3779701274</v>
      </c>
      <c r="W3319" s="95">
        <f>$M3200*'Assumptions (Oil G&amp;T)'!L$77</f>
        <v>0.3780548551</v>
      </c>
      <c r="X3319" s="95">
        <f>$M3200*'Assumptions (Oil G&amp;T)'!M$77</f>
        <v>0.3779701274</v>
      </c>
      <c r="Y3319" s="95">
        <f>$M3200*'Assumptions (Oil G&amp;T)'!N$77</f>
        <v>0.3780548551</v>
      </c>
      <c r="Z3319" s="95">
        <f>$M3200*'Assumptions (Oil G&amp;T)'!O$77</f>
        <v>0.3779701274</v>
      </c>
      <c r="AA3319" s="95">
        <f>$M3200*'Assumptions (Oil G&amp;T)'!P$77</f>
        <v>0.3780548551</v>
      </c>
      <c r="AB3319" s="95">
        <f>$M3200*'Assumptions (Oil G&amp;T)'!Q$77</f>
        <v>0.3779701274</v>
      </c>
      <c r="AC3319" s="95">
        <f>$M3200*'Assumptions (Oil G&amp;T)'!R$77</f>
        <v>0.3780548551</v>
      </c>
      <c r="AD3319" s="95">
        <f>$M3200*'Assumptions (Oil G&amp;T)'!S$77</f>
        <v>0.3779701274</v>
      </c>
      <c r="AE3319" s="95">
        <f>$M3200*'Assumptions (Oil G&amp;T)'!T$77</f>
        <v>0.3780548551</v>
      </c>
      <c r="AF3319" s="95">
        <f>$M3200*'Assumptions (Oil G&amp;T)'!U$77</f>
        <v>0.3779701274</v>
      </c>
      <c r="AG3319" s="95">
        <f>$M3200*'Assumptions (Oil G&amp;T)'!V$77</f>
        <v>0.1890274276</v>
      </c>
    </row>
    <row r="3320" ht="15.75" hidden="1" customHeight="1" outlineLevel="1">
      <c r="A3320" s="387"/>
      <c r="B3320" s="38"/>
      <c r="C3320" s="78"/>
      <c r="D3320" s="78"/>
      <c r="E3320" s="78"/>
      <c r="F3320" s="78"/>
      <c r="G3320" s="78"/>
      <c r="H3320" s="78"/>
      <c r="I3320" s="78"/>
      <c r="J3320" s="78"/>
      <c r="K3320" s="78"/>
      <c r="L3320" s="78"/>
      <c r="M3320" s="78"/>
      <c r="N3320" s="95">
        <f>$N3200*'Assumptions (Oil G&amp;T)'!B$77</f>
        <v>0.1715741859</v>
      </c>
      <c r="O3320" s="95">
        <f>$N3200*'Assumptions (Oil G&amp;T)'!C$77</f>
        <v>0.3302917461</v>
      </c>
      <c r="P3320" s="95">
        <f>$N3200*'Assumptions (Oil G&amp;T)'!D$77</f>
        <v>0.3054935571</v>
      </c>
      <c r="Q3320" s="95">
        <f>$N3200*'Assumptions (Oil G&amp;T)'!E$77</f>
        <v>0.282616999</v>
      </c>
      <c r="R3320" s="95">
        <f>$N3200*'Assumptions (Oil G&amp;T)'!F$77</f>
        <v>0.2613875531</v>
      </c>
      <c r="S3320" s="95">
        <f>$N3200*'Assumptions (Oil G&amp;T)'!G$77</f>
        <v>0.2418052193</v>
      </c>
      <c r="T3320" s="95">
        <f>$N3200*'Assumptions (Oil G&amp;T)'!H$77</f>
        <v>0.2236412322</v>
      </c>
      <c r="U3320" s="95">
        <f>$N3200*'Assumptions (Oil G&amp;T)'!I$77</f>
        <v>0.2068955916</v>
      </c>
      <c r="V3320" s="95">
        <f>$N3200*'Assumptions (Oil G&amp;T)'!J$77</f>
        <v>0.2041504047</v>
      </c>
      <c r="W3320" s="95">
        <f>$N3200*'Assumptions (Oil G&amp;T)'!K$77</f>
        <v>0.2041046515</v>
      </c>
      <c r="X3320" s="95">
        <f>$N3200*'Assumptions (Oil G&amp;T)'!L$77</f>
        <v>0.2041504047</v>
      </c>
      <c r="Y3320" s="95">
        <f>$N3200*'Assumptions (Oil G&amp;T)'!M$77</f>
        <v>0.2041046515</v>
      </c>
      <c r="Z3320" s="95">
        <f>$N3200*'Assumptions (Oil G&amp;T)'!N$77</f>
        <v>0.2041504047</v>
      </c>
      <c r="AA3320" s="95">
        <f>$N3200*'Assumptions (Oil G&amp;T)'!O$77</f>
        <v>0.2041046515</v>
      </c>
      <c r="AB3320" s="95">
        <f>$N3200*'Assumptions (Oil G&amp;T)'!P$77</f>
        <v>0.2041504047</v>
      </c>
      <c r="AC3320" s="95">
        <f>$N3200*'Assumptions (Oil G&amp;T)'!Q$77</f>
        <v>0.2041046515</v>
      </c>
      <c r="AD3320" s="95">
        <f>$N3200*'Assumptions (Oil G&amp;T)'!R$77</f>
        <v>0.2041504047</v>
      </c>
      <c r="AE3320" s="95">
        <f>$N3200*'Assumptions (Oil G&amp;T)'!S$77</f>
        <v>0.2041046515</v>
      </c>
      <c r="AF3320" s="95">
        <f>$N3200*'Assumptions (Oil G&amp;T)'!T$77</f>
        <v>0.2041504047</v>
      </c>
      <c r="AG3320" s="95">
        <f>$N3200*'Assumptions (Oil G&amp;T)'!U$77</f>
        <v>0.2041046515</v>
      </c>
      <c r="AH3320" s="95">
        <f>$N3200*'Assumptions (Oil G&amp;T)'!V$77</f>
        <v>0.1020752023</v>
      </c>
    </row>
    <row r="3321" ht="15.75" hidden="1" customHeight="1" outlineLevel="1">
      <c r="A3321" s="387"/>
      <c r="B3321" s="38"/>
      <c r="C3321" s="78"/>
      <c r="D3321" s="78"/>
      <c r="E3321" s="78"/>
      <c r="F3321" s="78"/>
      <c r="G3321" s="78"/>
      <c r="H3321" s="78"/>
      <c r="I3321" s="78"/>
      <c r="J3321" s="78"/>
      <c r="K3321" s="78"/>
      <c r="L3321" s="78"/>
      <c r="M3321" s="78"/>
      <c r="N3321" s="78"/>
      <c r="O3321" s="95">
        <f>$O3200*'Assumptions (Oil G&amp;T)'!B$77</f>
        <v>0.3034494752</v>
      </c>
      <c r="P3321" s="95">
        <f>$O3200*'Assumptions (Oil G&amp;T)'!C$77</f>
        <v>0.5841604697</v>
      </c>
      <c r="Q3321" s="95">
        <f>$O3200*'Assumptions (Oil G&amp;T)'!D$77</f>
        <v>0.5403019055</v>
      </c>
      <c r="R3321" s="95">
        <f>$O3200*'Assumptions (Oil G&amp;T)'!E$77</f>
        <v>0.4998419755</v>
      </c>
      <c r="S3321" s="95">
        <f>$O3200*'Assumptions (Oil G&amp;T)'!F$77</f>
        <v>0.4622951604</v>
      </c>
      <c r="T3321" s="95">
        <f>$O3200*'Assumptions (Oil G&amp;T)'!G$77</f>
        <v>0.4276614603</v>
      </c>
      <c r="U3321" s="95">
        <f>$O3200*'Assumptions (Oil G&amp;T)'!H$77</f>
        <v>0.3955362759</v>
      </c>
      <c r="V3321" s="95">
        <f>$O3200*'Assumptions (Oil G&amp;T)'!I$77</f>
        <v>0.3659196071</v>
      </c>
      <c r="W3321" s="95">
        <f>$O3200*'Assumptions (Oil G&amp;T)'!J$77</f>
        <v>0.3610644155</v>
      </c>
      <c r="X3321" s="95">
        <f>$O3200*'Assumptions (Oil G&amp;T)'!K$77</f>
        <v>0.3609834957</v>
      </c>
      <c r="Y3321" s="95">
        <f>$O3200*'Assumptions (Oil G&amp;T)'!L$77</f>
        <v>0.3610644155</v>
      </c>
      <c r="Z3321" s="95">
        <f>$O3200*'Assumptions (Oil G&amp;T)'!M$77</f>
        <v>0.3609834957</v>
      </c>
      <c r="AA3321" s="95">
        <f>$O3200*'Assumptions (Oil G&amp;T)'!N$77</f>
        <v>0.3610644155</v>
      </c>
      <c r="AB3321" s="95">
        <f>$O3200*'Assumptions (Oil G&amp;T)'!O$77</f>
        <v>0.3609834957</v>
      </c>
      <c r="AC3321" s="95">
        <f>$O3200*'Assumptions (Oil G&amp;T)'!P$77</f>
        <v>0.3610644155</v>
      </c>
      <c r="AD3321" s="95">
        <f>$O3200*'Assumptions (Oil G&amp;T)'!Q$77</f>
        <v>0.3609834957</v>
      </c>
      <c r="AE3321" s="95">
        <f>$O3200*'Assumptions (Oil G&amp;T)'!R$77</f>
        <v>0.3610644155</v>
      </c>
      <c r="AF3321" s="95">
        <f>$O3200*'Assumptions (Oil G&amp;T)'!S$77</f>
        <v>0.3609834957</v>
      </c>
      <c r="AG3321" s="95">
        <f>$O3200*'Assumptions (Oil G&amp;T)'!T$77</f>
        <v>0.3610644155</v>
      </c>
      <c r="AH3321" s="95">
        <f>$O3200*'Assumptions (Oil G&amp;T)'!U$77</f>
        <v>0.3609834957</v>
      </c>
      <c r="AI3321" s="95">
        <f>$O3200*'Assumptions (Oil G&amp;T)'!V$77</f>
        <v>0.1805322078</v>
      </c>
    </row>
    <row r="3322" ht="15.75" hidden="1" customHeight="1" outlineLevel="1">
      <c r="A3322" s="387"/>
      <c r="B3322" s="38"/>
      <c r="C3322" s="78"/>
      <c r="D3322" s="78"/>
      <c r="E3322" s="78"/>
      <c r="F3322" s="78"/>
      <c r="G3322" s="78"/>
      <c r="H3322" s="78"/>
      <c r="I3322" s="78"/>
      <c r="J3322" s="78"/>
      <c r="K3322" s="78"/>
      <c r="L3322" s="78"/>
      <c r="M3322" s="78"/>
      <c r="N3322" s="78"/>
      <c r="O3322" s="78"/>
      <c r="P3322" s="95">
        <f>$P3200*'Assumptions (Oil G&amp;T)'!B$77</f>
        <v>0.6606497571</v>
      </c>
      <c r="Q3322" s="95">
        <f>$P3200*'Assumptions (Oil G&amp;T)'!C$77</f>
        <v>1.271794826</v>
      </c>
      <c r="R3322" s="95">
        <f>$P3200*'Assumptions (Oil G&amp;T)'!D$77</f>
        <v>1.176308914</v>
      </c>
      <c r="S3322" s="95">
        <f>$P3200*'Assumptions (Oil G&amp;T)'!E$77</f>
        <v>1.08822228</v>
      </c>
      <c r="T3322" s="95">
        <f>$P3200*'Assumptions (Oil G&amp;T)'!F$77</f>
        <v>1.006477883</v>
      </c>
      <c r="U3322" s="95">
        <f>$P3200*'Assumptions (Oil G&amp;T)'!G$77</f>
        <v>0.9310757244</v>
      </c>
      <c r="V3322" s="95">
        <f>$P3200*'Assumptions (Oil G&amp;T)'!H$77</f>
        <v>0.8611349368</v>
      </c>
      <c r="W3322" s="95">
        <f>$P3200*'Assumptions (Oil G&amp;T)'!I$77</f>
        <v>0.7966555205</v>
      </c>
      <c r="X3322" s="95">
        <f>$P3200*'Assumptions (Oil G&amp;T)'!J$77</f>
        <v>0.7860851243</v>
      </c>
      <c r="Y3322" s="95">
        <f>$P3200*'Assumptions (Oil G&amp;T)'!K$77</f>
        <v>0.7859089511</v>
      </c>
      <c r="Z3322" s="95">
        <f>$P3200*'Assumptions (Oil G&amp;T)'!L$77</f>
        <v>0.7860851243</v>
      </c>
      <c r="AA3322" s="95">
        <f>$P3200*'Assumptions (Oil G&amp;T)'!M$77</f>
        <v>0.7859089511</v>
      </c>
      <c r="AB3322" s="95">
        <f>$P3200*'Assumptions (Oil G&amp;T)'!N$77</f>
        <v>0.7860851243</v>
      </c>
      <c r="AC3322" s="95">
        <f>$P3200*'Assumptions (Oil G&amp;T)'!O$77</f>
        <v>0.7859089511</v>
      </c>
      <c r="AD3322" s="95">
        <f>$P3200*'Assumptions (Oil G&amp;T)'!P$77</f>
        <v>0.7860851243</v>
      </c>
      <c r="AE3322" s="95">
        <f>$P3200*'Assumptions (Oil G&amp;T)'!Q$77</f>
        <v>0.7859089511</v>
      </c>
      <c r="AF3322" s="95">
        <f>$P3200*'Assumptions (Oil G&amp;T)'!R$77</f>
        <v>0.7860851243</v>
      </c>
      <c r="AG3322" s="95">
        <f>$P3200*'Assumptions (Oil G&amp;T)'!S$77</f>
        <v>0.7859089511</v>
      </c>
      <c r="AH3322" s="95">
        <f>$P3200*'Assumptions (Oil G&amp;T)'!T$77</f>
        <v>0.7860851243</v>
      </c>
      <c r="AI3322" s="95">
        <f>$P3200*'Assumptions (Oil G&amp;T)'!U$77</f>
        <v>0.7859089511</v>
      </c>
      <c r="AJ3322" s="95">
        <f>$P3200*'Assumptions (Oil G&amp;T)'!V$77</f>
        <v>0.3930425622</v>
      </c>
    </row>
    <row r="3323" ht="15.75" hidden="1" customHeight="1" outlineLevel="1">
      <c r="A3323" s="387"/>
      <c r="B3323" s="38"/>
      <c r="C3323" s="78"/>
      <c r="D3323" s="78"/>
      <c r="E3323" s="78"/>
      <c r="F3323" s="78"/>
      <c r="G3323" s="78"/>
      <c r="H3323" s="78"/>
      <c r="I3323" s="78"/>
      <c r="J3323" s="78"/>
      <c r="K3323" s="78"/>
      <c r="L3323" s="78"/>
      <c r="M3323" s="78"/>
      <c r="N3323" s="78"/>
      <c r="O3323" s="78"/>
      <c r="P3323" s="78"/>
      <c r="Q3323" s="95">
        <f>$Q3200*'Assumptions (Oil G&amp;T)'!B$77</f>
        <v>0.9098549118</v>
      </c>
      <c r="R3323" s="95">
        <f>$Q3200*'Assumptions (Oil G&amp;T)'!C$77</f>
        <v>1.751531362</v>
      </c>
      <c r="S3323" s="95">
        <f>$Q3200*'Assumptions (Oil G&amp;T)'!D$77</f>
        <v>1.620026999</v>
      </c>
      <c r="T3323" s="95">
        <f>$Q3200*'Assumptions (Oil G&amp;T)'!E$77</f>
        <v>1.498713011</v>
      </c>
      <c r="U3323" s="95">
        <f>$Q3200*'Assumptions (Oil G&amp;T)'!F$77</f>
        <v>1.38613363</v>
      </c>
      <c r="V3323" s="95">
        <f>$Q3200*'Assumptions (Oil G&amp;T)'!G$77</f>
        <v>1.282288856</v>
      </c>
      <c r="W3323" s="95">
        <f>$Q3200*'Assumptions (Oil G&amp;T)'!H$77</f>
        <v>1.185965549</v>
      </c>
      <c r="X3323" s="95">
        <f>$Q3200*'Assumptions (Oil G&amp;T)'!I$77</f>
        <v>1.09716371</v>
      </c>
      <c r="Y3323" s="95">
        <f>$Q3200*'Assumptions (Oil G&amp;T)'!J$77</f>
        <v>1.082606031</v>
      </c>
      <c r="Z3323" s="95">
        <f>$Q3200*'Assumptions (Oil G&amp;T)'!K$77</f>
        <v>1.082363403</v>
      </c>
      <c r="AA3323" s="95">
        <f>$Q3200*'Assumptions (Oil G&amp;T)'!L$77</f>
        <v>1.082606031</v>
      </c>
      <c r="AB3323" s="95">
        <f>$Q3200*'Assumptions (Oil G&amp;T)'!M$77</f>
        <v>1.082363403</v>
      </c>
      <c r="AC3323" s="95">
        <f>$Q3200*'Assumptions (Oil G&amp;T)'!N$77</f>
        <v>1.082606031</v>
      </c>
      <c r="AD3323" s="95">
        <f>$Q3200*'Assumptions (Oil G&amp;T)'!O$77</f>
        <v>1.082363403</v>
      </c>
      <c r="AE3323" s="95">
        <f>$Q3200*'Assumptions (Oil G&amp;T)'!P$77</f>
        <v>1.082606031</v>
      </c>
      <c r="AF3323" s="95">
        <f>$Q3200*'Assumptions (Oil G&amp;T)'!Q$77</f>
        <v>1.082363403</v>
      </c>
      <c r="AG3323" s="95">
        <f>$Q3200*'Assumptions (Oil G&amp;T)'!R$77</f>
        <v>1.082606031</v>
      </c>
      <c r="AH3323" s="95">
        <f>$Q3200*'Assumptions (Oil G&amp;T)'!S$77</f>
        <v>1.082363403</v>
      </c>
      <c r="AI3323" s="95">
        <f>$Q3200*'Assumptions (Oil G&amp;T)'!T$77</f>
        <v>1.082606031</v>
      </c>
      <c r="AJ3323" s="95">
        <f>$Q3200*'Assumptions (Oil G&amp;T)'!U$77</f>
        <v>1.082363403</v>
      </c>
      <c r="AK3323" s="95">
        <f>$Q3200*'Assumptions (Oil G&amp;T)'!V$77</f>
        <v>0.5413030155</v>
      </c>
    </row>
    <row r="3324" ht="15.75" hidden="1" customHeight="1" outlineLevel="1">
      <c r="A3324" s="387"/>
      <c r="B3324" s="38"/>
      <c r="C3324" s="78"/>
      <c r="D3324" s="78"/>
      <c r="E3324" s="78"/>
      <c r="F3324" s="78"/>
      <c r="G3324" s="78"/>
      <c r="H3324" s="78"/>
      <c r="I3324" s="78"/>
      <c r="J3324" s="78"/>
      <c r="K3324" s="78"/>
      <c r="L3324" s="78"/>
      <c r="M3324" s="78"/>
      <c r="N3324" s="78"/>
      <c r="O3324" s="78"/>
      <c r="P3324" s="78"/>
      <c r="Q3324" s="78"/>
      <c r="R3324" s="95">
        <f>$R3200*'Assumptions (Oil G&amp;T)'!B$77</f>
        <v>0.6898236909</v>
      </c>
      <c r="S3324" s="95">
        <f>$R3200*'Assumptions (Oil G&amp;T)'!C$77</f>
        <v>1.327956593</v>
      </c>
      <c r="T3324" s="95">
        <f>$R3200*'Assumptions (Oil G&amp;T)'!D$77</f>
        <v>1.228254076</v>
      </c>
      <c r="U3324" s="95">
        <f>$R3200*'Assumptions (Oil G&amp;T)'!E$77</f>
        <v>1.136277584</v>
      </c>
      <c r="V3324" s="95">
        <f>$R3200*'Assumptions (Oil G&amp;T)'!F$77</f>
        <v>1.050923399</v>
      </c>
      <c r="W3324" s="95">
        <f>$R3200*'Assumptions (Oil G&amp;T)'!G$77</f>
        <v>0.9721915218</v>
      </c>
      <c r="X3324" s="95">
        <f>$R3200*'Assumptions (Oil G&amp;T)'!H$77</f>
        <v>0.899162187</v>
      </c>
      <c r="Y3324" s="95">
        <f>$R3200*'Assumptions (Oil G&amp;T)'!I$77</f>
        <v>0.8318353948</v>
      </c>
      <c r="Z3324" s="95">
        <f>$R3200*'Assumptions (Oil G&amp;T)'!J$77</f>
        <v>0.8207982157</v>
      </c>
      <c r="AA3324" s="95">
        <f>$R3200*'Assumptions (Oil G&amp;T)'!K$77</f>
        <v>0.8206142627</v>
      </c>
      <c r="AB3324" s="95">
        <f>$R3200*'Assumptions (Oil G&amp;T)'!L$77</f>
        <v>0.8207982157</v>
      </c>
      <c r="AC3324" s="95">
        <f>$R3200*'Assumptions (Oil G&amp;T)'!M$77</f>
        <v>0.8206142627</v>
      </c>
      <c r="AD3324" s="95">
        <f>$R3200*'Assumptions (Oil G&amp;T)'!N$77</f>
        <v>0.8207982157</v>
      </c>
      <c r="AE3324" s="95">
        <f>$R3200*'Assumptions (Oil G&amp;T)'!O$77</f>
        <v>0.8206142627</v>
      </c>
      <c r="AF3324" s="95">
        <f>$R3200*'Assumptions (Oil G&amp;T)'!P$77</f>
        <v>0.8207982157</v>
      </c>
      <c r="AG3324" s="95">
        <f>$R3200*'Assumptions (Oil G&amp;T)'!Q$77</f>
        <v>0.8206142627</v>
      </c>
      <c r="AH3324" s="95">
        <f>$R3200*'Assumptions (Oil G&amp;T)'!R$77</f>
        <v>0.8207982157</v>
      </c>
      <c r="AI3324" s="95">
        <f>$R3200*'Assumptions (Oil G&amp;T)'!S$77</f>
        <v>0.8206142627</v>
      </c>
      <c r="AJ3324" s="95">
        <f>$R3200*'Assumptions (Oil G&amp;T)'!T$77</f>
        <v>0.8207982157</v>
      </c>
      <c r="AK3324" s="95">
        <f>$R3200*'Assumptions (Oil G&amp;T)'!U$77</f>
        <v>0.8206142627</v>
      </c>
      <c r="AL3324" s="95">
        <f>$R3200*'Assumptions (Oil G&amp;T)'!V$77</f>
        <v>0.4103991079</v>
      </c>
    </row>
    <row r="3325" ht="15.75" hidden="1" customHeight="1" outlineLevel="1">
      <c r="A3325" s="387"/>
      <c r="B3325" s="38"/>
      <c r="C3325" s="78"/>
      <c r="D3325" s="78"/>
      <c r="E3325" s="78"/>
      <c r="F3325" s="78"/>
      <c r="G3325" s="78"/>
      <c r="H3325" s="78"/>
      <c r="I3325" s="78"/>
      <c r="J3325" s="78"/>
      <c r="K3325" s="78"/>
      <c r="L3325" s="78"/>
      <c r="M3325" s="78"/>
      <c r="N3325" s="78"/>
      <c r="O3325" s="78"/>
      <c r="P3325" s="78"/>
      <c r="Q3325" s="78"/>
      <c r="R3325" s="78"/>
      <c r="S3325" s="95">
        <f>$S3200*'Assumptions (Oil G&amp;T)'!B$77</f>
        <v>0.4294033021</v>
      </c>
      <c r="T3325" s="95">
        <f>$S3200*'Assumptions (Oil G&amp;T)'!C$77</f>
        <v>0.8266299835</v>
      </c>
      <c r="U3325" s="95">
        <f>$S3200*'Assumptions (Oil G&amp;T)'!D$77</f>
        <v>0.7645668929</v>
      </c>
      <c r="V3325" s="95">
        <f>$S3200*'Assumptions (Oil G&amp;T)'!E$77</f>
        <v>0.7073131192</v>
      </c>
      <c r="W3325" s="95">
        <f>$S3200*'Assumptions (Oil G&amp;T)'!F$77</f>
        <v>0.6541816173</v>
      </c>
      <c r="X3325" s="95">
        <f>$S3200*'Assumptions (Oil G&amp;T)'!G$77</f>
        <v>0.6051723871</v>
      </c>
      <c r="Y3325" s="95">
        <f>$S3200*'Assumptions (Oil G&amp;T)'!H$77</f>
        <v>0.5597128909</v>
      </c>
      <c r="Z3325" s="95">
        <f>$S3200*'Assumptions (Oil G&amp;T)'!I$77</f>
        <v>0.5178031286</v>
      </c>
      <c r="AA3325" s="95">
        <f>$S3200*'Assumptions (Oil G&amp;T)'!J$77</f>
        <v>0.5109326757</v>
      </c>
      <c r="AB3325" s="95">
        <f>$S3200*'Assumptions (Oil G&amp;T)'!K$77</f>
        <v>0.5108181682</v>
      </c>
      <c r="AC3325" s="95">
        <f>$S3200*'Assumptions (Oil G&amp;T)'!L$77</f>
        <v>0.5109326757</v>
      </c>
      <c r="AD3325" s="95">
        <f>$S3200*'Assumptions (Oil G&amp;T)'!M$77</f>
        <v>0.5108181682</v>
      </c>
      <c r="AE3325" s="95">
        <f>$S3200*'Assumptions (Oil G&amp;T)'!N$77</f>
        <v>0.5109326757</v>
      </c>
      <c r="AF3325" s="95">
        <f>$S3200*'Assumptions (Oil G&amp;T)'!O$77</f>
        <v>0.5108181682</v>
      </c>
      <c r="AG3325" s="95">
        <f>$S3200*'Assumptions (Oil G&amp;T)'!P$77</f>
        <v>0.5109326757</v>
      </c>
      <c r="AH3325" s="95">
        <f>$S3200*'Assumptions (Oil G&amp;T)'!Q$77</f>
        <v>0.5108181682</v>
      </c>
      <c r="AI3325" s="95">
        <f>$S3200*'Assumptions (Oil G&amp;T)'!R$77</f>
        <v>0.5109326757</v>
      </c>
      <c r="AJ3325" s="95">
        <f>$S3200*'Assumptions (Oil G&amp;T)'!S$77</f>
        <v>0.5108181682</v>
      </c>
      <c r="AK3325" s="95">
        <f>$S3200*'Assumptions (Oil G&amp;T)'!T$77</f>
        <v>0.5109326757</v>
      </c>
      <c r="AL3325" s="95">
        <f>$S3200*'Assumptions (Oil G&amp;T)'!U$77</f>
        <v>0.5108181682</v>
      </c>
      <c r="AM3325" s="95">
        <f>$S3200*'Assumptions (Oil G&amp;T)'!V$77</f>
        <v>0.2554663379</v>
      </c>
    </row>
    <row r="3326" ht="15.75" hidden="1" customHeight="1" outlineLevel="1">
      <c r="A3326" s="387"/>
      <c r="B3326" s="38"/>
      <c r="C3326" s="78"/>
      <c r="D3326" s="78"/>
      <c r="E3326" s="78"/>
      <c r="F3326" s="78"/>
      <c r="G3326" s="78"/>
      <c r="H3326" s="78"/>
      <c r="I3326" s="78"/>
      <c r="J3326" s="78"/>
      <c r="K3326" s="78"/>
      <c r="L3326" s="78"/>
      <c r="M3326" s="78"/>
      <c r="N3326" s="78"/>
      <c r="O3326" s="78"/>
      <c r="P3326" s="78"/>
      <c r="Q3326" s="78"/>
      <c r="R3326" s="78"/>
      <c r="S3326" s="78"/>
      <c r="T3326" s="95">
        <f>$T3200*'Assumptions (Oil G&amp;T)'!B$77</f>
        <v>0.664672747</v>
      </c>
      <c r="U3326" s="95">
        <f>$T3200*'Assumptions (Oil G&amp;T)'!C$77</f>
        <v>1.27953935</v>
      </c>
      <c r="V3326" s="95">
        <f>$T3200*'Assumptions (Oil G&amp;T)'!D$77</f>
        <v>1.183471982</v>
      </c>
      <c r="W3326" s="95">
        <f>$T3200*'Assumptions (Oil G&amp;T)'!E$77</f>
        <v>1.094848949</v>
      </c>
      <c r="X3326" s="95">
        <f>$T3200*'Assumptions (Oil G&amp;T)'!F$77</f>
        <v>1.012606774</v>
      </c>
      <c r="Y3326" s="95">
        <f>$T3200*'Assumptions (Oil G&amp;T)'!G$77</f>
        <v>0.9367454581</v>
      </c>
      <c r="Z3326" s="95">
        <f>$T3200*'Assumptions (Oil G&amp;T)'!H$77</f>
        <v>0.86637877</v>
      </c>
      <c r="AA3326" s="95">
        <f>$T3200*'Assumptions (Oil G&amp;T)'!I$77</f>
        <v>0.8015067099</v>
      </c>
      <c r="AB3326" s="95">
        <f>$T3200*'Assumptions (Oil G&amp;T)'!J$77</f>
        <v>0.7908719459</v>
      </c>
      <c r="AC3326" s="95">
        <f>$T3200*'Assumptions (Oil G&amp;T)'!K$77</f>
        <v>0.7906946998</v>
      </c>
      <c r="AD3326" s="95">
        <f>$T3200*'Assumptions (Oil G&amp;T)'!L$77</f>
        <v>0.7908719459</v>
      </c>
      <c r="AE3326" s="95">
        <f>$T3200*'Assumptions (Oil G&amp;T)'!M$77</f>
        <v>0.7906946998</v>
      </c>
      <c r="AF3326" s="95">
        <f>$T3200*'Assumptions (Oil G&amp;T)'!N$77</f>
        <v>0.7908719459</v>
      </c>
      <c r="AG3326" s="95">
        <f>$T3200*'Assumptions (Oil G&amp;T)'!O$77</f>
        <v>0.7906946998</v>
      </c>
      <c r="AH3326" s="95">
        <f>$T3200*'Assumptions (Oil G&amp;T)'!P$77</f>
        <v>0.7908719459</v>
      </c>
      <c r="AI3326" s="95">
        <f>$T3200*'Assumptions (Oil G&amp;T)'!Q$77</f>
        <v>0.7906946998</v>
      </c>
      <c r="AJ3326" s="95">
        <f>$T3200*'Assumptions (Oil G&amp;T)'!R$77</f>
        <v>0.7908719459</v>
      </c>
      <c r="AK3326" s="95">
        <f>$T3200*'Assumptions (Oil G&amp;T)'!S$77</f>
        <v>0.7906946998</v>
      </c>
      <c r="AL3326" s="95">
        <f>$T3200*'Assumptions (Oil G&amp;T)'!T$77</f>
        <v>0.7908719459</v>
      </c>
      <c r="AM3326" s="95">
        <f>$T3200*'Assumptions (Oil G&amp;T)'!U$77</f>
        <v>0.7906946998</v>
      </c>
      <c r="AN3326" s="95">
        <f>$T3200*'Assumptions (Oil G&amp;T)'!V$77</f>
        <v>0.395435973</v>
      </c>
    </row>
    <row r="3327" ht="15.75" hidden="1" customHeight="1" outlineLevel="1">
      <c r="A3327" s="387"/>
      <c r="B3327" s="38"/>
      <c r="C3327" s="78"/>
      <c r="D3327" s="78"/>
      <c r="E3327" s="78"/>
      <c r="F3327" s="78"/>
      <c r="G3327" s="78"/>
      <c r="H3327" s="78"/>
      <c r="I3327" s="78"/>
      <c r="J3327" s="78"/>
      <c r="K3327" s="78"/>
      <c r="L3327" s="78"/>
      <c r="M3327" s="78"/>
      <c r="N3327" s="78"/>
      <c r="O3327" s="78"/>
      <c r="P3327" s="78"/>
      <c r="Q3327" s="78"/>
      <c r="R3327" s="78"/>
      <c r="S3327" s="78"/>
      <c r="T3327" s="78"/>
      <c r="U3327" s="95">
        <f>$U3200*'Assumptions (Oil G&amp;T)'!B$77</f>
        <v>0.7242287824</v>
      </c>
      <c r="V3327" s="95">
        <f>$U3200*'Assumptions (Oil G&amp;T)'!C$77</f>
        <v>1.394188688</v>
      </c>
      <c r="W3327" s="95">
        <f>$U3200*'Assumptions (Oil G&amp;T)'!D$77</f>
        <v>1.289513488</v>
      </c>
      <c r="X3327" s="95">
        <f>$U3200*'Assumptions (Oil G&amp;T)'!E$77</f>
        <v>1.19294965</v>
      </c>
      <c r="Y3327" s="95">
        <f>$U3200*'Assumptions (Oil G&amp;T)'!F$77</f>
        <v>1.103338409</v>
      </c>
      <c r="Z3327" s="95">
        <f>$U3200*'Assumptions (Oil G&amp;T)'!G$77</f>
        <v>1.020679764</v>
      </c>
      <c r="AA3327" s="95">
        <f>$U3200*'Assumptions (Oil G&amp;T)'!H$77</f>
        <v>0.9440080769</v>
      </c>
      <c r="AB3327" s="95">
        <f>$U3200*'Assumptions (Oil G&amp;T)'!I$77</f>
        <v>0.8733233477</v>
      </c>
      <c r="AC3327" s="95">
        <f>$U3200*'Assumptions (Oil G&amp;T)'!J$77</f>
        <v>0.8617356872</v>
      </c>
      <c r="AD3327" s="95">
        <f>$U3200*'Assumptions (Oil G&amp;T)'!K$77</f>
        <v>0.8615425595</v>
      </c>
      <c r="AE3327" s="95">
        <f>$U3200*'Assumptions (Oil G&amp;T)'!L$77</f>
        <v>0.8617356872</v>
      </c>
      <c r="AF3327" s="95">
        <f>$U3200*'Assumptions (Oil G&amp;T)'!M$77</f>
        <v>0.8615425595</v>
      </c>
      <c r="AG3327" s="95">
        <f>$U3200*'Assumptions (Oil G&amp;T)'!N$77</f>
        <v>0.8617356872</v>
      </c>
      <c r="AH3327" s="95">
        <f>$U3200*'Assumptions (Oil G&amp;T)'!O$77</f>
        <v>0.8615425595</v>
      </c>
      <c r="AI3327" s="95">
        <f>$U3200*'Assumptions (Oil G&amp;T)'!P$77</f>
        <v>0.8617356872</v>
      </c>
      <c r="AJ3327" s="95">
        <f>$U3200*'Assumptions (Oil G&amp;T)'!Q$77</f>
        <v>0.8615425595</v>
      </c>
      <c r="AK3327" s="95">
        <f>$U3200*'Assumptions (Oil G&amp;T)'!R$77</f>
        <v>0.8617356872</v>
      </c>
      <c r="AL3327" s="95">
        <f>$U3200*'Assumptions (Oil G&amp;T)'!S$77</f>
        <v>0.8615425595</v>
      </c>
      <c r="AM3327" s="95">
        <f>$U3200*'Assumptions (Oil G&amp;T)'!T$77</f>
        <v>0.8617356872</v>
      </c>
      <c r="AN3327" s="95">
        <f>$U3200*'Assumptions (Oil G&amp;T)'!U$77</f>
        <v>0.8615425595</v>
      </c>
      <c r="AO3327" s="95">
        <f>$U3200*'Assumptions (Oil G&amp;T)'!V$77</f>
        <v>0.4308678436</v>
      </c>
    </row>
    <row r="3328" ht="15.75" hidden="1" customHeight="1" outlineLevel="1">
      <c r="A3328" s="387"/>
      <c r="B3328" s="38"/>
      <c r="C3328" s="78"/>
      <c r="D3328" s="78"/>
      <c r="E3328" s="78"/>
      <c r="F3328" s="78"/>
      <c r="G3328" s="78"/>
      <c r="H3328" s="78"/>
      <c r="I3328" s="78"/>
      <c r="J3328" s="78"/>
      <c r="K3328" s="78"/>
      <c r="L3328" s="78"/>
      <c r="M3328" s="78"/>
      <c r="N3328" s="78"/>
      <c r="O3328" s="78"/>
      <c r="P3328" s="78"/>
      <c r="Q3328" s="78"/>
      <c r="R3328" s="78"/>
      <c r="S3328" s="78"/>
      <c r="T3328" s="78"/>
      <c r="U3328" s="78"/>
      <c r="V3328" s="95">
        <f>$V3200*'Assumptions (Oil G&amp;T)'!B$77</f>
        <v>0.7614349245</v>
      </c>
      <c r="W3328" s="95">
        <f>$V3200*'Assumptions (Oil G&amp;T)'!C$77</f>
        <v>1.465812992</v>
      </c>
      <c r="X3328" s="95">
        <f>$V3200*'Assumptions (Oil G&amp;T)'!D$77</f>
        <v>1.355760264</v>
      </c>
      <c r="Y3328" s="95">
        <f>$V3200*'Assumptions (Oil G&amp;T)'!E$77</f>
        <v>1.254235608</v>
      </c>
      <c r="Z3328" s="95">
        <f>$V3200*'Assumptions (Oil G&amp;T)'!F$77</f>
        <v>1.160020726</v>
      </c>
      <c r="AA3328" s="95">
        <f>$V3200*'Assumptions (Oil G&amp;T)'!G$77</f>
        <v>1.07311562</v>
      </c>
      <c r="AB3328" s="95">
        <f>$V3200*'Assumptions (Oil G&amp;T)'!H$77</f>
        <v>0.992505043</v>
      </c>
      <c r="AC3328" s="95">
        <f>$V3200*'Assumptions (Oil G&amp;T)'!I$77</f>
        <v>0.9181889943</v>
      </c>
      <c r="AD3328" s="95">
        <f>$V3200*'Assumptions (Oil G&amp;T)'!J$77</f>
        <v>0.9060060355</v>
      </c>
      <c r="AE3328" s="95">
        <f>$V3200*'Assumptions (Oil G&amp;T)'!K$77</f>
        <v>0.9058029862</v>
      </c>
      <c r="AF3328" s="95">
        <f>$V3200*'Assumptions (Oil G&amp;T)'!L$77</f>
        <v>0.9060060355</v>
      </c>
      <c r="AG3328" s="95">
        <f>$V3200*'Assumptions (Oil G&amp;T)'!M$77</f>
        <v>0.9058029862</v>
      </c>
      <c r="AH3328" s="95">
        <f>$V3200*'Assumptions (Oil G&amp;T)'!N$77</f>
        <v>0.9060060355</v>
      </c>
      <c r="AI3328" s="95">
        <f>$V3200*'Assumptions (Oil G&amp;T)'!O$77</f>
        <v>0.9058029862</v>
      </c>
      <c r="AJ3328" s="95">
        <f>$V3200*'Assumptions (Oil G&amp;T)'!P$77</f>
        <v>0.9060060355</v>
      </c>
      <c r="AK3328" s="95">
        <f>$V3200*'Assumptions (Oil G&amp;T)'!Q$77</f>
        <v>0.9058029862</v>
      </c>
      <c r="AL3328" s="95">
        <f>$V3200*'Assumptions (Oil G&amp;T)'!R$77</f>
        <v>0.9060060355</v>
      </c>
      <c r="AM3328" s="95">
        <f>$V3200*'Assumptions (Oil G&amp;T)'!S$77</f>
        <v>0.9058029862</v>
      </c>
      <c r="AN3328" s="95">
        <f>$V3200*'Assumptions (Oil G&amp;T)'!T$77</f>
        <v>0.9060060355</v>
      </c>
      <c r="AO3328" s="95">
        <f>$V3200*'Assumptions (Oil G&amp;T)'!U$77</f>
        <v>0.9058029862</v>
      </c>
      <c r="AP3328" s="95">
        <f>$V3200*'Assumptions (Oil G&amp;T)'!V$77</f>
        <v>0.4530030178</v>
      </c>
    </row>
    <row r="3329" ht="15.75" hidden="1" customHeight="1" outlineLevel="1">
      <c r="A3329" s="387"/>
      <c r="B3329" s="38"/>
      <c r="C3329" s="78"/>
      <c r="D3329" s="78"/>
      <c r="E3329" s="78"/>
      <c r="F3329" s="78"/>
      <c r="G3329" s="78"/>
      <c r="H3329" s="78"/>
      <c r="I3329" s="78"/>
      <c r="J3329" s="78"/>
      <c r="K3329" s="78"/>
      <c r="L3329" s="78"/>
      <c r="M3329" s="78"/>
      <c r="N3329" s="78"/>
      <c r="O3329" s="78"/>
      <c r="P3329" s="78"/>
      <c r="Q3329" s="78"/>
      <c r="R3329" s="78"/>
      <c r="S3329" s="78"/>
      <c r="T3329" s="78"/>
      <c r="U3329" s="78"/>
      <c r="V3329" s="78"/>
      <c r="W3329" s="95">
        <f>$W3200*'Assumptions (Oil G&amp;T)'!B$77</f>
        <v>0.7868695582</v>
      </c>
      <c r="X3329" s="95">
        <f>$W3200*'Assumptions (Oil G&amp;T)'!C$77</f>
        <v>1.514776357</v>
      </c>
      <c r="Y3329" s="95">
        <f>$W3200*'Assumptions (Oil G&amp;T)'!D$77</f>
        <v>1.401047477</v>
      </c>
      <c r="Z3329" s="95">
        <f>$W3200*'Assumptions (Oil G&amp;T)'!E$77</f>
        <v>1.296131536</v>
      </c>
      <c r="AA3329" s="95">
        <f>$W3200*'Assumptions (Oil G&amp;T)'!F$77</f>
        <v>1.198769543</v>
      </c>
      <c r="AB3329" s="95">
        <f>$W3200*'Assumptions (Oil G&amp;T)'!G$77</f>
        <v>1.108961497</v>
      </c>
      <c r="AC3329" s="95">
        <f>$W3200*'Assumptions (Oil G&amp;T)'!H$77</f>
        <v>1.02565824</v>
      </c>
      <c r="AD3329" s="95">
        <f>$W3200*'Assumptions (Oil G&amp;T)'!I$77</f>
        <v>0.9488597712</v>
      </c>
      <c r="AE3329" s="95">
        <f>$W3200*'Assumptions (Oil G&amp;T)'!J$77</f>
        <v>0.9362698583</v>
      </c>
      <c r="AF3329" s="95">
        <f>$W3200*'Assumptions (Oil G&amp;T)'!K$77</f>
        <v>0.9360600264</v>
      </c>
      <c r="AG3329" s="95">
        <f>$W3200*'Assumptions (Oil G&amp;T)'!L$77</f>
        <v>0.9362698583</v>
      </c>
      <c r="AH3329" s="95">
        <f>$W3200*'Assumptions (Oil G&amp;T)'!M$77</f>
        <v>0.9360600264</v>
      </c>
      <c r="AI3329" s="95">
        <f>$W3200*'Assumptions (Oil G&amp;T)'!N$77</f>
        <v>0.9362698583</v>
      </c>
      <c r="AJ3329" s="95">
        <f>$W3200*'Assumptions (Oil G&amp;T)'!O$77</f>
        <v>0.9360600264</v>
      </c>
      <c r="AK3329" s="95">
        <f>$W3200*'Assumptions (Oil G&amp;T)'!P$77</f>
        <v>0.9362698583</v>
      </c>
      <c r="AL3329" s="95">
        <f>$W3200*'Assumptions (Oil G&amp;T)'!Q$77</f>
        <v>0.9360600264</v>
      </c>
      <c r="AM3329" s="95">
        <f>$W3200*'Assumptions (Oil G&amp;T)'!R$77</f>
        <v>0.9362698583</v>
      </c>
      <c r="AN3329" s="95">
        <f>$W3200*'Assumptions (Oil G&amp;T)'!S$77</f>
        <v>0.9360600264</v>
      </c>
      <c r="AO3329" s="95">
        <f>$W3200*'Assumptions (Oil G&amp;T)'!T$77</f>
        <v>0.9362698583</v>
      </c>
      <c r="AP3329" s="95">
        <f>$W3200*'Assumptions (Oil G&amp;T)'!U$77</f>
        <v>0.9360600264</v>
      </c>
      <c r="AQ3329" s="95">
        <f>$W3200*'Assumptions (Oil G&amp;T)'!V$77</f>
        <v>0.4681349291</v>
      </c>
    </row>
    <row r="3330" ht="15.75" hidden="1" customHeight="1" outlineLevel="1">
      <c r="A3330" s="387"/>
      <c r="B3330" s="38"/>
      <c r="C3330" s="78"/>
      <c r="D3330" s="78"/>
      <c r="E3330" s="78"/>
      <c r="F3330" s="78"/>
      <c r="G3330" s="78"/>
      <c r="H3330" s="78"/>
      <c r="I3330" s="78"/>
      <c r="J3330" s="78"/>
      <c r="K3330" s="78"/>
      <c r="L3330" s="78"/>
      <c r="M3330" s="78"/>
      <c r="N3330" s="78"/>
      <c r="O3330" s="78"/>
      <c r="P3330" s="78"/>
      <c r="Q3330" s="78"/>
      <c r="R3330" s="78"/>
      <c r="S3330" s="78"/>
      <c r="T3330" s="78"/>
      <c r="U3330" s="78"/>
      <c r="V3330" s="78"/>
      <c r="W3330" s="139"/>
      <c r="X3330" s="95">
        <f>$X3200*'Assumptions (Oil G&amp;T)'!B$77</f>
        <v>0.798877664</v>
      </c>
      <c r="Y3330" s="95">
        <f>$X3200*'Assumptions (Oil G&amp;T)'!C$77</f>
        <v>1.537892762</v>
      </c>
      <c r="Z3330" s="95">
        <f>$X3200*'Assumptions (Oil G&amp;T)'!D$77</f>
        <v>1.42242831</v>
      </c>
      <c r="AA3330" s="95">
        <f>$X3200*'Assumptions (Oil G&amp;T)'!E$77</f>
        <v>1.315911288</v>
      </c>
      <c r="AB3330" s="95">
        <f>$X3200*'Assumptions (Oil G&amp;T)'!F$77</f>
        <v>1.217063492</v>
      </c>
      <c r="AC3330" s="95">
        <f>$X3200*'Assumptions (Oil G&amp;T)'!G$77</f>
        <v>1.125884921</v>
      </c>
      <c r="AD3330" s="95">
        <f>$X3200*'Assumptions (Oil G&amp;T)'!H$77</f>
        <v>1.041310406</v>
      </c>
      <c r="AE3330" s="95">
        <f>$X3200*'Assumptions (Oil G&amp;T)'!I$77</f>
        <v>0.9633399458</v>
      </c>
      <c r="AF3330" s="95">
        <f>$X3200*'Assumptions (Oil G&amp;T)'!J$77</f>
        <v>0.9505579032</v>
      </c>
      <c r="AG3330" s="95">
        <f>$X3200*'Assumptions (Oil G&amp;T)'!K$77</f>
        <v>0.9503448691</v>
      </c>
      <c r="AH3330" s="95">
        <f>$X3200*'Assumptions (Oil G&amp;T)'!L$77</f>
        <v>0.9505579032</v>
      </c>
      <c r="AI3330" s="95">
        <f>$X3200*'Assumptions (Oil G&amp;T)'!M$77</f>
        <v>0.9503448691</v>
      </c>
      <c r="AJ3330" s="95">
        <f>$X3200*'Assumptions (Oil G&amp;T)'!N$77</f>
        <v>0.9505579032</v>
      </c>
      <c r="AK3330" s="95">
        <f>$X3200*'Assumptions (Oil G&amp;T)'!O$77</f>
        <v>0.9503448691</v>
      </c>
      <c r="AL3330" s="95">
        <f>$X3200*'Assumptions (Oil G&amp;T)'!P$77</f>
        <v>0.9505579032</v>
      </c>
      <c r="AM3330" s="95">
        <f>$X3200*'Assumptions (Oil G&amp;T)'!Q$77</f>
        <v>0.9503448691</v>
      </c>
      <c r="AN3330" s="95">
        <f>$X3200*'Assumptions (Oil G&amp;T)'!R$77</f>
        <v>0.9505579032</v>
      </c>
      <c r="AO3330" s="95">
        <f>$X3200*'Assumptions (Oil G&amp;T)'!S$77</f>
        <v>0.9503448691</v>
      </c>
      <c r="AP3330" s="95">
        <f>$X3200*'Assumptions (Oil G&amp;T)'!T$77</f>
        <v>0.9505579032</v>
      </c>
      <c r="AQ3330" s="95">
        <f>$X3200*'Assumptions (Oil G&amp;T)'!U$77</f>
        <v>0.9503448691</v>
      </c>
      <c r="AR3330" s="95">
        <f>$X3200*'Assumptions (Oil G&amp;T)'!V$77</f>
        <v>0.4752789516</v>
      </c>
    </row>
    <row r="3331" ht="15.75" hidden="1" customHeight="1" outlineLevel="1">
      <c r="A3331" s="387"/>
      <c r="B3331" s="38"/>
      <c r="C3331" s="78"/>
      <c r="D3331" s="78"/>
      <c r="E3331" s="78"/>
      <c r="F3331" s="78"/>
      <c r="G3331" s="78"/>
      <c r="H3331" s="78"/>
      <c r="I3331" s="78"/>
      <c r="J3331" s="78"/>
      <c r="K3331" s="78"/>
      <c r="L3331" s="78"/>
      <c r="M3331" s="78"/>
      <c r="N3331" s="78"/>
      <c r="O3331" s="78"/>
      <c r="P3331" s="78"/>
      <c r="Q3331" s="78"/>
      <c r="R3331" s="78"/>
      <c r="S3331" s="78"/>
      <c r="T3331" s="78"/>
      <c r="U3331" s="78"/>
      <c r="V3331" s="78"/>
      <c r="W3331" s="139"/>
      <c r="Y3331" s="95">
        <f>$Y3200*'Assumptions (Oil G&amp;T)'!B$77</f>
        <v>0.8012720307</v>
      </c>
      <c r="Z3331" s="95">
        <f>$Y3200*'Assumptions (Oil G&amp;T)'!C$77</f>
        <v>1.542502077</v>
      </c>
      <c r="AA3331" s="95">
        <f>$Y3200*'Assumptions (Oil G&amp;T)'!D$77</f>
        <v>1.42669156</v>
      </c>
      <c r="AB3331" s="95">
        <f>$Y3200*'Assumptions (Oil G&amp;T)'!E$77</f>
        <v>1.319855289</v>
      </c>
      <c r="AC3331" s="95">
        <f>$Y3200*'Assumptions (Oil G&amp;T)'!F$77</f>
        <v>1.22071123</v>
      </c>
      <c r="AD3331" s="95">
        <f>$Y3200*'Assumptions (Oil G&amp;T)'!G$77</f>
        <v>1.129259382</v>
      </c>
      <c r="AE3331" s="95">
        <f>$Y3200*'Assumptions (Oil G&amp;T)'!H$77</f>
        <v>1.044431383</v>
      </c>
      <c r="AF3331" s="95">
        <f>$Y3200*'Assumptions (Oil G&amp;T)'!I$77</f>
        <v>0.9662272328</v>
      </c>
      <c r="AG3331" s="95">
        <f>$Y3200*'Assumptions (Oil G&amp;T)'!J$77</f>
        <v>0.9534068803</v>
      </c>
      <c r="AH3331" s="95">
        <f>$Y3200*'Assumptions (Oil G&amp;T)'!K$77</f>
        <v>0.9531932077</v>
      </c>
      <c r="AI3331" s="95">
        <f>$Y3200*'Assumptions (Oil G&amp;T)'!L$77</f>
        <v>0.9534068803</v>
      </c>
      <c r="AJ3331" s="95">
        <f>$Y3200*'Assumptions (Oil G&amp;T)'!M$77</f>
        <v>0.9531932077</v>
      </c>
      <c r="AK3331" s="95">
        <f>$Y3200*'Assumptions (Oil G&amp;T)'!N$77</f>
        <v>0.9534068803</v>
      </c>
      <c r="AL3331" s="95">
        <f>$Y3200*'Assumptions (Oil G&amp;T)'!O$77</f>
        <v>0.9531932077</v>
      </c>
      <c r="AM3331" s="95">
        <f>$Y3200*'Assumptions (Oil G&amp;T)'!P$77</f>
        <v>0.9534068803</v>
      </c>
      <c r="AN3331" s="95">
        <f>$Y3200*'Assumptions (Oil G&amp;T)'!Q$77</f>
        <v>0.9531932077</v>
      </c>
      <c r="AO3331" s="95">
        <f>$Y3200*'Assumptions (Oil G&amp;T)'!R$77</f>
        <v>0.9534068803</v>
      </c>
      <c r="AP3331" s="95">
        <f>$Y3200*'Assumptions (Oil G&amp;T)'!S$77</f>
        <v>0.9531932077</v>
      </c>
      <c r="AQ3331" s="95">
        <f>$Y3200*'Assumptions (Oil G&amp;T)'!T$77</f>
        <v>0.9534068803</v>
      </c>
      <c r="AR3331" s="95">
        <f>$Y3200*'Assumptions (Oil G&amp;T)'!U$77</f>
        <v>0.9531932077</v>
      </c>
      <c r="AS3331" s="95">
        <f>$Y3200*'Assumptions (Oil G&amp;T)'!V$77</f>
        <v>0.4767034401</v>
      </c>
    </row>
    <row r="3332" ht="15.75" hidden="1" customHeight="1" outlineLevel="1">
      <c r="A3332" s="387"/>
      <c r="B3332" s="38"/>
      <c r="C3332" s="78"/>
      <c r="D3332" s="78"/>
      <c r="E3332" s="78"/>
      <c r="F3332" s="78"/>
      <c r="G3332" s="78"/>
      <c r="H3332" s="78"/>
      <c r="I3332" s="78"/>
      <c r="J3332" s="78"/>
      <c r="K3332" s="78"/>
      <c r="L3332" s="78"/>
      <c r="M3332" s="78"/>
      <c r="N3332" s="78"/>
      <c r="O3332" s="78"/>
      <c r="P3332" s="78"/>
      <c r="Q3332" s="78"/>
      <c r="R3332" s="78"/>
      <c r="S3332" s="78"/>
      <c r="T3332" s="78"/>
      <c r="U3332" s="78"/>
      <c r="V3332" s="78"/>
      <c r="W3332" s="139"/>
      <c r="Z3332" s="95">
        <f>$Z3200*'Assumptions (Oil G&amp;T)'!B$77</f>
        <v>0.801168829</v>
      </c>
      <c r="AA3332" s="95">
        <f>$Z3200*'Assumptions (Oil G&amp;T)'!C$77</f>
        <v>1.542303407</v>
      </c>
      <c r="AB3332" s="95">
        <f>$Z3200*'Assumptions (Oil G&amp;T)'!D$77</f>
        <v>1.426507806</v>
      </c>
      <c r="AC3332" s="95">
        <f>$Z3200*'Assumptions (Oil G&amp;T)'!E$77</f>
        <v>1.319685295</v>
      </c>
      <c r="AD3332" s="95">
        <f>$Z3200*'Assumptions (Oil G&amp;T)'!F$77</f>
        <v>1.220554005</v>
      </c>
      <c r="AE3332" s="95">
        <f>$Z3200*'Assumptions (Oil G&amp;T)'!G$77</f>
        <v>1.129113936</v>
      </c>
      <c r="AF3332" s="95">
        <f>$Z3200*'Assumptions (Oil G&amp;T)'!H$77</f>
        <v>1.044296863</v>
      </c>
      <c r="AG3332" s="95">
        <f>$Z3200*'Assumptions (Oil G&amp;T)'!I$77</f>
        <v>0.9661027852</v>
      </c>
      <c r="AH3332" s="95">
        <f>$Z3200*'Assumptions (Oil G&amp;T)'!J$77</f>
        <v>0.953284084</v>
      </c>
      <c r="AI3332" s="95">
        <f>$Z3200*'Assumptions (Oil G&amp;T)'!K$77</f>
        <v>0.9530704389</v>
      </c>
      <c r="AJ3332" s="95">
        <f>$Z3200*'Assumptions (Oil G&amp;T)'!L$77</f>
        <v>0.953284084</v>
      </c>
      <c r="AK3332" s="95">
        <f>$Z3200*'Assumptions (Oil G&amp;T)'!M$77</f>
        <v>0.9530704389</v>
      </c>
      <c r="AL3332" s="95">
        <f>$Z3200*'Assumptions (Oil G&amp;T)'!N$77</f>
        <v>0.953284084</v>
      </c>
      <c r="AM3332" s="95">
        <f>$Z3200*'Assumptions (Oil G&amp;T)'!O$77</f>
        <v>0.9530704389</v>
      </c>
      <c r="AN3332" s="95">
        <f>$Z3200*'Assumptions (Oil G&amp;T)'!P$77</f>
        <v>0.953284084</v>
      </c>
      <c r="AO3332" s="95">
        <f>$Z3200*'Assumptions (Oil G&amp;T)'!Q$77</f>
        <v>0.9530704389</v>
      </c>
      <c r="AP3332" s="95">
        <f>$Z3200*'Assumptions (Oil G&amp;T)'!R$77</f>
        <v>0.953284084</v>
      </c>
      <c r="AQ3332" s="95">
        <f>$Z3200*'Assumptions (Oil G&amp;T)'!S$77</f>
        <v>0.9530704389</v>
      </c>
      <c r="AR3332" s="95">
        <f>$Z3200*'Assumptions (Oil G&amp;T)'!T$77</f>
        <v>0.953284084</v>
      </c>
      <c r="AS3332" s="95">
        <f>$Z3200*'Assumptions (Oil G&amp;T)'!U$77</f>
        <v>0.9530704389</v>
      </c>
      <c r="AT3332" s="95">
        <f>$Z3200*'Assumptions (Oil G&amp;T)'!V$77</f>
        <v>0.476642042</v>
      </c>
    </row>
    <row r="3333" ht="15.75" hidden="1" customHeight="1" outlineLevel="1">
      <c r="A3333" s="387"/>
      <c r="B3333" s="38"/>
      <c r="C3333" s="78"/>
      <c r="D3333" s="78"/>
      <c r="E3333" s="78"/>
      <c r="F3333" s="78"/>
      <c r="G3333" s="78"/>
      <c r="H3333" s="78"/>
      <c r="I3333" s="78"/>
      <c r="J3333" s="78"/>
      <c r="K3333" s="78"/>
      <c r="L3333" s="78"/>
      <c r="M3333" s="78"/>
      <c r="N3333" s="78"/>
      <c r="O3333" s="78"/>
      <c r="P3333" s="78"/>
      <c r="Q3333" s="78"/>
      <c r="R3333" s="78"/>
      <c r="S3333" s="78"/>
      <c r="T3333" s="78"/>
      <c r="U3333" s="78"/>
      <c r="V3333" s="78"/>
      <c r="W3333" s="139"/>
      <c r="AA3333" s="95">
        <f>$AA3200*'Assumptions (Oil G&amp;T)'!B$77</f>
        <v>0.8068509593</v>
      </c>
      <c r="AB3333" s="95">
        <f>$AA3200*'Assumptions (Oil G&amp;T)'!C$77</f>
        <v>1.553241887</v>
      </c>
      <c r="AC3333" s="95">
        <f>$AA3200*'Assumptions (Oil G&amp;T)'!D$77</f>
        <v>1.436625028</v>
      </c>
      <c r="AD3333" s="95">
        <f>$AA3200*'Assumptions (Oil G&amp;T)'!E$77</f>
        <v>1.3290449</v>
      </c>
      <c r="AE3333" s="95">
        <f>$AA3200*'Assumptions (Oil G&amp;T)'!F$77</f>
        <v>1.229210542</v>
      </c>
      <c r="AF3333" s="95">
        <f>$AA3200*'Assumptions (Oil G&amp;T)'!G$77</f>
        <v>1.137121952</v>
      </c>
      <c r="AG3333" s="95">
        <f>$AA3200*'Assumptions (Oil G&amp;T)'!H$77</f>
        <v>1.05170333</v>
      </c>
      <c r="AH3333" s="95">
        <f>$AA3200*'Assumptions (Oil G&amp;T)'!I$77</f>
        <v>0.9729546768</v>
      </c>
      <c r="AI3333" s="95">
        <f>$AA3200*'Assumptions (Oil G&amp;T)'!J$77</f>
        <v>0.9600450615</v>
      </c>
      <c r="AJ3333" s="95">
        <f>$AA3200*'Assumptions (Oil G&amp;T)'!K$77</f>
        <v>0.9598299012</v>
      </c>
      <c r="AK3333" s="95">
        <f>$AA3200*'Assumptions (Oil G&amp;T)'!L$77</f>
        <v>0.9600450615</v>
      </c>
      <c r="AL3333" s="95">
        <f>$AA3200*'Assumptions (Oil G&amp;T)'!M$77</f>
        <v>0.9598299012</v>
      </c>
      <c r="AM3333" s="95">
        <f>$AA3200*'Assumptions (Oil G&amp;T)'!N$77</f>
        <v>0.9600450615</v>
      </c>
      <c r="AN3333" s="95">
        <f>$AA3200*'Assumptions (Oil G&amp;T)'!O$77</f>
        <v>0.9598299012</v>
      </c>
      <c r="AO3333" s="95">
        <f>$AA3200*'Assumptions (Oil G&amp;T)'!P$77</f>
        <v>0.9600450615</v>
      </c>
      <c r="AP3333" s="95">
        <f>$AA3200*'Assumptions (Oil G&amp;T)'!Q$77</f>
        <v>0.9598299012</v>
      </c>
      <c r="AQ3333" s="95">
        <f>$AA3200*'Assumptions (Oil G&amp;T)'!R$77</f>
        <v>0.9600450615</v>
      </c>
      <c r="AR3333" s="95">
        <f>$AA3200*'Assumptions (Oil G&amp;T)'!S$77</f>
        <v>0.9598299012</v>
      </c>
      <c r="AS3333" s="95">
        <f>$AA3200*'Assumptions (Oil G&amp;T)'!T$77</f>
        <v>0.9600450615</v>
      </c>
      <c r="AT3333" s="95">
        <f>$AA3200*'Assumptions (Oil G&amp;T)'!U$77</f>
        <v>0.9598299012</v>
      </c>
      <c r="AU3333" s="95">
        <f>$AA3200*'Assumptions (Oil G&amp;T)'!V$77</f>
        <v>0.4800225307</v>
      </c>
    </row>
    <row r="3334" ht="15.75" hidden="1" customHeight="1" outlineLevel="1">
      <c r="A3334" s="387"/>
      <c r="B3334" s="38"/>
      <c r="C3334" s="78"/>
      <c r="D3334" s="78"/>
      <c r="E3334" s="78"/>
      <c r="F3334" s="78"/>
      <c r="G3334" s="78"/>
      <c r="H3334" s="78"/>
      <c r="I3334" s="78"/>
      <c r="J3334" s="78"/>
      <c r="K3334" s="78"/>
      <c r="L3334" s="78"/>
      <c r="M3334" s="78"/>
      <c r="N3334" s="78"/>
      <c r="O3334" s="78"/>
      <c r="P3334" s="78"/>
      <c r="Q3334" s="78"/>
      <c r="R3334" s="78"/>
      <c r="S3334" s="78"/>
      <c r="T3334" s="78"/>
      <c r="U3334" s="78"/>
      <c r="V3334" s="78"/>
      <c r="W3334" s="139"/>
      <c r="AB3334" s="95">
        <f>$AB3200*'Assumptions (Oil G&amp;T)'!B$77</f>
        <v>0.8095198083</v>
      </c>
      <c r="AC3334" s="95">
        <f>$AB3200*'Assumptions (Oil G&amp;T)'!C$77</f>
        <v>1.558379599</v>
      </c>
      <c r="AD3334" s="95">
        <f>$AB3200*'Assumptions (Oil G&amp;T)'!D$77</f>
        <v>1.441377003</v>
      </c>
      <c r="AE3334" s="95">
        <f>$AB3200*'Assumptions (Oil G&amp;T)'!E$77</f>
        <v>1.333441028</v>
      </c>
      <c r="AF3334" s="95">
        <f>$AB3200*'Assumptions (Oil G&amp;T)'!F$77</f>
        <v>1.233276444</v>
      </c>
      <c r="AG3334" s="95">
        <f>$AB3200*'Assumptions (Oil G&amp;T)'!G$77</f>
        <v>1.14088325</v>
      </c>
      <c r="AH3334" s="95">
        <f>$AB3200*'Assumptions (Oil G&amp;T)'!H$77</f>
        <v>1.055182086</v>
      </c>
      <c r="AI3334" s="95">
        <f>$AB3200*'Assumptions (Oil G&amp;T)'!I$77</f>
        <v>0.9761729528</v>
      </c>
      <c r="AJ3334" s="95">
        <f>$AB3200*'Assumptions (Oil G&amp;T)'!J$77</f>
        <v>0.9632206359</v>
      </c>
      <c r="AK3334" s="95">
        <f>$AB3200*'Assumptions (Oil G&amp;T)'!K$77</f>
        <v>0.963004764</v>
      </c>
      <c r="AL3334" s="95">
        <f>$AB3200*'Assumptions (Oil G&amp;T)'!L$77</f>
        <v>0.9632206359</v>
      </c>
      <c r="AM3334" s="95">
        <f>$AB3200*'Assumptions (Oil G&amp;T)'!M$77</f>
        <v>0.963004764</v>
      </c>
      <c r="AN3334" s="95">
        <f>$AB3200*'Assumptions (Oil G&amp;T)'!N$77</f>
        <v>0.9632206359</v>
      </c>
      <c r="AO3334" s="95">
        <f>$AB3200*'Assumptions (Oil G&amp;T)'!O$77</f>
        <v>0.963004764</v>
      </c>
      <c r="AP3334" s="95">
        <f>$AB3200*'Assumptions (Oil G&amp;T)'!P$77</f>
        <v>0.9632206359</v>
      </c>
      <c r="AQ3334" s="95">
        <f>$AB3200*'Assumptions (Oil G&amp;T)'!Q$77</f>
        <v>0.963004764</v>
      </c>
      <c r="AR3334" s="95">
        <f>$AB3200*'Assumptions (Oil G&amp;T)'!R$77</f>
        <v>0.9632206359</v>
      </c>
      <c r="AS3334" s="95">
        <f>$AB3200*'Assumptions (Oil G&amp;T)'!S$77</f>
        <v>0.963004764</v>
      </c>
      <c r="AT3334" s="95">
        <f>$AB3200*'Assumptions (Oil G&amp;T)'!T$77</f>
        <v>0.9632206359</v>
      </c>
      <c r="AU3334" s="95">
        <f>$AB3200*'Assumptions (Oil G&amp;T)'!U$77</f>
        <v>0.963004764</v>
      </c>
      <c r="AV3334" s="95">
        <f>$AB3200*'Assumptions (Oil G&amp;T)'!V$77</f>
        <v>0.481610318</v>
      </c>
    </row>
    <row r="3335" ht="15.75" hidden="1" customHeight="1" outlineLevel="1">
      <c r="A3335" s="387"/>
      <c r="B3335" s="38"/>
      <c r="C3335" s="78"/>
      <c r="D3335" s="78"/>
      <c r="E3335" s="78"/>
      <c r="F3335" s="78"/>
      <c r="G3335" s="78"/>
      <c r="H3335" s="78"/>
      <c r="I3335" s="78"/>
      <c r="J3335" s="78"/>
      <c r="K3335" s="78"/>
      <c r="L3335" s="78"/>
      <c r="M3335" s="78"/>
      <c r="N3335" s="78"/>
      <c r="O3335" s="78"/>
      <c r="P3335" s="78"/>
      <c r="Q3335" s="78"/>
      <c r="R3335" s="78"/>
      <c r="S3335" s="78"/>
      <c r="T3335" s="78"/>
      <c r="U3335" s="78"/>
      <c r="V3335" s="78"/>
      <c r="W3335" s="139"/>
      <c r="AC3335" s="95">
        <f>$AC3200*'Assumptions (Oil G&amp;T)'!B$77</f>
        <v>0.8150162934</v>
      </c>
      <c r="AD3335" s="95">
        <f>$AC3200*'Assumptions (Oil G&amp;T)'!C$77</f>
        <v>1.568960699</v>
      </c>
      <c r="AE3335" s="95">
        <f>$AC3200*'Assumptions (Oil G&amp;T)'!D$77</f>
        <v>1.451163678</v>
      </c>
      <c r="AF3335" s="95">
        <f>$AC3200*'Assumptions (Oil G&amp;T)'!E$77</f>
        <v>1.342494839</v>
      </c>
      <c r="AG3335" s="95">
        <f>$AC3200*'Assumptions (Oil G&amp;T)'!F$77</f>
        <v>1.241650156</v>
      </c>
      <c r="AH3335" s="95">
        <f>$AC3200*'Assumptions (Oil G&amp;T)'!G$77</f>
        <v>1.14862963</v>
      </c>
      <c r="AI3335" s="95">
        <f>$AC3200*'Assumptions (Oil G&amp;T)'!H$77</f>
        <v>1.062346571</v>
      </c>
      <c r="AJ3335" s="95">
        <f>$AC3200*'Assumptions (Oil G&amp;T)'!I$77</f>
        <v>0.982800981</v>
      </c>
      <c r="AK3335" s="95">
        <f>$AC3200*'Assumptions (Oil G&amp;T)'!J$77</f>
        <v>0.9697607203</v>
      </c>
      <c r="AL3335" s="95">
        <f>$AC3200*'Assumptions (Oil G&amp;T)'!K$77</f>
        <v>0.9695433827</v>
      </c>
      <c r="AM3335" s="95">
        <f>$AC3200*'Assumptions (Oil G&amp;T)'!L$77</f>
        <v>0.9697607203</v>
      </c>
      <c r="AN3335" s="95">
        <f>$AC3200*'Assumptions (Oil G&amp;T)'!M$77</f>
        <v>0.9695433827</v>
      </c>
      <c r="AO3335" s="95">
        <f>$AC3200*'Assumptions (Oil G&amp;T)'!N$77</f>
        <v>0.9697607203</v>
      </c>
      <c r="AP3335" s="95">
        <f>$AC3200*'Assumptions (Oil G&amp;T)'!O$77</f>
        <v>0.9695433827</v>
      </c>
      <c r="AQ3335" s="95">
        <f>$AC3200*'Assumptions (Oil G&amp;T)'!P$77</f>
        <v>0.9697607203</v>
      </c>
      <c r="AR3335" s="95">
        <f>$AC3200*'Assumptions (Oil G&amp;T)'!Q$77</f>
        <v>0.9695433827</v>
      </c>
      <c r="AS3335" s="95">
        <f>$AC3200*'Assumptions (Oil G&amp;T)'!R$77</f>
        <v>0.9697607203</v>
      </c>
      <c r="AT3335" s="95">
        <f>$AC3200*'Assumptions (Oil G&amp;T)'!S$77</f>
        <v>0.9695433827</v>
      </c>
      <c r="AU3335" s="95">
        <f>$AC3200*'Assumptions (Oil G&amp;T)'!T$77</f>
        <v>0.9697607203</v>
      </c>
      <c r="AV3335" s="95">
        <f>$AC3200*'Assumptions (Oil G&amp;T)'!U$77</f>
        <v>0.9695433827</v>
      </c>
      <c r="AW3335" s="95">
        <f>$AC3200*'Assumptions (Oil G&amp;T)'!V$77</f>
        <v>0.4848803602</v>
      </c>
    </row>
    <row r="3336" ht="15.75" hidden="1" customHeight="1" outlineLevel="1">
      <c r="A3336" s="387"/>
      <c r="B3336" s="38"/>
      <c r="C3336" s="78"/>
      <c r="D3336" s="78"/>
      <c r="E3336" s="78"/>
      <c r="F3336" s="78"/>
      <c r="G3336" s="78"/>
      <c r="H3336" s="78"/>
      <c r="I3336" s="78"/>
      <c r="J3336" s="78"/>
      <c r="K3336" s="78"/>
      <c r="L3336" s="78"/>
      <c r="M3336" s="78"/>
      <c r="N3336" s="78"/>
      <c r="O3336" s="78"/>
      <c r="P3336" s="78"/>
      <c r="Q3336" s="78"/>
      <c r="R3336" s="78"/>
      <c r="S3336" s="78"/>
      <c r="T3336" s="78"/>
      <c r="U3336" s="78"/>
      <c r="V3336" s="78"/>
      <c r="W3336" s="139"/>
      <c r="AD3336" s="95">
        <f>$AD3200*'Assumptions (Oil G&amp;T)'!B$77</f>
        <v>0.8214762967</v>
      </c>
      <c r="AE3336" s="95">
        <f>$AD3200*'Assumptions (Oil G&amp;T)'!C$77</f>
        <v>1.581396636</v>
      </c>
      <c r="AF3336" s="95">
        <f>$AD3200*'Assumptions (Oil G&amp;T)'!D$77</f>
        <v>1.462665929</v>
      </c>
      <c r="AG3336" s="95">
        <f>$AD3200*'Assumptions (Oil G&amp;T)'!E$77</f>
        <v>1.353135756</v>
      </c>
      <c r="AH3336" s="95">
        <f>$AD3200*'Assumptions (Oil G&amp;T)'!F$77</f>
        <v>1.251491755</v>
      </c>
      <c r="AI3336" s="95">
        <f>$AD3200*'Assumptions (Oil G&amp;T)'!G$77</f>
        <v>1.157733927</v>
      </c>
      <c r="AJ3336" s="95">
        <f>$AD3200*'Assumptions (Oil G&amp;T)'!H$77</f>
        <v>1.07076697</v>
      </c>
      <c r="AK3336" s="95">
        <f>$AD3200*'Assumptions (Oil G&amp;T)'!I$77</f>
        <v>0.9905908836</v>
      </c>
      <c r="AL3336" s="95">
        <f>$AD3200*'Assumptions (Oil G&amp;T)'!J$77</f>
        <v>0.9774472629</v>
      </c>
      <c r="AM3336" s="95">
        <f>$AD3200*'Assumptions (Oil G&amp;T)'!K$77</f>
        <v>0.9772282026</v>
      </c>
      <c r="AN3336" s="95">
        <f>$AD3200*'Assumptions (Oil G&amp;T)'!L$77</f>
        <v>0.9774472629</v>
      </c>
      <c r="AO3336" s="95">
        <f>$AD3200*'Assumptions (Oil G&amp;T)'!M$77</f>
        <v>0.9772282026</v>
      </c>
      <c r="AP3336" s="95">
        <f>$AD3200*'Assumptions (Oil G&amp;T)'!N$77</f>
        <v>0.9774472629</v>
      </c>
      <c r="AQ3336" s="95">
        <f>$AD3200*'Assumptions (Oil G&amp;T)'!O$77</f>
        <v>0.9772282026</v>
      </c>
      <c r="AR3336" s="95">
        <f>$AD3200*'Assumptions (Oil G&amp;T)'!P$77</f>
        <v>0.9774472629</v>
      </c>
      <c r="AS3336" s="95">
        <f>$AD3200*'Assumptions (Oil G&amp;T)'!Q$77</f>
        <v>0.9772282026</v>
      </c>
      <c r="AT3336" s="95">
        <f>$AD3200*'Assumptions (Oil G&amp;T)'!R$77</f>
        <v>0.9774472629</v>
      </c>
      <c r="AU3336" s="95">
        <f>$AD3200*'Assumptions (Oil G&amp;T)'!S$77</f>
        <v>0.9772282026</v>
      </c>
      <c r="AV3336" s="95">
        <f>$AD3200*'Assumptions (Oil G&amp;T)'!T$77</f>
        <v>0.9774472629</v>
      </c>
      <c r="AW3336" s="95">
        <f>$AD3200*'Assumptions (Oil G&amp;T)'!U$77</f>
        <v>0.9772282026</v>
      </c>
      <c r="AX3336" s="95">
        <f>$AD3200*'Assumptions (Oil G&amp;T)'!V$77</f>
        <v>0.4887236315</v>
      </c>
    </row>
    <row r="3337" ht="15.75" hidden="1" customHeight="1" outlineLevel="1">
      <c r="A3337" s="387"/>
      <c r="B3337" s="38"/>
      <c r="C3337" s="78"/>
      <c r="D3337" s="78"/>
      <c r="E3337" s="78"/>
      <c r="F3337" s="78"/>
      <c r="G3337" s="78"/>
      <c r="H3337" s="78"/>
      <c r="I3337" s="78"/>
      <c r="J3337" s="78"/>
      <c r="K3337" s="78"/>
      <c r="L3337" s="78"/>
      <c r="M3337" s="78"/>
      <c r="N3337" s="78"/>
      <c r="O3337" s="78"/>
      <c r="P3337" s="78"/>
      <c r="Q3337" s="78"/>
      <c r="R3337" s="78"/>
      <c r="S3337" s="78"/>
      <c r="T3337" s="78"/>
      <c r="U3337" s="78"/>
      <c r="V3337" s="78"/>
      <c r="W3337" s="139"/>
      <c r="AE3337" s="95">
        <f>$AE3200*'Assumptions (Oil G&amp;T)'!B$77</f>
        <v>0.8223989382</v>
      </c>
      <c r="AF3337" s="95">
        <f>$AE3200*'Assumptions (Oil G&amp;T)'!C$77</f>
        <v>1.583172783</v>
      </c>
      <c r="AG3337" s="95">
        <f>$AE3200*'Assumptions (Oil G&amp;T)'!D$77</f>
        <v>1.464308723</v>
      </c>
      <c r="AH3337" s="95">
        <f>$AE3200*'Assumptions (Oil G&amp;T)'!E$77</f>
        <v>1.354655531</v>
      </c>
      <c r="AI3337" s="95">
        <f>$AE3200*'Assumptions (Oil G&amp;T)'!F$77</f>
        <v>1.252897369</v>
      </c>
      <c r="AJ3337" s="95">
        <f>$AE3200*'Assumptions (Oil G&amp;T)'!G$77</f>
        <v>1.159034237</v>
      </c>
      <c r="AK3337" s="95">
        <f>$AE3200*'Assumptions (Oil G&amp;T)'!H$77</f>
        <v>1.071969603</v>
      </c>
      <c r="AL3337" s="95">
        <f>$AE3200*'Assumptions (Oil G&amp;T)'!I$77</f>
        <v>0.9917034663</v>
      </c>
      <c r="AM3337" s="95">
        <f>$AE3200*'Assumptions (Oil G&amp;T)'!J$77</f>
        <v>0.9785450833</v>
      </c>
      <c r="AN3337" s="95">
        <f>$AE3200*'Assumptions (Oil G&amp;T)'!K$77</f>
        <v>0.9783257769</v>
      </c>
      <c r="AO3337" s="95">
        <f>$AE3200*'Assumptions (Oil G&amp;T)'!L$77</f>
        <v>0.9785450833</v>
      </c>
      <c r="AP3337" s="95">
        <f>$AE3200*'Assumptions (Oil G&amp;T)'!M$77</f>
        <v>0.9783257769</v>
      </c>
      <c r="AQ3337" s="95">
        <f>$AE3200*'Assumptions (Oil G&amp;T)'!N$77</f>
        <v>0.9785450833</v>
      </c>
      <c r="AR3337" s="95">
        <f>$AE3200*'Assumptions (Oil G&amp;T)'!O$77</f>
        <v>0.9783257769</v>
      </c>
      <c r="AS3337" s="95">
        <f>$AE3200*'Assumptions (Oil G&amp;T)'!P$77</f>
        <v>0.9785450833</v>
      </c>
      <c r="AT3337" s="95">
        <f>$AE3200*'Assumptions (Oil G&amp;T)'!Q$77</f>
        <v>0.9783257769</v>
      </c>
      <c r="AU3337" s="95">
        <f>$AE3200*'Assumptions (Oil G&amp;T)'!R$77</f>
        <v>0.9785450833</v>
      </c>
      <c r="AV3337" s="95">
        <f>$AE3200*'Assumptions (Oil G&amp;T)'!S$77</f>
        <v>0.9783257769</v>
      </c>
      <c r="AW3337" s="95">
        <f>$AE3200*'Assumptions (Oil G&amp;T)'!T$77</f>
        <v>0.9785450833</v>
      </c>
      <c r="AX3337" s="95">
        <f>$AE3200*'Assumptions (Oil G&amp;T)'!U$77</f>
        <v>0.9783257769</v>
      </c>
      <c r="AY3337" s="95">
        <f>$AE3200*'Assumptions (Oil G&amp;T)'!V$77</f>
        <v>0.4892725416</v>
      </c>
    </row>
    <row r="3338" ht="15.75" hidden="1" customHeight="1" outlineLevel="1">
      <c r="A3338" s="387"/>
      <c r="B3338" s="38"/>
      <c r="C3338" s="78"/>
      <c r="D3338" s="78"/>
      <c r="E3338" s="78"/>
      <c r="F3338" s="78"/>
      <c r="G3338" s="78"/>
      <c r="H3338" s="78"/>
      <c r="I3338" s="78"/>
      <c r="J3338" s="78"/>
      <c r="K3338" s="78"/>
      <c r="L3338" s="78"/>
      <c r="M3338" s="78"/>
      <c r="N3338" s="78"/>
      <c r="O3338" s="78"/>
      <c r="P3338" s="78"/>
      <c r="Q3338" s="78"/>
      <c r="R3338" s="78"/>
      <c r="S3338" s="78"/>
      <c r="T3338" s="78"/>
      <c r="U3338" s="78"/>
      <c r="V3338" s="78"/>
      <c r="W3338" s="139"/>
      <c r="AF3338" s="95">
        <f>$AF3200*'Assumptions (Oil G&amp;T)'!B$77</f>
        <v>0.8251036865</v>
      </c>
      <c r="AG3338" s="95">
        <f>$AF3200*'Assumptions (Oil G&amp;T)'!C$77</f>
        <v>1.588379603</v>
      </c>
      <c r="AH3338" s="95">
        <f>$AF3200*'Assumptions (Oil G&amp;T)'!D$77</f>
        <v>1.469124617</v>
      </c>
      <c r="AI3338" s="95">
        <f>$AF3200*'Assumptions (Oil G&amp;T)'!E$77</f>
        <v>1.359110792</v>
      </c>
      <c r="AJ3338" s="95">
        <f>$AF3200*'Assumptions (Oil G&amp;T)'!F$77</f>
        <v>1.257017963</v>
      </c>
      <c r="AK3338" s="95">
        <f>$AF3200*'Assumptions (Oil G&amp;T)'!G$77</f>
        <v>1.162846129</v>
      </c>
      <c r="AL3338" s="95">
        <f>$AF3200*'Assumptions (Oil G&amp;T)'!H$77</f>
        <v>1.075495152</v>
      </c>
      <c r="AM3338" s="95">
        <f>$AF3200*'Assumptions (Oil G&amp;T)'!I$77</f>
        <v>0.9949650321</v>
      </c>
      <c r="AN3338" s="95">
        <f>$AF3200*'Assumptions (Oil G&amp;T)'!J$77</f>
        <v>0.9817633731</v>
      </c>
      <c r="AO3338" s="95">
        <f>$AF3200*'Assumptions (Oil G&amp;T)'!K$77</f>
        <v>0.9815433455</v>
      </c>
      <c r="AP3338" s="95">
        <f>$AF3200*'Assumptions (Oil G&amp;T)'!L$77</f>
        <v>0.9817633731</v>
      </c>
      <c r="AQ3338" s="95">
        <f>$AF3200*'Assumptions (Oil G&amp;T)'!M$77</f>
        <v>0.9815433455</v>
      </c>
      <c r="AR3338" s="95">
        <f>$AF3200*'Assumptions (Oil G&amp;T)'!N$77</f>
        <v>0.9817633731</v>
      </c>
      <c r="AS3338" s="95">
        <f>$AF3200*'Assumptions (Oil G&amp;T)'!O$77</f>
        <v>0.9815433455</v>
      </c>
      <c r="AT3338" s="95">
        <f>$AF3200*'Assumptions (Oil G&amp;T)'!P$77</f>
        <v>0.9817633731</v>
      </c>
      <c r="AU3338" s="95">
        <f>$AF3200*'Assumptions (Oil G&amp;T)'!Q$77</f>
        <v>0.9815433455</v>
      </c>
      <c r="AV3338" s="95">
        <f>$AF3200*'Assumptions (Oil G&amp;T)'!R$77</f>
        <v>0.9817633731</v>
      </c>
      <c r="AW3338" s="95">
        <f>$AF3200*'Assumptions (Oil G&amp;T)'!S$77</f>
        <v>0.9815433455</v>
      </c>
      <c r="AX3338" s="95">
        <f>$AF3200*'Assumptions (Oil G&amp;T)'!T$77</f>
        <v>0.9817633731</v>
      </c>
      <c r="AY3338" s="95">
        <f>$AF3200*'Assumptions (Oil G&amp;T)'!U$77</f>
        <v>0.9815433455</v>
      </c>
      <c r="AZ3338" s="95">
        <f>$AF3200*'Assumptions (Oil G&amp;T)'!V$77</f>
        <v>0.4908816866</v>
      </c>
    </row>
    <row r="3339" ht="15.75" hidden="1" customHeight="1" outlineLevel="1">
      <c r="A3339" s="387"/>
      <c r="B3339" s="38"/>
      <c r="C3339" s="78"/>
      <c r="D3339" s="78"/>
      <c r="E3339" s="78"/>
      <c r="F3339" s="78"/>
      <c r="G3339" s="78"/>
      <c r="H3339" s="78"/>
      <c r="I3339" s="78"/>
      <c r="J3339" s="78"/>
      <c r="K3339" s="78"/>
      <c r="L3339" s="78"/>
      <c r="M3339" s="78"/>
      <c r="N3339" s="78"/>
      <c r="O3339" s="78"/>
      <c r="P3339" s="78"/>
      <c r="Q3339" s="78"/>
      <c r="R3339" s="78"/>
      <c r="S3339" s="78"/>
      <c r="T3339" s="78"/>
      <c r="U3339" s="78"/>
      <c r="V3339" s="78"/>
      <c r="W3339" s="139"/>
      <c r="AG3339" s="95">
        <f>$AG3200*'Assumptions (Oil G&amp;T)'!B$77</f>
        <v>0.8270816835</v>
      </c>
      <c r="AH3339" s="95">
        <f>$AG3200*'Assumptions (Oil G&amp;T)'!C$77</f>
        <v>1.592187379</v>
      </c>
      <c r="AI3339" s="95">
        <f>$AG3200*'Assumptions (Oil G&amp;T)'!D$77</f>
        <v>1.472646507</v>
      </c>
      <c r="AJ3339" s="95">
        <f>$AG3200*'Assumptions (Oil G&amp;T)'!E$77</f>
        <v>1.362368949</v>
      </c>
      <c r="AK3339" s="95">
        <f>$AG3200*'Assumptions (Oil G&amp;T)'!F$77</f>
        <v>1.260031375</v>
      </c>
      <c r="AL3339" s="95">
        <f>$AG3200*'Assumptions (Oil G&amp;T)'!G$77</f>
        <v>1.165633786</v>
      </c>
      <c r="AM3339" s="95">
        <f>$AG3200*'Assumptions (Oil G&amp;T)'!H$77</f>
        <v>1.078073405</v>
      </c>
      <c r="AN3339" s="95">
        <f>$AG3200*'Assumptions (Oil G&amp;T)'!I$77</f>
        <v>0.9973502327</v>
      </c>
      <c r="AO3339" s="95">
        <f>$AG3200*'Assumptions (Oil G&amp;T)'!J$77</f>
        <v>0.9841169258</v>
      </c>
      <c r="AP3339" s="95">
        <f>$AG3200*'Assumptions (Oil G&amp;T)'!K$77</f>
        <v>0.9838963706</v>
      </c>
      <c r="AQ3339" s="95">
        <f>$AG3200*'Assumptions (Oil G&amp;T)'!L$77</f>
        <v>0.9841169258</v>
      </c>
      <c r="AR3339" s="95">
        <f>$AG3200*'Assumptions (Oil G&amp;T)'!M$77</f>
        <v>0.9838963706</v>
      </c>
      <c r="AS3339" s="95">
        <f>$AG3200*'Assumptions (Oil G&amp;T)'!N$77</f>
        <v>0.9841169258</v>
      </c>
      <c r="AT3339" s="95">
        <f>$AG3200*'Assumptions (Oil G&amp;T)'!O$77</f>
        <v>0.9838963706</v>
      </c>
      <c r="AU3339" s="95">
        <f>$AG3200*'Assumptions (Oil G&amp;T)'!P$77</f>
        <v>0.9841169258</v>
      </c>
      <c r="AV3339" s="95">
        <f>$AG3200*'Assumptions (Oil G&amp;T)'!Q$77</f>
        <v>0.9838963706</v>
      </c>
      <c r="AW3339" s="95">
        <f>$AG3200*'Assumptions (Oil G&amp;T)'!R$77</f>
        <v>0.9841169258</v>
      </c>
      <c r="AX3339" s="95">
        <f>$AG3200*'Assumptions (Oil G&amp;T)'!S$77</f>
        <v>0.9838963706</v>
      </c>
      <c r="AY3339" s="95">
        <f>$AG3200*'Assumptions (Oil G&amp;T)'!T$77</f>
        <v>0.9841169258</v>
      </c>
      <c r="AZ3339" s="95">
        <f>$AG3200*'Assumptions (Oil G&amp;T)'!U$77</f>
        <v>0.9838963706</v>
      </c>
      <c r="BA3339" s="95">
        <f>$AG3200*'Assumptions (Oil G&amp;T)'!V$77</f>
        <v>0.4920584629</v>
      </c>
    </row>
    <row r="3340" ht="15.75" hidden="1" customHeight="1" outlineLevel="1">
      <c r="A3340" s="387"/>
      <c r="B3340" s="38"/>
      <c r="C3340" s="78"/>
      <c r="D3340" s="78"/>
      <c r="E3340" s="78"/>
      <c r="F3340" s="78"/>
      <c r="G3340" s="78"/>
      <c r="H3340" s="78"/>
      <c r="I3340" s="78"/>
      <c r="J3340" s="78"/>
      <c r="K3340" s="78"/>
      <c r="L3340" s="78"/>
      <c r="M3340" s="78"/>
      <c r="N3340" s="78"/>
      <c r="O3340" s="78"/>
      <c r="P3340" s="78"/>
      <c r="Q3340" s="78"/>
      <c r="R3340" s="78"/>
      <c r="S3340" s="78"/>
      <c r="T3340" s="78"/>
      <c r="U3340" s="78"/>
      <c r="V3340" s="78"/>
      <c r="W3340" s="139"/>
      <c r="AH3340" s="95">
        <f>$AH3200*'Assumptions (Oil G&amp;T)'!B$77</f>
        <v>0.8285173188</v>
      </c>
      <c r="AI3340" s="95">
        <f>$AH3200*'Assumptions (Oil G&amp;T)'!C$77</f>
        <v>1.594951073</v>
      </c>
      <c r="AJ3340" s="95">
        <f>$AH3200*'Assumptions (Oil G&amp;T)'!D$77</f>
        <v>1.475202703</v>
      </c>
      <c r="AK3340" s="95">
        <f>$AH3200*'Assumptions (Oil G&amp;T)'!E$77</f>
        <v>1.364733728</v>
      </c>
      <c r="AL3340" s="95">
        <f>$AH3200*'Assumptions (Oil G&amp;T)'!F$77</f>
        <v>1.262218518</v>
      </c>
      <c r="AM3340" s="95">
        <f>$AH3200*'Assumptions (Oil G&amp;T)'!G$77</f>
        <v>1.167657075</v>
      </c>
      <c r="AN3340" s="95">
        <f>$AH3200*'Assumptions (Oil G&amp;T)'!H$77</f>
        <v>1.079944708</v>
      </c>
      <c r="AO3340" s="95">
        <f>$AH3200*'Assumptions (Oil G&amp;T)'!I$77</f>
        <v>0.9990814175</v>
      </c>
      <c r="AP3340" s="95">
        <f>$AH3200*'Assumptions (Oil G&amp;T)'!J$77</f>
        <v>0.9858251404</v>
      </c>
      <c r="AQ3340" s="95">
        <f>$AH3200*'Assumptions (Oil G&amp;T)'!K$77</f>
        <v>0.9856042024</v>
      </c>
      <c r="AR3340" s="95">
        <f>$AH3200*'Assumptions (Oil G&amp;T)'!L$77</f>
        <v>0.9858251404</v>
      </c>
      <c r="AS3340" s="95">
        <f>$AH3200*'Assumptions (Oil G&amp;T)'!M$77</f>
        <v>0.9856042024</v>
      </c>
      <c r="AT3340" s="95">
        <f>$AH3200*'Assumptions (Oil G&amp;T)'!N$77</f>
        <v>0.9858251404</v>
      </c>
      <c r="AU3340" s="95">
        <f>$AH3200*'Assumptions (Oil G&amp;T)'!O$77</f>
        <v>0.9856042024</v>
      </c>
      <c r="AV3340" s="95">
        <f>$AH3200*'Assumptions (Oil G&amp;T)'!P$77</f>
        <v>0.9858251404</v>
      </c>
      <c r="AW3340" s="95">
        <f>$AH3200*'Assumptions (Oil G&amp;T)'!Q$77</f>
        <v>0.9856042024</v>
      </c>
      <c r="AX3340" s="95">
        <f>$AH3200*'Assumptions (Oil G&amp;T)'!R$77</f>
        <v>0.9858251404</v>
      </c>
      <c r="AY3340" s="95">
        <f>$AH3200*'Assumptions (Oil G&amp;T)'!S$77</f>
        <v>0.9856042024</v>
      </c>
      <c r="AZ3340" s="95">
        <f>$AH3200*'Assumptions (Oil G&amp;T)'!T$77</f>
        <v>0.9858251404</v>
      </c>
      <c r="BA3340" s="95">
        <f>$AH3200*'Assumptions (Oil G&amp;T)'!U$77</f>
        <v>0.9856042024</v>
      </c>
      <c r="BB3340" s="95">
        <f>$AH3200*'Assumptions (Oil G&amp;T)'!V$77</f>
        <v>0.4929125702</v>
      </c>
    </row>
    <row r="3341" ht="15.75" hidden="1" customHeight="1" outlineLevel="1">
      <c r="A3341" s="387"/>
      <c r="B3341" s="38"/>
      <c r="C3341" s="78"/>
      <c r="D3341" s="78"/>
      <c r="E3341" s="78"/>
      <c r="F3341" s="78"/>
      <c r="G3341" s="78"/>
      <c r="H3341" s="78"/>
      <c r="I3341" s="78"/>
      <c r="J3341" s="78"/>
      <c r="K3341" s="78"/>
      <c r="L3341" s="78"/>
      <c r="M3341" s="78"/>
      <c r="N3341" s="78"/>
      <c r="O3341" s="78"/>
      <c r="P3341" s="78"/>
      <c r="Q3341" s="78"/>
      <c r="R3341" s="78"/>
      <c r="S3341" s="78"/>
      <c r="T3341" s="78"/>
      <c r="U3341" s="78"/>
      <c r="V3341" s="78"/>
      <c r="W3341" s="139"/>
      <c r="AI3341" s="95">
        <f>$AI3200*'Assumptions (Oil G&amp;T)'!B$77</f>
        <v>0.8275958198</v>
      </c>
      <c r="AJ3341" s="95">
        <f>$AI3200*'Assumptions (Oil G&amp;T)'!C$77</f>
        <v>1.593177126</v>
      </c>
      <c r="AK3341" s="95">
        <f>$AI3200*'Assumptions (Oil G&amp;T)'!D$77</f>
        <v>1.473561944</v>
      </c>
      <c r="AL3341" s="95">
        <f>$AI3200*'Assumptions (Oil G&amp;T)'!E$77</f>
        <v>1.363215834</v>
      </c>
      <c r="AM3341" s="95">
        <f>$AI3200*'Assumptions (Oil G&amp;T)'!F$77</f>
        <v>1.260814645</v>
      </c>
      <c r="AN3341" s="95">
        <f>$AI3200*'Assumptions (Oil G&amp;T)'!G$77</f>
        <v>1.166358375</v>
      </c>
      <c r="AO3341" s="95">
        <f>$AI3200*'Assumptions (Oil G&amp;T)'!H$77</f>
        <v>1.078743565</v>
      </c>
      <c r="AP3341" s="95">
        <f>$AI3200*'Assumptions (Oil G&amp;T)'!I$77</f>
        <v>0.9979702125</v>
      </c>
      <c r="AQ3341" s="95">
        <f>$AI3200*'Assumptions (Oil G&amp;T)'!J$77</f>
        <v>0.9847286794</v>
      </c>
      <c r="AR3341" s="95">
        <f>$AI3200*'Assumptions (Oil G&amp;T)'!K$77</f>
        <v>0.9845079872</v>
      </c>
      <c r="AS3341" s="95">
        <f>$AI3200*'Assumptions (Oil G&amp;T)'!L$77</f>
        <v>0.9847286794</v>
      </c>
      <c r="AT3341" s="95">
        <f>$AI3200*'Assumptions (Oil G&amp;T)'!M$77</f>
        <v>0.9845079872</v>
      </c>
      <c r="AU3341" s="95">
        <f>$AI3200*'Assumptions (Oil G&amp;T)'!N$77</f>
        <v>0.9847286794</v>
      </c>
      <c r="AV3341" s="95">
        <f>$AI3200*'Assumptions (Oil G&amp;T)'!O$77</f>
        <v>0.9845079872</v>
      </c>
      <c r="AW3341" s="95">
        <f>$AI3200*'Assumptions (Oil G&amp;T)'!P$77</f>
        <v>0.9847286794</v>
      </c>
      <c r="AX3341" s="95">
        <f>$AI3200*'Assumptions (Oil G&amp;T)'!Q$77</f>
        <v>0.9845079872</v>
      </c>
      <c r="AY3341" s="95">
        <f>$AI3200*'Assumptions (Oil G&amp;T)'!R$77</f>
        <v>0.9847286794</v>
      </c>
      <c r="AZ3341" s="95">
        <f>$AI3200*'Assumptions (Oil G&amp;T)'!S$77</f>
        <v>0.9845079872</v>
      </c>
      <c r="BA3341" s="95">
        <f>$AI3200*'Assumptions (Oil G&amp;T)'!T$77</f>
        <v>0.9847286794</v>
      </c>
      <c r="BB3341" s="95">
        <f>$AI3200*'Assumptions (Oil G&amp;T)'!U$77</f>
        <v>0.9845079872</v>
      </c>
      <c r="BC3341" s="95">
        <f>$AI3200*'Assumptions (Oil G&amp;T)'!V$77</f>
        <v>0.4923643397</v>
      </c>
    </row>
    <row r="3342" ht="15.75" hidden="1" customHeight="1" outlineLevel="1">
      <c r="A3342" s="387"/>
      <c r="B3342" s="38"/>
      <c r="C3342" s="78"/>
      <c r="D3342" s="78"/>
      <c r="E3342" s="78"/>
      <c r="F3342" s="78"/>
      <c r="G3342" s="78"/>
      <c r="H3342" s="78"/>
      <c r="I3342" s="78"/>
      <c r="J3342" s="78"/>
      <c r="K3342" s="78"/>
      <c r="L3342" s="78"/>
      <c r="M3342" s="78"/>
      <c r="N3342" s="78"/>
      <c r="O3342" s="78"/>
      <c r="P3342" s="78"/>
      <c r="Q3342" s="78"/>
      <c r="R3342" s="78"/>
      <c r="S3342" s="78"/>
      <c r="T3342" s="78"/>
      <c r="U3342" s="78"/>
      <c r="V3342" s="78"/>
      <c r="W3342" s="139"/>
      <c r="AJ3342" s="95">
        <f>$AJ3200*'Assumptions (Oil G&amp;T)'!B$77</f>
        <v>0.8259562509</v>
      </c>
      <c r="AK3342" s="95">
        <f>$AJ3200*'Assumptions (Oil G&amp;T)'!C$77</f>
        <v>1.590020847</v>
      </c>
      <c r="AL3342" s="95">
        <f>$AJ3200*'Assumptions (Oil G&amp;T)'!D$77</f>
        <v>1.470642637</v>
      </c>
      <c r="AM3342" s="95">
        <f>$AJ3200*'Assumptions (Oil G&amp;T)'!E$77</f>
        <v>1.360515136</v>
      </c>
      <c r="AN3342" s="95">
        <f>$AJ3200*'Assumptions (Oil G&amp;T)'!F$77</f>
        <v>1.258316816</v>
      </c>
      <c r="AO3342" s="95">
        <f>$AJ3200*'Assumptions (Oil G&amp;T)'!G$77</f>
        <v>1.164047676</v>
      </c>
      <c r="AP3342" s="95">
        <f>$AJ3200*'Assumptions (Oil G&amp;T)'!H$77</f>
        <v>1.076606441</v>
      </c>
      <c r="AQ3342" s="95">
        <f>$AJ3200*'Assumptions (Oil G&amp;T)'!I$77</f>
        <v>0.9959931111</v>
      </c>
      <c r="AR3342" s="95">
        <f>$AJ3200*'Assumptions (Oil G&amp;T)'!J$77</f>
        <v>0.9827778111</v>
      </c>
      <c r="AS3342" s="95">
        <f>$AJ3200*'Assumptions (Oil G&amp;T)'!K$77</f>
        <v>0.9825575561</v>
      </c>
      <c r="AT3342" s="95">
        <f>$AJ3200*'Assumptions (Oil G&amp;T)'!L$77</f>
        <v>0.9827778111</v>
      </c>
      <c r="AU3342" s="95">
        <f>$AJ3200*'Assumptions (Oil G&amp;T)'!M$77</f>
        <v>0.9825575561</v>
      </c>
      <c r="AV3342" s="95">
        <f>$AJ3200*'Assumptions (Oil G&amp;T)'!N$77</f>
        <v>0.9827778111</v>
      </c>
      <c r="AW3342" s="95">
        <f>$AJ3200*'Assumptions (Oil G&amp;T)'!O$77</f>
        <v>0.9825575561</v>
      </c>
      <c r="AX3342" s="95">
        <f>$AJ3200*'Assumptions (Oil G&amp;T)'!P$77</f>
        <v>0.9827778111</v>
      </c>
      <c r="AY3342" s="95">
        <f>$AJ3200*'Assumptions (Oil G&amp;T)'!Q$77</f>
        <v>0.9825575561</v>
      </c>
      <c r="AZ3342" s="95">
        <f>$AJ3200*'Assumptions (Oil G&amp;T)'!R$77</f>
        <v>0.9827778111</v>
      </c>
      <c r="BA3342" s="95">
        <f>$AJ3200*'Assumptions (Oil G&amp;T)'!S$77</f>
        <v>0.9825575561</v>
      </c>
      <c r="BB3342" s="95">
        <f>$AJ3200*'Assumptions (Oil G&amp;T)'!T$77</f>
        <v>0.9827778111</v>
      </c>
      <c r="BC3342" s="95">
        <f>$AJ3200*'Assumptions (Oil G&amp;T)'!U$77</f>
        <v>0.9825575561</v>
      </c>
      <c r="BD3342" s="95">
        <f>$AJ3200*'Assumptions (Oil G&amp;T)'!V$77</f>
        <v>0.4913889055</v>
      </c>
    </row>
    <row r="3343" ht="15.75" hidden="1" customHeight="1" outlineLevel="1">
      <c r="A3343" s="387"/>
      <c r="B3343" s="38"/>
      <c r="C3343" s="78"/>
      <c r="D3343" s="78"/>
      <c r="E3343" s="78"/>
      <c r="F3343" s="78"/>
      <c r="G3343" s="78"/>
      <c r="H3343" s="78"/>
      <c r="I3343" s="78"/>
      <c r="J3343" s="78"/>
      <c r="K3343" s="78"/>
      <c r="L3343" s="78"/>
      <c r="M3343" s="78"/>
      <c r="N3343" s="78"/>
      <c r="O3343" s="78"/>
      <c r="P3343" s="78"/>
      <c r="Q3343" s="78"/>
      <c r="R3343" s="78"/>
      <c r="S3343" s="78"/>
      <c r="T3343" s="78"/>
      <c r="U3343" s="78"/>
      <c r="V3343" s="78"/>
      <c r="W3343" s="139"/>
      <c r="AK3343" s="95">
        <f>$AK3200*'Assumptions (Oil G&amp;T)'!B$77</f>
        <v>0.8252422476</v>
      </c>
      <c r="AL3343" s="95">
        <f>$AK3200*'Assumptions (Oil G&amp;T)'!C$77</f>
        <v>1.588646343</v>
      </c>
      <c r="AM3343" s="95">
        <f>$AK3200*'Assumptions (Oil G&amp;T)'!D$77</f>
        <v>1.46937133</v>
      </c>
      <c r="AN3343" s="95">
        <f>$AK3200*'Assumptions (Oil G&amp;T)'!E$77</f>
        <v>1.35933903</v>
      </c>
      <c r="AO3343" s="95">
        <f>$AK3200*'Assumptions (Oil G&amp;T)'!F$77</f>
        <v>1.257229056</v>
      </c>
      <c r="AP3343" s="95">
        <f>$AK3200*'Assumptions (Oil G&amp;T)'!G$77</f>
        <v>1.163041408</v>
      </c>
      <c r="AQ3343" s="95">
        <f>$AK3200*'Assumptions (Oil G&amp;T)'!H$77</f>
        <v>1.075675762</v>
      </c>
      <c r="AR3343" s="95">
        <f>$AK3200*'Assumptions (Oil G&amp;T)'!I$77</f>
        <v>0.9951321183</v>
      </c>
      <c r="AS3343" s="95">
        <f>$AK3200*'Assumptions (Oil G&amp;T)'!J$77</f>
        <v>0.9819282424</v>
      </c>
      <c r="AT3343" s="95">
        <f>$AK3200*'Assumptions (Oil G&amp;T)'!K$77</f>
        <v>0.9817081778</v>
      </c>
      <c r="AU3343" s="95">
        <f>$AK3200*'Assumptions (Oil G&amp;T)'!L$77</f>
        <v>0.9819282424</v>
      </c>
      <c r="AV3343" s="95">
        <f>$AK3200*'Assumptions (Oil G&amp;T)'!M$77</f>
        <v>0.9817081778</v>
      </c>
      <c r="AW3343" s="95">
        <f>$AK3200*'Assumptions (Oil G&amp;T)'!N$77</f>
        <v>0.9819282424</v>
      </c>
      <c r="AX3343" s="95">
        <f>$AK3200*'Assumptions (Oil G&amp;T)'!O$77</f>
        <v>0.9817081778</v>
      </c>
      <c r="AY3343" s="95">
        <f>$AK3200*'Assumptions (Oil G&amp;T)'!P$77</f>
        <v>0.9819282424</v>
      </c>
      <c r="AZ3343" s="95">
        <f>$AK3200*'Assumptions (Oil G&amp;T)'!Q$77</f>
        <v>0.9817081778</v>
      </c>
      <c r="BA3343" s="95">
        <f>$AK3200*'Assumptions (Oil G&amp;T)'!R$77</f>
        <v>0.9819282424</v>
      </c>
      <c r="BB3343" s="95">
        <f>$AK3200*'Assumptions (Oil G&amp;T)'!S$77</f>
        <v>0.9817081778</v>
      </c>
      <c r="BC3343" s="95">
        <f>$AK3200*'Assumptions (Oil G&amp;T)'!T$77</f>
        <v>0.9819282424</v>
      </c>
      <c r="BD3343" s="95">
        <f>$AK3200*'Assumptions (Oil G&amp;T)'!U$77</f>
        <v>0.9817081778</v>
      </c>
      <c r="BE3343" s="95">
        <f>$AK3200*'Assumptions (Oil G&amp;T)'!V$77</f>
        <v>0.4909641212</v>
      </c>
    </row>
    <row r="3344" ht="15.75" hidden="1" customHeight="1" outlineLevel="1">
      <c r="A3344" s="387"/>
      <c r="B3344" s="38"/>
      <c r="C3344" s="78"/>
      <c r="D3344" s="78"/>
      <c r="E3344" s="78"/>
      <c r="F3344" s="78"/>
      <c r="G3344" s="78"/>
      <c r="H3344" s="78"/>
      <c r="I3344" s="78"/>
      <c r="J3344" s="78"/>
      <c r="K3344" s="78"/>
      <c r="L3344" s="78"/>
      <c r="M3344" s="78"/>
      <c r="N3344" s="78"/>
      <c r="O3344" s="78"/>
      <c r="P3344" s="78"/>
      <c r="Q3344" s="78"/>
      <c r="R3344" s="78"/>
      <c r="S3344" s="78"/>
      <c r="T3344" s="78"/>
      <c r="U3344" s="78"/>
      <c r="V3344" s="78"/>
      <c r="W3344" s="139"/>
      <c r="AL3344" s="95">
        <f>$AL3200*'Assumptions (Oil G&amp;T)'!B$77</f>
        <v>0.8229143024</v>
      </c>
      <c r="AM3344" s="95">
        <f>$AL3200*'Assumptions (Oil G&amp;T)'!C$77</f>
        <v>1.584164893</v>
      </c>
      <c r="AN3344" s="95">
        <f>$AL3200*'Assumptions (Oil G&amp;T)'!D$77</f>
        <v>1.465226346</v>
      </c>
      <c r="AO3344" s="95">
        <f>$AL3200*'Assumptions (Oil G&amp;T)'!E$77</f>
        <v>1.355504439</v>
      </c>
      <c r="AP3344" s="95">
        <f>$AL3200*'Assumptions (Oil G&amp;T)'!F$77</f>
        <v>1.253682509</v>
      </c>
      <c r="AQ3344" s="95">
        <f>$AL3200*'Assumptions (Oil G&amp;T)'!G$77</f>
        <v>1.159760557</v>
      </c>
      <c r="AR3344" s="95">
        <f>$AL3200*'Assumptions (Oil G&amp;T)'!H$77</f>
        <v>1.072641363</v>
      </c>
      <c r="AS3344" s="95">
        <f>$AL3200*'Assumptions (Oil G&amp;T)'!I$77</f>
        <v>0.9923249268</v>
      </c>
      <c r="AT3344" s="95">
        <f>$AL3200*'Assumptions (Oil G&amp;T)'!J$77</f>
        <v>0.979158298</v>
      </c>
      <c r="AU3344" s="95">
        <f>$AL3200*'Assumptions (Oil G&amp;T)'!K$77</f>
        <v>0.9789388542</v>
      </c>
      <c r="AV3344" s="95">
        <f>$AL3200*'Assumptions (Oil G&amp;T)'!L$77</f>
        <v>0.979158298</v>
      </c>
      <c r="AW3344" s="95">
        <f>$AL3200*'Assumptions (Oil G&amp;T)'!M$77</f>
        <v>0.9789388542</v>
      </c>
      <c r="AX3344" s="95">
        <f>$AL3200*'Assumptions (Oil G&amp;T)'!N$77</f>
        <v>0.979158298</v>
      </c>
      <c r="AY3344" s="95">
        <f>$AL3200*'Assumptions (Oil G&amp;T)'!O$77</f>
        <v>0.9789388542</v>
      </c>
      <c r="AZ3344" s="95">
        <f>$AL3200*'Assumptions (Oil G&amp;T)'!P$77</f>
        <v>0.979158298</v>
      </c>
      <c r="BA3344" s="95">
        <f>$AL3200*'Assumptions (Oil G&amp;T)'!Q$77</f>
        <v>0.9789388542</v>
      </c>
      <c r="BB3344" s="95">
        <f>$AL3200*'Assumptions (Oil G&amp;T)'!R$77</f>
        <v>0.979158298</v>
      </c>
      <c r="BC3344" s="95">
        <f>$AL3200*'Assumptions (Oil G&amp;T)'!S$77</f>
        <v>0.9789388542</v>
      </c>
      <c r="BD3344" s="95">
        <f>$AL3200*'Assumptions (Oil G&amp;T)'!T$77</f>
        <v>0.979158298</v>
      </c>
      <c r="BE3344" s="95">
        <f>$AL3200*'Assumptions (Oil G&amp;T)'!U$77</f>
        <v>0.9789388542</v>
      </c>
      <c r="BF3344" s="95">
        <f>$AL3200*'Assumptions (Oil G&amp;T)'!V$77</f>
        <v>0.489579149</v>
      </c>
    </row>
    <row r="3345" ht="15.75" hidden="1" customHeight="1" outlineLevel="1">
      <c r="A3345" s="387"/>
      <c r="B3345" s="38"/>
      <c r="C3345" s="78"/>
      <c r="D3345" s="78"/>
      <c r="E3345" s="78"/>
      <c r="F3345" s="78"/>
      <c r="G3345" s="78"/>
      <c r="H3345" s="78"/>
      <c r="I3345" s="78"/>
      <c r="J3345" s="78"/>
      <c r="K3345" s="78"/>
      <c r="L3345" s="78"/>
      <c r="M3345" s="78"/>
      <c r="N3345" s="78"/>
      <c r="O3345" s="78"/>
      <c r="P3345" s="78"/>
      <c r="Q3345" s="78"/>
      <c r="R3345" s="78"/>
      <c r="S3345" s="78"/>
      <c r="T3345" s="78"/>
      <c r="U3345" s="78"/>
      <c r="V3345" s="78"/>
      <c r="W3345" s="139"/>
      <c r="AM3345" s="95">
        <f>$AM3200*'Assumptions (Oil G&amp;T)'!B$77</f>
        <v>0.8198395964</v>
      </c>
      <c r="AN3345" s="95">
        <f>$AM3200*'Assumptions (Oil G&amp;T)'!C$77</f>
        <v>1.578245879</v>
      </c>
      <c r="AO3345" s="95">
        <f>$AM3200*'Assumptions (Oil G&amp;T)'!D$77</f>
        <v>1.459751729</v>
      </c>
      <c r="AP3345" s="95">
        <f>$AM3200*'Assumptions (Oil G&amp;T)'!E$77</f>
        <v>1.350439783</v>
      </c>
      <c r="AQ3345" s="95">
        <f>$AM3200*'Assumptions (Oil G&amp;T)'!F$77</f>
        <v>1.248998297</v>
      </c>
      <c r="AR3345" s="95">
        <f>$AM3200*'Assumptions (Oil G&amp;T)'!G$77</f>
        <v>1.155427271</v>
      </c>
      <c r="AS3345" s="95">
        <f>$AM3200*'Assumptions (Oil G&amp;T)'!H$77</f>
        <v>1.068633586</v>
      </c>
      <c r="AT3345" s="95">
        <f>$AM3200*'Assumptions (Oil G&amp;T)'!I$77</f>
        <v>0.9886172413</v>
      </c>
      <c r="AU3345" s="95">
        <f>$AM3200*'Assumptions (Oil G&amp;T)'!J$77</f>
        <v>0.9754998078</v>
      </c>
      <c r="AV3345" s="95">
        <f>$AM3200*'Assumptions (Oil G&amp;T)'!K$77</f>
        <v>0.9752811839</v>
      </c>
      <c r="AW3345" s="95">
        <f>$AM3200*'Assumptions (Oil G&amp;T)'!L$77</f>
        <v>0.9754998078</v>
      </c>
      <c r="AX3345" s="95">
        <f>$AM3200*'Assumptions (Oil G&amp;T)'!M$77</f>
        <v>0.9752811839</v>
      </c>
      <c r="AY3345" s="95">
        <f>$AM3200*'Assumptions (Oil G&amp;T)'!N$77</f>
        <v>0.9754998078</v>
      </c>
      <c r="AZ3345" s="95">
        <f>$AM3200*'Assumptions (Oil G&amp;T)'!O$77</f>
        <v>0.9752811839</v>
      </c>
      <c r="BA3345" s="95">
        <f>$AM3200*'Assumptions (Oil G&amp;T)'!P$77</f>
        <v>0.9754998078</v>
      </c>
      <c r="BB3345" s="95">
        <f>$AM3200*'Assumptions (Oil G&amp;T)'!Q$77</f>
        <v>0.9752811839</v>
      </c>
      <c r="BC3345" s="95">
        <f>$AM3200*'Assumptions (Oil G&amp;T)'!R$77</f>
        <v>0.9754998078</v>
      </c>
      <c r="BD3345" s="95">
        <f>$AM3200*'Assumptions (Oil G&amp;T)'!S$77</f>
        <v>0.9752811839</v>
      </c>
      <c r="BE3345" s="95">
        <f>$AM3200*'Assumptions (Oil G&amp;T)'!T$77</f>
        <v>0.9754998078</v>
      </c>
      <c r="BF3345" s="95">
        <f>$AM3200*'Assumptions (Oil G&amp;T)'!U$77</f>
        <v>0.9752811839</v>
      </c>
      <c r="BG3345" s="95">
        <f>$AM3200*'Assumptions (Oil G&amp;T)'!V$77</f>
        <v>0.4877499039</v>
      </c>
    </row>
    <row r="3346" ht="15.75" hidden="1" customHeight="1" outlineLevel="1">
      <c r="A3346" s="387"/>
      <c r="B3346" s="38"/>
      <c r="C3346" s="78"/>
      <c r="D3346" s="78"/>
      <c r="E3346" s="78"/>
      <c r="F3346" s="78"/>
      <c r="G3346" s="78"/>
      <c r="H3346" s="78"/>
      <c r="I3346" s="78"/>
      <c r="J3346" s="78"/>
      <c r="K3346" s="78"/>
      <c r="L3346" s="78"/>
      <c r="M3346" s="78"/>
      <c r="N3346" s="78"/>
      <c r="O3346" s="78"/>
      <c r="P3346" s="78"/>
      <c r="Q3346" s="78"/>
      <c r="R3346" s="78"/>
      <c r="S3346" s="78"/>
      <c r="T3346" s="78"/>
      <c r="U3346" s="78"/>
      <c r="V3346" s="78"/>
      <c r="W3346" s="139"/>
      <c r="AN3346" s="95">
        <f>$AN3200*'Assumptions (Oil G&amp;T)'!B$77</f>
        <v>0.8162673567</v>
      </c>
      <c r="AO3346" s="95">
        <f>$AN3200*'Assumptions (Oil G&amp;T)'!C$77</f>
        <v>1.57136908</v>
      </c>
      <c r="AP3346" s="95">
        <f>$AN3200*'Assumptions (Oil G&amp;T)'!D$77</f>
        <v>1.453391238</v>
      </c>
      <c r="AQ3346" s="95">
        <f>$AN3200*'Assumptions (Oil G&amp;T)'!E$77</f>
        <v>1.34455559</v>
      </c>
      <c r="AR3346" s="95">
        <f>$AN3200*'Assumptions (Oil G&amp;T)'!F$77</f>
        <v>1.243556109</v>
      </c>
      <c r="AS3346" s="95">
        <f>$AN3200*'Assumptions (Oil G&amp;T)'!G$77</f>
        <v>1.150392795</v>
      </c>
      <c r="AT3346" s="95">
        <f>$AN3200*'Assumptions (Oil G&amp;T)'!H$77</f>
        <v>1.063977291</v>
      </c>
      <c r="AU3346" s="95">
        <f>$AN3200*'Assumptions (Oil G&amp;T)'!I$77</f>
        <v>0.9843095966</v>
      </c>
      <c r="AV3346" s="95">
        <f>$AN3200*'Assumptions (Oil G&amp;T)'!J$77</f>
        <v>0.9712493189</v>
      </c>
      <c r="AW3346" s="95">
        <f>$AN3200*'Assumptions (Oil G&amp;T)'!K$77</f>
        <v>0.9710316476</v>
      </c>
      <c r="AX3346" s="95">
        <f>$AN3200*'Assumptions (Oil G&amp;T)'!L$77</f>
        <v>0.9712493189</v>
      </c>
      <c r="AY3346" s="95">
        <f>$AN3200*'Assumptions (Oil G&amp;T)'!M$77</f>
        <v>0.9710316476</v>
      </c>
      <c r="AZ3346" s="95">
        <f>$AN3200*'Assumptions (Oil G&amp;T)'!N$77</f>
        <v>0.9712493189</v>
      </c>
      <c r="BA3346" s="95">
        <f>$AN3200*'Assumptions (Oil G&amp;T)'!O$77</f>
        <v>0.9710316476</v>
      </c>
      <c r="BB3346" s="95">
        <f>$AN3200*'Assumptions (Oil G&amp;T)'!P$77</f>
        <v>0.9712493189</v>
      </c>
      <c r="BC3346" s="95">
        <f>$AN3200*'Assumptions (Oil G&amp;T)'!Q$77</f>
        <v>0.9710316476</v>
      </c>
      <c r="BD3346" s="95">
        <f>$AN3200*'Assumptions (Oil G&amp;T)'!R$77</f>
        <v>0.9712493189</v>
      </c>
      <c r="BE3346" s="95">
        <f>$AN3200*'Assumptions (Oil G&amp;T)'!S$77</f>
        <v>0.9710316476</v>
      </c>
      <c r="BF3346" s="95">
        <f>$AN3200*'Assumptions (Oil G&amp;T)'!T$77</f>
        <v>0.9712493189</v>
      </c>
      <c r="BG3346" s="95">
        <f>$AN3200*'Assumptions (Oil G&amp;T)'!U$77</f>
        <v>0.9710316476</v>
      </c>
      <c r="BH3346" s="95">
        <f>$AN3200*'Assumptions (Oil G&amp;T)'!V$77</f>
        <v>0.4856246594</v>
      </c>
    </row>
    <row r="3347" ht="15.75" hidden="1" customHeight="1" outlineLevel="1">
      <c r="A3347" s="387"/>
      <c r="B3347" s="38"/>
      <c r="C3347" s="78"/>
      <c r="D3347" s="78"/>
      <c r="E3347" s="78"/>
      <c r="F3347" s="78"/>
      <c r="G3347" s="78"/>
      <c r="H3347" s="78"/>
      <c r="I3347" s="78"/>
      <c r="J3347" s="78"/>
      <c r="K3347" s="78"/>
      <c r="L3347" s="78"/>
      <c r="M3347" s="78"/>
      <c r="N3347" s="78"/>
      <c r="O3347" s="78"/>
      <c r="P3347" s="78"/>
      <c r="Q3347" s="78"/>
      <c r="R3347" s="78"/>
      <c r="S3347" s="78"/>
      <c r="T3347" s="78"/>
      <c r="U3347" s="78"/>
      <c r="V3347" s="78"/>
      <c r="W3347" s="139"/>
      <c r="AO3347" s="95">
        <f>$AO3200*'Assumptions (Oil G&amp;T)'!B$77</f>
        <v>0.813948469</v>
      </c>
      <c r="AP3347" s="95">
        <f>$AO3200*'Assumptions (Oil G&amp;T)'!C$77</f>
        <v>1.566905066</v>
      </c>
      <c r="AQ3347" s="95">
        <f>$AO3200*'Assumptions (Oil G&amp;T)'!D$77</f>
        <v>1.449262381</v>
      </c>
      <c r="AR3347" s="95">
        <f>$AO3200*'Assumptions (Oil G&amp;T)'!E$77</f>
        <v>1.340735918</v>
      </c>
      <c r="AS3347" s="95">
        <f>$AO3200*'Assumptions (Oil G&amp;T)'!F$77</f>
        <v>1.240023361</v>
      </c>
      <c r="AT3347" s="95">
        <f>$AO3200*'Assumptions (Oil G&amp;T)'!G$77</f>
        <v>1.147124709</v>
      </c>
      <c r="AU3347" s="95">
        <f>$AO3200*'Assumptions (Oil G&amp;T)'!H$77</f>
        <v>1.060954698</v>
      </c>
      <c r="AV3347" s="95">
        <f>$AO3200*'Assumptions (Oil G&amp;T)'!I$77</f>
        <v>0.9815133271</v>
      </c>
      <c r="AW3347" s="95">
        <f>$AO3200*'Assumptions (Oil G&amp;T)'!J$77</f>
        <v>0.9684901516</v>
      </c>
      <c r="AX3347" s="95">
        <f>$AO3200*'Assumptions (Oil G&amp;T)'!K$77</f>
        <v>0.9682730987</v>
      </c>
      <c r="AY3347" s="95">
        <f>$AO3200*'Assumptions (Oil G&amp;T)'!L$77</f>
        <v>0.9684901516</v>
      </c>
      <c r="AZ3347" s="95">
        <f>$AO3200*'Assumptions (Oil G&amp;T)'!M$77</f>
        <v>0.9682730987</v>
      </c>
      <c r="BA3347" s="95">
        <f>$AO3200*'Assumptions (Oil G&amp;T)'!N$77</f>
        <v>0.9684901516</v>
      </c>
      <c r="BB3347" s="95">
        <f>$AO3200*'Assumptions (Oil G&amp;T)'!O$77</f>
        <v>0.9682730987</v>
      </c>
      <c r="BC3347" s="95">
        <f>$AO3200*'Assumptions (Oil G&amp;T)'!P$77</f>
        <v>0.9684901516</v>
      </c>
      <c r="BD3347" s="95">
        <f>$AO3200*'Assumptions (Oil G&amp;T)'!Q$77</f>
        <v>0.9682730987</v>
      </c>
      <c r="BE3347" s="95">
        <f>$AO3200*'Assumptions (Oil G&amp;T)'!R$77</f>
        <v>0.9684901516</v>
      </c>
      <c r="BF3347" s="95">
        <f>$AO3200*'Assumptions (Oil G&amp;T)'!S$77</f>
        <v>0.9682730987</v>
      </c>
      <c r="BG3347" s="95">
        <f>$AO3200*'Assumptions (Oil G&amp;T)'!T$77</f>
        <v>0.9684901516</v>
      </c>
      <c r="BH3347" s="95">
        <f>$AO3200*'Assumptions (Oil G&amp;T)'!U$77</f>
        <v>0.9682730987</v>
      </c>
      <c r="BI3347" s="95">
        <f>$AO3200*'Assumptions (Oil G&amp;T)'!V$77</f>
        <v>0.4842450758</v>
      </c>
    </row>
    <row r="3348" ht="15.75" hidden="1" customHeight="1" outlineLevel="1">
      <c r="A3348" s="387"/>
      <c r="B3348" s="38"/>
      <c r="C3348" s="78"/>
      <c r="D3348" s="78"/>
      <c r="E3348" s="78"/>
      <c r="F3348" s="78"/>
      <c r="G3348" s="78"/>
      <c r="H3348" s="78"/>
      <c r="I3348" s="78"/>
      <c r="J3348" s="78"/>
      <c r="K3348" s="78"/>
      <c r="L3348" s="78"/>
      <c r="M3348" s="78"/>
      <c r="N3348" s="78"/>
      <c r="O3348" s="78"/>
      <c r="P3348" s="78"/>
      <c r="Q3348" s="78"/>
      <c r="R3348" s="78"/>
      <c r="S3348" s="78"/>
      <c r="T3348" s="78"/>
      <c r="U3348" s="78"/>
      <c r="V3348" s="78"/>
      <c r="W3348" s="139"/>
      <c r="AP3348" s="95">
        <f>$AP3200*'Assumptions (Oil G&amp;T)'!B$77</f>
        <v>0.811901766</v>
      </c>
      <c r="AQ3348" s="95">
        <f>$AP3200*'Assumptions (Oil G&amp;T)'!C$77</f>
        <v>1.562965026</v>
      </c>
      <c r="AR3348" s="95">
        <f>$AP3200*'Assumptions (Oil G&amp;T)'!D$77</f>
        <v>1.445618158</v>
      </c>
      <c r="AS3348" s="95">
        <f>$AP3200*'Assumptions (Oil G&amp;T)'!E$77</f>
        <v>1.337364589</v>
      </c>
      <c r="AT3348" s="95">
        <f>$AP3200*'Assumptions (Oil G&amp;T)'!F$77</f>
        <v>1.236905277</v>
      </c>
      <c r="AU3348" s="95">
        <f>$AP3200*'Assumptions (Oil G&amp;T)'!G$77</f>
        <v>1.144240222</v>
      </c>
      <c r="AV3348" s="95">
        <f>$AP3200*'Assumptions (Oil G&amp;T)'!H$77</f>
        <v>1.058286889</v>
      </c>
      <c r="AW3348" s="95">
        <f>$AP3200*'Assumptions (Oil G&amp;T)'!I$77</f>
        <v>0.9790452762</v>
      </c>
      <c r="AX3348" s="95">
        <f>$AP3200*'Assumptions (Oil G&amp;T)'!J$77</f>
        <v>0.966054848</v>
      </c>
      <c r="AY3348" s="95">
        <f>$AP3200*'Assumptions (Oil G&amp;T)'!K$77</f>
        <v>0.9658383408</v>
      </c>
      <c r="AZ3348" s="95">
        <f>$AP3200*'Assumptions (Oil G&amp;T)'!L$77</f>
        <v>0.966054848</v>
      </c>
      <c r="BA3348" s="95">
        <f>$AP3200*'Assumptions (Oil G&amp;T)'!M$77</f>
        <v>0.9658383408</v>
      </c>
      <c r="BB3348" s="95">
        <f>$AP3200*'Assumptions (Oil G&amp;T)'!N$77</f>
        <v>0.966054848</v>
      </c>
      <c r="BC3348" s="95">
        <f>$AP3200*'Assumptions (Oil G&amp;T)'!O$77</f>
        <v>0.9658383408</v>
      </c>
      <c r="BD3348" s="95">
        <f>$AP3200*'Assumptions (Oil G&amp;T)'!P$77</f>
        <v>0.966054848</v>
      </c>
      <c r="BE3348" s="95">
        <f>$AP3200*'Assumptions (Oil G&amp;T)'!Q$77</f>
        <v>0.9658383408</v>
      </c>
      <c r="BF3348" s="95">
        <f>$AP3200*'Assumptions (Oil G&amp;T)'!R$77</f>
        <v>0.966054848</v>
      </c>
      <c r="BG3348" s="95">
        <f>$AP3200*'Assumptions (Oil G&amp;T)'!S$77</f>
        <v>0.9658383408</v>
      </c>
      <c r="BH3348" s="95">
        <f>$AP3200*'Assumptions (Oil G&amp;T)'!T$77</f>
        <v>0.966054848</v>
      </c>
      <c r="BI3348" s="95">
        <f>$AP3200*'Assumptions (Oil G&amp;T)'!U$77</f>
        <v>0.9658383408</v>
      </c>
      <c r="BJ3348" s="95">
        <f>$AP3200*'Assumptions (Oil G&amp;T)'!V$77</f>
        <v>0.483027424</v>
      </c>
    </row>
    <row r="3349" ht="15.75" hidden="1" customHeight="1" outlineLevel="1">
      <c r="A3349" s="387"/>
      <c r="B3349" s="38"/>
      <c r="C3349" s="78"/>
      <c r="D3349" s="78"/>
      <c r="E3349" s="78"/>
      <c r="F3349" s="78"/>
      <c r="G3349" s="78"/>
      <c r="H3349" s="78"/>
      <c r="I3349" s="78"/>
      <c r="J3349" s="78"/>
      <c r="K3349" s="78"/>
      <c r="L3349" s="78"/>
      <c r="M3349" s="78"/>
      <c r="N3349" s="78"/>
      <c r="O3349" s="78"/>
      <c r="P3349" s="78"/>
      <c r="Q3349" s="78"/>
      <c r="R3349" s="78"/>
      <c r="S3349" s="78"/>
      <c r="T3349" s="78"/>
      <c r="U3349" s="78"/>
      <c r="V3349" s="78"/>
      <c r="W3349" s="139"/>
      <c r="AQ3349" s="95">
        <f>$AQ3200*'Assumptions (Oil G&amp;T)'!B$77</f>
        <v>0.8097527734</v>
      </c>
      <c r="AR3349" s="95">
        <f>$AQ3200*'Assumptions (Oil G&amp;T)'!C$77</f>
        <v>1.558828072</v>
      </c>
      <c r="AS3349" s="95">
        <f>$AQ3200*'Assumptions (Oil G&amp;T)'!D$77</f>
        <v>1.441791805</v>
      </c>
      <c r="AT3349" s="95">
        <f>$AQ3200*'Assumptions (Oil G&amp;T)'!E$77</f>
        <v>1.333824768</v>
      </c>
      <c r="AU3349" s="95">
        <f>$AQ3200*'Assumptions (Oil G&amp;T)'!F$77</f>
        <v>1.233631358</v>
      </c>
      <c r="AV3349" s="95">
        <f>$AQ3200*'Assumptions (Oil G&amp;T)'!G$77</f>
        <v>1.141211575</v>
      </c>
      <c r="AW3349" s="95">
        <f>$AQ3200*'Assumptions (Oil G&amp;T)'!H$77</f>
        <v>1.055485748</v>
      </c>
      <c r="AX3349" s="95">
        <f>$AQ3200*'Assumptions (Oil G&amp;T)'!I$77</f>
        <v>0.9764538776</v>
      </c>
      <c r="AY3349" s="95">
        <f>$AQ3200*'Assumptions (Oil G&amp;T)'!J$77</f>
        <v>0.9634978333</v>
      </c>
      <c r="AZ3349" s="95">
        <f>$AQ3200*'Assumptions (Oil G&amp;T)'!K$77</f>
        <v>0.9632818992</v>
      </c>
      <c r="BA3349" s="95">
        <f>$AQ3200*'Assumptions (Oil G&amp;T)'!L$77</f>
        <v>0.9634978333</v>
      </c>
      <c r="BB3349" s="95">
        <f>$AQ3200*'Assumptions (Oil G&amp;T)'!M$77</f>
        <v>0.9632818992</v>
      </c>
      <c r="BC3349" s="95">
        <f>$AQ3200*'Assumptions (Oil G&amp;T)'!N$77</f>
        <v>0.9634978333</v>
      </c>
      <c r="BD3349" s="95">
        <f>$AQ3200*'Assumptions (Oil G&amp;T)'!O$77</f>
        <v>0.9632818992</v>
      </c>
      <c r="BE3349" s="95">
        <f>$AQ3200*'Assumptions (Oil G&amp;T)'!P$77</f>
        <v>0.9634978333</v>
      </c>
      <c r="BF3349" s="95">
        <f>$AQ3200*'Assumptions (Oil G&amp;T)'!Q$77</f>
        <v>0.9632818992</v>
      </c>
      <c r="BG3349" s="95">
        <f>$AQ3200*'Assumptions (Oil G&amp;T)'!R$77</f>
        <v>0.9634978333</v>
      </c>
      <c r="BH3349" s="95">
        <f>$AQ3200*'Assumptions (Oil G&amp;T)'!S$77</f>
        <v>0.9632818992</v>
      </c>
      <c r="BI3349" s="95">
        <f>$AQ3200*'Assumptions (Oil G&amp;T)'!T$77</f>
        <v>0.9634978333</v>
      </c>
      <c r="BJ3349" s="95">
        <f>$AQ3200*'Assumptions (Oil G&amp;T)'!U$77</f>
        <v>0.9632818992</v>
      </c>
      <c r="BK3349" s="95">
        <f>$AQ3200*'Assumptions (Oil G&amp;T)'!V$77</f>
        <v>0.4817489166</v>
      </c>
    </row>
    <row r="3350" ht="15.75" hidden="1" customHeight="1" outlineLevel="1">
      <c r="A3350" s="387"/>
      <c r="B3350" s="38"/>
      <c r="C3350" s="78"/>
      <c r="D3350" s="78"/>
      <c r="E3350" s="78"/>
      <c r="F3350" s="78"/>
      <c r="G3350" s="78"/>
      <c r="H3350" s="78"/>
      <c r="I3350" s="78"/>
      <c r="J3350" s="78"/>
      <c r="K3350" s="78"/>
      <c r="L3350" s="78"/>
      <c r="M3350" s="78"/>
      <c r="N3350" s="78"/>
      <c r="O3350" s="78"/>
      <c r="P3350" s="78"/>
      <c r="Q3350" s="78"/>
      <c r="R3350" s="78"/>
      <c r="S3350" s="78"/>
      <c r="T3350" s="78"/>
      <c r="U3350" s="78"/>
      <c r="V3350" s="78"/>
      <c r="W3350" s="139"/>
      <c r="AR3350" s="95">
        <f>$AR3200*'Assumptions (Oil G&amp;T)'!B$77</f>
        <v>0.809131337</v>
      </c>
      <c r="AS3350" s="95">
        <f>$AR3200*'Assumptions (Oil G&amp;T)'!C$77</f>
        <v>1.557631766</v>
      </c>
      <c r="AT3350" s="95">
        <f>$AR3200*'Assumptions (Oil G&amp;T)'!D$77</f>
        <v>1.440685317</v>
      </c>
      <c r="AU3350" s="95">
        <f>$AR3200*'Assumptions (Oil G&amp;T)'!E$77</f>
        <v>1.332801138</v>
      </c>
      <c r="AV3350" s="95">
        <f>$AR3200*'Assumptions (Oil G&amp;T)'!F$77</f>
        <v>1.232684621</v>
      </c>
      <c r="AW3350" s="95">
        <f>$AR3200*'Assumptions (Oil G&amp;T)'!G$77</f>
        <v>1.140335764</v>
      </c>
      <c r="AX3350" s="95">
        <f>$AR3200*'Assumptions (Oil G&amp;T)'!H$77</f>
        <v>1.054675727</v>
      </c>
      <c r="AY3350" s="95">
        <f>$AR3200*'Assumptions (Oil G&amp;T)'!I$77</f>
        <v>0.9757045083</v>
      </c>
      <c r="AZ3350" s="95">
        <f>$AR3200*'Assumptions (Oil G&amp;T)'!J$77</f>
        <v>0.9627584069</v>
      </c>
      <c r="BA3350" s="95">
        <f>$AR3200*'Assumptions (Oil G&amp;T)'!K$77</f>
        <v>0.9625426385</v>
      </c>
      <c r="BB3350" s="95">
        <f>$AR3200*'Assumptions (Oil G&amp;T)'!L$77</f>
        <v>0.9627584069</v>
      </c>
      <c r="BC3350" s="95">
        <f>$AR3200*'Assumptions (Oil G&amp;T)'!M$77</f>
        <v>0.9625426385</v>
      </c>
      <c r="BD3350" s="95">
        <f>$AR3200*'Assumptions (Oil G&amp;T)'!N$77</f>
        <v>0.9627584069</v>
      </c>
      <c r="BE3350" s="95">
        <f>$AR3200*'Assumptions (Oil G&amp;T)'!O$77</f>
        <v>0.9625426385</v>
      </c>
      <c r="BF3350" s="95">
        <f>$AR3200*'Assumptions (Oil G&amp;T)'!P$77</f>
        <v>0.9627584069</v>
      </c>
      <c r="BG3350" s="95">
        <f>$AR3200*'Assumptions (Oil G&amp;T)'!Q$77</f>
        <v>0.9625426385</v>
      </c>
      <c r="BH3350" s="95">
        <f>$AR3200*'Assumptions (Oil G&amp;T)'!R$77</f>
        <v>0.9627584069</v>
      </c>
      <c r="BI3350" s="95">
        <f>$AR3200*'Assumptions (Oil G&amp;T)'!S$77</f>
        <v>0.9625426385</v>
      </c>
      <c r="BJ3350" s="95">
        <f>$AR3200*'Assumptions (Oil G&amp;T)'!T$77</f>
        <v>0.9627584069</v>
      </c>
      <c r="BK3350" s="95">
        <f>$AR3200*'Assumptions (Oil G&amp;T)'!U$77</f>
        <v>0.9625426385</v>
      </c>
      <c r="BL3350" s="95">
        <f>$AR3200*'Assumptions (Oil G&amp;T)'!V$77</f>
        <v>0.4813792034</v>
      </c>
    </row>
    <row r="3351" ht="15.75" hidden="1" customHeight="1" outlineLevel="1">
      <c r="A3351" s="387"/>
      <c r="B3351" s="38"/>
      <c r="C3351" s="78"/>
      <c r="D3351" s="78"/>
      <c r="E3351" s="78"/>
      <c r="F3351" s="78"/>
      <c r="G3351" s="78"/>
      <c r="H3351" s="78"/>
      <c r="I3351" s="78"/>
      <c r="J3351" s="78"/>
      <c r="K3351" s="78"/>
      <c r="L3351" s="78"/>
      <c r="M3351" s="78"/>
      <c r="N3351" s="78"/>
      <c r="O3351" s="78"/>
      <c r="P3351" s="78"/>
      <c r="Q3351" s="78"/>
      <c r="R3351" s="78"/>
      <c r="S3351" s="78"/>
      <c r="T3351" s="78"/>
      <c r="U3351" s="78"/>
      <c r="V3351" s="78"/>
      <c r="W3351" s="139"/>
      <c r="AS3351" s="95">
        <f>$AS3200*'Assumptions (Oil G&amp;T)'!B$77</f>
        <v>0.807574034</v>
      </c>
      <c r="AT3351" s="95">
        <f>$AS3200*'Assumptions (Oil G&amp;T)'!C$77</f>
        <v>1.554633854</v>
      </c>
      <c r="AU3351" s="95">
        <f>$AS3200*'Assumptions (Oil G&amp;T)'!D$77</f>
        <v>1.437912487</v>
      </c>
      <c r="AV3351" s="95">
        <f>$AS3200*'Assumptions (Oil G&amp;T)'!E$77</f>
        <v>1.330235949</v>
      </c>
      <c r="AW3351" s="95">
        <f>$AS3200*'Assumptions (Oil G&amp;T)'!F$77</f>
        <v>1.230312122</v>
      </c>
      <c r="AX3351" s="95">
        <f>$AS3200*'Assumptions (Oil G&amp;T)'!G$77</f>
        <v>1.138141005</v>
      </c>
      <c r="AY3351" s="95">
        <f>$AS3200*'Assumptions (Oil G&amp;T)'!H$77</f>
        <v>1.052645834</v>
      </c>
      <c r="AZ3351" s="95">
        <f>$AS3200*'Assumptions (Oil G&amp;T)'!I$77</f>
        <v>0.9738266084</v>
      </c>
      <c r="BA3351" s="95">
        <f>$AS3200*'Assumptions (Oil G&amp;T)'!J$77</f>
        <v>0.9609054239</v>
      </c>
      <c r="BB3351" s="95">
        <f>$AS3200*'Assumptions (Oil G&amp;T)'!K$77</f>
        <v>0.9606900708</v>
      </c>
      <c r="BC3351" s="95">
        <f>$AS3200*'Assumptions (Oil G&amp;T)'!L$77</f>
        <v>0.9609054239</v>
      </c>
      <c r="BD3351" s="95">
        <f>$AS3200*'Assumptions (Oil G&amp;T)'!M$77</f>
        <v>0.9606900708</v>
      </c>
      <c r="BE3351" s="95">
        <f>$AS3200*'Assumptions (Oil G&amp;T)'!N$77</f>
        <v>0.9609054239</v>
      </c>
      <c r="BF3351" s="95">
        <f>$AS3200*'Assumptions (Oil G&amp;T)'!O$77</f>
        <v>0.9606900708</v>
      </c>
      <c r="BG3351" s="95">
        <f>$AS3200*'Assumptions (Oil G&amp;T)'!P$77</f>
        <v>0.9609054239</v>
      </c>
      <c r="BH3351" s="95">
        <f>$AS3200*'Assumptions (Oil G&amp;T)'!Q$77</f>
        <v>0.9606900708</v>
      </c>
      <c r="BI3351" s="95">
        <f>$AS3200*'Assumptions (Oil G&amp;T)'!R$77</f>
        <v>0.9609054239</v>
      </c>
      <c r="BJ3351" s="95">
        <f>$AS3200*'Assumptions (Oil G&amp;T)'!S$77</f>
        <v>0.9606900708</v>
      </c>
      <c r="BK3351" s="95">
        <f>$AS3200*'Assumptions (Oil G&amp;T)'!T$77</f>
        <v>0.9609054239</v>
      </c>
      <c r="BL3351" s="95">
        <f>$AS3200*'Assumptions (Oil G&amp;T)'!U$77</f>
        <v>0.9606900708</v>
      </c>
      <c r="BM3351" s="95">
        <f>$AS3200*'Assumptions (Oil G&amp;T)'!V$77</f>
        <v>0.480452712</v>
      </c>
    </row>
    <row r="3352" ht="15.75" hidden="1" customHeight="1" outlineLevel="1">
      <c r="A3352" s="387"/>
      <c r="B3352" s="38"/>
      <c r="C3352" s="78"/>
      <c r="D3352" s="78"/>
      <c r="E3352" s="78"/>
      <c r="F3352" s="78"/>
      <c r="G3352" s="78"/>
      <c r="H3352" s="78"/>
      <c r="I3352" s="78"/>
      <c r="J3352" s="78"/>
      <c r="K3352" s="78"/>
      <c r="L3352" s="78"/>
      <c r="M3352" s="78"/>
      <c r="N3352" s="78"/>
      <c r="O3352" s="78"/>
      <c r="P3352" s="78"/>
      <c r="Q3352" s="78"/>
      <c r="R3352" s="78"/>
      <c r="S3352" s="78"/>
      <c r="T3352" s="78"/>
      <c r="U3352" s="78"/>
      <c r="V3352" s="78"/>
      <c r="W3352" s="139"/>
      <c r="AT3352" s="95">
        <f>$AT3200*'Assumptions (Oil G&amp;T)'!B$77</f>
        <v>0.8051725066</v>
      </c>
      <c r="AU3352" s="95">
        <f>$AT3200*'Assumptions (Oil G&amp;T)'!C$77</f>
        <v>1.550010753</v>
      </c>
      <c r="AV3352" s="95">
        <f>$AT3200*'Assumptions (Oil G&amp;T)'!D$77</f>
        <v>1.433636487</v>
      </c>
      <c r="AW3352" s="95">
        <f>$AT3200*'Assumptions (Oil G&amp;T)'!E$77</f>
        <v>1.326280153</v>
      </c>
      <c r="AX3352" s="95">
        <f>$AT3200*'Assumptions (Oil G&amp;T)'!F$77</f>
        <v>1.226653475</v>
      </c>
      <c r="AY3352" s="95">
        <f>$AT3200*'Assumptions (Oil G&amp;T)'!G$77</f>
        <v>1.134756453</v>
      </c>
      <c r="AZ3352" s="95">
        <f>$AT3200*'Assumptions (Oil G&amp;T)'!H$77</f>
        <v>1.049515523</v>
      </c>
      <c r="BA3352" s="95">
        <f>$AT3200*'Assumptions (Oil G&amp;T)'!I$77</f>
        <v>0.9709306866</v>
      </c>
      <c r="BB3352" s="95">
        <f>$AT3200*'Assumptions (Oil G&amp;T)'!J$77</f>
        <v>0.9580479265</v>
      </c>
      <c r="BC3352" s="95">
        <f>$AT3200*'Assumptions (Oil G&amp;T)'!K$77</f>
        <v>0.9578332138</v>
      </c>
      <c r="BD3352" s="95">
        <f>$AT3200*'Assumptions (Oil G&amp;T)'!L$77</f>
        <v>0.9580479265</v>
      </c>
      <c r="BE3352" s="95">
        <f>$AT3200*'Assumptions (Oil G&amp;T)'!M$77</f>
        <v>0.9578332138</v>
      </c>
      <c r="BF3352" s="95">
        <f>$AT3200*'Assumptions (Oil G&amp;T)'!N$77</f>
        <v>0.9580479265</v>
      </c>
      <c r="BG3352" s="95">
        <f>$AT3200*'Assumptions (Oil G&amp;T)'!O$77</f>
        <v>0.9578332138</v>
      </c>
      <c r="BH3352" s="95">
        <f>$AT3200*'Assumptions (Oil G&amp;T)'!P$77</f>
        <v>0.9580479265</v>
      </c>
      <c r="BI3352" s="95">
        <f>$AT3200*'Assumptions (Oil G&amp;T)'!Q$77</f>
        <v>0.9578332138</v>
      </c>
      <c r="BJ3352" s="95">
        <f>$AT3200*'Assumptions (Oil G&amp;T)'!R$77</f>
        <v>0.9580479265</v>
      </c>
      <c r="BK3352" s="95">
        <f>$AT3200*'Assumptions (Oil G&amp;T)'!S$77</f>
        <v>0.9578332138</v>
      </c>
      <c r="BL3352" s="95">
        <f>$AT3200*'Assumptions (Oil G&amp;T)'!T$77</f>
        <v>0.9580479265</v>
      </c>
      <c r="BM3352" s="95">
        <f>$AT3200*'Assumptions (Oil G&amp;T)'!U$77</f>
        <v>0.9578332138</v>
      </c>
      <c r="BN3352" s="95">
        <f>$AT3200*'Assumptions (Oil G&amp;T)'!V$77</f>
        <v>0.4790239632</v>
      </c>
    </row>
    <row r="3353" ht="15.75" hidden="1" customHeight="1" outlineLevel="1">
      <c r="A3353" s="387"/>
      <c r="B3353" s="38"/>
      <c r="C3353" s="78"/>
      <c r="D3353" s="78"/>
      <c r="E3353" s="78"/>
      <c r="F3353" s="78"/>
      <c r="G3353" s="78"/>
      <c r="H3353" s="78"/>
      <c r="I3353" s="78"/>
      <c r="J3353" s="78"/>
      <c r="K3353" s="78"/>
      <c r="L3353" s="78"/>
      <c r="M3353" s="78"/>
      <c r="N3353" s="78"/>
      <c r="O3353" s="78"/>
      <c r="P3353" s="78"/>
      <c r="Q3353" s="78"/>
      <c r="R3353" s="78"/>
      <c r="S3353" s="78"/>
      <c r="T3353" s="78"/>
      <c r="U3353" s="78"/>
      <c r="V3353" s="78"/>
      <c r="W3353" s="139"/>
      <c r="AU3353" s="95">
        <f>$AU3200*'Assumptions (Oil G&amp;T)'!B$77</f>
        <v>0.8028835893</v>
      </c>
      <c r="AV3353" s="95">
        <f>$AU3200*'Assumptions (Oil G&amp;T)'!C$77</f>
        <v>1.545604435</v>
      </c>
      <c r="AW3353" s="95">
        <f>$AU3200*'Assumptions (Oil G&amp;T)'!D$77</f>
        <v>1.429560994</v>
      </c>
      <c r="AX3353" s="95">
        <f>$AU3200*'Assumptions (Oil G&amp;T)'!E$77</f>
        <v>1.322509848</v>
      </c>
      <c r="AY3353" s="95">
        <f>$AU3200*'Assumptions (Oil G&amp;T)'!F$77</f>
        <v>1.223166386</v>
      </c>
      <c r="AZ3353" s="95">
        <f>$AU3200*'Assumptions (Oil G&amp;T)'!G$77</f>
        <v>1.131530605</v>
      </c>
      <c r="BA3353" s="95">
        <f>$AU3200*'Assumptions (Oil G&amp;T)'!H$77</f>
        <v>1.046531996</v>
      </c>
      <c r="BB3353" s="95">
        <f>$AU3200*'Assumptions (Oil G&amp;T)'!I$77</f>
        <v>0.9681705576</v>
      </c>
      <c r="BC3353" s="95">
        <f>$AU3200*'Assumptions (Oil G&amp;T)'!J$77</f>
        <v>0.9553244201</v>
      </c>
      <c r="BD3353" s="95">
        <f>$AU3200*'Assumptions (Oil G&amp;T)'!K$77</f>
        <v>0.9551103178</v>
      </c>
      <c r="BE3353" s="95">
        <f>$AU3200*'Assumptions (Oil G&amp;T)'!L$77</f>
        <v>0.9553244201</v>
      </c>
      <c r="BF3353" s="95">
        <f>$AU3200*'Assumptions (Oil G&amp;T)'!M$77</f>
        <v>0.9551103178</v>
      </c>
      <c r="BG3353" s="95">
        <f>$AU3200*'Assumptions (Oil G&amp;T)'!N$77</f>
        <v>0.9553244201</v>
      </c>
      <c r="BH3353" s="95">
        <f>$AU3200*'Assumptions (Oil G&amp;T)'!O$77</f>
        <v>0.9551103178</v>
      </c>
      <c r="BI3353" s="95">
        <f>$AU3200*'Assumptions (Oil G&amp;T)'!P$77</f>
        <v>0.9553244201</v>
      </c>
      <c r="BJ3353" s="95">
        <f>$AU3200*'Assumptions (Oil G&amp;T)'!Q$77</f>
        <v>0.9551103178</v>
      </c>
      <c r="BK3353" s="95">
        <f>$AU3200*'Assumptions (Oil G&amp;T)'!R$77</f>
        <v>0.9553244201</v>
      </c>
      <c r="BL3353" s="95">
        <f>$AU3200*'Assumptions (Oil G&amp;T)'!S$77</f>
        <v>0.9551103178</v>
      </c>
      <c r="BM3353" s="95">
        <f>$AU3200*'Assumptions (Oil G&amp;T)'!T$77</f>
        <v>0.9553244201</v>
      </c>
      <c r="BN3353" s="95">
        <f>$AU3200*'Assumptions (Oil G&amp;T)'!U$77</f>
        <v>0.9551103178</v>
      </c>
      <c r="BO3353" s="95">
        <f>$AU3200*'Assumptions (Oil G&amp;T)'!V$77</f>
        <v>0.4776622101</v>
      </c>
    </row>
    <row r="3354" ht="15.75" hidden="1" customHeight="1" outlineLevel="1">
      <c r="A3354" s="387"/>
      <c r="B3354" s="38"/>
      <c r="C3354" s="78"/>
      <c r="D3354" s="78"/>
      <c r="E3354" s="78"/>
      <c r="F3354" s="78"/>
      <c r="G3354" s="78"/>
      <c r="H3354" s="78"/>
      <c r="I3354" s="78"/>
      <c r="J3354" s="78"/>
      <c r="K3354" s="78"/>
      <c r="L3354" s="78"/>
      <c r="M3354" s="78"/>
      <c r="N3354" s="78"/>
      <c r="O3354" s="78"/>
      <c r="P3354" s="78"/>
      <c r="Q3354" s="78"/>
      <c r="R3354" s="78"/>
      <c r="S3354" s="78"/>
      <c r="T3354" s="78"/>
      <c r="U3354" s="78"/>
      <c r="V3354" s="78"/>
      <c r="W3354" s="139"/>
      <c r="AV3354" s="95">
        <f>$AV3200*'Assumptions (Oil G&amp;T)'!B$77</f>
        <v>0.7987270595</v>
      </c>
      <c r="AW3354" s="95">
        <f>$AV3200*'Assumptions (Oil G&amp;T)'!C$77</f>
        <v>1.537602838</v>
      </c>
      <c r="AX3354" s="95">
        <f>$AV3200*'Assumptions (Oil G&amp;T)'!D$77</f>
        <v>1.422160154</v>
      </c>
      <c r="AY3354" s="95">
        <f>$AV3200*'Assumptions (Oil G&amp;T)'!E$77</f>
        <v>1.315663212</v>
      </c>
      <c r="AZ3354" s="95">
        <f>$AV3200*'Assumptions (Oil G&amp;T)'!F$77</f>
        <v>1.216834051</v>
      </c>
      <c r="BA3354" s="95">
        <f>$AV3200*'Assumptions (Oil G&amp;T)'!G$77</f>
        <v>1.125672669</v>
      </c>
      <c r="BB3354" s="95">
        <f>$AV3200*'Assumptions (Oil G&amp;T)'!H$77</f>
        <v>1.041114098</v>
      </c>
      <c r="BC3354" s="95">
        <f>$AV3200*'Assumptions (Oil G&amp;T)'!I$77</f>
        <v>0.9631583368</v>
      </c>
      <c r="BD3354" s="95">
        <f>$AV3200*'Assumptions (Oil G&amp;T)'!J$77</f>
        <v>0.9503787038</v>
      </c>
      <c r="BE3354" s="95">
        <f>$AV3200*'Assumptions (Oil G&amp;T)'!K$77</f>
        <v>0.9501657099</v>
      </c>
      <c r="BF3354" s="95">
        <f>$AV3200*'Assumptions (Oil G&amp;T)'!L$77</f>
        <v>0.9503787038</v>
      </c>
      <c r="BG3354" s="95">
        <f>$AV3200*'Assumptions (Oil G&amp;T)'!M$77</f>
        <v>0.9501657099</v>
      </c>
      <c r="BH3354" s="95">
        <f>$AV3200*'Assumptions (Oil G&amp;T)'!N$77</f>
        <v>0.9503787038</v>
      </c>
      <c r="BI3354" s="95">
        <f>$AV3200*'Assumptions (Oil G&amp;T)'!O$77</f>
        <v>0.9501657099</v>
      </c>
      <c r="BJ3354" s="95">
        <f>$AV3200*'Assumptions (Oil G&amp;T)'!P$77</f>
        <v>0.9503787038</v>
      </c>
      <c r="BK3354" s="95">
        <f>$AV3200*'Assumptions (Oil G&amp;T)'!Q$77</f>
        <v>0.9501657099</v>
      </c>
      <c r="BL3354" s="95">
        <f>$AV3200*'Assumptions (Oil G&amp;T)'!R$77</f>
        <v>0.9503787038</v>
      </c>
      <c r="BM3354" s="95">
        <f>$AV3200*'Assumptions (Oil G&amp;T)'!S$77</f>
        <v>0.9501657099</v>
      </c>
      <c r="BN3354" s="95">
        <f>$AV3200*'Assumptions (Oil G&amp;T)'!T$77</f>
        <v>0.9503787038</v>
      </c>
      <c r="BO3354" s="95">
        <f>$AV3200*'Assumptions (Oil G&amp;T)'!U$77</f>
        <v>0.9501657099</v>
      </c>
      <c r="BP3354" s="95">
        <f>$AV3200*'Assumptions (Oil G&amp;T)'!V$77</f>
        <v>0.4751893519</v>
      </c>
    </row>
    <row r="3355" ht="15.75" hidden="1" customHeight="1" outlineLevel="1">
      <c r="A3355" s="387"/>
      <c r="B3355" s="38"/>
      <c r="C3355" s="78"/>
      <c r="D3355" s="78"/>
      <c r="E3355" s="78"/>
      <c r="F3355" s="78"/>
      <c r="G3355" s="78"/>
      <c r="H3355" s="78"/>
      <c r="I3355" s="78"/>
      <c r="J3355" s="78"/>
      <c r="K3355" s="78"/>
      <c r="L3355" s="78"/>
      <c r="M3355" s="78"/>
      <c r="N3355" s="78"/>
      <c r="O3355" s="78"/>
      <c r="P3355" s="78"/>
      <c r="Q3355" s="78"/>
      <c r="R3355" s="78"/>
      <c r="S3355" s="78"/>
      <c r="T3355" s="78"/>
      <c r="U3355" s="78"/>
      <c r="V3355" s="78"/>
      <c r="W3355" s="139"/>
      <c r="AW3355" s="95">
        <f>$AW3200*'Assumptions (Oil G&amp;T)'!B$77</f>
        <v>0.7954452774</v>
      </c>
      <c r="AX3355" s="95">
        <f>$AW3200*'Assumptions (Oil G&amp;T)'!C$77</f>
        <v>1.531285189</v>
      </c>
      <c r="AY3355" s="95">
        <f>$AW3200*'Assumptions (Oil G&amp;T)'!D$77</f>
        <v>1.416316831</v>
      </c>
      <c r="AZ3355" s="95">
        <f>$AW3200*'Assumptions (Oil G&amp;T)'!E$77</f>
        <v>1.310257461</v>
      </c>
      <c r="BA3355" s="95">
        <f>$AW3200*'Assumptions (Oil G&amp;T)'!F$77</f>
        <v>1.211834365</v>
      </c>
      <c r="BB3355" s="95">
        <f>$AW3200*'Assumptions (Oil G&amp;T)'!G$77</f>
        <v>1.121047544</v>
      </c>
      <c r="BC3355" s="95">
        <f>$AW3200*'Assumptions (Oil G&amp;T)'!H$77</f>
        <v>1.036836404</v>
      </c>
      <c r="BD3355" s="95">
        <f>$AW3200*'Assumptions (Oil G&amp;T)'!I$77</f>
        <v>0.9592009452</v>
      </c>
      <c r="BE3355" s="95">
        <f>$AW3200*'Assumptions (Oil G&amp;T)'!J$77</f>
        <v>0.9464738207</v>
      </c>
      <c r="BF3355" s="95">
        <f>$AW3200*'Assumptions (Oil G&amp;T)'!K$77</f>
        <v>0.946261702</v>
      </c>
      <c r="BG3355" s="95">
        <f>$AW3200*'Assumptions (Oil G&amp;T)'!L$77</f>
        <v>0.9464738207</v>
      </c>
      <c r="BH3355" s="95">
        <f>$AW3200*'Assumptions (Oil G&amp;T)'!M$77</f>
        <v>0.946261702</v>
      </c>
      <c r="BI3355" s="95">
        <f>$AW3200*'Assumptions (Oil G&amp;T)'!N$77</f>
        <v>0.9464738207</v>
      </c>
      <c r="BJ3355" s="95">
        <f>$AW3200*'Assumptions (Oil G&amp;T)'!O$77</f>
        <v>0.946261702</v>
      </c>
      <c r="BK3355" s="95">
        <f>$AW3200*'Assumptions (Oil G&amp;T)'!P$77</f>
        <v>0.9464738207</v>
      </c>
      <c r="BL3355" s="95">
        <f>$AW3200*'Assumptions (Oil G&amp;T)'!Q$77</f>
        <v>0.946261702</v>
      </c>
      <c r="BM3355" s="95">
        <f>$AW3200*'Assumptions (Oil G&amp;T)'!R$77</f>
        <v>0.9464738207</v>
      </c>
      <c r="BN3355" s="95">
        <f>$AW3200*'Assumptions (Oil G&amp;T)'!S$77</f>
        <v>0.946261702</v>
      </c>
      <c r="BO3355" s="95">
        <f>$AW3200*'Assumptions (Oil G&amp;T)'!T$77</f>
        <v>0.9464738207</v>
      </c>
      <c r="BP3355" s="95">
        <f>$AW3200*'Assumptions (Oil G&amp;T)'!U$77</f>
        <v>0.946261702</v>
      </c>
      <c r="BQ3355" s="95">
        <f>$AW3200*'Assumptions (Oil G&amp;T)'!V$77</f>
        <v>0.4732369104</v>
      </c>
    </row>
    <row r="3356" ht="15.75" hidden="1" customHeight="1" outlineLevel="1">
      <c r="A3356" s="387"/>
      <c r="B3356" s="38"/>
      <c r="C3356" s="78"/>
      <c r="D3356" s="78"/>
      <c r="E3356" s="78"/>
      <c r="F3356" s="78"/>
      <c r="G3356" s="78"/>
      <c r="H3356" s="78"/>
      <c r="I3356" s="78"/>
      <c r="J3356" s="78"/>
      <c r="K3356" s="78"/>
      <c r="L3356" s="78"/>
      <c r="M3356" s="78"/>
      <c r="N3356" s="78"/>
      <c r="O3356" s="78"/>
      <c r="P3356" s="78"/>
      <c r="Q3356" s="78"/>
      <c r="R3356" s="78"/>
      <c r="S3356" s="78"/>
      <c r="T3356" s="78"/>
      <c r="U3356" s="78"/>
      <c r="V3356" s="78"/>
      <c r="W3356" s="139"/>
      <c r="AX3356" s="95">
        <f>$AX3200*'Assumptions (Oil G&amp;T)'!B$77</f>
        <v>0.7928215793</v>
      </c>
      <c r="AY3356" s="95">
        <f>$AX3200*'Assumptions (Oil G&amp;T)'!C$77</f>
        <v>1.526234395</v>
      </c>
      <c r="AZ3356" s="95">
        <f>$AX3200*'Assumptions (Oil G&amp;T)'!D$77</f>
        <v>1.411645249</v>
      </c>
      <c r="BA3356" s="95">
        <f>$AX3200*'Assumptions (Oil G&amp;T)'!E$77</f>
        <v>1.305935705</v>
      </c>
      <c r="BB3356" s="95">
        <f>$AX3200*'Assumptions (Oil G&amp;T)'!F$77</f>
        <v>1.207837249</v>
      </c>
      <c r="BC3356" s="95">
        <f>$AX3200*'Assumptions (Oil G&amp;T)'!G$77</f>
        <v>1.117349879</v>
      </c>
      <c r="BD3356" s="95">
        <f>$AX3200*'Assumptions (Oil G&amp;T)'!H$77</f>
        <v>1.033416501</v>
      </c>
      <c r="BE3356" s="95">
        <f>$AX3200*'Assumptions (Oil G&amp;T)'!I$77</f>
        <v>0.9560371151</v>
      </c>
      <c r="BF3356" s="95">
        <f>$AX3200*'Assumptions (Oil G&amp;T)'!J$77</f>
        <v>0.9433519698</v>
      </c>
      <c r="BG3356" s="95">
        <f>$AX3200*'Assumptions (Oil G&amp;T)'!K$77</f>
        <v>0.9431405507</v>
      </c>
      <c r="BH3356" s="95">
        <f>$AX3200*'Assumptions (Oil G&amp;T)'!L$77</f>
        <v>0.9433519698</v>
      </c>
      <c r="BI3356" s="95">
        <f>$AX3200*'Assumptions (Oil G&amp;T)'!M$77</f>
        <v>0.9431405507</v>
      </c>
      <c r="BJ3356" s="95">
        <f>$AX3200*'Assumptions (Oil G&amp;T)'!N$77</f>
        <v>0.9433519698</v>
      </c>
      <c r="BK3356" s="95">
        <f>$AX3200*'Assumptions (Oil G&amp;T)'!O$77</f>
        <v>0.9431405507</v>
      </c>
      <c r="BL3356" s="95">
        <f>$AX3200*'Assumptions (Oil G&amp;T)'!P$77</f>
        <v>0.9433519698</v>
      </c>
      <c r="BM3356" s="95">
        <f>$AX3200*'Assumptions (Oil G&amp;T)'!Q$77</f>
        <v>0.9431405507</v>
      </c>
      <c r="BN3356" s="95">
        <f>$AX3200*'Assumptions (Oil G&amp;T)'!R$77</f>
        <v>0.9433519698</v>
      </c>
      <c r="BO3356" s="95">
        <f>$AX3200*'Assumptions (Oil G&amp;T)'!S$77</f>
        <v>0.9431405507</v>
      </c>
      <c r="BP3356" s="95">
        <f>$AX3200*'Assumptions (Oil G&amp;T)'!T$77</f>
        <v>0.9433519698</v>
      </c>
      <c r="BQ3356" s="95">
        <f>$AX3200*'Assumptions (Oil G&amp;T)'!U$77</f>
        <v>0.9431405507</v>
      </c>
      <c r="BR3356" s="95">
        <f>$AX3200*'Assumptions (Oil G&amp;T)'!V$77</f>
        <v>0.4716759849</v>
      </c>
    </row>
    <row r="3357" ht="15.75" hidden="1" customHeight="1" outlineLevel="1">
      <c r="A3357" s="387"/>
      <c r="B3357" s="38"/>
      <c r="C3357" s="78"/>
      <c r="D3357" s="78"/>
      <c r="E3357" s="78"/>
      <c r="F3357" s="78"/>
      <c r="G3357" s="78"/>
      <c r="H3357" s="78"/>
      <c r="I3357" s="78"/>
      <c r="J3357" s="78"/>
      <c r="K3357" s="78"/>
      <c r="L3357" s="78"/>
      <c r="M3357" s="78"/>
      <c r="N3357" s="78"/>
      <c r="O3357" s="78"/>
      <c r="P3357" s="78"/>
      <c r="Q3357" s="78"/>
      <c r="R3357" s="78"/>
      <c r="S3357" s="78"/>
      <c r="T3357" s="78"/>
      <c r="U3357" s="78"/>
      <c r="V3357" s="78"/>
      <c r="W3357" s="139"/>
      <c r="AY3357" s="95">
        <f>$AY3200*'Assumptions (Oil G&amp;T)'!B$77</f>
        <v>0.7901914995</v>
      </c>
      <c r="AZ3357" s="95">
        <f>$AY3200*'Assumptions (Oil G&amp;T)'!C$77</f>
        <v>1.521171316</v>
      </c>
      <c r="BA3357" s="95">
        <f>$AY3200*'Assumptions (Oil G&amp;T)'!D$77</f>
        <v>1.406962305</v>
      </c>
      <c r="BB3357" s="95">
        <f>$AY3200*'Assumptions (Oil G&amp;T)'!E$77</f>
        <v>1.301603438</v>
      </c>
      <c r="BC3357" s="95">
        <f>$AY3200*'Assumptions (Oil G&amp;T)'!F$77</f>
        <v>1.20383041</v>
      </c>
      <c r="BD3357" s="95">
        <f>$AY3200*'Assumptions (Oil G&amp;T)'!G$77</f>
        <v>1.11364322</v>
      </c>
      <c r="BE3357" s="95">
        <f>$AY3200*'Assumptions (Oil G&amp;T)'!H$77</f>
        <v>1.02998828</v>
      </c>
      <c r="BF3357" s="95">
        <f>$AY3200*'Assumptions (Oil G&amp;T)'!I$77</f>
        <v>0.9528655895</v>
      </c>
      <c r="BG3357" s="95">
        <f>$AY3200*'Assumptions (Oil G&amp;T)'!J$77</f>
        <v>0.9402225255</v>
      </c>
      <c r="BH3357" s="95">
        <f>$AY3200*'Assumptions (Oil G&amp;T)'!K$77</f>
        <v>0.9400118078</v>
      </c>
      <c r="BI3357" s="95">
        <f>$AY3200*'Assumptions (Oil G&amp;T)'!L$77</f>
        <v>0.9402225255</v>
      </c>
      <c r="BJ3357" s="95">
        <f>$AY3200*'Assumptions (Oil G&amp;T)'!M$77</f>
        <v>0.9400118078</v>
      </c>
      <c r="BK3357" s="95">
        <f>$AY3200*'Assumptions (Oil G&amp;T)'!N$77</f>
        <v>0.9402225255</v>
      </c>
      <c r="BL3357" s="95">
        <f>$AY3200*'Assumptions (Oil G&amp;T)'!O$77</f>
        <v>0.9400118078</v>
      </c>
      <c r="BM3357" s="95">
        <f>$AY3200*'Assumptions (Oil G&amp;T)'!P$77</f>
        <v>0.9402225255</v>
      </c>
      <c r="BN3357" s="95">
        <f>$AY3200*'Assumptions (Oil G&amp;T)'!Q$77</f>
        <v>0.9400118078</v>
      </c>
      <c r="BO3357" s="95">
        <f>$AY3200*'Assumptions (Oil G&amp;T)'!R$77</f>
        <v>0.9402225255</v>
      </c>
      <c r="BP3357" s="95">
        <f>$AY3200*'Assumptions (Oil G&amp;T)'!S$77</f>
        <v>0.9400118078</v>
      </c>
      <c r="BQ3357" s="95">
        <f>$AY3200*'Assumptions (Oil G&amp;T)'!T$77</f>
        <v>0.9402225255</v>
      </c>
      <c r="BR3357" s="95">
        <f>$AY3200*'Assumptions (Oil G&amp;T)'!U$77</f>
        <v>0.9400118078</v>
      </c>
      <c r="BS3357" s="95">
        <f>$AY3200*'Assumptions (Oil G&amp;T)'!V$77</f>
        <v>0.4701112628</v>
      </c>
    </row>
    <row r="3358" ht="15.75" hidden="1" customHeight="1" outlineLevel="1">
      <c r="A3358" s="387"/>
      <c r="B3358" s="38"/>
      <c r="C3358" s="78"/>
      <c r="D3358" s="78"/>
      <c r="E3358" s="78"/>
      <c r="F3358" s="78"/>
      <c r="G3358" s="78"/>
      <c r="H3358" s="78"/>
      <c r="I3358" s="78"/>
      <c r="J3358" s="78"/>
      <c r="K3358" s="78"/>
      <c r="L3358" s="78"/>
      <c r="M3358" s="78"/>
      <c r="N3358" s="78"/>
      <c r="O3358" s="78"/>
      <c r="P3358" s="78"/>
      <c r="Q3358" s="78"/>
      <c r="R3358" s="78"/>
      <c r="S3358" s="78"/>
      <c r="T3358" s="78"/>
      <c r="U3358" s="78"/>
      <c r="V3358" s="78"/>
      <c r="W3358" s="139"/>
      <c r="AZ3358" s="95">
        <f>$AZ3200*'Assumptions (Oil G&amp;T)'!B$77</f>
        <v>0.7853126964</v>
      </c>
      <c r="BA3358" s="95">
        <f>$AZ3200*'Assumptions (Oil G&amp;T)'!C$77</f>
        <v>1.511779295</v>
      </c>
      <c r="BB3358" s="95">
        <f>$AZ3200*'Assumptions (Oil G&amp;T)'!D$77</f>
        <v>1.398275433</v>
      </c>
      <c r="BC3358" s="95">
        <f>$AZ3200*'Assumptions (Oil G&amp;T)'!E$77</f>
        <v>1.293567073</v>
      </c>
      <c r="BD3358" s="95">
        <f>$AZ3200*'Assumptions (Oil G&amp;T)'!F$77</f>
        <v>1.196397716</v>
      </c>
      <c r="BE3358" s="95">
        <f>$AZ3200*'Assumptions (Oil G&amp;T)'!G$77</f>
        <v>1.10676736</v>
      </c>
      <c r="BF3358" s="95">
        <f>$AZ3200*'Assumptions (Oil G&amp;T)'!H$77</f>
        <v>1.023628923</v>
      </c>
      <c r="BG3358" s="95">
        <f>$AZ3200*'Assumptions (Oil G&amp;T)'!I$77</f>
        <v>0.9469824035</v>
      </c>
      <c r="BH3358" s="95">
        <f>$AZ3200*'Assumptions (Oil G&amp;T)'!J$77</f>
        <v>0.9344174003</v>
      </c>
      <c r="BI3358" s="95">
        <f>$AZ3200*'Assumptions (Oil G&amp;T)'!K$77</f>
        <v>0.9342079836</v>
      </c>
      <c r="BJ3358" s="95">
        <f>$AZ3200*'Assumptions (Oil G&amp;T)'!L$77</f>
        <v>0.9344174003</v>
      </c>
      <c r="BK3358" s="95">
        <f>$AZ3200*'Assumptions (Oil G&amp;T)'!M$77</f>
        <v>0.9342079836</v>
      </c>
      <c r="BL3358" s="95">
        <f>$AZ3200*'Assumptions (Oil G&amp;T)'!N$77</f>
        <v>0.9344174003</v>
      </c>
      <c r="BM3358" s="95">
        <f>$AZ3200*'Assumptions (Oil G&amp;T)'!O$77</f>
        <v>0.9342079836</v>
      </c>
      <c r="BN3358" s="95">
        <f>$AZ3200*'Assumptions (Oil G&amp;T)'!P$77</f>
        <v>0.9344174003</v>
      </c>
      <c r="BO3358" s="95">
        <f>$AZ3200*'Assumptions (Oil G&amp;T)'!Q$77</f>
        <v>0.9342079836</v>
      </c>
      <c r="BP3358" s="95">
        <f>$AZ3200*'Assumptions (Oil G&amp;T)'!R$77</f>
        <v>0.9344174003</v>
      </c>
      <c r="BQ3358" s="95">
        <f>$AZ3200*'Assumptions (Oil G&amp;T)'!S$77</f>
        <v>0.9342079836</v>
      </c>
      <c r="BR3358" s="95">
        <f>$AZ3200*'Assumptions (Oil G&amp;T)'!T$77</f>
        <v>0.9344174003</v>
      </c>
      <c r="BS3358" s="95">
        <f>$AZ3200*'Assumptions (Oil G&amp;T)'!U$77</f>
        <v>0.9342079836</v>
      </c>
      <c r="BT3358" s="95">
        <f>$AZ3200*'Assumptions (Oil G&amp;T)'!V$77</f>
        <v>0.4672087002</v>
      </c>
    </row>
    <row r="3359" ht="15.75" hidden="1" customHeight="1" outlineLevel="1">
      <c r="A3359" s="387"/>
      <c r="B3359" s="38"/>
      <c r="C3359" s="78"/>
      <c r="D3359" s="78"/>
      <c r="E3359" s="78"/>
      <c r="F3359" s="78"/>
      <c r="G3359" s="78"/>
      <c r="H3359" s="78"/>
      <c r="I3359" s="78"/>
      <c r="J3359" s="78"/>
      <c r="K3359" s="78"/>
      <c r="L3359" s="78"/>
      <c r="M3359" s="78"/>
      <c r="N3359" s="78"/>
      <c r="O3359" s="78"/>
      <c r="P3359" s="78"/>
      <c r="Q3359" s="78"/>
      <c r="R3359" s="78"/>
      <c r="S3359" s="78"/>
      <c r="T3359" s="78"/>
      <c r="U3359" s="78"/>
      <c r="V3359" s="78"/>
      <c r="W3359" s="139"/>
      <c r="BA3359" s="95">
        <f>$BA3200*'Assumptions (Oil G&amp;T)'!B$77</f>
        <v>0.7824580118</v>
      </c>
      <c r="BB3359" s="95">
        <f>$BA3200*'Assumptions (Oil G&amp;T)'!C$77</f>
        <v>1.506283837</v>
      </c>
      <c r="BC3359" s="95">
        <f>$BA3200*'Assumptions (Oil G&amp;T)'!D$77</f>
        <v>1.393192572</v>
      </c>
      <c r="BD3359" s="95">
        <f>$BA3200*'Assumptions (Oil G&amp;T)'!E$77</f>
        <v>1.288864837</v>
      </c>
      <c r="BE3359" s="95">
        <f>$BA3200*'Assumptions (Oil G&amp;T)'!F$77</f>
        <v>1.192048699</v>
      </c>
      <c r="BF3359" s="95">
        <f>$BA3200*'Assumptions (Oil G&amp;T)'!G$77</f>
        <v>1.102744158</v>
      </c>
      <c r="BG3359" s="95">
        <f>$BA3200*'Assumptions (Oil G&amp;T)'!H$77</f>
        <v>1.019907936</v>
      </c>
      <c r="BH3359" s="95">
        <f>$BA3200*'Assumptions (Oil G&amp;T)'!I$77</f>
        <v>0.9435400345</v>
      </c>
      <c r="BI3359" s="95">
        <f>$BA3200*'Assumptions (Oil G&amp;T)'!J$77</f>
        <v>0.9310207063</v>
      </c>
      <c r="BJ3359" s="95">
        <f>$BA3200*'Assumptions (Oil G&amp;T)'!K$77</f>
        <v>0.9308120508</v>
      </c>
      <c r="BK3359" s="95">
        <f>$BA3200*'Assumptions (Oil G&amp;T)'!L$77</f>
        <v>0.9310207063</v>
      </c>
      <c r="BL3359" s="95">
        <f>$BA3200*'Assumptions (Oil G&amp;T)'!M$77</f>
        <v>0.9308120508</v>
      </c>
      <c r="BM3359" s="95">
        <f>$BA3200*'Assumptions (Oil G&amp;T)'!N$77</f>
        <v>0.9310207063</v>
      </c>
      <c r="BN3359" s="95">
        <f>$BA3200*'Assumptions (Oil G&amp;T)'!O$77</f>
        <v>0.9308120508</v>
      </c>
      <c r="BO3359" s="95">
        <f>$BA3200*'Assumptions (Oil G&amp;T)'!P$77</f>
        <v>0.9310207063</v>
      </c>
      <c r="BP3359" s="95">
        <f>$BA3200*'Assumptions (Oil G&amp;T)'!Q$77</f>
        <v>0.9308120508</v>
      </c>
      <c r="BQ3359" s="95">
        <f>$BA3200*'Assumptions (Oil G&amp;T)'!R$77</f>
        <v>0.9310207063</v>
      </c>
      <c r="BR3359" s="95">
        <f>$BA3200*'Assumptions (Oil G&amp;T)'!S$77</f>
        <v>0.9308120508</v>
      </c>
      <c r="BS3359" s="95">
        <f>$BA3200*'Assumptions (Oil G&amp;T)'!T$77</f>
        <v>0.9310207063</v>
      </c>
      <c r="BT3359" s="95">
        <f>$BA3200*'Assumptions (Oil G&amp;T)'!U$77</f>
        <v>0.9308120508</v>
      </c>
      <c r="BU3359" s="95">
        <f>$BA3200*'Assumptions (Oil G&amp;T)'!V$77</f>
        <v>0.4655103532</v>
      </c>
    </row>
    <row r="3360" ht="15.75" customHeight="1" collapsed="1">
      <c r="A3360" s="385" t="s">
        <v>374</v>
      </c>
      <c r="B3360" s="159" t="s">
        <v>351</v>
      </c>
      <c r="C3360" s="190">
        <f>(1+'Assumptions (Oil G&amp;T)'!B43)*'Assumptions (Oil G&amp;T)'!B40</f>
        <v>8.374604442</v>
      </c>
      <c r="D3360" s="190">
        <f>(1+'Assumptions (Oil G&amp;T)'!C43)*'Assumptions (Oil G&amp;T)'!C40</f>
        <v>8.933531928</v>
      </c>
      <c r="E3360" s="190">
        <f>(1+'Assumptions (Oil G&amp;T)'!D43)*'Assumptions (Oil G&amp;T)'!D40</f>
        <v>9.131955218</v>
      </c>
      <c r="F3360" s="190">
        <f>(1+'Assumptions (Oil G&amp;T)'!E43)*'Assumptions (Oil G&amp;T)'!E40</f>
        <v>8.890572089</v>
      </c>
      <c r="G3360" s="190">
        <f>(1+'Assumptions (Oil G&amp;T)'!F43)*'Assumptions (Oil G&amp;T)'!F40</f>
        <v>8.806202569</v>
      </c>
      <c r="H3360" s="190">
        <f>(1+'Assumptions (Oil G&amp;T)'!G43)*'Assumptions (Oil G&amp;T)'!G40</f>
        <v>9.147096273</v>
      </c>
      <c r="I3360" s="190">
        <f>(1+'Assumptions (Oil G&amp;T)'!H43)*'Assumptions (Oil G&amp;T)'!H40</f>
        <v>9.821326676</v>
      </c>
      <c r="J3360" s="190">
        <f>(1+'Assumptions (Oil G&amp;T)'!I43)*'Assumptions (Oil G&amp;T)'!I40</f>
        <v>10.70690966</v>
      </c>
      <c r="K3360" s="190">
        <f>(1+'Assumptions (Oil G&amp;T)'!J43)*'Assumptions (Oil G&amp;T)'!J40</f>
        <v>10.62072739</v>
      </c>
      <c r="L3360" s="190">
        <f>(1+'Assumptions (Oil G&amp;T)'!K43)*'Assumptions (Oil G&amp;T)'!K40</f>
        <v>11.47566441</v>
      </c>
      <c r="M3360" s="190">
        <f>(1+'Assumptions (Oil G&amp;T)'!L43)*'Assumptions (Oil G&amp;T)'!L40</f>
        <v>12.89213956</v>
      </c>
      <c r="N3360" s="190">
        <f>(1+'Assumptions (Oil G&amp;T)'!M43)*'Assumptions (Oil G&amp;T)'!M40</f>
        <v>14.45010808</v>
      </c>
      <c r="O3360" s="190">
        <f>(1+'Assumptions (Oil G&amp;T)'!N43)*'Assumptions (Oil G&amp;T)'!N40</f>
        <v>16.12949862</v>
      </c>
      <c r="P3360" s="190">
        <f>(1+'Assumptions (Oil G&amp;T)'!O43)*'Assumptions (Oil G&amp;T)'!O40</f>
        <v>18.42765061</v>
      </c>
      <c r="Q3360" s="190">
        <f>(1+'Assumptions (Oil G&amp;T)'!P43)*'Assumptions (Oil G&amp;T)'!P40</f>
        <v>22.21172116</v>
      </c>
      <c r="R3360" s="190">
        <f>(1+'Assumptions (Oil G&amp;T)'!Q43)*'Assumptions (Oil G&amp;T)'!Q40</f>
        <v>25.38109162</v>
      </c>
      <c r="S3360" s="190">
        <f>(1+'Assumptions (Oil G&amp;T)'!R43)*'Assumptions (Oil G&amp;T)'!R40</f>
        <v>26.5868133</v>
      </c>
      <c r="T3360" s="190">
        <f>(1+'Assumptions (Oil G&amp;T)'!S43)*'Assumptions (Oil G&amp;T)'!S40</f>
        <v>26.64375189</v>
      </c>
      <c r="U3360" s="190">
        <f>(1+'Assumptions (Oil G&amp;T)'!T43)*'Assumptions (Oil G&amp;T)'!T40</f>
        <v>32.25243971</v>
      </c>
      <c r="V3360" s="190">
        <f>(1+'Assumptions (Oil G&amp;T)'!U43)*'Assumptions (Oil G&amp;T)'!U40</f>
        <v>36.59047515</v>
      </c>
      <c r="W3360" s="190">
        <f>(1+'Assumptions (Oil G&amp;T)'!V43)*'Assumptions (Oil G&amp;T)'!V40</f>
        <v>39.997537</v>
      </c>
      <c r="X3360" s="190">
        <f>(1+'Assumptions (Oil G&amp;T)'!W43)*'Assumptions (Oil G&amp;T)'!W40</f>
        <v>41.74511298</v>
      </c>
      <c r="Y3360" s="190">
        <f>(1+'Assumptions (Oil G&amp;T)'!X43)*'Assumptions (Oil G&amp;T)'!X40</f>
        <v>42.10488063</v>
      </c>
      <c r="Z3360" s="190">
        <f>(1+'Assumptions (Oil G&amp;T)'!Y43)*'Assumptions (Oil G&amp;T)'!Y40</f>
        <v>42.08929477</v>
      </c>
      <c r="AA3360" s="190">
        <f>(1+'Assumptions (Oil G&amp;T)'!Z43)*'Assumptions (Oil G&amp;T)'!Z40</f>
        <v>42.95817189</v>
      </c>
      <c r="AB3360" s="190">
        <f>(1+'Assumptions (Oil G&amp;T)'!AA43)*'Assumptions (Oil G&amp;T)'!AA40</f>
        <v>43.3739227</v>
      </c>
      <c r="AC3360" s="190">
        <f>(1+'Assumptions (Oil G&amp;T)'!AB43)*'Assumptions (Oil G&amp;T)'!AB40</f>
        <v>44.24587749</v>
      </c>
      <c r="AD3360" s="190">
        <f>(1+'Assumptions (Oil G&amp;T)'!AC43)*'Assumptions (Oil G&amp;T)'!AC40</f>
        <v>45.29832718</v>
      </c>
      <c r="AE3360" s="190">
        <f>(1+'Assumptions (Oil G&amp;T)'!AD43)*'Assumptions (Oil G&amp;T)'!AD40</f>
        <v>45.45112671</v>
      </c>
      <c r="AF3360" s="190">
        <f>(1+'Assumptions (Oil G&amp;T)'!AE43)*'Assumptions (Oil G&amp;T)'!AE40</f>
        <v>45.90269556</v>
      </c>
      <c r="AG3360" s="190">
        <f>(1+'Assumptions (Oil G&amp;T)'!AF43)*'Assumptions (Oil G&amp;T)'!AF40</f>
        <v>46.23638866</v>
      </c>
      <c r="AH3360" s="190">
        <f>(1+'Assumptions (Oil G&amp;T)'!AG43)*'Assumptions (Oil G&amp;T)'!AG40</f>
        <v>46.48043049</v>
      </c>
      <c r="AI3360" s="190">
        <f>(1+'Assumptions (Oil G&amp;T)'!AH43)*'Assumptions (Oil G&amp;T)'!AH40</f>
        <v>46.32360687</v>
      </c>
      <c r="AJ3360" s="190">
        <f>(1+'Assumptions (Oil G&amp;T)'!AI43)*'Assumptions (Oil G&amp;T)'!AI40</f>
        <v>46.04616519</v>
      </c>
      <c r="AK3360" s="190">
        <f>(1+'Assumptions (Oil G&amp;T)'!AJ43)*'Assumptions (Oil G&amp;T)'!AJ40</f>
        <v>45.9259756</v>
      </c>
      <c r="AL3360" s="190">
        <f>(1+'Assumptions (Oil G&amp;T)'!AK43)*'Assumptions (Oil G&amp;T)'!AK40</f>
        <v>45.53675019</v>
      </c>
      <c r="AM3360" s="190">
        <f>(1+'Assumptions (Oil G&amp;T)'!AL43)*'Assumptions (Oil G&amp;T)'!AL40</f>
        <v>45.02881069</v>
      </c>
      <c r="AN3360" s="190">
        <f>(1+'Assumptions (Oil G&amp;T)'!AM43)*'Assumptions (Oil G&amp;T)'!AM40</f>
        <v>44.44734231</v>
      </c>
      <c r="AO3360" s="190">
        <f>(1+'Assumptions (Oil G&amp;T)'!AN43)*'Assumptions (Oil G&amp;T)'!AN40</f>
        <v>44.07480565</v>
      </c>
      <c r="AP3360" s="190">
        <f>(1+'Assumptions (Oil G&amp;T)'!AO43)*'Assumptions (Oil G&amp;T)'!AO40</f>
        <v>43.74917561</v>
      </c>
      <c r="AQ3360" s="190">
        <f>(1+'Assumptions (Oil G&amp;T)'!AP43)*'Assumptions (Oil G&amp;T)'!AP40</f>
        <v>43.41044868</v>
      </c>
      <c r="AR3360" s="190">
        <f>(1+'Assumptions (Oil G&amp;T)'!AQ43)*'Assumptions (Oil G&amp;T)'!AQ40</f>
        <v>43.31309947</v>
      </c>
      <c r="AS3360" s="190">
        <f>(1+'Assumptions (Oil G&amp;T)'!AR43)*'Assumptions (Oil G&amp;T)'!AR40</f>
        <v>43.07032449</v>
      </c>
      <c r="AT3360" s="190">
        <f>(1+'Assumptions (Oil G&amp;T)'!AS43)*'Assumptions (Oil G&amp;T)'!AS40</f>
        <v>42.69922234</v>
      </c>
      <c r="AU3360" s="190">
        <f>(1+'Assumptions (Oil G&amp;T)'!AT43)*'Assumptions (Oil G&amp;T)'!AT40</f>
        <v>42.34919445</v>
      </c>
      <c r="AV3360" s="190">
        <f>(1+'Assumptions (Oil G&amp;T)'!AU43)*'Assumptions (Oil G&amp;T)'!AU40</f>
        <v>41.72261166</v>
      </c>
      <c r="AW3360" s="190">
        <f>(1+'Assumptions (Oil G&amp;T)'!AV43)*'Assumptions (Oil G&amp;T)'!AV40</f>
        <v>41.23601842</v>
      </c>
      <c r="AX3360" s="190">
        <f>(1+'Assumptions (Oil G&amp;T)'!AW43)*'Assumptions (Oil G&amp;T)'!AW40</f>
        <v>40.8520802</v>
      </c>
      <c r="AY3360" s="190">
        <f>(1+'Assumptions (Oil G&amp;T)'!AX43)*'Assumptions (Oil G&amp;T)'!AX40</f>
        <v>40.47168168</v>
      </c>
      <c r="AZ3360" s="190">
        <f>(1+'Assumptions (Oil G&amp;T)'!AY43)*'Assumptions (Oil G&amp;T)'!AY40</f>
        <v>39.77772536</v>
      </c>
      <c r="BA3360" s="190">
        <f>(1+'Assumptions (Oil G&amp;T)'!AZ43)*'Assumptions (Oil G&amp;T)'!AZ40</f>
        <v>39.37861114</v>
      </c>
    </row>
    <row r="3361" ht="15.75" customHeight="1">
      <c r="A3361" s="385" t="s">
        <v>62</v>
      </c>
      <c r="B3361" s="159" t="s">
        <v>351</v>
      </c>
      <c r="C3361" s="95">
        <f>IF(C3360-C3196-C3308+C3255&gt;0,(1-'Assumptions (Oil G&amp;T)'!B$79)*(C3360-C3196-C3308+C3255)-C3202+C3203+C3308,C3360-C3196-C3202+C3203+C3255)</f>
        <v>1.091970743</v>
      </c>
      <c r="D3361" s="95">
        <f>IF(D3360-D3196-D3308+D3255&gt;0,(1-'Assumptions (Oil G&amp;T)'!C$79)*(D3360-D3196-D3308+D3255)-D3202+D3203+D3308,D3360-D3196-D3202+D3203+D3255)</f>
        <v>1.073377297</v>
      </c>
      <c r="E3361" s="95">
        <f>IF(E3360-E3196-E3308+E3255&gt;0,(1-'Assumptions (Oil G&amp;T)'!D$79)*(E3360-E3196-E3308+E3255)-E3202+E3203+E3308,E3360-E3196-E3202+E3203+E3255)</f>
        <v>1.04913307</v>
      </c>
      <c r="F3361" s="95">
        <f>IF(F3360-F3196-F3308+F3255&gt;0,(1-'Assumptions (Oil G&amp;T)'!E$79)*(F3360-F3196-F3308+F3255)-F3202+F3203+F3308,F3360-F3196-F3202+F3203+F3255)</f>
        <v>0.7710358832</v>
      </c>
      <c r="G3361" s="95">
        <f>IF(G3360-G3196-G3308+G3255&gt;0,(1-'Assumptions (Oil G&amp;T)'!F$79)*(G3360-G3196-G3308+G3255)-G3202+G3203+G3308,G3360-G3196-G3202+G3203+G3255)</f>
        <v>1.447916634</v>
      </c>
      <c r="H3361" s="95">
        <f>IF(H3360-H3196-H3308+H3255&gt;0,(1-'Assumptions (Oil G&amp;T)'!G$79)*(H3360-H3196-H3308+H3255)-H3202+H3203+H3308,H3360-H3196-H3202+H3203+H3255)</f>
        <v>1.705358748</v>
      </c>
      <c r="I3361" s="95">
        <f>IF(I3360-I3196-I3308+I3255&gt;0,(1-'Assumptions (Oil G&amp;T)'!H$79)*(I3360-I3196-I3308+I3255)-I3202+I3203+I3308,I3360-I3196-I3202+I3203+I3255)</f>
        <v>1.626387399</v>
      </c>
      <c r="J3361" s="95">
        <f>IF(J3360-J3196-J3308+J3255&gt;0,(1-'Assumptions (Oil G&amp;T)'!I$79)*(J3360-J3196-J3308+J3255)-J3202+J3203+J3308,J3360-J3196-J3202+J3203+J3255)</f>
        <v>0.6428802802</v>
      </c>
      <c r="K3361" s="95">
        <f>IF(K3360-K3196-K3308+K3255&gt;0,(1-'Assumptions (Oil G&amp;T)'!J$79)*(K3360-K3196-K3308+K3255)-K3202+K3203+K3308,K3360-K3196-K3202+K3203+K3255)</f>
        <v>0.4602450871</v>
      </c>
      <c r="L3361" s="95">
        <f>IF(L3360-L3196-L3308+L3255&gt;0,(1-'Assumptions (Oil G&amp;T)'!K$79)*(L3360-L3196-L3308+L3255)-L3202+L3203+L3308,L3360-L3196-L3202+L3203+L3255)</f>
        <v>1.187704216</v>
      </c>
      <c r="M3361" s="95">
        <f>IF(M3360-M3196-M3308+M3255&gt;0,(1-'Assumptions (Oil G&amp;T)'!L$79)*(M3360-M3196-M3308+M3255)-M3202+M3203+M3308,M3360-M3196-M3202+M3203+M3255)</f>
        <v>-0.6585638542</v>
      </c>
      <c r="N3361" s="95">
        <f>IF(N3360-N3196-N3308+N3255&gt;0,(1-'Assumptions (Oil G&amp;T)'!M$79)*(N3360-N3196-N3308+N3255)-N3202+N3203+N3308,N3360-N3196-N3202+N3203+N3255)</f>
        <v>2.163037665</v>
      </c>
      <c r="O3361" s="95">
        <f>IF(O3360-O3196-O3308+O3255&gt;0,(1-'Assumptions (Oil G&amp;T)'!N$79)*(O3360-O3196-O3308+O3255)-O3202+O3203+O3308,O3360-O3196-O3202+O3203+O3255)</f>
        <v>1.394912529</v>
      </c>
      <c r="P3361" s="95">
        <f>IF(P3360-P3196-P3308+P3255&gt;0,(1-'Assumptions (Oil G&amp;T)'!O$79)*(P3360-P3196-P3308+P3255)-P3202+P3203+P3308,P3360-P3196-P3202+P3203+P3255)</f>
        <v>-2.566726395</v>
      </c>
      <c r="Q3361" s="95">
        <f>IF(Q3360-Q3196-Q3308+Q3255&gt;0,(1-'Assumptions (Oil G&amp;T)'!P$79)*(Q3360-Q3196-Q3308+Q3255)-Q3202+Q3203+Q3308,Q3360-Q3196-Q3202+Q3203+Q3255)</f>
        <v>-3.999988422</v>
      </c>
      <c r="R3361" s="95">
        <f>IF(R3360-R3196-R3308+R3255&gt;0,(1-'Assumptions (Oil G&amp;T)'!Q$79)*(R3360-R3196-R3308+R3255)-R3202+R3203+R3308,R3360-R3196-R3202+R3203+R3255)</f>
        <v>-0.5871874693</v>
      </c>
      <c r="S3361" s="95">
        <f>IF(S3360-S3196-S3308+S3255&gt;0,(1-'Assumptions (Oil G&amp;T)'!R$79)*(S3360-S3196-S3308+S3255)-S3202+S3203+S3308,S3360-S3196-S3202+S3203+S3255)</f>
        <v>2.425111437</v>
      </c>
      <c r="T3361" s="95">
        <f>IF(T3360-T3196-T3308+T3255&gt;0,(1-'Assumptions (Oil G&amp;T)'!S$79)*(T3360-T3196-T3308+T3255)-T3202+T3203+T3308,T3360-T3196-T3202+T3203+T3255)</f>
        <v>-0.6039391333</v>
      </c>
      <c r="U3361" s="95">
        <f>IF(U3360-U3196-U3308+U3255&gt;0,(1-'Assumptions (Oil G&amp;T)'!T$79)*(U3360-U3196-U3308+U3255)-U3202+U3203+U3308,U3360-U3196-U3202+U3203+U3255)</f>
        <v>1.994238094</v>
      </c>
      <c r="V3361" s="95">
        <f>IF(V3360-V3196-V3308+V3255&gt;0,(1-'Assumptions (Oil G&amp;T)'!U$79)*(V3360-V3196-V3308+V3255)-V3202+V3203+V3308,V3360-V3196-V3202+V3203+V3255)</f>
        <v>3.396943661</v>
      </c>
      <c r="W3361" s="95">
        <f>IF(W3360-W3196-W3308+W3255&gt;0,(1-'Assumptions (Oil G&amp;T)'!V$79)*(W3360-W3196-W3308+W3255)-W3202+W3203+W3308,W3360-W3196-W3202+W3203+W3255)</f>
        <v>4.286392387</v>
      </c>
      <c r="X3361" s="95">
        <f>IF(X3360-X3196-X3308+X3255&gt;0,(1-'Assumptions (Oil G&amp;T)'!W$79)*(X3360-X3196-X3308+X3255)-X3202+X3203+X3308,X3360-X3196-X3202+X3203+X3255)</f>
        <v>4.255344507</v>
      </c>
      <c r="Y3361" s="95">
        <f>IF(Y3360-Y3196-Y3308+Y3255&gt;0,(1-'Assumptions (Oil G&amp;T)'!X$79)*(Y3360-Y3196-Y3308+Y3255)-Y3202+Y3203+Y3308,Y3360-Y3196-Y3202+Y3203+Y3255)</f>
        <v>3.647032788</v>
      </c>
      <c r="Z3361" s="95">
        <f>IF(Z3360-Z3196-Z3308+Z3255&gt;0,(1-'Assumptions (Oil G&amp;T)'!Y$79)*(Z3360-Z3196-Z3308+Z3255)-Z3202+Z3203+Z3308,Z3360-Z3196-Z3202+Z3203+Z3255)</f>
        <v>2.850437568</v>
      </c>
      <c r="AA3361" s="95">
        <f>IF(AA3360-AA3196-AA3308+AA3255&gt;0,(1-'Assumptions (Oil G&amp;T)'!Z$79)*(AA3360-AA3196-AA3308+AA3255)-AA3202+AA3203+AA3308,AA3360-AA3196-AA3202+AA3203+AA3255)</f>
        <v>2.419635678</v>
      </c>
      <c r="AB3361" s="95">
        <f>IF(AB3360-AB3196-AB3308+AB3255&gt;0,(1-'Assumptions (Oil G&amp;T)'!AA$79)*(AB3360-AB3196-AB3308+AB3255)-AB3202+AB3203+AB3308,AB3360-AB3196-AB3202+AB3203+AB3255)</f>
        <v>1.98147529</v>
      </c>
      <c r="AC3361" s="95">
        <f>IF(AC3360-AC3196-AC3308+AC3255&gt;0,(1-'Assumptions (Oil G&amp;T)'!AB$79)*(AC3360-AC3196-AC3308+AC3255)-AC3202+AC3203+AC3308,AC3360-AC3196-AC3202+AC3203+AC3255)</f>
        <v>1.508384964</v>
      </c>
      <c r="AD3361" s="95">
        <f>IF(AD3360-AD3196-AD3308+AD3255&gt;0,(1-'Assumptions (Oil G&amp;T)'!AC$79)*(AD3360-AD3196-AD3308+AD3255)-AD3202+AD3203+AD3308,AD3360-AD3196-AD3202+AD3203+AD3255)</f>
        <v>1.339222625</v>
      </c>
      <c r="AE3361" s="95">
        <f>IF(AE3360-AE3196-AE3308+AE3255&gt;0,(1-'Assumptions (Oil G&amp;T)'!AD$79)*(AE3360-AE3196-AE3308+AE3255)-AE3202+AE3203+AE3308,AE3360-AE3196-AE3202+AE3203+AE3255)</f>
        <v>1.30567105</v>
      </c>
      <c r="AF3361" s="95">
        <f>IF(AF3360-AF3196-AF3308+AF3255&gt;0,(1-'Assumptions (Oil G&amp;T)'!AE$79)*(AF3360-AF3196-AF3308+AF3255)-AF3202+AF3203+AF3308,AF3360-AF3196-AF3202+AF3203+AF3255)</f>
        <v>1.881879985</v>
      </c>
      <c r="AG3361" s="95">
        <f>IF(AG3360-AG3196-AG3308+AG3255&gt;0,(1-'Assumptions (Oil G&amp;T)'!AF$79)*(AG3360-AG3196-AG3308+AG3255)-AG3202+AG3203+AG3308,AG3360-AG3196-AG3202+AG3203+AG3255)</f>
        <v>1.984195058</v>
      </c>
      <c r="AH3361" s="95">
        <f>IF(AH3360-AH3196-AH3308+AH3255&gt;0,(1-'Assumptions (Oil G&amp;T)'!AG$79)*(AH3360-AH3196-AH3308+AH3255)-AH3202+AH3203+AH3308,AH3360-AH3196-AH3202+AH3203+AH3255)</f>
        <v>1.562141686</v>
      </c>
      <c r="AI3361" s="95">
        <f>IF(AI3360-AI3196-AI3308+AI3255&gt;0,(1-'Assumptions (Oil G&amp;T)'!AH$79)*(AI3360-AI3196-AI3308+AI3255)-AI3202+AI3203+AI3308,AI3360-AI3196-AI3202+AI3203+AI3255)</f>
        <v>1.342201905</v>
      </c>
      <c r="AJ3361" s="95">
        <f>IF(AJ3360-AJ3196-AJ3308+AJ3255&gt;0,(1-'Assumptions (Oil G&amp;T)'!AI$79)*(AJ3360-AJ3196-AJ3308+AJ3255)-AJ3202+AJ3203+AJ3308,AJ3360-AJ3196-AJ3202+AJ3203+AJ3255)</f>
        <v>1.101629276</v>
      </c>
      <c r="AK3361" s="95">
        <f>IF(AK3360-AK3196-AK3308+AK3255&gt;0,(1-'Assumptions (Oil G&amp;T)'!AJ$79)*(AK3360-AK3196-AK3308+AK3255)-AK3202+AK3203+AK3308,AK3360-AK3196-AK3202+AK3203+AK3255)</f>
        <v>0.9359972544</v>
      </c>
      <c r="AL3361" s="95">
        <f>IF(AL3360-AL3196-AL3308+AL3255&gt;0,(1-'Assumptions (Oil G&amp;T)'!AK$79)*(AL3360-AL3196-AL3308+AL3255)-AL3202+AL3203+AL3308,AL3360-AL3196-AL3202+AL3203+AL3255)</f>
        <v>0.6687525398</v>
      </c>
      <c r="AM3361" s="95">
        <f>IF(AM3360-AM3196-AM3308+AM3255&gt;0,(1-'Assumptions (Oil G&amp;T)'!AL$79)*(AM3360-AM3196-AM3308+AM3255)-AM3202+AM3203+AM3308,AM3360-AM3196-AM3202+AM3203+AM3255)</f>
        <v>0.4222752453</v>
      </c>
      <c r="AN3361" s="95">
        <f>IF(AN3360-AN3196-AN3308+AN3255&gt;0,(1-'Assumptions (Oil G&amp;T)'!AM$79)*(AN3360-AN3196-AN3308+AN3255)-AN3202+AN3203+AN3308,AN3360-AN3196-AN3202+AN3203+AN3255)</f>
        <v>0.1479263718</v>
      </c>
      <c r="AO3361" s="95">
        <f>IF(AO3360-AO3196-AO3308+AO3255&gt;0,(1-'Assumptions (Oil G&amp;T)'!AN$79)*(AO3360-AO3196-AO3308+AO3255)-AO3202+AO3203+AO3308,AO3360-AO3196-AO3202+AO3203+AO3255)</f>
        <v>-0.04820877159</v>
      </c>
      <c r="AP3361" s="95">
        <f>IF(AP3360-AP3196-AP3308+AP3255&gt;0,(1-'Assumptions (Oil G&amp;T)'!AO$79)*(AP3360-AP3196-AP3308+AP3255)-AP3202+AP3203+AP3308,AP3360-AP3196-AP3202+AP3203+AP3255)</f>
        <v>-0.2571252822</v>
      </c>
      <c r="AQ3361" s="95">
        <f>IF(AQ3360-AQ3196-AQ3308+AQ3255&gt;0,(1-'Assumptions (Oil G&amp;T)'!AP$79)*(AQ3360-AQ3196-AQ3308+AQ3255)-AQ3202+AQ3203+AQ3308,AQ3360-AQ3196-AQ3202+AQ3203+AQ3255)</f>
        <v>-0.4940019787</v>
      </c>
      <c r="AR3361" s="95">
        <f>IF(AR3360-AR3196-AR3308+AR3255&gt;0,(1-'Assumptions (Oil G&amp;T)'!AQ$79)*(AR3360-AR3196-AR3308+AR3255)-AR3202+AR3203+AR3308,AR3360-AR3196-AR3202+AR3203+AR3255)</f>
        <v>-0.5512505274</v>
      </c>
      <c r="AS3361" s="95">
        <f>IF(AS3360-AS3196-AS3308+AS3255&gt;0,(1-'Assumptions (Oil G&amp;T)'!AR$79)*(AS3360-AS3196-AS3308+AS3255)-AS3202+AS3203+AS3308,AS3360-AS3196-AS3202+AS3203+AS3255)</f>
        <v>-0.6953428068</v>
      </c>
      <c r="AT3361" s="95">
        <f>IF(AT3360-AT3196-AT3308+AT3255&gt;0,(1-'Assumptions (Oil G&amp;T)'!AS$79)*(AT3360-AT3196-AT3308+AT3255)-AT3202+AT3203+AT3308,AT3360-AT3196-AT3202+AT3203+AT3255)</f>
        <v>-0.9226699906</v>
      </c>
      <c r="AU3361" s="95">
        <f>IF(AU3360-AU3196-AU3308+AU3255&gt;0,(1-'Assumptions (Oil G&amp;T)'!AT$79)*(AU3360-AU3196-AU3308+AU3255)-AU3202+AU3203+AU3308,AU3360-AU3196-AU3202+AU3203+AU3255)</f>
        <v>-1.126009436</v>
      </c>
      <c r="AV3361" s="95">
        <f>IF(AV3360-AV3196-AV3308+AV3255&gt;0,(1-'Assumptions (Oil G&amp;T)'!AU$79)*(AV3360-AV3196-AV3308+AV3255)-AV3202+AV3203+AV3308,AV3360-AV3196-AV3202+AV3203+AV3255)</f>
        <v>-1.510077616</v>
      </c>
      <c r="AW3361" s="95">
        <f>IF(AW3360-AW3196-AW3308+AW3255&gt;0,(1-'Assumptions (Oil G&amp;T)'!AV$79)*(AW3360-AW3196-AW3308+AW3255)-AW3202+AW3203+AW3308,AW3360-AW3196-AW3202+AW3203+AW3255)</f>
        <v>-1.787729969</v>
      </c>
      <c r="AX3361" s="95">
        <f>IF(AX3360-AX3196-AX3308+AX3255&gt;0,(1-'Assumptions (Oil G&amp;T)'!AW$79)*(AX3360-AX3196-AX3308+AX3255)-AX3202+AX3203+AX3308,AX3360-AX3196-AX3202+AX3203+AX3255)</f>
        <v>-1.99070935</v>
      </c>
      <c r="AY3361" s="95">
        <f>IF(AY3360-AY3196-AY3308+AY3255&gt;0,(1-'Assumptions (Oil G&amp;T)'!AX$79)*(AY3360-AY3196-AY3308+AY3255)-AY3202+AY3203+AY3308,AY3360-AY3196-AY3202+AY3203+AY3255)</f>
        <v>-2.18911477</v>
      </c>
      <c r="AZ3361" s="95">
        <f>IF(AZ3360-AZ3196-AZ3308+AZ3255&gt;0,(1-'Assumptions (Oil G&amp;T)'!AY$79)*(AZ3360-AZ3196-AZ3308+AZ3255)-AZ3202+AZ3203+AZ3308,AZ3360-AZ3196-AZ3202+AZ3203+AZ3255)</f>
        <v>-2.596088696</v>
      </c>
      <c r="BA3361" s="95">
        <f>IF(BA3360-BA3196-BA3308+BA3255&gt;0,(1-'Assumptions (Oil G&amp;T)'!AZ$79)*(BA3360-BA3196-BA3308+BA3255)-BA3202+BA3203+BA3308,BA3360-BA3196-BA3202+BA3203+BA3255)</f>
        <v>-2.797925841</v>
      </c>
    </row>
    <row r="3362" ht="15.75" customHeight="1">
      <c r="A3362" s="385" t="s">
        <v>375</v>
      </c>
      <c r="B3362" s="159" t="s">
        <v>351</v>
      </c>
      <c r="C3362" s="95">
        <f>IF(C3360-C3196-C3308-C3255&gt;0,'Assumptions (Oil G&amp;T)'!B$79*(C3360-C3196-C3308+C3255),0)</f>
        <v>0.992538696</v>
      </c>
      <c r="D3362" s="95">
        <f>IF(D3360-D3196-D3308-D3255&gt;0,'Assumptions (Oil G&amp;T)'!C$79*(D3360-D3196-D3308+D3255),0)</f>
        <v>0.954071169</v>
      </c>
      <c r="E3362" s="95">
        <f>IF(E3360-E3196-E3308-E3255&gt;0,'Assumptions (Oil G&amp;T)'!D$79*(E3360-E3196-E3308+E3255),0)</f>
        <v>0.9032980485</v>
      </c>
      <c r="F3362" s="95">
        <f>IF(F3360-F3196-F3308-F3255&gt;0,'Assumptions (Oil G&amp;T)'!E$79*(F3360-F3196-F3308+F3255),0)</f>
        <v>0.7207800684</v>
      </c>
      <c r="G3362" s="95">
        <f>IF(G3360-G3196-G3308-G3255&gt;0,'Assumptions (Oil G&amp;T)'!F$79*(G3360-G3196-G3308+G3255),0)</f>
        <v>1.342079064</v>
      </c>
      <c r="H3362" s="95">
        <f>IF(H3360-H3196-H3308-H3255&gt;0,'Assumptions (Oil G&amp;T)'!G$79*(H3360-H3196-H3308+H3255),0)</f>
        <v>1.36054531</v>
      </c>
      <c r="I3362" s="95">
        <f>IF(I3360-I3196-I3308-I3255&gt;0,'Assumptions (Oil G&amp;T)'!H$79*(I3360-I3196-I3308+I3255),0)</f>
        <v>1.206592633</v>
      </c>
      <c r="J3362" s="95">
        <f>IF(J3360-J3196-J3308-J3255&gt;0,'Assumptions (Oil G&amp;T)'!I$79*(J3360-J3196-J3308+J3255),0)</f>
        <v>1.187231122</v>
      </c>
      <c r="K3362" s="95">
        <f>IF(K3360-K3196-K3308-K3255&gt;0,'Assumptions (Oil G&amp;T)'!J$79*(K3360-K3196-K3308+K3255),0)</f>
        <v>1.088423944</v>
      </c>
      <c r="L3362" s="95">
        <f>IF(L3360-L3196-L3308-L3255&gt;0,'Assumptions (Oil G&amp;T)'!K$79*(L3360-L3196-L3308+L3255),0)</f>
        <v>1.180750345</v>
      </c>
      <c r="M3362" s="95">
        <f>IF(M3360-M3196-M3308-M3255&gt;0,'Assumptions (Oil G&amp;T)'!L$79*(M3360-M3196-M3308+M3255),0)</f>
        <v>0.9531378413</v>
      </c>
      <c r="N3362" s="95">
        <f>IF(N3360-N3196-N3308-N3255&gt;0,'Assumptions (Oil G&amp;T)'!M$79*(N3360-N3196-N3308+N3255),0)</f>
        <v>1.5543882</v>
      </c>
      <c r="O3362" s="95">
        <f>IF(O3360-O3196-O3308-O3255&gt;0,'Assumptions (Oil G&amp;T)'!N$79*(O3360-O3196-O3308+O3255),0)</f>
        <v>1.887061702</v>
      </c>
      <c r="P3362" s="95">
        <f>IF(P3360-P3196-P3308-P3255&gt;0,'Assumptions (Oil G&amp;T)'!O$79*(P3360-P3196-P3308+P3255),0)</f>
        <v>1.667772684</v>
      </c>
      <c r="Q3362" s="95">
        <f>IF(Q3360-Q3196-Q3308-Q3255&gt;0,'Assumptions (Oil G&amp;T)'!P$79*(Q3360-Q3196-Q3308+Q3255),0)</f>
        <v>1.993883498</v>
      </c>
      <c r="R3362" s="95">
        <f>IF(R3360-R3196-R3308-R3255&gt;0,'Assumptions (Oil G&amp;T)'!Q$79*(R3360-R3196-R3308+R3255),0)</f>
        <v>2.149790621</v>
      </c>
      <c r="S3362" s="95">
        <f>IF(S3360-S3196-S3308-S3255&gt;0,'Assumptions (Oil G&amp;T)'!R$79*(S3360-S3196-S3308+S3255),0)</f>
        <v>2.090101197</v>
      </c>
      <c r="T3362" s="95">
        <f>IF(T3360-T3196-T3308-T3255&gt;0,'Assumptions (Oil G&amp;T)'!S$79*(T3360-T3196-T3308+T3255),0)</f>
        <v>1.751100817</v>
      </c>
      <c r="U3362" s="95">
        <f>IF(U3360-U3196-U3308-U3255&gt;0,'Assumptions (Oil G&amp;T)'!T$79*(U3360-U3196-U3308+U3255),0)</f>
        <v>1.643256738</v>
      </c>
      <c r="V3362" s="95">
        <f>IF(V3360-V3196-V3308-V3255&gt;0,'Assumptions (Oil G&amp;T)'!U$79*(V3360-V3196-V3308+V3255),0)</f>
        <v>2.023107023</v>
      </c>
      <c r="W3362" s="95">
        <f>IF(W3360-W3196-W3308-W3255&gt;0,'Assumptions (Oil G&amp;T)'!V$79*(W3360-W3196-W3308+W3255),0)</f>
        <v>2.262743553</v>
      </c>
      <c r="X3362" s="95">
        <f>IF(X3360-X3196-X3308-X3255&gt;0,'Assumptions (Oil G&amp;T)'!W$79*(X3360-X3196-X3308+X3255),0)</f>
        <v>2.249748529</v>
      </c>
      <c r="Y3362" s="95">
        <f>IF(Y3360-Y3196-Y3308-Y3255&gt;0,'Assumptions (Oil G&amp;T)'!X$79*(Y3360-Y3196-Y3308+Y3255),0)</f>
        <v>2.022629497</v>
      </c>
      <c r="Z3362" s="95">
        <f>IF(Z3360-Z3196-Z3308-Z3255&gt;0,'Assumptions (Oil G&amp;T)'!Y$79*(Z3360-Z3196-Z3308+Z3255),0)</f>
        <v>1.748179162</v>
      </c>
      <c r="AA3362" s="95">
        <f>IF(AA3360-AA3196-AA3308-AA3255&gt;0,'Assumptions (Oil G&amp;T)'!Z$79*(AA3360-AA3196-AA3308+AA3255),0)</f>
        <v>1.638085672</v>
      </c>
      <c r="AB3362" s="95">
        <f>IF(AB3360-AB3196-AB3308-AB3255&gt;0,'Assumptions (Oil G&amp;T)'!AA$79*(AB3360-AB3196-AB3308+AB3255),0)</f>
        <v>1.474717281</v>
      </c>
      <c r="AC3362" s="95">
        <f>IF(AC3360-AC3196-AC3308-AC3255&gt;0,'Assumptions (Oil G&amp;T)'!AB$79*(AC3360-AC3196-AC3308+AC3255),0)</f>
        <v>1.390569293</v>
      </c>
      <c r="AD3362" s="95">
        <f>IF(AD3360-AD3196-AD3308-AD3255&gt;0,'Assumptions (Oil G&amp;T)'!AC$79*(AD3360-AD3196-AD3308+AD3255),0)</f>
        <v>1.357755302</v>
      </c>
      <c r="AE3362" s="95">
        <f>IF(AE3360-AE3196-AE3308-AE3255&gt;0,'Assumptions (Oil G&amp;T)'!AD$79*(AE3360-AE3196-AE3308+AE3255),0)</f>
        <v>1.205284313</v>
      </c>
      <c r="AF3362" s="95">
        <f>IF(AF3360-AF3196-AF3308-AF3255&gt;0,'Assumptions (Oil G&amp;T)'!AE$79*(AF3360-AF3196-AF3308+AF3255),0)</f>
        <v>1.099629104</v>
      </c>
      <c r="AG3362" s="95">
        <f>IF(AG3360-AG3196-AG3308-AG3255&gt;0,'Assumptions (Oil G&amp;T)'!AF$79*(AG3360-AG3196-AG3308+AG3255),0)</f>
        <v>0.9829445461</v>
      </c>
      <c r="AH3362" s="95">
        <f>IF(AH3360-AH3196-AH3308-AH3255&gt;0,'Assumptions (Oil G&amp;T)'!AG$79*(AH3360-AH3196-AH3308+AH3255),0)</f>
        <v>0.8531248578</v>
      </c>
      <c r="AI3362" s="95">
        <f>IF(AI3360-AI3196-AI3308-AI3255&gt;0,'Assumptions (Oil G&amp;T)'!AH$79*(AI3360-AI3196-AI3308+AI3255),0)</f>
        <v>0.6674940579</v>
      </c>
      <c r="AJ3362" s="95">
        <f>IF(AJ3360-AJ3196-AJ3308-AJ3255&gt;0,'Assumptions (Oil G&amp;T)'!AI$79*(AJ3360-AJ3196-AJ3308+AJ3255),0)</f>
        <v>0.5287162392</v>
      </c>
      <c r="AK3362" s="95">
        <f>IF(AK3360-AK3196-AK3308-AK3255&gt;0,'Assumptions (Oil G&amp;T)'!AJ$79*(AK3360-AK3196-AK3308+AK3255),0)</f>
        <v>0.4942733512</v>
      </c>
      <c r="AL3362" s="95">
        <f>IF(AL3360-AL3196-AL3308-AL3255&gt;0,'Assumptions (Oil G&amp;T)'!AK$79*(AL3360-AL3196-AL3308+AL3255),0)</f>
        <v>0.4229691747</v>
      </c>
      <c r="AM3362" s="95">
        <f>IF(AM3360-AM3196-AM3308-AM3255&gt;0,'Assumptions (Oil G&amp;T)'!AL$79*(AM3360-AM3196-AM3308+AM3255),0)</f>
        <v>0.2752978556</v>
      </c>
      <c r="AN3362" s="95">
        <f>IF(AN3360-AN3196-AN3308-AN3255&gt;0,'Assumptions (Oil G&amp;T)'!AM$79*(AN3360-AN3196-AN3308+AN3255),0)</f>
        <v>0.1153161247</v>
      </c>
      <c r="AO3362" s="95">
        <f>IF(AO3360-AO3196-AO3308-AO3255&gt;0,'Assumptions (Oil G&amp;T)'!AN$79*(AO3360-AO3196-AO3308+AO3255),0)</f>
        <v>0.02775525319</v>
      </c>
      <c r="AP3362" s="95">
        <f>IF(AP3360-AP3196-AP3308-AP3255&gt;0,'Assumptions (Oil G&amp;T)'!AO$79*(AP3360-AP3196-AP3308+AP3255),0)</f>
        <v>-0.03866194995</v>
      </c>
      <c r="AQ3362" s="95">
        <f>IF(AQ3360-AQ3196-AQ3308-AQ3255&gt;0,'Assumptions (Oil G&amp;T)'!AP$79*(AQ3360-AQ3196-AQ3308+AQ3255),0)</f>
        <v>-0.09803790696</v>
      </c>
      <c r="AR3362" s="95">
        <f>IF(AR3360-AR3196-AR3308-AR3255&gt;0,'Assumptions (Oil G&amp;T)'!AQ$79*(AR3360-AR3196-AR3308+AR3255),0)</f>
        <v>-0.1133672298</v>
      </c>
      <c r="AS3362" s="95">
        <f>IF(AS3360-AS3196-AS3308-AS3255&gt;0,'Assumptions (Oil G&amp;T)'!AR$79*(AS3360-AS3196-AS3308+AS3255),0)</f>
        <v>-0.149760878</v>
      </c>
      <c r="AT3362" s="95">
        <f>IF(AT3360-AT3196-AT3308-AT3255&gt;0,'Assumptions (Oil G&amp;T)'!AS$79*(AT3360-AT3196-AT3308+AT3255),0)</f>
        <v>-0.2055558138</v>
      </c>
      <c r="AU3362" s="95">
        <f>IF(AU3360-AU3196-AU3308-AU3255&gt;0,'Assumptions (Oil G&amp;T)'!AT$79*(AU3360-AU3196-AU3308+AU3255),0)</f>
        <v>-0.2562305087</v>
      </c>
      <c r="AV3362" s="95">
        <f>IF(AV3360-AV3196-AV3308-AV3255&gt;0,'Assumptions (Oil G&amp;T)'!AU$79*(AV3360-AV3196-AV3308+AV3255),0)</f>
        <v>-0.3485559126</v>
      </c>
      <c r="AW3362" s="95">
        <f>IF(AW3360-AW3196-AW3308-AW3255&gt;0,'Assumptions (Oil G&amp;T)'!AV$79*(AW3360-AW3196-AW3308+AW3255),0)</f>
        <v>-0.4157329316</v>
      </c>
      <c r="AX3362" s="95">
        <f>IF(AX3360-AX3196-AX3308-AX3255&gt;0,'Assumptions (Oil G&amp;T)'!AW$79*(AX3360-AX3196-AX3308+AX3255),0)</f>
        <v>-0.4639348824</v>
      </c>
      <c r="AY3362" s="95">
        <f>IF(AY3360-AY3196-AY3308-AY3255&gt;0,'Assumptions (Oil G&amp;T)'!AX$79*(AY3360-AY3196-AY3308+AY3255),0)</f>
        <v>-0.5098670212</v>
      </c>
      <c r="AZ3362" s="95">
        <f>IF(AZ3360-AZ3196-AZ3308-AZ3255&gt;0,'Assumptions (Oil G&amp;T)'!AY$79*(AZ3360-AZ3196-AZ3308+AZ3255),0)</f>
        <v>-0.6040040923</v>
      </c>
      <c r="BA3362" s="95">
        <f>IF(BA3360-BA3196-BA3308-BA3255&gt;0,'Assumptions (Oil G&amp;T)'!AZ$79*(BA3360-BA3196-BA3308+BA3255),0)</f>
        <v>-0.6489703293</v>
      </c>
    </row>
    <row r="3363" ht="15.75" customHeight="1">
      <c r="A3363" s="388" t="s">
        <v>456</v>
      </c>
      <c r="B3363" s="150"/>
      <c r="C3363" s="95"/>
      <c r="D3363" s="95"/>
      <c r="E3363" s="95"/>
      <c r="F3363" s="95"/>
      <c r="G3363" s="95"/>
      <c r="H3363" s="95"/>
      <c r="I3363" s="95"/>
      <c r="J3363" s="95"/>
      <c r="K3363" s="95"/>
      <c r="L3363" s="95"/>
      <c r="M3363" s="95"/>
      <c r="N3363" s="95"/>
      <c r="O3363" s="95"/>
      <c r="P3363" s="95"/>
      <c r="Q3363" s="95"/>
      <c r="R3363" s="95"/>
      <c r="S3363" s="95"/>
      <c r="T3363" s="95"/>
      <c r="U3363" s="95"/>
      <c r="V3363" s="95"/>
      <c r="W3363" s="95"/>
      <c r="X3363" s="95"/>
      <c r="Y3363" s="95"/>
      <c r="Z3363" s="95"/>
      <c r="AA3363" s="95"/>
      <c r="AB3363" s="95"/>
      <c r="AC3363" s="95"/>
      <c r="AD3363" s="95"/>
      <c r="AE3363" s="95"/>
      <c r="AF3363" s="95"/>
      <c r="AG3363" s="95"/>
      <c r="AH3363" s="95"/>
      <c r="AI3363" s="95"/>
      <c r="AJ3363" s="95"/>
      <c r="AK3363" s="95"/>
      <c r="AL3363" s="95"/>
      <c r="AM3363" s="95"/>
      <c r="AN3363" s="95"/>
      <c r="AO3363" s="95"/>
      <c r="AP3363" s="95"/>
      <c r="AQ3363" s="95"/>
      <c r="AR3363" s="95"/>
      <c r="AS3363" s="95"/>
      <c r="AT3363" s="95"/>
      <c r="AU3363" s="95"/>
      <c r="AV3363" s="95"/>
      <c r="AW3363" s="95"/>
      <c r="AX3363" s="95"/>
      <c r="AY3363" s="95"/>
      <c r="AZ3363" s="95"/>
      <c r="BA3363" s="95"/>
    </row>
    <row r="3364" ht="15.75" customHeight="1">
      <c r="A3364" s="389" t="s">
        <v>404</v>
      </c>
      <c r="B3364" s="150" t="s">
        <v>351</v>
      </c>
      <c r="C3364" s="95">
        <f>'Assumptions (O&amp;G Upstream)'!C188</f>
        <v>45.60505049</v>
      </c>
      <c r="D3364" s="95">
        <f>'Assumptions (O&amp;G Upstream)'!D188</f>
        <v>45.9109988</v>
      </c>
      <c r="E3364" s="95">
        <f>'Assumptions (O&amp;G Upstream)'!E188</f>
        <v>45.05182034</v>
      </c>
      <c r="F3364" s="95">
        <f>'Assumptions (O&amp;G Upstream)'!F188</f>
        <v>47.19927625</v>
      </c>
      <c r="G3364" s="95">
        <f>'Assumptions (O&amp;G Upstream)'!G188</f>
        <v>49.52083973</v>
      </c>
      <c r="H3364" s="95">
        <f>'Assumptions (O&amp;G Upstream)'!H188</f>
        <v>55.63954666</v>
      </c>
      <c r="I3364" s="95">
        <f>'Assumptions (O&amp;G Upstream)'!I188</f>
        <v>56.92956494</v>
      </c>
      <c r="J3364" s="95">
        <f>'Assumptions (O&amp;G Upstream)'!J188</f>
        <v>66.31300775</v>
      </c>
      <c r="K3364" s="95">
        <f>'Assumptions (O&amp;G Upstream)'!K188</f>
        <v>81.8636061</v>
      </c>
      <c r="L3364" s="95">
        <f>'Assumptions (O&amp;G Upstream)'!L188</f>
        <v>78.02865303</v>
      </c>
      <c r="M3364" s="95">
        <f>'Assumptions (O&amp;G Upstream)'!M188</f>
        <v>74.95940205</v>
      </c>
      <c r="N3364" s="95">
        <f>'Assumptions (O&amp;G Upstream)'!N188</f>
        <v>87.66744474</v>
      </c>
      <c r="O3364" s="95">
        <f>'Assumptions (O&amp;G Upstream)'!O188</f>
        <v>89.01252802</v>
      </c>
      <c r="P3364" s="95">
        <f>'Assumptions (O&amp;G Upstream)'!P188</f>
        <v>99.298667</v>
      </c>
      <c r="Q3364" s="95">
        <f>'Assumptions (O&amp;G Upstream)'!Q188</f>
        <v>113.4537213</v>
      </c>
      <c r="R3364" s="95">
        <f>'Assumptions (O&amp;G Upstream)'!R188</f>
        <v>110.2287395</v>
      </c>
      <c r="S3364" s="95">
        <f>'Assumptions (O&amp;G Upstream)'!S188</f>
        <v>98.33929383</v>
      </c>
      <c r="T3364" s="95">
        <f>'Assumptions (O&amp;G Upstream)'!T188</f>
        <v>104.2303629</v>
      </c>
      <c r="U3364" s="95">
        <f>'Assumptions (O&amp;G Upstream)'!U188</f>
        <v>107.1196122</v>
      </c>
      <c r="V3364" s="95">
        <f>'Assumptions (O&amp;G Upstream)'!V188</f>
        <v>120.1773502</v>
      </c>
      <c r="W3364" s="95">
        <f>'Assumptions (O&amp;G Upstream)'!W188</f>
        <v>122.5772578</v>
      </c>
      <c r="X3364" s="95">
        <f>'Assumptions (O&amp;G Upstream)'!X188</f>
        <v>123.7102934</v>
      </c>
      <c r="Y3364" s="95">
        <f>'Assumptions (O&amp;G Upstream)'!Y188</f>
        <v>123.936216</v>
      </c>
      <c r="Z3364" s="95">
        <f>'Assumptions (O&amp;G Upstream)'!Z188</f>
        <v>123.9264783</v>
      </c>
      <c r="AA3364" s="95">
        <f>'Assumptions (O&amp;G Upstream)'!AA188</f>
        <v>124.4626208</v>
      </c>
      <c r="AB3364" s="95">
        <f>'Assumptions (O&amp;G Upstream)'!AB188</f>
        <v>124.7144424</v>
      </c>
      <c r="AC3364" s="95">
        <f>'Assumptions (O&amp;G Upstream)'!AC188</f>
        <v>125.2330682</v>
      </c>
      <c r="AD3364" s="95">
        <f>'Assumptions (O&amp;G Upstream)'!AD188</f>
        <v>125.8426075</v>
      </c>
      <c r="AE3364" s="95">
        <f>'Assumptions (O&amp;G Upstream)'!AE188</f>
        <v>125.9296642</v>
      </c>
      <c r="AF3364" s="95">
        <f>'Assumptions (O&amp;G Upstream)'!AF188</f>
        <v>126.1848731</v>
      </c>
      <c r="AG3364" s="95">
        <f>'Assumptions (O&amp;G Upstream)'!AG188</f>
        <v>126.3715088</v>
      </c>
      <c r="AH3364" s="95">
        <f>'Assumptions (O&amp;G Upstream)'!AH188</f>
        <v>126.5069695</v>
      </c>
      <c r="AI3364" s="95">
        <f>'Assumptions (O&amp;G Upstream)'!AI188</f>
        <v>126.4200206</v>
      </c>
      <c r="AJ3364" s="95">
        <f>'Assumptions (O&amp;G Upstream)'!AJ188</f>
        <v>126.2653176</v>
      </c>
      <c r="AK3364" s="95">
        <f>'Assumptions (O&amp;G Upstream)'!AK188</f>
        <v>126.1979472</v>
      </c>
      <c r="AL3364" s="95">
        <f>'Assumptions (O&amp;G Upstream)'!AL188</f>
        <v>125.9782919</v>
      </c>
      <c r="AM3364" s="95">
        <f>'Assumptions (O&amp;G Upstream)'!AM188</f>
        <v>125.6881752</v>
      </c>
      <c r="AN3364" s="95">
        <f>'Assumptions (O&amp;G Upstream)'!AN188</f>
        <v>125.3511134</v>
      </c>
      <c r="AO3364" s="95">
        <f>'Assumptions (O&amp;G Upstream)'!AO188</f>
        <v>125.1323126</v>
      </c>
      <c r="AP3364" s="95">
        <f>'Assumptions (O&amp;G Upstream)'!AP188</f>
        <v>124.9391941</v>
      </c>
      <c r="AQ3364" s="95">
        <f>'Assumptions (O&amp;G Upstream)'!AQ188</f>
        <v>124.736424</v>
      </c>
      <c r="AR3364" s="95">
        <f>'Assumptions (O&amp;G Upstream)'!AR188</f>
        <v>124.6777878</v>
      </c>
      <c r="AS3364" s="95">
        <f>'Assumptions (O&amp;G Upstream)'!AS188</f>
        <v>124.5308471</v>
      </c>
      <c r="AT3364" s="95">
        <f>'Assumptions (O&amp;G Upstream)'!AT188</f>
        <v>124.3042489</v>
      </c>
      <c r="AU3364" s="95">
        <f>'Assumptions (O&amp;G Upstream)'!AU188</f>
        <v>124.088276</v>
      </c>
      <c r="AV3364" s="95">
        <f>'Assumptions (O&amp;G Upstream)'!AV188</f>
        <v>123.6960829</v>
      </c>
      <c r="AW3364" s="95">
        <f>'Assumptions (O&amp;G Upstream)'!AW188</f>
        <v>123.3864275</v>
      </c>
      <c r="AX3364" s="95">
        <f>'Assumptions (O&amp;G Upstream)'!AX188</f>
        <v>123.1388661</v>
      </c>
      <c r="AY3364" s="95">
        <f>'Assumptions (O&amp;G Upstream)'!AY188</f>
        <v>122.8907026</v>
      </c>
      <c r="AZ3364" s="95">
        <f>'Assumptions (O&amp;G Upstream)'!AZ188</f>
        <v>122.4303587</v>
      </c>
      <c r="BA3364" s="95">
        <f>'Assumptions (O&amp;G Upstream)'!BA188</f>
        <v>122.1610024</v>
      </c>
    </row>
    <row r="3365" ht="15.75" customHeight="1">
      <c r="A3365" s="389" t="s">
        <v>358</v>
      </c>
      <c r="B3365" s="150" t="s">
        <v>351</v>
      </c>
      <c r="C3365" s="95">
        <f>'Assumptions (O&amp;G Upstream)'!C305</f>
        <v>31.1</v>
      </c>
      <c r="D3365" s="95">
        <f>'Assumptions (O&amp;G Upstream)'!D305</f>
        <v>41.7</v>
      </c>
      <c r="E3365" s="95">
        <f>'Assumptions (O&amp;G Upstream)'!E305</f>
        <v>33.8</v>
      </c>
      <c r="F3365" s="95">
        <f>'Assumptions (O&amp;G Upstream)'!F305</f>
        <v>44.7</v>
      </c>
      <c r="G3365" s="95">
        <f>'Assumptions (O&amp;G Upstream)'!G305</f>
        <v>51.7</v>
      </c>
      <c r="H3365" s="95">
        <f>'Assumptions (O&amp;G Upstream)'!H305</f>
        <v>71.7</v>
      </c>
      <c r="I3365" s="95">
        <f>'Assumptions (O&amp;G Upstream)'!I305</f>
        <v>98.8</v>
      </c>
      <c r="J3365" s="95">
        <f>'Assumptions (O&amp;G Upstream)'!J305</f>
        <v>108.1</v>
      </c>
      <c r="K3365" s="95">
        <f>'Assumptions (O&amp;G Upstream)'!K305</f>
        <v>125.3</v>
      </c>
      <c r="L3365" s="95">
        <f>'Assumptions (O&amp;G Upstream)'!L305</f>
        <v>87.2</v>
      </c>
      <c r="M3365" s="95">
        <f>'Assumptions (O&amp;G Upstream)'!M305</f>
        <v>103.1</v>
      </c>
      <c r="N3365" s="95">
        <f>'Assumptions (O&amp;G Upstream)'!N305</f>
        <v>130.2</v>
      </c>
      <c r="O3365" s="95">
        <f>'Assumptions (O&amp;G Upstream)'!O305</f>
        <v>162.7</v>
      </c>
      <c r="P3365" s="95">
        <f>'Assumptions (O&amp;G Upstream)'!P305</f>
        <v>170.6</v>
      </c>
      <c r="Q3365" s="95">
        <f>'Assumptions (O&amp;G Upstream)'!Q305</f>
        <v>203.9</v>
      </c>
      <c r="R3365" s="95">
        <f>'Assumptions (O&amp;G Upstream)'!R305</f>
        <v>149.6</v>
      </c>
      <c r="S3365" s="95">
        <f>'Assumptions (O&amp;G Upstream)'!S305</f>
        <v>79.9</v>
      </c>
      <c r="T3365" s="95">
        <f>'Assumptions (O&amp;G Upstream)'!T305</f>
        <v>112.3</v>
      </c>
      <c r="U3365" s="95">
        <f>'Assumptions (O&amp;G Upstream)'!U305</f>
        <v>168.5105323</v>
      </c>
      <c r="V3365" s="95">
        <f>'Assumptions (O&amp;G Upstream)'!V305</f>
        <v>189.6636615</v>
      </c>
      <c r="W3365" s="95">
        <f>'Assumptions (O&amp;G Upstream)'!W305</f>
        <v>206.582089</v>
      </c>
      <c r="X3365" s="95">
        <f>'Assumptions (O&amp;G Upstream)'!X305</f>
        <v>217.351437</v>
      </c>
      <c r="Y3365" s="95">
        <f>'Assumptions (O&amp;G Upstream)'!Y305</f>
        <v>220.1246444</v>
      </c>
      <c r="Z3365" s="95">
        <f>'Assumptions (O&amp;G Upstream)'!Z305</f>
        <v>224.9103731</v>
      </c>
      <c r="AA3365" s="95">
        <f>'Assumptions (O&amp;G Upstream)'!AA305</f>
        <v>235.1595854</v>
      </c>
      <c r="AB3365" s="95">
        <f>'Assumptions (O&amp;G Upstream)'!AB305</f>
        <v>243.4061019</v>
      </c>
      <c r="AC3365" s="95">
        <f>'Assumptions (O&amp;G Upstream)'!AC305</f>
        <v>252.5479446</v>
      </c>
      <c r="AD3365" s="95">
        <f>'Assumptions (O&amp;G Upstream)'!AD305</f>
        <v>262.81877</v>
      </c>
      <c r="AE3365" s="95">
        <f>'Assumptions (O&amp;G Upstream)'!AE305</f>
        <v>269.175029</v>
      </c>
      <c r="AF3365" s="95">
        <f>'Assumptions (O&amp;G Upstream)'!AF305</f>
        <v>277.069537</v>
      </c>
      <c r="AG3365" s="95">
        <f>'Assumptions (O&amp;G Upstream)'!AG305</f>
        <v>283.7640479</v>
      </c>
      <c r="AH3365" s="95">
        <f>'Assumptions (O&amp;G Upstream)'!AH305</f>
        <v>291.1472762</v>
      </c>
      <c r="AI3365" s="95">
        <f>'Assumptions (O&amp;G Upstream)'!AI305</f>
        <v>296.0584149</v>
      </c>
      <c r="AJ3365" s="95">
        <f>'Assumptions (O&amp;G Upstream)'!AJ305</f>
        <v>303.5991857</v>
      </c>
      <c r="AK3365" s="95">
        <f>'Assumptions (O&amp;G Upstream)'!AK305</f>
        <v>308.1018894</v>
      </c>
      <c r="AL3365" s="95">
        <f>'Assumptions (O&amp;G Upstream)'!AL305</f>
        <v>313.6107738</v>
      </c>
      <c r="AM3365" s="95">
        <f>'Assumptions (O&amp;G Upstream)'!AM305</f>
        <v>319.7110538</v>
      </c>
      <c r="AN3365" s="95">
        <f>'Assumptions (O&amp;G Upstream)'!AN305</f>
        <v>321.2982685</v>
      </c>
      <c r="AO3365" s="95">
        <f>'Assumptions (O&amp;G Upstream)'!AO305</f>
        <v>326.7825855</v>
      </c>
      <c r="AP3365" s="95">
        <f>'Assumptions (O&amp;G Upstream)'!AP305</f>
        <v>331.7565222</v>
      </c>
      <c r="AQ3365" s="95">
        <f>'Assumptions (O&amp;G Upstream)'!AQ305</f>
        <v>338.389383</v>
      </c>
      <c r="AR3365" s="95">
        <f>'Assumptions (O&amp;G Upstream)'!AR305</f>
        <v>344.2856115</v>
      </c>
      <c r="AS3365" s="95">
        <f>'Assumptions (O&amp;G Upstream)'!AS305</f>
        <v>351.5722606</v>
      </c>
      <c r="AT3365" s="95">
        <f>'Assumptions (O&amp;G Upstream)'!AT305</f>
        <v>356.2649178</v>
      </c>
      <c r="AU3365" s="95">
        <f>'Assumptions (O&amp;G Upstream)'!AU305</f>
        <v>361.8447209</v>
      </c>
      <c r="AV3365" s="95">
        <f>'Assumptions (O&amp;G Upstream)'!AV305</f>
        <v>366.7061776</v>
      </c>
      <c r="AW3365" s="95">
        <f>'Assumptions (O&amp;G Upstream)'!AW305</f>
        <v>371.8051804</v>
      </c>
      <c r="AX3365" s="95">
        <f>'Assumptions (O&amp;G Upstream)'!AX305</f>
        <v>377.3722989</v>
      </c>
      <c r="AY3365" s="95">
        <f>'Assumptions (O&amp;G Upstream)'!AY305</f>
        <v>383.2136804</v>
      </c>
      <c r="AZ3365" s="95">
        <f>'Assumptions (O&amp;G Upstream)'!AZ305</f>
        <v>387.5942312</v>
      </c>
      <c r="BA3365" s="95">
        <f>'Assumptions (O&amp;G Upstream)'!BA305</f>
        <v>392.9965976</v>
      </c>
    </row>
    <row r="3366" ht="15.75" customHeight="1">
      <c r="A3366" s="389" t="s">
        <v>52</v>
      </c>
      <c r="B3366" s="150" t="s">
        <v>351</v>
      </c>
      <c r="C3366" s="95">
        <f>C3365*'Assumptions (O&amp;G Upstream)'!$B$342</f>
        <v>18.66</v>
      </c>
      <c r="D3366" s="95">
        <f>D3365*'Assumptions (O&amp;G Upstream)'!$B$342</f>
        <v>25.02</v>
      </c>
      <c r="E3366" s="95">
        <f>E3365*'Assumptions (O&amp;G Upstream)'!$B$342</f>
        <v>20.28</v>
      </c>
      <c r="F3366" s="95">
        <f>F3365*'Assumptions (O&amp;G Upstream)'!$B$342</f>
        <v>26.82</v>
      </c>
      <c r="G3366" s="95">
        <f>G3365*'Assumptions (O&amp;G Upstream)'!$B$342</f>
        <v>31.02</v>
      </c>
      <c r="H3366" s="95">
        <f>H3365*'Assumptions (O&amp;G Upstream)'!$B$342</f>
        <v>43.02</v>
      </c>
      <c r="I3366" s="95">
        <f>I3365*'Assumptions (O&amp;G Upstream)'!$B$342</f>
        <v>59.28</v>
      </c>
      <c r="J3366" s="95">
        <f>J3365*'Assumptions (O&amp;G Upstream)'!$B$342</f>
        <v>64.86</v>
      </c>
      <c r="K3366" s="95">
        <f>K3365*'Assumptions (O&amp;G Upstream)'!$B$342</f>
        <v>75.18</v>
      </c>
      <c r="L3366" s="95">
        <f>L3365*'Assumptions (O&amp;G Upstream)'!$B$342</f>
        <v>52.32</v>
      </c>
      <c r="M3366" s="95">
        <f>M3365*'Assumptions (O&amp;G Upstream)'!$B$342</f>
        <v>61.86</v>
      </c>
      <c r="N3366" s="95">
        <f>N3365*'Assumptions (O&amp;G Upstream)'!$B$342</f>
        <v>78.12</v>
      </c>
      <c r="O3366" s="95">
        <f>O3365*'Assumptions (O&amp;G Upstream)'!$B$342</f>
        <v>97.62</v>
      </c>
      <c r="P3366" s="95">
        <f>P3365*'Assumptions (O&amp;G Upstream)'!$B$342</f>
        <v>102.36</v>
      </c>
      <c r="Q3366" s="95">
        <f>Q3365*'Assumptions (O&amp;G Upstream)'!$B$342</f>
        <v>122.34</v>
      </c>
      <c r="R3366" s="95">
        <f>R3365*'Assumptions (O&amp;G Upstream)'!$B$342</f>
        <v>89.76</v>
      </c>
      <c r="S3366" s="95">
        <f>S3365*'Assumptions (O&amp;G Upstream)'!$B$342</f>
        <v>47.94</v>
      </c>
      <c r="T3366" s="95">
        <f>T3365*'Assumptions (O&amp;G Upstream)'!$B$342</f>
        <v>67.38</v>
      </c>
      <c r="U3366" s="95">
        <f>U3365*'Assumptions (O&amp;G Upstream)'!$B$342</f>
        <v>101.1063194</v>
      </c>
      <c r="V3366" s="95">
        <f>V3365*'Assumptions (O&amp;G Upstream)'!$B$342</f>
        <v>113.7981969</v>
      </c>
      <c r="W3366" s="95">
        <f>W3365*'Assumptions (O&amp;G Upstream)'!$B$342</f>
        <v>123.9492534</v>
      </c>
      <c r="X3366" s="95">
        <f>X3365*'Assumptions (O&amp;G Upstream)'!$B$342</f>
        <v>130.4108622</v>
      </c>
      <c r="Y3366" s="95">
        <f>Y3365*'Assumptions (O&amp;G Upstream)'!$B$342</f>
        <v>132.0747866</v>
      </c>
      <c r="Z3366" s="95">
        <f>Z3365*'Assumptions (O&amp;G Upstream)'!$B$342</f>
        <v>134.9462239</v>
      </c>
      <c r="AA3366" s="95">
        <f>AA3365*'Assumptions (O&amp;G Upstream)'!$B$342</f>
        <v>141.0957513</v>
      </c>
      <c r="AB3366" s="95">
        <f>AB3365*'Assumptions (O&amp;G Upstream)'!$B$342</f>
        <v>146.0436612</v>
      </c>
      <c r="AC3366" s="95">
        <f>AC3365*'Assumptions (O&amp;G Upstream)'!$B$342</f>
        <v>151.5287668</v>
      </c>
      <c r="AD3366" s="95">
        <f>AD3365*'Assumptions (O&amp;G Upstream)'!$B$342</f>
        <v>157.691262</v>
      </c>
      <c r="AE3366" s="95">
        <f>AE3365*'Assumptions (O&amp;G Upstream)'!$B$342</f>
        <v>161.5050174</v>
      </c>
      <c r="AF3366" s="95">
        <f>AF3365*'Assumptions (O&amp;G Upstream)'!$B$342</f>
        <v>166.2417222</v>
      </c>
      <c r="AG3366" s="95">
        <f>AG3365*'Assumptions (O&amp;G Upstream)'!$B$342</f>
        <v>170.2584287</v>
      </c>
      <c r="AH3366" s="95">
        <f>AH3365*'Assumptions (O&amp;G Upstream)'!$B$342</f>
        <v>174.6883657</v>
      </c>
      <c r="AI3366" s="95">
        <f>AI3365*'Assumptions (O&amp;G Upstream)'!$B$342</f>
        <v>177.6350489</v>
      </c>
      <c r="AJ3366" s="95">
        <f>AJ3365*'Assumptions (O&amp;G Upstream)'!$B$342</f>
        <v>182.1595114</v>
      </c>
      <c r="AK3366" s="95">
        <f>AK3365*'Assumptions (O&amp;G Upstream)'!$B$342</f>
        <v>184.8611336</v>
      </c>
      <c r="AL3366" s="95">
        <f>AL3365*'Assumptions (O&amp;G Upstream)'!$B$342</f>
        <v>188.1664643</v>
      </c>
      <c r="AM3366" s="95">
        <f>AM3365*'Assumptions (O&amp;G Upstream)'!$B$342</f>
        <v>191.8266323</v>
      </c>
      <c r="AN3366" s="95">
        <f>AN3365*'Assumptions (O&amp;G Upstream)'!$B$342</f>
        <v>192.7789611</v>
      </c>
      <c r="AO3366" s="95">
        <f>AO3365*'Assumptions (O&amp;G Upstream)'!$B$342</f>
        <v>196.0695513</v>
      </c>
      <c r="AP3366" s="95">
        <f>AP3365*'Assumptions (O&amp;G Upstream)'!$B$342</f>
        <v>199.0539133</v>
      </c>
      <c r="AQ3366" s="95">
        <f>AQ3365*'Assumptions (O&amp;G Upstream)'!$B$342</f>
        <v>203.0336298</v>
      </c>
      <c r="AR3366" s="95">
        <f>AR3365*'Assumptions (O&amp;G Upstream)'!$B$342</f>
        <v>206.5713669</v>
      </c>
      <c r="AS3366" s="95">
        <f>AS3365*'Assumptions (O&amp;G Upstream)'!$B$342</f>
        <v>210.9433563</v>
      </c>
      <c r="AT3366" s="95">
        <f>AT3365*'Assumptions (O&amp;G Upstream)'!$B$342</f>
        <v>213.7589507</v>
      </c>
      <c r="AU3366" s="95">
        <f>AU3365*'Assumptions (O&amp;G Upstream)'!$B$342</f>
        <v>217.1068325</v>
      </c>
      <c r="AV3366" s="95">
        <f>AV3365*'Assumptions (O&amp;G Upstream)'!$B$342</f>
        <v>220.0237065</v>
      </c>
      <c r="AW3366" s="95">
        <f>AW3365*'Assumptions (O&amp;G Upstream)'!$B$342</f>
        <v>223.0831083</v>
      </c>
      <c r="AX3366" s="95">
        <f>AX3365*'Assumptions (O&amp;G Upstream)'!$B$342</f>
        <v>226.4233793</v>
      </c>
      <c r="AY3366" s="95">
        <f>AY3365*'Assumptions (O&amp;G Upstream)'!$B$342</f>
        <v>229.9282083</v>
      </c>
      <c r="AZ3366" s="95">
        <f>AZ3365*'Assumptions (O&amp;G Upstream)'!$B$342</f>
        <v>232.5565387</v>
      </c>
      <c r="BA3366" s="95">
        <f>BA3365*'Assumptions (O&amp;G Upstream)'!$B$342</f>
        <v>235.7979586</v>
      </c>
    </row>
    <row r="3367" ht="15.75" customHeight="1">
      <c r="A3367" s="389" t="s">
        <v>54</v>
      </c>
      <c r="B3367" s="150" t="s">
        <v>351</v>
      </c>
      <c r="C3367" s="95">
        <f>C3365*'Assumptions (O&amp;G Upstream)'!$B$343</f>
        <v>12.44</v>
      </c>
      <c r="D3367" s="95">
        <f>D3365*'Assumptions (O&amp;G Upstream)'!$B$343</f>
        <v>16.68</v>
      </c>
      <c r="E3367" s="95">
        <f>E3365*'Assumptions (O&amp;G Upstream)'!$B$343</f>
        <v>13.52</v>
      </c>
      <c r="F3367" s="95">
        <f>F3365*'Assumptions (O&amp;G Upstream)'!$B$343</f>
        <v>17.88</v>
      </c>
      <c r="G3367" s="95">
        <f>G3365*'Assumptions (O&amp;G Upstream)'!$B$343</f>
        <v>20.68</v>
      </c>
      <c r="H3367" s="95">
        <f>H3365*'Assumptions (O&amp;G Upstream)'!$B$343</f>
        <v>28.68</v>
      </c>
      <c r="I3367" s="95">
        <f>I3365*'Assumptions (O&amp;G Upstream)'!$B$343</f>
        <v>39.52</v>
      </c>
      <c r="J3367" s="95">
        <f>J3365*'Assumptions (O&amp;G Upstream)'!$B$343</f>
        <v>43.24</v>
      </c>
      <c r="K3367" s="95">
        <f>K3365*'Assumptions (O&amp;G Upstream)'!$B$343</f>
        <v>50.12</v>
      </c>
      <c r="L3367" s="95">
        <f>L3365*'Assumptions (O&amp;G Upstream)'!$B$343</f>
        <v>34.88</v>
      </c>
      <c r="M3367" s="95">
        <f>M3365*'Assumptions (O&amp;G Upstream)'!$B$343</f>
        <v>41.24</v>
      </c>
      <c r="N3367" s="95">
        <f>N3365*'Assumptions (O&amp;G Upstream)'!$B$343</f>
        <v>52.08</v>
      </c>
      <c r="O3367" s="95">
        <f>O3365*'Assumptions (O&amp;G Upstream)'!$B$343</f>
        <v>65.08</v>
      </c>
      <c r="P3367" s="95">
        <f>P3365*'Assumptions (O&amp;G Upstream)'!$B$343</f>
        <v>68.24</v>
      </c>
      <c r="Q3367" s="95">
        <f>Q3365*'Assumptions (O&amp;G Upstream)'!$B$343</f>
        <v>81.56</v>
      </c>
      <c r="R3367" s="95">
        <f>R3365*'Assumptions (O&amp;G Upstream)'!$B$343</f>
        <v>59.84</v>
      </c>
      <c r="S3367" s="95">
        <f>S3365*'Assumptions (O&amp;G Upstream)'!$B$343</f>
        <v>31.96</v>
      </c>
      <c r="T3367" s="95">
        <f>T3365*'Assumptions (O&amp;G Upstream)'!$B$343</f>
        <v>44.92</v>
      </c>
      <c r="U3367" s="95">
        <f>U3365*'Assumptions (O&amp;G Upstream)'!$B$343</f>
        <v>67.4042129</v>
      </c>
      <c r="V3367" s="95">
        <f>V3365*'Assumptions (O&amp;G Upstream)'!$B$343</f>
        <v>75.86546459</v>
      </c>
      <c r="W3367" s="95">
        <f>W3365*'Assumptions (O&amp;G Upstream)'!$B$343</f>
        <v>82.63283559</v>
      </c>
      <c r="X3367" s="95">
        <f>X3365*'Assumptions (O&amp;G Upstream)'!$B$343</f>
        <v>86.94057479</v>
      </c>
      <c r="Y3367" s="95">
        <f>Y3365*'Assumptions (O&amp;G Upstream)'!$B$343</f>
        <v>88.04985775</v>
      </c>
      <c r="Z3367" s="95">
        <f>Z3365*'Assumptions (O&amp;G Upstream)'!$B$343</f>
        <v>89.96414924</v>
      </c>
      <c r="AA3367" s="95">
        <f>AA3365*'Assumptions (O&amp;G Upstream)'!$B$343</f>
        <v>94.06383417</v>
      </c>
      <c r="AB3367" s="95">
        <f>AB3365*'Assumptions (O&amp;G Upstream)'!$B$343</f>
        <v>97.36244078</v>
      </c>
      <c r="AC3367" s="95">
        <f>AC3365*'Assumptions (O&amp;G Upstream)'!$B$343</f>
        <v>101.0191778</v>
      </c>
      <c r="AD3367" s="95">
        <f>AD3365*'Assumptions (O&amp;G Upstream)'!$B$343</f>
        <v>105.127508</v>
      </c>
      <c r="AE3367" s="95">
        <f>AE3365*'Assumptions (O&amp;G Upstream)'!$B$343</f>
        <v>107.6700116</v>
      </c>
      <c r="AF3367" s="95">
        <f>AF3365*'Assumptions (O&amp;G Upstream)'!$B$343</f>
        <v>110.8278148</v>
      </c>
      <c r="AG3367" s="95">
        <f>AG3365*'Assumptions (O&amp;G Upstream)'!$B$343</f>
        <v>113.5056192</v>
      </c>
      <c r="AH3367" s="95">
        <f>AH3365*'Assumptions (O&amp;G Upstream)'!$B$343</f>
        <v>116.4589105</v>
      </c>
      <c r="AI3367" s="95">
        <f>AI3365*'Assumptions (O&amp;G Upstream)'!$B$343</f>
        <v>118.4233659</v>
      </c>
      <c r="AJ3367" s="95">
        <f>AJ3365*'Assumptions (O&amp;G Upstream)'!$B$343</f>
        <v>121.4396743</v>
      </c>
      <c r="AK3367" s="95">
        <f>AK3365*'Assumptions (O&amp;G Upstream)'!$B$343</f>
        <v>123.2407558</v>
      </c>
      <c r="AL3367" s="95">
        <f>AL3365*'Assumptions (O&amp;G Upstream)'!$B$343</f>
        <v>125.4443095</v>
      </c>
      <c r="AM3367" s="95">
        <f>AM3365*'Assumptions (O&amp;G Upstream)'!$B$343</f>
        <v>127.8844215</v>
      </c>
      <c r="AN3367" s="95">
        <f>AN3365*'Assumptions (O&amp;G Upstream)'!$B$343</f>
        <v>128.5193074</v>
      </c>
      <c r="AO3367" s="95">
        <f>AO3365*'Assumptions (O&amp;G Upstream)'!$B$343</f>
        <v>130.7130342</v>
      </c>
      <c r="AP3367" s="95">
        <f>AP3365*'Assumptions (O&amp;G Upstream)'!$B$343</f>
        <v>132.7026089</v>
      </c>
      <c r="AQ3367" s="95">
        <f>AQ3365*'Assumptions (O&amp;G Upstream)'!$B$343</f>
        <v>135.3557532</v>
      </c>
      <c r="AR3367" s="95">
        <f>AR3365*'Assumptions (O&amp;G Upstream)'!$B$343</f>
        <v>137.7142446</v>
      </c>
      <c r="AS3367" s="95">
        <f>AS3365*'Assumptions (O&amp;G Upstream)'!$B$343</f>
        <v>140.6289042</v>
      </c>
      <c r="AT3367" s="95">
        <f>AT3365*'Assumptions (O&amp;G Upstream)'!$B$343</f>
        <v>142.5059671</v>
      </c>
      <c r="AU3367" s="95">
        <f>AU3365*'Assumptions (O&amp;G Upstream)'!$B$343</f>
        <v>144.7378884</v>
      </c>
      <c r="AV3367" s="95">
        <f>AV3365*'Assumptions (O&amp;G Upstream)'!$B$343</f>
        <v>146.682471</v>
      </c>
      <c r="AW3367" s="95">
        <f>AW3365*'Assumptions (O&amp;G Upstream)'!$B$343</f>
        <v>148.7220722</v>
      </c>
      <c r="AX3367" s="95">
        <f>AX3365*'Assumptions (O&amp;G Upstream)'!$B$343</f>
        <v>150.9489195</v>
      </c>
      <c r="AY3367" s="95">
        <f>AY3365*'Assumptions (O&amp;G Upstream)'!$B$343</f>
        <v>153.2854722</v>
      </c>
      <c r="AZ3367" s="95">
        <f>AZ3365*'Assumptions (O&amp;G Upstream)'!$B$343</f>
        <v>155.0376925</v>
      </c>
      <c r="BA3367" s="95">
        <f>BA3365*'Assumptions (O&amp;G Upstream)'!$B$343</f>
        <v>157.198639</v>
      </c>
    </row>
    <row r="3368" ht="15.75" customHeight="1">
      <c r="A3368" s="389" t="s">
        <v>359</v>
      </c>
      <c r="B3368" s="150" t="s">
        <v>351</v>
      </c>
      <c r="C3368" s="177">
        <f t="array" ref="C3368">SUM(IF(ISERROR(C3369:C3419),"",C3369:C3419))</f>
        <v>-1.318999406</v>
      </c>
      <c r="D3368" s="177">
        <f t="array" ref="D3368">SUM(IF(ISERROR(D3369:D3419),"",D3369:D3419))</f>
        <v>-3.186486265</v>
      </c>
      <c r="E3368" s="177">
        <f t="array" ref="E3368">SUM(IF(ISERROR(E3369:E3419),"",E3369:E3419))</f>
        <v>-4.858983344</v>
      </c>
      <c r="F3368" s="177">
        <f t="array" ref="F3368">SUM(IF(ISERROR(F3369:F3419),"",F3369:F3419))</f>
        <v>-7.119203668</v>
      </c>
      <c r="G3368" s="177">
        <f t="array" ref="G3368">SUM(IF(ISERROR(G3369:G3419),"",G3369:G3419))</f>
        <v>-9.845821412</v>
      </c>
      <c r="H3368" s="177">
        <f t="array" ref="H3368">SUM(IF(ISERROR(H3369:H3419),"",H3369:H3419))</f>
        <v>-13.62516662</v>
      </c>
      <c r="I3368" s="177">
        <f t="array" ref="I3368">SUM(IF(ISERROR(I3369:I3419),"",I3369:I3419))</f>
        <v>-18.83731589</v>
      </c>
      <c r="J3368" s="177">
        <f t="array" ref="J3368">SUM(IF(ISERROR(J3369:J3419),"",J3369:J3419))</f>
        <v>-24.83480383</v>
      </c>
      <c r="K3368" s="177">
        <f t="array" ref="K3368">SUM(IF(ISERROR(K3369:K3419),"",K3369:K3419))</f>
        <v>-32.01158215</v>
      </c>
      <c r="L3368" s="177">
        <f t="array" ref="L3368">SUM(IF(ISERROR(L3369:L3419),"",L3369:L3419))</f>
        <v>-38.11073853</v>
      </c>
      <c r="M3368" s="177">
        <f t="array" ref="M3368">SUM(IF(ISERROR(M3369:M3419),"",M3369:M3419))</f>
        <v>-42.62317598</v>
      </c>
      <c r="N3368" s="177">
        <f t="array" ref="N3368">SUM(IF(ISERROR(N3369:N3419),"",N3369:N3419))</f>
        <v>-47.69683693</v>
      </c>
      <c r="O3368" s="177">
        <f t="array" ref="O3368">SUM(IF(ISERROR(O3369:O3419),"",O3369:O3419))</f>
        <v>-55.21994933</v>
      </c>
      <c r="P3368" s="177">
        <f t="array" ref="P3368">SUM(IF(ISERROR(P3369:P3419),"",P3369:P3419))</f>
        <v>-62.68956048</v>
      </c>
      <c r="Q3368" s="177">
        <f t="array" ref="Q3368">SUM(IF(ISERROR(Q3369:Q3419),"",Q3369:Q3419))</f>
        <v>-71.51981641</v>
      </c>
      <c r="R3368" s="177">
        <f t="array" ref="R3368">SUM(IF(ISERROR(R3369:R3419),"",R3369:R3419))</f>
        <v>-76.96116289</v>
      </c>
      <c r="S3368" s="177">
        <f t="array" ref="S3368">SUM(IF(ISERROR(S3369:S3419),"",S3369:S3419))</f>
        <v>-77.48567169</v>
      </c>
      <c r="T3368" s="177">
        <f t="array" ref="T3368">SUM(IF(ISERROR(T3369:T3419),"",T3369:T3419))</f>
        <v>-78.6107256</v>
      </c>
      <c r="U3368" s="177">
        <f t="array" ref="U3368">SUM(IF(ISERROR(U3369:U3419),"",U3369:U3419))</f>
        <v>-80.70065595</v>
      </c>
      <c r="V3368" s="177">
        <f t="array" ref="V3368">SUM(IF(ISERROR(V3369:V3419),"",V3369:V3419))</f>
        <v>-87.17484851</v>
      </c>
      <c r="W3368" s="177">
        <f t="array" ref="W3368">SUM(IF(ISERROR(W3369:W3419),"",W3369:W3419))</f>
        <v>-93.46229861</v>
      </c>
      <c r="X3368" s="177">
        <f t="array" ref="X3368">SUM(IF(ISERROR(X3369:X3419),"",X3369:X3419))</f>
        <v>-98.30919909</v>
      </c>
      <c r="Y3368" s="177">
        <f t="array" ref="Y3368">SUM(IF(ISERROR(Y3369:Y3419),"",Y3369:Y3419))</f>
        <v>-100.7963576</v>
      </c>
      <c r="Z3368" s="177">
        <f t="array" ref="Z3368">SUM(IF(ISERROR(Z3369:Z3419),"",Z3369:Z3419))</f>
        <v>-102.9824718</v>
      </c>
      <c r="AA3368" s="177">
        <f t="array" ref="AA3368">SUM(IF(ISERROR(AA3369:AA3419),"",AA3369:AA3419))</f>
        <v>-102.8564249</v>
      </c>
      <c r="AB3368" s="177">
        <f t="array" ref="AB3368">SUM(IF(ISERROR(AB3369:AB3419),"",AB3369:AB3419))</f>
        <v>-107.8171196</v>
      </c>
      <c r="AC3368" s="177">
        <f t="array" ref="AC3368">SUM(IF(ISERROR(AC3369:AC3419),"",AC3369:AC3419))</f>
        <v>-119.6301716</v>
      </c>
      <c r="AD3368" s="177">
        <f t="array" ref="AD3368">SUM(IF(ISERROR(AD3369:AD3419),"",AD3369:AD3419))</f>
        <v>-129.9326698</v>
      </c>
      <c r="AE3368" s="177">
        <f t="array" ref="AE3368">SUM(IF(ISERROR(AE3369:AE3419),"",AE3369:AE3419))</f>
        <v>-136.363984</v>
      </c>
      <c r="AF3368" s="177">
        <f t="array" ref="AF3368">SUM(IF(ISERROR(AF3369:AF3419),"",AF3369:AF3419))</f>
        <v>-141.7634373</v>
      </c>
      <c r="AG3368" s="177">
        <f t="array" ref="AG3368">SUM(IF(ISERROR(AG3369:AG3419),"",AG3369:AG3419))</f>
        <v>-146.3729081</v>
      </c>
      <c r="AH3368" s="177">
        <f t="array" ref="AH3368">SUM(IF(ISERROR(AH3369:AH3419),"",AH3369:AH3419))</f>
        <v>-150.6998579</v>
      </c>
      <c r="AI3368" s="177">
        <f t="array" ref="AI3368">SUM(IF(ISERROR(AI3369:AI3419),"",AI3369:AI3419))</f>
        <v>-155.3172077</v>
      </c>
      <c r="AJ3368" s="177">
        <f t="array" ref="AJ3368">SUM(IF(ISERROR(AJ3369:AJ3419),"",AJ3369:AJ3419))</f>
        <v>-160.1823465</v>
      </c>
      <c r="AK3368" s="177">
        <f t="array" ref="AK3368">SUM(IF(ISERROR(AK3369:AK3419),"",AK3369:AK3419))</f>
        <v>-164.7074378</v>
      </c>
      <c r="AL3368" s="177">
        <f t="array" ref="AL3368">SUM(IF(ISERROR(AL3369:AL3419),"",AL3369:AL3419))</f>
        <v>-169.0847104</v>
      </c>
      <c r="AM3368" s="177">
        <f t="array" ref="AM3368">SUM(IF(ISERROR(AM3369:AM3419),"",AM3369:AM3419))</f>
        <v>-173.2498982</v>
      </c>
      <c r="AN3368" s="177">
        <f t="array" ref="AN3368">SUM(IF(ISERROR(AN3369:AN3419),"",AN3369:AN3419))</f>
        <v>-176.8970024</v>
      </c>
      <c r="AO3368" s="177">
        <f t="array" ref="AO3368">SUM(IF(ISERROR(AO3369:AO3419),"",AO3369:AO3419))</f>
        <v>-180.4946275</v>
      </c>
      <c r="AP3368" s="177">
        <f t="array" ref="AP3368">SUM(IF(ISERROR(AP3369:AP3419),"",AP3369:AP3419))</f>
        <v>-183.8829555</v>
      </c>
      <c r="AQ3368" s="177">
        <f t="array" ref="AQ3368">SUM(IF(ISERROR(AQ3369:AQ3419),"",AQ3369:AQ3419))</f>
        <v>-187.2215405</v>
      </c>
      <c r="AR3368" s="177">
        <f t="array" ref="AR3368">SUM(IF(ISERROR(AR3369:AR3419),"",AR3369:AR3419))</f>
        <v>-190.4152081</v>
      </c>
      <c r="AS3368" s="177">
        <f t="array" ref="AS3368">SUM(IF(ISERROR(AS3369:AS3419),"",AS3369:AS3419))</f>
        <v>-193.7281487</v>
      </c>
      <c r="AT3368" s="177">
        <f t="array" ref="AT3368">SUM(IF(ISERROR(AT3369:AT3419),"",AT3369:AT3419))</f>
        <v>-196.8294321</v>
      </c>
      <c r="AU3368" s="177">
        <f t="array" ref="AU3368">SUM(IF(ISERROR(AU3369:AU3419),"",AU3369:AU3419))</f>
        <v>-200.0063716</v>
      </c>
      <c r="AV3368" s="177">
        <f t="array" ref="AV3368">SUM(IF(ISERROR(AV3369:AV3419),"",AV3369:AV3419))</f>
        <v>-203.1462234</v>
      </c>
      <c r="AW3368" s="177">
        <f t="array" ref="AW3368">SUM(IF(ISERROR(AW3369:AW3419),"",AW3369:AW3419))</f>
        <v>-206.2045857</v>
      </c>
      <c r="AX3368" s="177">
        <f t="array" ref="AX3368">SUM(IF(ISERROR(AX3369:AX3419),"",AX3369:AX3419))</f>
        <v>-209.5896945</v>
      </c>
      <c r="AY3368" s="177">
        <f t="array" ref="AY3368">SUM(IF(ISERROR(AY3369:AY3419),"",AY3369:AY3419))</f>
        <v>-212.9970358</v>
      </c>
      <c r="AZ3368" s="177">
        <f t="array" ref="AZ3368">SUM(IF(ISERROR(AZ3369:AZ3419),"",AZ3369:AZ3419))</f>
        <v>-216.4109341</v>
      </c>
      <c r="BA3368" s="177">
        <f t="array" ref="BA3368">SUM(IF(ISERROR(BA3369:BA3419),"",BA3369:BA3419))</f>
        <v>-219.7302089</v>
      </c>
      <c r="BB3368" s="177">
        <f t="array" ref="BB3368">SUM(IF(ISERROR(BB3369:BB3419),"",BB3369:BB3419))</f>
        <v>-206.1154334</v>
      </c>
      <c r="BC3368" s="177">
        <f t="array" ref="BC3368">SUM(IF(ISERROR(BC3369:BC3419),"",BC3369:BC3419))</f>
        <v>-190.8426124</v>
      </c>
      <c r="BD3368" s="177">
        <f t="array" ref="BD3368">SUM(IF(ISERROR(BD3369:BD3419),"",BD3369:BD3419))</f>
        <v>-174.0141374</v>
      </c>
      <c r="BE3368" s="177">
        <f t="array" ref="BE3368">SUM(IF(ISERROR(BE3369:BE3419),"",BE3369:BE3419))</f>
        <v>-155.4357875</v>
      </c>
      <c r="BF3368" s="177">
        <f t="array" ref="BF3368">SUM(IF(ISERROR(BF3369:BF3419),"",BF3369:BF3419))</f>
        <v>-135.0391138</v>
      </c>
      <c r="BG3368" s="177">
        <f t="array" ref="BG3368">SUM(IF(ISERROR(BG3369:BG3419),"",BG3369:BG3419))</f>
        <v>-112.6669778</v>
      </c>
      <c r="BH3368" s="177">
        <f t="array" ref="BH3368">SUM(IF(ISERROR(BH3369:BH3419),"",BH3369:BH3419))</f>
        <v>-88.13030111</v>
      </c>
      <c r="BI3368" s="177">
        <f t="array" ref="BI3368">SUM(IF(ISERROR(BI3369:BI3419),"",BI3369:BI3419))</f>
        <v>-61.24276943</v>
      </c>
      <c r="BJ3368" s="177">
        <f t="array" ref="BJ3368">SUM(IF(ISERROR(BJ3369:BJ3419),"",BJ3369:BJ3419))</f>
        <v>-31.95576212</v>
      </c>
      <c r="BK3368" s="177">
        <f t="array" ref="BK3368">SUM(IF(ISERROR(BK3369:BK3419),"",BK3369:BK3419))</f>
        <v>0</v>
      </c>
      <c r="BL3368" s="177">
        <f t="array" ref="BL3368">SUM(IF(ISERROR(BL3369:BL3419),"",BL3369:BL3419))</f>
        <v>0</v>
      </c>
      <c r="BM3368" s="177">
        <f t="array" ref="BM3368">SUM(IF(ISERROR(BM3369:BM3419),"",BM3369:BM3419))</f>
        <v>0</v>
      </c>
      <c r="BN3368" s="177">
        <f t="array" ref="BN3368">SUM(IF(ISERROR(BN3369:BN3419),"",BN3369:BN3419))</f>
        <v>0</v>
      </c>
      <c r="BO3368" s="177">
        <f t="array" ref="BO3368">SUM(IF(ISERROR(BO3369:BO3419),"",BO3369:BO3419))</f>
        <v>0</v>
      </c>
      <c r="BP3368" s="177">
        <f t="array" ref="BP3368">SUM(IF(ISERROR(BP3369:BP3419),"",BP3369:BP3419))</f>
        <v>0</v>
      </c>
      <c r="BQ3368" s="177">
        <f t="array" ref="BQ3368">SUM(IF(ISERROR(BQ3369:BQ3419),"",BQ3369:BQ3419))</f>
        <v>0</v>
      </c>
      <c r="BR3368" s="177">
        <f t="array" ref="BR3368">SUM(IF(ISERROR(BR3369:BR3419),"",BR3369:BR3419))</f>
        <v>0</v>
      </c>
      <c r="BS3368" s="177">
        <f t="array" ref="BS3368">SUM(IF(ISERROR(BS3369:BS3419),"",BS3369:BS3419))</f>
        <v>0</v>
      </c>
      <c r="BT3368" s="177">
        <f t="array" ref="BT3368">SUM(IF(ISERROR(BT3369:BT3419),"",BT3369:BT3419))</f>
        <v>0</v>
      </c>
      <c r="BU3368" s="177">
        <f t="array" ref="BU3368">SUM(IF(ISERROR(BU3369:BU3419),"",BU3369:BU3419))</f>
        <v>0</v>
      </c>
      <c r="BV3368" s="177">
        <f t="array" ref="BV3368">SUM(IF(ISERROR(BV3369:BV3419),"",BV3369:BV3419))</f>
        <v>0</v>
      </c>
      <c r="BW3368" s="177">
        <f t="array" ref="BW3368">SUM(IF(ISERROR(BW3369:BW3419),"",BW3369:BW3419))</f>
        <v>0</v>
      </c>
      <c r="BX3368" s="177">
        <f t="array" ref="BX3368">SUM(IF(ISERROR(BX3369:BX3419),"",BX3369:BX3419))</f>
        <v>0</v>
      </c>
      <c r="BY3368" s="177">
        <f t="array" ref="BY3368">SUM(IF(ISERROR(BY3369:BY3419),"",BY3369:BY3419))</f>
        <v>0</v>
      </c>
    </row>
    <row r="3369" ht="15.75" hidden="1" customHeight="1" outlineLevel="1">
      <c r="A3369" s="389"/>
      <c r="B3369" s="24"/>
      <c r="C3369" s="188">
        <f>PPMT('Assumptions (O&amp;G Upstream)'!$B$344,Model!W$1,'Assumptions (O&amp;G Upstream)'!$B$347,Model!$C$3366)</f>
        <v>-1.318999406</v>
      </c>
      <c r="D3369" s="188">
        <f>PPMT('Assumptions (O&amp;G Upstream)'!$B$344,Model!X$1,'Assumptions (O&amp;G Upstream)'!$B$347,Model!$C$3366)</f>
        <v>-1.417924361</v>
      </c>
      <c r="E3369" s="188">
        <f>PPMT('Assumptions (O&amp;G Upstream)'!$B$344,Model!Y$1,'Assumptions (O&amp;G Upstream)'!$B$347,Model!$C$3366)</f>
        <v>-1.524268688</v>
      </c>
      <c r="F3369" s="188">
        <f>PPMT('Assumptions (O&amp;G Upstream)'!$B$344,Model!Z$1,'Assumptions (O&amp;G Upstream)'!$B$347,Model!$C$3366)</f>
        <v>-1.63858884</v>
      </c>
      <c r="G3369" s="188">
        <f>PPMT('Assumptions (O&amp;G Upstream)'!$B$344,Model!AA$1,'Assumptions (O&amp;G Upstream)'!$B$347,Model!$C$3366)</f>
        <v>-1.761483003</v>
      </c>
      <c r="H3369" s="188">
        <f>PPMT('Assumptions (O&amp;G Upstream)'!$B$344,Model!AB$1,'Assumptions (O&amp;G Upstream)'!$B$347,Model!$C$3366)</f>
        <v>-1.893594228</v>
      </c>
      <c r="I3369" s="188">
        <f>PPMT('Assumptions (O&amp;G Upstream)'!$B$344,Model!AC$1,'Assumptions (O&amp;G Upstream)'!$B$347,Model!$C$3366)</f>
        <v>-2.035613795</v>
      </c>
      <c r="J3369" s="188">
        <f>PPMT('Assumptions (O&amp;G Upstream)'!$B$344,Model!AD$1,'Assumptions (O&amp;G Upstream)'!$B$347,Model!$C$3366)</f>
        <v>-2.18828483</v>
      </c>
      <c r="K3369" s="188">
        <f>PPMT('Assumptions (O&amp;G Upstream)'!$B$344,Model!AE$1,'Assumptions (O&amp;G Upstream)'!$B$347,Model!$C$3366)</f>
        <v>-2.352406192</v>
      </c>
      <c r="L3369" s="188">
        <f>PPMT('Assumptions (O&amp;G Upstream)'!$B$344,Model!AF$1,'Assumptions (O&amp;G Upstream)'!$B$347,Model!$C$3366)</f>
        <v>-2.528836657</v>
      </c>
      <c r="M3369" s="188"/>
      <c r="N3369" s="188"/>
      <c r="O3369" s="188"/>
      <c r="P3369" s="188"/>
      <c r="Q3369" s="188"/>
      <c r="R3369" s="188"/>
      <c r="S3369" s="188"/>
      <c r="T3369" s="188"/>
      <c r="U3369" s="188"/>
      <c r="V3369" s="188"/>
      <c r="W3369" s="188"/>
      <c r="X3369" s="188"/>
      <c r="Y3369" s="188"/>
      <c r="Z3369" s="188"/>
      <c r="AA3369" s="188"/>
      <c r="AB3369" s="188"/>
    </row>
    <row r="3370" ht="15.75" hidden="1" customHeight="1" outlineLevel="1">
      <c r="A3370" s="389"/>
      <c r="B3370" s="24"/>
      <c r="C3370" s="188"/>
      <c r="D3370" s="188">
        <f>PPMT('Assumptions (O&amp;G Upstream)'!$B$344,Model!W$1,'Assumptions (O&amp;G Upstream)'!$B$347,Model!$D$3366)</f>
        <v>-1.768561904</v>
      </c>
      <c r="E3370" s="188">
        <f>PPMT('Assumptions (O&amp;G Upstream)'!$B$344,Model!X$1,'Assumptions (O&amp;G Upstream)'!$B$347,Model!$D$3366)</f>
        <v>-1.901204047</v>
      </c>
      <c r="F3370" s="188">
        <f>PPMT('Assumptions (O&amp;G Upstream)'!$B$344,Model!Y$1,'Assumptions (O&amp;G Upstream)'!$B$347,Model!$D$3366)</f>
        <v>-2.043794351</v>
      </c>
      <c r="G3370" s="188">
        <f>PPMT('Assumptions (O&amp;G Upstream)'!$B$344,Model!Z$1,'Assumptions (O&amp;G Upstream)'!$B$347,Model!$D$3366)</f>
        <v>-2.197078927</v>
      </c>
      <c r="H3370" s="188">
        <f>PPMT('Assumptions (O&amp;G Upstream)'!$B$344,Model!AA$1,'Assumptions (O&amp;G Upstream)'!$B$347,Model!$D$3366)</f>
        <v>-2.361859846</v>
      </c>
      <c r="I3370" s="188">
        <f>PPMT('Assumptions (O&amp;G Upstream)'!$B$344,Model!AB$1,'Assumptions (O&amp;G Upstream)'!$B$347,Model!$D$3366)</f>
        <v>-2.538999335</v>
      </c>
      <c r="J3370" s="188">
        <f>PPMT('Assumptions (O&amp;G Upstream)'!$B$344,Model!AC$1,'Assumptions (O&amp;G Upstream)'!$B$347,Model!$D$3366)</f>
        <v>-2.729424285</v>
      </c>
      <c r="K3370" s="188">
        <f>PPMT('Assumptions (O&amp;G Upstream)'!$B$344,Model!AD$1,'Assumptions (O&amp;G Upstream)'!$B$347,Model!$D$3366)</f>
        <v>-2.934131106</v>
      </c>
      <c r="L3370" s="188">
        <f>PPMT('Assumptions (O&amp;G Upstream)'!$B$344,Model!AE$1,'Assumptions (O&amp;G Upstream)'!$B$347,Model!$D$3366)</f>
        <v>-3.154190939</v>
      </c>
      <c r="M3370" s="188">
        <f>PPMT('Assumptions (O&amp;G Upstream)'!$B$344,Model!AF$1,'Assumptions (O&amp;G Upstream)'!$B$347,Model!$D$3366)</f>
        <v>-3.39075526</v>
      </c>
      <c r="N3370" s="188"/>
      <c r="O3370" s="188"/>
      <c r="P3370" s="188"/>
      <c r="Q3370" s="188"/>
      <c r="R3370" s="188"/>
      <c r="S3370" s="188"/>
      <c r="T3370" s="188"/>
      <c r="U3370" s="188"/>
      <c r="V3370" s="188"/>
      <c r="W3370" s="188"/>
      <c r="X3370" s="188"/>
      <c r="Y3370" s="188"/>
      <c r="Z3370" s="188"/>
      <c r="AA3370" s="188"/>
      <c r="AB3370" s="188"/>
    </row>
    <row r="3371" ht="15.75" hidden="1" customHeight="1" outlineLevel="1">
      <c r="A3371" s="389"/>
      <c r="B3371" s="24"/>
      <c r="C3371" s="188"/>
      <c r="D3371" s="188"/>
      <c r="E3371" s="188">
        <f>PPMT('Assumptions (O&amp;G Upstream)'!$B$344,Model!W$1,'Assumptions (O&amp;G Upstream)'!$B$347,Model!$E$3366)</f>
        <v>-1.433510608</v>
      </c>
      <c r="F3371" s="188">
        <f>PPMT('Assumptions (O&amp;G Upstream)'!$B$344,Model!X$1,'Assumptions (O&amp;G Upstream)'!$B$347,Model!$E$3366)</f>
        <v>-1.541023904</v>
      </c>
      <c r="G3371" s="188">
        <f>PPMT('Assumptions (O&amp;G Upstream)'!$B$344,Model!Y$1,'Assumptions (O&amp;G Upstream)'!$B$347,Model!$E$3366)</f>
        <v>-1.656600697</v>
      </c>
      <c r="H3371" s="188">
        <f>PPMT('Assumptions (O&amp;G Upstream)'!$B$344,Model!Z$1,'Assumptions (O&amp;G Upstream)'!$B$347,Model!$E$3366)</f>
        <v>-1.780845749</v>
      </c>
      <c r="I3371" s="188">
        <f>PPMT('Assumptions (O&amp;G Upstream)'!$B$344,Model!AA$1,'Assumptions (O&amp;G Upstream)'!$B$347,Model!$E$3366)</f>
        <v>-1.91440918</v>
      </c>
      <c r="J3371" s="188">
        <f>PPMT('Assumptions (O&amp;G Upstream)'!$B$344,Model!AB$1,'Assumptions (O&amp;G Upstream)'!$B$347,Model!$E$3366)</f>
        <v>-2.057989869</v>
      </c>
      <c r="K3371" s="188">
        <f>PPMT('Assumptions (O&amp;G Upstream)'!$B$344,Model!AC$1,'Assumptions (O&amp;G Upstream)'!$B$347,Model!$E$3366)</f>
        <v>-2.212339109</v>
      </c>
      <c r="L3371" s="188">
        <f>PPMT('Assumptions (O&amp;G Upstream)'!$B$344,Model!AD$1,'Assumptions (O&amp;G Upstream)'!$B$347,Model!$E$3366)</f>
        <v>-2.378264542</v>
      </c>
      <c r="M3371" s="188">
        <f>PPMT('Assumptions (O&amp;G Upstream)'!$B$344,Model!AE$1,'Assumptions (O&amp;G Upstream)'!$B$347,Model!$E$3366)</f>
        <v>-2.556634382</v>
      </c>
      <c r="N3371" s="188">
        <f>PPMT('Assumptions (O&amp;G Upstream)'!$B$344,Model!AF$1,'Assumptions (O&amp;G Upstream)'!$B$347,Model!$E$3366)</f>
        <v>-2.748381961</v>
      </c>
      <c r="O3371" s="188"/>
      <c r="P3371" s="188"/>
      <c r="Q3371" s="188"/>
      <c r="R3371" s="188"/>
      <c r="S3371" s="188"/>
      <c r="T3371" s="188"/>
      <c r="U3371" s="188"/>
      <c r="V3371" s="188"/>
      <c r="W3371" s="188"/>
      <c r="X3371" s="188"/>
      <c r="Y3371" s="188"/>
      <c r="Z3371" s="188"/>
      <c r="AA3371" s="188"/>
      <c r="AB3371" s="188"/>
      <c r="AC3371" s="188"/>
    </row>
    <row r="3372" ht="15.75" hidden="1" customHeight="1" outlineLevel="1">
      <c r="A3372" s="389"/>
      <c r="B3372" s="24"/>
      <c r="C3372" s="188"/>
      <c r="D3372" s="188"/>
      <c r="E3372" s="188"/>
      <c r="F3372" s="188">
        <f>PPMT('Assumptions (O&amp;G Upstream)'!$B$344,Model!W$1,'Assumptions (O&amp;G Upstream)'!$B$347,Model!$F$3366)</f>
        <v>-1.895796574</v>
      </c>
      <c r="G3372" s="188">
        <f>PPMT('Assumptions (O&amp;G Upstream)'!$B$344,Model!X$1,'Assumptions (O&amp;G Upstream)'!$B$347,Model!$F$3366)</f>
        <v>-2.037981317</v>
      </c>
      <c r="H3372" s="188">
        <f>PPMT('Assumptions (O&amp;G Upstream)'!$B$344,Model!Y$1,'Assumptions (O&amp;G Upstream)'!$B$347,Model!$F$3366)</f>
        <v>-2.190829915</v>
      </c>
      <c r="I3372" s="188">
        <f>PPMT('Assumptions (O&amp;G Upstream)'!$B$344,Model!Z$1,'Assumptions (O&amp;G Upstream)'!$B$347,Model!$F$3366)</f>
        <v>-2.355142159</v>
      </c>
      <c r="J3372" s="188">
        <f>PPMT('Assumptions (O&amp;G Upstream)'!$B$344,Model!AA$1,'Assumptions (O&amp;G Upstream)'!$B$347,Model!$F$3366)</f>
        <v>-2.531777821</v>
      </c>
      <c r="K3372" s="188">
        <f>PPMT('Assumptions (O&amp;G Upstream)'!$B$344,Model!AB$1,'Assumptions (O&amp;G Upstream)'!$B$347,Model!$F$3366)</f>
        <v>-2.721661157</v>
      </c>
      <c r="L3372" s="188">
        <f>PPMT('Assumptions (O&amp;G Upstream)'!$B$344,Model!AC$1,'Assumptions (O&amp;G Upstream)'!$B$347,Model!$F$3366)</f>
        <v>-2.925785744</v>
      </c>
      <c r="M3372" s="188">
        <f>PPMT('Assumptions (O&amp;G Upstream)'!$B$344,Model!AD$1,'Assumptions (O&amp;G Upstream)'!$B$347,Model!$F$3366)</f>
        <v>-3.145219675</v>
      </c>
      <c r="N3372" s="188">
        <f>PPMT('Assumptions (O&amp;G Upstream)'!$B$344,Model!AE$1,'Assumptions (O&amp;G Upstream)'!$B$347,Model!$F$3366)</f>
        <v>-3.381111151</v>
      </c>
      <c r="O3372" s="188">
        <f>PPMT('Assumptions (O&amp;G Upstream)'!$B$344,Model!AF$1,'Assumptions (O&amp;G Upstream)'!$B$347,Model!$F$3366)</f>
        <v>-3.634694487</v>
      </c>
      <c r="P3372" s="188"/>
      <c r="Q3372" s="188"/>
      <c r="R3372" s="188"/>
      <c r="S3372" s="188"/>
      <c r="T3372" s="188"/>
      <c r="U3372" s="188"/>
      <c r="V3372" s="188"/>
      <c r="W3372" s="188"/>
      <c r="X3372" s="188"/>
      <c r="Y3372" s="188"/>
      <c r="Z3372" s="188"/>
      <c r="AA3372" s="188"/>
      <c r="AB3372" s="188"/>
      <c r="AC3372" s="188"/>
      <c r="AD3372" s="188"/>
    </row>
    <row r="3373" ht="15.75" hidden="1" customHeight="1" outlineLevel="1">
      <c r="A3373" s="389"/>
      <c r="B3373" s="24"/>
      <c r="C3373" s="188"/>
      <c r="D3373" s="188"/>
      <c r="E3373" s="188"/>
      <c r="F3373" s="188"/>
      <c r="G3373" s="188">
        <f>PPMT('Assumptions (O&amp;G Upstream)'!$B$344,Model!W$1,'Assumptions (O&amp;G Upstream)'!$B$347,Model!$G$3366)</f>
        <v>-2.192677469</v>
      </c>
      <c r="H3373" s="188">
        <f>PPMT('Assumptions (O&amp;G Upstream)'!$B$344,Model!X$1,'Assumptions (O&amp;G Upstream)'!$B$347,Model!$G$3366)</f>
        <v>-2.357128279</v>
      </c>
      <c r="I3373" s="188">
        <f>PPMT('Assumptions (O&amp;G Upstream)'!$B$344,Model!Y$1,'Assumptions (O&amp;G Upstream)'!$B$347,Model!$G$3366)</f>
        <v>-2.5339129</v>
      </c>
      <c r="J3373" s="188">
        <f>PPMT('Assumptions (O&amp;G Upstream)'!$B$344,Model!Z$1,'Assumptions (O&amp;G Upstream)'!$B$347,Model!$G$3366)</f>
        <v>-2.723956367</v>
      </c>
      <c r="K3373" s="188">
        <f>PPMT('Assumptions (O&amp;G Upstream)'!$B$344,Model!AA$1,'Assumptions (O&amp;G Upstream)'!$B$347,Model!$G$3366)</f>
        <v>-2.928253095</v>
      </c>
      <c r="L3373" s="188">
        <f>PPMT('Assumptions (O&amp;G Upstream)'!$B$344,Model!AB$1,'Assumptions (O&amp;G Upstream)'!$B$347,Model!$G$3366)</f>
        <v>-3.147872077</v>
      </c>
      <c r="M3373" s="188">
        <f>PPMT('Assumptions (O&amp;G Upstream)'!$B$344,Model!AC$1,'Assumptions (O&amp;G Upstream)'!$B$347,Model!$G$3366)</f>
        <v>-3.383962483</v>
      </c>
      <c r="N3373" s="188">
        <f>PPMT('Assumptions (O&amp;G Upstream)'!$B$344,Model!AD$1,'Assumptions (O&amp;G Upstream)'!$B$347,Model!$G$3366)</f>
        <v>-3.637759669</v>
      </c>
      <c r="O3373" s="188">
        <f>PPMT('Assumptions (O&amp;G Upstream)'!$B$344,Model!AE$1,'Assumptions (O&amp;G Upstream)'!$B$347,Model!$G$3366)</f>
        <v>-3.910591644</v>
      </c>
      <c r="P3373" s="188">
        <f>PPMT('Assumptions (O&amp;G Upstream)'!$B$344,Model!AF$1,'Assumptions (O&amp;G Upstream)'!$B$347,Model!$G$3366)</f>
        <v>-4.203886017</v>
      </c>
      <c r="Q3373" s="188"/>
      <c r="R3373" s="188"/>
      <c r="S3373" s="188"/>
      <c r="T3373" s="188"/>
      <c r="U3373" s="188"/>
      <c r="V3373" s="188"/>
      <c r="W3373" s="188"/>
      <c r="X3373" s="188"/>
      <c r="Y3373" s="188"/>
      <c r="Z3373" s="188"/>
      <c r="AA3373" s="188"/>
      <c r="AB3373" s="188"/>
      <c r="AC3373" s="188"/>
      <c r="AD3373" s="188"/>
      <c r="AE3373" s="188"/>
    </row>
    <row r="3374" ht="15.75" hidden="1" customHeight="1" outlineLevel="1">
      <c r="A3374" s="389"/>
      <c r="B3374" s="24"/>
      <c r="C3374" s="188"/>
      <c r="D3374" s="188"/>
      <c r="E3374" s="188"/>
      <c r="F3374" s="188"/>
      <c r="G3374" s="188"/>
      <c r="H3374" s="188">
        <f>PPMT('Assumptions (O&amp;G Upstream)'!$B$344,Model!W$1,'Assumptions (O&amp;G Upstream)'!$B$347,Model!$H$3366)</f>
        <v>-3.040908598</v>
      </c>
      <c r="I3374" s="188">
        <f>PPMT('Assumptions (O&amp;G Upstream)'!$B$344,Model!X$1,'Assumptions (O&amp;G Upstream)'!$B$347,Model!$H$3366)</f>
        <v>-3.268976743</v>
      </c>
      <c r="J3374" s="188">
        <f>PPMT('Assumptions (O&amp;G Upstream)'!$B$344,Model!Y$1,'Assumptions (O&amp;G Upstream)'!$B$347,Model!$H$3366)</f>
        <v>-3.514149998</v>
      </c>
      <c r="K3374" s="188">
        <f>PPMT('Assumptions (O&amp;G Upstream)'!$B$344,Model!Z$1,'Assumptions (O&amp;G Upstream)'!$B$347,Model!$H$3366)</f>
        <v>-3.777711248</v>
      </c>
      <c r="L3374" s="188">
        <f>PPMT('Assumptions (O&amp;G Upstream)'!$B$344,Model!AA$1,'Assumptions (O&amp;G Upstream)'!$B$347,Model!$H$3366)</f>
        <v>-4.061039592</v>
      </c>
      <c r="M3374" s="188">
        <f>PPMT('Assumptions (O&amp;G Upstream)'!$B$344,Model!AB$1,'Assumptions (O&amp;G Upstream)'!$B$347,Model!$H$3366)</f>
        <v>-4.365617561</v>
      </c>
      <c r="N3374" s="188">
        <f>PPMT('Assumptions (O&amp;G Upstream)'!$B$344,Model!AC$1,'Assumptions (O&amp;G Upstream)'!$B$347,Model!$H$3366)</f>
        <v>-4.693038878</v>
      </c>
      <c r="O3374" s="188">
        <f>PPMT('Assumptions (O&amp;G Upstream)'!$B$344,Model!AD$1,'Assumptions (O&amp;G Upstream)'!$B$347,Model!$H$3366)</f>
        <v>-5.045016794</v>
      </c>
      <c r="P3374" s="188">
        <f>PPMT('Assumptions (O&amp;G Upstream)'!$B$344,Model!AE$1,'Assumptions (O&amp;G Upstream)'!$B$347,Model!$H$3366)</f>
        <v>-5.423393054</v>
      </c>
      <c r="Q3374" s="188">
        <f>PPMT('Assumptions (O&amp;G Upstream)'!$B$344,Model!AF$1,'Assumptions (O&amp;G Upstream)'!$B$347,Model!$H$3366)</f>
        <v>-5.830147533</v>
      </c>
      <c r="R3374" s="188"/>
      <c r="S3374" s="188"/>
      <c r="T3374" s="188"/>
      <c r="U3374" s="188"/>
      <c r="V3374" s="188"/>
      <c r="W3374" s="188"/>
      <c r="X3374" s="188"/>
      <c r="Y3374" s="188"/>
      <c r="Z3374" s="188"/>
      <c r="AA3374" s="188"/>
      <c r="AB3374" s="188"/>
      <c r="AC3374" s="188"/>
      <c r="AD3374" s="188"/>
      <c r="AE3374" s="188"/>
      <c r="AF3374" s="188"/>
    </row>
    <row r="3375" ht="15.75" hidden="1" customHeight="1" outlineLevel="1">
      <c r="A3375" s="389"/>
      <c r="B3375" s="24"/>
      <c r="C3375" s="188"/>
      <c r="D3375" s="188"/>
      <c r="E3375" s="188"/>
      <c r="F3375" s="188"/>
      <c r="G3375" s="188"/>
      <c r="H3375" s="188"/>
      <c r="I3375" s="188">
        <f>PPMT('Assumptions (O&amp;G Upstream)'!$B$344,Model!W$1,'Assumptions (O&amp;G Upstream)'!$B$347,Model!$I$3366)</f>
        <v>-4.190261778</v>
      </c>
      <c r="J3375" s="188">
        <f>PPMT('Assumptions (O&amp;G Upstream)'!$B$344,Model!X$1,'Assumptions (O&amp;G Upstream)'!$B$347,Model!$I$3366)</f>
        <v>-4.504531411</v>
      </c>
      <c r="K3375" s="188">
        <f>PPMT('Assumptions (O&amp;G Upstream)'!$B$344,Model!Y$1,'Assumptions (O&amp;G Upstream)'!$B$347,Model!$I$3366)</f>
        <v>-4.842371267</v>
      </c>
      <c r="L3375" s="188">
        <f>PPMT('Assumptions (O&amp;G Upstream)'!$B$344,Model!Z$1,'Assumptions (O&amp;G Upstream)'!$B$347,Model!$I$3366)</f>
        <v>-5.205549112</v>
      </c>
      <c r="M3375" s="188">
        <f>PPMT('Assumptions (O&amp;G Upstream)'!$B$344,Model!AA$1,'Assumptions (O&amp;G Upstream)'!$B$347,Model!$I$3366)</f>
        <v>-5.595965295</v>
      </c>
      <c r="N3375" s="188">
        <f>PPMT('Assumptions (O&amp;G Upstream)'!$B$344,Model!AB$1,'Assumptions (O&amp;G Upstream)'!$B$347,Model!$I$3366)</f>
        <v>-6.015662693</v>
      </c>
      <c r="O3375" s="188">
        <f>PPMT('Assumptions (O&amp;G Upstream)'!$B$344,Model!AC$1,'Assumptions (O&amp;G Upstream)'!$B$347,Model!$I$3366)</f>
        <v>-6.466837395</v>
      </c>
      <c r="P3375" s="188">
        <f>PPMT('Assumptions (O&amp;G Upstream)'!$B$344,Model!AD$1,'Assumptions (O&amp;G Upstream)'!$B$347,Model!$I$3366)</f>
        <v>-6.951850199</v>
      </c>
      <c r="Q3375" s="188">
        <f>PPMT('Assumptions (O&amp;G Upstream)'!$B$344,Model!AE$1,'Assumptions (O&amp;G Upstream)'!$B$347,Model!$I$3366)</f>
        <v>-7.473238964</v>
      </c>
      <c r="R3375" s="188">
        <f>PPMT('Assumptions (O&amp;G Upstream)'!$B$344,Model!AF$1,'Assumptions (O&amp;G Upstream)'!$B$347,Model!$I$3366)</f>
        <v>-8.033731886</v>
      </c>
      <c r="S3375" s="188"/>
      <c r="T3375" s="188"/>
      <c r="U3375" s="188"/>
      <c r="V3375" s="188"/>
      <c r="W3375" s="188"/>
      <c r="X3375" s="188"/>
      <c r="Y3375" s="188"/>
      <c r="Z3375" s="188"/>
      <c r="AA3375" s="188"/>
      <c r="AB3375" s="188"/>
      <c r="AC3375" s="188"/>
      <c r="AD3375" s="188"/>
      <c r="AE3375" s="188"/>
      <c r="AF3375" s="188"/>
      <c r="AG3375" s="188"/>
    </row>
    <row r="3376" ht="15.75" hidden="1" customHeight="1" outlineLevel="1">
      <c r="A3376" s="389"/>
      <c r="B3376" s="24"/>
      <c r="C3376" s="188"/>
      <c r="D3376" s="188"/>
      <c r="E3376" s="188"/>
      <c r="F3376" s="188"/>
      <c r="G3376" s="188"/>
      <c r="H3376" s="188"/>
      <c r="I3376" s="188"/>
      <c r="J3376" s="188">
        <f>PPMT('Assumptions (O&amp;G Upstream)'!$B$344,Model!W$1,'Assumptions (O&amp;G Upstream)'!$B$347,Model!$J$3366)</f>
        <v>-4.584689253</v>
      </c>
      <c r="K3376" s="188">
        <f>PPMT('Assumptions (O&amp;G Upstream)'!$B$344,Model!X$1,'Assumptions (O&amp;G Upstream)'!$B$347,Model!$J$3366)</f>
        <v>-4.928540947</v>
      </c>
      <c r="L3376" s="188">
        <f>PPMT('Assumptions (O&amp;G Upstream)'!$B$344,Model!Y$1,'Assumptions (O&amp;G Upstream)'!$B$347,Model!$J$3366)</f>
        <v>-5.298181518</v>
      </c>
      <c r="M3376" s="188">
        <f>PPMT('Assumptions (O&amp;G Upstream)'!$B$344,Model!Z$1,'Assumptions (O&amp;G Upstream)'!$B$347,Model!$J$3366)</f>
        <v>-5.695545132</v>
      </c>
      <c r="N3376" s="188">
        <f>PPMT('Assumptions (O&amp;G Upstream)'!$B$344,Model!AA$1,'Assumptions (O&amp;G Upstream)'!$B$347,Model!$J$3366)</f>
        <v>-6.122711017</v>
      </c>
      <c r="O3376" s="188">
        <f>PPMT('Assumptions (O&amp;G Upstream)'!$B$344,Model!AB$1,'Assumptions (O&amp;G Upstream)'!$B$347,Model!$J$3366)</f>
        <v>-6.581914343</v>
      </c>
      <c r="P3376" s="188">
        <f>PPMT('Assumptions (O&amp;G Upstream)'!$B$344,Model!AC$1,'Assumptions (O&amp;G Upstream)'!$B$347,Model!$J$3366)</f>
        <v>-7.075557918</v>
      </c>
      <c r="Q3376" s="188">
        <f>PPMT('Assumptions (O&amp;G Upstream)'!$B$344,Model!AD$1,'Assumptions (O&amp;G Upstream)'!$B$347,Model!$J$3366)</f>
        <v>-7.606224762</v>
      </c>
      <c r="R3376" s="188">
        <f>PPMT('Assumptions (O&amp;G Upstream)'!$B$344,Model!AE$1,'Assumptions (O&amp;G Upstream)'!$B$347,Model!$J$3366)</f>
        <v>-8.17669162</v>
      </c>
      <c r="S3376" s="188">
        <f>PPMT('Assumptions (O&amp;G Upstream)'!$B$344,Model!AF$1,'Assumptions (O&amp;G Upstream)'!$B$347,Model!$J$3366)</f>
        <v>-8.789943491</v>
      </c>
      <c r="T3376" s="188"/>
      <c r="U3376" s="188"/>
      <c r="V3376" s="188"/>
      <c r="W3376" s="188"/>
      <c r="X3376" s="188"/>
      <c r="Y3376" s="188"/>
      <c r="Z3376" s="188"/>
      <c r="AA3376" s="188"/>
      <c r="AB3376" s="188"/>
      <c r="AC3376" s="188"/>
      <c r="AD3376" s="188"/>
      <c r="AE3376" s="188"/>
      <c r="AF3376" s="188"/>
      <c r="AG3376" s="188"/>
      <c r="AH3376" s="188"/>
    </row>
    <row r="3377" ht="15.75" hidden="1" customHeight="1" outlineLevel="1">
      <c r="A3377" s="389"/>
      <c r="B3377" s="24"/>
      <c r="C3377" s="188"/>
      <c r="D3377" s="188"/>
      <c r="E3377" s="188"/>
      <c r="F3377" s="188"/>
      <c r="G3377" s="188"/>
      <c r="H3377" s="188"/>
      <c r="I3377" s="188"/>
      <c r="J3377" s="188"/>
      <c r="K3377" s="188">
        <f>PPMT('Assumptions (O&amp;G Upstream)'!$B$344,Model!W$1,'Assumptions (O&amp;G Upstream)'!$B$347,Model!$K$3366)</f>
        <v>-5.314168024</v>
      </c>
      <c r="L3377" s="188">
        <f>PPMT('Assumptions (O&amp;G Upstream)'!$B$344,Model!X$1,'Assumptions (O&amp;G Upstream)'!$B$347,Model!$K$3366)</f>
        <v>-5.712730626</v>
      </c>
      <c r="M3377" s="188">
        <f>PPMT('Assumptions (O&amp;G Upstream)'!$B$344,Model!Y$1,'Assumptions (O&amp;G Upstream)'!$B$347,Model!$K$3366)</f>
        <v>-6.141185423</v>
      </c>
      <c r="N3377" s="188">
        <f>PPMT('Assumptions (O&amp;G Upstream)'!$B$344,Model!Z$1,'Assumptions (O&amp;G Upstream)'!$B$347,Model!$K$3366)</f>
        <v>-6.601774329</v>
      </c>
      <c r="O3377" s="188">
        <f>PPMT('Assumptions (O&amp;G Upstream)'!$B$344,Model!AA$1,'Assumptions (O&amp;G Upstream)'!$B$347,Model!$K$3366)</f>
        <v>-7.096907404</v>
      </c>
      <c r="P3377" s="188">
        <f>PPMT('Assumptions (O&amp;G Upstream)'!$B$344,Model!AB$1,'Assumptions (O&amp;G Upstream)'!$B$347,Model!$K$3366)</f>
        <v>-7.629175459</v>
      </c>
      <c r="Q3377" s="188">
        <f>PPMT('Assumptions (O&amp;G Upstream)'!$B$344,Model!AC$1,'Assumptions (O&amp;G Upstream)'!$B$347,Model!$K$3366)</f>
        <v>-8.201363619</v>
      </c>
      <c r="R3377" s="188">
        <f>PPMT('Assumptions (O&amp;G Upstream)'!$B$344,Model!AD$1,'Assumptions (O&amp;G Upstream)'!$B$347,Model!$K$3366)</f>
        <v>-8.81646589</v>
      </c>
      <c r="S3377" s="188">
        <f>PPMT('Assumptions (O&amp;G Upstream)'!$B$344,Model!AE$1,'Assumptions (O&amp;G Upstream)'!$B$347,Model!$K$3366)</f>
        <v>-9.477700832</v>
      </c>
      <c r="T3377" s="188">
        <f>PPMT('Assumptions (O&amp;G Upstream)'!$B$344,Model!AF$1,'Assumptions (O&amp;G Upstream)'!$B$347,Model!$K$3366)</f>
        <v>-10.18852839</v>
      </c>
      <c r="U3377" s="188"/>
      <c r="V3377" s="188"/>
      <c r="W3377" s="188"/>
      <c r="X3377" s="188"/>
      <c r="Y3377" s="188"/>
      <c r="Z3377" s="188"/>
      <c r="AA3377" s="188"/>
      <c r="AB3377" s="188"/>
      <c r="AC3377" s="188"/>
      <c r="AD3377" s="188"/>
      <c r="AE3377" s="188"/>
      <c r="AF3377" s="188"/>
      <c r="AG3377" s="188"/>
      <c r="AH3377" s="188"/>
      <c r="AI3377" s="188"/>
    </row>
    <row r="3378" ht="15.75" hidden="1" customHeight="1" outlineLevel="1">
      <c r="A3378" s="389"/>
      <c r="B3378" s="24"/>
      <c r="C3378" s="188"/>
      <c r="D3378" s="188"/>
      <c r="E3378" s="188"/>
      <c r="F3378" s="188"/>
      <c r="G3378" s="188"/>
      <c r="H3378" s="188"/>
      <c r="I3378" s="188"/>
      <c r="J3378" s="188"/>
      <c r="K3378" s="188"/>
      <c r="L3378" s="188">
        <f>PPMT('Assumptions (O&amp;G Upstream)'!$B$344,Model!W$1,'Assumptions (O&amp;G Upstream)'!$B$347,Model!$L$3366)</f>
        <v>-3.698287723</v>
      </c>
      <c r="M3378" s="188">
        <f>PPMT('Assumptions (O&amp;G Upstream)'!$B$344,Model!X$1,'Assumptions (O&amp;G Upstream)'!$B$347,Model!$L$3366)</f>
        <v>-3.975659302</v>
      </c>
      <c r="N3378" s="188">
        <f>PPMT('Assumptions (O&amp;G Upstream)'!$B$344,Model!Y$1,'Assumptions (O&amp;G Upstream)'!$B$347,Model!$L$3366)</f>
        <v>-4.27383375</v>
      </c>
      <c r="O3378" s="188">
        <f>PPMT('Assumptions (O&amp;G Upstream)'!$B$344,Model!Z$1,'Assumptions (O&amp;G Upstream)'!$B$347,Model!$L$3366)</f>
        <v>-4.594371281</v>
      </c>
      <c r="P3378" s="188">
        <f>PPMT('Assumptions (O&amp;G Upstream)'!$B$344,Model!AA$1,'Assumptions (O&amp;G Upstream)'!$B$347,Model!$L$3366)</f>
        <v>-4.938949127</v>
      </c>
      <c r="Q3378" s="188">
        <f>PPMT('Assumptions (O&amp;G Upstream)'!$B$344,Model!AB$1,'Assumptions (O&amp;G Upstream)'!$B$347,Model!$L$3366)</f>
        <v>-5.309370312</v>
      </c>
      <c r="R3378" s="188">
        <f>PPMT('Assumptions (O&amp;G Upstream)'!$B$344,Model!AC$1,'Assumptions (O&amp;G Upstream)'!$B$347,Model!$L$3366)</f>
        <v>-5.707573085</v>
      </c>
      <c r="S3378" s="188">
        <f>PPMT('Assumptions (O&amp;G Upstream)'!$B$344,Model!AD$1,'Assumptions (O&amp;G Upstream)'!$B$347,Model!$L$3366)</f>
        <v>-6.135641066</v>
      </c>
      <c r="T3378" s="188">
        <f>PPMT('Assumptions (O&amp;G Upstream)'!$B$344,Model!AE$1,'Assumptions (O&amp;G Upstream)'!$B$347,Model!$L$3366)</f>
        <v>-6.595814146</v>
      </c>
      <c r="U3378" s="188">
        <f>PPMT('Assumptions (O&amp;G Upstream)'!$B$344,Model!AF$1,'Assumptions (O&amp;G Upstream)'!$B$347,Model!$L$3366)</f>
        <v>-7.090500207</v>
      </c>
      <c r="V3378" s="188"/>
      <c r="W3378" s="188"/>
      <c r="X3378" s="188"/>
      <c r="Y3378" s="188"/>
      <c r="Z3378" s="188"/>
      <c r="AA3378" s="188"/>
      <c r="AB3378" s="188"/>
      <c r="AC3378" s="188"/>
      <c r="AD3378" s="188"/>
      <c r="AE3378" s="188"/>
      <c r="AF3378" s="188"/>
      <c r="AG3378" s="188"/>
      <c r="AH3378" s="188"/>
      <c r="AI3378" s="188"/>
      <c r="AJ3378" s="188"/>
    </row>
    <row r="3379" ht="15.75" hidden="1" customHeight="1" outlineLevel="1">
      <c r="A3379" s="389"/>
      <c r="B3379" s="24"/>
      <c r="C3379" s="188"/>
      <c r="D3379" s="188"/>
      <c r="E3379" s="188"/>
      <c r="F3379" s="188"/>
      <c r="G3379" s="188"/>
      <c r="H3379" s="188"/>
      <c r="I3379" s="188"/>
      <c r="J3379" s="188"/>
      <c r="K3379" s="188"/>
      <c r="L3379" s="188"/>
      <c r="M3379" s="188">
        <f>PPMT('Assumptions (O&amp;G Upstream)'!$B$344,Model!W$1,'Assumptions (O&amp;G Upstream)'!$B$347,Model!$M$3366)</f>
        <v>-4.372631471</v>
      </c>
      <c r="N3379" s="188">
        <f>PPMT('Assumptions (O&amp;G Upstream)'!$B$344,Model!X$1,'Assumptions (O&amp;G Upstream)'!$B$347,Model!$M$3366)</f>
        <v>-4.700578831</v>
      </c>
      <c r="O3379" s="188">
        <f>PPMT('Assumptions (O&amp;G Upstream)'!$B$344,Model!Y$1,'Assumptions (O&amp;G Upstream)'!$B$347,Model!$M$3366)</f>
        <v>-5.053122243</v>
      </c>
      <c r="P3379" s="188">
        <f>PPMT('Assumptions (O&amp;G Upstream)'!$B$344,Model!Z$1,'Assumptions (O&amp;G Upstream)'!$B$347,Model!$M$3366)</f>
        <v>-5.432106411</v>
      </c>
      <c r="Q3379" s="188">
        <f>PPMT('Assumptions (O&amp;G Upstream)'!$B$344,Model!AA$1,'Assumptions (O&amp;G Upstream)'!$B$347,Model!$M$3366)</f>
        <v>-5.839514392</v>
      </c>
      <c r="R3379" s="188">
        <f>PPMT('Assumptions (O&amp;G Upstream)'!$B$344,Model!AB$1,'Assumptions (O&amp;G Upstream)'!$B$347,Model!$M$3366)</f>
        <v>-6.277477972</v>
      </c>
      <c r="S3379" s="188">
        <f>PPMT('Assumptions (O&amp;G Upstream)'!$B$344,Model!AC$1,'Assumptions (O&amp;G Upstream)'!$B$347,Model!$M$3366)</f>
        <v>-6.74828882</v>
      </c>
      <c r="T3379" s="188">
        <f>PPMT('Assumptions (O&amp;G Upstream)'!$B$344,Model!AD$1,'Assumptions (O&amp;G Upstream)'!$B$347,Model!$M$3366)</f>
        <v>-7.254410481</v>
      </c>
      <c r="U3379" s="188">
        <f>PPMT('Assumptions (O&amp;G Upstream)'!$B$344,Model!AE$1,'Assumptions (O&amp;G Upstream)'!$B$347,Model!$M$3366)</f>
        <v>-7.798491267</v>
      </c>
      <c r="V3379" s="188">
        <f>PPMT('Assumptions (O&amp;G Upstream)'!$B$344,Model!AF$1,'Assumptions (O&amp;G Upstream)'!$B$347,Model!$M$3366)</f>
        <v>-8.383378112</v>
      </c>
      <c r="W3379" s="188"/>
      <c r="X3379" s="188"/>
      <c r="Y3379" s="188"/>
      <c r="Z3379" s="188"/>
      <c r="AA3379" s="188"/>
      <c r="AB3379" s="188"/>
      <c r="AC3379" s="188"/>
      <c r="AD3379" s="188"/>
      <c r="AE3379" s="188"/>
      <c r="AF3379" s="188"/>
      <c r="AG3379" s="188"/>
      <c r="AH3379" s="188"/>
      <c r="AI3379" s="188"/>
      <c r="AJ3379" s="188"/>
      <c r="AK3379" s="188"/>
    </row>
    <row r="3380" ht="15.75" hidden="1" customHeight="1" outlineLevel="1">
      <c r="A3380" s="389"/>
      <c r="B3380" s="24"/>
      <c r="C3380" s="188"/>
      <c r="D3380" s="188"/>
      <c r="E3380" s="188"/>
      <c r="F3380" s="188"/>
      <c r="G3380" s="188"/>
      <c r="H3380" s="188"/>
      <c r="I3380" s="188"/>
      <c r="J3380" s="188"/>
      <c r="K3380" s="188"/>
      <c r="L3380" s="188"/>
      <c r="M3380" s="188"/>
      <c r="N3380" s="188">
        <f>PPMT('Assumptions (O&amp;G Upstream)'!$B$344,Model!W$1,'Assumptions (O&amp;G Upstream)'!$B$347,Model!$N$3366)</f>
        <v>-5.521984651</v>
      </c>
      <c r="O3380" s="188">
        <f>PPMT('Assumptions (O&amp;G Upstream)'!$B$344,Model!X$1,'Assumptions (O&amp;G Upstream)'!$B$347,Model!$N$3366)</f>
        <v>-5.936133499</v>
      </c>
      <c r="P3380" s="188">
        <f>PPMT('Assumptions (O&amp;G Upstream)'!$B$344,Model!Y$1,'Assumptions (O&amp;G Upstream)'!$B$347,Model!$N$3366)</f>
        <v>-6.381343512</v>
      </c>
      <c r="Q3380" s="188">
        <f>PPMT('Assumptions (O&amp;G Upstream)'!$B$344,Model!Z$1,'Assumptions (O&amp;G Upstream)'!$B$347,Model!$N$3366)</f>
        <v>-6.859944275</v>
      </c>
      <c r="R3380" s="188">
        <f>PPMT('Assumptions (O&amp;G Upstream)'!$B$344,Model!AA$1,'Assumptions (O&amp;G Upstream)'!$B$347,Model!$N$3366)</f>
        <v>-7.374440096</v>
      </c>
      <c r="S3380" s="188">
        <f>PPMT('Assumptions (O&amp;G Upstream)'!$B$344,Model!AB$1,'Assumptions (O&amp;G Upstream)'!$B$347,Model!$N$3366)</f>
        <v>-7.927523103</v>
      </c>
      <c r="T3380" s="188">
        <f>PPMT('Assumptions (O&amp;G Upstream)'!$B$344,Model!AC$1,'Assumptions (O&amp;G Upstream)'!$B$347,Model!$N$3366)</f>
        <v>-8.522087336</v>
      </c>
      <c r="U3380" s="188">
        <f>PPMT('Assumptions (O&amp;G Upstream)'!$B$344,Model!AD$1,'Assumptions (O&amp;G Upstream)'!$B$347,Model!$N$3366)</f>
        <v>-9.161243886</v>
      </c>
      <c r="V3380" s="188">
        <f>PPMT('Assumptions (O&amp;G Upstream)'!$B$344,Model!AE$1,'Assumptions (O&amp;G Upstream)'!$B$347,Model!$N$3366)</f>
        <v>-9.848337177</v>
      </c>
      <c r="W3380" s="188">
        <f>PPMT('Assumptions (O&amp;G Upstream)'!$B$344,Model!AF$1,'Assumptions (O&amp;G Upstream)'!$B$347,Model!$N$3366)</f>
        <v>-10.58696247</v>
      </c>
      <c r="X3380" s="188"/>
      <c r="Y3380" s="188"/>
      <c r="Z3380" s="188"/>
      <c r="AA3380" s="188"/>
      <c r="AB3380" s="188"/>
      <c r="AC3380" s="188"/>
      <c r="AD3380" s="188"/>
      <c r="AE3380" s="188"/>
      <c r="AF3380" s="188"/>
      <c r="AG3380" s="188"/>
      <c r="AH3380" s="188"/>
      <c r="AI3380" s="188"/>
      <c r="AJ3380" s="188"/>
      <c r="AK3380" s="188"/>
      <c r="AL3380" s="188"/>
    </row>
    <row r="3381" ht="15.75" hidden="1" customHeight="1" outlineLevel="1">
      <c r="A3381" s="389"/>
      <c r="B3381" s="24"/>
      <c r="C3381" s="188"/>
      <c r="D3381" s="188"/>
      <c r="E3381" s="188"/>
      <c r="F3381" s="188"/>
      <c r="G3381" s="188"/>
      <c r="H3381" s="188"/>
      <c r="I3381" s="188"/>
      <c r="J3381" s="188"/>
      <c r="K3381" s="188"/>
      <c r="L3381" s="188"/>
      <c r="M3381" s="188"/>
      <c r="N3381" s="188"/>
      <c r="O3381" s="188">
        <f>PPMT('Assumptions (O&amp;G Upstream)'!$B$344,Model!W$1,'Assumptions (O&amp;G Upstream)'!$B$347,Model!$O$3366)</f>
        <v>-6.900360235</v>
      </c>
      <c r="P3381" s="188">
        <f>PPMT('Assumptions (O&amp;G Upstream)'!$B$344,Model!X$1,'Assumptions (O&amp;G Upstream)'!$B$347,Model!$O$3366)</f>
        <v>-7.417887253</v>
      </c>
      <c r="Q3381" s="188">
        <f>PPMT('Assumptions (O&amp;G Upstream)'!$B$344,Model!Y$1,'Assumptions (O&amp;G Upstream)'!$B$347,Model!$O$3366)</f>
        <v>-7.974228797</v>
      </c>
      <c r="R3381" s="188">
        <f>PPMT('Assumptions (O&amp;G Upstream)'!$B$344,Model!Z$1,'Assumptions (O&amp;G Upstream)'!$B$347,Model!$O$3366)</f>
        <v>-8.572295957</v>
      </c>
      <c r="S3381" s="188">
        <f>PPMT('Assumptions (O&amp;G Upstream)'!$B$344,Model!AA$1,'Assumptions (O&amp;G Upstream)'!$B$347,Model!$O$3366)</f>
        <v>-9.215218153</v>
      </c>
      <c r="T3381" s="188">
        <f>PPMT('Assumptions (O&amp;G Upstream)'!$B$344,Model!AB$1,'Assumptions (O&amp;G Upstream)'!$B$347,Model!$O$3366)</f>
        <v>-9.906359515</v>
      </c>
      <c r="U3381" s="188">
        <f>PPMT('Assumptions (O&amp;G Upstream)'!$B$344,Model!AC$1,'Assumptions (O&amp;G Upstream)'!$B$347,Model!$O$3366)</f>
        <v>-10.64933648</v>
      </c>
      <c r="V3381" s="188">
        <f>PPMT('Assumptions (O&amp;G Upstream)'!$B$344,Model!AD$1,'Assumptions (O&amp;G Upstream)'!$B$347,Model!$O$3366)</f>
        <v>-11.44803671</v>
      </c>
      <c r="W3381" s="188">
        <f>PPMT('Assumptions (O&amp;G Upstream)'!$B$344,Model!AE$1,'Assumptions (O&amp;G Upstream)'!$B$347,Model!$O$3366)</f>
        <v>-12.30663947</v>
      </c>
      <c r="X3381" s="188">
        <f>PPMT('Assumptions (O&amp;G Upstream)'!$B$344,Model!AF$1,'Assumptions (O&amp;G Upstream)'!$B$347,Model!$O$3366)</f>
        <v>-13.22963743</v>
      </c>
      <c r="Y3381" s="188"/>
      <c r="Z3381" s="188"/>
      <c r="AA3381" s="188"/>
      <c r="AB3381" s="188"/>
      <c r="AC3381" s="188"/>
      <c r="AD3381" s="188"/>
      <c r="AE3381" s="188"/>
      <c r="AF3381" s="188"/>
      <c r="AG3381" s="188"/>
      <c r="AH3381" s="188"/>
      <c r="AI3381" s="188"/>
      <c r="AJ3381" s="188"/>
      <c r="AK3381" s="188"/>
      <c r="AL3381" s="188"/>
      <c r="AM3381" s="188"/>
    </row>
    <row r="3382" ht="15.75" hidden="1" customHeight="1" outlineLevel="1">
      <c r="A3382" s="389"/>
      <c r="B3382" s="24"/>
      <c r="C3382" s="188"/>
      <c r="D3382" s="188"/>
      <c r="E3382" s="188"/>
      <c r="F3382" s="188"/>
      <c r="G3382" s="188"/>
      <c r="H3382" s="188"/>
      <c r="I3382" s="188"/>
      <c r="J3382" s="188"/>
      <c r="K3382" s="188"/>
      <c r="L3382" s="188"/>
      <c r="M3382" s="188"/>
      <c r="N3382" s="188"/>
      <c r="O3382" s="188"/>
      <c r="P3382" s="188">
        <f>PPMT('Assumptions (O&amp;G Upstream)'!$B$344,Model!W$1,'Assumptions (O&amp;G Upstream)'!$B$347,Model!$P$3366)</f>
        <v>-7.235411531</v>
      </c>
      <c r="Q3382" s="188">
        <f>PPMT('Assumptions (O&amp;G Upstream)'!$B$344,Model!X$1,'Assumptions (O&amp;G Upstream)'!$B$347,Model!$P$3366)</f>
        <v>-7.778067396</v>
      </c>
      <c r="R3382" s="188">
        <f>PPMT('Assumptions (O&amp;G Upstream)'!$B$344,Model!Y$1,'Assumptions (O&amp;G Upstream)'!$B$347,Model!$P$3366)</f>
        <v>-8.361422451</v>
      </c>
      <c r="S3382" s="188">
        <f>PPMT('Assumptions (O&amp;G Upstream)'!$B$344,Model!Z$1,'Assumptions (O&amp;G Upstream)'!$B$347,Model!$P$3366)</f>
        <v>-8.988529135</v>
      </c>
      <c r="T3382" s="188">
        <f>PPMT('Assumptions (O&amp;G Upstream)'!$B$344,Model!AA$1,'Assumptions (O&amp;G Upstream)'!$B$347,Model!$P$3366)</f>
        <v>-9.66266882</v>
      </c>
      <c r="U3382" s="188">
        <f>PPMT('Assumptions (O&amp;G Upstream)'!$B$344,Model!AB$1,'Assumptions (O&amp;G Upstream)'!$B$347,Model!$P$3366)</f>
        <v>-10.38736898</v>
      </c>
      <c r="V3382" s="188">
        <f>PPMT('Assumptions (O&amp;G Upstream)'!$B$344,Model!AC$1,'Assumptions (O&amp;G Upstream)'!$B$347,Model!$P$3366)</f>
        <v>-11.16642165</v>
      </c>
      <c r="W3382" s="188">
        <f>PPMT('Assumptions (O&amp;G Upstream)'!$B$344,Model!AD$1,'Assumptions (O&amp;G Upstream)'!$B$347,Model!$P$3366)</f>
        <v>-12.00390328</v>
      </c>
      <c r="X3382" s="188">
        <f>PPMT('Assumptions (O&amp;G Upstream)'!$B$344,Model!AE$1,'Assumptions (O&amp;G Upstream)'!$B$347,Model!$P$3366)</f>
        <v>-12.90419602</v>
      </c>
      <c r="Y3382" s="188">
        <f>PPMT('Assumptions (O&amp;G Upstream)'!$B$344,Model!AF$1,'Assumptions (O&amp;G Upstream)'!$B$347,Model!$P$3366)</f>
        <v>-13.87201073</v>
      </c>
      <c r="Z3382" s="188"/>
      <c r="AA3382" s="188"/>
      <c r="AB3382" s="188"/>
      <c r="AC3382" s="188"/>
      <c r="AD3382" s="188"/>
      <c r="AE3382" s="188"/>
      <c r="AF3382" s="188"/>
      <c r="AG3382" s="188"/>
      <c r="AH3382" s="188"/>
      <c r="AI3382" s="188"/>
      <c r="AJ3382" s="188"/>
      <c r="AK3382" s="188"/>
      <c r="AL3382" s="188"/>
      <c r="AM3382" s="188"/>
      <c r="AN3382" s="188"/>
    </row>
    <row r="3383" ht="15.75" hidden="1" customHeight="1" outlineLevel="1">
      <c r="A3383" s="389"/>
      <c r="B3383" s="24"/>
      <c r="C3383" s="188"/>
      <c r="D3383" s="188"/>
      <c r="E3383" s="188"/>
      <c r="F3383" s="188"/>
      <c r="G3383" s="188"/>
      <c r="H3383" s="188"/>
      <c r="I3383" s="188"/>
      <c r="J3383" s="188"/>
      <c r="K3383" s="188"/>
      <c r="L3383" s="188"/>
      <c r="M3383" s="188"/>
      <c r="N3383" s="188"/>
      <c r="O3383" s="188"/>
      <c r="P3383" s="188"/>
      <c r="Q3383" s="188">
        <f>PPMT('Assumptions (O&amp;G Upstream)'!$B$344,Model!W$1,'Assumptions (O&amp;G Upstream)'!$B$347,Model!$Q$3366)</f>
        <v>-8.647716361</v>
      </c>
      <c r="R3383" s="188">
        <f>PPMT('Assumptions (O&amp;G Upstream)'!$B$344,Model!X$1,'Assumptions (O&amp;G Upstream)'!$B$347,Model!$Q$3366)</f>
        <v>-9.296295088</v>
      </c>
      <c r="S3383" s="188">
        <f>PPMT('Assumptions (O&amp;G Upstream)'!$B$344,Model!Y$1,'Assumptions (O&amp;G Upstream)'!$B$347,Model!$Q$3366)</f>
        <v>-9.99351722</v>
      </c>
      <c r="T3383" s="188">
        <f>PPMT('Assumptions (O&amp;G Upstream)'!$B$344,Model!Z$1,'Assumptions (O&amp;G Upstream)'!$B$347,Model!$Q$3366)</f>
        <v>-10.74303101</v>
      </c>
      <c r="U3383" s="188">
        <f>PPMT('Assumptions (O&amp;G Upstream)'!$B$344,Model!AA$1,'Assumptions (O&amp;G Upstream)'!$B$347,Model!$Q$3366)</f>
        <v>-11.54875834</v>
      </c>
      <c r="V3383" s="188">
        <f>PPMT('Assumptions (O&amp;G Upstream)'!$B$344,Model!AB$1,'Assumptions (O&amp;G Upstream)'!$B$347,Model!$Q$3366)</f>
        <v>-12.41491521</v>
      </c>
      <c r="W3383" s="188">
        <f>PPMT('Assumptions (O&amp;G Upstream)'!$B$344,Model!AC$1,'Assumptions (O&amp;G Upstream)'!$B$347,Model!$Q$3366)</f>
        <v>-13.34603385</v>
      </c>
      <c r="X3383" s="188">
        <f>PPMT('Assumptions (O&amp;G Upstream)'!$B$344,Model!AD$1,'Assumptions (O&amp;G Upstream)'!$B$347,Model!$Q$3366)</f>
        <v>-14.34698639</v>
      </c>
      <c r="Y3383" s="188">
        <f>PPMT('Assumptions (O&amp;G Upstream)'!$B$344,Model!AE$1,'Assumptions (O&amp;G Upstream)'!$B$347,Model!$Q$3366)</f>
        <v>-15.42301037</v>
      </c>
      <c r="Z3383" s="188">
        <f>PPMT('Assumptions (O&amp;G Upstream)'!$B$344,Model!AF$1,'Assumptions (O&amp;G Upstream)'!$B$347,Model!$Q$3366)</f>
        <v>-16.57973615</v>
      </c>
      <c r="AA3383" s="188"/>
      <c r="AB3383" s="188"/>
      <c r="AC3383" s="188"/>
      <c r="AD3383" s="188"/>
      <c r="AE3383" s="188"/>
      <c r="AF3383" s="188"/>
      <c r="AG3383" s="188"/>
      <c r="AH3383" s="188"/>
      <c r="AI3383" s="188"/>
      <c r="AJ3383" s="188"/>
      <c r="AK3383" s="188"/>
      <c r="AL3383" s="188"/>
      <c r="AM3383" s="188"/>
      <c r="AN3383" s="188"/>
      <c r="AO3383" s="188"/>
    </row>
    <row r="3384" ht="15.75" hidden="1" customHeight="1" outlineLevel="1">
      <c r="A3384" s="389"/>
      <c r="B3384" s="24"/>
      <c r="C3384" s="188"/>
      <c r="D3384" s="188"/>
      <c r="E3384" s="188"/>
      <c r="F3384" s="188"/>
      <c r="G3384" s="188"/>
      <c r="H3384" s="188"/>
      <c r="I3384" s="188"/>
      <c r="J3384" s="188"/>
      <c r="K3384" s="188"/>
      <c r="L3384" s="188"/>
      <c r="M3384" s="188"/>
      <c r="N3384" s="188"/>
      <c r="O3384" s="188"/>
      <c r="P3384" s="188"/>
      <c r="Q3384" s="188"/>
      <c r="R3384" s="188">
        <f>PPMT('Assumptions (O&amp;G Upstream)'!$B$344,Model!W$1,'Assumptions (O&amp;G Upstream)'!$B$347,Model!$R$3366)</f>
        <v>-6.344768846</v>
      </c>
      <c r="S3384" s="188">
        <f>PPMT('Assumptions (O&amp;G Upstream)'!$B$344,Model!X$1,'Assumptions (O&amp;G Upstream)'!$B$347,Model!$R$3366)</f>
        <v>-6.820626509</v>
      </c>
      <c r="T3384" s="188">
        <f>PPMT('Assumptions (O&amp;G Upstream)'!$B$344,Model!Y$1,'Assumptions (O&amp;G Upstream)'!$B$347,Model!$R$3366)</f>
        <v>-7.332173497</v>
      </c>
      <c r="U3384" s="188">
        <f>PPMT('Assumptions (O&amp;G Upstream)'!$B$344,Model!Z$1,'Assumptions (O&amp;G Upstream)'!$B$347,Model!$R$3366)</f>
        <v>-7.88208651</v>
      </c>
      <c r="V3384" s="188">
        <f>PPMT('Assumptions (O&amp;G Upstream)'!$B$344,Model!AA$1,'Assumptions (O&amp;G Upstream)'!$B$347,Model!$R$3366)</f>
        <v>-8.473242998</v>
      </c>
      <c r="W3384" s="188">
        <f>PPMT('Assumptions (O&amp;G Upstream)'!$B$344,Model!AB$1,'Assumptions (O&amp;G Upstream)'!$B$347,Model!$R$3366)</f>
        <v>-9.108736223</v>
      </c>
      <c r="X3384" s="188">
        <f>PPMT('Assumptions (O&amp;G Upstream)'!$B$344,Model!AC$1,'Assumptions (O&amp;G Upstream)'!$B$347,Model!$R$3366)</f>
        <v>-9.791891439</v>
      </c>
      <c r="Y3384" s="188">
        <f>PPMT('Assumptions (O&amp;G Upstream)'!$B$344,Model!AD$1,'Assumptions (O&amp;G Upstream)'!$B$347,Model!$R$3366)</f>
        <v>-10.5262833</v>
      </c>
      <c r="Z3384" s="188">
        <f>PPMT('Assumptions (O&amp;G Upstream)'!$B$344,Model!AE$1,'Assumptions (O&amp;G Upstream)'!$B$347,Model!$R$3366)</f>
        <v>-11.31575454</v>
      </c>
      <c r="AA3384" s="188">
        <f>PPMT('Assumptions (O&amp;G Upstream)'!$B$344,Model!AF$1,'Assumptions (O&amp;G Upstream)'!$B$347,Model!$R$3366)</f>
        <v>-12.16443614</v>
      </c>
      <c r="AB3384" s="188"/>
      <c r="AC3384" s="188"/>
      <c r="AD3384" s="188"/>
      <c r="AE3384" s="188"/>
      <c r="AF3384" s="188"/>
      <c r="AG3384" s="188"/>
      <c r="AH3384" s="188"/>
      <c r="AI3384" s="188"/>
      <c r="AJ3384" s="188"/>
      <c r="AK3384" s="188"/>
      <c r="AL3384" s="188"/>
      <c r="AM3384" s="188"/>
      <c r="AN3384" s="188"/>
      <c r="AO3384" s="188"/>
      <c r="AP3384" s="188"/>
    </row>
    <row r="3385" ht="15.75" hidden="1" customHeight="1" outlineLevel="1">
      <c r="A3385" s="389"/>
      <c r="B3385" s="24"/>
      <c r="C3385" s="188"/>
      <c r="D3385" s="188"/>
      <c r="E3385" s="188"/>
      <c r="F3385" s="188"/>
      <c r="G3385" s="188"/>
      <c r="H3385" s="188"/>
      <c r="I3385" s="188"/>
      <c r="J3385" s="188"/>
      <c r="K3385" s="188"/>
      <c r="L3385" s="188"/>
      <c r="M3385" s="188"/>
      <c r="N3385" s="188"/>
      <c r="O3385" s="188"/>
      <c r="P3385" s="188"/>
      <c r="Q3385" s="188"/>
      <c r="R3385" s="188"/>
      <c r="S3385" s="188">
        <f>PPMT('Assumptions (O&amp;G Upstream)'!$B$344,Model!W$1,'Assumptions (O&amp;G Upstream)'!$B$347,Model!$S$3366)</f>
        <v>-3.388683361</v>
      </c>
      <c r="T3385" s="188">
        <f>PPMT('Assumptions (O&amp;G Upstream)'!$B$344,Model!X$1,'Assumptions (O&amp;G Upstream)'!$B$347,Model!$S$3366)</f>
        <v>-3.642834613</v>
      </c>
      <c r="U3385" s="188">
        <f>PPMT('Assumptions (O&amp;G Upstream)'!$B$344,Model!Y$1,'Assumptions (O&amp;G Upstream)'!$B$347,Model!$S$3366)</f>
        <v>-3.916047209</v>
      </c>
      <c r="V3385" s="188">
        <f>PPMT('Assumptions (O&amp;G Upstream)'!$B$344,Model!Z$1,'Assumptions (O&amp;G Upstream)'!$B$347,Model!$S$3366)</f>
        <v>-4.209750749</v>
      </c>
      <c r="W3385" s="188">
        <f>PPMT('Assumptions (O&amp;G Upstream)'!$B$344,Model!AA$1,'Assumptions (O&amp;G Upstream)'!$B$347,Model!$S$3366)</f>
        <v>-4.525482056</v>
      </c>
      <c r="X3385" s="188">
        <f>PPMT('Assumptions (O&amp;G Upstream)'!$B$344,Model!AB$1,'Assumptions (O&amp;G Upstream)'!$B$347,Model!$S$3366)</f>
        <v>-4.86489321</v>
      </c>
      <c r="Y3385" s="188">
        <f>PPMT('Assumptions (O&amp;G Upstream)'!$B$344,Model!AC$1,'Assumptions (O&amp;G Upstream)'!$B$347,Model!$S$3366)</f>
        <v>-5.229760201</v>
      </c>
      <c r="Z3385" s="188">
        <f>PPMT('Assumptions (O&amp;G Upstream)'!$B$344,Model!AD$1,'Assumptions (O&amp;G Upstream)'!$B$347,Model!$S$3366)</f>
        <v>-5.621992216</v>
      </c>
      <c r="AA3385" s="188">
        <f>PPMT('Assumptions (O&amp;G Upstream)'!$B$344,Model!AE$1,'Assumptions (O&amp;G Upstream)'!$B$347,Model!$S$3366)</f>
        <v>-6.043641632</v>
      </c>
      <c r="AB3385" s="188">
        <f>PPMT('Assumptions (O&amp;G Upstream)'!$B$344,Model!AF$1,'Assumptions (O&amp;G Upstream)'!$B$347,Model!$S$3366)</f>
        <v>-6.496914754</v>
      </c>
      <c r="AC3385" s="188"/>
      <c r="AD3385" s="188"/>
      <c r="AE3385" s="188"/>
      <c r="AF3385" s="188"/>
      <c r="AG3385" s="188"/>
      <c r="AH3385" s="188"/>
      <c r="AI3385" s="188"/>
      <c r="AJ3385" s="188"/>
      <c r="AK3385" s="188"/>
      <c r="AL3385" s="188"/>
      <c r="AM3385" s="188"/>
      <c r="AN3385" s="188"/>
      <c r="AO3385" s="188"/>
      <c r="AP3385" s="188"/>
      <c r="AQ3385" s="188"/>
    </row>
    <row r="3386" ht="15.75" hidden="1" customHeight="1" outlineLevel="1">
      <c r="A3386" s="389"/>
      <c r="B3386" s="24"/>
      <c r="C3386" s="188"/>
      <c r="D3386" s="188"/>
      <c r="E3386" s="188"/>
      <c r="F3386" s="188"/>
      <c r="G3386" s="188"/>
      <c r="H3386" s="188"/>
      <c r="I3386" s="188"/>
      <c r="J3386" s="188"/>
      <c r="K3386" s="188"/>
      <c r="L3386" s="188"/>
      <c r="M3386" s="188"/>
      <c r="N3386" s="188"/>
      <c r="O3386" s="188"/>
      <c r="P3386" s="188"/>
      <c r="Q3386" s="188"/>
      <c r="R3386" s="188"/>
      <c r="S3386" s="78"/>
      <c r="T3386" s="188">
        <f>PPMT('Assumptions (O&amp;G Upstream)'!$B$344,Model!W$1,'Assumptions (O&amp;G Upstream)'!$B$347,Model!$T$3366)</f>
        <v>-4.76281779</v>
      </c>
      <c r="U3386" s="188">
        <f>PPMT('Assumptions (O&amp;G Upstream)'!$B$344,Model!X$1,'Assumptions (O&amp;G Upstream)'!$B$347,Model!$T$3366)</f>
        <v>-5.120029124</v>
      </c>
      <c r="V3386" s="188">
        <f>PPMT('Assumptions (O&amp;G Upstream)'!$B$344,Model!Y$1,'Assumptions (O&amp;G Upstream)'!$B$347,Model!$T$3366)</f>
        <v>-5.504031309</v>
      </c>
      <c r="W3386" s="188">
        <f>PPMT('Assumptions (O&amp;G Upstream)'!$B$344,Model!Z$1,'Assumptions (O&amp;G Upstream)'!$B$347,Model!$T$3366)</f>
        <v>-5.916833657</v>
      </c>
      <c r="X3386" s="188">
        <f>PPMT('Assumptions (O&amp;G Upstream)'!$B$344,Model!AA$1,'Assumptions (O&amp;G Upstream)'!$B$347,Model!$T$3366)</f>
        <v>-6.360596181</v>
      </c>
      <c r="Y3386" s="188">
        <f>PPMT('Assumptions (O&amp;G Upstream)'!$B$344,Model!AB$1,'Assumptions (O&amp;G Upstream)'!$B$347,Model!$T$3366)</f>
        <v>-6.837640894</v>
      </c>
      <c r="Z3386" s="188">
        <f>PPMT('Assumptions (O&amp;G Upstream)'!$B$344,Model!AC$1,'Assumptions (O&amp;G Upstream)'!$B$347,Model!$T$3366)</f>
        <v>-7.350463962</v>
      </c>
      <c r="AA3386" s="188">
        <f>PPMT('Assumptions (O&amp;G Upstream)'!$B$344,Model!AD$1,'Assumptions (O&amp;G Upstream)'!$B$347,Model!$T$3366)</f>
        <v>-7.901748759</v>
      </c>
      <c r="AB3386" s="188">
        <f>PPMT('Assumptions (O&amp;G Upstream)'!$B$344,Model!AE$1,'Assumptions (O&amp;G Upstream)'!$B$347,Model!$T$3366)</f>
        <v>-8.494379916</v>
      </c>
      <c r="AC3386" s="188">
        <f>PPMT('Assumptions (O&amp;G Upstream)'!$B$344,Model!AF$1,'Assumptions (O&amp;G Upstream)'!$B$347,Model!$T$3366)</f>
        <v>-9.131458409</v>
      </c>
      <c r="AD3386" s="188"/>
      <c r="AE3386" s="188"/>
      <c r="AF3386" s="188"/>
      <c r="AG3386" s="188"/>
      <c r="AH3386" s="188"/>
      <c r="AI3386" s="188"/>
      <c r="AJ3386" s="188"/>
      <c r="AK3386" s="188"/>
      <c r="AL3386" s="188"/>
      <c r="AM3386" s="188"/>
      <c r="AN3386" s="188"/>
      <c r="AO3386" s="188"/>
      <c r="AP3386" s="188"/>
      <c r="AQ3386" s="188"/>
      <c r="AR3386" s="188"/>
    </row>
    <row r="3387" ht="15.75" hidden="1" customHeight="1" outlineLevel="1">
      <c r="A3387" s="389"/>
      <c r="B3387" s="24"/>
      <c r="C3387" s="188"/>
      <c r="D3387" s="188"/>
      <c r="E3387" s="188"/>
      <c r="F3387" s="188"/>
      <c r="G3387" s="188"/>
      <c r="H3387" s="188"/>
      <c r="I3387" s="188"/>
      <c r="J3387" s="188"/>
      <c r="K3387" s="188"/>
      <c r="L3387" s="188"/>
      <c r="M3387" s="188"/>
      <c r="N3387" s="188"/>
      <c r="O3387" s="188"/>
      <c r="P3387" s="188"/>
      <c r="Q3387" s="188"/>
      <c r="R3387" s="188"/>
      <c r="S3387" s="78"/>
      <c r="T3387" s="78"/>
      <c r="U3387" s="188">
        <f>PPMT('Assumptions (O&amp;G Upstream)'!$B$344,Model!W$1,'Assumptions (O&amp;G Upstream)'!$B$347,Model!$U$3366)</f>
        <v>-7.146793952</v>
      </c>
      <c r="V3387" s="188">
        <f>PPMT('Assumptions (O&amp;G Upstream)'!$B$344,Model!X$1,'Assumptions (O&amp;G Upstream)'!$B$347,Model!$U$3366)</f>
        <v>-7.682803499</v>
      </c>
      <c r="W3387" s="188">
        <f>PPMT('Assumptions (O&amp;G Upstream)'!$B$344,Model!Y$1,'Assumptions (O&amp;G Upstream)'!$B$347,Model!$U$3366)</f>
        <v>-8.259013761</v>
      </c>
      <c r="X3387" s="188">
        <f>PPMT('Assumptions (O&amp;G Upstream)'!$B$344,Model!Z$1,'Assumptions (O&amp;G Upstream)'!$B$347,Model!$U$3366)</f>
        <v>-8.878439793</v>
      </c>
      <c r="Y3387" s="188">
        <f>PPMT('Assumptions (O&amp;G Upstream)'!$B$344,Model!AA$1,'Assumptions (O&amp;G Upstream)'!$B$347,Model!$U$3366)</f>
        <v>-9.544322777</v>
      </c>
      <c r="Z3387" s="188">
        <f>PPMT('Assumptions (O&amp;G Upstream)'!$B$344,Model!AB$1,'Assumptions (O&amp;G Upstream)'!$B$347,Model!$U$3366)</f>
        <v>-10.26014699</v>
      </c>
      <c r="AA3387" s="188">
        <f>PPMT('Assumptions (O&amp;G Upstream)'!$B$344,Model!AC$1,'Assumptions (O&amp;G Upstream)'!$B$347,Model!$U$3366)</f>
        <v>-11.02965801</v>
      </c>
      <c r="AB3387" s="188">
        <f>PPMT('Assumptions (O&amp;G Upstream)'!$B$344,Model!AD$1,'Assumptions (O&amp;G Upstream)'!$B$347,Model!$U$3366)</f>
        <v>-11.85688236</v>
      </c>
      <c r="AC3387" s="188">
        <f>PPMT('Assumptions (O&amp;G Upstream)'!$B$344,Model!AE$1,'Assumptions (O&amp;G Upstream)'!$B$347,Model!$U$3366)</f>
        <v>-12.74614854</v>
      </c>
      <c r="AD3387" s="188">
        <f>PPMT('Assumptions (O&amp;G Upstream)'!$B$344,Model!AF$1,'Assumptions (O&amp;G Upstream)'!$B$347,Model!$U$3366)</f>
        <v>-13.70210968</v>
      </c>
      <c r="AE3387" s="188"/>
      <c r="AF3387" s="188"/>
      <c r="AG3387" s="188"/>
      <c r="AH3387" s="188"/>
      <c r="AI3387" s="188"/>
      <c r="AJ3387" s="188"/>
      <c r="AK3387" s="188"/>
      <c r="AL3387" s="188"/>
      <c r="AM3387" s="188"/>
      <c r="AN3387" s="188"/>
      <c r="AO3387" s="188"/>
      <c r="AP3387" s="188"/>
      <c r="AQ3387" s="188"/>
      <c r="AR3387" s="188"/>
      <c r="AS3387" s="188"/>
    </row>
    <row r="3388" ht="15.75" hidden="1" customHeight="1" outlineLevel="1">
      <c r="A3388" s="389"/>
      <c r="B3388" s="24"/>
      <c r="C3388" s="188"/>
      <c r="D3388" s="188"/>
      <c r="E3388" s="188"/>
      <c r="F3388" s="188"/>
      <c r="G3388" s="188"/>
      <c r="H3388" s="188"/>
      <c r="I3388" s="188"/>
      <c r="J3388" s="188"/>
      <c r="K3388" s="188"/>
      <c r="L3388" s="188"/>
      <c r="M3388" s="188"/>
      <c r="N3388" s="188"/>
      <c r="O3388" s="188"/>
      <c r="P3388" s="188"/>
      <c r="Q3388" s="188"/>
      <c r="R3388" s="188"/>
      <c r="S3388" s="78"/>
      <c r="T3388" s="78"/>
      <c r="U3388" s="78"/>
      <c r="V3388" s="188">
        <f>PPMT('Assumptions (O&amp;G Upstream)'!$B$344,Model!W$1,'Assumptions (O&amp;G Upstream)'!$B$347,Model!$V$3366)</f>
        <v>-8.043931086</v>
      </c>
      <c r="W3388" s="188">
        <f>PPMT('Assumptions (O&amp;G Upstream)'!$B$344,Model!X$1,'Assumptions (O&amp;G Upstream)'!$B$347,Model!$V$3366)</f>
        <v>-8.647225917</v>
      </c>
      <c r="X3388" s="188">
        <f>PPMT('Assumptions (O&amp;G Upstream)'!$B$344,Model!Y$1,'Assumptions (O&amp;G Upstream)'!$B$347,Model!$V$3366)</f>
        <v>-9.295767861</v>
      </c>
      <c r="Y3388" s="188">
        <f>PPMT('Assumptions (O&amp;G Upstream)'!$B$344,Model!Z$1,'Assumptions (O&amp;G Upstream)'!$B$347,Model!$V$3366)</f>
        <v>-9.992950451</v>
      </c>
      <c r="Z3388" s="188">
        <f>PPMT('Assumptions (O&amp;G Upstream)'!$B$344,Model!AA$1,'Assumptions (O&amp;G Upstream)'!$B$347,Model!$V$3366)</f>
        <v>-10.74242173</v>
      </c>
      <c r="AA3388" s="188">
        <f>PPMT('Assumptions (O&amp;G Upstream)'!$B$344,Model!AB$1,'Assumptions (O&amp;G Upstream)'!$B$347,Model!$V$3366)</f>
        <v>-11.54810336</v>
      </c>
      <c r="AB3388" s="188">
        <f>PPMT('Assumptions (O&amp;G Upstream)'!$B$344,Model!AC$1,'Assumptions (O&amp;G Upstream)'!$B$347,Model!$V$3366)</f>
        <v>-12.41421112</v>
      </c>
      <c r="AC3388" s="188">
        <f>PPMT('Assumptions (O&amp;G Upstream)'!$B$344,Model!AD$1,'Assumptions (O&amp;G Upstream)'!$B$347,Model!$V$3366)</f>
        <v>-13.34527695</v>
      </c>
      <c r="AD3388" s="188">
        <f>PPMT('Assumptions (O&amp;G Upstream)'!$B$344,Model!AE$1,'Assumptions (O&amp;G Upstream)'!$B$347,Model!$V$3366)</f>
        <v>-14.34617272</v>
      </c>
      <c r="AE3388" s="188">
        <f>PPMT('Assumptions (O&amp;G Upstream)'!$B$344,Model!AF$1,'Assumptions (O&amp;G Upstream)'!$B$347,Model!$V$3366)</f>
        <v>-15.42213568</v>
      </c>
      <c r="AF3388" s="188"/>
      <c r="AG3388" s="188"/>
      <c r="AH3388" s="188"/>
      <c r="AI3388" s="188"/>
      <c r="AJ3388" s="188"/>
      <c r="AK3388" s="188"/>
      <c r="AL3388" s="188"/>
      <c r="AM3388" s="188"/>
      <c r="AN3388" s="188"/>
      <c r="AO3388" s="188"/>
      <c r="AP3388" s="188"/>
      <c r="AQ3388" s="188"/>
      <c r="AR3388" s="188"/>
      <c r="AS3388" s="188"/>
      <c r="AT3388" s="188"/>
    </row>
    <row r="3389" ht="15.75" hidden="1" customHeight="1" outlineLevel="1">
      <c r="A3389" s="389"/>
      <c r="B3389" s="24"/>
      <c r="C3389" s="188"/>
      <c r="D3389" s="188"/>
      <c r="E3389" s="188"/>
      <c r="F3389" s="188"/>
      <c r="G3389" s="188"/>
      <c r="H3389" s="188"/>
      <c r="I3389" s="188"/>
      <c r="J3389" s="188"/>
      <c r="K3389" s="188"/>
      <c r="L3389" s="188"/>
      <c r="M3389" s="188"/>
      <c r="N3389" s="188"/>
      <c r="O3389" s="188"/>
      <c r="P3389" s="188"/>
      <c r="Q3389" s="188"/>
      <c r="R3389" s="188"/>
      <c r="S3389" s="78"/>
      <c r="T3389" s="78"/>
      <c r="U3389" s="78"/>
      <c r="V3389" s="78"/>
      <c r="W3389" s="188">
        <f>PPMT('Assumptions (O&amp;G Upstream)'!$B$344,Model!W$1,'Assumptions (O&amp;G Upstream)'!$B$347,Model!$W$3366)</f>
        <v>-8.761467929</v>
      </c>
      <c r="X3389" s="188">
        <f>PPMT('Assumptions (O&amp;G Upstream)'!$B$344,Model!X$1,'Assumptions (O&amp;G Upstream)'!$B$347,Model!$W$3366)</f>
        <v>-9.418578024</v>
      </c>
      <c r="Y3389" s="188">
        <f>PPMT('Assumptions (O&amp;G Upstream)'!$B$344,Model!Y$1,'Assumptions (O&amp;G Upstream)'!$B$347,Model!$W$3366)</f>
        <v>-10.12497138</v>
      </c>
      <c r="Z3389" s="188">
        <f>PPMT('Assumptions (O&amp;G Upstream)'!$B$344,Model!Z$1,'Assumptions (O&amp;G Upstream)'!$B$347,Model!$W$3366)</f>
        <v>-10.88434423</v>
      </c>
      <c r="AA3389" s="188">
        <f>PPMT('Assumptions (O&amp;G Upstream)'!$B$344,Model!AA$1,'Assumptions (O&amp;G Upstream)'!$B$347,Model!$W$3366)</f>
        <v>-11.70067005</v>
      </c>
      <c r="AB3389" s="188">
        <f>PPMT('Assumptions (O&amp;G Upstream)'!$B$344,Model!AB$1,'Assumptions (O&amp;G Upstream)'!$B$347,Model!$W$3366)</f>
        <v>-12.5782203</v>
      </c>
      <c r="AC3389" s="188">
        <f>PPMT('Assumptions (O&amp;G Upstream)'!$B$344,Model!AC$1,'Assumptions (O&amp;G Upstream)'!$B$347,Model!$W$3366)</f>
        <v>-13.52158682</v>
      </c>
      <c r="AD3389" s="188">
        <f>PPMT('Assumptions (O&amp;G Upstream)'!$B$344,Model!AD$1,'Assumptions (O&amp;G Upstream)'!$B$347,Model!$W$3366)</f>
        <v>-14.53570583</v>
      </c>
      <c r="AE3389" s="188">
        <f>PPMT('Assumptions (O&amp;G Upstream)'!$B$344,Model!AE$1,'Assumptions (O&amp;G Upstream)'!$B$347,Model!$W$3366)</f>
        <v>-15.62588377</v>
      </c>
      <c r="AF3389" s="188">
        <f>PPMT('Assumptions (O&amp;G Upstream)'!$B$344,Model!AF$1,'Assumptions (O&amp;G Upstream)'!$B$347,Model!$W$3366)</f>
        <v>-16.79782505</v>
      </c>
      <c r="AG3389" s="188"/>
      <c r="AH3389" s="188"/>
      <c r="AI3389" s="188"/>
      <c r="AJ3389" s="188"/>
      <c r="AK3389" s="188"/>
      <c r="AL3389" s="188"/>
      <c r="AM3389" s="188"/>
      <c r="AN3389" s="188"/>
      <c r="AO3389" s="188"/>
      <c r="AP3389" s="188"/>
      <c r="AQ3389" s="188"/>
      <c r="AR3389" s="188"/>
      <c r="AS3389" s="188"/>
      <c r="AT3389" s="188"/>
      <c r="AU3389" s="188"/>
    </row>
    <row r="3390" ht="15.75" hidden="1" customHeight="1" outlineLevel="1">
      <c r="A3390" s="389"/>
      <c r="B3390" s="24"/>
      <c r="C3390" s="188"/>
      <c r="D3390" s="188"/>
      <c r="E3390" s="188"/>
      <c r="F3390" s="188"/>
      <c r="G3390" s="188"/>
      <c r="H3390" s="188"/>
      <c r="I3390" s="188"/>
      <c r="J3390" s="188"/>
      <c r="K3390" s="188"/>
      <c r="L3390" s="188"/>
      <c r="M3390" s="188"/>
      <c r="N3390" s="188"/>
      <c r="O3390" s="188"/>
      <c r="P3390" s="188"/>
      <c r="Q3390" s="188"/>
      <c r="R3390" s="188"/>
      <c r="S3390" s="78"/>
      <c r="T3390" s="78"/>
      <c r="U3390" s="78"/>
      <c r="V3390" s="78"/>
      <c r="W3390" s="139"/>
      <c r="X3390" s="188">
        <f>PPMT('Assumptions (O&amp;G Upstream)'!$B$344,Model!W$1,'Assumptions (O&amp;G Upstream)'!$B$347,Model!$X$3366)</f>
        <v>-9.21821274</v>
      </c>
      <c r="Y3390" s="188">
        <f>PPMT('Assumptions (O&amp;G Upstream)'!$B$344,Model!X$1,'Assumptions (O&amp;G Upstream)'!$B$347,Model!$X$3366)</f>
        <v>-9.909578696</v>
      </c>
      <c r="Z3390" s="188">
        <f>PPMT('Assumptions (O&amp;G Upstream)'!$B$344,Model!Y$1,'Assumptions (O&amp;G Upstream)'!$B$347,Model!$X$3366)</f>
        <v>-10.6527971</v>
      </c>
      <c r="AA3390" s="188">
        <f>PPMT('Assumptions (O&amp;G Upstream)'!$B$344,Model!Z$1,'Assumptions (O&amp;G Upstream)'!$B$347,Model!$X$3366)</f>
        <v>-11.45175688</v>
      </c>
      <c r="AB3390" s="188">
        <f>PPMT('Assumptions (O&amp;G Upstream)'!$B$344,Model!AA$1,'Assumptions (O&amp;G Upstream)'!$B$347,Model!$X$3366)</f>
        <v>-12.31063865</v>
      </c>
      <c r="AC3390" s="188">
        <f>PPMT('Assumptions (O&amp;G Upstream)'!$B$344,Model!AB$1,'Assumptions (O&amp;G Upstream)'!$B$347,Model!$X$3366)</f>
        <v>-13.23393654</v>
      </c>
      <c r="AD3390" s="188">
        <f>PPMT('Assumptions (O&amp;G Upstream)'!$B$344,Model!AC$1,'Assumptions (O&amp;G Upstream)'!$B$347,Model!$X$3366)</f>
        <v>-14.22648179</v>
      </c>
      <c r="AE3390" s="188">
        <f>PPMT('Assumptions (O&amp;G Upstream)'!$B$344,Model!AD$1,'Assumptions (O&amp;G Upstream)'!$B$347,Model!$X$3366)</f>
        <v>-15.29346792</v>
      </c>
      <c r="AF3390" s="188">
        <f>PPMT('Assumptions (O&amp;G Upstream)'!$B$344,Model!AE$1,'Assumptions (O&amp;G Upstream)'!$B$347,Model!$X$3366)</f>
        <v>-16.44047801</v>
      </c>
      <c r="AG3390" s="188">
        <f>PPMT('Assumptions (O&amp;G Upstream)'!$B$344,Model!AF$1,'Assumptions (O&amp;G Upstream)'!$B$347,Model!$X$3366)</f>
        <v>-17.67351386</v>
      </c>
      <c r="AH3390" s="188"/>
      <c r="AI3390" s="188"/>
      <c r="AJ3390" s="188"/>
      <c r="AK3390" s="188"/>
      <c r="AL3390" s="188"/>
      <c r="AM3390" s="188"/>
      <c r="AN3390" s="188"/>
      <c r="AO3390" s="188"/>
      <c r="AP3390" s="188"/>
      <c r="AQ3390" s="188"/>
      <c r="AR3390" s="188"/>
      <c r="AS3390" s="188"/>
      <c r="AT3390" s="188"/>
      <c r="AU3390" s="188"/>
      <c r="AV3390" s="188"/>
    </row>
    <row r="3391" ht="15.75" hidden="1" customHeight="1" outlineLevel="1">
      <c r="A3391" s="389"/>
      <c r="B3391" s="24"/>
      <c r="C3391" s="188"/>
      <c r="D3391" s="188"/>
      <c r="E3391" s="188"/>
      <c r="F3391" s="188"/>
      <c r="G3391" s="188"/>
      <c r="H3391" s="188"/>
      <c r="I3391" s="188"/>
      <c r="J3391" s="188"/>
      <c r="K3391" s="188"/>
      <c r="L3391" s="188"/>
      <c r="M3391" s="188"/>
      <c r="N3391" s="188"/>
      <c r="O3391" s="188"/>
      <c r="P3391" s="188"/>
      <c r="Q3391" s="188"/>
      <c r="R3391" s="188"/>
      <c r="S3391" s="78"/>
      <c r="T3391" s="78"/>
      <c r="U3391" s="78"/>
      <c r="V3391" s="78"/>
      <c r="W3391" s="139"/>
      <c r="Y3391" s="188">
        <f>PPMT('Assumptions (O&amp;G Upstream)'!$B$344,Model!W$1,'Assumptions (O&amp;G Upstream)'!$B$347,Model!$Y$3366)</f>
        <v>-9.335828782</v>
      </c>
      <c r="Z3391" s="188">
        <f>PPMT('Assumptions (O&amp;G Upstream)'!$B$344,Model!X$1,'Assumptions (O&amp;G Upstream)'!$B$347,Model!$Y$3366)</f>
        <v>-10.03601594</v>
      </c>
      <c r="AA3391" s="188">
        <f>PPMT('Assumptions (O&amp;G Upstream)'!$B$344,Model!Y$1,'Assumptions (O&amp;G Upstream)'!$B$347,Model!$Y$3366)</f>
        <v>-10.78871714</v>
      </c>
      <c r="AB3391" s="188">
        <f>PPMT('Assumptions (O&amp;G Upstream)'!$B$344,Model!Z$1,'Assumptions (O&amp;G Upstream)'!$B$347,Model!$Y$3366)</f>
        <v>-11.59787092</v>
      </c>
      <c r="AC3391" s="188">
        <f>PPMT('Assumptions (O&amp;G Upstream)'!$B$344,Model!AA$1,'Assumptions (O&amp;G Upstream)'!$B$347,Model!$Y$3366)</f>
        <v>-12.46771124</v>
      </c>
      <c r="AD3391" s="188">
        <f>PPMT('Assumptions (O&amp;G Upstream)'!$B$344,Model!AB$1,'Assumptions (O&amp;G Upstream)'!$B$347,Model!$Y$3366)</f>
        <v>-13.40278958</v>
      </c>
      <c r="AE3391" s="188">
        <f>PPMT('Assumptions (O&amp;G Upstream)'!$B$344,Model!AC$1,'Assumptions (O&amp;G Upstream)'!$B$347,Model!$Y$3366)</f>
        <v>-14.4079988</v>
      </c>
      <c r="AF3391" s="188">
        <f>PPMT('Assumptions (O&amp;G Upstream)'!$B$344,Model!AD$1,'Assumptions (O&amp;G Upstream)'!$B$347,Model!$Y$3366)</f>
        <v>-15.48859871</v>
      </c>
      <c r="AG3391" s="188">
        <f>PPMT('Assumptions (O&amp;G Upstream)'!$B$344,Model!AE$1,'Assumptions (O&amp;G Upstream)'!$B$347,Model!$Y$3366)</f>
        <v>-16.65024362</v>
      </c>
      <c r="AH3391" s="188">
        <f>PPMT('Assumptions (O&amp;G Upstream)'!$B$344,Model!AF$1,'Assumptions (O&amp;G Upstream)'!$B$347,Model!$Y$3366)</f>
        <v>-17.89901189</v>
      </c>
      <c r="AI3391" s="188"/>
      <c r="AJ3391" s="188"/>
      <c r="AK3391" s="188"/>
      <c r="AL3391" s="188"/>
      <c r="AM3391" s="188"/>
      <c r="AN3391" s="188"/>
      <c r="AO3391" s="188"/>
      <c r="AP3391" s="188"/>
      <c r="AQ3391" s="188"/>
      <c r="AR3391" s="188"/>
      <c r="AS3391" s="188"/>
      <c r="AT3391" s="188"/>
      <c r="AU3391" s="188"/>
      <c r="AV3391" s="188"/>
      <c r="AW3391" s="188"/>
    </row>
    <row r="3392" ht="15.75" hidden="1" customHeight="1" outlineLevel="1">
      <c r="A3392" s="389"/>
      <c r="B3392" s="24"/>
      <c r="C3392" s="188"/>
      <c r="D3392" s="188"/>
      <c r="E3392" s="188"/>
      <c r="F3392" s="188"/>
      <c r="G3392" s="188"/>
      <c r="H3392" s="188"/>
      <c r="I3392" s="188"/>
      <c r="J3392" s="188"/>
      <c r="K3392" s="188"/>
      <c r="L3392" s="188"/>
      <c r="M3392" s="188"/>
      <c r="N3392" s="188"/>
      <c r="O3392" s="188"/>
      <c r="P3392" s="188"/>
      <c r="Q3392" s="188"/>
      <c r="R3392" s="188"/>
      <c r="S3392" s="78"/>
      <c r="T3392" s="78"/>
      <c r="U3392" s="78"/>
      <c r="V3392" s="78"/>
      <c r="W3392" s="139"/>
      <c r="Z3392" s="188">
        <f>PPMT('Assumptions (O&amp;G Upstream)'!$B$344,Model!W$1,'Assumptions (O&amp;G Upstream)'!$B$347,Model!$Z$3366)</f>
        <v>-9.538798986</v>
      </c>
      <c r="AA3392" s="188">
        <f>PPMT('Assumptions (O&amp;G Upstream)'!$B$344,Model!X$1,'Assumptions (O&amp;G Upstream)'!$B$347,Model!$Z$3366)</f>
        <v>-10.25420891</v>
      </c>
      <c r="AB3392" s="188">
        <f>PPMT('Assumptions (O&amp;G Upstream)'!$B$344,Model!Y$1,'Assumptions (O&amp;G Upstream)'!$B$347,Model!$Z$3366)</f>
        <v>-11.02327458</v>
      </c>
      <c r="AC3392" s="188">
        <f>PPMT('Assumptions (O&amp;G Upstream)'!$B$344,Model!Z$1,'Assumptions (O&amp;G Upstream)'!$B$347,Model!$Z$3366)</f>
        <v>-11.85002017</v>
      </c>
      <c r="AD3392" s="188">
        <f>PPMT('Assumptions (O&amp;G Upstream)'!$B$344,Model!AA$1,'Assumptions (O&amp;G Upstream)'!$B$347,Model!$Z$3366)</f>
        <v>-12.73877169</v>
      </c>
      <c r="AE3392" s="188">
        <f>PPMT('Assumptions (O&amp;G Upstream)'!$B$344,Model!AB$1,'Assumptions (O&amp;G Upstream)'!$B$347,Model!$Z$3366)</f>
        <v>-13.69417956</v>
      </c>
      <c r="AF3392" s="188">
        <f>PPMT('Assumptions (O&amp;G Upstream)'!$B$344,Model!AC$1,'Assumptions (O&amp;G Upstream)'!$B$347,Model!$Z$3366)</f>
        <v>-14.72124303</v>
      </c>
      <c r="AG3392" s="188">
        <f>PPMT('Assumptions (O&amp;G Upstream)'!$B$344,Model!AD$1,'Assumptions (O&amp;G Upstream)'!$B$347,Model!$Z$3366)</f>
        <v>-15.82533626</v>
      </c>
      <c r="AH3392" s="188">
        <f>PPMT('Assumptions (O&amp;G Upstream)'!$B$344,Model!AE$1,'Assumptions (O&amp;G Upstream)'!$B$347,Model!$Z$3366)</f>
        <v>-17.01223647</v>
      </c>
      <c r="AI3392" s="188">
        <f>PPMT('Assumptions (O&amp;G Upstream)'!$B$344,Model!AF$1,'Assumptions (O&amp;G Upstream)'!$B$347,Model!$Z$3366)</f>
        <v>-18.28815421</v>
      </c>
      <c r="AJ3392" s="188"/>
      <c r="AK3392" s="188"/>
      <c r="AL3392" s="188"/>
      <c r="AM3392" s="188"/>
      <c r="AN3392" s="188"/>
      <c r="AO3392" s="188"/>
      <c r="AP3392" s="188"/>
      <c r="AQ3392" s="188"/>
      <c r="AR3392" s="188"/>
      <c r="AS3392" s="188"/>
      <c r="AT3392" s="188"/>
      <c r="AU3392" s="188"/>
      <c r="AV3392" s="188"/>
      <c r="AW3392" s="188"/>
      <c r="AX3392" s="188"/>
    </row>
    <row r="3393" ht="15.75" hidden="1" customHeight="1" outlineLevel="1">
      <c r="A3393" s="389"/>
      <c r="B3393" s="24"/>
      <c r="C3393" s="188"/>
      <c r="D3393" s="188"/>
      <c r="E3393" s="188"/>
      <c r="F3393" s="188"/>
      <c r="G3393" s="188"/>
      <c r="H3393" s="188"/>
      <c r="I3393" s="188"/>
      <c r="J3393" s="188"/>
      <c r="K3393" s="188"/>
      <c r="L3393" s="188"/>
      <c r="M3393" s="188"/>
      <c r="N3393" s="188"/>
      <c r="O3393" s="188"/>
      <c r="P3393" s="188"/>
      <c r="Q3393" s="188"/>
      <c r="R3393" s="188"/>
      <c r="S3393" s="78"/>
      <c r="T3393" s="78"/>
      <c r="U3393" s="78"/>
      <c r="V3393" s="78"/>
      <c r="W3393" s="139"/>
      <c r="AA3393" s="188">
        <f>PPMT('Assumptions (O&amp;G Upstream)'!$B$344,Model!W$1,'Assumptions (O&amp;G Upstream)'!$B$347,Model!$AA$3366)</f>
        <v>-9.973484034</v>
      </c>
      <c r="AB3393" s="188">
        <f>PPMT('Assumptions (O&amp;G Upstream)'!$B$344,Model!X$1,'Assumptions (O&amp;G Upstream)'!$B$347,Model!$AA$3366)</f>
        <v>-10.72149534</v>
      </c>
      <c r="AC3393" s="188">
        <f>PPMT('Assumptions (O&amp;G Upstream)'!$B$344,Model!Y$1,'Assumptions (O&amp;G Upstream)'!$B$347,Model!$AA$3366)</f>
        <v>-11.52560749</v>
      </c>
      <c r="AD3393" s="188">
        <f>PPMT('Assumptions (O&amp;G Upstream)'!$B$344,Model!Z$1,'Assumptions (O&amp;G Upstream)'!$B$347,Model!$AA$3366)</f>
        <v>-12.39002805</v>
      </c>
      <c r="AE3393" s="188">
        <f>PPMT('Assumptions (O&amp;G Upstream)'!$B$344,Model!AA$1,'Assumptions (O&amp;G Upstream)'!$B$347,Model!$AA$3366)</f>
        <v>-13.31928015</v>
      </c>
      <c r="AF3393" s="188">
        <f>PPMT('Assumptions (O&amp;G Upstream)'!$B$344,Model!AB$1,'Assumptions (O&amp;G Upstream)'!$B$347,Model!$AA$3366)</f>
        <v>-14.31822616</v>
      </c>
      <c r="AG3393" s="188">
        <f>PPMT('Assumptions (O&amp;G Upstream)'!$B$344,Model!AC$1,'Assumptions (O&amp;G Upstream)'!$B$347,Model!$AA$3366)</f>
        <v>-15.39209313</v>
      </c>
      <c r="AH3393" s="188">
        <f>PPMT('Assumptions (O&amp;G Upstream)'!$B$344,Model!AD$1,'Assumptions (O&amp;G Upstream)'!$B$347,Model!$AA$3366)</f>
        <v>-16.54650011</v>
      </c>
      <c r="AI3393" s="188">
        <f>PPMT('Assumptions (O&amp;G Upstream)'!$B$344,Model!AE$1,'Assumptions (O&amp;G Upstream)'!$B$347,Model!$AA$3366)</f>
        <v>-17.78748762</v>
      </c>
      <c r="AJ3393" s="188">
        <f>PPMT('Assumptions (O&amp;G Upstream)'!$B$344,Model!AF$1,'Assumptions (O&amp;G Upstream)'!$B$347,Model!$AA$3366)</f>
        <v>-19.12154919</v>
      </c>
      <c r="AK3393" s="188"/>
      <c r="AL3393" s="188"/>
      <c r="AM3393" s="188"/>
      <c r="AN3393" s="188"/>
      <c r="AO3393" s="188"/>
      <c r="AP3393" s="188"/>
      <c r="AQ3393" s="188"/>
      <c r="AR3393" s="188"/>
      <c r="AS3393" s="188"/>
      <c r="AT3393" s="188"/>
      <c r="AU3393" s="188"/>
      <c r="AV3393" s="188"/>
      <c r="AW3393" s="188"/>
      <c r="AX3393" s="188"/>
      <c r="AY3393" s="188"/>
    </row>
    <row r="3394" ht="15.75" hidden="1" customHeight="1" outlineLevel="1">
      <c r="A3394" s="389"/>
      <c r="B3394" s="24"/>
      <c r="C3394" s="188"/>
      <c r="D3394" s="188"/>
      <c r="E3394" s="188"/>
      <c r="F3394" s="188"/>
      <c r="G3394" s="188"/>
      <c r="H3394" s="188"/>
      <c r="I3394" s="188"/>
      <c r="J3394" s="188"/>
      <c r="K3394" s="188"/>
      <c r="L3394" s="188"/>
      <c r="M3394" s="188"/>
      <c r="N3394" s="188"/>
      <c r="O3394" s="188"/>
      <c r="P3394" s="188"/>
      <c r="Q3394" s="188"/>
      <c r="R3394" s="188"/>
      <c r="S3394" s="78"/>
      <c r="T3394" s="78"/>
      <c r="U3394" s="78"/>
      <c r="V3394" s="78"/>
      <c r="W3394" s="139"/>
      <c r="AB3394" s="188">
        <f>PPMT('Assumptions (O&amp;G Upstream)'!$B$344,Model!W$1,'Assumptions (O&amp;G Upstream)'!$B$347,Model!$AB$3366)</f>
        <v>-10.32323163</v>
      </c>
      <c r="AC3394" s="188">
        <f>PPMT('Assumptions (O&amp;G Upstream)'!$B$344,Model!X$1,'Assumptions (O&amp;G Upstream)'!$B$347,Model!$AB$3366)</f>
        <v>-11.09747401</v>
      </c>
      <c r="AD3394" s="188">
        <f>PPMT('Assumptions (O&amp;G Upstream)'!$B$344,Model!Y$1,'Assumptions (O&amp;G Upstream)'!$B$347,Model!$AB$3366)</f>
        <v>-11.92978456</v>
      </c>
      <c r="AE3394" s="188">
        <f>PPMT('Assumptions (O&amp;G Upstream)'!$B$344,Model!Z$1,'Assumptions (O&amp;G Upstream)'!$B$347,Model!$AB$3366)</f>
        <v>-12.8245184</v>
      </c>
      <c r="AF3394" s="188">
        <f>PPMT('Assumptions (O&amp;G Upstream)'!$B$344,Model!AA$1,'Assumptions (O&amp;G Upstream)'!$B$347,Model!$AB$3366)</f>
        <v>-13.78635728</v>
      </c>
      <c r="AG3394" s="188">
        <f>PPMT('Assumptions (O&amp;G Upstream)'!$B$344,Model!AB$1,'Assumptions (O&amp;G Upstream)'!$B$347,Model!$AB$3366)</f>
        <v>-14.82033408</v>
      </c>
      <c r="AH3394" s="188">
        <f>PPMT('Assumptions (O&amp;G Upstream)'!$B$344,Model!AC$1,'Assumptions (O&amp;G Upstream)'!$B$347,Model!$AB$3366)</f>
        <v>-15.93185913</v>
      </c>
      <c r="AI3394" s="188">
        <f>PPMT('Assumptions (O&amp;G Upstream)'!$B$344,Model!AD$1,'Assumptions (O&amp;G Upstream)'!$B$347,Model!$AB$3366)</f>
        <v>-17.12674857</v>
      </c>
      <c r="AJ3394" s="188">
        <f>PPMT('Assumptions (O&amp;G Upstream)'!$B$344,Model!AE$1,'Assumptions (O&amp;G Upstream)'!$B$347,Model!$AB$3366)</f>
        <v>-18.41125471</v>
      </c>
      <c r="AK3394" s="188">
        <f>PPMT('Assumptions (O&amp;G Upstream)'!$B$344,Model!AF$1,'Assumptions (O&amp;G Upstream)'!$B$347,Model!$AB$3366)</f>
        <v>-19.79209881</v>
      </c>
      <c r="AL3394" s="188"/>
      <c r="AM3394" s="188"/>
      <c r="AN3394" s="188"/>
      <c r="AO3394" s="188"/>
      <c r="AP3394" s="188"/>
      <c r="AQ3394" s="188"/>
      <c r="AR3394" s="188"/>
      <c r="AS3394" s="188"/>
      <c r="AT3394" s="188"/>
      <c r="AU3394" s="188"/>
      <c r="AV3394" s="188"/>
      <c r="AW3394" s="188"/>
      <c r="AX3394" s="188"/>
      <c r="AY3394" s="188"/>
      <c r="AZ3394" s="188"/>
    </row>
    <row r="3395" ht="15.75" hidden="1" customHeight="1" outlineLevel="1">
      <c r="A3395" s="389"/>
      <c r="B3395" s="24"/>
      <c r="C3395" s="188"/>
      <c r="D3395" s="188"/>
      <c r="E3395" s="188"/>
      <c r="F3395" s="188"/>
      <c r="G3395" s="188"/>
      <c r="H3395" s="188"/>
      <c r="I3395" s="188"/>
      <c r="J3395" s="188"/>
      <c r="K3395" s="188"/>
      <c r="L3395" s="188"/>
      <c r="M3395" s="188"/>
      <c r="N3395" s="188"/>
      <c r="O3395" s="188"/>
      <c r="P3395" s="188"/>
      <c r="Q3395" s="188"/>
      <c r="R3395" s="188"/>
      <c r="S3395" s="78"/>
      <c r="T3395" s="78"/>
      <c r="U3395" s="78"/>
      <c r="V3395" s="78"/>
      <c r="W3395" s="139"/>
      <c r="AC3395" s="188">
        <f>PPMT('Assumptions (O&amp;G Upstream)'!$B$344,Model!W$1,'Assumptions (O&amp;G Upstream)'!$B$347,Model!$AC$3366)</f>
        <v>-10.71095141</v>
      </c>
      <c r="AD3395" s="188">
        <f>PPMT('Assumptions (O&amp;G Upstream)'!$B$344,Model!X$1,'Assumptions (O&amp;G Upstream)'!$B$347,Model!$AC$3366)</f>
        <v>-11.51427277</v>
      </c>
      <c r="AE3395" s="188">
        <f>PPMT('Assumptions (O&amp;G Upstream)'!$B$344,Model!Y$1,'Assumptions (O&amp;G Upstream)'!$B$347,Model!$AC$3366)</f>
        <v>-12.37784322</v>
      </c>
      <c r="AF3395" s="188">
        <f>PPMT('Assumptions (O&amp;G Upstream)'!$B$344,Model!Z$1,'Assumptions (O&amp;G Upstream)'!$B$347,Model!$AC$3366)</f>
        <v>-13.30618147</v>
      </c>
      <c r="AG3395" s="188">
        <f>PPMT('Assumptions (O&amp;G Upstream)'!$B$344,Model!AA$1,'Assumptions (O&amp;G Upstream)'!$B$347,Model!$AC$3366)</f>
        <v>-14.30414508</v>
      </c>
      <c r="AH3395" s="188">
        <f>PPMT('Assumptions (O&amp;G Upstream)'!$B$344,Model!AB$1,'Assumptions (O&amp;G Upstream)'!$B$347,Model!$AC$3366)</f>
        <v>-15.37695596</v>
      </c>
      <c r="AI3395" s="188">
        <f>PPMT('Assumptions (O&amp;G Upstream)'!$B$344,Model!AC$1,'Assumptions (O&amp;G Upstream)'!$B$347,Model!$AC$3366)</f>
        <v>-16.53022765</v>
      </c>
      <c r="AJ3395" s="188">
        <f>PPMT('Assumptions (O&amp;G Upstream)'!$B$344,Model!AD$1,'Assumptions (O&amp;G Upstream)'!$B$347,Model!$AC$3366)</f>
        <v>-17.76999473</v>
      </c>
      <c r="AK3395" s="188">
        <f>PPMT('Assumptions (O&amp;G Upstream)'!$B$344,Model!AE$1,'Assumptions (O&amp;G Upstream)'!$B$347,Model!$AC$3366)</f>
        <v>-19.10274433</v>
      </c>
      <c r="AL3395" s="188">
        <f>PPMT('Assumptions (O&amp;G Upstream)'!$B$344,Model!AF$1,'Assumptions (O&amp;G Upstream)'!$B$347,Model!$AC$3366)</f>
        <v>-20.53545016</v>
      </c>
      <c r="AM3395" s="188"/>
      <c r="AN3395" s="188"/>
      <c r="AO3395" s="188"/>
      <c r="AP3395" s="188"/>
      <c r="AQ3395" s="188"/>
      <c r="AR3395" s="188"/>
      <c r="AS3395" s="188"/>
      <c r="AT3395" s="188"/>
      <c r="AU3395" s="188"/>
      <c r="AV3395" s="188"/>
      <c r="AW3395" s="188"/>
      <c r="AX3395" s="188"/>
      <c r="AY3395" s="188"/>
      <c r="AZ3395" s="188"/>
      <c r="BA3395" s="188"/>
    </row>
    <row r="3396" ht="15.75" hidden="1" customHeight="1" outlineLevel="1">
      <c r="A3396" s="389"/>
      <c r="B3396" s="24"/>
      <c r="C3396" s="188"/>
      <c r="D3396" s="188"/>
      <c r="E3396" s="188"/>
      <c r="F3396" s="188"/>
      <c r="G3396" s="188"/>
      <c r="H3396" s="188"/>
      <c r="I3396" s="188"/>
      <c r="J3396" s="188"/>
      <c r="K3396" s="188"/>
      <c r="L3396" s="188"/>
      <c r="M3396" s="188"/>
      <c r="N3396" s="188"/>
      <c r="O3396" s="188"/>
      <c r="P3396" s="188"/>
      <c r="Q3396" s="188"/>
      <c r="R3396" s="188"/>
      <c r="S3396" s="78"/>
      <c r="T3396" s="78"/>
      <c r="U3396" s="78"/>
      <c r="V3396" s="78"/>
      <c r="W3396" s="139"/>
      <c r="AD3396" s="188">
        <f>PPMT('Assumptions (O&amp;G Upstream)'!$B$344,Model!W$1,'Assumptions (O&amp;G Upstream)'!$B$347,Model!$AD$3366)</f>
        <v>-11.1465531</v>
      </c>
      <c r="AE3396" s="188">
        <f>PPMT('Assumptions (O&amp;G Upstream)'!$B$344,Model!X$1,'Assumptions (O&amp;G Upstream)'!$B$347,Model!$AD$3366)</f>
        <v>-11.98254458</v>
      </c>
      <c r="AF3396" s="188">
        <f>PPMT('Assumptions (O&amp;G Upstream)'!$B$344,Model!Y$1,'Assumptions (O&amp;G Upstream)'!$B$347,Model!$AD$3366)</f>
        <v>-12.88123543</v>
      </c>
      <c r="AG3396" s="188">
        <f>PPMT('Assumptions (O&amp;G Upstream)'!$B$344,Model!Z$1,'Assumptions (O&amp;G Upstream)'!$B$347,Model!$AD$3366)</f>
        <v>-13.84732808</v>
      </c>
      <c r="AH3396" s="188">
        <f>PPMT('Assumptions (O&amp;G Upstream)'!$B$344,Model!AA$1,'Assumptions (O&amp;G Upstream)'!$B$347,Model!$AD$3366)</f>
        <v>-14.88587769</v>
      </c>
      <c r="AI3396" s="188">
        <f>PPMT('Assumptions (O&amp;G Upstream)'!$B$344,Model!AB$1,'Assumptions (O&amp;G Upstream)'!$B$347,Model!$AD$3366)</f>
        <v>-16.00231852</v>
      </c>
      <c r="AJ3396" s="188">
        <f>PPMT('Assumptions (O&amp;G Upstream)'!$B$344,Model!AC$1,'Assumptions (O&amp;G Upstream)'!$B$347,Model!$AD$3366)</f>
        <v>-17.20249241</v>
      </c>
      <c r="AK3396" s="188">
        <f>PPMT('Assumptions (O&amp;G Upstream)'!$B$344,Model!AD$1,'Assumptions (O&amp;G Upstream)'!$B$347,Model!$AD$3366)</f>
        <v>-18.49267934</v>
      </c>
      <c r="AL3396" s="188">
        <f>PPMT('Assumptions (O&amp;G Upstream)'!$B$344,Model!AE$1,'Assumptions (O&amp;G Upstream)'!$B$347,Model!$AD$3366)</f>
        <v>-19.87963029</v>
      </c>
      <c r="AM3396" s="188">
        <f>PPMT('Assumptions (O&amp;G Upstream)'!$B$344,Model!AF$1,'Assumptions (O&amp;G Upstream)'!$B$347,Model!$AD$3366)</f>
        <v>-21.37060256</v>
      </c>
      <c r="AN3396" s="188"/>
      <c r="AO3396" s="188"/>
      <c r="AP3396" s="188"/>
      <c r="AQ3396" s="188"/>
      <c r="AR3396" s="188"/>
      <c r="AS3396" s="188"/>
      <c r="AT3396" s="188"/>
      <c r="AU3396" s="188"/>
      <c r="AV3396" s="188"/>
      <c r="AW3396" s="188"/>
      <c r="AX3396" s="188"/>
      <c r="AY3396" s="188"/>
      <c r="AZ3396" s="188"/>
      <c r="BA3396" s="188"/>
      <c r="BB3396" s="188"/>
    </row>
    <row r="3397" ht="15.75" hidden="1" customHeight="1" outlineLevel="1">
      <c r="A3397" s="389"/>
      <c r="B3397" s="24"/>
      <c r="C3397" s="188"/>
      <c r="D3397" s="188"/>
      <c r="E3397" s="188"/>
      <c r="F3397" s="188"/>
      <c r="G3397" s="188"/>
      <c r="H3397" s="188"/>
      <c r="I3397" s="188"/>
      <c r="J3397" s="188"/>
      <c r="K3397" s="188"/>
      <c r="L3397" s="188"/>
      <c r="M3397" s="188"/>
      <c r="N3397" s="188"/>
      <c r="O3397" s="188"/>
      <c r="P3397" s="188"/>
      <c r="Q3397" s="188"/>
      <c r="R3397" s="188"/>
      <c r="S3397" s="78"/>
      <c r="T3397" s="78"/>
      <c r="U3397" s="78"/>
      <c r="V3397" s="78"/>
      <c r="W3397" s="139"/>
      <c r="AE3397" s="188">
        <f>PPMT('Assumptions (O&amp;G Upstream)'!$B$344,Model!W$1,'Assumptions (O&amp;G Upstream)'!$B$347,Model!$AE$3366)</f>
        <v>-11.41613194</v>
      </c>
      <c r="AF3397" s="188">
        <f>PPMT('Assumptions (O&amp;G Upstream)'!$B$344,Model!X$1,'Assumptions (O&amp;G Upstream)'!$B$347,Model!$AE$3366)</f>
        <v>-12.27234183</v>
      </c>
      <c r="AG3397" s="188">
        <f>PPMT('Assumptions (O&amp;G Upstream)'!$B$344,Model!Y$1,'Assumptions (O&amp;G Upstream)'!$B$347,Model!$AE$3366)</f>
        <v>-13.19276747</v>
      </c>
      <c r="AH3397" s="188">
        <f>PPMT('Assumptions (O&amp;G Upstream)'!$B$344,Model!Z$1,'Assumptions (O&amp;G Upstream)'!$B$347,Model!$AE$3366)</f>
        <v>-14.18222503</v>
      </c>
      <c r="AI3397" s="188">
        <f>PPMT('Assumptions (O&amp;G Upstream)'!$B$344,Model!AA$1,'Assumptions (O&amp;G Upstream)'!$B$347,Model!$AE$3366)</f>
        <v>-15.24589191</v>
      </c>
      <c r="AJ3397" s="188">
        <f>PPMT('Assumptions (O&amp;G Upstream)'!$B$344,Model!AB$1,'Assumptions (O&amp;G Upstream)'!$B$347,Model!$AE$3366)</f>
        <v>-16.3893338</v>
      </c>
      <c r="AK3397" s="188">
        <f>PPMT('Assumptions (O&amp;G Upstream)'!$B$344,Model!AC$1,'Assumptions (O&amp;G Upstream)'!$B$347,Model!$AE$3366)</f>
        <v>-17.61853384</v>
      </c>
      <c r="AL3397" s="188">
        <f>PPMT('Assumptions (O&amp;G Upstream)'!$B$344,Model!AD$1,'Assumptions (O&amp;G Upstream)'!$B$347,Model!$AE$3366)</f>
        <v>-18.93992388</v>
      </c>
      <c r="AM3397" s="188">
        <f>PPMT('Assumptions (O&amp;G Upstream)'!$B$344,Model!AE$1,'Assumptions (O&amp;G Upstream)'!$B$347,Model!$AE$3366)</f>
        <v>-20.36041817</v>
      </c>
      <c r="AN3397" s="188">
        <f>PPMT('Assumptions (O&amp;G Upstream)'!$B$344,Model!AF$1,'Assumptions (O&amp;G Upstream)'!$B$347,Model!$AE$3366)</f>
        <v>-21.88744953</v>
      </c>
      <c r="AO3397" s="188"/>
      <c r="AP3397" s="188"/>
      <c r="AQ3397" s="188"/>
      <c r="AR3397" s="188"/>
      <c r="AS3397" s="188"/>
      <c r="AT3397" s="188"/>
      <c r="AU3397" s="188"/>
      <c r="AV3397" s="188"/>
      <c r="AW3397" s="188"/>
      <c r="AX3397" s="188"/>
      <c r="AY3397" s="188"/>
      <c r="AZ3397" s="188"/>
      <c r="BA3397" s="188"/>
      <c r="BB3397" s="188"/>
      <c r="BC3397" s="188"/>
    </row>
    <row r="3398" ht="15.75" hidden="1" customHeight="1" outlineLevel="1">
      <c r="A3398" s="389"/>
      <c r="B3398" s="24"/>
      <c r="C3398" s="188"/>
      <c r="D3398" s="188"/>
      <c r="E3398" s="188"/>
      <c r="F3398" s="188"/>
      <c r="G3398" s="188"/>
      <c r="H3398" s="188"/>
      <c r="I3398" s="188"/>
      <c r="J3398" s="188"/>
      <c r="K3398" s="188"/>
      <c r="L3398" s="188"/>
      <c r="M3398" s="188"/>
      <c r="N3398" s="188"/>
      <c r="O3398" s="188"/>
      <c r="P3398" s="188"/>
      <c r="Q3398" s="188"/>
      <c r="R3398" s="188"/>
      <c r="S3398" s="78"/>
      <c r="T3398" s="78"/>
      <c r="U3398" s="78"/>
      <c r="V3398" s="78"/>
      <c r="W3398" s="139"/>
      <c r="AF3398" s="188">
        <f>PPMT('Assumptions (O&amp;G Upstream)'!$B$344,Model!W$1,'Assumptions (O&amp;G Upstream)'!$B$347,Model!$AF$3366)</f>
        <v>-11.75095031</v>
      </c>
      <c r="AG3398" s="188">
        <f>PPMT('Assumptions (O&amp;G Upstream)'!$B$344,Model!X$1,'Assumptions (O&amp;G Upstream)'!$B$347,Model!$AF$3366)</f>
        <v>-12.63227158</v>
      </c>
      <c r="AH3398" s="188">
        <f>PPMT('Assumptions (O&amp;G Upstream)'!$B$344,Model!Y$1,'Assumptions (O&amp;G Upstream)'!$B$347,Model!$AF$3366)</f>
        <v>-13.57969195</v>
      </c>
      <c r="AI3398" s="188">
        <f>PPMT('Assumptions (O&amp;G Upstream)'!$B$344,Model!Z$1,'Assumptions (O&amp;G Upstream)'!$B$347,Model!$AF$3366)</f>
        <v>-14.59816885</v>
      </c>
      <c r="AJ3398" s="188">
        <f>PPMT('Assumptions (O&amp;G Upstream)'!$B$344,Model!AA$1,'Assumptions (O&amp;G Upstream)'!$B$347,Model!$AF$3366)</f>
        <v>-15.69303151</v>
      </c>
      <c r="AK3398" s="188">
        <f>PPMT('Assumptions (O&amp;G Upstream)'!$B$344,Model!AB$1,'Assumptions (O&amp;G Upstream)'!$B$347,Model!$AF$3366)</f>
        <v>-16.87000888</v>
      </c>
      <c r="AL3398" s="188">
        <f>PPMT('Assumptions (O&amp;G Upstream)'!$B$344,Model!AC$1,'Assumptions (O&amp;G Upstream)'!$B$347,Model!$AF$3366)</f>
        <v>-18.13525954</v>
      </c>
      <c r="AM3398" s="188">
        <f>PPMT('Assumptions (O&amp;G Upstream)'!$B$344,Model!AD$1,'Assumptions (O&amp;G Upstream)'!$B$347,Model!$AF$3366)</f>
        <v>-19.49540401</v>
      </c>
      <c r="AN3398" s="188">
        <f>PPMT('Assumptions (O&amp;G Upstream)'!$B$344,Model!AE$1,'Assumptions (O&amp;G Upstream)'!$B$347,Model!$AF$3366)</f>
        <v>-20.95755931</v>
      </c>
      <c r="AO3398" s="188">
        <f>PPMT('Assumptions (O&amp;G Upstream)'!$B$344,Model!AF$1,'Assumptions (O&amp;G Upstream)'!$B$347,Model!$AF$3366)</f>
        <v>-22.52937626</v>
      </c>
      <c r="AP3398" s="188"/>
      <c r="AQ3398" s="188"/>
      <c r="AR3398" s="188"/>
      <c r="AS3398" s="188"/>
      <c r="AT3398" s="188"/>
      <c r="AU3398" s="188"/>
      <c r="AV3398" s="188"/>
      <c r="AW3398" s="188"/>
      <c r="AX3398" s="188"/>
      <c r="AY3398" s="188"/>
      <c r="AZ3398" s="188"/>
      <c r="BA3398" s="188"/>
      <c r="BB3398" s="188"/>
      <c r="BC3398" s="188"/>
      <c r="BD3398" s="188"/>
    </row>
    <row r="3399" ht="15.75" hidden="1" customHeight="1" outlineLevel="1">
      <c r="A3399" s="389"/>
      <c r="B3399" s="24"/>
      <c r="C3399" s="188"/>
      <c r="D3399" s="188"/>
      <c r="E3399" s="188"/>
      <c r="F3399" s="188"/>
      <c r="G3399" s="188"/>
      <c r="H3399" s="188"/>
      <c r="I3399" s="188"/>
      <c r="J3399" s="188"/>
      <c r="K3399" s="188"/>
      <c r="L3399" s="188"/>
      <c r="M3399" s="188"/>
      <c r="N3399" s="188"/>
      <c r="O3399" s="188"/>
      <c r="P3399" s="188"/>
      <c r="Q3399" s="188"/>
      <c r="R3399" s="188"/>
      <c r="S3399" s="78"/>
      <c r="T3399" s="78"/>
      <c r="U3399" s="78"/>
      <c r="V3399" s="78"/>
      <c r="W3399" s="139"/>
      <c r="AG3399" s="188">
        <f>PPMT('Assumptions (O&amp;G Upstream)'!$B$344,Model!W$1,'Assumptions (O&amp;G Upstream)'!$B$347,Model!$AG$3366)</f>
        <v>-12.03487494</v>
      </c>
      <c r="AH3399" s="188">
        <f>PPMT('Assumptions (O&amp;G Upstream)'!$B$344,Model!X$1,'Assumptions (O&amp;G Upstream)'!$B$347,Model!$AG$3366)</f>
        <v>-12.93749056</v>
      </c>
      <c r="AI3399" s="188">
        <f>PPMT('Assumptions (O&amp;G Upstream)'!$B$344,Model!Y$1,'Assumptions (O&amp;G Upstream)'!$B$347,Model!$AG$3366)</f>
        <v>-13.90780235</v>
      </c>
      <c r="AJ3399" s="188">
        <f>PPMT('Assumptions (O&amp;G Upstream)'!$B$344,Model!Z$1,'Assumptions (O&amp;G Upstream)'!$B$347,Model!$AG$3366)</f>
        <v>-14.95088753</v>
      </c>
      <c r="AK3399" s="188">
        <f>PPMT('Assumptions (O&amp;G Upstream)'!$B$344,Model!AA$1,'Assumptions (O&amp;G Upstream)'!$B$347,Model!$AG$3366)</f>
        <v>-16.07220409</v>
      </c>
      <c r="AL3399" s="188">
        <f>PPMT('Assumptions (O&amp;G Upstream)'!$B$344,Model!AB$1,'Assumptions (O&amp;G Upstream)'!$B$347,Model!$AG$3366)</f>
        <v>-17.2776194</v>
      </c>
      <c r="AM3399" s="188">
        <f>PPMT('Assumptions (O&amp;G Upstream)'!$B$344,Model!AC$1,'Assumptions (O&amp;G Upstream)'!$B$347,Model!$AG$3366)</f>
        <v>-18.57344085</v>
      </c>
      <c r="AN3399" s="188">
        <f>PPMT('Assumptions (O&amp;G Upstream)'!$B$344,Model!AD$1,'Assumptions (O&amp;G Upstream)'!$B$347,Model!$AG$3366)</f>
        <v>-19.96644891</v>
      </c>
      <c r="AO3399" s="188">
        <f>PPMT('Assumptions (O&amp;G Upstream)'!$B$344,Model!AE$1,'Assumptions (O&amp;G Upstream)'!$B$347,Model!$AG$3366)</f>
        <v>-21.46393258</v>
      </c>
      <c r="AP3399" s="188">
        <f>PPMT('Assumptions (O&amp;G Upstream)'!$B$344,Model!AF$1,'Assumptions (O&amp;G Upstream)'!$B$347,Model!$AG$3366)</f>
        <v>-23.07372753</v>
      </c>
      <c r="AQ3399" s="188"/>
      <c r="AR3399" s="188"/>
      <c r="AS3399" s="188"/>
      <c r="AT3399" s="188"/>
      <c r="AU3399" s="188"/>
      <c r="AV3399" s="188"/>
      <c r="AW3399" s="188"/>
      <c r="AX3399" s="188"/>
      <c r="AY3399" s="188"/>
      <c r="AZ3399" s="188"/>
      <c r="BA3399" s="188"/>
      <c r="BB3399" s="188"/>
      <c r="BC3399" s="188"/>
      <c r="BD3399" s="188"/>
      <c r="BE3399" s="188"/>
    </row>
    <row r="3400" ht="15.75" hidden="1" customHeight="1" outlineLevel="1">
      <c r="A3400" s="389"/>
      <c r="B3400" s="24"/>
      <c r="C3400" s="188"/>
      <c r="D3400" s="188"/>
      <c r="E3400" s="188"/>
      <c r="F3400" s="188"/>
      <c r="G3400" s="188"/>
      <c r="H3400" s="188"/>
      <c r="I3400" s="188"/>
      <c r="J3400" s="188"/>
      <c r="K3400" s="188"/>
      <c r="L3400" s="188"/>
      <c r="M3400" s="188"/>
      <c r="N3400" s="188"/>
      <c r="O3400" s="188"/>
      <c r="P3400" s="188"/>
      <c r="Q3400" s="188"/>
      <c r="R3400" s="188"/>
      <c r="S3400" s="78"/>
      <c r="T3400" s="78"/>
      <c r="U3400" s="78"/>
      <c r="V3400" s="78"/>
      <c r="W3400" s="139"/>
      <c r="AH3400" s="188">
        <f>PPMT('Assumptions (O&amp;G Upstream)'!$B$344,Model!W$1,'Assumptions (O&amp;G Upstream)'!$B$347,Model!$AH$3366)</f>
        <v>-12.34800914</v>
      </c>
      <c r="AI3400" s="188">
        <f>PPMT('Assumptions (O&amp;G Upstream)'!$B$344,Model!X$1,'Assumptions (O&amp;G Upstream)'!$B$347,Model!$AH$3366)</f>
        <v>-13.27410983</v>
      </c>
      <c r="AJ3400" s="188">
        <f>PPMT('Assumptions (O&amp;G Upstream)'!$B$344,Model!Y$1,'Assumptions (O&amp;G Upstream)'!$B$347,Model!$AH$3366)</f>
        <v>-14.26966806</v>
      </c>
      <c r="AK3400" s="188">
        <f>PPMT('Assumptions (O&amp;G Upstream)'!$B$344,Model!Z$1,'Assumptions (O&amp;G Upstream)'!$B$347,Model!$AH$3366)</f>
        <v>-15.33989317</v>
      </c>
      <c r="AL3400" s="188">
        <f>PPMT('Assumptions (O&amp;G Upstream)'!$B$344,Model!AA$1,'Assumptions (O&amp;G Upstream)'!$B$347,Model!$AH$3366)</f>
        <v>-16.49038516</v>
      </c>
      <c r="AM3400" s="188">
        <f>PPMT('Assumptions (O&amp;G Upstream)'!$B$344,Model!AB$1,'Assumptions (O&amp;G Upstream)'!$B$347,Model!$AH$3366)</f>
        <v>-17.72716404</v>
      </c>
      <c r="AN3400" s="188">
        <f>PPMT('Assumptions (O&amp;G Upstream)'!$B$344,Model!AC$1,'Assumptions (O&amp;G Upstream)'!$B$347,Model!$AH$3366)</f>
        <v>-19.05670135</v>
      </c>
      <c r="AO3400" s="188">
        <f>PPMT('Assumptions (O&amp;G Upstream)'!$B$344,Model!AD$1,'Assumptions (O&amp;G Upstream)'!$B$347,Model!$AH$3366)</f>
        <v>-20.48595395</v>
      </c>
      <c r="AP3400" s="188">
        <f>PPMT('Assumptions (O&amp;G Upstream)'!$B$344,Model!AE$1,'Assumptions (O&amp;G Upstream)'!$B$347,Model!$AH$3366)</f>
        <v>-22.02240049</v>
      </c>
      <c r="AQ3400" s="188">
        <f>PPMT('Assumptions (O&amp;G Upstream)'!$B$344,Model!AF$1,'Assumptions (O&amp;G Upstream)'!$B$347,Model!$AH$3366)</f>
        <v>-23.67408053</v>
      </c>
      <c r="AR3400" s="188"/>
      <c r="AS3400" s="188"/>
      <c r="AT3400" s="188"/>
      <c r="AU3400" s="188"/>
      <c r="AV3400" s="188"/>
      <c r="AW3400" s="188"/>
      <c r="AX3400" s="188"/>
      <c r="AY3400" s="188"/>
      <c r="AZ3400" s="188"/>
      <c r="BA3400" s="188"/>
      <c r="BB3400" s="188"/>
      <c r="BC3400" s="188"/>
      <c r="BD3400" s="188"/>
      <c r="BE3400" s="188"/>
      <c r="BF3400" s="188"/>
    </row>
    <row r="3401" ht="15.75" hidden="1" customHeight="1" outlineLevel="1">
      <c r="A3401" s="389"/>
      <c r="B3401" s="24"/>
      <c r="C3401" s="188"/>
      <c r="D3401" s="188"/>
      <c r="E3401" s="188"/>
      <c r="F3401" s="188"/>
      <c r="G3401" s="188"/>
      <c r="H3401" s="188"/>
      <c r="I3401" s="188"/>
      <c r="J3401" s="188"/>
      <c r="K3401" s="188"/>
      <c r="L3401" s="188"/>
      <c r="M3401" s="188"/>
      <c r="N3401" s="188"/>
      <c r="O3401" s="188"/>
      <c r="P3401" s="188"/>
      <c r="Q3401" s="188"/>
      <c r="R3401" s="188"/>
      <c r="S3401" s="78"/>
      <c r="T3401" s="78"/>
      <c r="U3401" s="78"/>
      <c r="V3401" s="78"/>
      <c r="W3401" s="139"/>
      <c r="AI3401" s="188">
        <f>PPMT('Assumptions (O&amp;G Upstream)'!$B$344,Model!W$1,'Assumptions (O&amp;G Upstream)'!$B$347,Model!$AI$3366)</f>
        <v>-12.55629818</v>
      </c>
      <c r="AJ3401" s="188">
        <f>PPMT('Assumptions (O&amp;G Upstream)'!$B$344,Model!X$1,'Assumptions (O&amp;G Upstream)'!$B$347,Model!$AI$3366)</f>
        <v>-13.49802054</v>
      </c>
      <c r="AK3401" s="188">
        <f>PPMT('Assumptions (O&amp;G Upstream)'!$B$344,Model!Y$1,'Assumptions (O&amp;G Upstream)'!$B$347,Model!$AI$3366)</f>
        <v>-14.51037208</v>
      </c>
      <c r="AL3401" s="188">
        <f>PPMT('Assumptions (O&amp;G Upstream)'!$B$344,Model!Z$1,'Assumptions (O&amp;G Upstream)'!$B$347,Model!$AI$3366)</f>
        <v>-15.59864999</v>
      </c>
      <c r="AM3401" s="188">
        <f>PPMT('Assumptions (O&amp;G Upstream)'!$B$344,Model!AA$1,'Assumptions (O&amp;G Upstream)'!$B$347,Model!$AI$3366)</f>
        <v>-16.76854874</v>
      </c>
      <c r="AN3401" s="188">
        <f>PPMT('Assumptions (O&amp;G Upstream)'!$B$344,Model!AB$1,'Assumptions (O&amp;G Upstream)'!$B$347,Model!$AI$3366)</f>
        <v>-18.02618989</v>
      </c>
      <c r="AO3401" s="188">
        <f>PPMT('Assumptions (O&amp;G Upstream)'!$B$344,Model!AC$1,'Assumptions (O&amp;G Upstream)'!$B$347,Model!$AI$3366)</f>
        <v>-19.37815413</v>
      </c>
      <c r="AP3401" s="188">
        <f>PPMT('Assumptions (O&amp;G Upstream)'!$B$344,Model!AD$1,'Assumptions (O&amp;G Upstream)'!$B$347,Model!$AI$3366)</f>
        <v>-20.83151569</v>
      </c>
      <c r="AQ3401" s="188">
        <f>PPMT('Assumptions (O&amp;G Upstream)'!$B$344,Model!AE$1,'Assumptions (O&amp;G Upstream)'!$B$347,Model!$AI$3366)</f>
        <v>-22.39387937</v>
      </c>
      <c r="AR3401" s="188">
        <f>PPMT('Assumptions (O&amp;G Upstream)'!$B$344,Model!AF$1,'Assumptions (O&amp;G Upstream)'!$B$347,Model!$AI$3366)</f>
        <v>-24.07342032</v>
      </c>
      <c r="AS3401" s="188"/>
      <c r="AT3401" s="188"/>
      <c r="AU3401" s="188"/>
      <c r="AV3401" s="188"/>
      <c r="AW3401" s="188"/>
      <c r="AX3401" s="188"/>
      <c r="AY3401" s="188"/>
      <c r="AZ3401" s="188"/>
      <c r="BA3401" s="188"/>
      <c r="BB3401" s="188"/>
      <c r="BC3401" s="188"/>
      <c r="BD3401" s="188"/>
      <c r="BE3401" s="188"/>
      <c r="BF3401" s="188"/>
      <c r="BG3401" s="188"/>
    </row>
    <row r="3402" ht="15.75" hidden="1" customHeight="1" outlineLevel="1">
      <c r="A3402" s="389"/>
      <c r="B3402" s="24"/>
      <c r="C3402" s="188"/>
      <c r="D3402" s="188"/>
      <c r="E3402" s="188"/>
      <c r="F3402" s="188"/>
      <c r="G3402" s="188"/>
      <c r="H3402" s="188"/>
      <c r="I3402" s="188"/>
      <c r="J3402" s="188"/>
      <c r="K3402" s="188"/>
      <c r="L3402" s="188"/>
      <c r="M3402" s="188"/>
      <c r="N3402" s="188"/>
      <c r="O3402" s="188"/>
      <c r="P3402" s="188"/>
      <c r="Q3402" s="188"/>
      <c r="R3402" s="188"/>
      <c r="S3402" s="78"/>
      <c r="T3402" s="78"/>
      <c r="U3402" s="78"/>
      <c r="V3402" s="78"/>
      <c r="W3402" s="139"/>
      <c r="AJ3402" s="188">
        <f>PPMT('Assumptions (O&amp;G Upstream)'!$B$344,Model!W$1,'Assumptions (O&amp;G Upstream)'!$B$347,Model!$AJ$3366)</f>
        <v>-12.876114</v>
      </c>
      <c r="AK3402" s="188">
        <f>PPMT('Assumptions (O&amp;G Upstream)'!$B$344,Model!X$1,'Assumptions (O&amp;G Upstream)'!$B$347,Model!$AJ$3366)</f>
        <v>-13.84182256</v>
      </c>
      <c r="AL3402" s="188">
        <f>PPMT('Assumptions (O&amp;G Upstream)'!$B$344,Model!Y$1,'Assumptions (O&amp;G Upstream)'!$B$347,Model!$AJ$3366)</f>
        <v>-14.87995925</v>
      </c>
      <c r="AM3402" s="188">
        <f>PPMT('Assumptions (O&amp;G Upstream)'!$B$344,Model!Z$1,'Assumptions (O&amp;G Upstream)'!$B$347,Model!$AJ$3366)</f>
        <v>-15.99595619</v>
      </c>
      <c r="AN3402" s="188">
        <f>PPMT('Assumptions (O&amp;G Upstream)'!$B$344,Model!AA$1,'Assumptions (O&amp;G Upstream)'!$B$347,Model!$AJ$3366)</f>
        <v>-17.1956529</v>
      </c>
      <c r="AO3402" s="188">
        <f>PPMT('Assumptions (O&amp;G Upstream)'!$B$344,Model!AB$1,'Assumptions (O&amp;G Upstream)'!$B$347,Model!$AJ$3366)</f>
        <v>-18.48532687</v>
      </c>
      <c r="AP3402" s="188">
        <f>PPMT('Assumptions (O&amp;G Upstream)'!$B$344,Model!AC$1,'Assumptions (O&amp;G Upstream)'!$B$347,Model!$AJ$3366)</f>
        <v>-19.87172639</v>
      </c>
      <c r="AQ3402" s="188">
        <f>PPMT('Assumptions (O&amp;G Upstream)'!$B$344,Model!AD$1,'Assumptions (O&amp;G Upstream)'!$B$347,Model!$AJ$3366)</f>
        <v>-21.36210587</v>
      </c>
      <c r="AR3402" s="188">
        <f>PPMT('Assumptions (O&amp;G Upstream)'!$B$344,Model!AE$1,'Assumptions (O&amp;G Upstream)'!$B$347,Model!$AJ$3366)</f>
        <v>-22.96426381</v>
      </c>
      <c r="AS3402" s="188">
        <f>PPMT('Assumptions (O&amp;G Upstream)'!$B$344,Model!AF$1,'Assumptions (O&amp;G Upstream)'!$B$347,Model!$AJ$3366)</f>
        <v>-24.68658359</v>
      </c>
      <c r="AT3402" s="188"/>
      <c r="AU3402" s="188"/>
      <c r="AV3402" s="188"/>
      <c r="AW3402" s="188"/>
      <c r="AX3402" s="188"/>
      <c r="AY3402" s="188"/>
      <c r="AZ3402" s="188"/>
      <c r="BA3402" s="188"/>
      <c r="BB3402" s="188"/>
      <c r="BC3402" s="188"/>
      <c r="BD3402" s="188"/>
      <c r="BE3402" s="188"/>
      <c r="BF3402" s="188"/>
      <c r="BG3402" s="188"/>
      <c r="BH3402" s="188"/>
    </row>
    <row r="3403" ht="15.75" hidden="1" customHeight="1" outlineLevel="1">
      <c r="A3403" s="389"/>
      <c r="B3403" s="24"/>
      <c r="C3403" s="188"/>
      <c r="D3403" s="188"/>
      <c r="E3403" s="188"/>
      <c r="F3403" s="188"/>
      <c r="G3403" s="188"/>
      <c r="H3403" s="188"/>
      <c r="I3403" s="188"/>
      <c r="J3403" s="188"/>
      <c r="K3403" s="188"/>
      <c r="L3403" s="188"/>
      <c r="M3403" s="188"/>
      <c r="N3403" s="188"/>
      <c r="O3403" s="188"/>
      <c r="P3403" s="188"/>
      <c r="Q3403" s="188"/>
      <c r="R3403" s="188"/>
      <c r="S3403" s="78"/>
      <c r="T3403" s="78"/>
      <c r="U3403" s="78"/>
      <c r="V3403" s="78"/>
      <c r="W3403" s="139"/>
      <c r="AK3403" s="188">
        <f>PPMT('Assumptions (O&amp;G Upstream)'!$B$344,Model!W$1,'Assumptions (O&amp;G Upstream)'!$B$347,Model!$AK$3366)</f>
        <v>-13.06708068</v>
      </c>
      <c r="AL3403" s="188">
        <f>PPMT('Assumptions (O&amp;G Upstream)'!$B$344,Model!X$1,'Assumptions (O&amp;G Upstream)'!$B$347,Model!$AK$3366)</f>
        <v>-14.04711173</v>
      </c>
      <c r="AM3403" s="188">
        <f>PPMT('Assumptions (O&amp;G Upstream)'!$B$344,Model!Y$1,'Assumptions (O&amp;G Upstream)'!$B$347,Model!$AK$3366)</f>
        <v>-15.10064511</v>
      </c>
      <c r="AN3403" s="188">
        <f>PPMT('Assumptions (O&amp;G Upstream)'!$B$344,Model!Z$1,'Assumptions (O&amp;G Upstream)'!$B$347,Model!$AK$3366)</f>
        <v>-16.23319349</v>
      </c>
      <c r="AO3403" s="188">
        <f>PPMT('Assumptions (O&amp;G Upstream)'!$B$344,Model!AA$1,'Assumptions (O&amp;G Upstream)'!$B$347,Model!$AK$3366)</f>
        <v>-17.450683</v>
      </c>
      <c r="AP3403" s="188">
        <f>PPMT('Assumptions (O&amp;G Upstream)'!$B$344,Model!AB$1,'Assumptions (O&amp;G Upstream)'!$B$347,Model!$AK$3366)</f>
        <v>-18.75948423</v>
      </c>
      <c r="AQ3403" s="188">
        <f>PPMT('Assumptions (O&amp;G Upstream)'!$B$344,Model!AC$1,'Assumptions (O&amp;G Upstream)'!$B$347,Model!$AK$3366)</f>
        <v>-20.16644554</v>
      </c>
      <c r="AR3403" s="188">
        <f>PPMT('Assumptions (O&amp;G Upstream)'!$B$344,Model!AD$1,'Assumptions (O&amp;G Upstream)'!$B$347,Model!$AK$3366)</f>
        <v>-21.67892896</v>
      </c>
      <c r="AS3403" s="188">
        <f>PPMT('Assumptions (O&amp;G Upstream)'!$B$344,Model!AE$1,'Assumptions (O&amp;G Upstream)'!$B$347,Model!$AK$3366)</f>
        <v>-23.30484863</v>
      </c>
      <c r="AT3403" s="188">
        <f>PPMT('Assumptions (O&amp;G Upstream)'!$B$344,Model!AF$1,'Assumptions (O&amp;G Upstream)'!$B$347,Model!$AK$3366)</f>
        <v>-25.05271228</v>
      </c>
      <c r="AU3403" s="188"/>
      <c r="AV3403" s="188"/>
      <c r="AW3403" s="188"/>
      <c r="AX3403" s="188"/>
      <c r="AY3403" s="188"/>
      <c r="AZ3403" s="188"/>
      <c r="BA3403" s="188"/>
      <c r="BB3403" s="188"/>
      <c r="BC3403" s="188"/>
      <c r="BD3403" s="188"/>
      <c r="BE3403" s="188"/>
      <c r="BF3403" s="188"/>
      <c r="BG3403" s="188"/>
      <c r="BH3403" s="188"/>
      <c r="BI3403" s="188"/>
    </row>
    <row r="3404" ht="15.75" hidden="1" customHeight="1" outlineLevel="1">
      <c r="A3404" s="389"/>
      <c r="B3404" s="24"/>
      <c r="C3404" s="188"/>
      <c r="D3404" s="188"/>
      <c r="E3404" s="188"/>
      <c r="F3404" s="188"/>
      <c r="G3404" s="188"/>
      <c r="H3404" s="188"/>
      <c r="I3404" s="188"/>
      <c r="J3404" s="188"/>
      <c r="K3404" s="188"/>
      <c r="L3404" s="188"/>
      <c r="M3404" s="188"/>
      <c r="N3404" s="188"/>
      <c r="O3404" s="188"/>
      <c r="P3404" s="188"/>
      <c r="Q3404" s="188"/>
      <c r="R3404" s="188"/>
      <c r="S3404" s="78"/>
      <c r="T3404" s="78"/>
      <c r="U3404" s="78"/>
      <c r="V3404" s="78"/>
      <c r="W3404" s="139"/>
      <c r="AL3404" s="188">
        <f>PPMT('Assumptions (O&amp;G Upstream)'!$B$344,Model!W$1,'Assumptions (O&amp;G Upstream)'!$B$347,Model!$AL$3366)</f>
        <v>-13.30072104</v>
      </c>
      <c r="AM3404" s="188">
        <f>PPMT('Assumptions (O&amp;G Upstream)'!$B$344,Model!X$1,'Assumptions (O&amp;G Upstream)'!$B$347,Model!$AL$3366)</f>
        <v>-14.29827511</v>
      </c>
      <c r="AN3404" s="188">
        <f>PPMT('Assumptions (O&amp;G Upstream)'!$B$344,Model!Y$1,'Assumptions (O&amp;G Upstream)'!$B$347,Model!$AL$3366)</f>
        <v>-15.37064575</v>
      </c>
      <c r="AO3404" s="188">
        <f>PPMT('Assumptions (O&amp;G Upstream)'!$B$344,Model!Z$1,'Assumptions (O&amp;G Upstream)'!$B$347,Model!$AL$3366)</f>
        <v>-16.52344418</v>
      </c>
      <c r="AP3404" s="188">
        <f>PPMT('Assumptions (O&amp;G Upstream)'!$B$344,Model!AA$1,'Assumptions (O&amp;G Upstream)'!$B$347,Model!$AL$3366)</f>
        <v>-17.76270249</v>
      </c>
      <c r="AQ3404" s="188">
        <f>PPMT('Assumptions (O&amp;G Upstream)'!$B$344,Model!AB$1,'Assumptions (O&amp;G Upstream)'!$B$347,Model!$AL$3366)</f>
        <v>-19.09490518</v>
      </c>
      <c r="AR3404" s="188">
        <f>PPMT('Assumptions (O&amp;G Upstream)'!$B$344,Model!AC$1,'Assumptions (O&amp;G Upstream)'!$B$347,Model!$AL$3366)</f>
        <v>-20.52702307</v>
      </c>
      <c r="AS3404" s="188">
        <f>PPMT('Assumptions (O&amp;G Upstream)'!$B$344,Model!AD$1,'Assumptions (O&amp;G Upstream)'!$B$347,Model!$AL$3366)</f>
        <v>-22.0665498</v>
      </c>
      <c r="AT3404" s="188">
        <f>PPMT('Assumptions (O&amp;G Upstream)'!$B$344,Model!AE$1,'Assumptions (O&amp;G Upstream)'!$B$347,Model!$AL$3366)</f>
        <v>-23.72154103</v>
      </c>
      <c r="AU3404" s="188">
        <f>PPMT('Assumptions (O&amp;G Upstream)'!$B$344,Model!AF$1,'Assumptions (O&amp;G Upstream)'!$B$347,Model!$AL$3366)</f>
        <v>-25.50065661</v>
      </c>
      <c r="AV3404" s="188"/>
      <c r="AW3404" s="188"/>
      <c r="AX3404" s="188"/>
      <c r="AY3404" s="188"/>
      <c r="AZ3404" s="188"/>
      <c r="BA3404" s="188"/>
      <c r="BB3404" s="188"/>
      <c r="BC3404" s="188"/>
      <c r="BD3404" s="188"/>
      <c r="BE3404" s="188"/>
      <c r="BF3404" s="188"/>
      <c r="BG3404" s="188"/>
      <c r="BH3404" s="188"/>
      <c r="BI3404" s="188"/>
      <c r="BJ3404" s="188"/>
    </row>
    <row r="3405" ht="15.75" hidden="1" customHeight="1" outlineLevel="1">
      <c r="A3405" s="389"/>
      <c r="B3405" s="24"/>
      <c r="C3405" s="188"/>
      <c r="D3405" s="188"/>
      <c r="E3405" s="188"/>
      <c r="F3405" s="188"/>
      <c r="G3405" s="188"/>
      <c r="H3405" s="188"/>
      <c r="I3405" s="188"/>
      <c r="J3405" s="188"/>
      <c r="K3405" s="188"/>
      <c r="L3405" s="188"/>
      <c r="M3405" s="188"/>
      <c r="N3405" s="188"/>
      <c r="O3405" s="188"/>
      <c r="P3405" s="188"/>
      <c r="Q3405" s="188"/>
      <c r="R3405" s="188"/>
      <c r="S3405" s="78"/>
      <c r="T3405" s="78"/>
      <c r="U3405" s="78"/>
      <c r="V3405" s="78"/>
      <c r="W3405" s="139"/>
      <c r="AM3405" s="188">
        <f>PPMT('Assumptions (O&amp;G Upstream)'!$B$344,Model!W$1,'Assumptions (O&amp;G Upstream)'!$B$347,Model!$AM$3366)</f>
        <v>-13.55944341</v>
      </c>
      <c r="AN3405" s="188">
        <f>PPMT('Assumptions (O&amp;G Upstream)'!$B$344,Model!X$1,'Assumptions (O&amp;G Upstream)'!$B$347,Model!$AM$3366)</f>
        <v>-14.57640166</v>
      </c>
      <c r="AO3405" s="188">
        <f>PPMT('Assumptions (O&amp;G Upstream)'!$B$344,Model!Y$1,'Assumptions (O&amp;G Upstream)'!$B$347,Model!$AM$3366)</f>
        <v>-15.66963179</v>
      </c>
      <c r="AP3405" s="188">
        <f>PPMT('Assumptions (O&amp;G Upstream)'!$B$344,Model!Z$1,'Assumptions (O&amp;G Upstream)'!$B$347,Model!$AM$3366)</f>
        <v>-16.84485417</v>
      </c>
      <c r="AQ3405" s="188">
        <f>PPMT('Assumptions (O&amp;G Upstream)'!$B$344,Model!AA$1,'Assumptions (O&amp;G Upstream)'!$B$347,Model!$AM$3366)</f>
        <v>-18.10821824</v>
      </c>
      <c r="AR3405" s="188">
        <f>PPMT('Assumptions (O&amp;G Upstream)'!$B$344,Model!AB$1,'Assumptions (O&amp;G Upstream)'!$B$347,Model!$AM$3366)</f>
        <v>-19.4663346</v>
      </c>
      <c r="AS3405" s="188">
        <f>PPMT('Assumptions (O&amp;G Upstream)'!$B$344,Model!AC$1,'Assumptions (O&amp;G Upstream)'!$B$347,Model!$AM$3366)</f>
        <v>-20.9263097</v>
      </c>
      <c r="AT3405" s="188">
        <f>PPMT('Assumptions (O&amp;G Upstream)'!$B$344,Model!AD$1,'Assumptions (O&amp;G Upstream)'!$B$347,Model!$AM$3366)</f>
        <v>-22.49578293</v>
      </c>
      <c r="AU3405" s="188">
        <f>PPMT('Assumptions (O&amp;G Upstream)'!$B$344,Model!AE$1,'Assumptions (O&amp;G Upstream)'!$B$347,Model!$AM$3366)</f>
        <v>-24.18296665</v>
      </c>
      <c r="AV3405" s="188">
        <f>PPMT('Assumptions (O&amp;G Upstream)'!$B$344,Model!AF$1,'Assumptions (O&amp;G Upstream)'!$B$347,Model!$AM$3366)</f>
        <v>-25.99668914</v>
      </c>
      <c r="AW3405" s="188"/>
      <c r="AX3405" s="188"/>
      <c r="AY3405" s="188"/>
      <c r="AZ3405" s="188"/>
      <c r="BA3405" s="188"/>
      <c r="BB3405" s="188"/>
      <c r="BC3405" s="188"/>
      <c r="BD3405" s="188"/>
      <c r="BE3405" s="188"/>
      <c r="BF3405" s="188"/>
      <c r="BG3405" s="188"/>
      <c r="BH3405" s="188"/>
      <c r="BI3405" s="188"/>
      <c r="BJ3405" s="188"/>
      <c r="BK3405" s="188"/>
    </row>
    <row r="3406" ht="15.75" hidden="1" customHeight="1" outlineLevel="1">
      <c r="A3406" s="389"/>
      <c r="B3406" s="24"/>
      <c r="C3406" s="188"/>
      <c r="D3406" s="188"/>
      <c r="E3406" s="188"/>
      <c r="F3406" s="188"/>
      <c r="G3406" s="188"/>
      <c r="H3406" s="188"/>
      <c r="I3406" s="188"/>
      <c r="J3406" s="188"/>
      <c r="K3406" s="188"/>
      <c r="L3406" s="188"/>
      <c r="M3406" s="188"/>
      <c r="N3406" s="188"/>
      <c r="O3406" s="188"/>
      <c r="P3406" s="188"/>
      <c r="Q3406" s="188"/>
      <c r="R3406" s="188"/>
      <c r="S3406" s="78"/>
      <c r="T3406" s="78"/>
      <c r="U3406" s="78"/>
      <c r="V3406" s="78"/>
      <c r="W3406" s="139"/>
      <c r="AN3406" s="188">
        <f>PPMT('Assumptions (O&amp;G Upstream)'!$B$344,Model!W$1,'Assumptions (O&amp;G Upstream)'!$B$347,Model!$AN$3366)</f>
        <v>-13.62675965</v>
      </c>
      <c r="AO3406" s="188">
        <f>PPMT('Assumptions (O&amp;G Upstream)'!$B$344,Model!X$1,'Assumptions (O&amp;G Upstream)'!$B$347,Model!$AN$3366)</f>
        <v>-14.64876663</v>
      </c>
      <c r="AP3406" s="188">
        <f>PPMT('Assumptions (O&amp;G Upstream)'!$B$344,Model!Y$1,'Assumptions (O&amp;G Upstream)'!$B$347,Model!$AN$3366)</f>
        <v>-15.74742412</v>
      </c>
      <c r="AQ3406" s="188">
        <f>PPMT('Assumptions (O&amp;G Upstream)'!$B$344,Model!Z$1,'Assumptions (O&amp;G Upstream)'!$B$347,Model!$AN$3366)</f>
        <v>-16.92848093</v>
      </c>
      <c r="AR3406" s="188">
        <f>PPMT('Assumptions (O&amp;G Upstream)'!$B$344,Model!AA$1,'Assumptions (O&amp;G Upstream)'!$B$347,Model!$AN$3366)</f>
        <v>-18.198117</v>
      </c>
      <c r="AS3406" s="188">
        <f>PPMT('Assumptions (O&amp;G Upstream)'!$B$344,Model!AB$1,'Assumptions (O&amp;G Upstream)'!$B$347,Model!$AN$3366)</f>
        <v>-19.56297578</v>
      </c>
      <c r="AT3406" s="188">
        <f>PPMT('Assumptions (O&amp;G Upstream)'!$B$344,Model!AC$1,'Assumptions (O&amp;G Upstream)'!$B$347,Model!$AN$3366)</f>
        <v>-21.03019896</v>
      </c>
      <c r="AU3406" s="188">
        <f>PPMT('Assumptions (O&amp;G Upstream)'!$B$344,Model!AD$1,'Assumptions (O&amp;G Upstream)'!$B$347,Model!$AN$3366)</f>
        <v>-22.60746388</v>
      </c>
      <c r="AV3406" s="188">
        <f>PPMT('Assumptions (O&amp;G Upstream)'!$B$344,Model!AE$1,'Assumptions (O&amp;G Upstream)'!$B$347,Model!$AN$3366)</f>
        <v>-24.30302368</v>
      </c>
      <c r="AW3406" s="188">
        <f>PPMT('Assumptions (O&amp;G Upstream)'!$B$344,Model!AF$1,'Assumptions (O&amp;G Upstream)'!$B$347,Model!$AN$3366)</f>
        <v>-26.12575045</v>
      </c>
      <c r="AX3406" s="188"/>
      <c r="AY3406" s="188"/>
      <c r="AZ3406" s="188"/>
      <c r="BA3406" s="188"/>
      <c r="BB3406" s="188"/>
      <c r="BC3406" s="188"/>
      <c r="BD3406" s="188"/>
      <c r="BE3406" s="188"/>
      <c r="BF3406" s="188"/>
      <c r="BG3406" s="188"/>
      <c r="BH3406" s="188"/>
      <c r="BI3406" s="188"/>
      <c r="BJ3406" s="188"/>
      <c r="BK3406" s="188"/>
      <c r="BL3406" s="188"/>
    </row>
    <row r="3407" ht="15.75" hidden="1" customHeight="1" outlineLevel="1">
      <c r="A3407" s="389"/>
      <c r="B3407" s="24"/>
      <c r="C3407" s="188"/>
      <c r="D3407" s="188"/>
      <c r="E3407" s="188"/>
      <c r="F3407" s="188"/>
      <c r="G3407" s="188"/>
      <c r="H3407" s="188"/>
      <c r="I3407" s="188"/>
      <c r="J3407" s="188"/>
      <c r="K3407" s="188"/>
      <c r="L3407" s="188"/>
      <c r="M3407" s="188"/>
      <c r="N3407" s="188"/>
      <c r="O3407" s="188"/>
      <c r="P3407" s="188"/>
      <c r="Q3407" s="188"/>
      <c r="R3407" s="188"/>
      <c r="S3407" s="78"/>
      <c r="T3407" s="78"/>
      <c r="U3407" s="78"/>
      <c r="V3407" s="78"/>
      <c r="W3407" s="139"/>
      <c r="AO3407" s="188">
        <f>PPMT('Assumptions (O&amp;G Upstream)'!$B$344,Model!W$1,'Assumptions (O&amp;G Upstream)'!$B$347,Model!$AO$3366)</f>
        <v>-13.85935807</v>
      </c>
      <c r="AP3407" s="188">
        <f>PPMT('Assumptions (O&amp;G Upstream)'!$B$344,Model!X$1,'Assumptions (O&amp;G Upstream)'!$B$347,Model!$AO$3366)</f>
        <v>-14.89880993</v>
      </c>
      <c r="AQ3407" s="188">
        <f>PPMT('Assumptions (O&amp;G Upstream)'!$B$344,Model!Y$1,'Assumptions (O&amp;G Upstream)'!$B$347,Model!$AO$3366)</f>
        <v>-16.01622067</v>
      </c>
      <c r="AR3407" s="188">
        <f>PPMT('Assumptions (O&amp;G Upstream)'!$B$344,Model!Z$1,'Assumptions (O&amp;G Upstream)'!$B$347,Model!$AO$3366)</f>
        <v>-17.21743722</v>
      </c>
      <c r="AS3407" s="188">
        <f>PPMT('Assumptions (O&amp;G Upstream)'!$B$344,Model!AA$1,'Assumptions (O&amp;G Upstream)'!$B$347,Model!$AO$3366)</f>
        <v>-18.50874502</v>
      </c>
      <c r="AT3407" s="188">
        <f>PPMT('Assumptions (O&amp;G Upstream)'!$B$344,Model!AB$1,'Assumptions (O&amp;G Upstream)'!$B$347,Model!$AO$3366)</f>
        <v>-19.89690089</v>
      </c>
      <c r="AU3407" s="188">
        <f>PPMT('Assumptions (O&amp;G Upstream)'!$B$344,Model!AC$1,'Assumptions (O&amp;G Upstream)'!$B$347,Model!$AO$3366)</f>
        <v>-21.38916846</v>
      </c>
      <c r="AV3407" s="188">
        <f>PPMT('Assumptions (O&amp;G Upstream)'!$B$344,Model!AD$1,'Assumptions (O&amp;G Upstream)'!$B$347,Model!$AO$3366)</f>
        <v>-22.99335609</v>
      </c>
      <c r="AW3407" s="188">
        <f>PPMT('Assumptions (O&amp;G Upstream)'!$B$344,Model!AE$1,'Assumptions (O&amp;G Upstream)'!$B$347,Model!$AO$3366)</f>
        <v>-24.7178578</v>
      </c>
      <c r="AX3407" s="188">
        <f>PPMT('Assumptions (O&amp;G Upstream)'!$B$344,Model!AF$1,'Assumptions (O&amp;G Upstream)'!$B$347,Model!$AO$3366)</f>
        <v>-26.57169714</v>
      </c>
      <c r="AY3407" s="188"/>
      <c r="AZ3407" s="188"/>
      <c r="BA3407" s="188"/>
      <c r="BB3407" s="188"/>
      <c r="BC3407" s="188"/>
      <c r="BD3407" s="188"/>
      <c r="BE3407" s="188"/>
      <c r="BF3407" s="188"/>
      <c r="BG3407" s="188"/>
      <c r="BH3407" s="188"/>
      <c r="BI3407" s="188"/>
      <c r="BJ3407" s="188"/>
      <c r="BK3407" s="188"/>
      <c r="BL3407" s="188"/>
      <c r="BM3407" s="188"/>
    </row>
    <row r="3408" ht="15.75" hidden="1" customHeight="1" outlineLevel="1">
      <c r="A3408" s="389"/>
      <c r="B3408" s="24"/>
      <c r="C3408" s="188"/>
      <c r="D3408" s="188"/>
      <c r="E3408" s="188"/>
      <c r="F3408" s="188"/>
      <c r="G3408" s="188"/>
      <c r="H3408" s="188"/>
      <c r="I3408" s="188"/>
      <c r="J3408" s="188"/>
      <c r="K3408" s="188"/>
      <c r="L3408" s="188"/>
      <c r="M3408" s="188"/>
      <c r="N3408" s="188"/>
      <c r="O3408" s="188"/>
      <c r="P3408" s="188"/>
      <c r="Q3408" s="188"/>
      <c r="R3408" s="188"/>
      <c r="S3408" s="78"/>
      <c r="T3408" s="78"/>
      <c r="U3408" s="78"/>
      <c r="V3408" s="78"/>
      <c r="W3408" s="139"/>
      <c r="AP3408" s="188">
        <f>PPMT('Assumptions (O&amp;G Upstream)'!$B$344,Model!W$1,'Assumptions (O&amp;G Upstream)'!$B$347,Model!$AP$3366)</f>
        <v>-14.07031047</v>
      </c>
      <c r="AQ3408" s="188">
        <f>PPMT('Assumptions (O&amp;G Upstream)'!$B$344,Model!X$1,'Assumptions (O&amp;G Upstream)'!$B$347,Model!$AP$3366)</f>
        <v>-15.12558376</v>
      </c>
      <c r="AR3408" s="188">
        <f>PPMT('Assumptions (O&amp;G Upstream)'!$B$344,Model!Y$1,'Assumptions (O&amp;G Upstream)'!$B$347,Model!$AP$3366)</f>
        <v>-16.26000254</v>
      </c>
      <c r="AS3408" s="188">
        <f>PPMT('Assumptions (O&amp;G Upstream)'!$B$344,Model!Z$1,'Assumptions (O&amp;G Upstream)'!$B$347,Model!$AP$3366)</f>
        <v>-17.47950273</v>
      </c>
      <c r="AT3408" s="188">
        <f>PPMT('Assumptions (O&amp;G Upstream)'!$B$344,Model!AA$1,'Assumptions (O&amp;G Upstream)'!$B$347,Model!$AP$3366)</f>
        <v>-18.79046543</v>
      </c>
      <c r="AU3408" s="188">
        <f>PPMT('Assumptions (O&amp;G Upstream)'!$B$344,Model!AB$1,'Assumptions (O&amp;G Upstream)'!$B$347,Model!$AP$3366)</f>
        <v>-20.19975034</v>
      </c>
      <c r="AV3408" s="188">
        <f>PPMT('Assumptions (O&amp;G Upstream)'!$B$344,Model!AC$1,'Assumptions (O&amp;G Upstream)'!$B$347,Model!$AP$3366)</f>
        <v>-21.71473162</v>
      </c>
      <c r="AW3408" s="188">
        <f>PPMT('Assumptions (O&amp;G Upstream)'!$B$344,Model!AD$1,'Assumptions (O&amp;G Upstream)'!$B$347,Model!$AP$3366)</f>
        <v>-23.34333649</v>
      </c>
      <c r="AX3408" s="188">
        <f>PPMT('Assumptions (O&amp;G Upstream)'!$B$344,Model!AE$1,'Assumptions (O&amp;G Upstream)'!$B$347,Model!$AP$3366)</f>
        <v>-25.09408672</v>
      </c>
      <c r="AY3408" s="188">
        <f>PPMT('Assumptions (O&amp;G Upstream)'!$B$344,Model!AF$1,'Assumptions (O&amp;G Upstream)'!$B$347,Model!$AP$3366)</f>
        <v>-26.97614323</v>
      </c>
      <c r="AZ3408" s="188"/>
      <c r="BA3408" s="188"/>
      <c r="BB3408" s="188"/>
      <c r="BC3408" s="188"/>
      <c r="BD3408" s="188"/>
      <c r="BE3408" s="188"/>
      <c r="BF3408" s="188"/>
      <c r="BG3408" s="188"/>
      <c r="BH3408" s="188"/>
      <c r="BI3408" s="188"/>
      <c r="BJ3408" s="188"/>
      <c r="BK3408" s="188"/>
      <c r="BL3408" s="188"/>
      <c r="BM3408" s="188"/>
      <c r="BN3408" s="188"/>
    </row>
    <row r="3409" ht="15.75" hidden="1" customHeight="1" outlineLevel="1">
      <c r="A3409" s="389"/>
      <c r="B3409" s="24"/>
      <c r="C3409" s="188"/>
      <c r="D3409" s="188"/>
      <c r="E3409" s="188"/>
      <c r="F3409" s="188"/>
      <c r="G3409" s="188"/>
      <c r="H3409" s="188"/>
      <c r="I3409" s="188"/>
      <c r="J3409" s="188"/>
      <c r="K3409" s="188"/>
      <c r="L3409" s="188"/>
      <c r="M3409" s="188"/>
      <c r="N3409" s="188"/>
      <c r="O3409" s="188"/>
      <c r="P3409" s="188"/>
      <c r="Q3409" s="188"/>
      <c r="R3409" s="188"/>
      <c r="S3409" s="78"/>
      <c r="T3409" s="78"/>
      <c r="U3409" s="78"/>
      <c r="V3409" s="78"/>
      <c r="W3409" s="139"/>
      <c r="AQ3409" s="188">
        <f>PPMT('Assumptions (O&amp;G Upstream)'!$B$344,Model!W$1,'Assumptions (O&amp;G Upstream)'!$B$347,Model!$AQ$3366)</f>
        <v>-14.35162042</v>
      </c>
      <c r="AR3409" s="188">
        <f>PPMT('Assumptions (O&amp;G Upstream)'!$B$344,Model!X$1,'Assumptions (O&amp;G Upstream)'!$B$347,Model!$AQ$3366)</f>
        <v>-15.42799195</v>
      </c>
      <c r="AS3409" s="188">
        <f>PPMT('Assumptions (O&amp;G Upstream)'!$B$344,Model!Y$1,'Assumptions (O&amp;G Upstream)'!$B$347,Model!$AQ$3366)</f>
        <v>-16.58509135</v>
      </c>
      <c r="AT3409" s="188">
        <f>PPMT('Assumptions (O&amp;G Upstream)'!$B$344,Model!Z$1,'Assumptions (O&amp;G Upstream)'!$B$347,Model!$AQ$3366)</f>
        <v>-17.8289732</v>
      </c>
      <c r="AU3409" s="188">
        <f>PPMT('Assumptions (O&amp;G Upstream)'!$B$344,Model!AA$1,'Assumptions (O&amp;G Upstream)'!$B$347,Model!$AQ$3366)</f>
        <v>-19.16614619</v>
      </c>
      <c r="AV3409" s="188">
        <f>PPMT('Assumptions (O&amp;G Upstream)'!$B$344,Model!AB$1,'Assumptions (O&amp;G Upstream)'!$B$347,Model!$AQ$3366)</f>
        <v>-20.60360716</v>
      </c>
      <c r="AW3409" s="188">
        <f>PPMT('Assumptions (O&amp;G Upstream)'!$B$344,Model!AC$1,'Assumptions (O&amp;G Upstream)'!$B$347,Model!$AQ$3366)</f>
        <v>-22.14887769</v>
      </c>
      <c r="AX3409" s="188">
        <f>PPMT('Assumptions (O&amp;G Upstream)'!$B$344,Model!AD$1,'Assumptions (O&amp;G Upstream)'!$B$347,Model!$AQ$3366)</f>
        <v>-23.81004352</v>
      </c>
      <c r="AY3409" s="188">
        <f>PPMT('Assumptions (O&amp;G Upstream)'!$B$344,Model!AE$1,'Assumptions (O&amp;G Upstream)'!$B$347,Model!$AQ$3366)</f>
        <v>-25.59579679</v>
      </c>
      <c r="AZ3409" s="188">
        <f>PPMT('Assumptions (O&amp;G Upstream)'!$B$344,Model!AF$1,'Assumptions (O&amp;G Upstream)'!$B$347,Model!$AQ$3366)</f>
        <v>-27.51548154</v>
      </c>
      <c r="BA3409" s="188"/>
      <c r="BB3409" s="188"/>
      <c r="BC3409" s="188"/>
      <c r="BD3409" s="188"/>
      <c r="BE3409" s="188"/>
      <c r="BF3409" s="188"/>
      <c r="BG3409" s="188"/>
      <c r="BH3409" s="188"/>
      <c r="BI3409" s="188"/>
      <c r="BJ3409" s="188"/>
      <c r="BK3409" s="188"/>
      <c r="BL3409" s="188"/>
      <c r="BM3409" s="188"/>
      <c r="BN3409" s="188"/>
      <c r="BO3409" s="188"/>
    </row>
    <row r="3410" ht="15.75" hidden="1" customHeight="1" outlineLevel="1">
      <c r="A3410" s="389"/>
      <c r="B3410" s="24"/>
      <c r="C3410" s="188"/>
      <c r="D3410" s="188"/>
      <c r="E3410" s="188"/>
      <c r="F3410" s="188"/>
      <c r="G3410" s="188"/>
      <c r="H3410" s="188"/>
      <c r="I3410" s="188"/>
      <c r="J3410" s="188"/>
      <c r="K3410" s="188"/>
      <c r="L3410" s="188"/>
      <c r="M3410" s="188"/>
      <c r="N3410" s="188"/>
      <c r="O3410" s="188"/>
      <c r="P3410" s="188"/>
      <c r="Q3410" s="188"/>
      <c r="R3410" s="188"/>
      <c r="S3410" s="78"/>
      <c r="T3410" s="78"/>
      <c r="U3410" s="78"/>
      <c r="V3410" s="78"/>
      <c r="W3410" s="139"/>
      <c r="AR3410" s="188">
        <f>PPMT('Assumptions (O&amp;G Upstream)'!$B$344,Model!W$1,'Assumptions (O&amp;G Upstream)'!$B$347,Model!$AR$3366)</f>
        <v>-14.60168865</v>
      </c>
      <c r="AS3410" s="188">
        <f>PPMT('Assumptions (O&amp;G Upstream)'!$B$344,Model!X$1,'Assumptions (O&amp;G Upstream)'!$B$347,Model!$AR$3366)</f>
        <v>-15.6968153</v>
      </c>
      <c r="AT3410" s="188">
        <f>PPMT('Assumptions (O&amp;G Upstream)'!$B$344,Model!Y$1,'Assumptions (O&amp;G Upstream)'!$B$347,Model!$AR$3366)</f>
        <v>-16.87407644</v>
      </c>
      <c r="AU3410" s="188">
        <f>PPMT('Assumptions (O&amp;G Upstream)'!$B$344,Model!Z$1,'Assumptions (O&amp;G Upstream)'!$B$347,Model!$AR$3366)</f>
        <v>-18.13963218</v>
      </c>
      <c r="AV3410" s="188">
        <f>PPMT('Assumptions (O&amp;G Upstream)'!$B$344,Model!AA$1,'Assumptions (O&amp;G Upstream)'!$B$347,Model!$AR$3366)</f>
        <v>-19.50010459</v>
      </c>
      <c r="AW3410" s="188">
        <f>PPMT('Assumptions (O&amp;G Upstream)'!$B$344,Model!AB$1,'Assumptions (O&amp;G Upstream)'!$B$347,Model!$AR$3366)</f>
        <v>-20.96261243</v>
      </c>
      <c r="AX3410" s="188">
        <f>PPMT('Assumptions (O&amp;G Upstream)'!$B$344,Model!AC$1,'Assumptions (O&amp;G Upstream)'!$B$347,Model!$AR$3366)</f>
        <v>-22.53480837</v>
      </c>
      <c r="AY3410" s="188">
        <f>PPMT('Assumptions (O&amp;G Upstream)'!$B$344,Model!AD$1,'Assumptions (O&amp;G Upstream)'!$B$347,Model!$AR$3366)</f>
        <v>-24.22491899</v>
      </c>
      <c r="AZ3410" s="188">
        <f>PPMT('Assumptions (O&amp;G Upstream)'!$B$344,Model!AE$1,'Assumptions (O&amp;G Upstream)'!$B$347,Model!$AR$3366)</f>
        <v>-26.04178792</v>
      </c>
      <c r="BA3410" s="188">
        <f>PPMT('Assumptions (O&amp;G Upstream)'!$B$344,Model!AF$1,'Assumptions (O&amp;G Upstream)'!$B$347,Model!$AR$3366)</f>
        <v>-27.99492201</v>
      </c>
      <c r="BB3410" s="188"/>
      <c r="BC3410" s="188"/>
      <c r="BD3410" s="188"/>
      <c r="BE3410" s="188"/>
      <c r="BF3410" s="188"/>
      <c r="BG3410" s="188"/>
      <c r="BH3410" s="188"/>
      <c r="BI3410" s="188"/>
      <c r="BJ3410" s="188"/>
      <c r="BK3410" s="188"/>
      <c r="BL3410" s="188"/>
      <c r="BM3410" s="188"/>
      <c r="BN3410" s="188"/>
      <c r="BO3410" s="188"/>
      <c r="BP3410" s="188"/>
    </row>
    <row r="3411" ht="15.75" hidden="1" customHeight="1" outlineLevel="1">
      <c r="A3411" s="389"/>
      <c r="B3411" s="24"/>
      <c r="C3411" s="188"/>
      <c r="D3411" s="188"/>
      <c r="E3411" s="188"/>
      <c r="F3411" s="188"/>
      <c r="G3411" s="188"/>
      <c r="H3411" s="188"/>
      <c r="I3411" s="188"/>
      <c r="J3411" s="188"/>
      <c r="K3411" s="188"/>
      <c r="L3411" s="188"/>
      <c r="M3411" s="188"/>
      <c r="N3411" s="188"/>
      <c r="O3411" s="188"/>
      <c r="P3411" s="188"/>
      <c r="Q3411" s="188"/>
      <c r="R3411" s="188"/>
      <c r="S3411" s="78"/>
      <c r="T3411" s="78"/>
      <c r="U3411" s="78"/>
      <c r="V3411" s="78"/>
      <c r="W3411" s="139"/>
      <c r="AS3411" s="188">
        <f>PPMT('Assumptions (O&amp;G Upstream)'!$B$344,Model!W$1,'Assumptions (O&amp;G Upstream)'!$B$347,Model!$AS$3366)</f>
        <v>-14.91072678</v>
      </c>
      <c r="AT3411" s="188">
        <f>PPMT('Assumptions (O&amp;G Upstream)'!$B$344,Model!X$1,'Assumptions (O&amp;G Upstream)'!$B$347,Model!$AS$3366)</f>
        <v>-16.02903129</v>
      </c>
      <c r="AU3411" s="188">
        <f>PPMT('Assumptions (O&amp;G Upstream)'!$B$344,Model!Y$1,'Assumptions (O&amp;G Upstream)'!$B$347,Model!$AS$3366)</f>
        <v>-17.23120863</v>
      </c>
      <c r="AV3411" s="188">
        <f>PPMT('Assumptions (O&amp;G Upstream)'!$B$344,Model!Z$1,'Assumptions (O&amp;G Upstream)'!$B$347,Model!$AS$3366)</f>
        <v>-18.52354928</v>
      </c>
      <c r="AW3411" s="188">
        <f>PPMT('Assumptions (O&amp;G Upstream)'!$B$344,Model!AA$1,'Assumptions (O&amp;G Upstream)'!$B$347,Model!$AS$3366)</f>
        <v>-19.91281548</v>
      </c>
      <c r="AX3411" s="188">
        <f>PPMT('Assumptions (O&amp;G Upstream)'!$B$344,Model!AB$1,'Assumptions (O&amp;G Upstream)'!$B$347,Model!$AS$3366)</f>
        <v>-21.40627664</v>
      </c>
      <c r="AY3411" s="188">
        <f>PPMT('Assumptions (O&amp;G Upstream)'!$B$344,Model!AC$1,'Assumptions (O&amp;G Upstream)'!$B$347,Model!$AS$3366)</f>
        <v>-23.01174738</v>
      </c>
      <c r="AZ3411" s="188">
        <f>PPMT('Assumptions (O&amp;G Upstream)'!$B$344,Model!AD$1,'Assumptions (O&amp;G Upstream)'!$B$347,Model!$AS$3366)</f>
        <v>-24.73762844</v>
      </c>
      <c r="BA3411" s="188">
        <f>PPMT('Assumptions (O&amp;G Upstream)'!$B$344,Model!AE$1,'Assumptions (O&amp;G Upstream)'!$B$347,Model!$AS$3366)</f>
        <v>-26.59295057</v>
      </c>
      <c r="BB3411" s="188">
        <f>PPMT('Assumptions (O&amp;G Upstream)'!$B$344,Model!AF$1,'Assumptions (O&amp;G Upstream)'!$B$347,Model!$AS$3366)</f>
        <v>-28.58742186</v>
      </c>
      <c r="BC3411" s="188"/>
      <c r="BD3411" s="188"/>
      <c r="BE3411" s="188"/>
      <c r="BF3411" s="188"/>
      <c r="BG3411" s="188"/>
      <c r="BH3411" s="188"/>
      <c r="BI3411" s="188"/>
      <c r="BJ3411" s="188"/>
      <c r="BK3411" s="188"/>
      <c r="BL3411" s="188"/>
      <c r="BM3411" s="188"/>
      <c r="BN3411" s="188"/>
      <c r="BO3411" s="188"/>
      <c r="BP3411" s="188"/>
      <c r="BQ3411" s="188"/>
    </row>
    <row r="3412" ht="15.75" hidden="1" customHeight="1" outlineLevel="1">
      <c r="A3412" s="389"/>
      <c r="B3412" s="24"/>
      <c r="C3412" s="188"/>
      <c r="D3412" s="188"/>
      <c r="E3412" s="188"/>
      <c r="F3412" s="188"/>
      <c r="G3412" s="188"/>
      <c r="H3412" s="188"/>
      <c r="I3412" s="188"/>
      <c r="J3412" s="188"/>
      <c r="K3412" s="188"/>
      <c r="L3412" s="188"/>
      <c r="M3412" s="188"/>
      <c r="N3412" s="188"/>
      <c r="O3412" s="188"/>
      <c r="P3412" s="188"/>
      <c r="Q3412" s="188"/>
      <c r="R3412" s="188"/>
      <c r="S3412" s="78"/>
      <c r="T3412" s="78"/>
      <c r="U3412" s="78"/>
      <c r="V3412" s="78"/>
      <c r="W3412" s="139"/>
      <c r="AT3412" s="188">
        <f>PPMT('Assumptions (O&amp;G Upstream)'!$B$344,Model!W$1,'Assumptions (O&amp;G Upstream)'!$B$347,Model!$AT$3366)</f>
        <v>-15.10974967</v>
      </c>
      <c r="AU3412" s="188">
        <f>PPMT('Assumptions (O&amp;G Upstream)'!$B$344,Model!X$1,'Assumptions (O&amp;G Upstream)'!$B$347,Model!$AT$3366)</f>
        <v>-16.2429809</v>
      </c>
      <c r="AV3412" s="188">
        <f>PPMT('Assumptions (O&amp;G Upstream)'!$B$344,Model!Y$1,'Assumptions (O&amp;G Upstream)'!$B$347,Model!$AT$3366)</f>
        <v>-17.46120447</v>
      </c>
      <c r="AW3412" s="188">
        <f>PPMT('Assumptions (O&amp;G Upstream)'!$B$344,Model!Z$1,'Assumptions (O&amp;G Upstream)'!$B$347,Model!$AT$3366)</f>
        <v>-18.7707948</v>
      </c>
      <c r="AX3412" s="188">
        <f>PPMT('Assumptions (O&amp;G Upstream)'!$B$344,Model!AA$1,'Assumptions (O&amp;G Upstream)'!$B$347,Model!$AT$3366)</f>
        <v>-20.17860441</v>
      </c>
      <c r="AY3412" s="188">
        <f>PPMT('Assumptions (O&amp;G Upstream)'!$B$344,Model!AB$1,'Assumptions (O&amp;G Upstream)'!$B$347,Model!$AT$3366)</f>
        <v>-21.69199974</v>
      </c>
      <c r="AZ3412" s="188">
        <f>PPMT('Assumptions (O&amp;G Upstream)'!$B$344,Model!AC$1,'Assumptions (O&amp;G Upstream)'!$B$347,Model!$AT$3366)</f>
        <v>-23.31889972</v>
      </c>
      <c r="BA3412" s="188">
        <f>PPMT('Assumptions (O&amp;G Upstream)'!$B$344,Model!AD$1,'Assumptions (O&amp;G Upstream)'!$B$347,Model!$AT$3366)</f>
        <v>-25.0678172</v>
      </c>
      <c r="BB3412" s="188">
        <f>PPMT('Assumptions (O&amp;G Upstream)'!$B$344,Model!AE$1,'Assumptions (O&amp;G Upstream)'!$B$347,Model!$AT$3366)</f>
        <v>-26.94790349</v>
      </c>
      <c r="BC3412" s="188">
        <f>PPMT('Assumptions (O&amp;G Upstream)'!$B$344,Model!AF$1,'Assumptions (O&amp;G Upstream)'!$B$347,Model!$AT$3366)</f>
        <v>-28.96899625</v>
      </c>
      <c r="BD3412" s="188"/>
      <c r="BE3412" s="188"/>
      <c r="BF3412" s="188"/>
      <c r="BG3412" s="188"/>
      <c r="BH3412" s="188"/>
      <c r="BI3412" s="188"/>
      <c r="BJ3412" s="188"/>
      <c r="BK3412" s="188"/>
      <c r="BL3412" s="188"/>
      <c r="BM3412" s="188"/>
      <c r="BN3412" s="188"/>
      <c r="BO3412" s="188"/>
      <c r="BP3412" s="188"/>
      <c r="BQ3412" s="188"/>
      <c r="BR3412" s="188"/>
    </row>
    <row r="3413" ht="15.75" hidden="1" customHeight="1" outlineLevel="1">
      <c r="A3413" s="389"/>
      <c r="B3413" s="24"/>
      <c r="C3413" s="188"/>
      <c r="D3413" s="188"/>
      <c r="E3413" s="188"/>
      <c r="F3413" s="188"/>
      <c r="G3413" s="188"/>
      <c r="H3413" s="188"/>
      <c r="I3413" s="188"/>
      <c r="J3413" s="188"/>
      <c r="K3413" s="188"/>
      <c r="L3413" s="188"/>
      <c r="M3413" s="188"/>
      <c r="N3413" s="188"/>
      <c r="O3413" s="188"/>
      <c r="P3413" s="188"/>
      <c r="Q3413" s="188"/>
      <c r="R3413" s="188"/>
      <c r="S3413" s="78"/>
      <c r="T3413" s="78"/>
      <c r="U3413" s="78"/>
      <c r="V3413" s="78"/>
      <c r="W3413" s="139"/>
      <c r="AU3413" s="188">
        <f>PPMT('Assumptions (O&amp;G Upstream)'!$B$344,Model!W$1,'Assumptions (O&amp;G Upstream)'!$B$347,Model!$AU$3366)</f>
        <v>-15.34639781</v>
      </c>
      <c r="AV3413" s="188">
        <f>PPMT('Assumptions (O&amp;G Upstream)'!$B$344,Model!X$1,'Assumptions (O&amp;G Upstream)'!$B$347,Model!$AU$3366)</f>
        <v>-16.49737764</v>
      </c>
      <c r="AW3413" s="188">
        <f>PPMT('Assumptions (O&amp;G Upstream)'!$B$344,Model!Y$1,'Assumptions (O&amp;G Upstream)'!$B$347,Model!$AU$3366)</f>
        <v>-17.73468097</v>
      </c>
      <c r="AX3413" s="188">
        <f>PPMT('Assumptions (O&amp;G Upstream)'!$B$344,Model!Z$1,'Assumptions (O&amp;G Upstream)'!$B$347,Model!$AU$3366)</f>
        <v>-19.06478204</v>
      </c>
      <c r="AY3413" s="188">
        <f>PPMT('Assumptions (O&amp;G Upstream)'!$B$344,Model!AA$1,'Assumptions (O&amp;G Upstream)'!$B$347,Model!$AU$3366)</f>
        <v>-20.49464069</v>
      </c>
      <c r="AZ3413" s="188">
        <f>PPMT('Assumptions (O&amp;G Upstream)'!$B$344,Model!AB$1,'Assumptions (O&amp;G Upstream)'!$B$347,Model!$AU$3366)</f>
        <v>-22.03173875</v>
      </c>
      <c r="BA3413" s="188">
        <f>PPMT('Assumptions (O&amp;G Upstream)'!$B$344,Model!AC$1,'Assumptions (O&amp;G Upstream)'!$B$347,Model!$AU$3366)</f>
        <v>-23.68411915</v>
      </c>
      <c r="BB3413" s="188">
        <f>PPMT('Assumptions (O&amp;G Upstream)'!$B$344,Model!AD$1,'Assumptions (O&amp;G Upstream)'!$B$347,Model!$AU$3366)</f>
        <v>-25.46042809</v>
      </c>
      <c r="BC3413" s="188">
        <f>PPMT('Assumptions (O&amp;G Upstream)'!$B$344,Model!AE$1,'Assumptions (O&amp;G Upstream)'!$B$347,Model!$AU$3366)</f>
        <v>-27.36996019</v>
      </c>
      <c r="BD3413" s="188">
        <f>PPMT('Assumptions (O&amp;G Upstream)'!$B$344,Model!AF$1,'Assumptions (O&amp;G Upstream)'!$B$347,Model!$AU$3366)</f>
        <v>-29.42270721</v>
      </c>
      <c r="BE3413" s="188"/>
      <c r="BF3413" s="188"/>
      <c r="BG3413" s="188"/>
      <c r="BH3413" s="188"/>
      <c r="BI3413" s="188"/>
      <c r="BJ3413" s="188"/>
      <c r="BK3413" s="188"/>
      <c r="BL3413" s="188"/>
      <c r="BM3413" s="188"/>
      <c r="BN3413" s="188"/>
      <c r="BO3413" s="188"/>
      <c r="BP3413" s="188"/>
      <c r="BQ3413" s="188"/>
      <c r="BR3413" s="188"/>
      <c r="BS3413" s="188"/>
    </row>
    <row r="3414" ht="15.75" hidden="1" customHeight="1" outlineLevel="1">
      <c r="A3414" s="389"/>
      <c r="B3414" s="24"/>
      <c r="C3414" s="188"/>
      <c r="D3414" s="188"/>
      <c r="E3414" s="188"/>
      <c r="F3414" s="188"/>
      <c r="G3414" s="188"/>
      <c r="H3414" s="188"/>
      <c r="I3414" s="188"/>
      <c r="J3414" s="188"/>
      <c r="K3414" s="188"/>
      <c r="L3414" s="188"/>
      <c r="M3414" s="188"/>
      <c r="N3414" s="188"/>
      <c r="O3414" s="188"/>
      <c r="P3414" s="188"/>
      <c r="Q3414" s="188"/>
      <c r="R3414" s="188"/>
      <c r="S3414" s="78"/>
      <c r="T3414" s="78"/>
      <c r="U3414" s="78"/>
      <c r="V3414" s="78"/>
      <c r="W3414" s="139"/>
      <c r="AV3414" s="188">
        <f>PPMT('Assumptions (O&amp;G Upstream)'!$B$344,Model!W$1,'Assumptions (O&amp;G Upstream)'!$B$347,Model!$AV$3366)</f>
        <v>-15.55257975</v>
      </c>
      <c r="AW3414" s="188">
        <f>PPMT('Assumptions (O&amp;G Upstream)'!$B$344,Model!X$1,'Assumptions (O&amp;G Upstream)'!$B$347,Model!$AV$3366)</f>
        <v>-16.71902323</v>
      </c>
      <c r="AX3414" s="188">
        <f>PPMT('Assumptions (O&amp;G Upstream)'!$B$344,Model!Y$1,'Assumptions (O&amp;G Upstream)'!$B$347,Model!$AV$3366)</f>
        <v>-17.97294998</v>
      </c>
      <c r="AY3414" s="188">
        <f>PPMT('Assumptions (O&amp;G Upstream)'!$B$344,Model!Z$1,'Assumptions (O&amp;G Upstream)'!$B$347,Model!$AV$3366)</f>
        <v>-19.32092123</v>
      </c>
      <c r="AZ3414" s="188">
        <f>PPMT('Assumptions (O&amp;G Upstream)'!$B$344,Model!AA$1,'Assumptions (O&amp;G Upstream)'!$B$347,Model!$AV$3366)</f>
        <v>-20.76999032</v>
      </c>
      <c r="BA3414" s="188">
        <f>PPMT('Assumptions (O&amp;G Upstream)'!$B$344,Model!AB$1,'Assumptions (O&amp;G Upstream)'!$B$347,Model!$AV$3366)</f>
        <v>-22.32773959</v>
      </c>
      <c r="BB3414" s="188">
        <f>PPMT('Assumptions (O&amp;G Upstream)'!$B$344,Model!AC$1,'Assumptions (O&amp;G Upstream)'!$B$347,Model!$AV$3366)</f>
        <v>-24.00232006</v>
      </c>
      <c r="BC3414" s="188">
        <f>PPMT('Assumptions (O&amp;G Upstream)'!$B$344,Model!AD$1,'Assumptions (O&amp;G Upstream)'!$B$347,Model!$AV$3366)</f>
        <v>-25.80249406</v>
      </c>
      <c r="BD3414" s="188">
        <f>PPMT('Assumptions (O&amp;G Upstream)'!$B$344,Model!AE$1,'Assumptions (O&amp;G Upstream)'!$B$347,Model!$AV$3366)</f>
        <v>-27.73768112</v>
      </c>
      <c r="BE3414" s="188">
        <f>PPMT('Assumptions (O&amp;G Upstream)'!$B$344,Model!AF$1,'Assumptions (O&amp;G Upstream)'!$B$347,Model!$AV$3366)</f>
        <v>-29.8180072</v>
      </c>
      <c r="BF3414" s="188"/>
      <c r="BG3414" s="188"/>
      <c r="BH3414" s="188"/>
      <c r="BI3414" s="188"/>
      <c r="BJ3414" s="188"/>
      <c r="BK3414" s="188"/>
      <c r="BL3414" s="188"/>
      <c r="BM3414" s="188"/>
      <c r="BN3414" s="188"/>
      <c r="BO3414" s="188"/>
      <c r="BP3414" s="188"/>
      <c r="BQ3414" s="188"/>
      <c r="BR3414" s="188"/>
      <c r="BS3414" s="188"/>
      <c r="BT3414" s="188"/>
    </row>
    <row r="3415" ht="15.75" hidden="1" customHeight="1" outlineLevel="1">
      <c r="A3415" s="389"/>
      <c r="B3415" s="24"/>
      <c r="C3415" s="188"/>
      <c r="D3415" s="188"/>
      <c r="E3415" s="188"/>
      <c r="F3415" s="188"/>
      <c r="G3415" s="188"/>
      <c r="H3415" s="188"/>
      <c r="I3415" s="188"/>
      <c r="J3415" s="188"/>
      <c r="K3415" s="188"/>
      <c r="L3415" s="188"/>
      <c r="M3415" s="188"/>
      <c r="N3415" s="188"/>
      <c r="O3415" s="188"/>
      <c r="P3415" s="188"/>
      <c r="Q3415" s="188"/>
      <c r="R3415" s="188"/>
      <c r="S3415" s="78"/>
      <c r="T3415" s="78"/>
      <c r="U3415" s="78"/>
      <c r="V3415" s="78"/>
      <c r="W3415" s="139"/>
      <c r="AW3415" s="188">
        <f>PPMT('Assumptions (O&amp;G Upstream)'!$B$344,Model!W$1,'Assumptions (O&amp;G Upstream)'!$B$347,Model!$AW$3366)</f>
        <v>-15.7688364</v>
      </c>
      <c r="AX3415" s="188">
        <f>PPMT('Assumptions (O&amp;G Upstream)'!$B$344,Model!X$1,'Assumptions (O&amp;G Upstream)'!$B$347,Model!$AW$3366)</f>
        <v>-16.95149913</v>
      </c>
      <c r="AY3415" s="188">
        <f>PPMT('Assumptions (O&amp;G Upstream)'!$B$344,Model!Y$1,'Assumptions (O&amp;G Upstream)'!$B$347,Model!$AW$3366)</f>
        <v>-18.22286156</v>
      </c>
      <c r="AZ3415" s="188">
        <f>PPMT('Assumptions (O&amp;G Upstream)'!$B$344,Model!Z$1,'Assumptions (O&amp;G Upstream)'!$B$347,Model!$AW$3366)</f>
        <v>-19.58957618</v>
      </c>
      <c r="BA3415" s="188">
        <f>PPMT('Assumptions (O&amp;G Upstream)'!$B$344,Model!AA$1,'Assumptions (O&amp;G Upstream)'!$B$347,Model!$AW$3366)</f>
        <v>-21.0587944</v>
      </c>
      <c r="BB3415" s="188">
        <f>PPMT('Assumptions (O&amp;G Upstream)'!$B$344,Model!AB$1,'Assumptions (O&amp;G Upstream)'!$B$347,Model!$AW$3366)</f>
        <v>-22.63820398</v>
      </c>
      <c r="BC3415" s="188">
        <f>PPMT('Assumptions (O&amp;G Upstream)'!$B$344,Model!AC$1,'Assumptions (O&amp;G Upstream)'!$B$347,Model!$AW$3366)</f>
        <v>-24.33606927</v>
      </c>
      <c r="BD3415" s="188">
        <f>PPMT('Assumptions (O&amp;G Upstream)'!$B$344,Model!AD$1,'Assumptions (O&amp;G Upstream)'!$B$347,Model!$AW$3366)</f>
        <v>-26.16127447</v>
      </c>
      <c r="BE3415" s="188">
        <f>PPMT('Assumptions (O&amp;G Upstream)'!$B$344,Model!AE$1,'Assumptions (O&amp;G Upstream)'!$B$347,Model!$AW$3366)</f>
        <v>-28.12337005</v>
      </c>
      <c r="BF3415" s="188">
        <f>PPMT('Assumptions (O&amp;G Upstream)'!$B$344,Model!AF$1,'Assumptions (O&amp;G Upstream)'!$B$347,Model!$AW$3366)</f>
        <v>-30.23262281</v>
      </c>
      <c r="BG3415" s="188"/>
      <c r="BH3415" s="188"/>
      <c r="BI3415" s="188"/>
      <c r="BJ3415" s="188"/>
      <c r="BK3415" s="188"/>
      <c r="BL3415" s="188"/>
      <c r="BM3415" s="188"/>
      <c r="BN3415" s="188"/>
      <c r="BO3415" s="188"/>
      <c r="BP3415" s="188"/>
      <c r="BQ3415" s="188"/>
      <c r="BR3415" s="188"/>
      <c r="BS3415" s="188"/>
      <c r="BT3415" s="188"/>
      <c r="BU3415" s="188"/>
    </row>
    <row r="3416" ht="15.75" hidden="1" customHeight="1" outlineLevel="1">
      <c r="A3416" s="389"/>
      <c r="B3416" s="24"/>
      <c r="C3416" s="188"/>
      <c r="D3416" s="188"/>
      <c r="E3416" s="188"/>
      <c r="F3416" s="188"/>
      <c r="G3416" s="188"/>
      <c r="H3416" s="188"/>
      <c r="I3416" s="188"/>
      <c r="J3416" s="188"/>
      <c r="K3416" s="188"/>
      <c r="L3416" s="188"/>
      <c r="M3416" s="188"/>
      <c r="N3416" s="188"/>
      <c r="O3416" s="188"/>
      <c r="P3416" s="188"/>
      <c r="Q3416" s="188"/>
      <c r="R3416" s="188"/>
      <c r="S3416" s="78"/>
      <c r="T3416" s="78"/>
      <c r="U3416" s="78"/>
      <c r="V3416" s="78"/>
      <c r="W3416" s="139"/>
      <c r="AW3416" s="188"/>
      <c r="AX3416" s="188">
        <f>PPMT('Assumptions (O&amp;G Upstream)'!$B$344,Model!W$1,'Assumptions (O&amp;G Upstream)'!$B$347,Model!$AX$3366)</f>
        <v>-16.00494656</v>
      </c>
      <c r="AY3416" s="188">
        <f>PPMT('Assumptions (O&amp;G Upstream)'!$B$344,Model!X$1,'Assumptions (O&amp;G Upstream)'!$B$347,Model!$AX$3366)</f>
        <v>-17.20531755</v>
      </c>
      <c r="AZ3416" s="188">
        <f>PPMT('Assumptions (O&amp;G Upstream)'!$B$344,Model!Y$1,'Assumptions (O&amp;G Upstream)'!$B$347,Model!$AX$3366)</f>
        <v>-18.49571637</v>
      </c>
      <c r="BA3416" s="188">
        <f>PPMT('Assumptions (O&amp;G Upstream)'!$B$344,Model!Z$1,'Assumptions (O&amp;G Upstream)'!$B$347,Model!$AX$3366)</f>
        <v>-19.88289509</v>
      </c>
      <c r="BB3416" s="188">
        <f>PPMT('Assumptions (O&amp;G Upstream)'!$B$344,Model!AA$1,'Assumptions (O&amp;G Upstream)'!$B$347,Model!$AX$3366)</f>
        <v>-21.37411223</v>
      </c>
      <c r="BC3416" s="188">
        <f>PPMT('Assumptions (O&amp;G Upstream)'!$B$344,Model!AB$1,'Assumptions (O&amp;G Upstream)'!$B$347,Model!$AX$3366)</f>
        <v>-22.97717064</v>
      </c>
      <c r="BD3416" s="188">
        <f>PPMT('Assumptions (O&amp;G Upstream)'!$B$344,Model!AC$1,'Assumptions (O&amp;G Upstream)'!$B$347,Model!$AX$3366)</f>
        <v>-24.70045844</v>
      </c>
      <c r="BE3416" s="188">
        <f>PPMT('Assumptions (O&amp;G Upstream)'!$B$344,Model!AD$1,'Assumptions (O&amp;G Upstream)'!$B$347,Model!$AX$3366)</f>
        <v>-26.55299282</v>
      </c>
      <c r="BF3416" s="188">
        <f>PPMT('Assumptions (O&amp;G Upstream)'!$B$344,Model!AE$1,'Assumptions (O&amp;G Upstream)'!$B$347,Model!$AX$3366)</f>
        <v>-28.54446729</v>
      </c>
      <c r="BG3416" s="188">
        <f>PPMT('Assumptions (O&amp;G Upstream)'!$B$344,Model!AF$1,'Assumptions (O&amp;G Upstream)'!$B$347,Model!$AX$3366)</f>
        <v>-30.68530233</v>
      </c>
      <c r="BH3416" s="188"/>
      <c r="BI3416" s="188"/>
      <c r="BJ3416" s="188"/>
      <c r="BK3416" s="188"/>
      <c r="BL3416" s="188"/>
      <c r="BM3416" s="188"/>
      <c r="BN3416" s="188"/>
      <c r="BO3416" s="188"/>
      <c r="BP3416" s="188"/>
      <c r="BQ3416" s="188"/>
      <c r="BR3416" s="188"/>
      <c r="BS3416" s="188"/>
      <c r="BT3416" s="188"/>
      <c r="BU3416" s="188"/>
      <c r="BV3416" s="188"/>
    </row>
    <row r="3417" ht="15.75" hidden="1" customHeight="1" outlineLevel="1">
      <c r="A3417" s="389"/>
      <c r="B3417" s="24"/>
      <c r="C3417" s="188"/>
      <c r="D3417" s="188"/>
      <c r="E3417" s="188"/>
      <c r="F3417" s="188"/>
      <c r="G3417" s="188"/>
      <c r="H3417" s="188"/>
      <c r="I3417" s="188"/>
      <c r="J3417" s="188"/>
      <c r="K3417" s="188"/>
      <c r="L3417" s="188"/>
      <c r="M3417" s="188"/>
      <c r="N3417" s="188"/>
      <c r="O3417" s="188"/>
      <c r="P3417" s="188"/>
      <c r="Q3417" s="188"/>
      <c r="R3417" s="188"/>
      <c r="S3417" s="78"/>
      <c r="T3417" s="78"/>
      <c r="U3417" s="78"/>
      <c r="V3417" s="78"/>
      <c r="W3417" s="139"/>
      <c r="AW3417" s="188"/>
      <c r="AX3417" s="188"/>
      <c r="AY3417" s="188">
        <f>PPMT('Assumptions (O&amp;G Upstream)'!$B$344,Model!W$1,'Assumptions (O&amp;G Upstream)'!$B$347,Model!$AY$3366)</f>
        <v>-16.25268864</v>
      </c>
      <c r="AZ3417" s="188">
        <f>PPMT('Assumptions (O&amp;G Upstream)'!$B$344,Model!X$1,'Assumptions (O&amp;G Upstream)'!$B$347,Model!$AY$3366)</f>
        <v>-17.47164029</v>
      </c>
      <c r="BA3417" s="188">
        <f>PPMT('Assumptions (O&amp;G Upstream)'!$B$344,Model!Y$1,'Assumptions (O&amp;G Upstream)'!$B$347,Model!$AY$3366)</f>
        <v>-18.78201331</v>
      </c>
      <c r="BB3417" s="188">
        <f>PPMT('Assumptions (O&amp;G Upstream)'!$B$344,Model!Z$1,'Assumptions (O&amp;G Upstream)'!$B$347,Model!$AY$3366)</f>
        <v>-20.19066431</v>
      </c>
      <c r="BC3417" s="188">
        <f>PPMT('Assumptions (O&amp;G Upstream)'!$B$344,Model!AA$1,'Assumptions (O&amp;G Upstream)'!$B$347,Model!$AY$3366)</f>
        <v>-21.70496413</v>
      </c>
      <c r="BD3417" s="188">
        <f>PPMT('Assumptions (O&amp;G Upstream)'!$B$344,Model!AB$1,'Assumptions (O&amp;G Upstream)'!$B$347,Model!$AY$3366)</f>
        <v>-23.33283644</v>
      </c>
      <c r="BE3417" s="188">
        <f>PPMT('Assumptions (O&amp;G Upstream)'!$B$344,Model!AC$1,'Assumptions (O&amp;G Upstream)'!$B$347,Model!$AY$3366)</f>
        <v>-25.08279918</v>
      </c>
      <c r="BF3417" s="188">
        <f>PPMT('Assumptions (O&amp;G Upstream)'!$B$344,Model!AD$1,'Assumptions (O&amp;G Upstream)'!$B$347,Model!$AY$3366)</f>
        <v>-26.96400912</v>
      </c>
      <c r="BG3417" s="188">
        <f>PPMT('Assumptions (O&amp;G Upstream)'!$B$344,Model!AE$1,'Assumptions (O&amp;G Upstream)'!$B$347,Model!$AY$3366)</f>
        <v>-28.9863098</v>
      </c>
      <c r="BH3417" s="188">
        <f>PPMT('Assumptions (O&amp;G Upstream)'!$B$344,Model!AF$1,'Assumptions (O&amp;G Upstream)'!$B$347,Model!$AY$3366)</f>
        <v>-31.16028303</v>
      </c>
      <c r="BI3417" s="188"/>
      <c r="BJ3417" s="188"/>
      <c r="BK3417" s="188"/>
      <c r="BL3417" s="188"/>
      <c r="BM3417" s="188"/>
      <c r="BN3417" s="188"/>
      <c r="BO3417" s="188"/>
      <c r="BP3417" s="188"/>
      <c r="BQ3417" s="188"/>
      <c r="BR3417" s="188"/>
      <c r="BS3417" s="188"/>
      <c r="BT3417" s="188"/>
      <c r="BU3417" s="188"/>
      <c r="BV3417" s="188"/>
      <c r="BW3417" s="188"/>
    </row>
    <row r="3418" ht="15.75" hidden="1" customHeight="1" outlineLevel="1">
      <c r="A3418" s="389"/>
      <c r="B3418" s="24"/>
      <c r="C3418" s="188"/>
      <c r="D3418" s="188"/>
      <c r="E3418" s="188"/>
      <c r="F3418" s="188"/>
      <c r="G3418" s="188"/>
      <c r="H3418" s="188"/>
      <c r="I3418" s="188"/>
      <c r="J3418" s="188"/>
      <c r="K3418" s="188"/>
      <c r="L3418" s="188"/>
      <c r="M3418" s="188"/>
      <c r="N3418" s="188"/>
      <c r="O3418" s="188"/>
      <c r="P3418" s="188"/>
      <c r="Q3418" s="188"/>
      <c r="R3418" s="188"/>
      <c r="S3418" s="78"/>
      <c r="T3418" s="78"/>
      <c r="U3418" s="78"/>
      <c r="V3418" s="78"/>
      <c r="W3418" s="139"/>
      <c r="AW3418" s="188"/>
      <c r="AX3418" s="188"/>
      <c r="AY3418" s="188"/>
      <c r="AZ3418" s="188">
        <f>PPMT('Assumptions (O&amp;G Upstream)'!$B$344,Model!W$1,'Assumptions (O&amp;G Upstream)'!$B$347,Model!$AZ$3366)</f>
        <v>-16.43847462</v>
      </c>
      <c r="BA3418" s="188">
        <f>PPMT('Assumptions (O&amp;G Upstream)'!$B$344,Model!X$1,'Assumptions (O&amp;G Upstream)'!$B$347,Model!$AZ$3366)</f>
        <v>-17.67136021</v>
      </c>
      <c r="BB3418" s="188">
        <f>PPMT('Assumptions (O&amp;G Upstream)'!$B$344,Model!Y$1,'Assumptions (O&amp;G Upstream)'!$B$347,Model!$AZ$3366)</f>
        <v>-18.99671223</v>
      </c>
      <c r="BC3418" s="188">
        <f>PPMT('Assumptions (O&amp;G Upstream)'!$B$344,Model!Z$1,'Assumptions (O&amp;G Upstream)'!$B$347,Model!$AZ$3366)</f>
        <v>-20.42146565</v>
      </c>
      <c r="BD3418" s="188">
        <f>PPMT('Assumptions (O&amp;G Upstream)'!$B$344,Model!AA$1,'Assumptions (O&amp;G Upstream)'!$B$347,Model!$AZ$3366)</f>
        <v>-21.95307557</v>
      </c>
      <c r="BE3418" s="188">
        <f>PPMT('Assumptions (O&amp;G Upstream)'!$B$344,Model!AB$1,'Assumptions (O&amp;G Upstream)'!$B$347,Model!$AZ$3366)</f>
        <v>-23.59955624</v>
      </c>
      <c r="BF3418" s="188">
        <f>PPMT('Assumptions (O&amp;G Upstream)'!$B$344,Model!AC$1,'Assumptions (O&amp;G Upstream)'!$B$347,Model!$AZ$3366)</f>
        <v>-25.36952296</v>
      </c>
      <c r="BG3418" s="188">
        <f>PPMT('Assumptions (O&amp;G Upstream)'!$B$344,Model!AD$1,'Assumptions (O&amp;G Upstream)'!$B$347,Model!$AZ$3366)</f>
        <v>-27.27223718</v>
      </c>
      <c r="BH3418" s="188">
        <f>PPMT('Assumptions (O&amp;G Upstream)'!$B$344,Model!AE$1,'Assumptions (O&amp;G Upstream)'!$B$347,Model!$AZ$3366)</f>
        <v>-29.31765497</v>
      </c>
      <c r="BI3418" s="188">
        <f>PPMT('Assumptions (O&amp;G Upstream)'!$B$344,Model!AF$1,'Assumptions (O&amp;G Upstream)'!$B$347,Model!$AZ$3366)</f>
        <v>-31.51647909</v>
      </c>
      <c r="BJ3418" s="188"/>
      <c r="BK3418" s="188"/>
      <c r="BL3418" s="188"/>
      <c r="BM3418" s="188"/>
      <c r="BN3418" s="188"/>
      <c r="BO3418" s="188"/>
      <c r="BP3418" s="188"/>
      <c r="BQ3418" s="188"/>
      <c r="BR3418" s="188"/>
      <c r="BS3418" s="188"/>
      <c r="BT3418" s="188"/>
      <c r="BU3418" s="188"/>
      <c r="BV3418" s="188"/>
      <c r="BW3418" s="188"/>
      <c r="BX3418" s="188"/>
    </row>
    <row r="3419" ht="15.75" hidden="1" customHeight="1" outlineLevel="1">
      <c r="A3419" s="389"/>
      <c r="B3419" s="24"/>
      <c r="C3419" s="188"/>
      <c r="D3419" s="188"/>
      <c r="E3419" s="188"/>
      <c r="F3419" s="188"/>
      <c r="G3419" s="188"/>
      <c r="H3419" s="188"/>
      <c r="I3419" s="188"/>
      <c r="J3419" s="188"/>
      <c r="K3419" s="188"/>
      <c r="L3419" s="188"/>
      <c r="M3419" s="188"/>
      <c r="N3419" s="188"/>
      <c r="O3419" s="188"/>
      <c r="P3419" s="188"/>
      <c r="Q3419" s="188"/>
      <c r="R3419" s="188"/>
      <c r="S3419" s="78"/>
      <c r="T3419" s="78"/>
      <c r="U3419" s="78"/>
      <c r="V3419" s="78"/>
      <c r="W3419" s="139"/>
      <c r="BA3419" s="188">
        <f>PPMT('Assumptions (O&amp;G Upstream)'!$B$344,Model!W$1,'Assumptions (O&amp;G Upstream)'!$B$347,Model!$BA$3366)</f>
        <v>-16.66759739</v>
      </c>
      <c r="BB3419" s="188">
        <f>PPMT('Assumptions (O&amp;G Upstream)'!$B$344,Model!X$1,'Assumptions (O&amp;G Upstream)'!$B$347,Model!$BA$3366)</f>
        <v>-17.91766719</v>
      </c>
      <c r="BC3419" s="188">
        <f>PPMT('Assumptions (O&amp;G Upstream)'!$B$344,Model!Y$1,'Assumptions (O&amp;G Upstream)'!$B$347,Model!$BA$3366)</f>
        <v>-19.26149223</v>
      </c>
      <c r="BD3419" s="188">
        <f>PPMT('Assumptions (O&amp;G Upstream)'!$B$344,Model!Z$1,'Assumptions (O&amp;G Upstream)'!$B$347,Model!$BA$3366)</f>
        <v>-20.70610415</v>
      </c>
      <c r="BE3419" s="188">
        <f>PPMT('Assumptions (O&amp;G Upstream)'!$B$344,Model!AA$1,'Assumptions (O&amp;G Upstream)'!$B$347,Model!$BA$3366)</f>
        <v>-22.25906196</v>
      </c>
      <c r="BF3419" s="188">
        <f>PPMT('Assumptions (O&amp;G Upstream)'!$B$344,Model!AB$1,'Assumptions (O&amp;G Upstream)'!$B$347,Model!$BA$3366)</f>
        <v>-23.9284916</v>
      </c>
      <c r="BG3419" s="188">
        <f>PPMT('Assumptions (O&amp;G Upstream)'!$B$344,Model!AC$1,'Assumptions (O&amp;G Upstream)'!$B$347,Model!$BA$3366)</f>
        <v>-25.72312847</v>
      </c>
      <c r="BH3419" s="188">
        <f>PPMT('Assumptions (O&amp;G Upstream)'!$B$344,Model!AD$1,'Assumptions (O&amp;G Upstream)'!$B$347,Model!$BA$3366)</f>
        <v>-27.65236311</v>
      </c>
      <c r="BI3419" s="188">
        <f>PPMT('Assumptions (O&amp;G Upstream)'!$B$344,Model!AE$1,'Assumptions (O&amp;G Upstream)'!$B$347,Model!$BA$3366)</f>
        <v>-29.72629034</v>
      </c>
      <c r="BJ3419" s="188">
        <f>PPMT('Assumptions (O&amp;G Upstream)'!$B$344,Model!AF$1,'Assumptions (O&amp;G Upstream)'!$B$347,Model!$BA$3366)</f>
        <v>-31.95576212</v>
      </c>
      <c r="BK3419" s="188"/>
      <c r="BL3419" s="188"/>
      <c r="BM3419" s="188"/>
      <c r="BN3419" s="188"/>
      <c r="BO3419" s="188"/>
      <c r="BP3419" s="188"/>
      <c r="BQ3419" s="188"/>
      <c r="BR3419" s="188"/>
      <c r="BS3419" s="188"/>
      <c r="BT3419" s="188"/>
      <c r="BU3419" s="188"/>
      <c r="BV3419" s="188"/>
      <c r="BW3419" s="188"/>
      <c r="BX3419" s="188"/>
      <c r="BY3419" s="188"/>
    </row>
    <row r="3420" ht="15.75" customHeight="1" collapsed="1">
      <c r="A3420" s="389" t="s">
        <v>360</v>
      </c>
      <c r="B3420" s="150" t="s">
        <v>351</v>
      </c>
      <c r="C3420" s="177">
        <f t="array" ref="C3420">SUM(IF(ISERROR(C3421:C3471),"",C3421:C3471))</f>
        <v>-1.3995</v>
      </c>
      <c r="D3420" s="177">
        <f t="array" ref="D3420">SUM(IF(ISERROR(D3421:D3471),"",D3421:D3471))</f>
        <v>-3.177075045</v>
      </c>
      <c r="E3420" s="177">
        <f t="array" ref="E3420">SUM(IF(ISERROR(E3421:E3471),"",E3421:E3471))</f>
        <v>-4.459088575</v>
      </c>
      <c r="F3420" s="177">
        <f t="array" ref="F3420">SUM(IF(ISERROR(F3421:F3471),"",F3421:F3471))</f>
        <v>-6.106164824</v>
      </c>
      <c r="G3420" s="177">
        <f t="array" ref="G3420">SUM(IF(ISERROR(G3421:G3471),"",G3421:G3471))</f>
        <v>-7.898724549</v>
      </c>
      <c r="H3420" s="177">
        <f t="array" ref="H3420">SUM(IF(ISERROR(H3421:H3471),"",H3421:H3471))</f>
        <v>-10.38678794</v>
      </c>
      <c r="I3420" s="177">
        <f t="array" ref="I3420">SUM(IF(ISERROR(I3421:I3471),"",I3421:I3471))</f>
        <v>-13.81090045</v>
      </c>
      <c r="J3420" s="177">
        <f t="array" ref="J3420">SUM(IF(ISERROR(J3421:J3471),"",J3421:J3471))</f>
        <v>-17.26260176</v>
      </c>
      <c r="K3420" s="177">
        <f t="array" ref="K3420">SUM(IF(ISERROR(K3421:K3471),"",K3421:K3471))</f>
        <v>-21.03849147</v>
      </c>
      <c r="L3420" s="177">
        <f t="array" ref="L3420">SUM(IF(ISERROR(L3421:L3471),"",L3421:L3471))</f>
        <v>-22.56162281</v>
      </c>
      <c r="M3420" s="177">
        <f t="array" ref="M3420">SUM(IF(ISERROR(M3421:M3471),"",M3421:M3471))</f>
        <v>-24.34281742</v>
      </c>
      <c r="N3420" s="177">
        <f t="array" ref="N3420">SUM(IF(ISERROR(N3421:N3471),"",N3421:N3471))</f>
        <v>-27.00507922</v>
      </c>
      <c r="O3420" s="177">
        <f t="array" ref="O3420">SUM(IF(ISERROR(O3421:O3471),"",O3421:O3471))</f>
        <v>-30.74931645</v>
      </c>
      <c r="P3420" s="177">
        <f t="array" ref="P3420">SUM(IF(ISERROR(P3421:P3471),"",P3421:P3471))</f>
        <v>-34.28482025</v>
      </c>
      <c r="Q3420" s="177">
        <f t="array" ref="Q3420">SUM(IF(ISERROR(Q3421:Q3471),"",Q3421:Q3471))</f>
        <v>-38.75860321</v>
      </c>
      <c r="R3420" s="177">
        <f t="array" ref="R3420">SUM(IF(ISERROR(R3421:R3471),"",R3421:R3471))</f>
        <v>-40.12661698</v>
      </c>
      <c r="S3420" s="177">
        <f t="array" ref="S3420">SUM(IF(ISERROR(S3421:S3471),"",S3421:S3471))</f>
        <v>-37.95002977</v>
      </c>
      <c r="T3420" s="177">
        <f t="array" ref="T3420">SUM(IF(ISERROR(T3421:T3471),"",T3421:T3471))</f>
        <v>-37.19210439</v>
      </c>
      <c r="U3420" s="177">
        <f t="array" ref="U3420">SUM(IF(ISERROR(U3421:U3471),"",U3421:U3471))</f>
        <v>-38.87927392</v>
      </c>
      <c r="V3420" s="177">
        <f t="array" ref="V3420">SUM(IF(ISERROR(V3421:V3471),"",V3421:V3471))</f>
        <v>-41.36158949</v>
      </c>
      <c r="W3420" s="177">
        <f t="array" ref="W3420">SUM(IF(ISERROR(W3421:W3471),"",W3421:W3471))</f>
        <v>-44.11966985</v>
      </c>
      <c r="X3420" s="177">
        <f t="array" ref="X3420">SUM(IF(ISERROR(X3421:X3471),"",X3421:X3471))</f>
        <v>-46.89081212</v>
      </c>
      <c r="Y3420" s="177">
        <f t="array" ref="Y3420">SUM(IF(ISERROR(Y3421:Y3471),"",Y3421:Y3471))</f>
        <v>-49.42323119</v>
      </c>
      <c r="Z3420" s="177">
        <f t="array" ref="Z3420">SUM(IF(ISERROR(Z3421:Z3471),"",Z3421:Z3471))</f>
        <v>-51.98447116</v>
      </c>
      <c r="AA3420" s="177">
        <f t="array" ref="AA3420">SUM(IF(ISERROR(AA3421:AA3471),"",AA3421:AA3471))</f>
        <v>-54.84296712</v>
      </c>
      <c r="AB3420" s="177">
        <f t="array" ref="AB3420">SUM(IF(ISERROR(AB3421:AB3471),"",AB3421:AB3471))</f>
        <v>-58.08200984</v>
      </c>
      <c r="AC3420" s="177">
        <f t="array" ref="AC3420">SUM(IF(ISERROR(AC3421:AC3471),"",AC3421:AC3471))</f>
        <v>-61.36038338</v>
      </c>
      <c r="AD3420" s="177">
        <f t="array" ref="AD3420">SUM(IF(ISERROR(AD3421:AD3471),"",AD3421:AD3471))</f>
        <v>-64.21496516</v>
      </c>
      <c r="AE3420" s="177">
        <f t="array" ref="AE3420">SUM(IF(ISERROR(AE3421:AE3471),"",AE3421:AE3471))</f>
        <v>-66.58289123</v>
      </c>
      <c r="AF3420" s="177">
        <f t="array" ref="AF3420">SUM(IF(ISERROR(AF3421:AF3471),"",AF3421:AF3471))</f>
        <v>-68.82372159</v>
      </c>
      <c r="AG3420" s="177">
        <f t="array" ref="AG3420">SUM(IF(ISERROR(AG3421:AG3471),"",AG3421:AG3471))</f>
        <v>-70.96084595</v>
      </c>
      <c r="AH3420" s="177">
        <f t="array" ref="AH3420">SUM(IF(ISERROR(AH3421:AH3471),"",AH3421:AH3471))</f>
        <v>-73.08450527</v>
      </c>
      <c r="AI3420" s="177">
        <f t="array" ref="AI3420">SUM(IF(ISERROR(AI3421:AI3471),"",AI3421:AI3471))</f>
        <v>-75.1046446</v>
      </c>
      <c r="AJ3420" s="177">
        <f t="array" ref="AJ3420">SUM(IF(ISERROR(AJ3421:AJ3471),"",AJ3421:AJ3471))</f>
        <v>-77.11781738</v>
      </c>
      <c r="AK3420" s="177">
        <f t="array" ref="AK3420">SUM(IF(ISERROR(AK3421:AK3471),"",AK3421:AK3471))</f>
        <v>-78.96872642</v>
      </c>
      <c r="AL3420" s="177">
        <f t="array" ref="AL3420">SUM(IF(ISERROR(AL3421:AL3471),"",AL3421:AL3471))</f>
        <v>-80.7281534</v>
      </c>
      <c r="AM3420" s="177">
        <f t="array" ref="AM3420">SUM(IF(ISERROR(AM3421:AM3471),"",AM3421:AM3471))</f>
        <v>-82.43379754</v>
      </c>
      <c r="AN3420" s="177">
        <f t="array" ref="AN3420">SUM(IF(ISERROR(AN3421:AN3471),"",AN3421:AN3471))</f>
        <v>-83.89847726</v>
      </c>
      <c r="AO3420" s="177">
        <f t="array" ref="AO3420">SUM(IF(ISERROR(AO3421:AO3471),"",AO3421:AO3471))</f>
        <v>-85.33641843</v>
      </c>
      <c r="AP3420" s="177">
        <f t="array" ref="AP3420">SUM(IF(ISERROR(AP3421:AP3471),"",AP3421:AP3471))</f>
        <v>-86.72836486</v>
      </c>
      <c r="AQ3420" s="177">
        <f t="array" ref="AQ3420">SUM(IF(ISERROR(AQ3421:AQ3471),"",AQ3421:AQ3471))</f>
        <v>-88.16466544</v>
      </c>
      <c r="AR3420" s="177">
        <f t="array" ref="AR3420">SUM(IF(ISERROR(AR3421:AR3471),"",AR3421:AR3471))</f>
        <v>-89.61590242</v>
      </c>
      <c r="AS3420" s="177">
        <f t="array" ref="AS3420">SUM(IF(ISERROR(AS3421:AS3471),"",AS3421:AS3471))</f>
        <v>-91.15551353</v>
      </c>
      <c r="AT3420" s="177">
        <f t="array" ref="AT3420">SUM(IF(ISERROR(AT3421:AT3471),"",AT3421:AT3471))</f>
        <v>-92.65782368</v>
      </c>
      <c r="AU3420" s="177">
        <f t="array" ref="AU3420">SUM(IF(ISERROR(AU3421:AU3471),"",AU3421:AU3471))</f>
        <v>-94.17862871</v>
      </c>
      <c r="AV3420" s="177">
        <f t="array" ref="AV3420">SUM(IF(ISERROR(AV3421:AV3471),"",AV3421:AV3471))</f>
        <v>-95.67992883</v>
      </c>
      <c r="AW3420" s="177">
        <f t="array" ref="AW3420">SUM(IF(ISERROR(AW3421:AW3471),"",AW3421:AW3471))</f>
        <v>-97.17519519</v>
      </c>
      <c r="AX3420" s="177">
        <f t="array" ref="AX3420">SUM(IF(ISERROR(AX3421:AX3471),"",AX3421:AX3471))</f>
        <v>-98.69160471</v>
      </c>
      <c r="AY3420" s="177">
        <f t="array" ref="AY3420">SUM(IF(ISERROR(AY3421:AY3471),"",AY3421:AY3471))</f>
        <v>-100.2169932</v>
      </c>
      <c r="AZ3420" s="177">
        <f t="array" ref="AZ3420">SUM(IF(ISERROR(AZ3421:AZ3471),"",AZ3421:AZ3471))</f>
        <v>-101.683956</v>
      </c>
      <c r="BA3420" s="177">
        <f t="array" ref="BA3420">SUM(IF(ISERROR(BA3421:BA3471),"",BA3421:BA3471))</f>
        <v>-103.1379828</v>
      </c>
      <c r="BB3420" s="177">
        <f t="array" ref="BB3420">SUM(IF(ISERROR(BB3421:BB3471),"",BB3421:BB3471))</f>
        <v>-86.65821712</v>
      </c>
      <c r="BC3420" s="177">
        <f t="array" ref="BC3420">SUM(IF(ISERROR(BC3421:BC3471),"",BC3421:BC3471))</f>
        <v>-71.19955961</v>
      </c>
      <c r="BD3420" s="177">
        <f t="array" ref="BD3420">SUM(IF(ISERROR(BD3421:BD3471),"",BD3421:BD3471))</f>
        <v>-56.88636368</v>
      </c>
      <c r="BE3420" s="177">
        <f t="array" ref="BE3420">SUM(IF(ISERROR(BE3421:BE3471),"",BE3421:BE3471))</f>
        <v>-43.83530338</v>
      </c>
      <c r="BF3420" s="177">
        <f t="array" ref="BF3420">SUM(IF(ISERROR(BF3421:BF3471),"",BF3421:BF3471))</f>
        <v>-32.17761932</v>
      </c>
      <c r="BG3420" s="177">
        <f t="array" ref="BG3420">SUM(IF(ISERROR(BG3421:BG3471),"",BG3421:BG3471))</f>
        <v>-22.04968578</v>
      </c>
      <c r="BH3420" s="177">
        <f t="array" ref="BH3420">SUM(IF(ISERROR(BH3421:BH3471),"",BH3421:BH3471))</f>
        <v>-13.59966245</v>
      </c>
      <c r="BI3420" s="177">
        <f t="array" ref="BI3420">SUM(IF(ISERROR(BI3421:BI3471),"",BI3421:BI3471))</f>
        <v>-6.989889866</v>
      </c>
      <c r="BJ3420" s="177">
        <f t="array" ref="BJ3420">SUM(IF(ISERROR(BJ3421:BJ3471),"",BJ3421:BJ3471))</f>
        <v>-2.396682159</v>
      </c>
      <c r="BK3420" s="177">
        <f t="array" ref="BK3420">SUM(IF(ISERROR(BK3421:BK3471),"",BK3421:BK3471))</f>
        <v>0</v>
      </c>
      <c r="BL3420" s="177">
        <f t="array" ref="BL3420">SUM(IF(ISERROR(BL3421:BL3471),"",BL3421:BL3471))</f>
        <v>0</v>
      </c>
      <c r="BM3420" s="177">
        <f t="array" ref="BM3420">SUM(IF(ISERROR(BM3421:BM3471),"",BM3421:BM3471))</f>
        <v>0</v>
      </c>
      <c r="BN3420" s="177">
        <f t="array" ref="BN3420">SUM(IF(ISERROR(BN3421:BN3471),"",BN3421:BN3471))</f>
        <v>0</v>
      </c>
      <c r="BO3420" s="177">
        <f t="array" ref="BO3420">SUM(IF(ISERROR(BO3421:BO3471),"",BO3421:BO3471))</f>
        <v>0</v>
      </c>
      <c r="BP3420" s="177">
        <f t="array" ref="BP3420">SUM(IF(ISERROR(BP3421:BP3471),"",BP3421:BP3471))</f>
        <v>0</v>
      </c>
      <c r="BQ3420" s="177">
        <f t="array" ref="BQ3420">SUM(IF(ISERROR(BQ3421:BQ3471),"",BQ3421:BQ3471))</f>
        <v>0</v>
      </c>
      <c r="BR3420" s="177">
        <f t="array" ref="BR3420">SUM(IF(ISERROR(BR3421:BR3471),"",BR3421:BR3471))</f>
        <v>0</v>
      </c>
      <c r="BS3420" s="177">
        <f t="array" ref="BS3420">SUM(IF(ISERROR(BS3421:BS3471),"",BS3421:BS3471))</f>
        <v>0</v>
      </c>
      <c r="BT3420" s="177">
        <f t="array" ref="BT3420">SUM(IF(ISERROR(BT3421:BT3471),"",BT3421:BT3471))</f>
        <v>0</v>
      </c>
      <c r="BU3420" s="177">
        <f t="array" ref="BU3420">SUM(IF(ISERROR(BU3421:BU3471),"",BU3421:BU3471))</f>
        <v>0</v>
      </c>
      <c r="BV3420" s="177">
        <f t="array" ref="BV3420">SUM(IF(ISERROR(BV3421:BV3471),"",BV3421:BV3471))</f>
        <v>0</v>
      </c>
      <c r="BW3420" s="177">
        <f t="array" ref="BW3420">SUM(IF(ISERROR(BW3421:BW3471),"",BW3421:BW3471))</f>
        <v>0</v>
      </c>
      <c r="BX3420" s="177">
        <f t="array" ref="BX3420">SUM(IF(ISERROR(BX3421:BX3471),"",BX3421:BX3471))</f>
        <v>0</v>
      </c>
      <c r="BY3420" s="177">
        <f t="array" ref="BY3420">SUM(IF(ISERROR(BY3421:BY3471),"",BY3421:BY3471))</f>
        <v>0</v>
      </c>
    </row>
    <row r="3421" ht="15.75" hidden="1" customHeight="1" outlineLevel="1">
      <c r="A3421" s="389"/>
      <c r="B3421" s="24"/>
      <c r="C3421" s="188">
        <f>IPMT('Assumptions (O&amp;G Upstream)'!$B$344,Model!W$1,'Assumptions (O&amp;G Upstream)'!$B$347,Model!$C$3366)</f>
        <v>-1.3995</v>
      </c>
      <c r="D3421" s="188">
        <f>IPMT('Assumptions (O&amp;G Upstream)'!$B$344,Model!X$1,'Assumptions (O&amp;G Upstream)'!$B$347,Model!$C$3366)</f>
        <v>-1.300575045</v>
      </c>
      <c r="E3421" s="188">
        <f>IPMT('Assumptions (O&amp;G Upstream)'!$B$344,Model!Y$1,'Assumptions (O&amp;G Upstream)'!$B$347,Model!$C$3366)</f>
        <v>-1.194230717</v>
      </c>
      <c r="F3421" s="188">
        <f>IPMT('Assumptions (O&amp;G Upstream)'!$B$344,Model!Z$1,'Assumptions (O&amp;G Upstream)'!$B$347,Model!$C$3366)</f>
        <v>-1.079910566</v>
      </c>
      <c r="G3421" s="188">
        <f>IPMT('Assumptions (O&amp;G Upstream)'!$B$344,Model!AA$1,'Assumptions (O&amp;G Upstream)'!$B$347,Model!$C$3366)</f>
        <v>-0.9570164029</v>
      </c>
      <c r="H3421" s="188">
        <f>IPMT('Assumptions (O&amp;G Upstream)'!$B$344,Model!AB$1,'Assumptions (O&amp;G Upstream)'!$B$347,Model!$C$3366)</f>
        <v>-0.8249051776</v>
      </c>
      <c r="I3421" s="188">
        <f>IPMT('Assumptions (O&amp;G Upstream)'!$B$344,Model!AC$1,'Assumptions (O&amp;G Upstream)'!$B$347,Model!$C$3366)</f>
        <v>-0.6828856105</v>
      </c>
      <c r="J3421" s="188">
        <f>IPMT('Assumptions (O&amp;G Upstream)'!$B$344,Model!AD$1,'Assumptions (O&amp;G Upstream)'!$B$347,Model!$C$3366)</f>
        <v>-0.5302145759</v>
      </c>
      <c r="K3421" s="188">
        <f>IPMT('Assumptions (O&amp;G Upstream)'!$B$344,Model!AE$1,'Assumptions (O&amp;G Upstream)'!$B$347,Model!$C$3366)</f>
        <v>-0.3660932136</v>
      </c>
      <c r="L3421" s="188">
        <f>IPMT('Assumptions (O&amp;G Upstream)'!$B$344,Model!AF$1,'Assumptions (O&amp;G Upstream)'!$B$347,Model!$C$3366)</f>
        <v>-0.1896627492</v>
      </c>
      <c r="M3421" s="188"/>
      <c r="N3421" s="188"/>
      <c r="O3421" s="188"/>
      <c r="P3421" s="188"/>
      <c r="Q3421" s="188"/>
      <c r="R3421" s="188"/>
      <c r="S3421" s="188"/>
      <c r="T3421" s="188"/>
      <c r="U3421" s="188"/>
      <c r="V3421" s="188"/>
      <c r="W3421" s="188"/>
      <c r="X3421" s="188"/>
      <c r="Y3421" s="188"/>
      <c r="Z3421" s="188"/>
      <c r="AA3421" s="188"/>
      <c r="AB3421" s="188"/>
    </row>
    <row r="3422" ht="15.75" hidden="1" customHeight="1" outlineLevel="1">
      <c r="A3422" s="389"/>
      <c r="B3422" s="24"/>
      <c r="C3422" s="188"/>
      <c r="D3422" s="188">
        <f>IPMT('Assumptions (O&amp;G Upstream)'!$B$344,Model!W$1,'Assumptions (O&amp;G Upstream)'!$B$347,Model!$D$3366)</f>
        <v>-1.8765</v>
      </c>
      <c r="E3422" s="188">
        <f>IPMT('Assumptions (O&amp;G Upstream)'!$B$344,Model!X$1,'Assumptions (O&amp;G Upstream)'!$B$347,Model!$D$3366)</f>
        <v>-1.743857857</v>
      </c>
      <c r="F3422" s="188">
        <f>IPMT('Assumptions (O&amp;G Upstream)'!$B$344,Model!Y$1,'Assumptions (O&amp;G Upstream)'!$B$347,Model!$D$3366)</f>
        <v>-1.601267554</v>
      </c>
      <c r="G3422" s="188">
        <f>IPMT('Assumptions (O&amp;G Upstream)'!$B$344,Model!Z$1,'Assumptions (O&amp;G Upstream)'!$B$347,Model!$D$3366)</f>
        <v>-1.447982977</v>
      </c>
      <c r="H3422" s="188">
        <f>IPMT('Assumptions (O&amp;G Upstream)'!$B$344,Model!AA$1,'Assumptions (O&amp;G Upstream)'!$B$347,Model!$D$3366)</f>
        <v>-1.283202058</v>
      </c>
      <c r="I3422" s="188">
        <f>IPMT('Assumptions (O&amp;G Upstream)'!$B$344,Model!AB$1,'Assumptions (O&amp;G Upstream)'!$B$347,Model!$D$3366)</f>
        <v>-1.106062569</v>
      </c>
      <c r="J3422" s="188">
        <f>IPMT('Assumptions (O&amp;G Upstream)'!$B$344,Model!AC$1,'Assumptions (O&amp;G Upstream)'!$B$347,Model!$D$3366)</f>
        <v>-0.9156376193</v>
      </c>
      <c r="K3422" s="188">
        <f>IPMT('Assumptions (O&amp;G Upstream)'!$B$344,Model!AD$1,'Assumptions (O&amp;G Upstream)'!$B$347,Model!$D$3366)</f>
        <v>-0.7109307979</v>
      </c>
      <c r="L3422" s="188">
        <f>IPMT('Assumptions (O&amp;G Upstream)'!$B$344,Model!AE$1,'Assumptions (O&amp;G Upstream)'!$B$347,Model!$D$3366)</f>
        <v>-0.4908709649</v>
      </c>
      <c r="M3422" s="188">
        <f>IPMT('Assumptions (O&amp;G Upstream)'!$B$344,Model!AF$1,'Assumptions (O&amp;G Upstream)'!$B$347,Model!$D$3366)</f>
        <v>-0.2543066445</v>
      </c>
      <c r="N3422" s="188"/>
      <c r="O3422" s="188"/>
      <c r="P3422" s="188"/>
      <c r="Q3422" s="188"/>
      <c r="R3422" s="188"/>
      <c r="S3422" s="188"/>
      <c r="T3422" s="188"/>
      <c r="U3422" s="188"/>
      <c r="V3422" s="188"/>
      <c r="W3422" s="188"/>
      <c r="X3422" s="188"/>
      <c r="Y3422" s="188"/>
      <c r="Z3422" s="188"/>
      <c r="AA3422" s="188"/>
      <c r="AB3422" s="188"/>
    </row>
    <row r="3423" ht="15.75" hidden="1" customHeight="1" outlineLevel="1">
      <c r="A3423" s="389"/>
      <c r="B3423" s="24"/>
      <c r="C3423" s="188"/>
      <c r="D3423" s="188"/>
      <c r="E3423" s="188">
        <f>IPMT('Assumptions (O&amp;G Upstream)'!$B$344,Model!W$1,'Assumptions (O&amp;G Upstream)'!$B$347,Model!$E$3366)</f>
        <v>-1.521</v>
      </c>
      <c r="F3423" s="188">
        <f>IPMT('Assumptions (O&amp;G Upstream)'!$B$344,Model!X$1,'Assumptions (O&amp;G Upstream)'!$B$347,Model!$E$3366)</f>
        <v>-1.413486704</v>
      </c>
      <c r="G3423" s="188">
        <f>IPMT('Assumptions (O&amp;G Upstream)'!$B$344,Model!Y$1,'Assumptions (O&amp;G Upstream)'!$B$347,Model!$E$3366)</f>
        <v>-1.297909912</v>
      </c>
      <c r="H3423" s="188">
        <f>IPMT('Assumptions (O&amp;G Upstream)'!$B$344,Model!Z$1,'Assumptions (O&amp;G Upstream)'!$B$347,Model!$E$3366)</f>
        <v>-1.173664859</v>
      </c>
      <c r="I3423" s="188">
        <f>IPMT('Assumptions (O&amp;G Upstream)'!$B$344,Model!AA$1,'Assumptions (O&amp;G Upstream)'!$B$347,Model!$E$3366)</f>
        <v>-1.040101428</v>
      </c>
      <c r="J3423" s="188">
        <f>IPMT('Assumptions (O&amp;G Upstream)'!$B$344,Model!AB$1,'Assumptions (O&amp;G Upstream)'!$B$347,Model!$E$3366)</f>
        <v>-0.8965207397</v>
      </c>
      <c r="K3423" s="188">
        <f>IPMT('Assumptions (O&amp;G Upstream)'!$B$344,Model!AC$1,'Assumptions (O&amp;G Upstream)'!$B$347,Model!$E$3366)</f>
        <v>-0.7421714996</v>
      </c>
      <c r="L3423" s="188">
        <f>IPMT('Assumptions (O&amp;G Upstream)'!$B$344,Model!AD$1,'Assumptions (O&amp;G Upstream)'!$B$347,Model!$E$3366)</f>
        <v>-0.5762460664</v>
      </c>
      <c r="M3423" s="188">
        <f>IPMT('Assumptions (O&amp;G Upstream)'!$B$344,Model!AE$1,'Assumptions (O&amp;G Upstream)'!$B$347,Model!$E$3366)</f>
        <v>-0.3978762258</v>
      </c>
      <c r="N3423" s="188">
        <f>IPMT('Assumptions (O&amp;G Upstream)'!$B$344,Model!AF$1,'Assumptions (O&amp;G Upstream)'!$B$347,Model!$E$3366)</f>
        <v>-0.2061286471</v>
      </c>
      <c r="O3423" s="188"/>
      <c r="P3423" s="188"/>
      <c r="Q3423" s="188"/>
      <c r="R3423" s="188"/>
      <c r="S3423" s="188"/>
      <c r="T3423" s="188"/>
      <c r="U3423" s="188"/>
      <c r="V3423" s="188"/>
      <c r="W3423" s="188"/>
      <c r="X3423" s="188"/>
      <c r="Y3423" s="188"/>
      <c r="Z3423" s="188"/>
      <c r="AA3423" s="188"/>
      <c r="AB3423" s="188"/>
      <c r="AC3423" s="188"/>
    </row>
    <row r="3424" ht="15.75" hidden="1" customHeight="1" outlineLevel="1">
      <c r="A3424" s="389"/>
      <c r="B3424" s="24"/>
      <c r="C3424" s="188"/>
      <c r="D3424" s="188"/>
      <c r="E3424" s="188"/>
      <c r="F3424" s="188">
        <f>IPMT('Assumptions (O&amp;G Upstream)'!$B$344,Model!W$1,'Assumptions (O&amp;G Upstream)'!$B$347,Model!$F$3366)</f>
        <v>-2.0115</v>
      </c>
      <c r="G3424" s="188">
        <f>IPMT('Assumptions (O&amp;G Upstream)'!$B$344,Model!X$1,'Assumptions (O&amp;G Upstream)'!$B$347,Model!$F$3366)</f>
        <v>-1.869315257</v>
      </c>
      <c r="H3424" s="188">
        <f>IPMT('Assumptions (O&amp;G Upstream)'!$B$344,Model!Y$1,'Assumptions (O&amp;G Upstream)'!$B$347,Model!$F$3366)</f>
        <v>-1.716466658</v>
      </c>
      <c r="I3424" s="188">
        <f>IPMT('Assumptions (O&amp;G Upstream)'!$B$344,Model!Z$1,'Assumptions (O&amp;G Upstream)'!$B$347,Model!$F$3366)</f>
        <v>-1.552154415</v>
      </c>
      <c r="J3424" s="188">
        <f>IPMT('Assumptions (O&amp;G Upstream)'!$B$344,Model!AA$1,'Assumptions (O&amp;G Upstream)'!$B$347,Model!$F$3366)</f>
        <v>-1.375518753</v>
      </c>
      <c r="K3424" s="188">
        <f>IPMT('Assumptions (O&amp;G Upstream)'!$B$344,Model!AB$1,'Assumptions (O&amp;G Upstream)'!$B$347,Model!$F$3366)</f>
        <v>-1.185635416</v>
      </c>
      <c r="L3424" s="188">
        <f>IPMT('Assumptions (O&amp;G Upstream)'!$B$344,Model!AC$1,'Assumptions (O&amp;G Upstream)'!$B$347,Model!$F$3366)</f>
        <v>-0.9815108293</v>
      </c>
      <c r="M3424" s="188">
        <f>IPMT('Assumptions (O&amp;G Upstream)'!$B$344,Model!AD$1,'Assumptions (O&amp;G Upstream)'!$B$347,Model!$F$3366)</f>
        <v>-0.7620768985</v>
      </c>
      <c r="N3424" s="188">
        <f>IPMT('Assumptions (O&amp;G Upstream)'!$B$344,Model!AE$1,'Assumptions (O&amp;G Upstream)'!$B$347,Model!$F$3366)</f>
        <v>-0.5261854228</v>
      </c>
      <c r="O3424" s="188">
        <f>IPMT('Assumptions (O&amp;G Upstream)'!$B$344,Model!AF$1,'Assumptions (O&amp;G Upstream)'!$B$347,Model!$F$3366)</f>
        <v>-0.2726020865</v>
      </c>
      <c r="P3424" s="188"/>
      <c r="Q3424" s="188"/>
      <c r="R3424" s="188"/>
      <c r="S3424" s="188"/>
      <c r="T3424" s="188"/>
      <c r="U3424" s="188"/>
      <c r="V3424" s="188"/>
      <c r="W3424" s="188"/>
      <c r="X3424" s="188"/>
      <c r="Y3424" s="188"/>
      <c r="Z3424" s="188"/>
      <c r="AA3424" s="188"/>
      <c r="AB3424" s="188"/>
      <c r="AC3424" s="188"/>
      <c r="AD3424" s="188"/>
    </row>
    <row r="3425" ht="15.75" hidden="1" customHeight="1" outlineLevel="1">
      <c r="A3425" s="389"/>
      <c r="B3425" s="24"/>
      <c r="C3425" s="188"/>
      <c r="D3425" s="188"/>
      <c r="E3425" s="188"/>
      <c r="F3425" s="188"/>
      <c r="G3425" s="188">
        <f>IPMT('Assumptions (O&amp;G Upstream)'!$B$344,Model!W$1,'Assumptions (O&amp;G Upstream)'!$B$347,Model!$G$3366)</f>
        <v>-2.3265</v>
      </c>
      <c r="H3425" s="188">
        <f>IPMT('Assumptions (O&amp;G Upstream)'!$B$344,Model!X$1,'Assumptions (O&amp;G Upstream)'!$B$347,Model!$G$3366)</f>
        <v>-2.16204919</v>
      </c>
      <c r="I3425" s="188">
        <f>IPMT('Assumptions (O&amp;G Upstream)'!$B$344,Model!Y$1,'Assumptions (O&amp;G Upstream)'!$B$347,Model!$G$3366)</f>
        <v>-1.985264569</v>
      </c>
      <c r="J3425" s="188">
        <f>IPMT('Assumptions (O&amp;G Upstream)'!$B$344,Model!Z$1,'Assumptions (O&amp;G Upstream)'!$B$347,Model!$G$3366)</f>
        <v>-1.795221101</v>
      </c>
      <c r="K3425" s="188">
        <f>IPMT('Assumptions (O&amp;G Upstream)'!$B$344,Model!AA$1,'Assumptions (O&amp;G Upstream)'!$B$347,Model!$G$3366)</f>
        <v>-1.590924374</v>
      </c>
      <c r="L3425" s="188">
        <f>IPMT('Assumptions (O&amp;G Upstream)'!$B$344,Model!AB$1,'Assumptions (O&amp;G Upstream)'!$B$347,Model!$G$3366)</f>
        <v>-1.371305392</v>
      </c>
      <c r="M3425" s="188">
        <f>IPMT('Assumptions (O&amp;G Upstream)'!$B$344,Model!AC$1,'Assumptions (O&amp;G Upstream)'!$B$347,Model!$G$3366)</f>
        <v>-1.135214986</v>
      </c>
      <c r="N3425" s="188">
        <f>IPMT('Assumptions (O&amp;G Upstream)'!$B$344,Model!AD$1,'Assumptions (O&amp;G Upstream)'!$B$347,Model!$G$3366)</f>
        <v>-0.8814177998</v>
      </c>
      <c r="O3425" s="188">
        <f>IPMT('Assumptions (O&amp;G Upstream)'!$B$344,Model!AE$1,'Assumptions (O&amp;G Upstream)'!$B$347,Model!$G$3366)</f>
        <v>-0.6085858246</v>
      </c>
      <c r="P3425" s="188">
        <f>IPMT('Assumptions (O&amp;G Upstream)'!$B$344,Model!AF$1,'Assumptions (O&amp;G Upstream)'!$B$347,Model!$G$3366)</f>
        <v>-0.3152914513</v>
      </c>
      <c r="Q3425" s="188"/>
      <c r="R3425" s="188"/>
      <c r="S3425" s="188"/>
      <c r="T3425" s="188"/>
      <c r="U3425" s="188"/>
      <c r="V3425" s="188"/>
      <c r="W3425" s="188"/>
      <c r="X3425" s="188"/>
      <c r="Y3425" s="188"/>
      <c r="Z3425" s="188"/>
      <c r="AA3425" s="188"/>
      <c r="AB3425" s="188"/>
      <c r="AC3425" s="188"/>
      <c r="AD3425" s="188"/>
      <c r="AE3425" s="188"/>
    </row>
    <row r="3426" ht="15.75" hidden="1" customHeight="1" outlineLevel="1">
      <c r="A3426" s="389"/>
      <c r="B3426" s="24"/>
      <c r="C3426" s="188"/>
      <c r="D3426" s="188"/>
      <c r="E3426" s="188"/>
      <c r="F3426" s="188"/>
      <c r="G3426" s="188"/>
      <c r="H3426" s="188">
        <f>IPMT('Assumptions (O&amp;G Upstream)'!$B$344,Model!W$1,'Assumptions (O&amp;G Upstream)'!$B$347,Model!$H$3366)</f>
        <v>-3.2265</v>
      </c>
      <c r="I3426" s="188">
        <f>IPMT('Assumptions (O&amp;G Upstream)'!$B$344,Model!X$1,'Assumptions (O&amp;G Upstream)'!$B$347,Model!$H$3366)</f>
        <v>-2.998431855</v>
      </c>
      <c r="J3426" s="188">
        <f>IPMT('Assumptions (O&amp;G Upstream)'!$B$344,Model!Y$1,'Assumptions (O&amp;G Upstream)'!$B$347,Model!$H$3366)</f>
        <v>-2.753258599</v>
      </c>
      <c r="K3426" s="188">
        <f>IPMT('Assumptions (O&amp;G Upstream)'!$B$344,Model!Z$1,'Assumptions (O&amp;G Upstream)'!$B$347,Model!$H$3366)</f>
        <v>-2.48969735</v>
      </c>
      <c r="L3426" s="188">
        <f>IPMT('Assumptions (O&amp;G Upstream)'!$B$344,Model!AA$1,'Assumptions (O&amp;G Upstream)'!$B$347,Model!$H$3366)</f>
        <v>-2.206369006</v>
      </c>
      <c r="M3426" s="188">
        <f>IPMT('Assumptions (O&amp;G Upstream)'!$B$344,Model!AB$1,'Assumptions (O&amp;G Upstream)'!$B$347,Model!$H$3366)</f>
        <v>-1.901791037</v>
      </c>
      <c r="N3426" s="188">
        <f>IPMT('Assumptions (O&amp;G Upstream)'!$B$344,Model!AC$1,'Assumptions (O&amp;G Upstream)'!$B$347,Model!$H$3366)</f>
        <v>-1.574369719</v>
      </c>
      <c r="O3426" s="188">
        <f>IPMT('Assumptions (O&amp;G Upstream)'!$B$344,Model!AD$1,'Assumptions (O&amp;G Upstream)'!$B$347,Model!$H$3366)</f>
        <v>-1.222391804</v>
      </c>
      <c r="P3426" s="188">
        <f>IPMT('Assumptions (O&amp;G Upstream)'!$B$344,Model!AE$1,'Assumptions (O&amp;G Upstream)'!$B$347,Model!$H$3366)</f>
        <v>-0.844015544</v>
      </c>
      <c r="Q3426" s="188">
        <f>IPMT('Assumptions (O&amp;G Upstream)'!$B$344,Model!AF$1,'Assumptions (O&amp;G Upstream)'!$B$347,Model!$H$3366)</f>
        <v>-0.437261065</v>
      </c>
      <c r="R3426" s="188"/>
      <c r="S3426" s="188"/>
      <c r="T3426" s="188"/>
      <c r="U3426" s="188"/>
      <c r="V3426" s="188"/>
      <c r="W3426" s="188"/>
      <c r="X3426" s="188"/>
      <c r="Y3426" s="188"/>
      <c r="Z3426" s="188"/>
      <c r="AA3426" s="188"/>
      <c r="AB3426" s="188"/>
      <c r="AC3426" s="188"/>
      <c r="AD3426" s="188"/>
      <c r="AE3426" s="188"/>
      <c r="AF3426" s="188"/>
    </row>
    <row r="3427" ht="15.75" hidden="1" customHeight="1" outlineLevel="1">
      <c r="A3427" s="389"/>
      <c r="B3427" s="24"/>
      <c r="C3427" s="188"/>
      <c r="D3427" s="188"/>
      <c r="E3427" s="188"/>
      <c r="F3427" s="188"/>
      <c r="G3427" s="188"/>
      <c r="H3427" s="188"/>
      <c r="I3427" s="188">
        <f>IPMT('Assumptions (O&amp;G Upstream)'!$B$344,Model!W$1,'Assumptions (O&amp;G Upstream)'!$B$347,Model!$I$3366)</f>
        <v>-4.446</v>
      </c>
      <c r="J3427" s="188">
        <f>IPMT('Assumptions (O&amp;G Upstream)'!$B$344,Model!X$1,'Assumptions (O&amp;G Upstream)'!$B$347,Model!$I$3366)</f>
        <v>-4.131730367</v>
      </c>
      <c r="K3427" s="188">
        <f>IPMT('Assumptions (O&amp;G Upstream)'!$B$344,Model!Y$1,'Assumptions (O&amp;G Upstream)'!$B$347,Model!$I$3366)</f>
        <v>-3.793890511</v>
      </c>
      <c r="L3427" s="188">
        <f>IPMT('Assumptions (O&amp;G Upstream)'!$B$344,Model!Z$1,'Assumptions (O&amp;G Upstream)'!$B$347,Model!$I$3366)</f>
        <v>-3.430712666</v>
      </c>
      <c r="M3427" s="188">
        <f>IPMT('Assumptions (O&amp;G Upstream)'!$B$344,Model!AA$1,'Assumptions (O&amp;G Upstream)'!$B$347,Model!$I$3366)</f>
        <v>-3.040296482</v>
      </c>
      <c r="N3427" s="188">
        <f>IPMT('Assumptions (O&amp;G Upstream)'!$B$344,Model!AB$1,'Assumptions (O&amp;G Upstream)'!$B$347,Model!$I$3366)</f>
        <v>-2.620599085</v>
      </c>
      <c r="O3427" s="188">
        <f>IPMT('Assumptions (O&amp;G Upstream)'!$B$344,Model!AC$1,'Assumptions (O&amp;G Upstream)'!$B$347,Model!$I$3366)</f>
        <v>-2.169424383</v>
      </c>
      <c r="P3427" s="188">
        <f>IPMT('Assumptions (O&amp;G Upstream)'!$B$344,Model!AD$1,'Assumptions (O&amp;G Upstream)'!$B$347,Model!$I$3366)</f>
        <v>-1.684411579</v>
      </c>
      <c r="Q3427" s="188">
        <f>IPMT('Assumptions (O&amp;G Upstream)'!$B$344,Model!AE$1,'Assumptions (O&amp;G Upstream)'!$B$347,Model!$I$3366)</f>
        <v>-1.163022814</v>
      </c>
      <c r="R3427" s="188">
        <f>IPMT('Assumptions (O&amp;G Upstream)'!$B$344,Model!AF$1,'Assumptions (O&amp;G Upstream)'!$B$347,Model!$I$3366)</f>
        <v>-0.6025298915</v>
      </c>
      <c r="S3427" s="188"/>
      <c r="T3427" s="188"/>
      <c r="U3427" s="188"/>
      <c r="V3427" s="188"/>
      <c r="W3427" s="188"/>
      <c r="X3427" s="188"/>
      <c r="Y3427" s="188"/>
      <c r="Z3427" s="188"/>
      <c r="AA3427" s="188"/>
      <c r="AB3427" s="188"/>
      <c r="AC3427" s="188"/>
      <c r="AD3427" s="188"/>
      <c r="AE3427" s="188"/>
      <c r="AF3427" s="188"/>
      <c r="AG3427" s="188"/>
    </row>
    <row r="3428" ht="15.75" hidden="1" customHeight="1" outlineLevel="1">
      <c r="A3428" s="389"/>
      <c r="B3428" s="24"/>
      <c r="C3428" s="188"/>
      <c r="D3428" s="188"/>
      <c r="E3428" s="188"/>
      <c r="F3428" s="188"/>
      <c r="G3428" s="188"/>
      <c r="H3428" s="188"/>
      <c r="I3428" s="188"/>
      <c r="J3428" s="188">
        <f>IPMT('Assumptions (O&amp;G Upstream)'!$B$344,Model!W$1,'Assumptions (O&amp;G Upstream)'!$B$347,Model!$J$3366)</f>
        <v>-4.8645</v>
      </c>
      <c r="K3428" s="188">
        <f>IPMT('Assumptions (O&amp;G Upstream)'!$B$344,Model!X$1,'Assumptions (O&amp;G Upstream)'!$B$347,Model!$J$3366)</f>
        <v>-4.520648306</v>
      </c>
      <c r="L3428" s="188">
        <f>IPMT('Assumptions (O&amp;G Upstream)'!$B$344,Model!Y$1,'Assumptions (O&amp;G Upstream)'!$B$347,Model!$J$3366)</f>
        <v>-4.151007735</v>
      </c>
      <c r="M3428" s="188">
        <f>IPMT('Assumptions (O&amp;G Upstream)'!$B$344,Model!Z$1,'Assumptions (O&amp;G Upstream)'!$B$347,Model!$J$3366)</f>
        <v>-3.753644121</v>
      </c>
      <c r="N3428" s="188">
        <f>IPMT('Assumptions (O&amp;G Upstream)'!$B$344,Model!AA$1,'Assumptions (O&amp;G Upstream)'!$B$347,Model!$J$3366)</f>
        <v>-3.326478236</v>
      </c>
      <c r="O3428" s="188">
        <f>IPMT('Assumptions (O&amp;G Upstream)'!$B$344,Model!AB$1,'Assumptions (O&amp;G Upstream)'!$B$347,Model!$J$3366)</f>
        <v>-2.86727491</v>
      </c>
      <c r="P3428" s="188">
        <f>IPMT('Assumptions (O&amp;G Upstream)'!$B$344,Model!AC$1,'Assumptions (O&amp;G Upstream)'!$B$347,Model!$J$3366)</f>
        <v>-2.373631334</v>
      </c>
      <c r="Q3428" s="188">
        <f>IPMT('Assumptions (O&amp;G Upstream)'!$B$344,Model!AD$1,'Assumptions (O&amp;G Upstream)'!$B$347,Model!$J$3366)</f>
        <v>-1.84296449</v>
      </c>
      <c r="R3428" s="188">
        <f>IPMT('Assumptions (O&amp;G Upstream)'!$B$344,Model!AE$1,'Assumptions (O&amp;G Upstream)'!$B$347,Model!$J$3366)</f>
        <v>-1.272497633</v>
      </c>
      <c r="S3428" s="188">
        <f>IPMT('Assumptions (O&amp;G Upstream)'!$B$344,Model!AF$1,'Assumptions (O&amp;G Upstream)'!$B$347,Model!$J$3366)</f>
        <v>-0.6592457618</v>
      </c>
      <c r="T3428" s="188"/>
      <c r="U3428" s="188"/>
      <c r="V3428" s="188"/>
      <c r="W3428" s="188"/>
      <c r="X3428" s="188"/>
      <c r="Y3428" s="188"/>
      <c r="Z3428" s="188"/>
      <c r="AA3428" s="188"/>
      <c r="AB3428" s="188"/>
      <c r="AC3428" s="188"/>
      <c r="AD3428" s="188"/>
      <c r="AE3428" s="188"/>
      <c r="AF3428" s="188"/>
      <c r="AG3428" s="188"/>
      <c r="AH3428" s="188"/>
    </row>
    <row r="3429" ht="15.75" hidden="1" customHeight="1" outlineLevel="1">
      <c r="A3429" s="389"/>
      <c r="B3429" s="24"/>
      <c r="C3429" s="188"/>
      <c r="D3429" s="188"/>
      <c r="E3429" s="188"/>
      <c r="F3429" s="188"/>
      <c r="G3429" s="188"/>
      <c r="H3429" s="188"/>
      <c r="I3429" s="188"/>
      <c r="J3429" s="188"/>
      <c r="K3429" s="188">
        <f>IPMT('Assumptions (O&amp;G Upstream)'!$B$344,Model!W$1,'Assumptions (O&amp;G Upstream)'!$B$347,Model!$K$3366)</f>
        <v>-5.6385</v>
      </c>
      <c r="L3429" s="188">
        <f>IPMT('Assumptions (O&amp;G Upstream)'!$B$344,Model!X$1,'Assumptions (O&amp;G Upstream)'!$B$347,Model!$K$3366)</f>
        <v>-5.239937398</v>
      </c>
      <c r="M3429" s="188">
        <f>IPMT('Assumptions (O&amp;G Upstream)'!$B$344,Model!Y$1,'Assumptions (O&amp;G Upstream)'!$B$347,Model!$K$3366)</f>
        <v>-4.811482601</v>
      </c>
      <c r="N3429" s="188">
        <f>IPMT('Assumptions (O&amp;G Upstream)'!$B$344,Model!Z$1,'Assumptions (O&amp;G Upstream)'!$B$347,Model!$K$3366)</f>
        <v>-4.350893695</v>
      </c>
      <c r="O3429" s="188">
        <f>IPMT('Assumptions (O&amp;G Upstream)'!$B$344,Model!AA$1,'Assumptions (O&amp;G Upstream)'!$B$347,Model!$K$3366)</f>
        <v>-3.85576062</v>
      </c>
      <c r="P3429" s="188">
        <f>IPMT('Assumptions (O&amp;G Upstream)'!$B$344,Model!AB$1,'Assumptions (O&amp;G Upstream)'!$B$347,Model!$K$3366)</f>
        <v>-3.323492565</v>
      </c>
      <c r="Q3429" s="188">
        <f>IPMT('Assumptions (O&amp;G Upstream)'!$B$344,Model!AC$1,'Assumptions (O&amp;G Upstream)'!$B$347,Model!$K$3366)</f>
        <v>-2.751304405</v>
      </c>
      <c r="R3429" s="188">
        <f>IPMT('Assumptions (O&amp;G Upstream)'!$B$344,Model!AD$1,'Assumptions (O&amp;G Upstream)'!$B$347,Model!$K$3366)</f>
        <v>-2.136202134</v>
      </c>
      <c r="S3429" s="188">
        <f>IPMT('Assumptions (O&amp;G Upstream)'!$B$344,Model!AE$1,'Assumptions (O&amp;G Upstream)'!$B$347,Model!$K$3366)</f>
        <v>-1.474967192</v>
      </c>
      <c r="T3429" s="188">
        <f>IPMT('Assumptions (O&amp;G Upstream)'!$B$344,Model!AF$1,'Assumptions (O&amp;G Upstream)'!$B$347,Model!$K$3366)</f>
        <v>-0.7641396296</v>
      </c>
      <c r="U3429" s="188"/>
      <c r="V3429" s="188"/>
      <c r="W3429" s="188"/>
      <c r="X3429" s="188"/>
      <c r="Y3429" s="188"/>
      <c r="Z3429" s="188"/>
      <c r="AA3429" s="188"/>
      <c r="AB3429" s="188"/>
      <c r="AC3429" s="188"/>
      <c r="AD3429" s="188"/>
      <c r="AE3429" s="188"/>
      <c r="AF3429" s="188"/>
      <c r="AG3429" s="188"/>
      <c r="AH3429" s="188"/>
      <c r="AI3429" s="188"/>
    </row>
    <row r="3430" ht="15.75" hidden="1" customHeight="1" outlineLevel="1">
      <c r="A3430" s="389"/>
      <c r="B3430" s="24"/>
      <c r="C3430" s="188"/>
      <c r="D3430" s="188"/>
      <c r="E3430" s="188"/>
      <c r="F3430" s="188"/>
      <c r="G3430" s="188"/>
      <c r="H3430" s="188"/>
      <c r="I3430" s="188"/>
      <c r="J3430" s="188"/>
      <c r="K3430" s="188"/>
      <c r="L3430" s="188">
        <f>IPMT('Assumptions (O&amp;G Upstream)'!$B$344,Model!W$1,'Assumptions (O&amp;G Upstream)'!$B$347,Model!$L$3366)</f>
        <v>-3.924</v>
      </c>
      <c r="M3430" s="188">
        <f>IPMT('Assumptions (O&amp;G Upstream)'!$B$344,Model!X$1,'Assumptions (O&amp;G Upstream)'!$B$347,Model!$L$3366)</f>
        <v>-3.646628421</v>
      </c>
      <c r="N3430" s="188">
        <f>IPMT('Assumptions (O&amp;G Upstream)'!$B$344,Model!Y$1,'Assumptions (O&amp;G Upstream)'!$B$347,Model!$L$3366)</f>
        <v>-3.348453973</v>
      </c>
      <c r="O3430" s="188">
        <f>IPMT('Assumptions (O&amp;G Upstream)'!$B$344,Model!Z$1,'Assumptions (O&amp;G Upstream)'!$B$347,Model!$L$3366)</f>
        <v>-3.027916442</v>
      </c>
      <c r="P3430" s="188">
        <f>IPMT('Assumptions (O&amp;G Upstream)'!$B$344,Model!AA$1,'Assumptions (O&amp;G Upstream)'!$B$347,Model!$L$3366)</f>
        <v>-2.683338596</v>
      </c>
      <c r="Q3430" s="188">
        <f>IPMT('Assumptions (O&amp;G Upstream)'!$B$344,Model!AB$1,'Assumptions (O&amp;G Upstream)'!$B$347,Model!$L$3366)</f>
        <v>-2.312917411</v>
      </c>
      <c r="R3430" s="188">
        <f>IPMT('Assumptions (O&amp;G Upstream)'!$B$344,Model!AC$1,'Assumptions (O&amp;G Upstream)'!$B$347,Model!$L$3366)</f>
        <v>-1.914714638</v>
      </c>
      <c r="S3430" s="188">
        <f>IPMT('Assumptions (O&amp;G Upstream)'!$B$344,Model!AD$1,'Assumptions (O&amp;G Upstream)'!$B$347,Model!$L$3366)</f>
        <v>-1.486646657</v>
      </c>
      <c r="T3430" s="188">
        <f>IPMT('Assumptions (O&amp;G Upstream)'!$B$344,Model!AE$1,'Assumptions (O&amp;G Upstream)'!$B$347,Model!$L$3366)</f>
        <v>-1.026473577</v>
      </c>
      <c r="U3430" s="188">
        <f>IPMT('Assumptions (O&amp;G Upstream)'!$B$344,Model!AF$1,'Assumptions (O&amp;G Upstream)'!$B$347,Model!$L$3366)</f>
        <v>-0.5317875156</v>
      </c>
      <c r="V3430" s="188"/>
      <c r="W3430" s="188"/>
      <c r="X3430" s="188"/>
      <c r="Y3430" s="188"/>
      <c r="Z3430" s="188"/>
      <c r="AA3430" s="188"/>
      <c r="AB3430" s="188"/>
      <c r="AC3430" s="188"/>
      <c r="AD3430" s="188"/>
      <c r="AE3430" s="188"/>
      <c r="AF3430" s="188"/>
      <c r="AG3430" s="188"/>
      <c r="AH3430" s="188"/>
      <c r="AI3430" s="188"/>
      <c r="AJ3430" s="188"/>
    </row>
    <row r="3431" ht="15.75" hidden="1" customHeight="1" outlineLevel="1">
      <c r="A3431" s="389"/>
      <c r="B3431" s="24"/>
      <c r="C3431" s="188"/>
      <c r="D3431" s="188"/>
      <c r="E3431" s="188"/>
      <c r="F3431" s="188"/>
      <c r="G3431" s="188"/>
      <c r="H3431" s="188"/>
      <c r="I3431" s="188"/>
      <c r="J3431" s="188"/>
      <c r="K3431" s="188"/>
      <c r="L3431" s="188"/>
      <c r="M3431" s="188">
        <f>IPMT('Assumptions (O&amp;G Upstream)'!$B$344,Model!W$1,'Assumptions (O&amp;G Upstream)'!$B$347,Model!$M$3366)</f>
        <v>-4.6395</v>
      </c>
      <c r="N3431" s="188">
        <f>IPMT('Assumptions (O&amp;G Upstream)'!$B$344,Model!X$1,'Assumptions (O&amp;G Upstream)'!$B$347,Model!$M$3366)</f>
        <v>-4.31155264</v>
      </c>
      <c r="O3431" s="188">
        <f>IPMT('Assumptions (O&amp;G Upstream)'!$B$344,Model!Y$1,'Assumptions (O&amp;G Upstream)'!$B$347,Model!$M$3366)</f>
        <v>-3.959009227</v>
      </c>
      <c r="P3431" s="188">
        <f>IPMT('Assumptions (O&amp;G Upstream)'!$B$344,Model!Z$1,'Assumptions (O&amp;G Upstream)'!$B$347,Model!$M$3366)</f>
        <v>-3.580025059</v>
      </c>
      <c r="Q3431" s="188">
        <f>IPMT('Assumptions (O&amp;G Upstream)'!$B$344,Model!AA$1,'Assumptions (O&amp;G Upstream)'!$B$347,Model!$M$3366)</f>
        <v>-3.172617078</v>
      </c>
      <c r="R3431" s="188">
        <f>IPMT('Assumptions (O&amp;G Upstream)'!$B$344,Model!AB$1,'Assumptions (O&amp;G Upstream)'!$B$347,Model!$M$3366)</f>
        <v>-2.734653499</v>
      </c>
      <c r="S3431" s="188">
        <f>IPMT('Assumptions (O&amp;G Upstream)'!$B$344,Model!AC$1,'Assumptions (O&amp;G Upstream)'!$B$347,Model!$M$3366)</f>
        <v>-2.263842651</v>
      </c>
      <c r="T3431" s="188">
        <f>IPMT('Assumptions (O&amp;G Upstream)'!$B$344,Model!AD$1,'Assumptions (O&amp;G Upstream)'!$B$347,Model!$M$3366)</f>
        <v>-1.75772099</v>
      </c>
      <c r="U3431" s="188">
        <f>IPMT('Assumptions (O&amp;G Upstream)'!$B$344,Model!AE$1,'Assumptions (O&amp;G Upstream)'!$B$347,Model!$M$3366)</f>
        <v>-1.213640203</v>
      </c>
      <c r="V3431" s="188">
        <f>IPMT('Assumptions (O&amp;G Upstream)'!$B$344,Model!AF$1,'Assumptions (O&amp;G Upstream)'!$B$347,Model!$M$3366)</f>
        <v>-0.6287533584</v>
      </c>
      <c r="W3431" s="188"/>
      <c r="X3431" s="188"/>
      <c r="Y3431" s="188"/>
      <c r="Z3431" s="188"/>
      <c r="AA3431" s="188"/>
      <c r="AB3431" s="188"/>
      <c r="AC3431" s="188"/>
      <c r="AD3431" s="188"/>
      <c r="AE3431" s="188"/>
      <c r="AF3431" s="188"/>
      <c r="AG3431" s="188"/>
      <c r="AH3431" s="188"/>
      <c r="AI3431" s="188"/>
      <c r="AJ3431" s="188"/>
      <c r="AK3431" s="188"/>
    </row>
    <row r="3432" ht="15.75" hidden="1" customHeight="1" outlineLevel="1">
      <c r="A3432" s="389"/>
      <c r="B3432" s="24"/>
      <c r="C3432" s="188"/>
      <c r="D3432" s="188"/>
      <c r="E3432" s="188"/>
      <c r="F3432" s="188"/>
      <c r="G3432" s="188"/>
      <c r="H3432" s="188"/>
      <c r="I3432" s="188"/>
      <c r="J3432" s="188"/>
      <c r="K3432" s="188"/>
      <c r="L3432" s="188"/>
      <c r="M3432" s="188"/>
      <c r="N3432" s="188">
        <f>IPMT('Assumptions (O&amp;G Upstream)'!$B$344,Model!W$1,'Assumptions (O&amp;G Upstream)'!$B$347,Model!$N$3366)</f>
        <v>-5.859</v>
      </c>
      <c r="O3432" s="188">
        <f>IPMT('Assumptions (O&amp;G Upstream)'!$B$344,Model!X$1,'Assumptions (O&amp;G Upstream)'!$B$347,Model!$N$3366)</f>
        <v>-5.444851151</v>
      </c>
      <c r="P3432" s="188">
        <f>IPMT('Assumptions (O&amp;G Upstream)'!$B$344,Model!Y$1,'Assumptions (O&amp;G Upstream)'!$B$347,Model!$N$3366)</f>
        <v>-4.999641139</v>
      </c>
      <c r="Q3432" s="188">
        <f>IPMT('Assumptions (O&amp;G Upstream)'!$B$344,Model!Z$1,'Assumptions (O&amp;G Upstream)'!$B$347,Model!$N$3366)</f>
        <v>-4.521040375</v>
      </c>
      <c r="R3432" s="188">
        <f>IPMT('Assumptions (O&amp;G Upstream)'!$B$344,Model!AA$1,'Assumptions (O&amp;G Upstream)'!$B$347,Model!$N$3366)</f>
        <v>-4.006544555</v>
      </c>
      <c r="S3432" s="188">
        <f>IPMT('Assumptions (O&amp;G Upstream)'!$B$344,Model!AB$1,'Assumptions (O&amp;G Upstream)'!$B$347,Model!$N$3366)</f>
        <v>-3.453461548</v>
      </c>
      <c r="T3432" s="188">
        <f>IPMT('Assumptions (O&amp;G Upstream)'!$B$344,Model!AC$1,'Assumptions (O&amp;G Upstream)'!$B$347,Model!$N$3366)</f>
        <v>-2.858897315</v>
      </c>
      <c r="U3432" s="188">
        <f>IPMT('Assumptions (O&amp;G Upstream)'!$B$344,Model!AD$1,'Assumptions (O&amp;G Upstream)'!$B$347,Model!$N$3366)</f>
        <v>-2.219740765</v>
      </c>
      <c r="V3432" s="188">
        <f>IPMT('Assumptions (O&amp;G Upstream)'!$B$344,Model!AE$1,'Assumptions (O&amp;G Upstream)'!$B$347,Model!$N$3366)</f>
        <v>-1.532647473</v>
      </c>
      <c r="W3432" s="188">
        <f>IPMT('Assumptions (O&amp;G Upstream)'!$B$344,Model!AF$1,'Assumptions (O&amp;G Upstream)'!$B$347,Model!$N$3366)</f>
        <v>-0.7940221849</v>
      </c>
      <c r="X3432" s="188"/>
      <c r="Y3432" s="188"/>
      <c r="Z3432" s="188"/>
      <c r="AA3432" s="188"/>
      <c r="AB3432" s="188"/>
      <c r="AC3432" s="188"/>
      <c r="AD3432" s="188"/>
      <c r="AE3432" s="188"/>
      <c r="AF3432" s="188"/>
      <c r="AG3432" s="188"/>
      <c r="AH3432" s="188"/>
      <c r="AI3432" s="188"/>
      <c r="AJ3432" s="188"/>
      <c r="AK3432" s="188"/>
      <c r="AL3432" s="188"/>
    </row>
    <row r="3433" ht="15.75" hidden="1" customHeight="1" outlineLevel="1">
      <c r="A3433" s="389"/>
      <c r="B3433" s="24"/>
      <c r="C3433" s="188"/>
      <c r="D3433" s="188"/>
      <c r="E3433" s="188"/>
      <c r="F3433" s="188"/>
      <c r="G3433" s="188"/>
      <c r="H3433" s="188"/>
      <c r="I3433" s="188"/>
      <c r="J3433" s="188"/>
      <c r="K3433" s="188"/>
      <c r="L3433" s="188"/>
      <c r="M3433" s="188"/>
      <c r="N3433" s="188"/>
      <c r="O3433" s="188">
        <f>IPMT('Assumptions (O&amp;G Upstream)'!$B$344,Model!W$1,'Assumptions (O&amp;G Upstream)'!$B$347,Model!$O$3366)</f>
        <v>-7.3215</v>
      </c>
      <c r="P3433" s="188">
        <f>IPMT('Assumptions (O&amp;G Upstream)'!$B$344,Model!X$1,'Assumptions (O&amp;G Upstream)'!$B$347,Model!$O$3366)</f>
        <v>-6.803972982</v>
      </c>
      <c r="Q3433" s="188">
        <f>IPMT('Assumptions (O&amp;G Upstream)'!$B$344,Model!Y$1,'Assumptions (O&amp;G Upstream)'!$B$347,Model!$O$3366)</f>
        <v>-6.247631438</v>
      </c>
      <c r="R3433" s="188">
        <f>IPMT('Assumptions (O&amp;G Upstream)'!$B$344,Model!Z$1,'Assumptions (O&amp;G Upstream)'!$B$347,Model!$O$3366)</f>
        <v>-5.649564279</v>
      </c>
      <c r="S3433" s="188">
        <f>IPMT('Assumptions (O&amp;G Upstream)'!$B$344,Model!AA$1,'Assumptions (O&amp;G Upstream)'!$B$347,Model!$O$3366)</f>
        <v>-5.006642082</v>
      </c>
      <c r="T3433" s="188">
        <f>IPMT('Assumptions (O&amp;G Upstream)'!$B$344,Model!AB$1,'Assumptions (O&amp;G Upstream)'!$B$347,Model!$O$3366)</f>
        <v>-4.31550072</v>
      </c>
      <c r="U3433" s="188">
        <f>IPMT('Assumptions (O&amp;G Upstream)'!$B$344,Model!AC$1,'Assumptions (O&amp;G Upstream)'!$B$347,Model!$O$3366)</f>
        <v>-3.572523757</v>
      </c>
      <c r="V3433" s="188">
        <f>IPMT('Assumptions (O&amp;G Upstream)'!$B$344,Model!AD$1,'Assumptions (O&amp;G Upstream)'!$B$347,Model!$O$3366)</f>
        <v>-2.773823521</v>
      </c>
      <c r="W3433" s="188">
        <f>IPMT('Assumptions (O&amp;G Upstream)'!$B$344,Model!AE$1,'Assumptions (O&amp;G Upstream)'!$B$347,Model!$O$3366)</f>
        <v>-1.915220767</v>
      </c>
      <c r="X3433" s="188">
        <f>IPMT('Assumptions (O&amp;G Upstream)'!$B$344,Model!AF$1,'Assumptions (O&amp;G Upstream)'!$B$347,Model!$O$3366)</f>
        <v>-0.9922228071</v>
      </c>
      <c r="Y3433" s="188"/>
      <c r="Z3433" s="188"/>
      <c r="AA3433" s="188"/>
      <c r="AB3433" s="188"/>
      <c r="AC3433" s="188"/>
      <c r="AD3433" s="188"/>
      <c r="AE3433" s="188"/>
      <c r="AF3433" s="188"/>
      <c r="AG3433" s="188"/>
      <c r="AH3433" s="188"/>
      <c r="AI3433" s="188"/>
      <c r="AJ3433" s="188"/>
      <c r="AK3433" s="188"/>
      <c r="AL3433" s="188"/>
      <c r="AM3433" s="188"/>
    </row>
    <row r="3434" ht="15.75" hidden="1" customHeight="1" outlineLevel="1">
      <c r="A3434" s="389"/>
      <c r="B3434" s="24"/>
      <c r="C3434" s="188"/>
      <c r="D3434" s="188"/>
      <c r="E3434" s="188"/>
      <c r="F3434" s="188"/>
      <c r="G3434" s="188"/>
      <c r="H3434" s="188"/>
      <c r="I3434" s="188"/>
      <c r="J3434" s="188"/>
      <c r="K3434" s="188"/>
      <c r="L3434" s="188"/>
      <c r="M3434" s="188"/>
      <c r="N3434" s="188"/>
      <c r="O3434" s="188"/>
      <c r="P3434" s="188">
        <f>IPMT('Assumptions (O&amp;G Upstream)'!$B$344,Model!W$1,'Assumptions (O&amp;G Upstream)'!$B$347,Model!$P$3366)</f>
        <v>-7.677</v>
      </c>
      <c r="Q3434" s="188">
        <f>IPMT('Assumptions (O&amp;G Upstream)'!$B$344,Model!X$1,'Assumptions (O&amp;G Upstream)'!$B$347,Model!$P$3366)</f>
        <v>-7.134344135</v>
      </c>
      <c r="R3434" s="188">
        <f>IPMT('Assumptions (O&amp;G Upstream)'!$B$344,Model!Y$1,'Assumptions (O&amp;G Upstream)'!$B$347,Model!$P$3366)</f>
        <v>-6.55098908</v>
      </c>
      <c r="S3434" s="188">
        <f>IPMT('Assumptions (O&amp;G Upstream)'!$B$344,Model!Z$1,'Assumptions (O&amp;G Upstream)'!$B$347,Model!$P$3366)</f>
        <v>-5.923882397</v>
      </c>
      <c r="T3434" s="188">
        <f>IPMT('Assumptions (O&amp;G Upstream)'!$B$344,Model!AA$1,'Assumptions (O&amp;G Upstream)'!$B$347,Model!$P$3366)</f>
        <v>-5.249742712</v>
      </c>
      <c r="U3434" s="188">
        <f>IPMT('Assumptions (O&amp;G Upstream)'!$B$344,Model!AB$1,'Assumptions (O&amp;G Upstream)'!$B$347,Model!$P$3366)</f>
        <v>-4.52504255</v>
      </c>
      <c r="V3434" s="188">
        <f>IPMT('Assumptions (O&amp;G Upstream)'!$B$344,Model!AC$1,'Assumptions (O&amp;G Upstream)'!$B$347,Model!$P$3366)</f>
        <v>-3.745989876</v>
      </c>
      <c r="W3434" s="188">
        <f>IPMT('Assumptions (O&amp;G Upstream)'!$B$344,Model!AD$1,'Assumptions (O&amp;G Upstream)'!$B$347,Model!$P$3366)</f>
        <v>-2.908508252</v>
      </c>
      <c r="X3434" s="188">
        <f>IPMT('Assumptions (O&amp;G Upstream)'!$B$344,Model!AE$1,'Assumptions (O&amp;G Upstream)'!$B$347,Model!$P$3366)</f>
        <v>-2.008215506</v>
      </c>
      <c r="Y3434" s="188">
        <f>IPMT('Assumptions (O&amp;G Upstream)'!$B$344,Model!AF$1,'Assumptions (O&amp;G Upstream)'!$B$347,Model!$P$3366)</f>
        <v>-1.040400805</v>
      </c>
      <c r="Z3434" s="188"/>
      <c r="AA3434" s="188"/>
      <c r="AB3434" s="188"/>
      <c r="AC3434" s="188"/>
      <c r="AD3434" s="188"/>
      <c r="AE3434" s="188"/>
      <c r="AF3434" s="188"/>
      <c r="AG3434" s="188"/>
      <c r="AH3434" s="188"/>
      <c r="AI3434" s="188"/>
      <c r="AJ3434" s="188"/>
      <c r="AK3434" s="188"/>
      <c r="AL3434" s="188"/>
      <c r="AM3434" s="188"/>
      <c r="AN3434" s="188"/>
    </row>
    <row r="3435" ht="15.75" hidden="1" customHeight="1" outlineLevel="1">
      <c r="A3435" s="389"/>
      <c r="B3435" s="24"/>
      <c r="C3435" s="188"/>
      <c r="D3435" s="188"/>
      <c r="E3435" s="188"/>
      <c r="F3435" s="188"/>
      <c r="G3435" s="188"/>
      <c r="H3435" s="188"/>
      <c r="I3435" s="188"/>
      <c r="J3435" s="188"/>
      <c r="K3435" s="188"/>
      <c r="L3435" s="188"/>
      <c r="M3435" s="188"/>
      <c r="N3435" s="188"/>
      <c r="O3435" s="188"/>
      <c r="P3435" s="188"/>
      <c r="Q3435" s="188">
        <f>IPMT('Assumptions (O&amp;G Upstream)'!$B$344,Model!W$1,'Assumptions (O&amp;G Upstream)'!$B$347,Model!$Q$3366)</f>
        <v>-9.1755</v>
      </c>
      <c r="R3435" s="188">
        <f>IPMT('Assumptions (O&amp;G Upstream)'!$B$344,Model!X$1,'Assumptions (O&amp;G Upstream)'!$B$347,Model!$Q$3366)</f>
        <v>-8.526921273</v>
      </c>
      <c r="S3435" s="188">
        <f>IPMT('Assumptions (O&amp;G Upstream)'!$B$344,Model!Y$1,'Assumptions (O&amp;G Upstream)'!$B$347,Model!$Q$3366)</f>
        <v>-7.829699141</v>
      </c>
      <c r="T3435" s="188">
        <f>IPMT('Assumptions (O&amp;G Upstream)'!$B$344,Model!Z$1,'Assumptions (O&amp;G Upstream)'!$B$347,Model!$Q$3366)</f>
        <v>-7.08018535</v>
      </c>
      <c r="U3435" s="188">
        <f>IPMT('Assumptions (O&amp;G Upstream)'!$B$344,Model!AA$1,'Assumptions (O&amp;G Upstream)'!$B$347,Model!$Q$3366)</f>
        <v>-6.274458024</v>
      </c>
      <c r="V3435" s="188">
        <f>IPMT('Assumptions (O&amp;G Upstream)'!$B$344,Model!AB$1,'Assumptions (O&amp;G Upstream)'!$B$347,Model!$Q$3366)</f>
        <v>-5.408301149</v>
      </c>
      <c r="W3435" s="188">
        <f>IPMT('Assumptions (O&amp;G Upstream)'!$B$344,Model!AC$1,'Assumptions (O&amp;G Upstream)'!$B$347,Model!$Q$3366)</f>
        <v>-4.477182508</v>
      </c>
      <c r="X3435" s="188">
        <f>IPMT('Assumptions (O&amp;G Upstream)'!$B$344,Model!AD$1,'Assumptions (O&amp;G Upstream)'!$B$347,Model!$Q$3366)</f>
        <v>-3.476229969</v>
      </c>
      <c r="Y3435" s="188">
        <f>IPMT('Assumptions (O&amp;G Upstream)'!$B$344,Model!AE$1,'Assumptions (O&amp;G Upstream)'!$B$347,Model!$Q$3366)</f>
        <v>-2.400205989</v>
      </c>
      <c r="Z3435" s="188">
        <f>IPMT('Assumptions (O&amp;G Upstream)'!$B$344,Model!AF$1,'Assumptions (O&amp;G Upstream)'!$B$347,Model!$Q$3366)</f>
        <v>-1.243480211</v>
      </c>
      <c r="AA3435" s="188"/>
      <c r="AB3435" s="188"/>
      <c r="AC3435" s="188"/>
      <c r="AD3435" s="188"/>
      <c r="AE3435" s="188"/>
      <c r="AF3435" s="188"/>
      <c r="AG3435" s="188"/>
      <c r="AH3435" s="188"/>
      <c r="AI3435" s="188"/>
      <c r="AJ3435" s="188"/>
      <c r="AK3435" s="188"/>
      <c r="AL3435" s="188"/>
      <c r="AM3435" s="188"/>
      <c r="AN3435" s="188"/>
      <c r="AO3435" s="188"/>
    </row>
    <row r="3436" ht="15.75" hidden="1" customHeight="1" outlineLevel="1">
      <c r="A3436" s="389"/>
      <c r="B3436" s="24"/>
      <c r="C3436" s="188"/>
      <c r="D3436" s="188"/>
      <c r="E3436" s="188"/>
      <c r="F3436" s="188"/>
      <c r="G3436" s="188"/>
      <c r="H3436" s="188"/>
      <c r="I3436" s="188"/>
      <c r="J3436" s="188"/>
      <c r="K3436" s="188"/>
      <c r="L3436" s="188"/>
      <c r="M3436" s="188"/>
      <c r="N3436" s="188"/>
      <c r="O3436" s="188"/>
      <c r="P3436" s="188"/>
      <c r="Q3436" s="188"/>
      <c r="R3436" s="188">
        <f>IPMT('Assumptions (O&amp;G Upstream)'!$B$344,Model!W$1,'Assumptions (O&amp;G Upstream)'!$B$347,Model!$R$3366)</f>
        <v>-6.732</v>
      </c>
      <c r="S3436" s="188">
        <f>IPMT('Assumptions (O&amp;G Upstream)'!$B$344,Model!X$1,'Assumptions (O&amp;G Upstream)'!$B$347,Model!$R$3366)</f>
        <v>-6.256142337</v>
      </c>
      <c r="T3436" s="188">
        <f>IPMT('Assumptions (O&amp;G Upstream)'!$B$344,Model!Y$1,'Assumptions (O&amp;G Upstream)'!$B$347,Model!$R$3366)</f>
        <v>-5.744595348</v>
      </c>
      <c r="U3436" s="188">
        <f>IPMT('Assumptions (O&amp;G Upstream)'!$B$344,Model!Z$1,'Assumptions (O&amp;G Upstream)'!$B$347,Model!$R$3366)</f>
        <v>-5.194682336</v>
      </c>
      <c r="V3436" s="188">
        <f>IPMT('Assumptions (O&amp;G Upstream)'!$B$344,Model!AA$1,'Assumptions (O&amp;G Upstream)'!$B$347,Model!$R$3366)</f>
        <v>-4.603525848</v>
      </c>
      <c r="W3436" s="188">
        <f>IPMT('Assumptions (O&amp;G Upstream)'!$B$344,Model!AB$1,'Assumptions (O&amp;G Upstream)'!$B$347,Model!$R$3366)</f>
        <v>-3.968032623</v>
      </c>
      <c r="X3436" s="188">
        <f>IPMT('Assumptions (O&amp;G Upstream)'!$B$344,Model!AC$1,'Assumptions (O&amp;G Upstream)'!$B$347,Model!$R$3366)</f>
        <v>-3.284877406</v>
      </c>
      <c r="Y3436" s="188">
        <f>IPMT('Assumptions (O&amp;G Upstream)'!$B$344,Model!AD$1,'Assumptions (O&amp;G Upstream)'!$B$347,Model!$R$3366)</f>
        <v>-2.550485548</v>
      </c>
      <c r="Z3436" s="188">
        <f>IPMT('Assumptions (O&amp;G Upstream)'!$B$344,Model!AE$1,'Assumptions (O&amp;G Upstream)'!$B$347,Model!$R$3366)</f>
        <v>-1.761014301</v>
      </c>
      <c r="AA3436" s="188">
        <f>IPMT('Assumptions (O&amp;G Upstream)'!$B$344,Model!AF$1,'Assumptions (O&amp;G Upstream)'!$B$347,Model!$R$3366)</f>
        <v>-0.9123327102</v>
      </c>
      <c r="AB3436" s="188"/>
      <c r="AC3436" s="188"/>
      <c r="AD3436" s="188"/>
      <c r="AE3436" s="188"/>
      <c r="AF3436" s="188"/>
      <c r="AG3436" s="188"/>
      <c r="AH3436" s="188"/>
      <c r="AI3436" s="188"/>
      <c r="AJ3436" s="188"/>
      <c r="AK3436" s="188"/>
      <c r="AL3436" s="188"/>
      <c r="AM3436" s="188"/>
      <c r="AN3436" s="188"/>
      <c r="AO3436" s="188"/>
      <c r="AP3436" s="188"/>
    </row>
    <row r="3437" ht="15.75" hidden="1" customHeight="1" outlineLevel="1">
      <c r="A3437" s="389"/>
      <c r="B3437" s="24"/>
      <c r="C3437" s="188"/>
      <c r="D3437" s="188"/>
      <c r="E3437" s="188"/>
      <c r="F3437" s="188"/>
      <c r="G3437" s="188"/>
      <c r="H3437" s="188"/>
      <c r="I3437" s="188"/>
      <c r="J3437" s="188"/>
      <c r="K3437" s="188"/>
      <c r="L3437" s="188"/>
      <c r="M3437" s="188"/>
      <c r="N3437" s="188"/>
      <c r="O3437" s="188"/>
      <c r="P3437" s="188"/>
      <c r="Q3437" s="188"/>
      <c r="R3437" s="188"/>
      <c r="S3437" s="188">
        <f>IPMT('Assumptions (O&amp;G Upstream)'!$B$344,Model!W$1,'Assumptions (O&amp;G Upstream)'!$B$347,Model!$S$3366)</f>
        <v>-3.5955</v>
      </c>
      <c r="T3437" s="188">
        <f>IPMT('Assumptions (O&amp;G Upstream)'!$B$344,Model!X$1,'Assumptions (O&amp;G Upstream)'!$B$347,Model!$S$3366)</f>
        <v>-3.341348748</v>
      </c>
      <c r="U3437" s="188">
        <f>IPMT('Assumptions (O&amp;G Upstream)'!$B$344,Model!Y$1,'Assumptions (O&amp;G Upstream)'!$B$347,Model!$S$3366)</f>
        <v>-3.068136152</v>
      </c>
      <c r="V3437" s="188">
        <f>IPMT('Assumptions (O&amp;G Upstream)'!$B$344,Model!Z$1,'Assumptions (O&amp;G Upstream)'!$B$347,Model!$S$3366)</f>
        <v>-2.774432611</v>
      </c>
      <c r="W3437" s="188">
        <f>IPMT('Assumptions (O&amp;G Upstream)'!$B$344,Model!AA$1,'Assumptions (O&amp;G Upstream)'!$B$347,Model!$S$3366)</f>
        <v>-2.458701305</v>
      </c>
      <c r="X3437" s="188">
        <f>IPMT('Assumptions (O&amp;G Upstream)'!$B$344,Model!AB$1,'Assumptions (O&amp;G Upstream)'!$B$347,Model!$S$3366)</f>
        <v>-2.119290151</v>
      </c>
      <c r="Y3437" s="188">
        <f>IPMT('Assumptions (O&amp;G Upstream)'!$B$344,Model!AC$1,'Assumptions (O&amp;G Upstream)'!$B$347,Model!$S$3366)</f>
        <v>-1.75442316</v>
      </c>
      <c r="Z3437" s="188">
        <f>IPMT('Assumptions (O&amp;G Upstream)'!$B$344,Model!AD$1,'Assumptions (O&amp;G Upstream)'!$B$347,Model!$S$3366)</f>
        <v>-1.362191145</v>
      </c>
      <c r="AA3437" s="188">
        <f>IPMT('Assumptions (O&amp;G Upstream)'!$B$344,Model!AE$1,'Assumptions (O&amp;G Upstream)'!$B$347,Model!$S$3366)</f>
        <v>-0.940541729</v>
      </c>
      <c r="AB3437" s="188">
        <f>IPMT('Assumptions (O&amp;G Upstream)'!$B$344,Model!AF$1,'Assumptions (O&amp;G Upstream)'!$B$347,Model!$S$3366)</f>
        <v>-0.4872686066</v>
      </c>
      <c r="AC3437" s="188"/>
      <c r="AD3437" s="188"/>
      <c r="AE3437" s="188"/>
      <c r="AF3437" s="188"/>
      <c r="AG3437" s="188"/>
      <c r="AH3437" s="188"/>
      <c r="AI3437" s="188"/>
      <c r="AJ3437" s="188"/>
      <c r="AK3437" s="188"/>
      <c r="AL3437" s="188"/>
      <c r="AM3437" s="188"/>
      <c r="AN3437" s="188"/>
      <c r="AO3437" s="188"/>
      <c r="AP3437" s="188"/>
      <c r="AQ3437" s="188"/>
    </row>
    <row r="3438" ht="15.75" hidden="1" customHeight="1" outlineLevel="1">
      <c r="A3438" s="389"/>
      <c r="B3438" s="24"/>
      <c r="C3438" s="188"/>
      <c r="D3438" s="188"/>
      <c r="E3438" s="188"/>
      <c r="F3438" s="188"/>
      <c r="G3438" s="188"/>
      <c r="H3438" s="188"/>
      <c r="I3438" s="188"/>
      <c r="J3438" s="188"/>
      <c r="K3438" s="188"/>
      <c r="L3438" s="188"/>
      <c r="M3438" s="188"/>
      <c r="N3438" s="188"/>
      <c r="O3438" s="188"/>
      <c r="P3438" s="188"/>
      <c r="Q3438" s="188"/>
      <c r="R3438" s="188"/>
      <c r="S3438" s="78"/>
      <c r="T3438" s="188">
        <f>IPMT('Assumptions (O&amp;G Upstream)'!$B$344,Model!W$1,'Assumptions (O&amp;G Upstream)'!$B$347,Model!$T$3366)</f>
        <v>-5.0535</v>
      </c>
      <c r="U3438" s="188">
        <f>IPMT('Assumptions (O&amp;G Upstream)'!$B$344,Model!X$1,'Assumptions (O&amp;G Upstream)'!$B$347,Model!$T$3366)</f>
        <v>-4.696288666</v>
      </c>
      <c r="V3438" s="188">
        <f>IPMT('Assumptions (O&amp;G Upstream)'!$B$344,Model!Y$1,'Assumptions (O&amp;G Upstream)'!$B$347,Model!$T$3366)</f>
        <v>-4.312286481</v>
      </c>
      <c r="W3438" s="188">
        <f>IPMT('Assumptions (O&amp;G Upstream)'!$B$344,Model!Z$1,'Assumptions (O&amp;G Upstream)'!$B$347,Model!$T$3366)</f>
        <v>-3.899484133</v>
      </c>
      <c r="X3438" s="188">
        <f>IPMT('Assumptions (O&amp;G Upstream)'!$B$344,Model!AA$1,'Assumptions (O&amp;G Upstream)'!$B$347,Model!$T$3366)</f>
        <v>-3.455721609</v>
      </c>
      <c r="Y3438" s="188">
        <f>IPMT('Assumptions (O&amp;G Upstream)'!$B$344,Model!AB$1,'Assumptions (O&amp;G Upstream)'!$B$347,Model!$T$3366)</f>
        <v>-2.978676895</v>
      </c>
      <c r="Z3438" s="188">
        <f>IPMT('Assumptions (O&amp;G Upstream)'!$B$344,Model!AC$1,'Assumptions (O&amp;G Upstream)'!$B$347,Model!$T$3366)</f>
        <v>-2.465853828</v>
      </c>
      <c r="AA3438" s="188">
        <f>IPMT('Assumptions (O&amp;G Upstream)'!$B$344,Model!AD$1,'Assumptions (O&amp;G Upstream)'!$B$347,Model!$T$3366)</f>
        <v>-1.914569031</v>
      </c>
      <c r="AB3438" s="188">
        <f>IPMT('Assumptions (O&amp;G Upstream)'!$B$344,Model!AE$1,'Assumptions (O&amp;G Upstream)'!$B$347,Model!$T$3366)</f>
        <v>-1.321937874</v>
      </c>
      <c r="AC3438" s="188">
        <f>IPMT('Assumptions (O&amp;G Upstream)'!$B$344,Model!AF$1,'Assumptions (O&amp;G Upstream)'!$B$347,Model!$T$3366)</f>
        <v>-0.6848593807</v>
      </c>
      <c r="AD3438" s="188"/>
      <c r="AE3438" s="188"/>
      <c r="AF3438" s="188"/>
      <c r="AG3438" s="188"/>
      <c r="AH3438" s="188"/>
      <c r="AI3438" s="188"/>
      <c r="AJ3438" s="188"/>
      <c r="AK3438" s="188"/>
      <c r="AL3438" s="188"/>
      <c r="AM3438" s="188"/>
      <c r="AN3438" s="188"/>
      <c r="AO3438" s="188"/>
      <c r="AP3438" s="188"/>
      <c r="AQ3438" s="188"/>
      <c r="AR3438" s="188"/>
    </row>
    <row r="3439" ht="15.75" hidden="1" customHeight="1" outlineLevel="1">
      <c r="A3439" s="389"/>
      <c r="B3439" s="24"/>
      <c r="C3439" s="188"/>
      <c r="D3439" s="188"/>
      <c r="E3439" s="188"/>
      <c r="F3439" s="188"/>
      <c r="G3439" s="188"/>
      <c r="H3439" s="188"/>
      <c r="I3439" s="188"/>
      <c r="J3439" s="188"/>
      <c r="K3439" s="188"/>
      <c r="L3439" s="188"/>
      <c r="M3439" s="188"/>
      <c r="N3439" s="188"/>
      <c r="O3439" s="188"/>
      <c r="P3439" s="188"/>
      <c r="Q3439" s="188"/>
      <c r="R3439" s="188"/>
      <c r="S3439" s="78"/>
      <c r="T3439" s="78"/>
      <c r="U3439" s="188">
        <f>IPMT('Assumptions (O&amp;G Upstream)'!$B$344,Model!W$1,'Assumptions (O&amp;G Upstream)'!$B$347,Model!$U$3366)</f>
        <v>-7.582973951</v>
      </c>
      <c r="V3439" s="188">
        <f>IPMT('Assumptions (O&amp;G Upstream)'!$B$344,Model!X$1,'Assumptions (O&amp;G Upstream)'!$B$347,Model!$U$3366)</f>
        <v>-7.046964405</v>
      </c>
      <c r="W3439" s="188">
        <f>IPMT('Assumptions (O&amp;G Upstream)'!$B$344,Model!Y$1,'Assumptions (O&amp;G Upstream)'!$B$347,Model!$U$3366)</f>
        <v>-6.470754143</v>
      </c>
      <c r="X3439" s="188">
        <f>IPMT('Assumptions (O&amp;G Upstream)'!$B$344,Model!Z$1,'Assumptions (O&amp;G Upstream)'!$B$347,Model!$U$3366)</f>
        <v>-5.851328111</v>
      </c>
      <c r="Y3439" s="188">
        <f>IPMT('Assumptions (O&amp;G Upstream)'!$B$344,Model!AA$1,'Assumptions (O&amp;G Upstream)'!$B$347,Model!$U$3366)</f>
        <v>-5.185445126</v>
      </c>
      <c r="Z3439" s="188">
        <f>IPMT('Assumptions (O&amp;G Upstream)'!$B$344,Model!AB$1,'Assumptions (O&amp;G Upstream)'!$B$347,Model!$U$3366)</f>
        <v>-4.469620918</v>
      </c>
      <c r="AA3439" s="188">
        <f>IPMT('Assumptions (O&amp;G Upstream)'!$B$344,Model!AC$1,'Assumptions (O&amp;G Upstream)'!$B$347,Model!$U$3366)</f>
        <v>-3.700109894</v>
      </c>
      <c r="AB3439" s="188">
        <f>IPMT('Assumptions (O&amp;G Upstream)'!$B$344,Model!AD$1,'Assumptions (O&amp;G Upstream)'!$B$347,Model!$U$3366)</f>
        <v>-2.872885543</v>
      </c>
      <c r="AC3439" s="188">
        <f>IPMT('Assumptions (O&amp;G Upstream)'!$B$344,Model!AE$1,'Assumptions (O&amp;G Upstream)'!$B$347,Model!$U$3366)</f>
        <v>-1.983619366</v>
      </c>
      <c r="AD3439" s="188">
        <f>IPMT('Assumptions (O&amp;G Upstream)'!$B$344,Model!AF$1,'Assumptions (O&amp;G Upstream)'!$B$347,Model!$U$3366)</f>
        <v>-1.027658226</v>
      </c>
      <c r="AE3439" s="188"/>
      <c r="AF3439" s="188"/>
      <c r="AG3439" s="188"/>
      <c r="AH3439" s="188"/>
      <c r="AI3439" s="188"/>
      <c r="AJ3439" s="188"/>
      <c r="AK3439" s="188"/>
      <c r="AL3439" s="188"/>
      <c r="AM3439" s="188"/>
      <c r="AN3439" s="188"/>
      <c r="AO3439" s="188"/>
      <c r="AP3439" s="188"/>
      <c r="AQ3439" s="188"/>
      <c r="AR3439" s="188"/>
      <c r="AS3439" s="188"/>
    </row>
    <row r="3440" ht="15.75" hidden="1" customHeight="1" outlineLevel="1">
      <c r="A3440" s="389"/>
      <c r="B3440" s="24"/>
      <c r="C3440" s="188"/>
      <c r="D3440" s="188"/>
      <c r="E3440" s="188"/>
      <c r="F3440" s="188"/>
      <c r="G3440" s="188"/>
      <c r="H3440" s="188"/>
      <c r="I3440" s="188"/>
      <c r="J3440" s="188"/>
      <c r="K3440" s="188"/>
      <c r="L3440" s="188"/>
      <c r="M3440" s="188"/>
      <c r="N3440" s="188"/>
      <c r="O3440" s="188"/>
      <c r="P3440" s="188"/>
      <c r="Q3440" s="188"/>
      <c r="R3440" s="188"/>
      <c r="S3440" s="78"/>
      <c r="T3440" s="78"/>
      <c r="U3440" s="78"/>
      <c r="V3440" s="188">
        <f>IPMT('Assumptions (O&amp;G Upstream)'!$B$344,Model!W$1,'Assumptions (O&amp;G Upstream)'!$B$347,Model!$V$3366)</f>
        <v>-8.534864766</v>
      </c>
      <c r="W3440" s="188">
        <f>IPMT('Assumptions (O&amp;G Upstream)'!$B$344,Model!X$1,'Assumptions (O&amp;G Upstream)'!$B$347,Model!$V$3366)</f>
        <v>-7.931569935</v>
      </c>
      <c r="X3440" s="188">
        <f>IPMT('Assumptions (O&amp;G Upstream)'!$B$344,Model!Y$1,'Assumptions (O&amp;G Upstream)'!$B$347,Model!$V$3366)</f>
        <v>-7.283027991</v>
      </c>
      <c r="Y3440" s="188">
        <f>IPMT('Assumptions (O&amp;G Upstream)'!$B$344,Model!Z$1,'Assumptions (O&amp;G Upstream)'!$B$347,Model!$V$3366)</f>
        <v>-6.585845401</v>
      </c>
      <c r="Z3440" s="188">
        <f>IPMT('Assumptions (O&amp;G Upstream)'!$B$344,Model!AA$1,'Assumptions (O&amp;G Upstream)'!$B$347,Model!$V$3366)</f>
        <v>-5.836374117</v>
      </c>
      <c r="AA3440" s="188">
        <f>IPMT('Assumptions (O&amp;G Upstream)'!$B$344,Model!AB$1,'Assumptions (O&amp;G Upstream)'!$B$347,Model!$V$3366)</f>
        <v>-5.030692487</v>
      </c>
      <c r="AB3440" s="188">
        <f>IPMT('Assumptions (O&amp;G Upstream)'!$B$344,Model!AC$1,'Assumptions (O&amp;G Upstream)'!$B$347,Model!$V$3366)</f>
        <v>-4.164584735</v>
      </c>
      <c r="AC3440" s="188">
        <f>IPMT('Assumptions (O&amp;G Upstream)'!$B$344,Model!AD$1,'Assumptions (O&amp;G Upstream)'!$B$347,Model!$V$3366)</f>
        <v>-3.233518901</v>
      </c>
      <c r="AD3440" s="188">
        <f>IPMT('Assumptions (O&amp;G Upstream)'!$B$344,Model!AE$1,'Assumptions (O&amp;G Upstream)'!$B$347,Model!$V$3366)</f>
        <v>-2.23262313</v>
      </c>
      <c r="AE3440" s="188">
        <f>IPMT('Assumptions (O&amp;G Upstream)'!$B$344,Model!AF$1,'Assumptions (O&amp;G Upstream)'!$B$347,Model!$V$3366)</f>
        <v>-1.156660176</v>
      </c>
      <c r="AF3440" s="188"/>
      <c r="AG3440" s="188"/>
      <c r="AH3440" s="188"/>
      <c r="AI3440" s="188"/>
      <c r="AJ3440" s="188"/>
      <c r="AK3440" s="188"/>
      <c r="AL3440" s="188"/>
      <c r="AM3440" s="188"/>
      <c r="AN3440" s="188"/>
      <c r="AO3440" s="188"/>
      <c r="AP3440" s="188"/>
      <c r="AQ3440" s="188"/>
      <c r="AR3440" s="188"/>
      <c r="AS3440" s="188"/>
      <c r="AT3440" s="188"/>
    </row>
    <row r="3441" ht="15.75" hidden="1" customHeight="1" outlineLevel="1">
      <c r="A3441" s="389"/>
      <c r="B3441" s="24"/>
      <c r="C3441" s="188"/>
      <c r="D3441" s="188"/>
      <c r="E3441" s="188"/>
      <c r="F3441" s="188"/>
      <c r="G3441" s="188"/>
      <c r="H3441" s="188"/>
      <c r="I3441" s="188"/>
      <c r="J3441" s="188"/>
      <c r="K3441" s="188"/>
      <c r="L3441" s="188"/>
      <c r="M3441" s="188"/>
      <c r="N3441" s="188"/>
      <c r="O3441" s="188"/>
      <c r="P3441" s="188"/>
      <c r="Q3441" s="188"/>
      <c r="R3441" s="188"/>
      <c r="S3441" s="78"/>
      <c r="T3441" s="78"/>
      <c r="U3441" s="78"/>
      <c r="V3441" s="78"/>
      <c r="W3441" s="188">
        <f>IPMT('Assumptions (O&amp;G Upstream)'!$B$344,Model!W$1,'Assumptions (O&amp;G Upstream)'!$B$347,Model!$W$3366)</f>
        <v>-9.296194004</v>
      </c>
      <c r="X3441" s="188">
        <f>IPMT('Assumptions (O&amp;G Upstream)'!$B$344,Model!X$1,'Assumptions (O&amp;G Upstream)'!$B$347,Model!$W$3366)</f>
        <v>-8.639083909</v>
      </c>
      <c r="Y3441" s="188">
        <f>IPMT('Assumptions (O&amp;G Upstream)'!$B$344,Model!Y$1,'Assumptions (O&amp;G Upstream)'!$B$347,Model!$W$3366)</f>
        <v>-7.932690557</v>
      </c>
      <c r="Z3441" s="188">
        <f>IPMT('Assumptions (O&amp;G Upstream)'!$B$344,Model!Z$1,'Assumptions (O&amp;G Upstream)'!$B$347,Model!$W$3366)</f>
        <v>-7.173317704</v>
      </c>
      <c r="AA3441" s="188">
        <f>IPMT('Assumptions (O&amp;G Upstream)'!$B$344,Model!AA$1,'Assumptions (O&amp;G Upstream)'!$B$347,Model!$W$3366)</f>
        <v>-6.356991887</v>
      </c>
      <c r="AB3441" s="188">
        <f>IPMT('Assumptions (O&amp;G Upstream)'!$B$344,Model!AB$1,'Assumptions (O&amp;G Upstream)'!$B$347,Model!$W$3366)</f>
        <v>-5.479441634</v>
      </c>
      <c r="AC3441" s="188">
        <f>IPMT('Assumptions (O&amp;G Upstream)'!$B$344,Model!AC$1,'Assumptions (O&amp;G Upstream)'!$B$347,Model!$W$3366)</f>
        <v>-4.536075111</v>
      </c>
      <c r="AD3441" s="188">
        <f>IPMT('Assumptions (O&amp;G Upstream)'!$B$344,Model!AD$1,'Assumptions (O&amp;G Upstream)'!$B$347,Model!$W$3366)</f>
        <v>-3.521956099</v>
      </c>
      <c r="AE3441" s="188">
        <f>IPMT('Assumptions (O&amp;G Upstream)'!$B$344,Model!AE$1,'Assumptions (O&amp;G Upstream)'!$B$347,Model!$W$3366)</f>
        <v>-2.431778162</v>
      </c>
      <c r="AF3441" s="188">
        <f>IPMT('Assumptions (O&amp;G Upstream)'!$B$344,Model!AF$1,'Assumptions (O&amp;G Upstream)'!$B$347,Model!$W$3366)</f>
        <v>-1.259836879</v>
      </c>
      <c r="AG3441" s="188"/>
      <c r="AH3441" s="188"/>
      <c r="AI3441" s="188"/>
      <c r="AJ3441" s="188"/>
      <c r="AK3441" s="188"/>
      <c r="AL3441" s="188"/>
      <c r="AM3441" s="188"/>
      <c r="AN3441" s="188"/>
      <c r="AO3441" s="188"/>
      <c r="AP3441" s="188"/>
      <c r="AQ3441" s="188"/>
      <c r="AR3441" s="188"/>
      <c r="AS3441" s="188"/>
      <c r="AT3441" s="188"/>
      <c r="AU3441" s="188"/>
    </row>
    <row r="3442" ht="15.75" hidden="1" customHeight="1" outlineLevel="1">
      <c r="A3442" s="389"/>
      <c r="B3442" s="24"/>
      <c r="C3442" s="188"/>
      <c r="D3442" s="188"/>
      <c r="E3442" s="188"/>
      <c r="F3442" s="188"/>
      <c r="G3442" s="188"/>
      <c r="H3442" s="188"/>
      <c r="I3442" s="188"/>
      <c r="J3442" s="188"/>
      <c r="K3442" s="188"/>
      <c r="L3442" s="188"/>
      <c r="M3442" s="188"/>
      <c r="N3442" s="188"/>
      <c r="O3442" s="188"/>
      <c r="P3442" s="188"/>
      <c r="Q3442" s="188"/>
      <c r="R3442" s="188"/>
      <c r="S3442" s="78"/>
      <c r="T3442" s="78"/>
      <c r="U3442" s="78"/>
      <c r="V3442" s="78"/>
      <c r="W3442" s="139"/>
      <c r="X3442" s="188">
        <f>IPMT('Assumptions (O&amp;G Upstream)'!$B$344,Model!W$1,'Assumptions (O&amp;G Upstream)'!$B$347,Model!$X$3366)</f>
        <v>-9.780814664</v>
      </c>
      <c r="Y3442" s="188">
        <f>IPMT('Assumptions (O&amp;G Upstream)'!$B$344,Model!X$1,'Assumptions (O&amp;G Upstream)'!$B$347,Model!$X$3366)</f>
        <v>-9.089448709</v>
      </c>
      <c r="Z3442" s="188">
        <f>IPMT('Assumptions (O&amp;G Upstream)'!$B$344,Model!Y$1,'Assumptions (O&amp;G Upstream)'!$B$347,Model!$X$3366)</f>
        <v>-8.346230306</v>
      </c>
      <c r="AA3442" s="188">
        <f>IPMT('Assumptions (O&amp;G Upstream)'!$B$344,Model!Z$1,'Assumptions (O&amp;G Upstream)'!$B$347,Model!$X$3366)</f>
        <v>-7.547270524</v>
      </c>
      <c r="AB3442" s="188">
        <f>IPMT('Assumptions (O&amp;G Upstream)'!$B$344,Model!AA$1,'Assumptions (O&amp;G Upstream)'!$B$347,Model!$X$3366)</f>
        <v>-6.688388758</v>
      </c>
      <c r="AC3442" s="188">
        <f>IPMT('Assumptions (O&amp;G Upstream)'!$B$344,Model!AB$1,'Assumptions (O&amp;G Upstream)'!$B$347,Model!$X$3366)</f>
        <v>-5.76509086</v>
      </c>
      <c r="AD3442" s="188">
        <f>IPMT('Assumptions (O&amp;G Upstream)'!$B$344,Model!AC$1,'Assumptions (O&amp;G Upstream)'!$B$347,Model!$X$3366)</f>
        <v>-4.772545619</v>
      </c>
      <c r="AE3442" s="188">
        <f>IPMT('Assumptions (O&amp;G Upstream)'!$B$344,Model!AD$1,'Assumptions (O&amp;G Upstream)'!$B$347,Model!$X$3366)</f>
        <v>-3.705559485</v>
      </c>
      <c r="AF3442" s="188">
        <f>IPMT('Assumptions (O&amp;G Upstream)'!$B$344,Model!AE$1,'Assumptions (O&amp;G Upstream)'!$B$347,Model!$X$3366)</f>
        <v>-2.558549391</v>
      </c>
      <c r="AG3442" s="188">
        <f>IPMT('Assumptions (O&amp;G Upstream)'!$B$344,Model!AF$1,'Assumptions (O&amp;G Upstream)'!$B$347,Model!$X$3366)</f>
        <v>-1.32551354</v>
      </c>
      <c r="AH3442" s="188"/>
      <c r="AI3442" s="188"/>
      <c r="AJ3442" s="188"/>
      <c r="AK3442" s="188"/>
      <c r="AL3442" s="188"/>
      <c r="AM3442" s="188"/>
      <c r="AN3442" s="188"/>
      <c r="AO3442" s="188"/>
      <c r="AP3442" s="188"/>
      <c r="AQ3442" s="188"/>
      <c r="AR3442" s="188"/>
      <c r="AS3442" s="188"/>
      <c r="AT3442" s="188"/>
      <c r="AU3442" s="188"/>
      <c r="AV3442" s="188"/>
    </row>
    <row r="3443" ht="15.75" hidden="1" customHeight="1" outlineLevel="1">
      <c r="A3443" s="389"/>
      <c r="B3443" s="24"/>
      <c r="C3443" s="188"/>
      <c r="D3443" s="188"/>
      <c r="E3443" s="188"/>
      <c r="F3443" s="188"/>
      <c r="G3443" s="188"/>
      <c r="H3443" s="188"/>
      <c r="I3443" s="188"/>
      <c r="J3443" s="188"/>
      <c r="K3443" s="188"/>
      <c r="L3443" s="188"/>
      <c r="M3443" s="188"/>
      <c r="N3443" s="188"/>
      <c r="O3443" s="188"/>
      <c r="P3443" s="188"/>
      <c r="Q3443" s="188"/>
      <c r="R3443" s="188"/>
      <c r="S3443" s="78"/>
      <c r="T3443" s="78"/>
      <c r="U3443" s="78"/>
      <c r="V3443" s="78"/>
      <c r="W3443" s="139"/>
      <c r="Y3443" s="188">
        <f>IPMT('Assumptions (O&amp;G Upstream)'!$B$344,Model!W$1,'Assumptions (O&amp;G Upstream)'!$B$347,Model!$Y$3366)</f>
        <v>-9.905608997</v>
      </c>
      <c r="Z3443" s="188">
        <f>IPMT('Assumptions (O&amp;G Upstream)'!$B$344,Model!X$1,'Assumptions (O&amp;G Upstream)'!$B$347,Model!$Y$3366)</f>
        <v>-9.205421838</v>
      </c>
      <c r="AA3443" s="188">
        <f>IPMT('Assumptions (O&amp;G Upstream)'!$B$344,Model!Y$1,'Assumptions (O&amp;G Upstream)'!$B$347,Model!$Y$3366)</f>
        <v>-8.452720643</v>
      </c>
      <c r="AB3443" s="188">
        <f>IPMT('Assumptions (O&amp;G Upstream)'!$B$344,Model!Z$1,'Assumptions (O&amp;G Upstream)'!$B$347,Model!$Y$3366)</f>
        <v>-7.643566857</v>
      </c>
      <c r="AC3443" s="188">
        <f>IPMT('Assumptions (O&amp;G Upstream)'!$B$344,Model!AA$1,'Assumptions (O&amp;G Upstream)'!$B$347,Model!$Y$3366)</f>
        <v>-6.773726538</v>
      </c>
      <c r="AD3443" s="188">
        <f>IPMT('Assumptions (O&amp;G Upstream)'!$B$344,Model!AB$1,'Assumptions (O&amp;G Upstream)'!$B$347,Model!$Y$3366)</f>
        <v>-5.838648195</v>
      </c>
      <c r="AE3443" s="188">
        <f>IPMT('Assumptions (O&amp;G Upstream)'!$B$344,Model!AC$1,'Assumptions (O&amp;G Upstream)'!$B$347,Model!$Y$3366)</f>
        <v>-4.833438976</v>
      </c>
      <c r="AF3443" s="188">
        <f>IPMT('Assumptions (O&amp;G Upstream)'!$B$344,Model!AD$1,'Assumptions (O&amp;G Upstream)'!$B$347,Model!$Y$3366)</f>
        <v>-3.752839066</v>
      </c>
      <c r="AG3443" s="188">
        <f>IPMT('Assumptions (O&amp;G Upstream)'!$B$344,Model!AE$1,'Assumptions (O&amp;G Upstream)'!$B$347,Model!$Y$3366)</f>
        <v>-2.591194163</v>
      </c>
      <c r="AH3443" s="188">
        <f>IPMT('Assumptions (O&amp;G Upstream)'!$B$344,Model!AF$1,'Assumptions (O&amp;G Upstream)'!$B$347,Model!$Y$3366)</f>
        <v>-1.342425892</v>
      </c>
      <c r="AI3443" s="188"/>
      <c r="AJ3443" s="188"/>
      <c r="AK3443" s="188"/>
      <c r="AL3443" s="188"/>
      <c r="AM3443" s="188"/>
      <c r="AN3443" s="188"/>
      <c r="AO3443" s="188"/>
      <c r="AP3443" s="188"/>
      <c r="AQ3443" s="188"/>
      <c r="AR3443" s="188"/>
      <c r="AS3443" s="188"/>
      <c r="AT3443" s="188"/>
      <c r="AU3443" s="188"/>
      <c r="AV3443" s="188"/>
      <c r="AW3443" s="188"/>
    </row>
    <row r="3444" ht="15.75" hidden="1" customHeight="1" outlineLevel="1">
      <c r="A3444" s="389"/>
      <c r="B3444" s="24"/>
      <c r="C3444" s="188"/>
      <c r="D3444" s="188"/>
      <c r="E3444" s="188"/>
      <c r="F3444" s="188"/>
      <c r="G3444" s="188"/>
      <c r="H3444" s="188"/>
      <c r="I3444" s="188"/>
      <c r="J3444" s="188"/>
      <c r="K3444" s="188"/>
      <c r="L3444" s="188"/>
      <c r="M3444" s="188"/>
      <c r="N3444" s="188"/>
      <c r="O3444" s="188"/>
      <c r="P3444" s="188"/>
      <c r="Q3444" s="188"/>
      <c r="R3444" s="188"/>
      <c r="S3444" s="78"/>
      <c r="T3444" s="78"/>
      <c r="U3444" s="78"/>
      <c r="V3444" s="78"/>
      <c r="W3444" s="139"/>
      <c r="Z3444" s="188">
        <f>IPMT('Assumptions (O&amp;G Upstream)'!$B$344,Model!W$1,'Assumptions (O&amp;G Upstream)'!$B$347,Model!$Z$3366)</f>
        <v>-10.12096679</v>
      </c>
      <c r="AA3444" s="188">
        <f>IPMT('Assumptions (O&amp;G Upstream)'!$B$344,Model!X$1,'Assumptions (O&amp;G Upstream)'!$B$347,Model!$Z$3366)</f>
        <v>-9.405556866</v>
      </c>
      <c r="AB3444" s="188">
        <f>IPMT('Assumptions (O&amp;G Upstream)'!$B$344,Model!Y$1,'Assumptions (O&amp;G Upstream)'!$B$347,Model!$Z$3366)</f>
        <v>-8.636491197</v>
      </c>
      <c r="AC3444" s="188">
        <f>IPMT('Assumptions (O&amp;G Upstream)'!$B$344,Model!Z$1,'Assumptions (O&amp;G Upstream)'!$B$347,Model!$Z$3366)</f>
        <v>-7.809745604</v>
      </c>
      <c r="AD3444" s="188">
        <f>IPMT('Assumptions (O&amp;G Upstream)'!$B$344,Model!AA$1,'Assumptions (O&amp;G Upstream)'!$B$347,Model!$Z$3366)</f>
        <v>-6.920994091</v>
      </c>
      <c r="AE3444" s="188">
        <f>IPMT('Assumptions (O&amp;G Upstream)'!$B$344,Model!AB$1,'Assumptions (O&amp;G Upstream)'!$B$347,Model!$Z$3366)</f>
        <v>-5.965586215</v>
      </c>
      <c r="AF3444" s="188">
        <f>IPMT('Assumptions (O&amp;G Upstream)'!$B$344,Model!AC$1,'Assumptions (O&amp;G Upstream)'!$B$347,Model!$Z$3366)</f>
        <v>-4.938522748</v>
      </c>
      <c r="AG3444" s="188">
        <f>IPMT('Assumptions (O&amp;G Upstream)'!$B$344,Model!AD$1,'Assumptions (O&amp;G Upstream)'!$B$347,Model!$Z$3366)</f>
        <v>-3.834429521</v>
      </c>
      <c r="AH3444" s="188">
        <f>IPMT('Assumptions (O&amp;G Upstream)'!$B$344,Model!AE$1,'Assumptions (O&amp;G Upstream)'!$B$347,Model!$Z$3366)</f>
        <v>-2.647529301</v>
      </c>
      <c r="AI3444" s="188">
        <f>IPMT('Assumptions (O&amp;G Upstream)'!$B$344,Model!AF$1,'Assumptions (O&amp;G Upstream)'!$B$347,Model!$Z$3366)</f>
        <v>-1.371611566</v>
      </c>
      <c r="AJ3444" s="188"/>
      <c r="AK3444" s="188"/>
      <c r="AL3444" s="188"/>
      <c r="AM3444" s="188"/>
      <c r="AN3444" s="188"/>
      <c r="AO3444" s="188"/>
      <c r="AP3444" s="188"/>
      <c r="AQ3444" s="188"/>
      <c r="AR3444" s="188"/>
      <c r="AS3444" s="188"/>
      <c r="AT3444" s="188"/>
      <c r="AU3444" s="188"/>
      <c r="AV3444" s="188"/>
      <c r="AW3444" s="188"/>
      <c r="AX3444" s="188"/>
    </row>
    <row r="3445" ht="15.75" hidden="1" customHeight="1" outlineLevel="1">
      <c r="A3445" s="389"/>
      <c r="B3445" s="24"/>
      <c r="C3445" s="188"/>
      <c r="D3445" s="188"/>
      <c r="E3445" s="188"/>
      <c r="F3445" s="188"/>
      <c r="G3445" s="188"/>
      <c r="H3445" s="188"/>
      <c r="I3445" s="188"/>
      <c r="J3445" s="188"/>
      <c r="K3445" s="188"/>
      <c r="L3445" s="188"/>
      <c r="M3445" s="188"/>
      <c r="N3445" s="188"/>
      <c r="O3445" s="188"/>
      <c r="P3445" s="188"/>
      <c r="Q3445" s="188"/>
      <c r="R3445" s="188"/>
      <c r="S3445" s="78"/>
      <c r="T3445" s="78"/>
      <c r="U3445" s="78"/>
      <c r="V3445" s="78"/>
      <c r="W3445" s="139"/>
      <c r="AA3445" s="188">
        <f>IPMT('Assumptions (O&amp;G Upstream)'!$B$344,Model!W$1,'Assumptions (O&amp;G Upstream)'!$B$347,Model!$AA$3366)</f>
        <v>-10.58218134</v>
      </c>
      <c r="AB3445" s="188">
        <f>IPMT('Assumptions (O&amp;G Upstream)'!$B$344,Model!X$1,'Assumptions (O&amp;G Upstream)'!$B$347,Model!$AA$3366)</f>
        <v>-9.834170042</v>
      </c>
      <c r="AC3445" s="188">
        <f>IPMT('Assumptions (O&amp;G Upstream)'!$B$344,Model!Y$1,'Assumptions (O&amp;G Upstream)'!$B$347,Model!$AA$3366)</f>
        <v>-9.030057892</v>
      </c>
      <c r="AD3445" s="188">
        <f>IPMT('Assumptions (O&amp;G Upstream)'!$B$344,Model!Z$1,'Assumptions (O&amp;G Upstream)'!$B$347,Model!$AA$3366)</f>
        <v>-8.16563733</v>
      </c>
      <c r="AE3445" s="188">
        <f>IPMT('Assumptions (O&amp;G Upstream)'!$B$344,Model!AA$1,'Assumptions (O&amp;G Upstream)'!$B$347,Model!$AA$3366)</f>
        <v>-7.236385227</v>
      </c>
      <c r="AF3445" s="188">
        <f>IPMT('Assumptions (O&amp;G Upstream)'!$B$344,Model!AB$1,'Assumptions (O&amp;G Upstream)'!$B$347,Model!$AA$3366)</f>
        <v>-6.237439215</v>
      </c>
      <c r="AG3445" s="188">
        <f>IPMT('Assumptions (O&amp;G Upstream)'!$B$344,Model!AC$1,'Assumptions (O&amp;G Upstream)'!$B$347,Model!$AA$3366)</f>
        <v>-5.163572253</v>
      </c>
      <c r="AH3445" s="188">
        <f>IPMT('Assumptions (O&amp;G Upstream)'!$B$344,Model!AD$1,'Assumptions (O&amp;G Upstream)'!$B$347,Model!$AA$3366)</f>
        <v>-4.009165269</v>
      </c>
      <c r="AI3445" s="188">
        <f>IPMT('Assumptions (O&amp;G Upstream)'!$B$344,Model!AE$1,'Assumptions (O&amp;G Upstream)'!$B$347,Model!$AA$3366)</f>
        <v>-2.768177761</v>
      </c>
      <c r="AJ3445" s="188">
        <f>IPMT('Assumptions (O&amp;G Upstream)'!$B$344,Model!AF$1,'Assumptions (O&amp;G Upstream)'!$B$347,Model!$AA$3366)</f>
        <v>-1.434116189</v>
      </c>
      <c r="AK3445" s="188"/>
      <c r="AL3445" s="188"/>
      <c r="AM3445" s="188"/>
      <c r="AN3445" s="188"/>
      <c r="AO3445" s="188"/>
      <c r="AP3445" s="188"/>
      <c r="AQ3445" s="188"/>
      <c r="AR3445" s="188"/>
      <c r="AS3445" s="188"/>
      <c r="AT3445" s="188"/>
      <c r="AU3445" s="188"/>
      <c r="AV3445" s="188"/>
      <c r="AW3445" s="188"/>
      <c r="AX3445" s="188"/>
      <c r="AY3445" s="188"/>
    </row>
    <row r="3446" ht="15.75" hidden="1" customHeight="1" outlineLevel="1">
      <c r="A3446" s="389"/>
      <c r="B3446" s="24"/>
      <c r="C3446" s="188"/>
      <c r="D3446" s="188"/>
      <c r="E3446" s="188"/>
      <c r="F3446" s="188"/>
      <c r="G3446" s="188"/>
      <c r="H3446" s="188"/>
      <c r="I3446" s="188"/>
      <c r="J3446" s="188"/>
      <c r="K3446" s="188"/>
      <c r="L3446" s="188"/>
      <c r="M3446" s="188"/>
      <c r="N3446" s="188"/>
      <c r="O3446" s="188"/>
      <c r="P3446" s="188"/>
      <c r="Q3446" s="188"/>
      <c r="R3446" s="188"/>
      <c r="S3446" s="78"/>
      <c r="T3446" s="78"/>
      <c r="U3446" s="78"/>
      <c r="V3446" s="78"/>
      <c r="W3446" s="139"/>
      <c r="AB3446" s="188">
        <f>IPMT('Assumptions (O&amp;G Upstream)'!$B$344,Model!W$1,'Assumptions (O&amp;G Upstream)'!$B$347,Model!$AB$3366)</f>
        <v>-10.95327459</v>
      </c>
      <c r="AC3446" s="188">
        <f>IPMT('Assumptions (O&amp;G Upstream)'!$B$344,Model!X$1,'Assumptions (O&amp;G Upstream)'!$B$347,Model!$AB$3366)</f>
        <v>-10.17903222</v>
      </c>
      <c r="AD3446" s="188">
        <f>IPMT('Assumptions (O&amp;G Upstream)'!$B$344,Model!Y$1,'Assumptions (O&amp;G Upstream)'!$B$347,Model!$AB$3366)</f>
        <v>-9.346721665</v>
      </c>
      <c r="AE3446" s="188">
        <f>IPMT('Assumptions (O&amp;G Upstream)'!$B$344,Model!Z$1,'Assumptions (O&amp;G Upstream)'!$B$347,Model!$AB$3366)</f>
        <v>-8.451987823</v>
      </c>
      <c r="AF3446" s="188">
        <f>IPMT('Assumptions (O&amp;G Upstream)'!$B$344,Model!AA$1,'Assumptions (O&amp;G Upstream)'!$B$347,Model!$AB$3366)</f>
        <v>-7.490148943</v>
      </c>
      <c r="AG3446" s="188">
        <f>IPMT('Assumptions (O&amp;G Upstream)'!$B$344,Model!AB$1,'Assumptions (O&amp;G Upstream)'!$B$347,Model!$AB$3366)</f>
        <v>-6.456172147</v>
      </c>
      <c r="AH3446" s="188">
        <f>IPMT('Assumptions (O&amp;G Upstream)'!$B$344,Model!AC$1,'Assumptions (O&amp;G Upstream)'!$B$347,Model!$AB$3366)</f>
        <v>-5.344647091</v>
      </c>
      <c r="AI3446" s="188">
        <f>IPMT('Assumptions (O&amp;G Upstream)'!$B$344,Model!AD$1,'Assumptions (O&amp;G Upstream)'!$B$347,Model!$AB$3366)</f>
        <v>-4.149757656</v>
      </c>
      <c r="AJ3446" s="188">
        <f>IPMT('Assumptions (O&amp;G Upstream)'!$B$344,Model!AE$1,'Assumptions (O&amp;G Upstream)'!$B$347,Model!$AB$3366)</f>
        <v>-2.865251514</v>
      </c>
      <c r="AK3446" s="188">
        <f>IPMT('Assumptions (O&amp;G Upstream)'!$B$344,Model!AF$1,'Assumptions (O&amp;G Upstream)'!$B$347,Model!$AB$3366)</f>
        <v>-1.484407411</v>
      </c>
      <c r="AL3446" s="188"/>
      <c r="AM3446" s="188"/>
      <c r="AN3446" s="188"/>
      <c r="AO3446" s="188"/>
      <c r="AP3446" s="188"/>
      <c r="AQ3446" s="188"/>
      <c r="AR3446" s="188"/>
      <c r="AS3446" s="188"/>
      <c r="AT3446" s="188"/>
      <c r="AU3446" s="188"/>
      <c r="AV3446" s="188"/>
      <c r="AW3446" s="188"/>
      <c r="AX3446" s="188"/>
      <c r="AY3446" s="188"/>
      <c r="AZ3446" s="188"/>
    </row>
    <row r="3447" ht="15.75" hidden="1" customHeight="1" outlineLevel="1">
      <c r="A3447" s="389"/>
      <c r="B3447" s="24"/>
      <c r="C3447" s="188"/>
      <c r="D3447" s="188"/>
      <c r="E3447" s="188"/>
      <c r="F3447" s="188"/>
      <c r="G3447" s="188"/>
      <c r="H3447" s="188"/>
      <c r="I3447" s="188"/>
      <c r="J3447" s="188"/>
      <c r="K3447" s="188"/>
      <c r="L3447" s="188"/>
      <c r="M3447" s="188"/>
      <c r="N3447" s="188"/>
      <c r="O3447" s="188"/>
      <c r="P3447" s="188"/>
      <c r="Q3447" s="188"/>
      <c r="R3447" s="188"/>
      <c r="S3447" s="78"/>
      <c r="T3447" s="78"/>
      <c r="U3447" s="78"/>
      <c r="V3447" s="78"/>
      <c r="W3447" s="139"/>
      <c r="AC3447" s="188">
        <f>IPMT('Assumptions (O&amp;G Upstream)'!$B$344,Model!W$1,'Assumptions (O&amp;G Upstream)'!$B$347,Model!$AC$3366)</f>
        <v>-11.36465751</v>
      </c>
      <c r="AD3447" s="188">
        <f>IPMT('Assumptions (O&amp;G Upstream)'!$B$344,Model!X$1,'Assumptions (O&amp;G Upstream)'!$B$347,Model!$AC$3366)</f>
        <v>-10.56133615</v>
      </c>
      <c r="AE3447" s="188">
        <f>IPMT('Assumptions (O&amp;G Upstream)'!$B$344,Model!Y$1,'Assumptions (O&amp;G Upstream)'!$B$347,Model!$AC$3366)</f>
        <v>-9.697765694</v>
      </c>
      <c r="AF3447" s="188">
        <f>IPMT('Assumptions (O&amp;G Upstream)'!$B$344,Model!Z$1,'Assumptions (O&amp;G Upstream)'!$B$347,Model!$AC$3366)</f>
        <v>-8.769427452</v>
      </c>
      <c r="AG3447" s="188">
        <f>IPMT('Assumptions (O&amp;G Upstream)'!$B$344,Model!AA$1,'Assumptions (O&amp;G Upstream)'!$B$347,Model!$AC$3366)</f>
        <v>-7.771463842</v>
      </c>
      <c r="AH3447" s="188">
        <f>IPMT('Assumptions (O&amp;G Upstream)'!$B$344,Model!AB$1,'Assumptions (O&amp;G Upstream)'!$B$347,Model!$AC$3366)</f>
        <v>-6.698652962</v>
      </c>
      <c r="AI3447" s="188">
        <f>IPMT('Assumptions (O&amp;G Upstream)'!$B$344,Model!AC$1,'Assumptions (O&amp;G Upstream)'!$B$347,Model!$AC$3366)</f>
        <v>-5.545381265</v>
      </c>
      <c r="AJ3447" s="188">
        <f>IPMT('Assumptions (O&amp;G Upstream)'!$B$344,Model!AD$1,'Assumptions (O&amp;G Upstream)'!$B$347,Model!$AC$3366)</f>
        <v>-4.305614191</v>
      </c>
      <c r="AK3447" s="188">
        <f>IPMT('Assumptions (O&amp;G Upstream)'!$B$344,Model!AE$1,'Assumptions (O&amp;G Upstream)'!$B$347,Model!$AC$3366)</f>
        <v>-2.972864587</v>
      </c>
      <c r="AL3447" s="188">
        <f>IPMT('Assumptions (O&amp;G Upstream)'!$B$344,Model!AF$1,'Assumptions (O&amp;G Upstream)'!$B$347,Model!$AC$3366)</f>
        <v>-1.540158762</v>
      </c>
      <c r="AM3447" s="188"/>
      <c r="AN3447" s="188"/>
      <c r="AO3447" s="188"/>
      <c r="AP3447" s="188"/>
      <c r="AQ3447" s="188"/>
      <c r="AR3447" s="188"/>
      <c r="AS3447" s="188"/>
      <c r="AT3447" s="188"/>
      <c r="AU3447" s="188"/>
      <c r="AV3447" s="188"/>
      <c r="AW3447" s="188"/>
      <c r="AX3447" s="188"/>
      <c r="AY3447" s="188"/>
      <c r="AZ3447" s="188"/>
      <c r="BA3447" s="188"/>
    </row>
    <row r="3448" ht="15.75" hidden="1" customHeight="1" outlineLevel="1">
      <c r="A3448" s="389"/>
      <c r="B3448" s="24"/>
      <c r="C3448" s="188"/>
      <c r="D3448" s="188"/>
      <c r="E3448" s="188"/>
      <c r="F3448" s="188"/>
      <c r="G3448" s="188"/>
      <c r="H3448" s="188"/>
      <c r="I3448" s="188"/>
      <c r="J3448" s="188"/>
      <c r="K3448" s="188"/>
      <c r="L3448" s="188"/>
      <c r="M3448" s="188"/>
      <c r="N3448" s="188"/>
      <c r="O3448" s="188"/>
      <c r="P3448" s="188"/>
      <c r="Q3448" s="188"/>
      <c r="R3448" s="188"/>
      <c r="S3448" s="78"/>
      <c r="T3448" s="78"/>
      <c r="U3448" s="78"/>
      <c r="V3448" s="78"/>
      <c r="W3448" s="139"/>
      <c r="AD3448" s="188">
        <f>IPMT('Assumptions (O&amp;G Upstream)'!$B$344,Model!W$1,'Assumptions (O&amp;G Upstream)'!$B$347,Model!$AD$3366)</f>
        <v>-11.82684465</v>
      </c>
      <c r="AE3448" s="188">
        <f>IPMT('Assumptions (O&amp;G Upstream)'!$B$344,Model!X$1,'Assumptions (O&amp;G Upstream)'!$B$347,Model!$AD$3366)</f>
        <v>-10.99085317</v>
      </c>
      <c r="AF3448" s="188">
        <f>IPMT('Assumptions (O&amp;G Upstream)'!$B$344,Model!Y$1,'Assumptions (O&amp;G Upstream)'!$B$347,Model!$AD$3366)</f>
        <v>-10.09216232</v>
      </c>
      <c r="AG3448" s="188">
        <f>IPMT('Assumptions (O&amp;G Upstream)'!$B$344,Model!Z$1,'Assumptions (O&amp;G Upstream)'!$B$347,Model!$AD$3366)</f>
        <v>-9.126069666</v>
      </c>
      <c r="AH3448" s="188">
        <f>IPMT('Assumptions (O&amp;G Upstream)'!$B$344,Model!AA$1,'Assumptions (O&amp;G Upstream)'!$B$347,Model!$AD$3366)</f>
        <v>-8.087520059</v>
      </c>
      <c r="AI3448" s="188">
        <f>IPMT('Assumptions (O&amp;G Upstream)'!$B$344,Model!AB$1,'Assumptions (O&amp;G Upstream)'!$B$347,Model!$AD$3366)</f>
        <v>-6.971079233</v>
      </c>
      <c r="AJ3448" s="188">
        <f>IPMT('Assumptions (O&amp;G Upstream)'!$B$344,Model!AC$1,'Assumptions (O&amp;G Upstream)'!$B$347,Model!$AD$3366)</f>
        <v>-5.770905344</v>
      </c>
      <c r="AK3448" s="188">
        <f>IPMT('Assumptions (O&amp;G Upstream)'!$B$344,Model!AD$1,'Assumptions (O&amp;G Upstream)'!$B$347,Model!$AD$3366)</f>
        <v>-4.480718414</v>
      </c>
      <c r="AL3448" s="188">
        <f>IPMT('Assumptions (O&amp;G Upstream)'!$B$344,Model!AE$1,'Assumptions (O&amp;G Upstream)'!$B$347,Model!$AD$3366)</f>
        <v>-3.093767463</v>
      </c>
      <c r="AM3448" s="188">
        <f>IPMT('Assumptions (O&amp;G Upstream)'!$B$344,Model!AF$1,'Assumptions (O&amp;G Upstream)'!$B$347,Model!$AD$3366)</f>
        <v>-1.602795192</v>
      </c>
      <c r="AN3448" s="188"/>
      <c r="AO3448" s="188"/>
      <c r="AP3448" s="188"/>
      <c r="AQ3448" s="188"/>
      <c r="AR3448" s="188"/>
      <c r="AS3448" s="188"/>
      <c r="AT3448" s="188"/>
      <c r="AU3448" s="188"/>
      <c r="AV3448" s="188"/>
      <c r="AW3448" s="188"/>
      <c r="AX3448" s="188"/>
      <c r="AY3448" s="188"/>
      <c r="AZ3448" s="188"/>
      <c r="BA3448" s="188"/>
      <c r="BB3448" s="188"/>
    </row>
    <row r="3449" ht="15.75" hidden="1" customHeight="1" outlineLevel="1">
      <c r="A3449" s="389"/>
      <c r="B3449" s="24"/>
      <c r="C3449" s="188"/>
      <c r="D3449" s="188"/>
      <c r="E3449" s="188"/>
      <c r="F3449" s="188"/>
      <c r="G3449" s="188"/>
      <c r="H3449" s="188"/>
      <c r="I3449" s="188"/>
      <c r="J3449" s="188"/>
      <c r="K3449" s="188"/>
      <c r="L3449" s="188"/>
      <c r="M3449" s="188"/>
      <c r="N3449" s="188"/>
      <c r="O3449" s="188"/>
      <c r="P3449" s="188"/>
      <c r="Q3449" s="188"/>
      <c r="R3449" s="188"/>
      <c r="S3449" s="78"/>
      <c r="T3449" s="78"/>
      <c r="U3449" s="78"/>
      <c r="V3449" s="78"/>
      <c r="W3449" s="139"/>
      <c r="AE3449" s="188">
        <f>IPMT('Assumptions (O&amp;G Upstream)'!$B$344,Model!W$1,'Assumptions (O&amp;G Upstream)'!$B$347,Model!$AE$3366)</f>
        <v>-12.1128763</v>
      </c>
      <c r="AF3449" s="188">
        <f>IPMT('Assumptions (O&amp;G Upstream)'!$B$344,Model!X$1,'Assumptions (O&amp;G Upstream)'!$B$347,Model!$AE$3366)</f>
        <v>-11.25666641</v>
      </c>
      <c r="AG3449" s="188">
        <f>IPMT('Assumptions (O&amp;G Upstream)'!$B$344,Model!Y$1,'Assumptions (O&amp;G Upstream)'!$B$347,Model!$AE$3366)</f>
        <v>-10.33624077</v>
      </c>
      <c r="AH3449" s="188">
        <f>IPMT('Assumptions (O&amp;G Upstream)'!$B$344,Model!Z$1,'Assumptions (O&amp;G Upstream)'!$B$347,Model!$AE$3366)</f>
        <v>-9.346783211</v>
      </c>
      <c r="AI3449" s="188">
        <f>IPMT('Assumptions (O&amp;G Upstream)'!$B$344,Model!AA$1,'Assumptions (O&amp;G Upstream)'!$B$347,Model!$AE$3366)</f>
        <v>-8.283116334</v>
      </c>
      <c r="AJ3449" s="188">
        <f>IPMT('Assumptions (O&amp;G Upstream)'!$B$344,Model!AB$1,'Assumptions (O&amp;G Upstream)'!$B$347,Model!$AE$3366)</f>
        <v>-7.139674441</v>
      </c>
      <c r="AK3449" s="188">
        <f>IPMT('Assumptions (O&amp;G Upstream)'!$B$344,Model!AC$1,'Assumptions (O&amp;G Upstream)'!$B$347,Model!$AE$3366)</f>
        <v>-5.910474406</v>
      </c>
      <c r="AL3449" s="188">
        <f>IPMT('Assumptions (O&amp;G Upstream)'!$B$344,Model!AD$1,'Assumptions (O&amp;G Upstream)'!$B$347,Model!$AE$3366)</f>
        <v>-4.589084368</v>
      </c>
      <c r="AM3449" s="188">
        <f>IPMT('Assumptions (O&amp;G Upstream)'!$B$344,Model!AE$1,'Assumptions (O&amp;G Upstream)'!$B$347,Model!$AE$3366)</f>
        <v>-3.168590077</v>
      </c>
      <c r="AN3449" s="188">
        <f>IPMT('Assumptions (O&amp;G Upstream)'!$B$344,Model!AF$1,'Assumptions (O&amp;G Upstream)'!$B$347,Model!$AE$3366)</f>
        <v>-1.641558715</v>
      </c>
      <c r="AO3449" s="188"/>
      <c r="AP3449" s="188"/>
      <c r="AQ3449" s="188"/>
      <c r="AR3449" s="188"/>
      <c r="AS3449" s="188"/>
      <c r="AT3449" s="188"/>
      <c r="AU3449" s="188"/>
      <c r="AV3449" s="188"/>
      <c r="AW3449" s="188"/>
      <c r="AX3449" s="188"/>
      <c r="AY3449" s="188"/>
      <c r="AZ3449" s="188"/>
      <c r="BA3449" s="188"/>
      <c r="BB3449" s="188"/>
      <c r="BC3449" s="188"/>
    </row>
    <row r="3450" ht="15.75" hidden="1" customHeight="1" outlineLevel="1">
      <c r="A3450" s="389"/>
      <c r="B3450" s="24"/>
      <c r="C3450" s="188"/>
      <c r="D3450" s="188"/>
      <c r="E3450" s="188"/>
      <c r="F3450" s="188"/>
      <c r="G3450" s="188"/>
      <c r="H3450" s="188"/>
      <c r="I3450" s="188"/>
      <c r="J3450" s="188"/>
      <c r="K3450" s="188"/>
      <c r="L3450" s="188"/>
      <c r="M3450" s="188"/>
      <c r="N3450" s="188"/>
      <c r="O3450" s="188"/>
      <c r="P3450" s="188"/>
      <c r="Q3450" s="188"/>
      <c r="R3450" s="188"/>
      <c r="S3450" s="78"/>
      <c r="T3450" s="78"/>
      <c r="U3450" s="78"/>
      <c r="V3450" s="78"/>
      <c r="W3450" s="139"/>
      <c r="AF3450" s="188">
        <f>IPMT('Assumptions (O&amp;G Upstream)'!$B$344,Model!W$1,'Assumptions (O&amp;G Upstream)'!$B$347,Model!$AF$3366)</f>
        <v>-12.46812916</v>
      </c>
      <c r="AG3450" s="188">
        <f>IPMT('Assumptions (O&amp;G Upstream)'!$B$344,Model!X$1,'Assumptions (O&amp;G Upstream)'!$B$347,Model!$AF$3366)</f>
        <v>-11.58680789</v>
      </c>
      <c r="AH3450" s="188">
        <f>IPMT('Assumptions (O&amp;G Upstream)'!$B$344,Model!Y$1,'Assumptions (O&amp;G Upstream)'!$B$347,Model!$AF$3366)</f>
        <v>-10.63938752</v>
      </c>
      <c r="AI3450" s="188">
        <f>IPMT('Assumptions (O&amp;G Upstream)'!$B$344,Model!Z$1,'Assumptions (O&amp;G Upstream)'!$B$347,Model!$AF$3366)</f>
        <v>-9.620910626</v>
      </c>
      <c r="AJ3450" s="188">
        <f>IPMT('Assumptions (O&amp;G Upstream)'!$B$344,Model!AA$1,'Assumptions (O&amp;G Upstream)'!$B$347,Model!$AF$3366)</f>
        <v>-8.526047963</v>
      </c>
      <c r="AK3450" s="188">
        <f>IPMT('Assumptions (O&amp;G Upstream)'!$B$344,Model!AB$1,'Assumptions (O&amp;G Upstream)'!$B$347,Model!$AF$3366)</f>
        <v>-7.349070599</v>
      </c>
      <c r="AL3450" s="188">
        <f>IPMT('Assumptions (O&amp;G Upstream)'!$B$344,Model!AC$1,'Assumptions (O&amp;G Upstream)'!$B$347,Model!$AF$3366)</f>
        <v>-6.083819933</v>
      </c>
      <c r="AM3450" s="188">
        <f>IPMT('Assumptions (O&amp;G Upstream)'!$B$344,Model!AD$1,'Assumptions (O&amp;G Upstream)'!$B$347,Model!$AF$3366)</f>
        <v>-4.723675468</v>
      </c>
      <c r="AN3450" s="188">
        <f>IPMT('Assumptions (O&amp;G Upstream)'!$B$344,Model!AE$1,'Assumptions (O&amp;G Upstream)'!$B$347,Model!$AF$3366)</f>
        <v>-3.261520167</v>
      </c>
      <c r="AO3450" s="188">
        <f>IPMT('Assumptions (O&amp;G Upstream)'!$B$344,Model!AF$1,'Assumptions (O&amp;G Upstream)'!$B$347,Model!$AF$3366)</f>
        <v>-1.689703219</v>
      </c>
      <c r="AP3450" s="188"/>
      <c r="AQ3450" s="188"/>
      <c r="AR3450" s="188"/>
      <c r="AS3450" s="188"/>
      <c r="AT3450" s="188"/>
      <c r="AU3450" s="188"/>
      <c r="AV3450" s="188"/>
      <c r="AW3450" s="188"/>
      <c r="AX3450" s="188"/>
      <c r="AY3450" s="188"/>
      <c r="AZ3450" s="188"/>
      <c r="BA3450" s="188"/>
      <c r="BB3450" s="188"/>
      <c r="BC3450" s="188"/>
      <c r="BD3450" s="188"/>
    </row>
    <row r="3451" ht="15.75" hidden="1" customHeight="1" outlineLevel="1">
      <c r="A3451" s="389"/>
      <c r="B3451" s="24"/>
      <c r="C3451" s="188"/>
      <c r="D3451" s="188"/>
      <c r="E3451" s="188"/>
      <c r="F3451" s="188"/>
      <c r="G3451" s="188"/>
      <c r="H3451" s="188"/>
      <c r="I3451" s="188"/>
      <c r="J3451" s="188"/>
      <c r="K3451" s="188"/>
      <c r="L3451" s="188"/>
      <c r="M3451" s="188"/>
      <c r="N3451" s="188"/>
      <c r="O3451" s="188"/>
      <c r="P3451" s="188"/>
      <c r="Q3451" s="188"/>
      <c r="R3451" s="188"/>
      <c r="S3451" s="78"/>
      <c r="T3451" s="78"/>
      <c r="U3451" s="78"/>
      <c r="V3451" s="78"/>
      <c r="W3451" s="139"/>
      <c r="AG3451" s="188">
        <f>IPMT('Assumptions (O&amp;G Upstream)'!$B$344,Model!W$1,'Assumptions (O&amp;G Upstream)'!$B$347,Model!$AG$3366)</f>
        <v>-12.76938215</v>
      </c>
      <c r="AH3451" s="188">
        <f>IPMT('Assumptions (O&amp;G Upstream)'!$B$344,Model!X$1,'Assumptions (O&amp;G Upstream)'!$B$347,Model!$AG$3366)</f>
        <v>-11.86676653</v>
      </c>
      <c r="AI3451" s="188">
        <f>IPMT('Assumptions (O&amp;G Upstream)'!$B$344,Model!Y$1,'Assumptions (O&amp;G Upstream)'!$B$347,Model!$AG$3366)</f>
        <v>-10.89645474</v>
      </c>
      <c r="AJ3451" s="188">
        <f>IPMT('Assumptions (O&amp;G Upstream)'!$B$344,Model!Z$1,'Assumptions (O&amp;G Upstream)'!$B$347,Model!$AG$3366)</f>
        <v>-9.853369567</v>
      </c>
      <c r="AK3451" s="188">
        <f>IPMT('Assumptions (O&amp;G Upstream)'!$B$344,Model!AA$1,'Assumptions (O&amp;G Upstream)'!$B$347,Model!$AG$3366)</f>
        <v>-8.732053002</v>
      </c>
      <c r="AL3451" s="188">
        <f>IPMT('Assumptions (O&amp;G Upstream)'!$B$344,Model!AB$1,'Assumptions (O&amp;G Upstream)'!$B$347,Model!$AG$3366)</f>
        <v>-7.526637695</v>
      </c>
      <c r="AM3451" s="188">
        <f>IPMT('Assumptions (O&amp;G Upstream)'!$B$344,Model!AC$1,'Assumptions (O&amp;G Upstream)'!$B$347,Model!$AG$3366)</f>
        <v>-6.230816241</v>
      </c>
      <c r="AN3451" s="188">
        <f>IPMT('Assumptions (O&amp;G Upstream)'!$B$344,Model!AD$1,'Assumptions (O&amp;G Upstream)'!$B$347,Model!$AG$3366)</f>
        <v>-4.837808177</v>
      </c>
      <c r="AO3451" s="188">
        <f>IPMT('Assumptions (O&amp;G Upstream)'!$B$344,Model!AE$1,'Assumptions (O&amp;G Upstream)'!$B$347,Model!$AG$3366)</f>
        <v>-3.340324508</v>
      </c>
      <c r="AP3451" s="188">
        <f>IPMT('Assumptions (O&amp;G Upstream)'!$B$344,Model!AF$1,'Assumptions (O&amp;G Upstream)'!$B$347,Model!$AG$3366)</f>
        <v>-1.730529565</v>
      </c>
      <c r="AQ3451" s="188"/>
      <c r="AR3451" s="188"/>
      <c r="AS3451" s="188"/>
      <c r="AT3451" s="188"/>
      <c r="AU3451" s="188"/>
      <c r="AV3451" s="188"/>
      <c r="AW3451" s="188"/>
      <c r="AX3451" s="188"/>
      <c r="AY3451" s="188"/>
      <c r="AZ3451" s="188"/>
      <c r="BA3451" s="188"/>
      <c r="BB3451" s="188"/>
      <c r="BC3451" s="188"/>
      <c r="BD3451" s="188"/>
      <c r="BE3451" s="188"/>
    </row>
    <row r="3452" ht="15.75" hidden="1" customHeight="1" outlineLevel="1">
      <c r="A3452" s="389"/>
      <c r="B3452" s="24"/>
      <c r="C3452" s="188"/>
      <c r="D3452" s="188"/>
      <c r="E3452" s="188"/>
      <c r="F3452" s="188"/>
      <c r="G3452" s="188"/>
      <c r="H3452" s="188"/>
      <c r="I3452" s="188"/>
      <c r="J3452" s="188"/>
      <c r="K3452" s="188"/>
      <c r="L3452" s="188"/>
      <c r="M3452" s="188"/>
      <c r="N3452" s="188"/>
      <c r="O3452" s="188"/>
      <c r="P3452" s="188"/>
      <c r="Q3452" s="188"/>
      <c r="R3452" s="188"/>
      <c r="S3452" s="78"/>
      <c r="T3452" s="78"/>
      <c r="U3452" s="78"/>
      <c r="V3452" s="78"/>
      <c r="W3452" s="139"/>
      <c r="AH3452" s="188">
        <f>IPMT('Assumptions (O&amp;G Upstream)'!$B$344,Model!W$1,'Assumptions (O&amp;G Upstream)'!$B$347,Model!$AH$3366)</f>
        <v>-13.10162743</v>
      </c>
      <c r="AI3452" s="188">
        <f>IPMT('Assumptions (O&amp;G Upstream)'!$B$344,Model!X$1,'Assumptions (O&amp;G Upstream)'!$B$347,Model!$AH$3366)</f>
        <v>-12.17552674</v>
      </c>
      <c r="AJ3452" s="188">
        <f>IPMT('Assumptions (O&amp;G Upstream)'!$B$344,Model!Y$1,'Assumptions (O&amp;G Upstream)'!$B$347,Model!$AH$3366)</f>
        <v>-11.17996851</v>
      </c>
      <c r="AK3452" s="188">
        <f>IPMT('Assumptions (O&amp;G Upstream)'!$B$344,Model!Z$1,'Assumptions (O&amp;G Upstream)'!$B$347,Model!$AH$3366)</f>
        <v>-10.1097434</v>
      </c>
      <c r="AL3452" s="188">
        <f>IPMT('Assumptions (O&amp;G Upstream)'!$B$344,Model!AA$1,'Assumptions (O&amp;G Upstream)'!$B$347,Model!$AH$3366)</f>
        <v>-8.959251414</v>
      </c>
      <c r="AM3452" s="188">
        <f>IPMT('Assumptions (O&amp;G Upstream)'!$B$344,Model!AB$1,'Assumptions (O&amp;G Upstream)'!$B$347,Model!$AH$3366)</f>
        <v>-7.722472527</v>
      </c>
      <c r="AN3452" s="188">
        <f>IPMT('Assumptions (O&amp;G Upstream)'!$B$344,Model!AC$1,'Assumptions (O&amp;G Upstream)'!$B$347,Model!$AH$3366)</f>
        <v>-6.392935224</v>
      </c>
      <c r="AO3452" s="188">
        <f>IPMT('Assumptions (O&amp;G Upstream)'!$B$344,Model!AD$1,'Assumptions (O&amp;G Upstream)'!$B$347,Model!$AH$3366)</f>
        <v>-4.963682623</v>
      </c>
      <c r="AP3452" s="188">
        <f>IPMT('Assumptions (O&amp;G Upstream)'!$B$344,Model!AE$1,'Assumptions (O&amp;G Upstream)'!$B$347,Model!$AH$3366)</f>
        <v>-3.427236077</v>
      </c>
      <c r="AQ3452" s="188">
        <f>IPMT('Assumptions (O&amp;G Upstream)'!$B$344,Model!AF$1,'Assumptions (O&amp;G Upstream)'!$B$347,Model!$AH$3366)</f>
        <v>-1.77555604</v>
      </c>
      <c r="AR3452" s="188"/>
      <c r="AS3452" s="188"/>
      <c r="AT3452" s="188"/>
      <c r="AU3452" s="188"/>
      <c r="AV3452" s="188"/>
      <c r="AW3452" s="188"/>
      <c r="AX3452" s="188"/>
      <c r="AY3452" s="188"/>
      <c r="AZ3452" s="188"/>
      <c r="BA3452" s="188"/>
      <c r="BB3452" s="188"/>
      <c r="BC3452" s="188"/>
      <c r="BD3452" s="188"/>
      <c r="BE3452" s="188"/>
      <c r="BF3452" s="188"/>
    </row>
    <row r="3453" ht="15.75" hidden="1" customHeight="1" outlineLevel="1">
      <c r="A3453" s="389"/>
      <c r="B3453" s="24"/>
      <c r="C3453" s="188"/>
      <c r="D3453" s="188"/>
      <c r="E3453" s="188"/>
      <c r="F3453" s="188"/>
      <c r="G3453" s="188"/>
      <c r="H3453" s="188"/>
      <c r="I3453" s="188"/>
      <c r="J3453" s="188"/>
      <c r="K3453" s="188"/>
      <c r="L3453" s="188"/>
      <c r="M3453" s="188"/>
      <c r="N3453" s="188"/>
      <c r="O3453" s="188"/>
      <c r="P3453" s="188"/>
      <c r="Q3453" s="188"/>
      <c r="R3453" s="188"/>
      <c r="S3453" s="78"/>
      <c r="T3453" s="78"/>
      <c r="U3453" s="78"/>
      <c r="V3453" s="78"/>
      <c r="W3453" s="139"/>
      <c r="AI3453" s="188">
        <f>IPMT('Assumptions (O&amp;G Upstream)'!$B$344,Model!W$1,'Assumptions (O&amp;G Upstream)'!$B$347,Model!$AI$3366)</f>
        <v>-13.32262867</v>
      </c>
      <c r="AJ3453" s="188">
        <f>IPMT('Assumptions (O&amp;G Upstream)'!$B$344,Model!X$1,'Assumptions (O&amp;G Upstream)'!$B$347,Model!$AI$3366)</f>
        <v>-12.38090631</v>
      </c>
      <c r="AK3453" s="188">
        <f>IPMT('Assumptions (O&amp;G Upstream)'!$B$344,Model!Y$1,'Assumptions (O&amp;G Upstream)'!$B$347,Model!$AI$3366)</f>
        <v>-11.36855477</v>
      </c>
      <c r="AL3453" s="188">
        <f>IPMT('Assumptions (O&amp;G Upstream)'!$B$344,Model!Z$1,'Assumptions (O&amp;G Upstream)'!$B$347,Model!$AI$3366)</f>
        <v>-10.28027686</v>
      </c>
      <c r="AM3453" s="188">
        <f>IPMT('Assumptions (O&amp;G Upstream)'!$B$344,Model!AA$1,'Assumptions (O&amp;G Upstream)'!$B$347,Model!$AI$3366)</f>
        <v>-9.110378111</v>
      </c>
      <c r="AN3453" s="188">
        <f>IPMT('Assumptions (O&amp;G Upstream)'!$B$344,Model!AB$1,'Assumptions (O&amp;G Upstream)'!$B$347,Model!$AI$3366)</f>
        <v>-7.852736955</v>
      </c>
      <c r="AO3453" s="188">
        <f>IPMT('Assumptions (O&amp;G Upstream)'!$B$344,Model!AC$1,'Assumptions (O&amp;G Upstream)'!$B$347,Model!$AI$3366)</f>
        <v>-6.500772714</v>
      </c>
      <c r="AP3453" s="188">
        <f>IPMT('Assumptions (O&amp;G Upstream)'!$B$344,Model!AD$1,'Assumptions (O&amp;G Upstream)'!$B$347,Model!$AI$3366)</f>
        <v>-5.047411154</v>
      </c>
      <c r="AQ3453" s="188">
        <f>IPMT('Assumptions (O&amp;G Upstream)'!$B$344,Model!AE$1,'Assumptions (O&amp;G Upstream)'!$B$347,Model!$AI$3366)</f>
        <v>-3.485047477</v>
      </c>
      <c r="AR3453" s="188">
        <f>IPMT('Assumptions (O&amp;G Upstream)'!$B$344,Model!AF$1,'Assumptions (O&amp;G Upstream)'!$B$347,Model!$AI$3366)</f>
        <v>-1.805506524</v>
      </c>
      <c r="AS3453" s="188"/>
      <c r="AT3453" s="188"/>
      <c r="AU3453" s="188"/>
      <c r="AV3453" s="188"/>
      <c r="AW3453" s="188"/>
      <c r="AX3453" s="188"/>
      <c r="AY3453" s="188"/>
      <c r="AZ3453" s="188"/>
      <c r="BA3453" s="188"/>
      <c r="BB3453" s="188"/>
      <c r="BC3453" s="188"/>
      <c r="BD3453" s="188"/>
      <c r="BE3453" s="188"/>
      <c r="BF3453" s="188"/>
      <c r="BG3453" s="188"/>
    </row>
    <row r="3454" ht="15.75" hidden="1" customHeight="1" outlineLevel="1">
      <c r="A3454" s="389"/>
      <c r="B3454" s="24"/>
      <c r="C3454" s="188"/>
      <c r="D3454" s="188"/>
      <c r="E3454" s="188"/>
      <c r="F3454" s="188"/>
      <c r="G3454" s="188"/>
      <c r="H3454" s="188"/>
      <c r="I3454" s="188"/>
      <c r="J3454" s="188"/>
      <c r="K3454" s="188"/>
      <c r="L3454" s="188"/>
      <c r="M3454" s="188"/>
      <c r="N3454" s="188"/>
      <c r="O3454" s="188"/>
      <c r="P3454" s="188"/>
      <c r="Q3454" s="188"/>
      <c r="R3454" s="188"/>
      <c r="S3454" s="78"/>
      <c r="T3454" s="78"/>
      <c r="U3454" s="78"/>
      <c r="V3454" s="78"/>
      <c r="W3454" s="139"/>
      <c r="AJ3454" s="188">
        <f>IPMT('Assumptions (O&amp;G Upstream)'!$B$344,Model!W$1,'Assumptions (O&amp;G Upstream)'!$B$347,Model!$AJ$3366)</f>
        <v>-13.66196336</v>
      </c>
      <c r="AK3454" s="188">
        <f>IPMT('Assumptions (O&amp;G Upstream)'!$B$344,Model!X$1,'Assumptions (O&amp;G Upstream)'!$B$347,Model!$AJ$3366)</f>
        <v>-12.69625481</v>
      </c>
      <c r="AL3454" s="188">
        <f>IPMT('Assumptions (O&amp;G Upstream)'!$B$344,Model!Y$1,'Assumptions (O&amp;G Upstream)'!$B$347,Model!$AJ$3366)</f>
        <v>-11.65811812</v>
      </c>
      <c r="AM3454" s="188">
        <f>IPMT('Assumptions (O&amp;G Upstream)'!$B$344,Model!Z$1,'Assumptions (O&amp;G Upstream)'!$B$347,Model!$AJ$3366)</f>
        <v>-10.54212117</v>
      </c>
      <c r="AN3454" s="188">
        <f>IPMT('Assumptions (O&amp;G Upstream)'!$B$344,Model!AA$1,'Assumptions (O&amp;G Upstream)'!$B$347,Model!$AJ$3366)</f>
        <v>-9.342424457</v>
      </c>
      <c r="AO3454" s="188">
        <f>IPMT('Assumptions (O&amp;G Upstream)'!$B$344,Model!AB$1,'Assumptions (O&amp;G Upstream)'!$B$347,Model!$AJ$3366)</f>
        <v>-8.052750489</v>
      </c>
      <c r="AP3454" s="188">
        <f>IPMT('Assumptions (O&amp;G Upstream)'!$B$344,Model!AC$1,'Assumptions (O&amp;G Upstream)'!$B$347,Model!$AJ$3366)</f>
        <v>-6.666350974</v>
      </c>
      <c r="AQ3454" s="188">
        <f>IPMT('Assumptions (O&amp;G Upstream)'!$B$344,Model!AD$1,'Assumptions (O&amp;G Upstream)'!$B$347,Model!$AJ$3366)</f>
        <v>-5.175971495</v>
      </c>
      <c r="AR3454" s="188">
        <f>IPMT('Assumptions (O&amp;G Upstream)'!$B$344,Model!AE$1,'Assumptions (O&amp;G Upstream)'!$B$347,Model!$AJ$3366)</f>
        <v>-3.573813555</v>
      </c>
      <c r="AS3454" s="188">
        <f>IPMT('Assumptions (O&amp;G Upstream)'!$B$344,Model!AF$1,'Assumptions (O&amp;G Upstream)'!$B$347,Model!$AJ$3366)</f>
        <v>-1.851493769</v>
      </c>
      <c r="AT3454" s="188"/>
      <c r="AU3454" s="188"/>
      <c r="AV3454" s="188"/>
      <c r="AW3454" s="188"/>
      <c r="AX3454" s="188"/>
      <c r="AY3454" s="188"/>
      <c r="AZ3454" s="188"/>
      <c r="BA3454" s="188"/>
      <c r="BB3454" s="188"/>
      <c r="BC3454" s="188"/>
      <c r="BD3454" s="188"/>
      <c r="BE3454" s="188"/>
      <c r="BF3454" s="188"/>
      <c r="BG3454" s="188"/>
      <c r="BH3454" s="188"/>
    </row>
    <row r="3455" ht="15.75" hidden="1" customHeight="1" outlineLevel="1">
      <c r="A3455" s="389"/>
      <c r="B3455" s="24"/>
      <c r="C3455" s="188"/>
      <c r="D3455" s="188"/>
      <c r="E3455" s="188"/>
      <c r="F3455" s="188"/>
      <c r="G3455" s="188"/>
      <c r="H3455" s="188"/>
      <c r="I3455" s="188"/>
      <c r="J3455" s="188"/>
      <c r="K3455" s="188"/>
      <c r="L3455" s="188"/>
      <c r="M3455" s="188"/>
      <c r="N3455" s="188"/>
      <c r="O3455" s="188"/>
      <c r="P3455" s="188"/>
      <c r="Q3455" s="188"/>
      <c r="R3455" s="188"/>
      <c r="S3455" s="78"/>
      <c r="T3455" s="78"/>
      <c r="U3455" s="78"/>
      <c r="V3455" s="78"/>
      <c r="W3455" s="139"/>
      <c r="AK3455" s="188">
        <f>IPMT('Assumptions (O&amp;G Upstream)'!$B$344,Model!W$1,'Assumptions (O&amp;G Upstream)'!$B$347,Model!$AK$3366)</f>
        <v>-13.86458502</v>
      </c>
      <c r="AL3455" s="188">
        <f>IPMT('Assumptions (O&amp;G Upstream)'!$B$344,Model!X$1,'Assumptions (O&amp;G Upstream)'!$B$347,Model!$AK$3366)</f>
        <v>-12.88455397</v>
      </c>
      <c r="AM3455" s="188">
        <f>IPMT('Assumptions (O&amp;G Upstream)'!$B$344,Model!Y$1,'Assumptions (O&amp;G Upstream)'!$B$347,Model!$AK$3366)</f>
        <v>-11.83102059</v>
      </c>
      <c r="AN3455" s="188">
        <f>IPMT('Assumptions (O&amp;G Upstream)'!$B$344,Model!Z$1,'Assumptions (O&amp;G Upstream)'!$B$347,Model!$AK$3366)</f>
        <v>-10.69847221</v>
      </c>
      <c r="AO3455" s="188">
        <f>IPMT('Assumptions (O&amp;G Upstream)'!$B$344,Model!AA$1,'Assumptions (O&amp;G Upstream)'!$B$347,Model!$AK$3366)</f>
        <v>-9.480982698</v>
      </c>
      <c r="AP3455" s="188">
        <f>IPMT('Assumptions (O&amp;G Upstream)'!$B$344,Model!AB$1,'Assumptions (O&amp;G Upstream)'!$B$347,Model!$AK$3366)</f>
        <v>-8.172181473</v>
      </c>
      <c r="AQ3455" s="188">
        <f>IPMT('Assumptions (O&amp;G Upstream)'!$B$344,Model!AC$1,'Assumptions (O&amp;G Upstream)'!$B$347,Model!$AK$3366)</f>
        <v>-6.765220156</v>
      </c>
      <c r="AR3455" s="188">
        <f>IPMT('Assumptions (O&amp;G Upstream)'!$B$344,Model!AD$1,'Assumptions (O&amp;G Upstream)'!$B$347,Model!$AK$3366)</f>
        <v>-5.25273674</v>
      </c>
      <c r="AS3455" s="188">
        <f>IPMT('Assumptions (O&amp;G Upstream)'!$B$344,Model!AE$1,'Assumptions (O&amp;G Upstream)'!$B$347,Model!$AK$3366)</f>
        <v>-3.626817068</v>
      </c>
      <c r="AT3455" s="188">
        <f>IPMT('Assumptions (O&amp;G Upstream)'!$B$344,Model!AF$1,'Assumptions (O&amp;G Upstream)'!$B$347,Model!$AK$3366)</f>
        <v>-1.878953421</v>
      </c>
      <c r="AU3455" s="188"/>
      <c r="AV3455" s="188"/>
      <c r="AW3455" s="188"/>
      <c r="AX3455" s="188"/>
      <c r="AY3455" s="188"/>
      <c r="AZ3455" s="188"/>
      <c r="BA3455" s="188"/>
      <c r="BB3455" s="188"/>
      <c r="BC3455" s="188"/>
      <c r="BD3455" s="188"/>
      <c r="BE3455" s="188"/>
      <c r="BF3455" s="188"/>
      <c r="BG3455" s="188"/>
      <c r="BH3455" s="188"/>
      <c r="BI3455" s="188"/>
    </row>
    <row r="3456" ht="15.75" hidden="1" customHeight="1" outlineLevel="1">
      <c r="A3456" s="389"/>
      <c r="B3456" s="24"/>
      <c r="C3456" s="188"/>
      <c r="D3456" s="188"/>
      <c r="E3456" s="188"/>
      <c r="F3456" s="188"/>
      <c r="G3456" s="188"/>
      <c r="H3456" s="188"/>
      <c r="I3456" s="188"/>
      <c r="J3456" s="188"/>
      <c r="K3456" s="188"/>
      <c r="L3456" s="188"/>
      <c r="M3456" s="188"/>
      <c r="N3456" s="188"/>
      <c r="O3456" s="188"/>
      <c r="P3456" s="188"/>
      <c r="Q3456" s="188"/>
      <c r="R3456" s="188"/>
      <c r="S3456" s="78"/>
      <c r="T3456" s="78"/>
      <c r="U3456" s="78"/>
      <c r="V3456" s="78"/>
      <c r="W3456" s="139"/>
      <c r="AL3456" s="188">
        <f>IPMT('Assumptions (O&amp;G Upstream)'!$B$344,Model!W$1,'Assumptions (O&amp;G Upstream)'!$B$347,Model!$AL$3366)</f>
        <v>-14.11248482</v>
      </c>
      <c r="AM3456" s="188">
        <f>IPMT('Assumptions (O&amp;G Upstream)'!$B$344,Model!X$1,'Assumptions (O&amp;G Upstream)'!$B$347,Model!$AL$3366)</f>
        <v>-13.11493074</v>
      </c>
      <c r="AN3456" s="188">
        <f>IPMT('Assumptions (O&amp;G Upstream)'!$B$344,Model!Y$1,'Assumptions (O&amp;G Upstream)'!$B$347,Model!$AL$3366)</f>
        <v>-12.04256011</v>
      </c>
      <c r="AO3456" s="188">
        <f>IPMT('Assumptions (O&amp;G Upstream)'!$B$344,Model!Z$1,'Assumptions (O&amp;G Upstream)'!$B$347,Model!$AL$3366)</f>
        <v>-10.88976168</v>
      </c>
      <c r="AP3456" s="188">
        <f>IPMT('Assumptions (O&amp;G Upstream)'!$B$344,Model!AA$1,'Assumptions (O&amp;G Upstream)'!$B$347,Model!$AL$3366)</f>
        <v>-9.650503364</v>
      </c>
      <c r="AQ3456" s="188">
        <f>IPMT('Assumptions (O&amp;G Upstream)'!$B$344,Model!AB$1,'Assumptions (O&amp;G Upstream)'!$B$347,Model!$AL$3366)</f>
        <v>-8.318300677</v>
      </c>
      <c r="AR3456" s="188">
        <f>IPMT('Assumptions (O&amp;G Upstream)'!$B$344,Model!AC$1,'Assumptions (O&amp;G Upstream)'!$B$347,Model!$AL$3366)</f>
        <v>-6.886182788</v>
      </c>
      <c r="AS3456" s="188">
        <f>IPMT('Assumptions (O&amp;G Upstream)'!$B$344,Model!AD$1,'Assumptions (O&amp;G Upstream)'!$B$347,Model!$AL$3366)</f>
        <v>-5.346656058</v>
      </c>
      <c r="AT3456" s="188">
        <f>IPMT('Assumptions (O&amp;G Upstream)'!$B$344,Model!AE$1,'Assumptions (O&amp;G Upstream)'!$B$347,Model!$AL$3366)</f>
        <v>-3.691664823</v>
      </c>
      <c r="AU3456" s="188">
        <f>IPMT('Assumptions (O&amp;G Upstream)'!$B$344,Model!AF$1,'Assumptions (O&amp;G Upstream)'!$B$347,Model!$AL$3366)</f>
        <v>-1.912549246</v>
      </c>
      <c r="AV3456" s="188"/>
      <c r="AW3456" s="188"/>
      <c r="AX3456" s="188"/>
      <c r="AY3456" s="188"/>
      <c r="AZ3456" s="188"/>
      <c r="BA3456" s="188"/>
      <c r="BB3456" s="188"/>
      <c r="BC3456" s="188"/>
      <c r="BD3456" s="188"/>
      <c r="BE3456" s="188"/>
      <c r="BF3456" s="188"/>
      <c r="BG3456" s="188"/>
      <c r="BH3456" s="188"/>
      <c r="BI3456" s="188"/>
      <c r="BJ3456" s="188"/>
    </row>
    <row r="3457" ht="15.75" hidden="1" customHeight="1" outlineLevel="1">
      <c r="A3457" s="389"/>
      <c r="B3457" s="24"/>
      <c r="C3457" s="188"/>
      <c r="D3457" s="188"/>
      <c r="E3457" s="188"/>
      <c r="F3457" s="188"/>
      <c r="G3457" s="188"/>
      <c r="H3457" s="188"/>
      <c r="I3457" s="188"/>
      <c r="J3457" s="188"/>
      <c r="K3457" s="188"/>
      <c r="L3457" s="188"/>
      <c r="M3457" s="188"/>
      <c r="N3457" s="188"/>
      <c r="O3457" s="188"/>
      <c r="P3457" s="188"/>
      <c r="Q3457" s="188"/>
      <c r="R3457" s="188"/>
      <c r="S3457" s="78"/>
      <c r="T3457" s="78"/>
      <c r="U3457" s="78"/>
      <c r="V3457" s="78"/>
      <c r="W3457" s="139"/>
      <c r="AM3457" s="188">
        <f>IPMT('Assumptions (O&amp;G Upstream)'!$B$344,Model!W$1,'Assumptions (O&amp;G Upstream)'!$B$347,Model!$AM$3366)</f>
        <v>-14.38699742</v>
      </c>
      <c r="AN3457" s="188">
        <f>IPMT('Assumptions (O&amp;G Upstream)'!$B$344,Model!X$1,'Assumptions (O&amp;G Upstream)'!$B$347,Model!$AM$3366)</f>
        <v>-13.37003917</v>
      </c>
      <c r="AO3457" s="188">
        <f>IPMT('Assumptions (O&amp;G Upstream)'!$B$344,Model!Y$1,'Assumptions (O&amp;G Upstream)'!$B$347,Model!$AM$3366)</f>
        <v>-12.27680904</v>
      </c>
      <c r="AP3457" s="188">
        <f>IPMT('Assumptions (O&amp;G Upstream)'!$B$344,Model!Z$1,'Assumptions (O&amp;G Upstream)'!$B$347,Model!$AM$3366)</f>
        <v>-11.10158666</v>
      </c>
      <c r="AQ3457" s="188">
        <f>IPMT('Assumptions (O&amp;G Upstream)'!$B$344,Model!AA$1,'Assumptions (O&amp;G Upstream)'!$B$347,Model!$AM$3366)</f>
        <v>-9.838222594</v>
      </c>
      <c r="AR3457" s="188">
        <f>IPMT('Assumptions (O&amp;G Upstream)'!$B$344,Model!AB$1,'Assumptions (O&amp;G Upstream)'!$B$347,Model!$AM$3366)</f>
        <v>-8.480106226</v>
      </c>
      <c r="AS3457" s="188">
        <f>IPMT('Assumptions (O&amp;G Upstream)'!$B$344,Model!AC$1,'Assumptions (O&amp;G Upstream)'!$B$347,Model!$AM$3366)</f>
        <v>-7.020131131</v>
      </c>
      <c r="AT3457" s="188">
        <f>IPMT('Assumptions (O&amp;G Upstream)'!$B$344,Model!AD$1,'Assumptions (O&amp;G Upstream)'!$B$347,Model!$AM$3366)</f>
        <v>-5.450657904</v>
      </c>
      <c r="AU3457" s="188">
        <f>IPMT('Assumptions (O&amp;G Upstream)'!$B$344,Model!AE$1,'Assumptions (O&amp;G Upstream)'!$B$347,Model!$AM$3366)</f>
        <v>-3.763474184</v>
      </c>
      <c r="AV3457" s="188">
        <f>IPMT('Assumptions (O&amp;G Upstream)'!$B$344,Model!AF$1,'Assumptions (O&amp;G Upstream)'!$B$347,Model!$AM$3366)</f>
        <v>-1.949751686</v>
      </c>
      <c r="AW3457" s="188"/>
      <c r="AX3457" s="188"/>
      <c r="AY3457" s="188"/>
      <c r="AZ3457" s="188"/>
      <c r="BA3457" s="188"/>
      <c r="BB3457" s="188"/>
      <c r="BC3457" s="188"/>
      <c r="BD3457" s="188"/>
      <c r="BE3457" s="188"/>
      <c r="BF3457" s="188"/>
      <c r="BG3457" s="188"/>
      <c r="BH3457" s="188"/>
      <c r="BI3457" s="188"/>
      <c r="BJ3457" s="188"/>
      <c r="BK3457" s="188"/>
    </row>
    <row r="3458" ht="15.75" hidden="1" customHeight="1" outlineLevel="1">
      <c r="A3458" s="389"/>
      <c r="B3458" s="24"/>
      <c r="C3458" s="188"/>
      <c r="D3458" s="188"/>
      <c r="E3458" s="188"/>
      <c r="F3458" s="188"/>
      <c r="G3458" s="188"/>
      <c r="H3458" s="188"/>
      <c r="I3458" s="188"/>
      <c r="J3458" s="188"/>
      <c r="K3458" s="188"/>
      <c r="L3458" s="188"/>
      <c r="M3458" s="188"/>
      <c r="N3458" s="188"/>
      <c r="O3458" s="188"/>
      <c r="P3458" s="188"/>
      <c r="Q3458" s="188"/>
      <c r="R3458" s="188"/>
      <c r="S3458" s="78"/>
      <c r="T3458" s="78"/>
      <c r="U3458" s="78"/>
      <c r="V3458" s="78"/>
      <c r="W3458" s="139"/>
      <c r="AN3458" s="188">
        <f>IPMT('Assumptions (O&amp;G Upstream)'!$B$344,Model!W$1,'Assumptions (O&amp;G Upstream)'!$B$347,Model!$AN$3366)</f>
        <v>-14.45842208</v>
      </c>
      <c r="AO3458" s="188">
        <f>IPMT('Assumptions (O&amp;G Upstream)'!$B$344,Model!X$1,'Assumptions (O&amp;G Upstream)'!$B$347,Model!$AN$3366)</f>
        <v>-13.43641511</v>
      </c>
      <c r="AP3458" s="188">
        <f>IPMT('Assumptions (O&amp;G Upstream)'!$B$344,Model!Y$1,'Assumptions (O&amp;G Upstream)'!$B$347,Model!$AN$3366)</f>
        <v>-12.33775761</v>
      </c>
      <c r="AQ3458" s="188">
        <f>IPMT('Assumptions (O&amp;G Upstream)'!$B$344,Model!Z$1,'Assumptions (O&amp;G Upstream)'!$B$347,Model!$AN$3366)</f>
        <v>-11.1567008</v>
      </c>
      <c r="AR3458" s="188">
        <f>IPMT('Assumptions (O&amp;G Upstream)'!$B$344,Model!AA$1,'Assumptions (O&amp;G Upstream)'!$B$347,Model!$AN$3366)</f>
        <v>-9.887064732</v>
      </c>
      <c r="AS3458" s="188">
        <f>IPMT('Assumptions (O&amp;G Upstream)'!$B$344,Model!AB$1,'Assumptions (O&amp;G Upstream)'!$B$347,Model!$AN$3366)</f>
        <v>-8.522205956</v>
      </c>
      <c r="AT3458" s="188">
        <f>IPMT('Assumptions (O&amp;G Upstream)'!$B$344,Model!AC$1,'Assumptions (O&amp;G Upstream)'!$B$347,Model!$AN$3366)</f>
        <v>-7.054982773</v>
      </c>
      <c r="AU3458" s="188">
        <f>IPMT('Assumptions (O&amp;G Upstream)'!$B$344,Model!AD$1,'Assumptions (O&amp;G Upstream)'!$B$347,Model!$AN$3366)</f>
        <v>-5.477717851</v>
      </c>
      <c r="AV3458" s="188">
        <f>IPMT('Assumptions (O&amp;G Upstream)'!$B$344,Model!AE$1,'Assumptions (O&amp;G Upstream)'!$B$347,Model!$AN$3366)</f>
        <v>-3.78215806</v>
      </c>
      <c r="AW3458" s="188">
        <f>IPMT('Assumptions (O&amp;G Upstream)'!$B$344,Model!AF$1,'Assumptions (O&amp;G Upstream)'!$B$347,Model!$AN$3366)</f>
        <v>-1.959431284</v>
      </c>
      <c r="AX3458" s="188"/>
      <c r="AY3458" s="188"/>
      <c r="AZ3458" s="188"/>
      <c r="BA3458" s="188"/>
      <c r="BB3458" s="188"/>
      <c r="BC3458" s="188"/>
      <c r="BD3458" s="188"/>
      <c r="BE3458" s="188"/>
      <c r="BF3458" s="188"/>
      <c r="BG3458" s="188"/>
      <c r="BH3458" s="188"/>
      <c r="BI3458" s="188"/>
      <c r="BJ3458" s="188"/>
      <c r="BK3458" s="188"/>
      <c r="BL3458" s="188"/>
    </row>
    <row r="3459" ht="15.75" hidden="1" customHeight="1" outlineLevel="1">
      <c r="A3459" s="389"/>
      <c r="B3459" s="24"/>
      <c r="C3459" s="188"/>
      <c r="D3459" s="188"/>
      <c r="E3459" s="188"/>
      <c r="F3459" s="188"/>
      <c r="G3459" s="188"/>
      <c r="H3459" s="188"/>
      <c r="I3459" s="188"/>
      <c r="J3459" s="188"/>
      <c r="K3459" s="188"/>
      <c r="L3459" s="188"/>
      <c r="M3459" s="188"/>
      <c r="N3459" s="188"/>
      <c r="O3459" s="188"/>
      <c r="P3459" s="188"/>
      <c r="Q3459" s="188"/>
      <c r="R3459" s="188"/>
      <c r="S3459" s="78"/>
      <c r="T3459" s="78"/>
      <c r="U3459" s="78"/>
      <c r="V3459" s="78"/>
      <c r="W3459" s="139"/>
      <c r="AO3459" s="188">
        <f>IPMT('Assumptions (O&amp;G Upstream)'!$B$344,Model!W$1,'Assumptions (O&amp;G Upstream)'!$B$347,Model!$AO$3366)</f>
        <v>-14.70521635</v>
      </c>
      <c r="AP3459" s="188">
        <f>IPMT('Assumptions (O&amp;G Upstream)'!$B$344,Model!X$1,'Assumptions (O&amp;G Upstream)'!$B$347,Model!$AO$3366)</f>
        <v>-13.66576449</v>
      </c>
      <c r="AQ3459" s="188">
        <f>IPMT('Assumptions (O&amp;G Upstream)'!$B$344,Model!Y$1,'Assumptions (O&amp;G Upstream)'!$B$347,Model!$AO$3366)</f>
        <v>-12.54835375</v>
      </c>
      <c r="AR3459" s="188">
        <f>IPMT('Assumptions (O&amp;G Upstream)'!$B$344,Model!Z$1,'Assumptions (O&amp;G Upstream)'!$B$347,Model!$AO$3366)</f>
        <v>-11.3471372</v>
      </c>
      <c r="AS3459" s="188">
        <f>IPMT('Assumptions (O&amp;G Upstream)'!$B$344,Model!AA$1,'Assumptions (O&amp;G Upstream)'!$B$347,Model!$AO$3366)</f>
        <v>-10.0558294</v>
      </c>
      <c r="AT3459" s="188">
        <f>IPMT('Assumptions (O&amp;G Upstream)'!$B$344,Model!AB$1,'Assumptions (O&amp;G Upstream)'!$B$347,Model!$AO$3366)</f>
        <v>-8.667673528</v>
      </c>
      <c r="AU3459" s="188">
        <f>IPMT('Assumptions (O&amp;G Upstream)'!$B$344,Model!AC$1,'Assumptions (O&amp;G Upstream)'!$B$347,Model!$AO$3366)</f>
        <v>-7.175405962</v>
      </c>
      <c r="AV3459" s="188">
        <f>IPMT('Assumptions (O&amp;G Upstream)'!$B$344,Model!AD$1,'Assumptions (O&amp;G Upstream)'!$B$347,Model!$AO$3366)</f>
        <v>-5.571218327</v>
      </c>
      <c r="AW3459" s="188">
        <f>IPMT('Assumptions (O&amp;G Upstream)'!$B$344,Model!AE$1,'Assumptions (O&amp;G Upstream)'!$B$347,Model!$AO$3366)</f>
        <v>-3.84671662</v>
      </c>
      <c r="AX3459" s="188">
        <f>IPMT('Assumptions (O&amp;G Upstream)'!$B$344,Model!AF$1,'Assumptions (O&amp;G Upstream)'!$B$347,Model!$AO$3366)</f>
        <v>-1.992877285</v>
      </c>
      <c r="AY3459" s="188"/>
      <c r="AZ3459" s="188"/>
      <c r="BA3459" s="188"/>
      <c r="BB3459" s="188"/>
      <c r="BC3459" s="188"/>
      <c r="BD3459" s="188"/>
      <c r="BE3459" s="188"/>
      <c r="BF3459" s="188"/>
      <c r="BG3459" s="188"/>
      <c r="BH3459" s="188"/>
      <c r="BI3459" s="188"/>
      <c r="BJ3459" s="188"/>
      <c r="BK3459" s="188"/>
      <c r="BL3459" s="188"/>
      <c r="BM3459" s="188"/>
    </row>
    <row r="3460" ht="15.75" hidden="1" customHeight="1" outlineLevel="1">
      <c r="A3460" s="389"/>
      <c r="B3460" s="24"/>
      <c r="C3460" s="188"/>
      <c r="D3460" s="188"/>
      <c r="E3460" s="188"/>
      <c r="F3460" s="188"/>
      <c r="G3460" s="188"/>
      <c r="H3460" s="188"/>
      <c r="I3460" s="188"/>
      <c r="J3460" s="188"/>
      <c r="K3460" s="188"/>
      <c r="L3460" s="188"/>
      <c r="M3460" s="188"/>
      <c r="N3460" s="188"/>
      <c r="O3460" s="188"/>
      <c r="P3460" s="188"/>
      <c r="Q3460" s="188"/>
      <c r="R3460" s="188"/>
      <c r="S3460" s="78"/>
      <c r="T3460" s="78"/>
      <c r="U3460" s="78"/>
      <c r="V3460" s="78"/>
      <c r="W3460" s="139"/>
      <c r="AP3460" s="188">
        <f>IPMT('Assumptions (O&amp;G Upstream)'!$B$344,Model!W$1,'Assumptions (O&amp;G Upstream)'!$B$347,Model!$AP$3366)</f>
        <v>-14.9290435</v>
      </c>
      <c r="AQ3460" s="188">
        <f>IPMT('Assumptions (O&amp;G Upstream)'!$B$344,Model!X$1,'Assumptions (O&amp;G Upstream)'!$B$347,Model!$AP$3366)</f>
        <v>-13.87377021</v>
      </c>
      <c r="AR3460" s="188">
        <f>IPMT('Assumptions (O&amp;G Upstream)'!$B$344,Model!Y$1,'Assumptions (O&amp;G Upstream)'!$B$347,Model!$AP$3366)</f>
        <v>-12.73935143</v>
      </c>
      <c r="AS3460" s="188">
        <f>IPMT('Assumptions (O&amp;G Upstream)'!$B$344,Model!Z$1,'Assumptions (O&amp;G Upstream)'!$B$347,Model!$AP$3366)</f>
        <v>-11.51985124</v>
      </c>
      <c r="AT3460" s="188">
        <f>IPMT('Assumptions (O&amp;G Upstream)'!$B$344,Model!AA$1,'Assumptions (O&amp;G Upstream)'!$B$347,Model!$AP$3366)</f>
        <v>-10.20888854</v>
      </c>
      <c r="AU3460" s="188">
        <f>IPMT('Assumptions (O&amp;G Upstream)'!$B$344,Model!AB$1,'Assumptions (O&amp;G Upstream)'!$B$347,Model!$AP$3366)</f>
        <v>-8.79960363</v>
      </c>
      <c r="AV3460" s="188">
        <f>IPMT('Assumptions (O&amp;G Upstream)'!$B$344,Model!AC$1,'Assumptions (O&amp;G Upstream)'!$B$347,Model!$AP$3366)</f>
        <v>-7.284622354</v>
      </c>
      <c r="AW3460" s="188">
        <f>IPMT('Assumptions (O&amp;G Upstream)'!$B$344,Model!AD$1,'Assumptions (O&amp;G Upstream)'!$B$347,Model!$AP$3366)</f>
        <v>-5.656017483</v>
      </c>
      <c r="AX3460" s="188">
        <f>IPMT('Assumptions (O&amp;G Upstream)'!$B$344,Model!AE$1,'Assumptions (O&amp;G Upstream)'!$B$347,Model!$AP$3366)</f>
        <v>-3.905267246</v>
      </c>
      <c r="AY3460" s="188">
        <f>IPMT('Assumptions (O&amp;G Upstream)'!$B$344,Model!AF$1,'Assumptions (O&amp;G Upstream)'!$B$347,Model!$AP$3366)</f>
        <v>-2.023210742</v>
      </c>
      <c r="AZ3460" s="188"/>
      <c r="BA3460" s="188"/>
      <c r="BB3460" s="188"/>
      <c r="BC3460" s="188"/>
      <c r="BD3460" s="188"/>
      <c r="BE3460" s="188"/>
      <c r="BF3460" s="188"/>
      <c r="BG3460" s="188"/>
      <c r="BH3460" s="188"/>
      <c r="BI3460" s="188"/>
      <c r="BJ3460" s="188"/>
      <c r="BK3460" s="188"/>
      <c r="BL3460" s="188"/>
      <c r="BM3460" s="188"/>
      <c r="BN3460" s="188"/>
    </row>
    <row r="3461" ht="15.75" hidden="1" customHeight="1" outlineLevel="1">
      <c r="A3461" s="389"/>
      <c r="B3461" s="24"/>
      <c r="C3461" s="188"/>
      <c r="D3461" s="188"/>
      <c r="E3461" s="188"/>
      <c r="F3461" s="188"/>
      <c r="G3461" s="188"/>
      <c r="H3461" s="188"/>
      <c r="I3461" s="188"/>
      <c r="J3461" s="188"/>
      <c r="K3461" s="188"/>
      <c r="L3461" s="188"/>
      <c r="M3461" s="188"/>
      <c r="N3461" s="188"/>
      <c r="O3461" s="188"/>
      <c r="P3461" s="188"/>
      <c r="Q3461" s="188"/>
      <c r="R3461" s="188"/>
      <c r="S3461" s="78"/>
      <c r="T3461" s="78"/>
      <c r="U3461" s="78"/>
      <c r="V3461" s="78"/>
      <c r="W3461" s="139"/>
      <c r="AQ3461" s="188">
        <f>IPMT('Assumptions (O&amp;G Upstream)'!$B$344,Model!W$1,'Assumptions (O&amp;G Upstream)'!$B$347,Model!$AQ$3366)</f>
        <v>-15.22752224</v>
      </c>
      <c r="AR3461" s="188">
        <f>IPMT('Assumptions (O&amp;G Upstream)'!$B$344,Model!X$1,'Assumptions (O&amp;G Upstream)'!$B$347,Model!$AQ$3366)</f>
        <v>-14.15115071</v>
      </c>
      <c r="AS3461" s="188">
        <f>IPMT('Assumptions (O&amp;G Upstream)'!$B$344,Model!Y$1,'Assumptions (O&amp;G Upstream)'!$B$347,Model!$AQ$3366)</f>
        <v>-12.99405131</v>
      </c>
      <c r="AT3461" s="188">
        <f>IPMT('Assumptions (O&amp;G Upstream)'!$B$344,Model!Z$1,'Assumptions (O&amp;G Upstream)'!$B$347,Model!$AQ$3366)</f>
        <v>-11.75016946</v>
      </c>
      <c r="AU3461" s="188">
        <f>IPMT('Assumptions (O&amp;G Upstream)'!$B$344,Model!AA$1,'Assumptions (O&amp;G Upstream)'!$B$347,Model!$AQ$3366)</f>
        <v>-10.41299647</v>
      </c>
      <c r="AV3461" s="188">
        <f>IPMT('Assumptions (O&amp;G Upstream)'!$B$344,Model!AB$1,'Assumptions (O&amp;G Upstream)'!$B$347,Model!$AQ$3366)</f>
        <v>-8.975535503</v>
      </c>
      <c r="AW3461" s="188">
        <f>IPMT('Assumptions (O&amp;G Upstream)'!$B$344,Model!AC$1,'Assumptions (O&amp;G Upstream)'!$B$347,Model!$AQ$3366)</f>
        <v>-7.430264966</v>
      </c>
      <c r="AX3461" s="188">
        <f>IPMT('Assumptions (O&amp;G Upstream)'!$B$344,Model!AD$1,'Assumptions (O&amp;G Upstream)'!$B$347,Model!$AQ$3366)</f>
        <v>-5.769099139</v>
      </c>
      <c r="AY3461" s="188">
        <f>IPMT('Assumptions (O&amp;G Upstream)'!$B$344,Model!AE$1,'Assumptions (O&amp;G Upstream)'!$B$347,Model!$AQ$3366)</f>
        <v>-3.983345875</v>
      </c>
      <c r="AZ3461" s="188">
        <f>IPMT('Assumptions (O&amp;G Upstream)'!$B$344,Model!AF$1,'Assumptions (O&amp;G Upstream)'!$B$347,Model!$AQ$3366)</f>
        <v>-2.063661116</v>
      </c>
      <c r="BA3461" s="188"/>
      <c r="BB3461" s="188"/>
      <c r="BC3461" s="188"/>
      <c r="BD3461" s="188"/>
      <c r="BE3461" s="188"/>
      <c r="BF3461" s="188"/>
      <c r="BG3461" s="188"/>
      <c r="BH3461" s="188"/>
      <c r="BI3461" s="188"/>
      <c r="BJ3461" s="188"/>
      <c r="BK3461" s="188"/>
      <c r="BL3461" s="188"/>
      <c r="BM3461" s="188"/>
      <c r="BN3461" s="188"/>
      <c r="BO3461" s="188"/>
    </row>
    <row r="3462" ht="15.75" hidden="1" customHeight="1" outlineLevel="1">
      <c r="A3462" s="389"/>
      <c r="B3462" s="24"/>
      <c r="C3462" s="188"/>
      <c r="D3462" s="188"/>
      <c r="E3462" s="188"/>
      <c r="F3462" s="188"/>
      <c r="G3462" s="188"/>
      <c r="H3462" s="188"/>
      <c r="I3462" s="188"/>
      <c r="J3462" s="188"/>
      <c r="K3462" s="188"/>
      <c r="L3462" s="188"/>
      <c r="M3462" s="188"/>
      <c r="N3462" s="188"/>
      <c r="O3462" s="188"/>
      <c r="P3462" s="188"/>
      <c r="Q3462" s="188"/>
      <c r="R3462" s="188"/>
      <c r="S3462" s="78"/>
      <c r="T3462" s="78"/>
      <c r="U3462" s="78"/>
      <c r="V3462" s="78"/>
      <c r="W3462" s="139"/>
      <c r="AR3462" s="188">
        <f>IPMT('Assumptions (O&amp;G Upstream)'!$B$344,Model!W$1,'Assumptions (O&amp;G Upstream)'!$B$347,Model!$AR$3366)</f>
        <v>-15.49285252</v>
      </c>
      <c r="AS3462" s="188">
        <f>IPMT('Assumptions (O&amp;G Upstream)'!$B$344,Model!X$1,'Assumptions (O&amp;G Upstream)'!$B$347,Model!$AR$3366)</f>
        <v>-14.39772587</v>
      </c>
      <c r="AT3462" s="188">
        <f>IPMT('Assumptions (O&amp;G Upstream)'!$B$344,Model!Y$1,'Assumptions (O&amp;G Upstream)'!$B$347,Model!$AR$3366)</f>
        <v>-13.22046472</v>
      </c>
      <c r="AU3462" s="188">
        <f>IPMT('Assumptions (O&amp;G Upstream)'!$B$344,Model!Z$1,'Assumptions (O&amp;G Upstream)'!$B$347,Model!$AR$3366)</f>
        <v>-11.95490899</v>
      </c>
      <c r="AV3462" s="188">
        <f>IPMT('Assumptions (O&amp;G Upstream)'!$B$344,Model!AA$1,'Assumptions (O&amp;G Upstream)'!$B$347,Model!$AR$3366)</f>
        <v>-10.59443657</v>
      </c>
      <c r="AW3462" s="188">
        <f>IPMT('Assumptions (O&amp;G Upstream)'!$B$344,Model!AB$1,'Assumptions (O&amp;G Upstream)'!$B$347,Model!$AR$3366)</f>
        <v>-9.131928729</v>
      </c>
      <c r="AX3462" s="188">
        <f>IPMT('Assumptions (O&amp;G Upstream)'!$B$344,Model!AC$1,'Assumptions (O&amp;G Upstream)'!$B$347,Model!$AR$3366)</f>
        <v>-7.559732797</v>
      </c>
      <c r="AY3462" s="188">
        <f>IPMT('Assumptions (O&amp;G Upstream)'!$B$344,Model!AD$1,'Assumptions (O&amp;G Upstream)'!$B$347,Model!$AR$3366)</f>
        <v>-5.869622169</v>
      </c>
      <c r="AZ3462" s="188">
        <f>IPMT('Assumptions (O&amp;G Upstream)'!$B$344,Model!AE$1,'Assumptions (O&amp;G Upstream)'!$B$347,Model!$AR$3366)</f>
        <v>-4.052753245</v>
      </c>
      <c r="BA3462" s="188">
        <f>IPMT('Assumptions (O&amp;G Upstream)'!$B$344,Model!AF$1,'Assumptions (O&amp;G Upstream)'!$B$347,Model!$AR$3366)</f>
        <v>-2.099619151</v>
      </c>
      <c r="BB3462" s="188"/>
      <c r="BC3462" s="188"/>
      <c r="BD3462" s="188"/>
      <c r="BE3462" s="188"/>
      <c r="BF3462" s="188"/>
      <c r="BG3462" s="188"/>
      <c r="BH3462" s="188"/>
      <c r="BI3462" s="188"/>
      <c r="BJ3462" s="188"/>
      <c r="BK3462" s="188"/>
      <c r="BL3462" s="188"/>
      <c r="BM3462" s="188"/>
      <c r="BN3462" s="188"/>
      <c r="BO3462" s="188"/>
      <c r="BP3462" s="188"/>
    </row>
    <row r="3463" ht="15.75" hidden="1" customHeight="1" outlineLevel="1">
      <c r="A3463" s="389"/>
      <c r="B3463" s="24"/>
      <c r="C3463" s="188"/>
      <c r="D3463" s="188"/>
      <c r="E3463" s="188"/>
      <c r="F3463" s="188"/>
      <c r="G3463" s="188"/>
      <c r="H3463" s="188"/>
      <c r="I3463" s="188"/>
      <c r="J3463" s="188"/>
      <c r="K3463" s="188"/>
      <c r="L3463" s="188"/>
      <c r="M3463" s="188"/>
      <c r="N3463" s="188"/>
      <c r="O3463" s="188"/>
      <c r="P3463" s="188"/>
      <c r="Q3463" s="188"/>
      <c r="R3463" s="188"/>
      <c r="S3463" s="78"/>
      <c r="T3463" s="78"/>
      <c r="U3463" s="78"/>
      <c r="V3463" s="78"/>
      <c r="W3463" s="139"/>
      <c r="AS3463" s="188">
        <f>IPMT('Assumptions (O&amp;G Upstream)'!$B$344,Model!W$1,'Assumptions (O&amp;G Upstream)'!$B$347,Model!$AS$3366)</f>
        <v>-15.82075173</v>
      </c>
      <c r="AT3463" s="188">
        <f>IPMT('Assumptions (O&amp;G Upstream)'!$B$344,Model!X$1,'Assumptions (O&amp;G Upstream)'!$B$347,Model!$AS$3366)</f>
        <v>-14.70244722</v>
      </c>
      <c r="AU3463" s="188">
        <f>IPMT('Assumptions (O&amp;G Upstream)'!$B$344,Model!Y$1,'Assumptions (O&amp;G Upstream)'!$B$347,Model!$AS$3366)</f>
        <v>-13.50026987</v>
      </c>
      <c r="AV3463" s="188">
        <f>IPMT('Assumptions (O&amp;G Upstream)'!$B$344,Model!Z$1,'Assumptions (O&amp;G Upstream)'!$B$347,Model!$AS$3366)</f>
        <v>-12.20792922</v>
      </c>
      <c r="AW3463" s="188">
        <f>IPMT('Assumptions (O&amp;G Upstream)'!$B$344,Model!AA$1,'Assumptions (O&amp;G Upstream)'!$B$347,Model!$AS$3366)</f>
        <v>-10.81866303</v>
      </c>
      <c r="AX3463" s="188">
        <f>IPMT('Assumptions (O&amp;G Upstream)'!$B$344,Model!AB$1,'Assumptions (O&amp;G Upstream)'!$B$347,Model!$AS$3366)</f>
        <v>-9.325201867</v>
      </c>
      <c r="AY3463" s="188">
        <f>IPMT('Assumptions (O&amp;G Upstream)'!$B$344,Model!AC$1,'Assumptions (O&amp;G Upstream)'!$B$347,Model!$AS$3366)</f>
        <v>-7.719731119</v>
      </c>
      <c r="AZ3463" s="188">
        <f>IPMT('Assumptions (O&amp;G Upstream)'!$B$344,Model!AD$1,'Assumptions (O&amp;G Upstream)'!$B$347,Model!$AS$3366)</f>
        <v>-5.993850065</v>
      </c>
      <c r="BA3463" s="188">
        <f>IPMT('Assumptions (O&amp;G Upstream)'!$B$344,Model!AE$1,'Assumptions (O&amp;G Upstream)'!$B$347,Model!$AS$3366)</f>
        <v>-4.138527932</v>
      </c>
      <c r="BB3463" s="188">
        <f>IPMT('Assumptions (O&amp;G Upstream)'!$B$344,Model!AF$1,'Assumptions (O&amp;G Upstream)'!$B$347,Model!$AS$3366)</f>
        <v>-2.14405664</v>
      </c>
      <c r="BC3463" s="188"/>
      <c r="BD3463" s="188"/>
      <c r="BE3463" s="188"/>
      <c r="BF3463" s="188"/>
      <c r="BG3463" s="188"/>
      <c r="BH3463" s="188"/>
      <c r="BI3463" s="188"/>
      <c r="BJ3463" s="188"/>
      <c r="BK3463" s="188"/>
      <c r="BL3463" s="188"/>
      <c r="BM3463" s="188"/>
      <c r="BN3463" s="188"/>
      <c r="BO3463" s="188"/>
      <c r="BP3463" s="188"/>
      <c r="BQ3463" s="188"/>
    </row>
    <row r="3464" ht="15.75" hidden="1" customHeight="1" outlineLevel="1">
      <c r="A3464" s="389"/>
      <c r="B3464" s="24"/>
      <c r="C3464" s="188"/>
      <c r="D3464" s="188"/>
      <c r="E3464" s="188"/>
      <c r="F3464" s="188"/>
      <c r="G3464" s="188"/>
      <c r="H3464" s="188"/>
      <c r="I3464" s="188"/>
      <c r="J3464" s="188"/>
      <c r="K3464" s="188"/>
      <c r="L3464" s="188"/>
      <c r="M3464" s="188"/>
      <c r="N3464" s="188"/>
      <c r="O3464" s="188"/>
      <c r="P3464" s="188"/>
      <c r="Q3464" s="188"/>
      <c r="R3464" s="188"/>
      <c r="S3464" s="78"/>
      <c r="T3464" s="78"/>
      <c r="U3464" s="78"/>
      <c r="V3464" s="78"/>
      <c r="W3464" s="139"/>
      <c r="AT3464" s="188">
        <f>IPMT('Assumptions (O&amp;G Upstream)'!$B$344,Model!W$1,'Assumptions (O&amp;G Upstream)'!$B$347,Model!$AT$3366)</f>
        <v>-16.0319213</v>
      </c>
      <c r="AU3464" s="188">
        <f>IPMT('Assumptions (O&amp;G Upstream)'!$B$344,Model!X$1,'Assumptions (O&amp;G Upstream)'!$B$347,Model!$AT$3366)</f>
        <v>-14.89869007</v>
      </c>
      <c r="AV3464" s="188">
        <f>IPMT('Assumptions (O&amp;G Upstream)'!$B$344,Model!Y$1,'Assumptions (O&amp;G Upstream)'!$B$347,Model!$AT$3366)</f>
        <v>-13.68046651</v>
      </c>
      <c r="AW3464" s="188">
        <f>IPMT('Assumptions (O&amp;G Upstream)'!$B$344,Model!Z$1,'Assumptions (O&amp;G Upstream)'!$B$347,Model!$AT$3366)</f>
        <v>-12.37087617</v>
      </c>
      <c r="AX3464" s="188">
        <f>IPMT('Assumptions (O&amp;G Upstream)'!$B$344,Model!AA$1,'Assumptions (O&amp;G Upstream)'!$B$347,Model!$AT$3366)</f>
        <v>-10.96306656</v>
      </c>
      <c r="AY3464" s="188">
        <f>IPMT('Assumptions (O&amp;G Upstream)'!$B$344,Model!AB$1,'Assumptions (O&amp;G Upstream)'!$B$347,Model!$AT$3366)</f>
        <v>-9.449671231</v>
      </c>
      <c r="AZ3464" s="188">
        <f>IPMT('Assumptions (O&amp;G Upstream)'!$B$344,Model!AC$1,'Assumptions (O&amp;G Upstream)'!$B$347,Model!$AT$3366)</f>
        <v>-7.82277125</v>
      </c>
      <c r="BA3464" s="188">
        <f>IPMT('Assumptions (O&amp;G Upstream)'!$B$344,Model!AD$1,'Assumptions (O&amp;G Upstream)'!$B$347,Model!$AT$3366)</f>
        <v>-6.073853771</v>
      </c>
      <c r="BB3464" s="188">
        <f>IPMT('Assumptions (O&amp;G Upstream)'!$B$344,Model!AE$1,'Assumptions (O&amp;G Upstream)'!$B$347,Model!$AT$3366)</f>
        <v>-4.193767481</v>
      </c>
      <c r="BC3464" s="188">
        <f>IPMT('Assumptions (O&amp;G Upstream)'!$B$344,Model!AF$1,'Assumptions (O&amp;G Upstream)'!$B$347,Model!$AT$3366)</f>
        <v>-2.172674719</v>
      </c>
      <c r="BD3464" s="188"/>
      <c r="BE3464" s="188"/>
      <c r="BF3464" s="188"/>
      <c r="BG3464" s="188"/>
      <c r="BH3464" s="188"/>
      <c r="BI3464" s="188"/>
      <c r="BJ3464" s="188"/>
      <c r="BK3464" s="188"/>
      <c r="BL3464" s="188"/>
      <c r="BM3464" s="188"/>
      <c r="BN3464" s="188"/>
      <c r="BO3464" s="188"/>
      <c r="BP3464" s="188"/>
      <c r="BQ3464" s="188"/>
      <c r="BR3464" s="188"/>
    </row>
    <row r="3465" ht="15.75" hidden="1" customHeight="1" outlineLevel="1">
      <c r="A3465" s="389"/>
      <c r="B3465" s="24"/>
      <c r="C3465" s="188"/>
      <c r="D3465" s="188"/>
      <c r="E3465" s="188"/>
      <c r="F3465" s="188"/>
      <c r="G3465" s="188"/>
      <c r="H3465" s="188"/>
      <c r="I3465" s="188"/>
      <c r="J3465" s="188"/>
      <c r="K3465" s="188"/>
      <c r="L3465" s="188"/>
      <c r="M3465" s="188"/>
      <c r="N3465" s="188"/>
      <c r="O3465" s="188"/>
      <c r="P3465" s="188"/>
      <c r="Q3465" s="188"/>
      <c r="R3465" s="188"/>
      <c r="S3465" s="78"/>
      <c r="T3465" s="78"/>
      <c r="U3465" s="78"/>
      <c r="V3465" s="78"/>
      <c r="W3465" s="139"/>
      <c r="AU3465" s="188">
        <f>IPMT('Assumptions (O&amp;G Upstream)'!$B$344,Model!W$1,'Assumptions (O&amp;G Upstream)'!$B$347,Model!$AU$3366)</f>
        <v>-16.28301244</v>
      </c>
      <c r="AV3465" s="188">
        <f>IPMT('Assumptions (O&amp;G Upstream)'!$B$344,Model!X$1,'Assumptions (O&amp;G Upstream)'!$B$347,Model!$AU$3366)</f>
        <v>-15.13203261</v>
      </c>
      <c r="AW3465" s="188">
        <f>IPMT('Assumptions (O&amp;G Upstream)'!$B$344,Model!Y$1,'Assumptions (O&amp;G Upstream)'!$B$347,Model!$AU$3366)</f>
        <v>-13.89472928</v>
      </c>
      <c r="AX3465" s="188">
        <f>IPMT('Assumptions (O&amp;G Upstream)'!$B$344,Model!Z$1,'Assumptions (O&amp;G Upstream)'!$B$347,Model!$AU$3366)</f>
        <v>-12.56462821</v>
      </c>
      <c r="AY3465" s="188">
        <f>IPMT('Assumptions (O&amp;G Upstream)'!$B$344,Model!AA$1,'Assumptions (O&amp;G Upstream)'!$B$347,Model!$AU$3366)</f>
        <v>-11.13476956</v>
      </c>
      <c r="AZ3465" s="188">
        <f>IPMT('Assumptions (O&amp;G Upstream)'!$B$344,Model!AB$1,'Assumptions (O&amp;G Upstream)'!$B$347,Model!$AU$3366)</f>
        <v>-9.597671504</v>
      </c>
      <c r="BA3465" s="188">
        <f>IPMT('Assumptions (O&amp;G Upstream)'!$B$344,Model!AC$1,'Assumptions (O&amp;G Upstream)'!$B$347,Model!$AU$3366)</f>
        <v>-7.945291098</v>
      </c>
      <c r="BB3465" s="188">
        <f>IPMT('Assumptions (O&amp;G Upstream)'!$B$344,Model!AD$1,'Assumptions (O&amp;G Upstream)'!$B$347,Model!$AU$3366)</f>
        <v>-6.168982162</v>
      </c>
      <c r="BC3465" s="188">
        <f>IPMT('Assumptions (O&amp;G Upstream)'!$B$344,Model!AE$1,'Assumptions (O&amp;G Upstream)'!$B$347,Model!$AU$3366)</f>
        <v>-4.259450055</v>
      </c>
      <c r="BD3465" s="188">
        <f>IPMT('Assumptions (O&amp;G Upstream)'!$B$344,Model!AF$1,'Assumptions (O&amp;G Upstream)'!$B$347,Model!$AU$3366)</f>
        <v>-2.206703041</v>
      </c>
      <c r="BE3465" s="188"/>
      <c r="BF3465" s="188"/>
      <c r="BG3465" s="188"/>
      <c r="BH3465" s="188"/>
      <c r="BI3465" s="188"/>
      <c r="BJ3465" s="188"/>
      <c r="BK3465" s="188"/>
      <c r="BL3465" s="188"/>
      <c r="BM3465" s="188"/>
      <c r="BN3465" s="188"/>
      <c r="BO3465" s="188"/>
      <c r="BP3465" s="188"/>
      <c r="BQ3465" s="188"/>
      <c r="BR3465" s="188"/>
      <c r="BS3465" s="188"/>
    </row>
    <row r="3466" ht="15.75" hidden="1" customHeight="1" outlineLevel="1">
      <c r="A3466" s="389"/>
      <c r="B3466" s="24"/>
      <c r="C3466" s="188"/>
      <c r="D3466" s="188"/>
      <c r="E3466" s="188"/>
      <c r="F3466" s="188"/>
      <c r="G3466" s="188"/>
      <c r="H3466" s="188"/>
      <c r="I3466" s="188"/>
      <c r="J3466" s="188"/>
      <c r="K3466" s="188"/>
      <c r="L3466" s="188"/>
      <c r="M3466" s="188"/>
      <c r="N3466" s="188"/>
      <c r="O3466" s="188"/>
      <c r="P3466" s="188"/>
      <c r="Q3466" s="188"/>
      <c r="R3466" s="188"/>
      <c r="S3466" s="78"/>
      <c r="T3466" s="78"/>
      <c r="U3466" s="78"/>
      <c r="V3466" s="78"/>
      <c r="W3466" s="139"/>
      <c r="AV3466" s="188">
        <f>IPMT('Assumptions (O&amp;G Upstream)'!$B$344,Model!W$1,'Assumptions (O&amp;G Upstream)'!$B$347,Model!$AV$3366)</f>
        <v>-16.50177799</v>
      </c>
      <c r="AW3466" s="188">
        <f>IPMT('Assumptions (O&amp;G Upstream)'!$B$344,Model!X$1,'Assumptions (O&amp;G Upstream)'!$B$347,Model!$AV$3366)</f>
        <v>-15.33533451</v>
      </c>
      <c r="AX3466" s="188">
        <f>IPMT('Assumptions (O&amp;G Upstream)'!$B$344,Model!Y$1,'Assumptions (O&amp;G Upstream)'!$B$347,Model!$AV$3366)</f>
        <v>-14.08140777</v>
      </c>
      <c r="AY3466" s="188">
        <f>IPMT('Assumptions (O&amp;G Upstream)'!$B$344,Model!Z$1,'Assumptions (O&amp;G Upstream)'!$B$347,Model!$AV$3366)</f>
        <v>-12.73343652</v>
      </c>
      <c r="AZ3466" s="188">
        <f>IPMT('Assumptions (O&amp;G Upstream)'!$B$344,Model!AA$1,'Assumptions (O&amp;G Upstream)'!$B$347,Model!$AV$3366)</f>
        <v>-11.28436743</v>
      </c>
      <c r="BA3466" s="188">
        <f>IPMT('Assumptions (O&amp;G Upstream)'!$B$344,Model!AB$1,'Assumptions (O&amp;G Upstream)'!$B$347,Model!$AV$3366)</f>
        <v>-9.726618153</v>
      </c>
      <c r="BB3466" s="188">
        <f>IPMT('Assumptions (O&amp;G Upstream)'!$B$344,Model!AC$1,'Assumptions (O&amp;G Upstream)'!$B$347,Model!$AV$3366)</f>
        <v>-8.052037684</v>
      </c>
      <c r="BC3466" s="188">
        <f>IPMT('Assumptions (O&amp;G Upstream)'!$B$344,Model!AD$1,'Assumptions (O&amp;G Upstream)'!$B$347,Model!$AV$3366)</f>
        <v>-6.251863679</v>
      </c>
      <c r="BD3466" s="188">
        <f>IPMT('Assumptions (O&amp;G Upstream)'!$B$344,Model!AE$1,'Assumptions (O&amp;G Upstream)'!$B$347,Model!$AV$3366)</f>
        <v>-4.316676624</v>
      </c>
      <c r="BE3466" s="188">
        <f>IPMT('Assumptions (O&amp;G Upstream)'!$B$344,Model!AF$1,'Assumptions (O&amp;G Upstream)'!$B$347,Model!$AV$3366)</f>
        <v>-2.23635054</v>
      </c>
      <c r="BF3466" s="188"/>
      <c r="BG3466" s="188"/>
      <c r="BH3466" s="188"/>
      <c r="BI3466" s="188"/>
      <c r="BJ3466" s="188"/>
      <c r="BK3466" s="188"/>
      <c r="BL3466" s="188"/>
      <c r="BM3466" s="188"/>
      <c r="BN3466" s="188"/>
      <c r="BO3466" s="188"/>
      <c r="BP3466" s="188"/>
      <c r="BQ3466" s="188"/>
      <c r="BR3466" s="188"/>
      <c r="BS3466" s="188"/>
      <c r="BT3466" s="188"/>
    </row>
    <row r="3467" ht="15.75" hidden="1" customHeight="1" outlineLevel="1">
      <c r="A3467" s="389"/>
      <c r="B3467" s="24"/>
      <c r="C3467" s="188"/>
      <c r="D3467" s="188"/>
      <c r="E3467" s="188"/>
      <c r="F3467" s="188"/>
      <c r="G3467" s="188"/>
      <c r="H3467" s="188"/>
      <c r="I3467" s="188"/>
      <c r="J3467" s="188"/>
      <c r="K3467" s="188"/>
      <c r="L3467" s="188"/>
      <c r="M3467" s="188"/>
      <c r="N3467" s="188"/>
      <c r="O3467" s="188"/>
      <c r="P3467" s="188"/>
      <c r="Q3467" s="188"/>
      <c r="R3467" s="188"/>
      <c r="S3467" s="78"/>
      <c r="T3467" s="78"/>
      <c r="U3467" s="78"/>
      <c r="V3467" s="78"/>
      <c r="W3467" s="139"/>
      <c r="AW3467" s="188">
        <f>IPMT('Assumptions (O&amp;G Upstream)'!$B$344,Model!W$1,'Assumptions (O&amp;G Upstream)'!$B$347,Model!$AW$3366)</f>
        <v>-16.73123312</v>
      </c>
      <c r="AX3467" s="188">
        <f>IPMT('Assumptions (O&amp;G Upstream)'!$B$344,Model!X$1,'Assumptions (O&amp;G Upstream)'!$B$347,Model!$AW$3366)</f>
        <v>-15.54857039</v>
      </c>
      <c r="AY3467" s="188">
        <f>IPMT('Assumptions (O&amp;G Upstream)'!$B$344,Model!Y$1,'Assumptions (O&amp;G Upstream)'!$B$347,Model!$AW$3366)</f>
        <v>-14.27720795</v>
      </c>
      <c r="AZ3467" s="188">
        <f>IPMT('Assumptions (O&amp;G Upstream)'!$B$344,Model!Z$1,'Assumptions (O&amp;G Upstream)'!$B$347,Model!$AW$3366)</f>
        <v>-12.91049334</v>
      </c>
      <c r="BA3467" s="188">
        <f>IPMT('Assumptions (O&amp;G Upstream)'!$B$344,Model!AA$1,'Assumptions (O&amp;G Upstream)'!$B$347,Model!$AW$3366)</f>
        <v>-11.44127512</v>
      </c>
      <c r="BB3467" s="188">
        <f>IPMT('Assumptions (O&amp;G Upstream)'!$B$344,Model!AB$1,'Assumptions (O&amp;G Upstream)'!$B$347,Model!$AW$3366)</f>
        <v>-9.861865543</v>
      </c>
      <c r="BC3467" s="188">
        <f>IPMT('Assumptions (O&amp;G Upstream)'!$B$344,Model!AC$1,'Assumptions (O&amp;G Upstream)'!$B$347,Model!$AW$3366)</f>
        <v>-8.164000245</v>
      </c>
      <c r="BD3467" s="188">
        <f>IPMT('Assumptions (O&amp;G Upstream)'!$B$344,Model!AD$1,'Assumptions (O&amp;G Upstream)'!$B$347,Model!$AW$3366)</f>
        <v>-6.33879505</v>
      </c>
      <c r="BE3467" s="188">
        <f>IPMT('Assumptions (O&amp;G Upstream)'!$B$344,Model!AE$1,'Assumptions (O&amp;G Upstream)'!$B$347,Model!$AW$3366)</f>
        <v>-4.376699465</v>
      </c>
      <c r="BF3467" s="188">
        <f>IPMT('Assumptions (O&amp;G Upstream)'!$B$344,Model!AF$1,'Assumptions (O&amp;G Upstream)'!$B$347,Model!$AW$3366)</f>
        <v>-2.267446711</v>
      </c>
      <c r="BG3467" s="188"/>
      <c r="BH3467" s="188"/>
      <c r="BI3467" s="188"/>
      <c r="BJ3467" s="188"/>
      <c r="BK3467" s="188"/>
      <c r="BL3467" s="188"/>
      <c r="BM3467" s="188"/>
      <c r="BN3467" s="188"/>
      <c r="BO3467" s="188"/>
      <c r="BP3467" s="188"/>
      <c r="BQ3467" s="188"/>
      <c r="BR3467" s="188"/>
      <c r="BS3467" s="188"/>
      <c r="BT3467" s="188"/>
      <c r="BU3467" s="188"/>
    </row>
    <row r="3468" ht="15.75" hidden="1" customHeight="1" outlineLevel="1">
      <c r="A3468" s="389"/>
      <c r="B3468" s="24"/>
      <c r="C3468" s="188"/>
      <c r="D3468" s="188"/>
      <c r="E3468" s="188"/>
      <c r="F3468" s="188"/>
      <c r="G3468" s="188"/>
      <c r="H3468" s="188"/>
      <c r="I3468" s="188"/>
      <c r="J3468" s="188"/>
      <c r="K3468" s="188"/>
      <c r="L3468" s="188"/>
      <c r="M3468" s="188"/>
      <c r="N3468" s="188"/>
      <c r="O3468" s="188"/>
      <c r="P3468" s="188"/>
      <c r="Q3468" s="188"/>
      <c r="R3468" s="188"/>
      <c r="S3468" s="78"/>
      <c r="T3468" s="78"/>
      <c r="U3468" s="78"/>
      <c r="V3468" s="78"/>
      <c r="W3468" s="139"/>
      <c r="AW3468" s="188"/>
      <c r="AX3468" s="188">
        <f>IPMT('Assumptions (O&amp;G Upstream)'!$B$344,Model!W$1,'Assumptions (O&amp;G Upstream)'!$B$347,Model!$AX$3366)</f>
        <v>-16.98175345</v>
      </c>
      <c r="AY3468" s="188">
        <f>IPMT('Assumptions (O&amp;G Upstream)'!$B$344,Model!X$1,'Assumptions (O&amp;G Upstream)'!$B$347,Model!$AX$3366)</f>
        <v>-15.78138246</v>
      </c>
      <c r="AZ3468" s="188">
        <f>IPMT('Assumptions (O&amp;G Upstream)'!$B$344,Model!Y$1,'Assumptions (O&amp;G Upstream)'!$B$347,Model!$AX$3366)</f>
        <v>-14.49098364</v>
      </c>
      <c r="BA3468" s="188">
        <f>IPMT('Assumptions (O&amp;G Upstream)'!$B$344,Model!Z$1,'Assumptions (O&amp;G Upstream)'!$B$347,Model!$AX$3366)</f>
        <v>-13.10380491</v>
      </c>
      <c r="BB3468" s="188">
        <f>IPMT('Assumptions (O&amp;G Upstream)'!$B$344,Model!AA$1,'Assumptions (O&amp;G Upstream)'!$B$347,Model!$AX$3366)</f>
        <v>-11.61258778</v>
      </c>
      <c r="BC3468" s="188">
        <f>IPMT('Assumptions (O&amp;G Upstream)'!$B$344,Model!AB$1,'Assumptions (O&amp;G Upstream)'!$B$347,Model!$AX$3366)</f>
        <v>-10.00952936</v>
      </c>
      <c r="BD3468" s="188">
        <f>IPMT('Assumptions (O&amp;G Upstream)'!$B$344,Model!AC$1,'Assumptions (O&amp;G Upstream)'!$B$347,Model!$AX$3366)</f>
        <v>-8.286241566</v>
      </c>
      <c r="BE3468" s="188">
        <f>IPMT('Assumptions (O&amp;G Upstream)'!$B$344,Model!AD$1,'Assumptions (O&amp;G Upstream)'!$B$347,Model!$AX$3366)</f>
        <v>-6.433707183</v>
      </c>
      <c r="BF3468" s="188">
        <f>IPMT('Assumptions (O&amp;G Upstream)'!$B$344,Model!AE$1,'Assumptions (O&amp;G Upstream)'!$B$347,Model!$AX$3366)</f>
        <v>-4.442232721</v>
      </c>
      <c r="BG3468" s="188">
        <f>IPMT('Assumptions (O&amp;G Upstream)'!$B$344,Model!AF$1,'Assumptions (O&amp;G Upstream)'!$B$347,Model!$AX$3366)</f>
        <v>-2.301397675</v>
      </c>
      <c r="BH3468" s="188"/>
      <c r="BI3468" s="188"/>
      <c r="BJ3468" s="188"/>
      <c r="BK3468" s="188"/>
      <c r="BL3468" s="188"/>
      <c r="BM3468" s="188"/>
      <c r="BN3468" s="188"/>
      <c r="BO3468" s="188"/>
      <c r="BP3468" s="188"/>
      <c r="BQ3468" s="188"/>
      <c r="BR3468" s="188"/>
      <c r="BS3468" s="188"/>
      <c r="BT3468" s="188"/>
      <c r="BU3468" s="188"/>
      <c r="BV3468" s="188"/>
    </row>
    <row r="3469" ht="15.75" hidden="1" customHeight="1" outlineLevel="1">
      <c r="A3469" s="389"/>
      <c r="B3469" s="24"/>
      <c r="C3469" s="188"/>
      <c r="D3469" s="188"/>
      <c r="E3469" s="188"/>
      <c r="F3469" s="188"/>
      <c r="G3469" s="188"/>
      <c r="H3469" s="188"/>
      <c r="I3469" s="188"/>
      <c r="J3469" s="188"/>
      <c r="K3469" s="188"/>
      <c r="L3469" s="188"/>
      <c r="M3469" s="188"/>
      <c r="N3469" s="188"/>
      <c r="O3469" s="188"/>
      <c r="P3469" s="188"/>
      <c r="Q3469" s="188"/>
      <c r="R3469" s="188"/>
      <c r="S3469" s="78"/>
      <c r="T3469" s="78"/>
      <c r="U3469" s="78"/>
      <c r="V3469" s="78"/>
      <c r="W3469" s="139"/>
      <c r="AW3469" s="188"/>
      <c r="AX3469" s="188"/>
      <c r="AY3469" s="188">
        <f>IPMT('Assumptions (O&amp;G Upstream)'!$B$344,Model!W$1,'Assumptions (O&amp;G Upstream)'!$B$347,Model!$AY$3366)</f>
        <v>-17.24461562</v>
      </c>
      <c r="AZ3469" s="188">
        <f>IPMT('Assumptions (O&amp;G Upstream)'!$B$344,Model!X$1,'Assumptions (O&amp;G Upstream)'!$B$347,Model!$AY$3366)</f>
        <v>-16.02566397</v>
      </c>
      <c r="BA3469" s="188">
        <f>IPMT('Assumptions (O&amp;G Upstream)'!$B$344,Model!Y$1,'Assumptions (O&amp;G Upstream)'!$B$347,Model!$AY$3366)</f>
        <v>-14.71529095</v>
      </c>
      <c r="BB3469" s="188">
        <f>IPMT('Assumptions (O&amp;G Upstream)'!$B$344,Model!Z$1,'Assumptions (O&amp;G Upstream)'!$B$347,Model!$AY$3366)</f>
        <v>-13.30663995</v>
      </c>
      <c r="BC3469" s="188">
        <f>IPMT('Assumptions (O&amp;G Upstream)'!$B$344,Model!AA$1,'Assumptions (O&amp;G Upstream)'!$B$347,Model!$AY$3366)</f>
        <v>-11.79234013</v>
      </c>
      <c r="BD3469" s="188">
        <f>IPMT('Assumptions (O&amp;G Upstream)'!$B$344,Model!AB$1,'Assumptions (O&amp;G Upstream)'!$B$347,Model!$AY$3366)</f>
        <v>-10.16446782</v>
      </c>
      <c r="BE3469" s="188">
        <f>IPMT('Assumptions (O&amp;G Upstream)'!$B$344,Model!AC$1,'Assumptions (O&amp;G Upstream)'!$B$347,Model!$AY$3366)</f>
        <v>-8.414505085</v>
      </c>
      <c r="BF3469" s="188">
        <f>IPMT('Assumptions (O&amp;G Upstream)'!$B$344,Model!AD$1,'Assumptions (O&amp;G Upstream)'!$B$347,Model!$AY$3366)</f>
        <v>-6.533295146</v>
      </c>
      <c r="BG3469" s="188">
        <f>IPMT('Assumptions (O&amp;G Upstream)'!$B$344,Model!AE$1,'Assumptions (O&amp;G Upstream)'!$B$347,Model!$AY$3366)</f>
        <v>-4.510994463</v>
      </c>
      <c r="BH3469" s="188">
        <f>IPMT('Assumptions (O&amp;G Upstream)'!$B$344,Model!AF$1,'Assumptions (O&amp;G Upstream)'!$B$347,Model!$AY$3366)</f>
        <v>-2.337021228</v>
      </c>
      <c r="BI3469" s="188"/>
      <c r="BJ3469" s="188"/>
      <c r="BK3469" s="188"/>
      <c r="BL3469" s="188"/>
      <c r="BM3469" s="188"/>
      <c r="BN3469" s="188"/>
      <c r="BO3469" s="188"/>
      <c r="BP3469" s="188"/>
      <c r="BQ3469" s="188"/>
      <c r="BR3469" s="188"/>
      <c r="BS3469" s="188"/>
      <c r="BT3469" s="188"/>
      <c r="BU3469" s="188"/>
      <c r="BV3469" s="188"/>
      <c r="BW3469" s="188"/>
    </row>
    <row r="3470" ht="15.75" hidden="1" customHeight="1" outlineLevel="1">
      <c r="A3470" s="389"/>
      <c r="B3470" s="24"/>
      <c r="C3470" s="188"/>
      <c r="D3470" s="188"/>
      <c r="E3470" s="188"/>
      <c r="F3470" s="188"/>
      <c r="G3470" s="188"/>
      <c r="H3470" s="188"/>
      <c r="I3470" s="188"/>
      <c r="J3470" s="188"/>
      <c r="K3470" s="188"/>
      <c r="L3470" s="188"/>
      <c r="M3470" s="188"/>
      <c r="N3470" s="188"/>
      <c r="O3470" s="188"/>
      <c r="P3470" s="188"/>
      <c r="Q3470" s="188"/>
      <c r="R3470" s="188"/>
      <c r="S3470" s="78"/>
      <c r="T3470" s="78"/>
      <c r="U3470" s="78"/>
      <c r="V3470" s="78"/>
      <c r="W3470" s="139"/>
      <c r="AW3470" s="188"/>
      <c r="AX3470" s="188"/>
      <c r="AY3470" s="188"/>
      <c r="AZ3470" s="188">
        <f>IPMT('Assumptions (O&amp;G Upstream)'!$B$344,Model!W$1,'Assumptions (O&amp;G Upstream)'!$B$347,Model!$AZ$3366)</f>
        <v>-17.4417404</v>
      </c>
      <c r="BA3470" s="188">
        <f>IPMT('Assumptions (O&amp;G Upstream)'!$B$344,Model!X$1,'Assumptions (O&amp;G Upstream)'!$B$347,Model!$AZ$3366)</f>
        <v>-16.20885481</v>
      </c>
      <c r="BB3470" s="188">
        <f>IPMT('Assumptions (O&amp;G Upstream)'!$B$344,Model!Y$1,'Assumptions (O&amp;G Upstream)'!$B$347,Model!$AZ$3366)</f>
        <v>-14.88350279</v>
      </c>
      <c r="BC3470" s="188">
        <f>IPMT('Assumptions (O&amp;G Upstream)'!$B$344,Model!Z$1,'Assumptions (O&amp;G Upstream)'!$B$347,Model!$AZ$3366)</f>
        <v>-13.45874937</v>
      </c>
      <c r="BD3470" s="188">
        <f>IPMT('Assumptions (O&amp;G Upstream)'!$B$344,Model!AA$1,'Assumptions (O&amp;G Upstream)'!$B$347,Model!$AZ$3366)</f>
        <v>-11.92713945</v>
      </c>
      <c r="BE3470" s="188">
        <f>IPMT('Assumptions (O&amp;G Upstream)'!$B$344,Model!AB$1,'Assumptions (O&amp;G Upstream)'!$B$347,Model!$AZ$3366)</f>
        <v>-10.28065878</v>
      </c>
      <c r="BF3470" s="188">
        <f>IPMT('Assumptions (O&amp;G Upstream)'!$B$344,Model!AC$1,'Assumptions (O&amp;G Upstream)'!$B$347,Model!$AZ$3366)</f>
        <v>-8.510692065</v>
      </c>
      <c r="BG3470" s="188">
        <f>IPMT('Assumptions (O&amp;G Upstream)'!$B$344,Model!AD$1,'Assumptions (O&amp;G Upstream)'!$B$347,Model!$AZ$3366)</f>
        <v>-6.607977843</v>
      </c>
      <c r="BH3470" s="188">
        <f>IPMT('Assumptions (O&amp;G Upstream)'!$B$344,Model!AE$1,'Assumptions (O&amp;G Upstream)'!$B$347,Model!$AZ$3366)</f>
        <v>-4.562560054</v>
      </c>
      <c r="BI3470" s="188">
        <f>IPMT('Assumptions (O&amp;G Upstream)'!$B$344,Model!AF$1,'Assumptions (O&amp;G Upstream)'!$B$347,Model!$AZ$3366)</f>
        <v>-2.363735932</v>
      </c>
      <c r="BJ3470" s="188"/>
      <c r="BK3470" s="188"/>
      <c r="BL3470" s="188"/>
      <c r="BM3470" s="188"/>
      <c r="BN3470" s="188"/>
      <c r="BO3470" s="188"/>
      <c r="BP3470" s="188"/>
      <c r="BQ3470" s="188"/>
      <c r="BR3470" s="188"/>
      <c r="BS3470" s="188"/>
      <c r="BT3470" s="188"/>
      <c r="BU3470" s="188"/>
      <c r="BV3470" s="188"/>
      <c r="BW3470" s="188"/>
      <c r="BX3470" s="188"/>
    </row>
    <row r="3471" ht="15.75" hidden="1" customHeight="1" outlineLevel="1">
      <c r="A3471" s="389"/>
      <c r="B3471" s="24"/>
      <c r="C3471" s="188"/>
      <c r="D3471" s="188"/>
      <c r="E3471" s="188"/>
      <c r="F3471" s="188"/>
      <c r="G3471" s="188"/>
      <c r="H3471" s="188"/>
      <c r="I3471" s="188"/>
      <c r="J3471" s="188"/>
      <c r="K3471" s="188"/>
      <c r="L3471" s="188"/>
      <c r="M3471" s="188"/>
      <c r="N3471" s="188"/>
      <c r="O3471" s="188"/>
      <c r="P3471" s="188"/>
      <c r="Q3471" s="188"/>
      <c r="R3471" s="188"/>
      <c r="S3471" s="78"/>
      <c r="T3471" s="78"/>
      <c r="U3471" s="78"/>
      <c r="V3471" s="78"/>
      <c r="W3471" s="139"/>
      <c r="BA3471" s="188">
        <f>IPMT('Assumptions (O&amp;G Upstream)'!$B$344,Model!W$1,'Assumptions (O&amp;G Upstream)'!$B$347,Model!$BA$3366)</f>
        <v>-17.68484689</v>
      </c>
      <c r="BB3471" s="188">
        <f>IPMT('Assumptions (O&amp;G Upstream)'!$B$344,Model!X$1,'Assumptions (O&amp;G Upstream)'!$B$347,Model!$BA$3366)</f>
        <v>-16.43477709</v>
      </c>
      <c r="BC3471" s="188">
        <f>IPMT('Assumptions (O&amp;G Upstream)'!$B$344,Model!Y$1,'Assumptions (O&amp;G Upstream)'!$B$347,Model!$BA$3366)</f>
        <v>-15.09095205</v>
      </c>
      <c r="BD3471" s="188">
        <f>IPMT('Assumptions (O&amp;G Upstream)'!$B$344,Model!Z$1,'Assumptions (O&amp;G Upstream)'!$B$347,Model!$BA$3366)</f>
        <v>-13.64634013</v>
      </c>
      <c r="BE3471" s="188">
        <f>IPMT('Assumptions (O&amp;G Upstream)'!$B$344,Model!AA$1,'Assumptions (O&amp;G Upstream)'!$B$347,Model!$BA$3366)</f>
        <v>-12.09338232</v>
      </c>
      <c r="BF3471" s="188">
        <f>IPMT('Assumptions (O&amp;G Upstream)'!$B$344,Model!AB$1,'Assumptions (O&amp;G Upstream)'!$B$347,Model!$BA$3366)</f>
        <v>-10.42395267</v>
      </c>
      <c r="BG3471" s="188">
        <f>IPMT('Assumptions (O&amp;G Upstream)'!$B$344,Model!AC$1,'Assumptions (O&amp;G Upstream)'!$B$347,Model!$BA$3366)</f>
        <v>-8.629315803</v>
      </c>
      <c r="BH3471" s="188">
        <f>IPMT('Assumptions (O&amp;G Upstream)'!$B$344,Model!AD$1,'Assumptions (O&amp;G Upstream)'!$B$347,Model!$BA$3366)</f>
        <v>-6.700081168</v>
      </c>
      <c r="BI3471" s="188">
        <f>IPMT('Assumptions (O&amp;G Upstream)'!$B$344,Model!AE$1,'Assumptions (O&amp;G Upstream)'!$B$347,Model!$BA$3366)</f>
        <v>-4.626153935</v>
      </c>
      <c r="BJ3471" s="188">
        <f>IPMT('Assumptions (O&amp;G Upstream)'!$B$344,Model!AF$1,'Assumptions (O&amp;G Upstream)'!$B$347,Model!$BA$3366)</f>
        <v>-2.396682159</v>
      </c>
      <c r="BK3471" s="188"/>
      <c r="BL3471" s="188"/>
      <c r="BM3471" s="188"/>
      <c r="BN3471" s="188"/>
      <c r="BO3471" s="188"/>
      <c r="BP3471" s="188"/>
      <c r="BQ3471" s="188"/>
      <c r="BR3471" s="188"/>
      <c r="BS3471" s="188"/>
      <c r="BT3471" s="188"/>
      <c r="BU3471" s="188"/>
      <c r="BV3471" s="188"/>
      <c r="BW3471" s="188"/>
      <c r="BX3471" s="188"/>
      <c r="BY3471" s="188"/>
    </row>
    <row r="3472" ht="15.75" customHeight="1" collapsed="1">
      <c r="A3472" s="389" t="s">
        <v>457</v>
      </c>
      <c r="B3472" s="150" t="s">
        <v>351</v>
      </c>
      <c r="C3472" s="95">
        <f t="shared" ref="C3472:BU3472" si="99">SUM(C3473:C3523)</f>
        <v>4.44419</v>
      </c>
      <c r="D3472" s="95">
        <f t="shared" si="99"/>
        <v>13.57532</v>
      </c>
      <c r="E3472" s="95">
        <f t="shared" si="99"/>
        <v>20.48174</v>
      </c>
      <c r="F3472" s="95">
        <f t="shared" si="99"/>
        <v>25.84297</v>
      </c>
      <c r="G3472" s="95">
        <f t="shared" si="99"/>
        <v>32.23214</v>
      </c>
      <c r="H3472" s="95">
        <f t="shared" si="99"/>
        <v>41.44484</v>
      </c>
      <c r="I3472" s="95">
        <f t="shared" si="99"/>
        <v>55.81842</v>
      </c>
      <c r="J3472" s="95">
        <f t="shared" si="99"/>
        <v>70.75881</v>
      </c>
      <c r="K3472" s="95">
        <f t="shared" si="99"/>
        <v>84.09672</v>
      </c>
      <c r="L3472" s="95">
        <f t="shared" si="99"/>
        <v>90.9073</v>
      </c>
      <c r="M3472" s="95">
        <f t="shared" si="99"/>
        <v>93.33384</v>
      </c>
      <c r="N3472" s="95">
        <f t="shared" si="99"/>
        <v>101.93094</v>
      </c>
      <c r="O3472" s="95">
        <f t="shared" si="99"/>
        <v>116.91175</v>
      </c>
      <c r="P3472" s="95">
        <f t="shared" si="99"/>
        <v>132.89667</v>
      </c>
      <c r="Q3472" s="95">
        <f t="shared" si="99"/>
        <v>148.63108</v>
      </c>
      <c r="R3472" s="95">
        <f t="shared" si="99"/>
        <v>155.67084</v>
      </c>
      <c r="S3472" s="95">
        <f t="shared" si="99"/>
        <v>144.2637</v>
      </c>
      <c r="T3472" s="95">
        <f t="shared" si="99"/>
        <v>133.21987</v>
      </c>
      <c r="U3472" s="95">
        <f t="shared" si="99"/>
        <v>138.0037951</v>
      </c>
      <c r="V3472" s="95">
        <f t="shared" si="99"/>
        <v>152.0301066</v>
      </c>
      <c r="W3472" s="95">
        <f t="shared" si="99"/>
        <v>165.7643933</v>
      </c>
      <c r="X3472" s="95">
        <f t="shared" si="99"/>
        <v>175.4793038</v>
      </c>
      <c r="Y3472" s="95">
        <f t="shared" si="99"/>
        <v>183.3777578</v>
      </c>
      <c r="Z3472" s="95">
        <f t="shared" si="99"/>
        <v>195.4251214</v>
      </c>
      <c r="AA3472" s="95">
        <f t="shared" si="99"/>
        <v>209.7541996</v>
      </c>
      <c r="AB3472" s="95">
        <f t="shared" si="99"/>
        <v>221.4928471</v>
      </c>
      <c r="AC3472" s="95">
        <f t="shared" si="99"/>
        <v>230.8716315</v>
      </c>
      <c r="AD3472" s="95">
        <f t="shared" si="99"/>
        <v>239.6916124</v>
      </c>
      <c r="AE3472" s="95">
        <f t="shared" si="99"/>
        <v>247.8142471</v>
      </c>
      <c r="AF3472" s="95">
        <f t="shared" si="99"/>
        <v>255.638898</v>
      </c>
      <c r="AG3472" s="95">
        <f t="shared" si="99"/>
        <v>263.6040984</v>
      </c>
      <c r="AH3472" s="95">
        <f t="shared" si="99"/>
        <v>271.3994595</v>
      </c>
      <c r="AI3472" s="95">
        <f t="shared" si="99"/>
        <v>278.7342405</v>
      </c>
      <c r="AJ3472" s="95">
        <f t="shared" si="99"/>
        <v>285.7388944</v>
      </c>
      <c r="AK3472" s="95">
        <f t="shared" si="99"/>
        <v>292.3378915</v>
      </c>
      <c r="AL3472" s="95">
        <f t="shared" si="99"/>
        <v>298.4050467</v>
      </c>
      <c r="AM3472" s="95">
        <f t="shared" si="99"/>
        <v>304.4023312</v>
      </c>
      <c r="AN3472" s="95">
        <f t="shared" si="99"/>
        <v>309.7183562</v>
      </c>
      <c r="AO3472" s="95">
        <f t="shared" si="99"/>
        <v>314.4883574</v>
      </c>
      <c r="AP3472" s="95">
        <f t="shared" si="99"/>
        <v>319.3677832</v>
      </c>
      <c r="AQ3472" s="95">
        <f t="shared" si="99"/>
        <v>324.4657436</v>
      </c>
      <c r="AR3472" s="95">
        <f t="shared" si="99"/>
        <v>329.8662822</v>
      </c>
      <c r="AS3472" s="95">
        <f t="shared" si="99"/>
        <v>335.5546431</v>
      </c>
      <c r="AT3472" s="95">
        <f t="shared" si="99"/>
        <v>341.2166032</v>
      </c>
      <c r="AU3472" s="95">
        <f t="shared" si="99"/>
        <v>346.7705916</v>
      </c>
      <c r="AV3472" s="95">
        <f t="shared" si="99"/>
        <v>352.3695932</v>
      </c>
      <c r="AW3472" s="95">
        <f t="shared" si="99"/>
        <v>357.8416253</v>
      </c>
      <c r="AX3472" s="95">
        <f t="shared" si="99"/>
        <v>363.3244807</v>
      </c>
      <c r="AY3472" s="95">
        <f t="shared" si="99"/>
        <v>368.8521439</v>
      </c>
      <c r="AZ3472" s="95">
        <f t="shared" si="99"/>
        <v>374.1951188</v>
      </c>
      <c r="BA3472" s="95">
        <f t="shared" si="99"/>
        <v>379.3534564</v>
      </c>
      <c r="BB3472" s="95">
        <f t="shared" si="99"/>
        <v>327.6479911</v>
      </c>
      <c r="BC3472" s="95">
        <f t="shared" si="99"/>
        <v>234.5855132</v>
      </c>
      <c r="BD3472" s="95">
        <f t="shared" si="99"/>
        <v>168.1619575</v>
      </c>
      <c r="BE3472" s="95">
        <f t="shared" si="99"/>
        <v>120.7197878</v>
      </c>
      <c r="BF3472" s="95">
        <f t="shared" si="99"/>
        <v>86.7587915</v>
      </c>
      <c r="BG3472" s="95">
        <f t="shared" si="99"/>
        <v>52.38129888</v>
      </c>
      <c r="BH3472" s="95">
        <f t="shared" si="99"/>
        <v>17.52764825</v>
      </c>
      <c r="BI3472" s="95">
        <f t="shared" si="99"/>
        <v>0</v>
      </c>
      <c r="BJ3472" s="95">
        <f t="shared" si="99"/>
        <v>0</v>
      </c>
      <c r="BK3472" s="95">
        <f t="shared" si="99"/>
        <v>0</v>
      </c>
      <c r="BL3472" s="95">
        <f t="shared" si="99"/>
        <v>0</v>
      </c>
      <c r="BM3472" s="95">
        <f t="shared" si="99"/>
        <v>0</v>
      </c>
      <c r="BN3472" s="95">
        <f t="shared" si="99"/>
        <v>0</v>
      </c>
      <c r="BO3472" s="95">
        <f t="shared" si="99"/>
        <v>0</v>
      </c>
      <c r="BP3472" s="95">
        <f t="shared" si="99"/>
        <v>0</v>
      </c>
      <c r="BQ3472" s="95">
        <f t="shared" si="99"/>
        <v>0</v>
      </c>
      <c r="BR3472" s="95">
        <f t="shared" si="99"/>
        <v>0</v>
      </c>
      <c r="BS3472" s="95">
        <f t="shared" si="99"/>
        <v>0</v>
      </c>
      <c r="BT3472" s="95">
        <f t="shared" si="99"/>
        <v>0</v>
      </c>
      <c r="BU3472" s="95">
        <f t="shared" si="99"/>
        <v>0</v>
      </c>
    </row>
    <row r="3473" ht="15.75" hidden="1" customHeight="1" outlineLevel="1">
      <c r="A3473" s="389"/>
      <c r="B3473" s="24"/>
      <c r="C3473" s="95">
        <f>$C3365*'Assumptions (O&amp;G Upstream)'!B$349</f>
        <v>4.44419</v>
      </c>
      <c r="D3473" s="95">
        <f>$C3365*'Assumptions (O&amp;G Upstream)'!C$349</f>
        <v>7.61639</v>
      </c>
      <c r="E3473" s="95">
        <f>$C3365*'Assumptions (O&amp;G Upstream)'!D$349</f>
        <v>5.43939</v>
      </c>
      <c r="F3473" s="95">
        <f>$C3365*'Assumptions (O&amp;G Upstream)'!E$349</f>
        <v>3.88439</v>
      </c>
      <c r="G3473" s="95">
        <f>$C3365*'Assumptions (O&amp;G Upstream)'!F$349</f>
        <v>2.77723</v>
      </c>
      <c r="H3473" s="95">
        <f>$C3365*'Assumptions (O&amp;G Upstream)'!G$349</f>
        <v>2.77412</v>
      </c>
      <c r="I3473" s="95">
        <f>$C3365*'Assumptions (O&amp;G Upstream)'!H$349</f>
        <v>2.77723</v>
      </c>
      <c r="J3473" s="95">
        <f>$C3365*'Assumptions (O&amp;G Upstream)'!I$349</f>
        <v>1.38706</v>
      </c>
      <c r="K3473" s="95">
        <f>$C3365*'Assumptions (O&amp;G Upstream)'!J$349</f>
        <v>0</v>
      </c>
      <c r="L3473" s="95">
        <f>$C3365*'Assumptions (O&amp;G Upstream)'!K$349</f>
        <v>0</v>
      </c>
      <c r="M3473" s="95">
        <f>$C3365*'Assumptions (O&amp;G Upstream)'!L$349</f>
        <v>0</v>
      </c>
      <c r="N3473" s="95">
        <f>$C3365*'Assumptions (O&amp;G Upstream)'!M$349</f>
        <v>0</v>
      </c>
      <c r="O3473" s="95">
        <f>$C3365*'Assumptions (O&amp;G Upstream)'!N$349</f>
        <v>0</v>
      </c>
      <c r="P3473" s="95">
        <f>$C3365*'Assumptions (O&amp;G Upstream)'!O$349</f>
        <v>0</v>
      </c>
      <c r="Q3473" s="95">
        <f>$C3365*'Assumptions (O&amp;G Upstream)'!P$349</f>
        <v>0</v>
      </c>
      <c r="R3473" s="95">
        <f>$C3365*'Assumptions (O&amp;G Upstream)'!Q$349</f>
        <v>0</v>
      </c>
      <c r="S3473" s="95">
        <f>$C3365*'Assumptions (O&amp;G Upstream)'!R$349</f>
        <v>0</v>
      </c>
      <c r="T3473" s="95">
        <f>$C3365*'Assumptions (O&amp;G Upstream)'!S$349</f>
        <v>0</v>
      </c>
      <c r="U3473" s="95">
        <f>$C3365*'Assumptions (O&amp;G Upstream)'!T$349</f>
        <v>0</v>
      </c>
      <c r="V3473" s="95">
        <f>$C3365*'Assumptions (O&amp;G Upstream)'!U$349</f>
        <v>0</v>
      </c>
      <c r="W3473" s="95">
        <f>$C3365*'Assumptions (O&amp;G Upstream)'!V$349</f>
        <v>0</v>
      </c>
      <c r="X3473" s="95"/>
    </row>
    <row r="3474" ht="15.75" hidden="1" customHeight="1" outlineLevel="1">
      <c r="A3474" s="389"/>
      <c r="B3474" s="24"/>
      <c r="C3474" s="95"/>
      <c r="D3474" s="95">
        <f>$D3365*'Assumptions (O&amp;G Upstream)'!B$349</f>
        <v>5.95893</v>
      </c>
      <c r="E3474" s="95">
        <f>$D3365*'Assumptions (O&amp;G Upstream)'!C$349</f>
        <v>10.21233</v>
      </c>
      <c r="F3474" s="95">
        <f>$D3365*'Assumptions (O&amp;G Upstream)'!D$349</f>
        <v>7.29333</v>
      </c>
      <c r="G3474" s="95">
        <f>$D3365*'Assumptions (O&amp;G Upstream)'!E$349</f>
        <v>5.20833</v>
      </c>
      <c r="H3474" s="95">
        <f>$D3365*'Assumptions (O&amp;G Upstream)'!F$349</f>
        <v>3.72381</v>
      </c>
      <c r="I3474" s="95">
        <f>$D3365*'Assumptions (O&amp;G Upstream)'!G$349</f>
        <v>3.71964</v>
      </c>
      <c r="J3474" s="95">
        <f>$D3365*'Assumptions (O&amp;G Upstream)'!H$349</f>
        <v>3.72381</v>
      </c>
      <c r="K3474" s="95">
        <f>$D3365*'Assumptions (O&amp;G Upstream)'!I$349</f>
        <v>1.85982</v>
      </c>
      <c r="L3474" s="95">
        <f>$D3365*'Assumptions (O&amp;G Upstream)'!J$349</f>
        <v>0</v>
      </c>
      <c r="M3474" s="95">
        <f>$D3365*'Assumptions (O&amp;G Upstream)'!K$349</f>
        <v>0</v>
      </c>
      <c r="N3474" s="95">
        <f>$D3365*'Assumptions (O&amp;G Upstream)'!L$349</f>
        <v>0</v>
      </c>
      <c r="O3474" s="95">
        <f>$D3365*'Assumptions (O&amp;G Upstream)'!M$349</f>
        <v>0</v>
      </c>
      <c r="P3474" s="95">
        <f>$D3365*'Assumptions (O&amp;G Upstream)'!N$349</f>
        <v>0</v>
      </c>
      <c r="Q3474" s="95">
        <f>$D3365*'Assumptions (O&amp;G Upstream)'!O$349</f>
        <v>0</v>
      </c>
      <c r="R3474" s="95">
        <f>$D3365*'Assumptions (O&amp;G Upstream)'!P$349</f>
        <v>0</v>
      </c>
      <c r="S3474" s="95">
        <f>$D3365*'Assumptions (O&amp;G Upstream)'!Q$349</f>
        <v>0</v>
      </c>
      <c r="T3474" s="95">
        <f>$D3365*'Assumptions (O&amp;G Upstream)'!R$349</f>
        <v>0</v>
      </c>
      <c r="U3474" s="95">
        <f>$D3365*'Assumptions (O&amp;G Upstream)'!S$349</f>
        <v>0</v>
      </c>
      <c r="V3474" s="95">
        <f>$D3365*'Assumptions (O&amp;G Upstream)'!T$349</f>
        <v>0</v>
      </c>
      <c r="W3474" s="95">
        <f>$D3365*'Assumptions (O&amp;G Upstream)'!U$349</f>
        <v>0</v>
      </c>
      <c r="X3474" s="95">
        <f>$D3365*'Assumptions (O&amp;G Upstream)'!V$349</f>
        <v>0</v>
      </c>
    </row>
    <row r="3475" ht="15.75" hidden="1" customHeight="1" outlineLevel="1">
      <c r="A3475" s="389"/>
      <c r="B3475" s="24"/>
      <c r="C3475" s="95"/>
      <c r="D3475" s="78"/>
      <c r="E3475" s="95">
        <f>$E3365*'Assumptions (O&amp;G Upstream)'!B$349</f>
        <v>4.83002</v>
      </c>
      <c r="F3475" s="95">
        <f>$E3365*'Assumptions (O&amp;G Upstream)'!C$349</f>
        <v>8.27762</v>
      </c>
      <c r="G3475" s="95">
        <f>$E3365*'Assumptions (O&amp;G Upstream)'!D$349</f>
        <v>5.91162</v>
      </c>
      <c r="H3475" s="95">
        <f>$E3365*'Assumptions (O&amp;G Upstream)'!E$349</f>
        <v>4.22162</v>
      </c>
      <c r="I3475" s="95">
        <f>$E3365*'Assumptions (O&amp;G Upstream)'!F$349</f>
        <v>3.01834</v>
      </c>
      <c r="J3475" s="95">
        <f>$E3365*'Assumptions (O&amp;G Upstream)'!G$349</f>
        <v>3.01496</v>
      </c>
      <c r="K3475" s="95">
        <f>$E3365*'Assumptions (O&amp;G Upstream)'!H$349</f>
        <v>3.01834</v>
      </c>
      <c r="L3475" s="95">
        <f>$E3365*'Assumptions (O&amp;G Upstream)'!I$349</f>
        <v>1.50748</v>
      </c>
      <c r="M3475" s="95">
        <f>$E3365*'Assumptions (O&amp;G Upstream)'!J$349</f>
        <v>0</v>
      </c>
      <c r="N3475" s="95">
        <f>$E3365*'Assumptions (O&amp;G Upstream)'!K$349</f>
        <v>0</v>
      </c>
      <c r="O3475" s="95">
        <f>$E3365*'Assumptions (O&amp;G Upstream)'!L$349</f>
        <v>0</v>
      </c>
      <c r="P3475" s="95">
        <f>$E3365*'Assumptions (O&amp;G Upstream)'!M$349</f>
        <v>0</v>
      </c>
      <c r="Q3475" s="95">
        <f>$E3365*'Assumptions (O&amp;G Upstream)'!N$349</f>
        <v>0</v>
      </c>
      <c r="R3475" s="95">
        <f>$E3365*'Assumptions (O&amp;G Upstream)'!O$349</f>
        <v>0</v>
      </c>
      <c r="S3475" s="95">
        <f>$E3365*'Assumptions (O&amp;G Upstream)'!P$349</f>
        <v>0</v>
      </c>
      <c r="T3475" s="95">
        <f>$E3365*'Assumptions (O&amp;G Upstream)'!Q$349</f>
        <v>0</v>
      </c>
      <c r="U3475" s="95">
        <f>$E3365*'Assumptions (O&amp;G Upstream)'!R$349</f>
        <v>0</v>
      </c>
      <c r="V3475" s="95">
        <f>$E3365*'Assumptions (O&amp;G Upstream)'!S$349</f>
        <v>0</v>
      </c>
      <c r="W3475" s="95">
        <f>$E3365*'Assumptions (O&amp;G Upstream)'!T$349</f>
        <v>0</v>
      </c>
      <c r="X3475" s="95">
        <f>$E3365*'Assumptions (O&amp;G Upstream)'!U$349</f>
        <v>0</v>
      </c>
      <c r="Y3475" s="95">
        <f>$E3365*'Assumptions (O&amp;G Upstream)'!V$349</f>
        <v>0</v>
      </c>
    </row>
    <row r="3476" ht="15.75" hidden="1" customHeight="1" outlineLevel="1">
      <c r="A3476" s="389"/>
      <c r="B3476" s="24"/>
      <c r="C3476" s="95"/>
      <c r="D3476" s="78"/>
      <c r="E3476" s="78"/>
      <c r="F3476" s="95">
        <f>$F3365*'Assumptions (O&amp;G Upstream)'!B$349</f>
        <v>6.38763</v>
      </c>
      <c r="G3476" s="95">
        <f>$F3365*'Assumptions (O&amp;G Upstream)'!C$349</f>
        <v>10.94703</v>
      </c>
      <c r="H3476" s="95">
        <f>$F3365*'Assumptions (O&amp;G Upstream)'!D$349</f>
        <v>7.81803</v>
      </c>
      <c r="I3476" s="95">
        <f>$F3365*'Assumptions (O&amp;G Upstream)'!E$349</f>
        <v>5.58303</v>
      </c>
      <c r="J3476" s="95">
        <f>$F3365*'Assumptions (O&amp;G Upstream)'!F$349</f>
        <v>3.99171</v>
      </c>
      <c r="K3476" s="95">
        <f>$F3365*'Assumptions (O&amp;G Upstream)'!G$349</f>
        <v>3.98724</v>
      </c>
      <c r="L3476" s="95">
        <f>$F3365*'Assumptions (O&amp;G Upstream)'!H$349</f>
        <v>3.99171</v>
      </c>
      <c r="M3476" s="95">
        <f>$F3365*'Assumptions (O&amp;G Upstream)'!I$349</f>
        <v>1.99362</v>
      </c>
      <c r="N3476" s="95">
        <f>$F3365*'Assumptions (O&amp;G Upstream)'!J$349</f>
        <v>0</v>
      </c>
      <c r="O3476" s="95">
        <f>$F3365*'Assumptions (O&amp;G Upstream)'!K$349</f>
        <v>0</v>
      </c>
      <c r="P3476" s="95">
        <f>$F3365*'Assumptions (O&amp;G Upstream)'!L$349</f>
        <v>0</v>
      </c>
      <c r="Q3476" s="95">
        <f>$F3365*'Assumptions (O&amp;G Upstream)'!M$349</f>
        <v>0</v>
      </c>
      <c r="R3476" s="95">
        <f>$F3365*'Assumptions (O&amp;G Upstream)'!N$349</f>
        <v>0</v>
      </c>
      <c r="S3476" s="95">
        <f>$F3365*'Assumptions (O&amp;G Upstream)'!O$349</f>
        <v>0</v>
      </c>
      <c r="T3476" s="95">
        <f>$F3365*'Assumptions (O&amp;G Upstream)'!P$349</f>
        <v>0</v>
      </c>
      <c r="U3476" s="95">
        <f>$F3365*'Assumptions (O&amp;G Upstream)'!Q$349</f>
        <v>0</v>
      </c>
      <c r="V3476" s="95">
        <f>$F3365*'Assumptions (O&amp;G Upstream)'!R$349</f>
        <v>0</v>
      </c>
      <c r="W3476" s="95">
        <f>$F3365*'Assumptions (O&amp;G Upstream)'!S$349</f>
        <v>0</v>
      </c>
      <c r="X3476" s="95">
        <f>$F3365*'Assumptions (O&amp;G Upstream)'!T$349</f>
        <v>0</v>
      </c>
      <c r="Y3476" s="95">
        <f>$F3365*'Assumptions (O&amp;G Upstream)'!U$349</f>
        <v>0</v>
      </c>
      <c r="Z3476" s="95">
        <f>$F3365*'Assumptions (O&amp;G Upstream)'!V$349</f>
        <v>0</v>
      </c>
    </row>
    <row r="3477" ht="15.75" hidden="1" customHeight="1" outlineLevel="1">
      <c r="A3477" s="389"/>
      <c r="B3477" s="24"/>
      <c r="C3477" s="95"/>
      <c r="D3477" s="78"/>
      <c r="E3477" s="78"/>
      <c r="F3477" s="78"/>
      <c r="G3477" s="95">
        <f>$G3365*'Assumptions (O&amp;G Upstream)'!B$349</f>
        <v>7.38793</v>
      </c>
      <c r="H3477" s="95">
        <f>$G3365*'Assumptions (O&amp;G Upstream)'!C$349</f>
        <v>12.66133</v>
      </c>
      <c r="I3477" s="95">
        <f>$G3365*'Assumptions (O&amp;G Upstream)'!D$349</f>
        <v>9.04233</v>
      </c>
      <c r="J3477" s="95">
        <f>$G3365*'Assumptions (O&amp;G Upstream)'!E$349</f>
        <v>6.45733</v>
      </c>
      <c r="K3477" s="95">
        <f>$G3365*'Assumptions (O&amp;G Upstream)'!F$349</f>
        <v>4.61681</v>
      </c>
      <c r="L3477" s="95">
        <f>$G3365*'Assumptions (O&amp;G Upstream)'!G$349</f>
        <v>4.61164</v>
      </c>
      <c r="M3477" s="95">
        <f>$G3365*'Assumptions (O&amp;G Upstream)'!H$349</f>
        <v>4.61681</v>
      </c>
      <c r="N3477" s="95">
        <f>$G3365*'Assumptions (O&amp;G Upstream)'!I$349</f>
        <v>2.30582</v>
      </c>
      <c r="O3477" s="95">
        <f>$G3365*'Assumptions (O&amp;G Upstream)'!J$349</f>
        <v>0</v>
      </c>
      <c r="P3477" s="95">
        <f>$G3365*'Assumptions (O&amp;G Upstream)'!K$349</f>
        <v>0</v>
      </c>
      <c r="Q3477" s="95">
        <f>$G3365*'Assumptions (O&amp;G Upstream)'!L$349</f>
        <v>0</v>
      </c>
      <c r="R3477" s="95">
        <f>$G3365*'Assumptions (O&amp;G Upstream)'!M$349</f>
        <v>0</v>
      </c>
      <c r="S3477" s="95">
        <f>$G3365*'Assumptions (O&amp;G Upstream)'!N$349</f>
        <v>0</v>
      </c>
      <c r="T3477" s="95">
        <f>$G3365*'Assumptions (O&amp;G Upstream)'!O$349</f>
        <v>0</v>
      </c>
      <c r="U3477" s="95">
        <f>$G3365*'Assumptions (O&amp;G Upstream)'!P$349</f>
        <v>0</v>
      </c>
      <c r="V3477" s="95">
        <f>$G3365*'Assumptions (O&amp;G Upstream)'!Q$349</f>
        <v>0</v>
      </c>
      <c r="W3477" s="95">
        <f>$G3365*'Assumptions (O&amp;G Upstream)'!R$349</f>
        <v>0</v>
      </c>
      <c r="X3477" s="95">
        <f>$G3365*'Assumptions (O&amp;G Upstream)'!S$349</f>
        <v>0</v>
      </c>
      <c r="Y3477" s="95">
        <f>$G3365*'Assumptions (O&amp;G Upstream)'!T$349</f>
        <v>0</v>
      </c>
      <c r="Z3477" s="95">
        <f>$G3365*'Assumptions (O&amp;G Upstream)'!U$349</f>
        <v>0</v>
      </c>
      <c r="AA3477" s="95">
        <f>$G3365*'Assumptions (O&amp;G Upstream)'!V$349</f>
        <v>0</v>
      </c>
    </row>
    <row r="3478" ht="15.75" hidden="1" customHeight="1" outlineLevel="1">
      <c r="A3478" s="389"/>
      <c r="B3478" s="24"/>
      <c r="C3478" s="95"/>
      <c r="D3478" s="78"/>
      <c r="E3478" s="78"/>
      <c r="F3478" s="78"/>
      <c r="G3478" s="78"/>
      <c r="H3478" s="95">
        <f>$H3365*'Assumptions (O&amp;G Upstream)'!B$349</f>
        <v>10.24593</v>
      </c>
      <c r="I3478" s="95">
        <f>$H3365*'Assumptions (O&amp;G Upstream)'!C$349</f>
        <v>17.55933</v>
      </c>
      <c r="J3478" s="95">
        <f>$H3365*'Assumptions (O&amp;G Upstream)'!D$349</f>
        <v>12.54033</v>
      </c>
      <c r="K3478" s="95">
        <f>$H3365*'Assumptions (O&amp;G Upstream)'!E$349</f>
        <v>8.95533</v>
      </c>
      <c r="L3478" s="95">
        <f>$H3365*'Assumptions (O&amp;G Upstream)'!F$349</f>
        <v>6.40281</v>
      </c>
      <c r="M3478" s="95">
        <f>$H3365*'Assumptions (O&amp;G Upstream)'!G$349</f>
        <v>6.39564</v>
      </c>
      <c r="N3478" s="95">
        <f>$H3365*'Assumptions (O&amp;G Upstream)'!H$349</f>
        <v>6.40281</v>
      </c>
      <c r="O3478" s="95">
        <f>$H3365*'Assumptions (O&amp;G Upstream)'!I$349</f>
        <v>3.19782</v>
      </c>
      <c r="P3478" s="95">
        <f>$H3365*'Assumptions (O&amp;G Upstream)'!J$349</f>
        <v>0</v>
      </c>
      <c r="Q3478" s="95">
        <f>$H3365*'Assumptions (O&amp;G Upstream)'!K$349</f>
        <v>0</v>
      </c>
      <c r="R3478" s="95">
        <f>$H3365*'Assumptions (O&amp;G Upstream)'!L$349</f>
        <v>0</v>
      </c>
      <c r="S3478" s="95">
        <f>$H3365*'Assumptions (O&amp;G Upstream)'!M$349</f>
        <v>0</v>
      </c>
      <c r="T3478" s="95">
        <f>$H3365*'Assumptions (O&amp;G Upstream)'!N$349</f>
        <v>0</v>
      </c>
      <c r="U3478" s="95">
        <f>$H3365*'Assumptions (O&amp;G Upstream)'!O$349</f>
        <v>0</v>
      </c>
      <c r="V3478" s="95">
        <f>$H3365*'Assumptions (O&amp;G Upstream)'!P$349</f>
        <v>0</v>
      </c>
      <c r="W3478" s="95">
        <f>$H3365*'Assumptions (O&amp;G Upstream)'!Q$349</f>
        <v>0</v>
      </c>
      <c r="X3478" s="95">
        <f>$H3365*'Assumptions (O&amp;G Upstream)'!R$349</f>
        <v>0</v>
      </c>
      <c r="Y3478" s="95">
        <f>$H3365*'Assumptions (O&amp;G Upstream)'!S$349</f>
        <v>0</v>
      </c>
      <c r="Z3478" s="95">
        <f>$H3365*'Assumptions (O&amp;G Upstream)'!T$349</f>
        <v>0</v>
      </c>
      <c r="AA3478" s="95">
        <f>$H3365*'Assumptions (O&amp;G Upstream)'!U$349</f>
        <v>0</v>
      </c>
      <c r="AB3478" s="95">
        <f>$H3365*'Assumptions (O&amp;G Upstream)'!V$349</f>
        <v>0</v>
      </c>
    </row>
    <row r="3479" ht="15.75" hidden="1" customHeight="1" outlineLevel="1">
      <c r="A3479" s="389"/>
      <c r="B3479" s="24"/>
      <c r="C3479" s="95"/>
      <c r="D3479" s="78"/>
      <c r="E3479" s="78"/>
      <c r="F3479" s="78"/>
      <c r="G3479" s="78"/>
      <c r="H3479" s="78"/>
      <c r="I3479" s="95">
        <f>$I3365*'Assumptions (O&amp;G Upstream)'!B$349</f>
        <v>14.11852</v>
      </c>
      <c r="J3479" s="95">
        <f>$I3365*'Assumptions (O&amp;G Upstream)'!C$349</f>
        <v>24.19612</v>
      </c>
      <c r="K3479" s="95">
        <f>$I3365*'Assumptions (O&amp;G Upstream)'!D$349</f>
        <v>17.28012</v>
      </c>
      <c r="L3479" s="95">
        <f>$I3365*'Assumptions (O&amp;G Upstream)'!E$349</f>
        <v>12.34012</v>
      </c>
      <c r="M3479" s="95">
        <f>$I3365*'Assumptions (O&amp;G Upstream)'!F$349</f>
        <v>8.82284</v>
      </c>
      <c r="N3479" s="95">
        <f>$I3365*'Assumptions (O&amp;G Upstream)'!G$349</f>
        <v>8.81296</v>
      </c>
      <c r="O3479" s="95">
        <f>$I3365*'Assumptions (O&amp;G Upstream)'!H$349</f>
        <v>8.82284</v>
      </c>
      <c r="P3479" s="95">
        <f>$I3365*'Assumptions (O&amp;G Upstream)'!I$349</f>
        <v>4.40648</v>
      </c>
      <c r="Q3479" s="95">
        <f>$I3365*'Assumptions (O&amp;G Upstream)'!J$349</f>
        <v>0</v>
      </c>
      <c r="R3479" s="95">
        <f>$I3365*'Assumptions (O&amp;G Upstream)'!K$349</f>
        <v>0</v>
      </c>
      <c r="S3479" s="95">
        <f>$I3365*'Assumptions (O&amp;G Upstream)'!L$349</f>
        <v>0</v>
      </c>
      <c r="T3479" s="95">
        <f>$I3365*'Assumptions (O&amp;G Upstream)'!M$349</f>
        <v>0</v>
      </c>
      <c r="U3479" s="95">
        <f>$I3365*'Assumptions (O&amp;G Upstream)'!N$349</f>
        <v>0</v>
      </c>
      <c r="V3479" s="95">
        <f>$I3365*'Assumptions (O&amp;G Upstream)'!O$349</f>
        <v>0</v>
      </c>
      <c r="W3479" s="95">
        <f>$I3365*'Assumptions (O&amp;G Upstream)'!P$349</f>
        <v>0</v>
      </c>
      <c r="X3479" s="95">
        <f>$I3365*'Assumptions (O&amp;G Upstream)'!Q$349</f>
        <v>0</v>
      </c>
      <c r="Y3479" s="95">
        <f>$I3365*'Assumptions (O&amp;G Upstream)'!R$349</f>
        <v>0</v>
      </c>
      <c r="Z3479" s="95">
        <f>$I3365*'Assumptions (O&amp;G Upstream)'!S$349</f>
        <v>0</v>
      </c>
      <c r="AA3479" s="95">
        <f>$I3365*'Assumptions (O&amp;G Upstream)'!T$349</f>
        <v>0</v>
      </c>
      <c r="AB3479" s="95">
        <f>$I3365*'Assumptions (O&amp;G Upstream)'!U$349</f>
        <v>0</v>
      </c>
      <c r="AC3479" s="95">
        <f>$I3365*'Assumptions (O&amp;G Upstream)'!V$349</f>
        <v>0</v>
      </c>
    </row>
    <row r="3480" ht="15.75" hidden="1" customHeight="1" outlineLevel="1">
      <c r="A3480" s="389"/>
      <c r="B3480" s="24"/>
      <c r="C3480" s="95"/>
      <c r="D3480" s="78"/>
      <c r="E3480" s="78"/>
      <c r="F3480" s="78"/>
      <c r="G3480" s="78"/>
      <c r="H3480" s="78"/>
      <c r="I3480" s="78"/>
      <c r="J3480" s="95">
        <f>$J3365*'Assumptions (O&amp;G Upstream)'!B$349</f>
        <v>15.44749</v>
      </c>
      <c r="K3480" s="95">
        <f>$J3365*'Assumptions (O&amp;G Upstream)'!C$349</f>
        <v>26.47369</v>
      </c>
      <c r="L3480" s="95">
        <f>$J3365*'Assumptions (O&amp;G Upstream)'!D$349</f>
        <v>18.90669</v>
      </c>
      <c r="M3480" s="95">
        <f>$J3365*'Assumptions (O&amp;G Upstream)'!E$349</f>
        <v>13.50169</v>
      </c>
      <c r="N3480" s="95">
        <f>$J3365*'Assumptions (O&amp;G Upstream)'!F$349</f>
        <v>9.65333</v>
      </c>
      <c r="O3480" s="95">
        <f>$J3365*'Assumptions (O&amp;G Upstream)'!G$349</f>
        <v>9.64252</v>
      </c>
      <c r="P3480" s="95">
        <f>$J3365*'Assumptions (O&amp;G Upstream)'!H$349</f>
        <v>9.65333</v>
      </c>
      <c r="Q3480" s="95">
        <f>$J3365*'Assumptions (O&amp;G Upstream)'!I$349</f>
        <v>4.82126</v>
      </c>
      <c r="R3480" s="95">
        <f>$J3365*'Assumptions (O&amp;G Upstream)'!J$349</f>
        <v>0</v>
      </c>
      <c r="S3480" s="95">
        <f>$J3365*'Assumptions (O&amp;G Upstream)'!K$349</f>
        <v>0</v>
      </c>
      <c r="T3480" s="95">
        <f>$J3365*'Assumptions (O&amp;G Upstream)'!L$349</f>
        <v>0</v>
      </c>
      <c r="U3480" s="95">
        <f>$J3365*'Assumptions (O&amp;G Upstream)'!M$349</f>
        <v>0</v>
      </c>
      <c r="V3480" s="95">
        <f>$J3365*'Assumptions (O&amp;G Upstream)'!N$349</f>
        <v>0</v>
      </c>
      <c r="W3480" s="95">
        <f>$J3365*'Assumptions (O&amp;G Upstream)'!O$349</f>
        <v>0</v>
      </c>
      <c r="X3480" s="95">
        <f>$J3365*'Assumptions (O&amp;G Upstream)'!P$349</f>
        <v>0</v>
      </c>
      <c r="Y3480" s="95">
        <f>$J3365*'Assumptions (O&amp;G Upstream)'!Q$349</f>
        <v>0</v>
      </c>
      <c r="Z3480" s="95">
        <f>$J3365*'Assumptions (O&amp;G Upstream)'!R$349</f>
        <v>0</v>
      </c>
      <c r="AA3480" s="95">
        <f>$J3365*'Assumptions (O&amp;G Upstream)'!S$349</f>
        <v>0</v>
      </c>
      <c r="AB3480" s="95">
        <f>$J3365*'Assumptions (O&amp;G Upstream)'!T$349</f>
        <v>0</v>
      </c>
      <c r="AC3480" s="95">
        <f>$J3365*'Assumptions (O&amp;G Upstream)'!U$349</f>
        <v>0</v>
      </c>
      <c r="AD3480" s="95">
        <f>$J3365*'Assumptions (O&amp;G Upstream)'!V$349</f>
        <v>0</v>
      </c>
    </row>
    <row r="3481" ht="15.75" hidden="1" customHeight="1" outlineLevel="1">
      <c r="A3481" s="389"/>
      <c r="B3481" s="24"/>
      <c r="C3481" s="95"/>
      <c r="D3481" s="78"/>
      <c r="E3481" s="78"/>
      <c r="F3481" s="78"/>
      <c r="G3481" s="78"/>
      <c r="H3481" s="78"/>
      <c r="I3481" s="78"/>
      <c r="J3481" s="78"/>
      <c r="K3481" s="95">
        <f>$K3365*'Assumptions (O&amp;G Upstream)'!B$349</f>
        <v>17.90537</v>
      </c>
      <c r="L3481" s="95">
        <f>$K3365*'Assumptions (O&amp;G Upstream)'!C$349</f>
        <v>30.68597</v>
      </c>
      <c r="M3481" s="95">
        <f>$K3365*'Assumptions (O&amp;G Upstream)'!D$349</f>
        <v>21.91497</v>
      </c>
      <c r="N3481" s="95">
        <f>$K3365*'Assumptions (O&amp;G Upstream)'!E$349</f>
        <v>15.64997</v>
      </c>
      <c r="O3481" s="95">
        <f>$K3365*'Assumptions (O&amp;G Upstream)'!F$349</f>
        <v>11.18929</v>
      </c>
      <c r="P3481" s="95">
        <f>$K3365*'Assumptions (O&amp;G Upstream)'!G$349</f>
        <v>11.17676</v>
      </c>
      <c r="Q3481" s="95">
        <f>$K3365*'Assumptions (O&amp;G Upstream)'!H$349</f>
        <v>11.18929</v>
      </c>
      <c r="R3481" s="95">
        <f>$K3365*'Assumptions (O&amp;G Upstream)'!I$349</f>
        <v>5.58838</v>
      </c>
      <c r="S3481" s="95">
        <f>$K3365*'Assumptions (O&amp;G Upstream)'!J$349</f>
        <v>0</v>
      </c>
      <c r="T3481" s="95">
        <f>$K3365*'Assumptions (O&amp;G Upstream)'!K$349</f>
        <v>0</v>
      </c>
      <c r="U3481" s="95">
        <f>$K3365*'Assumptions (O&amp;G Upstream)'!L$349</f>
        <v>0</v>
      </c>
      <c r="V3481" s="95">
        <f>$K3365*'Assumptions (O&amp;G Upstream)'!M$349</f>
        <v>0</v>
      </c>
      <c r="W3481" s="95">
        <f>$K3365*'Assumptions (O&amp;G Upstream)'!N$349</f>
        <v>0</v>
      </c>
      <c r="X3481" s="95">
        <f>$K3365*'Assumptions (O&amp;G Upstream)'!O$349</f>
        <v>0</v>
      </c>
      <c r="Y3481" s="95">
        <f>$K3365*'Assumptions (O&amp;G Upstream)'!P$349</f>
        <v>0</v>
      </c>
      <c r="Z3481" s="95">
        <f>$K3365*'Assumptions (O&amp;G Upstream)'!Q$349</f>
        <v>0</v>
      </c>
      <c r="AA3481" s="95">
        <f>$K3365*'Assumptions (O&amp;G Upstream)'!R$349</f>
        <v>0</v>
      </c>
      <c r="AB3481" s="95">
        <f>$K3365*'Assumptions (O&amp;G Upstream)'!S$349</f>
        <v>0</v>
      </c>
      <c r="AC3481" s="95">
        <f>$K3365*'Assumptions (O&amp;G Upstream)'!T$349</f>
        <v>0</v>
      </c>
      <c r="AD3481" s="95">
        <f>$K3365*'Assumptions (O&amp;G Upstream)'!U$349</f>
        <v>0</v>
      </c>
      <c r="AE3481" s="95">
        <f>$K3365*'Assumptions (O&amp;G Upstream)'!V$349</f>
        <v>0</v>
      </c>
    </row>
    <row r="3482" ht="15.75" hidden="1" customHeight="1" outlineLevel="1">
      <c r="A3482" s="389"/>
      <c r="B3482" s="24"/>
      <c r="C3482" s="78"/>
      <c r="D3482" s="78"/>
      <c r="E3482" s="78"/>
      <c r="F3482" s="78"/>
      <c r="G3482" s="78"/>
      <c r="H3482" s="78"/>
      <c r="I3482" s="78"/>
      <c r="J3482" s="78"/>
      <c r="K3482" s="78"/>
      <c r="L3482" s="95">
        <f>$L3365*'Assumptions (O&amp;G Upstream)'!B$349</f>
        <v>12.46088</v>
      </c>
      <c r="M3482" s="95">
        <f>$L3365*'Assumptions (O&amp;G Upstream)'!C$349</f>
        <v>21.35528</v>
      </c>
      <c r="N3482" s="95">
        <f>$L3365*'Assumptions (O&amp;G Upstream)'!D$349</f>
        <v>15.25128</v>
      </c>
      <c r="O3482" s="95">
        <f>$L3365*'Assumptions (O&amp;G Upstream)'!E$349</f>
        <v>10.89128</v>
      </c>
      <c r="P3482" s="95">
        <f>$L3365*'Assumptions (O&amp;G Upstream)'!F$349</f>
        <v>7.78696</v>
      </c>
      <c r="Q3482" s="95">
        <f>$L3365*'Assumptions (O&amp;G Upstream)'!G$349</f>
        <v>7.77824</v>
      </c>
      <c r="R3482" s="95">
        <f>$L3365*'Assumptions (O&amp;G Upstream)'!H$349</f>
        <v>7.78696</v>
      </c>
      <c r="S3482" s="95">
        <f>$L3365*'Assumptions (O&amp;G Upstream)'!I$349</f>
        <v>3.88912</v>
      </c>
      <c r="T3482" s="95">
        <f>$L3365*'Assumptions (O&amp;G Upstream)'!J$349</f>
        <v>0</v>
      </c>
      <c r="U3482" s="95">
        <f>$L3365*'Assumptions (O&amp;G Upstream)'!K$349</f>
        <v>0</v>
      </c>
      <c r="V3482" s="95">
        <f>$L3365*'Assumptions (O&amp;G Upstream)'!L$349</f>
        <v>0</v>
      </c>
      <c r="W3482" s="95">
        <f>$L3365*'Assumptions (O&amp;G Upstream)'!M$349</f>
        <v>0</v>
      </c>
      <c r="X3482" s="95">
        <f>$L3365*'Assumptions (O&amp;G Upstream)'!N$349</f>
        <v>0</v>
      </c>
      <c r="Y3482" s="95">
        <f>$L3365*'Assumptions (O&amp;G Upstream)'!O$349</f>
        <v>0</v>
      </c>
      <c r="Z3482" s="95">
        <f>$L3365*'Assumptions (O&amp;G Upstream)'!P$349</f>
        <v>0</v>
      </c>
      <c r="AA3482" s="95">
        <f>$L3365*'Assumptions (O&amp;G Upstream)'!Q$349</f>
        <v>0</v>
      </c>
      <c r="AB3482" s="95">
        <f>$L3365*'Assumptions (O&amp;G Upstream)'!R$349</f>
        <v>0</v>
      </c>
      <c r="AC3482" s="95">
        <f>$L3365*'Assumptions (O&amp;G Upstream)'!S$349</f>
        <v>0</v>
      </c>
      <c r="AD3482" s="95">
        <f>$L3365*'Assumptions (O&amp;G Upstream)'!T$349</f>
        <v>0</v>
      </c>
      <c r="AE3482" s="95">
        <f>$L3365*'Assumptions (O&amp;G Upstream)'!U$349</f>
        <v>0</v>
      </c>
      <c r="AF3482" s="95">
        <f>$L3365*'Assumptions (O&amp;G Upstream)'!V$349</f>
        <v>0</v>
      </c>
    </row>
    <row r="3483" ht="15.75" hidden="1" customHeight="1" outlineLevel="1">
      <c r="A3483" s="389"/>
      <c r="B3483" s="24"/>
      <c r="C3483" s="78"/>
      <c r="D3483" s="78"/>
      <c r="E3483" s="78"/>
      <c r="F3483" s="78"/>
      <c r="G3483" s="78"/>
      <c r="H3483" s="78"/>
      <c r="I3483" s="78"/>
      <c r="J3483" s="78"/>
      <c r="K3483" s="78"/>
      <c r="L3483" s="78"/>
      <c r="M3483" s="95">
        <f>$M3365*'Assumptions (O&amp;G Upstream)'!B$349</f>
        <v>14.73299</v>
      </c>
      <c r="N3483" s="95">
        <f>$M3365*'Assumptions (O&amp;G Upstream)'!C$349</f>
        <v>25.24919</v>
      </c>
      <c r="O3483" s="95">
        <f>$M3365*'Assumptions (O&amp;G Upstream)'!D$349</f>
        <v>18.03219</v>
      </c>
      <c r="P3483" s="95">
        <f>$M3365*'Assumptions (O&amp;G Upstream)'!E$349</f>
        <v>12.87719</v>
      </c>
      <c r="Q3483" s="95">
        <f>$M3365*'Assumptions (O&amp;G Upstream)'!F$349</f>
        <v>9.20683</v>
      </c>
      <c r="R3483" s="95">
        <f>$M3365*'Assumptions (O&amp;G Upstream)'!G$349</f>
        <v>9.19652</v>
      </c>
      <c r="S3483" s="95">
        <f>$M3365*'Assumptions (O&amp;G Upstream)'!H$349</f>
        <v>9.20683</v>
      </c>
      <c r="T3483" s="95">
        <f>$M3365*'Assumptions (O&amp;G Upstream)'!I$349</f>
        <v>4.59826</v>
      </c>
      <c r="U3483" s="95">
        <f>$M3365*'Assumptions (O&amp;G Upstream)'!J$349</f>
        <v>0</v>
      </c>
      <c r="V3483" s="95">
        <f>$M3365*'Assumptions (O&amp;G Upstream)'!K$349</f>
        <v>0</v>
      </c>
      <c r="W3483" s="95">
        <f>$M3365*'Assumptions (O&amp;G Upstream)'!L$349</f>
        <v>0</v>
      </c>
      <c r="X3483" s="95">
        <f>$M3365*'Assumptions (O&amp;G Upstream)'!M$349</f>
        <v>0</v>
      </c>
      <c r="Y3483" s="95">
        <f>$M3365*'Assumptions (O&amp;G Upstream)'!N$349</f>
        <v>0</v>
      </c>
      <c r="Z3483" s="95">
        <f>$M3365*'Assumptions (O&amp;G Upstream)'!O$349</f>
        <v>0</v>
      </c>
      <c r="AA3483" s="95">
        <f>$M3365*'Assumptions (O&amp;G Upstream)'!P$349</f>
        <v>0</v>
      </c>
      <c r="AB3483" s="95">
        <f>$M3365*'Assumptions (O&amp;G Upstream)'!Q$349</f>
        <v>0</v>
      </c>
      <c r="AC3483" s="95">
        <f>$M3365*'Assumptions (O&amp;G Upstream)'!R$349</f>
        <v>0</v>
      </c>
      <c r="AD3483" s="95">
        <f>$M3365*'Assumptions (O&amp;G Upstream)'!S$349</f>
        <v>0</v>
      </c>
      <c r="AE3483" s="95">
        <f>$M3365*'Assumptions (O&amp;G Upstream)'!T$349</f>
        <v>0</v>
      </c>
      <c r="AF3483" s="95">
        <f>$M3365*'Assumptions (O&amp;G Upstream)'!U$349</f>
        <v>0</v>
      </c>
      <c r="AG3483" s="95">
        <f>$M3365*'Assumptions (O&amp;G Upstream)'!V$349</f>
        <v>0</v>
      </c>
    </row>
    <row r="3484" ht="15.75" hidden="1" customHeight="1" outlineLevel="1">
      <c r="A3484" s="389"/>
      <c r="B3484" s="24"/>
      <c r="C3484" s="78"/>
      <c r="D3484" s="78"/>
      <c r="E3484" s="78"/>
      <c r="F3484" s="78"/>
      <c r="G3484" s="78"/>
      <c r="H3484" s="78"/>
      <c r="I3484" s="78"/>
      <c r="J3484" s="78"/>
      <c r="K3484" s="78"/>
      <c r="L3484" s="78"/>
      <c r="M3484" s="78"/>
      <c r="N3484" s="95">
        <f>$N3365*'Assumptions (O&amp;G Upstream)'!B$349</f>
        <v>18.60558</v>
      </c>
      <c r="O3484" s="95">
        <f>$N3365*'Assumptions (O&amp;G Upstream)'!C$349</f>
        <v>31.88598</v>
      </c>
      <c r="P3484" s="95">
        <f>$N3365*'Assumptions (O&amp;G Upstream)'!D$349</f>
        <v>22.77198</v>
      </c>
      <c r="Q3484" s="95">
        <f>$N3365*'Assumptions (O&amp;G Upstream)'!E$349</f>
        <v>16.26198</v>
      </c>
      <c r="R3484" s="95">
        <f>$N3365*'Assumptions (O&amp;G Upstream)'!F$349</f>
        <v>11.62686</v>
      </c>
      <c r="S3484" s="95">
        <f>$N3365*'Assumptions (O&amp;G Upstream)'!G$349</f>
        <v>11.61384</v>
      </c>
      <c r="T3484" s="95">
        <f>$N3365*'Assumptions (O&amp;G Upstream)'!H$349</f>
        <v>11.62686</v>
      </c>
      <c r="U3484" s="95">
        <f>$N3365*'Assumptions (O&amp;G Upstream)'!I$349</f>
        <v>5.80692</v>
      </c>
      <c r="V3484" s="95">
        <f>$N3365*'Assumptions (O&amp;G Upstream)'!J$349</f>
        <v>0</v>
      </c>
      <c r="W3484" s="95">
        <f>$N3365*'Assumptions (O&amp;G Upstream)'!K$349</f>
        <v>0</v>
      </c>
      <c r="X3484" s="95">
        <f>$N3365*'Assumptions (O&amp;G Upstream)'!L$349</f>
        <v>0</v>
      </c>
      <c r="Y3484" s="95">
        <f>$N3365*'Assumptions (O&amp;G Upstream)'!M$349</f>
        <v>0</v>
      </c>
      <c r="Z3484" s="95">
        <f>$N3365*'Assumptions (O&amp;G Upstream)'!N$349</f>
        <v>0</v>
      </c>
      <c r="AA3484" s="95">
        <f>$N3365*'Assumptions (O&amp;G Upstream)'!O$349</f>
        <v>0</v>
      </c>
      <c r="AB3484" s="95">
        <f>$N3365*'Assumptions (O&amp;G Upstream)'!P$349</f>
        <v>0</v>
      </c>
      <c r="AC3484" s="95">
        <f>$N3365*'Assumptions (O&amp;G Upstream)'!Q$349</f>
        <v>0</v>
      </c>
      <c r="AD3484" s="95">
        <f>$N3365*'Assumptions (O&amp;G Upstream)'!R$349</f>
        <v>0</v>
      </c>
      <c r="AE3484" s="95">
        <f>$N3365*'Assumptions (O&amp;G Upstream)'!S$349</f>
        <v>0</v>
      </c>
      <c r="AF3484" s="95">
        <f>$N3365*'Assumptions (O&amp;G Upstream)'!T$349</f>
        <v>0</v>
      </c>
      <c r="AG3484" s="95">
        <f>$N3365*'Assumptions (O&amp;G Upstream)'!U$349</f>
        <v>0</v>
      </c>
      <c r="AH3484" s="95">
        <f>$N3365*'Assumptions (O&amp;G Upstream)'!V$349</f>
        <v>0</v>
      </c>
    </row>
    <row r="3485" ht="15.75" hidden="1" customHeight="1" outlineLevel="1">
      <c r="A3485" s="389"/>
      <c r="B3485" s="24"/>
      <c r="C3485" s="78"/>
      <c r="D3485" s="78"/>
      <c r="E3485" s="78"/>
      <c r="F3485" s="78"/>
      <c r="G3485" s="78"/>
      <c r="H3485" s="78"/>
      <c r="I3485" s="78"/>
      <c r="J3485" s="78"/>
      <c r="K3485" s="78"/>
      <c r="L3485" s="78"/>
      <c r="M3485" s="78"/>
      <c r="N3485" s="78"/>
      <c r="O3485" s="95">
        <f>$O3365*'Assumptions (O&amp;G Upstream)'!B$349</f>
        <v>23.24983</v>
      </c>
      <c r="P3485" s="95">
        <f>$O3365*'Assumptions (O&amp;G Upstream)'!C$349</f>
        <v>39.84523</v>
      </c>
      <c r="Q3485" s="95">
        <f>$O3365*'Assumptions (O&amp;G Upstream)'!D$349</f>
        <v>28.45623</v>
      </c>
      <c r="R3485" s="95">
        <f>$O3365*'Assumptions (O&amp;G Upstream)'!E$349</f>
        <v>20.32123</v>
      </c>
      <c r="S3485" s="95">
        <f>$O3365*'Assumptions (O&amp;G Upstream)'!F$349</f>
        <v>14.52911</v>
      </c>
      <c r="T3485" s="95">
        <f>$O3365*'Assumptions (O&amp;G Upstream)'!G$349</f>
        <v>14.51284</v>
      </c>
      <c r="U3485" s="95">
        <f>$O3365*'Assumptions (O&amp;G Upstream)'!H$349</f>
        <v>14.52911</v>
      </c>
      <c r="V3485" s="95">
        <f>$O3365*'Assumptions (O&amp;G Upstream)'!I$349</f>
        <v>7.25642</v>
      </c>
      <c r="W3485" s="95">
        <f>$O3365*'Assumptions (O&amp;G Upstream)'!J$349</f>
        <v>0</v>
      </c>
      <c r="X3485" s="95">
        <f>$O3365*'Assumptions (O&amp;G Upstream)'!K$349</f>
        <v>0</v>
      </c>
      <c r="Y3485" s="95">
        <f>$O3365*'Assumptions (O&amp;G Upstream)'!L$349</f>
        <v>0</v>
      </c>
      <c r="Z3485" s="95">
        <f>$O3365*'Assumptions (O&amp;G Upstream)'!M$349</f>
        <v>0</v>
      </c>
      <c r="AA3485" s="95">
        <f>$O3365*'Assumptions (O&amp;G Upstream)'!N$349</f>
        <v>0</v>
      </c>
      <c r="AB3485" s="95">
        <f>$O3365*'Assumptions (O&amp;G Upstream)'!O$349</f>
        <v>0</v>
      </c>
      <c r="AC3485" s="95">
        <f>$O3365*'Assumptions (O&amp;G Upstream)'!P$349</f>
        <v>0</v>
      </c>
      <c r="AD3485" s="95">
        <f>$O3365*'Assumptions (O&amp;G Upstream)'!Q$349</f>
        <v>0</v>
      </c>
      <c r="AE3485" s="95">
        <f>$O3365*'Assumptions (O&amp;G Upstream)'!R$349</f>
        <v>0</v>
      </c>
      <c r="AF3485" s="95">
        <f>$O3365*'Assumptions (O&amp;G Upstream)'!S$349</f>
        <v>0</v>
      </c>
      <c r="AG3485" s="95">
        <f>$O3365*'Assumptions (O&amp;G Upstream)'!T$349</f>
        <v>0</v>
      </c>
      <c r="AH3485" s="95">
        <f>$O3365*'Assumptions (O&amp;G Upstream)'!U$349</f>
        <v>0</v>
      </c>
      <c r="AI3485" s="95">
        <f>$O3365*'Assumptions (O&amp;G Upstream)'!V$349</f>
        <v>0</v>
      </c>
    </row>
    <row r="3486" ht="15.75" hidden="1" customHeight="1" outlineLevel="1">
      <c r="A3486" s="389"/>
      <c r="B3486" s="24"/>
      <c r="C3486" s="78"/>
      <c r="D3486" s="78"/>
      <c r="E3486" s="78"/>
      <c r="F3486" s="78"/>
      <c r="G3486" s="78"/>
      <c r="H3486" s="78"/>
      <c r="I3486" s="78"/>
      <c r="J3486" s="78"/>
      <c r="K3486" s="78"/>
      <c r="L3486" s="78"/>
      <c r="M3486" s="78"/>
      <c r="N3486" s="78"/>
      <c r="O3486" s="78"/>
      <c r="P3486" s="95">
        <f>$P3365*'Assumptions (O&amp;G Upstream)'!B$349</f>
        <v>24.37874</v>
      </c>
      <c r="Q3486" s="95">
        <f>$P3365*'Assumptions (O&amp;G Upstream)'!C$349</f>
        <v>41.77994</v>
      </c>
      <c r="R3486" s="95">
        <f>$P3365*'Assumptions (O&amp;G Upstream)'!D$349</f>
        <v>29.83794</v>
      </c>
      <c r="S3486" s="95">
        <f>$P3365*'Assumptions (O&amp;G Upstream)'!E$349</f>
        <v>21.30794</v>
      </c>
      <c r="T3486" s="95">
        <f>$P3365*'Assumptions (O&amp;G Upstream)'!F$349</f>
        <v>15.23458</v>
      </c>
      <c r="U3486" s="95">
        <f>$P3365*'Assumptions (O&amp;G Upstream)'!G$349</f>
        <v>15.21752</v>
      </c>
      <c r="V3486" s="95">
        <f>$P3365*'Assumptions (O&amp;G Upstream)'!H$349</f>
        <v>15.23458</v>
      </c>
      <c r="W3486" s="95">
        <f>$P3365*'Assumptions (O&amp;G Upstream)'!I$349</f>
        <v>7.60876</v>
      </c>
      <c r="X3486" s="95">
        <f>$P3365*'Assumptions (O&amp;G Upstream)'!J$349</f>
        <v>0</v>
      </c>
      <c r="Y3486" s="95">
        <f>$P3365*'Assumptions (O&amp;G Upstream)'!K$349</f>
        <v>0</v>
      </c>
      <c r="Z3486" s="95">
        <f>$P3365*'Assumptions (O&amp;G Upstream)'!L$349</f>
        <v>0</v>
      </c>
      <c r="AA3486" s="95">
        <f>$P3365*'Assumptions (O&amp;G Upstream)'!M$349</f>
        <v>0</v>
      </c>
      <c r="AB3486" s="95">
        <f>$P3365*'Assumptions (O&amp;G Upstream)'!N$349</f>
        <v>0</v>
      </c>
      <c r="AC3486" s="95">
        <f>$P3365*'Assumptions (O&amp;G Upstream)'!O$349</f>
        <v>0</v>
      </c>
      <c r="AD3486" s="95">
        <f>$P3365*'Assumptions (O&amp;G Upstream)'!P$349</f>
        <v>0</v>
      </c>
      <c r="AE3486" s="95">
        <f>$P3365*'Assumptions (O&amp;G Upstream)'!Q$349</f>
        <v>0</v>
      </c>
      <c r="AF3486" s="95">
        <f>$P3365*'Assumptions (O&amp;G Upstream)'!R$349</f>
        <v>0</v>
      </c>
      <c r="AG3486" s="95">
        <f>$P3365*'Assumptions (O&amp;G Upstream)'!S$349</f>
        <v>0</v>
      </c>
      <c r="AH3486" s="95">
        <f>$P3365*'Assumptions (O&amp;G Upstream)'!T$349</f>
        <v>0</v>
      </c>
      <c r="AI3486" s="95">
        <f>$P3365*'Assumptions (O&amp;G Upstream)'!U$349</f>
        <v>0</v>
      </c>
      <c r="AJ3486" s="95">
        <f>$P3365*'Assumptions (O&amp;G Upstream)'!V$349</f>
        <v>0</v>
      </c>
    </row>
    <row r="3487" ht="15.75" hidden="1" customHeight="1" outlineLevel="1">
      <c r="A3487" s="389"/>
      <c r="B3487" s="24"/>
      <c r="C3487" s="78"/>
      <c r="D3487" s="78"/>
      <c r="E3487" s="78"/>
      <c r="F3487" s="78"/>
      <c r="G3487" s="78"/>
      <c r="H3487" s="78"/>
      <c r="I3487" s="78"/>
      <c r="J3487" s="78"/>
      <c r="K3487" s="78"/>
      <c r="L3487" s="78"/>
      <c r="M3487" s="78"/>
      <c r="N3487" s="78"/>
      <c r="O3487" s="78"/>
      <c r="P3487" s="78"/>
      <c r="Q3487" s="95">
        <f>$Q3365*'Assumptions (O&amp;G Upstream)'!B$349</f>
        <v>29.13731</v>
      </c>
      <c r="R3487" s="95">
        <f>$Q3365*'Assumptions (O&amp;G Upstream)'!C$349</f>
        <v>49.93511</v>
      </c>
      <c r="S3487" s="95">
        <f>$Q3365*'Assumptions (O&amp;G Upstream)'!D$349</f>
        <v>35.66211</v>
      </c>
      <c r="T3487" s="95">
        <f>$Q3365*'Assumptions (O&amp;G Upstream)'!E$349</f>
        <v>25.46711</v>
      </c>
      <c r="U3487" s="95">
        <f>$Q3365*'Assumptions (O&amp;G Upstream)'!F$349</f>
        <v>18.20827</v>
      </c>
      <c r="V3487" s="95">
        <f>$Q3365*'Assumptions (O&amp;G Upstream)'!G$349</f>
        <v>18.18788</v>
      </c>
      <c r="W3487" s="95">
        <f>$Q3365*'Assumptions (O&amp;G Upstream)'!H$349</f>
        <v>18.20827</v>
      </c>
      <c r="X3487" s="95">
        <f>$Q3365*'Assumptions (O&amp;G Upstream)'!I$349</f>
        <v>9.09394</v>
      </c>
      <c r="Y3487" s="95">
        <f>$Q3365*'Assumptions (O&amp;G Upstream)'!J$349</f>
        <v>0</v>
      </c>
      <c r="Z3487" s="95">
        <f>$Q3365*'Assumptions (O&amp;G Upstream)'!K$349</f>
        <v>0</v>
      </c>
      <c r="AA3487" s="95">
        <f>$Q3365*'Assumptions (O&amp;G Upstream)'!L$349</f>
        <v>0</v>
      </c>
      <c r="AB3487" s="95">
        <f>$Q3365*'Assumptions (O&amp;G Upstream)'!M$349</f>
        <v>0</v>
      </c>
      <c r="AC3487" s="95">
        <f>$Q3365*'Assumptions (O&amp;G Upstream)'!N$349</f>
        <v>0</v>
      </c>
      <c r="AD3487" s="95">
        <f>$Q3365*'Assumptions (O&amp;G Upstream)'!O$349</f>
        <v>0</v>
      </c>
      <c r="AE3487" s="95">
        <f>$Q3365*'Assumptions (O&amp;G Upstream)'!P$349</f>
        <v>0</v>
      </c>
      <c r="AF3487" s="95">
        <f>$Q3365*'Assumptions (O&amp;G Upstream)'!Q$349</f>
        <v>0</v>
      </c>
      <c r="AG3487" s="95">
        <f>$Q3365*'Assumptions (O&amp;G Upstream)'!R$349</f>
        <v>0</v>
      </c>
      <c r="AH3487" s="95">
        <f>$Q3365*'Assumptions (O&amp;G Upstream)'!S$349</f>
        <v>0</v>
      </c>
      <c r="AI3487" s="95">
        <f>$Q3365*'Assumptions (O&amp;G Upstream)'!T$349</f>
        <v>0</v>
      </c>
      <c r="AJ3487" s="95">
        <f>$Q3365*'Assumptions (O&amp;G Upstream)'!U$349</f>
        <v>0</v>
      </c>
      <c r="AK3487" s="95">
        <f>$Q3365*'Assumptions (O&amp;G Upstream)'!V$349</f>
        <v>0</v>
      </c>
    </row>
    <row r="3488" ht="15.75" hidden="1" customHeight="1" outlineLevel="1">
      <c r="A3488" s="389"/>
      <c r="B3488" s="24"/>
      <c r="C3488" s="78"/>
      <c r="D3488" s="78"/>
      <c r="E3488" s="78"/>
      <c r="F3488" s="78"/>
      <c r="G3488" s="78"/>
      <c r="H3488" s="78"/>
      <c r="I3488" s="78"/>
      <c r="J3488" s="78"/>
      <c r="K3488" s="78"/>
      <c r="L3488" s="78"/>
      <c r="M3488" s="78"/>
      <c r="N3488" s="78"/>
      <c r="O3488" s="78"/>
      <c r="P3488" s="78"/>
      <c r="Q3488" s="78"/>
      <c r="R3488" s="95">
        <f>$R3365*'Assumptions (O&amp;G Upstream)'!B$349</f>
        <v>21.37784</v>
      </c>
      <c r="S3488" s="95">
        <f>$R3365*'Assumptions (O&amp;G Upstream)'!C$349</f>
        <v>36.63704</v>
      </c>
      <c r="T3488" s="95">
        <f>$R3365*'Assumptions (O&amp;G Upstream)'!D$349</f>
        <v>26.16504</v>
      </c>
      <c r="U3488" s="95">
        <f>$R3365*'Assumptions (O&amp;G Upstream)'!E$349</f>
        <v>18.68504</v>
      </c>
      <c r="V3488" s="95">
        <f>$R3365*'Assumptions (O&amp;G Upstream)'!F$349</f>
        <v>13.35928</v>
      </c>
      <c r="W3488" s="95">
        <f>$R3365*'Assumptions (O&amp;G Upstream)'!G$349</f>
        <v>13.34432</v>
      </c>
      <c r="X3488" s="95">
        <f>$R3365*'Assumptions (O&amp;G Upstream)'!H$349</f>
        <v>13.35928</v>
      </c>
      <c r="Y3488" s="95">
        <f>$R3365*'Assumptions (O&amp;G Upstream)'!I$349</f>
        <v>6.67216</v>
      </c>
      <c r="Z3488" s="95">
        <f>$R3365*'Assumptions (O&amp;G Upstream)'!J$349</f>
        <v>0</v>
      </c>
      <c r="AA3488" s="95">
        <f>$R3365*'Assumptions (O&amp;G Upstream)'!K$349</f>
        <v>0</v>
      </c>
      <c r="AB3488" s="95">
        <f>$R3365*'Assumptions (O&amp;G Upstream)'!L$349</f>
        <v>0</v>
      </c>
      <c r="AC3488" s="95">
        <f>$R3365*'Assumptions (O&amp;G Upstream)'!M$349</f>
        <v>0</v>
      </c>
      <c r="AD3488" s="95">
        <f>$R3365*'Assumptions (O&amp;G Upstream)'!N$349</f>
        <v>0</v>
      </c>
      <c r="AE3488" s="95">
        <f>$R3365*'Assumptions (O&amp;G Upstream)'!O$349</f>
        <v>0</v>
      </c>
      <c r="AF3488" s="95">
        <f>$R3365*'Assumptions (O&amp;G Upstream)'!P$349</f>
        <v>0</v>
      </c>
      <c r="AG3488" s="95">
        <f>$R3365*'Assumptions (O&amp;G Upstream)'!Q$349</f>
        <v>0</v>
      </c>
      <c r="AH3488" s="95">
        <f>$R3365*'Assumptions (O&amp;G Upstream)'!R$349</f>
        <v>0</v>
      </c>
      <c r="AI3488" s="95">
        <f>$R3365*'Assumptions (O&amp;G Upstream)'!S$349</f>
        <v>0</v>
      </c>
      <c r="AJ3488" s="95">
        <f>$R3365*'Assumptions (O&amp;G Upstream)'!T$349</f>
        <v>0</v>
      </c>
      <c r="AK3488" s="95">
        <f>$R3365*'Assumptions (O&amp;G Upstream)'!U$349</f>
        <v>0</v>
      </c>
      <c r="AL3488" s="95">
        <f>$R3365*'Assumptions (O&amp;G Upstream)'!V$349</f>
        <v>0</v>
      </c>
    </row>
    <row r="3489" ht="15.75" hidden="1" customHeight="1" outlineLevel="1">
      <c r="A3489" s="389"/>
      <c r="B3489" s="24"/>
      <c r="C3489" s="78"/>
      <c r="D3489" s="78"/>
      <c r="E3489" s="78"/>
      <c r="F3489" s="78"/>
      <c r="G3489" s="78"/>
      <c r="H3489" s="78"/>
      <c r="I3489" s="78"/>
      <c r="J3489" s="78"/>
      <c r="K3489" s="78"/>
      <c r="L3489" s="78"/>
      <c r="M3489" s="78"/>
      <c r="N3489" s="78"/>
      <c r="O3489" s="78"/>
      <c r="P3489" s="78"/>
      <c r="Q3489" s="78"/>
      <c r="R3489" s="78"/>
      <c r="S3489" s="95">
        <f>$S3365*'Assumptions (O&amp;G Upstream)'!B$349</f>
        <v>11.41771</v>
      </c>
      <c r="T3489" s="95">
        <f>$S3365*'Assumptions (O&amp;G Upstream)'!C$349</f>
        <v>19.56751</v>
      </c>
      <c r="U3489" s="95">
        <f>$S3365*'Assumptions (O&amp;G Upstream)'!D$349</f>
        <v>13.97451</v>
      </c>
      <c r="V3489" s="95">
        <f>$S3365*'Assumptions (O&amp;G Upstream)'!E$349</f>
        <v>9.97951</v>
      </c>
      <c r="W3489" s="95">
        <f>$S3365*'Assumptions (O&amp;G Upstream)'!F$349</f>
        <v>7.13507</v>
      </c>
      <c r="X3489" s="95">
        <f>$S3365*'Assumptions (O&amp;G Upstream)'!G$349</f>
        <v>7.12708</v>
      </c>
      <c r="Y3489" s="95">
        <f>$S3365*'Assumptions (O&amp;G Upstream)'!H$349</f>
        <v>7.13507</v>
      </c>
      <c r="Z3489" s="95">
        <f>$S3365*'Assumptions (O&amp;G Upstream)'!I$349</f>
        <v>3.56354</v>
      </c>
      <c r="AA3489" s="95">
        <f>$S3365*'Assumptions (O&amp;G Upstream)'!J$349</f>
        <v>0</v>
      </c>
      <c r="AB3489" s="95">
        <f>$S3365*'Assumptions (O&amp;G Upstream)'!K$349</f>
        <v>0</v>
      </c>
      <c r="AC3489" s="95">
        <f>$S3365*'Assumptions (O&amp;G Upstream)'!L$349</f>
        <v>0</v>
      </c>
      <c r="AD3489" s="95">
        <f>$S3365*'Assumptions (O&amp;G Upstream)'!M$349</f>
        <v>0</v>
      </c>
      <c r="AE3489" s="95">
        <f>$S3365*'Assumptions (O&amp;G Upstream)'!N$349</f>
        <v>0</v>
      </c>
      <c r="AF3489" s="95">
        <f>$S3365*'Assumptions (O&amp;G Upstream)'!O$349</f>
        <v>0</v>
      </c>
      <c r="AG3489" s="95">
        <f>$S3365*'Assumptions (O&amp;G Upstream)'!P$349</f>
        <v>0</v>
      </c>
      <c r="AH3489" s="95">
        <f>$S3365*'Assumptions (O&amp;G Upstream)'!Q$349</f>
        <v>0</v>
      </c>
      <c r="AI3489" s="95">
        <f>$S3365*'Assumptions (O&amp;G Upstream)'!R$349</f>
        <v>0</v>
      </c>
      <c r="AJ3489" s="95">
        <f>$S3365*'Assumptions (O&amp;G Upstream)'!S$349</f>
        <v>0</v>
      </c>
      <c r="AK3489" s="95">
        <f>$S3365*'Assumptions (O&amp;G Upstream)'!T$349</f>
        <v>0</v>
      </c>
      <c r="AL3489" s="95">
        <f>$S3365*'Assumptions (O&amp;G Upstream)'!U$349</f>
        <v>0</v>
      </c>
      <c r="AM3489" s="95">
        <f>$S3365*'Assumptions (O&amp;G Upstream)'!V$349</f>
        <v>0</v>
      </c>
    </row>
    <row r="3490" ht="15.75" hidden="1" customHeight="1" outlineLevel="1">
      <c r="A3490" s="389"/>
      <c r="B3490" s="24"/>
      <c r="C3490" s="78"/>
      <c r="D3490" s="78"/>
      <c r="E3490" s="78"/>
      <c r="F3490" s="78"/>
      <c r="G3490" s="78"/>
      <c r="H3490" s="78"/>
      <c r="I3490" s="78"/>
      <c r="J3490" s="78"/>
      <c r="K3490" s="78"/>
      <c r="L3490" s="78"/>
      <c r="M3490" s="78"/>
      <c r="N3490" s="78"/>
      <c r="O3490" s="78"/>
      <c r="P3490" s="78"/>
      <c r="Q3490" s="78"/>
      <c r="R3490" s="78"/>
      <c r="S3490" s="78"/>
      <c r="T3490" s="95">
        <f>$T3365*'Assumptions (O&amp;G Upstream)'!B$349</f>
        <v>16.04767</v>
      </c>
      <c r="U3490" s="95">
        <f>$T3365*'Assumptions (O&amp;G Upstream)'!C$349</f>
        <v>27.50227</v>
      </c>
      <c r="V3490" s="95">
        <f>$T3365*'Assumptions (O&amp;G Upstream)'!D$349</f>
        <v>19.64127</v>
      </c>
      <c r="W3490" s="95">
        <f>$T3365*'Assumptions (O&amp;G Upstream)'!E$349</f>
        <v>14.02627</v>
      </c>
      <c r="X3490" s="95">
        <f>$T3365*'Assumptions (O&amp;G Upstream)'!F$349</f>
        <v>10.02839</v>
      </c>
      <c r="Y3490" s="95">
        <f>$T3365*'Assumptions (O&amp;G Upstream)'!G$349</f>
        <v>10.01716</v>
      </c>
      <c r="Z3490" s="95">
        <f>$T3365*'Assumptions (O&amp;G Upstream)'!H$349</f>
        <v>10.02839</v>
      </c>
      <c r="AA3490" s="95">
        <f>$T3365*'Assumptions (O&amp;G Upstream)'!I$349</f>
        <v>5.00858</v>
      </c>
      <c r="AB3490" s="95">
        <f>$T3365*'Assumptions (O&amp;G Upstream)'!J$349</f>
        <v>0</v>
      </c>
      <c r="AC3490" s="95">
        <f>$T3365*'Assumptions (O&amp;G Upstream)'!K$349</f>
        <v>0</v>
      </c>
      <c r="AD3490" s="95">
        <f>$T3365*'Assumptions (O&amp;G Upstream)'!L$349</f>
        <v>0</v>
      </c>
      <c r="AE3490" s="95">
        <f>$T3365*'Assumptions (O&amp;G Upstream)'!M$349</f>
        <v>0</v>
      </c>
      <c r="AF3490" s="95">
        <f>$T3365*'Assumptions (O&amp;G Upstream)'!N$349</f>
        <v>0</v>
      </c>
      <c r="AG3490" s="95">
        <f>$T3365*'Assumptions (O&amp;G Upstream)'!O$349</f>
        <v>0</v>
      </c>
      <c r="AH3490" s="95">
        <f>$T3365*'Assumptions (O&amp;G Upstream)'!P$349</f>
        <v>0</v>
      </c>
      <c r="AI3490" s="95">
        <f>$T3365*'Assumptions (O&amp;G Upstream)'!Q$349</f>
        <v>0</v>
      </c>
      <c r="AJ3490" s="95">
        <f>$T3365*'Assumptions (O&amp;G Upstream)'!R$349</f>
        <v>0</v>
      </c>
      <c r="AK3490" s="95">
        <f>$T3365*'Assumptions (O&amp;G Upstream)'!S$349</f>
        <v>0</v>
      </c>
      <c r="AL3490" s="95">
        <f>$T3365*'Assumptions (O&amp;G Upstream)'!T$349</f>
        <v>0</v>
      </c>
      <c r="AM3490" s="95">
        <f>$T3365*'Assumptions (O&amp;G Upstream)'!U$349</f>
        <v>0</v>
      </c>
      <c r="AN3490" s="95">
        <f>$T3365*'Assumptions (O&amp;G Upstream)'!V$349</f>
        <v>0</v>
      </c>
    </row>
    <row r="3491" ht="15.75" hidden="1" customHeight="1" outlineLevel="1">
      <c r="A3491" s="389"/>
      <c r="B3491" s="24"/>
      <c r="C3491" s="78"/>
      <c r="D3491" s="78"/>
      <c r="E3491" s="78"/>
      <c r="F3491" s="78"/>
      <c r="G3491" s="78"/>
      <c r="H3491" s="78"/>
      <c r="I3491" s="78"/>
      <c r="J3491" s="78"/>
      <c r="K3491" s="78"/>
      <c r="L3491" s="78"/>
      <c r="M3491" s="78"/>
      <c r="N3491" s="78"/>
      <c r="O3491" s="78"/>
      <c r="P3491" s="78"/>
      <c r="Q3491" s="78"/>
      <c r="R3491" s="78"/>
      <c r="S3491" s="78"/>
      <c r="T3491" s="78"/>
      <c r="U3491" s="95">
        <f>$U3365*'Assumptions (O&amp;G Upstream)'!B$349</f>
        <v>24.08015506</v>
      </c>
      <c r="V3491" s="95">
        <f>$U3365*'Assumptions (O&amp;G Upstream)'!C$349</f>
        <v>41.26822935</v>
      </c>
      <c r="W3491" s="95">
        <f>$U3365*'Assumptions (O&amp;G Upstream)'!D$349</f>
        <v>29.47249209</v>
      </c>
      <c r="X3491" s="95">
        <f>$U3365*'Assumptions (O&amp;G Upstream)'!E$349</f>
        <v>21.04696548</v>
      </c>
      <c r="Y3491" s="95">
        <f>$U3365*'Assumptions (O&amp;G Upstream)'!F$349</f>
        <v>15.04799053</v>
      </c>
      <c r="Z3491" s="95">
        <f>$U3365*'Assumptions (O&amp;G Upstream)'!G$349</f>
        <v>15.03113948</v>
      </c>
      <c r="AA3491" s="95">
        <f>$U3365*'Assumptions (O&amp;G Upstream)'!H$349</f>
        <v>15.04799053</v>
      </c>
      <c r="AB3491" s="95">
        <f>$U3365*'Assumptions (O&amp;G Upstream)'!I$349</f>
        <v>7.515569739</v>
      </c>
      <c r="AC3491" s="95">
        <f>$U3365*'Assumptions (O&amp;G Upstream)'!J$349</f>
        <v>0</v>
      </c>
      <c r="AD3491" s="95">
        <f>$U3365*'Assumptions (O&amp;G Upstream)'!K$349</f>
        <v>0</v>
      </c>
      <c r="AE3491" s="95">
        <f>$U3365*'Assumptions (O&amp;G Upstream)'!L$349</f>
        <v>0</v>
      </c>
      <c r="AF3491" s="95">
        <f>$U3365*'Assumptions (O&amp;G Upstream)'!M$349</f>
        <v>0</v>
      </c>
      <c r="AG3491" s="95">
        <f>$U3365*'Assumptions (O&amp;G Upstream)'!N$349</f>
        <v>0</v>
      </c>
      <c r="AH3491" s="95">
        <f>$U3365*'Assumptions (O&amp;G Upstream)'!O$349</f>
        <v>0</v>
      </c>
      <c r="AI3491" s="95">
        <f>$U3365*'Assumptions (O&amp;G Upstream)'!P$349</f>
        <v>0</v>
      </c>
      <c r="AJ3491" s="95">
        <f>$U3365*'Assumptions (O&amp;G Upstream)'!Q$349</f>
        <v>0</v>
      </c>
      <c r="AK3491" s="95">
        <f>$U3365*'Assumptions (O&amp;G Upstream)'!R$349</f>
        <v>0</v>
      </c>
      <c r="AL3491" s="95">
        <f>$U3365*'Assumptions (O&amp;G Upstream)'!S$349</f>
        <v>0</v>
      </c>
      <c r="AM3491" s="95">
        <f>$U3365*'Assumptions (O&amp;G Upstream)'!T$349</f>
        <v>0</v>
      </c>
      <c r="AN3491" s="95">
        <f>$U3365*'Assumptions (O&amp;G Upstream)'!U$349</f>
        <v>0</v>
      </c>
      <c r="AO3491" s="95">
        <f>$U3365*'Assumptions (O&amp;G Upstream)'!V$349</f>
        <v>0</v>
      </c>
    </row>
    <row r="3492" ht="15.75" hidden="1" customHeight="1" outlineLevel="1">
      <c r="A3492" s="389"/>
      <c r="B3492" s="24"/>
      <c r="C3492" s="78"/>
      <c r="D3492" s="78"/>
      <c r="E3492" s="78"/>
      <c r="F3492" s="78"/>
      <c r="G3492" s="78"/>
      <c r="H3492" s="78"/>
      <c r="I3492" s="78"/>
      <c r="J3492" s="78"/>
      <c r="K3492" s="78"/>
      <c r="L3492" s="78"/>
      <c r="M3492" s="78"/>
      <c r="N3492" s="78"/>
      <c r="O3492" s="78"/>
      <c r="P3492" s="78"/>
      <c r="Q3492" s="78"/>
      <c r="R3492" s="78"/>
      <c r="S3492" s="78"/>
      <c r="T3492" s="78"/>
      <c r="U3492" s="78"/>
      <c r="V3492" s="95">
        <f>$V3365*'Assumptions (O&amp;G Upstream)'!B$349</f>
        <v>27.10293722</v>
      </c>
      <c r="W3492" s="95">
        <f>$V3365*'Assumptions (O&amp;G Upstream)'!C$349</f>
        <v>46.44863069</v>
      </c>
      <c r="X3492" s="95">
        <f>$V3365*'Assumptions (O&amp;G Upstream)'!D$349</f>
        <v>33.17217439</v>
      </c>
      <c r="Y3492" s="95">
        <f>$V3365*'Assumptions (O&amp;G Upstream)'!E$349</f>
        <v>23.68899132</v>
      </c>
      <c r="Z3492" s="95">
        <f>$V3365*'Assumptions (O&amp;G Upstream)'!F$349</f>
        <v>16.93696497</v>
      </c>
      <c r="AA3492" s="95">
        <f>$V3365*'Assumptions (O&amp;G Upstream)'!G$349</f>
        <v>16.9179986</v>
      </c>
      <c r="AB3492" s="95">
        <f>$V3365*'Assumptions (O&amp;G Upstream)'!H$349</f>
        <v>16.93696497</v>
      </c>
      <c r="AC3492" s="95">
        <f>$V3365*'Assumptions (O&amp;G Upstream)'!I$349</f>
        <v>8.458999301</v>
      </c>
      <c r="AD3492" s="95">
        <f>$V3365*'Assumptions (O&amp;G Upstream)'!J$349</f>
        <v>0</v>
      </c>
      <c r="AE3492" s="95">
        <f>$V3365*'Assumptions (O&amp;G Upstream)'!K$349</f>
        <v>0</v>
      </c>
      <c r="AF3492" s="95">
        <f>$V3365*'Assumptions (O&amp;G Upstream)'!L$349</f>
        <v>0</v>
      </c>
      <c r="AG3492" s="95">
        <f>$V3365*'Assumptions (O&amp;G Upstream)'!M$349</f>
        <v>0</v>
      </c>
      <c r="AH3492" s="95">
        <f>$V3365*'Assumptions (O&amp;G Upstream)'!N$349</f>
        <v>0</v>
      </c>
      <c r="AI3492" s="95">
        <f>$V3365*'Assumptions (O&amp;G Upstream)'!O$349</f>
        <v>0</v>
      </c>
      <c r="AJ3492" s="95">
        <f>$V3365*'Assumptions (O&amp;G Upstream)'!P$349</f>
        <v>0</v>
      </c>
      <c r="AK3492" s="95">
        <f>$V3365*'Assumptions (O&amp;G Upstream)'!Q$349</f>
        <v>0</v>
      </c>
      <c r="AL3492" s="95">
        <f>$V3365*'Assumptions (O&amp;G Upstream)'!R$349</f>
        <v>0</v>
      </c>
      <c r="AM3492" s="95">
        <f>$V3365*'Assumptions (O&amp;G Upstream)'!S$349</f>
        <v>0</v>
      </c>
      <c r="AN3492" s="95">
        <f>$V3365*'Assumptions (O&amp;G Upstream)'!T$349</f>
        <v>0</v>
      </c>
      <c r="AO3492" s="95">
        <f>$V3365*'Assumptions (O&amp;G Upstream)'!U$349</f>
        <v>0</v>
      </c>
      <c r="AP3492" s="95">
        <f>$V3365*'Assumptions (O&amp;G Upstream)'!V$349</f>
        <v>0</v>
      </c>
    </row>
    <row r="3493" ht="15.75" hidden="1" customHeight="1" outlineLevel="1">
      <c r="A3493" s="389"/>
      <c r="B3493" s="24"/>
      <c r="C3493" s="78"/>
      <c r="D3493" s="78"/>
      <c r="E3493" s="78"/>
      <c r="F3493" s="78"/>
      <c r="G3493" s="78"/>
      <c r="H3493" s="78"/>
      <c r="I3493" s="78"/>
      <c r="J3493" s="78"/>
      <c r="K3493" s="78"/>
      <c r="L3493" s="78"/>
      <c r="M3493" s="78"/>
      <c r="N3493" s="78"/>
      <c r="O3493" s="78"/>
      <c r="P3493" s="78"/>
      <c r="Q3493" s="78"/>
      <c r="R3493" s="78"/>
      <c r="S3493" s="78"/>
      <c r="T3493" s="78"/>
      <c r="U3493" s="78"/>
      <c r="V3493" s="78"/>
      <c r="W3493" s="95">
        <f>$W3365*'Assumptions (O&amp;G Upstream)'!B$349</f>
        <v>29.52058051</v>
      </c>
      <c r="X3493" s="95">
        <f>$W3365*'Assumptions (O&amp;G Upstream)'!C$349</f>
        <v>50.59195359</v>
      </c>
      <c r="Y3493" s="95">
        <f>$W3365*'Assumptions (O&amp;G Upstream)'!D$349</f>
        <v>36.13120736</v>
      </c>
      <c r="Z3493" s="95">
        <f>$W3365*'Assumptions (O&amp;G Upstream)'!E$349</f>
        <v>25.80210291</v>
      </c>
      <c r="AA3493" s="95">
        <f>$W3365*'Assumptions (O&amp;G Upstream)'!F$349</f>
        <v>18.44778055</v>
      </c>
      <c r="AB3493" s="95">
        <f>$W3365*'Assumptions (O&amp;G Upstream)'!G$349</f>
        <v>18.42712234</v>
      </c>
      <c r="AC3493" s="95">
        <f>$W3365*'Assumptions (O&amp;G Upstream)'!H$349</f>
        <v>18.44778055</v>
      </c>
      <c r="AD3493" s="95">
        <f>$W3365*'Assumptions (O&amp;G Upstream)'!I$349</f>
        <v>9.213561168</v>
      </c>
      <c r="AE3493" s="95">
        <f>$W3365*'Assumptions (O&amp;G Upstream)'!J$349</f>
        <v>0</v>
      </c>
      <c r="AF3493" s="95">
        <f>$W3365*'Assumptions (O&amp;G Upstream)'!K$349</f>
        <v>0</v>
      </c>
      <c r="AG3493" s="95">
        <f>$W3365*'Assumptions (O&amp;G Upstream)'!L$349</f>
        <v>0</v>
      </c>
      <c r="AH3493" s="95">
        <f>$W3365*'Assumptions (O&amp;G Upstream)'!M$349</f>
        <v>0</v>
      </c>
      <c r="AI3493" s="95">
        <f>$W3365*'Assumptions (O&amp;G Upstream)'!N$349</f>
        <v>0</v>
      </c>
      <c r="AJ3493" s="95">
        <f>$W3365*'Assumptions (O&amp;G Upstream)'!O$349</f>
        <v>0</v>
      </c>
      <c r="AK3493" s="95">
        <f>$W3365*'Assumptions (O&amp;G Upstream)'!P$349</f>
        <v>0</v>
      </c>
      <c r="AL3493" s="95">
        <f>$W3365*'Assumptions (O&amp;G Upstream)'!Q$349</f>
        <v>0</v>
      </c>
      <c r="AM3493" s="95">
        <f>$W3365*'Assumptions (O&amp;G Upstream)'!R$349</f>
        <v>0</v>
      </c>
      <c r="AN3493" s="95">
        <f>$W3365*'Assumptions (O&amp;G Upstream)'!S$349</f>
        <v>0</v>
      </c>
      <c r="AO3493" s="95">
        <f>$W3365*'Assumptions (O&amp;G Upstream)'!T$349</f>
        <v>0</v>
      </c>
      <c r="AP3493" s="95">
        <f>$W3365*'Assumptions (O&amp;G Upstream)'!U$349</f>
        <v>0</v>
      </c>
      <c r="AQ3493" s="95">
        <f>$W3365*'Assumptions (O&amp;G Upstream)'!V$349</f>
        <v>0</v>
      </c>
    </row>
    <row r="3494" ht="15.75" hidden="1" customHeight="1" outlineLevel="1">
      <c r="A3494" s="389"/>
      <c r="B3494" s="24"/>
      <c r="C3494" s="78"/>
      <c r="D3494" s="78"/>
      <c r="E3494" s="78"/>
      <c r="F3494" s="78"/>
      <c r="G3494" s="78"/>
      <c r="H3494" s="78"/>
      <c r="I3494" s="78"/>
      <c r="J3494" s="78"/>
      <c r="K3494" s="78"/>
      <c r="L3494" s="78"/>
      <c r="M3494" s="78"/>
      <c r="N3494" s="78"/>
      <c r="O3494" s="78"/>
      <c r="P3494" s="78"/>
      <c r="Q3494" s="78"/>
      <c r="R3494" s="78"/>
      <c r="S3494" s="78"/>
      <c r="T3494" s="78"/>
      <c r="U3494" s="78"/>
      <c r="V3494" s="78"/>
      <c r="W3494" s="139"/>
      <c r="X3494" s="95">
        <f>$X3365*'Assumptions (O&amp;G Upstream)'!B$349</f>
        <v>31.05952034</v>
      </c>
      <c r="Y3494" s="95">
        <f>$X3365*'Assumptions (O&amp;G Upstream)'!C$349</f>
        <v>53.22936692</v>
      </c>
      <c r="Z3494" s="95">
        <f>$X3365*'Assumptions (O&amp;G Upstream)'!D$349</f>
        <v>38.01476633</v>
      </c>
      <c r="AA3494" s="95">
        <f>$X3365*'Assumptions (O&amp;G Upstream)'!E$349</f>
        <v>27.14719448</v>
      </c>
      <c r="AB3494" s="95">
        <f>$X3365*'Assumptions (O&amp;G Upstream)'!F$349</f>
        <v>19.40948332</v>
      </c>
      <c r="AC3494" s="95">
        <f>$X3365*'Assumptions (O&amp;G Upstream)'!G$349</f>
        <v>19.38774818</v>
      </c>
      <c r="AD3494" s="95">
        <f>$X3365*'Assumptions (O&amp;G Upstream)'!H$349</f>
        <v>19.40948332</v>
      </c>
      <c r="AE3494" s="95">
        <f>$X3365*'Assumptions (O&amp;G Upstream)'!I$349</f>
        <v>9.693874089</v>
      </c>
      <c r="AF3494" s="95">
        <f>$X3365*'Assumptions (O&amp;G Upstream)'!J$349</f>
        <v>0</v>
      </c>
      <c r="AG3494" s="95">
        <f>$X3365*'Assumptions (O&amp;G Upstream)'!K$349</f>
        <v>0</v>
      </c>
      <c r="AH3494" s="95">
        <f>$X3365*'Assumptions (O&amp;G Upstream)'!L$349</f>
        <v>0</v>
      </c>
      <c r="AI3494" s="95">
        <f>$X3365*'Assumptions (O&amp;G Upstream)'!M$349</f>
        <v>0</v>
      </c>
      <c r="AJ3494" s="95">
        <f>$X3365*'Assumptions (O&amp;G Upstream)'!N$349</f>
        <v>0</v>
      </c>
      <c r="AK3494" s="95">
        <f>$X3365*'Assumptions (O&amp;G Upstream)'!O$349</f>
        <v>0</v>
      </c>
      <c r="AL3494" s="95">
        <f>$X3365*'Assumptions (O&amp;G Upstream)'!P$349</f>
        <v>0</v>
      </c>
      <c r="AM3494" s="95">
        <f>$X3365*'Assumptions (O&amp;G Upstream)'!Q$349</f>
        <v>0</v>
      </c>
      <c r="AN3494" s="95">
        <f>$X3365*'Assumptions (O&amp;G Upstream)'!R$349</f>
        <v>0</v>
      </c>
      <c r="AO3494" s="95">
        <f>$X3365*'Assumptions (O&amp;G Upstream)'!S$349</f>
        <v>0</v>
      </c>
      <c r="AP3494" s="95">
        <f>$X3365*'Assumptions (O&amp;G Upstream)'!T$349</f>
        <v>0</v>
      </c>
      <c r="AQ3494" s="95">
        <f>$X3365*'Assumptions (O&amp;G Upstream)'!U$349</f>
        <v>0</v>
      </c>
      <c r="AR3494" s="95">
        <f>$X3365*'Assumptions (O&amp;G Upstream)'!V$349</f>
        <v>0</v>
      </c>
    </row>
    <row r="3495" ht="15.75" hidden="1" customHeight="1" outlineLevel="1">
      <c r="A3495" s="389"/>
      <c r="B3495" s="24"/>
      <c r="C3495" s="78"/>
      <c r="D3495" s="78"/>
      <c r="E3495" s="78"/>
      <c r="F3495" s="78"/>
      <c r="G3495" s="78"/>
      <c r="H3495" s="78"/>
      <c r="I3495" s="78"/>
      <c r="J3495" s="78"/>
      <c r="K3495" s="78"/>
      <c r="L3495" s="78"/>
      <c r="M3495" s="78"/>
      <c r="N3495" s="78"/>
      <c r="O3495" s="78"/>
      <c r="P3495" s="78"/>
      <c r="Q3495" s="78"/>
      <c r="R3495" s="78"/>
      <c r="S3495" s="78"/>
      <c r="T3495" s="78"/>
      <c r="U3495" s="78"/>
      <c r="V3495" s="78"/>
      <c r="W3495" s="139"/>
      <c r="Y3495" s="95">
        <f>$Y3365*'Assumptions (O&amp;G Upstream)'!B$349</f>
        <v>31.45581168</v>
      </c>
      <c r="Z3495" s="95">
        <f>$Y3365*'Assumptions (O&amp;G Upstream)'!C$349</f>
        <v>53.90852541</v>
      </c>
      <c r="AA3495" s="95">
        <f>$Y3365*'Assumptions (O&amp;G Upstream)'!D$349</f>
        <v>38.4998003</v>
      </c>
      <c r="AB3495" s="95">
        <f>$Y3365*'Assumptions (O&amp;G Upstream)'!E$349</f>
        <v>27.49356808</v>
      </c>
      <c r="AC3495" s="95">
        <f>$Y3365*'Assumptions (O&amp;G Upstream)'!F$349</f>
        <v>19.65713074</v>
      </c>
      <c r="AD3495" s="95">
        <f>$Y3365*'Assumptions (O&amp;G Upstream)'!G$349</f>
        <v>19.63511828</v>
      </c>
      <c r="AE3495" s="95">
        <f>$Y3365*'Assumptions (O&amp;G Upstream)'!H$349</f>
        <v>19.65713074</v>
      </c>
      <c r="AF3495" s="95">
        <f>$Y3365*'Assumptions (O&amp;G Upstream)'!I$349</f>
        <v>9.817559139</v>
      </c>
      <c r="AG3495" s="95">
        <f>$Y3365*'Assumptions (O&amp;G Upstream)'!J$349</f>
        <v>0</v>
      </c>
      <c r="AH3495" s="95">
        <f>$Y3365*'Assumptions (O&amp;G Upstream)'!K$349</f>
        <v>0</v>
      </c>
      <c r="AI3495" s="95">
        <f>$Y3365*'Assumptions (O&amp;G Upstream)'!L$349</f>
        <v>0</v>
      </c>
      <c r="AJ3495" s="95">
        <f>$Y3365*'Assumptions (O&amp;G Upstream)'!M$349</f>
        <v>0</v>
      </c>
      <c r="AK3495" s="95">
        <f>$Y3365*'Assumptions (O&amp;G Upstream)'!N$349</f>
        <v>0</v>
      </c>
      <c r="AL3495" s="95">
        <f>$Y3365*'Assumptions (O&amp;G Upstream)'!O$349</f>
        <v>0</v>
      </c>
      <c r="AM3495" s="95">
        <f>$Y3365*'Assumptions (O&amp;G Upstream)'!P$349</f>
        <v>0</v>
      </c>
      <c r="AN3495" s="95">
        <f>$Y3365*'Assumptions (O&amp;G Upstream)'!Q$349</f>
        <v>0</v>
      </c>
      <c r="AO3495" s="95">
        <f>$Y3365*'Assumptions (O&amp;G Upstream)'!R$349</f>
        <v>0</v>
      </c>
      <c r="AP3495" s="95">
        <f>$Y3365*'Assumptions (O&amp;G Upstream)'!S$349</f>
        <v>0</v>
      </c>
      <c r="AQ3495" s="95">
        <f>$Y3365*'Assumptions (O&amp;G Upstream)'!T$349</f>
        <v>0</v>
      </c>
      <c r="AR3495" s="95">
        <f>$Y3365*'Assumptions (O&amp;G Upstream)'!U$349</f>
        <v>0</v>
      </c>
      <c r="AS3495" s="95">
        <f>$Y3365*'Assumptions (O&amp;G Upstream)'!V$349</f>
        <v>0</v>
      </c>
    </row>
    <row r="3496" ht="15.75" hidden="1" customHeight="1" outlineLevel="1">
      <c r="A3496" s="389"/>
      <c r="B3496" s="24"/>
      <c r="C3496" s="78"/>
      <c r="D3496" s="78"/>
      <c r="E3496" s="78"/>
      <c r="F3496" s="78"/>
      <c r="G3496" s="78"/>
      <c r="H3496" s="78"/>
      <c r="I3496" s="78"/>
      <c r="J3496" s="78"/>
      <c r="K3496" s="78"/>
      <c r="L3496" s="78"/>
      <c r="M3496" s="78"/>
      <c r="N3496" s="78"/>
      <c r="O3496" s="78"/>
      <c r="P3496" s="78"/>
      <c r="Q3496" s="78"/>
      <c r="R3496" s="78"/>
      <c r="S3496" s="78"/>
      <c r="T3496" s="78"/>
      <c r="U3496" s="78"/>
      <c r="V3496" s="78"/>
      <c r="W3496" s="139"/>
      <c r="Z3496" s="95">
        <f>$Z3365*'Assumptions (O&amp;G Upstream)'!B$349</f>
        <v>32.13969232</v>
      </c>
      <c r="AA3496" s="95">
        <f>$Z3365*'Assumptions (O&amp;G Upstream)'!C$349</f>
        <v>55.08055037</v>
      </c>
      <c r="AB3496" s="95">
        <f>$Z3365*'Assumptions (O&amp;G Upstream)'!D$349</f>
        <v>39.33682426</v>
      </c>
      <c r="AC3496" s="95">
        <f>$Z3365*'Assumptions (O&amp;G Upstream)'!E$349</f>
        <v>28.0913056</v>
      </c>
      <c r="AD3496" s="95">
        <f>$Z3365*'Assumptions (O&amp;G Upstream)'!F$349</f>
        <v>20.08449632</v>
      </c>
      <c r="AE3496" s="95">
        <f>$Z3365*'Assumptions (O&amp;G Upstream)'!G$349</f>
        <v>20.06200528</v>
      </c>
      <c r="AF3496" s="95">
        <f>$Z3365*'Assumptions (O&amp;G Upstream)'!H$349</f>
        <v>20.08449632</v>
      </c>
      <c r="AG3496" s="95">
        <f>$Z3365*'Assumptions (O&amp;G Upstream)'!I$349</f>
        <v>10.03100264</v>
      </c>
      <c r="AH3496" s="95">
        <f>$Z3365*'Assumptions (O&amp;G Upstream)'!J$349</f>
        <v>0</v>
      </c>
      <c r="AI3496" s="95">
        <f>$Z3365*'Assumptions (O&amp;G Upstream)'!K$349</f>
        <v>0</v>
      </c>
      <c r="AJ3496" s="95">
        <f>$Z3365*'Assumptions (O&amp;G Upstream)'!L$349</f>
        <v>0</v>
      </c>
      <c r="AK3496" s="95">
        <f>$Z3365*'Assumptions (O&amp;G Upstream)'!M$349</f>
        <v>0</v>
      </c>
      <c r="AL3496" s="95">
        <f>$Z3365*'Assumptions (O&amp;G Upstream)'!N$349</f>
        <v>0</v>
      </c>
      <c r="AM3496" s="95">
        <f>$Z3365*'Assumptions (O&amp;G Upstream)'!O$349</f>
        <v>0</v>
      </c>
      <c r="AN3496" s="95">
        <f>$Z3365*'Assumptions (O&amp;G Upstream)'!P$349</f>
        <v>0</v>
      </c>
      <c r="AO3496" s="95">
        <f>$Z3365*'Assumptions (O&amp;G Upstream)'!Q$349</f>
        <v>0</v>
      </c>
      <c r="AP3496" s="95">
        <f>$Z3365*'Assumptions (O&amp;G Upstream)'!R$349</f>
        <v>0</v>
      </c>
      <c r="AQ3496" s="95">
        <f>$Z3365*'Assumptions (O&amp;G Upstream)'!S$349</f>
        <v>0</v>
      </c>
      <c r="AR3496" s="95">
        <f>$Z3365*'Assumptions (O&amp;G Upstream)'!T$349</f>
        <v>0</v>
      </c>
      <c r="AS3496" s="95">
        <f>$Z3365*'Assumptions (O&amp;G Upstream)'!U$349</f>
        <v>0</v>
      </c>
      <c r="AT3496" s="95">
        <f>$Z3365*'Assumptions (O&amp;G Upstream)'!V$349</f>
        <v>0</v>
      </c>
    </row>
    <row r="3497" ht="15.75" hidden="1" customHeight="1" outlineLevel="1">
      <c r="A3497" s="389"/>
      <c r="B3497" s="24"/>
      <c r="C3497" s="78"/>
      <c r="D3497" s="78"/>
      <c r="E3497" s="78"/>
      <c r="F3497" s="78"/>
      <c r="G3497" s="78"/>
      <c r="H3497" s="78"/>
      <c r="I3497" s="78"/>
      <c r="J3497" s="78"/>
      <c r="K3497" s="78"/>
      <c r="L3497" s="78"/>
      <c r="M3497" s="78"/>
      <c r="N3497" s="78"/>
      <c r="O3497" s="78"/>
      <c r="P3497" s="78"/>
      <c r="Q3497" s="78"/>
      <c r="R3497" s="78"/>
      <c r="S3497" s="78"/>
      <c r="T3497" s="78"/>
      <c r="U3497" s="78"/>
      <c r="V3497" s="78"/>
      <c r="W3497" s="139"/>
      <c r="AA3497" s="95">
        <f>$AA3365*'Assumptions (O&amp;G Upstream)'!B$349</f>
        <v>33.60430476</v>
      </c>
      <c r="AB3497" s="95">
        <f>$AA3365*'Assumptions (O&amp;G Upstream)'!C$349</f>
        <v>57.59058247</v>
      </c>
      <c r="AC3497" s="95">
        <f>$AA3365*'Assumptions (O&amp;G Upstream)'!D$349</f>
        <v>41.12941149</v>
      </c>
      <c r="AD3497" s="95">
        <f>$AA3365*'Assumptions (O&amp;G Upstream)'!E$349</f>
        <v>29.37143222</v>
      </c>
      <c r="AE3497" s="95">
        <f>$AA3365*'Assumptions (O&amp;G Upstream)'!F$349</f>
        <v>20.99975098</v>
      </c>
      <c r="AF3497" s="95">
        <f>$AA3365*'Assumptions (O&amp;G Upstream)'!G$349</f>
        <v>20.97623502</v>
      </c>
      <c r="AG3497" s="95">
        <f>$AA3365*'Assumptions (O&amp;G Upstream)'!H$349</f>
        <v>20.99975098</v>
      </c>
      <c r="AH3497" s="95">
        <f>$AA3365*'Assumptions (O&amp;G Upstream)'!I$349</f>
        <v>10.48811751</v>
      </c>
      <c r="AI3497" s="95">
        <f>$AA3365*'Assumptions (O&amp;G Upstream)'!J$349</f>
        <v>0</v>
      </c>
      <c r="AJ3497" s="95">
        <f>$AA3365*'Assumptions (O&amp;G Upstream)'!K$349</f>
        <v>0</v>
      </c>
      <c r="AK3497" s="95">
        <f>$AA3365*'Assumptions (O&amp;G Upstream)'!L$349</f>
        <v>0</v>
      </c>
      <c r="AL3497" s="95">
        <f>$AA3365*'Assumptions (O&amp;G Upstream)'!M$349</f>
        <v>0</v>
      </c>
      <c r="AM3497" s="95">
        <f>$AA3365*'Assumptions (O&amp;G Upstream)'!N$349</f>
        <v>0</v>
      </c>
      <c r="AN3497" s="95">
        <f>$AA3365*'Assumptions (O&amp;G Upstream)'!O$349</f>
        <v>0</v>
      </c>
      <c r="AO3497" s="95">
        <f>$AA3365*'Assumptions (O&amp;G Upstream)'!P$349</f>
        <v>0</v>
      </c>
      <c r="AP3497" s="95">
        <f>$AA3365*'Assumptions (O&amp;G Upstream)'!Q$349</f>
        <v>0</v>
      </c>
      <c r="AQ3497" s="95">
        <f>$AA3365*'Assumptions (O&amp;G Upstream)'!R$349</f>
        <v>0</v>
      </c>
      <c r="AR3497" s="95">
        <f>$AA3365*'Assumptions (O&amp;G Upstream)'!S$349</f>
        <v>0</v>
      </c>
      <c r="AS3497" s="95">
        <f>$AA3365*'Assumptions (O&amp;G Upstream)'!T$349</f>
        <v>0</v>
      </c>
      <c r="AT3497" s="95">
        <f>$AA3365*'Assumptions (O&amp;G Upstream)'!U$349</f>
        <v>0</v>
      </c>
      <c r="AU3497" s="95">
        <f>$AA3365*'Assumptions (O&amp;G Upstream)'!V$349</f>
        <v>0</v>
      </c>
    </row>
    <row r="3498" ht="15.75" hidden="1" customHeight="1" outlineLevel="1">
      <c r="A3498" s="389"/>
      <c r="B3498" s="24"/>
      <c r="C3498" s="78"/>
      <c r="D3498" s="78"/>
      <c r="E3498" s="78"/>
      <c r="F3498" s="78"/>
      <c r="G3498" s="78"/>
      <c r="H3498" s="78"/>
      <c r="I3498" s="78"/>
      <c r="J3498" s="78"/>
      <c r="K3498" s="78"/>
      <c r="L3498" s="78"/>
      <c r="M3498" s="78"/>
      <c r="N3498" s="78"/>
      <c r="O3498" s="78"/>
      <c r="P3498" s="78"/>
      <c r="Q3498" s="78"/>
      <c r="R3498" s="78"/>
      <c r="S3498" s="78"/>
      <c r="T3498" s="78"/>
      <c r="U3498" s="78"/>
      <c r="V3498" s="78"/>
      <c r="W3498" s="139"/>
      <c r="AB3498" s="95">
        <f>$AB3365*'Assumptions (O&amp;G Upstream)'!B$349</f>
        <v>34.78273197</v>
      </c>
      <c r="AC3498" s="95">
        <f>$AB3365*'Assumptions (O&amp;G Upstream)'!C$349</f>
        <v>59.61015437</v>
      </c>
      <c r="AD3498" s="95">
        <f>$AB3365*'Assumptions (O&amp;G Upstream)'!D$349</f>
        <v>42.57172723</v>
      </c>
      <c r="AE3498" s="95">
        <f>$AB3365*'Assumptions (O&amp;G Upstream)'!E$349</f>
        <v>30.40142213</v>
      </c>
      <c r="AF3498" s="95">
        <f>$AB3365*'Assumptions (O&amp;G Upstream)'!F$349</f>
        <v>21.7361649</v>
      </c>
      <c r="AG3498" s="95">
        <f>$AB3365*'Assumptions (O&amp;G Upstream)'!G$349</f>
        <v>21.71182429</v>
      </c>
      <c r="AH3498" s="95">
        <f>$AB3365*'Assumptions (O&amp;G Upstream)'!H$349</f>
        <v>21.7361649</v>
      </c>
      <c r="AI3498" s="95">
        <f>$AB3365*'Assumptions (O&amp;G Upstream)'!I$349</f>
        <v>10.85591215</v>
      </c>
      <c r="AJ3498" s="95">
        <f>$AB3365*'Assumptions (O&amp;G Upstream)'!J$349</f>
        <v>0</v>
      </c>
      <c r="AK3498" s="95">
        <f>$AB3365*'Assumptions (O&amp;G Upstream)'!K$349</f>
        <v>0</v>
      </c>
      <c r="AL3498" s="95">
        <f>$AB3365*'Assumptions (O&amp;G Upstream)'!L$349</f>
        <v>0</v>
      </c>
      <c r="AM3498" s="95">
        <f>$AB3365*'Assumptions (O&amp;G Upstream)'!M$349</f>
        <v>0</v>
      </c>
      <c r="AN3498" s="95">
        <f>$AB3365*'Assumptions (O&amp;G Upstream)'!N$349</f>
        <v>0</v>
      </c>
      <c r="AO3498" s="95">
        <f>$AB3365*'Assumptions (O&amp;G Upstream)'!O$349</f>
        <v>0</v>
      </c>
      <c r="AP3498" s="95">
        <f>$AB3365*'Assumptions (O&amp;G Upstream)'!P$349</f>
        <v>0</v>
      </c>
      <c r="AQ3498" s="95">
        <f>$AB3365*'Assumptions (O&amp;G Upstream)'!Q$349</f>
        <v>0</v>
      </c>
      <c r="AR3498" s="95">
        <f>$AB3365*'Assumptions (O&amp;G Upstream)'!R$349</f>
        <v>0</v>
      </c>
      <c r="AS3498" s="95">
        <f>$AB3365*'Assumptions (O&amp;G Upstream)'!S$349</f>
        <v>0</v>
      </c>
      <c r="AT3498" s="95">
        <f>$AB3365*'Assumptions (O&amp;G Upstream)'!T$349</f>
        <v>0</v>
      </c>
      <c r="AU3498" s="95">
        <f>$AB3365*'Assumptions (O&amp;G Upstream)'!U$349</f>
        <v>0</v>
      </c>
      <c r="AV3498" s="95">
        <f>$AB3365*'Assumptions (O&amp;G Upstream)'!V$349</f>
        <v>0</v>
      </c>
    </row>
    <row r="3499" ht="15.75" hidden="1" customHeight="1" outlineLevel="1">
      <c r="A3499" s="389"/>
      <c r="B3499" s="24"/>
      <c r="C3499" s="78"/>
      <c r="D3499" s="78"/>
      <c r="E3499" s="78"/>
      <c r="F3499" s="78"/>
      <c r="G3499" s="78"/>
      <c r="H3499" s="78"/>
      <c r="I3499" s="78"/>
      <c r="J3499" s="78"/>
      <c r="K3499" s="78"/>
      <c r="L3499" s="78"/>
      <c r="M3499" s="78"/>
      <c r="N3499" s="78"/>
      <c r="O3499" s="78"/>
      <c r="P3499" s="78"/>
      <c r="Q3499" s="78"/>
      <c r="R3499" s="78"/>
      <c r="S3499" s="78"/>
      <c r="T3499" s="78"/>
      <c r="U3499" s="78"/>
      <c r="V3499" s="78"/>
      <c r="W3499" s="139"/>
      <c r="AC3499" s="95">
        <f>$AC3365*'Assumptions (O&amp;G Upstream)'!B$349</f>
        <v>36.08910128</v>
      </c>
      <c r="AD3499" s="95">
        <f>$AC3365*'Assumptions (O&amp;G Upstream)'!C$349</f>
        <v>61.84899163</v>
      </c>
      <c r="AE3499" s="95">
        <f>$AC3365*'Assumptions (O&amp;G Upstream)'!D$349</f>
        <v>44.17063551</v>
      </c>
      <c r="AF3499" s="95">
        <f>$AC3365*'Assumptions (O&amp;G Upstream)'!E$349</f>
        <v>31.54323828</v>
      </c>
      <c r="AG3499" s="95">
        <f>$AC3365*'Assumptions (O&amp;G Upstream)'!F$349</f>
        <v>22.55253145</v>
      </c>
      <c r="AH3499" s="95">
        <f>$AC3365*'Assumptions (O&amp;G Upstream)'!G$349</f>
        <v>22.52727666</v>
      </c>
      <c r="AI3499" s="95">
        <f>$AC3365*'Assumptions (O&amp;G Upstream)'!H$349</f>
        <v>22.55253145</v>
      </c>
      <c r="AJ3499" s="95">
        <f>$AC3365*'Assumptions (O&amp;G Upstream)'!I$349</f>
        <v>11.26363833</v>
      </c>
      <c r="AK3499" s="95">
        <f>$AC3365*'Assumptions (O&amp;G Upstream)'!J$349</f>
        <v>0</v>
      </c>
      <c r="AL3499" s="95">
        <f>$AC3365*'Assumptions (O&amp;G Upstream)'!K$349</f>
        <v>0</v>
      </c>
      <c r="AM3499" s="95">
        <f>$AC3365*'Assumptions (O&amp;G Upstream)'!L$349</f>
        <v>0</v>
      </c>
      <c r="AN3499" s="95">
        <f>$AC3365*'Assumptions (O&amp;G Upstream)'!M$349</f>
        <v>0</v>
      </c>
      <c r="AO3499" s="95">
        <f>$AC3365*'Assumptions (O&amp;G Upstream)'!N$349</f>
        <v>0</v>
      </c>
      <c r="AP3499" s="95">
        <f>$AC3365*'Assumptions (O&amp;G Upstream)'!O$349</f>
        <v>0</v>
      </c>
      <c r="AQ3499" s="95">
        <f>$AC3365*'Assumptions (O&amp;G Upstream)'!P$349</f>
        <v>0</v>
      </c>
      <c r="AR3499" s="95">
        <f>$AC3365*'Assumptions (O&amp;G Upstream)'!Q$349</f>
        <v>0</v>
      </c>
      <c r="AS3499" s="95">
        <f>$AC3365*'Assumptions (O&amp;G Upstream)'!R$349</f>
        <v>0</v>
      </c>
      <c r="AT3499" s="95">
        <f>$AC3365*'Assumptions (O&amp;G Upstream)'!S$349</f>
        <v>0</v>
      </c>
      <c r="AU3499" s="95">
        <f>$AC3365*'Assumptions (O&amp;G Upstream)'!T$349</f>
        <v>0</v>
      </c>
      <c r="AV3499" s="95">
        <f>$AC3365*'Assumptions (O&amp;G Upstream)'!U$349</f>
        <v>0</v>
      </c>
      <c r="AW3499" s="95">
        <f>$AC3365*'Assumptions (O&amp;G Upstream)'!V$349</f>
        <v>0</v>
      </c>
    </row>
    <row r="3500" ht="15.75" hidden="1" customHeight="1" outlineLevel="1">
      <c r="A3500" s="389"/>
      <c r="B3500" s="24"/>
      <c r="C3500" s="78"/>
      <c r="D3500" s="78"/>
      <c r="E3500" s="78"/>
      <c r="F3500" s="78"/>
      <c r="G3500" s="78"/>
      <c r="H3500" s="78"/>
      <c r="I3500" s="78"/>
      <c r="J3500" s="78"/>
      <c r="K3500" s="78"/>
      <c r="L3500" s="78"/>
      <c r="M3500" s="78"/>
      <c r="N3500" s="78"/>
      <c r="O3500" s="78"/>
      <c r="P3500" s="78"/>
      <c r="Q3500" s="78"/>
      <c r="R3500" s="78"/>
      <c r="S3500" s="78"/>
      <c r="T3500" s="78"/>
      <c r="U3500" s="78"/>
      <c r="V3500" s="78"/>
      <c r="W3500" s="139"/>
      <c r="AD3500" s="95">
        <f>$AD3365*'Assumptions (O&amp;G Upstream)'!B$349</f>
        <v>37.55680223</v>
      </c>
      <c r="AE3500" s="95">
        <f>$AD3365*'Assumptions (O&amp;G Upstream)'!C$349</f>
        <v>64.36431677</v>
      </c>
      <c r="AF3500" s="95">
        <f>$AD3365*'Assumptions (O&amp;G Upstream)'!D$349</f>
        <v>45.96700287</v>
      </c>
      <c r="AG3500" s="95">
        <f>$AD3365*'Assumptions (O&amp;G Upstream)'!E$349</f>
        <v>32.82606437</v>
      </c>
      <c r="AH3500" s="95">
        <f>$AD3365*'Assumptions (O&amp;G Upstream)'!F$349</f>
        <v>23.46971616</v>
      </c>
      <c r="AI3500" s="95">
        <f>$AD3365*'Assumptions (O&amp;G Upstream)'!G$349</f>
        <v>23.44343428</v>
      </c>
      <c r="AJ3500" s="95">
        <f>$AD3365*'Assumptions (O&amp;G Upstream)'!H$349</f>
        <v>23.46971616</v>
      </c>
      <c r="AK3500" s="95">
        <f>$AD3365*'Assumptions (O&amp;G Upstream)'!I$349</f>
        <v>11.72171714</v>
      </c>
      <c r="AL3500" s="95">
        <f>$AD3365*'Assumptions (O&amp;G Upstream)'!J$349</f>
        <v>0</v>
      </c>
      <c r="AM3500" s="95">
        <f>$AD3365*'Assumptions (O&amp;G Upstream)'!K$349</f>
        <v>0</v>
      </c>
      <c r="AN3500" s="95">
        <f>$AD3365*'Assumptions (O&amp;G Upstream)'!L$349</f>
        <v>0</v>
      </c>
      <c r="AO3500" s="95">
        <f>$AD3365*'Assumptions (O&amp;G Upstream)'!M$349</f>
        <v>0</v>
      </c>
      <c r="AP3500" s="95">
        <f>$AD3365*'Assumptions (O&amp;G Upstream)'!N$349</f>
        <v>0</v>
      </c>
      <c r="AQ3500" s="95">
        <f>$AD3365*'Assumptions (O&amp;G Upstream)'!O$349</f>
        <v>0</v>
      </c>
      <c r="AR3500" s="95">
        <f>$AD3365*'Assumptions (O&amp;G Upstream)'!P$349</f>
        <v>0</v>
      </c>
      <c r="AS3500" s="95">
        <f>$AD3365*'Assumptions (O&amp;G Upstream)'!Q$349</f>
        <v>0</v>
      </c>
      <c r="AT3500" s="95">
        <f>$AD3365*'Assumptions (O&amp;G Upstream)'!R$349</f>
        <v>0</v>
      </c>
      <c r="AU3500" s="95">
        <f>$AD3365*'Assumptions (O&amp;G Upstream)'!S$349</f>
        <v>0</v>
      </c>
      <c r="AV3500" s="95">
        <f>$AD3365*'Assumptions (O&amp;G Upstream)'!T$349</f>
        <v>0</v>
      </c>
      <c r="AW3500" s="95">
        <f>$AD3365*'Assumptions (O&amp;G Upstream)'!U$349</f>
        <v>0</v>
      </c>
      <c r="AX3500" s="95">
        <f>$AD3365*'Assumptions (O&amp;G Upstream)'!V$349</f>
        <v>0</v>
      </c>
    </row>
    <row r="3501" ht="15.75" hidden="1" customHeight="1" outlineLevel="1">
      <c r="A3501" s="389"/>
      <c r="B3501" s="24"/>
      <c r="C3501" s="78"/>
      <c r="D3501" s="78"/>
      <c r="E3501" s="78"/>
      <c r="F3501" s="78"/>
      <c r="G3501" s="78"/>
      <c r="H3501" s="78"/>
      <c r="I3501" s="78"/>
      <c r="J3501" s="78"/>
      <c r="K3501" s="78"/>
      <c r="L3501" s="78"/>
      <c r="M3501" s="78"/>
      <c r="N3501" s="78"/>
      <c r="O3501" s="78"/>
      <c r="P3501" s="78"/>
      <c r="Q3501" s="78"/>
      <c r="R3501" s="78"/>
      <c r="S3501" s="78"/>
      <c r="T3501" s="78"/>
      <c r="U3501" s="78"/>
      <c r="V3501" s="78"/>
      <c r="W3501" s="139"/>
      <c r="AE3501" s="95">
        <f>$AE3365*'Assumptions (O&amp;G Upstream)'!B$349</f>
        <v>38.46511164</v>
      </c>
      <c r="AF3501" s="95">
        <f>$AE3365*'Assumptions (O&amp;G Upstream)'!C$349</f>
        <v>65.9209646</v>
      </c>
      <c r="AG3501" s="95">
        <f>$AE3365*'Assumptions (O&amp;G Upstream)'!D$349</f>
        <v>47.07871257</v>
      </c>
      <c r="AH3501" s="95">
        <f>$AE3365*'Assumptions (O&amp;G Upstream)'!E$349</f>
        <v>33.61996112</v>
      </c>
      <c r="AI3501" s="95">
        <f>$AE3365*'Assumptions (O&amp;G Upstream)'!F$349</f>
        <v>24.03733009</v>
      </c>
      <c r="AJ3501" s="95">
        <f>$AE3365*'Assumptions (O&amp;G Upstream)'!G$349</f>
        <v>24.01041259</v>
      </c>
      <c r="AK3501" s="95">
        <f>$AE3365*'Assumptions (O&amp;G Upstream)'!H$349</f>
        <v>24.03733009</v>
      </c>
      <c r="AL3501" s="95">
        <f>$AE3365*'Assumptions (O&amp;G Upstream)'!I$349</f>
        <v>12.00520629</v>
      </c>
      <c r="AM3501" s="95">
        <f>$AE3365*'Assumptions (O&amp;G Upstream)'!J$349</f>
        <v>0</v>
      </c>
      <c r="AN3501" s="95">
        <f>$AE3365*'Assumptions (O&amp;G Upstream)'!K$349</f>
        <v>0</v>
      </c>
      <c r="AO3501" s="95">
        <f>$AE3365*'Assumptions (O&amp;G Upstream)'!L$349</f>
        <v>0</v>
      </c>
      <c r="AP3501" s="95">
        <f>$AE3365*'Assumptions (O&amp;G Upstream)'!M$349</f>
        <v>0</v>
      </c>
      <c r="AQ3501" s="95">
        <f>$AE3365*'Assumptions (O&amp;G Upstream)'!N$349</f>
        <v>0</v>
      </c>
      <c r="AR3501" s="95">
        <f>$AE3365*'Assumptions (O&amp;G Upstream)'!O$349</f>
        <v>0</v>
      </c>
      <c r="AS3501" s="95">
        <f>$AE3365*'Assumptions (O&amp;G Upstream)'!P$349</f>
        <v>0</v>
      </c>
      <c r="AT3501" s="95">
        <f>$AE3365*'Assumptions (O&amp;G Upstream)'!Q$349</f>
        <v>0</v>
      </c>
      <c r="AU3501" s="95">
        <f>$AE3365*'Assumptions (O&amp;G Upstream)'!R$349</f>
        <v>0</v>
      </c>
      <c r="AV3501" s="95">
        <f>$AE3365*'Assumptions (O&amp;G Upstream)'!S$349</f>
        <v>0</v>
      </c>
      <c r="AW3501" s="95">
        <f>$AE3365*'Assumptions (O&amp;G Upstream)'!T$349</f>
        <v>0</v>
      </c>
      <c r="AX3501" s="95">
        <f>$AE3365*'Assumptions (O&amp;G Upstream)'!U$349</f>
        <v>0</v>
      </c>
      <c r="AY3501" s="95">
        <f>$AE3365*'Assumptions (O&amp;G Upstream)'!V$349</f>
        <v>0</v>
      </c>
    </row>
    <row r="3502" ht="15.75" hidden="1" customHeight="1" outlineLevel="1">
      <c r="A3502" s="389"/>
      <c r="B3502" s="24"/>
      <c r="C3502" s="78"/>
      <c r="D3502" s="78"/>
      <c r="E3502" s="78"/>
      <c r="F3502" s="78"/>
      <c r="G3502" s="78"/>
      <c r="H3502" s="78"/>
      <c r="I3502" s="78"/>
      <c r="J3502" s="78"/>
      <c r="K3502" s="78"/>
      <c r="L3502" s="78"/>
      <c r="M3502" s="78"/>
      <c r="N3502" s="78"/>
      <c r="O3502" s="78"/>
      <c r="P3502" s="78"/>
      <c r="Q3502" s="78"/>
      <c r="R3502" s="78"/>
      <c r="S3502" s="78"/>
      <c r="T3502" s="78"/>
      <c r="U3502" s="78"/>
      <c r="V3502" s="78"/>
      <c r="W3502" s="139"/>
      <c r="AF3502" s="95">
        <f>$AF3365*'Assumptions (O&amp;G Upstream)'!B$349</f>
        <v>39.59323684</v>
      </c>
      <c r="AG3502" s="95">
        <f>$AF3365*'Assumptions (O&amp;G Upstream)'!C$349</f>
        <v>67.85432961</v>
      </c>
      <c r="AH3502" s="95">
        <f>$AF3365*'Assumptions (O&amp;G Upstream)'!D$349</f>
        <v>48.45946202</v>
      </c>
      <c r="AI3502" s="95">
        <f>$AF3365*'Assumptions (O&amp;G Upstream)'!E$349</f>
        <v>34.60598517</v>
      </c>
      <c r="AJ3502" s="95">
        <f>$AF3365*'Assumptions (O&amp;G Upstream)'!F$349</f>
        <v>24.74230965</v>
      </c>
      <c r="AK3502" s="95">
        <f>$AF3365*'Assumptions (O&amp;G Upstream)'!G$349</f>
        <v>24.7146027</v>
      </c>
      <c r="AL3502" s="95">
        <f>$AF3365*'Assumptions (O&amp;G Upstream)'!H$349</f>
        <v>24.74230965</v>
      </c>
      <c r="AM3502" s="95">
        <f>$AF3365*'Assumptions (O&amp;G Upstream)'!I$349</f>
        <v>12.35730135</v>
      </c>
      <c r="AN3502" s="95">
        <f>$AF3365*'Assumptions (O&amp;G Upstream)'!J$349</f>
        <v>0</v>
      </c>
      <c r="AO3502" s="95">
        <f>$AF3365*'Assumptions (O&amp;G Upstream)'!K$349</f>
        <v>0</v>
      </c>
      <c r="AP3502" s="95">
        <f>$AF3365*'Assumptions (O&amp;G Upstream)'!L$349</f>
        <v>0</v>
      </c>
      <c r="AQ3502" s="95">
        <f>$AF3365*'Assumptions (O&amp;G Upstream)'!M$349</f>
        <v>0</v>
      </c>
      <c r="AR3502" s="95">
        <f>$AF3365*'Assumptions (O&amp;G Upstream)'!N$349</f>
        <v>0</v>
      </c>
      <c r="AS3502" s="95">
        <f>$AF3365*'Assumptions (O&amp;G Upstream)'!O$349</f>
        <v>0</v>
      </c>
      <c r="AT3502" s="95">
        <f>$AF3365*'Assumptions (O&amp;G Upstream)'!P$349</f>
        <v>0</v>
      </c>
      <c r="AU3502" s="95">
        <f>$AF3365*'Assumptions (O&amp;G Upstream)'!Q$349</f>
        <v>0</v>
      </c>
      <c r="AV3502" s="95">
        <f>$AF3365*'Assumptions (O&amp;G Upstream)'!R$349</f>
        <v>0</v>
      </c>
      <c r="AW3502" s="95">
        <f>$AF3365*'Assumptions (O&amp;G Upstream)'!S$349</f>
        <v>0</v>
      </c>
      <c r="AX3502" s="95">
        <f>$AF3365*'Assumptions (O&amp;G Upstream)'!T$349</f>
        <v>0</v>
      </c>
      <c r="AY3502" s="95">
        <f>$AF3365*'Assumptions (O&amp;G Upstream)'!U$349</f>
        <v>0</v>
      </c>
      <c r="AZ3502" s="95">
        <f>$AF3365*'Assumptions (O&amp;G Upstream)'!V$349</f>
        <v>0</v>
      </c>
    </row>
    <row r="3503" ht="15.75" hidden="1" customHeight="1" outlineLevel="1">
      <c r="A3503" s="389"/>
      <c r="B3503" s="24"/>
      <c r="C3503" s="78"/>
      <c r="D3503" s="78"/>
      <c r="E3503" s="78"/>
      <c r="F3503" s="78"/>
      <c r="G3503" s="78"/>
      <c r="H3503" s="78"/>
      <c r="I3503" s="78"/>
      <c r="J3503" s="78"/>
      <c r="K3503" s="78"/>
      <c r="L3503" s="78"/>
      <c r="M3503" s="78"/>
      <c r="N3503" s="78"/>
      <c r="O3503" s="78"/>
      <c r="P3503" s="78"/>
      <c r="Q3503" s="78"/>
      <c r="R3503" s="78"/>
      <c r="S3503" s="78"/>
      <c r="T3503" s="78"/>
      <c r="U3503" s="78"/>
      <c r="V3503" s="78"/>
      <c r="W3503" s="139"/>
      <c r="AG3503" s="95">
        <f>$AG3365*'Assumptions (O&amp;G Upstream)'!B$349</f>
        <v>40.54988244</v>
      </c>
      <c r="AH3503" s="95">
        <f>$AG3365*'Assumptions (O&amp;G Upstream)'!C$349</f>
        <v>69.49381533</v>
      </c>
      <c r="AI3503" s="95">
        <f>$AG3365*'Assumptions (O&amp;G Upstream)'!D$349</f>
        <v>49.63033198</v>
      </c>
      <c r="AJ3503" s="95">
        <f>$AG3365*'Assumptions (O&amp;G Upstream)'!E$349</f>
        <v>35.44212958</v>
      </c>
      <c r="AK3503" s="95">
        <f>$AG3365*'Assumptions (O&amp;G Upstream)'!F$349</f>
        <v>25.34012948</v>
      </c>
      <c r="AL3503" s="95">
        <f>$AG3365*'Assumptions (O&amp;G Upstream)'!G$349</f>
        <v>25.31175307</v>
      </c>
      <c r="AM3503" s="95">
        <f>$AG3365*'Assumptions (O&amp;G Upstream)'!H$349</f>
        <v>25.34012948</v>
      </c>
      <c r="AN3503" s="95">
        <f>$AG3365*'Assumptions (O&amp;G Upstream)'!I$349</f>
        <v>12.65587654</v>
      </c>
      <c r="AO3503" s="95">
        <f>$AG3365*'Assumptions (O&amp;G Upstream)'!J$349</f>
        <v>0</v>
      </c>
      <c r="AP3503" s="95">
        <f>$AG3365*'Assumptions (O&amp;G Upstream)'!K$349</f>
        <v>0</v>
      </c>
      <c r="AQ3503" s="95">
        <f>$AG3365*'Assumptions (O&amp;G Upstream)'!L$349</f>
        <v>0</v>
      </c>
      <c r="AR3503" s="95">
        <f>$AG3365*'Assumptions (O&amp;G Upstream)'!M$349</f>
        <v>0</v>
      </c>
      <c r="AS3503" s="95">
        <f>$AG3365*'Assumptions (O&amp;G Upstream)'!N$349</f>
        <v>0</v>
      </c>
      <c r="AT3503" s="95">
        <f>$AG3365*'Assumptions (O&amp;G Upstream)'!O$349</f>
        <v>0</v>
      </c>
      <c r="AU3503" s="95">
        <f>$AG3365*'Assumptions (O&amp;G Upstream)'!P$349</f>
        <v>0</v>
      </c>
      <c r="AV3503" s="95">
        <f>$AG3365*'Assumptions (O&amp;G Upstream)'!Q$349</f>
        <v>0</v>
      </c>
      <c r="AW3503" s="95">
        <f>$AG3365*'Assumptions (O&amp;G Upstream)'!R$349</f>
        <v>0</v>
      </c>
      <c r="AX3503" s="95">
        <f>$AG3365*'Assumptions (O&amp;G Upstream)'!S$349</f>
        <v>0</v>
      </c>
      <c r="AY3503" s="95">
        <f>$AG3365*'Assumptions (O&amp;G Upstream)'!T$349</f>
        <v>0</v>
      </c>
      <c r="AZ3503" s="95">
        <f>$AG3365*'Assumptions (O&amp;G Upstream)'!U$349</f>
        <v>0</v>
      </c>
      <c r="BA3503" s="95">
        <f>$AG3365*'Assumptions (O&amp;G Upstream)'!V$349</f>
        <v>0</v>
      </c>
    </row>
    <row r="3504" ht="15.75" hidden="1" customHeight="1" outlineLevel="1">
      <c r="A3504" s="389"/>
      <c r="B3504" s="24"/>
      <c r="C3504" s="78"/>
      <c r="D3504" s="78"/>
      <c r="E3504" s="78"/>
      <c r="F3504" s="78"/>
      <c r="G3504" s="78"/>
      <c r="H3504" s="78"/>
      <c r="I3504" s="78"/>
      <c r="J3504" s="78"/>
      <c r="K3504" s="78"/>
      <c r="L3504" s="78"/>
      <c r="M3504" s="78"/>
      <c r="N3504" s="78"/>
      <c r="O3504" s="78"/>
      <c r="P3504" s="78"/>
      <c r="Q3504" s="78"/>
      <c r="R3504" s="78"/>
      <c r="S3504" s="78"/>
      <c r="T3504" s="78"/>
      <c r="U3504" s="78"/>
      <c r="V3504" s="78"/>
      <c r="W3504" s="139"/>
      <c r="AH3504" s="95">
        <f>$AH3365*'Assumptions (O&amp;G Upstream)'!B$349</f>
        <v>41.60494577</v>
      </c>
      <c r="AI3504" s="95">
        <f>$AH3365*'Assumptions (O&amp;G Upstream)'!C$349</f>
        <v>71.30196794</v>
      </c>
      <c r="AJ3504" s="95">
        <f>$AH3365*'Assumptions (O&amp;G Upstream)'!D$349</f>
        <v>50.92165861</v>
      </c>
      <c r="AK3504" s="95">
        <f>$AH3365*'Assumptions (O&amp;G Upstream)'!E$349</f>
        <v>36.3642948</v>
      </c>
      <c r="AL3504" s="95">
        <f>$AH3365*'Assumptions (O&amp;G Upstream)'!F$349</f>
        <v>25.99945177</v>
      </c>
      <c r="AM3504" s="95">
        <f>$AH3365*'Assumptions (O&amp;G Upstream)'!G$349</f>
        <v>25.97033704</v>
      </c>
      <c r="AN3504" s="95">
        <f>$AH3365*'Assumptions (O&amp;G Upstream)'!H$349</f>
        <v>25.99945177</v>
      </c>
      <c r="AO3504" s="95">
        <f>$AH3365*'Assumptions (O&amp;G Upstream)'!I$349</f>
        <v>12.98516852</v>
      </c>
      <c r="AP3504" s="95">
        <f>$AH3365*'Assumptions (O&amp;G Upstream)'!J$349</f>
        <v>0</v>
      </c>
      <c r="AQ3504" s="95">
        <f>$AH3365*'Assumptions (O&amp;G Upstream)'!K$349</f>
        <v>0</v>
      </c>
      <c r="AR3504" s="95">
        <f>$AH3365*'Assumptions (O&amp;G Upstream)'!L$349</f>
        <v>0</v>
      </c>
      <c r="AS3504" s="95">
        <f>$AH3365*'Assumptions (O&amp;G Upstream)'!M$349</f>
        <v>0</v>
      </c>
      <c r="AT3504" s="95">
        <f>$AH3365*'Assumptions (O&amp;G Upstream)'!N$349</f>
        <v>0</v>
      </c>
      <c r="AU3504" s="95">
        <f>$AH3365*'Assumptions (O&amp;G Upstream)'!O$349</f>
        <v>0</v>
      </c>
      <c r="AV3504" s="95">
        <f>$AH3365*'Assumptions (O&amp;G Upstream)'!P$349</f>
        <v>0</v>
      </c>
      <c r="AW3504" s="95">
        <f>$AH3365*'Assumptions (O&amp;G Upstream)'!Q$349</f>
        <v>0</v>
      </c>
      <c r="AX3504" s="95">
        <f>$AH3365*'Assumptions (O&amp;G Upstream)'!R$349</f>
        <v>0</v>
      </c>
      <c r="AY3504" s="95">
        <f>$AH3365*'Assumptions (O&amp;G Upstream)'!S$349</f>
        <v>0</v>
      </c>
      <c r="AZ3504" s="95">
        <f>$AH3365*'Assumptions (O&amp;G Upstream)'!T$349</f>
        <v>0</v>
      </c>
      <c r="BA3504" s="95">
        <f>$AH3365*'Assumptions (O&amp;G Upstream)'!U$349</f>
        <v>0</v>
      </c>
      <c r="BB3504" s="95">
        <f>$AH3365*'Assumptions (O&amp;G Upstream)'!V$349</f>
        <v>0</v>
      </c>
    </row>
    <row r="3505" ht="15.75" hidden="1" customHeight="1" outlineLevel="1">
      <c r="A3505" s="389"/>
      <c r="B3505" s="24"/>
      <c r="C3505" s="78"/>
      <c r="D3505" s="78"/>
      <c r="E3505" s="78"/>
      <c r="F3505" s="78"/>
      <c r="G3505" s="78"/>
      <c r="H3505" s="78"/>
      <c r="I3505" s="78"/>
      <c r="J3505" s="78"/>
      <c r="K3505" s="78"/>
      <c r="L3505" s="78"/>
      <c r="M3505" s="78"/>
      <c r="N3505" s="78"/>
      <c r="O3505" s="78"/>
      <c r="P3505" s="78"/>
      <c r="Q3505" s="78"/>
      <c r="R3505" s="78"/>
      <c r="S3505" s="78"/>
      <c r="T3505" s="78"/>
      <c r="U3505" s="78"/>
      <c r="V3505" s="78"/>
      <c r="W3505" s="139"/>
      <c r="AI3505" s="95">
        <f>$AI3365*'Assumptions (O&amp;G Upstream)'!B$349</f>
        <v>42.30674749</v>
      </c>
      <c r="AJ3505" s="95">
        <f>$AI3365*'Assumptions (O&amp;G Upstream)'!C$349</f>
        <v>72.5047058</v>
      </c>
      <c r="AK3505" s="95">
        <f>$AI3365*'Assumptions (O&amp;G Upstream)'!D$349</f>
        <v>51.78061676</v>
      </c>
      <c r="AL3505" s="95">
        <f>$AI3365*'Assumptions (O&amp;G Upstream)'!E$349</f>
        <v>36.97769602</v>
      </c>
      <c r="AM3505" s="95">
        <f>$AI3365*'Assumptions (O&amp;G Upstream)'!F$349</f>
        <v>26.43801645</v>
      </c>
      <c r="AN3505" s="95">
        <f>$AI3365*'Assumptions (O&amp;G Upstream)'!G$349</f>
        <v>26.40841061</v>
      </c>
      <c r="AO3505" s="95">
        <f>$AI3365*'Assumptions (O&amp;G Upstream)'!H$349</f>
        <v>26.43801645</v>
      </c>
      <c r="AP3505" s="95">
        <f>$AI3365*'Assumptions (O&amp;G Upstream)'!I$349</f>
        <v>13.2042053</v>
      </c>
      <c r="AQ3505" s="95">
        <f>$AI3365*'Assumptions (O&amp;G Upstream)'!J$349</f>
        <v>0</v>
      </c>
      <c r="AR3505" s="95">
        <f>$AI3365*'Assumptions (O&amp;G Upstream)'!K$349</f>
        <v>0</v>
      </c>
      <c r="AS3505" s="95">
        <f>$AI3365*'Assumptions (O&amp;G Upstream)'!L$349</f>
        <v>0</v>
      </c>
      <c r="AT3505" s="95">
        <f>$AI3365*'Assumptions (O&amp;G Upstream)'!M$349</f>
        <v>0</v>
      </c>
      <c r="AU3505" s="95">
        <f>$AI3365*'Assumptions (O&amp;G Upstream)'!N$349</f>
        <v>0</v>
      </c>
      <c r="AV3505" s="95">
        <f>$AI3365*'Assumptions (O&amp;G Upstream)'!O$349</f>
        <v>0</v>
      </c>
      <c r="AW3505" s="95">
        <f>$AI3365*'Assumptions (O&amp;G Upstream)'!P$349</f>
        <v>0</v>
      </c>
      <c r="AX3505" s="95">
        <f>$AI3365*'Assumptions (O&amp;G Upstream)'!Q$349</f>
        <v>0</v>
      </c>
      <c r="AY3505" s="95">
        <f>$AI3365*'Assumptions (O&amp;G Upstream)'!R$349</f>
        <v>0</v>
      </c>
      <c r="AZ3505" s="95">
        <f>$AI3365*'Assumptions (O&amp;G Upstream)'!S$349</f>
        <v>0</v>
      </c>
      <c r="BA3505" s="95">
        <f>$AI3365*'Assumptions (O&amp;G Upstream)'!T$349</f>
        <v>0</v>
      </c>
      <c r="BB3505" s="95">
        <f>$AI3365*'Assumptions (O&amp;G Upstream)'!U$349</f>
        <v>0</v>
      </c>
      <c r="BC3505" s="95">
        <f>$AI3365*'Assumptions (O&amp;G Upstream)'!V$349</f>
        <v>0</v>
      </c>
    </row>
    <row r="3506" ht="15.75" hidden="1" customHeight="1" outlineLevel="1">
      <c r="A3506" s="389"/>
      <c r="B3506" s="24"/>
      <c r="C3506" s="78"/>
      <c r="D3506" s="78"/>
      <c r="E3506" s="78"/>
      <c r="F3506" s="78"/>
      <c r="G3506" s="78"/>
      <c r="H3506" s="78"/>
      <c r="I3506" s="78"/>
      <c r="J3506" s="78"/>
      <c r="K3506" s="78"/>
      <c r="L3506" s="78"/>
      <c r="M3506" s="78"/>
      <c r="N3506" s="78"/>
      <c r="O3506" s="78"/>
      <c r="P3506" s="78"/>
      <c r="Q3506" s="78"/>
      <c r="R3506" s="78"/>
      <c r="S3506" s="78"/>
      <c r="T3506" s="78"/>
      <c r="U3506" s="78"/>
      <c r="V3506" s="78"/>
      <c r="W3506" s="139"/>
      <c r="AJ3506" s="95">
        <f>$AJ3365*'Assumptions (O&amp;G Upstream)'!B$349</f>
        <v>43.38432364</v>
      </c>
      <c r="AK3506" s="95">
        <f>$AJ3365*'Assumptions (O&amp;G Upstream)'!C$349</f>
        <v>74.35144058</v>
      </c>
      <c r="AL3506" s="95">
        <f>$AJ3365*'Assumptions (O&amp;G Upstream)'!D$349</f>
        <v>53.09949758</v>
      </c>
      <c r="AM3506" s="95">
        <f>$AJ3365*'Assumptions (O&amp;G Upstream)'!E$349</f>
        <v>37.9195383</v>
      </c>
      <c r="AN3506" s="95">
        <f>$AJ3365*'Assumptions (O&amp;G Upstream)'!F$349</f>
        <v>27.11140728</v>
      </c>
      <c r="AO3506" s="95">
        <f>$AJ3365*'Assumptions (O&amp;G Upstream)'!G$349</f>
        <v>27.08104737</v>
      </c>
      <c r="AP3506" s="95">
        <f>$AJ3365*'Assumptions (O&amp;G Upstream)'!H$349</f>
        <v>27.11140728</v>
      </c>
      <c r="AQ3506" s="95">
        <f>$AJ3365*'Assumptions (O&amp;G Upstream)'!I$349</f>
        <v>13.54052368</v>
      </c>
      <c r="AR3506" s="95">
        <f>$AJ3365*'Assumptions (O&amp;G Upstream)'!J$349</f>
        <v>0</v>
      </c>
      <c r="AS3506" s="95">
        <f>$AJ3365*'Assumptions (O&amp;G Upstream)'!K$349</f>
        <v>0</v>
      </c>
      <c r="AT3506" s="95">
        <f>$AJ3365*'Assumptions (O&amp;G Upstream)'!L$349</f>
        <v>0</v>
      </c>
      <c r="AU3506" s="95">
        <f>$AJ3365*'Assumptions (O&amp;G Upstream)'!M$349</f>
        <v>0</v>
      </c>
      <c r="AV3506" s="95">
        <f>$AJ3365*'Assumptions (O&amp;G Upstream)'!N$349</f>
        <v>0</v>
      </c>
      <c r="AW3506" s="95">
        <f>$AJ3365*'Assumptions (O&amp;G Upstream)'!O$349</f>
        <v>0</v>
      </c>
      <c r="AX3506" s="95">
        <f>$AJ3365*'Assumptions (O&amp;G Upstream)'!P$349</f>
        <v>0</v>
      </c>
      <c r="AY3506" s="95">
        <f>$AJ3365*'Assumptions (O&amp;G Upstream)'!Q$349</f>
        <v>0</v>
      </c>
      <c r="AZ3506" s="95">
        <f>$AJ3365*'Assumptions (O&amp;G Upstream)'!R$349</f>
        <v>0</v>
      </c>
      <c r="BA3506" s="95">
        <f>$AJ3365*'Assumptions (O&amp;G Upstream)'!S$349</f>
        <v>0</v>
      </c>
      <c r="BB3506" s="95">
        <f>$AJ3365*'Assumptions (O&amp;G Upstream)'!T$349</f>
        <v>0</v>
      </c>
      <c r="BC3506" s="95">
        <f>$AJ3365*'Assumptions (O&amp;G Upstream)'!U$349</f>
        <v>0</v>
      </c>
      <c r="BD3506" s="95">
        <f>$AJ3365*'Assumptions (O&amp;G Upstream)'!V$349</f>
        <v>0</v>
      </c>
    </row>
    <row r="3507" ht="15.75" hidden="1" customHeight="1" outlineLevel="1">
      <c r="A3507" s="389"/>
      <c r="B3507" s="24"/>
      <c r="C3507" s="78"/>
      <c r="D3507" s="78"/>
      <c r="E3507" s="78"/>
      <c r="F3507" s="78"/>
      <c r="G3507" s="78"/>
      <c r="H3507" s="78"/>
      <c r="I3507" s="78"/>
      <c r="J3507" s="78"/>
      <c r="K3507" s="78"/>
      <c r="L3507" s="78"/>
      <c r="M3507" s="78"/>
      <c r="N3507" s="78"/>
      <c r="O3507" s="78"/>
      <c r="P3507" s="78"/>
      <c r="Q3507" s="78"/>
      <c r="R3507" s="78"/>
      <c r="S3507" s="78"/>
      <c r="T3507" s="78"/>
      <c r="U3507" s="78"/>
      <c r="V3507" s="78"/>
      <c r="W3507" s="139"/>
      <c r="AK3507" s="95">
        <f>$AK3365*'Assumptions (O&amp;G Upstream)'!B$349</f>
        <v>44.02776</v>
      </c>
      <c r="AL3507" s="95">
        <f>$AK3365*'Assumptions (O&amp;G Upstream)'!C$349</f>
        <v>75.45415272</v>
      </c>
      <c r="AM3507" s="95">
        <f>$AK3365*'Assumptions (O&amp;G Upstream)'!D$349</f>
        <v>53.88702046</v>
      </c>
      <c r="AN3507" s="95">
        <f>$AK3365*'Assumptions (O&amp;G Upstream)'!E$349</f>
        <v>38.48192599</v>
      </c>
      <c r="AO3507" s="95">
        <f>$AK3365*'Assumptions (O&amp;G Upstream)'!F$349</f>
        <v>27.51349872</v>
      </c>
      <c r="AP3507" s="95">
        <f>$AK3365*'Assumptions (O&amp;G Upstream)'!G$349</f>
        <v>27.48268853</v>
      </c>
      <c r="AQ3507" s="95">
        <f>$AK3365*'Assumptions (O&amp;G Upstream)'!H$349</f>
        <v>27.51349872</v>
      </c>
      <c r="AR3507" s="95">
        <f>$AK3365*'Assumptions (O&amp;G Upstream)'!I$349</f>
        <v>13.74134427</v>
      </c>
      <c r="AS3507" s="95">
        <f>$AK3365*'Assumptions (O&amp;G Upstream)'!J$349</f>
        <v>0</v>
      </c>
      <c r="AT3507" s="95">
        <f>$AK3365*'Assumptions (O&amp;G Upstream)'!K$349</f>
        <v>0</v>
      </c>
      <c r="AU3507" s="95">
        <f>$AK3365*'Assumptions (O&amp;G Upstream)'!L$349</f>
        <v>0</v>
      </c>
      <c r="AV3507" s="95">
        <f>$AK3365*'Assumptions (O&amp;G Upstream)'!M$349</f>
        <v>0</v>
      </c>
      <c r="AW3507" s="95">
        <f>$AK3365*'Assumptions (O&amp;G Upstream)'!N$349</f>
        <v>0</v>
      </c>
      <c r="AX3507" s="95">
        <f>$AK3365*'Assumptions (O&amp;G Upstream)'!O$349</f>
        <v>0</v>
      </c>
      <c r="AY3507" s="95">
        <f>$AK3365*'Assumptions (O&amp;G Upstream)'!P$349</f>
        <v>0</v>
      </c>
      <c r="AZ3507" s="95">
        <f>$AK3365*'Assumptions (O&amp;G Upstream)'!Q$349</f>
        <v>0</v>
      </c>
      <c r="BA3507" s="95">
        <f>$AK3365*'Assumptions (O&amp;G Upstream)'!R$349</f>
        <v>0</v>
      </c>
      <c r="BB3507" s="95">
        <f>$AK3365*'Assumptions (O&amp;G Upstream)'!S$349</f>
        <v>0</v>
      </c>
      <c r="BC3507" s="95">
        <f>$AK3365*'Assumptions (O&amp;G Upstream)'!T$349</f>
        <v>0</v>
      </c>
      <c r="BD3507" s="95">
        <f>$AK3365*'Assumptions (O&amp;G Upstream)'!U$349</f>
        <v>0</v>
      </c>
      <c r="BE3507" s="95">
        <f>$AK3365*'Assumptions (O&amp;G Upstream)'!V$349</f>
        <v>0</v>
      </c>
    </row>
    <row r="3508" ht="15.75" hidden="1" customHeight="1" outlineLevel="1">
      <c r="A3508" s="389"/>
      <c r="B3508" s="24"/>
      <c r="C3508" s="78"/>
      <c r="D3508" s="78"/>
      <c r="E3508" s="78"/>
      <c r="F3508" s="78"/>
      <c r="G3508" s="78"/>
      <c r="H3508" s="78"/>
      <c r="I3508" s="78"/>
      <c r="J3508" s="78"/>
      <c r="K3508" s="78"/>
      <c r="L3508" s="78"/>
      <c r="M3508" s="78"/>
      <c r="N3508" s="78"/>
      <c r="O3508" s="78"/>
      <c r="P3508" s="78"/>
      <c r="Q3508" s="78"/>
      <c r="R3508" s="78"/>
      <c r="S3508" s="78"/>
      <c r="T3508" s="78"/>
      <c r="U3508" s="78"/>
      <c r="V3508" s="78"/>
      <c r="W3508" s="139"/>
      <c r="AL3508" s="95">
        <f>$AL3365*'Assumptions (O&amp;G Upstream)'!B$349</f>
        <v>44.81497957</v>
      </c>
      <c r="AM3508" s="95">
        <f>$AL3365*'Assumptions (O&amp;G Upstream)'!C$349</f>
        <v>76.8032785</v>
      </c>
      <c r="AN3508" s="95">
        <f>$AL3365*'Assumptions (O&amp;G Upstream)'!D$349</f>
        <v>54.85052433</v>
      </c>
      <c r="AO3508" s="95">
        <f>$AL3365*'Assumptions (O&amp;G Upstream)'!E$349</f>
        <v>39.16998564</v>
      </c>
      <c r="AP3508" s="95">
        <f>$AL3365*'Assumptions (O&amp;G Upstream)'!F$349</f>
        <v>28.0054421</v>
      </c>
      <c r="AQ3508" s="95">
        <f>$AL3365*'Assumptions (O&amp;G Upstream)'!G$349</f>
        <v>27.97408102</v>
      </c>
      <c r="AR3508" s="95">
        <f>$AL3365*'Assumptions (O&amp;G Upstream)'!H$349</f>
        <v>28.0054421</v>
      </c>
      <c r="AS3508" s="95">
        <f>$AL3365*'Assumptions (O&amp;G Upstream)'!I$349</f>
        <v>13.98704051</v>
      </c>
      <c r="AT3508" s="95">
        <f>$AL3365*'Assumptions (O&amp;G Upstream)'!J$349</f>
        <v>0</v>
      </c>
      <c r="AU3508" s="95">
        <f>$AL3365*'Assumptions (O&amp;G Upstream)'!K$349</f>
        <v>0</v>
      </c>
      <c r="AV3508" s="95">
        <f>$AL3365*'Assumptions (O&amp;G Upstream)'!L$349</f>
        <v>0</v>
      </c>
      <c r="AW3508" s="95">
        <f>$AL3365*'Assumptions (O&amp;G Upstream)'!M$349</f>
        <v>0</v>
      </c>
      <c r="AX3508" s="95">
        <f>$AL3365*'Assumptions (O&amp;G Upstream)'!N$349</f>
        <v>0</v>
      </c>
      <c r="AY3508" s="95">
        <f>$AL3365*'Assumptions (O&amp;G Upstream)'!O$349</f>
        <v>0</v>
      </c>
      <c r="AZ3508" s="95">
        <f>$AL3365*'Assumptions (O&amp;G Upstream)'!P$349</f>
        <v>0</v>
      </c>
      <c r="BA3508" s="95">
        <f>$AL3365*'Assumptions (O&amp;G Upstream)'!Q$349</f>
        <v>0</v>
      </c>
      <c r="BB3508" s="95">
        <f>$AL3365*'Assumptions (O&amp;G Upstream)'!R$349</f>
        <v>0</v>
      </c>
      <c r="BC3508" s="95">
        <f>$AL3365*'Assumptions (O&amp;G Upstream)'!S$349</f>
        <v>0</v>
      </c>
      <c r="BD3508" s="95">
        <f>$AL3365*'Assumptions (O&amp;G Upstream)'!T$349</f>
        <v>0</v>
      </c>
      <c r="BE3508" s="95">
        <f>$AL3365*'Assumptions (O&amp;G Upstream)'!U$349</f>
        <v>0</v>
      </c>
      <c r="BF3508" s="95">
        <f>$AL3365*'Assumptions (O&amp;G Upstream)'!V$349</f>
        <v>0</v>
      </c>
    </row>
    <row r="3509" ht="15.75" hidden="1" customHeight="1" outlineLevel="1">
      <c r="A3509" s="389"/>
      <c r="B3509" s="24"/>
      <c r="C3509" s="78"/>
      <c r="D3509" s="78"/>
      <c r="E3509" s="78"/>
      <c r="F3509" s="78"/>
      <c r="G3509" s="78"/>
      <c r="H3509" s="78"/>
      <c r="I3509" s="78"/>
      <c r="J3509" s="78"/>
      <c r="K3509" s="78"/>
      <c r="L3509" s="78"/>
      <c r="M3509" s="78"/>
      <c r="N3509" s="78"/>
      <c r="O3509" s="78"/>
      <c r="P3509" s="78"/>
      <c r="Q3509" s="78"/>
      <c r="R3509" s="78"/>
      <c r="S3509" s="78"/>
      <c r="T3509" s="78"/>
      <c r="U3509" s="78"/>
      <c r="V3509" s="78"/>
      <c r="W3509" s="139"/>
      <c r="AM3509" s="95">
        <f>$AM3365*'Assumptions (O&amp;G Upstream)'!B$349</f>
        <v>45.68670959</v>
      </c>
      <c r="AN3509" s="95">
        <f>$AM3365*'Assumptions (O&amp;G Upstream)'!C$349</f>
        <v>78.29723708</v>
      </c>
      <c r="AO3509" s="95">
        <f>$AM3365*'Assumptions (O&amp;G Upstream)'!D$349</f>
        <v>55.91746331</v>
      </c>
      <c r="AP3509" s="95">
        <f>$AM3365*'Assumptions (O&amp;G Upstream)'!E$349</f>
        <v>39.93191062</v>
      </c>
      <c r="AQ3509" s="95">
        <f>$AM3365*'Assumptions (O&amp;G Upstream)'!F$349</f>
        <v>28.55019711</v>
      </c>
      <c r="AR3509" s="95">
        <f>$AM3365*'Assumptions (O&amp;G Upstream)'!G$349</f>
        <v>28.518226</v>
      </c>
      <c r="AS3509" s="95">
        <f>$AM3365*'Assumptions (O&amp;G Upstream)'!H$349</f>
        <v>28.55019711</v>
      </c>
      <c r="AT3509" s="95">
        <f>$AM3365*'Assumptions (O&amp;G Upstream)'!I$349</f>
        <v>14.259113</v>
      </c>
      <c r="AU3509" s="95">
        <f>$AM3365*'Assumptions (O&amp;G Upstream)'!J$349</f>
        <v>0</v>
      </c>
      <c r="AV3509" s="95">
        <f>$AM3365*'Assumptions (O&amp;G Upstream)'!K$349</f>
        <v>0</v>
      </c>
      <c r="AW3509" s="95">
        <f>$AM3365*'Assumptions (O&amp;G Upstream)'!L$349</f>
        <v>0</v>
      </c>
      <c r="AX3509" s="95">
        <f>$AM3365*'Assumptions (O&amp;G Upstream)'!M$349</f>
        <v>0</v>
      </c>
      <c r="AY3509" s="95">
        <f>$AM3365*'Assumptions (O&amp;G Upstream)'!N$349</f>
        <v>0</v>
      </c>
      <c r="AZ3509" s="95">
        <f>$AM3365*'Assumptions (O&amp;G Upstream)'!O$349</f>
        <v>0</v>
      </c>
      <c r="BA3509" s="95">
        <f>$AM3365*'Assumptions (O&amp;G Upstream)'!P$349</f>
        <v>0</v>
      </c>
      <c r="BB3509" s="95">
        <f>$AM3365*'Assumptions (O&amp;G Upstream)'!Q$349</f>
        <v>0</v>
      </c>
      <c r="BC3509" s="95">
        <f>$AM3365*'Assumptions (O&amp;G Upstream)'!R$349</f>
        <v>0</v>
      </c>
      <c r="BD3509" s="95">
        <f>$AM3365*'Assumptions (O&amp;G Upstream)'!S$349</f>
        <v>0</v>
      </c>
      <c r="BE3509" s="95">
        <f>$AM3365*'Assumptions (O&amp;G Upstream)'!T$349</f>
        <v>0</v>
      </c>
      <c r="BF3509" s="95">
        <f>$AM3365*'Assumptions (O&amp;G Upstream)'!U$349</f>
        <v>0</v>
      </c>
      <c r="BG3509" s="95">
        <f>$AM3365*'Assumptions (O&amp;G Upstream)'!V$349</f>
        <v>0</v>
      </c>
    </row>
    <row r="3510" ht="15.75" hidden="1" customHeight="1" outlineLevel="1">
      <c r="A3510" s="389"/>
      <c r="B3510" s="24"/>
      <c r="C3510" s="78"/>
      <c r="D3510" s="78"/>
      <c r="E3510" s="78"/>
      <c r="F3510" s="78"/>
      <c r="G3510" s="78"/>
      <c r="H3510" s="78"/>
      <c r="I3510" s="78"/>
      <c r="J3510" s="78"/>
      <c r="K3510" s="78"/>
      <c r="L3510" s="78"/>
      <c r="M3510" s="78"/>
      <c r="N3510" s="78"/>
      <c r="O3510" s="78"/>
      <c r="P3510" s="78"/>
      <c r="Q3510" s="78"/>
      <c r="R3510" s="78"/>
      <c r="S3510" s="78"/>
      <c r="T3510" s="78"/>
      <c r="U3510" s="78"/>
      <c r="V3510" s="78"/>
      <c r="W3510" s="139"/>
      <c r="AN3510" s="95">
        <f>$AN3365*'Assumptions (O&amp;G Upstream)'!B$349</f>
        <v>45.91352257</v>
      </c>
      <c r="AO3510" s="95">
        <f>$AN3365*'Assumptions (O&amp;G Upstream)'!C$349</f>
        <v>78.68594595</v>
      </c>
      <c r="AP3510" s="95">
        <f>$AN3365*'Assumptions (O&amp;G Upstream)'!D$349</f>
        <v>56.19506716</v>
      </c>
      <c r="AQ3510" s="95">
        <f>$AN3365*'Assumptions (O&amp;G Upstream)'!E$349</f>
        <v>40.13015373</v>
      </c>
      <c r="AR3510" s="95">
        <f>$AN3365*'Assumptions (O&amp;G Upstream)'!F$349</f>
        <v>28.69193538</v>
      </c>
      <c r="AS3510" s="95">
        <f>$AN3365*'Assumptions (O&amp;G Upstream)'!G$349</f>
        <v>28.65980555</v>
      </c>
      <c r="AT3510" s="95">
        <f>$AN3365*'Assumptions (O&amp;G Upstream)'!H$349</f>
        <v>28.69193538</v>
      </c>
      <c r="AU3510" s="95">
        <f>$AN3365*'Assumptions (O&amp;G Upstream)'!I$349</f>
        <v>14.32990277</v>
      </c>
      <c r="AV3510" s="95">
        <f>$AN3365*'Assumptions (O&amp;G Upstream)'!J$349</f>
        <v>0</v>
      </c>
      <c r="AW3510" s="95">
        <f>$AN3365*'Assumptions (O&amp;G Upstream)'!K$349</f>
        <v>0</v>
      </c>
      <c r="AX3510" s="95">
        <f>$AN3365*'Assumptions (O&amp;G Upstream)'!L$349</f>
        <v>0</v>
      </c>
      <c r="AY3510" s="95">
        <f>$AN3365*'Assumptions (O&amp;G Upstream)'!M$349</f>
        <v>0</v>
      </c>
      <c r="AZ3510" s="95">
        <f>$AN3365*'Assumptions (O&amp;G Upstream)'!N$349</f>
        <v>0</v>
      </c>
      <c r="BA3510" s="95">
        <f>$AN3365*'Assumptions (O&amp;G Upstream)'!O$349</f>
        <v>0</v>
      </c>
      <c r="BB3510" s="95">
        <f>$AN3365*'Assumptions (O&amp;G Upstream)'!P$349</f>
        <v>0</v>
      </c>
      <c r="BC3510" s="95">
        <f>$AN3365*'Assumptions (O&amp;G Upstream)'!Q$349</f>
        <v>0</v>
      </c>
      <c r="BD3510" s="95">
        <f>$AN3365*'Assumptions (O&amp;G Upstream)'!R$349</f>
        <v>0</v>
      </c>
      <c r="BE3510" s="95">
        <f>$AN3365*'Assumptions (O&amp;G Upstream)'!S$349</f>
        <v>0</v>
      </c>
      <c r="BF3510" s="95">
        <f>$AN3365*'Assumptions (O&amp;G Upstream)'!T$349</f>
        <v>0</v>
      </c>
      <c r="BG3510" s="95">
        <f>$AN3365*'Assumptions (O&amp;G Upstream)'!U$349</f>
        <v>0</v>
      </c>
      <c r="BH3510" s="95">
        <f>$AN3365*'Assumptions (O&amp;G Upstream)'!V$349</f>
        <v>0</v>
      </c>
    </row>
    <row r="3511" ht="15.75" hidden="1" customHeight="1" outlineLevel="1">
      <c r="A3511" s="389"/>
      <c r="B3511" s="24"/>
      <c r="C3511" s="78"/>
      <c r="D3511" s="78"/>
      <c r="E3511" s="78"/>
      <c r="F3511" s="78"/>
      <c r="G3511" s="78"/>
      <c r="H3511" s="78"/>
      <c r="I3511" s="78"/>
      <c r="J3511" s="78"/>
      <c r="K3511" s="78"/>
      <c r="L3511" s="78"/>
      <c r="M3511" s="78"/>
      <c r="N3511" s="78"/>
      <c r="O3511" s="78"/>
      <c r="P3511" s="78"/>
      <c r="Q3511" s="78"/>
      <c r="R3511" s="78"/>
      <c r="S3511" s="78"/>
      <c r="T3511" s="78"/>
      <c r="U3511" s="78"/>
      <c r="V3511" s="78"/>
      <c r="W3511" s="139"/>
      <c r="AO3511" s="95">
        <f>$AO3365*'Assumptions (O&amp;G Upstream)'!B$349</f>
        <v>46.69723147</v>
      </c>
      <c r="AP3511" s="95">
        <f>$AO3365*'Assumptions (O&amp;G Upstream)'!C$349</f>
        <v>80.02905519</v>
      </c>
      <c r="AQ3511" s="95">
        <f>$AO3365*'Assumptions (O&amp;G Upstream)'!D$349</f>
        <v>57.1542742</v>
      </c>
      <c r="AR3511" s="95">
        <f>$AO3365*'Assumptions (O&amp;G Upstream)'!E$349</f>
        <v>40.81514493</v>
      </c>
      <c r="AS3511" s="95">
        <f>$AO3365*'Assumptions (O&amp;G Upstream)'!F$349</f>
        <v>29.18168488</v>
      </c>
      <c r="AT3511" s="95">
        <f>$AO3365*'Assumptions (O&amp;G Upstream)'!G$349</f>
        <v>29.14900663</v>
      </c>
      <c r="AU3511" s="95">
        <f>$AO3365*'Assumptions (O&amp;G Upstream)'!H$349</f>
        <v>29.18168488</v>
      </c>
      <c r="AV3511" s="95">
        <f>$AO3365*'Assumptions (O&amp;G Upstream)'!I$349</f>
        <v>14.57450331</v>
      </c>
      <c r="AW3511" s="95">
        <f>$AO3365*'Assumptions (O&amp;G Upstream)'!J$349</f>
        <v>0</v>
      </c>
      <c r="AX3511" s="95">
        <f>$AO3365*'Assumptions (O&amp;G Upstream)'!K$349</f>
        <v>0</v>
      </c>
      <c r="AY3511" s="95">
        <f>$AO3365*'Assumptions (O&amp;G Upstream)'!L$349</f>
        <v>0</v>
      </c>
      <c r="AZ3511" s="95">
        <f>$AO3365*'Assumptions (O&amp;G Upstream)'!M$349</f>
        <v>0</v>
      </c>
      <c r="BA3511" s="95">
        <f>$AO3365*'Assumptions (O&amp;G Upstream)'!N$349</f>
        <v>0</v>
      </c>
      <c r="BB3511" s="95">
        <f>$AO3365*'Assumptions (O&amp;G Upstream)'!O$349</f>
        <v>0</v>
      </c>
      <c r="BC3511" s="95">
        <f>$AO3365*'Assumptions (O&amp;G Upstream)'!P$349</f>
        <v>0</v>
      </c>
      <c r="BD3511" s="95">
        <f>$AO3365*'Assumptions (O&amp;G Upstream)'!Q$349</f>
        <v>0</v>
      </c>
      <c r="BE3511" s="95">
        <f>$AO3365*'Assumptions (O&amp;G Upstream)'!R$349</f>
        <v>0</v>
      </c>
      <c r="BF3511" s="95">
        <f>$AO3365*'Assumptions (O&amp;G Upstream)'!S$349</f>
        <v>0</v>
      </c>
      <c r="BG3511" s="95">
        <f>$AO3365*'Assumptions (O&amp;G Upstream)'!T$349</f>
        <v>0</v>
      </c>
      <c r="BH3511" s="95">
        <f>$AO3365*'Assumptions (O&amp;G Upstream)'!U$349</f>
        <v>0</v>
      </c>
      <c r="BI3511" s="95">
        <f>$AO3365*'Assumptions (O&amp;G Upstream)'!V$349</f>
        <v>0</v>
      </c>
    </row>
    <row r="3512" ht="15.75" hidden="1" customHeight="1" outlineLevel="1">
      <c r="A3512" s="389"/>
      <c r="B3512" s="24"/>
      <c r="C3512" s="78"/>
      <c r="D3512" s="78"/>
      <c r="E3512" s="78"/>
      <c r="F3512" s="78"/>
      <c r="G3512" s="78"/>
      <c r="H3512" s="78"/>
      <c r="I3512" s="78"/>
      <c r="J3512" s="78"/>
      <c r="K3512" s="78"/>
      <c r="L3512" s="78"/>
      <c r="M3512" s="78"/>
      <c r="N3512" s="78"/>
      <c r="O3512" s="78"/>
      <c r="P3512" s="78"/>
      <c r="Q3512" s="78"/>
      <c r="R3512" s="78"/>
      <c r="S3512" s="78"/>
      <c r="T3512" s="78"/>
      <c r="U3512" s="78"/>
      <c r="V3512" s="78"/>
      <c r="W3512" s="139"/>
      <c r="AP3512" s="95">
        <f>$AP3365*'Assumptions (O&amp;G Upstream)'!B$349</f>
        <v>47.40800702</v>
      </c>
      <c r="AQ3512" s="95">
        <f>$AP3365*'Assumptions (O&amp;G Upstream)'!C$349</f>
        <v>81.24717229</v>
      </c>
      <c r="AR3512" s="95">
        <f>$AP3365*'Assumptions (O&amp;G Upstream)'!D$349</f>
        <v>58.02421573</v>
      </c>
      <c r="AS3512" s="95">
        <f>$AP3365*'Assumptions (O&amp;G Upstream)'!E$349</f>
        <v>41.43638962</v>
      </c>
      <c r="AT3512" s="95">
        <f>$AP3365*'Assumptions (O&amp;G Upstream)'!F$349</f>
        <v>29.62585743</v>
      </c>
      <c r="AU3512" s="95">
        <f>$AP3365*'Assumptions (O&amp;G Upstream)'!G$349</f>
        <v>29.59268178</v>
      </c>
      <c r="AV3512" s="95">
        <f>$AP3365*'Assumptions (O&amp;G Upstream)'!H$349</f>
        <v>29.62585743</v>
      </c>
      <c r="AW3512" s="95">
        <f>$AP3365*'Assumptions (O&amp;G Upstream)'!I$349</f>
        <v>14.79634089</v>
      </c>
      <c r="AX3512" s="95">
        <f>$AP3365*'Assumptions (O&amp;G Upstream)'!J$349</f>
        <v>0</v>
      </c>
      <c r="AY3512" s="95">
        <f>$AP3365*'Assumptions (O&amp;G Upstream)'!K$349</f>
        <v>0</v>
      </c>
      <c r="AZ3512" s="95">
        <f>$AP3365*'Assumptions (O&amp;G Upstream)'!L$349</f>
        <v>0</v>
      </c>
      <c r="BA3512" s="95">
        <f>$AP3365*'Assumptions (O&amp;G Upstream)'!M$349</f>
        <v>0</v>
      </c>
      <c r="BB3512" s="95">
        <f>$AP3365*'Assumptions (O&amp;G Upstream)'!N$349</f>
        <v>0</v>
      </c>
      <c r="BC3512" s="95">
        <f>$AP3365*'Assumptions (O&amp;G Upstream)'!O$349</f>
        <v>0</v>
      </c>
      <c r="BD3512" s="95">
        <f>$AP3365*'Assumptions (O&amp;G Upstream)'!P$349</f>
        <v>0</v>
      </c>
      <c r="BE3512" s="95">
        <f>$AP3365*'Assumptions (O&amp;G Upstream)'!Q$349</f>
        <v>0</v>
      </c>
      <c r="BF3512" s="95">
        <f>$AP3365*'Assumptions (O&amp;G Upstream)'!R$349</f>
        <v>0</v>
      </c>
      <c r="BG3512" s="95">
        <f>$AP3365*'Assumptions (O&amp;G Upstream)'!S$349</f>
        <v>0</v>
      </c>
      <c r="BH3512" s="95">
        <f>$AP3365*'Assumptions (O&amp;G Upstream)'!T$349</f>
        <v>0</v>
      </c>
      <c r="BI3512" s="95">
        <f>$AP3365*'Assumptions (O&amp;G Upstream)'!U$349</f>
        <v>0</v>
      </c>
      <c r="BJ3512" s="95">
        <f>$AP3365*'Assumptions (O&amp;G Upstream)'!V$349</f>
        <v>0</v>
      </c>
    </row>
    <row r="3513" ht="15.75" hidden="1" customHeight="1" outlineLevel="1">
      <c r="A3513" s="389"/>
      <c r="B3513" s="24"/>
      <c r="C3513" s="78"/>
      <c r="D3513" s="78"/>
      <c r="E3513" s="78"/>
      <c r="F3513" s="78"/>
      <c r="G3513" s="78"/>
      <c r="H3513" s="78"/>
      <c r="I3513" s="78"/>
      <c r="J3513" s="78"/>
      <c r="K3513" s="78"/>
      <c r="L3513" s="78"/>
      <c r="M3513" s="78"/>
      <c r="N3513" s="78"/>
      <c r="O3513" s="78"/>
      <c r="P3513" s="78"/>
      <c r="Q3513" s="78"/>
      <c r="R3513" s="78"/>
      <c r="S3513" s="78"/>
      <c r="T3513" s="78"/>
      <c r="U3513" s="78"/>
      <c r="V3513" s="78"/>
      <c r="W3513" s="139"/>
      <c r="AQ3513" s="95">
        <f>$AQ3365*'Assumptions (O&amp;G Upstream)'!B$349</f>
        <v>48.35584284</v>
      </c>
      <c r="AR3513" s="95">
        <f>$AQ3365*'Assumptions (O&amp;G Upstream)'!C$349</f>
        <v>82.87155991</v>
      </c>
      <c r="AS3513" s="95">
        <f>$AQ3365*'Assumptions (O&amp;G Upstream)'!D$349</f>
        <v>59.1843031</v>
      </c>
      <c r="AT3513" s="95">
        <f>$AQ3365*'Assumptions (O&amp;G Upstream)'!E$349</f>
        <v>42.26483394</v>
      </c>
      <c r="AU3513" s="95">
        <f>$AQ3365*'Assumptions (O&amp;G Upstream)'!F$349</f>
        <v>30.21817191</v>
      </c>
      <c r="AV3513" s="95">
        <f>$AQ3365*'Assumptions (O&amp;G Upstream)'!G$349</f>
        <v>30.18433297</v>
      </c>
      <c r="AW3513" s="95">
        <f>$AQ3365*'Assumptions (O&amp;G Upstream)'!H$349</f>
        <v>30.21817191</v>
      </c>
      <c r="AX3513" s="95">
        <f>$AQ3365*'Assumptions (O&amp;G Upstream)'!I$349</f>
        <v>15.09216648</v>
      </c>
      <c r="AY3513" s="95">
        <f>$AQ3365*'Assumptions (O&amp;G Upstream)'!J$349</f>
        <v>0</v>
      </c>
      <c r="AZ3513" s="95">
        <f>$AQ3365*'Assumptions (O&amp;G Upstream)'!K$349</f>
        <v>0</v>
      </c>
      <c r="BA3513" s="95">
        <f>$AQ3365*'Assumptions (O&amp;G Upstream)'!L$349</f>
        <v>0</v>
      </c>
      <c r="BB3513" s="95">
        <f>$AQ3365*'Assumptions (O&amp;G Upstream)'!M$349</f>
        <v>0</v>
      </c>
      <c r="BC3513" s="95">
        <f>$AQ3365*'Assumptions (O&amp;G Upstream)'!N$349</f>
        <v>0</v>
      </c>
      <c r="BD3513" s="95">
        <f>$AQ3365*'Assumptions (O&amp;G Upstream)'!O$349</f>
        <v>0</v>
      </c>
      <c r="BE3513" s="95">
        <f>$AQ3365*'Assumptions (O&amp;G Upstream)'!P$349</f>
        <v>0</v>
      </c>
      <c r="BF3513" s="95">
        <f>$AQ3365*'Assumptions (O&amp;G Upstream)'!Q$349</f>
        <v>0</v>
      </c>
      <c r="BG3513" s="95">
        <f>$AQ3365*'Assumptions (O&amp;G Upstream)'!R$349</f>
        <v>0</v>
      </c>
      <c r="BH3513" s="95">
        <f>$AQ3365*'Assumptions (O&amp;G Upstream)'!S$349</f>
        <v>0</v>
      </c>
      <c r="BI3513" s="95">
        <f>$AQ3365*'Assumptions (O&amp;G Upstream)'!T$349</f>
        <v>0</v>
      </c>
      <c r="BJ3513" s="95">
        <f>$AQ3365*'Assumptions (O&amp;G Upstream)'!U$349</f>
        <v>0</v>
      </c>
      <c r="BK3513" s="95">
        <f>$AQ3365*'Assumptions (O&amp;G Upstream)'!V$349</f>
        <v>0</v>
      </c>
    </row>
    <row r="3514" ht="15.75" hidden="1" customHeight="1" outlineLevel="1">
      <c r="A3514" s="389"/>
      <c r="B3514" s="24"/>
      <c r="C3514" s="78"/>
      <c r="D3514" s="78"/>
      <c r="E3514" s="78"/>
      <c r="F3514" s="78"/>
      <c r="G3514" s="78"/>
      <c r="H3514" s="78"/>
      <c r="I3514" s="78"/>
      <c r="J3514" s="78"/>
      <c r="K3514" s="78"/>
      <c r="L3514" s="78"/>
      <c r="M3514" s="78"/>
      <c r="N3514" s="78"/>
      <c r="O3514" s="78"/>
      <c r="P3514" s="78"/>
      <c r="Q3514" s="78"/>
      <c r="R3514" s="78"/>
      <c r="S3514" s="78"/>
      <c r="T3514" s="78"/>
      <c r="U3514" s="78"/>
      <c r="V3514" s="78"/>
      <c r="W3514" s="139"/>
      <c r="AR3514" s="95">
        <f>$AR3365*'Assumptions (O&amp;G Upstream)'!B$349</f>
        <v>49.19841388</v>
      </c>
      <c r="AS3514" s="95">
        <f>$AR3365*'Assumptions (O&amp;G Upstream)'!C$349</f>
        <v>84.31554625</v>
      </c>
      <c r="AT3514" s="95">
        <f>$AR3365*'Assumptions (O&amp;G Upstream)'!D$349</f>
        <v>60.21555345</v>
      </c>
      <c r="AU3514" s="95">
        <f>$AR3365*'Assumptions (O&amp;G Upstream)'!E$349</f>
        <v>43.00127287</v>
      </c>
      <c r="AV3514" s="95">
        <f>$AR3365*'Assumptions (O&amp;G Upstream)'!F$349</f>
        <v>30.7447051</v>
      </c>
      <c r="AW3514" s="95">
        <f>$AR3365*'Assumptions (O&amp;G Upstream)'!G$349</f>
        <v>30.71027654</v>
      </c>
      <c r="AX3514" s="95">
        <f>$AR3365*'Assumptions (O&amp;G Upstream)'!H$349</f>
        <v>30.7447051</v>
      </c>
      <c r="AY3514" s="95">
        <f>$AR3365*'Assumptions (O&amp;G Upstream)'!I$349</f>
        <v>15.35513827</v>
      </c>
      <c r="AZ3514" s="95">
        <f>$AR3365*'Assumptions (O&amp;G Upstream)'!J$349</f>
        <v>0</v>
      </c>
      <c r="BA3514" s="95">
        <f>$AR3365*'Assumptions (O&amp;G Upstream)'!K$349</f>
        <v>0</v>
      </c>
      <c r="BB3514" s="95">
        <f>$AR3365*'Assumptions (O&amp;G Upstream)'!L$349</f>
        <v>0</v>
      </c>
      <c r="BC3514" s="95">
        <f>$AR3365*'Assumptions (O&amp;G Upstream)'!M$349</f>
        <v>0</v>
      </c>
      <c r="BD3514" s="95">
        <f>$AR3365*'Assumptions (O&amp;G Upstream)'!N$349</f>
        <v>0</v>
      </c>
      <c r="BE3514" s="95">
        <f>$AR3365*'Assumptions (O&amp;G Upstream)'!O$349</f>
        <v>0</v>
      </c>
      <c r="BF3514" s="95">
        <f>$AR3365*'Assumptions (O&amp;G Upstream)'!P$349</f>
        <v>0</v>
      </c>
      <c r="BG3514" s="95">
        <f>$AR3365*'Assumptions (O&amp;G Upstream)'!Q$349</f>
        <v>0</v>
      </c>
      <c r="BH3514" s="95">
        <f>$AR3365*'Assumptions (O&amp;G Upstream)'!R$349</f>
        <v>0</v>
      </c>
      <c r="BI3514" s="95">
        <f>$AR3365*'Assumptions (O&amp;G Upstream)'!S$349</f>
        <v>0</v>
      </c>
      <c r="BJ3514" s="95">
        <f>$AR3365*'Assumptions (O&amp;G Upstream)'!T$349</f>
        <v>0</v>
      </c>
      <c r="BK3514" s="95">
        <f>$AR3365*'Assumptions (O&amp;G Upstream)'!U$349</f>
        <v>0</v>
      </c>
      <c r="BL3514" s="95">
        <f>$AR3365*'Assumptions (O&amp;G Upstream)'!V$349</f>
        <v>0</v>
      </c>
    </row>
    <row r="3515" ht="15.75" hidden="1" customHeight="1" outlineLevel="1">
      <c r="A3515" s="389"/>
      <c r="B3515" s="24"/>
      <c r="C3515" s="78"/>
      <c r="D3515" s="78"/>
      <c r="E3515" s="78"/>
      <c r="F3515" s="78"/>
      <c r="G3515" s="78"/>
      <c r="H3515" s="78"/>
      <c r="I3515" s="78"/>
      <c r="J3515" s="78"/>
      <c r="K3515" s="78"/>
      <c r="L3515" s="78"/>
      <c r="M3515" s="78"/>
      <c r="N3515" s="78"/>
      <c r="O3515" s="78"/>
      <c r="P3515" s="78"/>
      <c r="Q3515" s="78"/>
      <c r="R3515" s="78"/>
      <c r="S3515" s="78"/>
      <c r="T3515" s="78"/>
      <c r="U3515" s="78"/>
      <c r="V3515" s="78"/>
      <c r="W3515" s="139"/>
      <c r="AS3515" s="95">
        <f>$AS3365*'Assumptions (O&amp;G Upstream)'!B$349</f>
        <v>50.23967603</v>
      </c>
      <c r="AT3515" s="95">
        <f>$AS3365*'Assumptions (O&amp;G Upstream)'!C$349</f>
        <v>86.10004661</v>
      </c>
      <c r="AU3515" s="95">
        <f>$AS3365*'Assumptions (O&amp;G Upstream)'!D$349</f>
        <v>61.48998837</v>
      </c>
      <c r="AV3515" s="95">
        <f>$AS3365*'Assumptions (O&amp;G Upstream)'!E$349</f>
        <v>43.91137534</v>
      </c>
      <c r="AW3515" s="95">
        <f>$AS3365*'Assumptions (O&amp;G Upstream)'!F$349</f>
        <v>31.39540287</v>
      </c>
      <c r="AX3515" s="95">
        <f>$AS3365*'Assumptions (O&amp;G Upstream)'!G$349</f>
        <v>31.36024564</v>
      </c>
      <c r="AY3515" s="95">
        <f>$AS3365*'Assumptions (O&amp;G Upstream)'!H$349</f>
        <v>31.39540287</v>
      </c>
      <c r="AZ3515" s="95">
        <f>$AS3365*'Assumptions (O&amp;G Upstream)'!I$349</f>
        <v>15.68012282</v>
      </c>
      <c r="BA3515" s="95">
        <f>$AS3365*'Assumptions (O&amp;G Upstream)'!J$349</f>
        <v>0</v>
      </c>
      <c r="BB3515" s="95">
        <f>$AS3365*'Assumptions (O&amp;G Upstream)'!K$349</f>
        <v>0</v>
      </c>
      <c r="BC3515" s="95">
        <f>$AS3365*'Assumptions (O&amp;G Upstream)'!L$349</f>
        <v>0</v>
      </c>
      <c r="BD3515" s="95">
        <f>$AS3365*'Assumptions (O&amp;G Upstream)'!M$349</f>
        <v>0</v>
      </c>
      <c r="BE3515" s="95">
        <f>$AS3365*'Assumptions (O&amp;G Upstream)'!N$349</f>
        <v>0</v>
      </c>
      <c r="BF3515" s="95">
        <f>$AS3365*'Assumptions (O&amp;G Upstream)'!O$349</f>
        <v>0</v>
      </c>
      <c r="BG3515" s="95">
        <f>$AS3365*'Assumptions (O&amp;G Upstream)'!P$349</f>
        <v>0</v>
      </c>
      <c r="BH3515" s="95">
        <f>$AS3365*'Assumptions (O&amp;G Upstream)'!Q$349</f>
        <v>0</v>
      </c>
      <c r="BI3515" s="95">
        <f>$AS3365*'Assumptions (O&amp;G Upstream)'!R$349</f>
        <v>0</v>
      </c>
      <c r="BJ3515" s="95">
        <f>$AS3365*'Assumptions (O&amp;G Upstream)'!S$349</f>
        <v>0</v>
      </c>
      <c r="BK3515" s="95">
        <f>$AS3365*'Assumptions (O&amp;G Upstream)'!T$349</f>
        <v>0</v>
      </c>
      <c r="BL3515" s="95">
        <f>$AS3365*'Assumptions (O&amp;G Upstream)'!U$349</f>
        <v>0</v>
      </c>
      <c r="BM3515" s="95">
        <f>$AS3365*'Assumptions (O&amp;G Upstream)'!V$349</f>
        <v>0</v>
      </c>
    </row>
    <row r="3516" ht="15.75" hidden="1" customHeight="1" outlineLevel="1">
      <c r="A3516" s="389"/>
      <c r="B3516" s="24"/>
      <c r="C3516" s="78"/>
      <c r="D3516" s="78"/>
      <c r="E3516" s="78"/>
      <c r="F3516" s="78"/>
      <c r="G3516" s="78"/>
      <c r="H3516" s="78"/>
      <c r="I3516" s="78"/>
      <c r="J3516" s="78"/>
      <c r="K3516" s="78"/>
      <c r="L3516" s="78"/>
      <c r="M3516" s="78"/>
      <c r="N3516" s="78"/>
      <c r="O3516" s="78"/>
      <c r="P3516" s="78"/>
      <c r="Q3516" s="78"/>
      <c r="R3516" s="78"/>
      <c r="S3516" s="78"/>
      <c r="T3516" s="78"/>
      <c r="U3516" s="78"/>
      <c r="V3516" s="78"/>
      <c r="W3516" s="139"/>
      <c r="AT3516" s="95">
        <f>$AT3365*'Assumptions (O&amp;G Upstream)'!B$349</f>
        <v>50.91025675</v>
      </c>
      <c r="AU3516" s="95">
        <f>$AT3365*'Assumptions (O&amp;G Upstream)'!C$349</f>
        <v>87.24927836</v>
      </c>
      <c r="AV3516" s="95">
        <f>$AT3365*'Assumptions (O&amp;G Upstream)'!D$349</f>
        <v>62.31073412</v>
      </c>
      <c r="AW3516" s="95">
        <f>$AT3365*'Assumptions (O&amp;G Upstream)'!E$349</f>
        <v>44.49748823</v>
      </c>
      <c r="AX3516" s="95">
        <f>$AT3365*'Assumptions (O&amp;G Upstream)'!F$349</f>
        <v>31.81445716</v>
      </c>
      <c r="AY3516" s="95">
        <f>$AT3365*'Assumptions (O&amp;G Upstream)'!G$349</f>
        <v>31.77883066</v>
      </c>
      <c r="AZ3516" s="95">
        <f>$AT3365*'Assumptions (O&amp;G Upstream)'!H$349</f>
        <v>31.81445716</v>
      </c>
      <c r="BA3516" s="95">
        <f>$AT3365*'Assumptions (O&amp;G Upstream)'!I$349</f>
        <v>15.88941533</v>
      </c>
      <c r="BB3516" s="95">
        <f>$AT3365*'Assumptions (O&amp;G Upstream)'!J$349</f>
        <v>0</v>
      </c>
      <c r="BC3516" s="95">
        <f>$AT3365*'Assumptions (O&amp;G Upstream)'!K$349</f>
        <v>0</v>
      </c>
      <c r="BD3516" s="95">
        <f>$AT3365*'Assumptions (O&amp;G Upstream)'!L$349</f>
        <v>0</v>
      </c>
      <c r="BE3516" s="95">
        <f>$AT3365*'Assumptions (O&amp;G Upstream)'!M$349</f>
        <v>0</v>
      </c>
      <c r="BF3516" s="95">
        <f>$AT3365*'Assumptions (O&amp;G Upstream)'!N$349</f>
        <v>0</v>
      </c>
      <c r="BG3516" s="95">
        <f>$AT3365*'Assumptions (O&amp;G Upstream)'!O$349</f>
        <v>0</v>
      </c>
      <c r="BH3516" s="95">
        <f>$AT3365*'Assumptions (O&amp;G Upstream)'!P$349</f>
        <v>0</v>
      </c>
      <c r="BI3516" s="95">
        <f>$AT3365*'Assumptions (O&amp;G Upstream)'!Q$349</f>
        <v>0</v>
      </c>
      <c r="BJ3516" s="95">
        <f>$AT3365*'Assumptions (O&amp;G Upstream)'!R$349</f>
        <v>0</v>
      </c>
      <c r="BK3516" s="95">
        <f>$AT3365*'Assumptions (O&amp;G Upstream)'!S$349</f>
        <v>0</v>
      </c>
      <c r="BL3516" s="95">
        <f>$AT3365*'Assumptions (O&amp;G Upstream)'!T$349</f>
        <v>0</v>
      </c>
      <c r="BM3516" s="95">
        <f>$AT3365*'Assumptions (O&amp;G Upstream)'!U$349</f>
        <v>0</v>
      </c>
      <c r="BN3516" s="95">
        <f>$AT3365*'Assumptions (O&amp;G Upstream)'!V$349</f>
        <v>0</v>
      </c>
    </row>
    <row r="3517" ht="15.75" hidden="1" customHeight="1" outlineLevel="1">
      <c r="A3517" s="389"/>
      <c r="B3517" s="24"/>
      <c r="C3517" s="78"/>
      <c r="D3517" s="78"/>
      <c r="E3517" s="78"/>
      <c r="F3517" s="78"/>
      <c r="G3517" s="78"/>
      <c r="H3517" s="78"/>
      <c r="I3517" s="78"/>
      <c r="J3517" s="78"/>
      <c r="K3517" s="78"/>
      <c r="L3517" s="78"/>
      <c r="M3517" s="78"/>
      <c r="N3517" s="78"/>
      <c r="O3517" s="78"/>
      <c r="P3517" s="78"/>
      <c r="Q3517" s="78"/>
      <c r="R3517" s="78"/>
      <c r="S3517" s="78"/>
      <c r="T3517" s="78"/>
      <c r="U3517" s="78"/>
      <c r="V3517" s="78"/>
      <c r="W3517" s="139"/>
      <c r="AU3517" s="95">
        <f>$AU3365*'Assumptions (O&amp;G Upstream)'!B$349</f>
        <v>51.70761062</v>
      </c>
      <c r="AV3517" s="95">
        <f>$AU3365*'Assumptions (O&amp;G Upstream)'!C$349</f>
        <v>88.61577215</v>
      </c>
      <c r="AW3517" s="95">
        <f>$AU3365*'Assumptions (O&amp;G Upstream)'!D$349</f>
        <v>63.28664169</v>
      </c>
      <c r="AX3517" s="95">
        <f>$AU3365*'Assumptions (O&amp;G Upstream)'!E$349</f>
        <v>45.19440564</v>
      </c>
      <c r="AY3517" s="95">
        <f>$AU3365*'Assumptions (O&amp;G Upstream)'!F$349</f>
        <v>32.31273358</v>
      </c>
      <c r="AZ3517" s="95">
        <f>$AU3365*'Assumptions (O&amp;G Upstream)'!G$349</f>
        <v>32.2765491</v>
      </c>
      <c r="BA3517" s="95">
        <f>$AU3365*'Assumptions (O&amp;G Upstream)'!H$349</f>
        <v>32.31273358</v>
      </c>
      <c r="BB3517" s="95">
        <f>$AU3365*'Assumptions (O&amp;G Upstream)'!I$349</f>
        <v>16.13827455</v>
      </c>
      <c r="BC3517" s="95">
        <f>$AU3365*'Assumptions (O&amp;G Upstream)'!J$349</f>
        <v>0</v>
      </c>
      <c r="BD3517" s="95">
        <f>$AU3365*'Assumptions (O&amp;G Upstream)'!K$349</f>
        <v>0</v>
      </c>
      <c r="BE3517" s="95">
        <f>$AU3365*'Assumptions (O&amp;G Upstream)'!L$349</f>
        <v>0</v>
      </c>
      <c r="BF3517" s="95">
        <f>$AU3365*'Assumptions (O&amp;G Upstream)'!M$349</f>
        <v>0</v>
      </c>
      <c r="BG3517" s="95">
        <f>$AU3365*'Assumptions (O&amp;G Upstream)'!N$349</f>
        <v>0</v>
      </c>
      <c r="BH3517" s="95">
        <f>$AU3365*'Assumptions (O&amp;G Upstream)'!O$349</f>
        <v>0</v>
      </c>
      <c r="BI3517" s="95">
        <f>$AU3365*'Assumptions (O&amp;G Upstream)'!P$349</f>
        <v>0</v>
      </c>
      <c r="BJ3517" s="95">
        <f>$AU3365*'Assumptions (O&amp;G Upstream)'!Q$349</f>
        <v>0</v>
      </c>
      <c r="BK3517" s="95">
        <f>$AU3365*'Assumptions (O&amp;G Upstream)'!R$349</f>
        <v>0</v>
      </c>
      <c r="BL3517" s="95">
        <f>$AU3365*'Assumptions (O&amp;G Upstream)'!S$349</f>
        <v>0</v>
      </c>
      <c r="BM3517" s="95">
        <f>$AU3365*'Assumptions (O&amp;G Upstream)'!T$349</f>
        <v>0</v>
      </c>
      <c r="BN3517" s="95">
        <f>$AU3365*'Assumptions (O&amp;G Upstream)'!U$349</f>
        <v>0</v>
      </c>
      <c r="BO3517" s="95">
        <f>$AU3365*'Assumptions (O&amp;G Upstream)'!V$349</f>
        <v>0</v>
      </c>
    </row>
    <row r="3518" ht="15.75" hidden="1" customHeight="1" outlineLevel="1">
      <c r="A3518" s="389"/>
      <c r="B3518" s="24"/>
      <c r="C3518" s="78"/>
      <c r="D3518" s="78"/>
      <c r="E3518" s="78"/>
      <c r="F3518" s="78"/>
      <c r="G3518" s="78"/>
      <c r="H3518" s="78"/>
      <c r="I3518" s="78"/>
      <c r="J3518" s="78"/>
      <c r="K3518" s="78"/>
      <c r="L3518" s="78"/>
      <c r="M3518" s="78"/>
      <c r="N3518" s="78"/>
      <c r="O3518" s="78"/>
      <c r="P3518" s="78"/>
      <c r="Q3518" s="78"/>
      <c r="R3518" s="78"/>
      <c r="S3518" s="78"/>
      <c r="T3518" s="78"/>
      <c r="U3518" s="78"/>
      <c r="V3518" s="78"/>
      <c r="W3518" s="139"/>
      <c r="AV3518" s="95">
        <f>$AV3365*'Assumptions (O&amp;G Upstream)'!B$349</f>
        <v>52.40231278</v>
      </c>
      <c r="AW3518" s="95">
        <f>$AV3365*'Assumptions (O&amp;G Upstream)'!C$349</f>
        <v>89.80634289</v>
      </c>
      <c r="AX3518" s="95">
        <f>$AV3365*'Assumptions (O&amp;G Upstream)'!D$349</f>
        <v>64.13691046</v>
      </c>
      <c r="AY3518" s="95">
        <f>$AV3365*'Assumptions (O&amp;G Upstream)'!E$349</f>
        <v>45.80160158</v>
      </c>
      <c r="AZ3518" s="95">
        <f>$AV3365*'Assumptions (O&amp;G Upstream)'!F$349</f>
        <v>32.74686166</v>
      </c>
      <c r="BA3518" s="95">
        <f>$AV3365*'Assumptions (O&amp;G Upstream)'!G$349</f>
        <v>32.71019104</v>
      </c>
      <c r="BB3518" s="95">
        <f>$AV3365*'Assumptions (O&amp;G Upstream)'!H$349</f>
        <v>32.74686166</v>
      </c>
      <c r="BC3518" s="95">
        <f>$AV3365*'Assumptions (O&amp;G Upstream)'!I$349</f>
        <v>16.35509552</v>
      </c>
      <c r="BD3518" s="95">
        <f>$AV3365*'Assumptions (O&amp;G Upstream)'!J$349</f>
        <v>0</v>
      </c>
      <c r="BE3518" s="95">
        <f>$AV3365*'Assumptions (O&amp;G Upstream)'!K$349</f>
        <v>0</v>
      </c>
      <c r="BF3518" s="95">
        <f>$AV3365*'Assumptions (O&amp;G Upstream)'!L$349</f>
        <v>0</v>
      </c>
      <c r="BG3518" s="95">
        <f>$AV3365*'Assumptions (O&amp;G Upstream)'!M$349</f>
        <v>0</v>
      </c>
      <c r="BH3518" s="95">
        <f>$AV3365*'Assumptions (O&amp;G Upstream)'!N$349</f>
        <v>0</v>
      </c>
      <c r="BI3518" s="95">
        <f>$AV3365*'Assumptions (O&amp;G Upstream)'!O$349</f>
        <v>0</v>
      </c>
      <c r="BJ3518" s="95">
        <f>$AV3365*'Assumptions (O&amp;G Upstream)'!P$349</f>
        <v>0</v>
      </c>
      <c r="BK3518" s="95">
        <f>$AV3365*'Assumptions (O&amp;G Upstream)'!Q$349</f>
        <v>0</v>
      </c>
      <c r="BL3518" s="95">
        <f>$AV3365*'Assumptions (O&amp;G Upstream)'!R$349</f>
        <v>0</v>
      </c>
      <c r="BM3518" s="95">
        <f>$AV3365*'Assumptions (O&amp;G Upstream)'!S$349</f>
        <v>0</v>
      </c>
      <c r="BN3518" s="95">
        <f>$AV3365*'Assumptions (O&amp;G Upstream)'!T$349</f>
        <v>0</v>
      </c>
      <c r="BO3518" s="95">
        <f>$AV3365*'Assumptions (O&amp;G Upstream)'!U$349</f>
        <v>0</v>
      </c>
      <c r="BP3518" s="95">
        <f>$AV3365*'Assumptions (O&amp;G Upstream)'!V$349</f>
        <v>0</v>
      </c>
    </row>
    <row r="3519" ht="15.75" hidden="1" customHeight="1" outlineLevel="1">
      <c r="A3519" s="389"/>
      <c r="B3519" s="24"/>
      <c r="C3519" s="78"/>
      <c r="D3519" s="78"/>
      <c r="E3519" s="78"/>
      <c r="F3519" s="78"/>
      <c r="G3519" s="78"/>
      <c r="H3519" s="78"/>
      <c r="I3519" s="78"/>
      <c r="J3519" s="78"/>
      <c r="K3519" s="78"/>
      <c r="L3519" s="78"/>
      <c r="M3519" s="78"/>
      <c r="N3519" s="78"/>
      <c r="O3519" s="78"/>
      <c r="P3519" s="78"/>
      <c r="Q3519" s="78"/>
      <c r="R3519" s="78"/>
      <c r="S3519" s="78"/>
      <c r="T3519" s="78"/>
      <c r="U3519" s="78"/>
      <c r="V3519" s="78"/>
      <c r="W3519" s="139"/>
      <c r="AW3519" s="95">
        <f>$AW3365*'Assumptions (O&amp;G Upstream)'!B$349</f>
        <v>53.13096028</v>
      </c>
      <c r="AX3519" s="95">
        <f>$AW3365*'Assumptions (O&amp;G Upstream)'!C$349</f>
        <v>91.05508868</v>
      </c>
      <c r="AY3519" s="95">
        <f>$AW3365*'Assumptions (O&amp;G Upstream)'!D$349</f>
        <v>65.02872606</v>
      </c>
      <c r="AZ3519" s="95">
        <f>$AW3365*'Assumptions (O&amp;G Upstream)'!E$349</f>
        <v>46.43846703</v>
      </c>
      <c r="BA3519" s="95">
        <f>$AW3365*'Assumptions (O&amp;G Upstream)'!F$349</f>
        <v>33.20220261</v>
      </c>
      <c r="BB3519" s="95">
        <f>$AW3365*'Assumptions (O&amp;G Upstream)'!G$349</f>
        <v>33.16502209</v>
      </c>
      <c r="BC3519" s="95">
        <f>$AW3365*'Assumptions (O&amp;G Upstream)'!H$349</f>
        <v>33.20220261</v>
      </c>
      <c r="BD3519" s="95">
        <f>$AW3365*'Assumptions (O&amp;G Upstream)'!I$349</f>
        <v>16.58251105</v>
      </c>
      <c r="BE3519" s="95">
        <f>$AW3365*'Assumptions (O&amp;G Upstream)'!J$349</f>
        <v>0</v>
      </c>
      <c r="BF3519" s="95">
        <f>$AW3365*'Assumptions (O&amp;G Upstream)'!K$349</f>
        <v>0</v>
      </c>
      <c r="BG3519" s="95">
        <f>$AW3365*'Assumptions (O&amp;G Upstream)'!L$349</f>
        <v>0</v>
      </c>
      <c r="BH3519" s="95">
        <f>$AW3365*'Assumptions (O&amp;G Upstream)'!M$349</f>
        <v>0</v>
      </c>
      <c r="BI3519" s="95">
        <f>$AW3365*'Assumptions (O&amp;G Upstream)'!N$349</f>
        <v>0</v>
      </c>
      <c r="BJ3519" s="95">
        <f>$AW3365*'Assumptions (O&amp;G Upstream)'!O$349</f>
        <v>0</v>
      </c>
      <c r="BK3519" s="95">
        <f>$AW3365*'Assumptions (O&amp;G Upstream)'!P$349</f>
        <v>0</v>
      </c>
      <c r="BL3519" s="95">
        <f>$AW3365*'Assumptions (O&amp;G Upstream)'!Q$349</f>
        <v>0</v>
      </c>
      <c r="BM3519" s="95">
        <f>$AW3365*'Assumptions (O&amp;G Upstream)'!R$349</f>
        <v>0</v>
      </c>
      <c r="BN3519" s="95">
        <f>$AW3365*'Assumptions (O&amp;G Upstream)'!S$349</f>
        <v>0</v>
      </c>
      <c r="BO3519" s="95">
        <f>$AW3365*'Assumptions (O&amp;G Upstream)'!T$349</f>
        <v>0</v>
      </c>
      <c r="BP3519" s="95">
        <f>$AW3365*'Assumptions (O&amp;G Upstream)'!U$349</f>
        <v>0</v>
      </c>
      <c r="BQ3519" s="95">
        <f>$AW3365*'Assumptions (O&amp;G Upstream)'!V$349</f>
        <v>0</v>
      </c>
    </row>
    <row r="3520" ht="15.75" hidden="1" customHeight="1" outlineLevel="1">
      <c r="A3520" s="389"/>
      <c r="B3520" s="24"/>
      <c r="C3520" s="78"/>
      <c r="D3520" s="78"/>
      <c r="E3520" s="78"/>
      <c r="F3520" s="78"/>
      <c r="G3520" s="78"/>
      <c r="H3520" s="78"/>
      <c r="I3520" s="78"/>
      <c r="J3520" s="78"/>
      <c r="K3520" s="78"/>
      <c r="L3520" s="78"/>
      <c r="M3520" s="78"/>
      <c r="N3520" s="78"/>
      <c r="O3520" s="78"/>
      <c r="P3520" s="78"/>
      <c r="Q3520" s="78"/>
      <c r="R3520" s="78"/>
      <c r="S3520" s="78"/>
      <c r="T3520" s="78"/>
      <c r="U3520" s="78"/>
      <c r="V3520" s="78"/>
      <c r="W3520" s="139"/>
      <c r="AX3520" s="95">
        <f>$AX3365*'Assumptions (O&amp;G Upstream)'!B$349</f>
        <v>53.92650151</v>
      </c>
      <c r="AY3520" s="95">
        <f>$AX3365*'Assumptions (O&amp;G Upstream)'!C$349</f>
        <v>92.41847599</v>
      </c>
      <c r="AZ3520" s="95">
        <f>$AX3365*'Assumptions (O&amp;G Upstream)'!D$349</f>
        <v>66.00241507</v>
      </c>
      <c r="BA3520" s="95">
        <f>$AX3365*'Assumptions (O&amp;G Upstream)'!E$349</f>
        <v>47.13380013</v>
      </c>
      <c r="BB3520" s="95">
        <f>$AX3365*'Assumptions (O&amp;G Upstream)'!F$349</f>
        <v>33.69934629</v>
      </c>
      <c r="BC3520" s="95">
        <f>$AX3365*'Assumptions (O&amp;G Upstream)'!G$349</f>
        <v>33.66160906</v>
      </c>
      <c r="BD3520" s="95">
        <f>$AX3365*'Assumptions (O&amp;G Upstream)'!H$349</f>
        <v>33.69934629</v>
      </c>
      <c r="BE3520" s="95">
        <f>$AX3365*'Assumptions (O&amp;G Upstream)'!I$349</f>
        <v>16.83080453</v>
      </c>
      <c r="BF3520" s="95">
        <f>$AX3365*'Assumptions (O&amp;G Upstream)'!J$349</f>
        <v>0</v>
      </c>
      <c r="BG3520" s="95">
        <f>$AX3365*'Assumptions (O&amp;G Upstream)'!K$349</f>
        <v>0</v>
      </c>
      <c r="BH3520" s="95">
        <f>$AX3365*'Assumptions (O&amp;G Upstream)'!L$349</f>
        <v>0</v>
      </c>
      <c r="BI3520" s="95">
        <f>$AX3365*'Assumptions (O&amp;G Upstream)'!M$349</f>
        <v>0</v>
      </c>
      <c r="BJ3520" s="95">
        <f>$AX3365*'Assumptions (O&amp;G Upstream)'!N$349</f>
        <v>0</v>
      </c>
      <c r="BK3520" s="95">
        <f>$AX3365*'Assumptions (O&amp;G Upstream)'!O$349</f>
        <v>0</v>
      </c>
      <c r="BL3520" s="95">
        <f>$AX3365*'Assumptions (O&amp;G Upstream)'!P$349</f>
        <v>0</v>
      </c>
      <c r="BM3520" s="95">
        <f>$AX3365*'Assumptions (O&amp;G Upstream)'!Q$349</f>
        <v>0</v>
      </c>
      <c r="BN3520" s="95">
        <f>$AX3365*'Assumptions (O&amp;G Upstream)'!R$349</f>
        <v>0</v>
      </c>
      <c r="BO3520" s="95">
        <f>$AX3365*'Assumptions (O&amp;G Upstream)'!S$349</f>
        <v>0</v>
      </c>
      <c r="BP3520" s="95">
        <f>$AX3365*'Assumptions (O&amp;G Upstream)'!T$349</f>
        <v>0</v>
      </c>
      <c r="BQ3520" s="95">
        <f>$AX3365*'Assumptions (O&amp;G Upstream)'!U$349</f>
        <v>0</v>
      </c>
      <c r="BR3520" s="95">
        <f>$AX3365*'Assumptions (O&amp;G Upstream)'!V$349</f>
        <v>0</v>
      </c>
    </row>
    <row r="3521" ht="15.75" hidden="1" customHeight="1" outlineLevel="1">
      <c r="A3521" s="389"/>
      <c r="B3521" s="24"/>
      <c r="C3521" s="78"/>
      <c r="D3521" s="78"/>
      <c r="E3521" s="78"/>
      <c r="F3521" s="78"/>
      <c r="G3521" s="78"/>
      <c r="H3521" s="78"/>
      <c r="I3521" s="78"/>
      <c r="J3521" s="78"/>
      <c r="K3521" s="78"/>
      <c r="L3521" s="78"/>
      <c r="M3521" s="78"/>
      <c r="N3521" s="78"/>
      <c r="O3521" s="78"/>
      <c r="P3521" s="78"/>
      <c r="Q3521" s="78"/>
      <c r="R3521" s="78"/>
      <c r="S3521" s="78"/>
      <c r="T3521" s="78"/>
      <c r="U3521" s="78"/>
      <c r="V3521" s="78"/>
      <c r="W3521" s="139"/>
      <c r="AY3521" s="95">
        <f>$AY3365*'Assumptions (O&amp;G Upstream)'!B$349</f>
        <v>54.76123493</v>
      </c>
      <c r="AZ3521" s="95">
        <f>$AY3365*'Assumptions (O&amp;G Upstream)'!C$349</f>
        <v>93.84903034</v>
      </c>
      <c r="BA3521" s="95">
        <f>$AY3365*'Assumptions (O&amp;G Upstream)'!D$349</f>
        <v>67.02407271</v>
      </c>
      <c r="BB3521" s="95">
        <f>$AY3365*'Assumptions (O&amp;G Upstream)'!E$349</f>
        <v>47.86338869</v>
      </c>
      <c r="BC3521" s="95">
        <f>$AY3365*'Assumptions (O&amp;G Upstream)'!F$349</f>
        <v>34.22098166</v>
      </c>
      <c r="BD3521" s="95">
        <f>$AY3365*'Assumptions (O&amp;G Upstream)'!G$349</f>
        <v>34.1826603</v>
      </c>
      <c r="BE3521" s="95">
        <f>$AY3365*'Assumptions (O&amp;G Upstream)'!H$349</f>
        <v>34.22098166</v>
      </c>
      <c r="BF3521" s="95">
        <f>$AY3365*'Assumptions (O&amp;G Upstream)'!I$349</f>
        <v>17.09133015</v>
      </c>
      <c r="BG3521" s="95">
        <f>$AY3365*'Assumptions (O&amp;G Upstream)'!J$349</f>
        <v>0</v>
      </c>
      <c r="BH3521" s="95">
        <f>$AY3365*'Assumptions (O&amp;G Upstream)'!K$349</f>
        <v>0</v>
      </c>
      <c r="BI3521" s="95">
        <f>$AY3365*'Assumptions (O&amp;G Upstream)'!L$349</f>
        <v>0</v>
      </c>
      <c r="BJ3521" s="95">
        <f>$AY3365*'Assumptions (O&amp;G Upstream)'!M$349</f>
        <v>0</v>
      </c>
      <c r="BK3521" s="95">
        <f>$AY3365*'Assumptions (O&amp;G Upstream)'!N$349</f>
        <v>0</v>
      </c>
      <c r="BL3521" s="95">
        <f>$AY3365*'Assumptions (O&amp;G Upstream)'!O$349</f>
        <v>0</v>
      </c>
      <c r="BM3521" s="95">
        <f>$AY3365*'Assumptions (O&amp;G Upstream)'!P$349</f>
        <v>0</v>
      </c>
      <c r="BN3521" s="95">
        <f>$AY3365*'Assumptions (O&amp;G Upstream)'!Q$349</f>
        <v>0</v>
      </c>
      <c r="BO3521" s="95">
        <f>$AY3365*'Assumptions (O&amp;G Upstream)'!R$349</f>
        <v>0</v>
      </c>
      <c r="BP3521" s="95">
        <f>$AY3365*'Assumptions (O&amp;G Upstream)'!S$349</f>
        <v>0</v>
      </c>
      <c r="BQ3521" s="95">
        <f>$AY3365*'Assumptions (O&amp;G Upstream)'!T$349</f>
        <v>0</v>
      </c>
      <c r="BR3521" s="95">
        <f>$AY3365*'Assumptions (O&amp;G Upstream)'!U$349</f>
        <v>0</v>
      </c>
      <c r="BS3521" s="95">
        <f>$AY3365*'Assumptions (O&amp;G Upstream)'!V$349</f>
        <v>0</v>
      </c>
    </row>
    <row r="3522" ht="15.75" hidden="1" customHeight="1" outlineLevel="1">
      <c r="A3522" s="389"/>
      <c r="B3522" s="24"/>
      <c r="C3522" s="78"/>
      <c r="D3522" s="78"/>
      <c r="E3522" s="78"/>
      <c r="F3522" s="78"/>
      <c r="G3522" s="78"/>
      <c r="H3522" s="78"/>
      <c r="I3522" s="78"/>
      <c r="J3522" s="78"/>
      <c r="K3522" s="78"/>
      <c r="L3522" s="78"/>
      <c r="M3522" s="78"/>
      <c r="N3522" s="78"/>
      <c r="O3522" s="78"/>
      <c r="P3522" s="78"/>
      <c r="Q3522" s="78"/>
      <c r="R3522" s="78"/>
      <c r="S3522" s="78"/>
      <c r="T3522" s="78"/>
      <c r="U3522" s="78"/>
      <c r="V3522" s="78"/>
      <c r="W3522" s="139"/>
      <c r="AZ3522" s="95">
        <f>$AZ3365*'Assumptions (O&amp;G Upstream)'!B$349</f>
        <v>55.38721564</v>
      </c>
      <c r="BA3522" s="95">
        <f>$AZ3365*'Assumptions (O&amp;G Upstream)'!C$349</f>
        <v>94.92182722</v>
      </c>
      <c r="BB3522" s="95">
        <f>$AZ3365*'Assumptions (O&amp;G Upstream)'!D$349</f>
        <v>67.79023104</v>
      </c>
      <c r="BC3522" s="95">
        <f>$AZ3365*'Assumptions (O&amp;G Upstream)'!E$349</f>
        <v>48.41051948</v>
      </c>
      <c r="BD3522" s="95">
        <f>$AZ3365*'Assumptions (O&amp;G Upstream)'!F$349</f>
        <v>34.61216485</v>
      </c>
      <c r="BE3522" s="95">
        <f>$AZ3365*'Assumptions (O&amp;G Upstream)'!G$349</f>
        <v>34.57340542</v>
      </c>
      <c r="BF3522" s="95">
        <f>$AZ3365*'Assumptions (O&amp;G Upstream)'!H$349</f>
        <v>34.61216485</v>
      </c>
      <c r="BG3522" s="95">
        <f>$AZ3365*'Assumptions (O&amp;G Upstream)'!I$349</f>
        <v>17.28670271</v>
      </c>
      <c r="BH3522" s="95">
        <f>$AZ3365*'Assumptions (O&amp;G Upstream)'!J$349</f>
        <v>0</v>
      </c>
      <c r="BI3522" s="95">
        <f>$AZ3365*'Assumptions (O&amp;G Upstream)'!K$349</f>
        <v>0</v>
      </c>
      <c r="BJ3522" s="95">
        <f>$AZ3365*'Assumptions (O&amp;G Upstream)'!L$349</f>
        <v>0</v>
      </c>
      <c r="BK3522" s="95">
        <f>$AZ3365*'Assumptions (O&amp;G Upstream)'!M$349</f>
        <v>0</v>
      </c>
      <c r="BL3522" s="95">
        <f>$AZ3365*'Assumptions (O&amp;G Upstream)'!N$349</f>
        <v>0</v>
      </c>
      <c r="BM3522" s="95">
        <f>$AZ3365*'Assumptions (O&amp;G Upstream)'!O$349</f>
        <v>0</v>
      </c>
      <c r="BN3522" s="95">
        <f>$AZ3365*'Assumptions (O&amp;G Upstream)'!P$349</f>
        <v>0</v>
      </c>
      <c r="BO3522" s="95">
        <f>$AZ3365*'Assumptions (O&amp;G Upstream)'!Q$349</f>
        <v>0</v>
      </c>
      <c r="BP3522" s="95">
        <f>$AZ3365*'Assumptions (O&amp;G Upstream)'!R$349</f>
        <v>0</v>
      </c>
      <c r="BQ3522" s="95">
        <f>$AZ3365*'Assumptions (O&amp;G Upstream)'!S$349</f>
        <v>0</v>
      </c>
      <c r="BR3522" s="95">
        <f>$AZ3365*'Assumptions (O&amp;G Upstream)'!T$349</f>
        <v>0</v>
      </c>
      <c r="BS3522" s="95">
        <f>$AZ3365*'Assumptions (O&amp;G Upstream)'!U$349</f>
        <v>0</v>
      </c>
      <c r="BT3522" s="95">
        <f>$AZ3365*'Assumptions (O&amp;G Upstream)'!V$349</f>
        <v>0</v>
      </c>
    </row>
    <row r="3523" ht="15.75" hidden="1" customHeight="1" outlineLevel="1">
      <c r="A3523" s="389"/>
      <c r="B3523" s="24"/>
      <c r="C3523" s="78"/>
      <c r="D3523" s="78"/>
      <c r="E3523" s="78"/>
      <c r="F3523" s="78"/>
      <c r="G3523" s="78"/>
      <c r="H3523" s="78"/>
      <c r="I3523" s="78"/>
      <c r="J3523" s="78"/>
      <c r="K3523" s="78"/>
      <c r="L3523" s="78"/>
      <c r="M3523" s="78"/>
      <c r="N3523" s="78"/>
      <c r="O3523" s="78"/>
      <c r="P3523" s="78"/>
      <c r="Q3523" s="78"/>
      <c r="R3523" s="78"/>
      <c r="S3523" s="78"/>
      <c r="T3523" s="78"/>
      <c r="U3523" s="78"/>
      <c r="V3523" s="78"/>
      <c r="W3523" s="139"/>
      <c r="BA3523" s="95">
        <f>$BA3365*'Assumptions (O&amp;G Upstream)'!B$349</f>
        <v>56.1592138</v>
      </c>
      <c r="BB3523" s="95">
        <f>$BA3365*'Assumptions (O&amp;G Upstream)'!C$349</f>
        <v>96.24486675</v>
      </c>
      <c r="BC3523" s="95">
        <f>$BA3365*'Assumptions (O&amp;G Upstream)'!D$349</f>
        <v>68.73510492</v>
      </c>
      <c r="BD3523" s="95">
        <f>$BA3365*'Assumptions (O&amp;G Upstream)'!E$349</f>
        <v>49.08527504</v>
      </c>
      <c r="BE3523" s="95">
        <f>$BA3365*'Assumptions (O&amp;G Upstream)'!F$349</f>
        <v>35.09459616</v>
      </c>
      <c r="BF3523" s="95">
        <f>$BA3365*'Assumptions (O&amp;G Upstream)'!G$349</f>
        <v>35.05529651</v>
      </c>
      <c r="BG3523" s="95">
        <f>$BA3365*'Assumptions (O&amp;G Upstream)'!H$349</f>
        <v>35.09459616</v>
      </c>
      <c r="BH3523" s="95">
        <f>$BA3365*'Assumptions (O&amp;G Upstream)'!I$349</f>
        <v>17.52764825</v>
      </c>
      <c r="BI3523" s="95">
        <f>$BA3365*'Assumptions (O&amp;G Upstream)'!J$349</f>
        <v>0</v>
      </c>
      <c r="BJ3523" s="95">
        <f>$BA3365*'Assumptions (O&amp;G Upstream)'!K$349</f>
        <v>0</v>
      </c>
      <c r="BK3523" s="95">
        <f>$BA3365*'Assumptions (O&amp;G Upstream)'!L$349</f>
        <v>0</v>
      </c>
      <c r="BL3523" s="95">
        <f>$BA3365*'Assumptions (O&amp;G Upstream)'!M$349</f>
        <v>0</v>
      </c>
      <c r="BM3523" s="95">
        <f>$BA3365*'Assumptions (O&amp;G Upstream)'!N$349</f>
        <v>0</v>
      </c>
      <c r="BN3523" s="95">
        <f>$BA3365*'Assumptions (O&amp;G Upstream)'!O$349</f>
        <v>0</v>
      </c>
      <c r="BO3523" s="95">
        <f>$BA3365*'Assumptions (O&amp;G Upstream)'!P$349</f>
        <v>0</v>
      </c>
      <c r="BP3523" s="95">
        <f>$BA3365*'Assumptions (O&amp;G Upstream)'!Q$349</f>
        <v>0</v>
      </c>
      <c r="BQ3523" s="95">
        <f>$BA3365*'Assumptions (O&amp;G Upstream)'!R$349</f>
        <v>0</v>
      </c>
      <c r="BR3523" s="95">
        <f>$BA3365*'Assumptions (O&amp;G Upstream)'!S$349</f>
        <v>0</v>
      </c>
      <c r="BS3523" s="95">
        <f>$BA3365*'Assumptions (O&amp;G Upstream)'!T$349</f>
        <v>0</v>
      </c>
      <c r="BT3523" s="95">
        <f>$BA3365*'Assumptions (O&amp;G Upstream)'!U$349</f>
        <v>0</v>
      </c>
      <c r="BU3523" s="95">
        <f>$BA3365*'Assumptions (O&amp;G Upstream)'!V$349</f>
        <v>0</v>
      </c>
    </row>
    <row r="3524" ht="15.75" customHeight="1" collapsed="1">
      <c r="A3524" s="389" t="s">
        <v>374</v>
      </c>
      <c r="B3524" s="150" t="s">
        <v>351</v>
      </c>
      <c r="C3524" s="95">
        <f>0.365*'Assumptions (O&amp;G Upstream)'!C307*'Assumptions (O&amp;G Upstream)'!C309+'Assumptions (O&amp;G Upstream)'!C310*'Assumptions (O&amp;G Upstream)'!C312+'Assumptions (O&amp;G Upstream)'!C313*'Assumptions (O&amp;G Upstream)'!C314</f>
        <v>164.9812944</v>
      </c>
      <c r="D3524" s="95">
        <f>0.365*'Assumptions (O&amp;G Upstream)'!D307*'Assumptions (O&amp;G Upstream)'!D309+'Assumptions (O&amp;G Upstream)'!D310*'Assumptions (O&amp;G Upstream)'!D312+'Assumptions (O&amp;G Upstream)'!D313*'Assumptions (O&amp;G Upstream)'!D314</f>
        <v>147.5714</v>
      </c>
      <c r="E3524" s="95">
        <f>0.365*'Assumptions (O&amp;G Upstream)'!E307*'Assumptions (O&amp;G Upstream)'!E309+'Assumptions (O&amp;G Upstream)'!E310*'Assumptions (O&amp;G Upstream)'!E312+'Assumptions (O&amp;G Upstream)'!E313*'Assumptions (O&amp;G Upstream)'!E314</f>
        <v>132.3540435</v>
      </c>
      <c r="F3524" s="95">
        <f>0.365*'Assumptions (O&amp;G Upstream)'!F307*'Assumptions (O&amp;G Upstream)'!F309+'Assumptions (O&amp;G Upstream)'!F310*'Assumptions (O&amp;G Upstream)'!F312+'Assumptions (O&amp;G Upstream)'!F313*'Assumptions (O&amp;G Upstream)'!F314</f>
        <v>186.4812596</v>
      </c>
      <c r="G3524" s="95">
        <f>0.365*'Assumptions (O&amp;G Upstream)'!G307*'Assumptions (O&amp;G Upstream)'!G309+'Assumptions (O&amp;G Upstream)'!G310*'Assumptions (O&amp;G Upstream)'!G312+'Assumptions (O&amp;G Upstream)'!G313*'Assumptions (O&amp;G Upstream)'!G314</f>
        <v>214.1377533</v>
      </c>
      <c r="H3524" s="95">
        <f>0.365*'Assumptions (O&amp;G Upstream)'!H307*'Assumptions (O&amp;G Upstream)'!H309+'Assumptions (O&amp;G Upstream)'!H310*'Assumptions (O&amp;G Upstream)'!H312+'Assumptions (O&amp;G Upstream)'!H313*'Assumptions (O&amp;G Upstream)'!H314</f>
        <v>293.3763883</v>
      </c>
      <c r="I3524" s="95">
        <f>0.365*'Assumptions (O&amp;G Upstream)'!I307*'Assumptions (O&amp;G Upstream)'!I309+'Assumptions (O&amp;G Upstream)'!I310*'Assumptions (O&amp;G Upstream)'!I312+'Assumptions (O&amp;G Upstream)'!I313*'Assumptions (O&amp;G Upstream)'!I314</f>
        <v>275.6690816</v>
      </c>
      <c r="J3524" s="95">
        <f>0.365*'Assumptions (O&amp;G Upstream)'!J307*'Assumptions (O&amp;G Upstream)'!J309+'Assumptions (O&amp;G Upstream)'!J310*'Assumptions (O&amp;G Upstream)'!J312+'Assumptions (O&amp;G Upstream)'!J313*'Assumptions (O&amp;G Upstream)'!J314</f>
        <v>302.1070402</v>
      </c>
      <c r="K3524" s="95">
        <f>0.365*'Assumptions (O&amp;G Upstream)'!K307*'Assumptions (O&amp;G Upstream)'!K309+'Assumptions (O&amp;G Upstream)'!K310*'Assumptions (O&amp;G Upstream)'!K312+'Assumptions (O&amp;G Upstream)'!K313*'Assumptions (O&amp;G Upstream)'!K314</f>
        <v>401.6465036</v>
      </c>
      <c r="L3524" s="95">
        <f>0.365*'Assumptions (O&amp;G Upstream)'!L307*'Assumptions (O&amp;G Upstream)'!L309+'Assumptions (O&amp;G Upstream)'!L310*'Assumptions (O&amp;G Upstream)'!L312+'Assumptions (O&amp;G Upstream)'!L313*'Assumptions (O&amp;G Upstream)'!L314</f>
        <v>227.5663662</v>
      </c>
      <c r="M3524" s="95">
        <f>0.365*'Assumptions (O&amp;G Upstream)'!M307*'Assumptions (O&amp;G Upstream)'!M309+'Assumptions (O&amp;G Upstream)'!M310*'Assumptions (O&amp;G Upstream)'!M312+'Assumptions (O&amp;G Upstream)'!M313*'Assumptions (O&amp;G Upstream)'!M314</f>
        <v>285.5740282</v>
      </c>
      <c r="N3524" s="95">
        <f>0.365*'Assumptions (O&amp;G Upstream)'!N307*'Assumptions (O&amp;G Upstream)'!N309+'Assumptions (O&amp;G Upstream)'!N310*'Assumptions (O&amp;G Upstream)'!N312+'Assumptions (O&amp;G Upstream)'!N313*'Assumptions (O&amp;G Upstream)'!N314</f>
        <v>331.8388225</v>
      </c>
      <c r="O3524" s="95">
        <f>0.365*'Assumptions (O&amp;G Upstream)'!O307*'Assumptions (O&amp;G Upstream)'!O309+'Assumptions (O&amp;G Upstream)'!O310*'Assumptions (O&amp;G Upstream)'!O312+'Assumptions (O&amp;G Upstream)'!O313*'Assumptions (O&amp;G Upstream)'!O314</f>
        <v>328.7290767</v>
      </c>
      <c r="P3524" s="95">
        <f>0.365*'Assumptions (O&amp;G Upstream)'!P307*'Assumptions (O&amp;G Upstream)'!P309+'Assumptions (O&amp;G Upstream)'!P310*'Assumptions (O&amp;G Upstream)'!P312+'Assumptions (O&amp;G Upstream)'!P313*'Assumptions (O&amp;G Upstream)'!P314</f>
        <v>394.7353907</v>
      </c>
      <c r="Q3524" s="95">
        <f>0.365*'Assumptions (O&amp;G Upstream)'!Q307*'Assumptions (O&amp;G Upstream)'!Q309+'Assumptions (O&amp;G Upstream)'!Q310*'Assumptions (O&amp;G Upstream)'!Q312+'Assumptions (O&amp;G Upstream)'!Q313*'Assumptions (O&amp;G Upstream)'!Q314</f>
        <v>454.7242264</v>
      </c>
      <c r="R3524" s="95">
        <f>0.365*'Assumptions (O&amp;G Upstream)'!R307*'Assumptions (O&amp;G Upstream)'!R309+'Assumptions (O&amp;G Upstream)'!R310*'Assumptions (O&amp;G Upstream)'!R312+'Assumptions (O&amp;G Upstream)'!R313*'Assumptions (O&amp;G Upstream)'!R314</f>
        <v>262.5776921</v>
      </c>
      <c r="S3524" s="95">
        <f>0.365*'Assumptions (O&amp;G Upstream)'!S307*'Assumptions (O&amp;G Upstream)'!S309+'Assumptions (O&amp;G Upstream)'!S310*'Assumptions (O&amp;G Upstream)'!S312+'Assumptions (O&amp;G Upstream)'!S313*'Assumptions (O&amp;G Upstream)'!S314</f>
        <v>231.5257374</v>
      </c>
      <c r="T3524" s="95">
        <f>0.365*'Assumptions (O&amp;G Upstream)'!T307*'Assumptions (O&amp;G Upstream)'!T309+'Assumptions (O&amp;G Upstream)'!T310*'Assumptions (O&amp;G Upstream)'!T312+'Assumptions (O&amp;G Upstream)'!T313*'Assumptions (O&amp;G Upstream)'!T314</f>
        <v>291.5672546</v>
      </c>
      <c r="U3524" s="95">
        <f>0.365*'Assumptions (O&amp;G Upstream)'!U307*'Assumptions (O&amp;G Upstream)'!U309+'Assumptions (O&amp;G Upstream)'!U310*'Assumptions (O&amp;G Upstream)'!U312+'Assumptions (O&amp;G Upstream)'!U313*'Assumptions (O&amp;G Upstream)'!U314</f>
        <v>404.7474654</v>
      </c>
      <c r="V3524" s="95">
        <f>0.365*'Assumptions (O&amp;G Upstream)'!V307*'Assumptions (O&amp;G Upstream)'!V309+'Assumptions (O&amp;G Upstream)'!V310*'Assumptions (O&amp;G Upstream)'!V312+'Assumptions (O&amp;G Upstream)'!V313*'Assumptions (O&amp;G Upstream)'!V314</f>
        <v>464.1896059</v>
      </c>
      <c r="W3524" s="95">
        <f>0.365*'Assumptions (O&amp;G Upstream)'!W307*'Assumptions (O&amp;G Upstream)'!W309+'Assumptions (O&amp;G Upstream)'!W310*'Assumptions (O&amp;G Upstream)'!W312+'Assumptions (O&amp;G Upstream)'!W313*'Assumptions (O&amp;G Upstream)'!W314</f>
        <v>526.8887761</v>
      </c>
      <c r="X3524" s="95">
        <f>0.365*'Assumptions (O&amp;G Upstream)'!X307*'Assumptions (O&amp;G Upstream)'!X309+'Assumptions (O&amp;G Upstream)'!X310*'Assumptions (O&amp;G Upstream)'!X312+'Assumptions (O&amp;G Upstream)'!X313*'Assumptions (O&amp;G Upstream)'!X314</f>
        <v>567.3262637</v>
      </c>
      <c r="Y3524" s="95">
        <f>0.365*'Assumptions (O&amp;G Upstream)'!Y307*'Assumptions (O&amp;G Upstream)'!Y309+'Assumptions (O&amp;G Upstream)'!Y310*'Assumptions (O&amp;G Upstream)'!Y312+'Assumptions (O&amp;G Upstream)'!Y313*'Assumptions (O&amp;G Upstream)'!Y314</f>
        <v>588.9985129</v>
      </c>
      <c r="Z3524" s="95">
        <f>0.365*'Assumptions (O&amp;G Upstream)'!Z307*'Assumptions (O&amp;G Upstream)'!Z309+'Assumptions (O&amp;G Upstream)'!Z310*'Assumptions (O&amp;G Upstream)'!Z312+'Assumptions (O&amp;G Upstream)'!Z313*'Assumptions (O&amp;G Upstream)'!Z314</f>
        <v>621.2521046</v>
      </c>
      <c r="AA3524" s="95">
        <f>0.365*'Assumptions (O&amp;G Upstream)'!AA307*'Assumptions (O&amp;G Upstream)'!AA309+'Assumptions (O&amp;G Upstream)'!AA310*'Assumptions (O&amp;G Upstream)'!AA312+'Assumptions (O&amp;G Upstream)'!AA313*'Assumptions (O&amp;G Upstream)'!AA314</f>
        <v>672.054519</v>
      </c>
      <c r="AB3524" s="95">
        <f>0.365*'Assumptions (O&amp;G Upstream)'!AB307*'Assumptions (O&amp;G Upstream)'!AB309+'Assumptions (O&amp;G Upstream)'!AB310*'Assumptions (O&amp;G Upstream)'!AB312+'Assumptions (O&amp;G Upstream)'!AB313*'Assumptions (O&amp;G Upstream)'!AB314</f>
        <v>724.8319269</v>
      </c>
      <c r="AC3524" s="95">
        <f>0.365*'Assumptions (O&amp;G Upstream)'!AC307*'Assumptions (O&amp;G Upstream)'!AC309+'Assumptions (O&amp;G Upstream)'!AC310*'Assumptions (O&amp;G Upstream)'!AC312+'Assumptions (O&amp;G Upstream)'!AC313*'Assumptions (O&amp;G Upstream)'!AC314</f>
        <v>776.7260767</v>
      </c>
      <c r="AD3524" s="95">
        <f>0.365*'Assumptions (O&amp;G Upstream)'!AD307*'Assumptions (O&amp;G Upstream)'!AD309+'Assumptions (O&amp;G Upstream)'!AD310*'Assumptions (O&amp;G Upstream)'!AD312+'Assumptions (O&amp;G Upstream)'!AD313*'Assumptions (O&amp;G Upstream)'!AD314</f>
        <v>821.3632652</v>
      </c>
      <c r="AE3524" s="95">
        <f>0.365*'Assumptions (O&amp;G Upstream)'!AE307*'Assumptions (O&amp;G Upstream)'!AE309+'Assumptions (O&amp;G Upstream)'!AE310*'Assumptions (O&amp;G Upstream)'!AE312+'Assumptions (O&amp;G Upstream)'!AE313*'Assumptions (O&amp;G Upstream)'!AE314</f>
        <v>856.1387938</v>
      </c>
      <c r="AF3524" s="95">
        <f>0.365*'Assumptions (O&amp;G Upstream)'!AF307*'Assumptions (O&amp;G Upstream)'!AF309+'Assumptions (O&amp;G Upstream)'!AF310*'Assumptions (O&amp;G Upstream)'!AF312+'Assumptions (O&amp;G Upstream)'!AF313*'Assumptions (O&amp;G Upstream)'!AF314</f>
        <v>892.6540125</v>
      </c>
      <c r="AG3524" s="95">
        <f>0.365*'Assumptions (O&amp;G Upstream)'!AG307*'Assumptions (O&amp;G Upstream)'!AG309+'Assumptions (O&amp;G Upstream)'!AG310*'Assumptions (O&amp;G Upstream)'!AG312+'Assumptions (O&amp;G Upstream)'!AG313*'Assumptions (O&amp;G Upstream)'!AG314</f>
        <v>927.5841203</v>
      </c>
      <c r="AH3524" s="95">
        <f>0.365*'Assumptions (O&amp;G Upstream)'!AH307*'Assumptions (O&amp;G Upstream)'!AH309+'Assumptions (O&amp;G Upstream)'!AH310*'Assumptions (O&amp;G Upstream)'!AH312+'Assumptions (O&amp;G Upstream)'!AH313*'Assumptions (O&amp;G Upstream)'!AH314</f>
        <v>967.6327803</v>
      </c>
      <c r="AI3524" s="95">
        <f>0.365*'Assumptions (O&amp;G Upstream)'!AI307*'Assumptions (O&amp;G Upstream)'!AI309+'Assumptions (O&amp;G Upstream)'!AI310*'Assumptions (O&amp;G Upstream)'!AI312+'Assumptions (O&amp;G Upstream)'!AI313*'Assumptions (O&amp;G Upstream)'!AI314</f>
        <v>1006.46136</v>
      </c>
      <c r="AJ3524" s="95">
        <f>0.365*'Assumptions (O&amp;G Upstream)'!AJ307*'Assumptions (O&amp;G Upstream)'!AJ309+'Assumptions (O&amp;G Upstream)'!AJ310*'Assumptions (O&amp;G Upstream)'!AJ312+'Assumptions (O&amp;G Upstream)'!AJ313*'Assumptions (O&amp;G Upstream)'!AJ314</f>
        <v>1055.142478</v>
      </c>
      <c r="AK3524" s="95">
        <f>0.365*'Assumptions (O&amp;G Upstream)'!AK307*'Assumptions (O&amp;G Upstream)'!AK309+'Assumptions (O&amp;G Upstream)'!AK310*'Assumptions (O&amp;G Upstream)'!AK312+'Assumptions (O&amp;G Upstream)'!AK313*'Assumptions (O&amp;G Upstream)'!AK314</f>
        <v>1085.664433</v>
      </c>
      <c r="AL3524" s="95">
        <f>0.365*'Assumptions (O&amp;G Upstream)'!AL307*'Assumptions (O&amp;G Upstream)'!AL309+'Assumptions (O&amp;G Upstream)'!AL310*'Assumptions (O&amp;G Upstream)'!AL312+'Assumptions (O&amp;G Upstream)'!AL313*'Assumptions (O&amp;G Upstream)'!AL314</f>
        <v>1121.956711</v>
      </c>
      <c r="AM3524" s="95">
        <f>0.365*'Assumptions (O&amp;G Upstream)'!AM307*'Assumptions (O&amp;G Upstream)'!AM309+'Assumptions (O&amp;G Upstream)'!AM310*'Assumptions (O&amp;G Upstream)'!AM312+'Assumptions (O&amp;G Upstream)'!AM313*'Assumptions (O&amp;G Upstream)'!AM314</f>
        <v>1167.667847</v>
      </c>
      <c r="AN3524" s="95">
        <f>0.365*'Assumptions (O&amp;G Upstream)'!AN307*'Assumptions (O&amp;G Upstream)'!AN309+'Assumptions (O&amp;G Upstream)'!AN310*'Assumptions (O&amp;G Upstream)'!AN312+'Assumptions (O&amp;G Upstream)'!AN313*'Assumptions (O&amp;G Upstream)'!AN314</f>
        <v>1188.671354</v>
      </c>
      <c r="AO3524" s="95">
        <f>0.365*'Assumptions (O&amp;G Upstream)'!AO307*'Assumptions (O&amp;G Upstream)'!AO309+'Assumptions (O&amp;G Upstream)'!AO310*'Assumptions (O&amp;G Upstream)'!AO312+'Assumptions (O&amp;G Upstream)'!AO313*'Assumptions (O&amp;G Upstream)'!AO314</f>
        <v>1226.830268</v>
      </c>
      <c r="AP3524" s="95">
        <f>0.365*'Assumptions (O&amp;G Upstream)'!AP307*'Assumptions (O&amp;G Upstream)'!AP309+'Assumptions (O&amp;G Upstream)'!AP310*'Assumptions (O&amp;G Upstream)'!AP312+'Assumptions (O&amp;G Upstream)'!AP313*'Assumptions (O&amp;G Upstream)'!AP314</f>
        <v>1261.848135</v>
      </c>
      <c r="AQ3524" s="95">
        <f>0.365*'Assumptions (O&amp;G Upstream)'!AQ307*'Assumptions (O&amp;G Upstream)'!AQ309+'Assumptions (O&amp;G Upstream)'!AQ310*'Assumptions (O&amp;G Upstream)'!AQ312+'Assumptions (O&amp;G Upstream)'!AQ313*'Assumptions (O&amp;G Upstream)'!AQ314</f>
        <v>1307.653814</v>
      </c>
      <c r="AR3524" s="95">
        <f>0.365*'Assumptions (O&amp;G Upstream)'!AR307*'Assumptions (O&amp;G Upstream)'!AR309+'Assumptions (O&amp;G Upstream)'!AR310*'Assumptions (O&amp;G Upstream)'!AR312+'Assumptions (O&amp;G Upstream)'!AR313*'Assumptions (O&amp;G Upstream)'!AR314</f>
        <v>1337.35423</v>
      </c>
      <c r="AS3524" s="95">
        <f>0.365*'Assumptions (O&amp;G Upstream)'!AS307*'Assumptions (O&amp;G Upstream)'!AS309+'Assumptions (O&amp;G Upstream)'!AS310*'Assumptions (O&amp;G Upstream)'!AS312+'Assumptions (O&amp;G Upstream)'!AS313*'Assumptions (O&amp;G Upstream)'!AS314</f>
        <v>1375.536043</v>
      </c>
      <c r="AT3524" s="95">
        <f>0.365*'Assumptions (O&amp;G Upstream)'!AT307*'Assumptions (O&amp;G Upstream)'!AT309+'Assumptions (O&amp;G Upstream)'!AT310*'Assumptions (O&amp;G Upstream)'!AT312+'Assumptions (O&amp;G Upstream)'!AT313*'Assumptions (O&amp;G Upstream)'!AT314</f>
        <v>1398.699901</v>
      </c>
      <c r="AU3524" s="95">
        <f>0.365*'Assumptions (O&amp;G Upstream)'!AU307*'Assumptions (O&amp;G Upstream)'!AU309+'Assumptions (O&amp;G Upstream)'!AU310*'Assumptions (O&amp;G Upstream)'!AU312+'Assumptions (O&amp;G Upstream)'!AU313*'Assumptions (O&amp;G Upstream)'!AU314</f>
        <v>1431.215267</v>
      </c>
      <c r="AV3524" s="95">
        <f>0.365*'Assumptions (O&amp;G Upstream)'!AV307*'Assumptions (O&amp;G Upstream)'!AV309+'Assumptions (O&amp;G Upstream)'!AV310*'Assumptions (O&amp;G Upstream)'!AV312+'Assumptions (O&amp;G Upstream)'!AV313*'Assumptions (O&amp;G Upstream)'!AV314</f>
        <v>1459.886767</v>
      </c>
      <c r="AW3524" s="95">
        <f>0.365*'Assumptions (O&amp;G Upstream)'!AW307*'Assumptions (O&amp;G Upstream)'!AW309+'Assumptions (O&amp;G Upstream)'!AW310*'Assumptions (O&amp;G Upstream)'!AW312+'Assumptions (O&amp;G Upstream)'!AW313*'Assumptions (O&amp;G Upstream)'!AW314</f>
        <v>1489.137086</v>
      </c>
      <c r="AX3524" s="95">
        <f>0.365*'Assumptions (O&amp;G Upstream)'!AX307*'Assumptions (O&amp;G Upstream)'!AX309+'Assumptions (O&amp;G Upstream)'!AX310*'Assumptions (O&amp;G Upstream)'!AX312+'Assumptions (O&amp;G Upstream)'!AX313*'Assumptions (O&amp;G Upstream)'!AX314</f>
        <v>1520.005751</v>
      </c>
      <c r="AY3524" s="95">
        <f>0.365*'Assumptions (O&amp;G Upstream)'!AY307*'Assumptions (O&amp;G Upstream)'!AY309+'Assumptions (O&amp;G Upstream)'!AY310*'Assumptions (O&amp;G Upstream)'!AY312+'Assumptions (O&amp;G Upstream)'!AY313*'Assumptions (O&amp;G Upstream)'!AY314</f>
        <v>1556.513865</v>
      </c>
      <c r="AZ3524" s="95">
        <f>0.365*'Assumptions (O&amp;G Upstream)'!AZ307*'Assumptions (O&amp;G Upstream)'!AZ309+'Assumptions (O&amp;G Upstream)'!AZ310*'Assumptions (O&amp;G Upstream)'!AZ312+'Assumptions (O&amp;G Upstream)'!AZ313*'Assumptions (O&amp;G Upstream)'!AZ314</f>
        <v>1581.892849</v>
      </c>
      <c r="BA3524" s="95">
        <f>0.365*'Assumptions (O&amp;G Upstream)'!BA307*'Assumptions (O&amp;G Upstream)'!BA309+'Assumptions (O&amp;G Upstream)'!BA310*'Assumptions (O&amp;G Upstream)'!BA312+'Assumptions (O&amp;G Upstream)'!BA313*'Assumptions (O&amp;G Upstream)'!BA314</f>
        <v>1614.307781</v>
      </c>
    </row>
    <row r="3525" ht="15.75" customHeight="1">
      <c r="A3525" s="389" t="s">
        <v>62</v>
      </c>
      <c r="B3525" s="150" t="s">
        <v>351</v>
      </c>
      <c r="C3525" s="95">
        <f>IF(C3524*(1-'Assumptions (O&amp;G Upstream)'!$B$352-'Assumptions (O&amp;G Upstream)'!$B$351-'Assumptions (O&amp;G Upstream)'!$B$353)-'Assumptions (O&amp;G Upstream)'!$B$348*C3365-C3364-C3472+C3420&gt;0,(1-'Assumptions (O&amp;G Upstream)'!B$350)*(C3524*(1-'Assumptions (O&amp;G Upstream)'!$B$352-'Assumptions (O&amp;G Upstream)'!$B$351-'Assumptions (O&amp;G Upstream)'!$B$353)-'Assumptions (O&amp;G Upstream)'!$B$348*C3365-C3364-C3472+C3420),C3524*(1-'Assumptions (O&amp;G Upstream)'!$B$352-'Assumptions (O&amp;G Upstream)'!$B$351)-C3364-C3367+C3368+C3420)</f>
        <v>31.76382128</v>
      </c>
      <c r="D3525" s="95">
        <f>IF(D3524*(1-'Assumptions (O&amp;G Upstream)'!$B$352-'Assumptions (O&amp;G Upstream)'!$B$351-'Assumptions (O&amp;G Upstream)'!$B$353)-'Assumptions (O&amp;G Upstream)'!$B$348*D3365-D3364-D3472+D3420&gt;0,(1-'Assumptions (O&amp;G Upstream)'!C$350)*(D3524*(1-'Assumptions (O&amp;G Upstream)'!$B$352-'Assumptions (O&amp;G Upstream)'!$B$351-'Assumptions (O&amp;G Upstream)'!$B$353)-'Assumptions (O&amp;G Upstream)'!$B$348*D3365-D3364-D3472+D3420),D3524*(1-'Assumptions (O&amp;G Upstream)'!$B$352-'Assumptions (O&amp;G Upstream)'!$B$351)-D3364-D3367+D3368+D3420)</f>
        <v>11.27713742</v>
      </c>
      <c r="E3525" s="95">
        <f>IF(E3524*(1-'Assumptions (O&amp;G Upstream)'!$B$352-'Assumptions (O&amp;G Upstream)'!$B$351-'Assumptions (O&amp;G Upstream)'!$B$353)-'Assumptions (O&amp;G Upstream)'!$B$348*E3365-E3364-E3472+E3420&gt;0,(1-'Assumptions (O&amp;G Upstream)'!D$350)*(E3524*(1-'Assumptions (O&amp;G Upstream)'!$B$352-'Assumptions (O&amp;G Upstream)'!$B$351-'Assumptions (O&amp;G Upstream)'!$B$353)-'Assumptions (O&amp;G Upstream)'!$B$348*E3365-E3364-E3472+E3420),E3524*(1-'Assumptions (O&amp;G Upstream)'!$B$352-'Assumptions (O&amp;G Upstream)'!$B$351)-E3364-E3367+E3368+E3420)</f>
        <v>2.788073133</v>
      </c>
      <c r="F3525" s="95">
        <f>IF(F3524*(1-'Assumptions (O&amp;G Upstream)'!$B$352-'Assumptions (O&amp;G Upstream)'!$B$351-'Assumptions (O&amp;G Upstream)'!$B$353)-'Assumptions (O&amp;G Upstream)'!$B$348*F3365-F3364-F3472+F3420&gt;0,(1-'Assumptions (O&amp;G Upstream)'!E$350)*(F3524*(1-'Assumptions (O&amp;G Upstream)'!$B$352-'Assumptions (O&amp;G Upstream)'!$B$351-'Assumptions (O&amp;G Upstream)'!$B$353)-'Assumptions (O&amp;G Upstream)'!$B$348*F3365-F3364-F3472+F3420),F3524*(1-'Assumptions (O&amp;G Upstream)'!$B$352-'Assumptions (O&amp;G Upstream)'!$B$351)-F3364-F3367+F3368+F3420)</f>
        <v>17.91251866</v>
      </c>
      <c r="G3525" s="95">
        <f>IF(G3524*(1-'Assumptions (O&amp;G Upstream)'!$B$352-'Assumptions (O&amp;G Upstream)'!$B$351-'Assumptions (O&amp;G Upstream)'!$B$353)-'Assumptions (O&amp;G Upstream)'!$B$348*G3365-G3364-G3472+G3420&gt;0,(1-'Assumptions (O&amp;G Upstream)'!F$350)*(G3524*(1-'Assumptions (O&amp;G Upstream)'!$B$352-'Assumptions (O&amp;G Upstream)'!$B$351-'Assumptions (O&amp;G Upstream)'!$B$353)-'Assumptions (O&amp;G Upstream)'!$B$348*G3365-G3364-G3472+G3420),G3524*(1-'Assumptions (O&amp;G Upstream)'!$B$352-'Assumptions (O&amp;G Upstream)'!$B$351)-G3364-G3367+G3368+G3420)</f>
        <v>21.20315154</v>
      </c>
      <c r="H3525" s="95">
        <f>IF(H3524*(1-'Assumptions (O&amp;G Upstream)'!$B$352-'Assumptions (O&amp;G Upstream)'!$B$351-'Assumptions (O&amp;G Upstream)'!$B$353)-'Assumptions (O&amp;G Upstream)'!$B$348*H3365-H3364-H3472+H3420&gt;0,(1-'Assumptions (O&amp;G Upstream)'!G$350)*(H3524*(1-'Assumptions (O&amp;G Upstream)'!$B$352-'Assumptions (O&amp;G Upstream)'!$B$351-'Assumptions (O&amp;G Upstream)'!$B$353)-'Assumptions (O&amp;G Upstream)'!$B$348*H3365-H3364-H3472+H3420),H3524*(1-'Assumptions (O&amp;G Upstream)'!$B$352-'Assumptions (O&amp;G Upstream)'!$B$351)-H3364-H3367+H3368+H3420)</f>
        <v>38.63427929</v>
      </c>
      <c r="I3525" s="95">
        <f>IF(I3524*(1-'Assumptions (O&amp;G Upstream)'!$B$352-'Assumptions (O&amp;G Upstream)'!$B$351-'Assumptions (O&amp;G Upstream)'!$B$353)-'Assumptions (O&amp;G Upstream)'!$B$348*I3365-I3364-I3472+I3420&gt;0,(1-'Assumptions (O&amp;G Upstream)'!H$350)*(I3524*(1-'Assumptions (O&amp;G Upstream)'!$B$352-'Assumptions (O&amp;G Upstream)'!$B$351-'Assumptions (O&amp;G Upstream)'!$B$353)-'Assumptions (O&amp;G Upstream)'!$B$348*I3365-I3364-I3472+I3420),I3524*(1-'Assumptions (O&amp;G Upstream)'!$B$352-'Assumptions (O&amp;G Upstream)'!$B$351)-I3364-I3367+I3368+I3420)</f>
        <v>5.379552753</v>
      </c>
      <c r="J3525" s="95">
        <f>IF(J3524*(1-'Assumptions (O&amp;G Upstream)'!$B$352-'Assumptions (O&amp;G Upstream)'!$B$351-'Assumptions (O&amp;G Upstream)'!$B$353)-'Assumptions (O&amp;G Upstream)'!$B$348*J3365-J3364-J3472+J3420&gt;0,(1-'Assumptions (O&amp;G Upstream)'!I$350)*(J3524*(1-'Assumptions (O&amp;G Upstream)'!$B$352-'Assumptions (O&amp;G Upstream)'!$B$351-'Assumptions (O&amp;G Upstream)'!$B$353)-'Assumptions (O&amp;G Upstream)'!$B$348*J3365-J3364-J3472+J3420),J3524*(1-'Assumptions (O&amp;G Upstream)'!$B$352-'Assumptions (O&amp;G Upstream)'!$B$351)-J3364-J3367+J3368+J3420)</f>
        <v>74.92986681</v>
      </c>
      <c r="K3525" s="95">
        <f>IF(K3524*(1-'Assumptions (O&amp;G Upstream)'!$B$352-'Assumptions (O&amp;G Upstream)'!$B$351-'Assumptions (O&amp;G Upstream)'!$B$353)-'Assumptions (O&amp;G Upstream)'!$B$348*K3365-K3364-K3472+K3420&gt;0,(1-'Assumptions (O&amp;G Upstream)'!J$350)*(K3524*(1-'Assumptions (O&amp;G Upstream)'!$B$352-'Assumptions (O&amp;G Upstream)'!$B$351-'Assumptions (O&amp;G Upstream)'!$B$353)-'Assumptions (O&amp;G Upstream)'!$B$348*K3365-K3364-K3472+K3420),K3524*(1-'Assumptions (O&amp;G Upstream)'!$B$352-'Assumptions (O&amp;G Upstream)'!$B$351)-K3364-K3367+K3368+K3420)</f>
        <v>14.6312368</v>
      </c>
      <c r="L3525" s="95">
        <f>IF(L3524*(1-'Assumptions (O&amp;G Upstream)'!$B$352-'Assumptions (O&amp;G Upstream)'!$B$351-'Assumptions (O&amp;G Upstream)'!$B$353)-'Assumptions (O&amp;G Upstream)'!$B$348*L3365-L3364-L3472+L3420&gt;0,(1-'Assumptions (O&amp;G Upstream)'!K$350)*(L3524*(1-'Assumptions (O&amp;G Upstream)'!$B$352-'Assumptions (O&amp;G Upstream)'!$B$351-'Assumptions (O&amp;G Upstream)'!$B$353)-'Assumptions (O&amp;G Upstream)'!$B$348*L3365-L3364-L3472+L3420),L3524*(1-'Assumptions (O&amp;G Upstream)'!$B$352-'Assumptions (O&amp;G Upstream)'!$B$351)-L3364-L3367+L3368+L3420)</f>
        <v>-2.906239679</v>
      </c>
      <c r="M3525" s="95">
        <f>IF(M3524*(1-'Assumptions (O&amp;G Upstream)'!$B$352-'Assumptions (O&amp;G Upstream)'!$B$351-'Assumptions (O&amp;G Upstream)'!$B$353)-'Assumptions (O&amp;G Upstream)'!$B$348*M3365-M3364-M3472+M3420&gt;0,(1-'Assumptions (O&amp;G Upstream)'!L$350)*(M3524*(1-'Assumptions (O&amp;G Upstream)'!$B$352-'Assumptions (O&amp;G Upstream)'!$B$351-'Assumptions (O&amp;G Upstream)'!$B$353)-'Assumptions (O&amp;G Upstream)'!$B$348*M3365-M3364-M3472+M3420),M3524*(1-'Assumptions (O&amp;G Upstream)'!$B$352-'Assumptions (O&amp;G Upstream)'!$B$351)-M3364-M3367+M3368+M3420)</f>
        <v>31.01512569</v>
      </c>
      <c r="N3525" s="95">
        <f>IF(N3524*(1-'Assumptions (O&amp;G Upstream)'!$B$352-'Assumptions (O&amp;G Upstream)'!$B$351-'Assumptions (O&amp;G Upstream)'!$B$353)-'Assumptions (O&amp;G Upstream)'!$B$348*N3365-N3364-N3472+N3420&gt;0,(1-'Assumptions (O&amp;G Upstream)'!M$350)*(N3524*(1-'Assumptions (O&amp;G Upstream)'!$B$352-'Assumptions (O&amp;G Upstream)'!$B$351-'Assumptions (O&amp;G Upstream)'!$B$353)-'Assumptions (O&amp;G Upstream)'!$B$348*N3365-N3364-N3472+N3420),N3524*(1-'Assumptions (O&amp;G Upstream)'!$B$352-'Assumptions (O&amp;G Upstream)'!$B$351)-N3364-N3367+N3368+N3420)</f>
        <v>34.42975596</v>
      </c>
      <c r="O3525" s="95">
        <f>IF(O3524*(1-'Assumptions (O&amp;G Upstream)'!$B$352-'Assumptions (O&amp;G Upstream)'!$B$351-'Assumptions (O&amp;G Upstream)'!$B$353)-'Assumptions (O&amp;G Upstream)'!$B$348*O3365-O3364-O3472+O3420&gt;0,(1-'Assumptions (O&amp;G Upstream)'!N$350)*(O3524*(1-'Assumptions (O&amp;G Upstream)'!$B$352-'Assumptions (O&amp;G Upstream)'!$B$351-'Assumptions (O&amp;G Upstream)'!$B$353)-'Assumptions (O&amp;G Upstream)'!$B$348*O3365-O3364-O3472+O3420),O3524*(1-'Assumptions (O&amp;G Upstream)'!$B$352-'Assumptions (O&amp;G Upstream)'!$B$351)-O3364-O3367+O3368+O3420)</f>
        <v>6.485013704</v>
      </c>
      <c r="P3525" s="95">
        <f>IF(P3524*(1-'Assumptions (O&amp;G Upstream)'!$B$352-'Assumptions (O&amp;G Upstream)'!$B$351-'Assumptions (O&amp;G Upstream)'!$B$353)-'Assumptions (O&amp;G Upstream)'!$B$348*P3365-P3364-P3472+P3420&gt;0,(1-'Assumptions (O&amp;G Upstream)'!O$350)*(P3524*(1-'Assumptions (O&amp;G Upstream)'!$B$352-'Assumptions (O&amp;G Upstream)'!$B$351-'Assumptions (O&amp;G Upstream)'!$B$353)-'Assumptions (O&amp;G Upstream)'!$B$348*P3365-P3364-P3472+P3420),P3524*(1-'Assumptions (O&amp;G Upstream)'!$B$352-'Assumptions (O&amp;G Upstream)'!$B$351)-P3364-P3367+P3368+P3420)</f>
        <v>31.53849526</v>
      </c>
      <c r="Q3525" s="95">
        <f>IF(Q3524*(1-'Assumptions (O&amp;G Upstream)'!$B$352-'Assumptions (O&amp;G Upstream)'!$B$351-'Assumptions (O&amp;G Upstream)'!$B$353)-'Assumptions (O&amp;G Upstream)'!$B$348*Q3365-Q3364-Q3472+Q3420&gt;0,(1-'Assumptions (O&amp;G Upstream)'!P$350)*(Q3524*(1-'Assumptions (O&amp;G Upstream)'!$B$352-'Assumptions (O&amp;G Upstream)'!$B$351-'Assumptions (O&amp;G Upstream)'!$B$353)-'Assumptions (O&amp;G Upstream)'!$B$348*Q3365-Q3364-Q3472+Q3420),Q3524*(1-'Assumptions (O&amp;G Upstream)'!$B$352-'Assumptions (O&amp;G Upstream)'!$B$351)-Q3364-Q3367+Q3368+Q3420)</f>
        <v>35.75102895</v>
      </c>
      <c r="R3525" s="95">
        <f>IF(R3524*(1-'Assumptions (O&amp;G Upstream)'!$B$352-'Assumptions (O&amp;G Upstream)'!$B$351-'Assumptions (O&amp;G Upstream)'!$B$353)-'Assumptions (O&amp;G Upstream)'!$B$348*R3365-R3364-R3472+R3420&gt;0,(1-'Assumptions (O&amp;G Upstream)'!Q$350)*(R3524*(1-'Assumptions (O&amp;G Upstream)'!$B$352-'Assumptions (O&amp;G Upstream)'!$B$351-'Assumptions (O&amp;G Upstream)'!$B$353)-'Assumptions (O&amp;G Upstream)'!$B$348*R3365-R3364-R3472+R3420),R3524*(1-'Assumptions (O&amp;G Upstream)'!$B$352-'Assumptions (O&amp;G Upstream)'!$B$351)-R3364-R3367+R3368+R3420)</f>
        <v>-90.22325028</v>
      </c>
      <c r="S3525" s="95">
        <f>IF(S3524*(1-'Assumptions (O&amp;G Upstream)'!$B$352-'Assumptions (O&amp;G Upstream)'!$B$351-'Assumptions (O&amp;G Upstream)'!$B$353)-'Assumptions (O&amp;G Upstream)'!$B$348*S3365-S3364-S3472+S3420&gt;0,(1-'Assumptions (O&amp;G Upstream)'!R$350)*(S3524*(1-'Assumptions (O&amp;G Upstream)'!$B$352-'Assumptions (O&amp;G Upstream)'!$B$351-'Assumptions (O&amp;G Upstream)'!$B$353)-'Assumptions (O&amp;G Upstream)'!$B$348*S3365-S3364-S3472+S3420),S3524*(1-'Assumptions (O&amp;G Upstream)'!$B$352-'Assumptions (O&amp;G Upstream)'!$B$351)-S3364-S3367+S3368+S3420)</f>
        <v>-72.09069223</v>
      </c>
      <c r="T3525" s="95">
        <f>IF(T3524*(1-'Assumptions (O&amp;G Upstream)'!$B$352-'Assumptions (O&amp;G Upstream)'!$B$351-'Assumptions (O&amp;G Upstream)'!$B$353)-'Assumptions (O&amp;G Upstream)'!$B$348*T3365-T3364-T3472+T3420&gt;0,(1-'Assumptions (O&amp;G Upstream)'!S$350)*(T3524*(1-'Assumptions (O&amp;G Upstream)'!$B$352-'Assumptions (O&amp;G Upstream)'!$B$351-'Assumptions (O&amp;G Upstream)'!$B$353)-'Assumptions (O&amp;G Upstream)'!$B$348*T3365-T3364-T3472+T3420),T3524*(1-'Assumptions (O&amp;G Upstream)'!$B$352-'Assumptions (O&amp;G Upstream)'!$B$351)-T3364-T3367+T3368+T3420)</f>
        <v>-46.27775198</v>
      </c>
      <c r="U3525" s="95">
        <f>IF(U3524*(1-'Assumptions (O&amp;G Upstream)'!$B$352-'Assumptions (O&amp;G Upstream)'!$B$351-'Assumptions (O&amp;G Upstream)'!$B$353)-'Assumptions (O&amp;G Upstream)'!$B$348*U3365-U3364-U3472+U3420&gt;0,(1-'Assumptions (O&amp;G Upstream)'!T$350)*(U3524*(1-'Assumptions (O&amp;G Upstream)'!$B$352-'Assumptions (O&amp;G Upstream)'!$B$351-'Assumptions (O&amp;G Upstream)'!$B$353)-'Assumptions (O&amp;G Upstream)'!$B$348*U3365-U3364-U3472+U3420),U3524*(1-'Assumptions (O&amp;G Upstream)'!$B$352-'Assumptions (O&amp;G Upstream)'!$B$351)-U3364-U3367+U3368+U3420)</f>
        <v>9.456844106</v>
      </c>
      <c r="V3525" s="95">
        <f>IF(V3524*(1-'Assumptions (O&amp;G Upstream)'!$B$352-'Assumptions (O&amp;G Upstream)'!$B$351-'Assumptions (O&amp;G Upstream)'!$B$353)-'Assumptions (O&amp;G Upstream)'!$B$348*V3365-V3364-V3472+V3420&gt;0,(1-'Assumptions (O&amp;G Upstream)'!U$350)*(V3524*(1-'Assumptions (O&amp;G Upstream)'!$B$352-'Assumptions (O&amp;G Upstream)'!$B$351-'Assumptions (O&amp;G Upstream)'!$B$353)-'Assumptions (O&amp;G Upstream)'!$B$348*V3365-V3364-V3472+V3420),V3524*(1-'Assumptions (O&amp;G Upstream)'!$B$352-'Assumptions (O&amp;G Upstream)'!$B$351)-V3364-V3367+V3368+V3420)</f>
        <v>23.56295162</v>
      </c>
      <c r="W3525" s="95">
        <f>IF(W3524*(1-'Assumptions (O&amp;G Upstream)'!$B$352-'Assumptions (O&amp;G Upstream)'!$B$351-'Assumptions (O&amp;G Upstream)'!$B$353)-'Assumptions (O&amp;G Upstream)'!$B$348*W3365-W3364-W3472+W3420&gt;0,(1-'Assumptions (O&amp;G Upstream)'!V$350)*(W3524*(1-'Assumptions (O&amp;G Upstream)'!$B$352-'Assumptions (O&amp;G Upstream)'!$B$351-'Assumptions (O&amp;G Upstream)'!$B$353)-'Assumptions (O&amp;G Upstream)'!$B$348*W3365-W3364-W3472+W3420),W3524*(1-'Assumptions (O&amp;G Upstream)'!$B$352-'Assumptions (O&amp;G Upstream)'!$B$351)-W3364-W3367+W3368+W3420)</f>
        <v>52.37452018</v>
      </c>
      <c r="X3525" s="95">
        <f>IF(X3524*(1-'Assumptions (O&amp;G Upstream)'!$B$352-'Assumptions (O&amp;G Upstream)'!$B$351-'Assumptions (O&amp;G Upstream)'!$B$353)-'Assumptions (O&amp;G Upstream)'!$B$348*X3365-X3364-X3472+X3420&gt;0,(1-'Assumptions (O&amp;G Upstream)'!W$350)*(X3524*(1-'Assumptions (O&amp;G Upstream)'!$B$352-'Assumptions (O&amp;G Upstream)'!$B$351-'Assumptions (O&amp;G Upstream)'!$B$353)-'Assumptions (O&amp;G Upstream)'!$B$348*X3365-X3364-X3472+X3420),X3524*(1-'Assumptions (O&amp;G Upstream)'!$B$352-'Assumptions (O&amp;G Upstream)'!$B$351)-X3364-X3367+X3368+X3420)</f>
        <v>69.64381837</v>
      </c>
      <c r="Y3525" s="95">
        <f>IF(Y3524*(1-'Assumptions (O&amp;G Upstream)'!$B$352-'Assumptions (O&amp;G Upstream)'!$B$351-'Assumptions (O&amp;G Upstream)'!$B$353)-'Assumptions (O&amp;G Upstream)'!$B$348*Y3365-Y3364-Y3472+Y3420&gt;0,(1-'Assumptions (O&amp;G Upstream)'!X$350)*(Y3524*(1-'Assumptions (O&amp;G Upstream)'!$B$352-'Assumptions (O&amp;G Upstream)'!$B$351-'Assumptions (O&amp;G Upstream)'!$B$353)-'Assumptions (O&amp;G Upstream)'!$B$348*Y3365-Y3364-Y3472+Y3420),Y3524*(1-'Assumptions (O&amp;G Upstream)'!$B$352-'Assumptions (O&amp;G Upstream)'!$B$351)-Y3364-Y3367+Y3368+Y3420)</f>
        <v>79.54322217</v>
      </c>
      <c r="Z3525" s="95">
        <f>IF(Z3524*(1-'Assumptions (O&amp;G Upstream)'!$B$352-'Assumptions (O&amp;G Upstream)'!$B$351-'Assumptions (O&amp;G Upstream)'!$B$353)-'Assumptions (O&amp;G Upstream)'!$B$348*Z3365-Z3364-Z3472+Z3420&gt;0,(1-'Assumptions (O&amp;G Upstream)'!Y$350)*(Z3524*(1-'Assumptions (O&amp;G Upstream)'!$B$352-'Assumptions (O&amp;G Upstream)'!$B$351-'Assumptions (O&amp;G Upstream)'!$B$353)-'Assumptions (O&amp;G Upstream)'!$B$348*Z3365-Z3364-Z3472+Z3420),Z3524*(1-'Assumptions (O&amp;G Upstream)'!$B$352-'Assumptions (O&amp;G Upstream)'!$B$351)-Z3364-Z3367+Z3368+Z3420)</f>
        <v>97.08150793</v>
      </c>
      <c r="AA3525" s="95">
        <f>IF(AA3524*(1-'Assumptions (O&amp;G Upstream)'!$B$352-'Assumptions (O&amp;G Upstream)'!$B$351-'Assumptions (O&amp;G Upstream)'!$B$353)-'Assumptions (O&amp;G Upstream)'!$B$348*AA3365-AA3364-AA3472+AA3420&gt;0,(1-'Assumptions (O&amp;G Upstream)'!Z$350)*(AA3524*(1-'Assumptions (O&amp;G Upstream)'!$B$352-'Assumptions (O&amp;G Upstream)'!$B$351-'Assumptions (O&amp;G Upstream)'!$B$353)-'Assumptions (O&amp;G Upstream)'!$B$348*AA3365-AA3364-AA3472+AA3420),AA3524*(1-'Assumptions (O&amp;G Upstream)'!$B$352-'Assumptions (O&amp;G Upstream)'!$B$351)-AA3364-AA3367+AA3368+AA3420)</f>
        <v>127.8150423</v>
      </c>
      <c r="AB3525" s="95">
        <f>IF(AB3524*(1-'Assumptions (O&amp;G Upstream)'!$B$352-'Assumptions (O&amp;G Upstream)'!$B$351-'Assumptions (O&amp;G Upstream)'!$B$353)-'Assumptions (O&amp;G Upstream)'!$B$348*AB3365-AB3364-AB3472+AB3420&gt;0,(1-'Assumptions (O&amp;G Upstream)'!AA$350)*(AB3524*(1-'Assumptions (O&amp;G Upstream)'!$B$352-'Assumptions (O&amp;G Upstream)'!$B$351-'Assumptions (O&amp;G Upstream)'!$B$353)-'Assumptions (O&amp;G Upstream)'!$B$348*AB3365-AB3364-AB3472+AB3420),AB3524*(1-'Assumptions (O&amp;G Upstream)'!$B$352-'Assumptions (O&amp;G Upstream)'!$B$351)-AB3364-AB3367+AB3368+AB3420)</f>
        <v>155.6479326</v>
      </c>
      <c r="AC3525" s="95">
        <f>IF(AC3524*(1-'Assumptions (O&amp;G Upstream)'!$B$352-'Assumptions (O&amp;G Upstream)'!$B$351-'Assumptions (O&amp;G Upstream)'!$B$353)-'Assumptions (O&amp;G Upstream)'!$B$348*AC3365-AC3364-AC3472+AC3420&gt;0,(1-'Assumptions (O&amp;G Upstream)'!AB$350)*(AC3524*(1-'Assumptions (O&amp;G Upstream)'!$B$352-'Assumptions (O&amp;G Upstream)'!$B$351-'Assumptions (O&amp;G Upstream)'!$B$353)-'Assumptions (O&amp;G Upstream)'!$B$348*AC3365-AC3364-AC3472+AC3420),AC3524*(1-'Assumptions (O&amp;G Upstream)'!$B$352-'Assumptions (O&amp;G Upstream)'!$B$351)-AC3364-AC3367+AC3368+AC3420)</f>
        <v>175.3017565</v>
      </c>
      <c r="AD3525" s="95">
        <f>IF(AD3524*(1-'Assumptions (O&amp;G Upstream)'!$B$352-'Assumptions (O&amp;G Upstream)'!$B$351-'Assumptions (O&amp;G Upstream)'!$B$353)-'Assumptions (O&amp;G Upstream)'!$B$348*AD3365-AD3364-AD3472+AD3420&gt;0,(1-'Assumptions (O&amp;G Upstream)'!AC$350)*(AD3524*(1-'Assumptions (O&amp;G Upstream)'!$B$352-'Assumptions (O&amp;G Upstream)'!$B$351-'Assumptions (O&amp;G Upstream)'!$B$353)-'Assumptions (O&amp;G Upstream)'!$B$348*AD3365-AD3364-AD3472+AD3420),AD3524*(1-'Assumptions (O&amp;G Upstream)'!$B$352-'Assumptions (O&amp;G Upstream)'!$B$351)-AD3364-AD3367+AD3368+AD3420)</f>
        <v>190.9046985</v>
      </c>
      <c r="AE3525" s="95">
        <f>IF(AE3524*(1-'Assumptions (O&amp;G Upstream)'!$B$352-'Assumptions (O&amp;G Upstream)'!$B$351-'Assumptions (O&amp;G Upstream)'!$B$353)-'Assumptions (O&amp;G Upstream)'!$B$348*AE3365-AE3364-AE3472+AE3420&gt;0,(1-'Assumptions (O&amp;G Upstream)'!AD$350)*(AE3524*(1-'Assumptions (O&amp;G Upstream)'!$B$352-'Assumptions (O&amp;G Upstream)'!$B$351-'Assumptions (O&amp;G Upstream)'!$B$353)-'Assumptions (O&amp;G Upstream)'!$B$348*AE3365-AE3364-AE3472+AE3420),AE3524*(1-'Assumptions (O&amp;G Upstream)'!$B$352-'Assumptions (O&amp;G Upstream)'!$B$351)-AE3364-AE3367+AE3368+AE3420)</f>
        <v>3.786773766</v>
      </c>
      <c r="AF3525" s="95">
        <f>IF(AF3524*(1-'Assumptions (O&amp;G Upstream)'!$B$352-'Assumptions (O&amp;G Upstream)'!$B$351-'Assumptions (O&amp;G Upstream)'!$B$353)-'Assumptions (O&amp;G Upstream)'!$B$348*AF3365-AF3364-AF3472+AF3420&gt;0,(1-'Assumptions (O&amp;G Upstream)'!AE$350)*(AF3524*(1-'Assumptions (O&amp;G Upstream)'!$B$352-'Assumptions (O&amp;G Upstream)'!$B$351-'Assumptions (O&amp;G Upstream)'!$B$353)-'Assumptions (O&amp;G Upstream)'!$B$348*AF3365-AF3364-AF3472+AF3420),AF3524*(1-'Assumptions (O&amp;G Upstream)'!$B$352-'Assumptions (O&amp;G Upstream)'!$B$351)-AF3364-AF3367+AF3368+AF3420)</f>
        <v>12.6145625</v>
      </c>
      <c r="AG3525" s="95">
        <f>IF(AG3524*(1-'Assumptions (O&amp;G Upstream)'!$B$352-'Assumptions (O&amp;G Upstream)'!$B$351-'Assumptions (O&amp;G Upstream)'!$B$353)-'Assumptions (O&amp;G Upstream)'!$B$348*AG3365-AG3364-AG3472+AG3420&gt;0,(1-'Assumptions (O&amp;G Upstream)'!AF$350)*(AG3524*(1-'Assumptions (O&amp;G Upstream)'!$B$352-'Assumptions (O&amp;G Upstream)'!$B$351-'Assumptions (O&amp;G Upstream)'!$B$353)-'Assumptions (O&amp;G Upstream)'!$B$348*AG3365-AG3364-AG3472+AG3420),AG3524*(1-'Assumptions (O&amp;G Upstream)'!$B$352-'Assumptions (O&amp;G Upstream)'!$B$351)-AG3364-AG3367+AG3368+AG3420)</f>
        <v>21.20436031</v>
      </c>
      <c r="AH3525" s="95">
        <f>IF(AH3524*(1-'Assumptions (O&amp;G Upstream)'!$B$352-'Assumptions (O&amp;G Upstream)'!$B$351-'Assumptions (O&amp;G Upstream)'!$B$353)-'Assumptions (O&amp;G Upstream)'!$B$348*AH3365-AH3364-AH3472+AH3420&gt;0,(1-'Assumptions (O&amp;G Upstream)'!AG$350)*(AH3524*(1-'Assumptions (O&amp;G Upstream)'!$B$352-'Assumptions (O&amp;G Upstream)'!$B$351-'Assumptions (O&amp;G Upstream)'!$B$353)-'Assumptions (O&amp;G Upstream)'!$B$348*AH3365-AH3364-AH3472+AH3420),AH3524*(1-'Assumptions (O&amp;G Upstream)'!$B$352-'Assumptions (O&amp;G Upstream)'!$B$351)-AH3364-AH3367+AH3368+AH3420)</f>
        <v>32.59084158</v>
      </c>
      <c r="AI3525" s="95">
        <f>IF(AI3524*(1-'Assumptions (O&amp;G Upstream)'!$B$352-'Assumptions (O&amp;G Upstream)'!$B$351-'Assumptions (O&amp;G Upstream)'!$B$353)-'Assumptions (O&amp;G Upstream)'!$B$348*AI3365-AI3364-AI3472+AI3420&gt;0,(1-'Assumptions (O&amp;G Upstream)'!AH$350)*(AI3524*(1-'Assumptions (O&amp;G Upstream)'!$B$352-'Assumptions (O&amp;G Upstream)'!$B$351-'Assumptions (O&amp;G Upstream)'!$B$353)-'Assumptions (O&amp;G Upstream)'!$B$348*AI3365-AI3364-AI3472+AI3420),AI3524*(1-'Assumptions (O&amp;G Upstream)'!$B$352-'Assumptions (O&amp;G Upstream)'!$B$351)-AI3364-AI3367+AI3368+AI3420)</f>
        <v>45.25247186</v>
      </c>
      <c r="AJ3525" s="95">
        <f>IF(AJ3524*(1-'Assumptions (O&amp;G Upstream)'!$B$352-'Assumptions (O&amp;G Upstream)'!$B$351-'Assumptions (O&amp;G Upstream)'!$B$353)-'Assumptions (O&amp;G Upstream)'!$B$348*AJ3365-AJ3364-AJ3472+AJ3420&gt;0,(1-'Assumptions (O&amp;G Upstream)'!AI$350)*(AJ3524*(1-'Assumptions (O&amp;G Upstream)'!$B$352-'Assumptions (O&amp;G Upstream)'!$B$351-'Assumptions (O&amp;G Upstream)'!$B$353)-'Assumptions (O&amp;G Upstream)'!$B$348*AJ3365-AJ3364-AJ3472+AJ3420),AJ3524*(1-'Assumptions (O&amp;G Upstream)'!$B$352-'Assumptions (O&amp;G Upstream)'!$B$351)-AJ3364-AJ3367+AJ3368+AJ3420)</f>
        <v>62.53953973</v>
      </c>
      <c r="AK3525" s="95">
        <f>IF(AK3524*(1-'Assumptions (O&amp;G Upstream)'!$B$352-'Assumptions (O&amp;G Upstream)'!$B$351-'Assumptions (O&amp;G Upstream)'!$B$353)-'Assumptions (O&amp;G Upstream)'!$B$348*AK3365-AK3364-AK3472+AK3420&gt;0,(1-'Assumptions (O&amp;G Upstream)'!AJ$350)*(AK3524*(1-'Assumptions (O&amp;G Upstream)'!$B$352-'Assumptions (O&amp;G Upstream)'!$B$351-'Assumptions (O&amp;G Upstream)'!$B$353)-'Assumptions (O&amp;G Upstream)'!$B$348*AK3365-AK3364-AK3472+AK3420),AK3524*(1-'Assumptions (O&amp;G Upstream)'!$B$352-'Assumptions (O&amp;G Upstream)'!$B$351)-AK3364-AK3367+AK3368+AK3420)</f>
        <v>71.27047616</v>
      </c>
      <c r="AL3525" s="95">
        <f>IF(AL3524*(1-'Assumptions (O&amp;G Upstream)'!$B$352-'Assumptions (O&amp;G Upstream)'!$B$351-'Assumptions (O&amp;G Upstream)'!$B$353)-'Assumptions (O&amp;G Upstream)'!$B$348*AL3365-AL3364-AL3472+AL3420&gt;0,(1-'Assumptions (O&amp;G Upstream)'!AK$350)*(AL3524*(1-'Assumptions (O&amp;G Upstream)'!$B$352-'Assumptions (O&amp;G Upstream)'!$B$351-'Assumptions (O&amp;G Upstream)'!$B$353)-'Assumptions (O&amp;G Upstream)'!$B$348*AL3365-AL3364-AL3472+AL3420),AL3524*(1-'Assumptions (O&amp;G Upstream)'!$B$352-'Assumptions (O&amp;G Upstream)'!$B$351)-AL3364-AL3367+AL3368+AL3420)</f>
        <v>83.43105684</v>
      </c>
      <c r="AM3525" s="95">
        <f>IF(AM3524*(1-'Assumptions (O&amp;G Upstream)'!$B$352-'Assumptions (O&amp;G Upstream)'!$B$351-'Assumptions (O&amp;G Upstream)'!$B$353)-'Assumptions (O&amp;G Upstream)'!$B$348*AM3365-AM3364-AM3472+AM3420&gt;0,(1-'Assumptions (O&amp;G Upstream)'!AL$350)*(AM3524*(1-'Assumptions (O&amp;G Upstream)'!$B$352-'Assumptions (O&amp;G Upstream)'!$B$351-'Assumptions (O&amp;G Upstream)'!$B$353)-'Assumptions (O&amp;G Upstream)'!$B$348*AM3365-AM3364-AM3472+AM3420),AM3524*(1-'Assumptions (O&amp;G Upstream)'!$B$352-'Assumptions (O&amp;G Upstream)'!$B$351)-AM3364-AM3367+AM3368+AM3420)</f>
        <v>100.9242105</v>
      </c>
      <c r="AN3525" s="95">
        <f>IF(AN3524*(1-'Assumptions (O&amp;G Upstream)'!$B$352-'Assumptions (O&amp;G Upstream)'!$B$351-'Assumptions (O&amp;G Upstream)'!$B$353)-'Assumptions (O&amp;G Upstream)'!$B$348*AN3365-AN3364-AN3472+AN3420&gt;0,(1-'Assumptions (O&amp;G Upstream)'!AM$350)*(AN3524*(1-'Assumptions (O&amp;G Upstream)'!$B$352-'Assumptions (O&amp;G Upstream)'!$B$351-'Assumptions (O&amp;G Upstream)'!$B$353)-'Assumptions (O&amp;G Upstream)'!$B$348*AN3365-AN3364-AN3472+AN3420),AN3524*(1-'Assumptions (O&amp;G Upstream)'!$B$352-'Assumptions (O&amp;G Upstream)'!$B$351)-AN3364-AN3367+AN3368+AN3420)</f>
        <v>107.2346531</v>
      </c>
      <c r="AO3525" s="95">
        <f>IF(AO3524*(1-'Assumptions (O&amp;G Upstream)'!$B$352-'Assumptions (O&amp;G Upstream)'!$B$351-'Assumptions (O&amp;G Upstream)'!$B$353)-'Assumptions (O&amp;G Upstream)'!$B$348*AO3365-AO3364-AO3472+AO3420&gt;0,(1-'Assumptions (O&amp;G Upstream)'!AN$350)*(AO3524*(1-'Assumptions (O&amp;G Upstream)'!$B$352-'Assumptions (O&amp;G Upstream)'!$B$351-'Assumptions (O&amp;G Upstream)'!$B$353)-'Assumptions (O&amp;G Upstream)'!$B$348*AO3365-AO3364-AO3472+AO3420),AO3524*(1-'Assumptions (O&amp;G Upstream)'!$B$352-'Assumptions (O&amp;G Upstream)'!$B$351)-AO3364-AO3367+AO3368+AO3420)</f>
        <v>121.778105</v>
      </c>
      <c r="AP3525" s="95">
        <f>IF(AP3524*(1-'Assumptions (O&amp;G Upstream)'!$B$352-'Assumptions (O&amp;G Upstream)'!$B$351-'Assumptions (O&amp;G Upstream)'!$B$353)-'Assumptions (O&amp;G Upstream)'!$B$348*AP3365-AP3364-AP3472+AP3420&gt;0,(1-'Assumptions (O&amp;G Upstream)'!AO$350)*(AP3524*(1-'Assumptions (O&amp;G Upstream)'!$B$352-'Assumptions (O&amp;G Upstream)'!$B$351-'Assumptions (O&amp;G Upstream)'!$B$353)-'Assumptions (O&amp;G Upstream)'!$B$348*AP3365-AP3364-AP3472+AP3420),AP3524*(1-'Assumptions (O&amp;G Upstream)'!$B$352-'Assumptions (O&amp;G Upstream)'!$B$351)-AP3364-AP3367+AP3368+AP3420)</f>
        <v>134.6971428</v>
      </c>
      <c r="AQ3525" s="95">
        <f>IF(AQ3524*(1-'Assumptions (O&amp;G Upstream)'!$B$352-'Assumptions (O&amp;G Upstream)'!$B$351-'Assumptions (O&amp;G Upstream)'!$B$353)-'Assumptions (O&amp;G Upstream)'!$B$348*AQ3365-AQ3364-AQ3472+AQ3420&gt;0,(1-'Assumptions (O&amp;G Upstream)'!AP$350)*(AQ3524*(1-'Assumptions (O&amp;G Upstream)'!$B$352-'Assumptions (O&amp;G Upstream)'!$B$351-'Assumptions (O&amp;G Upstream)'!$B$353)-'Assumptions (O&amp;G Upstream)'!$B$348*AQ3365-AQ3364-AQ3472+AQ3420),AQ3524*(1-'Assumptions (O&amp;G Upstream)'!$B$352-'Assumptions (O&amp;G Upstream)'!$B$351)-AQ3364-AQ3367+AQ3368+AQ3420)</f>
        <v>152.8052925</v>
      </c>
      <c r="AR3525" s="95">
        <f>IF(AR3524*(1-'Assumptions (O&amp;G Upstream)'!$B$352-'Assumptions (O&amp;G Upstream)'!$B$351-'Assumptions (O&amp;G Upstream)'!$B$353)-'Assumptions (O&amp;G Upstream)'!$B$348*AR3365-AR3364-AR3472+AR3420&gt;0,(1-'Assumptions (O&amp;G Upstream)'!AQ$350)*(AR3524*(1-'Assumptions (O&amp;G Upstream)'!$B$352-'Assumptions (O&amp;G Upstream)'!$B$351-'Assumptions (O&amp;G Upstream)'!$B$353)-'Assumptions (O&amp;G Upstream)'!$B$348*AR3365-AR3364-AR3472+AR3420),AR3524*(1-'Assumptions (O&amp;G Upstream)'!$B$352-'Assumptions (O&amp;G Upstream)'!$B$351)-AR3364-AR3367+AR3368+AR3420)</f>
        <v>161.5409613</v>
      </c>
      <c r="AS3525" s="95">
        <f>IF(AS3524*(1-'Assumptions (O&amp;G Upstream)'!$B$352-'Assumptions (O&amp;G Upstream)'!$B$351-'Assumptions (O&amp;G Upstream)'!$B$353)-'Assumptions (O&amp;G Upstream)'!$B$348*AS3365-AS3364-AS3472+AS3420&gt;0,(1-'Assumptions (O&amp;G Upstream)'!AR$350)*(AS3524*(1-'Assumptions (O&amp;G Upstream)'!$B$352-'Assumptions (O&amp;G Upstream)'!$B$351-'Assumptions (O&amp;G Upstream)'!$B$353)-'Assumptions (O&amp;G Upstream)'!$B$348*AS3365-AS3364-AS3472+AS3420),AS3524*(1-'Assumptions (O&amp;G Upstream)'!$B$352-'Assumptions (O&amp;G Upstream)'!$B$351)-AS3364-AS3367+AS3368+AS3420)</f>
        <v>174.2385175</v>
      </c>
      <c r="AT3525" s="95">
        <f>IF(AT3524*(1-'Assumptions (O&amp;G Upstream)'!$B$352-'Assumptions (O&amp;G Upstream)'!$B$351-'Assumptions (O&amp;G Upstream)'!$B$353)-'Assumptions (O&amp;G Upstream)'!$B$348*AT3365-AT3364-AT3472+AT3420&gt;0,(1-'Assumptions (O&amp;G Upstream)'!AS$350)*(AT3524*(1-'Assumptions (O&amp;G Upstream)'!$B$352-'Assumptions (O&amp;G Upstream)'!$B$351-'Assumptions (O&amp;G Upstream)'!$B$353)-'Assumptions (O&amp;G Upstream)'!$B$348*AT3365-AT3364-AT3472+AT3420),AT3524*(1-'Assumptions (O&amp;G Upstream)'!$B$352-'Assumptions (O&amp;G Upstream)'!$B$351)-AT3364-AT3367+AT3368+AT3420)</f>
        <v>179.7043091</v>
      </c>
      <c r="AU3525" s="95">
        <f>IF(AU3524*(1-'Assumptions (O&amp;G Upstream)'!$B$352-'Assumptions (O&amp;G Upstream)'!$B$351-'Assumptions (O&amp;G Upstream)'!$B$353)-'Assumptions (O&amp;G Upstream)'!$B$348*AU3365-AU3364-AU3472+AU3420&gt;0,(1-'Assumptions (O&amp;G Upstream)'!AT$350)*(AU3524*(1-'Assumptions (O&amp;G Upstream)'!$B$352-'Assumptions (O&amp;G Upstream)'!$B$351-'Assumptions (O&amp;G Upstream)'!$B$353)-'Assumptions (O&amp;G Upstream)'!$B$348*AU3365-AU3364-AU3472+AU3420),AU3524*(1-'Assumptions (O&amp;G Upstream)'!$B$352-'Assumptions (O&amp;G Upstream)'!$B$351)-AU3364-AU3367+AU3368+AU3420)</f>
        <v>190.2086922</v>
      </c>
      <c r="AV3525" s="95">
        <f>IF(AV3524*(1-'Assumptions (O&amp;G Upstream)'!$B$352-'Assumptions (O&amp;G Upstream)'!$B$351-'Assumptions (O&amp;G Upstream)'!$B$353)-'Assumptions (O&amp;G Upstream)'!$B$348*AV3365-AV3364-AV3472+AV3420&gt;0,(1-'Assumptions (O&amp;G Upstream)'!AU$350)*(AV3524*(1-'Assumptions (O&amp;G Upstream)'!$B$352-'Assumptions (O&amp;G Upstream)'!$B$351-'Assumptions (O&amp;G Upstream)'!$B$353)-'Assumptions (O&amp;G Upstream)'!$B$348*AV3365-AV3364-AV3472+AV3420),AV3524*(1-'Assumptions (O&amp;G Upstream)'!$B$352-'Assumptions (O&amp;G Upstream)'!$B$351)-AV3364-AV3367+AV3368+AV3420)</f>
        <v>198.9822598</v>
      </c>
      <c r="AW3525" s="95">
        <f>IF(AW3524*(1-'Assumptions (O&amp;G Upstream)'!$B$352-'Assumptions (O&amp;G Upstream)'!$B$351-'Assumptions (O&amp;G Upstream)'!$B$353)-'Assumptions (O&amp;G Upstream)'!$B$348*AW3365-AW3364-AW3472+AW3420&gt;0,(1-'Assumptions (O&amp;G Upstream)'!AV$350)*(AW3524*(1-'Assumptions (O&amp;G Upstream)'!$B$352-'Assumptions (O&amp;G Upstream)'!$B$351-'Assumptions (O&amp;G Upstream)'!$B$353)-'Assumptions (O&amp;G Upstream)'!$B$348*AW3365-AW3364-AW3472+AW3420),AW3524*(1-'Assumptions (O&amp;G Upstream)'!$B$352-'Assumptions (O&amp;G Upstream)'!$B$351)-AW3364-AW3367+AW3368+AW3420)</f>
        <v>208.00271</v>
      </c>
      <c r="AX3525" s="95">
        <f>IF(AX3524*(1-'Assumptions (O&amp;G Upstream)'!$B$352-'Assumptions (O&amp;G Upstream)'!$B$351-'Assumptions (O&amp;G Upstream)'!$B$353)-'Assumptions (O&amp;G Upstream)'!$B$348*AX3365-AX3364-AX3472+AX3420&gt;0,(1-'Assumptions (O&amp;G Upstream)'!AW$350)*(AX3524*(1-'Assumptions (O&amp;G Upstream)'!$B$352-'Assumptions (O&amp;G Upstream)'!$B$351-'Assumptions (O&amp;G Upstream)'!$B$353)-'Assumptions (O&amp;G Upstream)'!$B$348*AX3365-AX3364-AX3472+AX3420),AX3524*(1-'Assumptions (O&amp;G Upstream)'!$B$352-'Assumptions (O&amp;G Upstream)'!$B$351)-AX3364-AX3367+AX3368+AX3420)</f>
        <v>217.636069</v>
      </c>
      <c r="AY3525" s="95">
        <f>IF(AY3524*(1-'Assumptions (O&amp;G Upstream)'!$B$352-'Assumptions (O&amp;G Upstream)'!$B$351-'Assumptions (O&amp;G Upstream)'!$B$353)-'Assumptions (O&amp;G Upstream)'!$B$348*AY3365-AY3364-AY3472+AY3420&gt;0,(1-'Assumptions (O&amp;G Upstream)'!AX$350)*(AY3524*(1-'Assumptions (O&amp;G Upstream)'!$B$352-'Assumptions (O&amp;G Upstream)'!$B$351-'Assumptions (O&amp;G Upstream)'!$B$353)-'Assumptions (O&amp;G Upstream)'!$B$348*AY3365-AY3364-AY3472+AY3420),AY3524*(1-'Assumptions (O&amp;G Upstream)'!$B$352-'Assumptions (O&amp;G Upstream)'!$B$351)-AY3364-AY3367+AY3368+AY3420)</f>
        <v>230.3725667</v>
      </c>
      <c r="AZ3525" s="95">
        <f>IF(AZ3524*(1-'Assumptions (O&amp;G Upstream)'!$B$352-'Assumptions (O&amp;G Upstream)'!$B$351-'Assumptions (O&amp;G Upstream)'!$B$353)-'Assumptions (O&amp;G Upstream)'!$B$348*AZ3365-AZ3364-AZ3472+AZ3420&gt;0,(1-'Assumptions (O&amp;G Upstream)'!AY$350)*(AZ3524*(1-'Assumptions (O&amp;G Upstream)'!$B$352-'Assumptions (O&amp;G Upstream)'!$B$351-'Assumptions (O&amp;G Upstream)'!$B$353)-'Assumptions (O&amp;G Upstream)'!$B$348*AZ3365-AZ3364-AZ3472+AZ3420),AZ3524*(1-'Assumptions (O&amp;G Upstream)'!$B$352-'Assumptions (O&amp;G Upstream)'!$B$351)-AZ3364-AZ3367+AZ3368+AZ3420)</f>
        <v>237.7704973</v>
      </c>
      <c r="BA3525" s="95">
        <f>IF(BA3524*(1-'Assumptions (O&amp;G Upstream)'!$B$352-'Assumptions (O&amp;G Upstream)'!$B$351-'Assumptions (O&amp;G Upstream)'!$B$353)-'Assumptions (O&amp;G Upstream)'!$B$348*BA3365-BA3364-BA3472+BA3420&gt;0,(1-'Assumptions (O&amp;G Upstream)'!AZ$350)*(BA3524*(1-'Assumptions (O&amp;G Upstream)'!$B$352-'Assumptions (O&amp;G Upstream)'!$B$351-'Assumptions (O&amp;G Upstream)'!$B$353)-'Assumptions (O&amp;G Upstream)'!$B$348*BA3365-BA3364-BA3472+BA3420),BA3524*(1-'Assumptions (O&amp;G Upstream)'!$B$352-'Assumptions (O&amp;G Upstream)'!$B$351)-BA3364-BA3367+BA3368+BA3420)</f>
        <v>248.7217816</v>
      </c>
    </row>
    <row r="3526" ht="15.75" customHeight="1">
      <c r="A3526" s="389" t="s">
        <v>458</v>
      </c>
      <c r="B3526" s="150" t="s">
        <v>351</v>
      </c>
      <c r="C3526" s="95">
        <f>IF(C3524*(1-'Assumptions (O&amp;G Upstream)'!$B$352-'Assumptions (O&amp;G Upstream)'!$B$351-'Assumptions (O&amp;G Upstream)'!$B$353)-'Assumptions (O&amp;G Upstream)'!$B$348*C3365-C3364-C3472+C3420&gt;0,'Assumptions (O&amp;G Upstream)'!B$350*(C3524*(1-'Assumptions (O&amp;G Upstream)'!$B$352-'Assumptions (O&amp;G Upstream)'!$B$351-'Assumptions (O&amp;G Upstream)'!$B$353)-'Assumptions (O&amp;G Upstream)'!$B$348*C3365-C3364-C3472+C3420),0)</f>
        <v>17.10359608</v>
      </c>
      <c r="D3526" s="95">
        <f>IF(D3524*(1-'Assumptions (O&amp;G Upstream)'!$B$352-'Assumptions (O&amp;G Upstream)'!$B$351-'Assumptions (O&amp;G Upstream)'!$B$353)-'Assumptions (O&amp;G Upstream)'!$B$348*D3365-D3364-D3472+D3420&gt;0,'Assumptions (O&amp;G Upstream)'!C$350*(D3524*(1-'Assumptions (O&amp;G Upstream)'!$B$352-'Assumptions (O&amp;G Upstream)'!$B$351-'Assumptions (O&amp;G Upstream)'!$B$353)-'Assumptions (O&amp;G Upstream)'!$B$348*D3365-D3364-D3472+D3420),0)</f>
        <v>6.072304766</v>
      </c>
      <c r="E3526" s="95">
        <f>IF(E3524*(1-'Assumptions (O&amp;G Upstream)'!$B$352-'Assumptions (O&amp;G Upstream)'!$B$351-'Assumptions (O&amp;G Upstream)'!$B$353)-'Assumptions (O&amp;G Upstream)'!$B$348*E3365-E3364-E3472+E3420&gt;0,'Assumptions (O&amp;G Upstream)'!D$350*(E3524*(1-'Assumptions (O&amp;G Upstream)'!$B$352-'Assumptions (O&amp;G Upstream)'!$B$351-'Assumptions (O&amp;G Upstream)'!$B$353)-'Assumptions (O&amp;G Upstream)'!$B$348*E3365-E3364-E3472+E3420),0)</f>
        <v>1.501270149</v>
      </c>
      <c r="F3526" s="95">
        <f>IF(F3524*(1-'Assumptions (O&amp;G Upstream)'!$B$352-'Assumptions (O&amp;G Upstream)'!$B$351-'Assumptions (O&amp;G Upstream)'!$B$353)-'Assumptions (O&amp;G Upstream)'!$B$348*F3365-F3364-F3472+F3420&gt;0,'Assumptions (O&amp;G Upstream)'!E$350*(F3524*(1-'Assumptions (O&amp;G Upstream)'!$B$352-'Assumptions (O&amp;G Upstream)'!$B$351-'Assumptions (O&amp;G Upstream)'!$B$353)-'Assumptions (O&amp;G Upstream)'!$B$348*F3365-F3364-F3472+F3420),0)</f>
        <v>9.645202354</v>
      </c>
      <c r="G3526" s="95">
        <f>IF(G3524*(1-'Assumptions (O&amp;G Upstream)'!$B$352-'Assumptions (O&amp;G Upstream)'!$B$351-'Assumptions (O&amp;G Upstream)'!$B$353)-'Assumptions (O&amp;G Upstream)'!$B$348*G3365-G3364-G3472+G3420&gt;0,'Assumptions (O&amp;G Upstream)'!F$350*(G3524*(1-'Assumptions (O&amp;G Upstream)'!$B$352-'Assumptions (O&amp;G Upstream)'!$B$351-'Assumptions (O&amp;G Upstream)'!$B$353)-'Assumptions (O&amp;G Upstream)'!$B$348*G3365-G3364-G3472+G3420),0)</f>
        <v>11.4170816</v>
      </c>
      <c r="H3526" s="95">
        <f>IF(H3524*(1-'Assumptions (O&amp;G Upstream)'!$B$352-'Assumptions (O&amp;G Upstream)'!$B$351-'Assumptions (O&amp;G Upstream)'!$B$353)-'Assumptions (O&amp;G Upstream)'!$B$348*H3365-H3364-H3472+H3420&gt;0,'Assumptions (O&amp;G Upstream)'!G$350*(H3524*(1-'Assumptions (O&amp;G Upstream)'!$B$352-'Assumptions (O&amp;G Upstream)'!$B$351-'Assumptions (O&amp;G Upstream)'!$B$353)-'Assumptions (O&amp;G Upstream)'!$B$348*H3365-H3364-H3472+H3420),0)</f>
        <v>20.80307347</v>
      </c>
      <c r="I3526" s="95">
        <f>IF(I3524*(1-'Assumptions (O&amp;G Upstream)'!$B$352-'Assumptions (O&amp;G Upstream)'!$B$351-'Assumptions (O&amp;G Upstream)'!$B$353)-'Assumptions (O&amp;G Upstream)'!$B$348*I3365-I3364-I3472+I3420&gt;0,'Assumptions (O&amp;G Upstream)'!H$350*(I3524*(1-'Assumptions (O&amp;G Upstream)'!$B$352-'Assumptions (O&amp;G Upstream)'!$B$351-'Assumptions (O&amp;G Upstream)'!$B$353)-'Assumptions (O&amp;G Upstream)'!$B$348*I3365-I3364-I3472+I3420),0)</f>
        <v>2.896682251</v>
      </c>
      <c r="J3526" s="95">
        <f>IF(J3524*(1-'Assumptions (O&amp;G Upstream)'!$B$352-'Assumptions (O&amp;G Upstream)'!$B$351-'Assumptions (O&amp;G Upstream)'!$B$353)-'Assumptions (O&amp;G Upstream)'!$B$348*J3365-J3364-J3472+J3420&gt;0,'Assumptions (O&amp;G Upstream)'!I$350*(J3524*(1-'Assumptions (O&amp;G Upstream)'!$B$352-'Assumptions (O&amp;G Upstream)'!$B$351-'Assumptions (O&amp;G Upstream)'!$B$353)-'Assumptions (O&amp;G Upstream)'!$B$348*J3365-J3364-J3472+J3420),0)</f>
        <v>0</v>
      </c>
      <c r="K3526" s="95">
        <f>IF(K3524*(1-'Assumptions (O&amp;G Upstream)'!$B$352-'Assumptions (O&amp;G Upstream)'!$B$351-'Assumptions (O&amp;G Upstream)'!$B$353)-'Assumptions (O&amp;G Upstream)'!$B$348*K3365-K3364-K3472+K3420&gt;0,'Assumptions (O&amp;G Upstream)'!J$350*(K3524*(1-'Assumptions (O&amp;G Upstream)'!$B$352-'Assumptions (O&amp;G Upstream)'!$B$351-'Assumptions (O&amp;G Upstream)'!$B$353)-'Assumptions (O&amp;G Upstream)'!$B$348*K3365-K3364-K3472+K3420),0)</f>
        <v>7.878358278</v>
      </c>
      <c r="L3526" s="95">
        <f>IF(L3524*(1-'Assumptions (O&amp;G Upstream)'!$B$352-'Assumptions (O&amp;G Upstream)'!$B$351-'Assumptions (O&amp;G Upstream)'!$B$353)-'Assumptions (O&amp;G Upstream)'!$B$348*L3365-L3364-L3472+L3420&gt;0,'Assumptions (O&amp;G Upstream)'!K$350*(L3524*(1-'Assumptions (O&amp;G Upstream)'!$B$352-'Assumptions (O&amp;G Upstream)'!$B$351-'Assumptions (O&amp;G Upstream)'!$B$353)-'Assumptions (O&amp;G Upstream)'!$B$348*L3365-L3364-L3472+L3420),0)</f>
        <v>0</v>
      </c>
      <c r="M3526" s="95">
        <f>IF(M3524*(1-'Assumptions (O&amp;G Upstream)'!$B$352-'Assumptions (O&amp;G Upstream)'!$B$351-'Assumptions (O&amp;G Upstream)'!$B$353)-'Assumptions (O&amp;G Upstream)'!$B$348*M3365-M3364-M3472+M3420&gt;0,'Assumptions (O&amp;G Upstream)'!L$350*(M3524*(1-'Assumptions (O&amp;G Upstream)'!$B$352-'Assumptions (O&amp;G Upstream)'!$B$351-'Assumptions (O&amp;G Upstream)'!$B$353)-'Assumptions (O&amp;G Upstream)'!$B$348*M3365-M3364-M3472+M3420),0)</f>
        <v>0</v>
      </c>
      <c r="N3526" s="95">
        <f>IF(N3524*(1-'Assumptions (O&amp;G Upstream)'!$B$352-'Assumptions (O&amp;G Upstream)'!$B$351-'Assumptions (O&amp;G Upstream)'!$B$353)-'Assumptions (O&amp;G Upstream)'!$B$348*N3365-N3364-N3472+N3420&gt;0,'Assumptions (O&amp;G Upstream)'!M$350*(N3524*(1-'Assumptions (O&amp;G Upstream)'!$B$352-'Assumptions (O&amp;G Upstream)'!$B$351-'Assumptions (O&amp;G Upstream)'!$B$353)-'Assumptions (O&amp;G Upstream)'!$B$348*N3365-N3364-N3472+N3420),0)</f>
        <v>0</v>
      </c>
      <c r="O3526" s="95">
        <f>IF(O3524*(1-'Assumptions (O&amp;G Upstream)'!$B$352-'Assumptions (O&amp;G Upstream)'!$B$351-'Assumptions (O&amp;G Upstream)'!$B$353)-'Assumptions (O&amp;G Upstream)'!$B$348*O3365-O3364-O3472+O3420&gt;0,'Assumptions (O&amp;G Upstream)'!N$350*(O3524*(1-'Assumptions (O&amp;G Upstream)'!$B$352-'Assumptions (O&amp;G Upstream)'!$B$351-'Assumptions (O&amp;G Upstream)'!$B$353)-'Assumptions (O&amp;G Upstream)'!$B$348*O3365-O3364-O3472+O3420),0)</f>
        <v>0</v>
      </c>
      <c r="P3526" s="95">
        <f>IF(P3524*(1-'Assumptions (O&amp;G Upstream)'!$B$352-'Assumptions (O&amp;G Upstream)'!$B$351-'Assumptions (O&amp;G Upstream)'!$B$353)-'Assumptions (O&amp;G Upstream)'!$B$348*P3365-P3364-P3472+P3420&gt;0,'Assumptions (O&amp;G Upstream)'!O$350*(P3524*(1-'Assumptions (O&amp;G Upstream)'!$B$352-'Assumptions (O&amp;G Upstream)'!$B$351-'Assumptions (O&amp;G Upstream)'!$B$353)-'Assumptions (O&amp;G Upstream)'!$B$348*P3365-P3364-P3472+P3420),0)</f>
        <v>0</v>
      </c>
      <c r="Q3526" s="95">
        <f>IF(Q3524*(1-'Assumptions (O&amp;G Upstream)'!$B$352-'Assumptions (O&amp;G Upstream)'!$B$351-'Assumptions (O&amp;G Upstream)'!$B$353)-'Assumptions (O&amp;G Upstream)'!$B$348*Q3365-Q3364-Q3472+Q3420&gt;0,'Assumptions (O&amp;G Upstream)'!P$350*(Q3524*(1-'Assumptions (O&amp;G Upstream)'!$B$352-'Assumptions (O&amp;G Upstream)'!$B$351-'Assumptions (O&amp;G Upstream)'!$B$353)-'Assumptions (O&amp;G Upstream)'!$B$348*Q3365-Q3364-Q3472+Q3420),0)</f>
        <v>0</v>
      </c>
      <c r="R3526" s="95">
        <f>IF(R3524*(1-'Assumptions (O&amp;G Upstream)'!$B$352-'Assumptions (O&amp;G Upstream)'!$B$351-'Assumptions (O&amp;G Upstream)'!$B$353)-'Assumptions (O&amp;G Upstream)'!$B$348*R3365-R3364-R3472+R3420&gt;0,'Assumptions (O&amp;G Upstream)'!Q$350*(R3524*(1-'Assumptions (O&amp;G Upstream)'!$B$352-'Assumptions (O&amp;G Upstream)'!$B$351-'Assumptions (O&amp;G Upstream)'!$B$353)-'Assumptions (O&amp;G Upstream)'!$B$348*R3365-R3364-R3472+R3420),0)</f>
        <v>0</v>
      </c>
      <c r="S3526" s="95">
        <f>IF(S3524*(1-'Assumptions (O&amp;G Upstream)'!$B$352-'Assumptions (O&amp;G Upstream)'!$B$351-'Assumptions (O&amp;G Upstream)'!$B$353)-'Assumptions (O&amp;G Upstream)'!$B$348*S3365-S3364-S3472+S3420&gt;0,'Assumptions (O&amp;G Upstream)'!R$350*(S3524*(1-'Assumptions (O&amp;G Upstream)'!$B$352-'Assumptions (O&amp;G Upstream)'!$B$351-'Assumptions (O&amp;G Upstream)'!$B$353)-'Assumptions (O&amp;G Upstream)'!$B$348*S3365-S3364-S3472+S3420),0)</f>
        <v>0</v>
      </c>
      <c r="T3526" s="95">
        <f>IF(T3524*(1-'Assumptions (O&amp;G Upstream)'!$B$352-'Assumptions (O&amp;G Upstream)'!$B$351-'Assumptions (O&amp;G Upstream)'!$B$353)-'Assumptions (O&amp;G Upstream)'!$B$348*T3365-T3364-T3472+T3420&gt;0,'Assumptions (O&amp;G Upstream)'!S$350*(T3524*(1-'Assumptions (O&amp;G Upstream)'!$B$352-'Assumptions (O&amp;G Upstream)'!$B$351-'Assumptions (O&amp;G Upstream)'!$B$353)-'Assumptions (O&amp;G Upstream)'!$B$348*T3365-T3364-T3472+T3420),0)</f>
        <v>0</v>
      </c>
      <c r="U3526" s="95">
        <f>IF(U3524*(1-'Assumptions (O&amp;G Upstream)'!$B$352-'Assumptions (O&amp;G Upstream)'!$B$351-'Assumptions (O&amp;G Upstream)'!$B$353)-'Assumptions (O&amp;G Upstream)'!$B$348*U3365-U3364-U3472+U3420&gt;0,'Assumptions (O&amp;G Upstream)'!T$350*(U3524*(1-'Assumptions (O&amp;G Upstream)'!$B$352-'Assumptions (O&amp;G Upstream)'!$B$351-'Assumptions (O&amp;G Upstream)'!$B$353)-'Assumptions (O&amp;G Upstream)'!$B$348*U3365-U3364-U3472+U3420),0)</f>
        <v>0</v>
      </c>
      <c r="V3526" s="95">
        <f>IF(V3524*(1-'Assumptions (O&amp;G Upstream)'!$B$352-'Assumptions (O&amp;G Upstream)'!$B$351-'Assumptions (O&amp;G Upstream)'!$B$353)-'Assumptions (O&amp;G Upstream)'!$B$348*V3365-V3364-V3472+V3420&gt;0,'Assumptions (O&amp;G Upstream)'!U$350*(V3524*(1-'Assumptions (O&amp;G Upstream)'!$B$352-'Assumptions (O&amp;G Upstream)'!$B$351-'Assumptions (O&amp;G Upstream)'!$B$353)-'Assumptions (O&amp;G Upstream)'!$B$348*V3365-V3364-V3472+V3420),0)</f>
        <v>0</v>
      </c>
      <c r="W3526" s="95">
        <f>IF(W3524*(1-'Assumptions (O&amp;G Upstream)'!$B$352-'Assumptions (O&amp;G Upstream)'!$B$351-'Assumptions (O&amp;G Upstream)'!$B$353)-'Assumptions (O&amp;G Upstream)'!$B$348*W3365-W3364-W3472+W3420&gt;0,'Assumptions (O&amp;G Upstream)'!V$350*(W3524*(1-'Assumptions (O&amp;G Upstream)'!$B$352-'Assumptions (O&amp;G Upstream)'!$B$351-'Assumptions (O&amp;G Upstream)'!$B$353)-'Assumptions (O&amp;G Upstream)'!$B$348*W3365-W3364-W3472+W3420),0)</f>
        <v>0</v>
      </c>
      <c r="X3526" s="95">
        <f>IF(X3524*(1-'Assumptions (O&amp;G Upstream)'!$B$352-'Assumptions (O&amp;G Upstream)'!$B$351-'Assumptions (O&amp;G Upstream)'!$B$353)-'Assumptions (O&amp;G Upstream)'!$B$348*X3365-X3364-X3472+X3420&gt;0,'Assumptions (O&amp;G Upstream)'!W$350*(X3524*(1-'Assumptions (O&amp;G Upstream)'!$B$352-'Assumptions (O&amp;G Upstream)'!$B$351-'Assumptions (O&amp;G Upstream)'!$B$353)-'Assumptions (O&amp;G Upstream)'!$B$348*X3365-X3364-X3472+X3420),0)</f>
        <v>0</v>
      </c>
      <c r="Y3526" s="95">
        <f>IF(Y3524*(1-'Assumptions (O&amp;G Upstream)'!$B$352-'Assumptions (O&amp;G Upstream)'!$B$351-'Assumptions (O&amp;G Upstream)'!$B$353)-'Assumptions (O&amp;G Upstream)'!$B$348*Y3365-Y3364-Y3472+Y3420&gt;0,'Assumptions (O&amp;G Upstream)'!X$350*(Y3524*(1-'Assumptions (O&amp;G Upstream)'!$B$352-'Assumptions (O&amp;G Upstream)'!$B$351-'Assumptions (O&amp;G Upstream)'!$B$353)-'Assumptions (O&amp;G Upstream)'!$B$348*Y3365-Y3364-Y3472+Y3420),0)</f>
        <v>0</v>
      </c>
      <c r="Z3526" s="95">
        <f>IF(Z3524*(1-'Assumptions (O&amp;G Upstream)'!$B$352-'Assumptions (O&amp;G Upstream)'!$B$351-'Assumptions (O&amp;G Upstream)'!$B$353)-'Assumptions (O&amp;G Upstream)'!$B$348*Z3365-Z3364-Z3472+Z3420&gt;0,'Assumptions (O&amp;G Upstream)'!Y$350*(Z3524*(1-'Assumptions (O&amp;G Upstream)'!$B$352-'Assumptions (O&amp;G Upstream)'!$B$351-'Assumptions (O&amp;G Upstream)'!$B$353)-'Assumptions (O&amp;G Upstream)'!$B$348*Z3365-Z3364-Z3472+Z3420),0)</f>
        <v>0</v>
      </c>
      <c r="AA3526" s="95">
        <f>IF(AA3524*(1-'Assumptions (O&amp;G Upstream)'!$B$352-'Assumptions (O&amp;G Upstream)'!$B$351-'Assumptions (O&amp;G Upstream)'!$B$353)-'Assumptions (O&amp;G Upstream)'!$B$348*AA3365-AA3364-AA3472+AA3420&gt;0,'Assumptions (O&amp;G Upstream)'!Z$350*(AA3524*(1-'Assumptions (O&amp;G Upstream)'!$B$352-'Assumptions (O&amp;G Upstream)'!$B$351-'Assumptions (O&amp;G Upstream)'!$B$353)-'Assumptions (O&amp;G Upstream)'!$B$348*AA3365-AA3364-AA3472+AA3420),0)</f>
        <v>0</v>
      </c>
      <c r="AB3526" s="95">
        <f>IF(AB3524*(1-'Assumptions (O&amp;G Upstream)'!$B$352-'Assumptions (O&amp;G Upstream)'!$B$351-'Assumptions (O&amp;G Upstream)'!$B$353)-'Assumptions (O&amp;G Upstream)'!$B$348*AB3365-AB3364-AB3472+AB3420&gt;0,'Assumptions (O&amp;G Upstream)'!AA$350*(AB3524*(1-'Assumptions (O&amp;G Upstream)'!$B$352-'Assumptions (O&amp;G Upstream)'!$B$351-'Assumptions (O&amp;G Upstream)'!$B$353)-'Assumptions (O&amp;G Upstream)'!$B$348*AB3365-AB3364-AB3472+AB3420),0)</f>
        <v>0</v>
      </c>
      <c r="AC3526" s="95">
        <f>IF(AC3524*(1-'Assumptions (O&amp;G Upstream)'!$B$352-'Assumptions (O&amp;G Upstream)'!$B$351-'Assumptions (O&amp;G Upstream)'!$B$353)-'Assumptions (O&amp;G Upstream)'!$B$348*AC3365-AC3364-AC3472+AC3420&gt;0,'Assumptions (O&amp;G Upstream)'!AB$350*(AC3524*(1-'Assumptions (O&amp;G Upstream)'!$B$352-'Assumptions (O&amp;G Upstream)'!$B$351-'Assumptions (O&amp;G Upstream)'!$B$353)-'Assumptions (O&amp;G Upstream)'!$B$348*AC3365-AC3364-AC3472+AC3420),0)</f>
        <v>0</v>
      </c>
      <c r="AD3526" s="95">
        <f>IF(AD3524*(1-'Assumptions (O&amp;G Upstream)'!$B$352-'Assumptions (O&amp;G Upstream)'!$B$351-'Assumptions (O&amp;G Upstream)'!$B$353)-'Assumptions (O&amp;G Upstream)'!$B$348*AD3365-AD3364-AD3472+AD3420&gt;0,'Assumptions (O&amp;G Upstream)'!AC$350*(AD3524*(1-'Assumptions (O&amp;G Upstream)'!$B$352-'Assumptions (O&amp;G Upstream)'!$B$351-'Assumptions (O&amp;G Upstream)'!$B$353)-'Assumptions (O&amp;G Upstream)'!$B$348*AD3365-AD3364-AD3472+AD3420),0)</f>
        <v>0</v>
      </c>
      <c r="AE3526" s="95">
        <f>IF(AE3524*(1-'Assumptions (O&amp;G Upstream)'!$B$352-'Assumptions (O&amp;G Upstream)'!$B$351-'Assumptions (O&amp;G Upstream)'!$B$353)-'Assumptions (O&amp;G Upstream)'!$B$348*AE3365-AE3364-AE3472+AE3420&gt;0,'Assumptions (O&amp;G Upstream)'!AD$350*(AE3524*(1-'Assumptions (O&amp;G Upstream)'!$B$352-'Assumptions (O&amp;G Upstream)'!$B$351-'Assumptions (O&amp;G Upstream)'!$B$353)-'Assumptions (O&amp;G Upstream)'!$B$348*AE3365-AE3364-AE3472+AE3420),0)</f>
        <v>1.006610748</v>
      </c>
      <c r="AF3526" s="95">
        <f>IF(AF3524*(1-'Assumptions (O&amp;G Upstream)'!$B$352-'Assumptions (O&amp;G Upstream)'!$B$351-'Assumptions (O&amp;G Upstream)'!$B$353)-'Assumptions (O&amp;G Upstream)'!$B$348*AF3365-AF3364-AF3472+AF3420&gt;0,'Assumptions (O&amp;G Upstream)'!AE$350*(AF3524*(1-'Assumptions (O&amp;G Upstream)'!$B$352-'Assumptions (O&amp;G Upstream)'!$B$351-'Assumptions (O&amp;G Upstream)'!$B$353)-'Assumptions (O&amp;G Upstream)'!$B$348*AF3365-AF3364-AF3472+AF3420),0)</f>
        <v>3.353238133</v>
      </c>
      <c r="AG3526" s="95">
        <f>IF(AG3524*(1-'Assumptions (O&amp;G Upstream)'!$B$352-'Assumptions (O&amp;G Upstream)'!$B$351-'Assumptions (O&amp;G Upstream)'!$B$353)-'Assumptions (O&amp;G Upstream)'!$B$348*AG3365-AG3364-AG3472+AG3420&gt;0,'Assumptions (O&amp;G Upstream)'!AF$350*(AG3524*(1-'Assumptions (O&amp;G Upstream)'!$B$352-'Assumptions (O&amp;G Upstream)'!$B$351-'Assumptions (O&amp;G Upstream)'!$B$353)-'Assumptions (O&amp;G Upstream)'!$B$348*AG3365-AG3364-AG3472+AG3420),0)</f>
        <v>5.636602107</v>
      </c>
      <c r="AH3526" s="95">
        <f>IF(AH3524*(1-'Assumptions (O&amp;G Upstream)'!$B$352-'Assumptions (O&amp;G Upstream)'!$B$351-'Assumptions (O&amp;G Upstream)'!$B$353)-'Assumptions (O&amp;G Upstream)'!$B$348*AH3365-AH3364-AH3472+AH3420&gt;0,'Assumptions (O&amp;G Upstream)'!AG$350*(AH3524*(1-'Assumptions (O&amp;G Upstream)'!$B$352-'Assumptions (O&amp;G Upstream)'!$B$351-'Assumptions (O&amp;G Upstream)'!$B$353)-'Assumptions (O&amp;G Upstream)'!$B$348*AH3365-AH3364-AH3472+AH3420),0)</f>
        <v>8.663388269</v>
      </c>
      <c r="AI3526" s="95">
        <f>IF(AI3524*(1-'Assumptions (O&amp;G Upstream)'!$B$352-'Assumptions (O&amp;G Upstream)'!$B$351-'Assumptions (O&amp;G Upstream)'!$B$353)-'Assumptions (O&amp;G Upstream)'!$B$348*AI3365-AI3364-AI3472+AI3420&gt;0,'Assumptions (O&amp;G Upstream)'!AH$350*(AI3524*(1-'Assumptions (O&amp;G Upstream)'!$B$352-'Assumptions (O&amp;G Upstream)'!$B$351-'Assumptions (O&amp;G Upstream)'!$B$353)-'Assumptions (O&amp;G Upstream)'!$B$348*AI3365-AI3364-AI3472+AI3420),0)</f>
        <v>12.02913809</v>
      </c>
      <c r="AJ3526" s="95">
        <f>IF(AJ3524*(1-'Assumptions (O&amp;G Upstream)'!$B$352-'Assumptions (O&amp;G Upstream)'!$B$351-'Assumptions (O&amp;G Upstream)'!$B$353)-'Assumptions (O&amp;G Upstream)'!$B$348*AJ3365-AJ3364-AJ3472+AJ3420&gt;0,'Assumptions (O&amp;G Upstream)'!AI$350*(AJ3524*(1-'Assumptions (O&amp;G Upstream)'!$B$352-'Assumptions (O&amp;G Upstream)'!$B$351-'Assumptions (O&amp;G Upstream)'!$B$353)-'Assumptions (O&amp;G Upstream)'!$B$348*AJ3365-AJ3364-AJ3472+AJ3420),0)</f>
        <v>16.62443461</v>
      </c>
      <c r="AK3526" s="95">
        <f>IF(AK3524*(1-'Assumptions (O&amp;G Upstream)'!$B$352-'Assumptions (O&amp;G Upstream)'!$B$351-'Assumptions (O&amp;G Upstream)'!$B$353)-'Assumptions (O&amp;G Upstream)'!$B$348*AK3365-AK3364-AK3472+AK3420&gt;0,'Assumptions (O&amp;G Upstream)'!AJ$350*(AK3524*(1-'Assumptions (O&amp;G Upstream)'!$B$352-'Assumptions (O&amp;G Upstream)'!$B$351-'Assumptions (O&amp;G Upstream)'!$B$353)-'Assumptions (O&amp;G Upstream)'!$B$348*AK3365-AK3364-AK3472+AK3420),0)</f>
        <v>18.94531645</v>
      </c>
      <c r="AL3526" s="95">
        <f>IF(AL3524*(1-'Assumptions (O&amp;G Upstream)'!$B$352-'Assumptions (O&amp;G Upstream)'!$B$351-'Assumptions (O&amp;G Upstream)'!$B$353)-'Assumptions (O&amp;G Upstream)'!$B$348*AL3365-AL3364-AL3472+AL3420&gt;0,'Assumptions (O&amp;G Upstream)'!AK$350*(AL3524*(1-'Assumptions (O&amp;G Upstream)'!$B$352-'Assumptions (O&amp;G Upstream)'!$B$351-'Assumptions (O&amp;G Upstream)'!$B$353)-'Assumptions (O&amp;G Upstream)'!$B$348*AL3365-AL3364-AL3472+AL3420),0)</f>
        <v>22.17787587</v>
      </c>
      <c r="AM3526" s="95">
        <f>IF(AM3524*(1-'Assumptions (O&amp;G Upstream)'!$B$352-'Assumptions (O&amp;G Upstream)'!$B$351-'Assumptions (O&amp;G Upstream)'!$B$353)-'Assumptions (O&amp;G Upstream)'!$B$348*AM3365-AM3364-AM3472+AM3420&gt;0,'Assumptions (O&amp;G Upstream)'!AL$350*(AM3524*(1-'Assumptions (O&amp;G Upstream)'!$B$352-'Assumptions (O&amp;G Upstream)'!$B$351-'Assumptions (O&amp;G Upstream)'!$B$353)-'Assumptions (O&amp;G Upstream)'!$B$348*AM3365-AM3364-AM3472+AM3420),0)</f>
        <v>26.82795469</v>
      </c>
      <c r="AN3526" s="95">
        <f>IF(AN3524*(1-'Assumptions (O&amp;G Upstream)'!$B$352-'Assumptions (O&amp;G Upstream)'!$B$351-'Assumptions (O&amp;G Upstream)'!$B$353)-'Assumptions (O&amp;G Upstream)'!$B$348*AN3365-AN3364-AN3472+AN3420&gt;0,'Assumptions (O&amp;G Upstream)'!AM$350*(AN3524*(1-'Assumptions (O&amp;G Upstream)'!$B$352-'Assumptions (O&amp;G Upstream)'!$B$351-'Assumptions (O&amp;G Upstream)'!$B$353)-'Assumptions (O&amp;G Upstream)'!$B$348*AN3365-AN3364-AN3472+AN3420),0)</f>
        <v>28.50541413</v>
      </c>
      <c r="AO3526" s="95">
        <f>IF(AO3524*(1-'Assumptions (O&amp;G Upstream)'!$B$352-'Assumptions (O&amp;G Upstream)'!$B$351-'Assumptions (O&amp;G Upstream)'!$B$353)-'Assumptions (O&amp;G Upstream)'!$B$348*AO3365-AO3364-AO3472+AO3420&gt;0,'Assumptions (O&amp;G Upstream)'!AN$350*(AO3524*(1-'Assumptions (O&amp;G Upstream)'!$B$352-'Assumptions (O&amp;G Upstream)'!$B$351-'Assumptions (O&amp;G Upstream)'!$B$353)-'Assumptions (O&amp;G Upstream)'!$B$348*AO3365-AO3364-AO3472+AO3420),0)</f>
        <v>32.371395</v>
      </c>
      <c r="AP3526" s="95">
        <f>IF(AP3524*(1-'Assumptions (O&amp;G Upstream)'!$B$352-'Assumptions (O&amp;G Upstream)'!$B$351-'Assumptions (O&amp;G Upstream)'!$B$353)-'Assumptions (O&amp;G Upstream)'!$B$348*AP3365-AP3364-AP3472+AP3420&gt;0,'Assumptions (O&amp;G Upstream)'!AO$350*(AP3524*(1-'Assumptions (O&amp;G Upstream)'!$B$352-'Assumptions (O&amp;G Upstream)'!$B$351-'Assumptions (O&amp;G Upstream)'!$B$353)-'Assumptions (O&amp;G Upstream)'!$B$348*AP3365-AP3364-AP3472+AP3420),0)</f>
        <v>35.80556959</v>
      </c>
      <c r="AQ3526" s="95">
        <f>IF(AQ3524*(1-'Assumptions (O&amp;G Upstream)'!$B$352-'Assumptions (O&amp;G Upstream)'!$B$351-'Assumptions (O&amp;G Upstream)'!$B$353)-'Assumptions (O&amp;G Upstream)'!$B$348*AQ3365-AQ3364-AQ3472+AQ3420&gt;0,'Assumptions (O&amp;G Upstream)'!AP$350*(AQ3524*(1-'Assumptions (O&amp;G Upstream)'!$B$352-'Assumptions (O&amp;G Upstream)'!$B$351-'Assumptions (O&amp;G Upstream)'!$B$353)-'Assumptions (O&amp;G Upstream)'!$B$348*AQ3365-AQ3364-AQ3472+AQ3420),0)</f>
        <v>40.61912837</v>
      </c>
      <c r="AR3526" s="95">
        <f>IF(AR3524*(1-'Assumptions (O&amp;G Upstream)'!$B$352-'Assumptions (O&amp;G Upstream)'!$B$351-'Assumptions (O&amp;G Upstream)'!$B$353)-'Assumptions (O&amp;G Upstream)'!$B$348*AR3365-AR3364-AR3472+AR3420&gt;0,'Assumptions (O&amp;G Upstream)'!AQ$350*(AR3524*(1-'Assumptions (O&amp;G Upstream)'!$B$352-'Assumptions (O&amp;G Upstream)'!$B$351-'Assumptions (O&amp;G Upstream)'!$B$353)-'Assumptions (O&amp;G Upstream)'!$B$348*AR3365-AR3364-AR3472+AR3420),0)</f>
        <v>42.9412682</v>
      </c>
      <c r="AS3526" s="95">
        <f>IF(AS3524*(1-'Assumptions (O&amp;G Upstream)'!$B$352-'Assumptions (O&amp;G Upstream)'!$B$351-'Assumptions (O&amp;G Upstream)'!$B$353)-'Assumptions (O&amp;G Upstream)'!$B$348*AS3365-AS3364-AS3472+AS3420&gt;0,'Assumptions (O&amp;G Upstream)'!AR$350*(AS3524*(1-'Assumptions (O&amp;G Upstream)'!$B$352-'Assumptions (O&amp;G Upstream)'!$B$351-'Assumptions (O&amp;G Upstream)'!$B$353)-'Assumptions (O&amp;G Upstream)'!$B$348*AS3365-AS3364-AS3472+AS3420),0)</f>
        <v>46.31656794</v>
      </c>
      <c r="AT3526" s="95">
        <f>IF(AT3524*(1-'Assumptions (O&amp;G Upstream)'!$B$352-'Assumptions (O&amp;G Upstream)'!$B$351-'Assumptions (O&amp;G Upstream)'!$B$353)-'Assumptions (O&amp;G Upstream)'!$B$348*AT3365-AT3364-AT3472+AT3420&gt;0,'Assumptions (O&amp;G Upstream)'!AS$350*(AT3524*(1-'Assumptions (O&amp;G Upstream)'!$B$352-'Assumptions (O&amp;G Upstream)'!$B$351-'Assumptions (O&amp;G Upstream)'!$B$353)-'Assumptions (O&amp;G Upstream)'!$B$348*AT3365-AT3364-AT3472+AT3420),0)</f>
        <v>47.76949988</v>
      </c>
      <c r="AU3526" s="95">
        <f>IF(AU3524*(1-'Assumptions (O&amp;G Upstream)'!$B$352-'Assumptions (O&amp;G Upstream)'!$B$351-'Assumptions (O&amp;G Upstream)'!$B$353)-'Assumptions (O&amp;G Upstream)'!$B$348*AU3365-AU3364-AU3472+AU3420&gt;0,'Assumptions (O&amp;G Upstream)'!AT$350*(AU3524*(1-'Assumptions (O&amp;G Upstream)'!$B$352-'Assumptions (O&amp;G Upstream)'!$B$351-'Assumptions (O&amp;G Upstream)'!$B$353)-'Assumptions (O&amp;G Upstream)'!$B$348*AU3365-AU3364-AU3472+AU3420),0)</f>
        <v>50.56180427</v>
      </c>
      <c r="AV3526" s="95">
        <f>IF(AV3524*(1-'Assumptions (O&amp;G Upstream)'!$B$352-'Assumptions (O&amp;G Upstream)'!$B$351-'Assumptions (O&amp;G Upstream)'!$B$353)-'Assumptions (O&amp;G Upstream)'!$B$348*AV3365-AV3364-AV3472+AV3420&gt;0,'Assumptions (O&amp;G Upstream)'!AU$350*(AV3524*(1-'Assumptions (O&amp;G Upstream)'!$B$352-'Assumptions (O&amp;G Upstream)'!$B$351-'Assumptions (O&amp;G Upstream)'!$B$353)-'Assumptions (O&amp;G Upstream)'!$B$348*AV3365-AV3364-AV3472+AV3420),0)</f>
        <v>52.89401843</v>
      </c>
      <c r="AW3526" s="95">
        <f>IF(AW3524*(1-'Assumptions (O&amp;G Upstream)'!$B$352-'Assumptions (O&amp;G Upstream)'!$B$351-'Assumptions (O&amp;G Upstream)'!$B$353)-'Assumptions (O&amp;G Upstream)'!$B$348*AW3365-AW3364-AW3472+AW3420&gt;0,'Assumptions (O&amp;G Upstream)'!AV$350*(AW3524*(1-'Assumptions (O&amp;G Upstream)'!$B$352-'Assumptions (O&amp;G Upstream)'!$B$351-'Assumptions (O&amp;G Upstream)'!$B$353)-'Assumptions (O&amp;G Upstream)'!$B$348*AW3365-AW3364-AW3472+AW3420),0)</f>
        <v>55.29185962</v>
      </c>
      <c r="AX3526" s="95">
        <f>IF(AX3524*(1-'Assumptions (O&amp;G Upstream)'!$B$352-'Assumptions (O&amp;G Upstream)'!$B$351-'Assumptions (O&amp;G Upstream)'!$B$353)-'Assumptions (O&amp;G Upstream)'!$B$348*AX3365-AX3364-AX3472+AX3420&gt;0,'Assumptions (O&amp;G Upstream)'!AW$350*(AX3524*(1-'Assumptions (O&amp;G Upstream)'!$B$352-'Assumptions (O&amp;G Upstream)'!$B$351-'Assumptions (O&amp;G Upstream)'!$B$353)-'Assumptions (O&amp;G Upstream)'!$B$348*AX3365-AX3364-AX3472+AX3420),0)</f>
        <v>57.85262594</v>
      </c>
      <c r="AY3526" s="95">
        <f>IF(AY3524*(1-'Assumptions (O&amp;G Upstream)'!$B$352-'Assumptions (O&amp;G Upstream)'!$B$351-'Assumptions (O&amp;G Upstream)'!$B$353)-'Assumptions (O&amp;G Upstream)'!$B$348*AY3365-AY3364-AY3472+AY3420&gt;0,'Assumptions (O&amp;G Upstream)'!AX$350*(AY3524*(1-'Assumptions (O&amp;G Upstream)'!$B$352-'Assumptions (O&amp;G Upstream)'!$B$351-'Assumptions (O&amp;G Upstream)'!$B$353)-'Assumptions (O&amp;G Upstream)'!$B$348*AY3365-AY3364-AY3472+AY3420),0)</f>
        <v>61.23827721</v>
      </c>
      <c r="AZ3526" s="95">
        <f>IF(AZ3524*(1-'Assumptions (O&amp;G Upstream)'!$B$352-'Assumptions (O&amp;G Upstream)'!$B$351-'Assumptions (O&amp;G Upstream)'!$B$353)-'Assumptions (O&amp;G Upstream)'!$B$348*AZ3365-AZ3364-AZ3472+AZ3420&gt;0,'Assumptions (O&amp;G Upstream)'!AY$350*(AZ3524*(1-'Assumptions (O&amp;G Upstream)'!$B$352-'Assumptions (O&amp;G Upstream)'!$B$351-'Assumptions (O&amp;G Upstream)'!$B$353)-'Assumptions (O&amp;G Upstream)'!$B$348*AZ3365-AZ3364-AZ3472+AZ3420),0)</f>
        <v>63.20481573</v>
      </c>
      <c r="BA3526" s="95">
        <f>IF(BA3524*(1-'Assumptions (O&amp;G Upstream)'!$B$352-'Assumptions (O&amp;G Upstream)'!$B$351-'Assumptions (O&amp;G Upstream)'!$B$353)-'Assumptions (O&amp;G Upstream)'!$B$348*BA3365-BA3364-BA3472+BA3420&gt;0,'Assumptions (O&amp;G Upstream)'!AZ$350*(BA3524*(1-'Assumptions (O&amp;G Upstream)'!$B$352-'Assumptions (O&amp;G Upstream)'!$B$351-'Assumptions (O&amp;G Upstream)'!$B$353)-'Assumptions (O&amp;G Upstream)'!$B$348*BA3365-BA3364-BA3472+BA3420),0)</f>
        <v>66.11591662</v>
      </c>
    </row>
    <row r="3527" ht="15.75" customHeight="1">
      <c r="A3527" s="389" t="s">
        <v>459</v>
      </c>
      <c r="B3527" s="150" t="s">
        <v>351</v>
      </c>
      <c r="C3527" s="95">
        <f>C3524*'Assumptions (O&amp;G Upstream)'!$B$351</f>
        <v>8.249064719</v>
      </c>
      <c r="D3527" s="95">
        <f>D3524*'Assumptions (O&amp;G Upstream)'!$B$351</f>
        <v>7.378570002</v>
      </c>
      <c r="E3527" s="95">
        <f>E3524*'Assumptions (O&amp;G Upstream)'!$B$351</f>
        <v>6.617702176</v>
      </c>
      <c r="F3527" s="95">
        <f>F3524*'Assumptions (O&amp;G Upstream)'!$B$351</f>
        <v>9.324062978</v>
      </c>
      <c r="G3527" s="95">
        <f>G3524*'Assumptions (O&amp;G Upstream)'!$B$351</f>
        <v>10.70688766</v>
      </c>
      <c r="H3527" s="95">
        <f>H3524*'Assumptions (O&amp;G Upstream)'!$B$351</f>
        <v>14.66881942</v>
      </c>
      <c r="I3527" s="95">
        <f>I3524*'Assumptions (O&amp;G Upstream)'!$B$351</f>
        <v>13.78345408</v>
      </c>
      <c r="J3527" s="95">
        <f>J3524*'Assumptions (O&amp;G Upstream)'!$B$351</f>
        <v>15.10535201</v>
      </c>
      <c r="K3527" s="95">
        <f>K3524*'Assumptions (O&amp;G Upstream)'!$B$351</f>
        <v>20.08232518</v>
      </c>
      <c r="L3527" s="95">
        <f>L3524*'Assumptions (O&amp;G Upstream)'!$B$351</f>
        <v>11.37831831</v>
      </c>
      <c r="M3527" s="95">
        <f>M3524*'Assumptions (O&amp;G Upstream)'!$B$351</f>
        <v>14.27870141</v>
      </c>
      <c r="N3527" s="95">
        <f>N3524*'Assumptions (O&amp;G Upstream)'!$B$351</f>
        <v>16.59194112</v>
      </c>
      <c r="O3527" s="95">
        <f>O3524*'Assumptions (O&amp;G Upstream)'!$B$351</f>
        <v>16.43645383</v>
      </c>
      <c r="P3527" s="95">
        <f>P3524*'Assumptions (O&amp;G Upstream)'!$B$351</f>
        <v>19.73676953</v>
      </c>
      <c r="Q3527" s="95">
        <f>Q3524*'Assumptions (O&amp;G Upstream)'!$B$351</f>
        <v>22.73621132</v>
      </c>
      <c r="R3527" s="95">
        <f>R3524*'Assumptions (O&amp;G Upstream)'!$B$351</f>
        <v>13.12888461</v>
      </c>
      <c r="S3527" s="95">
        <f>S3524*'Assumptions (O&amp;G Upstream)'!$B$351</f>
        <v>11.57628687</v>
      </c>
      <c r="T3527" s="95">
        <f>T3524*'Assumptions (O&amp;G Upstream)'!$B$351</f>
        <v>14.57836273</v>
      </c>
      <c r="U3527" s="95">
        <f>U3524*'Assumptions (O&amp;G Upstream)'!$B$351</f>
        <v>20.23737327</v>
      </c>
      <c r="V3527" s="95">
        <f>V3524*'Assumptions (O&amp;G Upstream)'!$B$351</f>
        <v>23.2094803</v>
      </c>
      <c r="W3527" s="95">
        <f>W3524*'Assumptions (O&amp;G Upstream)'!$B$351</f>
        <v>26.3444388</v>
      </c>
      <c r="X3527" s="95">
        <f>X3524*'Assumptions (O&amp;G Upstream)'!$B$351</f>
        <v>28.36631318</v>
      </c>
      <c r="Y3527" s="95">
        <f>Y3524*'Assumptions (O&amp;G Upstream)'!$B$351</f>
        <v>29.44992564</v>
      </c>
      <c r="Z3527" s="95">
        <f>Z3524*'Assumptions (O&amp;G Upstream)'!$B$351</f>
        <v>31.06260523</v>
      </c>
      <c r="AA3527" s="95">
        <f>AA3524*'Assumptions (O&amp;G Upstream)'!$B$351</f>
        <v>33.60272595</v>
      </c>
      <c r="AB3527" s="95">
        <f>AB3524*'Assumptions (O&amp;G Upstream)'!$B$351</f>
        <v>36.24159634</v>
      </c>
      <c r="AC3527" s="95">
        <f>AC3524*'Assumptions (O&amp;G Upstream)'!$B$351</f>
        <v>38.83630383</v>
      </c>
      <c r="AD3527" s="95">
        <f>AD3524*'Assumptions (O&amp;G Upstream)'!$B$351</f>
        <v>41.06816326</v>
      </c>
      <c r="AE3527" s="95">
        <f>AE3524*'Assumptions (O&amp;G Upstream)'!$B$351</f>
        <v>42.80693969</v>
      </c>
      <c r="AF3527" s="95">
        <f>AF3524*'Assumptions (O&amp;G Upstream)'!$B$351</f>
        <v>44.63270062</v>
      </c>
      <c r="AG3527" s="95">
        <f>AG3524*'Assumptions (O&amp;G Upstream)'!$B$351</f>
        <v>46.37920602</v>
      </c>
      <c r="AH3527" s="95">
        <f>AH3524*'Assumptions (O&amp;G Upstream)'!$B$351</f>
        <v>48.38163901</v>
      </c>
      <c r="AI3527" s="95">
        <f>AI3524*'Assumptions (O&amp;G Upstream)'!$B$351</f>
        <v>50.32306798</v>
      </c>
      <c r="AJ3527" s="95">
        <f>AJ3524*'Assumptions (O&amp;G Upstream)'!$B$351</f>
        <v>52.7571239</v>
      </c>
      <c r="AK3527" s="95">
        <f>AK3524*'Assumptions (O&amp;G Upstream)'!$B$351</f>
        <v>54.28322165</v>
      </c>
      <c r="AL3527" s="95">
        <f>AL3524*'Assumptions (O&amp;G Upstream)'!$B$351</f>
        <v>56.09783556</v>
      </c>
      <c r="AM3527" s="95">
        <f>AM3524*'Assumptions (O&amp;G Upstream)'!$B$351</f>
        <v>58.38339235</v>
      </c>
      <c r="AN3527" s="95">
        <f>AN3524*'Assumptions (O&amp;G Upstream)'!$B$351</f>
        <v>59.4335677</v>
      </c>
      <c r="AO3527" s="95">
        <f>AO3524*'Assumptions (O&amp;G Upstream)'!$B$351</f>
        <v>61.3415134</v>
      </c>
      <c r="AP3527" s="95">
        <f>AP3524*'Assumptions (O&amp;G Upstream)'!$B$351</f>
        <v>63.09240676</v>
      </c>
      <c r="AQ3527" s="95">
        <f>AQ3524*'Assumptions (O&amp;G Upstream)'!$B$351</f>
        <v>65.38269068</v>
      </c>
      <c r="AR3527" s="95">
        <f>AR3524*'Assumptions (O&amp;G Upstream)'!$B$351</f>
        <v>66.86771149</v>
      </c>
      <c r="AS3527" s="95">
        <f>AS3524*'Assumptions (O&amp;G Upstream)'!$B$351</f>
        <v>68.77680213</v>
      </c>
      <c r="AT3527" s="95">
        <f>AT3524*'Assumptions (O&amp;G Upstream)'!$B$351</f>
        <v>69.93499507</v>
      </c>
      <c r="AU3527" s="95">
        <f>AU3524*'Assumptions (O&amp;G Upstream)'!$B$351</f>
        <v>71.56076334</v>
      </c>
      <c r="AV3527" s="95">
        <f>AV3524*'Assumptions (O&amp;G Upstream)'!$B$351</f>
        <v>72.99433835</v>
      </c>
      <c r="AW3527" s="95">
        <f>AW3524*'Assumptions (O&amp;G Upstream)'!$B$351</f>
        <v>74.45685432</v>
      </c>
      <c r="AX3527" s="95">
        <f>AX3524*'Assumptions (O&amp;G Upstream)'!$B$351</f>
        <v>76.00028754</v>
      </c>
      <c r="AY3527" s="95">
        <f>AY3524*'Assumptions (O&amp;G Upstream)'!$B$351</f>
        <v>77.82569324</v>
      </c>
      <c r="AZ3527" s="95">
        <f>AZ3524*'Assumptions (O&amp;G Upstream)'!$B$351</f>
        <v>79.09464246</v>
      </c>
      <c r="BA3527" s="95">
        <f>BA3524*'Assumptions (O&amp;G Upstream)'!$B$351</f>
        <v>80.71538906</v>
      </c>
    </row>
    <row r="3528" ht="15.75" customHeight="1">
      <c r="A3528" s="389" t="s">
        <v>460</v>
      </c>
      <c r="B3528" s="150" t="s">
        <v>351</v>
      </c>
      <c r="C3528" s="95">
        <f>C3524*'Assumptions (O&amp;G Upstream)'!$B$352</f>
        <v>32.99625888</v>
      </c>
      <c r="D3528" s="95">
        <f>D3524*'Assumptions (O&amp;G Upstream)'!$B$352</f>
        <v>29.51428001</v>
      </c>
      <c r="E3528" s="95">
        <f>E3524*'Assumptions (O&amp;G Upstream)'!$B$352</f>
        <v>26.4708087</v>
      </c>
      <c r="F3528" s="95">
        <f>F3524*'Assumptions (O&amp;G Upstream)'!$B$352</f>
        <v>37.29625191</v>
      </c>
      <c r="G3528" s="95">
        <f>G3524*'Assumptions (O&amp;G Upstream)'!$B$352</f>
        <v>42.82755066</v>
      </c>
      <c r="H3528" s="95">
        <f>H3524*'Assumptions (O&amp;G Upstream)'!$B$352</f>
        <v>58.67527766</v>
      </c>
      <c r="I3528" s="95">
        <f>I3524*'Assumptions (O&amp;G Upstream)'!$B$352</f>
        <v>55.13381632</v>
      </c>
      <c r="J3528" s="95">
        <f>J3524*'Assumptions (O&amp;G Upstream)'!$B$352</f>
        <v>60.42140804</v>
      </c>
      <c r="K3528" s="95">
        <f>K3524*'Assumptions (O&amp;G Upstream)'!$B$352</f>
        <v>80.32930072</v>
      </c>
      <c r="L3528" s="95">
        <f>L3524*'Assumptions (O&amp;G Upstream)'!$B$352</f>
        <v>45.51327325</v>
      </c>
      <c r="M3528" s="95">
        <f>M3524*'Assumptions (O&amp;G Upstream)'!$B$352</f>
        <v>57.11480564</v>
      </c>
      <c r="N3528" s="95">
        <f>N3524*'Assumptions (O&amp;G Upstream)'!$B$352</f>
        <v>66.36776449</v>
      </c>
      <c r="O3528" s="95">
        <f>O3524*'Assumptions (O&amp;G Upstream)'!$B$352</f>
        <v>65.74581533</v>
      </c>
      <c r="P3528" s="95">
        <f>P3524*'Assumptions (O&amp;G Upstream)'!$B$352</f>
        <v>78.94707813</v>
      </c>
      <c r="Q3528" s="95">
        <f>Q3524*'Assumptions (O&amp;G Upstream)'!$B$352</f>
        <v>90.94484529</v>
      </c>
      <c r="R3528" s="95">
        <f>R3524*'Assumptions (O&amp;G Upstream)'!$B$352</f>
        <v>52.51553842</v>
      </c>
      <c r="S3528" s="95">
        <f>S3524*'Assumptions (O&amp;G Upstream)'!$B$352</f>
        <v>46.30514748</v>
      </c>
      <c r="T3528" s="95">
        <f>T3524*'Assumptions (O&amp;G Upstream)'!$B$352</f>
        <v>58.31345092</v>
      </c>
      <c r="U3528" s="95">
        <f>U3524*'Assumptions (O&amp;G Upstream)'!$B$352</f>
        <v>80.94949308</v>
      </c>
      <c r="V3528" s="95">
        <f>V3524*'Assumptions (O&amp;G Upstream)'!$B$352</f>
        <v>92.83792119</v>
      </c>
      <c r="W3528" s="95">
        <f>W3524*'Assumptions (O&amp;G Upstream)'!$B$352</f>
        <v>105.3777552</v>
      </c>
      <c r="X3528" s="95">
        <f>X3524*'Assumptions (O&amp;G Upstream)'!$B$352</f>
        <v>113.4652527</v>
      </c>
      <c r="Y3528" s="95">
        <f>Y3524*'Assumptions (O&amp;G Upstream)'!$B$352</f>
        <v>117.7997026</v>
      </c>
      <c r="Z3528" s="95">
        <f>Z3524*'Assumptions (O&amp;G Upstream)'!$B$352</f>
        <v>124.2504209</v>
      </c>
      <c r="AA3528" s="95">
        <f>AA3524*'Assumptions (O&amp;G Upstream)'!$B$352</f>
        <v>134.4109038</v>
      </c>
      <c r="AB3528" s="95">
        <f>AB3524*'Assumptions (O&amp;G Upstream)'!$B$352</f>
        <v>144.9663854</v>
      </c>
      <c r="AC3528" s="95">
        <f>AC3524*'Assumptions (O&amp;G Upstream)'!$B$352</f>
        <v>155.3452153</v>
      </c>
      <c r="AD3528" s="95">
        <f>AD3524*'Assumptions (O&amp;G Upstream)'!$B$352</f>
        <v>164.272653</v>
      </c>
      <c r="AE3528" s="95">
        <f>AE3524*'Assumptions (O&amp;G Upstream)'!$B$352</f>
        <v>171.2277588</v>
      </c>
      <c r="AF3528" s="95">
        <f>AF3524*'Assumptions (O&amp;G Upstream)'!$B$352</f>
        <v>178.5308025</v>
      </c>
      <c r="AG3528" s="95">
        <f>AG3524*'Assumptions (O&amp;G Upstream)'!$B$352</f>
        <v>185.5168241</v>
      </c>
      <c r="AH3528" s="95">
        <f>AH3524*'Assumptions (O&amp;G Upstream)'!$B$352</f>
        <v>193.5265561</v>
      </c>
      <c r="AI3528" s="95">
        <f>AI3524*'Assumptions (O&amp;G Upstream)'!$B$352</f>
        <v>201.2922719</v>
      </c>
      <c r="AJ3528" s="95">
        <f>AJ3524*'Assumptions (O&amp;G Upstream)'!$B$352</f>
        <v>211.0284956</v>
      </c>
      <c r="AK3528" s="95">
        <f>AK3524*'Assumptions (O&amp;G Upstream)'!$B$352</f>
        <v>217.1328866</v>
      </c>
      <c r="AL3528" s="95">
        <f>AL3524*'Assumptions (O&amp;G Upstream)'!$B$352</f>
        <v>224.3913422</v>
      </c>
      <c r="AM3528" s="95">
        <f>AM3524*'Assumptions (O&amp;G Upstream)'!$B$352</f>
        <v>233.5335694</v>
      </c>
      <c r="AN3528" s="95">
        <f>AN3524*'Assumptions (O&amp;G Upstream)'!$B$352</f>
        <v>237.7342708</v>
      </c>
      <c r="AO3528" s="95">
        <f>AO3524*'Assumptions (O&amp;G Upstream)'!$B$352</f>
        <v>245.3660536</v>
      </c>
      <c r="AP3528" s="95">
        <f>AP3524*'Assumptions (O&amp;G Upstream)'!$B$352</f>
        <v>252.3696271</v>
      </c>
      <c r="AQ3528" s="95">
        <f>AQ3524*'Assumptions (O&amp;G Upstream)'!$B$352</f>
        <v>261.5307627</v>
      </c>
      <c r="AR3528" s="95">
        <f>AR3524*'Assumptions (O&amp;G Upstream)'!$B$352</f>
        <v>267.4708459</v>
      </c>
      <c r="AS3528" s="95">
        <f>AS3524*'Assumptions (O&amp;G Upstream)'!$B$352</f>
        <v>275.1072085</v>
      </c>
      <c r="AT3528" s="95">
        <f>AT3524*'Assumptions (O&amp;G Upstream)'!$B$352</f>
        <v>279.7399803</v>
      </c>
      <c r="AU3528" s="95">
        <f>AU3524*'Assumptions (O&amp;G Upstream)'!$B$352</f>
        <v>286.2430534</v>
      </c>
      <c r="AV3528" s="95">
        <f>AV3524*'Assumptions (O&amp;G Upstream)'!$B$352</f>
        <v>291.9773534</v>
      </c>
      <c r="AW3528" s="95">
        <f>AW3524*'Assumptions (O&amp;G Upstream)'!$B$352</f>
        <v>297.8274173</v>
      </c>
      <c r="AX3528" s="95">
        <f>AX3524*'Assumptions (O&amp;G Upstream)'!$B$352</f>
        <v>304.0011502</v>
      </c>
      <c r="AY3528" s="95">
        <f>AY3524*'Assumptions (O&amp;G Upstream)'!$B$352</f>
        <v>311.302773</v>
      </c>
      <c r="AZ3528" s="95">
        <f>AZ3524*'Assumptions (O&amp;G Upstream)'!$B$352</f>
        <v>316.3785698</v>
      </c>
      <c r="BA3528" s="95">
        <f>BA3524*'Assumptions (O&amp;G Upstream)'!$B$352</f>
        <v>322.8615562</v>
      </c>
    </row>
    <row r="3529" ht="15.75" customHeight="1">
      <c r="A3529" s="390"/>
      <c r="B3529" s="24"/>
      <c r="C3529" s="95"/>
      <c r="D3529" s="95"/>
      <c r="E3529" s="95"/>
      <c r="F3529" s="95"/>
      <c r="G3529" s="95"/>
      <c r="H3529" s="95"/>
      <c r="I3529" s="95"/>
      <c r="J3529" s="95"/>
      <c r="K3529" s="95"/>
      <c r="L3529" s="95"/>
      <c r="M3529" s="95"/>
      <c r="N3529" s="95"/>
      <c r="O3529" s="95"/>
      <c r="P3529" s="95"/>
      <c r="Q3529" s="95"/>
      <c r="R3529" s="95"/>
      <c r="S3529" s="95"/>
      <c r="T3529" s="95"/>
      <c r="U3529" s="95"/>
      <c r="V3529" s="95"/>
      <c r="W3529" s="95"/>
      <c r="X3529" s="95"/>
      <c r="Y3529" s="95"/>
      <c r="Z3529" s="95"/>
      <c r="AA3529" s="95"/>
      <c r="AB3529" s="95"/>
      <c r="AC3529" s="95"/>
      <c r="AD3529" s="95"/>
      <c r="AE3529" s="95"/>
      <c r="AF3529" s="95"/>
      <c r="AG3529" s="95"/>
      <c r="AH3529" s="95"/>
      <c r="AI3529" s="95"/>
      <c r="AJ3529" s="95"/>
      <c r="AK3529" s="95"/>
      <c r="AL3529" s="95"/>
      <c r="AM3529" s="95"/>
      <c r="AN3529" s="95"/>
      <c r="AO3529" s="95"/>
      <c r="AP3529" s="95"/>
      <c r="AQ3529" s="95"/>
      <c r="AR3529" s="95"/>
      <c r="AS3529" s="95"/>
      <c r="AT3529" s="95"/>
      <c r="AU3529" s="95"/>
      <c r="AV3529" s="95"/>
      <c r="AW3529" s="95"/>
      <c r="AX3529" s="95"/>
      <c r="AY3529" s="95"/>
      <c r="AZ3529" s="95"/>
      <c r="BA3529" s="95"/>
    </row>
    <row r="3530" ht="15.75" customHeight="1">
      <c r="A3530" s="391"/>
      <c r="B3530" s="38"/>
    </row>
    <row r="3531" ht="15.75" customHeight="1">
      <c r="A3531" s="390"/>
      <c r="B3531" s="65"/>
      <c r="C3531" s="95"/>
      <c r="D3531" s="95"/>
      <c r="E3531" s="95"/>
      <c r="F3531" s="95"/>
      <c r="G3531" s="95"/>
      <c r="H3531" s="95"/>
      <c r="I3531" s="95"/>
      <c r="J3531" s="95"/>
      <c r="K3531" s="95"/>
      <c r="L3531" s="95"/>
      <c r="M3531" s="95"/>
      <c r="N3531" s="95"/>
      <c r="O3531" s="95"/>
      <c r="P3531" s="95"/>
      <c r="Q3531" s="95"/>
      <c r="R3531" s="95"/>
      <c r="S3531" s="95"/>
      <c r="T3531" s="95"/>
      <c r="U3531" s="95"/>
      <c r="V3531" s="95"/>
      <c r="W3531" s="95"/>
      <c r="X3531" s="95"/>
      <c r="Y3531" s="95"/>
      <c r="Z3531" s="95"/>
      <c r="AA3531" s="95"/>
      <c r="AB3531" s="95"/>
      <c r="AC3531" s="95"/>
      <c r="AD3531" s="95"/>
      <c r="AE3531" s="95"/>
      <c r="AF3531" s="95"/>
      <c r="AG3531" s="95"/>
      <c r="AH3531" s="95"/>
      <c r="AI3531" s="95"/>
      <c r="AJ3531" s="95"/>
      <c r="AK3531" s="95"/>
      <c r="AL3531" s="95"/>
      <c r="AM3531" s="95"/>
      <c r="AN3531" s="95"/>
      <c r="AO3531" s="95"/>
      <c r="AP3531" s="95"/>
      <c r="AQ3531" s="95"/>
      <c r="AR3531" s="95"/>
      <c r="AS3531" s="95"/>
      <c r="AT3531" s="95"/>
      <c r="AU3531" s="95"/>
      <c r="AV3531" s="95"/>
      <c r="AW3531" s="95"/>
      <c r="AX3531" s="95"/>
      <c r="AY3531" s="95"/>
      <c r="AZ3531" s="95"/>
      <c r="BA3531" s="95"/>
    </row>
    <row r="3532" ht="15.75" customHeight="1">
      <c r="A3532" s="391"/>
      <c r="B3532" s="234" t="s">
        <v>411</v>
      </c>
      <c r="C3532" s="291"/>
      <c r="D3532" s="215"/>
      <c r="E3532" s="215"/>
      <c r="F3532" s="215"/>
      <c r="G3532" s="215"/>
      <c r="H3532" s="215"/>
      <c r="I3532" s="215"/>
      <c r="J3532" s="215"/>
      <c r="K3532" s="215"/>
      <c r="L3532" s="215"/>
      <c r="M3532" s="215"/>
      <c r="N3532" s="215"/>
      <c r="O3532" s="215"/>
      <c r="P3532" s="215"/>
      <c r="Q3532" s="215"/>
      <c r="R3532" s="215"/>
      <c r="S3532" s="215"/>
      <c r="T3532" s="215"/>
      <c r="U3532" s="215"/>
      <c r="V3532" s="215"/>
      <c r="W3532" s="215"/>
      <c r="X3532" s="392">
        <f>'Assumptions (CSP)'!W39</f>
        <v>0</v>
      </c>
      <c r="Y3532" s="392">
        <f>'Assumptions (CSP)'!X39</f>
        <v>0</v>
      </c>
      <c r="Z3532" s="392">
        <f>'Assumptions (CSP)'!Y39</f>
        <v>0</v>
      </c>
      <c r="AA3532" s="392">
        <f>'Assumptions (CSP)'!Z39</f>
        <v>0</v>
      </c>
      <c r="AB3532" s="392">
        <f>'Assumptions (CSP)'!AA39</f>
        <v>0</v>
      </c>
      <c r="AC3532" s="392">
        <f>'Assumptions (CSP)'!AB39</f>
        <v>0</v>
      </c>
      <c r="AD3532" s="392">
        <f>'Assumptions (CSP)'!AC39</f>
        <v>0</v>
      </c>
      <c r="AE3532" s="392">
        <f>'Assumptions (CSP)'!AD39</f>
        <v>0</v>
      </c>
      <c r="AF3532" s="392">
        <f>'Assumptions (CSP)'!AE39</f>
        <v>0</v>
      </c>
      <c r="AG3532" s="392">
        <f>'Assumptions (CSP)'!AF39</f>
        <v>0</v>
      </c>
      <c r="AH3532" s="392">
        <f>'Assumptions (CSP)'!AG39</f>
        <v>0</v>
      </c>
      <c r="AI3532" s="392">
        <f>'Assumptions (CSP)'!AH39</f>
        <v>0</v>
      </c>
      <c r="AJ3532" s="392">
        <f>'Assumptions (CSP)'!AI39</f>
        <v>0</v>
      </c>
      <c r="AK3532" s="392">
        <f>'Assumptions (CSP)'!AJ39</f>
        <v>0</v>
      </c>
      <c r="AL3532" s="392">
        <f>'Assumptions (CSP)'!AK39</f>
        <v>0</v>
      </c>
      <c r="AM3532" s="392">
        <f>'Assumptions (CSP)'!AL39</f>
        <v>0</v>
      </c>
      <c r="AN3532" s="392">
        <f>'Assumptions (CSP)'!AM39</f>
        <v>0</v>
      </c>
      <c r="AO3532" s="392">
        <f>'Assumptions (CSP)'!AN39</f>
        <v>0</v>
      </c>
      <c r="AP3532" s="392">
        <f>'Assumptions (CSP)'!AO39</f>
        <v>0</v>
      </c>
      <c r="AQ3532" s="392">
        <f>'Assumptions (CSP)'!AP39</f>
        <v>0</v>
      </c>
      <c r="AR3532" s="392">
        <f>'Assumptions (CSP)'!AQ39</f>
        <v>0</v>
      </c>
      <c r="AS3532" s="392">
        <f>'Assumptions (CSP)'!AR39</f>
        <v>0</v>
      </c>
      <c r="AT3532" s="392">
        <f>'Assumptions (CSP)'!AS39</f>
        <v>0</v>
      </c>
      <c r="AU3532" s="392">
        <f>'Assumptions (CSP)'!AT39</f>
        <v>0</v>
      </c>
      <c r="AV3532" s="392">
        <f>'Assumptions (CSP)'!AU39</f>
        <v>0</v>
      </c>
      <c r="AW3532" s="392">
        <f>'Assumptions (CSP)'!AV39</f>
        <v>0</v>
      </c>
      <c r="AX3532" s="392">
        <f>'Assumptions (CSP)'!AW39</f>
        <v>0</v>
      </c>
      <c r="AY3532" s="392">
        <f>'Assumptions (CSP)'!AX39</f>
        <v>0</v>
      </c>
      <c r="AZ3532" s="392">
        <f>'Assumptions (CSP)'!AY39</f>
        <v>0</v>
      </c>
      <c r="BA3532" s="392">
        <f>'Assumptions (CSP)'!AZ39</f>
        <v>0</v>
      </c>
    </row>
    <row r="3533" ht="15.75" customHeight="1">
      <c r="A3533" s="390" t="s">
        <v>461</v>
      </c>
      <c r="B3533" s="237" t="s">
        <v>413</v>
      </c>
      <c r="C3533" s="291"/>
      <c r="D3533" s="291"/>
      <c r="E3533" s="291"/>
      <c r="F3533" s="291"/>
      <c r="G3533" s="291"/>
      <c r="H3533" s="291"/>
      <c r="I3533" s="291"/>
      <c r="J3533" s="291"/>
      <c r="K3533" s="215"/>
      <c r="L3533" s="215"/>
      <c r="M3533" s="215"/>
      <c r="N3533" s="215"/>
      <c r="O3533" s="215"/>
      <c r="P3533" s="215"/>
      <c r="Q3533" s="215"/>
      <c r="R3533" s="215"/>
      <c r="S3533" s="215"/>
      <c r="T3533" s="215"/>
      <c r="U3533" s="215"/>
      <c r="V3533" s="215"/>
      <c r="W3533" s="215"/>
      <c r="X3533" s="393">
        <f>W3534-X3532+W3539</f>
        <v>0</v>
      </c>
      <c r="Y3533" s="394">
        <f t="shared" ref="Y3533:BA3533" si="100">X3533-Y3532+X3539</f>
        <v>0</v>
      </c>
      <c r="Z3533" s="394">
        <f t="shared" si="100"/>
        <v>0</v>
      </c>
      <c r="AA3533" s="394">
        <f t="shared" si="100"/>
        <v>0</v>
      </c>
      <c r="AB3533" s="394">
        <f t="shared" si="100"/>
        <v>0</v>
      </c>
      <c r="AC3533" s="394">
        <f t="shared" si="100"/>
        <v>0</v>
      </c>
      <c r="AD3533" s="394">
        <f t="shared" si="100"/>
        <v>0</v>
      </c>
      <c r="AE3533" s="394">
        <f t="shared" si="100"/>
        <v>0</v>
      </c>
      <c r="AF3533" s="394">
        <f t="shared" si="100"/>
        <v>0</v>
      </c>
      <c r="AG3533" s="394">
        <f t="shared" si="100"/>
        <v>0</v>
      </c>
      <c r="AH3533" s="394">
        <f t="shared" si="100"/>
        <v>0</v>
      </c>
      <c r="AI3533" s="394">
        <f t="shared" si="100"/>
        <v>0</v>
      </c>
      <c r="AJ3533" s="394">
        <f t="shared" si="100"/>
        <v>0</v>
      </c>
      <c r="AK3533" s="394">
        <f t="shared" si="100"/>
        <v>0</v>
      </c>
      <c r="AL3533" s="394">
        <f t="shared" si="100"/>
        <v>0</v>
      </c>
      <c r="AM3533" s="394">
        <f t="shared" si="100"/>
        <v>0</v>
      </c>
      <c r="AN3533" s="394">
        <f t="shared" si="100"/>
        <v>0</v>
      </c>
      <c r="AO3533" s="394">
        <f t="shared" si="100"/>
        <v>0</v>
      </c>
      <c r="AP3533" s="394">
        <f t="shared" si="100"/>
        <v>0</v>
      </c>
      <c r="AQ3533" s="394">
        <f t="shared" si="100"/>
        <v>0</v>
      </c>
      <c r="AR3533" s="394">
        <f t="shared" si="100"/>
        <v>0</v>
      </c>
      <c r="AS3533" s="394">
        <f t="shared" si="100"/>
        <v>0</v>
      </c>
      <c r="AT3533" s="394">
        <f t="shared" si="100"/>
        <v>0</v>
      </c>
      <c r="AU3533" s="394">
        <f t="shared" si="100"/>
        <v>0</v>
      </c>
      <c r="AV3533" s="394">
        <f t="shared" si="100"/>
        <v>0</v>
      </c>
      <c r="AW3533" s="394">
        <f t="shared" si="100"/>
        <v>0</v>
      </c>
      <c r="AX3533" s="394">
        <f t="shared" si="100"/>
        <v>0</v>
      </c>
      <c r="AY3533" s="394">
        <f t="shared" si="100"/>
        <v>0</v>
      </c>
      <c r="AZ3533" s="394">
        <f t="shared" si="100"/>
        <v>0</v>
      </c>
      <c r="BA3533" s="394">
        <f t="shared" si="100"/>
        <v>0</v>
      </c>
    </row>
    <row r="3534" ht="15.75" customHeight="1">
      <c r="A3534" s="395" t="s">
        <v>350</v>
      </c>
      <c r="B3534" s="150" t="s">
        <v>149</v>
      </c>
      <c r="C3534" s="151">
        <v>0.0</v>
      </c>
      <c r="D3534" s="151">
        <v>0.0</v>
      </c>
      <c r="E3534" s="151">
        <v>0.0</v>
      </c>
      <c r="F3534" s="151">
        <v>0.0</v>
      </c>
      <c r="G3534" s="151">
        <v>0.0</v>
      </c>
      <c r="H3534" s="151">
        <v>0.0</v>
      </c>
      <c r="I3534" s="151">
        <v>0.0</v>
      </c>
      <c r="J3534" s="151">
        <v>0.0</v>
      </c>
      <c r="K3534" s="151">
        <v>0.0</v>
      </c>
      <c r="L3534" s="151">
        <v>0.0</v>
      </c>
      <c r="M3534" s="151">
        <v>0.0</v>
      </c>
      <c r="N3534" s="151">
        <v>0.0</v>
      </c>
      <c r="O3534" s="151">
        <v>0.0</v>
      </c>
      <c r="P3534" s="151">
        <v>0.0</v>
      </c>
      <c r="Q3534" s="151">
        <v>0.0</v>
      </c>
      <c r="R3534" s="151">
        <v>0.0</v>
      </c>
      <c r="S3534" s="151">
        <v>0.0</v>
      </c>
      <c r="T3534" s="151">
        <v>0.0</v>
      </c>
      <c r="U3534" s="151">
        <v>0.0</v>
      </c>
      <c r="V3534" s="153">
        <f t="shared" ref="V3534:W3534" si="101">U3534+V3539</f>
        <v>0</v>
      </c>
      <c r="W3534" s="153">
        <f t="shared" si="101"/>
        <v>0</v>
      </c>
      <c r="X3534" s="396">
        <f t="shared" ref="X3534:AZ3534" si="102">W3534+($BA$3534-$W$3534)/($BA$2-$W$2)</f>
        <v>0</v>
      </c>
      <c r="Y3534" s="396">
        <f t="shared" si="102"/>
        <v>0</v>
      </c>
      <c r="Z3534" s="396">
        <f t="shared" si="102"/>
        <v>0</v>
      </c>
      <c r="AA3534" s="396">
        <f t="shared" si="102"/>
        <v>0</v>
      </c>
      <c r="AB3534" s="396">
        <f t="shared" si="102"/>
        <v>0</v>
      </c>
      <c r="AC3534" s="396">
        <f t="shared" si="102"/>
        <v>0</v>
      </c>
      <c r="AD3534" s="396">
        <f t="shared" si="102"/>
        <v>0</v>
      </c>
      <c r="AE3534" s="396">
        <f t="shared" si="102"/>
        <v>0</v>
      </c>
      <c r="AF3534" s="396">
        <f t="shared" si="102"/>
        <v>0</v>
      </c>
      <c r="AG3534" s="396">
        <f t="shared" si="102"/>
        <v>0</v>
      </c>
      <c r="AH3534" s="396">
        <f t="shared" si="102"/>
        <v>0</v>
      </c>
      <c r="AI3534" s="396">
        <f t="shared" si="102"/>
        <v>0</v>
      </c>
      <c r="AJ3534" s="396">
        <f t="shared" si="102"/>
        <v>0</v>
      </c>
      <c r="AK3534" s="396">
        <f t="shared" si="102"/>
        <v>0</v>
      </c>
      <c r="AL3534" s="396">
        <f t="shared" si="102"/>
        <v>0</v>
      </c>
      <c r="AM3534" s="396">
        <f t="shared" si="102"/>
        <v>0</v>
      </c>
      <c r="AN3534" s="396">
        <f t="shared" si="102"/>
        <v>0</v>
      </c>
      <c r="AO3534" s="396">
        <f t="shared" si="102"/>
        <v>0</v>
      </c>
      <c r="AP3534" s="396">
        <f t="shared" si="102"/>
        <v>0</v>
      </c>
      <c r="AQ3534" s="396">
        <f t="shared" si="102"/>
        <v>0</v>
      </c>
      <c r="AR3534" s="396">
        <f t="shared" si="102"/>
        <v>0</v>
      </c>
      <c r="AS3534" s="396">
        <f t="shared" si="102"/>
        <v>0</v>
      </c>
      <c r="AT3534" s="396">
        <f t="shared" si="102"/>
        <v>0</v>
      </c>
      <c r="AU3534" s="396">
        <f t="shared" si="102"/>
        <v>0</v>
      </c>
      <c r="AV3534" s="396">
        <f t="shared" si="102"/>
        <v>0</v>
      </c>
      <c r="AW3534" s="396">
        <f t="shared" si="102"/>
        <v>0</v>
      </c>
      <c r="AX3534" s="396">
        <f t="shared" si="102"/>
        <v>0</v>
      </c>
      <c r="AY3534" s="396">
        <f t="shared" si="102"/>
        <v>0</v>
      </c>
      <c r="AZ3534" s="396">
        <f t="shared" si="102"/>
        <v>0</v>
      </c>
      <c r="BA3534" s="397">
        <f>Inputs!$H$15</f>
        <v>0</v>
      </c>
    </row>
    <row r="3535" ht="15.75" customHeight="1">
      <c r="A3535" s="398" t="s">
        <v>28</v>
      </c>
      <c r="B3535" s="159" t="s">
        <v>150</v>
      </c>
      <c r="C3535" s="151">
        <v>0.0</v>
      </c>
      <c r="D3535" s="151">
        <v>0.0</v>
      </c>
      <c r="E3535" s="151">
        <v>0.0</v>
      </c>
      <c r="F3535" s="151">
        <v>0.0</v>
      </c>
      <c r="G3535" s="151">
        <v>0.0</v>
      </c>
      <c r="H3535" s="151">
        <v>0.0</v>
      </c>
      <c r="I3535" s="151">
        <v>0.0</v>
      </c>
      <c r="J3535" s="151">
        <v>0.0</v>
      </c>
      <c r="K3535" s="151">
        <v>0.0</v>
      </c>
      <c r="L3535" s="151">
        <v>0.0</v>
      </c>
      <c r="M3535" s="151">
        <v>0.0</v>
      </c>
      <c r="N3535" s="151">
        <v>0.0</v>
      </c>
      <c r="O3535" s="151">
        <v>0.0</v>
      </c>
      <c r="P3535" s="151">
        <v>0.0</v>
      </c>
      <c r="Q3535" s="151">
        <v>0.0</v>
      </c>
      <c r="R3535" s="151">
        <v>0.0</v>
      </c>
      <c r="S3535" s="151">
        <v>0.0</v>
      </c>
      <c r="T3535" s="151">
        <v>0.0</v>
      </c>
      <c r="U3535" s="151">
        <v>0.0</v>
      </c>
      <c r="V3535" s="172">
        <f t="shared" ref="V3535:W3535" si="103">U3535</f>
        <v>0</v>
      </c>
      <c r="W3535" s="242">
        <f t="shared" si="103"/>
        <v>0</v>
      </c>
      <c r="X3535" s="338">
        <f t="shared" ref="X3535:AZ3535" si="104">W3535+($BA$3535-$W$3535)/($BA$2-$W$2)</f>
        <v>0</v>
      </c>
      <c r="Y3535" s="338">
        <f t="shared" si="104"/>
        <v>0</v>
      </c>
      <c r="Z3535" s="338">
        <f t="shared" si="104"/>
        <v>0</v>
      </c>
      <c r="AA3535" s="338">
        <f t="shared" si="104"/>
        <v>0</v>
      </c>
      <c r="AB3535" s="338">
        <f t="shared" si="104"/>
        <v>0</v>
      </c>
      <c r="AC3535" s="338">
        <f t="shared" si="104"/>
        <v>0</v>
      </c>
      <c r="AD3535" s="338">
        <f t="shared" si="104"/>
        <v>0</v>
      </c>
      <c r="AE3535" s="338">
        <f t="shared" si="104"/>
        <v>0</v>
      </c>
      <c r="AF3535" s="338">
        <f t="shared" si="104"/>
        <v>0</v>
      </c>
      <c r="AG3535" s="338">
        <f t="shared" si="104"/>
        <v>0</v>
      </c>
      <c r="AH3535" s="338">
        <f t="shared" si="104"/>
        <v>0</v>
      </c>
      <c r="AI3535" s="338">
        <f t="shared" si="104"/>
        <v>0</v>
      </c>
      <c r="AJ3535" s="338">
        <f t="shared" si="104"/>
        <v>0</v>
      </c>
      <c r="AK3535" s="338">
        <f t="shared" si="104"/>
        <v>0</v>
      </c>
      <c r="AL3535" s="338">
        <f t="shared" si="104"/>
        <v>0</v>
      </c>
      <c r="AM3535" s="338">
        <f t="shared" si="104"/>
        <v>0</v>
      </c>
      <c r="AN3535" s="338">
        <f t="shared" si="104"/>
        <v>0</v>
      </c>
      <c r="AO3535" s="338">
        <f t="shared" si="104"/>
        <v>0</v>
      </c>
      <c r="AP3535" s="338">
        <f t="shared" si="104"/>
        <v>0</v>
      </c>
      <c r="AQ3535" s="338">
        <f t="shared" si="104"/>
        <v>0</v>
      </c>
      <c r="AR3535" s="338">
        <f t="shared" si="104"/>
        <v>0</v>
      </c>
      <c r="AS3535" s="338">
        <f t="shared" si="104"/>
        <v>0</v>
      </c>
      <c r="AT3535" s="338">
        <f t="shared" si="104"/>
        <v>0</v>
      </c>
      <c r="AU3535" s="338">
        <f t="shared" si="104"/>
        <v>0</v>
      </c>
      <c r="AV3535" s="338">
        <f t="shared" si="104"/>
        <v>0</v>
      </c>
      <c r="AW3535" s="338">
        <f t="shared" si="104"/>
        <v>0</v>
      </c>
      <c r="AX3535" s="338">
        <f t="shared" si="104"/>
        <v>0</v>
      </c>
      <c r="AY3535" s="338">
        <f t="shared" si="104"/>
        <v>0</v>
      </c>
      <c r="AZ3535" s="338">
        <f t="shared" si="104"/>
        <v>0</v>
      </c>
      <c r="BA3535" s="399">
        <f>Inputs!$I$15</f>
        <v>0</v>
      </c>
    </row>
    <row r="3536" ht="15.75" customHeight="1">
      <c r="A3536" s="398" t="s">
        <v>414</v>
      </c>
      <c r="B3536" s="159" t="s">
        <v>351</v>
      </c>
      <c r="C3536" s="400">
        <f>'Assumptions (CSP)'!B18*Model!C3534/10^9+'Assumptions (CSP)'!B19*Model!C3535/10^3</f>
        <v>0</v>
      </c>
      <c r="D3536" s="400">
        <f>'Assumptions (CSP)'!C18*Model!D3534/10^9+'Assumptions (CSP)'!C19*Model!D3535/10^3</f>
        <v>0</v>
      </c>
      <c r="E3536" s="400">
        <f>'Assumptions (CSP)'!D18*Model!E3534/10^9+'Assumptions (CSP)'!D19*Model!E3535/10^3</f>
        <v>0</v>
      </c>
      <c r="F3536" s="400">
        <f>'Assumptions (CSP)'!E18*Model!F3534/10^9+'Assumptions (CSP)'!E19*Model!F3535/10^3</f>
        <v>0</v>
      </c>
      <c r="G3536" s="400">
        <f>'Assumptions (CSP)'!F18*Model!G3534/10^9+'Assumptions (CSP)'!F19*Model!G3535/10^3</f>
        <v>0</v>
      </c>
      <c r="H3536" s="400">
        <f>'Assumptions (CSP)'!G18*Model!H3534/10^9+'Assumptions (CSP)'!G19*Model!H3535/10^3</f>
        <v>0</v>
      </c>
      <c r="I3536" s="400">
        <f>'Assumptions (CSP)'!H18*Model!I3534/10^9+'Assumptions (CSP)'!H19*Model!I3535/10^3</f>
        <v>0</v>
      </c>
      <c r="J3536" s="400">
        <f>'Assumptions (CSP)'!I18*Model!J3534/10^9+'Assumptions (CSP)'!I19*Model!J3535/10^3</f>
        <v>0</v>
      </c>
      <c r="K3536" s="400">
        <f>'Assumptions (CSP)'!J18*Model!K3534/10^9+'Assumptions (CSP)'!J19*Model!K3535/10^3</f>
        <v>0</v>
      </c>
      <c r="L3536" s="400">
        <f>'Assumptions (CSP)'!K18*Model!L3534/10^9+'Assumptions (CSP)'!K19*Model!L3535/10^3</f>
        <v>0</v>
      </c>
      <c r="M3536" s="400">
        <f>'Assumptions (CSP)'!L18*Model!M3534/10^9+'Assumptions (CSP)'!L19*Model!M3535/10^3</f>
        <v>0</v>
      </c>
      <c r="N3536" s="400">
        <f>'Assumptions (CSP)'!M18*Model!N3534/10^9+'Assumptions (CSP)'!M19*Model!N3535/10^3</f>
        <v>0</v>
      </c>
      <c r="O3536" s="400">
        <f>'Assumptions (CSP)'!N18*Model!O3534/10^9+'Assumptions (CSP)'!N19*Model!O3535/10^3</f>
        <v>0</v>
      </c>
      <c r="P3536" s="400">
        <f>'Assumptions (CSP)'!O18*Model!P3534/10^9+'Assumptions (CSP)'!O19*Model!P3535/10^3</f>
        <v>0</v>
      </c>
      <c r="Q3536" s="400">
        <f>'Assumptions (CSP)'!P18*Model!Q3534/10^9+'Assumptions (CSP)'!P19*Model!Q3535/10^3</f>
        <v>0</v>
      </c>
      <c r="R3536" s="400">
        <f>'Assumptions (CSP)'!Q18*Model!R3534/10^9+'Assumptions (CSP)'!Q19*Model!R3535/10^3</f>
        <v>0</v>
      </c>
      <c r="S3536" s="400">
        <f>'Assumptions (CSP)'!R18*Model!S3534/10^9+'Assumptions (CSP)'!R19*Model!S3535/10^3</f>
        <v>0</v>
      </c>
      <c r="T3536" s="400">
        <f>'Assumptions (CSP)'!S18*Model!T3534/10^9+'Assumptions (CSP)'!S19*Model!T3535/10^3</f>
        <v>0</v>
      </c>
      <c r="U3536" s="400">
        <f>'Assumptions (CSP)'!T18*Model!U3534/10^9+'Assumptions (CSP)'!T19*Model!U3535/10^3</f>
        <v>0</v>
      </c>
      <c r="V3536" s="400">
        <f>'Assumptions (CSP)'!U18*Model!V3534/10^9+'Assumptions (CSP)'!U19*Model!V3535/10^3</f>
        <v>0</v>
      </c>
      <c r="W3536" s="400">
        <f>'Assumptions (CSP)'!V18*Model!W3534/10^9+'Assumptions (CSP)'!V19*Model!W3535/10^3</f>
        <v>0</v>
      </c>
      <c r="X3536" s="400">
        <f>'Assumptions (CSP)'!W18*Model!X3534/10^9+'Assumptions (CSP)'!W19*Model!X3535/10^3</f>
        <v>0</v>
      </c>
      <c r="Y3536" s="400">
        <f>'Assumptions (CSP)'!X18*Model!Y3534/10^9+'Assumptions (CSP)'!X19*Model!Y3535/10^3</f>
        <v>0</v>
      </c>
      <c r="Z3536" s="400">
        <f>'Assumptions (CSP)'!Y18*Model!Z3534/10^9+'Assumptions (CSP)'!Y19*Model!Z3535/10^3</f>
        <v>0</v>
      </c>
      <c r="AA3536" s="400">
        <f>'Assumptions (CSP)'!Z18*Model!AA3534/10^9+'Assumptions (CSP)'!Z19*Model!AA3535/10^3</f>
        <v>0</v>
      </c>
      <c r="AB3536" s="400">
        <f>'Assumptions (CSP)'!AA18*Model!AB3534/10^9+'Assumptions (CSP)'!AA19*Model!AB3535/10^3</f>
        <v>0</v>
      </c>
      <c r="AC3536" s="400">
        <f>'Assumptions (CSP)'!AB18*Model!AC3534/10^9+'Assumptions (CSP)'!AB19*Model!AC3535/10^3</f>
        <v>0</v>
      </c>
      <c r="AD3536" s="400">
        <f>'Assumptions (CSP)'!AC18*Model!AD3534/10^9+'Assumptions (CSP)'!AC19*Model!AD3535/10^3</f>
        <v>0</v>
      </c>
      <c r="AE3536" s="400">
        <f>'Assumptions (CSP)'!AD18*Model!AE3534/10^9+'Assumptions (CSP)'!AD19*Model!AE3535/10^3</f>
        <v>0</v>
      </c>
      <c r="AF3536" s="400">
        <f>'Assumptions (CSP)'!AE18*Model!AF3534/10^9+'Assumptions (CSP)'!AE19*Model!AF3535/10^3</f>
        <v>0</v>
      </c>
      <c r="AG3536" s="400">
        <f>'Assumptions (CSP)'!AF18*Model!AG3534/10^9+'Assumptions (CSP)'!AF19*Model!AG3535/10^3</f>
        <v>0</v>
      </c>
      <c r="AH3536" s="400">
        <f>'Assumptions (CSP)'!AG18*Model!AH3534/10^9+'Assumptions (CSP)'!AG19*Model!AH3535/10^3</f>
        <v>0</v>
      </c>
      <c r="AI3536" s="400">
        <f>'Assumptions (CSP)'!AH18*Model!AI3534/10^9+'Assumptions (CSP)'!AH19*Model!AI3535/10^3</f>
        <v>0</v>
      </c>
      <c r="AJ3536" s="400">
        <f>'Assumptions (CSP)'!AI18*Model!AJ3534/10^9+'Assumptions (CSP)'!AI19*Model!AJ3535/10^3</f>
        <v>0</v>
      </c>
      <c r="AK3536" s="400">
        <f>'Assumptions (CSP)'!AJ18*Model!AK3534/10^9+'Assumptions (CSP)'!AJ19*Model!AK3535/10^3</f>
        <v>0</v>
      </c>
      <c r="AL3536" s="400">
        <f>'Assumptions (CSP)'!AK18*Model!AL3534/10^9+'Assumptions (CSP)'!AK19*Model!AL3535/10^3</f>
        <v>0</v>
      </c>
      <c r="AM3536" s="400">
        <f>'Assumptions (CSP)'!AL18*Model!AM3534/10^9+'Assumptions (CSP)'!AL19*Model!AM3535/10^3</f>
        <v>0</v>
      </c>
      <c r="AN3536" s="400">
        <f>'Assumptions (CSP)'!AM18*Model!AN3534/10^9+'Assumptions (CSP)'!AM19*Model!AN3535/10^3</f>
        <v>0</v>
      </c>
      <c r="AO3536" s="400">
        <f>'Assumptions (CSP)'!AN18*Model!AO3534/10^9+'Assumptions (CSP)'!AN19*Model!AO3535/10^3</f>
        <v>0</v>
      </c>
      <c r="AP3536" s="400">
        <f>'Assumptions (CSP)'!AO18*Model!AP3534/10^9+'Assumptions (CSP)'!AO19*Model!AP3535/10^3</f>
        <v>0</v>
      </c>
      <c r="AQ3536" s="400">
        <f>'Assumptions (CSP)'!AP18*Model!AQ3534/10^9+'Assumptions (CSP)'!AP19*Model!AQ3535/10^3</f>
        <v>0</v>
      </c>
      <c r="AR3536" s="400">
        <f>'Assumptions (CSP)'!AQ18*Model!AR3534/10^9+'Assumptions (CSP)'!AQ19*Model!AR3535/10^3</f>
        <v>0</v>
      </c>
      <c r="AS3536" s="400">
        <f>'Assumptions (CSP)'!AR18*Model!AS3534/10^9+'Assumptions (CSP)'!AR19*Model!AS3535/10^3</f>
        <v>0</v>
      </c>
      <c r="AT3536" s="400">
        <f>'Assumptions (CSP)'!AS18*Model!AT3534/10^9+'Assumptions (CSP)'!AS19*Model!AT3535/10^3</f>
        <v>0</v>
      </c>
      <c r="AU3536" s="400">
        <f>'Assumptions (CSP)'!AT18*Model!AU3534/10^9+'Assumptions (CSP)'!AT19*Model!AU3535/10^3</f>
        <v>0</v>
      </c>
      <c r="AV3536" s="400">
        <f>'Assumptions (CSP)'!AU18*Model!AV3534/10^9+'Assumptions (CSP)'!AU19*Model!AV3535/10^3</f>
        <v>0</v>
      </c>
      <c r="AW3536" s="400">
        <f>'Assumptions (CSP)'!AV18*Model!AW3534/10^9+'Assumptions (CSP)'!AV19*Model!AW3535/10^3</f>
        <v>0</v>
      </c>
      <c r="AX3536" s="400">
        <f>'Assumptions (CSP)'!AW18*Model!AX3534/10^9+'Assumptions (CSP)'!AW19*Model!AX3535/10^3</f>
        <v>0</v>
      </c>
      <c r="AY3536" s="400">
        <f>'Assumptions (CSP)'!AX18*Model!AY3534/10^9+'Assumptions (CSP)'!AX19*Model!AY3535/10^3</f>
        <v>0</v>
      </c>
      <c r="AZ3536" s="400">
        <f>'Assumptions (CSP)'!AY18*Model!AZ3534/10^9+'Assumptions (CSP)'!AY19*Model!AZ3535/10^3</f>
        <v>0</v>
      </c>
      <c r="BA3536" s="400">
        <f>'Assumptions (CSP)'!AZ18*Model!BA3534/10^9+'Assumptions (CSP)'!AZ19*Model!BA3535/10^3</f>
        <v>0</v>
      </c>
    </row>
    <row r="3537" ht="15.75" customHeight="1">
      <c r="A3537" s="398" t="s">
        <v>36</v>
      </c>
      <c r="B3537" s="159" t="s">
        <v>351</v>
      </c>
      <c r="C3537" s="95">
        <f>C3535*'Assumptions (CSP)'!B32/10^3</f>
        <v>0</v>
      </c>
      <c r="D3537" s="95">
        <f>D3535*'Assumptions (CSP)'!C32/10^3</f>
        <v>0</v>
      </c>
      <c r="E3537" s="95">
        <f>E3535*'Assumptions (CSP)'!D32/10^3</f>
        <v>0</v>
      </c>
      <c r="F3537" s="95">
        <f>F3535*'Assumptions (CSP)'!E32/10^3</f>
        <v>0</v>
      </c>
      <c r="G3537" s="95">
        <f>G3535*'Assumptions (CSP)'!F32/10^3</f>
        <v>0</v>
      </c>
      <c r="H3537" s="95">
        <f>H3535*'Assumptions (CSP)'!G32/10^3</f>
        <v>0</v>
      </c>
      <c r="I3537" s="95">
        <f>I3535*'Assumptions (CSP)'!H32/10^3</f>
        <v>0</v>
      </c>
      <c r="J3537" s="95">
        <f>J3535*'Assumptions (CSP)'!I32/10^3</f>
        <v>0</v>
      </c>
      <c r="K3537" s="95">
        <f>K3535*'Assumptions (CSP)'!J32/10^3</f>
        <v>0</v>
      </c>
      <c r="L3537" s="95">
        <f>L3535*'Assumptions (CSP)'!K32/10^3</f>
        <v>0</v>
      </c>
      <c r="M3537" s="95">
        <f>M3535*'Assumptions (CSP)'!L32/10^3</f>
        <v>0</v>
      </c>
      <c r="N3537" s="95">
        <f>N3535*'Assumptions (CSP)'!M32/10^3</f>
        <v>0</v>
      </c>
      <c r="O3537" s="95">
        <f>O3535*'Assumptions (CSP)'!N32/10^3</f>
        <v>0</v>
      </c>
      <c r="P3537" s="95">
        <f>P3535*'Assumptions (CSP)'!O32/10^3</f>
        <v>0</v>
      </c>
      <c r="Q3537" s="95">
        <f>Q3535*'Assumptions (CSP)'!P32/10^3</f>
        <v>0</v>
      </c>
      <c r="R3537" s="95">
        <f>R3535*'Assumptions (CSP)'!Q32/10^3</f>
        <v>0</v>
      </c>
      <c r="S3537" s="95">
        <f>S3535*'Assumptions (CSP)'!R32/10^3</f>
        <v>0</v>
      </c>
      <c r="T3537" s="95">
        <f>T3535*'Assumptions (CSP)'!S32/10^3</f>
        <v>0</v>
      </c>
      <c r="U3537" s="95">
        <f>U3535*'Assumptions (CSP)'!T32/10^3</f>
        <v>0</v>
      </c>
      <c r="V3537" s="95">
        <f>V3535*'Assumptions (CSP)'!U32/10^3</f>
        <v>0</v>
      </c>
      <c r="W3537" s="95">
        <f>W3535*'Assumptions (CSP)'!V32/10^3</f>
        <v>0</v>
      </c>
      <c r="X3537" s="95">
        <f>X3535*'Assumptions (CSP)'!W32/10^3</f>
        <v>0</v>
      </c>
      <c r="Y3537" s="95">
        <f>Y3535*'Assumptions (CSP)'!X32/10^3</f>
        <v>0</v>
      </c>
      <c r="Z3537" s="95">
        <f>Z3535*'Assumptions (CSP)'!Y32/10^3</f>
        <v>0</v>
      </c>
      <c r="AA3537" s="95">
        <f>AA3535*'Assumptions (CSP)'!Z32/10^3</f>
        <v>0</v>
      </c>
      <c r="AB3537" s="95">
        <f>AB3535*'Assumptions (CSP)'!AA32/10^3</f>
        <v>0</v>
      </c>
      <c r="AC3537" s="95">
        <f>AC3535*'Assumptions (CSP)'!AB32/10^3</f>
        <v>0</v>
      </c>
      <c r="AD3537" s="95">
        <f>AD3535*'Assumptions (CSP)'!AC32/10^3</f>
        <v>0</v>
      </c>
      <c r="AE3537" s="95">
        <f>AE3535*'Assumptions (CSP)'!AD32/10^3</f>
        <v>0</v>
      </c>
      <c r="AF3537" s="95">
        <f>AF3535*'Assumptions (CSP)'!AE32/10^3</f>
        <v>0</v>
      </c>
      <c r="AG3537" s="95">
        <f>AG3535*'Assumptions (CSP)'!AF32/10^3</f>
        <v>0</v>
      </c>
      <c r="AH3537" s="95">
        <f>AH3535*'Assumptions (CSP)'!AG32/10^3</f>
        <v>0</v>
      </c>
      <c r="AI3537" s="95">
        <f>AI3535*'Assumptions (CSP)'!AH32/10^3</f>
        <v>0</v>
      </c>
      <c r="AJ3537" s="95">
        <f>AJ3535*'Assumptions (CSP)'!AI32/10^3</f>
        <v>0</v>
      </c>
      <c r="AK3537" s="95">
        <f>AK3535*'Assumptions (CSP)'!AJ32/10^3</f>
        <v>0</v>
      </c>
      <c r="AL3537" s="95">
        <f>AL3535*'Assumptions (CSP)'!AK32/10^3</f>
        <v>0</v>
      </c>
      <c r="AM3537" s="95">
        <f>AM3535*'Assumptions (CSP)'!AL32/10^3</f>
        <v>0</v>
      </c>
      <c r="AN3537" s="95">
        <f>AN3535*'Assumptions (CSP)'!AM32/10^3</f>
        <v>0</v>
      </c>
      <c r="AO3537" s="95">
        <f>AO3535*'Assumptions (CSP)'!AN32/10^3</f>
        <v>0</v>
      </c>
      <c r="AP3537" s="95">
        <f>AP3535*'Assumptions (CSP)'!AO32/10^3</f>
        <v>0</v>
      </c>
      <c r="AQ3537" s="95">
        <f>AQ3535*'Assumptions (CSP)'!AP32/10^3</f>
        <v>0</v>
      </c>
      <c r="AR3537" s="95">
        <f>AR3535*'Assumptions (CSP)'!AQ32/10^3</f>
        <v>0</v>
      </c>
      <c r="AS3537" s="95">
        <f>AS3535*'Assumptions (CSP)'!AR32/10^3</f>
        <v>0</v>
      </c>
      <c r="AT3537" s="95">
        <f>AT3535*'Assumptions (CSP)'!AS32/10^3</f>
        <v>0</v>
      </c>
      <c r="AU3537" s="95">
        <f>AU3535*'Assumptions (CSP)'!AT32/10^3</f>
        <v>0</v>
      </c>
      <c r="AV3537" s="95">
        <f>AV3535*'Assumptions (CSP)'!AU32/10^3</f>
        <v>0</v>
      </c>
      <c r="AW3537" s="95">
        <f>AW3535*'Assumptions (CSP)'!AV32/10^3</f>
        <v>0</v>
      </c>
      <c r="AX3537" s="95">
        <f>AX3535*'Assumptions (CSP)'!AW32/10^3</f>
        <v>0</v>
      </c>
      <c r="AY3537" s="95">
        <f>AY3535*'Assumptions (CSP)'!AX32/10^3</f>
        <v>0</v>
      </c>
      <c r="AZ3537" s="95">
        <f>AZ3535*'Assumptions (CSP)'!AY32/10^3</f>
        <v>0</v>
      </c>
      <c r="BA3537" s="95">
        <f>BA3535*'Assumptions (CSP)'!AZ32/10^3</f>
        <v>0</v>
      </c>
    </row>
    <row r="3538" ht="15.75" customHeight="1">
      <c r="A3538" s="398" t="s">
        <v>38</v>
      </c>
      <c r="B3538" s="159" t="s">
        <v>351</v>
      </c>
      <c r="C3538" s="95">
        <f>C3534*'Assumptions (CSP)'!B36*'Assumptions (Hydro)'!B32*365/10^9</f>
        <v>0</v>
      </c>
      <c r="D3538" s="95">
        <f>D3534*'Assumptions (CSP)'!C36*'Assumptions (Hydro)'!C32*365/10^9</f>
        <v>0</v>
      </c>
      <c r="E3538" s="95">
        <f>E3534*'Assumptions (CSP)'!D36*'Assumptions (Hydro)'!D32*365/10^9</f>
        <v>0</v>
      </c>
      <c r="F3538" s="95">
        <f>F3534*'Assumptions (CSP)'!E36*'Assumptions (Hydro)'!E32*365/10^9</f>
        <v>0</v>
      </c>
      <c r="G3538" s="95">
        <f>G3534*'Assumptions (CSP)'!F36*'Assumptions (Hydro)'!F32*365/10^9</f>
        <v>0</v>
      </c>
      <c r="H3538" s="95">
        <f>H3534*'Assumptions (CSP)'!G36*'Assumptions (Hydro)'!G32*365/10^9</f>
        <v>0</v>
      </c>
      <c r="I3538" s="95">
        <f>I3534*'Assumptions (CSP)'!H36*'Assumptions (Hydro)'!H32*365/10^9</f>
        <v>0</v>
      </c>
      <c r="J3538" s="95">
        <f>J3534*'Assumptions (CSP)'!I36*'Assumptions (Hydro)'!I32*365/10^9</f>
        <v>0</v>
      </c>
      <c r="K3538" s="95">
        <f>K3534*'Assumptions (CSP)'!J36*'Assumptions (Hydro)'!J32*365/10^9</f>
        <v>0</v>
      </c>
      <c r="L3538" s="95">
        <f>L3534*'Assumptions (CSP)'!K36*'Assumptions (Hydro)'!K32*365/10^9</f>
        <v>0</v>
      </c>
      <c r="M3538" s="95">
        <f>M3534*'Assumptions (CSP)'!L36*'Assumptions (Hydro)'!L32*365/10^9</f>
        <v>0</v>
      </c>
      <c r="N3538" s="95">
        <f>N3534*'Assumptions (CSP)'!M36*'Assumptions (Hydro)'!M32*365/10^9</f>
        <v>0</v>
      </c>
      <c r="O3538" s="95">
        <f>O3534*'Assumptions (CSP)'!N36*'Assumptions (Hydro)'!N32*365/10^9</f>
        <v>0</v>
      </c>
      <c r="P3538" s="95">
        <f>P3534*'Assumptions (CSP)'!O36*'Assumptions (Hydro)'!O32*365/10^9</f>
        <v>0</v>
      </c>
      <c r="Q3538" s="95">
        <f>Q3534*'Assumptions (CSP)'!P36*'Assumptions (Hydro)'!P32*365/10^9</f>
        <v>0</v>
      </c>
      <c r="R3538" s="95">
        <f>R3534*'Assumptions (CSP)'!Q36*'Assumptions (Hydro)'!Q32*365/10^9</f>
        <v>0</v>
      </c>
      <c r="S3538" s="95">
        <f>S3534*'Assumptions (CSP)'!R36*'Assumptions (Hydro)'!R32*365/10^9</f>
        <v>0</v>
      </c>
      <c r="T3538" s="95">
        <f>T3534*'Assumptions (CSP)'!S36*'Assumptions (Hydro)'!S32*365/10^9</f>
        <v>0</v>
      </c>
      <c r="U3538" s="95">
        <f>U3534*'Assumptions (CSP)'!T36*'Assumptions (Hydro)'!T32*365/10^9</f>
        <v>0</v>
      </c>
      <c r="V3538" s="95">
        <f>V3534*'Assumptions (CSP)'!U36*'Assumptions (Hydro)'!U32*365/10^9</f>
        <v>0</v>
      </c>
      <c r="W3538" s="95">
        <f>W3534*'Assumptions (CSP)'!V36*'Assumptions (Hydro)'!V32*365/10^9</f>
        <v>0</v>
      </c>
      <c r="X3538" s="95">
        <f>X3534*'Assumptions (CSP)'!W36*'Assumptions (Hydro)'!W32*365/10^9</f>
        <v>0</v>
      </c>
      <c r="Y3538" s="95">
        <f>Y3534*'Assumptions (CSP)'!X36*'Assumptions (Hydro)'!X32*365/10^9</f>
        <v>0</v>
      </c>
      <c r="Z3538" s="95">
        <f>Z3534*'Assumptions (CSP)'!Y36*'Assumptions (Hydro)'!Y32*365/10^9</f>
        <v>0</v>
      </c>
      <c r="AA3538" s="95">
        <f>AA3534*'Assumptions (CSP)'!Z36*'Assumptions (Hydro)'!Z32*365/10^9</f>
        <v>0</v>
      </c>
      <c r="AB3538" s="95">
        <f>AB3534*'Assumptions (CSP)'!AA36*'Assumptions (Hydro)'!AA32*365/10^9</f>
        <v>0</v>
      </c>
      <c r="AC3538" s="95">
        <f>AC3534*'Assumptions (CSP)'!AB36*'Assumptions (Hydro)'!AB32*365/10^9</f>
        <v>0</v>
      </c>
      <c r="AD3538" s="95">
        <f>AD3534*'Assumptions (CSP)'!AC36*'Assumptions (Hydro)'!AC32*365/10^9</f>
        <v>0</v>
      </c>
      <c r="AE3538" s="95">
        <f>AE3534*'Assumptions (CSP)'!AD36*'Assumptions (Hydro)'!AD32*365/10^9</f>
        <v>0</v>
      </c>
      <c r="AF3538" s="95">
        <f>AF3534*'Assumptions (CSP)'!AE36*'Assumptions (Hydro)'!AE32*365/10^9</f>
        <v>0</v>
      </c>
      <c r="AG3538" s="95">
        <f>AG3534*'Assumptions (CSP)'!AF36*'Assumptions (Hydro)'!AF32*365/10^9</f>
        <v>0</v>
      </c>
      <c r="AH3538" s="95">
        <f>AH3534*'Assumptions (CSP)'!AG36*'Assumptions (Hydro)'!AG32*365/10^9</f>
        <v>0</v>
      </c>
      <c r="AI3538" s="95">
        <f>AI3534*'Assumptions (CSP)'!AH36*'Assumptions (Hydro)'!AH32*365/10^9</f>
        <v>0</v>
      </c>
      <c r="AJ3538" s="95">
        <f>AJ3534*'Assumptions (CSP)'!AI36*'Assumptions (Hydro)'!AI32*365/10^9</f>
        <v>0</v>
      </c>
      <c r="AK3538" s="95">
        <f>AK3534*'Assumptions (CSP)'!AJ36*'Assumptions (Hydro)'!AJ32*365/10^9</f>
        <v>0</v>
      </c>
      <c r="AL3538" s="95">
        <f>AL3534*'Assumptions (CSP)'!AK36*'Assumptions (Hydro)'!AK32*365/10^9</f>
        <v>0</v>
      </c>
      <c r="AM3538" s="95">
        <f>AM3534*'Assumptions (CSP)'!AL36*'Assumptions (Hydro)'!AL32*365/10^9</f>
        <v>0</v>
      </c>
      <c r="AN3538" s="95">
        <f>AN3534*'Assumptions (CSP)'!AM36*'Assumptions (Hydro)'!AM32*365/10^9</f>
        <v>0</v>
      </c>
      <c r="AO3538" s="95">
        <f>AO3534*'Assumptions (CSP)'!AN36*'Assumptions (Hydro)'!AN32*365/10^9</f>
        <v>0</v>
      </c>
      <c r="AP3538" s="95">
        <f>AP3534*'Assumptions (CSP)'!AO36*'Assumptions (Hydro)'!AO32*365/10^9</f>
        <v>0</v>
      </c>
      <c r="AQ3538" s="95">
        <f>AQ3534*'Assumptions (CSP)'!AP36*'Assumptions (Hydro)'!AP32*365/10^9</f>
        <v>0</v>
      </c>
      <c r="AR3538" s="95">
        <f>AR3534*'Assumptions (CSP)'!AQ36*'Assumptions (Hydro)'!AQ32*365/10^9</f>
        <v>0</v>
      </c>
      <c r="AS3538" s="95">
        <f>AS3534*'Assumptions (CSP)'!AR36*'Assumptions (Hydro)'!AR32*365/10^9</f>
        <v>0</v>
      </c>
      <c r="AT3538" s="95">
        <f>AT3534*'Assumptions (CSP)'!AS36*'Assumptions (Hydro)'!AS32*365/10^9</f>
        <v>0</v>
      </c>
      <c r="AU3538" s="95">
        <f>AU3534*'Assumptions (CSP)'!AT36*'Assumptions (Hydro)'!AT32*365/10^9</f>
        <v>0</v>
      </c>
      <c r="AV3538" s="95">
        <f>AV3534*'Assumptions (CSP)'!AU36*'Assumptions (Hydro)'!AU32*365/10^9</f>
        <v>0</v>
      </c>
      <c r="AW3538" s="95">
        <f>AW3534*'Assumptions (CSP)'!AV36*'Assumptions (Hydro)'!AV32*365/10^9</f>
        <v>0</v>
      </c>
      <c r="AX3538" s="95">
        <f>AX3534*'Assumptions (CSP)'!AW36*'Assumptions (Hydro)'!AW32*365/10^9</f>
        <v>0</v>
      </c>
      <c r="AY3538" s="95">
        <f>AY3534*'Assumptions (CSP)'!AX36*'Assumptions (Hydro)'!AX32*365/10^9</f>
        <v>0</v>
      </c>
      <c r="AZ3538" s="95">
        <f>AZ3534*'Assumptions (CSP)'!AY36*'Assumptions (Hydro)'!AY32*365/10^9</f>
        <v>0</v>
      </c>
      <c r="BA3538" s="95">
        <f>BA3534*'Assumptions (CSP)'!AZ36*'Assumptions (Hydro)'!AZ32*365/10^9</f>
        <v>0</v>
      </c>
    </row>
    <row r="3539" ht="15.75" customHeight="1">
      <c r="A3539" s="398" t="s">
        <v>46</v>
      </c>
      <c r="B3539" s="159" t="s">
        <v>149</v>
      </c>
      <c r="C3539" s="263">
        <f t="array" ref="C3539:V3539">transpose('Assumptions (CSP)'!V111:V130)</f>
        <v>0</v>
      </c>
      <c r="D3539" s="172">
        <v>0.0</v>
      </c>
      <c r="E3539" s="172">
        <v>0.0</v>
      </c>
      <c r="F3539" s="172">
        <v>0.0</v>
      </c>
      <c r="G3539" s="172">
        <v>0.0</v>
      </c>
      <c r="H3539" s="172">
        <v>0.0</v>
      </c>
      <c r="I3539" s="172">
        <v>0.0</v>
      </c>
      <c r="J3539" s="153">
        <v>0.0</v>
      </c>
      <c r="K3539" s="153">
        <v>0.0</v>
      </c>
      <c r="L3539" s="153">
        <v>0.0</v>
      </c>
      <c r="M3539" s="153">
        <v>0.0</v>
      </c>
      <c r="N3539" s="153">
        <v>0.0</v>
      </c>
      <c r="O3539" s="153">
        <v>0.0</v>
      </c>
      <c r="P3539" s="153">
        <v>0.0</v>
      </c>
      <c r="Q3539" s="153">
        <v>0.0</v>
      </c>
      <c r="R3539" s="153">
        <v>0.0</v>
      </c>
      <c r="S3539" s="153">
        <v>0.0</v>
      </c>
      <c r="T3539" s="153">
        <v>0.0</v>
      </c>
      <c r="U3539" s="153">
        <v>0.0</v>
      </c>
      <c r="V3539" s="153">
        <v>0.0</v>
      </c>
      <c r="W3539" s="173">
        <f>W3534-V3534</f>
        <v>0</v>
      </c>
      <c r="X3539" s="401">
        <f t="shared" ref="X3539:BA3539" si="105">if(X3534&gt;X3533,X3534-X3533,0)</f>
        <v>0</v>
      </c>
      <c r="Y3539" s="401">
        <f t="shared" si="105"/>
        <v>0</v>
      </c>
      <c r="Z3539" s="401">
        <f t="shared" si="105"/>
        <v>0</v>
      </c>
      <c r="AA3539" s="401">
        <f t="shared" si="105"/>
        <v>0</v>
      </c>
      <c r="AB3539" s="401">
        <f t="shared" si="105"/>
        <v>0</v>
      </c>
      <c r="AC3539" s="401">
        <f t="shared" si="105"/>
        <v>0</v>
      </c>
      <c r="AD3539" s="401">
        <f t="shared" si="105"/>
        <v>0</v>
      </c>
      <c r="AE3539" s="401">
        <f t="shared" si="105"/>
        <v>0</v>
      </c>
      <c r="AF3539" s="401">
        <f t="shared" si="105"/>
        <v>0</v>
      </c>
      <c r="AG3539" s="401">
        <f t="shared" si="105"/>
        <v>0</v>
      </c>
      <c r="AH3539" s="401">
        <f t="shared" si="105"/>
        <v>0</v>
      </c>
      <c r="AI3539" s="401">
        <f t="shared" si="105"/>
        <v>0</v>
      </c>
      <c r="AJ3539" s="401">
        <f t="shared" si="105"/>
        <v>0</v>
      </c>
      <c r="AK3539" s="401">
        <f t="shared" si="105"/>
        <v>0</v>
      </c>
      <c r="AL3539" s="401">
        <f t="shared" si="105"/>
        <v>0</v>
      </c>
      <c r="AM3539" s="401">
        <f t="shared" si="105"/>
        <v>0</v>
      </c>
      <c r="AN3539" s="401">
        <f t="shared" si="105"/>
        <v>0</v>
      </c>
      <c r="AO3539" s="401">
        <f t="shared" si="105"/>
        <v>0</v>
      </c>
      <c r="AP3539" s="401">
        <f t="shared" si="105"/>
        <v>0</v>
      </c>
      <c r="AQ3539" s="401">
        <f t="shared" si="105"/>
        <v>0</v>
      </c>
      <c r="AR3539" s="401">
        <f t="shared" si="105"/>
        <v>0</v>
      </c>
      <c r="AS3539" s="401">
        <f t="shared" si="105"/>
        <v>0</v>
      </c>
      <c r="AT3539" s="401">
        <f t="shared" si="105"/>
        <v>0</v>
      </c>
      <c r="AU3539" s="401">
        <f t="shared" si="105"/>
        <v>0</v>
      </c>
      <c r="AV3539" s="401">
        <f t="shared" si="105"/>
        <v>0</v>
      </c>
      <c r="AW3539" s="401">
        <f t="shared" si="105"/>
        <v>0</v>
      </c>
      <c r="AX3539" s="401">
        <f t="shared" si="105"/>
        <v>0</v>
      </c>
      <c r="AY3539" s="401">
        <f t="shared" si="105"/>
        <v>0</v>
      </c>
      <c r="AZ3539" s="401">
        <f t="shared" si="105"/>
        <v>0</v>
      </c>
      <c r="BA3539" s="401">
        <f t="shared" si="105"/>
        <v>0</v>
      </c>
    </row>
    <row r="3540" ht="15.75" customHeight="1">
      <c r="A3540" s="398" t="s">
        <v>48</v>
      </c>
      <c r="B3540" s="159" t="s">
        <v>150</v>
      </c>
      <c r="C3540" s="95"/>
      <c r="D3540" s="95"/>
      <c r="E3540" s="95"/>
      <c r="F3540" s="95"/>
      <c r="G3540" s="95"/>
      <c r="H3540" s="95"/>
      <c r="I3540" s="95"/>
      <c r="J3540" s="95"/>
      <c r="K3540" s="95"/>
      <c r="L3540" s="95"/>
      <c r="M3540" s="95"/>
      <c r="N3540" s="95"/>
      <c r="O3540" s="95"/>
      <c r="P3540" s="95"/>
      <c r="Q3540" s="95"/>
      <c r="R3540" s="95"/>
      <c r="S3540" s="95"/>
      <c r="T3540" s="95"/>
      <c r="U3540" s="95"/>
      <c r="V3540" s="95"/>
      <c r="W3540" s="95"/>
      <c r="X3540" s="95"/>
      <c r="Y3540" s="95"/>
      <c r="Z3540" s="95"/>
      <c r="AA3540" s="95"/>
      <c r="AB3540" s="95"/>
      <c r="AC3540" s="95"/>
      <c r="AD3540" s="95"/>
      <c r="AE3540" s="95"/>
      <c r="AF3540" s="95"/>
      <c r="AG3540" s="95"/>
      <c r="AH3540" s="95"/>
      <c r="AI3540" s="95"/>
      <c r="AJ3540" s="95"/>
      <c r="AK3540" s="95"/>
      <c r="AL3540" s="95"/>
      <c r="AM3540" s="95"/>
      <c r="AN3540" s="95"/>
      <c r="AO3540" s="95"/>
      <c r="AP3540" s="95"/>
      <c r="AQ3540" s="95"/>
      <c r="AR3540" s="95"/>
      <c r="AS3540" s="95"/>
      <c r="AT3540" s="95"/>
      <c r="AU3540" s="95"/>
      <c r="AV3540" s="95"/>
      <c r="AW3540" s="95"/>
      <c r="AX3540" s="95"/>
      <c r="AY3540" s="95"/>
      <c r="AZ3540" s="95"/>
      <c r="BA3540" s="95"/>
    </row>
    <row r="3541" ht="15.75" customHeight="1">
      <c r="A3541" s="395" t="s">
        <v>358</v>
      </c>
      <c r="B3541" s="150" t="s">
        <v>351</v>
      </c>
      <c r="C3541" s="218">
        <f t="shared" ref="C3541:BA3541" si="106">SUM(C3542:C3592)</f>
        <v>0</v>
      </c>
      <c r="D3541" s="218">
        <f t="shared" si="106"/>
        <v>0</v>
      </c>
      <c r="E3541" s="218">
        <f t="shared" si="106"/>
        <v>0</v>
      </c>
      <c r="F3541" s="218">
        <f t="shared" si="106"/>
        <v>0</v>
      </c>
      <c r="G3541" s="218">
        <f t="shared" si="106"/>
        <v>0</v>
      </c>
      <c r="H3541" s="218">
        <f t="shared" si="106"/>
        <v>0</v>
      </c>
      <c r="I3541" s="218">
        <f t="shared" si="106"/>
        <v>0</v>
      </c>
      <c r="J3541" s="218">
        <f t="shared" si="106"/>
        <v>0</v>
      </c>
      <c r="K3541" s="218">
        <f t="shared" si="106"/>
        <v>0</v>
      </c>
      <c r="L3541" s="218">
        <f t="shared" si="106"/>
        <v>0</v>
      </c>
      <c r="M3541" s="218">
        <f t="shared" si="106"/>
        <v>0</v>
      </c>
      <c r="N3541" s="218">
        <f t="shared" si="106"/>
        <v>0</v>
      </c>
      <c r="O3541" s="218">
        <f t="shared" si="106"/>
        <v>0</v>
      </c>
      <c r="P3541" s="218">
        <f t="shared" si="106"/>
        <v>0</v>
      </c>
      <c r="Q3541" s="218">
        <f t="shared" si="106"/>
        <v>0</v>
      </c>
      <c r="R3541" s="218">
        <f t="shared" si="106"/>
        <v>0</v>
      </c>
      <c r="S3541" s="218">
        <f t="shared" si="106"/>
        <v>0</v>
      </c>
      <c r="T3541" s="218">
        <f t="shared" si="106"/>
        <v>0</v>
      </c>
      <c r="U3541" s="218">
        <f t="shared" si="106"/>
        <v>0</v>
      </c>
      <c r="V3541" s="218">
        <f t="shared" si="106"/>
        <v>0</v>
      </c>
      <c r="W3541" s="218">
        <f t="shared" si="106"/>
        <v>0</v>
      </c>
      <c r="X3541" s="218">
        <f t="shared" si="106"/>
        <v>0</v>
      </c>
      <c r="Y3541" s="218">
        <f t="shared" si="106"/>
        <v>0</v>
      </c>
      <c r="Z3541" s="218">
        <f t="shared" si="106"/>
        <v>0</v>
      </c>
      <c r="AA3541" s="218">
        <f t="shared" si="106"/>
        <v>0</v>
      </c>
      <c r="AB3541" s="218">
        <f t="shared" si="106"/>
        <v>0</v>
      </c>
      <c r="AC3541" s="218">
        <f t="shared" si="106"/>
        <v>0</v>
      </c>
      <c r="AD3541" s="218">
        <f t="shared" si="106"/>
        <v>0</v>
      </c>
      <c r="AE3541" s="218">
        <f t="shared" si="106"/>
        <v>0</v>
      </c>
      <c r="AF3541" s="218">
        <f t="shared" si="106"/>
        <v>0</v>
      </c>
      <c r="AG3541" s="218">
        <f t="shared" si="106"/>
        <v>0</v>
      </c>
      <c r="AH3541" s="218">
        <f t="shared" si="106"/>
        <v>0</v>
      </c>
      <c r="AI3541" s="218">
        <f t="shared" si="106"/>
        <v>0</v>
      </c>
      <c r="AJ3541" s="218">
        <f t="shared" si="106"/>
        <v>0</v>
      </c>
      <c r="AK3541" s="218">
        <f t="shared" si="106"/>
        <v>0</v>
      </c>
      <c r="AL3541" s="218">
        <f t="shared" si="106"/>
        <v>0</v>
      </c>
      <c r="AM3541" s="218">
        <f t="shared" si="106"/>
        <v>0</v>
      </c>
      <c r="AN3541" s="218">
        <f t="shared" si="106"/>
        <v>0</v>
      </c>
      <c r="AO3541" s="218">
        <f t="shared" si="106"/>
        <v>0</v>
      </c>
      <c r="AP3541" s="218">
        <f t="shared" si="106"/>
        <v>0</v>
      </c>
      <c r="AQ3541" s="218">
        <f t="shared" si="106"/>
        <v>0</v>
      </c>
      <c r="AR3541" s="218">
        <f t="shared" si="106"/>
        <v>0</v>
      </c>
      <c r="AS3541" s="218">
        <f t="shared" si="106"/>
        <v>0</v>
      </c>
      <c r="AT3541" s="218">
        <f t="shared" si="106"/>
        <v>0</v>
      </c>
      <c r="AU3541" s="218">
        <f t="shared" si="106"/>
        <v>0</v>
      </c>
      <c r="AV3541" s="218">
        <f t="shared" si="106"/>
        <v>0</v>
      </c>
      <c r="AW3541" s="218">
        <f t="shared" si="106"/>
        <v>0</v>
      </c>
      <c r="AX3541" s="218">
        <f t="shared" si="106"/>
        <v>0</v>
      </c>
      <c r="AY3541" s="218">
        <f t="shared" si="106"/>
        <v>0</v>
      </c>
      <c r="AZ3541" s="218">
        <f t="shared" si="106"/>
        <v>0</v>
      </c>
      <c r="BA3541" s="218">
        <f t="shared" si="106"/>
        <v>0</v>
      </c>
      <c r="BB3541" s="218"/>
      <c r="BC3541" s="218"/>
      <c r="BD3541" s="218"/>
      <c r="BE3541" s="218"/>
    </row>
    <row r="3542" ht="15.75" hidden="1" customHeight="1" outlineLevel="1">
      <c r="A3542" s="395"/>
      <c r="B3542" s="24"/>
      <c r="C3542" s="95">
        <f>IF($C$3539&gt;0,3*'Assumptions (CSP)'!$V$14*Model!$C$3539*'Assumptions (CSP)'!B$2/10^9,0)</f>
        <v>0</v>
      </c>
      <c r="D3542" s="95"/>
      <c r="E3542" s="95"/>
      <c r="F3542" s="95"/>
      <c r="G3542" s="95"/>
      <c r="H3542" s="95"/>
      <c r="I3542" s="95"/>
      <c r="J3542" s="95"/>
      <c r="K3542" s="95"/>
      <c r="L3542" s="95"/>
      <c r="M3542" s="95"/>
      <c r="N3542" s="95"/>
      <c r="O3542" s="95"/>
      <c r="P3542" s="95"/>
      <c r="Q3542" s="95"/>
      <c r="R3542" s="95"/>
      <c r="S3542" s="95"/>
      <c r="T3542" s="95"/>
      <c r="U3542" s="95"/>
      <c r="V3542" s="95"/>
      <c r="W3542" s="95"/>
      <c r="X3542" s="95"/>
      <c r="Y3542" s="95"/>
      <c r="Z3542" s="95"/>
      <c r="AA3542" s="95"/>
      <c r="AB3542" s="95"/>
      <c r="AC3542" s="95"/>
      <c r="AD3542" s="95"/>
      <c r="AE3542" s="95"/>
      <c r="AF3542" s="95"/>
      <c r="AG3542" s="95"/>
      <c r="AH3542" s="95"/>
      <c r="AI3542" s="95"/>
      <c r="AJ3542" s="95"/>
      <c r="AK3542" s="95"/>
      <c r="AL3542" s="95"/>
      <c r="AM3542" s="95"/>
      <c r="AN3542" s="95"/>
      <c r="AO3542" s="95"/>
      <c r="AP3542" s="95"/>
      <c r="AQ3542" s="95"/>
      <c r="AR3542" s="95"/>
      <c r="AS3542" s="95"/>
      <c r="AT3542" s="95"/>
      <c r="AU3542" s="95"/>
      <c r="AV3542" s="95"/>
      <c r="AW3542" s="95"/>
      <c r="AX3542" s="95"/>
      <c r="AY3542" s="95"/>
      <c r="AZ3542" s="95"/>
      <c r="BA3542" s="95"/>
    </row>
    <row r="3543" ht="15.75" hidden="1" customHeight="1" outlineLevel="1">
      <c r="A3543" s="395"/>
      <c r="B3543" s="24"/>
      <c r="C3543" s="95">
        <f>IF($D$3539&gt;0,3*'Assumptions (CSP)'!$V$14*Model!$D$3539*'Assumptions (CSP)'!B$2/10^9,0)</f>
        <v>0</v>
      </c>
      <c r="D3543" s="95"/>
      <c r="E3543" s="95"/>
      <c r="F3543" s="95"/>
      <c r="G3543" s="95"/>
      <c r="H3543" s="95"/>
      <c r="I3543" s="95"/>
      <c r="J3543" s="95"/>
      <c r="K3543" s="95"/>
      <c r="L3543" s="95"/>
      <c r="M3543" s="95"/>
      <c r="N3543" s="95"/>
      <c r="O3543" s="95"/>
      <c r="P3543" s="95"/>
      <c r="Q3543" s="95"/>
      <c r="R3543" s="95"/>
      <c r="S3543" s="95"/>
      <c r="T3543" s="95"/>
      <c r="U3543" s="95"/>
      <c r="V3543" s="95"/>
      <c r="W3543" s="95"/>
      <c r="X3543" s="95"/>
      <c r="Y3543" s="95"/>
      <c r="Z3543" s="95"/>
      <c r="AA3543" s="95"/>
      <c r="AB3543" s="95"/>
      <c r="AC3543" s="95"/>
      <c r="AD3543" s="95"/>
      <c r="AE3543" s="95"/>
      <c r="AF3543" s="95"/>
      <c r="AG3543" s="95"/>
      <c r="AH3543" s="95"/>
      <c r="AI3543" s="95"/>
      <c r="AJ3543" s="95"/>
      <c r="AK3543" s="95"/>
      <c r="AL3543" s="95"/>
      <c r="AM3543" s="95"/>
      <c r="AN3543" s="95"/>
      <c r="AO3543" s="95"/>
      <c r="AP3543" s="95"/>
      <c r="AQ3543" s="95"/>
      <c r="AR3543" s="95"/>
      <c r="AS3543" s="95"/>
      <c r="AT3543" s="95"/>
      <c r="AU3543" s="95"/>
      <c r="AV3543" s="95"/>
      <c r="AW3543" s="95"/>
      <c r="AX3543" s="95"/>
      <c r="AY3543" s="95"/>
      <c r="AZ3543" s="95"/>
      <c r="BA3543" s="95"/>
    </row>
    <row r="3544" ht="15.75" hidden="1" customHeight="1" outlineLevel="1">
      <c r="A3544" s="395"/>
      <c r="B3544" s="24"/>
      <c r="C3544" s="95">
        <f>IF($E$3539&gt;0,2*'Assumptions (CSP)'!$V$14*Model!$E$3539*'Assumptions (CSP)'!B$2/10^9,0)</f>
        <v>0</v>
      </c>
      <c r="D3544" s="95">
        <f>IF($E$3539&gt;0,2*'Assumptions (CSP)'!$V$14*Model!$E$3539*'Assumptions (CSP)'!C$2/10^9,0)</f>
        <v>0</v>
      </c>
      <c r="E3544" s="95"/>
      <c r="F3544" s="95"/>
      <c r="G3544" s="95"/>
      <c r="H3544" s="95"/>
      <c r="I3544" s="95"/>
      <c r="J3544" s="95"/>
      <c r="K3544" s="95"/>
      <c r="L3544" s="95"/>
      <c r="M3544" s="95"/>
      <c r="N3544" s="95"/>
      <c r="O3544" s="95"/>
      <c r="P3544" s="95"/>
      <c r="Q3544" s="95"/>
      <c r="R3544" s="95"/>
      <c r="S3544" s="95"/>
      <c r="T3544" s="95"/>
      <c r="U3544" s="95"/>
      <c r="V3544" s="95"/>
      <c r="W3544" s="95"/>
      <c r="X3544" s="95"/>
      <c r="Y3544" s="95"/>
      <c r="Z3544" s="95"/>
      <c r="AA3544" s="95"/>
      <c r="AB3544" s="95"/>
      <c r="AC3544" s="95"/>
      <c r="AD3544" s="95"/>
      <c r="AE3544" s="95"/>
      <c r="AF3544" s="95"/>
      <c r="AG3544" s="95"/>
      <c r="AH3544" s="95"/>
      <c r="AI3544" s="95"/>
      <c r="AJ3544" s="95"/>
      <c r="AK3544" s="95"/>
      <c r="AL3544" s="95"/>
      <c r="AM3544" s="95"/>
      <c r="AN3544" s="95"/>
      <c r="AO3544" s="95"/>
      <c r="AP3544" s="95"/>
      <c r="AQ3544" s="95"/>
      <c r="AR3544" s="95"/>
      <c r="AS3544" s="95"/>
      <c r="AT3544" s="95"/>
      <c r="AU3544" s="95"/>
      <c r="AV3544" s="95"/>
      <c r="AW3544" s="95"/>
      <c r="AX3544" s="95"/>
      <c r="AY3544" s="95"/>
      <c r="AZ3544" s="95"/>
      <c r="BA3544" s="95"/>
    </row>
    <row r="3545" ht="15.75" hidden="1" customHeight="1" outlineLevel="1">
      <c r="A3545" s="395"/>
      <c r="B3545" s="24"/>
      <c r="C3545" s="95">
        <f>IF($F$3539&gt;0,'Assumptions (CSP)'!$V$14*Model!$F$3539*'Assumptions (CSP)'!B$2/10^9,0)</f>
        <v>0</v>
      </c>
      <c r="D3545" s="95">
        <f>IF($F$3539&gt;0,'Assumptions (CSP)'!$V$14*Model!$F$3539*'Assumptions (CSP)'!C$2/10^9,0)</f>
        <v>0</v>
      </c>
      <c r="E3545" s="95">
        <f>IF($F$3539&gt;0,'Assumptions (CSP)'!$V$14*Model!$F$3539*'Assumptions (CSP)'!D$2/10^9,0)</f>
        <v>0</v>
      </c>
      <c r="F3545" s="95"/>
      <c r="G3545" s="95"/>
      <c r="H3545" s="95"/>
      <c r="I3545" s="95"/>
      <c r="J3545" s="95"/>
      <c r="K3545" s="95"/>
      <c r="L3545" s="95"/>
      <c r="M3545" s="95"/>
      <c r="N3545" s="95"/>
      <c r="O3545" s="95"/>
      <c r="P3545" s="95"/>
      <c r="Q3545" s="95"/>
      <c r="R3545" s="95"/>
      <c r="S3545" s="95"/>
      <c r="T3545" s="95"/>
      <c r="U3545" s="95"/>
      <c r="V3545" s="95"/>
      <c r="W3545" s="95"/>
      <c r="X3545" s="95"/>
      <c r="Y3545" s="95"/>
      <c r="Z3545" s="95"/>
      <c r="AA3545" s="95"/>
      <c r="AB3545" s="95"/>
      <c r="AC3545" s="95"/>
      <c r="AD3545" s="95"/>
      <c r="AE3545" s="95"/>
      <c r="AF3545" s="95"/>
      <c r="AG3545" s="95"/>
      <c r="AH3545" s="95"/>
      <c r="AI3545" s="95"/>
      <c r="AJ3545" s="95"/>
      <c r="AK3545" s="95"/>
      <c r="AL3545" s="95"/>
      <c r="AM3545" s="95"/>
      <c r="AN3545" s="95"/>
      <c r="AO3545" s="95"/>
      <c r="AP3545" s="95"/>
      <c r="AQ3545" s="95"/>
      <c r="AR3545" s="95"/>
      <c r="AS3545" s="95"/>
      <c r="AT3545" s="95"/>
      <c r="AU3545" s="95"/>
      <c r="AV3545" s="95"/>
      <c r="AW3545" s="95"/>
      <c r="AX3545" s="95"/>
      <c r="AY3545" s="95"/>
      <c r="AZ3545" s="95"/>
      <c r="BA3545" s="95"/>
    </row>
    <row r="3546" ht="15.75" hidden="1" customHeight="1" outlineLevel="1">
      <c r="A3546" s="395"/>
      <c r="B3546" s="24"/>
      <c r="C3546" s="95"/>
      <c r="D3546" s="95">
        <f>IF($G$3539&gt;0,'Assumptions (CSP)'!$V$14*Model!$G$3539*'Assumptions (CSP)'!C$2/10^9,0)</f>
        <v>0</v>
      </c>
      <c r="E3546" s="95">
        <f>IF($G$3539&gt;0,'Assumptions (CSP)'!$V$14*Model!$G$3539*'Assumptions (CSP)'!D$2/10^9,0)</f>
        <v>0</v>
      </c>
      <c r="F3546" s="95">
        <f>IF($G$3539&gt;0,'Assumptions (CSP)'!$V$14*Model!$G$3539*'Assumptions (CSP)'!E$2/10^9,0)</f>
        <v>0</v>
      </c>
      <c r="G3546" s="95"/>
      <c r="H3546" s="95"/>
      <c r="I3546" s="95"/>
      <c r="J3546" s="95"/>
      <c r="K3546" s="95"/>
      <c r="L3546" s="95"/>
      <c r="M3546" s="95"/>
      <c r="N3546" s="95"/>
      <c r="O3546" s="95"/>
      <c r="P3546" s="95"/>
      <c r="Q3546" s="95"/>
      <c r="R3546" s="95"/>
      <c r="S3546" s="95"/>
      <c r="T3546" s="95"/>
      <c r="U3546" s="95"/>
      <c r="V3546" s="95"/>
      <c r="W3546" s="95"/>
      <c r="X3546" s="95"/>
      <c r="Y3546" s="95"/>
      <c r="Z3546" s="95"/>
      <c r="AA3546" s="95"/>
      <c r="AB3546" s="95"/>
      <c r="AC3546" s="95"/>
      <c r="AD3546" s="95"/>
      <c r="AE3546" s="95"/>
      <c r="AF3546" s="95"/>
      <c r="AG3546" s="95"/>
      <c r="AH3546" s="95"/>
      <c r="AI3546" s="95"/>
      <c r="AJ3546" s="95"/>
      <c r="AK3546" s="95"/>
      <c r="AL3546" s="95"/>
      <c r="AM3546" s="95"/>
      <c r="AN3546" s="95"/>
      <c r="AO3546" s="95"/>
      <c r="AP3546" s="95"/>
      <c r="AQ3546" s="95"/>
      <c r="AR3546" s="95"/>
      <c r="AS3546" s="95"/>
      <c r="AT3546" s="95"/>
      <c r="AU3546" s="95"/>
      <c r="AV3546" s="95"/>
      <c r="AW3546" s="95"/>
      <c r="AX3546" s="95"/>
      <c r="AY3546" s="95"/>
      <c r="AZ3546" s="95"/>
      <c r="BA3546" s="95"/>
    </row>
    <row r="3547" ht="15.75" hidden="1" customHeight="1" outlineLevel="1">
      <c r="A3547" s="395"/>
      <c r="B3547" s="24"/>
      <c r="C3547" s="95"/>
      <c r="D3547" s="95"/>
      <c r="E3547" s="95">
        <f>IF($H$3539&gt;0,'Assumptions (CSP)'!$V$14*Model!$H$3539*'Assumptions (CSP)'!D$2/10^9,0)</f>
        <v>0</v>
      </c>
      <c r="F3547" s="95">
        <f>IF($H$3539&gt;0,'Assumptions (CSP)'!$V$14*Model!$H$3539*'Assumptions (CSP)'!E$2/10^9,0)</f>
        <v>0</v>
      </c>
      <c r="G3547" s="95">
        <f>IF($H$3539&gt;0,'Assumptions (CSP)'!$V$14*Model!$H$3539*'Assumptions (CSP)'!F$2/10^9,0)</f>
        <v>0</v>
      </c>
      <c r="H3547" s="95"/>
      <c r="I3547" s="95"/>
      <c r="J3547" s="95"/>
      <c r="K3547" s="95"/>
      <c r="L3547" s="95"/>
      <c r="M3547" s="95"/>
      <c r="N3547" s="95"/>
      <c r="O3547" s="95"/>
      <c r="P3547" s="95"/>
      <c r="Q3547" s="95"/>
      <c r="R3547" s="95"/>
      <c r="S3547" s="95"/>
      <c r="T3547" s="95"/>
      <c r="U3547" s="95"/>
      <c r="V3547" s="95"/>
      <c r="W3547" s="95"/>
      <c r="X3547" s="95"/>
      <c r="Y3547" s="95"/>
      <c r="Z3547" s="95"/>
      <c r="AA3547" s="95"/>
      <c r="AB3547" s="95"/>
      <c r="AC3547" s="95"/>
      <c r="AD3547" s="95"/>
      <c r="AE3547" s="95"/>
      <c r="AF3547" s="95"/>
      <c r="AG3547" s="95"/>
      <c r="AH3547" s="95"/>
      <c r="AI3547" s="95"/>
      <c r="AJ3547" s="95"/>
      <c r="AK3547" s="95"/>
      <c r="AL3547" s="95"/>
      <c r="AM3547" s="95"/>
      <c r="AN3547" s="95"/>
      <c r="AO3547" s="95"/>
      <c r="AP3547" s="95"/>
      <c r="AQ3547" s="95"/>
      <c r="AR3547" s="95"/>
      <c r="AS3547" s="95"/>
      <c r="AT3547" s="95"/>
      <c r="AU3547" s="95"/>
      <c r="AV3547" s="95"/>
      <c r="AW3547" s="95"/>
      <c r="AX3547" s="95"/>
      <c r="AY3547" s="95"/>
      <c r="AZ3547" s="95"/>
      <c r="BA3547" s="95"/>
    </row>
    <row r="3548" ht="15.75" hidden="1" customHeight="1" outlineLevel="1">
      <c r="A3548" s="395"/>
      <c r="B3548" s="24"/>
      <c r="C3548" s="95"/>
      <c r="D3548" s="95"/>
      <c r="E3548" s="95"/>
      <c r="F3548" s="95">
        <f>IF($I$3539&gt;0,'Assumptions (CSP)'!$V$14*Model!$I$3539*'Assumptions (CSP)'!E$2/10^9,0)</f>
        <v>0</v>
      </c>
      <c r="G3548" s="95">
        <f>IF($I$3539&gt;0,'Assumptions (CSP)'!$V$14*Model!$I$3539*'Assumptions (CSP)'!F$2/10^9,0)</f>
        <v>0</v>
      </c>
      <c r="H3548" s="95">
        <f>IF($I$3539&gt;0,'Assumptions (CSP)'!$V$14*Model!$I$3539*'Assumptions (CSP)'!G$2/10^9,0)</f>
        <v>0</v>
      </c>
      <c r="I3548" s="95"/>
      <c r="J3548" s="95"/>
      <c r="K3548" s="95"/>
      <c r="L3548" s="95"/>
      <c r="M3548" s="95"/>
      <c r="N3548" s="95"/>
      <c r="O3548" s="95"/>
      <c r="P3548" s="95"/>
      <c r="Q3548" s="95"/>
      <c r="R3548" s="95"/>
      <c r="S3548" s="95"/>
      <c r="T3548" s="95"/>
      <c r="U3548" s="95"/>
      <c r="V3548" s="95"/>
      <c r="W3548" s="95"/>
      <c r="X3548" s="95"/>
      <c r="Y3548" s="95"/>
      <c r="Z3548" s="95"/>
      <c r="AA3548" s="95"/>
      <c r="AB3548" s="95"/>
      <c r="AC3548" s="95"/>
      <c r="AD3548" s="95"/>
      <c r="AE3548" s="95"/>
      <c r="AF3548" s="95"/>
      <c r="AG3548" s="95"/>
      <c r="AH3548" s="95"/>
      <c r="AI3548" s="95"/>
      <c r="AJ3548" s="95"/>
      <c r="AK3548" s="95"/>
      <c r="AL3548" s="95"/>
      <c r="AM3548" s="95"/>
      <c r="AN3548" s="95"/>
      <c r="AO3548" s="95"/>
      <c r="AP3548" s="95"/>
      <c r="AQ3548" s="95"/>
      <c r="AR3548" s="95"/>
      <c r="AS3548" s="95"/>
      <c r="AT3548" s="95"/>
      <c r="AU3548" s="95"/>
      <c r="AV3548" s="95"/>
      <c r="AW3548" s="95"/>
      <c r="AX3548" s="95"/>
      <c r="AY3548" s="95"/>
      <c r="AZ3548" s="95"/>
      <c r="BA3548" s="95"/>
    </row>
    <row r="3549" ht="15.75" hidden="1" customHeight="1" outlineLevel="1">
      <c r="A3549" s="395"/>
      <c r="B3549" s="24"/>
      <c r="C3549" s="95"/>
      <c r="D3549" s="95"/>
      <c r="E3549" s="95"/>
      <c r="F3549" s="95"/>
      <c r="G3549" s="95">
        <f>IF($J$3539&gt;0,'Assumptions (CSP)'!$V$14*Model!$J$3539*'Assumptions (CSP)'!F$2/10^9,0)</f>
        <v>0</v>
      </c>
      <c r="H3549" s="95">
        <f>IF($J$3539&gt;0,'Assumptions (CSP)'!$V$14*Model!$J$3539*'Assumptions (CSP)'!G$2/10^9,0)</f>
        <v>0</v>
      </c>
      <c r="I3549" s="95">
        <f>IF($J$3539&gt;0,'Assumptions (CSP)'!$V$14*Model!$J$3539*'Assumptions (CSP)'!H$2/10^9,0)</f>
        <v>0</v>
      </c>
      <c r="J3549" s="95"/>
      <c r="K3549" s="95"/>
      <c r="L3549" s="95"/>
      <c r="M3549" s="95"/>
      <c r="N3549" s="95"/>
      <c r="O3549" s="95"/>
      <c r="P3549" s="95"/>
      <c r="Q3549" s="95"/>
      <c r="R3549" s="95"/>
      <c r="S3549" s="95"/>
      <c r="T3549" s="95"/>
      <c r="U3549" s="95"/>
      <c r="V3549" s="95"/>
      <c r="W3549" s="95"/>
      <c r="X3549" s="95"/>
      <c r="Y3549" s="95"/>
      <c r="Z3549" s="95"/>
      <c r="AA3549" s="95"/>
      <c r="AB3549" s="95"/>
      <c r="AC3549" s="95"/>
      <c r="AD3549" s="95"/>
      <c r="AE3549" s="95"/>
      <c r="AF3549" s="95"/>
      <c r="AG3549" s="95"/>
      <c r="AH3549" s="95"/>
      <c r="AI3549" s="95"/>
      <c r="AJ3549" s="95"/>
      <c r="AK3549" s="95"/>
      <c r="AL3549" s="95"/>
      <c r="AM3549" s="95"/>
      <c r="AN3549" s="95"/>
      <c r="AO3549" s="95"/>
      <c r="AP3549" s="95"/>
      <c r="AQ3549" s="95"/>
      <c r="AR3549" s="95"/>
      <c r="AS3549" s="95"/>
      <c r="AT3549" s="95"/>
      <c r="AU3549" s="95"/>
      <c r="AV3549" s="95"/>
      <c r="AW3549" s="95"/>
      <c r="AX3549" s="95"/>
      <c r="AY3549" s="95"/>
      <c r="AZ3549" s="95"/>
      <c r="BA3549" s="95"/>
    </row>
    <row r="3550" ht="15.75" hidden="1" customHeight="1" outlineLevel="1">
      <c r="A3550" s="395"/>
      <c r="B3550" s="24"/>
      <c r="C3550" s="95"/>
      <c r="D3550" s="95"/>
      <c r="E3550" s="95"/>
      <c r="F3550" s="95"/>
      <c r="G3550" s="95"/>
      <c r="H3550" s="95">
        <f>IF($K$3539&gt;0,'Assumptions (CSP)'!$V$14*Model!$K$3539*'Assumptions (CSP)'!G$2/10^9,0)</f>
        <v>0</v>
      </c>
      <c r="I3550" s="95">
        <f>IF($K$3539&gt;0,'Assumptions (CSP)'!$V$14*Model!$K$3539*'Assumptions (CSP)'!H$2/10^9,0)</f>
        <v>0</v>
      </c>
      <c r="J3550" s="95">
        <f>IF($K$3539&gt;0,'Assumptions (CSP)'!$V$14*Model!$K$3539*'Assumptions (CSP)'!I$2/10^9,0)</f>
        <v>0</v>
      </c>
      <c r="K3550" s="95"/>
      <c r="L3550" s="95"/>
      <c r="M3550" s="95"/>
      <c r="N3550" s="95"/>
      <c r="O3550" s="95"/>
      <c r="P3550" s="95"/>
      <c r="Q3550" s="95"/>
      <c r="R3550" s="95"/>
      <c r="S3550" s="95"/>
      <c r="T3550" s="95"/>
      <c r="U3550" s="95"/>
      <c r="V3550" s="95"/>
      <c r="W3550" s="95"/>
      <c r="X3550" s="95"/>
      <c r="Y3550" s="95"/>
      <c r="Z3550" s="95"/>
      <c r="AA3550" s="95"/>
      <c r="AB3550" s="95"/>
      <c r="AC3550" s="95"/>
      <c r="AD3550" s="95"/>
      <c r="AE3550" s="95"/>
      <c r="AF3550" s="95"/>
      <c r="AG3550" s="95"/>
      <c r="AH3550" s="95"/>
      <c r="AI3550" s="95"/>
      <c r="AJ3550" s="95"/>
      <c r="AK3550" s="95"/>
      <c r="AL3550" s="95"/>
      <c r="AM3550" s="95"/>
      <c r="AN3550" s="95"/>
      <c r="AO3550" s="95"/>
      <c r="AP3550" s="95"/>
      <c r="AQ3550" s="95"/>
      <c r="AR3550" s="95"/>
      <c r="AS3550" s="95"/>
      <c r="AT3550" s="95"/>
      <c r="AU3550" s="95"/>
      <c r="AV3550" s="95"/>
      <c r="AW3550" s="95"/>
      <c r="AX3550" s="95"/>
      <c r="AY3550" s="95"/>
      <c r="AZ3550" s="95"/>
      <c r="BA3550" s="95"/>
    </row>
    <row r="3551" ht="15.75" hidden="1" customHeight="1" outlineLevel="1">
      <c r="A3551" s="395"/>
      <c r="B3551" s="24"/>
      <c r="C3551" s="95"/>
      <c r="D3551" s="95"/>
      <c r="E3551" s="95"/>
      <c r="F3551" s="95"/>
      <c r="G3551" s="95"/>
      <c r="H3551" s="95"/>
      <c r="I3551" s="95">
        <f>IF($L$3539&gt;0,'Assumptions (CSP)'!$V$14*Model!$L$3539*'Assumptions (CSP)'!H$2/10^9,0)</f>
        <v>0</v>
      </c>
      <c r="J3551" s="95">
        <f>IF($L$3539&gt;0,'Assumptions (CSP)'!$V$14*Model!$L$3539*'Assumptions (CSP)'!I$2/10^9,0)</f>
        <v>0</v>
      </c>
      <c r="K3551" s="95">
        <f>IF($L$3539&gt;0,'Assumptions (CSP)'!$V$14*Model!$L$3539*'Assumptions (CSP)'!J$2/10^9,0)</f>
        <v>0</v>
      </c>
      <c r="L3551" s="95"/>
      <c r="M3551" s="95"/>
      <c r="N3551" s="95"/>
      <c r="O3551" s="95"/>
      <c r="P3551" s="95"/>
      <c r="Q3551" s="95"/>
      <c r="R3551" s="95"/>
      <c r="S3551" s="95"/>
      <c r="T3551" s="95"/>
      <c r="U3551" s="95"/>
      <c r="V3551" s="95"/>
      <c r="W3551" s="95"/>
      <c r="X3551" s="95"/>
      <c r="Y3551" s="95"/>
      <c r="Z3551" s="95"/>
      <c r="AA3551" s="95"/>
      <c r="AB3551" s="95"/>
      <c r="AC3551" s="95"/>
      <c r="AD3551" s="95"/>
      <c r="AE3551" s="95"/>
      <c r="AF3551" s="95"/>
      <c r="AG3551" s="95"/>
      <c r="AH3551" s="95"/>
      <c r="AI3551" s="95"/>
      <c r="AJ3551" s="95"/>
      <c r="AK3551" s="95"/>
      <c r="AL3551" s="95"/>
      <c r="AM3551" s="95"/>
      <c r="AN3551" s="95"/>
      <c r="AO3551" s="95"/>
      <c r="AP3551" s="95"/>
      <c r="AQ3551" s="95"/>
      <c r="AR3551" s="95"/>
      <c r="AS3551" s="95"/>
      <c r="AT3551" s="95"/>
      <c r="AU3551" s="95"/>
      <c r="AV3551" s="95"/>
      <c r="AW3551" s="95"/>
      <c r="AX3551" s="95"/>
      <c r="AY3551" s="95"/>
      <c r="AZ3551" s="95"/>
      <c r="BA3551" s="95"/>
    </row>
    <row r="3552" ht="15.75" hidden="1" customHeight="1" outlineLevel="1">
      <c r="A3552" s="395"/>
      <c r="B3552" s="24"/>
      <c r="C3552" s="95"/>
      <c r="D3552" s="95"/>
      <c r="E3552" s="95"/>
      <c r="F3552" s="95"/>
      <c r="G3552" s="95"/>
      <c r="H3552" s="95"/>
      <c r="I3552" s="95"/>
      <c r="J3552" s="95">
        <f>IF($M$3539&gt;0,'Assumptions (CSP)'!$V$14*Model!$M$3539*'Assumptions (CSP)'!I$2/10^9,0)</f>
        <v>0</v>
      </c>
      <c r="K3552" s="95">
        <f>IF($M$3539&gt;0,'Assumptions (CSP)'!$V$14*Model!$M$3539*'Assumptions (CSP)'!J$2/10^9,0)</f>
        <v>0</v>
      </c>
      <c r="L3552" s="95">
        <f>IF($M$3539&gt;0,'Assumptions (CSP)'!$V$14*Model!$M$3539*'Assumptions (CSP)'!K$2/10^9,0)</f>
        <v>0</v>
      </c>
      <c r="M3552" s="95"/>
      <c r="N3552" s="95"/>
      <c r="O3552" s="95"/>
      <c r="P3552" s="95"/>
      <c r="Q3552" s="95"/>
      <c r="R3552" s="95"/>
      <c r="S3552" s="95"/>
      <c r="T3552" s="95"/>
      <c r="U3552" s="95"/>
      <c r="V3552" s="95"/>
      <c r="W3552" s="95"/>
      <c r="X3552" s="95"/>
      <c r="Y3552" s="95"/>
      <c r="Z3552" s="95"/>
      <c r="AA3552" s="95"/>
      <c r="AB3552" s="95"/>
      <c r="AC3552" s="95"/>
      <c r="AD3552" s="95"/>
      <c r="AE3552" s="95"/>
      <c r="AF3552" s="95"/>
      <c r="AG3552" s="95"/>
      <c r="AH3552" s="95"/>
      <c r="AI3552" s="95"/>
      <c r="AJ3552" s="95"/>
      <c r="AK3552" s="95"/>
      <c r="AL3552" s="95"/>
      <c r="AM3552" s="95"/>
      <c r="AN3552" s="95"/>
      <c r="AO3552" s="95"/>
      <c r="AP3552" s="95"/>
      <c r="AQ3552" s="95"/>
      <c r="AR3552" s="95"/>
      <c r="AS3552" s="95"/>
      <c r="AT3552" s="95"/>
      <c r="AU3552" s="95"/>
      <c r="AV3552" s="95"/>
      <c r="AW3552" s="95"/>
      <c r="AX3552" s="95"/>
      <c r="AY3552" s="95"/>
      <c r="AZ3552" s="95"/>
      <c r="BA3552" s="95"/>
    </row>
    <row r="3553" ht="15.75" hidden="1" customHeight="1" outlineLevel="1">
      <c r="A3553" s="395"/>
      <c r="B3553" s="24"/>
      <c r="C3553" s="95"/>
      <c r="D3553" s="95"/>
      <c r="E3553" s="95"/>
      <c r="F3553" s="95"/>
      <c r="G3553" s="95"/>
      <c r="H3553" s="95"/>
      <c r="I3553" s="95"/>
      <c r="J3553" s="95"/>
      <c r="K3553" s="95">
        <f>IF($N$3539&gt;0,'Assumptions (CSP)'!$V$14*Model!$N$3539*'Assumptions (CSP)'!J$2/10^9,0)</f>
        <v>0</v>
      </c>
      <c r="L3553" s="95">
        <f>IF($O$3539&gt;0,'Assumptions (CSP)'!$V$14*Model!$O$3539*'Assumptions (CSP)'!K$2/10^9,0)</f>
        <v>0</v>
      </c>
      <c r="M3553" s="95">
        <f>IF($N$3539&gt;0,'Assumptions (CSP)'!$V$14*Model!$N$3539*'Assumptions (CSP)'!L$2/10^9,0)</f>
        <v>0</v>
      </c>
      <c r="N3553" s="95"/>
      <c r="O3553" s="95"/>
      <c r="P3553" s="95"/>
      <c r="Q3553" s="95"/>
      <c r="R3553" s="95"/>
      <c r="S3553" s="95"/>
      <c r="T3553" s="95"/>
      <c r="U3553" s="95"/>
      <c r="V3553" s="95"/>
      <c r="W3553" s="95"/>
      <c r="X3553" s="95"/>
      <c r="Y3553" s="95"/>
      <c r="Z3553" s="95"/>
      <c r="AA3553" s="95"/>
      <c r="AB3553" s="95"/>
      <c r="AC3553" s="95"/>
      <c r="AD3553" s="95"/>
      <c r="AE3553" s="95"/>
      <c r="AF3553" s="95"/>
      <c r="AG3553" s="95"/>
      <c r="AH3553" s="95"/>
      <c r="AI3553" s="95"/>
      <c r="AJ3553" s="95"/>
      <c r="AK3553" s="95"/>
      <c r="AL3553" s="95"/>
      <c r="AM3553" s="95"/>
      <c r="AN3553" s="95"/>
      <c r="AO3553" s="95"/>
      <c r="AP3553" s="95"/>
      <c r="AQ3553" s="95"/>
      <c r="AR3553" s="95"/>
      <c r="AS3553" s="95"/>
      <c r="AT3553" s="95"/>
      <c r="AU3553" s="95"/>
      <c r="AV3553" s="95"/>
      <c r="AW3553" s="95"/>
      <c r="AX3553" s="95"/>
      <c r="AY3553" s="95"/>
      <c r="AZ3553" s="95"/>
      <c r="BA3553" s="95"/>
    </row>
    <row r="3554" ht="15.75" hidden="1" customHeight="1" outlineLevel="1">
      <c r="A3554" s="395"/>
      <c r="B3554" s="24"/>
      <c r="C3554" s="95"/>
      <c r="D3554" s="95"/>
      <c r="E3554" s="95"/>
      <c r="F3554" s="95"/>
      <c r="G3554" s="95"/>
      <c r="H3554" s="95"/>
      <c r="I3554" s="95"/>
      <c r="J3554" s="95"/>
      <c r="K3554" s="95"/>
      <c r="L3554" s="95">
        <f>IF($N$3539&gt;0,'Assumptions (CSP)'!$V$14*Model!$N$3539*'Assumptions (CSP)'!K$2/10^9,0)</f>
        <v>0</v>
      </c>
      <c r="M3554" s="95">
        <f>IF($N$3539&gt;0,'Assumptions (CSP)'!$V$14*Model!$N$3539*'Assumptions (CSP)'!L$2/10^9,0)</f>
        <v>0</v>
      </c>
      <c r="N3554" s="95">
        <f>IF($N$3539&gt;0,'Assumptions (CSP)'!$V$14*Model!$N$3539*'Assumptions (CSP)'!M$2/10^9,0)</f>
        <v>0</v>
      </c>
      <c r="O3554" s="95"/>
      <c r="P3554" s="95"/>
      <c r="Q3554" s="95"/>
      <c r="R3554" s="95"/>
      <c r="S3554" s="95"/>
      <c r="T3554" s="95"/>
      <c r="U3554" s="95"/>
      <c r="V3554" s="95"/>
      <c r="W3554" s="95"/>
      <c r="X3554" s="95"/>
      <c r="Y3554" s="95"/>
      <c r="Z3554" s="95"/>
      <c r="AA3554" s="95"/>
      <c r="AB3554" s="95"/>
      <c r="AC3554" s="95"/>
      <c r="AD3554" s="95"/>
      <c r="AE3554" s="95"/>
      <c r="AF3554" s="95"/>
      <c r="AG3554" s="95"/>
      <c r="AH3554" s="95"/>
      <c r="AI3554" s="95"/>
      <c r="AJ3554" s="95"/>
      <c r="AK3554" s="95"/>
      <c r="AL3554" s="95"/>
      <c r="AM3554" s="95"/>
      <c r="AN3554" s="95"/>
      <c r="AO3554" s="95"/>
      <c r="AP3554" s="95"/>
      <c r="AQ3554" s="95"/>
      <c r="AR3554" s="95"/>
      <c r="AS3554" s="95"/>
      <c r="AT3554" s="95"/>
      <c r="AU3554" s="95"/>
      <c r="AV3554" s="95"/>
      <c r="AW3554" s="95"/>
      <c r="AX3554" s="95"/>
      <c r="AY3554" s="95"/>
      <c r="AZ3554" s="95"/>
      <c r="BA3554" s="95"/>
    </row>
    <row r="3555" ht="15.75" hidden="1" customHeight="1" outlineLevel="1">
      <c r="A3555" s="395"/>
      <c r="B3555" s="24"/>
      <c r="C3555" s="95"/>
      <c r="D3555" s="95"/>
      <c r="E3555" s="95"/>
      <c r="F3555" s="95"/>
      <c r="G3555" s="95"/>
      <c r="H3555" s="95"/>
      <c r="I3555" s="95"/>
      <c r="J3555" s="95"/>
      <c r="K3555" s="95"/>
      <c r="L3555" s="95"/>
      <c r="M3555" s="95">
        <f>IF($O$3539&gt;0,'Assumptions (CSP)'!$V$14*Model!$O$3539*'Assumptions (CSP)'!L$2/10^9,0)</f>
        <v>0</v>
      </c>
      <c r="N3555" s="95">
        <f>IF($O$3539&gt;0,'Assumptions (CSP)'!$V$14*Model!$O$3539*'Assumptions (CSP)'!M$2/10^9,0)</f>
        <v>0</v>
      </c>
      <c r="O3555" s="95">
        <f>IF($O$3539&gt;0,'Assumptions (CSP)'!$V$14*Model!$O$3539*'Assumptions (CSP)'!N$2/10^9,0)</f>
        <v>0</v>
      </c>
      <c r="P3555" s="95"/>
      <c r="Q3555" s="95"/>
      <c r="R3555" s="95"/>
      <c r="S3555" s="95"/>
      <c r="T3555" s="95"/>
      <c r="U3555" s="95"/>
      <c r="V3555" s="95"/>
      <c r="W3555" s="95"/>
      <c r="X3555" s="95"/>
      <c r="Y3555" s="95"/>
      <c r="Z3555" s="95"/>
      <c r="AA3555" s="95"/>
      <c r="AB3555" s="95"/>
      <c r="AC3555" s="95"/>
      <c r="AD3555" s="95"/>
      <c r="AE3555" s="95"/>
      <c r="AF3555" s="95"/>
      <c r="AG3555" s="95"/>
      <c r="AH3555" s="95"/>
      <c r="AI3555" s="95"/>
      <c r="AJ3555" s="95"/>
      <c r="AK3555" s="95"/>
      <c r="AL3555" s="95"/>
      <c r="AM3555" s="95"/>
      <c r="AN3555" s="95"/>
      <c r="AO3555" s="95"/>
      <c r="AP3555" s="95"/>
      <c r="AQ3555" s="95"/>
      <c r="AR3555" s="95"/>
      <c r="AS3555" s="95"/>
      <c r="AT3555" s="95"/>
      <c r="AU3555" s="95"/>
      <c r="AV3555" s="95"/>
      <c r="AW3555" s="95"/>
      <c r="AX3555" s="95"/>
      <c r="AY3555" s="95"/>
      <c r="AZ3555" s="95"/>
      <c r="BA3555" s="95"/>
    </row>
    <row r="3556" ht="15.75" hidden="1" customHeight="1" outlineLevel="1">
      <c r="A3556" s="395"/>
      <c r="B3556" s="24"/>
      <c r="C3556" s="95"/>
      <c r="D3556" s="95"/>
      <c r="E3556" s="95"/>
      <c r="F3556" s="95"/>
      <c r="G3556" s="95"/>
      <c r="H3556" s="95"/>
      <c r="I3556" s="95"/>
      <c r="J3556" s="95"/>
      <c r="K3556" s="95"/>
      <c r="L3556" s="95"/>
      <c r="M3556" s="95"/>
      <c r="N3556" s="95">
        <f>IF($P$3539&gt;0,'Assumptions (CSP)'!$V$14*Model!$P$3539*'Assumptions (CSP)'!M$2/10^9,0)</f>
        <v>0</v>
      </c>
      <c r="O3556" s="95">
        <f>IF($P$3539&gt;0,'Assumptions (CSP)'!$V$14*Model!$P$3539*'Assumptions (CSP)'!N$2/10^9,0)</f>
        <v>0</v>
      </c>
      <c r="P3556" s="95">
        <f>IF($P$3539&gt;0,'Assumptions (CSP)'!$V$14*Model!$P$3539*'Assumptions (CSP)'!O$2/10^9,0)</f>
        <v>0</v>
      </c>
      <c r="Q3556" s="95"/>
      <c r="R3556" s="95"/>
      <c r="S3556" s="95"/>
      <c r="T3556" s="95"/>
      <c r="U3556" s="95"/>
      <c r="V3556" s="95"/>
      <c r="W3556" s="95"/>
      <c r="X3556" s="95"/>
      <c r="Y3556" s="95"/>
      <c r="Z3556" s="95"/>
      <c r="AA3556" s="95"/>
      <c r="AB3556" s="95"/>
      <c r="AC3556" s="95"/>
      <c r="AD3556" s="95"/>
      <c r="AE3556" s="95"/>
      <c r="AF3556" s="95"/>
      <c r="AG3556" s="95"/>
      <c r="AH3556" s="95"/>
      <c r="AI3556" s="95"/>
      <c r="AJ3556" s="95"/>
      <c r="AK3556" s="95"/>
      <c r="AL3556" s="95"/>
      <c r="AM3556" s="95"/>
      <c r="AN3556" s="95"/>
      <c r="AO3556" s="95"/>
      <c r="AP3556" s="95"/>
      <c r="AQ3556" s="95"/>
      <c r="AR3556" s="95"/>
      <c r="AS3556" s="95"/>
      <c r="AT3556" s="95"/>
      <c r="AU3556" s="95"/>
      <c r="AV3556" s="95"/>
      <c r="AW3556" s="95"/>
      <c r="AX3556" s="95"/>
      <c r="AY3556" s="95"/>
      <c r="AZ3556" s="95"/>
      <c r="BA3556" s="95"/>
    </row>
    <row r="3557" ht="15.75" hidden="1" customHeight="1" outlineLevel="1">
      <c r="A3557" s="395"/>
      <c r="B3557" s="24"/>
      <c r="C3557" s="95"/>
      <c r="D3557" s="95"/>
      <c r="E3557" s="95"/>
      <c r="F3557" s="95"/>
      <c r="G3557" s="95"/>
      <c r="H3557" s="95"/>
      <c r="I3557" s="95"/>
      <c r="J3557" s="95"/>
      <c r="K3557" s="95"/>
      <c r="L3557" s="95"/>
      <c r="M3557" s="95"/>
      <c r="N3557" s="95"/>
      <c r="O3557" s="95">
        <f>IF($Q$3539&gt;0,'Assumptions (CSP)'!$V$14*Model!$Q$3539*'Assumptions (CSP)'!N$2/10^9,0)</f>
        <v>0</v>
      </c>
      <c r="P3557" s="95">
        <f>IF($R$3539&gt;0,'Assumptions (CSP)'!$V$14*Model!$R$3539*'Assumptions (CSP)'!O$2/10^9,0)</f>
        <v>0</v>
      </c>
      <c r="Q3557" s="95">
        <f>IF($Q$3539&gt;0,'Assumptions (CSP)'!$V$14*Model!$Q$3539*'Assumptions (CSP)'!P$2/10^9,0)</f>
        <v>0</v>
      </c>
      <c r="R3557" s="95"/>
      <c r="S3557" s="95"/>
      <c r="T3557" s="95"/>
      <c r="U3557" s="95"/>
      <c r="V3557" s="95"/>
      <c r="W3557" s="95"/>
      <c r="X3557" s="95"/>
      <c r="Y3557" s="95"/>
      <c r="Z3557" s="95"/>
      <c r="AA3557" s="95"/>
      <c r="AB3557" s="95"/>
      <c r="AC3557" s="95"/>
      <c r="AD3557" s="95"/>
      <c r="AE3557" s="95"/>
      <c r="AF3557" s="95"/>
      <c r="AG3557" s="95"/>
      <c r="AH3557" s="95"/>
      <c r="AI3557" s="95"/>
      <c r="AJ3557" s="95"/>
      <c r="AK3557" s="95"/>
      <c r="AL3557" s="95"/>
      <c r="AM3557" s="95"/>
      <c r="AN3557" s="95"/>
      <c r="AO3557" s="95"/>
      <c r="AP3557" s="95"/>
      <c r="AQ3557" s="95"/>
      <c r="AR3557" s="95"/>
      <c r="AS3557" s="95"/>
      <c r="AT3557" s="95"/>
      <c r="AU3557" s="95"/>
      <c r="AV3557" s="95"/>
      <c r="AW3557" s="95"/>
      <c r="AX3557" s="95"/>
      <c r="AY3557" s="95"/>
      <c r="AZ3557" s="95"/>
      <c r="BA3557" s="95"/>
    </row>
    <row r="3558" ht="15.75" hidden="1" customHeight="1" outlineLevel="1">
      <c r="A3558" s="395"/>
      <c r="B3558" s="24"/>
      <c r="C3558" s="95"/>
      <c r="D3558" s="95"/>
      <c r="E3558" s="95"/>
      <c r="F3558" s="95"/>
      <c r="G3558" s="95"/>
      <c r="H3558" s="95"/>
      <c r="I3558" s="95"/>
      <c r="J3558" s="95"/>
      <c r="K3558" s="95"/>
      <c r="L3558" s="95"/>
      <c r="M3558" s="95"/>
      <c r="N3558" s="95"/>
      <c r="O3558" s="95"/>
      <c r="P3558" s="95">
        <f>IF($Q$3539&gt;0,'Assumptions (CSP)'!$V$14*Model!$Q$3539*'Assumptions (CSP)'!O$2/10^9,0)</f>
        <v>0</v>
      </c>
      <c r="Q3558" s="95">
        <f>IF($Q$3539&gt;0,'Assumptions (CSP)'!$V$14*Model!$Q$3539*'Assumptions (CSP)'!P$2/10^9,0)</f>
        <v>0</v>
      </c>
      <c r="R3558" s="95">
        <f>IF($Q$3539&gt;0,'Assumptions (CSP)'!$V$14*Model!$Q$3539*'Assumptions (CSP)'!Q$2/10^9,0)</f>
        <v>0</v>
      </c>
      <c r="S3558" s="95"/>
      <c r="T3558" s="95"/>
      <c r="U3558" s="95"/>
      <c r="V3558" s="95"/>
      <c r="W3558" s="95"/>
      <c r="X3558" s="95"/>
      <c r="Y3558" s="95"/>
      <c r="Z3558" s="95"/>
      <c r="AA3558" s="95"/>
      <c r="AB3558" s="95"/>
      <c r="AC3558" s="95"/>
      <c r="AD3558" s="95"/>
      <c r="AE3558" s="95"/>
      <c r="AF3558" s="95"/>
      <c r="AG3558" s="95"/>
      <c r="AH3558" s="95"/>
      <c r="AI3558" s="95"/>
      <c r="AJ3558" s="95"/>
      <c r="AK3558" s="95"/>
      <c r="AL3558" s="95"/>
      <c r="AM3558" s="95"/>
      <c r="AN3558" s="95"/>
      <c r="AO3558" s="95"/>
      <c r="AP3558" s="95"/>
      <c r="AQ3558" s="95"/>
      <c r="AR3558" s="95"/>
      <c r="AS3558" s="95"/>
      <c r="AT3558" s="95"/>
      <c r="AU3558" s="95"/>
      <c r="AV3558" s="95"/>
      <c r="AW3558" s="95"/>
      <c r="AX3558" s="95"/>
      <c r="AY3558" s="95"/>
      <c r="AZ3558" s="95"/>
      <c r="BA3558" s="95"/>
    </row>
    <row r="3559" ht="15.75" hidden="1" customHeight="1" outlineLevel="1">
      <c r="A3559" s="395"/>
      <c r="B3559" s="24"/>
      <c r="C3559" s="95"/>
      <c r="D3559" s="95"/>
      <c r="E3559" s="95"/>
      <c r="F3559" s="95"/>
      <c r="G3559" s="95"/>
      <c r="H3559" s="95"/>
      <c r="I3559" s="95"/>
      <c r="J3559" s="95"/>
      <c r="K3559" s="95"/>
      <c r="L3559" s="95"/>
      <c r="M3559" s="95"/>
      <c r="N3559" s="95"/>
      <c r="O3559" s="95"/>
      <c r="P3559" s="95"/>
      <c r="Q3559" s="95">
        <f>IF($R$3539&gt;0,'Assumptions (CSP)'!$V$14*Model!$R$3539*'Assumptions (CSP)'!P$2/10^9,0)</f>
        <v>0</v>
      </c>
      <c r="R3559" s="95">
        <f>IF($R$3539&gt;0,'Assumptions (CSP)'!$V$14*Model!$R$3539*'Assumptions (CSP)'!Q$2/10^9,0)</f>
        <v>0</v>
      </c>
      <c r="S3559" s="95">
        <f>IF($R$3539&gt;0,'Assumptions (CSP)'!$V$14*Model!$R$3539*'Assumptions (CSP)'!R$2/10^9,0)</f>
        <v>0</v>
      </c>
      <c r="T3559" s="95"/>
      <c r="U3559" s="95"/>
      <c r="V3559" s="95"/>
      <c r="W3559" s="95"/>
      <c r="X3559" s="95"/>
      <c r="Y3559" s="95"/>
      <c r="Z3559" s="95"/>
      <c r="AA3559" s="95"/>
      <c r="AB3559" s="95"/>
      <c r="AC3559" s="95"/>
      <c r="AD3559" s="95"/>
      <c r="AE3559" s="95"/>
      <c r="AF3559" s="95"/>
      <c r="AG3559" s="95"/>
      <c r="AH3559" s="95"/>
      <c r="AI3559" s="95"/>
      <c r="AJ3559" s="95"/>
      <c r="AK3559" s="95"/>
      <c r="AL3559" s="95"/>
      <c r="AM3559" s="95"/>
      <c r="AN3559" s="95"/>
      <c r="AO3559" s="95"/>
      <c r="AP3559" s="95"/>
      <c r="AQ3559" s="95"/>
      <c r="AR3559" s="95"/>
      <c r="AS3559" s="95"/>
      <c r="AT3559" s="95"/>
      <c r="AU3559" s="95"/>
      <c r="AV3559" s="95"/>
      <c r="AW3559" s="95"/>
      <c r="AX3559" s="95"/>
      <c r="AY3559" s="95"/>
      <c r="AZ3559" s="95"/>
      <c r="BA3559" s="95"/>
    </row>
    <row r="3560" ht="15.75" hidden="1" customHeight="1" outlineLevel="1">
      <c r="A3560" s="395"/>
      <c r="B3560" s="24"/>
      <c r="C3560" s="95"/>
      <c r="D3560" s="95"/>
      <c r="E3560" s="95"/>
      <c r="F3560" s="95"/>
      <c r="G3560" s="95"/>
      <c r="H3560" s="95"/>
      <c r="I3560" s="95"/>
      <c r="J3560" s="95"/>
      <c r="K3560" s="95"/>
      <c r="L3560" s="95"/>
      <c r="M3560" s="95"/>
      <c r="N3560" s="95"/>
      <c r="O3560" s="95"/>
      <c r="P3560" s="95"/>
      <c r="Q3560" s="95"/>
      <c r="R3560" s="95">
        <f>IF($S$3539&gt;0,'Assumptions (CSP)'!$V$14*Model!$S$3539*'Assumptions (CSP)'!Q$2/10^9,0)</f>
        <v>0</v>
      </c>
      <c r="S3560" s="95">
        <f>IF($S$3539&gt;0,'Assumptions (CSP)'!$V$14*Model!$S$3539*'Assumptions (CSP)'!R$2/10^9,0)</f>
        <v>0</v>
      </c>
      <c r="T3560" s="95">
        <f>IF($S$3539&gt;0,'Assumptions (CSP)'!$V$14*Model!$S$3539*'Assumptions (CSP)'!S$2/10^9,0)</f>
        <v>0</v>
      </c>
      <c r="U3560" s="95"/>
      <c r="V3560" s="95"/>
      <c r="W3560" s="95"/>
      <c r="X3560" s="95"/>
      <c r="Y3560" s="95"/>
      <c r="Z3560" s="95"/>
      <c r="AA3560" s="95"/>
      <c r="AB3560" s="95"/>
      <c r="AC3560" s="95"/>
      <c r="AD3560" s="95"/>
      <c r="AE3560" s="95"/>
      <c r="AF3560" s="95"/>
      <c r="AG3560" s="95"/>
      <c r="AH3560" s="95"/>
      <c r="AI3560" s="95"/>
      <c r="AJ3560" s="95"/>
      <c r="AK3560" s="95"/>
      <c r="AL3560" s="95"/>
      <c r="AM3560" s="95"/>
      <c r="AN3560" s="95"/>
      <c r="AO3560" s="95"/>
      <c r="AP3560" s="95"/>
      <c r="AQ3560" s="95"/>
      <c r="AR3560" s="95"/>
      <c r="AS3560" s="95"/>
      <c r="AT3560" s="95"/>
      <c r="AU3560" s="95"/>
      <c r="AV3560" s="95"/>
      <c r="AW3560" s="95"/>
      <c r="AX3560" s="95"/>
      <c r="AY3560" s="95"/>
      <c r="AZ3560" s="95"/>
      <c r="BA3560" s="95"/>
    </row>
    <row r="3561" ht="15.75" hidden="1" customHeight="1" outlineLevel="1">
      <c r="A3561" s="395"/>
      <c r="B3561" s="24"/>
      <c r="C3561" s="95"/>
      <c r="D3561" s="95"/>
      <c r="E3561" s="95"/>
      <c r="F3561" s="95"/>
      <c r="G3561" s="95"/>
      <c r="H3561" s="95"/>
      <c r="I3561" s="95"/>
      <c r="J3561" s="95"/>
      <c r="K3561" s="95"/>
      <c r="L3561" s="95"/>
      <c r="M3561" s="95"/>
      <c r="N3561" s="95"/>
      <c r="O3561" s="95"/>
      <c r="P3561" s="95"/>
      <c r="Q3561" s="95"/>
      <c r="R3561" s="95"/>
      <c r="S3561" s="95">
        <f>IF($T$3539&gt;0,'Assumptions (CSP)'!$V$14*Model!$T$3539*'Assumptions (CSP)'!R$2/10^9,0)</f>
        <v>0</v>
      </c>
      <c r="T3561" s="95">
        <f>IF($T$3539&gt;0,'Assumptions (CSP)'!$V$14*Model!$T$3539*'Assumptions (CSP)'!S$2/10^9,0)</f>
        <v>0</v>
      </c>
      <c r="U3561" s="95">
        <f>IF($T$3539&gt;0,'Assumptions (CSP)'!$V$14*Model!$T$3539*'Assumptions (CSP)'!T$2/10^9,0)</f>
        <v>0</v>
      </c>
      <c r="V3561" s="95"/>
      <c r="W3561" s="95"/>
      <c r="X3561" s="95"/>
      <c r="Y3561" s="95"/>
      <c r="Z3561" s="95"/>
      <c r="AA3561" s="95"/>
      <c r="AB3561" s="95"/>
      <c r="AC3561" s="95"/>
      <c r="AD3561" s="95"/>
      <c r="AE3561" s="95"/>
      <c r="AF3561" s="95"/>
      <c r="AG3561" s="95"/>
      <c r="AH3561" s="95"/>
      <c r="AI3561" s="95"/>
      <c r="AJ3561" s="95"/>
      <c r="AK3561" s="95"/>
      <c r="AL3561" s="95"/>
      <c r="AM3561" s="95"/>
      <c r="AN3561" s="95"/>
      <c r="AO3561" s="95"/>
      <c r="AP3561" s="95"/>
      <c r="AQ3561" s="95"/>
      <c r="AR3561" s="95"/>
      <c r="AS3561" s="95"/>
      <c r="AT3561" s="95"/>
      <c r="AU3561" s="95"/>
      <c r="AV3561" s="95"/>
      <c r="AW3561" s="95"/>
      <c r="AX3561" s="95"/>
      <c r="AY3561" s="95"/>
      <c r="AZ3561" s="95"/>
      <c r="BA3561" s="95"/>
    </row>
    <row r="3562" ht="15.75" hidden="1" customHeight="1" outlineLevel="1">
      <c r="A3562" s="395"/>
      <c r="B3562" s="24"/>
      <c r="C3562" s="95"/>
      <c r="D3562" s="95"/>
      <c r="E3562" s="95"/>
      <c r="F3562" s="95"/>
      <c r="G3562" s="95"/>
      <c r="H3562" s="95"/>
      <c r="I3562" s="95"/>
      <c r="J3562" s="95"/>
      <c r="K3562" s="95"/>
      <c r="L3562" s="95"/>
      <c r="M3562" s="95"/>
      <c r="N3562" s="95"/>
      <c r="O3562" s="95"/>
      <c r="P3562" s="95"/>
      <c r="Q3562" s="95"/>
      <c r="R3562" s="95"/>
      <c r="S3562" s="95"/>
      <c r="T3562" s="95">
        <f>IF($U$3539&gt;0,'Assumptions (CSP)'!$V$14*Model!$U$3539*'Assumptions (CSP)'!S$2/10^9,0)</f>
        <v>0</v>
      </c>
      <c r="U3562" s="95">
        <f>IF($U$3539&gt;0,'Assumptions (CSP)'!$V$14*Model!$U$3539*'Assumptions (CSP)'!T$2/10^9,0)</f>
        <v>0</v>
      </c>
      <c r="V3562" s="95">
        <f>IF($U$3539&gt;0,'Assumptions (CSP)'!$V$14*Model!$U$3539*'Assumptions (CSP)'!U$2/10^9,0)</f>
        <v>0</v>
      </c>
      <c r="W3562" s="95"/>
      <c r="X3562" s="95"/>
      <c r="Y3562" s="95"/>
      <c r="Z3562" s="95"/>
      <c r="AA3562" s="95"/>
      <c r="AB3562" s="95"/>
      <c r="AC3562" s="95"/>
      <c r="AD3562" s="95"/>
      <c r="AE3562" s="95"/>
      <c r="AF3562" s="95"/>
      <c r="AG3562" s="95"/>
      <c r="AH3562" s="95"/>
      <c r="AI3562" s="95"/>
      <c r="AJ3562" s="95"/>
      <c r="AK3562" s="95"/>
      <c r="AL3562" s="95"/>
      <c r="AM3562" s="95"/>
      <c r="AN3562" s="95"/>
      <c r="AO3562" s="95"/>
      <c r="AP3562" s="95"/>
      <c r="AQ3562" s="95"/>
      <c r="AR3562" s="95"/>
      <c r="AS3562" s="95"/>
      <c r="AT3562" s="95"/>
      <c r="AU3562" s="95"/>
      <c r="AV3562" s="95"/>
      <c r="AW3562" s="95"/>
      <c r="AX3562" s="95"/>
      <c r="AY3562" s="95"/>
      <c r="AZ3562" s="95"/>
      <c r="BA3562" s="95"/>
    </row>
    <row r="3563" ht="15.75" hidden="1" customHeight="1" outlineLevel="1">
      <c r="A3563" s="395"/>
      <c r="B3563" s="24"/>
      <c r="C3563" s="95"/>
      <c r="D3563" s="95"/>
      <c r="E3563" s="95"/>
      <c r="F3563" s="95"/>
      <c r="G3563" s="95"/>
      <c r="H3563" s="95"/>
      <c r="I3563" s="95"/>
      <c r="J3563" s="95"/>
      <c r="K3563" s="95"/>
      <c r="L3563" s="95"/>
      <c r="M3563" s="95"/>
      <c r="N3563" s="95"/>
      <c r="O3563" s="95"/>
      <c r="P3563" s="95"/>
      <c r="Q3563" s="95"/>
      <c r="R3563" s="95"/>
      <c r="S3563" s="95"/>
      <c r="T3563" s="95"/>
      <c r="U3563" s="95">
        <f>IF($V$3539&gt;0,'Assumptions (CSP)'!$V$14*Model!$V$3539*'Assumptions (CSP)'!T$2/10^9,0)</f>
        <v>0</v>
      </c>
      <c r="V3563" s="95">
        <f>IF($V$3539&gt;0,'Assumptions (CSP)'!$V$14*Model!$V$3539*'Assumptions (CSP)'!U$2/10^9,0)</f>
        <v>0</v>
      </c>
      <c r="W3563" s="95">
        <f>IF($V$3539&gt;0,'Assumptions (CSP)'!$V$14*Model!$V$3539*'Assumptions (CSP)'!V$2/10^9,0)</f>
        <v>0</v>
      </c>
      <c r="X3563" s="95"/>
      <c r="Y3563" s="95"/>
      <c r="Z3563" s="95"/>
      <c r="AA3563" s="95"/>
      <c r="AB3563" s="95"/>
      <c r="AC3563" s="95"/>
      <c r="AD3563" s="95"/>
      <c r="AE3563" s="95"/>
      <c r="AF3563" s="95"/>
      <c r="AG3563" s="95"/>
      <c r="AH3563" s="95"/>
      <c r="AI3563" s="95"/>
      <c r="AJ3563" s="95"/>
      <c r="AK3563" s="95"/>
      <c r="AL3563" s="95"/>
      <c r="AM3563" s="95"/>
      <c r="AN3563" s="95"/>
      <c r="AO3563" s="95"/>
      <c r="AP3563" s="95"/>
      <c r="AQ3563" s="95"/>
      <c r="AR3563" s="95"/>
      <c r="AS3563" s="95"/>
      <c r="AT3563" s="95"/>
      <c r="AU3563" s="95"/>
      <c r="AV3563" s="95"/>
      <c r="AW3563" s="95"/>
      <c r="AX3563" s="95"/>
      <c r="AY3563" s="95"/>
      <c r="AZ3563" s="95"/>
      <c r="BA3563" s="95"/>
    </row>
    <row r="3564" ht="15.75" hidden="1" customHeight="1" outlineLevel="1">
      <c r="A3564" s="395"/>
      <c r="B3564" s="24"/>
      <c r="C3564" s="95"/>
      <c r="D3564" s="95"/>
      <c r="E3564" s="95"/>
      <c r="F3564" s="95"/>
      <c r="G3564" s="95"/>
      <c r="H3564" s="95"/>
      <c r="I3564" s="95"/>
      <c r="J3564" s="95"/>
      <c r="K3564" s="95"/>
      <c r="L3564" s="95"/>
      <c r="M3564" s="95"/>
      <c r="N3564" s="95"/>
      <c r="O3564" s="95"/>
      <c r="P3564" s="95"/>
      <c r="Q3564" s="95"/>
      <c r="R3564" s="95"/>
      <c r="S3564" s="95"/>
      <c r="T3564" s="95"/>
      <c r="U3564" s="95"/>
      <c r="V3564" s="95">
        <f>IF($W$3539&gt;0,'Assumptions (CSP)'!$V$14*Model!$W$3539*'Assumptions (CSP)'!U$2/10^9,0)</f>
        <v>0</v>
      </c>
      <c r="W3564" s="95">
        <f>IF($W$3539&gt;0,'Assumptions (CSP)'!$V$14*Model!$W$3539*'Assumptions (CSP)'!V$2/10^9,0)</f>
        <v>0</v>
      </c>
      <c r="X3564" s="95">
        <f>IF($W$3539&gt;0,'Assumptions (CSP)'!$V$14*Model!$W$3539*'Assumptions (CSP)'!W$2/10^9,0)</f>
        <v>0</v>
      </c>
      <c r="Y3564" s="95"/>
      <c r="Z3564" s="95"/>
      <c r="AA3564" s="95"/>
      <c r="AB3564" s="95"/>
      <c r="AC3564" s="95"/>
      <c r="AD3564" s="95"/>
      <c r="AE3564" s="95"/>
      <c r="AF3564" s="95"/>
      <c r="AG3564" s="95"/>
      <c r="AH3564" s="95"/>
      <c r="AI3564" s="95"/>
      <c r="AJ3564" s="95"/>
      <c r="AK3564" s="95"/>
      <c r="AL3564" s="95"/>
      <c r="AM3564" s="95"/>
      <c r="AN3564" s="95"/>
      <c r="AO3564" s="95"/>
      <c r="AP3564" s="95"/>
      <c r="AQ3564" s="95"/>
      <c r="AR3564" s="95"/>
      <c r="AS3564" s="95"/>
      <c r="AT3564" s="95"/>
      <c r="AU3564" s="95"/>
      <c r="AV3564" s="95"/>
      <c r="AW3564" s="95"/>
      <c r="AX3564" s="95"/>
      <c r="AY3564" s="95"/>
      <c r="AZ3564" s="95"/>
      <c r="BA3564" s="95"/>
    </row>
    <row r="3565" ht="15.75" hidden="1" customHeight="1" outlineLevel="1">
      <c r="A3565" s="395"/>
      <c r="B3565" s="24"/>
      <c r="C3565" s="95"/>
      <c r="D3565" s="95"/>
      <c r="E3565" s="95"/>
      <c r="F3565" s="95"/>
      <c r="G3565" s="95"/>
      <c r="H3565" s="95"/>
      <c r="I3565" s="95"/>
      <c r="J3565" s="95"/>
      <c r="K3565" s="95"/>
      <c r="L3565" s="95"/>
      <c r="M3565" s="95"/>
      <c r="N3565" s="95"/>
      <c r="O3565" s="95"/>
      <c r="P3565" s="95"/>
      <c r="Q3565" s="95"/>
      <c r="R3565" s="95"/>
      <c r="S3565" s="95"/>
      <c r="T3565" s="95"/>
      <c r="U3565" s="95"/>
      <c r="V3565" s="95"/>
      <c r="W3565" s="95">
        <f>IF($X$3539&gt;0,'Assumptions (CSP)'!$V$14*Model!$X$3539*'Assumptions (CSP)'!V$2/10^9,0)</f>
        <v>0</v>
      </c>
      <c r="X3565" s="95">
        <f>IF($X$3539&gt;0,'Assumptions (CSP)'!$V$14*Model!$X$3539*'Assumptions (CSP)'!W$2/10^9,0)</f>
        <v>0</v>
      </c>
      <c r="Y3565" s="95">
        <f>IF($X$3539&gt;0,'Assumptions (CSP)'!$V$14*Model!$X$3539*'Assumptions (CSP)'!X$2/10^9,0)</f>
        <v>0</v>
      </c>
      <c r="Z3565" s="95"/>
      <c r="AA3565" s="95"/>
      <c r="AB3565" s="95"/>
      <c r="AC3565" s="95"/>
      <c r="AD3565" s="95"/>
      <c r="AE3565" s="95"/>
      <c r="AF3565" s="95"/>
      <c r="AG3565" s="95"/>
      <c r="AH3565" s="95"/>
      <c r="AI3565" s="95"/>
      <c r="AJ3565" s="95"/>
      <c r="AK3565" s="95"/>
      <c r="AL3565" s="95"/>
      <c r="AM3565" s="95"/>
      <c r="AN3565" s="95"/>
      <c r="AO3565" s="95"/>
      <c r="AP3565" s="95"/>
      <c r="AQ3565" s="95"/>
      <c r="AR3565" s="95"/>
      <c r="AS3565" s="95"/>
      <c r="AT3565" s="95"/>
      <c r="AU3565" s="95"/>
      <c r="AV3565" s="95"/>
      <c r="AW3565" s="95"/>
      <c r="AX3565" s="95"/>
      <c r="AY3565" s="95"/>
      <c r="AZ3565" s="95"/>
      <c r="BA3565" s="95"/>
    </row>
    <row r="3566" ht="15.75" hidden="1" customHeight="1" outlineLevel="1">
      <c r="A3566" s="395"/>
      <c r="B3566" s="24"/>
      <c r="C3566" s="95"/>
      <c r="D3566" s="95"/>
      <c r="E3566" s="95"/>
      <c r="F3566" s="95"/>
      <c r="G3566" s="95"/>
      <c r="H3566" s="95"/>
      <c r="I3566" s="95"/>
      <c r="J3566" s="95"/>
      <c r="K3566" s="95"/>
      <c r="L3566" s="95"/>
      <c r="M3566" s="95"/>
      <c r="N3566" s="95"/>
      <c r="O3566" s="95"/>
      <c r="P3566" s="95"/>
      <c r="Q3566" s="95"/>
      <c r="R3566" s="95"/>
      <c r="S3566" s="95"/>
      <c r="T3566" s="95"/>
      <c r="U3566" s="95"/>
      <c r="V3566" s="95"/>
      <c r="W3566" s="95"/>
      <c r="X3566" s="95">
        <f>IF($Y$3539&gt;0,'Assumptions (CSP)'!$V$14*Model!$Y$3539*'Assumptions (CSP)'!W$2/10^9,0)</f>
        <v>0</v>
      </c>
      <c r="Y3566" s="95">
        <f>IF($Y$3539&gt;0,'Assumptions (CSP)'!$V$14*Model!$Y$3539*'Assumptions (CSP)'!X$2/10^9,0)</f>
        <v>0</v>
      </c>
      <c r="Z3566" s="95">
        <f>IF($Y$3539&gt;0,'Assumptions (CSP)'!$V$14*Model!$Y$3539*'Assumptions (CSP)'!Y$2/10^9,0)</f>
        <v>0</v>
      </c>
      <c r="AA3566" s="95"/>
      <c r="AB3566" s="95"/>
      <c r="AC3566" s="95"/>
      <c r="AD3566" s="95"/>
      <c r="AE3566" s="95"/>
      <c r="AF3566" s="95"/>
      <c r="AG3566" s="95"/>
      <c r="AH3566" s="95"/>
      <c r="AI3566" s="95"/>
      <c r="AJ3566" s="95"/>
      <c r="AK3566" s="95"/>
      <c r="AL3566" s="95"/>
      <c r="AM3566" s="95"/>
      <c r="AN3566" s="95"/>
      <c r="AO3566" s="95"/>
      <c r="AP3566" s="95"/>
      <c r="AQ3566" s="95"/>
      <c r="AR3566" s="95"/>
      <c r="AS3566" s="95"/>
      <c r="AT3566" s="95"/>
      <c r="AU3566" s="95"/>
      <c r="AV3566" s="95"/>
      <c r="AW3566" s="95"/>
      <c r="AX3566" s="95"/>
      <c r="AY3566" s="95"/>
      <c r="AZ3566" s="95"/>
      <c r="BA3566" s="95"/>
    </row>
    <row r="3567" ht="15.75" hidden="1" customHeight="1" outlineLevel="1">
      <c r="A3567" s="395"/>
      <c r="B3567" s="24"/>
      <c r="C3567" s="95"/>
      <c r="D3567" s="95"/>
      <c r="E3567" s="95"/>
      <c r="F3567" s="95"/>
      <c r="G3567" s="95"/>
      <c r="H3567" s="95"/>
      <c r="I3567" s="95"/>
      <c r="J3567" s="95"/>
      <c r="K3567" s="95"/>
      <c r="L3567" s="95"/>
      <c r="M3567" s="95"/>
      <c r="N3567" s="95"/>
      <c r="O3567" s="95"/>
      <c r="P3567" s="95"/>
      <c r="Q3567" s="95"/>
      <c r="R3567" s="95"/>
      <c r="S3567" s="95"/>
      <c r="T3567" s="95"/>
      <c r="U3567" s="95"/>
      <c r="V3567" s="95"/>
      <c r="W3567" s="95"/>
      <c r="X3567" s="95"/>
      <c r="Y3567" s="95">
        <f>IF($Z$3539&gt;0,'Assumptions (CSP)'!$V$14*Model!$Z$3539*'Assumptions (CSP)'!X$2/10^9,0)</f>
        <v>0</v>
      </c>
      <c r="Z3567" s="95">
        <f>IF($Z$3539&gt;0,'Assumptions (CSP)'!$V$14*Model!$Z$3539*'Assumptions (CSP)'!Y$2/10^9,0)</f>
        <v>0</v>
      </c>
      <c r="AA3567" s="95">
        <f>IF($Z$3539&gt;0,'Assumptions (CSP)'!$V$14*Model!$Z$3539*'Assumptions (CSP)'!Z$2/10^9,0)</f>
        <v>0</v>
      </c>
      <c r="AB3567" s="95"/>
      <c r="AC3567" s="95"/>
      <c r="AD3567" s="95"/>
      <c r="AE3567" s="95"/>
      <c r="AF3567" s="95"/>
      <c r="AG3567" s="95"/>
      <c r="AH3567" s="95"/>
      <c r="AI3567" s="95"/>
      <c r="AJ3567" s="95"/>
      <c r="AK3567" s="95"/>
      <c r="AL3567" s="95"/>
      <c r="AM3567" s="95"/>
      <c r="AN3567" s="95"/>
      <c r="AO3567" s="95"/>
      <c r="AP3567" s="95"/>
      <c r="AQ3567" s="95"/>
      <c r="AR3567" s="95"/>
      <c r="AS3567" s="95"/>
      <c r="AT3567" s="95"/>
      <c r="AU3567" s="95"/>
      <c r="AV3567" s="95"/>
      <c r="AW3567" s="95"/>
      <c r="AX3567" s="95"/>
      <c r="AY3567" s="95"/>
      <c r="AZ3567" s="95"/>
      <c r="BA3567" s="95"/>
    </row>
    <row r="3568" ht="15.75" hidden="1" customHeight="1" outlineLevel="1">
      <c r="A3568" s="395"/>
      <c r="B3568" s="24"/>
      <c r="C3568" s="95"/>
      <c r="D3568" s="95"/>
      <c r="E3568" s="95"/>
      <c r="F3568" s="95"/>
      <c r="G3568" s="95"/>
      <c r="H3568" s="95"/>
      <c r="I3568" s="95"/>
      <c r="J3568" s="95"/>
      <c r="K3568" s="95"/>
      <c r="L3568" s="95"/>
      <c r="M3568" s="95"/>
      <c r="N3568" s="95"/>
      <c r="O3568" s="95"/>
      <c r="P3568" s="95"/>
      <c r="Q3568" s="95"/>
      <c r="R3568" s="95"/>
      <c r="S3568" s="95"/>
      <c r="T3568" s="95"/>
      <c r="U3568" s="95"/>
      <c r="V3568" s="95"/>
      <c r="W3568" s="95"/>
      <c r="X3568" s="95"/>
      <c r="Y3568" s="95"/>
      <c r="Z3568" s="95">
        <f>IF($AA$3539&gt;0,'Assumptions (CSP)'!$V$14*Model!$AA$3539*'Assumptions (CSP)'!Y$2/10^9,0)</f>
        <v>0</v>
      </c>
      <c r="AA3568" s="95">
        <f>IF($AA$3539&gt;0,'Assumptions (CSP)'!$V$14*Model!$AA$3539*'Assumptions (CSP)'!Z$2/10^9,0)</f>
        <v>0</v>
      </c>
      <c r="AB3568" s="95">
        <f>IF($AA$3539&gt;0,'Assumptions (CSP)'!$V$14*Model!$AA$3539*'Assumptions (CSP)'!AA$2/10^9,0)</f>
        <v>0</v>
      </c>
      <c r="AC3568" s="95"/>
      <c r="AD3568" s="95"/>
      <c r="AE3568" s="95"/>
      <c r="AF3568" s="95"/>
      <c r="AG3568" s="95"/>
      <c r="AH3568" s="95"/>
      <c r="AI3568" s="95"/>
      <c r="AJ3568" s="95"/>
      <c r="AK3568" s="95"/>
      <c r="AL3568" s="95"/>
      <c r="AM3568" s="95"/>
      <c r="AN3568" s="95"/>
      <c r="AO3568" s="95"/>
      <c r="AP3568" s="95"/>
      <c r="AQ3568" s="95"/>
      <c r="AR3568" s="95"/>
      <c r="AS3568" s="95"/>
      <c r="AT3568" s="95"/>
      <c r="AU3568" s="95"/>
      <c r="AV3568" s="95"/>
      <c r="AW3568" s="95"/>
      <c r="AX3568" s="95"/>
      <c r="AY3568" s="95"/>
      <c r="AZ3568" s="95"/>
      <c r="BA3568" s="95"/>
    </row>
    <row r="3569" ht="15.75" hidden="1" customHeight="1" outlineLevel="1">
      <c r="A3569" s="395"/>
      <c r="B3569" s="24"/>
      <c r="C3569" s="95"/>
      <c r="D3569" s="95"/>
      <c r="E3569" s="95"/>
      <c r="F3569" s="95"/>
      <c r="G3569" s="95"/>
      <c r="H3569" s="95"/>
      <c r="I3569" s="95"/>
      <c r="J3569" s="95"/>
      <c r="K3569" s="95"/>
      <c r="L3569" s="95"/>
      <c r="M3569" s="95"/>
      <c r="N3569" s="95"/>
      <c r="O3569" s="95"/>
      <c r="P3569" s="95"/>
      <c r="Q3569" s="95"/>
      <c r="R3569" s="95"/>
      <c r="S3569" s="95"/>
      <c r="T3569" s="95"/>
      <c r="U3569" s="95"/>
      <c r="V3569" s="95"/>
      <c r="W3569" s="95"/>
      <c r="X3569" s="95"/>
      <c r="Y3569" s="95"/>
      <c r="Z3569" s="95"/>
      <c r="AA3569" s="95">
        <f>IF($AB$3539&gt;0,'Assumptions (CSP)'!$V$14*Model!$AB$3539*'Assumptions (CSP)'!Z$2/10^9,0)</f>
        <v>0</v>
      </c>
      <c r="AB3569" s="95">
        <f>IF($AB$3539&gt;0,'Assumptions (CSP)'!$V$14*Model!$AB$3539*'Assumptions (CSP)'!AA$2/10^9,0)</f>
        <v>0</v>
      </c>
      <c r="AC3569" s="95">
        <f>IF($AB$3539&gt;0,'Assumptions (CSP)'!$V$14*Model!$AB$3539*'Assumptions (CSP)'!AB$2/10^9,0)</f>
        <v>0</v>
      </c>
      <c r="AD3569" s="95"/>
      <c r="AE3569" s="95"/>
      <c r="AF3569" s="95"/>
      <c r="AG3569" s="95"/>
      <c r="AH3569" s="95"/>
      <c r="AI3569" s="95"/>
      <c r="AJ3569" s="95"/>
      <c r="AK3569" s="95"/>
      <c r="AL3569" s="95"/>
      <c r="AM3569" s="95"/>
      <c r="AN3569" s="95"/>
      <c r="AO3569" s="95"/>
      <c r="AP3569" s="95"/>
      <c r="AQ3569" s="95"/>
      <c r="AR3569" s="95"/>
      <c r="AS3569" s="95"/>
      <c r="AT3569" s="95"/>
      <c r="AU3569" s="95"/>
      <c r="AV3569" s="95"/>
      <c r="AW3569" s="95"/>
      <c r="AX3569" s="95"/>
      <c r="AY3569" s="95"/>
      <c r="AZ3569" s="95"/>
      <c r="BA3569" s="95"/>
    </row>
    <row r="3570" ht="15.75" hidden="1" customHeight="1" outlineLevel="1">
      <c r="A3570" s="395"/>
      <c r="B3570" s="24"/>
      <c r="C3570" s="95"/>
      <c r="D3570" s="95"/>
      <c r="E3570" s="95"/>
      <c r="F3570" s="95"/>
      <c r="G3570" s="95"/>
      <c r="H3570" s="95"/>
      <c r="I3570" s="95"/>
      <c r="J3570" s="95"/>
      <c r="K3570" s="95"/>
      <c r="L3570" s="95"/>
      <c r="M3570" s="95"/>
      <c r="N3570" s="95"/>
      <c r="O3570" s="95"/>
      <c r="P3570" s="95"/>
      <c r="Q3570" s="95"/>
      <c r="R3570" s="95"/>
      <c r="S3570" s="95"/>
      <c r="T3570" s="95"/>
      <c r="U3570" s="95"/>
      <c r="V3570" s="95"/>
      <c r="W3570" s="95"/>
      <c r="X3570" s="95"/>
      <c r="Y3570" s="95"/>
      <c r="Z3570" s="95"/>
      <c r="AA3570" s="95"/>
      <c r="AB3570" s="95">
        <f>IF($AB$3539&gt;0,'Assumptions (CSP)'!$V$14*Model!$AB$3539*'Assumptions (CSP)'!AA$2/10^9,0)</f>
        <v>0</v>
      </c>
      <c r="AC3570" s="95">
        <f>IF($AB$3539&gt;0,'Assumptions (CSP)'!$V$14*Model!$AB$3539*'Assumptions (CSP)'!AB$2/10^9,0)</f>
        <v>0</v>
      </c>
      <c r="AD3570" s="95">
        <f>IF($AB$3539&gt;0,'Assumptions (CSP)'!$V$14*Model!$AB$3539*'Assumptions (CSP)'!AC$2/10^9,0)</f>
        <v>0</v>
      </c>
      <c r="AE3570" s="95"/>
      <c r="AF3570" s="95"/>
      <c r="AG3570" s="95"/>
      <c r="AH3570" s="95"/>
      <c r="AI3570" s="95"/>
      <c r="AJ3570" s="95"/>
      <c r="AK3570" s="95"/>
      <c r="AL3570" s="95"/>
      <c r="AM3570" s="95"/>
      <c r="AN3570" s="95"/>
      <c r="AO3570" s="95"/>
      <c r="AP3570" s="95"/>
      <c r="AQ3570" s="95"/>
      <c r="AR3570" s="95"/>
      <c r="AS3570" s="95"/>
      <c r="AT3570" s="95"/>
      <c r="AU3570" s="95"/>
      <c r="AV3570" s="95"/>
      <c r="AW3570" s="95"/>
      <c r="AX3570" s="95"/>
      <c r="AY3570" s="95"/>
      <c r="AZ3570" s="95"/>
      <c r="BA3570" s="95"/>
    </row>
    <row r="3571" ht="15.75" hidden="1" customHeight="1" outlineLevel="1">
      <c r="A3571" s="395"/>
      <c r="B3571" s="24"/>
      <c r="C3571" s="95"/>
      <c r="D3571" s="95"/>
      <c r="E3571" s="95"/>
      <c r="F3571" s="95"/>
      <c r="G3571" s="95"/>
      <c r="H3571" s="95"/>
      <c r="I3571" s="95"/>
      <c r="J3571" s="95"/>
      <c r="K3571" s="95"/>
      <c r="L3571" s="95"/>
      <c r="M3571" s="95"/>
      <c r="N3571" s="95"/>
      <c r="O3571" s="95"/>
      <c r="P3571" s="95"/>
      <c r="Q3571" s="95"/>
      <c r="R3571" s="95"/>
      <c r="S3571" s="95"/>
      <c r="T3571" s="95"/>
      <c r="U3571" s="95"/>
      <c r="V3571" s="95"/>
      <c r="W3571" s="95"/>
      <c r="X3571" s="95"/>
      <c r="Y3571" s="95"/>
      <c r="Z3571" s="95"/>
      <c r="AA3571" s="95"/>
      <c r="AB3571" s="95"/>
      <c r="AC3571" s="95">
        <f>IF($AC$3539&gt;0,'Assumptions (CSP)'!$V$14*Model!$AC$3539*'Assumptions (CSP)'!AB$2/10^9,0)</f>
        <v>0</v>
      </c>
      <c r="AD3571" s="95">
        <f>IF($AC$3539&gt;0,'Assumptions (CSP)'!$V$14*Model!$AC$3539*'Assumptions (CSP)'!AC$2/10^9,0)</f>
        <v>0</v>
      </c>
      <c r="AE3571" s="95">
        <f>IF($AC$3539&gt;0,'Assumptions (CSP)'!$V$14*Model!$AC$3539*'Assumptions (CSP)'!AD$2/10^9,0)</f>
        <v>0</v>
      </c>
      <c r="AF3571" s="95"/>
      <c r="AG3571" s="95"/>
      <c r="AH3571" s="95"/>
      <c r="AI3571" s="95"/>
      <c r="AJ3571" s="95"/>
      <c r="AK3571" s="95"/>
      <c r="AL3571" s="95"/>
      <c r="AM3571" s="95"/>
      <c r="AN3571" s="95"/>
      <c r="AO3571" s="95"/>
      <c r="AP3571" s="95"/>
      <c r="AQ3571" s="95"/>
      <c r="AR3571" s="95"/>
      <c r="AS3571" s="95"/>
      <c r="AT3571" s="95"/>
      <c r="AU3571" s="95"/>
      <c r="AV3571" s="95"/>
      <c r="AW3571" s="95"/>
      <c r="AX3571" s="95"/>
      <c r="AY3571" s="95"/>
      <c r="AZ3571" s="95"/>
      <c r="BA3571" s="95"/>
    </row>
    <row r="3572" ht="15.75" hidden="1" customHeight="1" outlineLevel="1">
      <c r="A3572" s="395"/>
      <c r="B3572" s="24"/>
      <c r="C3572" s="95"/>
      <c r="D3572" s="95"/>
      <c r="E3572" s="95"/>
      <c r="F3572" s="95"/>
      <c r="G3572" s="95"/>
      <c r="H3572" s="95"/>
      <c r="I3572" s="95"/>
      <c r="J3572" s="95"/>
      <c r="K3572" s="95"/>
      <c r="L3572" s="95"/>
      <c r="M3572" s="95"/>
      <c r="N3572" s="95"/>
      <c r="O3572" s="95"/>
      <c r="P3572" s="95"/>
      <c r="Q3572" s="95"/>
      <c r="R3572" s="95"/>
      <c r="S3572" s="95"/>
      <c r="T3572" s="95"/>
      <c r="U3572" s="95"/>
      <c r="V3572" s="95"/>
      <c r="W3572" s="95"/>
      <c r="X3572" s="95"/>
      <c r="Y3572" s="95"/>
      <c r="Z3572" s="95"/>
      <c r="AA3572" s="95"/>
      <c r="AB3572" s="95"/>
      <c r="AC3572" s="95"/>
      <c r="AD3572" s="95">
        <f>IF($AD$3539&gt;0,'Assumptions (CSP)'!$V$14*Model!$AD$3539*'Assumptions (CSP)'!AC$2/10^9,0)</f>
        <v>0</v>
      </c>
      <c r="AE3572" s="95">
        <f>IF($AD$3539&gt;0,'Assumptions (CSP)'!$V$14*Model!$AD$3539*'Assumptions (CSP)'!AD$2/10^9,0)</f>
        <v>0</v>
      </c>
      <c r="AF3572" s="95">
        <f>IF($AD$3539&gt;0,'Assumptions (CSP)'!$V$14*Model!$AD$3539*'Assumptions (CSP)'!AE$2/10^9,0)</f>
        <v>0</v>
      </c>
      <c r="AG3572" s="95"/>
      <c r="AH3572" s="95"/>
      <c r="AI3572" s="95"/>
      <c r="AJ3572" s="95"/>
      <c r="AK3572" s="95"/>
      <c r="AL3572" s="95"/>
      <c r="AM3572" s="95"/>
      <c r="AN3572" s="95"/>
      <c r="AO3572" s="95"/>
      <c r="AP3572" s="95"/>
      <c r="AQ3572" s="95"/>
      <c r="AR3572" s="95"/>
      <c r="AS3572" s="95"/>
      <c r="AT3572" s="95"/>
      <c r="AU3572" s="95"/>
      <c r="AV3572" s="95"/>
      <c r="AW3572" s="95"/>
      <c r="AX3572" s="95"/>
      <c r="AY3572" s="95"/>
      <c r="AZ3572" s="95"/>
      <c r="BA3572" s="95"/>
    </row>
    <row r="3573" ht="15.75" hidden="1" customHeight="1" outlineLevel="1">
      <c r="A3573" s="395"/>
      <c r="B3573" s="24"/>
      <c r="C3573" s="95"/>
      <c r="D3573" s="95"/>
      <c r="E3573" s="95"/>
      <c r="F3573" s="95"/>
      <c r="G3573" s="95"/>
      <c r="H3573" s="95"/>
      <c r="I3573" s="95"/>
      <c r="J3573" s="95"/>
      <c r="K3573" s="95"/>
      <c r="L3573" s="95"/>
      <c r="M3573" s="95"/>
      <c r="N3573" s="95"/>
      <c r="O3573" s="95"/>
      <c r="P3573" s="95"/>
      <c r="Q3573" s="95"/>
      <c r="R3573" s="95"/>
      <c r="S3573" s="95"/>
      <c r="T3573" s="95"/>
      <c r="U3573" s="95"/>
      <c r="V3573" s="95"/>
      <c r="W3573" s="95"/>
      <c r="X3573" s="95"/>
      <c r="Y3573" s="95"/>
      <c r="Z3573" s="95"/>
      <c r="AA3573" s="95"/>
      <c r="AB3573" s="95"/>
      <c r="AC3573" s="95"/>
      <c r="AD3573" s="95"/>
      <c r="AE3573" s="95">
        <f>IF($AE$3539&gt;0,'Assumptions (CSP)'!$V$14*Model!$AE$3539*'Assumptions (CSP)'!AD$2/10^9,0)</f>
        <v>0</v>
      </c>
      <c r="AF3573" s="95">
        <f>IF($AE$3539&gt;0,'Assumptions (CSP)'!$V$14*Model!$AE$3539*'Assumptions (CSP)'!AE$2/10^9,0)</f>
        <v>0</v>
      </c>
      <c r="AG3573" s="95">
        <f>IF($AE$3539&gt;0,'Assumptions (CSP)'!$V$14*Model!$AE$3539*'Assumptions (CSP)'!AF$2/10^9,0)</f>
        <v>0</v>
      </c>
      <c r="AH3573" s="95"/>
      <c r="AI3573" s="95"/>
      <c r="AJ3573" s="95"/>
      <c r="AK3573" s="95"/>
      <c r="AL3573" s="95"/>
      <c r="AM3573" s="95"/>
      <c r="AN3573" s="95"/>
      <c r="AO3573" s="95"/>
      <c r="AP3573" s="95"/>
      <c r="AQ3573" s="95"/>
      <c r="AR3573" s="95"/>
      <c r="AS3573" s="95"/>
      <c r="AT3573" s="95"/>
      <c r="AU3573" s="95"/>
      <c r="AV3573" s="95"/>
      <c r="AW3573" s="95"/>
      <c r="AX3573" s="95"/>
      <c r="AY3573" s="95"/>
      <c r="AZ3573" s="95"/>
      <c r="BA3573" s="95"/>
    </row>
    <row r="3574" ht="15.75" hidden="1" customHeight="1" outlineLevel="1">
      <c r="A3574" s="395"/>
      <c r="B3574" s="24"/>
      <c r="C3574" s="95"/>
      <c r="D3574" s="95"/>
      <c r="E3574" s="95"/>
      <c r="F3574" s="95"/>
      <c r="G3574" s="95"/>
      <c r="H3574" s="95"/>
      <c r="I3574" s="95"/>
      <c r="J3574" s="95"/>
      <c r="K3574" s="95"/>
      <c r="L3574" s="95"/>
      <c r="M3574" s="95"/>
      <c r="N3574" s="95"/>
      <c r="O3574" s="95"/>
      <c r="P3574" s="95"/>
      <c r="Q3574" s="95"/>
      <c r="R3574" s="95"/>
      <c r="S3574" s="95"/>
      <c r="T3574" s="95"/>
      <c r="U3574" s="95"/>
      <c r="V3574" s="95"/>
      <c r="W3574" s="95"/>
      <c r="X3574" s="95"/>
      <c r="Y3574" s="95"/>
      <c r="Z3574" s="95"/>
      <c r="AA3574" s="95"/>
      <c r="AB3574" s="95"/>
      <c r="AC3574" s="95"/>
      <c r="AD3574" s="95"/>
      <c r="AE3574" s="95"/>
      <c r="AF3574" s="95">
        <f>IF($AF$3539&gt;0,'Assumptions (CSP)'!$V$14*Model!$AF$3539*'Assumptions (CSP)'!AE$2/10^9,0)</f>
        <v>0</v>
      </c>
      <c r="AG3574" s="95">
        <f>IF($AF$3539&gt;0,'Assumptions (CSP)'!$V$14*Model!$AF$3539*'Assumptions (CSP)'!AF$2/10^9,0)</f>
        <v>0</v>
      </c>
      <c r="AH3574" s="95">
        <f>IF($AF$3539&gt;0,'Assumptions (CSP)'!$V$14*Model!$AF$3539*'Assumptions (CSP)'!AG$2/10^9,0)</f>
        <v>0</v>
      </c>
      <c r="AI3574" s="95"/>
      <c r="AJ3574" s="95"/>
      <c r="AK3574" s="95"/>
      <c r="AL3574" s="95"/>
      <c r="AM3574" s="95"/>
      <c r="AN3574" s="95"/>
      <c r="AO3574" s="95"/>
      <c r="AP3574" s="95"/>
      <c r="AQ3574" s="95"/>
      <c r="AR3574" s="95"/>
      <c r="AS3574" s="95"/>
      <c r="AT3574" s="95"/>
      <c r="AU3574" s="95"/>
      <c r="AV3574" s="95"/>
      <c r="AW3574" s="95"/>
      <c r="AX3574" s="95"/>
      <c r="AY3574" s="95"/>
      <c r="AZ3574" s="95"/>
      <c r="BA3574" s="95"/>
    </row>
    <row r="3575" ht="15.75" hidden="1" customHeight="1" outlineLevel="1">
      <c r="A3575" s="395"/>
      <c r="B3575" s="24"/>
      <c r="C3575" s="95"/>
      <c r="D3575" s="95"/>
      <c r="E3575" s="95"/>
      <c r="F3575" s="95"/>
      <c r="G3575" s="95"/>
      <c r="H3575" s="95"/>
      <c r="I3575" s="95"/>
      <c r="J3575" s="95"/>
      <c r="K3575" s="95"/>
      <c r="L3575" s="95"/>
      <c r="M3575" s="95"/>
      <c r="N3575" s="95"/>
      <c r="O3575" s="95"/>
      <c r="P3575" s="95"/>
      <c r="Q3575" s="95"/>
      <c r="R3575" s="95"/>
      <c r="S3575" s="95"/>
      <c r="T3575" s="95"/>
      <c r="U3575" s="95"/>
      <c r="V3575" s="95"/>
      <c r="W3575" s="95"/>
      <c r="X3575" s="95"/>
      <c r="Y3575" s="95"/>
      <c r="Z3575" s="95"/>
      <c r="AA3575" s="95"/>
      <c r="AB3575" s="95"/>
      <c r="AC3575" s="95"/>
      <c r="AD3575" s="95"/>
      <c r="AE3575" s="95"/>
      <c r="AF3575" s="95"/>
      <c r="AG3575" s="95">
        <f>IF($AG$3539&gt;0,'Assumptions (CSP)'!$V$14*Model!$AG$3539*'Assumptions (CSP)'!AF$2/10^9,0)</f>
        <v>0</v>
      </c>
      <c r="AH3575" s="95">
        <f>IF($AG$3539&gt;0,'Assumptions (CSP)'!$V$14*Model!$AG$3539*'Assumptions (CSP)'!AG$2/10^9,0)</f>
        <v>0</v>
      </c>
      <c r="AI3575" s="95">
        <f>IF($AG$3539&gt;0,'Assumptions (CSP)'!$V$14*Model!$AG$3539*'Assumptions (CSP)'!AH$2/10^9,0)</f>
        <v>0</v>
      </c>
      <c r="AJ3575" s="95"/>
      <c r="AK3575" s="95"/>
      <c r="AL3575" s="95"/>
      <c r="AM3575" s="95"/>
      <c r="AN3575" s="95"/>
      <c r="AO3575" s="95"/>
      <c r="AP3575" s="95"/>
      <c r="AQ3575" s="95"/>
      <c r="AR3575" s="95"/>
      <c r="AS3575" s="95"/>
      <c r="AT3575" s="95"/>
      <c r="AU3575" s="95"/>
      <c r="AV3575" s="95"/>
      <c r="AW3575" s="95"/>
      <c r="AX3575" s="95"/>
      <c r="AY3575" s="95"/>
      <c r="AZ3575" s="95"/>
      <c r="BA3575" s="95"/>
    </row>
    <row r="3576" ht="15.75" hidden="1" customHeight="1" outlineLevel="1">
      <c r="A3576" s="395"/>
      <c r="B3576" s="24"/>
      <c r="C3576" s="95"/>
      <c r="D3576" s="95"/>
      <c r="E3576" s="95"/>
      <c r="F3576" s="95"/>
      <c r="G3576" s="95"/>
      <c r="H3576" s="95"/>
      <c r="I3576" s="95"/>
      <c r="J3576" s="95"/>
      <c r="K3576" s="95"/>
      <c r="L3576" s="95"/>
      <c r="M3576" s="95"/>
      <c r="N3576" s="95"/>
      <c r="O3576" s="95"/>
      <c r="P3576" s="95"/>
      <c r="Q3576" s="95"/>
      <c r="R3576" s="95"/>
      <c r="S3576" s="95"/>
      <c r="T3576" s="95"/>
      <c r="U3576" s="95"/>
      <c r="V3576" s="95"/>
      <c r="W3576" s="95"/>
      <c r="X3576" s="95"/>
      <c r="Y3576" s="95"/>
      <c r="Z3576" s="95"/>
      <c r="AA3576" s="95"/>
      <c r="AB3576" s="95"/>
      <c r="AC3576" s="95"/>
      <c r="AD3576" s="95"/>
      <c r="AE3576" s="95"/>
      <c r="AF3576" s="95"/>
      <c r="AG3576" s="95"/>
      <c r="AH3576" s="95">
        <f>IF($AH$3539&gt;0,'Assumptions (CSP)'!$V$14*Model!$AH$3539*'Assumptions (CSP)'!AG$2/10^9,0)</f>
        <v>0</v>
      </c>
      <c r="AI3576" s="95">
        <f>IF($AH$3539&gt;0,'Assumptions (CSP)'!$V$14*Model!$AH$3539*'Assumptions (CSP)'!AH$2/10^9,0)</f>
        <v>0</v>
      </c>
      <c r="AJ3576" s="95">
        <f>IF($AH$3539&gt;0,'Assumptions (CSP)'!$V$14*Model!$AH$3539*'Assumptions (CSP)'!AI$2/10^9,0)</f>
        <v>0</v>
      </c>
      <c r="AK3576" s="95"/>
      <c r="AL3576" s="95"/>
      <c r="AM3576" s="95"/>
      <c r="AN3576" s="95"/>
      <c r="AO3576" s="95"/>
      <c r="AP3576" s="95"/>
      <c r="AQ3576" s="95"/>
      <c r="AR3576" s="95"/>
      <c r="AS3576" s="95"/>
      <c r="AT3576" s="95"/>
      <c r="AU3576" s="95"/>
      <c r="AV3576" s="95"/>
      <c r="AW3576" s="95"/>
      <c r="AX3576" s="95"/>
      <c r="AY3576" s="95"/>
      <c r="AZ3576" s="95"/>
      <c r="BA3576" s="95"/>
    </row>
    <row r="3577" ht="15.75" hidden="1" customHeight="1" outlineLevel="1">
      <c r="A3577" s="395"/>
      <c r="B3577" s="24"/>
      <c r="C3577" s="95"/>
      <c r="D3577" s="95"/>
      <c r="E3577" s="95"/>
      <c r="F3577" s="95"/>
      <c r="G3577" s="95"/>
      <c r="H3577" s="95"/>
      <c r="I3577" s="95"/>
      <c r="J3577" s="95"/>
      <c r="K3577" s="95"/>
      <c r="L3577" s="95"/>
      <c r="M3577" s="95"/>
      <c r="N3577" s="95"/>
      <c r="O3577" s="95"/>
      <c r="P3577" s="95"/>
      <c r="Q3577" s="95"/>
      <c r="R3577" s="95"/>
      <c r="S3577" s="95"/>
      <c r="T3577" s="95"/>
      <c r="U3577" s="95"/>
      <c r="V3577" s="95"/>
      <c r="W3577" s="95"/>
      <c r="X3577" s="95"/>
      <c r="Y3577" s="95"/>
      <c r="Z3577" s="95"/>
      <c r="AA3577" s="95"/>
      <c r="AB3577" s="95"/>
      <c r="AC3577" s="95"/>
      <c r="AD3577" s="95"/>
      <c r="AE3577" s="95"/>
      <c r="AF3577" s="95"/>
      <c r="AG3577" s="95"/>
      <c r="AH3577" s="95"/>
      <c r="AI3577" s="95">
        <f>IF($AI$3539&gt;0,'Assumptions (CSP)'!$V$14*Model!$AI$3539*'Assumptions (CSP)'!AH$2/10^9,0)</f>
        <v>0</v>
      </c>
      <c r="AJ3577" s="95">
        <f>IF($AI$3539&gt;0,'Assumptions (CSP)'!$V$14*Model!$AI$3539*'Assumptions (CSP)'!AI$2/10^9,0)</f>
        <v>0</v>
      </c>
      <c r="AK3577" s="95">
        <f>IF($AI$3539&gt;0,'Assumptions (CSP)'!$V$14*Model!$AI$3539*'Assumptions (CSP)'!AJ$2/10^9,0)</f>
        <v>0</v>
      </c>
      <c r="AL3577" s="95"/>
      <c r="AM3577" s="95"/>
      <c r="AN3577" s="95"/>
      <c r="AO3577" s="95"/>
      <c r="AP3577" s="95"/>
      <c r="AQ3577" s="95"/>
      <c r="AR3577" s="95"/>
      <c r="AS3577" s="95"/>
      <c r="AT3577" s="95"/>
      <c r="AU3577" s="95"/>
      <c r="AV3577" s="95"/>
      <c r="AW3577" s="95"/>
      <c r="AX3577" s="95"/>
      <c r="AY3577" s="95"/>
      <c r="AZ3577" s="95"/>
      <c r="BA3577" s="95"/>
    </row>
    <row r="3578" ht="15.75" hidden="1" customHeight="1" outlineLevel="1">
      <c r="A3578" s="395"/>
      <c r="B3578" s="24"/>
      <c r="C3578" s="95"/>
      <c r="D3578" s="95"/>
      <c r="E3578" s="95"/>
      <c r="F3578" s="95"/>
      <c r="G3578" s="95"/>
      <c r="H3578" s="95"/>
      <c r="I3578" s="95"/>
      <c r="J3578" s="95"/>
      <c r="K3578" s="95"/>
      <c r="L3578" s="95"/>
      <c r="M3578" s="95"/>
      <c r="N3578" s="95"/>
      <c r="O3578" s="95"/>
      <c r="P3578" s="95"/>
      <c r="Q3578" s="95"/>
      <c r="R3578" s="95"/>
      <c r="S3578" s="95"/>
      <c r="T3578" s="95"/>
      <c r="U3578" s="95"/>
      <c r="V3578" s="95"/>
      <c r="W3578" s="95"/>
      <c r="X3578" s="95"/>
      <c r="Y3578" s="95"/>
      <c r="Z3578" s="95"/>
      <c r="AA3578" s="95"/>
      <c r="AB3578" s="95"/>
      <c r="AC3578" s="95"/>
      <c r="AD3578" s="95"/>
      <c r="AE3578" s="95"/>
      <c r="AF3578" s="95"/>
      <c r="AG3578" s="95"/>
      <c r="AH3578" s="95"/>
      <c r="AI3578" s="95"/>
      <c r="AJ3578" s="95">
        <f>IF($AJ$3539&gt;0,'Assumptions (CSP)'!$V$14*Model!$AJ$3539*'Assumptions (CSP)'!AI$2/10^9,0)</f>
        <v>0</v>
      </c>
      <c r="AK3578" s="95">
        <f>IF($AJ$3539&gt;0,'Assumptions (CSP)'!$V$14*Model!$AJ$3539*'Assumptions (CSP)'!AJ$2/10^9,0)</f>
        <v>0</v>
      </c>
      <c r="AL3578" s="95">
        <f>IF($AJ$3539&gt;0,'Assumptions (CSP)'!$V$14*Model!$AJ$3539*'Assumptions (CSP)'!AK$2/10^9,0)</f>
        <v>0</v>
      </c>
      <c r="AM3578" s="95"/>
      <c r="AN3578" s="95"/>
      <c r="AO3578" s="95"/>
      <c r="AP3578" s="95"/>
      <c r="AQ3578" s="95"/>
      <c r="AR3578" s="95"/>
      <c r="AS3578" s="95"/>
      <c r="AT3578" s="95"/>
      <c r="AU3578" s="95"/>
      <c r="AV3578" s="95"/>
      <c r="AW3578" s="95"/>
      <c r="AX3578" s="95"/>
      <c r="AY3578" s="95"/>
      <c r="AZ3578" s="95"/>
      <c r="BA3578" s="95"/>
    </row>
    <row r="3579" ht="15.75" hidden="1" customHeight="1" outlineLevel="1">
      <c r="A3579" s="395"/>
      <c r="B3579" s="24"/>
      <c r="C3579" s="95"/>
      <c r="D3579" s="95"/>
      <c r="E3579" s="95"/>
      <c r="F3579" s="95"/>
      <c r="G3579" s="95"/>
      <c r="H3579" s="95"/>
      <c r="I3579" s="95"/>
      <c r="J3579" s="95"/>
      <c r="K3579" s="95"/>
      <c r="L3579" s="95"/>
      <c r="M3579" s="95"/>
      <c r="N3579" s="95"/>
      <c r="O3579" s="95"/>
      <c r="P3579" s="95"/>
      <c r="Q3579" s="95"/>
      <c r="R3579" s="95"/>
      <c r="S3579" s="95"/>
      <c r="T3579" s="95"/>
      <c r="U3579" s="95"/>
      <c r="V3579" s="95"/>
      <c r="W3579" s="95"/>
      <c r="X3579" s="95"/>
      <c r="Y3579" s="95"/>
      <c r="Z3579" s="95"/>
      <c r="AA3579" s="95"/>
      <c r="AB3579" s="95"/>
      <c r="AC3579" s="95"/>
      <c r="AD3579" s="95"/>
      <c r="AE3579" s="95"/>
      <c r="AF3579" s="95"/>
      <c r="AG3579" s="95"/>
      <c r="AH3579" s="95"/>
      <c r="AI3579" s="95"/>
      <c r="AJ3579" s="95"/>
      <c r="AK3579" s="95">
        <f>IF($AK$3539&gt;0,'Assumptions (CSP)'!$V$14*Model!$AK$3539*'Assumptions (CSP)'!AJ$2/10^9,0)</f>
        <v>0</v>
      </c>
      <c r="AL3579" s="95">
        <f>IF($AK$3539&gt;0,'Assumptions (CSP)'!$V$14*Model!$AK$3539*'Assumptions (CSP)'!AK$2/10^9,0)</f>
        <v>0</v>
      </c>
      <c r="AM3579" s="95">
        <f>IF($AK$3539&gt;0,'Assumptions (CSP)'!$V$14*Model!$AK$3539*'Assumptions (CSP)'!AL$2/10^9,0)</f>
        <v>0</v>
      </c>
      <c r="AN3579" s="95"/>
      <c r="AO3579" s="95"/>
      <c r="AP3579" s="95"/>
      <c r="AQ3579" s="95"/>
      <c r="AR3579" s="95"/>
      <c r="AS3579" s="95"/>
      <c r="AT3579" s="95"/>
      <c r="AU3579" s="95"/>
      <c r="AV3579" s="95"/>
      <c r="AW3579" s="95"/>
      <c r="AX3579" s="95"/>
      <c r="AY3579" s="95"/>
      <c r="AZ3579" s="95"/>
      <c r="BA3579" s="95"/>
    </row>
    <row r="3580" ht="15.75" hidden="1" customHeight="1" outlineLevel="1">
      <c r="A3580" s="395"/>
      <c r="B3580" s="24"/>
      <c r="C3580" s="95"/>
      <c r="D3580" s="95"/>
      <c r="E3580" s="95"/>
      <c r="F3580" s="95"/>
      <c r="G3580" s="95"/>
      <c r="H3580" s="95"/>
      <c r="I3580" s="95"/>
      <c r="J3580" s="95"/>
      <c r="K3580" s="95"/>
      <c r="L3580" s="95"/>
      <c r="M3580" s="95"/>
      <c r="N3580" s="95"/>
      <c r="O3580" s="95"/>
      <c r="P3580" s="95"/>
      <c r="Q3580" s="95"/>
      <c r="R3580" s="95"/>
      <c r="S3580" s="95"/>
      <c r="T3580" s="95"/>
      <c r="U3580" s="95"/>
      <c r="V3580" s="95"/>
      <c r="W3580" s="95"/>
      <c r="X3580" s="95"/>
      <c r="Y3580" s="95"/>
      <c r="Z3580" s="95"/>
      <c r="AA3580" s="95"/>
      <c r="AB3580" s="95"/>
      <c r="AC3580" s="95"/>
      <c r="AD3580" s="95"/>
      <c r="AE3580" s="95"/>
      <c r="AF3580" s="95"/>
      <c r="AG3580" s="95"/>
      <c r="AH3580" s="95"/>
      <c r="AI3580" s="95"/>
      <c r="AJ3580" s="95"/>
      <c r="AK3580" s="95"/>
      <c r="AL3580" s="95">
        <f>IF($AL$3539&gt;0,'Assumptions (CSP)'!$V$14*Model!$AL$3539*'Assumptions (CSP)'!AK$2/10^9,0)</f>
        <v>0</v>
      </c>
      <c r="AM3580" s="95">
        <f>IF($AL$3539&gt;0,'Assumptions (CSP)'!$V$14*Model!$AL$3539*'Assumptions (CSP)'!AL$2/10^9,0)</f>
        <v>0</v>
      </c>
      <c r="AN3580" s="95">
        <f>IF($AL$3539&gt;0,'Assumptions (CSP)'!$V$14*Model!$AL$3539*'Assumptions (CSP)'!AM$2/10^9,0)</f>
        <v>0</v>
      </c>
      <c r="AO3580" s="95"/>
      <c r="AP3580" s="95"/>
      <c r="AQ3580" s="95"/>
      <c r="AR3580" s="95"/>
      <c r="AS3580" s="95"/>
      <c r="AT3580" s="95"/>
      <c r="AU3580" s="95"/>
      <c r="AV3580" s="95"/>
      <c r="AW3580" s="95"/>
      <c r="AX3580" s="95"/>
      <c r="AY3580" s="95"/>
      <c r="AZ3580" s="95"/>
      <c r="BA3580" s="95"/>
    </row>
    <row r="3581" ht="15.75" hidden="1" customHeight="1" outlineLevel="1">
      <c r="A3581" s="395"/>
      <c r="B3581" s="24"/>
      <c r="C3581" s="95"/>
      <c r="D3581" s="95"/>
      <c r="E3581" s="95"/>
      <c r="F3581" s="95"/>
      <c r="G3581" s="95"/>
      <c r="H3581" s="95"/>
      <c r="I3581" s="95"/>
      <c r="J3581" s="95"/>
      <c r="K3581" s="95"/>
      <c r="L3581" s="95"/>
      <c r="M3581" s="95"/>
      <c r="N3581" s="95"/>
      <c r="O3581" s="95"/>
      <c r="P3581" s="95"/>
      <c r="Q3581" s="95"/>
      <c r="R3581" s="95"/>
      <c r="S3581" s="95"/>
      <c r="T3581" s="95"/>
      <c r="U3581" s="95"/>
      <c r="V3581" s="95"/>
      <c r="W3581" s="95"/>
      <c r="X3581" s="95"/>
      <c r="Y3581" s="95"/>
      <c r="Z3581" s="95"/>
      <c r="AA3581" s="95"/>
      <c r="AB3581" s="95"/>
      <c r="AC3581" s="95"/>
      <c r="AD3581" s="95"/>
      <c r="AE3581" s="95"/>
      <c r="AF3581" s="95"/>
      <c r="AG3581" s="95"/>
      <c r="AH3581" s="95"/>
      <c r="AI3581" s="95"/>
      <c r="AJ3581" s="95"/>
      <c r="AK3581" s="95"/>
      <c r="AL3581" s="95"/>
      <c r="AM3581" s="95">
        <f>IF($AM$3539&gt;0,'Assumptions (CSP)'!$V$14*Model!$AM$3539*'Assumptions (CSP)'!AL$2/10^9,0)</f>
        <v>0</v>
      </c>
      <c r="AN3581" s="95">
        <f>IF($AM$3539&gt;0,'Assumptions (CSP)'!$V$14*Model!$AM$3539*'Assumptions (CSP)'!AM$2/10^9,0)</f>
        <v>0</v>
      </c>
      <c r="AO3581" s="95">
        <f>IF($AM$3539&gt;0,'Assumptions (CSP)'!$V$14*Model!$AM$3539*'Assumptions (CSP)'!AN$2/10^9,0)</f>
        <v>0</v>
      </c>
      <c r="AP3581" s="95"/>
      <c r="AQ3581" s="95"/>
      <c r="AR3581" s="95"/>
      <c r="AS3581" s="95"/>
      <c r="AT3581" s="95"/>
      <c r="AU3581" s="95"/>
      <c r="AV3581" s="95"/>
      <c r="AW3581" s="95"/>
      <c r="AX3581" s="95"/>
      <c r="AY3581" s="95"/>
      <c r="AZ3581" s="95"/>
      <c r="BA3581" s="95"/>
    </row>
    <row r="3582" ht="15.75" hidden="1" customHeight="1" outlineLevel="1">
      <c r="A3582" s="395"/>
      <c r="B3582" s="24"/>
      <c r="C3582" s="95"/>
      <c r="D3582" s="95"/>
      <c r="E3582" s="95"/>
      <c r="F3582" s="95"/>
      <c r="G3582" s="95"/>
      <c r="H3582" s="95"/>
      <c r="I3582" s="95"/>
      <c r="J3582" s="95"/>
      <c r="K3582" s="95"/>
      <c r="L3582" s="95"/>
      <c r="M3582" s="95"/>
      <c r="N3582" s="95"/>
      <c r="O3582" s="95"/>
      <c r="P3582" s="95"/>
      <c r="Q3582" s="95"/>
      <c r="R3582" s="95"/>
      <c r="S3582" s="95"/>
      <c r="T3582" s="95"/>
      <c r="U3582" s="95"/>
      <c r="V3582" s="95"/>
      <c r="W3582" s="95"/>
      <c r="X3582" s="95"/>
      <c r="Y3582" s="95"/>
      <c r="Z3582" s="95"/>
      <c r="AA3582" s="95"/>
      <c r="AB3582" s="95"/>
      <c r="AC3582" s="95"/>
      <c r="AD3582" s="95"/>
      <c r="AE3582" s="95"/>
      <c r="AF3582" s="95"/>
      <c r="AG3582" s="95"/>
      <c r="AH3582" s="95"/>
      <c r="AI3582" s="95"/>
      <c r="AJ3582" s="95"/>
      <c r="AK3582" s="95"/>
      <c r="AL3582" s="95"/>
      <c r="AM3582" s="95"/>
      <c r="AN3582" s="95">
        <f>IF($AN$3539&gt;0,'Assumptions (CSP)'!$V$14*Model!$AN$3539*'Assumptions (CSP)'!AM$2/10^9,0)</f>
        <v>0</v>
      </c>
      <c r="AO3582" s="95">
        <f>IF($AN$3539&gt;0,'Assumptions (CSP)'!$V$14*Model!$AN$3539*'Assumptions (CSP)'!AN$2/10^9,0)</f>
        <v>0</v>
      </c>
      <c r="AP3582" s="95">
        <f>IF($AN$3539&gt;0,'Assumptions (CSP)'!$V$14*Model!$AN$3539*'Assumptions (CSP)'!AO$2/10^9,0)</f>
        <v>0</v>
      </c>
      <c r="AQ3582" s="95"/>
      <c r="AR3582" s="95"/>
      <c r="AS3582" s="95"/>
      <c r="AT3582" s="95"/>
      <c r="AU3582" s="95"/>
      <c r="AV3582" s="95"/>
      <c r="AW3582" s="95"/>
      <c r="AX3582" s="95"/>
      <c r="AY3582" s="95"/>
      <c r="AZ3582" s="95"/>
      <c r="BA3582" s="95"/>
    </row>
    <row r="3583" ht="15.75" hidden="1" customHeight="1" outlineLevel="1">
      <c r="A3583" s="395"/>
      <c r="B3583" s="24"/>
      <c r="C3583" s="95"/>
      <c r="D3583" s="95"/>
      <c r="E3583" s="95"/>
      <c r="F3583" s="95"/>
      <c r="G3583" s="95"/>
      <c r="H3583" s="95"/>
      <c r="I3583" s="95"/>
      <c r="J3583" s="95"/>
      <c r="K3583" s="95"/>
      <c r="L3583" s="95"/>
      <c r="M3583" s="95"/>
      <c r="N3583" s="95"/>
      <c r="O3583" s="95"/>
      <c r="P3583" s="95"/>
      <c r="Q3583" s="95"/>
      <c r="R3583" s="95"/>
      <c r="S3583" s="95"/>
      <c r="T3583" s="95"/>
      <c r="U3583" s="95"/>
      <c r="V3583" s="95"/>
      <c r="W3583" s="95"/>
      <c r="X3583" s="95"/>
      <c r="Y3583" s="95"/>
      <c r="Z3583" s="95"/>
      <c r="AA3583" s="95"/>
      <c r="AB3583" s="95"/>
      <c r="AC3583" s="95"/>
      <c r="AD3583" s="95"/>
      <c r="AE3583" s="95"/>
      <c r="AF3583" s="95"/>
      <c r="AG3583" s="95"/>
      <c r="AH3583" s="95"/>
      <c r="AI3583" s="95"/>
      <c r="AJ3583" s="95"/>
      <c r="AK3583" s="95"/>
      <c r="AL3583" s="95"/>
      <c r="AM3583" s="95"/>
      <c r="AN3583" s="95"/>
      <c r="AO3583" s="95">
        <f>IF($AO$3539&gt;0,'Assumptions (CSP)'!$V$14*Model!$AO$3539*'Assumptions (CSP)'!AN$2/10^9,0)</f>
        <v>0</v>
      </c>
      <c r="AP3583" s="95">
        <f>IF($AO$3539&gt;0,'Assumptions (CSP)'!$V$14*Model!$AO$3539*'Assumptions (CSP)'!AO$2/10^9,0)</f>
        <v>0</v>
      </c>
      <c r="AQ3583" s="95">
        <f>IF($AO$3539&gt;0,'Assumptions (CSP)'!$V$14*Model!$AO$3539*'Assumptions (CSP)'!AP$2/10^9,0)</f>
        <v>0</v>
      </c>
      <c r="AR3583" s="95"/>
      <c r="AS3583" s="95"/>
      <c r="AT3583" s="95"/>
      <c r="AU3583" s="95"/>
      <c r="AV3583" s="95"/>
      <c r="AW3583" s="95"/>
      <c r="AX3583" s="95"/>
      <c r="AY3583" s="95"/>
      <c r="AZ3583" s="95"/>
      <c r="BA3583" s="95"/>
    </row>
    <row r="3584" ht="15.75" hidden="1" customHeight="1" outlineLevel="1">
      <c r="A3584" s="395"/>
      <c r="B3584" s="24"/>
      <c r="C3584" s="95"/>
      <c r="D3584" s="95"/>
      <c r="E3584" s="95"/>
      <c r="F3584" s="95"/>
      <c r="G3584" s="95"/>
      <c r="H3584" s="95"/>
      <c r="I3584" s="95"/>
      <c r="J3584" s="95"/>
      <c r="K3584" s="95"/>
      <c r="L3584" s="95"/>
      <c r="M3584" s="95"/>
      <c r="N3584" s="95"/>
      <c r="O3584" s="95"/>
      <c r="P3584" s="95"/>
      <c r="Q3584" s="95"/>
      <c r="R3584" s="95"/>
      <c r="S3584" s="95"/>
      <c r="T3584" s="95"/>
      <c r="U3584" s="95"/>
      <c r="V3584" s="95"/>
      <c r="W3584" s="95"/>
      <c r="X3584" s="95"/>
      <c r="Y3584" s="95"/>
      <c r="Z3584" s="95"/>
      <c r="AA3584" s="95"/>
      <c r="AB3584" s="95"/>
      <c r="AC3584" s="95"/>
      <c r="AD3584" s="95"/>
      <c r="AE3584" s="95"/>
      <c r="AF3584" s="95"/>
      <c r="AG3584" s="95"/>
      <c r="AH3584" s="95"/>
      <c r="AI3584" s="95"/>
      <c r="AJ3584" s="95"/>
      <c r="AK3584" s="95"/>
      <c r="AL3584" s="95"/>
      <c r="AM3584" s="95"/>
      <c r="AN3584" s="95"/>
      <c r="AO3584" s="95"/>
      <c r="AP3584" s="95">
        <f>IF($AP$3539&gt;0,'Assumptions (CSP)'!$V$14*Model!$AP$3539*'Assumptions (CSP)'!AO$2/10^9,0)</f>
        <v>0</v>
      </c>
      <c r="AQ3584" s="95">
        <f>IF($AP$3539&gt;0,'Assumptions (CSP)'!$V$14*Model!$AP$3539*'Assumptions (CSP)'!AP$2/10^9,0)</f>
        <v>0</v>
      </c>
      <c r="AR3584" s="95">
        <f>IF($AP$3539&gt;0,'Assumptions (CSP)'!$V$14*Model!$AP$3539*'Assumptions (CSP)'!AQ$2/10^9,0)</f>
        <v>0</v>
      </c>
      <c r="AS3584" s="95"/>
      <c r="AT3584" s="95"/>
      <c r="AU3584" s="95"/>
      <c r="AV3584" s="95"/>
      <c r="AW3584" s="95"/>
      <c r="AX3584" s="95"/>
      <c r="AY3584" s="95"/>
      <c r="AZ3584" s="95"/>
      <c r="BA3584" s="95"/>
    </row>
    <row r="3585" ht="15.75" hidden="1" customHeight="1" outlineLevel="1">
      <c r="A3585" s="395"/>
      <c r="B3585" s="24"/>
      <c r="C3585" s="95"/>
      <c r="D3585" s="95"/>
      <c r="E3585" s="95"/>
      <c r="F3585" s="95"/>
      <c r="G3585" s="95"/>
      <c r="H3585" s="95"/>
      <c r="I3585" s="95"/>
      <c r="J3585" s="95"/>
      <c r="K3585" s="95"/>
      <c r="L3585" s="95"/>
      <c r="M3585" s="95"/>
      <c r="N3585" s="95"/>
      <c r="O3585" s="95"/>
      <c r="P3585" s="95"/>
      <c r="Q3585" s="95"/>
      <c r="R3585" s="95"/>
      <c r="S3585" s="95"/>
      <c r="T3585" s="95"/>
      <c r="U3585" s="95"/>
      <c r="V3585" s="95"/>
      <c r="W3585" s="95"/>
      <c r="X3585" s="95"/>
      <c r="Y3585" s="95"/>
      <c r="Z3585" s="95"/>
      <c r="AA3585" s="95"/>
      <c r="AB3585" s="95"/>
      <c r="AC3585" s="95"/>
      <c r="AD3585" s="95"/>
      <c r="AE3585" s="95"/>
      <c r="AF3585" s="95"/>
      <c r="AG3585" s="95"/>
      <c r="AH3585" s="95"/>
      <c r="AI3585" s="95"/>
      <c r="AJ3585" s="95"/>
      <c r="AK3585" s="95"/>
      <c r="AL3585" s="95"/>
      <c r="AM3585" s="95"/>
      <c r="AN3585" s="95"/>
      <c r="AO3585" s="95"/>
      <c r="AP3585" s="95"/>
      <c r="AQ3585" s="95">
        <f>IF($AQ$3539&gt;0,'Assumptions (CSP)'!$V$14*Model!$AQ$3539*'Assumptions (CSP)'!AP$2/10^9,0)</f>
        <v>0</v>
      </c>
      <c r="AR3585" s="95">
        <f>IF($AQ$3539&gt;0,'Assumptions (CSP)'!$V$14*Model!$AQ$3539*'Assumptions (CSP)'!AQ$2/10^9,0)</f>
        <v>0</v>
      </c>
      <c r="AS3585" s="95">
        <f>IF($AQ$3539&gt;0,'Assumptions (CSP)'!$V$14*Model!$AQ$3539*'Assumptions (CSP)'!AR$2/10^9,0)</f>
        <v>0</v>
      </c>
      <c r="AT3585" s="95"/>
      <c r="AU3585" s="95"/>
      <c r="AV3585" s="95"/>
      <c r="AW3585" s="95"/>
      <c r="AX3585" s="95"/>
      <c r="AY3585" s="95"/>
      <c r="AZ3585" s="95"/>
      <c r="BA3585" s="95"/>
    </row>
    <row r="3586" ht="15.75" hidden="1" customHeight="1" outlineLevel="1">
      <c r="A3586" s="395"/>
      <c r="B3586" s="24"/>
      <c r="C3586" s="95"/>
      <c r="D3586" s="95"/>
      <c r="E3586" s="95"/>
      <c r="F3586" s="95"/>
      <c r="G3586" s="95"/>
      <c r="H3586" s="95"/>
      <c r="I3586" s="95"/>
      <c r="J3586" s="95"/>
      <c r="K3586" s="95"/>
      <c r="L3586" s="95"/>
      <c r="M3586" s="95"/>
      <c r="N3586" s="95"/>
      <c r="O3586" s="95"/>
      <c r="P3586" s="95"/>
      <c r="Q3586" s="95"/>
      <c r="R3586" s="95"/>
      <c r="S3586" s="95"/>
      <c r="T3586" s="95"/>
      <c r="U3586" s="95"/>
      <c r="V3586" s="95"/>
      <c r="W3586" s="95"/>
      <c r="X3586" s="95"/>
      <c r="Y3586" s="95"/>
      <c r="Z3586" s="95"/>
      <c r="AA3586" s="95"/>
      <c r="AB3586" s="95"/>
      <c r="AC3586" s="95"/>
      <c r="AD3586" s="95"/>
      <c r="AE3586" s="95"/>
      <c r="AF3586" s="95"/>
      <c r="AG3586" s="95"/>
      <c r="AH3586" s="95"/>
      <c r="AI3586" s="95"/>
      <c r="AJ3586" s="95"/>
      <c r="AK3586" s="95"/>
      <c r="AL3586" s="95"/>
      <c r="AM3586" s="95"/>
      <c r="AN3586" s="95"/>
      <c r="AO3586" s="95"/>
      <c r="AP3586" s="95"/>
      <c r="AQ3586" s="95"/>
      <c r="AR3586" s="95">
        <f>IF($AR$3539&gt;0,'Assumptions (CSP)'!$V$14*Model!$AR$3539*'Assumptions (CSP)'!AQ$2/10^9,0)</f>
        <v>0</v>
      </c>
      <c r="AS3586" s="95">
        <f>IF($AR$3539&gt;0,'Assumptions (CSP)'!$V$14*Model!$AR$3539*'Assumptions (CSP)'!AR$2/10^9,0)</f>
        <v>0</v>
      </c>
      <c r="AT3586" s="95">
        <f>IF($AR$3539&gt;0,'Assumptions (CSP)'!$V$14*Model!$AR$3539*'Assumptions (CSP)'!AS$2/10^9,0)</f>
        <v>0</v>
      </c>
      <c r="AU3586" s="95"/>
      <c r="AV3586" s="95"/>
      <c r="AW3586" s="95"/>
      <c r="AX3586" s="95"/>
      <c r="AY3586" s="95"/>
      <c r="AZ3586" s="95"/>
      <c r="BA3586" s="95"/>
    </row>
    <row r="3587" ht="15.75" hidden="1" customHeight="1" outlineLevel="1">
      <c r="A3587" s="395"/>
      <c r="B3587" s="24"/>
      <c r="C3587" s="95"/>
      <c r="D3587" s="95"/>
      <c r="E3587" s="95"/>
      <c r="F3587" s="95"/>
      <c r="G3587" s="95"/>
      <c r="H3587" s="95"/>
      <c r="I3587" s="95"/>
      <c r="J3587" s="95"/>
      <c r="K3587" s="95"/>
      <c r="L3587" s="95"/>
      <c r="M3587" s="95"/>
      <c r="N3587" s="95"/>
      <c r="O3587" s="95"/>
      <c r="P3587" s="95"/>
      <c r="Q3587" s="95"/>
      <c r="R3587" s="95"/>
      <c r="S3587" s="95"/>
      <c r="T3587" s="95"/>
      <c r="U3587" s="95"/>
      <c r="V3587" s="95"/>
      <c r="W3587" s="95"/>
      <c r="X3587" s="95"/>
      <c r="Y3587" s="95"/>
      <c r="Z3587" s="95"/>
      <c r="AA3587" s="95"/>
      <c r="AB3587" s="95"/>
      <c r="AC3587" s="95"/>
      <c r="AD3587" s="95"/>
      <c r="AE3587" s="95"/>
      <c r="AF3587" s="95"/>
      <c r="AG3587" s="95"/>
      <c r="AH3587" s="95"/>
      <c r="AI3587" s="95"/>
      <c r="AJ3587" s="95"/>
      <c r="AK3587" s="95"/>
      <c r="AL3587" s="95"/>
      <c r="AM3587" s="95"/>
      <c r="AN3587" s="95"/>
      <c r="AO3587" s="95"/>
      <c r="AP3587" s="95"/>
      <c r="AQ3587" s="95"/>
      <c r="AR3587" s="95"/>
      <c r="AS3587" s="95">
        <f>IF($AS$3539&gt;0,'Assumptions (CSP)'!$V$14*Model!$AS$3539*'Assumptions (CSP)'!AR$2/10^9,0)</f>
        <v>0</v>
      </c>
      <c r="AT3587" s="95">
        <f>IF($AS$3539&gt;0,'Assumptions (CSP)'!$V$14*Model!$AS$3539*'Assumptions (CSP)'!AS$2/10^9,0)</f>
        <v>0</v>
      </c>
      <c r="AU3587" s="95">
        <f>IF($AS$3539&gt;0,'Assumptions (CSP)'!$V$14*Model!$AS$3539*'Assumptions (CSP)'!AT$2/10^9,0)</f>
        <v>0</v>
      </c>
      <c r="AV3587" s="95"/>
      <c r="AW3587" s="95"/>
      <c r="AX3587" s="95"/>
      <c r="AY3587" s="95"/>
      <c r="AZ3587" s="95"/>
      <c r="BA3587" s="95"/>
    </row>
    <row r="3588" ht="15.75" hidden="1" customHeight="1" outlineLevel="1">
      <c r="A3588" s="395"/>
      <c r="B3588" s="24"/>
      <c r="C3588" s="95"/>
      <c r="D3588" s="95"/>
      <c r="E3588" s="95"/>
      <c r="F3588" s="95"/>
      <c r="G3588" s="95"/>
      <c r="H3588" s="95"/>
      <c r="I3588" s="95"/>
      <c r="J3588" s="95"/>
      <c r="K3588" s="95"/>
      <c r="L3588" s="95"/>
      <c r="M3588" s="95"/>
      <c r="N3588" s="95"/>
      <c r="O3588" s="95"/>
      <c r="P3588" s="95"/>
      <c r="Q3588" s="95"/>
      <c r="R3588" s="95"/>
      <c r="S3588" s="95"/>
      <c r="T3588" s="95"/>
      <c r="U3588" s="95"/>
      <c r="V3588" s="95"/>
      <c r="W3588" s="95"/>
      <c r="X3588" s="95"/>
      <c r="Y3588" s="95"/>
      <c r="Z3588" s="95"/>
      <c r="AA3588" s="95"/>
      <c r="AB3588" s="95"/>
      <c r="AC3588" s="95"/>
      <c r="AD3588" s="95"/>
      <c r="AE3588" s="95"/>
      <c r="AF3588" s="95"/>
      <c r="AG3588" s="95"/>
      <c r="AH3588" s="95"/>
      <c r="AI3588" s="95"/>
      <c r="AJ3588" s="95"/>
      <c r="AK3588" s="95"/>
      <c r="AL3588" s="95"/>
      <c r="AM3588" s="95"/>
      <c r="AN3588" s="95"/>
      <c r="AO3588" s="95"/>
      <c r="AP3588" s="95"/>
      <c r="AQ3588" s="95"/>
      <c r="AR3588" s="95"/>
      <c r="AS3588" s="95"/>
      <c r="AT3588" s="95">
        <f>IF($AT$3539&gt;0,'Assumptions (CSP)'!$V$14*Model!$AT$3539*'Assumptions (CSP)'!AS$2/10^9,0)</f>
        <v>0</v>
      </c>
      <c r="AU3588" s="95">
        <f>IF($AT$3539&gt;0,'Assumptions (CSP)'!$V$14*Model!$AT$3539*'Assumptions (CSP)'!AT$2/10^9,0)</f>
        <v>0</v>
      </c>
      <c r="AV3588" s="95">
        <f>IF($AT$3539&gt;0,'Assumptions (CSP)'!$V$14*Model!$AT$3539*'Assumptions (CSP)'!AU$2/10^9,0)</f>
        <v>0</v>
      </c>
      <c r="AW3588" s="95"/>
      <c r="AX3588" s="95"/>
      <c r="AY3588" s="95"/>
      <c r="AZ3588" s="95"/>
      <c r="BA3588" s="95"/>
    </row>
    <row r="3589" ht="15.75" hidden="1" customHeight="1" outlineLevel="1">
      <c r="A3589" s="395"/>
      <c r="B3589" s="24"/>
      <c r="C3589" s="95"/>
      <c r="D3589" s="95"/>
      <c r="E3589" s="95"/>
      <c r="F3589" s="95"/>
      <c r="G3589" s="95"/>
      <c r="H3589" s="95"/>
      <c r="I3589" s="95"/>
      <c r="J3589" s="95"/>
      <c r="K3589" s="95"/>
      <c r="L3589" s="95"/>
      <c r="M3589" s="95"/>
      <c r="N3589" s="95"/>
      <c r="O3589" s="95"/>
      <c r="P3589" s="95"/>
      <c r="Q3589" s="95"/>
      <c r="R3589" s="95"/>
      <c r="S3589" s="95"/>
      <c r="T3589" s="95"/>
      <c r="U3589" s="95"/>
      <c r="V3589" s="95"/>
      <c r="W3589" s="95"/>
      <c r="X3589" s="95"/>
      <c r="Y3589" s="95"/>
      <c r="Z3589" s="95"/>
      <c r="AA3589" s="95"/>
      <c r="AB3589" s="95"/>
      <c r="AC3589" s="95"/>
      <c r="AD3589" s="95"/>
      <c r="AE3589" s="95"/>
      <c r="AF3589" s="95"/>
      <c r="AG3589" s="95"/>
      <c r="AH3589" s="95"/>
      <c r="AI3589" s="95"/>
      <c r="AJ3589" s="95"/>
      <c r="AK3589" s="95"/>
      <c r="AL3589" s="95"/>
      <c r="AM3589" s="95"/>
      <c r="AN3589" s="95"/>
      <c r="AO3589" s="95"/>
      <c r="AP3589" s="95"/>
      <c r="AQ3589" s="95"/>
      <c r="AR3589" s="95"/>
      <c r="AS3589" s="95"/>
      <c r="AT3589" s="95"/>
      <c r="AU3589" s="95">
        <f>IF($AU$3539&gt;0,'Assumptions (CSP)'!$V$14*Model!$AU$3539*'Assumptions (CSP)'!AT$2/10^9,0)</f>
        <v>0</v>
      </c>
      <c r="AV3589" s="95">
        <f>IF($AU$3539&gt;0,'Assumptions (CSP)'!$V$14*Model!$AU$3539*'Assumptions (CSP)'!AU$2/10^9,0)</f>
        <v>0</v>
      </c>
      <c r="AW3589" s="95">
        <f>IF($AU$3539&gt;0,'Assumptions (CSP)'!$V$14*Model!$AU$3539*'Assumptions (CSP)'!AV$2/10^9,0)</f>
        <v>0</v>
      </c>
      <c r="AX3589" s="95"/>
      <c r="AY3589" s="95"/>
      <c r="AZ3589" s="95"/>
      <c r="BA3589" s="95"/>
    </row>
    <row r="3590" ht="15.75" hidden="1" customHeight="1" outlineLevel="1">
      <c r="A3590" s="395"/>
      <c r="B3590" s="24"/>
      <c r="C3590" s="95"/>
      <c r="D3590" s="95"/>
      <c r="E3590" s="95"/>
      <c r="F3590" s="95"/>
      <c r="G3590" s="95"/>
      <c r="H3590" s="95"/>
      <c r="I3590" s="95"/>
      <c r="J3590" s="95"/>
      <c r="K3590" s="95"/>
      <c r="L3590" s="95"/>
      <c r="M3590" s="95"/>
      <c r="N3590" s="95"/>
      <c r="O3590" s="95"/>
      <c r="P3590" s="95"/>
      <c r="Q3590" s="95"/>
      <c r="R3590" s="95"/>
      <c r="S3590" s="95"/>
      <c r="T3590" s="95"/>
      <c r="U3590" s="95"/>
      <c r="V3590" s="95"/>
      <c r="W3590" s="95"/>
      <c r="X3590" s="95"/>
      <c r="Y3590" s="95"/>
      <c r="Z3590" s="95"/>
      <c r="AA3590" s="95"/>
      <c r="AB3590" s="95"/>
      <c r="AC3590" s="95"/>
      <c r="AD3590" s="95"/>
      <c r="AE3590" s="95"/>
      <c r="AF3590" s="95"/>
      <c r="AG3590" s="95"/>
      <c r="AH3590" s="95"/>
      <c r="AI3590" s="95"/>
      <c r="AJ3590" s="95"/>
      <c r="AK3590" s="95"/>
      <c r="AL3590" s="95"/>
      <c r="AM3590" s="95"/>
      <c r="AN3590" s="95"/>
      <c r="AO3590" s="95"/>
      <c r="AP3590" s="95"/>
      <c r="AQ3590" s="95"/>
      <c r="AR3590" s="95"/>
      <c r="AS3590" s="95"/>
      <c r="AT3590" s="95"/>
      <c r="AU3590" s="95"/>
      <c r="AV3590" s="95">
        <f>IF($AV$3539&gt;0,'Assumptions (CSP)'!$V$14*Model!$AV$3539*'Assumptions (CSP)'!AU$2/10^9,0)</f>
        <v>0</v>
      </c>
      <c r="AW3590" s="95">
        <f>IF($AV$3539&gt;0,'Assumptions (CSP)'!$V$14*Model!$AV$3539*'Assumptions (CSP)'!AV$2/10^9,0)</f>
        <v>0</v>
      </c>
      <c r="AX3590" s="95">
        <f>IF($AV$3539&gt;0,'Assumptions (CSP)'!$V$14*Model!$AV$3539*'Assumptions (CSP)'!AW$2/10^9,0)</f>
        <v>0</v>
      </c>
      <c r="AY3590" s="95"/>
      <c r="AZ3590" s="95"/>
      <c r="BA3590" s="95"/>
    </row>
    <row r="3591" ht="15.75" hidden="1" customHeight="1" outlineLevel="1">
      <c r="A3591" s="395"/>
      <c r="B3591" s="24"/>
      <c r="C3591" s="95"/>
      <c r="D3591" s="95"/>
      <c r="E3591" s="95"/>
      <c r="F3591" s="95"/>
      <c r="G3591" s="95"/>
      <c r="H3591" s="95"/>
      <c r="I3591" s="95"/>
      <c r="J3591" s="95"/>
      <c r="K3591" s="95"/>
      <c r="L3591" s="95"/>
      <c r="M3591" s="95"/>
      <c r="N3591" s="95"/>
      <c r="O3591" s="95"/>
      <c r="P3591" s="95"/>
      <c r="Q3591" s="95"/>
      <c r="R3591" s="95"/>
      <c r="S3591" s="95"/>
      <c r="T3591" s="95"/>
      <c r="U3591" s="95"/>
      <c r="V3591" s="95"/>
      <c r="W3591" s="95"/>
      <c r="X3591" s="95"/>
      <c r="Y3591" s="95"/>
      <c r="Z3591" s="95"/>
      <c r="AA3591" s="95"/>
      <c r="AB3591" s="95"/>
      <c r="AC3591" s="95"/>
      <c r="AD3591" s="95"/>
      <c r="AE3591" s="95"/>
      <c r="AF3591" s="95"/>
      <c r="AG3591" s="95"/>
      <c r="AH3591" s="95"/>
      <c r="AI3591" s="95"/>
      <c r="AJ3591" s="95"/>
      <c r="AK3591" s="95"/>
      <c r="AL3591" s="95"/>
      <c r="AM3591" s="95"/>
      <c r="AN3591" s="95"/>
      <c r="AO3591" s="95"/>
      <c r="AP3591" s="95"/>
      <c r="AQ3591" s="95"/>
      <c r="AR3591" s="95"/>
      <c r="AS3591" s="95"/>
      <c r="AT3591" s="95"/>
      <c r="AU3591" s="95"/>
      <c r="AV3591" s="95"/>
      <c r="AW3591" s="95">
        <f>IF($AW$3539&gt;0,'Assumptions (CSP)'!$V$14*Model!$AW$3539*'Assumptions (CSP)'!AV$2/10^9,0)</f>
        <v>0</v>
      </c>
      <c r="AX3591" s="95">
        <f>IF($AW$3539&gt;0,'Assumptions (CSP)'!$V$14*Model!$AW$3539*'Assumptions (CSP)'!AW$2/10^9,0)</f>
        <v>0</v>
      </c>
      <c r="AY3591" s="95">
        <f>IF($AW$3539&gt;0,'Assumptions (CSP)'!$V$14*Model!$AW$3539*'Assumptions (CSP)'!AX$2/10^9,0)</f>
        <v>0</v>
      </c>
      <c r="AZ3591" s="95"/>
      <c r="BA3591" s="95"/>
    </row>
    <row r="3592" ht="15.75" hidden="1" customHeight="1" outlineLevel="1">
      <c r="A3592" s="395"/>
      <c r="B3592" s="24"/>
      <c r="C3592" s="95"/>
      <c r="D3592" s="95"/>
      <c r="E3592" s="95"/>
      <c r="F3592" s="95"/>
      <c r="G3592" s="95"/>
      <c r="H3592" s="95"/>
      <c r="I3592" s="95"/>
      <c r="J3592" s="95"/>
      <c r="K3592" s="95"/>
      <c r="L3592" s="95"/>
      <c r="M3592" s="95"/>
      <c r="N3592" s="95"/>
      <c r="O3592" s="95"/>
      <c r="P3592" s="95"/>
      <c r="Q3592" s="95"/>
      <c r="R3592" s="95"/>
      <c r="S3592" s="95"/>
      <c r="T3592" s="95"/>
      <c r="U3592" s="95"/>
      <c r="V3592" s="95"/>
      <c r="W3592" s="95"/>
      <c r="X3592" s="95"/>
      <c r="Y3592" s="95"/>
      <c r="Z3592" s="95"/>
      <c r="AA3592" s="95"/>
      <c r="AB3592" s="95"/>
      <c r="AC3592" s="95"/>
      <c r="AD3592" s="95"/>
      <c r="AE3592" s="95"/>
      <c r="AF3592" s="95"/>
      <c r="AG3592" s="95"/>
      <c r="AH3592" s="95"/>
      <c r="AI3592" s="95"/>
      <c r="AJ3592" s="95"/>
      <c r="AK3592" s="95"/>
      <c r="AL3592" s="95"/>
      <c r="AM3592" s="95"/>
      <c r="AN3592" s="95"/>
      <c r="AO3592" s="95"/>
      <c r="AP3592" s="95"/>
      <c r="AQ3592" s="95"/>
      <c r="AR3592" s="95"/>
      <c r="AS3592" s="95"/>
      <c r="AT3592" s="95"/>
      <c r="AU3592" s="95"/>
      <c r="AV3592" s="95"/>
      <c r="AW3592" s="95"/>
      <c r="AX3592" s="95">
        <f>IF($AX$3539&gt;0,'Assumptions (CSP)'!$V$14*Model!$AX$3539*'Assumptions (CSP)'!AW$2/10^9,0)</f>
        <v>0</v>
      </c>
      <c r="AY3592" s="95">
        <f>IF($AX$3539&gt;0,'Assumptions (CSP)'!$V$14*Model!$AX$3539*'Assumptions (CSP)'!AX$2/10^9,0)</f>
        <v>0</v>
      </c>
      <c r="AZ3592" s="95">
        <f>IF($AX$3539&gt;0,'Assumptions (CSP)'!$V$14*Model!$AX$3539*'Assumptions (CSP)'!AY$2/10^9,0)</f>
        <v>0</v>
      </c>
      <c r="BA3592" s="95"/>
    </row>
    <row r="3593" ht="15.75" hidden="1" customHeight="1" outlineLevel="1">
      <c r="A3593" s="395"/>
      <c r="B3593" s="24"/>
      <c r="C3593" s="95"/>
      <c r="D3593" s="95"/>
      <c r="E3593" s="95"/>
      <c r="F3593" s="95"/>
      <c r="G3593" s="95"/>
      <c r="H3593" s="95"/>
      <c r="I3593" s="95"/>
      <c r="J3593" s="95"/>
      <c r="K3593" s="95"/>
      <c r="L3593" s="95"/>
      <c r="M3593" s="95"/>
      <c r="N3593" s="95"/>
      <c r="O3593" s="95"/>
      <c r="P3593" s="95"/>
      <c r="Q3593" s="95"/>
      <c r="R3593" s="95"/>
      <c r="S3593" s="95"/>
      <c r="T3593" s="95"/>
      <c r="U3593" s="95"/>
      <c r="V3593" s="95"/>
      <c r="W3593" s="95"/>
      <c r="X3593" s="95"/>
      <c r="Y3593" s="95"/>
      <c r="Z3593" s="95"/>
      <c r="AA3593" s="95"/>
      <c r="AB3593" s="95"/>
      <c r="AC3593" s="95"/>
      <c r="AD3593" s="95"/>
      <c r="AE3593" s="95"/>
      <c r="AF3593" s="95"/>
      <c r="AG3593" s="95"/>
      <c r="AH3593" s="95"/>
      <c r="AI3593" s="95"/>
      <c r="AJ3593" s="95"/>
      <c r="AK3593" s="95"/>
      <c r="AL3593" s="95"/>
      <c r="AM3593" s="95"/>
      <c r="AN3593" s="95"/>
      <c r="AO3593" s="95"/>
      <c r="AP3593" s="95"/>
      <c r="AQ3593" s="95"/>
      <c r="AR3593" s="95"/>
      <c r="AS3593" s="95"/>
      <c r="AT3593" s="95"/>
      <c r="AU3593" s="95"/>
      <c r="AV3593" s="95"/>
      <c r="AW3593" s="95"/>
      <c r="AX3593" s="95"/>
      <c r="AY3593" s="95"/>
      <c r="AZ3593" s="95"/>
      <c r="BA3593" s="95"/>
    </row>
    <row r="3594" ht="15.75" hidden="1" customHeight="1" outlineLevel="1">
      <c r="A3594" s="395"/>
      <c r="B3594" s="24"/>
      <c r="C3594" s="95"/>
      <c r="D3594" s="95"/>
      <c r="E3594" s="95"/>
      <c r="F3594" s="95"/>
      <c r="G3594" s="95"/>
      <c r="H3594" s="95"/>
      <c r="I3594" s="95"/>
      <c r="J3594" s="95"/>
      <c r="K3594" s="95"/>
      <c r="L3594" s="95"/>
      <c r="M3594" s="95"/>
      <c r="N3594" s="95"/>
      <c r="O3594" s="95"/>
      <c r="P3594" s="95"/>
      <c r="Q3594" s="95"/>
      <c r="R3594" s="95"/>
      <c r="S3594" s="95"/>
      <c r="T3594" s="95"/>
      <c r="U3594" s="95"/>
      <c r="V3594" s="95"/>
      <c r="W3594" s="95"/>
      <c r="X3594" s="95"/>
      <c r="Y3594" s="95"/>
      <c r="Z3594" s="95"/>
      <c r="AA3594" s="95"/>
      <c r="AB3594" s="95"/>
      <c r="AC3594" s="95"/>
      <c r="AD3594" s="95"/>
      <c r="AE3594" s="95"/>
      <c r="AF3594" s="95"/>
      <c r="AG3594" s="95"/>
      <c r="AH3594" s="95"/>
      <c r="AI3594" s="95"/>
      <c r="AJ3594" s="95"/>
      <c r="AK3594" s="95"/>
      <c r="AL3594" s="95"/>
      <c r="AM3594" s="95"/>
      <c r="AN3594" s="95"/>
      <c r="AO3594" s="95"/>
      <c r="AP3594" s="95"/>
      <c r="AQ3594" s="95"/>
      <c r="AR3594" s="95"/>
      <c r="AS3594" s="95"/>
      <c r="AT3594" s="95"/>
      <c r="AU3594" s="95"/>
      <c r="AV3594" s="95"/>
      <c r="AW3594" s="95"/>
      <c r="AX3594" s="95"/>
      <c r="AY3594" s="95"/>
      <c r="AZ3594" s="95"/>
      <c r="BA3594" s="95"/>
    </row>
    <row r="3595" ht="15.75" hidden="1" customHeight="1" outlineLevel="1">
      <c r="A3595" s="395"/>
      <c r="B3595" s="24"/>
      <c r="C3595" s="95"/>
      <c r="D3595" s="95"/>
      <c r="E3595" s="95"/>
      <c r="F3595" s="95"/>
      <c r="G3595" s="95"/>
      <c r="H3595" s="95"/>
      <c r="I3595" s="95"/>
      <c r="J3595" s="95"/>
      <c r="K3595" s="95"/>
      <c r="L3595" s="95"/>
      <c r="M3595" s="95"/>
      <c r="N3595" s="95"/>
      <c r="O3595" s="95"/>
      <c r="P3595" s="95"/>
      <c r="Q3595" s="95"/>
      <c r="R3595" s="95"/>
      <c r="S3595" s="95"/>
      <c r="T3595" s="95"/>
      <c r="U3595" s="95"/>
      <c r="V3595" s="95"/>
      <c r="W3595" s="95"/>
      <c r="X3595" s="95"/>
      <c r="Y3595" s="95"/>
      <c r="Z3595" s="95"/>
      <c r="AA3595" s="95"/>
      <c r="AB3595" s="95"/>
      <c r="AC3595" s="95"/>
      <c r="AD3595" s="95"/>
      <c r="AE3595" s="95"/>
      <c r="AF3595" s="95"/>
      <c r="AG3595" s="95"/>
      <c r="AH3595" s="95"/>
      <c r="AI3595" s="95"/>
      <c r="AJ3595" s="95"/>
      <c r="AK3595" s="95"/>
      <c r="AL3595" s="95"/>
      <c r="AM3595" s="95"/>
      <c r="AN3595" s="95"/>
      <c r="AO3595" s="95"/>
      <c r="AP3595" s="95"/>
      <c r="AQ3595" s="95"/>
      <c r="AR3595" s="95"/>
      <c r="AS3595" s="95"/>
      <c r="AT3595" s="95"/>
      <c r="AU3595" s="95"/>
      <c r="AV3595" s="95"/>
      <c r="AW3595" s="95"/>
      <c r="AX3595" s="95"/>
      <c r="AY3595" s="95"/>
      <c r="AZ3595" s="95"/>
      <c r="BA3595" s="95"/>
    </row>
    <row r="3596" ht="15.75" hidden="1" customHeight="1" outlineLevel="1">
      <c r="A3596" s="395"/>
      <c r="B3596" s="24"/>
      <c r="C3596" s="95"/>
      <c r="D3596" s="95"/>
      <c r="E3596" s="95"/>
      <c r="F3596" s="95"/>
      <c r="G3596" s="95"/>
      <c r="H3596" s="95"/>
      <c r="I3596" s="95"/>
      <c r="J3596" s="95"/>
      <c r="K3596" s="95"/>
      <c r="L3596" s="95"/>
      <c r="M3596" s="95"/>
      <c r="N3596" s="95"/>
      <c r="O3596" s="95"/>
      <c r="P3596" s="95"/>
      <c r="Q3596" s="95"/>
      <c r="R3596" s="95"/>
      <c r="S3596" s="95"/>
      <c r="T3596" s="95"/>
      <c r="U3596" s="95"/>
      <c r="V3596" s="95"/>
      <c r="W3596" s="95"/>
      <c r="X3596" s="95"/>
      <c r="Y3596" s="95"/>
      <c r="Z3596" s="95"/>
      <c r="AA3596" s="95"/>
      <c r="AB3596" s="95"/>
      <c r="AC3596" s="95"/>
      <c r="AD3596" s="95"/>
      <c r="AE3596" s="95"/>
      <c r="AF3596" s="95"/>
      <c r="AG3596" s="95"/>
      <c r="AH3596" s="95"/>
      <c r="AI3596" s="95"/>
      <c r="AJ3596" s="95"/>
      <c r="AK3596" s="95"/>
      <c r="AL3596" s="95"/>
      <c r="AM3596" s="95"/>
      <c r="AN3596" s="95"/>
      <c r="AO3596" s="95"/>
      <c r="AP3596" s="95"/>
      <c r="AQ3596" s="95"/>
      <c r="AR3596" s="95"/>
      <c r="AS3596" s="95"/>
      <c r="AT3596" s="95"/>
      <c r="AU3596" s="95"/>
      <c r="AV3596" s="95"/>
      <c r="AW3596" s="95"/>
      <c r="AX3596" s="95"/>
      <c r="AY3596" s="95"/>
      <c r="AZ3596" s="95"/>
      <c r="BA3596" s="95"/>
    </row>
    <row r="3597" ht="15.75" hidden="1" customHeight="1" outlineLevel="1">
      <c r="A3597" s="395"/>
      <c r="B3597" s="24"/>
      <c r="C3597" s="95"/>
      <c r="D3597" s="95"/>
      <c r="E3597" s="95"/>
      <c r="F3597" s="95"/>
      <c r="G3597" s="95"/>
      <c r="H3597" s="95"/>
      <c r="I3597" s="95"/>
      <c r="J3597" s="95"/>
      <c r="K3597" s="95"/>
      <c r="L3597" s="95"/>
      <c r="M3597" s="95"/>
      <c r="N3597" s="95"/>
      <c r="O3597" s="95"/>
      <c r="P3597" s="95"/>
      <c r="Q3597" s="95"/>
      <c r="R3597" s="95"/>
      <c r="S3597" s="95"/>
      <c r="T3597" s="95"/>
      <c r="U3597" s="95"/>
      <c r="V3597" s="95"/>
      <c r="W3597" s="95"/>
      <c r="X3597" s="95"/>
      <c r="Y3597" s="95"/>
      <c r="Z3597" s="95"/>
      <c r="AA3597" s="95"/>
      <c r="AB3597" s="95"/>
      <c r="AC3597" s="95"/>
      <c r="AD3597" s="95"/>
      <c r="AE3597" s="95"/>
      <c r="AF3597" s="95"/>
      <c r="AG3597" s="95"/>
      <c r="AH3597" s="95"/>
      <c r="AI3597" s="95"/>
      <c r="AJ3597" s="95"/>
      <c r="AK3597" s="95"/>
      <c r="AL3597" s="95"/>
      <c r="AM3597" s="95"/>
      <c r="AN3597" s="95"/>
      <c r="AO3597" s="95"/>
      <c r="AP3597" s="95"/>
      <c r="AQ3597" s="95"/>
      <c r="AR3597" s="95"/>
      <c r="AS3597" s="95"/>
      <c r="AT3597" s="95"/>
      <c r="AU3597" s="95"/>
      <c r="AV3597" s="95"/>
      <c r="AW3597" s="95"/>
      <c r="AX3597" s="95"/>
      <c r="AY3597" s="95"/>
      <c r="AZ3597" s="95"/>
      <c r="BA3597" s="95"/>
    </row>
    <row r="3598" ht="15.75" customHeight="1" collapsed="1">
      <c r="A3598" s="395" t="s">
        <v>52</v>
      </c>
      <c r="B3598" s="150" t="s">
        <v>351</v>
      </c>
      <c r="C3598" s="95">
        <f>'Assumptions (CSP)'!$V$5*Model!C3541</f>
        <v>0</v>
      </c>
      <c r="D3598" s="95">
        <f>'Assumptions (CSP)'!$V$5*Model!D3541</f>
        <v>0</v>
      </c>
      <c r="E3598" s="95">
        <f>'Assumptions (CSP)'!$V$5*Model!E3541</f>
        <v>0</v>
      </c>
      <c r="F3598" s="95">
        <f>'Assumptions (CSP)'!$V$5*Model!F3541</f>
        <v>0</v>
      </c>
      <c r="G3598" s="95">
        <f>'Assumptions (CSP)'!$V$5*Model!G3541</f>
        <v>0</v>
      </c>
      <c r="H3598" s="95">
        <f>'Assumptions (CSP)'!$V$5*Model!H3541</f>
        <v>0</v>
      </c>
      <c r="I3598" s="95">
        <f>'Assumptions (CSP)'!$V$5*Model!I3541</f>
        <v>0</v>
      </c>
      <c r="J3598" s="95">
        <f>'Assumptions (CSP)'!$V$5*Model!J3541</f>
        <v>0</v>
      </c>
      <c r="K3598" s="95">
        <f>'Assumptions (CSP)'!$V$5*Model!K3541</f>
        <v>0</v>
      </c>
      <c r="L3598" s="95">
        <f>'Assumptions (CSP)'!$V$5*Model!L3541</f>
        <v>0</v>
      </c>
      <c r="M3598" s="95">
        <f>'Assumptions (CSP)'!$V$5*Model!M3541</f>
        <v>0</v>
      </c>
      <c r="N3598" s="95">
        <f>'Assumptions (CSP)'!$V$5*Model!N3541</f>
        <v>0</v>
      </c>
      <c r="O3598" s="95">
        <f>'Assumptions (CSP)'!$V$5*Model!O3541</f>
        <v>0</v>
      </c>
      <c r="P3598" s="95">
        <f>'Assumptions (CSP)'!$V$5*Model!P3541</f>
        <v>0</v>
      </c>
      <c r="Q3598" s="95">
        <f>'Assumptions (CSP)'!$V$5*Model!Q3541</f>
        <v>0</v>
      </c>
      <c r="R3598" s="95">
        <f>'Assumptions (CSP)'!$V$5*Model!R3541</f>
        <v>0</v>
      </c>
      <c r="S3598" s="95">
        <f>'Assumptions (CSP)'!$V$5*Model!S3541</f>
        <v>0</v>
      </c>
      <c r="T3598" s="95">
        <f>'Assumptions (CSP)'!$V$5*Model!T3541</f>
        <v>0</v>
      </c>
      <c r="U3598" s="95">
        <f>'Assumptions (CSP)'!$V$5*Model!U3541</f>
        <v>0</v>
      </c>
      <c r="V3598" s="95">
        <f>'Assumptions (CSP)'!$V$5*Model!V3541</f>
        <v>0</v>
      </c>
      <c r="W3598" s="95">
        <f>'Assumptions (CSP)'!$V$5*Model!W3541</f>
        <v>0</v>
      </c>
      <c r="X3598" s="95">
        <f>'Assumptions (CSP)'!$V$5*Model!X3541</f>
        <v>0</v>
      </c>
      <c r="Y3598" s="95">
        <f>'Assumptions (CSP)'!$V$5*Model!Y3541</f>
        <v>0</v>
      </c>
      <c r="Z3598" s="95">
        <f>'Assumptions (CSP)'!$V$5*Model!Z3541</f>
        <v>0</v>
      </c>
      <c r="AA3598" s="95">
        <f>'Assumptions (CSP)'!$V$5*Model!AA3541</f>
        <v>0</v>
      </c>
      <c r="AB3598" s="95">
        <f>'Assumptions (CSP)'!$V$5*Model!AB3541</f>
        <v>0</v>
      </c>
      <c r="AC3598" s="95">
        <f>'Assumptions (CSP)'!$V$5*Model!AC3541</f>
        <v>0</v>
      </c>
      <c r="AD3598" s="95">
        <f>'Assumptions (CSP)'!$V$5*Model!AD3541</f>
        <v>0</v>
      </c>
      <c r="AE3598" s="95">
        <f>'Assumptions (CSP)'!$V$5*Model!AE3541</f>
        <v>0</v>
      </c>
      <c r="AF3598" s="95">
        <f>'Assumptions (CSP)'!$V$5*Model!AF3541</f>
        <v>0</v>
      </c>
      <c r="AG3598" s="95">
        <f>'Assumptions (CSP)'!$V$5*Model!AG3541</f>
        <v>0</v>
      </c>
      <c r="AH3598" s="95">
        <f>'Assumptions (CSP)'!$V$5*Model!AH3541</f>
        <v>0</v>
      </c>
      <c r="AI3598" s="95">
        <f>'Assumptions (CSP)'!$V$5*Model!AI3541</f>
        <v>0</v>
      </c>
      <c r="AJ3598" s="95">
        <f>'Assumptions (CSP)'!$V$5*Model!AJ3541</f>
        <v>0</v>
      </c>
      <c r="AK3598" s="95">
        <f>'Assumptions (CSP)'!$V$5*Model!AK3541</f>
        <v>0</v>
      </c>
      <c r="AL3598" s="95">
        <f>'Assumptions (CSP)'!$V$5*Model!AL3541</f>
        <v>0</v>
      </c>
      <c r="AM3598" s="95">
        <f>'Assumptions (CSP)'!$V$5*Model!AM3541</f>
        <v>0</v>
      </c>
      <c r="AN3598" s="95">
        <f>'Assumptions (CSP)'!$V$5*Model!AN3541</f>
        <v>0</v>
      </c>
      <c r="AO3598" s="95">
        <f>'Assumptions (CSP)'!$V$5*Model!AO3541</f>
        <v>0</v>
      </c>
      <c r="AP3598" s="95">
        <f>'Assumptions (CSP)'!$V$5*Model!AP3541</f>
        <v>0</v>
      </c>
      <c r="AQ3598" s="95">
        <f>'Assumptions (CSP)'!$V$5*Model!AQ3541</f>
        <v>0</v>
      </c>
      <c r="AR3598" s="95">
        <f>'Assumptions (CSP)'!$V$5*Model!AR3541</f>
        <v>0</v>
      </c>
      <c r="AS3598" s="95">
        <f>'Assumptions (CSP)'!$V$5*Model!AS3541</f>
        <v>0</v>
      </c>
      <c r="AT3598" s="95">
        <f>'Assumptions (CSP)'!$V$5*Model!AT3541</f>
        <v>0</v>
      </c>
      <c r="AU3598" s="95">
        <f>'Assumptions (CSP)'!$V$5*Model!AU3541</f>
        <v>0</v>
      </c>
      <c r="AV3598" s="95">
        <f>'Assumptions (CSP)'!$V$5*Model!AV3541</f>
        <v>0</v>
      </c>
      <c r="AW3598" s="95">
        <f>'Assumptions (CSP)'!$V$5*Model!AW3541</f>
        <v>0</v>
      </c>
      <c r="AX3598" s="95">
        <f>'Assumptions (CSP)'!$V$5*Model!AX3541</f>
        <v>0</v>
      </c>
      <c r="AY3598" s="95">
        <f>'Assumptions (CSP)'!$V$5*Model!AY3541</f>
        <v>0</v>
      </c>
      <c r="AZ3598" s="95">
        <f>'Assumptions (CSP)'!$V$5*Model!AZ3541</f>
        <v>0</v>
      </c>
      <c r="BA3598" s="95">
        <f>'Assumptions (CSP)'!$V$5*Model!BA3541</f>
        <v>0</v>
      </c>
    </row>
    <row r="3599" ht="15.75" customHeight="1">
      <c r="A3599" s="395" t="s">
        <v>54</v>
      </c>
      <c r="B3599" s="150" t="s">
        <v>351</v>
      </c>
      <c r="C3599" s="95">
        <f>'Assumptions (CSP)'!$V$6*Model!C3541</f>
        <v>0</v>
      </c>
      <c r="D3599" s="95">
        <f>'Assumptions (CSP)'!$V$6*Model!D3541</f>
        <v>0</v>
      </c>
      <c r="E3599" s="95">
        <f>'Assumptions (CSP)'!$V$6*Model!E3541</f>
        <v>0</v>
      </c>
      <c r="F3599" s="95">
        <f>'Assumptions (CSP)'!$V$6*Model!F3541</f>
        <v>0</v>
      </c>
      <c r="G3599" s="95">
        <f>'Assumptions (CSP)'!$V$6*Model!G3541</f>
        <v>0</v>
      </c>
      <c r="H3599" s="95">
        <f>'Assumptions (CSP)'!$V$6*Model!H3541</f>
        <v>0</v>
      </c>
      <c r="I3599" s="95">
        <f>'Assumptions (CSP)'!$V$6*Model!I3541</f>
        <v>0</v>
      </c>
      <c r="J3599" s="95">
        <f>'Assumptions (CSP)'!$V$6*Model!J3541</f>
        <v>0</v>
      </c>
      <c r="K3599" s="95">
        <f>'Assumptions (CSP)'!$V$6*Model!K3541</f>
        <v>0</v>
      </c>
      <c r="L3599" s="95">
        <f>'Assumptions (CSP)'!$V$6*Model!L3541</f>
        <v>0</v>
      </c>
      <c r="M3599" s="95">
        <f>'Assumptions (CSP)'!$V$6*Model!M3541</f>
        <v>0</v>
      </c>
      <c r="N3599" s="95">
        <f>'Assumptions (CSP)'!$V$6*Model!N3541</f>
        <v>0</v>
      </c>
      <c r="O3599" s="95">
        <f>'Assumptions (CSP)'!$V$6*Model!O3541</f>
        <v>0</v>
      </c>
      <c r="P3599" s="95">
        <f>'Assumptions (CSP)'!$V$6*Model!P3541</f>
        <v>0</v>
      </c>
      <c r="Q3599" s="95">
        <f>'Assumptions (CSP)'!$V$6*Model!Q3541</f>
        <v>0</v>
      </c>
      <c r="R3599" s="95">
        <f>'Assumptions (CSP)'!$V$6*Model!R3541</f>
        <v>0</v>
      </c>
      <c r="S3599" s="95">
        <f>'Assumptions (CSP)'!$V$6*Model!S3541</f>
        <v>0</v>
      </c>
      <c r="T3599" s="95">
        <f>'Assumptions (CSP)'!$V$6*Model!T3541</f>
        <v>0</v>
      </c>
      <c r="U3599" s="95">
        <f>'Assumptions (CSP)'!$V$6*Model!U3541</f>
        <v>0</v>
      </c>
      <c r="V3599" s="95">
        <f>'Assumptions (CSP)'!$V$6*Model!V3541</f>
        <v>0</v>
      </c>
      <c r="W3599" s="95">
        <f>'Assumptions (CSP)'!$V$6*Model!W3541</f>
        <v>0</v>
      </c>
      <c r="X3599" s="95">
        <f>'Assumptions (CSP)'!$V$6*Model!X3541</f>
        <v>0</v>
      </c>
      <c r="Y3599" s="95">
        <f>'Assumptions (CSP)'!$V$6*Model!Y3541</f>
        <v>0</v>
      </c>
      <c r="Z3599" s="95">
        <f>'Assumptions (CSP)'!$V$6*Model!Z3541</f>
        <v>0</v>
      </c>
      <c r="AA3599" s="95">
        <f>'Assumptions (CSP)'!$V$6*Model!AA3541</f>
        <v>0</v>
      </c>
      <c r="AB3599" s="95">
        <f>'Assumptions (CSP)'!$V$6*Model!AB3541</f>
        <v>0</v>
      </c>
      <c r="AC3599" s="95">
        <f>'Assumptions (CSP)'!$V$6*Model!AC3541</f>
        <v>0</v>
      </c>
      <c r="AD3599" s="95">
        <f>'Assumptions (CSP)'!$V$6*Model!AD3541</f>
        <v>0</v>
      </c>
      <c r="AE3599" s="95">
        <f>'Assumptions (CSP)'!$V$6*Model!AE3541</f>
        <v>0</v>
      </c>
      <c r="AF3599" s="95">
        <f>'Assumptions (CSP)'!$V$6*Model!AF3541</f>
        <v>0</v>
      </c>
      <c r="AG3599" s="95">
        <f>'Assumptions (CSP)'!$V$6*Model!AG3541</f>
        <v>0</v>
      </c>
      <c r="AH3599" s="95">
        <f>'Assumptions (CSP)'!$V$6*Model!AH3541</f>
        <v>0</v>
      </c>
      <c r="AI3599" s="95">
        <f>'Assumptions (CSP)'!$V$6*Model!AI3541</f>
        <v>0</v>
      </c>
      <c r="AJ3599" s="95">
        <f>'Assumptions (CSP)'!$V$6*Model!AJ3541</f>
        <v>0</v>
      </c>
      <c r="AK3599" s="95">
        <f>'Assumptions (CSP)'!$V$6*Model!AK3541</f>
        <v>0</v>
      </c>
      <c r="AL3599" s="95">
        <f>'Assumptions (CSP)'!$V$6*Model!AL3541</f>
        <v>0</v>
      </c>
      <c r="AM3599" s="95">
        <f>'Assumptions (CSP)'!$V$6*Model!AM3541</f>
        <v>0</v>
      </c>
      <c r="AN3599" s="95">
        <f>'Assumptions (CSP)'!$V$6*Model!AN3541</f>
        <v>0</v>
      </c>
      <c r="AO3599" s="95">
        <f>'Assumptions (CSP)'!$V$6*Model!AO3541</f>
        <v>0</v>
      </c>
      <c r="AP3599" s="95">
        <f>'Assumptions (CSP)'!$V$6*Model!AP3541</f>
        <v>0</v>
      </c>
      <c r="AQ3599" s="95">
        <f>'Assumptions (CSP)'!$V$6*Model!AQ3541</f>
        <v>0</v>
      </c>
      <c r="AR3599" s="95">
        <f>'Assumptions (CSP)'!$V$6*Model!AR3541</f>
        <v>0</v>
      </c>
      <c r="AS3599" s="95">
        <f>'Assumptions (CSP)'!$V$6*Model!AS3541</f>
        <v>0</v>
      </c>
      <c r="AT3599" s="95">
        <f>'Assumptions (CSP)'!$V$6*Model!AT3541</f>
        <v>0</v>
      </c>
      <c r="AU3599" s="95">
        <f>'Assumptions (CSP)'!$V$6*Model!AU3541</f>
        <v>0</v>
      </c>
      <c r="AV3599" s="95">
        <f>'Assumptions (CSP)'!$V$6*Model!AV3541</f>
        <v>0</v>
      </c>
      <c r="AW3599" s="95">
        <f>'Assumptions (CSP)'!$V$6*Model!AW3541</f>
        <v>0</v>
      </c>
      <c r="AX3599" s="95">
        <f>'Assumptions (CSP)'!$V$6*Model!AX3541</f>
        <v>0</v>
      </c>
      <c r="AY3599" s="95">
        <f>'Assumptions (CSP)'!$V$6*Model!AY3541</f>
        <v>0</v>
      </c>
      <c r="AZ3599" s="95">
        <f>'Assumptions (CSP)'!$V$6*Model!AZ3541</f>
        <v>0</v>
      </c>
      <c r="BA3599" s="95">
        <f>'Assumptions (CSP)'!$V$6*Model!BA3541</f>
        <v>0</v>
      </c>
    </row>
    <row r="3600" ht="15.75" customHeight="1">
      <c r="A3600" s="395" t="s">
        <v>359</v>
      </c>
      <c r="B3600" s="150" t="s">
        <v>351</v>
      </c>
      <c r="C3600" s="95">
        <f t="array" ref="C3600">SUM(IF(ISERROR(C3601:C3651),"",C3601:C3651))</f>
        <v>0</v>
      </c>
      <c r="D3600" s="95">
        <f t="array" ref="D3600">SUM(IF(ISERROR(D3601:D3651),"",D3601:D3651))</f>
        <v>0</v>
      </c>
      <c r="E3600" s="95">
        <f t="array" ref="E3600">SUM(IF(ISERROR(E3601:E3651),"",E3601:E3651))</f>
        <v>0</v>
      </c>
      <c r="F3600" s="95">
        <f t="array" ref="F3600">SUM(IF(ISERROR(F3601:F3651),"",F3601:F3651))</f>
        <v>0</v>
      </c>
      <c r="G3600" s="95">
        <f t="array" ref="G3600">SUM(IF(ISERROR(G3601:G3651),"",G3601:G3651))</f>
        <v>0</v>
      </c>
      <c r="H3600" s="95">
        <f t="array" ref="H3600">SUM(IF(ISERROR(H3601:H3651),"",H3601:H3651))</f>
        <v>0</v>
      </c>
      <c r="I3600" s="95">
        <f t="array" ref="I3600">SUM(IF(ISERROR(I3601:I3651),"",I3601:I3651))</f>
        <v>0</v>
      </c>
      <c r="J3600" s="95">
        <f t="array" ref="J3600">SUM(IF(ISERROR(J3601:J3651),"",J3601:J3651))</f>
        <v>0</v>
      </c>
      <c r="K3600" s="95">
        <f t="array" ref="K3600">SUM(IF(ISERROR(K3601:K3651),"",K3601:K3651))</f>
        <v>0</v>
      </c>
      <c r="L3600" s="95">
        <f t="array" ref="L3600">SUM(IF(ISERROR(L3601:L3651),"",L3601:L3651))</f>
        <v>0</v>
      </c>
      <c r="M3600" s="95">
        <f t="array" ref="M3600">SUM(IF(ISERROR(M3601:M3651),"",M3601:M3651))</f>
        <v>0</v>
      </c>
      <c r="N3600" s="95">
        <f t="array" ref="N3600">SUM(IF(ISERROR(N3601:N3651),"",N3601:N3651))</f>
        <v>0</v>
      </c>
      <c r="O3600" s="95">
        <f t="array" ref="O3600">SUM(IF(ISERROR(O3601:O3651),"",O3601:O3651))</f>
        <v>0</v>
      </c>
      <c r="P3600" s="95">
        <f t="array" ref="P3600">SUM(IF(ISERROR(P3601:P3651),"",P3601:P3651))</f>
        <v>0</v>
      </c>
      <c r="Q3600" s="95">
        <f t="array" ref="Q3600">SUM(IF(ISERROR(Q3601:Q3651),"",Q3601:Q3651))</f>
        <v>0</v>
      </c>
      <c r="R3600" s="95">
        <f t="array" ref="R3600">SUM(IF(ISERROR(R3601:R3651),"",R3601:R3651))</f>
        <v>0</v>
      </c>
      <c r="S3600" s="95">
        <f t="array" ref="S3600">SUM(IF(ISERROR(S3601:S3651),"",S3601:S3651))</f>
        <v>0</v>
      </c>
      <c r="T3600" s="95">
        <f t="array" ref="T3600">SUM(IF(ISERROR(T3601:T3651),"",T3601:T3651))</f>
        <v>0</v>
      </c>
      <c r="U3600" s="95">
        <f t="array" ref="U3600">SUM(IF(ISERROR(U3601:U3651),"",U3601:U3651))</f>
        <v>0</v>
      </c>
      <c r="V3600" s="95">
        <f t="array" ref="V3600">SUM(IF(ISERROR(V3601:V3651),"",V3601:V3651))</f>
        <v>0</v>
      </c>
      <c r="W3600" s="95">
        <f t="array" ref="W3600">SUM(IF(ISERROR(W3601:W3651),"",W3601:W3651))</f>
        <v>0</v>
      </c>
      <c r="X3600" s="95">
        <f t="array" ref="X3600">SUM(IF(ISERROR(X3601:X3651),"",X3601:X3651))</f>
        <v>0</v>
      </c>
      <c r="Y3600" s="95">
        <f t="array" ref="Y3600">SUM(IF(ISERROR(Y3601:Y3651),"",Y3601:Y3651))</f>
        <v>0</v>
      </c>
      <c r="Z3600" s="95">
        <f t="array" ref="Z3600">SUM(IF(ISERROR(Z3601:Z3651),"",Z3601:Z3651))</f>
        <v>0</v>
      </c>
      <c r="AA3600" s="95">
        <f t="array" ref="AA3600">SUM(IF(ISERROR(AA3601:AA3651),"",AA3601:AA3651))</f>
        <v>0</v>
      </c>
      <c r="AB3600" s="95">
        <f t="array" ref="AB3600">SUM(IF(ISERROR(AB3601:AB3651),"",AB3601:AB3651))</f>
        <v>0</v>
      </c>
      <c r="AC3600" s="95">
        <f t="array" ref="AC3600">SUM(IF(ISERROR(AC3601:AC3651),"",AC3601:AC3651))</f>
        <v>0</v>
      </c>
      <c r="AD3600" s="95">
        <f t="array" ref="AD3600">SUM(IF(ISERROR(AD3601:AD3651),"",AD3601:AD3651))</f>
        <v>0</v>
      </c>
      <c r="AE3600" s="95">
        <f t="array" ref="AE3600">SUM(IF(ISERROR(AE3601:AE3651),"",AE3601:AE3651))</f>
        <v>0</v>
      </c>
      <c r="AF3600" s="95">
        <f t="array" ref="AF3600">SUM(IF(ISERROR(AF3601:AF3651),"",AF3601:AF3651))</f>
        <v>0</v>
      </c>
      <c r="AG3600" s="95">
        <f t="array" ref="AG3600">SUM(IF(ISERROR(AG3601:AG3651),"",AG3601:AG3651))</f>
        <v>0</v>
      </c>
      <c r="AH3600" s="95">
        <f t="array" ref="AH3600">SUM(IF(ISERROR(AH3601:AH3651),"",AH3601:AH3651))</f>
        <v>0</v>
      </c>
      <c r="AI3600" s="95">
        <f t="array" ref="AI3600">SUM(IF(ISERROR(AI3601:AI3651),"",AI3601:AI3651))</f>
        <v>0</v>
      </c>
      <c r="AJ3600" s="95">
        <f t="array" ref="AJ3600">SUM(IF(ISERROR(AJ3601:AJ3651),"",AJ3601:AJ3651))</f>
        <v>0</v>
      </c>
      <c r="AK3600" s="95">
        <f t="array" ref="AK3600">SUM(IF(ISERROR(AK3601:AK3651),"",AK3601:AK3651))</f>
        <v>0</v>
      </c>
      <c r="AL3600" s="95">
        <f t="array" ref="AL3600">SUM(IF(ISERROR(AL3601:AL3651),"",AL3601:AL3651))</f>
        <v>0</v>
      </c>
      <c r="AM3600" s="95">
        <f t="array" ref="AM3600">SUM(IF(ISERROR(AM3601:AM3651),"",AM3601:AM3651))</f>
        <v>0</v>
      </c>
      <c r="AN3600" s="95">
        <f t="array" ref="AN3600">SUM(IF(ISERROR(AN3601:AN3651),"",AN3601:AN3651))</f>
        <v>0</v>
      </c>
      <c r="AO3600" s="95">
        <f t="array" ref="AO3600">SUM(IF(ISERROR(AO3601:AO3651),"",AO3601:AO3651))</f>
        <v>0</v>
      </c>
      <c r="AP3600" s="95">
        <f t="array" ref="AP3600">SUM(IF(ISERROR(AP3601:AP3651),"",AP3601:AP3651))</f>
        <v>0</v>
      </c>
      <c r="AQ3600" s="95">
        <f t="array" ref="AQ3600">SUM(IF(ISERROR(AQ3601:AQ3651),"",AQ3601:AQ3651))</f>
        <v>0</v>
      </c>
      <c r="AR3600" s="95">
        <f t="array" ref="AR3600">SUM(IF(ISERROR(AR3601:AR3651),"",AR3601:AR3651))</f>
        <v>0</v>
      </c>
      <c r="AS3600" s="95">
        <f t="array" ref="AS3600">SUM(IF(ISERROR(AS3601:AS3651),"",AS3601:AS3651))</f>
        <v>0</v>
      </c>
      <c r="AT3600" s="95">
        <f t="array" ref="AT3600">SUM(IF(ISERROR(AT3601:AT3651),"",AT3601:AT3651))</f>
        <v>0</v>
      </c>
      <c r="AU3600" s="95">
        <f t="array" ref="AU3600">SUM(IF(ISERROR(AU3601:AU3651),"",AU3601:AU3651))</f>
        <v>0</v>
      </c>
      <c r="AV3600" s="95">
        <f t="array" ref="AV3600">SUM(IF(ISERROR(AV3601:AV3651),"",AV3601:AV3651))</f>
        <v>0</v>
      </c>
      <c r="AW3600" s="95">
        <f t="array" ref="AW3600">SUM(IF(ISERROR(AW3601:AW3651),"",AW3601:AW3651))</f>
        <v>0</v>
      </c>
      <c r="AX3600" s="95">
        <f t="array" ref="AX3600">SUM(IF(ISERROR(AX3601:AX3651),"",AX3601:AX3651))</f>
        <v>0</v>
      </c>
      <c r="AY3600" s="95">
        <f t="array" ref="AY3600">SUM(IF(ISERROR(AY3601:AY3651),"",AY3601:AY3651))</f>
        <v>0</v>
      </c>
      <c r="AZ3600" s="95">
        <f t="array" ref="AZ3600">SUM(IF(ISERROR(AZ3601:AZ3651),"",AZ3601:AZ3651))</f>
        <v>0</v>
      </c>
      <c r="BA3600" s="95">
        <f t="array" ref="BA3600">SUM(IF(ISERROR(BA3601:BA3651),"",BA3601:BA3651))</f>
        <v>0</v>
      </c>
    </row>
    <row r="3601" ht="15.75" hidden="1" customHeight="1">
      <c r="A3601" s="395"/>
      <c r="B3601" s="24"/>
      <c r="C3601" s="95">
        <f>IF($C$3539&gt;0,PPMT('Assumptions (CSP)'!$V$7,Model!W$1,'Assumptions (CSP)'!$V$10,'Assumptions (CSP)'!$V$5*Model!$C$3539*'Assumptions (CSP)'!$B$2/10^9),0)</f>
        <v>0</v>
      </c>
      <c r="D3601" s="95">
        <f>IF($C$3539&gt;0,PPMT('Assumptions (CSP)'!$V$7,Model!X$1,'Assumptions (CSP)'!$V$10,'Assumptions (CSP)'!$V$5*Model!$C$3539*'Assumptions (CSP)'!$B$2/10^9),0)</f>
        <v>0</v>
      </c>
      <c r="E3601" s="95">
        <f>IF($C$3539&gt;0,PPMT('Assumptions (CSP)'!$V$7,Model!Y$1,'Assumptions (CSP)'!$V$10,'Assumptions (CSP)'!$V$5*Model!$C$3539*'Assumptions (CSP)'!$B$2/10^9),0)</f>
        <v>0</v>
      </c>
      <c r="F3601" s="95">
        <f>IF($C$3539&gt;0,PPMT('Assumptions (CSP)'!$V$7,Model!Z$1,'Assumptions (CSP)'!$V$10,'Assumptions (CSP)'!$V$5*Model!$C$3539*'Assumptions (CSP)'!$B$2/10^9),0)</f>
        <v>0</v>
      </c>
      <c r="G3601" s="95">
        <f>IF($C$3539&gt;0,PPMT('Assumptions (CSP)'!$V$7,Model!AA$1,'Assumptions (CSP)'!$V$10,'Assumptions (CSP)'!$V$5*Model!$C$3539*'Assumptions (CSP)'!$B$2/10^9),0)</f>
        <v>0</v>
      </c>
      <c r="H3601" s="95">
        <f>IF($C$3539&gt;0,PPMT('Assumptions (CSP)'!$V$7,Model!AB$1,'Assumptions (CSP)'!$V$10,'Assumptions (CSP)'!$V$5*Model!$C$3539*'Assumptions (CSP)'!$B$2/10^9),0)</f>
        <v>0</v>
      </c>
      <c r="I3601" s="95">
        <f>IF($C$3539&gt;0,PPMT('Assumptions (CSP)'!$V$7,Model!AC$1,'Assumptions (CSP)'!$V$10,'Assumptions (CSP)'!$V$5*Model!$C$3539*'Assumptions (CSP)'!$B$2/10^9),0)</f>
        <v>0</v>
      </c>
      <c r="J3601" s="95">
        <f>IF($C$3539&gt;0,PPMT('Assumptions (CSP)'!$V$7,Model!AD$1,'Assumptions (CSP)'!$V$10,'Assumptions (CSP)'!$V$5*Model!$C$3539*'Assumptions (CSP)'!$B$2/10^9),0)</f>
        <v>0</v>
      </c>
      <c r="K3601" s="95">
        <f>IF($C$3539&gt;0,PPMT('Assumptions (CSP)'!$V$7,Model!AE$1,'Assumptions (CSP)'!$V$10,'Assumptions (CSP)'!$V$5*Model!$C$3539*'Assumptions (CSP)'!$B$2/10^9),0)</f>
        <v>0</v>
      </c>
      <c r="L3601" s="95">
        <f>IF($C$3539&gt;0,PPMT('Assumptions (CSP)'!$V$7,Model!AF$1,'Assumptions (CSP)'!$V$10,'Assumptions (CSP)'!$V$5*Model!$C$3539*'Assumptions (CSP)'!$B$2/10^9),0)</f>
        <v>0</v>
      </c>
      <c r="M3601" s="95">
        <f>IF($C$3539&gt;0,PPMT('Assumptions (CSP)'!$V$7,Model!AG$1,'Assumptions (CSP)'!$V$10,'Assumptions (CSP)'!$V$5*Model!$C$3539*'Assumptions (CSP)'!$B$2/10^9),0)</f>
        <v>0</v>
      </c>
      <c r="N3601" s="95">
        <f>IF($C$3539&gt;0,PPMT('Assumptions (CSP)'!$V$7,Model!AH$1,'Assumptions (CSP)'!$V$10,'Assumptions (CSP)'!$V$5*Model!$C$3539*'Assumptions (CSP)'!$B$2/10^9),0)</f>
        <v>0</v>
      </c>
      <c r="O3601" s="95">
        <f>IF($C$3539&gt;0,PPMT('Assumptions (CSP)'!$V$7,Model!AI$1,'Assumptions (CSP)'!$V$10,'Assumptions (CSP)'!$V$5*Model!$C$3539*'Assumptions (CSP)'!$B$2/10^9),0)</f>
        <v>0</v>
      </c>
      <c r="P3601" s="95">
        <f>IF($C$3539&gt;0,PPMT('Assumptions (CSP)'!$V$7,Model!AJ$1,'Assumptions (CSP)'!$V$10,'Assumptions (CSP)'!$V$5*Model!$C$3539*'Assumptions (CSP)'!$B$2/10^9),0)</f>
        <v>0</v>
      </c>
      <c r="Q3601" s="95">
        <f>IF($C$3539&gt;0,PPMT('Assumptions (CSP)'!$V$7,Model!AK$1,'Assumptions (CSP)'!$V$10,'Assumptions (CSP)'!$V$5*Model!$C$3539*'Assumptions (CSP)'!$B$2/10^9),0)</f>
        <v>0</v>
      </c>
      <c r="R3601" s="95"/>
      <c r="S3601" s="95"/>
      <c r="T3601" s="95"/>
      <c r="U3601" s="95"/>
      <c r="V3601" s="95"/>
      <c r="W3601" s="95"/>
      <c r="X3601" s="95"/>
      <c r="Y3601" s="95"/>
      <c r="Z3601" s="95"/>
      <c r="AA3601" s="95"/>
      <c r="AB3601" s="95"/>
      <c r="AC3601" s="95"/>
      <c r="AD3601" s="95"/>
      <c r="AE3601" s="95"/>
      <c r="AF3601" s="95"/>
      <c r="AG3601" s="95"/>
      <c r="AH3601" s="95"/>
      <c r="AI3601" s="95"/>
      <c r="AJ3601" s="95"/>
      <c r="AK3601" s="95"/>
      <c r="AL3601" s="95"/>
      <c r="AM3601" s="95"/>
      <c r="AN3601" s="95"/>
      <c r="AO3601" s="95"/>
      <c r="AP3601" s="95"/>
      <c r="AQ3601" s="95"/>
      <c r="AR3601" s="95"/>
      <c r="AS3601" s="95"/>
      <c r="AT3601" s="95"/>
      <c r="AU3601" s="95"/>
      <c r="AV3601" s="95"/>
      <c r="AW3601" s="95"/>
      <c r="AX3601" s="95"/>
      <c r="AY3601" s="95"/>
      <c r="AZ3601" s="95"/>
      <c r="BA3601" s="95"/>
    </row>
    <row r="3602" ht="15.75" hidden="1" customHeight="1">
      <c r="A3602" s="395"/>
      <c r="B3602" s="24"/>
      <c r="C3602" s="95"/>
      <c r="D3602" s="95">
        <f>IF($D$3539&gt;0,PPMT('Assumptions (CSP)'!$V$7,Model!W$1,'Assumptions (CSP)'!$V$10,'Assumptions (CSP)'!$V$5*Model!$D$3539*'Assumptions (CSP)'!$B$2/10^9),0)</f>
        <v>0</v>
      </c>
      <c r="E3602" s="95">
        <f>IF($D$3539&gt;0,PPMT('Assumptions (CSP)'!$V$7,Model!X$1,'Assumptions (CSP)'!$V$10,'Assumptions (CSP)'!$V$5*Model!$D$3539*'Assumptions (CSP)'!$B$2/10^9),0)</f>
        <v>0</v>
      </c>
      <c r="F3602" s="95">
        <f>IF($D$3539&gt;0,PPMT('Assumptions (CSP)'!$V$7,Model!Y$1,'Assumptions (CSP)'!$V$10,'Assumptions (CSP)'!$V$5*Model!$D$3539*'Assumptions (CSP)'!$B$2/10^9),0)</f>
        <v>0</v>
      </c>
      <c r="G3602" s="95">
        <f>IF($D$3539&gt;0,PPMT('Assumptions (CSP)'!$V$7,Model!Z$1,'Assumptions (CSP)'!$V$10,'Assumptions (CSP)'!$V$5*Model!$D$3539*'Assumptions (CSP)'!$B$2/10^9),0)</f>
        <v>0</v>
      </c>
      <c r="H3602" s="95">
        <f>IF($D$3539&gt;0,PPMT('Assumptions (CSP)'!$V$7,Model!AA$1,'Assumptions (CSP)'!$V$10,'Assumptions (CSP)'!$V$5*Model!$D$3539*'Assumptions (CSP)'!$B$2/10^9),0)</f>
        <v>0</v>
      </c>
      <c r="I3602" s="95">
        <f>IF($D$3539&gt;0,PPMT('Assumptions (CSP)'!$V$7,Model!AB$1,'Assumptions (CSP)'!$V$10,'Assumptions (CSP)'!$V$5*Model!$D$3539*'Assumptions (CSP)'!$B$2/10^9),0)</f>
        <v>0</v>
      </c>
      <c r="J3602" s="95">
        <f>IF($D$3539&gt;0,PPMT('Assumptions (CSP)'!$V$7,Model!AC$1,'Assumptions (CSP)'!$V$10,'Assumptions (CSP)'!$V$5*Model!$D$3539*'Assumptions (CSP)'!$B$2/10^9),0)</f>
        <v>0</v>
      </c>
      <c r="K3602" s="95">
        <f>IF($D$3539&gt;0,PPMT('Assumptions (CSP)'!$V$7,Model!AD$1,'Assumptions (CSP)'!$V$10,'Assumptions (CSP)'!$V$5*Model!$D$3539*'Assumptions (CSP)'!$B$2/10^9),0)</f>
        <v>0</v>
      </c>
      <c r="L3602" s="95">
        <f>IF($D$3539&gt;0,PPMT('Assumptions (CSP)'!$V$7,Model!AE$1,'Assumptions (CSP)'!$V$10,'Assumptions (CSP)'!$V$5*Model!$D$3539*'Assumptions (CSP)'!$B$2/10^9),0)</f>
        <v>0</v>
      </c>
      <c r="M3602" s="95">
        <f>IF($D$3539&gt;0,PPMT('Assumptions (CSP)'!$V$7,Model!AF$1,'Assumptions (CSP)'!$V$10,'Assumptions (CSP)'!$V$5*Model!$D$3539*'Assumptions (CSP)'!$B$2/10^9),0)</f>
        <v>0</v>
      </c>
      <c r="N3602" s="95">
        <f>IF($D$3539&gt;0,PPMT('Assumptions (CSP)'!$V$7,Model!AG$1,'Assumptions (CSP)'!$V$10,'Assumptions (CSP)'!$V$5*Model!$D$3539*'Assumptions (CSP)'!$B$2/10^9),0)</f>
        <v>0</v>
      </c>
      <c r="O3602" s="95">
        <f>IF($D$3539&gt;0,PPMT('Assumptions (CSP)'!$V$7,Model!AH$1,'Assumptions (CSP)'!$V$10,'Assumptions (CSP)'!$V$5*Model!$D$3539*'Assumptions (CSP)'!$B$2/10^9),0)</f>
        <v>0</v>
      </c>
      <c r="P3602" s="95">
        <f>IF($D$3539&gt;0,PPMT('Assumptions (CSP)'!$V$7,Model!AI$1,'Assumptions (CSP)'!$V$10,'Assumptions (CSP)'!$V$5*Model!$D$3539*'Assumptions (CSP)'!$B$2/10^9),0)</f>
        <v>0</v>
      </c>
      <c r="Q3602" s="95">
        <f>IF($D$3539&gt;0,PPMT('Assumptions (CSP)'!$V$7,Model!AJ$1,'Assumptions (CSP)'!$V$10,'Assumptions (CSP)'!$V$5*Model!$D$3539*'Assumptions (CSP)'!$B$2/10^9),0)</f>
        <v>0</v>
      </c>
      <c r="R3602" s="95">
        <f>IF($D$3539&gt;0,PPMT('Assumptions (CSP)'!$V$7,Model!AK$1,'Assumptions (CSP)'!$V$10,'Assumptions (CSP)'!$V$5*Model!$D$3539*'Assumptions (CSP)'!$B$2/10^9),0)</f>
        <v>0</v>
      </c>
      <c r="S3602" s="95"/>
      <c r="T3602" s="95"/>
      <c r="U3602" s="95"/>
      <c r="V3602" s="95"/>
      <c r="W3602" s="95"/>
      <c r="X3602" s="95"/>
      <c r="Y3602" s="95"/>
      <c r="Z3602" s="95"/>
      <c r="AA3602" s="95"/>
      <c r="AB3602" s="95"/>
      <c r="AC3602" s="95"/>
      <c r="AD3602" s="95"/>
      <c r="AE3602" s="95"/>
      <c r="AF3602" s="95"/>
      <c r="AG3602" s="95"/>
      <c r="AH3602" s="95"/>
      <c r="AI3602" s="95"/>
      <c r="AJ3602" s="95"/>
      <c r="AK3602" s="95"/>
      <c r="AL3602" s="95"/>
      <c r="AM3602" s="95"/>
      <c r="AN3602" s="95"/>
      <c r="AO3602" s="95"/>
      <c r="AP3602" s="95"/>
      <c r="AQ3602" s="95"/>
      <c r="AR3602" s="95"/>
      <c r="AS3602" s="95"/>
      <c r="AT3602" s="95"/>
      <c r="AU3602" s="95"/>
      <c r="AV3602" s="95"/>
      <c r="AW3602" s="95"/>
      <c r="AX3602" s="95"/>
      <c r="AY3602" s="95"/>
      <c r="AZ3602" s="95"/>
      <c r="BA3602" s="95"/>
    </row>
    <row r="3603" ht="15.75" hidden="1" customHeight="1">
      <c r="A3603" s="395"/>
      <c r="B3603" s="24"/>
      <c r="C3603" s="95"/>
      <c r="D3603" s="95"/>
      <c r="E3603" s="95">
        <f>IF($E$3539&gt;0,PPMT('Assumptions (CSP)'!$V$7,Model!W$1,'Assumptions (CSP)'!$V$10,'Assumptions (CSP)'!$V$5*Model!$E$3539*AVERAGE('Assumptions (CSP)'!$B$2:$C$2)/10^9),0)</f>
        <v>0</v>
      </c>
      <c r="F3603" s="95">
        <f>IF($E$3539&gt;0,PPMT('Assumptions (CSP)'!$V$7,Model!X$1,'Assumptions (CSP)'!$V$10,'Assumptions (CSP)'!$V$5*Model!$E$3539*AVERAGE('Assumptions (CSP)'!$B$2:$C$2)/10^9),0)</f>
        <v>0</v>
      </c>
      <c r="G3603" s="95">
        <f>IF($E$3539&gt;0,PPMT('Assumptions (CSP)'!$V$7,Model!Y$1,'Assumptions (CSP)'!$V$10,'Assumptions (CSP)'!$V$5*Model!$E$3539*AVERAGE('Assumptions (CSP)'!$B$2:$C$2)/10^9),0)</f>
        <v>0</v>
      </c>
      <c r="H3603" s="95">
        <f>IF($E$3539&gt;0,PPMT('Assumptions (CSP)'!$V$7,Model!Z$1,'Assumptions (CSP)'!$V$10,'Assumptions (CSP)'!$V$5*Model!$E$3539*AVERAGE('Assumptions (CSP)'!$B$2:$C$2)/10^9),0)</f>
        <v>0</v>
      </c>
      <c r="I3603" s="95">
        <f>IF($E$3539&gt;0,PPMT('Assumptions (CSP)'!$V$7,Model!AA$1,'Assumptions (CSP)'!$V$10,'Assumptions (CSP)'!$V$5*Model!$E$3539*AVERAGE('Assumptions (CSP)'!$B$2:$C$2)/10^9),0)</f>
        <v>0</v>
      </c>
      <c r="J3603" s="95">
        <f>IF($E$3539&gt;0,PPMT('Assumptions (CSP)'!$V$7,Model!AB$1,'Assumptions (CSP)'!$V$10,'Assumptions (CSP)'!$V$5*Model!$E$3539*AVERAGE('Assumptions (CSP)'!$B$2:$C$2)/10^9),0)</f>
        <v>0</v>
      </c>
      <c r="K3603" s="95">
        <f>IF($E$3539&gt;0,PPMT('Assumptions (CSP)'!$V$7,Model!AC$1,'Assumptions (CSP)'!$V$10,'Assumptions (CSP)'!$V$5*Model!$E$3539*AVERAGE('Assumptions (CSP)'!$B$2:$C$2)/10^9),0)</f>
        <v>0</v>
      </c>
      <c r="L3603" s="95">
        <f>IF($E$3539&gt;0,PPMT('Assumptions (CSP)'!$V$7,Model!AD$1,'Assumptions (CSP)'!$V$10,'Assumptions (CSP)'!$V$5*Model!$E$3539*AVERAGE('Assumptions (CSP)'!$B$2:$C$2)/10^9),0)</f>
        <v>0</v>
      </c>
      <c r="M3603" s="95">
        <f>IF($E$3539&gt;0,PPMT('Assumptions (CSP)'!$V$7,Model!AE$1,'Assumptions (CSP)'!$V$10,'Assumptions (CSP)'!$V$5*Model!$E$3539*AVERAGE('Assumptions (CSP)'!$B$2:$C$2)/10^9),0)</f>
        <v>0</v>
      </c>
      <c r="N3603" s="95">
        <f>IF($E$3539&gt;0,PPMT('Assumptions (CSP)'!$V$7,Model!AF$1,'Assumptions (CSP)'!$V$10,'Assumptions (CSP)'!$V$5*Model!$E$3539*AVERAGE('Assumptions (CSP)'!$B$2:$C$2)/10^9),0)</f>
        <v>0</v>
      </c>
      <c r="O3603" s="95">
        <f>IF($E$3539&gt;0,PPMT('Assumptions (CSP)'!$V$7,Model!AG$1,'Assumptions (CSP)'!$V$10,'Assumptions (CSP)'!$V$5*Model!$E$3539*AVERAGE('Assumptions (CSP)'!$B$2:$C$2)/10^9),0)</f>
        <v>0</v>
      </c>
      <c r="P3603" s="95">
        <f>IF($E$3539&gt;0,PPMT('Assumptions (CSP)'!$V$7,Model!AH$1,'Assumptions (CSP)'!$V$10,'Assumptions (CSP)'!$V$5*Model!$E$3539*AVERAGE('Assumptions (CSP)'!$B$2:$C$2)/10^9),0)</f>
        <v>0</v>
      </c>
      <c r="Q3603" s="95">
        <f>IF($E$3539&gt;0,PPMT('Assumptions (CSP)'!$V$7,Model!AI$1,'Assumptions (CSP)'!$V$10,'Assumptions (CSP)'!$V$5*Model!$E$3539*AVERAGE('Assumptions (CSP)'!$B$2:$C$2)/10^9),0)</f>
        <v>0</v>
      </c>
      <c r="R3603" s="95">
        <f>IF($E$3539&gt;0,PPMT('Assumptions (CSP)'!$V$7,Model!AJ$1,'Assumptions (CSP)'!$V$10,'Assumptions (CSP)'!$V$5*Model!$E$3539*AVERAGE('Assumptions (CSP)'!$B$2:$C$2)/10^9),0)</f>
        <v>0</v>
      </c>
      <c r="S3603" s="95">
        <f>IF($E$3539&gt;0,PPMT('Assumptions (CSP)'!$V$7,Model!AK$1,'Assumptions (CSP)'!$V$10,'Assumptions (CSP)'!$V$5*Model!$E$3539*AVERAGE('Assumptions (CSP)'!$B$2:$C$2)/10^9),0)</f>
        <v>0</v>
      </c>
      <c r="T3603" s="95"/>
      <c r="U3603" s="95"/>
      <c r="V3603" s="95"/>
      <c r="W3603" s="95"/>
      <c r="X3603" s="95"/>
      <c r="Y3603" s="95"/>
      <c r="Z3603" s="95"/>
      <c r="AA3603" s="95"/>
      <c r="AB3603" s="95"/>
      <c r="AC3603" s="95"/>
      <c r="AD3603" s="95"/>
      <c r="AE3603" s="95"/>
      <c r="AF3603" s="95"/>
      <c r="AG3603" s="95"/>
      <c r="AH3603" s="95"/>
      <c r="AI3603" s="95"/>
      <c r="AJ3603" s="95"/>
      <c r="AK3603" s="95"/>
      <c r="AL3603" s="95"/>
      <c r="AM3603" s="95"/>
      <c r="AN3603" s="95"/>
      <c r="AO3603" s="95"/>
      <c r="AP3603" s="95"/>
      <c r="AQ3603" s="95"/>
      <c r="AR3603" s="95"/>
      <c r="AS3603" s="95"/>
      <c r="AT3603" s="95"/>
      <c r="AU3603" s="95"/>
      <c r="AV3603" s="95"/>
      <c r="AW3603" s="95"/>
      <c r="AX3603" s="95"/>
      <c r="AY3603" s="95"/>
      <c r="AZ3603" s="95"/>
      <c r="BA3603" s="95"/>
    </row>
    <row r="3604" ht="15.75" hidden="1" customHeight="1">
      <c r="A3604" s="395"/>
      <c r="B3604" s="24"/>
      <c r="C3604" s="95"/>
      <c r="D3604" s="95"/>
      <c r="E3604" s="95"/>
      <c r="F3604" s="95">
        <f>IF($F$3539&gt;0,PPMT('Assumptions (CSP)'!$V$7,Model!W$1,'Assumptions (CSP)'!$V$10,'Assumptions (CSP)'!$V$5*Model!$F$3539*AVERAGE('Assumptions (CSP)'!$B$2:$D$2)/10^9),0)</f>
        <v>0</v>
      </c>
      <c r="G3604" s="95">
        <f>IF($F$3539&gt;0,PPMT('Assumptions (CSP)'!$V$7,Model!X$1,'Assumptions (CSP)'!$V$10,'Assumptions (CSP)'!$V$5*Model!$F$3539*AVERAGE('Assumptions (CSP)'!$B$2:$D$2)/10^9),0)</f>
        <v>0</v>
      </c>
      <c r="H3604" s="95">
        <f>IF($F$3539&gt;0,PPMT('Assumptions (CSP)'!$V$7,Model!Y$1,'Assumptions (CSP)'!$V$10,'Assumptions (CSP)'!$V$5*Model!$F$3539*AVERAGE('Assumptions (CSP)'!$B$2:$D$2)/10^9),0)</f>
        <v>0</v>
      </c>
      <c r="I3604" s="95">
        <f>IF($F$3539&gt;0,PPMT('Assumptions (CSP)'!$V$7,Model!Z$1,'Assumptions (CSP)'!$V$10,'Assumptions (CSP)'!$V$5*Model!$F$3539*AVERAGE('Assumptions (CSP)'!$B$2:$D$2)/10^9),0)</f>
        <v>0</v>
      </c>
      <c r="J3604" s="95">
        <f>IF($F$3539&gt;0,PPMT('Assumptions (CSP)'!$V$7,Model!AA$1,'Assumptions (CSP)'!$V$10,'Assumptions (CSP)'!$V$5*Model!$F$3539*AVERAGE('Assumptions (CSP)'!$B$2:$D$2)/10^9),0)</f>
        <v>0</v>
      </c>
      <c r="K3604" s="95">
        <f>IF($F$3539&gt;0,PPMT('Assumptions (CSP)'!$V$7,Model!AB$1,'Assumptions (CSP)'!$V$10,'Assumptions (CSP)'!$V$5*Model!$F$3539*AVERAGE('Assumptions (CSP)'!$B$2:$D$2)/10^9),0)</f>
        <v>0</v>
      </c>
      <c r="L3604" s="95">
        <f>IF($F$3539&gt;0,PPMT('Assumptions (CSP)'!$V$7,Model!AC$1,'Assumptions (CSP)'!$V$10,'Assumptions (CSP)'!$V$5*Model!$F$3539*AVERAGE('Assumptions (CSP)'!$B$2:$D$2)/10^9),0)</f>
        <v>0</v>
      </c>
      <c r="M3604" s="95">
        <f>IF($F$3539&gt;0,PPMT('Assumptions (CSP)'!$V$7,Model!AD$1,'Assumptions (CSP)'!$V$10,'Assumptions (CSP)'!$V$5*Model!$F$3539*AVERAGE('Assumptions (CSP)'!$B$2:$D$2)/10^9),0)</f>
        <v>0</v>
      </c>
      <c r="N3604" s="95">
        <f>IF($F$3539&gt;0,PPMT('Assumptions (CSP)'!$V$7,Model!AE$1,'Assumptions (CSP)'!$V$10,'Assumptions (CSP)'!$V$5*Model!$F$3539*AVERAGE('Assumptions (CSP)'!$B$2:$D$2)/10^9),0)</f>
        <v>0</v>
      </c>
      <c r="O3604" s="95">
        <f>IF($F$3539&gt;0,PPMT('Assumptions (CSP)'!$V$7,Model!AF$1,'Assumptions (CSP)'!$V$10,'Assumptions (CSP)'!$V$5*Model!$F$3539*AVERAGE('Assumptions (CSP)'!$B$2:$D$2)/10^9),0)</f>
        <v>0</v>
      </c>
      <c r="P3604" s="95">
        <f>IF($F$3539&gt;0,PPMT('Assumptions (CSP)'!$V$7,Model!AG$1,'Assumptions (CSP)'!$V$10,'Assumptions (CSP)'!$V$5*Model!$F$3539*AVERAGE('Assumptions (CSP)'!$B$2:$D$2)/10^9),0)</f>
        <v>0</v>
      </c>
      <c r="Q3604" s="95">
        <f>IF($F$3539&gt;0,PPMT('Assumptions (CSP)'!$V$7,Model!AH$1,'Assumptions (CSP)'!$V$10,'Assumptions (CSP)'!$V$5*Model!$F$3539*AVERAGE('Assumptions (CSP)'!$B$2:$D$2)/10^9),0)</f>
        <v>0</v>
      </c>
      <c r="R3604" s="95">
        <f>IF($F$3539&gt;0,PPMT('Assumptions (CSP)'!$V$7,Model!AI$1,'Assumptions (CSP)'!$V$10,'Assumptions (CSP)'!$V$5*Model!$F$3539*AVERAGE('Assumptions (CSP)'!$B$2:$D$2)/10^9),0)</f>
        <v>0</v>
      </c>
      <c r="S3604" s="95">
        <f>IF($F$3539&gt;0,PPMT('Assumptions (CSP)'!$V$7,Model!AJ$1,'Assumptions (CSP)'!$V$10,'Assumptions (CSP)'!$V$5*Model!$F$3539*AVERAGE('Assumptions (CSP)'!$B$2:$D$2)/10^9),0)</f>
        <v>0</v>
      </c>
      <c r="T3604" s="95">
        <f>IF($F$3539&gt;0,PPMT('Assumptions (CSP)'!$V$7,Model!AK$1,'Assumptions (CSP)'!$V$10,'Assumptions (CSP)'!$V$5*Model!$F$3539*AVERAGE('Assumptions (CSP)'!$B$2:$D$2)/10^9),0)</f>
        <v>0</v>
      </c>
      <c r="U3604" s="95"/>
      <c r="V3604" s="95"/>
      <c r="W3604" s="95"/>
      <c r="X3604" s="95"/>
      <c r="Y3604" s="95"/>
      <c r="Z3604" s="95"/>
      <c r="AA3604" s="95"/>
      <c r="AB3604" s="95"/>
      <c r="AC3604" s="95"/>
      <c r="AD3604" s="95"/>
      <c r="AE3604" s="95"/>
      <c r="AF3604" s="95"/>
      <c r="AG3604" s="95"/>
      <c r="AH3604" s="95"/>
      <c r="AI3604" s="95"/>
      <c r="AJ3604" s="95"/>
      <c r="AK3604" s="95"/>
      <c r="AL3604" s="95"/>
      <c r="AM3604" s="95"/>
      <c r="AN3604" s="95"/>
      <c r="AO3604" s="95"/>
      <c r="AP3604" s="95"/>
      <c r="AQ3604" s="95"/>
      <c r="AR3604" s="95"/>
      <c r="AS3604" s="95"/>
      <c r="AT3604" s="95"/>
      <c r="AU3604" s="95"/>
      <c r="AV3604" s="95"/>
      <c r="AW3604" s="95"/>
      <c r="AX3604" s="95"/>
      <c r="AY3604" s="95"/>
      <c r="AZ3604" s="95"/>
      <c r="BA3604" s="95"/>
    </row>
    <row r="3605" ht="15.75" hidden="1" customHeight="1">
      <c r="A3605" s="395"/>
      <c r="B3605" s="24"/>
      <c r="C3605" s="95"/>
      <c r="D3605" s="95"/>
      <c r="E3605" s="95"/>
      <c r="F3605" s="95"/>
      <c r="G3605" s="95">
        <f>IF($G$3539&gt;0,PPMT('Assumptions (CSP)'!$V$7,Model!W$1,'Assumptions (CSP)'!$V$10,'Assumptions (CSP)'!$V$5*Model!$G$3539*AVERAGE('Assumptions (CSP)'!$C$2:$E$2)/10^9),0)</f>
        <v>0</v>
      </c>
      <c r="H3605" s="95">
        <f>IF($G$3539&gt;0,PPMT('Assumptions (CSP)'!$V$7,Model!X$1,'Assumptions (CSP)'!$V$10,'Assumptions (CSP)'!$V$5*Model!$G$3539*AVERAGE('Assumptions (CSP)'!$C$2:$E$2)/10^9),0)</f>
        <v>0</v>
      </c>
      <c r="I3605" s="95">
        <f>IF($G$3539&gt;0,PPMT('Assumptions (CSP)'!$V$7,Model!Y$1,'Assumptions (CSP)'!$V$10,'Assumptions (CSP)'!$V$5*Model!$G$3539*AVERAGE('Assumptions (CSP)'!$C$2:$E$2)/10^9),0)</f>
        <v>0</v>
      </c>
      <c r="J3605" s="95">
        <f>IF($G$3539&gt;0,PPMT('Assumptions (CSP)'!$V$7,Model!Z$1,'Assumptions (CSP)'!$V$10,'Assumptions (CSP)'!$V$5*Model!$G$3539*AVERAGE('Assumptions (CSP)'!$C$2:$E$2)/10^9),0)</f>
        <v>0</v>
      </c>
      <c r="K3605" s="95">
        <f>IF($G$3539&gt;0,PPMT('Assumptions (CSP)'!$V$7,Model!AA$1,'Assumptions (CSP)'!$V$10,'Assumptions (CSP)'!$V$5*Model!$G$3539*AVERAGE('Assumptions (CSP)'!$C$2:$E$2)/10^9),0)</f>
        <v>0</v>
      </c>
      <c r="L3605" s="95">
        <f>IF($G$3539&gt;0,PPMT('Assumptions (CSP)'!$V$7,Model!AB$1,'Assumptions (CSP)'!$V$10,'Assumptions (CSP)'!$V$5*Model!$G$3539*AVERAGE('Assumptions (CSP)'!$C$2:$E$2)/10^9),0)</f>
        <v>0</v>
      </c>
      <c r="M3605" s="95">
        <f>IF($G$3539&gt;0,PPMT('Assumptions (CSP)'!$V$7,Model!AC$1,'Assumptions (CSP)'!$V$10,'Assumptions (CSP)'!$V$5*Model!$G$3539*AVERAGE('Assumptions (CSP)'!$C$2:$E$2)/10^9),0)</f>
        <v>0</v>
      </c>
      <c r="N3605" s="95">
        <f>IF($G$3539&gt;0,PPMT('Assumptions (CSP)'!$V$7,Model!AD$1,'Assumptions (CSP)'!$V$10,'Assumptions (CSP)'!$V$5*Model!$G$3539*AVERAGE('Assumptions (CSP)'!$C$2:$E$2)/10^9),0)</f>
        <v>0</v>
      </c>
      <c r="O3605" s="95">
        <f>IF($G$3539&gt;0,PPMT('Assumptions (CSP)'!$V$7,Model!AE$1,'Assumptions (CSP)'!$V$10,'Assumptions (CSP)'!$V$5*Model!$G$3539*AVERAGE('Assumptions (CSP)'!$C$2:$E$2)/10^9),0)</f>
        <v>0</v>
      </c>
      <c r="P3605" s="95">
        <f>IF($G$3539&gt;0,PPMT('Assumptions (CSP)'!$V$7,Model!AF$1,'Assumptions (CSP)'!$V$10,'Assumptions (CSP)'!$V$5*Model!$G$3539*AVERAGE('Assumptions (CSP)'!$C$2:$E$2)/10^9),0)</f>
        <v>0</v>
      </c>
      <c r="Q3605" s="95">
        <f>IF($G$3539&gt;0,PPMT('Assumptions (CSP)'!$V$7,Model!AG$1,'Assumptions (CSP)'!$V$10,'Assumptions (CSP)'!$V$5*Model!$G$3539*AVERAGE('Assumptions (CSP)'!$C$2:$E$2)/10^9),0)</f>
        <v>0</v>
      </c>
      <c r="R3605" s="95">
        <f>IF($G$3539&gt;0,PPMT('Assumptions (CSP)'!$V$7,Model!AH$1,'Assumptions (CSP)'!$V$10,'Assumptions (CSP)'!$V$5*Model!$G$3539*AVERAGE('Assumptions (CSP)'!$C$2:$E$2)/10^9),0)</f>
        <v>0</v>
      </c>
      <c r="S3605" s="95">
        <f>IF($G$3539&gt;0,PPMT('Assumptions (CSP)'!$V$7,Model!AI$1,'Assumptions (CSP)'!$V$10,'Assumptions (CSP)'!$V$5*Model!$G$3539*AVERAGE('Assumptions (CSP)'!$C$2:$E$2)/10^9),0)</f>
        <v>0</v>
      </c>
      <c r="T3605" s="95">
        <f>IF($G$3539&gt;0,PPMT('Assumptions (CSP)'!$V$7,Model!AJ$1,'Assumptions (CSP)'!$V$10,'Assumptions (CSP)'!$V$5*Model!$G$3539*AVERAGE('Assumptions (CSP)'!$C$2:$E$2)/10^9),0)</f>
        <v>0</v>
      </c>
      <c r="U3605" s="95">
        <f>IF($G$3539&gt;0,PPMT('Assumptions (CSP)'!$V$7,Model!AK$1,'Assumptions (CSP)'!$V$10,'Assumptions (CSP)'!$V$5*Model!$G$3539*AVERAGE('Assumptions (CSP)'!$C$2:$E$2)/10^9),0)</f>
        <v>0</v>
      </c>
      <c r="V3605" s="95"/>
      <c r="W3605" s="95"/>
      <c r="X3605" s="95"/>
      <c r="Y3605" s="95"/>
      <c r="Z3605" s="95"/>
      <c r="AA3605" s="95"/>
      <c r="AB3605" s="95"/>
      <c r="AC3605" s="95"/>
      <c r="AD3605" s="95"/>
      <c r="AE3605" s="95"/>
      <c r="AF3605" s="95"/>
      <c r="AG3605" s="95"/>
      <c r="AH3605" s="95"/>
      <c r="AI3605" s="95"/>
      <c r="AJ3605" s="95"/>
      <c r="AK3605" s="95"/>
      <c r="AL3605" s="95"/>
      <c r="AM3605" s="95"/>
      <c r="AN3605" s="95"/>
      <c r="AO3605" s="95"/>
      <c r="AP3605" s="95"/>
      <c r="AQ3605" s="95"/>
      <c r="AR3605" s="95"/>
      <c r="AS3605" s="95"/>
      <c r="AT3605" s="95"/>
      <c r="AU3605" s="95"/>
      <c r="AV3605" s="95"/>
      <c r="AW3605" s="95"/>
      <c r="AX3605" s="95"/>
      <c r="AY3605" s="95"/>
      <c r="AZ3605" s="95"/>
      <c r="BA3605" s="95"/>
    </row>
    <row r="3606" ht="15.75" hidden="1" customHeight="1">
      <c r="A3606" s="395"/>
      <c r="B3606" s="24"/>
      <c r="C3606" s="95"/>
      <c r="D3606" s="95"/>
      <c r="E3606" s="95"/>
      <c r="F3606" s="95"/>
      <c r="G3606" s="95"/>
      <c r="H3606" s="95">
        <f>IF($H$3539&gt;0,PPMT('Assumptions (CSP)'!$V$7,Model!W$1,'Assumptions (CSP)'!$V$10,'Assumptions (CSP)'!$V$5*Model!$H$3539*AVERAGE('Assumptions (CSP)'!$D$2:$F$2)/10^9),0)</f>
        <v>0</v>
      </c>
      <c r="I3606" s="95">
        <f>IF($H$3539&gt;0,PPMT('Assumptions (CSP)'!$V$7,Model!X$1,'Assumptions (CSP)'!$V$10,'Assumptions (CSP)'!$V$5*Model!$H$3539*AVERAGE('Assumptions (CSP)'!$D$2:$F$2)/10^9),0)</f>
        <v>0</v>
      </c>
      <c r="J3606" s="95">
        <f>IF($H$3539&gt;0,PPMT('Assumptions (CSP)'!$V$7,Model!Y$1,'Assumptions (CSP)'!$V$10,'Assumptions (CSP)'!$V$5*Model!$H$3539*AVERAGE('Assumptions (CSP)'!$D$2:$F$2)/10^9),0)</f>
        <v>0</v>
      </c>
      <c r="K3606" s="95">
        <f>IF($H$3539&gt;0,PPMT('Assumptions (CSP)'!$V$7,Model!Z$1,'Assumptions (CSP)'!$V$10,'Assumptions (CSP)'!$V$5*Model!$H$3539*AVERAGE('Assumptions (CSP)'!$D$2:$F$2)/10^9),0)</f>
        <v>0</v>
      </c>
      <c r="L3606" s="95">
        <f>IF($H$3539&gt;0,PPMT('Assumptions (CSP)'!$V$7,Model!AA$1,'Assumptions (CSP)'!$V$10,'Assumptions (CSP)'!$V$5*Model!$H$3539*AVERAGE('Assumptions (CSP)'!$D$2:$F$2)/10^9),0)</f>
        <v>0</v>
      </c>
      <c r="M3606" s="95">
        <f>IF($H$3539&gt;0,PPMT('Assumptions (CSP)'!$V$7,Model!AB$1,'Assumptions (CSP)'!$V$10,'Assumptions (CSP)'!$V$5*Model!$H$3539*AVERAGE('Assumptions (CSP)'!$D$2:$F$2)/10^9),0)</f>
        <v>0</v>
      </c>
      <c r="N3606" s="95">
        <f>IF($H$3539&gt;0,PPMT('Assumptions (CSP)'!$V$7,Model!AC$1,'Assumptions (CSP)'!$V$10,'Assumptions (CSP)'!$V$5*Model!$H$3539*AVERAGE('Assumptions (CSP)'!$D$2:$F$2)/10^9),0)</f>
        <v>0</v>
      </c>
      <c r="O3606" s="95">
        <f>IF($H$3539&gt;0,PPMT('Assumptions (CSP)'!$V$7,Model!AD$1,'Assumptions (CSP)'!$V$10,'Assumptions (CSP)'!$V$5*Model!$H$3539*AVERAGE('Assumptions (CSP)'!$D$2:$F$2)/10^9),0)</f>
        <v>0</v>
      </c>
      <c r="P3606" s="95">
        <f>IF($H$3539&gt;0,PPMT('Assumptions (CSP)'!$V$7,Model!AE$1,'Assumptions (CSP)'!$V$10,'Assumptions (CSP)'!$V$5*Model!$H$3539*AVERAGE('Assumptions (CSP)'!$D$2:$F$2)/10^9),0)</f>
        <v>0</v>
      </c>
      <c r="Q3606" s="95">
        <f>IF($H$3539&gt;0,PPMT('Assumptions (CSP)'!$V$7,Model!AF$1,'Assumptions (CSP)'!$V$10,'Assumptions (CSP)'!$V$5*Model!$H$3539*AVERAGE('Assumptions (CSP)'!$D$2:$F$2)/10^9),0)</f>
        <v>0</v>
      </c>
      <c r="R3606" s="95">
        <f>IF($H$3539&gt;0,PPMT('Assumptions (CSP)'!$V$7,Model!AG$1,'Assumptions (CSP)'!$V$10,'Assumptions (CSP)'!$V$5*Model!$H$3539*AVERAGE('Assumptions (CSP)'!$D$2:$F$2)/10^9),0)</f>
        <v>0</v>
      </c>
      <c r="S3606" s="95">
        <f>IF($H$3539&gt;0,PPMT('Assumptions (CSP)'!$V$7,Model!AH$1,'Assumptions (CSP)'!$V$10,'Assumptions (CSP)'!$V$5*Model!$H$3539*AVERAGE('Assumptions (CSP)'!$D$2:$F$2)/10^9),0)</f>
        <v>0</v>
      </c>
      <c r="T3606" s="95">
        <f>IF($H$3539&gt;0,PPMT('Assumptions (CSP)'!$V$7,Model!AI$1,'Assumptions (CSP)'!$V$10,'Assumptions (CSP)'!$V$5*Model!$H$3539*AVERAGE('Assumptions (CSP)'!$D$2:$F$2)/10^9),0)</f>
        <v>0</v>
      </c>
      <c r="U3606" s="95">
        <f>IF($H$3539&gt;0,PPMT('Assumptions (CSP)'!$V$7,Model!AJ$1,'Assumptions (CSP)'!$V$10,'Assumptions (CSP)'!$V$5*Model!$H$3539*AVERAGE('Assumptions (CSP)'!$D$2:$F$2)/10^9),0)</f>
        <v>0</v>
      </c>
      <c r="V3606" s="95">
        <f>IF($H$3539&gt;0,PPMT('Assumptions (CSP)'!$V$7,Model!AK$1,'Assumptions (CSP)'!$V$10,'Assumptions (CSP)'!$V$5*Model!$H$3539*AVERAGE('Assumptions (CSP)'!$D$2:$F$2)/10^9),0)</f>
        <v>0</v>
      </c>
      <c r="W3606" s="95"/>
      <c r="X3606" s="95"/>
      <c r="Y3606" s="95"/>
      <c r="Z3606" s="95"/>
      <c r="AA3606" s="95"/>
      <c r="AB3606" s="95"/>
      <c r="AC3606" s="95"/>
      <c r="AD3606" s="95"/>
      <c r="AE3606" s="95"/>
      <c r="AF3606" s="95"/>
      <c r="AG3606" s="95"/>
      <c r="AH3606" s="95"/>
      <c r="AI3606" s="95"/>
      <c r="AJ3606" s="95"/>
      <c r="AK3606" s="95"/>
      <c r="AL3606" s="95"/>
      <c r="AM3606" s="95"/>
      <c r="AN3606" s="95"/>
      <c r="AO3606" s="95"/>
      <c r="AP3606" s="95"/>
      <c r="AQ3606" s="95"/>
      <c r="AR3606" s="95"/>
      <c r="AS3606" s="95"/>
      <c r="AT3606" s="95"/>
      <c r="AU3606" s="95"/>
      <c r="AV3606" s="95"/>
      <c r="AW3606" s="95"/>
      <c r="AX3606" s="95"/>
      <c r="AY3606" s="95"/>
      <c r="AZ3606" s="95"/>
      <c r="BA3606" s="95"/>
    </row>
    <row r="3607" ht="15.75" hidden="1" customHeight="1">
      <c r="A3607" s="395"/>
      <c r="B3607" s="24"/>
      <c r="C3607" s="95"/>
      <c r="D3607" s="95"/>
      <c r="E3607" s="95"/>
      <c r="F3607" s="95"/>
      <c r="G3607" s="95"/>
      <c r="H3607" s="95"/>
      <c r="I3607" s="95">
        <f>IF($I$3539&gt;0,PPMT('Assumptions (CSP)'!$V$7,Model!W$1,'Assumptions (CSP)'!$V$10,'Assumptions (CSP)'!$V$5*Model!$I$3539*AVERAGE('Assumptions (CSP)'!$E$2:$G$2)/10^9),0)</f>
        <v>0</v>
      </c>
      <c r="J3607" s="95">
        <f>IF($I$3539&gt;0,PPMT('Assumptions (CSP)'!$V$7,Model!X$1,'Assumptions (CSP)'!$V$10,'Assumptions (CSP)'!$V$5*Model!$I$3539*AVERAGE('Assumptions (CSP)'!$E$2:$G$2)/10^9),0)</f>
        <v>0</v>
      </c>
      <c r="K3607" s="95">
        <f>IF($I$3539&gt;0,PPMT('Assumptions (CSP)'!$V$7,Model!Y$1,'Assumptions (CSP)'!$V$10,'Assumptions (CSP)'!$V$5*Model!$I$3539*AVERAGE('Assumptions (CSP)'!$E$2:$G$2)/10^9),0)</f>
        <v>0</v>
      </c>
      <c r="L3607" s="95">
        <f>IF($I$3539&gt;0,PPMT('Assumptions (CSP)'!$V$7,Model!Z$1,'Assumptions (CSP)'!$V$10,'Assumptions (CSP)'!$V$5*Model!$I$3539*AVERAGE('Assumptions (CSP)'!$E$2:$G$2)/10^9),0)</f>
        <v>0</v>
      </c>
      <c r="M3607" s="95">
        <f>IF($I$3539&gt;0,PPMT('Assumptions (CSP)'!$V$7,Model!AA$1,'Assumptions (CSP)'!$V$10,'Assumptions (CSP)'!$V$5*Model!$I$3539*AVERAGE('Assumptions (CSP)'!$E$2:$G$2)/10^9),0)</f>
        <v>0</v>
      </c>
      <c r="N3607" s="95">
        <f>IF($I$3539&gt;0,PPMT('Assumptions (CSP)'!$V$7,Model!AB$1,'Assumptions (CSP)'!$V$10,'Assumptions (CSP)'!$V$5*Model!$I$3539*AVERAGE('Assumptions (CSP)'!$E$2:$G$2)/10^9),0)</f>
        <v>0</v>
      </c>
      <c r="O3607" s="95">
        <f>IF($I$3539&gt;0,PPMT('Assumptions (CSP)'!$V$7,Model!AC$1,'Assumptions (CSP)'!$V$10,'Assumptions (CSP)'!$V$5*Model!$I$3539*AVERAGE('Assumptions (CSP)'!$E$2:$G$2)/10^9),0)</f>
        <v>0</v>
      </c>
      <c r="P3607" s="95">
        <f>IF($I$3539&gt;0,PPMT('Assumptions (CSP)'!$V$7,Model!AD$1,'Assumptions (CSP)'!$V$10,'Assumptions (CSP)'!$V$5*Model!$I$3539*AVERAGE('Assumptions (CSP)'!$E$2:$G$2)/10^9),0)</f>
        <v>0</v>
      </c>
      <c r="Q3607" s="95">
        <f>IF($I$3539&gt;0,PPMT('Assumptions (CSP)'!$V$7,Model!AE$1,'Assumptions (CSP)'!$V$10,'Assumptions (CSP)'!$V$5*Model!$I$3539*AVERAGE('Assumptions (CSP)'!$E$2:$G$2)/10^9),0)</f>
        <v>0</v>
      </c>
      <c r="R3607" s="95">
        <f>IF($I$3539&gt;0,PPMT('Assumptions (CSP)'!$V$7,Model!AF$1,'Assumptions (CSP)'!$V$10,'Assumptions (CSP)'!$V$5*Model!$I$3539*AVERAGE('Assumptions (CSP)'!$E$2:$G$2)/10^9),0)</f>
        <v>0</v>
      </c>
      <c r="S3607" s="95">
        <f>IF($I$3539&gt;0,PPMT('Assumptions (CSP)'!$V$7,Model!AG$1,'Assumptions (CSP)'!$V$10,'Assumptions (CSP)'!$V$5*Model!$I$3539*AVERAGE('Assumptions (CSP)'!$E$2:$G$2)/10^9),0)</f>
        <v>0</v>
      </c>
      <c r="T3607" s="95">
        <f>IF($I$3539&gt;0,PPMT('Assumptions (CSP)'!$V$7,Model!AH$1,'Assumptions (CSP)'!$V$10,'Assumptions (CSP)'!$V$5*Model!$I$3539*AVERAGE('Assumptions (CSP)'!$E$2:$G$2)/10^9),0)</f>
        <v>0</v>
      </c>
      <c r="U3607" s="95">
        <f>IF($I$3539&gt;0,PPMT('Assumptions (CSP)'!$V$7,Model!AI$1,'Assumptions (CSP)'!$V$10,'Assumptions (CSP)'!$V$5*Model!$I$3539*AVERAGE('Assumptions (CSP)'!$E$2:$G$2)/10^9),0)</f>
        <v>0</v>
      </c>
      <c r="V3607" s="95">
        <f>IF($I$3539&gt;0,PPMT('Assumptions (CSP)'!$V$7,Model!AJ$1,'Assumptions (CSP)'!$V$10,'Assumptions (CSP)'!$V$5*Model!$I$3539*AVERAGE('Assumptions (CSP)'!$E$2:$G$2)/10^9),0)</f>
        <v>0</v>
      </c>
      <c r="W3607" s="95">
        <f>IF($I$3539&gt;0,PPMT('Assumptions (CSP)'!$V$7,Model!AK$1,'Assumptions (CSP)'!$V$10,'Assumptions (CSP)'!$V$5*Model!$I$3539*AVERAGE('Assumptions (CSP)'!$E$2:$G$2)/10^9),0)</f>
        <v>0</v>
      </c>
      <c r="X3607" s="95"/>
      <c r="Y3607" s="95"/>
      <c r="Z3607" s="95"/>
      <c r="AA3607" s="95"/>
      <c r="AB3607" s="95"/>
      <c r="AC3607" s="95"/>
      <c r="AD3607" s="95"/>
      <c r="AE3607" s="95"/>
      <c r="AF3607" s="95"/>
      <c r="AG3607" s="95"/>
      <c r="AH3607" s="95"/>
      <c r="AI3607" s="95"/>
      <c r="AJ3607" s="95"/>
      <c r="AK3607" s="95"/>
      <c r="AL3607" s="95"/>
      <c r="AM3607" s="95"/>
      <c r="AN3607" s="95"/>
      <c r="AO3607" s="95"/>
      <c r="AP3607" s="95"/>
      <c r="AQ3607" s="95"/>
      <c r="AR3607" s="95"/>
      <c r="AS3607" s="95"/>
      <c r="AT3607" s="95"/>
      <c r="AU3607" s="95"/>
      <c r="AV3607" s="95"/>
      <c r="AW3607" s="95"/>
      <c r="AX3607" s="95"/>
      <c r="AY3607" s="95"/>
      <c r="AZ3607" s="95"/>
      <c r="BA3607" s="95"/>
    </row>
    <row r="3608" ht="15.75" hidden="1" customHeight="1">
      <c r="A3608" s="395"/>
      <c r="B3608" s="24"/>
      <c r="C3608" s="95"/>
      <c r="D3608" s="95"/>
      <c r="E3608" s="95"/>
      <c r="F3608" s="95"/>
      <c r="G3608" s="95"/>
      <c r="H3608" s="95"/>
      <c r="I3608" s="95"/>
      <c r="J3608" s="95">
        <f>IF($J$3539&gt;0,PPMT('Assumptions (CSP)'!$V$7,Model!W$1,'Assumptions (CSP)'!$V$10,'Assumptions (CSP)'!$V$5*Model!$J$3539*AVERAGE('Assumptions (CSP)'!$F$2:$H$2)/10^9),0)</f>
        <v>0</v>
      </c>
      <c r="K3608" s="95">
        <f>IF($J$3539&gt;0,PPMT('Assumptions (CSP)'!$V$7,Model!X$1,'Assumptions (CSP)'!$V$10,'Assumptions (CSP)'!$V$5*Model!$J$3539*AVERAGE('Assumptions (CSP)'!$F$2:$H$2)/10^9),0)</f>
        <v>0</v>
      </c>
      <c r="L3608" s="95">
        <f>IF($J$3539&gt;0,PPMT('Assumptions (CSP)'!$V$7,Model!Y$1,'Assumptions (CSP)'!$V$10,'Assumptions (CSP)'!$V$5*Model!$J$3539*AVERAGE('Assumptions (CSP)'!$F$2:$H$2)/10^9),0)</f>
        <v>0</v>
      </c>
      <c r="M3608" s="95">
        <f>IF($J$3539&gt;0,PPMT('Assumptions (CSP)'!$V$7,Model!Z$1,'Assumptions (CSP)'!$V$10,'Assumptions (CSP)'!$V$5*Model!$J$3539*AVERAGE('Assumptions (CSP)'!$F$2:$H$2)/10^9),0)</f>
        <v>0</v>
      </c>
      <c r="N3608" s="95">
        <f>IF($J$3539&gt;0,PPMT('Assumptions (CSP)'!$V$7,Model!AA$1,'Assumptions (CSP)'!$V$10,'Assumptions (CSP)'!$V$5*Model!$J$3539*AVERAGE('Assumptions (CSP)'!$F$2:$H$2)/10^9),0)</f>
        <v>0</v>
      </c>
      <c r="O3608" s="95">
        <f>IF($J$3539&gt;0,PPMT('Assumptions (CSP)'!$V$7,Model!AB$1,'Assumptions (CSP)'!$V$10,'Assumptions (CSP)'!$V$5*Model!$J$3539*AVERAGE('Assumptions (CSP)'!$F$2:$H$2)/10^9),0)</f>
        <v>0</v>
      </c>
      <c r="P3608" s="95">
        <f>IF($J$3539&gt;0,PPMT('Assumptions (CSP)'!$V$7,Model!AC$1,'Assumptions (CSP)'!$V$10,'Assumptions (CSP)'!$V$5*Model!$J$3539*AVERAGE('Assumptions (CSP)'!$F$2:$H$2)/10^9),0)</f>
        <v>0</v>
      </c>
      <c r="Q3608" s="95">
        <f>IF($J$3539&gt;0,PPMT('Assumptions (CSP)'!$V$7,Model!AD$1,'Assumptions (CSP)'!$V$10,'Assumptions (CSP)'!$V$5*Model!$J$3539*AVERAGE('Assumptions (CSP)'!$F$2:$H$2)/10^9),0)</f>
        <v>0</v>
      </c>
      <c r="R3608" s="95">
        <f>IF($J$3539&gt;0,PPMT('Assumptions (CSP)'!$V$7,Model!AE$1,'Assumptions (CSP)'!$V$10,'Assumptions (CSP)'!$V$5*Model!$J$3539*AVERAGE('Assumptions (CSP)'!$F$2:$H$2)/10^9),0)</f>
        <v>0</v>
      </c>
      <c r="S3608" s="95">
        <f>IF($J$3539&gt;0,PPMT('Assumptions (CSP)'!$V$7,Model!AF$1,'Assumptions (CSP)'!$V$10,'Assumptions (CSP)'!$V$5*Model!$J$3539*AVERAGE('Assumptions (CSP)'!$F$2:$H$2)/10^9),0)</f>
        <v>0</v>
      </c>
      <c r="T3608" s="95">
        <f>IF($J$3539&gt;0,PPMT('Assumptions (CSP)'!$V$7,Model!AG$1,'Assumptions (CSP)'!$V$10,'Assumptions (CSP)'!$V$5*Model!$J$3539*AVERAGE('Assumptions (CSP)'!$F$2:$H$2)/10^9),0)</f>
        <v>0</v>
      </c>
      <c r="U3608" s="95">
        <f>IF($J$3539&gt;0,PPMT('Assumptions (CSP)'!$V$7,Model!AH$1,'Assumptions (CSP)'!$V$10,'Assumptions (CSP)'!$V$5*Model!$J$3539*AVERAGE('Assumptions (CSP)'!$F$2:$H$2)/10^9),0)</f>
        <v>0</v>
      </c>
      <c r="V3608" s="95">
        <f>IF($J$3539&gt;0,PPMT('Assumptions (CSP)'!$V$7,Model!AI$1,'Assumptions (CSP)'!$V$10,'Assumptions (CSP)'!$V$5*Model!$J$3539*AVERAGE('Assumptions (CSP)'!$F$2:$H$2)/10^9),0)</f>
        <v>0</v>
      </c>
      <c r="W3608" s="95">
        <f>IF($J$3539&gt;0,PPMT('Assumptions (CSP)'!$V$7,Model!AJ$1,'Assumptions (CSP)'!$V$10,'Assumptions (CSP)'!$V$5*Model!$J$3539*AVERAGE('Assumptions (CSP)'!$F$2:$H$2)/10^9),0)</f>
        <v>0</v>
      </c>
      <c r="X3608" s="95">
        <f>IF($J$3539&gt;0,PPMT('Assumptions (CSP)'!$V$7,Model!AK$1,'Assumptions (CSP)'!$V$10,'Assumptions (CSP)'!$V$5*Model!$J$3539*AVERAGE('Assumptions (CSP)'!$F$2:$H$2)/10^9),0)</f>
        <v>0</v>
      </c>
      <c r="Y3608" s="95"/>
      <c r="Z3608" s="95"/>
      <c r="AA3608" s="95"/>
      <c r="AB3608" s="95"/>
      <c r="AC3608" s="95"/>
      <c r="AD3608" s="95"/>
      <c r="AE3608" s="95"/>
      <c r="AF3608" s="95"/>
      <c r="AG3608" s="95"/>
      <c r="AH3608" s="95"/>
      <c r="AI3608" s="95"/>
      <c r="AJ3608" s="95"/>
      <c r="AK3608" s="95"/>
      <c r="AL3608" s="95"/>
      <c r="AM3608" s="95"/>
      <c r="AN3608" s="95"/>
      <c r="AO3608" s="95"/>
      <c r="AP3608" s="95"/>
      <c r="AQ3608" s="95"/>
      <c r="AR3608" s="95"/>
      <c r="AS3608" s="95"/>
      <c r="AT3608" s="95"/>
      <c r="AU3608" s="95"/>
      <c r="AV3608" s="95"/>
      <c r="AW3608" s="95"/>
      <c r="AX3608" s="95"/>
      <c r="AY3608" s="95"/>
      <c r="AZ3608" s="95"/>
      <c r="BA3608" s="95"/>
    </row>
    <row r="3609" ht="15.75" hidden="1" customHeight="1">
      <c r="A3609" s="395"/>
      <c r="B3609" s="24"/>
      <c r="C3609" s="95"/>
      <c r="D3609" s="95"/>
      <c r="E3609" s="95"/>
      <c r="F3609" s="95"/>
      <c r="G3609" s="95"/>
      <c r="H3609" s="95"/>
      <c r="I3609" s="95"/>
      <c r="J3609" s="95"/>
      <c r="K3609" s="95">
        <f>IF($K$3539&gt;0,PPMT('Assumptions (CSP)'!$V$7,Model!W$1,'Assumptions (CSP)'!$V$10,'Assumptions (CSP)'!$V$5*Model!$K$3539*AVERAGE('Assumptions (CSP)'!$G$2:$I$2)/10^9),0)</f>
        <v>0</v>
      </c>
      <c r="L3609" s="95">
        <f>IF($K$3539&gt;0,PPMT('Assumptions (CSP)'!$V$7,Model!X$1,'Assumptions (CSP)'!$V$10,'Assumptions (CSP)'!$V$5*Model!$K$3539*AVERAGE('Assumptions (CSP)'!$G$2:$I$2)/10^9),0)</f>
        <v>0</v>
      </c>
      <c r="M3609" s="95">
        <f>IF($K$3539&gt;0,PPMT('Assumptions (CSP)'!$V$7,Model!Y$1,'Assumptions (CSP)'!$V$10,'Assumptions (CSP)'!$V$5*Model!$K$3539*AVERAGE('Assumptions (CSP)'!$G$2:$I$2)/10^9),0)</f>
        <v>0</v>
      </c>
      <c r="N3609" s="95">
        <f>IF($K$3539&gt;0,PPMT('Assumptions (CSP)'!$V$7,Model!Z$1,'Assumptions (CSP)'!$V$10,'Assumptions (CSP)'!$V$5*Model!$K$3539*AVERAGE('Assumptions (CSP)'!$G$2:$I$2)/10^9),0)</f>
        <v>0</v>
      </c>
      <c r="O3609" s="95">
        <f>IF($K$3539&gt;0,PPMT('Assumptions (CSP)'!$V$7,Model!AA$1,'Assumptions (CSP)'!$V$10,'Assumptions (CSP)'!$V$5*Model!$K$3539*AVERAGE('Assumptions (CSP)'!$G$2:$I$2)/10^9),0)</f>
        <v>0</v>
      </c>
      <c r="P3609" s="95">
        <f>IF($K$3539&gt;0,PPMT('Assumptions (CSP)'!$V$7,Model!AB$1,'Assumptions (CSP)'!$V$10,'Assumptions (CSP)'!$V$5*Model!$K$3539*AVERAGE('Assumptions (CSP)'!$G$2:$I$2)/10^9),0)</f>
        <v>0</v>
      </c>
      <c r="Q3609" s="95">
        <f>IF($K$3539&gt;0,PPMT('Assumptions (CSP)'!$V$7,Model!AC$1,'Assumptions (CSP)'!$V$10,'Assumptions (CSP)'!$V$5*Model!$K$3539*AVERAGE('Assumptions (CSP)'!$G$2:$I$2)/10^9),0)</f>
        <v>0</v>
      </c>
      <c r="R3609" s="95">
        <f>IF($K$3539&gt;0,PPMT('Assumptions (CSP)'!$V$7,Model!AD$1,'Assumptions (CSP)'!$V$10,'Assumptions (CSP)'!$V$5*Model!$K$3539*AVERAGE('Assumptions (CSP)'!$G$2:$I$2)/10^9),0)</f>
        <v>0</v>
      </c>
      <c r="S3609" s="95">
        <f>IF($K$3539&gt;0,PPMT('Assumptions (CSP)'!$V$7,Model!AE$1,'Assumptions (CSP)'!$V$10,'Assumptions (CSP)'!$V$5*Model!$K$3539*AVERAGE('Assumptions (CSP)'!$G$2:$I$2)/10^9),0)</f>
        <v>0</v>
      </c>
      <c r="T3609" s="95">
        <f>IF($K$3539&gt;0,PPMT('Assumptions (CSP)'!$V$7,Model!AF$1,'Assumptions (CSP)'!$V$10,'Assumptions (CSP)'!$V$5*Model!$K$3539*AVERAGE('Assumptions (CSP)'!$G$2:$I$2)/10^9),0)</f>
        <v>0</v>
      </c>
      <c r="U3609" s="95">
        <f>IF($K$3539&gt;0,PPMT('Assumptions (CSP)'!$V$7,Model!AG$1,'Assumptions (CSP)'!$V$10,'Assumptions (CSP)'!$V$5*Model!$K$3539*AVERAGE('Assumptions (CSP)'!$G$2:$I$2)/10^9),0)</f>
        <v>0</v>
      </c>
      <c r="V3609" s="95">
        <f>IF($K$3539&gt;0,PPMT('Assumptions (CSP)'!$V$7,Model!AH$1,'Assumptions (CSP)'!$V$10,'Assumptions (CSP)'!$V$5*Model!$K$3539*AVERAGE('Assumptions (CSP)'!$G$2:$I$2)/10^9),0)</f>
        <v>0</v>
      </c>
      <c r="W3609" s="95">
        <f>IF($K$3539&gt;0,PPMT('Assumptions (CSP)'!$V$7,Model!AI$1,'Assumptions (CSP)'!$V$10,'Assumptions (CSP)'!$V$5*Model!$K$3539*AVERAGE('Assumptions (CSP)'!$G$2:$I$2)/10^9),0)</f>
        <v>0</v>
      </c>
      <c r="X3609" s="95">
        <f>IF($K$3539&gt;0,PPMT('Assumptions (CSP)'!$V$7,Model!AJ$1,'Assumptions (CSP)'!$V$10,'Assumptions (CSP)'!$V$5*Model!$K$3539*AVERAGE('Assumptions (CSP)'!$G$2:$I$2)/10^9),0)</f>
        <v>0</v>
      </c>
      <c r="Y3609" s="95">
        <f>IF($K$3539&gt;0,PPMT('Assumptions (CSP)'!$V$7,Model!AK$1,'Assumptions (CSP)'!$V$10,'Assumptions (CSP)'!$V$5*Model!$K$3539*AVERAGE('Assumptions (CSP)'!$G$2:$I$2)/10^9),0)</f>
        <v>0</v>
      </c>
      <c r="Z3609" s="95"/>
      <c r="AA3609" s="95"/>
      <c r="AB3609" s="95"/>
      <c r="AC3609" s="95"/>
      <c r="AD3609" s="95"/>
      <c r="AE3609" s="95"/>
      <c r="AF3609" s="95"/>
      <c r="AG3609" s="95"/>
      <c r="AH3609" s="95"/>
      <c r="AI3609" s="95"/>
      <c r="AJ3609" s="95"/>
      <c r="AK3609" s="95"/>
      <c r="AL3609" s="95"/>
      <c r="AM3609" s="95"/>
      <c r="AN3609" s="95"/>
      <c r="AO3609" s="95"/>
      <c r="AP3609" s="95"/>
      <c r="AQ3609" s="95"/>
      <c r="AR3609" s="95"/>
      <c r="AS3609" s="95"/>
      <c r="AT3609" s="95"/>
      <c r="AU3609" s="95"/>
      <c r="AV3609" s="95"/>
      <c r="AW3609" s="95"/>
      <c r="AX3609" s="95"/>
      <c r="AY3609" s="95"/>
      <c r="AZ3609" s="95"/>
      <c r="BA3609" s="95"/>
    </row>
    <row r="3610" ht="15.75" hidden="1" customHeight="1">
      <c r="A3610" s="395"/>
      <c r="B3610" s="24"/>
      <c r="C3610" s="95"/>
      <c r="D3610" s="95"/>
      <c r="E3610" s="95"/>
      <c r="F3610" s="95"/>
      <c r="G3610" s="95"/>
      <c r="H3610" s="95"/>
      <c r="I3610" s="95"/>
      <c r="J3610" s="95"/>
      <c r="K3610" s="95"/>
      <c r="L3610" s="95">
        <f>IF($L$3539&gt;0,PPMT('Assumptions (CSP)'!$V$7,Model!W$1,'Assumptions (CSP)'!$V$10,'Assumptions (CSP)'!$V$5*Model!$L$3539*AVERAGE('Assumptions (CSP)'!$H$2:$J$2)/10^9),0)</f>
        <v>0</v>
      </c>
      <c r="M3610" s="95">
        <f>IF($L$3539&gt;0,PPMT('Assumptions (CSP)'!$V$7,Model!X$1,'Assumptions (CSP)'!$V$10,'Assumptions (CSP)'!$V$5*Model!$L$3539*AVERAGE('Assumptions (CSP)'!$H$2:$J$2)/10^9),0)</f>
        <v>0</v>
      </c>
      <c r="N3610" s="95">
        <f>IF($L$3539&gt;0,PPMT('Assumptions (CSP)'!$V$7,Model!Y$1,'Assumptions (CSP)'!$V$10,'Assumptions (CSP)'!$V$5*Model!$L$3539*AVERAGE('Assumptions (CSP)'!$H$2:$J$2)/10^9),0)</f>
        <v>0</v>
      </c>
      <c r="O3610" s="95">
        <f>IF($L$3539&gt;0,PPMT('Assumptions (CSP)'!$V$7,Model!Z$1,'Assumptions (CSP)'!$V$10,'Assumptions (CSP)'!$V$5*Model!$L$3539*AVERAGE('Assumptions (CSP)'!$H$2:$J$2)/10^9),0)</f>
        <v>0</v>
      </c>
      <c r="P3610" s="95">
        <f>IF($L$3539&gt;0,PPMT('Assumptions (CSP)'!$V$7,Model!AA$1,'Assumptions (CSP)'!$V$10,'Assumptions (CSP)'!$V$5*Model!$L$3539*AVERAGE('Assumptions (CSP)'!$H$2:$J$2)/10^9),0)</f>
        <v>0</v>
      </c>
      <c r="Q3610" s="95">
        <f>IF($L$3539&gt;0,PPMT('Assumptions (CSP)'!$V$7,Model!AB$1,'Assumptions (CSP)'!$V$10,'Assumptions (CSP)'!$V$5*Model!$L$3539*AVERAGE('Assumptions (CSP)'!$H$2:$J$2)/10^9),0)</f>
        <v>0</v>
      </c>
      <c r="R3610" s="95">
        <f>IF($L$3539&gt;0,PPMT('Assumptions (CSP)'!$V$7,Model!AC$1,'Assumptions (CSP)'!$V$10,'Assumptions (CSP)'!$V$5*Model!$L$3539*AVERAGE('Assumptions (CSP)'!$H$2:$J$2)/10^9),0)</f>
        <v>0</v>
      </c>
      <c r="S3610" s="95">
        <f>IF($L$3539&gt;0,PPMT('Assumptions (CSP)'!$V$7,Model!AD$1,'Assumptions (CSP)'!$V$10,'Assumptions (CSP)'!$V$5*Model!$L$3539*AVERAGE('Assumptions (CSP)'!$H$2:$J$2)/10^9),0)</f>
        <v>0</v>
      </c>
      <c r="T3610" s="95">
        <f>IF($L$3539&gt;0,PPMT('Assumptions (CSP)'!$V$7,Model!AE$1,'Assumptions (CSP)'!$V$10,'Assumptions (CSP)'!$V$5*Model!$L$3539*AVERAGE('Assumptions (CSP)'!$H$2:$J$2)/10^9),0)</f>
        <v>0</v>
      </c>
      <c r="U3610" s="95">
        <f>IF($L$3539&gt;0,PPMT('Assumptions (CSP)'!$V$7,Model!AF$1,'Assumptions (CSP)'!$V$10,'Assumptions (CSP)'!$V$5*Model!$L$3539*AVERAGE('Assumptions (CSP)'!$H$2:$J$2)/10^9),0)</f>
        <v>0</v>
      </c>
      <c r="V3610" s="95">
        <f>IF($L$3539&gt;0,PPMT('Assumptions (CSP)'!$V$7,Model!AG$1,'Assumptions (CSP)'!$V$10,'Assumptions (CSP)'!$V$5*Model!$L$3539*AVERAGE('Assumptions (CSP)'!$H$2:$J$2)/10^9),0)</f>
        <v>0</v>
      </c>
      <c r="W3610" s="95">
        <f>IF($L$3539&gt;0,PPMT('Assumptions (CSP)'!$V$7,Model!AH$1,'Assumptions (CSP)'!$V$10,'Assumptions (CSP)'!$V$5*Model!$L$3539*AVERAGE('Assumptions (CSP)'!$H$2:$J$2)/10^9),0)</f>
        <v>0</v>
      </c>
      <c r="X3610" s="95">
        <f>IF($L$3539&gt;0,PPMT('Assumptions (CSP)'!$V$7,Model!AI$1,'Assumptions (CSP)'!$V$10,'Assumptions (CSP)'!$V$5*Model!$L$3539*AVERAGE('Assumptions (CSP)'!$H$2:$J$2)/10^9),0)</f>
        <v>0</v>
      </c>
      <c r="Y3610" s="95">
        <f>IF($L$3539&gt;0,PPMT('Assumptions (CSP)'!$V$7,Model!AJ$1,'Assumptions (CSP)'!$V$10,'Assumptions (CSP)'!$V$5*Model!$L$3539*AVERAGE('Assumptions (CSP)'!$H$2:$J$2)/10^9),0)</f>
        <v>0</v>
      </c>
      <c r="Z3610" s="95">
        <f>IF($L$3539&gt;0,PPMT('Assumptions (CSP)'!$V$7,Model!AK$1,'Assumptions (CSP)'!$V$10,'Assumptions (CSP)'!$V$5*Model!$L$3539*AVERAGE('Assumptions (CSP)'!$H$2:$J$2)/10^9),0)</f>
        <v>0</v>
      </c>
      <c r="AA3610" s="95"/>
      <c r="AB3610" s="95"/>
      <c r="AC3610" s="95"/>
      <c r="AD3610" s="95"/>
      <c r="AE3610" s="95"/>
      <c r="AF3610" s="95"/>
      <c r="AG3610" s="95"/>
      <c r="AH3610" s="95"/>
      <c r="AI3610" s="95"/>
      <c r="AJ3610" s="95"/>
      <c r="AK3610" s="95"/>
      <c r="AL3610" s="95"/>
      <c r="AM3610" s="95"/>
      <c r="AN3610" s="95"/>
      <c r="AO3610" s="95"/>
      <c r="AP3610" s="95"/>
      <c r="AQ3610" s="95"/>
      <c r="AR3610" s="95"/>
      <c r="AS3610" s="95"/>
      <c r="AT3610" s="95"/>
      <c r="AU3610" s="95"/>
      <c r="AV3610" s="95"/>
      <c r="AW3610" s="95"/>
      <c r="AX3610" s="95"/>
      <c r="AY3610" s="95"/>
      <c r="AZ3610" s="95"/>
      <c r="BA3610" s="95"/>
    </row>
    <row r="3611" ht="15.75" hidden="1" customHeight="1">
      <c r="A3611" s="395"/>
      <c r="B3611" s="24"/>
      <c r="C3611" s="95"/>
      <c r="D3611" s="95"/>
      <c r="E3611" s="95"/>
      <c r="F3611" s="95"/>
      <c r="G3611" s="95"/>
      <c r="H3611" s="95"/>
      <c r="I3611" s="95"/>
      <c r="J3611" s="95"/>
      <c r="K3611" s="95"/>
      <c r="L3611" s="95"/>
      <c r="M3611" s="95">
        <f>IF($M$3539&gt;0,PPMT('Assumptions (CSP)'!$V$7,Model!W$1,'Assumptions (CSP)'!$V$10,'Assumptions (CSP)'!$V$5*Model!$M$3539*AVERAGE('Assumptions (CSP)'!$I$2:$K$2)/10^9),0)</f>
        <v>0</v>
      </c>
      <c r="N3611" s="95">
        <f>IF($M$3539&gt;0,PPMT('Assumptions (CSP)'!$V$7,Model!X$1,'Assumptions (CSP)'!$V$10,'Assumptions (CSP)'!$V$5*Model!$M$3539*AVERAGE('Assumptions (CSP)'!$I$2:$K$2)/10^9),0)</f>
        <v>0</v>
      </c>
      <c r="O3611" s="95">
        <f>IF($M$3539&gt;0,PPMT('Assumptions (CSP)'!$V$7,Model!Y$1,'Assumptions (CSP)'!$V$10,'Assumptions (CSP)'!$V$5*Model!$M$3539*AVERAGE('Assumptions (CSP)'!$I$2:$K$2)/10^9),0)</f>
        <v>0</v>
      </c>
      <c r="P3611" s="95">
        <f>IF($M$3539&gt;0,PPMT('Assumptions (CSP)'!$V$7,Model!Z$1,'Assumptions (CSP)'!$V$10,'Assumptions (CSP)'!$V$5*Model!$M$3539*AVERAGE('Assumptions (CSP)'!$I$2:$K$2)/10^9),0)</f>
        <v>0</v>
      </c>
      <c r="Q3611" s="95">
        <f>IF($M$3539&gt;0,PPMT('Assumptions (CSP)'!$V$7,Model!AA$1,'Assumptions (CSP)'!$V$10,'Assumptions (CSP)'!$V$5*Model!$M$3539*AVERAGE('Assumptions (CSP)'!$I$2:$K$2)/10^9),0)</f>
        <v>0</v>
      </c>
      <c r="R3611" s="95">
        <f>IF($M$3539&gt;0,PPMT('Assumptions (CSP)'!$V$7,Model!AB$1,'Assumptions (CSP)'!$V$10,'Assumptions (CSP)'!$V$5*Model!$M$3539*AVERAGE('Assumptions (CSP)'!$I$2:$K$2)/10^9),0)</f>
        <v>0</v>
      </c>
      <c r="S3611" s="95">
        <f>IF($M$3539&gt;0,PPMT('Assumptions (CSP)'!$V$7,Model!AC$1,'Assumptions (CSP)'!$V$10,'Assumptions (CSP)'!$V$5*Model!$M$3539*AVERAGE('Assumptions (CSP)'!$I$2:$K$2)/10^9),0)</f>
        <v>0</v>
      </c>
      <c r="T3611" s="95">
        <f>IF($M$3539&gt;0,PPMT('Assumptions (CSP)'!$V$7,Model!AD$1,'Assumptions (CSP)'!$V$10,'Assumptions (CSP)'!$V$5*Model!$M$3539*AVERAGE('Assumptions (CSP)'!$I$2:$K$2)/10^9),0)</f>
        <v>0</v>
      </c>
      <c r="U3611" s="95">
        <f>IF($M$3539&gt;0,PPMT('Assumptions (CSP)'!$V$7,Model!AE$1,'Assumptions (CSP)'!$V$10,'Assumptions (CSP)'!$V$5*Model!$M$3539*AVERAGE('Assumptions (CSP)'!$I$2:$K$2)/10^9),0)</f>
        <v>0</v>
      </c>
      <c r="V3611" s="95">
        <f>IF($M$3539&gt;0,PPMT('Assumptions (CSP)'!$V$7,Model!AF$1,'Assumptions (CSP)'!$V$10,'Assumptions (CSP)'!$V$5*Model!$M$3539*AVERAGE('Assumptions (CSP)'!$I$2:$K$2)/10^9),0)</f>
        <v>0</v>
      </c>
      <c r="W3611" s="95">
        <f>IF($M$3539&gt;0,PPMT('Assumptions (CSP)'!$V$7,Model!AG$1,'Assumptions (CSP)'!$V$10,'Assumptions (CSP)'!$V$5*Model!$M$3539*AVERAGE('Assumptions (CSP)'!$I$2:$K$2)/10^9),0)</f>
        <v>0</v>
      </c>
      <c r="X3611" s="95">
        <f>IF($M$3539&gt;0,PPMT('Assumptions (CSP)'!$V$7,Model!AH$1,'Assumptions (CSP)'!$V$10,'Assumptions (CSP)'!$V$5*Model!$M$3539*AVERAGE('Assumptions (CSP)'!$I$2:$K$2)/10^9),0)</f>
        <v>0</v>
      </c>
      <c r="Y3611" s="95">
        <f>IF($M$3539&gt;0,PPMT('Assumptions (CSP)'!$V$7,Model!AI$1,'Assumptions (CSP)'!$V$10,'Assumptions (CSP)'!$V$5*Model!$M$3539*AVERAGE('Assumptions (CSP)'!$I$2:$K$2)/10^9),0)</f>
        <v>0</v>
      </c>
      <c r="Z3611" s="95">
        <f>IF($M$3539&gt;0,PPMT('Assumptions (CSP)'!$V$7,Model!AJ$1,'Assumptions (CSP)'!$V$10,'Assumptions (CSP)'!$V$5*Model!$M$3539*AVERAGE('Assumptions (CSP)'!$I$2:$K$2)/10^9),0)</f>
        <v>0</v>
      </c>
      <c r="AA3611" s="95">
        <f>IF($M$3539&gt;0,PPMT('Assumptions (CSP)'!$V$7,Model!AK$1,'Assumptions (CSP)'!$V$10,'Assumptions (CSP)'!$V$5*Model!$M$3539*AVERAGE('Assumptions (CSP)'!$I$2:$K$2)/10^9),0)</f>
        <v>0</v>
      </c>
      <c r="AB3611" s="95"/>
      <c r="AC3611" s="95"/>
      <c r="AD3611" s="95"/>
      <c r="AE3611" s="95"/>
      <c r="AF3611" s="95"/>
      <c r="AG3611" s="95"/>
      <c r="AH3611" s="95"/>
      <c r="AI3611" s="95"/>
      <c r="AJ3611" s="95"/>
      <c r="AK3611" s="95"/>
      <c r="AL3611" s="95"/>
      <c r="AM3611" s="95"/>
      <c r="AN3611" s="95"/>
      <c r="AO3611" s="95"/>
      <c r="AP3611" s="95"/>
      <c r="AQ3611" s="95"/>
      <c r="AR3611" s="95"/>
      <c r="AS3611" s="95"/>
      <c r="AT3611" s="95"/>
      <c r="AU3611" s="95"/>
      <c r="AV3611" s="95"/>
      <c r="AW3611" s="95"/>
      <c r="AX3611" s="95"/>
      <c r="AY3611" s="95"/>
      <c r="AZ3611" s="95"/>
      <c r="BA3611" s="95"/>
    </row>
    <row r="3612" ht="15.75" hidden="1" customHeight="1">
      <c r="A3612" s="395"/>
      <c r="B3612" s="24"/>
      <c r="C3612" s="95"/>
      <c r="D3612" s="95"/>
      <c r="E3612" s="95"/>
      <c r="F3612" s="95"/>
      <c r="G3612" s="95"/>
      <c r="H3612" s="95"/>
      <c r="I3612" s="95"/>
      <c r="J3612" s="95"/>
      <c r="K3612" s="95"/>
      <c r="L3612" s="95"/>
      <c r="M3612" s="95"/>
      <c r="N3612" s="95">
        <f>IF($N$3539&gt;0,PPMT('Assumptions (CSP)'!$V$7,Model!W$1,'Assumptions (CSP)'!$V$10,'Assumptions (CSP)'!$V$5*Model!$N$3539*AVERAGE('Assumptions (CSP)'!$J$2:$L$2)/10^9),0)</f>
        <v>0</v>
      </c>
      <c r="O3612" s="95">
        <f>IF($N$3539&gt;0,PPMT('Assumptions (CSP)'!$V$7,Model!X$1,'Assumptions (CSP)'!$V$10,'Assumptions (CSP)'!$V$5*Model!$N$3539*AVERAGE('Assumptions (CSP)'!$J$2:$L$2)/10^9),0)</f>
        <v>0</v>
      </c>
      <c r="P3612" s="95">
        <f>IF($N$3539&gt;0,PPMT('Assumptions (CSP)'!$V$7,Model!Y$1,'Assumptions (CSP)'!$V$10,'Assumptions (CSP)'!$V$5*Model!$N$3539*AVERAGE('Assumptions (CSP)'!$J$2:$L$2)/10^9),0)</f>
        <v>0</v>
      </c>
      <c r="Q3612" s="95">
        <f>IF($N$3539&gt;0,PPMT('Assumptions (CSP)'!$V$7,Model!Z$1,'Assumptions (CSP)'!$V$10,'Assumptions (CSP)'!$V$5*Model!$N$3539*AVERAGE('Assumptions (CSP)'!$J$2:$L$2)/10^9),0)</f>
        <v>0</v>
      </c>
      <c r="R3612" s="95">
        <f>IF($N$3539&gt;0,PPMT('Assumptions (CSP)'!$V$7,Model!AA$1,'Assumptions (CSP)'!$V$10,'Assumptions (CSP)'!$V$5*Model!$N$3539*AVERAGE('Assumptions (CSP)'!$J$2:$L$2)/10^9),0)</f>
        <v>0</v>
      </c>
      <c r="S3612" s="95">
        <f>IF($N$3539&gt;0,PPMT('Assumptions (CSP)'!$V$7,Model!AB$1,'Assumptions (CSP)'!$V$10,'Assumptions (CSP)'!$V$5*Model!$N$3539*AVERAGE('Assumptions (CSP)'!$J$2:$L$2)/10^9),0)</f>
        <v>0</v>
      </c>
      <c r="T3612" s="95">
        <f>IF($N$3539&gt;0,PPMT('Assumptions (CSP)'!$V$7,Model!AC$1,'Assumptions (CSP)'!$V$10,'Assumptions (CSP)'!$V$5*Model!$N$3539*AVERAGE('Assumptions (CSP)'!$J$2:$L$2)/10^9),0)</f>
        <v>0</v>
      </c>
      <c r="U3612" s="95">
        <f>IF($N$3539&gt;0,PPMT('Assumptions (CSP)'!$V$7,Model!AD$1,'Assumptions (CSP)'!$V$10,'Assumptions (CSP)'!$V$5*Model!$N$3539*AVERAGE('Assumptions (CSP)'!$J$2:$L$2)/10^9),0)</f>
        <v>0</v>
      </c>
      <c r="V3612" s="95">
        <f>IF($N$3539&gt;0,PPMT('Assumptions (CSP)'!$V$7,Model!AE$1,'Assumptions (CSP)'!$V$10,'Assumptions (CSP)'!$V$5*Model!$N$3539*AVERAGE('Assumptions (CSP)'!$J$2:$L$2)/10^9),0)</f>
        <v>0</v>
      </c>
      <c r="W3612" s="95">
        <f>IF($N$3539&gt;0,PPMT('Assumptions (CSP)'!$V$7,Model!AF$1,'Assumptions (CSP)'!$V$10,'Assumptions (CSP)'!$V$5*Model!$N$3539*AVERAGE('Assumptions (CSP)'!$J$2:$L$2)/10^9),0)</f>
        <v>0</v>
      </c>
      <c r="X3612" s="95">
        <f>IF($N$3539&gt;0,PPMT('Assumptions (CSP)'!$V$7,Model!AG$1,'Assumptions (CSP)'!$V$10,'Assumptions (CSP)'!$V$5*Model!$N$3539*AVERAGE('Assumptions (CSP)'!$J$2:$L$2)/10^9),0)</f>
        <v>0</v>
      </c>
      <c r="Y3612" s="95">
        <f>IF($N$3539&gt;0,PPMT('Assumptions (CSP)'!$V$7,Model!AH$1,'Assumptions (CSP)'!$V$10,'Assumptions (CSP)'!$V$5*Model!$N$3539*AVERAGE('Assumptions (CSP)'!$J$2:$L$2)/10^9),0)</f>
        <v>0</v>
      </c>
      <c r="Z3612" s="95">
        <f>IF($N$3539&gt;0,PPMT('Assumptions (CSP)'!$V$7,Model!AI$1,'Assumptions (CSP)'!$V$10,'Assumptions (CSP)'!$V$5*Model!$N$3539*AVERAGE('Assumptions (CSP)'!$J$2:$L$2)/10^9),0)</f>
        <v>0</v>
      </c>
      <c r="AA3612" s="95">
        <f>IF($N$3539&gt;0,PPMT('Assumptions (CSP)'!$V$7,Model!AJ$1,'Assumptions (CSP)'!$V$10,'Assumptions (CSP)'!$V$5*Model!$N$3539*AVERAGE('Assumptions (CSP)'!$J$2:$L$2)/10^9),0)</f>
        <v>0</v>
      </c>
      <c r="AB3612" s="95">
        <f>IF($N$3539&gt;0,PPMT('Assumptions (CSP)'!$V$7,Model!AK$1,'Assumptions (CSP)'!$V$10,'Assumptions (CSP)'!$V$5*Model!$N$3539*AVERAGE('Assumptions (CSP)'!$J$2:$L$2)/10^9),0)</f>
        <v>0</v>
      </c>
      <c r="AC3612" s="95"/>
      <c r="AD3612" s="95"/>
      <c r="AE3612" s="95"/>
      <c r="AF3612" s="95"/>
      <c r="AG3612" s="95"/>
      <c r="AH3612" s="95"/>
      <c r="AI3612" s="95"/>
      <c r="AJ3612" s="95"/>
      <c r="AK3612" s="95"/>
      <c r="AL3612" s="95"/>
      <c r="AM3612" s="95"/>
      <c r="AN3612" s="95"/>
      <c r="AO3612" s="95"/>
      <c r="AP3612" s="95"/>
      <c r="AQ3612" s="95"/>
      <c r="AR3612" s="95"/>
      <c r="AS3612" s="95"/>
      <c r="AT3612" s="95"/>
      <c r="AU3612" s="95"/>
      <c r="AV3612" s="95"/>
      <c r="AW3612" s="95"/>
      <c r="AX3612" s="95"/>
      <c r="AY3612" s="95"/>
      <c r="AZ3612" s="95"/>
      <c r="BA3612" s="95"/>
    </row>
    <row r="3613" ht="15.75" hidden="1" customHeight="1">
      <c r="A3613" s="395"/>
      <c r="B3613" s="24"/>
      <c r="C3613" s="95"/>
      <c r="D3613" s="95"/>
      <c r="E3613" s="95"/>
      <c r="F3613" s="95"/>
      <c r="G3613" s="95"/>
      <c r="H3613" s="95"/>
      <c r="I3613" s="95"/>
      <c r="J3613" s="95"/>
      <c r="K3613" s="95"/>
      <c r="L3613" s="95"/>
      <c r="M3613" s="95"/>
      <c r="N3613" s="95"/>
      <c r="O3613" s="95">
        <f>IF($O$3539&gt;0,PPMT('Assumptions (CSP)'!$V$7,Model!W$1,'Assumptions (CSP)'!$V$10,'Assumptions (CSP)'!$V$5*Model!$O$3539*AVERAGE('Assumptions (CSP)'!$K$2:$M$2)/10^9),0)</f>
        <v>0</v>
      </c>
      <c r="P3613" s="95">
        <f>IF($O$3539&gt;0,PPMT('Assumptions (CSP)'!$V$7,Model!X$1,'Assumptions (CSP)'!$V$10,'Assumptions (CSP)'!$V$5*Model!$O$3539*AVERAGE('Assumptions (CSP)'!$K$2:$M$2)/10^9),0)</f>
        <v>0</v>
      </c>
      <c r="Q3613" s="95">
        <f>IF($O$3539&gt;0,PPMT('Assumptions (CSP)'!$V$7,Model!Y$1,'Assumptions (CSP)'!$V$10,'Assumptions (CSP)'!$V$5*Model!$O$3539*AVERAGE('Assumptions (CSP)'!$K$2:$M$2)/10^9),0)</f>
        <v>0</v>
      </c>
      <c r="R3613" s="95">
        <f>IF($O$3539&gt;0,PPMT('Assumptions (CSP)'!$V$7,Model!Z$1,'Assumptions (CSP)'!$V$10,'Assumptions (CSP)'!$V$5*Model!$O$3539*AVERAGE('Assumptions (CSP)'!$K$2:$M$2)/10^9),0)</f>
        <v>0</v>
      </c>
      <c r="S3613" s="95">
        <f>IF($O$3539&gt;0,PPMT('Assumptions (CSP)'!$V$7,Model!AA$1,'Assumptions (CSP)'!$V$10,'Assumptions (CSP)'!$V$5*Model!$O$3539*AVERAGE('Assumptions (CSP)'!$K$2:$M$2)/10^9),0)</f>
        <v>0</v>
      </c>
      <c r="T3613" s="95">
        <f>IF($O$3539&gt;0,PPMT('Assumptions (CSP)'!$V$7,Model!AB$1,'Assumptions (CSP)'!$V$10,'Assumptions (CSP)'!$V$5*Model!$O$3539*AVERAGE('Assumptions (CSP)'!$K$2:$M$2)/10^9),0)</f>
        <v>0</v>
      </c>
      <c r="U3613" s="95">
        <f>IF($O$3539&gt;0,PPMT('Assumptions (CSP)'!$V$7,Model!AC$1,'Assumptions (CSP)'!$V$10,'Assumptions (CSP)'!$V$5*Model!$O$3539*AVERAGE('Assumptions (CSP)'!$K$2:$M$2)/10^9),0)</f>
        <v>0</v>
      </c>
      <c r="V3613" s="95">
        <f>IF($O$3539&gt;0,PPMT('Assumptions (CSP)'!$V$7,Model!AD$1,'Assumptions (CSP)'!$V$10,'Assumptions (CSP)'!$V$5*Model!$O$3539*AVERAGE('Assumptions (CSP)'!$K$2:$M$2)/10^9),0)</f>
        <v>0</v>
      </c>
      <c r="W3613" s="95">
        <f>IF($O$3539&gt;0,PPMT('Assumptions (CSP)'!$V$7,Model!AE$1,'Assumptions (CSP)'!$V$10,'Assumptions (CSP)'!$V$5*Model!$O$3539*AVERAGE('Assumptions (CSP)'!$K$2:$M$2)/10^9),0)</f>
        <v>0</v>
      </c>
      <c r="X3613" s="95">
        <f>IF($O$3539&gt;0,PPMT('Assumptions (CSP)'!$V$7,Model!AF$1,'Assumptions (CSP)'!$V$10,'Assumptions (CSP)'!$V$5*Model!$O$3539*AVERAGE('Assumptions (CSP)'!$K$2:$M$2)/10^9),0)</f>
        <v>0</v>
      </c>
      <c r="Y3613" s="95">
        <f>IF($O$3539&gt;0,PPMT('Assumptions (CSP)'!$V$7,Model!AG$1,'Assumptions (CSP)'!$V$10,'Assumptions (CSP)'!$V$5*Model!$O$3539*AVERAGE('Assumptions (CSP)'!$K$2:$M$2)/10^9),0)</f>
        <v>0</v>
      </c>
      <c r="Z3613" s="95">
        <f>IF($O$3539&gt;0,PPMT('Assumptions (CSP)'!$V$7,Model!AH$1,'Assumptions (CSP)'!$V$10,'Assumptions (CSP)'!$V$5*Model!$O$3539*AVERAGE('Assumptions (CSP)'!$K$2:$M$2)/10^9),0)</f>
        <v>0</v>
      </c>
      <c r="AA3613" s="95">
        <f>IF($O$3539&gt;0,PPMT('Assumptions (CSP)'!$V$7,Model!AI$1,'Assumptions (CSP)'!$V$10,'Assumptions (CSP)'!$V$5*Model!$O$3539*AVERAGE('Assumptions (CSP)'!$K$2:$M$2)/10^9),0)</f>
        <v>0</v>
      </c>
      <c r="AB3613" s="95">
        <f>IF($O$3539&gt;0,PPMT('Assumptions (CSP)'!$V$7,Model!AJ$1,'Assumptions (CSP)'!$V$10,'Assumptions (CSP)'!$V$5*Model!$O$3539*AVERAGE('Assumptions (CSP)'!$K$2:$M$2)/10^9),0)</f>
        <v>0</v>
      </c>
      <c r="AC3613" s="95">
        <f>IF($O$3539&gt;0,PPMT('Assumptions (CSP)'!$V$7,Model!AK$1,'Assumptions (CSP)'!$V$10,'Assumptions (CSP)'!$V$5*Model!$O$3539*AVERAGE('Assumptions (CSP)'!$K$2:$M$2)/10^9),0)</f>
        <v>0</v>
      </c>
      <c r="AD3613" s="95"/>
      <c r="AE3613" s="95"/>
      <c r="AF3613" s="95"/>
      <c r="AG3613" s="95"/>
      <c r="AH3613" s="95"/>
      <c r="AI3613" s="95"/>
      <c r="AJ3613" s="95"/>
      <c r="AK3613" s="95"/>
      <c r="AL3613" s="95"/>
      <c r="AM3613" s="95"/>
      <c r="AN3613" s="95"/>
      <c r="AO3613" s="95"/>
      <c r="AP3613" s="95"/>
      <c r="AQ3613" s="95"/>
      <c r="AR3613" s="95"/>
      <c r="AS3613" s="95"/>
      <c r="AT3613" s="95"/>
      <c r="AU3613" s="95"/>
      <c r="AV3613" s="95"/>
      <c r="AW3613" s="95"/>
      <c r="AX3613" s="95"/>
      <c r="AY3613" s="95"/>
      <c r="AZ3613" s="95"/>
      <c r="BA3613" s="95"/>
    </row>
    <row r="3614" ht="15.75" hidden="1" customHeight="1">
      <c r="A3614" s="395"/>
      <c r="B3614" s="24"/>
      <c r="C3614" s="95"/>
      <c r="D3614" s="95"/>
      <c r="E3614" s="95"/>
      <c r="F3614" s="95"/>
      <c r="G3614" s="95"/>
      <c r="H3614" s="95"/>
      <c r="I3614" s="95"/>
      <c r="J3614" s="95"/>
      <c r="K3614" s="95"/>
      <c r="L3614" s="95"/>
      <c r="M3614" s="95"/>
      <c r="N3614" s="95"/>
      <c r="O3614" s="95"/>
      <c r="P3614" s="95">
        <f>IF($P$3539&gt;0,PPMT('Assumptions (CSP)'!$V$7,Model!W$1,'Assumptions (CSP)'!$V$10,'Assumptions (CSP)'!$V$5*Model!$P$3539*AVERAGE('Assumptions (CSP)'!$L$2:$N$2)/10^9),0)</f>
        <v>0</v>
      </c>
      <c r="Q3614" s="95">
        <f>IF($P$3539&gt;0,PPMT('Assumptions (CSP)'!$V$7,Model!X$1,'Assumptions (CSP)'!$V$10,'Assumptions (CSP)'!$V$5*Model!$P$3539*AVERAGE('Assumptions (CSP)'!$L$2:$N$2)/10^9),0)</f>
        <v>0</v>
      </c>
      <c r="R3614" s="95">
        <f>IF($P$3539&gt;0,PPMT('Assumptions (CSP)'!$V$7,Model!Y$1,'Assumptions (CSP)'!$V$10,'Assumptions (CSP)'!$V$5*Model!$P$3539*AVERAGE('Assumptions (CSP)'!$L$2:$N$2)/10^9),0)</f>
        <v>0</v>
      </c>
      <c r="S3614" s="95">
        <f>IF($P$3539&gt;0,PPMT('Assumptions (CSP)'!$V$7,Model!Z$1,'Assumptions (CSP)'!$V$10,'Assumptions (CSP)'!$V$5*Model!$P$3539*AVERAGE('Assumptions (CSP)'!$L$2:$N$2)/10^9),0)</f>
        <v>0</v>
      </c>
      <c r="T3614" s="95">
        <f>IF($P$3539&gt;0,PPMT('Assumptions (CSP)'!$V$7,Model!AA$1,'Assumptions (CSP)'!$V$10,'Assumptions (CSP)'!$V$5*Model!$P$3539*AVERAGE('Assumptions (CSP)'!$L$2:$N$2)/10^9),0)</f>
        <v>0</v>
      </c>
      <c r="U3614" s="95">
        <f>IF($P$3539&gt;0,PPMT('Assumptions (CSP)'!$V$7,Model!AB$1,'Assumptions (CSP)'!$V$10,'Assumptions (CSP)'!$V$5*Model!$P$3539*AVERAGE('Assumptions (CSP)'!$L$2:$N$2)/10^9),0)</f>
        <v>0</v>
      </c>
      <c r="V3614" s="95">
        <f>IF($P$3539&gt;0,PPMT('Assumptions (CSP)'!$V$7,Model!AC$1,'Assumptions (CSP)'!$V$10,'Assumptions (CSP)'!$V$5*Model!$P$3539*AVERAGE('Assumptions (CSP)'!$L$2:$N$2)/10^9),0)</f>
        <v>0</v>
      </c>
      <c r="W3614" s="95">
        <f>IF($P$3539&gt;0,PPMT('Assumptions (CSP)'!$V$7,Model!AD$1,'Assumptions (CSP)'!$V$10,'Assumptions (CSP)'!$V$5*Model!$P$3539*AVERAGE('Assumptions (CSP)'!$L$2:$N$2)/10^9),0)</f>
        <v>0</v>
      </c>
      <c r="X3614" s="95">
        <f>IF($P$3539&gt;0,PPMT('Assumptions (CSP)'!$V$7,Model!AE$1,'Assumptions (CSP)'!$V$10,'Assumptions (CSP)'!$V$5*Model!$P$3539*AVERAGE('Assumptions (CSP)'!$L$2:$N$2)/10^9),0)</f>
        <v>0</v>
      </c>
      <c r="Y3614" s="95">
        <f>IF($P$3539&gt;0,PPMT('Assumptions (CSP)'!$V$7,Model!AF$1,'Assumptions (CSP)'!$V$10,'Assumptions (CSP)'!$V$5*Model!$P$3539*AVERAGE('Assumptions (CSP)'!$L$2:$N$2)/10^9),0)</f>
        <v>0</v>
      </c>
      <c r="Z3614" s="95">
        <f>IF($P$3539&gt;0,PPMT('Assumptions (CSP)'!$V$7,Model!AG$1,'Assumptions (CSP)'!$V$10,'Assumptions (CSP)'!$V$5*Model!$P$3539*AVERAGE('Assumptions (CSP)'!$L$2:$N$2)/10^9),0)</f>
        <v>0</v>
      </c>
      <c r="AA3614" s="95">
        <f>IF($P$3539&gt;0,PPMT('Assumptions (CSP)'!$V$7,Model!AH$1,'Assumptions (CSP)'!$V$10,'Assumptions (CSP)'!$V$5*Model!$P$3539*AVERAGE('Assumptions (CSP)'!$L$2:$N$2)/10^9),0)</f>
        <v>0</v>
      </c>
      <c r="AB3614" s="95">
        <f>IF($P$3539&gt;0,PPMT('Assumptions (CSP)'!$V$7,Model!AI$1,'Assumptions (CSP)'!$V$10,'Assumptions (CSP)'!$V$5*Model!$P$3539*AVERAGE('Assumptions (CSP)'!$L$2:$N$2)/10^9),0)</f>
        <v>0</v>
      </c>
      <c r="AC3614" s="95">
        <f>IF($P$3539&gt;0,PPMT('Assumptions (CSP)'!$V$7,Model!AJ$1,'Assumptions (CSP)'!$V$10,'Assumptions (CSP)'!$V$5*Model!$P$3539*AVERAGE('Assumptions (CSP)'!$L$2:$N$2)/10^9),0)</f>
        <v>0</v>
      </c>
      <c r="AD3614" s="95">
        <f>IF($P$3539&gt;0,PPMT('Assumptions (CSP)'!$V$7,Model!AK$1,'Assumptions (CSP)'!$V$10,'Assumptions (CSP)'!$V$5*Model!$P$3539*AVERAGE('Assumptions (CSP)'!$L$2:$N$2)/10^9),0)</f>
        <v>0</v>
      </c>
      <c r="AE3614" s="95"/>
      <c r="AF3614" s="95"/>
      <c r="AG3614" s="95"/>
      <c r="AH3614" s="95"/>
      <c r="AI3614" s="95"/>
      <c r="AJ3614" s="95"/>
      <c r="AK3614" s="95"/>
      <c r="AL3614" s="95"/>
      <c r="AM3614" s="95"/>
      <c r="AN3614" s="95"/>
      <c r="AO3614" s="95"/>
      <c r="AP3614" s="95"/>
      <c r="AQ3614" s="95"/>
      <c r="AR3614" s="95"/>
      <c r="AS3614" s="95"/>
      <c r="AT3614" s="95"/>
      <c r="AU3614" s="95"/>
      <c r="AV3614" s="95"/>
      <c r="AW3614" s="95"/>
      <c r="AX3614" s="95"/>
      <c r="AY3614" s="95"/>
      <c r="AZ3614" s="95"/>
      <c r="BA3614" s="95"/>
    </row>
    <row r="3615" ht="15.75" hidden="1" customHeight="1">
      <c r="A3615" s="395"/>
      <c r="B3615" s="24"/>
      <c r="C3615" s="95"/>
      <c r="D3615" s="95"/>
      <c r="E3615" s="95"/>
      <c r="F3615" s="95"/>
      <c r="G3615" s="95"/>
      <c r="H3615" s="95"/>
      <c r="I3615" s="95"/>
      <c r="J3615" s="95"/>
      <c r="K3615" s="95"/>
      <c r="L3615" s="95"/>
      <c r="M3615" s="95"/>
      <c r="N3615" s="95"/>
      <c r="O3615" s="95"/>
      <c r="P3615" s="95"/>
      <c r="Q3615" s="95">
        <f>IF($Q$3539&gt;0,PPMT('Assumptions (CSP)'!$V$7,Model!W$1,'Assumptions (CSP)'!$V$10,'Assumptions (CSP)'!$V$5*Model!$Q$3539*AVERAGE('Assumptions (CSP)'!$M$2:$O$2)/10^9),0)</f>
        <v>0</v>
      </c>
      <c r="R3615" s="95">
        <f>IF($Q$3539&gt;0,PPMT('Assumptions (CSP)'!$V$7,Model!X$1,'Assumptions (CSP)'!$V$10,'Assumptions (CSP)'!$V$5*Model!$Q$3539*AVERAGE('Assumptions (CSP)'!$M$2:$O$2)/10^9),0)</f>
        <v>0</v>
      </c>
      <c r="S3615" s="95">
        <f>IF($Q$3539&gt;0,PPMT('Assumptions (CSP)'!$V$7,Model!Y$1,'Assumptions (CSP)'!$V$10,'Assumptions (CSP)'!$V$5*Model!$Q$3539*AVERAGE('Assumptions (CSP)'!$M$2:$O$2)/10^9),0)</f>
        <v>0</v>
      </c>
      <c r="T3615" s="95">
        <f>IF($Q$3539&gt;0,PPMT('Assumptions (CSP)'!$V$7,Model!Z$1,'Assumptions (CSP)'!$V$10,'Assumptions (CSP)'!$V$5*Model!$Q$3539*AVERAGE('Assumptions (CSP)'!$M$2:$O$2)/10^9),0)</f>
        <v>0</v>
      </c>
      <c r="U3615" s="95">
        <f>IF($Q$3539&gt;0,PPMT('Assumptions (CSP)'!$V$7,Model!AA$1,'Assumptions (CSP)'!$V$10,'Assumptions (CSP)'!$V$5*Model!$Q$3539*AVERAGE('Assumptions (CSP)'!$M$2:$O$2)/10^9),0)</f>
        <v>0</v>
      </c>
      <c r="V3615" s="95">
        <f>IF($Q$3539&gt;0,PPMT('Assumptions (CSP)'!$V$7,Model!AB$1,'Assumptions (CSP)'!$V$10,'Assumptions (CSP)'!$V$5*Model!$Q$3539*AVERAGE('Assumptions (CSP)'!$M$2:$O$2)/10^9),0)</f>
        <v>0</v>
      </c>
      <c r="W3615" s="95">
        <f>IF($Q$3539&gt;0,PPMT('Assumptions (CSP)'!$V$7,Model!AC$1,'Assumptions (CSP)'!$V$10,'Assumptions (CSP)'!$V$5*Model!$Q$3539*AVERAGE('Assumptions (CSP)'!$M$2:$O$2)/10^9),0)</f>
        <v>0</v>
      </c>
      <c r="X3615" s="95">
        <f>IF($Q$3539&gt;0,PPMT('Assumptions (CSP)'!$V$7,Model!AD$1,'Assumptions (CSP)'!$V$10,'Assumptions (CSP)'!$V$5*Model!$Q$3539*AVERAGE('Assumptions (CSP)'!$M$2:$O$2)/10^9),0)</f>
        <v>0</v>
      </c>
      <c r="Y3615" s="95">
        <f>IF($Q$3539&gt;0,PPMT('Assumptions (CSP)'!$V$7,Model!AE$1,'Assumptions (CSP)'!$V$10,'Assumptions (CSP)'!$V$5*Model!$Q$3539*AVERAGE('Assumptions (CSP)'!$M$2:$O$2)/10^9),0)</f>
        <v>0</v>
      </c>
      <c r="Z3615" s="95">
        <f>IF($Q$3539&gt;0,PPMT('Assumptions (CSP)'!$V$7,Model!AF$1,'Assumptions (CSP)'!$V$10,'Assumptions (CSP)'!$V$5*Model!$Q$3539*AVERAGE('Assumptions (CSP)'!$M$2:$O$2)/10^9),0)</f>
        <v>0</v>
      </c>
      <c r="AA3615" s="95">
        <f>IF($Q$3539&gt;0,PPMT('Assumptions (CSP)'!$V$7,Model!AG$1,'Assumptions (CSP)'!$V$10,'Assumptions (CSP)'!$V$5*Model!$Q$3539*AVERAGE('Assumptions (CSP)'!$M$2:$O$2)/10^9),0)</f>
        <v>0</v>
      </c>
      <c r="AB3615" s="95">
        <f>IF($Q$3539&gt;0,PPMT('Assumptions (CSP)'!$V$7,Model!AH$1,'Assumptions (CSP)'!$V$10,'Assumptions (CSP)'!$V$5*Model!$Q$3539*AVERAGE('Assumptions (CSP)'!$M$2:$O$2)/10^9),0)</f>
        <v>0</v>
      </c>
      <c r="AC3615" s="95">
        <f>IF($Q$3539&gt;0,PPMT('Assumptions (CSP)'!$V$7,Model!AI$1,'Assumptions (CSP)'!$V$10,'Assumptions (CSP)'!$V$5*Model!$Q$3539*AVERAGE('Assumptions (CSP)'!$M$2:$O$2)/10^9),0)</f>
        <v>0</v>
      </c>
      <c r="AD3615" s="95">
        <f>IF($Q$3539&gt;0,PPMT('Assumptions (CSP)'!$V$7,Model!AJ$1,'Assumptions (CSP)'!$V$10,'Assumptions (CSP)'!$V$5*Model!$Q$3539*AVERAGE('Assumptions (CSP)'!$M$2:$O$2)/10^9),0)</f>
        <v>0</v>
      </c>
      <c r="AE3615" s="95">
        <f>IF($Q$3539&gt;0,PPMT('Assumptions (CSP)'!$V$7,Model!AK$1,'Assumptions (CSP)'!$V$10,'Assumptions (CSP)'!$V$5*Model!$Q$3539*AVERAGE('Assumptions (CSP)'!$M$2:$O$2)/10^9),0)</f>
        <v>0</v>
      </c>
      <c r="AF3615" s="95"/>
      <c r="AG3615" s="95"/>
      <c r="AH3615" s="95"/>
      <c r="AI3615" s="95"/>
      <c r="AJ3615" s="95"/>
      <c r="AK3615" s="95"/>
      <c r="AL3615" s="95"/>
      <c r="AM3615" s="95"/>
      <c r="AN3615" s="95"/>
      <c r="AO3615" s="95"/>
      <c r="AP3615" s="95"/>
      <c r="AQ3615" s="95"/>
      <c r="AR3615" s="95"/>
      <c r="AS3615" s="95"/>
      <c r="AT3615" s="95"/>
      <c r="AU3615" s="95"/>
      <c r="AV3615" s="95"/>
      <c r="AW3615" s="95"/>
      <c r="AX3615" s="95"/>
      <c r="AY3615" s="95"/>
      <c r="AZ3615" s="95"/>
      <c r="BA3615" s="95"/>
    </row>
    <row r="3616" ht="15.75" hidden="1" customHeight="1">
      <c r="A3616" s="395"/>
      <c r="B3616" s="24"/>
      <c r="C3616" s="95"/>
      <c r="D3616" s="95"/>
      <c r="E3616" s="95"/>
      <c r="F3616" s="95"/>
      <c r="G3616" s="95"/>
      <c r="H3616" s="95"/>
      <c r="I3616" s="95"/>
      <c r="J3616" s="95"/>
      <c r="K3616" s="95"/>
      <c r="L3616" s="95"/>
      <c r="M3616" s="95"/>
      <c r="N3616" s="95"/>
      <c r="O3616" s="95"/>
      <c r="P3616" s="95"/>
      <c r="Q3616" s="95"/>
      <c r="R3616" s="95">
        <f>IF($R$3539&gt;0,PPMT('Assumptions (CSP)'!$V$7,Model!W$1,'Assumptions (CSP)'!$V$10,'Assumptions (CSP)'!$V$5*Model!$R$3539*AVERAGE('Assumptions (CSP)'!$N$2:$P$2)/10^9),0)</f>
        <v>0</v>
      </c>
      <c r="S3616" s="95">
        <f>IF($R$3539&gt;0,PPMT('Assumptions (CSP)'!$V$7,Model!X$1,'Assumptions (CSP)'!$V$10,'Assumptions (CSP)'!$V$5*Model!$R$3539*AVERAGE('Assumptions (CSP)'!$N$2:$P$2)/10^9),0)</f>
        <v>0</v>
      </c>
      <c r="T3616" s="95">
        <f>IF($R$3539&gt;0,PPMT('Assumptions (CSP)'!$V$7,Model!Y$1,'Assumptions (CSP)'!$V$10,'Assumptions (CSP)'!$V$5*Model!$R$3539*AVERAGE('Assumptions (CSP)'!$N$2:$P$2)/10^9),0)</f>
        <v>0</v>
      </c>
      <c r="U3616" s="95">
        <f>IF($R$3539&gt;0,PPMT('Assumptions (CSP)'!$V$7,Model!Z$1,'Assumptions (CSP)'!$V$10,'Assumptions (CSP)'!$V$5*Model!$R$3539*AVERAGE('Assumptions (CSP)'!$N$2:$P$2)/10^9),0)</f>
        <v>0</v>
      </c>
      <c r="V3616" s="95">
        <f>IF($R$3539&gt;0,PPMT('Assumptions (CSP)'!$V$7,Model!AA$1,'Assumptions (CSP)'!$V$10,'Assumptions (CSP)'!$V$5*Model!$R$3539*AVERAGE('Assumptions (CSP)'!$N$2:$P$2)/10^9),0)</f>
        <v>0</v>
      </c>
      <c r="W3616" s="95">
        <f>IF($R$3539&gt;0,PPMT('Assumptions (CSP)'!$V$7,Model!AB$1,'Assumptions (CSP)'!$V$10,'Assumptions (CSP)'!$V$5*Model!$R$3539*AVERAGE('Assumptions (CSP)'!$N$2:$P$2)/10^9),0)</f>
        <v>0</v>
      </c>
      <c r="X3616" s="95">
        <f>IF($R$3539&gt;0,PPMT('Assumptions (CSP)'!$V$7,Model!AC$1,'Assumptions (CSP)'!$V$10,'Assumptions (CSP)'!$V$5*Model!$R$3539*AVERAGE('Assumptions (CSP)'!$N$2:$P$2)/10^9),0)</f>
        <v>0</v>
      </c>
      <c r="Y3616" s="95">
        <f>IF($R$3539&gt;0,PPMT('Assumptions (CSP)'!$V$7,Model!AD$1,'Assumptions (CSP)'!$V$10,'Assumptions (CSP)'!$V$5*Model!$R$3539*AVERAGE('Assumptions (CSP)'!$N$2:$P$2)/10^9),0)</f>
        <v>0</v>
      </c>
      <c r="Z3616" s="95">
        <f>IF($R$3539&gt;0,PPMT('Assumptions (CSP)'!$V$7,Model!AE$1,'Assumptions (CSP)'!$V$10,'Assumptions (CSP)'!$V$5*Model!$R$3539*AVERAGE('Assumptions (CSP)'!$N$2:$P$2)/10^9),0)</f>
        <v>0</v>
      </c>
      <c r="AA3616" s="95">
        <f>IF($R$3539&gt;0,PPMT('Assumptions (CSP)'!$V$7,Model!AF$1,'Assumptions (CSP)'!$V$10,'Assumptions (CSP)'!$V$5*Model!$R$3539*AVERAGE('Assumptions (CSP)'!$N$2:$P$2)/10^9),0)</f>
        <v>0</v>
      </c>
      <c r="AB3616" s="95">
        <f>IF($R$3539&gt;0,PPMT('Assumptions (CSP)'!$V$7,Model!AG$1,'Assumptions (CSP)'!$V$10,'Assumptions (CSP)'!$V$5*Model!$R$3539*AVERAGE('Assumptions (CSP)'!$N$2:$P$2)/10^9),0)</f>
        <v>0</v>
      </c>
      <c r="AC3616" s="95">
        <f>IF($R$3539&gt;0,PPMT('Assumptions (CSP)'!$V$7,Model!AH$1,'Assumptions (CSP)'!$V$10,'Assumptions (CSP)'!$V$5*Model!$R$3539*AVERAGE('Assumptions (CSP)'!$N$2:$P$2)/10^9),0)</f>
        <v>0</v>
      </c>
      <c r="AD3616" s="95">
        <f>IF($R$3539&gt;0,PPMT('Assumptions (CSP)'!$V$7,Model!AI$1,'Assumptions (CSP)'!$V$10,'Assumptions (CSP)'!$V$5*Model!$R$3539*AVERAGE('Assumptions (CSP)'!$N$2:$P$2)/10^9),0)</f>
        <v>0</v>
      </c>
      <c r="AE3616" s="95">
        <f>IF($R$3539&gt;0,PPMT('Assumptions (CSP)'!$V$7,Model!AJ$1,'Assumptions (CSP)'!$V$10,'Assumptions (CSP)'!$V$5*Model!$R$3539*AVERAGE('Assumptions (CSP)'!$N$2:$P$2)/10^9),0)</f>
        <v>0</v>
      </c>
      <c r="AF3616" s="95">
        <f>IF($R$3539&gt;0,PPMT('Assumptions (CSP)'!$V$7,Model!AK$1,'Assumptions (CSP)'!$V$10,'Assumptions (CSP)'!$V$5*Model!$R$3539*AVERAGE('Assumptions (CSP)'!$N$2:$P$2)/10^9),0)</f>
        <v>0</v>
      </c>
      <c r="AG3616" s="95"/>
      <c r="AH3616" s="95"/>
      <c r="AI3616" s="95"/>
      <c r="AJ3616" s="95"/>
      <c r="AK3616" s="95"/>
      <c r="AL3616" s="95"/>
      <c r="AM3616" s="95"/>
      <c r="AN3616" s="95"/>
      <c r="AO3616" s="95"/>
      <c r="AP3616" s="95"/>
      <c r="AQ3616" s="95"/>
      <c r="AR3616" s="95"/>
      <c r="AS3616" s="95"/>
      <c r="AT3616" s="95"/>
      <c r="AU3616" s="95"/>
      <c r="AV3616" s="95"/>
      <c r="AW3616" s="95"/>
      <c r="AX3616" s="95"/>
      <c r="AY3616" s="95"/>
      <c r="AZ3616" s="95"/>
      <c r="BA3616" s="95"/>
    </row>
    <row r="3617" ht="15.75" hidden="1" customHeight="1">
      <c r="A3617" s="395"/>
      <c r="B3617" s="24"/>
      <c r="C3617" s="95"/>
      <c r="D3617" s="95"/>
      <c r="E3617" s="95"/>
      <c r="F3617" s="95"/>
      <c r="G3617" s="95"/>
      <c r="H3617" s="95"/>
      <c r="I3617" s="95"/>
      <c r="J3617" s="95"/>
      <c r="K3617" s="95"/>
      <c r="L3617" s="95"/>
      <c r="M3617" s="95"/>
      <c r="N3617" s="95"/>
      <c r="O3617" s="95"/>
      <c r="P3617" s="95"/>
      <c r="Q3617" s="95"/>
      <c r="R3617" s="95"/>
      <c r="S3617" s="95">
        <f>IF($S$3539&gt;0,PPMT('Assumptions (CSP)'!$V$7,Model!W$1,'Assumptions (CSP)'!$V$10,'Assumptions (CSP)'!$V$5*Model!$S$3539*AVERAGE('Assumptions (CSP)'!$O$2:$Q$2)/10^9),0)</f>
        <v>0</v>
      </c>
      <c r="T3617" s="95">
        <f>IF($S$3539&gt;0,PPMT('Assumptions (CSP)'!$V$7,Model!X$1,'Assumptions (CSP)'!$V$10,'Assumptions (CSP)'!$V$5*Model!$S$3539*AVERAGE('Assumptions (CSP)'!$O$2:$Q$2)/10^9),0)</f>
        <v>0</v>
      </c>
      <c r="U3617" s="95">
        <f>IF($S$3539&gt;0,PPMT('Assumptions (CSP)'!$V$7,Model!Y$1,'Assumptions (CSP)'!$V$10,'Assumptions (CSP)'!$V$5*Model!$S$3539*AVERAGE('Assumptions (CSP)'!$O$2:$Q$2)/10^9),0)</f>
        <v>0</v>
      </c>
      <c r="V3617" s="95">
        <f>IF($S$3539&gt;0,PPMT('Assumptions (CSP)'!$V$7,Model!Z$1,'Assumptions (CSP)'!$V$10,'Assumptions (CSP)'!$V$5*Model!$S$3539*AVERAGE('Assumptions (CSP)'!$O$2:$Q$2)/10^9),0)</f>
        <v>0</v>
      </c>
      <c r="W3617" s="95">
        <f>IF($S$3539&gt;0,PPMT('Assumptions (CSP)'!$V$7,Model!AA$1,'Assumptions (CSP)'!$V$10,'Assumptions (CSP)'!$V$5*Model!$S$3539*AVERAGE('Assumptions (CSP)'!$O$2:$Q$2)/10^9),0)</f>
        <v>0</v>
      </c>
      <c r="X3617" s="95">
        <f>IF($S$3539&gt;0,PPMT('Assumptions (CSP)'!$V$7,Model!AB$1,'Assumptions (CSP)'!$V$10,'Assumptions (CSP)'!$V$5*Model!$S$3539*AVERAGE('Assumptions (CSP)'!$O$2:$Q$2)/10^9),0)</f>
        <v>0</v>
      </c>
      <c r="Y3617" s="95">
        <f>IF($S$3539&gt;0,PPMT('Assumptions (CSP)'!$V$7,Model!AC$1,'Assumptions (CSP)'!$V$10,'Assumptions (CSP)'!$V$5*Model!$S$3539*AVERAGE('Assumptions (CSP)'!$O$2:$Q$2)/10^9),0)</f>
        <v>0</v>
      </c>
      <c r="Z3617" s="95">
        <f>IF($S$3539&gt;0,PPMT('Assumptions (CSP)'!$V$7,Model!AD$1,'Assumptions (CSP)'!$V$10,'Assumptions (CSP)'!$V$5*Model!$S$3539*AVERAGE('Assumptions (CSP)'!$O$2:$Q$2)/10^9),0)</f>
        <v>0</v>
      </c>
      <c r="AA3617" s="95">
        <f>IF($S$3539&gt;0,PPMT('Assumptions (CSP)'!$V$7,Model!AE$1,'Assumptions (CSP)'!$V$10,'Assumptions (CSP)'!$V$5*Model!$S$3539*AVERAGE('Assumptions (CSP)'!$O$2:$Q$2)/10^9),0)</f>
        <v>0</v>
      </c>
      <c r="AB3617" s="95">
        <f>IF($S$3539&gt;0,PPMT('Assumptions (CSP)'!$V$7,Model!AF$1,'Assumptions (CSP)'!$V$10,'Assumptions (CSP)'!$V$5*Model!$S$3539*AVERAGE('Assumptions (CSP)'!$O$2:$Q$2)/10^9),0)</f>
        <v>0</v>
      </c>
      <c r="AC3617" s="95">
        <f>IF($S$3539&gt;0,PPMT('Assumptions (CSP)'!$V$7,Model!AG$1,'Assumptions (CSP)'!$V$10,'Assumptions (CSP)'!$V$5*Model!$S$3539*AVERAGE('Assumptions (CSP)'!$O$2:$Q$2)/10^9),0)</f>
        <v>0</v>
      </c>
      <c r="AD3617" s="95">
        <f>IF($S$3539&gt;0,PPMT('Assumptions (CSP)'!$V$7,Model!AH$1,'Assumptions (CSP)'!$V$10,'Assumptions (CSP)'!$V$5*Model!$S$3539*AVERAGE('Assumptions (CSP)'!$O$2:$Q$2)/10^9),0)</f>
        <v>0</v>
      </c>
      <c r="AE3617" s="95">
        <f>IF($S$3539&gt;0,PPMT('Assumptions (CSP)'!$V$7,Model!AI$1,'Assumptions (CSP)'!$V$10,'Assumptions (CSP)'!$V$5*Model!$S$3539*AVERAGE('Assumptions (CSP)'!$O$2:$Q$2)/10^9),0)</f>
        <v>0</v>
      </c>
      <c r="AF3617" s="95">
        <f>IF($S$3539&gt;0,PPMT('Assumptions (CSP)'!$V$7,Model!AJ$1,'Assumptions (CSP)'!$V$10,'Assumptions (CSP)'!$V$5*Model!$S$3539*AVERAGE('Assumptions (CSP)'!$O$2:$Q$2)/10^9),0)</f>
        <v>0</v>
      </c>
      <c r="AG3617" s="95">
        <f>IF($S$3539&gt;0,PPMT('Assumptions (CSP)'!$V$7,Model!AK$1,'Assumptions (CSP)'!$V$10,'Assumptions (CSP)'!$V$5*Model!$S$3539*AVERAGE('Assumptions (CSP)'!$O$2:$Q$2)/10^9),0)</f>
        <v>0</v>
      </c>
      <c r="AH3617" s="95"/>
      <c r="AI3617" s="95"/>
      <c r="AJ3617" s="95"/>
      <c r="AK3617" s="95"/>
      <c r="AL3617" s="95"/>
      <c r="AM3617" s="95"/>
      <c r="AN3617" s="95"/>
      <c r="AO3617" s="95"/>
      <c r="AP3617" s="95"/>
      <c r="AQ3617" s="95"/>
      <c r="AR3617" s="95"/>
      <c r="AS3617" s="95"/>
      <c r="AT3617" s="95"/>
      <c r="AU3617" s="95"/>
      <c r="AV3617" s="95"/>
      <c r="AW3617" s="95"/>
      <c r="AX3617" s="95"/>
      <c r="AY3617" s="95"/>
      <c r="AZ3617" s="95"/>
      <c r="BA3617" s="95"/>
    </row>
    <row r="3618" ht="15.75" hidden="1" customHeight="1">
      <c r="A3618" s="395"/>
      <c r="B3618" s="24"/>
      <c r="C3618" s="95"/>
      <c r="D3618" s="95"/>
      <c r="E3618" s="95"/>
      <c r="F3618" s="95"/>
      <c r="G3618" s="95"/>
      <c r="H3618" s="95"/>
      <c r="I3618" s="95"/>
      <c r="J3618" s="95"/>
      <c r="K3618" s="95"/>
      <c r="L3618" s="95"/>
      <c r="M3618" s="95"/>
      <c r="N3618" s="95"/>
      <c r="O3618" s="95"/>
      <c r="P3618" s="95"/>
      <c r="Q3618" s="95"/>
      <c r="R3618" s="95"/>
      <c r="S3618" s="95"/>
      <c r="T3618" s="95">
        <f>IF($T$3539&gt;0,PPMT('Assumptions (CSP)'!$V$7,Model!W$1,'Assumptions (CSP)'!$V$10,'Assumptions (CSP)'!$V$5*Model!$T$3539*AVERAGE('Assumptions (CSP)'!$P$2:$R$2)/10^9),0)</f>
        <v>0</v>
      </c>
      <c r="U3618" s="95">
        <f>IF($T$3539&gt;0,PPMT('Assumptions (CSP)'!$V$7,Model!X$1,'Assumptions (CSP)'!$V$10,'Assumptions (CSP)'!$V$5*Model!$T$3539*AVERAGE('Assumptions (CSP)'!$P$2:$R$2)/10^9),0)</f>
        <v>0</v>
      </c>
      <c r="V3618" s="95">
        <f>IF($T$3539&gt;0,PPMT('Assumptions (CSP)'!$V$7,Model!Y$1,'Assumptions (CSP)'!$V$10,'Assumptions (CSP)'!$V$5*Model!$T$3539*AVERAGE('Assumptions (CSP)'!$P$2:$R$2)/10^9),0)</f>
        <v>0</v>
      </c>
      <c r="W3618" s="95">
        <f>IF($T$3539&gt;0,PPMT('Assumptions (CSP)'!$V$7,Model!Z$1,'Assumptions (CSP)'!$V$10,'Assumptions (CSP)'!$V$5*Model!$T$3539*AVERAGE('Assumptions (CSP)'!$P$2:$R$2)/10^9),0)</f>
        <v>0</v>
      </c>
      <c r="X3618" s="95">
        <f>IF($T$3539&gt;0,PPMT('Assumptions (CSP)'!$V$7,Model!AA$1,'Assumptions (CSP)'!$V$10,'Assumptions (CSP)'!$V$5*Model!$T$3539*AVERAGE('Assumptions (CSP)'!$P$2:$R$2)/10^9),0)</f>
        <v>0</v>
      </c>
      <c r="Y3618" s="95">
        <f>IF($T$3539&gt;0,PPMT('Assumptions (CSP)'!$V$7,Model!AB$1,'Assumptions (CSP)'!$V$10,'Assumptions (CSP)'!$V$5*Model!$T$3539*AVERAGE('Assumptions (CSP)'!$P$2:$R$2)/10^9),0)</f>
        <v>0</v>
      </c>
      <c r="Z3618" s="95">
        <f>IF($T$3539&gt;0,PPMT('Assumptions (CSP)'!$V$7,Model!AC$1,'Assumptions (CSP)'!$V$10,'Assumptions (CSP)'!$V$5*Model!$T$3539*AVERAGE('Assumptions (CSP)'!$P$2:$R$2)/10^9),0)</f>
        <v>0</v>
      </c>
      <c r="AA3618" s="95">
        <f>IF($T$3539&gt;0,PPMT('Assumptions (CSP)'!$V$7,Model!AD$1,'Assumptions (CSP)'!$V$10,'Assumptions (CSP)'!$V$5*Model!$T$3539*AVERAGE('Assumptions (CSP)'!$P$2:$R$2)/10^9),0)</f>
        <v>0</v>
      </c>
      <c r="AB3618" s="95">
        <f>IF($T$3539&gt;0,PPMT('Assumptions (CSP)'!$V$7,Model!AE$1,'Assumptions (CSP)'!$V$10,'Assumptions (CSP)'!$V$5*Model!$T$3539*AVERAGE('Assumptions (CSP)'!$P$2:$R$2)/10^9),0)</f>
        <v>0</v>
      </c>
      <c r="AC3618" s="95">
        <f>IF($T$3539&gt;0,PPMT('Assumptions (CSP)'!$V$7,Model!AF$1,'Assumptions (CSP)'!$V$10,'Assumptions (CSP)'!$V$5*Model!$T$3539*AVERAGE('Assumptions (CSP)'!$P$2:$R$2)/10^9),0)</f>
        <v>0</v>
      </c>
      <c r="AD3618" s="95">
        <f>IF($T$3539&gt;0,PPMT('Assumptions (CSP)'!$V$7,Model!AG$1,'Assumptions (CSP)'!$V$10,'Assumptions (CSP)'!$V$5*Model!$T$3539*AVERAGE('Assumptions (CSP)'!$P$2:$R$2)/10^9),0)</f>
        <v>0</v>
      </c>
      <c r="AE3618" s="95">
        <f>IF($T$3539&gt;0,PPMT('Assumptions (CSP)'!$V$7,Model!AH$1,'Assumptions (CSP)'!$V$10,'Assumptions (CSP)'!$V$5*Model!$T$3539*AVERAGE('Assumptions (CSP)'!$P$2:$R$2)/10^9),0)</f>
        <v>0</v>
      </c>
      <c r="AF3618" s="95">
        <f>IF($T$3539&gt;0,PPMT('Assumptions (CSP)'!$V$7,Model!AI$1,'Assumptions (CSP)'!$V$10,'Assumptions (CSP)'!$V$5*Model!$T$3539*AVERAGE('Assumptions (CSP)'!$P$2:$R$2)/10^9),0)</f>
        <v>0</v>
      </c>
      <c r="AG3618" s="95">
        <f>IF($T$3539&gt;0,PPMT('Assumptions (CSP)'!$V$7,Model!AJ$1,'Assumptions (CSP)'!$V$10,'Assumptions (CSP)'!$V$5*Model!$T$3539*AVERAGE('Assumptions (CSP)'!$P$2:$R$2)/10^9),0)</f>
        <v>0</v>
      </c>
      <c r="AH3618" s="95">
        <f>IF($T$3539&gt;0,PPMT('Assumptions (CSP)'!$V$7,Model!AK$1,'Assumptions (CSP)'!$V$10,'Assumptions (CSP)'!$V$5*Model!$T$3539*AVERAGE('Assumptions (CSP)'!$P$2:$R$2)/10^9),0)</f>
        <v>0</v>
      </c>
      <c r="AI3618" s="95"/>
      <c r="AJ3618" s="95"/>
      <c r="AK3618" s="95"/>
      <c r="AL3618" s="95"/>
      <c r="AM3618" s="95"/>
      <c r="AN3618" s="95"/>
      <c r="AO3618" s="95"/>
      <c r="AP3618" s="95"/>
      <c r="AQ3618" s="95"/>
      <c r="AR3618" s="95"/>
      <c r="AS3618" s="95"/>
      <c r="AT3618" s="95"/>
      <c r="AU3618" s="95"/>
      <c r="AV3618" s="95"/>
      <c r="AW3618" s="95"/>
      <c r="AX3618" s="95"/>
      <c r="AY3618" s="95"/>
      <c r="AZ3618" s="95"/>
      <c r="BA3618" s="95"/>
    </row>
    <row r="3619" ht="15.75" hidden="1" customHeight="1">
      <c r="A3619" s="395"/>
      <c r="B3619" s="24"/>
      <c r="C3619" s="95"/>
      <c r="D3619" s="95"/>
      <c r="E3619" s="95"/>
      <c r="F3619" s="95"/>
      <c r="G3619" s="95"/>
      <c r="H3619" s="95"/>
      <c r="I3619" s="95"/>
      <c r="J3619" s="95"/>
      <c r="K3619" s="95"/>
      <c r="L3619" s="95"/>
      <c r="M3619" s="95"/>
      <c r="N3619" s="95"/>
      <c r="O3619" s="95"/>
      <c r="P3619" s="95"/>
      <c r="Q3619" s="95"/>
      <c r="R3619" s="95"/>
      <c r="S3619" s="95"/>
      <c r="T3619" s="95"/>
      <c r="U3619" s="95">
        <f>IF($U$3539&gt;0,PPMT('Assumptions (CSP)'!$V$7,Model!W$1,'Assumptions (CSP)'!$V$10,'Assumptions (CSP)'!$V$5*Model!$U$3539*AVERAGE('Assumptions (CSP)'!$Q$2:$S$2)/10^9),0)</f>
        <v>0</v>
      </c>
      <c r="V3619" s="95">
        <f>IF($U$3539&gt;0,PPMT('Assumptions (CSP)'!$V$7,Model!X$1,'Assumptions (CSP)'!$V$10,'Assumptions (CSP)'!$V$5*Model!$U$3539*AVERAGE('Assumptions (CSP)'!$Q$2:$S$2)/10^9),0)</f>
        <v>0</v>
      </c>
      <c r="W3619" s="95">
        <f>IF($U$3539&gt;0,PPMT('Assumptions (CSP)'!$V$7,Model!Y$1,'Assumptions (CSP)'!$V$10,'Assumptions (CSP)'!$V$5*Model!$U$3539*AVERAGE('Assumptions (CSP)'!$Q$2:$S$2)/10^9),0)</f>
        <v>0</v>
      </c>
      <c r="X3619" s="95">
        <f>IF($U$3539&gt;0,PPMT('Assumptions (CSP)'!$V$7,Model!Z$1,'Assumptions (CSP)'!$V$10,'Assumptions (CSP)'!$V$5*Model!$U$3539*AVERAGE('Assumptions (CSP)'!$Q$2:$S$2)/10^9),0)</f>
        <v>0</v>
      </c>
      <c r="Y3619" s="95">
        <f>IF($U$3539&gt;0,PPMT('Assumptions (CSP)'!$V$7,Model!AA$1,'Assumptions (CSP)'!$V$10,'Assumptions (CSP)'!$V$5*Model!$U$3539*AVERAGE('Assumptions (CSP)'!$Q$2:$S$2)/10^9),0)</f>
        <v>0</v>
      </c>
      <c r="Z3619" s="95">
        <f>IF($U$3539&gt;0,PPMT('Assumptions (CSP)'!$V$7,Model!AB$1,'Assumptions (CSP)'!$V$10,'Assumptions (CSP)'!$V$5*Model!$U$3539*AVERAGE('Assumptions (CSP)'!$Q$2:$S$2)/10^9),0)</f>
        <v>0</v>
      </c>
      <c r="AA3619" s="95">
        <f>IF($U$3539&gt;0,PPMT('Assumptions (CSP)'!$V$7,Model!AC$1,'Assumptions (CSP)'!$V$10,'Assumptions (CSP)'!$V$5*Model!$U$3539*AVERAGE('Assumptions (CSP)'!$Q$2:$S$2)/10^9),0)</f>
        <v>0</v>
      </c>
      <c r="AB3619" s="95">
        <f>IF($U$3539&gt;0,PPMT('Assumptions (CSP)'!$V$7,Model!AD$1,'Assumptions (CSP)'!$V$10,'Assumptions (CSP)'!$V$5*Model!$U$3539*AVERAGE('Assumptions (CSP)'!$Q$2:$S$2)/10^9),0)</f>
        <v>0</v>
      </c>
      <c r="AC3619" s="95">
        <f>IF($U$3539&gt;0,PPMT('Assumptions (CSP)'!$V$7,Model!AE$1,'Assumptions (CSP)'!$V$10,'Assumptions (CSP)'!$V$5*Model!$U$3539*AVERAGE('Assumptions (CSP)'!$Q$2:$S$2)/10^9),0)</f>
        <v>0</v>
      </c>
      <c r="AD3619" s="95">
        <f>IF($U$3539&gt;0,PPMT('Assumptions (CSP)'!$V$7,Model!AF$1,'Assumptions (CSP)'!$V$10,'Assumptions (CSP)'!$V$5*Model!$U$3539*AVERAGE('Assumptions (CSP)'!$Q$2:$S$2)/10^9),0)</f>
        <v>0</v>
      </c>
      <c r="AE3619" s="95">
        <f>IF($U$3539&gt;0,PPMT('Assumptions (CSP)'!$V$7,Model!AG$1,'Assumptions (CSP)'!$V$10,'Assumptions (CSP)'!$V$5*Model!$U$3539*AVERAGE('Assumptions (CSP)'!$Q$2:$S$2)/10^9),0)</f>
        <v>0</v>
      </c>
      <c r="AF3619" s="95">
        <f>IF($U$3539&gt;0,PPMT('Assumptions (CSP)'!$V$7,Model!AH$1,'Assumptions (CSP)'!$V$10,'Assumptions (CSP)'!$V$5*Model!$U$3539*AVERAGE('Assumptions (CSP)'!$Q$2:$S$2)/10^9),0)</f>
        <v>0</v>
      </c>
      <c r="AG3619" s="95">
        <f>IF($U$3539&gt;0,PPMT('Assumptions (CSP)'!$V$7,Model!AI$1,'Assumptions (CSP)'!$V$10,'Assumptions (CSP)'!$V$5*Model!$U$3539*AVERAGE('Assumptions (CSP)'!$Q$2:$S$2)/10^9),0)</f>
        <v>0</v>
      </c>
      <c r="AH3619" s="95">
        <f>IF($U$3539&gt;0,PPMT('Assumptions (CSP)'!$V$7,Model!AJ$1,'Assumptions (CSP)'!$V$10,'Assumptions (CSP)'!$V$5*Model!$U$3539*AVERAGE('Assumptions (CSP)'!$Q$2:$S$2)/10^9),0)</f>
        <v>0</v>
      </c>
      <c r="AI3619" s="95">
        <f>IF($U$3539&gt;0,PPMT('Assumptions (CSP)'!$V$7,Model!AK$1,'Assumptions (CSP)'!$V$10,'Assumptions (CSP)'!$V$5*Model!$U$3539*AVERAGE('Assumptions (CSP)'!$Q$2:$S$2)/10^9),0)</f>
        <v>0</v>
      </c>
      <c r="AJ3619" s="95"/>
      <c r="AK3619" s="95"/>
      <c r="AL3619" s="95"/>
      <c r="AM3619" s="95"/>
      <c r="AN3619" s="95"/>
      <c r="AO3619" s="95"/>
      <c r="AP3619" s="95"/>
      <c r="AQ3619" s="95"/>
      <c r="AR3619" s="95"/>
      <c r="AS3619" s="95"/>
      <c r="AT3619" s="95"/>
      <c r="AU3619" s="95"/>
      <c r="AV3619" s="95"/>
      <c r="AW3619" s="95"/>
      <c r="AX3619" s="95"/>
      <c r="AY3619" s="95"/>
      <c r="AZ3619" s="95"/>
      <c r="BA3619" s="95"/>
    </row>
    <row r="3620" ht="15.75" hidden="1" customHeight="1">
      <c r="A3620" s="395"/>
      <c r="B3620" s="24"/>
      <c r="C3620" s="95"/>
      <c r="D3620" s="95"/>
      <c r="E3620" s="95"/>
      <c r="F3620" s="95"/>
      <c r="G3620" s="95"/>
      <c r="H3620" s="95"/>
      <c r="I3620" s="95"/>
      <c r="J3620" s="95"/>
      <c r="K3620" s="95"/>
      <c r="L3620" s="95"/>
      <c r="M3620" s="95"/>
      <c r="N3620" s="95"/>
      <c r="O3620" s="95"/>
      <c r="P3620" s="95"/>
      <c r="Q3620" s="95"/>
      <c r="R3620" s="95"/>
      <c r="S3620" s="95"/>
      <c r="T3620" s="95"/>
      <c r="U3620" s="95"/>
      <c r="V3620" s="95">
        <f>IF($V$3539&gt;0,PPMT('Assumptions (CSP)'!$V$7,Model!W$1,'Assumptions (CSP)'!$V$10,'Assumptions (CSP)'!$V$5*Model!$V$3539*AVERAGE('Assumptions (CSP)'!$R$2:$T$2)/10^9),0)</f>
        <v>0</v>
      </c>
      <c r="W3620" s="95">
        <f>IF($V$3539&gt;0,PPMT('Assumptions (CSP)'!$V$7,Model!X$1,'Assumptions (CSP)'!$V$10,'Assumptions (CSP)'!$V$5*Model!$V$3539*AVERAGE('Assumptions (CSP)'!$R$2:$T$2)/10^9),0)</f>
        <v>0</v>
      </c>
      <c r="X3620" s="95">
        <f>IF($V$3539&gt;0,PPMT('Assumptions (CSP)'!$V$7,Model!Y$1,'Assumptions (CSP)'!$V$10,'Assumptions (CSP)'!$V$5*Model!$V$3539*AVERAGE('Assumptions (CSP)'!$R$2:$T$2)/10^9),0)</f>
        <v>0</v>
      </c>
      <c r="Y3620" s="95">
        <f>IF($V$3539&gt;0,PPMT('Assumptions (CSP)'!$V$7,Model!Z$1,'Assumptions (CSP)'!$V$10,'Assumptions (CSP)'!$V$5*Model!$V$3539*AVERAGE('Assumptions (CSP)'!$R$2:$T$2)/10^9),0)</f>
        <v>0</v>
      </c>
      <c r="Z3620" s="95">
        <f>IF($V$3539&gt;0,PPMT('Assumptions (CSP)'!$V$7,Model!AA$1,'Assumptions (CSP)'!$V$10,'Assumptions (CSP)'!$V$5*Model!$V$3539*AVERAGE('Assumptions (CSP)'!$R$2:$T$2)/10^9),0)</f>
        <v>0</v>
      </c>
      <c r="AA3620" s="95">
        <f>IF($V$3539&gt;0,PPMT('Assumptions (CSP)'!$V$7,Model!AB$1,'Assumptions (CSP)'!$V$10,'Assumptions (CSP)'!$V$5*Model!$V$3539*AVERAGE('Assumptions (CSP)'!$R$2:$T$2)/10^9),0)</f>
        <v>0</v>
      </c>
      <c r="AB3620" s="95">
        <f>IF($V$3539&gt;0,PPMT('Assumptions (CSP)'!$V$7,Model!AC$1,'Assumptions (CSP)'!$V$10,'Assumptions (CSP)'!$V$5*Model!$V$3539*AVERAGE('Assumptions (CSP)'!$R$2:$T$2)/10^9),0)</f>
        <v>0</v>
      </c>
      <c r="AC3620" s="95">
        <f>IF($V$3539&gt;0,PPMT('Assumptions (CSP)'!$V$7,Model!AD$1,'Assumptions (CSP)'!$V$10,'Assumptions (CSP)'!$V$5*Model!$V$3539*AVERAGE('Assumptions (CSP)'!$R$2:$T$2)/10^9),0)</f>
        <v>0</v>
      </c>
      <c r="AD3620" s="95">
        <f>IF($V$3539&gt;0,PPMT('Assumptions (CSP)'!$V$7,Model!AE$1,'Assumptions (CSP)'!$V$10,'Assumptions (CSP)'!$V$5*Model!$V$3539*AVERAGE('Assumptions (CSP)'!$R$2:$T$2)/10^9),0)</f>
        <v>0</v>
      </c>
      <c r="AE3620" s="95">
        <f>IF($V$3539&gt;0,PPMT('Assumptions (CSP)'!$V$7,Model!AF$1,'Assumptions (CSP)'!$V$10,'Assumptions (CSP)'!$V$5*Model!$V$3539*AVERAGE('Assumptions (CSP)'!$R$2:$T$2)/10^9),0)</f>
        <v>0</v>
      </c>
      <c r="AF3620" s="95">
        <f>IF($V$3539&gt;0,PPMT('Assumptions (CSP)'!$V$7,Model!AG$1,'Assumptions (CSP)'!$V$10,'Assumptions (CSP)'!$V$5*Model!$V$3539*AVERAGE('Assumptions (CSP)'!$R$2:$T$2)/10^9),0)</f>
        <v>0</v>
      </c>
      <c r="AG3620" s="95">
        <f>IF($V$3539&gt;0,PPMT('Assumptions (CSP)'!$V$7,Model!AH$1,'Assumptions (CSP)'!$V$10,'Assumptions (CSP)'!$V$5*Model!$V$3539*AVERAGE('Assumptions (CSP)'!$R$2:$T$2)/10^9),0)</f>
        <v>0</v>
      </c>
      <c r="AH3620" s="95">
        <f>IF($V$3539&gt;0,PPMT('Assumptions (CSP)'!$V$7,Model!AI$1,'Assumptions (CSP)'!$V$10,'Assumptions (CSP)'!$V$5*Model!$V$3539*AVERAGE('Assumptions (CSP)'!$R$2:$T$2)/10^9),0)</f>
        <v>0</v>
      </c>
      <c r="AI3620" s="95">
        <f>IF($V$3539&gt;0,PPMT('Assumptions (CSP)'!$V$7,Model!AJ$1,'Assumptions (CSP)'!$V$10,'Assumptions (CSP)'!$V$5*Model!$V$3539*AVERAGE('Assumptions (CSP)'!$R$2:$T$2)/10^9),0)</f>
        <v>0</v>
      </c>
      <c r="AJ3620" s="95">
        <f>IF($V$3539&gt;0,PPMT('Assumptions (CSP)'!$V$7,Model!AK$1,'Assumptions (CSP)'!$V$10,'Assumptions (CSP)'!$V$5*Model!$V$3539*AVERAGE('Assumptions (CSP)'!$R$2:$T$2)/10^9),0)</f>
        <v>0</v>
      </c>
      <c r="AK3620" s="95"/>
      <c r="AL3620" s="95"/>
      <c r="AM3620" s="95"/>
      <c r="AN3620" s="95"/>
      <c r="AO3620" s="95"/>
      <c r="AP3620" s="95"/>
      <c r="AQ3620" s="95"/>
      <c r="AR3620" s="95"/>
      <c r="AS3620" s="95"/>
      <c r="AT3620" s="95"/>
      <c r="AU3620" s="95"/>
      <c r="AV3620" s="95"/>
      <c r="AW3620" s="95"/>
      <c r="AX3620" s="95"/>
      <c r="AY3620" s="95"/>
      <c r="AZ3620" s="95"/>
      <c r="BA3620" s="95"/>
    </row>
    <row r="3621" ht="15.75" hidden="1" customHeight="1">
      <c r="A3621" s="395"/>
      <c r="B3621" s="24"/>
      <c r="C3621" s="95"/>
      <c r="D3621" s="95"/>
      <c r="E3621" s="95"/>
      <c r="F3621" s="95"/>
      <c r="G3621" s="95"/>
      <c r="H3621" s="95"/>
      <c r="I3621" s="95"/>
      <c r="J3621" s="95"/>
      <c r="K3621" s="95"/>
      <c r="L3621" s="95"/>
      <c r="M3621" s="95"/>
      <c r="N3621" s="95"/>
      <c r="O3621" s="95"/>
      <c r="P3621" s="95"/>
      <c r="Q3621" s="95"/>
      <c r="R3621" s="95"/>
      <c r="S3621" s="95"/>
      <c r="T3621" s="95"/>
      <c r="U3621" s="95"/>
      <c r="V3621" s="95"/>
      <c r="W3621" s="95">
        <f>IF($W$3539&gt;0,PPMT('Assumptions (CSP)'!$V$7,Model!W$1,'Assumptions (CSP)'!$V$10,'Assumptions (CSP)'!$V$5*Model!$W$3539*AVERAGE('Assumptions (CSP)'!$S$2:$U$2)/10^9),0)</f>
        <v>0</v>
      </c>
      <c r="X3621" s="95">
        <f>IF($W$3539&gt;0,PPMT('Assumptions (CSP)'!$V$7,Model!X$1,'Assumptions (CSP)'!$V$10,'Assumptions (CSP)'!$V$5*Model!$W$3539*AVERAGE('Assumptions (CSP)'!$S$2:$U$2)/10^9),0)</f>
        <v>0</v>
      </c>
      <c r="Y3621" s="95">
        <f>IF($W$3539&gt;0,PPMT('Assumptions (CSP)'!$V$7,Model!Y$1,'Assumptions (CSP)'!$V$10,'Assumptions (CSP)'!$V$5*Model!$W$3539*AVERAGE('Assumptions (CSP)'!$S$2:$U$2)/10^9),0)</f>
        <v>0</v>
      </c>
      <c r="Z3621" s="95">
        <f>IF($W$3539&gt;0,PPMT('Assumptions (CSP)'!$V$7,Model!Z$1,'Assumptions (CSP)'!$V$10,'Assumptions (CSP)'!$V$5*Model!$W$3539*AVERAGE('Assumptions (CSP)'!$S$2:$U$2)/10^9),0)</f>
        <v>0</v>
      </c>
      <c r="AA3621" s="95">
        <f>IF($W$3539&gt;0,PPMT('Assumptions (CSP)'!$V$7,Model!AA$1,'Assumptions (CSP)'!$V$10,'Assumptions (CSP)'!$V$5*Model!$W$3539*AVERAGE('Assumptions (CSP)'!$S$2:$U$2)/10^9),0)</f>
        <v>0</v>
      </c>
      <c r="AB3621" s="95">
        <f>IF($W$3539&gt;0,PPMT('Assumptions (CSP)'!$V$7,Model!AB$1,'Assumptions (CSP)'!$V$10,'Assumptions (CSP)'!$V$5*Model!$W$3539*AVERAGE('Assumptions (CSP)'!$S$2:$U$2)/10^9),0)</f>
        <v>0</v>
      </c>
      <c r="AC3621" s="95">
        <f>IF($W$3539&gt;0,PPMT('Assumptions (CSP)'!$V$7,Model!AC$1,'Assumptions (CSP)'!$V$10,'Assumptions (CSP)'!$V$5*Model!$W$3539*AVERAGE('Assumptions (CSP)'!$S$2:$U$2)/10^9),0)</f>
        <v>0</v>
      </c>
      <c r="AD3621" s="95">
        <f>IF($W$3539&gt;0,PPMT('Assumptions (CSP)'!$V$7,Model!AD$1,'Assumptions (CSP)'!$V$10,'Assumptions (CSP)'!$V$5*Model!$W$3539*AVERAGE('Assumptions (CSP)'!$S$2:$U$2)/10^9),0)</f>
        <v>0</v>
      </c>
      <c r="AE3621" s="95">
        <f>IF($W$3539&gt;0,PPMT('Assumptions (CSP)'!$V$7,Model!AE$1,'Assumptions (CSP)'!$V$10,'Assumptions (CSP)'!$V$5*Model!$W$3539*AVERAGE('Assumptions (CSP)'!$S$2:$U$2)/10^9),0)</f>
        <v>0</v>
      </c>
      <c r="AF3621" s="95">
        <f>IF($W$3539&gt;0,PPMT('Assumptions (CSP)'!$V$7,Model!AF$1,'Assumptions (CSP)'!$V$10,'Assumptions (CSP)'!$V$5*Model!$W$3539*AVERAGE('Assumptions (CSP)'!$S$2:$U$2)/10^9),0)</f>
        <v>0</v>
      </c>
      <c r="AG3621" s="95">
        <f>IF($W$3539&gt;0,PPMT('Assumptions (CSP)'!$V$7,Model!AG$1,'Assumptions (CSP)'!$V$10,'Assumptions (CSP)'!$V$5*Model!$W$3539*AVERAGE('Assumptions (CSP)'!$S$2:$U$2)/10^9),0)</f>
        <v>0</v>
      </c>
      <c r="AH3621" s="95">
        <f>IF($W$3539&gt;0,PPMT('Assumptions (CSP)'!$V$7,Model!AH$1,'Assumptions (CSP)'!$V$10,'Assumptions (CSP)'!$V$5*Model!$W$3539*AVERAGE('Assumptions (CSP)'!$S$2:$U$2)/10^9),0)</f>
        <v>0</v>
      </c>
      <c r="AI3621" s="95">
        <f>IF($W$3539&gt;0,PPMT('Assumptions (CSP)'!$V$7,Model!AI$1,'Assumptions (CSP)'!$V$10,'Assumptions (CSP)'!$V$5*Model!$W$3539*AVERAGE('Assumptions (CSP)'!$S$2:$U$2)/10^9),0)</f>
        <v>0</v>
      </c>
      <c r="AJ3621" s="95">
        <f>IF($W$3539&gt;0,PPMT('Assumptions (CSP)'!$V$7,Model!AJ$1,'Assumptions (CSP)'!$V$10,'Assumptions (CSP)'!$V$5*Model!$W$3539*AVERAGE('Assumptions (CSP)'!$S$2:$U$2)/10^9),0)</f>
        <v>0</v>
      </c>
      <c r="AK3621" s="95">
        <f>IF($W$3539&gt;0,PPMT('Assumptions (CSP)'!$V$7,Model!AK$1,'Assumptions (CSP)'!$V$10,'Assumptions (CSP)'!$V$5*Model!$W$3539*AVERAGE('Assumptions (CSP)'!$S$2:$U$2)/10^9),0)</f>
        <v>0</v>
      </c>
      <c r="AL3621" s="95"/>
      <c r="AM3621" s="95"/>
      <c r="AN3621" s="95"/>
      <c r="AO3621" s="95"/>
      <c r="AP3621" s="95"/>
      <c r="AQ3621" s="95"/>
      <c r="AR3621" s="95"/>
      <c r="AS3621" s="95"/>
      <c r="AT3621" s="95"/>
      <c r="AU3621" s="95"/>
      <c r="AV3621" s="95"/>
      <c r="AW3621" s="95"/>
      <c r="AX3621" s="95"/>
      <c r="AY3621" s="95"/>
      <c r="AZ3621" s="95"/>
      <c r="BA3621" s="95"/>
    </row>
    <row r="3622" ht="15.75" hidden="1" customHeight="1">
      <c r="A3622" s="395"/>
      <c r="B3622" s="24"/>
      <c r="C3622" s="95"/>
      <c r="D3622" s="95"/>
      <c r="E3622" s="95"/>
      <c r="F3622" s="95"/>
      <c r="G3622" s="95"/>
      <c r="H3622" s="95"/>
      <c r="I3622" s="95"/>
      <c r="J3622" s="95"/>
      <c r="K3622" s="95"/>
      <c r="L3622" s="95"/>
      <c r="M3622" s="95"/>
      <c r="N3622" s="95"/>
      <c r="O3622" s="95"/>
      <c r="P3622" s="95"/>
      <c r="Q3622" s="95"/>
      <c r="R3622" s="95"/>
      <c r="S3622" s="95"/>
      <c r="T3622" s="95"/>
      <c r="U3622" s="95"/>
      <c r="V3622" s="95"/>
      <c r="W3622" s="95"/>
      <c r="X3622" s="95">
        <f>IF($X$3539&gt;0,PPMT('Assumptions (CSP)'!$V$7,Model!W$1,'Assumptions (CSP)'!$V$10,'Assumptions (CSP)'!$V$5*Model!$X$3539*AVERAGE('Assumptions (CSP)'!$T$2:$V$2)/10^9),0)</f>
        <v>0</v>
      </c>
      <c r="Y3622" s="95">
        <f>IF($X$3539&gt;0,PPMT('Assumptions (CSP)'!$V$7,Model!X$1,'Assumptions (CSP)'!$V$10,'Assumptions (CSP)'!$V$5*Model!$X$3539*AVERAGE('Assumptions (CSP)'!$T$2:$V$2)/10^9),0)</f>
        <v>0</v>
      </c>
      <c r="Z3622" s="95">
        <f>IF($X$3539&gt;0,PPMT('Assumptions (CSP)'!$V$7,Model!Y$1,'Assumptions (CSP)'!$V$10,'Assumptions (CSP)'!$V$5*Model!$X$3539*AVERAGE('Assumptions (CSP)'!$T$2:$V$2)/10^9),0)</f>
        <v>0</v>
      </c>
      <c r="AA3622" s="95">
        <f>IF($X$3539&gt;0,PPMT('Assumptions (CSP)'!$V$7,Model!Z$1,'Assumptions (CSP)'!$V$10,'Assumptions (CSP)'!$V$5*Model!$X$3539*AVERAGE('Assumptions (CSP)'!$T$2:$V$2)/10^9),0)</f>
        <v>0</v>
      </c>
      <c r="AB3622" s="95">
        <f>IF($X$3539&gt;0,PPMT('Assumptions (CSP)'!$V$7,Model!AA$1,'Assumptions (CSP)'!$V$10,'Assumptions (CSP)'!$V$5*Model!$X$3539*AVERAGE('Assumptions (CSP)'!$T$2:$V$2)/10^9),0)</f>
        <v>0</v>
      </c>
      <c r="AC3622" s="95">
        <f>IF($X$3539&gt;0,PPMT('Assumptions (CSP)'!$V$7,Model!AB$1,'Assumptions (CSP)'!$V$10,'Assumptions (CSP)'!$V$5*Model!$X$3539*AVERAGE('Assumptions (CSP)'!$T$2:$V$2)/10^9),0)</f>
        <v>0</v>
      </c>
      <c r="AD3622" s="95">
        <f>IF($X$3539&gt;0,PPMT('Assumptions (CSP)'!$V$7,Model!AC$1,'Assumptions (CSP)'!$V$10,'Assumptions (CSP)'!$V$5*Model!$X$3539*AVERAGE('Assumptions (CSP)'!$T$2:$V$2)/10^9),0)</f>
        <v>0</v>
      </c>
      <c r="AE3622" s="95">
        <f>IF($X$3539&gt;0,PPMT('Assumptions (CSP)'!$V$7,Model!AD$1,'Assumptions (CSP)'!$V$10,'Assumptions (CSP)'!$V$5*Model!$X$3539*AVERAGE('Assumptions (CSP)'!$T$2:$V$2)/10^9),0)</f>
        <v>0</v>
      </c>
      <c r="AF3622" s="95">
        <f>IF($X$3539&gt;0,PPMT('Assumptions (CSP)'!$V$7,Model!AE$1,'Assumptions (CSP)'!$V$10,'Assumptions (CSP)'!$V$5*Model!$X$3539*AVERAGE('Assumptions (CSP)'!$T$2:$V$2)/10^9),0)</f>
        <v>0</v>
      </c>
      <c r="AG3622" s="95">
        <f>IF($X$3539&gt;0,PPMT('Assumptions (CSP)'!$V$7,Model!AF$1,'Assumptions (CSP)'!$V$10,'Assumptions (CSP)'!$V$5*Model!$X$3539*AVERAGE('Assumptions (CSP)'!$T$2:$V$2)/10^9),0)</f>
        <v>0</v>
      </c>
      <c r="AH3622" s="95">
        <f>IF($X$3539&gt;0,PPMT('Assumptions (CSP)'!$V$7,Model!AG$1,'Assumptions (CSP)'!$V$10,'Assumptions (CSP)'!$V$5*Model!$X$3539*AVERAGE('Assumptions (CSP)'!$T$2:$V$2)/10^9),0)</f>
        <v>0</v>
      </c>
      <c r="AI3622" s="95">
        <f>IF($X$3539&gt;0,PPMT('Assumptions (CSP)'!$V$7,Model!AH$1,'Assumptions (CSP)'!$V$10,'Assumptions (CSP)'!$V$5*Model!$X$3539*AVERAGE('Assumptions (CSP)'!$T$2:$V$2)/10^9),0)</f>
        <v>0</v>
      </c>
      <c r="AJ3622" s="95">
        <f>IF($X$3539&gt;0,PPMT('Assumptions (CSP)'!$V$7,Model!AI$1,'Assumptions (CSP)'!$V$10,'Assumptions (CSP)'!$V$5*Model!$X$3539*AVERAGE('Assumptions (CSP)'!$T$2:$V$2)/10^9),0)</f>
        <v>0</v>
      </c>
      <c r="AK3622" s="95">
        <f>IF($X$3539&gt;0,PPMT('Assumptions (CSP)'!$V$7,Model!AJ$1,'Assumptions (CSP)'!$V$10,'Assumptions (CSP)'!$V$5*Model!$X$3539*AVERAGE('Assumptions (CSP)'!$T$2:$V$2)/10^9),0)</f>
        <v>0</v>
      </c>
      <c r="AL3622" s="95">
        <f>IF($X$3539&gt;0,PPMT('Assumptions (CSP)'!$V$7,Model!AK$1,'Assumptions (CSP)'!$V$10,'Assumptions (CSP)'!$V$5*Model!$X$3539*AVERAGE('Assumptions (CSP)'!$T$2:$V$2)/10^9),0)</f>
        <v>0</v>
      </c>
      <c r="AM3622" s="95"/>
      <c r="AN3622" s="95"/>
      <c r="AO3622" s="95"/>
      <c r="AP3622" s="95"/>
      <c r="AQ3622" s="95"/>
      <c r="AR3622" s="95"/>
      <c r="AS3622" s="95"/>
      <c r="AT3622" s="95"/>
      <c r="AU3622" s="95"/>
      <c r="AV3622" s="95"/>
      <c r="AW3622" s="95"/>
      <c r="AX3622" s="95"/>
      <c r="AY3622" s="95"/>
      <c r="AZ3622" s="95"/>
      <c r="BA3622" s="95"/>
    </row>
    <row r="3623" ht="15.75" hidden="1" customHeight="1">
      <c r="A3623" s="395"/>
      <c r="B3623" s="24"/>
      <c r="C3623" s="95"/>
      <c r="D3623" s="95"/>
      <c r="E3623" s="95"/>
      <c r="F3623" s="95"/>
      <c r="G3623" s="95"/>
      <c r="H3623" s="95"/>
      <c r="I3623" s="95"/>
      <c r="J3623" s="95"/>
      <c r="K3623" s="95"/>
      <c r="L3623" s="95"/>
      <c r="M3623" s="95"/>
      <c r="N3623" s="95"/>
      <c r="O3623" s="95"/>
      <c r="P3623" s="95"/>
      <c r="Q3623" s="95"/>
      <c r="R3623" s="95"/>
      <c r="S3623" s="95"/>
      <c r="T3623" s="95"/>
      <c r="U3623" s="95"/>
      <c r="V3623" s="95"/>
      <c r="W3623" s="95"/>
      <c r="X3623" s="95"/>
      <c r="Y3623" s="95">
        <f>IF($Y$3539&gt;0,PPMT('Assumptions (CSP)'!$V$7,Model!W$1,'Assumptions (CSP)'!$V$10,'Assumptions (CSP)'!$V$5*Model!$Y$3539*AVERAGE('Assumptions (CSP)'!$U$2:$W$2)/10^9),0)</f>
        <v>0</v>
      </c>
      <c r="Z3623" s="95">
        <f>IF($Y$3539&gt;0,PPMT('Assumptions (CSP)'!$V$7,Model!X$1,'Assumptions (CSP)'!$V$10,'Assumptions (CSP)'!$V$5*Model!$Y$3539*AVERAGE('Assumptions (CSP)'!$U$2:$W$2)/10^9),0)</f>
        <v>0</v>
      </c>
      <c r="AA3623" s="95">
        <f>IF($Y$3539&gt;0,PPMT('Assumptions (CSP)'!$V$7,Model!Y$1,'Assumptions (CSP)'!$V$10,'Assumptions (CSP)'!$V$5*Model!$Y$3539*AVERAGE('Assumptions (CSP)'!$U$2:$W$2)/10^9),0)</f>
        <v>0</v>
      </c>
      <c r="AB3623" s="95">
        <f>IF($Y$3539&gt;0,PPMT('Assumptions (CSP)'!$V$7,Model!Z$1,'Assumptions (CSP)'!$V$10,'Assumptions (CSP)'!$V$5*Model!$Y$3539*AVERAGE('Assumptions (CSP)'!$U$2:$W$2)/10^9),0)</f>
        <v>0</v>
      </c>
      <c r="AC3623" s="95">
        <f>IF($Y$3539&gt;0,PPMT('Assumptions (CSP)'!$V$7,Model!AA$1,'Assumptions (CSP)'!$V$10,'Assumptions (CSP)'!$V$5*Model!$Y$3539*AVERAGE('Assumptions (CSP)'!$U$2:$W$2)/10^9),0)</f>
        <v>0</v>
      </c>
      <c r="AD3623" s="95">
        <f>IF($Y$3539&gt;0,PPMT('Assumptions (CSP)'!$V$7,Model!AB$1,'Assumptions (CSP)'!$V$10,'Assumptions (CSP)'!$V$5*Model!$Y$3539*AVERAGE('Assumptions (CSP)'!$U$2:$W$2)/10^9),0)</f>
        <v>0</v>
      </c>
      <c r="AE3623" s="95">
        <f>IF($Y$3539&gt;0,PPMT('Assumptions (CSP)'!$V$7,Model!AC$1,'Assumptions (CSP)'!$V$10,'Assumptions (CSP)'!$V$5*Model!$Y$3539*AVERAGE('Assumptions (CSP)'!$U$2:$W$2)/10^9),0)</f>
        <v>0</v>
      </c>
      <c r="AF3623" s="95">
        <f>IF($Y$3539&gt;0,PPMT('Assumptions (CSP)'!$V$7,Model!AD$1,'Assumptions (CSP)'!$V$10,'Assumptions (CSP)'!$V$5*Model!$Y$3539*AVERAGE('Assumptions (CSP)'!$U$2:$W$2)/10^9),0)</f>
        <v>0</v>
      </c>
      <c r="AG3623" s="95">
        <f>IF($Y$3539&gt;0,PPMT('Assumptions (CSP)'!$V$7,Model!AE$1,'Assumptions (CSP)'!$V$10,'Assumptions (CSP)'!$V$5*Model!$Y$3539*AVERAGE('Assumptions (CSP)'!$U$2:$W$2)/10^9),0)</f>
        <v>0</v>
      </c>
      <c r="AH3623" s="95">
        <f>IF($Y$3539&gt;0,PPMT('Assumptions (CSP)'!$V$7,Model!AF$1,'Assumptions (CSP)'!$V$10,'Assumptions (CSP)'!$V$5*Model!$Y$3539*AVERAGE('Assumptions (CSP)'!$U$2:$W$2)/10^9),0)</f>
        <v>0</v>
      </c>
      <c r="AI3623" s="95">
        <f>IF($Y$3539&gt;0,PPMT('Assumptions (CSP)'!$V$7,Model!AG$1,'Assumptions (CSP)'!$V$10,'Assumptions (CSP)'!$V$5*Model!$Y$3539*AVERAGE('Assumptions (CSP)'!$U$2:$W$2)/10^9),0)</f>
        <v>0</v>
      </c>
      <c r="AJ3623" s="95">
        <f>IF($Y$3539&gt;0,PPMT('Assumptions (CSP)'!$V$7,Model!AH$1,'Assumptions (CSP)'!$V$10,'Assumptions (CSP)'!$V$5*Model!$Y$3539*AVERAGE('Assumptions (CSP)'!$U$2:$W$2)/10^9),0)</f>
        <v>0</v>
      </c>
      <c r="AK3623" s="95">
        <f>IF($Y$3539&gt;0,PPMT('Assumptions (CSP)'!$V$7,Model!AI$1,'Assumptions (CSP)'!$V$10,'Assumptions (CSP)'!$V$5*Model!$Y$3539*AVERAGE('Assumptions (CSP)'!$U$2:$W$2)/10^9),0)</f>
        <v>0</v>
      </c>
      <c r="AL3623" s="95">
        <f>IF($Y$3539&gt;0,PPMT('Assumptions (CSP)'!$V$7,Model!AJ$1,'Assumptions (CSP)'!$V$10,'Assumptions (CSP)'!$V$5*Model!$Y$3539*AVERAGE('Assumptions (CSP)'!$U$2:$W$2)/10^9),0)</f>
        <v>0</v>
      </c>
      <c r="AM3623" s="95">
        <f>IF($Y$3539&gt;0,PPMT('Assumptions (CSP)'!$V$7,Model!AK$1,'Assumptions (CSP)'!$V$10,'Assumptions (CSP)'!$V$5*Model!$Y$3539*AVERAGE('Assumptions (CSP)'!$U$2:$W$2)/10^9),0)</f>
        <v>0</v>
      </c>
      <c r="AN3623" s="95"/>
      <c r="AO3623" s="95"/>
      <c r="AP3623" s="95"/>
      <c r="AQ3623" s="95"/>
      <c r="AR3623" s="95"/>
      <c r="AS3623" s="95"/>
      <c r="AT3623" s="95"/>
      <c r="AU3623" s="95"/>
      <c r="AV3623" s="95"/>
      <c r="AW3623" s="95"/>
      <c r="AX3623" s="95"/>
      <c r="AY3623" s="95"/>
      <c r="AZ3623" s="95"/>
      <c r="BA3623" s="95"/>
    </row>
    <row r="3624" ht="15.75" hidden="1" customHeight="1">
      <c r="A3624" s="395"/>
      <c r="B3624" s="24"/>
      <c r="C3624" s="95"/>
      <c r="D3624" s="95"/>
      <c r="E3624" s="95"/>
      <c r="F3624" s="95"/>
      <c r="G3624" s="95"/>
      <c r="H3624" s="95"/>
      <c r="I3624" s="95"/>
      <c r="J3624" s="95"/>
      <c r="K3624" s="95"/>
      <c r="L3624" s="95"/>
      <c r="M3624" s="95"/>
      <c r="N3624" s="95"/>
      <c r="O3624" s="95"/>
      <c r="P3624" s="95"/>
      <c r="Q3624" s="95"/>
      <c r="R3624" s="95"/>
      <c r="S3624" s="95"/>
      <c r="T3624" s="95"/>
      <c r="U3624" s="95"/>
      <c r="V3624" s="95"/>
      <c r="W3624" s="95"/>
      <c r="X3624" s="95"/>
      <c r="Y3624" s="95"/>
      <c r="Z3624" s="95">
        <f>IF($Z$3539&gt;0,PPMT('Assumptions (CSP)'!$V$7,Model!W$1,'Assumptions (CSP)'!$V$10,'Assumptions (CSP)'!$V$5*Model!$Z$3539*AVERAGE('Assumptions (CSP)'!$V$2:$X$2)/10^9),0)</f>
        <v>0</v>
      </c>
      <c r="AA3624" s="95">
        <f>IF($Z$3539&gt;0,PPMT('Assumptions (CSP)'!$V$7,Model!X$1,'Assumptions (CSP)'!$V$10,'Assumptions (CSP)'!$V$5*Model!$Z$3539*AVERAGE('Assumptions (CSP)'!$V$2:$X$2)/10^9),0)</f>
        <v>0</v>
      </c>
      <c r="AB3624" s="95">
        <f>IF($Z$3539&gt;0,PPMT('Assumptions (CSP)'!$V$7,Model!Y$1,'Assumptions (CSP)'!$V$10,'Assumptions (CSP)'!$V$5*Model!$Z$3539*AVERAGE('Assumptions (CSP)'!$V$2:$X$2)/10^9),0)</f>
        <v>0</v>
      </c>
      <c r="AC3624" s="95">
        <f>IF($Z$3539&gt;0,PPMT('Assumptions (CSP)'!$V$7,Model!Z$1,'Assumptions (CSP)'!$V$10,'Assumptions (CSP)'!$V$5*Model!$Z$3539*AVERAGE('Assumptions (CSP)'!$V$2:$X$2)/10^9),0)</f>
        <v>0</v>
      </c>
      <c r="AD3624" s="95">
        <f>IF($Z$3539&gt;0,PPMT('Assumptions (CSP)'!$V$7,Model!AA$1,'Assumptions (CSP)'!$V$10,'Assumptions (CSP)'!$V$5*Model!$Z$3539*AVERAGE('Assumptions (CSP)'!$V$2:$X$2)/10^9),0)</f>
        <v>0</v>
      </c>
      <c r="AE3624" s="95">
        <f>IF($Z$3539&gt;0,PPMT('Assumptions (CSP)'!$V$7,Model!AB$1,'Assumptions (CSP)'!$V$10,'Assumptions (CSP)'!$V$5*Model!$Z$3539*AVERAGE('Assumptions (CSP)'!$V$2:$X$2)/10^9),0)</f>
        <v>0</v>
      </c>
      <c r="AF3624" s="95">
        <f>IF($Z$3539&gt;0,PPMT('Assumptions (CSP)'!$V$7,Model!AC$1,'Assumptions (CSP)'!$V$10,'Assumptions (CSP)'!$V$5*Model!$Z$3539*AVERAGE('Assumptions (CSP)'!$V$2:$X$2)/10^9),0)</f>
        <v>0</v>
      </c>
      <c r="AG3624" s="95">
        <f>IF($Z$3539&gt;0,PPMT('Assumptions (CSP)'!$V$7,Model!AD$1,'Assumptions (CSP)'!$V$10,'Assumptions (CSP)'!$V$5*Model!$Z$3539*AVERAGE('Assumptions (CSP)'!$V$2:$X$2)/10^9),0)</f>
        <v>0</v>
      </c>
      <c r="AH3624" s="95">
        <f>IF($Z$3539&gt;0,PPMT('Assumptions (CSP)'!$V$7,Model!AE$1,'Assumptions (CSP)'!$V$10,'Assumptions (CSP)'!$V$5*Model!$Z$3539*AVERAGE('Assumptions (CSP)'!$V$2:$X$2)/10^9),0)</f>
        <v>0</v>
      </c>
      <c r="AI3624" s="95">
        <f>IF($Z$3539&gt;0,PPMT('Assumptions (CSP)'!$V$7,Model!AF$1,'Assumptions (CSP)'!$V$10,'Assumptions (CSP)'!$V$5*Model!$Z$3539*AVERAGE('Assumptions (CSP)'!$V$2:$X$2)/10^9),0)</f>
        <v>0</v>
      </c>
      <c r="AJ3624" s="95">
        <f>IF($Z$3539&gt;0,PPMT('Assumptions (CSP)'!$V$7,Model!AG$1,'Assumptions (CSP)'!$V$10,'Assumptions (CSP)'!$V$5*Model!$Z$3539*AVERAGE('Assumptions (CSP)'!$V$2:$X$2)/10^9),0)</f>
        <v>0</v>
      </c>
      <c r="AK3624" s="95">
        <f>IF($Z$3539&gt;0,PPMT('Assumptions (CSP)'!$V$7,Model!AH$1,'Assumptions (CSP)'!$V$10,'Assumptions (CSP)'!$V$5*Model!$Z$3539*AVERAGE('Assumptions (CSP)'!$V$2:$X$2)/10^9),0)</f>
        <v>0</v>
      </c>
      <c r="AL3624" s="95">
        <f>IF($Z$3539&gt;0,PPMT('Assumptions (CSP)'!$V$7,Model!AI$1,'Assumptions (CSP)'!$V$10,'Assumptions (CSP)'!$V$5*Model!$Z$3539*AVERAGE('Assumptions (CSP)'!$V$2:$X$2)/10^9),0)</f>
        <v>0</v>
      </c>
      <c r="AM3624" s="95">
        <f>IF($Z$3539&gt;0,PPMT('Assumptions (CSP)'!$V$7,Model!AJ$1,'Assumptions (CSP)'!$V$10,'Assumptions (CSP)'!$V$5*Model!$Z$3539*AVERAGE('Assumptions (CSP)'!$V$2:$X$2)/10^9),0)</f>
        <v>0</v>
      </c>
      <c r="AN3624" s="95">
        <f>IF($Z$3539&gt;0,PPMT('Assumptions (CSP)'!$V$7,Model!AK$1,'Assumptions (CSP)'!$V$10,'Assumptions (CSP)'!$V$5*Model!$Z$3539*AVERAGE('Assumptions (CSP)'!$V$2:$X$2)/10^9),0)</f>
        <v>0</v>
      </c>
      <c r="AO3624" s="95"/>
      <c r="AP3624" s="95"/>
      <c r="AQ3624" s="95"/>
      <c r="AR3624" s="95"/>
      <c r="AS3624" s="95"/>
      <c r="AT3624" s="95"/>
      <c r="AU3624" s="95"/>
      <c r="AV3624" s="95"/>
      <c r="AW3624" s="95"/>
      <c r="AX3624" s="95"/>
      <c r="AY3624" s="95"/>
      <c r="AZ3624" s="95"/>
      <c r="BA3624" s="95"/>
    </row>
    <row r="3625" ht="15.75" hidden="1" customHeight="1">
      <c r="A3625" s="395"/>
      <c r="B3625" s="24"/>
      <c r="C3625" s="95"/>
      <c r="D3625" s="95"/>
      <c r="E3625" s="95"/>
      <c r="F3625" s="95"/>
      <c r="G3625" s="95"/>
      <c r="H3625" s="95"/>
      <c r="I3625" s="95"/>
      <c r="J3625" s="95"/>
      <c r="K3625" s="95"/>
      <c r="L3625" s="95"/>
      <c r="M3625" s="95"/>
      <c r="N3625" s="95"/>
      <c r="O3625" s="95"/>
      <c r="P3625" s="95"/>
      <c r="Q3625" s="95"/>
      <c r="R3625" s="95"/>
      <c r="S3625" s="95"/>
      <c r="T3625" s="95"/>
      <c r="U3625" s="95"/>
      <c r="V3625" s="95"/>
      <c r="W3625" s="95"/>
      <c r="X3625" s="95"/>
      <c r="Y3625" s="95"/>
      <c r="Z3625" s="95"/>
      <c r="AA3625" s="95">
        <f>IF($AA$3539&gt;0,PPMT('Assumptions (CSP)'!$V$7,Model!W$1,'Assumptions (CSP)'!$V$10,'Assumptions (CSP)'!$V$5*Model!$AA$3539*AVERAGE('Assumptions (CSP)'!$W$2:$Y$2)/10^9),0)</f>
        <v>0</v>
      </c>
      <c r="AB3625" s="95">
        <f>IF($AA$3539&gt;0,PPMT('Assumptions (CSP)'!$V$7,Model!X$1,'Assumptions (CSP)'!$V$10,'Assumptions (CSP)'!$V$5*Model!$AA$3539*AVERAGE('Assumptions (CSP)'!$W$2:$Y$2)/10^9),0)</f>
        <v>0</v>
      </c>
      <c r="AC3625" s="95">
        <f>IF($AA$3539&gt;0,PPMT('Assumptions (CSP)'!$V$7,Model!Y$1,'Assumptions (CSP)'!$V$10,'Assumptions (CSP)'!$V$5*Model!$AA$3539*AVERAGE('Assumptions (CSP)'!$W$2:$Y$2)/10^9),0)</f>
        <v>0</v>
      </c>
      <c r="AD3625" s="95">
        <f>IF($AA$3539&gt;0,PPMT('Assumptions (CSP)'!$V$7,Model!Z$1,'Assumptions (CSP)'!$V$10,'Assumptions (CSP)'!$V$5*Model!$AA$3539*AVERAGE('Assumptions (CSP)'!$W$2:$Y$2)/10^9),0)</f>
        <v>0</v>
      </c>
      <c r="AE3625" s="95">
        <f>IF($AA$3539&gt;0,PPMT('Assumptions (CSP)'!$V$7,Model!AA$1,'Assumptions (CSP)'!$V$10,'Assumptions (CSP)'!$V$5*Model!$AA$3539*AVERAGE('Assumptions (CSP)'!$W$2:$Y$2)/10^9),0)</f>
        <v>0</v>
      </c>
      <c r="AF3625" s="95">
        <f>IF($AA$3539&gt;0,PPMT('Assumptions (CSP)'!$V$7,Model!AB$1,'Assumptions (CSP)'!$V$10,'Assumptions (CSP)'!$V$5*Model!$AA$3539*AVERAGE('Assumptions (CSP)'!$W$2:$Y$2)/10^9),0)</f>
        <v>0</v>
      </c>
      <c r="AG3625" s="95">
        <f>IF($AA$3539&gt;0,PPMT('Assumptions (CSP)'!$V$7,Model!AC$1,'Assumptions (CSP)'!$V$10,'Assumptions (CSP)'!$V$5*Model!$AA$3539*AVERAGE('Assumptions (CSP)'!$W$2:$Y$2)/10^9),0)</f>
        <v>0</v>
      </c>
      <c r="AH3625" s="95">
        <f>IF($AA$3539&gt;0,PPMT('Assumptions (CSP)'!$V$7,Model!AD$1,'Assumptions (CSP)'!$V$10,'Assumptions (CSP)'!$V$5*Model!$AA$3539*AVERAGE('Assumptions (CSP)'!$W$2:$Y$2)/10^9),0)</f>
        <v>0</v>
      </c>
      <c r="AI3625" s="95">
        <f>IF($AA$3539&gt;0,PPMT('Assumptions (CSP)'!$V$7,Model!AE$1,'Assumptions (CSP)'!$V$10,'Assumptions (CSP)'!$V$5*Model!$AA$3539*AVERAGE('Assumptions (CSP)'!$W$2:$Y$2)/10^9),0)</f>
        <v>0</v>
      </c>
      <c r="AJ3625" s="95">
        <f>IF($AA$3539&gt;0,PPMT('Assumptions (CSP)'!$V$7,Model!AF$1,'Assumptions (CSP)'!$V$10,'Assumptions (CSP)'!$V$5*Model!$AA$3539*AVERAGE('Assumptions (CSP)'!$W$2:$Y$2)/10^9),0)</f>
        <v>0</v>
      </c>
      <c r="AK3625" s="95">
        <f>IF($AA$3539&gt;0,PPMT('Assumptions (CSP)'!$V$7,Model!AG$1,'Assumptions (CSP)'!$V$10,'Assumptions (CSP)'!$V$5*Model!$AA$3539*AVERAGE('Assumptions (CSP)'!$W$2:$Y$2)/10^9),0)</f>
        <v>0</v>
      </c>
      <c r="AL3625" s="95">
        <f>IF($AA$3539&gt;0,PPMT('Assumptions (CSP)'!$V$7,Model!AH$1,'Assumptions (CSP)'!$V$10,'Assumptions (CSP)'!$V$5*Model!$AA$3539*AVERAGE('Assumptions (CSP)'!$W$2:$Y$2)/10^9),0)</f>
        <v>0</v>
      </c>
      <c r="AM3625" s="95">
        <f>IF($AA$3539&gt;0,PPMT('Assumptions (CSP)'!$V$7,Model!AI$1,'Assumptions (CSP)'!$V$10,'Assumptions (CSP)'!$V$5*Model!$AA$3539*AVERAGE('Assumptions (CSP)'!$W$2:$Y$2)/10^9),0)</f>
        <v>0</v>
      </c>
      <c r="AN3625" s="95">
        <f>IF($AA$3539&gt;0,PPMT('Assumptions (CSP)'!$V$7,Model!AJ$1,'Assumptions (CSP)'!$V$10,'Assumptions (CSP)'!$V$5*Model!$AA$3539*AVERAGE('Assumptions (CSP)'!$W$2:$Y$2)/10^9),0)</f>
        <v>0</v>
      </c>
      <c r="AO3625" s="95">
        <f>IF($AA$3539&gt;0,PPMT('Assumptions (CSP)'!$V$7,Model!AK$1,'Assumptions (CSP)'!$V$10,'Assumptions (CSP)'!$V$5*Model!$AA$3539*AVERAGE('Assumptions (CSP)'!$W$2:$Y$2)/10^9),0)</f>
        <v>0</v>
      </c>
      <c r="AP3625" s="95"/>
      <c r="AQ3625" s="95"/>
      <c r="AR3625" s="95"/>
      <c r="AS3625" s="95"/>
      <c r="AT3625" s="95"/>
      <c r="AU3625" s="95"/>
      <c r="AV3625" s="95"/>
      <c r="AW3625" s="95"/>
      <c r="AX3625" s="95"/>
      <c r="AY3625" s="95"/>
      <c r="AZ3625" s="95"/>
      <c r="BA3625" s="95"/>
    </row>
    <row r="3626" ht="15.75" hidden="1" customHeight="1">
      <c r="A3626" s="395"/>
      <c r="B3626" s="24"/>
      <c r="C3626" s="95"/>
      <c r="D3626" s="95"/>
      <c r="E3626" s="95"/>
      <c r="F3626" s="95"/>
      <c r="G3626" s="95"/>
      <c r="H3626" s="95"/>
      <c r="I3626" s="95"/>
      <c r="J3626" s="95"/>
      <c r="K3626" s="95"/>
      <c r="L3626" s="95"/>
      <c r="M3626" s="95"/>
      <c r="N3626" s="95"/>
      <c r="O3626" s="95"/>
      <c r="P3626" s="95"/>
      <c r="Q3626" s="95"/>
      <c r="R3626" s="95"/>
      <c r="S3626" s="95"/>
      <c r="T3626" s="95"/>
      <c r="U3626" s="95"/>
      <c r="V3626" s="95"/>
      <c r="W3626" s="95"/>
      <c r="X3626" s="95"/>
      <c r="Y3626" s="95"/>
      <c r="Z3626" s="95"/>
      <c r="AA3626" s="95"/>
      <c r="AB3626" s="95">
        <f>IF($AB$3539&gt;0,PPMT('Assumptions (CSP)'!$V$7,Model!W$1,'Assumptions (CSP)'!$V$10,'Assumptions (CSP)'!$V$5*Model!$AB$3539*AVERAGE('Assumptions (CSP)'!$X$2:$Z$2)/10^9),0)</f>
        <v>0</v>
      </c>
      <c r="AC3626" s="95">
        <f>IF($AB$3539&gt;0,PPMT('Assumptions (CSP)'!$V$7,Model!X$1,'Assumptions (CSP)'!$V$10,'Assumptions (CSP)'!$V$5*Model!$AB$3539*AVERAGE('Assumptions (CSP)'!$X$2:$Z$2)/10^9),0)</f>
        <v>0</v>
      </c>
      <c r="AD3626" s="95">
        <f>IF($AB$3539&gt;0,PPMT('Assumptions (CSP)'!$V$7,Model!Y$1,'Assumptions (CSP)'!$V$10,'Assumptions (CSP)'!$V$5*Model!$AB$3539*AVERAGE('Assumptions (CSP)'!$X$2:$Z$2)/10^9),0)</f>
        <v>0</v>
      </c>
      <c r="AE3626" s="95">
        <f>IF($AB$3539&gt;0,PPMT('Assumptions (CSP)'!$V$7,Model!Z$1,'Assumptions (CSP)'!$V$10,'Assumptions (CSP)'!$V$5*Model!$AB$3539*AVERAGE('Assumptions (CSP)'!$X$2:$Z$2)/10^9),0)</f>
        <v>0</v>
      </c>
      <c r="AF3626" s="95">
        <f>IF($AB$3539&gt;0,PPMT('Assumptions (CSP)'!$V$7,Model!AA$1,'Assumptions (CSP)'!$V$10,'Assumptions (CSP)'!$V$5*Model!$AB$3539*AVERAGE('Assumptions (CSP)'!$X$2:$Z$2)/10^9),0)</f>
        <v>0</v>
      </c>
      <c r="AG3626" s="95">
        <f>IF($AB$3539&gt;0,PPMT('Assumptions (CSP)'!$V$7,Model!AB$1,'Assumptions (CSP)'!$V$10,'Assumptions (CSP)'!$V$5*Model!$AB$3539*AVERAGE('Assumptions (CSP)'!$X$2:$Z$2)/10^9),0)</f>
        <v>0</v>
      </c>
      <c r="AH3626" s="95">
        <f>IF($AB$3539&gt;0,PPMT('Assumptions (CSP)'!$V$7,Model!AC$1,'Assumptions (CSP)'!$V$10,'Assumptions (CSP)'!$V$5*Model!$AB$3539*AVERAGE('Assumptions (CSP)'!$X$2:$Z$2)/10^9),0)</f>
        <v>0</v>
      </c>
      <c r="AI3626" s="95">
        <f>IF($AB$3539&gt;0,PPMT('Assumptions (CSP)'!$V$7,Model!AD$1,'Assumptions (CSP)'!$V$10,'Assumptions (CSP)'!$V$5*Model!$AB$3539*AVERAGE('Assumptions (CSP)'!$X$2:$Z$2)/10^9),0)</f>
        <v>0</v>
      </c>
      <c r="AJ3626" s="95">
        <f>IF($AB$3539&gt;0,PPMT('Assumptions (CSP)'!$V$7,Model!AE$1,'Assumptions (CSP)'!$V$10,'Assumptions (CSP)'!$V$5*Model!$AB$3539*AVERAGE('Assumptions (CSP)'!$X$2:$Z$2)/10^9),0)</f>
        <v>0</v>
      </c>
      <c r="AK3626" s="95">
        <f>IF($AB$3539&gt;0,PPMT('Assumptions (CSP)'!$V$7,Model!AF$1,'Assumptions (CSP)'!$V$10,'Assumptions (CSP)'!$V$5*Model!$AB$3539*AVERAGE('Assumptions (CSP)'!$X$2:$Z$2)/10^9),0)</f>
        <v>0</v>
      </c>
      <c r="AL3626" s="95">
        <f>IF($AB$3539&gt;0,PPMT('Assumptions (CSP)'!$V$7,Model!AG$1,'Assumptions (CSP)'!$V$10,'Assumptions (CSP)'!$V$5*Model!$AB$3539*AVERAGE('Assumptions (CSP)'!$X$2:$Z$2)/10^9),0)</f>
        <v>0</v>
      </c>
      <c r="AM3626" s="95">
        <f>IF($AB$3539&gt;0,PPMT('Assumptions (CSP)'!$V$7,Model!AH$1,'Assumptions (CSP)'!$V$10,'Assumptions (CSP)'!$V$5*Model!$AB$3539*AVERAGE('Assumptions (CSP)'!$X$2:$Z$2)/10^9),0)</f>
        <v>0</v>
      </c>
      <c r="AN3626" s="95">
        <f>IF($AB$3539&gt;0,PPMT('Assumptions (CSP)'!$V$7,Model!AI$1,'Assumptions (CSP)'!$V$10,'Assumptions (CSP)'!$V$5*Model!$AB$3539*AVERAGE('Assumptions (CSP)'!$X$2:$Z$2)/10^9),0)</f>
        <v>0</v>
      </c>
      <c r="AO3626" s="95">
        <f>IF($AB$3539&gt;0,PPMT('Assumptions (CSP)'!$V$7,Model!AJ$1,'Assumptions (CSP)'!$V$10,'Assumptions (CSP)'!$V$5*Model!$AB$3539*AVERAGE('Assumptions (CSP)'!$X$2:$Z$2)/10^9),0)</f>
        <v>0</v>
      </c>
      <c r="AP3626" s="95">
        <f>IF($AB$3539&gt;0,PPMT('Assumptions (CSP)'!$V$7,Model!AK$1,'Assumptions (CSP)'!$V$10,'Assumptions (CSP)'!$V$5*Model!$AB$3539*AVERAGE('Assumptions (CSP)'!$X$2:$Z$2)/10^9),0)</f>
        <v>0</v>
      </c>
      <c r="AQ3626" s="95"/>
      <c r="AR3626" s="95"/>
      <c r="AS3626" s="95"/>
      <c r="AT3626" s="95"/>
      <c r="AU3626" s="95"/>
      <c r="AV3626" s="95"/>
      <c r="AW3626" s="95"/>
      <c r="AX3626" s="95"/>
      <c r="AY3626" s="95"/>
      <c r="AZ3626" s="95"/>
      <c r="BA3626" s="95"/>
    </row>
    <row r="3627" ht="15.75" hidden="1" customHeight="1">
      <c r="A3627" s="395"/>
      <c r="B3627" s="24"/>
      <c r="C3627" s="95"/>
      <c r="D3627" s="95"/>
      <c r="E3627" s="95"/>
      <c r="F3627" s="95"/>
      <c r="G3627" s="95"/>
      <c r="H3627" s="95"/>
      <c r="I3627" s="95"/>
      <c r="J3627" s="95"/>
      <c r="K3627" s="95"/>
      <c r="L3627" s="95"/>
      <c r="M3627" s="95"/>
      <c r="N3627" s="95"/>
      <c r="O3627" s="95"/>
      <c r="P3627" s="95"/>
      <c r="Q3627" s="95"/>
      <c r="R3627" s="95"/>
      <c r="S3627" s="95"/>
      <c r="T3627" s="95"/>
      <c r="U3627" s="95"/>
      <c r="V3627" s="95"/>
      <c r="W3627" s="95"/>
      <c r="X3627" s="95"/>
      <c r="Y3627" s="95"/>
      <c r="Z3627" s="95"/>
      <c r="AA3627" s="95"/>
      <c r="AB3627" s="95"/>
      <c r="AC3627" s="95">
        <f>IF($AC$3539&gt;0,PPMT('Assumptions (CSP)'!$V$7,Model!W$1,'Assumptions (CSP)'!$V$10,'Assumptions (CSP)'!$V$5*Model!$AC$3539*AVERAGE('Assumptions (CSP)'!$Y$2:$AA$2)/10^9),0)</f>
        <v>0</v>
      </c>
      <c r="AD3627" s="95">
        <f>IF($AC$3539&gt;0,PPMT('Assumptions (CSP)'!$V$7,Model!X$1,'Assumptions (CSP)'!$V$10,'Assumptions (CSP)'!$V$5*Model!$AC$3539*AVERAGE('Assumptions (CSP)'!$Y$2:$AA$2)/10^9),0)</f>
        <v>0</v>
      </c>
      <c r="AE3627" s="95">
        <f>IF($AC$3539&gt;0,PPMT('Assumptions (CSP)'!$V$7,Model!Y$1,'Assumptions (CSP)'!$V$10,'Assumptions (CSP)'!$V$5*Model!$AC$3539*AVERAGE('Assumptions (CSP)'!$Y$2:$AA$2)/10^9),0)</f>
        <v>0</v>
      </c>
      <c r="AF3627" s="95">
        <f>IF($AC$3539&gt;0,PPMT('Assumptions (CSP)'!$V$7,Model!Z$1,'Assumptions (CSP)'!$V$10,'Assumptions (CSP)'!$V$5*Model!$AC$3539*AVERAGE('Assumptions (CSP)'!$Y$2:$AA$2)/10^9),0)</f>
        <v>0</v>
      </c>
      <c r="AG3627" s="95">
        <f>IF($AC$3539&gt;0,PPMT('Assumptions (CSP)'!$V$7,Model!AA$1,'Assumptions (CSP)'!$V$10,'Assumptions (CSP)'!$V$5*Model!$AC$3539*AVERAGE('Assumptions (CSP)'!$Y$2:$AA$2)/10^9),0)</f>
        <v>0</v>
      </c>
      <c r="AH3627" s="95">
        <f>IF($AC$3539&gt;0,PPMT('Assumptions (CSP)'!$V$7,Model!AB$1,'Assumptions (CSP)'!$V$10,'Assumptions (CSP)'!$V$5*Model!$AC$3539*AVERAGE('Assumptions (CSP)'!$Y$2:$AA$2)/10^9),0)</f>
        <v>0</v>
      </c>
      <c r="AI3627" s="95">
        <f>IF($AC$3539&gt;0,PPMT('Assumptions (CSP)'!$V$7,Model!AC$1,'Assumptions (CSP)'!$V$10,'Assumptions (CSP)'!$V$5*Model!$AC$3539*AVERAGE('Assumptions (CSP)'!$Y$2:$AA$2)/10^9),0)</f>
        <v>0</v>
      </c>
      <c r="AJ3627" s="95">
        <f>IF($AC$3539&gt;0,PPMT('Assumptions (CSP)'!$V$7,Model!AD$1,'Assumptions (CSP)'!$V$10,'Assumptions (CSP)'!$V$5*Model!$AC$3539*AVERAGE('Assumptions (CSP)'!$Y$2:$AA$2)/10^9),0)</f>
        <v>0</v>
      </c>
      <c r="AK3627" s="95">
        <f>IF($AC$3539&gt;0,PPMT('Assumptions (CSP)'!$V$7,Model!AE$1,'Assumptions (CSP)'!$V$10,'Assumptions (CSP)'!$V$5*Model!$AC$3539*AVERAGE('Assumptions (CSP)'!$Y$2:$AA$2)/10^9),0)</f>
        <v>0</v>
      </c>
      <c r="AL3627" s="95">
        <f>IF($AC$3539&gt;0,PPMT('Assumptions (CSP)'!$V$7,Model!AF$1,'Assumptions (CSP)'!$V$10,'Assumptions (CSP)'!$V$5*Model!$AC$3539*AVERAGE('Assumptions (CSP)'!$Y$2:$AA$2)/10^9),0)</f>
        <v>0</v>
      </c>
      <c r="AM3627" s="95">
        <f>IF($AC$3539&gt;0,PPMT('Assumptions (CSP)'!$V$7,Model!AG$1,'Assumptions (CSP)'!$V$10,'Assumptions (CSP)'!$V$5*Model!$AC$3539*AVERAGE('Assumptions (CSP)'!$Y$2:$AA$2)/10^9),0)</f>
        <v>0</v>
      </c>
      <c r="AN3627" s="95">
        <f>IF($AC$3539&gt;0,PPMT('Assumptions (CSP)'!$V$7,Model!AH$1,'Assumptions (CSP)'!$V$10,'Assumptions (CSP)'!$V$5*Model!$AC$3539*AVERAGE('Assumptions (CSP)'!$Y$2:$AA$2)/10^9),0)</f>
        <v>0</v>
      </c>
      <c r="AO3627" s="95">
        <f>IF($AC$3539&gt;0,PPMT('Assumptions (CSP)'!$V$7,Model!AI$1,'Assumptions (CSP)'!$V$10,'Assumptions (CSP)'!$V$5*Model!$AC$3539*AVERAGE('Assumptions (CSP)'!$Y$2:$AA$2)/10^9),0)</f>
        <v>0</v>
      </c>
      <c r="AP3627" s="95">
        <f>IF($AC$3539&gt;0,PPMT('Assumptions (CSP)'!$V$7,Model!AJ$1,'Assumptions (CSP)'!$V$10,'Assumptions (CSP)'!$V$5*Model!$AC$3539*AVERAGE('Assumptions (CSP)'!$Y$2:$AA$2)/10^9),0)</f>
        <v>0</v>
      </c>
      <c r="AQ3627" s="95">
        <f>IF($AC$3539&gt;0,PPMT('Assumptions (CSP)'!$V$7,Model!AK$1,'Assumptions (CSP)'!$V$10,'Assumptions (CSP)'!$V$5*Model!$AC$3539*AVERAGE('Assumptions (CSP)'!$Y$2:$AA$2)/10^9),0)</f>
        <v>0</v>
      </c>
      <c r="AR3627" s="95"/>
      <c r="AS3627" s="95"/>
      <c r="AT3627" s="95"/>
      <c r="AU3627" s="95"/>
      <c r="AV3627" s="95"/>
      <c r="AW3627" s="95"/>
      <c r="AX3627" s="95"/>
      <c r="AY3627" s="95"/>
      <c r="AZ3627" s="95"/>
      <c r="BA3627" s="95"/>
    </row>
    <row r="3628" ht="15.75" hidden="1" customHeight="1">
      <c r="A3628" s="395"/>
      <c r="B3628" s="24"/>
      <c r="C3628" s="95"/>
      <c r="D3628" s="95"/>
      <c r="E3628" s="95"/>
      <c r="F3628" s="95"/>
      <c r="G3628" s="95"/>
      <c r="H3628" s="95"/>
      <c r="I3628" s="95"/>
      <c r="J3628" s="95"/>
      <c r="K3628" s="95"/>
      <c r="L3628" s="95"/>
      <c r="M3628" s="95"/>
      <c r="N3628" s="95"/>
      <c r="O3628" s="95"/>
      <c r="P3628" s="95"/>
      <c r="Q3628" s="95"/>
      <c r="R3628" s="95"/>
      <c r="S3628" s="95"/>
      <c r="T3628" s="95"/>
      <c r="U3628" s="95"/>
      <c r="V3628" s="95"/>
      <c r="W3628" s="95"/>
      <c r="X3628" s="95"/>
      <c r="Y3628" s="95"/>
      <c r="Z3628" s="95"/>
      <c r="AA3628" s="95"/>
      <c r="AB3628" s="95"/>
      <c r="AC3628" s="95"/>
      <c r="AD3628" s="95">
        <f>IF($AD$3539&gt;0,PPMT('Assumptions (CSP)'!$V$7,Model!W$1,'Assumptions (CSP)'!$V$10,'Assumptions (CSP)'!$V$5*Model!$AD$3539*AVERAGE('Assumptions (CSP)'!$Z$2:$AB$2)/10^9),0)</f>
        <v>0</v>
      </c>
      <c r="AE3628" s="95">
        <f>IF($AD$3539&gt;0,PPMT('Assumptions (CSP)'!$V$7,Model!X$1,'Assumptions (CSP)'!$V$10,'Assumptions (CSP)'!$V$5*Model!$AD$3539*AVERAGE('Assumptions (CSP)'!$Z$2:$AB$2)/10^9),0)</f>
        <v>0</v>
      </c>
      <c r="AF3628" s="95">
        <f>IF($AD$3539&gt;0,PPMT('Assumptions (CSP)'!$V$7,Model!Y$1,'Assumptions (CSP)'!$V$10,'Assumptions (CSP)'!$V$5*Model!$AD$3539*AVERAGE('Assumptions (CSP)'!$Z$2:$AB$2)/10^9),0)</f>
        <v>0</v>
      </c>
      <c r="AG3628" s="95">
        <f>IF($AD$3539&gt;0,PPMT('Assumptions (CSP)'!$V$7,Model!Z$1,'Assumptions (CSP)'!$V$10,'Assumptions (CSP)'!$V$5*Model!$AD$3539*AVERAGE('Assumptions (CSP)'!$Z$2:$AB$2)/10^9),0)</f>
        <v>0</v>
      </c>
      <c r="AH3628" s="95">
        <f>IF($AD$3539&gt;0,PPMT('Assumptions (CSP)'!$V$7,Model!AA$1,'Assumptions (CSP)'!$V$10,'Assumptions (CSP)'!$V$5*Model!$AD$3539*AVERAGE('Assumptions (CSP)'!$Z$2:$AB$2)/10^9),0)</f>
        <v>0</v>
      </c>
      <c r="AI3628" s="95">
        <f>IF($AD$3539&gt;0,PPMT('Assumptions (CSP)'!$V$7,Model!AB$1,'Assumptions (CSP)'!$V$10,'Assumptions (CSP)'!$V$5*Model!$AD$3539*AVERAGE('Assumptions (CSP)'!$Z$2:$AB$2)/10^9),0)</f>
        <v>0</v>
      </c>
      <c r="AJ3628" s="95">
        <f>IF($AD$3539&gt;0,PPMT('Assumptions (CSP)'!$V$7,Model!AC$1,'Assumptions (CSP)'!$V$10,'Assumptions (CSP)'!$V$5*Model!$AD$3539*AVERAGE('Assumptions (CSP)'!$Z$2:$AB$2)/10^9),0)</f>
        <v>0</v>
      </c>
      <c r="AK3628" s="95">
        <f>IF($AD$3539&gt;0,PPMT('Assumptions (CSP)'!$V$7,Model!AD$1,'Assumptions (CSP)'!$V$10,'Assumptions (CSP)'!$V$5*Model!$AD$3539*AVERAGE('Assumptions (CSP)'!$Z$2:$AB$2)/10^9),0)</f>
        <v>0</v>
      </c>
      <c r="AL3628" s="95">
        <f>IF($AD$3539&gt;0,PPMT('Assumptions (CSP)'!$V$7,Model!AE$1,'Assumptions (CSP)'!$V$10,'Assumptions (CSP)'!$V$5*Model!$AD$3539*AVERAGE('Assumptions (CSP)'!$Z$2:$AB$2)/10^9),0)</f>
        <v>0</v>
      </c>
      <c r="AM3628" s="95">
        <f>IF($AD$3539&gt;0,PPMT('Assumptions (CSP)'!$V$7,Model!AF$1,'Assumptions (CSP)'!$V$10,'Assumptions (CSP)'!$V$5*Model!$AD$3539*AVERAGE('Assumptions (CSP)'!$Z$2:$AB$2)/10^9),0)</f>
        <v>0</v>
      </c>
      <c r="AN3628" s="95">
        <f>IF($AD$3539&gt;0,PPMT('Assumptions (CSP)'!$V$7,Model!AG$1,'Assumptions (CSP)'!$V$10,'Assumptions (CSP)'!$V$5*Model!$AD$3539*AVERAGE('Assumptions (CSP)'!$Z$2:$AB$2)/10^9),0)</f>
        <v>0</v>
      </c>
      <c r="AO3628" s="95">
        <f>IF($AD$3539&gt;0,PPMT('Assumptions (CSP)'!$V$7,Model!AH$1,'Assumptions (CSP)'!$V$10,'Assumptions (CSP)'!$V$5*Model!$AD$3539*AVERAGE('Assumptions (CSP)'!$Z$2:$AB$2)/10^9),0)</f>
        <v>0</v>
      </c>
      <c r="AP3628" s="95">
        <f>IF($AD$3539&gt;0,PPMT('Assumptions (CSP)'!$V$7,Model!AI$1,'Assumptions (CSP)'!$V$10,'Assumptions (CSP)'!$V$5*Model!$AD$3539*AVERAGE('Assumptions (CSP)'!$Z$2:$AB$2)/10^9),0)</f>
        <v>0</v>
      </c>
      <c r="AQ3628" s="95">
        <f>IF($AD$3539&gt;0,PPMT('Assumptions (CSP)'!$V$7,Model!AJ$1,'Assumptions (CSP)'!$V$10,'Assumptions (CSP)'!$V$5*Model!$AD$3539*AVERAGE('Assumptions (CSP)'!$Z$2:$AB$2)/10^9),0)</f>
        <v>0</v>
      </c>
      <c r="AR3628" s="95">
        <f>IF($AD$3539&gt;0,PPMT('Assumptions (CSP)'!$V$7,Model!AK$1,'Assumptions (CSP)'!$V$10,'Assumptions (CSP)'!$V$5*Model!$AD$3539*AVERAGE('Assumptions (CSP)'!$Z$2:$AB$2)/10^9),0)</f>
        <v>0</v>
      </c>
      <c r="AS3628" s="95"/>
      <c r="AT3628" s="95"/>
      <c r="AU3628" s="95"/>
      <c r="AV3628" s="95"/>
      <c r="AW3628" s="95"/>
      <c r="AX3628" s="95"/>
      <c r="AY3628" s="95"/>
      <c r="AZ3628" s="95"/>
      <c r="BA3628" s="95"/>
    </row>
    <row r="3629" ht="15.75" hidden="1" customHeight="1">
      <c r="A3629" s="395"/>
      <c r="B3629" s="24"/>
      <c r="C3629" s="95"/>
      <c r="D3629" s="95"/>
      <c r="E3629" s="95"/>
      <c r="F3629" s="95"/>
      <c r="G3629" s="95"/>
      <c r="H3629" s="95"/>
      <c r="I3629" s="95"/>
      <c r="J3629" s="95"/>
      <c r="K3629" s="95"/>
      <c r="L3629" s="95"/>
      <c r="M3629" s="95"/>
      <c r="N3629" s="95"/>
      <c r="O3629" s="95"/>
      <c r="P3629" s="95"/>
      <c r="Q3629" s="95"/>
      <c r="R3629" s="95"/>
      <c r="S3629" s="95"/>
      <c r="T3629" s="95"/>
      <c r="U3629" s="95"/>
      <c r="V3629" s="95"/>
      <c r="W3629" s="95"/>
      <c r="X3629" s="95"/>
      <c r="Y3629" s="95"/>
      <c r="Z3629" s="95"/>
      <c r="AA3629" s="95"/>
      <c r="AB3629" s="95"/>
      <c r="AC3629" s="95"/>
      <c r="AD3629" s="95"/>
      <c r="AE3629" s="95">
        <f>IF($AE$3539&gt;0,PPMT('Assumptions (CSP)'!$V$7,Model!W$1,'Assumptions (CSP)'!$V$10,'Assumptions (CSP)'!$V$5*Model!$AE$3539*AVERAGE('Assumptions (CSP)'!$AA$2:$AC$2)/10^9),0)</f>
        <v>0</v>
      </c>
      <c r="AF3629" s="95">
        <f>IF($AE$3539&gt;0,PPMT('Assumptions (CSP)'!$V$7,Model!X$1,'Assumptions (CSP)'!$V$10,'Assumptions (CSP)'!$V$5*Model!$AE$3539*AVERAGE('Assumptions (CSP)'!$AA$2:$AC$2)/10^9),0)</f>
        <v>0</v>
      </c>
      <c r="AG3629" s="95">
        <f>IF($AE$3539&gt;0,PPMT('Assumptions (CSP)'!$V$7,Model!Y$1,'Assumptions (CSP)'!$V$10,'Assumptions (CSP)'!$V$5*Model!$AE$3539*AVERAGE('Assumptions (CSP)'!$AA$2:$AC$2)/10^9),0)</f>
        <v>0</v>
      </c>
      <c r="AH3629" s="95">
        <f>IF($AE$3539&gt;0,PPMT('Assumptions (CSP)'!$V$7,Model!Z$1,'Assumptions (CSP)'!$V$10,'Assumptions (CSP)'!$V$5*Model!$AE$3539*AVERAGE('Assumptions (CSP)'!$AA$2:$AC$2)/10^9),0)</f>
        <v>0</v>
      </c>
      <c r="AI3629" s="95">
        <f>IF($AE$3539&gt;0,PPMT('Assumptions (CSP)'!$V$7,Model!AA$1,'Assumptions (CSP)'!$V$10,'Assumptions (CSP)'!$V$5*Model!$AE$3539*AVERAGE('Assumptions (CSP)'!$AA$2:$AC$2)/10^9),0)</f>
        <v>0</v>
      </c>
      <c r="AJ3629" s="95">
        <f>IF($AE$3539&gt;0,PPMT('Assumptions (CSP)'!$V$7,Model!AB$1,'Assumptions (CSP)'!$V$10,'Assumptions (CSP)'!$V$5*Model!$AE$3539*AVERAGE('Assumptions (CSP)'!$AA$2:$AC$2)/10^9),0)</f>
        <v>0</v>
      </c>
      <c r="AK3629" s="95">
        <f>IF($AE$3539&gt;0,PPMT('Assumptions (CSP)'!$V$7,Model!AC$1,'Assumptions (CSP)'!$V$10,'Assumptions (CSP)'!$V$5*Model!$AE$3539*AVERAGE('Assumptions (CSP)'!$AA$2:$AC$2)/10^9),0)</f>
        <v>0</v>
      </c>
      <c r="AL3629" s="95">
        <f>IF($AE$3539&gt;0,PPMT('Assumptions (CSP)'!$V$7,Model!AD$1,'Assumptions (CSP)'!$V$10,'Assumptions (CSP)'!$V$5*Model!$AE$3539*AVERAGE('Assumptions (CSP)'!$AA$2:$AC$2)/10^9),0)</f>
        <v>0</v>
      </c>
      <c r="AM3629" s="95">
        <f>IF($AE$3539&gt;0,PPMT('Assumptions (CSP)'!$V$7,Model!AE$1,'Assumptions (CSP)'!$V$10,'Assumptions (CSP)'!$V$5*Model!$AE$3539*AVERAGE('Assumptions (CSP)'!$AA$2:$AC$2)/10^9),0)</f>
        <v>0</v>
      </c>
      <c r="AN3629" s="95">
        <f>IF($AE$3539&gt;0,PPMT('Assumptions (CSP)'!$V$7,Model!AF$1,'Assumptions (CSP)'!$V$10,'Assumptions (CSP)'!$V$5*Model!$AE$3539*AVERAGE('Assumptions (CSP)'!$AA$2:$AC$2)/10^9),0)</f>
        <v>0</v>
      </c>
      <c r="AO3629" s="95">
        <f>IF($AE$3539&gt;0,PPMT('Assumptions (CSP)'!$V$7,Model!AG$1,'Assumptions (CSP)'!$V$10,'Assumptions (CSP)'!$V$5*Model!$AE$3539*AVERAGE('Assumptions (CSP)'!$AA$2:$AC$2)/10^9),0)</f>
        <v>0</v>
      </c>
      <c r="AP3629" s="95">
        <f>IF($AE$3539&gt;0,PPMT('Assumptions (CSP)'!$V$7,Model!AH$1,'Assumptions (CSP)'!$V$10,'Assumptions (CSP)'!$V$5*Model!$AE$3539*AVERAGE('Assumptions (CSP)'!$AA$2:$AC$2)/10^9),0)</f>
        <v>0</v>
      </c>
      <c r="AQ3629" s="95">
        <f>IF($AE$3539&gt;0,PPMT('Assumptions (CSP)'!$V$7,Model!AI$1,'Assumptions (CSP)'!$V$10,'Assumptions (CSP)'!$V$5*Model!$AE$3539*AVERAGE('Assumptions (CSP)'!$AA$2:$AC$2)/10^9),0)</f>
        <v>0</v>
      </c>
      <c r="AR3629" s="95">
        <f>IF($AE$3539&gt;0,PPMT('Assumptions (CSP)'!$V$7,Model!AJ$1,'Assumptions (CSP)'!$V$10,'Assumptions (CSP)'!$V$5*Model!$AE$3539*AVERAGE('Assumptions (CSP)'!$AA$2:$AC$2)/10^9),0)</f>
        <v>0</v>
      </c>
      <c r="AS3629" s="95">
        <f>IF($AE$3539&gt;0,PPMT('Assumptions (CSP)'!$V$7,Model!AK$1,'Assumptions (CSP)'!$V$10,'Assumptions (CSP)'!$V$5*Model!$AE$3539*AVERAGE('Assumptions (CSP)'!$AA$2:$AC$2)/10^9),0)</f>
        <v>0</v>
      </c>
      <c r="AT3629" s="95"/>
      <c r="AU3629" s="95"/>
      <c r="AV3629" s="95"/>
      <c r="AW3629" s="95"/>
      <c r="AX3629" s="95"/>
      <c r="AY3629" s="95"/>
      <c r="AZ3629" s="95"/>
      <c r="BA3629" s="95"/>
    </row>
    <row r="3630" ht="15.75" hidden="1" customHeight="1">
      <c r="A3630" s="395"/>
      <c r="B3630" s="24"/>
      <c r="C3630" s="95"/>
      <c r="D3630" s="95"/>
      <c r="E3630" s="95"/>
      <c r="F3630" s="95"/>
      <c r="G3630" s="95"/>
      <c r="H3630" s="95"/>
      <c r="I3630" s="95"/>
      <c r="J3630" s="95"/>
      <c r="K3630" s="95"/>
      <c r="L3630" s="95"/>
      <c r="M3630" s="95"/>
      <c r="N3630" s="95"/>
      <c r="O3630" s="95"/>
      <c r="P3630" s="95"/>
      <c r="Q3630" s="95"/>
      <c r="R3630" s="95"/>
      <c r="S3630" s="95"/>
      <c r="T3630" s="95"/>
      <c r="U3630" s="95"/>
      <c r="V3630" s="95"/>
      <c r="W3630" s="95"/>
      <c r="X3630" s="95"/>
      <c r="Y3630" s="95"/>
      <c r="Z3630" s="95"/>
      <c r="AA3630" s="95"/>
      <c r="AB3630" s="95"/>
      <c r="AC3630" s="95"/>
      <c r="AD3630" s="95"/>
      <c r="AE3630" s="95"/>
      <c r="AF3630" s="95">
        <f>IF($AF$3539&gt;0,PPMT('Assumptions (CSP)'!$V$7,Model!W$1,'Assumptions (CSP)'!$V$10,'Assumptions (CSP)'!$V$5*Model!$AF$3539*AVERAGE('Assumptions (CSP)'!$AB$2:$AD$2)/10^9),0)</f>
        <v>0</v>
      </c>
      <c r="AG3630" s="95">
        <f>IF($AF$3539&gt;0,PPMT('Assumptions (CSP)'!$V$7,Model!X$1,'Assumptions (CSP)'!$V$10,'Assumptions (CSP)'!$V$5*Model!$AF$3539*AVERAGE('Assumptions (CSP)'!$AB$2:$AD$2)/10^9),0)</f>
        <v>0</v>
      </c>
      <c r="AH3630" s="95">
        <f>IF($AF$3539&gt;0,PPMT('Assumptions (CSP)'!$V$7,Model!Y$1,'Assumptions (CSP)'!$V$10,'Assumptions (CSP)'!$V$5*Model!$AF$3539*AVERAGE('Assumptions (CSP)'!$AB$2:$AD$2)/10^9),0)</f>
        <v>0</v>
      </c>
      <c r="AI3630" s="95">
        <f>IF($AF$3539&gt;0,PPMT('Assumptions (CSP)'!$V$7,Model!Z$1,'Assumptions (CSP)'!$V$10,'Assumptions (CSP)'!$V$5*Model!$AF$3539*AVERAGE('Assumptions (CSP)'!$AB$2:$AD$2)/10^9),0)</f>
        <v>0</v>
      </c>
      <c r="AJ3630" s="95">
        <f>IF($AF$3539&gt;0,PPMT('Assumptions (CSP)'!$V$7,Model!AA$1,'Assumptions (CSP)'!$V$10,'Assumptions (CSP)'!$V$5*Model!$AF$3539*AVERAGE('Assumptions (CSP)'!$AB$2:$AD$2)/10^9),0)</f>
        <v>0</v>
      </c>
      <c r="AK3630" s="95">
        <f>IF($AF$3539&gt;0,PPMT('Assumptions (CSP)'!$V$7,Model!AB$1,'Assumptions (CSP)'!$V$10,'Assumptions (CSP)'!$V$5*Model!$AF$3539*AVERAGE('Assumptions (CSP)'!$AB$2:$AD$2)/10^9),0)</f>
        <v>0</v>
      </c>
      <c r="AL3630" s="95">
        <f>IF($AF$3539&gt;0,PPMT('Assumptions (CSP)'!$V$7,Model!AC$1,'Assumptions (CSP)'!$V$10,'Assumptions (CSP)'!$V$5*Model!$AF$3539*AVERAGE('Assumptions (CSP)'!$AB$2:$AD$2)/10^9),0)</f>
        <v>0</v>
      </c>
      <c r="AM3630" s="95">
        <f>IF($AF$3539&gt;0,PPMT('Assumptions (CSP)'!$V$7,Model!AD$1,'Assumptions (CSP)'!$V$10,'Assumptions (CSP)'!$V$5*Model!$AF$3539*AVERAGE('Assumptions (CSP)'!$AB$2:$AD$2)/10^9),0)</f>
        <v>0</v>
      </c>
      <c r="AN3630" s="95">
        <f>IF($AF$3539&gt;0,PPMT('Assumptions (CSP)'!$V$7,Model!AE$1,'Assumptions (CSP)'!$V$10,'Assumptions (CSP)'!$V$5*Model!$AF$3539*AVERAGE('Assumptions (CSP)'!$AB$2:$AD$2)/10^9),0)</f>
        <v>0</v>
      </c>
      <c r="AO3630" s="95">
        <f>IF($AF$3539&gt;0,PPMT('Assumptions (CSP)'!$V$7,Model!AF$1,'Assumptions (CSP)'!$V$10,'Assumptions (CSP)'!$V$5*Model!$AF$3539*AVERAGE('Assumptions (CSP)'!$AB$2:$AD$2)/10^9),0)</f>
        <v>0</v>
      </c>
      <c r="AP3630" s="95">
        <f>IF($AF$3539&gt;0,PPMT('Assumptions (CSP)'!$V$7,Model!AG$1,'Assumptions (CSP)'!$V$10,'Assumptions (CSP)'!$V$5*Model!$AF$3539*AVERAGE('Assumptions (CSP)'!$AB$2:$AD$2)/10^9),0)</f>
        <v>0</v>
      </c>
      <c r="AQ3630" s="95">
        <f>IF($AF$3539&gt;0,PPMT('Assumptions (CSP)'!$V$7,Model!AH$1,'Assumptions (CSP)'!$V$10,'Assumptions (CSP)'!$V$5*Model!$AF$3539*AVERAGE('Assumptions (CSP)'!$AB$2:$AD$2)/10^9),0)</f>
        <v>0</v>
      </c>
      <c r="AR3630" s="95">
        <f>IF($AF$3539&gt;0,PPMT('Assumptions (CSP)'!$V$7,Model!AI$1,'Assumptions (CSP)'!$V$10,'Assumptions (CSP)'!$V$5*Model!$AF$3539*AVERAGE('Assumptions (CSP)'!$AB$2:$AD$2)/10^9),0)</f>
        <v>0</v>
      </c>
      <c r="AS3630" s="95">
        <f>IF($AF$3539&gt;0,PPMT('Assumptions (CSP)'!$V$7,Model!AJ$1,'Assumptions (CSP)'!$V$10,'Assumptions (CSP)'!$V$5*Model!$AF$3539*AVERAGE('Assumptions (CSP)'!$AB$2:$AD$2)/10^9),0)</f>
        <v>0</v>
      </c>
      <c r="AT3630" s="95">
        <f>IF($AF$3539&gt;0,PPMT('Assumptions (CSP)'!$V$7,Model!AK$1,'Assumptions (CSP)'!$V$10,'Assumptions (CSP)'!$V$5*Model!$AF$3539*AVERAGE('Assumptions (CSP)'!$AB$2:$AD$2)/10^9),0)</f>
        <v>0</v>
      </c>
      <c r="AU3630" s="95"/>
      <c r="AV3630" s="95"/>
      <c r="AW3630" s="95"/>
      <c r="AX3630" s="95"/>
      <c r="AY3630" s="95"/>
      <c r="AZ3630" s="95"/>
      <c r="BA3630" s="95"/>
    </row>
    <row r="3631" ht="15.75" hidden="1" customHeight="1">
      <c r="A3631" s="395"/>
      <c r="B3631" s="24"/>
      <c r="C3631" s="95"/>
      <c r="D3631" s="95"/>
      <c r="E3631" s="95"/>
      <c r="F3631" s="95"/>
      <c r="G3631" s="95"/>
      <c r="H3631" s="95"/>
      <c r="I3631" s="95"/>
      <c r="J3631" s="95"/>
      <c r="K3631" s="95"/>
      <c r="L3631" s="95"/>
      <c r="M3631" s="95"/>
      <c r="N3631" s="95"/>
      <c r="O3631" s="95"/>
      <c r="P3631" s="95"/>
      <c r="Q3631" s="95"/>
      <c r="R3631" s="95"/>
      <c r="S3631" s="95"/>
      <c r="T3631" s="95"/>
      <c r="U3631" s="95"/>
      <c r="V3631" s="95"/>
      <c r="W3631" s="95"/>
      <c r="X3631" s="95"/>
      <c r="Y3631" s="95"/>
      <c r="Z3631" s="95"/>
      <c r="AA3631" s="95"/>
      <c r="AB3631" s="95"/>
      <c r="AC3631" s="95"/>
      <c r="AD3631" s="95"/>
      <c r="AE3631" s="95"/>
      <c r="AF3631" s="95"/>
      <c r="AG3631" s="95">
        <f>IF($AG$3539&gt;0,PPMT('Assumptions (CSP)'!$V$7,Model!W$1,'Assumptions (CSP)'!$V$10,'Assumptions (CSP)'!$V$5*Model!$AG$3539*AVERAGE('Assumptions (CSP)'!$AC$2:$AE$2)/10^9),0)</f>
        <v>0</v>
      </c>
      <c r="AH3631" s="95">
        <f>IF($AG$3539&gt;0,PPMT('Assumptions (CSP)'!$V$7,Model!X$1,'Assumptions (CSP)'!$V$10,'Assumptions (CSP)'!$V$5*Model!$AG$3539*AVERAGE('Assumptions (CSP)'!$AC$2:$AE$2)/10^9),0)</f>
        <v>0</v>
      </c>
      <c r="AI3631" s="95">
        <f>IF($AG$3539&gt;0,PPMT('Assumptions (CSP)'!$V$7,Model!Y$1,'Assumptions (CSP)'!$V$10,'Assumptions (CSP)'!$V$5*Model!$AG$3539*AVERAGE('Assumptions (CSP)'!$AC$2:$AE$2)/10^9),0)</f>
        <v>0</v>
      </c>
      <c r="AJ3631" s="95">
        <f>IF($AG$3539&gt;0,PPMT('Assumptions (CSP)'!$V$7,Model!Z$1,'Assumptions (CSP)'!$V$10,'Assumptions (CSP)'!$V$5*Model!$AG$3539*AVERAGE('Assumptions (CSP)'!$AC$2:$AE$2)/10^9),0)</f>
        <v>0</v>
      </c>
      <c r="AK3631" s="95">
        <f>IF($AG$3539&gt;0,PPMT('Assumptions (CSP)'!$V$7,Model!AA$1,'Assumptions (CSP)'!$V$10,'Assumptions (CSP)'!$V$5*Model!$AG$3539*AVERAGE('Assumptions (CSP)'!$AC$2:$AE$2)/10^9),0)</f>
        <v>0</v>
      </c>
      <c r="AL3631" s="95">
        <f>IF($AG$3539&gt;0,PPMT('Assumptions (CSP)'!$V$7,Model!AB$1,'Assumptions (CSP)'!$V$10,'Assumptions (CSP)'!$V$5*Model!$AG$3539*AVERAGE('Assumptions (CSP)'!$AC$2:$AE$2)/10^9),0)</f>
        <v>0</v>
      </c>
      <c r="AM3631" s="95">
        <f>IF($AG$3539&gt;0,PPMT('Assumptions (CSP)'!$V$7,Model!AC$1,'Assumptions (CSP)'!$V$10,'Assumptions (CSP)'!$V$5*Model!$AG$3539*AVERAGE('Assumptions (CSP)'!$AC$2:$AE$2)/10^9),0)</f>
        <v>0</v>
      </c>
      <c r="AN3631" s="95">
        <f>IF($AG$3539&gt;0,PPMT('Assumptions (CSP)'!$V$7,Model!AD$1,'Assumptions (CSP)'!$V$10,'Assumptions (CSP)'!$V$5*Model!$AG$3539*AVERAGE('Assumptions (CSP)'!$AC$2:$AE$2)/10^9),0)</f>
        <v>0</v>
      </c>
      <c r="AO3631" s="95">
        <f>IF($AG$3539&gt;0,PPMT('Assumptions (CSP)'!$V$7,Model!AE$1,'Assumptions (CSP)'!$V$10,'Assumptions (CSP)'!$V$5*Model!$AG$3539*AVERAGE('Assumptions (CSP)'!$AC$2:$AE$2)/10^9),0)</f>
        <v>0</v>
      </c>
      <c r="AP3631" s="95">
        <f>IF($AG$3539&gt;0,PPMT('Assumptions (CSP)'!$V$7,Model!AF$1,'Assumptions (CSP)'!$V$10,'Assumptions (CSP)'!$V$5*Model!$AG$3539*AVERAGE('Assumptions (CSP)'!$AC$2:$AE$2)/10^9),0)</f>
        <v>0</v>
      </c>
      <c r="AQ3631" s="95">
        <f>IF($AG$3539&gt;0,PPMT('Assumptions (CSP)'!$V$7,Model!AG$1,'Assumptions (CSP)'!$V$10,'Assumptions (CSP)'!$V$5*Model!$AG$3539*AVERAGE('Assumptions (CSP)'!$AC$2:$AE$2)/10^9),0)</f>
        <v>0</v>
      </c>
      <c r="AR3631" s="95">
        <f>IF($AG$3539&gt;0,PPMT('Assumptions (CSP)'!$V$7,Model!AH$1,'Assumptions (CSP)'!$V$10,'Assumptions (CSP)'!$V$5*Model!$AG$3539*AVERAGE('Assumptions (CSP)'!$AC$2:$AE$2)/10^9),0)</f>
        <v>0</v>
      </c>
      <c r="AS3631" s="95">
        <f>IF($AG$3539&gt;0,PPMT('Assumptions (CSP)'!$V$7,Model!AI$1,'Assumptions (CSP)'!$V$10,'Assumptions (CSP)'!$V$5*Model!$AG$3539*AVERAGE('Assumptions (CSP)'!$AC$2:$AE$2)/10^9),0)</f>
        <v>0</v>
      </c>
      <c r="AT3631" s="95">
        <f>IF($AG$3539&gt;0,PPMT('Assumptions (CSP)'!$V$7,Model!AJ$1,'Assumptions (CSP)'!$V$10,'Assumptions (CSP)'!$V$5*Model!$AG$3539*AVERAGE('Assumptions (CSP)'!$AC$2:$AE$2)/10^9),0)</f>
        <v>0</v>
      </c>
      <c r="AU3631" s="95">
        <f>IF($AG$3539&gt;0,PPMT('Assumptions (CSP)'!$V$7,Model!AK$1,'Assumptions (CSP)'!$V$10,'Assumptions (CSP)'!$V$5*Model!$AG$3539*AVERAGE('Assumptions (CSP)'!$AC$2:$AE$2)/10^9),0)</f>
        <v>0</v>
      </c>
      <c r="AV3631" s="95"/>
      <c r="AW3631" s="95"/>
      <c r="AX3631" s="95"/>
      <c r="AY3631" s="95"/>
      <c r="AZ3631" s="95"/>
      <c r="BA3631" s="95"/>
    </row>
    <row r="3632" ht="15.75" hidden="1" customHeight="1">
      <c r="A3632" s="395"/>
      <c r="B3632" s="24"/>
      <c r="C3632" s="95"/>
      <c r="D3632" s="95"/>
      <c r="E3632" s="95"/>
      <c r="F3632" s="95"/>
      <c r="G3632" s="95"/>
      <c r="H3632" s="95"/>
      <c r="I3632" s="95"/>
      <c r="J3632" s="95"/>
      <c r="K3632" s="95"/>
      <c r="L3632" s="95"/>
      <c r="M3632" s="95"/>
      <c r="N3632" s="95"/>
      <c r="O3632" s="95"/>
      <c r="P3632" s="95"/>
      <c r="Q3632" s="95"/>
      <c r="R3632" s="95"/>
      <c r="S3632" s="95"/>
      <c r="T3632" s="95"/>
      <c r="U3632" s="95"/>
      <c r="V3632" s="95"/>
      <c r="W3632" s="95"/>
      <c r="X3632" s="95"/>
      <c r="Y3632" s="95"/>
      <c r="Z3632" s="95"/>
      <c r="AA3632" s="95"/>
      <c r="AB3632" s="95"/>
      <c r="AC3632" s="95"/>
      <c r="AD3632" s="95"/>
      <c r="AE3632" s="95"/>
      <c r="AF3632" s="95"/>
      <c r="AG3632" s="95"/>
      <c r="AH3632" s="95">
        <f>IF($AH$3539&gt;0,PPMT('Assumptions (CSP)'!$V$7,Model!W$1,'Assumptions (CSP)'!$V$10,'Assumptions (CSP)'!$V$5*Model!$AH$3539*AVERAGE('Assumptions (CSP)'!$AD$2:$AF$2)/10^9),0)</f>
        <v>0</v>
      </c>
      <c r="AI3632" s="95">
        <f>IF($AH$3539&gt;0,PPMT('Assumptions (CSP)'!$V$7,Model!X$1,'Assumptions (CSP)'!$V$10,'Assumptions (CSP)'!$V$5*Model!$AH$3539*AVERAGE('Assumptions (CSP)'!$AD$2:$AF$2)/10^9),0)</f>
        <v>0</v>
      </c>
      <c r="AJ3632" s="95">
        <f>IF($AH$3539&gt;0,PPMT('Assumptions (CSP)'!$V$7,Model!Y$1,'Assumptions (CSP)'!$V$10,'Assumptions (CSP)'!$V$5*Model!$AH$3539*AVERAGE('Assumptions (CSP)'!$AD$2:$AF$2)/10^9),0)</f>
        <v>0</v>
      </c>
      <c r="AK3632" s="95">
        <f>IF($AH$3539&gt;0,PPMT('Assumptions (CSP)'!$V$7,Model!Z$1,'Assumptions (CSP)'!$V$10,'Assumptions (CSP)'!$V$5*Model!$AH$3539*AVERAGE('Assumptions (CSP)'!$AD$2:$AF$2)/10^9),0)</f>
        <v>0</v>
      </c>
      <c r="AL3632" s="95">
        <f>IF($AH$3539&gt;0,PPMT('Assumptions (CSP)'!$V$7,Model!AA$1,'Assumptions (CSP)'!$V$10,'Assumptions (CSP)'!$V$5*Model!$AH$3539*AVERAGE('Assumptions (CSP)'!$AD$2:$AF$2)/10^9),0)</f>
        <v>0</v>
      </c>
      <c r="AM3632" s="95">
        <f>IF($AH$3539&gt;0,PPMT('Assumptions (CSP)'!$V$7,Model!AB$1,'Assumptions (CSP)'!$V$10,'Assumptions (CSP)'!$V$5*Model!$AH$3539*AVERAGE('Assumptions (CSP)'!$AD$2:$AF$2)/10^9),0)</f>
        <v>0</v>
      </c>
      <c r="AN3632" s="95">
        <f>IF($AH$3539&gt;0,PPMT('Assumptions (CSP)'!$V$7,Model!AC$1,'Assumptions (CSP)'!$V$10,'Assumptions (CSP)'!$V$5*Model!$AH$3539*AVERAGE('Assumptions (CSP)'!$AD$2:$AF$2)/10^9),0)</f>
        <v>0</v>
      </c>
      <c r="AO3632" s="95">
        <f>IF($AH$3539&gt;0,PPMT('Assumptions (CSP)'!$V$7,Model!AD$1,'Assumptions (CSP)'!$V$10,'Assumptions (CSP)'!$V$5*Model!$AH$3539*AVERAGE('Assumptions (CSP)'!$AD$2:$AF$2)/10^9),0)</f>
        <v>0</v>
      </c>
      <c r="AP3632" s="95">
        <f>IF($AH$3539&gt;0,PPMT('Assumptions (CSP)'!$V$7,Model!AE$1,'Assumptions (CSP)'!$V$10,'Assumptions (CSP)'!$V$5*Model!$AH$3539*AVERAGE('Assumptions (CSP)'!$AD$2:$AF$2)/10^9),0)</f>
        <v>0</v>
      </c>
      <c r="AQ3632" s="95">
        <f>IF($AH$3539&gt;0,PPMT('Assumptions (CSP)'!$V$7,Model!AF$1,'Assumptions (CSP)'!$V$10,'Assumptions (CSP)'!$V$5*Model!$AH$3539*AVERAGE('Assumptions (CSP)'!$AD$2:$AF$2)/10^9),0)</f>
        <v>0</v>
      </c>
      <c r="AR3632" s="95">
        <f>IF($AH$3539&gt;0,PPMT('Assumptions (CSP)'!$V$7,Model!AG$1,'Assumptions (CSP)'!$V$10,'Assumptions (CSP)'!$V$5*Model!$AH$3539*AVERAGE('Assumptions (CSP)'!$AD$2:$AF$2)/10^9),0)</f>
        <v>0</v>
      </c>
      <c r="AS3632" s="95">
        <f>IF($AH$3539&gt;0,PPMT('Assumptions (CSP)'!$V$7,Model!AH$1,'Assumptions (CSP)'!$V$10,'Assumptions (CSP)'!$V$5*Model!$AH$3539*AVERAGE('Assumptions (CSP)'!$AD$2:$AF$2)/10^9),0)</f>
        <v>0</v>
      </c>
      <c r="AT3632" s="95">
        <f>IF($AH$3539&gt;0,PPMT('Assumptions (CSP)'!$V$7,Model!AI$1,'Assumptions (CSP)'!$V$10,'Assumptions (CSP)'!$V$5*Model!$AH$3539*AVERAGE('Assumptions (CSP)'!$AD$2:$AF$2)/10^9),0)</f>
        <v>0</v>
      </c>
      <c r="AU3632" s="95">
        <f>IF($AH$3539&gt;0,PPMT('Assumptions (CSP)'!$V$7,Model!AJ$1,'Assumptions (CSP)'!$V$10,'Assumptions (CSP)'!$V$5*Model!$AH$3539*AVERAGE('Assumptions (CSP)'!$AD$2:$AF$2)/10^9),0)</f>
        <v>0</v>
      </c>
      <c r="AV3632" s="95">
        <f>IF($AH$3539&gt;0,PPMT('Assumptions (CSP)'!$V$7,Model!AK$1,'Assumptions (CSP)'!$V$10,'Assumptions (CSP)'!$V$5*Model!$AH$3539*AVERAGE('Assumptions (CSP)'!$AD$2:$AF$2)/10^9),0)</f>
        <v>0</v>
      </c>
      <c r="AW3632" s="95"/>
      <c r="AX3632" s="95"/>
      <c r="AY3632" s="95"/>
      <c r="AZ3632" s="95"/>
      <c r="BA3632" s="95"/>
    </row>
    <row r="3633" ht="15.75" hidden="1" customHeight="1">
      <c r="A3633" s="395"/>
      <c r="B3633" s="24"/>
      <c r="C3633" s="95"/>
      <c r="D3633" s="95"/>
      <c r="E3633" s="95"/>
      <c r="F3633" s="95"/>
      <c r="G3633" s="95"/>
      <c r="H3633" s="95"/>
      <c r="I3633" s="95"/>
      <c r="J3633" s="95"/>
      <c r="K3633" s="95"/>
      <c r="L3633" s="95"/>
      <c r="M3633" s="95"/>
      <c r="N3633" s="95"/>
      <c r="O3633" s="95"/>
      <c r="P3633" s="95"/>
      <c r="Q3633" s="95"/>
      <c r="R3633" s="95"/>
      <c r="S3633" s="95"/>
      <c r="T3633" s="95"/>
      <c r="U3633" s="95"/>
      <c r="V3633" s="95"/>
      <c r="W3633" s="95"/>
      <c r="X3633" s="95"/>
      <c r="Y3633" s="95"/>
      <c r="Z3633" s="95"/>
      <c r="AA3633" s="95"/>
      <c r="AB3633" s="95"/>
      <c r="AC3633" s="95"/>
      <c r="AD3633" s="95"/>
      <c r="AE3633" s="95"/>
      <c r="AF3633" s="95"/>
      <c r="AG3633" s="95"/>
      <c r="AH3633" s="95"/>
      <c r="AI3633" s="95">
        <f>IF($AI$3539&gt;0,PPMT('Assumptions (CSP)'!$V$7,Model!W$1,'Assumptions (CSP)'!$V$10,'Assumptions (CSP)'!$V$5*Model!$AI$3539*AVERAGE('Assumptions (CSP)'!$AE$2:$AG$2)/10^9),0)</f>
        <v>0</v>
      </c>
      <c r="AJ3633" s="95">
        <f>IF($AI$3539&gt;0,PPMT('Assumptions (CSP)'!$V$7,Model!X$1,'Assumptions (CSP)'!$V$10,'Assumptions (CSP)'!$V$5*Model!$AI$3539*AVERAGE('Assumptions (CSP)'!$AE$2:$AG$2)/10^9),0)</f>
        <v>0</v>
      </c>
      <c r="AK3633" s="95">
        <f>IF($AI$3539&gt;0,PPMT('Assumptions (CSP)'!$V$7,Model!Y$1,'Assumptions (CSP)'!$V$10,'Assumptions (CSP)'!$V$5*Model!$AI$3539*AVERAGE('Assumptions (CSP)'!$AE$2:$AG$2)/10^9),0)</f>
        <v>0</v>
      </c>
      <c r="AL3633" s="95">
        <f>IF($AI$3539&gt;0,PPMT('Assumptions (CSP)'!$V$7,Model!Z$1,'Assumptions (CSP)'!$V$10,'Assumptions (CSP)'!$V$5*Model!$AI$3539*AVERAGE('Assumptions (CSP)'!$AE$2:$AG$2)/10^9),0)</f>
        <v>0</v>
      </c>
      <c r="AM3633" s="95">
        <f>IF($AI$3539&gt;0,PPMT('Assumptions (CSP)'!$V$7,Model!AA$1,'Assumptions (CSP)'!$V$10,'Assumptions (CSP)'!$V$5*Model!$AI$3539*AVERAGE('Assumptions (CSP)'!$AE$2:$AG$2)/10^9),0)</f>
        <v>0</v>
      </c>
      <c r="AN3633" s="95">
        <f>IF($AI$3539&gt;0,PPMT('Assumptions (CSP)'!$V$7,Model!AB$1,'Assumptions (CSP)'!$V$10,'Assumptions (CSP)'!$V$5*Model!$AI$3539*AVERAGE('Assumptions (CSP)'!$AE$2:$AG$2)/10^9),0)</f>
        <v>0</v>
      </c>
      <c r="AO3633" s="95">
        <f>IF($AI$3539&gt;0,PPMT('Assumptions (CSP)'!$V$7,Model!AC$1,'Assumptions (CSP)'!$V$10,'Assumptions (CSP)'!$V$5*Model!$AI$3539*AVERAGE('Assumptions (CSP)'!$AE$2:$AG$2)/10^9),0)</f>
        <v>0</v>
      </c>
      <c r="AP3633" s="95">
        <f>IF($AI$3539&gt;0,PPMT('Assumptions (CSP)'!$V$7,Model!AD$1,'Assumptions (CSP)'!$V$10,'Assumptions (CSP)'!$V$5*Model!$AI$3539*AVERAGE('Assumptions (CSP)'!$AE$2:$AG$2)/10^9),0)</f>
        <v>0</v>
      </c>
      <c r="AQ3633" s="95">
        <f>IF($AI$3539&gt;0,PPMT('Assumptions (CSP)'!$V$7,Model!AE$1,'Assumptions (CSP)'!$V$10,'Assumptions (CSP)'!$V$5*Model!$AI$3539*AVERAGE('Assumptions (CSP)'!$AE$2:$AG$2)/10^9),0)</f>
        <v>0</v>
      </c>
      <c r="AR3633" s="95">
        <f>IF($AI$3539&gt;0,PPMT('Assumptions (CSP)'!$V$7,Model!AF$1,'Assumptions (CSP)'!$V$10,'Assumptions (CSP)'!$V$5*Model!$AI$3539*AVERAGE('Assumptions (CSP)'!$AE$2:$AG$2)/10^9),0)</f>
        <v>0</v>
      </c>
      <c r="AS3633" s="95">
        <f>IF($AI$3539&gt;0,PPMT('Assumptions (CSP)'!$V$7,Model!AG$1,'Assumptions (CSP)'!$V$10,'Assumptions (CSP)'!$V$5*Model!$AI$3539*AVERAGE('Assumptions (CSP)'!$AE$2:$AG$2)/10^9),0)</f>
        <v>0</v>
      </c>
      <c r="AT3633" s="95">
        <f>IF($AI$3539&gt;0,PPMT('Assumptions (CSP)'!$V$7,Model!AH$1,'Assumptions (CSP)'!$V$10,'Assumptions (CSP)'!$V$5*Model!$AI$3539*AVERAGE('Assumptions (CSP)'!$AE$2:$AG$2)/10^9),0)</f>
        <v>0</v>
      </c>
      <c r="AU3633" s="95">
        <f>IF($AI$3539&gt;0,PPMT('Assumptions (CSP)'!$V$7,Model!AI$1,'Assumptions (CSP)'!$V$10,'Assumptions (CSP)'!$V$5*Model!$AI$3539*AVERAGE('Assumptions (CSP)'!$AE$2:$AG$2)/10^9),0)</f>
        <v>0</v>
      </c>
      <c r="AV3633" s="95">
        <f>IF($AI$3539&gt;0,PPMT('Assumptions (CSP)'!$V$7,Model!AJ$1,'Assumptions (CSP)'!$V$10,'Assumptions (CSP)'!$V$5*Model!$AI$3539*AVERAGE('Assumptions (CSP)'!$AE$2:$AG$2)/10^9),0)</f>
        <v>0</v>
      </c>
      <c r="AW3633" s="95">
        <f>IF($AI$3539&gt;0,PPMT('Assumptions (CSP)'!$V$7,Model!AK$1,'Assumptions (CSP)'!$V$10,'Assumptions (CSP)'!$V$5*Model!$AI$3539*AVERAGE('Assumptions (CSP)'!$AE$2:$AG$2)/10^9),0)</f>
        <v>0</v>
      </c>
      <c r="AX3633" s="95"/>
      <c r="AY3633" s="95"/>
      <c r="AZ3633" s="95"/>
      <c r="BA3633" s="95"/>
    </row>
    <row r="3634" ht="15.75" hidden="1" customHeight="1">
      <c r="A3634" s="395"/>
      <c r="B3634" s="24"/>
      <c r="C3634" s="95"/>
      <c r="D3634" s="95"/>
      <c r="E3634" s="95"/>
      <c r="F3634" s="95"/>
      <c r="G3634" s="95"/>
      <c r="H3634" s="95"/>
      <c r="I3634" s="95"/>
      <c r="J3634" s="95"/>
      <c r="K3634" s="95"/>
      <c r="L3634" s="95"/>
      <c r="M3634" s="95"/>
      <c r="N3634" s="95"/>
      <c r="O3634" s="95"/>
      <c r="P3634" s="95"/>
      <c r="Q3634" s="95"/>
      <c r="R3634" s="95"/>
      <c r="S3634" s="95"/>
      <c r="T3634" s="95"/>
      <c r="U3634" s="95"/>
      <c r="V3634" s="95"/>
      <c r="W3634" s="95"/>
      <c r="X3634" s="95"/>
      <c r="Y3634" s="95"/>
      <c r="Z3634" s="95"/>
      <c r="AA3634" s="95"/>
      <c r="AB3634" s="95"/>
      <c r="AC3634" s="95"/>
      <c r="AD3634" s="95"/>
      <c r="AE3634" s="95"/>
      <c r="AF3634" s="95"/>
      <c r="AG3634" s="95"/>
      <c r="AH3634" s="95"/>
      <c r="AI3634" s="95"/>
      <c r="AJ3634" s="95">
        <f>IF($AJ$3539&gt;0,PPMT('Assumptions (CSP)'!$V$7,Model!W$1,'Assumptions (CSP)'!$V$10,'Assumptions (CSP)'!$V$5*Model!$AJ$3539*AVERAGE('Assumptions (CSP)'!$AF$2:$AH$2)/10^9),0)</f>
        <v>0</v>
      </c>
      <c r="AK3634" s="95">
        <f>IF($AJ$3539&gt;0,PPMT('Assumptions (CSP)'!$V$7,Model!X$1,'Assumptions (CSP)'!$V$10,'Assumptions (CSP)'!$V$5*Model!$AJ$3539*AVERAGE('Assumptions (CSP)'!$AF$2:$AH$2)/10^9),0)</f>
        <v>0</v>
      </c>
      <c r="AL3634" s="95">
        <f>IF($AJ$3539&gt;0,PPMT('Assumptions (CSP)'!$V$7,Model!Y$1,'Assumptions (CSP)'!$V$10,'Assumptions (CSP)'!$V$5*Model!$AJ$3539*AVERAGE('Assumptions (CSP)'!$AF$2:$AH$2)/10^9),0)</f>
        <v>0</v>
      </c>
      <c r="AM3634" s="95">
        <f>IF($AJ$3539&gt;0,PPMT('Assumptions (CSP)'!$V$7,Model!Z$1,'Assumptions (CSP)'!$V$10,'Assumptions (CSP)'!$V$5*Model!$AJ$3539*AVERAGE('Assumptions (CSP)'!$AF$2:$AH$2)/10^9),0)</f>
        <v>0</v>
      </c>
      <c r="AN3634" s="95">
        <f>IF($AJ$3539&gt;0,PPMT('Assumptions (CSP)'!$V$7,Model!AA$1,'Assumptions (CSP)'!$V$10,'Assumptions (CSP)'!$V$5*Model!$AJ$3539*AVERAGE('Assumptions (CSP)'!$AF$2:$AH$2)/10^9),0)</f>
        <v>0</v>
      </c>
      <c r="AO3634" s="95">
        <f>IF($AJ$3539&gt;0,PPMT('Assumptions (CSP)'!$V$7,Model!AB$1,'Assumptions (CSP)'!$V$10,'Assumptions (CSP)'!$V$5*Model!$AJ$3539*AVERAGE('Assumptions (CSP)'!$AF$2:$AH$2)/10^9),0)</f>
        <v>0</v>
      </c>
      <c r="AP3634" s="95">
        <f>IF($AJ$3539&gt;0,PPMT('Assumptions (CSP)'!$V$7,Model!AC$1,'Assumptions (CSP)'!$V$10,'Assumptions (CSP)'!$V$5*Model!$AJ$3539*AVERAGE('Assumptions (CSP)'!$AF$2:$AH$2)/10^9),0)</f>
        <v>0</v>
      </c>
      <c r="AQ3634" s="95">
        <f>IF($AJ$3539&gt;0,PPMT('Assumptions (CSP)'!$V$7,Model!AD$1,'Assumptions (CSP)'!$V$10,'Assumptions (CSP)'!$V$5*Model!$AJ$3539*AVERAGE('Assumptions (CSP)'!$AF$2:$AH$2)/10^9),0)</f>
        <v>0</v>
      </c>
      <c r="AR3634" s="95">
        <f>IF($AJ$3539&gt;0,PPMT('Assumptions (CSP)'!$V$7,Model!AE$1,'Assumptions (CSP)'!$V$10,'Assumptions (CSP)'!$V$5*Model!$AJ$3539*AVERAGE('Assumptions (CSP)'!$AF$2:$AH$2)/10^9),0)</f>
        <v>0</v>
      </c>
      <c r="AS3634" s="95">
        <f>IF($AJ$3539&gt;0,PPMT('Assumptions (CSP)'!$V$7,Model!AF$1,'Assumptions (CSP)'!$V$10,'Assumptions (CSP)'!$V$5*Model!$AJ$3539*AVERAGE('Assumptions (CSP)'!$AF$2:$AH$2)/10^9),0)</f>
        <v>0</v>
      </c>
      <c r="AT3634" s="95">
        <f>IF($AJ$3539&gt;0,PPMT('Assumptions (CSP)'!$V$7,Model!AG$1,'Assumptions (CSP)'!$V$10,'Assumptions (CSP)'!$V$5*Model!$AJ$3539*AVERAGE('Assumptions (CSP)'!$AF$2:$AH$2)/10^9),0)</f>
        <v>0</v>
      </c>
      <c r="AU3634" s="95">
        <f>IF($AJ$3539&gt;0,PPMT('Assumptions (CSP)'!$V$7,Model!AH$1,'Assumptions (CSP)'!$V$10,'Assumptions (CSP)'!$V$5*Model!$AJ$3539*AVERAGE('Assumptions (CSP)'!$AF$2:$AH$2)/10^9),0)</f>
        <v>0</v>
      </c>
      <c r="AV3634" s="95">
        <f>IF($AJ$3539&gt;0,PPMT('Assumptions (CSP)'!$V$7,Model!AI$1,'Assumptions (CSP)'!$V$10,'Assumptions (CSP)'!$V$5*Model!$AJ$3539*AVERAGE('Assumptions (CSP)'!$AF$2:$AH$2)/10^9),0)</f>
        <v>0</v>
      </c>
      <c r="AW3634" s="95">
        <f>IF($AJ$3539&gt;0,PPMT('Assumptions (CSP)'!$V$7,Model!AJ$1,'Assumptions (CSP)'!$V$10,'Assumptions (CSP)'!$V$5*Model!$AJ$3539*AVERAGE('Assumptions (CSP)'!$AF$2:$AH$2)/10^9),0)</f>
        <v>0</v>
      </c>
      <c r="AX3634" s="95">
        <f>IF($AJ$3539&gt;0,PPMT('Assumptions (CSP)'!$V$7,Model!AK$1,'Assumptions (CSP)'!$V$10,'Assumptions (CSP)'!$V$5*Model!$AJ$3539*AVERAGE('Assumptions (CSP)'!$AF$2:$AH$2)/10^9),0)</f>
        <v>0</v>
      </c>
      <c r="AY3634" s="95"/>
      <c r="AZ3634" s="95"/>
      <c r="BA3634" s="95"/>
    </row>
    <row r="3635" ht="15.75" hidden="1" customHeight="1">
      <c r="A3635" s="395"/>
      <c r="B3635" s="24"/>
      <c r="C3635" s="95"/>
      <c r="D3635" s="95"/>
      <c r="E3635" s="95"/>
      <c r="F3635" s="95"/>
      <c r="G3635" s="95"/>
      <c r="H3635" s="95"/>
      <c r="I3635" s="95"/>
      <c r="J3635" s="95"/>
      <c r="K3635" s="95"/>
      <c r="L3635" s="95"/>
      <c r="M3635" s="95"/>
      <c r="N3635" s="95"/>
      <c r="O3635" s="95"/>
      <c r="P3635" s="95"/>
      <c r="Q3635" s="95"/>
      <c r="R3635" s="95"/>
      <c r="S3635" s="95"/>
      <c r="T3635" s="95"/>
      <c r="U3635" s="95"/>
      <c r="V3635" s="95"/>
      <c r="W3635" s="95"/>
      <c r="X3635" s="95"/>
      <c r="Y3635" s="95"/>
      <c r="Z3635" s="95"/>
      <c r="AA3635" s="95"/>
      <c r="AB3635" s="95"/>
      <c r="AC3635" s="95"/>
      <c r="AD3635" s="95"/>
      <c r="AE3635" s="95"/>
      <c r="AF3635" s="95"/>
      <c r="AG3635" s="95"/>
      <c r="AH3635" s="95"/>
      <c r="AI3635" s="95"/>
      <c r="AJ3635" s="95"/>
      <c r="AK3635" s="95">
        <f>IF($AK$3539&gt;0,PPMT('Assumptions (CSP)'!$V$7,Model!W$1,'Assumptions (CSP)'!$V$10,'Assumptions (CSP)'!$V$5*Model!$AK$3539*AVERAGE('Assumptions (CSP)'!$AG$2:$AI$2)/10^9),0)</f>
        <v>0</v>
      </c>
      <c r="AL3635" s="95">
        <f>IF($AK$3539&gt;0,PPMT('Assumptions (CSP)'!$V$7,Model!X$1,'Assumptions (CSP)'!$V$10,'Assumptions (CSP)'!$V$5*Model!$AK$3539*AVERAGE('Assumptions (CSP)'!$AG$2:$AI$2)/10^9),0)</f>
        <v>0</v>
      </c>
      <c r="AM3635" s="95">
        <f>IF($AK$3539&gt;0,PPMT('Assumptions (CSP)'!$V$7,Model!Y$1,'Assumptions (CSP)'!$V$10,'Assumptions (CSP)'!$V$5*Model!$AK$3539*AVERAGE('Assumptions (CSP)'!$AG$2:$AI$2)/10^9),0)</f>
        <v>0</v>
      </c>
      <c r="AN3635" s="95">
        <f>IF($AK$3539&gt;0,PPMT('Assumptions (CSP)'!$V$7,Model!Z$1,'Assumptions (CSP)'!$V$10,'Assumptions (CSP)'!$V$5*Model!$AK$3539*AVERAGE('Assumptions (CSP)'!$AG$2:$AI$2)/10^9),0)</f>
        <v>0</v>
      </c>
      <c r="AO3635" s="95">
        <f>IF($AK$3539&gt;0,PPMT('Assumptions (CSP)'!$V$7,Model!AA$1,'Assumptions (CSP)'!$V$10,'Assumptions (CSP)'!$V$5*Model!$AK$3539*AVERAGE('Assumptions (CSP)'!$AG$2:$AI$2)/10^9),0)</f>
        <v>0</v>
      </c>
      <c r="AP3635" s="95">
        <f>IF($AK$3539&gt;0,PPMT('Assumptions (CSP)'!$V$7,Model!AB$1,'Assumptions (CSP)'!$V$10,'Assumptions (CSP)'!$V$5*Model!$AK$3539*AVERAGE('Assumptions (CSP)'!$AG$2:$AI$2)/10^9),0)</f>
        <v>0</v>
      </c>
      <c r="AQ3635" s="95">
        <f>IF($AK$3539&gt;0,PPMT('Assumptions (CSP)'!$V$7,Model!AC$1,'Assumptions (CSP)'!$V$10,'Assumptions (CSP)'!$V$5*Model!$AK$3539*AVERAGE('Assumptions (CSP)'!$AG$2:$AI$2)/10^9),0)</f>
        <v>0</v>
      </c>
      <c r="AR3635" s="95">
        <f>IF($AK$3539&gt;0,PPMT('Assumptions (CSP)'!$V$7,Model!AD$1,'Assumptions (CSP)'!$V$10,'Assumptions (CSP)'!$V$5*Model!$AK$3539*AVERAGE('Assumptions (CSP)'!$AG$2:$AI$2)/10^9),0)</f>
        <v>0</v>
      </c>
      <c r="AS3635" s="95">
        <f>IF($AK$3539&gt;0,PPMT('Assumptions (CSP)'!$V$7,Model!AE$1,'Assumptions (CSP)'!$V$10,'Assumptions (CSP)'!$V$5*Model!$AK$3539*AVERAGE('Assumptions (CSP)'!$AG$2:$AI$2)/10^9),0)</f>
        <v>0</v>
      </c>
      <c r="AT3635" s="95">
        <f>IF($AK$3539&gt;0,PPMT('Assumptions (CSP)'!$V$7,Model!AF$1,'Assumptions (CSP)'!$V$10,'Assumptions (CSP)'!$V$5*Model!$AK$3539*AVERAGE('Assumptions (CSP)'!$AG$2:$AI$2)/10^9),0)</f>
        <v>0</v>
      </c>
      <c r="AU3635" s="95">
        <f>IF($AK$3539&gt;0,PPMT('Assumptions (CSP)'!$V$7,Model!AG$1,'Assumptions (CSP)'!$V$10,'Assumptions (CSP)'!$V$5*Model!$AK$3539*AVERAGE('Assumptions (CSP)'!$AG$2:$AI$2)/10^9),0)</f>
        <v>0</v>
      </c>
      <c r="AV3635" s="95">
        <f>IF($AK$3539&gt;0,PPMT('Assumptions (CSP)'!$V$7,Model!AH$1,'Assumptions (CSP)'!$V$10,'Assumptions (CSP)'!$V$5*Model!$AK$3539*AVERAGE('Assumptions (CSP)'!$AG$2:$AI$2)/10^9),0)</f>
        <v>0</v>
      </c>
      <c r="AW3635" s="95">
        <f>IF($AK$3539&gt;0,PPMT('Assumptions (CSP)'!$V$7,Model!AI$1,'Assumptions (CSP)'!$V$10,'Assumptions (CSP)'!$V$5*Model!$AK$3539*AVERAGE('Assumptions (CSP)'!$AG$2:$AI$2)/10^9),0)</f>
        <v>0</v>
      </c>
      <c r="AX3635" s="95">
        <f>IF($AK$3539&gt;0,PPMT('Assumptions (CSP)'!$V$7,Model!AJ$1,'Assumptions (CSP)'!$V$10,'Assumptions (CSP)'!$V$5*Model!$AK$3539*AVERAGE('Assumptions (CSP)'!$AG$2:$AI$2)/10^9),0)</f>
        <v>0</v>
      </c>
      <c r="AY3635" s="95">
        <f>IF($AK$3539&gt;0,PPMT('Assumptions (CSP)'!$V$7,Model!AK$1,'Assumptions (CSP)'!$V$10,'Assumptions (CSP)'!$V$5*Model!$AK$3539*AVERAGE('Assumptions (CSP)'!$AG$2:$AI$2)/10^9),0)</f>
        <v>0</v>
      </c>
      <c r="AZ3635" s="95"/>
      <c r="BA3635" s="95"/>
    </row>
    <row r="3636" ht="15.75" hidden="1" customHeight="1">
      <c r="A3636" s="395"/>
      <c r="B3636" s="24"/>
      <c r="C3636" s="95"/>
      <c r="D3636" s="95"/>
      <c r="E3636" s="95"/>
      <c r="F3636" s="95"/>
      <c r="G3636" s="95"/>
      <c r="H3636" s="95"/>
      <c r="I3636" s="95"/>
      <c r="J3636" s="95"/>
      <c r="K3636" s="95"/>
      <c r="L3636" s="95"/>
      <c r="M3636" s="95"/>
      <c r="N3636" s="95"/>
      <c r="O3636" s="95"/>
      <c r="P3636" s="95"/>
      <c r="Q3636" s="95"/>
      <c r="R3636" s="95"/>
      <c r="S3636" s="95"/>
      <c r="T3636" s="95"/>
      <c r="U3636" s="95"/>
      <c r="V3636" s="95"/>
      <c r="W3636" s="95"/>
      <c r="X3636" s="95"/>
      <c r="Y3636" s="95"/>
      <c r="Z3636" s="95"/>
      <c r="AA3636" s="95"/>
      <c r="AB3636" s="95"/>
      <c r="AC3636" s="95"/>
      <c r="AD3636" s="95"/>
      <c r="AE3636" s="95"/>
      <c r="AF3636" s="95"/>
      <c r="AG3636" s="95"/>
      <c r="AH3636" s="95"/>
      <c r="AI3636" s="95"/>
      <c r="AJ3636" s="95"/>
      <c r="AK3636" s="95"/>
      <c r="AL3636" s="95">
        <f>IF($AL$3539&gt;0,PPMT('Assumptions (CSP)'!$V$7,Model!W$1,'Assumptions (CSP)'!$V$10,'Assumptions (CSP)'!$V$5*Model!$AL$3539*AVERAGE('Assumptions (CSP)'!$AH$2:$AJ$2)/10^9),0)</f>
        <v>0</v>
      </c>
      <c r="AM3636" s="95">
        <f>IF($AL$3539&gt;0,PPMT('Assumptions (CSP)'!$V$7,Model!X$1,'Assumptions (CSP)'!$V$10,'Assumptions (CSP)'!$V$5*Model!$AL$3539*AVERAGE('Assumptions (CSP)'!$AH$2:$AJ$2)/10^9),0)</f>
        <v>0</v>
      </c>
      <c r="AN3636" s="95">
        <f>IF($AL$3539&gt;0,PPMT('Assumptions (CSP)'!$V$7,Model!Y$1,'Assumptions (CSP)'!$V$10,'Assumptions (CSP)'!$V$5*Model!$AL$3539*AVERAGE('Assumptions (CSP)'!$AH$2:$AJ$2)/10^9),0)</f>
        <v>0</v>
      </c>
      <c r="AO3636" s="95">
        <f>IF($AL$3539&gt;0,PPMT('Assumptions (CSP)'!$V$7,Model!Z$1,'Assumptions (CSP)'!$V$10,'Assumptions (CSP)'!$V$5*Model!$AL$3539*AVERAGE('Assumptions (CSP)'!$AH$2:$AJ$2)/10^9),0)</f>
        <v>0</v>
      </c>
      <c r="AP3636" s="95">
        <f>IF($AL$3539&gt;0,PPMT('Assumptions (CSP)'!$V$7,Model!AA$1,'Assumptions (CSP)'!$V$10,'Assumptions (CSP)'!$V$5*Model!$AL$3539*AVERAGE('Assumptions (CSP)'!$AH$2:$AJ$2)/10^9),0)</f>
        <v>0</v>
      </c>
      <c r="AQ3636" s="95">
        <f>IF($AL$3539&gt;0,PPMT('Assumptions (CSP)'!$V$7,Model!AB$1,'Assumptions (CSP)'!$V$10,'Assumptions (CSP)'!$V$5*Model!$AL$3539*AVERAGE('Assumptions (CSP)'!$AH$2:$AJ$2)/10^9),0)</f>
        <v>0</v>
      </c>
      <c r="AR3636" s="95">
        <f>IF($AL$3539&gt;0,PPMT('Assumptions (CSP)'!$V$7,Model!AC$1,'Assumptions (CSP)'!$V$10,'Assumptions (CSP)'!$V$5*Model!$AL$3539*AVERAGE('Assumptions (CSP)'!$AH$2:$AJ$2)/10^9),0)</f>
        <v>0</v>
      </c>
      <c r="AS3636" s="95">
        <f>IF($AL$3539&gt;0,PPMT('Assumptions (CSP)'!$V$7,Model!AD$1,'Assumptions (CSP)'!$V$10,'Assumptions (CSP)'!$V$5*Model!$AL$3539*AVERAGE('Assumptions (CSP)'!$AH$2:$AJ$2)/10^9),0)</f>
        <v>0</v>
      </c>
      <c r="AT3636" s="95">
        <f>IF($AL$3539&gt;0,PPMT('Assumptions (CSP)'!$V$7,Model!AE$1,'Assumptions (CSP)'!$V$10,'Assumptions (CSP)'!$V$5*Model!$AL$3539*AVERAGE('Assumptions (CSP)'!$AH$2:$AJ$2)/10^9),0)</f>
        <v>0</v>
      </c>
      <c r="AU3636" s="95">
        <f>IF($AL$3539&gt;0,PPMT('Assumptions (CSP)'!$V$7,Model!AF$1,'Assumptions (CSP)'!$V$10,'Assumptions (CSP)'!$V$5*Model!$AL$3539*AVERAGE('Assumptions (CSP)'!$AH$2:$AJ$2)/10^9),0)</f>
        <v>0</v>
      </c>
      <c r="AV3636" s="95">
        <f>IF($AL$3539&gt;0,PPMT('Assumptions (CSP)'!$V$7,Model!AG$1,'Assumptions (CSP)'!$V$10,'Assumptions (CSP)'!$V$5*Model!$AL$3539*AVERAGE('Assumptions (CSP)'!$AH$2:$AJ$2)/10^9),0)</f>
        <v>0</v>
      </c>
      <c r="AW3636" s="95">
        <f>IF($AL$3539&gt;0,PPMT('Assumptions (CSP)'!$V$7,Model!AH$1,'Assumptions (CSP)'!$V$10,'Assumptions (CSP)'!$V$5*Model!$AL$3539*AVERAGE('Assumptions (CSP)'!$AH$2:$AJ$2)/10^9),0)</f>
        <v>0</v>
      </c>
      <c r="AX3636" s="95">
        <f>IF($AL$3539&gt;0,PPMT('Assumptions (CSP)'!$V$7,Model!AI$1,'Assumptions (CSP)'!$V$10,'Assumptions (CSP)'!$V$5*Model!$AL$3539*AVERAGE('Assumptions (CSP)'!$AH$2:$AJ$2)/10^9),0)</f>
        <v>0</v>
      </c>
      <c r="AY3636" s="95">
        <f>IF($AL$3539&gt;0,PPMT('Assumptions (CSP)'!$V$7,Model!AJ$1,'Assumptions (CSP)'!$V$10,'Assumptions (CSP)'!$V$5*Model!$AL$3539*AVERAGE('Assumptions (CSP)'!$AH$2:$AJ$2)/10^9),0)</f>
        <v>0</v>
      </c>
      <c r="AZ3636" s="95">
        <f>IF($AL$3539&gt;0,PPMT('Assumptions (CSP)'!$V$7,Model!AK$1,'Assumptions (CSP)'!$V$10,'Assumptions (CSP)'!$V$5*Model!$AL$3539*AVERAGE('Assumptions (CSP)'!$AH$2:$AJ$2)/10^9),0)</f>
        <v>0</v>
      </c>
      <c r="BA3636" s="95"/>
    </row>
    <row r="3637" ht="15.75" hidden="1" customHeight="1">
      <c r="A3637" s="395"/>
      <c r="B3637" s="24"/>
      <c r="C3637" s="95"/>
      <c r="D3637" s="95"/>
      <c r="E3637" s="95"/>
      <c r="F3637" s="95"/>
      <c r="G3637" s="95"/>
      <c r="H3637" s="95"/>
      <c r="I3637" s="95"/>
      <c r="J3637" s="95"/>
      <c r="K3637" s="95"/>
      <c r="L3637" s="95"/>
      <c r="M3637" s="95"/>
      <c r="N3637" s="95"/>
      <c r="O3637" s="95"/>
      <c r="P3637" s="95"/>
      <c r="Q3637" s="95"/>
      <c r="R3637" s="95"/>
      <c r="S3637" s="95"/>
      <c r="T3637" s="95"/>
      <c r="U3637" s="95"/>
      <c r="V3637" s="95"/>
      <c r="W3637" s="95"/>
      <c r="X3637" s="95"/>
      <c r="Y3637" s="95"/>
      <c r="Z3637" s="95"/>
      <c r="AA3637" s="95"/>
      <c r="AB3637" s="95"/>
      <c r="AC3637" s="95"/>
      <c r="AD3637" s="95"/>
      <c r="AE3637" s="95"/>
      <c r="AF3637" s="95"/>
      <c r="AG3637" s="95"/>
      <c r="AH3637" s="95"/>
      <c r="AI3637" s="95"/>
      <c r="AJ3637" s="95"/>
      <c r="AK3637" s="95"/>
      <c r="AL3637" s="95"/>
      <c r="AM3637" s="95">
        <f>IF($AM$3539&gt;0,PPMT('Assumptions (CSP)'!$V$7,Model!W$1,'Assumptions (CSP)'!$V$10,'Assumptions (CSP)'!$V$5*Model!$AM$3539*AVERAGE('Assumptions (CSP)'!$AI$2:$AK$2)/10^9),0)</f>
        <v>0</v>
      </c>
      <c r="AN3637" s="95">
        <f>IF($AM$3539&gt;0,PPMT('Assumptions (CSP)'!$V$7,Model!X$1,'Assumptions (CSP)'!$V$10,'Assumptions (CSP)'!$V$5*Model!$AM$3539*AVERAGE('Assumptions (CSP)'!$AI$2:$AK$2)/10^9),0)</f>
        <v>0</v>
      </c>
      <c r="AO3637" s="95">
        <f>IF($AM$3539&gt;0,PPMT('Assumptions (CSP)'!$V$7,Model!Y$1,'Assumptions (CSP)'!$V$10,'Assumptions (CSP)'!$V$5*Model!$AM$3539*AVERAGE('Assumptions (CSP)'!$AI$2:$AK$2)/10^9),0)</f>
        <v>0</v>
      </c>
      <c r="AP3637" s="95">
        <f>IF($AM$3539&gt;0,PPMT('Assumptions (CSP)'!$V$7,Model!Z$1,'Assumptions (CSP)'!$V$10,'Assumptions (CSP)'!$V$5*Model!$AM$3539*AVERAGE('Assumptions (CSP)'!$AI$2:$AK$2)/10^9),0)</f>
        <v>0</v>
      </c>
      <c r="AQ3637" s="95">
        <f>IF($AM$3539&gt;0,PPMT('Assumptions (CSP)'!$V$7,Model!AA$1,'Assumptions (CSP)'!$V$10,'Assumptions (CSP)'!$V$5*Model!$AM$3539*AVERAGE('Assumptions (CSP)'!$AI$2:$AK$2)/10^9),0)</f>
        <v>0</v>
      </c>
      <c r="AR3637" s="95">
        <f>IF($AM$3539&gt;0,PPMT('Assumptions (CSP)'!$V$7,Model!AB$1,'Assumptions (CSP)'!$V$10,'Assumptions (CSP)'!$V$5*Model!$AM$3539*AVERAGE('Assumptions (CSP)'!$AI$2:$AK$2)/10^9),0)</f>
        <v>0</v>
      </c>
      <c r="AS3637" s="95">
        <f>IF($AM$3539&gt;0,PPMT('Assumptions (CSP)'!$V$7,Model!AC$1,'Assumptions (CSP)'!$V$10,'Assumptions (CSP)'!$V$5*Model!$AM$3539*AVERAGE('Assumptions (CSP)'!$AI$2:$AK$2)/10^9),0)</f>
        <v>0</v>
      </c>
      <c r="AT3637" s="95">
        <f>IF($AM$3539&gt;0,PPMT('Assumptions (CSP)'!$V$7,Model!AD$1,'Assumptions (CSP)'!$V$10,'Assumptions (CSP)'!$V$5*Model!$AM$3539*AVERAGE('Assumptions (CSP)'!$AI$2:$AK$2)/10^9),0)</f>
        <v>0</v>
      </c>
      <c r="AU3637" s="95">
        <f>IF($AM$3539&gt;0,PPMT('Assumptions (CSP)'!$V$7,Model!AE$1,'Assumptions (CSP)'!$V$10,'Assumptions (CSP)'!$V$5*Model!$AM$3539*AVERAGE('Assumptions (CSP)'!$AI$2:$AK$2)/10^9),0)</f>
        <v>0</v>
      </c>
      <c r="AV3637" s="95">
        <f>IF($AM$3539&gt;0,PPMT('Assumptions (CSP)'!$V$7,Model!AF$1,'Assumptions (CSP)'!$V$10,'Assumptions (CSP)'!$V$5*Model!$AM$3539*AVERAGE('Assumptions (CSP)'!$AI$2:$AK$2)/10^9),0)</f>
        <v>0</v>
      </c>
      <c r="AW3637" s="95">
        <f>IF($AM$3539&gt;0,PPMT('Assumptions (CSP)'!$V$7,Model!AG$1,'Assumptions (CSP)'!$V$10,'Assumptions (CSP)'!$V$5*Model!$AM$3539*AVERAGE('Assumptions (CSP)'!$AI$2:$AK$2)/10^9),0)</f>
        <v>0</v>
      </c>
      <c r="AX3637" s="95">
        <f>IF($AM$3539&gt;0,PPMT('Assumptions (CSP)'!$V$7,Model!AH$1,'Assumptions (CSP)'!$V$10,'Assumptions (CSP)'!$V$5*Model!$AM$3539*AVERAGE('Assumptions (CSP)'!$AI$2:$AK$2)/10^9),0)</f>
        <v>0</v>
      </c>
      <c r="AY3637" s="95">
        <f>IF($AM$3539&gt;0,PPMT('Assumptions (CSP)'!$V$7,Model!AI$1,'Assumptions (CSP)'!$V$10,'Assumptions (CSP)'!$V$5*Model!$AM$3539*AVERAGE('Assumptions (CSP)'!$AI$2:$AK$2)/10^9),0)</f>
        <v>0</v>
      </c>
      <c r="AZ3637" s="95">
        <f>IF($AM$3539&gt;0,PPMT('Assumptions (CSP)'!$V$7,Model!AJ$1,'Assumptions (CSP)'!$V$10,'Assumptions (CSP)'!$V$5*Model!$AM$3539*AVERAGE('Assumptions (CSP)'!$AI$2:$AK$2)/10^9),0)</f>
        <v>0</v>
      </c>
      <c r="BA3637" s="95">
        <f>IF($AM$3539&gt;0,PPMT('Assumptions (CSP)'!$V$7,Model!AK$1,'Assumptions (CSP)'!$V$10,'Assumptions (CSP)'!$V$5*Model!$AM$3539*AVERAGE('Assumptions (CSP)'!$AI$2:$AK$2)/10^9),0)</f>
        <v>0</v>
      </c>
    </row>
    <row r="3638" ht="15.75" hidden="1" customHeight="1">
      <c r="A3638" s="395"/>
      <c r="B3638" s="24"/>
      <c r="C3638" s="95"/>
      <c r="D3638" s="95"/>
      <c r="E3638" s="95"/>
      <c r="F3638" s="95"/>
      <c r="G3638" s="95"/>
      <c r="H3638" s="95"/>
      <c r="I3638" s="95"/>
      <c r="J3638" s="95"/>
      <c r="K3638" s="95"/>
      <c r="L3638" s="95"/>
      <c r="M3638" s="95"/>
      <c r="N3638" s="95"/>
      <c r="O3638" s="95"/>
      <c r="P3638" s="95"/>
      <c r="Q3638" s="95"/>
      <c r="R3638" s="95"/>
      <c r="S3638" s="95"/>
      <c r="T3638" s="95"/>
      <c r="U3638" s="95"/>
      <c r="V3638" s="95"/>
      <c r="W3638" s="95"/>
      <c r="X3638" s="95"/>
      <c r="Y3638" s="95"/>
      <c r="Z3638" s="95"/>
      <c r="AA3638" s="95"/>
      <c r="AB3638" s="95"/>
      <c r="AC3638" s="95"/>
      <c r="AD3638" s="95"/>
      <c r="AE3638" s="95"/>
      <c r="AF3638" s="95"/>
      <c r="AG3638" s="95"/>
      <c r="AH3638" s="95"/>
      <c r="AI3638" s="95"/>
      <c r="AJ3638" s="95"/>
      <c r="AK3638" s="95"/>
      <c r="AL3638" s="95"/>
      <c r="AM3638" s="95"/>
      <c r="AN3638" s="95">
        <f>IF($AN$3539&gt;0,PPMT('Assumptions (CSP)'!$V$7,Model!W$1,'Assumptions (CSP)'!$V$10,'Assumptions (CSP)'!$V$5*Model!$AN$3539*AVERAGE('Assumptions (CSP)'!$AJ$2:$AL$2)/10^9),0)</f>
        <v>0</v>
      </c>
      <c r="AO3638" s="95">
        <f>IF($AN$3539&gt;0,PPMT('Assumptions (CSP)'!$V$7,Model!X$1,'Assumptions (CSP)'!$V$10,'Assumptions (CSP)'!$V$5*Model!$AN$3539*AVERAGE('Assumptions (CSP)'!$AJ$2:$AL$2)/10^9),0)</f>
        <v>0</v>
      </c>
      <c r="AP3638" s="95">
        <f>IF($AN$3539&gt;0,PPMT('Assumptions (CSP)'!$V$7,Model!Y$1,'Assumptions (CSP)'!$V$10,'Assumptions (CSP)'!$V$5*Model!$AN$3539*AVERAGE('Assumptions (CSP)'!$AJ$2:$AL$2)/10^9),0)</f>
        <v>0</v>
      </c>
      <c r="AQ3638" s="95">
        <f>IF($AN$3539&gt;0,PPMT('Assumptions (CSP)'!$V$7,Model!Z$1,'Assumptions (CSP)'!$V$10,'Assumptions (CSP)'!$V$5*Model!$AN$3539*AVERAGE('Assumptions (CSP)'!$AJ$2:$AL$2)/10^9),0)</f>
        <v>0</v>
      </c>
      <c r="AR3638" s="95">
        <f>IF($AN$3539&gt;0,PPMT('Assumptions (CSP)'!$V$7,Model!AA$1,'Assumptions (CSP)'!$V$10,'Assumptions (CSP)'!$V$5*Model!$AN$3539*AVERAGE('Assumptions (CSP)'!$AJ$2:$AL$2)/10^9),0)</f>
        <v>0</v>
      </c>
      <c r="AS3638" s="95">
        <f>IF($AN$3539&gt;0,PPMT('Assumptions (CSP)'!$V$7,Model!AB$1,'Assumptions (CSP)'!$V$10,'Assumptions (CSP)'!$V$5*Model!$AN$3539*AVERAGE('Assumptions (CSP)'!$AJ$2:$AL$2)/10^9),0)</f>
        <v>0</v>
      </c>
      <c r="AT3638" s="95">
        <f>IF($AN$3539&gt;0,PPMT('Assumptions (CSP)'!$V$7,Model!AC$1,'Assumptions (CSP)'!$V$10,'Assumptions (CSP)'!$V$5*Model!$AN$3539*AVERAGE('Assumptions (CSP)'!$AJ$2:$AL$2)/10^9),0)</f>
        <v>0</v>
      </c>
      <c r="AU3638" s="95">
        <f>IF($AN$3539&gt;0,PPMT('Assumptions (CSP)'!$V$7,Model!AD$1,'Assumptions (CSP)'!$V$10,'Assumptions (CSP)'!$V$5*Model!$AN$3539*AVERAGE('Assumptions (CSP)'!$AJ$2:$AL$2)/10^9),0)</f>
        <v>0</v>
      </c>
      <c r="AV3638" s="95">
        <f>IF($AN$3539&gt;0,PPMT('Assumptions (CSP)'!$V$7,Model!AE$1,'Assumptions (CSP)'!$V$10,'Assumptions (CSP)'!$V$5*Model!$AN$3539*AVERAGE('Assumptions (CSP)'!$AJ$2:$AL$2)/10^9),0)</f>
        <v>0</v>
      </c>
      <c r="AW3638" s="95">
        <f>IF($AN$3539&gt;0,PPMT('Assumptions (CSP)'!$V$7,Model!AF$1,'Assumptions (CSP)'!$V$10,'Assumptions (CSP)'!$V$5*Model!$AN$3539*AVERAGE('Assumptions (CSP)'!$AJ$2:$AL$2)/10^9),0)</f>
        <v>0</v>
      </c>
      <c r="AX3638" s="95">
        <f>IF($AN$3539&gt;0,PPMT('Assumptions (CSP)'!$V$7,Model!AG$1,'Assumptions (CSP)'!$V$10,'Assumptions (CSP)'!$V$5*Model!$AN$3539*AVERAGE('Assumptions (CSP)'!$AJ$2:$AL$2)/10^9),0)</f>
        <v>0</v>
      </c>
      <c r="AY3638" s="95">
        <f>IF($AN$3539&gt;0,PPMT('Assumptions (CSP)'!$V$7,Model!AH$1,'Assumptions (CSP)'!$V$10,'Assumptions (CSP)'!$V$5*Model!$AN$3539*AVERAGE('Assumptions (CSP)'!$AJ$2:$AL$2)/10^9),0)</f>
        <v>0</v>
      </c>
      <c r="AZ3638" s="95">
        <f>IF($AN$3539&gt;0,PPMT('Assumptions (CSP)'!$V$7,Model!AI$1,'Assumptions (CSP)'!$V$10,'Assumptions (CSP)'!$V$5*Model!$AN$3539*AVERAGE('Assumptions (CSP)'!$AJ$2:$AL$2)/10^9),0)</f>
        <v>0</v>
      </c>
      <c r="BA3638" s="95">
        <f>IF($AN$3539&gt;0,PPMT('Assumptions (CSP)'!$V$7,Model!AJ$1,'Assumptions (CSP)'!$V$10,'Assumptions (CSP)'!$V$5*Model!$AN$3539*AVERAGE('Assumptions (CSP)'!$AJ$2:$AL$2)/10^9),0)</f>
        <v>0</v>
      </c>
      <c r="BB3638" s="95">
        <f>IF($AN$3539&gt;0,PPMT('Assumptions (CSP)'!$V$7,Model!AK$1,'Assumptions (CSP)'!$V$10,'Assumptions (CSP)'!$V$5*Model!$AN$3539*AVERAGE('Assumptions (CSP)'!$AJ$2:$AL$2)/10^9),0)</f>
        <v>0</v>
      </c>
    </row>
    <row r="3639" ht="15.75" hidden="1" customHeight="1">
      <c r="A3639" s="395"/>
      <c r="B3639" s="24"/>
      <c r="C3639" s="95"/>
      <c r="D3639" s="95"/>
      <c r="E3639" s="95"/>
      <c r="F3639" s="95"/>
      <c r="G3639" s="95"/>
      <c r="H3639" s="95"/>
      <c r="I3639" s="95"/>
      <c r="J3639" s="95"/>
      <c r="K3639" s="95"/>
      <c r="L3639" s="95"/>
      <c r="M3639" s="95"/>
      <c r="N3639" s="95"/>
      <c r="O3639" s="95"/>
      <c r="P3639" s="95"/>
      <c r="Q3639" s="95"/>
      <c r="R3639" s="95"/>
      <c r="S3639" s="95"/>
      <c r="T3639" s="95"/>
      <c r="U3639" s="95"/>
      <c r="V3639" s="95"/>
      <c r="W3639" s="95"/>
      <c r="X3639" s="95"/>
      <c r="Y3639" s="95"/>
      <c r="Z3639" s="95"/>
      <c r="AA3639" s="95"/>
      <c r="AB3639" s="95"/>
      <c r="AC3639" s="95"/>
      <c r="AD3639" s="95"/>
      <c r="AE3639" s="95"/>
      <c r="AF3639" s="95"/>
      <c r="AG3639" s="95"/>
      <c r="AH3639" s="95"/>
      <c r="AI3639" s="95"/>
      <c r="AJ3639" s="95"/>
      <c r="AK3639" s="95"/>
      <c r="AL3639" s="95"/>
      <c r="AM3639" s="95"/>
      <c r="AN3639" s="95"/>
      <c r="AO3639" s="95">
        <f>IF($AO$3539&gt;0,PPMT('Assumptions (CSP)'!$V$7,Model!W$1,'Assumptions (CSP)'!$V$10,'Assumptions (CSP)'!$V$5*Model!$AO$3539*AVERAGE('Assumptions (CSP)'!$AK$2:$AM$2)/10^9),0)</f>
        <v>0</v>
      </c>
      <c r="AP3639" s="95">
        <f>IF($AO$3539&gt;0,PPMT('Assumptions (CSP)'!$V$7,Model!X$1,'Assumptions (CSP)'!$V$10,'Assumptions (CSP)'!$V$5*Model!$AO$3539*AVERAGE('Assumptions (CSP)'!$AK$2:$AM$2)/10^9),0)</f>
        <v>0</v>
      </c>
      <c r="AQ3639" s="95">
        <f>IF($AO$3539&gt;0,PPMT('Assumptions (CSP)'!$V$7,Model!Y$1,'Assumptions (CSP)'!$V$10,'Assumptions (CSP)'!$V$5*Model!$AO$3539*AVERAGE('Assumptions (CSP)'!$AK$2:$AM$2)/10^9),0)</f>
        <v>0</v>
      </c>
      <c r="AR3639" s="95">
        <f>IF($AO$3539&gt;0,PPMT('Assumptions (CSP)'!$V$7,Model!Z$1,'Assumptions (CSP)'!$V$10,'Assumptions (CSP)'!$V$5*Model!$AO$3539*AVERAGE('Assumptions (CSP)'!$AK$2:$AM$2)/10^9),0)</f>
        <v>0</v>
      </c>
      <c r="AS3639" s="95">
        <f>IF($AO$3539&gt;0,PPMT('Assumptions (CSP)'!$V$7,Model!AA$1,'Assumptions (CSP)'!$V$10,'Assumptions (CSP)'!$V$5*Model!$AO$3539*AVERAGE('Assumptions (CSP)'!$AK$2:$AM$2)/10^9),0)</f>
        <v>0</v>
      </c>
      <c r="AT3639" s="95">
        <f>IF($AO$3539&gt;0,PPMT('Assumptions (CSP)'!$V$7,Model!AB$1,'Assumptions (CSP)'!$V$10,'Assumptions (CSP)'!$V$5*Model!$AO$3539*AVERAGE('Assumptions (CSP)'!$AK$2:$AM$2)/10^9),0)</f>
        <v>0</v>
      </c>
      <c r="AU3639" s="95">
        <f>IF($AO$3539&gt;0,PPMT('Assumptions (CSP)'!$V$7,Model!AC$1,'Assumptions (CSP)'!$V$10,'Assumptions (CSP)'!$V$5*Model!$AO$3539*AVERAGE('Assumptions (CSP)'!$AK$2:$AM$2)/10^9),0)</f>
        <v>0</v>
      </c>
      <c r="AV3639" s="95">
        <f>IF($AO$3539&gt;0,PPMT('Assumptions (CSP)'!$V$7,Model!AD$1,'Assumptions (CSP)'!$V$10,'Assumptions (CSP)'!$V$5*Model!$AO$3539*AVERAGE('Assumptions (CSP)'!$AK$2:$AM$2)/10^9),0)</f>
        <v>0</v>
      </c>
      <c r="AW3639" s="95">
        <f>IF($AO$3539&gt;0,PPMT('Assumptions (CSP)'!$V$7,Model!AE$1,'Assumptions (CSP)'!$V$10,'Assumptions (CSP)'!$V$5*Model!$AO$3539*AVERAGE('Assumptions (CSP)'!$AK$2:$AM$2)/10^9),0)</f>
        <v>0</v>
      </c>
      <c r="AX3639" s="95">
        <f>IF($AO$3539&gt;0,PPMT('Assumptions (CSP)'!$V$7,Model!AF$1,'Assumptions (CSP)'!$V$10,'Assumptions (CSP)'!$V$5*Model!$AO$3539*AVERAGE('Assumptions (CSP)'!$AK$2:$AM$2)/10^9),0)</f>
        <v>0</v>
      </c>
      <c r="AY3639" s="95">
        <f>IF($AO$3539&gt;0,PPMT('Assumptions (CSP)'!$V$7,Model!AG$1,'Assumptions (CSP)'!$V$10,'Assumptions (CSP)'!$V$5*Model!$AO$3539*AVERAGE('Assumptions (CSP)'!$AK$2:$AM$2)/10^9),0)</f>
        <v>0</v>
      </c>
      <c r="AZ3639" s="95">
        <f>IF($AO$3539&gt;0,PPMT('Assumptions (CSP)'!$V$7,Model!AH$1,'Assumptions (CSP)'!$V$10,'Assumptions (CSP)'!$V$5*Model!$AO$3539*AVERAGE('Assumptions (CSP)'!$AK$2:$AM$2)/10^9),0)</f>
        <v>0</v>
      </c>
      <c r="BA3639" s="95">
        <f>IF($AO$3539&gt;0,PPMT('Assumptions (CSP)'!$V$7,Model!AI$1,'Assumptions (CSP)'!$V$10,'Assumptions (CSP)'!$V$5*Model!$AO$3539*AVERAGE('Assumptions (CSP)'!$AK$2:$AM$2)/10^9),0)</f>
        <v>0</v>
      </c>
      <c r="BB3639" s="95">
        <f>IF($AO$3539&gt;0,PPMT('Assumptions (CSP)'!$V$7,Model!AJ$1,'Assumptions (CSP)'!$V$10,'Assumptions (CSP)'!$V$5*Model!$AO$3539*AVERAGE('Assumptions (CSP)'!$AK$2:$AM$2)/10^9),0)</f>
        <v>0</v>
      </c>
      <c r="BC3639" s="95">
        <f>IF($AO$3539&gt;0,PPMT('Assumptions (CSP)'!$V$7,Model!AK$1,'Assumptions (CSP)'!$V$10,'Assumptions (CSP)'!$V$5*Model!$AO$3539*AVERAGE('Assumptions (CSP)'!$AK$2:$AM$2)/10^9),0)</f>
        <v>0</v>
      </c>
    </row>
    <row r="3640" ht="15.75" hidden="1" customHeight="1">
      <c r="A3640" s="395"/>
      <c r="B3640" s="24"/>
      <c r="C3640" s="95"/>
      <c r="D3640" s="95"/>
      <c r="E3640" s="95"/>
      <c r="F3640" s="95"/>
      <c r="G3640" s="95"/>
      <c r="H3640" s="95"/>
      <c r="I3640" s="95"/>
      <c r="J3640" s="95"/>
      <c r="K3640" s="95"/>
      <c r="L3640" s="95"/>
      <c r="M3640" s="95"/>
      <c r="N3640" s="95"/>
      <c r="O3640" s="95"/>
      <c r="P3640" s="95"/>
      <c r="Q3640" s="95"/>
      <c r="R3640" s="95"/>
      <c r="S3640" s="95"/>
      <c r="T3640" s="95"/>
      <c r="U3640" s="95"/>
      <c r="V3640" s="95"/>
      <c r="W3640" s="95"/>
      <c r="X3640" s="95"/>
      <c r="Y3640" s="95"/>
      <c r="Z3640" s="95"/>
      <c r="AA3640" s="95"/>
      <c r="AB3640" s="95"/>
      <c r="AC3640" s="95"/>
      <c r="AD3640" s="95"/>
      <c r="AE3640" s="95"/>
      <c r="AF3640" s="95"/>
      <c r="AG3640" s="95"/>
      <c r="AH3640" s="95"/>
      <c r="AI3640" s="95"/>
      <c r="AJ3640" s="95"/>
      <c r="AK3640" s="95"/>
      <c r="AL3640" s="95"/>
      <c r="AM3640" s="95"/>
      <c r="AN3640" s="95"/>
      <c r="AO3640" s="95"/>
      <c r="AP3640" s="95">
        <f>IF($AP$3539&gt;0,PPMT('Assumptions (CSP)'!$V$7,Model!W$1,'Assumptions (CSP)'!$V$10,'Assumptions (CSP)'!$V$5*Model!$AP$3539*AVERAGE('Assumptions (CSP)'!$AL$2:$AN$2)/10^9),0)</f>
        <v>0</v>
      </c>
      <c r="AQ3640" s="95">
        <f>IF($AP$3539&gt;0,PPMT('Assumptions (CSP)'!$V$7,Model!X$1,'Assumptions (CSP)'!$V$10,'Assumptions (CSP)'!$V$5*Model!$AP$3539*AVERAGE('Assumptions (CSP)'!$AL$2:$AN$2)/10^9),0)</f>
        <v>0</v>
      </c>
      <c r="AR3640" s="95">
        <f>IF($AP$3539&gt;0,PPMT('Assumptions (CSP)'!$V$7,Model!Y$1,'Assumptions (CSP)'!$V$10,'Assumptions (CSP)'!$V$5*Model!$AP$3539*AVERAGE('Assumptions (CSP)'!$AL$2:$AN$2)/10^9),0)</f>
        <v>0</v>
      </c>
      <c r="AS3640" s="95">
        <f>IF($AP$3539&gt;0,PPMT('Assumptions (CSP)'!$V$7,Model!Z$1,'Assumptions (CSP)'!$V$10,'Assumptions (CSP)'!$V$5*Model!$AP$3539*AVERAGE('Assumptions (CSP)'!$AL$2:$AN$2)/10^9),0)</f>
        <v>0</v>
      </c>
      <c r="AT3640" s="95">
        <f>IF($AP$3539&gt;0,PPMT('Assumptions (CSP)'!$V$7,Model!AA$1,'Assumptions (CSP)'!$V$10,'Assumptions (CSP)'!$V$5*Model!$AP$3539*AVERAGE('Assumptions (CSP)'!$AL$2:$AN$2)/10^9),0)</f>
        <v>0</v>
      </c>
      <c r="AU3640" s="95">
        <f>IF($AP$3539&gt;0,PPMT('Assumptions (CSP)'!$V$7,Model!AB$1,'Assumptions (CSP)'!$V$10,'Assumptions (CSP)'!$V$5*Model!$AP$3539*AVERAGE('Assumptions (CSP)'!$AL$2:$AN$2)/10^9),0)</f>
        <v>0</v>
      </c>
      <c r="AV3640" s="95">
        <f>IF($AP$3539&gt;0,PPMT('Assumptions (CSP)'!$V$7,Model!AC$1,'Assumptions (CSP)'!$V$10,'Assumptions (CSP)'!$V$5*Model!$AP$3539*AVERAGE('Assumptions (CSP)'!$AL$2:$AN$2)/10^9),0)</f>
        <v>0</v>
      </c>
      <c r="AW3640" s="95">
        <f>IF($AP$3539&gt;0,PPMT('Assumptions (CSP)'!$V$7,Model!AD$1,'Assumptions (CSP)'!$V$10,'Assumptions (CSP)'!$V$5*Model!$AP$3539*AVERAGE('Assumptions (CSP)'!$AL$2:$AN$2)/10^9),0)</f>
        <v>0</v>
      </c>
      <c r="AX3640" s="95">
        <f>IF($AP$3539&gt;0,PPMT('Assumptions (CSP)'!$V$7,Model!AE$1,'Assumptions (CSP)'!$V$10,'Assumptions (CSP)'!$V$5*Model!$AP$3539*AVERAGE('Assumptions (CSP)'!$AL$2:$AN$2)/10^9),0)</f>
        <v>0</v>
      </c>
      <c r="AY3640" s="95">
        <f>IF($AP$3539&gt;0,PPMT('Assumptions (CSP)'!$V$7,Model!AF$1,'Assumptions (CSP)'!$V$10,'Assumptions (CSP)'!$V$5*Model!$AP$3539*AVERAGE('Assumptions (CSP)'!$AL$2:$AN$2)/10^9),0)</f>
        <v>0</v>
      </c>
      <c r="AZ3640" s="95">
        <f>IF($AP$3539&gt;0,PPMT('Assumptions (CSP)'!$V$7,Model!AG$1,'Assumptions (CSP)'!$V$10,'Assumptions (CSP)'!$V$5*Model!$AP$3539*AVERAGE('Assumptions (CSP)'!$AL$2:$AN$2)/10^9),0)</f>
        <v>0</v>
      </c>
      <c r="BA3640" s="95">
        <f>IF($AP$3539&gt;0,PPMT('Assumptions (CSP)'!$V$7,Model!AH$1,'Assumptions (CSP)'!$V$10,'Assumptions (CSP)'!$V$5*Model!$AP$3539*AVERAGE('Assumptions (CSP)'!$AL$2:$AN$2)/10^9),0)</f>
        <v>0</v>
      </c>
      <c r="BB3640" s="95">
        <f>IF($AP$3539&gt;0,PPMT('Assumptions (CSP)'!$V$7,Model!AI$1,'Assumptions (CSP)'!$V$10,'Assumptions (CSP)'!$V$5*Model!$AP$3539*AVERAGE('Assumptions (CSP)'!$AL$2:$AN$2)/10^9),0)</f>
        <v>0</v>
      </c>
      <c r="BC3640" s="95">
        <f>IF($AP$3539&gt;0,PPMT('Assumptions (CSP)'!$V$7,Model!AJ$1,'Assumptions (CSP)'!$V$10,'Assumptions (CSP)'!$V$5*Model!$AP$3539*AVERAGE('Assumptions (CSP)'!$AL$2:$AN$2)/10^9),0)</f>
        <v>0</v>
      </c>
      <c r="BD3640" s="95">
        <f>IF($AP$3539&gt;0,PPMT('Assumptions (CSP)'!$V$7,Model!AK$1,'Assumptions (CSP)'!$V$10,'Assumptions (CSP)'!$V$5*Model!$AP$3539*AVERAGE('Assumptions (CSP)'!$AL$2:$AN$2)/10^9),0)</f>
        <v>0</v>
      </c>
    </row>
    <row r="3641" ht="15.75" hidden="1" customHeight="1">
      <c r="A3641" s="395"/>
      <c r="B3641" s="24"/>
      <c r="C3641" s="95"/>
      <c r="D3641" s="95"/>
      <c r="E3641" s="95"/>
      <c r="F3641" s="95"/>
      <c r="G3641" s="95"/>
      <c r="H3641" s="95"/>
      <c r="I3641" s="95"/>
      <c r="J3641" s="95"/>
      <c r="K3641" s="95"/>
      <c r="L3641" s="95"/>
      <c r="M3641" s="95"/>
      <c r="N3641" s="95"/>
      <c r="O3641" s="95"/>
      <c r="P3641" s="95"/>
      <c r="Q3641" s="95"/>
      <c r="R3641" s="95"/>
      <c r="S3641" s="95"/>
      <c r="T3641" s="95"/>
      <c r="U3641" s="95"/>
      <c r="V3641" s="95"/>
      <c r="W3641" s="95"/>
      <c r="X3641" s="95"/>
      <c r="Y3641" s="95"/>
      <c r="Z3641" s="95"/>
      <c r="AA3641" s="95"/>
      <c r="AB3641" s="95"/>
      <c r="AC3641" s="95"/>
      <c r="AD3641" s="95"/>
      <c r="AE3641" s="95"/>
      <c r="AF3641" s="95"/>
      <c r="AG3641" s="95"/>
      <c r="AH3641" s="95"/>
      <c r="AI3641" s="95"/>
      <c r="AJ3641" s="95"/>
      <c r="AK3641" s="95"/>
      <c r="AL3641" s="95"/>
      <c r="AM3641" s="95"/>
      <c r="AN3641" s="95"/>
      <c r="AO3641" s="95"/>
      <c r="AP3641" s="95"/>
      <c r="AQ3641" s="95">
        <f>IF($AQ$3539&gt;0,PPMT('Assumptions (CSP)'!$V$7,Model!W$1,'Assumptions (CSP)'!$V$10,'Assumptions (CSP)'!$V$5*Model!$AQ$3539*AVERAGE('Assumptions (CSP)'!$AM$2:$AO$2)/10^9),0)</f>
        <v>0</v>
      </c>
      <c r="AR3641" s="95">
        <f>IF($AQ$3539&gt;0,PPMT('Assumptions (CSP)'!$V$7,Model!X$1,'Assumptions (CSP)'!$V$10,'Assumptions (CSP)'!$V$5*Model!$AQ$3539*AVERAGE('Assumptions (CSP)'!$AM$2:$AO$2)/10^9),0)</f>
        <v>0</v>
      </c>
      <c r="AS3641" s="95">
        <f>IF($AQ$3539&gt;0,PPMT('Assumptions (CSP)'!$V$7,Model!Y$1,'Assumptions (CSP)'!$V$10,'Assumptions (CSP)'!$V$5*Model!$AQ$3539*AVERAGE('Assumptions (CSP)'!$AM$2:$AO$2)/10^9),0)</f>
        <v>0</v>
      </c>
      <c r="AT3641" s="95">
        <f>IF($AQ$3539&gt;0,PPMT('Assumptions (CSP)'!$V$7,Model!Z$1,'Assumptions (CSP)'!$V$10,'Assumptions (CSP)'!$V$5*Model!$AQ$3539*AVERAGE('Assumptions (CSP)'!$AM$2:$AO$2)/10^9),0)</f>
        <v>0</v>
      </c>
      <c r="AU3641" s="95">
        <f>IF($AQ$3539&gt;0,PPMT('Assumptions (CSP)'!$V$7,Model!AA$1,'Assumptions (CSP)'!$V$10,'Assumptions (CSP)'!$V$5*Model!$AQ$3539*AVERAGE('Assumptions (CSP)'!$AM$2:$AO$2)/10^9),0)</f>
        <v>0</v>
      </c>
      <c r="AV3641" s="95">
        <f>IF($AQ$3539&gt;0,PPMT('Assumptions (CSP)'!$V$7,Model!AB$1,'Assumptions (CSP)'!$V$10,'Assumptions (CSP)'!$V$5*Model!$AQ$3539*AVERAGE('Assumptions (CSP)'!$AM$2:$AO$2)/10^9),0)</f>
        <v>0</v>
      </c>
      <c r="AW3641" s="95">
        <f>IF($AQ$3539&gt;0,PPMT('Assumptions (CSP)'!$V$7,Model!AC$1,'Assumptions (CSP)'!$V$10,'Assumptions (CSP)'!$V$5*Model!$AQ$3539*AVERAGE('Assumptions (CSP)'!$AM$2:$AO$2)/10^9),0)</f>
        <v>0</v>
      </c>
      <c r="AX3641" s="95">
        <f>IF($AQ$3539&gt;0,PPMT('Assumptions (CSP)'!$V$7,Model!AD$1,'Assumptions (CSP)'!$V$10,'Assumptions (CSP)'!$V$5*Model!$AQ$3539*AVERAGE('Assumptions (CSP)'!$AM$2:$AO$2)/10^9),0)</f>
        <v>0</v>
      </c>
      <c r="AY3641" s="95">
        <f>IF($AQ$3539&gt;0,PPMT('Assumptions (CSP)'!$V$7,Model!AE$1,'Assumptions (CSP)'!$V$10,'Assumptions (CSP)'!$V$5*Model!$AQ$3539*AVERAGE('Assumptions (CSP)'!$AM$2:$AO$2)/10^9),0)</f>
        <v>0</v>
      </c>
      <c r="AZ3641" s="95">
        <f>IF($AQ$3539&gt;0,PPMT('Assumptions (CSP)'!$V$7,Model!AF$1,'Assumptions (CSP)'!$V$10,'Assumptions (CSP)'!$V$5*Model!$AQ$3539*AVERAGE('Assumptions (CSP)'!$AM$2:$AO$2)/10^9),0)</f>
        <v>0</v>
      </c>
      <c r="BA3641" s="95">
        <f>IF($AQ$3539&gt;0,PPMT('Assumptions (CSP)'!$V$7,Model!AG$1,'Assumptions (CSP)'!$V$10,'Assumptions (CSP)'!$V$5*Model!$AQ$3539*AVERAGE('Assumptions (CSP)'!$AM$2:$AO$2)/10^9),0)</f>
        <v>0</v>
      </c>
      <c r="BB3641" s="95">
        <f>IF($AQ$3539&gt;0,PPMT('Assumptions (CSP)'!$V$7,Model!AH$1,'Assumptions (CSP)'!$V$10,'Assumptions (CSP)'!$V$5*Model!$AQ$3539*AVERAGE('Assumptions (CSP)'!$AM$2:$AO$2)/10^9),0)</f>
        <v>0</v>
      </c>
      <c r="BC3641" s="95">
        <f>IF($AQ$3539&gt;0,PPMT('Assumptions (CSP)'!$V$7,Model!AI$1,'Assumptions (CSP)'!$V$10,'Assumptions (CSP)'!$V$5*Model!$AQ$3539*AVERAGE('Assumptions (CSP)'!$AM$2:$AO$2)/10^9),0)</f>
        <v>0</v>
      </c>
      <c r="BD3641" s="95">
        <f>IF($AQ$3539&gt;0,PPMT('Assumptions (CSP)'!$V$7,Model!AJ$1,'Assumptions (CSP)'!$V$10,'Assumptions (CSP)'!$V$5*Model!$AQ$3539*AVERAGE('Assumptions (CSP)'!$AM$2:$AO$2)/10^9),0)</f>
        <v>0</v>
      </c>
      <c r="BE3641" s="95">
        <f>IF($AQ$3539&gt;0,PPMT('Assumptions (CSP)'!$V$7,Model!AK$1,'Assumptions (CSP)'!$V$10,'Assumptions (CSP)'!$V$5*Model!$AQ$3539*AVERAGE('Assumptions (CSP)'!$AM$2:$AO$2)/10^9),0)</f>
        <v>0</v>
      </c>
    </row>
    <row r="3642" ht="15.75" hidden="1" customHeight="1">
      <c r="A3642" s="395"/>
      <c r="B3642" s="24"/>
      <c r="C3642" s="95"/>
      <c r="D3642" s="95"/>
      <c r="E3642" s="95"/>
      <c r="F3642" s="95"/>
      <c r="G3642" s="95"/>
      <c r="H3642" s="95"/>
      <c r="I3642" s="95"/>
      <c r="J3642" s="95"/>
      <c r="K3642" s="95"/>
      <c r="L3642" s="95"/>
      <c r="M3642" s="95"/>
      <c r="N3642" s="95"/>
      <c r="O3642" s="95"/>
      <c r="P3642" s="95"/>
      <c r="Q3642" s="95"/>
      <c r="R3642" s="95"/>
      <c r="S3642" s="95"/>
      <c r="T3642" s="95"/>
      <c r="U3642" s="95"/>
      <c r="V3642" s="95"/>
      <c r="W3642" s="95"/>
      <c r="X3642" s="95"/>
      <c r="Y3642" s="95"/>
      <c r="Z3642" s="95"/>
      <c r="AA3642" s="95"/>
      <c r="AB3642" s="95"/>
      <c r="AC3642" s="95"/>
      <c r="AD3642" s="95"/>
      <c r="AE3642" s="95"/>
      <c r="AF3642" s="95"/>
      <c r="AG3642" s="95"/>
      <c r="AH3642" s="95"/>
      <c r="AI3642" s="95"/>
      <c r="AJ3642" s="95"/>
      <c r="AK3642" s="95"/>
      <c r="AL3642" s="95"/>
      <c r="AM3642" s="95"/>
      <c r="AN3642" s="95"/>
      <c r="AO3642" s="95"/>
      <c r="AP3642" s="95"/>
      <c r="AQ3642" s="95"/>
      <c r="AR3642" s="95">
        <f>IF($AR$3539&gt;0,PPMT('Assumptions (CSP)'!$V$7,Model!W$1,'Assumptions (CSP)'!$V$10,'Assumptions (CSP)'!$V$5*Model!$AR$3539*AVERAGE('Assumptions (CSP)'!$AN$2:$AP$2)/10^9),0)</f>
        <v>0</v>
      </c>
      <c r="AS3642" s="95">
        <f>IF($AR$3539&gt;0,PPMT('Assumptions (CSP)'!$V$7,Model!X$1,'Assumptions (CSP)'!$V$10,'Assumptions (CSP)'!$V$5*Model!$AR$3539*AVERAGE('Assumptions (CSP)'!$AN$2:$AP$2)/10^9),0)</f>
        <v>0</v>
      </c>
      <c r="AT3642" s="95">
        <f>IF($AR$3539&gt;0,PPMT('Assumptions (CSP)'!$V$7,Model!Y$1,'Assumptions (CSP)'!$V$10,'Assumptions (CSP)'!$V$5*Model!$AR$3539*AVERAGE('Assumptions (CSP)'!$AN$2:$AP$2)/10^9),0)</f>
        <v>0</v>
      </c>
      <c r="AU3642" s="95">
        <f>IF($AR$3539&gt;0,PPMT('Assumptions (CSP)'!$V$7,Model!Z$1,'Assumptions (CSP)'!$V$10,'Assumptions (CSP)'!$V$5*Model!$AR$3539*AVERAGE('Assumptions (CSP)'!$AN$2:$AP$2)/10^9),0)</f>
        <v>0</v>
      </c>
      <c r="AV3642" s="95">
        <f>IF($AR$3539&gt;0,PPMT('Assumptions (CSP)'!$V$7,Model!AA$1,'Assumptions (CSP)'!$V$10,'Assumptions (CSP)'!$V$5*Model!$AR$3539*AVERAGE('Assumptions (CSP)'!$AN$2:$AP$2)/10^9),0)</f>
        <v>0</v>
      </c>
      <c r="AW3642" s="95">
        <f>IF($AR$3539&gt;0,PPMT('Assumptions (CSP)'!$V$7,Model!AB$1,'Assumptions (CSP)'!$V$10,'Assumptions (CSP)'!$V$5*Model!$AR$3539*AVERAGE('Assumptions (CSP)'!$AN$2:$AP$2)/10^9),0)</f>
        <v>0</v>
      </c>
      <c r="AX3642" s="95">
        <f>IF($AR$3539&gt;0,PPMT('Assumptions (CSP)'!$V$7,Model!AC$1,'Assumptions (CSP)'!$V$10,'Assumptions (CSP)'!$V$5*Model!$AR$3539*AVERAGE('Assumptions (CSP)'!$AN$2:$AP$2)/10^9),0)</f>
        <v>0</v>
      </c>
      <c r="AY3642" s="95">
        <f>IF($AR$3539&gt;0,PPMT('Assumptions (CSP)'!$V$7,Model!AD$1,'Assumptions (CSP)'!$V$10,'Assumptions (CSP)'!$V$5*Model!$AR$3539*AVERAGE('Assumptions (CSP)'!$AN$2:$AP$2)/10^9),0)</f>
        <v>0</v>
      </c>
      <c r="AZ3642" s="95">
        <f>IF($AR$3539&gt;0,PPMT('Assumptions (CSP)'!$V$7,Model!AE$1,'Assumptions (CSP)'!$V$10,'Assumptions (CSP)'!$V$5*Model!$AR$3539*AVERAGE('Assumptions (CSP)'!$AN$2:$AP$2)/10^9),0)</f>
        <v>0</v>
      </c>
      <c r="BA3642" s="95">
        <f>IF($AR$3539&gt;0,PPMT('Assumptions (CSP)'!$V$7,Model!AF$1,'Assumptions (CSP)'!$V$10,'Assumptions (CSP)'!$V$5*Model!$AR$3539*AVERAGE('Assumptions (CSP)'!$AN$2:$AP$2)/10^9),0)</f>
        <v>0</v>
      </c>
      <c r="BB3642" s="95">
        <f>IF($AR$3539&gt;0,PPMT('Assumptions (CSP)'!$V$7,Model!AG$1,'Assumptions (CSP)'!$V$10,'Assumptions (CSP)'!$V$5*Model!$AR$3539*AVERAGE('Assumptions (CSP)'!$AN$2:$AP$2)/10^9),0)</f>
        <v>0</v>
      </c>
      <c r="BC3642" s="95">
        <f>IF($AR$3539&gt;0,PPMT('Assumptions (CSP)'!$V$7,Model!AH$1,'Assumptions (CSP)'!$V$10,'Assumptions (CSP)'!$V$5*Model!$AR$3539*AVERAGE('Assumptions (CSP)'!$AN$2:$AP$2)/10^9),0)</f>
        <v>0</v>
      </c>
      <c r="BD3642" s="95">
        <f>IF($AR$3539&gt;0,PPMT('Assumptions (CSP)'!$V$7,Model!AI$1,'Assumptions (CSP)'!$V$10,'Assumptions (CSP)'!$V$5*Model!$AR$3539*AVERAGE('Assumptions (CSP)'!$AN$2:$AP$2)/10^9),0)</f>
        <v>0</v>
      </c>
      <c r="BE3642" s="95">
        <f>IF($AR$3539&gt;0,PPMT('Assumptions (CSP)'!$V$7,Model!AJ$1,'Assumptions (CSP)'!$V$10,'Assumptions (CSP)'!$V$5*Model!$AR$3539*AVERAGE('Assumptions (CSP)'!$AN$2:$AP$2)/10^9),0)</f>
        <v>0</v>
      </c>
      <c r="BF3642" s="95">
        <f>IF($AR$3539&gt;0,PPMT('Assumptions (CSP)'!$V$7,Model!AK$1,'Assumptions (CSP)'!$V$10,'Assumptions (CSP)'!$V$5*Model!$AR$3539*AVERAGE('Assumptions (CSP)'!$AN$2:$AP$2)/10^9),0)</f>
        <v>0</v>
      </c>
    </row>
    <row r="3643" ht="15.75" hidden="1" customHeight="1">
      <c r="A3643" s="395"/>
      <c r="B3643" s="24"/>
      <c r="C3643" s="95"/>
      <c r="D3643" s="95"/>
      <c r="E3643" s="95"/>
      <c r="F3643" s="95"/>
      <c r="G3643" s="95"/>
      <c r="H3643" s="95"/>
      <c r="I3643" s="95"/>
      <c r="J3643" s="95"/>
      <c r="K3643" s="95"/>
      <c r="L3643" s="95"/>
      <c r="M3643" s="95"/>
      <c r="N3643" s="95"/>
      <c r="O3643" s="95"/>
      <c r="P3643" s="95"/>
      <c r="Q3643" s="95"/>
      <c r="R3643" s="95"/>
      <c r="S3643" s="95"/>
      <c r="T3643" s="95"/>
      <c r="U3643" s="95"/>
      <c r="V3643" s="95"/>
      <c r="W3643" s="95"/>
      <c r="X3643" s="95"/>
      <c r="Y3643" s="95"/>
      <c r="Z3643" s="95"/>
      <c r="AA3643" s="95"/>
      <c r="AB3643" s="95"/>
      <c r="AC3643" s="95"/>
      <c r="AD3643" s="95"/>
      <c r="AE3643" s="95"/>
      <c r="AF3643" s="95"/>
      <c r="AG3643" s="95"/>
      <c r="AH3643" s="95"/>
      <c r="AI3643" s="95"/>
      <c r="AJ3643" s="95"/>
      <c r="AK3643" s="95"/>
      <c r="AL3643" s="95"/>
      <c r="AM3643" s="95"/>
      <c r="AN3643" s="95"/>
      <c r="AO3643" s="95"/>
      <c r="AP3643" s="95"/>
      <c r="AQ3643" s="95"/>
      <c r="AR3643" s="95"/>
      <c r="AS3643" s="95">
        <f>IF($AS$3539&gt;0,PPMT('Assumptions (CSP)'!$V$7,Model!W$1,'Assumptions (CSP)'!$V$10,'Assumptions (CSP)'!$V$5*Model!$AS$3539*AVERAGE('Assumptions (CSP)'!$AO$2:$AQ$2)/10^9),0)</f>
        <v>0</v>
      </c>
      <c r="AT3643" s="95">
        <f>IF($AS$3539&gt;0,PPMT('Assumptions (CSP)'!$V$7,Model!X$1,'Assumptions (CSP)'!$V$10,'Assumptions (CSP)'!$V$5*Model!$AS$3539*AVERAGE('Assumptions (CSP)'!$AO$2:$AQ$2)/10^9),0)</f>
        <v>0</v>
      </c>
      <c r="AU3643" s="95">
        <f>IF($AS$3539&gt;0,PPMT('Assumptions (CSP)'!$V$7,Model!Y$1,'Assumptions (CSP)'!$V$10,'Assumptions (CSP)'!$V$5*Model!$AS$3539*AVERAGE('Assumptions (CSP)'!$AO$2:$AQ$2)/10^9),0)</f>
        <v>0</v>
      </c>
      <c r="AV3643" s="95">
        <f>IF($AS$3539&gt;0,PPMT('Assumptions (CSP)'!$V$7,Model!Z$1,'Assumptions (CSP)'!$V$10,'Assumptions (CSP)'!$V$5*Model!$AS$3539*AVERAGE('Assumptions (CSP)'!$AO$2:$AQ$2)/10^9),0)</f>
        <v>0</v>
      </c>
      <c r="AW3643" s="95">
        <f>IF($AS$3539&gt;0,PPMT('Assumptions (CSP)'!$V$7,Model!AA$1,'Assumptions (CSP)'!$V$10,'Assumptions (CSP)'!$V$5*Model!$AS$3539*AVERAGE('Assumptions (CSP)'!$AO$2:$AQ$2)/10^9),0)</f>
        <v>0</v>
      </c>
      <c r="AX3643" s="95">
        <f>IF($AS$3539&gt;0,PPMT('Assumptions (CSP)'!$V$7,Model!AB$1,'Assumptions (CSP)'!$V$10,'Assumptions (CSP)'!$V$5*Model!$AS$3539*AVERAGE('Assumptions (CSP)'!$AO$2:$AQ$2)/10^9),0)</f>
        <v>0</v>
      </c>
      <c r="AY3643" s="95">
        <f>IF($AS$3539&gt;0,PPMT('Assumptions (CSP)'!$V$7,Model!AC$1,'Assumptions (CSP)'!$V$10,'Assumptions (CSP)'!$V$5*Model!$AS$3539*AVERAGE('Assumptions (CSP)'!$AO$2:$AQ$2)/10^9),0)</f>
        <v>0</v>
      </c>
      <c r="AZ3643" s="95">
        <f>IF($AS$3539&gt;0,PPMT('Assumptions (CSP)'!$V$7,Model!AD$1,'Assumptions (CSP)'!$V$10,'Assumptions (CSP)'!$V$5*Model!$AS$3539*AVERAGE('Assumptions (CSP)'!$AO$2:$AQ$2)/10^9),0)</f>
        <v>0</v>
      </c>
      <c r="BA3643" s="95">
        <f>IF($AS$3539&gt;0,PPMT('Assumptions (CSP)'!$V$7,Model!AE$1,'Assumptions (CSP)'!$V$10,'Assumptions (CSP)'!$V$5*Model!$AS$3539*AVERAGE('Assumptions (CSP)'!$AO$2:$AQ$2)/10^9),0)</f>
        <v>0</v>
      </c>
      <c r="BB3643" s="95">
        <f>IF($AS$3539&gt;0,PPMT('Assumptions (CSP)'!$V$7,Model!AF$1,'Assumptions (CSP)'!$V$10,'Assumptions (CSP)'!$V$5*Model!$AS$3539*AVERAGE('Assumptions (CSP)'!$AO$2:$AQ$2)/10^9),0)</f>
        <v>0</v>
      </c>
      <c r="BC3643" s="95">
        <f>IF($AS$3539&gt;0,PPMT('Assumptions (CSP)'!$V$7,Model!AG$1,'Assumptions (CSP)'!$V$10,'Assumptions (CSP)'!$V$5*Model!$AS$3539*AVERAGE('Assumptions (CSP)'!$AO$2:$AQ$2)/10^9),0)</f>
        <v>0</v>
      </c>
      <c r="BD3643" s="95">
        <f>IF($AS$3539&gt;0,PPMT('Assumptions (CSP)'!$V$7,Model!AH$1,'Assumptions (CSP)'!$V$10,'Assumptions (CSP)'!$V$5*Model!$AS$3539*AVERAGE('Assumptions (CSP)'!$AO$2:$AQ$2)/10^9),0)</f>
        <v>0</v>
      </c>
      <c r="BE3643" s="95">
        <f>IF($AS$3539&gt;0,PPMT('Assumptions (CSP)'!$V$7,Model!AI$1,'Assumptions (CSP)'!$V$10,'Assumptions (CSP)'!$V$5*Model!$AS$3539*AVERAGE('Assumptions (CSP)'!$AO$2:$AQ$2)/10^9),0)</f>
        <v>0</v>
      </c>
      <c r="BF3643" s="95">
        <f>IF($AS$3539&gt;0,PPMT('Assumptions (CSP)'!$V$7,Model!AJ$1,'Assumptions (CSP)'!$V$10,'Assumptions (CSP)'!$V$5*Model!$AS$3539*AVERAGE('Assumptions (CSP)'!$AO$2:$AQ$2)/10^9),0)</f>
        <v>0</v>
      </c>
      <c r="BG3643" s="95">
        <f>IF($AS$3539&gt;0,PPMT('Assumptions (CSP)'!$V$7,Model!AK$1,'Assumptions (CSP)'!$V$10,'Assumptions (CSP)'!$V$5*Model!$AS$3539*AVERAGE('Assumptions (CSP)'!$AO$2:$AQ$2)/10^9),0)</f>
        <v>0</v>
      </c>
    </row>
    <row r="3644" ht="15.75" hidden="1" customHeight="1">
      <c r="A3644" s="395"/>
      <c r="B3644" s="24"/>
      <c r="C3644" s="95"/>
      <c r="D3644" s="95"/>
      <c r="E3644" s="95"/>
      <c r="F3644" s="95"/>
      <c r="G3644" s="95"/>
      <c r="H3644" s="95"/>
      <c r="I3644" s="95"/>
      <c r="J3644" s="95"/>
      <c r="K3644" s="95"/>
      <c r="L3644" s="95"/>
      <c r="M3644" s="95"/>
      <c r="N3644" s="95"/>
      <c r="O3644" s="95"/>
      <c r="P3644" s="95"/>
      <c r="Q3644" s="95"/>
      <c r="R3644" s="95"/>
      <c r="S3644" s="95"/>
      <c r="T3644" s="95"/>
      <c r="U3644" s="95"/>
      <c r="V3644" s="95"/>
      <c r="W3644" s="95"/>
      <c r="X3644" s="95"/>
      <c r="Y3644" s="95"/>
      <c r="Z3644" s="95"/>
      <c r="AA3644" s="95"/>
      <c r="AB3644" s="95"/>
      <c r="AC3644" s="95"/>
      <c r="AD3644" s="95"/>
      <c r="AE3644" s="95"/>
      <c r="AF3644" s="95"/>
      <c r="AG3644" s="95"/>
      <c r="AH3644" s="95"/>
      <c r="AI3644" s="95"/>
      <c r="AJ3644" s="95"/>
      <c r="AK3644" s="95"/>
      <c r="AL3644" s="95"/>
      <c r="AM3644" s="95"/>
      <c r="AN3644" s="95"/>
      <c r="AO3644" s="95"/>
      <c r="AP3644" s="95"/>
      <c r="AQ3644" s="95"/>
      <c r="AR3644" s="95"/>
      <c r="AS3644" s="95"/>
      <c r="AT3644" s="95">
        <f>IF($AT$3539&gt;0,PPMT('Assumptions (CSP)'!$V$7,Model!W$1,'Assumptions (CSP)'!$V$10,'Assumptions (CSP)'!$V$5*Model!$AT$3539*AVERAGE('Assumptions (CSP)'!$AP$2:$AR$2)/10^9),0)</f>
        <v>0</v>
      </c>
      <c r="AU3644" s="95">
        <f>IF($AT$3539&gt;0,PPMT('Assumptions (CSP)'!$V$7,Model!X$1,'Assumptions (CSP)'!$V$10,'Assumptions (CSP)'!$V$5*Model!$AT$3539*AVERAGE('Assumptions (CSP)'!$AP$2:$AR$2)/10^9),0)</f>
        <v>0</v>
      </c>
      <c r="AV3644" s="95">
        <f>IF($AT$3539&gt;0,PPMT('Assumptions (CSP)'!$V$7,Model!Y$1,'Assumptions (CSP)'!$V$10,'Assumptions (CSP)'!$V$5*Model!$AT$3539*AVERAGE('Assumptions (CSP)'!$AP$2:$AR$2)/10^9),0)</f>
        <v>0</v>
      </c>
      <c r="AW3644" s="95">
        <f>IF($AT$3539&gt;0,PPMT('Assumptions (CSP)'!$V$7,Model!Z$1,'Assumptions (CSP)'!$V$10,'Assumptions (CSP)'!$V$5*Model!$AT$3539*AVERAGE('Assumptions (CSP)'!$AP$2:$AR$2)/10^9),0)</f>
        <v>0</v>
      </c>
      <c r="AX3644" s="95">
        <f>IF($AT$3539&gt;0,PPMT('Assumptions (CSP)'!$V$7,Model!AA$1,'Assumptions (CSP)'!$V$10,'Assumptions (CSP)'!$V$5*Model!$AT$3539*AVERAGE('Assumptions (CSP)'!$AP$2:$AR$2)/10^9),0)</f>
        <v>0</v>
      </c>
      <c r="AY3644" s="95">
        <f>IF($AT$3539&gt;0,PPMT('Assumptions (CSP)'!$V$7,Model!AB$1,'Assumptions (CSP)'!$V$10,'Assumptions (CSP)'!$V$5*Model!$AT$3539*AVERAGE('Assumptions (CSP)'!$AP$2:$AR$2)/10^9),0)</f>
        <v>0</v>
      </c>
      <c r="AZ3644" s="95">
        <f>IF($AT$3539&gt;0,PPMT('Assumptions (CSP)'!$V$7,Model!AC$1,'Assumptions (CSP)'!$V$10,'Assumptions (CSP)'!$V$5*Model!$AT$3539*AVERAGE('Assumptions (CSP)'!$AP$2:$AR$2)/10^9),0)</f>
        <v>0</v>
      </c>
      <c r="BA3644" s="95">
        <f>IF($AT$3539&gt;0,PPMT('Assumptions (CSP)'!$V$7,Model!AD$1,'Assumptions (CSP)'!$V$10,'Assumptions (CSP)'!$V$5*Model!$AT$3539*AVERAGE('Assumptions (CSP)'!$AP$2:$AR$2)/10^9),0)</f>
        <v>0</v>
      </c>
      <c r="BB3644" s="95">
        <f>IF($AT$3539&gt;0,PPMT('Assumptions (CSP)'!$V$7,Model!AE$1,'Assumptions (CSP)'!$V$10,'Assumptions (CSP)'!$V$5*Model!$AT$3539*AVERAGE('Assumptions (CSP)'!$AP$2:$AR$2)/10^9),0)</f>
        <v>0</v>
      </c>
      <c r="BC3644" s="95">
        <f>IF($AT$3539&gt;0,PPMT('Assumptions (CSP)'!$V$7,Model!AF$1,'Assumptions (CSP)'!$V$10,'Assumptions (CSP)'!$V$5*Model!$AT$3539*AVERAGE('Assumptions (CSP)'!$AP$2:$AR$2)/10^9),0)</f>
        <v>0</v>
      </c>
      <c r="BD3644" s="95">
        <f>IF($AT$3539&gt;0,PPMT('Assumptions (CSP)'!$V$7,Model!AG$1,'Assumptions (CSP)'!$V$10,'Assumptions (CSP)'!$V$5*Model!$AT$3539*AVERAGE('Assumptions (CSP)'!$AP$2:$AR$2)/10^9),0)</f>
        <v>0</v>
      </c>
      <c r="BE3644" s="95">
        <f>IF($AT$3539&gt;0,PPMT('Assumptions (CSP)'!$V$7,Model!AH$1,'Assumptions (CSP)'!$V$10,'Assumptions (CSP)'!$V$5*Model!$AT$3539*AVERAGE('Assumptions (CSP)'!$AP$2:$AR$2)/10^9),0)</f>
        <v>0</v>
      </c>
      <c r="BF3644" s="95">
        <f>IF($AT$3539&gt;0,PPMT('Assumptions (CSP)'!$V$7,Model!AI$1,'Assumptions (CSP)'!$V$10,'Assumptions (CSP)'!$V$5*Model!$AT$3539*AVERAGE('Assumptions (CSP)'!$AP$2:$AR$2)/10^9),0)</f>
        <v>0</v>
      </c>
      <c r="BG3644" s="95">
        <f>IF($AT$3539&gt;0,PPMT('Assumptions (CSP)'!$V$7,Model!AJ$1,'Assumptions (CSP)'!$V$10,'Assumptions (CSP)'!$V$5*Model!$AT$3539*AVERAGE('Assumptions (CSP)'!$AP$2:$AR$2)/10^9),0)</f>
        <v>0</v>
      </c>
      <c r="BH3644" s="95">
        <f>IF($AT$3539&gt;0,PPMT('Assumptions (CSP)'!$V$7,Model!AK$1,'Assumptions (CSP)'!$V$10,'Assumptions (CSP)'!$V$5*Model!$AT$3539*AVERAGE('Assumptions (CSP)'!$AP$2:$AR$2)/10^9),0)</f>
        <v>0</v>
      </c>
    </row>
    <row r="3645" ht="15.75" hidden="1" customHeight="1">
      <c r="A3645" s="395"/>
      <c r="B3645" s="24"/>
      <c r="C3645" s="95"/>
      <c r="D3645" s="95"/>
      <c r="E3645" s="95"/>
      <c r="F3645" s="95"/>
      <c r="G3645" s="95"/>
      <c r="H3645" s="95"/>
      <c r="I3645" s="95"/>
      <c r="J3645" s="95"/>
      <c r="K3645" s="95"/>
      <c r="L3645" s="95"/>
      <c r="M3645" s="95"/>
      <c r="N3645" s="95"/>
      <c r="O3645" s="95"/>
      <c r="P3645" s="95"/>
      <c r="Q3645" s="95"/>
      <c r="R3645" s="95"/>
      <c r="S3645" s="95"/>
      <c r="T3645" s="95"/>
      <c r="U3645" s="95"/>
      <c r="V3645" s="95"/>
      <c r="W3645" s="95"/>
      <c r="X3645" s="95"/>
      <c r="Y3645" s="95"/>
      <c r="Z3645" s="95"/>
      <c r="AA3645" s="95"/>
      <c r="AB3645" s="95"/>
      <c r="AC3645" s="95"/>
      <c r="AD3645" s="95"/>
      <c r="AE3645" s="95"/>
      <c r="AF3645" s="95"/>
      <c r="AG3645" s="95"/>
      <c r="AH3645" s="95"/>
      <c r="AI3645" s="95"/>
      <c r="AJ3645" s="95"/>
      <c r="AK3645" s="95"/>
      <c r="AL3645" s="95"/>
      <c r="AM3645" s="95"/>
      <c r="AN3645" s="95"/>
      <c r="AO3645" s="95"/>
      <c r="AP3645" s="95"/>
      <c r="AQ3645" s="95"/>
      <c r="AR3645" s="95"/>
      <c r="AS3645" s="95"/>
      <c r="AT3645" s="95"/>
      <c r="AU3645" s="95">
        <f>IF($AU$3539&gt;0,PPMT('Assumptions (CSP)'!$V$7,Model!W$1,'Assumptions (CSP)'!$V$10,'Assumptions (CSP)'!$V$5*Model!$AU$3539*AVERAGE('Assumptions (CSP)'!$AQ$2:$AS$2)/10^9),0)</f>
        <v>0</v>
      </c>
      <c r="AV3645" s="95">
        <f>IF($AU$3539&gt;0,PPMT('Assumptions (CSP)'!$V$7,Model!X$1,'Assumptions (CSP)'!$V$10,'Assumptions (CSP)'!$V$5*Model!$AU$3539*AVERAGE('Assumptions (CSP)'!$AQ$2:$AS$2)/10^9),0)</f>
        <v>0</v>
      </c>
      <c r="AW3645" s="95">
        <f>IF($AU$3539&gt;0,PPMT('Assumptions (CSP)'!$V$7,Model!Y$1,'Assumptions (CSP)'!$V$10,'Assumptions (CSP)'!$V$5*Model!$AU$3539*AVERAGE('Assumptions (CSP)'!$AQ$2:$AS$2)/10^9),0)</f>
        <v>0</v>
      </c>
      <c r="AX3645" s="95">
        <f>IF($AU$3539&gt;0,PPMT('Assumptions (CSP)'!$V$7,Model!Z$1,'Assumptions (CSP)'!$V$10,'Assumptions (CSP)'!$V$5*Model!$AU$3539*AVERAGE('Assumptions (CSP)'!$AQ$2:$AS$2)/10^9),0)</f>
        <v>0</v>
      </c>
      <c r="AY3645" s="95">
        <f>IF($AU$3539&gt;0,PPMT('Assumptions (CSP)'!$V$7,Model!AA$1,'Assumptions (CSP)'!$V$10,'Assumptions (CSP)'!$V$5*Model!$AU$3539*AVERAGE('Assumptions (CSP)'!$AQ$2:$AS$2)/10^9),0)</f>
        <v>0</v>
      </c>
      <c r="AZ3645" s="95">
        <f>IF($AU$3539&gt;0,PPMT('Assumptions (CSP)'!$V$7,Model!AB$1,'Assumptions (CSP)'!$V$10,'Assumptions (CSP)'!$V$5*Model!$AU$3539*AVERAGE('Assumptions (CSP)'!$AQ$2:$AS$2)/10^9),0)</f>
        <v>0</v>
      </c>
      <c r="BA3645" s="95">
        <f>IF($AU$3539&gt;0,PPMT('Assumptions (CSP)'!$V$7,Model!AC$1,'Assumptions (CSP)'!$V$10,'Assumptions (CSP)'!$V$5*Model!$AU$3539*AVERAGE('Assumptions (CSP)'!$AQ$2:$AS$2)/10^9),0)</f>
        <v>0</v>
      </c>
      <c r="BB3645" s="95">
        <f>IF($AU$3539&gt;0,PPMT('Assumptions (CSP)'!$V$7,Model!AD$1,'Assumptions (CSP)'!$V$10,'Assumptions (CSP)'!$V$5*Model!$AU$3539*AVERAGE('Assumptions (CSP)'!$AQ$2:$AS$2)/10^9),0)</f>
        <v>0</v>
      </c>
      <c r="BC3645" s="95">
        <f>IF($AU$3539&gt;0,PPMT('Assumptions (CSP)'!$V$7,Model!AE$1,'Assumptions (CSP)'!$V$10,'Assumptions (CSP)'!$V$5*Model!$AU$3539*AVERAGE('Assumptions (CSP)'!$AQ$2:$AS$2)/10^9),0)</f>
        <v>0</v>
      </c>
      <c r="BD3645" s="95">
        <f>IF($AU$3539&gt;0,PPMT('Assumptions (CSP)'!$V$7,Model!AF$1,'Assumptions (CSP)'!$V$10,'Assumptions (CSP)'!$V$5*Model!$AU$3539*AVERAGE('Assumptions (CSP)'!$AQ$2:$AS$2)/10^9),0)</f>
        <v>0</v>
      </c>
      <c r="BE3645" s="95">
        <f>IF($AU$3539&gt;0,PPMT('Assumptions (CSP)'!$V$7,Model!AG$1,'Assumptions (CSP)'!$V$10,'Assumptions (CSP)'!$V$5*Model!$AU$3539*AVERAGE('Assumptions (CSP)'!$AQ$2:$AS$2)/10^9),0)</f>
        <v>0</v>
      </c>
      <c r="BF3645" s="95">
        <f>IF($AU$3539&gt;0,PPMT('Assumptions (CSP)'!$V$7,Model!AH$1,'Assumptions (CSP)'!$V$10,'Assumptions (CSP)'!$V$5*Model!$AU$3539*AVERAGE('Assumptions (CSP)'!$AQ$2:$AS$2)/10^9),0)</f>
        <v>0</v>
      </c>
      <c r="BG3645" s="95">
        <f>IF($AU$3539&gt;0,PPMT('Assumptions (CSP)'!$V$7,Model!AI$1,'Assumptions (CSP)'!$V$10,'Assumptions (CSP)'!$V$5*Model!$AU$3539*AVERAGE('Assumptions (CSP)'!$AQ$2:$AS$2)/10^9),0)</f>
        <v>0</v>
      </c>
      <c r="BH3645" s="95">
        <f>IF($AU$3539&gt;0,PPMT('Assumptions (CSP)'!$V$7,Model!AJ$1,'Assumptions (CSP)'!$V$10,'Assumptions (CSP)'!$V$5*Model!$AU$3539*AVERAGE('Assumptions (CSP)'!$AQ$2:$AS$2)/10^9),0)</f>
        <v>0</v>
      </c>
      <c r="BI3645" s="95">
        <f>IF($AU$3539&gt;0,PPMT('Assumptions (CSP)'!$V$7,Model!AK$1,'Assumptions (CSP)'!$V$10,'Assumptions (CSP)'!$V$5*Model!$AU$3539*AVERAGE('Assumptions (CSP)'!$AQ$2:$AS$2)/10^9),0)</f>
        <v>0</v>
      </c>
    </row>
    <row r="3646" ht="15.75" hidden="1" customHeight="1">
      <c r="A3646" s="395"/>
      <c r="B3646" s="24"/>
      <c r="C3646" s="95"/>
      <c r="D3646" s="95"/>
      <c r="E3646" s="95"/>
      <c r="F3646" s="95"/>
      <c r="G3646" s="95"/>
      <c r="H3646" s="95"/>
      <c r="I3646" s="95"/>
      <c r="J3646" s="95"/>
      <c r="K3646" s="95"/>
      <c r="L3646" s="95"/>
      <c r="M3646" s="95"/>
      <c r="N3646" s="95"/>
      <c r="O3646" s="95"/>
      <c r="P3646" s="95"/>
      <c r="Q3646" s="95"/>
      <c r="R3646" s="95"/>
      <c r="S3646" s="95"/>
      <c r="T3646" s="95"/>
      <c r="U3646" s="95"/>
      <c r="V3646" s="95"/>
      <c r="W3646" s="95"/>
      <c r="X3646" s="95"/>
      <c r="Y3646" s="95"/>
      <c r="Z3646" s="95"/>
      <c r="AA3646" s="95"/>
      <c r="AB3646" s="95"/>
      <c r="AC3646" s="95"/>
      <c r="AD3646" s="95"/>
      <c r="AE3646" s="95"/>
      <c r="AF3646" s="95"/>
      <c r="AG3646" s="95"/>
      <c r="AH3646" s="95"/>
      <c r="AI3646" s="95"/>
      <c r="AJ3646" s="95"/>
      <c r="AK3646" s="95"/>
      <c r="AL3646" s="95"/>
      <c r="AM3646" s="95"/>
      <c r="AN3646" s="95"/>
      <c r="AO3646" s="95"/>
      <c r="AP3646" s="95"/>
      <c r="AQ3646" s="95"/>
      <c r="AR3646" s="95"/>
      <c r="AS3646" s="95"/>
      <c r="AT3646" s="95"/>
      <c r="AU3646" s="95"/>
      <c r="AV3646" s="95">
        <f>IF($AV$3539&gt;0,PPMT('Assumptions (CSP)'!$V$7,Model!W$1,'Assumptions (CSP)'!$V$10,'Assumptions (CSP)'!$V$5*Model!$AV$3539*AVERAGE('Assumptions (CSP)'!$AR$2:$AT$2)/10^9),0)</f>
        <v>0</v>
      </c>
      <c r="AW3646" s="95">
        <f>IF($AV$3539&gt;0,PPMT('Assumptions (CSP)'!$V$7,Model!X$1,'Assumptions (CSP)'!$V$10,'Assumptions (CSP)'!$V$5*Model!$AV$3539*AVERAGE('Assumptions (CSP)'!$AR$2:$AT$2)/10^9),0)</f>
        <v>0</v>
      </c>
      <c r="AX3646" s="95">
        <f>IF($AV$3539&gt;0,PPMT('Assumptions (CSP)'!$V$7,Model!Y$1,'Assumptions (CSP)'!$V$10,'Assumptions (CSP)'!$V$5*Model!$AV$3539*AVERAGE('Assumptions (CSP)'!$AR$2:$AT$2)/10^9),0)</f>
        <v>0</v>
      </c>
      <c r="AY3646" s="95">
        <f>IF($AV$3539&gt;0,PPMT('Assumptions (CSP)'!$V$7,Model!Z$1,'Assumptions (CSP)'!$V$10,'Assumptions (CSP)'!$V$5*Model!$AV$3539*AVERAGE('Assumptions (CSP)'!$AR$2:$AT$2)/10^9),0)</f>
        <v>0</v>
      </c>
      <c r="AZ3646" s="95">
        <f>IF($AV$3539&gt;0,PPMT('Assumptions (CSP)'!$V$7,Model!AA$1,'Assumptions (CSP)'!$V$10,'Assumptions (CSP)'!$V$5*Model!$AV$3539*AVERAGE('Assumptions (CSP)'!$AR$2:$AT$2)/10^9),0)</f>
        <v>0</v>
      </c>
      <c r="BA3646" s="95">
        <f>IF($AV$3539&gt;0,PPMT('Assumptions (CSP)'!$V$7,Model!AB$1,'Assumptions (CSP)'!$V$10,'Assumptions (CSP)'!$V$5*Model!$AV$3539*AVERAGE('Assumptions (CSP)'!$AR$2:$AT$2)/10^9),0)</f>
        <v>0</v>
      </c>
      <c r="BB3646" s="95">
        <f>IF($AV$3539&gt;0,PPMT('Assumptions (CSP)'!$V$7,Model!AC$1,'Assumptions (CSP)'!$V$10,'Assumptions (CSP)'!$V$5*Model!$AV$3539*AVERAGE('Assumptions (CSP)'!$AR$2:$AT$2)/10^9),0)</f>
        <v>0</v>
      </c>
      <c r="BC3646" s="95">
        <f>IF($AV$3539&gt;0,PPMT('Assumptions (CSP)'!$V$7,Model!AD$1,'Assumptions (CSP)'!$V$10,'Assumptions (CSP)'!$V$5*Model!$AV$3539*AVERAGE('Assumptions (CSP)'!$AR$2:$AT$2)/10^9),0)</f>
        <v>0</v>
      </c>
      <c r="BD3646" s="95">
        <f>IF($AV$3539&gt;0,PPMT('Assumptions (CSP)'!$V$7,Model!AE$1,'Assumptions (CSP)'!$V$10,'Assumptions (CSP)'!$V$5*Model!$AV$3539*AVERAGE('Assumptions (CSP)'!$AR$2:$AT$2)/10^9),0)</f>
        <v>0</v>
      </c>
      <c r="BE3646" s="95">
        <f>IF($AV$3539&gt;0,PPMT('Assumptions (CSP)'!$V$7,Model!AF$1,'Assumptions (CSP)'!$V$10,'Assumptions (CSP)'!$V$5*Model!$AV$3539*AVERAGE('Assumptions (CSP)'!$AR$2:$AT$2)/10^9),0)</f>
        <v>0</v>
      </c>
      <c r="BF3646" s="95">
        <f>IF($AV$3539&gt;0,PPMT('Assumptions (CSP)'!$V$7,Model!AG$1,'Assumptions (CSP)'!$V$10,'Assumptions (CSP)'!$V$5*Model!$AV$3539*AVERAGE('Assumptions (CSP)'!$AR$2:$AT$2)/10^9),0)</f>
        <v>0</v>
      </c>
      <c r="BG3646" s="95">
        <f>IF($AV$3539&gt;0,PPMT('Assumptions (CSP)'!$V$7,Model!AH$1,'Assumptions (CSP)'!$V$10,'Assumptions (CSP)'!$V$5*Model!$AV$3539*AVERAGE('Assumptions (CSP)'!$AR$2:$AT$2)/10^9),0)</f>
        <v>0</v>
      </c>
      <c r="BH3646" s="95">
        <f>IF($AV$3539&gt;0,PPMT('Assumptions (CSP)'!$V$7,Model!AI$1,'Assumptions (CSP)'!$V$10,'Assumptions (CSP)'!$V$5*Model!$AV$3539*AVERAGE('Assumptions (CSP)'!$AR$2:$AT$2)/10^9),0)</f>
        <v>0</v>
      </c>
      <c r="BI3646" s="95">
        <f>IF($AV$3539&gt;0,PPMT('Assumptions (CSP)'!$V$7,Model!AJ$1,'Assumptions (CSP)'!$V$10,'Assumptions (CSP)'!$V$5*Model!$AV$3539*AVERAGE('Assumptions (CSP)'!$AR$2:$AT$2)/10^9),0)</f>
        <v>0</v>
      </c>
      <c r="BJ3646" s="95">
        <f>IF($AV$3539&gt;0,PPMT('Assumptions (CSP)'!$V$7,Model!AK$1,'Assumptions (CSP)'!$V$10,'Assumptions (CSP)'!$V$5*Model!$AV$3539*AVERAGE('Assumptions (CSP)'!$AR$2:$AT$2)/10^9),0)</f>
        <v>0</v>
      </c>
    </row>
    <row r="3647" ht="15.75" hidden="1" customHeight="1">
      <c r="A3647" s="395"/>
      <c r="B3647" s="24"/>
      <c r="C3647" s="95"/>
      <c r="D3647" s="95"/>
      <c r="E3647" s="95"/>
      <c r="F3647" s="95"/>
      <c r="G3647" s="95"/>
      <c r="H3647" s="95"/>
      <c r="I3647" s="95"/>
      <c r="J3647" s="95"/>
      <c r="K3647" s="95"/>
      <c r="L3647" s="95"/>
      <c r="M3647" s="95"/>
      <c r="N3647" s="95"/>
      <c r="O3647" s="95"/>
      <c r="P3647" s="95"/>
      <c r="Q3647" s="95"/>
      <c r="R3647" s="95"/>
      <c r="S3647" s="95"/>
      <c r="T3647" s="95"/>
      <c r="U3647" s="95"/>
      <c r="V3647" s="95"/>
      <c r="W3647" s="95"/>
      <c r="X3647" s="95"/>
      <c r="Y3647" s="95"/>
      <c r="Z3647" s="95"/>
      <c r="AA3647" s="95"/>
      <c r="AB3647" s="95"/>
      <c r="AC3647" s="95"/>
      <c r="AD3647" s="95"/>
      <c r="AE3647" s="95"/>
      <c r="AF3647" s="95"/>
      <c r="AG3647" s="95"/>
      <c r="AH3647" s="95"/>
      <c r="AI3647" s="95"/>
      <c r="AJ3647" s="95"/>
      <c r="AK3647" s="95"/>
      <c r="AL3647" s="95"/>
      <c r="AM3647" s="95"/>
      <c r="AN3647" s="95"/>
      <c r="AO3647" s="95"/>
      <c r="AP3647" s="95"/>
      <c r="AQ3647" s="95"/>
      <c r="AR3647" s="95"/>
      <c r="AS3647" s="95"/>
      <c r="AT3647" s="95"/>
      <c r="AU3647" s="95"/>
      <c r="AV3647" s="95"/>
      <c r="AW3647" s="95">
        <f>IF($AW$3539&gt;0,PPMT('Assumptions (CSP)'!$V$7,Model!W$1,'Assumptions (CSP)'!$V$10,'Assumptions (CSP)'!$V$5*Model!$AW$3539*AVERAGE('Assumptions (CSP)'!$AS$2:$AU$2)/10^9),0)</f>
        <v>0</v>
      </c>
      <c r="AX3647" s="95">
        <f>IF($AW$3539&gt;0,PPMT('Assumptions (CSP)'!$V$7,Model!X$1,'Assumptions (CSP)'!$V$10,'Assumptions (CSP)'!$V$5*Model!$AW$3539*AVERAGE('Assumptions (CSP)'!$AS$2:$AU$2)/10^9),0)</f>
        <v>0</v>
      </c>
      <c r="AY3647" s="95">
        <f>IF($AW$3539&gt;0,PPMT('Assumptions (CSP)'!$V$7,Model!Y$1,'Assumptions (CSP)'!$V$10,'Assumptions (CSP)'!$V$5*Model!$AW$3539*AVERAGE('Assumptions (CSP)'!$AS$2:$AU$2)/10^9),0)</f>
        <v>0</v>
      </c>
      <c r="AZ3647" s="95">
        <f>IF($AW$3539&gt;0,PPMT('Assumptions (CSP)'!$V$7,Model!Z$1,'Assumptions (CSP)'!$V$10,'Assumptions (CSP)'!$V$5*Model!$AW$3539*AVERAGE('Assumptions (CSP)'!$AS$2:$AU$2)/10^9),0)</f>
        <v>0</v>
      </c>
      <c r="BA3647" s="95">
        <f>IF($AW$3539&gt;0,PPMT('Assumptions (CSP)'!$V$7,Model!AA$1,'Assumptions (CSP)'!$V$10,'Assumptions (CSP)'!$V$5*Model!$AW$3539*AVERAGE('Assumptions (CSP)'!$AS$2:$AU$2)/10^9),0)</f>
        <v>0</v>
      </c>
      <c r="BB3647" s="95">
        <f>IF($AW$3539&gt;0,PPMT('Assumptions (CSP)'!$V$7,Model!AB$1,'Assumptions (CSP)'!$V$10,'Assumptions (CSP)'!$V$5*Model!$AW$3539*AVERAGE('Assumptions (CSP)'!$AS$2:$AU$2)/10^9),0)</f>
        <v>0</v>
      </c>
      <c r="BC3647" s="95">
        <f>IF($AW$3539&gt;0,PPMT('Assumptions (CSP)'!$V$7,Model!AC$1,'Assumptions (CSP)'!$V$10,'Assumptions (CSP)'!$V$5*Model!$AW$3539*AVERAGE('Assumptions (CSP)'!$AS$2:$AU$2)/10^9),0)</f>
        <v>0</v>
      </c>
      <c r="BD3647" s="95">
        <f>IF($AW$3539&gt;0,PPMT('Assumptions (CSP)'!$V$7,Model!AD$1,'Assumptions (CSP)'!$V$10,'Assumptions (CSP)'!$V$5*Model!$AW$3539*AVERAGE('Assumptions (CSP)'!$AS$2:$AU$2)/10^9),0)</f>
        <v>0</v>
      </c>
      <c r="BE3647" s="95">
        <f>IF($AW$3539&gt;0,PPMT('Assumptions (CSP)'!$V$7,Model!AE$1,'Assumptions (CSP)'!$V$10,'Assumptions (CSP)'!$V$5*Model!$AW$3539*AVERAGE('Assumptions (CSP)'!$AS$2:$AU$2)/10^9),0)</f>
        <v>0</v>
      </c>
      <c r="BF3647" s="95">
        <f>IF($AW$3539&gt;0,PPMT('Assumptions (CSP)'!$V$7,Model!AF$1,'Assumptions (CSP)'!$V$10,'Assumptions (CSP)'!$V$5*Model!$AW$3539*AVERAGE('Assumptions (CSP)'!$AS$2:$AU$2)/10^9),0)</f>
        <v>0</v>
      </c>
      <c r="BG3647" s="95">
        <f>IF($AW$3539&gt;0,PPMT('Assumptions (CSP)'!$V$7,Model!AG$1,'Assumptions (CSP)'!$V$10,'Assumptions (CSP)'!$V$5*Model!$AW$3539*AVERAGE('Assumptions (CSP)'!$AS$2:$AU$2)/10^9),0)</f>
        <v>0</v>
      </c>
      <c r="BH3647" s="95">
        <f>IF($AW$3539&gt;0,PPMT('Assumptions (CSP)'!$V$7,Model!AH$1,'Assumptions (CSP)'!$V$10,'Assumptions (CSP)'!$V$5*Model!$AW$3539*AVERAGE('Assumptions (CSP)'!$AS$2:$AU$2)/10^9),0)</f>
        <v>0</v>
      </c>
      <c r="BI3647" s="95">
        <f>IF($AW$3539&gt;0,PPMT('Assumptions (CSP)'!$V$7,Model!AI$1,'Assumptions (CSP)'!$V$10,'Assumptions (CSP)'!$V$5*Model!$AW$3539*AVERAGE('Assumptions (CSP)'!$AS$2:$AU$2)/10^9),0)</f>
        <v>0</v>
      </c>
      <c r="BJ3647" s="95">
        <f>IF($AW$3539&gt;0,PPMT('Assumptions (CSP)'!$V$7,Model!AJ$1,'Assumptions (CSP)'!$V$10,'Assumptions (CSP)'!$V$5*Model!$AW$3539*AVERAGE('Assumptions (CSP)'!$AS$2:$AU$2)/10^9),0)</f>
        <v>0</v>
      </c>
      <c r="BK3647" s="95">
        <f>IF($AW$3539&gt;0,PPMT('Assumptions (CSP)'!$V$7,Model!AK$1,'Assumptions (CSP)'!$V$10,'Assumptions (CSP)'!$V$5*Model!$AW$3539*AVERAGE('Assumptions (CSP)'!$AS$2:$AU$2)/10^9),0)</f>
        <v>0</v>
      </c>
    </row>
    <row r="3648" ht="15.75" hidden="1" customHeight="1">
      <c r="A3648" s="395"/>
      <c r="B3648" s="24"/>
      <c r="C3648" s="95"/>
      <c r="D3648" s="95"/>
      <c r="E3648" s="95"/>
      <c r="F3648" s="95"/>
      <c r="G3648" s="95"/>
      <c r="H3648" s="95"/>
      <c r="I3648" s="95"/>
      <c r="J3648" s="95"/>
      <c r="K3648" s="95"/>
      <c r="L3648" s="95"/>
      <c r="M3648" s="95"/>
      <c r="N3648" s="95"/>
      <c r="O3648" s="95"/>
      <c r="P3648" s="95"/>
      <c r="Q3648" s="95"/>
      <c r="R3648" s="95"/>
      <c r="S3648" s="95"/>
      <c r="T3648" s="95"/>
      <c r="U3648" s="95"/>
      <c r="V3648" s="95"/>
      <c r="W3648" s="95"/>
      <c r="X3648" s="95"/>
      <c r="Y3648" s="95"/>
      <c r="Z3648" s="95"/>
      <c r="AA3648" s="95"/>
      <c r="AB3648" s="95"/>
      <c r="AC3648" s="95"/>
      <c r="AD3648" s="95"/>
      <c r="AE3648" s="95"/>
      <c r="AF3648" s="95"/>
      <c r="AG3648" s="95"/>
      <c r="AH3648" s="95"/>
      <c r="AI3648" s="95"/>
      <c r="AJ3648" s="95"/>
      <c r="AK3648" s="95"/>
      <c r="AL3648" s="95"/>
      <c r="AM3648" s="95"/>
      <c r="AN3648" s="95"/>
      <c r="AO3648" s="95"/>
      <c r="AP3648" s="95"/>
      <c r="AQ3648" s="95"/>
      <c r="AR3648" s="95"/>
      <c r="AS3648" s="95"/>
      <c r="AT3648" s="95"/>
      <c r="AU3648" s="95"/>
      <c r="AV3648" s="95"/>
      <c r="AW3648" s="95"/>
      <c r="AX3648" s="95">
        <f>IF($AX$3539&gt;0,PPMT('Assumptions (CSP)'!$V$7,Model!W$1,'Assumptions (CSP)'!$V$10,'Assumptions (CSP)'!$V$5*Model!$AX$3539*AVERAGE('Assumptions (CSP)'!$AT$2:$AV$2)/10^9),0)</f>
        <v>0</v>
      </c>
      <c r="AY3648" s="95">
        <f>IF($AX$3539&gt;0,PPMT('Assumptions (CSP)'!$V$7,Model!X$1,'Assumptions (CSP)'!$V$10,'Assumptions (CSP)'!$V$5*Model!$AX$3539*AVERAGE('Assumptions (CSP)'!$AT$2:$AV$2)/10^9),0)</f>
        <v>0</v>
      </c>
      <c r="AZ3648" s="95">
        <f>IF($AX$3539&gt;0,PPMT('Assumptions (CSP)'!$V$7,Model!Y$1,'Assumptions (CSP)'!$V$10,'Assumptions (CSP)'!$V$5*Model!$AX$3539*AVERAGE('Assumptions (CSP)'!$AT$2:$AV$2)/10^9),0)</f>
        <v>0</v>
      </c>
      <c r="BA3648" s="95">
        <f>IF($AX$3539&gt;0,PPMT('Assumptions (CSP)'!$V$7,Model!Z$1,'Assumptions (CSP)'!$V$10,'Assumptions (CSP)'!$V$5*Model!$AX$3539*AVERAGE('Assumptions (CSP)'!$AT$2:$AV$2)/10^9),0)</f>
        <v>0</v>
      </c>
      <c r="BB3648" s="95">
        <f>IF($AX$3539&gt;0,PPMT('Assumptions (CSP)'!$V$7,Model!AA$1,'Assumptions (CSP)'!$V$10,'Assumptions (CSP)'!$V$5*Model!$AX$3539*AVERAGE('Assumptions (CSP)'!$AT$2:$AV$2)/10^9),0)</f>
        <v>0</v>
      </c>
      <c r="BC3648" s="95">
        <f>IF($AX$3539&gt;0,PPMT('Assumptions (CSP)'!$V$7,Model!AB$1,'Assumptions (CSP)'!$V$10,'Assumptions (CSP)'!$V$5*Model!$AX$3539*AVERAGE('Assumptions (CSP)'!$AT$2:$AV$2)/10^9),0)</f>
        <v>0</v>
      </c>
      <c r="BD3648" s="95">
        <f>IF($AX$3539&gt;0,PPMT('Assumptions (CSP)'!$V$7,Model!AC$1,'Assumptions (CSP)'!$V$10,'Assumptions (CSP)'!$V$5*Model!$AX$3539*AVERAGE('Assumptions (CSP)'!$AT$2:$AV$2)/10^9),0)</f>
        <v>0</v>
      </c>
      <c r="BE3648" s="95">
        <f>IF($AX$3539&gt;0,PPMT('Assumptions (CSP)'!$V$7,Model!AD$1,'Assumptions (CSP)'!$V$10,'Assumptions (CSP)'!$V$5*Model!$AX$3539*AVERAGE('Assumptions (CSP)'!$AT$2:$AV$2)/10^9),0)</f>
        <v>0</v>
      </c>
      <c r="BF3648" s="95">
        <f>IF($AX$3539&gt;0,PPMT('Assumptions (CSP)'!$V$7,Model!AE$1,'Assumptions (CSP)'!$V$10,'Assumptions (CSP)'!$V$5*Model!$AX$3539*AVERAGE('Assumptions (CSP)'!$AT$2:$AV$2)/10^9),0)</f>
        <v>0</v>
      </c>
      <c r="BG3648" s="95">
        <f>IF($AX$3539&gt;0,PPMT('Assumptions (CSP)'!$V$7,Model!AF$1,'Assumptions (CSP)'!$V$10,'Assumptions (CSP)'!$V$5*Model!$AX$3539*AVERAGE('Assumptions (CSP)'!$AT$2:$AV$2)/10^9),0)</f>
        <v>0</v>
      </c>
      <c r="BH3648" s="95">
        <f>IF($AX$3539&gt;0,PPMT('Assumptions (CSP)'!$V$7,Model!AG$1,'Assumptions (CSP)'!$V$10,'Assumptions (CSP)'!$V$5*Model!$AX$3539*AVERAGE('Assumptions (CSP)'!$AT$2:$AV$2)/10^9),0)</f>
        <v>0</v>
      </c>
      <c r="BI3648" s="95">
        <f>IF($AX$3539&gt;0,PPMT('Assumptions (CSP)'!$V$7,Model!AH$1,'Assumptions (CSP)'!$V$10,'Assumptions (CSP)'!$V$5*Model!$AX$3539*AVERAGE('Assumptions (CSP)'!$AT$2:$AV$2)/10^9),0)</f>
        <v>0</v>
      </c>
      <c r="BJ3648" s="95">
        <f>IF($AX$3539&gt;0,PPMT('Assumptions (CSP)'!$V$7,Model!AI$1,'Assumptions (CSP)'!$V$10,'Assumptions (CSP)'!$V$5*Model!$AX$3539*AVERAGE('Assumptions (CSP)'!$AT$2:$AV$2)/10^9),0)</f>
        <v>0</v>
      </c>
      <c r="BK3648" s="95">
        <f>IF($AX$3539&gt;0,PPMT('Assumptions (CSP)'!$V$7,Model!AJ$1,'Assumptions (CSP)'!$V$10,'Assumptions (CSP)'!$V$5*Model!$AX$3539*AVERAGE('Assumptions (CSP)'!$AT$2:$AV$2)/10^9),0)</f>
        <v>0</v>
      </c>
      <c r="BL3648" s="95">
        <f>IF($AX$3539&gt;0,PPMT('Assumptions (CSP)'!$V$7,Model!AK$1,'Assumptions (CSP)'!$V$10,'Assumptions (CSP)'!$V$5*Model!$AX$3539*AVERAGE('Assumptions (CSP)'!$AT$2:$AV$2)/10^9),0)</f>
        <v>0</v>
      </c>
    </row>
    <row r="3649" ht="15.75" hidden="1" customHeight="1">
      <c r="A3649" s="395"/>
      <c r="B3649" s="24"/>
      <c r="C3649" s="95"/>
      <c r="D3649" s="95"/>
      <c r="E3649" s="95"/>
      <c r="F3649" s="95"/>
      <c r="G3649" s="95"/>
      <c r="H3649" s="95"/>
      <c r="I3649" s="95"/>
      <c r="J3649" s="95"/>
      <c r="K3649" s="95"/>
      <c r="L3649" s="95"/>
      <c r="M3649" s="95"/>
      <c r="N3649" s="95"/>
      <c r="O3649" s="95"/>
      <c r="P3649" s="95"/>
      <c r="Q3649" s="95"/>
      <c r="R3649" s="95"/>
      <c r="S3649" s="95"/>
      <c r="T3649" s="95"/>
      <c r="U3649" s="95"/>
      <c r="V3649" s="95"/>
      <c r="W3649" s="95"/>
      <c r="X3649" s="95"/>
      <c r="Y3649" s="95"/>
      <c r="Z3649" s="95"/>
      <c r="AA3649" s="95"/>
      <c r="AB3649" s="95"/>
      <c r="AC3649" s="95"/>
      <c r="AD3649" s="95"/>
      <c r="AE3649" s="95"/>
      <c r="AF3649" s="95"/>
      <c r="AG3649" s="95"/>
      <c r="AH3649" s="95"/>
      <c r="AI3649" s="95"/>
      <c r="AJ3649" s="95"/>
      <c r="AK3649" s="95"/>
      <c r="AL3649" s="95"/>
      <c r="AM3649" s="95"/>
      <c r="AN3649" s="95"/>
      <c r="AO3649" s="95"/>
      <c r="AP3649" s="95"/>
      <c r="AQ3649" s="95"/>
      <c r="AR3649" s="95"/>
      <c r="AS3649" s="95"/>
      <c r="AT3649" s="95"/>
      <c r="AU3649" s="95"/>
      <c r="AV3649" s="95"/>
      <c r="AW3649" s="95"/>
      <c r="AX3649" s="95"/>
      <c r="AY3649" s="95">
        <f>IF($AY$3539&gt;0,PPMT('Assumptions (CSP)'!$V$7,Model!W$1,'Assumptions (CSP)'!$V$10,'Assumptions (CSP)'!$V$5*Model!$AY$3539*AVERAGE('Assumptions (CSP)'!$AU$2:$AW$2)/10^9),0)</f>
        <v>0</v>
      </c>
      <c r="AZ3649" s="95">
        <f>IF($AY$3539&gt;0,PPMT('Assumptions (CSP)'!$V$7,Model!X$1,'Assumptions (CSP)'!$V$10,'Assumptions (CSP)'!$V$5*Model!$AY$3539*AVERAGE('Assumptions (CSP)'!$AU$2:$AW$2)/10^9),0)</f>
        <v>0</v>
      </c>
      <c r="BA3649" s="95">
        <f>IF($AY$3539&gt;0,PPMT('Assumptions (CSP)'!$V$7,Model!Y$1,'Assumptions (CSP)'!$V$10,'Assumptions (CSP)'!$V$5*Model!$AY$3539*AVERAGE('Assumptions (CSP)'!$AU$2:$AW$2)/10^9),0)</f>
        <v>0</v>
      </c>
      <c r="BB3649" s="95">
        <f>IF($AY$3539&gt;0,PPMT('Assumptions (CSP)'!$V$7,Model!Z$1,'Assumptions (CSP)'!$V$10,'Assumptions (CSP)'!$V$5*Model!$AY$3539*AVERAGE('Assumptions (CSP)'!$AU$2:$AW$2)/10^9),0)</f>
        <v>0</v>
      </c>
      <c r="BC3649" s="95">
        <f>IF($AY$3539&gt;0,PPMT('Assumptions (CSP)'!$V$7,Model!AA$1,'Assumptions (CSP)'!$V$10,'Assumptions (CSP)'!$V$5*Model!$AY$3539*AVERAGE('Assumptions (CSP)'!$AU$2:$AW$2)/10^9),0)</f>
        <v>0</v>
      </c>
      <c r="BD3649" s="95">
        <f>IF($AY$3539&gt;0,PPMT('Assumptions (CSP)'!$V$7,Model!AB$1,'Assumptions (CSP)'!$V$10,'Assumptions (CSP)'!$V$5*Model!$AY$3539*AVERAGE('Assumptions (CSP)'!$AU$2:$AW$2)/10^9),0)</f>
        <v>0</v>
      </c>
      <c r="BE3649" s="95">
        <f>IF($AY$3539&gt;0,PPMT('Assumptions (CSP)'!$V$7,Model!AC$1,'Assumptions (CSP)'!$V$10,'Assumptions (CSP)'!$V$5*Model!$AY$3539*AVERAGE('Assumptions (CSP)'!$AU$2:$AW$2)/10^9),0)</f>
        <v>0</v>
      </c>
      <c r="BF3649" s="95">
        <f>IF($AY$3539&gt;0,PPMT('Assumptions (CSP)'!$V$7,Model!AD$1,'Assumptions (CSP)'!$V$10,'Assumptions (CSP)'!$V$5*Model!$AY$3539*AVERAGE('Assumptions (CSP)'!$AU$2:$AW$2)/10^9),0)</f>
        <v>0</v>
      </c>
      <c r="BG3649" s="95">
        <f>IF($AY$3539&gt;0,PPMT('Assumptions (CSP)'!$V$7,Model!AE$1,'Assumptions (CSP)'!$V$10,'Assumptions (CSP)'!$V$5*Model!$AY$3539*AVERAGE('Assumptions (CSP)'!$AU$2:$AW$2)/10^9),0)</f>
        <v>0</v>
      </c>
      <c r="BH3649" s="95">
        <f>IF($AY$3539&gt;0,PPMT('Assumptions (CSP)'!$V$7,Model!AF$1,'Assumptions (CSP)'!$V$10,'Assumptions (CSP)'!$V$5*Model!$AY$3539*AVERAGE('Assumptions (CSP)'!$AU$2:$AW$2)/10^9),0)</f>
        <v>0</v>
      </c>
      <c r="BI3649" s="95">
        <f>IF($AY$3539&gt;0,PPMT('Assumptions (CSP)'!$V$7,Model!AG$1,'Assumptions (CSP)'!$V$10,'Assumptions (CSP)'!$V$5*Model!$AY$3539*AVERAGE('Assumptions (CSP)'!$AU$2:$AW$2)/10^9),0)</f>
        <v>0</v>
      </c>
      <c r="BJ3649" s="95">
        <f>IF($AY$3539&gt;0,PPMT('Assumptions (CSP)'!$V$7,Model!AH$1,'Assumptions (CSP)'!$V$10,'Assumptions (CSP)'!$V$5*Model!$AY$3539*AVERAGE('Assumptions (CSP)'!$AU$2:$AW$2)/10^9),0)</f>
        <v>0</v>
      </c>
      <c r="BK3649" s="95">
        <f>IF($AY$3539&gt;0,PPMT('Assumptions (CSP)'!$V$7,Model!AI$1,'Assumptions (CSP)'!$V$10,'Assumptions (CSP)'!$V$5*Model!$AY$3539*AVERAGE('Assumptions (CSP)'!$AU$2:$AW$2)/10^9),0)</f>
        <v>0</v>
      </c>
      <c r="BL3649" s="95">
        <f>IF($AY$3539&gt;0,PPMT('Assumptions (CSP)'!$V$7,Model!AJ$1,'Assumptions (CSP)'!$V$10,'Assumptions (CSP)'!$V$5*Model!$AY$3539*AVERAGE('Assumptions (CSP)'!$AU$2:$AW$2)/10^9),0)</f>
        <v>0</v>
      </c>
      <c r="BM3649" s="95">
        <f>IF($AY$3539&gt;0,PPMT('Assumptions (CSP)'!$V$7,Model!AK$1,'Assumptions (CSP)'!$V$10,'Assumptions (CSP)'!$V$5*Model!$AY$3539*AVERAGE('Assumptions (CSP)'!$AU$2:$AW$2)/10^9),0)</f>
        <v>0</v>
      </c>
    </row>
    <row r="3650" ht="15.75" hidden="1" customHeight="1">
      <c r="A3650" s="395"/>
      <c r="B3650" s="24"/>
      <c r="C3650" s="95"/>
      <c r="D3650" s="95"/>
      <c r="E3650" s="95"/>
      <c r="F3650" s="95"/>
      <c r="G3650" s="95"/>
      <c r="H3650" s="95"/>
      <c r="I3650" s="95"/>
      <c r="J3650" s="95"/>
      <c r="K3650" s="95"/>
      <c r="L3650" s="95"/>
      <c r="M3650" s="95"/>
      <c r="N3650" s="95"/>
      <c r="O3650" s="95"/>
      <c r="P3650" s="95"/>
      <c r="Q3650" s="95"/>
      <c r="R3650" s="95"/>
      <c r="S3650" s="95"/>
      <c r="T3650" s="95"/>
      <c r="U3650" s="95"/>
      <c r="V3650" s="95"/>
      <c r="W3650" s="95"/>
      <c r="X3650" s="95"/>
      <c r="Y3650" s="95"/>
      <c r="Z3650" s="95"/>
      <c r="AA3650" s="95"/>
      <c r="AB3650" s="95"/>
      <c r="AC3650" s="95"/>
      <c r="AD3650" s="95"/>
      <c r="AE3650" s="95"/>
      <c r="AF3650" s="95"/>
      <c r="AG3650" s="95"/>
      <c r="AH3650" s="95"/>
      <c r="AI3650" s="95"/>
      <c r="AJ3650" s="95"/>
      <c r="AK3650" s="95"/>
      <c r="AL3650" s="95"/>
      <c r="AM3650" s="95"/>
      <c r="AN3650" s="95"/>
      <c r="AO3650" s="95"/>
      <c r="AP3650" s="95"/>
      <c r="AQ3650" s="95"/>
      <c r="AR3650" s="95"/>
      <c r="AS3650" s="95"/>
      <c r="AT3650" s="95"/>
      <c r="AU3650" s="95"/>
      <c r="AV3650" s="95"/>
      <c r="AW3650" s="95"/>
      <c r="AX3650" s="95"/>
      <c r="AY3650" s="95"/>
      <c r="AZ3650" s="95">
        <f>IF($AZ$3539&gt;0,PPMT('Assumptions (CSP)'!$V$7,Model!W$1,'Assumptions (CSP)'!$V$10,'Assumptions (CSP)'!$V$5*Model!$AZ$3539*AVERAGE('Assumptions (CSP)'!$AV$2:$AX$2)/10^9),0)</f>
        <v>0</v>
      </c>
      <c r="BA3650" s="95">
        <f>IF($BA$3539&gt;0,PPMT('Assumptions (CSP)'!$V$7,Model!W$1,'Assumptions (CSP)'!$V$10,'Assumptions (CSP)'!$V$5*Model!$BA$3539*AVERAGE('Assumptions (CSP)'!$AW$2:$AY$2)/10^9),0)</f>
        <v>0</v>
      </c>
      <c r="BB3650" s="95">
        <f>IF($AZ$3539&gt;0,PPMT('Assumptions (CSP)'!$V$7,Model!Y$1,'Assumptions (CSP)'!$V$10,'Assumptions (CSP)'!$V$5*Model!$AZ$3539*AVERAGE('Assumptions (CSP)'!$AV$2:$AX$2)/10^9),0)</f>
        <v>0</v>
      </c>
      <c r="BC3650" s="95">
        <f>IF($AZ$3539&gt;0,PPMT('Assumptions (CSP)'!$V$7,Model!Z$1,'Assumptions (CSP)'!$V$10,'Assumptions (CSP)'!$V$5*Model!$AZ$3539*AVERAGE('Assumptions (CSP)'!$AV$2:$AX$2)/10^9),0)</f>
        <v>0</v>
      </c>
      <c r="BD3650" s="95">
        <f>IF($AZ$3539&gt;0,PPMT('Assumptions (CSP)'!$V$7,Model!AA$1,'Assumptions (CSP)'!$V$10,'Assumptions (CSP)'!$V$5*Model!$AZ$3539*AVERAGE('Assumptions (CSP)'!$AV$2:$AX$2)/10^9),0)</f>
        <v>0</v>
      </c>
      <c r="BE3650" s="95">
        <f>IF($AZ$3539&gt;0,PPMT('Assumptions (CSP)'!$V$7,Model!AB$1,'Assumptions (CSP)'!$V$10,'Assumptions (CSP)'!$V$5*Model!$AZ$3539*AVERAGE('Assumptions (CSP)'!$AV$2:$AX$2)/10^9),0)</f>
        <v>0</v>
      </c>
      <c r="BF3650" s="95">
        <f>IF($AZ$3539&gt;0,PPMT('Assumptions (CSP)'!$V$7,Model!AC$1,'Assumptions (CSP)'!$V$10,'Assumptions (CSP)'!$V$5*Model!$AZ$3539*AVERAGE('Assumptions (CSP)'!$AV$2:$AX$2)/10^9),0)</f>
        <v>0</v>
      </c>
      <c r="BG3650" s="95">
        <f>IF($AZ$3539&gt;0,PPMT('Assumptions (CSP)'!$V$7,Model!AD$1,'Assumptions (CSP)'!$V$10,'Assumptions (CSP)'!$V$5*Model!$AZ$3539*AVERAGE('Assumptions (CSP)'!$AV$2:$AX$2)/10^9),0)</f>
        <v>0</v>
      </c>
      <c r="BH3650" s="95">
        <f>IF($AZ$3539&gt;0,PPMT('Assumptions (CSP)'!$V$7,Model!AE$1,'Assumptions (CSP)'!$V$10,'Assumptions (CSP)'!$V$5*Model!$AZ$3539*AVERAGE('Assumptions (CSP)'!$AV$2:$AX$2)/10^9),0)</f>
        <v>0</v>
      </c>
      <c r="BI3650" s="95">
        <f>IF($AZ$3539&gt;0,PPMT('Assumptions (CSP)'!$V$7,Model!AF$1,'Assumptions (CSP)'!$V$10,'Assumptions (CSP)'!$V$5*Model!$AZ$3539*AVERAGE('Assumptions (CSP)'!$AV$2:$AX$2)/10^9),0)</f>
        <v>0</v>
      </c>
      <c r="BJ3650" s="95">
        <f>IF($AZ$3539&gt;0,PPMT('Assumptions (CSP)'!$V$7,Model!AG$1,'Assumptions (CSP)'!$V$10,'Assumptions (CSP)'!$V$5*Model!$AZ$3539*AVERAGE('Assumptions (CSP)'!$AV$2:$AX$2)/10^9),0)</f>
        <v>0</v>
      </c>
      <c r="BK3650" s="95">
        <f>IF($AZ$3539&gt;0,PPMT('Assumptions (CSP)'!$V$7,Model!AH$1,'Assumptions (CSP)'!$V$10,'Assumptions (CSP)'!$V$5*Model!$AZ$3539*AVERAGE('Assumptions (CSP)'!$AV$2:$AX$2)/10^9),0)</f>
        <v>0</v>
      </c>
      <c r="BL3650" s="95">
        <f>IF($AZ$3539&gt;0,PPMT('Assumptions (CSP)'!$V$7,Model!AI$1,'Assumptions (CSP)'!$V$10,'Assumptions (CSP)'!$V$5*Model!$AZ$3539*AVERAGE('Assumptions (CSP)'!$AV$2:$AX$2)/10^9),0)</f>
        <v>0</v>
      </c>
      <c r="BM3650" s="95">
        <f>IF($AZ$3539&gt;0,PPMT('Assumptions (CSP)'!$V$7,Model!AJ$1,'Assumptions (CSP)'!$V$10,'Assumptions (CSP)'!$V$5*Model!$AZ$3539*AVERAGE('Assumptions (CSP)'!$AV$2:$AX$2)/10^9),0)</f>
        <v>0</v>
      </c>
      <c r="BN3650" s="95">
        <f>IF($AZ$3539&gt;0,PPMT('Assumptions (CSP)'!$V$7,Model!AK$1,'Assumptions (CSP)'!$V$10,'Assumptions (CSP)'!$V$5*Model!$AZ$3539*AVERAGE('Assumptions (CSP)'!$AV$2:$AX$2)/10^9),0)</f>
        <v>0</v>
      </c>
    </row>
    <row r="3651" ht="15.75" hidden="1" customHeight="1">
      <c r="A3651" s="395"/>
      <c r="B3651" s="24"/>
      <c r="C3651" s="95"/>
      <c r="D3651" s="95"/>
      <c r="E3651" s="95"/>
      <c r="F3651" s="95"/>
      <c r="G3651" s="95"/>
      <c r="H3651" s="95"/>
      <c r="I3651" s="95"/>
      <c r="J3651" s="95"/>
      <c r="K3651" s="95"/>
      <c r="L3651" s="95"/>
      <c r="M3651" s="95"/>
      <c r="N3651" s="95"/>
      <c r="O3651" s="95"/>
      <c r="P3651" s="95"/>
      <c r="Q3651" s="95"/>
      <c r="R3651" s="95"/>
      <c r="S3651" s="95"/>
      <c r="T3651" s="95"/>
      <c r="U3651" s="95"/>
      <c r="V3651" s="95"/>
      <c r="W3651" s="95"/>
      <c r="X3651" s="95"/>
      <c r="Y3651" s="95"/>
      <c r="Z3651" s="95"/>
      <c r="AA3651" s="95"/>
      <c r="AB3651" s="95"/>
      <c r="AC3651" s="95"/>
      <c r="AD3651" s="95"/>
      <c r="AE3651" s="95"/>
      <c r="AF3651" s="95"/>
      <c r="AG3651" s="95"/>
      <c r="AH3651" s="95"/>
      <c r="AI3651" s="95"/>
      <c r="AJ3651" s="95"/>
      <c r="AK3651" s="95"/>
      <c r="AL3651" s="95"/>
      <c r="AM3651" s="95"/>
      <c r="AN3651" s="95"/>
      <c r="AO3651" s="95"/>
      <c r="AP3651" s="95"/>
      <c r="AQ3651" s="95"/>
      <c r="AR3651" s="95"/>
      <c r="AS3651" s="95"/>
      <c r="AT3651" s="95"/>
      <c r="AU3651" s="95"/>
      <c r="AV3651" s="95"/>
      <c r="AW3651" s="95"/>
      <c r="AX3651" s="95"/>
      <c r="AY3651" s="95"/>
      <c r="AZ3651" s="95"/>
      <c r="BA3651" s="95">
        <f>IF($AZ$3539&gt;0,PPMT('Assumptions (CSP)'!$V$7,Model!W$1,'Assumptions (CSP)'!$V$10,'Assumptions (CSP)'!$V$5*Model!$AZ$3539*AVERAGE('Assumptions (CSP)'!$AV$2:$AX$2)/10^9),0)</f>
        <v>0</v>
      </c>
      <c r="BB3651" s="95">
        <f>IF($AZ$3539&gt;0,PPMT('Assumptions (CSP)'!$V$7,Model!X$1,'Assumptions (CSP)'!$V$10,'Assumptions (CSP)'!$V$5*Model!$AZ$3539*AVERAGE('Assumptions (CSP)'!$AV$2:$AX$2)/10^9),0)</f>
        <v>0</v>
      </c>
      <c r="BC3651" s="95">
        <f>IF($AZ$3539&gt;0,PPMT('Assumptions (CSP)'!$V$7,Model!Y$1,'Assumptions (CSP)'!$V$10,'Assumptions (CSP)'!$V$5*Model!$AZ$3539*AVERAGE('Assumptions (CSP)'!$AV$2:$AX$2)/10^9),0)</f>
        <v>0</v>
      </c>
      <c r="BD3651" s="95">
        <f>IF($AZ$3539&gt;0,PPMT('Assumptions (CSP)'!$V$7,Model!Z$1,'Assumptions (CSP)'!$V$10,'Assumptions (CSP)'!$V$5*Model!$AZ$3539*AVERAGE('Assumptions (CSP)'!$AV$2:$AX$2)/10^9),0)</f>
        <v>0</v>
      </c>
      <c r="BE3651" s="95">
        <f>IF($AZ$3539&gt;0,PPMT('Assumptions (CSP)'!$V$7,Model!AA$1,'Assumptions (CSP)'!$V$10,'Assumptions (CSP)'!$V$5*Model!$AZ$3539*AVERAGE('Assumptions (CSP)'!$AV$2:$AX$2)/10^9),0)</f>
        <v>0</v>
      </c>
      <c r="BF3651" s="95">
        <f>IF($AZ$3539&gt;0,PPMT('Assumptions (CSP)'!$V$7,Model!AB$1,'Assumptions (CSP)'!$V$10,'Assumptions (CSP)'!$V$5*Model!$AZ$3539*AVERAGE('Assumptions (CSP)'!$AV$2:$AX$2)/10^9),0)</f>
        <v>0</v>
      </c>
      <c r="BG3651" s="95">
        <f>IF($AZ$3539&gt;0,PPMT('Assumptions (CSP)'!$V$7,Model!AC$1,'Assumptions (CSP)'!$V$10,'Assumptions (CSP)'!$V$5*Model!$AZ$3539*AVERAGE('Assumptions (CSP)'!$AV$2:$AX$2)/10^9),0)</f>
        <v>0</v>
      </c>
      <c r="BH3651" s="95">
        <f>IF($AZ$3539&gt;0,PPMT('Assumptions (CSP)'!$V$7,Model!AD$1,'Assumptions (CSP)'!$V$10,'Assumptions (CSP)'!$V$5*Model!$AZ$3539*AVERAGE('Assumptions (CSP)'!$AV$2:$AX$2)/10^9),0)</f>
        <v>0</v>
      </c>
      <c r="BI3651" s="95">
        <f>IF($AZ$3539&gt;0,PPMT('Assumptions (CSP)'!$V$7,Model!AE$1,'Assumptions (CSP)'!$V$10,'Assumptions (CSP)'!$V$5*Model!$AZ$3539*AVERAGE('Assumptions (CSP)'!$AV$2:$AX$2)/10^9),0)</f>
        <v>0</v>
      </c>
      <c r="BJ3651" s="95">
        <f>IF($AZ$3539&gt;0,PPMT('Assumptions (CSP)'!$V$7,Model!AF$1,'Assumptions (CSP)'!$V$10,'Assumptions (CSP)'!$V$5*Model!$AZ$3539*AVERAGE('Assumptions (CSP)'!$AV$2:$AX$2)/10^9),0)</f>
        <v>0</v>
      </c>
      <c r="BK3651" s="95">
        <f>IF($AZ$3539&gt;0,PPMT('Assumptions (CSP)'!$V$7,Model!AG$1,'Assumptions (CSP)'!$V$10,'Assumptions (CSP)'!$V$5*Model!$AZ$3539*AVERAGE('Assumptions (CSP)'!$AV$2:$AX$2)/10^9),0)</f>
        <v>0</v>
      </c>
      <c r="BL3651" s="95">
        <f>IF($AZ$3539&gt;0,PPMT('Assumptions (CSP)'!$V$7,Model!AH$1,'Assumptions (CSP)'!$V$10,'Assumptions (CSP)'!$V$5*Model!$AZ$3539*AVERAGE('Assumptions (CSP)'!$AV$2:$AX$2)/10^9),0)</f>
        <v>0</v>
      </c>
      <c r="BM3651" s="95">
        <f>IF($AZ$3539&gt;0,PPMT('Assumptions (CSP)'!$V$7,Model!AI$1,'Assumptions (CSP)'!$V$10,'Assumptions (CSP)'!$V$5*Model!$AZ$3539*AVERAGE('Assumptions (CSP)'!$AV$2:$AX$2)/10^9),0)</f>
        <v>0</v>
      </c>
      <c r="BN3651" s="95">
        <f>IF($AZ$3539&gt;0,PPMT('Assumptions (CSP)'!$V$7,Model!AJ$1,'Assumptions (CSP)'!$V$10,'Assumptions (CSP)'!$V$5*Model!$AZ$3539*AVERAGE('Assumptions (CSP)'!$AV$2:$AX$2)/10^9),0)</f>
        <v>0</v>
      </c>
      <c r="BO3651" s="95">
        <f>IF($AZ$3539&gt;0,PPMT('Assumptions (CSP)'!$V$7,Model!AK$1,'Assumptions (CSP)'!$V$10,'Assumptions (CSP)'!$V$5*Model!$AZ$3539*AVERAGE('Assumptions (CSP)'!$AV$2:$AX$2)/10^9),0)</f>
        <v>0</v>
      </c>
    </row>
    <row r="3652" ht="15.75" customHeight="1">
      <c r="A3652" s="395" t="s">
        <v>360</v>
      </c>
      <c r="B3652" s="150" t="s">
        <v>351</v>
      </c>
      <c r="C3652" s="218">
        <f t="array" ref="C3652">SUM(IF(ISERROR(C3653:C3703),"",C3653:C3703))</f>
        <v>0</v>
      </c>
      <c r="D3652" s="218">
        <f t="array" ref="D3652">SUM(IF(ISERROR(D3653:D3703),"",D3653:D3703))</f>
        <v>0</v>
      </c>
      <c r="E3652" s="218">
        <f t="array" ref="E3652">SUM(IF(ISERROR(E3653:E3703),"",E3653:E3703))</f>
        <v>0</v>
      </c>
      <c r="F3652" s="218">
        <f t="array" ref="F3652">SUM(IF(ISERROR(F3653:F3703),"",F3653:F3703))</f>
        <v>0</v>
      </c>
      <c r="G3652" s="218">
        <f t="array" ref="G3652">SUM(IF(ISERROR(G3653:G3703),"",G3653:G3703))</f>
        <v>0</v>
      </c>
      <c r="H3652" s="218">
        <f t="array" ref="H3652">SUM(IF(ISERROR(H3653:H3703),"",H3653:H3703))</f>
        <v>0</v>
      </c>
      <c r="I3652" s="218">
        <f t="array" ref="I3652">SUM(IF(ISERROR(I3653:I3703),"",I3653:I3703))</f>
        <v>0</v>
      </c>
      <c r="J3652" s="218">
        <f t="array" ref="J3652">SUM(IF(ISERROR(J3653:J3703),"",J3653:J3703))</f>
        <v>0</v>
      </c>
      <c r="K3652" s="218">
        <f t="array" ref="K3652">SUM(IF(ISERROR(K3653:K3703),"",K3653:K3703))</f>
        <v>0</v>
      </c>
      <c r="L3652" s="218">
        <f t="array" ref="L3652">SUM(IF(ISERROR(L3653:L3703),"",L3653:L3703))</f>
        <v>0</v>
      </c>
      <c r="M3652" s="218">
        <f t="array" ref="M3652">SUM(IF(ISERROR(M3653:M3703),"",M3653:M3703))</f>
        <v>0</v>
      </c>
      <c r="N3652" s="218">
        <f t="array" ref="N3652">SUM(IF(ISERROR(N3653:N3703),"",N3653:N3703))</f>
        <v>0</v>
      </c>
      <c r="O3652" s="218">
        <f t="array" ref="O3652">SUM(IF(ISERROR(O3653:O3703),"",O3653:O3703))</f>
        <v>0</v>
      </c>
      <c r="P3652" s="218">
        <f t="array" ref="P3652">SUM(IF(ISERROR(P3653:P3703),"",P3653:P3703))</f>
        <v>0</v>
      </c>
      <c r="Q3652" s="218">
        <f t="array" ref="Q3652">SUM(IF(ISERROR(Q3653:Q3703),"",Q3653:Q3703))</f>
        <v>0</v>
      </c>
      <c r="R3652" s="218">
        <f t="array" ref="R3652">SUM(IF(ISERROR(R3653:R3703),"",R3653:R3703))</f>
        <v>0</v>
      </c>
      <c r="S3652" s="218">
        <f t="array" ref="S3652">SUM(IF(ISERROR(S3653:S3703),"",S3653:S3703))</f>
        <v>0</v>
      </c>
      <c r="T3652" s="218">
        <f t="array" ref="T3652">SUM(IF(ISERROR(T3653:T3703),"",T3653:T3703))</f>
        <v>0</v>
      </c>
      <c r="U3652" s="218">
        <f t="array" ref="U3652">SUM(IF(ISERROR(U3653:U3703),"",U3653:U3703))</f>
        <v>0</v>
      </c>
      <c r="V3652" s="218">
        <f t="array" ref="V3652">SUM(IF(ISERROR(V3653:V3703),"",V3653:V3703))</f>
        <v>0</v>
      </c>
      <c r="W3652" s="218">
        <f t="array" ref="W3652">SUM(IF(ISERROR(W3653:W3703),"",W3653:W3703))</f>
        <v>0</v>
      </c>
      <c r="X3652" s="218">
        <f t="array" ref="X3652">SUM(IF(ISERROR(X3653:X3703),"",X3653:X3703))</f>
        <v>0</v>
      </c>
      <c r="Y3652" s="218">
        <f t="array" ref="Y3652">SUM(IF(ISERROR(Y3653:Y3703),"",Y3653:Y3703))</f>
        <v>0</v>
      </c>
      <c r="Z3652" s="218">
        <f t="array" ref="Z3652">SUM(IF(ISERROR(Z3653:Z3703),"",Z3653:Z3703))</f>
        <v>0</v>
      </c>
      <c r="AA3652" s="218">
        <f t="array" ref="AA3652">SUM(IF(ISERROR(AA3653:AA3703),"",AA3653:AA3703))</f>
        <v>0</v>
      </c>
      <c r="AB3652" s="218">
        <f t="array" ref="AB3652">SUM(IF(ISERROR(AB3653:AB3703),"",AB3653:AB3703))</f>
        <v>0</v>
      </c>
      <c r="AC3652" s="218">
        <f t="array" ref="AC3652">SUM(IF(ISERROR(AC3653:AC3703),"",AC3653:AC3703))</f>
        <v>0</v>
      </c>
      <c r="AD3652" s="218">
        <f t="array" ref="AD3652">SUM(IF(ISERROR(AD3653:AD3703),"",AD3653:AD3703))</f>
        <v>0</v>
      </c>
      <c r="AE3652" s="218">
        <f t="array" ref="AE3652">SUM(IF(ISERROR(AE3653:AE3703),"",AE3653:AE3703))</f>
        <v>0</v>
      </c>
      <c r="AF3652" s="218">
        <f t="array" ref="AF3652">SUM(IF(ISERROR(AF3653:AF3703),"",AF3653:AF3703))</f>
        <v>0</v>
      </c>
      <c r="AG3652" s="218">
        <f t="array" ref="AG3652">SUM(IF(ISERROR(AG3653:AG3703),"",AG3653:AG3703))</f>
        <v>0</v>
      </c>
      <c r="AH3652" s="218">
        <f t="array" ref="AH3652">SUM(IF(ISERROR(AH3653:AH3703),"",AH3653:AH3703))</f>
        <v>0</v>
      </c>
      <c r="AI3652" s="218">
        <f t="array" ref="AI3652">SUM(IF(ISERROR(AI3653:AI3703),"",AI3653:AI3703))</f>
        <v>0</v>
      </c>
      <c r="AJ3652" s="218">
        <f t="array" ref="AJ3652">SUM(IF(ISERROR(AJ3653:AJ3703),"",AJ3653:AJ3703))</f>
        <v>0</v>
      </c>
      <c r="AK3652" s="218">
        <f t="array" ref="AK3652">SUM(IF(ISERROR(AK3653:AK3703),"",AK3653:AK3703))</f>
        <v>0</v>
      </c>
      <c r="AL3652" s="218">
        <f t="array" ref="AL3652">SUM(IF(ISERROR(AL3653:AL3703),"",AL3653:AL3703))</f>
        <v>0</v>
      </c>
      <c r="AM3652" s="218">
        <f t="array" ref="AM3652">SUM(IF(ISERROR(AM3653:AM3703),"",AM3653:AM3703))</f>
        <v>0</v>
      </c>
      <c r="AN3652" s="218">
        <f t="array" ref="AN3652">SUM(IF(ISERROR(AN3653:AN3703),"",AN3653:AN3703))</f>
        <v>0</v>
      </c>
      <c r="AO3652" s="218">
        <f t="array" ref="AO3652">SUM(IF(ISERROR(AO3653:AO3703),"",AO3653:AO3703))</f>
        <v>0</v>
      </c>
      <c r="AP3652" s="218">
        <f t="array" ref="AP3652">SUM(IF(ISERROR(AP3653:AP3703),"",AP3653:AP3703))</f>
        <v>0</v>
      </c>
      <c r="AQ3652" s="218">
        <f t="array" ref="AQ3652">SUM(IF(ISERROR(AQ3653:AQ3703),"",AQ3653:AQ3703))</f>
        <v>0</v>
      </c>
      <c r="AR3652" s="218">
        <f t="array" ref="AR3652">SUM(IF(ISERROR(AR3653:AR3703),"",AR3653:AR3703))</f>
        <v>0</v>
      </c>
      <c r="AS3652" s="218">
        <f t="array" ref="AS3652">SUM(IF(ISERROR(AS3653:AS3703),"",AS3653:AS3703))</f>
        <v>0</v>
      </c>
      <c r="AT3652" s="218">
        <f t="array" ref="AT3652">SUM(IF(ISERROR(AT3653:AT3703),"",AT3653:AT3703))</f>
        <v>0</v>
      </c>
      <c r="AU3652" s="218">
        <f t="array" ref="AU3652">SUM(IF(ISERROR(AU3653:AU3703),"",AU3653:AU3703))</f>
        <v>0</v>
      </c>
      <c r="AV3652" s="218">
        <f t="array" ref="AV3652">SUM(IF(ISERROR(AV3653:AV3703),"",AV3653:AV3703))</f>
        <v>0</v>
      </c>
      <c r="AW3652" s="218">
        <f t="array" ref="AW3652">SUM(IF(ISERROR(AW3653:AW3703),"",AW3653:AW3703))</f>
        <v>0</v>
      </c>
      <c r="AX3652" s="218">
        <f t="array" ref="AX3652">SUM(IF(ISERROR(AX3653:AX3703),"",AX3653:AX3703))</f>
        <v>0</v>
      </c>
      <c r="AY3652" s="218">
        <f t="array" ref="AY3652">SUM(IF(ISERROR(AY3653:AY3703),"",AY3653:AY3703))</f>
        <v>0</v>
      </c>
      <c r="AZ3652" s="218">
        <f t="array" ref="AZ3652">SUM(IF(ISERROR(AZ3653:AZ3703),"",AZ3653:AZ3703))</f>
        <v>0</v>
      </c>
      <c r="BA3652" s="218">
        <f t="array" ref="BA3652">SUM(IF(ISERROR(BA3653:BA3703),"",BA3653:BA3703))</f>
        <v>0</v>
      </c>
    </row>
    <row r="3653" ht="15.75" hidden="1" customHeight="1">
      <c r="A3653" s="395"/>
      <c r="B3653" s="24"/>
      <c r="C3653" s="95">
        <f>IF($C$3539&gt;0,IPMT('Assumptions (CSP)'!$V$7,Model!W$1,'Assumptions (CSP)'!$V$10,'Assumptions (CSP)'!$V$5*Model!$C$3539*'Assumptions (CSP)'!$B$2/10^9),0)</f>
        <v>0</v>
      </c>
      <c r="D3653" s="95">
        <f>IF($C$3539&gt;0,IPMT('Assumptions (CSP)'!$V$7,Model!X$1,'Assumptions (CSP)'!$V$10,'Assumptions (CSP)'!$V$5*Model!$C$3539*'Assumptions (CSP)'!$B$2/10^9),0)</f>
        <v>0</v>
      </c>
      <c r="E3653" s="95">
        <f>IF($C$3539&gt;0,IPMT('Assumptions (CSP)'!$V$7,Model!Y$1,'Assumptions (CSP)'!$V$10,'Assumptions (CSP)'!$V$5*Model!$C$3539*'Assumptions (CSP)'!$B$2/10^9),0)</f>
        <v>0</v>
      </c>
      <c r="F3653" s="95">
        <f>IF($C$3539&gt;0,IPMT('Assumptions (CSP)'!$V$7,Model!Z$1,'Assumptions (CSP)'!$V$10,'Assumptions (CSP)'!$V$5*Model!$C$3539*'Assumptions (CSP)'!$B$2/10^9),0)</f>
        <v>0</v>
      </c>
      <c r="G3653" s="95">
        <f>IF($C$3539&gt;0,IPMT('Assumptions (CSP)'!$V$7,Model!AA$1,'Assumptions (CSP)'!$V$10,'Assumptions (CSP)'!$V$5*Model!$C$3539*'Assumptions (CSP)'!$B$2/10^9),0)</f>
        <v>0</v>
      </c>
      <c r="H3653" s="95">
        <f>IF($C$3539&gt;0,IPMT('Assumptions (CSP)'!$V$7,Model!AB$1,'Assumptions (CSP)'!$V$10,'Assumptions (CSP)'!$V$5*Model!$C$3539*'Assumptions (CSP)'!$B$2/10^9),0)</f>
        <v>0</v>
      </c>
      <c r="I3653" s="95">
        <f>IF($C$3539&gt;0,IPMT('Assumptions (CSP)'!$V$7,Model!AC$1,'Assumptions (CSP)'!$V$10,'Assumptions (CSP)'!$V$5*Model!$C$3539*'Assumptions (CSP)'!$B$2/10^9),0)</f>
        <v>0</v>
      </c>
      <c r="J3653" s="95">
        <f>IF($C$3539&gt;0,IPMT('Assumptions (CSP)'!$V$7,Model!AD$1,'Assumptions (CSP)'!$V$10,'Assumptions (CSP)'!$V$5*Model!$C$3539*'Assumptions (CSP)'!$B$2/10^9),0)</f>
        <v>0</v>
      </c>
      <c r="K3653" s="95">
        <f>IF($C$3539&gt;0,IPMT('Assumptions (CSP)'!$V$7,Model!AE$1,'Assumptions (CSP)'!$V$10,'Assumptions (CSP)'!$V$5*Model!$C$3539*'Assumptions (CSP)'!$B$2/10^9),0)</f>
        <v>0</v>
      </c>
      <c r="L3653" s="95">
        <f>IF($C$3539&gt;0,IPMT('Assumptions (CSP)'!$V$7,Model!AF$1,'Assumptions (CSP)'!$V$10,'Assumptions (CSP)'!$V$5*Model!$C$3539*'Assumptions (CSP)'!$B$2/10^9),0)</f>
        <v>0</v>
      </c>
      <c r="M3653" s="95">
        <f>IF($C$3539&gt;0,IPMT('Assumptions (CSP)'!$V$7,Model!AG$1,'Assumptions (CSP)'!$V$10,'Assumptions (CSP)'!$V$5*Model!$C$3539*'Assumptions (CSP)'!$B$2/10^9),0)</f>
        <v>0</v>
      </c>
      <c r="N3653" s="95">
        <f>IF($C$3539&gt;0,IPMT('Assumptions (CSP)'!$V$7,Model!AH$1,'Assumptions (CSP)'!$V$10,'Assumptions (CSP)'!$V$5*Model!$C$3539*'Assumptions (CSP)'!$B$2/10^9),0)</f>
        <v>0</v>
      </c>
      <c r="O3653" s="95">
        <f>IF($C$3539&gt;0,IPMT('Assumptions (CSP)'!$V$7,Model!AI$1,'Assumptions (CSP)'!$V$10,'Assumptions (CSP)'!$V$5*Model!$C$3539*'Assumptions (CSP)'!$B$2/10^9),0)</f>
        <v>0</v>
      </c>
      <c r="P3653" s="95">
        <f>IF($C$3539&gt;0,IPMT('Assumptions (CSP)'!$V$7,Model!AJ$1,'Assumptions (CSP)'!$V$10,'Assumptions (CSP)'!$V$5*Model!$C$3539*'Assumptions (CSP)'!$B$2/10^9),0)</f>
        <v>0</v>
      </c>
      <c r="Q3653" s="95">
        <f>IF($C$3539&gt;0,IPMT('Assumptions (CSP)'!$V$7,Model!AK$1,'Assumptions (CSP)'!$V$10,'Assumptions (CSP)'!$V$5*Model!$C$3539*'Assumptions (CSP)'!$B$2/10^9),0)</f>
        <v>0</v>
      </c>
      <c r="R3653" s="95"/>
      <c r="S3653" s="95"/>
      <c r="T3653" s="95"/>
      <c r="U3653" s="95"/>
      <c r="V3653" s="95"/>
      <c r="W3653" s="95"/>
      <c r="X3653" s="95"/>
      <c r="Y3653" s="95"/>
      <c r="Z3653" s="95"/>
      <c r="AA3653" s="95"/>
      <c r="AB3653" s="95"/>
      <c r="AC3653" s="95"/>
      <c r="AD3653" s="95"/>
      <c r="AE3653" s="95"/>
      <c r="AF3653" s="95"/>
      <c r="AG3653" s="95"/>
      <c r="AH3653" s="95"/>
      <c r="AI3653" s="95"/>
      <c r="AJ3653" s="95"/>
      <c r="AK3653" s="95"/>
      <c r="AL3653" s="95"/>
      <c r="AM3653" s="95"/>
      <c r="AN3653" s="95"/>
      <c r="AO3653" s="95"/>
      <c r="AP3653" s="95"/>
      <c r="AQ3653" s="95"/>
      <c r="AR3653" s="95"/>
      <c r="AS3653" s="95"/>
      <c r="AT3653" s="95"/>
      <c r="AU3653" s="95"/>
      <c r="AV3653" s="95"/>
      <c r="AW3653" s="95"/>
      <c r="AX3653" s="95"/>
      <c r="AY3653" s="95"/>
      <c r="AZ3653" s="95"/>
      <c r="BA3653" s="95"/>
    </row>
    <row r="3654" ht="15.75" hidden="1" customHeight="1">
      <c r="A3654" s="395"/>
      <c r="B3654" s="24"/>
      <c r="C3654" s="95"/>
      <c r="D3654" s="95">
        <f>IF($D$3539&gt;0,IPMT('Assumptions (CSP)'!$V$7,Model!W$1,'Assumptions (CSP)'!$V$10,'Assumptions (CSP)'!$V$5*Model!$D$3539*'Assumptions (CSP)'!$B$2/10^9),0)</f>
        <v>0</v>
      </c>
      <c r="E3654" s="95">
        <f>IF($D$3539&gt;0,IPMT('Assumptions (CSP)'!$V$7,Model!X$1,'Assumptions (CSP)'!$V$10,'Assumptions (CSP)'!$V$5*Model!$D$3539*'Assumptions (CSP)'!$B$2/10^9),0)</f>
        <v>0</v>
      </c>
      <c r="F3654" s="95">
        <f>IF($D$3539&gt;0,IPMT('Assumptions (CSP)'!$V$7,Model!Y$1,'Assumptions (CSP)'!$V$10,'Assumptions (CSP)'!$V$5*Model!$D$3539*'Assumptions (CSP)'!$B$2/10^9),0)</f>
        <v>0</v>
      </c>
      <c r="G3654" s="95">
        <f>IF($D$3539&gt;0,IPMT('Assumptions (CSP)'!$V$7,Model!Z$1,'Assumptions (CSP)'!$V$10,'Assumptions (CSP)'!$V$5*Model!$D$3539*'Assumptions (CSP)'!$B$2/10^9),0)</f>
        <v>0</v>
      </c>
      <c r="H3654" s="95">
        <f>IF($D$3539&gt;0,IPMT('Assumptions (CSP)'!$V$7,Model!AA$1,'Assumptions (CSP)'!$V$10,'Assumptions (CSP)'!$V$5*Model!$D$3539*'Assumptions (CSP)'!$B$2/10^9),0)</f>
        <v>0</v>
      </c>
      <c r="I3654" s="95">
        <f>IF($D$3539&gt;0,IPMT('Assumptions (CSP)'!$V$7,Model!AB$1,'Assumptions (CSP)'!$V$10,'Assumptions (CSP)'!$V$5*Model!$D$3539*'Assumptions (CSP)'!$B$2/10^9),0)</f>
        <v>0</v>
      </c>
      <c r="J3654" s="95">
        <f>IF($D$3539&gt;0,IPMT('Assumptions (CSP)'!$V$7,Model!AC$1,'Assumptions (CSP)'!$V$10,'Assumptions (CSP)'!$V$5*Model!$D$3539*'Assumptions (CSP)'!$B$2/10^9),0)</f>
        <v>0</v>
      </c>
      <c r="K3654" s="95">
        <f>IF($D$3539&gt;0,IPMT('Assumptions (CSP)'!$V$7,Model!AD$1,'Assumptions (CSP)'!$V$10,'Assumptions (CSP)'!$V$5*Model!$D$3539*'Assumptions (CSP)'!$B$2/10^9),0)</f>
        <v>0</v>
      </c>
      <c r="L3654" s="95">
        <f>IF($D$3539&gt;0,IPMT('Assumptions (CSP)'!$V$7,Model!AE$1,'Assumptions (CSP)'!$V$10,'Assumptions (CSP)'!$V$5*Model!$D$3539*'Assumptions (CSP)'!$B$2/10^9),0)</f>
        <v>0</v>
      </c>
      <c r="M3654" s="95">
        <f>IF($D$3539&gt;0,IPMT('Assumptions (CSP)'!$V$7,Model!AF$1,'Assumptions (CSP)'!$V$10,'Assumptions (CSP)'!$V$5*Model!$D$3539*'Assumptions (CSP)'!$B$2/10^9),0)</f>
        <v>0</v>
      </c>
      <c r="N3654" s="95">
        <f>IF($D$3539&gt;0,IPMT('Assumptions (CSP)'!$V$7,Model!AG$1,'Assumptions (CSP)'!$V$10,'Assumptions (CSP)'!$V$5*Model!$D$3539*'Assumptions (CSP)'!$B$2/10^9),0)</f>
        <v>0</v>
      </c>
      <c r="O3654" s="95">
        <f>IF($D$3539&gt;0,IPMT('Assumptions (CSP)'!$V$7,Model!AH$1,'Assumptions (CSP)'!$V$10,'Assumptions (CSP)'!$V$5*Model!$D$3539*'Assumptions (CSP)'!$B$2/10^9),0)</f>
        <v>0</v>
      </c>
      <c r="P3654" s="95">
        <f>IF($D$3539&gt;0,IPMT('Assumptions (CSP)'!$V$7,Model!AI$1,'Assumptions (CSP)'!$V$10,'Assumptions (CSP)'!$V$5*Model!$D$3539*'Assumptions (CSP)'!$B$2/10^9),0)</f>
        <v>0</v>
      </c>
      <c r="Q3654" s="95">
        <f>IF($D$3539&gt;0,IPMT('Assumptions (CSP)'!$V$7,Model!AJ$1,'Assumptions (CSP)'!$V$10,'Assumptions (CSP)'!$V$5*Model!$D$3539*'Assumptions (CSP)'!$B$2/10^9),0)</f>
        <v>0</v>
      </c>
      <c r="R3654" s="95">
        <f>IF($D$3539&gt;0,IPMT('Assumptions (CSP)'!$V$7,Model!AK$1,'Assumptions (CSP)'!$V$10,'Assumptions (CSP)'!$V$5*Model!$D$3539*'Assumptions (CSP)'!$B$2/10^9),0)</f>
        <v>0</v>
      </c>
      <c r="S3654" s="95"/>
      <c r="T3654" s="95"/>
      <c r="U3654" s="95"/>
      <c r="V3654" s="95"/>
      <c r="W3654" s="95"/>
      <c r="X3654" s="95"/>
      <c r="Y3654" s="95"/>
      <c r="Z3654" s="95"/>
      <c r="AA3654" s="95"/>
      <c r="AB3654" s="95"/>
      <c r="AC3654" s="95"/>
      <c r="AD3654" s="95"/>
      <c r="AE3654" s="95"/>
      <c r="AF3654" s="95"/>
      <c r="AG3654" s="95"/>
      <c r="AH3654" s="95"/>
      <c r="AI3654" s="95"/>
      <c r="AJ3654" s="95"/>
      <c r="AK3654" s="95"/>
      <c r="AL3654" s="95"/>
      <c r="AM3654" s="95"/>
      <c r="AN3654" s="95"/>
      <c r="AO3654" s="95"/>
      <c r="AP3654" s="95"/>
      <c r="AQ3654" s="95"/>
      <c r="AR3654" s="95"/>
      <c r="AS3654" s="95"/>
      <c r="AT3654" s="95"/>
      <c r="AU3654" s="95"/>
      <c r="AV3654" s="95"/>
      <c r="AW3654" s="95"/>
      <c r="AX3654" s="95"/>
      <c r="AY3654" s="95"/>
      <c r="AZ3654" s="95"/>
      <c r="BA3654" s="95"/>
    </row>
    <row r="3655" ht="15.75" hidden="1" customHeight="1">
      <c r="A3655" s="395"/>
      <c r="B3655" s="24"/>
      <c r="C3655" s="95"/>
      <c r="D3655" s="95"/>
      <c r="E3655" s="95">
        <f>IF($E$3539&gt;0,IPMT('Assumptions (CSP)'!$V$7,Model!W$1,'Assumptions (CSP)'!$V$10,'Assumptions (CSP)'!$V$5*Model!$E$3539*AVERAGE('Assumptions (CSP)'!$B$2:$C$2)/10^9),0)</f>
        <v>0</v>
      </c>
      <c r="F3655" s="95">
        <f>IF($E$3539&gt;0,IPMT('Assumptions (CSP)'!$V$7,Model!X$1,'Assumptions (CSP)'!$V$10,'Assumptions (CSP)'!$V$5*Model!$E$3539*AVERAGE('Assumptions (CSP)'!$B$2:$C$2)/10^9),0)</f>
        <v>0</v>
      </c>
      <c r="G3655" s="95">
        <f>IF($E$3539&gt;0,IPMT('Assumptions (CSP)'!$V$7,Model!Y$1,'Assumptions (CSP)'!$V$10,'Assumptions (CSP)'!$V$5*Model!$E$3539*AVERAGE('Assumptions (CSP)'!$B$2:$C$2)/10^9),0)</f>
        <v>0</v>
      </c>
      <c r="H3655" s="95">
        <f>IF($E$3539&gt;0,IPMT('Assumptions (CSP)'!$V$7,Model!Z$1,'Assumptions (CSP)'!$V$10,'Assumptions (CSP)'!$V$5*Model!$E$3539*AVERAGE('Assumptions (CSP)'!$B$2:$C$2)/10^9),0)</f>
        <v>0</v>
      </c>
      <c r="I3655" s="95">
        <f>IF($E$3539&gt;0,IPMT('Assumptions (CSP)'!$V$7,Model!AA$1,'Assumptions (CSP)'!$V$10,'Assumptions (CSP)'!$V$5*Model!$E$3539*AVERAGE('Assumptions (CSP)'!$B$2:$C$2)/10^9),0)</f>
        <v>0</v>
      </c>
      <c r="J3655" s="95">
        <f>IF($E$3539&gt;0,IPMT('Assumptions (CSP)'!$V$7,Model!AB$1,'Assumptions (CSP)'!$V$10,'Assumptions (CSP)'!$V$5*Model!$E$3539*AVERAGE('Assumptions (CSP)'!$B$2:$C$2)/10^9),0)</f>
        <v>0</v>
      </c>
      <c r="K3655" s="95">
        <f>IF($E$3539&gt;0,IPMT('Assumptions (CSP)'!$V$7,Model!AC$1,'Assumptions (CSP)'!$V$10,'Assumptions (CSP)'!$V$5*Model!$E$3539*AVERAGE('Assumptions (CSP)'!$B$2:$C$2)/10^9),0)</f>
        <v>0</v>
      </c>
      <c r="L3655" s="95">
        <f>IF($E$3539&gt;0,IPMT('Assumptions (CSP)'!$V$7,Model!AD$1,'Assumptions (CSP)'!$V$10,'Assumptions (CSP)'!$V$5*Model!$E$3539*AVERAGE('Assumptions (CSP)'!$B$2:$C$2)/10^9),0)</f>
        <v>0</v>
      </c>
      <c r="M3655" s="95">
        <f>IF($E$3539&gt;0,IPMT('Assumptions (CSP)'!$V$7,Model!AE$1,'Assumptions (CSP)'!$V$10,'Assumptions (CSP)'!$V$5*Model!$E$3539*AVERAGE('Assumptions (CSP)'!$B$2:$C$2)/10^9),0)</f>
        <v>0</v>
      </c>
      <c r="N3655" s="95">
        <f>IF($E$3539&gt;0,IPMT('Assumptions (CSP)'!$V$7,Model!AF$1,'Assumptions (CSP)'!$V$10,'Assumptions (CSP)'!$V$5*Model!$E$3539*AVERAGE('Assumptions (CSP)'!$B$2:$C$2)/10^9),0)</f>
        <v>0</v>
      </c>
      <c r="O3655" s="95">
        <f>IF($E$3539&gt;0,IPMT('Assumptions (CSP)'!$V$7,Model!AG$1,'Assumptions (CSP)'!$V$10,'Assumptions (CSP)'!$V$5*Model!$E$3539*AVERAGE('Assumptions (CSP)'!$B$2:$C$2)/10^9),0)</f>
        <v>0</v>
      </c>
      <c r="P3655" s="95">
        <f>IF($E$3539&gt;0,IPMT('Assumptions (CSP)'!$V$7,Model!AH$1,'Assumptions (CSP)'!$V$10,'Assumptions (CSP)'!$V$5*Model!$E$3539*AVERAGE('Assumptions (CSP)'!$B$2:$C$2)/10^9),0)</f>
        <v>0</v>
      </c>
      <c r="Q3655" s="95">
        <f>IF($E$3539&gt;0,IPMT('Assumptions (CSP)'!$V$7,Model!AI$1,'Assumptions (CSP)'!$V$10,'Assumptions (CSP)'!$V$5*Model!$E$3539*AVERAGE('Assumptions (CSP)'!$B$2:$C$2)/10^9),0)</f>
        <v>0</v>
      </c>
      <c r="R3655" s="95">
        <f>IF($E$3539&gt;0,IPMT('Assumptions (CSP)'!$V$7,Model!AJ$1,'Assumptions (CSP)'!$V$10,'Assumptions (CSP)'!$V$5*Model!$E$3539*AVERAGE('Assumptions (CSP)'!$B$2:$C$2)/10^9),0)</f>
        <v>0</v>
      </c>
      <c r="S3655" s="95">
        <f>IF($E$3539&gt;0,IPMT('Assumptions (CSP)'!$V$7,Model!AK$1,'Assumptions (CSP)'!$V$10,'Assumptions (CSP)'!$V$5*Model!$E$3539*AVERAGE('Assumptions (CSP)'!$B$2:$C$2)/10^9),0)</f>
        <v>0</v>
      </c>
      <c r="T3655" s="95"/>
      <c r="U3655" s="95"/>
      <c r="V3655" s="95"/>
      <c r="W3655" s="95"/>
      <c r="X3655" s="95"/>
      <c r="Y3655" s="95"/>
      <c r="Z3655" s="95"/>
      <c r="AA3655" s="95"/>
      <c r="AB3655" s="95"/>
      <c r="AC3655" s="95"/>
      <c r="AD3655" s="95"/>
      <c r="AE3655" s="95"/>
      <c r="AF3655" s="95"/>
      <c r="AG3655" s="95"/>
      <c r="AH3655" s="95"/>
      <c r="AI3655" s="95"/>
      <c r="AJ3655" s="95"/>
      <c r="AK3655" s="95"/>
      <c r="AL3655" s="95"/>
      <c r="AM3655" s="95"/>
      <c r="AN3655" s="95"/>
      <c r="AO3655" s="95"/>
      <c r="AP3655" s="95"/>
      <c r="AQ3655" s="95"/>
      <c r="AR3655" s="95"/>
      <c r="AS3655" s="95"/>
      <c r="AT3655" s="95"/>
      <c r="AU3655" s="95"/>
      <c r="AV3655" s="95"/>
      <c r="AW3655" s="95"/>
      <c r="AX3655" s="95"/>
      <c r="AY3655" s="95"/>
      <c r="AZ3655" s="95"/>
      <c r="BA3655" s="95"/>
    </row>
    <row r="3656" ht="15.75" hidden="1" customHeight="1">
      <c r="A3656" s="395"/>
      <c r="B3656" s="24"/>
      <c r="C3656" s="95"/>
      <c r="D3656" s="95"/>
      <c r="E3656" s="95"/>
      <c r="F3656" s="95">
        <f>IF($F$3539&gt;0,IPMT('Assumptions (CSP)'!$V$7,Model!W$1,'Assumptions (CSP)'!$V$10,'Assumptions (CSP)'!$V$5*Model!$F$3539*AVERAGE('Assumptions (CSP)'!$B$2:$D$2)/10^9),0)</f>
        <v>0</v>
      </c>
      <c r="G3656" s="95">
        <f>IF($F$3539&gt;0,IPMT('Assumptions (CSP)'!$V$7,Model!X$1,'Assumptions (CSP)'!$V$10,'Assumptions (CSP)'!$V$5*Model!$F$3539*AVERAGE('Assumptions (CSP)'!$B$2:$D$2)/10^9),0)</f>
        <v>0</v>
      </c>
      <c r="H3656" s="95">
        <f>IF($F$3539&gt;0,IPMT('Assumptions (CSP)'!$V$7,Model!Y$1,'Assumptions (CSP)'!$V$10,'Assumptions (CSP)'!$V$5*Model!$F$3539*AVERAGE('Assumptions (CSP)'!$B$2:$D$2)/10^9),0)</f>
        <v>0</v>
      </c>
      <c r="I3656" s="95">
        <f>IF($F$3539&gt;0,IPMT('Assumptions (CSP)'!$V$7,Model!Z$1,'Assumptions (CSP)'!$V$10,'Assumptions (CSP)'!$V$5*Model!$F$3539*AVERAGE('Assumptions (CSP)'!$B$2:$D$2)/10^9),0)</f>
        <v>0</v>
      </c>
      <c r="J3656" s="95">
        <f>IF($F$3539&gt;0,IPMT('Assumptions (CSP)'!$V$7,Model!AA$1,'Assumptions (CSP)'!$V$10,'Assumptions (CSP)'!$V$5*Model!$F$3539*AVERAGE('Assumptions (CSP)'!$B$2:$D$2)/10^9),0)</f>
        <v>0</v>
      </c>
      <c r="K3656" s="95">
        <f>IF($F$3539&gt;0,IPMT('Assumptions (CSP)'!$V$7,Model!AB$1,'Assumptions (CSP)'!$V$10,'Assumptions (CSP)'!$V$5*Model!$F$3539*AVERAGE('Assumptions (CSP)'!$B$2:$D$2)/10^9),0)</f>
        <v>0</v>
      </c>
      <c r="L3656" s="95">
        <f>IF($F$3539&gt;0,IPMT('Assumptions (CSP)'!$V$7,Model!AC$1,'Assumptions (CSP)'!$V$10,'Assumptions (CSP)'!$V$5*Model!$F$3539*AVERAGE('Assumptions (CSP)'!$B$2:$D$2)/10^9),0)</f>
        <v>0</v>
      </c>
      <c r="M3656" s="95">
        <f>IF($F$3539&gt;0,IPMT('Assumptions (CSP)'!$V$7,Model!AD$1,'Assumptions (CSP)'!$V$10,'Assumptions (CSP)'!$V$5*Model!$F$3539*AVERAGE('Assumptions (CSP)'!$B$2:$D$2)/10^9),0)</f>
        <v>0</v>
      </c>
      <c r="N3656" s="95">
        <f>IF($F$3539&gt;0,IPMT('Assumptions (CSP)'!$V$7,Model!AE$1,'Assumptions (CSP)'!$V$10,'Assumptions (CSP)'!$V$5*Model!$F$3539*AVERAGE('Assumptions (CSP)'!$B$2:$D$2)/10^9),0)</f>
        <v>0</v>
      </c>
      <c r="O3656" s="95">
        <f>IF($F$3539&gt;0,IPMT('Assumptions (CSP)'!$V$7,Model!AF$1,'Assumptions (CSP)'!$V$10,'Assumptions (CSP)'!$V$5*Model!$F$3539*AVERAGE('Assumptions (CSP)'!$B$2:$D$2)/10^9),0)</f>
        <v>0</v>
      </c>
      <c r="P3656" s="95">
        <f>IF($F$3539&gt;0,IPMT('Assumptions (CSP)'!$V$7,Model!AG$1,'Assumptions (CSP)'!$V$10,'Assumptions (CSP)'!$V$5*Model!$F$3539*AVERAGE('Assumptions (CSP)'!$B$2:$D$2)/10^9),0)</f>
        <v>0</v>
      </c>
      <c r="Q3656" s="95">
        <f>IF($F$3539&gt;0,IPMT('Assumptions (CSP)'!$V$7,Model!AH$1,'Assumptions (CSP)'!$V$10,'Assumptions (CSP)'!$V$5*Model!$F$3539*AVERAGE('Assumptions (CSP)'!$B$2:$D$2)/10^9),0)</f>
        <v>0</v>
      </c>
      <c r="R3656" s="95">
        <f>IF($F$3539&gt;0,IPMT('Assumptions (CSP)'!$V$7,Model!AI$1,'Assumptions (CSP)'!$V$10,'Assumptions (CSP)'!$V$5*Model!$F$3539*AVERAGE('Assumptions (CSP)'!$B$2:$D$2)/10^9),0)</f>
        <v>0</v>
      </c>
      <c r="S3656" s="95">
        <f>IF($F$3539&gt;0,IPMT('Assumptions (CSP)'!$V$7,Model!AJ$1,'Assumptions (CSP)'!$V$10,'Assumptions (CSP)'!$V$5*Model!$F$3539*AVERAGE('Assumptions (CSP)'!$B$2:$D$2)/10^9),0)</f>
        <v>0</v>
      </c>
      <c r="T3656" s="95">
        <f>IF($F$3539&gt;0,IPMT('Assumptions (CSP)'!$V$7,Model!AK$1,'Assumptions (CSP)'!$V$10,'Assumptions (CSP)'!$V$5*Model!$F$3539*AVERAGE('Assumptions (CSP)'!$B$2:$D$2)/10^9),0)</f>
        <v>0</v>
      </c>
      <c r="U3656" s="95"/>
      <c r="V3656" s="95"/>
      <c r="W3656" s="95"/>
      <c r="X3656" s="95"/>
      <c r="Y3656" s="95"/>
      <c r="Z3656" s="95"/>
      <c r="AA3656" s="95"/>
      <c r="AB3656" s="95"/>
      <c r="AC3656" s="95"/>
      <c r="AD3656" s="95"/>
      <c r="AE3656" s="95"/>
      <c r="AF3656" s="95"/>
      <c r="AG3656" s="95"/>
      <c r="AH3656" s="95"/>
      <c r="AI3656" s="95"/>
      <c r="AJ3656" s="95"/>
      <c r="AK3656" s="95"/>
      <c r="AL3656" s="95"/>
      <c r="AM3656" s="95"/>
      <c r="AN3656" s="95"/>
      <c r="AO3656" s="95"/>
      <c r="AP3656" s="95"/>
      <c r="AQ3656" s="95"/>
      <c r="AR3656" s="95"/>
      <c r="AS3656" s="95"/>
      <c r="AT3656" s="95"/>
      <c r="AU3656" s="95"/>
      <c r="AV3656" s="95"/>
      <c r="AW3656" s="95"/>
      <c r="AX3656" s="95"/>
      <c r="AY3656" s="95"/>
      <c r="AZ3656" s="95"/>
      <c r="BA3656" s="95"/>
    </row>
    <row r="3657" ht="15.75" hidden="1" customHeight="1">
      <c r="A3657" s="395"/>
      <c r="B3657" s="24"/>
      <c r="C3657" s="95"/>
      <c r="D3657" s="95"/>
      <c r="E3657" s="95"/>
      <c r="F3657" s="95"/>
      <c r="G3657" s="95">
        <f>IF($G$3539&gt;0,IPMT('Assumptions (CSP)'!$V$7,Model!W$1,'Assumptions (CSP)'!$V$10,'Assumptions (CSP)'!$V$5*Model!$G$3539*AVERAGE('Assumptions (CSP)'!$C$2:$E$2)/10^9),0)</f>
        <v>0</v>
      </c>
      <c r="H3657" s="95">
        <f>IF($G$3539&gt;0,IPMT('Assumptions (CSP)'!$V$7,Model!X$1,'Assumptions (CSP)'!$V$10,'Assumptions (CSP)'!$V$5*Model!$G$3539*AVERAGE('Assumptions (CSP)'!$C$2:$E$2)/10^9),0)</f>
        <v>0</v>
      </c>
      <c r="I3657" s="95">
        <f>IF($G$3539&gt;0,IPMT('Assumptions (CSP)'!$V$7,Model!Y$1,'Assumptions (CSP)'!$V$10,'Assumptions (CSP)'!$V$5*Model!$G$3539*AVERAGE('Assumptions (CSP)'!$C$2:$E$2)/10^9),0)</f>
        <v>0</v>
      </c>
      <c r="J3657" s="95">
        <f>IF($G$3539&gt;0,IPMT('Assumptions (CSP)'!$V$7,Model!Z$1,'Assumptions (CSP)'!$V$10,'Assumptions (CSP)'!$V$5*Model!$G$3539*AVERAGE('Assumptions (CSP)'!$C$2:$E$2)/10^9),0)</f>
        <v>0</v>
      </c>
      <c r="K3657" s="95">
        <f>IF($G$3539&gt;0,IPMT('Assumptions (CSP)'!$V$7,Model!AA$1,'Assumptions (CSP)'!$V$10,'Assumptions (CSP)'!$V$5*Model!$G$3539*AVERAGE('Assumptions (CSP)'!$C$2:$E$2)/10^9),0)</f>
        <v>0</v>
      </c>
      <c r="L3657" s="95">
        <f>IF($G$3539&gt;0,IPMT('Assumptions (CSP)'!$V$7,Model!AB$1,'Assumptions (CSP)'!$V$10,'Assumptions (CSP)'!$V$5*Model!$G$3539*AVERAGE('Assumptions (CSP)'!$C$2:$E$2)/10^9),0)</f>
        <v>0</v>
      </c>
      <c r="M3657" s="95">
        <f>IF($G$3539&gt;0,IPMT('Assumptions (CSP)'!$V$7,Model!AC$1,'Assumptions (CSP)'!$V$10,'Assumptions (CSP)'!$V$5*Model!$G$3539*AVERAGE('Assumptions (CSP)'!$C$2:$E$2)/10^9),0)</f>
        <v>0</v>
      </c>
      <c r="N3657" s="95">
        <f>IF($G$3539&gt;0,IPMT('Assumptions (CSP)'!$V$7,Model!AD$1,'Assumptions (CSP)'!$V$10,'Assumptions (CSP)'!$V$5*Model!$G$3539*AVERAGE('Assumptions (CSP)'!$C$2:$E$2)/10^9),0)</f>
        <v>0</v>
      </c>
      <c r="O3657" s="95">
        <f>IF($G$3539&gt;0,IPMT('Assumptions (CSP)'!$V$7,Model!AE$1,'Assumptions (CSP)'!$V$10,'Assumptions (CSP)'!$V$5*Model!$G$3539*AVERAGE('Assumptions (CSP)'!$C$2:$E$2)/10^9),0)</f>
        <v>0</v>
      </c>
      <c r="P3657" s="95">
        <f>IF($G$3539&gt;0,IPMT('Assumptions (CSP)'!$V$7,Model!AF$1,'Assumptions (CSP)'!$V$10,'Assumptions (CSP)'!$V$5*Model!$G$3539*AVERAGE('Assumptions (CSP)'!$C$2:$E$2)/10^9),0)</f>
        <v>0</v>
      </c>
      <c r="Q3657" s="95">
        <f>IF($G$3539&gt;0,IPMT('Assumptions (CSP)'!$V$7,Model!AG$1,'Assumptions (CSP)'!$V$10,'Assumptions (CSP)'!$V$5*Model!$G$3539*AVERAGE('Assumptions (CSP)'!$C$2:$E$2)/10^9),0)</f>
        <v>0</v>
      </c>
      <c r="R3657" s="95">
        <f>IF($G$3539&gt;0,IPMT('Assumptions (CSP)'!$V$7,Model!AH$1,'Assumptions (CSP)'!$V$10,'Assumptions (CSP)'!$V$5*Model!$G$3539*AVERAGE('Assumptions (CSP)'!$C$2:$E$2)/10^9),0)</f>
        <v>0</v>
      </c>
      <c r="S3657" s="95">
        <f>IF($G$3539&gt;0,IPMT('Assumptions (CSP)'!$V$7,Model!AI$1,'Assumptions (CSP)'!$V$10,'Assumptions (CSP)'!$V$5*Model!$G$3539*AVERAGE('Assumptions (CSP)'!$C$2:$E$2)/10^9),0)</f>
        <v>0</v>
      </c>
      <c r="T3657" s="95">
        <f>IF($G$3539&gt;0,IPMT('Assumptions (CSP)'!$V$7,Model!AJ$1,'Assumptions (CSP)'!$V$10,'Assumptions (CSP)'!$V$5*Model!$G$3539*AVERAGE('Assumptions (CSP)'!$C$2:$E$2)/10^9),0)</f>
        <v>0</v>
      </c>
      <c r="U3657" s="95">
        <f>IF($G$3539&gt;0,IPMT('Assumptions (CSP)'!$V$7,Model!AK$1,'Assumptions (CSP)'!$V$10,'Assumptions (CSP)'!$V$5*Model!$G$3539*AVERAGE('Assumptions (CSP)'!$C$2:$E$2)/10^9),0)</f>
        <v>0</v>
      </c>
      <c r="V3657" s="95"/>
      <c r="W3657" s="95"/>
      <c r="X3657" s="95"/>
      <c r="Y3657" s="95"/>
      <c r="Z3657" s="95"/>
      <c r="AA3657" s="95"/>
      <c r="AB3657" s="95"/>
      <c r="AC3657" s="95"/>
      <c r="AD3657" s="95"/>
      <c r="AE3657" s="95"/>
      <c r="AF3657" s="95"/>
      <c r="AG3657" s="95"/>
      <c r="AH3657" s="95"/>
      <c r="AI3657" s="95"/>
      <c r="AJ3657" s="95"/>
      <c r="AK3657" s="95"/>
      <c r="AL3657" s="95"/>
      <c r="AM3657" s="95"/>
      <c r="AN3657" s="95"/>
      <c r="AO3657" s="95"/>
      <c r="AP3657" s="95"/>
      <c r="AQ3657" s="95"/>
      <c r="AR3657" s="95"/>
      <c r="AS3657" s="95"/>
      <c r="AT3657" s="95"/>
      <c r="AU3657" s="95"/>
      <c r="AV3657" s="95"/>
      <c r="AW3657" s="95"/>
      <c r="AX3657" s="95"/>
      <c r="AY3657" s="95"/>
      <c r="AZ3657" s="95"/>
      <c r="BA3657" s="95"/>
    </row>
    <row r="3658" ht="15.75" hidden="1" customHeight="1">
      <c r="A3658" s="395"/>
      <c r="B3658" s="24"/>
      <c r="C3658" s="95"/>
      <c r="D3658" s="95"/>
      <c r="E3658" s="95"/>
      <c r="F3658" s="95"/>
      <c r="G3658" s="95"/>
      <c r="H3658" s="95">
        <f>IF($H$3539&gt;0,IPMT('Assumptions (CSP)'!$V$7,Model!W$1,'Assumptions (CSP)'!$V$10,'Assumptions (CSP)'!$V$5*Model!$H$3539*AVERAGE('Assumptions (CSP)'!$D$2:$F$2)/10^9),0)</f>
        <v>0</v>
      </c>
      <c r="I3658" s="95">
        <f>IF($H$3539&gt;0,IPMT('Assumptions (CSP)'!$V$7,Model!X$1,'Assumptions (CSP)'!$V$10,'Assumptions (CSP)'!$V$5*Model!$H$3539*AVERAGE('Assumptions (CSP)'!$D$2:$F$2)/10^9),0)</f>
        <v>0</v>
      </c>
      <c r="J3658" s="95">
        <f>IF($H$3539&gt;0,IPMT('Assumptions (CSP)'!$V$7,Model!Y$1,'Assumptions (CSP)'!$V$10,'Assumptions (CSP)'!$V$5*Model!$H$3539*AVERAGE('Assumptions (CSP)'!$D$2:$F$2)/10^9),0)</f>
        <v>0</v>
      </c>
      <c r="K3658" s="95">
        <f>IF($H$3539&gt;0,IPMT('Assumptions (CSP)'!$V$7,Model!Z$1,'Assumptions (CSP)'!$V$10,'Assumptions (CSP)'!$V$5*Model!$H$3539*AVERAGE('Assumptions (CSP)'!$D$2:$F$2)/10^9),0)</f>
        <v>0</v>
      </c>
      <c r="L3658" s="95">
        <f>IF($H$3539&gt;0,IPMT('Assumptions (CSP)'!$V$7,Model!AA$1,'Assumptions (CSP)'!$V$10,'Assumptions (CSP)'!$V$5*Model!$H$3539*AVERAGE('Assumptions (CSP)'!$D$2:$F$2)/10^9),0)</f>
        <v>0</v>
      </c>
      <c r="M3658" s="95">
        <f>IF($H$3539&gt;0,IPMT('Assumptions (CSP)'!$V$7,Model!AB$1,'Assumptions (CSP)'!$V$10,'Assumptions (CSP)'!$V$5*Model!$H$3539*AVERAGE('Assumptions (CSP)'!$D$2:$F$2)/10^9),0)</f>
        <v>0</v>
      </c>
      <c r="N3658" s="95">
        <f>IF($H$3539&gt;0,IPMT('Assumptions (CSP)'!$V$7,Model!AC$1,'Assumptions (CSP)'!$V$10,'Assumptions (CSP)'!$V$5*Model!$H$3539*AVERAGE('Assumptions (CSP)'!$D$2:$F$2)/10^9),0)</f>
        <v>0</v>
      </c>
      <c r="O3658" s="95">
        <f>IF($H$3539&gt;0,IPMT('Assumptions (CSP)'!$V$7,Model!AD$1,'Assumptions (CSP)'!$V$10,'Assumptions (CSP)'!$V$5*Model!$H$3539*AVERAGE('Assumptions (CSP)'!$D$2:$F$2)/10^9),0)</f>
        <v>0</v>
      </c>
      <c r="P3658" s="95">
        <f>IF($H$3539&gt;0,IPMT('Assumptions (CSP)'!$V$7,Model!AE$1,'Assumptions (CSP)'!$V$10,'Assumptions (CSP)'!$V$5*Model!$H$3539*AVERAGE('Assumptions (CSP)'!$D$2:$F$2)/10^9),0)</f>
        <v>0</v>
      </c>
      <c r="Q3658" s="95">
        <f>IF($H$3539&gt;0,IPMT('Assumptions (CSP)'!$V$7,Model!AF$1,'Assumptions (CSP)'!$V$10,'Assumptions (CSP)'!$V$5*Model!$H$3539*AVERAGE('Assumptions (CSP)'!$D$2:$F$2)/10^9),0)</f>
        <v>0</v>
      </c>
      <c r="R3658" s="95">
        <f>IF($H$3539&gt;0,IPMT('Assumptions (CSP)'!$V$7,Model!AG$1,'Assumptions (CSP)'!$V$10,'Assumptions (CSP)'!$V$5*Model!$H$3539*AVERAGE('Assumptions (CSP)'!$D$2:$F$2)/10^9),0)</f>
        <v>0</v>
      </c>
      <c r="S3658" s="95">
        <f>IF($H$3539&gt;0,IPMT('Assumptions (CSP)'!$V$7,Model!AH$1,'Assumptions (CSP)'!$V$10,'Assumptions (CSP)'!$V$5*Model!$H$3539*AVERAGE('Assumptions (CSP)'!$D$2:$F$2)/10^9),0)</f>
        <v>0</v>
      </c>
      <c r="T3658" s="95">
        <f>IF($H$3539&gt;0,IPMT('Assumptions (CSP)'!$V$7,Model!AI$1,'Assumptions (CSP)'!$V$10,'Assumptions (CSP)'!$V$5*Model!$H$3539*AVERAGE('Assumptions (CSP)'!$D$2:$F$2)/10^9),0)</f>
        <v>0</v>
      </c>
      <c r="U3658" s="95">
        <f>IF($H$3539&gt;0,IPMT('Assumptions (CSP)'!$V$7,Model!AJ$1,'Assumptions (CSP)'!$V$10,'Assumptions (CSP)'!$V$5*Model!$H$3539*AVERAGE('Assumptions (CSP)'!$D$2:$F$2)/10^9),0)</f>
        <v>0</v>
      </c>
      <c r="V3658" s="95">
        <f>IF($H$3539&gt;0,IPMT('Assumptions (CSP)'!$V$7,Model!AK$1,'Assumptions (CSP)'!$V$10,'Assumptions (CSP)'!$V$5*Model!$H$3539*AVERAGE('Assumptions (CSP)'!$D$2:$F$2)/10^9),0)</f>
        <v>0</v>
      </c>
      <c r="W3658" s="95"/>
      <c r="X3658" s="95"/>
      <c r="Y3658" s="95"/>
      <c r="Z3658" s="95"/>
      <c r="AA3658" s="95"/>
      <c r="AB3658" s="95"/>
      <c r="AC3658" s="95"/>
      <c r="AD3658" s="95"/>
      <c r="AE3658" s="95"/>
      <c r="AF3658" s="95"/>
      <c r="AG3658" s="95"/>
      <c r="AH3658" s="95"/>
      <c r="AI3658" s="95"/>
      <c r="AJ3658" s="95"/>
      <c r="AK3658" s="95"/>
      <c r="AL3658" s="95"/>
      <c r="AM3658" s="95"/>
      <c r="AN3658" s="95"/>
      <c r="AO3658" s="95"/>
      <c r="AP3658" s="95"/>
      <c r="AQ3658" s="95"/>
      <c r="AR3658" s="95"/>
      <c r="AS3658" s="95"/>
      <c r="AT3658" s="95"/>
      <c r="AU3658" s="95"/>
      <c r="AV3658" s="95"/>
      <c r="AW3658" s="95"/>
      <c r="AX3658" s="95"/>
      <c r="AY3658" s="95"/>
      <c r="AZ3658" s="95"/>
      <c r="BA3658" s="95"/>
    </row>
    <row r="3659" ht="15.75" hidden="1" customHeight="1">
      <c r="A3659" s="395"/>
      <c r="B3659" s="24"/>
      <c r="C3659" s="95"/>
      <c r="D3659" s="95"/>
      <c r="E3659" s="95"/>
      <c r="F3659" s="95"/>
      <c r="G3659" s="95"/>
      <c r="H3659" s="95"/>
      <c r="I3659" s="95">
        <f>IF($I$3539&gt;0,IPMT('Assumptions (CSP)'!$V$7,Model!W$1,'Assumptions (CSP)'!$V$10,'Assumptions (CSP)'!$V$5*Model!$I$3539*AVERAGE('Assumptions (CSP)'!$E$2:$G$2)/10^9),0)</f>
        <v>0</v>
      </c>
      <c r="J3659" s="95">
        <f>IF($I$3539&gt;0,IPMT('Assumptions (CSP)'!$V$7,Model!X$1,'Assumptions (CSP)'!$V$10,'Assumptions (CSP)'!$V$5*Model!$I$3539*AVERAGE('Assumptions (CSP)'!$E$2:$G$2)/10^9),0)</f>
        <v>0</v>
      </c>
      <c r="K3659" s="95">
        <f>IF($I$3539&gt;0,IPMT('Assumptions (CSP)'!$V$7,Model!Y$1,'Assumptions (CSP)'!$V$10,'Assumptions (CSP)'!$V$5*Model!$I$3539*AVERAGE('Assumptions (CSP)'!$E$2:$G$2)/10^9),0)</f>
        <v>0</v>
      </c>
      <c r="L3659" s="95">
        <f>IF($I$3539&gt;0,IPMT('Assumptions (CSP)'!$V$7,Model!Z$1,'Assumptions (CSP)'!$V$10,'Assumptions (CSP)'!$V$5*Model!$I$3539*AVERAGE('Assumptions (CSP)'!$E$2:$G$2)/10^9),0)</f>
        <v>0</v>
      </c>
      <c r="M3659" s="95">
        <f>IF($I$3539&gt;0,IPMT('Assumptions (CSP)'!$V$7,Model!AA$1,'Assumptions (CSP)'!$V$10,'Assumptions (CSP)'!$V$5*Model!$I$3539*AVERAGE('Assumptions (CSP)'!$E$2:$G$2)/10^9),0)</f>
        <v>0</v>
      </c>
      <c r="N3659" s="95">
        <f>IF($I$3539&gt;0,IPMT('Assumptions (CSP)'!$V$7,Model!AB$1,'Assumptions (CSP)'!$V$10,'Assumptions (CSP)'!$V$5*Model!$I$3539*AVERAGE('Assumptions (CSP)'!$E$2:$G$2)/10^9),0)</f>
        <v>0</v>
      </c>
      <c r="O3659" s="95">
        <f>IF($I$3539&gt;0,IPMT('Assumptions (CSP)'!$V$7,Model!AC$1,'Assumptions (CSP)'!$V$10,'Assumptions (CSP)'!$V$5*Model!$I$3539*AVERAGE('Assumptions (CSP)'!$E$2:$G$2)/10^9),0)</f>
        <v>0</v>
      </c>
      <c r="P3659" s="95">
        <f>IF($I$3539&gt;0,IPMT('Assumptions (CSP)'!$V$7,Model!AD$1,'Assumptions (CSP)'!$V$10,'Assumptions (CSP)'!$V$5*Model!$I$3539*AVERAGE('Assumptions (CSP)'!$E$2:$G$2)/10^9),0)</f>
        <v>0</v>
      </c>
      <c r="Q3659" s="95">
        <f>IF($I$3539&gt;0,IPMT('Assumptions (CSP)'!$V$7,Model!AE$1,'Assumptions (CSP)'!$V$10,'Assumptions (CSP)'!$V$5*Model!$I$3539*AVERAGE('Assumptions (CSP)'!$E$2:$G$2)/10^9),0)</f>
        <v>0</v>
      </c>
      <c r="R3659" s="95">
        <f>IF($I$3539&gt;0,IPMT('Assumptions (CSP)'!$V$7,Model!AF$1,'Assumptions (CSP)'!$V$10,'Assumptions (CSP)'!$V$5*Model!$I$3539*AVERAGE('Assumptions (CSP)'!$E$2:$G$2)/10^9),0)</f>
        <v>0</v>
      </c>
      <c r="S3659" s="95">
        <f>IF($I$3539&gt;0,IPMT('Assumptions (CSP)'!$V$7,Model!AG$1,'Assumptions (CSP)'!$V$10,'Assumptions (CSP)'!$V$5*Model!$I$3539*AVERAGE('Assumptions (CSP)'!$E$2:$G$2)/10^9),0)</f>
        <v>0</v>
      </c>
      <c r="T3659" s="95">
        <f>IF($I$3539&gt;0,IPMT('Assumptions (CSP)'!$V$7,Model!AH$1,'Assumptions (CSP)'!$V$10,'Assumptions (CSP)'!$V$5*Model!$I$3539*AVERAGE('Assumptions (CSP)'!$E$2:$G$2)/10^9),0)</f>
        <v>0</v>
      </c>
      <c r="U3659" s="95">
        <f>IF($I$3539&gt;0,IPMT('Assumptions (CSP)'!$V$7,Model!AI$1,'Assumptions (CSP)'!$V$10,'Assumptions (CSP)'!$V$5*Model!$I$3539*AVERAGE('Assumptions (CSP)'!$E$2:$G$2)/10^9),0)</f>
        <v>0</v>
      </c>
      <c r="V3659" s="95">
        <f>IF($I$3539&gt;0,IPMT('Assumptions (CSP)'!$V$7,Model!AJ$1,'Assumptions (CSP)'!$V$10,'Assumptions (CSP)'!$V$5*Model!$I$3539*AVERAGE('Assumptions (CSP)'!$E$2:$G$2)/10^9),0)</f>
        <v>0</v>
      </c>
      <c r="W3659" s="95">
        <f>IF($I$3539&gt;0,IPMT('Assumptions (CSP)'!$V$7,Model!AK$1,'Assumptions (CSP)'!$V$10,'Assumptions (CSP)'!$V$5*Model!$I$3539*AVERAGE('Assumptions (CSP)'!$E$2:$G$2)/10^9),0)</f>
        <v>0</v>
      </c>
      <c r="X3659" s="95"/>
      <c r="Y3659" s="95"/>
      <c r="Z3659" s="95"/>
      <c r="AA3659" s="95"/>
      <c r="AB3659" s="95"/>
      <c r="AC3659" s="95"/>
      <c r="AD3659" s="95"/>
      <c r="AE3659" s="95"/>
      <c r="AF3659" s="95"/>
      <c r="AG3659" s="95"/>
      <c r="AH3659" s="95"/>
      <c r="AI3659" s="95"/>
      <c r="AJ3659" s="95"/>
      <c r="AK3659" s="95"/>
      <c r="AL3659" s="95"/>
      <c r="AM3659" s="95"/>
      <c r="AN3659" s="95"/>
      <c r="AO3659" s="95"/>
      <c r="AP3659" s="95"/>
      <c r="AQ3659" s="95"/>
      <c r="AR3659" s="95"/>
      <c r="AS3659" s="95"/>
      <c r="AT3659" s="95"/>
      <c r="AU3659" s="95"/>
      <c r="AV3659" s="95"/>
      <c r="AW3659" s="95"/>
      <c r="AX3659" s="95"/>
      <c r="AY3659" s="95"/>
      <c r="AZ3659" s="95"/>
      <c r="BA3659" s="95"/>
    </row>
    <row r="3660" ht="15.75" hidden="1" customHeight="1">
      <c r="A3660" s="395"/>
      <c r="B3660" s="24"/>
      <c r="C3660" s="95"/>
      <c r="D3660" s="95"/>
      <c r="E3660" s="95"/>
      <c r="F3660" s="95"/>
      <c r="G3660" s="95"/>
      <c r="H3660" s="95"/>
      <c r="I3660" s="95"/>
      <c r="J3660" s="95">
        <f>IF($J$3539&gt;0,IPMT('Assumptions (CSP)'!$V$7,Model!W$1,'Assumptions (CSP)'!$V$10,'Assumptions (CSP)'!$V$5*Model!$J$3539*AVERAGE('Assumptions (CSP)'!$F$2:$H$2)/10^9),0)</f>
        <v>0</v>
      </c>
      <c r="K3660" s="95">
        <f>IF($J$3539&gt;0,IPMT('Assumptions (CSP)'!$V$7,Model!X$1,'Assumptions (CSP)'!$V$10,'Assumptions (CSP)'!$V$5*Model!$J$3539*AVERAGE('Assumptions (CSP)'!$F$2:$H$2)/10^9),0)</f>
        <v>0</v>
      </c>
      <c r="L3660" s="95">
        <f>IF($J$3539&gt;0,IPMT('Assumptions (CSP)'!$V$7,Model!Y$1,'Assumptions (CSP)'!$V$10,'Assumptions (CSP)'!$V$5*Model!$J$3539*AVERAGE('Assumptions (CSP)'!$F$2:$H$2)/10^9),0)</f>
        <v>0</v>
      </c>
      <c r="M3660" s="95">
        <f>IF($J$3539&gt;0,IPMT('Assumptions (CSP)'!$V$7,Model!Z$1,'Assumptions (CSP)'!$V$10,'Assumptions (CSP)'!$V$5*Model!$J$3539*AVERAGE('Assumptions (CSP)'!$F$2:$H$2)/10^9),0)</f>
        <v>0</v>
      </c>
      <c r="N3660" s="95">
        <f>IF($J$3539&gt;0,IPMT('Assumptions (CSP)'!$V$7,Model!AA$1,'Assumptions (CSP)'!$V$10,'Assumptions (CSP)'!$V$5*Model!$J$3539*AVERAGE('Assumptions (CSP)'!$F$2:$H$2)/10^9),0)</f>
        <v>0</v>
      </c>
      <c r="O3660" s="95">
        <f>IF($J$3539&gt;0,IPMT('Assumptions (CSP)'!$V$7,Model!AB$1,'Assumptions (CSP)'!$V$10,'Assumptions (CSP)'!$V$5*Model!$J$3539*AVERAGE('Assumptions (CSP)'!$F$2:$H$2)/10^9),0)</f>
        <v>0</v>
      </c>
      <c r="P3660" s="95">
        <f>IF($J$3539&gt;0,IPMT('Assumptions (CSP)'!$V$7,Model!AC$1,'Assumptions (CSP)'!$V$10,'Assumptions (CSP)'!$V$5*Model!$J$3539*AVERAGE('Assumptions (CSP)'!$F$2:$H$2)/10^9),0)</f>
        <v>0</v>
      </c>
      <c r="Q3660" s="95">
        <f>IF($J$3539&gt;0,IPMT('Assumptions (CSP)'!$V$7,Model!AD$1,'Assumptions (CSP)'!$V$10,'Assumptions (CSP)'!$V$5*Model!$J$3539*AVERAGE('Assumptions (CSP)'!$F$2:$H$2)/10^9),0)</f>
        <v>0</v>
      </c>
      <c r="R3660" s="95">
        <f>IF($J$3539&gt;0,IPMT('Assumptions (CSP)'!$V$7,Model!AE$1,'Assumptions (CSP)'!$V$10,'Assumptions (CSP)'!$V$5*Model!$J$3539*AVERAGE('Assumptions (CSP)'!$F$2:$H$2)/10^9),0)</f>
        <v>0</v>
      </c>
      <c r="S3660" s="95">
        <f>IF($J$3539&gt;0,IPMT('Assumptions (CSP)'!$V$7,Model!AF$1,'Assumptions (CSP)'!$V$10,'Assumptions (CSP)'!$V$5*Model!$J$3539*AVERAGE('Assumptions (CSP)'!$F$2:$H$2)/10^9),0)</f>
        <v>0</v>
      </c>
      <c r="T3660" s="95">
        <f>IF($J$3539&gt;0,IPMT('Assumptions (CSP)'!$V$7,Model!AG$1,'Assumptions (CSP)'!$V$10,'Assumptions (CSP)'!$V$5*Model!$J$3539*AVERAGE('Assumptions (CSP)'!$F$2:$H$2)/10^9),0)</f>
        <v>0</v>
      </c>
      <c r="U3660" s="95">
        <f>IF($J$3539&gt;0,IPMT('Assumptions (CSP)'!$V$7,Model!AH$1,'Assumptions (CSP)'!$V$10,'Assumptions (CSP)'!$V$5*Model!$J$3539*AVERAGE('Assumptions (CSP)'!$F$2:$H$2)/10^9),0)</f>
        <v>0</v>
      </c>
      <c r="V3660" s="95">
        <f>IF($J$3539&gt;0,IPMT('Assumptions (CSP)'!$V$7,Model!AI$1,'Assumptions (CSP)'!$V$10,'Assumptions (CSP)'!$V$5*Model!$J$3539*AVERAGE('Assumptions (CSP)'!$F$2:$H$2)/10^9),0)</f>
        <v>0</v>
      </c>
      <c r="W3660" s="95">
        <f>IF($J$3539&gt;0,IPMT('Assumptions (CSP)'!$V$7,Model!AJ$1,'Assumptions (CSP)'!$V$10,'Assumptions (CSP)'!$V$5*Model!$J$3539*AVERAGE('Assumptions (CSP)'!$F$2:$H$2)/10^9),0)</f>
        <v>0</v>
      </c>
      <c r="X3660" s="95">
        <f>IF($J$3539&gt;0,IPMT('Assumptions (CSP)'!$V$7,Model!AK$1,'Assumptions (CSP)'!$V$10,'Assumptions (CSP)'!$V$5*Model!$J$3539*AVERAGE('Assumptions (CSP)'!$F$2:$H$2)/10^9),0)</f>
        <v>0</v>
      </c>
      <c r="Y3660" s="95"/>
      <c r="Z3660" s="95"/>
      <c r="AA3660" s="95"/>
      <c r="AB3660" s="95"/>
      <c r="AC3660" s="95"/>
      <c r="AD3660" s="95"/>
      <c r="AE3660" s="95"/>
      <c r="AF3660" s="95"/>
      <c r="AG3660" s="95"/>
      <c r="AH3660" s="95"/>
      <c r="AI3660" s="95"/>
      <c r="AJ3660" s="95"/>
      <c r="AK3660" s="95"/>
      <c r="AL3660" s="95"/>
      <c r="AM3660" s="95"/>
      <c r="AN3660" s="95"/>
      <c r="AO3660" s="95"/>
      <c r="AP3660" s="95"/>
      <c r="AQ3660" s="95"/>
      <c r="AR3660" s="95"/>
      <c r="AS3660" s="95"/>
      <c r="AT3660" s="95"/>
      <c r="AU3660" s="95"/>
      <c r="AV3660" s="95"/>
      <c r="AW3660" s="95"/>
      <c r="AX3660" s="95"/>
      <c r="AY3660" s="95"/>
      <c r="AZ3660" s="95"/>
      <c r="BA3660" s="95"/>
    </row>
    <row r="3661" ht="15.75" hidden="1" customHeight="1">
      <c r="A3661" s="395"/>
      <c r="B3661" s="24"/>
      <c r="C3661" s="95"/>
      <c r="D3661" s="95"/>
      <c r="E3661" s="95"/>
      <c r="F3661" s="95"/>
      <c r="G3661" s="95"/>
      <c r="H3661" s="95"/>
      <c r="I3661" s="95"/>
      <c r="J3661" s="95"/>
      <c r="K3661" s="95">
        <f>IF($K$3539&gt;0,IPMT('Assumptions (CSP)'!$V$7,Model!W$1,'Assumptions (CSP)'!$V$10,'Assumptions (CSP)'!$V$5*Model!$K$3539*AVERAGE('Assumptions (CSP)'!$G$2:$I$2)/10^9),0)</f>
        <v>0</v>
      </c>
      <c r="L3661" s="95">
        <f>IF($K$3539&gt;0,IPMT('Assumptions (CSP)'!$V$7,Model!X$1,'Assumptions (CSP)'!$V$10,'Assumptions (CSP)'!$V$5*Model!$K$3539*AVERAGE('Assumptions (CSP)'!$G$2:$I$2)/10^9),0)</f>
        <v>0</v>
      </c>
      <c r="M3661" s="95">
        <f>IF($K$3539&gt;0,IPMT('Assumptions (CSP)'!$V$7,Model!Y$1,'Assumptions (CSP)'!$V$10,'Assumptions (CSP)'!$V$5*Model!$K$3539*AVERAGE('Assumptions (CSP)'!$G$2:$I$2)/10^9),0)</f>
        <v>0</v>
      </c>
      <c r="N3661" s="95">
        <f>IF($K$3539&gt;0,IPMT('Assumptions (CSP)'!$V$7,Model!Z$1,'Assumptions (CSP)'!$V$10,'Assumptions (CSP)'!$V$5*Model!$K$3539*AVERAGE('Assumptions (CSP)'!$G$2:$I$2)/10^9),0)</f>
        <v>0</v>
      </c>
      <c r="O3661" s="95">
        <f>IF($K$3539&gt;0,IPMT('Assumptions (CSP)'!$V$7,Model!AA$1,'Assumptions (CSP)'!$V$10,'Assumptions (CSP)'!$V$5*Model!$K$3539*AVERAGE('Assumptions (CSP)'!$G$2:$I$2)/10^9),0)</f>
        <v>0</v>
      </c>
      <c r="P3661" s="95">
        <f>IF($K$3539&gt;0,IPMT('Assumptions (CSP)'!$V$7,Model!AB$1,'Assumptions (CSP)'!$V$10,'Assumptions (CSP)'!$V$5*Model!$K$3539*AVERAGE('Assumptions (CSP)'!$G$2:$I$2)/10^9),0)</f>
        <v>0</v>
      </c>
      <c r="Q3661" s="95">
        <f>IF($K$3539&gt;0,IPMT('Assumptions (CSP)'!$V$7,Model!AC$1,'Assumptions (CSP)'!$V$10,'Assumptions (CSP)'!$V$5*Model!$K$3539*AVERAGE('Assumptions (CSP)'!$G$2:$I$2)/10^9),0)</f>
        <v>0</v>
      </c>
      <c r="R3661" s="95">
        <f>IF($K$3539&gt;0,IPMT('Assumptions (CSP)'!$V$7,Model!AD$1,'Assumptions (CSP)'!$V$10,'Assumptions (CSP)'!$V$5*Model!$K$3539*AVERAGE('Assumptions (CSP)'!$G$2:$I$2)/10^9),0)</f>
        <v>0</v>
      </c>
      <c r="S3661" s="95">
        <f>IF($K$3539&gt;0,IPMT('Assumptions (CSP)'!$V$7,Model!AE$1,'Assumptions (CSP)'!$V$10,'Assumptions (CSP)'!$V$5*Model!$K$3539*AVERAGE('Assumptions (CSP)'!$G$2:$I$2)/10^9),0)</f>
        <v>0</v>
      </c>
      <c r="T3661" s="95">
        <f>IF($K$3539&gt;0,IPMT('Assumptions (CSP)'!$V$7,Model!AF$1,'Assumptions (CSP)'!$V$10,'Assumptions (CSP)'!$V$5*Model!$K$3539*AVERAGE('Assumptions (CSP)'!$G$2:$I$2)/10^9),0)</f>
        <v>0</v>
      </c>
      <c r="U3661" s="95">
        <f>IF($K$3539&gt;0,IPMT('Assumptions (CSP)'!$V$7,Model!AG$1,'Assumptions (CSP)'!$V$10,'Assumptions (CSP)'!$V$5*Model!$K$3539*AVERAGE('Assumptions (CSP)'!$G$2:$I$2)/10^9),0)</f>
        <v>0</v>
      </c>
      <c r="V3661" s="95">
        <f>IF($K$3539&gt;0,IPMT('Assumptions (CSP)'!$V$7,Model!AH$1,'Assumptions (CSP)'!$V$10,'Assumptions (CSP)'!$V$5*Model!$K$3539*AVERAGE('Assumptions (CSP)'!$G$2:$I$2)/10^9),0)</f>
        <v>0</v>
      </c>
      <c r="W3661" s="95">
        <f>IF($K$3539&gt;0,IPMT('Assumptions (CSP)'!$V$7,Model!AI$1,'Assumptions (CSP)'!$V$10,'Assumptions (CSP)'!$V$5*Model!$K$3539*AVERAGE('Assumptions (CSP)'!$G$2:$I$2)/10^9),0)</f>
        <v>0</v>
      </c>
      <c r="X3661" s="95">
        <f>IF($K$3539&gt;0,IPMT('Assumptions (CSP)'!$V$7,Model!AJ$1,'Assumptions (CSP)'!$V$10,'Assumptions (CSP)'!$V$5*Model!$K$3539*AVERAGE('Assumptions (CSP)'!$G$2:$I$2)/10^9),0)</f>
        <v>0</v>
      </c>
      <c r="Y3661" s="95">
        <f>IF($K$3539&gt;0,IPMT('Assumptions (CSP)'!$V$7,Model!AK$1,'Assumptions (CSP)'!$V$10,'Assumptions (CSP)'!$V$5*Model!$K$3539*AVERAGE('Assumptions (CSP)'!$G$2:$I$2)/10^9),0)</f>
        <v>0</v>
      </c>
      <c r="Z3661" s="95"/>
      <c r="AA3661" s="95"/>
      <c r="AB3661" s="95"/>
      <c r="AC3661" s="95"/>
      <c r="AD3661" s="95"/>
      <c r="AE3661" s="95"/>
      <c r="AF3661" s="95"/>
      <c r="AG3661" s="95"/>
      <c r="AH3661" s="95"/>
      <c r="AI3661" s="95"/>
      <c r="AJ3661" s="95"/>
      <c r="AK3661" s="95"/>
      <c r="AL3661" s="95"/>
      <c r="AM3661" s="95"/>
      <c r="AN3661" s="95"/>
      <c r="AO3661" s="95"/>
      <c r="AP3661" s="95"/>
      <c r="AQ3661" s="95"/>
      <c r="AR3661" s="95"/>
      <c r="AS3661" s="95"/>
      <c r="AT3661" s="95"/>
      <c r="AU3661" s="95"/>
      <c r="AV3661" s="95"/>
      <c r="AW3661" s="95"/>
      <c r="AX3661" s="95"/>
      <c r="AY3661" s="95"/>
      <c r="AZ3661" s="95"/>
      <c r="BA3661" s="95"/>
    </row>
    <row r="3662" ht="15.75" hidden="1" customHeight="1">
      <c r="A3662" s="395"/>
      <c r="B3662" s="24"/>
      <c r="C3662" s="95"/>
      <c r="D3662" s="95"/>
      <c r="E3662" s="95"/>
      <c r="F3662" s="95"/>
      <c r="G3662" s="95"/>
      <c r="H3662" s="95"/>
      <c r="I3662" s="95"/>
      <c r="J3662" s="95"/>
      <c r="K3662" s="95"/>
      <c r="L3662" s="95">
        <f>IF($L$3539&gt;0,IPMT('Assumptions (CSP)'!$V$7,Model!W$1,'Assumptions (CSP)'!$V$10,'Assumptions (CSP)'!$V$5*Model!$L$3539*AVERAGE('Assumptions (CSP)'!$H$2:$J$2)/10^9),0)</f>
        <v>0</v>
      </c>
      <c r="M3662" s="95">
        <f>IF($L$3539&gt;0,IPMT('Assumptions (CSP)'!$V$7,Model!X$1,'Assumptions (CSP)'!$V$10,'Assumptions (CSP)'!$V$5*Model!$L$3539*AVERAGE('Assumptions (CSP)'!$H$2:$J$2)/10^9),0)</f>
        <v>0</v>
      </c>
      <c r="N3662" s="95">
        <f>IF($L$3539&gt;0,IPMT('Assumptions (CSP)'!$V$7,Model!Y$1,'Assumptions (CSP)'!$V$10,'Assumptions (CSP)'!$V$5*Model!$L$3539*AVERAGE('Assumptions (CSP)'!$H$2:$J$2)/10^9),0)</f>
        <v>0</v>
      </c>
      <c r="O3662" s="95">
        <f>IF($L$3539&gt;0,IPMT('Assumptions (CSP)'!$V$7,Model!Z$1,'Assumptions (CSP)'!$V$10,'Assumptions (CSP)'!$V$5*Model!$L$3539*AVERAGE('Assumptions (CSP)'!$H$2:$J$2)/10^9),0)</f>
        <v>0</v>
      </c>
      <c r="P3662" s="95">
        <f>IF($L$3539&gt;0,IPMT('Assumptions (CSP)'!$V$7,Model!AA$1,'Assumptions (CSP)'!$V$10,'Assumptions (CSP)'!$V$5*Model!$L$3539*AVERAGE('Assumptions (CSP)'!$H$2:$J$2)/10^9),0)</f>
        <v>0</v>
      </c>
      <c r="Q3662" s="95">
        <f>IF($L$3539&gt;0,IPMT('Assumptions (CSP)'!$V$7,Model!AB$1,'Assumptions (CSP)'!$V$10,'Assumptions (CSP)'!$V$5*Model!$L$3539*AVERAGE('Assumptions (CSP)'!$H$2:$J$2)/10^9),0)</f>
        <v>0</v>
      </c>
      <c r="R3662" s="95">
        <f>IF($L$3539&gt;0,IPMT('Assumptions (CSP)'!$V$7,Model!AC$1,'Assumptions (CSP)'!$V$10,'Assumptions (CSP)'!$V$5*Model!$L$3539*AVERAGE('Assumptions (CSP)'!$H$2:$J$2)/10^9),0)</f>
        <v>0</v>
      </c>
      <c r="S3662" s="95">
        <f>IF($L$3539&gt;0,IPMT('Assumptions (CSP)'!$V$7,Model!AD$1,'Assumptions (CSP)'!$V$10,'Assumptions (CSP)'!$V$5*Model!$L$3539*AVERAGE('Assumptions (CSP)'!$H$2:$J$2)/10^9),0)</f>
        <v>0</v>
      </c>
      <c r="T3662" s="95">
        <f>IF($L$3539&gt;0,IPMT('Assumptions (CSP)'!$V$7,Model!AE$1,'Assumptions (CSP)'!$V$10,'Assumptions (CSP)'!$V$5*Model!$L$3539*AVERAGE('Assumptions (CSP)'!$H$2:$J$2)/10^9),0)</f>
        <v>0</v>
      </c>
      <c r="U3662" s="95">
        <f>IF($L$3539&gt;0,IPMT('Assumptions (CSP)'!$V$7,Model!AF$1,'Assumptions (CSP)'!$V$10,'Assumptions (CSP)'!$V$5*Model!$L$3539*AVERAGE('Assumptions (CSP)'!$H$2:$J$2)/10^9),0)</f>
        <v>0</v>
      </c>
      <c r="V3662" s="95">
        <f>IF($L$3539&gt;0,IPMT('Assumptions (CSP)'!$V$7,Model!AG$1,'Assumptions (CSP)'!$V$10,'Assumptions (CSP)'!$V$5*Model!$L$3539*AVERAGE('Assumptions (CSP)'!$H$2:$J$2)/10^9),0)</f>
        <v>0</v>
      </c>
      <c r="W3662" s="95">
        <f>IF($L$3539&gt;0,IPMT('Assumptions (CSP)'!$V$7,Model!AH$1,'Assumptions (CSP)'!$V$10,'Assumptions (CSP)'!$V$5*Model!$L$3539*AVERAGE('Assumptions (CSP)'!$H$2:$J$2)/10^9),0)</f>
        <v>0</v>
      </c>
      <c r="X3662" s="95">
        <f>IF($L$3539&gt;0,IPMT('Assumptions (CSP)'!$V$7,Model!AI$1,'Assumptions (CSP)'!$V$10,'Assumptions (CSP)'!$V$5*Model!$L$3539*AVERAGE('Assumptions (CSP)'!$H$2:$J$2)/10^9),0)</f>
        <v>0</v>
      </c>
      <c r="Y3662" s="95">
        <f>IF($L$3539&gt;0,IPMT('Assumptions (CSP)'!$V$7,Model!AJ$1,'Assumptions (CSP)'!$V$10,'Assumptions (CSP)'!$V$5*Model!$L$3539*AVERAGE('Assumptions (CSP)'!$H$2:$J$2)/10^9),0)</f>
        <v>0</v>
      </c>
      <c r="Z3662" s="95">
        <f>IF($L$3539&gt;0,IPMT('Assumptions (CSP)'!$V$7,Model!AK$1,'Assumptions (CSP)'!$V$10,'Assumptions (CSP)'!$V$5*Model!$L$3539*AVERAGE('Assumptions (CSP)'!$H$2:$J$2)/10^9),0)</f>
        <v>0</v>
      </c>
      <c r="AA3662" s="95"/>
      <c r="AB3662" s="95"/>
      <c r="AC3662" s="95"/>
      <c r="AD3662" s="95"/>
      <c r="AE3662" s="95"/>
      <c r="AF3662" s="95"/>
      <c r="AG3662" s="95"/>
      <c r="AH3662" s="95"/>
      <c r="AI3662" s="95"/>
      <c r="AJ3662" s="95"/>
      <c r="AK3662" s="95"/>
      <c r="AL3662" s="95"/>
      <c r="AM3662" s="95"/>
      <c r="AN3662" s="95"/>
      <c r="AO3662" s="95"/>
      <c r="AP3662" s="95"/>
      <c r="AQ3662" s="95"/>
      <c r="AR3662" s="95"/>
      <c r="AS3662" s="95"/>
      <c r="AT3662" s="95"/>
      <c r="AU3662" s="95"/>
      <c r="AV3662" s="95"/>
      <c r="AW3662" s="95"/>
      <c r="AX3662" s="95"/>
      <c r="AY3662" s="95"/>
      <c r="AZ3662" s="95"/>
      <c r="BA3662" s="95"/>
    </row>
    <row r="3663" ht="15.75" hidden="1" customHeight="1">
      <c r="A3663" s="395"/>
      <c r="B3663" s="24"/>
      <c r="C3663" s="95"/>
      <c r="D3663" s="95"/>
      <c r="E3663" s="95"/>
      <c r="F3663" s="95"/>
      <c r="G3663" s="95"/>
      <c r="H3663" s="95"/>
      <c r="I3663" s="95"/>
      <c r="J3663" s="95"/>
      <c r="K3663" s="95"/>
      <c r="L3663" s="95"/>
      <c r="M3663" s="95">
        <f>IF($M$3539&gt;0,IPMT('Assumptions (CSP)'!$V$7,Model!W$1,'Assumptions (CSP)'!$V$10,'Assumptions (CSP)'!$V$5*Model!$M$3539*AVERAGE('Assumptions (CSP)'!$I$2:$K$2)/10^9),0)</f>
        <v>0</v>
      </c>
      <c r="N3663" s="95">
        <f>IF($M$3539&gt;0,IPMT('Assumptions (CSP)'!$V$7,Model!X$1,'Assumptions (CSP)'!$V$10,'Assumptions (CSP)'!$V$5*Model!$M$3539*AVERAGE('Assumptions (CSP)'!$I$2:$K$2)/10^9),0)</f>
        <v>0</v>
      </c>
      <c r="O3663" s="95">
        <f>IF($M$3539&gt;0,IPMT('Assumptions (CSP)'!$V$7,Model!Y$1,'Assumptions (CSP)'!$V$10,'Assumptions (CSP)'!$V$5*Model!$M$3539*AVERAGE('Assumptions (CSP)'!$I$2:$K$2)/10^9),0)</f>
        <v>0</v>
      </c>
      <c r="P3663" s="95">
        <f>IF($M$3539&gt;0,IPMT('Assumptions (CSP)'!$V$7,Model!Z$1,'Assumptions (CSP)'!$V$10,'Assumptions (CSP)'!$V$5*Model!$M$3539*AVERAGE('Assumptions (CSP)'!$I$2:$K$2)/10^9),0)</f>
        <v>0</v>
      </c>
      <c r="Q3663" s="95">
        <f>IF($M$3539&gt;0,IPMT('Assumptions (CSP)'!$V$7,Model!AA$1,'Assumptions (CSP)'!$V$10,'Assumptions (CSP)'!$V$5*Model!$M$3539*AVERAGE('Assumptions (CSP)'!$I$2:$K$2)/10^9),0)</f>
        <v>0</v>
      </c>
      <c r="R3663" s="95">
        <f>IF($M$3539&gt;0,IPMT('Assumptions (CSP)'!$V$7,Model!AB$1,'Assumptions (CSP)'!$V$10,'Assumptions (CSP)'!$V$5*Model!$M$3539*AVERAGE('Assumptions (CSP)'!$I$2:$K$2)/10^9),0)</f>
        <v>0</v>
      </c>
      <c r="S3663" s="95">
        <f>IF($M$3539&gt;0,IPMT('Assumptions (CSP)'!$V$7,Model!AC$1,'Assumptions (CSP)'!$V$10,'Assumptions (CSP)'!$V$5*Model!$M$3539*AVERAGE('Assumptions (CSP)'!$I$2:$K$2)/10^9),0)</f>
        <v>0</v>
      </c>
      <c r="T3663" s="95">
        <f>IF($M$3539&gt;0,IPMT('Assumptions (CSP)'!$V$7,Model!AD$1,'Assumptions (CSP)'!$V$10,'Assumptions (CSP)'!$V$5*Model!$M$3539*AVERAGE('Assumptions (CSP)'!$I$2:$K$2)/10^9),0)</f>
        <v>0</v>
      </c>
      <c r="U3663" s="95">
        <f>IF($M$3539&gt;0,IPMT('Assumptions (CSP)'!$V$7,Model!AE$1,'Assumptions (CSP)'!$V$10,'Assumptions (CSP)'!$V$5*Model!$M$3539*AVERAGE('Assumptions (CSP)'!$I$2:$K$2)/10^9),0)</f>
        <v>0</v>
      </c>
      <c r="V3663" s="95">
        <f>IF($M$3539&gt;0,IPMT('Assumptions (CSP)'!$V$7,Model!AF$1,'Assumptions (CSP)'!$V$10,'Assumptions (CSP)'!$V$5*Model!$M$3539*AVERAGE('Assumptions (CSP)'!$I$2:$K$2)/10^9),0)</f>
        <v>0</v>
      </c>
      <c r="W3663" s="95">
        <f>IF($M$3539&gt;0,IPMT('Assumptions (CSP)'!$V$7,Model!AG$1,'Assumptions (CSP)'!$V$10,'Assumptions (CSP)'!$V$5*Model!$M$3539*AVERAGE('Assumptions (CSP)'!$I$2:$K$2)/10^9),0)</f>
        <v>0</v>
      </c>
      <c r="X3663" s="95">
        <f>IF($M$3539&gt;0,IPMT('Assumptions (CSP)'!$V$7,Model!AH$1,'Assumptions (CSP)'!$V$10,'Assumptions (CSP)'!$V$5*Model!$M$3539*AVERAGE('Assumptions (CSP)'!$I$2:$K$2)/10^9),0)</f>
        <v>0</v>
      </c>
      <c r="Y3663" s="95">
        <f>IF($M$3539&gt;0,IPMT('Assumptions (CSP)'!$V$7,Model!AI$1,'Assumptions (CSP)'!$V$10,'Assumptions (CSP)'!$V$5*Model!$M$3539*AVERAGE('Assumptions (CSP)'!$I$2:$K$2)/10^9),0)</f>
        <v>0</v>
      </c>
      <c r="Z3663" s="95">
        <f>IF($M$3539&gt;0,IPMT('Assumptions (CSP)'!$V$7,Model!AJ$1,'Assumptions (CSP)'!$V$10,'Assumptions (CSP)'!$V$5*Model!$M$3539*AVERAGE('Assumptions (CSP)'!$I$2:$K$2)/10^9),0)</f>
        <v>0</v>
      </c>
      <c r="AA3663" s="95">
        <f>IF($M$3539&gt;0,IPMT('Assumptions (CSP)'!$V$7,Model!AK$1,'Assumptions (CSP)'!$V$10,'Assumptions (CSP)'!$V$5*Model!$M$3539*AVERAGE('Assumptions (CSP)'!$I$2:$K$2)/10^9),0)</f>
        <v>0</v>
      </c>
      <c r="AB3663" s="95"/>
      <c r="AC3663" s="95"/>
      <c r="AD3663" s="95"/>
      <c r="AE3663" s="95"/>
      <c r="AF3663" s="95"/>
      <c r="AG3663" s="95"/>
      <c r="AH3663" s="95"/>
      <c r="AI3663" s="95"/>
      <c r="AJ3663" s="95"/>
      <c r="AK3663" s="95"/>
      <c r="AL3663" s="95"/>
      <c r="AM3663" s="95"/>
      <c r="AN3663" s="95"/>
      <c r="AO3663" s="95"/>
      <c r="AP3663" s="95"/>
      <c r="AQ3663" s="95"/>
      <c r="AR3663" s="95"/>
      <c r="AS3663" s="95"/>
      <c r="AT3663" s="95"/>
      <c r="AU3663" s="95"/>
      <c r="AV3663" s="95"/>
      <c r="AW3663" s="95"/>
      <c r="AX3663" s="95"/>
      <c r="AY3663" s="95"/>
      <c r="AZ3663" s="95"/>
      <c r="BA3663" s="95"/>
    </row>
    <row r="3664" ht="15.75" hidden="1" customHeight="1">
      <c r="A3664" s="395"/>
      <c r="B3664" s="24"/>
      <c r="C3664" s="95"/>
      <c r="D3664" s="95"/>
      <c r="E3664" s="95"/>
      <c r="F3664" s="95"/>
      <c r="G3664" s="95"/>
      <c r="H3664" s="95"/>
      <c r="I3664" s="95"/>
      <c r="J3664" s="95"/>
      <c r="K3664" s="95"/>
      <c r="L3664" s="95"/>
      <c r="M3664" s="95"/>
      <c r="N3664" s="95">
        <f>IF($N$3539&gt;0,IPMT('Assumptions (CSP)'!$V$7,Model!W$1,'Assumptions (CSP)'!$V$10,'Assumptions (CSP)'!$V$5*Model!$N$3539*AVERAGE('Assumptions (CSP)'!$J$2:$L$2)/10^9),0)</f>
        <v>0</v>
      </c>
      <c r="O3664" s="95">
        <f>IF($N$3539&gt;0,IPMT('Assumptions (CSP)'!$V$7,Model!X$1,'Assumptions (CSP)'!$V$10,'Assumptions (CSP)'!$V$5*Model!$N$3539*AVERAGE('Assumptions (CSP)'!$J$2:$L$2)/10^9),0)</f>
        <v>0</v>
      </c>
      <c r="P3664" s="95">
        <f>IF($N$3539&gt;0,IPMT('Assumptions (CSP)'!$V$7,Model!Y$1,'Assumptions (CSP)'!$V$10,'Assumptions (CSP)'!$V$5*Model!$N$3539*AVERAGE('Assumptions (CSP)'!$J$2:$L$2)/10^9),0)</f>
        <v>0</v>
      </c>
      <c r="Q3664" s="95">
        <f>IF($N$3539&gt;0,IPMT('Assumptions (CSP)'!$V$7,Model!Z$1,'Assumptions (CSP)'!$V$10,'Assumptions (CSP)'!$V$5*Model!$N$3539*AVERAGE('Assumptions (CSP)'!$J$2:$L$2)/10^9),0)</f>
        <v>0</v>
      </c>
      <c r="R3664" s="95">
        <f>IF($N$3539&gt;0,IPMT('Assumptions (CSP)'!$V$7,Model!AA$1,'Assumptions (CSP)'!$V$10,'Assumptions (CSP)'!$V$5*Model!$N$3539*AVERAGE('Assumptions (CSP)'!$J$2:$L$2)/10^9),0)</f>
        <v>0</v>
      </c>
      <c r="S3664" s="95">
        <f>IF($N$3539&gt;0,IPMT('Assumptions (CSP)'!$V$7,Model!AB$1,'Assumptions (CSP)'!$V$10,'Assumptions (CSP)'!$V$5*Model!$N$3539*AVERAGE('Assumptions (CSP)'!$J$2:$L$2)/10^9),0)</f>
        <v>0</v>
      </c>
      <c r="T3664" s="95">
        <f>IF($N$3539&gt;0,IPMT('Assumptions (CSP)'!$V$7,Model!AC$1,'Assumptions (CSP)'!$V$10,'Assumptions (CSP)'!$V$5*Model!$N$3539*AVERAGE('Assumptions (CSP)'!$J$2:$L$2)/10^9),0)</f>
        <v>0</v>
      </c>
      <c r="U3664" s="95">
        <f>IF($N$3539&gt;0,IPMT('Assumptions (CSP)'!$V$7,Model!AD$1,'Assumptions (CSP)'!$V$10,'Assumptions (CSP)'!$V$5*Model!$N$3539*AVERAGE('Assumptions (CSP)'!$J$2:$L$2)/10^9),0)</f>
        <v>0</v>
      </c>
      <c r="V3664" s="95">
        <f>IF($N$3539&gt;0,IPMT('Assumptions (CSP)'!$V$7,Model!AE$1,'Assumptions (CSP)'!$V$10,'Assumptions (CSP)'!$V$5*Model!$N$3539*AVERAGE('Assumptions (CSP)'!$J$2:$L$2)/10^9),0)</f>
        <v>0</v>
      </c>
      <c r="W3664" s="95">
        <f>IF($N$3539&gt;0,IPMT('Assumptions (CSP)'!$V$7,Model!AF$1,'Assumptions (CSP)'!$V$10,'Assumptions (CSP)'!$V$5*Model!$N$3539*AVERAGE('Assumptions (CSP)'!$J$2:$L$2)/10^9),0)</f>
        <v>0</v>
      </c>
      <c r="X3664" s="95">
        <f>IF($N$3539&gt;0,IPMT('Assumptions (CSP)'!$V$7,Model!AG$1,'Assumptions (CSP)'!$V$10,'Assumptions (CSP)'!$V$5*Model!$N$3539*AVERAGE('Assumptions (CSP)'!$J$2:$L$2)/10^9),0)</f>
        <v>0</v>
      </c>
      <c r="Y3664" s="95">
        <f>IF($N$3539&gt;0,IPMT('Assumptions (CSP)'!$V$7,Model!AH$1,'Assumptions (CSP)'!$V$10,'Assumptions (CSP)'!$V$5*Model!$N$3539*AVERAGE('Assumptions (CSP)'!$J$2:$L$2)/10^9),0)</f>
        <v>0</v>
      </c>
      <c r="Z3664" s="95">
        <f>IF($N$3539&gt;0,IPMT('Assumptions (CSP)'!$V$7,Model!AI$1,'Assumptions (CSP)'!$V$10,'Assumptions (CSP)'!$V$5*Model!$N$3539*AVERAGE('Assumptions (CSP)'!$J$2:$L$2)/10^9),0)</f>
        <v>0</v>
      </c>
      <c r="AA3664" s="95">
        <f>IF($N$3539&gt;0,IPMT('Assumptions (CSP)'!$V$7,Model!AJ$1,'Assumptions (CSP)'!$V$10,'Assumptions (CSP)'!$V$5*Model!$N$3539*AVERAGE('Assumptions (CSP)'!$J$2:$L$2)/10^9),0)</f>
        <v>0</v>
      </c>
      <c r="AB3664" s="95">
        <f>IF($N$3539&gt;0,IPMT('Assumptions (CSP)'!$V$7,Model!AK$1,'Assumptions (CSP)'!$V$10,'Assumptions (CSP)'!$V$5*Model!$N$3539*AVERAGE('Assumptions (CSP)'!$J$2:$L$2)/10^9),0)</f>
        <v>0</v>
      </c>
      <c r="AC3664" s="95"/>
      <c r="AD3664" s="95"/>
      <c r="AE3664" s="95"/>
      <c r="AF3664" s="95"/>
      <c r="AG3664" s="95"/>
      <c r="AH3664" s="95"/>
      <c r="AI3664" s="95"/>
      <c r="AJ3664" s="95"/>
      <c r="AK3664" s="95"/>
      <c r="AL3664" s="95"/>
      <c r="AM3664" s="95"/>
      <c r="AN3664" s="95"/>
      <c r="AO3664" s="95"/>
      <c r="AP3664" s="95"/>
      <c r="AQ3664" s="95"/>
      <c r="AR3664" s="95"/>
      <c r="AS3664" s="95"/>
      <c r="AT3664" s="95"/>
      <c r="AU3664" s="95"/>
      <c r="AV3664" s="95"/>
      <c r="AW3664" s="95"/>
      <c r="AX3664" s="95"/>
      <c r="AY3664" s="95"/>
      <c r="AZ3664" s="95"/>
      <c r="BA3664" s="95"/>
    </row>
    <row r="3665" ht="15.75" hidden="1" customHeight="1">
      <c r="A3665" s="395"/>
      <c r="B3665" s="24"/>
      <c r="C3665" s="95"/>
      <c r="D3665" s="95"/>
      <c r="E3665" s="95"/>
      <c r="F3665" s="95"/>
      <c r="G3665" s="95"/>
      <c r="H3665" s="95"/>
      <c r="I3665" s="95"/>
      <c r="J3665" s="95"/>
      <c r="K3665" s="95"/>
      <c r="L3665" s="95"/>
      <c r="M3665" s="95"/>
      <c r="N3665" s="95"/>
      <c r="O3665" s="95">
        <f>IF($O$3539&gt;0,IPMT('Assumptions (CSP)'!$V$7,Model!W$1,'Assumptions (CSP)'!$V$10,'Assumptions (CSP)'!$V$5*Model!$O$3539*AVERAGE('Assumptions (CSP)'!$K$2:$M$2)/10^9),0)</f>
        <v>0</v>
      </c>
      <c r="P3665" s="95">
        <f>IF($O$3539&gt;0,IPMT('Assumptions (CSP)'!$V$7,Model!X$1,'Assumptions (CSP)'!$V$10,'Assumptions (CSP)'!$V$5*Model!$O$3539*AVERAGE('Assumptions (CSP)'!$K$2:$M$2)/10^9),0)</f>
        <v>0</v>
      </c>
      <c r="Q3665" s="95">
        <f>IF($O$3539&gt;0,IPMT('Assumptions (CSP)'!$V$7,Model!Y$1,'Assumptions (CSP)'!$V$10,'Assumptions (CSP)'!$V$5*Model!$O$3539*AVERAGE('Assumptions (CSP)'!$K$2:$M$2)/10^9),0)</f>
        <v>0</v>
      </c>
      <c r="R3665" s="95">
        <f>IF($O$3539&gt;0,IPMT('Assumptions (CSP)'!$V$7,Model!Z$1,'Assumptions (CSP)'!$V$10,'Assumptions (CSP)'!$V$5*Model!$O$3539*AVERAGE('Assumptions (CSP)'!$K$2:$M$2)/10^9),0)</f>
        <v>0</v>
      </c>
      <c r="S3665" s="95">
        <f>IF($O$3539&gt;0,IPMT('Assumptions (CSP)'!$V$7,Model!AA$1,'Assumptions (CSP)'!$V$10,'Assumptions (CSP)'!$V$5*Model!$O$3539*AVERAGE('Assumptions (CSP)'!$K$2:$M$2)/10^9),0)</f>
        <v>0</v>
      </c>
      <c r="T3665" s="95">
        <f>IF($O$3539&gt;0,IPMT('Assumptions (CSP)'!$V$7,Model!AB$1,'Assumptions (CSP)'!$V$10,'Assumptions (CSP)'!$V$5*Model!$O$3539*AVERAGE('Assumptions (CSP)'!$K$2:$M$2)/10^9),0)</f>
        <v>0</v>
      </c>
      <c r="U3665" s="95">
        <f>IF($O$3539&gt;0,IPMT('Assumptions (CSP)'!$V$7,Model!AC$1,'Assumptions (CSP)'!$V$10,'Assumptions (CSP)'!$V$5*Model!$O$3539*AVERAGE('Assumptions (CSP)'!$K$2:$M$2)/10^9),0)</f>
        <v>0</v>
      </c>
      <c r="V3665" s="95">
        <f>IF($O$3539&gt;0,IPMT('Assumptions (CSP)'!$V$7,Model!AD$1,'Assumptions (CSP)'!$V$10,'Assumptions (CSP)'!$V$5*Model!$O$3539*AVERAGE('Assumptions (CSP)'!$K$2:$M$2)/10^9),0)</f>
        <v>0</v>
      </c>
      <c r="W3665" s="95">
        <f>IF($O$3539&gt;0,IPMT('Assumptions (CSP)'!$V$7,Model!AE$1,'Assumptions (CSP)'!$V$10,'Assumptions (CSP)'!$V$5*Model!$O$3539*AVERAGE('Assumptions (CSP)'!$K$2:$M$2)/10^9),0)</f>
        <v>0</v>
      </c>
      <c r="X3665" s="95">
        <f>IF($O$3539&gt;0,IPMT('Assumptions (CSP)'!$V$7,Model!AF$1,'Assumptions (CSP)'!$V$10,'Assumptions (CSP)'!$V$5*Model!$O$3539*AVERAGE('Assumptions (CSP)'!$K$2:$M$2)/10^9),0)</f>
        <v>0</v>
      </c>
      <c r="Y3665" s="95">
        <f>IF($O$3539&gt;0,IPMT('Assumptions (CSP)'!$V$7,Model!AG$1,'Assumptions (CSP)'!$V$10,'Assumptions (CSP)'!$V$5*Model!$O$3539*AVERAGE('Assumptions (CSP)'!$K$2:$M$2)/10^9),0)</f>
        <v>0</v>
      </c>
      <c r="Z3665" s="95">
        <f>IF($O$3539&gt;0,IPMT('Assumptions (CSP)'!$V$7,Model!AH$1,'Assumptions (CSP)'!$V$10,'Assumptions (CSP)'!$V$5*Model!$O$3539*AVERAGE('Assumptions (CSP)'!$K$2:$M$2)/10^9),0)</f>
        <v>0</v>
      </c>
      <c r="AA3665" s="95">
        <f>IF($O$3539&gt;0,IPMT('Assumptions (CSP)'!$V$7,Model!AI$1,'Assumptions (CSP)'!$V$10,'Assumptions (CSP)'!$V$5*Model!$O$3539*AVERAGE('Assumptions (CSP)'!$K$2:$M$2)/10^9),0)</f>
        <v>0</v>
      </c>
      <c r="AB3665" s="95">
        <f>IF($O$3539&gt;0,IPMT('Assumptions (CSP)'!$V$7,Model!AJ$1,'Assumptions (CSP)'!$V$10,'Assumptions (CSP)'!$V$5*Model!$O$3539*AVERAGE('Assumptions (CSP)'!$K$2:$M$2)/10^9),0)</f>
        <v>0</v>
      </c>
      <c r="AC3665" s="95">
        <f>IF($O$3539&gt;0,IPMT('Assumptions (CSP)'!$V$7,Model!AK$1,'Assumptions (CSP)'!$V$10,'Assumptions (CSP)'!$V$5*Model!$O$3539*AVERAGE('Assumptions (CSP)'!$K$2:$M$2)/10^9),0)</f>
        <v>0</v>
      </c>
      <c r="AD3665" s="95"/>
      <c r="AE3665" s="95"/>
      <c r="AF3665" s="95"/>
      <c r="AG3665" s="95"/>
      <c r="AH3665" s="95"/>
      <c r="AI3665" s="95"/>
      <c r="AJ3665" s="95"/>
      <c r="AK3665" s="95"/>
      <c r="AL3665" s="95"/>
      <c r="AM3665" s="95"/>
      <c r="AN3665" s="95"/>
      <c r="AO3665" s="95"/>
      <c r="AP3665" s="95"/>
      <c r="AQ3665" s="95"/>
      <c r="AR3665" s="95"/>
      <c r="AS3665" s="95"/>
      <c r="AT3665" s="95"/>
      <c r="AU3665" s="95"/>
      <c r="AV3665" s="95"/>
      <c r="AW3665" s="95"/>
      <c r="AX3665" s="95"/>
      <c r="AY3665" s="95"/>
      <c r="AZ3665" s="95"/>
      <c r="BA3665" s="95"/>
    </row>
    <row r="3666" ht="15.75" hidden="1" customHeight="1">
      <c r="A3666" s="395"/>
      <c r="B3666" s="24"/>
      <c r="C3666" s="95"/>
      <c r="D3666" s="95"/>
      <c r="E3666" s="95"/>
      <c r="F3666" s="95"/>
      <c r="G3666" s="95"/>
      <c r="H3666" s="95"/>
      <c r="I3666" s="95"/>
      <c r="J3666" s="95"/>
      <c r="K3666" s="95"/>
      <c r="L3666" s="95"/>
      <c r="M3666" s="95"/>
      <c r="N3666" s="95"/>
      <c r="O3666" s="95"/>
      <c r="P3666" s="95">
        <f>IF($P$3539&gt;0,IPMT('Assumptions (CSP)'!$V$7,Model!W$1,'Assumptions (CSP)'!$V$10,'Assumptions (CSP)'!$V$5*Model!$P$3539*AVERAGE('Assumptions (CSP)'!$L$2:$N$2)/10^9),0)</f>
        <v>0</v>
      </c>
      <c r="Q3666" s="95">
        <f>IF($P$3539&gt;0,IPMT('Assumptions (CSP)'!$V$7,Model!X$1,'Assumptions (CSP)'!$V$10,'Assumptions (CSP)'!$V$5*Model!$P$3539*AVERAGE('Assumptions (CSP)'!$L$2:$N$2)/10^9),0)</f>
        <v>0</v>
      </c>
      <c r="R3666" s="95">
        <f>IF($P$3539&gt;0,IPMT('Assumptions (CSP)'!$V$7,Model!Y$1,'Assumptions (CSP)'!$V$10,'Assumptions (CSP)'!$V$5*Model!$P$3539*AVERAGE('Assumptions (CSP)'!$L$2:$N$2)/10^9),0)</f>
        <v>0</v>
      </c>
      <c r="S3666" s="95">
        <f>IF($P$3539&gt;0,IPMT('Assumptions (CSP)'!$V$7,Model!Z$1,'Assumptions (CSP)'!$V$10,'Assumptions (CSP)'!$V$5*Model!$P$3539*AVERAGE('Assumptions (CSP)'!$L$2:$N$2)/10^9),0)</f>
        <v>0</v>
      </c>
      <c r="T3666" s="95">
        <f>IF($P$3539&gt;0,IPMT('Assumptions (CSP)'!$V$7,Model!AA$1,'Assumptions (CSP)'!$V$10,'Assumptions (CSP)'!$V$5*Model!$P$3539*AVERAGE('Assumptions (CSP)'!$L$2:$N$2)/10^9),0)</f>
        <v>0</v>
      </c>
      <c r="U3666" s="95">
        <f>IF($P$3539&gt;0,IPMT('Assumptions (CSP)'!$V$7,Model!AB$1,'Assumptions (CSP)'!$V$10,'Assumptions (CSP)'!$V$5*Model!$P$3539*AVERAGE('Assumptions (CSP)'!$L$2:$N$2)/10^9),0)</f>
        <v>0</v>
      </c>
      <c r="V3666" s="95">
        <f>IF($P$3539&gt;0,IPMT('Assumptions (CSP)'!$V$7,Model!AC$1,'Assumptions (CSP)'!$V$10,'Assumptions (CSP)'!$V$5*Model!$P$3539*AVERAGE('Assumptions (CSP)'!$L$2:$N$2)/10^9),0)</f>
        <v>0</v>
      </c>
      <c r="W3666" s="95">
        <f>IF($P$3539&gt;0,IPMT('Assumptions (CSP)'!$V$7,Model!AD$1,'Assumptions (CSP)'!$V$10,'Assumptions (CSP)'!$V$5*Model!$P$3539*AVERAGE('Assumptions (CSP)'!$L$2:$N$2)/10^9),0)</f>
        <v>0</v>
      </c>
      <c r="X3666" s="95">
        <f>IF($P$3539&gt;0,IPMT('Assumptions (CSP)'!$V$7,Model!AE$1,'Assumptions (CSP)'!$V$10,'Assumptions (CSP)'!$V$5*Model!$P$3539*AVERAGE('Assumptions (CSP)'!$L$2:$N$2)/10^9),0)</f>
        <v>0</v>
      </c>
      <c r="Y3666" s="95">
        <f>IF($P$3539&gt;0,IPMT('Assumptions (CSP)'!$V$7,Model!AF$1,'Assumptions (CSP)'!$V$10,'Assumptions (CSP)'!$V$5*Model!$P$3539*AVERAGE('Assumptions (CSP)'!$L$2:$N$2)/10^9),0)</f>
        <v>0</v>
      </c>
      <c r="Z3666" s="95">
        <f>IF($P$3539&gt;0,IPMT('Assumptions (CSP)'!$V$7,Model!AG$1,'Assumptions (CSP)'!$V$10,'Assumptions (CSP)'!$V$5*Model!$P$3539*AVERAGE('Assumptions (CSP)'!$L$2:$N$2)/10^9),0)</f>
        <v>0</v>
      </c>
      <c r="AA3666" s="95">
        <f>IF($P$3539&gt;0,IPMT('Assumptions (CSP)'!$V$7,Model!AH$1,'Assumptions (CSP)'!$V$10,'Assumptions (CSP)'!$V$5*Model!$P$3539*AVERAGE('Assumptions (CSP)'!$L$2:$N$2)/10^9),0)</f>
        <v>0</v>
      </c>
      <c r="AB3666" s="95">
        <f>IF($P$3539&gt;0,IPMT('Assumptions (CSP)'!$V$7,Model!AI$1,'Assumptions (CSP)'!$V$10,'Assumptions (CSP)'!$V$5*Model!$P$3539*AVERAGE('Assumptions (CSP)'!$L$2:$N$2)/10^9),0)</f>
        <v>0</v>
      </c>
      <c r="AC3666" s="95">
        <f>IF($P$3539&gt;0,IPMT('Assumptions (CSP)'!$V$7,Model!AJ$1,'Assumptions (CSP)'!$V$10,'Assumptions (CSP)'!$V$5*Model!$P$3539*AVERAGE('Assumptions (CSP)'!$L$2:$N$2)/10^9),0)</f>
        <v>0</v>
      </c>
      <c r="AD3666" s="95">
        <f>IF($P$3539&gt;0,IPMT('Assumptions (CSP)'!$V$7,Model!AK$1,'Assumptions (CSP)'!$V$10,'Assumptions (CSP)'!$V$5*Model!$P$3539*AVERAGE('Assumptions (CSP)'!$L$2:$N$2)/10^9),0)</f>
        <v>0</v>
      </c>
      <c r="AE3666" s="95"/>
      <c r="AF3666" s="95"/>
      <c r="AG3666" s="95"/>
      <c r="AH3666" s="95"/>
      <c r="AI3666" s="95"/>
      <c r="AJ3666" s="95"/>
      <c r="AK3666" s="95"/>
      <c r="AL3666" s="95"/>
      <c r="AM3666" s="95"/>
      <c r="AN3666" s="95"/>
      <c r="AO3666" s="95"/>
      <c r="AP3666" s="95"/>
      <c r="AQ3666" s="95"/>
      <c r="AR3666" s="95"/>
      <c r="AS3666" s="95"/>
      <c r="AT3666" s="95"/>
      <c r="AU3666" s="95"/>
      <c r="AV3666" s="95"/>
      <c r="AW3666" s="95"/>
      <c r="AX3666" s="95"/>
      <c r="AY3666" s="95"/>
      <c r="AZ3666" s="95"/>
      <c r="BA3666" s="95"/>
    </row>
    <row r="3667" ht="15.75" hidden="1" customHeight="1">
      <c r="A3667" s="395"/>
      <c r="B3667" s="24"/>
      <c r="C3667" s="95"/>
      <c r="D3667" s="95"/>
      <c r="E3667" s="95"/>
      <c r="F3667" s="95"/>
      <c r="G3667" s="95"/>
      <c r="H3667" s="95"/>
      <c r="I3667" s="95"/>
      <c r="J3667" s="95"/>
      <c r="K3667" s="95"/>
      <c r="L3667" s="95"/>
      <c r="M3667" s="95"/>
      <c r="N3667" s="95"/>
      <c r="O3667" s="95"/>
      <c r="P3667" s="95"/>
      <c r="Q3667" s="95">
        <f>IF($Q$3539&gt;0,IPMT('Assumptions (CSP)'!$V$7,Model!W$1,'Assumptions (CSP)'!$V$10,'Assumptions (CSP)'!$V$5*Model!$Q$3539*AVERAGE('Assumptions (CSP)'!$M$2:$O$2)/10^9),0)</f>
        <v>0</v>
      </c>
      <c r="R3667" s="95">
        <f>IF($Q$3539&gt;0,IPMT('Assumptions (CSP)'!$V$7,Model!X$1,'Assumptions (CSP)'!$V$10,'Assumptions (CSP)'!$V$5*Model!$Q$3539*AVERAGE('Assumptions (CSP)'!$M$2:$O$2)/10^9),0)</f>
        <v>0</v>
      </c>
      <c r="S3667" s="95">
        <f>IF($Q$3539&gt;0,IPMT('Assumptions (CSP)'!$V$7,Model!Y$1,'Assumptions (CSP)'!$V$10,'Assumptions (CSP)'!$V$5*Model!$Q$3539*AVERAGE('Assumptions (CSP)'!$M$2:$O$2)/10^9),0)</f>
        <v>0</v>
      </c>
      <c r="T3667" s="95">
        <f>IF($Q$3539&gt;0,IPMT('Assumptions (CSP)'!$V$7,Model!Z$1,'Assumptions (CSP)'!$V$10,'Assumptions (CSP)'!$V$5*Model!$Q$3539*AVERAGE('Assumptions (CSP)'!$M$2:$O$2)/10^9),0)</f>
        <v>0</v>
      </c>
      <c r="U3667" s="95">
        <f>IF($Q$3539&gt;0,IPMT('Assumptions (CSP)'!$V$7,Model!AA$1,'Assumptions (CSP)'!$V$10,'Assumptions (CSP)'!$V$5*Model!$Q$3539*AVERAGE('Assumptions (CSP)'!$M$2:$O$2)/10^9),0)</f>
        <v>0</v>
      </c>
      <c r="V3667" s="95">
        <f>IF($Q$3539&gt;0,IPMT('Assumptions (CSP)'!$V$7,Model!AB$1,'Assumptions (CSP)'!$V$10,'Assumptions (CSP)'!$V$5*Model!$Q$3539*AVERAGE('Assumptions (CSP)'!$M$2:$O$2)/10^9),0)</f>
        <v>0</v>
      </c>
      <c r="W3667" s="95">
        <f>IF($Q$3539&gt;0,IPMT('Assumptions (CSP)'!$V$7,Model!AC$1,'Assumptions (CSP)'!$V$10,'Assumptions (CSP)'!$V$5*Model!$Q$3539*AVERAGE('Assumptions (CSP)'!$M$2:$O$2)/10^9),0)</f>
        <v>0</v>
      </c>
      <c r="X3667" s="95">
        <f>IF($Q$3539&gt;0,IPMT('Assumptions (CSP)'!$V$7,Model!AD$1,'Assumptions (CSP)'!$V$10,'Assumptions (CSP)'!$V$5*Model!$Q$3539*AVERAGE('Assumptions (CSP)'!$M$2:$O$2)/10^9),0)</f>
        <v>0</v>
      </c>
      <c r="Y3667" s="95">
        <f>IF($Q$3539&gt;0,IPMT('Assumptions (CSP)'!$V$7,Model!AE$1,'Assumptions (CSP)'!$V$10,'Assumptions (CSP)'!$V$5*Model!$Q$3539*AVERAGE('Assumptions (CSP)'!$M$2:$O$2)/10^9),0)</f>
        <v>0</v>
      </c>
      <c r="Z3667" s="95">
        <f>IF($Q$3539&gt;0,IPMT('Assumptions (CSP)'!$V$7,Model!AF$1,'Assumptions (CSP)'!$V$10,'Assumptions (CSP)'!$V$5*Model!$Q$3539*AVERAGE('Assumptions (CSP)'!$M$2:$O$2)/10^9),0)</f>
        <v>0</v>
      </c>
      <c r="AA3667" s="95">
        <f>IF($Q$3539&gt;0,IPMT('Assumptions (CSP)'!$V$7,Model!AG$1,'Assumptions (CSP)'!$V$10,'Assumptions (CSP)'!$V$5*Model!$Q$3539*AVERAGE('Assumptions (CSP)'!$M$2:$O$2)/10^9),0)</f>
        <v>0</v>
      </c>
      <c r="AB3667" s="95">
        <f>IF($Q$3539&gt;0,IPMT('Assumptions (CSP)'!$V$7,Model!AH$1,'Assumptions (CSP)'!$V$10,'Assumptions (CSP)'!$V$5*Model!$Q$3539*AVERAGE('Assumptions (CSP)'!$M$2:$O$2)/10^9),0)</f>
        <v>0</v>
      </c>
      <c r="AC3667" s="95">
        <f>IF($Q$3539&gt;0,IPMT('Assumptions (CSP)'!$V$7,Model!AI$1,'Assumptions (CSP)'!$V$10,'Assumptions (CSP)'!$V$5*Model!$Q$3539*AVERAGE('Assumptions (CSP)'!$M$2:$O$2)/10^9),0)</f>
        <v>0</v>
      </c>
      <c r="AD3667" s="95">
        <f>IF($Q$3539&gt;0,IPMT('Assumptions (CSP)'!$V$7,Model!AJ$1,'Assumptions (CSP)'!$V$10,'Assumptions (CSP)'!$V$5*Model!$Q$3539*AVERAGE('Assumptions (CSP)'!$M$2:$O$2)/10^9),0)</f>
        <v>0</v>
      </c>
      <c r="AE3667" s="95">
        <f>IF($Q$3539&gt;0,IPMT('Assumptions (CSP)'!$V$7,Model!AK$1,'Assumptions (CSP)'!$V$10,'Assumptions (CSP)'!$V$5*Model!$Q$3539*AVERAGE('Assumptions (CSP)'!$M$2:$O$2)/10^9),0)</f>
        <v>0</v>
      </c>
      <c r="AF3667" s="95"/>
      <c r="AG3667" s="95"/>
      <c r="AH3667" s="95"/>
      <c r="AI3667" s="95"/>
      <c r="AJ3667" s="95"/>
      <c r="AK3667" s="95"/>
      <c r="AL3667" s="95"/>
      <c r="AM3667" s="95"/>
      <c r="AN3667" s="95"/>
      <c r="AO3667" s="95"/>
      <c r="AP3667" s="95"/>
      <c r="AQ3667" s="95"/>
      <c r="AR3667" s="95"/>
      <c r="AS3667" s="95"/>
      <c r="AT3667" s="95"/>
      <c r="AU3667" s="95"/>
      <c r="AV3667" s="95"/>
      <c r="AW3667" s="95"/>
      <c r="AX3667" s="95"/>
      <c r="AY3667" s="95"/>
      <c r="AZ3667" s="95"/>
      <c r="BA3667" s="95"/>
    </row>
    <row r="3668" ht="15.75" hidden="1" customHeight="1">
      <c r="A3668" s="395"/>
      <c r="B3668" s="24"/>
      <c r="C3668" s="95"/>
      <c r="D3668" s="95"/>
      <c r="E3668" s="95"/>
      <c r="F3668" s="95"/>
      <c r="G3668" s="95"/>
      <c r="H3668" s="95"/>
      <c r="I3668" s="95"/>
      <c r="J3668" s="95"/>
      <c r="K3668" s="95"/>
      <c r="L3668" s="95"/>
      <c r="M3668" s="95"/>
      <c r="N3668" s="95"/>
      <c r="O3668" s="95"/>
      <c r="P3668" s="95"/>
      <c r="Q3668" s="95"/>
      <c r="R3668" s="95">
        <f>IF($R$3539&gt;0,IPMT('Assumptions (CSP)'!$V$7,Model!W$1,'Assumptions (CSP)'!$V$10,'Assumptions (CSP)'!$V$5*Model!$R$3539*AVERAGE('Assumptions (CSP)'!$N$2:$P$2)/10^9),0)</f>
        <v>0</v>
      </c>
      <c r="S3668" s="95">
        <f>IF($R$3539&gt;0,IPMT('Assumptions (CSP)'!$V$7,Model!X$1,'Assumptions (CSP)'!$V$10,'Assumptions (CSP)'!$V$5*Model!$R$3539*AVERAGE('Assumptions (CSP)'!$N$2:$P$2)/10^9),0)</f>
        <v>0</v>
      </c>
      <c r="T3668" s="95">
        <f>IF($R$3539&gt;0,IPMT('Assumptions (CSP)'!$V$7,Model!Y$1,'Assumptions (CSP)'!$V$10,'Assumptions (CSP)'!$V$5*Model!$R$3539*AVERAGE('Assumptions (CSP)'!$N$2:$P$2)/10^9),0)</f>
        <v>0</v>
      </c>
      <c r="U3668" s="95">
        <f>IF($R$3539&gt;0,IPMT('Assumptions (CSP)'!$V$7,Model!Z$1,'Assumptions (CSP)'!$V$10,'Assumptions (CSP)'!$V$5*Model!$R$3539*AVERAGE('Assumptions (CSP)'!$N$2:$P$2)/10^9),0)</f>
        <v>0</v>
      </c>
      <c r="V3668" s="95">
        <f>IF($R$3539&gt;0,IPMT('Assumptions (CSP)'!$V$7,Model!AA$1,'Assumptions (CSP)'!$V$10,'Assumptions (CSP)'!$V$5*Model!$R$3539*AVERAGE('Assumptions (CSP)'!$N$2:$P$2)/10^9),0)</f>
        <v>0</v>
      </c>
      <c r="W3668" s="95">
        <f>IF($R$3539&gt;0,IPMT('Assumptions (CSP)'!$V$7,Model!AB$1,'Assumptions (CSP)'!$V$10,'Assumptions (CSP)'!$V$5*Model!$R$3539*AVERAGE('Assumptions (CSP)'!$N$2:$P$2)/10^9),0)</f>
        <v>0</v>
      </c>
      <c r="X3668" s="95">
        <f>IF($R$3539&gt;0,IPMT('Assumptions (CSP)'!$V$7,Model!AC$1,'Assumptions (CSP)'!$V$10,'Assumptions (CSP)'!$V$5*Model!$R$3539*AVERAGE('Assumptions (CSP)'!$N$2:$P$2)/10^9),0)</f>
        <v>0</v>
      </c>
      <c r="Y3668" s="95">
        <f>IF($R$3539&gt;0,IPMT('Assumptions (CSP)'!$V$7,Model!AD$1,'Assumptions (CSP)'!$V$10,'Assumptions (CSP)'!$V$5*Model!$R$3539*AVERAGE('Assumptions (CSP)'!$N$2:$P$2)/10^9),0)</f>
        <v>0</v>
      </c>
      <c r="Z3668" s="95">
        <f>IF($R$3539&gt;0,IPMT('Assumptions (CSP)'!$V$7,Model!AE$1,'Assumptions (CSP)'!$V$10,'Assumptions (CSP)'!$V$5*Model!$R$3539*AVERAGE('Assumptions (CSP)'!$N$2:$P$2)/10^9),0)</f>
        <v>0</v>
      </c>
      <c r="AA3668" s="95">
        <f>IF($R$3539&gt;0,IPMT('Assumptions (CSP)'!$V$7,Model!AF$1,'Assumptions (CSP)'!$V$10,'Assumptions (CSP)'!$V$5*Model!$R$3539*AVERAGE('Assumptions (CSP)'!$N$2:$P$2)/10^9),0)</f>
        <v>0</v>
      </c>
      <c r="AB3668" s="95">
        <f>IF($R$3539&gt;0,IPMT('Assumptions (CSP)'!$V$7,Model!AG$1,'Assumptions (CSP)'!$V$10,'Assumptions (CSP)'!$V$5*Model!$R$3539*AVERAGE('Assumptions (CSP)'!$N$2:$P$2)/10^9),0)</f>
        <v>0</v>
      </c>
      <c r="AC3668" s="95">
        <f>IF($R$3539&gt;0,IPMT('Assumptions (CSP)'!$V$7,Model!AH$1,'Assumptions (CSP)'!$V$10,'Assumptions (CSP)'!$V$5*Model!$R$3539*AVERAGE('Assumptions (CSP)'!$N$2:$P$2)/10^9),0)</f>
        <v>0</v>
      </c>
      <c r="AD3668" s="95">
        <f>IF($R$3539&gt;0,IPMT('Assumptions (CSP)'!$V$7,Model!AI$1,'Assumptions (CSP)'!$V$10,'Assumptions (CSP)'!$V$5*Model!$R$3539*AVERAGE('Assumptions (CSP)'!$N$2:$P$2)/10^9),0)</f>
        <v>0</v>
      </c>
      <c r="AE3668" s="95">
        <f>IF($R$3539&gt;0,IPMT('Assumptions (CSP)'!$V$7,Model!AJ$1,'Assumptions (CSP)'!$V$10,'Assumptions (CSP)'!$V$5*Model!$R$3539*AVERAGE('Assumptions (CSP)'!$N$2:$P$2)/10^9),0)</f>
        <v>0</v>
      </c>
      <c r="AF3668" s="95">
        <f>IF($R$3539&gt;0,IPMT('Assumptions (CSP)'!$V$7,Model!AK$1,'Assumptions (CSP)'!$V$10,'Assumptions (CSP)'!$V$5*Model!$R$3539*AVERAGE('Assumptions (CSP)'!$N$2:$P$2)/10^9),0)</f>
        <v>0</v>
      </c>
      <c r="AG3668" s="95"/>
      <c r="AH3668" s="95"/>
      <c r="AI3668" s="95"/>
      <c r="AJ3668" s="95"/>
      <c r="AK3668" s="95"/>
      <c r="AL3668" s="95"/>
      <c r="AM3668" s="95"/>
      <c r="AN3668" s="95"/>
      <c r="AO3668" s="95"/>
      <c r="AP3668" s="95"/>
      <c r="AQ3668" s="95"/>
      <c r="AR3668" s="95"/>
      <c r="AS3668" s="95"/>
      <c r="AT3668" s="95"/>
      <c r="AU3668" s="95"/>
      <c r="AV3668" s="95"/>
      <c r="AW3668" s="95"/>
      <c r="AX3668" s="95"/>
      <c r="AY3668" s="95"/>
      <c r="AZ3668" s="95"/>
      <c r="BA3668" s="95"/>
    </row>
    <row r="3669" ht="15.75" hidden="1" customHeight="1">
      <c r="A3669" s="395"/>
      <c r="B3669" s="24"/>
      <c r="C3669" s="95"/>
      <c r="D3669" s="95"/>
      <c r="E3669" s="95"/>
      <c r="F3669" s="95"/>
      <c r="G3669" s="95"/>
      <c r="H3669" s="95"/>
      <c r="I3669" s="95"/>
      <c r="J3669" s="95"/>
      <c r="K3669" s="95"/>
      <c r="L3669" s="95"/>
      <c r="M3669" s="95"/>
      <c r="N3669" s="95"/>
      <c r="O3669" s="95"/>
      <c r="P3669" s="95"/>
      <c r="Q3669" s="95"/>
      <c r="R3669" s="95"/>
      <c r="S3669" s="95">
        <f>IF($S$3539&gt;0,IPMT('Assumptions (CSP)'!$V$7,Model!W$1,'Assumptions (CSP)'!$V$10,'Assumptions (CSP)'!$V$5*Model!$S$3539*AVERAGE('Assumptions (CSP)'!$O$2:$Q$2)/10^9),0)</f>
        <v>0</v>
      </c>
      <c r="T3669" s="95">
        <f>IF($S$3539&gt;0,IPMT('Assumptions (CSP)'!$V$7,Model!X$1,'Assumptions (CSP)'!$V$10,'Assumptions (CSP)'!$V$5*Model!$S$3539*AVERAGE('Assumptions (CSP)'!$O$2:$Q$2)/10^9),0)</f>
        <v>0</v>
      </c>
      <c r="U3669" s="95">
        <f>IF($S$3539&gt;0,IPMT('Assumptions (CSP)'!$V$7,Model!Y$1,'Assumptions (CSP)'!$V$10,'Assumptions (CSP)'!$V$5*Model!$S$3539*AVERAGE('Assumptions (CSP)'!$O$2:$Q$2)/10^9),0)</f>
        <v>0</v>
      </c>
      <c r="V3669" s="95">
        <f>IF($S$3539&gt;0,IPMT('Assumptions (CSP)'!$V$7,Model!Z$1,'Assumptions (CSP)'!$V$10,'Assumptions (CSP)'!$V$5*Model!$S$3539*AVERAGE('Assumptions (CSP)'!$O$2:$Q$2)/10^9),0)</f>
        <v>0</v>
      </c>
      <c r="W3669" s="95">
        <f>IF($S$3539&gt;0,IPMT('Assumptions (CSP)'!$V$7,Model!AA$1,'Assumptions (CSP)'!$V$10,'Assumptions (CSP)'!$V$5*Model!$S$3539*AVERAGE('Assumptions (CSP)'!$O$2:$Q$2)/10^9),0)</f>
        <v>0</v>
      </c>
      <c r="X3669" s="95">
        <f>IF($S$3539&gt;0,IPMT('Assumptions (CSP)'!$V$7,Model!AB$1,'Assumptions (CSP)'!$V$10,'Assumptions (CSP)'!$V$5*Model!$S$3539*AVERAGE('Assumptions (CSP)'!$O$2:$Q$2)/10^9),0)</f>
        <v>0</v>
      </c>
      <c r="Y3669" s="95">
        <f>IF($S$3539&gt;0,IPMT('Assumptions (CSP)'!$V$7,Model!AC$1,'Assumptions (CSP)'!$V$10,'Assumptions (CSP)'!$V$5*Model!$S$3539*AVERAGE('Assumptions (CSP)'!$O$2:$Q$2)/10^9),0)</f>
        <v>0</v>
      </c>
      <c r="Z3669" s="95">
        <f>IF($S$3539&gt;0,IPMT('Assumptions (CSP)'!$V$7,Model!AD$1,'Assumptions (CSP)'!$V$10,'Assumptions (CSP)'!$V$5*Model!$S$3539*AVERAGE('Assumptions (CSP)'!$O$2:$Q$2)/10^9),0)</f>
        <v>0</v>
      </c>
      <c r="AA3669" s="95">
        <f>IF($S$3539&gt;0,IPMT('Assumptions (CSP)'!$V$7,Model!AE$1,'Assumptions (CSP)'!$V$10,'Assumptions (CSP)'!$V$5*Model!$S$3539*AVERAGE('Assumptions (CSP)'!$O$2:$Q$2)/10^9),0)</f>
        <v>0</v>
      </c>
      <c r="AB3669" s="95">
        <f>IF($S$3539&gt;0,IPMT('Assumptions (CSP)'!$V$7,Model!AF$1,'Assumptions (CSP)'!$V$10,'Assumptions (CSP)'!$V$5*Model!$S$3539*AVERAGE('Assumptions (CSP)'!$O$2:$Q$2)/10^9),0)</f>
        <v>0</v>
      </c>
      <c r="AC3669" s="95">
        <f>IF($S$3539&gt;0,IPMT('Assumptions (CSP)'!$V$7,Model!AG$1,'Assumptions (CSP)'!$V$10,'Assumptions (CSP)'!$V$5*Model!$S$3539*AVERAGE('Assumptions (CSP)'!$O$2:$Q$2)/10^9),0)</f>
        <v>0</v>
      </c>
      <c r="AD3669" s="95">
        <f>IF($S$3539&gt;0,IPMT('Assumptions (CSP)'!$V$7,Model!AH$1,'Assumptions (CSP)'!$V$10,'Assumptions (CSP)'!$V$5*Model!$S$3539*AVERAGE('Assumptions (CSP)'!$O$2:$Q$2)/10^9),0)</f>
        <v>0</v>
      </c>
      <c r="AE3669" s="95">
        <f>IF($S$3539&gt;0,IPMT('Assumptions (CSP)'!$V$7,Model!AI$1,'Assumptions (CSP)'!$V$10,'Assumptions (CSP)'!$V$5*Model!$S$3539*AVERAGE('Assumptions (CSP)'!$O$2:$Q$2)/10^9),0)</f>
        <v>0</v>
      </c>
      <c r="AF3669" s="95">
        <f>IF($S$3539&gt;0,IPMT('Assumptions (CSP)'!$V$7,Model!AJ$1,'Assumptions (CSP)'!$V$10,'Assumptions (CSP)'!$V$5*Model!$S$3539*AVERAGE('Assumptions (CSP)'!$O$2:$Q$2)/10^9),0)</f>
        <v>0</v>
      </c>
      <c r="AG3669" s="95">
        <f>IF($S$3539&gt;0,IPMT('Assumptions (CSP)'!$V$7,Model!AK$1,'Assumptions (CSP)'!$V$10,'Assumptions (CSP)'!$V$5*Model!$S$3539*AVERAGE('Assumptions (CSP)'!$O$2:$Q$2)/10^9),0)</f>
        <v>0</v>
      </c>
      <c r="AH3669" s="95"/>
      <c r="AI3669" s="95"/>
      <c r="AJ3669" s="95"/>
      <c r="AK3669" s="95"/>
      <c r="AL3669" s="95"/>
      <c r="AM3669" s="95"/>
      <c r="AN3669" s="95"/>
      <c r="AO3669" s="95"/>
      <c r="AP3669" s="95"/>
      <c r="AQ3669" s="95"/>
      <c r="AR3669" s="95"/>
      <c r="AS3669" s="95"/>
      <c r="AT3669" s="95"/>
      <c r="AU3669" s="95"/>
      <c r="AV3669" s="95"/>
      <c r="AW3669" s="95"/>
      <c r="AX3669" s="95"/>
      <c r="AY3669" s="95"/>
      <c r="AZ3669" s="95"/>
      <c r="BA3669" s="95"/>
    </row>
    <row r="3670" ht="15.75" hidden="1" customHeight="1">
      <c r="A3670" s="395"/>
      <c r="B3670" s="24"/>
      <c r="C3670" s="95"/>
      <c r="D3670" s="95"/>
      <c r="E3670" s="95"/>
      <c r="F3670" s="95"/>
      <c r="G3670" s="95"/>
      <c r="H3670" s="95"/>
      <c r="I3670" s="95"/>
      <c r="J3670" s="95"/>
      <c r="K3670" s="95"/>
      <c r="L3670" s="95"/>
      <c r="M3670" s="95"/>
      <c r="N3670" s="95"/>
      <c r="O3670" s="95"/>
      <c r="P3670" s="95"/>
      <c r="Q3670" s="95"/>
      <c r="R3670" s="95"/>
      <c r="S3670" s="95"/>
      <c r="T3670" s="95">
        <f>IF($T$3539&gt;0,IPMT('Assumptions (CSP)'!$V$7,Model!W$1,'Assumptions (CSP)'!$V$10,'Assumptions (CSP)'!$V$5*Model!$T$3539*AVERAGE('Assumptions (CSP)'!$P$2:$R$2)/10^9),0)</f>
        <v>0</v>
      </c>
      <c r="U3670" s="95">
        <f>IF($T$3539&gt;0,IPMT('Assumptions (CSP)'!$V$7,Model!X$1,'Assumptions (CSP)'!$V$10,'Assumptions (CSP)'!$V$5*Model!$T$3539*AVERAGE('Assumptions (CSP)'!$P$2:$R$2)/10^9),0)</f>
        <v>0</v>
      </c>
      <c r="V3670" s="95">
        <f>IF($T$3539&gt;0,IPMT('Assumptions (CSP)'!$V$7,Model!Y$1,'Assumptions (CSP)'!$V$10,'Assumptions (CSP)'!$V$5*Model!$T$3539*AVERAGE('Assumptions (CSP)'!$P$2:$R$2)/10^9),0)</f>
        <v>0</v>
      </c>
      <c r="W3670" s="95">
        <f>IF($T$3539&gt;0,IPMT('Assumptions (CSP)'!$V$7,Model!Z$1,'Assumptions (CSP)'!$V$10,'Assumptions (CSP)'!$V$5*Model!$T$3539*AVERAGE('Assumptions (CSP)'!$P$2:$R$2)/10^9),0)</f>
        <v>0</v>
      </c>
      <c r="X3670" s="95">
        <f>IF($T$3539&gt;0,IPMT('Assumptions (CSP)'!$V$7,Model!AA$1,'Assumptions (CSP)'!$V$10,'Assumptions (CSP)'!$V$5*Model!$T$3539*AVERAGE('Assumptions (CSP)'!$P$2:$R$2)/10^9),0)</f>
        <v>0</v>
      </c>
      <c r="Y3670" s="95">
        <f>IF($T$3539&gt;0,IPMT('Assumptions (CSP)'!$V$7,Model!AB$1,'Assumptions (CSP)'!$V$10,'Assumptions (CSP)'!$V$5*Model!$T$3539*AVERAGE('Assumptions (CSP)'!$P$2:$R$2)/10^9),0)</f>
        <v>0</v>
      </c>
      <c r="Z3670" s="95">
        <f>IF($T$3539&gt;0,IPMT('Assumptions (CSP)'!$V$7,Model!AC$1,'Assumptions (CSP)'!$V$10,'Assumptions (CSP)'!$V$5*Model!$T$3539*AVERAGE('Assumptions (CSP)'!$P$2:$R$2)/10^9),0)</f>
        <v>0</v>
      </c>
      <c r="AA3670" s="95">
        <f>IF($T$3539&gt;0,IPMT('Assumptions (CSP)'!$V$7,Model!AD$1,'Assumptions (CSP)'!$V$10,'Assumptions (CSP)'!$V$5*Model!$T$3539*AVERAGE('Assumptions (CSP)'!$P$2:$R$2)/10^9),0)</f>
        <v>0</v>
      </c>
      <c r="AB3670" s="95">
        <f>IF($T$3539&gt;0,IPMT('Assumptions (CSP)'!$V$7,Model!AE$1,'Assumptions (CSP)'!$V$10,'Assumptions (CSP)'!$V$5*Model!$T$3539*AVERAGE('Assumptions (CSP)'!$P$2:$R$2)/10^9),0)</f>
        <v>0</v>
      </c>
      <c r="AC3670" s="95">
        <f>IF($T$3539&gt;0,IPMT('Assumptions (CSP)'!$V$7,Model!AF$1,'Assumptions (CSP)'!$V$10,'Assumptions (CSP)'!$V$5*Model!$T$3539*AVERAGE('Assumptions (CSP)'!$P$2:$R$2)/10^9),0)</f>
        <v>0</v>
      </c>
      <c r="AD3670" s="95">
        <f>IF($T$3539&gt;0,IPMT('Assumptions (CSP)'!$V$7,Model!AG$1,'Assumptions (CSP)'!$V$10,'Assumptions (CSP)'!$V$5*Model!$T$3539*AVERAGE('Assumptions (CSP)'!$P$2:$R$2)/10^9),0)</f>
        <v>0</v>
      </c>
      <c r="AE3670" s="95">
        <f>IF($T$3539&gt;0,IPMT('Assumptions (CSP)'!$V$7,Model!AH$1,'Assumptions (CSP)'!$V$10,'Assumptions (CSP)'!$V$5*Model!$T$3539*AVERAGE('Assumptions (CSP)'!$P$2:$R$2)/10^9),0)</f>
        <v>0</v>
      </c>
      <c r="AF3670" s="95">
        <f>IF($T$3539&gt;0,IPMT('Assumptions (CSP)'!$V$7,Model!AI$1,'Assumptions (CSP)'!$V$10,'Assumptions (CSP)'!$V$5*Model!$T$3539*AVERAGE('Assumptions (CSP)'!$P$2:$R$2)/10^9),0)</f>
        <v>0</v>
      </c>
      <c r="AG3670" s="95">
        <f>IF($T$3539&gt;0,IPMT('Assumptions (CSP)'!$V$7,Model!AJ$1,'Assumptions (CSP)'!$V$10,'Assumptions (CSP)'!$V$5*Model!$T$3539*AVERAGE('Assumptions (CSP)'!$P$2:$R$2)/10^9),0)</f>
        <v>0</v>
      </c>
      <c r="AH3670" s="95">
        <f>IF($T$3539&gt;0,IPMT('Assumptions (CSP)'!$V$7,Model!AK$1,'Assumptions (CSP)'!$V$10,'Assumptions (CSP)'!$V$5*Model!$T$3539*AVERAGE('Assumptions (CSP)'!$P$2:$R$2)/10^9),0)</f>
        <v>0</v>
      </c>
      <c r="AI3670" s="95"/>
      <c r="AJ3670" s="95"/>
      <c r="AK3670" s="95"/>
      <c r="AL3670" s="95"/>
      <c r="AM3670" s="95"/>
      <c r="AN3670" s="95"/>
      <c r="AO3670" s="95"/>
      <c r="AP3670" s="95"/>
      <c r="AQ3670" s="95"/>
      <c r="AR3670" s="95"/>
      <c r="AS3670" s="95"/>
      <c r="AT3670" s="95"/>
      <c r="AU3670" s="95"/>
      <c r="AV3670" s="95"/>
      <c r="AW3670" s="95"/>
      <c r="AX3670" s="95"/>
      <c r="AY3670" s="95"/>
      <c r="AZ3670" s="95"/>
      <c r="BA3670" s="95"/>
    </row>
    <row r="3671" ht="15.75" hidden="1" customHeight="1">
      <c r="A3671" s="395"/>
      <c r="B3671" s="24"/>
      <c r="C3671" s="95"/>
      <c r="D3671" s="95"/>
      <c r="E3671" s="95"/>
      <c r="F3671" s="95"/>
      <c r="G3671" s="95"/>
      <c r="H3671" s="95"/>
      <c r="I3671" s="95"/>
      <c r="J3671" s="95"/>
      <c r="K3671" s="95"/>
      <c r="L3671" s="95"/>
      <c r="M3671" s="95"/>
      <c r="N3671" s="95"/>
      <c r="O3671" s="95"/>
      <c r="P3671" s="95"/>
      <c r="Q3671" s="95"/>
      <c r="R3671" s="95"/>
      <c r="S3671" s="95"/>
      <c r="T3671" s="95"/>
      <c r="U3671" s="95">
        <f>IF($U$3539&gt;0,IPMT('Assumptions (CSP)'!$V$7,Model!W$1,'Assumptions (CSP)'!$V$10,'Assumptions (CSP)'!$V$5*Model!$U$3539*AVERAGE('Assumptions (CSP)'!$Q$2:$S$2)/10^9),0)</f>
        <v>0</v>
      </c>
      <c r="V3671" s="95">
        <f>IF($U$3539&gt;0,IPMT('Assumptions (CSP)'!$V$7,Model!X$1,'Assumptions (CSP)'!$V$10,'Assumptions (CSP)'!$V$5*Model!$U$3539*AVERAGE('Assumptions (CSP)'!$Q$2:$S$2)/10^9),0)</f>
        <v>0</v>
      </c>
      <c r="W3671" s="95">
        <f>IF($U$3539&gt;0,IPMT('Assumptions (CSP)'!$V$7,Model!Y$1,'Assumptions (CSP)'!$V$10,'Assumptions (CSP)'!$V$5*Model!$U$3539*AVERAGE('Assumptions (CSP)'!$Q$2:$S$2)/10^9),0)</f>
        <v>0</v>
      </c>
      <c r="X3671" s="95">
        <f>IF($U$3539&gt;0,IPMT('Assumptions (CSP)'!$V$7,Model!Z$1,'Assumptions (CSP)'!$V$10,'Assumptions (CSP)'!$V$5*Model!$U$3539*AVERAGE('Assumptions (CSP)'!$Q$2:$S$2)/10^9),0)</f>
        <v>0</v>
      </c>
      <c r="Y3671" s="95">
        <f>IF($U$3539&gt;0,IPMT('Assumptions (CSP)'!$V$7,Model!AA$1,'Assumptions (CSP)'!$V$10,'Assumptions (CSP)'!$V$5*Model!$U$3539*AVERAGE('Assumptions (CSP)'!$Q$2:$S$2)/10^9),0)</f>
        <v>0</v>
      </c>
      <c r="Z3671" s="95">
        <f>IF($U$3539&gt;0,IPMT('Assumptions (CSP)'!$V$7,Model!AB$1,'Assumptions (CSP)'!$V$10,'Assumptions (CSP)'!$V$5*Model!$U$3539*AVERAGE('Assumptions (CSP)'!$Q$2:$S$2)/10^9),0)</f>
        <v>0</v>
      </c>
      <c r="AA3671" s="95">
        <f>IF($U$3539&gt;0,IPMT('Assumptions (CSP)'!$V$7,Model!AC$1,'Assumptions (CSP)'!$V$10,'Assumptions (CSP)'!$V$5*Model!$U$3539*AVERAGE('Assumptions (CSP)'!$Q$2:$S$2)/10^9),0)</f>
        <v>0</v>
      </c>
      <c r="AB3671" s="95">
        <f>IF($U$3539&gt;0,IPMT('Assumptions (CSP)'!$V$7,Model!AD$1,'Assumptions (CSP)'!$V$10,'Assumptions (CSP)'!$V$5*Model!$U$3539*AVERAGE('Assumptions (CSP)'!$Q$2:$S$2)/10^9),0)</f>
        <v>0</v>
      </c>
      <c r="AC3671" s="95">
        <f>IF($U$3539&gt;0,IPMT('Assumptions (CSP)'!$V$7,Model!AE$1,'Assumptions (CSP)'!$V$10,'Assumptions (CSP)'!$V$5*Model!$U$3539*AVERAGE('Assumptions (CSP)'!$Q$2:$S$2)/10^9),0)</f>
        <v>0</v>
      </c>
      <c r="AD3671" s="95">
        <f>IF($U$3539&gt;0,IPMT('Assumptions (CSP)'!$V$7,Model!AF$1,'Assumptions (CSP)'!$V$10,'Assumptions (CSP)'!$V$5*Model!$U$3539*AVERAGE('Assumptions (CSP)'!$Q$2:$S$2)/10^9),0)</f>
        <v>0</v>
      </c>
      <c r="AE3671" s="95">
        <f>IF($U$3539&gt;0,IPMT('Assumptions (CSP)'!$V$7,Model!AG$1,'Assumptions (CSP)'!$V$10,'Assumptions (CSP)'!$V$5*Model!$U$3539*AVERAGE('Assumptions (CSP)'!$Q$2:$S$2)/10^9),0)</f>
        <v>0</v>
      </c>
      <c r="AF3671" s="95">
        <f>IF($U$3539&gt;0,IPMT('Assumptions (CSP)'!$V$7,Model!AH$1,'Assumptions (CSP)'!$V$10,'Assumptions (CSP)'!$V$5*Model!$U$3539*AVERAGE('Assumptions (CSP)'!$Q$2:$S$2)/10^9),0)</f>
        <v>0</v>
      </c>
      <c r="AG3671" s="95">
        <f>IF($U$3539&gt;0,IPMT('Assumptions (CSP)'!$V$7,Model!AI$1,'Assumptions (CSP)'!$V$10,'Assumptions (CSP)'!$V$5*Model!$U$3539*AVERAGE('Assumptions (CSP)'!$Q$2:$S$2)/10^9),0)</f>
        <v>0</v>
      </c>
      <c r="AH3671" s="95">
        <f>IF($U$3539&gt;0,IPMT('Assumptions (CSP)'!$V$7,Model!AJ$1,'Assumptions (CSP)'!$V$10,'Assumptions (CSP)'!$V$5*Model!$U$3539*AVERAGE('Assumptions (CSP)'!$Q$2:$S$2)/10^9),0)</f>
        <v>0</v>
      </c>
      <c r="AI3671" s="95">
        <f>IF($U$3539&gt;0,IPMT('Assumptions (CSP)'!$V$7,Model!AK$1,'Assumptions (CSP)'!$V$10,'Assumptions (CSP)'!$V$5*Model!$U$3539*AVERAGE('Assumptions (CSP)'!$Q$2:$S$2)/10^9),0)</f>
        <v>0</v>
      </c>
      <c r="AJ3671" s="95"/>
      <c r="AK3671" s="95"/>
      <c r="AL3671" s="95"/>
      <c r="AM3671" s="95"/>
      <c r="AN3671" s="95"/>
      <c r="AO3671" s="95"/>
      <c r="AP3671" s="95"/>
      <c r="AQ3671" s="95"/>
      <c r="AR3671" s="95"/>
      <c r="AS3671" s="95"/>
      <c r="AT3671" s="95"/>
      <c r="AU3671" s="95"/>
      <c r="AV3671" s="95"/>
      <c r="AW3671" s="95"/>
      <c r="AX3671" s="95"/>
      <c r="AY3671" s="95"/>
      <c r="AZ3671" s="95"/>
      <c r="BA3671" s="95"/>
    </row>
    <row r="3672" ht="15.75" hidden="1" customHeight="1">
      <c r="A3672" s="395"/>
      <c r="B3672" s="24"/>
      <c r="C3672" s="95"/>
      <c r="D3672" s="95"/>
      <c r="E3672" s="95"/>
      <c r="F3672" s="95"/>
      <c r="G3672" s="95"/>
      <c r="H3672" s="95"/>
      <c r="I3672" s="95"/>
      <c r="J3672" s="95"/>
      <c r="K3672" s="95"/>
      <c r="L3672" s="95"/>
      <c r="M3672" s="95"/>
      <c r="N3672" s="95"/>
      <c r="O3672" s="95"/>
      <c r="P3672" s="95"/>
      <c r="Q3672" s="95"/>
      <c r="R3672" s="95"/>
      <c r="S3672" s="95"/>
      <c r="T3672" s="95"/>
      <c r="U3672" s="95"/>
      <c r="V3672" s="95">
        <f>IF($V$3539&gt;0,IPMT('Assumptions (CSP)'!$V$7,Model!W$1,'Assumptions (CSP)'!$V$10,'Assumptions (CSP)'!$V$5*Model!$V$3539*AVERAGE('Assumptions (CSP)'!$R$2:$T$2)/10^9),0)</f>
        <v>0</v>
      </c>
      <c r="W3672" s="95">
        <f>IF($V$3539&gt;0,IPMT('Assumptions (CSP)'!$V$7,Model!X$1,'Assumptions (CSP)'!$V$10,'Assumptions (CSP)'!$V$5*Model!$V$3539*AVERAGE('Assumptions (CSP)'!$R$2:$T$2)/10^9),0)</f>
        <v>0</v>
      </c>
      <c r="X3672" s="95">
        <f>IF($V$3539&gt;0,IPMT('Assumptions (CSP)'!$V$7,Model!Y$1,'Assumptions (CSP)'!$V$10,'Assumptions (CSP)'!$V$5*Model!$V$3539*AVERAGE('Assumptions (CSP)'!$R$2:$T$2)/10^9),0)</f>
        <v>0</v>
      </c>
      <c r="Y3672" s="95">
        <f>IF($V$3539&gt;0,IPMT('Assumptions (CSP)'!$V$7,Model!Z$1,'Assumptions (CSP)'!$V$10,'Assumptions (CSP)'!$V$5*Model!$V$3539*AVERAGE('Assumptions (CSP)'!$R$2:$T$2)/10^9),0)</f>
        <v>0</v>
      </c>
      <c r="Z3672" s="95">
        <f>IF($V$3539&gt;0,IPMT('Assumptions (CSP)'!$V$7,Model!AA$1,'Assumptions (CSP)'!$V$10,'Assumptions (CSP)'!$V$5*Model!$V$3539*AVERAGE('Assumptions (CSP)'!$R$2:$T$2)/10^9),0)</f>
        <v>0</v>
      </c>
      <c r="AA3672" s="95">
        <f>IF($V$3539&gt;0,IPMT('Assumptions (CSP)'!$V$7,Model!AB$1,'Assumptions (CSP)'!$V$10,'Assumptions (CSP)'!$V$5*Model!$V$3539*AVERAGE('Assumptions (CSP)'!$R$2:$T$2)/10^9),0)</f>
        <v>0</v>
      </c>
      <c r="AB3672" s="95">
        <f>IF($V$3539&gt;0,IPMT('Assumptions (CSP)'!$V$7,Model!AC$1,'Assumptions (CSP)'!$V$10,'Assumptions (CSP)'!$V$5*Model!$V$3539*AVERAGE('Assumptions (CSP)'!$R$2:$T$2)/10^9),0)</f>
        <v>0</v>
      </c>
      <c r="AC3672" s="95">
        <f>IF($V$3539&gt;0,IPMT('Assumptions (CSP)'!$V$7,Model!AD$1,'Assumptions (CSP)'!$V$10,'Assumptions (CSP)'!$V$5*Model!$V$3539*AVERAGE('Assumptions (CSP)'!$R$2:$T$2)/10^9),0)</f>
        <v>0</v>
      </c>
      <c r="AD3672" s="95">
        <f>IF($V$3539&gt;0,IPMT('Assumptions (CSP)'!$V$7,Model!AE$1,'Assumptions (CSP)'!$V$10,'Assumptions (CSP)'!$V$5*Model!$V$3539*AVERAGE('Assumptions (CSP)'!$R$2:$T$2)/10^9),0)</f>
        <v>0</v>
      </c>
      <c r="AE3672" s="95">
        <f>IF($V$3539&gt;0,IPMT('Assumptions (CSP)'!$V$7,Model!AF$1,'Assumptions (CSP)'!$V$10,'Assumptions (CSP)'!$V$5*Model!$V$3539*AVERAGE('Assumptions (CSP)'!$R$2:$T$2)/10^9),0)</f>
        <v>0</v>
      </c>
      <c r="AF3672" s="95">
        <f>IF($V$3539&gt;0,IPMT('Assumptions (CSP)'!$V$7,Model!AG$1,'Assumptions (CSP)'!$V$10,'Assumptions (CSP)'!$V$5*Model!$V$3539*AVERAGE('Assumptions (CSP)'!$R$2:$T$2)/10^9),0)</f>
        <v>0</v>
      </c>
      <c r="AG3672" s="95">
        <f>IF($V$3539&gt;0,IPMT('Assumptions (CSP)'!$V$7,Model!AH$1,'Assumptions (CSP)'!$V$10,'Assumptions (CSP)'!$V$5*Model!$V$3539*AVERAGE('Assumptions (CSP)'!$R$2:$T$2)/10^9),0)</f>
        <v>0</v>
      </c>
      <c r="AH3672" s="95">
        <f>IF($V$3539&gt;0,IPMT('Assumptions (CSP)'!$V$7,Model!AI$1,'Assumptions (CSP)'!$V$10,'Assumptions (CSP)'!$V$5*Model!$V$3539*AVERAGE('Assumptions (CSP)'!$R$2:$T$2)/10^9),0)</f>
        <v>0</v>
      </c>
      <c r="AI3672" s="95">
        <f>IF($V$3539&gt;0,IPMT('Assumptions (CSP)'!$V$7,Model!AJ$1,'Assumptions (CSP)'!$V$10,'Assumptions (CSP)'!$V$5*Model!$V$3539*AVERAGE('Assumptions (CSP)'!$R$2:$T$2)/10^9),0)</f>
        <v>0</v>
      </c>
      <c r="AJ3672" s="95">
        <f>IF($V$3539&gt;0,IPMT('Assumptions (CSP)'!$V$7,Model!AK$1,'Assumptions (CSP)'!$V$10,'Assumptions (CSP)'!$V$5*Model!$V$3539*AVERAGE('Assumptions (CSP)'!$R$2:$T$2)/10^9),0)</f>
        <v>0</v>
      </c>
      <c r="AK3672" s="95"/>
      <c r="AL3672" s="95"/>
      <c r="AM3672" s="95"/>
      <c r="AN3672" s="95"/>
      <c r="AO3672" s="95"/>
      <c r="AP3672" s="95"/>
      <c r="AQ3672" s="95"/>
      <c r="AR3672" s="95"/>
      <c r="AS3672" s="95"/>
      <c r="AT3672" s="95"/>
      <c r="AU3672" s="95"/>
      <c r="AV3672" s="95"/>
      <c r="AW3672" s="95"/>
      <c r="AX3672" s="95"/>
      <c r="AY3672" s="95"/>
      <c r="AZ3672" s="95"/>
      <c r="BA3672" s="95"/>
    </row>
    <row r="3673" ht="15.75" hidden="1" customHeight="1">
      <c r="A3673" s="395"/>
      <c r="B3673" s="24"/>
      <c r="C3673" s="95"/>
      <c r="D3673" s="95"/>
      <c r="E3673" s="95"/>
      <c r="F3673" s="95"/>
      <c r="G3673" s="95"/>
      <c r="H3673" s="95"/>
      <c r="I3673" s="95"/>
      <c r="J3673" s="95"/>
      <c r="K3673" s="95"/>
      <c r="L3673" s="95"/>
      <c r="M3673" s="95"/>
      <c r="N3673" s="95"/>
      <c r="O3673" s="95"/>
      <c r="P3673" s="95"/>
      <c r="Q3673" s="95"/>
      <c r="R3673" s="95"/>
      <c r="S3673" s="95"/>
      <c r="T3673" s="95"/>
      <c r="U3673" s="95"/>
      <c r="V3673" s="95"/>
      <c r="W3673" s="95">
        <f>IF($W$3539&gt;0,IPMT('Assumptions (CSP)'!$V$7,Model!W$1,'Assumptions (CSP)'!$V$10,'Assumptions (CSP)'!$V$5*Model!$W$3539*AVERAGE('Assumptions (CSP)'!$S$2:$U$2)/10^9),0)</f>
        <v>0</v>
      </c>
      <c r="X3673" s="95">
        <f>IF($W$3539&gt;0,IPMT('Assumptions (CSP)'!$V$7,Model!X$1,'Assumptions (CSP)'!$V$10,'Assumptions (CSP)'!$V$5*Model!$W$3539*AVERAGE('Assumptions (CSP)'!$S$2:$U$2)/10^9),0)</f>
        <v>0</v>
      </c>
      <c r="Y3673" s="95">
        <f>IF($W$3539&gt;0,IPMT('Assumptions (CSP)'!$V$7,Model!Y$1,'Assumptions (CSP)'!$V$10,'Assumptions (CSP)'!$V$5*Model!$W$3539*AVERAGE('Assumptions (CSP)'!$S$2:$U$2)/10^9),0)</f>
        <v>0</v>
      </c>
      <c r="Z3673" s="95">
        <f>IF($W$3539&gt;0,IPMT('Assumptions (CSP)'!$V$7,Model!Z$1,'Assumptions (CSP)'!$V$10,'Assumptions (CSP)'!$V$5*Model!$W$3539*AVERAGE('Assumptions (CSP)'!$S$2:$U$2)/10^9),0)</f>
        <v>0</v>
      </c>
      <c r="AA3673" s="95">
        <f>IF($W$3539&gt;0,IPMT('Assumptions (CSP)'!$V$7,Model!AA$1,'Assumptions (CSP)'!$V$10,'Assumptions (CSP)'!$V$5*Model!$W$3539*AVERAGE('Assumptions (CSP)'!$S$2:$U$2)/10^9),0)</f>
        <v>0</v>
      </c>
      <c r="AB3673" s="95">
        <f>IF($W$3539&gt;0,IPMT('Assumptions (CSP)'!$V$7,Model!AB$1,'Assumptions (CSP)'!$V$10,'Assumptions (CSP)'!$V$5*Model!$W$3539*AVERAGE('Assumptions (CSP)'!$S$2:$U$2)/10^9),0)</f>
        <v>0</v>
      </c>
      <c r="AC3673" s="95">
        <f>IF($W$3539&gt;0,IPMT('Assumptions (CSP)'!$V$7,Model!AC$1,'Assumptions (CSP)'!$V$10,'Assumptions (CSP)'!$V$5*Model!$W$3539*AVERAGE('Assumptions (CSP)'!$S$2:$U$2)/10^9),0)</f>
        <v>0</v>
      </c>
      <c r="AD3673" s="95">
        <f>IF($W$3539&gt;0,IPMT('Assumptions (CSP)'!$V$7,Model!AD$1,'Assumptions (CSP)'!$V$10,'Assumptions (CSP)'!$V$5*Model!$W$3539*AVERAGE('Assumptions (CSP)'!$S$2:$U$2)/10^9),0)</f>
        <v>0</v>
      </c>
      <c r="AE3673" s="95">
        <f>IF($W$3539&gt;0,IPMT('Assumptions (CSP)'!$V$7,Model!AE$1,'Assumptions (CSP)'!$V$10,'Assumptions (CSP)'!$V$5*Model!$W$3539*AVERAGE('Assumptions (CSP)'!$S$2:$U$2)/10^9),0)</f>
        <v>0</v>
      </c>
      <c r="AF3673" s="95">
        <f>IF($W$3539&gt;0,IPMT('Assumptions (CSP)'!$V$7,Model!AF$1,'Assumptions (CSP)'!$V$10,'Assumptions (CSP)'!$V$5*Model!$W$3539*AVERAGE('Assumptions (CSP)'!$S$2:$U$2)/10^9),0)</f>
        <v>0</v>
      </c>
      <c r="AG3673" s="95">
        <f>IF($W$3539&gt;0,IPMT('Assumptions (CSP)'!$V$7,Model!AG$1,'Assumptions (CSP)'!$V$10,'Assumptions (CSP)'!$V$5*Model!$W$3539*AVERAGE('Assumptions (CSP)'!$S$2:$U$2)/10^9),0)</f>
        <v>0</v>
      </c>
      <c r="AH3673" s="95">
        <f>IF($W$3539&gt;0,IPMT('Assumptions (CSP)'!$V$7,Model!AH$1,'Assumptions (CSP)'!$V$10,'Assumptions (CSP)'!$V$5*Model!$W$3539*AVERAGE('Assumptions (CSP)'!$S$2:$U$2)/10^9),0)</f>
        <v>0</v>
      </c>
      <c r="AI3673" s="95">
        <f>IF($W$3539&gt;0,IPMT('Assumptions (CSP)'!$V$7,Model!AI$1,'Assumptions (CSP)'!$V$10,'Assumptions (CSP)'!$V$5*Model!$W$3539*AVERAGE('Assumptions (CSP)'!$S$2:$U$2)/10^9),0)</f>
        <v>0</v>
      </c>
      <c r="AJ3673" s="95">
        <f>IF($W$3539&gt;0,IPMT('Assumptions (CSP)'!$V$7,Model!AJ$1,'Assumptions (CSP)'!$V$10,'Assumptions (CSP)'!$V$5*Model!$W$3539*AVERAGE('Assumptions (CSP)'!$S$2:$U$2)/10^9),0)</f>
        <v>0</v>
      </c>
      <c r="AK3673" s="95">
        <f>IF($W$3539&gt;0,IPMT('Assumptions (CSP)'!$V$7,Model!AK$1,'Assumptions (CSP)'!$V$10,'Assumptions (CSP)'!$V$5*Model!$W$3539*AVERAGE('Assumptions (CSP)'!$S$2:$U$2)/10^9),0)</f>
        <v>0</v>
      </c>
      <c r="AL3673" s="95"/>
      <c r="AM3673" s="95"/>
      <c r="AN3673" s="95"/>
      <c r="AO3673" s="95"/>
      <c r="AP3673" s="95"/>
      <c r="AQ3673" s="95"/>
      <c r="AR3673" s="95"/>
      <c r="AS3673" s="95"/>
      <c r="AT3673" s="95"/>
      <c r="AU3673" s="95"/>
      <c r="AV3673" s="95"/>
      <c r="AW3673" s="95"/>
      <c r="AX3673" s="95"/>
      <c r="AY3673" s="95"/>
      <c r="AZ3673" s="95"/>
      <c r="BA3673" s="95"/>
    </row>
    <row r="3674" ht="15.75" hidden="1" customHeight="1">
      <c r="A3674" s="395"/>
      <c r="B3674" s="24"/>
      <c r="C3674" s="95"/>
      <c r="D3674" s="95"/>
      <c r="E3674" s="95"/>
      <c r="F3674" s="95"/>
      <c r="G3674" s="95"/>
      <c r="H3674" s="95"/>
      <c r="I3674" s="95"/>
      <c r="J3674" s="95"/>
      <c r="K3674" s="95"/>
      <c r="L3674" s="95"/>
      <c r="M3674" s="95"/>
      <c r="N3674" s="95"/>
      <c r="O3674" s="95"/>
      <c r="P3674" s="95"/>
      <c r="Q3674" s="95"/>
      <c r="R3674" s="95"/>
      <c r="S3674" s="95"/>
      <c r="T3674" s="95"/>
      <c r="U3674" s="95"/>
      <c r="V3674" s="95"/>
      <c r="W3674" s="95"/>
      <c r="X3674" s="95">
        <f>IF($X$3539&gt;0,IPMT('Assumptions (CSP)'!$V$7,Model!W$1,'Assumptions (CSP)'!$V$10,'Assumptions (CSP)'!$V$5*Model!$X$3539*AVERAGE('Assumptions (CSP)'!$T$2:$V$2)/10^9),0)</f>
        <v>0</v>
      </c>
      <c r="Y3674" s="95">
        <f>IF($X$3539&gt;0,IPMT('Assumptions (CSP)'!$V$7,Model!X$1,'Assumptions (CSP)'!$V$10,'Assumptions (CSP)'!$V$5*Model!$X$3539*AVERAGE('Assumptions (CSP)'!$T$2:$V$2)/10^9),0)</f>
        <v>0</v>
      </c>
      <c r="Z3674" s="95">
        <f>IF($X$3539&gt;0,IPMT('Assumptions (CSP)'!$V$7,Model!Y$1,'Assumptions (CSP)'!$V$10,'Assumptions (CSP)'!$V$5*Model!$X$3539*AVERAGE('Assumptions (CSP)'!$T$2:$V$2)/10^9),0)</f>
        <v>0</v>
      </c>
      <c r="AA3674" s="95">
        <f>IF($X$3539&gt;0,IPMT('Assumptions (CSP)'!$V$7,Model!Z$1,'Assumptions (CSP)'!$V$10,'Assumptions (CSP)'!$V$5*Model!$X$3539*AVERAGE('Assumptions (CSP)'!$T$2:$V$2)/10^9),0)</f>
        <v>0</v>
      </c>
      <c r="AB3674" s="95">
        <f>IF($X$3539&gt;0,IPMT('Assumptions (CSP)'!$V$7,Model!AA$1,'Assumptions (CSP)'!$V$10,'Assumptions (CSP)'!$V$5*Model!$X$3539*AVERAGE('Assumptions (CSP)'!$T$2:$V$2)/10^9),0)</f>
        <v>0</v>
      </c>
      <c r="AC3674" s="95">
        <f>IF($X$3539&gt;0,IPMT('Assumptions (CSP)'!$V$7,Model!AB$1,'Assumptions (CSP)'!$V$10,'Assumptions (CSP)'!$V$5*Model!$X$3539*AVERAGE('Assumptions (CSP)'!$T$2:$V$2)/10^9),0)</f>
        <v>0</v>
      </c>
      <c r="AD3674" s="95">
        <f>IF($X$3539&gt;0,IPMT('Assumptions (CSP)'!$V$7,Model!AC$1,'Assumptions (CSP)'!$V$10,'Assumptions (CSP)'!$V$5*Model!$X$3539*AVERAGE('Assumptions (CSP)'!$T$2:$V$2)/10^9),0)</f>
        <v>0</v>
      </c>
      <c r="AE3674" s="95">
        <f>IF($X$3539&gt;0,IPMT('Assumptions (CSP)'!$V$7,Model!AD$1,'Assumptions (CSP)'!$V$10,'Assumptions (CSP)'!$V$5*Model!$X$3539*AVERAGE('Assumptions (CSP)'!$T$2:$V$2)/10^9),0)</f>
        <v>0</v>
      </c>
      <c r="AF3674" s="95">
        <f>IF($X$3539&gt;0,IPMT('Assumptions (CSP)'!$V$7,Model!AE$1,'Assumptions (CSP)'!$V$10,'Assumptions (CSP)'!$V$5*Model!$X$3539*AVERAGE('Assumptions (CSP)'!$T$2:$V$2)/10^9),0)</f>
        <v>0</v>
      </c>
      <c r="AG3674" s="95">
        <f>IF($X$3539&gt;0,IPMT('Assumptions (CSP)'!$V$7,Model!AF$1,'Assumptions (CSP)'!$V$10,'Assumptions (CSP)'!$V$5*Model!$X$3539*AVERAGE('Assumptions (CSP)'!$T$2:$V$2)/10^9),0)</f>
        <v>0</v>
      </c>
      <c r="AH3674" s="95">
        <f>IF($X$3539&gt;0,IPMT('Assumptions (CSP)'!$V$7,Model!AG$1,'Assumptions (CSP)'!$V$10,'Assumptions (CSP)'!$V$5*Model!$X$3539*AVERAGE('Assumptions (CSP)'!$T$2:$V$2)/10^9),0)</f>
        <v>0</v>
      </c>
      <c r="AI3674" s="95">
        <f>IF($X$3539&gt;0,IPMT('Assumptions (CSP)'!$V$7,Model!AH$1,'Assumptions (CSP)'!$V$10,'Assumptions (CSP)'!$V$5*Model!$X$3539*AVERAGE('Assumptions (CSP)'!$T$2:$V$2)/10^9),0)</f>
        <v>0</v>
      </c>
      <c r="AJ3674" s="95">
        <f>IF($X$3539&gt;0,IPMT('Assumptions (CSP)'!$V$7,Model!AI$1,'Assumptions (CSP)'!$V$10,'Assumptions (CSP)'!$V$5*Model!$X$3539*AVERAGE('Assumptions (CSP)'!$T$2:$V$2)/10^9),0)</f>
        <v>0</v>
      </c>
      <c r="AK3674" s="95">
        <f>IF($X$3539&gt;0,IPMT('Assumptions (CSP)'!$V$7,Model!AJ$1,'Assumptions (CSP)'!$V$10,'Assumptions (CSP)'!$V$5*Model!$X$3539*AVERAGE('Assumptions (CSP)'!$T$2:$V$2)/10^9),0)</f>
        <v>0</v>
      </c>
      <c r="AL3674" s="95">
        <f>IF($X$3539&gt;0,IPMT('Assumptions (CSP)'!$V$7,Model!AK$1,'Assumptions (CSP)'!$V$10,'Assumptions (CSP)'!$V$5*Model!$X$3539*AVERAGE('Assumptions (CSP)'!$T$2:$V$2)/10^9),0)</f>
        <v>0</v>
      </c>
      <c r="AM3674" s="95"/>
      <c r="AN3674" s="95"/>
      <c r="AO3674" s="95"/>
      <c r="AP3674" s="95"/>
      <c r="AQ3674" s="95"/>
      <c r="AR3674" s="95"/>
      <c r="AS3674" s="95"/>
      <c r="AT3674" s="95"/>
      <c r="AU3674" s="95"/>
      <c r="AV3674" s="95"/>
      <c r="AW3674" s="95"/>
      <c r="AX3674" s="95"/>
      <c r="AY3674" s="95"/>
      <c r="AZ3674" s="95"/>
      <c r="BA3674" s="95"/>
    </row>
    <row r="3675" ht="15.75" hidden="1" customHeight="1">
      <c r="A3675" s="395"/>
      <c r="B3675" s="24"/>
      <c r="C3675" s="95"/>
      <c r="D3675" s="95"/>
      <c r="E3675" s="95"/>
      <c r="F3675" s="95"/>
      <c r="G3675" s="95"/>
      <c r="H3675" s="95"/>
      <c r="I3675" s="95"/>
      <c r="J3675" s="95"/>
      <c r="K3675" s="95"/>
      <c r="L3675" s="95"/>
      <c r="M3675" s="95"/>
      <c r="N3675" s="95"/>
      <c r="O3675" s="95"/>
      <c r="P3675" s="95"/>
      <c r="Q3675" s="95"/>
      <c r="R3675" s="95"/>
      <c r="S3675" s="95"/>
      <c r="T3675" s="95"/>
      <c r="U3675" s="95"/>
      <c r="V3675" s="95"/>
      <c r="W3675" s="95"/>
      <c r="X3675" s="95"/>
      <c r="Y3675" s="95">
        <f>IF($Y$3539&gt;0,IPMT('Assumptions (CSP)'!$V$7,Model!W$1,'Assumptions (CSP)'!$V$10,'Assumptions (CSP)'!$V$5*Model!$Y$3539*AVERAGE('Assumptions (CSP)'!$U$2:$W$2)/10^9),0)</f>
        <v>0</v>
      </c>
      <c r="Z3675" s="95">
        <f>IF($Y$3539&gt;0,IPMT('Assumptions (CSP)'!$V$7,Model!X$1,'Assumptions (CSP)'!$V$10,'Assumptions (CSP)'!$V$5*Model!$Y$3539*AVERAGE('Assumptions (CSP)'!$U$2:$W$2)/10^9),0)</f>
        <v>0</v>
      </c>
      <c r="AA3675" s="95">
        <f>IF($Y$3539&gt;0,IPMT('Assumptions (CSP)'!$V$7,Model!Y$1,'Assumptions (CSP)'!$V$10,'Assumptions (CSP)'!$V$5*Model!$Y$3539*AVERAGE('Assumptions (CSP)'!$U$2:$W$2)/10^9),0)</f>
        <v>0</v>
      </c>
      <c r="AB3675" s="95">
        <f>IF($Y$3539&gt;0,IPMT('Assumptions (CSP)'!$V$7,Model!Z$1,'Assumptions (CSP)'!$V$10,'Assumptions (CSP)'!$V$5*Model!$Y$3539*AVERAGE('Assumptions (CSP)'!$U$2:$W$2)/10^9),0)</f>
        <v>0</v>
      </c>
      <c r="AC3675" s="95">
        <f>IF($Y$3539&gt;0,IPMT('Assumptions (CSP)'!$V$7,Model!AA$1,'Assumptions (CSP)'!$V$10,'Assumptions (CSP)'!$V$5*Model!$Y$3539*AVERAGE('Assumptions (CSP)'!$U$2:$W$2)/10^9),0)</f>
        <v>0</v>
      </c>
      <c r="AD3675" s="95">
        <f>IF($Y$3539&gt;0,IPMT('Assumptions (CSP)'!$V$7,Model!AB$1,'Assumptions (CSP)'!$V$10,'Assumptions (CSP)'!$V$5*Model!$Y$3539*AVERAGE('Assumptions (CSP)'!$U$2:$W$2)/10^9),0)</f>
        <v>0</v>
      </c>
      <c r="AE3675" s="95">
        <f>IF($Y$3539&gt;0,IPMT('Assumptions (CSP)'!$V$7,Model!AC$1,'Assumptions (CSP)'!$V$10,'Assumptions (CSP)'!$V$5*Model!$Y$3539*AVERAGE('Assumptions (CSP)'!$U$2:$W$2)/10^9),0)</f>
        <v>0</v>
      </c>
      <c r="AF3675" s="95">
        <f>IF($Y$3539&gt;0,IPMT('Assumptions (CSP)'!$V$7,Model!AD$1,'Assumptions (CSP)'!$V$10,'Assumptions (CSP)'!$V$5*Model!$Y$3539*AVERAGE('Assumptions (CSP)'!$U$2:$W$2)/10^9),0)</f>
        <v>0</v>
      </c>
      <c r="AG3675" s="95">
        <f>IF($Y$3539&gt;0,IPMT('Assumptions (CSP)'!$V$7,Model!AE$1,'Assumptions (CSP)'!$V$10,'Assumptions (CSP)'!$V$5*Model!$Y$3539*AVERAGE('Assumptions (CSP)'!$U$2:$W$2)/10^9),0)</f>
        <v>0</v>
      </c>
      <c r="AH3675" s="95">
        <f>IF($Y$3539&gt;0,IPMT('Assumptions (CSP)'!$V$7,Model!AF$1,'Assumptions (CSP)'!$V$10,'Assumptions (CSP)'!$V$5*Model!$Y$3539*AVERAGE('Assumptions (CSP)'!$U$2:$W$2)/10^9),0)</f>
        <v>0</v>
      </c>
      <c r="AI3675" s="95">
        <f>IF($Y$3539&gt;0,IPMT('Assumptions (CSP)'!$V$7,Model!AG$1,'Assumptions (CSP)'!$V$10,'Assumptions (CSP)'!$V$5*Model!$Y$3539*AVERAGE('Assumptions (CSP)'!$U$2:$W$2)/10^9),0)</f>
        <v>0</v>
      </c>
      <c r="AJ3675" s="95">
        <f>IF($Y$3539&gt;0,IPMT('Assumptions (CSP)'!$V$7,Model!AH$1,'Assumptions (CSP)'!$V$10,'Assumptions (CSP)'!$V$5*Model!$Y$3539*AVERAGE('Assumptions (CSP)'!$U$2:$W$2)/10^9),0)</f>
        <v>0</v>
      </c>
      <c r="AK3675" s="95">
        <f>IF($Y$3539&gt;0,IPMT('Assumptions (CSP)'!$V$7,Model!AI$1,'Assumptions (CSP)'!$V$10,'Assumptions (CSP)'!$V$5*Model!$Y$3539*AVERAGE('Assumptions (CSP)'!$U$2:$W$2)/10^9),0)</f>
        <v>0</v>
      </c>
      <c r="AL3675" s="95">
        <f>IF($Y$3539&gt;0,IPMT('Assumptions (CSP)'!$V$7,Model!AJ$1,'Assumptions (CSP)'!$V$10,'Assumptions (CSP)'!$V$5*Model!$Y$3539*AVERAGE('Assumptions (CSP)'!$U$2:$W$2)/10^9),0)</f>
        <v>0</v>
      </c>
      <c r="AM3675" s="95">
        <f>IF($Y$3539&gt;0,IPMT('Assumptions (CSP)'!$V$7,Model!AK$1,'Assumptions (CSP)'!$V$10,'Assumptions (CSP)'!$V$5*Model!$Y$3539*AVERAGE('Assumptions (CSP)'!$U$2:$W$2)/10^9),0)</f>
        <v>0</v>
      </c>
      <c r="AN3675" s="95"/>
      <c r="AO3675" s="95"/>
      <c r="AP3675" s="95"/>
      <c r="AQ3675" s="95"/>
      <c r="AR3675" s="95"/>
      <c r="AS3675" s="95"/>
      <c r="AT3675" s="95"/>
      <c r="AU3675" s="95"/>
      <c r="AV3675" s="95"/>
      <c r="AW3675" s="95"/>
      <c r="AX3675" s="95"/>
      <c r="AY3675" s="95"/>
      <c r="AZ3675" s="95"/>
      <c r="BA3675" s="95"/>
    </row>
    <row r="3676" ht="15.75" hidden="1" customHeight="1">
      <c r="A3676" s="395"/>
      <c r="B3676" s="24"/>
      <c r="C3676" s="95"/>
      <c r="D3676" s="95"/>
      <c r="E3676" s="95"/>
      <c r="F3676" s="95"/>
      <c r="G3676" s="95"/>
      <c r="H3676" s="95"/>
      <c r="I3676" s="95"/>
      <c r="J3676" s="95"/>
      <c r="K3676" s="95"/>
      <c r="L3676" s="95"/>
      <c r="M3676" s="95"/>
      <c r="N3676" s="95"/>
      <c r="O3676" s="95"/>
      <c r="P3676" s="95"/>
      <c r="Q3676" s="95"/>
      <c r="R3676" s="95"/>
      <c r="S3676" s="95"/>
      <c r="T3676" s="95"/>
      <c r="U3676" s="95"/>
      <c r="V3676" s="95"/>
      <c r="W3676" s="95"/>
      <c r="X3676" s="95"/>
      <c r="Y3676" s="95"/>
      <c r="Z3676" s="95">
        <f>IF($Z$3539&gt;0,IPMT('Assumptions (CSP)'!$V$7,Model!W$1,'Assumptions (CSP)'!$V$10,'Assumptions (CSP)'!$V$5*Model!$Z$3539*AVERAGE('Assumptions (CSP)'!$V$2:$X$2)/10^9),0)</f>
        <v>0</v>
      </c>
      <c r="AA3676" s="95">
        <f>IF($Z$3539&gt;0,IPMT('Assumptions (CSP)'!$V$7,Model!X$1,'Assumptions (CSP)'!$V$10,'Assumptions (CSP)'!$V$5*Model!$Z$3539*AVERAGE('Assumptions (CSP)'!$V$2:$X$2)/10^9),0)</f>
        <v>0</v>
      </c>
      <c r="AB3676" s="95">
        <f>IF($Z$3539&gt;0,IPMT('Assumptions (CSP)'!$V$7,Model!Y$1,'Assumptions (CSP)'!$V$10,'Assumptions (CSP)'!$V$5*Model!$Z$3539*AVERAGE('Assumptions (CSP)'!$V$2:$X$2)/10^9),0)</f>
        <v>0</v>
      </c>
      <c r="AC3676" s="95">
        <f>IF($Z$3539&gt;0,IPMT('Assumptions (CSP)'!$V$7,Model!Z$1,'Assumptions (CSP)'!$V$10,'Assumptions (CSP)'!$V$5*Model!$Z$3539*AVERAGE('Assumptions (CSP)'!$V$2:$X$2)/10^9),0)</f>
        <v>0</v>
      </c>
      <c r="AD3676" s="95">
        <f>IF($Z$3539&gt;0,IPMT('Assumptions (CSP)'!$V$7,Model!AA$1,'Assumptions (CSP)'!$V$10,'Assumptions (CSP)'!$V$5*Model!$Z$3539*AVERAGE('Assumptions (CSP)'!$V$2:$X$2)/10^9),0)</f>
        <v>0</v>
      </c>
      <c r="AE3676" s="95">
        <f>IF($Z$3539&gt;0,IPMT('Assumptions (CSP)'!$V$7,Model!AB$1,'Assumptions (CSP)'!$V$10,'Assumptions (CSP)'!$V$5*Model!$Z$3539*AVERAGE('Assumptions (CSP)'!$V$2:$X$2)/10^9),0)</f>
        <v>0</v>
      </c>
      <c r="AF3676" s="95">
        <f>IF($Z$3539&gt;0,IPMT('Assumptions (CSP)'!$V$7,Model!AC$1,'Assumptions (CSP)'!$V$10,'Assumptions (CSP)'!$V$5*Model!$Z$3539*AVERAGE('Assumptions (CSP)'!$V$2:$X$2)/10^9),0)</f>
        <v>0</v>
      </c>
      <c r="AG3676" s="95">
        <f>IF($Z$3539&gt;0,IPMT('Assumptions (CSP)'!$V$7,Model!AD$1,'Assumptions (CSP)'!$V$10,'Assumptions (CSP)'!$V$5*Model!$Z$3539*AVERAGE('Assumptions (CSP)'!$V$2:$X$2)/10^9),0)</f>
        <v>0</v>
      </c>
      <c r="AH3676" s="95">
        <f>IF($Z$3539&gt;0,IPMT('Assumptions (CSP)'!$V$7,Model!AE$1,'Assumptions (CSP)'!$V$10,'Assumptions (CSP)'!$V$5*Model!$Z$3539*AVERAGE('Assumptions (CSP)'!$V$2:$X$2)/10^9),0)</f>
        <v>0</v>
      </c>
      <c r="AI3676" s="95">
        <f>IF($Z$3539&gt;0,IPMT('Assumptions (CSP)'!$V$7,Model!AF$1,'Assumptions (CSP)'!$V$10,'Assumptions (CSP)'!$V$5*Model!$Z$3539*AVERAGE('Assumptions (CSP)'!$V$2:$X$2)/10^9),0)</f>
        <v>0</v>
      </c>
      <c r="AJ3676" s="95">
        <f>IF($Z$3539&gt;0,IPMT('Assumptions (CSP)'!$V$7,Model!AG$1,'Assumptions (CSP)'!$V$10,'Assumptions (CSP)'!$V$5*Model!$Z$3539*AVERAGE('Assumptions (CSP)'!$V$2:$X$2)/10^9),0)</f>
        <v>0</v>
      </c>
      <c r="AK3676" s="95">
        <f>IF($Z$3539&gt;0,IPMT('Assumptions (CSP)'!$V$7,Model!AH$1,'Assumptions (CSP)'!$V$10,'Assumptions (CSP)'!$V$5*Model!$Z$3539*AVERAGE('Assumptions (CSP)'!$V$2:$X$2)/10^9),0)</f>
        <v>0</v>
      </c>
      <c r="AL3676" s="95">
        <f>IF($Z$3539&gt;0,IPMT('Assumptions (CSP)'!$V$7,Model!AI$1,'Assumptions (CSP)'!$V$10,'Assumptions (CSP)'!$V$5*Model!$Z$3539*AVERAGE('Assumptions (CSP)'!$V$2:$X$2)/10^9),0)</f>
        <v>0</v>
      </c>
      <c r="AM3676" s="95">
        <f>IF($Z$3539&gt;0,IPMT('Assumptions (CSP)'!$V$7,Model!AJ$1,'Assumptions (CSP)'!$V$10,'Assumptions (CSP)'!$V$5*Model!$Z$3539*AVERAGE('Assumptions (CSP)'!$V$2:$X$2)/10^9),0)</f>
        <v>0</v>
      </c>
      <c r="AN3676" s="95">
        <f>IF($Z$3539&gt;0,IPMT('Assumptions (CSP)'!$V$7,Model!AK$1,'Assumptions (CSP)'!$V$10,'Assumptions (CSP)'!$V$5*Model!$Z$3539*AVERAGE('Assumptions (CSP)'!$V$2:$X$2)/10^9),0)</f>
        <v>0</v>
      </c>
      <c r="AO3676" s="95"/>
      <c r="AP3676" s="95"/>
      <c r="AQ3676" s="95"/>
      <c r="AR3676" s="95"/>
      <c r="AS3676" s="95"/>
      <c r="AT3676" s="95"/>
      <c r="AU3676" s="95"/>
      <c r="AV3676" s="95"/>
      <c r="AW3676" s="95"/>
      <c r="AX3676" s="95"/>
      <c r="AY3676" s="95"/>
      <c r="AZ3676" s="95"/>
      <c r="BA3676" s="95"/>
    </row>
    <row r="3677" ht="15.75" hidden="1" customHeight="1">
      <c r="A3677" s="395"/>
      <c r="B3677" s="24"/>
      <c r="C3677" s="95"/>
      <c r="D3677" s="95"/>
      <c r="E3677" s="95"/>
      <c r="F3677" s="95"/>
      <c r="G3677" s="95"/>
      <c r="H3677" s="95"/>
      <c r="I3677" s="95"/>
      <c r="J3677" s="95"/>
      <c r="K3677" s="95"/>
      <c r="L3677" s="95"/>
      <c r="M3677" s="95"/>
      <c r="N3677" s="95"/>
      <c r="O3677" s="95"/>
      <c r="P3677" s="95"/>
      <c r="Q3677" s="95"/>
      <c r="R3677" s="95"/>
      <c r="S3677" s="95"/>
      <c r="T3677" s="95"/>
      <c r="U3677" s="95"/>
      <c r="V3677" s="95"/>
      <c r="W3677" s="95"/>
      <c r="X3677" s="95"/>
      <c r="Y3677" s="95"/>
      <c r="Z3677" s="95"/>
      <c r="AA3677" s="95">
        <f>IF($AA$3539&gt;0,IPMT('Assumptions (CSP)'!$V$7,Model!W$1,'Assumptions (CSP)'!$V$10,'Assumptions (CSP)'!$V$5*Model!$AA$3539*AVERAGE('Assumptions (CSP)'!$W$2:$Y$2)/10^9),0)</f>
        <v>0</v>
      </c>
      <c r="AB3677" s="95">
        <f>IF($AA$3539&gt;0,IPMT('Assumptions (CSP)'!$V$7,Model!X$1,'Assumptions (CSP)'!$V$10,'Assumptions (CSP)'!$V$5*Model!$AA$3539*AVERAGE('Assumptions (CSP)'!$W$2:$Y$2)/10^9),0)</f>
        <v>0</v>
      </c>
      <c r="AC3677" s="95">
        <f>IF($AA$3539&gt;0,IPMT('Assumptions (CSP)'!$V$7,Model!Y$1,'Assumptions (CSP)'!$V$10,'Assumptions (CSP)'!$V$5*Model!$AA$3539*AVERAGE('Assumptions (CSP)'!$W$2:$Y$2)/10^9),0)</f>
        <v>0</v>
      </c>
      <c r="AD3677" s="95">
        <f>IF($AA$3539&gt;0,IPMT('Assumptions (CSP)'!$V$7,Model!Z$1,'Assumptions (CSP)'!$V$10,'Assumptions (CSP)'!$V$5*Model!$AA$3539*AVERAGE('Assumptions (CSP)'!$W$2:$Y$2)/10^9),0)</f>
        <v>0</v>
      </c>
      <c r="AE3677" s="95">
        <f>IF($AA$3539&gt;0,IPMT('Assumptions (CSP)'!$V$7,Model!AA$1,'Assumptions (CSP)'!$V$10,'Assumptions (CSP)'!$V$5*Model!$AA$3539*AVERAGE('Assumptions (CSP)'!$W$2:$Y$2)/10^9),0)</f>
        <v>0</v>
      </c>
      <c r="AF3677" s="95">
        <f>IF($AA$3539&gt;0,IPMT('Assumptions (CSP)'!$V$7,Model!AB$1,'Assumptions (CSP)'!$V$10,'Assumptions (CSP)'!$V$5*Model!$AA$3539*AVERAGE('Assumptions (CSP)'!$W$2:$Y$2)/10^9),0)</f>
        <v>0</v>
      </c>
      <c r="AG3677" s="95">
        <f>IF($AA$3539&gt;0,IPMT('Assumptions (CSP)'!$V$7,Model!AC$1,'Assumptions (CSP)'!$V$10,'Assumptions (CSP)'!$V$5*Model!$AA$3539*AVERAGE('Assumptions (CSP)'!$W$2:$Y$2)/10^9),0)</f>
        <v>0</v>
      </c>
      <c r="AH3677" s="95">
        <f>IF($AA$3539&gt;0,IPMT('Assumptions (CSP)'!$V$7,Model!AD$1,'Assumptions (CSP)'!$V$10,'Assumptions (CSP)'!$V$5*Model!$AA$3539*AVERAGE('Assumptions (CSP)'!$W$2:$Y$2)/10^9),0)</f>
        <v>0</v>
      </c>
      <c r="AI3677" s="95">
        <f>IF($AA$3539&gt;0,IPMT('Assumptions (CSP)'!$V$7,Model!AE$1,'Assumptions (CSP)'!$V$10,'Assumptions (CSP)'!$V$5*Model!$AA$3539*AVERAGE('Assumptions (CSP)'!$W$2:$Y$2)/10^9),0)</f>
        <v>0</v>
      </c>
      <c r="AJ3677" s="95">
        <f>IF($AA$3539&gt;0,IPMT('Assumptions (CSP)'!$V$7,Model!AF$1,'Assumptions (CSP)'!$V$10,'Assumptions (CSP)'!$V$5*Model!$AA$3539*AVERAGE('Assumptions (CSP)'!$W$2:$Y$2)/10^9),0)</f>
        <v>0</v>
      </c>
      <c r="AK3677" s="95">
        <f>IF($AA$3539&gt;0,IPMT('Assumptions (CSP)'!$V$7,Model!AG$1,'Assumptions (CSP)'!$V$10,'Assumptions (CSP)'!$V$5*Model!$AA$3539*AVERAGE('Assumptions (CSP)'!$W$2:$Y$2)/10^9),0)</f>
        <v>0</v>
      </c>
      <c r="AL3677" s="95">
        <f>IF($AA$3539&gt;0,IPMT('Assumptions (CSP)'!$V$7,Model!AH$1,'Assumptions (CSP)'!$V$10,'Assumptions (CSP)'!$V$5*Model!$AA$3539*AVERAGE('Assumptions (CSP)'!$W$2:$Y$2)/10^9),0)</f>
        <v>0</v>
      </c>
      <c r="AM3677" s="95">
        <f>IF($AA$3539&gt;0,IPMT('Assumptions (CSP)'!$V$7,Model!AI$1,'Assumptions (CSP)'!$V$10,'Assumptions (CSP)'!$V$5*Model!$AA$3539*AVERAGE('Assumptions (CSP)'!$W$2:$Y$2)/10^9),0)</f>
        <v>0</v>
      </c>
      <c r="AN3677" s="95">
        <f>IF($AA$3539&gt;0,IPMT('Assumptions (CSP)'!$V$7,Model!AJ$1,'Assumptions (CSP)'!$V$10,'Assumptions (CSP)'!$V$5*Model!$AA$3539*AVERAGE('Assumptions (CSP)'!$W$2:$Y$2)/10^9),0)</f>
        <v>0</v>
      </c>
      <c r="AO3677" s="95">
        <f>IF($AA$3539&gt;0,IPMT('Assumptions (CSP)'!$V$7,Model!AK$1,'Assumptions (CSP)'!$V$10,'Assumptions (CSP)'!$V$5*Model!$AA$3539*AVERAGE('Assumptions (CSP)'!$W$2:$Y$2)/10^9),0)</f>
        <v>0</v>
      </c>
      <c r="AP3677" s="95"/>
      <c r="AQ3677" s="95"/>
      <c r="AR3677" s="95"/>
      <c r="AS3677" s="95"/>
      <c r="AT3677" s="95"/>
      <c r="AU3677" s="95"/>
      <c r="AV3677" s="95"/>
      <c r="AW3677" s="95"/>
      <c r="AX3677" s="95"/>
      <c r="AY3677" s="95"/>
      <c r="AZ3677" s="95"/>
      <c r="BA3677" s="95"/>
    </row>
    <row r="3678" ht="15.75" hidden="1" customHeight="1">
      <c r="A3678" s="395"/>
      <c r="B3678" s="24"/>
      <c r="C3678" s="95"/>
      <c r="D3678" s="95"/>
      <c r="E3678" s="95"/>
      <c r="F3678" s="95"/>
      <c r="G3678" s="95"/>
      <c r="H3678" s="95"/>
      <c r="I3678" s="95"/>
      <c r="J3678" s="95"/>
      <c r="K3678" s="95"/>
      <c r="L3678" s="95"/>
      <c r="M3678" s="95"/>
      <c r="N3678" s="95"/>
      <c r="O3678" s="95"/>
      <c r="P3678" s="95"/>
      <c r="Q3678" s="95"/>
      <c r="R3678" s="95"/>
      <c r="S3678" s="95"/>
      <c r="T3678" s="95"/>
      <c r="U3678" s="95"/>
      <c r="V3678" s="95"/>
      <c r="W3678" s="95"/>
      <c r="X3678" s="95"/>
      <c r="Y3678" s="95"/>
      <c r="Z3678" s="95"/>
      <c r="AA3678" s="95"/>
      <c r="AB3678" s="95">
        <f>IF($AB$3539&gt;0,IPMT('Assumptions (CSP)'!$V$7,Model!W$1,'Assumptions (CSP)'!$V$10,'Assumptions (CSP)'!$V$5*Model!$AB$3539*AVERAGE('Assumptions (CSP)'!$X$2:$Z$2)/10^9),0)</f>
        <v>0</v>
      </c>
      <c r="AC3678" s="95">
        <f>IF($AB$3539&gt;0,IPMT('Assumptions (CSP)'!$V$7,Model!X$1,'Assumptions (CSP)'!$V$10,'Assumptions (CSP)'!$V$5*Model!$AB$3539*AVERAGE('Assumptions (CSP)'!$X$2:$Z$2)/10^9),0)</f>
        <v>0</v>
      </c>
      <c r="AD3678" s="95">
        <f>IF($AB$3539&gt;0,IPMT('Assumptions (CSP)'!$V$7,Model!Y$1,'Assumptions (CSP)'!$V$10,'Assumptions (CSP)'!$V$5*Model!$AB$3539*AVERAGE('Assumptions (CSP)'!$X$2:$Z$2)/10^9),0)</f>
        <v>0</v>
      </c>
      <c r="AE3678" s="95">
        <f>IF($AB$3539&gt;0,IPMT('Assumptions (CSP)'!$V$7,Model!Z$1,'Assumptions (CSP)'!$V$10,'Assumptions (CSP)'!$V$5*Model!$AB$3539*AVERAGE('Assumptions (CSP)'!$X$2:$Z$2)/10^9),0)</f>
        <v>0</v>
      </c>
      <c r="AF3678" s="95">
        <f>IF($AB$3539&gt;0,IPMT('Assumptions (CSP)'!$V$7,Model!AA$1,'Assumptions (CSP)'!$V$10,'Assumptions (CSP)'!$V$5*Model!$AB$3539*AVERAGE('Assumptions (CSP)'!$X$2:$Z$2)/10^9),0)</f>
        <v>0</v>
      </c>
      <c r="AG3678" s="95">
        <f>IF($AB$3539&gt;0,IPMT('Assumptions (CSP)'!$V$7,Model!AB$1,'Assumptions (CSP)'!$V$10,'Assumptions (CSP)'!$V$5*Model!$AB$3539*AVERAGE('Assumptions (CSP)'!$X$2:$Z$2)/10^9),0)</f>
        <v>0</v>
      </c>
      <c r="AH3678" s="95">
        <f>IF($AB$3539&gt;0,IPMT('Assumptions (CSP)'!$V$7,Model!AC$1,'Assumptions (CSP)'!$V$10,'Assumptions (CSP)'!$V$5*Model!$AB$3539*AVERAGE('Assumptions (CSP)'!$X$2:$Z$2)/10^9),0)</f>
        <v>0</v>
      </c>
      <c r="AI3678" s="95">
        <f>IF($AB$3539&gt;0,IPMT('Assumptions (CSP)'!$V$7,Model!AD$1,'Assumptions (CSP)'!$V$10,'Assumptions (CSP)'!$V$5*Model!$AB$3539*AVERAGE('Assumptions (CSP)'!$X$2:$Z$2)/10^9),0)</f>
        <v>0</v>
      </c>
      <c r="AJ3678" s="95">
        <f>IF($AB$3539&gt;0,IPMT('Assumptions (CSP)'!$V$7,Model!AE$1,'Assumptions (CSP)'!$V$10,'Assumptions (CSP)'!$V$5*Model!$AB$3539*AVERAGE('Assumptions (CSP)'!$X$2:$Z$2)/10^9),0)</f>
        <v>0</v>
      </c>
      <c r="AK3678" s="95">
        <f>IF($AB$3539&gt;0,IPMT('Assumptions (CSP)'!$V$7,Model!AF$1,'Assumptions (CSP)'!$V$10,'Assumptions (CSP)'!$V$5*Model!$AB$3539*AVERAGE('Assumptions (CSP)'!$X$2:$Z$2)/10^9),0)</f>
        <v>0</v>
      </c>
      <c r="AL3678" s="95">
        <f>IF($AB$3539&gt;0,IPMT('Assumptions (CSP)'!$V$7,Model!AG$1,'Assumptions (CSP)'!$V$10,'Assumptions (CSP)'!$V$5*Model!$AB$3539*AVERAGE('Assumptions (CSP)'!$X$2:$Z$2)/10^9),0)</f>
        <v>0</v>
      </c>
      <c r="AM3678" s="95">
        <f>IF($AB$3539&gt;0,IPMT('Assumptions (CSP)'!$V$7,Model!AH$1,'Assumptions (CSP)'!$V$10,'Assumptions (CSP)'!$V$5*Model!$AB$3539*AVERAGE('Assumptions (CSP)'!$X$2:$Z$2)/10^9),0)</f>
        <v>0</v>
      </c>
      <c r="AN3678" s="95">
        <f>IF($AB$3539&gt;0,IPMT('Assumptions (CSP)'!$V$7,Model!AI$1,'Assumptions (CSP)'!$V$10,'Assumptions (CSP)'!$V$5*Model!$AB$3539*AVERAGE('Assumptions (CSP)'!$X$2:$Z$2)/10^9),0)</f>
        <v>0</v>
      </c>
      <c r="AO3678" s="95">
        <f>IF($AB$3539&gt;0,IPMT('Assumptions (CSP)'!$V$7,Model!AJ$1,'Assumptions (CSP)'!$V$10,'Assumptions (CSP)'!$V$5*Model!$AB$3539*AVERAGE('Assumptions (CSP)'!$X$2:$Z$2)/10^9),0)</f>
        <v>0</v>
      </c>
      <c r="AP3678" s="95">
        <f>IF($AB$3539&gt;0,IPMT('Assumptions (CSP)'!$V$7,Model!AK$1,'Assumptions (CSP)'!$V$10,'Assumptions (CSP)'!$V$5*Model!$AB$3539*AVERAGE('Assumptions (CSP)'!$X$2:$Z$2)/10^9),0)</f>
        <v>0</v>
      </c>
      <c r="AQ3678" s="95"/>
      <c r="AR3678" s="95"/>
      <c r="AS3678" s="95"/>
      <c r="AT3678" s="95"/>
      <c r="AU3678" s="95"/>
      <c r="AV3678" s="95"/>
      <c r="AW3678" s="95"/>
      <c r="AX3678" s="95"/>
      <c r="AY3678" s="95"/>
      <c r="AZ3678" s="95"/>
      <c r="BA3678" s="95"/>
    </row>
    <row r="3679" ht="15.75" hidden="1" customHeight="1">
      <c r="A3679" s="395"/>
      <c r="B3679" s="24"/>
      <c r="C3679" s="95"/>
      <c r="D3679" s="95"/>
      <c r="E3679" s="95"/>
      <c r="F3679" s="95"/>
      <c r="G3679" s="95"/>
      <c r="H3679" s="95"/>
      <c r="I3679" s="95"/>
      <c r="J3679" s="95"/>
      <c r="K3679" s="95"/>
      <c r="L3679" s="95"/>
      <c r="M3679" s="95"/>
      <c r="N3679" s="95"/>
      <c r="O3679" s="95"/>
      <c r="P3679" s="95"/>
      <c r="Q3679" s="95"/>
      <c r="R3679" s="95"/>
      <c r="S3679" s="95"/>
      <c r="T3679" s="95"/>
      <c r="U3679" s="95"/>
      <c r="V3679" s="95"/>
      <c r="W3679" s="95"/>
      <c r="X3679" s="95"/>
      <c r="Y3679" s="95"/>
      <c r="Z3679" s="95"/>
      <c r="AA3679" s="95"/>
      <c r="AB3679" s="95"/>
      <c r="AC3679" s="95">
        <f>IF($AC$3539&gt;0,IPMT('Assumptions (CSP)'!$V$7,Model!W$1,'Assumptions (CSP)'!$V$10,'Assumptions (CSP)'!$V$5*Model!$AC$3539*AVERAGE('Assumptions (CSP)'!$Y$2:$AA$2)/10^9),0)</f>
        <v>0</v>
      </c>
      <c r="AD3679" s="95">
        <f>IF($AC$3539&gt;0,IPMT('Assumptions (CSP)'!$V$7,Model!X$1,'Assumptions (CSP)'!$V$10,'Assumptions (CSP)'!$V$5*Model!$AC$3539*AVERAGE('Assumptions (CSP)'!$Y$2:$AA$2)/10^9),0)</f>
        <v>0</v>
      </c>
      <c r="AE3679" s="95">
        <f>IF($AC$3539&gt;0,IPMT('Assumptions (CSP)'!$V$7,Model!Y$1,'Assumptions (CSP)'!$V$10,'Assumptions (CSP)'!$V$5*Model!$AC$3539*AVERAGE('Assumptions (CSP)'!$Y$2:$AA$2)/10^9),0)</f>
        <v>0</v>
      </c>
      <c r="AF3679" s="95">
        <f>IF($AC$3539&gt;0,IPMT('Assumptions (CSP)'!$V$7,Model!Z$1,'Assumptions (CSP)'!$V$10,'Assumptions (CSP)'!$V$5*Model!$AC$3539*AVERAGE('Assumptions (CSP)'!$Y$2:$AA$2)/10^9),0)</f>
        <v>0</v>
      </c>
      <c r="AG3679" s="95">
        <f>IF($AC$3539&gt;0,IPMT('Assumptions (CSP)'!$V$7,Model!AA$1,'Assumptions (CSP)'!$V$10,'Assumptions (CSP)'!$V$5*Model!$AC$3539*AVERAGE('Assumptions (CSP)'!$Y$2:$AA$2)/10^9),0)</f>
        <v>0</v>
      </c>
      <c r="AH3679" s="95">
        <f>IF($AC$3539&gt;0,IPMT('Assumptions (CSP)'!$V$7,Model!AB$1,'Assumptions (CSP)'!$V$10,'Assumptions (CSP)'!$V$5*Model!$AC$3539*AVERAGE('Assumptions (CSP)'!$Y$2:$AA$2)/10^9),0)</f>
        <v>0</v>
      </c>
      <c r="AI3679" s="95">
        <f>IF($AC$3539&gt;0,IPMT('Assumptions (CSP)'!$V$7,Model!AC$1,'Assumptions (CSP)'!$V$10,'Assumptions (CSP)'!$V$5*Model!$AC$3539*AVERAGE('Assumptions (CSP)'!$Y$2:$AA$2)/10^9),0)</f>
        <v>0</v>
      </c>
      <c r="AJ3679" s="95">
        <f>IF($AC$3539&gt;0,IPMT('Assumptions (CSP)'!$V$7,Model!AD$1,'Assumptions (CSP)'!$V$10,'Assumptions (CSP)'!$V$5*Model!$AC$3539*AVERAGE('Assumptions (CSP)'!$Y$2:$AA$2)/10^9),0)</f>
        <v>0</v>
      </c>
      <c r="AK3679" s="95">
        <f>IF($AC$3539&gt;0,IPMT('Assumptions (CSP)'!$V$7,Model!AE$1,'Assumptions (CSP)'!$V$10,'Assumptions (CSP)'!$V$5*Model!$AC$3539*AVERAGE('Assumptions (CSP)'!$Y$2:$AA$2)/10^9),0)</f>
        <v>0</v>
      </c>
      <c r="AL3679" s="95">
        <f>IF($AC$3539&gt;0,IPMT('Assumptions (CSP)'!$V$7,Model!AF$1,'Assumptions (CSP)'!$V$10,'Assumptions (CSP)'!$V$5*Model!$AC$3539*AVERAGE('Assumptions (CSP)'!$Y$2:$AA$2)/10^9),0)</f>
        <v>0</v>
      </c>
      <c r="AM3679" s="95">
        <f>IF($AC$3539&gt;0,IPMT('Assumptions (CSP)'!$V$7,Model!AG$1,'Assumptions (CSP)'!$V$10,'Assumptions (CSP)'!$V$5*Model!$AC$3539*AVERAGE('Assumptions (CSP)'!$Y$2:$AA$2)/10^9),0)</f>
        <v>0</v>
      </c>
      <c r="AN3679" s="95">
        <f>IF($AC$3539&gt;0,IPMT('Assumptions (CSP)'!$V$7,Model!AH$1,'Assumptions (CSP)'!$V$10,'Assumptions (CSP)'!$V$5*Model!$AC$3539*AVERAGE('Assumptions (CSP)'!$Y$2:$AA$2)/10^9),0)</f>
        <v>0</v>
      </c>
      <c r="AO3679" s="95">
        <f>IF($AC$3539&gt;0,IPMT('Assumptions (CSP)'!$V$7,Model!AI$1,'Assumptions (CSP)'!$V$10,'Assumptions (CSP)'!$V$5*Model!$AC$3539*AVERAGE('Assumptions (CSP)'!$Y$2:$AA$2)/10^9),0)</f>
        <v>0</v>
      </c>
      <c r="AP3679" s="95">
        <f>IF($AC$3539&gt;0,IPMT('Assumptions (CSP)'!$V$7,Model!AJ$1,'Assumptions (CSP)'!$V$10,'Assumptions (CSP)'!$V$5*Model!$AC$3539*AVERAGE('Assumptions (CSP)'!$Y$2:$AA$2)/10^9),0)</f>
        <v>0</v>
      </c>
      <c r="AQ3679" s="95">
        <f>IF($AC$3539&gt;0,IPMT('Assumptions (CSP)'!$V$7,Model!AK$1,'Assumptions (CSP)'!$V$10,'Assumptions (CSP)'!$V$5*Model!$AC$3539*AVERAGE('Assumptions (CSP)'!$Y$2:$AA$2)/10^9),0)</f>
        <v>0</v>
      </c>
      <c r="AR3679" s="95"/>
      <c r="AS3679" s="95"/>
      <c r="AT3679" s="95"/>
      <c r="AU3679" s="95"/>
      <c r="AV3679" s="95"/>
      <c r="AW3679" s="95"/>
      <c r="AX3679" s="95"/>
      <c r="AY3679" s="95"/>
      <c r="AZ3679" s="95"/>
      <c r="BA3679" s="95"/>
    </row>
    <row r="3680" ht="15.75" hidden="1" customHeight="1">
      <c r="A3680" s="395"/>
      <c r="B3680" s="24"/>
      <c r="C3680" s="95"/>
      <c r="D3680" s="95"/>
      <c r="E3680" s="95"/>
      <c r="F3680" s="95"/>
      <c r="G3680" s="95"/>
      <c r="H3680" s="95"/>
      <c r="I3680" s="95"/>
      <c r="J3680" s="95"/>
      <c r="K3680" s="95"/>
      <c r="L3680" s="95"/>
      <c r="M3680" s="95"/>
      <c r="N3680" s="95"/>
      <c r="O3680" s="95"/>
      <c r="P3680" s="95"/>
      <c r="Q3680" s="95"/>
      <c r="R3680" s="95"/>
      <c r="S3680" s="95"/>
      <c r="T3680" s="95"/>
      <c r="U3680" s="95"/>
      <c r="V3680" s="95"/>
      <c r="W3680" s="95"/>
      <c r="X3680" s="95"/>
      <c r="Y3680" s="95"/>
      <c r="Z3680" s="95"/>
      <c r="AA3680" s="95"/>
      <c r="AB3680" s="95"/>
      <c r="AC3680" s="95"/>
      <c r="AD3680" s="95">
        <f>IF($AD$3539&gt;0,IPMT('Assumptions (CSP)'!$V$7,Model!W$1,'Assumptions (CSP)'!$V$10,'Assumptions (CSP)'!$V$5*Model!$AD$3539*AVERAGE('Assumptions (CSP)'!$Z$2:$AB$2)/10^9),0)</f>
        <v>0</v>
      </c>
      <c r="AE3680" s="95">
        <f>IF($AD$3539&gt;0,IPMT('Assumptions (CSP)'!$V$7,Model!X$1,'Assumptions (CSP)'!$V$10,'Assumptions (CSP)'!$V$5*Model!$AD$3539*AVERAGE('Assumptions (CSP)'!$Z$2:$AB$2)/10^9),0)</f>
        <v>0</v>
      </c>
      <c r="AF3680" s="95">
        <f>IF($AD$3539&gt;0,IPMT('Assumptions (CSP)'!$V$7,Model!Y$1,'Assumptions (CSP)'!$V$10,'Assumptions (CSP)'!$V$5*Model!$AD$3539*AVERAGE('Assumptions (CSP)'!$Z$2:$AB$2)/10^9),0)</f>
        <v>0</v>
      </c>
      <c r="AG3680" s="95">
        <f>IF($AD$3539&gt;0,IPMT('Assumptions (CSP)'!$V$7,Model!Z$1,'Assumptions (CSP)'!$V$10,'Assumptions (CSP)'!$V$5*Model!$AD$3539*AVERAGE('Assumptions (CSP)'!$Z$2:$AB$2)/10^9),0)</f>
        <v>0</v>
      </c>
      <c r="AH3680" s="95">
        <f>IF($AD$3539&gt;0,IPMT('Assumptions (CSP)'!$V$7,Model!AA$1,'Assumptions (CSP)'!$V$10,'Assumptions (CSP)'!$V$5*Model!$AD$3539*AVERAGE('Assumptions (CSP)'!$Z$2:$AB$2)/10^9),0)</f>
        <v>0</v>
      </c>
      <c r="AI3680" s="95">
        <f>IF($AD$3539&gt;0,IPMT('Assumptions (CSP)'!$V$7,Model!AB$1,'Assumptions (CSP)'!$V$10,'Assumptions (CSP)'!$V$5*Model!$AD$3539*AVERAGE('Assumptions (CSP)'!$Z$2:$AB$2)/10^9),0)</f>
        <v>0</v>
      </c>
      <c r="AJ3680" s="95">
        <f>IF($AD$3539&gt;0,IPMT('Assumptions (CSP)'!$V$7,Model!AC$1,'Assumptions (CSP)'!$V$10,'Assumptions (CSP)'!$V$5*Model!$AD$3539*AVERAGE('Assumptions (CSP)'!$Z$2:$AB$2)/10^9),0)</f>
        <v>0</v>
      </c>
      <c r="AK3680" s="95">
        <f>IF($AD$3539&gt;0,IPMT('Assumptions (CSP)'!$V$7,Model!AD$1,'Assumptions (CSP)'!$V$10,'Assumptions (CSP)'!$V$5*Model!$AD$3539*AVERAGE('Assumptions (CSP)'!$Z$2:$AB$2)/10^9),0)</f>
        <v>0</v>
      </c>
      <c r="AL3680" s="95">
        <f>IF($AD$3539&gt;0,IPMT('Assumptions (CSP)'!$V$7,Model!AE$1,'Assumptions (CSP)'!$V$10,'Assumptions (CSP)'!$V$5*Model!$AD$3539*AVERAGE('Assumptions (CSP)'!$Z$2:$AB$2)/10^9),0)</f>
        <v>0</v>
      </c>
      <c r="AM3680" s="95">
        <f>IF($AD$3539&gt;0,IPMT('Assumptions (CSP)'!$V$7,Model!AF$1,'Assumptions (CSP)'!$V$10,'Assumptions (CSP)'!$V$5*Model!$AD$3539*AVERAGE('Assumptions (CSP)'!$Z$2:$AB$2)/10^9),0)</f>
        <v>0</v>
      </c>
      <c r="AN3680" s="95">
        <f>IF($AD$3539&gt;0,IPMT('Assumptions (CSP)'!$V$7,Model!AG$1,'Assumptions (CSP)'!$V$10,'Assumptions (CSP)'!$V$5*Model!$AD$3539*AVERAGE('Assumptions (CSP)'!$Z$2:$AB$2)/10^9),0)</f>
        <v>0</v>
      </c>
      <c r="AO3680" s="95">
        <f>IF($AD$3539&gt;0,IPMT('Assumptions (CSP)'!$V$7,Model!AH$1,'Assumptions (CSP)'!$V$10,'Assumptions (CSP)'!$V$5*Model!$AD$3539*AVERAGE('Assumptions (CSP)'!$Z$2:$AB$2)/10^9),0)</f>
        <v>0</v>
      </c>
      <c r="AP3680" s="95">
        <f>IF($AD$3539&gt;0,IPMT('Assumptions (CSP)'!$V$7,Model!AI$1,'Assumptions (CSP)'!$V$10,'Assumptions (CSP)'!$V$5*Model!$AD$3539*AVERAGE('Assumptions (CSP)'!$Z$2:$AB$2)/10^9),0)</f>
        <v>0</v>
      </c>
      <c r="AQ3680" s="95">
        <f>IF($AD$3539&gt;0,IPMT('Assumptions (CSP)'!$V$7,Model!AJ$1,'Assumptions (CSP)'!$V$10,'Assumptions (CSP)'!$V$5*Model!$AD$3539*AVERAGE('Assumptions (CSP)'!$Z$2:$AB$2)/10^9),0)</f>
        <v>0</v>
      </c>
      <c r="AR3680" s="95">
        <f>IF($AD$3539&gt;0,IPMT('Assumptions (CSP)'!$V$7,Model!AK$1,'Assumptions (CSP)'!$V$10,'Assumptions (CSP)'!$V$5*Model!$AD$3539*AVERAGE('Assumptions (CSP)'!$Z$2:$AB$2)/10^9),0)</f>
        <v>0</v>
      </c>
      <c r="AS3680" s="95"/>
      <c r="AT3680" s="95"/>
      <c r="AU3680" s="95"/>
      <c r="AV3680" s="95"/>
      <c r="AW3680" s="95"/>
      <c r="AX3680" s="95"/>
      <c r="AY3680" s="95"/>
      <c r="AZ3680" s="95"/>
      <c r="BA3680" s="95"/>
    </row>
    <row r="3681" ht="15.75" hidden="1" customHeight="1">
      <c r="A3681" s="395"/>
      <c r="B3681" s="24"/>
      <c r="C3681" s="95"/>
      <c r="D3681" s="95"/>
      <c r="E3681" s="95"/>
      <c r="F3681" s="95"/>
      <c r="G3681" s="95"/>
      <c r="H3681" s="95"/>
      <c r="I3681" s="95"/>
      <c r="J3681" s="95"/>
      <c r="K3681" s="95"/>
      <c r="L3681" s="95"/>
      <c r="M3681" s="95"/>
      <c r="N3681" s="95"/>
      <c r="O3681" s="95"/>
      <c r="P3681" s="95"/>
      <c r="Q3681" s="95"/>
      <c r="R3681" s="95"/>
      <c r="S3681" s="95"/>
      <c r="T3681" s="95"/>
      <c r="U3681" s="95"/>
      <c r="V3681" s="95"/>
      <c r="W3681" s="95"/>
      <c r="X3681" s="95"/>
      <c r="Y3681" s="95"/>
      <c r="Z3681" s="95"/>
      <c r="AA3681" s="95"/>
      <c r="AB3681" s="95"/>
      <c r="AC3681" s="95"/>
      <c r="AD3681" s="95"/>
      <c r="AE3681" s="95">
        <f>IF($AE$3539&gt;0,IPMT('Assumptions (CSP)'!$V$7,Model!W$1,'Assumptions (CSP)'!$V$10,'Assumptions (CSP)'!$V$5*Model!$AE$3539*AVERAGE('Assumptions (CSP)'!$AA$2:$AC$2)/10^9),0)</f>
        <v>0</v>
      </c>
      <c r="AF3681" s="95">
        <f>IF($AE$3539&gt;0,IPMT('Assumptions (CSP)'!$V$7,Model!X$1,'Assumptions (CSP)'!$V$10,'Assumptions (CSP)'!$V$5*Model!$AE$3539*AVERAGE('Assumptions (CSP)'!$AA$2:$AC$2)/10^9),0)</f>
        <v>0</v>
      </c>
      <c r="AG3681" s="95">
        <f>IF($AE$3539&gt;0,IPMT('Assumptions (CSP)'!$V$7,Model!Y$1,'Assumptions (CSP)'!$V$10,'Assumptions (CSP)'!$V$5*Model!$AE$3539*AVERAGE('Assumptions (CSP)'!$AA$2:$AC$2)/10^9),0)</f>
        <v>0</v>
      </c>
      <c r="AH3681" s="95">
        <f>IF($AE$3539&gt;0,IPMT('Assumptions (CSP)'!$V$7,Model!Z$1,'Assumptions (CSP)'!$V$10,'Assumptions (CSP)'!$V$5*Model!$AE$3539*AVERAGE('Assumptions (CSP)'!$AA$2:$AC$2)/10^9),0)</f>
        <v>0</v>
      </c>
      <c r="AI3681" s="95">
        <f>IF($AE$3539&gt;0,IPMT('Assumptions (CSP)'!$V$7,Model!AA$1,'Assumptions (CSP)'!$V$10,'Assumptions (CSP)'!$V$5*Model!$AE$3539*AVERAGE('Assumptions (CSP)'!$AA$2:$AC$2)/10^9),0)</f>
        <v>0</v>
      </c>
      <c r="AJ3681" s="95">
        <f>IF($AE$3539&gt;0,IPMT('Assumptions (CSP)'!$V$7,Model!AB$1,'Assumptions (CSP)'!$V$10,'Assumptions (CSP)'!$V$5*Model!$AE$3539*AVERAGE('Assumptions (CSP)'!$AA$2:$AC$2)/10^9),0)</f>
        <v>0</v>
      </c>
      <c r="AK3681" s="95">
        <f>IF($AE$3539&gt;0,IPMT('Assumptions (CSP)'!$V$7,Model!AC$1,'Assumptions (CSP)'!$V$10,'Assumptions (CSP)'!$V$5*Model!$AE$3539*AVERAGE('Assumptions (CSP)'!$AA$2:$AC$2)/10^9),0)</f>
        <v>0</v>
      </c>
      <c r="AL3681" s="95">
        <f>IF($AE$3539&gt;0,IPMT('Assumptions (CSP)'!$V$7,Model!AD$1,'Assumptions (CSP)'!$V$10,'Assumptions (CSP)'!$V$5*Model!$AE$3539*AVERAGE('Assumptions (CSP)'!$AA$2:$AC$2)/10^9),0)</f>
        <v>0</v>
      </c>
      <c r="AM3681" s="95">
        <f>IF($AE$3539&gt;0,IPMT('Assumptions (CSP)'!$V$7,Model!AE$1,'Assumptions (CSP)'!$V$10,'Assumptions (CSP)'!$V$5*Model!$AE$3539*AVERAGE('Assumptions (CSP)'!$AA$2:$AC$2)/10^9),0)</f>
        <v>0</v>
      </c>
      <c r="AN3681" s="95">
        <f>IF($AE$3539&gt;0,IPMT('Assumptions (CSP)'!$V$7,Model!AF$1,'Assumptions (CSP)'!$V$10,'Assumptions (CSP)'!$V$5*Model!$AE$3539*AVERAGE('Assumptions (CSP)'!$AA$2:$AC$2)/10^9),0)</f>
        <v>0</v>
      </c>
      <c r="AO3681" s="95">
        <f>IF($AE$3539&gt;0,IPMT('Assumptions (CSP)'!$V$7,Model!AG$1,'Assumptions (CSP)'!$V$10,'Assumptions (CSP)'!$V$5*Model!$AE$3539*AVERAGE('Assumptions (CSP)'!$AA$2:$AC$2)/10^9),0)</f>
        <v>0</v>
      </c>
      <c r="AP3681" s="95">
        <f>IF($AE$3539&gt;0,IPMT('Assumptions (CSP)'!$V$7,Model!AH$1,'Assumptions (CSP)'!$V$10,'Assumptions (CSP)'!$V$5*Model!$AE$3539*AVERAGE('Assumptions (CSP)'!$AA$2:$AC$2)/10^9),0)</f>
        <v>0</v>
      </c>
      <c r="AQ3681" s="95">
        <f>IF($AE$3539&gt;0,IPMT('Assumptions (CSP)'!$V$7,Model!AI$1,'Assumptions (CSP)'!$V$10,'Assumptions (CSP)'!$V$5*Model!$AE$3539*AVERAGE('Assumptions (CSP)'!$AA$2:$AC$2)/10^9),0)</f>
        <v>0</v>
      </c>
      <c r="AR3681" s="95">
        <f>IF($AE$3539&gt;0,IPMT('Assumptions (CSP)'!$V$7,Model!AJ$1,'Assumptions (CSP)'!$V$10,'Assumptions (CSP)'!$V$5*Model!$AE$3539*AVERAGE('Assumptions (CSP)'!$AA$2:$AC$2)/10^9),0)</f>
        <v>0</v>
      </c>
      <c r="AS3681" s="95">
        <f>IF($AE$3539&gt;0,IPMT('Assumptions (CSP)'!$V$7,Model!AK$1,'Assumptions (CSP)'!$V$10,'Assumptions (CSP)'!$V$5*Model!$AE$3539*AVERAGE('Assumptions (CSP)'!$AA$2:$AC$2)/10^9),0)</f>
        <v>0</v>
      </c>
      <c r="AT3681" s="95"/>
      <c r="AU3681" s="95"/>
      <c r="AV3681" s="95"/>
      <c r="AW3681" s="95"/>
      <c r="AX3681" s="95"/>
      <c r="AY3681" s="95"/>
      <c r="AZ3681" s="95"/>
      <c r="BA3681" s="95"/>
    </row>
    <row r="3682" ht="15.75" hidden="1" customHeight="1">
      <c r="A3682" s="395"/>
      <c r="B3682" s="24"/>
      <c r="C3682" s="95"/>
      <c r="D3682" s="95"/>
      <c r="E3682" s="95"/>
      <c r="F3682" s="95"/>
      <c r="G3682" s="95"/>
      <c r="H3682" s="95"/>
      <c r="I3682" s="95"/>
      <c r="J3682" s="95"/>
      <c r="K3682" s="95"/>
      <c r="L3682" s="95"/>
      <c r="M3682" s="95"/>
      <c r="N3682" s="95"/>
      <c r="O3682" s="95"/>
      <c r="P3682" s="95"/>
      <c r="Q3682" s="95"/>
      <c r="R3682" s="95"/>
      <c r="S3682" s="95"/>
      <c r="T3682" s="95"/>
      <c r="U3682" s="95"/>
      <c r="V3682" s="95"/>
      <c r="W3682" s="95"/>
      <c r="X3682" s="95"/>
      <c r="Y3682" s="95"/>
      <c r="Z3682" s="95"/>
      <c r="AA3682" s="95"/>
      <c r="AB3682" s="95"/>
      <c r="AC3682" s="95"/>
      <c r="AD3682" s="95"/>
      <c r="AE3682" s="95"/>
      <c r="AF3682" s="95">
        <f>IF($AF$3539&gt;0,IPMT('Assumptions (CSP)'!$V$7,Model!W$1,'Assumptions (CSP)'!$V$10,'Assumptions (CSP)'!$V$5*Model!$AF$3539*AVERAGE('Assumptions (CSP)'!$AB$2:$AD$2)/10^9),0)</f>
        <v>0</v>
      </c>
      <c r="AG3682" s="95">
        <f>IF($AF$3539&gt;0,IPMT('Assumptions (CSP)'!$V$7,Model!X$1,'Assumptions (CSP)'!$V$10,'Assumptions (CSP)'!$V$5*Model!$AF$3539*AVERAGE('Assumptions (CSP)'!$AB$2:$AD$2)/10^9),0)</f>
        <v>0</v>
      </c>
      <c r="AH3682" s="95">
        <f>IF($AF$3539&gt;0,IPMT('Assumptions (CSP)'!$V$7,Model!Y$1,'Assumptions (CSP)'!$V$10,'Assumptions (CSP)'!$V$5*Model!$AF$3539*AVERAGE('Assumptions (CSP)'!$AB$2:$AD$2)/10^9),0)</f>
        <v>0</v>
      </c>
      <c r="AI3682" s="95">
        <f>IF($AF$3539&gt;0,IPMT('Assumptions (CSP)'!$V$7,Model!Z$1,'Assumptions (CSP)'!$V$10,'Assumptions (CSP)'!$V$5*Model!$AF$3539*AVERAGE('Assumptions (CSP)'!$AB$2:$AD$2)/10^9),0)</f>
        <v>0</v>
      </c>
      <c r="AJ3682" s="95">
        <f>IF($AF$3539&gt;0,IPMT('Assumptions (CSP)'!$V$7,Model!AA$1,'Assumptions (CSP)'!$V$10,'Assumptions (CSP)'!$V$5*Model!$AF$3539*AVERAGE('Assumptions (CSP)'!$AB$2:$AD$2)/10^9),0)</f>
        <v>0</v>
      </c>
      <c r="AK3682" s="95">
        <f>IF($AF$3539&gt;0,IPMT('Assumptions (CSP)'!$V$7,Model!AB$1,'Assumptions (CSP)'!$V$10,'Assumptions (CSP)'!$V$5*Model!$AF$3539*AVERAGE('Assumptions (CSP)'!$AB$2:$AD$2)/10^9),0)</f>
        <v>0</v>
      </c>
      <c r="AL3682" s="95">
        <f>IF($AF$3539&gt;0,IPMT('Assumptions (CSP)'!$V$7,Model!AC$1,'Assumptions (CSP)'!$V$10,'Assumptions (CSP)'!$V$5*Model!$AF$3539*AVERAGE('Assumptions (CSP)'!$AB$2:$AD$2)/10^9),0)</f>
        <v>0</v>
      </c>
      <c r="AM3682" s="95">
        <f>IF($AF$3539&gt;0,IPMT('Assumptions (CSP)'!$V$7,Model!AD$1,'Assumptions (CSP)'!$V$10,'Assumptions (CSP)'!$V$5*Model!$AF$3539*AVERAGE('Assumptions (CSP)'!$AB$2:$AD$2)/10^9),0)</f>
        <v>0</v>
      </c>
      <c r="AN3682" s="95">
        <f>IF($AF$3539&gt;0,IPMT('Assumptions (CSP)'!$V$7,Model!AE$1,'Assumptions (CSP)'!$V$10,'Assumptions (CSP)'!$V$5*Model!$AF$3539*AVERAGE('Assumptions (CSP)'!$AB$2:$AD$2)/10^9),0)</f>
        <v>0</v>
      </c>
      <c r="AO3682" s="95">
        <f>IF($AF$3539&gt;0,IPMT('Assumptions (CSP)'!$V$7,Model!AF$1,'Assumptions (CSP)'!$V$10,'Assumptions (CSP)'!$V$5*Model!$AF$3539*AVERAGE('Assumptions (CSP)'!$AB$2:$AD$2)/10^9),0)</f>
        <v>0</v>
      </c>
      <c r="AP3682" s="95">
        <f>IF($AF$3539&gt;0,IPMT('Assumptions (CSP)'!$V$7,Model!AG$1,'Assumptions (CSP)'!$V$10,'Assumptions (CSP)'!$V$5*Model!$AF$3539*AVERAGE('Assumptions (CSP)'!$AB$2:$AD$2)/10^9),0)</f>
        <v>0</v>
      </c>
      <c r="AQ3682" s="95">
        <f>IF($AF$3539&gt;0,IPMT('Assumptions (CSP)'!$V$7,Model!AH$1,'Assumptions (CSP)'!$V$10,'Assumptions (CSP)'!$V$5*Model!$AF$3539*AVERAGE('Assumptions (CSP)'!$AB$2:$AD$2)/10^9),0)</f>
        <v>0</v>
      </c>
      <c r="AR3682" s="95">
        <f>IF($AF$3539&gt;0,IPMT('Assumptions (CSP)'!$V$7,Model!AI$1,'Assumptions (CSP)'!$V$10,'Assumptions (CSP)'!$V$5*Model!$AF$3539*AVERAGE('Assumptions (CSP)'!$AB$2:$AD$2)/10^9),0)</f>
        <v>0</v>
      </c>
      <c r="AS3682" s="95">
        <f>IF($AF$3539&gt;0,IPMT('Assumptions (CSP)'!$V$7,Model!AJ$1,'Assumptions (CSP)'!$V$10,'Assumptions (CSP)'!$V$5*Model!$AF$3539*AVERAGE('Assumptions (CSP)'!$AB$2:$AD$2)/10^9),0)</f>
        <v>0</v>
      </c>
      <c r="AT3682" s="95">
        <f>IF($AF$3539&gt;0,IPMT('Assumptions (CSP)'!$V$7,Model!AK$1,'Assumptions (CSP)'!$V$10,'Assumptions (CSP)'!$V$5*Model!$AF$3539*AVERAGE('Assumptions (CSP)'!$AB$2:$AD$2)/10^9),0)</f>
        <v>0</v>
      </c>
      <c r="AU3682" s="95"/>
      <c r="AV3682" s="95"/>
      <c r="AW3682" s="95"/>
      <c r="AX3682" s="95"/>
      <c r="AY3682" s="95"/>
      <c r="AZ3682" s="95"/>
      <c r="BA3682" s="95"/>
    </row>
    <row r="3683" ht="15.75" hidden="1" customHeight="1">
      <c r="A3683" s="395"/>
      <c r="B3683" s="24"/>
      <c r="C3683" s="95"/>
      <c r="D3683" s="95"/>
      <c r="E3683" s="95"/>
      <c r="F3683" s="95"/>
      <c r="G3683" s="95"/>
      <c r="H3683" s="95"/>
      <c r="I3683" s="95"/>
      <c r="J3683" s="95"/>
      <c r="K3683" s="95"/>
      <c r="L3683" s="95"/>
      <c r="M3683" s="95"/>
      <c r="N3683" s="95"/>
      <c r="O3683" s="95"/>
      <c r="P3683" s="95"/>
      <c r="Q3683" s="95"/>
      <c r="R3683" s="95"/>
      <c r="S3683" s="95"/>
      <c r="T3683" s="95"/>
      <c r="U3683" s="95"/>
      <c r="V3683" s="95"/>
      <c r="W3683" s="95"/>
      <c r="X3683" s="95"/>
      <c r="Y3683" s="95"/>
      <c r="Z3683" s="95"/>
      <c r="AA3683" s="95"/>
      <c r="AB3683" s="95"/>
      <c r="AC3683" s="95"/>
      <c r="AD3683" s="95"/>
      <c r="AE3683" s="95"/>
      <c r="AF3683" s="95"/>
      <c r="AG3683" s="95">
        <f>IF($AG$3539&gt;0,IPMT('Assumptions (CSP)'!$V$7,Model!W$1,'Assumptions (CSP)'!$V$10,'Assumptions (CSP)'!$V$5*Model!$AG$3539*AVERAGE('Assumptions (CSP)'!$AC$2:$AE$2)/10^9),0)</f>
        <v>0</v>
      </c>
      <c r="AH3683" s="95">
        <f>IF($AG$3539&gt;0,IPMT('Assumptions (CSP)'!$V$7,Model!X$1,'Assumptions (CSP)'!$V$10,'Assumptions (CSP)'!$V$5*Model!$AG$3539*AVERAGE('Assumptions (CSP)'!$AC$2:$AE$2)/10^9),0)</f>
        <v>0</v>
      </c>
      <c r="AI3683" s="95">
        <f>IF($AG$3539&gt;0,IPMT('Assumptions (CSP)'!$V$7,Model!Y$1,'Assumptions (CSP)'!$V$10,'Assumptions (CSP)'!$V$5*Model!$AG$3539*AVERAGE('Assumptions (CSP)'!$AC$2:$AE$2)/10^9),0)</f>
        <v>0</v>
      </c>
      <c r="AJ3683" s="95">
        <f>IF($AG$3539&gt;0,IPMT('Assumptions (CSP)'!$V$7,Model!Z$1,'Assumptions (CSP)'!$V$10,'Assumptions (CSP)'!$V$5*Model!$AG$3539*AVERAGE('Assumptions (CSP)'!$AC$2:$AE$2)/10^9),0)</f>
        <v>0</v>
      </c>
      <c r="AK3683" s="95">
        <f>IF($AG$3539&gt;0,IPMT('Assumptions (CSP)'!$V$7,Model!AA$1,'Assumptions (CSP)'!$V$10,'Assumptions (CSP)'!$V$5*Model!$AG$3539*AVERAGE('Assumptions (CSP)'!$AC$2:$AE$2)/10^9),0)</f>
        <v>0</v>
      </c>
      <c r="AL3683" s="95">
        <f>IF($AG$3539&gt;0,IPMT('Assumptions (CSP)'!$V$7,Model!AB$1,'Assumptions (CSP)'!$V$10,'Assumptions (CSP)'!$V$5*Model!$AG$3539*AVERAGE('Assumptions (CSP)'!$AC$2:$AE$2)/10^9),0)</f>
        <v>0</v>
      </c>
      <c r="AM3683" s="95">
        <f>IF($AG$3539&gt;0,IPMT('Assumptions (CSP)'!$V$7,Model!AC$1,'Assumptions (CSP)'!$V$10,'Assumptions (CSP)'!$V$5*Model!$AG$3539*AVERAGE('Assumptions (CSP)'!$AC$2:$AE$2)/10^9),0)</f>
        <v>0</v>
      </c>
      <c r="AN3683" s="95">
        <f>IF($AG$3539&gt;0,IPMT('Assumptions (CSP)'!$V$7,Model!AD$1,'Assumptions (CSP)'!$V$10,'Assumptions (CSP)'!$V$5*Model!$AG$3539*AVERAGE('Assumptions (CSP)'!$AC$2:$AE$2)/10^9),0)</f>
        <v>0</v>
      </c>
      <c r="AO3683" s="95">
        <f>IF($AG$3539&gt;0,IPMT('Assumptions (CSP)'!$V$7,Model!AE$1,'Assumptions (CSP)'!$V$10,'Assumptions (CSP)'!$V$5*Model!$AG$3539*AVERAGE('Assumptions (CSP)'!$AC$2:$AE$2)/10^9),0)</f>
        <v>0</v>
      </c>
      <c r="AP3683" s="95">
        <f>IF($AG$3539&gt;0,IPMT('Assumptions (CSP)'!$V$7,Model!AF$1,'Assumptions (CSP)'!$V$10,'Assumptions (CSP)'!$V$5*Model!$AG$3539*AVERAGE('Assumptions (CSP)'!$AC$2:$AE$2)/10^9),0)</f>
        <v>0</v>
      </c>
      <c r="AQ3683" s="95">
        <f>IF($AG$3539&gt;0,IPMT('Assumptions (CSP)'!$V$7,Model!AG$1,'Assumptions (CSP)'!$V$10,'Assumptions (CSP)'!$V$5*Model!$AG$3539*AVERAGE('Assumptions (CSP)'!$AC$2:$AE$2)/10^9),0)</f>
        <v>0</v>
      </c>
      <c r="AR3683" s="95">
        <f>IF($AG$3539&gt;0,IPMT('Assumptions (CSP)'!$V$7,Model!AH$1,'Assumptions (CSP)'!$V$10,'Assumptions (CSP)'!$V$5*Model!$AG$3539*AVERAGE('Assumptions (CSP)'!$AC$2:$AE$2)/10^9),0)</f>
        <v>0</v>
      </c>
      <c r="AS3683" s="95">
        <f>IF($AG$3539&gt;0,IPMT('Assumptions (CSP)'!$V$7,Model!AI$1,'Assumptions (CSP)'!$V$10,'Assumptions (CSP)'!$V$5*Model!$AG$3539*AVERAGE('Assumptions (CSP)'!$AC$2:$AE$2)/10^9),0)</f>
        <v>0</v>
      </c>
      <c r="AT3683" s="95">
        <f>IF($AG$3539&gt;0,IPMT('Assumptions (CSP)'!$V$7,Model!AJ$1,'Assumptions (CSP)'!$V$10,'Assumptions (CSP)'!$V$5*Model!$AG$3539*AVERAGE('Assumptions (CSP)'!$AC$2:$AE$2)/10^9),0)</f>
        <v>0</v>
      </c>
      <c r="AU3683" s="95">
        <f>IF($AG$3539&gt;0,IPMT('Assumptions (CSP)'!$V$7,Model!AK$1,'Assumptions (CSP)'!$V$10,'Assumptions (CSP)'!$V$5*Model!$AG$3539*AVERAGE('Assumptions (CSP)'!$AC$2:$AE$2)/10^9),0)</f>
        <v>0</v>
      </c>
      <c r="AV3683" s="95"/>
      <c r="AW3683" s="95"/>
      <c r="AX3683" s="95"/>
      <c r="AY3683" s="95"/>
      <c r="AZ3683" s="95"/>
      <c r="BA3683" s="95"/>
    </row>
    <row r="3684" ht="15.75" hidden="1" customHeight="1">
      <c r="A3684" s="395"/>
      <c r="B3684" s="24"/>
      <c r="C3684" s="95"/>
      <c r="D3684" s="95"/>
      <c r="E3684" s="95"/>
      <c r="F3684" s="95"/>
      <c r="G3684" s="95"/>
      <c r="H3684" s="95"/>
      <c r="I3684" s="95"/>
      <c r="J3684" s="95"/>
      <c r="K3684" s="95"/>
      <c r="L3684" s="95"/>
      <c r="M3684" s="95"/>
      <c r="N3684" s="95"/>
      <c r="O3684" s="95"/>
      <c r="P3684" s="95"/>
      <c r="Q3684" s="95"/>
      <c r="R3684" s="95"/>
      <c r="S3684" s="95"/>
      <c r="T3684" s="95"/>
      <c r="U3684" s="95"/>
      <c r="V3684" s="95"/>
      <c r="W3684" s="95"/>
      <c r="X3684" s="95"/>
      <c r="Y3684" s="95"/>
      <c r="Z3684" s="95"/>
      <c r="AA3684" s="95"/>
      <c r="AB3684" s="95"/>
      <c r="AC3684" s="95"/>
      <c r="AD3684" s="95"/>
      <c r="AE3684" s="95"/>
      <c r="AF3684" s="95"/>
      <c r="AG3684" s="95"/>
      <c r="AH3684" s="95">
        <f>IF($AH$3539&gt;0,IPMT('Assumptions (CSP)'!$V$7,Model!W$1,'Assumptions (CSP)'!$V$10,'Assumptions (CSP)'!$V$5*Model!$AH$3539*AVERAGE('Assumptions (CSP)'!$AD$2:$AF$2)/10^9),0)</f>
        <v>0</v>
      </c>
      <c r="AI3684" s="95">
        <f>IF($AH$3539&gt;0,IPMT('Assumptions (CSP)'!$V$7,Model!X$1,'Assumptions (CSP)'!$V$10,'Assumptions (CSP)'!$V$5*Model!$AH$3539*AVERAGE('Assumptions (CSP)'!$AD$2:$AF$2)/10^9),0)</f>
        <v>0</v>
      </c>
      <c r="AJ3684" s="95">
        <f>IF($AH$3539&gt;0,IPMT('Assumptions (CSP)'!$V$7,Model!Y$1,'Assumptions (CSP)'!$V$10,'Assumptions (CSP)'!$V$5*Model!$AH$3539*AVERAGE('Assumptions (CSP)'!$AD$2:$AF$2)/10^9),0)</f>
        <v>0</v>
      </c>
      <c r="AK3684" s="95">
        <f>IF($AH$3539&gt;0,IPMT('Assumptions (CSP)'!$V$7,Model!Z$1,'Assumptions (CSP)'!$V$10,'Assumptions (CSP)'!$V$5*Model!$AH$3539*AVERAGE('Assumptions (CSP)'!$AD$2:$AF$2)/10^9),0)</f>
        <v>0</v>
      </c>
      <c r="AL3684" s="95">
        <f>IF($AH$3539&gt;0,IPMT('Assumptions (CSP)'!$V$7,Model!AA$1,'Assumptions (CSP)'!$V$10,'Assumptions (CSP)'!$V$5*Model!$AH$3539*AVERAGE('Assumptions (CSP)'!$AD$2:$AF$2)/10^9),0)</f>
        <v>0</v>
      </c>
      <c r="AM3684" s="95">
        <f>IF($AH$3539&gt;0,IPMT('Assumptions (CSP)'!$V$7,Model!AB$1,'Assumptions (CSP)'!$V$10,'Assumptions (CSP)'!$V$5*Model!$AH$3539*AVERAGE('Assumptions (CSP)'!$AD$2:$AF$2)/10^9),0)</f>
        <v>0</v>
      </c>
      <c r="AN3684" s="95">
        <f>IF($AH$3539&gt;0,IPMT('Assumptions (CSP)'!$V$7,Model!AC$1,'Assumptions (CSP)'!$V$10,'Assumptions (CSP)'!$V$5*Model!$AH$3539*AVERAGE('Assumptions (CSP)'!$AD$2:$AF$2)/10^9),0)</f>
        <v>0</v>
      </c>
      <c r="AO3684" s="95">
        <f>IF($AH$3539&gt;0,IPMT('Assumptions (CSP)'!$V$7,Model!AD$1,'Assumptions (CSP)'!$V$10,'Assumptions (CSP)'!$V$5*Model!$AH$3539*AVERAGE('Assumptions (CSP)'!$AD$2:$AF$2)/10^9),0)</f>
        <v>0</v>
      </c>
      <c r="AP3684" s="95">
        <f>IF($AH$3539&gt;0,IPMT('Assumptions (CSP)'!$V$7,Model!AE$1,'Assumptions (CSP)'!$V$10,'Assumptions (CSP)'!$V$5*Model!$AH$3539*AVERAGE('Assumptions (CSP)'!$AD$2:$AF$2)/10^9),0)</f>
        <v>0</v>
      </c>
      <c r="AQ3684" s="95">
        <f>IF($AH$3539&gt;0,IPMT('Assumptions (CSP)'!$V$7,Model!AF$1,'Assumptions (CSP)'!$V$10,'Assumptions (CSP)'!$V$5*Model!$AH$3539*AVERAGE('Assumptions (CSP)'!$AD$2:$AF$2)/10^9),0)</f>
        <v>0</v>
      </c>
      <c r="AR3684" s="95">
        <f>IF($AH$3539&gt;0,IPMT('Assumptions (CSP)'!$V$7,Model!AG$1,'Assumptions (CSP)'!$V$10,'Assumptions (CSP)'!$V$5*Model!$AH$3539*AVERAGE('Assumptions (CSP)'!$AD$2:$AF$2)/10^9),0)</f>
        <v>0</v>
      </c>
      <c r="AS3684" s="95">
        <f>IF($AH$3539&gt;0,IPMT('Assumptions (CSP)'!$V$7,Model!AH$1,'Assumptions (CSP)'!$V$10,'Assumptions (CSP)'!$V$5*Model!$AH$3539*AVERAGE('Assumptions (CSP)'!$AD$2:$AF$2)/10^9),0)</f>
        <v>0</v>
      </c>
      <c r="AT3684" s="95">
        <f>IF($AH$3539&gt;0,IPMT('Assumptions (CSP)'!$V$7,Model!AI$1,'Assumptions (CSP)'!$V$10,'Assumptions (CSP)'!$V$5*Model!$AH$3539*AVERAGE('Assumptions (CSP)'!$AD$2:$AF$2)/10^9),0)</f>
        <v>0</v>
      </c>
      <c r="AU3684" s="95">
        <f>IF($AH$3539&gt;0,IPMT('Assumptions (CSP)'!$V$7,Model!AJ$1,'Assumptions (CSP)'!$V$10,'Assumptions (CSP)'!$V$5*Model!$AH$3539*AVERAGE('Assumptions (CSP)'!$AD$2:$AF$2)/10^9),0)</f>
        <v>0</v>
      </c>
      <c r="AV3684" s="95">
        <f>IF($AH$3539&gt;0,IPMT('Assumptions (CSP)'!$V$7,Model!AK$1,'Assumptions (CSP)'!$V$10,'Assumptions (CSP)'!$V$5*Model!$AH$3539*AVERAGE('Assumptions (CSP)'!$AD$2:$AF$2)/10^9),0)</f>
        <v>0</v>
      </c>
      <c r="AW3684" s="95"/>
      <c r="AX3684" s="95"/>
      <c r="AY3684" s="95"/>
      <c r="AZ3684" s="95"/>
      <c r="BA3684" s="95"/>
    </row>
    <row r="3685" ht="15.75" hidden="1" customHeight="1">
      <c r="A3685" s="395"/>
      <c r="B3685" s="24"/>
      <c r="C3685" s="95"/>
      <c r="D3685" s="95"/>
      <c r="E3685" s="95"/>
      <c r="F3685" s="95"/>
      <c r="G3685" s="95"/>
      <c r="H3685" s="95"/>
      <c r="I3685" s="95"/>
      <c r="J3685" s="95"/>
      <c r="K3685" s="95"/>
      <c r="L3685" s="95"/>
      <c r="M3685" s="95"/>
      <c r="N3685" s="95"/>
      <c r="O3685" s="95"/>
      <c r="P3685" s="95"/>
      <c r="Q3685" s="95"/>
      <c r="R3685" s="95"/>
      <c r="S3685" s="95"/>
      <c r="T3685" s="95"/>
      <c r="U3685" s="95"/>
      <c r="V3685" s="95"/>
      <c r="W3685" s="95"/>
      <c r="X3685" s="95"/>
      <c r="Y3685" s="95"/>
      <c r="Z3685" s="95"/>
      <c r="AA3685" s="95"/>
      <c r="AB3685" s="95"/>
      <c r="AC3685" s="95"/>
      <c r="AD3685" s="95"/>
      <c r="AE3685" s="95"/>
      <c r="AF3685" s="95"/>
      <c r="AG3685" s="95"/>
      <c r="AH3685" s="95"/>
      <c r="AI3685" s="95">
        <f>IF($AI$3539&gt;0,IPMT('Assumptions (CSP)'!$V$7,Model!W$1,'Assumptions (CSP)'!$V$10,'Assumptions (CSP)'!$V$5*Model!$AI$3539*AVERAGE('Assumptions (CSP)'!$AE$2:$AG$2)/10^9),0)</f>
        <v>0</v>
      </c>
      <c r="AJ3685" s="95">
        <f>IF($AI$3539&gt;0,IPMT('Assumptions (CSP)'!$V$7,Model!X$1,'Assumptions (CSP)'!$V$10,'Assumptions (CSP)'!$V$5*Model!$AI$3539*AVERAGE('Assumptions (CSP)'!$AE$2:$AG$2)/10^9),0)</f>
        <v>0</v>
      </c>
      <c r="AK3685" s="95">
        <f>IF($AI$3539&gt;0,IPMT('Assumptions (CSP)'!$V$7,Model!Y$1,'Assumptions (CSP)'!$V$10,'Assumptions (CSP)'!$V$5*Model!$AI$3539*AVERAGE('Assumptions (CSP)'!$AE$2:$AG$2)/10^9),0)</f>
        <v>0</v>
      </c>
      <c r="AL3685" s="95">
        <f>IF($AI$3539&gt;0,IPMT('Assumptions (CSP)'!$V$7,Model!Z$1,'Assumptions (CSP)'!$V$10,'Assumptions (CSP)'!$V$5*Model!$AI$3539*AVERAGE('Assumptions (CSP)'!$AE$2:$AG$2)/10^9),0)</f>
        <v>0</v>
      </c>
      <c r="AM3685" s="95">
        <f>IF($AI$3539&gt;0,IPMT('Assumptions (CSP)'!$V$7,Model!AA$1,'Assumptions (CSP)'!$V$10,'Assumptions (CSP)'!$V$5*Model!$AI$3539*AVERAGE('Assumptions (CSP)'!$AE$2:$AG$2)/10^9),0)</f>
        <v>0</v>
      </c>
      <c r="AN3685" s="95">
        <f>IF($AI$3539&gt;0,IPMT('Assumptions (CSP)'!$V$7,Model!AB$1,'Assumptions (CSP)'!$V$10,'Assumptions (CSP)'!$V$5*Model!$AI$3539*AVERAGE('Assumptions (CSP)'!$AE$2:$AG$2)/10^9),0)</f>
        <v>0</v>
      </c>
      <c r="AO3685" s="95">
        <f>IF($AI$3539&gt;0,IPMT('Assumptions (CSP)'!$V$7,Model!AC$1,'Assumptions (CSP)'!$V$10,'Assumptions (CSP)'!$V$5*Model!$AI$3539*AVERAGE('Assumptions (CSP)'!$AE$2:$AG$2)/10^9),0)</f>
        <v>0</v>
      </c>
      <c r="AP3685" s="95">
        <f>IF($AI$3539&gt;0,IPMT('Assumptions (CSP)'!$V$7,Model!AD$1,'Assumptions (CSP)'!$V$10,'Assumptions (CSP)'!$V$5*Model!$AI$3539*AVERAGE('Assumptions (CSP)'!$AE$2:$AG$2)/10^9),0)</f>
        <v>0</v>
      </c>
      <c r="AQ3685" s="95">
        <f>IF($AI$3539&gt;0,IPMT('Assumptions (CSP)'!$V$7,Model!AE$1,'Assumptions (CSP)'!$V$10,'Assumptions (CSP)'!$V$5*Model!$AI$3539*AVERAGE('Assumptions (CSP)'!$AE$2:$AG$2)/10^9),0)</f>
        <v>0</v>
      </c>
      <c r="AR3685" s="95">
        <f>IF($AI$3539&gt;0,IPMT('Assumptions (CSP)'!$V$7,Model!AF$1,'Assumptions (CSP)'!$V$10,'Assumptions (CSP)'!$V$5*Model!$AI$3539*AVERAGE('Assumptions (CSP)'!$AE$2:$AG$2)/10^9),0)</f>
        <v>0</v>
      </c>
      <c r="AS3685" s="95">
        <f>IF($AI$3539&gt;0,IPMT('Assumptions (CSP)'!$V$7,Model!AG$1,'Assumptions (CSP)'!$V$10,'Assumptions (CSP)'!$V$5*Model!$AI$3539*AVERAGE('Assumptions (CSP)'!$AE$2:$AG$2)/10^9),0)</f>
        <v>0</v>
      </c>
      <c r="AT3685" s="95">
        <f>IF($AI$3539&gt;0,IPMT('Assumptions (CSP)'!$V$7,Model!AH$1,'Assumptions (CSP)'!$V$10,'Assumptions (CSP)'!$V$5*Model!$AI$3539*AVERAGE('Assumptions (CSP)'!$AE$2:$AG$2)/10^9),0)</f>
        <v>0</v>
      </c>
      <c r="AU3685" s="95">
        <f>IF($AI$3539&gt;0,IPMT('Assumptions (CSP)'!$V$7,Model!AI$1,'Assumptions (CSP)'!$V$10,'Assumptions (CSP)'!$V$5*Model!$AI$3539*AVERAGE('Assumptions (CSP)'!$AE$2:$AG$2)/10^9),0)</f>
        <v>0</v>
      </c>
      <c r="AV3685" s="95">
        <f>IF($AI$3539&gt;0,IPMT('Assumptions (CSP)'!$V$7,Model!AJ$1,'Assumptions (CSP)'!$V$10,'Assumptions (CSP)'!$V$5*Model!$AI$3539*AVERAGE('Assumptions (CSP)'!$AE$2:$AG$2)/10^9),0)</f>
        <v>0</v>
      </c>
      <c r="AW3685" s="95">
        <f>IF($AI$3539&gt;0,IPMT('Assumptions (CSP)'!$V$7,Model!AK$1,'Assumptions (CSP)'!$V$10,'Assumptions (CSP)'!$V$5*Model!$AI$3539*AVERAGE('Assumptions (CSP)'!$AE$2:$AG$2)/10^9),0)</f>
        <v>0</v>
      </c>
      <c r="AX3685" s="95"/>
      <c r="AY3685" s="95"/>
      <c r="AZ3685" s="95"/>
      <c r="BA3685" s="95"/>
    </row>
    <row r="3686" ht="15.75" hidden="1" customHeight="1">
      <c r="A3686" s="395"/>
      <c r="B3686" s="24"/>
      <c r="C3686" s="95"/>
      <c r="D3686" s="95"/>
      <c r="E3686" s="95"/>
      <c r="F3686" s="95"/>
      <c r="G3686" s="95"/>
      <c r="H3686" s="95"/>
      <c r="I3686" s="95"/>
      <c r="J3686" s="95"/>
      <c r="K3686" s="95"/>
      <c r="L3686" s="95"/>
      <c r="M3686" s="95"/>
      <c r="N3686" s="95"/>
      <c r="O3686" s="95"/>
      <c r="P3686" s="95"/>
      <c r="Q3686" s="95"/>
      <c r="R3686" s="95"/>
      <c r="S3686" s="95"/>
      <c r="T3686" s="95"/>
      <c r="U3686" s="95"/>
      <c r="V3686" s="95"/>
      <c r="W3686" s="95"/>
      <c r="X3686" s="95"/>
      <c r="Y3686" s="95"/>
      <c r="Z3686" s="95"/>
      <c r="AA3686" s="95"/>
      <c r="AB3686" s="95"/>
      <c r="AC3686" s="95"/>
      <c r="AD3686" s="95"/>
      <c r="AE3686" s="95"/>
      <c r="AF3686" s="95"/>
      <c r="AG3686" s="95"/>
      <c r="AH3686" s="95"/>
      <c r="AI3686" s="95"/>
      <c r="AJ3686" s="95">
        <f>IF($AJ$3539&gt;0,IPMT('Assumptions (CSP)'!$V$7,Model!W$1,'Assumptions (CSP)'!$V$10,'Assumptions (CSP)'!$V$5*Model!$AJ$3539*AVERAGE('Assumptions (CSP)'!$AF$2:$AH$2)/10^9),0)</f>
        <v>0</v>
      </c>
      <c r="AK3686" s="95">
        <f>IF($AJ$3539&gt;0,IPMT('Assumptions (CSP)'!$V$7,Model!X$1,'Assumptions (CSP)'!$V$10,'Assumptions (CSP)'!$V$5*Model!$AJ$3539*AVERAGE('Assumptions (CSP)'!$AF$2:$AH$2)/10^9),0)</f>
        <v>0</v>
      </c>
      <c r="AL3686" s="95">
        <f>IF($AJ$3539&gt;0,IPMT('Assumptions (CSP)'!$V$7,Model!Y$1,'Assumptions (CSP)'!$V$10,'Assumptions (CSP)'!$V$5*Model!$AJ$3539*AVERAGE('Assumptions (CSP)'!$AF$2:$AH$2)/10^9),0)</f>
        <v>0</v>
      </c>
      <c r="AM3686" s="95">
        <f>IF($AJ$3539&gt;0,IPMT('Assumptions (CSP)'!$V$7,Model!Z$1,'Assumptions (CSP)'!$V$10,'Assumptions (CSP)'!$V$5*Model!$AJ$3539*AVERAGE('Assumptions (CSP)'!$AF$2:$AH$2)/10^9),0)</f>
        <v>0</v>
      </c>
      <c r="AN3686" s="95">
        <f>IF($AJ$3539&gt;0,IPMT('Assumptions (CSP)'!$V$7,Model!AA$1,'Assumptions (CSP)'!$V$10,'Assumptions (CSP)'!$V$5*Model!$AJ$3539*AVERAGE('Assumptions (CSP)'!$AF$2:$AH$2)/10^9),0)</f>
        <v>0</v>
      </c>
      <c r="AO3686" s="95">
        <f>IF($AJ$3539&gt;0,IPMT('Assumptions (CSP)'!$V$7,Model!AB$1,'Assumptions (CSP)'!$V$10,'Assumptions (CSP)'!$V$5*Model!$AJ$3539*AVERAGE('Assumptions (CSP)'!$AF$2:$AH$2)/10^9),0)</f>
        <v>0</v>
      </c>
      <c r="AP3686" s="95">
        <f>IF($AJ$3539&gt;0,IPMT('Assumptions (CSP)'!$V$7,Model!AC$1,'Assumptions (CSP)'!$V$10,'Assumptions (CSP)'!$V$5*Model!$AJ$3539*AVERAGE('Assumptions (CSP)'!$AF$2:$AH$2)/10^9),0)</f>
        <v>0</v>
      </c>
      <c r="AQ3686" s="95">
        <f>IF($AJ$3539&gt;0,IPMT('Assumptions (CSP)'!$V$7,Model!AD$1,'Assumptions (CSP)'!$V$10,'Assumptions (CSP)'!$V$5*Model!$AJ$3539*AVERAGE('Assumptions (CSP)'!$AF$2:$AH$2)/10^9),0)</f>
        <v>0</v>
      </c>
      <c r="AR3686" s="95">
        <f>IF($AJ$3539&gt;0,IPMT('Assumptions (CSP)'!$V$7,Model!AE$1,'Assumptions (CSP)'!$V$10,'Assumptions (CSP)'!$V$5*Model!$AJ$3539*AVERAGE('Assumptions (CSP)'!$AF$2:$AH$2)/10^9),0)</f>
        <v>0</v>
      </c>
      <c r="AS3686" s="95">
        <f>IF($AJ$3539&gt;0,IPMT('Assumptions (CSP)'!$V$7,Model!AF$1,'Assumptions (CSP)'!$V$10,'Assumptions (CSP)'!$V$5*Model!$AJ$3539*AVERAGE('Assumptions (CSP)'!$AF$2:$AH$2)/10^9),0)</f>
        <v>0</v>
      </c>
      <c r="AT3686" s="95">
        <f>IF($AJ$3539&gt;0,IPMT('Assumptions (CSP)'!$V$7,Model!AG$1,'Assumptions (CSP)'!$V$10,'Assumptions (CSP)'!$V$5*Model!$AJ$3539*AVERAGE('Assumptions (CSP)'!$AF$2:$AH$2)/10^9),0)</f>
        <v>0</v>
      </c>
      <c r="AU3686" s="95">
        <f>IF($AJ$3539&gt;0,IPMT('Assumptions (CSP)'!$V$7,Model!AH$1,'Assumptions (CSP)'!$V$10,'Assumptions (CSP)'!$V$5*Model!$AJ$3539*AVERAGE('Assumptions (CSP)'!$AF$2:$AH$2)/10^9),0)</f>
        <v>0</v>
      </c>
      <c r="AV3686" s="95">
        <f>IF($AJ$3539&gt;0,IPMT('Assumptions (CSP)'!$V$7,Model!AI$1,'Assumptions (CSP)'!$V$10,'Assumptions (CSP)'!$V$5*Model!$AJ$3539*AVERAGE('Assumptions (CSP)'!$AF$2:$AH$2)/10^9),0)</f>
        <v>0</v>
      </c>
      <c r="AW3686" s="95">
        <f>IF($AJ$3539&gt;0,IPMT('Assumptions (CSP)'!$V$7,Model!AJ$1,'Assumptions (CSP)'!$V$10,'Assumptions (CSP)'!$V$5*Model!$AJ$3539*AVERAGE('Assumptions (CSP)'!$AF$2:$AH$2)/10^9),0)</f>
        <v>0</v>
      </c>
      <c r="AX3686" s="95">
        <f>IF($AJ$3539&gt;0,IPMT('Assumptions (CSP)'!$V$7,Model!AK$1,'Assumptions (CSP)'!$V$10,'Assumptions (CSP)'!$V$5*Model!$AJ$3539*AVERAGE('Assumptions (CSP)'!$AF$2:$AH$2)/10^9),0)</f>
        <v>0</v>
      </c>
      <c r="AY3686" s="95"/>
      <c r="AZ3686" s="95"/>
      <c r="BA3686" s="95"/>
    </row>
    <row r="3687" ht="15.75" hidden="1" customHeight="1">
      <c r="A3687" s="395"/>
      <c r="B3687" s="24"/>
      <c r="C3687" s="95"/>
      <c r="D3687" s="95"/>
      <c r="E3687" s="95"/>
      <c r="F3687" s="95"/>
      <c r="G3687" s="95"/>
      <c r="H3687" s="95"/>
      <c r="I3687" s="95"/>
      <c r="J3687" s="95"/>
      <c r="K3687" s="95"/>
      <c r="L3687" s="95"/>
      <c r="M3687" s="95"/>
      <c r="N3687" s="95"/>
      <c r="O3687" s="95"/>
      <c r="P3687" s="95"/>
      <c r="Q3687" s="95"/>
      <c r="R3687" s="95"/>
      <c r="S3687" s="95"/>
      <c r="T3687" s="95"/>
      <c r="U3687" s="95"/>
      <c r="V3687" s="95"/>
      <c r="W3687" s="95"/>
      <c r="X3687" s="95"/>
      <c r="Y3687" s="95"/>
      <c r="Z3687" s="95"/>
      <c r="AA3687" s="95"/>
      <c r="AB3687" s="95"/>
      <c r="AC3687" s="95"/>
      <c r="AD3687" s="95"/>
      <c r="AE3687" s="95"/>
      <c r="AF3687" s="95"/>
      <c r="AG3687" s="95"/>
      <c r="AH3687" s="95"/>
      <c r="AI3687" s="95"/>
      <c r="AJ3687" s="95"/>
      <c r="AK3687" s="95">
        <f>IF($AK$3539&gt;0,IPMT('Assumptions (CSP)'!$V$7,Model!W$1,'Assumptions (CSP)'!$V$10,'Assumptions (CSP)'!$V$5*Model!$AK$3539*AVERAGE('Assumptions (CSP)'!$AG$2:$AI$2)/10^9),0)</f>
        <v>0</v>
      </c>
      <c r="AL3687" s="95">
        <f>IF($AK$3539&gt;0,IPMT('Assumptions (CSP)'!$V$7,Model!X$1,'Assumptions (CSP)'!$V$10,'Assumptions (CSP)'!$V$5*Model!$AK$3539*AVERAGE('Assumptions (CSP)'!$AG$2:$AI$2)/10^9),0)</f>
        <v>0</v>
      </c>
      <c r="AM3687" s="95">
        <f>IF($AK$3539&gt;0,IPMT('Assumptions (CSP)'!$V$7,Model!Y$1,'Assumptions (CSP)'!$V$10,'Assumptions (CSP)'!$V$5*Model!$AK$3539*AVERAGE('Assumptions (CSP)'!$AG$2:$AI$2)/10^9),0)</f>
        <v>0</v>
      </c>
      <c r="AN3687" s="95">
        <f>IF($AK$3539&gt;0,IPMT('Assumptions (CSP)'!$V$7,Model!Z$1,'Assumptions (CSP)'!$V$10,'Assumptions (CSP)'!$V$5*Model!$AK$3539*AVERAGE('Assumptions (CSP)'!$AG$2:$AI$2)/10^9),0)</f>
        <v>0</v>
      </c>
      <c r="AO3687" s="95">
        <f>IF($AK$3539&gt;0,IPMT('Assumptions (CSP)'!$V$7,Model!AA$1,'Assumptions (CSP)'!$V$10,'Assumptions (CSP)'!$V$5*Model!$AK$3539*AVERAGE('Assumptions (CSP)'!$AG$2:$AI$2)/10^9),0)</f>
        <v>0</v>
      </c>
      <c r="AP3687" s="95">
        <f>IF($AK$3539&gt;0,IPMT('Assumptions (CSP)'!$V$7,Model!AB$1,'Assumptions (CSP)'!$V$10,'Assumptions (CSP)'!$V$5*Model!$AK$3539*AVERAGE('Assumptions (CSP)'!$AG$2:$AI$2)/10^9),0)</f>
        <v>0</v>
      </c>
      <c r="AQ3687" s="95">
        <f>IF($AK$3539&gt;0,IPMT('Assumptions (CSP)'!$V$7,Model!AC$1,'Assumptions (CSP)'!$V$10,'Assumptions (CSP)'!$V$5*Model!$AK$3539*AVERAGE('Assumptions (CSP)'!$AG$2:$AI$2)/10^9),0)</f>
        <v>0</v>
      </c>
      <c r="AR3687" s="95">
        <f>IF($AK$3539&gt;0,IPMT('Assumptions (CSP)'!$V$7,Model!AD$1,'Assumptions (CSP)'!$V$10,'Assumptions (CSP)'!$V$5*Model!$AK$3539*AVERAGE('Assumptions (CSP)'!$AG$2:$AI$2)/10^9),0)</f>
        <v>0</v>
      </c>
      <c r="AS3687" s="95">
        <f>IF($AK$3539&gt;0,IPMT('Assumptions (CSP)'!$V$7,Model!AE$1,'Assumptions (CSP)'!$V$10,'Assumptions (CSP)'!$V$5*Model!$AK$3539*AVERAGE('Assumptions (CSP)'!$AG$2:$AI$2)/10^9),0)</f>
        <v>0</v>
      </c>
      <c r="AT3687" s="95">
        <f>IF($AK$3539&gt;0,IPMT('Assumptions (CSP)'!$V$7,Model!AF$1,'Assumptions (CSP)'!$V$10,'Assumptions (CSP)'!$V$5*Model!$AK$3539*AVERAGE('Assumptions (CSP)'!$AG$2:$AI$2)/10^9),0)</f>
        <v>0</v>
      </c>
      <c r="AU3687" s="95">
        <f>IF($AK$3539&gt;0,IPMT('Assumptions (CSP)'!$V$7,Model!AG$1,'Assumptions (CSP)'!$V$10,'Assumptions (CSP)'!$V$5*Model!$AK$3539*AVERAGE('Assumptions (CSP)'!$AG$2:$AI$2)/10^9),0)</f>
        <v>0</v>
      </c>
      <c r="AV3687" s="95">
        <f>IF($AK$3539&gt;0,IPMT('Assumptions (CSP)'!$V$7,Model!AH$1,'Assumptions (CSP)'!$V$10,'Assumptions (CSP)'!$V$5*Model!$AK$3539*AVERAGE('Assumptions (CSP)'!$AG$2:$AI$2)/10^9),0)</f>
        <v>0</v>
      </c>
      <c r="AW3687" s="95">
        <f>IF($AK$3539&gt;0,IPMT('Assumptions (CSP)'!$V$7,Model!AI$1,'Assumptions (CSP)'!$V$10,'Assumptions (CSP)'!$V$5*Model!$AK$3539*AVERAGE('Assumptions (CSP)'!$AG$2:$AI$2)/10^9),0)</f>
        <v>0</v>
      </c>
      <c r="AX3687" s="95">
        <f>IF($AK$3539&gt;0,IPMT('Assumptions (CSP)'!$V$7,Model!AJ$1,'Assumptions (CSP)'!$V$10,'Assumptions (CSP)'!$V$5*Model!$AK$3539*AVERAGE('Assumptions (CSP)'!$AG$2:$AI$2)/10^9),0)</f>
        <v>0</v>
      </c>
      <c r="AY3687" s="95">
        <f>IF($AK$3539&gt;0,IPMT('Assumptions (CSP)'!$V$7,Model!AK$1,'Assumptions (CSP)'!$V$10,'Assumptions (CSP)'!$V$5*Model!$AK$3539*AVERAGE('Assumptions (CSP)'!$AG$2:$AI$2)/10^9),0)</f>
        <v>0</v>
      </c>
      <c r="AZ3687" s="95"/>
      <c r="BA3687" s="95"/>
    </row>
    <row r="3688" ht="15.75" hidden="1" customHeight="1">
      <c r="A3688" s="395"/>
      <c r="B3688" s="24"/>
      <c r="C3688" s="95"/>
      <c r="D3688" s="95"/>
      <c r="E3688" s="95"/>
      <c r="F3688" s="95"/>
      <c r="G3688" s="95"/>
      <c r="H3688" s="95"/>
      <c r="I3688" s="95"/>
      <c r="J3688" s="95"/>
      <c r="K3688" s="95"/>
      <c r="L3688" s="95"/>
      <c r="M3688" s="95"/>
      <c r="N3688" s="95"/>
      <c r="O3688" s="95"/>
      <c r="P3688" s="95"/>
      <c r="Q3688" s="95"/>
      <c r="R3688" s="95"/>
      <c r="S3688" s="95"/>
      <c r="T3688" s="95"/>
      <c r="U3688" s="95"/>
      <c r="V3688" s="95"/>
      <c r="W3688" s="95"/>
      <c r="X3688" s="95"/>
      <c r="Y3688" s="95"/>
      <c r="Z3688" s="95"/>
      <c r="AA3688" s="95"/>
      <c r="AB3688" s="95"/>
      <c r="AC3688" s="95"/>
      <c r="AD3688" s="95"/>
      <c r="AE3688" s="95"/>
      <c r="AF3688" s="95"/>
      <c r="AG3688" s="95"/>
      <c r="AH3688" s="95"/>
      <c r="AI3688" s="95"/>
      <c r="AJ3688" s="95"/>
      <c r="AK3688" s="95"/>
      <c r="AL3688" s="95">
        <f>IF($AL$3539&gt;0,IPMT('Assumptions (CSP)'!$V$7,Model!W$1,'Assumptions (CSP)'!$V$10,'Assumptions (CSP)'!$V$5*Model!$AL$3539*AVERAGE('Assumptions (CSP)'!$AH$2:$AJ$2)/10^9),0)</f>
        <v>0</v>
      </c>
      <c r="AM3688" s="95">
        <f>IF($AL$3539&gt;0,IPMT('Assumptions (CSP)'!$V$7,Model!X$1,'Assumptions (CSP)'!$V$10,'Assumptions (CSP)'!$V$5*Model!$AL$3539*AVERAGE('Assumptions (CSP)'!$AH$2:$AJ$2)/10^9),0)</f>
        <v>0</v>
      </c>
      <c r="AN3688" s="95">
        <f>IF($AL$3539&gt;0,IPMT('Assumptions (CSP)'!$V$7,Model!Y$1,'Assumptions (CSP)'!$V$10,'Assumptions (CSP)'!$V$5*Model!$AL$3539*AVERAGE('Assumptions (CSP)'!$AH$2:$AJ$2)/10^9),0)</f>
        <v>0</v>
      </c>
      <c r="AO3688" s="95">
        <f>IF($AL$3539&gt;0,IPMT('Assumptions (CSP)'!$V$7,Model!Z$1,'Assumptions (CSP)'!$V$10,'Assumptions (CSP)'!$V$5*Model!$AL$3539*AVERAGE('Assumptions (CSP)'!$AH$2:$AJ$2)/10^9),0)</f>
        <v>0</v>
      </c>
      <c r="AP3688" s="95">
        <f>IF($AL$3539&gt;0,IPMT('Assumptions (CSP)'!$V$7,Model!AA$1,'Assumptions (CSP)'!$V$10,'Assumptions (CSP)'!$V$5*Model!$AL$3539*AVERAGE('Assumptions (CSP)'!$AH$2:$AJ$2)/10^9),0)</f>
        <v>0</v>
      </c>
      <c r="AQ3688" s="95">
        <f>IF($AL$3539&gt;0,IPMT('Assumptions (CSP)'!$V$7,Model!AB$1,'Assumptions (CSP)'!$V$10,'Assumptions (CSP)'!$V$5*Model!$AL$3539*AVERAGE('Assumptions (CSP)'!$AH$2:$AJ$2)/10^9),0)</f>
        <v>0</v>
      </c>
      <c r="AR3688" s="95">
        <f>IF($AL$3539&gt;0,IPMT('Assumptions (CSP)'!$V$7,Model!AC$1,'Assumptions (CSP)'!$V$10,'Assumptions (CSP)'!$V$5*Model!$AL$3539*AVERAGE('Assumptions (CSP)'!$AH$2:$AJ$2)/10^9),0)</f>
        <v>0</v>
      </c>
      <c r="AS3688" s="95">
        <f>IF($AL$3539&gt;0,IPMT('Assumptions (CSP)'!$V$7,Model!AD$1,'Assumptions (CSP)'!$V$10,'Assumptions (CSP)'!$V$5*Model!$AL$3539*AVERAGE('Assumptions (CSP)'!$AH$2:$AJ$2)/10^9),0)</f>
        <v>0</v>
      </c>
      <c r="AT3688" s="95">
        <f>IF($AL$3539&gt;0,IPMT('Assumptions (CSP)'!$V$7,Model!AE$1,'Assumptions (CSP)'!$V$10,'Assumptions (CSP)'!$V$5*Model!$AL$3539*AVERAGE('Assumptions (CSP)'!$AH$2:$AJ$2)/10^9),0)</f>
        <v>0</v>
      </c>
      <c r="AU3688" s="95">
        <f>IF($AL$3539&gt;0,IPMT('Assumptions (CSP)'!$V$7,Model!AF$1,'Assumptions (CSP)'!$V$10,'Assumptions (CSP)'!$V$5*Model!$AL$3539*AVERAGE('Assumptions (CSP)'!$AH$2:$AJ$2)/10^9),0)</f>
        <v>0</v>
      </c>
      <c r="AV3688" s="95">
        <f>IF($AL$3539&gt;0,IPMT('Assumptions (CSP)'!$V$7,Model!AG$1,'Assumptions (CSP)'!$V$10,'Assumptions (CSP)'!$V$5*Model!$AL$3539*AVERAGE('Assumptions (CSP)'!$AH$2:$AJ$2)/10^9),0)</f>
        <v>0</v>
      </c>
      <c r="AW3688" s="95">
        <f>IF($AL$3539&gt;0,IPMT('Assumptions (CSP)'!$V$7,Model!AH$1,'Assumptions (CSP)'!$V$10,'Assumptions (CSP)'!$V$5*Model!$AL$3539*AVERAGE('Assumptions (CSP)'!$AH$2:$AJ$2)/10^9),0)</f>
        <v>0</v>
      </c>
      <c r="AX3688" s="95">
        <f>IF($AL$3539&gt;0,IPMT('Assumptions (CSP)'!$V$7,Model!AI$1,'Assumptions (CSP)'!$V$10,'Assumptions (CSP)'!$V$5*Model!$AL$3539*AVERAGE('Assumptions (CSP)'!$AH$2:$AJ$2)/10^9),0)</f>
        <v>0</v>
      </c>
      <c r="AY3688" s="95">
        <f>IF($AL$3539&gt;0,IPMT('Assumptions (CSP)'!$V$7,Model!AJ$1,'Assumptions (CSP)'!$V$10,'Assumptions (CSP)'!$V$5*Model!$AL$3539*AVERAGE('Assumptions (CSP)'!$AH$2:$AJ$2)/10^9),0)</f>
        <v>0</v>
      </c>
      <c r="AZ3688" s="95">
        <f>IF($AL$3539&gt;0,IPMT('Assumptions (CSP)'!$V$7,Model!AK$1,'Assumptions (CSP)'!$V$10,'Assumptions (CSP)'!$V$5*Model!$AL$3539*AVERAGE('Assumptions (CSP)'!$AH$2:$AJ$2)/10^9),0)</f>
        <v>0</v>
      </c>
      <c r="BA3688" s="95"/>
    </row>
    <row r="3689" ht="15.75" hidden="1" customHeight="1">
      <c r="A3689" s="395"/>
      <c r="B3689" s="24"/>
      <c r="C3689" s="95"/>
      <c r="D3689" s="95"/>
      <c r="E3689" s="95"/>
      <c r="F3689" s="95"/>
      <c r="G3689" s="95"/>
      <c r="H3689" s="95"/>
      <c r="I3689" s="95"/>
      <c r="J3689" s="95"/>
      <c r="K3689" s="95"/>
      <c r="L3689" s="95"/>
      <c r="M3689" s="95"/>
      <c r="N3689" s="95"/>
      <c r="O3689" s="95"/>
      <c r="P3689" s="95"/>
      <c r="Q3689" s="95"/>
      <c r="R3689" s="95"/>
      <c r="S3689" s="95"/>
      <c r="T3689" s="95"/>
      <c r="U3689" s="95"/>
      <c r="V3689" s="95"/>
      <c r="W3689" s="95"/>
      <c r="X3689" s="95"/>
      <c r="Y3689" s="95"/>
      <c r="Z3689" s="95"/>
      <c r="AA3689" s="95"/>
      <c r="AB3689" s="95"/>
      <c r="AC3689" s="95"/>
      <c r="AD3689" s="95"/>
      <c r="AE3689" s="95"/>
      <c r="AF3689" s="95"/>
      <c r="AG3689" s="95"/>
      <c r="AH3689" s="95"/>
      <c r="AI3689" s="95"/>
      <c r="AJ3689" s="95"/>
      <c r="AK3689" s="95"/>
      <c r="AL3689" s="95"/>
      <c r="AM3689" s="95">
        <f>IF($AM$3539&gt;0,IPMT('Assumptions (CSP)'!$V$7,Model!W$1,'Assumptions (CSP)'!$V$10,'Assumptions (CSP)'!$V$5*Model!$AM$3539*AVERAGE('Assumptions (CSP)'!$AI$2:$AK$2)/10^9),0)</f>
        <v>0</v>
      </c>
      <c r="AN3689" s="95">
        <f>IF($AM$3539&gt;0,IPMT('Assumptions (CSP)'!$V$7,Model!X$1,'Assumptions (CSP)'!$V$10,'Assumptions (CSP)'!$V$5*Model!$AM$3539*AVERAGE('Assumptions (CSP)'!$AI$2:$AK$2)/10^9),0)</f>
        <v>0</v>
      </c>
      <c r="AO3689" s="95">
        <f>IF($AM$3539&gt;0,IPMT('Assumptions (CSP)'!$V$7,Model!Y$1,'Assumptions (CSP)'!$V$10,'Assumptions (CSP)'!$V$5*Model!$AM$3539*AVERAGE('Assumptions (CSP)'!$AI$2:$AK$2)/10^9),0)</f>
        <v>0</v>
      </c>
      <c r="AP3689" s="95">
        <f>IF($AM$3539&gt;0,IPMT('Assumptions (CSP)'!$V$7,Model!Z$1,'Assumptions (CSP)'!$V$10,'Assumptions (CSP)'!$V$5*Model!$AM$3539*AVERAGE('Assumptions (CSP)'!$AI$2:$AK$2)/10^9),0)</f>
        <v>0</v>
      </c>
      <c r="AQ3689" s="95">
        <f>IF($AM$3539&gt;0,IPMT('Assumptions (CSP)'!$V$7,Model!AA$1,'Assumptions (CSP)'!$V$10,'Assumptions (CSP)'!$V$5*Model!$AM$3539*AVERAGE('Assumptions (CSP)'!$AI$2:$AK$2)/10^9),0)</f>
        <v>0</v>
      </c>
      <c r="AR3689" s="95">
        <f>IF($AM$3539&gt;0,IPMT('Assumptions (CSP)'!$V$7,Model!AB$1,'Assumptions (CSP)'!$V$10,'Assumptions (CSP)'!$V$5*Model!$AM$3539*AVERAGE('Assumptions (CSP)'!$AI$2:$AK$2)/10^9),0)</f>
        <v>0</v>
      </c>
      <c r="AS3689" s="95">
        <f>IF($AM$3539&gt;0,IPMT('Assumptions (CSP)'!$V$7,Model!AC$1,'Assumptions (CSP)'!$V$10,'Assumptions (CSP)'!$V$5*Model!$AM$3539*AVERAGE('Assumptions (CSP)'!$AI$2:$AK$2)/10^9),0)</f>
        <v>0</v>
      </c>
      <c r="AT3689" s="95">
        <f>IF($AM$3539&gt;0,IPMT('Assumptions (CSP)'!$V$7,Model!AD$1,'Assumptions (CSP)'!$V$10,'Assumptions (CSP)'!$V$5*Model!$AM$3539*AVERAGE('Assumptions (CSP)'!$AI$2:$AK$2)/10^9),0)</f>
        <v>0</v>
      </c>
      <c r="AU3689" s="95">
        <f>IF($AM$3539&gt;0,IPMT('Assumptions (CSP)'!$V$7,Model!AE$1,'Assumptions (CSP)'!$V$10,'Assumptions (CSP)'!$V$5*Model!$AM$3539*AVERAGE('Assumptions (CSP)'!$AI$2:$AK$2)/10^9),0)</f>
        <v>0</v>
      </c>
      <c r="AV3689" s="95">
        <f>IF($AM$3539&gt;0,IPMT('Assumptions (CSP)'!$V$7,Model!AF$1,'Assumptions (CSP)'!$V$10,'Assumptions (CSP)'!$V$5*Model!$AM$3539*AVERAGE('Assumptions (CSP)'!$AI$2:$AK$2)/10^9),0)</f>
        <v>0</v>
      </c>
      <c r="AW3689" s="95">
        <f>IF($AM$3539&gt;0,IPMT('Assumptions (CSP)'!$V$7,Model!AG$1,'Assumptions (CSP)'!$V$10,'Assumptions (CSP)'!$V$5*Model!$AM$3539*AVERAGE('Assumptions (CSP)'!$AI$2:$AK$2)/10^9),0)</f>
        <v>0</v>
      </c>
      <c r="AX3689" s="95">
        <f>IF($AM$3539&gt;0,IPMT('Assumptions (CSP)'!$V$7,Model!AH$1,'Assumptions (CSP)'!$V$10,'Assumptions (CSP)'!$V$5*Model!$AM$3539*AVERAGE('Assumptions (CSP)'!$AI$2:$AK$2)/10^9),0)</f>
        <v>0</v>
      </c>
      <c r="AY3689" s="95">
        <f>IF($AM$3539&gt;0,IPMT('Assumptions (CSP)'!$V$7,Model!AI$1,'Assumptions (CSP)'!$V$10,'Assumptions (CSP)'!$V$5*Model!$AM$3539*AVERAGE('Assumptions (CSP)'!$AI$2:$AK$2)/10^9),0)</f>
        <v>0</v>
      </c>
      <c r="AZ3689" s="95">
        <f>IF($AM$3539&gt;0,IPMT('Assumptions (CSP)'!$V$7,Model!AJ$1,'Assumptions (CSP)'!$V$10,'Assumptions (CSP)'!$V$5*Model!$AM$3539*AVERAGE('Assumptions (CSP)'!$AI$2:$AK$2)/10^9),0)</f>
        <v>0</v>
      </c>
      <c r="BA3689" s="95">
        <f>IF($AM$3539&gt;0,IPMT('Assumptions (CSP)'!$V$7,Model!AK$1,'Assumptions (CSP)'!$V$10,'Assumptions (CSP)'!$V$5*Model!$AM$3539*AVERAGE('Assumptions (CSP)'!$AI$2:$AK$2)/10^9),0)</f>
        <v>0</v>
      </c>
    </row>
    <row r="3690" ht="15.75" hidden="1" customHeight="1">
      <c r="A3690" s="395"/>
      <c r="B3690" s="24"/>
      <c r="C3690" s="95"/>
      <c r="D3690" s="95"/>
      <c r="E3690" s="95"/>
      <c r="F3690" s="95"/>
      <c r="G3690" s="95"/>
      <c r="H3690" s="95"/>
      <c r="I3690" s="95"/>
      <c r="J3690" s="95"/>
      <c r="K3690" s="95"/>
      <c r="L3690" s="95"/>
      <c r="M3690" s="95"/>
      <c r="N3690" s="95"/>
      <c r="O3690" s="95"/>
      <c r="P3690" s="95"/>
      <c r="Q3690" s="95"/>
      <c r="R3690" s="95"/>
      <c r="S3690" s="95"/>
      <c r="T3690" s="95"/>
      <c r="U3690" s="95"/>
      <c r="V3690" s="95"/>
      <c r="W3690" s="95"/>
      <c r="X3690" s="95"/>
      <c r="Y3690" s="95"/>
      <c r="Z3690" s="95"/>
      <c r="AA3690" s="95"/>
      <c r="AB3690" s="95"/>
      <c r="AC3690" s="95"/>
      <c r="AD3690" s="95"/>
      <c r="AE3690" s="95"/>
      <c r="AF3690" s="95"/>
      <c r="AG3690" s="95"/>
      <c r="AH3690" s="95"/>
      <c r="AI3690" s="95"/>
      <c r="AJ3690" s="95"/>
      <c r="AK3690" s="95"/>
      <c r="AL3690" s="95"/>
      <c r="AM3690" s="95"/>
      <c r="AN3690" s="95">
        <f>IF($AN$3539&gt;0,IPMT('Assumptions (CSP)'!$V$7,Model!W$1,'Assumptions (CSP)'!$V$10,'Assumptions (CSP)'!$V$5*Model!$AN$3539*AVERAGE('Assumptions (CSP)'!$AJ$2:$AL$2)/10^9),0)</f>
        <v>0</v>
      </c>
      <c r="AO3690" s="95">
        <f>IF($AN$3539&gt;0,IPMT('Assumptions (CSP)'!$V$7,Model!X$1,'Assumptions (CSP)'!$V$10,'Assumptions (CSP)'!$V$5*Model!$AN$3539*AVERAGE('Assumptions (CSP)'!$AJ$2:$AL$2)/10^9),0)</f>
        <v>0</v>
      </c>
      <c r="AP3690" s="95">
        <f>IF($AN$3539&gt;0,IPMT('Assumptions (CSP)'!$V$7,Model!Y$1,'Assumptions (CSP)'!$V$10,'Assumptions (CSP)'!$V$5*Model!$AN$3539*AVERAGE('Assumptions (CSP)'!$AJ$2:$AL$2)/10^9),0)</f>
        <v>0</v>
      </c>
      <c r="AQ3690" s="95">
        <f>IF($AN$3539&gt;0,IPMT('Assumptions (CSP)'!$V$7,Model!Z$1,'Assumptions (CSP)'!$V$10,'Assumptions (CSP)'!$V$5*Model!$AN$3539*AVERAGE('Assumptions (CSP)'!$AJ$2:$AL$2)/10^9),0)</f>
        <v>0</v>
      </c>
      <c r="AR3690" s="95">
        <f>IF($AN$3539&gt;0,IPMT('Assumptions (CSP)'!$V$7,Model!AA$1,'Assumptions (CSP)'!$V$10,'Assumptions (CSP)'!$V$5*Model!$AN$3539*AVERAGE('Assumptions (CSP)'!$AJ$2:$AL$2)/10^9),0)</f>
        <v>0</v>
      </c>
      <c r="AS3690" s="95">
        <f>IF($AN$3539&gt;0,IPMT('Assumptions (CSP)'!$V$7,Model!AB$1,'Assumptions (CSP)'!$V$10,'Assumptions (CSP)'!$V$5*Model!$AN$3539*AVERAGE('Assumptions (CSP)'!$AJ$2:$AL$2)/10^9),0)</f>
        <v>0</v>
      </c>
      <c r="AT3690" s="95">
        <f>IF($AN$3539&gt;0,IPMT('Assumptions (CSP)'!$V$7,Model!AC$1,'Assumptions (CSP)'!$V$10,'Assumptions (CSP)'!$V$5*Model!$AN$3539*AVERAGE('Assumptions (CSP)'!$AJ$2:$AL$2)/10^9),0)</f>
        <v>0</v>
      </c>
      <c r="AU3690" s="95">
        <f>IF($AN$3539&gt;0,IPMT('Assumptions (CSP)'!$V$7,Model!AD$1,'Assumptions (CSP)'!$V$10,'Assumptions (CSP)'!$V$5*Model!$AN$3539*AVERAGE('Assumptions (CSP)'!$AJ$2:$AL$2)/10^9),0)</f>
        <v>0</v>
      </c>
      <c r="AV3690" s="95">
        <f>IF($AN$3539&gt;0,IPMT('Assumptions (CSP)'!$V$7,Model!AE$1,'Assumptions (CSP)'!$V$10,'Assumptions (CSP)'!$V$5*Model!$AN$3539*AVERAGE('Assumptions (CSP)'!$AJ$2:$AL$2)/10^9),0)</f>
        <v>0</v>
      </c>
      <c r="AW3690" s="95">
        <f>IF($AN$3539&gt;0,IPMT('Assumptions (CSP)'!$V$7,Model!AF$1,'Assumptions (CSP)'!$V$10,'Assumptions (CSP)'!$V$5*Model!$AN$3539*AVERAGE('Assumptions (CSP)'!$AJ$2:$AL$2)/10^9),0)</f>
        <v>0</v>
      </c>
      <c r="AX3690" s="95">
        <f>IF($AN$3539&gt;0,IPMT('Assumptions (CSP)'!$V$7,Model!AG$1,'Assumptions (CSP)'!$V$10,'Assumptions (CSP)'!$V$5*Model!$AN$3539*AVERAGE('Assumptions (CSP)'!$AJ$2:$AL$2)/10^9),0)</f>
        <v>0</v>
      </c>
      <c r="AY3690" s="95">
        <f>IF($AN$3539&gt;0,IPMT('Assumptions (CSP)'!$V$7,Model!AH$1,'Assumptions (CSP)'!$V$10,'Assumptions (CSP)'!$V$5*Model!$AN$3539*AVERAGE('Assumptions (CSP)'!$AJ$2:$AL$2)/10^9),0)</f>
        <v>0</v>
      </c>
      <c r="AZ3690" s="95">
        <f>IF($AN$3539&gt;0,IPMT('Assumptions (CSP)'!$V$7,Model!AI$1,'Assumptions (CSP)'!$V$10,'Assumptions (CSP)'!$V$5*Model!$AN$3539*AVERAGE('Assumptions (CSP)'!$AJ$2:$AL$2)/10^9),0)</f>
        <v>0</v>
      </c>
      <c r="BA3690" s="95">
        <f>IF($AN$3539&gt;0,IPMT('Assumptions (CSP)'!$V$7,Model!AJ$1,'Assumptions (CSP)'!$V$10,'Assumptions (CSP)'!$V$5*Model!$AN$3539*AVERAGE('Assumptions (CSP)'!$AJ$2:$AL$2)/10^9),0)</f>
        <v>0</v>
      </c>
      <c r="BB3690" s="95">
        <f>IF($AN$3539&gt;0,IPMT('Assumptions (CSP)'!$V$7,Model!AK$1,'Assumptions (CSP)'!$V$10,'Assumptions (CSP)'!$V$5*Model!$AN$3539*AVERAGE('Assumptions (CSP)'!$AJ$2:$AL$2)/10^9),0)</f>
        <v>0</v>
      </c>
    </row>
    <row r="3691" ht="15.75" hidden="1" customHeight="1">
      <c r="A3691" s="395"/>
      <c r="B3691" s="24"/>
      <c r="C3691" s="95"/>
      <c r="D3691" s="95"/>
      <c r="E3691" s="95"/>
      <c r="F3691" s="95"/>
      <c r="G3691" s="95"/>
      <c r="H3691" s="95"/>
      <c r="I3691" s="95"/>
      <c r="J3691" s="95"/>
      <c r="K3691" s="95"/>
      <c r="L3691" s="95"/>
      <c r="M3691" s="95"/>
      <c r="N3691" s="95"/>
      <c r="O3691" s="95"/>
      <c r="P3691" s="95"/>
      <c r="Q3691" s="95"/>
      <c r="R3691" s="95"/>
      <c r="S3691" s="95"/>
      <c r="T3691" s="95"/>
      <c r="U3691" s="95"/>
      <c r="V3691" s="95"/>
      <c r="W3691" s="95"/>
      <c r="X3691" s="95"/>
      <c r="Y3691" s="95"/>
      <c r="Z3691" s="95"/>
      <c r="AA3691" s="95"/>
      <c r="AB3691" s="95"/>
      <c r="AC3691" s="95"/>
      <c r="AD3691" s="95"/>
      <c r="AE3691" s="95"/>
      <c r="AF3691" s="95"/>
      <c r="AG3691" s="95"/>
      <c r="AH3691" s="95"/>
      <c r="AI3691" s="95"/>
      <c r="AJ3691" s="95"/>
      <c r="AK3691" s="95"/>
      <c r="AL3691" s="95"/>
      <c r="AM3691" s="95"/>
      <c r="AN3691" s="95"/>
      <c r="AO3691" s="95">
        <f>IF($AO$3539&gt;0,IPMT('Assumptions (CSP)'!$V$7,Model!W$1,'Assumptions (CSP)'!$V$10,'Assumptions (CSP)'!$V$5*Model!$AO$3539*AVERAGE('Assumptions (CSP)'!$AK$2:$AM$2)/10^9),0)</f>
        <v>0</v>
      </c>
      <c r="AP3691" s="95">
        <f>IF($AO$3539&gt;0,IPMT('Assumptions (CSP)'!$V$7,Model!X$1,'Assumptions (CSP)'!$V$10,'Assumptions (CSP)'!$V$5*Model!$AO$3539*AVERAGE('Assumptions (CSP)'!$AK$2:$AM$2)/10^9),0)</f>
        <v>0</v>
      </c>
      <c r="AQ3691" s="95">
        <f>IF($AO$3539&gt;0,IPMT('Assumptions (CSP)'!$V$7,Model!Y$1,'Assumptions (CSP)'!$V$10,'Assumptions (CSP)'!$V$5*Model!$AO$3539*AVERAGE('Assumptions (CSP)'!$AK$2:$AM$2)/10^9),0)</f>
        <v>0</v>
      </c>
      <c r="AR3691" s="95">
        <f>IF($AO$3539&gt;0,IPMT('Assumptions (CSP)'!$V$7,Model!Z$1,'Assumptions (CSP)'!$V$10,'Assumptions (CSP)'!$V$5*Model!$AO$3539*AVERAGE('Assumptions (CSP)'!$AK$2:$AM$2)/10^9),0)</f>
        <v>0</v>
      </c>
      <c r="AS3691" s="95">
        <f>IF($AO$3539&gt;0,IPMT('Assumptions (CSP)'!$V$7,Model!AA$1,'Assumptions (CSP)'!$V$10,'Assumptions (CSP)'!$V$5*Model!$AO$3539*AVERAGE('Assumptions (CSP)'!$AK$2:$AM$2)/10^9),0)</f>
        <v>0</v>
      </c>
      <c r="AT3691" s="95">
        <f>IF($AO$3539&gt;0,IPMT('Assumptions (CSP)'!$V$7,Model!AB$1,'Assumptions (CSP)'!$V$10,'Assumptions (CSP)'!$V$5*Model!$AO$3539*AVERAGE('Assumptions (CSP)'!$AK$2:$AM$2)/10^9),0)</f>
        <v>0</v>
      </c>
      <c r="AU3691" s="95">
        <f>IF($AO$3539&gt;0,IPMT('Assumptions (CSP)'!$V$7,Model!AC$1,'Assumptions (CSP)'!$V$10,'Assumptions (CSP)'!$V$5*Model!$AO$3539*AVERAGE('Assumptions (CSP)'!$AK$2:$AM$2)/10^9),0)</f>
        <v>0</v>
      </c>
      <c r="AV3691" s="95">
        <f>IF($AO$3539&gt;0,IPMT('Assumptions (CSP)'!$V$7,Model!AD$1,'Assumptions (CSP)'!$V$10,'Assumptions (CSP)'!$V$5*Model!$AO$3539*AVERAGE('Assumptions (CSP)'!$AK$2:$AM$2)/10^9),0)</f>
        <v>0</v>
      </c>
      <c r="AW3691" s="95">
        <f>IF($AO$3539&gt;0,IPMT('Assumptions (CSP)'!$V$7,Model!AE$1,'Assumptions (CSP)'!$V$10,'Assumptions (CSP)'!$V$5*Model!$AO$3539*AVERAGE('Assumptions (CSP)'!$AK$2:$AM$2)/10^9),0)</f>
        <v>0</v>
      </c>
      <c r="AX3691" s="95">
        <f>IF($AO$3539&gt;0,IPMT('Assumptions (CSP)'!$V$7,Model!AF$1,'Assumptions (CSP)'!$V$10,'Assumptions (CSP)'!$V$5*Model!$AO$3539*AVERAGE('Assumptions (CSP)'!$AK$2:$AM$2)/10^9),0)</f>
        <v>0</v>
      </c>
      <c r="AY3691" s="95">
        <f>IF($AO$3539&gt;0,IPMT('Assumptions (CSP)'!$V$7,Model!AG$1,'Assumptions (CSP)'!$V$10,'Assumptions (CSP)'!$V$5*Model!$AO$3539*AVERAGE('Assumptions (CSP)'!$AK$2:$AM$2)/10^9),0)</f>
        <v>0</v>
      </c>
      <c r="AZ3691" s="95">
        <f>IF($AO$3539&gt;0,IPMT('Assumptions (CSP)'!$V$7,Model!AH$1,'Assumptions (CSP)'!$V$10,'Assumptions (CSP)'!$V$5*Model!$AO$3539*AVERAGE('Assumptions (CSP)'!$AK$2:$AM$2)/10^9),0)</f>
        <v>0</v>
      </c>
      <c r="BA3691" s="95">
        <f>IF($AO$3539&gt;0,IPMT('Assumptions (CSP)'!$V$7,Model!AI$1,'Assumptions (CSP)'!$V$10,'Assumptions (CSP)'!$V$5*Model!$AO$3539*AVERAGE('Assumptions (CSP)'!$AK$2:$AM$2)/10^9),0)</f>
        <v>0</v>
      </c>
      <c r="BB3691" s="95">
        <f>IF($AO$3539&gt;0,IPMT('Assumptions (CSP)'!$V$7,Model!AJ$1,'Assumptions (CSP)'!$V$10,'Assumptions (CSP)'!$V$5*Model!$AO$3539*AVERAGE('Assumptions (CSP)'!$AK$2:$AM$2)/10^9),0)</f>
        <v>0</v>
      </c>
      <c r="BC3691" s="95">
        <f>IF($AO$3539&gt;0,IPMT('Assumptions (CSP)'!$V$7,Model!AK$1,'Assumptions (CSP)'!$V$10,'Assumptions (CSP)'!$V$5*Model!$AO$3539*AVERAGE('Assumptions (CSP)'!$AK$2:$AM$2)/10^9),0)</f>
        <v>0</v>
      </c>
    </row>
    <row r="3692" ht="15.75" hidden="1" customHeight="1">
      <c r="A3692" s="395"/>
      <c r="B3692" s="24"/>
      <c r="C3692" s="95"/>
      <c r="D3692" s="95"/>
      <c r="E3692" s="95"/>
      <c r="F3692" s="95"/>
      <c r="G3692" s="95"/>
      <c r="H3692" s="95"/>
      <c r="I3692" s="95"/>
      <c r="J3692" s="95"/>
      <c r="K3692" s="95"/>
      <c r="L3692" s="95"/>
      <c r="M3692" s="95"/>
      <c r="N3692" s="95"/>
      <c r="O3692" s="95"/>
      <c r="P3692" s="95"/>
      <c r="Q3692" s="95"/>
      <c r="R3692" s="95"/>
      <c r="S3692" s="95"/>
      <c r="T3692" s="95"/>
      <c r="U3692" s="95"/>
      <c r="V3692" s="95"/>
      <c r="W3692" s="95"/>
      <c r="X3692" s="95"/>
      <c r="Y3692" s="95"/>
      <c r="Z3692" s="95"/>
      <c r="AA3692" s="95"/>
      <c r="AB3692" s="95"/>
      <c r="AC3692" s="95"/>
      <c r="AD3692" s="95"/>
      <c r="AE3692" s="95"/>
      <c r="AF3692" s="95"/>
      <c r="AG3692" s="95"/>
      <c r="AH3692" s="95"/>
      <c r="AI3692" s="95"/>
      <c r="AJ3692" s="95"/>
      <c r="AK3692" s="95"/>
      <c r="AL3692" s="95"/>
      <c r="AM3692" s="95"/>
      <c r="AN3692" s="95"/>
      <c r="AO3692" s="95"/>
      <c r="AP3692" s="95">
        <f>IF($AP$3539&gt;0,IPMT('Assumptions (CSP)'!$V$7,Model!W$1,'Assumptions (CSP)'!$V$10,'Assumptions (CSP)'!$V$5*Model!$AP$3539*AVERAGE('Assumptions (CSP)'!$AL$2:$AN$2)/10^9),0)</f>
        <v>0</v>
      </c>
      <c r="AQ3692" s="95">
        <f>IF($AP$3539&gt;0,IPMT('Assumptions (CSP)'!$V$7,Model!X$1,'Assumptions (CSP)'!$V$10,'Assumptions (CSP)'!$V$5*Model!$AP$3539*AVERAGE('Assumptions (CSP)'!$AL$2:$AN$2)/10^9),0)</f>
        <v>0</v>
      </c>
      <c r="AR3692" s="95">
        <f>IF($AP$3539&gt;0,IPMT('Assumptions (CSP)'!$V$7,Model!Y$1,'Assumptions (CSP)'!$V$10,'Assumptions (CSP)'!$V$5*Model!$AP$3539*AVERAGE('Assumptions (CSP)'!$AL$2:$AN$2)/10^9),0)</f>
        <v>0</v>
      </c>
      <c r="AS3692" s="95">
        <f>IF($AP$3539&gt;0,IPMT('Assumptions (CSP)'!$V$7,Model!Z$1,'Assumptions (CSP)'!$V$10,'Assumptions (CSP)'!$V$5*Model!$AP$3539*AVERAGE('Assumptions (CSP)'!$AL$2:$AN$2)/10^9),0)</f>
        <v>0</v>
      </c>
      <c r="AT3692" s="95">
        <f>IF($AP$3539&gt;0,IPMT('Assumptions (CSP)'!$V$7,Model!AA$1,'Assumptions (CSP)'!$V$10,'Assumptions (CSP)'!$V$5*Model!$AP$3539*AVERAGE('Assumptions (CSP)'!$AL$2:$AN$2)/10^9),0)</f>
        <v>0</v>
      </c>
      <c r="AU3692" s="95">
        <f>IF($AP$3539&gt;0,IPMT('Assumptions (CSP)'!$V$7,Model!AB$1,'Assumptions (CSP)'!$V$10,'Assumptions (CSP)'!$V$5*Model!$AP$3539*AVERAGE('Assumptions (CSP)'!$AL$2:$AN$2)/10^9),0)</f>
        <v>0</v>
      </c>
      <c r="AV3692" s="95">
        <f>IF($AP$3539&gt;0,IPMT('Assumptions (CSP)'!$V$7,Model!AC$1,'Assumptions (CSP)'!$V$10,'Assumptions (CSP)'!$V$5*Model!$AP$3539*AVERAGE('Assumptions (CSP)'!$AL$2:$AN$2)/10^9),0)</f>
        <v>0</v>
      </c>
      <c r="AW3692" s="95">
        <f>IF($AP$3539&gt;0,IPMT('Assumptions (CSP)'!$V$7,Model!AD$1,'Assumptions (CSP)'!$V$10,'Assumptions (CSP)'!$V$5*Model!$AP$3539*AVERAGE('Assumptions (CSP)'!$AL$2:$AN$2)/10^9),0)</f>
        <v>0</v>
      </c>
      <c r="AX3692" s="95">
        <f>IF($AP$3539&gt;0,IPMT('Assumptions (CSP)'!$V$7,Model!AE$1,'Assumptions (CSP)'!$V$10,'Assumptions (CSP)'!$V$5*Model!$AP$3539*AVERAGE('Assumptions (CSP)'!$AL$2:$AN$2)/10^9),0)</f>
        <v>0</v>
      </c>
      <c r="AY3692" s="95">
        <f>IF($AP$3539&gt;0,IPMT('Assumptions (CSP)'!$V$7,Model!AF$1,'Assumptions (CSP)'!$V$10,'Assumptions (CSP)'!$V$5*Model!$AP$3539*AVERAGE('Assumptions (CSP)'!$AL$2:$AN$2)/10^9),0)</f>
        <v>0</v>
      </c>
      <c r="AZ3692" s="95">
        <f>IF($AP$3539&gt;0,IPMT('Assumptions (CSP)'!$V$7,Model!AG$1,'Assumptions (CSP)'!$V$10,'Assumptions (CSP)'!$V$5*Model!$AP$3539*AVERAGE('Assumptions (CSP)'!$AL$2:$AN$2)/10^9),0)</f>
        <v>0</v>
      </c>
      <c r="BA3692" s="95">
        <f>IF($AP$3539&gt;0,IPMT('Assumptions (CSP)'!$V$7,Model!AH$1,'Assumptions (CSP)'!$V$10,'Assumptions (CSP)'!$V$5*Model!$AP$3539*AVERAGE('Assumptions (CSP)'!$AL$2:$AN$2)/10^9),0)</f>
        <v>0</v>
      </c>
      <c r="BB3692" s="95">
        <f>IF($AP$3539&gt;0,IPMT('Assumptions (CSP)'!$V$7,Model!AI$1,'Assumptions (CSP)'!$V$10,'Assumptions (CSP)'!$V$5*Model!$AP$3539*AVERAGE('Assumptions (CSP)'!$AL$2:$AN$2)/10^9),0)</f>
        <v>0</v>
      </c>
      <c r="BC3692" s="95">
        <f>IF($AP$3539&gt;0,IPMT('Assumptions (CSP)'!$V$7,Model!AJ$1,'Assumptions (CSP)'!$V$10,'Assumptions (CSP)'!$V$5*Model!$AP$3539*AVERAGE('Assumptions (CSP)'!$AL$2:$AN$2)/10^9),0)</f>
        <v>0</v>
      </c>
      <c r="BD3692" s="95">
        <f>IF($AP$3539&gt;0,IPMT('Assumptions (CSP)'!$V$7,Model!AK$1,'Assumptions (CSP)'!$V$10,'Assumptions (CSP)'!$V$5*Model!$AP$3539*AVERAGE('Assumptions (CSP)'!$AL$2:$AN$2)/10^9),0)</f>
        <v>0</v>
      </c>
    </row>
    <row r="3693" ht="15.75" hidden="1" customHeight="1">
      <c r="A3693" s="395"/>
      <c r="B3693" s="24"/>
      <c r="C3693" s="95"/>
      <c r="D3693" s="95"/>
      <c r="E3693" s="95"/>
      <c r="F3693" s="95"/>
      <c r="G3693" s="95"/>
      <c r="H3693" s="95"/>
      <c r="I3693" s="95"/>
      <c r="J3693" s="95"/>
      <c r="K3693" s="95"/>
      <c r="L3693" s="95"/>
      <c r="M3693" s="95"/>
      <c r="N3693" s="95"/>
      <c r="O3693" s="95"/>
      <c r="P3693" s="95"/>
      <c r="Q3693" s="95"/>
      <c r="R3693" s="95"/>
      <c r="S3693" s="95"/>
      <c r="T3693" s="95"/>
      <c r="U3693" s="95"/>
      <c r="V3693" s="95"/>
      <c r="W3693" s="95"/>
      <c r="X3693" s="95"/>
      <c r="Y3693" s="95"/>
      <c r="Z3693" s="95"/>
      <c r="AA3693" s="95"/>
      <c r="AB3693" s="95"/>
      <c r="AC3693" s="95"/>
      <c r="AD3693" s="95"/>
      <c r="AE3693" s="95"/>
      <c r="AF3693" s="95"/>
      <c r="AG3693" s="95"/>
      <c r="AH3693" s="95"/>
      <c r="AI3693" s="95"/>
      <c r="AJ3693" s="95"/>
      <c r="AK3693" s="95"/>
      <c r="AL3693" s="95"/>
      <c r="AM3693" s="95"/>
      <c r="AN3693" s="95"/>
      <c r="AO3693" s="95"/>
      <c r="AP3693" s="95"/>
      <c r="AQ3693" s="95">
        <f>IF($AQ$3539&gt;0,IPMT('Assumptions (CSP)'!$V$7,Model!W$1,'Assumptions (CSP)'!$V$10,'Assumptions (CSP)'!$V$5*Model!$AQ$3539*AVERAGE('Assumptions (CSP)'!$AM$2:$AO$2)/10^9),0)</f>
        <v>0</v>
      </c>
      <c r="AR3693" s="95">
        <f>IF($AQ$3539&gt;0,IPMT('Assumptions (CSP)'!$V$7,Model!X$1,'Assumptions (CSP)'!$V$10,'Assumptions (CSP)'!$V$5*Model!$AQ$3539*AVERAGE('Assumptions (CSP)'!$AM$2:$AO$2)/10^9),0)</f>
        <v>0</v>
      </c>
      <c r="AS3693" s="95">
        <f>IF($AQ$3539&gt;0,IPMT('Assumptions (CSP)'!$V$7,Model!Y$1,'Assumptions (CSP)'!$V$10,'Assumptions (CSP)'!$V$5*Model!$AQ$3539*AVERAGE('Assumptions (CSP)'!$AM$2:$AO$2)/10^9),0)</f>
        <v>0</v>
      </c>
      <c r="AT3693" s="95">
        <f>IF($AQ$3539&gt;0,IPMT('Assumptions (CSP)'!$V$7,Model!Z$1,'Assumptions (CSP)'!$V$10,'Assumptions (CSP)'!$V$5*Model!$AQ$3539*AVERAGE('Assumptions (CSP)'!$AM$2:$AO$2)/10^9),0)</f>
        <v>0</v>
      </c>
      <c r="AU3693" s="95">
        <f>IF($AQ$3539&gt;0,IPMT('Assumptions (CSP)'!$V$7,Model!AA$1,'Assumptions (CSP)'!$V$10,'Assumptions (CSP)'!$V$5*Model!$AQ$3539*AVERAGE('Assumptions (CSP)'!$AM$2:$AO$2)/10^9),0)</f>
        <v>0</v>
      </c>
      <c r="AV3693" s="95">
        <f>IF($AQ$3539&gt;0,IPMT('Assumptions (CSP)'!$V$7,Model!AB$1,'Assumptions (CSP)'!$V$10,'Assumptions (CSP)'!$V$5*Model!$AQ$3539*AVERAGE('Assumptions (CSP)'!$AM$2:$AO$2)/10^9),0)</f>
        <v>0</v>
      </c>
      <c r="AW3693" s="95">
        <f>IF($AQ$3539&gt;0,IPMT('Assumptions (CSP)'!$V$7,Model!AC$1,'Assumptions (CSP)'!$V$10,'Assumptions (CSP)'!$V$5*Model!$AQ$3539*AVERAGE('Assumptions (CSP)'!$AM$2:$AO$2)/10^9),0)</f>
        <v>0</v>
      </c>
      <c r="AX3693" s="95">
        <f>IF($AQ$3539&gt;0,IPMT('Assumptions (CSP)'!$V$7,Model!AD$1,'Assumptions (CSP)'!$V$10,'Assumptions (CSP)'!$V$5*Model!$AQ$3539*AVERAGE('Assumptions (CSP)'!$AM$2:$AO$2)/10^9),0)</f>
        <v>0</v>
      </c>
      <c r="AY3693" s="95">
        <f>IF($AQ$3539&gt;0,IPMT('Assumptions (CSP)'!$V$7,Model!AE$1,'Assumptions (CSP)'!$V$10,'Assumptions (CSP)'!$V$5*Model!$AQ$3539*AVERAGE('Assumptions (CSP)'!$AM$2:$AO$2)/10^9),0)</f>
        <v>0</v>
      </c>
      <c r="AZ3693" s="95">
        <f>IF($AQ$3539&gt;0,IPMT('Assumptions (CSP)'!$V$7,Model!AF$1,'Assumptions (CSP)'!$V$10,'Assumptions (CSP)'!$V$5*Model!$AQ$3539*AVERAGE('Assumptions (CSP)'!$AM$2:$AO$2)/10^9),0)</f>
        <v>0</v>
      </c>
      <c r="BA3693" s="95">
        <f>IF($AQ$3539&gt;0,IPMT('Assumptions (CSP)'!$V$7,Model!AG$1,'Assumptions (CSP)'!$V$10,'Assumptions (CSP)'!$V$5*Model!$AQ$3539*AVERAGE('Assumptions (CSP)'!$AM$2:$AO$2)/10^9),0)</f>
        <v>0</v>
      </c>
      <c r="BB3693" s="95">
        <f>IF($AQ$3539&gt;0,IPMT('Assumptions (CSP)'!$V$7,Model!AH$1,'Assumptions (CSP)'!$V$10,'Assumptions (CSP)'!$V$5*Model!$AQ$3539*AVERAGE('Assumptions (CSP)'!$AM$2:$AO$2)/10^9),0)</f>
        <v>0</v>
      </c>
      <c r="BC3693" s="95">
        <f>IF($AQ$3539&gt;0,IPMT('Assumptions (CSP)'!$V$7,Model!AI$1,'Assumptions (CSP)'!$V$10,'Assumptions (CSP)'!$V$5*Model!$AQ$3539*AVERAGE('Assumptions (CSP)'!$AM$2:$AO$2)/10^9),0)</f>
        <v>0</v>
      </c>
      <c r="BD3693" s="95">
        <f>IF($AQ$3539&gt;0,IPMT('Assumptions (CSP)'!$V$7,Model!AJ$1,'Assumptions (CSP)'!$V$10,'Assumptions (CSP)'!$V$5*Model!$AQ$3539*AVERAGE('Assumptions (CSP)'!$AM$2:$AO$2)/10^9),0)</f>
        <v>0</v>
      </c>
      <c r="BE3693" s="95">
        <f>IF($AQ$3539&gt;0,IPMT('Assumptions (CSP)'!$V$7,Model!AK$1,'Assumptions (CSP)'!$V$10,'Assumptions (CSP)'!$V$5*Model!$AQ$3539*AVERAGE('Assumptions (CSP)'!$AM$2:$AO$2)/10^9),0)</f>
        <v>0</v>
      </c>
    </row>
    <row r="3694" ht="15.75" hidden="1" customHeight="1">
      <c r="A3694" s="395"/>
      <c r="B3694" s="24"/>
      <c r="C3694" s="95"/>
      <c r="D3694" s="95"/>
      <c r="E3694" s="95"/>
      <c r="F3694" s="95"/>
      <c r="G3694" s="95"/>
      <c r="H3694" s="95"/>
      <c r="I3694" s="95"/>
      <c r="J3694" s="95"/>
      <c r="K3694" s="95"/>
      <c r="L3694" s="95"/>
      <c r="M3694" s="95"/>
      <c r="N3694" s="95"/>
      <c r="O3694" s="95"/>
      <c r="P3694" s="95"/>
      <c r="Q3694" s="95"/>
      <c r="R3694" s="95"/>
      <c r="S3694" s="95"/>
      <c r="T3694" s="95"/>
      <c r="U3694" s="95"/>
      <c r="V3694" s="95"/>
      <c r="W3694" s="95"/>
      <c r="X3694" s="95"/>
      <c r="Y3694" s="95"/>
      <c r="Z3694" s="95"/>
      <c r="AA3694" s="95"/>
      <c r="AB3694" s="95"/>
      <c r="AC3694" s="95"/>
      <c r="AD3694" s="95"/>
      <c r="AE3694" s="95"/>
      <c r="AF3694" s="95"/>
      <c r="AG3694" s="95"/>
      <c r="AH3694" s="95"/>
      <c r="AI3694" s="95"/>
      <c r="AJ3694" s="95"/>
      <c r="AK3694" s="95"/>
      <c r="AL3694" s="95"/>
      <c r="AM3694" s="95"/>
      <c r="AN3694" s="95"/>
      <c r="AO3694" s="95"/>
      <c r="AP3694" s="95"/>
      <c r="AQ3694" s="95"/>
      <c r="AR3694" s="95">
        <f>IF($AR$3539&gt;0,IPMT('Assumptions (CSP)'!$V$7,Model!W$1,'Assumptions (CSP)'!$V$10,'Assumptions (CSP)'!$V$5*Model!$AR$3539*AVERAGE('Assumptions (CSP)'!$AN$2:$AP$2)/10^9),0)</f>
        <v>0</v>
      </c>
      <c r="AS3694" s="95">
        <f>IF($AR$3539&gt;0,IPMT('Assumptions (CSP)'!$V$7,Model!X$1,'Assumptions (CSP)'!$V$10,'Assumptions (CSP)'!$V$5*Model!$AR$3539*AVERAGE('Assumptions (CSP)'!$AN$2:$AP$2)/10^9),0)</f>
        <v>0</v>
      </c>
      <c r="AT3694" s="95">
        <f>IF($AR$3539&gt;0,IPMT('Assumptions (CSP)'!$V$7,Model!Y$1,'Assumptions (CSP)'!$V$10,'Assumptions (CSP)'!$V$5*Model!$AR$3539*AVERAGE('Assumptions (CSP)'!$AN$2:$AP$2)/10^9),0)</f>
        <v>0</v>
      </c>
      <c r="AU3694" s="95">
        <f>IF($AR$3539&gt;0,IPMT('Assumptions (CSP)'!$V$7,Model!Z$1,'Assumptions (CSP)'!$V$10,'Assumptions (CSP)'!$V$5*Model!$AR$3539*AVERAGE('Assumptions (CSP)'!$AN$2:$AP$2)/10^9),0)</f>
        <v>0</v>
      </c>
      <c r="AV3694" s="95">
        <f>IF($AR$3539&gt;0,IPMT('Assumptions (CSP)'!$V$7,Model!AA$1,'Assumptions (CSP)'!$V$10,'Assumptions (CSP)'!$V$5*Model!$AR$3539*AVERAGE('Assumptions (CSP)'!$AN$2:$AP$2)/10^9),0)</f>
        <v>0</v>
      </c>
      <c r="AW3694" s="95">
        <f>IF($AR$3539&gt;0,IPMT('Assumptions (CSP)'!$V$7,Model!AB$1,'Assumptions (CSP)'!$V$10,'Assumptions (CSP)'!$V$5*Model!$AR$3539*AVERAGE('Assumptions (CSP)'!$AN$2:$AP$2)/10^9),0)</f>
        <v>0</v>
      </c>
      <c r="AX3694" s="95">
        <f>IF($AR$3539&gt;0,IPMT('Assumptions (CSP)'!$V$7,Model!AC$1,'Assumptions (CSP)'!$V$10,'Assumptions (CSP)'!$V$5*Model!$AR$3539*AVERAGE('Assumptions (CSP)'!$AN$2:$AP$2)/10^9),0)</f>
        <v>0</v>
      </c>
      <c r="AY3694" s="95">
        <f>IF($AR$3539&gt;0,IPMT('Assumptions (CSP)'!$V$7,Model!AD$1,'Assumptions (CSP)'!$V$10,'Assumptions (CSP)'!$V$5*Model!$AR$3539*AVERAGE('Assumptions (CSP)'!$AN$2:$AP$2)/10^9),0)</f>
        <v>0</v>
      </c>
      <c r="AZ3694" s="95">
        <f>IF($AR$3539&gt;0,IPMT('Assumptions (CSP)'!$V$7,Model!AE$1,'Assumptions (CSP)'!$V$10,'Assumptions (CSP)'!$V$5*Model!$AR$3539*AVERAGE('Assumptions (CSP)'!$AN$2:$AP$2)/10^9),0)</f>
        <v>0</v>
      </c>
      <c r="BA3694" s="95">
        <f>IF($AR$3539&gt;0,IPMT('Assumptions (CSP)'!$V$7,Model!AF$1,'Assumptions (CSP)'!$V$10,'Assumptions (CSP)'!$V$5*Model!$AR$3539*AVERAGE('Assumptions (CSP)'!$AN$2:$AP$2)/10^9),0)</f>
        <v>0</v>
      </c>
      <c r="BB3694" s="95">
        <f>IF($AR$3539&gt;0,IPMT('Assumptions (CSP)'!$V$7,Model!AG$1,'Assumptions (CSP)'!$V$10,'Assumptions (CSP)'!$V$5*Model!$AR$3539*AVERAGE('Assumptions (CSP)'!$AN$2:$AP$2)/10^9),0)</f>
        <v>0</v>
      </c>
      <c r="BC3694" s="95">
        <f>IF($AR$3539&gt;0,IPMT('Assumptions (CSP)'!$V$7,Model!AH$1,'Assumptions (CSP)'!$V$10,'Assumptions (CSP)'!$V$5*Model!$AR$3539*AVERAGE('Assumptions (CSP)'!$AN$2:$AP$2)/10^9),0)</f>
        <v>0</v>
      </c>
      <c r="BD3694" s="95">
        <f>IF($AR$3539&gt;0,IPMT('Assumptions (CSP)'!$V$7,Model!AI$1,'Assumptions (CSP)'!$V$10,'Assumptions (CSP)'!$V$5*Model!$AR$3539*AVERAGE('Assumptions (CSP)'!$AN$2:$AP$2)/10^9),0)</f>
        <v>0</v>
      </c>
      <c r="BE3694" s="95">
        <f>IF($AR$3539&gt;0,IPMT('Assumptions (CSP)'!$V$7,Model!AJ$1,'Assumptions (CSP)'!$V$10,'Assumptions (CSP)'!$V$5*Model!$AR$3539*AVERAGE('Assumptions (CSP)'!$AN$2:$AP$2)/10^9),0)</f>
        <v>0</v>
      </c>
      <c r="BF3694" s="95">
        <f>IF($AR$3539&gt;0,IPMT('Assumptions (CSP)'!$V$7,Model!AK$1,'Assumptions (CSP)'!$V$10,'Assumptions (CSP)'!$V$5*Model!$AR$3539*AVERAGE('Assumptions (CSP)'!$AN$2:$AP$2)/10^9),0)</f>
        <v>0</v>
      </c>
    </row>
    <row r="3695" ht="15.75" hidden="1" customHeight="1">
      <c r="A3695" s="395"/>
      <c r="B3695" s="24"/>
      <c r="C3695" s="95"/>
      <c r="D3695" s="95"/>
      <c r="E3695" s="95"/>
      <c r="F3695" s="95"/>
      <c r="G3695" s="95"/>
      <c r="H3695" s="95"/>
      <c r="I3695" s="95"/>
      <c r="J3695" s="95"/>
      <c r="K3695" s="95"/>
      <c r="L3695" s="95"/>
      <c r="M3695" s="95"/>
      <c r="N3695" s="95"/>
      <c r="O3695" s="95"/>
      <c r="P3695" s="95"/>
      <c r="Q3695" s="95"/>
      <c r="R3695" s="95"/>
      <c r="S3695" s="95"/>
      <c r="T3695" s="95"/>
      <c r="U3695" s="95"/>
      <c r="V3695" s="95"/>
      <c r="W3695" s="95"/>
      <c r="X3695" s="95"/>
      <c r="Y3695" s="95"/>
      <c r="Z3695" s="95"/>
      <c r="AA3695" s="95"/>
      <c r="AB3695" s="95"/>
      <c r="AC3695" s="95"/>
      <c r="AD3695" s="95"/>
      <c r="AE3695" s="95"/>
      <c r="AF3695" s="95"/>
      <c r="AG3695" s="95"/>
      <c r="AH3695" s="95"/>
      <c r="AI3695" s="95"/>
      <c r="AJ3695" s="95"/>
      <c r="AK3695" s="95"/>
      <c r="AL3695" s="95"/>
      <c r="AM3695" s="95"/>
      <c r="AN3695" s="95"/>
      <c r="AO3695" s="95"/>
      <c r="AP3695" s="95"/>
      <c r="AQ3695" s="95"/>
      <c r="AR3695" s="95"/>
      <c r="AS3695" s="95">
        <f>IF($AS$3539&gt;0,IPMT('Assumptions (CSP)'!$V$7,Model!W$1,'Assumptions (CSP)'!$V$10,'Assumptions (CSP)'!$V$5*Model!$AS$3539*AVERAGE('Assumptions (CSP)'!$AO$2:$AQ$2)/10^9),0)</f>
        <v>0</v>
      </c>
      <c r="AT3695" s="95">
        <f>IF($AS$3539&gt;0,IPMT('Assumptions (CSP)'!$V$7,Model!X$1,'Assumptions (CSP)'!$V$10,'Assumptions (CSP)'!$V$5*Model!$AS$3539*AVERAGE('Assumptions (CSP)'!$AO$2:$AQ$2)/10^9),0)</f>
        <v>0</v>
      </c>
      <c r="AU3695" s="95">
        <f>IF($AS$3539&gt;0,IPMT('Assumptions (CSP)'!$V$7,Model!Y$1,'Assumptions (CSP)'!$V$10,'Assumptions (CSP)'!$V$5*Model!$AS$3539*AVERAGE('Assumptions (CSP)'!$AO$2:$AQ$2)/10^9),0)</f>
        <v>0</v>
      </c>
      <c r="AV3695" s="95">
        <f>IF($AS$3539&gt;0,IPMT('Assumptions (CSP)'!$V$7,Model!Z$1,'Assumptions (CSP)'!$V$10,'Assumptions (CSP)'!$V$5*Model!$AS$3539*AVERAGE('Assumptions (CSP)'!$AO$2:$AQ$2)/10^9),0)</f>
        <v>0</v>
      </c>
      <c r="AW3695" s="95">
        <f>IF($AS$3539&gt;0,IPMT('Assumptions (CSP)'!$V$7,Model!AA$1,'Assumptions (CSP)'!$V$10,'Assumptions (CSP)'!$V$5*Model!$AS$3539*AVERAGE('Assumptions (CSP)'!$AO$2:$AQ$2)/10^9),0)</f>
        <v>0</v>
      </c>
      <c r="AX3695" s="95">
        <f>IF($AS$3539&gt;0,IPMT('Assumptions (CSP)'!$V$7,Model!AB$1,'Assumptions (CSP)'!$V$10,'Assumptions (CSP)'!$V$5*Model!$AS$3539*AVERAGE('Assumptions (CSP)'!$AO$2:$AQ$2)/10^9),0)</f>
        <v>0</v>
      </c>
      <c r="AY3695" s="95">
        <f>IF($AS$3539&gt;0,IPMT('Assumptions (CSP)'!$V$7,Model!AC$1,'Assumptions (CSP)'!$V$10,'Assumptions (CSP)'!$V$5*Model!$AS$3539*AVERAGE('Assumptions (CSP)'!$AO$2:$AQ$2)/10^9),0)</f>
        <v>0</v>
      </c>
      <c r="AZ3695" s="95">
        <f>IF($AS$3539&gt;0,IPMT('Assumptions (CSP)'!$V$7,Model!AD$1,'Assumptions (CSP)'!$V$10,'Assumptions (CSP)'!$V$5*Model!$AS$3539*AVERAGE('Assumptions (CSP)'!$AO$2:$AQ$2)/10^9),0)</f>
        <v>0</v>
      </c>
      <c r="BA3695" s="95">
        <f>IF($AS$3539&gt;0,IPMT('Assumptions (CSP)'!$V$7,Model!AE$1,'Assumptions (CSP)'!$V$10,'Assumptions (CSP)'!$V$5*Model!$AS$3539*AVERAGE('Assumptions (CSP)'!$AO$2:$AQ$2)/10^9),0)</f>
        <v>0</v>
      </c>
      <c r="BB3695" s="95">
        <f>IF($AS$3539&gt;0,IPMT('Assumptions (CSP)'!$V$7,Model!AF$1,'Assumptions (CSP)'!$V$10,'Assumptions (CSP)'!$V$5*Model!$AS$3539*AVERAGE('Assumptions (CSP)'!$AO$2:$AQ$2)/10^9),0)</f>
        <v>0</v>
      </c>
      <c r="BC3695" s="95">
        <f>IF($AS$3539&gt;0,IPMT('Assumptions (CSP)'!$V$7,Model!AG$1,'Assumptions (CSP)'!$V$10,'Assumptions (CSP)'!$V$5*Model!$AS$3539*AVERAGE('Assumptions (CSP)'!$AO$2:$AQ$2)/10^9),0)</f>
        <v>0</v>
      </c>
      <c r="BD3695" s="95">
        <f>IF($AS$3539&gt;0,IPMT('Assumptions (CSP)'!$V$7,Model!AH$1,'Assumptions (CSP)'!$V$10,'Assumptions (CSP)'!$V$5*Model!$AS$3539*AVERAGE('Assumptions (CSP)'!$AO$2:$AQ$2)/10^9),0)</f>
        <v>0</v>
      </c>
      <c r="BE3695" s="95">
        <f>IF($AS$3539&gt;0,IPMT('Assumptions (CSP)'!$V$7,Model!AI$1,'Assumptions (CSP)'!$V$10,'Assumptions (CSP)'!$V$5*Model!$AS$3539*AVERAGE('Assumptions (CSP)'!$AO$2:$AQ$2)/10^9),0)</f>
        <v>0</v>
      </c>
      <c r="BF3695" s="95">
        <f>IF($AS$3539&gt;0,IPMT('Assumptions (CSP)'!$V$7,Model!AJ$1,'Assumptions (CSP)'!$V$10,'Assumptions (CSP)'!$V$5*Model!$AS$3539*AVERAGE('Assumptions (CSP)'!$AO$2:$AQ$2)/10^9),0)</f>
        <v>0</v>
      </c>
      <c r="BG3695" s="95">
        <f>IF($AS$3539&gt;0,IPMT('Assumptions (CSP)'!$V$7,Model!AK$1,'Assumptions (CSP)'!$V$10,'Assumptions (CSP)'!$V$5*Model!$AS$3539*AVERAGE('Assumptions (CSP)'!$AO$2:$AQ$2)/10^9),0)</f>
        <v>0</v>
      </c>
    </row>
    <row r="3696" ht="15.75" hidden="1" customHeight="1">
      <c r="A3696" s="395"/>
      <c r="B3696" s="24"/>
      <c r="C3696" s="95"/>
      <c r="D3696" s="95"/>
      <c r="E3696" s="95"/>
      <c r="F3696" s="95"/>
      <c r="G3696" s="95"/>
      <c r="H3696" s="95"/>
      <c r="I3696" s="95"/>
      <c r="J3696" s="95"/>
      <c r="K3696" s="95"/>
      <c r="L3696" s="95"/>
      <c r="M3696" s="95"/>
      <c r="N3696" s="95"/>
      <c r="O3696" s="95"/>
      <c r="P3696" s="95"/>
      <c r="Q3696" s="95"/>
      <c r="R3696" s="95"/>
      <c r="S3696" s="95"/>
      <c r="T3696" s="95"/>
      <c r="U3696" s="95"/>
      <c r="V3696" s="95"/>
      <c r="W3696" s="95"/>
      <c r="X3696" s="95"/>
      <c r="Y3696" s="95"/>
      <c r="Z3696" s="95"/>
      <c r="AA3696" s="95"/>
      <c r="AB3696" s="95"/>
      <c r="AC3696" s="95"/>
      <c r="AD3696" s="95"/>
      <c r="AE3696" s="95"/>
      <c r="AF3696" s="95"/>
      <c r="AG3696" s="95"/>
      <c r="AH3696" s="95"/>
      <c r="AI3696" s="95"/>
      <c r="AJ3696" s="95"/>
      <c r="AK3696" s="95"/>
      <c r="AL3696" s="95"/>
      <c r="AM3696" s="95"/>
      <c r="AN3696" s="95"/>
      <c r="AO3696" s="95"/>
      <c r="AP3696" s="95"/>
      <c r="AQ3696" s="95"/>
      <c r="AR3696" s="95"/>
      <c r="AS3696" s="95"/>
      <c r="AT3696" s="95">
        <f>IF($AT$3539&gt;0,IPMT('Assumptions (CSP)'!$V$7,Model!W$1,'Assumptions (CSP)'!$V$10,'Assumptions (CSP)'!$V$5*Model!$AT$3539*AVERAGE('Assumptions (CSP)'!$AP$2:$AR$2)/10^9),0)</f>
        <v>0</v>
      </c>
      <c r="AU3696" s="95">
        <f>IF($AT$3539&gt;0,IPMT('Assumptions (CSP)'!$V$7,Model!X$1,'Assumptions (CSP)'!$V$10,'Assumptions (CSP)'!$V$5*Model!$AT$3539*AVERAGE('Assumptions (CSP)'!$AP$2:$AR$2)/10^9),0)</f>
        <v>0</v>
      </c>
      <c r="AV3696" s="95">
        <f>IF($AT$3539&gt;0,IPMT('Assumptions (CSP)'!$V$7,Model!Y$1,'Assumptions (CSP)'!$V$10,'Assumptions (CSP)'!$V$5*Model!$AT$3539*AVERAGE('Assumptions (CSP)'!$AP$2:$AR$2)/10^9),0)</f>
        <v>0</v>
      </c>
      <c r="AW3696" s="95">
        <f>IF($AT$3539&gt;0,IPMT('Assumptions (CSP)'!$V$7,Model!Z$1,'Assumptions (CSP)'!$V$10,'Assumptions (CSP)'!$V$5*Model!$AT$3539*AVERAGE('Assumptions (CSP)'!$AP$2:$AR$2)/10^9),0)</f>
        <v>0</v>
      </c>
      <c r="AX3696" s="95">
        <f>IF($AT$3539&gt;0,IPMT('Assumptions (CSP)'!$V$7,Model!AA$1,'Assumptions (CSP)'!$V$10,'Assumptions (CSP)'!$V$5*Model!$AT$3539*AVERAGE('Assumptions (CSP)'!$AP$2:$AR$2)/10^9),0)</f>
        <v>0</v>
      </c>
      <c r="AY3696" s="95">
        <f>IF($AT$3539&gt;0,IPMT('Assumptions (CSP)'!$V$7,Model!AB$1,'Assumptions (CSP)'!$V$10,'Assumptions (CSP)'!$V$5*Model!$AT$3539*AVERAGE('Assumptions (CSP)'!$AP$2:$AR$2)/10^9),0)</f>
        <v>0</v>
      </c>
      <c r="AZ3696" s="95">
        <f>IF($AT$3539&gt;0,IPMT('Assumptions (CSP)'!$V$7,Model!AC$1,'Assumptions (CSP)'!$V$10,'Assumptions (CSP)'!$V$5*Model!$AT$3539*AVERAGE('Assumptions (CSP)'!$AP$2:$AR$2)/10^9),0)</f>
        <v>0</v>
      </c>
      <c r="BA3696" s="95">
        <f>IF($AT$3539&gt;0,IPMT('Assumptions (CSP)'!$V$7,Model!AD$1,'Assumptions (CSP)'!$V$10,'Assumptions (CSP)'!$V$5*Model!$AT$3539*AVERAGE('Assumptions (CSP)'!$AP$2:$AR$2)/10^9),0)</f>
        <v>0</v>
      </c>
      <c r="BB3696" s="95">
        <f>IF($AT$3539&gt;0,IPMT('Assumptions (CSP)'!$V$7,Model!AE$1,'Assumptions (CSP)'!$V$10,'Assumptions (CSP)'!$V$5*Model!$AT$3539*AVERAGE('Assumptions (CSP)'!$AP$2:$AR$2)/10^9),0)</f>
        <v>0</v>
      </c>
      <c r="BC3696" s="95">
        <f>IF($AT$3539&gt;0,IPMT('Assumptions (CSP)'!$V$7,Model!AF$1,'Assumptions (CSP)'!$V$10,'Assumptions (CSP)'!$V$5*Model!$AT$3539*AVERAGE('Assumptions (CSP)'!$AP$2:$AR$2)/10^9),0)</f>
        <v>0</v>
      </c>
      <c r="BD3696" s="95">
        <f>IF($AT$3539&gt;0,IPMT('Assumptions (CSP)'!$V$7,Model!AG$1,'Assumptions (CSP)'!$V$10,'Assumptions (CSP)'!$V$5*Model!$AT$3539*AVERAGE('Assumptions (CSP)'!$AP$2:$AR$2)/10^9),0)</f>
        <v>0</v>
      </c>
      <c r="BE3696" s="95">
        <f>IF($AT$3539&gt;0,IPMT('Assumptions (CSP)'!$V$7,Model!AH$1,'Assumptions (CSP)'!$V$10,'Assumptions (CSP)'!$V$5*Model!$AT$3539*AVERAGE('Assumptions (CSP)'!$AP$2:$AR$2)/10^9),0)</f>
        <v>0</v>
      </c>
      <c r="BF3696" s="95">
        <f>IF($AT$3539&gt;0,IPMT('Assumptions (CSP)'!$V$7,Model!AI$1,'Assumptions (CSP)'!$V$10,'Assumptions (CSP)'!$V$5*Model!$AT$3539*AVERAGE('Assumptions (CSP)'!$AP$2:$AR$2)/10^9),0)</f>
        <v>0</v>
      </c>
      <c r="BG3696" s="95">
        <f>IF($AT$3539&gt;0,IPMT('Assumptions (CSP)'!$V$7,Model!AJ$1,'Assumptions (CSP)'!$V$10,'Assumptions (CSP)'!$V$5*Model!$AT$3539*AVERAGE('Assumptions (CSP)'!$AP$2:$AR$2)/10^9),0)</f>
        <v>0</v>
      </c>
      <c r="BH3696" s="95">
        <f>IF($AT$3539&gt;0,IPMT('Assumptions (CSP)'!$V$7,Model!AK$1,'Assumptions (CSP)'!$V$10,'Assumptions (CSP)'!$V$5*Model!$AT$3539*AVERAGE('Assumptions (CSP)'!$AP$2:$AR$2)/10^9),0)</f>
        <v>0</v>
      </c>
    </row>
    <row r="3697" ht="15.75" hidden="1" customHeight="1">
      <c r="A3697" s="395"/>
      <c r="B3697" s="24"/>
      <c r="C3697" s="95"/>
      <c r="D3697" s="95"/>
      <c r="E3697" s="95"/>
      <c r="F3697" s="95"/>
      <c r="G3697" s="95"/>
      <c r="H3697" s="95"/>
      <c r="I3697" s="95"/>
      <c r="J3697" s="95"/>
      <c r="K3697" s="95"/>
      <c r="L3697" s="95"/>
      <c r="M3697" s="95"/>
      <c r="N3697" s="95"/>
      <c r="O3697" s="95"/>
      <c r="P3697" s="95"/>
      <c r="Q3697" s="95"/>
      <c r="R3697" s="95"/>
      <c r="S3697" s="95"/>
      <c r="T3697" s="95"/>
      <c r="U3697" s="95"/>
      <c r="V3697" s="95"/>
      <c r="W3697" s="95"/>
      <c r="X3697" s="95"/>
      <c r="Y3697" s="95"/>
      <c r="Z3697" s="95"/>
      <c r="AA3697" s="95"/>
      <c r="AB3697" s="95"/>
      <c r="AC3697" s="95"/>
      <c r="AD3697" s="95"/>
      <c r="AE3697" s="95"/>
      <c r="AF3697" s="95"/>
      <c r="AG3697" s="95"/>
      <c r="AH3697" s="95"/>
      <c r="AI3697" s="95"/>
      <c r="AJ3697" s="95"/>
      <c r="AK3697" s="95"/>
      <c r="AL3697" s="95"/>
      <c r="AM3697" s="95"/>
      <c r="AN3697" s="95"/>
      <c r="AO3697" s="95"/>
      <c r="AP3697" s="95"/>
      <c r="AQ3697" s="95"/>
      <c r="AR3697" s="95"/>
      <c r="AS3697" s="95"/>
      <c r="AT3697" s="95"/>
      <c r="AU3697" s="95">
        <f>IF($AU$3539&gt;0,IPMT('Assumptions (CSP)'!$V$7,Model!W$1,'Assumptions (CSP)'!$V$10,'Assumptions (CSP)'!$V$5*Model!$AU$3539*AVERAGE('Assumptions (CSP)'!$AQ$2:$AS$2)/10^9),0)</f>
        <v>0</v>
      </c>
      <c r="AV3697" s="95">
        <f>IF($AU$3539&gt;0,IPMT('Assumptions (CSP)'!$V$7,Model!X$1,'Assumptions (CSP)'!$V$10,'Assumptions (CSP)'!$V$5*Model!$AU$3539*AVERAGE('Assumptions (CSP)'!$AQ$2:$AS$2)/10^9),0)</f>
        <v>0</v>
      </c>
      <c r="AW3697" s="95">
        <f>IF($AU$3539&gt;0,IPMT('Assumptions (CSP)'!$V$7,Model!Y$1,'Assumptions (CSP)'!$V$10,'Assumptions (CSP)'!$V$5*Model!$AU$3539*AVERAGE('Assumptions (CSP)'!$AQ$2:$AS$2)/10^9),0)</f>
        <v>0</v>
      </c>
      <c r="AX3697" s="95">
        <f>IF($AU$3539&gt;0,IPMT('Assumptions (CSP)'!$V$7,Model!Z$1,'Assumptions (CSP)'!$V$10,'Assumptions (CSP)'!$V$5*Model!$AU$3539*AVERAGE('Assumptions (CSP)'!$AQ$2:$AS$2)/10^9),0)</f>
        <v>0</v>
      </c>
      <c r="AY3697" s="95">
        <f>IF($AU$3539&gt;0,IPMT('Assumptions (CSP)'!$V$7,Model!AA$1,'Assumptions (CSP)'!$V$10,'Assumptions (CSP)'!$V$5*Model!$AU$3539*AVERAGE('Assumptions (CSP)'!$AQ$2:$AS$2)/10^9),0)</f>
        <v>0</v>
      </c>
      <c r="AZ3697" s="95">
        <f>IF($AU$3539&gt;0,IPMT('Assumptions (CSP)'!$V$7,Model!AB$1,'Assumptions (CSP)'!$V$10,'Assumptions (CSP)'!$V$5*Model!$AU$3539*AVERAGE('Assumptions (CSP)'!$AQ$2:$AS$2)/10^9),0)</f>
        <v>0</v>
      </c>
      <c r="BA3697" s="95">
        <f>IF($AU$3539&gt;0,IPMT('Assumptions (CSP)'!$V$7,Model!AC$1,'Assumptions (CSP)'!$V$10,'Assumptions (CSP)'!$V$5*Model!$AU$3539*AVERAGE('Assumptions (CSP)'!$AQ$2:$AS$2)/10^9),0)</f>
        <v>0</v>
      </c>
      <c r="BB3697" s="95">
        <f>IF($AU$3539&gt;0,IPMT('Assumptions (CSP)'!$V$7,Model!AD$1,'Assumptions (CSP)'!$V$10,'Assumptions (CSP)'!$V$5*Model!$AU$3539*AVERAGE('Assumptions (CSP)'!$AQ$2:$AS$2)/10^9),0)</f>
        <v>0</v>
      </c>
      <c r="BC3697" s="95">
        <f>IF($AU$3539&gt;0,IPMT('Assumptions (CSP)'!$V$7,Model!AE$1,'Assumptions (CSP)'!$V$10,'Assumptions (CSP)'!$V$5*Model!$AU$3539*AVERAGE('Assumptions (CSP)'!$AQ$2:$AS$2)/10^9),0)</f>
        <v>0</v>
      </c>
      <c r="BD3697" s="95">
        <f>IF($AU$3539&gt;0,IPMT('Assumptions (CSP)'!$V$7,Model!AF$1,'Assumptions (CSP)'!$V$10,'Assumptions (CSP)'!$V$5*Model!$AU$3539*AVERAGE('Assumptions (CSP)'!$AQ$2:$AS$2)/10^9),0)</f>
        <v>0</v>
      </c>
      <c r="BE3697" s="95">
        <f>IF($AU$3539&gt;0,IPMT('Assumptions (CSP)'!$V$7,Model!AG$1,'Assumptions (CSP)'!$V$10,'Assumptions (CSP)'!$V$5*Model!$AU$3539*AVERAGE('Assumptions (CSP)'!$AQ$2:$AS$2)/10^9),0)</f>
        <v>0</v>
      </c>
      <c r="BF3697" s="95">
        <f>IF($AU$3539&gt;0,IPMT('Assumptions (CSP)'!$V$7,Model!AH$1,'Assumptions (CSP)'!$V$10,'Assumptions (CSP)'!$V$5*Model!$AU$3539*AVERAGE('Assumptions (CSP)'!$AQ$2:$AS$2)/10^9),0)</f>
        <v>0</v>
      </c>
      <c r="BG3697" s="95">
        <f>IF($AU$3539&gt;0,IPMT('Assumptions (CSP)'!$V$7,Model!AI$1,'Assumptions (CSP)'!$V$10,'Assumptions (CSP)'!$V$5*Model!$AU$3539*AVERAGE('Assumptions (CSP)'!$AQ$2:$AS$2)/10^9),0)</f>
        <v>0</v>
      </c>
      <c r="BH3697" s="95">
        <f>IF($AU$3539&gt;0,IPMT('Assumptions (CSP)'!$V$7,Model!AJ$1,'Assumptions (CSP)'!$V$10,'Assumptions (CSP)'!$V$5*Model!$AU$3539*AVERAGE('Assumptions (CSP)'!$AQ$2:$AS$2)/10^9),0)</f>
        <v>0</v>
      </c>
      <c r="BI3697" s="95">
        <f>IF($AU$3539&gt;0,IPMT('Assumptions (CSP)'!$V$7,Model!AK$1,'Assumptions (CSP)'!$V$10,'Assumptions (CSP)'!$V$5*Model!$AU$3539*AVERAGE('Assumptions (CSP)'!$AQ$2:$AS$2)/10^9),0)</f>
        <v>0</v>
      </c>
    </row>
    <row r="3698" ht="15.75" hidden="1" customHeight="1">
      <c r="A3698" s="395"/>
      <c r="B3698" s="24"/>
      <c r="C3698" s="95"/>
      <c r="D3698" s="95"/>
      <c r="E3698" s="95"/>
      <c r="F3698" s="95"/>
      <c r="G3698" s="95"/>
      <c r="H3698" s="95"/>
      <c r="I3698" s="95"/>
      <c r="J3698" s="95"/>
      <c r="K3698" s="95"/>
      <c r="L3698" s="95"/>
      <c r="M3698" s="95"/>
      <c r="N3698" s="95"/>
      <c r="O3698" s="95"/>
      <c r="P3698" s="95"/>
      <c r="Q3698" s="95"/>
      <c r="R3698" s="95"/>
      <c r="S3698" s="95"/>
      <c r="T3698" s="95"/>
      <c r="U3698" s="95"/>
      <c r="V3698" s="95"/>
      <c r="W3698" s="95"/>
      <c r="X3698" s="95"/>
      <c r="Y3698" s="95"/>
      <c r="Z3698" s="95"/>
      <c r="AA3698" s="95"/>
      <c r="AB3698" s="95"/>
      <c r="AC3698" s="95"/>
      <c r="AD3698" s="95"/>
      <c r="AE3698" s="95"/>
      <c r="AF3698" s="95"/>
      <c r="AG3698" s="95"/>
      <c r="AH3698" s="95"/>
      <c r="AI3698" s="95"/>
      <c r="AJ3698" s="95"/>
      <c r="AK3698" s="95"/>
      <c r="AL3698" s="95"/>
      <c r="AM3698" s="95"/>
      <c r="AN3698" s="95"/>
      <c r="AO3698" s="95"/>
      <c r="AP3698" s="95"/>
      <c r="AQ3698" s="95"/>
      <c r="AR3698" s="95"/>
      <c r="AS3698" s="95"/>
      <c r="AT3698" s="95"/>
      <c r="AU3698" s="95"/>
      <c r="AV3698" s="95">
        <f>IF($AV$3539&gt;0,IPMT('Assumptions (CSP)'!$V$7,Model!W$1,'Assumptions (CSP)'!$V$10,'Assumptions (CSP)'!$V$5*Model!$AV$3539*AVERAGE('Assumptions (CSP)'!$AR$2:$AT$2)/10^9),0)</f>
        <v>0</v>
      </c>
      <c r="AW3698" s="95">
        <f>IF($AV$3539&gt;0,IPMT('Assumptions (CSP)'!$V$7,Model!X$1,'Assumptions (CSP)'!$V$10,'Assumptions (CSP)'!$V$5*Model!$AV$3539*AVERAGE('Assumptions (CSP)'!$AR$2:$AT$2)/10^9),0)</f>
        <v>0</v>
      </c>
      <c r="AX3698" s="95">
        <f>IF($AV$3539&gt;0,IPMT('Assumptions (CSP)'!$V$7,Model!Y$1,'Assumptions (CSP)'!$V$10,'Assumptions (CSP)'!$V$5*Model!$AV$3539*AVERAGE('Assumptions (CSP)'!$AR$2:$AT$2)/10^9),0)</f>
        <v>0</v>
      </c>
      <c r="AY3698" s="95">
        <f>IF($AV$3539&gt;0,IPMT('Assumptions (CSP)'!$V$7,Model!Z$1,'Assumptions (CSP)'!$V$10,'Assumptions (CSP)'!$V$5*Model!$AV$3539*AVERAGE('Assumptions (CSP)'!$AR$2:$AT$2)/10^9),0)</f>
        <v>0</v>
      </c>
      <c r="AZ3698" s="95">
        <f>IF($AV$3539&gt;0,IPMT('Assumptions (CSP)'!$V$7,Model!AA$1,'Assumptions (CSP)'!$V$10,'Assumptions (CSP)'!$V$5*Model!$AV$3539*AVERAGE('Assumptions (CSP)'!$AR$2:$AT$2)/10^9),0)</f>
        <v>0</v>
      </c>
      <c r="BA3698" s="95">
        <f>IF($AV$3539&gt;0,IPMT('Assumptions (CSP)'!$V$7,Model!AB$1,'Assumptions (CSP)'!$V$10,'Assumptions (CSP)'!$V$5*Model!$AV$3539*AVERAGE('Assumptions (CSP)'!$AR$2:$AT$2)/10^9),0)</f>
        <v>0</v>
      </c>
      <c r="BB3698" s="95">
        <f>IF($AV$3539&gt;0,IPMT('Assumptions (CSP)'!$V$7,Model!AC$1,'Assumptions (CSP)'!$V$10,'Assumptions (CSP)'!$V$5*Model!$AV$3539*AVERAGE('Assumptions (CSP)'!$AR$2:$AT$2)/10^9),0)</f>
        <v>0</v>
      </c>
      <c r="BC3698" s="95">
        <f>IF($AV$3539&gt;0,IPMT('Assumptions (CSP)'!$V$7,Model!AD$1,'Assumptions (CSP)'!$V$10,'Assumptions (CSP)'!$V$5*Model!$AV$3539*AVERAGE('Assumptions (CSP)'!$AR$2:$AT$2)/10^9),0)</f>
        <v>0</v>
      </c>
      <c r="BD3698" s="95">
        <f>IF($AV$3539&gt;0,IPMT('Assumptions (CSP)'!$V$7,Model!AE$1,'Assumptions (CSP)'!$V$10,'Assumptions (CSP)'!$V$5*Model!$AV$3539*AVERAGE('Assumptions (CSP)'!$AR$2:$AT$2)/10^9),0)</f>
        <v>0</v>
      </c>
      <c r="BE3698" s="95">
        <f>IF($AV$3539&gt;0,IPMT('Assumptions (CSP)'!$V$7,Model!AF$1,'Assumptions (CSP)'!$V$10,'Assumptions (CSP)'!$V$5*Model!$AV$3539*AVERAGE('Assumptions (CSP)'!$AR$2:$AT$2)/10^9),0)</f>
        <v>0</v>
      </c>
      <c r="BF3698" s="95">
        <f>IF($AV$3539&gt;0,IPMT('Assumptions (CSP)'!$V$7,Model!AG$1,'Assumptions (CSP)'!$V$10,'Assumptions (CSP)'!$V$5*Model!$AV$3539*AVERAGE('Assumptions (CSP)'!$AR$2:$AT$2)/10^9),0)</f>
        <v>0</v>
      </c>
      <c r="BG3698" s="95">
        <f>IF($AV$3539&gt;0,IPMT('Assumptions (CSP)'!$V$7,Model!AH$1,'Assumptions (CSP)'!$V$10,'Assumptions (CSP)'!$V$5*Model!$AV$3539*AVERAGE('Assumptions (CSP)'!$AR$2:$AT$2)/10^9),0)</f>
        <v>0</v>
      </c>
      <c r="BH3698" s="95">
        <f>IF($AV$3539&gt;0,IPMT('Assumptions (CSP)'!$V$7,Model!AI$1,'Assumptions (CSP)'!$V$10,'Assumptions (CSP)'!$V$5*Model!$AV$3539*AVERAGE('Assumptions (CSP)'!$AR$2:$AT$2)/10^9),0)</f>
        <v>0</v>
      </c>
      <c r="BI3698" s="95">
        <f>IF($AV$3539&gt;0,IPMT('Assumptions (CSP)'!$V$7,Model!AJ$1,'Assumptions (CSP)'!$V$10,'Assumptions (CSP)'!$V$5*Model!$AV$3539*AVERAGE('Assumptions (CSP)'!$AR$2:$AT$2)/10^9),0)</f>
        <v>0</v>
      </c>
      <c r="BJ3698" s="95">
        <f>IF($AV$3539&gt;0,IPMT('Assumptions (CSP)'!$V$7,Model!AK$1,'Assumptions (CSP)'!$V$10,'Assumptions (CSP)'!$V$5*Model!$AV$3539*AVERAGE('Assumptions (CSP)'!$AR$2:$AT$2)/10^9),0)</f>
        <v>0</v>
      </c>
    </row>
    <row r="3699" ht="15.75" hidden="1" customHeight="1">
      <c r="A3699" s="395"/>
      <c r="B3699" s="24"/>
      <c r="C3699" s="95"/>
      <c r="D3699" s="95"/>
      <c r="E3699" s="95"/>
      <c r="F3699" s="95"/>
      <c r="G3699" s="95"/>
      <c r="H3699" s="95"/>
      <c r="I3699" s="95"/>
      <c r="J3699" s="95"/>
      <c r="K3699" s="95"/>
      <c r="L3699" s="95"/>
      <c r="M3699" s="95"/>
      <c r="N3699" s="95"/>
      <c r="O3699" s="95"/>
      <c r="P3699" s="95"/>
      <c r="Q3699" s="95"/>
      <c r="R3699" s="95"/>
      <c r="S3699" s="95"/>
      <c r="T3699" s="95"/>
      <c r="U3699" s="95"/>
      <c r="V3699" s="95"/>
      <c r="W3699" s="95"/>
      <c r="X3699" s="95"/>
      <c r="Y3699" s="95"/>
      <c r="Z3699" s="95"/>
      <c r="AA3699" s="95"/>
      <c r="AB3699" s="95"/>
      <c r="AC3699" s="95"/>
      <c r="AD3699" s="95"/>
      <c r="AE3699" s="95"/>
      <c r="AF3699" s="95"/>
      <c r="AG3699" s="95"/>
      <c r="AH3699" s="95"/>
      <c r="AI3699" s="95"/>
      <c r="AJ3699" s="95"/>
      <c r="AK3699" s="95"/>
      <c r="AL3699" s="95"/>
      <c r="AM3699" s="95"/>
      <c r="AN3699" s="95"/>
      <c r="AO3699" s="95"/>
      <c r="AP3699" s="95"/>
      <c r="AQ3699" s="95"/>
      <c r="AR3699" s="95"/>
      <c r="AS3699" s="95"/>
      <c r="AT3699" s="95"/>
      <c r="AU3699" s="95"/>
      <c r="AV3699" s="95"/>
      <c r="AW3699" s="95">
        <f>IF($AW$3539&gt;0,IPMT('Assumptions (CSP)'!$V$7,Model!W$1,'Assumptions (CSP)'!$V$10,'Assumptions (CSP)'!$V$5*Model!$AW$3539*AVERAGE('Assumptions (CSP)'!$AS$2:$AU$2)/10^9),0)</f>
        <v>0</v>
      </c>
      <c r="AX3699" s="95">
        <f>IF($AW$3539&gt;0,IPMT('Assumptions (CSP)'!$V$7,Model!X$1,'Assumptions (CSP)'!$V$10,'Assumptions (CSP)'!$V$5*Model!$AW$3539*AVERAGE('Assumptions (CSP)'!$AS$2:$AU$2)/10^9),0)</f>
        <v>0</v>
      </c>
      <c r="AY3699" s="95">
        <f>IF($AW$3539&gt;0,IPMT('Assumptions (CSP)'!$V$7,Model!Y$1,'Assumptions (CSP)'!$V$10,'Assumptions (CSP)'!$V$5*Model!$AW$3539*AVERAGE('Assumptions (CSP)'!$AS$2:$AU$2)/10^9),0)</f>
        <v>0</v>
      </c>
      <c r="AZ3699" s="95">
        <f>IF($AW$3539&gt;0,IPMT('Assumptions (CSP)'!$V$7,Model!Z$1,'Assumptions (CSP)'!$V$10,'Assumptions (CSP)'!$V$5*Model!$AW$3539*AVERAGE('Assumptions (CSP)'!$AS$2:$AU$2)/10^9),0)</f>
        <v>0</v>
      </c>
      <c r="BA3699" s="95">
        <f>IF($AW$3539&gt;0,IPMT('Assumptions (CSP)'!$V$7,Model!AA$1,'Assumptions (CSP)'!$V$10,'Assumptions (CSP)'!$V$5*Model!$AW$3539*AVERAGE('Assumptions (CSP)'!$AS$2:$AU$2)/10^9),0)</f>
        <v>0</v>
      </c>
      <c r="BB3699" s="95">
        <f>IF($AW$3539&gt;0,IPMT('Assumptions (CSP)'!$V$7,Model!AB$1,'Assumptions (CSP)'!$V$10,'Assumptions (CSP)'!$V$5*Model!$AW$3539*AVERAGE('Assumptions (CSP)'!$AS$2:$AU$2)/10^9),0)</f>
        <v>0</v>
      </c>
      <c r="BC3699" s="95">
        <f>IF($AW$3539&gt;0,IPMT('Assumptions (CSP)'!$V$7,Model!AC$1,'Assumptions (CSP)'!$V$10,'Assumptions (CSP)'!$V$5*Model!$AW$3539*AVERAGE('Assumptions (CSP)'!$AS$2:$AU$2)/10^9),0)</f>
        <v>0</v>
      </c>
      <c r="BD3699" s="95">
        <f>IF($AW$3539&gt;0,IPMT('Assumptions (CSP)'!$V$7,Model!AD$1,'Assumptions (CSP)'!$V$10,'Assumptions (CSP)'!$V$5*Model!$AW$3539*AVERAGE('Assumptions (CSP)'!$AS$2:$AU$2)/10^9),0)</f>
        <v>0</v>
      </c>
      <c r="BE3699" s="95">
        <f>IF($AW$3539&gt;0,IPMT('Assumptions (CSP)'!$V$7,Model!AE$1,'Assumptions (CSP)'!$V$10,'Assumptions (CSP)'!$V$5*Model!$AW$3539*AVERAGE('Assumptions (CSP)'!$AS$2:$AU$2)/10^9),0)</f>
        <v>0</v>
      </c>
      <c r="BF3699" s="95">
        <f>IF($AW$3539&gt;0,IPMT('Assumptions (CSP)'!$V$7,Model!AF$1,'Assumptions (CSP)'!$V$10,'Assumptions (CSP)'!$V$5*Model!$AW$3539*AVERAGE('Assumptions (CSP)'!$AS$2:$AU$2)/10^9),0)</f>
        <v>0</v>
      </c>
      <c r="BG3699" s="95">
        <f>IF($AW$3539&gt;0,IPMT('Assumptions (CSP)'!$V$7,Model!AG$1,'Assumptions (CSP)'!$V$10,'Assumptions (CSP)'!$V$5*Model!$AW$3539*AVERAGE('Assumptions (CSP)'!$AS$2:$AU$2)/10^9),0)</f>
        <v>0</v>
      </c>
      <c r="BH3699" s="95">
        <f>IF($AW$3539&gt;0,IPMT('Assumptions (CSP)'!$V$7,Model!AH$1,'Assumptions (CSP)'!$V$10,'Assumptions (CSP)'!$V$5*Model!$AW$3539*AVERAGE('Assumptions (CSP)'!$AS$2:$AU$2)/10^9),0)</f>
        <v>0</v>
      </c>
      <c r="BI3699" s="95">
        <f>IF($AW$3539&gt;0,IPMT('Assumptions (CSP)'!$V$7,Model!AI$1,'Assumptions (CSP)'!$V$10,'Assumptions (CSP)'!$V$5*Model!$AW$3539*AVERAGE('Assumptions (CSP)'!$AS$2:$AU$2)/10^9),0)</f>
        <v>0</v>
      </c>
      <c r="BJ3699" s="95">
        <f>IF($AW$3539&gt;0,IPMT('Assumptions (CSP)'!$V$7,Model!AJ$1,'Assumptions (CSP)'!$V$10,'Assumptions (CSP)'!$V$5*Model!$AW$3539*AVERAGE('Assumptions (CSP)'!$AS$2:$AU$2)/10^9),0)</f>
        <v>0</v>
      </c>
      <c r="BK3699" s="95">
        <f>IF($AW$3539&gt;0,IPMT('Assumptions (CSP)'!$V$7,Model!AK$1,'Assumptions (CSP)'!$V$10,'Assumptions (CSP)'!$V$5*Model!$AW$3539*AVERAGE('Assumptions (CSP)'!$AS$2:$AU$2)/10^9),0)</f>
        <v>0</v>
      </c>
    </row>
    <row r="3700" ht="15.75" hidden="1" customHeight="1">
      <c r="A3700" s="395"/>
      <c r="B3700" s="24"/>
      <c r="C3700" s="95"/>
      <c r="D3700" s="95"/>
      <c r="E3700" s="95"/>
      <c r="F3700" s="95"/>
      <c r="G3700" s="95"/>
      <c r="H3700" s="95"/>
      <c r="I3700" s="95"/>
      <c r="J3700" s="95"/>
      <c r="K3700" s="95"/>
      <c r="L3700" s="95"/>
      <c r="M3700" s="95"/>
      <c r="N3700" s="95"/>
      <c r="O3700" s="95"/>
      <c r="P3700" s="95"/>
      <c r="Q3700" s="95"/>
      <c r="R3700" s="95"/>
      <c r="S3700" s="95"/>
      <c r="T3700" s="95"/>
      <c r="U3700" s="95"/>
      <c r="V3700" s="95"/>
      <c r="W3700" s="95"/>
      <c r="X3700" s="95"/>
      <c r="Y3700" s="95"/>
      <c r="Z3700" s="95"/>
      <c r="AA3700" s="95"/>
      <c r="AB3700" s="95"/>
      <c r="AC3700" s="95"/>
      <c r="AD3700" s="95"/>
      <c r="AE3700" s="95"/>
      <c r="AF3700" s="95"/>
      <c r="AG3700" s="95"/>
      <c r="AH3700" s="95"/>
      <c r="AI3700" s="95"/>
      <c r="AJ3700" s="95"/>
      <c r="AK3700" s="95"/>
      <c r="AL3700" s="95"/>
      <c r="AM3700" s="95"/>
      <c r="AN3700" s="95"/>
      <c r="AO3700" s="95"/>
      <c r="AP3700" s="95"/>
      <c r="AQ3700" s="95"/>
      <c r="AR3700" s="95"/>
      <c r="AS3700" s="95"/>
      <c r="AT3700" s="95"/>
      <c r="AU3700" s="95"/>
      <c r="AV3700" s="95"/>
      <c r="AW3700" s="95"/>
      <c r="AX3700" s="95">
        <f>IF($AX$3539&gt;0,IPMT('Assumptions (CSP)'!$V$7,Model!W$1,'Assumptions (CSP)'!$V$10,'Assumptions (CSP)'!$V$5*Model!$AX$3539*AVERAGE('Assumptions (CSP)'!$AT$2:$AV$2)/10^9),0)</f>
        <v>0</v>
      </c>
      <c r="AY3700" s="95">
        <f>IF($AX$3539&gt;0,IPMT('Assumptions (CSP)'!$V$7,Model!X$1,'Assumptions (CSP)'!$V$10,'Assumptions (CSP)'!$V$5*Model!$AX$3539*AVERAGE('Assumptions (CSP)'!$AT$2:$AV$2)/10^9),0)</f>
        <v>0</v>
      </c>
      <c r="AZ3700" s="95">
        <f>IF($AX$3539&gt;0,IPMT('Assumptions (CSP)'!$V$7,Model!Y$1,'Assumptions (CSP)'!$V$10,'Assumptions (CSP)'!$V$5*Model!$AX$3539*AVERAGE('Assumptions (CSP)'!$AT$2:$AV$2)/10^9),0)</f>
        <v>0</v>
      </c>
      <c r="BA3700" s="95">
        <f>IF($AX$3539&gt;0,IPMT('Assumptions (CSP)'!$V$7,Model!Z$1,'Assumptions (CSP)'!$V$10,'Assumptions (CSP)'!$V$5*Model!$AX$3539*AVERAGE('Assumptions (CSP)'!$AT$2:$AV$2)/10^9),0)</f>
        <v>0</v>
      </c>
      <c r="BB3700" s="95">
        <f>IF($AX$3539&gt;0,IPMT('Assumptions (CSP)'!$V$7,Model!AA$1,'Assumptions (CSP)'!$V$10,'Assumptions (CSP)'!$V$5*Model!$AX$3539*AVERAGE('Assumptions (CSP)'!$AT$2:$AV$2)/10^9),0)</f>
        <v>0</v>
      </c>
      <c r="BC3700" s="95">
        <f>IF($AX$3539&gt;0,IPMT('Assumptions (CSP)'!$V$7,Model!AB$1,'Assumptions (CSP)'!$V$10,'Assumptions (CSP)'!$V$5*Model!$AX$3539*AVERAGE('Assumptions (CSP)'!$AT$2:$AV$2)/10^9),0)</f>
        <v>0</v>
      </c>
      <c r="BD3700" s="95">
        <f>IF($AX$3539&gt;0,IPMT('Assumptions (CSP)'!$V$7,Model!AC$1,'Assumptions (CSP)'!$V$10,'Assumptions (CSP)'!$V$5*Model!$AX$3539*AVERAGE('Assumptions (CSP)'!$AT$2:$AV$2)/10^9),0)</f>
        <v>0</v>
      </c>
      <c r="BE3700" s="95">
        <f>IF($AX$3539&gt;0,IPMT('Assumptions (CSP)'!$V$7,Model!AD$1,'Assumptions (CSP)'!$V$10,'Assumptions (CSP)'!$V$5*Model!$AX$3539*AVERAGE('Assumptions (CSP)'!$AT$2:$AV$2)/10^9),0)</f>
        <v>0</v>
      </c>
      <c r="BF3700" s="95">
        <f>IF($AX$3539&gt;0,IPMT('Assumptions (CSP)'!$V$7,Model!AE$1,'Assumptions (CSP)'!$V$10,'Assumptions (CSP)'!$V$5*Model!$AX$3539*AVERAGE('Assumptions (CSP)'!$AT$2:$AV$2)/10^9),0)</f>
        <v>0</v>
      </c>
      <c r="BG3700" s="95">
        <f>IF($AX$3539&gt;0,IPMT('Assumptions (CSP)'!$V$7,Model!AF$1,'Assumptions (CSP)'!$V$10,'Assumptions (CSP)'!$V$5*Model!$AX$3539*AVERAGE('Assumptions (CSP)'!$AT$2:$AV$2)/10^9),0)</f>
        <v>0</v>
      </c>
      <c r="BH3700" s="95">
        <f>IF($AX$3539&gt;0,IPMT('Assumptions (CSP)'!$V$7,Model!AG$1,'Assumptions (CSP)'!$V$10,'Assumptions (CSP)'!$V$5*Model!$AX$3539*AVERAGE('Assumptions (CSP)'!$AT$2:$AV$2)/10^9),0)</f>
        <v>0</v>
      </c>
      <c r="BI3700" s="95">
        <f>IF($AX$3539&gt;0,IPMT('Assumptions (CSP)'!$V$7,Model!AH$1,'Assumptions (CSP)'!$V$10,'Assumptions (CSP)'!$V$5*Model!$AX$3539*AVERAGE('Assumptions (CSP)'!$AT$2:$AV$2)/10^9),0)</f>
        <v>0</v>
      </c>
      <c r="BJ3700" s="95">
        <f>IF($AX$3539&gt;0,IPMT('Assumptions (CSP)'!$V$7,Model!AI$1,'Assumptions (CSP)'!$V$10,'Assumptions (CSP)'!$V$5*Model!$AX$3539*AVERAGE('Assumptions (CSP)'!$AT$2:$AV$2)/10^9),0)</f>
        <v>0</v>
      </c>
      <c r="BK3700" s="95">
        <f>IF($AX$3539&gt;0,IPMT('Assumptions (CSP)'!$V$7,Model!AJ$1,'Assumptions (CSP)'!$V$10,'Assumptions (CSP)'!$V$5*Model!$AX$3539*AVERAGE('Assumptions (CSP)'!$AT$2:$AV$2)/10^9),0)</f>
        <v>0</v>
      </c>
      <c r="BL3700" s="95">
        <f>IF($AX$3539&gt;0,IPMT('Assumptions (CSP)'!$V$7,Model!AK$1,'Assumptions (CSP)'!$V$10,'Assumptions (CSP)'!$V$5*Model!$AX$3539*AVERAGE('Assumptions (CSP)'!$AT$2:$AV$2)/10^9),0)</f>
        <v>0</v>
      </c>
    </row>
    <row r="3701" ht="15.75" hidden="1" customHeight="1">
      <c r="A3701" s="395"/>
      <c r="B3701" s="24"/>
      <c r="C3701" s="95"/>
      <c r="D3701" s="95"/>
      <c r="E3701" s="95"/>
      <c r="F3701" s="95"/>
      <c r="G3701" s="95"/>
      <c r="H3701" s="95"/>
      <c r="I3701" s="95"/>
      <c r="J3701" s="95"/>
      <c r="K3701" s="95"/>
      <c r="L3701" s="95"/>
      <c r="M3701" s="95"/>
      <c r="N3701" s="95"/>
      <c r="O3701" s="95"/>
      <c r="P3701" s="95"/>
      <c r="Q3701" s="95"/>
      <c r="R3701" s="95"/>
      <c r="S3701" s="95"/>
      <c r="T3701" s="95"/>
      <c r="U3701" s="95"/>
      <c r="V3701" s="95"/>
      <c r="W3701" s="95"/>
      <c r="X3701" s="95"/>
      <c r="Y3701" s="95"/>
      <c r="Z3701" s="95"/>
      <c r="AA3701" s="95"/>
      <c r="AB3701" s="95"/>
      <c r="AC3701" s="95"/>
      <c r="AD3701" s="95"/>
      <c r="AE3701" s="95"/>
      <c r="AF3701" s="95"/>
      <c r="AG3701" s="95"/>
      <c r="AH3701" s="95"/>
      <c r="AI3701" s="95"/>
      <c r="AJ3701" s="95"/>
      <c r="AK3701" s="95"/>
      <c r="AL3701" s="95"/>
      <c r="AM3701" s="95"/>
      <c r="AN3701" s="95"/>
      <c r="AO3701" s="95"/>
      <c r="AP3701" s="95"/>
      <c r="AQ3701" s="95"/>
      <c r="AR3701" s="95"/>
      <c r="AS3701" s="95"/>
      <c r="AT3701" s="95"/>
      <c r="AU3701" s="95"/>
      <c r="AV3701" s="95"/>
      <c r="AW3701" s="95"/>
      <c r="AX3701" s="95"/>
      <c r="AY3701" s="95">
        <f>IF($AY$3539&gt;0,IPMT('Assumptions (CSP)'!$V$7,Model!W$1,'Assumptions (CSP)'!$V$10,'Assumptions (CSP)'!$V$5*Model!$AY$3539*AVERAGE('Assumptions (CSP)'!$AU$2:$AW$2)/10^9),0)</f>
        <v>0</v>
      </c>
      <c r="AZ3701" s="95">
        <f>IF($AY$3539&gt;0,IPMT('Assumptions (CSP)'!$V$7,Model!X$1,'Assumptions (CSP)'!$V$10,'Assumptions (CSP)'!$V$5*Model!$AY$3539*AVERAGE('Assumptions (CSP)'!$AU$2:$AW$2)/10^9),0)</f>
        <v>0</v>
      </c>
      <c r="BA3701" s="95">
        <f>IF($AY$3539&gt;0,IPMT('Assumptions (CSP)'!$V$7,Model!Y$1,'Assumptions (CSP)'!$V$10,'Assumptions (CSP)'!$V$5*Model!$AY$3539*AVERAGE('Assumptions (CSP)'!$AU$2:$AW$2)/10^9),0)</f>
        <v>0</v>
      </c>
      <c r="BB3701" s="95">
        <f>IF($AY$3539&gt;0,IPMT('Assumptions (CSP)'!$V$7,Model!Z$1,'Assumptions (CSP)'!$V$10,'Assumptions (CSP)'!$V$5*Model!$AY$3539*AVERAGE('Assumptions (CSP)'!$AU$2:$AW$2)/10^9),0)</f>
        <v>0</v>
      </c>
      <c r="BC3701" s="95">
        <f>IF($AY$3539&gt;0,IPMT('Assumptions (CSP)'!$V$7,Model!AA$1,'Assumptions (CSP)'!$V$10,'Assumptions (CSP)'!$V$5*Model!$AY$3539*AVERAGE('Assumptions (CSP)'!$AU$2:$AW$2)/10^9),0)</f>
        <v>0</v>
      </c>
      <c r="BD3701" s="95">
        <f>IF($AY$3539&gt;0,IPMT('Assumptions (CSP)'!$V$7,Model!AB$1,'Assumptions (CSP)'!$V$10,'Assumptions (CSP)'!$V$5*Model!$AY$3539*AVERAGE('Assumptions (CSP)'!$AU$2:$AW$2)/10^9),0)</f>
        <v>0</v>
      </c>
      <c r="BE3701" s="95">
        <f>IF($AY$3539&gt;0,IPMT('Assumptions (CSP)'!$V$7,Model!AC$1,'Assumptions (CSP)'!$V$10,'Assumptions (CSP)'!$V$5*Model!$AY$3539*AVERAGE('Assumptions (CSP)'!$AU$2:$AW$2)/10^9),0)</f>
        <v>0</v>
      </c>
      <c r="BF3701" s="95">
        <f>IF($AY$3539&gt;0,IPMT('Assumptions (CSP)'!$V$7,Model!AD$1,'Assumptions (CSP)'!$V$10,'Assumptions (CSP)'!$V$5*Model!$AY$3539*AVERAGE('Assumptions (CSP)'!$AU$2:$AW$2)/10^9),0)</f>
        <v>0</v>
      </c>
      <c r="BG3701" s="95">
        <f>IF($AY$3539&gt;0,IPMT('Assumptions (CSP)'!$V$7,Model!AE$1,'Assumptions (CSP)'!$V$10,'Assumptions (CSP)'!$V$5*Model!$AY$3539*AVERAGE('Assumptions (CSP)'!$AU$2:$AW$2)/10^9),0)</f>
        <v>0</v>
      </c>
      <c r="BH3701" s="95">
        <f>IF($AY$3539&gt;0,IPMT('Assumptions (CSP)'!$V$7,Model!AF$1,'Assumptions (CSP)'!$V$10,'Assumptions (CSP)'!$V$5*Model!$AY$3539*AVERAGE('Assumptions (CSP)'!$AU$2:$AW$2)/10^9),0)</f>
        <v>0</v>
      </c>
      <c r="BI3701" s="95">
        <f>IF($AY$3539&gt;0,IPMT('Assumptions (CSP)'!$V$7,Model!AG$1,'Assumptions (CSP)'!$V$10,'Assumptions (CSP)'!$V$5*Model!$AY$3539*AVERAGE('Assumptions (CSP)'!$AU$2:$AW$2)/10^9),0)</f>
        <v>0</v>
      </c>
      <c r="BJ3701" s="95">
        <f>IF($AY$3539&gt;0,IPMT('Assumptions (CSP)'!$V$7,Model!AH$1,'Assumptions (CSP)'!$V$10,'Assumptions (CSP)'!$V$5*Model!$AY$3539*AVERAGE('Assumptions (CSP)'!$AU$2:$AW$2)/10^9),0)</f>
        <v>0</v>
      </c>
      <c r="BK3701" s="95">
        <f>IF($AY$3539&gt;0,IPMT('Assumptions (CSP)'!$V$7,Model!AI$1,'Assumptions (CSP)'!$V$10,'Assumptions (CSP)'!$V$5*Model!$AY$3539*AVERAGE('Assumptions (CSP)'!$AU$2:$AW$2)/10^9),0)</f>
        <v>0</v>
      </c>
      <c r="BL3701" s="95">
        <f>IF($AY$3539&gt;0,IPMT('Assumptions (CSP)'!$V$7,Model!AJ$1,'Assumptions (CSP)'!$V$10,'Assumptions (CSP)'!$V$5*Model!$AY$3539*AVERAGE('Assumptions (CSP)'!$AU$2:$AW$2)/10^9),0)</f>
        <v>0</v>
      </c>
      <c r="BM3701" s="95">
        <f>IF($AY$3539&gt;0,IPMT('Assumptions (CSP)'!$V$7,Model!AK$1,'Assumptions (CSP)'!$V$10,'Assumptions (CSP)'!$V$5*Model!$AY$3539*AVERAGE('Assumptions (CSP)'!$AU$2:$AW$2)/10^9),0)</f>
        <v>0</v>
      </c>
    </row>
    <row r="3702" ht="15.75" hidden="1" customHeight="1">
      <c r="A3702" s="395"/>
      <c r="B3702" s="24"/>
      <c r="C3702" s="95"/>
      <c r="D3702" s="95"/>
      <c r="E3702" s="95"/>
      <c r="F3702" s="95"/>
      <c r="G3702" s="95"/>
      <c r="H3702" s="95"/>
      <c r="I3702" s="95"/>
      <c r="J3702" s="95"/>
      <c r="K3702" s="95"/>
      <c r="L3702" s="95"/>
      <c r="M3702" s="95"/>
      <c r="N3702" s="95"/>
      <c r="O3702" s="95"/>
      <c r="P3702" s="95"/>
      <c r="Q3702" s="95"/>
      <c r="R3702" s="95"/>
      <c r="S3702" s="95"/>
      <c r="T3702" s="95"/>
      <c r="U3702" s="95"/>
      <c r="V3702" s="95"/>
      <c r="W3702" s="95"/>
      <c r="X3702" s="95"/>
      <c r="Y3702" s="95"/>
      <c r="Z3702" s="95"/>
      <c r="AA3702" s="95"/>
      <c r="AB3702" s="95"/>
      <c r="AC3702" s="95"/>
      <c r="AD3702" s="95"/>
      <c r="AE3702" s="95"/>
      <c r="AF3702" s="95"/>
      <c r="AG3702" s="95"/>
      <c r="AH3702" s="95"/>
      <c r="AI3702" s="95"/>
      <c r="AJ3702" s="95"/>
      <c r="AK3702" s="95"/>
      <c r="AL3702" s="95"/>
      <c r="AM3702" s="95"/>
      <c r="AN3702" s="95"/>
      <c r="AO3702" s="95"/>
      <c r="AP3702" s="95"/>
      <c r="AQ3702" s="95"/>
      <c r="AR3702" s="95"/>
      <c r="AS3702" s="95"/>
      <c r="AT3702" s="95"/>
      <c r="AU3702" s="95"/>
      <c r="AV3702" s="95"/>
      <c r="AW3702" s="95"/>
      <c r="AX3702" s="95"/>
      <c r="AY3702" s="95"/>
      <c r="AZ3702" s="95">
        <f>IF($AZ$3539&gt;0,IPMT('Assumptions (CSP)'!$V$7,Model!W$1,'Assumptions (CSP)'!$V$10,'Assumptions (CSP)'!$V$5*Model!$AZ$3539*AVERAGE('Assumptions (CSP)'!$AV$2:$AX$2)/10^9),0)</f>
        <v>0</v>
      </c>
      <c r="BA3702" s="95">
        <f>IF($AZ$3539&gt;0,IPMT('Assumptions (CSP)'!$V$7,Model!X$1,'Assumptions (CSP)'!$V$10,'Assumptions (CSP)'!$V$5*Model!$AZ$3539*AVERAGE('Assumptions (CSP)'!$AV$2:$AX$2)/10^9),0)</f>
        <v>0</v>
      </c>
      <c r="BB3702" s="95">
        <f>IF($AZ$3539&gt;0,IPMT('Assumptions (CSP)'!$V$7,Model!Y$1,'Assumptions (CSP)'!$V$10,'Assumptions (CSP)'!$V$5*Model!$AZ$3539*AVERAGE('Assumptions (CSP)'!$AV$2:$AX$2)/10^9),0)</f>
        <v>0</v>
      </c>
      <c r="BC3702" s="95">
        <f>IF($AZ$3539&gt;0,IPMT('Assumptions (CSP)'!$V$7,Model!Z$1,'Assumptions (CSP)'!$V$10,'Assumptions (CSP)'!$V$5*Model!$AZ$3539*AVERAGE('Assumptions (CSP)'!$AV$2:$AX$2)/10^9),0)</f>
        <v>0</v>
      </c>
      <c r="BD3702" s="95">
        <f>IF($AZ$3539&gt;0,IPMT('Assumptions (CSP)'!$V$7,Model!AA$1,'Assumptions (CSP)'!$V$10,'Assumptions (CSP)'!$V$5*Model!$AZ$3539*AVERAGE('Assumptions (CSP)'!$AV$2:$AX$2)/10^9),0)</f>
        <v>0</v>
      </c>
      <c r="BE3702" s="95">
        <f>IF($AZ$3539&gt;0,IPMT('Assumptions (CSP)'!$V$7,Model!AB$1,'Assumptions (CSP)'!$V$10,'Assumptions (CSP)'!$V$5*Model!$AZ$3539*AVERAGE('Assumptions (CSP)'!$AV$2:$AX$2)/10^9),0)</f>
        <v>0</v>
      </c>
      <c r="BF3702" s="95">
        <f>IF($AZ$3539&gt;0,IPMT('Assumptions (CSP)'!$V$7,Model!AC$1,'Assumptions (CSP)'!$V$10,'Assumptions (CSP)'!$V$5*Model!$AZ$3539*AVERAGE('Assumptions (CSP)'!$AV$2:$AX$2)/10^9),0)</f>
        <v>0</v>
      </c>
      <c r="BG3702" s="95">
        <f>IF($AZ$3539&gt;0,IPMT('Assumptions (CSP)'!$V$7,Model!AD$1,'Assumptions (CSP)'!$V$10,'Assumptions (CSP)'!$V$5*Model!$AZ$3539*AVERAGE('Assumptions (CSP)'!$AV$2:$AX$2)/10^9),0)</f>
        <v>0</v>
      </c>
      <c r="BH3702" s="95">
        <f>IF($AZ$3539&gt;0,IPMT('Assumptions (CSP)'!$V$7,Model!AE$1,'Assumptions (CSP)'!$V$10,'Assumptions (CSP)'!$V$5*Model!$AZ$3539*AVERAGE('Assumptions (CSP)'!$AV$2:$AX$2)/10^9),0)</f>
        <v>0</v>
      </c>
      <c r="BI3702" s="95">
        <f>IF($AZ$3539&gt;0,IPMT('Assumptions (CSP)'!$V$7,Model!AF$1,'Assumptions (CSP)'!$V$10,'Assumptions (CSP)'!$V$5*Model!$AZ$3539*AVERAGE('Assumptions (CSP)'!$AV$2:$AX$2)/10^9),0)</f>
        <v>0</v>
      </c>
      <c r="BJ3702" s="95">
        <f>IF($AZ$3539&gt;0,IPMT('Assumptions (CSP)'!$V$7,Model!AG$1,'Assumptions (CSP)'!$V$10,'Assumptions (CSP)'!$V$5*Model!$AZ$3539*AVERAGE('Assumptions (CSP)'!$AV$2:$AX$2)/10^9),0)</f>
        <v>0</v>
      </c>
      <c r="BK3702" s="95">
        <f>IF($AZ$3539&gt;0,IPMT('Assumptions (CSP)'!$V$7,Model!AH$1,'Assumptions (CSP)'!$V$10,'Assumptions (CSP)'!$V$5*Model!$AZ$3539*AVERAGE('Assumptions (CSP)'!$AV$2:$AX$2)/10^9),0)</f>
        <v>0</v>
      </c>
      <c r="BL3702" s="95">
        <f>IF($AZ$3539&gt;0,IPMT('Assumptions (CSP)'!$V$7,Model!AI$1,'Assumptions (CSP)'!$V$10,'Assumptions (CSP)'!$V$5*Model!$AZ$3539*AVERAGE('Assumptions (CSP)'!$AV$2:$AX$2)/10^9),0)</f>
        <v>0</v>
      </c>
      <c r="BM3702" s="95">
        <f>IF($AZ$3539&gt;0,IPMT('Assumptions (CSP)'!$V$7,Model!AJ$1,'Assumptions (CSP)'!$V$10,'Assumptions (CSP)'!$V$5*Model!$AZ$3539*AVERAGE('Assumptions (CSP)'!$AV$2:$AX$2)/10^9),0)</f>
        <v>0</v>
      </c>
      <c r="BN3702" s="95">
        <f>IF($AZ$3539&gt;0,IPMT('Assumptions (CSP)'!$V$7,Model!AK$1,'Assumptions (CSP)'!$V$10,'Assumptions (CSP)'!$V$5*Model!$AZ$3539*AVERAGE('Assumptions (CSP)'!$AV$2:$AX$2)/10^9),0)</f>
        <v>0</v>
      </c>
    </row>
    <row r="3703" ht="15.75" hidden="1" customHeight="1">
      <c r="A3703" s="395"/>
      <c r="B3703" s="24"/>
      <c r="C3703" s="95"/>
      <c r="D3703" s="95"/>
      <c r="E3703" s="95"/>
      <c r="F3703" s="95"/>
      <c r="G3703" s="95"/>
      <c r="H3703" s="95"/>
      <c r="I3703" s="95"/>
      <c r="J3703" s="95"/>
      <c r="K3703" s="95"/>
      <c r="L3703" s="95"/>
      <c r="M3703" s="95"/>
      <c r="N3703" s="95"/>
      <c r="O3703" s="95"/>
      <c r="P3703" s="95"/>
      <c r="Q3703" s="95"/>
      <c r="R3703" s="95"/>
      <c r="S3703" s="95"/>
      <c r="T3703" s="95"/>
      <c r="U3703" s="95"/>
      <c r="V3703" s="95"/>
      <c r="W3703" s="95"/>
      <c r="X3703" s="95"/>
      <c r="Y3703" s="95"/>
      <c r="Z3703" s="95"/>
      <c r="AA3703" s="95"/>
      <c r="AB3703" s="95"/>
      <c r="AC3703" s="95"/>
      <c r="AD3703" s="95"/>
      <c r="AE3703" s="95"/>
      <c r="AF3703" s="95"/>
      <c r="AG3703" s="95"/>
      <c r="AH3703" s="95"/>
      <c r="AI3703" s="95"/>
      <c r="AJ3703" s="95"/>
      <c r="AK3703" s="95"/>
      <c r="AL3703" s="95"/>
      <c r="AM3703" s="95"/>
      <c r="AN3703" s="95"/>
      <c r="AO3703" s="95"/>
      <c r="AP3703" s="95"/>
      <c r="AQ3703" s="95"/>
      <c r="AR3703" s="95"/>
      <c r="AS3703" s="95"/>
      <c r="AT3703" s="95"/>
      <c r="AU3703" s="95"/>
      <c r="AV3703" s="95"/>
      <c r="AW3703" s="95"/>
      <c r="AX3703" s="95"/>
      <c r="AY3703" s="95"/>
      <c r="AZ3703" s="95"/>
      <c r="BA3703" s="95">
        <f>IF($BA$3539&gt;0,IPMT('Assumptions (CSP)'!$V$7,Model!W$1,'Assumptions (CSP)'!$V$10,'Assumptions (CSP)'!$V$5*Model!$BA$3539*AVERAGE('Assumptions (CSP)'!$AW$2:$AY$2)/10^9),0)</f>
        <v>0</v>
      </c>
      <c r="BB3703" s="95">
        <f>IF($BA$3539&gt;0,IPMT('Assumptions (CSP)'!$V$7,Model!X$1,'Assumptions (CSP)'!$V$10,'Assumptions (CSP)'!$V$5*Model!$BA$3539*AVERAGE('Assumptions (CSP)'!$AW$2:$AY$2)/10^9),0)</f>
        <v>0</v>
      </c>
      <c r="BC3703" s="95">
        <f>IF($BA$3539&gt;0,IPMT('Assumptions (CSP)'!$V$7,Model!Y$1,'Assumptions (CSP)'!$V$10,'Assumptions (CSP)'!$V$5*Model!$BA$3539*AVERAGE('Assumptions (CSP)'!$AW$2:$AY$2)/10^9),0)</f>
        <v>0</v>
      </c>
      <c r="BD3703" s="95">
        <f>IF($BA$3539&gt;0,IPMT('Assumptions (CSP)'!$V$7,Model!Z$1,'Assumptions (CSP)'!$V$10,'Assumptions (CSP)'!$V$5*Model!$BA$3539*AVERAGE('Assumptions (CSP)'!$AW$2:$AY$2)/10^9),0)</f>
        <v>0</v>
      </c>
      <c r="BE3703" s="95">
        <f>IF($BA$3539&gt;0,IPMT('Assumptions (CSP)'!$V$7,Model!AA$1,'Assumptions (CSP)'!$V$10,'Assumptions (CSP)'!$V$5*Model!$BA$3539*AVERAGE('Assumptions (CSP)'!$AW$2:$AY$2)/10^9),0)</f>
        <v>0</v>
      </c>
      <c r="BF3703" s="95">
        <f>IF($BA$3539&gt;0,IPMT('Assumptions (CSP)'!$V$7,Model!AB$1,'Assumptions (CSP)'!$V$10,'Assumptions (CSP)'!$V$5*Model!$BA$3539*AVERAGE('Assumptions (CSP)'!$AW$2:$AY$2)/10^9),0)</f>
        <v>0</v>
      </c>
      <c r="BG3703" s="95">
        <f>IF($BA$3539&gt;0,IPMT('Assumptions (CSP)'!$V$7,Model!AC$1,'Assumptions (CSP)'!$V$10,'Assumptions (CSP)'!$V$5*Model!$BA$3539*AVERAGE('Assumptions (CSP)'!$AW$2:$AY$2)/10^9),0)</f>
        <v>0</v>
      </c>
      <c r="BH3703" s="95">
        <f>IF($BA$3539&gt;0,IPMT('Assumptions (CSP)'!$V$7,Model!AD$1,'Assumptions (CSP)'!$V$10,'Assumptions (CSP)'!$V$5*Model!$BA$3539*AVERAGE('Assumptions (CSP)'!$AW$2:$AY$2)/10^9),0)</f>
        <v>0</v>
      </c>
      <c r="BI3703" s="95">
        <f>IF($BA$3539&gt;0,IPMT('Assumptions (CSP)'!$V$7,Model!AE$1,'Assumptions (CSP)'!$V$10,'Assumptions (CSP)'!$V$5*Model!$BA$3539*AVERAGE('Assumptions (CSP)'!$AW$2:$AY$2)/10^9),0)</f>
        <v>0</v>
      </c>
      <c r="BJ3703" s="95">
        <f>IF($BA$3539&gt;0,IPMT('Assumptions (CSP)'!$V$7,Model!AF$1,'Assumptions (CSP)'!$V$10,'Assumptions (CSP)'!$V$5*Model!$BA$3539*AVERAGE('Assumptions (CSP)'!$AW$2:$AY$2)/10^9),0)</f>
        <v>0</v>
      </c>
      <c r="BK3703" s="95">
        <f>IF($BA$3539&gt;0,IPMT('Assumptions (CSP)'!$V$7,Model!AG$1,'Assumptions (CSP)'!$V$10,'Assumptions (CSP)'!$V$5*Model!$BA$3539*AVERAGE('Assumptions (CSP)'!$AW$2:$AY$2)/10^9),0)</f>
        <v>0</v>
      </c>
      <c r="BL3703" s="95">
        <f>IF($BA$3539&gt;0,IPMT('Assumptions (CSP)'!$V$7,Model!AH$1,'Assumptions (CSP)'!$V$10,'Assumptions (CSP)'!$V$5*Model!$BA$3539*AVERAGE('Assumptions (CSP)'!$AW$2:$AY$2)/10^9),0)</f>
        <v>0</v>
      </c>
      <c r="BM3703" s="95">
        <f>IF($BA$3539&gt;0,IPMT('Assumptions (CSP)'!$V$7,Model!AI$1,'Assumptions (CSP)'!$V$10,'Assumptions (CSP)'!$V$5*Model!$BA$3539*AVERAGE('Assumptions (CSP)'!$AW$2:$AY$2)/10^9),0)</f>
        <v>0</v>
      </c>
      <c r="BN3703" s="95">
        <f>IF($BA$3539&gt;0,IPMT('Assumptions (CSP)'!$V$7,Model!AJ$1,'Assumptions (CSP)'!$V$10,'Assumptions (CSP)'!$V$5*Model!$BA$3539*AVERAGE('Assumptions (CSP)'!$AW$2:$AY$2)/10^9),0)</f>
        <v>0</v>
      </c>
      <c r="BO3703" s="95">
        <f>IF($BA$3539&gt;0,IPMT('Assumptions (CSP)'!$V$7,Model!AK$1,'Assumptions (CSP)'!$V$10,'Assumptions (CSP)'!$V$5*Model!$BA$3539*AVERAGE('Assumptions (CSP)'!$AW$2:$AY$2)/10^9),0)</f>
        <v>0</v>
      </c>
    </row>
    <row r="3704" ht="15.75" customHeight="1">
      <c r="A3704" s="395" t="s">
        <v>361</v>
      </c>
      <c r="B3704" s="150" t="s">
        <v>351</v>
      </c>
      <c r="C3704" s="218">
        <f t="shared" ref="C3704:BA3704" si="107">SUM(C3705:C3757)</f>
        <v>0</v>
      </c>
      <c r="D3704" s="218">
        <f t="shared" si="107"/>
        <v>0</v>
      </c>
      <c r="E3704" s="218">
        <f t="shared" si="107"/>
        <v>0</v>
      </c>
      <c r="F3704" s="218">
        <f t="shared" si="107"/>
        <v>0</v>
      </c>
      <c r="G3704" s="218">
        <f t="shared" si="107"/>
        <v>0</v>
      </c>
      <c r="H3704" s="218">
        <f t="shared" si="107"/>
        <v>0</v>
      </c>
      <c r="I3704" s="218">
        <f t="shared" si="107"/>
        <v>0</v>
      </c>
      <c r="J3704" s="218">
        <f t="shared" si="107"/>
        <v>0</v>
      </c>
      <c r="K3704" s="218">
        <f t="shared" si="107"/>
        <v>0</v>
      </c>
      <c r="L3704" s="218">
        <f t="shared" si="107"/>
        <v>0</v>
      </c>
      <c r="M3704" s="218">
        <f t="shared" si="107"/>
        <v>0</v>
      </c>
      <c r="N3704" s="218">
        <f t="shared" si="107"/>
        <v>0</v>
      </c>
      <c r="O3704" s="218">
        <f t="shared" si="107"/>
        <v>0</v>
      </c>
      <c r="P3704" s="218">
        <f t="shared" si="107"/>
        <v>0</v>
      </c>
      <c r="Q3704" s="218">
        <f t="shared" si="107"/>
        <v>0</v>
      </c>
      <c r="R3704" s="218">
        <f t="shared" si="107"/>
        <v>0</v>
      </c>
      <c r="S3704" s="218">
        <f t="shared" si="107"/>
        <v>0</v>
      </c>
      <c r="T3704" s="218">
        <f t="shared" si="107"/>
        <v>0</v>
      </c>
      <c r="U3704" s="218">
        <f t="shared" si="107"/>
        <v>0</v>
      </c>
      <c r="V3704" s="218">
        <f t="shared" si="107"/>
        <v>0</v>
      </c>
      <c r="W3704" s="218">
        <f t="shared" si="107"/>
        <v>0</v>
      </c>
      <c r="X3704" s="218">
        <f t="shared" si="107"/>
        <v>0</v>
      </c>
      <c r="Y3704" s="218">
        <f t="shared" si="107"/>
        <v>0</v>
      </c>
      <c r="Z3704" s="218">
        <f t="shared" si="107"/>
        <v>0</v>
      </c>
      <c r="AA3704" s="218">
        <f t="shared" si="107"/>
        <v>0</v>
      </c>
      <c r="AB3704" s="218">
        <f t="shared" si="107"/>
        <v>0</v>
      </c>
      <c r="AC3704" s="218">
        <f t="shared" si="107"/>
        <v>0</v>
      </c>
      <c r="AD3704" s="218">
        <f t="shared" si="107"/>
        <v>0</v>
      </c>
      <c r="AE3704" s="218">
        <f t="shared" si="107"/>
        <v>0</v>
      </c>
      <c r="AF3704" s="218">
        <f t="shared" si="107"/>
        <v>0</v>
      </c>
      <c r="AG3704" s="218">
        <f t="shared" si="107"/>
        <v>0</v>
      </c>
      <c r="AH3704" s="218">
        <f t="shared" si="107"/>
        <v>0</v>
      </c>
      <c r="AI3704" s="218">
        <f t="shared" si="107"/>
        <v>0</v>
      </c>
      <c r="AJ3704" s="218">
        <f t="shared" si="107"/>
        <v>0</v>
      </c>
      <c r="AK3704" s="218">
        <f t="shared" si="107"/>
        <v>0</v>
      </c>
      <c r="AL3704" s="218">
        <f t="shared" si="107"/>
        <v>0</v>
      </c>
      <c r="AM3704" s="218">
        <f t="shared" si="107"/>
        <v>0</v>
      </c>
      <c r="AN3704" s="218">
        <f t="shared" si="107"/>
        <v>0</v>
      </c>
      <c r="AO3704" s="218">
        <f t="shared" si="107"/>
        <v>0</v>
      </c>
      <c r="AP3704" s="218">
        <f t="shared" si="107"/>
        <v>0</v>
      </c>
      <c r="AQ3704" s="218">
        <f t="shared" si="107"/>
        <v>0</v>
      </c>
      <c r="AR3704" s="218">
        <f t="shared" si="107"/>
        <v>0</v>
      </c>
      <c r="AS3704" s="218">
        <f t="shared" si="107"/>
        <v>0</v>
      </c>
      <c r="AT3704" s="218">
        <f t="shared" si="107"/>
        <v>0</v>
      </c>
      <c r="AU3704" s="218">
        <f t="shared" si="107"/>
        <v>0</v>
      </c>
      <c r="AV3704" s="218">
        <f t="shared" si="107"/>
        <v>0</v>
      </c>
      <c r="AW3704" s="218">
        <f t="shared" si="107"/>
        <v>0</v>
      </c>
      <c r="AX3704" s="218">
        <f t="shared" si="107"/>
        <v>0</v>
      </c>
      <c r="AY3704" s="218">
        <f t="shared" si="107"/>
        <v>0</v>
      </c>
      <c r="AZ3704" s="218">
        <f t="shared" si="107"/>
        <v>0</v>
      </c>
      <c r="BA3704" s="218">
        <f t="shared" si="107"/>
        <v>0</v>
      </c>
      <c r="BB3704" s="218"/>
    </row>
    <row r="3705" ht="15.75" hidden="1" customHeight="1">
      <c r="A3705" s="398"/>
      <c r="B3705" s="38"/>
      <c r="C3705" s="95">
        <f>IF($C$3539&gt;0,'Assumptions (CSP)'!V$11*Model!$C$3539*'Assumptions (CSP)'!$B$2/10^9,0)</f>
        <v>0</v>
      </c>
      <c r="D3705" s="95">
        <f>IF($C$3539&gt;0,'Assumptions (CSP)'!W$11*Model!$C$3539*'Assumptions (CSP)'!$B$2/10^9,0)</f>
        <v>0</v>
      </c>
      <c r="E3705" s="95">
        <f>IF($C$3539&gt;0,'Assumptions (CSP)'!X$11*Model!$C$3539*'Assumptions (CSP)'!$B$2/10^9,0)</f>
        <v>0</v>
      </c>
      <c r="F3705" s="95">
        <f>IF($C$3539&gt;0,'Assumptions (CSP)'!Y$11*Model!$C$3539*'Assumptions (CSP)'!$B$2/10^9,0)</f>
        <v>0</v>
      </c>
      <c r="G3705" s="95">
        <f>IF($C$3539&gt;0,'Assumptions (CSP)'!Z$11*Model!$C$3539*'Assumptions (CSP)'!$B$2/10^9,0)</f>
        <v>0</v>
      </c>
      <c r="H3705" s="95">
        <f>IF($C$3539&gt;0,'Assumptions (CSP)'!AA$11*Model!$C$3539*'Assumptions (CSP)'!$B$2/10^9,0)</f>
        <v>0</v>
      </c>
      <c r="I3705" s="95"/>
      <c r="J3705" s="95"/>
      <c r="K3705" s="95"/>
      <c r="L3705" s="95"/>
      <c r="M3705" s="95"/>
      <c r="N3705" s="95"/>
      <c r="O3705" s="95"/>
      <c r="P3705" s="95"/>
      <c r="Q3705" s="95"/>
      <c r="R3705" s="95"/>
      <c r="S3705" s="95"/>
      <c r="T3705" s="95"/>
      <c r="U3705" s="95"/>
      <c r="V3705" s="95"/>
      <c r="W3705" s="95"/>
      <c r="X3705" s="95"/>
      <c r="Y3705" s="95"/>
      <c r="Z3705" s="95"/>
      <c r="AA3705" s="95"/>
      <c r="AB3705" s="95"/>
      <c r="AC3705" s="95"/>
      <c r="AD3705" s="95"/>
      <c r="AE3705" s="95"/>
      <c r="AF3705" s="95"/>
      <c r="AG3705" s="95"/>
      <c r="AH3705" s="95"/>
      <c r="AI3705" s="95"/>
      <c r="AJ3705" s="95"/>
      <c r="AK3705" s="95"/>
      <c r="AL3705" s="95"/>
      <c r="AM3705" s="95"/>
      <c r="AN3705" s="95"/>
      <c r="AO3705" s="95"/>
      <c r="AP3705" s="95"/>
      <c r="AQ3705" s="95"/>
      <c r="AR3705" s="95"/>
      <c r="AS3705" s="95"/>
      <c r="AT3705" s="95"/>
      <c r="AU3705" s="95"/>
      <c r="AV3705" s="95"/>
      <c r="AW3705" s="95"/>
      <c r="AX3705" s="95"/>
      <c r="AY3705" s="95"/>
      <c r="AZ3705" s="95"/>
      <c r="BA3705" s="95"/>
    </row>
    <row r="3706" ht="15.75" hidden="1" customHeight="1">
      <c r="A3706" s="398"/>
      <c r="B3706" s="38"/>
      <c r="C3706" s="95"/>
      <c r="D3706" s="95">
        <f>IF($D$3539&gt;0,'Assumptions (CSP)'!V$11*Model!$D$3539*'Assumptions (CSP)'!$B$2/10^9,0)</f>
        <v>0</v>
      </c>
      <c r="E3706" s="95">
        <f>IF($D$3539&gt;0,'Assumptions (CSP)'!W$11*Model!$D$3539*'Assumptions (CSP)'!$B$2/10^9,0)</f>
        <v>0</v>
      </c>
      <c r="F3706" s="95">
        <f>IF($D$3539&gt;0,'Assumptions (CSP)'!X$11*Model!$D$3539*'Assumptions (CSP)'!$B$2/10^9,0)</f>
        <v>0</v>
      </c>
      <c r="G3706" s="95">
        <f>IF($D$3539&gt;0,'Assumptions (CSP)'!Y$11*Model!$D$3539*'Assumptions (CSP)'!$B$2/10^9,0)</f>
        <v>0</v>
      </c>
      <c r="H3706" s="95">
        <f>IF($D$3539&gt;0,'Assumptions (CSP)'!Z$11*Model!$D$3539*'Assumptions (CSP)'!$B$2/10^9,0)</f>
        <v>0</v>
      </c>
      <c r="I3706" s="95">
        <f>IF($D$3539&gt;0,'Assumptions (CSP)'!AA$11*Model!$D$3539*'Assumptions (CSP)'!$B$2/10^9,0)</f>
        <v>0</v>
      </c>
      <c r="J3706" s="95"/>
      <c r="K3706" s="95"/>
      <c r="L3706" s="95"/>
      <c r="M3706" s="95"/>
      <c r="N3706" s="95"/>
      <c r="O3706" s="95"/>
      <c r="P3706" s="95"/>
      <c r="Q3706" s="95"/>
      <c r="R3706" s="95"/>
      <c r="S3706" s="95"/>
      <c r="T3706" s="95"/>
      <c r="U3706" s="95"/>
      <c r="V3706" s="95"/>
      <c r="W3706" s="95"/>
      <c r="X3706" s="95"/>
      <c r="Y3706" s="95"/>
      <c r="Z3706" s="95"/>
      <c r="AA3706" s="95"/>
      <c r="AB3706" s="95"/>
      <c r="AC3706" s="95"/>
      <c r="AD3706" s="95"/>
      <c r="AE3706" s="95"/>
      <c r="AF3706" s="95"/>
      <c r="AG3706" s="95"/>
      <c r="AH3706" s="95"/>
      <c r="AI3706" s="95"/>
      <c r="AJ3706" s="95"/>
      <c r="AK3706" s="95"/>
      <c r="AL3706" s="95"/>
      <c r="AM3706" s="95"/>
      <c r="AN3706" s="95"/>
      <c r="AO3706" s="95"/>
      <c r="AP3706" s="95"/>
      <c r="AQ3706" s="95"/>
      <c r="AR3706" s="95"/>
      <c r="AS3706" s="95"/>
      <c r="AT3706" s="95"/>
      <c r="AU3706" s="95"/>
      <c r="AV3706" s="95"/>
      <c r="AW3706" s="95"/>
      <c r="AX3706" s="95"/>
      <c r="AY3706" s="95"/>
      <c r="AZ3706" s="95"/>
      <c r="BA3706" s="95"/>
    </row>
    <row r="3707" ht="15.75" hidden="1" customHeight="1">
      <c r="A3707" s="398"/>
      <c r="B3707" s="38"/>
      <c r="C3707" s="95"/>
      <c r="D3707" s="95"/>
      <c r="E3707" s="95">
        <f>IF($E$3539&gt;0,'Assumptions (CSP)'!V$11*Model!$E$3539*AVERAGE('Assumptions (CSP)'!$B$2:$C$2)/10^9,0)</f>
        <v>0</v>
      </c>
      <c r="F3707" s="95">
        <f>IF($E$3539&gt;0,'Assumptions (CSP)'!W$11*Model!$E$3539*AVERAGE('Assumptions (CSP)'!$B$2:$C$2)/10^9,0)</f>
        <v>0</v>
      </c>
      <c r="G3707" s="95">
        <f>IF($E$3539&gt;0,'Assumptions (CSP)'!X$11*Model!$E$3539*AVERAGE('Assumptions (CSP)'!$B$2:$C$2)/10^9,0)</f>
        <v>0</v>
      </c>
      <c r="H3707" s="95">
        <f>IF($E$3539&gt;0,'Assumptions (CSP)'!Y$11*Model!$E$3539*AVERAGE('Assumptions (CSP)'!$B$2:$C$2)/10^9,0)</f>
        <v>0</v>
      </c>
      <c r="I3707" s="95">
        <f>IF($E$3539&gt;0,'Assumptions (CSP)'!Z$11*Model!$E$3539*AVERAGE('Assumptions (CSP)'!$B$2:$C$2)/10^9,0)</f>
        <v>0</v>
      </c>
      <c r="J3707" s="95">
        <f>IF($E$3539&gt;0,'Assumptions (CSP)'!AA$11*Model!$E$3539*AVERAGE('Assumptions (CSP)'!$B$2:$C$2)/10^9,0)</f>
        <v>0</v>
      </c>
      <c r="K3707" s="95"/>
      <c r="L3707" s="95"/>
      <c r="M3707" s="95"/>
      <c r="N3707" s="95"/>
      <c r="O3707" s="95"/>
      <c r="P3707" s="95"/>
      <c r="Q3707" s="95"/>
      <c r="R3707" s="95"/>
      <c r="S3707" s="95"/>
      <c r="T3707" s="95"/>
      <c r="U3707" s="95"/>
      <c r="V3707" s="95"/>
      <c r="W3707" s="95"/>
      <c r="X3707" s="95"/>
      <c r="Y3707" s="95"/>
      <c r="Z3707" s="95"/>
      <c r="AA3707" s="95"/>
      <c r="AB3707" s="95"/>
      <c r="AC3707" s="95"/>
      <c r="AD3707" s="95"/>
      <c r="AE3707" s="95"/>
      <c r="AF3707" s="95"/>
      <c r="AG3707" s="95"/>
      <c r="AH3707" s="95"/>
      <c r="AI3707" s="95"/>
      <c r="AJ3707" s="95"/>
      <c r="AK3707" s="95"/>
      <c r="AL3707" s="95"/>
      <c r="AM3707" s="95"/>
      <c r="AN3707" s="95"/>
      <c r="AO3707" s="95"/>
      <c r="AP3707" s="95"/>
      <c r="AQ3707" s="95"/>
      <c r="AR3707" s="95"/>
      <c r="AS3707" s="95"/>
      <c r="AT3707" s="95"/>
      <c r="AU3707" s="95"/>
      <c r="AV3707" s="95"/>
      <c r="AW3707" s="95"/>
      <c r="AX3707" s="95"/>
      <c r="AY3707" s="95"/>
      <c r="AZ3707" s="95"/>
      <c r="BA3707" s="95"/>
    </row>
    <row r="3708" ht="15.75" hidden="1" customHeight="1">
      <c r="A3708" s="398"/>
      <c r="B3708" s="38"/>
      <c r="C3708" s="95"/>
      <c r="D3708" s="95"/>
      <c r="E3708" s="95"/>
      <c r="F3708" s="95">
        <f>IF($F$3539&gt;0,'Assumptions (CSP)'!V$11*Model!$F$3539*AVERAGE('Assumptions (CSP)'!$B$2:$D$2)/10^9,0)</f>
        <v>0</v>
      </c>
      <c r="G3708" s="95">
        <f>IF($F$3539&gt;0,'Assumptions (CSP)'!W$11*Model!$F$3539*AVERAGE('Assumptions (CSP)'!$B$2:$D$2)/10^9,0)</f>
        <v>0</v>
      </c>
      <c r="H3708" s="95">
        <f>IF($F$3539&gt;0,'Assumptions (CSP)'!X$11*Model!$F$3539*AVERAGE('Assumptions (CSP)'!$B$2:$D$2)/10^9,0)</f>
        <v>0</v>
      </c>
      <c r="I3708" s="95">
        <f>IF($F$3539&gt;0,'Assumptions (CSP)'!Y$11*Model!$F$3539*AVERAGE('Assumptions (CSP)'!$B$2:$D$2)/10^9,0)</f>
        <v>0</v>
      </c>
      <c r="J3708" s="95">
        <f>IF($F$3539&gt;0,'Assumptions (CSP)'!Z$11*Model!$F$3539*AVERAGE('Assumptions (CSP)'!$B$2:$D$2)/10^9,0)</f>
        <v>0</v>
      </c>
      <c r="K3708" s="95">
        <f>IF($F$3539&gt;0,'Assumptions (CSP)'!AA$11*Model!$F$3539*AVERAGE('Assumptions (CSP)'!$B$2:$D$2)/10^9,0)</f>
        <v>0</v>
      </c>
      <c r="L3708" s="95"/>
      <c r="M3708" s="95"/>
      <c r="N3708" s="95"/>
      <c r="O3708" s="95"/>
      <c r="P3708" s="95"/>
      <c r="Q3708" s="95"/>
      <c r="R3708" s="95"/>
      <c r="S3708" s="95"/>
      <c r="T3708" s="95"/>
      <c r="U3708" s="95"/>
      <c r="V3708" s="95"/>
      <c r="W3708" s="95"/>
      <c r="X3708" s="95"/>
      <c r="Y3708" s="95"/>
      <c r="Z3708" s="95"/>
      <c r="AA3708" s="95"/>
      <c r="AB3708" s="95"/>
      <c r="AC3708" s="95"/>
      <c r="AD3708" s="95"/>
      <c r="AE3708" s="95"/>
      <c r="AF3708" s="95"/>
      <c r="AG3708" s="95"/>
      <c r="AH3708" s="95"/>
      <c r="AI3708" s="95"/>
      <c r="AJ3708" s="95"/>
      <c r="AK3708" s="95"/>
      <c r="AL3708" s="95"/>
      <c r="AM3708" s="95"/>
      <c r="AN3708" s="95"/>
      <c r="AO3708" s="95"/>
      <c r="AP3708" s="95"/>
      <c r="AQ3708" s="95"/>
      <c r="AR3708" s="95"/>
      <c r="AS3708" s="95"/>
      <c r="AT3708" s="95"/>
      <c r="AU3708" s="95"/>
      <c r="AV3708" s="95"/>
      <c r="AW3708" s="95"/>
      <c r="AX3708" s="95"/>
      <c r="AY3708" s="95"/>
      <c r="AZ3708" s="95"/>
      <c r="BA3708" s="95"/>
    </row>
    <row r="3709" ht="15.75" hidden="1" customHeight="1">
      <c r="A3709" s="398"/>
      <c r="B3709" s="38"/>
      <c r="C3709" s="95"/>
      <c r="D3709" s="95"/>
      <c r="E3709" s="95"/>
      <c r="F3709" s="95"/>
      <c r="G3709" s="95">
        <f>IF($G$3539&gt;0,'Assumptions (CSP)'!V$11*Model!$G$3539*AVERAGE('Assumptions (CSP)'!$C$2:$E$2)/10^9,0)</f>
        <v>0</v>
      </c>
      <c r="H3709" s="95">
        <f>IF($G$3539&gt;0,'Assumptions (CSP)'!W$11*Model!$G$3539*AVERAGE('Assumptions (CSP)'!$C$2:$E$2)/10^9,0)</f>
        <v>0</v>
      </c>
      <c r="I3709" s="95">
        <f>IF($G$3539&gt;0,'Assumptions (CSP)'!X$11*Model!$G$3539*AVERAGE('Assumptions (CSP)'!$C$2:$E$2)/10^9,0)</f>
        <v>0</v>
      </c>
      <c r="J3709" s="95">
        <f>IF($G$3539&gt;0,'Assumptions (CSP)'!Y$11*Model!$G$3539*AVERAGE('Assumptions (CSP)'!$C$2:$E$2)/10^9,0)</f>
        <v>0</v>
      </c>
      <c r="K3709" s="95">
        <f>IF($G$3539&gt;0,'Assumptions (CSP)'!Z$11*Model!$G$3539*AVERAGE('Assumptions (CSP)'!$C$2:$E$2)/10^9,0)</f>
        <v>0</v>
      </c>
      <c r="L3709" s="95">
        <f>IF($G$3539&gt;0,'Assumptions (CSP)'!AA$11*Model!$G$3539*AVERAGE('Assumptions (CSP)'!$C$2:$E$2)/10^9,0)</f>
        <v>0</v>
      </c>
      <c r="M3709" s="95"/>
      <c r="N3709" s="95"/>
      <c r="O3709" s="95"/>
      <c r="P3709" s="95"/>
      <c r="Q3709" s="95"/>
      <c r="R3709" s="95"/>
      <c r="S3709" s="95"/>
      <c r="T3709" s="95"/>
      <c r="U3709" s="95"/>
      <c r="V3709" s="95"/>
      <c r="W3709" s="95"/>
      <c r="X3709" s="95"/>
      <c r="Y3709" s="95"/>
      <c r="Z3709" s="95"/>
      <c r="AA3709" s="95"/>
      <c r="AB3709" s="95"/>
      <c r="AC3709" s="95"/>
      <c r="AD3709" s="95"/>
      <c r="AE3709" s="95"/>
      <c r="AF3709" s="95"/>
      <c r="AG3709" s="95"/>
      <c r="AH3709" s="95"/>
      <c r="AI3709" s="95"/>
      <c r="AJ3709" s="95"/>
      <c r="AK3709" s="95"/>
      <c r="AL3709" s="95"/>
      <c r="AM3709" s="95"/>
      <c r="AN3709" s="95"/>
      <c r="AO3709" s="95"/>
      <c r="AP3709" s="95"/>
      <c r="AQ3709" s="95"/>
      <c r="AR3709" s="95"/>
      <c r="AS3709" s="95"/>
      <c r="AT3709" s="95"/>
      <c r="AU3709" s="95"/>
      <c r="AV3709" s="95"/>
      <c r="AW3709" s="95"/>
      <c r="AX3709" s="95"/>
      <c r="AY3709" s="95"/>
      <c r="AZ3709" s="95"/>
      <c r="BA3709" s="95"/>
    </row>
    <row r="3710" ht="15.75" hidden="1" customHeight="1">
      <c r="A3710" s="398"/>
      <c r="B3710" s="38"/>
      <c r="C3710" s="95"/>
      <c r="D3710" s="95"/>
      <c r="E3710" s="95"/>
      <c r="F3710" s="95"/>
      <c r="G3710" s="95"/>
      <c r="H3710" s="95">
        <f>IF($H$3539&gt;0,'Assumptions (CSP)'!V$11*Model!$H$3539*AVERAGE('Assumptions (CSP)'!$D$2:$F$2)/10^9,0)</f>
        <v>0</v>
      </c>
      <c r="I3710" s="95">
        <f>IF($H$3539&gt;0,'Assumptions (CSP)'!W$11*Model!$H$3539*AVERAGE('Assumptions (CSP)'!$D$2:$F$2)/10^9,0)</f>
        <v>0</v>
      </c>
      <c r="J3710" s="95">
        <f>IF($H$3539&gt;0,'Assumptions (CSP)'!X$11*Model!$H$3539*AVERAGE('Assumptions (CSP)'!$D$2:$F$2)/10^9,0)</f>
        <v>0</v>
      </c>
      <c r="K3710" s="95">
        <f>IF($H$3539&gt;0,'Assumptions (CSP)'!Y$11*Model!$H$3539*AVERAGE('Assumptions (CSP)'!$D$2:$F$2)/10^9,0)</f>
        <v>0</v>
      </c>
      <c r="L3710" s="95">
        <f>IF($H$3539&gt;0,'Assumptions (CSP)'!Z$11*Model!$H$3539*AVERAGE('Assumptions (CSP)'!$D$2:$F$2)/10^9,0)</f>
        <v>0</v>
      </c>
      <c r="M3710" s="95">
        <f>IF($H$3539&gt;0,'Assumptions (CSP)'!AA$11*Model!$H$3539*AVERAGE('Assumptions (CSP)'!$D$2:$F$2)/10^9,0)</f>
        <v>0</v>
      </c>
      <c r="N3710" s="95"/>
      <c r="O3710" s="95"/>
      <c r="P3710" s="95"/>
      <c r="Q3710" s="95"/>
      <c r="R3710" s="95"/>
      <c r="S3710" s="95"/>
      <c r="T3710" s="95"/>
      <c r="U3710" s="95"/>
      <c r="V3710" s="95"/>
      <c r="W3710" s="95"/>
      <c r="X3710" s="95"/>
      <c r="Y3710" s="95"/>
      <c r="Z3710" s="95"/>
      <c r="AA3710" s="95"/>
      <c r="AB3710" s="95"/>
      <c r="AC3710" s="95"/>
      <c r="AD3710" s="95"/>
      <c r="AE3710" s="95"/>
      <c r="AF3710" s="95"/>
      <c r="AG3710" s="95"/>
      <c r="AH3710" s="95"/>
      <c r="AI3710" s="95"/>
      <c r="AJ3710" s="95"/>
      <c r="AK3710" s="95"/>
      <c r="AL3710" s="95"/>
      <c r="AM3710" s="95"/>
      <c r="AN3710" s="95"/>
      <c r="AO3710" s="95"/>
      <c r="AP3710" s="95"/>
      <c r="AQ3710" s="95"/>
      <c r="AR3710" s="95"/>
      <c r="AS3710" s="95"/>
      <c r="AT3710" s="95"/>
      <c r="AU3710" s="95"/>
      <c r="AV3710" s="95"/>
      <c r="AW3710" s="95"/>
      <c r="AX3710" s="95"/>
      <c r="AY3710" s="95"/>
      <c r="AZ3710" s="95"/>
      <c r="BA3710" s="95"/>
    </row>
    <row r="3711" ht="15.75" hidden="1" customHeight="1">
      <c r="A3711" s="398"/>
      <c r="B3711" s="38"/>
      <c r="C3711" s="95"/>
      <c r="D3711" s="95"/>
      <c r="E3711" s="95"/>
      <c r="F3711" s="95"/>
      <c r="G3711" s="95"/>
      <c r="H3711" s="95"/>
      <c r="I3711" s="95">
        <f>IF($I$3539&gt;0,'Assumptions (CSP)'!V$11*Model!$I$3539*AVERAGE('Assumptions (CSP)'!$E$2:$G$2)/10^9,0)</f>
        <v>0</v>
      </c>
      <c r="J3711" s="95">
        <f>IF($I$3539&gt;0,'Assumptions (CSP)'!W$11*Model!$I$3539*AVERAGE('Assumptions (CSP)'!$E$2:$G$2)/10^9,0)</f>
        <v>0</v>
      </c>
      <c r="K3711" s="95">
        <f>IF($I$3539&gt;0,'Assumptions (CSP)'!X$11*Model!$I$3539*AVERAGE('Assumptions (CSP)'!$E$2:$G$2)/10^9,0)</f>
        <v>0</v>
      </c>
      <c r="L3711" s="95">
        <f>IF($I$3539&gt;0,'Assumptions (CSP)'!Y$11*Model!$I$3539*AVERAGE('Assumptions (CSP)'!$E$2:$G$2)/10^9,0)</f>
        <v>0</v>
      </c>
      <c r="M3711" s="95">
        <f>IF($I$3539&gt;0,'Assumptions (CSP)'!Z$11*Model!$I$3539*AVERAGE('Assumptions (CSP)'!$E$2:$G$2)/10^9,0)</f>
        <v>0</v>
      </c>
      <c r="N3711" s="95">
        <f>IF($I$3539&gt;0,'Assumptions (CSP)'!AA$11*Model!$I$3539*AVERAGE('Assumptions (CSP)'!$E$2:$G$2)/10^9,0)</f>
        <v>0</v>
      </c>
      <c r="O3711" s="95"/>
      <c r="P3711" s="95"/>
      <c r="Q3711" s="95"/>
      <c r="R3711" s="95"/>
      <c r="S3711" s="95"/>
      <c r="T3711" s="95"/>
      <c r="U3711" s="95"/>
      <c r="V3711" s="95"/>
      <c r="W3711" s="95"/>
      <c r="X3711" s="95"/>
      <c r="Y3711" s="95"/>
      <c r="Z3711" s="95"/>
      <c r="AA3711" s="95"/>
      <c r="AB3711" s="95"/>
      <c r="AC3711" s="95"/>
      <c r="AD3711" s="95"/>
      <c r="AE3711" s="95"/>
      <c r="AF3711" s="95"/>
      <c r="AG3711" s="95"/>
      <c r="AH3711" s="95"/>
      <c r="AI3711" s="95"/>
      <c r="AJ3711" s="95"/>
      <c r="AK3711" s="95"/>
      <c r="AL3711" s="95"/>
      <c r="AM3711" s="95"/>
      <c r="AN3711" s="95"/>
      <c r="AO3711" s="95"/>
      <c r="AP3711" s="95"/>
      <c r="AQ3711" s="95"/>
      <c r="AR3711" s="95"/>
      <c r="AS3711" s="95"/>
      <c r="AT3711" s="95"/>
      <c r="AU3711" s="95"/>
      <c r="AV3711" s="95"/>
      <c r="AW3711" s="95"/>
      <c r="AX3711" s="95"/>
      <c r="AY3711" s="95"/>
      <c r="AZ3711" s="95"/>
      <c r="BA3711" s="95"/>
    </row>
    <row r="3712" ht="15.75" hidden="1" customHeight="1">
      <c r="A3712" s="398"/>
      <c r="B3712" s="38"/>
      <c r="C3712" s="95"/>
      <c r="D3712" s="95"/>
      <c r="E3712" s="95"/>
      <c r="F3712" s="95"/>
      <c r="G3712" s="95"/>
      <c r="H3712" s="95"/>
      <c r="I3712" s="218"/>
      <c r="J3712" s="95">
        <f>IF($J$3539&gt;0,'Assumptions (CSP)'!V$11*Model!$J$3539*AVERAGE('Assumptions (CSP)'!$F$2:$H$2)/10^9,0)</f>
        <v>0</v>
      </c>
      <c r="K3712" s="95">
        <f>IF($J$3539&gt;0,'Assumptions (CSP)'!W$11*Model!$J$3539*AVERAGE('Assumptions (CSP)'!$F$2:$H$2)/10^9,0)</f>
        <v>0</v>
      </c>
      <c r="L3712" s="95">
        <f>IF($J$3539&gt;0,'Assumptions (CSP)'!X$11*Model!$J$3539*AVERAGE('Assumptions (CSP)'!$F$2:$H$2)/10^9,0)</f>
        <v>0</v>
      </c>
      <c r="M3712" s="95">
        <f>IF($J$3539&gt;0,'Assumptions (CSP)'!Y$11*Model!$J$3539*AVERAGE('Assumptions (CSP)'!$F$2:$H$2)/10^9,0)</f>
        <v>0</v>
      </c>
      <c r="N3712" s="95">
        <f>IF($J$3539&gt;0,'Assumptions (CSP)'!Z$11*Model!$J$3539*AVERAGE('Assumptions (CSP)'!$F$2:$H$2)/10^9,0)</f>
        <v>0</v>
      </c>
      <c r="O3712" s="95">
        <f>IF($J$3539&gt;0,'Assumptions (CSP)'!AA$11*Model!$J$3539*AVERAGE('Assumptions (CSP)'!$F$2:$H$2)/10^9,0)</f>
        <v>0</v>
      </c>
      <c r="P3712" s="95"/>
      <c r="Q3712" s="95"/>
      <c r="R3712" s="95"/>
      <c r="S3712" s="95"/>
      <c r="T3712" s="95"/>
      <c r="U3712" s="95"/>
      <c r="V3712" s="95"/>
      <c r="W3712" s="95"/>
      <c r="X3712" s="95"/>
      <c r="Y3712" s="95"/>
      <c r="Z3712" s="95"/>
      <c r="AA3712" s="95"/>
      <c r="AB3712" s="95"/>
      <c r="AC3712" s="95"/>
      <c r="AD3712" s="95"/>
      <c r="AE3712" s="95"/>
      <c r="AF3712" s="95"/>
      <c r="AG3712" s="95"/>
      <c r="AH3712" s="95"/>
      <c r="AI3712" s="95"/>
      <c r="AJ3712" s="95"/>
      <c r="AK3712" s="95"/>
      <c r="AL3712" s="95"/>
      <c r="AM3712" s="95"/>
      <c r="AN3712" s="95"/>
      <c r="AO3712" s="95"/>
      <c r="AP3712" s="95"/>
      <c r="AQ3712" s="95"/>
      <c r="AR3712" s="95"/>
      <c r="AS3712" s="95"/>
      <c r="AT3712" s="95"/>
      <c r="AU3712" s="95"/>
      <c r="AV3712" s="95"/>
      <c r="AW3712" s="95"/>
      <c r="AX3712" s="95"/>
      <c r="AY3712" s="95"/>
      <c r="AZ3712" s="95"/>
      <c r="BA3712" s="95"/>
    </row>
    <row r="3713" ht="15.75" hidden="1" customHeight="1">
      <c r="A3713" s="398"/>
      <c r="B3713" s="38"/>
      <c r="C3713" s="95"/>
      <c r="D3713" s="95"/>
      <c r="E3713" s="95"/>
      <c r="F3713" s="95"/>
      <c r="G3713" s="95"/>
      <c r="H3713" s="95"/>
      <c r="I3713" s="95"/>
      <c r="J3713" s="95"/>
      <c r="K3713" s="95">
        <f>IF($K$3539&gt;0,'Assumptions (CSP)'!V$11*Model!$K$3539*AVERAGE('Assumptions (CSP)'!$G$2:$I$2)/10^9,0)</f>
        <v>0</v>
      </c>
      <c r="L3713" s="95">
        <f>IF($K$3539&gt;0,'Assumptions (CSP)'!W$11*Model!$K$3539*AVERAGE('Assumptions (CSP)'!$G$2:$I$2)/10^9,0)</f>
        <v>0</v>
      </c>
      <c r="M3713" s="95">
        <f>IF($K$3539&gt;0,'Assumptions (CSP)'!X$11*Model!$K$3539*AVERAGE('Assumptions (CSP)'!$G$2:$I$2)/10^9,0)</f>
        <v>0</v>
      </c>
      <c r="N3713" s="95">
        <f>IF($K$3539&gt;0,'Assumptions (CSP)'!Y$11*Model!$K$3539*AVERAGE('Assumptions (CSP)'!$G$2:$I$2)/10^9,0)</f>
        <v>0</v>
      </c>
      <c r="O3713" s="95">
        <f>IF($K$3539&gt;0,'Assumptions (CSP)'!Z$11*Model!$K$3539*AVERAGE('Assumptions (CSP)'!$G$2:$I$2)/10^9,0)</f>
        <v>0</v>
      </c>
      <c r="P3713" s="95">
        <f>IF($K$3539&gt;0,'Assumptions (CSP)'!AA$11*Model!$K$3539*AVERAGE('Assumptions (CSP)'!$G$2:$I$2)/10^9,0)</f>
        <v>0</v>
      </c>
      <c r="Q3713" s="95"/>
      <c r="R3713" s="95"/>
      <c r="S3713" s="95"/>
      <c r="T3713" s="95"/>
      <c r="U3713" s="95"/>
      <c r="V3713" s="95"/>
      <c r="W3713" s="95"/>
      <c r="X3713" s="95"/>
      <c r="Y3713" s="95"/>
      <c r="Z3713" s="95"/>
      <c r="AA3713" s="95"/>
      <c r="AB3713" s="95"/>
      <c r="AC3713" s="95"/>
      <c r="AD3713" s="95"/>
      <c r="AE3713" s="95"/>
      <c r="AF3713" s="95"/>
      <c r="AG3713" s="95"/>
      <c r="AH3713" s="95"/>
      <c r="AI3713" s="95"/>
      <c r="AJ3713" s="95"/>
      <c r="AK3713" s="95"/>
      <c r="AL3713" s="95"/>
      <c r="AM3713" s="95"/>
      <c r="AN3713" s="95"/>
      <c r="AO3713" s="95"/>
      <c r="AP3713" s="95"/>
      <c r="AQ3713" s="95"/>
      <c r="AR3713" s="95"/>
      <c r="AS3713" s="95"/>
      <c r="AT3713" s="95"/>
      <c r="AU3713" s="95"/>
      <c r="AV3713" s="95"/>
      <c r="AW3713" s="95"/>
      <c r="AX3713" s="95"/>
      <c r="AY3713" s="95"/>
      <c r="AZ3713" s="95"/>
      <c r="BA3713" s="95"/>
    </row>
    <row r="3714" ht="15.75" hidden="1" customHeight="1">
      <c r="A3714" s="398"/>
      <c r="B3714" s="38"/>
      <c r="C3714" s="95"/>
      <c r="D3714" s="95"/>
      <c r="E3714" s="95"/>
      <c r="F3714" s="95"/>
      <c r="G3714" s="95"/>
      <c r="H3714" s="95"/>
      <c r="I3714" s="95"/>
      <c r="J3714" s="95"/>
      <c r="K3714" s="95"/>
      <c r="L3714" s="95">
        <f>IF($L$3539&gt;0,'Assumptions (CSP)'!V$11*Model!$L$3539*AVERAGE('Assumptions (CSP)'!$H$2:$J$2)/10^9,0)</f>
        <v>0</v>
      </c>
      <c r="M3714" s="95">
        <f>IF($L$3539&gt;0,'Assumptions (CSP)'!W$11*Model!$L$3539*AVERAGE('Assumptions (CSP)'!$H$2:$J$2)/10^9,0)</f>
        <v>0</v>
      </c>
      <c r="N3714" s="95">
        <f>IF($L$3539&gt;0,'Assumptions (CSP)'!X$11*Model!$L$3539*AVERAGE('Assumptions (CSP)'!$H$2:$J$2)/10^9,0)</f>
        <v>0</v>
      </c>
      <c r="O3714" s="95">
        <f>IF($L$3539&gt;0,'Assumptions (CSP)'!Y$11*Model!$L$3539*AVERAGE('Assumptions (CSP)'!$H$2:$J$2)/10^9,0)</f>
        <v>0</v>
      </c>
      <c r="P3714" s="95">
        <f>IF($L$3539&gt;0,'Assumptions (CSP)'!Z$11*Model!$L$3539*AVERAGE('Assumptions (CSP)'!$H$2:$J$2)/10^9,0)</f>
        <v>0</v>
      </c>
      <c r="Q3714" s="95">
        <f>IF($L$3539&gt;0,'Assumptions (CSP)'!AA$11*Model!$L$3539*AVERAGE('Assumptions (CSP)'!$H$2:$J$2)/10^9,0)</f>
        <v>0</v>
      </c>
      <c r="R3714" s="95"/>
      <c r="S3714" s="95"/>
      <c r="T3714" s="95"/>
      <c r="U3714" s="95"/>
      <c r="V3714" s="95"/>
      <c r="W3714" s="95"/>
      <c r="X3714" s="95"/>
      <c r="Y3714" s="95"/>
      <c r="Z3714" s="95"/>
      <c r="AA3714" s="95"/>
      <c r="AB3714" s="95"/>
      <c r="AC3714" s="95"/>
      <c r="AD3714" s="95"/>
      <c r="AE3714" s="95"/>
      <c r="AF3714" s="95"/>
      <c r="AG3714" s="95"/>
      <c r="AH3714" s="95"/>
      <c r="AI3714" s="95"/>
      <c r="AJ3714" s="95"/>
      <c r="AK3714" s="95"/>
      <c r="AL3714" s="95"/>
      <c r="AM3714" s="95"/>
      <c r="AN3714" s="95"/>
      <c r="AO3714" s="95"/>
      <c r="AP3714" s="95"/>
      <c r="AQ3714" s="95"/>
      <c r="AR3714" s="95"/>
      <c r="AS3714" s="95"/>
      <c r="AT3714" s="95"/>
      <c r="AU3714" s="95"/>
      <c r="AV3714" s="95"/>
      <c r="AW3714" s="95"/>
      <c r="AX3714" s="95"/>
      <c r="AY3714" s="95"/>
      <c r="AZ3714" s="95"/>
      <c r="BA3714" s="95"/>
    </row>
    <row r="3715" ht="15.75" hidden="1" customHeight="1">
      <c r="A3715" s="398"/>
      <c r="B3715" s="38"/>
      <c r="C3715" s="95"/>
      <c r="D3715" s="95"/>
      <c r="E3715" s="95"/>
      <c r="F3715" s="95"/>
      <c r="G3715" s="95"/>
      <c r="H3715" s="95"/>
      <c r="I3715" s="95"/>
      <c r="J3715" s="95"/>
      <c r="K3715" s="95"/>
      <c r="L3715" s="95"/>
      <c r="M3715" s="95">
        <f>IF($M$3539&gt;0,'Assumptions (CSP)'!V$11*Model!$M$3539*AVERAGE('Assumptions (CSP)'!$I$2:$K$2)/10^9,0)</f>
        <v>0</v>
      </c>
      <c r="N3715" s="95">
        <f>IF($M$3539&gt;0,'Assumptions (CSP)'!W$11*Model!$M$3539*AVERAGE('Assumptions (CSP)'!$I$2:$K$2)/10^9,0)</f>
        <v>0</v>
      </c>
      <c r="O3715" s="95">
        <f>IF($M$3539&gt;0,'Assumptions (CSP)'!X$11*Model!$M$3539*AVERAGE('Assumptions (CSP)'!$I$2:$K$2)/10^9,0)</f>
        <v>0</v>
      </c>
      <c r="P3715" s="95">
        <f>IF($M$3539&gt;0,'Assumptions (CSP)'!Y$11*Model!$M$3539*AVERAGE('Assumptions (CSP)'!$I$2:$K$2)/10^9,0)</f>
        <v>0</v>
      </c>
      <c r="Q3715" s="95">
        <f>IF($M$3539&gt;0,'Assumptions (CSP)'!Z$11*Model!$M$3539*AVERAGE('Assumptions (CSP)'!$I$2:$K$2)/10^9,0)</f>
        <v>0</v>
      </c>
      <c r="R3715" s="95">
        <f>IF($M$3539&gt;0,'Assumptions (CSP)'!AA$11*Model!$M$3539*AVERAGE('Assumptions (CSP)'!$I$2:$K$2)/10^9,0)</f>
        <v>0</v>
      </c>
      <c r="S3715" s="95"/>
      <c r="T3715" s="95"/>
      <c r="U3715" s="95"/>
      <c r="V3715" s="95"/>
      <c r="W3715" s="95"/>
      <c r="X3715" s="95"/>
      <c r="Y3715" s="95"/>
      <c r="Z3715" s="95"/>
      <c r="AA3715" s="95"/>
      <c r="AB3715" s="95"/>
      <c r="AC3715" s="95"/>
      <c r="AD3715" s="95"/>
      <c r="AE3715" s="95"/>
      <c r="AF3715" s="95"/>
      <c r="AG3715" s="95"/>
      <c r="AH3715" s="95"/>
      <c r="AI3715" s="95"/>
      <c r="AJ3715" s="95"/>
      <c r="AK3715" s="95"/>
      <c r="AL3715" s="95"/>
      <c r="AM3715" s="95"/>
      <c r="AN3715" s="95"/>
      <c r="AO3715" s="95"/>
      <c r="AP3715" s="95"/>
      <c r="AQ3715" s="95"/>
      <c r="AR3715" s="95"/>
      <c r="AS3715" s="95"/>
      <c r="AT3715" s="95"/>
      <c r="AU3715" s="95"/>
      <c r="AV3715" s="95"/>
      <c r="AW3715" s="95"/>
      <c r="AX3715" s="95"/>
      <c r="AY3715" s="95"/>
      <c r="AZ3715" s="95"/>
      <c r="BA3715" s="95"/>
    </row>
    <row r="3716" ht="15.75" hidden="1" customHeight="1">
      <c r="A3716" s="398"/>
      <c r="B3716" s="38"/>
      <c r="C3716" s="95"/>
      <c r="D3716" s="95"/>
      <c r="E3716" s="95"/>
      <c r="F3716" s="95"/>
      <c r="G3716" s="95"/>
      <c r="H3716" s="95"/>
      <c r="I3716" s="95"/>
      <c r="J3716" s="95"/>
      <c r="K3716" s="95"/>
      <c r="L3716" s="95"/>
      <c r="M3716" s="95"/>
      <c r="N3716" s="95">
        <f>IF($N$3539&gt;0,'Assumptions (CSP)'!V$11*Model!$N$3539*AVERAGE('Assumptions (CSP)'!$J$2:$L$2)/10^9,0)</f>
        <v>0</v>
      </c>
      <c r="O3716" s="95">
        <f>IF($N$3539&gt;0,'Assumptions (CSP)'!W$11*Model!$N$3539*AVERAGE('Assumptions (CSP)'!$J$2:$L$2)/10^9,0)</f>
        <v>0</v>
      </c>
      <c r="P3716" s="95">
        <f>IF($N$3539&gt;0,'Assumptions (CSP)'!X$11*Model!$N$3539*AVERAGE('Assumptions (CSP)'!$J$2:$L$2)/10^9,0)</f>
        <v>0</v>
      </c>
      <c r="Q3716" s="95">
        <f>IF($N$3539&gt;0,'Assumptions (CSP)'!Y$11*Model!$N$3539*AVERAGE('Assumptions (CSP)'!$J$2:$L$2)/10^9,0)</f>
        <v>0</v>
      </c>
      <c r="R3716" s="95">
        <f>IF($N$3539&gt;0,'Assumptions (CSP)'!Z$11*Model!$N$3539*AVERAGE('Assumptions (CSP)'!$J$2:$L$2)/10^9,0)</f>
        <v>0</v>
      </c>
      <c r="S3716" s="95">
        <f>IF($N$3539&gt;0,'Assumptions (CSP)'!AA$11*Model!$N$3539*AVERAGE('Assumptions (CSP)'!$J$2:$L$2)/10^9,0)</f>
        <v>0</v>
      </c>
      <c r="T3716" s="95"/>
      <c r="U3716" s="95"/>
      <c r="V3716" s="95"/>
      <c r="W3716" s="95"/>
      <c r="X3716" s="95"/>
      <c r="Y3716" s="95"/>
      <c r="Z3716" s="95"/>
      <c r="AA3716" s="95"/>
      <c r="AB3716" s="95"/>
      <c r="AC3716" s="95"/>
      <c r="AD3716" s="95"/>
      <c r="AE3716" s="95"/>
      <c r="AF3716" s="95"/>
      <c r="AG3716" s="95"/>
      <c r="AH3716" s="95"/>
      <c r="AI3716" s="95"/>
      <c r="AJ3716" s="95"/>
      <c r="AK3716" s="95"/>
      <c r="AL3716" s="95"/>
      <c r="AM3716" s="95"/>
      <c r="AN3716" s="95"/>
      <c r="AO3716" s="95"/>
      <c r="AP3716" s="95"/>
      <c r="AQ3716" s="95"/>
      <c r="AR3716" s="95"/>
      <c r="AS3716" s="95"/>
      <c r="AT3716" s="95"/>
      <c r="AU3716" s="95"/>
      <c r="AV3716" s="95"/>
      <c r="AW3716" s="95"/>
      <c r="AX3716" s="95"/>
      <c r="AY3716" s="95"/>
      <c r="AZ3716" s="95"/>
      <c r="BA3716" s="95"/>
    </row>
    <row r="3717" ht="15.75" hidden="1" customHeight="1">
      <c r="A3717" s="398"/>
      <c r="B3717" s="38"/>
      <c r="C3717" s="95"/>
      <c r="D3717" s="95"/>
      <c r="E3717" s="95"/>
      <c r="F3717" s="95"/>
      <c r="G3717" s="95"/>
      <c r="H3717" s="95"/>
      <c r="I3717" s="95"/>
      <c r="J3717" s="95"/>
      <c r="K3717" s="95"/>
      <c r="L3717" s="95"/>
      <c r="M3717" s="95"/>
      <c r="N3717" s="95"/>
      <c r="O3717" s="95">
        <f>IF($O$3539&gt;0,'Assumptions (CSP)'!V$11*Model!$O$3539*AVERAGE('Assumptions (CSP)'!$K$2:$M$2)/10^9,0)</f>
        <v>0</v>
      </c>
      <c r="P3717" s="95">
        <f>IF($O$3539&gt;0,'Assumptions (CSP)'!W$11*Model!$O$3539*AVERAGE('Assumptions (CSP)'!$K$2:$M$2)/10^9,0)</f>
        <v>0</v>
      </c>
      <c r="Q3717" s="95">
        <f>IF($O$3539&gt;0,'Assumptions (CSP)'!X$11*Model!$O$3539*AVERAGE('Assumptions (CSP)'!$K$2:$M$2)/10^9,0)</f>
        <v>0</v>
      </c>
      <c r="R3717" s="95">
        <f>IF($O$3539&gt;0,'Assumptions (CSP)'!Y$11*Model!$O$3539*AVERAGE('Assumptions (CSP)'!$K$2:$M$2)/10^9,0)</f>
        <v>0</v>
      </c>
      <c r="S3717" s="95">
        <f>IF($O$3539&gt;0,'Assumptions (CSP)'!Z$11*Model!$O$3539*AVERAGE('Assumptions (CSP)'!$K$2:$M$2)/10^9,0)</f>
        <v>0</v>
      </c>
      <c r="T3717" s="95">
        <f>IF($O$3539&gt;0,'Assumptions (CSP)'!AA$11*Model!$O$3539*AVERAGE('Assumptions (CSP)'!$K$2:$M$2)/10^9,0)</f>
        <v>0</v>
      </c>
      <c r="U3717" s="95"/>
      <c r="V3717" s="95"/>
      <c r="W3717" s="95"/>
      <c r="X3717" s="95"/>
      <c r="Y3717" s="95"/>
      <c r="Z3717" s="95"/>
      <c r="AA3717" s="95"/>
      <c r="AB3717" s="95"/>
      <c r="AC3717" s="95"/>
      <c r="AD3717" s="95"/>
      <c r="AE3717" s="95"/>
      <c r="AF3717" s="95"/>
      <c r="AG3717" s="95"/>
      <c r="AH3717" s="95"/>
      <c r="AI3717" s="95"/>
      <c r="AJ3717" s="95"/>
      <c r="AK3717" s="95"/>
      <c r="AL3717" s="95"/>
      <c r="AM3717" s="95"/>
      <c r="AN3717" s="95"/>
      <c r="AO3717" s="95"/>
      <c r="AP3717" s="95"/>
      <c r="AQ3717" s="95"/>
      <c r="AR3717" s="95"/>
      <c r="AS3717" s="95"/>
      <c r="AT3717" s="95"/>
      <c r="AU3717" s="95"/>
      <c r="AV3717" s="95"/>
      <c r="AW3717" s="95"/>
      <c r="AX3717" s="95"/>
      <c r="AY3717" s="95"/>
      <c r="AZ3717" s="95"/>
      <c r="BA3717" s="95"/>
    </row>
    <row r="3718" ht="15.75" hidden="1" customHeight="1">
      <c r="A3718" s="398"/>
      <c r="B3718" s="38"/>
      <c r="C3718" s="95"/>
      <c r="D3718" s="95"/>
      <c r="E3718" s="95"/>
      <c r="F3718" s="95"/>
      <c r="G3718" s="95"/>
      <c r="H3718" s="95"/>
      <c r="I3718" s="95"/>
      <c r="J3718" s="95"/>
      <c r="K3718" s="95"/>
      <c r="L3718" s="95"/>
      <c r="M3718" s="95"/>
      <c r="N3718" s="95"/>
      <c r="O3718" s="95"/>
      <c r="P3718" s="95">
        <f>IF($P$3539&gt;0,'Assumptions (CSP)'!V$11*Model!$P$3539*AVERAGE('Assumptions (CSP)'!$L$2:$N$2)/10^9,0)</f>
        <v>0</v>
      </c>
      <c r="Q3718" s="95">
        <f>IF($P$3539&gt;0,'Assumptions (CSP)'!W$11*Model!$P$3539*AVERAGE('Assumptions (CSP)'!$L$2:$N$2)/10^9,0)</f>
        <v>0</v>
      </c>
      <c r="R3718" s="95">
        <f>IF($P$3539&gt;0,'Assumptions (CSP)'!X$11*Model!$P$3539*AVERAGE('Assumptions (CSP)'!$L$2:$N$2)/10^9,0)</f>
        <v>0</v>
      </c>
      <c r="S3718" s="95">
        <f>IF($P$3539&gt;0,'Assumptions (CSP)'!Y$11*Model!$P$3539*AVERAGE('Assumptions (CSP)'!$L$2:$N$2)/10^9,0)</f>
        <v>0</v>
      </c>
      <c r="T3718" s="95">
        <f>IF($P$3539&gt;0,'Assumptions (CSP)'!Z$11*Model!$P$3539*AVERAGE('Assumptions (CSP)'!$L$2:$N$2)/10^9,0)</f>
        <v>0</v>
      </c>
      <c r="U3718" s="95">
        <f>IF($P$3539&gt;0,'Assumptions (CSP)'!AA$11*Model!$P$3539*AVERAGE('Assumptions (CSP)'!$L$2:$N$2)/10^9,0)</f>
        <v>0</v>
      </c>
      <c r="V3718" s="95"/>
      <c r="W3718" s="95"/>
      <c r="X3718" s="95"/>
      <c r="Y3718" s="95"/>
      <c r="Z3718" s="95"/>
      <c r="AA3718" s="95"/>
      <c r="AB3718" s="95"/>
      <c r="AC3718" s="95"/>
      <c r="AD3718" s="95"/>
      <c r="AE3718" s="95"/>
      <c r="AF3718" s="95"/>
      <c r="AG3718" s="95"/>
      <c r="AH3718" s="95"/>
      <c r="AI3718" s="95"/>
      <c r="AJ3718" s="95"/>
      <c r="AK3718" s="95"/>
      <c r="AL3718" s="95"/>
      <c r="AM3718" s="95"/>
      <c r="AN3718" s="95"/>
      <c r="AO3718" s="95"/>
      <c r="AP3718" s="95"/>
      <c r="AQ3718" s="95"/>
      <c r="AR3718" s="95"/>
      <c r="AS3718" s="95"/>
      <c r="AT3718" s="95"/>
      <c r="AU3718" s="95"/>
      <c r="AV3718" s="95"/>
      <c r="AW3718" s="95"/>
      <c r="AX3718" s="95"/>
      <c r="AY3718" s="95"/>
      <c r="AZ3718" s="95"/>
      <c r="BA3718" s="95"/>
    </row>
    <row r="3719" ht="15.75" hidden="1" customHeight="1">
      <c r="A3719" s="398"/>
      <c r="B3719" s="38"/>
      <c r="C3719" s="95"/>
      <c r="D3719" s="95"/>
      <c r="E3719" s="95"/>
      <c r="F3719" s="95"/>
      <c r="G3719" s="95"/>
      <c r="H3719" s="95"/>
      <c r="I3719" s="95"/>
      <c r="J3719" s="95"/>
      <c r="K3719" s="95"/>
      <c r="L3719" s="95"/>
      <c r="M3719" s="95"/>
      <c r="N3719" s="95"/>
      <c r="O3719" s="95"/>
      <c r="P3719" s="95"/>
      <c r="Q3719" s="95">
        <f>IF($Q$3539&gt;0,'Assumptions (CSP)'!V$11*Model!$Q$3539*AVERAGE('Assumptions (CSP)'!$M$2:$O$2)/10^9,0)</f>
        <v>0</v>
      </c>
      <c r="R3719" s="95">
        <f>IF($Q$3539&gt;0,'Assumptions (CSP)'!W$11*Model!$Q$3539*AVERAGE('Assumptions (CSP)'!$M$2:$O$2)/10^9,0)</f>
        <v>0</v>
      </c>
      <c r="S3719" s="95">
        <f>IF($Q$3539&gt;0,'Assumptions (CSP)'!X$11*Model!$Q$3539*AVERAGE('Assumptions (CSP)'!$M$2:$O$2)/10^9,0)</f>
        <v>0</v>
      </c>
      <c r="T3719" s="95">
        <f>IF($Q$3539&gt;0,'Assumptions (CSP)'!Y$11*Model!$Q$3539*AVERAGE('Assumptions (CSP)'!$M$2:$O$2)/10^9,0)</f>
        <v>0</v>
      </c>
      <c r="U3719" s="95">
        <f>IF($Q$3539&gt;0,'Assumptions (CSP)'!Z$11*Model!$Q$3539*AVERAGE('Assumptions (CSP)'!$M$2:$O$2)/10^9,0)</f>
        <v>0</v>
      </c>
      <c r="V3719" s="95">
        <f>IF($Q$3539&gt;0,'Assumptions (CSP)'!AA$11*Model!$Q$3539*AVERAGE('Assumptions (CSP)'!$M$2:$O$2)/10^9,0)</f>
        <v>0</v>
      </c>
      <c r="W3719" s="95"/>
      <c r="X3719" s="95"/>
      <c r="Y3719" s="95"/>
      <c r="Z3719" s="95"/>
      <c r="AA3719" s="95"/>
      <c r="AB3719" s="95"/>
      <c r="AC3719" s="95"/>
      <c r="AD3719" s="95"/>
      <c r="AE3719" s="95"/>
      <c r="AF3719" s="95"/>
      <c r="AG3719" s="95"/>
      <c r="AH3719" s="95"/>
      <c r="AI3719" s="95"/>
      <c r="AJ3719" s="95"/>
      <c r="AK3719" s="95"/>
      <c r="AL3719" s="95"/>
      <c r="AM3719" s="95"/>
      <c r="AN3719" s="95"/>
      <c r="AO3719" s="95"/>
      <c r="AP3719" s="95"/>
      <c r="AQ3719" s="95"/>
      <c r="AR3719" s="95"/>
      <c r="AS3719" s="95"/>
      <c r="AT3719" s="95"/>
      <c r="AU3719" s="95"/>
      <c r="AV3719" s="95"/>
      <c r="AW3719" s="95"/>
      <c r="AX3719" s="95"/>
      <c r="AY3719" s="95"/>
      <c r="AZ3719" s="95"/>
      <c r="BA3719" s="95"/>
    </row>
    <row r="3720" ht="15.75" hidden="1" customHeight="1">
      <c r="A3720" s="398"/>
      <c r="B3720" s="38"/>
      <c r="C3720" s="95"/>
      <c r="D3720" s="95"/>
      <c r="E3720" s="95"/>
      <c r="F3720" s="95"/>
      <c r="G3720" s="95"/>
      <c r="H3720" s="95"/>
      <c r="I3720" s="95"/>
      <c r="J3720" s="95"/>
      <c r="K3720" s="95"/>
      <c r="L3720" s="95"/>
      <c r="M3720" s="95"/>
      <c r="N3720" s="95"/>
      <c r="O3720" s="95"/>
      <c r="P3720" s="95"/>
      <c r="Q3720" s="95"/>
      <c r="R3720" s="95">
        <f>IF($R$3539&gt;0,'Assumptions (CSP)'!V$11*Model!$R$3539*AVERAGE('Assumptions (CSP)'!$N$2:$P$2)/10^9,0)</f>
        <v>0</v>
      </c>
      <c r="S3720" s="95">
        <f>IF($R$3539&gt;0,'Assumptions (CSP)'!W$11*Model!$R$3539*AVERAGE('Assumptions (CSP)'!$N$2:$P$2)/10^9,0)</f>
        <v>0</v>
      </c>
      <c r="T3720" s="95">
        <f>IF($R$3539&gt;0,'Assumptions (CSP)'!X$11*Model!$R$3539*AVERAGE('Assumptions (CSP)'!$N$2:$P$2)/10^9,0)</f>
        <v>0</v>
      </c>
      <c r="U3720" s="95">
        <f>IF($R$3539&gt;0,'Assumptions (CSP)'!Y$11*Model!$R$3539*AVERAGE('Assumptions (CSP)'!$N$2:$P$2)/10^9,0)</f>
        <v>0</v>
      </c>
      <c r="V3720" s="95">
        <f>IF($R$3539&gt;0,'Assumptions (CSP)'!Z$11*Model!$R$3539*AVERAGE('Assumptions (CSP)'!$N$2:$P$2)/10^9,0)</f>
        <v>0</v>
      </c>
      <c r="W3720" s="95">
        <f>IF($R$3539&gt;0,'Assumptions (CSP)'!AA$11*Model!$R$3539*AVERAGE('Assumptions (CSP)'!$N$2:$P$2)/10^9,0)</f>
        <v>0</v>
      </c>
      <c r="X3720" s="95"/>
      <c r="Y3720" s="95"/>
      <c r="Z3720" s="95"/>
      <c r="AA3720" s="95"/>
      <c r="AB3720" s="95"/>
      <c r="AC3720" s="95"/>
      <c r="AD3720" s="95"/>
      <c r="AE3720" s="95"/>
      <c r="AF3720" s="95"/>
      <c r="AG3720" s="95"/>
      <c r="AH3720" s="95"/>
      <c r="AI3720" s="95"/>
      <c r="AJ3720" s="95"/>
      <c r="AK3720" s="95"/>
      <c r="AL3720" s="95"/>
      <c r="AM3720" s="95"/>
      <c r="AN3720" s="95"/>
      <c r="AO3720" s="95"/>
      <c r="AP3720" s="95"/>
      <c r="AQ3720" s="95"/>
      <c r="AR3720" s="95"/>
      <c r="AS3720" s="95"/>
      <c r="AT3720" s="95"/>
      <c r="AU3720" s="95"/>
      <c r="AV3720" s="95"/>
      <c r="AW3720" s="95"/>
      <c r="AX3720" s="95"/>
      <c r="AY3720" s="95"/>
      <c r="AZ3720" s="95"/>
      <c r="BA3720" s="95"/>
    </row>
    <row r="3721" ht="15.75" hidden="1" customHeight="1">
      <c r="A3721" s="398"/>
      <c r="B3721" s="38"/>
      <c r="C3721" s="95"/>
      <c r="D3721" s="95"/>
      <c r="E3721" s="95"/>
      <c r="F3721" s="95"/>
      <c r="G3721" s="95"/>
      <c r="H3721" s="95"/>
      <c r="I3721" s="95"/>
      <c r="J3721" s="95"/>
      <c r="K3721" s="95"/>
      <c r="L3721" s="95"/>
      <c r="M3721" s="95"/>
      <c r="N3721" s="95"/>
      <c r="O3721" s="95"/>
      <c r="P3721" s="95"/>
      <c r="Q3721" s="95"/>
      <c r="R3721" s="95"/>
      <c r="S3721" s="95">
        <f>IF($S$3539&gt;0,'Assumptions (CSP)'!V$11*Model!$S$3539*AVERAGE('Assumptions (CSP)'!$O$2:$Q$2)/10^9,0)</f>
        <v>0</v>
      </c>
      <c r="T3721" s="95">
        <f>IF($S$3539&gt;0,'Assumptions (CSP)'!W$11*Model!$S$3539*AVERAGE('Assumptions (CSP)'!$O$2:$Q$2)/10^9,0)</f>
        <v>0</v>
      </c>
      <c r="U3721" s="95">
        <f>IF($S$3539&gt;0,'Assumptions (CSP)'!X$11*Model!$S$3539*AVERAGE('Assumptions (CSP)'!$O$2:$Q$2)/10^9,0)</f>
        <v>0</v>
      </c>
      <c r="V3721" s="95">
        <f>IF($S$3539&gt;0,'Assumptions (CSP)'!Y$11*Model!$S$3539*AVERAGE('Assumptions (CSP)'!$O$2:$Q$2)/10^9,0)</f>
        <v>0</v>
      </c>
      <c r="W3721" s="95">
        <f>IF($S$3539&gt;0,'Assumptions (CSP)'!Z$11*Model!$S$3539*AVERAGE('Assumptions (CSP)'!$O$2:$Q$2)/10^9,0)</f>
        <v>0</v>
      </c>
      <c r="X3721" s="95">
        <f>IF($S$3539&gt;0,'Assumptions (CSP)'!AA$11*Model!$S$3539*AVERAGE('Assumptions (CSP)'!$O$2:$Q$2)/10^9,0)</f>
        <v>0</v>
      </c>
      <c r="Y3721" s="95"/>
      <c r="Z3721" s="95"/>
      <c r="AA3721" s="95"/>
      <c r="AB3721" s="95"/>
      <c r="AC3721" s="95"/>
      <c r="AD3721" s="95"/>
      <c r="AE3721" s="95"/>
      <c r="AF3721" s="95"/>
      <c r="AG3721" s="95"/>
      <c r="AH3721" s="95"/>
      <c r="AI3721" s="95"/>
      <c r="AJ3721" s="95"/>
      <c r="AK3721" s="95"/>
      <c r="AL3721" s="95"/>
      <c r="AM3721" s="95"/>
      <c r="AN3721" s="95"/>
      <c r="AO3721" s="95"/>
      <c r="AP3721" s="95"/>
      <c r="AQ3721" s="95"/>
      <c r="AR3721" s="95"/>
      <c r="AS3721" s="95"/>
      <c r="AT3721" s="95"/>
      <c r="AU3721" s="95"/>
      <c r="AV3721" s="95"/>
      <c r="AW3721" s="95"/>
      <c r="AX3721" s="95"/>
      <c r="AY3721" s="95"/>
      <c r="AZ3721" s="95"/>
      <c r="BA3721" s="95"/>
    </row>
    <row r="3722" ht="15.75" hidden="1" customHeight="1">
      <c r="A3722" s="398"/>
      <c r="B3722" s="38"/>
      <c r="C3722" s="95"/>
      <c r="D3722" s="95"/>
      <c r="E3722" s="95"/>
      <c r="F3722" s="95"/>
      <c r="G3722" s="95"/>
      <c r="H3722" s="95"/>
      <c r="I3722" s="95"/>
      <c r="J3722" s="95"/>
      <c r="K3722" s="95"/>
      <c r="L3722" s="95"/>
      <c r="M3722" s="95"/>
      <c r="N3722" s="95"/>
      <c r="O3722" s="95"/>
      <c r="P3722" s="95"/>
      <c r="Q3722" s="95"/>
      <c r="R3722" s="95"/>
      <c r="S3722" s="95"/>
      <c r="T3722" s="95">
        <f>IF($T$3539&gt;0,'Assumptions (CSP)'!V$11*Model!$T$3539*AVERAGE('Assumptions (CSP)'!$P$2:$R$2)/10^9,0)</f>
        <v>0</v>
      </c>
      <c r="U3722" s="95">
        <f>IF($T$3539&gt;0,'Assumptions (CSP)'!W$11*Model!$T$3539*AVERAGE('Assumptions (CSP)'!$P$2:$R$2)/10^9,0)</f>
        <v>0</v>
      </c>
      <c r="V3722" s="95">
        <f>IF($T$3539&gt;0,'Assumptions (CSP)'!X$11*Model!$T$3539*AVERAGE('Assumptions (CSP)'!$P$2:$R$2)/10^9,0)</f>
        <v>0</v>
      </c>
      <c r="W3722" s="95">
        <f>IF($T$3539&gt;0,'Assumptions (CSP)'!Y$11*Model!$T$3539*AVERAGE('Assumptions (CSP)'!$P$2:$R$2)/10^9,0)</f>
        <v>0</v>
      </c>
      <c r="X3722" s="95">
        <f>IF($T$3539&gt;0,'Assumptions (CSP)'!Z$11*Model!$T$3539*AVERAGE('Assumptions (CSP)'!$P$2:$R$2)/10^9,0)</f>
        <v>0</v>
      </c>
      <c r="Y3722" s="95">
        <f>IF($T$3539&gt;0,'Assumptions (CSP)'!AA$11*Model!$T$3539*AVERAGE('Assumptions (CSP)'!$P$2:$R$2)/10^9,0)</f>
        <v>0</v>
      </c>
      <c r="Z3722" s="95"/>
      <c r="AA3722" s="95"/>
      <c r="AB3722" s="95"/>
      <c r="AC3722" s="95"/>
      <c r="AD3722" s="95"/>
      <c r="AE3722" s="95"/>
      <c r="AF3722" s="95"/>
      <c r="AG3722" s="95"/>
      <c r="AH3722" s="95"/>
      <c r="AI3722" s="95"/>
      <c r="AJ3722" s="95"/>
      <c r="AK3722" s="95"/>
      <c r="AL3722" s="95"/>
      <c r="AM3722" s="95"/>
      <c r="AN3722" s="95"/>
      <c r="AO3722" s="95"/>
      <c r="AP3722" s="95"/>
      <c r="AQ3722" s="95"/>
      <c r="AR3722" s="95"/>
      <c r="AS3722" s="95"/>
      <c r="AT3722" s="95"/>
      <c r="AU3722" s="95"/>
      <c r="AV3722" s="95"/>
      <c r="AW3722" s="95"/>
      <c r="AX3722" s="95"/>
      <c r="AY3722" s="95"/>
      <c r="AZ3722" s="95"/>
      <c r="BA3722" s="95"/>
    </row>
    <row r="3723" ht="15.75" hidden="1" customHeight="1">
      <c r="A3723" s="398"/>
      <c r="B3723" s="38"/>
      <c r="C3723" s="95"/>
      <c r="D3723" s="95"/>
      <c r="E3723" s="95"/>
      <c r="F3723" s="95"/>
      <c r="G3723" s="95"/>
      <c r="H3723" s="95"/>
      <c r="I3723" s="95"/>
      <c r="J3723" s="95"/>
      <c r="K3723" s="95"/>
      <c r="L3723" s="95"/>
      <c r="M3723" s="95"/>
      <c r="N3723" s="95"/>
      <c r="O3723" s="95"/>
      <c r="P3723" s="95"/>
      <c r="Q3723" s="95"/>
      <c r="R3723" s="95"/>
      <c r="S3723" s="95"/>
      <c r="T3723" s="95"/>
      <c r="U3723" s="95">
        <f>IF($U$3539&gt;0,'Assumptions (CSP)'!V$11*Model!$U$3539*AVERAGE('Assumptions (CSP)'!$Q$2:$S$2)/10^9,0)</f>
        <v>0</v>
      </c>
      <c r="V3723" s="95">
        <f>IF($U$3539&gt;0,'Assumptions (CSP)'!W$11*Model!$U$3539*AVERAGE('Assumptions (CSP)'!$Q$2:$S$2)/10^9,0)</f>
        <v>0</v>
      </c>
      <c r="W3723" s="95">
        <f>IF($U$3539&gt;0,'Assumptions (CSP)'!X$11*Model!$U$3539*AVERAGE('Assumptions (CSP)'!$Q$2:$S$2)/10^9,0)</f>
        <v>0</v>
      </c>
      <c r="X3723" s="95">
        <f>IF($U$3539&gt;0,'Assumptions (CSP)'!Y$11*Model!$U$3539*AVERAGE('Assumptions (CSP)'!$Q$2:$S$2)/10^9,0)</f>
        <v>0</v>
      </c>
      <c r="Y3723" s="95">
        <f>IF($U$3539&gt;0,'Assumptions (CSP)'!Z$11*Model!$U$3539*AVERAGE('Assumptions (CSP)'!$Q$2:$S$2)/10^9,0)</f>
        <v>0</v>
      </c>
      <c r="Z3723" s="95">
        <f>IF($U$3539&gt;0,'Assumptions (CSP)'!AA$11*Model!$U$3539*AVERAGE('Assumptions (CSP)'!$Q$2:$S$2)/10^9,0)</f>
        <v>0</v>
      </c>
      <c r="AA3723" s="95"/>
      <c r="AB3723" s="95"/>
      <c r="AC3723" s="95"/>
      <c r="AD3723" s="95"/>
      <c r="AE3723" s="95"/>
      <c r="AF3723" s="95"/>
      <c r="AG3723" s="95"/>
      <c r="AH3723" s="95"/>
      <c r="AI3723" s="95"/>
      <c r="AJ3723" s="95"/>
      <c r="AK3723" s="95"/>
      <c r="AL3723" s="95"/>
      <c r="AM3723" s="95"/>
      <c r="AN3723" s="95"/>
      <c r="AO3723" s="95"/>
      <c r="AP3723" s="95"/>
      <c r="AQ3723" s="95"/>
      <c r="AR3723" s="95"/>
      <c r="AS3723" s="95"/>
      <c r="AT3723" s="95"/>
      <c r="AU3723" s="95"/>
      <c r="AV3723" s="95"/>
      <c r="AW3723" s="95"/>
      <c r="AX3723" s="95"/>
      <c r="AY3723" s="95"/>
      <c r="AZ3723" s="95"/>
      <c r="BA3723" s="95"/>
    </row>
    <row r="3724" ht="15.75" hidden="1" customHeight="1">
      <c r="A3724" s="398"/>
      <c r="B3724" s="38"/>
      <c r="C3724" s="95"/>
      <c r="D3724" s="95"/>
      <c r="E3724" s="95"/>
      <c r="F3724" s="95"/>
      <c r="G3724" s="95"/>
      <c r="H3724" s="95"/>
      <c r="I3724" s="95"/>
      <c r="J3724" s="95"/>
      <c r="K3724" s="95"/>
      <c r="L3724" s="95"/>
      <c r="M3724" s="95"/>
      <c r="N3724" s="95"/>
      <c r="O3724" s="95"/>
      <c r="P3724" s="95"/>
      <c r="Q3724" s="95"/>
      <c r="R3724" s="95"/>
      <c r="S3724" s="95"/>
      <c r="T3724" s="95"/>
      <c r="U3724" s="95"/>
      <c r="V3724" s="95">
        <f>IF($V$3539&gt;0,'Assumptions (CSP)'!V$11*Model!$V$3539*AVERAGE('Assumptions (CSP)'!$R$2:$T$2)/10^9,0)</f>
        <v>0</v>
      </c>
      <c r="W3724" s="95">
        <f>IF($V$3539&gt;0,'Assumptions (CSP)'!W$11*Model!$V$3539*AVERAGE('Assumptions (CSP)'!$R$2:$T$2)/10^9,0)</f>
        <v>0</v>
      </c>
      <c r="X3724" s="95">
        <f>IF($V$3539&gt;0,'Assumptions (CSP)'!X$11*Model!$V$3539*AVERAGE('Assumptions (CSP)'!$R$2:$T$2)/10^9,0)</f>
        <v>0</v>
      </c>
      <c r="Y3724" s="95">
        <f>IF($V$3539&gt;0,'Assumptions (CSP)'!Y$11*Model!$V$3539*AVERAGE('Assumptions (CSP)'!$R$2:$T$2)/10^9,0)</f>
        <v>0</v>
      </c>
      <c r="Z3724" s="95">
        <f>IF($V$3539&gt;0,'Assumptions (CSP)'!Z$11*Model!$V$3539*AVERAGE('Assumptions (CSP)'!$R$2:$T$2)/10^9,0)</f>
        <v>0</v>
      </c>
      <c r="AA3724" s="95">
        <f>IF($V$3539&gt;0,'Assumptions (CSP)'!AA$11*Model!$V$3539*AVERAGE('Assumptions (CSP)'!$R$2:$T$2)/10^9,0)</f>
        <v>0</v>
      </c>
      <c r="AB3724" s="95"/>
      <c r="AC3724" s="95"/>
      <c r="AD3724" s="95"/>
      <c r="AE3724" s="95"/>
      <c r="AF3724" s="95"/>
      <c r="AG3724" s="95"/>
      <c r="AH3724" s="95"/>
      <c r="AI3724" s="95"/>
      <c r="AJ3724" s="95"/>
      <c r="AK3724" s="95"/>
      <c r="AL3724" s="95"/>
      <c r="AM3724" s="95"/>
      <c r="AN3724" s="95"/>
      <c r="AO3724" s="95"/>
      <c r="AP3724" s="95"/>
      <c r="AQ3724" s="95"/>
      <c r="AR3724" s="95"/>
      <c r="AS3724" s="95"/>
      <c r="AT3724" s="95"/>
      <c r="AU3724" s="95"/>
      <c r="AV3724" s="95"/>
      <c r="AW3724" s="95"/>
      <c r="AX3724" s="95"/>
      <c r="AY3724" s="95"/>
      <c r="AZ3724" s="95"/>
      <c r="BA3724" s="95"/>
    </row>
    <row r="3725" ht="15.75" hidden="1" customHeight="1">
      <c r="A3725" s="398"/>
      <c r="B3725" s="38"/>
      <c r="C3725" s="95"/>
      <c r="D3725" s="95"/>
      <c r="E3725" s="95"/>
      <c r="F3725" s="95"/>
      <c r="G3725" s="95"/>
      <c r="H3725" s="95"/>
      <c r="I3725" s="95"/>
      <c r="J3725" s="95"/>
      <c r="K3725" s="95"/>
      <c r="L3725" s="95"/>
      <c r="M3725" s="95"/>
      <c r="N3725" s="95"/>
      <c r="O3725" s="95"/>
      <c r="P3725" s="95"/>
      <c r="Q3725" s="95"/>
      <c r="R3725" s="95"/>
      <c r="S3725" s="95"/>
      <c r="T3725" s="95"/>
      <c r="U3725" s="95"/>
      <c r="V3725" s="95"/>
      <c r="W3725" s="95">
        <f>IF($W$3539&gt;0,'Assumptions (CSP)'!V$11*Model!$W$3539*AVERAGE('Assumptions (CSP)'!$S$2:$U$2)/10^9,0)</f>
        <v>0</v>
      </c>
      <c r="X3725" s="95">
        <f>IF($W$3539&gt;0,'Assumptions (CSP)'!W$11*Model!$W$3539*AVERAGE('Assumptions (CSP)'!$S$2:$U$2)/10^9,0)</f>
        <v>0</v>
      </c>
      <c r="Y3725" s="95">
        <f>IF($W$3539&gt;0,'Assumptions (CSP)'!X$11*Model!$W$3539*AVERAGE('Assumptions (CSP)'!$S$2:$U$2)/10^9,0)</f>
        <v>0</v>
      </c>
      <c r="Z3725" s="95">
        <f>IF($W$3539&gt;0,'Assumptions (CSP)'!Y$11*Model!$W$3539*AVERAGE('Assumptions (CSP)'!$S$2:$U$2)/10^9,0)</f>
        <v>0</v>
      </c>
      <c r="AA3725" s="95">
        <f>IF($W$3539&gt;0,'Assumptions (CSP)'!Z$11*Model!$W$3539*AVERAGE('Assumptions (CSP)'!$S$2:$U$2)/10^9,0)</f>
        <v>0</v>
      </c>
      <c r="AB3725" s="95">
        <f>IF($W$3539&gt;0,'Assumptions (CSP)'!AA$11*Model!$W$3539*AVERAGE('Assumptions (CSP)'!$S$2:$U$2)/10^9,0)</f>
        <v>0</v>
      </c>
      <c r="AC3725" s="95"/>
      <c r="AD3725" s="95"/>
      <c r="AE3725" s="95"/>
      <c r="AF3725" s="95"/>
      <c r="AG3725" s="95"/>
      <c r="AH3725" s="95"/>
      <c r="AI3725" s="95"/>
      <c r="AJ3725" s="95"/>
      <c r="AK3725" s="95"/>
      <c r="AL3725" s="95"/>
      <c r="AM3725" s="95"/>
      <c r="AN3725" s="95"/>
      <c r="AO3725" s="95"/>
      <c r="AP3725" s="95"/>
      <c r="AQ3725" s="95"/>
      <c r="AR3725" s="95"/>
      <c r="AS3725" s="95"/>
      <c r="AT3725" s="95"/>
      <c r="AU3725" s="95"/>
      <c r="AV3725" s="95"/>
      <c r="AW3725" s="95"/>
      <c r="AX3725" s="95"/>
      <c r="AY3725" s="95"/>
      <c r="AZ3725" s="95"/>
      <c r="BA3725" s="95"/>
    </row>
    <row r="3726" ht="15.75" hidden="1" customHeight="1">
      <c r="A3726" s="398"/>
      <c r="B3726" s="38"/>
      <c r="C3726" s="95"/>
      <c r="D3726" s="95"/>
      <c r="E3726" s="95"/>
      <c r="F3726" s="95"/>
      <c r="G3726" s="95"/>
      <c r="H3726" s="95"/>
      <c r="I3726" s="95"/>
      <c r="J3726" s="95"/>
      <c r="K3726" s="95"/>
      <c r="L3726" s="95"/>
      <c r="M3726" s="95"/>
      <c r="N3726" s="95"/>
      <c r="O3726" s="95"/>
      <c r="P3726" s="95"/>
      <c r="Q3726" s="95"/>
      <c r="R3726" s="95"/>
      <c r="S3726" s="95"/>
      <c r="T3726" s="95"/>
      <c r="U3726" s="95"/>
      <c r="V3726" s="95"/>
      <c r="W3726" s="95"/>
      <c r="X3726" s="95">
        <f>IF($X$3539&gt;0,'Assumptions (CSP)'!V$11*Model!$X$3539*AVERAGE('Assumptions (CSP)'!$S$2:$U$2)/10^9,0)</f>
        <v>0</v>
      </c>
      <c r="Y3726" s="95">
        <f>IF($Y$3539&gt;0,'Assumptions (CSP)'!V$11*Model!$Y$3539*AVERAGE('Assumptions (CSP)'!$T$2:$V$2)/10^9,0)</f>
        <v>0</v>
      </c>
      <c r="Z3726" s="95">
        <f>IF($X$3539&gt;0,'Assumptions (CSP)'!X$11*Model!$X$3539*AVERAGE('Assumptions (CSP)'!$S$2:$U$2)/10^9,0)</f>
        <v>0</v>
      </c>
      <c r="AA3726" s="95">
        <f>IF($X$3539&gt;0,'Assumptions (CSP)'!Y$11*Model!$X$3539*AVERAGE('Assumptions (CSP)'!$S$2:$U$2)/10^9,0)</f>
        <v>0</v>
      </c>
      <c r="AB3726" s="95">
        <f>IF($X$3539&gt;0,'Assumptions (CSP)'!Z$11*Model!$X$3539*AVERAGE('Assumptions (CSP)'!$S$2:$U$2)/10^9,0)</f>
        <v>0</v>
      </c>
      <c r="AC3726" s="95">
        <f>IF($X$3539&gt;0,'Assumptions (CSP)'!AA$11*Model!$X$3539*AVERAGE('Assumptions (CSP)'!$S$2:$U$2)/10^9,0)</f>
        <v>0</v>
      </c>
      <c r="AD3726" s="95"/>
      <c r="AE3726" s="95"/>
      <c r="AF3726" s="95"/>
      <c r="AG3726" s="95"/>
      <c r="AH3726" s="95"/>
      <c r="AI3726" s="95"/>
      <c r="AJ3726" s="95"/>
      <c r="AK3726" s="95"/>
      <c r="AL3726" s="95"/>
      <c r="AM3726" s="95"/>
      <c r="AN3726" s="95"/>
      <c r="AO3726" s="95"/>
      <c r="AP3726" s="95"/>
      <c r="AQ3726" s="95"/>
      <c r="AR3726" s="95"/>
      <c r="AS3726" s="95"/>
      <c r="AT3726" s="95"/>
      <c r="AU3726" s="95"/>
      <c r="AV3726" s="95"/>
      <c r="AW3726" s="95"/>
      <c r="AX3726" s="95"/>
      <c r="AY3726" s="95"/>
      <c r="AZ3726" s="95"/>
      <c r="BA3726" s="95"/>
    </row>
    <row r="3727" ht="15.75" hidden="1" customHeight="1">
      <c r="A3727" s="398"/>
      <c r="B3727" s="38"/>
      <c r="C3727" s="95"/>
      <c r="D3727" s="95"/>
      <c r="E3727" s="95"/>
      <c r="F3727" s="95"/>
      <c r="G3727" s="95"/>
      <c r="H3727" s="95"/>
      <c r="I3727" s="95"/>
      <c r="J3727" s="95"/>
      <c r="K3727" s="95"/>
      <c r="L3727" s="95"/>
      <c r="M3727" s="95"/>
      <c r="N3727" s="95"/>
      <c r="O3727" s="95"/>
      <c r="P3727" s="95"/>
      <c r="Q3727" s="95"/>
      <c r="R3727" s="95"/>
      <c r="S3727" s="95"/>
      <c r="T3727" s="95"/>
      <c r="U3727" s="95"/>
      <c r="V3727" s="95"/>
      <c r="W3727" s="95"/>
      <c r="X3727" s="95"/>
      <c r="Y3727" s="95">
        <f>IF($Y$3539&gt;0,'Assumptions (CSP)'!V$11*Model!$Y$3539*AVERAGE('Assumptions (CSP)'!$U$2:$W$2)/10^9,0)</f>
        <v>0</v>
      </c>
      <c r="Z3727" s="95">
        <f>IF($Y$3539&gt;0,'Assumptions (CSP)'!W$11*Model!$Y$3539*AVERAGE('Assumptions (CSP)'!$U$2:$W$2)/10^9,0)</f>
        <v>0</v>
      </c>
      <c r="AA3727" s="95">
        <f>IF($Y$3539&gt;0,'Assumptions (CSP)'!X$11*Model!$Y$3539*AVERAGE('Assumptions (CSP)'!$U$2:$W$2)/10^9,0)</f>
        <v>0</v>
      </c>
      <c r="AB3727" s="95">
        <f>IF($Y$3539&gt;0,'Assumptions (CSP)'!Y$11*Model!$Y$3539*AVERAGE('Assumptions (CSP)'!$U$2:$W$2)/10^9,0)</f>
        <v>0</v>
      </c>
      <c r="AC3727" s="95">
        <f>IF($Y$3539&gt;0,'Assumptions (CSP)'!Z$11*Model!$Y$3539*AVERAGE('Assumptions (CSP)'!$U$2:$W$2)/10^9,0)</f>
        <v>0</v>
      </c>
      <c r="AD3727" s="95">
        <f>IF($Y$3539&gt;0,'Assumptions (CSP)'!AA$11*Model!$Y$3539*AVERAGE('Assumptions (CSP)'!$U$2:$W$2)/10^9,0)</f>
        <v>0</v>
      </c>
      <c r="AE3727" s="95"/>
      <c r="AF3727" s="95"/>
      <c r="AG3727" s="95"/>
      <c r="AH3727" s="95"/>
      <c r="AI3727" s="95"/>
      <c r="AJ3727" s="95"/>
      <c r="AK3727" s="95"/>
      <c r="AL3727" s="95"/>
      <c r="AM3727" s="95"/>
      <c r="AN3727" s="95"/>
      <c r="AO3727" s="95"/>
      <c r="AP3727" s="95"/>
      <c r="AQ3727" s="95"/>
      <c r="AR3727" s="95"/>
      <c r="AS3727" s="95"/>
      <c r="AT3727" s="95"/>
      <c r="AU3727" s="95"/>
      <c r="AV3727" s="95"/>
      <c r="AW3727" s="95"/>
      <c r="AX3727" s="95"/>
      <c r="AY3727" s="95"/>
      <c r="AZ3727" s="95"/>
      <c r="BA3727" s="95"/>
    </row>
    <row r="3728" ht="15.75" hidden="1" customHeight="1">
      <c r="A3728" s="398"/>
      <c r="B3728" s="38"/>
      <c r="C3728" s="95"/>
      <c r="D3728" s="95"/>
      <c r="E3728" s="95"/>
      <c r="F3728" s="95"/>
      <c r="G3728" s="95"/>
      <c r="H3728" s="95"/>
      <c r="I3728" s="95"/>
      <c r="J3728" s="95"/>
      <c r="K3728" s="95"/>
      <c r="L3728" s="95"/>
      <c r="M3728" s="95"/>
      <c r="N3728" s="95"/>
      <c r="O3728" s="95"/>
      <c r="P3728" s="95"/>
      <c r="Q3728" s="95"/>
      <c r="R3728" s="95"/>
      <c r="S3728" s="95"/>
      <c r="T3728" s="95"/>
      <c r="U3728" s="95"/>
      <c r="V3728" s="95"/>
      <c r="W3728" s="95"/>
      <c r="X3728" s="95"/>
      <c r="Y3728" s="95"/>
      <c r="Z3728" s="95">
        <f>IF($Z$3539&gt;0,'Assumptions (CSP)'!V$11*Model!$Z$3539*AVERAGE('Assumptions (CSP)'!$V$2:$X$2)/10^9,0)</f>
        <v>0</v>
      </c>
      <c r="AA3728" s="95">
        <f>IF($Z$3539&gt;0,'Assumptions (CSP)'!W$11*Model!$Z$3539*AVERAGE('Assumptions (CSP)'!$V$2:$X$2)/10^9,0)</f>
        <v>0</v>
      </c>
      <c r="AB3728" s="95">
        <f>IF($Z$3539&gt;0,'Assumptions (CSP)'!X$11*Model!$Z$3539*AVERAGE('Assumptions (CSP)'!$V$2:$X$2)/10^9,0)</f>
        <v>0</v>
      </c>
      <c r="AC3728" s="95">
        <f>IF($Z$3539&gt;0,'Assumptions (CSP)'!Y$11*Model!$Z$3539*AVERAGE('Assumptions (CSP)'!$V$2:$X$2)/10^9,0)</f>
        <v>0</v>
      </c>
      <c r="AD3728" s="95">
        <f>IF($Z$3539&gt;0,'Assumptions (CSP)'!Z$11*Model!$Z$3539*AVERAGE('Assumptions (CSP)'!$V$2:$X$2)/10^9,0)</f>
        <v>0</v>
      </c>
      <c r="AE3728" s="95">
        <f>IF($Z$3539&gt;0,'Assumptions (CSP)'!AA$11*Model!$Z$3539*AVERAGE('Assumptions (CSP)'!$V$2:$X$2)/10^9,0)</f>
        <v>0</v>
      </c>
      <c r="AF3728" s="95"/>
      <c r="AG3728" s="95"/>
      <c r="AH3728" s="95"/>
      <c r="AI3728" s="95"/>
      <c r="AJ3728" s="95"/>
      <c r="AK3728" s="95"/>
      <c r="AL3728" s="95"/>
      <c r="AM3728" s="95"/>
      <c r="AN3728" s="95"/>
      <c r="AO3728" s="95"/>
      <c r="AP3728" s="95"/>
      <c r="AQ3728" s="95"/>
      <c r="AR3728" s="95"/>
      <c r="AS3728" s="95"/>
      <c r="AT3728" s="95"/>
      <c r="AU3728" s="95"/>
      <c r="AV3728" s="95"/>
      <c r="AW3728" s="95"/>
      <c r="AX3728" s="95"/>
      <c r="AY3728" s="95"/>
      <c r="AZ3728" s="95"/>
      <c r="BA3728" s="95"/>
    </row>
    <row r="3729" ht="15.75" hidden="1" customHeight="1">
      <c r="A3729" s="398"/>
      <c r="B3729" s="38"/>
      <c r="C3729" s="95"/>
      <c r="D3729" s="95"/>
      <c r="E3729" s="95"/>
      <c r="F3729" s="95"/>
      <c r="G3729" s="95"/>
      <c r="H3729" s="95"/>
      <c r="I3729" s="95"/>
      <c r="J3729" s="95"/>
      <c r="K3729" s="95"/>
      <c r="L3729" s="95"/>
      <c r="M3729" s="95"/>
      <c r="N3729" s="95"/>
      <c r="O3729" s="95"/>
      <c r="P3729" s="95"/>
      <c r="Q3729" s="95"/>
      <c r="R3729" s="95"/>
      <c r="S3729" s="95"/>
      <c r="T3729" s="95"/>
      <c r="U3729" s="95"/>
      <c r="V3729" s="95"/>
      <c r="W3729" s="95"/>
      <c r="X3729" s="95"/>
      <c r="Y3729" s="95"/>
      <c r="Z3729" s="95"/>
      <c r="AA3729" s="95">
        <f>IF($AA$3539&gt;0,'Assumptions (CSP)'!V$11*Model!$AA$3539*AVERAGE('Assumptions (CSP)'!$W$2:$Y$2)/10^9,0)</f>
        <v>0</v>
      </c>
      <c r="AB3729" s="95">
        <f>IF($AA$3539&gt;0,'Assumptions (CSP)'!W$11*Model!$AA$3539*AVERAGE('Assumptions (CSP)'!$W$2:$Y$2)/10^9,0)</f>
        <v>0</v>
      </c>
      <c r="AC3729" s="95">
        <f>IF($AA$3539&gt;0,'Assumptions (CSP)'!X$11*Model!$AA$3539*AVERAGE('Assumptions (CSP)'!$W$2:$Y$2)/10^9,0)</f>
        <v>0</v>
      </c>
      <c r="AD3729" s="95">
        <f>IF($AA$3539&gt;0,'Assumptions (CSP)'!Y$11*Model!$AA$3539*AVERAGE('Assumptions (CSP)'!$W$2:$Y$2)/10^9,0)</f>
        <v>0</v>
      </c>
      <c r="AE3729" s="95">
        <f>IF($AA$3539&gt;0,'Assumptions (CSP)'!Z$11*Model!$AA$3539*AVERAGE('Assumptions (CSP)'!$W$2:$Y$2)/10^9,0)</f>
        <v>0</v>
      </c>
      <c r="AF3729" s="95">
        <f>IF($AA$3539&gt;0,'Assumptions (CSP)'!AA$11*Model!$AA$3539*AVERAGE('Assumptions (CSP)'!$W$2:$Y$2)/10^9,0)</f>
        <v>0</v>
      </c>
      <c r="AG3729" s="95"/>
      <c r="AH3729" s="95"/>
      <c r="AI3729" s="95"/>
      <c r="AJ3729" s="95"/>
      <c r="AK3729" s="95"/>
      <c r="AL3729" s="95"/>
      <c r="AM3729" s="95"/>
      <c r="AN3729" s="95"/>
      <c r="AO3729" s="95"/>
      <c r="AP3729" s="95"/>
      <c r="AQ3729" s="95"/>
      <c r="AR3729" s="95"/>
      <c r="AS3729" s="95"/>
      <c r="AT3729" s="95"/>
      <c r="AU3729" s="95"/>
      <c r="AV3729" s="95"/>
      <c r="AW3729" s="95"/>
      <c r="AX3729" s="95"/>
      <c r="AY3729" s="95"/>
      <c r="AZ3729" s="95"/>
      <c r="BA3729" s="95"/>
    </row>
    <row r="3730" ht="15.75" hidden="1" customHeight="1">
      <c r="A3730" s="398"/>
      <c r="B3730" s="38"/>
      <c r="C3730" s="95"/>
      <c r="D3730" s="95"/>
      <c r="E3730" s="95"/>
      <c r="F3730" s="95"/>
      <c r="G3730" s="95"/>
      <c r="H3730" s="95"/>
      <c r="I3730" s="95"/>
      <c r="J3730" s="95"/>
      <c r="K3730" s="95"/>
      <c r="L3730" s="95"/>
      <c r="M3730" s="95"/>
      <c r="N3730" s="95"/>
      <c r="O3730" s="95"/>
      <c r="P3730" s="95"/>
      <c r="Q3730" s="95"/>
      <c r="R3730" s="95"/>
      <c r="S3730" s="95"/>
      <c r="T3730" s="95"/>
      <c r="U3730" s="95"/>
      <c r="V3730" s="95"/>
      <c r="W3730" s="95"/>
      <c r="X3730" s="95"/>
      <c r="Y3730" s="95"/>
      <c r="Z3730" s="95"/>
      <c r="AA3730" s="95"/>
      <c r="AB3730" s="95">
        <f>IF($AB$3539&gt;0,'Assumptions (CSP)'!V$11*Model!$AB$3539*AVERAGE('Assumptions (CSP)'!$X$2:$Z$2)/10^9,0)</f>
        <v>0</v>
      </c>
      <c r="AC3730" s="95">
        <f>IF($AB$3539&gt;0,'Assumptions (CSP)'!W$11*Model!$AB$3539*AVERAGE('Assumptions (CSP)'!$X$2:$Z$2)/10^9,0)</f>
        <v>0</v>
      </c>
      <c r="AD3730" s="95">
        <f>IF($AB$3539&gt;0,'Assumptions (CSP)'!X$11*Model!$AB$3539*AVERAGE('Assumptions (CSP)'!$X$2:$Z$2)/10^9,0)</f>
        <v>0</v>
      </c>
      <c r="AE3730" s="95">
        <f>IF($AB$3539&gt;0,'Assumptions (CSP)'!Y$11*Model!$AB$3539*AVERAGE('Assumptions (CSP)'!$X$2:$Z$2)/10^9,0)</f>
        <v>0</v>
      </c>
      <c r="AF3730" s="95">
        <f>IF($AB$3539&gt;0,'Assumptions (CSP)'!Z$11*Model!$AB$3539*AVERAGE('Assumptions (CSP)'!$X$2:$Z$2)/10^9,0)</f>
        <v>0</v>
      </c>
      <c r="AG3730" s="95">
        <f>IF($AB$3539&gt;0,'Assumptions (CSP)'!AA$11*Model!$AB$3539*AVERAGE('Assumptions (CSP)'!$X$2:$Z$2)/10^9,0)</f>
        <v>0</v>
      </c>
      <c r="AH3730" s="95"/>
      <c r="AI3730" s="95"/>
      <c r="AJ3730" s="95"/>
      <c r="AK3730" s="95"/>
      <c r="AL3730" s="95"/>
      <c r="AM3730" s="95"/>
      <c r="AN3730" s="95"/>
      <c r="AO3730" s="95"/>
      <c r="AP3730" s="95"/>
      <c r="AQ3730" s="95"/>
      <c r="AR3730" s="95"/>
      <c r="AS3730" s="95"/>
      <c r="AT3730" s="95"/>
      <c r="AU3730" s="95"/>
      <c r="AV3730" s="95"/>
      <c r="AW3730" s="95"/>
      <c r="AX3730" s="95"/>
      <c r="AY3730" s="95"/>
      <c r="AZ3730" s="95"/>
      <c r="BA3730" s="95"/>
    </row>
    <row r="3731" ht="15.75" hidden="1" customHeight="1">
      <c r="A3731" s="398"/>
      <c r="B3731" s="38"/>
      <c r="C3731" s="95"/>
      <c r="D3731" s="95"/>
      <c r="E3731" s="95"/>
      <c r="F3731" s="95"/>
      <c r="G3731" s="95"/>
      <c r="H3731" s="95"/>
      <c r="I3731" s="95"/>
      <c r="J3731" s="95"/>
      <c r="K3731" s="95"/>
      <c r="L3731" s="95"/>
      <c r="M3731" s="95"/>
      <c r="N3731" s="95"/>
      <c r="O3731" s="95"/>
      <c r="P3731" s="95"/>
      <c r="Q3731" s="95"/>
      <c r="R3731" s="95"/>
      <c r="S3731" s="95"/>
      <c r="T3731" s="95"/>
      <c r="U3731" s="95"/>
      <c r="V3731" s="95"/>
      <c r="W3731" s="95"/>
      <c r="X3731" s="95"/>
      <c r="Y3731" s="95"/>
      <c r="Z3731" s="95"/>
      <c r="AA3731" s="95"/>
      <c r="AB3731" s="95"/>
      <c r="AC3731" s="95">
        <f>IF($AC$3539&gt;0,'Assumptions (CSP)'!V$11*Model!$AC$3539*AVERAGE('Assumptions (CSP)'!$Y$2:$AA$2)/10^9,0)</f>
        <v>0</v>
      </c>
      <c r="AD3731" s="95">
        <f>IF($AC$3539&gt;0,'Assumptions (CSP)'!W$11*Model!$AC$3539*AVERAGE('Assumptions (CSP)'!$Y$2:$AA$2)/10^9,0)</f>
        <v>0</v>
      </c>
      <c r="AE3731" s="95">
        <f>IF($AC$3539&gt;0,'Assumptions (CSP)'!X$11*Model!$AC$3539*AVERAGE('Assumptions (CSP)'!$Y$2:$AA$2)/10^9,0)</f>
        <v>0</v>
      </c>
      <c r="AF3731" s="95">
        <f>IF($AC$3539&gt;0,'Assumptions (CSP)'!Y$11*Model!$AC$3539*AVERAGE('Assumptions (CSP)'!$Y$2:$AA$2)/10^9,0)</f>
        <v>0</v>
      </c>
      <c r="AG3731" s="95">
        <f>IF($AC$3539&gt;0,'Assumptions (CSP)'!Z$11*Model!$AC$3539*AVERAGE('Assumptions (CSP)'!$Y$2:$AA$2)/10^9,0)</f>
        <v>0</v>
      </c>
      <c r="AH3731" s="95">
        <f>IF($AC$3539&gt;0,'Assumptions (CSP)'!AA$11*Model!$AC$3539*AVERAGE('Assumptions (CSP)'!$Y$2:$AA$2)/10^9,0)</f>
        <v>0</v>
      </c>
      <c r="AI3731" s="95"/>
      <c r="AJ3731" s="95"/>
      <c r="AK3731" s="95"/>
      <c r="AL3731" s="95"/>
      <c r="AM3731" s="95"/>
      <c r="AN3731" s="95"/>
      <c r="AO3731" s="95"/>
      <c r="AP3731" s="95"/>
      <c r="AQ3731" s="95"/>
      <c r="AR3731" s="95"/>
      <c r="AS3731" s="95"/>
      <c r="AT3731" s="95"/>
      <c r="AU3731" s="95"/>
      <c r="AV3731" s="95"/>
      <c r="AW3731" s="95"/>
      <c r="AX3731" s="95"/>
      <c r="AY3731" s="95"/>
      <c r="AZ3731" s="95"/>
      <c r="BA3731" s="95"/>
    </row>
    <row r="3732" ht="15.75" hidden="1" customHeight="1">
      <c r="A3732" s="398"/>
      <c r="B3732" s="38"/>
      <c r="C3732" s="95"/>
      <c r="D3732" s="95"/>
      <c r="E3732" s="95"/>
      <c r="F3732" s="95"/>
      <c r="G3732" s="95"/>
      <c r="H3732" s="95"/>
      <c r="I3732" s="95"/>
      <c r="J3732" s="95"/>
      <c r="K3732" s="95"/>
      <c r="L3732" s="95"/>
      <c r="M3732" s="95"/>
      <c r="N3732" s="95"/>
      <c r="O3732" s="95"/>
      <c r="P3732" s="95"/>
      <c r="Q3732" s="95"/>
      <c r="R3732" s="95"/>
      <c r="S3732" s="95"/>
      <c r="T3732" s="95"/>
      <c r="U3732" s="95"/>
      <c r="V3732" s="95"/>
      <c r="W3732" s="95"/>
      <c r="X3732" s="95"/>
      <c r="Y3732" s="95"/>
      <c r="Z3732" s="95"/>
      <c r="AA3732" s="95"/>
      <c r="AB3732" s="95"/>
      <c r="AC3732" s="95"/>
      <c r="AD3732" s="95">
        <f>IF($AD$3539&gt;0,'Assumptions (CSP)'!V$11*Model!$AD$3539*AVERAGE('Assumptions (CSP)'!$Z$2:$AB$2)/10^9,0)</f>
        <v>0</v>
      </c>
      <c r="AE3732" s="95">
        <f>IF($AD$3539&gt;0,'Assumptions (CSP)'!W$11*Model!$AD$3539*AVERAGE('Assumptions (CSP)'!$Z$2:$AB$2)/10^9,0)</f>
        <v>0</v>
      </c>
      <c r="AF3732" s="95">
        <f>IF($AD$3539&gt;0,'Assumptions (CSP)'!X$11*Model!$AD$3539*AVERAGE('Assumptions (CSP)'!$Z$2:$AB$2)/10^9,0)</f>
        <v>0</v>
      </c>
      <c r="AG3732" s="95">
        <f>IF($AD$3539&gt;0,'Assumptions (CSP)'!Y$11*Model!$AD$3539*AVERAGE('Assumptions (CSP)'!$Z$2:$AB$2)/10^9,0)</f>
        <v>0</v>
      </c>
      <c r="AH3732" s="95">
        <f>IF($AD$3539&gt;0,'Assumptions (CSP)'!Z$11*Model!$AD$3539*AVERAGE('Assumptions (CSP)'!$Z$2:$AB$2)/10^9,0)</f>
        <v>0</v>
      </c>
      <c r="AI3732" s="95">
        <f>IF($AD$3539&gt;0,'Assumptions (CSP)'!AA$11*Model!$AD$3539*AVERAGE('Assumptions (CSP)'!$Z$2:$AB$2)/10^9,0)</f>
        <v>0</v>
      </c>
      <c r="AJ3732" s="95"/>
      <c r="AK3732" s="95"/>
      <c r="AL3732" s="95"/>
      <c r="AM3732" s="95"/>
      <c r="AN3732" s="95"/>
      <c r="AO3732" s="95"/>
      <c r="AP3732" s="95"/>
      <c r="AQ3732" s="95"/>
      <c r="AR3732" s="95"/>
      <c r="AS3732" s="95"/>
      <c r="AT3732" s="95"/>
      <c r="AU3732" s="95"/>
      <c r="AV3732" s="95"/>
      <c r="AW3732" s="95"/>
      <c r="AX3732" s="95"/>
      <c r="AY3732" s="95"/>
      <c r="AZ3732" s="95"/>
      <c r="BA3732" s="95"/>
    </row>
    <row r="3733" ht="15.75" hidden="1" customHeight="1">
      <c r="A3733" s="398"/>
      <c r="B3733" s="38"/>
      <c r="C3733" s="95"/>
      <c r="D3733" s="95"/>
      <c r="E3733" s="95"/>
      <c r="F3733" s="95"/>
      <c r="G3733" s="95"/>
      <c r="H3733" s="95"/>
      <c r="I3733" s="95"/>
      <c r="J3733" s="95"/>
      <c r="K3733" s="95"/>
      <c r="L3733" s="95"/>
      <c r="M3733" s="95"/>
      <c r="N3733" s="95"/>
      <c r="O3733" s="95"/>
      <c r="P3733" s="95"/>
      <c r="Q3733" s="95"/>
      <c r="R3733" s="95"/>
      <c r="S3733" s="95"/>
      <c r="T3733" s="95"/>
      <c r="U3733" s="95"/>
      <c r="V3733" s="95"/>
      <c r="W3733" s="95"/>
      <c r="X3733" s="95"/>
      <c r="Y3733" s="95"/>
      <c r="Z3733" s="95"/>
      <c r="AA3733" s="95"/>
      <c r="AB3733" s="95"/>
      <c r="AC3733" s="95"/>
      <c r="AD3733" s="95"/>
      <c r="AE3733" s="95">
        <f>IF($AE$3539&gt;0,'Assumptions (CSP)'!V$11*Model!$AE$3539*AVERAGE('Assumptions (CSP)'!$AA$2:$AC$2)/10^9,0)</f>
        <v>0</v>
      </c>
      <c r="AF3733" s="95">
        <f>IF($AE$3539&gt;0,'Assumptions (CSP)'!W$11*Model!$AE$3539*AVERAGE('Assumptions (CSP)'!$AA$2:$AC$2)/10^9,0)</f>
        <v>0</v>
      </c>
      <c r="AG3733" s="95">
        <f>IF($AE$3539&gt;0,'Assumptions (CSP)'!X$11*Model!$AE$3539*AVERAGE('Assumptions (CSP)'!$AA$2:$AC$2)/10^9,0)</f>
        <v>0</v>
      </c>
      <c r="AH3733" s="95">
        <f>IF($AE$3539&gt;0,'Assumptions (CSP)'!Y$11*Model!$AE$3539*AVERAGE('Assumptions (CSP)'!$AA$2:$AC$2)/10^9,0)</f>
        <v>0</v>
      </c>
      <c r="AI3733" s="95">
        <f>IF($AE$3539&gt;0,'Assumptions (CSP)'!Z$11*Model!$AE$3539*AVERAGE('Assumptions (CSP)'!$AA$2:$AC$2)/10^9,0)</f>
        <v>0</v>
      </c>
      <c r="AJ3733" s="95">
        <f>IF($AE$3539&gt;0,'Assumptions (CSP)'!AA$11*Model!$AE$3539*AVERAGE('Assumptions (CSP)'!$AA$2:$AC$2)/10^9,0)</f>
        <v>0</v>
      </c>
      <c r="AK3733" s="95"/>
      <c r="AL3733" s="95"/>
      <c r="AM3733" s="95"/>
      <c r="AN3733" s="95"/>
      <c r="AO3733" s="95"/>
      <c r="AP3733" s="95"/>
      <c r="AQ3733" s="95"/>
      <c r="AR3733" s="95"/>
      <c r="AS3733" s="95"/>
      <c r="AT3733" s="95"/>
      <c r="AU3733" s="95"/>
      <c r="AV3733" s="95"/>
      <c r="AW3733" s="95"/>
      <c r="AX3733" s="95"/>
      <c r="AY3733" s="95"/>
      <c r="AZ3733" s="95"/>
      <c r="BA3733" s="95"/>
    </row>
    <row r="3734" ht="15.75" hidden="1" customHeight="1">
      <c r="A3734" s="398"/>
      <c r="B3734" s="38"/>
      <c r="C3734" s="95"/>
      <c r="D3734" s="95"/>
      <c r="E3734" s="95"/>
      <c r="F3734" s="95"/>
      <c r="G3734" s="95"/>
      <c r="H3734" s="95"/>
      <c r="I3734" s="95"/>
      <c r="J3734" s="95"/>
      <c r="K3734" s="95"/>
      <c r="L3734" s="95"/>
      <c r="M3734" s="95"/>
      <c r="N3734" s="95"/>
      <c r="O3734" s="95"/>
      <c r="P3734" s="95"/>
      <c r="Q3734" s="95"/>
      <c r="R3734" s="95"/>
      <c r="S3734" s="95"/>
      <c r="T3734" s="95"/>
      <c r="U3734" s="95"/>
      <c r="V3734" s="95"/>
      <c r="W3734" s="95"/>
      <c r="X3734" s="95"/>
      <c r="Y3734" s="95"/>
      <c r="Z3734" s="95"/>
      <c r="AA3734" s="95"/>
      <c r="AB3734" s="95"/>
      <c r="AC3734" s="95"/>
      <c r="AD3734" s="95"/>
      <c r="AE3734" s="95"/>
      <c r="AF3734" s="95">
        <f>IF($AF$3539&gt;0,'Assumptions (CSP)'!V$11*Model!$AF$3539*AVERAGE('Assumptions (CSP)'!$AB$2:$AD$2)/10^9,0)</f>
        <v>0</v>
      </c>
      <c r="AG3734" s="95">
        <f>IF($AF$3539&gt;0,'Assumptions (CSP)'!W$11*Model!$AF$3539*AVERAGE('Assumptions (CSP)'!$AB$2:$AD$2)/10^9,0)</f>
        <v>0</v>
      </c>
      <c r="AH3734" s="95">
        <f>IF($AF$3539&gt;0,'Assumptions (CSP)'!X$11*Model!$AF$3539*AVERAGE('Assumptions (CSP)'!$AB$2:$AD$2)/10^9,0)</f>
        <v>0</v>
      </c>
      <c r="AI3734" s="95">
        <f>IF($AF$3539&gt;0,'Assumptions (CSP)'!Y$11*Model!$AF$3539*AVERAGE('Assumptions (CSP)'!$AB$2:$AD$2)/10^9,0)</f>
        <v>0</v>
      </c>
      <c r="AJ3734" s="95">
        <f>IF($AF$3539&gt;0,'Assumptions (CSP)'!Z$11*Model!$AF$3539*AVERAGE('Assumptions (CSP)'!$AB$2:$AD$2)/10^9,0)</f>
        <v>0</v>
      </c>
      <c r="AK3734" s="95">
        <f>IF($AF$3539&gt;0,'Assumptions (CSP)'!AA$11*Model!$AF$3539*AVERAGE('Assumptions (CSP)'!$AB$2:$AD$2)/10^9,0)</f>
        <v>0</v>
      </c>
      <c r="AL3734" s="95"/>
      <c r="AM3734" s="95"/>
      <c r="AN3734" s="95"/>
      <c r="AO3734" s="95"/>
      <c r="AP3734" s="95"/>
      <c r="AQ3734" s="95"/>
      <c r="AR3734" s="95"/>
      <c r="AS3734" s="95"/>
      <c r="AT3734" s="95"/>
      <c r="AU3734" s="95"/>
      <c r="AV3734" s="95"/>
      <c r="AW3734" s="95"/>
      <c r="AX3734" s="95"/>
      <c r="AY3734" s="95"/>
      <c r="AZ3734" s="95"/>
      <c r="BA3734" s="95"/>
    </row>
    <row r="3735" ht="15.75" hidden="1" customHeight="1">
      <c r="A3735" s="398"/>
      <c r="B3735" s="38"/>
      <c r="C3735" s="95"/>
      <c r="D3735" s="95"/>
      <c r="E3735" s="95"/>
      <c r="F3735" s="95"/>
      <c r="G3735" s="95"/>
      <c r="H3735" s="95"/>
      <c r="I3735" s="95"/>
      <c r="J3735" s="95"/>
      <c r="K3735" s="95"/>
      <c r="L3735" s="95"/>
      <c r="M3735" s="95"/>
      <c r="N3735" s="95"/>
      <c r="O3735" s="95"/>
      <c r="P3735" s="95"/>
      <c r="Q3735" s="95"/>
      <c r="R3735" s="95"/>
      <c r="S3735" s="95"/>
      <c r="T3735" s="95"/>
      <c r="U3735" s="95"/>
      <c r="V3735" s="95"/>
      <c r="W3735" s="95"/>
      <c r="X3735" s="95"/>
      <c r="Y3735" s="95"/>
      <c r="Z3735" s="95"/>
      <c r="AA3735" s="95"/>
      <c r="AB3735" s="95"/>
      <c r="AC3735" s="95"/>
      <c r="AD3735" s="95"/>
      <c r="AE3735" s="95"/>
      <c r="AF3735" s="95"/>
      <c r="AG3735" s="95">
        <f>IF($AG$3539&gt;0,'Assumptions (CSP)'!V$11*Model!$AG$3539*AVERAGE('Assumptions (CSP)'!$AC$2:$AE$2)/10^9,0)</f>
        <v>0</v>
      </c>
      <c r="AH3735" s="95">
        <f>IF($AG$3539&gt;0,'Assumptions (CSP)'!W$11*Model!$AG$3539*AVERAGE('Assumptions (CSP)'!$AC$2:$AE$2)/10^9,0)</f>
        <v>0</v>
      </c>
      <c r="AI3735" s="95">
        <f>IF($AG$3539&gt;0,'Assumptions (CSP)'!X$11*Model!$AG$3539*AVERAGE('Assumptions (CSP)'!$AC$2:$AE$2)/10^9,0)</f>
        <v>0</v>
      </c>
      <c r="AJ3735" s="95">
        <f>IF($AG$3539&gt;0,'Assumptions (CSP)'!Y$11*Model!$AG$3539*AVERAGE('Assumptions (CSP)'!$AC$2:$AE$2)/10^9,0)</f>
        <v>0</v>
      </c>
      <c r="AK3735" s="95">
        <f>IF($AG$3539&gt;0,'Assumptions (CSP)'!Z$11*Model!$AG$3539*AVERAGE('Assumptions (CSP)'!$AC$2:$AE$2)/10^9,0)</f>
        <v>0</v>
      </c>
      <c r="AL3735" s="95">
        <f>IF($AG$3539&gt;0,'Assumptions (CSP)'!AA$11*Model!$AG$3539*AVERAGE('Assumptions (CSP)'!$AC$2:$AE$2)/10^9,0)</f>
        <v>0</v>
      </c>
      <c r="AM3735" s="95"/>
      <c r="AN3735" s="95"/>
      <c r="AO3735" s="95"/>
      <c r="AP3735" s="95"/>
      <c r="AQ3735" s="95"/>
      <c r="AR3735" s="95"/>
      <c r="AS3735" s="95"/>
      <c r="AT3735" s="95"/>
      <c r="AU3735" s="95"/>
      <c r="AV3735" s="95"/>
      <c r="AW3735" s="95"/>
      <c r="AX3735" s="95"/>
      <c r="AY3735" s="95"/>
      <c r="AZ3735" s="95"/>
      <c r="BA3735" s="95"/>
    </row>
    <row r="3736" ht="15.75" hidden="1" customHeight="1">
      <c r="A3736" s="398"/>
      <c r="B3736" s="38"/>
      <c r="C3736" s="95"/>
      <c r="D3736" s="95"/>
      <c r="E3736" s="95"/>
      <c r="F3736" s="95"/>
      <c r="G3736" s="95"/>
      <c r="H3736" s="95"/>
      <c r="I3736" s="95"/>
      <c r="J3736" s="95"/>
      <c r="K3736" s="95"/>
      <c r="L3736" s="95"/>
      <c r="M3736" s="95"/>
      <c r="N3736" s="95"/>
      <c r="O3736" s="95"/>
      <c r="P3736" s="95"/>
      <c r="Q3736" s="95"/>
      <c r="R3736" s="95"/>
      <c r="S3736" s="95"/>
      <c r="T3736" s="95"/>
      <c r="U3736" s="95"/>
      <c r="V3736" s="95"/>
      <c r="W3736" s="95"/>
      <c r="X3736" s="95"/>
      <c r="Y3736" s="95"/>
      <c r="Z3736" s="95"/>
      <c r="AA3736" s="95"/>
      <c r="AB3736" s="95"/>
      <c r="AC3736" s="95"/>
      <c r="AD3736" s="95"/>
      <c r="AE3736" s="95"/>
      <c r="AF3736" s="95"/>
      <c r="AG3736" s="95"/>
      <c r="AH3736" s="95">
        <f>IF($AH$3539&gt;0,'Assumptions (CSP)'!V$11*Model!$AH$3539*AVERAGE('Assumptions (CSP)'!$AD$2:$AF$2)/10^9,0)</f>
        <v>0</v>
      </c>
      <c r="AI3736" s="95">
        <f>IF($AH$3539&gt;0,'Assumptions (CSP)'!W$11*Model!$AH$3539*AVERAGE('Assumptions (CSP)'!$AD$2:$AF$2)/10^9,0)</f>
        <v>0</v>
      </c>
      <c r="AJ3736" s="95">
        <f>IF($AH$3539&gt;0,'Assumptions (CSP)'!X$11*Model!$AH$3539*AVERAGE('Assumptions (CSP)'!$AD$2:$AF$2)/10^9,0)</f>
        <v>0</v>
      </c>
      <c r="AK3736" s="95">
        <f>IF($AH$3539&gt;0,'Assumptions (CSP)'!Y$11*Model!$AH$3539*AVERAGE('Assumptions (CSP)'!$AD$2:$AF$2)/10^9,0)</f>
        <v>0</v>
      </c>
      <c r="AL3736" s="95">
        <f>IF($AH$3539&gt;0,'Assumptions (CSP)'!Z$11*Model!$AH$3539*AVERAGE('Assumptions (CSP)'!$AD$2:$AF$2)/10^9,0)</f>
        <v>0</v>
      </c>
      <c r="AM3736" s="95">
        <f>IF($AH$3539&gt;0,'Assumptions (CSP)'!AA$11*Model!$AH$3539*AVERAGE('Assumptions (CSP)'!$AD$2:$AF$2)/10^9,0)</f>
        <v>0</v>
      </c>
      <c r="AN3736" s="95"/>
      <c r="AO3736" s="95"/>
      <c r="AP3736" s="95"/>
      <c r="AQ3736" s="95"/>
      <c r="AR3736" s="95"/>
      <c r="AS3736" s="95"/>
      <c r="AT3736" s="95"/>
      <c r="AU3736" s="95"/>
      <c r="AV3736" s="95"/>
      <c r="AW3736" s="95"/>
      <c r="AX3736" s="95"/>
      <c r="AY3736" s="95"/>
      <c r="AZ3736" s="95"/>
      <c r="BA3736" s="95"/>
    </row>
    <row r="3737" ht="15.75" hidden="1" customHeight="1">
      <c r="A3737" s="398"/>
      <c r="B3737" s="38"/>
      <c r="C3737" s="95"/>
      <c r="D3737" s="95"/>
      <c r="E3737" s="95"/>
      <c r="F3737" s="95"/>
      <c r="G3737" s="95"/>
      <c r="H3737" s="95"/>
      <c r="I3737" s="95"/>
      <c r="J3737" s="95"/>
      <c r="K3737" s="95"/>
      <c r="L3737" s="95"/>
      <c r="M3737" s="95"/>
      <c r="N3737" s="95"/>
      <c r="O3737" s="95"/>
      <c r="P3737" s="95"/>
      <c r="Q3737" s="95"/>
      <c r="R3737" s="95"/>
      <c r="S3737" s="95"/>
      <c r="T3737" s="95"/>
      <c r="U3737" s="95"/>
      <c r="V3737" s="95"/>
      <c r="W3737" s="95"/>
      <c r="X3737" s="95"/>
      <c r="Y3737" s="95"/>
      <c r="Z3737" s="95"/>
      <c r="AA3737" s="95"/>
      <c r="AB3737" s="95"/>
      <c r="AC3737" s="95"/>
      <c r="AD3737" s="95"/>
      <c r="AE3737" s="95"/>
      <c r="AF3737" s="95"/>
      <c r="AG3737" s="95"/>
      <c r="AH3737" s="95"/>
      <c r="AI3737" s="95">
        <f>IF($AI$3539&gt;0,'Assumptions (CSP)'!V$11*Model!$AI$3539*AVERAGE('Assumptions (CSP)'!$AE$2:$AG$2)/10^9,0)</f>
        <v>0</v>
      </c>
      <c r="AJ3737" s="95">
        <f>IF($AI$3539&gt;0,'Assumptions (CSP)'!W$11*Model!$AI$3539*AVERAGE('Assumptions (CSP)'!$AE$2:$AG$2)/10^9,0)</f>
        <v>0</v>
      </c>
      <c r="AK3737" s="95">
        <f>IF($AI$3539&gt;0,'Assumptions (CSP)'!X$11*Model!$AI$3539*AVERAGE('Assumptions (CSP)'!$AE$2:$AG$2)/10^9,0)</f>
        <v>0</v>
      </c>
      <c r="AL3737" s="95">
        <f>IF($AI$3539&gt;0,'Assumptions (CSP)'!Y$11*Model!$AI$3539*AVERAGE('Assumptions (CSP)'!$AE$2:$AG$2)/10^9,0)</f>
        <v>0</v>
      </c>
      <c r="AM3737" s="95">
        <f>IF($AI$3539&gt;0,'Assumptions (CSP)'!Z$11*Model!$AI$3539*AVERAGE('Assumptions (CSP)'!$AE$2:$AG$2)/10^9,0)</f>
        <v>0</v>
      </c>
      <c r="AN3737" s="95">
        <f>IF($AI$3539&gt;0,'Assumptions (CSP)'!AA$11*Model!$AI$3539*AVERAGE('Assumptions (CSP)'!$AE$2:$AG$2)/10^9,0)</f>
        <v>0</v>
      </c>
      <c r="AO3737" s="95"/>
      <c r="AP3737" s="95"/>
      <c r="AQ3737" s="95"/>
      <c r="AR3737" s="95"/>
      <c r="AS3737" s="95"/>
      <c r="AT3737" s="95"/>
      <c r="AU3737" s="95"/>
      <c r="AV3737" s="95"/>
      <c r="AW3737" s="95"/>
      <c r="AX3737" s="95"/>
      <c r="AY3737" s="95"/>
      <c r="AZ3737" s="95"/>
      <c r="BA3737" s="95"/>
    </row>
    <row r="3738" ht="15.75" hidden="1" customHeight="1">
      <c r="A3738" s="398"/>
      <c r="B3738" s="38"/>
      <c r="C3738" s="95"/>
      <c r="D3738" s="95"/>
      <c r="E3738" s="95"/>
      <c r="F3738" s="95"/>
      <c r="G3738" s="95"/>
      <c r="H3738" s="95"/>
      <c r="I3738" s="95"/>
      <c r="J3738" s="95"/>
      <c r="K3738" s="95"/>
      <c r="L3738" s="95"/>
      <c r="M3738" s="95"/>
      <c r="N3738" s="95"/>
      <c r="O3738" s="95"/>
      <c r="P3738" s="95"/>
      <c r="Q3738" s="95"/>
      <c r="R3738" s="95"/>
      <c r="S3738" s="95"/>
      <c r="T3738" s="95"/>
      <c r="U3738" s="95"/>
      <c r="V3738" s="95"/>
      <c r="W3738" s="95"/>
      <c r="X3738" s="95"/>
      <c r="Y3738" s="95"/>
      <c r="Z3738" s="95"/>
      <c r="AA3738" s="95"/>
      <c r="AB3738" s="95"/>
      <c r="AC3738" s="95"/>
      <c r="AD3738" s="95"/>
      <c r="AE3738" s="95"/>
      <c r="AF3738" s="95"/>
      <c r="AG3738" s="95"/>
      <c r="AH3738" s="95"/>
      <c r="AI3738" s="95"/>
      <c r="AJ3738" s="95">
        <f>IF($AJ$3539&gt;0,'Assumptions (CSP)'!V$11*Model!$AJ$3539*AVERAGE('Assumptions (CSP)'!$AF$2:$AH$2)/10^9,0)</f>
        <v>0</v>
      </c>
      <c r="AK3738" s="95">
        <f>IF($AJ$3539&gt;0,'Assumptions (CSP)'!W$11*Model!$AJ$3539*AVERAGE('Assumptions (CSP)'!$AF$2:$AH$2)/10^9,0)</f>
        <v>0</v>
      </c>
      <c r="AL3738" s="95">
        <f>IF($AJ$3539&gt;0,'Assumptions (CSP)'!X$11*Model!$AJ$3539*AVERAGE('Assumptions (CSP)'!$AF$2:$AH$2)/10^9,0)</f>
        <v>0</v>
      </c>
      <c r="AM3738" s="95">
        <f>IF($AJ$3539&gt;0,'Assumptions (CSP)'!Y$11*Model!$AJ$3539*AVERAGE('Assumptions (CSP)'!$AF$2:$AH$2)/10^9,0)</f>
        <v>0</v>
      </c>
      <c r="AN3738" s="95">
        <f>IF($AJ$3539&gt;0,'Assumptions (CSP)'!Z$11*Model!$AJ$3539*AVERAGE('Assumptions (CSP)'!$AF$2:$AH$2)/10^9,0)</f>
        <v>0</v>
      </c>
      <c r="AO3738" s="95">
        <f>IF($AJ$3539&gt;0,'Assumptions (CSP)'!AA$11*Model!$AJ$3539*AVERAGE('Assumptions (CSP)'!$AF$2:$AH$2)/10^9,0)</f>
        <v>0</v>
      </c>
      <c r="AP3738" s="95"/>
      <c r="AQ3738" s="95"/>
      <c r="AR3738" s="95"/>
      <c r="AS3738" s="95"/>
      <c r="AT3738" s="95"/>
      <c r="AU3738" s="95"/>
      <c r="AV3738" s="95"/>
      <c r="AW3738" s="95"/>
      <c r="AX3738" s="95"/>
      <c r="AY3738" s="95"/>
      <c r="AZ3738" s="95"/>
      <c r="BA3738" s="95"/>
    </row>
    <row r="3739" ht="15.75" hidden="1" customHeight="1">
      <c r="A3739" s="398"/>
      <c r="B3739" s="38"/>
      <c r="C3739" s="95"/>
      <c r="D3739" s="95"/>
      <c r="E3739" s="95"/>
      <c r="F3739" s="95"/>
      <c r="G3739" s="95"/>
      <c r="H3739" s="95"/>
      <c r="I3739" s="95"/>
      <c r="J3739" s="95"/>
      <c r="K3739" s="95"/>
      <c r="L3739" s="95"/>
      <c r="M3739" s="95"/>
      <c r="N3739" s="95"/>
      <c r="O3739" s="95"/>
      <c r="P3739" s="95"/>
      <c r="Q3739" s="95"/>
      <c r="R3739" s="95"/>
      <c r="S3739" s="95"/>
      <c r="T3739" s="95"/>
      <c r="U3739" s="95"/>
      <c r="V3739" s="95"/>
      <c r="W3739" s="95"/>
      <c r="X3739" s="95"/>
      <c r="Y3739" s="95"/>
      <c r="Z3739" s="95"/>
      <c r="AA3739" s="95"/>
      <c r="AB3739" s="95"/>
      <c r="AC3739" s="95"/>
      <c r="AD3739" s="95"/>
      <c r="AE3739" s="95"/>
      <c r="AF3739" s="95"/>
      <c r="AG3739" s="95"/>
      <c r="AH3739" s="95"/>
      <c r="AI3739" s="95"/>
      <c r="AJ3739" s="95"/>
      <c r="AK3739" s="95">
        <f>IF($AK$3539&gt;0,'Assumptions (CSP)'!V$11*Model!$AK$3539*AVERAGE('Assumptions (CSP)'!$AG$2:$AI$2)/10^9,0)</f>
        <v>0</v>
      </c>
      <c r="AL3739" s="95">
        <f>IF($AK$3539&gt;0,'Assumptions (CSP)'!W$11*Model!$AK$3539*AVERAGE('Assumptions (CSP)'!$AG$2:$AI$2)/10^9,0)</f>
        <v>0</v>
      </c>
      <c r="AM3739" s="95">
        <f>IF($AK$3539&gt;0,'Assumptions (CSP)'!X$11*Model!$AK$3539*AVERAGE('Assumptions (CSP)'!$AG$2:$AI$2)/10^9,0)</f>
        <v>0</v>
      </c>
      <c r="AN3739" s="95">
        <f>IF($AK$3539&gt;0,'Assumptions (CSP)'!Y$11*Model!$AK$3539*AVERAGE('Assumptions (CSP)'!$AG$2:$AI$2)/10^9,0)</f>
        <v>0</v>
      </c>
      <c r="AO3739" s="95">
        <f>IF($AK$3539&gt;0,'Assumptions (CSP)'!Z$11*Model!$AK$3539*AVERAGE('Assumptions (CSP)'!$AG$2:$AI$2)/10^9,0)</f>
        <v>0</v>
      </c>
      <c r="AP3739" s="95">
        <f>IF($AK$3539&gt;0,'Assumptions (CSP)'!AA$11*Model!$AK$3539*AVERAGE('Assumptions (CSP)'!$AG$2:$AI$2)/10^9,0)</f>
        <v>0</v>
      </c>
      <c r="AQ3739" s="95"/>
      <c r="AR3739" s="95"/>
      <c r="AS3739" s="95"/>
      <c r="AT3739" s="95"/>
      <c r="AU3739" s="95"/>
      <c r="AV3739" s="95"/>
      <c r="AW3739" s="95"/>
      <c r="AX3739" s="95"/>
      <c r="AY3739" s="95"/>
      <c r="AZ3739" s="95"/>
      <c r="BA3739" s="95"/>
    </row>
    <row r="3740" ht="15.75" hidden="1" customHeight="1">
      <c r="A3740" s="398"/>
      <c r="B3740" s="38"/>
      <c r="C3740" s="95"/>
      <c r="D3740" s="95"/>
      <c r="E3740" s="95"/>
      <c r="F3740" s="95"/>
      <c r="G3740" s="95"/>
      <c r="H3740" s="95"/>
      <c r="I3740" s="95"/>
      <c r="J3740" s="95"/>
      <c r="K3740" s="95"/>
      <c r="L3740" s="95"/>
      <c r="M3740" s="95"/>
      <c r="N3740" s="95"/>
      <c r="O3740" s="95"/>
      <c r="P3740" s="95"/>
      <c r="Q3740" s="95"/>
      <c r="R3740" s="95"/>
      <c r="S3740" s="95"/>
      <c r="T3740" s="95"/>
      <c r="U3740" s="95"/>
      <c r="V3740" s="95"/>
      <c r="W3740" s="95"/>
      <c r="X3740" s="95"/>
      <c r="Y3740" s="95"/>
      <c r="Z3740" s="95"/>
      <c r="AA3740" s="95"/>
      <c r="AB3740" s="95"/>
      <c r="AC3740" s="95"/>
      <c r="AD3740" s="95"/>
      <c r="AE3740" s="95"/>
      <c r="AF3740" s="95"/>
      <c r="AG3740" s="95"/>
      <c r="AH3740" s="95"/>
      <c r="AI3740" s="95"/>
      <c r="AJ3740" s="95"/>
      <c r="AK3740" s="95"/>
      <c r="AL3740" s="95">
        <f>IF($AL$3539&gt;0,'Assumptions (CSP)'!V$11*Model!$AL$3539*AVERAGE('Assumptions (CSP)'!$AH$2:$AJ$2)/10^9,0)</f>
        <v>0</v>
      </c>
      <c r="AM3740" s="95">
        <f>IF($AL$3539&gt;0,'Assumptions (CSP)'!W$11*Model!$AL$3539*AVERAGE('Assumptions (CSP)'!$AH$2:$AJ$2)/10^9,0)</f>
        <v>0</v>
      </c>
      <c r="AN3740" s="95">
        <f>IF($AL$3539&gt;0,'Assumptions (CSP)'!X$11*Model!$AL$3539*AVERAGE('Assumptions (CSP)'!$AH$2:$AJ$2)/10^9,0)</f>
        <v>0</v>
      </c>
      <c r="AO3740" s="95">
        <f>IF($AL$3539&gt;0,'Assumptions (CSP)'!Y$11*Model!$AL$3539*AVERAGE('Assumptions (CSP)'!$AH$2:$AJ$2)/10^9,0)</f>
        <v>0</v>
      </c>
      <c r="AP3740" s="95">
        <f>IF($AL$3539&gt;0,'Assumptions (CSP)'!Z$11*Model!$AL$3539*AVERAGE('Assumptions (CSP)'!$AH$2:$AJ$2)/10^9,0)</f>
        <v>0</v>
      </c>
      <c r="AQ3740" s="95">
        <f>IF($AL$3539&gt;0,'Assumptions (CSP)'!AA$11*Model!$AL$3539*AVERAGE('Assumptions (CSP)'!$AH$2:$AJ$2)/10^9,0)</f>
        <v>0</v>
      </c>
      <c r="AR3740" s="95"/>
      <c r="AS3740" s="95"/>
      <c r="AT3740" s="95"/>
      <c r="AU3740" s="95"/>
      <c r="AV3740" s="95"/>
      <c r="AW3740" s="95"/>
      <c r="AX3740" s="95"/>
      <c r="AY3740" s="95"/>
      <c r="AZ3740" s="95"/>
      <c r="BA3740" s="95"/>
    </row>
    <row r="3741" ht="15.75" hidden="1" customHeight="1">
      <c r="A3741" s="398"/>
      <c r="B3741" s="38"/>
      <c r="C3741" s="95"/>
      <c r="D3741" s="95"/>
      <c r="E3741" s="95"/>
      <c r="F3741" s="95"/>
      <c r="G3741" s="95"/>
      <c r="H3741" s="95"/>
      <c r="I3741" s="95"/>
      <c r="J3741" s="95"/>
      <c r="K3741" s="95"/>
      <c r="L3741" s="95"/>
      <c r="M3741" s="95"/>
      <c r="N3741" s="95"/>
      <c r="O3741" s="95"/>
      <c r="P3741" s="95"/>
      <c r="Q3741" s="95"/>
      <c r="R3741" s="95"/>
      <c r="S3741" s="95"/>
      <c r="T3741" s="95"/>
      <c r="U3741" s="95"/>
      <c r="V3741" s="95"/>
      <c r="W3741" s="95"/>
      <c r="X3741" s="95"/>
      <c r="Y3741" s="95"/>
      <c r="Z3741" s="95"/>
      <c r="AA3741" s="95"/>
      <c r="AB3741" s="95"/>
      <c r="AC3741" s="95"/>
      <c r="AD3741" s="95"/>
      <c r="AE3741" s="95"/>
      <c r="AF3741" s="95"/>
      <c r="AG3741" s="95"/>
      <c r="AH3741" s="95"/>
      <c r="AI3741" s="95"/>
      <c r="AJ3741" s="95"/>
      <c r="AK3741" s="95"/>
      <c r="AL3741" s="95"/>
      <c r="AM3741" s="95">
        <f>IF($AM$3539&gt;0,'Assumptions (CSP)'!V$11*Model!$AM$3539*AVERAGE('Assumptions (CSP)'!$AI$2:$AK$2)/10^9,0)</f>
        <v>0</v>
      </c>
      <c r="AN3741" s="95">
        <f>IF($AM$3539&gt;0,'Assumptions (CSP)'!W$11*Model!$AM$3539*AVERAGE('Assumptions (CSP)'!$AI$2:$AK$2)/10^9,0)</f>
        <v>0</v>
      </c>
      <c r="AO3741" s="95">
        <f>IF($AM$3539&gt;0,'Assumptions (CSP)'!X$11*Model!$AM$3539*AVERAGE('Assumptions (CSP)'!$AI$2:$AK$2)/10^9,0)</f>
        <v>0</v>
      </c>
      <c r="AP3741" s="95">
        <f>IF($AM$3539&gt;0,'Assumptions (CSP)'!Y$11*Model!$AM$3539*AVERAGE('Assumptions (CSP)'!$AI$2:$AK$2)/10^9,0)</f>
        <v>0</v>
      </c>
      <c r="AQ3741" s="95">
        <f>IF($AM$3539&gt;0,'Assumptions (CSP)'!Z$11*Model!$AM$3539*AVERAGE('Assumptions (CSP)'!$AI$2:$AK$2)/10^9,0)</f>
        <v>0</v>
      </c>
      <c r="AR3741" s="95">
        <f>IF($AM$3539&gt;0,'Assumptions (CSP)'!AA$11*Model!$AM$3539*AVERAGE('Assumptions (CSP)'!$AI$2:$AK$2)/10^9,0)</f>
        <v>0</v>
      </c>
      <c r="AS3741" s="95"/>
      <c r="AT3741" s="95"/>
      <c r="AU3741" s="95"/>
      <c r="AV3741" s="95"/>
      <c r="AW3741" s="95"/>
      <c r="AX3741" s="95"/>
      <c r="AY3741" s="95"/>
      <c r="AZ3741" s="95"/>
      <c r="BA3741" s="95"/>
    </row>
    <row r="3742" ht="15.75" hidden="1" customHeight="1">
      <c r="A3742" s="398"/>
      <c r="B3742" s="38"/>
      <c r="C3742" s="95"/>
      <c r="D3742" s="95"/>
      <c r="E3742" s="95"/>
      <c r="F3742" s="95"/>
      <c r="G3742" s="95"/>
      <c r="H3742" s="95"/>
      <c r="I3742" s="95"/>
      <c r="J3742" s="95"/>
      <c r="K3742" s="95"/>
      <c r="L3742" s="95"/>
      <c r="M3742" s="95"/>
      <c r="N3742" s="95"/>
      <c r="O3742" s="95"/>
      <c r="P3742" s="95"/>
      <c r="Q3742" s="95"/>
      <c r="R3742" s="95"/>
      <c r="S3742" s="95"/>
      <c r="T3742" s="95"/>
      <c r="U3742" s="95"/>
      <c r="V3742" s="95"/>
      <c r="W3742" s="95"/>
      <c r="X3742" s="95"/>
      <c r="Y3742" s="95"/>
      <c r="Z3742" s="95"/>
      <c r="AA3742" s="95"/>
      <c r="AB3742" s="95"/>
      <c r="AC3742" s="95"/>
      <c r="AD3742" s="95"/>
      <c r="AE3742" s="95"/>
      <c r="AF3742" s="95"/>
      <c r="AG3742" s="95"/>
      <c r="AH3742" s="95"/>
      <c r="AI3742" s="95"/>
      <c r="AJ3742" s="95"/>
      <c r="AK3742" s="95"/>
      <c r="AL3742" s="95"/>
      <c r="AM3742" s="95"/>
      <c r="AN3742" s="95">
        <f>IF($AN$3539&gt;0,'Assumptions (CSP)'!V$11*Model!$AN$3539*AVERAGE('Assumptions (CSP)'!$AJ$2:$AL$2)/10^9,0)</f>
        <v>0</v>
      </c>
      <c r="AO3742" s="95">
        <f>IF($AN$3539&gt;0,'Assumptions (CSP)'!W$11*Model!$AN$3539*AVERAGE('Assumptions (CSP)'!$AJ$2:$AL$2)/10^9,0)</f>
        <v>0</v>
      </c>
      <c r="AP3742" s="95">
        <f>IF($AN$3539&gt;0,'Assumptions (CSP)'!X$11*Model!$AN$3539*AVERAGE('Assumptions (CSP)'!$AJ$2:$AL$2)/10^9,0)</f>
        <v>0</v>
      </c>
      <c r="AQ3742" s="95">
        <f>IF($AN$3539&gt;0,'Assumptions (CSP)'!Y$11*Model!$AN$3539*AVERAGE('Assumptions (CSP)'!$AJ$2:$AL$2)/10^9,0)</f>
        <v>0</v>
      </c>
      <c r="AR3742" s="95">
        <f>IF($AN$3539&gt;0,'Assumptions (CSP)'!Z$11*Model!$AN$3539*AVERAGE('Assumptions (CSP)'!$AJ$2:$AL$2)/10^9,0)</f>
        <v>0</v>
      </c>
      <c r="AS3742" s="95">
        <f>IF($AN$3539&gt;0,'Assumptions (CSP)'!AA$11*Model!$AN$3539*AVERAGE('Assumptions (CSP)'!$AJ$2:$AL$2)/10^9,0)</f>
        <v>0</v>
      </c>
      <c r="AT3742" s="95"/>
      <c r="AU3742" s="95"/>
      <c r="AV3742" s="95"/>
      <c r="AW3742" s="95"/>
      <c r="AX3742" s="95"/>
      <c r="AY3742" s="95"/>
      <c r="AZ3742" s="95"/>
      <c r="BA3742" s="95"/>
    </row>
    <row r="3743" ht="15.75" hidden="1" customHeight="1">
      <c r="A3743" s="398"/>
      <c r="B3743" s="38"/>
      <c r="C3743" s="95"/>
      <c r="D3743" s="95"/>
      <c r="E3743" s="95"/>
      <c r="F3743" s="95"/>
      <c r="G3743" s="95"/>
      <c r="H3743" s="95"/>
      <c r="I3743" s="95"/>
      <c r="J3743" s="95"/>
      <c r="K3743" s="95"/>
      <c r="L3743" s="95"/>
      <c r="M3743" s="95"/>
      <c r="N3743" s="95"/>
      <c r="O3743" s="95"/>
      <c r="P3743" s="95"/>
      <c r="Q3743" s="95"/>
      <c r="R3743" s="95"/>
      <c r="S3743" s="95"/>
      <c r="T3743" s="95"/>
      <c r="U3743" s="95"/>
      <c r="V3743" s="95"/>
      <c r="W3743" s="95"/>
      <c r="X3743" s="95"/>
      <c r="Y3743" s="95"/>
      <c r="Z3743" s="95"/>
      <c r="AA3743" s="95"/>
      <c r="AB3743" s="95"/>
      <c r="AC3743" s="95"/>
      <c r="AD3743" s="95"/>
      <c r="AE3743" s="95"/>
      <c r="AF3743" s="95"/>
      <c r="AG3743" s="95"/>
      <c r="AH3743" s="95"/>
      <c r="AI3743" s="95"/>
      <c r="AJ3743" s="95"/>
      <c r="AK3743" s="95"/>
      <c r="AL3743" s="95"/>
      <c r="AM3743" s="95"/>
      <c r="AN3743" s="95"/>
      <c r="AO3743" s="95">
        <f>IF($AO$3539&gt;0,'Assumptions (CSP)'!V$11*Model!$AO$3539*AVERAGE('Assumptions (CSP)'!$AK$2:$AM$2)/10^9,0)</f>
        <v>0</v>
      </c>
      <c r="AP3743" s="95">
        <f>IF($AO$3539&gt;0,'Assumptions (CSP)'!W$11*Model!$AO$3539*AVERAGE('Assumptions (CSP)'!$AK$2:$AM$2)/10^9,0)</f>
        <v>0</v>
      </c>
      <c r="AQ3743" s="95">
        <f>IF($AO$3539&gt;0,'Assumptions (CSP)'!X$11*Model!$AO$3539*AVERAGE('Assumptions (CSP)'!$AK$2:$AM$2)/10^9,0)</f>
        <v>0</v>
      </c>
      <c r="AR3743" s="95">
        <f>IF($AO$3539&gt;0,'Assumptions (CSP)'!Y$11*Model!$AO$3539*AVERAGE('Assumptions (CSP)'!$AK$2:$AM$2)/10^9,0)</f>
        <v>0</v>
      </c>
      <c r="AS3743" s="95">
        <f>IF($AO$3539&gt;0,'Assumptions (CSP)'!Z$11*Model!$AO$3539*AVERAGE('Assumptions (CSP)'!$AK$2:$AM$2)/10^9,0)</f>
        <v>0</v>
      </c>
      <c r="AT3743" s="95">
        <f>IF($AO$3539&gt;0,'Assumptions (CSP)'!AA$11*Model!$AO$3539*AVERAGE('Assumptions (CSP)'!$AK$2:$AM$2)/10^9,0)</f>
        <v>0</v>
      </c>
      <c r="AU3743" s="95"/>
      <c r="AV3743" s="95"/>
      <c r="AW3743" s="95"/>
      <c r="AX3743" s="95"/>
      <c r="AY3743" s="95"/>
      <c r="AZ3743" s="95"/>
      <c r="BA3743" s="95"/>
    </row>
    <row r="3744" ht="15.75" hidden="1" customHeight="1">
      <c r="A3744" s="398"/>
      <c r="B3744" s="38"/>
      <c r="C3744" s="95"/>
      <c r="D3744" s="95"/>
      <c r="E3744" s="95"/>
      <c r="F3744" s="95"/>
      <c r="G3744" s="95"/>
      <c r="H3744" s="95"/>
      <c r="I3744" s="95"/>
      <c r="J3744" s="95"/>
      <c r="K3744" s="95"/>
      <c r="L3744" s="95"/>
      <c r="M3744" s="95"/>
      <c r="N3744" s="95"/>
      <c r="O3744" s="95"/>
      <c r="P3744" s="95"/>
      <c r="Q3744" s="95"/>
      <c r="R3744" s="95"/>
      <c r="S3744" s="95"/>
      <c r="T3744" s="95"/>
      <c r="U3744" s="95"/>
      <c r="V3744" s="95"/>
      <c r="W3744" s="95"/>
      <c r="X3744" s="95"/>
      <c r="Y3744" s="95"/>
      <c r="Z3744" s="95"/>
      <c r="AA3744" s="95"/>
      <c r="AB3744" s="95"/>
      <c r="AC3744" s="95"/>
      <c r="AD3744" s="95"/>
      <c r="AE3744" s="95"/>
      <c r="AF3744" s="95"/>
      <c r="AG3744" s="95"/>
      <c r="AH3744" s="95"/>
      <c r="AI3744" s="95"/>
      <c r="AJ3744" s="95"/>
      <c r="AK3744" s="95"/>
      <c r="AL3744" s="95"/>
      <c r="AM3744" s="95"/>
      <c r="AN3744" s="95"/>
      <c r="AO3744" s="95"/>
      <c r="AP3744" s="95">
        <f>IF($AP$3539&gt;0,'Assumptions (CSP)'!V$11*Model!$AP$3539*AVERAGE('Assumptions (CSP)'!$AL$2:$AN$2)/10^9,0)</f>
        <v>0</v>
      </c>
      <c r="AQ3744" s="95">
        <f>IF($AP$3539&gt;0,'Assumptions (CSP)'!W$11*Model!$AP$3539*AVERAGE('Assumptions (CSP)'!$AL$2:$AN$2)/10^9,0)</f>
        <v>0</v>
      </c>
      <c r="AR3744" s="95">
        <f>IF($AP$3539&gt;0,'Assumptions (CSP)'!X$11*Model!$AP$3539*AVERAGE('Assumptions (CSP)'!$AL$2:$AN$2)/10^9,0)</f>
        <v>0</v>
      </c>
      <c r="AS3744" s="95">
        <f>IF($AP$3539&gt;0,'Assumptions (CSP)'!Y$11*Model!$AP$3539*AVERAGE('Assumptions (CSP)'!$AL$2:$AN$2)/10^9,0)</f>
        <v>0</v>
      </c>
      <c r="AT3744" s="95">
        <f>IF($AP$3539&gt;0,'Assumptions (CSP)'!Z$11*Model!$AP$3539*AVERAGE('Assumptions (CSP)'!$AL$2:$AN$2)/10^9,0)</f>
        <v>0</v>
      </c>
      <c r="AU3744" s="95">
        <f>IF($AP$3539&gt;0,'Assumptions (CSP)'!AA$11*Model!$AP$3539*AVERAGE('Assumptions (CSP)'!$AL$2:$AN$2)/10^9,0)</f>
        <v>0</v>
      </c>
      <c r="AV3744" s="95"/>
      <c r="AW3744" s="95"/>
      <c r="AX3744" s="95"/>
      <c r="AY3744" s="95"/>
      <c r="AZ3744" s="95"/>
      <c r="BA3744" s="95"/>
    </row>
    <row r="3745" ht="15.75" hidden="1" customHeight="1">
      <c r="A3745" s="398"/>
      <c r="B3745" s="38"/>
      <c r="C3745" s="95"/>
      <c r="D3745" s="95"/>
      <c r="E3745" s="95"/>
      <c r="F3745" s="95"/>
      <c r="G3745" s="95"/>
      <c r="H3745" s="95"/>
      <c r="I3745" s="95"/>
      <c r="J3745" s="95"/>
      <c r="K3745" s="95"/>
      <c r="L3745" s="95"/>
      <c r="M3745" s="95"/>
      <c r="N3745" s="95"/>
      <c r="O3745" s="95"/>
      <c r="P3745" s="95"/>
      <c r="Q3745" s="95"/>
      <c r="R3745" s="95"/>
      <c r="S3745" s="95"/>
      <c r="T3745" s="95"/>
      <c r="U3745" s="95"/>
      <c r="V3745" s="95"/>
      <c r="W3745" s="95"/>
      <c r="X3745" s="95"/>
      <c r="Y3745" s="95"/>
      <c r="Z3745" s="95"/>
      <c r="AA3745" s="95"/>
      <c r="AB3745" s="95"/>
      <c r="AC3745" s="95"/>
      <c r="AD3745" s="95"/>
      <c r="AE3745" s="95"/>
      <c r="AF3745" s="95"/>
      <c r="AG3745" s="95"/>
      <c r="AH3745" s="95"/>
      <c r="AI3745" s="95"/>
      <c r="AJ3745" s="95"/>
      <c r="AK3745" s="95"/>
      <c r="AL3745" s="95"/>
      <c r="AM3745" s="95"/>
      <c r="AN3745" s="95"/>
      <c r="AO3745" s="95"/>
      <c r="AP3745" s="95"/>
      <c r="AQ3745" s="95">
        <f>IF($AQ$3539&gt;0,'Assumptions (CSP)'!V$11*Model!$AQ$3539*AVERAGE('Assumptions (CSP)'!$AM$2:$AO$2)/10^9,0)</f>
        <v>0</v>
      </c>
      <c r="AR3745" s="95">
        <f>IF($AQ$3539&gt;0,'Assumptions (CSP)'!W$11*Model!$AQ$3539*AVERAGE('Assumptions (CSP)'!$AM$2:$AO$2)/10^9,0)</f>
        <v>0</v>
      </c>
      <c r="AS3745" s="95">
        <f>IF($AQ$3539&gt;0,'Assumptions (CSP)'!X$11*Model!$AQ$3539*AVERAGE('Assumptions (CSP)'!$AM$2:$AO$2)/10^9,0)</f>
        <v>0</v>
      </c>
      <c r="AT3745" s="95">
        <f>IF($AQ$3539&gt;0,'Assumptions (CSP)'!Y$11*Model!$AQ$3539*AVERAGE('Assumptions (CSP)'!$AM$2:$AO$2)/10^9,0)</f>
        <v>0</v>
      </c>
      <c r="AU3745" s="95">
        <f>IF($AQ$3539&gt;0,'Assumptions (CSP)'!Z$11*Model!$AQ$3539*AVERAGE('Assumptions (CSP)'!$AM$2:$AO$2)/10^9,0)</f>
        <v>0</v>
      </c>
      <c r="AV3745" s="95">
        <f>IF($AQ$3539&gt;0,'Assumptions (CSP)'!AA$11*Model!$AQ$3539*AVERAGE('Assumptions (CSP)'!$AM$2:$AO$2)/10^9,0)</f>
        <v>0</v>
      </c>
      <c r="AW3745" s="95"/>
      <c r="AX3745" s="95"/>
      <c r="AY3745" s="95"/>
      <c r="AZ3745" s="95"/>
      <c r="BA3745" s="95"/>
    </row>
    <row r="3746" ht="15.75" hidden="1" customHeight="1">
      <c r="A3746" s="398"/>
      <c r="B3746" s="38"/>
      <c r="C3746" s="95"/>
      <c r="D3746" s="95"/>
      <c r="E3746" s="95"/>
      <c r="F3746" s="95"/>
      <c r="G3746" s="95"/>
      <c r="H3746" s="95"/>
      <c r="I3746" s="95"/>
      <c r="J3746" s="95"/>
      <c r="K3746" s="95"/>
      <c r="L3746" s="95"/>
      <c r="M3746" s="95"/>
      <c r="N3746" s="95"/>
      <c r="O3746" s="95"/>
      <c r="P3746" s="95"/>
      <c r="Q3746" s="95"/>
      <c r="R3746" s="95"/>
      <c r="S3746" s="95"/>
      <c r="T3746" s="95"/>
      <c r="U3746" s="95"/>
      <c r="V3746" s="95"/>
      <c r="W3746" s="95"/>
      <c r="X3746" s="95"/>
      <c r="Y3746" s="95"/>
      <c r="Z3746" s="95"/>
      <c r="AA3746" s="95"/>
      <c r="AB3746" s="95"/>
      <c r="AC3746" s="95"/>
      <c r="AD3746" s="95"/>
      <c r="AE3746" s="95"/>
      <c r="AF3746" s="95"/>
      <c r="AG3746" s="95"/>
      <c r="AH3746" s="95"/>
      <c r="AI3746" s="95"/>
      <c r="AJ3746" s="95"/>
      <c r="AK3746" s="95"/>
      <c r="AL3746" s="95"/>
      <c r="AM3746" s="95"/>
      <c r="AN3746" s="95"/>
      <c r="AO3746" s="95"/>
      <c r="AP3746" s="95"/>
      <c r="AQ3746" s="95"/>
      <c r="AR3746" s="95">
        <f>IF($AR$3539&gt;0,'Assumptions (CSP)'!V$11*Model!$AR$3539*AVERAGE('Assumptions (CSP)'!$AN$2:$AP$2)/10^9,0)</f>
        <v>0</v>
      </c>
      <c r="AS3746" s="95">
        <f>IF($AR$3539&gt;0,'Assumptions (CSP)'!W$11*Model!$AR$3539*AVERAGE('Assumptions (CSP)'!$AN$2:$AP$2)/10^9,0)</f>
        <v>0</v>
      </c>
      <c r="AT3746" s="95">
        <f>IF($AR$3539&gt;0,'Assumptions (CSP)'!X$11*Model!$AR$3539*AVERAGE('Assumptions (CSP)'!$AN$2:$AP$2)/10^9,0)</f>
        <v>0</v>
      </c>
      <c r="AU3746" s="95">
        <f>IF($AR$3539&gt;0,'Assumptions (CSP)'!Y$11*Model!$AR$3539*AVERAGE('Assumptions (CSP)'!$AN$2:$AP$2)/10^9,0)</f>
        <v>0</v>
      </c>
      <c r="AV3746" s="95">
        <f>IF($AR$3539&gt;0,'Assumptions (CSP)'!Z$11*Model!$AR$3539*AVERAGE('Assumptions (CSP)'!$AN$2:$AP$2)/10^9,0)</f>
        <v>0</v>
      </c>
      <c r="AW3746" s="95">
        <f>IF($AR$3539&gt;0,'Assumptions (CSP)'!AA$11*Model!$AR$3539*AVERAGE('Assumptions (CSP)'!$AN$2:$AP$2)/10^9,0)</f>
        <v>0</v>
      </c>
      <c r="AX3746" s="95"/>
      <c r="AY3746" s="95"/>
      <c r="AZ3746" s="95"/>
      <c r="BA3746" s="95"/>
    </row>
    <row r="3747" ht="15.75" hidden="1" customHeight="1">
      <c r="A3747" s="398"/>
      <c r="B3747" s="38"/>
      <c r="C3747" s="95"/>
      <c r="D3747" s="95"/>
      <c r="E3747" s="95"/>
      <c r="F3747" s="95"/>
      <c r="G3747" s="95"/>
      <c r="H3747" s="95"/>
      <c r="I3747" s="95"/>
      <c r="J3747" s="95"/>
      <c r="K3747" s="95"/>
      <c r="L3747" s="95"/>
      <c r="M3747" s="95"/>
      <c r="N3747" s="95"/>
      <c r="O3747" s="95"/>
      <c r="P3747" s="95"/>
      <c r="Q3747" s="95"/>
      <c r="R3747" s="95"/>
      <c r="S3747" s="95"/>
      <c r="T3747" s="95"/>
      <c r="U3747" s="95"/>
      <c r="V3747" s="95"/>
      <c r="W3747" s="95"/>
      <c r="X3747" s="95"/>
      <c r="Y3747" s="95"/>
      <c r="Z3747" s="95"/>
      <c r="AA3747" s="95"/>
      <c r="AB3747" s="95"/>
      <c r="AC3747" s="95"/>
      <c r="AD3747" s="95"/>
      <c r="AE3747" s="95"/>
      <c r="AF3747" s="95"/>
      <c r="AG3747" s="95"/>
      <c r="AH3747" s="95"/>
      <c r="AI3747" s="95"/>
      <c r="AJ3747" s="95"/>
      <c r="AK3747" s="95"/>
      <c r="AL3747" s="95"/>
      <c r="AM3747" s="95"/>
      <c r="AN3747" s="95"/>
      <c r="AO3747" s="95"/>
      <c r="AP3747" s="95"/>
      <c r="AQ3747" s="95"/>
      <c r="AR3747" s="95"/>
      <c r="AS3747" s="95">
        <f>IF($AS$3539&gt;0,'Assumptions (CSP)'!V$11*Model!$AS$3539*AVERAGE('Assumptions (CSP)'!$AO$2:$AQ$2)/10^9,0)</f>
        <v>0</v>
      </c>
      <c r="AT3747" s="95">
        <f>IF($AS$3539&gt;0,'Assumptions (CSP)'!W$11*Model!$AS$3539*AVERAGE('Assumptions (CSP)'!$AO$2:$AQ$2)/10^9,0)</f>
        <v>0</v>
      </c>
      <c r="AU3747" s="95">
        <f>IF($AS$3539&gt;0,'Assumptions (CSP)'!X$11*Model!$AS$3539*AVERAGE('Assumptions (CSP)'!$AO$2:$AQ$2)/10^9,0)</f>
        <v>0</v>
      </c>
      <c r="AV3747" s="95">
        <f>IF($AS$3539&gt;0,'Assumptions (CSP)'!Y$11*Model!$AS$3539*AVERAGE('Assumptions (CSP)'!$AO$2:$AQ$2)/10^9,0)</f>
        <v>0</v>
      </c>
      <c r="AW3747" s="95">
        <f>IF($AS$3539&gt;0,'Assumptions (CSP)'!Z$11*Model!$AS$3539*AVERAGE('Assumptions (CSP)'!$AO$2:$AQ$2)/10^9,0)</f>
        <v>0</v>
      </c>
      <c r="AX3747" s="95">
        <f>IF($AS$3539&gt;0,'Assumptions (CSP)'!AA$11*Model!$AS$3539*AVERAGE('Assumptions (CSP)'!$AO$2:$AQ$2)/10^9,0)</f>
        <v>0</v>
      </c>
      <c r="AY3747" s="95"/>
      <c r="AZ3747" s="95"/>
      <c r="BA3747" s="95"/>
    </row>
    <row r="3748" ht="15.75" hidden="1" customHeight="1">
      <c r="A3748" s="398"/>
      <c r="B3748" s="38"/>
      <c r="C3748" s="95"/>
      <c r="D3748" s="95"/>
      <c r="E3748" s="95"/>
      <c r="F3748" s="95"/>
      <c r="G3748" s="95"/>
      <c r="H3748" s="95"/>
      <c r="I3748" s="95"/>
      <c r="J3748" s="95"/>
      <c r="K3748" s="95"/>
      <c r="L3748" s="95"/>
      <c r="M3748" s="95"/>
      <c r="N3748" s="95"/>
      <c r="O3748" s="95"/>
      <c r="P3748" s="95"/>
      <c r="Q3748" s="95"/>
      <c r="R3748" s="95"/>
      <c r="S3748" s="95"/>
      <c r="T3748" s="95"/>
      <c r="U3748" s="95"/>
      <c r="V3748" s="95"/>
      <c r="W3748" s="95"/>
      <c r="X3748" s="95"/>
      <c r="Y3748" s="95"/>
      <c r="Z3748" s="95"/>
      <c r="AA3748" s="95"/>
      <c r="AB3748" s="95"/>
      <c r="AC3748" s="95"/>
      <c r="AD3748" s="95"/>
      <c r="AE3748" s="95"/>
      <c r="AF3748" s="95"/>
      <c r="AG3748" s="95"/>
      <c r="AH3748" s="95"/>
      <c r="AI3748" s="95"/>
      <c r="AJ3748" s="95"/>
      <c r="AK3748" s="95"/>
      <c r="AL3748" s="95"/>
      <c r="AM3748" s="95"/>
      <c r="AN3748" s="95"/>
      <c r="AO3748" s="95"/>
      <c r="AP3748" s="95"/>
      <c r="AQ3748" s="95"/>
      <c r="AR3748" s="95"/>
      <c r="AS3748" s="95"/>
      <c r="AT3748" s="95">
        <f>IF($AT$3539&gt;0,'Assumptions (CSP)'!V$11*Model!$AT$3539*AVERAGE('Assumptions (CSP)'!$AP$2:$AR$2)/10^9,0)</f>
        <v>0</v>
      </c>
      <c r="AU3748" s="95">
        <f>IF($AT$3539&gt;0,'Assumptions (CSP)'!W$11*Model!$AT$3539*AVERAGE('Assumptions (CSP)'!$AP$2:$AR$2)/10^9,0)</f>
        <v>0</v>
      </c>
      <c r="AV3748" s="95">
        <f>IF($AT$3539&gt;0,'Assumptions (CSP)'!X$11*Model!$AT$3539*AVERAGE('Assumptions (CSP)'!$AP$2:$AR$2)/10^9,0)</f>
        <v>0</v>
      </c>
      <c r="AW3748" s="95">
        <f>IF($AT$3539&gt;0,'Assumptions (CSP)'!Y$11*Model!$AT$3539*AVERAGE('Assumptions (CSP)'!$AP$2:$AR$2)/10^9,0)</f>
        <v>0</v>
      </c>
      <c r="AX3748" s="95">
        <f>IF($AT$3539&gt;0,'Assumptions (CSP)'!Z$11*Model!$AT$3539*AVERAGE('Assumptions (CSP)'!$AP$2:$AR$2)/10^9,0)</f>
        <v>0</v>
      </c>
      <c r="AY3748" s="95">
        <f>IF($AT$3539&gt;0,'Assumptions (CSP)'!AA$11*Model!$AT$3539*AVERAGE('Assumptions (CSP)'!$AP$2:$AR$2)/10^9,0)</f>
        <v>0</v>
      </c>
      <c r="AZ3748" s="95"/>
      <c r="BA3748" s="95"/>
    </row>
    <row r="3749" ht="15.75" hidden="1" customHeight="1">
      <c r="A3749" s="398"/>
      <c r="B3749" s="38"/>
      <c r="C3749" s="95"/>
      <c r="D3749" s="95"/>
      <c r="E3749" s="95"/>
      <c r="F3749" s="95"/>
      <c r="G3749" s="95"/>
      <c r="H3749" s="95"/>
      <c r="I3749" s="95"/>
      <c r="J3749" s="95"/>
      <c r="K3749" s="95"/>
      <c r="L3749" s="95"/>
      <c r="M3749" s="95"/>
      <c r="N3749" s="95"/>
      <c r="O3749" s="95"/>
      <c r="P3749" s="95"/>
      <c r="Q3749" s="95"/>
      <c r="R3749" s="95"/>
      <c r="S3749" s="95"/>
      <c r="T3749" s="95"/>
      <c r="U3749" s="95"/>
      <c r="V3749" s="95"/>
      <c r="W3749" s="95"/>
      <c r="X3749" s="95"/>
      <c r="Y3749" s="95"/>
      <c r="Z3749" s="95"/>
      <c r="AA3749" s="95"/>
      <c r="AB3749" s="95"/>
      <c r="AC3749" s="95"/>
      <c r="AD3749" s="95"/>
      <c r="AE3749" s="95"/>
      <c r="AF3749" s="95"/>
      <c r="AG3749" s="95"/>
      <c r="AH3749" s="95"/>
      <c r="AI3749" s="95"/>
      <c r="AJ3749" s="95"/>
      <c r="AK3749" s="95"/>
      <c r="AL3749" s="95"/>
      <c r="AM3749" s="95"/>
      <c r="AN3749" s="95"/>
      <c r="AO3749" s="95"/>
      <c r="AP3749" s="95"/>
      <c r="AQ3749" s="95"/>
      <c r="AR3749" s="95"/>
      <c r="AS3749" s="95"/>
      <c r="AT3749" s="95"/>
      <c r="AU3749" s="95">
        <f>IF($AU$3539&gt;0,'Assumptions (CSP)'!V$11*Model!$AU$3539*AVERAGE('Assumptions (CSP)'!$AQ$2:$AS$2)/10^9,0)</f>
        <v>0</v>
      </c>
      <c r="AV3749" s="95">
        <f>IF($AU$3539&gt;0,'Assumptions (CSP)'!W$11*Model!$AU$3539*AVERAGE('Assumptions (CSP)'!$AQ$2:$AS$2)/10^9,0)</f>
        <v>0</v>
      </c>
      <c r="AW3749" s="95">
        <f>IF($AU$3539&gt;0,'Assumptions (CSP)'!X$11*Model!$AU$3539*AVERAGE('Assumptions (CSP)'!$AQ$2:$AS$2)/10^9,0)</f>
        <v>0</v>
      </c>
      <c r="AX3749" s="95">
        <f>IF($AU$3539&gt;0,'Assumptions (CSP)'!Y$11*Model!$AU$3539*AVERAGE('Assumptions (CSP)'!$AQ$2:$AS$2)/10^9,0)</f>
        <v>0</v>
      </c>
      <c r="AY3749" s="95">
        <f>IF($AU$3539&gt;0,'Assumptions (CSP)'!Z$11*Model!$AU$3539*AVERAGE('Assumptions (CSP)'!$AQ$2:$AS$2)/10^9,0)</f>
        <v>0</v>
      </c>
      <c r="AZ3749" s="95">
        <f>IF($AU$3539&gt;0,'Assumptions (CSP)'!AA$11*Model!$AU$3539*AVERAGE('Assumptions (CSP)'!$AQ$2:$AS$2)/10^9,0)</f>
        <v>0</v>
      </c>
      <c r="BA3749" s="95"/>
    </row>
    <row r="3750" ht="15.75" hidden="1" customHeight="1">
      <c r="A3750" s="398"/>
      <c r="B3750" s="38"/>
      <c r="C3750" s="95"/>
      <c r="D3750" s="95"/>
      <c r="E3750" s="95"/>
      <c r="F3750" s="95"/>
      <c r="G3750" s="95"/>
      <c r="H3750" s="95"/>
      <c r="I3750" s="95"/>
      <c r="J3750" s="95"/>
      <c r="K3750" s="95"/>
      <c r="L3750" s="95"/>
      <c r="M3750" s="95"/>
      <c r="N3750" s="95"/>
      <c r="O3750" s="95"/>
      <c r="P3750" s="95"/>
      <c r="Q3750" s="95"/>
      <c r="R3750" s="95"/>
      <c r="S3750" s="95"/>
      <c r="T3750" s="95"/>
      <c r="U3750" s="95"/>
      <c r="V3750" s="95"/>
      <c r="W3750" s="95"/>
      <c r="X3750" s="95"/>
      <c r="Y3750" s="95"/>
      <c r="Z3750" s="95"/>
      <c r="AA3750" s="95"/>
      <c r="AB3750" s="95"/>
      <c r="AC3750" s="95"/>
      <c r="AD3750" s="95"/>
      <c r="AE3750" s="95"/>
      <c r="AF3750" s="95"/>
      <c r="AG3750" s="95"/>
      <c r="AH3750" s="95"/>
      <c r="AI3750" s="95"/>
      <c r="AJ3750" s="95"/>
      <c r="AK3750" s="95"/>
      <c r="AL3750" s="95"/>
      <c r="AM3750" s="95"/>
      <c r="AN3750" s="95"/>
      <c r="AO3750" s="95"/>
      <c r="AP3750" s="95"/>
      <c r="AQ3750" s="95"/>
      <c r="AR3750" s="95"/>
      <c r="AS3750" s="95"/>
      <c r="AT3750" s="95"/>
      <c r="AU3750" s="95"/>
      <c r="AV3750" s="95">
        <f>IF($AV$3539&gt;0,'Assumptions (CSP)'!V$11*Model!$AV$3539*AVERAGE('Assumptions (CSP)'!$AR$2:$AT$2)/10^9,0)</f>
        <v>0</v>
      </c>
      <c r="AW3750" s="95">
        <f>IF($AV$3539&gt;0,'Assumptions (CSP)'!W$11*Model!$AV$3539*AVERAGE('Assumptions (CSP)'!$AR$2:$AT$2)/10^9,0)</f>
        <v>0</v>
      </c>
      <c r="AX3750" s="95">
        <f>IF($AV$3539&gt;0,'Assumptions (CSP)'!X$11*Model!$AV$3539*AVERAGE('Assumptions (CSP)'!$AR$2:$AT$2)/10^9,0)</f>
        <v>0</v>
      </c>
      <c r="AY3750" s="95">
        <f>IF($AV$3539&gt;0,'Assumptions (CSP)'!Y$11*Model!$AV$3539*AVERAGE('Assumptions (CSP)'!$AR$2:$AT$2)/10^9,0)</f>
        <v>0</v>
      </c>
      <c r="AZ3750" s="95">
        <f>IF($AV$3539&gt;0,'Assumptions (CSP)'!Z$11*Model!$AV$3539*AVERAGE('Assumptions (CSP)'!$AR$2:$AT$2)/10^9,0)</f>
        <v>0</v>
      </c>
      <c r="BA3750" s="95">
        <f>IF($AV$3539&gt;0,'Assumptions (CSP)'!AA$11*Model!$AV$3539*AVERAGE('Assumptions (CSP)'!$AR$2:$AT$2)/10^9,0)</f>
        <v>0</v>
      </c>
    </row>
    <row r="3751" ht="15.75" hidden="1" customHeight="1">
      <c r="A3751" s="398"/>
      <c r="B3751" s="38"/>
      <c r="C3751" s="95"/>
      <c r="D3751" s="95"/>
      <c r="E3751" s="95"/>
      <c r="F3751" s="95"/>
      <c r="G3751" s="95"/>
      <c r="H3751" s="95"/>
      <c r="I3751" s="95"/>
      <c r="J3751" s="95"/>
      <c r="K3751" s="95"/>
      <c r="L3751" s="95"/>
      <c r="M3751" s="95"/>
      <c r="N3751" s="95"/>
      <c r="O3751" s="95"/>
      <c r="P3751" s="95"/>
      <c r="Q3751" s="95"/>
      <c r="R3751" s="95"/>
      <c r="S3751" s="95"/>
      <c r="T3751" s="95"/>
      <c r="U3751" s="95"/>
      <c r="V3751" s="95"/>
      <c r="W3751" s="95"/>
      <c r="X3751" s="95"/>
      <c r="Y3751" s="95"/>
      <c r="Z3751" s="95"/>
      <c r="AA3751" s="95"/>
      <c r="AB3751" s="95"/>
      <c r="AC3751" s="95"/>
      <c r="AD3751" s="95"/>
      <c r="AE3751" s="95"/>
      <c r="AF3751" s="95"/>
      <c r="AG3751" s="95"/>
      <c r="AH3751" s="95"/>
      <c r="AI3751" s="95"/>
      <c r="AJ3751" s="95"/>
      <c r="AK3751" s="95"/>
      <c r="AL3751" s="95"/>
      <c r="AM3751" s="95"/>
      <c r="AN3751" s="95"/>
      <c r="AO3751" s="95"/>
      <c r="AP3751" s="95"/>
      <c r="AQ3751" s="95"/>
      <c r="AR3751" s="95"/>
      <c r="AS3751" s="95"/>
      <c r="AT3751" s="95"/>
      <c r="AU3751" s="95"/>
      <c r="AV3751" s="95"/>
      <c r="AW3751" s="95">
        <f>IF($AW$3539&gt;0,'Assumptions (CSP)'!V$11*Model!$AW$3539*AVERAGE('Assumptions (CSP)'!$AS$2:$AU$2)/10^9,0)</f>
        <v>0</v>
      </c>
      <c r="AX3751" s="95">
        <f>IF($AW$3539&gt;0,'Assumptions (CSP)'!W$11*Model!$AW$3539*AVERAGE('Assumptions (CSP)'!$AS$2:$AU$2)/10^9,0)</f>
        <v>0</v>
      </c>
      <c r="AY3751" s="95">
        <f>IF($AW$3539&gt;0,'Assumptions (CSP)'!X$11*Model!$AW$3539*AVERAGE('Assumptions (CSP)'!$AS$2:$AU$2)/10^9,0)</f>
        <v>0</v>
      </c>
      <c r="AZ3751" s="95">
        <f>IF($AW$3539&gt;0,'Assumptions (CSP)'!Y$11*Model!$AW$3539*AVERAGE('Assumptions (CSP)'!$AS$2:$AU$2)/10^9,0)</f>
        <v>0</v>
      </c>
      <c r="BA3751" s="95">
        <f>IF($AW$3539&gt;0,'Assumptions (CSP)'!Z$11*Model!$AW$3539*AVERAGE('Assumptions (CSP)'!$AS$2:$AU$2)/10^9,0)</f>
        <v>0</v>
      </c>
      <c r="BB3751" s="95">
        <f>IF($AW$3539&gt;0,'Assumptions (CSP)'!AA$11*Model!$AW$3539*AVERAGE('Assumptions (CSP)'!$AS$2:$AU$2)/10^9,0)</f>
        <v>0</v>
      </c>
    </row>
    <row r="3752" ht="15.75" hidden="1" customHeight="1">
      <c r="A3752" s="398"/>
      <c r="B3752" s="38"/>
      <c r="C3752" s="95"/>
      <c r="D3752" s="95"/>
      <c r="E3752" s="95"/>
      <c r="F3752" s="95"/>
      <c r="G3752" s="95"/>
      <c r="H3752" s="95"/>
      <c r="I3752" s="95"/>
      <c r="J3752" s="95"/>
      <c r="K3752" s="95"/>
      <c r="L3752" s="95"/>
      <c r="M3752" s="95"/>
      <c r="N3752" s="95"/>
      <c r="O3752" s="95"/>
      <c r="P3752" s="95"/>
      <c r="Q3752" s="95"/>
      <c r="R3752" s="95"/>
      <c r="S3752" s="95"/>
      <c r="T3752" s="95"/>
      <c r="U3752" s="95"/>
      <c r="V3752" s="95"/>
      <c r="W3752" s="95"/>
      <c r="X3752" s="95"/>
      <c r="Y3752" s="95"/>
      <c r="Z3752" s="95"/>
      <c r="AA3752" s="95"/>
      <c r="AB3752" s="95"/>
      <c r="AC3752" s="95"/>
      <c r="AD3752" s="95"/>
      <c r="AE3752" s="95"/>
      <c r="AF3752" s="95"/>
      <c r="AG3752" s="95"/>
      <c r="AH3752" s="95"/>
      <c r="AI3752" s="95"/>
      <c r="AJ3752" s="95"/>
      <c r="AK3752" s="95"/>
      <c r="AL3752" s="95"/>
      <c r="AM3752" s="95"/>
      <c r="AN3752" s="95"/>
      <c r="AO3752" s="95"/>
      <c r="AP3752" s="95"/>
      <c r="AQ3752" s="95"/>
      <c r="AR3752" s="95"/>
      <c r="AS3752" s="95"/>
      <c r="AT3752" s="95"/>
      <c r="AU3752" s="95"/>
      <c r="AV3752" s="95"/>
      <c r="AW3752" s="95"/>
      <c r="AX3752" s="95">
        <f>IF($AX$3539&gt;0,'Assumptions (CSP)'!V$11*Model!$AX$3539*AVERAGE('Assumptions (CSP)'!$AT$2:$AV$2)/10^9,0)</f>
        <v>0</v>
      </c>
      <c r="AY3752" s="95">
        <f>IF($AX$3539&gt;0,'Assumptions (CSP)'!W$11*Model!$AX$3539*AVERAGE('Assumptions (CSP)'!$AT$2:$AV$2)/10^9,0)</f>
        <v>0</v>
      </c>
      <c r="AZ3752" s="95">
        <f>IF($AX$3539&gt;0,'Assumptions (CSP)'!X$11*Model!$AX$3539*AVERAGE('Assumptions (CSP)'!$AT$2:$AV$2)/10^9,0)</f>
        <v>0</v>
      </c>
      <c r="BA3752" s="95">
        <f>IF($AX$3539&gt;0,'Assumptions (CSP)'!Y$11*Model!$AX$3539*AVERAGE('Assumptions (CSP)'!$AT$2:$AV$2)/10^9,0)</f>
        <v>0</v>
      </c>
      <c r="BB3752" s="95">
        <f>IF($AX$3539&gt;0,'Assumptions (CSP)'!Z$11*Model!$AX$3539*AVERAGE('Assumptions (CSP)'!$AT$2:$AV$2)/10^9,0)</f>
        <v>0</v>
      </c>
      <c r="BC3752" s="95">
        <f>IF($AX$3539&gt;0,'Assumptions (CSP)'!AA$11*Model!$AX$3539*AVERAGE('Assumptions (CSP)'!$AT$2:$AV$2)/10^9,0)</f>
        <v>0</v>
      </c>
    </row>
    <row r="3753" ht="15.75" hidden="1" customHeight="1">
      <c r="A3753" s="398"/>
      <c r="B3753" s="38"/>
      <c r="C3753" s="95"/>
      <c r="D3753" s="95"/>
      <c r="E3753" s="95"/>
      <c r="F3753" s="95"/>
      <c r="G3753" s="95"/>
      <c r="H3753" s="95"/>
      <c r="I3753" s="95"/>
      <c r="J3753" s="95"/>
      <c r="K3753" s="95"/>
      <c r="L3753" s="95"/>
      <c r="M3753" s="95"/>
      <c r="N3753" s="95"/>
      <c r="O3753" s="95"/>
      <c r="P3753" s="95"/>
      <c r="Q3753" s="95"/>
      <c r="R3753" s="95"/>
      <c r="S3753" s="95"/>
      <c r="T3753" s="95"/>
      <c r="U3753" s="95"/>
      <c r="V3753" s="95"/>
      <c r="W3753" s="95"/>
      <c r="X3753" s="95"/>
      <c r="Y3753" s="95"/>
      <c r="Z3753" s="95"/>
      <c r="AA3753" s="95"/>
      <c r="AB3753" s="95"/>
      <c r="AC3753" s="95"/>
      <c r="AD3753" s="95"/>
      <c r="AE3753" s="95"/>
      <c r="AF3753" s="95"/>
      <c r="AG3753" s="95"/>
      <c r="AH3753" s="95"/>
      <c r="AI3753" s="95"/>
      <c r="AJ3753" s="95"/>
      <c r="AK3753" s="95"/>
      <c r="AL3753" s="95"/>
      <c r="AM3753" s="95"/>
      <c r="AN3753" s="95"/>
      <c r="AO3753" s="95"/>
      <c r="AP3753" s="95"/>
      <c r="AQ3753" s="95"/>
      <c r="AR3753" s="95"/>
      <c r="AS3753" s="95"/>
      <c r="AT3753" s="95"/>
      <c r="AU3753" s="95"/>
      <c r="AV3753" s="95"/>
      <c r="AW3753" s="95"/>
      <c r="AX3753" s="95"/>
      <c r="AY3753" s="95">
        <f>IF($AY$3539&gt;0,'Assumptions (CSP)'!V$11*Model!$AY$3539*AVERAGE('Assumptions (CSP)'!$AU$2:$AW$2)/10^9,0)</f>
        <v>0</v>
      </c>
      <c r="AZ3753" s="95">
        <f>IF($AY$3539&gt;0,'Assumptions (CSP)'!W$11*Model!$AY$3539*AVERAGE('Assumptions (CSP)'!$AU$2:$AW$2)/10^9,0)</f>
        <v>0</v>
      </c>
      <c r="BA3753" s="95">
        <f>IF($AY$3539&gt;0,'Assumptions (CSP)'!X$11*Model!$AY$3539*AVERAGE('Assumptions (CSP)'!$AU$2:$AW$2)/10^9,0)</f>
        <v>0</v>
      </c>
      <c r="BB3753" s="95">
        <f>IF($AY$3539&gt;0,'Assumptions (CSP)'!Y$11*Model!$AY$3539*AVERAGE('Assumptions (CSP)'!$AU$2:$AW$2)/10^9,0)</f>
        <v>0</v>
      </c>
      <c r="BC3753" s="95">
        <f>IF($AY$3539&gt;0,'Assumptions (CSP)'!Z$11*Model!$AY$3539*AVERAGE('Assumptions (CSP)'!$AU$2:$AW$2)/10^9,0)</f>
        <v>0</v>
      </c>
      <c r="BD3753" s="95">
        <f>IF($AY$3539&gt;0,'Assumptions (CSP)'!AA$11*Model!$AY$3539*AVERAGE('Assumptions (CSP)'!$AU$2:$AW$2)/10^9,0)</f>
        <v>0</v>
      </c>
    </row>
    <row r="3754" ht="15.75" hidden="1" customHeight="1">
      <c r="A3754" s="398"/>
      <c r="B3754" s="38"/>
      <c r="C3754" s="95"/>
      <c r="D3754" s="95"/>
      <c r="E3754" s="95"/>
      <c r="F3754" s="95"/>
      <c r="G3754" s="95"/>
      <c r="H3754" s="95"/>
      <c r="I3754" s="95"/>
      <c r="J3754" s="95"/>
      <c r="K3754" s="95"/>
      <c r="L3754" s="95"/>
      <c r="M3754" s="95"/>
      <c r="N3754" s="95"/>
      <c r="O3754" s="95"/>
      <c r="P3754" s="95"/>
      <c r="Q3754" s="95"/>
      <c r="R3754" s="95"/>
      <c r="S3754" s="95"/>
      <c r="T3754" s="95"/>
      <c r="U3754" s="95"/>
      <c r="V3754" s="95"/>
      <c r="W3754" s="95"/>
      <c r="X3754" s="95"/>
      <c r="Y3754" s="95"/>
      <c r="Z3754" s="95"/>
      <c r="AA3754" s="95"/>
      <c r="AB3754" s="95"/>
      <c r="AC3754" s="95"/>
      <c r="AD3754" s="95"/>
      <c r="AE3754" s="95"/>
      <c r="AF3754" s="95"/>
      <c r="AG3754" s="95"/>
      <c r="AH3754" s="95"/>
      <c r="AI3754" s="95"/>
      <c r="AJ3754" s="95"/>
      <c r="AK3754" s="95"/>
      <c r="AL3754" s="95"/>
      <c r="AM3754" s="95"/>
      <c r="AN3754" s="95"/>
      <c r="AO3754" s="95"/>
      <c r="AP3754" s="95"/>
      <c r="AQ3754" s="95"/>
      <c r="AR3754" s="95"/>
      <c r="AS3754" s="95"/>
      <c r="AT3754" s="95"/>
      <c r="AU3754" s="95"/>
      <c r="AV3754" s="95"/>
      <c r="AW3754" s="95"/>
      <c r="AX3754" s="95"/>
      <c r="AY3754" s="95"/>
      <c r="AZ3754" s="95">
        <f>IF($AZ$3539&gt;0,'Assumptions (CSP)'!V$11*Model!$AZ$3539*AVERAGE('Assumptions (CSP)'!$AV$2:$AX$2)/10^9,0)</f>
        <v>0</v>
      </c>
      <c r="BA3754" s="95">
        <f>IF($AZ$3539&gt;0,'Assumptions (CSP)'!W$11*Model!$AZ$3539*AVERAGE('Assumptions (CSP)'!$AV$2:$AX$2)/10^9,0)</f>
        <v>0</v>
      </c>
      <c r="BB3754" s="95">
        <f>IF($AZ$3539&gt;0,'Assumptions (CSP)'!X$11*Model!$AZ$3539*AVERAGE('Assumptions (CSP)'!$AV$2:$AX$2)/10^9,0)</f>
        <v>0</v>
      </c>
      <c r="BC3754" s="95">
        <f>IF($AZ$3539&gt;0,'Assumptions (CSP)'!Y$11*Model!$AZ$3539*AVERAGE('Assumptions (CSP)'!$AV$2:$AX$2)/10^9,0)</f>
        <v>0</v>
      </c>
      <c r="BD3754" s="95">
        <f>IF($AZ$3539&gt;0,'Assumptions (CSP)'!Z$11*Model!$AZ$3539*AVERAGE('Assumptions (CSP)'!$AV$2:$AX$2)/10^9,0)</f>
        <v>0</v>
      </c>
      <c r="BE3754" s="95">
        <f>IF($AZ$3539&gt;0,'Assumptions (CSP)'!AA$11*Model!$AZ$3539*AVERAGE('Assumptions (CSP)'!$AV$2:$AX$2)/10^9,0)</f>
        <v>0</v>
      </c>
    </row>
    <row r="3755" ht="15.75" hidden="1" customHeight="1">
      <c r="A3755" s="398"/>
      <c r="B3755" s="38"/>
      <c r="C3755" s="95"/>
      <c r="D3755" s="95"/>
      <c r="E3755" s="95"/>
      <c r="F3755" s="95"/>
      <c r="G3755" s="95"/>
      <c r="H3755" s="95"/>
      <c r="I3755" s="95"/>
      <c r="J3755" s="95"/>
      <c r="K3755" s="95"/>
      <c r="L3755" s="95"/>
      <c r="M3755" s="95"/>
      <c r="N3755" s="95"/>
      <c r="O3755" s="95"/>
      <c r="P3755" s="95"/>
      <c r="Q3755" s="95"/>
      <c r="R3755" s="95"/>
      <c r="S3755" s="95"/>
      <c r="T3755" s="95"/>
      <c r="U3755" s="95"/>
      <c r="V3755" s="95"/>
      <c r="W3755" s="95"/>
      <c r="X3755" s="95"/>
      <c r="Y3755" s="95"/>
      <c r="Z3755" s="95"/>
      <c r="AA3755" s="95"/>
      <c r="AB3755" s="95"/>
      <c r="AC3755" s="95"/>
      <c r="AD3755" s="95"/>
      <c r="AE3755" s="95"/>
      <c r="AF3755" s="95"/>
      <c r="AG3755" s="95"/>
      <c r="AH3755" s="95"/>
      <c r="AI3755" s="95"/>
      <c r="AJ3755" s="95"/>
      <c r="AK3755" s="95"/>
      <c r="AL3755" s="95"/>
      <c r="AM3755" s="95"/>
      <c r="AN3755" s="95"/>
      <c r="AO3755" s="95"/>
      <c r="AP3755" s="95"/>
      <c r="AQ3755" s="95"/>
      <c r="AR3755" s="95"/>
      <c r="AS3755" s="95"/>
      <c r="AT3755" s="95"/>
      <c r="AU3755" s="95"/>
      <c r="AV3755" s="95"/>
      <c r="AW3755" s="95"/>
      <c r="AX3755" s="95"/>
      <c r="AY3755" s="95"/>
      <c r="AZ3755" s="95"/>
      <c r="BA3755" s="95">
        <f>IF($BA$3539&gt;0,'Assumptions (CSP)'!V$11*Model!$BA$3539*AVERAGE('Assumptions (CSP)'!$AW$2:$AY$2)/10^9,0)</f>
        <v>0</v>
      </c>
      <c r="BB3755" s="95">
        <f>IF($BA$3539&gt;0,'Assumptions (CSP)'!W$11*Model!$BA$3539*AVERAGE('Assumptions (CSP)'!$AW$2:$AY$2)/10^9,0)</f>
        <v>0</v>
      </c>
      <c r="BC3755" s="95">
        <f>IF($BA$3539&gt;0,'Assumptions (CSP)'!X$11*Model!$BA$3539*AVERAGE('Assumptions (CSP)'!$AW$2:$AY$2)/10^9,0)</f>
        <v>0</v>
      </c>
      <c r="BD3755" s="95">
        <f>IF($BA$3539&gt;0,'Assumptions (CSP)'!Y$11*Model!$BA$3539*AVERAGE('Assumptions (CSP)'!$AW$2:$AY$2)/10^9,0)</f>
        <v>0</v>
      </c>
      <c r="BE3755" s="95">
        <f>IF($BA$3539&gt;0,'Assumptions (CSP)'!Z$11*Model!$BA$3539*AVERAGE('Assumptions (CSP)'!$AW$2:$AY$2)/10^9,0)</f>
        <v>0</v>
      </c>
      <c r="BF3755" s="95">
        <f>IF($BA$3539&gt;0,'Assumptions (CSP)'!AA$11*Model!$BA$3539*AVERAGE('Assumptions (CSP)'!$AW$2:$AY$2)/10^9,0)</f>
        <v>0</v>
      </c>
    </row>
    <row r="3756" ht="15.75" hidden="1" customHeight="1">
      <c r="A3756" s="398"/>
      <c r="B3756" s="38"/>
      <c r="C3756" s="95"/>
      <c r="D3756" s="95"/>
      <c r="E3756" s="95"/>
      <c r="F3756" s="95"/>
      <c r="G3756" s="95"/>
      <c r="H3756" s="95"/>
      <c r="I3756" s="95"/>
      <c r="J3756" s="95"/>
      <c r="K3756" s="95"/>
      <c r="L3756" s="95"/>
      <c r="M3756" s="95"/>
      <c r="N3756" s="95"/>
      <c r="O3756" s="95"/>
      <c r="P3756" s="95"/>
      <c r="Q3756" s="95"/>
      <c r="R3756" s="95"/>
      <c r="S3756" s="95"/>
      <c r="T3756" s="95"/>
      <c r="U3756" s="95"/>
      <c r="V3756" s="95"/>
      <c r="W3756" s="95"/>
      <c r="X3756" s="95"/>
      <c r="Y3756" s="95"/>
      <c r="Z3756" s="95"/>
      <c r="AA3756" s="95"/>
      <c r="AB3756" s="95"/>
      <c r="AC3756" s="95"/>
      <c r="AD3756" s="95"/>
      <c r="AE3756" s="95"/>
      <c r="AF3756" s="95"/>
      <c r="AG3756" s="95"/>
      <c r="AH3756" s="95"/>
      <c r="AI3756" s="95"/>
      <c r="AJ3756" s="95"/>
      <c r="AK3756" s="95"/>
      <c r="AL3756" s="95"/>
      <c r="AM3756" s="95"/>
      <c r="AN3756" s="95"/>
      <c r="AO3756" s="95"/>
      <c r="AP3756" s="95"/>
      <c r="AQ3756" s="95"/>
      <c r="AR3756" s="95"/>
      <c r="AS3756" s="95"/>
      <c r="AT3756" s="95"/>
      <c r="AU3756" s="95"/>
      <c r="AV3756" s="95"/>
      <c r="AW3756" s="95"/>
      <c r="AX3756" s="95"/>
      <c r="AY3756" s="95"/>
      <c r="AZ3756" s="95"/>
      <c r="BA3756" s="95"/>
    </row>
    <row r="3757" ht="15.75" hidden="1" customHeight="1">
      <c r="A3757" s="398"/>
      <c r="B3757" s="38"/>
      <c r="C3757" s="95"/>
      <c r="D3757" s="95"/>
      <c r="E3757" s="95"/>
      <c r="F3757" s="95"/>
      <c r="G3757" s="95"/>
      <c r="H3757" s="95"/>
      <c r="I3757" s="95"/>
      <c r="J3757" s="95"/>
      <c r="K3757" s="95"/>
      <c r="L3757" s="95"/>
      <c r="M3757" s="95"/>
      <c r="N3757" s="95"/>
      <c r="O3757" s="95"/>
      <c r="P3757" s="95"/>
      <c r="Q3757" s="95"/>
      <c r="R3757" s="95"/>
      <c r="S3757" s="95"/>
      <c r="T3757" s="95"/>
      <c r="U3757" s="95"/>
      <c r="V3757" s="95"/>
      <c r="W3757" s="95"/>
      <c r="X3757" s="95"/>
      <c r="Y3757" s="95"/>
      <c r="Z3757" s="95"/>
      <c r="AA3757" s="95"/>
      <c r="AB3757" s="95"/>
      <c r="AC3757" s="95"/>
      <c r="AD3757" s="95"/>
      <c r="AE3757" s="95"/>
      <c r="AF3757" s="95"/>
      <c r="AG3757" s="95"/>
      <c r="AH3757" s="95"/>
      <c r="AI3757" s="95"/>
      <c r="AJ3757" s="95"/>
      <c r="AK3757" s="95"/>
      <c r="AL3757" s="95"/>
      <c r="AM3757" s="95"/>
      <c r="AN3757" s="95"/>
      <c r="AO3757" s="95"/>
      <c r="AP3757" s="95"/>
      <c r="AQ3757" s="95"/>
      <c r="AR3757" s="95"/>
      <c r="AS3757" s="95"/>
      <c r="AT3757" s="95"/>
      <c r="AU3757" s="95"/>
      <c r="AV3757" s="95"/>
      <c r="AW3757" s="95"/>
      <c r="AX3757" s="95"/>
      <c r="AY3757" s="95"/>
      <c r="AZ3757" s="95"/>
      <c r="BA3757" s="95"/>
    </row>
    <row r="3758" ht="15.75" customHeight="1">
      <c r="A3758" s="398" t="s">
        <v>62</v>
      </c>
      <c r="B3758" s="159" t="s">
        <v>351</v>
      </c>
      <c r="C3758" s="95">
        <f>IF(Model!C3537+Model!C3538-Model!C3536-C3704+C3652&gt;0,(1-'Assumptions (CSP)'!B25)*(Model!C3537+Model!C3538-Model!C3536-Model!C3704+C3652)+C3704-C3599+C3600,Model!C3537+Model!C3538-Model!C3536-Model!C3704+C3652-C3599+C3600)</f>
        <v>0</v>
      </c>
      <c r="D3758" s="95">
        <f>IF(Model!D3537+Model!D3538-Model!D3536-D3704+D3652&gt;0,(1-'Assumptions (CSP)'!C25)*(Model!D3537+Model!D3538-Model!D3536-Model!D3704+D3652)+D3704-D3599+D3600,Model!D3537+Model!D3538-Model!D3536-Model!D3704+D3652-D3599+D3600)</f>
        <v>0</v>
      </c>
      <c r="E3758" s="95">
        <f>IF(Model!E3537+Model!E3538-Model!E3536-E3704+E3652&gt;0,(1-'Assumptions (CSP)'!D25)*(Model!E3537+Model!E3538-Model!E3536-Model!E3704+E3652)+E3704-E3599+E3600,Model!E3537+Model!E3538-Model!E3536-Model!E3704+E3652-E3599+E3600)</f>
        <v>0</v>
      </c>
      <c r="F3758" s="95">
        <f>IF(Model!F3537+Model!F3538-Model!F3536-F3704+F3652&gt;0,(1-'Assumptions (CSP)'!E25)*(Model!F3537+Model!F3538-Model!F3536-Model!F3704+F3652)+F3704-F3599+F3600,Model!F3537+Model!F3538-Model!F3536-Model!F3704+F3652-F3599+F3600)</f>
        <v>0</v>
      </c>
      <c r="G3758" s="95">
        <f>IF(Model!G3537+Model!G3538-Model!G3536-G3704+G3652&gt;0,(1-'Assumptions (CSP)'!F25)*(Model!G3537+Model!G3538-Model!G3536-Model!G3704+G3652)+G3704-G3599+G3600,Model!G3537+Model!G3538-Model!G3536-Model!G3704+G3652-G3599+G3600)</f>
        <v>0</v>
      </c>
      <c r="H3758" s="95">
        <f>IF(Model!H3537+Model!H3538-Model!H3536-H3704+H3652&gt;0,(1-'Assumptions (CSP)'!G25)*(Model!H3537+Model!H3538-Model!H3536-Model!H3704+H3652)+H3704-H3599+H3600,Model!H3537+Model!H3538-Model!H3536-Model!H3704+H3652-H3599+H3600)</f>
        <v>0</v>
      </c>
      <c r="I3758" s="95">
        <f>IF(Model!I3537+Model!I3538-Model!I3536-I3704+I3652&gt;0,(1-'Assumptions (CSP)'!H25)*(Model!I3537+Model!I3538-Model!I3536-Model!I3704+I3652)+I3704-I3599+I3600,Model!I3537+Model!I3538-Model!I3536-Model!I3704+I3652-I3599+I3600)</f>
        <v>0</v>
      </c>
      <c r="J3758" s="95">
        <f>IF(Model!J3537+Model!J3538-Model!J3536-J3704+J3652&gt;0,(1-'Assumptions (CSP)'!I25)*(Model!J3537+Model!J3538-Model!J3536-Model!J3704+J3652)+J3704-J3599+J3600,Model!J3537+Model!J3538-Model!J3536-Model!J3704+J3652-J3599+J3600)</f>
        <v>0</v>
      </c>
      <c r="K3758" s="95">
        <f>IF(Model!K3537+Model!K3538-Model!K3536-K3704+K3652&gt;0,(1-'Assumptions (CSP)'!J25)*(Model!K3537+Model!K3538-Model!K3536-Model!K3704+K3652)+K3704-K3599+K3600,Model!K3537+Model!K3538-Model!K3536-Model!K3704+K3652-K3599+K3600)</f>
        <v>0</v>
      </c>
      <c r="L3758" s="95">
        <f>IF(Model!L3537+Model!L3538-Model!L3536-L3704+L3652&gt;0,(1-'Assumptions (CSP)'!K25)*(Model!L3537+Model!L3538-Model!L3536-Model!L3704+L3652)+L3704-L3599+L3600,Model!L3537+Model!L3538-Model!L3536-Model!L3704+L3652-L3599+L3600)</f>
        <v>0</v>
      </c>
      <c r="M3758" s="95">
        <f>IF(Model!M3537+Model!M3538-Model!M3536-M3704+M3652&gt;0,(1-'Assumptions (CSP)'!L25)*(Model!M3537+Model!M3538-Model!M3536-Model!M3704+M3652)+M3704-M3599+M3600,Model!M3537+Model!M3538-Model!M3536-Model!M3704+M3652-M3599+M3600)</f>
        <v>0</v>
      </c>
      <c r="N3758" s="95">
        <f>IF(Model!N3537+Model!N3538-Model!N3536-N3704+N3652&gt;0,(1-'Assumptions (CSP)'!M25)*(Model!N3537+Model!N3538-Model!N3536-Model!N3704+N3652)+N3704-N3599+N3600,Model!N3537+Model!N3538-Model!N3536-Model!N3704+N3652-N3599+N3600)</f>
        <v>0</v>
      </c>
      <c r="O3758" s="95">
        <f>IF(Model!O3537+Model!O3538-Model!O3536-O3704+O3652&gt;0,(1-'Assumptions (CSP)'!N25)*(Model!O3537+Model!O3538-Model!O3536-Model!O3704+O3652)+O3704-O3599+O3600,Model!O3537+Model!O3538-Model!O3536-Model!O3704+O3652-O3599+O3600)</f>
        <v>0</v>
      </c>
      <c r="P3758" s="95">
        <f>IF(Model!P3537+Model!P3538-Model!P3536-P3704+P3652&gt;0,(1-'Assumptions (CSP)'!O25)*(Model!P3537+Model!P3538-Model!P3536-Model!P3704+P3652)+P3704-P3599+P3600,Model!P3537+Model!P3538-Model!P3536-Model!P3704+P3652-P3599+P3600)</f>
        <v>0</v>
      </c>
      <c r="Q3758" s="95">
        <f>IF(Model!Q3537+Model!Q3538-Model!Q3536-Q3704+Q3652&gt;0,(1-'Assumptions (CSP)'!P25)*(Model!Q3537+Model!Q3538-Model!Q3536-Model!Q3704+Q3652)+Q3704-Q3599+Q3600,Model!Q3537+Model!Q3538-Model!Q3536-Model!Q3704+Q3652-Q3599+Q3600)</f>
        <v>0</v>
      </c>
      <c r="R3758" s="95">
        <f>IF(Model!R3537+Model!R3538-Model!R3536-R3704+R3652&gt;0,(1-'Assumptions (CSP)'!Q25)*(Model!R3537+Model!R3538-Model!R3536-Model!R3704+R3652)+R3704-R3599+R3600,Model!R3537+Model!R3538-Model!R3536-Model!R3704+R3652-R3599+R3600)</f>
        <v>0</v>
      </c>
      <c r="S3758" s="95">
        <f>IF(Model!S3537+Model!S3538-Model!S3536-S3704+S3652&gt;0,(1-'Assumptions (CSP)'!R25)*(Model!S3537+Model!S3538-Model!S3536-Model!S3704+S3652)+S3704-S3599+S3600,Model!S3537+Model!S3538-Model!S3536-Model!S3704+S3652-S3599+S3600)</f>
        <v>0</v>
      </c>
      <c r="T3758" s="95">
        <f>IF(Model!T3537+Model!T3538-Model!T3536-T3704+T3652&gt;0,(1-'Assumptions (CSP)'!S25)*(Model!T3537+Model!T3538-Model!T3536-Model!T3704+T3652)+T3704-T3599+T3600,Model!T3537+Model!T3538-Model!T3536-Model!T3704+T3652-T3599+T3600)</f>
        <v>0</v>
      </c>
      <c r="U3758" s="95">
        <f>IF(Model!U3537+Model!U3538-Model!U3536-U3704+U3652&gt;0,(1-'Assumptions (CSP)'!T25)*(Model!U3537+Model!U3538-Model!U3536-Model!U3704+U3652)+U3704-U3599+U3600,Model!U3537+Model!U3538-Model!U3536-Model!U3704+U3652-U3599+U3600)</f>
        <v>0</v>
      </c>
      <c r="V3758" s="95">
        <f>IF(Model!V3537+Model!V3538-Model!V3536-V3704+V3652&gt;0,(1-'Assumptions (CSP)'!U25)*(Model!V3537+Model!V3538-Model!V3536-Model!V3704+V3652)+V3704-V3599+V3600,Model!V3537+Model!V3538-Model!V3536-Model!V3704+V3652-V3599+V3600)</f>
        <v>0</v>
      </c>
      <c r="W3758" s="95">
        <f>IF(Model!W3537+Model!W3538-Model!W3536-W3704+W3652&gt;0,(1-'Assumptions (CSP)'!V25)*(Model!W3537+Model!W3538-Model!W3536-Model!W3704+W3652)+W3704-W3599+W3600,Model!W3537+Model!W3538-Model!W3536-Model!W3704+W3652-W3599+W3600)</f>
        <v>0</v>
      </c>
      <c r="X3758" s="95">
        <f>IF(Model!X3537+Model!X3538-Model!X3536-X3704+X3652&gt;0,(1-'Assumptions (CSP)'!W25)*(Model!X3537+Model!X3538-Model!X3536-Model!X3704+X3652)+X3704-X3599+X3600,Model!X3537+Model!X3538-Model!X3536-Model!X3704+X3652-X3599+X3600)</f>
        <v>0</v>
      </c>
      <c r="Y3758" s="95">
        <f>IF(Model!Y3537+Model!Y3538-Model!Y3536-Y3704+Y3652&gt;0,(1-'Assumptions (CSP)'!X25)*(Model!Y3537+Model!Y3538-Model!Y3536-Model!Y3704+Y3652)+Y3704-Y3599+Y3600,Model!Y3537+Model!Y3538-Model!Y3536-Model!Y3704+Y3652-Y3599+Y3600)</f>
        <v>0</v>
      </c>
      <c r="Z3758" s="95">
        <f>IF(Model!Z3537+Model!Z3538-Model!Z3536-Z3704+Z3652&gt;0,(1-'Assumptions (CSP)'!Y25)*(Model!Z3537+Model!Z3538-Model!Z3536-Model!Z3704+Z3652)+Z3704-Z3599+Z3600,Model!Z3537+Model!Z3538-Model!Z3536-Model!Z3704+Z3652-Z3599+Z3600)</f>
        <v>0</v>
      </c>
      <c r="AA3758" s="95">
        <f>IF(Model!AA3537+Model!AA3538-Model!AA3536-AA3704+AA3652&gt;0,(1-'Assumptions (CSP)'!Z25)*(Model!AA3537+Model!AA3538-Model!AA3536-Model!AA3704+AA3652)+AA3704-AA3599+AA3600,Model!AA3537+Model!AA3538-Model!AA3536-Model!AA3704+AA3652-AA3599+AA3600)</f>
        <v>0</v>
      </c>
      <c r="AB3758" s="95">
        <f>IF(Model!AB3537+Model!AB3538-Model!AB3536-AB3704+AB3652&gt;0,(1-'Assumptions (CSP)'!AA25)*(Model!AB3537+Model!AB3538-Model!AB3536-Model!AB3704+AB3652)+AB3704-AB3599+AB3600,Model!AB3537+Model!AB3538-Model!AB3536-Model!AB3704+AB3652-AB3599+AB3600)</f>
        <v>0</v>
      </c>
      <c r="AC3758" s="95">
        <f>IF(Model!AC3537+Model!AC3538-Model!AC3536-AC3704+AC3652&gt;0,(1-'Assumptions (CSP)'!AB25)*(Model!AC3537+Model!AC3538-Model!AC3536-Model!AC3704+AC3652)+AC3704-AC3599+AC3600,Model!AC3537+Model!AC3538-Model!AC3536-Model!AC3704+AC3652-AC3599+AC3600)</f>
        <v>0</v>
      </c>
      <c r="AD3758" s="95">
        <f>IF(Model!AD3537+Model!AD3538-Model!AD3536-AD3704+AD3652&gt;0,(1-'Assumptions (CSP)'!AC25)*(Model!AD3537+Model!AD3538-Model!AD3536-Model!AD3704+AD3652)+AD3704-AD3599+AD3600,Model!AD3537+Model!AD3538-Model!AD3536-Model!AD3704+AD3652-AD3599+AD3600)</f>
        <v>0</v>
      </c>
      <c r="AE3758" s="95">
        <f>IF(Model!AE3537+Model!AE3538-Model!AE3536-AE3704+AE3652&gt;0,(1-'Assumptions (CSP)'!AD25)*(Model!AE3537+Model!AE3538-Model!AE3536-Model!AE3704+AE3652)+AE3704-AE3599+AE3600,Model!AE3537+Model!AE3538-Model!AE3536-Model!AE3704+AE3652-AE3599+AE3600)</f>
        <v>0</v>
      </c>
      <c r="AF3758" s="95">
        <f>IF(Model!AF3537+Model!AF3538-Model!AF3536-AF3704+AF3652&gt;0,(1-'Assumptions (CSP)'!AE25)*(Model!AF3537+Model!AF3538-Model!AF3536-Model!AF3704+AF3652)+AF3704-AF3599+AF3600,Model!AF3537+Model!AF3538-Model!AF3536-Model!AF3704+AF3652-AF3599+AF3600)</f>
        <v>0</v>
      </c>
      <c r="AG3758" s="95">
        <f>IF(Model!AG3537+Model!AG3538-Model!AG3536-AG3704+AG3652&gt;0,(1-'Assumptions (CSP)'!AF25)*(Model!AG3537+Model!AG3538-Model!AG3536-Model!AG3704+AG3652)+AG3704-AG3599+AG3600,Model!AG3537+Model!AG3538-Model!AG3536-Model!AG3704+AG3652-AG3599+AG3600)</f>
        <v>0</v>
      </c>
      <c r="AH3758" s="95">
        <f>IF(Model!AH3537+Model!AH3538-Model!AH3536-AH3704+AH3652&gt;0,(1-'Assumptions (CSP)'!AG25)*(Model!AH3537+Model!AH3538-Model!AH3536-Model!AH3704+AH3652)+AH3704-AH3599+AH3600,Model!AH3537+Model!AH3538-Model!AH3536-Model!AH3704+AH3652-AH3599+AH3600)</f>
        <v>0</v>
      </c>
      <c r="AI3758" s="95">
        <f>IF(Model!AI3537+Model!AI3538-Model!AI3536-AI3704+AI3652&gt;0,(1-'Assumptions (CSP)'!AH25)*(Model!AI3537+Model!AI3538-Model!AI3536-Model!AI3704+AI3652)+AI3704-AI3599+AI3600,Model!AI3537+Model!AI3538-Model!AI3536-Model!AI3704+AI3652-AI3599+AI3600)</f>
        <v>0</v>
      </c>
      <c r="AJ3758" s="95">
        <f>IF(Model!AJ3537+Model!AJ3538-Model!AJ3536-AJ3704+AJ3652&gt;0,(1-'Assumptions (CSP)'!AI25)*(Model!AJ3537+Model!AJ3538-Model!AJ3536-Model!AJ3704+AJ3652)+AJ3704-AJ3599+AJ3600,Model!AJ3537+Model!AJ3538-Model!AJ3536-Model!AJ3704+AJ3652-AJ3599+AJ3600)</f>
        <v>0</v>
      </c>
      <c r="AK3758" s="95">
        <f>IF(Model!AK3537+Model!AK3538-Model!AK3536-AK3704+AK3652&gt;0,(1-'Assumptions (CSP)'!AJ25)*(Model!AK3537+Model!AK3538-Model!AK3536-Model!AK3704+AK3652)+AK3704-AK3599+AK3600,Model!AK3537+Model!AK3538-Model!AK3536-Model!AK3704+AK3652-AK3599+AK3600)</f>
        <v>0</v>
      </c>
      <c r="AL3758" s="95">
        <f>IF(Model!AL3537+Model!AL3538-Model!AL3536-AL3704+AL3652&gt;0,(1-'Assumptions (CSP)'!AK25)*(Model!AL3537+Model!AL3538-Model!AL3536-Model!AL3704+AL3652)+AL3704-AL3599+AL3600,Model!AL3537+Model!AL3538-Model!AL3536-Model!AL3704+AL3652-AL3599+AL3600)</f>
        <v>0</v>
      </c>
      <c r="AM3758" s="95">
        <f>IF(Model!AM3537+Model!AM3538-Model!AM3536-AM3704+AM3652&gt;0,(1-'Assumptions (CSP)'!AL25)*(Model!AM3537+Model!AM3538-Model!AM3536-Model!AM3704+AM3652)+AM3704-AM3599+AM3600,Model!AM3537+Model!AM3538-Model!AM3536-Model!AM3704+AM3652-AM3599+AM3600)</f>
        <v>0</v>
      </c>
      <c r="AN3758" s="95">
        <f>IF(Model!AN3537+Model!AN3538-Model!AN3536-AN3704+AN3652&gt;0,(1-'Assumptions (CSP)'!AM25)*(Model!AN3537+Model!AN3538-Model!AN3536-Model!AN3704+AN3652)+AN3704-AN3599+AN3600,Model!AN3537+Model!AN3538-Model!AN3536-Model!AN3704+AN3652-AN3599+AN3600)</f>
        <v>0</v>
      </c>
      <c r="AO3758" s="95">
        <f>IF(Model!AO3537+Model!AO3538-Model!AO3536-AO3704+AO3652&gt;0,(1-'Assumptions (CSP)'!AN25)*(Model!AO3537+Model!AO3538-Model!AO3536-Model!AO3704+AO3652)+AO3704-AO3599+AO3600,Model!AO3537+Model!AO3538-Model!AO3536-Model!AO3704+AO3652-AO3599+AO3600)</f>
        <v>0</v>
      </c>
      <c r="AP3758" s="95">
        <f>IF(Model!AP3537+Model!AP3538-Model!AP3536-AP3704+AP3652&gt;0,(1-'Assumptions (CSP)'!AO25)*(Model!AP3537+Model!AP3538-Model!AP3536-Model!AP3704+AP3652)+AP3704-AP3599+AP3600,Model!AP3537+Model!AP3538-Model!AP3536-Model!AP3704+AP3652-AP3599+AP3600)</f>
        <v>0</v>
      </c>
      <c r="AQ3758" s="95">
        <f>IF(Model!AQ3537+Model!AQ3538-Model!AQ3536-AQ3704+AQ3652&gt;0,(1-'Assumptions (CSP)'!AP25)*(Model!AQ3537+Model!AQ3538-Model!AQ3536-Model!AQ3704+AQ3652)+AQ3704-AQ3599+AQ3600,Model!AQ3537+Model!AQ3538-Model!AQ3536-Model!AQ3704+AQ3652-AQ3599+AQ3600)</f>
        <v>0</v>
      </c>
      <c r="AR3758" s="95">
        <f>IF(Model!AR3537+Model!AR3538-Model!AR3536-AR3704+AR3652&gt;0,(1-'Assumptions (CSP)'!AQ25)*(Model!AR3537+Model!AR3538-Model!AR3536-Model!AR3704+AR3652)+AR3704-AR3599+AR3600,Model!AR3537+Model!AR3538-Model!AR3536-Model!AR3704+AR3652-AR3599+AR3600)</f>
        <v>0</v>
      </c>
      <c r="AS3758" s="95">
        <f>IF(Model!AS3537+Model!AS3538-Model!AS3536-AS3704+AS3652&gt;0,(1-'Assumptions (CSP)'!AR25)*(Model!AS3537+Model!AS3538-Model!AS3536-Model!AS3704+AS3652)+AS3704-AS3599+AS3600,Model!AS3537+Model!AS3538-Model!AS3536-Model!AS3704+AS3652-AS3599+AS3600)</f>
        <v>0</v>
      </c>
      <c r="AT3758" s="95">
        <f>IF(Model!AT3537+Model!AT3538-Model!AT3536-AT3704+AT3652&gt;0,(1-'Assumptions (CSP)'!AS25)*(Model!AT3537+Model!AT3538-Model!AT3536-Model!AT3704+AT3652)+AT3704-AT3599+AT3600,Model!AT3537+Model!AT3538-Model!AT3536-Model!AT3704+AT3652-AT3599+AT3600)</f>
        <v>0</v>
      </c>
      <c r="AU3758" s="95">
        <f>IF(Model!AU3537+Model!AU3538-Model!AU3536-AU3704+AU3652&gt;0,(1-'Assumptions (CSP)'!AT25)*(Model!AU3537+Model!AU3538-Model!AU3536-Model!AU3704+AU3652)+AU3704-AU3599+AU3600,Model!AU3537+Model!AU3538-Model!AU3536-Model!AU3704+AU3652-AU3599+AU3600)</f>
        <v>0</v>
      </c>
      <c r="AV3758" s="95">
        <f>IF(Model!AV3537+Model!AV3538-Model!AV3536-AV3704+AV3652&gt;0,(1-'Assumptions (CSP)'!AU25)*(Model!AV3537+Model!AV3538-Model!AV3536-Model!AV3704+AV3652)+AV3704-AV3599+AV3600,Model!AV3537+Model!AV3538-Model!AV3536-Model!AV3704+AV3652-AV3599+AV3600)</f>
        <v>0</v>
      </c>
      <c r="AW3758" s="95">
        <f>IF(Model!AW3537+Model!AW3538-Model!AW3536-AW3704+AW3652&gt;0,(1-'Assumptions (CSP)'!AV25)*(Model!AW3537+Model!AW3538-Model!AW3536-Model!AW3704+AW3652)+AW3704-AW3599+AW3600,Model!AW3537+Model!AW3538-Model!AW3536-Model!AW3704+AW3652-AW3599+AW3600)</f>
        <v>0</v>
      </c>
      <c r="AX3758" s="95">
        <f>IF(Model!AX3537+Model!AX3538-Model!AX3536-AX3704+AX3652&gt;0,(1-'Assumptions (CSP)'!AW25)*(Model!AX3537+Model!AX3538-Model!AX3536-Model!AX3704+AX3652)+AX3704-AX3599+AX3600,Model!AX3537+Model!AX3538-Model!AX3536-Model!AX3704+AX3652-AX3599+AX3600)</f>
        <v>0</v>
      </c>
      <c r="AY3758" s="95">
        <f>IF(Model!AY3537+Model!AY3538-Model!AY3536-AY3704+AY3652&gt;0,(1-'Assumptions (CSP)'!AX25)*(Model!AY3537+Model!AY3538-Model!AY3536-Model!AY3704+AY3652)+AY3704-AY3599+AY3600,Model!AY3537+Model!AY3538-Model!AY3536-Model!AY3704+AY3652-AY3599+AY3600)</f>
        <v>0</v>
      </c>
      <c r="AZ3758" s="95">
        <f>IF(Model!AZ3537+Model!AZ3538-Model!AZ3536-AZ3704+AZ3652&gt;0,(1-'Assumptions (CSP)'!AY25)*(Model!AZ3537+Model!AZ3538-Model!AZ3536-Model!AZ3704+AZ3652)+AZ3704-AZ3599+AZ3600,Model!AZ3537+Model!AZ3538-Model!AZ3536-Model!AZ3704+AZ3652-AZ3599+AZ3600)</f>
        <v>0</v>
      </c>
      <c r="BA3758" s="95">
        <f>IF(Model!BA3537+Model!BA3538-Model!BA3536-BA3704+BA3652&gt;0,(1-'Assumptions (CSP)'!AZ25)*(Model!BA3537+Model!BA3538-Model!BA3536-Model!BA3704+BA3652)+BA3704-BA3599+BA3600,Model!BA3537+Model!BA3538-Model!BA3536-Model!BA3704+BA3652-BA3599+BA3600)</f>
        <v>0</v>
      </c>
    </row>
    <row r="3759" ht="15.75" customHeight="1">
      <c r="A3759" s="398" t="s">
        <v>64</v>
      </c>
      <c r="B3759" s="159" t="s">
        <v>351</v>
      </c>
      <c r="C3759" s="402">
        <f>IF(Model!C3537+Model!C3538-Model!C3536-C3704+C3652&gt;0,'Assumptions (CSP)'!B25*(Model!C3537+Model!C3538-Model!C3536-Model!C3704+C3652)-'Assumptions (CSP)'!B26*Model!C3535/10^3,-'Assumptions (Coal)'!B24*Model!C3535/10^3)</f>
        <v>0</v>
      </c>
      <c r="D3759" s="402">
        <f>IF(Model!D3537+Model!D3538-Model!D3536-D3704+D3652&gt;0,'Assumptions (CSP)'!C25*(Model!D3537+Model!D3538-Model!D3536-Model!D3704+D3652)-'Assumptions (CSP)'!C26*Model!D3535/10^3,-'Assumptions (Coal)'!C24*Model!D3535/10^3)</f>
        <v>0</v>
      </c>
      <c r="E3759" s="402">
        <f>IF(Model!E3537+Model!E3538-Model!E3536-E3704+E3652&gt;0,'Assumptions (CSP)'!D25*(Model!E3537+Model!E3538-Model!E3536-Model!E3704+E3652)-'Assumptions (CSP)'!D26*Model!E3535/10^3,-'Assumptions (Coal)'!D24*Model!E3535/10^3)</f>
        <v>0</v>
      </c>
      <c r="F3759" s="402">
        <f>IF(Model!F3537+Model!F3538-Model!F3536-F3704+F3652&gt;0,'Assumptions (CSP)'!E25*(Model!F3537+Model!F3538-Model!F3536-Model!F3704+F3652)-'Assumptions (CSP)'!E26*Model!F3535/10^3,-'Assumptions (Coal)'!E24*Model!F3535/10^3)</f>
        <v>0</v>
      </c>
      <c r="G3759" s="402">
        <f>IF(Model!G3537+Model!G3538-Model!G3536-G3704+G3652&gt;0,'Assumptions (CSP)'!F25*(Model!G3537+Model!G3538-Model!G3536-Model!G3704+G3652)-'Assumptions (CSP)'!F26*Model!G3535/10^3,-'Assumptions (Coal)'!F24*Model!G3535/10^3)</f>
        <v>0</v>
      </c>
      <c r="H3759" s="402">
        <f>IF(Model!H3537+Model!H3538-Model!H3536-H3704+H3652&gt;0,'Assumptions (CSP)'!G25*(Model!H3537+Model!H3538-Model!H3536-Model!H3704+H3652)-'Assumptions (CSP)'!G26*Model!H3535/10^3,-'Assumptions (Coal)'!G24*Model!H3535/10^3)</f>
        <v>0</v>
      </c>
      <c r="I3759" s="402">
        <f>IF(Model!I3537+Model!I3538-Model!I3536-I3704+I3652&gt;0,'Assumptions (CSP)'!H25*(Model!I3537+Model!I3538-Model!I3536-Model!I3704+I3652)-'Assumptions (CSP)'!H26*Model!I3535/10^3,-'Assumptions (Coal)'!H24*Model!I3535/10^3)</f>
        <v>0</v>
      </c>
      <c r="J3759" s="402">
        <f>IF(Model!J3537+Model!J3538-Model!J3536-J3704+J3652&gt;0,'Assumptions (CSP)'!I25*(Model!J3537+Model!J3538-Model!J3536-Model!J3704+J3652)-'Assumptions (CSP)'!I26*Model!J3535/10^3,-'Assumptions (Coal)'!I24*Model!J3535/10^3)</f>
        <v>0</v>
      </c>
      <c r="K3759" s="402">
        <f>IF(Model!K3537+Model!K3538-Model!K3536-K3704+K3652&gt;0,'Assumptions (CSP)'!J25*(Model!K3537+Model!K3538-Model!K3536-Model!K3704+K3652)-'Assumptions (CSP)'!J26*Model!K3535/10^3,-'Assumptions (Coal)'!J24*Model!K3535/10^3)</f>
        <v>0</v>
      </c>
      <c r="L3759" s="402">
        <f>IF(Model!L3537+Model!L3538-Model!L3536-L3704+L3652&gt;0,'Assumptions (CSP)'!K25*(Model!L3537+Model!L3538-Model!L3536-Model!L3704+L3652)-'Assumptions (CSP)'!K26*Model!L3535/10^3,-'Assumptions (Coal)'!K24*Model!L3535/10^3)</f>
        <v>0</v>
      </c>
      <c r="M3759" s="402">
        <f>IF(Model!M3537+Model!M3538-Model!M3536-M3704+M3652&gt;0,'Assumptions (CSP)'!L25*(Model!M3537+Model!M3538-Model!M3536-Model!M3704+M3652)-'Assumptions (CSP)'!L26*Model!M3535/10^3,-'Assumptions (Coal)'!L24*Model!M3535/10^3)</f>
        <v>0</v>
      </c>
      <c r="N3759" s="402">
        <f>IF(Model!N3537+Model!N3538-Model!N3536-N3704+N3652&gt;0,'Assumptions (CSP)'!M25*(Model!N3537+Model!N3538-Model!N3536-Model!N3704+N3652)-'Assumptions (CSP)'!M26*Model!N3535/10^3,-'Assumptions (Coal)'!M24*Model!N3535/10^3)</f>
        <v>0</v>
      </c>
      <c r="O3759" s="402">
        <f>IF(Model!O3537+Model!O3538-Model!O3536-O3704+O3652&gt;0,'Assumptions (CSP)'!N25*(Model!O3537+Model!O3538-Model!O3536-Model!O3704+O3652)-'Assumptions (CSP)'!N26*Model!O3535/10^3,-'Assumptions (Coal)'!N24*Model!O3535/10^3)</f>
        <v>0</v>
      </c>
      <c r="P3759" s="402">
        <f>IF(Model!P3537+Model!P3538-Model!P3536-P3704+P3652&gt;0,'Assumptions (CSP)'!O25*(Model!P3537+Model!P3538-Model!P3536-Model!P3704+P3652)-'Assumptions (CSP)'!O26*Model!P3535/10^3,-'Assumptions (Coal)'!O24*Model!P3535/10^3)</f>
        <v>0</v>
      </c>
      <c r="Q3759" s="402">
        <f>IF(Model!Q3537+Model!Q3538-Model!Q3536-Q3704+Q3652&gt;0,'Assumptions (CSP)'!P25*(Model!Q3537+Model!Q3538-Model!Q3536-Model!Q3704+Q3652)-'Assumptions (CSP)'!P26*Model!Q3535/10^3,-'Assumptions (Coal)'!P24*Model!Q3535/10^3)</f>
        <v>0</v>
      </c>
      <c r="R3759" s="402">
        <f>IF(Model!R3537+Model!R3538-Model!R3536-R3704+R3652&gt;0,'Assumptions (CSP)'!Q25*(Model!R3537+Model!R3538-Model!R3536-Model!R3704+R3652)-'Assumptions (CSP)'!Q26*Model!R3535/10^3,-'Assumptions (Coal)'!Q24*Model!R3535/10^3)</f>
        <v>0</v>
      </c>
      <c r="S3759" s="402">
        <f>IF(Model!S3537+Model!S3538-Model!S3536-S3704+S3652&gt;0,'Assumptions (CSP)'!R25*(Model!S3537+Model!S3538-Model!S3536-Model!S3704+S3652)-'Assumptions (CSP)'!R26*Model!S3535/10^3,-'Assumptions (Coal)'!R24*Model!S3535/10^3)</f>
        <v>0</v>
      </c>
      <c r="T3759" s="402">
        <f>IF(Model!T3537+Model!T3538-Model!T3536-T3704+T3652&gt;0,'Assumptions (CSP)'!S25*(Model!T3537+Model!T3538-Model!T3536-Model!T3704+T3652)-'Assumptions (CSP)'!S26*Model!T3535/10^3,-'Assumptions (Coal)'!S24*Model!T3535/10^3)</f>
        <v>0</v>
      </c>
      <c r="U3759" s="402">
        <f>IF(Model!U3537+Model!U3538-Model!U3536-U3704+U3652&gt;0,'Assumptions (CSP)'!T25*(Model!U3537+Model!U3538-Model!U3536-Model!U3704+U3652)-'Assumptions (CSP)'!T26*Model!U3535/10^3,-'Assumptions (Coal)'!T24*Model!U3535/10^3)</f>
        <v>0</v>
      </c>
      <c r="V3759" s="402">
        <f>IF(Model!V3537+Model!V3538-Model!V3536-V3704+V3652&gt;0,'Assumptions (CSP)'!U25*(Model!V3537+Model!V3538-Model!V3536-Model!V3704+V3652)-'Assumptions (CSP)'!U26*Model!V3535/10^3,-'Assumptions (Coal)'!U24*Model!V3535/10^3)</f>
        <v>0</v>
      </c>
      <c r="W3759" s="402">
        <f>IF(Model!W3537+Model!W3538-Model!W3536-W3704+W3652&gt;0,'Assumptions (CSP)'!V25*(Model!W3537+Model!W3538-Model!W3536-Model!W3704+W3652)-'Assumptions (CSP)'!V26*Model!W3535/10^3,-'Assumptions (Coal)'!V24*Model!W3535/10^3)</f>
        <v>0</v>
      </c>
      <c r="X3759" s="402">
        <f>IF(Model!X3537+Model!X3538-Model!X3536-X3704+X3652&gt;0,'Assumptions (CSP)'!W25*(Model!X3537+Model!X3538-Model!X3536-Model!X3704+X3652)-'Assumptions (CSP)'!W26*Model!X3535/10^3,-'Assumptions (Coal)'!W24*Model!X3535/10^3)</f>
        <v>0</v>
      </c>
      <c r="Y3759" s="402">
        <f>IF(Model!Y3537+Model!Y3538-Model!Y3536-Y3704+Y3652&gt;0,'Assumptions (CSP)'!X25*(Model!Y3537+Model!Y3538-Model!Y3536-Model!Y3704+Y3652)-'Assumptions (CSP)'!X26*Model!Y3535/10^3,-'Assumptions (Coal)'!X24*Model!Y3535/10^3)</f>
        <v>0</v>
      </c>
      <c r="Z3759" s="402">
        <f>IF(Model!Z3537+Model!Z3538-Model!Z3536-Z3704+Z3652&gt;0,'Assumptions (CSP)'!Y25*(Model!Z3537+Model!Z3538-Model!Z3536-Model!Z3704+Z3652)-'Assumptions (CSP)'!Y26*Model!Z3535/10^3,-'Assumptions (Coal)'!Y24*Model!Z3535/10^3)</f>
        <v>0</v>
      </c>
      <c r="AA3759" s="402">
        <f>IF(Model!AA3537+Model!AA3538-Model!AA3536-AA3704+AA3652&gt;0,'Assumptions (CSP)'!Z25*(Model!AA3537+Model!AA3538-Model!AA3536-Model!AA3704+AA3652)-'Assumptions (CSP)'!Z26*Model!AA3535/10^3,-'Assumptions (Coal)'!Z24*Model!AA3535/10^3)</f>
        <v>0</v>
      </c>
      <c r="AB3759" s="402">
        <f>IF(Model!AB3537+Model!AB3538-Model!AB3536-AB3704+AB3652&gt;0,'Assumptions (CSP)'!AA25*(Model!AB3537+Model!AB3538-Model!AB3536-Model!AB3704+AB3652)-'Assumptions (CSP)'!AA26*Model!AB3535/10^3,-'Assumptions (Coal)'!AA24*Model!AB3535/10^3)</f>
        <v>0</v>
      </c>
      <c r="AC3759" s="402">
        <f>IF(Model!AC3537+Model!AC3538-Model!AC3536-AC3704+AC3652&gt;0,'Assumptions (CSP)'!AB25*(Model!AC3537+Model!AC3538-Model!AC3536-Model!AC3704+AC3652)-'Assumptions (CSP)'!AB26*Model!AC3535/10^3,-'Assumptions (Coal)'!AB24*Model!AC3535/10^3)</f>
        <v>0</v>
      </c>
      <c r="AD3759" s="402">
        <f>IF(Model!AD3537+Model!AD3538-Model!AD3536-AD3704+AD3652&gt;0,'Assumptions (CSP)'!AC25*(Model!AD3537+Model!AD3538-Model!AD3536-Model!AD3704+AD3652)-'Assumptions (CSP)'!AC26*Model!AD3535/10^3,-'Assumptions (Coal)'!AC24*Model!AD3535/10^3)</f>
        <v>0</v>
      </c>
      <c r="AE3759" s="402">
        <f>IF(Model!AE3537+Model!AE3538-Model!AE3536-AE3704+AE3652&gt;0,'Assumptions (CSP)'!AD25*(Model!AE3537+Model!AE3538-Model!AE3536-Model!AE3704+AE3652)-'Assumptions (CSP)'!AD26*Model!AE3535/10^3,-'Assumptions (Coal)'!AD24*Model!AE3535/10^3)</f>
        <v>0</v>
      </c>
      <c r="AF3759" s="402">
        <f>IF(Model!AF3537+Model!AF3538-Model!AF3536-AF3704+AF3652&gt;0,'Assumptions (CSP)'!AE25*(Model!AF3537+Model!AF3538-Model!AF3536-Model!AF3704+AF3652)-'Assumptions (CSP)'!AE26*Model!AF3535/10^3,-'Assumptions (Coal)'!AE24*Model!AF3535/10^3)</f>
        <v>0</v>
      </c>
      <c r="AG3759" s="402">
        <f>IF(Model!AG3537+Model!AG3538-Model!AG3536-AG3704+AG3652&gt;0,'Assumptions (CSP)'!AF25*(Model!AG3537+Model!AG3538-Model!AG3536-Model!AG3704+AG3652)-'Assumptions (CSP)'!AF26*Model!AG3535/10^3,-'Assumptions (Coal)'!AF24*Model!AG3535/10^3)</f>
        <v>0</v>
      </c>
      <c r="AH3759" s="402">
        <f>IF(Model!AH3537+Model!AH3538-Model!AH3536-AH3704+AH3652&gt;0,'Assumptions (CSP)'!AG25*(Model!AH3537+Model!AH3538-Model!AH3536-Model!AH3704+AH3652)-'Assumptions (CSP)'!AG26*Model!AH3535/10^3,-'Assumptions (Coal)'!AG24*Model!AH3535/10^3)</f>
        <v>0</v>
      </c>
      <c r="AI3759" s="402">
        <f>IF(Model!AI3537+Model!AI3538-Model!AI3536-AI3704+AI3652&gt;0,'Assumptions (CSP)'!AH25*(Model!AI3537+Model!AI3538-Model!AI3536-Model!AI3704+AI3652)-'Assumptions (CSP)'!AH26*Model!AI3535/10^3,-'Assumptions (Coal)'!AH24*Model!AI3535/10^3)</f>
        <v>0</v>
      </c>
      <c r="AJ3759" s="402">
        <f>IF(Model!AJ3537+Model!AJ3538-Model!AJ3536-AJ3704+AJ3652&gt;0,'Assumptions (CSP)'!AI25*(Model!AJ3537+Model!AJ3538-Model!AJ3536-Model!AJ3704+AJ3652)-'Assumptions (CSP)'!AI26*Model!AJ3535/10^3,-'Assumptions (Coal)'!AI24*Model!AJ3535/10^3)</f>
        <v>0</v>
      </c>
      <c r="AK3759" s="402">
        <f>IF(Model!AK3537+Model!AK3538-Model!AK3536-AK3704+AK3652&gt;0,'Assumptions (CSP)'!AJ25*(Model!AK3537+Model!AK3538-Model!AK3536-Model!AK3704+AK3652)-'Assumptions (CSP)'!AJ26*Model!AK3535/10^3,-'Assumptions (Coal)'!AJ24*Model!AK3535/10^3)</f>
        <v>0</v>
      </c>
      <c r="AL3759" s="402">
        <f>IF(Model!AL3537+Model!AL3538-Model!AL3536-AL3704+AL3652&gt;0,'Assumptions (CSP)'!AK25*(Model!AL3537+Model!AL3538-Model!AL3536-Model!AL3704+AL3652)-'Assumptions (CSP)'!AK26*Model!AL3535/10^3,-'Assumptions (Coal)'!AK24*Model!AL3535/10^3)</f>
        <v>0</v>
      </c>
      <c r="AM3759" s="402">
        <f>IF(Model!AM3537+Model!AM3538-Model!AM3536-AM3704+AM3652&gt;0,'Assumptions (CSP)'!AL25*(Model!AM3537+Model!AM3538-Model!AM3536-Model!AM3704+AM3652)-'Assumptions (CSP)'!AL26*Model!AM3535/10^3,-'Assumptions (Coal)'!AL24*Model!AM3535/10^3)</f>
        <v>0</v>
      </c>
      <c r="AN3759" s="402">
        <f>IF(Model!AN3537+Model!AN3538-Model!AN3536-AN3704+AN3652&gt;0,'Assumptions (CSP)'!AM25*(Model!AN3537+Model!AN3538-Model!AN3536-Model!AN3704+AN3652)-'Assumptions (CSP)'!AM26*Model!AN3535/10^3,-'Assumptions (Coal)'!AM24*Model!AN3535/10^3)</f>
        <v>0</v>
      </c>
      <c r="AO3759" s="402">
        <f>IF(Model!AO3537+Model!AO3538-Model!AO3536-AO3704+AO3652&gt;0,'Assumptions (CSP)'!AN25*(Model!AO3537+Model!AO3538-Model!AO3536-Model!AO3704+AO3652)-'Assumptions (CSP)'!AN26*Model!AO3535/10^3,-'Assumptions (Coal)'!AN24*Model!AO3535/10^3)</f>
        <v>0</v>
      </c>
      <c r="AP3759" s="402">
        <f>IF(Model!AP3537+Model!AP3538-Model!AP3536-AP3704+AP3652&gt;0,'Assumptions (CSP)'!AO25*(Model!AP3537+Model!AP3538-Model!AP3536-Model!AP3704+AP3652)-'Assumptions (CSP)'!AO26*Model!AP3535/10^3,-'Assumptions (Coal)'!AO24*Model!AP3535/10^3)</f>
        <v>0</v>
      </c>
      <c r="AQ3759" s="402">
        <f>IF(Model!AQ3537+Model!AQ3538-Model!AQ3536-AQ3704+AQ3652&gt;0,'Assumptions (CSP)'!AP25*(Model!AQ3537+Model!AQ3538-Model!AQ3536-Model!AQ3704+AQ3652)-'Assumptions (CSP)'!AP26*Model!AQ3535/10^3,-'Assumptions (Coal)'!AP24*Model!AQ3535/10^3)</f>
        <v>0</v>
      </c>
      <c r="AR3759" s="402">
        <f>IF(Model!AR3537+Model!AR3538-Model!AR3536-AR3704+AR3652&gt;0,'Assumptions (CSP)'!AQ25*(Model!AR3537+Model!AR3538-Model!AR3536-Model!AR3704+AR3652)-'Assumptions (CSP)'!AQ26*Model!AR3535/10^3,-'Assumptions (Coal)'!AQ24*Model!AR3535/10^3)</f>
        <v>0</v>
      </c>
      <c r="AS3759" s="402">
        <f>IF(Model!AS3537+Model!AS3538-Model!AS3536-AS3704+AS3652&gt;0,'Assumptions (CSP)'!AR25*(Model!AS3537+Model!AS3538-Model!AS3536-Model!AS3704+AS3652)-'Assumptions (CSP)'!AR26*Model!AS3535/10^3,-'Assumptions (Coal)'!AR24*Model!AS3535/10^3)</f>
        <v>0</v>
      </c>
      <c r="AT3759" s="402">
        <f>IF(Model!AT3537+Model!AT3538-Model!AT3536-AT3704+AT3652&gt;0,'Assumptions (CSP)'!AS25*(Model!AT3537+Model!AT3538-Model!AT3536-Model!AT3704+AT3652)-'Assumptions (CSP)'!AS26*Model!AT3535/10^3,-'Assumptions (Coal)'!AS24*Model!AT3535/10^3)</f>
        <v>0</v>
      </c>
      <c r="AU3759" s="402">
        <f>IF(Model!AU3537+Model!AU3538-Model!AU3536-AU3704+AU3652&gt;0,'Assumptions (CSP)'!AT25*(Model!AU3537+Model!AU3538-Model!AU3536-Model!AU3704+AU3652)-'Assumptions (CSP)'!AT26*Model!AU3535/10^3,-'Assumptions (Coal)'!AT24*Model!AU3535/10^3)</f>
        <v>0</v>
      </c>
      <c r="AV3759" s="402">
        <f>IF(Model!AV3537+Model!AV3538-Model!AV3536-AV3704+AV3652&gt;0,'Assumptions (CSP)'!AU25*(Model!AV3537+Model!AV3538-Model!AV3536-Model!AV3704+AV3652)-'Assumptions (CSP)'!AU26*Model!AV3535/10^3,-'Assumptions (Coal)'!AU24*Model!AV3535/10^3)</f>
        <v>0</v>
      </c>
      <c r="AW3759" s="402">
        <f>IF(Model!AW3537+Model!AW3538-Model!AW3536-AW3704+AW3652&gt;0,'Assumptions (CSP)'!AV25*(Model!AW3537+Model!AW3538-Model!AW3536-Model!AW3704+AW3652)-'Assumptions (CSP)'!AV26*Model!AW3535/10^3,-'Assumptions (Coal)'!AV24*Model!AW3535/10^3)</f>
        <v>0</v>
      </c>
      <c r="AX3759" s="402">
        <f>IF(Model!AX3537+Model!AX3538-Model!AX3536-AX3704+AX3652&gt;0,'Assumptions (CSP)'!AW25*(Model!AX3537+Model!AX3538-Model!AX3536-Model!AX3704+AX3652)-'Assumptions (CSP)'!AW26*Model!AX3535/10^3,-'Assumptions (Coal)'!AW24*Model!AX3535/10^3)</f>
        <v>0</v>
      </c>
      <c r="AY3759" s="402">
        <f>IF(Model!AY3537+Model!AY3538-Model!AY3536-AY3704+AY3652&gt;0,'Assumptions (CSP)'!AX25*(Model!AY3537+Model!AY3538-Model!AY3536-Model!AY3704+AY3652)-'Assumptions (CSP)'!AX26*Model!AY3535/10^3,-'Assumptions (Coal)'!AX24*Model!AY3535/10^3)</f>
        <v>0</v>
      </c>
      <c r="AZ3759" s="402">
        <f>IF(Model!AZ3537+Model!AZ3538-Model!AZ3536-AZ3704+AZ3652&gt;0,'Assumptions (CSP)'!AY25*(Model!AZ3537+Model!AZ3538-Model!AZ3536-Model!AZ3704+AZ3652)-'Assumptions (CSP)'!AY26*Model!AZ3535/10^3,-'Assumptions (Coal)'!AY24*Model!AZ3535/10^3)</f>
        <v>0</v>
      </c>
      <c r="BA3759" s="402">
        <f>IF(Model!BA3537+Model!BA3538-Model!BA3536-BA3704+BA3652&gt;0,'Assumptions (CSP)'!AZ25*(Model!BA3537+Model!BA3538-Model!BA3536-Model!BA3704+BA3652)-'Assumptions (CSP)'!AZ26*Model!BA3535/10^3,-'Assumptions (Coal)'!AZ24*Model!BA3535/10^3)</f>
        <v>0</v>
      </c>
    </row>
    <row r="3760" ht="15.75" customHeight="1">
      <c r="A3760" s="395" t="s">
        <v>363</v>
      </c>
      <c r="B3760" s="150" t="s">
        <v>462</v>
      </c>
      <c r="C3760" s="292">
        <f>C3539*'Assumptions (CSP)'!$V$24/10^9</f>
        <v>0</v>
      </c>
      <c r="D3760" s="292">
        <f>D3539*'Assumptions (CSP)'!$V$24/1000000000</f>
        <v>0</v>
      </c>
      <c r="E3760" s="292">
        <f>E3539*'Assumptions (CSP)'!$V$24/1000000000</f>
        <v>0</v>
      </c>
      <c r="F3760" s="292">
        <f>F3539*'Assumptions (CSP)'!$V$24/1000000000</f>
        <v>0</v>
      </c>
      <c r="G3760" s="292">
        <f>G3539*'Assumptions (CSP)'!$V$24/1000000000</f>
        <v>0</v>
      </c>
      <c r="H3760" s="292">
        <f>H3539*'Assumptions (CSP)'!$V$24/1000000000</f>
        <v>0</v>
      </c>
      <c r="I3760" s="292">
        <f>I3539*'Assumptions (CSP)'!$V$24/1000000000</f>
        <v>0</v>
      </c>
      <c r="J3760" s="292">
        <f>J3539*'Assumptions (CSP)'!$V$24/1000000000</f>
        <v>0</v>
      </c>
      <c r="K3760" s="292">
        <f>K3539*'Assumptions (CSP)'!$V$24/1000000000</f>
        <v>0</v>
      </c>
      <c r="L3760" s="292">
        <f>L3539*'Assumptions (CSP)'!$V$24/1000000000</f>
        <v>0</v>
      </c>
      <c r="M3760" s="292">
        <f>M3539*'Assumptions (CSP)'!$V$24/1000000000</f>
        <v>0</v>
      </c>
      <c r="N3760" s="292">
        <f>N3539*'Assumptions (CSP)'!$V$24/1000000000</f>
        <v>0</v>
      </c>
      <c r="O3760" s="292">
        <f>O3539*'Assumptions (CSP)'!$V$24/1000000000</f>
        <v>0</v>
      </c>
      <c r="P3760" s="292">
        <f>P3539*'Assumptions (CSP)'!$V$24/1000000000</f>
        <v>0</v>
      </c>
      <c r="Q3760" s="292">
        <f>Q3539*'Assumptions (CSP)'!$V$24/1000000000</f>
        <v>0</v>
      </c>
      <c r="R3760" s="292">
        <f>R3539*'Assumptions (CSP)'!$V$24/1000000000</f>
        <v>0</v>
      </c>
      <c r="S3760" s="292">
        <f>S3539*'Assumptions (CSP)'!$V$24/1000000000</f>
        <v>0</v>
      </c>
      <c r="T3760" s="292">
        <f>T3539*'Assumptions (CSP)'!$V$24/1000000000</f>
        <v>0</v>
      </c>
      <c r="U3760" s="292">
        <f>U3539*'Assumptions (CSP)'!$V$24/1000000000</f>
        <v>0</v>
      </c>
      <c r="V3760" s="292">
        <f>V3539*'Assumptions (CSP)'!$V$24/1000000000</f>
        <v>0</v>
      </c>
      <c r="W3760" s="292">
        <f>W3539*'Assumptions (CSP)'!$V$24/1000000000</f>
        <v>0</v>
      </c>
      <c r="X3760" s="292">
        <f>X3539*'Assumptions (CSP)'!$V$24/1000000000</f>
        <v>0</v>
      </c>
      <c r="Y3760" s="292">
        <f>Y3539*'Assumptions (CSP)'!$V$24/1000000000</f>
        <v>0</v>
      </c>
      <c r="Z3760" s="292">
        <f>Z3539*'Assumptions (CSP)'!$V$24/1000000000</f>
        <v>0</v>
      </c>
      <c r="AA3760" s="292">
        <f>AA3539*'Assumptions (CSP)'!$V$24/1000000000</f>
        <v>0</v>
      </c>
      <c r="AB3760" s="292">
        <f>AB3539*'Assumptions (CSP)'!$V$24/1000000000</f>
        <v>0</v>
      </c>
      <c r="AC3760" s="292">
        <f>AC3539*'Assumptions (CSP)'!$V$24/1000000000</f>
        <v>0</v>
      </c>
      <c r="AD3760" s="292">
        <f>AD3539*'Assumptions (CSP)'!$V$24/1000000000</f>
        <v>0</v>
      </c>
      <c r="AE3760" s="292">
        <f>AE3539*'Assumptions (CSP)'!$V$24/1000000000</f>
        <v>0</v>
      </c>
      <c r="AF3760" s="292">
        <f>AF3539*'Assumptions (CSP)'!$V$24/1000000000</f>
        <v>0</v>
      </c>
      <c r="AG3760" s="292">
        <f>AG3539*'Assumptions (CSP)'!$V$24/1000000000</f>
        <v>0</v>
      </c>
      <c r="AH3760" s="292">
        <f>AH3539*'Assumptions (CSP)'!$V$24/1000000000</f>
        <v>0</v>
      </c>
      <c r="AI3760" s="292">
        <f>AI3539*'Assumptions (CSP)'!$V$24/1000000000</f>
        <v>0</v>
      </c>
      <c r="AJ3760" s="292">
        <f>AJ3539*'Assumptions (CSP)'!$V$24/1000000000</f>
        <v>0</v>
      </c>
      <c r="AK3760" s="292">
        <f>AK3539*'Assumptions (CSP)'!$V$24/1000000000</f>
        <v>0</v>
      </c>
      <c r="AL3760" s="292">
        <f>AL3539*'Assumptions (CSP)'!$V$24/1000000000</f>
        <v>0</v>
      </c>
      <c r="AM3760" s="292">
        <f>AM3539*'Assumptions (CSP)'!$V$24/1000000000</f>
        <v>0</v>
      </c>
      <c r="AN3760" s="292">
        <f>AN3539*'Assumptions (CSP)'!$V$24/1000000000</f>
        <v>0</v>
      </c>
      <c r="AO3760" s="292">
        <f>AO3539*'Assumptions (CSP)'!$V$24/1000000000</f>
        <v>0</v>
      </c>
      <c r="AP3760" s="292">
        <f>AP3539*'Assumptions (CSP)'!$V$24/1000000000</f>
        <v>0</v>
      </c>
      <c r="AQ3760" s="292">
        <f>AQ3539*'Assumptions (CSP)'!$V$24/1000000000</f>
        <v>0</v>
      </c>
      <c r="AR3760" s="292">
        <f>AR3539*'Assumptions (CSP)'!$V$24/1000000000</f>
        <v>0</v>
      </c>
      <c r="AS3760" s="292">
        <f>AS3539*'Assumptions (CSP)'!$V$24/1000000000</f>
        <v>0</v>
      </c>
      <c r="AT3760" s="292">
        <f>AT3539*'Assumptions (CSP)'!$V$24/1000000000</f>
        <v>0</v>
      </c>
      <c r="AU3760" s="292">
        <f>AU3539*'Assumptions (CSP)'!$V$24/1000000000</f>
        <v>0</v>
      </c>
      <c r="AV3760" s="292">
        <f>AV3539*'Assumptions (CSP)'!$V$24/1000000000</f>
        <v>0</v>
      </c>
      <c r="AW3760" s="292">
        <f>AW3539*'Assumptions (CSP)'!$V$24/1000000000</f>
        <v>0</v>
      </c>
      <c r="AX3760" s="292">
        <f>AX3539*'Assumptions (CSP)'!$V$24/1000000000</f>
        <v>0</v>
      </c>
      <c r="AY3760" s="292">
        <f>AY3539*'Assumptions (CSP)'!$V$24/1000000000</f>
        <v>0</v>
      </c>
      <c r="AZ3760" s="292">
        <f>AZ3539*'Assumptions (CSP)'!$V$24/1000000000</f>
        <v>0</v>
      </c>
      <c r="BA3760" s="292">
        <f>BA3539*'Assumptions (CSP)'!$V$24/1000000000</f>
        <v>0</v>
      </c>
    </row>
    <row r="3761" ht="15.75" customHeight="1">
      <c r="A3761" s="174"/>
      <c r="B3761" s="159"/>
      <c r="C3761" s="95"/>
      <c r="D3761" s="95"/>
      <c r="E3761" s="95"/>
      <c r="F3761" s="95"/>
      <c r="G3761" s="95"/>
      <c r="H3761" s="95"/>
      <c r="I3761" s="95"/>
      <c r="J3761" s="95"/>
      <c r="K3761" s="95"/>
      <c r="L3761" s="95"/>
      <c r="M3761" s="95"/>
      <c r="N3761" s="95"/>
      <c r="O3761" s="95"/>
      <c r="P3761" s="95"/>
      <c r="Q3761" s="95"/>
      <c r="R3761" s="95"/>
      <c r="S3761" s="95"/>
      <c r="T3761" s="95"/>
      <c r="U3761" s="95"/>
      <c r="V3761" s="95"/>
      <c r="W3761" s="95"/>
      <c r="X3761" s="95"/>
      <c r="Y3761" s="95"/>
      <c r="Z3761" s="95"/>
      <c r="AA3761" s="95"/>
      <c r="AB3761" s="95"/>
      <c r="AC3761" s="95"/>
      <c r="AD3761" s="95"/>
      <c r="AE3761" s="95"/>
      <c r="AF3761" s="95"/>
      <c r="AG3761" s="95"/>
      <c r="AH3761" s="95"/>
      <c r="AI3761" s="95"/>
      <c r="AJ3761" s="95"/>
      <c r="AK3761" s="95"/>
      <c r="AL3761" s="95"/>
      <c r="AM3761" s="95"/>
      <c r="AN3761" s="95"/>
      <c r="AO3761" s="95"/>
      <c r="AP3761" s="95"/>
      <c r="AQ3761" s="95"/>
      <c r="AR3761" s="95"/>
      <c r="AS3761" s="95"/>
      <c r="AT3761" s="95"/>
      <c r="AU3761" s="95"/>
      <c r="AV3761" s="95"/>
      <c r="AW3761" s="95"/>
      <c r="AX3761" s="95"/>
      <c r="AY3761" s="95"/>
      <c r="AZ3761" s="95"/>
      <c r="BA3761" s="95"/>
    </row>
    <row r="3762" ht="15.75" customHeight="1">
      <c r="A3762" s="174"/>
      <c r="B3762" s="159"/>
      <c r="C3762" s="95"/>
      <c r="D3762" s="95"/>
      <c r="E3762" s="95"/>
      <c r="F3762" s="95"/>
      <c r="G3762" s="95"/>
      <c r="H3762" s="95"/>
      <c r="I3762" s="95"/>
      <c r="J3762" s="95"/>
      <c r="K3762" s="95"/>
      <c r="L3762" s="95"/>
      <c r="M3762" s="95"/>
      <c r="N3762" s="95"/>
      <c r="O3762" s="95"/>
      <c r="P3762" s="95"/>
      <c r="Q3762" s="95"/>
      <c r="R3762" s="95"/>
      <c r="S3762" s="95"/>
      <c r="T3762" s="95"/>
      <c r="U3762" s="95"/>
      <c r="V3762" s="95"/>
      <c r="W3762" s="95"/>
      <c r="X3762" s="95"/>
      <c r="Y3762" s="95"/>
      <c r="Z3762" s="95"/>
      <c r="AA3762" s="95"/>
      <c r="AB3762" s="95"/>
      <c r="AC3762" s="95"/>
      <c r="AD3762" s="95"/>
      <c r="AE3762" s="95"/>
      <c r="AF3762" s="95"/>
      <c r="AG3762" s="95"/>
      <c r="AH3762" s="95"/>
      <c r="AI3762" s="95"/>
      <c r="AJ3762" s="95"/>
      <c r="AK3762" s="95"/>
      <c r="AL3762" s="95"/>
      <c r="AM3762" s="95"/>
      <c r="AN3762" s="95"/>
      <c r="AO3762" s="95"/>
      <c r="AP3762" s="95"/>
      <c r="AQ3762" s="95"/>
      <c r="AR3762" s="95"/>
      <c r="AS3762" s="95"/>
      <c r="AT3762" s="95"/>
      <c r="AU3762" s="95"/>
      <c r="AV3762" s="95"/>
      <c r="AW3762" s="95"/>
      <c r="AX3762" s="95"/>
      <c r="AY3762" s="95"/>
      <c r="AZ3762" s="95"/>
      <c r="BA3762" s="95"/>
    </row>
  </sheetData>
  <printOptions/>
  <pageMargins bottom="0.75" footer="0.0" header="0.0" left="0.7" right="0.7" top="0.75"/>
  <pageSetup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5.29"/>
    <col customWidth="1" min="2" max="17" width="8.71"/>
    <col customWidth="1" min="18" max="18" width="10.14"/>
    <col customWidth="1" min="19" max="19" width="8.71"/>
    <col customWidth="1" min="20" max="20" width="10.14"/>
    <col customWidth="1" min="21" max="52" width="8.71"/>
  </cols>
  <sheetData>
    <row r="1">
      <c r="A1" s="32"/>
      <c r="B1" s="159">
        <v>2000.0</v>
      </c>
      <c r="C1" s="159">
        <v>2001.0</v>
      </c>
      <c r="D1" s="159">
        <v>2002.0</v>
      </c>
      <c r="E1" s="159">
        <v>2003.0</v>
      </c>
      <c r="F1" s="159">
        <v>2004.0</v>
      </c>
      <c r="G1" s="159">
        <v>2005.0</v>
      </c>
      <c r="H1" s="159">
        <v>2006.0</v>
      </c>
      <c r="I1" s="159">
        <v>2007.0</v>
      </c>
      <c r="J1" s="159">
        <v>2008.0</v>
      </c>
      <c r="K1" s="159">
        <v>2009.0</v>
      </c>
      <c r="L1" s="159">
        <v>2010.0</v>
      </c>
      <c r="M1" s="159">
        <v>2011.0</v>
      </c>
      <c r="N1" s="159">
        <v>2012.0</v>
      </c>
      <c r="O1" s="159">
        <v>2013.0</v>
      </c>
      <c r="P1" s="159">
        <v>2014.0</v>
      </c>
      <c r="Q1" s="159">
        <v>2015.0</v>
      </c>
      <c r="R1" s="159">
        <v>2016.0</v>
      </c>
      <c r="S1" s="166">
        <v>2017.0</v>
      </c>
      <c r="T1" s="159">
        <v>2018.0</v>
      </c>
      <c r="U1" s="159">
        <v>2019.0</v>
      </c>
      <c r="V1" s="166">
        <v>2020.0</v>
      </c>
      <c r="W1" s="159">
        <v>2021.0</v>
      </c>
      <c r="X1" s="159">
        <v>2022.0</v>
      </c>
      <c r="Y1" s="159">
        <v>2023.0</v>
      </c>
      <c r="Z1" s="159">
        <v>2024.0</v>
      </c>
      <c r="AA1" s="159">
        <v>2025.0</v>
      </c>
      <c r="AB1" s="159">
        <v>2026.0</v>
      </c>
      <c r="AC1" s="159">
        <v>2027.0</v>
      </c>
      <c r="AD1" s="159">
        <v>2028.0</v>
      </c>
      <c r="AE1" s="159">
        <v>2029.0</v>
      </c>
      <c r="AF1" s="159">
        <v>2030.0</v>
      </c>
      <c r="AG1" s="159">
        <v>2031.0</v>
      </c>
      <c r="AH1" s="159">
        <v>2032.0</v>
      </c>
      <c r="AI1" s="159">
        <v>2033.0</v>
      </c>
      <c r="AJ1" s="159">
        <v>2034.0</v>
      </c>
      <c r="AK1" s="159">
        <v>2035.0</v>
      </c>
      <c r="AL1" s="159">
        <v>2036.0</v>
      </c>
      <c r="AM1" s="159">
        <v>2037.0</v>
      </c>
      <c r="AN1" s="159">
        <v>2038.0</v>
      </c>
      <c r="AO1" s="159">
        <v>2039.0</v>
      </c>
      <c r="AP1" s="159">
        <v>2040.0</v>
      </c>
      <c r="AQ1" s="159">
        <v>2041.0</v>
      </c>
      <c r="AR1" s="159">
        <v>2042.0</v>
      </c>
      <c r="AS1" s="159">
        <v>2043.0</v>
      </c>
      <c r="AT1" s="159">
        <v>2044.0</v>
      </c>
      <c r="AU1" s="159">
        <v>2045.0</v>
      </c>
      <c r="AV1" s="159">
        <v>2046.0</v>
      </c>
      <c r="AW1" s="159">
        <v>2047.0</v>
      </c>
      <c r="AX1" s="159">
        <v>2048.0</v>
      </c>
      <c r="AY1" s="159">
        <v>2049.0</v>
      </c>
      <c r="AZ1" s="159">
        <v>2050.0</v>
      </c>
    </row>
    <row r="2" ht="15.0" customHeight="1">
      <c r="A2" s="403" t="s">
        <v>126</v>
      </c>
      <c r="B2" s="404">
        <f t="shared" ref="B2:Q2" si="1">B3/B10</f>
        <v>96.994687</v>
      </c>
      <c r="C2" s="404">
        <f t="shared" si="1"/>
        <v>82.56180237</v>
      </c>
      <c r="D2" s="404">
        <f t="shared" si="1"/>
        <v>92.42298883</v>
      </c>
      <c r="E2" s="404">
        <f t="shared" si="1"/>
        <v>85.643903</v>
      </c>
      <c r="F2" s="404">
        <f t="shared" si="1"/>
        <v>81.32479157</v>
      </c>
      <c r="G2" s="404">
        <f t="shared" si="1"/>
        <v>82.28505158</v>
      </c>
      <c r="H2" s="404">
        <f t="shared" si="1"/>
        <v>73.13235237</v>
      </c>
      <c r="I2" s="404">
        <f t="shared" si="1"/>
        <v>75.17834992</v>
      </c>
      <c r="J2" s="404">
        <f t="shared" si="1"/>
        <v>77.56686895</v>
      </c>
      <c r="K2" s="404">
        <f t="shared" si="1"/>
        <v>67.39705426</v>
      </c>
      <c r="L2" s="404">
        <f t="shared" si="1"/>
        <v>69.35926131</v>
      </c>
      <c r="M2" s="404">
        <f t="shared" si="1"/>
        <v>69.14964738</v>
      </c>
      <c r="N2" s="404">
        <f t="shared" si="1"/>
        <v>66.07741069</v>
      </c>
      <c r="O2" s="404">
        <f t="shared" si="1"/>
        <v>68.66764955</v>
      </c>
      <c r="P2" s="404">
        <f t="shared" si="1"/>
        <v>67.61337449</v>
      </c>
      <c r="Q2" s="404">
        <f t="shared" si="1"/>
        <v>63.51929276</v>
      </c>
      <c r="R2" s="405">
        <v>65.2</v>
      </c>
      <c r="S2" s="406">
        <v>62.54</v>
      </c>
      <c r="T2" s="372">
        <v>62.8</v>
      </c>
      <c r="U2" s="405">
        <v>62.22</v>
      </c>
      <c r="V2" s="407">
        <v>63.245459999999994</v>
      </c>
      <c r="W2" s="372">
        <v>62.18788</v>
      </c>
      <c r="X2" s="372">
        <v>61.28391</v>
      </c>
      <c r="Y2" s="372">
        <v>60.78271</v>
      </c>
      <c r="Z2" s="372">
        <v>60.47005</v>
      </c>
      <c r="AA2" s="372">
        <v>60.72605</v>
      </c>
      <c r="AB2" s="372">
        <v>60.32351</v>
      </c>
      <c r="AC2" s="372">
        <v>60.15475000000001</v>
      </c>
      <c r="AD2" s="372">
        <v>59.91858</v>
      </c>
      <c r="AE2" s="372">
        <v>59.74736</v>
      </c>
      <c r="AF2" s="372">
        <v>59.57172</v>
      </c>
      <c r="AG2" s="372">
        <v>59.4622</v>
      </c>
      <c r="AH2" s="372">
        <v>59.09818</v>
      </c>
      <c r="AI2" s="372">
        <v>58.690709999999996</v>
      </c>
      <c r="AJ2" s="372">
        <v>58.27968</v>
      </c>
      <c r="AK2" s="372">
        <v>57.94539</v>
      </c>
      <c r="AL2" s="372">
        <v>57.82228</v>
      </c>
      <c r="AM2" s="372">
        <v>57.639300000000006</v>
      </c>
      <c r="AN2" s="372">
        <v>57.61822000000001</v>
      </c>
      <c r="AO2" s="372">
        <v>57.58316</v>
      </c>
      <c r="AP2" s="372">
        <v>57.428650000000005</v>
      </c>
      <c r="AQ2" s="372">
        <v>57.21256</v>
      </c>
      <c r="AR2" s="372">
        <v>56.957370000000004</v>
      </c>
      <c r="AS2" s="372">
        <v>56.726020000000005</v>
      </c>
      <c r="AT2" s="372">
        <v>56.5327</v>
      </c>
      <c r="AU2" s="372">
        <v>56.32994</v>
      </c>
      <c r="AV2" s="372">
        <v>56.00807</v>
      </c>
      <c r="AW2" s="372">
        <v>55.85328</v>
      </c>
      <c r="AX2" s="372">
        <v>56.44464</v>
      </c>
      <c r="AY2" s="372">
        <v>56.52391</v>
      </c>
      <c r="AZ2" s="372">
        <v>56.24409</v>
      </c>
    </row>
    <row r="3" ht="15.0" customHeight="1">
      <c r="A3" s="408" t="s">
        <v>128</v>
      </c>
      <c r="B3" s="406">
        <f t="shared" ref="B3:Q3" si="2">35.97+7.07*B9</f>
        <v>66.9366</v>
      </c>
      <c r="C3" s="406">
        <f t="shared" si="2"/>
        <v>68.5627</v>
      </c>
      <c r="D3" s="406">
        <f t="shared" si="2"/>
        <v>61.9876</v>
      </c>
      <c r="E3" s="406">
        <f t="shared" si="2"/>
        <v>75.3499</v>
      </c>
      <c r="F3" s="406">
        <f t="shared" si="2"/>
        <v>79.1677</v>
      </c>
      <c r="G3" s="406">
        <f t="shared" si="2"/>
        <v>95.8529</v>
      </c>
      <c r="H3" s="406">
        <f t="shared" si="2"/>
        <v>86.2377</v>
      </c>
      <c r="I3" s="406">
        <f t="shared" si="2"/>
        <v>87.6517</v>
      </c>
      <c r="J3" s="406">
        <f t="shared" si="2"/>
        <v>101.4382</v>
      </c>
      <c r="K3" s="406">
        <f t="shared" si="2"/>
        <v>70.8251</v>
      </c>
      <c r="L3" s="406">
        <f t="shared" si="2"/>
        <v>73.2289</v>
      </c>
      <c r="M3" s="406">
        <f t="shared" si="2"/>
        <v>70.5423</v>
      </c>
      <c r="N3" s="406">
        <f t="shared" si="2"/>
        <v>60.9978</v>
      </c>
      <c r="O3" s="406">
        <f t="shared" si="2"/>
        <v>67.7143</v>
      </c>
      <c r="P3" s="406">
        <f t="shared" si="2"/>
        <v>72.6633</v>
      </c>
      <c r="Q3" s="406">
        <f t="shared" si="2"/>
        <v>59.8666</v>
      </c>
      <c r="R3" s="405">
        <v>64.07</v>
      </c>
      <c r="S3" s="406">
        <v>62.54</v>
      </c>
      <c r="T3" s="372">
        <v>64.2</v>
      </c>
      <c r="U3" s="405">
        <v>65.09</v>
      </c>
      <c r="V3" s="407">
        <v>67.89328</v>
      </c>
      <c r="W3" s="372">
        <v>68.40823</v>
      </c>
      <c r="X3" s="372">
        <v>69.03984</v>
      </c>
      <c r="Y3" s="372">
        <v>70.16593</v>
      </c>
      <c r="Z3" s="372">
        <v>71.49954</v>
      </c>
      <c r="AA3" s="372">
        <v>73.51659</v>
      </c>
      <c r="AB3" s="372">
        <v>74.70362</v>
      </c>
      <c r="AC3" s="372">
        <v>76.17161</v>
      </c>
      <c r="AD3" s="372">
        <v>77.50948</v>
      </c>
      <c r="AE3" s="372">
        <v>78.93703000000001</v>
      </c>
      <c r="AF3" s="372">
        <v>80.39476</v>
      </c>
      <c r="AG3" s="372">
        <v>81.99922000000001</v>
      </c>
      <c r="AH3" s="372">
        <v>83.28815</v>
      </c>
      <c r="AI3" s="372">
        <v>84.55218</v>
      </c>
      <c r="AJ3" s="372">
        <v>85.84255999999999</v>
      </c>
      <c r="AK3" s="372">
        <v>87.2825</v>
      </c>
      <c r="AL3" s="372">
        <v>89.09155999999999</v>
      </c>
      <c r="AM3" s="372">
        <v>90.84510999999999</v>
      </c>
      <c r="AN3" s="372">
        <v>92.88487</v>
      </c>
      <c r="AO3" s="372">
        <v>94.96038</v>
      </c>
      <c r="AP3" s="372">
        <v>96.89805</v>
      </c>
      <c r="AQ3" s="372">
        <v>98.79292</v>
      </c>
      <c r="AR3" s="372">
        <v>100.67492</v>
      </c>
      <c r="AS3" s="372">
        <v>102.66981</v>
      </c>
      <c r="AT3" s="372">
        <v>104.79813999999999</v>
      </c>
      <c r="AU3" s="372">
        <v>106.98113</v>
      </c>
      <c r="AV3" s="372">
        <v>108.97937999999999</v>
      </c>
      <c r="AW3" s="372">
        <v>111.37462</v>
      </c>
      <c r="AX3" s="372">
        <v>115.38931</v>
      </c>
      <c r="AY3" s="372">
        <v>118.463</v>
      </c>
      <c r="AZ3" s="372">
        <v>120.87941000000001</v>
      </c>
    </row>
    <row r="4" ht="15.0" customHeight="1">
      <c r="A4" s="409" t="s">
        <v>463</v>
      </c>
      <c r="B4" s="410"/>
      <c r="C4" s="410">
        <f t="shared" ref="C4:U4" si="3">C2/B2-1</f>
        <v>-0.1488007754</v>
      </c>
      <c r="D4" s="410">
        <f t="shared" si="3"/>
        <v>0.119440058</v>
      </c>
      <c r="E4" s="410">
        <f t="shared" si="3"/>
        <v>-0.07334848096</v>
      </c>
      <c r="F4" s="410">
        <f t="shared" si="3"/>
        <v>-0.05043104382</v>
      </c>
      <c r="G4" s="410">
        <f t="shared" si="3"/>
        <v>0.01180771564</v>
      </c>
      <c r="H4" s="410">
        <f t="shared" si="3"/>
        <v>-0.1112316154</v>
      </c>
      <c r="I4" s="410">
        <f t="shared" si="3"/>
        <v>0.02797664071</v>
      </c>
      <c r="J4" s="410">
        <f t="shared" si="3"/>
        <v>0.03177136812</v>
      </c>
      <c r="K4" s="410">
        <f t="shared" si="3"/>
        <v>-0.1311102901</v>
      </c>
      <c r="L4" s="410">
        <f t="shared" si="3"/>
        <v>0.0291141366</v>
      </c>
      <c r="M4" s="410">
        <f t="shared" si="3"/>
        <v>-0.003022147648</v>
      </c>
      <c r="N4" s="410">
        <f t="shared" si="3"/>
        <v>-0.04442881198</v>
      </c>
      <c r="O4" s="410">
        <f t="shared" si="3"/>
        <v>0.03920006592</v>
      </c>
      <c r="P4" s="410">
        <f t="shared" si="3"/>
        <v>-0.01535330059</v>
      </c>
      <c r="Q4" s="410">
        <f t="shared" si="3"/>
        <v>-0.06055135924</v>
      </c>
      <c r="R4" s="410">
        <f t="shared" si="3"/>
        <v>0.0264597915</v>
      </c>
      <c r="S4" s="410">
        <f t="shared" si="3"/>
        <v>-0.04079754601</v>
      </c>
      <c r="T4" s="410">
        <f t="shared" si="3"/>
        <v>0.004157339303</v>
      </c>
      <c r="U4" s="411">
        <f t="shared" si="3"/>
        <v>-0.00923566879</v>
      </c>
      <c r="V4" s="407"/>
      <c r="W4" s="410">
        <f t="shared" ref="W4:AZ4" si="4">W2/V2-1</f>
        <v>-0.01672183268</v>
      </c>
      <c r="X4" s="410">
        <f t="shared" si="4"/>
        <v>-0.01453611218</v>
      </c>
      <c r="Y4" s="410">
        <f t="shared" si="4"/>
        <v>-0.008178329353</v>
      </c>
      <c r="Z4" s="410">
        <f t="shared" si="4"/>
        <v>-0.005143897006</v>
      </c>
      <c r="AA4" s="410">
        <f t="shared" si="4"/>
        <v>0.004233500716</v>
      </c>
      <c r="AB4" s="410">
        <f t="shared" si="4"/>
        <v>-0.006628786163</v>
      </c>
      <c r="AC4" s="410">
        <f t="shared" si="4"/>
        <v>-0.002797582568</v>
      </c>
      <c r="AD4" s="410">
        <f t="shared" si="4"/>
        <v>-0.003926040753</v>
      </c>
      <c r="AE4" s="410">
        <f t="shared" si="4"/>
        <v>-0.002857544354</v>
      </c>
      <c r="AF4" s="410">
        <f t="shared" si="4"/>
        <v>-0.002939711478</v>
      </c>
      <c r="AG4" s="410">
        <f t="shared" si="4"/>
        <v>-0.001838456234</v>
      </c>
      <c r="AH4" s="410">
        <f t="shared" si="4"/>
        <v>-0.006121872383</v>
      </c>
      <c r="AI4" s="410">
        <f t="shared" si="4"/>
        <v>-0.006894797775</v>
      </c>
      <c r="AJ4" s="410">
        <f t="shared" si="4"/>
        <v>-0.007003323013</v>
      </c>
      <c r="AK4" s="410">
        <f t="shared" si="4"/>
        <v>-0.005735961488</v>
      </c>
      <c r="AL4" s="410">
        <f t="shared" si="4"/>
        <v>-0.002124586615</v>
      </c>
      <c r="AM4" s="410">
        <f t="shared" si="4"/>
        <v>-0.003164524125</v>
      </c>
      <c r="AN4" s="410">
        <f t="shared" si="4"/>
        <v>-0.0003657226927</v>
      </c>
      <c r="AO4" s="410">
        <f t="shared" si="4"/>
        <v>-0.0006084880789</v>
      </c>
      <c r="AP4" s="410">
        <f t="shared" si="4"/>
        <v>-0.002683249756</v>
      </c>
      <c r="AQ4" s="410">
        <f t="shared" si="4"/>
        <v>-0.003762756046</v>
      </c>
      <c r="AR4" s="410">
        <f t="shared" si="4"/>
        <v>-0.004460384223</v>
      </c>
      <c r="AS4" s="410">
        <f t="shared" si="4"/>
        <v>-0.004061809736</v>
      </c>
      <c r="AT4" s="410">
        <f t="shared" si="4"/>
        <v>-0.003407959874</v>
      </c>
      <c r="AU4" s="410">
        <f t="shared" si="4"/>
        <v>-0.003586596784</v>
      </c>
      <c r="AV4" s="410">
        <f t="shared" si="4"/>
        <v>-0.005714012832</v>
      </c>
      <c r="AW4" s="410">
        <f t="shared" si="4"/>
        <v>-0.002763708873</v>
      </c>
      <c r="AX4" s="410">
        <f t="shared" si="4"/>
        <v>0.01058773988</v>
      </c>
      <c r="AY4" s="410">
        <f t="shared" si="4"/>
        <v>0.001404384898</v>
      </c>
      <c r="AZ4" s="410">
        <f t="shared" si="4"/>
        <v>-0.004950471402</v>
      </c>
    </row>
    <row r="5" ht="15.0" customHeight="1">
      <c r="A5" s="409" t="s">
        <v>464</v>
      </c>
      <c r="B5" s="410"/>
      <c r="C5" s="410">
        <f t="shared" ref="C5:U5" si="5">C3/B3-1</f>
        <v>0.02429313709</v>
      </c>
      <c r="D5" s="410">
        <f t="shared" si="5"/>
        <v>-0.09589908215</v>
      </c>
      <c r="E5" s="410">
        <f t="shared" si="5"/>
        <v>0.2155640806</v>
      </c>
      <c r="F5" s="410">
        <f t="shared" si="5"/>
        <v>0.05066761867</v>
      </c>
      <c r="G5" s="410">
        <f t="shared" si="5"/>
        <v>0.2107576701</v>
      </c>
      <c r="H5" s="410">
        <f t="shared" si="5"/>
        <v>-0.1003120406</v>
      </c>
      <c r="I5" s="410">
        <f t="shared" si="5"/>
        <v>0.01639654119</v>
      </c>
      <c r="J5" s="410">
        <f t="shared" si="5"/>
        <v>0.1572873087</v>
      </c>
      <c r="K5" s="410">
        <f t="shared" si="5"/>
        <v>-0.3017906469</v>
      </c>
      <c r="L5" s="410">
        <f t="shared" si="5"/>
        <v>0.03393994502</v>
      </c>
      <c r="M5" s="410">
        <f t="shared" si="5"/>
        <v>-0.03668770117</v>
      </c>
      <c r="N5" s="410">
        <f t="shared" si="5"/>
        <v>-0.1353017976</v>
      </c>
      <c r="O5" s="410">
        <f t="shared" si="5"/>
        <v>0.1101105286</v>
      </c>
      <c r="P5" s="410">
        <f t="shared" si="5"/>
        <v>0.07308648247</v>
      </c>
      <c r="Q5" s="410">
        <f t="shared" si="5"/>
        <v>-0.1761095354</v>
      </c>
      <c r="R5" s="410">
        <f t="shared" si="5"/>
        <v>0.07021277307</v>
      </c>
      <c r="S5" s="410">
        <f t="shared" si="5"/>
        <v>-0.02388013111</v>
      </c>
      <c r="T5" s="410">
        <f t="shared" si="5"/>
        <v>0.02654301247</v>
      </c>
      <c r="U5" s="411">
        <f t="shared" si="5"/>
        <v>0.01386292835</v>
      </c>
      <c r="V5" s="407"/>
      <c r="W5" s="410">
        <f t="shared" ref="W5:AZ5" si="6">W3/V3-1</f>
        <v>0.007584697631</v>
      </c>
      <c r="X5" s="410">
        <f t="shared" si="6"/>
        <v>0.009232953403</v>
      </c>
      <c r="Y5" s="410">
        <f t="shared" si="6"/>
        <v>0.01631072726</v>
      </c>
      <c r="Z5" s="410">
        <f t="shared" si="6"/>
        <v>0.01900651784</v>
      </c>
      <c r="AA5" s="410">
        <f t="shared" si="6"/>
        <v>0.02821067101</v>
      </c>
      <c r="AB5" s="410">
        <f t="shared" si="6"/>
        <v>0.01614642355</v>
      </c>
      <c r="AC5" s="410">
        <f t="shared" si="6"/>
        <v>0.01965085494</v>
      </c>
      <c r="AD5" s="410">
        <f t="shared" si="6"/>
        <v>0.0175638929</v>
      </c>
      <c r="AE5" s="410">
        <f t="shared" si="6"/>
        <v>0.01841774709</v>
      </c>
      <c r="AF5" s="410">
        <f t="shared" si="6"/>
        <v>0.01846699831</v>
      </c>
      <c r="AG5" s="410">
        <f t="shared" si="6"/>
        <v>0.01995727085</v>
      </c>
      <c r="AH5" s="410">
        <f t="shared" si="6"/>
        <v>0.01571880806</v>
      </c>
      <c r="AI5" s="410">
        <f t="shared" si="6"/>
        <v>0.01517658875</v>
      </c>
      <c r="AJ5" s="410">
        <f t="shared" si="6"/>
        <v>0.01526134512</v>
      </c>
      <c r="AK5" s="410">
        <f t="shared" si="6"/>
        <v>0.01677419686</v>
      </c>
      <c r="AL5" s="410">
        <f t="shared" si="6"/>
        <v>0.02072649156</v>
      </c>
      <c r="AM5" s="410">
        <f t="shared" si="6"/>
        <v>0.01968256028</v>
      </c>
      <c r="AN5" s="410">
        <f t="shared" si="6"/>
        <v>0.02245316231</v>
      </c>
      <c r="AO5" s="410">
        <f t="shared" si="6"/>
        <v>0.02234497394</v>
      </c>
      <c r="AP5" s="410">
        <f t="shared" si="6"/>
        <v>0.02040503629</v>
      </c>
      <c r="AQ5" s="410">
        <f t="shared" si="6"/>
        <v>0.01955529549</v>
      </c>
      <c r="AR5" s="410">
        <f t="shared" si="6"/>
        <v>0.01904994811</v>
      </c>
      <c r="AS5" s="410">
        <f t="shared" si="6"/>
        <v>0.0198151635</v>
      </c>
      <c r="AT5" s="410">
        <f t="shared" si="6"/>
        <v>0.02072985233</v>
      </c>
      <c r="AU5" s="410">
        <f t="shared" si="6"/>
        <v>0.02083042695</v>
      </c>
      <c r="AV5" s="410">
        <f t="shared" si="6"/>
        <v>0.0186785277</v>
      </c>
      <c r="AW5" s="410">
        <f t="shared" si="6"/>
        <v>0.02197883673</v>
      </c>
      <c r="AX5" s="410">
        <f t="shared" si="6"/>
        <v>0.03604672231</v>
      </c>
      <c r="AY5" s="410">
        <f t="shared" si="6"/>
        <v>0.02663756287</v>
      </c>
      <c r="AZ5" s="410">
        <f t="shared" si="6"/>
        <v>0.02039801457</v>
      </c>
    </row>
    <row r="6" ht="15.0" customHeight="1">
      <c r="A6" s="403" t="s">
        <v>465</v>
      </c>
      <c r="B6" s="372">
        <f t="shared" ref="B6:U6" si="7">C6/(1+B4)</f>
        <v>249.4238174</v>
      </c>
      <c r="C6" s="372">
        <f t="shared" si="7"/>
        <v>249.4238174</v>
      </c>
      <c r="D6" s="372">
        <f t="shared" si="7"/>
        <v>212.30936</v>
      </c>
      <c r="E6" s="372">
        <f t="shared" si="7"/>
        <v>237.6676023</v>
      </c>
      <c r="F6" s="372">
        <f t="shared" si="7"/>
        <v>220.2350447</v>
      </c>
      <c r="G6" s="372">
        <f t="shared" si="7"/>
        <v>209.1283615</v>
      </c>
      <c r="H6" s="372">
        <f t="shared" si="7"/>
        <v>211.5976897</v>
      </c>
      <c r="I6" s="372">
        <f t="shared" si="7"/>
        <v>188.0613369</v>
      </c>
      <c r="J6" s="372">
        <f t="shared" si="7"/>
        <v>193.3226613</v>
      </c>
      <c r="K6" s="372">
        <f t="shared" si="7"/>
        <v>199.4647867</v>
      </c>
      <c r="L6" s="372">
        <f t="shared" si="7"/>
        <v>173.3129007</v>
      </c>
      <c r="M6" s="372">
        <f t="shared" si="7"/>
        <v>178.3587562</v>
      </c>
      <c r="N6" s="372">
        <f t="shared" si="7"/>
        <v>177.8197297</v>
      </c>
      <c r="O6" s="372">
        <f t="shared" si="7"/>
        <v>169.9194103</v>
      </c>
      <c r="P6" s="372">
        <f t="shared" si="7"/>
        <v>176.5802624</v>
      </c>
      <c r="Q6" s="372">
        <f t="shared" si="7"/>
        <v>173.8691726</v>
      </c>
      <c r="R6" s="372">
        <f t="shared" si="7"/>
        <v>163.3411578</v>
      </c>
      <c r="S6" s="372">
        <f t="shared" si="7"/>
        <v>167.6631308</v>
      </c>
      <c r="T6" s="372">
        <f t="shared" si="7"/>
        <v>160.8228865</v>
      </c>
      <c r="U6" s="405">
        <f t="shared" si="7"/>
        <v>161.4914818</v>
      </c>
      <c r="V6" s="407">
        <v>160.0</v>
      </c>
      <c r="W6" s="372">
        <f t="shared" ref="W6:AZ6" si="8">V6*(1+W4)</f>
        <v>157.3245068</v>
      </c>
      <c r="X6" s="372">
        <f t="shared" si="8"/>
        <v>155.0376201</v>
      </c>
      <c r="Y6" s="372">
        <f t="shared" si="8"/>
        <v>153.7696714</v>
      </c>
      <c r="Z6" s="372">
        <f t="shared" si="8"/>
        <v>152.978696</v>
      </c>
      <c r="AA6" s="372">
        <f t="shared" si="8"/>
        <v>153.6263314</v>
      </c>
      <c r="AB6" s="372">
        <f t="shared" si="8"/>
        <v>152.6079753</v>
      </c>
      <c r="AC6" s="372">
        <f t="shared" si="8"/>
        <v>152.1810419</v>
      </c>
      <c r="AD6" s="372">
        <f t="shared" si="8"/>
        <v>151.583573</v>
      </c>
      <c r="AE6" s="372">
        <f t="shared" si="8"/>
        <v>151.1504162</v>
      </c>
      <c r="AF6" s="372">
        <f t="shared" si="8"/>
        <v>150.7060776</v>
      </c>
      <c r="AG6" s="372">
        <f t="shared" si="8"/>
        <v>150.429011</v>
      </c>
      <c r="AH6" s="372">
        <f t="shared" si="8"/>
        <v>149.5081038</v>
      </c>
      <c r="AI6" s="372">
        <f t="shared" si="8"/>
        <v>148.4772757</v>
      </c>
      <c r="AJ6" s="372">
        <f t="shared" si="8"/>
        <v>147.4374414</v>
      </c>
      <c r="AK6" s="372">
        <f t="shared" si="8"/>
        <v>146.5917459</v>
      </c>
      <c r="AL6" s="372">
        <f t="shared" si="8"/>
        <v>146.280299</v>
      </c>
      <c r="AM6" s="372">
        <f t="shared" si="8"/>
        <v>145.8173915</v>
      </c>
      <c r="AN6" s="372">
        <f t="shared" si="8"/>
        <v>145.7640627</v>
      </c>
      <c r="AO6" s="372">
        <f t="shared" si="8"/>
        <v>145.6753671</v>
      </c>
      <c r="AP6" s="372">
        <f t="shared" si="8"/>
        <v>145.2844837</v>
      </c>
      <c r="AQ6" s="372">
        <f t="shared" si="8"/>
        <v>144.7378136</v>
      </c>
      <c r="AR6" s="372">
        <f t="shared" si="8"/>
        <v>144.0922273</v>
      </c>
      <c r="AS6" s="372">
        <f t="shared" si="8"/>
        <v>143.5069521</v>
      </c>
      <c r="AT6" s="372">
        <f t="shared" si="8"/>
        <v>143.0178862</v>
      </c>
      <c r="AU6" s="372">
        <f t="shared" si="8"/>
        <v>142.5049387</v>
      </c>
      <c r="AV6" s="372">
        <f t="shared" si="8"/>
        <v>141.6906636</v>
      </c>
      <c r="AW6" s="372">
        <f t="shared" si="8"/>
        <v>141.2990719</v>
      </c>
      <c r="AX6" s="372">
        <f t="shared" si="8"/>
        <v>142.7951097</v>
      </c>
      <c r="AY6" s="372">
        <f t="shared" si="8"/>
        <v>142.995649</v>
      </c>
      <c r="AZ6" s="372">
        <f t="shared" si="8"/>
        <v>142.2877531</v>
      </c>
    </row>
    <row r="7" ht="15.0" customHeight="1">
      <c r="A7" s="403" t="s">
        <v>130</v>
      </c>
      <c r="B7" s="372">
        <f t="shared" ref="B7:U7" si="9">C7/(1+B5)</f>
        <v>164.5391919</v>
      </c>
      <c r="C7" s="372">
        <f t="shared" si="9"/>
        <v>164.5391919</v>
      </c>
      <c r="D7" s="372">
        <f t="shared" si="9"/>
        <v>168.536365</v>
      </c>
      <c r="E7" s="372">
        <f t="shared" si="9"/>
        <v>152.3738823</v>
      </c>
      <c r="F7" s="372">
        <f t="shared" si="9"/>
        <v>185.2202182</v>
      </c>
      <c r="G7" s="372">
        <f t="shared" si="9"/>
        <v>194.6048855</v>
      </c>
      <c r="H7" s="372">
        <f t="shared" si="9"/>
        <v>235.6193578</v>
      </c>
      <c r="I7" s="372">
        <f t="shared" si="9"/>
        <v>211.9838992</v>
      </c>
      <c r="J7" s="372">
        <f t="shared" si="9"/>
        <v>215.459702</v>
      </c>
      <c r="K7" s="372">
        <f t="shared" si="9"/>
        <v>249.3487786</v>
      </c>
      <c r="L7" s="372">
        <f t="shared" si="9"/>
        <v>174.0976494</v>
      </c>
      <c r="M7" s="372">
        <f t="shared" si="9"/>
        <v>180.0065141</v>
      </c>
      <c r="N7" s="372">
        <f t="shared" si="9"/>
        <v>173.4024889</v>
      </c>
      <c r="O7" s="372">
        <f t="shared" si="9"/>
        <v>149.9408204</v>
      </c>
      <c r="P7" s="372">
        <f t="shared" si="9"/>
        <v>166.4508834</v>
      </c>
      <c r="Q7" s="372">
        <f t="shared" si="9"/>
        <v>178.616193</v>
      </c>
      <c r="R7" s="372">
        <f t="shared" si="9"/>
        <v>147.1601782</v>
      </c>
      <c r="S7" s="372">
        <f t="shared" si="9"/>
        <v>157.4927024</v>
      </c>
      <c r="T7" s="372">
        <f t="shared" si="9"/>
        <v>153.731756</v>
      </c>
      <c r="U7" s="405">
        <f t="shared" si="9"/>
        <v>157.8122599</v>
      </c>
      <c r="V7" s="407">
        <v>160.0</v>
      </c>
      <c r="W7" s="372">
        <f t="shared" ref="W7:AZ7" si="10">V7*(1+W5)</f>
        <v>161.2135516</v>
      </c>
      <c r="X7" s="372">
        <f t="shared" si="10"/>
        <v>162.7020288</v>
      </c>
      <c r="Y7" s="372">
        <f t="shared" si="10"/>
        <v>165.3558172</v>
      </c>
      <c r="Z7" s="372">
        <f t="shared" si="10"/>
        <v>168.4986555</v>
      </c>
      <c r="AA7" s="372">
        <f t="shared" si="10"/>
        <v>173.2521157</v>
      </c>
      <c r="AB7" s="372">
        <f t="shared" si="10"/>
        <v>176.0495177</v>
      </c>
      <c r="AC7" s="372">
        <f t="shared" si="10"/>
        <v>179.5090412</v>
      </c>
      <c r="AD7" s="372">
        <f t="shared" si="10"/>
        <v>182.6619188</v>
      </c>
      <c r="AE7" s="372">
        <f t="shared" si="10"/>
        <v>186.0261398</v>
      </c>
      <c r="AF7" s="372">
        <f t="shared" si="10"/>
        <v>189.4614843</v>
      </c>
      <c r="AG7" s="372">
        <f t="shared" si="10"/>
        <v>193.2426184</v>
      </c>
      <c r="AH7" s="372">
        <f t="shared" si="10"/>
        <v>196.280162</v>
      </c>
      <c r="AI7" s="372">
        <f t="shared" si="10"/>
        <v>199.2590253</v>
      </c>
      <c r="AJ7" s="372">
        <f t="shared" si="10"/>
        <v>202.2999861</v>
      </c>
      <c r="AK7" s="372">
        <f t="shared" si="10"/>
        <v>205.6934059</v>
      </c>
      <c r="AL7" s="372">
        <f t="shared" si="10"/>
        <v>209.9567085</v>
      </c>
      <c r="AM7" s="372">
        <f t="shared" si="10"/>
        <v>214.0891941</v>
      </c>
      <c r="AN7" s="372">
        <f t="shared" si="10"/>
        <v>218.8961735</v>
      </c>
      <c r="AO7" s="372">
        <f t="shared" si="10"/>
        <v>223.7874028</v>
      </c>
      <c r="AP7" s="372">
        <f t="shared" si="10"/>
        <v>228.3537929</v>
      </c>
      <c r="AQ7" s="372">
        <f t="shared" si="10"/>
        <v>232.8193188</v>
      </c>
      <c r="AR7" s="372">
        <f t="shared" si="10"/>
        <v>237.2545147</v>
      </c>
      <c r="AS7" s="372">
        <f t="shared" si="10"/>
        <v>241.9557517</v>
      </c>
      <c r="AT7" s="372">
        <f t="shared" si="10"/>
        <v>246.9714587</v>
      </c>
      <c r="AU7" s="372">
        <f t="shared" si="10"/>
        <v>252.1159797</v>
      </c>
      <c r="AV7" s="372">
        <f t="shared" si="10"/>
        <v>256.825135</v>
      </c>
      <c r="AW7" s="372">
        <f t="shared" si="10"/>
        <v>262.4698527</v>
      </c>
      <c r="AX7" s="372">
        <f t="shared" si="10"/>
        <v>271.9310306</v>
      </c>
      <c r="AY7" s="372">
        <f t="shared" si="10"/>
        <v>279.1746105</v>
      </c>
      <c r="AZ7" s="372">
        <f t="shared" si="10"/>
        <v>284.8692183</v>
      </c>
    </row>
    <row r="8" ht="15.0" customHeight="1">
      <c r="A8" s="403" t="s">
        <v>466</v>
      </c>
      <c r="B8" s="412">
        <f t="shared" ref="B8:T8" si="11">B9/B10</f>
        <v>6.34685253</v>
      </c>
      <c r="C8" s="412">
        <f t="shared" si="11"/>
        <v>5.551267802</v>
      </c>
      <c r="D8" s="412">
        <f t="shared" si="11"/>
        <v>5.486848965</v>
      </c>
      <c r="E8" s="412">
        <f t="shared" si="11"/>
        <v>6.330951198</v>
      </c>
      <c r="F8" s="412">
        <f t="shared" si="11"/>
        <v>6.276479884</v>
      </c>
      <c r="G8" s="412">
        <f t="shared" si="11"/>
        <v>7.27108295</v>
      </c>
      <c r="H8" s="412">
        <f t="shared" si="11"/>
        <v>6.02950943</v>
      </c>
      <c r="I8" s="412">
        <f t="shared" si="11"/>
        <v>6.269744202</v>
      </c>
      <c r="J8" s="412">
        <f t="shared" si="11"/>
        <v>7.080855205</v>
      </c>
      <c r="K8" s="412">
        <f t="shared" si="11"/>
        <v>4.691380281</v>
      </c>
      <c r="L8" s="412">
        <f t="shared" si="11"/>
        <v>4.991517107</v>
      </c>
      <c r="M8" s="412">
        <f t="shared" si="11"/>
        <v>4.793461167</v>
      </c>
      <c r="N8" s="412">
        <f t="shared" si="11"/>
        <v>3.834794597</v>
      </c>
      <c r="O8" s="412">
        <f t="shared" si="11"/>
        <v>4.553214705</v>
      </c>
      <c r="P8" s="412">
        <f t="shared" si="11"/>
        <v>4.829307416</v>
      </c>
      <c r="Q8" s="412">
        <f t="shared" si="11"/>
        <v>3.58622687</v>
      </c>
      <c r="R8" s="412">
        <f t="shared" si="11"/>
        <v>3.231343429</v>
      </c>
      <c r="S8" s="412">
        <f t="shared" si="11"/>
        <v>3.52</v>
      </c>
      <c r="T8" s="412">
        <f t="shared" si="11"/>
        <v>3.702076093</v>
      </c>
      <c r="U8" s="408">
        <v>4.15</v>
      </c>
      <c r="V8" s="407">
        <v>4.298561</v>
      </c>
      <c r="W8" s="372">
        <v>4.236145</v>
      </c>
      <c r="X8" s="372">
        <v>4.276676</v>
      </c>
      <c r="Y8" s="372">
        <v>4.397644</v>
      </c>
      <c r="Z8" s="372">
        <v>4.502593</v>
      </c>
      <c r="AA8" s="372">
        <v>4.629785</v>
      </c>
      <c r="AB8" s="372">
        <v>4.666312</v>
      </c>
      <c r="AC8" s="372">
        <v>4.712379</v>
      </c>
      <c r="AD8" s="372">
        <v>4.718735</v>
      </c>
      <c r="AE8" s="372">
        <v>4.783057</v>
      </c>
      <c r="AF8" s="372">
        <v>4.779624</v>
      </c>
      <c r="AG8" s="372">
        <v>4.7722</v>
      </c>
      <c r="AH8" s="372">
        <v>4.78775</v>
      </c>
      <c r="AI8" s="372">
        <v>4.772704</v>
      </c>
      <c r="AJ8" s="372">
        <v>4.780309</v>
      </c>
      <c r="AK8" s="372">
        <v>4.771749</v>
      </c>
      <c r="AL8" s="372">
        <v>4.880927</v>
      </c>
      <c r="AM8" s="372">
        <v>4.883202</v>
      </c>
      <c r="AN8" s="372">
        <v>4.950775</v>
      </c>
      <c r="AO8" s="372">
        <v>5.000374</v>
      </c>
      <c r="AP8" s="372">
        <v>5.028854</v>
      </c>
      <c r="AQ8" s="372">
        <v>5.058542</v>
      </c>
      <c r="AR8" s="372">
        <v>5.116796</v>
      </c>
      <c r="AS8" s="372">
        <v>5.158176</v>
      </c>
      <c r="AT8" s="372">
        <v>5.2137270000000004</v>
      </c>
      <c r="AU8" s="372">
        <v>5.250476</v>
      </c>
      <c r="AV8" s="372">
        <v>5.296925</v>
      </c>
      <c r="AW8" s="372">
        <v>5.348631</v>
      </c>
      <c r="AX8" s="372">
        <v>5.442715</v>
      </c>
      <c r="AY8" s="372">
        <v>5.506172</v>
      </c>
      <c r="AZ8" s="372">
        <v>5.601576</v>
      </c>
    </row>
    <row r="9" ht="15.0" customHeight="1">
      <c r="A9" s="413" t="s">
        <v>467</v>
      </c>
      <c r="B9" s="414">
        <v>4.38</v>
      </c>
      <c r="C9" s="414">
        <v>4.61</v>
      </c>
      <c r="D9" s="414">
        <v>3.68</v>
      </c>
      <c r="E9" s="414">
        <v>5.57</v>
      </c>
      <c r="F9" s="414">
        <v>6.11</v>
      </c>
      <c r="G9" s="414">
        <v>8.47</v>
      </c>
      <c r="H9" s="414">
        <v>7.11</v>
      </c>
      <c r="I9" s="414">
        <v>7.31</v>
      </c>
      <c r="J9" s="414">
        <v>9.26</v>
      </c>
      <c r="K9" s="414">
        <v>4.93</v>
      </c>
      <c r="L9" s="414">
        <v>5.27</v>
      </c>
      <c r="M9" s="414">
        <v>4.89</v>
      </c>
      <c r="N9" s="414">
        <v>3.54</v>
      </c>
      <c r="O9" s="414">
        <v>4.49</v>
      </c>
      <c r="P9" s="414">
        <v>5.19</v>
      </c>
      <c r="Q9" s="414">
        <v>3.38</v>
      </c>
      <c r="R9" s="414">
        <v>2.99</v>
      </c>
      <c r="S9" s="414">
        <v>3.52</v>
      </c>
      <c r="T9" s="414">
        <v>3.67</v>
      </c>
      <c r="U9" s="415">
        <v>3.389506</v>
      </c>
      <c r="V9" s="416">
        <v>3.520536</v>
      </c>
      <c r="W9" s="414">
        <v>3.464386</v>
      </c>
      <c r="X9" s="414">
        <v>3.522084</v>
      </c>
      <c r="Y9" s="414">
        <v>3.696033</v>
      </c>
      <c r="Z9" s="414">
        <v>3.927399</v>
      </c>
      <c r="AA9" s="414">
        <v>4.160311</v>
      </c>
      <c r="AB9" s="414">
        <v>4.229479</v>
      </c>
      <c r="AC9" s="414">
        <v>4.237734</v>
      </c>
      <c r="AD9" s="414">
        <v>4.317917</v>
      </c>
      <c r="AE9" s="414">
        <v>4.311646</v>
      </c>
      <c r="AF9" s="414">
        <v>4.350857</v>
      </c>
      <c r="AG9" s="414">
        <v>4.340893</v>
      </c>
      <c r="AH9" s="414">
        <v>4.497461</v>
      </c>
      <c r="AI9" s="414">
        <v>4.554608</v>
      </c>
      <c r="AJ9" s="414">
        <v>4.596917</v>
      </c>
      <c r="AK9" s="414">
        <v>4.635284</v>
      </c>
      <c r="AL9" s="414">
        <v>4.712005</v>
      </c>
      <c r="AM9" s="414">
        <v>4.72262</v>
      </c>
      <c r="AN9" s="414">
        <v>4.721988</v>
      </c>
      <c r="AO9" s="414">
        <v>4.741103</v>
      </c>
      <c r="AP9" s="414">
        <v>4.813247</v>
      </c>
      <c r="AQ9" s="414">
        <v>4.79296</v>
      </c>
      <c r="AR9" s="414">
        <v>4.837607</v>
      </c>
      <c r="AS9" s="414">
        <v>4.901737</v>
      </c>
      <c r="AT9" s="414">
        <v>4.994954</v>
      </c>
      <c r="AU9" s="414">
        <v>5.069455</v>
      </c>
      <c r="AV9" s="414">
        <v>5.125962</v>
      </c>
      <c r="AW9" s="414">
        <v>5.20346</v>
      </c>
      <c r="AX9" s="414">
        <v>5.352344</v>
      </c>
      <c r="AY9" s="414">
        <v>5.447791</v>
      </c>
      <c r="AZ9" s="414">
        <v>5.539145</v>
      </c>
    </row>
    <row r="10">
      <c r="A10" s="413" t="s">
        <v>468</v>
      </c>
      <c r="B10" s="417">
        <v>0.690105840510777</v>
      </c>
      <c r="C10" s="417">
        <v>0.8304409307108883</v>
      </c>
      <c r="D10" s="417">
        <v>0.6706946051334791</v>
      </c>
      <c r="E10" s="417">
        <v>0.8798046021339505</v>
      </c>
      <c r="F10" s="417">
        <v>0.9734755966919487</v>
      </c>
      <c r="G10" s="417">
        <v>1.1648883746839784</v>
      </c>
      <c r="H10" s="417">
        <v>1.1792004113639287</v>
      </c>
      <c r="I10" s="417">
        <v>1.165916784505292</v>
      </c>
      <c r="J10" s="417">
        <v>1.307751639028153</v>
      </c>
      <c r="K10" s="417">
        <v>1.0508634357458115</v>
      </c>
      <c r="L10" s="417">
        <v>1.0557912328062735</v>
      </c>
      <c r="M10" s="417">
        <v>1.0201396923340618</v>
      </c>
      <c r="N10" s="417">
        <v>0.923126365856794</v>
      </c>
      <c r="O10" s="417">
        <v>0.9861164674122639</v>
      </c>
      <c r="P10" s="417">
        <v>1.0746882632729142</v>
      </c>
      <c r="Q10" s="417">
        <v>0.9424947508248703</v>
      </c>
      <c r="R10" s="417">
        <v>0.9253117367270859</v>
      </c>
      <c r="S10" s="417">
        <v>1.0</v>
      </c>
      <c r="T10" s="417">
        <v>0.9913356472554313</v>
      </c>
      <c r="U10" s="193"/>
      <c r="V10" s="193"/>
      <c r="W10" s="193"/>
      <c r="X10" s="193"/>
      <c r="Y10" s="193"/>
      <c r="Z10" s="193"/>
      <c r="AA10" s="193"/>
      <c r="AB10" s="193"/>
      <c r="AC10" s="193"/>
      <c r="AD10" s="193"/>
      <c r="AE10" s="193"/>
      <c r="AF10" s="193"/>
      <c r="AG10" s="193"/>
      <c r="AH10" s="193"/>
      <c r="AI10" s="193"/>
      <c r="AJ10" s="193"/>
      <c r="AK10" s="193"/>
      <c r="AL10" s="193"/>
      <c r="AM10" s="193"/>
      <c r="AN10" s="193"/>
      <c r="AO10" s="193"/>
      <c r="AP10" s="193"/>
      <c r="AQ10" s="193"/>
      <c r="AR10" s="193"/>
      <c r="AS10" s="193"/>
      <c r="AT10" s="193"/>
      <c r="AU10" s="193"/>
      <c r="AV10" s="193"/>
      <c r="AW10" s="193"/>
      <c r="AX10" s="193"/>
      <c r="AY10" s="193"/>
      <c r="AZ10" s="193"/>
    </row>
    <row r="11">
      <c r="A11" s="413" t="s">
        <v>469</v>
      </c>
      <c r="B11" s="418">
        <f t="shared" ref="B11:D11" si="12">C11</f>
        <v>0.6706908115</v>
      </c>
      <c r="C11" s="418">
        <f t="shared" si="12"/>
        <v>0.6706908115</v>
      </c>
      <c r="D11" s="418">
        <f t="shared" si="12"/>
        <v>0.6706908115</v>
      </c>
      <c r="E11" s="417">
        <v>0.670690811535882</v>
      </c>
      <c r="F11" s="417">
        <v>0.6876816454281244</v>
      </c>
      <c r="G11" s="417">
        <v>0.7183098591549295</v>
      </c>
      <c r="H11" s="417">
        <v>0.7720210149787616</v>
      </c>
      <c r="I11" s="417">
        <v>0.7972278113123183</v>
      </c>
      <c r="J11" s="417">
        <v>0.8371898054996647</v>
      </c>
      <c r="K11" s="417">
        <v>0.856583948133244</v>
      </c>
      <c r="L11" s="417">
        <v>0.8758663089649006</v>
      </c>
      <c r="M11" s="417">
        <v>0.8982785602503913</v>
      </c>
      <c r="N11" s="417">
        <v>0.907724122512855</v>
      </c>
      <c r="O11" s="417">
        <v>0.920355466130114</v>
      </c>
      <c r="P11" s="417">
        <v>0.9551754974290185</v>
      </c>
      <c r="Q11" s="417">
        <v>0.9713838587078024</v>
      </c>
      <c r="R11" s="417">
        <v>0.9607645875251507</v>
      </c>
      <c r="S11" s="417">
        <v>1.0</v>
      </c>
      <c r="T11" s="417">
        <v>1.0126313436172591</v>
      </c>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row>
    <row r="12">
      <c r="A12" s="32"/>
      <c r="B12" s="32"/>
      <c r="C12" s="32"/>
      <c r="D12" s="32"/>
      <c r="E12" s="32"/>
      <c r="F12" s="32"/>
      <c r="G12" s="32"/>
      <c r="H12" s="32"/>
      <c r="I12" s="32"/>
      <c r="J12" s="32"/>
      <c r="K12" s="32"/>
      <c r="L12" s="32"/>
      <c r="M12" s="32"/>
      <c r="N12" s="32"/>
      <c r="O12" s="32"/>
      <c r="P12" s="32"/>
      <c r="Q12" s="32"/>
      <c r="R12" s="32"/>
      <c r="S12" s="32"/>
      <c r="T12" s="419"/>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row>
    <row r="13">
      <c r="A13" s="61" t="s">
        <v>470</v>
      </c>
      <c r="B13" s="292">
        <v>100.0</v>
      </c>
      <c r="C13" s="292">
        <f>B13*(1+Inputs!$B21)</f>
        <v>101.9894237</v>
      </c>
      <c r="D13" s="292">
        <f>C13*(1+Inputs!$B21)</f>
        <v>104.0184255</v>
      </c>
      <c r="E13" s="292">
        <f>D13*(1+Inputs!$B21)</f>
        <v>106.0877928</v>
      </c>
      <c r="F13" s="292">
        <f>E13*(1+Inputs!$B21)</f>
        <v>108.1983285</v>
      </c>
      <c r="G13" s="292">
        <f>F13*(1+Inputs!$B21)</f>
        <v>110.3508518</v>
      </c>
      <c r="H13" s="292">
        <f>G13*(1+Inputs!$B21)</f>
        <v>112.5461978</v>
      </c>
      <c r="I13" s="292">
        <f>H13*(1+Inputs!$B21)</f>
        <v>114.7852186</v>
      </c>
      <c r="J13" s="292">
        <f>I13*(1+Inputs!$B21)</f>
        <v>117.068783</v>
      </c>
      <c r="K13" s="292">
        <f>J13*(1+Inputs!$B21)</f>
        <v>119.3977771</v>
      </c>
      <c r="L13" s="292">
        <f>K13*(1+Inputs!$B21)</f>
        <v>121.7731048</v>
      </c>
      <c r="M13" s="292">
        <f>L13*(1+Inputs!$B21)</f>
        <v>124.1956879</v>
      </c>
      <c r="N13" s="292">
        <f>M13*(1+Inputs!$B21)</f>
        <v>126.6664664</v>
      </c>
      <c r="O13" s="292">
        <f>N13*(1+Inputs!$B21)</f>
        <v>129.1863991</v>
      </c>
      <c r="P13" s="292">
        <f>O13*(1+Inputs!$B21)</f>
        <v>131.756464</v>
      </c>
      <c r="Q13" s="292">
        <f>P13*(1+Inputs!$B21)</f>
        <v>134.3776584</v>
      </c>
      <c r="R13" s="292">
        <f>Q13*(1+Inputs!$B21)</f>
        <v>137.0509994</v>
      </c>
      <c r="S13" s="292">
        <f>R13*(1+Inputs!$B21)</f>
        <v>139.7775246</v>
      </c>
      <c r="T13" s="292">
        <f>S13*(1+Inputs!$B21)</f>
        <v>142.5582918</v>
      </c>
      <c r="U13" s="292">
        <f>T13*(1+Inputs!$B21)</f>
        <v>145.3943803</v>
      </c>
      <c r="V13" s="292">
        <f>U13*(1+Inputs!$B21)</f>
        <v>148.2868906</v>
      </c>
      <c r="W13" s="292">
        <f>V13*(1+Inputs!$B21)</f>
        <v>151.2369452</v>
      </c>
      <c r="X13" s="292">
        <f>W13*(1+Inputs!$B21)</f>
        <v>154.2456889</v>
      </c>
      <c r="Y13" s="292">
        <f>X13*(1+Inputs!$B21)</f>
        <v>157.3142893</v>
      </c>
      <c r="Z13" s="292">
        <f>Y13*(1+Inputs!$B21)</f>
        <v>160.4439371</v>
      </c>
      <c r="AA13" s="292">
        <f>Z13*(1+Inputs!$B21)</f>
        <v>163.6358469</v>
      </c>
      <c r="AB13" s="292">
        <f>AA13*(1+Inputs!$B21)</f>
        <v>166.8912572</v>
      </c>
      <c r="AC13" s="292">
        <f>AB13*(1+Inputs!$B21)</f>
        <v>170.2114315</v>
      </c>
      <c r="AD13" s="292">
        <f>AC13*(1+Inputs!$B21)</f>
        <v>173.5976581</v>
      </c>
      <c r="AE13" s="292">
        <f>AD13*(1+Inputs!$B21)</f>
        <v>177.0512512</v>
      </c>
      <c r="AF13" s="292">
        <f>AE13*(1+Inputs!$B21)</f>
        <v>180.5735508</v>
      </c>
      <c r="AG13" s="292">
        <f>AF13*(1+Inputs!$B21)</f>
        <v>184.1659239</v>
      </c>
      <c r="AH13" s="292">
        <f>AG13*(1+Inputs!$B21)</f>
        <v>187.8297645</v>
      </c>
      <c r="AI13" s="292">
        <f>AH13*(1+Inputs!$B21)</f>
        <v>191.5664944</v>
      </c>
      <c r="AJ13" s="292">
        <f>AI13*(1+Inputs!$B21)</f>
        <v>195.3775637</v>
      </c>
      <c r="AK13" s="292">
        <f>AJ13*(1+Inputs!$B21)</f>
        <v>199.2644513</v>
      </c>
      <c r="AL13" s="292">
        <f>AK13*(1+Inputs!$B21)</f>
        <v>203.2286656</v>
      </c>
      <c r="AM13" s="292">
        <f>AL13*(1+Inputs!$B21)</f>
        <v>207.271745</v>
      </c>
      <c r="AN13" s="292">
        <f>AM13*(1+Inputs!$B21)</f>
        <v>211.3952583</v>
      </c>
      <c r="AO13" s="292">
        <f>AN13*(1+Inputs!$B21)</f>
        <v>215.6008057</v>
      </c>
      <c r="AP13" s="292">
        <f>AO13*(1+Inputs!$B21)</f>
        <v>219.8900193</v>
      </c>
      <c r="AQ13" s="292">
        <f>AP13*(1+Inputs!$B21)</f>
        <v>224.2645635</v>
      </c>
      <c r="AR13" s="292">
        <f>AQ13*(1+Inputs!$B21)</f>
        <v>228.726136</v>
      </c>
      <c r="AS13" s="292">
        <f>AR13*(1+Inputs!$B21)</f>
        <v>233.2764681</v>
      </c>
      <c r="AT13" s="292">
        <f>AS13*(1+Inputs!$B21)</f>
        <v>237.9173255</v>
      </c>
      <c r="AU13" s="292">
        <f>AT13*(1+Inputs!$B21)</f>
        <v>242.6505092</v>
      </c>
      <c r="AV13" s="292">
        <f>AU13*(1+Inputs!$B21)</f>
        <v>247.4778561</v>
      </c>
      <c r="AW13" s="292">
        <f>AV13*(1+Inputs!$B21)</f>
        <v>252.4012393</v>
      </c>
      <c r="AX13" s="292">
        <f>AW13*(1+Inputs!$B21)</f>
        <v>257.4225695</v>
      </c>
      <c r="AY13" s="292">
        <f>AX13*(1+Inputs!$B21)</f>
        <v>262.5437952</v>
      </c>
      <c r="AZ13" s="292">
        <f>AY13*(1+Inputs!$B21)</f>
        <v>267.7669037</v>
      </c>
    </row>
    <row r="14">
      <c r="A14" s="59" t="s">
        <v>471</v>
      </c>
      <c r="B14" s="32"/>
      <c r="C14" s="60">
        <f t="shared" ref="C14:T14" si="13">(C17-B17)/B17</f>
        <v>0.03213654395</v>
      </c>
      <c r="D14" s="60">
        <f t="shared" si="13"/>
        <v>0.03350991918</v>
      </c>
      <c r="E14" s="60">
        <f t="shared" si="13"/>
        <v>0.04771470878</v>
      </c>
      <c r="F14" s="60">
        <f t="shared" si="13"/>
        <v>0.06593365163</v>
      </c>
      <c r="G14" s="60">
        <f t="shared" si="13"/>
        <v>0.06737556832</v>
      </c>
      <c r="H14" s="60">
        <f t="shared" si="13"/>
        <v>0.05967581977</v>
      </c>
      <c r="I14" s="60">
        <f t="shared" si="13"/>
        <v>0.0461287757</v>
      </c>
      <c r="J14" s="60">
        <f t="shared" si="13"/>
        <v>0.01805892114</v>
      </c>
      <c r="K14" s="60">
        <f t="shared" si="13"/>
        <v>-0.01793759127</v>
      </c>
      <c r="L14" s="60">
        <f t="shared" si="13"/>
        <v>0.03758893737</v>
      </c>
      <c r="M14" s="60">
        <f t="shared" si="13"/>
        <v>0.03672145748</v>
      </c>
      <c r="N14" s="60">
        <f t="shared" si="13"/>
        <v>0.04210529499</v>
      </c>
      <c r="O14" s="60">
        <f t="shared" si="13"/>
        <v>0.03629337198</v>
      </c>
      <c r="P14" s="60">
        <f t="shared" si="13"/>
        <v>0.04423077691</v>
      </c>
      <c r="Q14" s="60">
        <f t="shared" si="13"/>
        <v>0.03979641311</v>
      </c>
      <c r="R14" s="60">
        <f t="shared" si="13"/>
        <v>0.02690073625</v>
      </c>
      <c r="S14" s="60">
        <f t="shared" si="13"/>
        <v>0.0429806188</v>
      </c>
      <c r="T14" s="60">
        <f t="shared" si="13"/>
        <v>0.05434581471</v>
      </c>
      <c r="U14" s="420">
        <f t="shared" ref="U14:U15" si="16">average(C14:T14)</f>
        <v>0.03964220771</v>
      </c>
      <c r="V14" s="60">
        <f t="shared" ref="V14:AZ14" si="14">U14</f>
        <v>0.03964220771</v>
      </c>
      <c r="W14" s="60">
        <f t="shared" si="14"/>
        <v>0.03964220771</v>
      </c>
      <c r="X14" s="60">
        <f t="shared" si="14"/>
        <v>0.03964220771</v>
      </c>
      <c r="Y14" s="60">
        <f t="shared" si="14"/>
        <v>0.03964220771</v>
      </c>
      <c r="Z14" s="60">
        <f t="shared" si="14"/>
        <v>0.03964220771</v>
      </c>
      <c r="AA14" s="60">
        <f t="shared" si="14"/>
        <v>0.03964220771</v>
      </c>
      <c r="AB14" s="60">
        <f t="shared" si="14"/>
        <v>0.03964220771</v>
      </c>
      <c r="AC14" s="60">
        <f t="shared" si="14"/>
        <v>0.03964220771</v>
      </c>
      <c r="AD14" s="60">
        <f t="shared" si="14"/>
        <v>0.03964220771</v>
      </c>
      <c r="AE14" s="60">
        <f t="shared" si="14"/>
        <v>0.03964220771</v>
      </c>
      <c r="AF14" s="60">
        <f t="shared" si="14"/>
        <v>0.03964220771</v>
      </c>
      <c r="AG14" s="60">
        <f t="shared" si="14"/>
        <v>0.03964220771</v>
      </c>
      <c r="AH14" s="60">
        <f t="shared" si="14"/>
        <v>0.03964220771</v>
      </c>
      <c r="AI14" s="60">
        <f t="shared" si="14"/>
        <v>0.03964220771</v>
      </c>
      <c r="AJ14" s="60">
        <f t="shared" si="14"/>
        <v>0.03964220771</v>
      </c>
      <c r="AK14" s="60">
        <f t="shared" si="14"/>
        <v>0.03964220771</v>
      </c>
      <c r="AL14" s="60">
        <f t="shared" si="14"/>
        <v>0.03964220771</v>
      </c>
      <c r="AM14" s="60">
        <f t="shared" si="14"/>
        <v>0.03964220771</v>
      </c>
      <c r="AN14" s="60">
        <f t="shared" si="14"/>
        <v>0.03964220771</v>
      </c>
      <c r="AO14" s="60">
        <f t="shared" si="14"/>
        <v>0.03964220771</v>
      </c>
      <c r="AP14" s="60">
        <f t="shared" si="14"/>
        <v>0.03964220771</v>
      </c>
      <c r="AQ14" s="60">
        <f t="shared" si="14"/>
        <v>0.03964220771</v>
      </c>
      <c r="AR14" s="60">
        <f t="shared" si="14"/>
        <v>0.03964220771</v>
      </c>
      <c r="AS14" s="60">
        <f t="shared" si="14"/>
        <v>0.03964220771</v>
      </c>
      <c r="AT14" s="60">
        <f t="shared" si="14"/>
        <v>0.03964220771</v>
      </c>
      <c r="AU14" s="60">
        <f t="shared" si="14"/>
        <v>0.03964220771</v>
      </c>
      <c r="AV14" s="60">
        <f t="shared" si="14"/>
        <v>0.03964220771</v>
      </c>
      <c r="AW14" s="60">
        <f t="shared" si="14"/>
        <v>0.03964220771</v>
      </c>
      <c r="AX14" s="60">
        <f t="shared" si="14"/>
        <v>0.03964220771</v>
      </c>
      <c r="AY14" s="60">
        <f t="shared" si="14"/>
        <v>0.03964220771</v>
      </c>
      <c r="AZ14" s="60">
        <f t="shared" si="14"/>
        <v>0.03964220771</v>
      </c>
    </row>
    <row r="15">
      <c r="A15" s="59" t="s">
        <v>472</v>
      </c>
      <c r="B15" s="32"/>
      <c r="C15" s="60">
        <f t="shared" ref="C15:T15" si="15">(C16-B16)/B16</f>
        <v>0.009983407949</v>
      </c>
      <c r="D15" s="60">
        <f t="shared" si="15"/>
        <v>0.0174169525</v>
      </c>
      <c r="E15" s="60">
        <f t="shared" si="15"/>
        <v>0.02861210767</v>
      </c>
      <c r="F15" s="60">
        <f t="shared" si="15"/>
        <v>0.03798891126</v>
      </c>
      <c r="G15" s="60">
        <f t="shared" si="15"/>
        <v>0.03513213796</v>
      </c>
      <c r="H15" s="60">
        <f t="shared" si="15"/>
        <v>0.02854972292</v>
      </c>
      <c r="I15" s="60">
        <f t="shared" si="15"/>
        <v>0.01876171458</v>
      </c>
      <c r="J15" s="60">
        <f t="shared" si="15"/>
        <v>-0.001365798054</v>
      </c>
      <c r="K15" s="60">
        <f t="shared" si="15"/>
        <v>-0.02536757065</v>
      </c>
      <c r="L15" s="60">
        <f t="shared" si="15"/>
        <v>0.02563766558</v>
      </c>
      <c r="M15" s="60">
        <f t="shared" si="15"/>
        <v>0.01550835506</v>
      </c>
      <c r="N15" s="60">
        <f t="shared" si="15"/>
        <v>0.02249545852</v>
      </c>
      <c r="O15" s="60">
        <f t="shared" si="15"/>
        <v>0.01842081071</v>
      </c>
      <c r="P15" s="60">
        <f t="shared" si="15"/>
        <v>0.02525975624</v>
      </c>
      <c r="Q15" s="60">
        <f t="shared" si="15"/>
        <v>0.02908017354</v>
      </c>
      <c r="R15" s="60">
        <f t="shared" si="15"/>
        <v>0.01637839413</v>
      </c>
      <c r="S15" s="60">
        <f t="shared" si="15"/>
        <v>0.02369803871</v>
      </c>
      <c r="T15" s="60">
        <f t="shared" si="15"/>
        <v>0.02927322728</v>
      </c>
      <c r="U15" s="420">
        <f t="shared" si="16"/>
        <v>0.01974797033</v>
      </c>
      <c r="V15" s="60">
        <f t="shared" ref="V15:AZ15" si="17">U15</f>
        <v>0.01974797033</v>
      </c>
      <c r="W15" s="60">
        <f t="shared" si="17"/>
        <v>0.01974797033</v>
      </c>
      <c r="X15" s="60">
        <f t="shared" si="17"/>
        <v>0.01974797033</v>
      </c>
      <c r="Y15" s="60">
        <f t="shared" si="17"/>
        <v>0.01974797033</v>
      </c>
      <c r="Z15" s="60">
        <f t="shared" si="17"/>
        <v>0.01974797033</v>
      </c>
      <c r="AA15" s="60">
        <f t="shared" si="17"/>
        <v>0.01974797033</v>
      </c>
      <c r="AB15" s="60">
        <f t="shared" si="17"/>
        <v>0.01974797033</v>
      </c>
      <c r="AC15" s="60">
        <f t="shared" si="17"/>
        <v>0.01974797033</v>
      </c>
      <c r="AD15" s="60">
        <f t="shared" si="17"/>
        <v>0.01974797033</v>
      </c>
      <c r="AE15" s="60">
        <f t="shared" si="17"/>
        <v>0.01974797033</v>
      </c>
      <c r="AF15" s="60">
        <f t="shared" si="17"/>
        <v>0.01974797033</v>
      </c>
      <c r="AG15" s="60">
        <f t="shared" si="17"/>
        <v>0.01974797033</v>
      </c>
      <c r="AH15" s="60">
        <f t="shared" si="17"/>
        <v>0.01974797033</v>
      </c>
      <c r="AI15" s="60">
        <f t="shared" si="17"/>
        <v>0.01974797033</v>
      </c>
      <c r="AJ15" s="60">
        <f t="shared" si="17"/>
        <v>0.01974797033</v>
      </c>
      <c r="AK15" s="60">
        <f t="shared" si="17"/>
        <v>0.01974797033</v>
      </c>
      <c r="AL15" s="60">
        <f t="shared" si="17"/>
        <v>0.01974797033</v>
      </c>
      <c r="AM15" s="60">
        <f t="shared" si="17"/>
        <v>0.01974797033</v>
      </c>
      <c r="AN15" s="60">
        <f t="shared" si="17"/>
        <v>0.01974797033</v>
      </c>
      <c r="AO15" s="60">
        <f t="shared" si="17"/>
        <v>0.01974797033</v>
      </c>
      <c r="AP15" s="60">
        <f t="shared" si="17"/>
        <v>0.01974797033</v>
      </c>
      <c r="AQ15" s="60">
        <f t="shared" si="17"/>
        <v>0.01974797033</v>
      </c>
      <c r="AR15" s="60">
        <f t="shared" si="17"/>
        <v>0.01974797033</v>
      </c>
      <c r="AS15" s="60">
        <f t="shared" si="17"/>
        <v>0.01974797033</v>
      </c>
      <c r="AT15" s="60">
        <f t="shared" si="17"/>
        <v>0.01974797033</v>
      </c>
      <c r="AU15" s="60">
        <f t="shared" si="17"/>
        <v>0.01974797033</v>
      </c>
      <c r="AV15" s="60">
        <f t="shared" si="17"/>
        <v>0.01974797033</v>
      </c>
      <c r="AW15" s="60">
        <f t="shared" si="17"/>
        <v>0.01974797033</v>
      </c>
      <c r="AX15" s="60">
        <f t="shared" si="17"/>
        <v>0.01974797033</v>
      </c>
      <c r="AY15" s="60">
        <f t="shared" si="17"/>
        <v>0.01974797033</v>
      </c>
      <c r="AZ15" s="60">
        <f t="shared" si="17"/>
        <v>0.01974797033</v>
      </c>
    </row>
    <row r="16">
      <c r="A16" s="421" t="s">
        <v>473</v>
      </c>
      <c r="B16" s="422">
        <v>1.3130987E7</v>
      </c>
      <c r="C16" s="422">
        <v>1.3262079E7</v>
      </c>
      <c r="D16" s="422">
        <v>1.3493064E7</v>
      </c>
      <c r="E16" s="422">
        <v>1.3879129E7</v>
      </c>
      <c r="F16" s="422">
        <v>1.4406382E7</v>
      </c>
      <c r="G16" s="422">
        <v>1.4912509E7</v>
      </c>
      <c r="H16" s="422">
        <v>1.5338257E7</v>
      </c>
      <c r="I16" s="422">
        <v>1.5626029E7</v>
      </c>
      <c r="J16" s="422">
        <v>1.5604687E7</v>
      </c>
      <c r="K16" s="422">
        <v>1.5208834E7</v>
      </c>
      <c r="L16" s="422">
        <v>1.5598753E7</v>
      </c>
      <c r="M16" s="422">
        <v>1.5840664E7</v>
      </c>
      <c r="N16" s="422">
        <v>1.6197007E7</v>
      </c>
      <c r="O16" s="422">
        <v>1.6495369E7</v>
      </c>
      <c r="P16" s="422">
        <v>1.6912038E7</v>
      </c>
      <c r="Q16" s="422">
        <v>1.7403843E7</v>
      </c>
      <c r="R16" s="422">
        <v>1.768889E7</v>
      </c>
      <c r="S16" s="422">
        <v>1.8108082E7</v>
      </c>
      <c r="T16" s="422">
        <v>1.8638164E7</v>
      </c>
      <c r="U16" s="252">
        <f t="shared" ref="U16:AZ16" si="18">T16*(1+U15)</f>
        <v>19006229.91</v>
      </c>
      <c r="V16" s="252">
        <f t="shared" si="18"/>
        <v>19381564.37</v>
      </c>
      <c r="W16" s="252">
        <f t="shared" si="18"/>
        <v>19764310.93</v>
      </c>
      <c r="X16" s="252">
        <f t="shared" si="18"/>
        <v>20154615.96</v>
      </c>
      <c r="Y16" s="252">
        <f t="shared" si="18"/>
        <v>20552628.72</v>
      </c>
      <c r="Z16" s="252">
        <f t="shared" si="18"/>
        <v>20958501.42</v>
      </c>
      <c r="AA16" s="252">
        <f t="shared" si="18"/>
        <v>21372389.28</v>
      </c>
      <c r="AB16" s="252">
        <f t="shared" si="18"/>
        <v>21794450.59</v>
      </c>
      <c r="AC16" s="252">
        <f t="shared" si="18"/>
        <v>22224846.76</v>
      </c>
      <c r="AD16" s="252">
        <f t="shared" si="18"/>
        <v>22663742.37</v>
      </c>
      <c r="AE16" s="252">
        <f t="shared" si="18"/>
        <v>23111305.28</v>
      </c>
      <c r="AF16" s="252">
        <f t="shared" si="18"/>
        <v>23567706.65</v>
      </c>
      <c r="AG16" s="252">
        <f t="shared" si="18"/>
        <v>24033121.02</v>
      </c>
      <c r="AH16" s="252">
        <f t="shared" si="18"/>
        <v>24507726.38</v>
      </c>
      <c r="AI16" s="252">
        <f t="shared" si="18"/>
        <v>24991704.24</v>
      </c>
      <c r="AJ16" s="252">
        <f t="shared" si="18"/>
        <v>25485239.67</v>
      </c>
      <c r="AK16" s="252">
        <f t="shared" si="18"/>
        <v>25988521.43</v>
      </c>
      <c r="AL16" s="252">
        <f t="shared" si="18"/>
        <v>26501741.98</v>
      </c>
      <c r="AM16" s="252">
        <f t="shared" si="18"/>
        <v>27025097.59</v>
      </c>
      <c r="AN16" s="252">
        <f t="shared" si="18"/>
        <v>27558788.42</v>
      </c>
      <c r="AO16" s="252">
        <f t="shared" si="18"/>
        <v>28103018.55</v>
      </c>
      <c r="AP16" s="252">
        <f t="shared" si="18"/>
        <v>28657996.13</v>
      </c>
      <c r="AQ16" s="252">
        <f t="shared" si="18"/>
        <v>29223933.39</v>
      </c>
      <c r="AR16" s="252">
        <f t="shared" si="18"/>
        <v>29801046.76</v>
      </c>
      <c r="AS16" s="252">
        <f t="shared" si="18"/>
        <v>30389556.95</v>
      </c>
      <c r="AT16" s="252">
        <f t="shared" si="18"/>
        <v>30989689.01</v>
      </c>
      <c r="AU16" s="252">
        <f t="shared" si="18"/>
        <v>31601672.47</v>
      </c>
      <c r="AV16" s="252">
        <f t="shared" si="18"/>
        <v>32225741.36</v>
      </c>
      <c r="AW16" s="252">
        <f t="shared" si="18"/>
        <v>32862134.35</v>
      </c>
      <c r="AX16" s="252">
        <f t="shared" si="18"/>
        <v>33511094.8</v>
      </c>
      <c r="AY16" s="252">
        <f t="shared" si="18"/>
        <v>34172870.91</v>
      </c>
      <c r="AZ16" s="252">
        <f t="shared" si="18"/>
        <v>34847715.75</v>
      </c>
    </row>
    <row r="17">
      <c r="A17" s="421" t="s">
        <v>474</v>
      </c>
      <c r="B17" s="422">
        <v>1.0252347E7</v>
      </c>
      <c r="C17" s="422">
        <v>1.0581822E7</v>
      </c>
      <c r="D17" s="422">
        <v>1.0936418E7</v>
      </c>
      <c r="E17" s="422">
        <v>1.1458246E7</v>
      </c>
      <c r="F17" s="422">
        <v>1.221373E7</v>
      </c>
      <c r="G17" s="422">
        <v>1.3036637E7</v>
      </c>
      <c r="H17" s="422">
        <v>1.3814609E7</v>
      </c>
      <c r="I17" s="422">
        <v>1.445186E7</v>
      </c>
      <c r="J17" s="422">
        <v>1.4712845E7</v>
      </c>
      <c r="K17" s="422">
        <v>1.4448932E7</v>
      </c>
      <c r="L17" s="422">
        <v>1.4992052E7</v>
      </c>
      <c r="M17" s="422">
        <v>1.5542582E7</v>
      </c>
      <c r="N17" s="422">
        <v>1.6197007E7</v>
      </c>
      <c r="O17" s="422">
        <v>1.6784851E7</v>
      </c>
      <c r="P17" s="422">
        <v>1.7527258E7</v>
      </c>
      <c r="Q17" s="422">
        <v>1.822478E7</v>
      </c>
      <c r="R17" s="422">
        <v>1.871504E7</v>
      </c>
      <c r="S17" s="422">
        <v>1.9519424E7</v>
      </c>
      <c r="T17" s="422">
        <v>2.0580223E7</v>
      </c>
      <c r="U17" s="252">
        <f t="shared" ref="U17:AZ17" si="19">T17*(1+U14)</f>
        <v>21396068.47</v>
      </c>
      <c r="V17" s="252">
        <f t="shared" si="19"/>
        <v>22244255.87</v>
      </c>
      <c r="W17" s="252">
        <f t="shared" si="19"/>
        <v>23126067.28</v>
      </c>
      <c r="X17" s="252">
        <f t="shared" si="19"/>
        <v>24042835.64</v>
      </c>
      <c r="Y17" s="252">
        <f t="shared" si="19"/>
        <v>24995946.72</v>
      </c>
      <c r="Z17" s="252">
        <f t="shared" si="19"/>
        <v>25986841.24</v>
      </c>
      <c r="AA17" s="252">
        <f t="shared" si="19"/>
        <v>27017016.99</v>
      </c>
      <c r="AB17" s="252">
        <f t="shared" si="19"/>
        <v>28088031.19</v>
      </c>
      <c r="AC17" s="252">
        <f t="shared" si="19"/>
        <v>29201502.76</v>
      </c>
      <c r="AD17" s="252">
        <f t="shared" si="19"/>
        <v>30359114.8</v>
      </c>
      <c r="AE17" s="252">
        <f t="shared" si="19"/>
        <v>31562617.13</v>
      </c>
      <c r="AF17" s="252">
        <f t="shared" si="19"/>
        <v>32813828.96</v>
      </c>
      <c r="AG17" s="252">
        <f t="shared" si="19"/>
        <v>34114641.58</v>
      </c>
      <c r="AH17" s="252">
        <f t="shared" si="19"/>
        <v>35467021.29</v>
      </c>
      <c r="AI17" s="252">
        <f t="shared" si="19"/>
        <v>36873012.31</v>
      </c>
      <c r="AJ17" s="252">
        <f t="shared" si="19"/>
        <v>38334739.93</v>
      </c>
      <c r="AK17" s="252">
        <f t="shared" si="19"/>
        <v>39854413.65</v>
      </c>
      <c r="AL17" s="252">
        <f t="shared" si="19"/>
        <v>41434330.59</v>
      </c>
      <c r="AM17" s="252">
        <f t="shared" si="19"/>
        <v>43076878.93</v>
      </c>
      <c r="AN17" s="252">
        <f t="shared" si="19"/>
        <v>44784541.51</v>
      </c>
      <c r="AO17" s="252">
        <f t="shared" si="19"/>
        <v>46559899.61</v>
      </c>
      <c r="AP17" s="252">
        <f t="shared" si="19"/>
        <v>48405636.82</v>
      </c>
      <c r="AQ17" s="252">
        <f t="shared" si="19"/>
        <v>50324543.13</v>
      </c>
      <c r="AR17" s="252">
        <f t="shared" si="19"/>
        <v>52319519.12</v>
      </c>
      <c r="AS17" s="252">
        <f t="shared" si="19"/>
        <v>54393580.37</v>
      </c>
      <c r="AT17" s="252">
        <f t="shared" si="19"/>
        <v>56549861.98</v>
      </c>
      <c r="AU17" s="252">
        <f t="shared" si="19"/>
        <v>58791623.35</v>
      </c>
      <c r="AV17" s="252">
        <f t="shared" si="19"/>
        <v>61122253.1</v>
      </c>
      <c r="AW17" s="252">
        <f t="shared" si="19"/>
        <v>63545274.15</v>
      </c>
      <c r="AX17" s="252">
        <f t="shared" si="19"/>
        <v>66064349.11</v>
      </c>
      <c r="AY17" s="252">
        <f t="shared" si="19"/>
        <v>68683285.76</v>
      </c>
      <c r="AZ17" s="252">
        <f t="shared" si="19"/>
        <v>71406042.84</v>
      </c>
    </row>
    <row r="18">
      <c r="A18" s="423" t="s">
        <v>475</v>
      </c>
      <c r="B18" s="424">
        <f t="shared" ref="B18:AZ18" si="20">B17/B16</f>
        <v>0.7807750476</v>
      </c>
      <c r="C18" s="424">
        <f t="shared" si="20"/>
        <v>0.7979006911</v>
      </c>
      <c r="D18" s="424">
        <f t="shared" si="20"/>
        <v>0.810521465</v>
      </c>
      <c r="E18" s="424">
        <f t="shared" si="20"/>
        <v>0.8255738527</v>
      </c>
      <c r="F18" s="425">
        <f t="shared" si="20"/>
        <v>0.8477999542</v>
      </c>
      <c r="G18" s="424">
        <f t="shared" si="20"/>
        <v>0.8742081564</v>
      </c>
      <c r="H18" s="424">
        <f t="shared" si="20"/>
        <v>0.90066355</v>
      </c>
      <c r="I18" s="424">
        <f t="shared" si="20"/>
        <v>0.9248581325</v>
      </c>
      <c r="J18" s="424">
        <f t="shared" si="20"/>
        <v>0.9428478123</v>
      </c>
      <c r="K18" s="424">
        <f t="shared" si="20"/>
        <v>0.950035486</v>
      </c>
      <c r="L18" s="424">
        <f t="shared" si="20"/>
        <v>0.9611058012</v>
      </c>
      <c r="M18" s="424">
        <f t="shared" si="20"/>
        <v>0.9811824807</v>
      </c>
      <c r="N18" s="424">
        <f t="shared" si="20"/>
        <v>1</v>
      </c>
      <c r="O18" s="424">
        <f t="shared" si="20"/>
        <v>1.017549289</v>
      </c>
      <c r="P18" s="424">
        <f t="shared" si="20"/>
        <v>1.036377638</v>
      </c>
      <c r="Q18" s="424">
        <f t="shared" si="20"/>
        <v>1.047169869</v>
      </c>
      <c r="R18" s="425">
        <f t="shared" si="20"/>
        <v>1.058010989</v>
      </c>
      <c r="S18" s="425">
        <f t="shared" si="20"/>
        <v>1.077939894</v>
      </c>
      <c r="T18" s="424">
        <f t="shared" si="20"/>
        <v>1.104197978</v>
      </c>
      <c r="U18" s="170">
        <f t="shared" si="20"/>
        <v>1.125739748</v>
      </c>
      <c r="V18" s="170">
        <f t="shared" si="20"/>
        <v>1.147701777</v>
      </c>
      <c r="W18" s="170">
        <f t="shared" si="20"/>
        <v>1.170092262</v>
      </c>
      <c r="X18" s="170">
        <f t="shared" si="20"/>
        <v>1.192919562</v>
      </c>
      <c r="Y18" s="170">
        <f t="shared" si="20"/>
        <v>1.2161922</v>
      </c>
      <c r="Z18" s="170">
        <f t="shared" si="20"/>
        <v>1.239918862</v>
      </c>
      <c r="AA18" s="170">
        <f t="shared" si="20"/>
        <v>1.264108408</v>
      </c>
      <c r="AB18" s="170">
        <f t="shared" si="20"/>
        <v>1.288769867</v>
      </c>
      <c r="AC18" s="170">
        <f t="shared" si="20"/>
        <v>1.313912446</v>
      </c>
      <c r="AD18" s="170">
        <f t="shared" si="20"/>
        <v>1.339545531</v>
      </c>
      <c r="AE18" s="170">
        <f t="shared" si="20"/>
        <v>1.365678691</v>
      </c>
      <c r="AF18" s="170">
        <f t="shared" si="20"/>
        <v>1.392321682</v>
      </c>
      <c r="AG18" s="170">
        <f t="shared" si="20"/>
        <v>1.41948445</v>
      </c>
      <c r="AH18" s="170">
        <f t="shared" si="20"/>
        <v>1.447177136</v>
      </c>
      <c r="AI18" s="170">
        <f t="shared" si="20"/>
        <v>1.475410079</v>
      </c>
      <c r="AJ18" s="170">
        <f t="shared" si="20"/>
        <v>1.504193816</v>
      </c>
      <c r="AK18" s="170">
        <f t="shared" si="20"/>
        <v>1.533539096</v>
      </c>
      <c r="AL18" s="170">
        <f t="shared" si="20"/>
        <v>1.563456871</v>
      </c>
      <c r="AM18" s="170">
        <f t="shared" si="20"/>
        <v>1.593958312</v>
      </c>
      <c r="AN18" s="170">
        <f t="shared" si="20"/>
        <v>1.625054804</v>
      </c>
      <c r="AO18" s="170">
        <f t="shared" si="20"/>
        <v>1.656757957</v>
      </c>
      <c r="AP18" s="170">
        <f t="shared" si="20"/>
        <v>1.689079606</v>
      </c>
      <c r="AQ18" s="170">
        <f t="shared" si="20"/>
        <v>1.722031818</v>
      </c>
      <c r="AR18" s="170">
        <f t="shared" si="20"/>
        <v>1.755626893</v>
      </c>
      <c r="AS18" s="170">
        <f t="shared" si="20"/>
        <v>1.789877374</v>
      </c>
      <c r="AT18" s="170">
        <f t="shared" si="20"/>
        <v>1.824796046</v>
      </c>
      <c r="AU18" s="170">
        <f t="shared" si="20"/>
        <v>1.860395946</v>
      </c>
      <c r="AV18" s="170">
        <f t="shared" si="20"/>
        <v>1.896690363</v>
      </c>
      <c r="AW18" s="170">
        <f t="shared" si="20"/>
        <v>1.933692848</v>
      </c>
      <c r="AX18" s="170">
        <f t="shared" si="20"/>
        <v>1.971417213</v>
      </c>
      <c r="AY18" s="170">
        <f t="shared" si="20"/>
        <v>2.009877541</v>
      </c>
      <c r="AZ18" s="170">
        <f t="shared" si="20"/>
        <v>2.049088191</v>
      </c>
    </row>
    <row r="19">
      <c r="A19" s="421" t="s">
        <v>476</v>
      </c>
      <c r="B19" s="426">
        <v>26778.3</v>
      </c>
      <c r="C19" s="426">
        <v>28420.4</v>
      </c>
      <c r="D19" s="426">
        <v>29605.3</v>
      </c>
      <c r="E19" s="426">
        <v>31799.7</v>
      </c>
      <c r="F19" s="426">
        <v>34970.7</v>
      </c>
      <c r="G19" s="426">
        <v>39774.8</v>
      </c>
      <c r="H19" s="426">
        <v>44435.3</v>
      </c>
      <c r="I19" s="426">
        <v>48972.6</v>
      </c>
      <c r="J19" s="426">
        <v>54752.4</v>
      </c>
      <c r="K19" s="426">
        <v>49585.9</v>
      </c>
      <c r="L19" s="426">
        <v>52882.5</v>
      </c>
      <c r="M19" s="426">
        <v>56259.9</v>
      </c>
      <c r="N19" s="426">
        <v>57670.1</v>
      </c>
      <c r="O19" s="426">
        <v>56622.8</v>
      </c>
      <c r="P19" s="426">
        <v>55523.4</v>
      </c>
      <c r="Q19" s="426">
        <v>50641.6</v>
      </c>
      <c r="R19" s="426">
        <v>49363.4</v>
      </c>
      <c r="S19" s="426">
        <v>51803.1</v>
      </c>
      <c r="T19" s="426">
        <v>54734.1</v>
      </c>
      <c r="U19" s="24"/>
      <c r="V19" s="24"/>
      <c r="W19" s="24"/>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row>
    <row r="20">
      <c r="A20" s="421" t="s">
        <v>477</v>
      </c>
      <c r="B20" s="426">
        <v>41500.2</v>
      </c>
      <c r="C20" s="426">
        <v>42894.3</v>
      </c>
      <c r="D20" s="426">
        <v>45447.1</v>
      </c>
      <c r="E20" s="426">
        <v>48929.1</v>
      </c>
      <c r="F20" s="426">
        <v>53761.8</v>
      </c>
      <c r="G20" s="426">
        <v>58667.9</v>
      </c>
      <c r="H20" s="426">
        <v>62365.0</v>
      </c>
      <c r="I20" s="426">
        <v>65233.5</v>
      </c>
      <c r="J20" s="426">
        <v>66864.7</v>
      </c>
      <c r="K20" s="426">
        <v>65692.0</v>
      </c>
      <c r="L20" s="426">
        <v>68196.9</v>
      </c>
      <c r="M20" s="426">
        <v>70482.6</v>
      </c>
      <c r="N20" s="426">
        <v>73582.7</v>
      </c>
      <c r="O20" s="426">
        <v>75788.3</v>
      </c>
      <c r="P20" s="426">
        <v>77854.3</v>
      </c>
      <c r="Q20" s="426">
        <v>82710.0</v>
      </c>
      <c r="R20" s="426">
        <v>85843.8</v>
      </c>
      <c r="S20" s="426">
        <v>89428.9</v>
      </c>
      <c r="T20" s="426">
        <v>93797.9</v>
      </c>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row>
    <row r="21">
      <c r="A21" s="61" t="s">
        <v>478</v>
      </c>
      <c r="B21" s="427">
        <f t="shared" ref="B21:T21" si="21">(B17-B19-B20)/1000</f>
        <v>10184.0685</v>
      </c>
      <c r="C21" s="427">
        <f t="shared" si="21"/>
        <v>10510.5073</v>
      </c>
      <c r="D21" s="427">
        <f t="shared" si="21"/>
        <v>10861.3656</v>
      </c>
      <c r="E21" s="427">
        <f t="shared" si="21"/>
        <v>11377.5172</v>
      </c>
      <c r="F21" s="427">
        <f t="shared" si="21"/>
        <v>12124.9975</v>
      </c>
      <c r="G21" s="427">
        <f t="shared" si="21"/>
        <v>12938.1943</v>
      </c>
      <c r="H21" s="427">
        <f t="shared" si="21"/>
        <v>13707.8087</v>
      </c>
      <c r="I21" s="427">
        <f t="shared" si="21"/>
        <v>14337.6539</v>
      </c>
      <c r="J21" s="427">
        <f t="shared" si="21"/>
        <v>14591.2279</v>
      </c>
      <c r="K21" s="427">
        <f t="shared" si="21"/>
        <v>14333.6541</v>
      </c>
      <c r="L21" s="427">
        <f t="shared" si="21"/>
        <v>14870.9726</v>
      </c>
      <c r="M21" s="427">
        <f t="shared" si="21"/>
        <v>15415.8395</v>
      </c>
      <c r="N21" s="427">
        <f t="shared" si="21"/>
        <v>16065.7542</v>
      </c>
      <c r="O21" s="427">
        <f t="shared" si="21"/>
        <v>16652.4399</v>
      </c>
      <c r="P21" s="427">
        <f t="shared" si="21"/>
        <v>17393.8803</v>
      </c>
      <c r="Q21" s="427">
        <f t="shared" si="21"/>
        <v>18091.4284</v>
      </c>
      <c r="R21" s="427">
        <f t="shared" si="21"/>
        <v>18579.8328</v>
      </c>
      <c r="S21" s="427">
        <f t="shared" si="21"/>
        <v>19378.192</v>
      </c>
      <c r="T21" s="427">
        <f t="shared" si="21"/>
        <v>20431.691</v>
      </c>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row>
    <row r="22">
      <c r="A22" s="61" t="s">
        <v>479</v>
      </c>
      <c r="B22" s="428">
        <v>1065070.4</v>
      </c>
      <c r="C22" s="428">
        <v>1101990.5</v>
      </c>
      <c r="D22" s="428">
        <v>1141147.0</v>
      </c>
      <c r="E22" s="428">
        <v>1190971.3</v>
      </c>
      <c r="F22" s="428">
        <v>1269212.6</v>
      </c>
      <c r="G22" s="428">
        <v>1346861.6</v>
      </c>
      <c r="H22" s="428">
        <v>1426242.5</v>
      </c>
      <c r="I22" s="428">
        <v>1475830.4</v>
      </c>
      <c r="J22" s="428">
        <v>1509219.3</v>
      </c>
      <c r="K22" s="428">
        <v>1485435.5</v>
      </c>
      <c r="L22" s="428">
        <v>1521844.2</v>
      </c>
      <c r="M22" s="428">
        <v>1572247.3</v>
      </c>
      <c r="N22" s="428">
        <v>1628713.4</v>
      </c>
      <c r="O22" s="428">
        <v>1685044.6</v>
      </c>
      <c r="P22" s="428">
        <v>1755915.5</v>
      </c>
      <c r="Q22" s="428">
        <v>1850065.0</v>
      </c>
      <c r="R22" s="428">
        <v>1917586.7</v>
      </c>
      <c r="S22" s="428">
        <v>1994523.9</v>
      </c>
      <c r="T22" s="428">
        <v>2090448.4</v>
      </c>
      <c r="U22" s="428">
        <v>2180239.2</v>
      </c>
      <c r="V22" s="235">
        <f t="shared" ref="V22:AZ22" si="22">U22*(1+V14)</f>
        <v>2266668.695</v>
      </c>
      <c r="W22" s="235">
        <f t="shared" si="22"/>
        <v>2356524.446</v>
      </c>
      <c r="X22" s="235">
        <f t="shared" si="22"/>
        <v>2449942.278</v>
      </c>
      <c r="Y22" s="235">
        <f t="shared" si="22"/>
        <v>2547063.399</v>
      </c>
      <c r="Z22" s="235">
        <f t="shared" si="22"/>
        <v>2648034.615</v>
      </c>
      <c r="AA22" s="235">
        <f t="shared" si="22"/>
        <v>2753008.553</v>
      </c>
      <c r="AB22" s="235">
        <f t="shared" si="22"/>
        <v>2862143.89</v>
      </c>
      <c r="AC22" s="235">
        <f t="shared" si="22"/>
        <v>2975605.593</v>
      </c>
      <c r="AD22" s="235">
        <f t="shared" si="22"/>
        <v>3093565.168</v>
      </c>
      <c r="AE22" s="235">
        <f t="shared" si="22"/>
        <v>3216200.921</v>
      </c>
      <c r="AF22" s="235">
        <f t="shared" si="22"/>
        <v>3343698.226</v>
      </c>
      <c r="AG22" s="235">
        <f t="shared" si="22"/>
        <v>3476249.805</v>
      </c>
      <c r="AH22" s="235">
        <f t="shared" si="22"/>
        <v>3614056.022</v>
      </c>
      <c r="AI22" s="235">
        <f t="shared" si="22"/>
        <v>3757325.181</v>
      </c>
      <c r="AJ22" s="235">
        <f t="shared" si="22"/>
        <v>3906273.847</v>
      </c>
      <c r="AK22" s="235">
        <f t="shared" si="22"/>
        <v>4061127.166</v>
      </c>
      <c r="AL22" s="235">
        <f t="shared" si="22"/>
        <v>4222119.213</v>
      </c>
      <c r="AM22" s="235">
        <f t="shared" si="22"/>
        <v>4389493.339</v>
      </c>
      <c r="AN22" s="235">
        <f t="shared" si="22"/>
        <v>4563502.546</v>
      </c>
      <c r="AO22" s="235">
        <f t="shared" si="22"/>
        <v>4744409.862</v>
      </c>
      <c r="AP22" s="235">
        <f t="shared" si="22"/>
        <v>4932488.743</v>
      </c>
      <c r="AQ22" s="235">
        <f t="shared" si="22"/>
        <v>5128023.486</v>
      </c>
      <c r="AR22" s="235">
        <f t="shared" si="22"/>
        <v>5331309.659</v>
      </c>
      <c r="AS22" s="235">
        <f t="shared" si="22"/>
        <v>5542654.543</v>
      </c>
      <c r="AT22" s="235">
        <f t="shared" si="22"/>
        <v>5762377.606</v>
      </c>
      <c r="AU22" s="235">
        <f t="shared" si="22"/>
        <v>5990810.976</v>
      </c>
      <c r="AV22" s="235">
        <f t="shared" si="22"/>
        <v>6228299.949</v>
      </c>
      <c r="AW22" s="235">
        <f t="shared" si="22"/>
        <v>6475203.509</v>
      </c>
      <c r="AX22" s="235">
        <f t="shared" si="22"/>
        <v>6731894.872</v>
      </c>
      <c r="AY22" s="235">
        <f t="shared" si="22"/>
        <v>6998762.047</v>
      </c>
      <c r="AZ22" s="235">
        <f t="shared" si="22"/>
        <v>7276208.426</v>
      </c>
    </row>
    <row r="23" ht="15.75" customHeight="1">
      <c r="A23" s="61" t="s">
        <v>480</v>
      </c>
      <c r="B23" s="426">
        <f t="shared" ref="B23:AZ23" si="23">B$22*$S$18/B$18</f>
        <v>1470438.737</v>
      </c>
      <c r="C23" s="426">
        <f t="shared" si="23"/>
        <v>1488756.103</v>
      </c>
      <c r="D23" s="426">
        <f t="shared" si="23"/>
        <v>1517649.97</v>
      </c>
      <c r="E23" s="426">
        <f t="shared" si="23"/>
        <v>1555034.081</v>
      </c>
      <c r="F23" s="426">
        <f t="shared" si="23"/>
        <v>1613747.311</v>
      </c>
      <c r="G23" s="426">
        <f t="shared" si="23"/>
        <v>1660743.886</v>
      </c>
      <c r="H23" s="426">
        <f t="shared" si="23"/>
        <v>1706967.813</v>
      </c>
      <c r="I23" s="426">
        <f t="shared" si="23"/>
        <v>1720108.641</v>
      </c>
      <c r="J23" s="426">
        <f t="shared" si="23"/>
        <v>1725461.598</v>
      </c>
      <c r="K23" s="426">
        <f t="shared" si="23"/>
        <v>1685421.45</v>
      </c>
      <c r="L23" s="426">
        <f t="shared" si="23"/>
        <v>1706842.862</v>
      </c>
      <c r="M23" s="426">
        <f t="shared" si="23"/>
        <v>1727291.428</v>
      </c>
      <c r="N23" s="426">
        <f t="shared" si="23"/>
        <v>1755655.151</v>
      </c>
      <c r="O23" s="426">
        <f t="shared" si="23"/>
        <v>1785050.432</v>
      </c>
      <c r="P23" s="426">
        <f t="shared" si="23"/>
        <v>1826333.663</v>
      </c>
      <c r="Q23" s="426">
        <f t="shared" si="23"/>
        <v>1904427.285</v>
      </c>
      <c r="R23" s="426">
        <f t="shared" si="23"/>
        <v>1953706.745</v>
      </c>
      <c r="S23" s="426">
        <f t="shared" si="23"/>
        <v>1994523.9</v>
      </c>
      <c r="T23" s="426">
        <f t="shared" si="23"/>
        <v>2040737.053</v>
      </c>
      <c r="U23" s="422">
        <f t="shared" si="23"/>
        <v>2087664.415</v>
      </c>
      <c r="V23" s="429">
        <f t="shared" si="23"/>
        <v>2128891.55</v>
      </c>
      <c r="W23" s="429">
        <f t="shared" si="23"/>
        <v>2170932.837</v>
      </c>
      <c r="X23" s="429">
        <f t="shared" si="23"/>
        <v>2213804.354</v>
      </c>
      <c r="Y23" s="429">
        <f t="shared" si="23"/>
        <v>2257522.497</v>
      </c>
      <c r="Z23" s="429">
        <f t="shared" si="23"/>
        <v>2302103.984</v>
      </c>
      <c r="AA23" s="429">
        <f t="shared" si="23"/>
        <v>2347565.866</v>
      </c>
      <c r="AB23" s="429">
        <f t="shared" si="23"/>
        <v>2393925.527</v>
      </c>
      <c r="AC23" s="429">
        <f t="shared" si="23"/>
        <v>2441200.697</v>
      </c>
      <c r="AD23" s="429">
        <f t="shared" si="23"/>
        <v>2489409.456</v>
      </c>
      <c r="AE23" s="429">
        <f t="shared" si="23"/>
        <v>2538570.24</v>
      </c>
      <c r="AF23" s="429">
        <f t="shared" si="23"/>
        <v>2588701.85</v>
      </c>
      <c r="AG23" s="429">
        <f t="shared" si="23"/>
        <v>2639823.457</v>
      </c>
      <c r="AH23" s="429">
        <f t="shared" si="23"/>
        <v>2691954.612</v>
      </c>
      <c r="AI23" s="429">
        <f t="shared" si="23"/>
        <v>2745115.252</v>
      </c>
      <c r="AJ23" s="429">
        <f t="shared" si="23"/>
        <v>2799325.707</v>
      </c>
      <c r="AK23" s="429">
        <f t="shared" si="23"/>
        <v>2854606.708</v>
      </c>
      <c r="AL23" s="429">
        <f t="shared" si="23"/>
        <v>2910979.396</v>
      </c>
      <c r="AM23" s="429">
        <f t="shared" si="23"/>
        <v>2968465.331</v>
      </c>
      <c r="AN23" s="429">
        <f t="shared" si="23"/>
        <v>3027086.496</v>
      </c>
      <c r="AO23" s="429">
        <f t="shared" si="23"/>
        <v>3086865.311</v>
      </c>
      <c r="AP23" s="429">
        <f t="shared" si="23"/>
        <v>3147824.635</v>
      </c>
      <c r="AQ23" s="429">
        <f t="shared" si="23"/>
        <v>3209987.783</v>
      </c>
      <c r="AR23" s="429">
        <f t="shared" si="23"/>
        <v>3273378.526</v>
      </c>
      <c r="AS23" s="429">
        <f t="shared" si="23"/>
        <v>3338021.108</v>
      </c>
      <c r="AT23" s="429">
        <f t="shared" si="23"/>
        <v>3403940.25</v>
      </c>
      <c r="AU23" s="429">
        <f t="shared" si="23"/>
        <v>3471161.161</v>
      </c>
      <c r="AV23" s="429">
        <f t="shared" si="23"/>
        <v>3539709.549</v>
      </c>
      <c r="AW23" s="429">
        <f t="shared" si="23"/>
        <v>3609611.628</v>
      </c>
      <c r="AX23" s="429">
        <f t="shared" si="23"/>
        <v>3680894.131</v>
      </c>
      <c r="AY23" s="429">
        <f t="shared" si="23"/>
        <v>3753584.319</v>
      </c>
      <c r="AZ23" s="429">
        <f t="shared" si="23"/>
        <v>3827709.991</v>
      </c>
    </row>
    <row r="24" ht="15.75" customHeight="1">
      <c r="A24" s="421" t="s">
        <v>481</v>
      </c>
      <c r="B24" s="430">
        <v>282.0</v>
      </c>
      <c r="C24" s="430">
        <v>285.0</v>
      </c>
      <c r="D24" s="430">
        <v>288.0</v>
      </c>
      <c r="E24" s="430">
        <v>290.0</v>
      </c>
      <c r="F24" s="430">
        <v>293.0</v>
      </c>
      <c r="G24" s="430">
        <v>296.0</v>
      </c>
      <c r="H24" s="430">
        <v>298.0</v>
      </c>
      <c r="I24" s="430">
        <v>301.0</v>
      </c>
      <c r="J24" s="430">
        <v>304.0</v>
      </c>
      <c r="K24" s="430">
        <v>307.0</v>
      </c>
      <c r="L24" s="430">
        <v>309.0</v>
      </c>
      <c r="M24" s="430">
        <v>312.0</v>
      </c>
      <c r="N24" s="430">
        <v>314.0</v>
      </c>
      <c r="O24" s="430">
        <v>316.0</v>
      </c>
      <c r="P24" s="430">
        <v>318.0</v>
      </c>
      <c r="Q24" s="430">
        <v>321.0</v>
      </c>
      <c r="R24" s="430">
        <v>323.0</v>
      </c>
      <c r="S24" s="430">
        <v>325.0</v>
      </c>
      <c r="T24" s="430">
        <v>327.0</v>
      </c>
      <c r="U24" s="253">
        <f t="shared" ref="U24:U26" si="27">(V24+T24)/2</f>
        <v>329.763774</v>
      </c>
      <c r="V24" s="431">
        <f>332527548/1000000</f>
        <v>332.527548</v>
      </c>
      <c r="W24" s="253">
        <f t="shared" ref="W24:AE24" si="24">($AF24-$V24)*0.1+V24</f>
        <v>335.0723651</v>
      </c>
      <c r="X24" s="253">
        <f t="shared" si="24"/>
        <v>337.6171822</v>
      </c>
      <c r="Y24" s="253">
        <f t="shared" si="24"/>
        <v>340.1619992</v>
      </c>
      <c r="Z24" s="253">
        <f t="shared" si="24"/>
        <v>342.7068163</v>
      </c>
      <c r="AA24" s="253">
        <f t="shared" si="24"/>
        <v>345.2516334</v>
      </c>
      <c r="AB24" s="253">
        <f t="shared" si="24"/>
        <v>347.7964505</v>
      </c>
      <c r="AC24" s="253">
        <f t="shared" si="24"/>
        <v>350.3412676</v>
      </c>
      <c r="AD24" s="253">
        <f t="shared" si="24"/>
        <v>352.8860846</v>
      </c>
      <c r="AE24" s="253">
        <f t="shared" si="24"/>
        <v>355.4309017</v>
      </c>
      <c r="AF24" s="431">
        <f>357975718.8/1000000</f>
        <v>357.9757188</v>
      </c>
      <c r="AG24" s="253">
        <f t="shared" ref="AG24:AO24" si="25">($AP24-$AF24)*0.1+AF24</f>
        <v>360.1174248</v>
      </c>
      <c r="AH24" s="253">
        <f t="shared" si="25"/>
        <v>362.2591307</v>
      </c>
      <c r="AI24" s="253">
        <f t="shared" si="25"/>
        <v>364.4008367</v>
      </c>
      <c r="AJ24" s="253">
        <f t="shared" si="25"/>
        <v>366.5425427</v>
      </c>
      <c r="AK24" s="253">
        <f t="shared" si="25"/>
        <v>368.6842487</v>
      </c>
      <c r="AL24" s="253">
        <f t="shared" si="25"/>
        <v>370.8259546</v>
      </c>
      <c r="AM24" s="253">
        <f t="shared" si="25"/>
        <v>372.9676606</v>
      </c>
      <c r="AN24" s="253">
        <f t="shared" si="25"/>
        <v>375.1093666</v>
      </c>
      <c r="AO24" s="253">
        <f t="shared" si="25"/>
        <v>377.2510725</v>
      </c>
      <c r="AP24" s="431">
        <f>379392778.5/1000000</f>
        <v>379.3927785</v>
      </c>
      <c r="AQ24" s="253">
        <f t="shared" ref="AQ24:AY24" si="26">($AZ24-$AP24)*0.1+AP24</f>
        <v>381.7793071</v>
      </c>
      <c r="AR24" s="253">
        <f t="shared" si="26"/>
        <v>384.1658357</v>
      </c>
      <c r="AS24" s="253">
        <f t="shared" si="26"/>
        <v>386.5523643</v>
      </c>
      <c r="AT24" s="253">
        <f t="shared" si="26"/>
        <v>388.9388929</v>
      </c>
      <c r="AU24" s="253">
        <f t="shared" si="26"/>
        <v>391.3254215</v>
      </c>
      <c r="AV24" s="253">
        <f t="shared" si="26"/>
        <v>393.71195</v>
      </c>
      <c r="AW24" s="253">
        <f t="shared" si="26"/>
        <v>396.0984786</v>
      </c>
      <c r="AX24" s="253">
        <f t="shared" si="26"/>
        <v>398.4850072</v>
      </c>
      <c r="AY24" s="253">
        <f t="shared" si="26"/>
        <v>400.8715358</v>
      </c>
      <c r="AZ24" s="431">
        <f>403258064.4
/1000000</f>
        <v>403.2580644</v>
      </c>
    </row>
    <row r="25" ht="15.75" customHeight="1">
      <c r="A25" s="421" t="s">
        <v>482</v>
      </c>
      <c r="B25" s="432">
        <v>0.627499</v>
      </c>
      <c r="C25" s="432">
        <v>0.633316</v>
      </c>
      <c r="D25" s="432">
        <v>0.642691</v>
      </c>
      <c r="E25" s="432">
        <v>0.650884</v>
      </c>
      <c r="F25" s="432">
        <v>0.661569</v>
      </c>
      <c r="G25" s="432">
        <v>0.669488</v>
      </c>
      <c r="H25" s="432">
        <v>0.677325</v>
      </c>
      <c r="I25" s="432">
        <v>0.682297</v>
      </c>
      <c r="J25" s="432">
        <v>0.688125</v>
      </c>
      <c r="K25" s="432">
        <v>0.698473</v>
      </c>
      <c r="L25" s="432">
        <v>0.713906</v>
      </c>
      <c r="M25" s="432">
        <v>0.722038</v>
      </c>
      <c r="N25" s="432">
        <v>0.730399</v>
      </c>
      <c r="O25" s="432">
        <v>0.737045</v>
      </c>
      <c r="P25" s="432">
        <v>0.736307</v>
      </c>
      <c r="Q25" s="432">
        <v>0.737547</v>
      </c>
      <c r="R25" s="432">
        <v>0.741504</v>
      </c>
      <c r="S25" s="432">
        <v>0.739786</v>
      </c>
      <c r="T25" s="432">
        <v>0.737438</v>
      </c>
      <c r="U25" s="253">
        <f t="shared" si="27"/>
        <v>0.7443830642</v>
      </c>
      <c r="V25" s="431">
        <f>751328.1284/1000000</f>
        <v>0.7513281284</v>
      </c>
      <c r="W25" s="253">
        <f t="shared" ref="W25:AE25" si="28">($AF25-$V25)*0.1+V25</f>
        <v>0.7554140911</v>
      </c>
      <c r="X25" s="253">
        <f t="shared" si="28"/>
        <v>0.7595000539</v>
      </c>
      <c r="Y25" s="253">
        <f t="shared" si="28"/>
        <v>0.7635860166</v>
      </c>
      <c r="Z25" s="253">
        <f t="shared" si="28"/>
        <v>0.7676719794</v>
      </c>
      <c r="AA25" s="253">
        <f t="shared" si="28"/>
        <v>0.7717579421</v>
      </c>
      <c r="AB25" s="253">
        <f t="shared" si="28"/>
        <v>0.7758439048</v>
      </c>
      <c r="AC25" s="253">
        <f t="shared" si="28"/>
        <v>0.7799298676</v>
      </c>
      <c r="AD25" s="253">
        <f t="shared" si="28"/>
        <v>0.7840158303</v>
      </c>
      <c r="AE25" s="253">
        <f t="shared" si="28"/>
        <v>0.7881017931</v>
      </c>
      <c r="AF25" s="431">
        <f>792187.7558/1000000</f>
        <v>0.7921877558</v>
      </c>
      <c r="AG25" s="253">
        <f t="shared" ref="AG25:AO25" si="29">($AP25-$AF25)*0.1+AF25</f>
        <v>0.7949643857</v>
      </c>
      <c r="AH25" s="253">
        <f t="shared" si="29"/>
        <v>0.7977410157</v>
      </c>
      <c r="AI25" s="253">
        <f t="shared" si="29"/>
        <v>0.8005176456</v>
      </c>
      <c r="AJ25" s="253">
        <f t="shared" si="29"/>
        <v>0.8032942755</v>
      </c>
      <c r="AK25" s="253">
        <f t="shared" si="29"/>
        <v>0.8060709055</v>
      </c>
      <c r="AL25" s="253">
        <f t="shared" si="29"/>
        <v>0.8088475354</v>
      </c>
      <c r="AM25" s="253">
        <f t="shared" si="29"/>
        <v>0.8116241653</v>
      </c>
      <c r="AN25" s="253">
        <f t="shared" si="29"/>
        <v>0.8144007952</v>
      </c>
      <c r="AO25" s="253">
        <f t="shared" si="29"/>
        <v>0.8171774252</v>
      </c>
      <c r="AP25" s="431">
        <f>819954.0551/1000000</f>
        <v>0.8199540551</v>
      </c>
      <c r="AQ25" s="253">
        <f t="shared" ref="AQ25:AY25" si="30">($AZ25-$AP25)*0.1+AP25</f>
        <v>0.8228280063</v>
      </c>
      <c r="AR25" s="253">
        <f t="shared" si="30"/>
        <v>0.8257019576</v>
      </c>
      <c r="AS25" s="253">
        <f t="shared" si="30"/>
        <v>0.8285759088</v>
      </c>
      <c r="AT25" s="253">
        <f t="shared" si="30"/>
        <v>0.83144986</v>
      </c>
      <c r="AU25" s="253">
        <f t="shared" si="30"/>
        <v>0.8343238113</v>
      </c>
      <c r="AV25" s="253">
        <f t="shared" si="30"/>
        <v>0.8371977625</v>
      </c>
      <c r="AW25" s="253">
        <f t="shared" si="30"/>
        <v>0.8400717137</v>
      </c>
      <c r="AX25" s="253">
        <f t="shared" si="30"/>
        <v>0.8429456649</v>
      </c>
      <c r="AY25" s="253">
        <f t="shared" si="30"/>
        <v>0.8458196162</v>
      </c>
      <c r="AZ25" s="431">
        <f>848693.5674/1000000</f>
        <v>0.8486935674</v>
      </c>
    </row>
    <row r="26" ht="15.75" customHeight="1">
      <c r="A26" s="421" t="s">
        <v>483</v>
      </c>
      <c r="B26" s="432">
        <v>1.211566</v>
      </c>
      <c r="C26" s="432">
        <v>1.218305</v>
      </c>
      <c r="D26" s="432">
        <v>1.228069</v>
      </c>
      <c r="E26" s="432">
        <v>1.239298</v>
      </c>
      <c r="F26" s="432">
        <v>1.252782</v>
      </c>
      <c r="G26" s="432">
        <v>1.266117</v>
      </c>
      <c r="H26" s="432">
        <v>1.275599</v>
      </c>
      <c r="I26" s="432">
        <v>1.276832</v>
      </c>
      <c r="J26" s="432">
        <v>1.287481</v>
      </c>
      <c r="K26" s="432">
        <v>1.295178</v>
      </c>
      <c r="L26" s="432">
        <v>1.363963</v>
      </c>
      <c r="M26" s="432">
        <v>1.379252</v>
      </c>
      <c r="N26" s="432">
        <v>1.394905</v>
      </c>
      <c r="O26" s="432">
        <v>1.408453</v>
      </c>
      <c r="P26" s="432">
        <v>1.414862</v>
      </c>
      <c r="Q26" s="432">
        <v>1.422484</v>
      </c>
      <c r="R26" s="432">
        <v>1.428105</v>
      </c>
      <c r="S26" s="432">
        <v>1.424203</v>
      </c>
      <c r="T26" s="432">
        <v>1.420491</v>
      </c>
      <c r="U26" s="253">
        <f t="shared" si="27"/>
        <v>1.437196675</v>
      </c>
      <c r="V26" s="431">
        <f>1453902.35/1000000</f>
        <v>1.45390235</v>
      </c>
      <c r="W26" s="253">
        <f t="shared" ref="W26:AE26" si="31">($AF26-$V26)*0.1+V26</f>
        <v>1.463395172</v>
      </c>
      <c r="X26" s="253">
        <f t="shared" si="31"/>
        <v>1.472887995</v>
      </c>
      <c r="Y26" s="253">
        <f t="shared" si="31"/>
        <v>1.482380817</v>
      </c>
      <c r="Z26" s="253">
        <f t="shared" si="31"/>
        <v>1.49187364</v>
      </c>
      <c r="AA26" s="253">
        <f t="shared" si="31"/>
        <v>1.501366462</v>
      </c>
      <c r="AB26" s="253">
        <f t="shared" si="31"/>
        <v>1.510859284</v>
      </c>
      <c r="AC26" s="253">
        <f t="shared" si="31"/>
        <v>1.520352107</v>
      </c>
      <c r="AD26" s="253">
        <f t="shared" si="31"/>
        <v>1.529844929</v>
      </c>
      <c r="AE26" s="253">
        <f t="shared" si="31"/>
        <v>1.539337752</v>
      </c>
      <c r="AF26" s="431">
        <f>1548830.574/1000000</f>
        <v>1.548830574</v>
      </c>
      <c r="AG26" s="253">
        <f t="shared" ref="AG26:AO26" si="32">($AP26-$AF26)*0.1+AF26</f>
        <v>1.55591786</v>
      </c>
      <c r="AH26" s="253">
        <f t="shared" si="32"/>
        <v>1.563005146</v>
      </c>
      <c r="AI26" s="253">
        <f t="shared" si="32"/>
        <v>1.570092431</v>
      </c>
      <c r="AJ26" s="253">
        <f t="shared" si="32"/>
        <v>1.577179717</v>
      </c>
      <c r="AK26" s="253">
        <f t="shared" si="32"/>
        <v>1.584267003</v>
      </c>
      <c r="AL26" s="253">
        <f t="shared" si="32"/>
        <v>1.591354289</v>
      </c>
      <c r="AM26" s="253">
        <f t="shared" si="32"/>
        <v>1.598441575</v>
      </c>
      <c r="AN26" s="253">
        <f t="shared" si="32"/>
        <v>1.60552886</v>
      </c>
      <c r="AO26" s="253">
        <f t="shared" si="32"/>
        <v>1.612616146</v>
      </c>
      <c r="AP26" s="431">
        <f>1619703.432/1000000</f>
        <v>1.619703432</v>
      </c>
      <c r="AQ26" s="253">
        <f t="shared" ref="AQ26:AY26" si="33">($AZ26-$AP26)*0.1+AP26</f>
        <v>1.627115025</v>
      </c>
      <c r="AR26" s="253">
        <f t="shared" si="33"/>
        <v>1.634526617</v>
      </c>
      <c r="AS26" s="253">
        <f t="shared" si="33"/>
        <v>1.64193821</v>
      </c>
      <c r="AT26" s="253">
        <f t="shared" si="33"/>
        <v>1.649349803</v>
      </c>
      <c r="AU26" s="253">
        <f t="shared" si="33"/>
        <v>1.656761396</v>
      </c>
      <c r="AV26" s="253">
        <f t="shared" si="33"/>
        <v>1.664172988</v>
      </c>
      <c r="AW26" s="253">
        <f t="shared" si="33"/>
        <v>1.671584581</v>
      </c>
      <c r="AX26" s="253">
        <f t="shared" si="33"/>
        <v>1.678996174</v>
      </c>
      <c r="AY26" s="253">
        <f t="shared" si="33"/>
        <v>1.686407766</v>
      </c>
      <c r="AZ26" s="431">
        <f>1693819.359/1000000</f>
        <v>1.693819359</v>
      </c>
    </row>
    <row r="27" ht="15.75" customHeight="1">
      <c r="A27" s="59" t="s">
        <v>484</v>
      </c>
      <c r="B27" s="253">
        <f t="shared" ref="B27:AZ27" si="34">B24-B25-B26</f>
        <v>280.160935</v>
      </c>
      <c r="C27" s="253">
        <f t="shared" si="34"/>
        <v>283.148379</v>
      </c>
      <c r="D27" s="253">
        <f t="shared" si="34"/>
        <v>286.12924</v>
      </c>
      <c r="E27" s="253">
        <f t="shared" si="34"/>
        <v>288.109818</v>
      </c>
      <c r="F27" s="253">
        <f t="shared" si="34"/>
        <v>291.085649</v>
      </c>
      <c r="G27" s="253">
        <f t="shared" si="34"/>
        <v>294.064395</v>
      </c>
      <c r="H27" s="253">
        <f t="shared" si="34"/>
        <v>296.047076</v>
      </c>
      <c r="I27" s="253">
        <f t="shared" si="34"/>
        <v>299.040871</v>
      </c>
      <c r="J27" s="253">
        <f t="shared" si="34"/>
        <v>302.024394</v>
      </c>
      <c r="K27" s="253">
        <f t="shared" si="34"/>
        <v>305.006349</v>
      </c>
      <c r="L27" s="253">
        <f t="shared" si="34"/>
        <v>306.922131</v>
      </c>
      <c r="M27" s="253">
        <f t="shared" si="34"/>
        <v>309.89871</v>
      </c>
      <c r="N27" s="253">
        <f t="shared" si="34"/>
        <v>311.874696</v>
      </c>
      <c r="O27" s="253">
        <f t="shared" si="34"/>
        <v>313.854502</v>
      </c>
      <c r="P27" s="253">
        <f t="shared" si="34"/>
        <v>315.848831</v>
      </c>
      <c r="Q27" s="253">
        <f t="shared" si="34"/>
        <v>318.839969</v>
      </c>
      <c r="R27" s="253">
        <f t="shared" si="34"/>
        <v>320.830391</v>
      </c>
      <c r="S27" s="253">
        <f t="shared" si="34"/>
        <v>322.836011</v>
      </c>
      <c r="T27" s="253">
        <f t="shared" si="34"/>
        <v>324.842071</v>
      </c>
      <c r="U27" s="253">
        <f t="shared" si="34"/>
        <v>327.5821943</v>
      </c>
      <c r="V27" s="431">
        <f t="shared" si="34"/>
        <v>330.3223175</v>
      </c>
      <c r="W27" s="253">
        <f t="shared" si="34"/>
        <v>332.8535558</v>
      </c>
      <c r="X27" s="253">
        <f t="shared" si="34"/>
        <v>335.3847941</v>
      </c>
      <c r="Y27" s="253">
        <f t="shared" si="34"/>
        <v>337.9160324</v>
      </c>
      <c r="Z27" s="253">
        <f t="shared" si="34"/>
        <v>340.4472707</v>
      </c>
      <c r="AA27" s="253">
        <f t="shared" si="34"/>
        <v>342.978509</v>
      </c>
      <c r="AB27" s="253">
        <f t="shared" si="34"/>
        <v>345.5097473</v>
      </c>
      <c r="AC27" s="253">
        <f t="shared" si="34"/>
        <v>348.0409856</v>
      </c>
      <c r="AD27" s="253">
        <f t="shared" si="34"/>
        <v>350.5722239</v>
      </c>
      <c r="AE27" s="253">
        <f t="shared" si="34"/>
        <v>353.1034622</v>
      </c>
      <c r="AF27" s="431">
        <f t="shared" si="34"/>
        <v>355.6347005</v>
      </c>
      <c r="AG27" s="253">
        <f t="shared" si="34"/>
        <v>357.7665425</v>
      </c>
      <c r="AH27" s="253">
        <f t="shared" si="34"/>
        <v>359.8983846</v>
      </c>
      <c r="AI27" s="253">
        <f t="shared" si="34"/>
        <v>362.0302266</v>
      </c>
      <c r="AJ27" s="253">
        <f t="shared" si="34"/>
        <v>364.1620687</v>
      </c>
      <c r="AK27" s="253">
        <f t="shared" si="34"/>
        <v>366.2939107</v>
      </c>
      <c r="AL27" s="253">
        <f t="shared" si="34"/>
        <v>368.4257528</v>
      </c>
      <c r="AM27" s="253">
        <f t="shared" si="34"/>
        <v>370.5575949</v>
      </c>
      <c r="AN27" s="253">
        <f t="shared" si="34"/>
        <v>372.6894369</v>
      </c>
      <c r="AO27" s="253">
        <f t="shared" si="34"/>
        <v>374.821279</v>
      </c>
      <c r="AP27" s="431">
        <f t="shared" si="34"/>
        <v>376.953121</v>
      </c>
      <c r="AQ27" s="253">
        <f t="shared" si="34"/>
        <v>379.3293641</v>
      </c>
      <c r="AR27" s="253">
        <f t="shared" si="34"/>
        <v>381.7056071</v>
      </c>
      <c r="AS27" s="253">
        <f t="shared" si="34"/>
        <v>384.0818502</v>
      </c>
      <c r="AT27" s="253">
        <f t="shared" si="34"/>
        <v>386.4580932</v>
      </c>
      <c r="AU27" s="253">
        <f t="shared" si="34"/>
        <v>388.8343362</v>
      </c>
      <c r="AV27" s="253">
        <f t="shared" si="34"/>
        <v>391.2105793</v>
      </c>
      <c r="AW27" s="253">
        <f t="shared" si="34"/>
        <v>393.5868223</v>
      </c>
      <c r="AX27" s="253">
        <f t="shared" si="34"/>
        <v>395.9630654</v>
      </c>
      <c r="AY27" s="253">
        <f t="shared" si="34"/>
        <v>398.3393084</v>
      </c>
      <c r="AZ27" s="431">
        <f t="shared" si="34"/>
        <v>400.7155515</v>
      </c>
    </row>
    <row r="28" ht="15.75" customHeight="1">
      <c r="A28" s="59" t="s">
        <v>485</v>
      </c>
      <c r="B28" s="433">
        <v>33.337385</v>
      </c>
      <c r="C28" s="433">
        <v>33.723572</v>
      </c>
      <c r="D28" s="433">
        <v>34.07694</v>
      </c>
      <c r="E28" s="433">
        <v>34.415206</v>
      </c>
      <c r="F28" s="433">
        <v>34.863873</v>
      </c>
      <c r="G28" s="433">
        <v>35.368284</v>
      </c>
      <c r="H28" s="433">
        <v>36.053655</v>
      </c>
      <c r="I28" s="433">
        <v>36.689052</v>
      </c>
      <c r="J28" s="433">
        <v>37.256711</v>
      </c>
      <c r="K28" s="433">
        <v>37.683015</v>
      </c>
      <c r="L28" s="433">
        <v>38.022688</v>
      </c>
      <c r="M28" s="433">
        <v>38.304468</v>
      </c>
      <c r="N28" s="433">
        <v>38.618343</v>
      </c>
      <c r="O28" s="433">
        <v>38.893767</v>
      </c>
      <c r="P28" s="433">
        <v>39.200668</v>
      </c>
      <c r="Q28" s="433">
        <v>39.539104</v>
      </c>
      <c r="R28" s="433">
        <v>39.917731</v>
      </c>
      <c r="S28" s="433">
        <v>40.278651</v>
      </c>
      <c r="T28" s="433">
        <v>40.631633</v>
      </c>
      <c r="U28" s="253">
        <f>(V28+T28)/2</f>
        <v>40.93660654</v>
      </c>
      <c r="V28" s="433">
        <v>41.241580079</v>
      </c>
      <c r="W28" s="253">
        <f t="shared" ref="W28:AE28" si="35">($AF28-$V28)*0.1+V28</f>
        <v>41.59043442</v>
      </c>
      <c r="X28" s="253">
        <f t="shared" si="35"/>
        <v>41.93928876</v>
      </c>
      <c r="Y28" s="253">
        <f t="shared" si="35"/>
        <v>42.2881431</v>
      </c>
      <c r="Z28" s="253">
        <f t="shared" si="35"/>
        <v>42.63699744</v>
      </c>
      <c r="AA28" s="253">
        <f t="shared" si="35"/>
        <v>42.98585177</v>
      </c>
      <c r="AB28" s="253">
        <f t="shared" si="35"/>
        <v>43.33470611</v>
      </c>
      <c r="AC28" s="253">
        <f t="shared" si="35"/>
        <v>43.68356045</v>
      </c>
      <c r="AD28" s="253">
        <f t="shared" si="35"/>
        <v>44.03241479</v>
      </c>
      <c r="AE28" s="253">
        <f t="shared" si="35"/>
        <v>44.38126913</v>
      </c>
      <c r="AF28" s="433">
        <v>44.730123469</v>
      </c>
      <c r="AG28" s="253">
        <f t="shared" ref="AG28:AO28" si="36">($AP28-$AF28)*0.1+AF28</f>
        <v>45.02454295</v>
      </c>
      <c r="AH28" s="253">
        <f t="shared" si="36"/>
        <v>45.31896244</v>
      </c>
      <c r="AI28" s="253">
        <f t="shared" si="36"/>
        <v>45.61338192</v>
      </c>
      <c r="AJ28" s="253">
        <f t="shared" si="36"/>
        <v>45.9078014</v>
      </c>
      <c r="AK28" s="253">
        <f t="shared" si="36"/>
        <v>46.20222089</v>
      </c>
      <c r="AL28" s="253">
        <f t="shared" si="36"/>
        <v>46.49664037</v>
      </c>
      <c r="AM28" s="253">
        <f t="shared" si="36"/>
        <v>46.79105985</v>
      </c>
      <c r="AN28" s="253">
        <f t="shared" si="36"/>
        <v>47.08547933</v>
      </c>
      <c r="AO28" s="253">
        <f t="shared" si="36"/>
        <v>47.37989882</v>
      </c>
      <c r="AP28" s="433">
        <v>47.674318301</v>
      </c>
      <c r="AQ28" s="253">
        <f t="shared" ref="AQ28:AY28" si="37">($AZ28-$AP28)*0.1+AP28</f>
        <v>47.99322568</v>
      </c>
      <c r="AR28" s="253">
        <f t="shared" si="37"/>
        <v>48.31213306</v>
      </c>
      <c r="AS28" s="253">
        <f t="shared" si="37"/>
        <v>48.63104044</v>
      </c>
      <c r="AT28" s="253">
        <f t="shared" si="37"/>
        <v>48.94994782</v>
      </c>
      <c r="AU28" s="253">
        <f t="shared" si="37"/>
        <v>49.2688552</v>
      </c>
      <c r="AV28" s="253">
        <f t="shared" si="37"/>
        <v>49.58776258</v>
      </c>
      <c r="AW28" s="253">
        <f t="shared" si="37"/>
        <v>49.90666996</v>
      </c>
      <c r="AX28" s="253">
        <f t="shared" si="37"/>
        <v>50.22557734</v>
      </c>
      <c r="AY28" s="253">
        <f t="shared" si="37"/>
        <v>50.54448472</v>
      </c>
      <c r="AZ28" s="433">
        <v>50.8633921</v>
      </c>
    </row>
    <row r="29" ht="15.75" customHeight="1">
      <c r="B29" s="285"/>
      <c r="C29" s="285"/>
      <c r="D29" s="285"/>
      <c r="E29" s="285"/>
      <c r="F29" s="285"/>
      <c r="G29" s="285"/>
      <c r="H29" s="285"/>
      <c r="I29" s="285"/>
      <c r="J29" s="285"/>
      <c r="K29" s="434"/>
      <c r="L29" s="435"/>
      <c r="M29" s="434"/>
      <c r="N29" s="285"/>
      <c r="O29" s="285"/>
      <c r="P29" s="285"/>
      <c r="Q29" s="285"/>
      <c r="R29" s="285"/>
      <c r="S29" s="285"/>
      <c r="T29" s="285"/>
      <c r="U29" s="285"/>
    </row>
    <row r="30" ht="15.75" customHeight="1"/>
    <row r="31" ht="15.75" customHeight="1">
      <c r="K31" s="434"/>
      <c r="L31" s="435"/>
      <c r="M31" s="434"/>
    </row>
    <row r="32" ht="15.75" customHeight="1">
      <c r="K32" s="434"/>
      <c r="L32" s="435"/>
      <c r="M32" s="434"/>
    </row>
    <row r="33" ht="15.75" customHeight="1">
      <c r="K33" s="434"/>
      <c r="L33" s="435"/>
      <c r="M33" s="434"/>
    </row>
    <row r="34" ht="15.75" customHeight="1">
      <c r="K34" s="434"/>
      <c r="L34" s="435"/>
      <c r="M34" s="434"/>
    </row>
  </sheetData>
  <printOptions/>
  <pageMargins bottom="0.75" footer="0.0" header="0.0" left="0.7" right="0.7" top="0.75"/>
  <pageSetup orientation="landscape"/>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71"/>
  </cols>
  <sheetData>
    <row r="1">
      <c r="B1" s="76">
        <v>2000.0</v>
      </c>
      <c r="C1" s="76">
        <v>2001.0</v>
      </c>
      <c r="D1" s="76">
        <v>2002.0</v>
      </c>
      <c r="E1" s="76">
        <v>2003.0</v>
      </c>
      <c r="F1" s="76">
        <v>2004.0</v>
      </c>
      <c r="G1" s="76">
        <v>2005.0</v>
      </c>
      <c r="H1" s="76">
        <v>2006.0</v>
      </c>
      <c r="I1" s="76">
        <v>2007.0</v>
      </c>
      <c r="J1" s="76">
        <v>2008.0</v>
      </c>
      <c r="K1" s="76">
        <v>2009.0</v>
      </c>
      <c r="L1" s="76">
        <v>2010.0</v>
      </c>
      <c r="M1" s="76">
        <v>2011.0</v>
      </c>
      <c r="N1" s="76">
        <v>2012.0</v>
      </c>
      <c r="O1" s="76">
        <v>2013.0</v>
      </c>
      <c r="P1" s="76">
        <v>2014.0</v>
      </c>
      <c r="Q1" s="76">
        <v>2015.0</v>
      </c>
      <c r="R1" s="76">
        <v>2016.0</v>
      </c>
      <c r="S1" s="76">
        <v>2017.0</v>
      </c>
      <c r="T1" s="76">
        <v>2018.0</v>
      </c>
      <c r="U1" s="76">
        <v>2019.0</v>
      </c>
      <c r="V1" s="76">
        <v>2020.0</v>
      </c>
      <c r="W1" s="76">
        <v>2021.0</v>
      </c>
      <c r="X1" s="76">
        <v>2022.0</v>
      </c>
      <c r="Y1" s="76">
        <v>2023.0</v>
      </c>
      <c r="Z1" s="76">
        <v>2024.0</v>
      </c>
      <c r="AA1" s="76">
        <v>2025.0</v>
      </c>
      <c r="AB1" s="76">
        <v>2026.0</v>
      </c>
      <c r="AC1" s="76">
        <v>2027.0</v>
      </c>
      <c r="AD1" s="76">
        <v>2028.0</v>
      </c>
      <c r="AE1" s="76">
        <v>2029.0</v>
      </c>
      <c r="AF1" s="76">
        <v>2030.0</v>
      </c>
      <c r="AG1" s="76">
        <v>2031.0</v>
      </c>
      <c r="AH1" s="76">
        <v>2032.0</v>
      </c>
      <c r="AI1" s="76">
        <v>2033.0</v>
      </c>
      <c r="AJ1" s="76">
        <v>2034.0</v>
      </c>
      <c r="AK1" s="76">
        <v>2035.0</v>
      </c>
      <c r="AL1" s="76">
        <v>2036.0</v>
      </c>
      <c r="AM1" s="76">
        <v>2037.0</v>
      </c>
      <c r="AN1" s="76">
        <v>2038.0</v>
      </c>
      <c r="AO1" s="76">
        <v>2039.0</v>
      </c>
      <c r="AP1" s="76">
        <v>2040.0</v>
      </c>
      <c r="AQ1" s="76">
        <v>2041.0</v>
      </c>
      <c r="AR1" s="76">
        <v>2042.0</v>
      </c>
      <c r="AS1" s="76">
        <v>2043.0</v>
      </c>
      <c r="AT1" s="76">
        <v>2044.0</v>
      </c>
      <c r="AU1" s="76">
        <v>2045.0</v>
      </c>
      <c r="AV1" s="76">
        <v>2046.0</v>
      </c>
      <c r="AW1" s="76">
        <v>2047.0</v>
      </c>
      <c r="AX1" s="76">
        <v>2048.0</v>
      </c>
      <c r="AY1" s="76">
        <v>2049.0</v>
      </c>
      <c r="AZ1" s="76">
        <v>2050.0</v>
      </c>
    </row>
    <row r="2">
      <c r="A2" s="24"/>
      <c r="B2" s="436"/>
      <c r="C2" s="436"/>
      <c r="D2" s="436"/>
      <c r="E2" s="436"/>
      <c r="F2" s="436"/>
      <c r="G2" s="436"/>
      <c r="H2" s="436"/>
      <c r="I2" s="436"/>
      <c r="J2" s="436"/>
      <c r="K2" s="436"/>
      <c r="L2" s="436"/>
      <c r="M2" s="436"/>
      <c r="N2" s="436"/>
      <c r="O2" s="436"/>
      <c r="P2" s="436"/>
      <c r="Q2" s="436"/>
      <c r="R2" s="436"/>
      <c r="S2" s="436"/>
      <c r="T2" s="436"/>
      <c r="U2" s="437"/>
      <c r="V2" s="438"/>
      <c r="W2" s="438"/>
      <c r="X2" s="438"/>
      <c r="Y2" s="438"/>
      <c r="Z2" s="438"/>
      <c r="AA2" s="438"/>
      <c r="AB2" s="438"/>
      <c r="AC2" s="438"/>
      <c r="AD2" s="438"/>
      <c r="AE2" s="438"/>
      <c r="AF2" s="438"/>
      <c r="AG2" s="438"/>
      <c r="AH2" s="438"/>
      <c r="AI2" s="438"/>
      <c r="AJ2" s="438"/>
      <c r="AK2" s="438"/>
      <c r="AL2" s="438"/>
      <c r="AM2" s="438"/>
      <c r="AN2" s="438"/>
      <c r="AO2" s="438"/>
      <c r="AP2" s="438"/>
      <c r="AQ2" s="438"/>
      <c r="AR2" s="438"/>
      <c r="AS2" s="438"/>
      <c r="AT2" s="438"/>
      <c r="AU2" s="438"/>
      <c r="AV2" s="438"/>
      <c r="AW2" s="438"/>
      <c r="AX2" s="438"/>
      <c r="AY2" s="438"/>
      <c r="AZ2" s="438"/>
    </row>
    <row r="3">
      <c r="A3" s="439" t="s">
        <v>486</v>
      </c>
      <c r="B3" s="440">
        <v>0.231696</v>
      </c>
      <c r="C3" s="440">
        <v>0.218422</v>
      </c>
      <c r="D3" s="440">
        <v>0.21643</v>
      </c>
      <c r="E3" s="440">
        <v>0.229388</v>
      </c>
      <c r="F3" s="440">
        <v>0.232546</v>
      </c>
      <c r="G3" s="440">
        <v>0.230538</v>
      </c>
      <c r="H3" s="440">
        <v>0.217445</v>
      </c>
      <c r="I3" s="440">
        <v>0.217065</v>
      </c>
      <c r="J3" s="440">
        <v>0.228384</v>
      </c>
      <c r="K3" s="440">
        <v>0.227961</v>
      </c>
      <c r="L3" s="440">
        <v>0.249915</v>
      </c>
      <c r="M3" s="440">
        <v>0.22988</v>
      </c>
      <c r="N3" s="440">
        <v>0.20981</v>
      </c>
      <c r="O3" s="440">
        <v>0.238786</v>
      </c>
      <c r="P3" s="440">
        <v>0.257453</v>
      </c>
      <c r="Q3" s="440">
        <v>0.237555</v>
      </c>
      <c r="R3" s="440">
        <v>0.229593</v>
      </c>
      <c r="S3" s="440">
        <v>0.222564</v>
      </c>
      <c r="T3" s="168">
        <f t="shared" ref="T3:AY3" si="1">$S$3+(T$1-$S$1)/($AZ$1-$S$1)*($AZ$3-$S$3)</f>
        <v>0.2244924433</v>
      </c>
      <c r="U3" s="168">
        <f t="shared" si="1"/>
        <v>0.2264208866</v>
      </c>
      <c r="V3" s="168">
        <f t="shared" si="1"/>
        <v>0.2283493299</v>
      </c>
      <c r="W3" s="168">
        <f t="shared" si="1"/>
        <v>0.2302777731</v>
      </c>
      <c r="X3" s="168">
        <f t="shared" si="1"/>
        <v>0.2322062164</v>
      </c>
      <c r="Y3" s="168">
        <f t="shared" si="1"/>
        <v>0.2341346597</v>
      </c>
      <c r="Z3" s="168">
        <f t="shared" si="1"/>
        <v>0.236063103</v>
      </c>
      <c r="AA3" s="168">
        <f t="shared" si="1"/>
        <v>0.2379915463</v>
      </c>
      <c r="AB3" s="168">
        <f t="shared" si="1"/>
        <v>0.2399199896</v>
      </c>
      <c r="AC3" s="168">
        <f t="shared" si="1"/>
        <v>0.2418484328</v>
      </c>
      <c r="AD3" s="168">
        <f t="shared" si="1"/>
        <v>0.2437768761</v>
      </c>
      <c r="AE3" s="168">
        <f t="shared" si="1"/>
        <v>0.2457053194</v>
      </c>
      <c r="AF3" s="168">
        <f t="shared" si="1"/>
        <v>0.2476337627</v>
      </c>
      <c r="AG3" s="168">
        <f t="shared" si="1"/>
        <v>0.249562206</v>
      </c>
      <c r="AH3" s="168">
        <f t="shared" si="1"/>
        <v>0.2514906493</v>
      </c>
      <c r="AI3" s="168">
        <f t="shared" si="1"/>
        <v>0.2534190925</v>
      </c>
      <c r="AJ3" s="168">
        <f t="shared" si="1"/>
        <v>0.2553475358</v>
      </c>
      <c r="AK3" s="168">
        <f t="shared" si="1"/>
        <v>0.2572759791</v>
      </c>
      <c r="AL3" s="168">
        <f t="shared" si="1"/>
        <v>0.2592044224</v>
      </c>
      <c r="AM3" s="168">
        <f t="shared" si="1"/>
        <v>0.2611328657</v>
      </c>
      <c r="AN3" s="168">
        <f t="shared" si="1"/>
        <v>0.263061309</v>
      </c>
      <c r="AO3" s="168">
        <f t="shared" si="1"/>
        <v>0.2649897522</v>
      </c>
      <c r="AP3" s="168">
        <f t="shared" si="1"/>
        <v>0.2669181955</v>
      </c>
      <c r="AQ3" s="168">
        <f t="shared" si="1"/>
        <v>0.2688466388</v>
      </c>
      <c r="AR3" s="168">
        <f t="shared" si="1"/>
        <v>0.2707750821</v>
      </c>
      <c r="AS3" s="168">
        <f t="shared" si="1"/>
        <v>0.2727035254</v>
      </c>
      <c r="AT3" s="168">
        <f t="shared" si="1"/>
        <v>0.2746319687</v>
      </c>
      <c r="AU3" s="168">
        <f t="shared" si="1"/>
        <v>0.2765604119</v>
      </c>
      <c r="AV3" s="168">
        <f t="shared" si="1"/>
        <v>0.2784888552</v>
      </c>
      <c r="AW3" s="168">
        <f t="shared" si="1"/>
        <v>0.2804172985</v>
      </c>
      <c r="AX3" s="168">
        <f t="shared" si="1"/>
        <v>0.2823457418</v>
      </c>
      <c r="AY3" s="168">
        <f t="shared" si="1"/>
        <v>0.2842741851</v>
      </c>
      <c r="AZ3" s="205">
        <v>0.286202628366789</v>
      </c>
    </row>
    <row r="4">
      <c r="A4" s="439" t="s">
        <v>487</v>
      </c>
      <c r="B4" s="441"/>
      <c r="C4" s="441"/>
      <c r="D4" s="441"/>
      <c r="E4" s="441"/>
      <c r="F4" s="441"/>
      <c r="G4" s="441"/>
      <c r="H4" s="441"/>
      <c r="I4" s="441"/>
      <c r="J4" s="441"/>
      <c r="K4" s="441"/>
      <c r="L4" s="441"/>
      <c r="M4" s="441"/>
      <c r="N4" s="441"/>
      <c r="O4" s="441"/>
      <c r="P4" s="441"/>
      <c r="Q4" s="441"/>
      <c r="R4" s="442">
        <v>0.131235450811117</v>
      </c>
      <c r="S4" s="168">
        <f t="shared" ref="S4:AY4" si="2">$R$4+(S$1-$R$1)/($AZ$1-$R$1)*($AZ$4-$R$4)</f>
        <v>0.1322183464</v>
      </c>
      <c r="T4" s="168">
        <f t="shared" si="2"/>
        <v>0.1332012419</v>
      </c>
      <c r="U4" s="168">
        <f t="shared" si="2"/>
        <v>0.1341841375</v>
      </c>
      <c r="V4" s="168">
        <f t="shared" si="2"/>
        <v>0.1351670331</v>
      </c>
      <c r="W4" s="168">
        <f t="shared" si="2"/>
        <v>0.1361499286</v>
      </c>
      <c r="X4" s="168">
        <f t="shared" si="2"/>
        <v>0.1371328242</v>
      </c>
      <c r="Y4" s="168">
        <f t="shared" si="2"/>
        <v>0.1381157197</v>
      </c>
      <c r="Z4" s="168">
        <f t="shared" si="2"/>
        <v>0.1390986153</v>
      </c>
      <c r="AA4" s="168">
        <f t="shared" si="2"/>
        <v>0.1400815109</v>
      </c>
      <c r="AB4" s="168">
        <f t="shared" si="2"/>
        <v>0.1410644064</v>
      </c>
      <c r="AC4" s="168">
        <f t="shared" si="2"/>
        <v>0.142047302</v>
      </c>
      <c r="AD4" s="168">
        <f t="shared" si="2"/>
        <v>0.1430301975</v>
      </c>
      <c r="AE4" s="168">
        <f t="shared" si="2"/>
        <v>0.1440130931</v>
      </c>
      <c r="AF4" s="168">
        <f t="shared" si="2"/>
        <v>0.1449959887</v>
      </c>
      <c r="AG4" s="168">
        <f t="shared" si="2"/>
        <v>0.1459788842</v>
      </c>
      <c r="AH4" s="168">
        <f t="shared" si="2"/>
        <v>0.1469617798</v>
      </c>
      <c r="AI4" s="168">
        <f t="shared" si="2"/>
        <v>0.1479446753</v>
      </c>
      <c r="AJ4" s="168">
        <f t="shared" si="2"/>
        <v>0.1489275709</v>
      </c>
      <c r="AK4" s="168">
        <f t="shared" si="2"/>
        <v>0.1499104665</v>
      </c>
      <c r="AL4" s="168">
        <f t="shared" si="2"/>
        <v>0.150893362</v>
      </c>
      <c r="AM4" s="168">
        <f t="shared" si="2"/>
        <v>0.1518762576</v>
      </c>
      <c r="AN4" s="168">
        <f t="shared" si="2"/>
        <v>0.1528591532</v>
      </c>
      <c r="AO4" s="168">
        <f t="shared" si="2"/>
        <v>0.1538420487</v>
      </c>
      <c r="AP4" s="168">
        <f t="shared" si="2"/>
        <v>0.1548249443</v>
      </c>
      <c r="AQ4" s="168">
        <f t="shared" si="2"/>
        <v>0.1558078398</v>
      </c>
      <c r="AR4" s="168">
        <f t="shared" si="2"/>
        <v>0.1567907354</v>
      </c>
      <c r="AS4" s="168">
        <f t="shared" si="2"/>
        <v>0.157773631</v>
      </c>
      <c r="AT4" s="168">
        <f t="shared" si="2"/>
        <v>0.1587565265</v>
      </c>
      <c r="AU4" s="168">
        <f t="shared" si="2"/>
        <v>0.1597394221</v>
      </c>
      <c r="AV4" s="168">
        <f t="shared" si="2"/>
        <v>0.1607223176</v>
      </c>
      <c r="AW4" s="168">
        <f t="shared" si="2"/>
        <v>0.1617052132</v>
      </c>
      <c r="AX4" s="168">
        <f t="shared" si="2"/>
        <v>0.1626881088</v>
      </c>
      <c r="AY4" s="168">
        <f t="shared" si="2"/>
        <v>0.1636710043</v>
      </c>
      <c r="AZ4" s="443">
        <f>Inputs!H18</f>
        <v>0.1646538999</v>
      </c>
    </row>
    <row r="5">
      <c r="A5" s="439" t="s">
        <v>488</v>
      </c>
      <c r="B5" s="441"/>
      <c r="C5" s="441"/>
      <c r="D5" s="441"/>
      <c r="E5" s="441"/>
      <c r="F5" s="441"/>
      <c r="G5" s="441"/>
      <c r="H5" s="441"/>
      <c r="I5" s="441"/>
      <c r="J5" s="441"/>
      <c r="K5" s="441"/>
      <c r="L5" s="441"/>
      <c r="M5" s="441"/>
      <c r="N5" s="441"/>
      <c r="O5" s="441"/>
      <c r="P5" s="441"/>
      <c r="Q5" s="441"/>
      <c r="R5" s="442">
        <v>0.194247549188884</v>
      </c>
      <c r="S5" s="168">
        <f t="shared" ref="S5:AY5" si="3">$R$5+(S$1-$R$1)/($AZ$1-$R$1)*($AZ$5-$R$5)</f>
        <v>0.193577696</v>
      </c>
      <c r="T5" s="168">
        <f t="shared" si="3"/>
        <v>0.1929078428</v>
      </c>
      <c r="U5" s="168">
        <f t="shared" si="3"/>
        <v>0.1922379895</v>
      </c>
      <c r="V5" s="168">
        <f t="shared" si="3"/>
        <v>0.1915681363</v>
      </c>
      <c r="W5" s="168">
        <f t="shared" si="3"/>
        <v>0.1908982831</v>
      </c>
      <c r="X5" s="168">
        <f t="shared" si="3"/>
        <v>0.1902284299</v>
      </c>
      <c r="Y5" s="168">
        <f t="shared" si="3"/>
        <v>0.1895585767</v>
      </c>
      <c r="Z5" s="168">
        <f t="shared" si="3"/>
        <v>0.1888887235</v>
      </c>
      <c r="AA5" s="168">
        <f t="shared" si="3"/>
        <v>0.1882188702</v>
      </c>
      <c r="AB5" s="168">
        <f t="shared" si="3"/>
        <v>0.187549017</v>
      </c>
      <c r="AC5" s="168">
        <f t="shared" si="3"/>
        <v>0.1868791638</v>
      </c>
      <c r="AD5" s="168">
        <f t="shared" si="3"/>
        <v>0.1862093106</v>
      </c>
      <c r="AE5" s="168">
        <f t="shared" si="3"/>
        <v>0.1855394574</v>
      </c>
      <c r="AF5" s="168">
        <f t="shared" si="3"/>
        <v>0.1848696042</v>
      </c>
      <c r="AG5" s="168">
        <f t="shared" si="3"/>
        <v>0.184199751</v>
      </c>
      <c r="AH5" s="168">
        <f t="shared" si="3"/>
        <v>0.1835298977</v>
      </c>
      <c r="AI5" s="168">
        <f t="shared" si="3"/>
        <v>0.1828600445</v>
      </c>
      <c r="AJ5" s="168">
        <f t="shared" si="3"/>
        <v>0.1821901913</v>
      </c>
      <c r="AK5" s="168">
        <f t="shared" si="3"/>
        <v>0.1815203381</v>
      </c>
      <c r="AL5" s="168">
        <f t="shared" si="3"/>
        <v>0.1808504849</v>
      </c>
      <c r="AM5" s="168">
        <f t="shared" si="3"/>
        <v>0.1801806317</v>
      </c>
      <c r="AN5" s="168">
        <f t="shared" si="3"/>
        <v>0.1795107784</v>
      </c>
      <c r="AO5" s="168">
        <f t="shared" si="3"/>
        <v>0.1788409252</v>
      </c>
      <c r="AP5" s="168">
        <f t="shared" si="3"/>
        <v>0.178171072</v>
      </c>
      <c r="AQ5" s="168">
        <f t="shared" si="3"/>
        <v>0.1775012188</v>
      </c>
      <c r="AR5" s="168">
        <f t="shared" si="3"/>
        <v>0.1768313656</v>
      </c>
      <c r="AS5" s="168">
        <f t="shared" si="3"/>
        <v>0.1761615124</v>
      </c>
      <c r="AT5" s="168">
        <f t="shared" si="3"/>
        <v>0.1754916591</v>
      </c>
      <c r="AU5" s="168">
        <f t="shared" si="3"/>
        <v>0.1748218059</v>
      </c>
      <c r="AV5" s="168">
        <f t="shared" si="3"/>
        <v>0.1741519527</v>
      </c>
      <c r="AW5" s="168">
        <f t="shared" si="3"/>
        <v>0.1734820995</v>
      </c>
      <c r="AX5" s="168">
        <f t="shared" si="3"/>
        <v>0.1728122463</v>
      </c>
      <c r="AY5" s="168">
        <f t="shared" si="3"/>
        <v>0.1721423931</v>
      </c>
      <c r="AZ5" s="443">
        <f>Inputs!H19</f>
        <v>0.1714725398</v>
      </c>
    </row>
    <row r="6">
      <c r="A6" s="439" t="s">
        <v>489</v>
      </c>
      <c r="B6" s="444">
        <v>0.387848</v>
      </c>
      <c r="C6" s="444">
        <v>0.361811</v>
      </c>
      <c r="D6" s="444">
        <v>0.366306</v>
      </c>
      <c r="E6" s="444">
        <v>0.379683</v>
      </c>
      <c r="F6" s="444">
        <v>0.362797</v>
      </c>
      <c r="G6" s="444">
        <v>0.361851</v>
      </c>
      <c r="H6" s="444">
        <v>0.322392</v>
      </c>
      <c r="I6" s="444">
        <v>0.323873</v>
      </c>
      <c r="J6" s="444">
        <v>0.350877</v>
      </c>
      <c r="K6" s="444">
        <v>0.345677</v>
      </c>
      <c r="L6" s="444">
        <v>0.397254</v>
      </c>
      <c r="M6" s="444">
        <v>0.33541</v>
      </c>
      <c r="N6" s="444">
        <v>0.282273</v>
      </c>
      <c r="O6" s="444">
        <v>0.357002</v>
      </c>
      <c r="P6" s="444">
        <v>0.395905</v>
      </c>
      <c r="Q6" s="444">
        <v>0.344067</v>
      </c>
      <c r="R6" s="445">
        <f t="shared" ref="R6:AZ6" si="4">sum(R4:R5)</f>
        <v>0.325483</v>
      </c>
      <c r="S6" s="445">
        <f t="shared" si="4"/>
        <v>0.3257960423</v>
      </c>
      <c r="T6" s="445">
        <f t="shared" si="4"/>
        <v>0.3261090847</v>
      </c>
      <c r="U6" s="445">
        <f t="shared" si="4"/>
        <v>0.326422127</v>
      </c>
      <c r="V6" s="445">
        <f t="shared" si="4"/>
        <v>0.3267351694</v>
      </c>
      <c r="W6" s="445">
        <f t="shared" si="4"/>
        <v>0.3270482117</v>
      </c>
      <c r="X6" s="445">
        <f t="shared" si="4"/>
        <v>0.3273612541</v>
      </c>
      <c r="Y6" s="445">
        <f t="shared" si="4"/>
        <v>0.3276742964</v>
      </c>
      <c r="Z6" s="445">
        <f t="shared" si="4"/>
        <v>0.3279873388</v>
      </c>
      <c r="AA6" s="445">
        <f t="shared" si="4"/>
        <v>0.3283003811</v>
      </c>
      <c r="AB6" s="445">
        <f t="shared" si="4"/>
        <v>0.3286134235</v>
      </c>
      <c r="AC6" s="445">
        <f t="shared" si="4"/>
        <v>0.3289264658</v>
      </c>
      <c r="AD6" s="445">
        <f t="shared" si="4"/>
        <v>0.3292395081</v>
      </c>
      <c r="AE6" s="445">
        <f t="shared" si="4"/>
        <v>0.3295525505</v>
      </c>
      <c r="AF6" s="445">
        <f t="shared" si="4"/>
        <v>0.3298655928</v>
      </c>
      <c r="AG6" s="445">
        <f t="shared" si="4"/>
        <v>0.3301786352</v>
      </c>
      <c r="AH6" s="445">
        <f t="shared" si="4"/>
        <v>0.3304916775</v>
      </c>
      <c r="AI6" s="445">
        <f t="shared" si="4"/>
        <v>0.3308047199</v>
      </c>
      <c r="AJ6" s="445">
        <f t="shared" si="4"/>
        <v>0.3311177622</v>
      </c>
      <c r="AK6" s="445">
        <f t="shared" si="4"/>
        <v>0.3314308046</v>
      </c>
      <c r="AL6" s="445">
        <f t="shared" si="4"/>
        <v>0.3317438469</v>
      </c>
      <c r="AM6" s="445">
        <f t="shared" si="4"/>
        <v>0.3320568892</v>
      </c>
      <c r="AN6" s="445">
        <f t="shared" si="4"/>
        <v>0.3323699316</v>
      </c>
      <c r="AO6" s="445">
        <f t="shared" si="4"/>
        <v>0.3326829739</v>
      </c>
      <c r="AP6" s="445">
        <f t="shared" si="4"/>
        <v>0.3329960163</v>
      </c>
      <c r="AQ6" s="445">
        <f t="shared" si="4"/>
        <v>0.3333090586</v>
      </c>
      <c r="AR6" s="445">
        <f t="shared" si="4"/>
        <v>0.333622101</v>
      </c>
      <c r="AS6" s="445">
        <f t="shared" si="4"/>
        <v>0.3339351433</v>
      </c>
      <c r="AT6" s="445">
        <f t="shared" si="4"/>
        <v>0.3342481857</v>
      </c>
      <c r="AU6" s="445">
        <f t="shared" si="4"/>
        <v>0.334561228</v>
      </c>
      <c r="AV6" s="445">
        <f t="shared" si="4"/>
        <v>0.3348742704</v>
      </c>
      <c r="AW6" s="445">
        <f t="shared" si="4"/>
        <v>0.3351873127</v>
      </c>
      <c r="AX6" s="445">
        <f t="shared" si="4"/>
        <v>0.335500355</v>
      </c>
      <c r="AY6" s="445">
        <f t="shared" si="4"/>
        <v>0.3358133974</v>
      </c>
      <c r="AZ6" s="445">
        <f t="shared" si="4"/>
        <v>0.3361264397</v>
      </c>
    </row>
    <row r="7">
      <c r="A7" s="439" t="s">
        <v>490</v>
      </c>
      <c r="B7" s="444">
        <v>0.864365</v>
      </c>
      <c r="C7" s="444">
        <v>0.720209</v>
      </c>
      <c r="D7" s="444">
        <v>0.758307</v>
      </c>
      <c r="E7" s="444">
        <v>0.73021</v>
      </c>
      <c r="F7" s="444">
        <v>0.734689</v>
      </c>
      <c r="G7" s="444">
        <v>0.69999</v>
      </c>
      <c r="H7" s="444">
        <v>0.711421</v>
      </c>
      <c r="I7" s="444">
        <v>0.709551</v>
      </c>
      <c r="J7" s="444">
        <v>0.698147</v>
      </c>
      <c r="K7" s="444">
        <v>0.644659</v>
      </c>
      <c r="L7" s="444">
        <v>0.70936</v>
      </c>
      <c r="M7" s="444">
        <v>0.726666</v>
      </c>
      <c r="N7" s="444">
        <v>0.75458</v>
      </c>
      <c r="O7" s="444">
        <v>0.79134</v>
      </c>
      <c r="P7" s="444">
        <v>0.81133</v>
      </c>
      <c r="Q7" s="444">
        <v>0.815598</v>
      </c>
      <c r="R7" s="444">
        <v>0.820734</v>
      </c>
      <c r="S7" s="444">
        <v>0.85235</v>
      </c>
      <c r="T7" s="299">
        <f t="shared" ref="T7:AY7" si="5">$S$7+(T$1-$S$1)/($AZ$1-$S$1)*($AZ$7-$S$7)</f>
        <v>0.8595805122</v>
      </c>
      <c r="U7" s="299">
        <f t="shared" si="5"/>
        <v>0.8668110243</v>
      </c>
      <c r="V7" s="299">
        <f t="shared" si="5"/>
        <v>0.8740415365</v>
      </c>
      <c r="W7" s="299">
        <f t="shared" si="5"/>
        <v>0.8812720486</v>
      </c>
      <c r="X7" s="299">
        <f t="shared" si="5"/>
        <v>0.8885025608</v>
      </c>
      <c r="Y7" s="299">
        <f t="shared" si="5"/>
        <v>0.895733073</v>
      </c>
      <c r="Z7" s="299">
        <f t="shared" si="5"/>
        <v>0.9029635851</v>
      </c>
      <c r="AA7" s="299">
        <f t="shared" si="5"/>
        <v>0.9101940973</v>
      </c>
      <c r="AB7" s="299">
        <f t="shared" si="5"/>
        <v>0.9174246095</v>
      </c>
      <c r="AC7" s="299">
        <f t="shared" si="5"/>
        <v>0.9246551216</v>
      </c>
      <c r="AD7" s="299">
        <f t="shared" si="5"/>
        <v>0.9318856338</v>
      </c>
      <c r="AE7" s="299">
        <f t="shared" si="5"/>
        <v>0.9391161459</v>
      </c>
      <c r="AF7" s="299">
        <f t="shared" si="5"/>
        <v>0.9463466581</v>
      </c>
      <c r="AG7" s="299">
        <f t="shared" si="5"/>
        <v>0.9535771703</v>
      </c>
      <c r="AH7" s="299">
        <f t="shared" si="5"/>
        <v>0.9608076824</v>
      </c>
      <c r="AI7" s="299">
        <f t="shared" si="5"/>
        <v>0.9680381946</v>
      </c>
      <c r="AJ7" s="299">
        <f t="shared" si="5"/>
        <v>0.9752687068</v>
      </c>
      <c r="AK7" s="299">
        <f t="shared" si="5"/>
        <v>0.9824992189</v>
      </c>
      <c r="AL7" s="299">
        <f t="shared" si="5"/>
        <v>0.9897297311</v>
      </c>
      <c r="AM7" s="299">
        <f t="shared" si="5"/>
        <v>0.9969602432</v>
      </c>
      <c r="AN7" s="299">
        <f t="shared" si="5"/>
        <v>1.004190755</v>
      </c>
      <c r="AO7" s="299">
        <f t="shared" si="5"/>
        <v>1.011421268</v>
      </c>
      <c r="AP7" s="299">
        <f t="shared" si="5"/>
        <v>1.01865178</v>
      </c>
      <c r="AQ7" s="299">
        <f t="shared" si="5"/>
        <v>1.025882292</v>
      </c>
      <c r="AR7" s="299">
        <f t="shared" si="5"/>
        <v>1.033112804</v>
      </c>
      <c r="AS7" s="299">
        <f t="shared" si="5"/>
        <v>1.040343316</v>
      </c>
      <c r="AT7" s="299">
        <f t="shared" si="5"/>
        <v>1.047573828</v>
      </c>
      <c r="AU7" s="299">
        <f t="shared" si="5"/>
        <v>1.054804341</v>
      </c>
      <c r="AV7" s="299">
        <f t="shared" si="5"/>
        <v>1.062034853</v>
      </c>
      <c r="AW7" s="299">
        <f t="shared" si="5"/>
        <v>1.069265365</v>
      </c>
      <c r="AX7" s="299">
        <f t="shared" si="5"/>
        <v>1.076495877</v>
      </c>
      <c r="AY7" s="299">
        <f t="shared" si="5"/>
        <v>1.083726389</v>
      </c>
      <c r="AZ7" s="446">
        <v>1.09095690134566</v>
      </c>
    </row>
    <row r="8">
      <c r="A8" s="439" t="s">
        <v>491</v>
      </c>
      <c r="B8" s="444">
        <v>0.087549</v>
      </c>
      <c r="C8" s="444">
        <v>0.084155</v>
      </c>
      <c r="D8" s="444">
        <v>0.08072</v>
      </c>
      <c r="E8" s="444">
        <v>0.077365</v>
      </c>
      <c r="F8" s="444">
        <v>0.064903</v>
      </c>
      <c r="G8" s="444">
        <v>0.0611</v>
      </c>
      <c r="H8" s="444">
        <v>0.06163</v>
      </c>
      <c r="I8" s="444">
        <v>0.068974</v>
      </c>
      <c r="J8" s="444">
        <v>0.07239</v>
      </c>
      <c r="K8" s="444">
        <v>0.080166</v>
      </c>
      <c r="L8" s="444">
        <v>0.082853</v>
      </c>
      <c r="M8" s="444">
        <v>0.087499</v>
      </c>
      <c r="N8" s="444">
        <v>0.106075</v>
      </c>
      <c r="O8" s="444">
        <v>0.069438</v>
      </c>
      <c r="P8" s="444">
        <v>0.063234</v>
      </c>
      <c r="Q8" s="444">
        <v>0.069881</v>
      </c>
      <c r="R8" s="444">
        <v>0.063952</v>
      </c>
      <c r="S8" s="444">
        <v>0.061086</v>
      </c>
      <c r="T8" s="168">
        <f t="shared" ref="T8:AY8" si="6">$S$8+(T$1-$S$1)/($AZ$1-$S$1)*($AZ$8-$S$8)</f>
        <v>0.06262039751</v>
      </c>
      <c r="U8" s="168">
        <f t="shared" si="6"/>
        <v>0.06415479502</v>
      </c>
      <c r="V8" s="168">
        <f t="shared" si="6"/>
        <v>0.06568919253</v>
      </c>
      <c r="W8" s="168">
        <f t="shared" si="6"/>
        <v>0.06722359004</v>
      </c>
      <c r="X8" s="168">
        <f t="shared" si="6"/>
        <v>0.06875798754</v>
      </c>
      <c r="Y8" s="168">
        <f t="shared" si="6"/>
        <v>0.07029238505</v>
      </c>
      <c r="Z8" s="168">
        <f t="shared" si="6"/>
        <v>0.07182678256</v>
      </c>
      <c r="AA8" s="168">
        <f t="shared" si="6"/>
        <v>0.07336118007</v>
      </c>
      <c r="AB8" s="168">
        <f t="shared" si="6"/>
        <v>0.07489557758</v>
      </c>
      <c r="AC8" s="168">
        <f t="shared" si="6"/>
        <v>0.07642997509</v>
      </c>
      <c r="AD8" s="168">
        <f t="shared" si="6"/>
        <v>0.0779643726</v>
      </c>
      <c r="AE8" s="168">
        <f t="shared" si="6"/>
        <v>0.07949877011</v>
      </c>
      <c r="AF8" s="168">
        <f t="shared" si="6"/>
        <v>0.08103316762</v>
      </c>
      <c r="AG8" s="168">
        <f t="shared" si="6"/>
        <v>0.08256756512</v>
      </c>
      <c r="AH8" s="168">
        <f t="shared" si="6"/>
        <v>0.08410196263</v>
      </c>
      <c r="AI8" s="168">
        <f t="shared" si="6"/>
        <v>0.08563636014</v>
      </c>
      <c r="AJ8" s="168">
        <f t="shared" si="6"/>
        <v>0.08717075765</v>
      </c>
      <c r="AK8" s="168">
        <f t="shared" si="6"/>
        <v>0.08870515516</v>
      </c>
      <c r="AL8" s="168">
        <f t="shared" si="6"/>
        <v>0.09023955267</v>
      </c>
      <c r="AM8" s="168">
        <f t="shared" si="6"/>
        <v>0.09177395018</v>
      </c>
      <c r="AN8" s="168">
        <f t="shared" si="6"/>
        <v>0.09330834769</v>
      </c>
      <c r="AO8" s="168">
        <f t="shared" si="6"/>
        <v>0.0948427452</v>
      </c>
      <c r="AP8" s="168">
        <f t="shared" si="6"/>
        <v>0.09637714271</v>
      </c>
      <c r="AQ8" s="168">
        <f t="shared" si="6"/>
        <v>0.09791154021</v>
      </c>
      <c r="AR8" s="168">
        <f t="shared" si="6"/>
        <v>0.09944593772</v>
      </c>
      <c r="AS8" s="168">
        <f t="shared" si="6"/>
        <v>0.1009803352</v>
      </c>
      <c r="AT8" s="168">
        <f t="shared" si="6"/>
        <v>0.1025147327</v>
      </c>
      <c r="AU8" s="168">
        <f t="shared" si="6"/>
        <v>0.1040491302</v>
      </c>
      <c r="AV8" s="168">
        <f t="shared" si="6"/>
        <v>0.1055835278</v>
      </c>
      <c r="AW8" s="168">
        <f t="shared" si="6"/>
        <v>0.1071179253</v>
      </c>
      <c r="AX8" s="168">
        <f t="shared" si="6"/>
        <v>0.1086523228</v>
      </c>
      <c r="AY8" s="168">
        <f t="shared" si="6"/>
        <v>0.1101867203</v>
      </c>
      <c r="AZ8" s="446">
        <v>0.111721117794486</v>
      </c>
    </row>
    <row r="9">
      <c r="A9" s="447" t="s">
        <v>492</v>
      </c>
      <c r="B9" s="448">
        <v>0.5</v>
      </c>
      <c r="C9" s="448">
        <v>0.5</v>
      </c>
      <c r="D9" s="448">
        <v>0.5</v>
      </c>
      <c r="E9" s="448">
        <v>0.5</v>
      </c>
      <c r="F9" s="448">
        <v>0.5</v>
      </c>
      <c r="G9" s="448">
        <v>0.5</v>
      </c>
      <c r="H9" s="448">
        <v>0.5</v>
      </c>
      <c r="I9" s="448">
        <v>0.5</v>
      </c>
      <c r="J9" s="448">
        <v>0.5</v>
      </c>
      <c r="K9" s="448">
        <v>0.5</v>
      </c>
      <c r="L9" s="448">
        <v>0.5</v>
      </c>
      <c r="M9" s="448">
        <v>0.5</v>
      </c>
      <c r="N9" s="448">
        <v>0.5</v>
      </c>
      <c r="O9" s="448">
        <v>0.5</v>
      </c>
      <c r="P9" s="448">
        <v>0.5</v>
      </c>
      <c r="Q9" s="448">
        <v>0.5</v>
      </c>
      <c r="R9" s="448">
        <v>0.5</v>
      </c>
      <c r="S9" s="448">
        <v>0.5</v>
      </c>
      <c r="T9" s="448">
        <v>0.5</v>
      </c>
      <c r="U9" s="448">
        <v>0.5</v>
      </c>
      <c r="V9" s="448">
        <v>0.5</v>
      </c>
      <c r="W9" s="448">
        <v>0.5</v>
      </c>
      <c r="X9" s="448">
        <v>0.5</v>
      </c>
      <c r="Y9" s="448">
        <v>0.5</v>
      </c>
      <c r="Z9" s="448">
        <v>0.5</v>
      </c>
      <c r="AA9" s="448">
        <v>0.5</v>
      </c>
      <c r="AB9" s="448">
        <v>0.5</v>
      </c>
      <c r="AC9" s="448">
        <v>0.5</v>
      </c>
      <c r="AD9" s="448">
        <v>0.5</v>
      </c>
      <c r="AE9" s="448">
        <v>0.5</v>
      </c>
      <c r="AF9" s="448">
        <v>0.5</v>
      </c>
      <c r="AG9" s="448">
        <v>0.5</v>
      </c>
      <c r="AH9" s="448">
        <v>0.5</v>
      </c>
      <c r="AI9" s="448">
        <v>0.5</v>
      </c>
      <c r="AJ9" s="448">
        <v>0.5</v>
      </c>
      <c r="AK9" s="448">
        <v>0.5</v>
      </c>
      <c r="AL9" s="448">
        <v>0.5</v>
      </c>
      <c r="AM9" s="448">
        <v>0.5</v>
      </c>
      <c r="AN9" s="448">
        <v>0.5</v>
      </c>
      <c r="AO9" s="448">
        <v>0.5</v>
      </c>
      <c r="AP9" s="448">
        <v>0.5</v>
      </c>
      <c r="AQ9" s="448">
        <v>0.5</v>
      </c>
      <c r="AR9" s="448">
        <v>0.5</v>
      </c>
      <c r="AS9" s="448">
        <v>0.5</v>
      </c>
      <c r="AT9" s="448">
        <v>0.5</v>
      </c>
      <c r="AU9" s="448">
        <v>0.5</v>
      </c>
      <c r="AV9" s="448">
        <v>0.5</v>
      </c>
      <c r="AW9" s="448">
        <v>0.5</v>
      </c>
      <c r="AX9" s="448">
        <v>0.5</v>
      </c>
      <c r="AY9" s="448">
        <v>0.5</v>
      </c>
      <c r="AZ9" s="448">
        <v>0.5</v>
      </c>
    </row>
    <row r="10">
      <c r="A10" s="447" t="s">
        <v>493</v>
      </c>
      <c r="B10" s="447">
        <v>4.48</v>
      </c>
      <c r="C10" s="447">
        <v>3.93</v>
      </c>
      <c r="D10" s="447">
        <v>4.77</v>
      </c>
      <c r="E10" s="447">
        <v>4.75</v>
      </c>
      <c r="F10" s="447">
        <v>4.68</v>
      </c>
      <c r="G10" s="447">
        <v>4.32</v>
      </c>
      <c r="H10" s="447">
        <v>3.92</v>
      </c>
      <c r="I10" s="447">
        <v>4.19</v>
      </c>
      <c r="J10" s="447">
        <v>4.48</v>
      </c>
      <c r="K10" s="447">
        <v>4.2</v>
      </c>
      <c r="L10" s="447">
        <v>4.39</v>
      </c>
      <c r="M10" s="447">
        <v>4.11</v>
      </c>
      <c r="N10" s="447">
        <v>3.45</v>
      </c>
      <c r="O10" s="447">
        <v>3.85</v>
      </c>
      <c r="P10" s="447">
        <v>4.67</v>
      </c>
      <c r="Q10" s="447">
        <v>4.43</v>
      </c>
      <c r="R10" s="447">
        <v>4.22</v>
      </c>
    </row>
    <row r="11">
      <c r="A11" s="447" t="s">
        <v>494</v>
      </c>
      <c r="B11" s="447">
        <v>2.78</v>
      </c>
      <c r="C11" s="447">
        <v>2.51</v>
      </c>
      <c r="D11" s="447">
        <v>3.05</v>
      </c>
      <c r="E11" s="447">
        <v>2.92</v>
      </c>
      <c r="F11" s="447">
        <v>3.0</v>
      </c>
      <c r="G11" s="447">
        <v>2.68</v>
      </c>
      <c r="H11" s="447">
        <v>2.49</v>
      </c>
      <c r="I11" s="447">
        <v>2.65</v>
      </c>
      <c r="J11" s="447">
        <v>2.83</v>
      </c>
      <c r="K11" s="447">
        <v>2.67</v>
      </c>
      <c r="L11" s="447">
        <v>2.75</v>
      </c>
      <c r="M11" s="447">
        <v>2.71</v>
      </c>
      <c r="N11" s="447">
        <v>2.3</v>
      </c>
      <c r="O11" s="447">
        <v>2.67</v>
      </c>
      <c r="P11" s="447">
        <v>3.16</v>
      </c>
      <c r="Q11" s="447">
        <v>3.05</v>
      </c>
      <c r="R11" s="447">
        <v>2.98</v>
      </c>
    </row>
    <row r="12">
      <c r="A12" s="447" t="s">
        <v>495</v>
      </c>
      <c r="B12" s="447">
        <v>4.1</v>
      </c>
      <c r="C12" s="447">
        <v>3.37</v>
      </c>
      <c r="D12" s="447">
        <v>7.41</v>
      </c>
      <c r="E12" s="447">
        <v>3.76</v>
      </c>
      <c r="F12" s="447">
        <v>6.93</v>
      </c>
      <c r="G12" s="447">
        <v>3.6</v>
      </c>
      <c r="H12" s="447">
        <v>3.46</v>
      </c>
      <c r="I12" s="447">
        <v>3.58</v>
      </c>
      <c r="J12" s="447">
        <v>3.51</v>
      </c>
      <c r="K12" s="447">
        <v>2.98</v>
      </c>
      <c r="L12" s="447">
        <v>3.42</v>
      </c>
      <c r="M12" s="447">
        <v>3.37</v>
      </c>
      <c r="N12" s="447">
        <v>3.21</v>
      </c>
      <c r="O12" s="447">
        <v>3.34</v>
      </c>
      <c r="P12" s="447">
        <v>3.71</v>
      </c>
      <c r="Q12" s="447">
        <v>3.74</v>
      </c>
      <c r="R12" s="447">
        <v>3.86</v>
      </c>
    </row>
    <row r="13">
      <c r="A13" s="449" t="s">
        <v>496</v>
      </c>
      <c r="B13" s="450">
        <f t="shared" ref="B13:R13" si="7">B10/B6</f>
        <v>11.55091685</v>
      </c>
      <c r="C13" s="450">
        <f t="shared" si="7"/>
        <v>10.86202465</v>
      </c>
      <c r="D13" s="450">
        <f t="shared" si="7"/>
        <v>13.02189972</v>
      </c>
      <c r="E13" s="450">
        <f t="shared" si="7"/>
        <v>12.51043634</v>
      </c>
      <c r="F13" s="450">
        <f t="shared" si="7"/>
        <v>12.89977591</v>
      </c>
      <c r="G13" s="450">
        <f t="shared" si="7"/>
        <v>11.93861562</v>
      </c>
      <c r="H13" s="450">
        <f t="shared" si="7"/>
        <v>12.15911065</v>
      </c>
      <c r="I13" s="450">
        <f t="shared" si="7"/>
        <v>12.93716982</v>
      </c>
      <c r="J13" s="450">
        <f t="shared" si="7"/>
        <v>12.76800702</v>
      </c>
      <c r="K13" s="450">
        <f t="shared" si="7"/>
        <v>12.15007073</v>
      </c>
      <c r="L13" s="450">
        <f t="shared" si="7"/>
        <v>11.05086418</v>
      </c>
      <c r="M13" s="450">
        <f t="shared" si="7"/>
        <v>12.2536597</v>
      </c>
      <c r="N13" s="450">
        <f t="shared" si="7"/>
        <v>12.22221041</v>
      </c>
      <c r="O13" s="450">
        <f t="shared" si="7"/>
        <v>10.78425331</v>
      </c>
      <c r="P13" s="450">
        <f t="shared" si="7"/>
        <v>11.79575908</v>
      </c>
      <c r="Q13" s="450">
        <f t="shared" si="7"/>
        <v>12.87539927</v>
      </c>
      <c r="R13" s="450">
        <f t="shared" si="7"/>
        <v>12.96534688</v>
      </c>
    </row>
    <row r="14">
      <c r="A14" s="449" t="s">
        <v>497</v>
      </c>
      <c r="B14" s="450">
        <f t="shared" ref="B14:R14" si="8">B11/B3</f>
        <v>11.99848077</v>
      </c>
      <c r="C14" s="450">
        <f t="shared" si="8"/>
        <v>11.49151642</v>
      </c>
      <c r="D14" s="450">
        <f t="shared" si="8"/>
        <v>14.09231622</v>
      </c>
      <c r="E14" s="450">
        <f t="shared" si="8"/>
        <v>12.72952378</v>
      </c>
      <c r="F14" s="450">
        <f t="shared" si="8"/>
        <v>12.90067342</v>
      </c>
      <c r="G14" s="450">
        <f t="shared" si="8"/>
        <v>11.62498156</v>
      </c>
      <c r="H14" s="450">
        <f t="shared" si="8"/>
        <v>11.45117156</v>
      </c>
      <c r="I14" s="450">
        <f t="shared" si="8"/>
        <v>12.2083247</v>
      </c>
      <c r="J14" s="450">
        <f t="shared" si="8"/>
        <v>12.39141096</v>
      </c>
      <c r="K14" s="450">
        <f t="shared" si="8"/>
        <v>11.71252977</v>
      </c>
      <c r="L14" s="450">
        <f t="shared" si="8"/>
        <v>11.00374127</v>
      </c>
      <c r="M14" s="450">
        <f t="shared" si="8"/>
        <v>11.78875935</v>
      </c>
      <c r="N14" s="450">
        <f t="shared" si="8"/>
        <v>10.96229922</v>
      </c>
      <c r="O14" s="450">
        <f t="shared" si="8"/>
        <v>11.18156006</v>
      </c>
      <c r="P14" s="450">
        <f t="shared" si="8"/>
        <v>12.27408498</v>
      </c>
      <c r="Q14" s="450">
        <f t="shared" si="8"/>
        <v>12.83913199</v>
      </c>
      <c r="R14" s="450">
        <f t="shared" si="8"/>
        <v>12.97948979</v>
      </c>
    </row>
    <row r="15">
      <c r="A15" s="449" t="s">
        <v>498</v>
      </c>
      <c r="B15" s="450">
        <f t="shared" ref="B15:R15" si="9">B12/B7</f>
        <v>4.743366518</v>
      </c>
      <c r="C15" s="450">
        <f t="shared" si="9"/>
        <v>4.679197289</v>
      </c>
      <c r="D15" s="450">
        <f t="shared" si="9"/>
        <v>9.771767899</v>
      </c>
      <c r="E15" s="450">
        <f t="shared" si="9"/>
        <v>5.149203654</v>
      </c>
      <c r="F15" s="450">
        <f t="shared" si="9"/>
        <v>9.432562622</v>
      </c>
      <c r="G15" s="450">
        <f t="shared" si="9"/>
        <v>5.142930613</v>
      </c>
      <c r="H15" s="450">
        <f t="shared" si="9"/>
        <v>4.863505575</v>
      </c>
      <c r="I15" s="450">
        <f t="shared" si="9"/>
        <v>5.045444232</v>
      </c>
      <c r="J15" s="450">
        <f t="shared" si="9"/>
        <v>5.027594475</v>
      </c>
      <c r="K15" s="450">
        <f t="shared" si="9"/>
        <v>4.622598924</v>
      </c>
      <c r="L15" s="450">
        <f t="shared" si="9"/>
        <v>4.821247322</v>
      </c>
      <c r="M15" s="450">
        <f t="shared" si="9"/>
        <v>4.637618934</v>
      </c>
      <c r="N15" s="450">
        <f t="shared" si="9"/>
        <v>4.254022105</v>
      </c>
      <c r="O15" s="450">
        <f t="shared" si="9"/>
        <v>4.220688958</v>
      </c>
      <c r="P15" s="450">
        <f t="shared" si="9"/>
        <v>4.57273859</v>
      </c>
      <c r="Q15" s="450">
        <f t="shared" si="9"/>
        <v>4.585592412</v>
      </c>
      <c r="R15" s="450">
        <f t="shared" si="9"/>
        <v>4.703107219</v>
      </c>
    </row>
    <row r="16">
      <c r="A16" s="447" t="s">
        <v>499</v>
      </c>
      <c r="B16" s="451">
        <v>5.1116</v>
      </c>
      <c r="C16" s="451">
        <v>4.7965</v>
      </c>
      <c r="D16" s="451">
        <v>4.9926</v>
      </c>
      <c r="E16" s="451">
        <v>5.083</v>
      </c>
      <c r="F16" s="451">
        <v>4.8873</v>
      </c>
      <c r="G16" s="451">
        <v>4.7984</v>
      </c>
      <c r="H16" s="451">
        <v>4.3997</v>
      </c>
      <c r="I16" s="451">
        <v>4.8593</v>
      </c>
      <c r="J16" s="451">
        <v>5.0106</v>
      </c>
      <c r="K16" s="451">
        <v>4.9116</v>
      </c>
      <c r="L16" s="451">
        <v>4.9298</v>
      </c>
      <c r="M16" s="451">
        <v>4.8439</v>
      </c>
      <c r="N16" s="451">
        <v>4.2302</v>
      </c>
      <c r="O16" s="451">
        <v>5.0352</v>
      </c>
      <c r="P16" s="451">
        <v>5.2106</v>
      </c>
      <c r="Q16" s="451">
        <v>4.749</v>
      </c>
      <c r="R16" s="451">
        <v>4.4942</v>
      </c>
      <c r="S16" s="451">
        <v>4.5609</v>
      </c>
    </row>
    <row r="17">
      <c r="A17" s="447" t="s">
        <v>500</v>
      </c>
      <c r="B17" s="451">
        <v>3.246</v>
      </c>
      <c r="C17" s="451">
        <v>3.0228</v>
      </c>
      <c r="D17" s="451">
        <v>3.1432</v>
      </c>
      <c r="E17" s="451">
        <v>3.1592</v>
      </c>
      <c r="F17" s="451">
        <v>3.0963</v>
      </c>
      <c r="G17" s="451">
        <v>3.0755</v>
      </c>
      <c r="H17" s="451">
        <v>2.8329</v>
      </c>
      <c r="I17" s="451">
        <v>3.0884</v>
      </c>
      <c r="J17" s="451">
        <v>3.2082</v>
      </c>
      <c r="K17" s="451">
        <v>3.1833</v>
      </c>
      <c r="L17" s="451">
        <v>3.1148</v>
      </c>
      <c r="M17" s="451">
        <v>3.2016</v>
      </c>
      <c r="N17" s="451">
        <v>2.9186</v>
      </c>
      <c r="O17" s="451">
        <v>3.3248</v>
      </c>
      <c r="P17" s="451">
        <v>3.5186</v>
      </c>
      <c r="Q17" s="451">
        <v>3.2622</v>
      </c>
      <c r="R17" s="451">
        <v>3.1657</v>
      </c>
      <c r="S17" s="451">
        <v>3.2277</v>
      </c>
    </row>
    <row r="18">
      <c r="A18" s="447" t="s">
        <v>501</v>
      </c>
      <c r="B18" s="451">
        <v>4.7042</v>
      </c>
      <c r="C18" s="451">
        <v>4.073</v>
      </c>
      <c r="D18" s="451">
        <v>4.2054</v>
      </c>
      <c r="E18" s="451">
        <v>3.9122</v>
      </c>
      <c r="F18" s="451">
        <v>4.0054</v>
      </c>
      <c r="G18" s="451">
        <v>3.8444</v>
      </c>
      <c r="H18" s="451">
        <v>3.7948</v>
      </c>
      <c r="I18" s="451">
        <v>3.9347</v>
      </c>
      <c r="J18" s="451">
        <v>3.9344</v>
      </c>
      <c r="K18" s="451">
        <v>3.5133</v>
      </c>
      <c r="L18" s="451">
        <v>3.7409</v>
      </c>
      <c r="M18" s="451">
        <v>3.7679</v>
      </c>
      <c r="N18" s="451">
        <v>3.8333</v>
      </c>
      <c r="O18" s="451">
        <v>4.0059</v>
      </c>
      <c r="P18" s="451">
        <v>4.137</v>
      </c>
      <c r="Q18" s="451">
        <v>4.057</v>
      </c>
      <c r="R18" s="451">
        <v>4.1588</v>
      </c>
      <c r="S18" s="451">
        <v>4.1105</v>
      </c>
    </row>
    <row r="19">
      <c r="A19" s="449" t="s">
        <v>502</v>
      </c>
      <c r="B19" s="450">
        <f t="shared" ref="B19:R19" si="10">B10/B16</f>
        <v>0.8764379059</v>
      </c>
      <c r="C19" s="450">
        <f t="shared" si="10"/>
        <v>0.8193474408</v>
      </c>
      <c r="D19" s="450">
        <f t="shared" si="10"/>
        <v>0.9554140127</v>
      </c>
      <c r="E19" s="450">
        <f t="shared" si="10"/>
        <v>0.9344875074</v>
      </c>
      <c r="F19" s="450">
        <f t="shared" si="10"/>
        <v>0.9575839421</v>
      </c>
      <c r="G19" s="450">
        <f t="shared" si="10"/>
        <v>0.9003001</v>
      </c>
      <c r="H19" s="450">
        <f t="shared" si="10"/>
        <v>0.8909698389</v>
      </c>
      <c r="I19" s="450">
        <f t="shared" si="10"/>
        <v>0.8622641121</v>
      </c>
      <c r="J19" s="450">
        <f t="shared" si="10"/>
        <v>0.8941044985</v>
      </c>
      <c r="K19" s="450">
        <f t="shared" si="10"/>
        <v>0.855118495</v>
      </c>
      <c r="L19" s="450">
        <f t="shared" si="10"/>
        <v>0.8905026573</v>
      </c>
      <c r="M19" s="450">
        <f t="shared" si="10"/>
        <v>0.8484898532</v>
      </c>
      <c r="N19" s="450">
        <f t="shared" si="10"/>
        <v>0.8155642759</v>
      </c>
      <c r="O19" s="450">
        <f t="shared" si="10"/>
        <v>0.7646170956</v>
      </c>
      <c r="P19" s="450">
        <f t="shared" si="10"/>
        <v>0.896249952</v>
      </c>
      <c r="Q19" s="450">
        <f t="shared" si="10"/>
        <v>0.9328279638</v>
      </c>
      <c r="R19" s="450">
        <f t="shared" si="10"/>
        <v>0.938988029</v>
      </c>
    </row>
    <row r="20">
      <c r="A20" s="449" t="s">
        <v>503</v>
      </c>
      <c r="B20" s="450">
        <f t="shared" ref="B20:R20" si="11">B11/B17</f>
        <v>0.8564386938</v>
      </c>
      <c r="C20" s="450">
        <f t="shared" si="11"/>
        <v>0.8303559614</v>
      </c>
      <c r="D20" s="450">
        <f t="shared" si="11"/>
        <v>0.9703486892</v>
      </c>
      <c r="E20" s="450">
        <f t="shared" si="11"/>
        <v>0.924284629</v>
      </c>
      <c r="F20" s="450">
        <f t="shared" si="11"/>
        <v>0.9688983626</v>
      </c>
      <c r="G20" s="450">
        <f t="shared" si="11"/>
        <v>0.8714030239</v>
      </c>
      <c r="H20" s="450">
        <f t="shared" si="11"/>
        <v>0.8789579583</v>
      </c>
      <c r="I20" s="450">
        <f t="shared" si="11"/>
        <v>0.8580494755</v>
      </c>
      <c r="J20" s="450">
        <f t="shared" si="11"/>
        <v>0.8821145814</v>
      </c>
      <c r="K20" s="450">
        <f t="shared" si="11"/>
        <v>0.8387522382</v>
      </c>
      <c r="L20" s="450">
        <f t="shared" si="11"/>
        <v>0.882881726</v>
      </c>
      <c r="M20" s="450">
        <f t="shared" si="11"/>
        <v>0.8464517741</v>
      </c>
      <c r="N20" s="450">
        <f t="shared" si="11"/>
        <v>0.7880490646</v>
      </c>
      <c r="O20" s="450">
        <f t="shared" si="11"/>
        <v>0.8030558229</v>
      </c>
      <c r="P20" s="450">
        <f t="shared" si="11"/>
        <v>0.8980844654</v>
      </c>
      <c r="Q20" s="450">
        <f t="shared" si="11"/>
        <v>0.934951873</v>
      </c>
      <c r="R20" s="450">
        <f t="shared" si="11"/>
        <v>0.941339988</v>
      </c>
    </row>
    <row r="21">
      <c r="A21" s="449" t="s">
        <v>504</v>
      </c>
      <c r="B21" s="450">
        <f t="shared" ref="B21:R21" si="12">B12/B18</f>
        <v>0.8715615833</v>
      </c>
      <c r="C21" s="450">
        <f t="shared" si="12"/>
        <v>0.8273999509</v>
      </c>
      <c r="D21" s="450">
        <f t="shared" si="12"/>
        <v>1.76202026</v>
      </c>
      <c r="E21" s="450">
        <f t="shared" si="12"/>
        <v>0.9610960585</v>
      </c>
      <c r="F21" s="450">
        <f t="shared" si="12"/>
        <v>1.730164278</v>
      </c>
      <c r="G21" s="450">
        <f t="shared" si="12"/>
        <v>0.9364270107</v>
      </c>
      <c r="H21" s="450">
        <f t="shared" si="12"/>
        <v>0.9117740065</v>
      </c>
      <c r="I21" s="450">
        <f t="shared" si="12"/>
        <v>0.909853356</v>
      </c>
      <c r="J21" s="450">
        <f t="shared" si="12"/>
        <v>0.8921309475</v>
      </c>
      <c r="K21" s="450">
        <f t="shared" si="12"/>
        <v>0.8482053909</v>
      </c>
      <c r="L21" s="450">
        <f t="shared" si="12"/>
        <v>0.9142185036</v>
      </c>
      <c r="M21" s="450">
        <f t="shared" si="12"/>
        <v>0.8943974097</v>
      </c>
      <c r="N21" s="450">
        <f t="shared" si="12"/>
        <v>0.8373985861</v>
      </c>
      <c r="O21" s="450">
        <f t="shared" si="12"/>
        <v>0.833770189</v>
      </c>
      <c r="P21" s="450">
        <f t="shared" si="12"/>
        <v>0.89678511</v>
      </c>
      <c r="Q21" s="450">
        <f t="shared" si="12"/>
        <v>0.9218634459</v>
      </c>
      <c r="R21" s="450">
        <f t="shared" si="12"/>
        <v>0.9281523516</v>
      </c>
    </row>
    <row r="22">
      <c r="A22" s="449" t="s">
        <v>505</v>
      </c>
      <c r="B22" s="450">
        <f t="shared" ref="B22:S22" si="13">B16/B6</f>
        <v>13.17938986</v>
      </c>
      <c r="C22" s="450">
        <f t="shared" si="13"/>
        <v>13.25692143</v>
      </c>
      <c r="D22" s="450">
        <f t="shared" si="13"/>
        <v>13.62958838</v>
      </c>
      <c r="E22" s="450">
        <f t="shared" si="13"/>
        <v>13.38748377</v>
      </c>
      <c r="F22" s="450">
        <f t="shared" si="13"/>
        <v>13.47116983</v>
      </c>
      <c r="G22" s="450">
        <f t="shared" si="13"/>
        <v>13.26070675</v>
      </c>
      <c r="H22" s="450">
        <f t="shared" si="13"/>
        <v>13.6470508</v>
      </c>
      <c r="I22" s="450">
        <f t="shared" si="13"/>
        <v>15.00372059</v>
      </c>
      <c r="J22" s="450">
        <f t="shared" si="13"/>
        <v>14.28021785</v>
      </c>
      <c r="K22" s="450">
        <f t="shared" si="13"/>
        <v>14.20863986</v>
      </c>
      <c r="L22" s="450">
        <f t="shared" si="13"/>
        <v>12.40969254</v>
      </c>
      <c r="M22" s="450">
        <f t="shared" si="13"/>
        <v>14.44172803</v>
      </c>
      <c r="N22" s="450">
        <f t="shared" si="13"/>
        <v>14.9862013</v>
      </c>
      <c r="O22" s="450">
        <f t="shared" si="13"/>
        <v>14.10412267</v>
      </c>
      <c r="P22" s="450">
        <f t="shared" si="13"/>
        <v>13.16123818</v>
      </c>
      <c r="Q22" s="450">
        <f t="shared" si="13"/>
        <v>13.80254427</v>
      </c>
      <c r="R22" s="450">
        <f t="shared" si="13"/>
        <v>13.8077872</v>
      </c>
      <c r="S22" s="450">
        <f t="shared" si="13"/>
        <v>13.99924925</v>
      </c>
    </row>
    <row r="23">
      <c r="A23" s="449" t="s">
        <v>506</v>
      </c>
      <c r="B23" s="450">
        <f t="shared" ref="B23:S23" si="14">B17/B3</f>
        <v>14.0097369</v>
      </c>
      <c r="C23" s="450">
        <f t="shared" si="14"/>
        <v>13.83926528</v>
      </c>
      <c r="D23" s="450">
        <f t="shared" si="14"/>
        <v>14.52294044</v>
      </c>
      <c r="E23" s="450">
        <f t="shared" si="14"/>
        <v>13.77229846</v>
      </c>
      <c r="F23" s="450">
        <f t="shared" si="14"/>
        <v>13.31478503</v>
      </c>
      <c r="G23" s="450">
        <f t="shared" si="14"/>
        <v>13.34053388</v>
      </c>
      <c r="H23" s="450">
        <f t="shared" si="14"/>
        <v>13.02812205</v>
      </c>
      <c r="I23" s="450">
        <f t="shared" si="14"/>
        <v>14.22799622</v>
      </c>
      <c r="J23" s="450">
        <f t="shared" si="14"/>
        <v>14.04739386</v>
      </c>
      <c r="K23" s="450">
        <f t="shared" si="14"/>
        <v>13.96423072</v>
      </c>
      <c r="L23" s="450">
        <f t="shared" si="14"/>
        <v>12.46343757</v>
      </c>
      <c r="M23" s="450">
        <f t="shared" si="14"/>
        <v>13.9272664</v>
      </c>
      <c r="N23" s="450">
        <f t="shared" si="14"/>
        <v>13.91068109</v>
      </c>
      <c r="O23" s="450">
        <f t="shared" si="14"/>
        <v>13.92376437</v>
      </c>
      <c r="P23" s="450">
        <f t="shared" si="14"/>
        <v>13.66696057</v>
      </c>
      <c r="Q23" s="450">
        <f t="shared" si="14"/>
        <v>13.73239881</v>
      </c>
      <c r="R23" s="450">
        <f t="shared" si="14"/>
        <v>13.78831236</v>
      </c>
      <c r="S23" s="450">
        <f t="shared" si="14"/>
        <v>14.50234539</v>
      </c>
    </row>
    <row r="24">
      <c r="A24" s="449" t="s">
        <v>507</v>
      </c>
      <c r="B24" s="450">
        <f t="shared" ref="B24:R24" si="15">B18/B7</f>
        <v>5.442376774</v>
      </c>
      <c r="C24" s="450">
        <f t="shared" si="15"/>
        <v>5.655302836</v>
      </c>
      <c r="D24" s="450">
        <f t="shared" si="15"/>
        <v>5.545774996</v>
      </c>
      <c r="E24" s="450">
        <f t="shared" si="15"/>
        <v>5.357636844</v>
      </c>
      <c r="F24" s="450">
        <f t="shared" si="15"/>
        <v>5.451830639</v>
      </c>
      <c r="G24" s="450">
        <f t="shared" si="15"/>
        <v>5.492078458</v>
      </c>
      <c r="H24" s="450">
        <f t="shared" si="15"/>
        <v>5.334112994</v>
      </c>
      <c r="I24" s="450">
        <f t="shared" si="15"/>
        <v>5.545337826</v>
      </c>
      <c r="J24" s="450">
        <f t="shared" si="15"/>
        <v>5.635489374</v>
      </c>
      <c r="K24" s="450">
        <f t="shared" si="15"/>
        <v>5.449857987</v>
      </c>
      <c r="L24" s="450">
        <f t="shared" si="15"/>
        <v>5.273626931</v>
      </c>
      <c r="M24" s="450">
        <f t="shared" si="15"/>
        <v>5.185188243</v>
      </c>
      <c r="N24" s="450">
        <f t="shared" si="15"/>
        <v>5.080044528</v>
      </c>
      <c r="O24" s="450">
        <f t="shared" si="15"/>
        <v>5.062173023</v>
      </c>
      <c r="P24" s="450">
        <f t="shared" si="15"/>
        <v>5.099034918</v>
      </c>
      <c r="Q24" s="450">
        <f t="shared" si="15"/>
        <v>4.974264282</v>
      </c>
      <c r="R24" s="450">
        <f t="shared" si="15"/>
        <v>5.067171581</v>
      </c>
      <c r="S24" s="450">
        <f>S18/S5</f>
        <v>21.23436783</v>
      </c>
      <c r="T24" s="448">
        <v>0.5</v>
      </c>
      <c r="U24" s="448">
        <v>0.5</v>
      </c>
      <c r="V24" s="448">
        <v>0.5</v>
      </c>
      <c r="W24" s="448">
        <v>0.5</v>
      </c>
      <c r="X24" s="448">
        <v>0.5</v>
      </c>
      <c r="Y24" s="448">
        <v>0.5</v>
      </c>
      <c r="Z24" s="448">
        <v>0.5</v>
      </c>
      <c r="AA24" s="448">
        <v>0.5</v>
      </c>
      <c r="AB24" s="448">
        <v>0.5</v>
      </c>
      <c r="AC24" s="448">
        <v>0.5</v>
      </c>
      <c r="AD24" s="448">
        <v>0.5</v>
      </c>
      <c r="AE24" s="448">
        <v>0.5</v>
      </c>
      <c r="AF24" s="448">
        <v>0.5</v>
      </c>
      <c r="AG24" s="448">
        <v>0.5</v>
      </c>
      <c r="AH24" s="448">
        <v>0.5</v>
      </c>
      <c r="AI24" s="448">
        <v>0.5</v>
      </c>
      <c r="AJ24" s="448">
        <v>0.5</v>
      </c>
      <c r="AK24" s="448">
        <v>0.5</v>
      </c>
      <c r="AL24" s="448">
        <v>0.5</v>
      </c>
      <c r="AM24" s="448">
        <v>0.5</v>
      </c>
      <c r="AN24" s="448">
        <v>0.5</v>
      </c>
      <c r="AO24" s="448">
        <v>0.5</v>
      </c>
      <c r="AP24" s="448">
        <v>0.5</v>
      </c>
      <c r="AQ24" s="448">
        <v>0.5</v>
      </c>
      <c r="AR24" s="448">
        <v>0.5</v>
      </c>
      <c r="AS24" s="448">
        <v>0.5</v>
      </c>
      <c r="AT24" s="448">
        <v>0.5</v>
      </c>
      <c r="AU24" s="448">
        <v>0.5</v>
      </c>
      <c r="AV24" s="448">
        <v>0.5</v>
      </c>
      <c r="AW24" s="448">
        <v>0.5</v>
      </c>
      <c r="AX24" s="448">
        <v>0.5</v>
      </c>
      <c r="AY24" s="448">
        <v>0.5</v>
      </c>
      <c r="AZ24" s="448">
        <v>0.5</v>
      </c>
    </row>
    <row r="25">
      <c r="A25" s="447" t="s">
        <v>508</v>
      </c>
      <c r="B25" s="452">
        <v>5.4054529E7</v>
      </c>
      <c r="C25" s="452">
        <v>5.2023811E7</v>
      </c>
      <c r="D25" s="452">
        <v>5.963732E7</v>
      </c>
      <c r="E25" s="452">
        <v>5.8580435E7</v>
      </c>
      <c r="F25" s="452">
        <v>5.9636695E7</v>
      </c>
      <c r="G25" s="452">
        <v>5.8329932E7</v>
      </c>
      <c r="H25" s="452">
        <v>5.8615005E7</v>
      </c>
      <c r="I25" s="452">
        <v>5.9091313E7</v>
      </c>
      <c r="J25" s="452">
        <v>6.001225E7</v>
      </c>
      <c r="K25" s="452">
        <v>5.6845127E7</v>
      </c>
      <c r="L25" s="452">
        <v>6.0923629E7</v>
      </c>
      <c r="M25" s="452">
        <v>5.9354724E7</v>
      </c>
      <c r="N25" s="452">
        <v>5.7284603E7</v>
      </c>
      <c r="O25" s="452">
        <v>5.2862874E7</v>
      </c>
      <c r="P25" s="452">
        <v>6.2328879E7</v>
      </c>
      <c r="Q25" s="452">
        <v>6.5930211E7</v>
      </c>
      <c r="R25" s="452">
        <v>6.7101124E7</v>
      </c>
    </row>
    <row r="26">
      <c r="A26" s="447" t="s">
        <v>509</v>
      </c>
      <c r="B26" s="452">
        <v>4466000.0</v>
      </c>
      <c r="C26" s="452">
        <v>4279509.0</v>
      </c>
      <c r="D26" s="452">
        <v>4929065.0</v>
      </c>
      <c r="E26" s="452">
        <v>4842672.0</v>
      </c>
      <c r="F26" s="452">
        <v>4857917.0</v>
      </c>
      <c r="G26" s="452">
        <v>4778381.0</v>
      </c>
      <c r="H26" s="452">
        <v>4747553.0</v>
      </c>
      <c r="I26" s="452">
        <v>4816374.0</v>
      </c>
      <c r="J26" s="452">
        <v>5024697.0</v>
      </c>
      <c r="K26" s="452">
        <v>4703420.0</v>
      </c>
      <c r="L26" s="452">
        <v>4867600.0</v>
      </c>
      <c r="M26" s="452">
        <v>4785629.0</v>
      </c>
      <c r="N26" s="452">
        <v>4509012.0</v>
      </c>
      <c r="O26" s="452">
        <v>4495346.0</v>
      </c>
      <c r="P26" s="452">
        <v>5012254.0</v>
      </c>
      <c r="Q26" s="452">
        <v>5288365.0</v>
      </c>
      <c r="R26" s="452">
        <v>5367111.0</v>
      </c>
    </row>
    <row r="27">
      <c r="A27" s="447" t="s">
        <v>510</v>
      </c>
      <c r="B27" s="452">
        <v>197187.0</v>
      </c>
      <c r="C27" s="452">
        <v>171575.0</v>
      </c>
      <c r="D27" s="452">
        <v>205155.0</v>
      </c>
      <c r="E27" s="452">
        <v>197940.0</v>
      </c>
      <c r="F27" s="452">
        <v>201334.0</v>
      </c>
      <c r="G27" s="452">
        <v>190056.0</v>
      </c>
      <c r="H27" s="452">
        <v>176064.0</v>
      </c>
      <c r="I27" s="452">
        <v>178526.0</v>
      </c>
      <c r="J27" s="452">
        <v>211642.0</v>
      </c>
      <c r="K27" s="452">
        <v>175815.0</v>
      </c>
      <c r="L27" s="452">
        <v>180505.0</v>
      </c>
      <c r="M27" s="452">
        <v>171524.0</v>
      </c>
      <c r="N27" s="452">
        <v>162814.0</v>
      </c>
      <c r="O27" s="452">
        <v>146373.0</v>
      </c>
      <c r="P27" s="452">
        <v>182438.0</v>
      </c>
      <c r="Q27" s="452">
        <v>182326.0</v>
      </c>
      <c r="R27" s="452">
        <v>185255.0</v>
      </c>
      <c r="S27" s="453">
        <f>(S28/I28)^(1/10)-1</f>
        <v>0.006077224048</v>
      </c>
    </row>
    <row r="28">
      <c r="A28" s="447" t="s">
        <v>511</v>
      </c>
      <c r="B28" s="452">
        <v>5.92532E7</v>
      </c>
      <c r="C28" s="452">
        <v>5.90709E7</v>
      </c>
      <c r="D28" s="452">
        <v>6.07824E7</v>
      </c>
      <c r="E28" s="452">
        <v>6.0344E7</v>
      </c>
      <c r="F28" s="452">
        <v>6.08055E7</v>
      </c>
      <c r="G28" s="452">
        <v>6.14637E7</v>
      </c>
      <c r="H28" s="452">
        <v>6.28626E7</v>
      </c>
      <c r="I28" s="452">
        <v>6.48208E7</v>
      </c>
      <c r="J28" s="452">
        <v>6.50008E7</v>
      </c>
      <c r="K28" s="452">
        <v>6.518E7</v>
      </c>
      <c r="L28" s="452">
        <v>6.53874E7</v>
      </c>
      <c r="M28" s="452">
        <v>6.58043E7</v>
      </c>
      <c r="N28" s="452">
        <v>6.6487E7</v>
      </c>
      <c r="O28" s="452">
        <v>6.65744E7</v>
      </c>
      <c r="P28" s="452">
        <v>6.70684E7</v>
      </c>
      <c r="Q28" s="452">
        <v>6.77121E7</v>
      </c>
      <c r="R28" s="452">
        <v>6.83034E7</v>
      </c>
      <c r="S28" s="452">
        <v>6.88696E7</v>
      </c>
      <c r="T28" s="452">
        <f t="shared" ref="T28:AZ28" si="16">S28*(1+$S$27)</f>
        <v>69288135.99</v>
      </c>
      <c r="U28" s="452">
        <f t="shared" si="16"/>
        <v>69709215.52</v>
      </c>
      <c r="V28" s="452">
        <f t="shared" si="16"/>
        <v>70132854.04</v>
      </c>
      <c r="W28" s="452">
        <f t="shared" si="16"/>
        <v>70559067.1</v>
      </c>
      <c r="X28" s="452">
        <f t="shared" si="16"/>
        <v>70987870.36</v>
      </c>
      <c r="Y28" s="452">
        <f t="shared" si="16"/>
        <v>71419279.56</v>
      </c>
      <c r="Z28" s="452">
        <f t="shared" si="16"/>
        <v>71853310.52</v>
      </c>
      <c r="AA28" s="452">
        <f t="shared" si="16"/>
        <v>72289979.19</v>
      </c>
      <c r="AB28" s="452">
        <f t="shared" si="16"/>
        <v>72729301.59</v>
      </c>
      <c r="AC28" s="452">
        <f t="shared" si="16"/>
        <v>73171293.85</v>
      </c>
      <c r="AD28" s="452">
        <f t="shared" si="16"/>
        <v>73615972.19</v>
      </c>
      <c r="AE28" s="452">
        <f t="shared" si="16"/>
        <v>74063352.95</v>
      </c>
      <c r="AF28" s="452">
        <f t="shared" si="16"/>
        <v>74513452.54</v>
      </c>
      <c r="AG28" s="452">
        <f t="shared" si="16"/>
        <v>74966287.48</v>
      </c>
      <c r="AH28" s="452">
        <f t="shared" si="16"/>
        <v>75421874.41</v>
      </c>
      <c r="AI28" s="452">
        <f t="shared" si="16"/>
        <v>75880230.04</v>
      </c>
      <c r="AJ28" s="452">
        <f t="shared" si="16"/>
        <v>76341371.2</v>
      </c>
      <c r="AK28" s="452">
        <f t="shared" si="16"/>
        <v>76805314.81</v>
      </c>
      <c r="AL28" s="452">
        <f t="shared" si="16"/>
        <v>77272077.92</v>
      </c>
      <c r="AM28" s="452">
        <f t="shared" si="16"/>
        <v>77741677.65</v>
      </c>
      <c r="AN28" s="452">
        <f t="shared" si="16"/>
        <v>78214131.24</v>
      </c>
      <c r="AO28" s="452">
        <f t="shared" si="16"/>
        <v>78689456.04</v>
      </c>
      <c r="AP28" s="452">
        <f t="shared" si="16"/>
        <v>79167669.5</v>
      </c>
      <c r="AQ28" s="452">
        <f t="shared" si="16"/>
        <v>79648789.16</v>
      </c>
      <c r="AR28" s="452">
        <f t="shared" si="16"/>
        <v>80132832.7</v>
      </c>
      <c r="AS28" s="452">
        <f t="shared" si="16"/>
        <v>80619817.88</v>
      </c>
      <c r="AT28" s="452">
        <f t="shared" si="16"/>
        <v>81109762.57</v>
      </c>
      <c r="AU28" s="452">
        <f t="shared" si="16"/>
        <v>81602684.77</v>
      </c>
      <c r="AV28" s="452">
        <f t="shared" si="16"/>
        <v>82098602.57</v>
      </c>
      <c r="AW28" s="452">
        <f t="shared" si="16"/>
        <v>82597534.17</v>
      </c>
      <c r="AX28" s="452">
        <f t="shared" si="16"/>
        <v>83099497.89</v>
      </c>
      <c r="AY28" s="452">
        <f t="shared" si="16"/>
        <v>83604512.16</v>
      </c>
      <c r="AZ28" s="452">
        <f t="shared" si="16"/>
        <v>84112595.51</v>
      </c>
    </row>
    <row r="29">
      <c r="A29" s="447" t="s">
        <v>512</v>
      </c>
      <c r="B29" s="452">
        <v>5059800.0</v>
      </c>
      <c r="C29" s="452">
        <v>4889900.0</v>
      </c>
      <c r="D29" s="452">
        <v>5016400.0</v>
      </c>
      <c r="E29" s="452">
        <v>4993000.0</v>
      </c>
      <c r="F29" s="452">
        <v>4964500.0</v>
      </c>
      <c r="G29" s="452">
        <v>4984700.0</v>
      </c>
      <c r="H29" s="452">
        <v>5119200.0</v>
      </c>
      <c r="I29" s="452">
        <v>5296500.0</v>
      </c>
      <c r="J29" s="452">
        <v>5285300.0</v>
      </c>
      <c r="K29" s="452">
        <v>5307400.0</v>
      </c>
      <c r="L29" s="452">
        <v>5285800.0</v>
      </c>
      <c r="M29" s="452">
        <v>5307000.0</v>
      </c>
      <c r="N29" s="452">
        <v>5342700.0</v>
      </c>
      <c r="O29" s="452">
        <v>5347800.0</v>
      </c>
      <c r="P29" s="452">
        <v>5403000.0</v>
      </c>
      <c r="Q29" s="452">
        <v>5433500.0</v>
      </c>
      <c r="R29" s="452">
        <v>5460700.0</v>
      </c>
      <c r="S29" s="452">
        <v>5445300.0</v>
      </c>
      <c r="T29" s="452">
        <f t="shared" ref="T29:AZ29" si="17">S29*(1+0.0028)</f>
        <v>5460546.84</v>
      </c>
      <c r="U29" s="452">
        <f t="shared" si="17"/>
        <v>5475836.371</v>
      </c>
      <c r="V29" s="452">
        <f t="shared" si="17"/>
        <v>5491168.713</v>
      </c>
      <c r="W29" s="452">
        <f t="shared" si="17"/>
        <v>5506543.985</v>
      </c>
      <c r="X29" s="452">
        <f t="shared" si="17"/>
        <v>5521962.309</v>
      </c>
      <c r="Y29" s="452">
        <f t="shared" si="17"/>
        <v>5537423.803</v>
      </c>
      <c r="Z29" s="452">
        <f t="shared" si="17"/>
        <v>5552928.59</v>
      </c>
      <c r="AA29" s="452">
        <f t="shared" si="17"/>
        <v>5568476.79</v>
      </c>
      <c r="AB29" s="452">
        <f t="shared" si="17"/>
        <v>5584068.525</v>
      </c>
      <c r="AC29" s="452">
        <f t="shared" si="17"/>
        <v>5599703.917</v>
      </c>
      <c r="AD29" s="452">
        <f t="shared" si="17"/>
        <v>5615383.088</v>
      </c>
      <c r="AE29" s="452">
        <f t="shared" si="17"/>
        <v>5631106.16</v>
      </c>
      <c r="AF29" s="452">
        <f t="shared" si="17"/>
        <v>5646873.257</v>
      </c>
      <c r="AG29" s="452">
        <f t="shared" si="17"/>
        <v>5662684.503</v>
      </c>
      <c r="AH29" s="452">
        <f t="shared" si="17"/>
        <v>5678540.019</v>
      </c>
      <c r="AI29" s="452">
        <f t="shared" si="17"/>
        <v>5694439.931</v>
      </c>
      <c r="AJ29" s="452">
        <f t="shared" si="17"/>
        <v>5710384.363</v>
      </c>
      <c r="AK29" s="452">
        <f t="shared" si="17"/>
        <v>5726373.439</v>
      </c>
      <c r="AL29" s="452">
        <f t="shared" si="17"/>
        <v>5742407.285</v>
      </c>
      <c r="AM29" s="452">
        <f t="shared" si="17"/>
        <v>5758486.025</v>
      </c>
      <c r="AN29" s="452">
        <f t="shared" si="17"/>
        <v>5774609.786</v>
      </c>
      <c r="AO29" s="452">
        <f t="shared" si="17"/>
        <v>5790778.694</v>
      </c>
      <c r="AP29" s="452">
        <f t="shared" si="17"/>
        <v>5806992.874</v>
      </c>
      <c r="AQ29" s="452">
        <f t="shared" si="17"/>
        <v>5823252.454</v>
      </c>
      <c r="AR29" s="452">
        <f t="shared" si="17"/>
        <v>5839557.561</v>
      </c>
      <c r="AS29" s="452">
        <f t="shared" si="17"/>
        <v>5855908.322</v>
      </c>
      <c r="AT29" s="452">
        <f t="shared" si="17"/>
        <v>5872304.865</v>
      </c>
      <c r="AU29" s="452">
        <f t="shared" si="17"/>
        <v>5888747.319</v>
      </c>
      <c r="AV29" s="452">
        <f t="shared" si="17"/>
        <v>5905235.811</v>
      </c>
      <c r="AW29" s="452">
        <f t="shared" si="17"/>
        <v>5921770.472</v>
      </c>
      <c r="AX29" s="452">
        <f t="shared" si="17"/>
        <v>5938351.429</v>
      </c>
      <c r="AY29" s="452">
        <f t="shared" si="17"/>
        <v>5954978.813</v>
      </c>
      <c r="AZ29" s="452">
        <f t="shared" si="17"/>
        <v>5971652.754</v>
      </c>
    </row>
    <row r="30">
      <c r="A30" s="447" t="s">
        <v>513</v>
      </c>
      <c r="B30" s="452">
        <v>229100.0</v>
      </c>
      <c r="C30" s="452">
        <v>210700.0</v>
      </c>
      <c r="D30" s="452">
        <v>205500.0</v>
      </c>
      <c r="E30" s="452">
        <v>197600.0</v>
      </c>
      <c r="F30" s="452">
        <v>205300.0</v>
      </c>
      <c r="G30" s="452">
        <v>197900.0</v>
      </c>
      <c r="H30" s="452">
        <v>193700.0</v>
      </c>
      <c r="I30" s="452">
        <v>191200.0</v>
      </c>
      <c r="J30" s="452">
        <v>192700.0</v>
      </c>
      <c r="K30" s="452">
        <v>198300.0</v>
      </c>
      <c r="L30" s="452">
        <v>183400.0</v>
      </c>
      <c r="M30" s="452">
        <v>182800.0</v>
      </c>
      <c r="N30" s="452">
        <v>179600.0</v>
      </c>
      <c r="O30" s="452">
        <v>182100.0</v>
      </c>
      <c r="P30" s="452">
        <v>182500.0</v>
      </c>
      <c r="Q30" s="452">
        <v>180600.0</v>
      </c>
      <c r="R30" s="452">
        <v>180600.0</v>
      </c>
      <c r="S30" s="452">
        <v>177700.0</v>
      </c>
      <c r="T30" s="452">
        <f t="shared" ref="T30:AZ30" si="18">S30*(1-0.0078)</f>
        <v>176313.94</v>
      </c>
      <c r="U30" s="452">
        <f t="shared" si="18"/>
        <v>174938.6913</v>
      </c>
      <c r="V30" s="452">
        <f t="shared" si="18"/>
        <v>173574.1695</v>
      </c>
      <c r="W30" s="452">
        <f t="shared" si="18"/>
        <v>172220.291</v>
      </c>
      <c r="X30" s="452">
        <f t="shared" si="18"/>
        <v>170876.9727</v>
      </c>
      <c r="Y30" s="452">
        <f t="shared" si="18"/>
        <v>169544.1323</v>
      </c>
      <c r="Z30" s="452">
        <f t="shared" si="18"/>
        <v>168221.6881</v>
      </c>
      <c r="AA30" s="452">
        <f t="shared" si="18"/>
        <v>166909.5589</v>
      </c>
      <c r="AB30" s="452">
        <f t="shared" si="18"/>
        <v>165607.6643</v>
      </c>
      <c r="AC30" s="452">
        <f t="shared" si="18"/>
        <v>164315.9246</v>
      </c>
      <c r="AD30" s="452">
        <f t="shared" si="18"/>
        <v>163034.2603</v>
      </c>
      <c r="AE30" s="452">
        <f t="shared" si="18"/>
        <v>161762.5931</v>
      </c>
      <c r="AF30" s="452">
        <f t="shared" si="18"/>
        <v>160500.8449</v>
      </c>
      <c r="AG30" s="452">
        <f t="shared" si="18"/>
        <v>159248.9383</v>
      </c>
      <c r="AH30" s="452">
        <f t="shared" si="18"/>
        <v>158006.7966</v>
      </c>
      <c r="AI30" s="452">
        <f t="shared" si="18"/>
        <v>156774.3436</v>
      </c>
      <c r="AJ30" s="452">
        <f t="shared" si="18"/>
        <v>155551.5037</v>
      </c>
      <c r="AK30" s="452">
        <f t="shared" si="18"/>
        <v>154338.202</v>
      </c>
      <c r="AL30" s="452">
        <f t="shared" si="18"/>
        <v>153134.364</v>
      </c>
      <c r="AM30" s="452">
        <f t="shared" si="18"/>
        <v>151939.9159</v>
      </c>
      <c r="AN30" s="452">
        <f t="shared" si="18"/>
        <v>150754.7846</v>
      </c>
      <c r="AO30" s="452">
        <f t="shared" si="18"/>
        <v>149578.8973</v>
      </c>
      <c r="AP30" s="452">
        <f t="shared" si="18"/>
        <v>148412.1819</v>
      </c>
      <c r="AQ30" s="452">
        <f t="shared" si="18"/>
        <v>147254.5669</v>
      </c>
      <c r="AR30" s="452">
        <f t="shared" si="18"/>
        <v>146105.9812</v>
      </c>
      <c r="AS30" s="452">
        <f t="shared" si="18"/>
        <v>144966.3546</v>
      </c>
      <c r="AT30" s="452">
        <f t="shared" si="18"/>
        <v>143835.617</v>
      </c>
      <c r="AU30" s="452">
        <f t="shared" si="18"/>
        <v>142713.6992</v>
      </c>
      <c r="AV30" s="452">
        <f t="shared" si="18"/>
        <v>141600.5324</v>
      </c>
      <c r="AW30" s="452">
        <f t="shared" si="18"/>
        <v>140496.0482</v>
      </c>
      <c r="AX30" s="452">
        <f t="shared" si="18"/>
        <v>139400.179</v>
      </c>
      <c r="AY30" s="452">
        <f t="shared" si="18"/>
        <v>138312.8576</v>
      </c>
      <c r="AZ30" s="452">
        <f t="shared" si="18"/>
        <v>137234.0173</v>
      </c>
    </row>
    <row r="31">
      <c r="A31" s="449" t="s">
        <v>514</v>
      </c>
      <c r="B31" s="450">
        <f t="shared" ref="B31:R31" si="19">B25/B28</f>
        <v>0.9122634558</v>
      </c>
      <c r="C31" s="450">
        <f t="shared" si="19"/>
        <v>0.8807011744</v>
      </c>
      <c r="D31" s="450">
        <f t="shared" si="19"/>
        <v>0.981160994</v>
      </c>
      <c r="E31" s="450">
        <f t="shared" si="19"/>
        <v>0.9707748078</v>
      </c>
      <c r="F31" s="450">
        <f t="shared" si="19"/>
        <v>0.9807779724</v>
      </c>
      <c r="G31" s="450">
        <f t="shared" si="19"/>
        <v>0.9490143288</v>
      </c>
      <c r="H31" s="450">
        <f t="shared" si="19"/>
        <v>0.9324304913</v>
      </c>
      <c r="I31" s="450">
        <f t="shared" si="19"/>
        <v>0.9116103627</v>
      </c>
      <c r="J31" s="450">
        <f t="shared" si="19"/>
        <v>0.9232540215</v>
      </c>
      <c r="K31" s="450">
        <f t="shared" si="19"/>
        <v>0.8721252992</v>
      </c>
      <c r="L31" s="450">
        <f t="shared" si="19"/>
        <v>0.9317334685</v>
      </c>
      <c r="M31" s="450">
        <f t="shared" si="19"/>
        <v>0.9019885327</v>
      </c>
      <c r="N31" s="450">
        <f t="shared" si="19"/>
        <v>0.8615910328</v>
      </c>
      <c r="O31" s="450">
        <f t="shared" si="19"/>
        <v>0.7940420642</v>
      </c>
      <c r="P31" s="450">
        <f t="shared" si="19"/>
        <v>0.9293330242</v>
      </c>
      <c r="Q31" s="450">
        <f t="shared" si="19"/>
        <v>0.9736843341</v>
      </c>
      <c r="R31" s="450">
        <f t="shared" si="19"/>
        <v>0.9823980065</v>
      </c>
    </row>
    <row r="32">
      <c r="A32" s="449" t="s">
        <v>515</v>
      </c>
      <c r="B32" s="450">
        <f t="shared" ref="B32:R32" si="20">B26/B29</f>
        <v>0.8826435828</v>
      </c>
      <c r="C32" s="450">
        <f t="shared" si="20"/>
        <v>0.8751731119</v>
      </c>
      <c r="D32" s="450">
        <f t="shared" si="20"/>
        <v>0.9825901045</v>
      </c>
      <c r="E32" s="450">
        <f t="shared" si="20"/>
        <v>0.9698922491</v>
      </c>
      <c r="F32" s="450">
        <f t="shared" si="20"/>
        <v>0.9785309699</v>
      </c>
      <c r="G32" s="450">
        <f t="shared" si="20"/>
        <v>0.9586095452</v>
      </c>
      <c r="H32" s="450">
        <f t="shared" si="20"/>
        <v>0.9274013518</v>
      </c>
      <c r="I32" s="450">
        <f t="shared" si="20"/>
        <v>0.9093503257</v>
      </c>
      <c r="J32" s="450">
        <f t="shared" si="20"/>
        <v>0.9506928651</v>
      </c>
      <c r="K32" s="450">
        <f t="shared" si="20"/>
        <v>0.8862003994</v>
      </c>
      <c r="L32" s="450">
        <f t="shared" si="20"/>
        <v>0.9208823641</v>
      </c>
      <c r="M32" s="450">
        <f t="shared" si="20"/>
        <v>0.901757867</v>
      </c>
      <c r="N32" s="450">
        <f t="shared" si="20"/>
        <v>0.8439575496</v>
      </c>
      <c r="O32" s="450">
        <f t="shared" si="20"/>
        <v>0.8405972549</v>
      </c>
      <c r="P32" s="450">
        <f t="shared" si="20"/>
        <v>0.9276798075</v>
      </c>
      <c r="Q32" s="450">
        <f t="shared" si="20"/>
        <v>0.9732888562</v>
      </c>
      <c r="R32" s="450">
        <f t="shared" si="20"/>
        <v>0.9828613548</v>
      </c>
    </row>
    <row r="33">
      <c r="A33" s="449" t="s">
        <v>516</v>
      </c>
      <c r="B33" s="450">
        <f t="shared" ref="B33:R33" si="21">B27/B30</f>
        <v>0.8607027499</v>
      </c>
      <c r="C33" s="450">
        <f t="shared" si="21"/>
        <v>0.8143094447</v>
      </c>
      <c r="D33" s="450">
        <f t="shared" si="21"/>
        <v>0.9983211679</v>
      </c>
      <c r="E33" s="450">
        <f t="shared" si="21"/>
        <v>1.001720648</v>
      </c>
      <c r="F33" s="450">
        <f t="shared" si="21"/>
        <v>0.9806819289</v>
      </c>
      <c r="G33" s="450">
        <f t="shared" si="21"/>
        <v>0.9603638201</v>
      </c>
      <c r="H33" s="450">
        <f t="shared" si="21"/>
        <v>0.9089519876</v>
      </c>
      <c r="I33" s="450">
        <f t="shared" si="21"/>
        <v>0.9337133891</v>
      </c>
      <c r="J33" s="450">
        <f t="shared" si="21"/>
        <v>1.098297872</v>
      </c>
      <c r="K33" s="450">
        <f t="shared" si="21"/>
        <v>0.8866111952</v>
      </c>
      <c r="L33" s="450">
        <f t="shared" si="21"/>
        <v>0.984214831</v>
      </c>
      <c r="M33" s="450">
        <f t="shared" si="21"/>
        <v>0.9383150985</v>
      </c>
      <c r="N33" s="450">
        <f t="shared" si="21"/>
        <v>0.9065367483</v>
      </c>
      <c r="O33" s="450">
        <f t="shared" si="21"/>
        <v>0.8038056013</v>
      </c>
      <c r="P33" s="450">
        <f t="shared" si="21"/>
        <v>0.999660274</v>
      </c>
      <c r="Q33" s="450">
        <f t="shared" si="21"/>
        <v>1.009557032</v>
      </c>
      <c r="R33" s="450">
        <f t="shared" si="21"/>
        <v>1.025775194</v>
      </c>
    </row>
    <row r="34">
      <c r="A34" s="447" t="s">
        <v>517</v>
      </c>
      <c r="B34" s="454">
        <v>32.34</v>
      </c>
      <c r="C34" s="454">
        <v>36.05</v>
      </c>
      <c r="D34" s="454">
        <v>33.92</v>
      </c>
      <c r="E34" s="454">
        <v>41.67</v>
      </c>
      <c r="F34" s="454">
        <v>45.4</v>
      </c>
      <c r="G34" s="454">
        <v>49.97</v>
      </c>
      <c r="H34" s="454">
        <v>48.08</v>
      </c>
      <c r="I34" s="454">
        <v>48.23</v>
      </c>
      <c r="J34" s="454">
        <v>56.65</v>
      </c>
      <c r="K34" s="454">
        <v>45.88</v>
      </c>
      <c r="L34" s="454">
        <v>44.8</v>
      </c>
      <c r="M34" s="454">
        <v>41.54</v>
      </c>
      <c r="N34" s="454">
        <v>33.05</v>
      </c>
      <c r="O34" s="454">
        <v>35.69</v>
      </c>
      <c r="P34" s="454">
        <v>46.45</v>
      </c>
      <c r="Q34" s="454">
        <v>41.97</v>
      </c>
      <c r="R34" s="454">
        <v>39.09</v>
      </c>
    </row>
    <row r="35">
      <c r="A35" s="447" t="s">
        <v>518</v>
      </c>
      <c r="B35" s="454">
        <v>11.95</v>
      </c>
      <c r="C35" s="454">
        <v>14.68</v>
      </c>
      <c r="D35" s="454">
        <v>12.96</v>
      </c>
      <c r="E35" s="454">
        <v>16.61</v>
      </c>
      <c r="F35" s="454">
        <v>17.7</v>
      </c>
      <c r="G35" s="454">
        <v>20.23</v>
      </c>
      <c r="H35" s="454">
        <v>19.3</v>
      </c>
      <c r="I35" s="454">
        <v>19.0</v>
      </c>
      <c r="J35" s="454">
        <v>23.32</v>
      </c>
      <c r="K35" s="454">
        <v>18.44</v>
      </c>
      <c r="L35" s="454">
        <v>17.41</v>
      </c>
      <c r="M35" s="454">
        <v>16.25</v>
      </c>
      <c r="N35" s="454">
        <v>12.6</v>
      </c>
      <c r="O35" s="454">
        <v>14.41</v>
      </c>
      <c r="P35" s="454">
        <v>18.7</v>
      </c>
      <c r="Q35" s="454">
        <v>16.64</v>
      </c>
      <c r="R35" s="454">
        <v>15.13</v>
      </c>
    </row>
    <row r="36">
      <c r="A36" s="447" t="s">
        <v>519</v>
      </c>
      <c r="B36" s="454">
        <v>3.62</v>
      </c>
      <c r="C36" s="454">
        <v>4.1</v>
      </c>
      <c r="D36" s="454">
        <v>6.64</v>
      </c>
      <c r="E36" s="454">
        <v>4.96</v>
      </c>
      <c r="F36" s="454">
        <v>10.55</v>
      </c>
      <c r="G36" s="454">
        <v>6.62</v>
      </c>
      <c r="H36" s="454">
        <v>6.06</v>
      </c>
      <c r="I36" s="454">
        <v>5.24</v>
      </c>
      <c r="J36" s="454">
        <v>6.9</v>
      </c>
      <c r="K36" s="454">
        <v>4.43</v>
      </c>
      <c r="L36" s="454">
        <v>4.58</v>
      </c>
      <c r="M36" s="454">
        <v>4.42</v>
      </c>
      <c r="N36" s="454">
        <v>3.68</v>
      </c>
      <c r="O36" s="454">
        <v>4.1</v>
      </c>
      <c r="P36" s="454">
        <v>5.04</v>
      </c>
      <c r="Q36" s="454">
        <v>4.35</v>
      </c>
      <c r="R36" s="454">
        <v>4.3</v>
      </c>
    </row>
    <row r="37">
      <c r="A37" s="447" t="s">
        <v>520</v>
      </c>
      <c r="B37" s="454">
        <v>35.83</v>
      </c>
      <c r="C37" s="454">
        <v>42.45</v>
      </c>
      <c r="D37" s="454">
        <v>35.06</v>
      </c>
      <c r="E37" s="454">
        <v>43.66</v>
      </c>
      <c r="F37" s="454">
        <v>47.27</v>
      </c>
      <c r="G37" s="454">
        <v>55.68</v>
      </c>
      <c r="H37" s="454">
        <v>53.96</v>
      </c>
      <c r="I37" s="454">
        <v>55.03</v>
      </c>
      <c r="J37" s="454">
        <v>60.19</v>
      </c>
      <c r="K37" s="454">
        <v>50.5</v>
      </c>
      <c r="L37" s="454">
        <v>47.23</v>
      </c>
      <c r="M37" s="454">
        <v>45.05</v>
      </c>
      <c r="N37" s="454">
        <v>37.7</v>
      </c>
      <c r="O37" s="454">
        <v>42.94</v>
      </c>
      <c r="P37" s="454">
        <v>47.2</v>
      </c>
      <c r="Q37" s="454">
        <v>40.45</v>
      </c>
      <c r="R37" s="454">
        <v>37.13</v>
      </c>
      <c r="S37" s="454">
        <v>41.05</v>
      </c>
    </row>
    <row r="38">
      <c r="A38" s="447" t="s">
        <v>521</v>
      </c>
      <c r="B38" s="454">
        <v>13.34</v>
      </c>
      <c r="C38" s="454">
        <v>16.85</v>
      </c>
      <c r="D38" s="454">
        <v>13.51</v>
      </c>
      <c r="E38" s="454">
        <v>14.35</v>
      </c>
      <c r="F38" s="454">
        <v>18.69</v>
      </c>
      <c r="G38" s="454">
        <v>22.65</v>
      </c>
      <c r="H38" s="454">
        <v>21.56</v>
      </c>
      <c r="I38" s="454">
        <v>21.25</v>
      </c>
      <c r="J38" s="454">
        <v>23.59</v>
      </c>
      <c r="K38" s="454">
        <v>18.45</v>
      </c>
      <c r="L38" s="454">
        <v>16.58</v>
      </c>
      <c r="M38" s="454">
        <v>15.63</v>
      </c>
      <c r="N38" s="454">
        <v>12.65</v>
      </c>
      <c r="O38" s="454">
        <v>14.68</v>
      </c>
      <c r="P38" s="454">
        <v>16.99</v>
      </c>
      <c r="Q38" s="454">
        <v>14.06</v>
      </c>
      <c r="R38" s="454">
        <v>12.44</v>
      </c>
      <c r="S38" s="454">
        <v>13.91</v>
      </c>
    </row>
    <row r="39">
      <c r="A39" s="447" t="s">
        <v>522</v>
      </c>
      <c r="B39" s="454">
        <v>7.43</v>
      </c>
      <c r="C39" s="454">
        <v>7.51</v>
      </c>
      <c r="D39" s="454">
        <v>6.84</v>
      </c>
      <c r="E39" s="454">
        <v>9.48</v>
      </c>
      <c r="F39" s="454">
        <v>11.23</v>
      </c>
      <c r="G39" s="454">
        <v>13.75</v>
      </c>
      <c r="H39" s="454">
        <v>12.01</v>
      </c>
      <c r="I39" s="454">
        <v>11.32</v>
      </c>
      <c r="J39" s="454">
        <v>13.21</v>
      </c>
      <c r="K39" s="454">
        <v>6.17</v>
      </c>
      <c r="L39" s="454">
        <v>6.44</v>
      </c>
      <c r="M39" s="454">
        <v>5.87</v>
      </c>
      <c r="N39" s="454">
        <v>4.53</v>
      </c>
      <c r="O39" s="454">
        <v>5.71</v>
      </c>
      <c r="P39" s="454">
        <v>6.73</v>
      </c>
      <c r="Q39" s="454">
        <v>4.43</v>
      </c>
      <c r="R39" s="454">
        <v>4.0</v>
      </c>
      <c r="S39" s="454">
        <v>4.72</v>
      </c>
    </row>
    <row r="40">
      <c r="A40" s="449" t="s">
        <v>523</v>
      </c>
      <c r="B40" s="450">
        <f t="shared" ref="B40:R40" si="22">B34/B37</f>
        <v>0.9025955903</v>
      </c>
      <c r="C40" s="450">
        <f t="shared" si="22"/>
        <v>0.8492343934</v>
      </c>
      <c r="D40" s="450">
        <f t="shared" si="22"/>
        <v>0.9674843126</v>
      </c>
      <c r="E40" s="450">
        <f t="shared" si="22"/>
        <v>0.9544205222</v>
      </c>
      <c r="F40" s="450">
        <f t="shared" si="22"/>
        <v>0.9604400254</v>
      </c>
      <c r="G40" s="450">
        <f t="shared" si="22"/>
        <v>0.8974497126</v>
      </c>
      <c r="H40" s="450">
        <f t="shared" si="22"/>
        <v>0.8910303929</v>
      </c>
      <c r="I40" s="450">
        <f t="shared" si="22"/>
        <v>0.8764310376</v>
      </c>
      <c r="J40" s="450">
        <f t="shared" si="22"/>
        <v>0.9411862436</v>
      </c>
      <c r="K40" s="450">
        <f t="shared" si="22"/>
        <v>0.9085148515</v>
      </c>
      <c r="L40" s="450">
        <f t="shared" si="22"/>
        <v>0.9485496506</v>
      </c>
      <c r="M40" s="450">
        <f t="shared" si="22"/>
        <v>0.9220865705</v>
      </c>
      <c r="N40" s="450">
        <f t="shared" si="22"/>
        <v>0.8766578249</v>
      </c>
      <c r="O40" s="450">
        <f t="shared" si="22"/>
        <v>0.8311597578</v>
      </c>
      <c r="P40" s="450">
        <f t="shared" si="22"/>
        <v>0.9841101695</v>
      </c>
      <c r="Q40" s="450">
        <f t="shared" si="22"/>
        <v>1.037577256</v>
      </c>
      <c r="R40" s="450">
        <f t="shared" si="22"/>
        <v>1.052787503</v>
      </c>
      <c r="S40" s="454"/>
    </row>
    <row r="41">
      <c r="A41" s="449" t="s">
        <v>524</v>
      </c>
      <c r="B41" s="450">
        <f t="shared" ref="B41:R41" si="23">B35/B38</f>
        <v>0.895802099</v>
      </c>
      <c r="C41" s="450">
        <f t="shared" si="23"/>
        <v>0.8712166172</v>
      </c>
      <c r="D41" s="450">
        <f t="shared" si="23"/>
        <v>0.9592894152</v>
      </c>
      <c r="E41" s="450">
        <f t="shared" si="23"/>
        <v>1.157491289</v>
      </c>
      <c r="F41" s="450">
        <f t="shared" si="23"/>
        <v>0.9470304976</v>
      </c>
      <c r="G41" s="450">
        <f t="shared" si="23"/>
        <v>0.8931567329</v>
      </c>
      <c r="H41" s="450">
        <f t="shared" si="23"/>
        <v>0.8951762523</v>
      </c>
      <c r="I41" s="450">
        <f t="shared" si="23"/>
        <v>0.8941176471</v>
      </c>
      <c r="J41" s="450">
        <f t="shared" si="23"/>
        <v>0.9885544722</v>
      </c>
      <c r="K41" s="450">
        <f t="shared" si="23"/>
        <v>0.9994579946</v>
      </c>
      <c r="L41" s="450">
        <f t="shared" si="23"/>
        <v>1.050060314</v>
      </c>
      <c r="M41" s="450">
        <f t="shared" si="23"/>
        <v>1.039667306</v>
      </c>
      <c r="N41" s="450">
        <f t="shared" si="23"/>
        <v>0.9960474308</v>
      </c>
      <c r="O41" s="450">
        <f t="shared" si="23"/>
        <v>0.9816076294</v>
      </c>
      <c r="P41" s="450">
        <f t="shared" si="23"/>
        <v>1.10064744</v>
      </c>
      <c r="Q41" s="450">
        <f t="shared" si="23"/>
        <v>1.183499289</v>
      </c>
      <c r="R41" s="450">
        <f t="shared" si="23"/>
        <v>1.216237942</v>
      </c>
      <c r="S41" s="454"/>
    </row>
    <row r="42">
      <c r="A42" s="449" t="s">
        <v>525</v>
      </c>
      <c r="B42" s="450">
        <f t="shared" ref="B42:R42" si="24">B36/B39</f>
        <v>0.4872139973</v>
      </c>
      <c r="C42" s="450">
        <f t="shared" si="24"/>
        <v>0.5459387483</v>
      </c>
      <c r="D42" s="450">
        <f t="shared" si="24"/>
        <v>0.9707602339</v>
      </c>
      <c r="E42" s="450">
        <f t="shared" si="24"/>
        <v>0.5232067511</v>
      </c>
      <c r="F42" s="450">
        <f t="shared" si="24"/>
        <v>0.9394479074</v>
      </c>
      <c r="G42" s="450">
        <f t="shared" si="24"/>
        <v>0.4814545455</v>
      </c>
      <c r="H42" s="450">
        <f t="shared" si="24"/>
        <v>0.5045795171</v>
      </c>
      <c r="I42" s="450">
        <f t="shared" si="24"/>
        <v>0.4628975265</v>
      </c>
      <c r="J42" s="450">
        <f t="shared" si="24"/>
        <v>0.522331567</v>
      </c>
      <c r="K42" s="450">
        <f t="shared" si="24"/>
        <v>0.7179902755</v>
      </c>
      <c r="L42" s="450">
        <f t="shared" si="24"/>
        <v>0.7111801242</v>
      </c>
      <c r="M42" s="450">
        <f t="shared" si="24"/>
        <v>0.7529812606</v>
      </c>
      <c r="N42" s="450">
        <f t="shared" si="24"/>
        <v>0.8123620309</v>
      </c>
      <c r="O42" s="450">
        <f t="shared" si="24"/>
        <v>0.7180385289</v>
      </c>
      <c r="P42" s="450">
        <f t="shared" si="24"/>
        <v>0.7488855869</v>
      </c>
      <c r="Q42" s="450">
        <f t="shared" si="24"/>
        <v>0.9819413093</v>
      </c>
      <c r="R42" s="450">
        <f t="shared" si="24"/>
        <v>1.075</v>
      </c>
      <c r="S42" s="454"/>
    </row>
    <row r="43">
      <c r="A43" s="447" t="s">
        <v>526</v>
      </c>
      <c r="B43" s="454">
        <v>34.7</v>
      </c>
      <c r="C43" s="455">
        <f t="shared" ref="C43:F43" si="25">19.8+14.1*ln(C54)</f>
        <v>39.20504076</v>
      </c>
      <c r="D43" s="455">
        <f t="shared" si="25"/>
        <v>36.9720475</v>
      </c>
      <c r="E43" s="455">
        <f t="shared" si="25"/>
        <v>43.75982849</v>
      </c>
      <c r="F43" s="455">
        <f t="shared" si="25"/>
        <v>44.80290957</v>
      </c>
      <c r="G43" s="454">
        <v>51.02</v>
      </c>
      <c r="H43" s="455">
        <f t="shared" ref="H43:K43" si="26">19.8+14.1*ln(H54)</f>
        <v>46.68270953</v>
      </c>
      <c r="I43" s="455">
        <f t="shared" si="26"/>
        <v>47.17677467</v>
      </c>
      <c r="J43" s="455">
        <f t="shared" si="26"/>
        <v>50.55980938</v>
      </c>
      <c r="K43" s="455">
        <f t="shared" si="26"/>
        <v>39.1336482</v>
      </c>
      <c r="L43" s="454">
        <v>44.62</v>
      </c>
      <c r="M43" s="455">
        <f t="shared" ref="M43:P43" si="27">19.8+14.1*ln(M54)</f>
        <v>39.34675049</v>
      </c>
      <c r="N43" s="455">
        <f t="shared" si="27"/>
        <v>34.06357285</v>
      </c>
      <c r="O43" s="455">
        <f t="shared" si="27"/>
        <v>38.36135609</v>
      </c>
      <c r="P43" s="455">
        <f t="shared" si="27"/>
        <v>40.59415843</v>
      </c>
      <c r="Q43" s="454">
        <v>33.11</v>
      </c>
      <c r="R43" s="454">
        <v>33.13</v>
      </c>
      <c r="S43" s="454">
        <v>36.8</v>
      </c>
      <c r="T43" s="455">
        <f t="shared" ref="T43:AZ43" si="28">19.9+14.1*ln(T54)</f>
        <v>36.16761539</v>
      </c>
      <c r="U43" s="455">
        <f t="shared" si="28"/>
        <v>35.85692639</v>
      </c>
      <c r="V43" s="455">
        <f t="shared" si="28"/>
        <v>36.5076337</v>
      </c>
      <c r="W43" s="455">
        <f t="shared" si="28"/>
        <v>36.48909433</v>
      </c>
      <c r="X43" s="455">
        <f t="shared" si="28"/>
        <v>36.85639967</v>
      </c>
      <c r="Y43" s="455">
        <f t="shared" si="28"/>
        <v>37.78715351</v>
      </c>
      <c r="Z43" s="455">
        <f t="shared" si="28"/>
        <v>38.88354017</v>
      </c>
      <c r="AA43" s="455">
        <f t="shared" si="28"/>
        <v>40.14506827</v>
      </c>
      <c r="AB43" s="455">
        <f t="shared" si="28"/>
        <v>40.74575316</v>
      </c>
      <c r="AC43" s="455">
        <f t="shared" si="28"/>
        <v>41.15522819</v>
      </c>
      <c r="AD43" s="455">
        <f t="shared" si="28"/>
        <v>41.77223881</v>
      </c>
      <c r="AE43" s="455">
        <f t="shared" si="28"/>
        <v>42.14702468</v>
      </c>
      <c r="AF43" s="455">
        <f t="shared" si="28"/>
        <v>42.58832489</v>
      </c>
      <c r="AG43" s="455">
        <f t="shared" si="28"/>
        <v>42.83324141</v>
      </c>
      <c r="AH43" s="455">
        <f t="shared" si="28"/>
        <v>43.62875724</v>
      </c>
      <c r="AI43" s="455">
        <f t="shared" si="28"/>
        <v>44.14514729</v>
      </c>
      <c r="AJ43" s="455">
        <f t="shared" si="28"/>
        <v>44.60191273</v>
      </c>
      <c r="AK43" s="455">
        <f t="shared" si="28"/>
        <v>45.05559512</v>
      </c>
      <c r="AL43" s="455">
        <f t="shared" si="28"/>
        <v>45.63293413</v>
      </c>
      <c r="AM43" s="455">
        <f t="shared" si="28"/>
        <v>46.01313387</v>
      </c>
      <c r="AN43" s="455">
        <f t="shared" si="28"/>
        <v>46.3588709</v>
      </c>
      <c r="AO43" s="455">
        <f t="shared" si="28"/>
        <v>46.74513213</v>
      </c>
      <c r="AP43" s="455">
        <f t="shared" si="28"/>
        <v>47.25950221</v>
      </c>
      <c r="AQ43" s="455">
        <f t="shared" si="28"/>
        <v>47.53512794</v>
      </c>
      <c r="AR43" s="455">
        <f t="shared" si="28"/>
        <v>47.99327814</v>
      </c>
      <c r="AS43" s="455">
        <f t="shared" si="28"/>
        <v>48.5160125</v>
      </c>
      <c r="AT43" s="455">
        <f t="shared" si="28"/>
        <v>49.09885153</v>
      </c>
      <c r="AU43" s="455">
        <f t="shared" si="28"/>
        <v>49.65813298</v>
      </c>
      <c r="AV43" s="455">
        <f t="shared" si="28"/>
        <v>50.14684005</v>
      </c>
      <c r="AW43" s="455">
        <f t="shared" si="28"/>
        <v>50.69050154</v>
      </c>
      <c r="AX43" s="455">
        <f t="shared" si="28"/>
        <v>51.41163096</v>
      </c>
      <c r="AY43" s="455">
        <f t="shared" si="28"/>
        <v>52.03489086</v>
      </c>
      <c r="AZ43" s="455">
        <f t="shared" si="28"/>
        <v>52.61293763</v>
      </c>
    </row>
    <row r="44">
      <c r="A44" s="456" t="s">
        <v>527</v>
      </c>
      <c r="B44" s="454">
        <v>27.09</v>
      </c>
      <c r="C44" s="455">
        <f t="shared" ref="C44:F44" si="29">4.98+17*ln(C54)</f>
        <v>28.37614843</v>
      </c>
      <c r="D44" s="455">
        <f t="shared" si="29"/>
        <v>25.68388706</v>
      </c>
      <c r="E44" s="455">
        <f t="shared" si="29"/>
        <v>33.86773648</v>
      </c>
      <c r="F44" s="455">
        <f t="shared" si="29"/>
        <v>35.12535196</v>
      </c>
      <c r="G44" s="454">
        <v>42.0</v>
      </c>
      <c r="H44" s="455">
        <f t="shared" ref="H44:K44" si="30">4.98+17*ln(H54)</f>
        <v>37.39177744</v>
      </c>
      <c r="I44" s="455">
        <f t="shared" si="30"/>
        <v>37.98745882</v>
      </c>
      <c r="J44" s="455">
        <f t="shared" si="30"/>
        <v>42.066295</v>
      </c>
      <c r="K44" s="455">
        <f t="shared" si="30"/>
        <v>28.2900723</v>
      </c>
      <c r="L44" s="454">
        <v>32.22</v>
      </c>
      <c r="M44" s="455">
        <f t="shared" ref="M44:P44" si="31">4.98+17*ln(M54)</f>
        <v>28.54700414</v>
      </c>
      <c r="N44" s="455">
        <f t="shared" si="31"/>
        <v>22.1772155</v>
      </c>
      <c r="O44" s="455">
        <f t="shared" si="31"/>
        <v>27.35893997</v>
      </c>
      <c r="P44" s="455">
        <f t="shared" si="31"/>
        <v>30.05097115</v>
      </c>
      <c r="Q44" s="454">
        <v>21.83</v>
      </c>
      <c r="R44" s="454">
        <v>20.84</v>
      </c>
      <c r="S44" s="454">
        <v>23.32</v>
      </c>
      <c r="T44" s="455">
        <f t="shared" ref="T44:AZ44" si="32">4.98+17*ln(T54)</f>
        <v>24.59343699</v>
      </c>
      <c r="U44" s="455">
        <f t="shared" si="32"/>
        <v>24.21884741</v>
      </c>
      <c r="V44" s="455">
        <f t="shared" si="32"/>
        <v>25.00338815</v>
      </c>
      <c r="W44" s="455">
        <f t="shared" si="32"/>
        <v>24.98103571</v>
      </c>
      <c r="X44" s="455">
        <f t="shared" si="32"/>
        <v>25.42388613</v>
      </c>
      <c r="Y44" s="455">
        <f t="shared" si="32"/>
        <v>26.5460716</v>
      </c>
      <c r="Z44" s="455">
        <f t="shared" si="32"/>
        <v>27.86795623</v>
      </c>
      <c r="AA44" s="455">
        <f t="shared" si="32"/>
        <v>29.38894756</v>
      </c>
      <c r="AB44" s="455">
        <f t="shared" si="32"/>
        <v>30.11317757</v>
      </c>
      <c r="AC44" s="455">
        <f t="shared" si="32"/>
        <v>30.60687087</v>
      </c>
      <c r="AD44" s="455">
        <f t="shared" si="32"/>
        <v>31.35078438</v>
      </c>
      <c r="AE44" s="455">
        <f t="shared" si="32"/>
        <v>31.80265387</v>
      </c>
      <c r="AF44" s="455">
        <f t="shared" si="32"/>
        <v>32.33471795</v>
      </c>
      <c r="AG44" s="455">
        <f t="shared" si="32"/>
        <v>32.63000737</v>
      </c>
      <c r="AH44" s="455">
        <f t="shared" si="32"/>
        <v>33.58913993</v>
      </c>
      <c r="AI44" s="455">
        <f t="shared" si="32"/>
        <v>34.21173787</v>
      </c>
      <c r="AJ44" s="455">
        <f t="shared" si="32"/>
        <v>34.76244797</v>
      </c>
      <c r="AK44" s="455">
        <f t="shared" si="32"/>
        <v>35.30944093</v>
      </c>
      <c r="AL44" s="455">
        <f t="shared" si="32"/>
        <v>36.00552341</v>
      </c>
      <c r="AM44" s="455">
        <f t="shared" si="32"/>
        <v>36.46392026</v>
      </c>
      <c r="AN44" s="455">
        <f t="shared" si="32"/>
        <v>36.88076633</v>
      </c>
      <c r="AO44" s="455">
        <f t="shared" si="32"/>
        <v>37.34647136</v>
      </c>
      <c r="AP44" s="455">
        <f t="shared" si="32"/>
        <v>37.96663388</v>
      </c>
      <c r="AQ44" s="455">
        <f t="shared" si="32"/>
        <v>38.29894859</v>
      </c>
      <c r="AR44" s="455">
        <f t="shared" si="32"/>
        <v>38.85132825</v>
      </c>
      <c r="AS44" s="455">
        <f t="shared" si="32"/>
        <v>39.48157535</v>
      </c>
      <c r="AT44" s="455">
        <f t="shared" si="32"/>
        <v>40.18428908</v>
      </c>
      <c r="AU44" s="455">
        <f t="shared" si="32"/>
        <v>40.85860004</v>
      </c>
      <c r="AV44" s="455">
        <f t="shared" si="32"/>
        <v>41.44782134</v>
      </c>
      <c r="AW44" s="455">
        <f t="shared" si="32"/>
        <v>42.10329973</v>
      </c>
      <c r="AX44" s="455">
        <f t="shared" si="32"/>
        <v>42.97274654</v>
      </c>
      <c r="AY44" s="455">
        <f t="shared" si="32"/>
        <v>43.72419466</v>
      </c>
      <c r="AZ44" s="455">
        <f t="shared" si="32"/>
        <v>44.42113048</v>
      </c>
    </row>
    <row r="45">
      <c r="A45" s="447" t="s">
        <v>528</v>
      </c>
      <c r="B45" s="454">
        <v>2.09</v>
      </c>
      <c r="C45" s="455">
        <f t="shared" ref="C45:F45" si="33">-0.842+1.76*ln(C48)</f>
        <v>1.82462393</v>
      </c>
      <c r="D45" s="455">
        <f t="shared" si="33"/>
        <v>1.951458454</v>
      </c>
      <c r="E45" s="455">
        <f t="shared" si="33"/>
        <v>1.56680539</v>
      </c>
      <c r="F45" s="455">
        <f t="shared" si="33"/>
        <v>2.174284353</v>
      </c>
      <c r="G45" s="454">
        <v>1.58</v>
      </c>
      <c r="H45" s="455">
        <f t="shared" ref="H45:K45" si="34">-0.842+1.76*ln(H48)</f>
        <v>2.04604838</v>
      </c>
      <c r="I45" s="455">
        <f t="shared" si="34"/>
        <v>1.937002521</v>
      </c>
      <c r="J45" s="455">
        <f t="shared" si="34"/>
        <v>2.135812876</v>
      </c>
      <c r="K45" s="455">
        <f t="shared" si="34"/>
        <v>1.972922135</v>
      </c>
      <c r="L45" s="454">
        <v>2.81</v>
      </c>
      <c r="M45" s="455">
        <f t="shared" ref="M45:P45" si="35">-0.842+1.76*ln(M48)</f>
        <v>2.580285779</v>
      </c>
      <c r="N45" s="455">
        <f t="shared" si="35"/>
        <v>2.671065482</v>
      </c>
      <c r="O45" s="455">
        <f t="shared" si="35"/>
        <v>2.817817113</v>
      </c>
      <c r="P45" s="455">
        <f t="shared" si="35"/>
        <v>3.151489825</v>
      </c>
      <c r="Q45" s="454">
        <v>3.26</v>
      </c>
      <c r="R45" s="454">
        <v>3.75</v>
      </c>
      <c r="S45" s="454">
        <v>4.02</v>
      </c>
      <c r="T45" s="455">
        <f t="shared" ref="T45:AZ45" si="36">-0.842+1.76*ln(T48)</f>
        <v>3.787153577</v>
      </c>
      <c r="U45" s="455">
        <f t="shared" si="36"/>
        <v>3.865844377</v>
      </c>
      <c r="V45" s="455">
        <f t="shared" si="36"/>
        <v>3.929669792</v>
      </c>
      <c r="W45" s="455">
        <f t="shared" si="36"/>
        <v>4.000784899</v>
      </c>
      <c r="X45" s="455">
        <f t="shared" si="36"/>
        <v>4.065274272</v>
      </c>
      <c r="Y45" s="455">
        <f t="shared" si="36"/>
        <v>4.121040073</v>
      </c>
      <c r="Z45" s="455">
        <f t="shared" si="36"/>
        <v>4.172963526</v>
      </c>
      <c r="AA45" s="455">
        <f t="shared" si="36"/>
        <v>4.220744976</v>
      </c>
      <c r="AB45" s="455">
        <f t="shared" si="36"/>
        <v>4.276674298</v>
      </c>
      <c r="AC45" s="455">
        <f t="shared" si="36"/>
        <v>4.334249681</v>
      </c>
      <c r="AD45" s="455">
        <f t="shared" si="36"/>
        <v>4.387571005</v>
      </c>
      <c r="AE45" s="455">
        <f t="shared" si="36"/>
        <v>4.443424508</v>
      </c>
      <c r="AF45" s="455">
        <f t="shared" si="36"/>
        <v>4.497220128</v>
      </c>
      <c r="AG45" s="455">
        <f t="shared" si="36"/>
        <v>4.552929734</v>
      </c>
      <c r="AH45" s="455">
        <f t="shared" si="36"/>
        <v>4.599408792</v>
      </c>
      <c r="AI45" s="455">
        <f t="shared" si="36"/>
        <v>4.649111649</v>
      </c>
      <c r="AJ45" s="455">
        <f t="shared" si="36"/>
        <v>4.698815134</v>
      </c>
      <c r="AK45" s="455">
        <f t="shared" si="36"/>
        <v>4.747686807</v>
      </c>
      <c r="AL45" s="455">
        <f t="shared" si="36"/>
        <v>4.793771283</v>
      </c>
      <c r="AM45" s="455">
        <f t="shared" si="36"/>
        <v>4.842121209</v>
      </c>
      <c r="AN45" s="455">
        <f t="shared" si="36"/>
        <v>4.890223127</v>
      </c>
      <c r="AO45" s="455">
        <f t="shared" si="36"/>
        <v>4.936925161</v>
      </c>
      <c r="AP45" s="455">
        <f t="shared" si="36"/>
        <v>4.980863598</v>
      </c>
      <c r="AQ45" s="455">
        <f t="shared" si="36"/>
        <v>5.027862211</v>
      </c>
      <c r="AR45" s="455">
        <f t="shared" si="36"/>
        <v>5.071277977</v>
      </c>
      <c r="AS45" s="455">
        <f t="shared" si="36"/>
        <v>5.11297171</v>
      </c>
      <c r="AT45" s="455">
        <f t="shared" si="36"/>
        <v>5.152992308</v>
      </c>
      <c r="AU45" s="455">
        <f t="shared" si="36"/>
        <v>5.192701014</v>
      </c>
      <c r="AV45" s="455">
        <f t="shared" si="36"/>
        <v>5.232927724</v>
      </c>
      <c r="AW45" s="455">
        <f t="shared" si="36"/>
        <v>5.271583399</v>
      </c>
      <c r="AX45" s="455">
        <f t="shared" si="36"/>
        <v>5.306472638</v>
      </c>
      <c r="AY45" s="455">
        <f t="shared" si="36"/>
        <v>5.342359505</v>
      </c>
      <c r="AZ45" s="455">
        <f t="shared" si="36"/>
        <v>5.378402642</v>
      </c>
    </row>
    <row r="46">
      <c r="A46" s="447" t="s">
        <v>529</v>
      </c>
      <c r="B46" s="454">
        <v>2.92</v>
      </c>
      <c r="C46" s="455">
        <f t="shared" ref="C46:F46" si="37">1.95+0.727*ln(C48)</f>
        <v>3.051497498</v>
      </c>
      <c r="D46" s="455">
        <f t="shared" si="37"/>
        <v>3.103888805</v>
      </c>
      <c r="E46" s="455">
        <f t="shared" si="37"/>
        <v>2.945000863</v>
      </c>
      <c r="F46" s="455">
        <f t="shared" si="37"/>
        <v>3.195931093</v>
      </c>
      <c r="G46" s="454">
        <v>3.23</v>
      </c>
      <c r="H46" s="455">
        <f t="shared" ref="H46:K46" si="38">1.95+0.727*ln(H48)</f>
        <v>3.142960893</v>
      </c>
      <c r="I46" s="455">
        <f t="shared" si="38"/>
        <v>3.097917518</v>
      </c>
      <c r="J46" s="455">
        <f t="shared" si="38"/>
        <v>3.18003975</v>
      </c>
      <c r="K46" s="455">
        <f t="shared" si="38"/>
        <v>3.112754768</v>
      </c>
      <c r="L46" s="454">
        <v>3.36</v>
      </c>
      <c r="M46" s="455">
        <f t="shared" ref="M46:P46" si="39">1.95+0.727*ln(M48)</f>
        <v>3.363637364</v>
      </c>
      <c r="N46" s="455">
        <f t="shared" si="39"/>
        <v>3.401135571</v>
      </c>
      <c r="O46" s="455">
        <f t="shared" si="39"/>
        <v>3.461754001</v>
      </c>
      <c r="P46" s="455">
        <f t="shared" si="39"/>
        <v>3.599583581</v>
      </c>
      <c r="Q46" s="454">
        <v>3.74</v>
      </c>
      <c r="R46" s="454">
        <v>3.75</v>
      </c>
      <c r="S46" s="454">
        <v>3.98</v>
      </c>
      <c r="T46" s="455">
        <f t="shared" ref="T46:AZ46" si="40">1.95+0.727*ln(T48)</f>
        <v>3.862156051</v>
      </c>
      <c r="U46" s="455">
        <f t="shared" si="40"/>
        <v>3.894660717</v>
      </c>
      <c r="V46" s="455">
        <f t="shared" si="40"/>
        <v>3.921024965</v>
      </c>
      <c r="W46" s="455">
        <f t="shared" si="40"/>
        <v>3.950400353</v>
      </c>
      <c r="X46" s="455">
        <f t="shared" si="40"/>
        <v>3.977038861</v>
      </c>
      <c r="Y46" s="455">
        <f t="shared" si="40"/>
        <v>4.000073939</v>
      </c>
      <c r="Z46" s="455">
        <f t="shared" si="40"/>
        <v>4.021521866</v>
      </c>
      <c r="AA46" s="455">
        <f t="shared" si="40"/>
        <v>4.041258862</v>
      </c>
      <c r="AB46" s="455">
        <f t="shared" si="40"/>
        <v>4.064361486</v>
      </c>
      <c r="AC46" s="455">
        <f t="shared" si="40"/>
        <v>4.088144044</v>
      </c>
      <c r="AD46" s="455">
        <f t="shared" si="40"/>
        <v>4.110169387</v>
      </c>
      <c r="AE46" s="455">
        <f t="shared" si="40"/>
        <v>4.133240691</v>
      </c>
      <c r="AF46" s="455">
        <f t="shared" si="40"/>
        <v>4.155461951</v>
      </c>
      <c r="AG46" s="455">
        <f t="shared" si="40"/>
        <v>4.178473816</v>
      </c>
      <c r="AH46" s="455">
        <f t="shared" si="40"/>
        <v>4.197672836</v>
      </c>
      <c r="AI46" s="455">
        <f t="shared" si="40"/>
        <v>4.218203505</v>
      </c>
      <c r="AJ46" s="455">
        <f t="shared" si="40"/>
        <v>4.238734433</v>
      </c>
      <c r="AK46" s="455">
        <f t="shared" si="40"/>
        <v>4.258921766</v>
      </c>
      <c r="AL46" s="455">
        <f t="shared" si="40"/>
        <v>4.277957797</v>
      </c>
      <c r="AM46" s="455">
        <f t="shared" si="40"/>
        <v>4.297929613</v>
      </c>
      <c r="AN46" s="455">
        <f t="shared" si="40"/>
        <v>4.317798985</v>
      </c>
      <c r="AO46" s="455">
        <f t="shared" si="40"/>
        <v>4.337090109</v>
      </c>
      <c r="AP46" s="455">
        <f t="shared" si="40"/>
        <v>4.355239679</v>
      </c>
      <c r="AQ46" s="455">
        <f t="shared" si="40"/>
        <v>4.374653311</v>
      </c>
      <c r="AR46" s="455">
        <f t="shared" si="40"/>
        <v>4.392586983</v>
      </c>
      <c r="AS46" s="455">
        <f t="shared" si="40"/>
        <v>4.409809337</v>
      </c>
      <c r="AT46" s="455">
        <f t="shared" si="40"/>
        <v>4.426340573</v>
      </c>
      <c r="AU46" s="455">
        <f t="shared" si="40"/>
        <v>4.442742976</v>
      </c>
      <c r="AV46" s="455">
        <f t="shared" si="40"/>
        <v>4.45935935</v>
      </c>
      <c r="AW46" s="455">
        <f t="shared" si="40"/>
        <v>4.475326779</v>
      </c>
      <c r="AX46" s="455">
        <f t="shared" si="40"/>
        <v>4.489738413</v>
      </c>
      <c r="AY46" s="455">
        <f t="shared" si="40"/>
        <v>4.504562136</v>
      </c>
      <c r="AZ46" s="455">
        <f t="shared" si="40"/>
        <v>4.51945041</v>
      </c>
    </row>
    <row r="47">
      <c r="A47" s="447" t="s">
        <v>530</v>
      </c>
      <c r="B47" s="454">
        <v>1.38</v>
      </c>
      <c r="C47" s="455">
        <f t="shared" ref="C47:F47" si="41">B47+($G$47-$B$47)/5</f>
        <v>1.41</v>
      </c>
      <c r="D47" s="455">
        <f t="shared" si="41"/>
        <v>1.44</v>
      </c>
      <c r="E47" s="455">
        <f t="shared" si="41"/>
        <v>1.47</v>
      </c>
      <c r="F47" s="455">
        <f t="shared" si="41"/>
        <v>1.5</v>
      </c>
      <c r="G47" s="454">
        <v>1.53</v>
      </c>
      <c r="H47" s="455">
        <f t="shared" ref="H47:K47" si="42">G47+($L$47-$G$47)/5</f>
        <v>1.518</v>
      </c>
      <c r="I47" s="455">
        <f t="shared" si="42"/>
        <v>1.506</v>
      </c>
      <c r="J47" s="455">
        <f t="shared" si="42"/>
        <v>1.494</v>
      </c>
      <c r="K47" s="455">
        <f t="shared" si="42"/>
        <v>1.482</v>
      </c>
      <c r="L47" s="454">
        <v>1.47</v>
      </c>
      <c r="M47" s="455">
        <f t="shared" ref="M47:P47" si="43">L47+($Q$47-$L$47)/5</f>
        <v>1.454</v>
      </c>
      <c r="N47" s="455">
        <f t="shared" si="43"/>
        <v>1.438</v>
      </c>
      <c r="O47" s="455">
        <f t="shared" si="43"/>
        <v>1.422</v>
      </c>
      <c r="P47" s="455">
        <f t="shared" si="43"/>
        <v>1.406</v>
      </c>
      <c r="Q47" s="454">
        <v>1.39</v>
      </c>
      <c r="R47" s="454">
        <v>1.52</v>
      </c>
      <c r="S47" s="454">
        <v>1.71</v>
      </c>
      <c r="T47" s="455">
        <f t="shared" ref="T47:AZ47" si="44">1.81-0.0948*T48+0.00567*(T48^2)</f>
        <v>1.586311009</v>
      </c>
      <c r="U47" s="455">
        <f t="shared" si="44"/>
        <v>1.628288767</v>
      </c>
      <c r="V47" s="455">
        <f t="shared" si="44"/>
        <v>1.667298639</v>
      </c>
      <c r="W47" s="455">
        <f t="shared" si="44"/>
        <v>1.716531038</v>
      </c>
      <c r="X47" s="455">
        <f t="shared" si="44"/>
        <v>1.766925042</v>
      </c>
      <c r="Y47" s="455">
        <f t="shared" si="44"/>
        <v>1.81530268</v>
      </c>
      <c r="Z47" s="455">
        <f t="shared" si="44"/>
        <v>1.864666589</v>
      </c>
      <c r="AA47" s="455">
        <f t="shared" si="44"/>
        <v>1.914033582</v>
      </c>
      <c r="AB47" s="455">
        <f t="shared" si="44"/>
        <v>1.97695581</v>
      </c>
      <c r="AC47" s="455">
        <f t="shared" si="44"/>
        <v>2.047939378</v>
      </c>
      <c r="AD47" s="455">
        <f t="shared" si="44"/>
        <v>2.119718086</v>
      </c>
      <c r="AE47" s="455">
        <f t="shared" si="44"/>
        <v>2.201598462</v>
      </c>
      <c r="AF47" s="455">
        <f t="shared" si="44"/>
        <v>2.287405666</v>
      </c>
      <c r="AG47" s="455">
        <f t="shared" si="44"/>
        <v>2.383972952</v>
      </c>
      <c r="AH47" s="455">
        <f t="shared" si="44"/>
        <v>2.470952051</v>
      </c>
      <c r="AI47" s="455">
        <f t="shared" si="44"/>
        <v>2.5708468</v>
      </c>
      <c r="AJ47" s="455">
        <f t="shared" si="44"/>
        <v>2.67830867</v>
      </c>
      <c r="AK47" s="455">
        <f t="shared" si="44"/>
        <v>2.791824212</v>
      </c>
      <c r="AL47" s="455">
        <f t="shared" si="44"/>
        <v>2.906444394</v>
      </c>
      <c r="AM47" s="455">
        <f t="shared" si="44"/>
        <v>3.035094907</v>
      </c>
      <c r="AN47" s="455">
        <f t="shared" si="44"/>
        <v>3.172139113</v>
      </c>
      <c r="AO47" s="455">
        <f t="shared" si="44"/>
        <v>3.314364624</v>
      </c>
      <c r="AP47" s="455">
        <f t="shared" si="44"/>
        <v>3.456910185</v>
      </c>
      <c r="AQ47" s="455">
        <f t="shared" si="44"/>
        <v>3.619307919</v>
      </c>
      <c r="AR47" s="455">
        <f t="shared" si="44"/>
        <v>3.778959948</v>
      </c>
      <c r="AS47" s="455">
        <f t="shared" si="44"/>
        <v>3.941475187</v>
      </c>
      <c r="AT47" s="455">
        <f t="shared" si="44"/>
        <v>4.106389876</v>
      </c>
      <c r="AU47" s="455">
        <f t="shared" si="44"/>
        <v>4.27909623</v>
      </c>
      <c r="AV47" s="455">
        <f t="shared" si="44"/>
        <v>4.463738071</v>
      </c>
      <c r="AW47" s="455">
        <f t="shared" si="44"/>
        <v>4.650805852</v>
      </c>
      <c r="AX47" s="455">
        <f t="shared" si="44"/>
        <v>4.828140577</v>
      </c>
      <c r="AY47" s="455">
        <f t="shared" si="44"/>
        <v>5.019336507</v>
      </c>
      <c r="AZ47" s="455">
        <f t="shared" si="44"/>
        <v>5.220735463</v>
      </c>
    </row>
    <row r="48">
      <c r="A48" s="456" t="s">
        <v>531</v>
      </c>
      <c r="B48" s="454">
        <v>5.44</v>
      </c>
      <c r="C48" s="454">
        <v>4.55</v>
      </c>
      <c r="D48" s="454">
        <v>4.89</v>
      </c>
      <c r="E48" s="454">
        <v>3.93</v>
      </c>
      <c r="F48" s="454">
        <v>5.55</v>
      </c>
      <c r="G48" s="454">
        <v>5.02</v>
      </c>
      <c r="H48" s="454">
        <v>5.16</v>
      </c>
      <c r="I48" s="454">
        <v>4.85</v>
      </c>
      <c r="J48" s="454">
        <v>5.43</v>
      </c>
      <c r="K48" s="454">
        <v>4.95</v>
      </c>
      <c r="L48" s="454">
        <v>5.67</v>
      </c>
      <c r="M48" s="454">
        <v>6.99</v>
      </c>
      <c r="N48" s="454">
        <v>7.36</v>
      </c>
      <c r="O48" s="454">
        <v>8.0</v>
      </c>
      <c r="P48" s="454">
        <v>9.67</v>
      </c>
      <c r="Q48" s="454">
        <v>11.61</v>
      </c>
      <c r="R48" s="454">
        <v>13.43</v>
      </c>
      <c r="S48" s="454">
        <v>14.88</v>
      </c>
      <c r="T48" s="455">
        <f t="shared" ref="T48:AZ48" si="45">-79.47-0.5*T54+0.0000032*T28-0.00003*T29+0.00021*T30</f>
        <v>13.87655737</v>
      </c>
      <c r="U48" s="455">
        <f t="shared" si="45"/>
        <v>14.51106668</v>
      </c>
      <c r="V48" s="455">
        <f t="shared" si="45"/>
        <v>15.04696062</v>
      </c>
      <c r="W48" s="455">
        <f t="shared" si="45"/>
        <v>15.66740327</v>
      </c>
      <c r="X48" s="455">
        <f t="shared" si="45"/>
        <v>16.25213067</v>
      </c>
      <c r="Y48" s="455">
        <f t="shared" si="45"/>
        <v>16.77532627</v>
      </c>
      <c r="Z48" s="455">
        <f t="shared" si="45"/>
        <v>17.27760397</v>
      </c>
      <c r="AA48" s="455">
        <f t="shared" si="45"/>
        <v>17.75309107</v>
      </c>
      <c r="AB48" s="455">
        <f t="shared" si="45"/>
        <v>18.32630884</v>
      </c>
      <c r="AC48" s="455">
        <f t="shared" si="45"/>
        <v>18.93573647</v>
      </c>
      <c r="AD48" s="455">
        <f t="shared" si="45"/>
        <v>19.51819606</v>
      </c>
      <c r="AE48" s="455">
        <f t="shared" si="45"/>
        <v>20.14753819</v>
      </c>
      <c r="AF48" s="455">
        <f t="shared" si="45"/>
        <v>20.77286983</v>
      </c>
      <c r="AG48" s="455">
        <f t="shared" si="45"/>
        <v>21.44091442</v>
      </c>
      <c r="AH48" s="455">
        <f t="shared" si="45"/>
        <v>22.01468082</v>
      </c>
      <c r="AI48" s="455">
        <f t="shared" si="45"/>
        <v>22.64524284</v>
      </c>
      <c r="AJ48" s="455">
        <f t="shared" si="45"/>
        <v>23.29387422</v>
      </c>
      <c r="AK48" s="455">
        <f t="shared" si="45"/>
        <v>23.94976264</v>
      </c>
      <c r="AL48" s="455">
        <f t="shared" si="45"/>
        <v>24.58515424</v>
      </c>
      <c r="AM48" s="455">
        <f t="shared" si="45"/>
        <v>25.26990907</v>
      </c>
      <c r="AN48" s="455">
        <f t="shared" si="45"/>
        <v>25.97007616</v>
      </c>
      <c r="AO48" s="455">
        <f t="shared" si="45"/>
        <v>26.66842296</v>
      </c>
      <c r="AP48" s="455">
        <f t="shared" si="45"/>
        <v>27.34258087</v>
      </c>
      <c r="AQ48" s="455">
        <f t="shared" si="45"/>
        <v>28.08256674</v>
      </c>
      <c r="AR48" s="455">
        <f t="shared" si="45"/>
        <v>28.78392388</v>
      </c>
      <c r="AS48" s="455">
        <f t="shared" si="45"/>
        <v>29.47394501</v>
      </c>
      <c r="AT48" s="455">
        <f t="shared" si="45"/>
        <v>30.15183035</v>
      </c>
      <c r="AU48" s="455">
        <f t="shared" si="45"/>
        <v>30.83984104</v>
      </c>
      <c r="AV48" s="455">
        <f t="shared" si="45"/>
        <v>31.55283618</v>
      </c>
      <c r="AW48" s="455">
        <f t="shared" si="45"/>
        <v>32.25351183</v>
      </c>
      <c r="AX48" s="455">
        <f t="shared" si="45"/>
        <v>32.89926649</v>
      </c>
      <c r="AY48" s="455">
        <f t="shared" si="45"/>
        <v>33.57697713</v>
      </c>
      <c r="AZ48" s="455">
        <f t="shared" si="45"/>
        <v>34.27169117</v>
      </c>
    </row>
    <row r="49">
      <c r="A49" s="449" t="s">
        <v>532</v>
      </c>
      <c r="B49" s="457">
        <f t="shared" ref="B49:S49" si="46">B47/B48</f>
        <v>0.2536764706</v>
      </c>
      <c r="C49" s="457">
        <f t="shared" si="46"/>
        <v>0.3098901099</v>
      </c>
      <c r="D49" s="457">
        <f t="shared" si="46"/>
        <v>0.2944785276</v>
      </c>
      <c r="E49" s="457">
        <f t="shared" si="46"/>
        <v>0.3740458015</v>
      </c>
      <c r="F49" s="457">
        <f t="shared" si="46"/>
        <v>0.2702702703</v>
      </c>
      <c r="G49" s="457">
        <f t="shared" si="46"/>
        <v>0.3047808765</v>
      </c>
      <c r="H49" s="457">
        <f t="shared" si="46"/>
        <v>0.2941860465</v>
      </c>
      <c r="I49" s="457">
        <f t="shared" si="46"/>
        <v>0.3105154639</v>
      </c>
      <c r="J49" s="457">
        <f t="shared" si="46"/>
        <v>0.2751381215</v>
      </c>
      <c r="K49" s="457">
        <f t="shared" si="46"/>
        <v>0.2993939394</v>
      </c>
      <c r="L49" s="457">
        <f t="shared" si="46"/>
        <v>0.2592592593</v>
      </c>
      <c r="M49" s="457">
        <f t="shared" si="46"/>
        <v>0.2080114449</v>
      </c>
      <c r="N49" s="457">
        <f t="shared" si="46"/>
        <v>0.1953804348</v>
      </c>
      <c r="O49" s="457">
        <f t="shared" si="46"/>
        <v>0.17775</v>
      </c>
      <c r="P49" s="457">
        <f t="shared" si="46"/>
        <v>0.1453981386</v>
      </c>
      <c r="Q49" s="457">
        <f t="shared" si="46"/>
        <v>0.1197243755</v>
      </c>
      <c r="R49" s="457">
        <f t="shared" si="46"/>
        <v>0.113179449</v>
      </c>
      <c r="S49" s="457">
        <f t="shared" si="46"/>
        <v>0.1149193548</v>
      </c>
    </row>
    <row r="50">
      <c r="A50" s="449" t="s">
        <v>533</v>
      </c>
      <c r="B50" s="457">
        <f t="shared" ref="B50:S50" si="47">B44/B43</f>
        <v>0.7806916427</v>
      </c>
      <c r="C50" s="457">
        <f t="shared" si="47"/>
        <v>0.723788265</v>
      </c>
      <c r="D50" s="457">
        <f t="shared" si="47"/>
        <v>0.6946839246</v>
      </c>
      <c r="E50" s="457">
        <f t="shared" si="47"/>
        <v>0.7739458231</v>
      </c>
      <c r="F50" s="457">
        <f t="shared" si="47"/>
        <v>0.7839971176</v>
      </c>
      <c r="G50" s="457">
        <f t="shared" si="47"/>
        <v>0.8232065857</v>
      </c>
      <c r="H50" s="457">
        <f t="shared" si="47"/>
        <v>0.8009770174</v>
      </c>
      <c r="I50" s="457">
        <f t="shared" si="47"/>
        <v>0.8052152587</v>
      </c>
      <c r="J50" s="457">
        <f t="shared" si="47"/>
        <v>0.8320105537</v>
      </c>
      <c r="K50" s="457">
        <f t="shared" si="47"/>
        <v>0.7229091485</v>
      </c>
      <c r="L50" s="457">
        <f t="shared" si="47"/>
        <v>0.722097714</v>
      </c>
      <c r="M50" s="457">
        <f t="shared" si="47"/>
        <v>0.7255238052</v>
      </c>
      <c r="N50" s="457">
        <f t="shared" si="47"/>
        <v>0.6510537105</v>
      </c>
      <c r="O50" s="457">
        <f t="shared" si="47"/>
        <v>0.7131901152</v>
      </c>
      <c r="P50" s="457">
        <f t="shared" si="47"/>
        <v>0.7402782153</v>
      </c>
      <c r="Q50" s="457">
        <f t="shared" si="47"/>
        <v>0.6593174268</v>
      </c>
      <c r="R50" s="457">
        <f t="shared" si="47"/>
        <v>0.6290371265</v>
      </c>
      <c r="S50" s="457">
        <f t="shared" si="47"/>
        <v>0.6336956522</v>
      </c>
    </row>
    <row r="51">
      <c r="A51" s="449" t="s">
        <v>534</v>
      </c>
      <c r="B51" s="457">
        <f t="shared" ref="B51:S51" si="48">B43/B37</f>
        <v>0.9684621825</v>
      </c>
      <c r="C51" s="457">
        <f t="shared" si="48"/>
        <v>0.9235580861</v>
      </c>
      <c r="D51" s="457">
        <f t="shared" si="48"/>
        <v>1.054536438</v>
      </c>
      <c r="E51" s="457">
        <f t="shared" si="48"/>
        <v>1.002286498</v>
      </c>
      <c r="F51" s="457">
        <f t="shared" si="48"/>
        <v>0.9478085375</v>
      </c>
      <c r="G51" s="457">
        <f t="shared" si="48"/>
        <v>0.9163074713</v>
      </c>
      <c r="H51" s="457">
        <f t="shared" si="48"/>
        <v>0.8651354619</v>
      </c>
      <c r="I51" s="457">
        <f t="shared" si="48"/>
        <v>0.8572919257</v>
      </c>
      <c r="J51" s="457">
        <f t="shared" si="48"/>
        <v>0.8400034787</v>
      </c>
      <c r="K51" s="457">
        <f t="shared" si="48"/>
        <v>0.7749237267</v>
      </c>
      <c r="L51" s="457">
        <f t="shared" si="48"/>
        <v>0.9447385137</v>
      </c>
      <c r="M51" s="457">
        <f t="shared" si="48"/>
        <v>0.8734017867</v>
      </c>
      <c r="N51" s="457">
        <f t="shared" si="48"/>
        <v>0.9035430465</v>
      </c>
      <c r="O51" s="457">
        <f t="shared" si="48"/>
        <v>0.8933711247</v>
      </c>
      <c r="P51" s="457">
        <f t="shared" si="48"/>
        <v>0.8600457294</v>
      </c>
      <c r="Q51" s="457">
        <f t="shared" si="48"/>
        <v>0.8185414091</v>
      </c>
      <c r="R51" s="457">
        <f t="shared" si="48"/>
        <v>0.8922704013</v>
      </c>
      <c r="S51" s="457">
        <f t="shared" si="48"/>
        <v>0.8964677223</v>
      </c>
    </row>
    <row r="52">
      <c r="A52" s="449" t="s">
        <v>535</v>
      </c>
      <c r="B52" s="457">
        <f t="shared" ref="B52:S52" si="49">B43/B38</f>
        <v>2.6011994</v>
      </c>
      <c r="C52" s="457">
        <f t="shared" si="49"/>
        <v>2.32670865</v>
      </c>
      <c r="D52" s="457">
        <f t="shared" si="49"/>
        <v>2.736643042</v>
      </c>
      <c r="E52" s="457">
        <f t="shared" si="49"/>
        <v>3.0494654</v>
      </c>
      <c r="F52" s="457">
        <f t="shared" si="49"/>
        <v>2.39715942</v>
      </c>
      <c r="G52" s="457">
        <f t="shared" si="49"/>
        <v>2.252538631</v>
      </c>
      <c r="H52" s="457">
        <f t="shared" si="49"/>
        <v>2.165246267</v>
      </c>
      <c r="I52" s="457">
        <f t="shared" si="49"/>
        <v>2.220083514</v>
      </c>
      <c r="J52" s="457">
        <f t="shared" si="49"/>
        <v>2.143272971</v>
      </c>
      <c r="K52" s="457">
        <f t="shared" si="49"/>
        <v>2.121064943</v>
      </c>
      <c r="L52" s="457">
        <f t="shared" si="49"/>
        <v>2.69119421</v>
      </c>
      <c r="M52" s="457">
        <f t="shared" si="49"/>
        <v>2.517386468</v>
      </c>
      <c r="N52" s="457">
        <f t="shared" si="49"/>
        <v>2.692772558</v>
      </c>
      <c r="O52" s="457">
        <f t="shared" si="49"/>
        <v>2.613171396</v>
      </c>
      <c r="P52" s="457">
        <f t="shared" si="49"/>
        <v>2.389297141</v>
      </c>
      <c r="Q52" s="457">
        <f t="shared" si="49"/>
        <v>2.354907539</v>
      </c>
      <c r="R52" s="457">
        <f t="shared" si="49"/>
        <v>2.66318328</v>
      </c>
      <c r="S52" s="457">
        <f t="shared" si="49"/>
        <v>2.64557872</v>
      </c>
    </row>
    <row r="53">
      <c r="A53" s="449" t="s">
        <v>536</v>
      </c>
      <c r="B53" s="457">
        <f t="shared" ref="B53:S53" si="50">B43/B39</f>
        <v>4.67025572</v>
      </c>
      <c r="C53" s="457">
        <f t="shared" si="50"/>
        <v>5.220378263</v>
      </c>
      <c r="D53" s="457">
        <f t="shared" si="50"/>
        <v>5.405270103</v>
      </c>
      <c r="E53" s="457">
        <f t="shared" si="50"/>
        <v>4.616015664</v>
      </c>
      <c r="F53" s="457">
        <f t="shared" si="50"/>
        <v>3.989573425</v>
      </c>
      <c r="G53" s="457">
        <f t="shared" si="50"/>
        <v>3.710545455</v>
      </c>
      <c r="H53" s="457">
        <f t="shared" si="50"/>
        <v>3.886986638</v>
      </c>
      <c r="I53" s="457">
        <f t="shared" si="50"/>
        <v>4.1675596</v>
      </c>
      <c r="J53" s="457">
        <f t="shared" si="50"/>
        <v>3.827389052</v>
      </c>
      <c r="K53" s="457">
        <f t="shared" si="50"/>
        <v>6.34256859</v>
      </c>
      <c r="L53" s="457">
        <f t="shared" si="50"/>
        <v>6.928571429</v>
      </c>
      <c r="M53" s="457">
        <f t="shared" si="50"/>
        <v>6.703023934</v>
      </c>
      <c r="N53" s="457">
        <f t="shared" si="50"/>
        <v>7.519552507</v>
      </c>
      <c r="O53" s="457">
        <f t="shared" si="50"/>
        <v>6.718276024</v>
      </c>
      <c r="P53" s="457">
        <f t="shared" si="50"/>
        <v>6.03182146</v>
      </c>
      <c r="Q53" s="457">
        <f t="shared" si="50"/>
        <v>7.474040632</v>
      </c>
      <c r="R53" s="457">
        <f t="shared" si="50"/>
        <v>8.2825</v>
      </c>
      <c r="S53" s="457">
        <f t="shared" si="50"/>
        <v>7.796610169</v>
      </c>
    </row>
    <row r="54">
      <c r="A54" s="458" t="s">
        <v>537</v>
      </c>
      <c r="B54" s="459">
        <f>'Assumptions (O&amp;G Upstream)'!C$312</f>
        <v>4.31</v>
      </c>
      <c r="C54" s="459">
        <f>'Assumptions (O&amp;G Upstream)'!D$312</f>
        <v>3.96</v>
      </c>
      <c r="D54" s="459">
        <f>'Assumptions (O&amp;G Upstream)'!E$312</f>
        <v>3.38</v>
      </c>
      <c r="E54" s="459">
        <f>'Assumptions (O&amp;G Upstream)'!F$312</f>
        <v>5.47</v>
      </c>
      <c r="F54" s="459">
        <f>'Assumptions (O&amp;G Upstream)'!G$312</f>
        <v>5.89</v>
      </c>
      <c r="G54" s="459">
        <f>'Assumptions (O&amp;G Upstream)'!H$312</f>
        <v>8.69</v>
      </c>
      <c r="H54" s="459">
        <f>'Assumptions (O&amp;G Upstream)'!I$312</f>
        <v>6.73</v>
      </c>
      <c r="I54" s="459">
        <f>'Assumptions (O&amp;G Upstream)'!J$312</f>
        <v>6.97</v>
      </c>
      <c r="J54" s="459">
        <f>'Assumptions (O&amp;G Upstream)'!K$312</f>
        <v>8.86</v>
      </c>
      <c r="K54" s="459">
        <f>'Assumptions (O&amp;G Upstream)'!L$312</f>
        <v>3.94</v>
      </c>
      <c r="L54" s="459">
        <f>'Assumptions (O&amp;G Upstream)'!M$312</f>
        <v>4.37</v>
      </c>
      <c r="M54" s="459">
        <f>'Assumptions (O&amp;G Upstream)'!N$312</f>
        <v>4</v>
      </c>
      <c r="N54" s="459">
        <f>'Assumptions (O&amp;G Upstream)'!O$312</f>
        <v>2.75</v>
      </c>
      <c r="O54" s="459">
        <f>'Assumptions (O&amp;G Upstream)'!P$312</f>
        <v>3.73</v>
      </c>
      <c r="P54" s="459">
        <f>'Assumptions (O&amp;G Upstream)'!Q$312</f>
        <v>4.37</v>
      </c>
      <c r="Q54" s="459">
        <f>'Assumptions (O&amp;G Upstream)'!R$312</f>
        <v>2.62</v>
      </c>
      <c r="R54" s="459">
        <f>'Assumptions (O&amp;G Upstream)'!S$312</f>
        <v>2.52</v>
      </c>
      <c r="S54" s="459">
        <f>'Assumptions (O&amp;G Upstream)'!T$312</f>
        <v>2.99</v>
      </c>
      <c r="T54" s="459">
        <f>'Assumptions (O&amp;G Upstream)'!U$312</f>
        <v>3.17</v>
      </c>
      <c r="U54" s="459">
        <f>'Assumptions (O&amp;G Upstream)'!V$312</f>
        <v>3.100914</v>
      </c>
      <c r="V54" s="459">
        <f>'Assumptions (O&amp;G Upstream)'!W$312</f>
        <v>3.247373</v>
      </c>
      <c r="W54" s="459">
        <f>'Assumptions (O&amp;G Upstream)'!X$312</f>
        <v>3.243106</v>
      </c>
      <c r="X54" s="459">
        <f>'Assumptions (O&amp;G Upstream)'!Y$312</f>
        <v>3.328699</v>
      </c>
      <c r="Y54" s="459">
        <f>'Assumptions (O&amp;G Upstream)'!Z$312</f>
        <v>3.555844</v>
      </c>
      <c r="Z54" s="459">
        <f>'Assumptions (O&amp;G Upstream)'!AA$312</f>
        <v>3.843373</v>
      </c>
      <c r="AA54" s="459">
        <f>'Assumptions (O&amp;G Upstream)'!AB$312</f>
        <v>4.203092</v>
      </c>
      <c r="AB54" s="459">
        <f>'Assumptions (O&amp;G Upstream)'!AC$312</f>
        <v>4.38602</v>
      </c>
      <c r="AC54" s="459">
        <f>'Assumptions (O&amp;G Upstream)'!AD$312</f>
        <v>4.515261</v>
      </c>
      <c r="AD54" s="459">
        <f>'Assumptions (O&amp;G Upstream)'!AE$312</f>
        <v>4.717234</v>
      </c>
      <c r="AE54" s="459">
        <f>'Assumptions (O&amp;G Upstream)'!AF$312</f>
        <v>4.844302</v>
      </c>
      <c r="AF54" s="459">
        <f>'Assumptions (O&amp;G Upstream)'!AG$312</f>
        <v>4.998316</v>
      </c>
      <c r="AG54" s="459">
        <f>'Assumptions (O&amp;G Upstream)'!AH$312</f>
        <v>5.085895</v>
      </c>
      <c r="AH54" s="459">
        <f>'Assumptions (O&amp;G Upstream)'!AI$312</f>
        <v>5.381088</v>
      </c>
      <c r="AI54" s="459">
        <f>'Assumptions (O&amp;G Upstream)'!AJ$312</f>
        <v>5.581815</v>
      </c>
      <c r="AJ54" s="459">
        <f>'Assumptions (O&amp;G Upstream)'!AK$312</f>
        <v>5.765597</v>
      </c>
      <c r="AK54" s="459">
        <f>'Assumptions (O&amp;G Upstream)'!AL$312</f>
        <v>5.954128</v>
      </c>
      <c r="AL54" s="459">
        <f>'Assumptions (O&amp;G Upstream)'!AM$312</f>
        <v>6.202986</v>
      </c>
      <c r="AM54" s="459">
        <f>'Assumptions (O&amp;G Upstream)'!AN$312</f>
        <v>6.372522</v>
      </c>
      <c r="AN54" s="459">
        <f>'Assumptions (O&amp;G Upstream)'!AO$312</f>
        <v>6.53071</v>
      </c>
      <c r="AO54" s="459">
        <f>'Assumptions (O&amp;G Upstream)'!AP$312</f>
        <v>6.712088</v>
      </c>
      <c r="AP54" s="459">
        <f>'Assumptions (O&amp;G Upstream)'!AQ$312</f>
        <v>6.961467</v>
      </c>
      <c r="AQ54" s="459">
        <f>'Assumptions (O&amp;G Upstream)'!AR$312</f>
        <v>7.098888</v>
      </c>
      <c r="AR54" s="459">
        <f>'Assumptions (O&amp;G Upstream)'!AS$312</f>
        <v>7.33334</v>
      </c>
      <c r="AS54" s="459">
        <f>'Assumptions (O&amp;G Upstream)'!AT$312</f>
        <v>7.610314</v>
      </c>
      <c r="AT54" s="459">
        <f>'Assumptions (O&amp;G Upstream)'!AU$312</f>
        <v>7.931487</v>
      </c>
      <c r="AU54" s="459">
        <f>'Assumptions (O&amp;G Upstream)'!AV$312</f>
        <v>8.252415</v>
      </c>
      <c r="AV54" s="459">
        <f>'Assumptions (O&amp;G Upstream)'!AW$312</f>
        <v>8.543459</v>
      </c>
      <c r="AW54" s="459">
        <f>'Assumptions (O&amp;G Upstream)'!AX$312</f>
        <v>8.879307</v>
      </c>
      <c r="AX54" s="459">
        <f>'Assumptions (O&amp;G Upstream)'!AY$312</f>
        <v>9.345243</v>
      </c>
      <c r="AY54" s="459">
        <f>'Assumptions (O&amp;G Upstream)'!AZ$312</f>
        <v>9.767595</v>
      </c>
      <c r="AZ54" s="459">
        <f>'Assumptions (O&amp;G Upstream)'!BA$312</f>
        <v>10.176351</v>
      </c>
    </row>
    <row r="55">
      <c r="B55" s="452"/>
      <c r="C55" s="452"/>
      <c r="D55" s="452"/>
      <c r="E55" s="452"/>
      <c r="F55" s="452"/>
      <c r="G55" s="452"/>
      <c r="H55" s="452"/>
      <c r="I55" s="452"/>
      <c r="J55" s="452"/>
      <c r="K55" s="452"/>
      <c r="L55" s="452"/>
      <c r="M55" s="452"/>
      <c r="N55" s="452"/>
      <c r="O55" s="452"/>
      <c r="P55" s="452"/>
      <c r="Q55" s="452"/>
      <c r="R55" s="452"/>
      <c r="S55" s="452"/>
    </row>
    <row r="57">
      <c r="O57" s="447" t="s">
        <v>531</v>
      </c>
      <c r="P57" s="458" t="s">
        <v>537</v>
      </c>
      <c r="Q57" s="447" t="s">
        <v>511</v>
      </c>
      <c r="R57" s="447" t="s">
        <v>512</v>
      </c>
      <c r="S57" s="447" t="s">
        <v>513</v>
      </c>
      <c r="U57" s="447" t="s">
        <v>538</v>
      </c>
    </row>
    <row r="58">
      <c r="K58" s="458"/>
      <c r="O58" s="454">
        <v>5.44</v>
      </c>
      <c r="P58" s="460">
        <v>4.31</v>
      </c>
      <c r="Q58" s="452">
        <v>5.92532E7</v>
      </c>
      <c r="R58" s="452">
        <v>5059800.0</v>
      </c>
      <c r="S58" s="452">
        <v>229100.0</v>
      </c>
    </row>
    <row r="59">
      <c r="J59" s="454"/>
      <c r="K59" s="460"/>
      <c r="L59" s="452"/>
      <c r="O59" s="454">
        <v>4.55</v>
      </c>
      <c r="P59" s="460">
        <v>3.96</v>
      </c>
      <c r="Q59" s="452">
        <v>5.90709E7</v>
      </c>
      <c r="R59" s="452">
        <v>4889900.0</v>
      </c>
      <c r="S59" s="452">
        <v>210700.0</v>
      </c>
      <c r="U59" s="461" t="s">
        <v>539</v>
      </c>
      <c r="V59" s="462"/>
    </row>
    <row r="60">
      <c r="J60" s="454"/>
      <c r="K60" s="460"/>
      <c r="L60" s="452"/>
      <c r="N60" s="463"/>
      <c r="O60" s="454">
        <v>4.89</v>
      </c>
      <c r="P60" s="460">
        <v>3.38</v>
      </c>
      <c r="Q60" s="452">
        <v>6.07824E7</v>
      </c>
      <c r="R60" s="452">
        <v>5016400.0</v>
      </c>
      <c r="S60" s="452">
        <v>205500.0</v>
      </c>
      <c r="U60" s="447" t="s">
        <v>540</v>
      </c>
      <c r="V60" s="464">
        <v>0.8795983029670408</v>
      </c>
    </row>
    <row r="61">
      <c r="J61" s="454"/>
      <c r="K61" s="460"/>
      <c r="L61" s="452"/>
      <c r="O61" s="454">
        <v>3.93</v>
      </c>
      <c r="P61" s="460">
        <v>5.47</v>
      </c>
      <c r="Q61" s="452">
        <v>6.0344E7</v>
      </c>
      <c r="R61" s="452">
        <v>4993000.0</v>
      </c>
      <c r="S61" s="452">
        <v>197600.0</v>
      </c>
      <c r="U61" s="447" t="s">
        <v>541</v>
      </c>
      <c r="V61" s="464">
        <v>0.773693174582498</v>
      </c>
    </row>
    <row r="62">
      <c r="J62" s="454"/>
      <c r="K62" s="460"/>
      <c r="L62" s="452"/>
      <c r="O62" s="454">
        <v>5.55</v>
      </c>
      <c r="P62" s="460">
        <v>5.89</v>
      </c>
      <c r="Q62" s="452">
        <v>6.08055E7</v>
      </c>
      <c r="R62" s="452">
        <v>4964500.0</v>
      </c>
      <c r="S62" s="452">
        <v>205300.0</v>
      </c>
      <c r="U62" s="447" t="s">
        <v>542</v>
      </c>
      <c r="V62" s="464">
        <v>0.7040603052232667</v>
      </c>
    </row>
    <row r="63">
      <c r="J63" s="454"/>
      <c r="K63" s="460"/>
      <c r="L63" s="452"/>
      <c r="O63" s="454">
        <v>5.02</v>
      </c>
      <c r="P63" s="460">
        <v>8.69</v>
      </c>
      <c r="Q63" s="452">
        <v>6.14637E7</v>
      </c>
      <c r="R63" s="452">
        <v>4984700.0</v>
      </c>
      <c r="S63" s="452">
        <v>197900.0</v>
      </c>
      <c r="U63" s="447" t="s">
        <v>543</v>
      </c>
      <c r="V63" s="464">
        <v>1.7584446655201955</v>
      </c>
    </row>
    <row r="64">
      <c r="J64" s="454"/>
      <c r="K64" s="460"/>
      <c r="L64" s="452"/>
      <c r="O64" s="454">
        <v>5.16</v>
      </c>
      <c r="P64" s="460">
        <v>6.73</v>
      </c>
      <c r="Q64" s="452">
        <v>6.28626E7</v>
      </c>
      <c r="R64" s="452">
        <v>5119200.0</v>
      </c>
      <c r="S64" s="452">
        <v>193700.0</v>
      </c>
      <c r="U64" s="465" t="s">
        <v>544</v>
      </c>
      <c r="V64" s="466">
        <v>18.0</v>
      </c>
    </row>
    <row r="65">
      <c r="J65" s="454"/>
      <c r="K65" s="460"/>
      <c r="L65" s="452"/>
      <c r="N65" s="447"/>
      <c r="O65" s="454">
        <v>4.85</v>
      </c>
      <c r="P65" s="460">
        <v>6.97</v>
      </c>
      <c r="Q65" s="452">
        <v>6.48208E7</v>
      </c>
      <c r="R65" s="452">
        <v>5296500.0</v>
      </c>
      <c r="S65" s="452">
        <v>191200.0</v>
      </c>
    </row>
    <row r="66">
      <c r="J66" s="454"/>
      <c r="K66" s="460"/>
      <c r="L66" s="452"/>
      <c r="O66" s="454">
        <v>5.43</v>
      </c>
      <c r="P66" s="460">
        <v>8.86</v>
      </c>
      <c r="Q66" s="452">
        <v>6.50008E7</v>
      </c>
      <c r="R66" s="452">
        <v>5285300.0</v>
      </c>
      <c r="S66" s="452">
        <v>192700.0</v>
      </c>
      <c r="U66" s="447" t="s">
        <v>545</v>
      </c>
    </row>
    <row r="67">
      <c r="J67" s="454"/>
      <c r="K67" s="460"/>
      <c r="L67" s="452"/>
      <c r="O67" s="454">
        <v>4.95</v>
      </c>
      <c r="P67" s="460">
        <v>3.94</v>
      </c>
      <c r="Q67" s="452">
        <v>6.518E7</v>
      </c>
      <c r="R67" s="452">
        <v>5307400.0</v>
      </c>
      <c r="S67" s="452">
        <v>198300.0</v>
      </c>
      <c r="U67" s="462"/>
      <c r="V67" s="461" t="s">
        <v>546</v>
      </c>
      <c r="W67" s="461" t="s">
        <v>547</v>
      </c>
      <c r="X67" s="461" t="s">
        <v>548</v>
      </c>
      <c r="Y67" s="461" t="s">
        <v>549</v>
      </c>
      <c r="Z67" s="461" t="s">
        <v>550</v>
      </c>
    </row>
    <row r="68">
      <c r="J68" s="454"/>
      <c r="K68" s="460"/>
      <c r="L68" s="452"/>
      <c r="N68" s="467"/>
      <c r="O68" s="454">
        <v>5.67</v>
      </c>
      <c r="P68" s="460">
        <v>4.37</v>
      </c>
      <c r="Q68" s="452">
        <v>6.53874E7</v>
      </c>
      <c r="R68" s="452">
        <v>5285800.0</v>
      </c>
      <c r="S68" s="452">
        <v>183400.0</v>
      </c>
      <c r="U68" s="447" t="s">
        <v>551</v>
      </c>
      <c r="V68" s="464">
        <v>4.0</v>
      </c>
      <c r="W68" s="464">
        <v>137.42694065794637</v>
      </c>
      <c r="X68" s="464">
        <v>34.356735164486594</v>
      </c>
      <c r="Y68" s="464">
        <v>11.111033937019974</v>
      </c>
      <c r="Z68" s="464">
        <v>3.852835180996328E-4</v>
      </c>
    </row>
    <row r="69">
      <c r="J69" s="454"/>
      <c r="K69" s="460"/>
      <c r="L69" s="452"/>
      <c r="O69" s="454">
        <v>6.99</v>
      </c>
      <c r="P69" s="460">
        <v>4.0</v>
      </c>
      <c r="Q69" s="452">
        <v>6.58043E7</v>
      </c>
      <c r="R69" s="452">
        <v>5307000.0</v>
      </c>
      <c r="S69" s="452">
        <v>182800.0</v>
      </c>
      <c r="U69" s="447" t="s">
        <v>552</v>
      </c>
      <c r="V69" s="464">
        <v>13.0</v>
      </c>
      <c r="W69" s="464">
        <v>40.19765934205362</v>
      </c>
      <c r="X69" s="464">
        <v>3.092127641696432</v>
      </c>
    </row>
    <row r="70">
      <c r="J70" s="454"/>
      <c r="K70" s="460"/>
      <c r="L70" s="452"/>
      <c r="O70" s="454">
        <v>7.36</v>
      </c>
      <c r="P70" s="460">
        <v>2.75</v>
      </c>
      <c r="Q70" s="452">
        <v>6.6487E7</v>
      </c>
      <c r="R70" s="452">
        <v>5342700.0</v>
      </c>
      <c r="S70" s="452">
        <v>179600.0</v>
      </c>
      <c r="U70" s="465" t="s">
        <v>553</v>
      </c>
      <c r="V70" s="466">
        <v>17.0</v>
      </c>
      <c r="W70" s="466">
        <v>177.6246</v>
      </c>
      <c r="X70" s="468"/>
      <c r="Y70" s="468"/>
      <c r="Z70" s="468"/>
    </row>
    <row r="71">
      <c r="J71" s="454"/>
      <c r="K71" s="460"/>
      <c r="L71" s="452"/>
      <c r="N71" s="447"/>
      <c r="O71" s="454">
        <v>8.0</v>
      </c>
      <c r="P71" s="460">
        <v>3.73</v>
      </c>
      <c r="Q71" s="452">
        <v>6.65744E7</v>
      </c>
      <c r="R71" s="452">
        <v>5347800.0</v>
      </c>
      <c r="S71" s="452">
        <v>182100.0</v>
      </c>
    </row>
    <row r="72">
      <c r="J72" s="454"/>
      <c r="K72" s="460"/>
      <c r="L72" s="452"/>
      <c r="O72" s="454">
        <v>9.67</v>
      </c>
      <c r="P72" s="460">
        <v>4.37</v>
      </c>
      <c r="Q72" s="452">
        <v>6.70684E7</v>
      </c>
      <c r="R72" s="452">
        <v>5403000.0</v>
      </c>
      <c r="S72" s="452">
        <v>182500.0</v>
      </c>
      <c r="U72" s="462"/>
      <c r="V72" s="461" t="s">
        <v>554</v>
      </c>
      <c r="W72" s="461" t="s">
        <v>543</v>
      </c>
      <c r="X72" s="461" t="s">
        <v>555</v>
      </c>
      <c r="Y72" s="461" t="s">
        <v>556</v>
      </c>
      <c r="Z72" s="461" t="s">
        <v>557</v>
      </c>
      <c r="AA72" s="461" t="s">
        <v>558</v>
      </c>
      <c r="AB72" s="462"/>
      <c r="AC72" s="462"/>
    </row>
    <row r="73">
      <c r="J73" s="454"/>
      <c r="K73" s="460"/>
      <c r="L73" s="452"/>
      <c r="N73" s="467"/>
      <c r="O73" s="454">
        <v>11.61</v>
      </c>
      <c r="P73" s="460">
        <v>2.62</v>
      </c>
      <c r="Q73" s="452">
        <v>6.77121E7</v>
      </c>
      <c r="R73" s="452">
        <v>5433500.0</v>
      </c>
      <c r="S73" s="452">
        <v>180600.0</v>
      </c>
      <c r="T73" s="463"/>
      <c r="U73" s="463" t="s">
        <v>559</v>
      </c>
      <c r="V73" s="469">
        <v>-79.4660866846425</v>
      </c>
      <c r="W73" s="464">
        <v>34.79212850193192</v>
      </c>
      <c r="X73" s="464">
        <v>-2.2840248672980716</v>
      </c>
      <c r="Y73" s="464">
        <v>0.039820991705136054</v>
      </c>
      <c r="Z73" s="464">
        <v>-154.6299104465481</v>
      </c>
      <c r="AA73" s="464">
        <v>-4.302262922736901</v>
      </c>
    </row>
    <row r="74">
      <c r="J74" s="454"/>
      <c r="K74" s="460"/>
      <c r="L74" s="452"/>
      <c r="O74" s="454">
        <v>13.43</v>
      </c>
      <c r="P74" s="460">
        <v>2.52</v>
      </c>
      <c r="Q74" s="452">
        <v>6.83034E7</v>
      </c>
      <c r="R74" s="452">
        <v>5460700.0</v>
      </c>
      <c r="S74" s="452">
        <v>180600.0</v>
      </c>
      <c r="U74" s="447" t="s">
        <v>537</v>
      </c>
      <c r="V74" s="464">
        <v>-0.5013698500733668</v>
      </c>
      <c r="W74" s="464">
        <v>0.2402482872253115</v>
      </c>
      <c r="X74" s="464">
        <v>-2.086882099613756</v>
      </c>
      <c r="Y74" s="464">
        <v>0.05715625675955595</v>
      </c>
      <c r="Z74" s="464">
        <v>-1.0203947185605098</v>
      </c>
      <c r="AA74" s="464">
        <v>0.017655018413776147</v>
      </c>
    </row>
    <row r="75">
      <c r="J75" s="454"/>
      <c r="K75" s="460"/>
      <c r="L75" s="452"/>
      <c r="O75" s="454">
        <v>14.88</v>
      </c>
      <c r="P75" s="460">
        <v>2.99</v>
      </c>
      <c r="Q75" s="452">
        <v>6.88696E7</v>
      </c>
      <c r="R75" s="452">
        <v>5445300.0</v>
      </c>
      <c r="S75" s="452">
        <v>177700.0</v>
      </c>
      <c r="U75" s="447" t="s">
        <v>511</v>
      </c>
      <c r="V75" s="464">
        <v>3.184043913807854E-6</v>
      </c>
      <c r="W75" s="464">
        <v>1.106651076249984E-6</v>
      </c>
      <c r="X75" s="464">
        <v>2.8771886479317015</v>
      </c>
      <c r="Y75" s="464">
        <v>0.012963125557809551</v>
      </c>
      <c r="Z75" s="464">
        <v>7.932696196580096E-7</v>
      </c>
      <c r="AA75" s="464">
        <v>5.574818207957699E-6</v>
      </c>
    </row>
    <row r="76">
      <c r="B76" s="464" t="s">
        <v>526</v>
      </c>
      <c r="C76" s="458" t="s">
        <v>537</v>
      </c>
      <c r="D76" s="447" t="s">
        <v>511</v>
      </c>
      <c r="E76" s="447" t="s">
        <v>512</v>
      </c>
      <c r="F76" s="447" t="s">
        <v>513</v>
      </c>
      <c r="H76" s="447" t="s">
        <v>538</v>
      </c>
      <c r="J76" s="454"/>
      <c r="K76" s="460"/>
      <c r="L76" s="452"/>
      <c r="N76" s="447"/>
      <c r="O76" s="464"/>
      <c r="P76" s="464"/>
      <c r="Q76" s="464"/>
      <c r="R76" s="464"/>
      <c r="S76" s="464"/>
      <c r="T76" s="464"/>
      <c r="U76" s="447" t="s">
        <v>512</v>
      </c>
      <c r="V76" s="464">
        <v>-2.990299908017368E-5</v>
      </c>
      <c r="W76" s="464">
        <v>1.3872105382643547E-5</v>
      </c>
      <c r="X76" s="464">
        <v>-2.155620812799448</v>
      </c>
      <c r="Y76" s="464">
        <v>0.05043580181435537</v>
      </c>
      <c r="Z76" s="464">
        <v>-5.9871860690054895E-5</v>
      </c>
      <c r="AA76" s="464">
        <v>6.58625297075389E-8</v>
      </c>
    </row>
    <row r="77">
      <c r="B77" s="454">
        <v>35.83</v>
      </c>
      <c r="C77" s="460">
        <v>4.31</v>
      </c>
      <c r="D77" s="452">
        <v>5.92532E7</v>
      </c>
      <c r="E77" s="452">
        <v>5059800.0</v>
      </c>
      <c r="F77" s="452">
        <v>229100.0</v>
      </c>
      <c r="U77" s="465" t="s">
        <v>513</v>
      </c>
      <c r="V77" s="466">
        <v>2.1021995673653482E-4</v>
      </c>
      <c r="W77" s="466">
        <v>1.0012105430984376E-4</v>
      </c>
      <c r="X77" s="466">
        <v>2.0996578410567768</v>
      </c>
      <c r="Y77" s="466">
        <v>0.055847274912516204</v>
      </c>
      <c r="Z77" s="466">
        <v>-6.078430428349476E-6</v>
      </c>
      <c r="AA77" s="466">
        <v>4.2651834390141914E-4</v>
      </c>
      <c r="AB77" s="468"/>
      <c r="AC77" s="468"/>
    </row>
    <row r="78">
      <c r="B78" s="454">
        <v>42.45</v>
      </c>
      <c r="C78" s="460">
        <v>3.96</v>
      </c>
      <c r="D78" s="452">
        <v>5.90709E7</v>
      </c>
      <c r="E78" s="452">
        <v>4889900.0</v>
      </c>
      <c r="F78" s="452">
        <v>210700.0</v>
      </c>
      <c r="H78" s="461" t="s">
        <v>539</v>
      </c>
      <c r="I78" s="462"/>
    </row>
    <row r="79">
      <c r="B79" s="454">
        <v>35.06</v>
      </c>
      <c r="C79" s="460">
        <v>3.38</v>
      </c>
      <c r="D79" s="452">
        <v>6.07824E7</v>
      </c>
      <c r="E79" s="452">
        <v>5016400.0</v>
      </c>
      <c r="F79" s="452">
        <v>205500.0</v>
      </c>
      <c r="H79" s="447" t="s">
        <v>540</v>
      </c>
      <c r="I79" s="464">
        <v>0.9259739250154152</v>
      </c>
      <c r="J79" s="458"/>
      <c r="T79" s="447" t="s">
        <v>538</v>
      </c>
    </row>
    <row r="80">
      <c r="B80" s="454">
        <v>43.66</v>
      </c>
      <c r="C80" s="460">
        <v>5.47</v>
      </c>
      <c r="D80" s="452">
        <v>6.0344E7</v>
      </c>
      <c r="E80" s="452">
        <v>4993000.0</v>
      </c>
      <c r="F80" s="452">
        <v>197600.0</v>
      </c>
      <c r="H80" s="447" t="s">
        <v>541</v>
      </c>
      <c r="I80" s="464">
        <v>0.8574277098084538</v>
      </c>
    </row>
    <row r="81">
      <c r="B81" s="454">
        <v>47.27</v>
      </c>
      <c r="C81" s="460">
        <v>5.89</v>
      </c>
      <c r="D81" s="452">
        <v>6.08055E7</v>
      </c>
      <c r="E81" s="452">
        <v>4964500.0</v>
      </c>
      <c r="F81" s="452">
        <v>205300.0</v>
      </c>
      <c r="H81" s="447" t="s">
        <v>542</v>
      </c>
      <c r="I81" s="464">
        <v>0.8135593128264396</v>
      </c>
      <c r="M81" s="463"/>
      <c r="N81" s="467"/>
      <c r="T81" s="461" t="s">
        <v>539</v>
      </c>
      <c r="U81" s="462"/>
    </row>
    <row r="82">
      <c r="B82" s="454">
        <v>55.68</v>
      </c>
      <c r="C82" s="460">
        <v>8.69</v>
      </c>
      <c r="D82" s="452">
        <v>6.14637E7</v>
      </c>
      <c r="E82" s="452">
        <v>4984700.0</v>
      </c>
      <c r="F82" s="452">
        <v>197900.0</v>
      </c>
      <c r="H82" s="447" t="s">
        <v>543</v>
      </c>
      <c r="I82" s="464">
        <v>3.1659965859495234</v>
      </c>
      <c r="T82" s="447" t="s">
        <v>540</v>
      </c>
      <c r="U82" s="464">
        <v>0.8348341464699857</v>
      </c>
    </row>
    <row r="83">
      <c r="B83" s="454">
        <v>53.96</v>
      </c>
      <c r="C83" s="460">
        <v>6.73</v>
      </c>
      <c r="D83" s="452">
        <v>6.28626E7</v>
      </c>
      <c r="E83" s="452">
        <v>5119200.0</v>
      </c>
      <c r="F83" s="452">
        <v>193700.0</v>
      </c>
      <c r="H83" s="465" t="s">
        <v>544</v>
      </c>
      <c r="I83" s="466">
        <v>18.0</v>
      </c>
      <c r="T83" s="447" t="s">
        <v>541</v>
      </c>
      <c r="U83" s="464">
        <v>0.6969480521122694</v>
      </c>
    </row>
    <row r="84">
      <c r="B84" s="454">
        <v>55.03</v>
      </c>
      <c r="C84" s="460">
        <v>6.97</v>
      </c>
      <c r="D84" s="452">
        <v>6.48208E7</v>
      </c>
      <c r="E84" s="452">
        <v>5296500.0</v>
      </c>
      <c r="F84" s="452">
        <v>191200.0</v>
      </c>
      <c r="T84" s="447" t="s">
        <v>542</v>
      </c>
      <c r="U84" s="464">
        <v>0.63200834899347</v>
      </c>
    </row>
    <row r="85">
      <c r="B85" s="454">
        <v>60.19</v>
      </c>
      <c r="C85" s="460">
        <v>8.86</v>
      </c>
      <c r="D85" s="452">
        <v>6.50008E7</v>
      </c>
      <c r="E85" s="452">
        <v>5285300.0</v>
      </c>
      <c r="F85" s="452">
        <v>192700.0</v>
      </c>
      <c r="H85" s="447" t="s">
        <v>545</v>
      </c>
      <c r="T85" s="447" t="s">
        <v>543</v>
      </c>
      <c r="U85" s="464">
        <v>1.9608577026899476</v>
      </c>
    </row>
    <row r="86">
      <c r="B86" s="454">
        <v>50.5</v>
      </c>
      <c r="C86" s="460">
        <v>3.94</v>
      </c>
      <c r="D86" s="452">
        <v>6.518E7</v>
      </c>
      <c r="E86" s="452">
        <v>5307400.0</v>
      </c>
      <c r="F86" s="452">
        <v>198300.0</v>
      </c>
      <c r="H86" s="462"/>
      <c r="I86" s="461" t="s">
        <v>546</v>
      </c>
      <c r="J86" s="461" t="s">
        <v>547</v>
      </c>
      <c r="K86" s="461" t="s">
        <v>548</v>
      </c>
      <c r="L86" s="461" t="s">
        <v>549</v>
      </c>
      <c r="M86" s="461" t="s">
        <v>550</v>
      </c>
      <c r="N86" s="464"/>
      <c r="T86" s="465" t="s">
        <v>544</v>
      </c>
      <c r="U86" s="466">
        <v>18.0</v>
      </c>
    </row>
    <row r="87">
      <c r="B87" s="454">
        <v>47.23</v>
      </c>
      <c r="C87" s="460">
        <v>4.37</v>
      </c>
      <c r="D87" s="452">
        <v>6.53874E7</v>
      </c>
      <c r="E87" s="452">
        <v>5285800.0</v>
      </c>
      <c r="F87" s="452">
        <v>183400.0</v>
      </c>
      <c r="H87" s="447" t="s">
        <v>551</v>
      </c>
      <c r="I87" s="464">
        <v>4.0</v>
      </c>
      <c r="J87" s="464">
        <v>783.6580974752717</v>
      </c>
      <c r="K87" s="464">
        <v>195.91452436881792</v>
      </c>
      <c r="L87" s="464">
        <v>19.54545341969059</v>
      </c>
      <c r="M87" s="464">
        <v>2.0845410791503483E-5</v>
      </c>
    </row>
    <row r="88">
      <c r="B88" s="454">
        <v>45.05</v>
      </c>
      <c r="C88" s="460">
        <v>4.0</v>
      </c>
      <c r="D88" s="452">
        <v>6.58043E7</v>
      </c>
      <c r="E88" s="452">
        <v>5307000.0</v>
      </c>
      <c r="F88" s="452">
        <v>182800.0</v>
      </c>
      <c r="H88" s="447" t="s">
        <v>552</v>
      </c>
      <c r="I88" s="464">
        <v>13.0</v>
      </c>
      <c r="J88" s="464">
        <v>130.3059469691725</v>
      </c>
      <c r="K88" s="464">
        <v>10.023534382244039</v>
      </c>
      <c r="T88" s="447" t="s">
        <v>545</v>
      </c>
    </row>
    <row r="89">
      <c r="B89" s="454">
        <v>37.7</v>
      </c>
      <c r="C89" s="460">
        <v>2.75</v>
      </c>
      <c r="D89" s="452">
        <v>6.6487E7</v>
      </c>
      <c r="E89" s="452">
        <v>5342700.0</v>
      </c>
      <c r="F89" s="452">
        <v>179600.0</v>
      </c>
      <c r="H89" s="465" t="s">
        <v>553</v>
      </c>
      <c r="I89" s="466">
        <v>17.0</v>
      </c>
      <c r="J89" s="466">
        <v>913.9640444444442</v>
      </c>
      <c r="K89" s="468"/>
      <c r="L89" s="468"/>
      <c r="M89" s="470"/>
      <c r="N89" s="463"/>
      <c r="O89" s="463"/>
      <c r="P89" s="463"/>
      <c r="Q89" s="463"/>
      <c r="R89" s="463"/>
      <c r="T89" s="462"/>
      <c r="U89" s="461" t="s">
        <v>546</v>
      </c>
      <c r="V89" s="461" t="s">
        <v>547</v>
      </c>
      <c r="W89" s="461" t="s">
        <v>548</v>
      </c>
      <c r="X89" s="461" t="s">
        <v>549</v>
      </c>
      <c r="Y89" s="461" t="s">
        <v>550</v>
      </c>
    </row>
    <row r="90">
      <c r="B90" s="454">
        <v>42.94</v>
      </c>
      <c r="C90" s="460">
        <v>3.73</v>
      </c>
      <c r="D90" s="452">
        <v>6.65744E7</v>
      </c>
      <c r="E90" s="452">
        <v>5347800.0</v>
      </c>
      <c r="F90" s="452">
        <v>182100.0</v>
      </c>
      <c r="T90" s="447" t="s">
        <v>551</v>
      </c>
      <c r="U90" s="464">
        <v>3.0</v>
      </c>
      <c r="V90" s="464">
        <v>123.795118977221</v>
      </c>
      <c r="W90" s="464">
        <v>41.265039659073665</v>
      </c>
      <c r="X90" s="464">
        <v>10.732233420243489</v>
      </c>
      <c r="Y90" s="464">
        <v>6.321532577779898E-4</v>
      </c>
    </row>
    <row r="91">
      <c r="B91" s="454">
        <v>47.2</v>
      </c>
      <c r="C91" s="460">
        <v>4.37</v>
      </c>
      <c r="D91" s="452">
        <v>6.70684E7</v>
      </c>
      <c r="E91" s="452">
        <v>5403000.0</v>
      </c>
      <c r="F91" s="452">
        <v>182500.0</v>
      </c>
      <c r="H91" s="462"/>
      <c r="I91" s="461" t="s">
        <v>554</v>
      </c>
      <c r="J91" s="461" t="s">
        <v>543</v>
      </c>
      <c r="K91" s="461" t="s">
        <v>555</v>
      </c>
      <c r="L91" s="461" t="s">
        <v>556</v>
      </c>
      <c r="M91" s="461" t="s">
        <v>557</v>
      </c>
      <c r="N91" s="461" t="s">
        <v>558</v>
      </c>
      <c r="O91" s="462"/>
      <c r="P91" s="462"/>
      <c r="T91" s="447" t="s">
        <v>552</v>
      </c>
      <c r="U91" s="464">
        <v>14.0</v>
      </c>
      <c r="V91" s="464">
        <v>53.82948102277899</v>
      </c>
      <c r="W91" s="464">
        <v>3.8449629301984993</v>
      </c>
    </row>
    <row r="92">
      <c r="B92" s="454">
        <v>40.45</v>
      </c>
      <c r="C92" s="460">
        <v>2.62</v>
      </c>
      <c r="D92" s="452">
        <v>6.77121E7</v>
      </c>
      <c r="E92" s="452">
        <v>5433500.0</v>
      </c>
      <c r="F92" s="452">
        <v>180600.0</v>
      </c>
      <c r="H92" s="447" t="s">
        <v>559</v>
      </c>
      <c r="I92" s="464">
        <v>-18.96947689249646</v>
      </c>
      <c r="J92" s="464">
        <v>62.64158447229143</v>
      </c>
      <c r="K92" s="464">
        <v>-0.30282562378171207</v>
      </c>
      <c r="L92" s="464">
        <v>0.7668140110726749</v>
      </c>
      <c r="M92" s="447">
        <v>-154.29839231600644</v>
      </c>
      <c r="N92" s="464">
        <v>116.35943853101352</v>
      </c>
      <c r="O92" s="464"/>
      <c r="T92" s="465" t="s">
        <v>553</v>
      </c>
      <c r="U92" s="466">
        <v>17.0</v>
      </c>
      <c r="V92" s="466">
        <v>177.6246</v>
      </c>
      <c r="W92" s="468"/>
      <c r="X92" s="468"/>
      <c r="Y92" s="468"/>
    </row>
    <row r="93">
      <c r="B93" s="454">
        <v>37.13</v>
      </c>
      <c r="C93" s="460">
        <v>2.52</v>
      </c>
      <c r="D93" s="452">
        <v>6.83034E7</v>
      </c>
      <c r="E93" s="452">
        <v>5460700.0</v>
      </c>
      <c r="F93" s="452">
        <v>180600.0</v>
      </c>
      <c r="H93" s="447" t="s">
        <v>537</v>
      </c>
      <c r="I93" s="464">
        <v>3.721768917747241</v>
      </c>
      <c r="J93" s="464">
        <v>0.43255569654820114</v>
      </c>
      <c r="K93" s="464">
        <v>8.604138027650531</v>
      </c>
      <c r="L93" s="464">
        <v>9.989364197315349E-7</v>
      </c>
      <c r="M93" s="464">
        <v>2.787289150556453</v>
      </c>
      <c r="N93" s="464">
        <v>4.656248684938029</v>
      </c>
    </row>
    <row r="94">
      <c r="B94" s="454">
        <v>41.05</v>
      </c>
      <c r="C94" s="460">
        <v>2.99</v>
      </c>
      <c r="D94" s="452">
        <v>6.88696E7</v>
      </c>
      <c r="E94" s="452">
        <v>5445300.0</v>
      </c>
      <c r="F94" s="452">
        <v>177700.0</v>
      </c>
      <c r="H94" s="465" t="s">
        <v>511</v>
      </c>
      <c r="I94" s="466">
        <v>1.2749869799022137E-6</v>
      </c>
      <c r="J94" s="466">
        <v>1.9924730063702856E-6</v>
      </c>
      <c r="K94" s="466">
        <v>0.6399017581798382</v>
      </c>
      <c r="L94" s="466">
        <v>0.5333522208493762</v>
      </c>
      <c r="M94" s="471">
        <v>-3.0294892435876617E-6</v>
      </c>
      <c r="N94" s="472">
        <v>5.579463203392089E-6</v>
      </c>
      <c r="O94" s="472"/>
      <c r="P94" s="472"/>
      <c r="Q94" s="463"/>
      <c r="R94" s="463"/>
      <c r="S94" s="463"/>
      <c r="T94" s="462"/>
      <c r="U94" s="461" t="s">
        <v>554</v>
      </c>
      <c r="V94" s="461" t="s">
        <v>543</v>
      </c>
      <c r="W94" s="461" t="s">
        <v>555</v>
      </c>
      <c r="X94" s="461" t="s">
        <v>556</v>
      </c>
      <c r="Y94" s="461" t="s">
        <v>557</v>
      </c>
      <c r="Z94" s="461" t="s">
        <v>558</v>
      </c>
      <c r="AA94" s="462"/>
      <c r="AB94" s="462"/>
    </row>
    <row r="95">
      <c r="H95" s="447" t="s">
        <v>512</v>
      </c>
      <c r="I95" s="464">
        <v>-7.202929997507379E-6</v>
      </c>
      <c r="J95" s="464">
        <v>2.4976070696196197E-5</v>
      </c>
      <c r="K95" s="464">
        <v>-0.28839324188029186</v>
      </c>
      <c r="L95" s="464">
        <v>0.7775926559553384</v>
      </c>
      <c r="M95" s="464">
        <v>-6.1160450186867E-5</v>
      </c>
      <c r="N95" s="464">
        <v>4.6754590191852245E-5</v>
      </c>
      <c r="T95" s="447" t="s">
        <v>559</v>
      </c>
      <c r="U95" s="464">
        <v>-17.85886014965945</v>
      </c>
      <c r="V95" s="464">
        <v>20.848784674089455</v>
      </c>
      <c r="W95" s="464">
        <v>-0.8565899849238773</v>
      </c>
      <c r="X95" s="464">
        <v>0.4060952441782775</v>
      </c>
      <c r="Y95" s="464">
        <v>-62.57505584033953</v>
      </c>
      <c r="Z95" s="464">
        <v>26.857335541020632</v>
      </c>
    </row>
    <row r="96">
      <c r="H96" s="447" t="s">
        <v>513</v>
      </c>
      <c r="I96" s="464">
        <v>1.2812684339058578E-5</v>
      </c>
      <c r="J96" s="464">
        <v>1.8026323053666295E-4</v>
      </c>
      <c r="K96" s="464">
        <v>0.07107763630394198</v>
      </c>
      <c r="L96" s="464">
        <v>0.9444177911524311</v>
      </c>
      <c r="M96" s="464">
        <v>-3.766223480722852E-4</v>
      </c>
      <c r="N96" s="464">
        <v>4.0224771675040236E-4</v>
      </c>
      <c r="T96" s="447" t="s">
        <v>537</v>
      </c>
      <c r="U96" s="464">
        <v>-0.5503033164469997</v>
      </c>
      <c r="V96" s="464">
        <v>0.2666395698084048</v>
      </c>
      <c r="W96" s="464">
        <v>-2.063847150827699</v>
      </c>
      <c r="X96" s="464">
        <v>0.05808159212369169</v>
      </c>
      <c r="Y96" s="464">
        <v>-1.1221883144847622</v>
      </c>
      <c r="Z96" s="464">
        <v>0.02158168159076279</v>
      </c>
    </row>
    <row r="97">
      <c r="R97" s="464"/>
      <c r="S97" s="464"/>
      <c r="T97" s="464"/>
      <c r="U97" s="447" t="s">
        <v>511</v>
      </c>
      <c r="V97" s="464">
        <v>1.2018543642882372E-6</v>
      </c>
      <c r="W97" s="464">
        <v>6.439096729603667E-7</v>
      </c>
      <c r="X97" s="464">
        <v>1.8664952783869928</v>
      </c>
      <c r="Y97" s="464">
        <v>0.08305717929293206</v>
      </c>
      <c r="Z97" s="464">
        <v>-1.7919452624979485E-7</v>
      </c>
      <c r="AA97" s="464">
        <v>2.5829032548262692E-6</v>
      </c>
    </row>
    <row r="98">
      <c r="H98" s="463"/>
      <c r="I98" s="467"/>
      <c r="U98" s="465" t="s">
        <v>512</v>
      </c>
      <c r="V98" s="466">
        <v>-9.50766612881418E-6</v>
      </c>
      <c r="W98" s="466">
        <v>1.1043538852084415E-5</v>
      </c>
      <c r="X98" s="466">
        <v>-0.8609256739310202</v>
      </c>
      <c r="Y98" s="466">
        <v>0.40378297284847975</v>
      </c>
      <c r="Z98" s="466">
        <v>-3.319370117339657E-5</v>
      </c>
      <c r="AA98" s="466">
        <v>1.4178368915768216E-5</v>
      </c>
      <c r="AB98" s="468"/>
      <c r="AC98" s="468"/>
    </row>
    <row r="100">
      <c r="U100" s="447" t="s">
        <v>538</v>
      </c>
    </row>
    <row r="102">
      <c r="U102" s="461" t="s">
        <v>539</v>
      </c>
      <c r="V102" s="462"/>
    </row>
    <row r="103">
      <c r="H103" s="447"/>
      <c r="I103" s="464"/>
      <c r="U103" s="447" t="s">
        <v>540</v>
      </c>
      <c r="V103" s="464">
        <v>0.8251689325474824</v>
      </c>
    </row>
    <row r="104">
      <c r="U104" s="447" t="s">
        <v>541</v>
      </c>
      <c r="V104" s="464">
        <v>0.6809037672415514</v>
      </c>
    </row>
    <row r="105">
      <c r="U105" s="447" t="s">
        <v>542</v>
      </c>
      <c r="V105" s="464">
        <v>0.6383576028737583</v>
      </c>
    </row>
    <row r="106">
      <c r="H106" s="467"/>
      <c r="I106" s="463"/>
      <c r="J106" s="463"/>
      <c r="K106" s="463"/>
      <c r="L106" s="463"/>
      <c r="M106" s="463"/>
      <c r="U106" s="447" t="s">
        <v>543</v>
      </c>
      <c r="V106" s="464">
        <v>1.9438679774310177</v>
      </c>
    </row>
    <row r="107">
      <c r="U107" s="465" t="s">
        <v>544</v>
      </c>
      <c r="V107" s="466">
        <v>18.0</v>
      </c>
    </row>
    <row r="109">
      <c r="H109" s="447"/>
      <c r="I109" s="464"/>
      <c r="J109" s="464"/>
      <c r="U109" s="447" t="s">
        <v>545</v>
      </c>
    </row>
    <row r="110">
      <c r="U110" s="462"/>
      <c r="V110" s="461" t="s">
        <v>546</v>
      </c>
      <c r="W110" s="461" t="s">
        <v>547</v>
      </c>
      <c r="X110" s="461" t="s">
        <v>548</v>
      </c>
      <c r="Y110" s="461" t="s">
        <v>549</v>
      </c>
      <c r="Z110" s="461" t="s">
        <v>550</v>
      </c>
    </row>
    <row r="111">
      <c r="H111" s="467"/>
      <c r="I111" s="463"/>
      <c r="J111" s="463"/>
      <c r="K111" s="463"/>
      <c r="L111" s="463"/>
      <c r="M111" s="463"/>
      <c r="N111" s="463"/>
      <c r="O111" s="467"/>
      <c r="P111" s="467"/>
      <c r="U111" s="447" t="s">
        <v>551</v>
      </c>
      <c r="V111" s="464">
        <v>2.0</v>
      </c>
      <c r="W111" s="464">
        <v>120.94525929477365</v>
      </c>
      <c r="X111" s="464">
        <v>60.472629647386825</v>
      </c>
      <c r="Y111" s="464">
        <v>16.003881368845224</v>
      </c>
      <c r="Z111" s="464">
        <v>1.902885151043865E-4</v>
      </c>
    </row>
    <row r="112">
      <c r="U112" s="447" t="s">
        <v>552</v>
      </c>
      <c r="V112" s="464">
        <v>15.0</v>
      </c>
      <c r="W112" s="464">
        <v>56.67934070522633</v>
      </c>
      <c r="X112" s="464">
        <v>3.7786227136817554</v>
      </c>
    </row>
    <row r="113">
      <c r="U113" s="465" t="s">
        <v>553</v>
      </c>
      <c r="V113" s="466">
        <v>17.0</v>
      </c>
      <c r="W113" s="466">
        <v>177.6246</v>
      </c>
      <c r="X113" s="468"/>
      <c r="Y113" s="468"/>
      <c r="Z113" s="468"/>
    </row>
    <row r="115">
      <c r="U115" s="462"/>
      <c r="V115" s="461" t="s">
        <v>554</v>
      </c>
      <c r="W115" s="461" t="s">
        <v>543</v>
      </c>
      <c r="X115" s="461" t="s">
        <v>555</v>
      </c>
      <c r="Y115" s="461" t="s">
        <v>556</v>
      </c>
      <c r="Z115" s="461" t="s">
        <v>557</v>
      </c>
      <c r="AA115" s="461" t="s">
        <v>558</v>
      </c>
      <c r="AB115" s="462"/>
      <c r="AC115" s="462"/>
    </row>
    <row r="116">
      <c r="H116" s="447"/>
      <c r="I116" s="464"/>
      <c r="J116" s="464"/>
      <c r="K116" s="464"/>
      <c r="L116" s="464"/>
      <c r="M116" s="464"/>
      <c r="N116" s="464"/>
      <c r="U116" s="447" t="s">
        <v>559</v>
      </c>
      <c r="V116" s="464">
        <v>-33.19585127866549</v>
      </c>
      <c r="W116" s="464">
        <v>10.737319325100648</v>
      </c>
      <c r="X116" s="464">
        <v>-3.0916330485825725</v>
      </c>
      <c r="Y116" s="464">
        <v>0.007443348765756697</v>
      </c>
      <c r="Z116" s="464">
        <v>-56.081905568945494</v>
      </c>
      <c r="AA116" s="464">
        <v>-10.309796988385479</v>
      </c>
    </row>
    <row r="117">
      <c r="U117" s="447" t="s">
        <v>537</v>
      </c>
      <c r="V117" s="464">
        <v>-0.5099989012328479</v>
      </c>
      <c r="W117" s="464">
        <v>0.26022322308620505</v>
      </c>
      <c r="X117" s="464">
        <v>-1.9598516042663063</v>
      </c>
      <c r="Y117" s="464">
        <v>0.0688629581808927</v>
      </c>
      <c r="Z117" s="464">
        <v>-1.0646515692614864</v>
      </c>
      <c r="AA117" s="464">
        <v>0.044653766795790695</v>
      </c>
    </row>
    <row r="118">
      <c r="U118" s="465" t="s">
        <v>511</v>
      </c>
      <c r="V118" s="466">
        <v>6.649438016807216E-7</v>
      </c>
      <c r="W118" s="466">
        <v>1.5888809679733664E-7</v>
      </c>
      <c r="X118" s="466">
        <v>4.184981852535272</v>
      </c>
      <c r="Y118" s="466">
        <v>7.967147244336172E-4</v>
      </c>
      <c r="Z118" s="466">
        <v>3.262818415318344E-7</v>
      </c>
      <c r="AA118" s="466">
        <v>1.0036057618296087E-6</v>
      </c>
      <c r="AB118" s="468"/>
      <c r="AC118" s="468"/>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outlineLevelRow="1"/>
  <cols>
    <col customWidth="1" min="1" max="1" width="22.14"/>
    <col customWidth="1" min="2" max="2" width="20.86"/>
    <col customWidth="1" min="3" max="53" width="8.86"/>
  </cols>
  <sheetData>
    <row r="1">
      <c r="A1" s="473" t="s">
        <v>560</v>
      </c>
      <c r="B1" s="76"/>
      <c r="C1" s="76"/>
      <c r="D1" s="76"/>
      <c r="E1" s="76"/>
      <c r="F1" s="76"/>
      <c r="G1" s="76"/>
      <c r="H1" s="76"/>
      <c r="I1" s="76"/>
      <c r="J1" s="76"/>
      <c r="K1" s="76"/>
      <c r="L1" s="76"/>
      <c r="M1" s="76"/>
      <c r="N1" s="76"/>
      <c r="O1" s="76"/>
      <c r="P1" s="76"/>
      <c r="Q1" s="76"/>
      <c r="R1" s="76"/>
      <c r="S1" s="76"/>
      <c r="T1" s="76"/>
      <c r="U1" s="474"/>
      <c r="V1" s="474"/>
      <c r="W1" s="474"/>
      <c r="X1" s="474"/>
      <c r="Y1" s="474"/>
      <c r="Z1" s="474"/>
      <c r="AA1" s="474"/>
      <c r="AB1" s="474"/>
      <c r="AC1" s="474"/>
      <c r="AD1" s="474"/>
      <c r="AE1" s="474"/>
      <c r="AF1" s="474"/>
      <c r="AG1" s="474"/>
      <c r="AH1" s="474"/>
      <c r="AI1" s="474"/>
      <c r="AJ1" s="474"/>
      <c r="AK1" s="474"/>
      <c r="AL1" s="474"/>
      <c r="AM1" s="474"/>
      <c r="AN1" s="474"/>
      <c r="AO1" s="474"/>
      <c r="AP1" s="474"/>
      <c r="AQ1" s="474"/>
      <c r="AR1" s="474"/>
      <c r="AS1" s="474"/>
      <c r="AT1" s="474"/>
      <c r="AU1" s="474"/>
      <c r="AV1" s="474"/>
      <c r="AW1" s="474"/>
      <c r="AX1" s="474"/>
      <c r="AY1" s="474"/>
      <c r="AZ1" s="474"/>
      <c r="BA1" s="474"/>
      <c r="BB1" s="474"/>
      <c r="BC1" s="474"/>
      <c r="BD1" s="474"/>
      <c r="BE1" s="474"/>
      <c r="BF1" s="474"/>
      <c r="BG1" s="474"/>
      <c r="BH1" s="474"/>
    </row>
    <row r="2" collapsed="1">
      <c r="A2" s="76" t="s">
        <v>561</v>
      </c>
      <c r="B2" s="76" t="s">
        <v>562</v>
      </c>
      <c r="C2" s="76">
        <v>2000.0</v>
      </c>
      <c r="D2" s="76">
        <v>2001.0</v>
      </c>
      <c r="E2" s="76">
        <v>2002.0</v>
      </c>
      <c r="F2" s="76">
        <v>2003.0</v>
      </c>
      <c r="G2" s="76">
        <v>2004.0</v>
      </c>
      <c r="H2" s="76">
        <v>2005.0</v>
      </c>
      <c r="I2" s="76">
        <v>2006.0</v>
      </c>
      <c r="J2" s="76">
        <v>2007.0</v>
      </c>
      <c r="K2" s="76">
        <v>2008.0</v>
      </c>
      <c r="L2" s="76">
        <v>2009.0</v>
      </c>
      <c r="M2" s="76">
        <v>2010.0</v>
      </c>
      <c r="N2" s="76">
        <v>2011.0</v>
      </c>
      <c r="O2" s="76">
        <v>2012.0</v>
      </c>
      <c r="P2" s="76">
        <v>2013.0</v>
      </c>
      <c r="Q2" s="76">
        <v>2014.0</v>
      </c>
      <c r="R2" s="76">
        <v>2015.0</v>
      </c>
      <c r="S2" s="76">
        <v>2016.0</v>
      </c>
      <c r="T2" s="76">
        <v>2017.0</v>
      </c>
      <c r="U2" s="474"/>
      <c r="V2" s="474"/>
      <c r="W2" s="474"/>
      <c r="X2" s="474"/>
      <c r="Y2" s="474"/>
      <c r="Z2" s="474"/>
      <c r="AA2" s="474"/>
      <c r="AB2" s="474"/>
      <c r="AC2" s="474"/>
      <c r="AD2" s="474"/>
      <c r="AE2" s="474"/>
      <c r="AF2" s="474"/>
      <c r="AG2" s="474"/>
      <c r="AH2" s="474"/>
      <c r="AI2" s="474"/>
      <c r="AJ2" s="474"/>
      <c r="AK2" s="474"/>
      <c r="AL2" s="474"/>
      <c r="AM2" s="474"/>
      <c r="AN2" s="474"/>
      <c r="AO2" s="474"/>
      <c r="AP2" s="474"/>
      <c r="AQ2" s="474"/>
      <c r="AR2" s="474"/>
      <c r="AS2" s="474"/>
      <c r="AT2" s="474"/>
      <c r="AU2" s="474"/>
      <c r="AV2" s="474"/>
      <c r="AW2" s="474"/>
      <c r="AX2" s="474"/>
      <c r="AY2" s="474"/>
      <c r="AZ2" s="474"/>
      <c r="BA2" s="474"/>
      <c r="BB2" s="474"/>
      <c r="BC2" s="474"/>
      <c r="BD2" s="474"/>
      <c r="BE2" s="474"/>
      <c r="BF2" s="474"/>
      <c r="BG2" s="474"/>
      <c r="BH2" s="474"/>
    </row>
    <row r="3" hidden="1" outlineLevel="1">
      <c r="A3" s="447" t="s">
        <v>563</v>
      </c>
      <c r="B3" s="447" t="s">
        <v>564</v>
      </c>
      <c r="C3" s="447">
        <v>149019.0</v>
      </c>
      <c r="D3" s="447">
        <v>149279.0</v>
      </c>
      <c r="E3" s="447">
        <v>146564.0</v>
      </c>
      <c r="F3" s="447">
        <v>144828.0</v>
      </c>
      <c r="G3" s="447">
        <v>147599.0</v>
      </c>
      <c r="H3" s="447">
        <v>149293.0</v>
      </c>
      <c r="I3" s="447">
        <v>150587.0</v>
      </c>
      <c r="J3" s="447">
        <v>147876.0</v>
      </c>
      <c r="K3" s="447">
        <v>155198.0</v>
      </c>
      <c r="L3" s="447">
        <v>157446.0</v>
      </c>
      <c r="M3" s="447">
        <v>160934.0</v>
      </c>
      <c r="N3" s="447">
        <v>165247.0</v>
      </c>
      <c r="O3" s="447">
        <v>168314.0</v>
      </c>
      <c r="P3" s="447">
        <v>174810.0</v>
      </c>
      <c r="Q3" s="447">
        <v>178912.0</v>
      </c>
      <c r="R3" s="447">
        <v>180413.0</v>
      </c>
      <c r="S3" s="447">
        <v>178761.0</v>
      </c>
      <c r="T3" s="447">
        <v>169327.0</v>
      </c>
    </row>
    <row r="4" hidden="1" outlineLevel="1">
      <c r="A4" s="447" t="s">
        <v>565</v>
      </c>
      <c r="B4" s="447" t="s">
        <v>564</v>
      </c>
      <c r="C4" s="447">
        <v>45210.0</v>
      </c>
      <c r="D4" s="447">
        <v>44749.0</v>
      </c>
      <c r="E4" s="447">
        <v>44844.0</v>
      </c>
      <c r="F4" s="447">
        <v>44556.0</v>
      </c>
      <c r="G4" s="447">
        <v>44747.0</v>
      </c>
      <c r="H4" s="447">
        <v>45473.0</v>
      </c>
      <c r="I4" s="447">
        <v>46682.0</v>
      </c>
      <c r="J4" s="447">
        <v>46499.0</v>
      </c>
      <c r="K4" s="447">
        <v>49656.0</v>
      </c>
      <c r="L4" s="447">
        <v>48817.0</v>
      </c>
      <c r="M4" s="447">
        <v>50287.0</v>
      </c>
      <c r="N4" s="447">
        <v>51593.0</v>
      </c>
      <c r="O4" s="447">
        <v>52782.0</v>
      </c>
      <c r="P4" s="447">
        <v>53735.0</v>
      </c>
      <c r="Q4" s="447">
        <v>54608.0</v>
      </c>
      <c r="R4" s="447">
        <v>53244.0</v>
      </c>
      <c r="S4" s="447">
        <v>49988.0</v>
      </c>
      <c r="T4" s="447">
        <v>50671.0</v>
      </c>
    </row>
    <row r="5" hidden="1" outlineLevel="1">
      <c r="A5" s="447" t="s">
        <v>566</v>
      </c>
      <c r="B5" s="447" t="s">
        <v>564</v>
      </c>
      <c r="C5" s="447">
        <v>47546.0</v>
      </c>
      <c r="D5" s="447">
        <v>47631.0</v>
      </c>
      <c r="E5" s="447">
        <v>47505.0</v>
      </c>
      <c r="F5" s="447">
        <v>48071.0</v>
      </c>
      <c r="G5" s="447">
        <v>47682.0</v>
      </c>
      <c r="H5" s="447">
        <v>48374.0</v>
      </c>
      <c r="I5" s="447">
        <v>49165.0</v>
      </c>
      <c r="J5" s="447">
        <v>49427.0</v>
      </c>
      <c r="K5" s="447">
        <v>51036.0</v>
      </c>
      <c r="L5" s="447">
        <v>50855.0</v>
      </c>
      <c r="M5" s="447">
        <v>50806.0</v>
      </c>
      <c r="N5" s="447">
        <v>53019.0</v>
      </c>
      <c r="O5" s="447">
        <v>54366.0</v>
      </c>
      <c r="P5" s="447">
        <v>54136.0</v>
      </c>
      <c r="Q5" s="447">
        <v>54656.0</v>
      </c>
      <c r="R5" s="447">
        <v>52867.0</v>
      </c>
      <c r="S5" s="447">
        <v>50098.0</v>
      </c>
      <c r="T5" s="447">
        <v>50597.0</v>
      </c>
    </row>
    <row r="6" hidden="1" outlineLevel="1">
      <c r="A6" s="447" t="s">
        <v>567</v>
      </c>
      <c r="B6" s="447" t="s">
        <v>564</v>
      </c>
      <c r="C6" s="447">
        <v>26739.0</v>
      </c>
      <c r="D6" s="447">
        <v>26935.0</v>
      </c>
      <c r="E6" s="447">
        <v>26731.0</v>
      </c>
      <c r="F6" s="447">
        <v>25943.0</v>
      </c>
      <c r="G6" s="447">
        <v>26315.0</v>
      </c>
      <c r="H6" s="447">
        <v>26571.0</v>
      </c>
      <c r="I6" s="447">
        <v>27592.0</v>
      </c>
      <c r="J6" s="447">
        <v>27263.0</v>
      </c>
      <c r="K6" s="447">
        <v>28385.0</v>
      </c>
      <c r="L6" s="447">
        <v>28007.0</v>
      </c>
      <c r="M6" s="447">
        <v>28229.0</v>
      </c>
      <c r="N6" s="447">
        <v>28846.0</v>
      </c>
      <c r="O6" s="447">
        <v>29233.0</v>
      </c>
      <c r="P6" s="447">
        <v>29774.0</v>
      </c>
      <c r="Q6" s="447">
        <v>30638.0</v>
      </c>
      <c r="R6" s="447">
        <v>29844.0</v>
      </c>
      <c r="S6" s="447">
        <v>28397.0</v>
      </c>
      <c r="T6" s="447">
        <v>28370.0</v>
      </c>
    </row>
    <row r="7" hidden="1" outlineLevel="1">
      <c r="A7" s="447" t="s">
        <v>568</v>
      </c>
      <c r="B7" s="447" t="s">
        <v>564</v>
      </c>
      <c r="C7" s="447">
        <v>17442.0</v>
      </c>
      <c r="D7" s="447">
        <v>17546.0</v>
      </c>
      <c r="E7" s="447">
        <v>17157.0</v>
      </c>
      <c r="F7" s="447">
        <v>17366.0</v>
      </c>
      <c r="G7" s="447">
        <v>16987.0</v>
      </c>
      <c r="H7" s="447">
        <v>17248.0</v>
      </c>
      <c r="I7" s="447">
        <v>17936.0</v>
      </c>
      <c r="J7" s="447">
        <v>17981.0</v>
      </c>
      <c r="K7" s="447">
        <v>18566.0</v>
      </c>
      <c r="L7" s="447">
        <v>18291.0</v>
      </c>
      <c r="M7" s="447">
        <v>18414.0</v>
      </c>
      <c r="N7" s="447">
        <v>18646.0</v>
      </c>
      <c r="O7" s="447">
        <v>18979.0</v>
      </c>
      <c r="P7" s="447">
        <v>19247.0</v>
      </c>
      <c r="Q7" s="447">
        <v>19831.0</v>
      </c>
      <c r="R7" s="447">
        <v>19601.0</v>
      </c>
      <c r="S7" s="447">
        <v>18505.0</v>
      </c>
      <c r="T7" s="447">
        <v>18187.0</v>
      </c>
    </row>
    <row r="8" hidden="1" outlineLevel="1">
      <c r="A8" s="447" t="s">
        <v>569</v>
      </c>
      <c r="B8" s="447" t="s">
        <v>564</v>
      </c>
      <c r="C8" s="447">
        <v>12854.0</v>
      </c>
      <c r="D8" s="447">
        <v>13019.0</v>
      </c>
      <c r="E8" s="447">
        <v>12790.0</v>
      </c>
      <c r="F8" s="447">
        <v>12621.0</v>
      </c>
      <c r="G8" s="447">
        <v>12695.0</v>
      </c>
      <c r="H8" s="447">
        <v>12696.0</v>
      </c>
      <c r="I8" s="447">
        <v>12696.0</v>
      </c>
      <c r="J8" s="447">
        <v>13065.0</v>
      </c>
      <c r="K8" s="447">
        <v>12994.0</v>
      </c>
      <c r="L8" s="447">
        <v>12786.0</v>
      </c>
      <c r="M8" s="447">
        <v>12928.0</v>
      </c>
      <c r="N8" s="447">
        <v>13288.0</v>
      </c>
      <c r="O8" s="447">
        <v>13541.0</v>
      </c>
      <c r="P8" s="447">
        <v>13823.0</v>
      </c>
      <c r="Q8" s="447">
        <v>14365.0</v>
      </c>
      <c r="R8" s="447">
        <v>13827.0</v>
      </c>
      <c r="S8" s="447">
        <v>13323.0</v>
      </c>
      <c r="T8" s="447">
        <v>13023.0</v>
      </c>
    </row>
    <row r="9" hidden="1" outlineLevel="1">
      <c r="A9" s="447" t="s">
        <v>570</v>
      </c>
      <c r="B9" s="447" t="s">
        <v>564</v>
      </c>
      <c r="C9" s="447">
        <v>9988.0</v>
      </c>
      <c r="D9" s="447">
        <v>9469.0</v>
      </c>
      <c r="E9" s="447">
        <v>9456.0</v>
      </c>
      <c r="F9" s="447">
        <v>9357.0</v>
      </c>
      <c r="G9" s="447">
        <v>9089.0</v>
      </c>
      <c r="H9" s="447">
        <v>9467.0</v>
      </c>
      <c r="I9" s="447">
        <v>9538.0</v>
      </c>
      <c r="J9" s="447">
        <v>9409.0</v>
      </c>
      <c r="K9" s="447">
        <v>10107.0</v>
      </c>
      <c r="L9" s="447">
        <v>9611.0</v>
      </c>
      <c r="M9" s="447">
        <v>9834.0</v>
      </c>
      <c r="N9" s="447">
        <v>9993.0</v>
      </c>
      <c r="O9" s="447">
        <v>10589.0</v>
      </c>
      <c r="P9" s="447">
        <v>10605.0</v>
      </c>
      <c r="Q9" s="447">
        <v>10781.0</v>
      </c>
      <c r="R9" s="447">
        <v>10588.0</v>
      </c>
      <c r="S9" s="447">
        <v>9987.0</v>
      </c>
      <c r="T9" s="447">
        <v>10114.0</v>
      </c>
    </row>
    <row r="10" hidden="1" outlineLevel="1">
      <c r="A10" s="447" t="s">
        <v>571</v>
      </c>
      <c r="B10" s="447" t="s">
        <v>564</v>
      </c>
      <c r="C10" s="447">
        <v>10641.0</v>
      </c>
      <c r="D10" s="447">
        <v>10771.0</v>
      </c>
      <c r="E10" s="447">
        <v>10404.0</v>
      </c>
      <c r="F10" s="447">
        <v>10260.0</v>
      </c>
      <c r="G10" s="447">
        <v>10362.0</v>
      </c>
      <c r="H10" s="447">
        <v>10635.0</v>
      </c>
      <c r="I10" s="447">
        <v>10717.0</v>
      </c>
      <c r="J10" s="447">
        <v>10874.0</v>
      </c>
      <c r="K10" s="447">
        <v>11062.0</v>
      </c>
      <c r="L10" s="447">
        <v>10884.0</v>
      </c>
      <c r="M10" s="447">
        <v>10908.0</v>
      </c>
      <c r="N10" s="447">
        <v>11209.0</v>
      </c>
      <c r="O10" s="447">
        <v>11593.0</v>
      </c>
      <c r="P10" s="447">
        <v>11769.0</v>
      </c>
      <c r="Q10" s="447">
        <v>12058.0</v>
      </c>
      <c r="R10" s="447">
        <v>11985.0</v>
      </c>
      <c r="S10" s="447">
        <v>11600.0</v>
      </c>
      <c r="T10" s="447">
        <v>11177.0</v>
      </c>
    </row>
    <row r="11" hidden="1" outlineLevel="1">
      <c r="A11" s="447" t="s">
        <v>572</v>
      </c>
      <c r="B11" s="447" t="s">
        <v>564</v>
      </c>
      <c r="C11" s="447">
        <v>12896.0</v>
      </c>
      <c r="D11" s="447">
        <v>12440.0</v>
      </c>
      <c r="E11" s="447">
        <v>11982.0</v>
      </c>
      <c r="F11" s="447">
        <v>11740.0</v>
      </c>
      <c r="G11" s="447">
        <v>11901.0</v>
      </c>
      <c r="H11" s="447">
        <v>11995.0</v>
      </c>
      <c r="I11" s="447">
        <v>12070.0</v>
      </c>
      <c r="J11" s="447">
        <v>12094.0</v>
      </c>
      <c r="K11" s="447">
        <v>12387.0</v>
      </c>
      <c r="L11" s="447">
        <v>12112.0</v>
      </c>
      <c r="M11" s="447">
        <v>12239.0</v>
      </c>
      <c r="N11" s="447">
        <v>12797.0</v>
      </c>
      <c r="O11" s="447">
        <v>13215.0</v>
      </c>
      <c r="P11" s="447">
        <v>13545.0</v>
      </c>
      <c r="Q11" s="447">
        <v>13887.0</v>
      </c>
      <c r="R11" s="447">
        <v>13823.0</v>
      </c>
      <c r="S11" s="447">
        <v>13198.0</v>
      </c>
      <c r="T11" s="447">
        <v>13157.0</v>
      </c>
    </row>
    <row r="12" hidden="1" outlineLevel="1">
      <c r="A12" s="447" t="s">
        <v>573</v>
      </c>
      <c r="B12" s="447" t="s">
        <v>564</v>
      </c>
      <c r="C12" s="447">
        <v>8518.0</v>
      </c>
      <c r="D12" s="447">
        <v>8385.0</v>
      </c>
      <c r="E12" s="447">
        <v>8033.0</v>
      </c>
      <c r="F12" s="447">
        <v>8140.0</v>
      </c>
      <c r="G12" s="447">
        <v>8063.0</v>
      </c>
      <c r="H12" s="447">
        <v>7940.0</v>
      </c>
      <c r="I12" s="447">
        <v>8054.0</v>
      </c>
      <c r="J12" s="447">
        <v>8024.0</v>
      </c>
      <c r="K12" s="447">
        <v>8415.0</v>
      </c>
      <c r="L12" s="447">
        <v>8116.0</v>
      </c>
      <c r="M12" s="447">
        <v>8281.0</v>
      </c>
      <c r="N12" s="447">
        <v>8512.0</v>
      </c>
      <c r="O12" s="447">
        <v>9131.0</v>
      </c>
      <c r="P12" s="447">
        <v>8989.0</v>
      </c>
      <c r="Q12" s="447">
        <v>9531.0</v>
      </c>
      <c r="R12" s="447">
        <v>9364.0</v>
      </c>
      <c r="S12" s="447">
        <v>8957.0</v>
      </c>
      <c r="T12" s="447">
        <v>8884.0</v>
      </c>
    </row>
    <row r="13" hidden="1" outlineLevel="1">
      <c r="A13" s="447" t="s">
        <v>574</v>
      </c>
      <c r="B13" s="447" t="s">
        <v>564</v>
      </c>
      <c r="C13" s="447">
        <v>6110.0</v>
      </c>
      <c r="D13" s="447">
        <v>5890.0</v>
      </c>
      <c r="E13" s="447">
        <v>5844.0</v>
      </c>
      <c r="F13" s="447">
        <v>5523.0</v>
      </c>
      <c r="G13" s="447">
        <v>5796.0</v>
      </c>
      <c r="H13" s="447">
        <v>5697.0</v>
      </c>
      <c r="I13" s="447">
        <v>5647.0</v>
      </c>
      <c r="J13" s="447">
        <v>5616.0</v>
      </c>
      <c r="K13" s="447">
        <v>5877.0</v>
      </c>
      <c r="L13" s="447">
        <v>5603.0</v>
      </c>
      <c r="M13" s="447">
        <v>5693.0</v>
      </c>
      <c r="N13" s="447">
        <v>6092.0</v>
      </c>
      <c r="O13" s="447">
        <v>6294.0</v>
      </c>
      <c r="P13" s="447">
        <v>6558.0</v>
      </c>
      <c r="Q13" s="447">
        <v>6987.0</v>
      </c>
      <c r="R13" s="447">
        <v>6722.0</v>
      </c>
      <c r="S13" s="447">
        <v>6451.0</v>
      </c>
      <c r="T13" s="447">
        <v>6625.0</v>
      </c>
    </row>
    <row r="14" hidden="1" outlineLevel="1">
      <c r="A14" s="447" t="s">
        <v>575</v>
      </c>
      <c r="B14" s="447" t="s">
        <v>564</v>
      </c>
      <c r="C14" s="447">
        <v>7809.0</v>
      </c>
      <c r="D14" s="447">
        <v>7878.0</v>
      </c>
      <c r="E14" s="447">
        <v>7611.0</v>
      </c>
      <c r="F14" s="447">
        <v>7620.0</v>
      </c>
      <c r="G14" s="447">
        <v>7370.0</v>
      </c>
      <c r="H14" s="447">
        <v>7476.0</v>
      </c>
      <c r="I14" s="447">
        <v>7423.0</v>
      </c>
      <c r="J14" s="447">
        <v>7373.0</v>
      </c>
      <c r="K14" s="447">
        <v>7569.0</v>
      </c>
      <c r="L14" s="447">
        <v>7260.0</v>
      </c>
      <c r="M14" s="447">
        <v>7477.0</v>
      </c>
      <c r="N14" s="447">
        <v>7940.0</v>
      </c>
      <c r="O14" s="447">
        <v>8583.0</v>
      </c>
      <c r="P14" s="447">
        <v>8962.0</v>
      </c>
      <c r="Q14" s="447">
        <v>9324.0</v>
      </c>
      <c r="R14" s="447">
        <v>9103.0</v>
      </c>
      <c r="S14" s="447">
        <v>9213.0</v>
      </c>
      <c r="T14" s="447">
        <v>9573.0</v>
      </c>
    </row>
    <row r="15" hidden="1" outlineLevel="1">
      <c r="A15" s="447" t="s">
        <v>576</v>
      </c>
      <c r="B15" s="447" t="s">
        <v>564</v>
      </c>
      <c r="C15" s="447">
        <v>4763.0</v>
      </c>
      <c r="D15" s="447">
        <v>4719.0</v>
      </c>
      <c r="E15" s="447">
        <v>4681.0</v>
      </c>
      <c r="F15" s="447">
        <v>4579.0</v>
      </c>
      <c r="G15" s="447">
        <v>4466.0</v>
      </c>
      <c r="H15" s="447">
        <v>4302.0</v>
      </c>
      <c r="I15" s="447">
        <v>4175.0</v>
      </c>
      <c r="J15" s="447">
        <v>4264.0</v>
      </c>
      <c r="K15" s="447">
        <v>4412.0</v>
      </c>
      <c r="L15" s="447">
        <v>4250.0</v>
      </c>
      <c r="M15" s="447">
        <v>4597.0</v>
      </c>
      <c r="N15" s="447">
        <v>4867.0</v>
      </c>
      <c r="O15" s="447">
        <v>5326.0</v>
      </c>
      <c r="P15" s="447">
        <v>5840.0</v>
      </c>
      <c r="Q15" s="447">
        <v>6337.0</v>
      </c>
      <c r="R15" s="447">
        <v>6433.0</v>
      </c>
      <c r="S15" s="447">
        <v>6431.0</v>
      </c>
      <c r="T15" s="447">
        <v>6635.0</v>
      </c>
    </row>
    <row r="16" hidden="1" outlineLevel="1">
      <c r="A16" s="447" t="s">
        <v>577</v>
      </c>
      <c r="B16" s="447" t="s">
        <v>564</v>
      </c>
      <c r="C16" s="447">
        <v>9359.0</v>
      </c>
      <c r="D16" s="447">
        <v>9282.0</v>
      </c>
      <c r="E16" s="447">
        <v>8524.0</v>
      </c>
      <c r="F16" s="447">
        <v>8427.0</v>
      </c>
      <c r="G16" s="447">
        <v>8019.0</v>
      </c>
      <c r="H16" s="447">
        <v>7815.0</v>
      </c>
      <c r="I16" s="447">
        <v>7530.0</v>
      </c>
      <c r="J16" s="447">
        <v>7691.0</v>
      </c>
      <c r="K16" s="447">
        <v>8119.0</v>
      </c>
      <c r="L16" s="447">
        <v>7754.0</v>
      </c>
      <c r="M16" s="447">
        <v>8782.0</v>
      </c>
      <c r="N16" s="447">
        <v>10048.0</v>
      </c>
      <c r="O16" s="447">
        <v>11659.0</v>
      </c>
      <c r="P16" s="447">
        <v>13462.0</v>
      </c>
      <c r="Q16" s="447">
        <v>15528.0</v>
      </c>
      <c r="R16" s="447">
        <v>16162.0</v>
      </c>
      <c r="S16" s="447">
        <v>16308.0</v>
      </c>
      <c r="T16" s="447">
        <v>16463.0</v>
      </c>
    </row>
    <row r="17" hidden="1" outlineLevel="1">
      <c r="A17" s="447" t="s">
        <v>578</v>
      </c>
      <c r="B17" s="447" t="s">
        <v>564</v>
      </c>
      <c r="C17" s="447">
        <v>3672.0</v>
      </c>
      <c r="D17" s="447">
        <v>3491.0</v>
      </c>
      <c r="E17" s="447">
        <v>3269.0</v>
      </c>
      <c r="F17" s="447">
        <v>3106.0</v>
      </c>
      <c r="G17" s="447">
        <v>2969.0</v>
      </c>
      <c r="H17" s="447">
        <v>2848.0</v>
      </c>
      <c r="I17" s="447">
        <v>2763.0</v>
      </c>
      <c r="J17" s="447">
        <v>3075.0</v>
      </c>
      <c r="K17" s="447">
        <v>3280.0</v>
      </c>
      <c r="L17" s="447">
        <v>3258.0</v>
      </c>
      <c r="M17" s="447">
        <v>3891.0</v>
      </c>
      <c r="N17" s="447">
        <v>5003.0</v>
      </c>
      <c r="O17" s="447">
        <v>6918.0</v>
      </c>
      <c r="P17" s="447">
        <v>9062.0</v>
      </c>
      <c r="Q17" s="447">
        <v>10912.0</v>
      </c>
      <c r="R17" s="447">
        <v>11254.0</v>
      </c>
      <c r="S17" s="447">
        <v>9600.0</v>
      </c>
      <c r="T17" s="447">
        <v>8554.0</v>
      </c>
    </row>
    <row r="18" hidden="1" outlineLevel="1">
      <c r="A18" s="447" t="s">
        <v>579</v>
      </c>
      <c r="B18" s="447" t="s">
        <v>564</v>
      </c>
      <c r="C18" s="447">
        <v>1399.0</v>
      </c>
      <c r="D18" s="447">
        <v>1357.0</v>
      </c>
      <c r="E18" s="447">
        <v>1268.0</v>
      </c>
      <c r="F18" s="447">
        <v>1265.0</v>
      </c>
      <c r="G18" s="447">
        <v>1211.0</v>
      </c>
      <c r="H18" s="447">
        <v>1138.0</v>
      </c>
      <c r="I18" s="447">
        <v>1142.0</v>
      </c>
      <c r="J18" s="447">
        <v>1255.0</v>
      </c>
      <c r="K18" s="447">
        <v>1273.0</v>
      </c>
      <c r="L18" s="447">
        <v>1318.0</v>
      </c>
      <c r="M18" s="447">
        <v>1892.0</v>
      </c>
      <c r="N18" s="447">
        <v>2776.0</v>
      </c>
      <c r="O18" s="447">
        <v>4584.0</v>
      </c>
      <c r="P18" s="447">
        <v>6193.0</v>
      </c>
      <c r="Q18" s="447">
        <v>7788.0</v>
      </c>
      <c r="R18" s="447">
        <v>7317.0</v>
      </c>
      <c r="S18" s="447">
        <v>5213.0</v>
      </c>
      <c r="T18" s="447">
        <v>5367.0</v>
      </c>
    </row>
    <row r="19" hidden="1" outlineLevel="1">
      <c r="A19" s="447" t="s">
        <v>580</v>
      </c>
      <c r="B19" s="447" t="s">
        <v>564</v>
      </c>
      <c r="C19" s="447">
        <v>600.0</v>
      </c>
      <c r="D19" s="447">
        <v>568.0</v>
      </c>
      <c r="E19" s="447">
        <v>494.0</v>
      </c>
      <c r="F19" s="447">
        <v>508.0</v>
      </c>
      <c r="G19" s="447">
        <v>504.0</v>
      </c>
      <c r="H19" s="447">
        <v>455.0</v>
      </c>
      <c r="I19" s="447">
        <v>488.0</v>
      </c>
      <c r="J19" s="447">
        <v>541.0</v>
      </c>
      <c r="K19" s="447">
        <v>540.0</v>
      </c>
      <c r="L19" s="447">
        <v>493.0</v>
      </c>
      <c r="M19" s="447">
        <v>755.0</v>
      </c>
      <c r="N19" s="447">
        <v>1187.0</v>
      </c>
      <c r="O19" s="447">
        <v>1923.0</v>
      </c>
      <c r="P19" s="447">
        <v>2742.0</v>
      </c>
      <c r="Q19" s="447">
        <v>3936.0</v>
      </c>
      <c r="R19" s="447">
        <v>3816.0</v>
      </c>
      <c r="S19" s="447">
        <v>3283.0</v>
      </c>
      <c r="T19" s="447">
        <v>4387.0</v>
      </c>
    </row>
    <row r="20" hidden="1" outlineLevel="1">
      <c r="A20" s="447" t="s">
        <v>581</v>
      </c>
      <c r="B20" s="447" t="s">
        <v>564</v>
      </c>
      <c r="C20" s="447">
        <v>289.0</v>
      </c>
      <c r="D20" s="447">
        <v>257.0</v>
      </c>
      <c r="E20" s="447">
        <v>235.0</v>
      </c>
      <c r="F20" s="447">
        <v>222.0</v>
      </c>
      <c r="G20" s="447">
        <v>210.0</v>
      </c>
      <c r="H20" s="447">
        <v>205.0</v>
      </c>
      <c r="I20" s="447">
        <v>192.0</v>
      </c>
      <c r="J20" s="447">
        <v>186.0</v>
      </c>
      <c r="K20" s="447">
        <v>212.0</v>
      </c>
      <c r="L20" s="447">
        <v>204.0</v>
      </c>
      <c r="M20" s="447">
        <v>213.0</v>
      </c>
      <c r="N20" s="447">
        <v>319.0</v>
      </c>
      <c r="O20" s="447">
        <v>472.0</v>
      </c>
      <c r="P20" s="447">
        <v>558.0</v>
      </c>
      <c r="Q20" s="447">
        <v>816.0</v>
      </c>
      <c r="R20" s="447">
        <v>962.0</v>
      </c>
      <c r="S20" s="447">
        <v>996.0</v>
      </c>
      <c r="T20" s="447">
        <v>1768.0</v>
      </c>
    </row>
    <row r="21" hidden="1" outlineLevel="1">
      <c r="A21" s="447" t="s">
        <v>582</v>
      </c>
      <c r="B21" s="447" t="s">
        <v>564</v>
      </c>
      <c r="C21" s="447">
        <v>99.0</v>
      </c>
      <c r="D21" s="447">
        <v>75.0</v>
      </c>
      <c r="E21" s="447">
        <v>84.0</v>
      </c>
      <c r="F21" s="447">
        <v>81.0</v>
      </c>
      <c r="G21" s="447">
        <v>88.0</v>
      </c>
      <c r="H21" s="447">
        <v>94.0</v>
      </c>
      <c r="I21" s="447">
        <v>110.0</v>
      </c>
      <c r="J21" s="447">
        <v>99.0</v>
      </c>
      <c r="K21" s="447">
        <v>85.0</v>
      </c>
      <c r="L21" s="447">
        <v>93.0</v>
      </c>
      <c r="M21" s="447">
        <v>92.0</v>
      </c>
      <c r="N21" s="447">
        <v>94.0</v>
      </c>
      <c r="O21" s="447">
        <v>107.0</v>
      </c>
      <c r="P21" s="447">
        <v>103.0</v>
      </c>
      <c r="Q21" s="447">
        <v>145.0</v>
      </c>
      <c r="R21" s="447">
        <v>132.0</v>
      </c>
      <c r="S21" s="447">
        <v>177.0</v>
      </c>
      <c r="T21" s="447">
        <v>273.0</v>
      </c>
    </row>
    <row r="22" hidden="1" outlineLevel="1">
      <c r="A22" s="447" t="s">
        <v>583</v>
      </c>
      <c r="B22" s="447" t="s">
        <v>564</v>
      </c>
      <c r="C22" s="447">
        <v>48.0</v>
      </c>
      <c r="D22" s="447">
        <v>56.0</v>
      </c>
      <c r="E22" s="447">
        <v>57.0</v>
      </c>
      <c r="F22" s="447">
        <v>64.0</v>
      </c>
      <c r="G22" s="447">
        <v>71.0</v>
      </c>
      <c r="H22" s="447">
        <v>66.0</v>
      </c>
      <c r="I22" s="447">
        <v>72.0</v>
      </c>
      <c r="J22" s="447">
        <v>71.0</v>
      </c>
      <c r="K22" s="447">
        <v>56.0</v>
      </c>
      <c r="L22" s="447">
        <v>60.0</v>
      </c>
      <c r="M22" s="447">
        <v>59.0</v>
      </c>
      <c r="N22" s="447">
        <v>73.0</v>
      </c>
      <c r="O22" s="447">
        <v>72.0</v>
      </c>
      <c r="P22" s="447">
        <v>68.0</v>
      </c>
      <c r="Q22" s="447">
        <v>69.0</v>
      </c>
      <c r="R22" s="447">
        <v>67.0</v>
      </c>
      <c r="S22" s="447">
        <v>79.0</v>
      </c>
      <c r="T22" s="447">
        <v>93.0</v>
      </c>
    </row>
    <row r="23" hidden="1" outlineLevel="1">
      <c r="A23" s="447" t="s">
        <v>584</v>
      </c>
      <c r="B23" s="447" t="s">
        <v>564</v>
      </c>
      <c r="C23" s="447">
        <v>31.0</v>
      </c>
      <c r="D23" s="447">
        <v>43.0</v>
      </c>
      <c r="E23" s="447">
        <v>51.0</v>
      </c>
      <c r="F23" s="447">
        <v>56.0</v>
      </c>
      <c r="G23" s="447">
        <v>56.0</v>
      </c>
      <c r="H23" s="447">
        <v>40.0</v>
      </c>
      <c r="I23" s="447">
        <v>43.0</v>
      </c>
      <c r="J23" s="447">
        <v>45.0</v>
      </c>
      <c r="K23" s="447">
        <v>39.0</v>
      </c>
      <c r="L23" s="447">
        <v>45.0</v>
      </c>
      <c r="M23" s="447">
        <v>41.0</v>
      </c>
      <c r="N23" s="447">
        <v>34.0</v>
      </c>
      <c r="O23" s="447">
        <v>39.0</v>
      </c>
      <c r="P23" s="447">
        <v>42.0</v>
      </c>
      <c r="Q23" s="447">
        <v>54.0</v>
      </c>
      <c r="R23" s="447">
        <v>70.0</v>
      </c>
      <c r="S23" s="447">
        <v>71.0</v>
      </c>
      <c r="T23" s="447">
        <v>80.0</v>
      </c>
    </row>
    <row r="24" hidden="1" outlineLevel="1">
      <c r="A24" s="447" t="s">
        <v>585</v>
      </c>
      <c r="B24" s="447" t="s">
        <v>564</v>
      </c>
      <c r="C24" s="447">
        <v>21.0</v>
      </c>
      <c r="D24" s="447">
        <v>23.0</v>
      </c>
      <c r="E24" s="447">
        <v>24.0</v>
      </c>
      <c r="F24" s="447">
        <v>22.0</v>
      </c>
      <c r="G24" s="447">
        <v>18.0</v>
      </c>
      <c r="H24" s="447">
        <v>18.0</v>
      </c>
      <c r="I24" s="447">
        <v>13.0</v>
      </c>
      <c r="J24" s="447">
        <v>9.0</v>
      </c>
      <c r="K24" s="447">
        <v>13.0</v>
      </c>
      <c r="L24" s="447">
        <v>30.0</v>
      </c>
      <c r="M24" s="447">
        <v>34.0</v>
      </c>
      <c r="N24" s="447">
        <v>16.0</v>
      </c>
      <c r="O24" s="447">
        <v>15.0</v>
      </c>
      <c r="P24" s="447">
        <v>14.0</v>
      </c>
      <c r="Q24" s="447">
        <v>21.0</v>
      </c>
      <c r="R24" s="447">
        <v>27.0</v>
      </c>
      <c r="S24" s="447">
        <v>26.0</v>
      </c>
      <c r="T24" s="447">
        <v>27.0</v>
      </c>
    </row>
    <row r="25" hidden="1" outlineLevel="1">
      <c r="A25" s="447" t="s">
        <v>563</v>
      </c>
      <c r="B25" s="447" t="s">
        <v>586</v>
      </c>
      <c r="C25" s="447">
        <v>83288.0</v>
      </c>
      <c r="D25" s="447">
        <v>93199.0</v>
      </c>
      <c r="E25" s="447">
        <v>95638.0</v>
      </c>
      <c r="F25" s="447">
        <v>99980.0</v>
      </c>
      <c r="G25" s="447">
        <v>103703.0</v>
      </c>
      <c r="H25" s="447">
        <v>108136.0</v>
      </c>
      <c r="I25" s="447">
        <v>115250.0</v>
      </c>
      <c r="J25" s="447">
        <v>116423.0</v>
      </c>
      <c r="K25" s="447">
        <v>130632.0</v>
      </c>
      <c r="L25" s="447">
        <v>133505.0</v>
      </c>
      <c r="M25" s="447">
        <v>140246.0</v>
      </c>
      <c r="N25" s="447">
        <v>146028.0</v>
      </c>
      <c r="O25" s="447">
        <v>152187.0</v>
      </c>
      <c r="P25" s="447">
        <v>153825.0</v>
      </c>
      <c r="Q25" s="447">
        <v>162384.0</v>
      </c>
      <c r="R25" s="447">
        <v>166434.0</v>
      </c>
      <c r="S25" s="447">
        <v>175202.0</v>
      </c>
      <c r="T25" s="447">
        <v>167563.0</v>
      </c>
    </row>
    <row r="26" hidden="1" outlineLevel="1">
      <c r="A26" s="447" t="s">
        <v>565</v>
      </c>
      <c r="B26" s="447" t="s">
        <v>586</v>
      </c>
      <c r="C26" s="447">
        <v>42587.0</v>
      </c>
      <c r="D26" s="447">
        <v>46102.0</v>
      </c>
      <c r="E26" s="447">
        <v>46827.0</v>
      </c>
      <c r="F26" s="447">
        <v>48164.0</v>
      </c>
      <c r="G26" s="447">
        <v>50166.0</v>
      </c>
      <c r="H26" s="447">
        <v>52265.0</v>
      </c>
      <c r="I26" s="447">
        <v>55552.0</v>
      </c>
      <c r="J26" s="447">
        <v>56805.0</v>
      </c>
      <c r="K26" s="447">
        <v>62633.0</v>
      </c>
      <c r="L26" s="447">
        <v>64089.0</v>
      </c>
      <c r="M26" s="447">
        <v>66459.0</v>
      </c>
      <c r="N26" s="447">
        <v>68246.0</v>
      </c>
      <c r="O26" s="447">
        <v>69570.0</v>
      </c>
      <c r="P26" s="447">
        <v>69545.0</v>
      </c>
      <c r="Q26" s="447">
        <v>69867.0</v>
      </c>
      <c r="R26" s="447">
        <v>68362.0</v>
      </c>
      <c r="S26" s="447">
        <v>66296.0</v>
      </c>
      <c r="T26" s="447">
        <v>63686.0</v>
      </c>
    </row>
    <row r="27" hidden="1" outlineLevel="1">
      <c r="A27" s="447" t="s">
        <v>566</v>
      </c>
      <c r="B27" s="447" t="s">
        <v>586</v>
      </c>
      <c r="C27" s="447">
        <v>47661.0</v>
      </c>
      <c r="D27" s="447">
        <v>51515.0</v>
      </c>
      <c r="E27" s="447">
        <v>52451.0</v>
      </c>
      <c r="F27" s="447">
        <v>54071.0</v>
      </c>
      <c r="G27" s="447">
        <v>56703.0</v>
      </c>
      <c r="H27" s="447">
        <v>59863.0</v>
      </c>
      <c r="I27" s="447">
        <v>63924.0</v>
      </c>
      <c r="J27" s="447">
        <v>66925.0</v>
      </c>
      <c r="K27" s="447">
        <v>73380.0</v>
      </c>
      <c r="L27" s="447">
        <v>75085.0</v>
      </c>
      <c r="M27" s="447">
        <v>76583.0</v>
      </c>
      <c r="N27" s="447">
        <v>78075.0</v>
      </c>
      <c r="O27" s="447">
        <v>77695.0</v>
      </c>
      <c r="P27" s="447">
        <v>77981.0</v>
      </c>
      <c r="Q27" s="447">
        <v>77312.0</v>
      </c>
      <c r="R27" s="447">
        <v>75822.0</v>
      </c>
      <c r="S27" s="447">
        <v>73125.0</v>
      </c>
      <c r="T27" s="447">
        <v>70961.0</v>
      </c>
    </row>
    <row r="28" hidden="1" outlineLevel="1">
      <c r="A28" s="447" t="s">
        <v>567</v>
      </c>
      <c r="B28" s="447" t="s">
        <v>586</v>
      </c>
      <c r="C28" s="447">
        <v>28796.0</v>
      </c>
      <c r="D28" s="447">
        <v>30549.0</v>
      </c>
      <c r="E28" s="447">
        <v>32134.0</v>
      </c>
      <c r="F28" s="447">
        <v>33795.0</v>
      </c>
      <c r="G28" s="447">
        <v>36105.0</v>
      </c>
      <c r="H28" s="447">
        <v>38833.0</v>
      </c>
      <c r="I28" s="447">
        <v>41494.0</v>
      </c>
      <c r="J28" s="447">
        <v>44154.0</v>
      </c>
      <c r="K28" s="447">
        <v>47449.0</v>
      </c>
      <c r="L28" s="447">
        <v>47872.0</v>
      </c>
      <c r="M28" s="447">
        <v>49030.0</v>
      </c>
      <c r="N28" s="447">
        <v>49573.0</v>
      </c>
      <c r="O28" s="447">
        <v>49201.0</v>
      </c>
      <c r="P28" s="447">
        <v>48442.0</v>
      </c>
      <c r="Q28" s="447">
        <v>48392.0</v>
      </c>
      <c r="R28" s="447">
        <v>46702.0</v>
      </c>
      <c r="S28" s="447">
        <v>45636.0</v>
      </c>
      <c r="T28" s="447">
        <v>44486.0</v>
      </c>
    </row>
    <row r="29" hidden="1" outlineLevel="1">
      <c r="A29" s="447" t="s">
        <v>568</v>
      </c>
      <c r="B29" s="447" t="s">
        <v>586</v>
      </c>
      <c r="C29" s="447">
        <v>20736.0</v>
      </c>
      <c r="D29" s="447">
        <v>22115.0</v>
      </c>
      <c r="E29" s="447">
        <v>23269.0</v>
      </c>
      <c r="F29" s="447">
        <v>24739.0</v>
      </c>
      <c r="G29" s="447">
        <v>26399.0</v>
      </c>
      <c r="H29" s="447">
        <v>27903.0</v>
      </c>
      <c r="I29" s="447">
        <v>30235.0</v>
      </c>
      <c r="J29" s="447">
        <v>32213.0</v>
      </c>
      <c r="K29" s="447">
        <v>34400.0</v>
      </c>
      <c r="L29" s="447">
        <v>35044.0</v>
      </c>
      <c r="M29" s="447">
        <v>35136.0</v>
      </c>
      <c r="N29" s="447">
        <v>34786.0</v>
      </c>
      <c r="O29" s="447">
        <v>34085.0</v>
      </c>
      <c r="P29" s="447">
        <v>33587.0</v>
      </c>
      <c r="Q29" s="447">
        <v>33212.0</v>
      </c>
      <c r="R29" s="447">
        <v>32135.0</v>
      </c>
      <c r="S29" s="447">
        <v>31063.0</v>
      </c>
      <c r="T29" s="447">
        <v>29772.0</v>
      </c>
    </row>
    <row r="30" hidden="1" outlineLevel="1">
      <c r="A30" s="447" t="s">
        <v>569</v>
      </c>
      <c r="B30" s="447" t="s">
        <v>586</v>
      </c>
      <c r="C30" s="447">
        <v>16215.0</v>
      </c>
      <c r="D30" s="447">
        <v>16763.0</v>
      </c>
      <c r="E30" s="447">
        <v>18004.0</v>
      </c>
      <c r="F30" s="447">
        <v>19567.0</v>
      </c>
      <c r="G30" s="447">
        <v>20417.0</v>
      </c>
      <c r="H30" s="447">
        <v>21991.0</v>
      </c>
      <c r="I30" s="447">
        <v>23443.0</v>
      </c>
      <c r="J30" s="447">
        <v>24904.0</v>
      </c>
      <c r="K30" s="447">
        <v>25504.0</v>
      </c>
      <c r="L30" s="447">
        <v>25705.0</v>
      </c>
      <c r="M30" s="447">
        <v>25699.0</v>
      </c>
      <c r="N30" s="447">
        <v>25788.0</v>
      </c>
      <c r="O30" s="447">
        <v>24630.0</v>
      </c>
      <c r="P30" s="447">
        <v>24164.0</v>
      </c>
      <c r="Q30" s="447">
        <v>23955.0</v>
      </c>
      <c r="R30" s="447">
        <v>23276.0</v>
      </c>
      <c r="S30" s="447">
        <v>22414.0</v>
      </c>
      <c r="T30" s="447">
        <v>21379.0</v>
      </c>
    </row>
    <row r="31" hidden="1" outlineLevel="1">
      <c r="A31" s="447" t="s">
        <v>570</v>
      </c>
      <c r="B31" s="447" t="s">
        <v>586</v>
      </c>
      <c r="C31" s="447">
        <v>12448.0</v>
      </c>
      <c r="D31" s="447">
        <v>13312.0</v>
      </c>
      <c r="E31" s="447">
        <v>14574.0</v>
      </c>
      <c r="F31" s="447">
        <v>15382.0</v>
      </c>
      <c r="G31" s="447">
        <v>16352.0</v>
      </c>
      <c r="H31" s="447">
        <v>17573.0</v>
      </c>
      <c r="I31" s="447">
        <v>18403.0</v>
      </c>
      <c r="J31" s="447">
        <v>19198.0</v>
      </c>
      <c r="K31" s="447">
        <v>19524.0</v>
      </c>
      <c r="L31" s="447">
        <v>19383.0</v>
      </c>
      <c r="M31" s="447">
        <v>19363.0</v>
      </c>
      <c r="N31" s="447">
        <v>19236.0</v>
      </c>
      <c r="O31" s="447">
        <v>19066.0</v>
      </c>
      <c r="P31" s="447">
        <v>18569.0</v>
      </c>
      <c r="Q31" s="447">
        <v>17989.0</v>
      </c>
      <c r="R31" s="447">
        <v>17757.0</v>
      </c>
      <c r="S31" s="447">
        <v>17009.0</v>
      </c>
      <c r="T31" s="447">
        <v>17172.0</v>
      </c>
    </row>
    <row r="32" hidden="1" outlineLevel="1">
      <c r="A32" s="447" t="s">
        <v>571</v>
      </c>
      <c r="B32" s="447" t="s">
        <v>586</v>
      </c>
      <c r="C32" s="447">
        <v>15183.0</v>
      </c>
      <c r="D32" s="447">
        <v>16865.0</v>
      </c>
      <c r="E32" s="447">
        <v>17161.0</v>
      </c>
      <c r="F32" s="447">
        <v>18366.0</v>
      </c>
      <c r="G32" s="447">
        <v>19486.0</v>
      </c>
      <c r="H32" s="447">
        <v>19901.0</v>
      </c>
      <c r="I32" s="447">
        <v>21085.0</v>
      </c>
      <c r="J32" s="447">
        <v>21224.0</v>
      </c>
      <c r="K32" s="447">
        <v>21674.0</v>
      </c>
      <c r="L32" s="447">
        <v>21765.0</v>
      </c>
      <c r="M32" s="447">
        <v>21691.0</v>
      </c>
      <c r="N32" s="447">
        <v>21356.0</v>
      </c>
      <c r="O32" s="447">
        <v>21045.0</v>
      </c>
      <c r="P32" s="447">
        <v>20551.0</v>
      </c>
      <c r="Q32" s="447">
        <v>20057.0</v>
      </c>
      <c r="R32" s="447">
        <v>20279.0</v>
      </c>
      <c r="S32" s="447">
        <v>19364.0</v>
      </c>
      <c r="T32" s="447">
        <v>18969.0</v>
      </c>
    </row>
    <row r="33" hidden="1" outlineLevel="1">
      <c r="A33" s="447" t="s">
        <v>572</v>
      </c>
      <c r="B33" s="447" t="s">
        <v>586</v>
      </c>
      <c r="C33" s="447">
        <v>18681.0</v>
      </c>
      <c r="D33" s="447">
        <v>19811.0</v>
      </c>
      <c r="E33" s="447">
        <v>20659.0</v>
      </c>
      <c r="F33" s="447">
        <v>21575.0</v>
      </c>
      <c r="G33" s="447">
        <v>22014.0</v>
      </c>
      <c r="H33" s="447">
        <v>22453.0</v>
      </c>
      <c r="I33" s="447">
        <v>23016.0</v>
      </c>
      <c r="J33" s="447">
        <v>23325.0</v>
      </c>
      <c r="K33" s="447">
        <v>24247.0</v>
      </c>
      <c r="L33" s="447">
        <v>24101.0</v>
      </c>
      <c r="M33" s="447">
        <v>24321.0</v>
      </c>
      <c r="N33" s="447">
        <v>24251.0</v>
      </c>
      <c r="O33" s="447">
        <v>23944.0</v>
      </c>
      <c r="P33" s="447">
        <v>23434.0</v>
      </c>
      <c r="Q33" s="447">
        <v>23171.0</v>
      </c>
      <c r="R33" s="447">
        <v>22760.0</v>
      </c>
      <c r="S33" s="447">
        <v>21818.0</v>
      </c>
      <c r="T33" s="447">
        <v>21935.0</v>
      </c>
    </row>
    <row r="34" hidden="1" outlineLevel="1">
      <c r="A34" s="447" t="s">
        <v>573</v>
      </c>
      <c r="B34" s="447" t="s">
        <v>586</v>
      </c>
      <c r="C34" s="447">
        <v>13005.0</v>
      </c>
      <c r="D34" s="447">
        <v>13590.0</v>
      </c>
      <c r="E34" s="447">
        <v>13901.0</v>
      </c>
      <c r="F34" s="447">
        <v>13989.0</v>
      </c>
      <c r="G34" s="447">
        <v>14204.0</v>
      </c>
      <c r="H34" s="447">
        <v>14539.0</v>
      </c>
      <c r="I34" s="447">
        <v>15005.0</v>
      </c>
      <c r="J34" s="447">
        <v>15076.0</v>
      </c>
      <c r="K34" s="447">
        <v>15972.0</v>
      </c>
      <c r="L34" s="447">
        <v>16092.0</v>
      </c>
      <c r="M34" s="447">
        <v>16283.0</v>
      </c>
      <c r="N34" s="447">
        <v>16530.0</v>
      </c>
      <c r="O34" s="447">
        <v>16022.0</v>
      </c>
      <c r="P34" s="447">
        <v>15475.0</v>
      </c>
      <c r="Q34" s="447">
        <v>15495.0</v>
      </c>
      <c r="R34" s="447">
        <v>15151.0</v>
      </c>
      <c r="S34" s="447">
        <v>14471.0</v>
      </c>
      <c r="T34" s="447">
        <v>14741.0</v>
      </c>
    </row>
    <row r="35" hidden="1" outlineLevel="1">
      <c r="A35" s="447" t="s">
        <v>574</v>
      </c>
      <c r="B35" s="447" t="s">
        <v>586</v>
      </c>
      <c r="C35" s="447">
        <v>9142.0</v>
      </c>
      <c r="D35" s="447">
        <v>9291.0</v>
      </c>
      <c r="E35" s="447">
        <v>9639.0</v>
      </c>
      <c r="F35" s="447">
        <v>9759.0</v>
      </c>
      <c r="G35" s="447">
        <v>9829.0</v>
      </c>
      <c r="H35" s="447">
        <v>10038.0</v>
      </c>
      <c r="I35" s="447">
        <v>10556.0</v>
      </c>
      <c r="J35" s="447">
        <v>10756.0</v>
      </c>
      <c r="K35" s="447">
        <v>11429.0</v>
      </c>
      <c r="L35" s="447">
        <v>11514.0</v>
      </c>
      <c r="M35" s="447">
        <v>11808.0</v>
      </c>
      <c r="N35" s="447">
        <v>11573.0</v>
      </c>
      <c r="O35" s="447">
        <v>11422.0</v>
      </c>
      <c r="P35" s="447">
        <v>10939.0</v>
      </c>
      <c r="Q35" s="447">
        <v>10840.0</v>
      </c>
      <c r="R35" s="447">
        <v>10632.0</v>
      </c>
      <c r="S35" s="447">
        <v>10209.0</v>
      </c>
      <c r="T35" s="447">
        <v>10513.0</v>
      </c>
    </row>
    <row r="36" hidden="1" outlineLevel="1">
      <c r="A36" s="447" t="s">
        <v>575</v>
      </c>
      <c r="B36" s="447" t="s">
        <v>586</v>
      </c>
      <c r="C36" s="447">
        <v>12027.0</v>
      </c>
      <c r="D36" s="447">
        <v>12299.0</v>
      </c>
      <c r="E36" s="447">
        <v>12272.0</v>
      </c>
      <c r="F36" s="447">
        <v>12658.0</v>
      </c>
      <c r="G36" s="447">
        <v>13056.0</v>
      </c>
      <c r="H36" s="447">
        <v>13378.0</v>
      </c>
      <c r="I36" s="447">
        <v>13863.0</v>
      </c>
      <c r="J36" s="447">
        <v>14506.0</v>
      </c>
      <c r="K36" s="447">
        <v>15237.0</v>
      </c>
      <c r="L36" s="447">
        <v>15778.0</v>
      </c>
      <c r="M36" s="447">
        <v>15611.0</v>
      </c>
      <c r="N36" s="447">
        <v>15232.0</v>
      </c>
      <c r="O36" s="447">
        <v>14890.0</v>
      </c>
      <c r="P36" s="447">
        <v>14493.0</v>
      </c>
      <c r="Q36" s="447">
        <v>14467.0</v>
      </c>
      <c r="R36" s="447">
        <v>13997.0</v>
      </c>
      <c r="S36" s="447">
        <v>13601.0</v>
      </c>
      <c r="T36" s="447">
        <v>14632.0</v>
      </c>
    </row>
    <row r="37" hidden="1" outlineLevel="1">
      <c r="A37" s="447" t="s">
        <v>576</v>
      </c>
      <c r="B37" s="447" t="s">
        <v>586</v>
      </c>
      <c r="C37" s="447">
        <v>7218.0</v>
      </c>
      <c r="D37" s="447">
        <v>7441.0</v>
      </c>
      <c r="E37" s="447">
        <v>7404.0</v>
      </c>
      <c r="F37" s="447">
        <v>7688.0</v>
      </c>
      <c r="G37" s="447">
        <v>7969.0</v>
      </c>
      <c r="H37" s="447">
        <v>8263.0</v>
      </c>
      <c r="I37" s="447">
        <v>8740.0</v>
      </c>
      <c r="J37" s="447">
        <v>9178.0</v>
      </c>
      <c r="K37" s="447">
        <v>9973.0</v>
      </c>
      <c r="L37" s="447">
        <v>9865.0</v>
      </c>
      <c r="M37" s="447">
        <v>9878.0</v>
      </c>
      <c r="N37" s="447">
        <v>9549.0</v>
      </c>
      <c r="O37" s="447">
        <v>9276.0</v>
      </c>
      <c r="P37" s="447">
        <v>9051.0</v>
      </c>
      <c r="Q37" s="447">
        <v>9329.0</v>
      </c>
      <c r="R37" s="447">
        <v>9188.0</v>
      </c>
      <c r="S37" s="447">
        <v>9276.0</v>
      </c>
      <c r="T37" s="447">
        <v>10048.0</v>
      </c>
    </row>
    <row r="38" hidden="1" outlineLevel="1">
      <c r="A38" s="447" t="s">
        <v>577</v>
      </c>
      <c r="B38" s="447" t="s">
        <v>586</v>
      </c>
      <c r="C38" s="447">
        <v>14320.0</v>
      </c>
      <c r="D38" s="447">
        <v>15121.0</v>
      </c>
      <c r="E38" s="447">
        <v>15404.0</v>
      </c>
      <c r="F38" s="447">
        <v>15974.0</v>
      </c>
      <c r="G38" s="447">
        <v>16738.0</v>
      </c>
      <c r="H38" s="447">
        <v>17547.0</v>
      </c>
      <c r="I38" s="447">
        <v>19166.0</v>
      </c>
      <c r="J38" s="447">
        <v>20839.0</v>
      </c>
      <c r="K38" s="447">
        <v>22636.0</v>
      </c>
      <c r="L38" s="447">
        <v>22311.0</v>
      </c>
      <c r="M38" s="447">
        <v>21440.0</v>
      </c>
      <c r="N38" s="447">
        <v>20709.0</v>
      </c>
      <c r="O38" s="447">
        <v>20503.0</v>
      </c>
      <c r="P38" s="447">
        <v>20764.0</v>
      </c>
      <c r="Q38" s="447">
        <v>21798.0</v>
      </c>
      <c r="R38" s="447">
        <v>22612.0</v>
      </c>
      <c r="S38" s="447">
        <v>22510.0</v>
      </c>
      <c r="T38" s="447">
        <v>23205.0</v>
      </c>
    </row>
    <row r="39" hidden="1" outlineLevel="1">
      <c r="A39" s="447" t="s">
        <v>578</v>
      </c>
      <c r="B39" s="447" t="s">
        <v>586</v>
      </c>
      <c r="C39" s="447">
        <v>7686.0</v>
      </c>
      <c r="D39" s="447">
        <v>8207.0</v>
      </c>
      <c r="E39" s="447">
        <v>8092.0</v>
      </c>
      <c r="F39" s="447">
        <v>8648.0</v>
      </c>
      <c r="G39" s="447">
        <v>9556.0</v>
      </c>
      <c r="H39" s="447">
        <v>10400.0</v>
      </c>
      <c r="I39" s="447">
        <v>11500.0</v>
      </c>
      <c r="J39" s="447">
        <v>12683.0</v>
      </c>
      <c r="K39" s="447">
        <v>14183.0</v>
      </c>
      <c r="L39" s="447">
        <v>12972.0</v>
      </c>
      <c r="M39" s="447">
        <v>12393.0</v>
      </c>
      <c r="N39" s="447">
        <v>12123.0</v>
      </c>
      <c r="O39" s="447">
        <v>12552.0</v>
      </c>
      <c r="P39" s="447">
        <v>13104.0</v>
      </c>
      <c r="Q39" s="447">
        <v>13643.0</v>
      </c>
      <c r="R39" s="447">
        <v>13072.0</v>
      </c>
      <c r="S39" s="447">
        <v>12084.0</v>
      </c>
      <c r="T39" s="447">
        <v>12119.0</v>
      </c>
    </row>
    <row r="40" hidden="1" outlineLevel="1">
      <c r="A40" s="447" t="s">
        <v>579</v>
      </c>
      <c r="B40" s="447" t="s">
        <v>586</v>
      </c>
      <c r="C40" s="447">
        <v>4163.0</v>
      </c>
      <c r="D40" s="447">
        <v>4447.0</v>
      </c>
      <c r="E40" s="447">
        <v>4465.0</v>
      </c>
      <c r="F40" s="447">
        <v>4663.0</v>
      </c>
      <c r="G40" s="447">
        <v>4819.0</v>
      </c>
      <c r="H40" s="447">
        <v>4985.0</v>
      </c>
      <c r="I40" s="447">
        <v>5174.0</v>
      </c>
      <c r="J40" s="447">
        <v>5557.0</v>
      </c>
      <c r="K40" s="447">
        <v>6338.0</v>
      </c>
      <c r="L40" s="447">
        <v>5535.0</v>
      </c>
      <c r="M40" s="447">
        <v>5728.0</v>
      </c>
      <c r="N40" s="447">
        <v>6510.0</v>
      </c>
      <c r="O40" s="447">
        <v>7338.0</v>
      </c>
      <c r="P40" s="447">
        <v>7707.0</v>
      </c>
      <c r="Q40" s="447">
        <v>7218.0</v>
      </c>
      <c r="R40" s="447">
        <v>6695.0</v>
      </c>
      <c r="S40" s="447">
        <v>6589.0</v>
      </c>
      <c r="T40" s="447">
        <v>6999.0</v>
      </c>
    </row>
    <row r="41" hidden="1" outlineLevel="1">
      <c r="A41" s="447" t="s">
        <v>580</v>
      </c>
      <c r="B41" s="447" t="s">
        <v>586</v>
      </c>
      <c r="C41" s="447">
        <v>2593.0</v>
      </c>
      <c r="D41" s="447">
        <v>2563.0</v>
      </c>
      <c r="E41" s="447">
        <v>2214.0</v>
      </c>
      <c r="F41" s="447">
        <v>2148.0</v>
      </c>
      <c r="G41" s="447">
        <v>2092.0</v>
      </c>
      <c r="H41" s="447">
        <v>1900.0</v>
      </c>
      <c r="I41" s="447">
        <v>1746.0</v>
      </c>
      <c r="J41" s="447">
        <v>1960.0</v>
      </c>
      <c r="K41" s="447">
        <v>2031.0</v>
      </c>
      <c r="L41" s="447">
        <v>1944.0</v>
      </c>
      <c r="M41" s="447">
        <v>2509.0</v>
      </c>
      <c r="N41" s="447">
        <v>3422.0</v>
      </c>
      <c r="O41" s="447">
        <v>3660.0</v>
      </c>
      <c r="P41" s="447">
        <v>3561.0</v>
      </c>
      <c r="Q41" s="447">
        <v>4038.0</v>
      </c>
      <c r="R41" s="447">
        <v>3971.0</v>
      </c>
      <c r="S41" s="447">
        <v>3819.0</v>
      </c>
      <c r="T41" s="447">
        <v>3705.0</v>
      </c>
    </row>
    <row r="42" hidden="1" outlineLevel="1">
      <c r="A42" s="447" t="s">
        <v>581</v>
      </c>
      <c r="B42" s="447" t="s">
        <v>586</v>
      </c>
      <c r="C42" s="447">
        <v>1232.0</v>
      </c>
      <c r="D42" s="447">
        <v>1115.0</v>
      </c>
      <c r="E42" s="447">
        <v>932.0</v>
      </c>
      <c r="F42" s="447">
        <v>919.0</v>
      </c>
      <c r="G42" s="447">
        <v>811.0</v>
      </c>
      <c r="H42" s="447">
        <v>669.0</v>
      </c>
      <c r="I42" s="447">
        <v>654.0</v>
      </c>
      <c r="J42" s="447">
        <v>671.0</v>
      </c>
      <c r="K42" s="447">
        <v>611.0</v>
      </c>
      <c r="L42" s="447">
        <v>681.0</v>
      </c>
      <c r="M42" s="447">
        <v>1227.0</v>
      </c>
      <c r="N42" s="447">
        <v>1562.0</v>
      </c>
      <c r="O42" s="447">
        <v>1294.0</v>
      </c>
      <c r="P42" s="447">
        <v>1295.0</v>
      </c>
      <c r="Q42" s="447">
        <v>1558.0</v>
      </c>
      <c r="R42" s="447">
        <v>1858.0</v>
      </c>
      <c r="S42" s="447">
        <v>1597.0</v>
      </c>
      <c r="T42" s="447">
        <v>1869.0</v>
      </c>
    </row>
    <row r="43" hidden="1" outlineLevel="1">
      <c r="A43" s="447" t="s">
        <v>582</v>
      </c>
      <c r="B43" s="447" t="s">
        <v>586</v>
      </c>
      <c r="C43" s="447">
        <v>463.0</v>
      </c>
      <c r="D43" s="447">
        <v>426.0</v>
      </c>
      <c r="E43" s="447">
        <v>376.0</v>
      </c>
      <c r="F43" s="447">
        <v>364.0</v>
      </c>
      <c r="G43" s="447">
        <v>274.0</v>
      </c>
      <c r="H43" s="447">
        <v>227.0</v>
      </c>
      <c r="I43" s="447">
        <v>238.0</v>
      </c>
      <c r="J43" s="447">
        <v>218.0</v>
      </c>
      <c r="K43" s="447">
        <v>228.0</v>
      </c>
      <c r="L43" s="447">
        <v>251.0</v>
      </c>
      <c r="M43" s="447">
        <v>251.0</v>
      </c>
      <c r="N43" s="447">
        <v>252.0</v>
      </c>
      <c r="O43" s="447">
        <v>209.0</v>
      </c>
      <c r="P43" s="447">
        <v>272.0</v>
      </c>
      <c r="Q43" s="447">
        <v>327.0</v>
      </c>
      <c r="R43" s="447">
        <v>362.0</v>
      </c>
      <c r="S43" s="447">
        <v>481.0</v>
      </c>
      <c r="T43" s="447">
        <v>951.0</v>
      </c>
    </row>
    <row r="44" hidden="1" outlineLevel="1">
      <c r="A44" s="447" t="s">
        <v>583</v>
      </c>
      <c r="B44" s="447" t="s">
        <v>586</v>
      </c>
      <c r="C44" s="447">
        <v>165.0</v>
      </c>
      <c r="D44" s="447">
        <v>151.0</v>
      </c>
      <c r="E44" s="447">
        <v>133.0</v>
      </c>
      <c r="F44" s="447">
        <v>111.0</v>
      </c>
      <c r="G44" s="447">
        <v>111.0</v>
      </c>
      <c r="H44" s="447">
        <v>82.0</v>
      </c>
      <c r="I44" s="447">
        <v>83.0</v>
      </c>
      <c r="J44" s="447">
        <v>81.0</v>
      </c>
      <c r="K44" s="447">
        <v>75.0</v>
      </c>
      <c r="L44" s="447">
        <v>61.0</v>
      </c>
      <c r="M44" s="447">
        <v>77.0</v>
      </c>
      <c r="N44" s="447">
        <v>45.0</v>
      </c>
      <c r="O44" s="447">
        <v>47.0</v>
      </c>
      <c r="P44" s="447">
        <v>50.0</v>
      </c>
      <c r="Q44" s="447">
        <v>73.0</v>
      </c>
      <c r="R44" s="447">
        <v>58.0</v>
      </c>
      <c r="S44" s="447">
        <v>52.0</v>
      </c>
      <c r="T44" s="447">
        <v>154.0</v>
      </c>
    </row>
    <row r="45" hidden="1" outlineLevel="1">
      <c r="A45" s="447" t="s">
        <v>584</v>
      </c>
      <c r="B45" s="447" t="s">
        <v>586</v>
      </c>
      <c r="C45" s="447">
        <v>39.0</v>
      </c>
      <c r="D45" s="447">
        <v>40.0</v>
      </c>
      <c r="E45" s="447">
        <v>46.0</v>
      </c>
      <c r="F45" s="447">
        <v>45.0</v>
      </c>
      <c r="G45" s="447">
        <v>47.0</v>
      </c>
      <c r="H45" s="447">
        <v>39.0</v>
      </c>
      <c r="I45" s="447">
        <v>36.0</v>
      </c>
      <c r="J45" s="447">
        <v>47.0</v>
      </c>
      <c r="K45" s="447">
        <v>28.0</v>
      </c>
      <c r="L45" s="447">
        <v>33.0</v>
      </c>
      <c r="M45" s="447">
        <v>22.0</v>
      </c>
      <c r="N45" s="447">
        <v>20.0</v>
      </c>
      <c r="O45" s="447">
        <v>19.0</v>
      </c>
      <c r="P45" s="447">
        <v>22.0</v>
      </c>
      <c r="Q45" s="447">
        <v>19.0</v>
      </c>
      <c r="R45" s="447">
        <v>16.0</v>
      </c>
      <c r="S45" s="447">
        <v>12.0</v>
      </c>
      <c r="T45" s="447">
        <v>40.0</v>
      </c>
    </row>
    <row r="46" hidden="1" outlineLevel="1">
      <c r="A46" s="447" t="s">
        <v>585</v>
      </c>
      <c r="B46" s="447" t="s">
        <v>586</v>
      </c>
      <c r="C46" s="447">
        <v>13.0</v>
      </c>
      <c r="D46" s="447">
        <v>20.0</v>
      </c>
      <c r="E46" s="447">
        <v>11.0</v>
      </c>
      <c r="F46" s="447">
        <v>10.0</v>
      </c>
      <c r="G46" s="447">
        <v>6.0</v>
      </c>
      <c r="H46" s="447">
        <v>5.0</v>
      </c>
      <c r="I46" s="447">
        <v>4.0</v>
      </c>
      <c r="J46" s="447">
        <v>1.0</v>
      </c>
      <c r="K46" s="447">
        <v>4.0</v>
      </c>
      <c r="L46" s="447">
        <v>8.0</v>
      </c>
      <c r="M46" s="447">
        <v>7.0</v>
      </c>
      <c r="N46" s="447">
        <v>5.0</v>
      </c>
      <c r="O46" s="447">
        <v>3.0</v>
      </c>
      <c r="P46" s="447">
        <v>1.0</v>
      </c>
      <c r="Q46" s="447">
        <v>2.0</v>
      </c>
      <c r="R46" s="447">
        <v>2.0</v>
      </c>
      <c r="S46" s="447">
        <v>2.0</v>
      </c>
      <c r="T46" s="447">
        <v>5.0</v>
      </c>
    </row>
    <row r="47" hidden="1" outlineLevel="1">
      <c r="A47" s="447" t="s">
        <v>563</v>
      </c>
      <c r="B47" s="447" t="s">
        <v>587</v>
      </c>
      <c r="C47" s="447">
        <v>566.0</v>
      </c>
      <c r="D47" s="447">
        <v>583.0</v>
      </c>
      <c r="E47" s="447">
        <v>591.0</v>
      </c>
      <c r="F47" s="447">
        <v>624.0</v>
      </c>
      <c r="G47" s="447">
        <v>689.0</v>
      </c>
      <c r="H47" s="447">
        <v>745.0</v>
      </c>
      <c r="I47" s="447">
        <v>835.0</v>
      </c>
      <c r="J47" s="447">
        <v>954.0</v>
      </c>
      <c r="K47" s="447">
        <v>1069.0</v>
      </c>
      <c r="L47" s="447">
        <v>1272.0</v>
      </c>
      <c r="M47" s="447">
        <v>1387.0</v>
      </c>
      <c r="N47" s="447">
        <v>1510.0</v>
      </c>
      <c r="O47" s="447">
        <v>1730.0</v>
      </c>
      <c r="P47" s="447">
        <v>2021.0</v>
      </c>
      <c r="Q47" s="447">
        <v>2325.0</v>
      </c>
      <c r="R47" s="447">
        <v>2635.0</v>
      </c>
      <c r="S47" s="447">
        <v>3106.0</v>
      </c>
      <c r="T47" s="447">
        <v>3083.0</v>
      </c>
    </row>
    <row r="48" hidden="1" outlineLevel="1">
      <c r="A48" s="447" t="s">
        <v>565</v>
      </c>
      <c r="B48" s="447" t="s">
        <v>587</v>
      </c>
      <c r="C48" s="447">
        <v>356.0</v>
      </c>
      <c r="D48" s="447">
        <v>403.0</v>
      </c>
      <c r="E48" s="447">
        <v>407.0</v>
      </c>
      <c r="F48" s="447">
        <v>427.0</v>
      </c>
      <c r="G48" s="447">
        <v>475.0</v>
      </c>
      <c r="H48" s="447">
        <v>541.0</v>
      </c>
      <c r="I48" s="447">
        <v>566.0</v>
      </c>
      <c r="J48" s="447">
        <v>663.0</v>
      </c>
      <c r="K48" s="447">
        <v>741.0</v>
      </c>
      <c r="L48" s="447">
        <v>816.0</v>
      </c>
      <c r="M48" s="447">
        <v>918.0</v>
      </c>
      <c r="N48" s="447">
        <v>1017.0</v>
      </c>
      <c r="O48" s="447">
        <v>1153.0</v>
      </c>
      <c r="P48" s="447">
        <v>1243.0</v>
      </c>
      <c r="Q48" s="447">
        <v>1415.0</v>
      </c>
      <c r="R48" s="447">
        <v>1633.0</v>
      </c>
      <c r="S48" s="447">
        <v>1804.0</v>
      </c>
      <c r="T48" s="447">
        <v>1686.0</v>
      </c>
    </row>
    <row r="49" hidden="1" outlineLevel="1">
      <c r="A49" s="447" t="s">
        <v>566</v>
      </c>
      <c r="B49" s="447" t="s">
        <v>587</v>
      </c>
      <c r="C49" s="447">
        <v>547.0</v>
      </c>
      <c r="D49" s="447">
        <v>600.0</v>
      </c>
      <c r="E49" s="447">
        <v>645.0</v>
      </c>
      <c r="F49" s="447">
        <v>647.0</v>
      </c>
      <c r="G49" s="447">
        <v>783.0</v>
      </c>
      <c r="H49" s="447">
        <v>897.0</v>
      </c>
      <c r="I49" s="447">
        <v>952.0</v>
      </c>
      <c r="J49" s="447">
        <v>1115.0</v>
      </c>
      <c r="K49" s="447">
        <v>1162.0</v>
      </c>
      <c r="L49" s="447">
        <v>1347.0</v>
      </c>
      <c r="M49" s="447">
        <v>1520.0</v>
      </c>
      <c r="N49" s="447">
        <v>1835.0</v>
      </c>
      <c r="O49" s="447">
        <v>2118.0</v>
      </c>
      <c r="P49" s="447">
        <v>2413.0</v>
      </c>
      <c r="Q49" s="447">
        <v>2668.0</v>
      </c>
      <c r="R49" s="447">
        <v>2964.0</v>
      </c>
      <c r="S49" s="447">
        <v>3112.0</v>
      </c>
      <c r="T49" s="447">
        <v>3138.0</v>
      </c>
    </row>
    <row r="50" hidden="1" outlineLevel="1">
      <c r="A50" s="447" t="s">
        <v>567</v>
      </c>
      <c r="B50" s="447" t="s">
        <v>587</v>
      </c>
      <c r="C50" s="447">
        <v>562.0</v>
      </c>
      <c r="D50" s="447">
        <v>571.0</v>
      </c>
      <c r="E50" s="447">
        <v>581.0</v>
      </c>
      <c r="F50" s="447">
        <v>635.0</v>
      </c>
      <c r="G50" s="447">
        <v>681.0</v>
      </c>
      <c r="H50" s="447">
        <v>741.0</v>
      </c>
      <c r="I50" s="447">
        <v>842.0</v>
      </c>
      <c r="J50" s="447">
        <v>964.0</v>
      </c>
      <c r="K50" s="447">
        <v>1095.0</v>
      </c>
      <c r="L50" s="447">
        <v>1281.0</v>
      </c>
      <c r="M50" s="447">
        <v>1445.0</v>
      </c>
      <c r="N50" s="447">
        <v>1677.0</v>
      </c>
      <c r="O50" s="447">
        <v>1896.0</v>
      </c>
      <c r="P50" s="447">
        <v>2119.0</v>
      </c>
      <c r="Q50" s="447">
        <v>2406.0</v>
      </c>
      <c r="R50" s="447">
        <v>2661.0</v>
      </c>
      <c r="S50" s="447">
        <v>2845.0</v>
      </c>
      <c r="T50" s="447">
        <v>2997.0</v>
      </c>
    </row>
    <row r="51" hidden="1" outlineLevel="1">
      <c r="A51" s="447" t="s">
        <v>568</v>
      </c>
      <c r="B51" s="447" t="s">
        <v>587</v>
      </c>
      <c r="C51" s="447">
        <v>471.0</v>
      </c>
      <c r="D51" s="447">
        <v>479.0</v>
      </c>
      <c r="E51" s="447">
        <v>546.0</v>
      </c>
      <c r="F51" s="447">
        <v>561.0</v>
      </c>
      <c r="G51" s="447">
        <v>618.0</v>
      </c>
      <c r="H51" s="447">
        <v>685.0</v>
      </c>
      <c r="I51" s="447">
        <v>752.0</v>
      </c>
      <c r="J51" s="447">
        <v>866.0</v>
      </c>
      <c r="K51" s="447">
        <v>1085.0</v>
      </c>
      <c r="L51" s="447">
        <v>1156.0</v>
      </c>
      <c r="M51" s="447">
        <v>1315.0</v>
      </c>
      <c r="N51" s="447">
        <v>1562.0</v>
      </c>
      <c r="O51" s="447">
        <v>1829.0</v>
      </c>
      <c r="P51" s="447">
        <v>2096.0</v>
      </c>
      <c r="Q51" s="447">
        <v>2337.0</v>
      </c>
      <c r="R51" s="447">
        <v>2522.0</v>
      </c>
      <c r="S51" s="447">
        <v>2732.0</v>
      </c>
      <c r="T51" s="447">
        <v>2826.0</v>
      </c>
    </row>
    <row r="52" hidden="1" outlineLevel="1">
      <c r="A52" s="447" t="s">
        <v>569</v>
      </c>
      <c r="B52" s="447" t="s">
        <v>587</v>
      </c>
      <c r="C52" s="447">
        <v>392.0</v>
      </c>
      <c r="D52" s="447">
        <v>467.0</v>
      </c>
      <c r="E52" s="447">
        <v>495.0</v>
      </c>
      <c r="F52" s="447">
        <v>544.0</v>
      </c>
      <c r="G52" s="447">
        <v>555.0</v>
      </c>
      <c r="H52" s="447">
        <v>582.0</v>
      </c>
      <c r="I52" s="447">
        <v>665.0</v>
      </c>
      <c r="J52" s="447">
        <v>793.0</v>
      </c>
      <c r="K52" s="447">
        <v>948.0</v>
      </c>
      <c r="L52" s="447">
        <v>1009.0</v>
      </c>
      <c r="M52" s="447">
        <v>1183.0</v>
      </c>
      <c r="N52" s="447">
        <v>1460.0</v>
      </c>
      <c r="O52" s="447">
        <v>1635.0</v>
      </c>
      <c r="P52" s="447">
        <v>1870.0</v>
      </c>
      <c r="Q52" s="447">
        <v>2072.0</v>
      </c>
      <c r="R52" s="447">
        <v>2375.0</v>
      </c>
      <c r="S52" s="447">
        <v>2512.0</v>
      </c>
      <c r="T52" s="447">
        <v>2624.0</v>
      </c>
    </row>
    <row r="53" hidden="1" outlineLevel="1">
      <c r="A53" s="447" t="s">
        <v>570</v>
      </c>
      <c r="B53" s="447" t="s">
        <v>587</v>
      </c>
      <c r="C53" s="447">
        <v>408.0</v>
      </c>
      <c r="D53" s="447">
        <v>393.0</v>
      </c>
      <c r="E53" s="447">
        <v>425.0</v>
      </c>
      <c r="F53" s="447">
        <v>484.0</v>
      </c>
      <c r="G53" s="447">
        <v>468.0</v>
      </c>
      <c r="H53" s="447">
        <v>551.0</v>
      </c>
      <c r="I53" s="447">
        <v>586.0</v>
      </c>
      <c r="J53" s="447">
        <v>714.0</v>
      </c>
      <c r="K53" s="447">
        <v>805.0</v>
      </c>
      <c r="L53" s="447">
        <v>955.0</v>
      </c>
      <c r="M53" s="447">
        <v>1164.0</v>
      </c>
      <c r="N53" s="447">
        <v>1356.0</v>
      </c>
      <c r="O53" s="447">
        <v>1509.0</v>
      </c>
      <c r="P53" s="447">
        <v>1768.0</v>
      </c>
      <c r="Q53" s="447">
        <v>2076.0</v>
      </c>
      <c r="R53" s="447">
        <v>2190.0</v>
      </c>
      <c r="S53" s="447">
        <v>2395.0</v>
      </c>
      <c r="T53" s="447">
        <v>2667.0</v>
      </c>
    </row>
    <row r="54" hidden="1" outlineLevel="1">
      <c r="A54" s="447" t="s">
        <v>571</v>
      </c>
      <c r="B54" s="447" t="s">
        <v>587</v>
      </c>
      <c r="C54" s="447">
        <v>493.0</v>
      </c>
      <c r="D54" s="447">
        <v>525.0</v>
      </c>
      <c r="E54" s="447">
        <v>545.0</v>
      </c>
      <c r="F54" s="447">
        <v>556.0</v>
      </c>
      <c r="G54" s="447">
        <v>617.0</v>
      </c>
      <c r="H54" s="447">
        <v>676.0</v>
      </c>
      <c r="I54" s="447">
        <v>844.0</v>
      </c>
      <c r="J54" s="447">
        <v>940.0</v>
      </c>
      <c r="K54" s="447">
        <v>1158.0</v>
      </c>
      <c r="L54" s="447">
        <v>1296.0</v>
      </c>
      <c r="M54" s="447">
        <v>1576.0</v>
      </c>
      <c r="N54" s="447">
        <v>1862.0</v>
      </c>
      <c r="O54" s="447">
        <v>2151.0</v>
      </c>
      <c r="P54" s="447">
        <v>2436.0</v>
      </c>
      <c r="Q54" s="447">
        <v>2714.0</v>
      </c>
      <c r="R54" s="447">
        <v>3065.0</v>
      </c>
      <c r="S54" s="447">
        <v>3464.0</v>
      </c>
      <c r="T54" s="447">
        <v>3827.0</v>
      </c>
    </row>
    <row r="55" hidden="1" outlineLevel="1">
      <c r="A55" s="447" t="s">
        <v>572</v>
      </c>
      <c r="B55" s="447" t="s">
        <v>587</v>
      </c>
      <c r="C55" s="447">
        <v>687.0</v>
      </c>
      <c r="D55" s="447">
        <v>732.0</v>
      </c>
      <c r="E55" s="447">
        <v>723.0</v>
      </c>
      <c r="F55" s="447">
        <v>766.0</v>
      </c>
      <c r="G55" s="447">
        <v>820.0</v>
      </c>
      <c r="H55" s="447">
        <v>990.0</v>
      </c>
      <c r="I55" s="447">
        <v>1139.0</v>
      </c>
      <c r="J55" s="447">
        <v>1309.0</v>
      </c>
      <c r="K55" s="447">
        <v>1616.0</v>
      </c>
      <c r="L55" s="447">
        <v>2000.0</v>
      </c>
      <c r="M55" s="447">
        <v>2341.0</v>
      </c>
      <c r="N55" s="447">
        <v>2738.0</v>
      </c>
      <c r="O55" s="447">
        <v>3043.0</v>
      </c>
      <c r="P55" s="447">
        <v>3390.0</v>
      </c>
      <c r="Q55" s="447">
        <v>4114.0</v>
      </c>
      <c r="R55" s="447">
        <v>4893.0</v>
      </c>
      <c r="S55" s="447">
        <v>5602.0</v>
      </c>
      <c r="T55" s="447">
        <v>6427.0</v>
      </c>
    </row>
    <row r="56" hidden="1" outlineLevel="1">
      <c r="A56" s="447" t="s">
        <v>573</v>
      </c>
      <c r="B56" s="447" t="s">
        <v>587</v>
      </c>
      <c r="C56" s="447">
        <v>583.0</v>
      </c>
      <c r="D56" s="447">
        <v>559.0</v>
      </c>
      <c r="E56" s="447">
        <v>602.0</v>
      </c>
      <c r="F56" s="447">
        <v>701.0</v>
      </c>
      <c r="G56" s="447">
        <v>738.0</v>
      </c>
      <c r="H56" s="447">
        <v>819.0</v>
      </c>
      <c r="I56" s="447">
        <v>929.0</v>
      </c>
      <c r="J56" s="447">
        <v>1090.0</v>
      </c>
      <c r="K56" s="447">
        <v>1504.0</v>
      </c>
      <c r="L56" s="447">
        <v>1675.0</v>
      </c>
      <c r="M56" s="447">
        <v>1968.0</v>
      </c>
      <c r="N56" s="447">
        <v>2272.0</v>
      </c>
      <c r="O56" s="447">
        <v>2692.0</v>
      </c>
      <c r="P56" s="447">
        <v>3080.0</v>
      </c>
      <c r="Q56" s="447">
        <v>3843.0</v>
      </c>
      <c r="R56" s="447">
        <v>4626.0</v>
      </c>
      <c r="S56" s="447">
        <v>5253.0</v>
      </c>
      <c r="T56" s="447">
        <v>6256.0</v>
      </c>
    </row>
    <row r="57" hidden="1" outlineLevel="1">
      <c r="A57" s="447" t="s">
        <v>574</v>
      </c>
      <c r="B57" s="447" t="s">
        <v>587</v>
      </c>
      <c r="C57" s="447">
        <v>467.0</v>
      </c>
      <c r="D57" s="447">
        <v>455.0</v>
      </c>
      <c r="E57" s="447">
        <v>506.0</v>
      </c>
      <c r="F57" s="447">
        <v>526.0</v>
      </c>
      <c r="G57" s="447">
        <v>608.0</v>
      </c>
      <c r="H57" s="447">
        <v>697.0</v>
      </c>
      <c r="I57" s="447">
        <v>785.0</v>
      </c>
      <c r="J57" s="447">
        <v>927.0</v>
      </c>
      <c r="K57" s="447">
        <v>1134.0</v>
      </c>
      <c r="L57" s="447">
        <v>1395.0</v>
      </c>
      <c r="M57" s="447">
        <v>1727.0</v>
      </c>
      <c r="N57" s="447">
        <v>2020.0</v>
      </c>
      <c r="O57" s="447">
        <v>2345.0</v>
      </c>
      <c r="P57" s="447">
        <v>2805.0</v>
      </c>
      <c r="Q57" s="447">
        <v>3484.0</v>
      </c>
      <c r="R57" s="447">
        <v>4218.0</v>
      </c>
      <c r="S57" s="447">
        <v>4905.0</v>
      </c>
      <c r="T57" s="447">
        <v>5838.0</v>
      </c>
    </row>
    <row r="58" hidden="1" outlineLevel="1">
      <c r="A58" s="447" t="s">
        <v>575</v>
      </c>
      <c r="B58" s="447" t="s">
        <v>587</v>
      </c>
      <c r="C58" s="447">
        <v>675.0</v>
      </c>
      <c r="D58" s="447">
        <v>713.0</v>
      </c>
      <c r="E58" s="447">
        <v>798.0</v>
      </c>
      <c r="F58" s="447">
        <v>814.0</v>
      </c>
      <c r="G58" s="447">
        <v>886.0</v>
      </c>
      <c r="H58" s="447">
        <v>1006.0</v>
      </c>
      <c r="I58" s="447">
        <v>1169.0</v>
      </c>
      <c r="J58" s="447">
        <v>1428.0</v>
      </c>
      <c r="K58" s="447">
        <v>1956.0</v>
      </c>
      <c r="L58" s="447">
        <v>2443.0</v>
      </c>
      <c r="M58" s="447">
        <v>2831.0</v>
      </c>
      <c r="N58" s="447">
        <v>3294.0</v>
      </c>
      <c r="O58" s="447">
        <v>4071.0</v>
      </c>
      <c r="P58" s="447">
        <v>4866.0</v>
      </c>
      <c r="Q58" s="447">
        <v>6195.0</v>
      </c>
      <c r="R58" s="447">
        <v>7343.0</v>
      </c>
      <c r="S58" s="447">
        <v>9071.0</v>
      </c>
      <c r="T58" s="447">
        <v>10860.0</v>
      </c>
    </row>
    <row r="59" hidden="1" outlineLevel="1">
      <c r="A59" s="447" t="s">
        <v>576</v>
      </c>
      <c r="B59" s="447" t="s">
        <v>587</v>
      </c>
      <c r="C59" s="447">
        <v>486.0</v>
      </c>
      <c r="D59" s="447">
        <v>552.0</v>
      </c>
      <c r="E59" s="447">
        <v>512.0</v>
      </c>
      <c r="F59" s="447">
        <v>569.0</v>
      </c>
      <c r="G59" s="447">
        <v>649.0</v>
      </c>
      <c r="H59" s="447">
        <v>693.0</v>
      </c>
      <c r="I59" s="447">
        <v>864.0</v>
      </c>
      <c r="J59" s="447">
        <v>1099.0</v>
      </c>
      <c r="K59" s="447">
        <v>1474.0</v>
      </c>
      <c r="L59" s="447">
        <v>1916.0</v>
      </c>
      <c r="M59" s="447">
        <v>2233.0</v>
      </c>
      <c r="N59" s="447">
        <v>2747.0</v>
      </c>
      <c r="O59" s="447">
        <v>3270.0</v>
      </c>
      <c r="P59" s="447">
        <v>4087.0</v>
      </c>
      <c r="Q59" s="447">
        <v>5321.0</v>
      </c>
      <c r="R59" s="447">
        <v>6632.0</v>
      </c>
      <c r="S59" s="447">
        <v>8017.0</v>
      </c>
      <c r="T59" s="447">
        <v>9233.0</v>
      </c>
    </row>
    <row r="60" hidden="1" outlineLevel="1">
      <c r="A60" s="447" t="s">
        <v>577</v>
      </c>
      <c r="B60" s="447" t="s">
        <v>587</v>
      </c>
      <c r="C60" s="447">
        <v>1063.0</v>
      </c>
      <c r="D60" s="447">
        <v>1116.0</v>
      </c>
      <c r="E60" s="447">
        <v>1184.0</v>
      </c>
      <c r="F60" s="447">
        <v>1339.0</v>
      </c>
      <c r="G60" s="447">
        <v>1455.0</v>
      </c>
      <c r="H60" s="447">
        <v>1756.0</v>
      </c>
      <c r="I60" s="447">
        <v>2423.0</v>
      </c>
      <c r="J60" s="447">
        <v>3389.0</v>
      </c>
      <c r="K60" s="447">
        <v>4701.0</v>
      </c>
      <c r="L60" s="447">
        <v>5778.0</v>
      </c>
      <c r="M60" s="447">
        <v>6717.0</v>
      </c>
      <c r="N60" s="447">
        <v>8377.0</v>
      </c>
      <c r="O60" s="447">
        <v>10639.0</v>
      </c>
      <c r="P60" s="447">
        <v>14329.0</v>
      </c>
      <c r="Q60" s="447">
        <v>18498.0</v>
      </c>
      <c r="R60" s="447">
        <v>22701.0</v>
      </c>
      <c r="S60" s="447">
        <v>25763.0</v>
      </c>
      <c r="T60" s="447">
        <v>27003.0</v>
      </c>
    </row>
    <row r="61" hidden="1" outlineLevel="1">
      <c r="A61" s="447" t="s">
        <v>578</v>
      </c>
      <c r="B61" s="447" t="s">
        <v>587</v>
      </c>
      <c r="C61" s="447">
        <v>493.0</v>
      </c>
      <c r="D61" s="447">
        <v>565.0</v>
      </c>
      <c r="E61" s="447">
        <v>627.0</v>
      </c>
      <c r="F61" s="447">
        <v>642.0</v>
      </c>
      <c r="G61" s="447">
        <v>821.0</v>
      </c>
      <c r="H61" s="447">
        <v>1263.0</v>
      </c>
      <c r="I61" s="447">
        <v>1910.0</v>
      </c>
      <c r="J61" s="447">
        <v>2926.0</v>
      </c>
      <c r="K61" s="447">
        <v>4097.0</v>
      </c>
      <c r="L61" s="447">
        <v>4730.0</v>
      </c>
      <c r="M61" s="447">
        <v>5560.0</v>
      </c>
      <c r="N61" s="447">
        <v>7303.0</v>
      </c>
      <c r="O61" s="447">
        <v>10536.0</v>
      </c>
      <c r="P61" s="447">
        <v>14342.0</v>
      </c>
      <c r="Q61" s="447">
        <v>17431.0</v>
      </c>
      <c r="R61" s="447">
        <v>18717.0</v>
      </c>
      <c r="S61" s="447">
        <v>17158.0</v>
      </c>
      <c r="T61" s="447">
        <v>15795.0</v>
      </c>
    </row>
    <row r="62" hidden="1" outlineLevel="1">
      <c r="A62" s="447" t="s">
        <v>579</v>
      </c>
      <c r="B62" s="447" t="s">
        <v>587</v>
      </c>
      <c r="C62" s="447">
        <v>227.0</v>
      </c>
      <c r="D62" s="447">
        <v>275.0</v>
      </c>
      <c r="E62" s="447">
        <v>260.0</v>
      </c>
      <c r="F62" s="447">
        <v>326.0</v>
      </c>
      <c r="G62" s="447">
        <v>527.0</v>
      </c>
      <c r="H62" s="447">
        <v>738.0</v>
      </c>
      <c r="I62" s="447">
        <v>988.0</v>
      </c>
      <c r="J62" s="447">
        <v>1593.0</v>
      </c>
      <c r="K62" s="447">
        <v>2501.0</v>
      </c>
      <c r="L62" s="447">
        <v>2703.0</v>
      </c>
      <c r="M62" s="447">
        <v>3858.0</v>
      </c>
      <c r="N62" s="447">
        <v>5892.0</v>
      </c>
      <c r="O62" s="447">
        <v>8984.0</v>
      </c>
      <c r="P62" s="447">
        <v>11347.0</v>
      </c>
      <c r="Q62" s="447">
        <v>12605.0</v>
      </c>
      <c r="R62" s="447">
        <v>11928.0</v>
      </c>
      <c r="S62" s="447">
        <v>10017.0</v>
      </c>
      <c r="T62" s="447">
        <v>10439.0</v>
      </c>
    </row>
    <row r="63" hidden="1" outlineLevel="1">
      <c r="A63" s="447" t="s">
        <v>580</v>
      </c>
      <c r="B63" s="447" t="s">
        <v>587</v>
      </c>
      <c r="C63" s="447">
        <v>111.0</v>
      </c>
      <c r="D63" s="447">
        <v>122.0</v>
      </c>
      <c r="E63" s="447">
        <v>107.0</v>
      </c>
      <c r="F63" s="447">
        <v>139.0</v>
      </c>
      <c r="G63" s="447">
        <v>157.0</v>
      </c>
      <c r="H63" s="447">
        <v>198.0</v>
      </c>
      <c r="I63" s="447">
        <v>251.0</v>
      </c>
      <c r="J63" s="447">
        <v>406.0</v>
      </c>
      <c r="K63" s="447">
        <v>694.0</v>
      </c>
      <c r="L63" s="447">
        <v>911.0</v>
      </c>
      <c r="M63" s="447">
        <v>1875.0</v>
      </c>
      <c r="N63" s="447">
        <v>3341.0</v>
      </c>
      <c r="O63" s="447">
        <v>4570.0</v>
      </c>
      <c r="P63" s="447">
        <v>5281.0</v>
      </c>
      <c r="Q63" s="447">
        <v>6947.0</v>
      </c>
      <c r="R63" s="447">
        <v>6876.0</v>
      </c>
      <c r="S63" s="447">
        <v>6390.0</v>
      </c>
      <c r="T63" s="447">
        <v>7321.0</v>
      </c>
    </row>
    <row r="64" hidden="1" outlineLevel="1">
      <c r="A64" s="447" t="s">
        <v>581</v>
      </c>
      <c r="B64" s="447" t="s">
        <v>587</v>
      </c>
      <c r="C64" s="447">
        <v>54.0</v>
      </c>
      <c r="D64" s="447">
        <v>51.0</v>
      </c>
      <c r="E64" s="447">
        <v>44.0</v>
      </c>
      <c r="F64" s="447">
        <v>39.0</v>
      </c>
      <c r="G64" s="447">
        <v>36.0</v>
      </c>
      <c r="H64" s="447">
        <v>42.0</v>
      </c>
      <c r="I64" s="447">
        <v>51.0</v>
      </c>
      <c r="J64" s="447">
        <v>58.0</v>
      </c>
      <c r="K64" s="447">
        <v>125.0</v>
      </c>
      <c r="L64" s="447">
        <v>284.0</v>
      </c>
      <c r="M64" s="447">
        <v>884.0</v>
      </c>
      <c r="N64" s="447">
        <v>1404.0</v>
      </c>
      <c r="O64" s="447">
        <v>1354.0</v>
      </c>
      <c r="P64" s="447">
        <v>1466.0</v>
      </c>
      <c r="Q64" s="447">
        <v>1995.0</v>
      </c>
      <c r="R64" s="447">
        <v>2460.0</v>
      </c>
      <c r="S64" s="447">
        <v>2312.0</v>
      </c>
      <c r="T64" s="447">
        <v>3352.0</v>
      </c>
    </row>
    <row r="65" hidden="1" outlineLevel="1">
      <c r="A65" s="447" t="s">
        <v>582</v>
      </c>
      <c r="B65" s="447" t="s">
        <v>587</v>
      </c>
      <c r="C65" s="447">
        <v>12.0</v>
      </c>
      <c r="D65" s="447">
        <v>13.0</v>
      </c>
      <c r="E65" s="447">
        <v>6.0</v>
      </c>
      <c r="F65" s="447">
        <v>7.0</v>
      </c>
      <c r="G65" s="447">
        <v>6.0</v>
      </c>
      <c r="H65" s="447">
        <v>11.0</v>
      </c>
      <c r="I65" s="447">
        <v>13.0</v>
      </c>
      <c r="J65" s="447">
        <v>9.0</v>
      </c>
      <c r="K65" s="447">
        <v>19.0</v>
      </c>
      <c r="L65" s="447">
        <v>83.0</v>
      </c>
      <c r="M65" s="447">
        <v>140.0</v>
      </c>
      <c r="N65" s="447">
        <v>145.0</v>
      </c>
      <c r="O65" s="447">
        <v>130.0</v>
      </c>
      <c r="P65" s="447">
        <v>207.0</v>
      </c>
      <c r="Q65" s="447">
        <v>298.0</v>
      </c>
      <c r="R65" s="447">
        <v>347.0</v>
      </c>
      <c r="S65" s="447">
        <v>523.0</v>
      </c>
      <c r="T65" s="447">
        <v>1096.0</v>
      </c>
    </row>
    <row r="66" hidden="1" outlineLevel="1">
      <c r="A66" s="447" t="s">
        <v>583</v>
      </c>
      <c r="B66" s="447" t="s">
        <v>587</v>
      </c>
      <c r="C66" s="447">
        <v>12.0</v>
      </c>
      <c r="D66" s="447">
        <v>7.0</v>
      </c>
      <c r="E66" s="447">
        <v>4.0</v>
      </c>
      <c r="F66" s="447">
        <v>5.0</v>
      </c>
      <c r="G66" s="447">
        <v>6.0</v>
      </c>
      <c r="H66" s="447">
        <v>4.0</v>
      </c>
      <c r="I66" s="447">
        <v>5.0</v>
      </c>
      <c r="J66" s="447">
        <v>9.0</v>
      </c>
      <c r="K66" s="447">
        <v>8.0</v>
      </c>
      <c r="L66" s="447">
        <v>2.0</v>
      </c>
      <c r="M66" s="447">
        <v>6.0</v>
      </c>
      <c r="N66" s="447">
        <v>5.0</v>
      </c>
      <c r="O66" s="447">
        <v>9.0</v>
      </c>
      <c r="P66" s="447">
        <v>19.0</v>
      </c>
      <c r="Q66" s="447">
        <v>38.0</v>
      </c>
      <c r="R66" s="447">
        <v>23.0</v>
      </c>
      <c r="S66" s="447">
        <v>25.0</v>
      </c>
      <c r="T66" s="447">
        <v>144.0</v>
      </c>
    </row>
    <row r="67" hidden="1" outlineLevel="1">
      <c r="A67" s="447" t="s">
        <v>584</v>
      </c>
      <c r="B67" s="447" t="s">
        <v>587</v>
      </c>
      <c r="C67" s="447">
        <v>0.0</v>
      </c>
      <c r="D67" s="447">
        <v>0.0</v>
      </c>
      <c r="E67" s="447">
        <v>0.0</v>
      </c>
      <c r="F67" s="447">
        <v>0.0</v>
      </c>
      <c r="G67" s="447">
        <v>0.0</v>
      </c>
      <c r="H67" s="447">
        <v>0.0</v>
      </c>
      <c r="I67" s="447">
        <v>0.0</v>
      </c>
      <c r="J67" s="447">
        <v>0.0</v>
      </c>
      <c r="K67" s="447">
        <v>0.0</v>
      </c>
      <c r="L67" s="447">
        <v>1.0</v>
      </c>
      <c r="M67" s="447">
        <v>1.0</v>
      </c>
      <c r="N67" s="447">
        <v>0.0</v>
      </c>
      <c r="O67" s="447">
        <v>1.0</v>
      </c>
      <c r="P67" s="447">
        <v>2.0</v>
      </c>
      <c r="Q67" s="447">
        <v>5.0</v>
      </c>
      <c r="R67" s="447">
        <v>1.0</v>
      </c>
      <c r="S67" s="447">
        <v>0.0</v>
      </c>
      <c r="T67" s="447">
        <v>26.0</v>
      </c>
    </row>
    <row r="68" hidden="1" outlineLevel="1">
      <c r="A68" s="447" t="s">
        <v>585</v>
      </c>
      <c r="B68" s="447" t="s">
        <v>587</v>
      </c>
      <c r="C68" s="447">
        <v>0.0</v>
      </c>
      <c r="D68" s="447">
        <v>0.0</v>
      </c>
      <c r="E68" s="447">
        <v>0.0</v>
      </c>
      <c r="F68" s="447">
        <v>0.0</v>
      </c>
      <c r="G68" s="447">
        <v>0.0</v>
      </c>
      <c r="H68" s="447">
        <v>0.0</v>
      </c>
      <c r="I68" s="447">
        <v>0.0</v>
      </c>
      <c r="J68" s="447">
        <v>0.0</v>
      </c>
      <c r="K68" s="447">
        <v>0.0</v>
      </c>
      <c r="L68" s="447">
        <v>0.0</v>
      </c>
      <c r="M68" s="447">
        <v>0.0</v>
      </c>
      <c r="N68" s="447">
        <v>0.0</v>
      </c>
      <c r="O68" s="447">
        <v>1.0</v>
      </c>
      <c r="P68" s="447">
        <v>0.0</v>
      </c>
      <c r="Q68" s="447">
        <v>0.0</v>
      </c>
      <c r="R68" s="447">
        <v>0.0</v>
      </c>
      <c r="S68" s="447">
        <v>0.0</v>
      </c>
      <c r="T68" s="447">
        <v>1.0</v>
      </c>
    </row>
    <row r="70">
      <c r="A70" s="475" t="s">
        <v>588</v>
      </c>
      <c r="B70" s="476"/>
      <c r="C70" s="476"/>
      <c r="D70" s="476"/>
      <c r="E70" s="476"/>
      <c r="F70" s="476"/>
      <c r="G70" s="476"/>
      <c r="H70" s="476"/>
      <c r="I70" s="476"/>
      <c r="J70" s="476"/>
      <c r="K70" s="476"/>
      <c r="L70" s="476"/>
      <c r="M70" s="476"/>
      <c r="N70" s="476"/>
      <c r="O70" s="476"/>
      <c r="P70" s="476"/>
      <c r="Q70" s="476"/>
      <c r="R70" s="476"/>
      <c r="S70" s="476"/>
      <c r="T70" s="476"/>
    </row>
    <row r="71">
      <c r="A71" s="476" t="s">
        <v>561</v>
      </c>
      <c r="B71" s="476" t="s">
        <v>562</v>
      </c>
      <c r="C71" s="476">
        <v>2000.0</v>
      </c>
      <c r="D71" s="476">
        <v>2001.0</v>
      </c>
      <c r="E71" s="476">
        <v>2002.0</v>
      </c>
      <c r="F71" s="476">
        <v>2003.0</v>
      </c>
      <c r="G71" s="476">
        <v>2004.0</v>
      </c>
      <c r="H71" s="476">
        <v>2005.0</v>
      </c>
      <c r="I71" s="476">
        <v>2006.0</v>
      </c>
      <c r="J71" s="476">
        <v>2007.0</v>
      </c>
      <c r="K71" s="476">
        <v>2008.0</v>
      </c>
      <c r="L71" s="476">
        <v>2009.0</v>
      </c>
      <c r="M71" s="476">
        <v>2010.0</v>
      </c>
      <c r="N71" s="476">
        <v>2011.0</v>
      </c>
      <c r="O71" s="476">
        <v>2012.0</v>
      </c>
      <c r="P71" s="476">
        <v>2013.0</v>
      </c>
      <c r="Q71" s="476">
        <v>2014.0</v>
      </c>
      <c r="R71" s="476">
        <v>2015.0</v>
      </c>
      <c r="S71" s="476">
        <v>2016.0</v>
      </c>
      <c r="T71" s="476">
        <v>2017.0</v>
      </c>
    </row>
    <row r="72">
      <c r="A72" s="456" t="s">
        <v>589</v>
      </c>
      <c r="B72" s="456" t="s">
        <v>564</v>
      </c>
      <c r="C72" s="477"/>
      <c r="D72" s="477">
        <f t="shared" ref="D72:T72" si="1">sum(D3:D24)-sum(C3:C24)</f>
        <v>-1190</v>
      </c>
      <c r="E72" s="477">
        <f t="shared" si="1"/>
        <v>-6255</v>
      </c>
      <c r="F72" s="477">
        <f t="shared" si="1"/>
        <v>-3253</v>
      </c>
      <c r="G72" s="477">
        <f t="shared" si="1"/>
        <v>1863</v>
      </c>
      <c r="H72" s="477">
        <f t="shared" si="1"/>
        <v>3628</v>
      </c>
      <c r="I72" s="477">
        <f t="shared" si="1"/>
        <v>4789</v>
      </c>
      <c r="J72" s="477">
        <f t="shared" si="1"/>
        <v>-1898</v>
      </c>
      <c r="K72" s="477">
        <f t="shared" si="1"/>
        <v>16544</v>
      </c>
      <c r="L72" s="477">
        <f t="shared" si="1"/>
        <v>-1988</v>
      </c>
      <c r="M72" s="477">
        <f t="shared" si="1"/>
        <v>9093</v>
      </c>
      <c r="N72" s="477">
        <f t="shared" si="1"/>
        <v>15213</v>
      </c>
      <c r="O72" s="477">
        <f t="shared" si="1"/>
        <v>16136</v>
      </c>
      <c r="P72" s="477">
        <f t="shared" si="1"/>
        <v>16302</v>
      </c>
      <c r="Q72" s="477">
        <f t="shared" si="1"/>
        <v>17147</v>
      </c>
      <c r="R72" s="477">
        <f t="shared" si="1"/>
        <v>-3563</v>
      </c>
      <c r="S72" s="477">
        <f t="shared" si="1"/>
        <v>-16959</v>
      </c>
      <c r="T72" s="477">
        <f t="shared" si="1"/>
        <v>-7310</v>
      </c>
    </row>
    <row r="73">
      <c r="A73" s="456" t="s">
        <v>589</v>
      </c>
      <c r="B73" s="456" t="s">
        <v>586</v>
      </c>
      <c r="C73" s="477"/>
      <c r="D73" s="477">
        <f t="shared" ref="D73:T73" si="2">sum(D25:D46)-sum(C25:C46)</f>
        <v>27281</v>
      </c>
      <c r="E73" s="477">
        <f t="shared" si="2"/>
        <v>10664</v>
      </c>
      <c r="F73" s="477">
        <f t="shared" si="2"/>
        <v>17009</v>
      </c>
      <c r="G73" s="477">
        <f t="shared" si="2"/>
        <v>18242</v>
      </c>
      <c r="H73" s="477">
        <f t="shared" si="2"/>
        <v>20133</v>
      </c>
      <c r="I73" s="477">
        <f t="shared" si="2"/>
        <v>28177</v>
      </c>
      <c r="J73" s="477">
        <f t="shared" si="2"/>
        <v>17577</v>
      </c>
      <c r="K73" s="477">
        <f t="shared" si="2"/>
        <v>41444</v>
      </c>
      <c r="L73" s="477">
        <f t="shared" si="2"/>
        <v>5406</v>
      </c>
      <c r="M73" s="477">
        <f t="shared" si="2"/>
        <v>12168</v>
      </c>
      <c r="N73" s="477">
        <f t="shared" si="2"/>
        <v>9109</v>
      </c>
      <c r="O73" s="477">
        <f t="shared" si="2"/>
        <v>3787</v>
      </c>
      <c r="P73" s="477">
        <f t="shared" si="2"/>
        <v>-1826</v>
      </c>
      <c r="Q73" s="477">
        <f t="shared" si="2"/>
        <v>8314</v>
      </c>
      <c r="R73" s="477">
        <f t="shared" si="2"/>
        <v>-4005</v>
      </c>
      <c r="S73" s="477">
        <f t="shared" si="2"/>
        <v>-4511</v>
      </c>
      <c r="T73" s="477">
        <f t="shared" si="2"/>
        <v>-11726</v>
      </c>
    </row>
    <row r="74">
      <c r="A74" s="456" t="s">
        <v>589</v>
      </c>
      <c r="B74" s="456" t="s">
        <v>590</v>
      </c>
      <c r="C74" s="456"/>
      <c r="D74" s="477">
        <f t="shared" ref="D74:T74" si="3">sum(D47:D68)-sum(C47:C68)</f>
        <v>516</v>
      </c>
      <c r="E74" s="477">
        <f t="shared" si="3"/>
        <v>427</v>
      </c>
      <c r="F74" s="477">
        <f t="shared" si="3"/>
        <v>743</v>
      </c>
      <c r="G74" s="477">
        <f t="shared" si="3"/>
        <v>1244</v>
      </c>
      <c r="H74" s="477">
        <f t="shared" si="3"/>
        <v>2040</v>
      </c>
      <c r="I74" s="477">
        <f t="shared" si="3"/>
        <v>2934</v>
      </c>
      <c r="J74" s="477">
        <f t="shared" si="3"/>
        <v>4683</v>
      </c>
      <c r="K74" s="477">
        <f t="shared" si="3"/>
        <v>6640</v>
      </c>
      <c r="L74" s="477">
        <f t="shared" si="3"/>
        <v>5161</v>
      </c>
      <c r="M74" s="477">
        <f t="shared" si="3"/>
        <v>7596</v>
      </c>
      <c r="N74" s="477">
        <f t="shared" si="3"/>
        <v>11168</v>
      </c>
      <c r="O74" s="477">
        <f t="shared" si="3"/>
        <v>13849</v>
      </c>
      <c r="P74" s="477">
        <f t="shared" si="3"/>
        <v>15521</v>
      </c>
      <c r="Q74" s="477">
        <f t="shared" si="3"/>
        <v>17600</v>
      </c>
      <c r="R74" s="477">
        <f t="shared" si="3"/>
        <v>12023</v>
      </c>
      <c r="S74" s="477">
        <f t="shared" si="3"/>
        <v>6196</v>
      </c>
      <c r="T74" s="477">
        <f t="shared" si="3"/>
        <v>9633</v>
      </c>
    </row>
    <row r="76">
      <c r="A76" s="473" t="s">
        <v>591</v>
      </c>
    </row>
    <row r="77">
      <c r="B77" s="447"/>
      <c r="C77" s="478">
        <v>2000.0</v>
      </c>
      <c r="D77" s="478">
        <v>2001.0</v>
      </c>
      <c r="E77" s="478">
        <v>2002.0</v>
      </c>
      <c r="F77" s="478">
        <v>2003.0</v>
      </c>
      <c r="G77" s="478">
        <v>2004.0</v>
      </c>
      <c r="H77" s="478">
        <v>2005.0</v>
      </c>
      <c r="I77" s="478">
        <v>2006.0</v>
      </c>
      <c r="J77" s="478">
        <v>2007.0</v>
      </c>
      <c r="K77" s="478">
        <v>2008.0</v>
      </c>
      <c r="L77" s="478">
        <v>2009.0</v>
      </c>
      <c r="M77" s="478">
        <v>2010.0</v>
      </c>
      <c r="N77" s="478">
        <v>2011.0</v>
      </c>
      <c r="O77" s="478">
        <v>2012.0</v>
      </c>
      <c r="P77" s="478">
        <v>2013.0</v>
      </c>
      <c r="Q77" s="478">
        <v>2014.0</v>
      </c>
      <c r="R77" s="478">
        <v>2015.0</v>
      </c>
      <c r="S77" s="478">
        <v>2016.0</v>
      </c>
      <c r="T77" s="478">
        <v>2017.0</v>
      </c>
      <c r="U77" s="478">
        <v>2018.0</v>
      </c>
    </row>
    <row r="78">
      <c r="B78" s="447" t="s">
        <v>586</v>
      </c>
      <c r="C78" s="447">
        <v>218.0</v>
      </c>
      <c r="D78" s="447">
        <v>257.0</v>
      </c>
      <c r="E78" s="447">
        <v>269.0</v>
      </c>
      <c r="F78" s="447">
        <v>463.0</v>
      </c>
      <c r="G78" s="447">
        <v>837.0</v>
      </c>
      <c r="H78" s="447">
        <v>1448.0</v>
      </c>
      <c r="I78" s="447">
        <v>2320.0</v>
      </c>
      <c r="J78" s="447">
        <v>3910.0</v>
      </c>
      <c r="K78" s="447">
        <v>5578.0</v>
      </c>
      <c r="L78" s="447">
        <v>4569.0</v>
      </c>
      <c r="M78" s="447">
        <v>6407.0</v>
      </c>
      <c r="N78" s="447">
        <v>7253.0</v>
      </c>
      <c r="O78" s="447">
        <v>6359.0</v>
      </c>
      <c r="P78" s="447">
        <v>5916.0</v>
      </c>
      <c r="Q78" s="447">
        <v>6103.0</v>
      </c>
      <c r="R78" s="447">
        <v>3735.0</v>
      </c>
      <c r="S78" s="447">
        <v>1663.0</v>
      </c>
      <c r="T78" s="447">
        <v>1972.0</v>
      </c>
      <c r="U78" s="447">
        <v>1194.0</v>
      </c>
    </row>
    <row r="79">
      <c r="B79" s="447" t="s">
        <v>564</v>
      </c>
      <c r="C79" s="447">
        <v>260.0</v>
      </c>
      <c r="D79" s="447">
        <v>308.0</v>
      </c>
      <c r="E79" s="447">
        <v>185.0</v>
      </c>
      <c r="F79" s="447">
        <v>313.0</v>
      </c>
      <c r="G79" s="447">
        <v>434.0</v>
      </c>
      <c r="H79" s="447">
        <v>543.0</v>
      </c>
      <c r="I79" s="447">
        <v>611.0</v>
      </c>
      <c r="J79" s="447">
        <v>663.0</v>
      </c>
      <c r="K79" s="447">
        <v>942.0</v>
      </c>
      <c r="L79" s="447">
        <v>667.0</v>
      </c>
      <c r="M79" s="447">
        <v>1674.0</v>
      </c>
      <c r="N79" s="447">
        <v>3849.0</v>
      </c>
      <c r="O79" s="447">
        <v>6296.0</v>
      </c>
      <c r="P79" s="447">
        <v>8140.0</v>
      </c>
      <c r="Q79" s="447">
        <v>10067.0</v>
      </c>
      <c r="R79" s="447">
        <v>6983.0</v>
      </c>
      <c r="S79" s="447">
        <v>3688.0</v>
      </c>
      <c r="T79" s="447">
        <v>5191.0</v>
      </c>
      <c r="U79" s="447">
        <v>2528.0</v>
      </c>
    </row>
    <row r="80">
      <c r="B80" s="447" t="s">
        <v>592</v>
      </c>
      <c r="G80" s="447">
        <v>101.0</v>
      </c>
      <c r="H80" s="447">
        <v>153.0</v>
      </c>
      <c r="J80" s="447">
        <v>307.0</v>
      </c>
      <c r="K80" s="447">
        <v>569.0</v>
      </c>
      <c r="L80" s="447">
        <v>540.0</v>
      </c>
      <c r="M80" s="447">
        <v>893.0</v>
      </c>
      <c r="N80" s="447">
        <v>1436.0</v>
      </c>
      <c r="O80" s="447">
        <v>2277.0</v>
      </c>
      <c r="P80" s="447">
        <v>2463.0</v>
      </c>
      <c r="Q80" s="447">
        <v>2836.0</v>
      </c>
      <c r="R80" s="447">
        <v>2071.0</v>
      </c>
      <c r="S80" s="447">
        <v>1684.0</v>
      </c>
      <c r="T80" s="447">
        <v>2754.0</v>
      </c>
      <c r="U80" s="447">
        <v>4083.0</v>
      </c>
    </row>
    <row r="81">
      <c r="B81" s="447" t="s">
        <v>593</v>
      </c>
      <c r="P81" s="447">
        <v>156.0</v>
      </c>
      <c r="Q81" s="447">
        <v>309.0</v>
      </c>
      <c r="R81" s="447">
        <v>801.0</v>
      </c>
      <c r="S81" s="447">
        <v>577.0</v>
      </c>
      <c r="T81" s="447">
        <v>1477.0</v>
      </c>
      <c r="U81" s="447">
        <v>1103.0</v>
      </c>
    </row>
    <row r="82">
      <c r="B82" s="479" t="s">
        <v>594</v>
      </c>
      <c r="C82" s="480">
        <f t="shared" ref="C82:U82" si="4">sum(C78:C81)</f>
        <v>478</v>
      </c>
      <c r="D82" s="480">
        <f t="shared" si="4"/>
        <v>565</v>
      </c>
      <c r="E82" s="480">
        <f t="shared" si="4"/>
        <v>454</v>
      </c>
      <c r="F82" s="480">
        <f t="shared" si="4"/>
        <v>776</v>
      </c>
      <c r="G82" s="480">
        <f t="shared" si="4"/>
        <v>1372</v>
      </c>
      <c r="H82" s="480">
        <f t="shared" si="4"/>
        <v>2144</v>
      </c>
      <c r="I82" s="480">
        <f t="shared" si="4"/>
        <v>2931</v>
      </c>
      <c r="J82" s="480">
        <f t="shared" si="4"/>
        <v>4880</v>
      </c>
      <c r="K82" s="480">
        <f t="shared" si="4"/>
        <v>7089</v>
      </c>
      <c r="L82" s="480">
        <f t="shared" si="4"/>
        <v>5776</v>
      </c>
      <c r="M82" s="480">
        <f t="shared" si="4"/>
        <v>8974</v>
      </c>
      <c r="N82" s="480">
        <f t="shared" si="4"/>
        <v>12538</v>
      </c>
      <c r="O82" s="480">
        <f t="shared" si="4"/>
        <v>14932</v>
      </c>
      <c r="P82" s="480">
        <f t="shared" si="4"/>
        <v>16675</v>
      </c>
      <c r="Q82" s="480">
        <f t="shared" si="4"/>
        <v>19315</v>
      </c>
      <c r="R82" s="480">
        <f t="shared" si="4"/>
        <v>13590</v>
      </c>
      <c r="S82" s="480">
        <f t="shared" si="4"/>
        <v>7612</v>
      </c>
      <c r="T82" s="480">
        <f t="shared" si="4"/>
        <v>11394</v>
      </c>
      <c r="U82" s="480">
        <f t="shared" si="4"/>
        <v>8908</v>
      </c>
      <c r="V82" s="447" t="s">
        <v>595</v>
      </c>
    </row>
    <row r="83">
      <c r="V83" s="479" t="s">
        <v>596</v>
      </c>
    </row>
    <row r="84">
      <c r="A84" s="473" t="s">
        <v>597</v>
      </c>
    </row>
    <row r="85" collapsed="1">
      <c r="A85" s="76" t="s">
        <v>561</v>
      </c>
      <c r="B85" s="76" t="s">
        <v>562</v>
      </c>
      <c r="C85" s="76">
        <v>2000.0</v>
      </c>
      <c r="D85" s="76">
        <v>2001.0</v>
      </c>
      <c r="E85" s="76">
        <v>2002.0</v>
      </c>
      <c r="F85" s="76">
        <v>2003.0</v>
      </c>
      <c r="G85" s="76">
        <v>2004.0</v>
      </c>
      <c r="H85" s="76">
        <v>2005.0</v>
      </c>
      <c r="I85" s="76">
        <v>2006.0</v>
      </c>
      <c r="J85" s="76">
        <v>2007.0</v>
      </c>
      <c r="K85" s="76">
        <v>2008.0</v>
      </c>
      <c r="L85" s="76">
        <v>2009.0</v>
      </c>
      <c r="M85" s="76">
        <v>2010.0</v>
      </c>
      <c r="N85" s="76">
        <v>2011.0</v>
      </c>
      <c r="O85" s="76">
        <v>2012.0</v>
      </c>
      <c r="P85" s="76">
        <v>2013.0</v>
      </c>
      <c r="Q85" s="76">
        <v>2014.0</v>
      </c>
      <c r="R85" s="76">
        <v>2015.0</v>
      </c>
      <c r="S85" s="76">
        <v>2016.0</v>
      </c>
      <c r="T85" s="76">
        <v>2017.0</v>
      </c>
    </row>
    <row r="86" hidden="1" outlineLevel="1">
      <c r="A86" s="481" t="s">
        <v>563</v>
      </c>
      <c r="B86" s="447" t="s">
        <v>598</v>
      </c>
      <c r="C86" s="482">
        <v>17.063</v>
      </c>
      <c r="D86" s="482">
        <v>16.831</v>
      </c>
      <c r="E86" s="482">
        <v>16.635</v>
      </c>
      <c r="F86" s="482">
        <v>16.458</v>
      </c>
      <c r="G86" s="482">
        <v>16.884</v>
      </c>
      <c r="H86" s="482">
        <v>16.928</v>
      </c>
      <c r="I86" s="482">
        <v>17.307</v>
      </c>
      <c r="J86" s="482">
        <v>17.242</v>
      </c>
      <c r="K86" s="482">
        <v>17.955</v>
      </c>
      <c r="L86" s="482">
        <v>18.071</v>
      </c>
      <c r="M86" s="482">
        <v>18.451</v>
      </c>
      <c r="N86" s="482">
        <v>19.157</v>
      </c>
      <c r="O86" s="482">
        <v>19.692</v>
      </c>
      <c r="P86" s="482">
        <v>20.198</v>
      </c>
      <c r="Q86" s="482">
        <v>20.442</v>
      </c>
      <c r="R86" s="482">
        <v>20.067</v>
      </c>
      <c r="S86" s="482">
        <v>19.561</v>
      </c>
      <c r="T86" s="482">
        <v>17.87</v>
      </c>
    </row>
    <row r="87" hidden="1" outlineLevel="1">
      <c r="A87" s="481" t="s">
        <v>565</v>
      </c>
      <c r="B87" s="447" t="s">
        <v>598</v>
      </c>
      <c r="C87" s="482">
        <v>22.058</v>
      </c>
      <c r="D87" s="482">
        <v>21.832</v>
      </c>
      <c r="E87" s="482">
        <v>21.714</v>
      </c>
      <c r="F87" s="482">
        <v>21.687</v>
      </c>
      <c r="G87" s="482">
        <v>21.962</v>
      </c>
      <c r="H87" s="482">
        <v>22.174</v>
      </c>
      <c r="I87" s="482">
        <v>22.702</v>
      </c>
      <c r="J87" s="482">
        <v>22.688</v>
      </c>
      <c r="K87" s="482">
        <v>23.997</v>
      </c>
      <c r="L87" s="482">
        <v>23.588</v>
      </c>
      <c r="M87" s="482">
        <v>24.319</v>
      </c>
      <c r="N87" s="482">
        <v>24.823</v>
      </c>
      <c r="O87" s="482">
        <v>25.676</v>
      </c>
      <c r="P87" s="482">
        <v>25.936</v>
      </c>
      <c r="Q87" s="482">
        <v>26.357</v>
      </c>
      <c r="R87" s="482">
        <v>25.533</v>
      </c>
      <c r="S87" s="482">
        <v>24.049</v>
      </c>
      <c r="T87" s="482">
        <v>23.34</v>
      </c>
    </row>
    <row r="88" hidden="1" outlineLevel="1">
      <c r="A88" s="481" t="s">
        <v>566</v>
      </c>
      <c r="B88" s="447" t="s">
        <v>598</v>
      </c>
      <c r="C88" s="482">
        <v>45.739</v>
      </c>
      <c r="D88" s="482">
        <v>45.795</v>
      </c>
      <c r="E88" s="482">
        <v>45.581</v>
      </c>
      <c r="F88" s="482">
        <v>46.253</v>
      </c>
      <c r="G88" s="482">
        <v>46.031</v>
      </c>
      <c r="H88" s="482">
        <v>46.414</v>
      </c>
      <c r="I88" s="482">
        <v>46.961</v>
      </c>
      <c r="J88" s="482">
        <v>47.235</v>
      </c>
      <c r="K88" s="482">
        <v>48.662</v>
      </c>
      <c r="L88" s="482">
        <v>48.266</v>
      </c>
      <c r="M88" s="482">
        <v>48.054</v>
      </c>
      <c r="N88" s="482">
        <v>49.311</v>
      </c>
      <c r="O88" s="482">
        <v>51.153</v>
      </c>
      <c r="P88" s="482">
        <v>50.903</v>
      </c>
      <c r="Q88" s="482">
        <v>51.151</v>
      </c>
      <c r="R88" s="482">
        <v>49.42</v>
      </c>
      <c r="S88" s="482">
        <v>47.123</v>
      </c>
      <c r="T88" s="482">
        <v>46.202</v>
      </c>
    </row>
    <row r="89" hidden="1" outlineLevel="1">
      <c r="A89" s="481" t="s">
        <v>567</v>
      </c>
      <c r="B89" s="447" t="s">
        <v>598</v>
      </c>
      <c r="C89" s="482">
        <v>43.172</v>
      </c>
      <c r="D89" s="482">
        <v>43.378</v>
      </c>
      <c r="E89" s="482">
        <v>42.816</v>
      </c>
      <c r="F89" s="482">
        <v>41.682</v>
      </c>
      <c r="G89" s="482">
        <v>42.452</v>
      </c>
      <c r="H89" s="482">
        <v>42.449</v>
      </c>
      <c r="I89" s="482">
        <v>43.558</v>
      </c>
      <c r="J89" s="482">
        <v>43.265</v>
      </c>
      <c r="K89" s="482">
        <v>44.834</v>
      </c>
      <c r="L89" s="482">
        <v>44.348</v>
      </c>
      <c r="M89" s="482">
        <v>44.436</v>
      </c>
      <c r="N89" s="482">
        <v>45.168</v>
      </c>
      <c r="O89" s="482">
        <v>46.159</v>
      </c>
      <c r="P89" s="482">
        <v>46.981</v>
      </c>
      <c r="Q89" s="482">
        <v>48.058</v>
      </c>
      <c r="R89" s="482">
        <v>46.821</v>
      </c>
      <c r="S89" s="482">
        <v>44.472</v>
      </c>
      <c r="T89" s="482">
        <v>43.508</v>
      </c>
    </row>
    <row r="90" hidden="1" outlineLevel="1">
      <c r="A90" s="481" t="s">
        <v>568</v>
      </c>
      <c r="B90" s="447" t="s">
        <v>598</v>
      </c>
      <c r="C90" s="482">
        <v>39.241</v>
      </c>
      <c r="D90" s="482">
        <v>39.311</v>
      </c>
      <c r="E90" s="482">
        <v>38.537</v>
      </c>
      <c r="F90" s="482">
        <v>38.879</v>
      </c>
      <c r="G90" s="482">
        <v>38.013</v>
      </c>
      <c r="H90" s="482">
        <v>38.432</v>
      </c>
      <c r="I90" s="482">
        <v>39.694</v>
      </c>
      <c r="J90" s="482">
        <v>39.783</v>
      </c>
      <c r="K90" s="482">
        <v>41.209</v>
      </c>
      <c r="L90" s="482">
        <v>40.559</v>
      </c>
      <c r="M90" s="482">
        <v>40.566</v>
      </c>
      <c r="N90" s="482">
        <v>40.584</v>
      </c>
      <c r="O90" s="482">
        <v>41.839</v>
      </c>
      <c r="P90" s="482">
        <v>42.156</v>
      </c>
      <c r="Q90" s="482">
        <v>43.351</v>
      </c>
      <c r="R90" s="482">
        <v>42.874</v>
      </c>
      <c r="S90" s="482">
        <v>40.563</v>
      </c>
      <c r="T90" s="482">
        <v>38.965</v>
      </c>
    </row>
    <row r="91" hidden="1" outlineLevel="1">
      <c r="A91" s="481" t="s">
        <v>569</v>
      </c>
      <c r="B91" s="447" t="s">
        <v>598</v>
      </c>
      <c r="C91" s="482">
        <v>36.906</v>
      </c>
      <c r="D91" s="482">
        <v>37.392</v>
      </c>
      <c r="E91" s="482">
        <v>36.916</v>
      </c>
      <c r="F91" s="482">
        <v>36.344</v>
      </c>
      <c r="G91" s="482">
        <v>36.568</v>
      </c>
      <c r="H91" s="482">
        <v>36.335</v>
      </c>
      <c r="I91" s="482">
        <v>35.941</v>
      </c>
      <c r="J91" s="482">
        <v>37.315</v>
      </c>
      <c r="K91" s="482">
        <v>36.895</v>
      </c>
      <c r="L91" s="482">
        <v>36.297</v>
      </c>
      <c r="M91" s="482">
        <v>36.339</v>
      </c>
      <c r="N91" s="482">
        <v>37.206</v>
      </c>
      <c r="O91" s="482">
        <v>38.08</v>
      </c>
      <c r="P91" s="482">
        <v>38.812</v>
      </c>
      <c r="Q91" s="482">
        <v>40.306</v>
      </c>
      <c r="R91" s="482">
        <v>39.031</v>
      </c>
      <c r="S91" s="482">
        <v>37.516</v>
      </c>
      <c r="T91" s="482">
        <v>35.93</v>
      </c>
    </row>
    <row r="92" hidden="1" outlineLevel="1">
      <c r="A92" s="481" t="s">
        <v>570</v>
      </c>
      <c r="B92" s="447" t="s">
        <v>598</v>
      </c>
      <c r="C92" s="482">
        <v>35.163</v>
      </c>
      <c r="D92" s="482">
        <v>33.163</v>
      </c>
      <c r="E92" s="482">
        <v>33.266</v>
      </c>
      <c r="F92" s="482">
        <v>32.826</v>
      </c>
      <c r="G92" s="482">
        <v>31.847</v>
      </c>
      <c r="H92" s="482">
        <v>32.948</v>
      </c>
      <c r="I92" s="482">
        <v>33.006</v>
      </c>
      <c r="J92" s="482">
        <v>32.604</v>
      </c>
      <c r="K92" s="482">
        <v>34.994</v>
      </c>
      <c r="L92" s="482">
        <v>33.604</v>
      </c>
      <c r="M92" s="482">
        <v>33.908</v>
      </c>
      <c r="N92" s="482">
        <v>33.764</v>
      </c>
      <c r="O92" s="482">
        <v>36.234</v>
      </c>
      <c r="P92" s="482">
        <v>36.103</v>
      </c>
      <c r="Q92" s="482">
        <v>36.669</v>
      </c>
      <c r="R92" s="482">
        <v>36.351</v>
      </c>
      <c r="S92" s="482">
        <v>34.32</v>
      </c>
      <c r="T92" s="482">
        <v>34.051</v>
      </c>
    </row>
    <row r="93" hidden="1" outlineLevel="1">
      <c r="A93" s="481" t="s">
        <v>571</v>
      </c>
      <c r="B93" s="447" t="s">
        <v>598</v>
      </c>
      <c r="C93" s="482">
        <v>45.891</v>
      </c>
      <c r="D93" s="482">
        <v>46.604</v>
      </c>
      <c r="E93" s="482">
        <v>44.722</v>
      </c>
      <c r="F93" s="482">
        <v>44.4</v>
      </c>
      <c r="G93" s="482">
        <v>44.611</v>
      </c>
      <c r="H93" s="482">
        <v>44.99</v>
      </c>
      <c r="I93" s="482">
        <v>45.575</v>
      </c>
      <c r="J93" s="482">
        <v>46.408</v>
      </c>
      <c r="K93" s="482">
        <v>47.054</v>
      </c>
      <c r="L93" s="482">
        <v>46.602</v>
      </c>
      <c r="M93" s="482">
        <v>45.707</v>
      </c>
      <c r="N93" s="482">
        <v>46.56</v>
      </c>
      <c r="O93" s="482">
        <v>48.269</v>
      </c>
      <c r="P93" s="482">
        <v>49.037</v>
      </c>
      <c r="Q93" s="482">
        <v>50.026</v>
      </c>
      <c r="R93" s="482">
        <v>50.19</v>
      </c>
      <c r="S93" s="482">
        <v>48.693</v>
      </c>
      <c r="T93" s="482">
        <v>45.746</v>
      </c>
    </row>
    <row r="94" hidden="1" outlineLevel="1">
      <c r="A94" s="481" t="s">
        <v>572</v>
      </c>
      <c r="B94" s="447" t="s">
        <v>598</v>
      </c>
      <c r="C94" s="482">
        <v>71.609</v>
      </c>
      <c r="D94" s="482">
        <v>68.889</v>
      </c>
      <c r="E94" s="482">
        <v>66.531</v>
      </c>
      <c r="F94" s="482">
        <v>65.002</v>
      </c>
      <c r="G94" s="482">
        <v>65.861</v>
      </c>
      <c r="H94" s="482">
        <v>65.884</v>
      </c>
      <c r="I94" s="482">
        <v>66.05</v>
      </c>
      <c r="J94" s="482">
        <v>66.334</v>
      </c>
      <c r="K94" s="482">
        <v>67.084</v>
      </c>
      <c r="L94" s="482">
        <v>66.237</v>
      </c>
      <c r="M94" s="482">
        <v>65.808</v>
      </c>
      <c r="N94" s="482">
        <v>67.338</v>
      </c>
      <c r="O94" s="482">
        <v>69.899</v>
      </c>
      <c r="P94" s="482">
        <v>71.662</v>
      </c>
      <c r="Q94" s="482">
        <v>73.79</v>
      </c>
      <c r="R94" s="482">
        <v>74.099</v>
      </c>
      <c r="S94" s="482">
        <v>71.011</v>
      </c>
      <c r="T94" s="482">
        <v>68.961</v>
      </c>
    </row>
    <row r="95" hidden="1" outlineLevel="1">
      <c r="A95" s="481" t="s">
        <v>573</v>
      </c>
      <c r="B95" s="447" t="s">
        <v>598</v>
      </c>
      <c r="C95" s="482">
        <v>60.972</v>
      </c>
      <c r="D95" s="482">
        <v>59.73</v>
      </c>
      <c r="E95" s="482">
        <v>57.502</v>
      </c>
      <c r="F95" s="482">
        <v>57.868</v>
      </c>
      <c r="G95" s="482">
        <v>57.031</v>
      </c>
      <c r="H95" s="482">
        <v>55.599</v>
      </c>
      <c r="I95" s="482">
        <v>56.02</v>
      </c>
      <c r="J95" s="482">
        <v>55.77</v>
      </c>
      <c r="K95" s="482">
        <v>58.291</v>
      </c>
      <c r="L95" s="482">
        <v>56.649</v>
      </c>
      <c r="M95" s="482">
        <v>56.546</v>
      </c>
      <c r="N95" s="482">
        <v>57.016</v>
      </c>
      <c r="O95" s="482">
        <v>61.323</v>
      </c>
      <c r="P95" s="482">
        <v>60.839</v>
      </c>
      <c r="Q95" s="482">
        <v>64.353</v>
      </c>
      <c r="R95" s="482">
        <v>63.722</v>
      </c>
      <c r="S95" s="482">
        <v>61.663</v>
      </c>
      <c r="T95" s="482">
        <v>58.953</v>
      </c>
    </row>
    <row r="96" hidden="1" outlineLevel="1">
      <c r="A96" s="481" t="s">
        <v>574</v>
      </c>
      <c r="B96" s="447" t="s">
        <v>598</v>
      </c>
      <c r="C96" s="482">
        <v>53.39</v>
      </c>
      <c r="D96" s="482">
        <v>50.962</v>
      </c>
      <c r="E96" s="482">
        <v>50.959</v>
      </c>
      <c r="F96" s="482">
        <v>47.68</v>
      </c>
      <c r="G96" s="482">
        <v>49.193</v>
      </c>
      <c r="H96" s="482">
        <v>48.701</v>
      </c>
      <c r="I96" s="482">
        <v>47.595</v>
      </c>
      <c r="J96" s="482">
        <v>47.22</v>
      </c>
      <c r="K96" s="482">
        <v>48.905</v>
      </c>
      <c r="L96" s="482">
        <v>47.423</v>
      </c>
      <c r="M96" s="482">
        <v>46.678</v>
      </c>
      <c r="N96" s="482">
        <v>48.938</v>
      </c>
      <c r="O96" s="482">
        <v>50.784</v>
      </c>
      <c r="P96" s="482">
        <v>53.09</v>
      </c>
      <c r="Q96" s="482">
        <v>57.025</v>
      </c>
      <c r="R96" s="482">
        <v>55.937</v>
      </c>
      <c r="S96" s="482">
        <v>53.692</v>
      </c>
      <c r="T96" s="482">
        <v>53.741</v>
      </c>
    </row>
    <row r="97" hidden="1" outlineLevel="1">
      <c r="A97" s="481" t="s">
        <v>575</v>
      </c>
      <c r="B97" s="447" t="s">
        <v>598</v>
      </c>
      <c r="C97" s="482">
        <v>85.54</v>
      </c>
      <c r="D97" s="482">
        <v>85.273</v>
      </c>
      <c r="E97" s="482">
        <v>83.193</v>
      </c>
      <c r="F97" s="482">
        <v>82.174</v>
      </c>
      <c r="G97" s="482">
        <v>79.577</v>
      </c>
      <c r="H97" s="482">
        <v>79.042</v>
      </c>
      <c r="I97" s="482">
        <v>77.594</v>
      </c>
      <c r="J97" s="482">
        <v>76.866</v>
      </c>
      <c r="K97" s="482">
        <v>78.081</v>
      </c>
      <c r="L97" s="482">
        <v>76.028</v>
      </c>
      <c r="M97" s="482">
        <v>75.588</v>
      </c>
      <c r="N97" s="482">
        <v>78.254</v>
      </c>
      <c r="O97" s="482">
        <v>85.674</v>
      </c>
      <c r="P97" s="482">
        <v>89.428</v>
      </c>
      <c r="Q97" s="482">
        <v>93.254</v>
      </c>
      <c r="R97" s="482">
        <v>94.025</v>
      </c>
      <c r="S97" s="482">
        <v>95.186</v>
      </c>
      <c r="T97" s="482">
        <v>95.806</v>
      </c>
    </row>
    <row r="98" hidden="1" outlineLevel="1">
      <c r="A98" s="481" t="s">
        <v>576</v>
      </c>
      <c r="B98" s="447" t="s">
        <v>598</v>
      </c>
      <c r="C98" s="482">
        <v>66.524</v>
      </c>
      <c r="D98" s="482">
        <v>65.3</v>
      </c>
      <c r="E98" s="482">
        <v>64.717</v>
      </c>
      <c r="F98" s="482">
        <v>62.27</v>
      </c>
      <c r="G98" s="482">
        <v>60.883</v>
      </c>
      <c r="H98" s="482">
        <v>57.487</v>
      </c>
      <c r="I98" s="482">
        <v>55.028</v>
      </c>
      <c r="J98" s="482">
        <v>56.059</v>
      </c>
      <c r="K98" s="482">
        <v>57.362</v>
      </c>
      <c r="L98" s="482">
        <v>56.256</v>
      </c>
      <c r="M98" s="482">
        <v>58.65</v>
      </c>
      <c r="N98" s="482">
        <v>60.143</v>
      </c>
      <c r="O98" s="482">
        <v>66.119</v>
      </c>
      <c r="P98" s="482">
        <v>74.042</v>
      </c>
      <c r="Q98" s="482">
        <v>80.825</v>
      </c>
      <c r="R98" s="482">
        <v>84.379</v>
      </c>
      <c r="S98" s="482">
        <v>84.746</v>
      </c>
      <c r="T98" s="482">
        <v>84.141</v>
      </c>
    </row>
    <row r="99" hidden="1" outlineLevel="1">
      <c r="A99" s="481" t="s">
        <v>577</v>
      </c>
      <c r="B99" s="447" t="s">
        <v>598</v>
      </c>
      <c r="C99" s="482">
        <v>193.431</v>
      </c>
      <c r="D99" s="482">
        <v>190.621</v>
      </c>
      <c r="E99" s="482">
        <v>176.125</v>
      </c>
      <c r="F99" s="482">
        <v>172.731</v>
      </c>
      <c r="G99" s="482">
        <v>162.693</v>
      </c>
      <c r="H99" s="482">
        <v>156.429</v>
      </c>
      <c r="I99" s="482">
        <v>150.02</v>
      </c>
      <c r="J99" s="482">
        <v>151.815</v>
      </c>
      <c r="K99" s="482">
        <v>155.587</v>
      </c>
      <c r="L99" s="482">
        <v>153.363</v>
      </c>
      <c r="M99" s="482">
        <v>163.757</v>
      </c>
      <c r="N99" s="482">
        <v>183.891</v>
      </c>
      <c r="O99" s="482">
        <v>213.826</v>
      </c>
      <c r="P99" s="482">
        <v>254.712</v>
      </c>
      <c r="Q99" s="482">
        <v>297.73</v>
      </c>
      <c r="R99" s="482">
        <v>325.08</v>
      </c>
      <c r="S99" s="482">
        <v>330.828</v>
      </c>
      <c r="T99" s="482">
        <v>318.903</v>
      </c>
    </row>
    <row r="100" hidden="1" outlineLevel="1">
      <c r="A100" s="481" t="s">
        <v>578</v>
      </c>
      <c r="B100" s="447" t="s">
        <v>598</v>
      </c>
      <c r="C100" s="482">
        <v>143.721</v>
      </c>
      <c r="D100" s="482">
        <v>135.347</v>
      </c>
      <c r="E100" s="482">
        <v>130.017</v>
      </c>
      <c r="F100" s="482">
        <v>121.483</v>
      </c>
      <c r="G100" s="482">
        <v>116.112</v>
      </c>
      <c r="H100" s="482">
        <v>111.202</v>
      </c>
      <c r="I100" s="482">
        <v>107.084</v>
      </c>
      <c r="J100" s="482">
        <v>115.748</v>
      </c>
      <c r="K100" s="482">
        <v>119.506</v>
      </c>
      <c r="L100" s="482">
        <v>124.559</v>
      </c>
      <c r="M100" s="482">
        <v>139.195</v>
      </c>
      <c r="N100" s="482">
        <v>172.78</v>
      </c>
      <c r="O100" s="482">
        <v>236.613</v>
      </c>
      <c r="P100" s="482">
        <v>318.512</v>
      </c>
      <c r="Q100" s="482">
        <v>387.446</v>
      </c>
      <c r="R100" s="482">
        <v>428.486</v>
      </c>
      <c r="S100" s="482">
        <v>361.389</v>
      </c>
      <c r="T100" s="482">
        <v>304.192</v>
      </c>
    </row>
    <row r="101" hidden="1" outlineLevel="1">
      <c r="A101" s="481" t="s">
        <v>579</v>
      </c>
      <c r="B101" s="447" t="s">
        <v>598</v>
      </c>
      <c r="C101" s="482">
        <v>103.347</v>
      </c>
      <c r="D101" s="482">
        <v>100.302</v>
      </c>
      <c r="E101" s="482">
        <v>95.606</v>
      </c>
      <c r="F101" s="482">
        <v>95.557</v>
      </c>
      <c r="G101" s="482">
        <v>91.104</v>
      </c>
      <c r="H101" s="482">
        <v>84.466</v>
      </c>
      <c r="I101" s="482">
        <v>85.288</v>
      </c>
      <c r="J101" s="482">
        <v>95.86</v>
      </c>
      <c r="K101" s="482">
        <v>89.722</v>
      </c>
      <c r="L101" s="482">
        <v>96.871</v>
      </c>
      <c r="M101" s="482">
        <v>118.404</v>
      </c>
      <c r="N101" s="482">
        <v>163.064</v>
      </c>
      <c r="O101" s="482">
        <v>263.024</v>
      </c>
      <c r="P101" s="482">
        <v>351.889</v>
      </c>
      <c r="Q101" s="482">
        <v>450.423</v>
      </c>
      <c r="R101" s="482">
        <v>476.717</v>
      </c>
      <c r="S101" s="482">
        <v>344.622</v>
      </c>
      <c r="T101" s="482">
        <v>325.0</v>
      </c>
    </row>
    <row r="102" hidden="1" outlineLevel="1">
      <c r="A102" s="481" t="s">
        <v>580</v>
      </c>
      <c r="B102" s="447" t="s">
        <v>598</v>
      </c>
      <c r="C102" s="482">
        <v>86.649</v>
      </c>
      <c r="D102" s="482">
        <v>83.004</v>
      </c>
      <c r="E102" s="482">
        <v>72.514</v>
      </c>
      <c r="F102" s="482">
        <v>72.385</v>
      </c>
      <c r="G102" s="482">
        <v>73.344</v>
      </c>
      <c r="H102" s="482">
        <v>65.892</v>
      </c>
      <c r="I102" s="482">
        <v>69.931</v>
      </c>
      <c r="J102" s="482">
        <v>79.686</v>
      </c>
      <c r="K102" s="482">
        <v>76.553</v>
      </c>
      <c r="L102" s="482">
        <v>67.018</v>
      </c>
      <c r="M102" s="482">
        <v>86.675</v>
      </c>
      <c r="N102" s="482">
        <v>108.226</v>
      </c>
      <c r="O102" s="482">
        <v>172.183</v>
      </c>
      <c r="P102" s="482">
        <v>246.421</v>
      </c>
      <c r="Q102" s="482">
        <v>342.343</v>
      </c>
      <c r="R102" s="482">
        <v>387.639</v>
      </c>
      <c r="S102" s="482">
        <v>347.036</v>
      </c>
      <c r="T102" s="482">
        <v>439.903</v>
      </c>
    </row>
    <row r="103" hidden="1" outlineLevel="1">
      <c r="A103" s="481" t="s">
        <v>581</v>
      </c>
      <c r="B103" s="447" t="s">
        <v>598</v>
      </c>
      <c r="C103" s="482">
        <v>82.238</v>
      </c>
      <c r="D103" s="482">
        <v>70.621</v>
      </c>
      <c r="E103" s="482">
        <v>67.272</v>
      </c>
      <c r="F103" s="482">
        <v>64.501</v>
      </c>
      <c r="G103" s="482">
        <v>57.786</v>
      </c>
      <c r="H103" s="482">
        <v>61.693</v>
      </c>
      <c r="I103" s="482">
        <v>56.898</v>
      </c>
      <c r="J103" s="482">
        <v>55.37</v>
      </c>
      <c r="K103" s="482">
        <v>59.741</v>
      </c>
      <c r="L103" s="482">
        <v>59.15</v>
      </c>
      <c r="M103" s="482">
        <v>55.919</v>
      </c>
      <c r="N103" s="482">
        <v>69.211</v>
      </c>
      <c r="O103" s="482">
        <v>87.973</v>
      </c>
      <c r="P103" s="482">
        <v>99.736</v>
      </c>
      <c r="Q103" s="482">
        <v>129.528</v>
      </c>
      <c r="R103" s="482">
        <v>159.041</v>
      </c>
      <c r="S103" s="482">
        <v>162.524</v>
      </c>
      <c r="T103" s="482">
        <v>267.511</v>
      </c>
    </row>
    <row r="104" hidden="1" outlineLevel="1">
      <c r="A104" s="481" t="s">
        <v>582</v>
      </c>
      <c r="B104" s="447" t="s">
        <v>598</v>
      </c>
      <c r="C104" s="482">
        <v>56.526</v>
      </c>
      <c r="D104" s="482">
        <v>43.632</v>
      </c>
      <c r="E104" s="482">
        <v>47.572</v>
      </c>
      <c r="F104" s="482">
        <v>46.405</v>
      </c>
      <c r="G104" s="482">
        <v>52.588</v>
      </c>
      <c r="H104" s="482">
        <v>56.006</v>
      </c>
      <c r="I104" s="482">
        <v>69.148</v>
      </c>
      <c r="J104" s="482">
        <v>60.28</v>
      </c>
      <c r="K104" s="482">
        <v>50.839</v>
      </c>
      <c r="L104" s="482">
        <v>58.523</v>
      </c>
      <c r="M104" s="482">
        <v>54.132</v>
      </c>
      <c r="N104" s="482">
        <v>59.854</v>
      </c>
      <c r="O104" s="482">
        <v>60.015</v>
      </c>
      <c r="P104" s="482">
        <v>61.796</v>
      </c>
      <c r="Q104" s="482">
        <v>68.817</v>
      </c>
      <c r="R104" s="482">
        <v>64.94</v>
      </c>
      <c r="S104" s="482">
        <v>70.795</v>
      </c>
      <c r="T104" s="482">
        <v>85.149</v>
      </c>
    </row>
    <row r="105" hidden="1" outlineLevel="1">
      <c r="A105" s="481" t="s">
        <v>583</v>
      </c>
      <c r="B105" s="447" t="s">
        <v>598</v>
      </c>
      <c r="C105" s="482">
        <v>53.648</v>
      </c>
      <c r="D105" s="482">
        <v>50.586</v>
      </c>
      <c r="E105" s="482">
        <v>63.614</v>
      </c>
      <c r="F105" s="482">
        <v>73.7</v>
      </c>
      <c r="G105" s="482">
        <v>86.797</v>
      </c>
      <c r="H105" s="482">
        <v>76.441</v>
      </c>
      <c r="I105" s="482">
        <v>87.858</v>
      </c>
      <c r="J105" s="482">
        <v>82.22</v>
      </c>
      <c r="K105" s="482">
        <v>72.481</v>
      </c>
      <c r="L105" s="482">
        <v>80.583</v>
      </c>
      <c r="M105" s="482">
        <v>80.313</v>
      </c>
      <c r="N105" s="482">
        <v>96.27</v>
      </c>
      <c r="O105" s="482">
        <v>93.236</v>
      </c>
      <c r="P105" s="482">
        <v>85.707</v>
      </c>
      <c r="Q105" s="482">
        <v>86.016</v>
      </c>
      <c r="R105" s="482">
        <v>75.789</v>
      </c>
      <c r="S105" s="482">
        <v>103.183</v>
      </c>
      <c r="T105" s="482">
        <v>109.765</v>
      </c>
    </row>
    <row r="106" hidden="1" outlineLevel="1">
      <c r="A106" s="481" t="s">
        <v>584</v>
      </c>
      <c r="B106" s="447" t="s">
        <v>598</v>
      </c>
      <c r="C106" s="482">
        <v>71.69</v>
      </c>
      <c r="D106" s="482">
        <v>110.828</v>
      </c>
      <c r="E106" s="482">
        <v>117.025</v>
      </c>
      <c r="F106" s="482">
        <v>133.575</v>
      </c>
      <c r="G106" s="482">
        <v>131.137</v>
      </c>
      <c r="H106" s="482">
        <v>99.06</v>
      </c>
      <c r="I106" s="482">
        <v>102.689</v>
      </c>
      <c r="J106" s="482">
        <v>110.389</v>
      </c>
      <c r="K106" s="482">
        <v>86.758</v>
      </c>
      <c r="L106" s="482">
        <v>107.727</v>
      </c>
      <c r="M106" s="482">
        <v>101.314</v>
      </c>
      <c r="N106" s="482">
        <v>89.129</v>
      </c>
      <c r="O106" s="482">
        <v>104.536</v>
      </c>
      <c r="P106" s="482">
        <v>106.239</v>
      </c>
      <c r="Q106" s="482">
        <v>131.066</v>
      </c>
      <c r="R106" s="482">
        <v>163.2</v>
      </c>
      <c r="S106" s="482">
        <v>180.486</v>
      </c>
      <c r="T106" s="482">
        <v>199.397</v>
      </c>
    </row>
    <row r="107" hidden="1" outlineLevel="1">
      <c r="A107" s="481" t="s">
        <v>585</v>
      </c>
      <c r="B107" s="447" t="s">
        <v>598</v>
      </c>
      <c r="C107" s="482">
        <v>112.326</v>
      </c>
      <c r="D107" s="482">
        <v>109.382</v>
      </c>
      <c r="E107" s="482">
        <v>118.511</v>
      </c>
      <c r="F107" s="482">
        <v>103.298</v>
      </c>
      <c r="G107" s="482">
        <v>75.572</v>
      </c>
      <c r="H107" s="482">
        <v>81.236</v>
      </c>
      <c r="I107" s="482">
        <v>66.251</v>
      </c>
      <c r="J107" s="482">
        <v>44.48</v>
      </c>
      <c r="K107" s="482">
        <v>60.864</v>
      </c>
      <c r="L107" s="482">
        <v>176.487</v>
      </c>
      <c r="M107" s="482">
        <v>183.927</v>
      </c>
      <c r="N107" s="482">
        <v>93.727</v>
      </c>
      <c r="O107" s="482">
        <v>71.911</v>
      </c>
      <c r="P107" s="482">
        <v>69.168</v>
      </c>
      <c r="Q107" s="482">
        <v>96.734</v>
      </c>
      <c r="R107" s="482">
        <v>124.645</v>
      </c>
      <c r="S107" s="482">
        <v>119.034</v>
      </c>
      <c r="T107" s="482">
        <v>141.542</v>
      </c>
    </row>
    <row r="108" hidden="1" outlineLevel="1">
      <c r="A108" s="481" t="s">
        <v>563</v>
      </c>
      <c r="B108" s="447" t="s">
        <v>599</v>
      </c>
      <c r="C108" s="482">
        <v>5.108</v>
      </c>
      <c r="D108" s="482">
        <v>5.52</v>
      </c>
      <c r="E108" s="482">
        <v>5.378</v>
      </c>
      <c r="F108" s="482">
        <v>5.412</v>
      </c>
      <c r="G108" s="482">
        <v>5.516</v>
      </c>
      <c r="H108" s="482">
        <v>5.801</v>
      </c>
      <c r="I108" s="482">
        <v>5.932</v>
      </c>
      <c r="J108" s="482">
        <v>5.491</v>
      </c>
      <c r="K108" s="482">
        <v>6.417</v>
      </c>
      <c r="L108" s="482">
        <v>6.46</v>
      </c>
      <c r="M108" s="482">
        <v>7.413</v>
      </c>
      <c r="N108" s="482">
        <v>7.431</v>
      </c>
      <c r="O108" s="482">
        <v>7.538</v>
      </c>
      <c r="P108" s="482">
        <v>7.582</v>
      </c>
      <c r="Q108" s="482">
        <v>7.991</v>
      </c>
      <c r="R108" s="482">
        <v>7.543</v>
      </c>
      <c r="S108" s="482">
        <v>7.229</v>
      </c>
      <c r="T108" s="482">
        <v>6.285</v>
      </c>
    </row>
    <row r="109" hidden="1" outlineLevel="1">
      <c r="A109" s="481" t="s">
        <v>565</v>
      </c>
      <c r="B109" s="447" t="s">
        <v>599</v>
      </c>
      <c r="C109" s="482">
        <v>8.833</v>
      </c>
      <c r="D109" s="482">
        <v>9.004</v>
      </c>
      <c r="E109" s="482">
        <v>9.38</v>
      </c>
      <c r="F109" s="482">
        <v>9.041</v>
      </c>
      <c r="G109" s="482">
        <v>9.141</v>
      </c>
      <c r="H109" s="482">
        <v>9.251</v>
      </c>
      <c r="I109" s="482">
        <v>9.45</v>
      </c>
      <c r="J109" s="482">
        <v>9.25</v>
      </c>
      <c r="K109" s="482">
        <v>10.891</v>
      </c>
      <c r="L109" s="482">
        <v>10.257</v>
      </c>
      <c r="M109" s="482">
        <v>10.616</v>
      </c>
      <c r="N109" s="482">
        <v>11.031</v>
      </c>
      <c r="O109" s="482">
        <v>11.309</v>
      </c>
      <c r="P109" s="482">
        <v>11.253</v>
      </c>
      <c r="Q109" s="482">
        <v>11.467</v>
      </c>
      <c r="R109" s="482">
        <v>10.877</v>
      </c>
      <c r="S109" s="482">
        <v>10.253</v>
      </c>
      <c r="T109" s="482">
        <v>9.534</v>
      </c>
    </row>
    <row r="110" hidden="1" outlineLevel="1">
      <c r="A110" s="481" t="s">
        <v>566</v>
      </c>
      <c r="B110" s="447" t="s">
        <v>599</v>
      </c>
      <c r="C110" s="482">
        <v>20.67</v>
      </c>
      <c r="D110" s="482">
        <v>20.628</v>
      </c>
      <c r="E110" s="482">
        <v>20.786</v>
      </c>
      <c r="F110" s="482">
        <v>21.333</v>
      </c>
      <c r="G110" s="482">
        <v>21.28</v>
      </c>
      <c r="H110" s="482">
        <v>22.064</v>
      </c>
      <c r="I110" s="482">
        <v>22.138</v>
      </c>
      <c r="J110" s="482">
        <v>22.591</v>
      </c>
      <c r="K110" s="482">
        <v>24.636</v>
      </c>
      <c r="L110" s="482">
        <v>24.697</v>
      </c>
      <c r="M110" s="482">
        <v>24.659</v>
      </c>
      <c r="N110" s="482">
        <v>25.865</v>
      </c>
      <c r="O110" s="482">
        <v>26.635</v>
      </c>
      <c r="P110" s="482">
        <v>26.444</v>
      </c>
      <c r="Q110" s="482">
        <v>27.064</v>
      </c>
      <c r="R110" s="482">
        <v>26.607</v>
      </c>
      <c r="S110" s="482">
        <v>25.64</v>
      </c>
      <c r="T110" s="482">
        <v>24.849</v>
      </c>
    </row>
    <row r="111" hidden="1" outlineLevel="1">
      <c r="A111" s="481" t="s">
        <v>567</v>
      </c>
      <c r="B111" s="447" t="s">
        <v>599</v>
      </c>
      <c r="C111" s="482">
        <v>23.052</v>
      </c>
      <c r="D111" s="482">
        <v>23.441</v>
      </c>
      <c r="E111" s="482">
        <v>24.402</v>
      </c>
      <c r="F111" s="482">
        <v>23.716</v>
      </c>
      <c r="G111" s="482">
        <v>24.235</v>
      </c>
      <c r="H111" s="482">
        <v>25.192</v>
      </c>
      <c r="I111" s="482">
        <v>26.895</v>
      </c>
      <c r="J111" s="482">
        <v>27.253</v>
      </c>
      <c r="K111" s="482">
        <v>29.003</v>
      </c>
      <c r="L111" s="482">
        <v>28.811</v>
      </c>
      <c r="M111" s="482">
        <v>29.703</v>
      </c>
      <c r="N111" s="482">
        <v>29.658</v>
      </c>
      <c r="O111" s="482">
        <v>30.32</v>
      </c>
      <c r="P111" s="482">
        <v>30.628</v>
      </c>
      <c r="Q111" s="482">
        <v>31.629</v>
      </c>
      <c r="R111" s="482">
        <v>31.775</v>
      </c>
      <c r="S111" s="482">
        <v>31.145</v>
      </c>
      <c r="T111" s="482">
        <v>29.995</v>
      </c>
    </row>
    <row r="112" hidden="1" outlineLevel="1">
      <c r="A112" s="481" t="s">
        <v>568</v>
      </c>
      <c r="B112" s="447" t="s">
        <v>599</v>
      </c>
      <c r="C112" s="482">
        <v>24.818</v>
      </c>
      <c r="D112" s="482">
        <v>25.788</v>
      </c>
      <c r="E112" s="482">
        <v>24.846</v>
      </c>
      <c r="F112" s="482">
        <v>25.666</v>
      </c>
      <c r="G112" s="482">
        <v>25.645</v>
      </c>
      <c r="H112" s="482">
        <v>26.108</v>
      </c>
      <c r="I112" s="482">
        <v>27.586</v>
      </c>
      <c r="J112" s="482">
        <v>27.498</v>
      </c>
      <c r="K112" s="482">
        <v>27.888</v>
      </c>
      <c r="L112" s="482">
        <v>27.636</v>
      </c>
      <c r="M112" s="482">
        <v>29.147</v>
      </c>
      <c r="N112" s="482">
        <v>29.492</v>
      </c>
      <c r="O112" s="482">
        <v>29.771</v>
      </c>
      <c r="P112" s="482">
        <v>30.654</v>
      </c>
      <c r="Q112" s="482">
        <v>31.793</v>
      </c>
      <c r="R112" s="482">
        <v>32.073</v>
      </c>
      <c r="S112" s="482">
        <v>31.304</v>
      </c>
      <c r="T112" s="482">
        <v>30.603</v>
      </c>
    </row>
    <row r="113" hidden="1" outlineLevel="1">
      <c r="A113" s="481" t="s">
        <v>569</v>
      </c>
      <c r="B113" s="447" t="s">
        <v>599</v>
      </c>
      <c r="C113" s="482">
        <v>24.838</v>
      </c>
      <c r="D113" s="482">
        <v>25.094</v>
      </c>
      <c r="E113" s="482">
        <v>24.857</v>
      </c>
      <c r="F113" s="482">
        <v>24.15</v>
      </c>
      <c r="G113" s="482">
        <v>24.371</v>
      </c>
      <c r="H113" s="482">
        <v>24.769</v>
      </c>
      <c r="I113" s="482">
        <v>24.569</v>
      </c>
      <c r="J113" s="482">
        <v>25.385</v>
      </c>
      <c r="K113" s="482">
        <v>25.875</v>
      </c>
      <c r="L113" s="482">
        <v>26.663</v>
      </c>
      <c r="M113" s="482">
        <v>26.269</v>
      </c>
      <c r="N113" s="482">
        <v>27.526</v>
      </c>
      <c r="O113" s="482">
        <v>28.595</v>
      </c>
      <c r="P113" s="482">
        <v>29.026</v>
      </c>
      <c r="Q113" s="482">
        <v>30.261</v>
      </c>
      <c r="R113" s="482">
        <v>30.441</v>
      </c>
      <c r="S113" s="482">
        <v>31.2</v>
      </c>
      <c r="T113" s="482">
        <v>29.061</v>
      </c>
    </row>
    <row r="114" hidden="1" outlineLevel="1">
      <c r="A114" s="481" t="s">
        <v>570</v>
      </c>
      <c r="B114" s="447" t="s">
        <v>599</v>
      </c>
      <c r="C114" s="482">
        <v>22.634</v>
      </c>
      <c r="D114" s="482">
        <v>22.528</v>
      </c>
      <c r="E114" s="482">
        <v>22.287</v>
      </c>
      <c r="F114" s="482">
        <v>22.139</v>
      </c>
      <c r="G114" s="482">
        <v>21.935</v>
      </c>
      <c r="H114" s="482">
        <v>22.75</v>
      </c>
      <c r="I114" s="482">
        <v>23.436</v>
      </c>
      <c r="J114" s="482">
        <v>23.062</v>
      </c>
      <c r="K114" s="482">
        <v>24.127</v>
      </c>
      <c r="L114" s="482">
        <v>23.058</v>
      </c>
      <c r="M114" s="482">
        <v>24.941</v>
      </c>
      <c r="N114" s="482">
        <v>25.731</v>
      </c>
      <c r="O114" s="482">
        <v>27.486</v>
      </c>
      <c r="P114" s="482">
        <v>27.984</v>
      </c>
      <c r="Q114" s="482">
        <v>28.666</v>
      </c>
      <c r="R114" s="482">
        <v>28.884</v>
      </c>
      <c r="S114" s="482">
        <v>29.393</v>
      </c>
      <c r="T114" s="482">
        <v>28.48</v>
      </c>
    </row>
    <row r="115" hidden="1" outlineLevel="1">
      <c r="A115" s="481" t="s">
        <v>571</v>
      </c>
      <c r="B115" s="447" t="s">
        <v>599</v>
      </c>
      <c r="C115" s="482">
        <v>28.791</v>
      </c>
      <c r="D115" s="482">
        <v>28.812</v>
      </c>
      <c r="E115" s="482">
        <v>29.067</v>
      </c>
      <c r="F115" s="482">
        <v>27.738</v>
      </c>
      <c r="G115" s="482">
        <v>28.712</v>
      </c>
      <c r="H115" s="482">
        <v>29.813</v>
      </c>
      <c r="I115" s="482">
        <v>30.653</v>
      </c>
      <c r="J115" s="482">
        <v>30.916</v>
      </c>
      <c r="K115" s="482">
        <v>31.465</v>
      </c>
      <c r="L115" s="482">
        <v>31.976</v>
      </c>
      <c r="M115" s="482">
        <v>33.908</v>
      </c>
      <c r="N115" s="482">
        <v>35.073</v>
      </c>
      <c r="O115" s="482">
        <v>37.96</v>
      </c>
      <c r="P115" s="482">
        <v>38.558</v>
      </c>
      <c r="Q115" s="482">
        <v>40.442</v>
      </c>
      <c r="R115" s="482">
        <v>41.9</v>
      </c>
      <c r="S115" s="482">
        <v>42.603</v>
      </c>
      <c r="T115" s="482">
        <v>40.814</v>
      </c>
    </row>
    <row r="116" hidden="1" outlineLevel="1">
      <c r="A116" s="481" t="s">
        <v>572</v>
      </c>
      <c r="B116" s="447" t="s">
        <v>599</v>
      </c>
      <c r="C116" s="482">
        <v>43.903</v>
      </c>
      <c r="D116" s="482">
        <v>43.714</v>
      </c>
      <c r="E116" s="482">
        <v>42.3</v>
      </c>
      <c r="F116" s="482">
        <v>41.255</v>
      </c>
      <c r="G116" s="482">
        <v>42.739</v>
      </c>
      <c r="H116" s="482">
        <v>43.185</v>
      </c>
      <c r="I116" s="482">
        <v>42.605</v>
      </c>
      <c r="J116" s="482">
        <v>43.78</v>
      </c>
      <c r="K116" s="482">
        <v>45.85</v>
      </c>
      <c r="L116" s="482">
        <v>46.756</v>
      </c>
      <c r="M116" s="482">
        <v>47.737</v>
      </c>
      <c r="N116" s="482">
        <v>52.578</v>
      </c>
      <c r="O116" s="482">
        <v>56.967</v>
      </c>
      <c r="P116" s="482">
        <v>60.43</v>
      </c>
      <c r="Q116" s="482">
        <v>62.921</v>
      </c>
      <c r="R116" s="482">
        <v>65.275</v>
      </c>
      <c r="S116" s="482">
        <v>64.769</v>
      </c>
      <c r="T116" s="482">
        <v>64.651</v>
      </c>
    </row>
    <row r="117" hidden="1" outlineLevel="1">
      <c r="A117" s="481" t="s">
        <v>573</v>
      </c>
      <c r="B117" s="447" t="s">
        <v>599</v>
      </c>
      <c r="C117" s="482">
        <v>37.047</v>
      </c>
      <c r="D117" s="482">
        <v>36.946</v>
      </c>
      <c r="E117" s="482">
        <v>37.259</v>
      </c>
      <c r="F117" s="482">
        <v>37.125</v>
      </c>
      <c r="G117" s="482">
        <v>37.103</v>
      </c>
      <c r="H117" s="482">
        <v>36.96</v>
      </c>
      <c r="I117" s="482">
        <v>38.049</v>
      </c>
      <c r="J117" s="482">
        <v>38.4</v>
      </c>
      <c r="K117" s="482">
        <v>40.47</v>
      </c>
      <c r="L117" s="482">
        <v>41.653</v>
      </c>
      <c r="M117" s="482">
        <v>42.276</v>
      </c>
      <c r="N117" s="482">
        <v>45.48</v>
      </c>
      <c r="O117" s="482">
        <v>51.333</v>
      </c>
      <c r="P117" s="482">
        <v>51.188</v>
      </c>
      <c r="Q117" s="482">
        <v>56.891</v>
      </c>
      <c r="R117" s="482">
        <v>62.18</v>
      </c>
      <c r="S117" s="482">
        <v>60.684</v>
      </c>
      <c r="T117" s="482">
        <v>62.161</v>
      </c>
    </row>
    <row r="118" hidden="1" outlineLevel="1">
      <c r="A118" s="481" t="s">
        <v>574</v>
      </c>
      <c r="B118" s="447" t="s">
        <v>599</v>
      </c>
      <c r="C118" s="482">
        <v>30.942</v>
      </c>
      <c r="D118" s="482">
        <v>31.395</v>
      </c>
      <c r="E118" s="482">
        <v>32.072</v>
      </c>
      <c r="F118" s="482">
        <v>30.384</v>
      </c>
      <c r="G118" s="482">
        <v>33.295</v>
      </c>
      <c r="H118" s="482">
        <v>32.467</v>
      </c>
      <c r="I118" s="482">
        <v>32.966</v>
      </c>
      <c r="J118" s="482">
        <v>33.778</v>
      </c>
      <c r="K118" s="482">
        <v>35.253</v>
      </c>
      <c r="L118" s="482">
        <v>34.892</v>
      </c>
      <c r="M118" s="482">
        <v>36.637</v>
      </c>
      <c r="N118" s="482">
        <v>41.192</v>
      </c>
      <c r="O118" s="482">
        <v>45.279</v>
      </c>
      <c r="P118" s="482">
        <v>48.339</v>
      </c>
      <c r="Q118" s="482">
        <v>52.38</v>
      </c>
      <c r="R118" s="482">
        <v>55.185</v>
      </c>
      <c r="S118" s="482">
        <v>57.227</v>
      </c>
      <c r="T118" s="482">
        <v>57.617</v>
      </c>
    </row>
    <row r="119" hidden="1" outlineLevel="1">
      <c r="A119" s="481" t="s">
        <v>575</v>
      </c>
      <c r="B119" s="447" t="s">
        <v>599</v>
      </c>
      <c r="C119" s="482">
        <v>51.461</v>
      </c>
      <c r="D119" s="482">
        <v>53.658</v>
      </c>
      <c r="E119" s="482">
        <v>51.732</v>
      </c>
      <c r="F119" s="482">
        <v>51.446</v>
      </c>
      <c r="G119" s="482">
        <v>51.119</v>
      </c>
      <c r="H119" s="482">
        <v>54.242</v>
      </c>
      <c r="I119" s="482">
        <v>55.019</v>
      </c>
      <c r="J119" s="482">
        <v>54.986</v>
      </c>
      <c r="K119" s="482">
        <v>58.918</v>
      </c>
      <c r="L119" s="482">
        <v>59.762</v>
      </c>
      <c r="M119" s="482">
        <v>60.869</v>
      </c>
      <c r="N119" s="482">
        <v>68.23</v>
      </c>
      <c r="O119" s="482">
        <v>78.343</v>
      </c>
      <c r="P119" s="482">
        <v>86.688</v>
      </c>
      <c r="Q119" s="482">
        <v>97.147</v>
      </c>
      <c r="R119" s="482">
        <v>103.094</v>
      </c>
      <c r="S119" s="482">
        <v>112.705</v>
      </c>
      <c r="T119" s="482">
        <v>118.184</v>
      </c>
    </row>
    <row r="120" hidden="1" outlineLevel="1">
      <c r="A120" s="481" t="s">
        <v>576</v>
      </c>
      <c r="B120" s="447" t="s">
        <v>599</v>
      </c>
      <c r="C120" s="482">
        <v>42.276</v>
      </c>
      <c r="D120" s="482">
        <v>44.772</v>
      </c>
      <c r="E120" s="482">
        <v>44.003</v>
      </c>
      <c r="F120" s="482">
        <v>42.956</v>
      </c>
      <c r="G120" s="482">
        <v>41.753</v>
      </c>
      <c r="H120" s="482">
        <v>41.468</v>
      </c>
      <c r="I120" s="482">
        <v>41.722</v>
      </c>
      <c r="J120" s="482">
        <v>44.3</v>
      </c>
      <c r="K120" s="482">
        <v>44.522</v>
      </c>
      <c r="L120" s="482">
        <v>44.766</v>
      </c>
      <c r="M120" s="482">
        <v>50.338</v>
      </c>
      <c r="N120" s="482">
        <v>54.819</v>
      </c>
      <c r="O120" s="482">
        <v>64.154</v>
      </c>
      <c r="P120" s="482">
        <v>74.897</v>
      </c>
      <c r="Q120" s="482">
        <v>86.124</v>
      </c>
      <c r="R120" s="482">
        <v>101.596</v>
      </c>
      <c r="S120" s="482">
        <v>109.527</v>
      </c>
      <c r="T120" s="482">
        <v>114.241</v>
      </c>
    </row>
    <row r="121" hidden="1" outlineLevel="1">
      <c r="A121" s="481" t="s">
        <v>577</v>
      </c>
      <c r="B121" s="447" t="s">
        <v>599</v>
      </c>
      <c r="C121" s="482">
        <v>141.203</v>
      </c>
      <c r="D121" s="482">
        <v>143.62</v>
      </c>
      <c r="E121" s="482">
        <v>133.341</v>
      </c>
      <c r="F121" s="482">
        <v>127.727</v>
      </c>
      <c r="G121" s="482">
        <v>122.7</v>
      </c>
      <c r="H121" s="482">
        <v>120.209</v>
      </c>
      <c r="I121" s="482">
        <v>116.122</v>
      </c>
      <c r="J121" s="482">
        <v>121.424</v>
      </c>
      <c r="K121" s="482">
        <v>132.217</v>
      </c>
      <c r="L121" s="482">
        <v>132.625</v>
      </c>
      <c r="M121" s="482">
        <v>153.714</v>
      </c>
      <c r="N121" s="482">
        <v>183.732</v>
      </c>
      <c r="O121" s="482">
        <v>232.163</v>
      </c>
      <c r="P121" s="482">
        <v>305.176</v>
      </c>
      <c r="Q121" s="482">
        <v>384.34</v>
      </c>
      <c r="R121" s="482">
        <v>445.898</v>
      </c>
      <c r="S121" s="482">
        <v>491.24</v>
      </c>
      <c r="T121" s="482">
        <v>491.869</v>
      </c>
    </row>
    <row r="122" hidden="1" outlineLevel="1">
      <c r="A122" s="481" t="s">
        <v>578</v>
      </c>
      <c r="B122" s="447" t="s">
        <v>599</v>
      </c>
      <c r="C122" s="482">
        <v>128.895</v>
      </c>
      <c r="D122" s="482">
        <v>124.841</v>
      </c>
      <c r="E122" s="482">
        <v>112.793</v>
      </c>
      <c r="F122" s="482">
        <v>106.226</v>
      </c>
      <c r="G122" s="482">
        <v>101.875</v>
      </c>
      <c r="H122" s="482">
        <v>95.464</v>
      </c>
      <c r="I122" s="482">
        <v>95.466</v>
      </c>
      <c r="J122" s="482">
        <v>108.852</v>
      </c>
      <c r="K122" s="482">
        <v>110.969</v>
      </c>
      <c r="L122" s="482">
        <v>116.573</v>
      </c>
      <c r="M122" s="482">
        <v>128.468</v>
      </c>
      <c r="N122" s="482">
        <v>181.048</v>
      </c>
      <c r="O122" s="482">
        <v>282.237</v>
      </c>
      <c r="P122" s="482">
        <v>420.329</v>
      </c>
      <c r="Q122" s="482">
        <v>554.741</v>
      </c>
      <c r="R122" s="482">
        <v>658.032</v>
      </c>
      <c r="S122" s="482">
        <v>615.198</v>
      </c>
      <c r="T122" s="482">
        <v>532.448</v>
      </c>
    </row>
    <row r="123" hidden="1" outlineLevel="1">
      <c r="A123" s="481" t="s">
        <v>579</v>
      </c>
      <c r="B123" s="447" t="s">
        <v>599</v>
      </c>
      <c r="C123" s="482">
        <v>117.356</v>
      </c>
      <c r="D123" s="482">
        <v>116.051</v>
      </c>
      <c r="E123" s="482">
        <v>97.641</v>
      </c>
      <c r="F123" s="482">
        <v>98.458</v>
      </c>
      <c r="G123" s="482">
        <v>94.933</v>
      </c>
      <c r="H123" s="482">
        <v>84.29</v>
      </c>
      <c r="I123" s="482">
        <v>86.334</v>
      </c>
      <c r="J123" s="482">
        <v>97.338</v>
      </c>
      <c r="K123" s="482">
        <v>94.538</v>
      </c>
      <c r="L123" s="482">
        <v>93.209</v>
      </c>
      <c r="M123" s="482">
        <v>122.224</v>
      </c>
      <c r="N123" s="482">
        <v>195.234</v>
      </c>
      <c r="O123" s="482">
        <v>354.162</v>
      </c>
      <c r="P123" s="482">
        <v>529.039</v>
      </c>
      <c r="Q123" s="482">
        <v>719.955</v>
      </c>
      <c r="R123" s="482">
        <v>836.792</v>
      </c>
      <c r="S123" s="482">
        <v>663.502</v>
      </c>
      <c r="T123" s="482">
        <v>615.569</v>
      </c>
    </row>
    <row r="124" hidden="1" outlineLevel="1">
      <c r="A124" s="481" t="s">
        <v>580</v>
      </c>
      <c r="B124" s="447" t="s">
        <v>599</v>
      </c>
      <c r="C124" s="482">
        <v>108.461</v>
      </c>
      <c r="D124" s="482">
        <v>107.516</v>
      </c>
      <c r="E124" s="482">
        <v>96.699</v>
      </c>
      <c r="F124" s="482">
        <v>94.738</v>
      </c>
      <c r="G124" s="482">
        <v>83.199</v>
      </c>
      <c r="H124" s="482">
        <v>73.359</v>
      </c>
      <c r="I124" s="482">
        <v>71.804</v>
      </c>
      <c r="J124" s="482">
        <v>90.362</v>
      </c>
      <c r="K124" s="482">
        <v>83.058</v>
      </c>
      <c r="L124" s="482">
        <v>71.841</v>
      </c>
      <c r="M124" s="482">
        <v>98.094</v>
      </c>
      <c r="N124" s="482">
        <v>152.863</v>
      </c>
      <c r="O124" s="482">
        <v>269.826</v>
      </c>
      <c r="P124" s="482">
        <v>408.371</v>
      </c>
      <c r="Q124" s="482">
        <v>574.468</v>
      </c>
      <c r="R124" s="482">
        <v>740.846</v>
      </c>
      <c r="S124" s="482">
        <v>681.508</v>
      </c>
      <c r="T124" s="482">
        <v>822.579</v>
      </c>
    </row>
    <row r="125" hidden="1" outlineLevel="1">
      <c r="A125" s="481" t="s">
        <v>581</v>
      </c>
      <c r="B125" s="447" t="s">
        <v>599</v>
      </c>
      <c r="C125" s="482">
        <v>110.413</v>
      </c>
      <c r="D125" s="482">
        <v>101.679</v>
      </c>
      <c r="E125" s="482">
        <v>87.551</v>
      </c>
      <c r="F125" s="482">
        <v>79.23</v>
      </c>
      <c r="G125" s="482">
        <v>71.412</v>
      </c>
      <c r="H125" s="482">
        <v>78.219</v>
      </c>
      <c r="I125" s="482">
        <v>75.443</v>
      </c>
      <c r="J125" s="482">
        <v>67.27</v>
      </c>
      <c r="K125" s="482">
        <v>77.147</v>
      </c>
      <c r="L125" s="482">
        <v>78.146</v>
      </c>
      <c r="M125" s="482">
        <v>72.984</v>
      </c>
      <c r="N125" s="482">
        <v>107.875</v>
      </c>
      <c r="O125" s="482">
        <v>149.662</v>
      </c>
      <c r="P125" s="482">
        <v>157.588</v>
      </c>
      <c r="Q125" s="482">
        <v>218.649</v>
      </c>
      <c r="R125" s="482">
        <v>306.016</v>
      </c>
      <c r="S125" s="482">
        <v>295.507</v>
      </c>
      <c r="T125" s="482">
        <v>523.589</v>
      </c>
    </row>
    <row r="126" hidden="1" outlineLevel="1">
      <c r="A126" s="481" t="s">
        <v>582</v>
      </c>
      <c r="B126" s="447" t="s">
        <v>599</v>
      </c>
      <c r="C126" s="482">
        <v>70.077</v>
      </c>
      <c r="D126" s="482">
        <v>52.831</v>
      </c>
      <c r="E126" s="482">
        <v>61.53</v>
      </c>
      <c r="F126" s="482">
        <v>68.268</v>
      </c>
      <c r="G126" s="482">
        <v>76.762</v>
      </c>
      <c r="H126" s="482">
        <v>81.703</v>
      </c>
      <c r="I126" s="482">
        <v>94.893</v>
      </c>
      <c r="J126" s="482">
        <v>81.798</v>
      </c>
      <c r="K126" s="482">
        <v>65.912</v>
      </c>
      <c r="L126" s="482">
        <v>75.985</v>
      </c>
      <c r="M126" s="482">
        <v>60.569</v>
      </c>
      <c r="N126" s="482">
        <v>69.085</v>
      </c>
      <c r="O126" s="482">
        <v>66.874</v>
      </c>
      <c r="P126" s="482">
        <v>67.888</v>
      </c>
      <c r="Q126" s="482">
        <v>73.976</v>
      </c>
      <c r="R126" s="482">
        <v>69.624</v>
      </c>
      <c r="S126" s="482">
        <v>88.78</v>
      </c>
      <c r="T126" s="482">
        <v>127.246</v>
      </c>
    </row>
    <row r="127" hidden="1" outlineLevel="1">
      <c r="A127" s="481" t="s">
        <v>583</v>
      </c>
      <c r="B127" s="447" t="s">
        <v>599</v>
      </c>
      <c r="C127" s="482">
        <v>78.895</v>
      </c>
      <c r="D127" s="482">
        <v>81.321</v>
      </c>
      <c r="E127" s="482">
        <v>91.925</v>
      </c>
      <c r="F127" s="482">
        <v>100.596</v>
      </c>
      <c r="G127" s="482">
        <v>134.003</v>
      </c>
      <c r="H127" s="482">
        <v>104.0</v>
      </c>
      <c r="I127" s="482">
        <v>114.875</v>
      </c>
      <c r="J127" s="482">
        <v>105.751</v>
      </c>
      <c r="K127" s="482">
        <v>89.941</v>
      </c>
      <c r="L127" s="482">
        <v>83.072</v>
      </c>
      <c r="M127" s="482">
        <v>85.485</v>
      </c>
      <c r="N127" s="482">
        <v>106.718</v>
      </c>
      <c r="O127" s="482">
        <v>101.919</v>
      </c>
      <c r="P127" s="482">
        <v>94.309</v>
      </c>
      <c r="Q127" s="482">
        <v>98.202</v>
      </c>
      <c r="R127" s="482">
        <v>96.061</v>
      </c>
      <c r="S127" s="482">
        <v>123.68</v>
      </c>
      <c r="T127" s="482">
        <v>124.346</v>
      </c>
    </row>
    <row r="128" hidden="1" outlineLevel="1">
      <c r="A128" s="481" t="s">
        <v>584</v>
      </c>
      <c r="B128" s="447" t="s">
        <v>599</v>
      </c>
      <c r="C128" s="482">
        <v>116.421</v>
      </c>
      <c r="D128" s="482">
        <v>164.797</v>
      </c>
      <c r="E128" s="482">
        <v>178.363</v>
      </c>
      <c r="F128" s="482">
        <v>197.25</v>
      </c>
      <c r="G128" s="482">
        <v>171.311</v>
      </c>
      <c r="H128" s="482">
        <v>132.16</v>
      </c>
      <c r="I128" s="482">
        <v>130.629</v>
      </c>
      <c r="J128" s="482">
        <v>143.802</v>
      </c>
      <c r="K128" s="482">
        <v>97.925</v>
      </c>
      <c r="L128" s="482">
        <v>126.56</v>
      </c>
      <c r="M128" s="482">
        <v>134.676</v>
      </c>
      <c r="N128" s="482">
        <v>128.728</v>
      </c>
      <c r="O128" s="482">
        <v>151.634</v>
      </c>
      <c r="P128" s="482">
        <v>131.359</v>
      </c>
      <c r="Q128" s="482">
        <v>154.229</v>
      </c>
      <c r="R128" s="482">
        <v>192.091</v>
      </c>
      <c r="S128" s="482">
        <v>207.546</v>
      </c>
      <c r="T128" s="482">
        <v>214.32</v>
      </c>
    </row>
    <row r="129" hidden="1" outlineLevel="1">
      <c r="A129" s="481" t="s">
        <v>585</v>
      </c>
      <c r="B129" s="447" t="s">
        <v>599</v>
      </c>
      <c r="C129" s="482">
        <v>228.562</v>
      </c>
      <c r="D129" s="482">
        <v>230.165</v>
      </c>
      <c r="E129" s="482">
        <v>201.832</v>
      </c>
      <c r="F129" s="482">
        <v>162.224</v>
      </c>
      <c r="G129" s="482">
        <v>130.578</v>
      </c>
      <c r="H129" s="482">
        <v>124.04</v>
      </c>
      <c r="I129" s="482">
        <v>94.482</v>
      </c>
      <c r="J129" s="482">
        <v>53.922</v>
      </c>
      <c r="K129" s="482">
        <v>50.886</v>
      </c>
      <c r="L129" s="482">
        <v>136.845</v>
      </c>
      <c r="M129" s="482">
        <v>141.261</v>
      </c>
      <c r="N129" s="482">
        <v>64.526</v>
      </c>
      <c r="O129" s="482">
        <v>58.631</v>
      </c>
      <c r="P129" s="482">
        <v>69.705</v>
      </c>
      <c r="Q129" s="482">
        <v>111.154</v>
      </c>
      <c r="R129" s="482">
        <v>155.621</v>
      </c>
      <c r="S129" s="482">
        <v>129.325</v>
      </c>
      <c r="T129" s="482">
        <v>122.105</v>
      </c>
    </row>
    <row r="130" hidden="1" outlineLevel="1">
      <c r="A130" s="481" t="s">
        <v>563</v>
      </c>
      <c r="B130" s="447" t="s">
        <v>600</v>
      </c>
      <c r="C130" s="482">
        <v>71.792</v>
      </c>
      <c r="D130" s="482">
        <v>80.178</v>
      </c>
      <c r="E130" s="482">
        <v>81.83</v>
      </c>
      <c r="F130" s="482">
        <v>85.392</v>
      </c>
      <c r="G130" s="482">
        <v>86.904</v>
      </c>
      <c r="H130" s="482">
        <v>89.549</v>
      </c>
      <c r="I130" s="482">
        <v>95.925</v>
      </c>
      <c r="J130" s="482">
        <v>97.951</v>
      </c>
      <c r="K130" s="482">
        <v>107.734</v>
      </c>
      <c r="L130" s="482">
        <v>110.499</v>
      </c>
      <c r="M130" s="482">
        <v>115.724</v>
      </c>
      <c r="N130" s="482">
        <v>120.451</v>
      </c>
      <c r="O130" s="482">
        <v>125.473</v>
      </c>
      <c r="P130" s="482">
        <v>126.082</v>
      </c>
      <c r="Q130" s="482">
        <v>130.463</v>
      </c>
      <c r="R130" s="482">
        <v>130.024</v>
      </c>
      <c r="S130" s="482">
        <v>131.631</v>
      </c>
      <c r="T130" s="482">
        <v>125.51</v>
      </c>
    </row>
    <row r="131" hidden="1" outlineLevel="1">
      <c r="A131" s="481" t="s">
        <v>565</v>
      </c>
      <c r="B131" s="447" t="s">
        <v>600</v>
      </c>
      <c r="C131" s="482">
        <v>125.664</v>
      </c>
      <c r="D131" s="482">
        <v>135.901</v>
      </c>
      <c r="E131" s="482">
        <v>138.759</v>
      </c>
      <c r="F131" s="482">
        <v>143.002</v>
      </c>
      <c r="G131" s="482">
        <v>148.645</v>
      </c>
      <c r="H131" s="482">
        <v>154.972</v>
      </c>
      <c r="I131" s="482">
        <v>164.33</v>
      </c>
      <c r="J131" s="482">
        <v>168.881</v>
      </c>
      <c r="K131" s="482">
        <v>186.362</v>
      </c>
      <c r="L131" s="482">
        <v>190.84</v>
      </c>
      <c r="M131" s="482">
        <v>198.83</v>
      </c>
      <c r="N131" s="482">
        <v>204.333</v>
      </c>
      <c r="O131" s="482">
        <v>208.029</v>
      </c>
      <c r="P131" s="482">
        <v>208.139</v>
      </c>
      <c r="Q131" s="482">
        <v>208.713</v>
      </c>
      <c r="R131" s="482">
        <v>202.923</v>
      </c>
      <c r="S131" s="482">
        <v>197.234</v>
      </c>
      <c r="T131" s="482">
        <v>183.816</v>
      </c>
    </row>
    <row r="132" hidden="1" outlineLevel="1">
      <c r="A132" s="481" t="s">
        <v>566</v>
      </c>
      <c r="B132" s="447" t="s">
        <v>600</v>
      </c>
      <c r="C132" s="482">
        <v>275.588</v>
      </c>
      <c r="D132" s="482">
        <v>297.472</v>
      </c>
      <c r="E132" s="482">
        <v>304.933</v>
      </c>
      <c r="F132" s="482">
        <v>315.989</v>
      </c>
      <c r="G132" s="482">
        <v>332.311</v>
      </c>
      <c r="H132" s="482">
        <v>349.77</v>
      </c>
      <c r="I132" s="482">
        <v>373.641</v>
      </c>
      <c r="J132" s="482">
        <v>393.679</v>
      </c>
      <c r="K132" s="482">
        <v>432.898</v>
      </c>
      <c r="L132" s="482">
        <v>446.174</v>
      </c>
      <c r="M132" s="482">
        <v>456.88</v>
      </c>
      <c r="N132" s="482">
        <v>464.778</v>
      </c>
      <c r="O132" s="482">
        <v>461.854</v>
      </c>
      <c r="P132" s="482">
        <v>463.57</v>
      </c>
      <c r="Q132" s="482">
        <v>458.262</v>
      </c>
      <c r="R132" s="482">
        <v>447.739</v>
      </c>
      <c r="S132" s="482">
        <v>431.322</v>
      </c>
      <c r="T132" s="482">
        <v>403.475</v>
      </c>
    </row>
    <row r="133" hidden="1" outlineLevel="1">
      <c r="A133" s="481" t="s">
        <v>567</v>
      </c>
      <c r="B133" s="447" t="s">
        <v>600</v>
      </c>
      <c r="C133" s="482">
        <v>281.877</v>
      </c>
      <c r="D133" s="482">
        <v>297.67</v>
      </c>
      <c r="E133" s="482">
        <v>315.38</v>
      </c>
      <c r="F133" s="482">
        <v>334.476</v>
      </c>
      <c r="G133" s="482">
        <v>357.858</v>
      </c>
      <c r="H133" s="482">
        <v>384.733</v>
      </c>
      <c r="I133" s="482">
        <v>409.969</v>
      </c>
      <c r="J133" s="482">
        <v>438.925</v>
      </c>
      <c r="K133" s="482">
        <v>473.59</v>
      </c>
      <c r="L133" s="482">
        <v>481.123</v>
      </c>
      <c r="M133" s="482">
        <v>493.814</v>
      </c>
      <c r="N133" s="482">
        <v>500.463</v>
      </c>
      <c r="O133" s="482">
        <v>496.11</v>
      </c>
      <c r="P133" s="482">
        <v>487.242</v>
      </c>
      <c r="Q133" s="482">
        <v>485.932</v>
      </c>
      <c r="R133" s="482">
        <v>467.326</v>
      </c>
      <c r="S133" s="482">
        <v>456.468</v>
      </c>
      <c r="T133" s="482">
        <v>426.835</v>
      </c>
    </row>
    <row r="134" hidden="1" outlineLevel="1">
      <c r="A134" s="481" t="s">
        <v>568</v>
      </c>
      <c r="B134" s="447" t="s">
        <v>600</v>
      </c>
      <c r="C134" s="482">
        <v>284.326</v>
      </c>
      <c r="D134" s="482">
        <v>303.794</v>
      </c>
      <c r="E134" s="482">
        <v>322.508</v>
      </c>
      <c r="F134" s="482">
        <v>344.041</v>
      </c>
      <c r="G134" s="482">
        <v>367.614</v>
      </c>
      <c r="H134" s="482">
        <v>388.307</v>
      </c>
      <c r="I134" s="482">
        <v>420.355</v>
      </c>
      <c r="J134" s="482">
        <v>450.356</v>
      </c>
      <c r="K134" s="482">
        <v>484.835</v>
      </c>
      <c r="L134" s="482">
        <v>496.514</v>
      </c>
      <c r="M134" s="482">
        <v>497.749</v>
      </c>
      <c r="N134" s="482">
        <v>493.148</v>
      </c>
      <c r="O134" s="482">
        <v>484.048</v>
      </c>
      <c r="P134" s="482">
        <v>476.004</v>
      </c>
      <c r="Q134" s="482">
        <v>469.55</v>
      </c>
      <c r="R134" s="482">
        <v>454.381</v>
      </c>
      <c r="S134" s="482">
        <v>438.649</v>
      </c>
      <c r="T134" s="482">
        <v>398.921</v>
      </c>
    </row>
    <row r="135" hidden="1" outlineLevel="1">
      <c r="A135" s="481" t="s">
        <v>569</v>
      </c>
      <c r="B135" s="447" t="s">
        <v>600</v>
      </c>
      <c r="C135" s="482">
        <v>288.844</v>
      </c>
      <c r="D135" s="482">
        <v>298.829</v>
      </c>
      <c r="E135" s="482">
        <v>321.759</v>
      </c>
      <c r="F135" s="482">
        <v>351.866</v>
      </c>
      <c r="G135" s="482">
        <v>368.237</v>
      </c>
      <c r="H135" s="482">
        <v>395.617</v>
      </c>
      <c r="I135" s="482">
        <v>420.149</v>
      </c>
      <c r="J135" s="482">
        <v>448.631</v>
      </c>
      <c r="K135" s="482">
        <v>462.731</v>
      </c>
      <c r="L135" s="482">
        <v>470.074</v>
      </c>
      <c r="M135" s="482">
        <v>468.491</v>
      </c>
      <c r="N135" s="482">
        <v>471.517</v>
      </c>
      <c r="O135" s="482">
        <v>450.022</v>
      </c>
      <c r="P135" s="482">
        <v>440.476</v>
      </c>
      <c r="Q135" s="482">
        <v>436.774</v>
      </c>
      <c r="R135" s="482">
        <v>424.785</v>
      </c>
      <c r="S135" s="482">
        <v>408.228</v>
      </c>
      <c r="T135" s="482">
        <v>368.286</v>
      </c>
    </row>
    <row r="136" hidden="1" outlineLevel="1">
      <c r="A136" s="481" t="s">
        <v>570</v>
      </c>
      <c r="B136" s="447" t="s">
        <v>600</v>
      </c>
      <c r="C136" s="482">
        <v>272.466</v>
      </c>
      <c r="D136" s="482">
        <v>290.767</v>
      </c>
      <c r="E136" s="482">
        <v>320.689</v>
      </c>
      <c r="F136" s="482">
        <v>337.669</v>
      </c>
      <c r="G136" s="482">
        <v>360.991</v>
      </c>
      <c r="H136" s="482">
        <v>386.315</v>
      </c>
      <c r="I136" s="482">
        <v>405.76</v>
      </c>
      <c r="J136" s="482">
        <v>423.87</v>
      </c>
      <c r="K136" s="482">
        <v>433.972</v>
      </c>
      <c r="L136" s="482">
        <v>432.607</v>
      </c>
      <c r="M136" s="482">
        <v>431.684</v>
      </c>
      <c r="N136" s="482">
        <v>429.203</v>
      </c>
      <c r="O136" s="482">
        <v>426.939</v>
      </c>
      <c r="P136" s="482">
        <v>414.282</v>
      </c>
      <c r="Q136" s="482">
        <v>401.912</v>
      </c>
      <c r="R136" s="482">
        <v>395.57</v>
      </c>
      <c r="S136" s="482">
        <v>378.871</v>
      </c>
      <c r="T136" s="482">
        <v>362.014</v>
      </c>
    </row>
    <row r="137" hidden="1" outlineLevel="1">
      <c r="A137" s="481" t="s">
        <v>571</v>
      </c>
      <c r="B137" s="447" t="s">
        <v>600</v>
      </c>
      <c r="C137" s="482">
        <v>408.321</v>
      </c>
      <c r="D137" s="482">
        <v>452.299</v>
      </c>
      <c r="E137" s="482">
        <v>464.156</v>
      </c>
      <c r="F137" s="482">
        <v>496.838</v>
      </c>
      <c r="G137" s="482">
        <v>527.503</v>
      </c>
      <c r="H137" s="482">
        <v>537.029</v>
      </c>
      <c r="I137" s="482">
        <v>567.719</v>
      </c>
      <c r="J137" s="482">
        <v>572.089</v>
      </c>
      <c r="K137" s="482">
        <v>586.22</v>
      </c>
      <c r="L137" s="482">
        <v>595.538</v>
      </c>
      <c r="M137" s="482">
        <v>593.409</v>
      </c>
      <c r="N137" s="482">
        <v>584.44</v>
      </c>
      <c r="O137" s="482">
        <v>576.138</v>
      </c>
      <c r="P137" s="482">
        <v>562.359</v>
      </c>
      <c r="Q137" s="482">
        <v>548.819</v>
      </c>
      <c r="R137" s="482">
        <v>553.411</v>
      </c>
      <c r="S137" s="482">
        <v>530.474</v>
      </c>
      <c r="T137" s="482">
        <v>488.833</v>
      </c>
    </row>
    <row r="138" hidden="1" outlineLevel="1">
      <c r="A138" s="481" t="s">
        <v>572</v>
      </c>
      <c r="B138" s="447" t="s">
        <v>600</v>
      </c>
      <c r="C138" s="482">
        <v>652.624</v>
      </c>
      <c r="D138" s="482">
        <v>687.482</v>
      </c>
      <c r="E138" s="482">
        <v>721.689</v>
      </c>
      <c r="F138" s="482">
        <v>753.003</v>
      </c>
      <c r="G138" s="482">
        <v>766.189</v>
      </c>
      <c r="H138" s="482">
        <v>776.053</v>
      </c>
      <c r="I138" s="482">
        <v>795.49</v>
      </c>
      <c r="J138" s="482">
        <v>807.482</v>
      </c>
      <c r="K138" s="482">
        <v>841.842</v>
      </c>
      <c r="L138" s="482">
        <v>848.647</v>
      </c>
      <c r="M138" s="482">
        <v>854.919</v>
      </c>
      <c r="N138" s="482">
        <v>855.198</v>
      </c>
      <c r="O138" s="482">
        <v>845.652</v>
      </c>
      <c r="P138" s="482">
        <v>829.822</v>
      </c>
      <c r="Q138" s="482">
        <v>817.856</v>
      </c>
      <c r="R138" s="482">
        <v>802.241</v>
      </c>
      <c r="S138" s="482">
        <v>767.927</v>
      </c>
      <c r="T138" s="482">
        <v>723.591</v>
      </c>
    </row>
    <row r="139" hidden="1" outlineLevel="1">
      <c r="A139" s="481" t="s">
        <v>573</v>
      </c>
      <c r="B139" s="447" t="s">
        <v>600</v>
      </c>
      <c r="C139" s="482">
        <v>583.195</v>
      </c>
      <c r="D139" s="482">
        <v>609.278</v>
      </c>
      <c r="E139" s="482">
        <v>625.835</v>
      </c>
      <c r="F139" s="482">
        <v>626.83</v>
      </c>
      <c r="G139" s="482">
        <v>634.017</v>
      </c>
      <c r="H139" s="482">
        <v>645.161</v>
      </c>
      <c r="I139" s="482">
        <v>665.675</v>
      </c>
      <c r="J139" s="482">
        <v>671.932</v>
      </c>
      <c r="K139" s="482">
        <v>715.104</v>
      </c>
      <c r="L139" s="482">
        <v>731.196</v>
      </c>
      <c r="M139" s="482">
        <v>740.345</v>
      </c>
      <c r="N139" s="482">
        <v>752.996</v>
      </c>
      <c r="O139" s="482">
        <v>731.221</v>
      </c>
      <c r="P139" s="482">
        <v>706.308</v>
      </c>
      <c r="Q139" s="482">
        <v>703.063</v>
      </c>
      <c r="R139" s="482">
        <v>687.635</v>
      </c>
      <c r="S139" s="482">
        <v>656.117</v>
      </c>
      <c r="T139" s="482">
        <v>623.141</v>
      </c>
    </row>
    <row r="140" hidden="1" outlineLevel="1">
      <c r="A140" s="481" t="s">
        <v>574</v>
      </c>
      <c r="B140" s="447" t="s">
        <v>600</v>
      </c>
      <c r="C140" s="482">
        <v>499.027</v>
      </c>
      <c r="D140" s="482">
        <v>504.262</v>
      </c>
      <c r="E140" s="482">
        <v>528.719</v>
      </c>
      <c r="F140" s="482">
        <v>531.028</v>
      </c>
      <c r="G140" s="482">
        <v>534.708</v>
      </c>
      <c r="H140" s="482">
        <v>544.106</v>
      </c>
      <c r="I140" s="482">
        <v>570.175</v>
      </c>
      <c r="J140" s="482">
        <v>583.186</v>
      </c>
      <c r="K140" s="482">
        <v>621.106</v>
      </c>
      <c r="L140" s="482">
        <v>638.651</v>
      </c>
      <c r="M140" s="482">
        <v>655.844</v>
      </c>
      <c r="N140" s="482">
        <v>644.436</v>
      </c>
      <c r="O140" s="482">
        <v>639.629</v>
      </c>
      <c r="P140" s="482">
        <v>611.244</v>
      </c>
      <c r="Q140" s="482">
        <v>602.348</v>
      </c>
      <c r="R140" s="482">
        <v>589.417</v>
      </c>
      <c r="S140" s="482">
        <v>564.196</v>
      </c>
      <c r="T140" s="482">
        <v>543.803</v>
      </c>
    </row>
    <row r="141" hidden="1" outlineLevel="1">
      <c r="A141" s="481" t="s">
        <v>575</v>
      </c>
      <c r="B141" s="447" t="s">
        <v>600</v>
      </c>
      <c r="C141" s="482">
        <v>825.094</v>
      </c>
      <c r="D141" s="482">
        <v>835.275</v>
      </c>
      <c r="E141" s="482">
        <v>841.171</v>
      </c>
      <c r="F141" s="482">
        <v>859.924</v>
      </c>
      <c r="G141" s="482">
        <v>886.694</v>
      </c>
      <c r="H141" s="482">
        <v>905.596</v>
      </c>
      <c r="I141" s="482">
        <v>938.081</v>
      </c>
      <c r="J141" s="482">
        <v>984.552</v>
      </c>
      <c r="K141" s="482">
        <v>1038.809</v>
      </c>
      <c r="L141" s="482">
        <v>1103.58</v>
      </c>
      <c r="M141" s="482">
        <v>1093.714</v>
      </c>
      <c r="N141" s="482">
        <v>1070.525</v>
      </c>
      <c r="O141" s="482">
        <v>1051.091</v>
      </c>
      <c r="P141" s="482">
        <v>1018.609</v>
      </c>
      <c r="Q141" s="482">
        <v>1010.341</v>
      </c>
      <c r="R141" s="482">
        <v>976.576</v>
      </c>
      <c r="S141" s="482">
        <v>947.124</v>
      </c>
      <c r="T141" s="482">
        <v>952.275</v>
      </c>
    </row>
    <row r="142" hidden="1" outlineLevel="1">
      <c r="A142" s="481" t="s">
        <v>576</v>
      </c>
      <c r="B142" s="447" t="s">
        <v>600</v>
      </c>
      <c r="C142" s="482">
        <v>628.548</v>
      </c>
      <c r="D142" s="482">
        <v>644.436</v>
      </c>
      <c r="E142" s="482">
        <v>649.98</v>
      </c>
      <c r="F142" s="482">
        <v>666.39</v>
      </c>
      <c r="G142" s="482">
        <v>690.819</v>
      </c>
      <c r="H142" s="482">
        <v>713.734</v>
      </c>
      <c r="I142" s="482">
        <v>752.763</v>
      </c>
      <c r="J142" s="482">
        <v>793.062</v>
      </c>
      <c r="K142" s="482">
        <v>868.893</v>
      </c>
      <c r="L142" s="482">
        <v>885.958</v>
      </c>
      <c r="M142" s="482">
        <v>893.337</v>
      </c>
      <c r="N142" s="482">
        <v>860.867</v>
      </c>
      <c r="O142" s="482">
        <v>845.665</v>
      </c>
      <c r="P142" s="482">
        <v>819.203</v>
      </c>
      <c r="Q142" s="482">
        <v>837.455</v>
      </c>
      <c r="R142" s="482">
        <v>825.858</v>
      </c>
      <c r="S142" s="482">
        <v>827.298</v>
      </c>
      <c r="T142" s="482">
        <v>837.784</v>
      </c>
    </row>
    <row r="143" hidden="1" outlineLevel="1">
      <c r="A143" s="481" t="s">
        <v>577</v>
      </c>
      <c r="B143" s="447" t="s">
        <v>600</v>
      </c>
      <c r="C143" s="482">
        <v>1864.917</v>
      </c>
      <c r="D143" s="482">
        <v>1963.577</v>
      </c>
      <c r="E143" s="482">
        <v>2028.275</v>
      </c>
      <c r="F143" s="482">
        <v>2072.829</v>
      </c>
      <c r="G143" s="482">
        <v>2181.676</v>
      </c>
      <c r="H143" s="482">
        <v>2290.193</v>
      </c>
      <c r="I143" s="482">
        <v>2491.571</v>
      </c>
      <c r="J143" s="482">
        <v>2724.463</v>
      </c>
      <c r="K143" s="482">
        <v>3005.747</v>
      </c>
      <c r="L143" s="482">
        <v>3119.132</v>
      </c>
      <c r="M143" s="482">
        <v>3004.398</v>
      </c>
      <c r="N143" s="482">
        <v>2899.932</v>
      </c>
      <c r="O143" s="482">
        <v>2891.565</v>
      </c>
      <c r="P143" s="482">
        <v>2907.91</v>
      </c>
      <c r="Q143" s="482">
        <v>3050.098</v>
      </c>
      <c r="R143" s="482">
        <v>3171.104</v>
      </c>
      <c r="S143" s="482">
        <v>3110.753</v>
      </c>
      <c r="T143" s="482">
        <v>2979.944</v>
      </c>
    </row>
    <row r="144" hidden="1" outlineLevel="1">
      <c r="A144" s="481" t="s">
        <v>578</v>
      </c>
      <c r="B144" s="447" t="s">
        <v>600</v>
      </c>
      <c r="C144" s="482">
        <v>1900.341</v>
      </c>
      <c r="D144" s="482">
        <v>2014.808</v>
      </c>
      <c r="E144" s="482">
        <v>2045.363</v>
      </c>
      <c r="F144" s="482">
        <v>2135.534</v>
      </c>
      <c r="G144" s="482">
        <v>2330.519</v>
      </c>
      <c r="H144" s="482">
        <v>2504.927</v>
      </c>
      <c r="I144" s="482">
        <v>2758.893</v>
      </c>
      <c r="J144" s="482">
        <v>3040.87</v>
      </c>
      <c r="K144" s="482">
        <v>3423.456</v>
      </c>
      <c r="L144" s="482">
        <v>3446.177</v>
      </c>
      <c r="M144" s="482">
        <v>3218.072</v>
      </c>
      <c r="N144" s="482">
        <v>3153.684</v>
      </c>
      <c r="O144" s="482">
        <v>3361.558</v>
      </c>
      <c r="P144" s="482">
        <v>3498.999</v>
      </c>
      <c r="Q144" s="482">
        <v>3583.822</v>
      </c>
      <c r="R144" s="482">
        <v>3448.385</v>
      </c>
      <c r="S144" s="482">
        <v>3148.208</v>
      </c>
      <c r="T144" s="482">
        <v>2923.044</v>
      </c>
    </row>
    <row r="145" hidden="1" outlineLevel="1">
      <c r="A145" s="481" t="s">
        <v>579</v>
      </c>
      <c r="B145" s="447" t="s">
        <v>600</v>
      </c>
      <c r="C145" s="482">
        <v>2009.875</v>
      </c>
      <c r="D145" s="482">
        <v>2145.978</v>
      </c>
      <c r="E145" s="482">
        <v>2213.764</v>
      </c>
      <c r="F145" s="482">
        <v>2230.401</v>
      </c>
      <c r="G145" s="482">
        <v>2287.644</v>
      </c>
      <c r="H145" s="482">
        <v>2308.654</v>
      </c>
      <c r="I145" s="482">
        <v>2332.034</v>
      </c>
      <c r="J145" s="482">
        <v>2366.305</v>
      </c>
      <c r="K145" s="482">
        <v>2710.702</v>
      </c>
      <c r="L145" s="482">
        <v>2567.11</v>
      </c>
      <c r="M145" s="482">
        <v>2590.167</v>
      </c>
      <c r="N145" s="482">
        <v>2972.305</v>
      </c>
      <c r="O145" s="482">
        <v>3497.519</v>
      </c>
      <c r="P145" s="482">
        <v>3666.43</v>
      </c>
      <c r="Q145" s="482">
        <v>3429.724</v>
      </c>
      <c r="R145" s="482">
        <v>3332.788</v>
      </c>
      <c r="S145" s="482">
        <v>3380.451</v>
      </c>
      <c r="T145" s="482">
        <v>3444.289</v>
      </c>
    </row>
    <row r="146" hidden="1" outlineLevel="1">
      <c r="A146" s="481" t="s">
        <v>580</v>
      </c>
      <c r="B146" s="447" t="s">
        <v>600</v>
      </c>
      <c r="C146" s="482">
        <v>2458.026</v>
      </c>
      <c r="D146" s="482">
        <v>2411.593</v>
      </c>
      <c r="E146" s="482">
        <v>2102.902</v>
      </c>
      <c r="F146" s="482">
        <v>1952.351</v>
      </c>
      <c r="G146" s="482">
        <v>1855.405</v>
      </c>
      <c r="H146" s="482">
        <v>1648.482</v>
      </c>
      <c r="I146" s="482">
        <v>1469.164</v>
      </c>
      <c r="J146" s="482">
        <v>1575.26</v>
      </c>
      <c r="K146" s="482">
        <v>1579.426</v>
      </c>
      <c r="L146" s="482">
        <v>1611.142</v>
      </c>
      <c r="M146" s="482">
        <v>1982.953</v>
      </c>
      <c r="N146" s="482">
        <v>2782.192</v>
      </c>
      <c r="O146" s="482">
        <v>3239.311</v>
      </c>
      <c r="P146" s="482">
        <v>3002.957</v>
      </c>
      <c r="Q146" s="482">
        <v>3414.131</v>
      </c>
      <c r="R146" s="482">
        <v>3616.344</v>
      </c>
      <c r="S146" s="482">
        <v>3840.587</v>
      </c>
      <c r="T146" s="482">
        <v>3452.091</v>
      </c>
    </row>
    <row r="147" hidden="1" outlineLevel="1">
      <c r="A147" s="481" t="s">
        <v>581</v>
      </c>
      <c r="B147" s="447" t="s">
        <v>600</v>
      </c>
      <c r="C147" s="482">
        <v>2136.091</v>
      </c>
      <c r="D147" s="482">
        <v>1976.68</v>
      </c>
      <c r="E147" s="482">
        <v>1657.86</v>
      </c>
      <c r="F147" s="482">
        <v>1576.142</v>
      </c>
      <c r="G147" s="482">
        <v>1396.76</v>
      </c>
      <c r="H147" s="482">
        <v>1145.881</v>
      </c>
      <c r="I147" s="482">
        <v>1121.9</v>
      </c>
      <c r="J147" s="482">
        <v>1113.722</v>
      </c>
      <c r="K147" s="482">
        <v>950.461</v>
      </c>
      <c r="L147" s="482">
        <v>1057.064</v>
      </c>
      <c r="M147" s="482">
        <v>1799.647</v>
      </c>
      <c r="N147" s="482">
        <v>2416.236</v>
      </c>
      <c r="O147" s="482">
        <v>2146.374</v>
      </c>
      <c r="P147" s="482">
        <v>2033.359</v>
      </c>
      <c r="Q147" s="482">
        <v>2439.271</v>
      </c>
      <c r="R147" s="482">
        <v>3096.305</v>
      </c>
      <c r="S147" s="482">
        <v>3033.165</v>
      </c>
      <c r="T147" s="482">
        <v>2963.345</v>
      </c>
    </row>
    <row r="148" hidden="1" outlineLevel="1">
      <c r="A148" s="481" t="s">
        <v>582</v>
      </c>
      <c r="B148" s="447" t="s">
        <v>600</v>
      </c>
      <c r="C148" s="482">
        <v>1610.927</v>
      </c>
      <c r="D148" s="482">
        <v>1489.273</v>
      </c>
      <c r="E148" s="482">
        <v>1328.549</v>
      </c>
      <c r="F148" s="482">
        <v>1292.41</v>
      </c>
      <c r="G148" s="482">
        <v>1008.551</v>
      </c>
      <c r="H148" s="482">
        <v>802.828</v>
      </c>
      <c r="I148" s="482">
        <v>873.099</v>
      </c>
      <c r="J148" s="482">
        <v>797.878</v>
      </c>
      <c r="K148" s="482">
        <v>743.216</v>
      </c>
      <c r="L148" s="482">
        <v>789.062</v>
      </c>
      <c r="M148" s="482">
        <v>683.206</v>
      </c>
      <c r="N148" s="482">
        <v>689.343</v>
      </c>
      <c r="O148" s="482">
        <v>591.503</v>
      </c>
      <c r="P148" s="482">
        <v>719.846</v>
      </c>
      <c r="Q148" s="482">
        <v>884.848</v>
      </c>
      <c r="R148" s="482">
        <v>1078.614</v>
      </c>
      <c r="S148" s="482">
        <v>1356.078</v>
      </c>
      <c r="T148" s="482">
        <v>2509.277</v>
      </c>
    </row>
    <row r="149" hidden="1" outlineLevel="1">
      <c r="A149" s="481" t="s">
        <v>583</v>
      </c>
      <c r="B149" s="447" t="s">
        <v>600</v>
      </c>
      <c r="C149" s="482">
        <v>1193.011</v>
      </c>
      <c r="D149" s="482">
        <v>1119.182</v>
      </c>
      <c r="E149" s="482">
        <v>952.775</v>
      </c>
      <c r="F149" s="482">
        <v>871.248</v>
      </c>
      <c r="G149" s="482">
        <v>793.435</v>
      </c>
      <c r="H149" s="482">
        <v>639.377</v>
      </c>
      <c r="I149" s="482">
        <v>633.595</v>
      </c>
      <c r="J149" s="482">
        <v>607.595</v>
      </c>
      <c r="K149" s="482">
        <v>605.847</v>
      </c>
      <c r="L149" s="482">
        <v>505.437</v>
      </c>
      <c r="M149" s="482">
        <v>617.5</v>
      </c>
      <c r="N149" s="482">
        <v>365.099</v>
      </c>
      <c r="O149" s="482">
        <v>367.142</v>
      </c>
      <c r="P149" s="482">
        <v>368.349</v>
      </c>
      <c r="Q149" s="482">
        <v>523.153</v>
      </c>
      <c r="R149" s="482">
        <v>423.735</v>
      </c>
      <c r="S149" s="482">
        <v>348.554</v>
      </c>
      <c r="T149" s="482">
        <v>564.553</v>
      </c>
    </row>
    <row r="150" hidden="1" outlineLevel="1">
      <c r="A150" s="481" t="s">
        <v>584</v>
      </c>
      <c r="B150" s="447" t="s">
        <v>600</v>
      </c>
      <c r="C150" s="482">
        <v>568.924</v>
      </c>
      <c r="D150" s="482">
        <v>566.844</v>
      </c>
      <c r="E150" s="482">
        <v>626.583</v>
      </c>
      <c r="F150" s="482">
        <v>690.566</v>
      </c>
      <c r="G150" s="482">
        <v>758.851</v>
      </c>
      <c r="H150" s="482">
        <v>648.501</v>
      </c>
      <c r="I150" s="482">
        <v>550.922</v>
      </c>
      <c r="J150" s="482">
        <v>583.793</v>
      </c>
      <c r="K150" s="482">
        <v>471.113</v>
      </c>
      <c r="L150" s="482">
        <v>476.411</v>
      </c>
      <c r="M150" s="482">
        <v>398.301</v>
      </c>
      <c r="N150" s="482">
        <v>355.96</v>
      </c>
      <c r="O150" s="482">
        <v>296.367</v>
      </c>
      <c r="P150" s="482">
        <v>340.547</v>
      </c>
      <c r="Q150" s="482">
        <v>246.181</v>
      </c>
      <c r="R150" s="482">
        <v>279.617</v>
      </c>
      <c r="S150" s="482">
        <v>218.196</v>
      </c>
      <c r="T150" s="482">
        <v>322.318</v>
      </c>
    </row>
    <row r="151" hidden="1" outlineLevel="1">
      <c r="A151" s="481" t="s">
        <v>585</v>
      </c>
      <c r="B151" s="447" t="s">
        <v>600</v>
      </c>
      <c r="C151" s="482">
        <v>240.022</v>
      </c>
      <c r="D151" s="482">
        <v>388.836</v>
      </c>
      <c r="E151" s="482">
        <v>288.363</v>
      </c>
      <c r="F151" s="482">
        <v>302.678</v>
      </c>
      <c r="G151" s="482">
        <v>205.747</v>
      </c>
      <c r="H151" s="482">
        <v>148.648</v>
      </c>
      <c r="I151" s="482">
        <v>131.301</v>
      </c>
      <c r="J151" s="482">
        <v>45.14</v>
      </c>
      <c r="K151" s="482">
        <v>101.755</v>
      </c>
      <c r="L151" s="482">
        <v>200.605</v>
      </c>
      <c r="M151" s="482">
        <v>183.726</v>
      </c>
      <c r="N151" s="482">
        <v>134.436</v>
      </c>
      <c r="O151" s="482">
        <v>63.22</v>
      </c>
      <c r="P151" s="482">
        <v>34.05</v>
      </c>
      <c r="Q151" s="482">
        <v>59.845</v>
      </c>
      <c r="R151" s="482">
        <v>79.403</v>
      </c>
      <c r="S151" s="482">
        <v>105.52</v>
      </c>
      <c r="T151" s="482">
        <v>92.678</v>
      </c>
    </row>
    <row r="152" hidden="1" outlineLevel="1">
      <c r="A152" s="481" t="s">
        <v>563</v>
      </c>
      <c r="B152" s="447" t="s">
        <v>601</v>
      </c>
      <c r="C152" s="482">
        <v>0.748</v>
      </c>
      <c r="D152" s="482">
        <v>0.797</v>
      </c>
      <c r="E152" s="482">
        <v>0.844</v>
      </c>
      <c r="F152" s="482">
        <v>0.821</v>
      </c>
      <c r="G152" s="482">
        <v>0.872</v>
      </c>
      <c r="H152" s="482">
        <v>0.88</v>
      </c>
      <c r="I152" s="482">
        <v>0.897</v>
      </c>
      <c r="J152" s="482">
        <v>0.859</v>
      </c>
      <c r="K152" s="482">
        <v>1.044</v>
      </c>
      <c r="L152" s="482">
        <v>0.991</v>
      </c>
      <c r="M152" s="482">
        <v>1.089</v>
      </c>
      <c r="N152" s="482">
        <v>1.145</v>
      </c>
      <c r="O152" s="482">
        <v>1.269</v>
      </c>
      <c r="P152" s="482">
        <v>1.22</v>
      </c>
      <c r="Q152" s="482">
        <v>1.284</v>
      </c>
      <c r="R152" s="482">
        <v>1.275</v>
      </c>
      <c r="S152" s="482">
        <v>1.236</v>
      </c>
      <c r="T152" s="482">
        <v>1.035</v>
      </c>
    </row>
    <row r="153" hidden="1" outlineLevel="1">
      <c r="A153" s="481" t="s">
        <v>565</v>
      </c>
      <c r="B153" s="447" t="s">
        <v>601</v>
      </c>
      <c r="C153" s="482">
        <v>1.354</v>
      </c>
      <c r="D153" s="482">
        <v>1.369</v>
      </c>
      <c r="E153" s="482">
        <v>1.36</v>
      </c>
      <c r="F153" s="482">
        <v>1.353</v>
      </c>
      <c r="G153" s="482">
        <v>1.425</v>
      </c>
      <c r="H153" s="482">
        <v>1.44</v>
      </c>
      <c r="I153" s="482">
        <v>1.455</v>
      </c>
      <c r="J153" s="482">
        <v>1.501</v>
      </c>
      <c r="K153" s="482">
        <v>1.62</v>
      </c>
      <c r="L153" s="482">
        <v>1.649</v>
      </c>
      <c r="M153" s="482">
        <v>1.661</v>
      </c>
      <c r="N153" s="482">
        <v>1.689</v>
      </c>
      <c r="O153" s="482">
        <v>1.761</v>
      </c>
      <c r="P153" s="482">
        <v>1.798</v>
      </c>
      <c r="Q153" s="482">
        <v>1.791</v>
      </c>
      <c r="R153" s="482">
        <v>1.705</v>
      </c>
      <c r="S153" s="482">
        <v>1.616</v>
      </c>
      <c r="T153" s="482">
        <v>1.344</v>
      </c>
    </row>
    <row r="154" hidden="1" outlineLevel="1">
      <c r="A154" s="481" t="s">
        <v>566</v>
      </c>
      <c r="B154" s="447" t="s">
        <v>601</v>
      </c>
      <c r="C154" s="482">
        <v>3.405</v>
      </c>
      <c r="D154" s="482">
        <v>3.451</v>
      </c>
      <c r="E154" s="482">
        <v>3.357</v>
      </c>
      <c r="F154" s="482">
        <v>3.251</v>
      </c>
      <c r="G154" s="482">
        <v>3.355</v>
      </c>
      <c r="H154" s="482">
        <v>3.457</v>
      </c>
      <c r="I154" s="482">
        <v>3.586</v>
      </c>
      <c r="J154" s="482">
        <v>3.659</v>
      </c>
      <c r="K154" s="482">
        <v>4.043</v>
      </c>
      <c r="L154" s="482">
        <v>4.016</v>
      </c>
      <c r="M154" s="482">
        <v>4.082</v>
      </c>
      <c r="N154" s="482">
        <v>4.249</v>
      </c>
      <c r="O154" s="482">
        <v>4.365</v>
      </c>
      <c r="P154" s="482">
        <v>4.496</v>
      </c>
      <c r="Q154" s="482">
        <v>4.533</v>
      </c>
      <c r="R154" s="482">
        <v>4.49</v>
      </c>
      <c r="S154" s="482">
        <v>4.197</v>
      </c>
      <c r="T154" s="482">
        <v>3.623</v>
      </c>
    </row>
    <row r="155" hidden="1" outlineLevel="1">
      <c r="A155" s="481" t="s">
        <v>567</v>
      </c>
      <c r="B155" s="447" t="s">
        <v>601</v>
      </c>
      <c r="C155" s="482">
        <v>3.658</v>
      </c>
      <c r="D155" s="482">
        <v>3.655</v>
      </c>
      <c r="E155" s="482">
        <v>3.56</v>
      </c>
      <c r="F155" s="482">
        <v>3.626</v>
      </c>
      <c r="G155" s="482">
        <v>3.854</v>
      </c>
      <c r="H155" s="482">
        <v>3.951</v>
      </c>
      <c r="I155" s="482">
        <v>4.164</v>
      </c>
      <c r="J155" s="482">
        <v>4.28</v>
      </c>
      <c r="K155" s="482">
        <v>4.615</v>
      </c>
      <c r="L155" s="482">
        <v>4.638</v>
      </c>
      <c r="M155" s="482">
        <v>4.735</v>
      </c>
      <c r="N155" s="482">
        <v>4.801</v>
      </c>
      <c r="O155" s="482">
        <v>5.091</v>
      </c>
      <c r="P155" s="482">
        <v>5.106</v>
      </c>
      <c r="Q155" s="482">
        <v>5.139</v>
      </c>
      <c r="R155" s="482">
        <v>5.083</v>
      </c>
      <c r="S155" s="482">
        <v>4.918</v>
      </c>
      <c r="T155" s="482">
        <v>4.245</v>
      </c>
    </row>
    <row r="156" hidden="1" outlineLevel="1">
      <c r="A156" s="481" t="s">
        <v>568</v>
      </c>
      <c r="B156" s="447" t="s">
        <v>601</v>
      </c>
      <c r="C156" s="482">
        <v>3.789</v>
      </c>
      <c r="D156" s="482">
        <v>3.576</v>
      </c>
      <c r="E156" s="482">
        <v>3.541</v>
      </c>
      <c r="F156" s="482">
        <v>3.744</v>
      </c>
      <c r="G156" s="482">
        <v>3.971</v>
      </c>
      <c r="H156" s="482">
        <v>3.949</v>
      </c>
      <c r="I156" s="482">
        <v>4.174</v>
      </c>
      <c r="J156" s="482">
        <v>4.315</v>
      </c>
      <c r="K156" s="482">
        <v>4.402</v>
      </c>
      <c r="L156" s="482">
        <v>4.623</v>
      </c>
      <c r="M156" s="482">
        <v>4.779</v>
      </c>
      <c r="N156" s="482">
        <v>4.869</v>
      </c>
      <c r="O156" s="482">
        <v>4.953</v>
      </c>
      <c r="P156" s="482">
        <v>5.076</v>
      </c>
      <c r="Q156" s="482">
        <v>5.021</v>
      </c>
      <c r="R156" s="482">
        <v>4.922</v>
      </c>
      <c r="S156" s="482">
        <v>4.703</v>
      </c>
      <c r="T156" s="482">
        <v>4.311</v>
      </c>
    </row>
    <row r="157" hidden="1" outlineLevel="1">
      <c r="A157" s="481" t="s">
        <v>569</v>
      </c>
      <c r="B157" s="447" t="s">
        <v>601</v>
      </c>
      <c r="C157" s="482">
        <v>3.346</v>
      </c>
      <c r="D157" s="482">
        <v>3.229</v>
      </c>
      <c r="E157" s="482">
        <v>3.432</v>
      </c>
      <c r="F157" s="482">
        <v>3.618</v>
      </c>
      <c r="G157" s="482">
        <v>3.607</v>
      </c>
      <c r="H157" s="482">
        <v>3.781</v>
      </c>
      <c r="I157" s="482">
        <v>3.916</v>
      </c>
      <c r="J157" s="482">
        <v>4.056</v>
      </c>
      <c r="K157" s="482">
        <v>4.24</v>
      </c>
      <c r="L157" s="482">
        <v>4.257</v>
      </c>
      <c r="M157" s="482">
        <v>4.562</v>
      </c>
      <c r="N157" s="482">
        <v>4.571</v>
      </c>
      <c r="O157" s="482">
        <v>4.699</v>
      </c>
      <c r="P157" s="482">
        <v>4.697</v>
      </c>
      <c r="Q157" s="482">
        <v>4.681</v>
      </c>
      <c r="R157" s="482">
        <v>4.491</v>
      </c>
      <c r="S157" s="482">
        <v>4.453</v>
      </c>
      <c r="T157" s="482">
        <v>4.22</v>
      </c>
    </row>
    <row r="158" hidden="1" outlineLevel="1">
      <c r="A158" s="481" t="s">
        <v>570</v>
      </c>
      <c r="B158" s="447" t="s">
        <v>601</v>
      </c>
      <c r="C158" s="482">
        <v>2.895</v>
      </c>
      <c r="D158" s="482">
        <v>2.979</v>
      </c>
      <c r="E158" s="482">
        <v>3.207</v>
      </c>
      <c r="F158" s="482">
        <v>3.391</v>
      </c>
      <c r="G158" s="482">
        <v>3.35</v>
      </c>
      <c r="H158" s="482">
        <v>3.572</v>
      </c>
      <c r="I158" s="482">
        <v>3.614</v>
      </c>
      <c r="J158" s="482">
        <v>3.768</v>
      </c>
      <c r="K158" s="482">
        <v>3.887</v>
      </c>
      <c r="L158" s="482">
        <v>4.068</v>
      </c>
      <c r="M158" s="482">
        <v>4.237</v>
      </c>
      <c r="N158" s="482">
        <v>4.457</v>
      </c>
      <c r="O158" s="482">
        <v>4.389</v>
      </c>
      <c r="P158" s="482">
        <v>4.479</v>
      </c>
      <c r="Q158" s="482">
        <v>4.264</v>
      </c>
      <c r="R158" s="482">
        <v>4.337</v>
      </c>
      <c r="S158" s="482">
        <v>4.262</v>
      </c>
      <c r="T158" s="482">
        <v>4.095</v>
      </c>
    </row>
    <row r="159" hidden="1" outlineLevel="1">
      <c r="A159" s="481" t="s">
        <v>571</v>
      </c>
      <c r="B159" s="447" t="s">
        <v>601</v>
      </c>
      <c r="C159" s="482">
        <v>4.022</v>
      </c>
      <c r="D159" s="482">
        <v>4.276</v>
      </c>
      <c r="E159" s="482">
        <v>4.28</v>
      </c>
      <c r="F159" s="482">
        <v>4.452</v>
      </c>
      <c r="G159" s="482">
        <v>4.706</v>
      </c>
      <c r="H159" s="482">
        <v>4.802</v>
      </c>
      <c r="I159" s="482">
        <v>5.104</v>
      </c>
      <c r="J159" s="482">
        <v>5.135</v>
      </c>
      <c r="K159" s="482">
        <v>5.466</v>
      </c>
      <c r="L159" s="482">
        <v>5.586</v>
      </c>
      <c r="M159" s="482">
        <v>5.607</v>
      </c>
      <c r="N159" s="482">
        <v>5.692</v>
      </c>
      <c r="O159" s="482">
        <v>5.893</v>
      </c>
      <c r="P159" s="482">
        <v>6.009</v>
      </c>
      <c r="Q159" s="482">
        <v>5.789</v>
      </c>
      <c r="R159" s="482">
        <v>5.876</v>
      </c>
      <c r="S159" s="482">
        <v>5.751</v>
      </c>
      <c r="T159" s="482">
        <v>5.486</v>
      </c>
    </row>
    <row r="160" hidden="1" outlineLevel="1">
      <c r="A160" s="481" t="s">
        <v>572</v>
      </c>
      <c r="B160" s="447" t="s">
        <v>601</v>
      </c>
      <c r="C160" s="482">
        <v>5.594</v>
      </c>
      <c r="D160" s="482">
        <v>5.748</v>
      </c>
      <c r="E160" s="482">
        <v>5.933</v>
      </c>
      <c r="F160" s="482">
        <v>6.287</v>
      </c>
      <c r="G160" s="482">
        <v>6.501</v>
      </c>
      <c r="H160" s="482">
        <v>6.779</v>
      </c>
      <c r="I160" s="482">
        <v>7.047</v>
      </c>
      <c r="J160" s="482">
        <v>7.08</v>
      </c>
      <c r="K160" s="482">
        <v>7.534</v>
      </c>
      <c r="L160" s="482">
        <v>7.894</v>
      </c>
      <c r="M160" s="482">
        <v>8.187</v>
      </c>
      <c r="N160" s="482">
        <v>8.181</v>
      </c>
      <c r="O160" s="482">
        <v>8.498</v>
      </c>
      <c r="P160" s="482">
        <v>8.138</v>
      </c>
      <c r="Q160" s="482">
        <v>8.334</v>
      </c>
      <c r="R160" s="482">
        <v>8.537</v>
      </c>
      <c r="S160" s="482">
        <v>8.729</v>
      </c>
      <c r="T160" s="482">
        <v>8.546</v>
      </c>
    </row>
    <row r="161" hidden="1" outlineLevel="1">
      <c r="A161" s="481" t="s">
        <v>573</v>
      </c>
      <c r="B161" s="447" t="s">
        <v>601</v>
      </c>
      <c r="C161" s="482">
        <v>5.009</v>
      </c>
      <c r="D161" s="482">
        <v>4.93</v>
      </c>
      <c r="E161" s="482">
        <v>5.068</v>
      </c>
      <c r="F161" s="482">
        <v>5.193</v>
      </c>
      <c r="G161" s="482">
        <v>5.28</v>
      </c>
      <c r="H161" s="482">
        <v>5.455</v>
      </c>
      <c r="I161" s="482">
        <v>5.726</v>
      </c>
      <c r="J161" s="482">
        <v>5.905</v>
      </c>
      <c r="K161" s="482">
        <v>6.396</v>
      </c>
      <c r="L161" s="482">
        <v>6.625</v>
      </c>
      <c r="M161" s="482">
        <v>6.451</v>
      </c>
      <c r="N161" s="482">
        <v>6.879</v>
      </c>
      <c r="O161" s="482">
        <v>6.911</v>
      </c>
      <c r="P161" s="482">
        <v>6.942</v>
      </c>
      <c r="Q161" s="482">
        <v>7.324</v>
      </c>
      <c r="R161" s="482">
        <v>7.698</v>
      </c>
      <c r="S161" s="482">
        <v>7.726</v>
      </c>
      <c r="T161" s="482">
        <v>8.098</v>
      </c>
    </row>
    <row r="162" hidden="1" outlineLevel="1">
      <c r="A162" s="481" t="s">
        <v>574</v>
      </c>
      <c r="B162" s="447" t="s">
        <v>601</v>
      </c>
      <c r="C162" s="482">
        <v>4.175</v>
      </c>
      <c r="D162" s="482">
        <v>4.224</v>
      </c>
      <c r="E162" s="482">
        <v>4.317</v>
      </c>
      <c r="F162" s="482">
        <v>4.453</v>
      </c>
      <c r="G162" s="482">
        <v>4.535</v>
      </c>
      <c r="H162" s="482">
        <v>4.508</v>
      </c>
      <c r="I162" s="482">
        <v>4.644</v>
      </c>
      <c r="J162" s="482">
        <v>5.002</v>
      </c>
      <c r="K162" s="482">
        <v>5.464</v>
      </c>
      <c r="L162" s="482">
        <v>5.592</v>
      </c>
      <c r="M162" s="482">
        <v>5.697</v>
      </c>
      <c r="N162" s="482">
        <v>5.812</v>
      </c>
      <c r="O162" s="482">
        <v>5.738</v>
      </c>
      <c r="P162" s="482">
        <v>5.865</v>
      </c>
      <c r="Q162" s="482">
        <v>6.202</v>
      </c>
      <c r="R162" s="482">
        <v>6.732</v>
      </c>
      <c r="S162" s="482">
        <v>7.184</v>
      </c>
      <c r="T162" s="482">
        <v>7.264</v>
      </c>
    </row>
    <row r="163" hidden="1" outlineLevel="1">
      <c r="A163" s="481" t="s">
        <v>575</v>
      </c>
      <c r="B163" s="447" t="s">
        <v>601</v>
      </c>
      <c r="C163" s="482">
        <v>6.735</v>
      </c>
      <c r="D163" s="482">
        <v>6.816</v>
      </c>
      <c r="E163" s="482">
        <v>6.945</v>
      </c>
      <c r="F163" s="482">
        <v>7.233</v>
      </c>
      <c r="G163" s="482">
        <v>7.565</v>
      </c>
      <c r="H163" s="482">
        <v>7.455</v>
      </c>
      <c r="I163" s="482">
        <v>7.94</v>
      </c>
      <c r="J163" s="482">
        <v>8.564</v>
      </c>
      <c r="K163" s="482">
        <v>8.769</v>
      </c>
      <c r="L163" s="482">
        <v>9.249</v>
      </c>
      <c r="M163" s="482">
        <v>9.246</v>
      </c>
      <c r="N163" s="482">
        <v>8.78</v>
      </c>
      <c r="O163" s="482">
        <v>9.332</v>
      </c>
      <c r="P163" s="482">
        <v>9.841</v>
      </c>
      <c r="Q163" s="482">
        <v>11.21</v>
      </c>
      <c r="R163" s="482">
        <v>12.043</v>
      </c>
      <c r="S163" s="482">
        <v>12.46</v>
      </c>
      <c r="T163" s="482">
        <v>13.387</v>
      </c>
    </row>
    <row r="164" hidden="1" outlineLevel="1">
      <c r="A164" s="481" t="s">
        <v>576</v>
      </c>
      <c r="B164" s="447" t="s">
        <v>601</v>
      </c>
      <c r="C164" s="482">
        <v>5.011</v>
      </c>
      <c r="D164" s="482">
        <v>5.856</v>
      </c>
      <c r="E164" s="482">
        <v>5.525</v>
      </c>
      <c r="F164" s="482">
        <v>5.51</v>
      </c>
      <c r="G164" s="482">
        <v>5.74</v>
      </c>
      <c r="H164" s="482">
        <v>5.721</v>
      </c>
      <c r="I164" s="482">
        <v>6.567</v>
      </c>
      <c r="J164" s="482">
        <v>6.793</v>
      </c>
      <c r="K164" s="482">
        <v>7.422</v>
      </c>
      <c r="L164" s="482">
        <v>7.379</v>
      </c>
      <c r="M164" s="482">
        <v>7.017</v>
      </c>
      <c r="N164" s="482">
        <v>6.972</v>
      </c>
      <c r="O164" s="482">
        <v>7.135</v>
      </c>
      <c r="P164" s="482">
        <v>8.31</v>
      </c>
      <c r="Q164" s="482">
        <v>9.775</v>
      </c>
      <c r="R164" s="482">
        <v>10.966</v>
      </c>
      <c r="S164" s="482">
        <v>12.216</v>
      </c>
      <c r="T164" s="482">
        <v>13.439</v>
      </c>
    </row>
    <row r="165" hidden="1" outlineLevel="1">
      <c r="A165" s="481" t="s">
        <v>577</v>
      </c>
      <c r="B165" s="447" t="s">
        <v>601</v>
      </c>
      <c r="C165" s="482">
        <v>18.017</v>
      </c>
      <c r="D165" s="482">
        <v>18.777</v>
      </c>
      <c r="E165" s="482">
        <v>19.085</v>
      </c>
      <c r="F165" s="482">
        <v>19.315</v>
      </c>
      <c r="G165" s="482">
        <v>19.537</v>
      </c>
      <c r="H165" s="482">
        <v>18.488</v>
      </c>
      <c r="I165" s="482">
        <v>20.303</v>
      </c>
      <c r="J165" s="482">
        <v>21.943</v>
      </c>
      <c r="K165" s="482">
        <v>23.034</v>
      </c>
      <c r="L165" s="482">
        <v>22.227</v>
      </c>
      <c r="M165" s="482">
        <v>20.236</v>
      </c>
      <c r="N165" s="482">
        <v>21.244</v>
      </c>
      <c r="O165" s="482">
        <v>25.983</v>
      </c>
      <c r="P165" s="482">
        <v>31.92</v>
      </c>
      <c r="Q165" s="482">
        <v>40.894</v>
      </c>
      <c r="R165" s="482">
        <v>47.52</v>
      </c>
      <c r="S165" s="482">
        <v>52.989</v>
      </c>
      <c r="T165" s="482">
        <v>53.758</v>
      </c>
    </row>
    <row r="166" hidden="1" outlineLevel="1">
      <c r="A166" s="481" t="s">
        <v>578</v>
      </c>
      <c r="B166" s="447" t="s">
        <v>601</v>
      </c>
      <c r="C166" s="482">
        <v>18.949</v>
      </c>
      <c r="D166" s="482">
        <v>19.469</v>
      </c>
      <c r="E166" s="482">
        <v>18.771</v>
      </c>
      <c r="F166" s="482">
        <v>17.948</v>
      </c>
      <c r="G166" s="482">
        <v>19.514</v>
      </c>
      <c r="H166" s="482">
        <v>20.533</v>
      </c>
      <c r="I166" s="482">
        <v>21.269</v>
      </c>
      <c r="J166" s="482">
        <v>22.207</v>
      </c>
      <c r="K166" s="482">
        <v>23.181</v>
      </c>
      <c r="L166" s="482">
        <v>21.94</v>
      </c>
      <c r="M166" s="482">
        <v>21.711</v>
      </c>
      <c r="N166" s="482">
        <v>24.941</v>
      </c>
      <c r="O166" s="482">
        <v>33.444</v>
      </c>
      <c r="P166" s="482">
        <v>45.078</v>
      </c>
      <c r="Q166" s="482">
        <v>57.296</v>
      </c>
      <c r="R166" s="482">
        <v>65.08</v>
      </c>
      <c r="S166" s="482">
        <v>70.274</v>
      </c>
      <c r="T166" s="482">
        <v>64.321</v>
      </c>
    </row>
    <row r="167" hidden="1" outlineLevel="1">
      <c r="A167" s="481" t="s">
        <v>579</v>
      </c>
      <c r="B167" s="447" t="s">
        <v>601</v>
      </c>
      <c r="C167" s="482">
        <v>20.207</v>
      </c>
      <c r="D167" s="482">
        <v>22.726</v>
      </c>
      <c r="E167" s="482">
        <v>21.222</v>
      </c>
      <c r="F167" s="482">
        <v>20.37</v>
      </c>
      <c r="G167" s="482">
        <v>22.595</v>
      </c>
      <c r="H167" s="482">
        <v>20.748</v>
      </c>
      <c r="I167" s="482">
        <v>21.078</v>
      </c>
      <c r="J167" s="482">
        <v>22.596</v>
      </c>
      <c r="K167" s="482">
        <v>22.586</v>
      </c>
      <c r="L167" s="482">
        <v>21.489</v>
      </c>
      <c r="M167" s="482">
        <v>20.542</v>
      </c>
      <c r="N167" s="482">
        <v>27.679</v>
      </c>
      <c r="O167" s="482">
        <v>40.855</v>
      </c>
      <c r="P167" s="482">
        <v>55.364</v>
      </c>
      <c r="Q167" s="482">
        <v>63.738</v>
      </c>
      <c r="R167" s="482">
        <v>70.016</v>
      </c>
      <c r="S167" s="482">
        <v>71.053</v>
      </c>
      <c r="T167" s="482">
        <v>63.816</v>
      </c>
    </row>
    <row r="168" hidden="1" outlineLevel="1">
      <c r="A168" s="481" t="s">
        <v>580</v>
      </c>
      <c r="B168" s="447" t="s">
        <v>601</v>
      </c>
      <c r="C168" s="482">
        <v>27.134</v>
      </c>
      <c r="D168" s="482">
        <v>26.835</v>
      </c>
      <c r="E168" s="482">
        <v>24.553</v>
      </c>
      <c r="F168" s="482">
        <v>26.096</v>
      </c>
      <c r="G168" s="482">
        <v>25.259</v>
      </c>
      <c r="H168" s="482">
        <v>21.218</v>
      </c>
      <c r="I168" s="482">
        <v>18.567</v>
      </c>
      <c r="J168" s="482">
        <v>19.541</v>
      </c>
      <c r="K168" s="482">
        <v>19.056</v>
      </c>
      <c r="L168" s="482">
        <v>17.478</v>
      </c>
      <c r="M168" s="482">
        <v>19.357</v>
      </c>
      <c r="N168" s="482">
        <v>28.847</v>
      </c>
      <c r="O168" s="482">
        <v>34.065</v>
      </c>
      <c r="P168" s="482">
        <v>42.022</v>
      </c>
      <c r="Q168" s="482">
        <v>56.596</v>
      </c>
      <c r="R168" s="482">
        <v>68.21</v>
      </c>
      <c r="S168" s="482">
        <v>55.369</v>
      </c>
      <c r="T168" s="482">
        <v>51.454</v>
      </c>
    </row>
    <row r="169" hidden="1" outlineLevel="1">
      <c r="A169" s="481" t="s">
        <v>581</v>
      </c>
      <c r="B169" s="447" t="s">
        <v>601</v>
      </c>
      <c r="C169" s="482">
        <v>30.372</v>
      </c>
      <c r="D169" s="482">
        <v>28.434</v>
      </c>
      <c r="E169" s="482">
        <v>27.299</v>
      </c>
      <c r="F169" s="482">
        <v>25.655</v>
      </c>
      <c r="G169" s="482">
        <v>20.304</v>
      </c>
      <c r="H169" s="482">
        <v>17.246</v>
      </c>
      <c r="I169" s="482">
        <v>16.66</v>
      </c>
      <c r="J169" s="482">
        <v>16.043</v>
      </c>
      <c r="K169" s="482">
        <v>14.831</v>
      </c>
      <c r="L169" s="482">
        <v>14.87</v>
      </c>
      <c r="M169" s="482">
        <v>17.286</v>
      </c>
      <c r="N169" s="482">
        <v>19.462</v>
      </c>
      <c r="O169" s="482">
        <v>15.686</v>
      </c>
      <c r="P169" s="482">
        <v>17.675</v>
      </c>
      <c r="Q169" s="482">
        <v>23.708</v>
      </c>
      <c r="R169" s="482">
        <v>27.375</v>
      </c>
      <c r="S169" s="482">
        <v>23.824</v>
      </c>
      <c r="T169" s="482">
        <v>39.214</v>
      </c>
    </row>
    <row r="170" hidden="1" outlineLevel="1">
      <c r="A170" s="481" t="s">
        <v>582</v>
      </c>
      <c r="B170" s="447" t="s">
        <v>601</v>
      </c>
      <c r="C170" s="482">
        <v>26.062</v>
      </c>
      <c r="D170" s="482">
        <v>25.158</v>
      </c>
      <c r="E170" s="482">
        <v>22.533</v>
      </c>
      <c r="F170" s="482">
        <v>22.682</v>
      </c>
      <c r="G170" s="482">
        <v>17.156</v>
      </c>
      <c r="H170" s="482">
        <v>11.796</v>
      </c>
      <c r="I170" s="482">
        <v>13.924</v>
      </c>
      <c r="J170" s="482">
        <v>12.078</v>
      </c>
      <c r="K170" s="482">
        <v>10.187</v>
      </c>
      <c r="L170" s="482">
        <v>12.207</v>
      </c>
      <c r="M170" s="482">
        <v>9.646</v>
      </c>
      <c r="N170" s="482">
        <v>8.845</v>
      </c>
      <c r="O170" s="482">
        <v>6.751</v>
      </c>
      <c r="P170" s="482">
        <v>5.689</v>
      </c>
      <c r="Q170" s="482">
        <v>5.566</v>
      </c>
      <c r="R170" s="482">
        <v>6.341</v>
      </c>
      <c r="S170" s="482">
        <v>5.442</v>
      </c>
      <c r="T170" s="482">
        <v>14.345</v>
      </c>
    </row>
    <row r="171" hidden="1" outlineLevel="1">
      <c r="A171" s="481" t="s">
        <v>583</v>
      </c>
      <c r="B171" s="447" t="s">
        <v>601</v>
      </c>
      <c r="C171" s="482">
        <v>19.293</v>
      </c>
      <c r="D171" s="482">
        <v>18.091</v>
      </c>
      <c r="E171" s="482">
        <v>16.711</v>
      </c>
      <c r="F171" s="482">
        <v>12.822</v>
      </c>
      <c r="G171" s="482">
        <v>12.532</v>
      </c>
      <c r="H171" s="482">
        <v>8.775</v>
      </c>
      <c r="I171" s="482">
        <v>8.602</v>
      </c>
      <c r="J171" s="482">
        <v>7.437</v>
      </c>
      <c r="K171" s="482">
        <v>7.519</v>
      </c>
      <c r="L171" s="482">
        <v>6.018</v>
      </c>
      <c r="M171" s="482">
        <v>9.098</v>
      </c>
      <c r="N171" s="482">
        <v>2.913</v>
      </c>
      <c r="O171" s="482">
        <v>3.76</v>
      </c>
      <c r="P171" s="482">
        <v>3.006</v>
      </c>
      <c r="Q171" s="482">
        <v>4.149</v>
      </c>
      <c r="R171" s="482">
        <v>3.646</v>
      </c>
      <c r="S171" s="482">
        <v>3.289</v>
      </c>
      <c r="T171" s="482">
        <v>2.175</v>
      </c>
    </row>
    <row r="172" hidden="1" outlineLevel="1">
      <c r="A172" s="481" t="s">
        <v>584</v>
      </c>
      <c r="B172" s="447" t="s">
        <v>601</v>
      </c>
      <c r="C172" s="482">
        <v>7.234</v>
      </c>
      <c r="D172" s="482">
        <v>11.692</v>
      </c>
      <c r="E172" s="482">
        <v>16.879</v>
      </c>
      <c r="F172" s="482">
        <v>9.879</v>
      </c>
      <c r="G172" s="482">
        <v>10.785</v>
      </c>
      <c r="H172" s="482">
        <v>7.959</v>
      </c>
      <c r="I172" s="482">
        <v>7.977</v>
      </c>
      <c r="J172" s="482">
        <v>8.853</v>
      </c>
      <c r="K172" s="482">
        <v>4.339</v>
      </c>
      <c r="L172" s="482">
        <v>1.964</v>
      </c>
      <c r="M172" s="482">
        <v>3.284</v>
      </c>
      <c r="N172" s="482">
        <v>2.161</v>
      </c>
      <c r="O172" s="482">
        <v>1.168</v>
      </c>
      <c r="P172" s="482">
        <v>1.251</v>
      </c>
      <c r="Q172" s="482">
        <v>2.553</v>
      </c>
      <c r="R172" s="482">
        <v>0.956</v>
      </c>
      <c r="S172" s="482">
        <v>1.113</v>
      </c>
      <c r="T172" s="482">
        <v>1.742</v>
      </c>
    </row>
    <row r="173" hidden="1" outlineLevel="1">
      <c r="A173" s="481" t="s">
        <v>585</v>
      </c>
      <c r="B173" s="447" t="s">
        <v>601</v>
      </c>
      <c r="C173" s="482">
        <v>16.144</v>
      </c>
      <c r="D173" s="482">
        <v>27.556</v>
      </c>
      <c r="E173" s="482">
        <v>12.041</v>
      </c>
      <c r="F173" s="482">
        <v>5.786</v>
      </c>
      <c r="G173" s="482">
        <v>2.777</v>
      </c>
      <c r="H173" s="482">
        <v>2.977</v>
      </c>
      <c r="I173" s="482">
        <v>1.883</v>
      </c>
      <c r="J173" s="482">
        <v>0.07</v>
      </c>
      <c r="K173" s="482">
        <v>1.832</v>
      </c>
      <c r="L173" s="482">
        <v>2.324</v>
      </c>
      <c r="M173" s="482">
        <v>2.083</v>
      </c>
      <c r="N173" s="482">
        <v>0.388</v>
      </c>
      <c r="O173" s="482">
        <v>0.005</v>
      </c>
      <c r="P173" s="482">
        <v>0.003</v>
      </c>
      <c r="Q173" s="482">
        <v>0.004</v>
      </c>
      <c r="R173" s="482">
        <v>0.565</v>
      </c>
      <c r="S173" s="482">
        <v>0.658</v>
      </c>
      <c r="T173" s="482">
        <v>0.41</v>
      </c>
    </row>
    <row r="174">
      <c r="A174" s="473"/>
      <c r="C174" s="76">
        <v>2000.0</v>
      </c>
      <c r="D174" s="76">
        <v>2001.0</v>
      </c>
      <c r="E174" s="76">
        <v>2002.0</v>
      </c>
      <c r="F174" s="76">
        <v>2003.0</v>
      </c>
      <c r="G174" s="76">
        <v>2004.0</v>
      </c>
      <c r="H174" s="76">
        <v>2005.0</v>
      </c>
      <c r="I174" s="76">
        <v>2006.0</v>
      </c>
      <c r="J174" s="76">
        <v>2007.0</v>
      </c>
      <c r="K174" s="76">
        <v>2008.0</v>
      </c>
      <c r="L174" s="76">
        <v>2009.0</v>
      </c>
      <c r="M174" s="76">
        <v>2010.0</v>
      </c>
      <c r="N174" s="76">
        <v>2011.0</v>
      </c>
      <c r="O174" s="76">
        <v>2012.0</v>
      </c>
      <c r="P174" s="76">
        <v>2013.0</v>
      </c>
      <c r="Q174" s="76">
        <v>2014.0</v>
      </c>
      <c r="R174" s="76">
        <v>2015.0</v>
      </c>
      <c r="S174" s="76">
        <v>2016.0</v>
      </c>
      <c r="T174" s="76">
        <v>2017.0</v>
      </c>
    </row>
    <row r="175">
      <c r="A175" s="473"/>
      <c r="B175" s="458" t="s">
        <v>602</v>
      </c>
      <c r="C175" s="483">
        <f t="shared" ref="C175:T175" si="5">sum(C86:C107)</f>
        <v>1526.844</v>
      </c>
      <c r="D175" s="483">
        <f t="shared" si="5"/>
        <v>1508.783</v>
      </c>
      <c r="E175" s="483">
        <f t="shared" si="5"/>
        <v>1491.345</v>
      </c>
      <c r="F175" s="483">
        <f t="shared" si="5"/>
        <v>1477.158</v>
      </c>
      <c r="G175" s="483">
        <f t="shared" si="5"/>
        <v>1438.046</v>
      </c>
      <c r="H175" s="483">
        <f t="shared" si="5"/>
        <v>1379.808</v>
      </c>
      <c r="I175" s="483">
        <f t="shared" si="5"/>
        <v>1382.198</v>
      </c>
      <c r="J175" s="483">
        <f t="shared" si="5"/>
        <v>1384.637</v>
      </c>
      <c r="K175" s="483">
        <f t="shared" si="5"/>
        <v>1377.374</v>
      </c>
      <c r="L175" s="483">
        <f t="shared" si="5"/>
        <v>1518.209</v>
      </c>
      <c r="M175" s="483">
        <f t="shared" si="5"/>
        <v>1578.686</v>
      </c>
      <c r="N175" s="483">
        <f t="shared" si="5"/>
        <v>1644.414</v>
      </c>
      <c r="O175" s="483">
        <f t="shared" si="5"/>
        <v>1944.218</v>
      </c>
      <c r="P175" s="483">
        <f t="shared" si="5"/>
        <v>2253.367</v>
      </c>
      <c r="Q175" s="483">
        <f t="shared" si="5"/>
        <v>2675.71</v>
      </c>
      <c r="R175" s="483">
        <f t="shared" si="5"/>
        <v>2887.986</v>
      </c>
      <c r="S175" s="483">
        <f t="shared" si="5"/>
        <v>2682.492</v>
      </c>
      <c r="T175" s="483">
        <f t="shared" si="5"/>
        <v>2838.576</v>
      </c>
    </row>
    <row r="176">
      <c r="A176" s="473"/>
      <c r="B176" s="458" t="s">
        <v>603</v>
      </c>
      <c r="C176" s="483">
        <f t="shared" ref="C176:T176" si="6">sum(C108:C129)</f>
        <v>1464.656</v>
      </c>
      <c r="D176" s="483">
        <f t="shared" si="6"/>
        <v>1494.121</v>
      </c>
      <c r="E176" s="483">
        <f t="shared" si="6"/>
        <v>1430.044</v>
      </c>
      <c r="F176" s="483">
        <f t="shared" si="6"/>
        <v>1397.078</v>
      </c>
      <c r="G176" s="483">
        <f t="shared" si="6"/>
        <v>1353.617</v>
      </c>
      <c r="H176" s="483">
        <f t="shared" si="6"/>
        <v>1267.514</v>
      </c>
      <c r="I176" s="483">
        <f t="shared" si="6"/>
        <v>1261.068</v>
      </c>
      <c r="J176" s="483">
        <f t="shared" si="6"/>
        <v>1257.209</v>
      </c>
      <c r="K176" s="483">
        <f t="shared" si="6"/>
        <v>1207.908</v>
      </c>
      <c r="L176" s="483">
        <f t="shared" si="6"/>
        <v>1322.243</v>
      </c>
      <c r="M176" s="483">
        <f t="shared" si="6"/>
        <v>1421.988</v>
      </c>
      <c r="N176" s="483">
        <f t="shared" si="6"/>
        <v>1643.915</v>
      </c>
      <c r="O176" s="483">
        <f t="shared" si="6"/>
        <v>2162.798</v>
      </c>
      <c r="P176" s="483">
        <f t="shared" si="6"/>
        <v>2707.435</v>
      </c>
      <c r="Q176" s="483">
        <f t="shared" si="6"/>
        <v>3454.49</v>
      </c>
      <c r="R176" s="483">
        <f t="shared" si="6"/>
        <v>4098.411</v>
      </c>
      <c r="S176" s="483">
        <f t="shared" si="6"/>
        <v>3909.965</v>
      </c>
      <c r="T176" s="483">
        <f t="shared" si="6"/>
        <v>4190.546</v>
      </c>
    </row>
    <row r="177">
      <c r="A177" s="473"/>
      <c r="B177" s="458" t="s">
        <v>604</v>
      </c>
      <c r="C177" s="483">
        <f t="shared" ref="C177:T177" si="7">sum(C130:C151)</f>
        <v>19179.5</v>
      </c>
      <c r="D177" s="483">
        <f t="shared" si="7"/>
        <v>19514.414</v>
      </c>
      <c r="E177" s="483">
        <f t="shared" si="7"/>
        <v>18881.842</v>
      </c>
      <c r="F177" s="483">
        <f t="shared" si="7"/>
        <v>18970.607</v>
      </c>
      <c r="G177" s="483">
        <f t="shared" si="7"/>
        <v>18881.078</v>
      </c>
      <c r="H177" s="483">
        <f t="shared" si="7"/>
        <v>18408.433</v>
      </c>
      <c r="I177" s="483">
        <f t="shared" si="7"/>
        <v>18942.511</v>
      </c>
      <c r="J177" s="483">
        <f t="shared" si="7"/>
        <v>19689.622</v>
      </c>
      <c r="K177" s="483">
        <f t="shared" si="7"/>
        <v>20845.819</v>
      </c>
      <c r="L177" s="483">
        <f t="shared" si="7"/>
        <v>21203.541</v>
      </c>
      <c r="M177" s="483">
        <f t="shared" si="7"/>
        <v>21972.71</v>
      </c>
      <c r="N177" s="483">
        <f t="shared" si="7"/>
        <v>23221.542</v>
      </c>
      <c r="O177" s="483">
        <f t="shared" si="7"/>
        <v>23796.43</v>
      </c>
      <c r="P177" s="483">
        <f t="shared" si="7"/>
        <v>23735.787</v>
      </c>
      <c r="Q177" s="483">
        <f t="shared" si="7"/>
        <v>24742.561</v>
      </c>
      <c r="R177" s="483">
        <f t="shared" si="7"/>
        <v>25484.181</v>
      </c>
      <c r="S177" s="483">
        <f t="shared" si="7"/>
        <v>25277.051</v>
      </c>
      <c r="T177" s="483">
        <f t="shared" si="7"/>
        <v>25689.823</v>
      </c>
    </row>
    <row r="178">
      <c r="A178" s="473"/>
      <c r="B178" s="458" t="s">
        <v>605</v>
      </c>
      <c r="C178" s="483">
        <f t="shared" ref="C178:T178" si="8">sum(C152:C173)</f>
        <v>233.153</v>
      </c>
      <c r="D178" s="483">
        <f t="shared" si="8"/>
        <v>249.644</v>
      </c>
      <c r="E178" s="483">
        <f t="shared" si="8"/>
        <v>230.463</v>
      </c>
      <c r="F178" s="483">
        <f t="shared" si="8"/>
        <v>213.485</v>
      </c>
      <c r="G178" s="483">
        <f t="shared" si="8"/>
        <v>205.22</v>
      </c>
      <c r="H178" s="483">
        <f t="shared" si="8"/>
        <v>185.49</v>
      </c>
      <c r="I178" s="483">
        <f t="shared" si="8"/>
        <v>189.097</v>
      </c>
      <c r="J178" s="483">
        <f t="shared" si="8"/>
        <v>191.685</v>
      </c>
      <c r="K178" s="483">
        <f t="shared" si="8"/>
        <v>191.467</v>
      </c>
      <c r="L178" s="483">
        <f t="shared" si="8"/>
        <v>187.084</v>
      </c>
      <c r="M178" s="483">
        <f t="shared" si="8"/>
        <v>190.593</v>
      </c>
      <c r="N178" s="483">
        <f t="shared" si="8"/>
        <v>204.577</v>
      </c>
      <c r="O178" s="483">
        <f t="shared" si="8"/>
        <v>231.751</v>
      </c>
      <c r="P178" s="483">
        <f t="shared" si="8"/>
        <v>273.985</v>
      </c>
      <c r="Q178" s="483">
        <f t="shared" si="8"/>
        <v>329.851</v>
      </c>
      <c r="R178" s="483">
        <f t="shared" si="8"/>
        <v>367.864</v>
      </c>
      <c r="S178" s="483">
        <f t="shared" si="8"/>
        <v>363.462</v>
      </c>
      <c r="T178" s="483">
        <f t="shared" si="8"/>
        <v>370.328</v>
      </c>
    </row>
    <row r="179">
      <c r="A179" s="473"/>
    </row>
    <row r="180">
      <c r="A180" s="473" t="s">
        <v>606</v>
      </c>
      <c r="M180" s="484">
        <f t="shared" ref="M180:U180" si="9">L182*(M253/L253)</f>
        <v>12.45016393</v>
      </c>
      <c r="N180" s="484">
        <f t="shared" si="9"/>
        <v>11.40007874</v>
      </c>
      <c r="O180" s="484">
        <f t="shared" si="9"/>
        <v>12.89953667</v>
      </c>
      <c r="P180" s="484">
        <f t="shared" si="9"/>
        <v>12.20754647</v>
      </c>
      <c r="Q180" s="484">
        <f t="shared" si="9"/>
        <v>13.23526882</v>
      </c>
      <c r="R180" s="484">
        <f t="shared" si="9"/>
        <v>12.14360544</v>
      </c>
      <c r="S180" s="484">
        <f t="shared" si="9"/>
        <v>10.43226277</v>
      </c>
      <c r="T180" s="484">
        <f t="shared" si="9"/>
        <v>11.21991632</v>
      </c>
      <c r="U180" s="484">
        <f t="shared" si="9"/>
        <v>11.71106557</v>
      </c>
    </row>
    <row r="181">
      <c r="A181" s="481" t="s">
        <v>607</v>
      </c>
      <c r="B181" s="447" t="s">
        <v>608</v>
      </c>
      <c r="L181" s="454">
        <v>16.05</v>
      </c>
      <c r="M181" s="454">
        <v>14.9</v>
      </c>
      <c r="N181" s="454">
        <v>17.09</v>
      </c>
      <c r="O181" s="454">
        <v>15.86</v>
      </c>
      <c r="P181" s="454">
        <v>16.15</v>
      </c>
      <c r="Q181" s="454">
        <v>16.91</v>
      </c>
      <c r="R181" s="454">
        <v>14.81</v>
      </c>
      <c r="S181" s="454">
        <v>13.62</v>
      </c>
      <c r="T181" s="454">
        <v>13.3</v>
      </c>
    </row>
    <row r="182">
      <c r="A182" s="481" t="s">
        <v>609</v>
      </c>
      <c r="B182" s="447" t="s">
        <v>608</v>
      </c>
      <c r="C182" s="485">
        <f t="shared" ref="C182:K182" si="10">D182*(C253/D253)</f>
        <v>7.156393441</v>
      </c>
      <c r="D182" s="485">
        <f t="shared" si="10"/>
        <v>7.156393441</v>
      </c>
      <c r="E182" s="485">
        <f t="shared" si="10"/>
        <v>7.156393441</v>
      </c>
      <c r="F182" s="485">
        <f t="shared" si="10"/>
        <v>7.499508192</v>
      </c>
      <c r="G182" s="485">
        <f t="shared" si="10"/>
        <v>7.989672129</v>
      </c>
      <c r="H182" s="485">
        <f t="shared" si="10"/>
        <v>9.264098359</v>
      </c>
      <c r="I182" s="485">
        <f t="shared" si="10"/>
        <v>9.509180324</v>
      </c>
      <c r="J182" s="485">
        <f t="shared" si="10"/>
        <v>10.73459016</v>
      </c>
      <c r="K182" s="485">
        <f t="shared" si="10"/>
        <v>12.94032787</v>
      </c>
      <c r="L182" s="454">
        <v>11.96</v>
      </c>
      <c r="M182" s="454">
        <v>11.18</v>
      </c>
      <c r="N182" s="454">
        <v>12.42</v>
      </c>
      <c r="O182" s="454">
        <v>11.77</v>
      </c>
      <c r="P182" s="454">
        <v>12.56</v>
      </c>
      <c r="Q182" s="454">
        <v>13.03</v>
      </c>
      <c r="R182" s="454">
        <v>11.96</v>
      </c>
      <c r="S182" s="454">
        <v>10.99</v>
      </c>
      <c r="T182" s="454">
        <v>11.25</v>
      </c>
      <c r="U182" s="454">
        <v>10.21</v>
      </c>
    </row>
    <row r="183">
      <c r="A183" s="481" t="s">
        <v>610</v>
      </c>
      <c r="B183" s="447" t="s">
        <v>611</v>
      </c>
      <c r="L183" s="454">
        <v>1.67</v>
      </c>
      <c r="M183" s="454">
        <v>1.62</v>
      </c>
      <c r="N183" s="454">
        <v>1.73</v>
      </c>
      <c r="O183" s="454">
        <v>1.74</v>
      </c>
      <c r="P183" s="454">
        <v>1.89</v>
      </c>
      <c r="Q183" s="454">
        <v>1.9</v>
      </c>
      <c r="R183" s="454">
        <v>1.86</v>
      </c>
      <c r="S183" s="454">
        <v>1.71</v>
      </c>
      <c r="T183" s="454">
        <v>1.82</v>
      </c>
    </row>
    <row r="184">
      <c r="A184" s="481" t="s">
        <v>609</v>
      </c>
      <c r="B184" s="447" t="s">
        <v>611</v>
      </c>
      <c r="L184" s="454">
        <v>2.06</v>
      </c>
      <c r="M184" s="454">
        <v>1.93</v>
      </c>
      <c r="N184" s="454">
        <v>2.14</v>
      </c>
      <c r="O184" s="454">
        <v>2.02</v>
      </c>
      <c r="P184" s="454">
        <v>2.15</v>
      </c>
      <c r="Q184" s="454">
        <v>2.23</v>
      </c>
      <c r="R184" s="454">
        <v>2.04</v>
      </c>
      <c r="S184" s="454">
        <v>1.88</v>
      </c>
      <c r="T184" s="454">
        <v>1.92</v>
      </c>
    </row>
    <row r="185">
      <c r="A185" s="473"/>
      <c r="B185" s="285" t="s">
        <v>612</v>
      </c>
      <c r="C185" s="285">
        <v>5.84</v>
      </c>
      <c r="D185" s="285">
        <v>5.8</v>
      </c>
      <c r="E185" s="285">
        <v>5.74</v>
      </c>
      <c r="F185" s="285">
        <v>5.65</v>
      </c>
      <c r="G185" s="285">
        <v>5.46</v>
      </c>
      <c r="H185" s="285">
        <v>5.18</v>
      </c>
      <c r="I185" s="285">
        <v>5.09</v>
      </c>
      <c r="J185" s="285">
        <v>5.07</v>
      </c>
      <c r="K185" s="285">
        <v>5.01</v>
      </c>
      <c r="L185" s="285">
        <v>5.35</v>
      </c>
      <c r="M185" s="285">
        <v>5.48</v>
      </c>
      <c r="N185" s="285">
        <v>5.65</v>
      </c>
      <c r="O185" s="285">
        <v>6.52</v>
      </c>
      <c r="P185" s="285">
        <v>7.47</v>
      </c>
      <c r="Q185" s="285">
        <v>8.76</v>
      </c>
      <c r="R185" s="285">
        <v>9.43</v>
      </c>
      <c r="S185" s="285">
        <v>8.85</v>
      </c>
      <c r="T185" s="285">
        <v>9.35</v>
      </c>
      <c r="U185" s="447">
        <v>10.96</v>
      </c>
    </row>
    <row r="186">
      <c r="A186" s="473">
        <v>5.7</v>
      </c>
      <c r="B186" s="285" t="s">
        <v>613</v>
      </c>
      <c r="C186" s="486">
        <v>66.22979</v>
      </c>
      <c r="D186" s="486">
        <v>67.12542</v>
      </c>
      <c r="E186" s="486">
        <v>65.59255</v>
      </c>
      <c r="F186" s="486">
        <v>66.07939</v>
      </c>
      <c r="G186" s="486">
        <v>65.67035</v>
      </c>
      <c r="H186" s="486">
        <v>64.26527</v>
      </c>
      <c r="I186" s="486">
        <v>64.4795</v>
      </c>
      <c r="J186" s="486">
        <v>67.57166</v>
      </c>
      <c r="K186" s="486">
        <v>70.2363205</v>
      </c>
      <c r="L186" s="486">
        <v>71.38875</v>
      </c>
      <c r="M186" s="486">
        <v>73.46873</v>
      </c>
      <c r="N186" s="486">
        <v>78.02473</v>
      </c>
      <c r="O186" s="486">
        <v>80.93784</v>
      </c>
      <c r="P186" s="486">
        <v>80.8837</v>
      </c>
      <c r="Q186" s="486">
        <v>86.04214</v>
      </c>
      <c r="R186" s="486">
        <v>90.17712</v>
      </c>
      <c r="S186" s="486">
        <v>89.29199</v>
      </c>
      <c r="T186" s="486">
        <v>91.39007</v>
      </c>
      <c r="U186" s="447">
        <v>101.37</v>
      </c>
    </row>
    <row r="187" ht="14.25" customHeight="1">
      <c r="A187" s="473"/>
      <c r="B187" s="285" t="s">
        <v>614</v>
      </c>
      <c r="C187" s="434">
        <f t="shared" ref="C187:U187" si="11">0.365*(C185+C186/$A$186)</f>
        <v>6.372630412</v>
      </c>
      <c r="D187" s="434">
        <f t="shared" si="11"/>
        <v>6.415382158</v>
      </c>
      <c r="E187" s="434">
        <f t="shared" si="11"/>
        <v>6.295324693</v>
      </c>
      <c r="F187" s="434">
        <f t="shared" si="11"/>
        <v>6.293649535</v>
      </c>
      <c r="G187" s="434">
        <f t="shared" si="11"/>
        <v>6.198106623</v>
      </c>
      <c r="H187" s="434">
        <f t="shared" si="11"/>
        <v>6.005932202</v>
      </c>
      <c r="I187" s="434">
        <f t="shared" si="11"/>
        <v>5.986800439</v>
      </c>
      <c r="J187" s="434">
        <f t="shared" si="11"/>
        <v>6.177507175</v>
      </c>
      <c r="K187" s="434">
        <f t="shared" si="11"/>
        <v>6.326238944</v>
      </c>
      <c r="L187" s="434">
        <f t="shared" si="11"/>
        <v>6.524134868</v>
      </c>
      <c r="M187" s="434">
        <f t="shared" si="11"/>
        <v>6.70477657</v>
      </c>
      <c r="N187" s="434">
        <f t="shared" si="11"/>
        <v>7.05857043</v>
      </c>
      <c r="O187" s="434">
        <f t="shared" si="11"/>
        <v>7.562661684</v>
      </c>
      <c r="P187" s="434">
        <f t="shared" si="11"/>
        <v>7.905944825</v>
      </c>
      <c r="Q187" s="434">
        <f t="shared" si="11"/>
        <v>8.707115982</v>
      </c>
      <c r="R187" s="434">
        <f t="shared" si="11"/>
        <v>9.216449789</v>
      </c>
      <c r="S187" s="434">
        <f t="shared" si="11"/>
        <v>8.948070412</v>
      </c>
      <c r="T187" s="434">
        <f t="shared" si="11"/>
        <v>9.264921149</v>
      </c>
      <c r="U187" s="434">
        <f t="shared" si="11"/>
        <v>10.49163684</v>
      </c>
    </row>
    <row r="188">
      <c r="A188" s="473"/>
      <c r="B188" s="487" t="s">
        <v>615</v>
      </c>
      <c r="C188" s="488">
        <f t="shared" ref="C188:U188" si="12">C187*C182</f>
        <v>45.60505049</v>
      </c>
      <c r="D188" s="488">
        <f t="shared" si="12"/>
        <v>45.9109988</v>
      </c>
      <c r="E188" s="488">
        <f t="shared" si="12"/>
        <v>45.05182034</v>
      </c>
      <c r="F188" s="488">
        <f t="shared" si="12"/>
        <v>47.19927625</v>
      </c>
      <c r="G188" s="488">
        <f t="shared" si="12"/>
        <v>49.52083973</v>
      </c>
      <c r="H188" s="488">
        <f t="shared" si="12"/>
        <v>55.63954666</v>
      </c>
      <c r="I188" s="488">
        <f t="shared" si="12"/>
        <v>56.92956494</v>
      </c>
      <c r="J188" s="488">
        <f t="shared" si="12"/>
        <v>66.31300775</v>
      </c>
      <c r="K188" s="488">
        <f t="shared" si="12"/>
        <v>81.8636061</v>
      </c>
      <c r="L188" s="488">
        <f t="shared" si="12"/>
        <v>78.02865303</v>
      </c>
      <c r="M188" s="488">
        <f t="shared" si="12"/>
        <v>74.95940205</v>
      </c>
      <c r="N188" s="488">
        <f t="shared" si="12"/>
        <v>87.66744474</v>
      </c>
      <c r="O188" s="488">
        <f t="shared" si="12"/>
        <v>89.01252802</v>
      </c>
      <c r="P188" s="488">
        <f t="shared" si="12"/>
        <v>99.298667</v>
      </c>
      <c r="Q188" s="488">
        <f t="shared" si="12"/>
        <v>113.4537213</v>
      </c>
      <c r="R188" s="488">
        <f t="shared" si="12"/>
        <v>110.2287395</v>
      </c>
      <c r="S188" s="488">
        <f t="shared" si="12"/>
        <v>98.33929383</v>
      </c>
      <c r="T188" s="488">
        <f t="shared" si="12"/>
        <v>104.2303629</v>
      </c>
      <c r="U188" s="488">
        <f t="shared" si="12"/>
        <v>107.1196122</v>
      </c>
      <c r="V188" s="488">
        <f t="shared" ref="V188:BA188" si="13">77.1+21.2*ln(V308)</f>
        <v>120.1773502</v>
      </c>
      <c r="W188" s="488">
        <f t="shared" si="13"/>
        <v>122.5772578</v>
      </c>
      <c r="X188" s="488">
        <f t="shared" si="13"/>
        <v>123.7102934</v>
      </c>
      <c r="Y188" s="488">
        <f t="shared" si="13"/>
        <v>123.936216</v>
      </c>
      <c r="Z188" s="488">
        <f t="shared" si="13"/>
        <v>123.9264783</v>
      </c>
      <c r="AA188" s="488">
        <f t="shared" si="13"/>
        <v>124.4626208</v>
      </c>
      <c r="AB188" s="488">
        <f t="shared" si="13"/>
        <v>124.7144424</v>
      </c>
      <c r="AC188" s="488">
        <f t="shared" si="13"/>
        <v>125.2330682</v>
      </c>
      <c r="AD188" s="488">
        <f t="shared" si="13"/>
        <v>125.8426075</v>
      </c>
      <c r="AE188" s="488">
        <f t="shared" si="13"/>
        <v>125.9296642</v>
      </c>
      <c r="AF188" s="488">
        <f t="shared" si="13"/>
        <v>126.1848731</v>
      </c>
      <c r="AG188" s="488">
        <f t="shared" si="13"/>
        <v>126.3715088</v>
      </c>
      <c r="AH188" s="488">
        <f t="shared" si="13"/>
        <v>126.5069695</v>
      </c>
      <c r="AI188" s="488">
        <f t="shared" si="13"/>
        <v>126.4200206</v>
      </c>
      <c r="AJ188" s="488">
        <f t="shared" si="13"/>
        <v>126.2653176</v>
      </c>
      <c r="AK188" s="488">
        <f t="shared" si="13"/>
        <v>126.1979472</v>
      </c>
      <c r="AL188" s="488">
        <f t="shared" si="13"/>
        <v>125.9782919</v>
      </c>
      <c r="AM188" s="488">
        <f t="shared" si="13"/>
        <v>125.6881752</v>
      </c>
      <c r="AN188" s="488">
        <f t="shared" si="13"/>
        <v>125.3511134</v>
      </c>
      <c r="AO188" s="488">
        <f t="shared" si="13"/>
        <v>125.1323126</v>
      </c>
      <c r="AP188" s="488">
        <f t="shared" si="13"/>
        <v>124.9391941</v>
      </c>
      <c r="AQ188" s="488">
        <f t="shared" si="13"/>
        <v>124.736424</v>
      </c>
      <c r="AR188" s="488">
        <f t="shared" si="13"/>
        <v>124.6777878</v>
      </c>
      <c r="AS188" s="488">
        <f t="shared" si="13"/>
        <v>124.5308471</v>
      </c>
      <c r="AT188" s="488">
        <f t="shared" si="13"/>
        <v>124.3042489</v>
      </c>
      <c r="AU188" s="488">
        <f t="shared" si="13"/>
        <v>124.088276</v>
      </c>
      <c r="AV188" s="488">
        <f t="shared" si="13"/>
        <v>123.6960829</v>
      </c>
      <c r="AW188" s="488">
        <f t="shared" si="13"/>
        <v>123.3864275</v>
      </c>
      <c r="AX188" s="488">
        <f t="shared" si="13"/>
        <v>123.1388661</v>
      </c>
      <c r="AY188" s="488">
        <f t="shared" si="13"/>
        <v>122.8907026</v>
      </c>
      <c r="AZ188" s="488">
        <f t="shared" si="13"/>
        <v>122.4303587</v>
      </c>
      <c r="BA188" s="488">
        <f t="shared" si="13"/>
        <v>122.1610024</v>
      </c>
    </row>
    <row r="189">
      <c r="A189" s="473" t="s">
        <v>616</v>
      </c>
      <c r="C189" s="76">
        <v>2000.0</v>
      </c>
      <c r="D189" s="76">
        <v>2001.0</v>
      </c>
      <c r="E189" s="76">
        <v>2002.0</v>
      </c>
      <c r="F189" s="76">
        <v>2003.0</v>
      </c>
      <c r="G189" s="76">
        <v>2004.0</v>
      </c>
      <c r="H189" s="76">
        <v>2005.0</v>
      </c>
      <c r="I189" s="76">
        <v>2006.0</v>
      </c>
      <c r="J189" s="76">
        <v>2007.0</v>
      </c>
      <c r="K189" s="76">
        <v>2008.0</v>
      </c>
      <c r="L189" s="76">
        <v>2009.0</v>
      </c>
      <c r="M189" s="76">
        <v>2010.0</v>
      </c>
      <c r="N189" s="76">
        <v>2011.0</v>
      </c>
      <c r="O189" s="76">
        <v>2012.0</v>
      </c>
      <c r="P189" s="76">
        <v>2013.0</v>
      </c>
      <c r="Q189" s="76">
        <v>2014.0</v>
      </c>
      <c r="R189" s="76">
        <v>2015.0</v>
      </c>
      <c r="S189" s="76">
        <v>2016.0</v>
      </c>
      <c r="T189" s="76">
        <v>2017.0</v>
      </c>
      <c r="U189" s="76">
        <v>2018.0</v>
      </c>
    </row>
    <row r="190">
      <c r="A190" s="473"/>
      <c r="B190" s="447" t="s">
        <v>617</v>
      </c>
    </row>
    <row r="191">
      <c r="A191" s="473"/>
      <c r="B191" s="458" t="s">
        <v>618</v>
      </c>
      <c r="K191" s="489"/>
      <c r="L191" s="490">
        <v>2.2</v>
      </c>
      <c r="M191" s="490">
        <v>2.4</v>
      </c>
      <c r="N191" s="490">
        <v>2.5</v>
      </c>
      <c r="O191" s="490">
        <v>2.5</v>
      </c>
      <c r="P191" s="490">
        <v>2.5</v>
      </c>
      <c r="Q191" s="490">
        <v>2.6</v>
      </c>
      <c r="R191" s="491"/>
      <c r="S191" s="484"/>
      <c r="T191" s="454"/>
      <c r="U191" s="454">
        <v>2.7</v>
      </c>
    </row>
    <row r="192">
      <c r="A192" s="473"/>
      <c r="B192" s="458" t="s">
        <v>619</v>
      </c>
      <c r="K192" s="490"/>
      <c r="L192" s="490">
        <v>2.5</v>
      </c>
      <c r="M192" s="490">
        <v>2.7</v>
      </c>
      <c r="N192" s="490">
        <v>2.8</v>
      </c>
      <c r="O192" s="490">
        <v>2.7</v>
      </c>
      <c r="P192" s="490">
        <v>2.6</v>
      </c>
      <c r="Q192" s="490">
        <v>2.9</v>
      </c>
      <c r="R192" s="491"/>
      <c r="S192" s="484"/>
      <c r="T192" s="484"/>
      <c r="U192" s="454">
        <v>2.8</v>
      </c>
    </row>
    <row r="193">
      <c r="A193" s="473"/>
      <c r="B193" s="458" t="s">
        <v>620</v>
      </c>
      <c r="K193" s="490">
        <v>4.0</v>
      </c>
      <c r="L193" s="490">
        <v>3.2</v>
      </c>
      <c r="M193" s="490">
        <v>3.5</v>
      </c>
      <c r="N193" s="490">
        <v>3.75</v>
      </c>
      <c r="O193" s="490">
        <v>3.7</v>
      </c>
      <c r="P193" s="490">
        <v>3.6</v>
      </c>
      <c r="Q193" s="490">
        <v>3.6</v>
      </c>
      <c r="R193" s="491"/>
      <c r="S193" s="484"/>
      <c r="T193" s="484"/>
      <c r="U193" s="454">
        <v>3.3</v>
      </c>
    </row>
    <row r="194">
      <c r="A194" s="473"/>
      <c r="B194" s="458" t="s">
        <v>621</v>
      </c>
      <c r="K194" s="490">
        <v>3.3</v>
      </c>
      <c r="L194" s="490">
        <v>2.9</v>
      </c>
      <c r="M194" s="490">
        <v>3.0</v>
      </c>
      <c r="N194" s="490">
        <v>3.3</v>
      </c>
      <c r="O194" s="490">
        <v>3.15</v>
      </c>
      <c r="P194" s="490">
        <v>2.9</v>
      </c>
      <c r="Q194" s="490">
        <v>2.9</v>
      </c>
      <c r="R194" s="490">
        <v>2.5</v>
      </c>
      <c r="S194" s="484"/>
      <c r="T194" s="484"/>
      <c r="U194" s="454">
        <v>1.65</v>
      </c>
    </row>
    <row r="195">
      <c r="A195" s="473"/>
      <c r="B195" s="458" t="s">
        <v>622</v>
      </c>
      <c r="I195" s="454"/>
      <c r="J195" s="454"/>
      <c r="K195" s="490">
        <v>2.7</v>
      </c>
      <c r="L195" s="490">
        <v>2.5</v>
      </c>
      <c r="M195" s="490">
        <v>2.5</v>
      </c>
      <c r="N195" s="490">
        <v>2.7</v>
      </c>
      <c r="O195" s="490">
        <v>2.6</v>
      </c>
      <c r="P195" s="490">
        <v>2.6</v>
      </c>
      <c r="Q195" s="490">
        <v>2.6</v>
      </c>
      <c r="R195" s="490">
        <v>2.1</v>
      </c>
      <c r="S195" s="484"/>
      <c r="T195" s="484"/>
      <c r="U195" s="454">
        <v>3.5</v>
      </c>
    </row>
    <row r="196">
      <c r="A196" s="473"/>
      <c r="B196" s="458" t="s">
        <v>623</v>
      </c>
      <c r="K196" s="484"/>
      <c r="L196" s="454">
        <v>4.5</v>
      </c>
      <c r="M196" s="454">
        <v>4.3</v>
      </c>
      <c r="N196" s="454">
        <v>4.0</v>
      </c>
      <c r="O196" s="454">
        <v>3.8</v>
      </c>
      <c r="P196" s="454">
        <v>3.6</v>
      </c>
      <c r="Q196" s="454">
        <v>3.4</v>
      </c>
      <c r="R196" s="454">
        <v>3.3</v>
      </c>
      <c r="S196" s="454">
        <v>3.0</v>
      </c>
      <c r="T196" s="454"/>
      <c r="U196" s="454">
        <v>3.0</v>
      </c>
    </row>
    <row r="197">
      <c r="A197" s="473"/>
      <c r="B197" s="447" t="s">
        <v>624</v>
      </c>
      <c r="K197" s="484"/>
      <c r="L197" s="484"/>
      <c r="M197" s="484"/>
      <c r="N197" s="484"/>
      <c r="O197" s="484"/>
      <c r="P197" s="484"/>
      <c r="Q197" s="484"/>
      <c r="R197" s="484"/>
      <c r="S197" s="484"/>
      <c r="T197" s="484"/>
      <c r="U197" s="484"/>
    </row>
    <row r="198">
      <c r="A198" s="473"/>
      <c r="B198" s="458" t="s">
        <v>618</v>
      </c>
      <c r="K198" s="491"/>
      <c r="L198" s="490">
        <v>1.5</v>
      </c>
      <c r="M198" s="490">
        <v>2.4</v>
      </c>
      <c r="N198" s="490">
        <v>4.9</v>
      </c>
      <c r="O198" s="490">
        <v>6.7</v>
      </c>
      <c r="P198" s="490">
        <v>6.0</v>
      </c>
      <c r="Q198" s="490">
        <v>4.5</v>
      </c>
      <c r="R198" s="491"/>
      <c r="S198" s="484"/>
      <c r="T198" s="484"/>
      <c r="U198" s="454">
        <v>4.1</v>
      </c>
    </row>
    <row r="199">
      <c r="A199" s="473"/>
      <c r="B199" s="458" t="s">
        <v>619</v>
      </c>
      <c r="K199" s="490"/>
      <c r="L199" s="490">
        <v>1.15</v>
      </c>
      <c r="M199" s="490">
        <v>1.3</v>
      </c>
      <c r="N199" s="490">
        <v>1.9</v>
      </c>
      <c r="O199" s="490">
        <v>2.7</v>
      </c>
      <c r="P199" s="490">
        <v>2.5</v>
      </c>
      <c r="Q199" s="490">
        <v>3.3</v>
      </c>
      <c r="R199" s="491"/>
      <c r="S199" s="484"/>
      <c r="T199" s="484"/>
      <c r="U199" s="454">
        <v>4.4</v>
      </c>
    </row>
    <row r="200">
      <c r="A200" s="473"/>
      <c r="B200" s="458" t="s">
        <v>620</v>
      </c>
      <c r="K200" s="490">
        <v>0.4</v>
      </c>
      <c r="L200" s="490">
        <v>0.75</v>
      </c>
      <c r="M200" s="490">
        <v>1.25</v>
      </c>
      <c r="N200" s="490">
        <v>2.7</v>
      </c>
      <c r="O200" s="490">
        <v>4.1</v>
      </c>
      <c r="P200" s="490">
        <v>3.0</v>
      </c>
      <c r="Q200" s="490">
        <v>3.15</v>
      </c>
      <c r="R200" s="491"/>
      <c r="S200" s="484"/>
      <c r="T200" s="484"/>
      <c r="U200" s="454">
        <v>4.2</v>
      </c>
    </row>
    <row r="201">
      <c r="A201" s="473"/>
      <c r="B201" s="458" t="s">
        <v>621</v>
      </c>
      <c r="K201" s="490">
        <v>0.75</v>
      </c>
      <c r="L201" s="490">
        <v>2.1</v>
      </c>
      <c r="M201" s="490">
        <v>2.5</v>
      </c>
      <c r="N201" s="490">
        <v>3.6</v>
      </c>
      <c r="O201" s="490">
        <v>4.5</v>
      </c>
      <c r="P201" s="490">
        <v>4.0</v>
      </c>
      <c r="Q201" s="490">
        <v>4.3</v>
      </c>
      <c r="R201" s="490">
        <v>4.0</v>
      </c>
      <c r="S201" s="484"/>
      <c r="T201" s="484"/>
      <c r="U201" s="454">
        <v>4.85</v>
      </c>
    </row>
    <row r="202">
      <c r="A202" s="473"/>
      <c r="B202" s="458" t="s">
        <v>622</v>
      </c>
      <c r="K202" s="490">
        <v>0.8</v>
      </c>
      <c r="L202" s="490">
        <v>1.45</v>
      </c>
      <c r="M202" s="490">
        <v>2.4</v>
      </c>
      <c r="N202" s="490">
        <v>3.4</v>
      </c>
      <c r="O202" s="490">
        <v>4.75</v>
      </c>
      <c r="P202" s="490">
        <v>4.5</v>
      </c>
      <c r="Q202" s="490">
        <v>3.5</v>
      </c>
      <c r="R202" s="490">
        <v>4.5</v>
      </c>
      <c r="S202" s="484"/>
      <c r="T202" s="484"/>
      <c r="U202" s="454">
        <v>3.25</v>
      </c>
    </row>
    <row r="203">
      <c r="A203" s="473"/>
      <c r="B203" s="458" t="s">
        <v>623</v>
      </c>
      <c r="K203" s="484"/>
      <c r="L203" s="454">
        <v>6.8</v>
      </c>
      <c r="M203" s="454">
        <v>6.4</v>
      </c>
      <c r="N203" s="454">
        <v>6.0</v>
      </c>
      <c r="O203" s="454">
        <v>5.7</v>
      </c>
      <c r="P203" s="454">
        <v>5.4</v>
      </c>
      <c r="Q203" s="454">
        <v>5.1</v>
      </c>
      <c r="R203" s="454">
        <v>4.9</v>
      </c>
      <c r="S203" s="454">
        <v>4.5</v>
      </c>
      <c r="T203" s="454"/>
      <c r="U203" s="454">
        <v>4.5</v>
      </c>
    </row>
    <row r="204">
      <c r="A204" s="473"/>
      <c r="B204" s="76" t="s">
        <v>625</v>
      </c>
      <c r="K204" s="484"/>
      <c r="L204" s="484"/>
      <c r="M204" s="484"/>
      <c r="N204" s="484"/>
      <c r="O204" s="484"/>
      <c r="P204" s="484"/>
      <c r="Q204" s="484"/>
      <c r="R204" s="484"/>
      <c r="S204" s="484"/>
      <c r="T204" s="484"/>
      <c r="U204" s="484"/>
    </row>
    <row r="205">
      <c r="A205" s="473"/>
      <c r="B205" s="458" t="s">
        <v>618</v>
      </c>
      <c r="K205" s="491"/>
      <c r="L205" s="491">
        <f t="shared" ref="L205:Q205" si="14">sum(L191,L198)</f>
        <v>3.7</v>
      </c>
      <c r="M205" s="491">
        <f t="shared" si="14"/>
        <v>4.8</v>
      </c>
      <c r="N205" s="491">
        <f t="shared" si="14"/>
        <v>7.4</v>
      </c>
      <c r="O205" s="491">
        <f t="shared" si="14"/>
        <v>9.2</v>
      </c>
      <c r="P205" s="491">
        <f t="shared" si="14"/>
        <v>8.5</v>
      </c>
      <c r="Q205" s="491">
        <f t="shared" si="14"/>
        <v>7.1</v>
      </c>
      <c r="R205" s="491"/>
      <c r="S205" s="484"/>
      <c r="T205" s="484"/>
      <c r="U205" s="484">
        <f t="shared" ref="U205:U210" si="16">sum(U191,U198)</f>
        <v>6.8</v>
      </c>
    </row>
    <row r="206">
      <c r="A206" s="473"/>
      <c r="B206" s="458" t="s">
        <v>619</v>
      </c>
      <c r="K206" s="491"/>
      <c r="L206" s="491">
        <f t="shared" ref="L206:Q206" si="15">sum(L192,L199)</f>
        <v>3.65</v>
      </c>
      <c r="M206" s="491">
        <f t="shared" si="15"/>
        <v>4</v>
      </c>
      <c r="N206" s="491">
        <f t="shared" si="15"/>
        <v>4.7</v>
      </c>
      <c r="O206" s="491">
        <f t="shared" si="15"/>
        <v>5.4</v>
      </c>
      <c r="P206" s="491">
        <f t="shared" si="15"/>
        <v>5.1</v>
      </c>
      <c r="Q206" s="491">
        <f t="shared" si="15"/>
        <v>6.2</v>
      </c>
      <c r="R206" s="491"/>
      <c r="S206" s="484"/>
      <c r="T206" s="484"/>
      <c r="U206" s="484">
        <f t="shared" si="16"/>
        <v>7.2</v>
      </c>
    </row>
    <row r="207">
      <c r="A207" s="473"/>
      <c r="B207" s="458" t="s">
        <v>620</v>
      </c>
      <c r="K207" s="491">
        <f t="shared" ref="K207:Q207" si="17">sum(K193,K200)</f>
        <v>4.4</v>
      </c>
      <c r="L207" s="491">
        <f t="shared" si="17"/>
        <v>3.95</v>
      </c>
      <c r="M207" s="491">
        <f t="shared" si="17"/>
        <v>4.75</v>
      </c>
      <c r="N207" s="491">
        <f t="shared" si="17"/>
        <v>6.45</v>
      </c>
      <c r="O207" s="491">
        <f t="shared" si="17"/>
        <v>7.8</v>
      </c>
      <c r="P207" s="491">
        <f t="shared" si="17"/>
        <v>6.6</v>
      </c>
      <c r="Q207" s="491">
        <f t="shared" si="17"/>
        <v>6.75</v>
      </c>
      <c r="R207" s="491"/>
      <c r="S207" s="484"/>
      <c r="T207" s="484"/>
      <c r="U207" s="484">
        <f t="shared" si="16"/>
        <v>7.5</v>
      </c>
    </row>
    <row r="208">
      <c r="A208" s="473"/>
      <c r="B208" s="458" t="s">
        <v>621</v>
      </c>
      <c r="K208" s="491">
        <f t="shared" ref="K208:R208" si="18">sum(K194,K201)</f>
        <v>4.05</v>
      </c>
      <c r="L208" s="491">
        <f t="shared" si="18"/>
        <v>5</v>
      </c>
      <c r="M208" s="491">
        <f t="shared" si="18"/>
        <v>5.5</v>
      </c>
      <c r="N208" s="491">
        <f t="shared" si="18"/>
        <v>6.9</v>
      </c>
      <c r="O208" s="491">
        <f t="shared" si="18"/>
        <v>7.65</v>
      </c>
      <c r="P208" s="491">
        <f t="shared" si="18"/>
        <v>6.9</v>
      </c>
      <c r="Q208" s="491">
        <f t="shared" si="18"/>
        <v>7.2</v>
      </c>
      <c r="R208" s="491">
        <f t="shared" si="18"/>
        <v>6.5</v>
      </c>
      <c r="S208" s="484"/>
      <c r="T208" s="484"/>
      <c r="U208" s="484">
        <f t="shared" si="16"/>
        <v>6.5</v>
      </c>
    </row>
    <row r="209">
      <c r="A209" s="473"/>
      <c r="B209" s="458" t="s">
        <v>622</v>
      </c>
      <c r="K209" s="491">
        <f t="shared" ref="K209:R209" si="19">sum(K195,K202)</f>
        <v>3.5</v>
      </c>
      <c r="L209" s="491">
        <f t="shared" si="19"/>
        <v>3.95</v>
      </c>
      <c r="M209" s="491">
        <f t="shared" si="19"/>
        <v>4.9</v>
      </c>
      <c r="N209" s="491">
        <f t="shared" si="19"/>
        <v>6.1</v>
      </c>
      <c r="O209" s="491">
        <f t="shared" si="19"/>
        <v>7.35</v>
      </c>
      <c r="P209" s="491">
        <f t="shared" si="19"/>
        <v>7.1</v>
      </c>
      <c r="Q209" s="491">
        <f t="shared" si="19"/>
        <v>6.1</v>
      </c>
      <c r="R209" s="491">
        <f t="shared" si="19"/>
        <v>6.6</v>
      </c>
      <c r="S209" s="484"/>
      <c r="T209" s="484"/>
      <c r="U209" s="484">
        <f t="shared" si="16"/>
        <v>6.75</v>
      </c>
    </row>
    <row r="210">
      <c r="A210" s="473"/>
      <c r="B210" s="458" t="s">
        <v>623</v>
      </c>
      <c r="K210" s="484"/>
      <c r="L210" s="484">
        <f t="shared" ref="L210:S210" si="20">sum(L196,L203)</f>
        <v>11.3</v>
      </c>
      <c r="M210" s="484">
        <f t="shared" si="20"/>
        <v>10.7</v>
      </c>
      <c r="N210" s="484">
        <f t="shared" si="20"/>
        <v>10</v>
      </c>
      <c r="O210" s="484">
        <f t="shared" si="20"/>
        <v>9.5</v>
      </c>
      <c r="P210" s="484">
        <f t="shared" si="20"/>
        <v>9</v>
      </c>
      <c r="Q210" s="484">
        <f t="shared" si="20"/>
        <v>8.5</v>
      </c>
      <c r="R210" s="484">
        <f t="shared" si="20"/>
        <v>8.2</v>
      </c>
      <c r="S210" s="484">
        <f t="shared" si="20"/>
        <v>7.5</v>
      </c>
      <c r="T210" s="484"/>
      <c r="U210" s="484">
        <f t="shared" si="16"/>
        <v>7.5</v>
      </c>
    </row>
    <row r="211">
      <c r="A211" s="473"/>
      <c r="B211" s="76" t="s">
        <v>626</v>
      </c>
      <c r="K211" s="492"/>
      <c r="L211" s="493">
        <f t="shared" ref="L211:Q211" si="21">average(L205:L210)</f>
        <v>5.258333333</v>
      </c>
      <c r="M211" s="494">
        <f t="shared" si="21"/>
        <v>5.775</v>
      </c>
      <c r="N211" s="494">
        <f t="shared" si="21"/>
        <v>6.925</v>
      </c>
      <c r="O211" s="494">
        <f t="shared" si="21"/>
        <v>7.816666667</v>
      </c>
      <c r="P211" s="494">
        <f t="shared" si="21"/>
        <v>7.2</v>
      </c>
      <c r="Q211" s="494">
        <f t="shared" si="21"/>
        <v>6.975</v>
      </c>
      <c r="R211" s="494"/>
      <c r="S211" s="484"/>
      <c r="T211" s="484"/>
      <c r="U211" s="494">
        <f>average(U205:U210)</f>
        <v>7.041666667</v>
      </c>
    </row>
    <row r="212">
      <c r="A212" s="473"/>
      <c r="B212" s="447" t="s">
        <v>627</v>
      </c>
      <c r="K212" s="484"/>
      <c r="L212" s="484"/>
      <c r="M212" s="484"/>
      <c r="N212" s="484"/>
      <c r="O212" s="484"/>
      <c r="P212" s="484"/>
      <c r="Q212" s="484"/>
      <c r="R212" s="484"/>
      <c r="S212" s="484"/>
      <c r="T212" s="484"/>
      <c r="U212" s="484"/>
    </row>
    <row r="213">
      <c r="A213" s="473"/>
      <c r="B213" s="458" t="s">
        <v>618</v>
      </c>
      <c r="K213" s="491"/>
      <c r="L213" s="491">
        <f t="shared" ref="L213:Q213" si="22">$V$213*L205</f>
        <v>0.4625</v>
      </c>
      <c r="M213" s="491">
        <f t="shared" si="22"/>
        <v>0.6</v>
      </c>
      <c r="N213" s="491">
        <f t="shared" si="22"/>
        <v>0.925</v>
      </c>
      <c r="O213" s="491">
        <f t="shared" si="22"/>
        <v>1.15</v>
      </c>
      <c r="P213" s="491">
        <f t="shared" si="22"/>
        <v>1.0625</v>
      </c>
      <c r="Q213" s="491">
        <f t="shared" si="22"/>
        <v>0.8875</v>
      </c>
      <c r="R213" s="491"/>
      <c r="S213" s="484"/>
      <c r="T213" s="484"/>
      <c r="U213" s="454">
        <v>0.85</v>
      </c>
      <c r="V213" s="495">
        <f t="shared" ref="V213:V218" si="24">U213/U205</f>
        <v>0.125</v>
      </c>
    </row>
    <row r="214">
      <c r="A214" s="473"/>
      <c r="B214" s="458" t="s">
        <v>619</v>
      </c>
      <c r="K214" s="491"/>
      <c r="L214" s="491">
        <f t="shared" ref="L214:Q214" si="23">$V$214*L206</f>
        <v>0.5576388889</v>
      </c>
      <c r="M214" s="491">
        <f t="shared" si="23"/>
        <v>0.6111111111</v>
      </c>
      <c r="N214" s="491">
        <f t="shared" si="23"/>
        <v>0.7180555556</v>
      </c>
      <c r="O214" s="491">
        <f t="shared" si="23"/>
        <v>0.825</v>
      </c>
      <c r="P214" s="491">
        <f t="shared" si="23"/>
        <v>0.7791666667</v>
      </c>
      <c r="Q214" s="491">
        <f t="shared" si="23"/>
        <v>0.9472222222</v>
      </c>
      <c r="R214" s="491"/>
      <c r="S214" s="484"/>
      <c r="T214" s="484"/>
      <c r="U214" s="454">
        <v>1.1</v>
      </c>
      <c r="V214" s="495">
        <f t="shared" si="24"/>
        <v>0.1527777778</v>
      </c>
    </row>
    <row r="215">
      <c r="A215" s="473"/>
      <c r="B215" s="458" t="s">
        <v>620</v>
      </c>
      <c r="K215" s="491">
        <f t="shared" ref="K215:Q215" si="25">$V$215*K207</f>
        <v>0.5866666667</v>
      </c>
      <c r="L215" s="491">
        <f t="shared" si="25"/>
        <v>0.5266666667</v>
      </c>
      <c r="M215" s="491">
        <f t="shared" si="25"/>
        <v>0.6333333333</v>
      </c>
      <c r="N215" s="491">
        <f t="shared" si="25"/>
        <v>0.86</v>
      </c>
      <c r="O215" s="491">
        <f t="shared" si="25"/>
        <v>1.04</v>
      </c>
      <c r="P215" s="491">
        <f t="shared" si="25"/>
        <v>0.88</v>
      </c>
      <c r="Q215" s="491">
        <f t="shared" si="25"/>
        <v>0.9</v>
      </c>
      <c r="R215" s="491"/>
      <c r="S215" s="484"/>
      <c r="T215" s="484"/>
      <c r="U215" s="454">
        <v>1.0</v>
      </c>
      <c r="V215" s="495">
        <f t="shared" si="24"/>
        <v>0.1333333333</v>
      </c>
    </row>
    <row r="216">
      <c r="A216" s="473"/>
      <c r="B216" s="458" t="s">
        <v>621</v>
      </c>
      <c r="K216" s="491">
        <f t="shared" ref="K216:R216" si="26">$V$216*K208</f>
        <v>0.3115384615</v>
      </c>
      <c r="L216" s="491">
        <f t="shared" si="26"/>
        <v>0.3846153846</v>
      </c>
      <c r="M216" s="491">
        <f t="shared" si="26"/>
        <v>0.4230769231</v>
      </c>
      <c r="N216" s="491">
        <f t="shared" si="26"/>
        <v>0.5307692308</v>
      </c>
      <c r="O216" s="491">
        <f t="shared" si="26"/>
        <v>0.5884615385</v>
      </c>
      <c r="P216" s="491">
        <f t="shared" si="26"/>
        <v>0.5307692308</v>
      </c>
      <c r="Q216" s="491">
        <f t="shared" si="26"/>
        <v>0.5538461538</v>
      </c>
      <c r="R216" s="491">
        <f t="shared" si="26"/>
        <v>0.5</v>
      </c>
      <c r="S216" s="484"/>
      <c r="T216" s="484"/>
      <c r="U216" s="454">
        <v>0.5</v>
      </c>
      <c r="V216" s="495">
        <f t="shared" si="24"/>
        <v>0.07692307692</v>
      </c>
    </row>
    <row r="217">
      <c r="A217" s="473"/>
      <c r="B217" s="458" t="s">
        <v>622</v>
      </c>
      <c r="K217" s="491">
        <f t="shared" ref="K217:R217" si="27">$V$217*K209</f>
        <v>0.4666666667</v>
      </c>
      <c r="L217" s="491">
        <f t="shared" si="27"/>
        <v>0.5266666667</v>
      </c>
      <c r="M217" s="491">
        <f t="shared" si="27"/>
        <v>0.6533333333</v>
      </c>
      <c r="N217" s="491">
        <f t="shared" si="27"/>
        <v>0.8133333333</v>
      </c>
      <c r="O217" s="491">
        <f t="shared" si="27"/>
        <v>0.98</v>
      </c>
      <c r="P217" s="491">
        <f t="shared" si="27"/>
        <v>0.9466666667</v>
      </c>
      <c r="Q217" s="491">
        <f t="shared" si="27"/>
        <v>0.8133333333</v>
      </c>
      <c r="R217" s="491">
        <f t="shared" si="27"/>
        <v>0.88</v>
      </c>
      <c r="S217" s="484"/>
      <c r="T217" s="484"/>
      <c r="U217" s="454">
        <v>0.9</v>
      </c>
      <c r="V217" s="495">
        <f t="shared" si="24"/>
        <v>0.1333333333</v>
      </c>
    </row>
    <row r="218">
      <c r="A218" s="473"/>
      <c r="B218" s="458" t="s">
        <v>623</v>
      </c>
      <c r="K218" s="484"/>
      <c r="L218" s="491">
        <f t="shared" ref="L218:S218" si="28">$V$218*L210</f>
        <v>1.356</v>
      </c>
      <c r="M218" s="491">
        <f t="shared" si="28"/>
        <v>1.284</v>
      </c>
      <c r="N218" s="491">
        <f t="shared" si="28"/>
        <v>1.2</v>
      </c>
      <c r="O218" s="491">
        <f t="shared" si="28"/>
        <v>1.14</v>
      </c>
      <c r="P218" s="491">
        <f t="shared" si="28"/>
        <v>1.08</v>
      </c>
      <c r="Q218" s="491">
        <f t="shared" si="28"/>
        <v>1.02</v>
      </c>
      <c r="R218" s="491">
        <f t="shared" si="28"/>
        <v>0.984</v>
      </c>
      <c r="S218" s="491">
        <f t="shared" si="28"/>
        <v>0.9</v>
      </c>
      <c r="T218" s="454"/>
      <c r="U218" s="454">
        <v>0.9</v>
      </c>
      <c r="V218" s="495">
        <f t="shared" si="24"/>
        <v>0.12</v>
      </c>
    </row>
    <row r="219">
      <c r="A219" s="473"/>
      <c r="B219" s="76" t="s">
        <v>628</v>
      </c>
      <c r="K219" s="484"/>
      <c r="L219" s="484"/>
      <c r="M219" s="484"/>
      <c r="N219" s="484"/>
      <c r="O219" s="484"/>
      <c r="P219" s="484"/>
      <c r="Q219" s="484"/>
      <c r="R219" s="484"/>
      <c r="S219" s="484"/>
      <c r="T219" s="484"/>
      <c r="U219" s="484"/>
    </row>
    <row r="220">
      <c r="A220" s="473"/>
      <c r="B220" s="458" t="s">
        <v>618</v>
      </c>
      <c r="K220" s="491"/>
      <c r="L220" s="491">
        <f t="shared" ref="L220:Q220" si="29">sum(L191,L198,L213)</f>
        <v>4.1625</v>
      </c>
      <c r="M220" s="491">
        <f t="shared" si="29"/>
        <v>5.4</v>
      </c>
      <c r="N220" s="491">
        <f t="shared" si="29"/>
        <v>8.325</v>
      </c>
      <c r="O220" s="491">
        <f t="shared" si="29"/>
        <v>10.35</v>
      </c>
      <c r="P220" s="491">
        <f t="shared" si="29"/>
        <v>9.5625</v>
      </c>
      <c r="Q220" s="491">
        <f t="shared" si="29"/>
        <v>7.9875</v>
      </c>
      <c r="R220" s="491"/>
      <c r="S220" s="484"/>
      <c r="T220" s="484"/>
      <c r="U220" s="484">
        <f t="shared" ref="U220:U225" si="31">sum(U191,U198,U213)</f>
        <v>7.65</v>
      </c>
    </row>
    <row r="221">
      <c r="A221" s="473"/>
      <c r="B221" s="458" t="s">
        <v>619</v>
      </c>
      <c r="K221" s="491"/>
      <c r="L221" s="491">
        <f t="shared" ref="L221:Q221" si="30">sum(L192,L199,L214)</f>
        <v>4.207638889</v>
      </c>
      <c r="M221" s="491">
        <f t="shared" si="30"/>
        <v>4.611111111</v>
      </c>
      <c r="N221" s="491">
        <f t="shared" si="30"/>
        <v>5.418055556</v>
      </c>
      <c r="O221" s="491">
        <f t="shared" si="30"/>
        <v>6.225</v>
      </c>
      <c r="P221" s="491">
        <f t="shared" si="30"/>
        <v>5.879166667</v>
      </c>
      <c r="Q221" s="491">
        <f t="shared" si="30"/>
        <v>7.147222222</v>
      </c>
      <c r="R221" s="491"/>
      <c r="S221" s="484"/>
      <c r="T221" s="484"/>
      <c r="U221" s="484">
        <f t="shared" si="31"/>
        <v>8.3</v>
      </c>
    </row>
    <row r="222">
      <c r="A222" s="473"/>
      <c r="B222" s="458" t="s">
        <v>620</v>
      </c>
      <c r="K222" s="491">
        <f t="shared" ref="K222:Q222" si="32">sum(K193,K200,K215)</f>
        <v>4.986666667</v>
      </c>
      <c r="L222" s="491">
        <f t="shared" si="32"/>
        <v>4.476666667</v>
      </c>
      <c r="M222" s="491">
        <f t="shared" si="32"/>
        <v>5.383333333</v>
      </c>
      <c r="N222" s="491">
        <f t="shared" si="32"/>
        <v>7.31</v>
      </c>
      <c r="O222" s="491">
        <f t="shared" si="32"/>
        <v>8.84</v>
      </c>
      <c r="P222" s="491">
        <f t="shared" si="32"/>
        <v>7.48</v>
      </c>
      <c r="Q222" s="491">
        <f t="shared" si="32"/>
        <v>7.65</v>
      </c>
      <c r="R222" s="491"/>
      <c r="S222" s="484"/>
      <c r="T222" s="484"/>
      <c r="U222" s="484">
        <f t="shared" si="31"/>
        <v>8.5</v>
      </c>
    </row>
    <row r="223">
      <c r="A223" s="473"/>
      <c r="B223" s="458" t="s">
        <v>621</v>
      </c>
      <c r="K223" s="491">
        <f t="shared" ref="K223:R223" si="33">sum(K194,K201,K216)</f>
        <v>4.361538462</v>
      </c>
      <c r="L223" s="491">
        <f t="shared" si="33"/>
        <v>5.384615385</v>
      </c>
      <c r="M223" s="491">
        <f t="shared" si="33"/>
        <v>5.923076923</v>
      </c>
      <c r="N223" s="491">
        <f t="shared" si="33"/>
        <v>7.430769231</v>
      </c>
      <c r="O223" s="491">
        <f t="shared" si="33"/>
        <v>8.238461538</v>
      </c>
      <c r="P223" s="491">
        <f t="shared" si="33"/>
        <v>7.430769231</v>
      </c>
      <c r="Q223" s="491">
        <f t="shared" si="33"/>
        <v>7.753846154</v>
      </c>
      <c r="R223" s="491">
        <f t="shared" si="33"/>
        <v>7</v>
      </c>
      <c r="S223" s="484"/>
      <c r="T223" s="484"/>
      <c r="U223" s="484">
        <f t="shared" si="31"/>
        <v>7</v>
      </c>
    </row>
    <row r="224">
      <c r="A224" s="473"/>
      <c r="B224" s="458" t="s">
        <v>622</v>
      </c>
      <c r="K224" s="491">
        <f t="shared" ref="K224:R224" si="34">sum(K195,K202,K217)</f>
        <v>3.966666667</v>
      </c>
      <c r="L224" s="491">
        <f t="shared" si="34"/>
        <v>4.476666667</v>
      </c>
      <c r="M224" s="491">
        <f t="shared" si="34"/>
        <v>5.553333333</v>
      </c>
      <c r="N224" s="491">
        <f t="shared" si="34"/>
        <v>6.913333333</v>
      </c>
      <c r="O224" s="491">
        <f t="shared" si="34"/>
        <v>8.33</v>
      </c>
      <c r="P224" s="491">
        <f t="shared" si="34"/>
        <v>8.046666667</v>
      </c>
      <c r="Q224" s="491">
        <f t="shared" si="34"/>
        <v>6.913333333</v>
      </c>
      <c r="R224" s="491">
        <f t="shared" si="34"/>
        <v>7.48</v>
      </c>
      <c r="S224" s="484"/>
      <c r="T224" s="484"/>
      <c r="U224" s="484">
        <f t="shared" si="31"/>
        <v>7.65</v>
      </c>
    </row>
    <row r="225">
      <c r="A225" s="473"/>
      <c r="B225" s="458" t="s">
        <v>623</v>
      </c>
      <c r="K225" s="484"/>
      <c r="L225" s="484">
        <f t="shared" ref="L225:S225" si="35">sum(L196,L203,L218)</f>
        <v>12.656</v>
      </c>
      <c r="M225" s="484">
        <f t="shared" si="35"/>
        <v>11.984</v>
      </c>
      <c r="N225" s="484">
        <f t="shared" si="35"/>
        <v>11.2</v>
      </c>
      <c r="O225" s="484">
        <f t="shared" si="35"/>
        <v>10.64</v>
      </c>
      <c r="P225" s="484">
        <f t="shared" si="35"/>
        <v>10.08</v>
      </c>
      <c r="Q225" s="484">
        <f t="shared" si="35"/>
        <v>9.52</v>
      </c>
      <c r="R225" s="484">
        <f t="shared" si="35"/>
        <v>9.184</v>
      </c>
      <c r="S225" s="484">
        <f t="shared" si="35"/>
        <v>8.4</v>
      </c>
      <c r="T225" s="484"/>
      <c r="U225" s="484">
        <f t="shared" si="31"/>
        <v>8.4</v>
      </c>
      <c r="V225" s="447" t="s">
        <v>629</v>
      </c>
      <c r="W225" s="447"/>
    </row>
    <row r="226">
      <c r="A226" s="473"/>
      <c r="B226" s="76" t="s">
        <v>630</v>
      </c>
      <c r="C226" s="485">
        <f t="shared" ref="C226:K226" si="36">D226*(C255/D255)</f>
        <v>2.468692604</v>
      </c>
      <c r="D226" s="485">
        <f t="shared" si="36"/>
        <v>3.138005727</v>
      </c>
      <c r="E226" s="485">
        <f t="shared" si="36"/>
        <v>2.73650646</v>
      </c>
      <c r="F226" s="485">
        <f t="shared" si="36"/>
        <v>2.733380214</v>
      </c>
      <c r="G226" s="485">
        <f t="shared" si="36"/>
        <v>3.004620436</v>
      </c>
      <c r="H226" s="485">
        <f t="shared" si="36"/>
        <v>4.690708346</v>
      </c>
      <c r="I226" s="485">
        <f t="shared" si="36"/>
        <v>6.85139072</v>
      </c>
      <c r="J226" s="485">
        <f t="shared" si="36"/>
        <v>6.509290121</v>
      </c>
      <c r="K226" s="485">
        <f t="shared" si="36"/>
        <v>6.631065429</v>
      </c>
      <c r="L226" s="493">
        <f t="shared" ref="L226:Q226" si="37">average(L220:L225)</f>
        <v>5.894014601</v>
      </c>
      <c r="M226" s="494">
        <f t="shared" si="37"/>
        <v>6.475809117</v>
      </c>
      <c r="N226" s="494">
        <f t="shared" si="37"/>
        <v>7.76619302</v>
      </c>
      <c r="O226" s="494">
        <f t="shared" si="37"/>
        <v>8.770576923</v>
      </c>
      <c r="P226" s="494">
        <f t="shared" si="37"/>
        <v>8.079850427</v>
      </c>
      <c r="Q226" s="494">
        <f t="shared" si="37"/>
        <v>7.828650285</v>
      </c>
      <c r="R226" s="485">
        <f t="shared" ref="R226:T226" si="38">Q226*(R255/Q255)</f>
        <v>6.428965601</v>
      </c>
      <c r="S226" s="485">
        <f t="shared" si="38"/>
        <v>5.355706554</v>
      </c>
      <c r="T226" s="485">
        <f t="shared" si="38"/>
        <v>5.518491099</v>
      </c>
      <c r="U226" s="494">
        <f>average(U220:U225)</f>
        <v>7.916666667</v>
      </c>
    </row>
    <row r="227">
      <c r="A227" s="473" t="s">
        <v>631</v>
      </c>
    </row>
    <row r="228">
      <c r="A228" s="473"/>
      <c r="B228" s="458" t="s">
        <v>618</v>
      </c>
      <c r="I228" s="496">
        <v>6.53</v>
      </c>
      <c r="J228" s="496">
        <v>6.67</v>
      </c>
      <c r="K228" s="496">
        <v>7.39</v>
      </c>
      <c r="L228" s="496">
        <v>7.01</v>
      </c>
      <c r="M228" s="496">
        <v>7.6</v>
      </c>
      <c r="N228" s="496">
        <v>9.2</v>
      </c>
      <c r="O228" s="496">
        <v>9.87</v>
      </c>
      <c r="P228" s="496">
        <v>8.32</v>
      </c>
      <c r="Q228" s="496">
        <v>7.33</v>
      </c>
      <c r="R228" s="496">
        <v>6.8</v>
      </c>
    </row>
    <row r="229">
      <c r="A229" s="473"/>
      <c r="B229" s="458" t="s">
        <v>619</v>
      </c>
      <c r="I229" s="496">
        <v>5.52</v>
      </c>
      <c r="J229" s="496">
        <v>5.52</v>
      </c>
      <c r="K229" s="496">
        <v>6.53</v>
      </c>
      <c r="L229" s="496">
        <v>5.73</v>
      </c>
      <c r="M229" s="496">
        <v>6.24</v>
      </c>
      <c r="N229" s="496">
        <v>7.52</v>
      </c>
      <c r="O229" s="496">
        <v>8.32</v>
      </c>
      <c r="P229" s="496">
        <v>6.99</v>
      </c>
      <c r="Q229" s="496">
        <v>6.27</v>
      </c>
      <c r="R229" s="496">
        <v>5.71</v>
      </c>
    </row>
    <row r="230">
      <c r="A230" s="473"/>
      <c r="B230" s="458" t="s">
        <v>632</v>
      </c>
      <c r="I230" s="496">
        <v>6.32</v>
      </c>
      <c r="J230" s="496">
        <v>6.48</v>
      </c>
      <c r="K230" s="496">
        <v>7.33</v>
      </c>
      <c r="L230" s="496">
        <v>6.75</v>
      </c>
      <c r="M230" s="496">
        <v>7.28</v>
      </c>
      <c r="N230" s="496">
        <v>8.67</v>
      </c>
      <c r="O230" s="496">
        <v>9.15</v>
      </c>
      <c r="P230" s="496">
        <v>7.87</v>
      </c>
      <c r="Q230" s="496">
        <v>7.31</v>
      </c>
      <c r="R230" s="496">
        <v>6.8</v>
      </c>
    </row>
    <row r="231">
      <c r="A231" s="473"/>
      <c r="B231" s="458" t="s">
        <v>620</v>
      </c>
      <c r="I231" s="496">
        <v>5.79</v>
      </c>
      <c r="J231" s="496">
        <v>5.97</v>
      </c>
      <c r="K231" s="496">
        <v>6.85</v>
      </c>
      <c r="L231" s="496">
        <v>6.24</v>
      </c>
      <c r="M231" s="496">
        <v>6.77</v>
      </c>
      <c r="N231" s="496">
        <v>8.05</v>
      </c>
      <c r="O231" s="496">
        <v>8.4</v>
      </c>
      <c r="P231" s="496">
        <v>7.36</v>
      </c>
      <c r="Q231" s="496">
        <v>7.07</v>
      </c>
      <c r="R231" s="496">
        <v>6.27</v>
      </c>
    </row>
    <row r="232">
      <c r="A232" s="473"/>
      <c r="B232" s="458" t="s">
        <v>622</v>
      </c>
      <c r="I232" s="496">
        <v>5.73</v>
      </c>
      <c r="J232" s="496">
        <v>5.73</v>
      </c>
      <c r="K232" s="496">
        <v>6.56</v>
      </c>
      <c r="L232" s="496">
        <v>6.0</v>
      </c>
      <c r="M232" s="496">
        <v>6.53</v>
      </c>
      <c r="N232" s="496">
        <v>7.81</v>
      </c>
      <c r="O232" s="496">
        <v>7.92</v>
      </c>
      <c r="P232" s="496">
        <v>6.99</v>
      </c>
      <c r="Q232" s="496">
        <v>6.4</v>
      </c>
      <c r="R232" s="496">
        <v>5.97</v>
      </c>
    </row>
    <row r="233">
      <c r="A233" s="473"/>
      <c r="B233" s="76" t="s">
        <v>633</v>
      </c>
      <c r="C233" s="485">
        <f t="shared" ref="C233:H233" si="39">D233*(C255/D255)</f>
        <v>2.153992524</v>
      </c>
      <c r="D233" s="485">
        <f t="shared" si="39"/>
        <v>2.73798401</v>
      </c>
      <c r="E233" s="485">
        <f t="shared" si="39"/>
        <v>2.38766643</v>
      </c>
      <c r="F233" s="485">
        <f t="shared" si="39"/>
        <v>2.384938706</v>
      </c>
      <c r="G233" s="485">
        <f t="shared" si="39"/>
        <v>2.621602197</v>
      </c>
      <c r="H233" s="485">
        <f t="shared" si="39"/>
        <v>4.092753667</v>
      </c>
      <c r="I233" s="494">
        <f t="shared" ref="I233:R233" si="40">average(I228:I232)</f>
        <v>5.978</v>
      </c>
      <c r="J233" s="494">
        <f t="shared" si="40"/>
        <v>6.074</v>
      </c>
      <c r="K233" s="494">
        <f t="shared" si="40"/>
        <v>6.932</v>
      </c>
      <c r="L233" s="494">
        <f t="shared" si="40"/>
        <v>6.346</v>
      </c>
      <c r="M233" s="494">
        <f t="shared" si="40"/>
        <v>6.884</v>
      </c>
      <c r="N233" s="494">
        <f t="shared" si="40"/>
        <v>8.25</v>
      </c>
      <c r="O233" s="494">
        <f t="shared" si="40"/>
        <v>8.732</v>
      </c>
      <c r="P233" s="494">
        <f t="shared" si="40"/>
        <v>7.506</v>
      </c>
      <c r="Q233" s="494">
        <f t="shared" si="40"/>
        <v>6.876</v>
      </c>
      <c r="R233" s="494">
        <f t="shared" si="40"/>
        <v>6.31</v>
      </c>
      <c r="S233" s="485">
        <f t="shared" ref="S233:U233" si="41">R233*(S255/R255)</f>
        <v>5.25660121</v>
      </c>
      <c r="T233" s="485">
        <f t="shared" si="41"/>
        <v>5.416373488</v>
      </c>
      <c r="U233" s="485">
        <f t="shared" si="41"/>
        <v>5.566457815</v>
      </c>
    </row>
    <row r="234">
      <c r="A234" s="473"/>
    </row>
    <row r="235">
      <c r="A235" s="473"/>
      <c r="B235" s="447"/>
      <c r="C235" s="76"/>
      <c r="D235" s="76"/>
      <c r="E235" s="76"/>
      <c r="F235" s="76"/>
      <c r="G235" s="76"/>
      <c r="H235" s="76"/>
      <c r="I235" s="76"/>
      <c r="J235" s="76"/>
      <c r="K235" s="76"/>
      <c r="L235" s="76"/>
      <c r="M235" s="76"/>
      <c r="N235" s="76"/>
      <c r="O235" s="76"/>
      <c r="P235" s="76"/>
      <c r="Q235" s="76"/>
      <c r="R235" s="76"/>
      <c r="S235" s="76"/>
      <c r="T235" s="76"/>
      <c r="U235" s="76"/>
    </row>
    <row r="236">
      <c r="A236" s="473" t="s">
        <v>634</v>
      </c>
    </row>
    <row r="237">
      <c r="A237" s="473"/>
      <c r="B237" s="447"/>
      <c r="C237" s="76">
        <v>2000.0</v>
      </c>
      <c r="D237" s="76">
        <v>2001.0</v>
      </c>
      <c r="E237" s="76">
        <v>2002.0</v>
      </c>
      <c r="F237" s="76">
        <v>2003.0</v>
      </c>
      <c r="G237" s="76">
        <v>2004.0</v>
      </c>
      <c r="H237" s="76">
        <v>2005.0</v>
      </c>
      <c r="I237" s="76">
        <v>2006.0</v>
      </c>
      <c r="J237" s="76">
        <v>2007.0</v>
      </c>
      <c r="K237" s="76">
        <v>2008.0</v>
      </c>
      <c r="L237" s="76">
        <v>2009.0</v>
      </c>
      <c r="M237" s="76">
        <v>2010.0</v>
      </c>
      <c r="N237" s="76">
        <v>2011.0</v>
      </c>
      <c r="O237" s="76">
        <v>2012.0</v>
      </c>
      <c r="P237" s="76">
        <v>2013.0</v>
      </c>
      <c r="Q237" s="76">
        <v>2014.0</v>
      </c>
      <c r="R237" s="76">
        <v>2015.0</v>
      </c>
      <c r="S237" s="76">
        <v>2016.0</v>
      </c>
      <c r="T237" s="76">
        <v>2017.0</v>
      </c>
      <c r="U237" s="76">
        <v>2018.0</v>
      </c>
    </row>
    <row r="238">
      <c r="A238" s="473"/>
      <c r="B238" s="447" t="s">
        <v>635</v>
      </c>
      <c r="C238" s="454">
        <v>0.7546</v>
      </c>
      <c r="D238" s="497">
        <v>0.9432</v>
      </c>
      <c r="E238" s="497">
        <v>1.0542</v>
      </c>
      <c r="F238" s="497">
        <v>1.1995</v>
      </c>
      <c r="G238" s="497">
        <v>1.6731</v>
      </c>
      <c r="H238" s="497">
        <v>1.7207</v>
      </c>
      <c r="I238" s="497">
        <v>2.1017</v>
      </c>
      <c r="J238" s="497">
        <v>4.1717</v>
      </c>
      <c r="N238" s="494">
        <f t="shared" ref="N238:S238" si="42">1000*N245/N246</f>
        <v>2.826086957</v>
      </c>
      <c r="O238" s="494">
        <f t="shared" si="42"/>
        <v>3.288685382</v>
      </c>
      <c r="P238" s="494">
        <f t="shared" si="42"/>
        <v>3.279380093</v>
      </c>
      <c r="Q238" s="494">
        <f t="shared" si="42"/>
        <v>3.628893478</v>
      </c>
      <c r="R238" s="494">
        <f t="shared" si="42"/>
        <v>4.26255684</v>
      </c>
      <c r="S238" s="494">
        <f t="shared" si="42"/>
        <v>4.250885769</v>
      </c>
      <c r="T238" s="447" t="s">
        <v>636</v>
      </c>
    </row>
    <row r="239">
      <c r="A239" s="473"/>
      <c r="B239" s="447" t="s">
        <v>637</v>
      </c>
      <c r="C239" s="454">
        <v>0.5934</v>
      </c>
      <c r="D239" s="454">
        <v>0.7291</v>
      </c>
      <c r="E239" s="454">
        <v>0.8828</v>
      </c>
      <c r="F239" s="454">
        <v>1.0373</v>
      </c>
      <c r="G239" s="454">
        <v>1.4418</v>
      </c>
      <c r="H239" s="454">
        <v>1.9204</v>
      </c>
      <c r="I239" s="454">
        <v>2.2386</v>
      </c>
      <c r="J239" s="454">
        <v>4.0004</v>
      </c>
    </row>
    <row r="240">
      <c r="A240" s="473"/>
      <c r="B240" s="447" t="s">
        <v>638</v>
      </c>
      <c r="C240" s="454">
        <v>0.7569</v>
      </c>
      <c r="D240" s="454">
        <v>0.8965</v>
      </c>
      <c r="E240" s="454">
        <v>0.9919</v>
      </c>
      <c r="F240" s="454">
        <v>1.106</v>
      </c>
      <c r="G240" s="454">
        <v>1.7164</v>
      </c>
      <c r="H240" s="454">
        <v>1.4976</v>
      </c>
      <c r="I240" s="454">
        <v>1.9362</v>
      </c>
      <c r="J240" s="454">
        <v>3.9069</v>
      </c>
    </row>
    <row r="241">
      <c r="A241" s="473"/>
      <c r="B241" s="447" t="s">
        <v>639</v>
      </c>
      <c r="C241" s="454">
        <v>1.0754</v>
      </c>
      <c r="D241" s="454">
        <v>1.6204</v>
      </c>
      <c r="E241" s="454">
        <v>1.6734</v>
      </c>
      <c r="F241" s="454">
        <v>2.0651</v>
      </c>
      <c r="G241" s="454">
        <v>1.9773</v>
      </c>
      <c r="H241" s="454">
        <v>2.3929</v>
      </c>
      <c r="I241" s="454">
        <v>2.6646</v>
      </c>
      <c r="J241" s="454">
        <v>6.1312</v>
      </c>
    </row>
    <row r="242">
      <c r="A242" s="473"/>
      <c r="B242" s="482" t="s">
        <v>640</v>
      </c>
      <c r="C242" s="498">
        <f t="shared" ref="C242:T242" si="43">C309</f>
        <v>30.30083333</v>
      </c>
      <c r="D242" s="498">
        <f t="shared" si="43"/>
        <v>25.9475</v>
      </c>
      <c r="E242" s="498">
        <f t="shared" si="43"/>
        <v>26.115</v>
      </c>
      <c r="F242" s="498">
        <f t="shared" si="43"/>
        <v>31.12083333</v>
      </c>
      <c r="G242" s="498">
        <f t="shared" si="43"/>
        <v>41.44333333</v>
      </c>
      <c r="H242" s="498">
        <f t="shared" si="43"/>
        <v>56.4925</v>
      </c>
      <c r="I242" s="498">
        <f t="shared" si="43"/>
        <v>66.01833333</v>
      </c>
      <c r="J242" s="498">
        <f t="shared" si="43"/>
        <v>72.31833333</v>
      </c>
      <c r="K242" s="498">
        <f t="shared" si="43"/>
        <v>99.57166667</v>
      </c>
      <c r="L242" s="498">
        <f t="shared" si="43"/>
        <v>61.65416667</v>
      </c>
      <c r="M242" s="498">
        <f t="shared" si="43"/>
        <v>79.395</v>
      </c>
      <c r="N242" s="498">
        <f t="shared" si="43"/>
        <v>94.87416667</v>
      </c>
      <c r="O242" s="498">
        <f t="shared" si="43"/>
        <v>94.11083333</v>
      </c>
      <c r="P242" s="498">
        <f t="shared" si="43"/>
        <v>97.90583333</v>
      </c>
      <c r="Q242" s="498">
        <f t="shared" si="43"/>
        <v>93.25833333</v>
      </c>
      <c r="R242" s="498">
        <f t="shared" si="43"/>
        <v>48.68833333</v>
      </c>
      <c r="S242" s="498">
        <f t="shared" si="43"/>
        <v>43.14416667</v>
      </c>
      <c r="T242" s="498">
        <f t="shared" si="43"/>
        <v>50.88416667</v>
      </c>
      <c r="V242" s="447"/>
    </row>
    <row r="243">
      <c r="A243" s="473"/>
      <c r="N243" s="492"/>
      <c r="V243" s="447"/>
    </row>
    <row r="244">
      <c r="A244" s="473" t="s">
        <v>641</v>
      </c>
      <c r="N244" s="494">
        <f>1000*(N245-N247)/(N246-N248)</f>
        <v>1.744784771</v>
      </c>
      <c r="O244" s="447" t="s">
        <v>642</v>
      </c>
    </row>
    <row r="245">
      <c r="A245" s="473"/>
      <c r="B245" s="447" t="s">
        <v>643</v>
      </c>
      <c r="N245" s="454">
        <v>124.8</v>
      </c>
      <c r="O245" s="454">
        <v>153.7</v>
      </c>
      <c r="P245" s="454">
        <v>147.7</v>
      </c>
      <c r="Q245" s="454">
        <v>168.7</v>
      </c>
      <c r="R245" s="454">
        <v>122.8</v>
      </c>
      <c r="S245" s="454">
        <v>67.6</v>
      </c>
    </row>
    <row r="246">
      <c r="A246" s="473"/>
      <c r="B246" s="447" t="s">
        <v>644</v>
      </c>
      <c r="N246" s="447">
        <v>44160.0</v>
      </c>
      <c r="O246" s="447">
        <v>46736.0</v>
      </c>
      <c r="P246" s="447">
        <v>45039.0</v>
      </c>
      <c r="Q246" s="447">
        <v>46488.0</v>
      </c>
      <c r="R246" s="447">
        <v>28809.0</v>
      </c>
      <c r="S246" s="483">
        <f>R246*(1-0.448)</f>
        <v>15902.568</v>
      </c>
    </row>
    <row r="247">
      <c r="A247" s="473"/>
      <c r="B247" s="447" t="s">
        <v>645</v>
      </c>
      <c r="N247" s="454">
        <v>65.5</v>
      </c>
      <c r="O247" s="484">
        <f>O245*0.346</f>
        <v>53.1802</v>
      </c>
      <c r="P247" s="484">
        <f>P245*0.635</f>
        <v>93.7895</v>
      </c>
      <c r="Q247" s="484">
        <f>Q245*0.486</f>
        <v>81.9882</v>
      </c>
      <c r="R247" s="484">
        <f>R245*0.477</f>
        <v>58.5756</v>
      </c>
    </row>
    <row r="248">
      <c r="A248" s="473"/>
      <c r="B248" s="447" t="s">
        <v>646</v>
      </c>
      <c r="L248" s="447">
        <v>5531.0</v>
      </c>
      <c r="M248" s="447">
        <v>7077.0</v>
      </c>
      <c r="N248" s="447">
        <v>10173.0</v>
      </c>
    </row>
    <row r="249">
      <c r="A249" s="473"/>
      <c r="N249" s="494">
        <f>1000*N247/N248</f>
        <v>6.438612012</v>
      </c>
      <c r="O249" s="447" t="s">
        <v>647</v>
      </c>
    </row>
    <row r="250">
      <c r="A250" s="473"/>
      <c r="O250" s="447" t="s">
        <v>648</v>
      </c>
    </row>
    <row r="251">
      <c r="A251" s="473" t="s">
        <v>649</v>
      </c>
      <c r="C251" s="76">
        <v>2000.0</v>
      </c>
      <c r="D251" s="76">
        <v>2001.0</v>
      </c>
      <c r="E251" s="76">
        <v>2002.0</v>
      </c>
      <c r="F251" s="76">
        <v>2003.0</v>
      </c>
      <c r="G251" s="76">
        <v>2004.0</v>
      </c>
      <c r="H251" s="76">
        <v>2005.0</v>
      </c>
      <c r="I251" s="76">
        <v>2006.0</v>
      </c>
      <c r="J251" s="76">
        <v>2007.0</v>
      </c>
      <c r="K251" s="76">
        <v>2008.0</v>
      </c>
      <c r="L251" s="76">
        <v>2009.0</v>
      </c>
      <c r="M251" s="76">
        <v>2010.0</v>
      </c>
      <c r="N251" s="76">
        <v>2011.0</v>
      </c>
      <c r="O251" s="76">
        <v>2012.0</v>
      </c>
      <c r="P251" s="76">
        <v>2013.0</v>
      </c>
      <c r="Q251" s="76">
        <v>2014.0</v>
      </c>
      <c r="R251" s="76">
        <v>2015.0</v>
      </c>
      <c r="S251" s="76">
        <v>2016.0</v>
      </c>
      <c r="T251" s="76">
        <v>2017.0</v>
      </c>
      <c r="U251" s="76">
        <v>2018.0</v>
      </c>
    </row>
    <row r="252">
      <c r="A252" s="473"/>
      <c r="B252" s="447" t="s">
        <v>650</v>
      </c>
      <c r="C252" s="499">
        <v>100.0</v>
      </c>
      <c r="D252" s="499">
        <v>103.125</v>
      </c>
      <c r="E252" s="499">
        <v>100.0</v>
      </c>
      <c r="F252" s="499">
        <v>106.25</v>
      </c>
      <c r="G252" s="499">
        <v>123.75</v>
      </c>
      <c r="H252" s="499">
        <v>132.5</v>
      </c>
      <c r="I252" s="499">
        <v>168.75</v>
      </c>
      <c r="J252" s="499">
        <v>181.25</v>
      </c>
      <c r="K252" s="499">
        <v>192.5</v>
      </c>
      <c r="L252" s="499">
        <v>168.75</v>
      </c>
      <c r="M252" s="499">
        <v>175.0</v>
      </c>
      <c r="N252" s="499">
        <v>187.5</v>
      </c>
      <c r="O252" s="499">
        <v>190.625</v>
      </c>
      <c r="P252" s="499">
        <v>193.75</v>
      </c>
      <c r="Q252" s="499">
        <v>181.25</v>
      </c>
      <c r="R252" s="499">
        <v>168.75</v>
      </c>
      <c r="S252" s="499">
        <v>156.25</v>
      </c>
      <c r="T252" s="499">
        <v>159.375</v>
      </c>
      <c r="U252" s="499">
        <v>165.0</v>
      </c>
    </row>
    <row r="253">
      <c r="A253" s="473"/>
      <c r="B253" s="447" t="s">
        <v>651</v>
      </c>
      <c r="C253" s="499">
        <v>100.0</v>
      </c>
      <c r="D253" s="499">
        <v>100.0</v>
      </c>
      <c r="E253" s="499">
        <v>100.0</v>
      </c>
      <c r="F253" s="499">
        <v>104.7945205</v>
      </c>
      <c r="G253" s="499">
        <v>111.6438356</v>
      </c>
      <c r="H253" s="499">
        <v>129.4520548</v>
      </c>
      <c r="I253" s="499">
        <v>132.8767123</v>
      </c>
      <c r="J253" s="499">
        <v>150.0</v>
      </c>
      <c r="K253" s="499">
        <v>180.8219178</v>
      </c>
      <c r="L253" s="499">
        <v>167.1232877</v>
      </c>
      <c r="M253" s="499">
        <v>173.9726027</v>
      </c>
      <c r="N253" s="499">
        <v>177.3972603</v>
      </c>
      <c r="O253" s="499">
        <v>184.2465753</v>
      </c>
      <c r="P253" s="499">
        <v>191.0958904</v>
      </c>
      <c r="Q253" s="499">
        <v>201.369863</v>
      </c>
      <c r="R253" s="499">
        <v>187.6712329</v>
      </c>
      <c r="S253" s="499">
        <v>163.6986301</v>
      </c>
      <c r="T253" s="499">
        <v>167.1232877</v>
      </c>
      <c r="U253" s="499">
        <v>173.9726027</v>
      </c>
    </row>
    <row r="254">
      <c r="A254" s="473"/>
      <c r="B254" s="447" t="s">
        <v>652</v>
      </c>
      <c r="D254" s="500">
        <f t="shared" ref="D254:U254" si="44">$C$238*(D252/$C$252)</f>
        <v>0.77818125</v>
      </c>
      <c r="E254" s="500">
        <f t="shared" si="44"/>
        <v>0.7546</v>
      </c>
      <c r="F254" s="500">
        <f t="shared" si="44"/>
        <v>0.8017625</v>
      </c>
      <c r="G254" s="500">
        <f t="shared" si="44"/>
        <v>0.9338175</v>
      </c>
      <c r="H254" s="500">
        <f t="shared" si="44"/>
        <v>0.999845</v>
      </c>
      <c r="I254" s="500">
        <f t="shared" si="44"/>
        <v>1.2733875</v>
      </c>
      <c r="J254" s="500">
        <f t="shared" si="44"/>
        <v>1.3677125</v>
      </c>
      <c r="K254" s="500">
        <f t="shared" si="44"/>
        <v>1.452605</v>
      </c>
      <c r="L254" s="500">
        <f t="shared" si="44"/>
        <v>1.2733875</v>
      </c>
      <c r="M254" s="500">
        <f t="shared" si="44"/>
        <v>1.32055</v>
      </c>
      <c r="N254" s="500">
        <f t="shared" si="44"/>
        <v>1.414875</v>
      </c>
      <c r="O254" s="500">
        <f t="shared" si="44"/>
        <v>1.43845625</v>
      </c>
      <c r="P254" s="500">
        <f t="shared" si="44"/>
        <v>1.4620375</v>
      </c>
      <c r="Q254" s="500">
        <f t="shared" si="44"/>
        <v>1.3677125</v>
      </c>
      <c r="R254" s="500">
        <f t="shared" si="44"/>
        <v>1.2733875</v>
      </c>
      <c r="S254" s="500">
        <f t="shared" si="44"/>
        <v>1.1790625</v>
      </c>
      <c r="T254" s="500">
        <f t="shared" si="44"/>
        <v>1.20264375</v>
      </c>
      <c r="U254" s="500">
        <f t="shared" si="44"/>
        <v>1.24509</v>
      </c>
      <c r="V254" s="447" t="s">
        <v>653</v>
      </c>
    </row>
    <row r="255">
      <c r="A255" s="473" t="s">
        <v>654</v>
      </c>
      <c r="C255" s="486">
        <v>138.1917</v>
      </c>
      <c r="D255" s="486">
        <v>175.6583</v>
      </c>
      <c r="E255" s="486">
        <v>153.1833</v>
      </c>
      <c r="F255" s="486">
        <v>153.0083</v>
      </c>
      <c r="G255" s="486">
        <v>168.1917</v>
      </c>
      <c r="H255" s="486">
        <v>262.575</v>
      </c>
      <c r="I255" s="486">
        <v>383.525</v>
      </c>
      <c r="J255" s="486">
        <v>364.375</v>
      </c>
      <c r="K255" s="486">
        <v>371.1917</v>
      </c>
      <c r="L255" s="486">
        <v>329.9333</v>
      </c>
      <c r="M255" s="486">
        <v>325.125</v>
      </c>
      <c r="N255" s="486">
        <v>361.9167</v>
      </c>
      <c r="O255" s="486">
        <v>392.475</v>
      </c>
      <c r="P255" s="486">
        <v>436.7916667</v>
      </c>
      <c r="Q255" s="486">
        <v>456.075</v>
      </c>
      <c r="R255" s="486">
        <v>374.5333333</v>
      </c>
      <c r="S255" s="486">
        <v>312.0083</v>
      </c>
      <c r="T255" s="486">
        <v>321.4916667</v>
      </c>
      <c r="U255" s="486">
        <v>330.4</v>
      </c>
    </row>
    <row r="256">
      <c r="A256" s="473"/>
      <c r="B256" s="447" t="s">
        <v>655</v>
      </c>
      <c r="D256" s="501">
        <f t="shared" ref="D256:U256" si="45">$C$238*(D255/$C$255)</f>
        <v>0.959187514</v>
      </c>
      <c r="E256" s="501">
        <f t="shared" si="45"/>
        <v>0.8364620898</v>
      </c>
      <c r="F256" s="501">
        <f t="shared" si="45"/>
        <v>0.835506497</v>
      </c>
      <c r="G256" s="501">
        <f t="shared" si="45"/>
        <v>0.9184159166</v>
      </c>
      <c r="H256" s="501">
        <f t="shared" si="45"/>
        <v>1.43379881</v>
      </c>
      <c r="I256" s="501">
        <f t="shared" si="45"/>
        <v>2.09424998</v>
      </c>
      <c r="J256" s="501">
        <f t="shared" si="45"/>
        <v>1.98968082</v>
      </c>
      <c r="K256" s="501">
        <f t="shared" si="45"/>
        <v>2.026903619</v>
      </c>
      <c r="L256" s="501">
        <f t="shared" si="45"/>
        <v>1.801610865</v>
      </c>
      <c r="M256" s="501">
        <f t="shared" si="45"/>
        <v>1.775354996</v>
      </c>
      <c r="N256" s="501">
        <f t="shared" si="45"/>
        <v>1.976257198</v>
      </c>
      <c r="O256" s="501">
        <f t="shared" si="45"/>
        <v>2.143121729</v>
      </c>
      <c r="P256" s="501">
        <f t="shared" si="45"/>
        <v>2.385114241</v>
      </c>
      <c r="Q256" s="501">
        <f t="shared" si="45"/>
        <v>2.490411472</v>
      </c>
      <c r="R256" s="501">
        <f t="shared" si="45"/>
        <v>2.04515071</v>
      </c>
      <c r="S256" s="501">
        <f t="shared" si="45"/>
        <v>1.703730855</v>
      </c>
      <c r="T256" s="501">
        <f t="shared" si="45"/>
        <v>1.755515069</v>
      </c>
      <c r="U256" s="501">
        <f t="shared" si="45"/>
        <v>1.804159295</v>
      </c>
      <c r="V256" s="447" t="s">
        <v>656</v>
      </c>
    </row>
    <row r="257">
      <c r="A257" s="473"/>
    </row>
    <row r="258">
      <c r="A258" s="473" t="s">
        <v>657</v>
      </c>
    </row>
    <row r="259">
      <c r="A259" s="473"/>
      <c r="C259" s="76">
        <v>2000.0</v>
      </c>
      <c r="D259" s="76">
        <v>2001.0</v>
      </c>
      <c r="E259" s="76">
        <v>2002.0</v>
      </c>
      <c r="F259" s="76">
        <v>2003.0</v>
      </c>
      <c r="G259" s="76">
        <v>2004.0</v>
      </c>
      <c r="H259" s="76">
        <v>2005.0</v>
      </c>
      <c r="I259" s="76">
        <v>2006.0</v>
      </c>
      <c r="J259" s="76">
        <v>2007.0</v>
      </c>
      <c r="K259" s="76">
        <v>2008.0</v>
      </c>
      <c r="L259" s="76">
        <v>2009.0</v>
      </c>
      <c r="M259" s="76">
        <v>2010.0</v>
      </c>
    </row>
    <row r="260">
      <c r="A260" s="473"/>
      <c r="B260" s="447" t="s">
        <v>658</v>
      </c>
      <c r="C260" s="447">
        <v>29287.0</v>
      </c>
      <c r="D260" s="447">
        <v>35558.0</v>
      </c>
      <c r="E260" s="447">
        <v>27871.0</v>
      </c>
      <c r="F260" s="447">
        <v>32833.0</v>
      </c>
      <c r="G260" s="447">
        <v>37057.0</v>
      </c>
      <c r="H260" s="447">
        <v>44022.0</v>
      </c>
      <c r="I260" s="447">
        <v>51429.0</v>
      </c>
      <c r="J260" s="447">
        <v>51071.0</v>
      </c>
      <c r="K260" s="447">
        <v>54302.0</v>
      </c>
      <c r="L260" s="447">
        <v>32803.0</v>
      </c>
      <c r="M260" s="447">
        <v>36611.0</v>
      </c>
    </row>
    <row r="261">
      <c r="A261" s="473"/>
      <c r="B261" s="447" t="s">
        <v>564</v>
      </c>
      <c r="C261" s="447">
        <v>8090.0</v>
      </c>
      <c r="D261" s="447">
        <v>8888.0</v>
      </c>
      <c r="E261" s="447">
        <v>6775.0</v>
      </c>
      <c r="F261" s="447">
        <v>8129.0</v>
      </c>
      <c r="G261" s="447">
        <v>8789.0</v>
      </c>
      <c r="H261" s="447">
        <v>10779.0</v>
      </c>
      <c r="I261" s="447">
        <v>13385.0</v>
      </c>
      <c r="J261" s="447">
        <v>13371.0</v>
      </c>
      <c r="K261" s="447">
        <v>16633.0</v>
      </c>
      <c r="L261" s="447">
        <v>11190.0</v>
      </c>
      <c r="M261" s="447">
        <v>15753.0</v>
      </c>
    </row>
    <row r="262">
      <c r="A262" s="473"/>
      <c r="B262" s="447" t="s">
        <v>586</v>
      </c>
      <c r="C262" s="447">
        <v>17051.0</v>
      </c>
      <c r="D262" s="447">
        <v>22072.0</v>
      </c>
      <c r="E262" s="447">
        <v>17342.0</v>
      </c>
      <c r="F262" s="447">
        <v>20722.0</v>
      </c>
      <c r="G262" s="447">
        <v>24186.0</v>
      </c>
      <c r="H262" s="447">
        <v>28590.0</v>
      </c>
      <c r="I262" s="447">
        <v>32838.0</v>
      </c>
      <c r="J262" s="447">
        <v>32719.0</v>
      </c>
      <c r="K262" s="447">
        <v>32246.0</v>
      </c>
      <c r="L262" s="447">
        <v>18088.0</v>
      </c>
      <c r="M262" s="447">
        <v>16696.0</v>
      </c>
    </row>
    <row r="263">
      <c r="A263" s="473"/>
      <c r="B263" s="447" t="s">
        <v>659</v>
      </c>
      <c r="C263" s="447">
        <v>4146.0</v>
      </c>
      <c r="D263" s="447">
        <v>4598.0</v>
      </c>
      <c r="E263" s="447">
        <v>3754.0</v>
      </c>
      <c r="F263" s="447">
        <v>3982.0</v>
      </c>
      <c r="G263" s="447">
        <v>4082.0</v>
      </c>
      <c r="H263" s="447">
        <v>4653.0</v>
      </c>
      <c r="I263" s="447">
        <v>5206.0</v>
      </c>
      <c r="J263" s="447">
        <v>4981.0</v>
      </c>
      <c r="K263" s="447">
        <v>5423.0</v>
      </c>
      <c r="L263" s="447">
        <v>3525.0</v>
      </c>
      <c r="M263" s="447">
        <v>4162.0</v>
      </c>
    </row>
    <row r="264">
      <c r="A264" s="473"/>
      <c r="B264" s="502" t="s">
        <v>594</v>
      </c>
      <c r="C264" s="480">
        <v>478.0</v>
      </c>
      <c r="D264" s="480">
        <v>565.0</v>
      </c>
      <c r="E264" s="480">
        <v>454.0</v>
      </c>
      <c r="F264" s="480">
        <v>776.0</v>
      </c>
      <c r="G264" s="480">
        <v>1372.0</v>
      </c>
      <c r="H264" s="480">
        <v>2144.0</v>
      </c>
      <c r="I264" s="480">
        <v>2931.0</v>
      </c>
      <c r="J264" s="480">
        <v>4880.0</v>
      </c>
      <c r="K264" s="480">
        <v>7089.0</v>
      </c>
      <c r="L264" s="480">
        <v>5776.0</v>
      </c>
      <c r="M264" s="480">
        <v>8974.0</v>
      </c>
      <c r="N264" s="480">
        <v>12538.0</v>
      </c>
      <c r="O264" s="480">
        <v>14932.0</v>
      </c>
      <c r="P264" s="480">
        <v>16675.0</v>
      </c>
      <c r="Q264" s="480">
        <v>19315.0</v>
      </c>
      <c r="R264" s="480">
        <v>13590.0</v>
      </c>
      <c r="S264" s="480">
        <v>7612.0</v>
      </c>
      <c r="T264" s="480">
        <v>11394.0</v>
      </c>
      <c r="U264" s="480">
        <v>8908.0</v>
      </c>
    </row>
    <row r="265">
      <c r="A265" s="473"/>
    </row>
    <row r="266">
      <c r="A266" s="473"/>
    </row>
    <row r="267">
      <c r="A267" s="473"/>
    </row>
    <row r="268">
      <c r="A268" s="473"/>
    </row>
    <row r="269">
      <c r="A269" s="473" t="s">
        <v>660</v>
      </c>
    </row>
    <row r="270">
      <c r="A270" s="76" t="s">
        <v>661</v>
      </c>
      <c r="C270" s="76">
        <v>2000.0</v>
      </c>
      <c r="D270" s="76">
        <v>2001.0</v>
      </c>
      <c r="E270" s="76">
        <v>2002.0</v>
      </c>
      <c r="F270" s="76">
        <v>2003.0</v>
      </c>
      <c r="G270" s="76">
        <v>2004.0</v>
      </c>
      <c r="H270" s="76">
        <v>2005.0</v>
      </c>
      <c r="I270" s="76">
        <v>2006.0</v>
      </c>
      <c r="J270" s="76">
        <v>2007.0</v>
      </c>
      <c r="K270" s="76">
        <v>2008.0</v>
      </c>
      <c r="L270" s="76">
        <v>2009.0</v>
      </c>
      <c r="M270" s="76">
        <v>2010.0</v>
      </c>
      <c r="N270" s="76">
        <v>2011.0</v>
      </c>
      <c r="O270" s="76">
        <v>2012.0</v>
      </c>
      <c r="P270" s="76">
        <v>2013.0</v>
      </c>
      <c r="Q270" s="76">
        <v>2014.0</v>
      </c>
      <c r="R270" s="76">
        <v>2015.0</v>
      </c>
      <c r="S270" s="76">
        <v>2016.0</v>
      </c>
      <c r="T270" s="76">
        <v>2017.0</v>
      </c>
      <c r="U270" s="76">
        <v>2018.0</v>
      </c>
    </row>
    <row r="271">
      <c r="B271" s="447" t="s">
        <v>662</v>
      </c>
      <c r="C271" s="482">
        <v>770.4038462</v>
      </c>
      <c r="D271" s="482">
        <v>991.5</v>
      </c>
      <c r="E271" s="482">
        <v>707.3076923</v>
      </c>
      <c r="F271" s="482">
        <v>915.245283</v>
      </c>
      <c r="G271" s="482">
        <v>1085.173077</v>
      </c>
      <c r="H271" s="482">
        <v>1279.923077</v>
      </c>
      <c r="I271" s="482">
        <v>1550.788462</v>
      </c>
      <c r="J271" s="482">
        <v>1686.75</v>
      </c>
      <c r="K271" s="482">
        <v>1806.846154</v>
      </c>
      <c r="L271" s="482">
        <v>1037.754717</v>
      </c>
      <c r="M271" s="482">
        <v>1506.384615</v>
      </c>
      <c r="N271" s="482">
        <v>1840.365385</v>
      </c>
      <c r="O271" s="482">
        <v>1864.711538</v>
      </c>
      <c r="P271" s="482">
        <v>1696.730769</v>
      </c>
      <c r="Q271" s="482">
        <v>1794.961538</v>
      </c>
      <c r="R271" s="482">
        <v>931.4339623</v>
      </c>
      <c r="S271" s="482">
        <v>478.5</v>
      </c>
      <c r="T271" s="482">
        <v>850.5384615</v>
      </c>
      <c r="U271" s="482">
        <v>1007.442308</v>
      </c>
    </row>
    <row r="272">
      <c r="B272" s="447" t="s">
        <v>663</v>
      </c>
      <c r="C272" s="482">
        <v>139.5384615</v>
      </c>
      <c r="D272" s="482">
        <v>151.5192308</v>
      </c>
      <c r="E272" s="482">
        <v>111.1538462</v>
      </c>
      <c r="F272" s="482">
        <v>107.0</v>
      </c>
      <c r="G272" s="482">
        <v>96.69230769</v>
      </c>
      <c r="H272" s="482">
        <v>93.32692308</v>
      </c>
      <c r="I272" s="482">
        <v>89.90384615</v>
      </c>
      <c r="J272" s="482">
        <v>72.5</v>
      </c>
      <c r="K272" s="482">
        <v>63.94230769</v>
      </c>
      <c r="L272" s="482">
        <v>43.35849057</v>
      </c>
      <c r="M272" s="482">
        <v>31.15384615</v>
      </c>
      <c r="N272" s="482">
        <v>31.73076923</v>
      </c>
      <c r="O272" s="482">
        <v>46.5</v>
      </c>
      <c r="P272" s="482">
        <v>55.53846154</v>
      </c>
      <c r="Q272" s="482">
        <v>56.88461538</v>
      </c>
      <c r="R272" s="482">
        <v>35.18867925</v>
      </c>
      <c r="S272" s="482">
        <v>22.19230769</v>
      </c>
      <c r="T272" s="482">
        <v>19.88461538</v>
      </c>
      <c r="U272" s="482">
        <v>18.15384615</v>
      </c>
    </row>
    <row r="273">
      <c r="B273" s="447" t="s">
        <v>664</v>
      </c>
      <c r="C273" s="482">
        <f t="shared" ref="C273:U273" si="46">sum(C271:C272)</f>
        <v>909.9423077</v>
      </c>
      <c r="D273" s="482">
        <f t="shared" si="46"/>
        <v>1143.019231</v>
      </c>
      <c r="E273" s="482">
        <f t="shared" si="46"/>
        <v>818.4615385</v>
      </c>
      <c r="F273" s="482">
        <f t="shared" si="46"/>
        <v>1022.245283</v>
      </c>
      <c r="G273" s="482">
        <f t="shared" si="46"/>
        <v>1181.865385</v>
      </c>
      <c r="H273" s="482">
        <f t="shared" si="46"/>
        <v>1373.25</v>
      </c>
      <c r="I273" s="482">
        <f t="shared" si="46"/>
        <v>1640.692308</v>
      </c>
      <c r="J273" s="482">
        <f t="shared" si="46"/>
        <v>1759.25</v>
      </c>
      <c r="K273" s="482">
        <f t="shared" si="46"/>
        <v>1870.788462</v>
      </c>
      <c r="L273" s="482">
        <f t="shared" si="46"/>
        <v>1081.113208</v>
      </c>
      <c r="M273" s="482">
        <f t="shared" si="46"/>
        <v>1537.538461</v>
      </c>
      <c r="N273" s="482">
        <f t="shared" si="46"/>
        <v>1872.096154</v>
      </c>
      <c r="O273" s="482">
        <f t="shared" si="46"/>
        <v>1911.211538</v>
      </c>
      <c r="P273" s="482">
        <f t="shared" si="46"/>
        <v>1752.269231</v>
      </c>
      <c r="Q273" s="482">
        <f t="shared" si="46"/>
        <v>1851.846153</v>
      </c>
      <c r="R273" s="482">
        <f t="shared" si="46"/>
        <v>966.6226416</v>
      </c>
      <c r="S273" s="482">
        <f t="shared" si="46"/>
        <v>500.6923077</v>
      </c>
      <c r="T273" s="482">
        <f t="shared" si="46"/>
        <v>870.4230769</v>
      </c>
      <c r="U273" s="482">
        <f t="shared" si="46"/>
        <v>1025.596154</v>
      </c>
    </row>
    <row r="274">
      <c r="B274" s="458" t="s">
        <v>665</v>
      </c>
      <c r="C274" s="448">
        <v>0.207635279</v>
      </c>
      <c r="D274" s="448">
        <v>0.177406645</v>
      </c>
      <c r="E274" s="448">
        <v>0.153204264</v>
      </c>
      <c r="F274" s="448">
        <v>0.144746114</v>
      </c>
      <c r="G274" s="448">
        <v>0.130995448</v>
      </c>
      <c r="H274" s="448">
        <v>0.133748981</v>
      </c>
      <c r="I274" s="448">
        <v>0.161161536</v>
      </c>
      <c r="J274" s="448">
        <v>0.163949831</v>
      </c>
      <c r="K274" s="448">
        <v>0.197853006</v>
      </c>
      <c r="L274" s="448">
        <v>0.250216923</v>
      </c>
      <c r="M274" s="448">
        <v>0.375861585</v>
      </c>
      <c r="N274" s="448">
        <v>0.520313869</v>
      </c>
      <c r="O274" s="448">
        <v>0.708891338</v>
      </c>
      <c r="P274" s="448">
        <v>0.778149556</v>
      </c>
      <c r="Q274" s="448">
        <v>0.818766028</v>
      </c>
      <c r="R274" s="448">
        <v>0.759084637</v>
      </c>
      <c r="S274" s="448">
        <v>0.798733135</v>
      </c>
      <c r="T274" s="448">
        <v>0.800933896</v>
      </c>
      <c r="U274" s="448">
        <v>0.813535412</v>
      </c>
    </row>
    <row r="275">
      <c r="B275" s="458" t="s">
        <v>666</v>
      </c>
      <c r="C275" s="448">
        <v>0.791470204</v>
      </c>
      <c r="D275" s="448">
        <v>0.821583546</v>
      </c>
      <c r="E275" s="448">
        <v>0.844037942</v>
      </c>
      <c r="F275" s="448">
        <v>0.852018881</v>
      </c>
      <c r="G275" s="448">
        <v>0.867309393</v>
      </c>
      <c r="H275" s="448">
        <v>0.8643717</v>
      </c>
      <c r="I275" s="448">
        <v>0.83666579</v>
      </c>
      <c r="J275" s="448">
        <v>0.833288912</v>
      </c>
      <c r="K275" s="448">
        <v>0.797018456</v>
      </c>
      <c r="L275" s="448">
        <v>0.739646626</v>
      </c>
      <c r="M275" s="448">
        <v>0.616598805</v>
      </c>
      <c r="N275" s="448">
        <v>0.47558871</v>
      </c>
      <c r="O275" s="448">
        <v>0.289112366</v>
      </c>
      <c r="P275" s="448">
        <v>0.218766462</v>
      </c>
      <c r="Q275" s="448">
        <v>0.179863559</v>
      </c>
      <c r="R275" s="448">
        <v>0.23939989</v>
      </c>
      <c r="S275" s="448">
        <v>0.199251596</v>
      </c>
      <c r="T275" s="448">
        <v>0.198227083</v>
      </c>
      <c r="U275" s="448">
        <v>0.185499835</v>
      </c>
    </row>
    <row r="276">
      <c r="B276" s="458" t="s">
        <v>667</v>
      </c>
      <c r="C276" s="448">
        <v>0.237116724</v>
      </c>
      <c r="D276" s="448">
        <v>0.243487952</v>
      </c>
      <c r="E276" s="448">
        <v>0.273038853</v>
      </c>
      <c r="F276" s="448">
        <v>0.25450721</v>
      </c>
      <c r="G276" s="448">
        <v>0.260783919</v>
      </c>
      <c r="H276" s="448">
        <v>0.246662063</v>
      </c>
      <c r="I276" s="448">
        <v>0.233318658</v>
      </c>
      <c r="J276" s="448">
        <v>0.212747165</v>
      </c>
      <c r="K276" s="448">
        <v>0.197939133</v>
      </c>
      <c r="L276" s="448">
        <v>0.184113945</v>
      </c>
      <c r="M276" s="448">
        <v>0.144988264</v>
      </c>
      <c r="N276" s="448">
        <v>0.12302038</v>
      </c>
      <c r="O276" s="448">
        <v>0.112499139</v>
      </c>
      <c r="P276" s="448">
        <v>0.127413409</v>
      </c>
      <c r="Q276" s="448">
        <v>0.113306055</v>
      </c>
      <c r="R276" s="448">
        <v>0.097211381</v>
      </c>
      <c r="S276" s="448">
        <v>0.096536791</v>
      </c>
      <c r="T276" s="448">
        <v>0.080130848</v>
      </c>
      <c r="U276" s="448">
        <v>0.06661683</v>
      </c>
    </row>
    <row r="277">
      <c r="B277" s="458" t="s">
        <v>668</v>
      </c>
      <c r="C277" s="448">
        <v>0.060733836</v>
      </c>
      <c r="D277" s="448">
        <v>0.066649499</v>
      </c>
      <c r="E277" s="448">
        <v>0.072593254</v>
      </c>
      <c r="F277" s="448">
        <v>0.07770065</v>
      </c>
      <c r="G277" s="448">
        <v>0.099762674</v>
      </c>
      <c r="H277" s="448">
        <v>0.129887955</v>
      </c>
      <c r="I277" s="448">
        <v>0.172086837</v>
      </c>
      <c r="J277" s="448">
        <v>0.222027049</v>
      </c>
      <c r="K277" s="448">
        <v>0.293785857</v>
      </c>
      <c r="L277" s="448">
        <v>0.421574292</v>
      </c>
      <c r="M277" s="448">
        <v>0.529668145</v>
      </c>
      <c r="N277" s="448">
        <v>0.571731345</v>
      </c>
      <c r="O277" s="448">
        <v>0.600127893</v>
      </c>
      <c r="P277" s="448">
        <v>0.625582353</v>
      </c>
      <c r="Q277" s="448">
        <v>0.684317669</v>
      </c>
      <c r="R277" s="448">
        <v>0.763245486</v>
      </c>
      <c r="S277" s="448">
        <v>0.785503291</v>
      </c>
      <c r="T277" s="448">
        <v>0.839392791</v>
      </c>
      <c r="U277" s="448">
        <v>0.871864998</v>
      </c>
    </row>
    <row r="278">
      <c r="B278" s="458" t="s">
        <v>669</v>
      </c>
      <c r="C278" s="448">
        <v>0.70214944</v>
      </c>
      <c r="D278" s="448">
        <v>0.689862548</v>
      </c>
      <c r="E278" s="448">
        <v>0.654367893</v>
      </c>
      <c r="F278" s="448">
        <v>0.66779214</v>
      </c>
      <c r="G278" s="448">
        <v>0.639453407</v>
      </c>
      <c r="H278" s="448">
        <v>0.623449982</v>
      </c>
      <c r="I278" s="448">
        <v>0.594594505</v>
      </c>
      <c r="J278" s="448">
        <v>0.565225786</v>
      </c>
      <c r="K278" s="448">
        <v>0.508275011</v>
      </c>
      <c r="L278" s="448">
        <v>0.394311763</v>
      </c>
      <c r="M278" s="448">
        <v>0.325343592</v>
      </c>
      <c r="N278" s="448">
        <v>0.305248275</v>
      </c>
      <c r="O278" s="448">
        <v>0.287372968</v>
      </c>
      <c r="P278" s="448">
        <v>0.247004238</v>
      </c>
      <c r="Q278" s="448">
        <v>0.202376275</v>
      </c>
      <c r="R278" s="448">
        <v>0.139543132</v>
      </c>
      <c r="S278" s="448">
        <v>0.117959917</v>
      </c>
      <c r="T278" s="448">
        <v>0.080476361</v>
      </c>
      <c r="U278" s="448">
        <v>0.061518172</v>
      </c>
    </row>
    <row r="280">
      <c r="B280" s="458" t="s">
        <v>670</v>
      </c>
      <c r="C280" s="503">
        <f t="shared" ref="C280:U280" si="47">C82/(C277*C271)</f>
        <v>10.21594961</v>
      </c>
      <c r="D280" s="503">
        <f t="shared" si="47"/>
        <v>8.549856784</v>
      </c>
      <c r="E280" s="503">
        <f t="shared" si="47"/>
        <v>8.842014188</v>
      </c>
      <c r="F280" s="503">
        <f t="shared" si="47"/>
        <v>10.91187972</v>
      </c>
      <c r="G280" s="503">
        <f t="shared" si="47"/>
        <v>12.67322133</v>
      </c>
      <c r="H280" s="503">
        <f t="shared" si="47"/>
        <v>12.89650505</v>
      </c>
      <c r="I280" s="503">
        <f t="shared" si="47"/>
        <v>10.98286398</v>
      </c>
      <c r="J280" s="503">
        <f t="shared" si="47"/>
        <v>13.03056409</v>
      </c>
      <c r="K280" s="503">
        <f t="shared" si="47"/>
        <v>13.35466247</v>
      </c>
      <c r="L280" s="503">
        <f t="shared" si="47"/>
        <v>13.20256606</v>
      </c>
      <c r="M280" s="503">
        <f t="shared" si="47"/>
        <v>11.24724975</v>
      </c>
      <c r="N280" s="503">
        <f t="shared" si="47"/>
        <v>11.91604697</v>
      </c>
      <c r="O280" s="503">
        <f t="shared" si="47"/>
        <v>13.34327727</v>
      </c>
      <c r="P280" s="503">
        <f t="shared" si="47"/>
        <v>15.70971903</v>
      </c>
      <c r="Q280" s="503">
        <f t="shared" si="47"/>
        <v>15.72467984</v>
      </c>
      <c r="R280" s="503">
        <f t="shared" si="47"/>
        <v>19.11626943</v>
      </c>
      <c r="S280" s="503">
        <f t="shared" si="47"/>
        <v>20.25204243</v>
      </c>
      <c r="T280" s="503">
        <f t="shared" si="47"/>
        <v>15.95941701</v>
      </c>
      <c r="U280" s="503">
        <f t="shared" si="47"/>
        <v>10.14170048</v>
      </c>
    </row>
    <row r="282">
      <c r="B282" s="458" t="s">
        <v>671</v>
      </c>
    </row>
    <row r="283">
      <c r="B283" s="458" t="s">
        <v>662</v>
      </c>
      <c r="C283" s="504"/>
      <c r="D283" s="504"/>
      <c r="E283" s="504"/>
      <c r="F283" s="505">
        <v>12200.0</v>
      </c>
      <c r="G283" s="505">
        <v>12400.0</v>
      </c>
      <c r="H283" s="504"/>
      <c r="I283" s="498">
        <v>14650.0</v>
      </c>
      <c r="J283" s="498">
        <v>13400.0</v>
      </c>
      <c r="K283" s="498">
        <v>13530.0</v>
      </c>
      <c r="L283" s="498">
        <v>10500.0</v>
      </c>
      <c r="M283" s="498">
        <v>11700.0</v>
      </c>
      <c r="N283" s="498">
        <v>13270.0</v>
      </c>
      <c r="O283" s="498">
        <v>13825.0</v>
      </c>
      <c r="P283" s="498">
        <v>13945.0</v>
      </c>
      <c r="Q283" s="498">
        <v>14410.0</v>
      </c>
      <c r="R283" s="498">
        <v>13840.0</v>
      </c>
      <c r="S283" s="505">
        <v>13500.0</v>
      </c>
      <c r="T283" s="506">
        <f>S283*1.05</f>
        <v>14175</v>
      </c>
      <c r="U283" s="506">
        <f>T283*1.1</f>
        <v>15592.5</v>
      </c>
    </row>
    <row r="284">
      <c r="B284" s="458" t="s">
        <v>663</v>
      </c>
      <c r="C284" s="504"/>
      <c r="D284" s="504"/>
      <c r="E284" s="504"/>
      <c r="F284" s="505">
        <v>45000.0</v>
      </c>
      <c r="G284" s="505">
        <v>46000.0</v>
      </c>
      <c r="H284" s="504"/>
      <c r="I284" s="504"/>
      <c r="J284" s="504"/>
      <c r="K284" s="504"/>
      <c r="L284" s="504"/>
      <c r="M284" s="504"/>
      <c r="N284" s="504"/>
      <c r="O284" s="504"/>
      <c r="P284" s="504"/>
      <c r="Q284" s="504"/>
      <c r="R284" s="504"/>
      <c r="S284" s="504"/>
      <c r="T284" s="504"/>
      <c r="U284" s="504"/>
    </row>
    <row r="285">
      <c r="C285" s="504"/>
      <c r="D285" s="504"/>
      <c r="E285" s="504"/>
      <c r="F285" s="506"/>
      <c r="G285" s="505">
        <v>100000.0</v>
      </c>
      <c r="H285" s="504"/>
      <c r="I285" s="504"/>
      <c r="J285" s="504"/>
      <c r="K285" s="504"/>
      <c r="L285" s="504"/>
      <c r="M285" s="504"/>
      <c r="N285" s="504"/>
      <c r="O285" s="504"/>
      <c r="P285" s="504"/>
      <c r="Q285" s="504"/>
      <c r="R285" s="504"/>
      <c r="S285" s="504"/>
      <c r="T285" s="504"/>
      <c r="U285" s="504"/>
    </row>
    <row r="286">
      <c r="C286" s="504"/>
      <c r="D286" s="504"/>
      <c r="E286" s="504"/>
      <c r="F286" s="506"/>
      <c r="G286" s="505">
        <v>50000.0</v>
      </c>
      <c r="H286" s="504"/>
      <c r="I286" s="504"/>
      <c r="J286" s="504"/>
      <c r="K286" s="504"/>
      <c r="L286" s="504"/>
      <c r="M286" s="504"/>
      <c r="N286" s="504"/>
      <c r="O286" s="504"/>
      <c r="P286" s="504"/>
      <c r="Q286" s="504"/>
      <c r="R286" s="504"/>
      <c r="S286" s="504"/>
      <c r="T286" s="504"/>
      <c r="U286" s="504"/>
      <c r="V286" s="507"/>
    </row>
    <row r="287">
      <c r="C287" s="504"/>
      <c r="D287" s="504"/>
      <c r="E287" s="504"/>
      <c r="F287" s="506"/>
      <c r="G287" s="505">
        <v>55000.0</v>
      </c>
      <c r="H287" s="504"/>
      <c r="I287" s="504"/>
      <c r="J287" s="504"/>
      <c r="K287" s="504"/>
      <c r="L287" s="504"/>
      <c r="M287" s="504"/>
      <c r="N287" s="504"/>
      <c r="O287" s="504"/>
      <c r="P287" s="504"/>
      <c r="Q287" s="504"/>
      <c r="R287" s="504"/>
      <c r="S287" s="504"/>
      <c r="T287" s="504"/>
      <c r="U287" s="504"/>
    </row>
    <row r="288">
      <c r="B288" s="447" t="s">
        <v>672</v>
      </c>
      <c r="C288" s="504"/>
      <c r="D288" s="504"/>
      <c r="E288" s="504"/>
      <c r="F288" s="504"/>
      <c r="G288" s="504"/>
      <c r="H288" s="504"/>
      <c r="I288" s="504"/>
      <c r="J288" s="504"/>
      <c r="K288" s="504"/>
      <c r="L288" s="504"/>
      <c r="M288" s="504"/>
      <c r="N288" s="504"/>
      <c r="O288" s="504"/>
      <c r="P288" s="504"/>
      <c r="Q288" s="504"/>
      <c r="R288" s="498">
        <v>300000.0</v>
      </c>
      <c r="S288" s="504"/>
      <c r="T288" s="504"/>
      <c r="U288" s="504"/>
    </row>
    <row r="289">
      <c r="B289" s="447" t="s">
        <v>673</v>
      </c>
      <c r="C289" s="504"/>
      <c r="D289" s="504"/>
      <c r="E289" s="504"/>
      <c r="F289" s="504"/>
      <c r="G289" s="504"/>
      <c r="H289" s="504"/>
      <c r="I289" s="504"/>
      <c r="J289" s="504"/>
      <c r="K289" s="504"/>
      <c r="L289" s="504"/>
      <c r="M289" s="504"/>
      <c r="N289" s="504"/>
      <c r="O289" s="504"/>
      <c r="P289" s="504"/>
      <c r="Q289" s="504"/>
      <c r="R289" s="498">
        <v>600000.0</v>
      </c>
      <c r="S289" s="504"/>
      <c r="T289" s="504"/>
      <c r="U289" s="504"/>
    </row>
    <row r="290">
      <c r="C290" s="504"/>
      <c r="D290" s="504"/>
      <c r="E290" s="504"/>
      <c r="F290" s="504"/>
      <c r="G290" s="504"/>
      <c r="H290" s="504"/>
      <c r="I290" s="504"/>
      <c r="J290" s="504"/>
      <c r="K290" s="504"/>
      <c r="L290" s="504"/>
      <c r="M290" s="504"/>
      <c r="N290" s="504"/>
      <c r="O290" s="504"/>
      <c r="P290" s="504"/>
      <c r="Q290" s="504"/>
      <c r="R290" s="504"/>
      <c r="S290" s="504"/>
      <c r="T290" s="504"/>
      <c r="U290" s="504"/>
    </row>
    <row r="291">
      <c r="B291" s="447" t="s">
        <v>674</v>
      </c>
      <c r="C291" s="504"/>
      <c r="D291" s="504"/>
      <c r="E291" s="498">
        <v>30000.0</v>
      </c>
      <c r="F291" s="498">
        <v>35000.0</v>
      </c>
      <c r="G291" s="498">
        <v>55000.0</v>
      </c>
      <c r="H291" s="498">
        <v>75000.0</v>
      </c>
      <c r="I291" s="498">
        <v>90000.0</v>
      </c>
      <c r="J291" s="498">
        <v>100000.0</v>
      </c>
      <c r="K291" s="498">
        <v>110000.0</v>
      </c>
      <c r="L291" s="498">
        <v>125000.0</v>
      </c>
      <c r="M291" s="498">
        <v>110000.0</v>
      </c>
      <c r="N291" s="498">
        <v>90000.0</v>
      </c>
      <c r="O291" s="498">
        <v>100000.0</v>
      </c>
      <c r="P291" s="498">
        <v>110000.0</v>
      </c>
      <c r="Q291" s="498">
        <v>120000.0</v>
      </c>
      <c r="R291" s="498">
        <v>115000.0</v>
      </c>
      <c r="S291" s="505">
        <v>115000.0</v>
      </c>
      <c r="T291" s="506">
        <f t="shared" ref="T291:T293" si="48">S291*1.05</f>
        <v>120750</v>
      </c>
      <c r="U291" s="506">
        <f t="shared" ref="U291:U293" si="49">T291*1.1</f>
        <v>132825</v>
      </c>
    </row>
    <row r="292">
      <c r="B292" s="447" t="s">
        <v>675</v>
      </c>
      <c r="C292" s="504"/>
      <c r="D292" s="504"/>
      <c r="E292" s="504"/>
      <c r="F292" s="504"/>
      <c r="G292" s="504"/>
      <c r="H292" s="504"/>
      <c r="I292" s="498">
        <v>175000.0</v>
      </c>
      <c r="J292" s="498">
        <v>230000.0</v>
      </c>
      <c r="K292" s="498">
        <v>275000.0</v>
      </c>
      <c r="L292" s="498">
        <v>350000.0</v>
      </c>
      <c r="M292" s="498">
        <v>350000.0</v>
      </c>
      <c r="N292" s="498">
        <v>350000.0</v>
      </c>
      <c r="O292" s="498">
        <v>350000.0</v>
      </c>
      <c r="P292" s="498">
        <v>350000.0</v>
      </c>
      <c r="Q292" s="498">
        <v>375000.0</v>
      </c>
      <c r="R292" s="498">
        <v>375000.0</v>
      </c>
      <c r="S292" s="505">
        <v>375000.0</v>
      </c>
      <c r="T292" s="506">
        <f t="shared" si="48"/>
        <v>393750</v>
      </c>
      <c r="U292" s="506">
        <f t="shared" si="49"/>
        <v>433125</v>
      </c>
    </row>
    <row r="293">
      <c r="B293" s="447" t="s">
        <v>676</v>
      </c>
      <c r="C293" s="498">
        <v>135000.0</v>
      </c>
      <c r="D293" s="498">
        <v>145000.0</v>
      </c>
      <c r="E293" s="498">
        <v>125000.0</v>
      </c>
      <c r="F293" s="498">
        <v>110000.0</v>
      </c>
      <c r="G293" s="498">
        <v>115000.0</v>
      </c>
      <c r="H293" s="498">
        <v>150000.0</v>
      </c>
      <c r="I293" s="498">
        <v>350000.0</v>
      </c>
      <c r="J293" s="498">
        <v>365000.0</v>
      </c>
      <c r="K293" s="498">
        <v>425000.0</v>
      </c>
      <c r="L293" s="498">
        <v>375000.0</v>
      </c>
      <c r="M293" s="498">
        <v>315000.0</v>
      </c>
      <c r="N293" s="498">
        <v>300000.0</v>
      </c>
      <c r="O293" s="498">
        <v>350000.0</v>
      </c>
      <c r="P293" s="505">
        <v>350000.0</v>
      </c>
      <c r="Q293" s="505">
        <v>375000.0</v>
      </c>
      <c r="R293" s="505">
        <v>375000.0</v>
      </c>
      <c r="S293" s="505">
        <v>375000.0</v>
      </c>
      <c r="T293" s="506">
        <f t="shared" si="48"/>
        <v>393750</v>
      </c>
      <c r="U293" s="506">
        <f t="shared" si="49"/>
        <v>433125</v>
      </c>
    </row>
    <row r="294">
      <c r="C294" s="504"/>
      <c r="D294" s="504"/>
      <c r="E294" s="504"/>
      <c r="F294" s="504"/>
      <c r="G294" s="504"/>
      <c r="H294" s="504"/>
      <c r="I294" s="504"/>
      <c r="J294" s="504"/>
      <c r="K294" s="504"/>
      <c r="L294" s="504"/>
      <c r="M294" s="504"/>
      <c r="N294" s="504"/>
      <c r="O294" s="504"/>
      <c r="P294" s="504"/>
      <c r="Q294" s="504"/>
      <c r="R294" s="504"/>
      <c r="S294" s="504"/>
      <c r="T294" s="504"/>
      <c r="U294" s="504"/>
    </row>
    <row r="295">
      <c r="B295" s="447" t="s">
        <v>677</v>
      </c>
      <c r="N295" s="508">
        <v>0.0533</v>
      </c>
      <c r="O295" s="508">
        <v>0.034</v>
      </c>
      <c r="P295" s="508">
        <v>0.0312</v>
      </c>
      <c r="Q295" s="508">
        <v>0.0106</v>
      </c>
      <c r="R295" s="508">
        <v>0.0028</v>
      </c>
      <c r="S295" s="508">
        <v>0.0102</v>
      </c>
      <c r="T295" s="508">
        <v>0.02</v>
      </c>
      <c r="U295" s="508">
        <v>0.0226</v>
      </c>
    </row>
    <row r="296">
      <c r="A296" s="447" t="s">
        <v>678</v>
      </c>
    </row>
    <row r="297">
      <c r="A297" s="447">
        <v>300.0</v>
      </c>
    </row>
    <row r="298">
      <c r="B298" s="509" t="s">
        <v>679</v>
      </c>
      <c r="N298" s="504">
        <f t="shared" ref="N298:U298" si="50">(N271*N283+N272*N295*N291+N272*(1-N295)*N293)*$A$297/10^9</f>
        <v>10.07571508</v>
      </c>
      <c r="O298" s="504">
        <f t="shared" si="50"/>
        <v>12.4978161</v>
      </c>
      <c r="P298" s="504">
        <f t="shared" si="50"/>
        <v>12.80505003</v>
      </c>
      <c r="Q298" s="504">
        <f t="shared" si="50"/>
        <v>14.11301022</v>
      </c>
      <c r="R298" s="504">
        <f t="shared" si="50"/>
        <v>7.81835502</v>
      </c>
      <c r="S298" s="504">
        <f t="shared" si="50"/>
        <v>4.416903415</v>
      </c>
      <c r="T298" s="504">
        <f t="shared" si="50"/>
        <v>5.933213999</v>
      </c>
      <c r="U298" s="504">
        <f t="shared" si="50"/>
        <v>7.034466792</v>
      </c>
    </row>
    <row r="299">
      <c r="B299" s="509" t="s">
        <v>680</v>
      </c>
    </row>
    <row r="300">
      <c r="B300" s="509" t="s">
        <v>679</v>
      </c>
      <c r="C300" s="484">
        <f t="shared" ref="C300:J300" si="51">(C261*C239+C262*C240+C263*C241)/1000</f>
        <v>22.1651163</v>
      </c>
      <c r="D300" s="484">
        <f t="shared" si="51"/>
        <v>33.718388</v>
      </c>
      <c r="E300" s="484">
        <f t="shared" si="51"/>
        <v>29.4644434</v>
      </c>
      <c r="F300" s="484">
        <f t="shared" si="51"/>
        <v>39.5739719</v>
      </c>
      <c r="G300" s="484">
        <f t="shared" si="51"/>
        <v>62.2561692</v>
      </c>
      <c r="H300" s="484">
        <f t="shared" si="51"/>
        <v>74.6505393</v>
      </c>
      <c r="I300" s="484">
        <f t="shared" si="51"/>
        <v>107.4165042</v>
      </c>
      <c r="J300" s="484">
        <f t="shared" si="51"/>
        <v>211.8587167</v>
      </c>
      <c r="N300" s="454">
        <v>124.8</v>
      </c>
      <c r="O300" s="454">
        <v>153.7</v>
      </c>
      <c r="P300" s="454">
        <v>147.7</v>
      </c>
      <c r="Q300" s="454">
        <v>168.7</v>
      </c>
      <c r="R300" s="454">
        <v>122.8</v>
      </c>
      <c r="S300" s="454">
        <v>67.6</v>
      </c>
    </row>
    <row r="301">
      <c r="B301" s="509" t="s">
        <v>681</v>
      </c>
      <c r="N301" s="510"/>
      <c r="O301" s="511"/>
      <c r="P301" s="511"/>
      <c r="Q301" s="511"/>
      <c r="R301" s="511"/>
    </row>
    <row r="302">
      <c r="B302" s="509" t="s">
        <v>682</v>
      </c>
      <c r="C302" s="510">
        <f t="shared" ref="C302:U302" si="52">C264*C226/1000</f>
        <v>1.180035065</v>
      </c>
      <c r="D302" s="510">
        <f t="shared" si="52"/>
        <v>1.772973236</v>
      </c>
      <c r="E302" s="510">
        <f t="shared" si="52"/>
        <v>1.242373933</v>
      </c>
      <c r="F302" s="510">
        <f t="shared" si="52"/>
        <v>2.121103046</v>
      </c>
      <c r="G302" s="510">
        <f t="shared" si="52"/>
        <v>4.122339238</v>
      </c>
      <c r="H302" s="510">
        <f t="shared" si="52"/>
        <v>10.05687869</v>
      </c>
      <c r="I302" s="510">
        <f t="shared" si="52"/>
        <v>20.0814262</v>
      </c>
      <c r="J302" s="510">
        <f t="shared" si="52"/>
        <v>31.76533579</v>
      </c>
      <c r="K302" s="510">
        <f t="shared" si="52"/>
        <v>47.00762283</v>
      </c>
      <c r="L302" s="510">
        <f t="shared" si="52"/>
        <v>34.04382834</v>
      </c>
      <c r="M302" s="510">
        <f t="shared" si="52"/>
        <v>58.11391101</v>
      </c>
      <c r="N302" s="510">
        <f t="shared" si="52"/>
        <v>97.37252808</v>
      </c>
      <c r="O302" s="510">
        <f t="shared" si="52"/>
        <v>130.9622546</v>
      </c>
      <c r="P302" s="510">
        <f t="shared" si="52"/>
        <v>134.7315059</v>
      </c>
      <c r="Q302" s="510">
        <f t="shared" si="52"/>
        <v>151.2103803</v>
      </c>
      <c r="R302" s="510">
        <f t="shared" si="52"/>
        <v>87.36964252</v>
      </c>
      <c r="S302" s="510">
        <f t="shared" si="52"/>
        <v>40.76763829</v>
      </c>
      <c r="T302" s="510">
        <f t="shared" si="52"/>
        <v>62.87768759</v>
      </c>
      <c r="U302" s="510">
        <f t="shared" si="52"/>
        <v>70.52166667</v>
      </c>
    </row>
    <row r="303">
      <c r="B303" s="509" t="s">
        <v>683</v>
      </c>
      <c r="C303" s="76"/>
      <c r="D303" s="76"/>
      <c r="E303" s="76"/>
      <c r="F303" s="76"/>
      <c r="G303" s="76"/>
      <c r="H303" s="76"/>
      <c r="I303" s="76"/>
      <c r="J303" s="76"/>
      <c r="K303" s="76"/>
      <c r="L303" s="76"/>
      <c r="M303" s="76"/>
      <c r="N303" s="76"/>
      <c r="O303" s="76"/>
      <c r="P303" s="76"/>
      <c r="Q303" s="76"/>
      <c r="R303" s="76"/>
      <c r="S303" s="76"/>
      <c r="T303" s="76"/>
      <c r="U303" s="76"/>
    </row>
    <row r="304">
      <c r="C304" s="76">
        <v>2000.0</v>
      </c>
      <c r="D304" s="76">
        <v>2001.0</v>
      </c>
      <c r="E304" s="76">
        <v>2002.0</v>
      </c>
      <c r="F304" s="76">
        <v>2003.0</v>
      </c>
      <c r="G304" s="76">
        <v>2004.0</v>
      </c>
      <c r="H304" s="76">
        <v>2005.0</v>
      </c>
      <c r="I304" s="76">
        <v>2006.0</v>
      </c>
      <c r="J304" s="76">
        <v>2007.0</v>
      </c>
      <c r="K304" s="76">
        <v>2008.0</v>
      </c>
      <c r="L304" s="76">
        <v>2009.0</v>
      </c>
      <c r="M304" s="76">
        <v>2010.0</v>
      </c>
      <c r="N304" s="76">
        <v>2011.0</v>
      </c>
      <c r="O304" s="76">
        <v>2012.0</v>
      </c>
      <c r="P304" s="76">
        <v>2013.0</v>
      </c>
      <c r="Q304" s="76">
        <v>2014.0</v>
      </c>
      <c r="R304" s="76">
        <v>2015.0</v>
      </c>
      <c r="S304" s="76">
        <v>2016.0</v>
      </c>
      <c r="T304" s="76">
        <v>2017.0</v>
      </c>
      <c r="U304" s="76">
        <v>2018.0</v>
      </c>
      <c r="V304" s="76">
        <v>2019.0</v>
      </c>
      <c r="W304" s="76">
        <v>2020.0</v>
      </c>
      <c r="X304" s="76">
        <v>2021.0</v>
      </c>
      <c r="Y304" s="76">
        <v>2022.0</v>
      </c>
      <c r="Z304" s="76">
        <v>2023.0</v>
      </c>
      <c r="AA304" s="76">
        <v>2024.0</v>
      </c>
      <c r="AB304" s="76">
        <v>2025.0</v>
      </c>
      <c r="AC304" s="76">
        <v>2026.0</v>
      </c>
      <c r="AD304" s="76">
        <v>2027.0</v>
      </c>
      <c r="AE304" s="76">
        <v>2028.0</v>
      </c>
      <c r="AF304" s="76">
        <v>2029.0</v>
      </c>
      <c r="AG304" s="76">
        <v>2030.0</v>
      </c>
      <c r="AH304" s="76">
        <v>2031.0</v>
      </c>
      <c r="AI304" s="76">
        <v>2032.0</v>
      </c>
      <c r="AJ304" s="76">
        <v>2033.0</v>
      </c>
      <c r="AK304" s="76">
        <v>2034.0</v>
      </c>
      <c r="AL304" s="76">
        <v>2035.0</v>
      </c>
      <c r="AM304" s="76">
        <v>2036.0</v>
      </c>
      <c r="AN304" s="76">
        <v>2037.0</v>
      </c>
      <c r="AO304" s="76">
        <v>2038.0</v>
      </c>
      <c r="AP304" s="76">
        <v>2039.0</v>
      </c>
      <c r="AQ304" s="76">
        <v>2040.0</v>
      </c>
      <c r="AR304" s="76">
        <v>2041.0</v>
      </c>
      <c r="AS304" s="76">
        <v>2042.0</v>
      </c>
      <c r="AT304" s="76">
        <v>2043.0</v>
      </c>
      <c r="AU304" s="76">
        <v>2044.0</v>
      </c>
      <c r="AV304" s="76">
        <v>2045.0</v>
      </c>
      <c r="AW304" s="76">
        <v>2046.0</v>
      </c>
      <c r="AX304" s="76">
        <v>2047.0</v>
      </c>
      <c r="AY304" s="76">
        <v>2048.0</v>
      </c>
      <c r="AZ304" s="76">
        <v>2049.0</v>
      </c>
      <c r="BA304" s="76">
        <v>2050.0</v>
      </c>
    </row>
    <row r="305">
      <c r="A305" s="512"/>
      <c r="B305" s="513" t="s">
        <v>684</v>
      </c>
      <c r="C305" s="514">
        <v>31.1</v>
      </c>
      <c r="D305" s="514">
        <v>41.7</v>
      </c>
      <c r="E305" s="514">
        <v>33.8</v>
      </c>
      <c r="F305" s="514">
        <v>44.7</v>
      </c>
      <c r="G305" s="514">
        <v>51.7</v>
      </c>
      <c r="H305" s="514">
        <v>71.7</v>
      </c>
      <c r="I305" s="514">
        <v>98.8</v>
      </c>
      <c r="J305" s="514">
        <v>108.1</v>
      </c>
      <c r="K305" s="514">
        <v>125.3</v>
      </c>
      <c r="L305" s="514">
        <v>87.2</v>
      </c>
      <c r="M305" s="514">
        <v>103.1</v>
      </c>
      <c r="N305" s="514">
        <v>130.2</v>
      </c>
      <c r="O305" s="514">
        <v>162.7</v>
      </c>
      <c r="P305" s="514">
        <v>170.6</v>
      </c>
      <c r="Q305" s="514">
        <v>203.9</v>
      </c>
      <c r="R305" s="514">
        <v>149.6</v>
      </c>
      <c r="S305" s="514">
        <v>79.9</v>
      </c>
      <c r="T305" s="514">
        <v>112.3</v>
      </c>
      <c r="U305" s="515">
        <f t="shared" ref="U305:BA305" si="53">13.0174*U308+1.299*U309</f>
        <v>168.5105323</v>
      </c>
      <c r="V305" s="515">
        <f t="shared" si="53"/>
        <v>189.6636615</v>
      </c>
      <c r="W305" s="515">
        <f t="shared" si="53"/>
        <v>206.582089</v>
      </c>
      <c r="X305" s="515">
        <f t="shared" si="53"/>
        <v>217.351437</v>
      </c>
      <c r="Y305" s="515">
        <f t="shared" si="53"/>
        <v>220.1246444</v>
      </c>
      <c r="Z305" s="515">
        <f t="shared" si="53"/>
        <v>224.9103731</v>
      </c>
      <c r="AA305" s="515">
        <f t="shared" si="53"/>
        <v>235.1595854</v>
      </c>
      <c r="AB305" s="515">
        <f t="shared" si="53"/>
        <v>243.4061019</v>
      </c>
      <c r="AC305" s="515">
        <f t="shared" si="53"/>
        <v>252.5479446</v>
      </c>
      <c r="AD305" s="515">
        <f t="shared" si="53"/>
        <v>262.81877</v>
      </c>
      <c r="AE305" s="515">
        <f t="shared" si="53"/>
        <v>269.175029</v>
      </c>
      <c r="AF305" s="515">
        <f t="shared" si="53"/>
        <v>277.069537</v>
      </c>
      <c r="AG305" s="515">
        <f t="shared" si="53"/>
        <v>283.7640479</v>
      </c>
      <c r="AH305" s="515">
        <f t="shared" si="53"/>
        <v>291.1472762</v>
      </c>
      <c r="AI305" s="515">
        <f t="shared" si="53"/>
        <v>296.0584149</v>
      </c>
      <c r="AJ305" s="515">
        <f t="shared" si="53"/>
        <v>303.5991857</v>
      </c>
      <c r="AK305" s="515">
        <f t="shared" si="53"/>
        <v>308.1018894</v>
      </c>
      <c r="AL305" s="515">
        <f t="shared" si="53"/>
        <v>313.6107738</v>
      </c>
      <c r="AM305" s="515">
        <f t="shared" si="53"/>
        <v>319.7110538</v>
      </c>
      <c r="AN305" s="515">
        <f t="shared" si="53"/>
        <v>321.2982685</v>
      </c>
      <c r="AO305" s="515">
        <f t="shared" si="53"/>
        <v>326.7825855</v>
      </c>
      <c r="AP305" s="515">
        <f t="shared" si="53"/>
        <v>331.7565222</v>
      </c>
      <c r="AQ305" s="515">
        <f t="shared" si="53"/>
        <v>338.389383</v>
      </c>
      <c r="AR305" s="515">
        <f t="shared" si="53"/>
        <v>344.2856115</v>
      </c>
      <c r="AS305" s="515">
        <f t="shared" si="53"/>
        <v>351.5722606</v>
      </c>
      <c r="AT305" s="515">
        <f t="shared" si="53"/>
        <v>356.2649178</v>
      </c>
      <c r="AU305" s="515">
        <f t="shared" si="53"/>
        <v>361.8447209</v>
      </c>
      <c r="AV305" s="515">
        <f t="shared" si="53"/>
        <v>366.7061776</v>
      </c>
      <c r="AW305" s="515">
        <f t="shared" si="53"/>
        <v>371.8051804</v>
      </c>
      <c r="AX305" s="515">
        <f t="shared" si="53"/>
        <v>377.3722989</v>
      </c>
      <c r="AY305" s="515">
        <f t="shared" si="53"/>
        <v>383.2136804</v>
      </c>
      <c r="AZ305" s="515">
        <f t="shared" si="53"/>
        <v>387.5942312</v>
      </c>
      <c r="BA305" s="515">
        <f t="shared" si="53"/>
        <v>392.9965976</v>
      </c>
      <c r="BB305" s="515"/>
      <c r="BC305" s="515"/>
      <c r="BD305" s="515"/>
      <c r="BE305" s="515"/>
      <c r="BF305" s="515"/>
      <c r="BG305" s="515"/>
      <c r="BH305" s="515"/>
    </row>
    <row r="306">
      <c r="B306" s="509" t="s">
        <v>685</v>
      </c>
    </row>
    <row r="307">
      <c r="B307" s="285" t="s">
        <v>686</v>
      </c>
      <c r="C307" s="285">
        <v>5.84</v>
      </c>
      <c r="D307" s="285">
        <v>5.8</v>
      </c>
      <c r="E307" s="285">
        <v>5.74</v>
      </c>
      <c r="F307" s="285">
        <v>5.65</v>
      </c>
      <c r="G307" s="285">
        <v>5.46</v>
      </c>
      <c r="H307" s="285">
        <v>5.18</v>
      </c>
      <c r="I307" s="285">
        <v>5.09</v>
      </c>
      <c r="J307" s="285">
        <v>5.07</v>
      </c>
      <c r="K307" s="285">
        <v>5.01</v>
      </c>
      <c r="L307" s="285">
        <v>5.35</v>
      </c>
      <c r="M307" s="285">
        <v>5.48</v>
      </c>
      <c r="N307" s="285">
        <v>5.65</v>
      </c>
      <c r="O307" s="285">
        <v>6.52</v>
      </c>
      <c r="P307" s="285">
        <v>7.47</v>
      </c>
      <c r="Q307" s="285">
        <v>8.76</v>
      </c>
      <c r="R307" s="285">
        <v>9.43</v>
      </c>
      <c r="S307" s="285">
        <v>8.85</v>
      </c>
      <c r="T307" s="285">
        <v>9.35</v>
      </c>
      <c r="U307" s="447">
        <v>10.96</v>
      </c>
      <c r="V307" s="516">
        <v>11.969468</v>
      </c>
      <c r="W307" s="517">
        <v>13.085901</v>
      </c>
      <c r="X307" s="517">
        <v>13.665423</v>
      </c>
      <c r="Y307" s="517">
        <v>13.977781</v>
      </c>
      <c r="Z307" s="517">
        <v>13.917915</v>
      </c>
      <c r="AA307" s="517">
        <v>14.012055</v>
      </c>
      <c r="AB307" s="517">
        <v>14.094161</v>
      </c>
      <c r="AC307" s="517">
        <v>14.37495</v>
      </c>
      <c r="AD307" s="517">
        <v>14.506202</v>
      </c>
      <c r="AE307" s="517">
        <v>14.414598</v>
      </c>
      <c r="AF307" s="517">
        <v>14.413425</v>
      </c>
      <c r="AG307" s="517">
        <v>14.460274</v>
      </c>
      <c r="AH307" s="517">
        <v>14.534123</v>
      </c>
      <c r="AI307" s="517">
        <v>14.510523</v>
      </c>
      <c r="AJ307" s="517">
        <v>14.482531</v>
      </c>
      <c r="AK307" s="517">
        <v>14.434381</v>
      </c>
      <c r="AL307" s="517">
        <v>14.329348</v>
      </c>
      <c r="AM307" s="517">
        <v>14.269213</v>
      </c>
      <c r="AN307" s="517">
        <v>14.174327</v>
      </c>
      <c r="AO307" s="517">
        <v>14.138342</v>
      </c>
      <c r="AP307" s="517">
        <v>14.101297</v>
      </c>
      <c r="AQ307" s="517">
        <v>14.050146</v>
      </c>
      <c r="AR307" s="517">
        <v>13.942209</v>
      </c>
      <c r="AS307" s="517">
        <v>13.782656</v>
      </c>
      <c r="AT307" s="517">
        <v>13.524229</v>
      </c>
      <c r="AU307" s="517">
        <v>13.299628</v>
      </c>
      <c r="AV307" s="517">
        <v>13.030391</v>
      </c>
      <c r="AW307" s="517">
        <v>12.814965</v>
      </c>
      <c r="AX307" s="517">
        <v>12.614922</v>
      </c>
      <c r="AY307" s="517">
        <v>12.374134</v>
      </c>
      <c r="AZ307" s="517">
        <v>12.0793</v>
      </c>
      <c r="BA307" s="517">
        <v>11.860889</v>
      </c>
      <c r="BB307" s="518"/>
      <c r="BC307" s="518"/>
      <c r="BD307" s="518"/>
      <c r="BE307" s="518"/>
      <c r="BF307" s="518"/>
      <c r="BG307" s="518"/>
      <c r="BH307" s="518"/>
    </row>
    <row r="308">
      <c r="B308" s="519" t="s">
        <v>687</v>
      </c>
      <c r="C308" s="520">
        <v>0.396782</v>
      </c>
      <c r="D308" s="520">
        <v>0.38715</v>
      </c>
      <c r="E308" s="520">
        <v>0.376829</v>
      </c>
      <c r="F308" s="520">
        <v>0.372466917</v>
      </c>
      <c r="G308" s="520">
        <v>0.382459417</v>
      </c>
      <c r="H308" s="520">
        <v>0.409815417</v>
      </c>
      <c r="I308" s="520">
        <v>0.428021583</v>
      </c>
      <c r="J308" s="520">
        <v>0.462267333</v>
      </c>
      <c r="K308" s="520">
        <v>0.55364875</v>
      </c>
      <c r="L308" s="520">
        <v>0.63217125</v>
      </c>
      <c r="M308" s="520">
        <v>0.824436167</v>
      </c>
      <c r="N308" s="520">
        <v>1.292299917</v>
      </c>
      <c r="O308" s="520">
        <v>2.143491623</v>
      </c>
      <c r="P308" s="520">
        <v>3.049101523</v>
      </c>
      <c r="Q308" s="520">
        <v>4.105007951</v>
      </c>
      <c r="R308" s="520">
        <v>4.774478068</v>
      </c>
      <c r="S308" s="520">
        <v>4.429167813</v>
      </c>
      <c r="T308" s="520">
        <v>4.959407378</v>
      </c>
      <c r="U308" s="434">
        <v>6.464691279</v>
      </c>
      <c r="V308" s="516">
        <v>7.628952</v>
      </c>
      <c r="W308" s="517">
        <v>8.543354</v>
      </c>
      <c r="X308" s="517">
        <v>9.012376</v>
      </c>
      <c r="Y308" s="517">
        <v>9.108932</v>
      </c>
      <c r="Z308" s="517">
        <v>9.104749</v>
      </c>
      <c r="AA308" s="517">
        <v>9.337942</v>
      </c>
      <c r="AB308" s="517">
        <v>9.449523</v>
      </c>
      <c r="AC308" s="517">
        <v>9.683542</v>
      </c>
      <c r="AD308" s="517">
        <v>9.966003</v>
      </c>
      <c r="AE308" s="517">
        <v>10.007012</v>
      </c>
      <c r="AF308" s="517">
        <v>10.128206</v>
      </c>
      <c r="AG308" s="517">
        <v>10.217764</v>
      </c>
      <c r="AH308" s="517">
        <v>10.283261</v>
      </c>
      <c r="AI308" s="517">
        <v>10.241172</v>
      </c>
      <c r="AJ308" s="517">
        <v>10.166711</v>
      </c>
      <c r="AK308" s="517">
        <v>10.134454</v>
      </c>
      <c r="AL308" s="517">
        <v>10.029992</v>
      </c>
      <c r="AM308" s="517">
        <v>9.893669</v>
      </c>
      <c r="AN308" s="517">
        <v>9.737612</v>
      </c>
      <c r="AO308" s="517">
        <v>9.637629</v>
      </c>
      <c r="AP308" s="517">
        <v>9.550235</v>
      </c>
      <c r="AQ308" s="517">
        <v>9.459326</v>
      </c>
      <c r="AR308" s="517">
        <v>9.433199</v>
      </c>
      <c r="AS308" s="517">
        <v>9.368042</v>
      </c>
      <c r="AT308" s="517">
        <v>9.268444</v>
      </c>
      <c r="AU308" s="517">
        <v>9.174502</v>
      </c>
      <c r="AV308" s="517">
        <v>9.006337</v>
      </c>
      <c r="AW308" s="517">
        <v>8.875743</v>
      </c>
      <c r="AX308" s="517">
        <v>8.7727</v>
      </c>
      <c r="AY308" s="517">
        <v>8.670607</v>
      </c>
      <c r="AZ308" s="517">
        <v>8.48436</v>
      </c>
      <c r="BA308" s="517">
        <v>8.377244</v>
      </c>
      <c r="BB308" s="518"/>
      <c r="BC308" s="518"/>
      <c r="BD308" s="518"/>
      <c r="BE308" s="518"/>
      <c r="BF308" s="518"/>
      <c r="BG308" s="518"/>
      <c r="BH308" s="518"/>
    </row>
    <row r="309">
      <c r="B309" s="521" t="s">
        <v>640</v>
      </c>
      <c r="C309" s="505">
        <v>30.30083333</v>
      </c>
      <c r="D309" s="505">
        <v>25.9475</v>
      </c>
      <c r="E309" s="505">
        <v>26.115</v>
      </c>
      <c r="F309" s="505">
        <v>31.12083333</v>
      </c>
      <c r="G309" s="505">
        <v>41.44333333</v>
      </c>
      <c r="H309" s="505">
        <v>56.4925</v>
      </c>
      <c r="I309" s="505">
        <v>66.01833333</v>
      </c>
      <c r="J309" s="505">
        <v>72.31833333</v>
      </c>
      <c r="K309" s="505">
        <v>99.57166667</v>
      </c>
      <c r="L309" s="505">
        <v>61.65416667</v>
      </c>
      <c r="M309" s="505">
        <v>79.395</v>
      </c>
      <c r="N309" s="505">
        <v>94.87416667</v>
      </c>
      <c r="O309" s="505">
        <v>94.11083333</v>
      </c>
      <c r="P309" s="505">
        <v>97.90583333</v>
      </c>
      <c r="Q309" s="505">
        <v>93.25833333</v>
      </c>
      <c r="R309" s="505">
        <v>48.68833333</v>
      </c>
      <c r="S309" s="505">
        <v>43.14416667</v>
      </c>
      <c r="T309" s="505">
        <v>50.88416667</v>
      </c>
      <c r="U309" s="505">
        <v>64.94</v>
      </c>
      <c r="V309" s="522">
        <v>69.556999</v>
      </c>
      <c r="W309" s="522">
        <v>73.417885</v>
      </c>
      <c r="X309" s="522">
        <v>77.008263</v>
      </c>
      <c r="Y309" s="522">
        <v>78.175545</v>
      </c>
      <c r="Z309" s="522">
        <v>81.901627</v>
      </c>
      <c r="AA309" s="522">
        <v>87.454857</v>
      </c>
      <c r="AB309" s="522">
        <v>92.685051</v>
      </c>
      <c r="AC309" s="522">
        <v>97.377525</v>
      </c>
      <c r="AD309" s="522">
        <v>102.453674</v>
      </c>
      <c r="AE309" s="522">
        <v>106.935913</v>
      </c>
      <c r="AF309" s="522">
        <v>111.79879</v>
      </c>
      <c r="AG309" s="522">
        <v>116.054909</v>
      </c>
      <c r="AH309" s="522">
        <v>121.082336</v>
      </c>
      <c r="AI309" s="522">
        <v>125.284821</v>
      </c>
      <c r="AJ309" s="522">
        <v>131.83606</v>
      </c>
      <c r="AK309" s="522">
        <v>135.625595</v>
      </c>
      <c r="AL309" s="522">
        <v>140.913284</v>
      </c>
      <c r="AM309" s="522">
        <v>146.975525</v>
      </c>
      <c r="AN309" s="522">
        <v>149.761261</v>
      </c>
      <c r="AO309" s="522">
        <v>154.985153</v>
      </c>
      <c r="AP309" s="522">
        <v>159.689987</v>
      </c>
      <c r="AQ309" s="522">
        <v>165.707123</v>
      </c>
      <c r="AR309" s="522">
        <v>170.507996</v>
      </c>
      <c r="AS309" s="522">
        <v>176.77037</v>
      </c>
      <c r="AT309" s="522">
        <v>181.380966</v>
      </c>
      <c r="AU309" s="522">
        <v>186.617828</v>
      </c>
      <c r="AV309" s="522">
        <v>192.045486</v>
      </c>
      <c r="AW309" s="522">
        <v>197.27951</v>
      </c>
      <c r="AX309" s="522">
        <v>202.597809</v>
      </c>
      <c r="AY309" s="522">
        <v>208.117722</v>
      </c>
      <c r="AZ309" s="522">
        <v>213.356369</v>
      </c>
      <c r="BA309" s="522">
        <v>218.588654</v>
      </c>
      <c r="BB309" s="523"/>
      <c r="BC309" s="523"/>
      <c r="BD309" s="523"/>
      <c r="BE309" s="523"/>
      <c r="BF309" s="523"/>
      <c r="BG309" s="523"/>
      <c r="BH309" s="523"/>
    </row>
    <row r="310">
      <c r="B310" s="285" t="s">
        <v>688</v>
      </c>
      <c r="C310" s="486">
        <v>19.18198</v>
      </c>
      <c r="D310" s="486">
        <v>19.616311</v>
      </c>
      <c r="E310" s="486">
        <v>18.927788</v>
      </c>
      <c r="F310" s="486">
        <v>19.098544</v>
      </c>
      <c r="G310" s="486">
        <v>18.590891</v>
      </c>
      <c r="H310" s="486">
        <v>18.050598</v>
      </c>
      <c r="I310" s="486">
        <v>18.503605</v>
      </c>
      <c r="J310" s="486">
        <v>19.266026</v>
      </c>
      <c r="K310" s="486">
        <v>20.158602</v>
      </c>
      <c r="L310" s="486">
        <v>20.623854</v>
      </c>
      <c r="M310" s="486">
        <v>21.315507</v>
      </c>
      <c r="N310" s="486">
        <v>22.901879</v>
      </c>
      <c r="O310" s="486">
        <v>24.033266</v>
      </c>
      <c r="P310" s="486">
        <v>24.205523</v>
      </c>
      <c r="Q310" s="486">
        <v>25.889605</v>
      </c>
      <c r="R310" s="486">
        <v>27.06546</v>
      </c>
      <c r="S310" s="486">
        <v>26.592115</v>
      </c>
      <c r="T310" s="486">
        <v>27.291222</v>
      </c>
      <c r="U310" s="524">
        <v>30.439166</v>
      </c>
      <c r="V310" s="517">
        <v>32.255924</v>
      </c>
      <c r="W310" s="517">
        <v>33.551945</v>
      </c>
      <c r="X310" s="517">
        <v>34.104362</v>
      </c>
      <c r="Y310" s="517">
        <v>34.610321</v>
      </c>
      <c r="Z310" s="517">
        <v>35.265839</v>
      </c>
      <c r="AA310" s="517">
        <v>35.878204</v>
      </c>
      <c r="AB310" s="517">
        <v>36.620083</v>
      </c>
      <c r="AC310" s="517">
        <v>37.358829</v>
      </c>
      <c r="AD310" s="517">
        <v>37.824024</v>
      </c>
      <c r="AE310" s="517">
        <v>38.264236</v>
      </c>
      <c r="AF310" s="517">
        <v>38.409321</v>
      </c>
      <c r="AG310" s="517">
        <v>38.493877</v>
      </c>
      <c r="AH310" s="517">
        <v>38.755878</v>
      </c>
      <c r="AI310" s="517">
        <v>39.081787</v>
      </c>
      <c r="AJ310" s="517">
        <v>39.16407</v>
      </c>
      <c r="AK310" s="517">
        <v>39.398941</v>
      </c>
      <c r="AL310" s="517">
        <v>39.584068</v>
      </c>
      <c r="AM310" s="517">
        <v>39.824623</v>
      </c>
      <c r="AN310" s="517">
        <v>40.056953</v>
      </c>
      <c r="AO310" s="517">
        <v>40.274426</v>
      </c>
      <c r="AP310" s="517">
        <v>40.437691</v>
      </c>
      <c r="AQ310" s="517">
        <v>40.716293</v>
      </c>
      <c r="AR310" s="517">
        <v>40.93531</v>
      </c>
      <c r="AS310" s="517">
        <v>41.207214</v>
      </c>
      <c r="AT310" s="517">
        <v>41.37851</v>
      </c>
      <c r="AU310" s="517">
        <v>41.772648</v>
      </c>
      <c r="AV310" s="517">
        <v>42.093288</v>
      </c>
      <c r="AW310" s="517">
        <v>42.335583</v>
      </c>
      <c r="AX310" s="517">
        <v>42.559422</v>
      </c>
      <c r="AY310" s="517">
        <v>42.914707</v>
      </c>
      <c r="AZ310" s="517">
        <v>43.099472</v>
      </c>
      <c r="BA310" s="517">
        <v>43.407387</v>
      </c>
      <c r="BB310" s="523"/>
      <c r="BC310" s="523"/>
      <c r="BD310" s="523"/>
      <c r="BE310" s="523"/>
      <c r="BF310" s="523"/>
      <c r="BG310" s="523"/>
      <c r="BH310" s="523"/>
    </row>
    <row r="311">
      <c r="B311" s="458" t="s">
        <v>689</v>
      </c>
      <c r="C311" s="499">
        <v>1.317278329</v>
      </c>
      <c r="D311" s="499">
        <v>1.318267898</v>
      </c>
      <c r="E311" s="499">
        <v>1.364595044</v>
      </c>
      <c r="F311" s="499">
        <v>1.433309762</v>
      </c>
      <c r="G311" s="499">
        <v>1.503235978</v>
      </c>
      <c r="H311" s="499">
        <v>1.662950749</v>
      </c>
      <c r="I311" s="499">
        <v>1.964867693</v>
      </c>
      <c r="J311" s="499">
        <v>2.521740711</v>
      </c>
      <c r="K311" s="499">
        <v>3.373959326</v>
      </c>
      <c r="L311" s="499">
        <v>4.358458806</v>
      </c>
      <c r="M311" s="499">
        <v>6.123842214</v>
      </c>
      <c r="N311" s="499">
        <v>8.875533197</v>
      </c>
      <c r="O311" s="499">
        <v>11.05550897</v>
      </c>
      <c r="P311" s="499">
        <v>12.40544627</v>
      </c>
      <c r="Q311" s="499">
        <v>14.36104015</v>
      </c>
      <c r="R311" s="499">
        <v>15.98832085</v>
      </c>
      <c r="S311" s="499">
        <v>16.63158594</v>
      </c>
      <c r="T311" s="499">
        <v>18.03613923</v>
      </c>
      <c r="U311" s="499">
        <v>21.6846929</v>
      </c>
      <c r="V311" s="517">
        <v>21.545475</v>
      </c>
      <c r="W311" s="517">
        <v>22.80751</v>
      </c>
      <c r="X311" s="517">
        <v>23.33503</v>
      </c>
      <c r="Y311" s="517">
        <v>23.718878</v>
      </c>
      <c r="Z311" s="517">
        <v>24.458502</v>
      </c>
      <c r="AA311" s="517">
        <v>25.358826</v>
      </c>
      <c r="AB311" s="517">
        <v>26.284109</v>
      </c>
      <c r="AC311" s="517">
        <v>27.102278</v>
      </c>
      <c r="AD311" s="517">
        <v>27.617353</v>
      </c>
      <c r="AE311" s="517">
        <v>28.075932</v>
      </c>
      <c r="AF311" s="517">
        <v>28.321615</v>
      </c>
      <c r="AG311" s="517">
        <v>28.468502</v>
      </c>
      <c r="AH311" s="517">
        <v>28.80294</v>
      </c>
      <c r="AI311" s="517">
        <v>29.198071</v>
      </c>
      <c r="AJ311" s="517">
        <v>29.359566</v>
      </c>
      <c r="AK311" s="517">
        <v>29.709911</v>
      </c>
      <c r="AL311" s="517">
        <v>29.944874</v>
      </c>
      <c r="AM311" s="517">
        <v>30.197206</v>
      </c>
      <c r="AN311" s="517">
        <v>30.33876</v>
      </c>
      <c r="AO311" s="517">
        <v>30.544001</v>
      </c>
      <c r="AP311" s="517">
        <v>30.679682</v>
      </c>
      <c r="AQ311" s="517">
        <v>30.86869</v>
      </c>
      <c r="AR311" s="517">
        <v>30.981325</v>
      </c>
      <c r="AS311" s="517">
        <v>31.189503</v>
      </c>
      <c r="AT311" s="517">
        <v>31.360189</v>
      </c>
      <c r="AU311" s="517">
        <v>31.728632</v>
      </c>
      <c r="AV311" s="517">
        <v>31.974955</v>
      </c>
      <c r="AW311" s="517">
        <v>32.139091</v>
      </c>
      <c r="AX311" s="517">
        <v>32.434364</v>
      </c>
      <c r="AY311" s="517">
        <v>32.835384</v>
      </c>
      <c r="AZ311" s="517">
        <v>33.046764</v>
      </c>
      <c r="BA311" s="517">
        <v>33.345772</v>
      </c>
      <c r="BB311" s="523"/>
      <c r="BC311" s="523"/>
      <c r="BD311" s="523"/>
      <c r="BE311" s="523"/>
      <c r="BF311" s="523"/>
      <c r="BG311" s="523"/>
      <c r="BH311" s="523"/>
    </row>
    <row r="312">
      <c r="B312" s="458" t="s">
        <v>537</v>
      </c>
      <c r="C312" s="525">
        <v>4.31</v>
      </c>
      <c r="D312" s="525">
        <v>3.96</v>
      </c>
      <c r="E312" s="525">
        <v>3.38</v>
      </c>
      <c r="F312" s="525">
        <v>5.47</v>
      </c>
      <c r="G312" s="525">
        <v>5.89</v>
      </c>
      <c r="H312" s="525">
        <v>8.69</v>
      </c>
      <c r="I312" s="525">
        <v>6.73</v>
      </c>
      <c r="J312" s="525">
        <v>6.97</v>
      </c>
      <c r="K312" s="525">
        <v>8.86</v>
      </c>
      <c r="L312" s="525">
        <v>3.94</v>
      </c>
      <c r="M312" s="525">
        <v>4.37</v>
      </c>
      <c r="N312" s="525">
        <v>4.0</v>
      </c>
      <c r="O312" s="525">
        <v>2.75</v>
      </c>
      <c r="P312" s="525">
        <v>3.73</v>
      </c>
      <c r="Q312" s="525">
        <v>4.37</v>
      </c>
      <c r="R312" s="525">
        <v>2.62</v>
      </c>
      <c r="S312" s="525">
        <v>2.52</v>
      </c>
      <c r="T312" s="525">
        <v>2.99</v>
      </c>
      <c r="U312" s="526">
        <v>3.17</v>
      </c>
      <c r="V312" s="522">
        <v>3.100914</v>
      </c>
      <c r="W312" s="522">
        <v>3.247373</v>
      </c>
      <c r="X312" s="522">
        <v>3.243106</v>
      </c>
      <c r="Y312" s="522">
        <v>3.328699</v>
      </c>
      <c r="Z312" s="522">
        <v>3.555844</v>
      </c>
      <c r="AA312" s="522">
        <v>3.843373</v>
      </c>
      <c r="AB312" s="522">
        <v>4.203092</v>
      </c>
      <c r="AC312" s="522">
        <v>4.38602</v>
      </c>
      <c r="AD312" s="522">
        <v>4.515261</v>
      </c>
      <c r="AE312" s="522">
        <v>4.717234</v>
      </c>
      <c r="AF312" s="522">
        <v>4.844302</v>
      </c>
      <c r="AG312" s="522">
        <v>4.998316</v>
      </c>
      <c r="AH312" s="522">
        <v>5.085895</v>
      </c>
      <c r="AI312" s="522">
        <v>5.381088</v>
      </c>
      <c r="AJ312" s="522">
        <v>5.581815</v>
      </c>
      <c r="AK312" s="522">
        <v>5.765597</v>
      </c>
      <c r="AL312" s="522">
        <v>5.954128</v>
      </c>
      <c r="AM312" s="522">
        <v>6.202986</v>
      </c>
      <c r="AN312" s="522">
        <v>6.372522</v>
      </c>
      <c r="AO312" s="522">
        <v>6.53071</v>
      </c>
      <c r="AP312" s="522">
        <v>6.712088</v>
      </c>
      <c r="AQ312" s="522">
        <v>6.961467</v>
      </c>
      <c r="AR312" s="522">
        <v>7.098888</v>
      </c>
      <c r="AS312" s="522">
        <v>7.33334</v>
      </c>
      <c r="AT312" s="522">
        <v>7.610314</v>
      </c>
      <c r="AU312" s="522">
        <v>7.931487</v>
      </c>
      <c r="AV312" s="522">
        <v>8.252415</v>
      </c>
      <c r="AW312" s="522">
        <v>8.543459</v>
      </c>
      <c r="AX312" s="522">
        <v>8.879307</v>
      </c>
      <c r="AY312" s="522">
        <v>9.345243</v>
      </c>
      <c r="AZ312" s="522">
        <v>9.767595</v>
      </c>
      <c r="BA312" s="522">
        <v>10.176351</v>
      </c>
      <c r="BB312" s="523"/>
      <c r="BC312" s="523"/>
      <c r="BD312" s="523"/>
      <c r="BE312" s="523"/>
      <c r="BF312" s="523"/>
      <c r="BG312" s="523"/>
      <c r="BH312" s="523"/>
    </row>
    <row r="313">
      <c r="B313" s="458" t="s">
        <v>690</v>
      </c>
      <c r="C313" s="527">
        <v>0.721895</v>
      </c>
      <c r="D313" s="527">
        <v>0.682873</v>
      </c>
      <c r="E313" s="527">
        <v>0.681646</v>
      </c>
      <c r="F313" s="527">
        <v>0.622291</v>
      </c>
      <c r="G313" s="527">
        <v>0.657032</v>
      </c>
      <c r="H313" s="527">
        <v>0.619884</v>
      </c>
      <c r="I313" s="527">
        <v>0.637635</v>
      </c>
      <c r="J313" s="527">
        <v>0.658291</v>
      </c>
      <c r="K313" s="527">
        <v>0.673677</v>
      </c>
      <c r="L313" s="527">
        <v>0.720612</v>
      </c>
      <c r="M313" s="527">
        <v>0.749095</v>
      </c>
      <c r="N313" s="527">
        <v>0.792481</v>
      </c>
      <c r="O313" s="527">
        <v>0.873563</v>
      </c>
      <c r="P313" s="527">
        <v>0.937591</v>
      </c>
      <c r="Q313" s="527">
        <v>1.124416</v>
      </c>
      <c r="R313" s="527">
        <v>1.21022</v>
      </c>
      <c r="S313" s="527">
        <v>1.271986</v>
      </c>
      <c r="T313" s="527">
        <v>1.33991</v>
      </c>
      <c r="U313" s="517">
        <v>1.59176792</v>
      </c>
      <c r="V313" s="517">
        <v>1.77933047</v>
      </c>
      <c r="W313" s="517">
        <v>1.88545422</v>
      </c>
      <c r="X313" s="517">
        <v>1.96892023</v>
      </c>
      <c r="Y313" s="517">
        <v>1.99543748</v>
      </c>
      <c r="Z313" s="517">
        <v>2.01606947</v>
      </c>
      <c r="AA313" s="517">
        <v>2.048459205</v>
      </c>
      <c r="AB313" s="517">
        <v>2.07381466</v>
      </c>
      <c r="AC313" s="517">
        <v>2.142661325</v>
      </c>
      <c r="AD313" s="517">
        <v>2.17395825</v>
      </c>
      <c r="AE313" s="517">
        <v>2.17667385</v>
      </c>
      <c r="AF313" s="517">
        <v>2.193399975</v>
      </c>
      <c r="AG313" s="517">
        <v>2.192121745</v>
      </c>
      <c r="AH313" s="517">
        <v>2.212283615</v>
      </c>
      <c r="AI313" s="517">
        <v>2.197409135</v>
      </c>
      <c r="AJ313" s="517">
        <v>2.208135755</v>
      </c>
      <c r="AK313" s="517">
        <v>2.210249835</v>
      </c>
      <c r="AL313" s="517">
        <v>2.209632985</v>
      </c>
      <c r="AM313" s="517">
        <v>2.202807485</v>
      </c>
      <c r="AN313" s="517">
        <v>2.2046146</v>
      </c>
      <c r="AO313" s="517">
        <v>2.20928076</v>
      </c>
      <c r="AP313" s="517">
        <v>2.20459124</v>
      </c>
      <c r="AQ313" s="517">
        <v>2.19932064</v>
      </c>
      <c r="AR313" s="517">
        <v>2.200080205</v>
      </c>
      <c r="AS313" s="517">
        <v>2.18383953</v>
      </c>
      <c r="AT313" s="517">
        <v>2.171640135</v>
      </c>
      <c r="AU313" s="517">
        <v>2.164703675</v>
      </c>
      <c r="AV313" s="517">
        <v>2.152341855</v>
      </c>
      <c r="AW313" s="517">
        <v>2.148669955</v>
      </c>
      <c r="AX313" s="517">
        <v>2.1314759</v>
      </c>
      <c r="AY313" s="517">
        <v>2.121165745</v>
      </c>
      <c r="AZ313" s="517">
        <v>2.10219122</v>
      </c>
      <c r="BA313" s="517">
        <v>2.097038515</v>
      </c>
    </row>
    <row r="314">
      <c r="B314" s="458" t="s">
        <v>691</v>
      </c>
      <c r="C314" s="485">
        <f t="shared" ref="C314:I314" si="54">$AE$338*C309+$AE$339*C312</f>
        <v>24.54332592</v>
      </c>
      <c r="D314" s="485">
        <f t="shared" si="54"/>
        <v>21.90736928</v>
      </c>
      <c r="E314" s="485">
        <f t="shared" si="54"/>
        <v>20.04645164</v>
      </c>
      <c r="F314" s="485">
        <f t="shared" si="54"/>
        <v>28.6574695</v>
      </c>
      <c r="G314" s="485">
        <f t="shared" si="54"/>
        <v>33.55237842</v>
      </c>
      <c r="H314" s="485">
        <f t="shared" si="54"/>
        <v>47.92238863</v>
      </c>
      <c r="I314" s="485">
        <f t="shared" si="54"/>
        <v>44.67706349</v>
      </c>
      <c r="J314" s="510">
        <v>51.64</v>
      </c>
      <c r="K314" s="510">
        <v>60.8</v>
      </c>
      <c r="L314" s="510">
        <v>35.96</v>
      </c>
      <c r="M314" s="510">
        <v>44.88</v>
      </c>
      <c r="N314" s="510">
        <v>56.25</v>
      </c>
      <c r="O314" s="510">
        <v>44.27</v>
      </c>
      <c r="P314" s="510">
        <v>40.0</v>
      </c>
      <c r="Q314" s="510">
        <v>38.6</v>
      </c>
      <c r="R314" s="510">
        <v>19.9</v>
      </c>
      <c r="S314" s="510">
        <v>19.77</v>
      </c>
      <c r="T314" s="510">
        <v>27.1</v>
      </c>
      <c r="U314" s="510">
        <v>30.45</v>
      </c>
      <c r="V314" s="484">
        <f t="shared" ref="V314:BA314" si="55">$AE$338*V309+$AE$339*V312</f>
        <v>33.87918138</v>
      </c>
      <c r="W314" s="484">
        <f t="shared" si="55"/>
        <v>35.67485028</v>
      </c>
      <c r="X314" s="484">
        <f t="shared" si="55"/>
        <v>36.88025206</v>
      </c>
      <c r="Y314" s="484">
        <f t="shared" si="55"/>
        <v>37.55975137</v>
      </c>
      <c r="Z314" s="484">
        <f t="shared" si="55"/>
        <v>39.57642656</v>
      </c>
      <c r="AA314" s="484">
        <f t="shared" si="55"/>
        <v>42.41337639</v>
      </c>
      <c r="AB314" s="484">
        <f t="shared" si="55"/>
        <v>45.37930484</v>
      </c>
      <c r="AC314" s="484">
        <f t="shared" si="55"/>
        <v>47.57801896</v>
      </c>
      <c r="AD314" s="484">
        <f t="shared" si="55"/>
        <v>49.72953262</v>
      </c>
      <c r="AE314" s="484">
        <f t="shared" si="55"/>
        <v>51.91981177</v>
      </c>
      <c r="AF314" s="484">
        <f t="shared" si="55"/>
        <v>53.9917001</v>
      </c>
      <c r="AG314" s="484">
        <f t="shared" si="55"/>
        <v>55.94659533</v>
      </c>
      <c r="AH314" s="484">
        <f t="shared" si="55"/>
        <v>57.94380169</v>
      </c>
      <c r="AI314" s="484">
        <f t="shared" si="55"/>
        <v>60.34729785</v>
      </c>
      <c r="AJ314" s="484">
        <f t="shared" si="55"/>
        <v>63.23621536</v>
      </c>
      <c r="AK314" s="484">
        <f t="shared" si="55"/>
        <v>65.13106024</v>
      </c>
      <c r="AL314" s="484">
        <f t="shared" si="55"/>
        <v>67.55047232</v>
      </c>
      <c r="AM314" s="484">
        <f t="shared" si="55"/>
        <v>70.43244488</v>
      </c>
      <c r="AN314" s="484">
        <f t="shared" si="55"/>
        <v>71.93923312</v>
      </c>
      <c r="AO314" s="484">
        <f t="shared" si="55"/>
        <v>74.23664459</v>
      </c>
      <c r="AP314" s="484">
        <f t="shared" si="55"/>
        <v>76.43443173</v>
      </c>
      <c r="AQ314" s="484">
        <f t="shared" si="55"/>
        <v>79.30280661</v>
      </c>
      <c r="AR314" s="484">
        <f t="shared" si="55"/>
        <v>81.38786753</v>
      </c>
      <c r="AS314" s="484">
        <f t="shared" si="55"/>
        <v>84.29018299</v>
      </c>
      <c r="AT314" s="484">
        <f t="shared" si="55"/>
        <v>86.77205608</v>
      </c>
      <c r="AU314" s="484">
        <f t="shared" si="55"/>
        <v>89.61279433</v>
      </c>
      <c r="AV314" s="484">
        <f t="shared" si="55"/>
        <v>92.5175284</v>
      </c>
      <c r="AW314" s="484">
        <f t="shared" si="55"/>
        <v>95.25767904</v>
      </c>
      <c r="AX314" s="484">
        <f t="shared" si="55"/>
        <v>98.17460217</v>
      </c>
      <c r="AY314" s="484">
        <f t="shared" si="55"/>
        <v>101.5901508</v>
      </c>
      <c r="AZ314" s="484">
        <f t="shared" si="55"/>
        <v>104.7660508</v>
      </c>
      <c r="BA314" s="484">
        <f t="shared" si="55"/>
        <v>107.8948338</v>
      </c>
    </row>
    <row r="315">
      <c r="B315" s="458" t="s">
        <v>692</v>
      </c>
      <c r="C315" s="528"/>
      <c r="D315" s="528">
        <v>0.817</v>
      </c>
      <c r="E315" s="528">
        <v>0.751</v>
      </c>
      <c r="F315" s="528">
        <v>0.913</v>
      </c>
      <c r="G315" s="528">
        <v>1.319</v>
      </c>
      <c r="H315" s="528">
        <v>1.796</v>
      </c>
      <c r="I315" s="528">
        <v>2.085</v>
      </c>
      <c r="J315" s="528">
        <v>2.249</v>
      </c>
      <c r="K315" s="528">
        <v>2.911</v>
      </c>
      <c r="L315" s="528">
        <v>1.702</v>
      </c>
      <c r="M315" s="528">
        <v>2.207</v>
      </c>
      <c r="N315" s="528">
        <v>3.051</v>
      </c>
      <c r="O315" s="528">
        <v>3.107</v>
      </c>
      <c r="P315" s="528">
        <v>3.01</v>
      </c>
      <c r="Q315" s="528">
        <v>2.782</v>
      </c>
      <c r="R315" s="528">
        <v>1.656</v>
      </c>
      <c r="S315" s="528">
        <v>1.39</v>
      </c>
      <c r="T315" s="528">
        <v>1.704</v>
      </c>
      <c r="U315" s="528">
        <v>2.137</v>
      </c>
      <c r="V315" s="528">
        <v>2.011</v>
      </c>
      <c r="W315" s="447"/>
      <c r="X315" s="447"/>
      <c r="Y315" s="447"/>
      <c r="Z315" s="447"/>
      <c r="AA315" s="447"/>
      <c r="AB315" s="447"/>
      <c r="AC315" s="447"/>
      <c r="AD315" s="447"/>
      <c r="AE315" s="447"/>
      <c r="AF315" s="447"/>
      <c r="AG315" s="447"/>
      <c r="AH315" s="447"/>
      <c r="AI315" s="447"/>
      <c r="AJ315" s="447"/>
      <c r="AK315" s="447"/>
      <c r="AL315" s="447"/>
      <c r="AM315" s="447"/>
      <c r="AN315" s="447"/>
      <c r="AO315" s="447"/>
      <c r="AP315" s="447"/>
      <c r="AQ315" s="447"/>
      <c r="AR315" s="447"/>
      <c r="AS315" s="447"/>
      <c r="AT315" s="447"/>
      <c r="AU315" s="447"/>
      <c r="AV315" s="447"/>
      <c r="AW315" s="447"/>
      <c r="AX315" s="447"/>
      <c r="AY315" s="447"/>
      <c r="AZ315" s="447"/>
      <c r="BA315" s="447"/>
    </row>
    <row r="316">
      <c r="B316" s="458" t="s">
        <v>693</v>
      </c>
      <c r="C316" s="268">
        <f>D316</f>
        <v>5.96350365</v>
      </c>
      <c r="D316" s="268">
        <f t="shared" ref="D316:V316" si="56">D315/137000*10^6</f>
        <v>5.96350365</v>
      </c>
      <c r="E316" s="268">
        <f t="shared" si="56"/>
        <v>5.481751825</v>
      </c>
      <c r="F316" s="268">
        <f t="shared" si="56"/>
        <v>6.664233577</v>
      </c>
      <c r="G316" s="268">
        <f t="shared" si="56"/>
        <v>9.627737226</v>
      </c>
      <c r="H316" s="268">
        <f t="shared" si="56"/>
        <v>13.10948905</v>
      </c>
      <c r="I316" s="268">
        <f t="shared" si="56"/>
        <v>15.2189781</v>
      </c>
      <c r="J316" s="268">
        <f t="shared" si="56"/>
        <v>16.41605839</v>
      </c>
      <c r="K316" s="268">
        <f t="shared" si="56"/>
        <v>21.24817518</v>
      </c>
      <c r="L316" s="268">
        <f t="shared" si="56"/>
        <v>12.42335766</v>
      </c>
      <c r="M316" s="268">
        <f t="shared" si="56"/>
        <v>16.10948905</v>
      </c>
      <c r="N316" s="268">
        <f t="shared" si="56"/>
        <v>22.27007299</v>
      </c>
      <c r="O316" s="268">
        <f t="shared" si="56"/>
        <v>22.67883212</v>
      </c>
      <c r="P316" s="268">
        <f t="shared" si="56"/>
        <v>21.97080292</v>
      </c>
      <c r="Q316" s="268">
        <f t="shared" si="56"/>
        <v>20.30656934</v>
      </c>
      <c r="R316" s="268">
        <f t="shared" si="56"/>
        <v>12.08759124</v>
      </c>
      <c r="S316" s="268">
        <f t="shared" si="56"/>
        <v>10.1459854</v>
      </c>
      <c r="T316" s="268">
        <f t="shared" si="56"/>
        <v>12.4379562</v>
      </c>
      <c r="U316" s="268">
        <f t="shared" si="56"/>
        <v>15.59854015</v>
      </c>
      <c r="V316" s="268">
        <f t="shared" si="56"/>
        <v>14.67883212</v>
      </c>
      <c r="W316" s="447"/>
      <c r="X316" s="447"/>
      <c r="Y316" s="447"/>
      <c r="Z316" s="447"/>
      <c r="AA316" s="447"/>
      <c r="AB316" s="447"/>
      <c r="AC316" s="447"/>
      <c r="AD316" s="447"/>
      <c r="AE316" s="447"/>
      <c r="AF316" s="447"/>
      <c r="AG316" s="447"/>
      <c r="AH316" s="447"/>
      <c r="AI316" s="447"/>
      <c r="AJ316" s="447"/>
      <c r="AK316" s="447"/>
      <c r="AL316" s="447"/>
      <c r="AM316" s="447"/>
      <c r="AN316" s="447"/>
      <c r="AO316" s="447"/>
      <c r="AP316" s="447"/>
      <c r="AQ316" s="447"/>
      <c r="AR316" s="447"/>
      <c r="AS316" s="447"/>
      <c r="AT316" s="447"/>
      <c r="AU316" s="447"/>
      <c r="AV316" s="447"/>
      <c r="AW316" s="447"/>
      <c r="AX316" s="447"/>
      <c r="AY316" s="447"/>
      <c r="AZ316" s="447"/>
      <c r="BA316" s="447"/>
    </row>
    <row r="317">
      <c r="B317" s="458" t="s">
        <v>694</v>
      </c>
      <c r="C317" s="529">
        <f t="shared" ref="C317:S317" si="57">C316*average($T$317/$T$316,$U$317/$U$316,$V$317/$V$316)</f>
        <v>8.887190702</v>
      </c>
      <c r="D317" s="529">
        <f t="shared" si="57"/>
        <v>8.887190702</v>
      </c>
      <c r="E317" s="529">
        <f t="shared" si="57"/>
        <v>8.169253632</v>
      </c>
      <c r="F317" s="529">
        <f t="shared" si="57"/>
        <v>9.931462804</v>
      </c>
      <c r="G317" s="529">
        <f t="shared" si="57"/>
        <v>14.34786357</v>
      </c>
      <c r="H317" s="529">
        <f t="shared" si="57"/>
        <v>19.53659058</v>
      </c>
      <c r="I317" s="529">
        <f t="shared" si="57"/>
        <v>22.68028472</v>
      </c>
      <c r="J317" s="529">
        <f t="shared" si="57"/>
        <v>24.46424956</v>
      </c>
      <c r="K317" s="529">
        <f t="shared" si="57"/>
        <v>31.66537593</v>
      </c>
      <c r="L317" s="529">
        <f t="shared" si="57"/>
        <v>18.51407414</v>
      </c>
      <c r="M317" s="529">
        <f t="shared" si="57"/>
        <v>24.00738051</v>
      </c>
      <c r="N317" s="529">
        <f t="shared" si="57"/>
        <v>33.18827275</v>
      </c>
      <c r="O317" s="529">
        <f t="shared" si="57"/>
        <v>33.79743147</v>
      </c>
      <c r="P317" s="529">
        <f t="shared" si="57"/>
        <v>32.74228153</v>
      </c>
      <c r="Q317" s="529">
        <f t="shared" si="57"/>
        <v>30.26213529</v>
      </c>
      <c r="R317" s="529">
        <f t="shared" si="57"/>
        <v>18.01369376</v>
      </c>
      <c r="S317" s="529">
        <f t="shared" si="57"/>
        <v>15.12018981</v>
      </c>
      <c r="T317" s="447">
        <v>18.69</v>
      </c>
      <c r="U317" s="447">
        <v>22.24</v>
      </c>
      <c r="V317" s="447">
        <v>22.64</v>
      </c>
      <c r="W317" s="447">
        <v>22.17</v>
      </c>
      <c r="X317" s="447">
        <v>21.4</v>
      </c>
      <c r="Y317" s="447">
        <v>20.43</v>
      </c>
      <c r="Z317" s="447">
        <v>19.92</v>
      </c>
      <c r="AA317" s="447">
        <v>19.75</v>
      </c>
      <c r="AB317" s="447">
        <v>20.1</v>
      </c>
      <c r="AC317" s="447">
        <v>20.5</v>
      </c>
      <c r="AD317" s="447">
        <v>21.12</v>
      </c>
      <c r="AE317" s="447">
        <v>21.2</v>
      </c>
      <c r="AF317" s="447">
        <v>21.72</v>
      </c>
      <c r="AG317" s="447">
        <v>21.84</v>
      </c>
      <c r="AH317" s="447">
        <v>21.91</v>
      </c>
      <c r="AI317" s="447">
        <v>22.17</v>
      </c>
      <c r="AJ317" s="447">
        <v>22.5</v>
      </c>
      <c r="AK317" s="447">
        <v>22.53</v>
      </c>
      <c r="AL317" s="447">
        <v>22.76</v>
      </c>
      <c r="AM317" s="447">
        <v>23.13</v>
      </c>
      <c r="AN317" s="447">
        <v>23.06</v>
      </c>
      <c r="AO317" s="447">
        <v>23.17</v>
      </c>
      <c r="AP317" s="447">
        <v>23.35</v>
      </c>
      <c r="AQ317" s="447">
        <v>23.53</v>
      </c>
      <c r="AR317" s="447">
        <v>23.61</v>
      </c>
      <c r="AS317" s="447">
        <v>23.84</v>
      </c>
      <c r="AT317" s="447">
        <v>23.88</v>
      </c>
      <c r="AU317" s="447">
        <v>23.86</v>
      </c>
      <c r="AV317" s="447">
        <v>23.93</v>
      </c>
      <c r="AW317" s="447">
        <v>23.94</v>
      </c>
      <c r="AX317" s="447">
        <v>23.97</v>
      </c>
      <c r="AY317" s="447">
        <v>24.04</v>
      </c>
      <c r="AZ317" s="447">
        <v>23.98</v>
      </c>
      <c r="BA317" s="447">
        <v>23.95</v>
      </c>
    </row>
    <row r="318">
      <c r="B318" s="458" t="s">
        <v>695</v>
      </c>
      <c r="C318" s="484">
        <f>C317*'Inflation GDP Population'!B18/'Inflation GDP Population'!$T$17*'Inflation GDP Population'!$T$16</f>
        <v>6.284105643</v>
      </c>
      <c r="D318" s="484">
        <f>D317*'Inflation GDP Population'!C18/'Inflation GDP Population'!$T$17*'Inflation GDP Population'!$T$16</f>
        <v>6.421942211</v>
      </c>
      <c r="E318" s="484">
        <f>E317*'Inflation GDP Population'!D18/'Inflation GDP Population'!$T$17*'Inflation GDP Population'!$T$16</f>
        <v>5.996529204</v>
      </c>
      <c r="F318" s="484">
        <f>F317*'Inflation GDP Population'!E18/'Inflation GDP Population'!$T$17*'Inflation GDP Population'!$T$16</f>
        <v>7.42544016</v>
      </c>
      <c r="G318" s="484">
        <f>G317*'Inflation GDP Population'!F18/'Inflation GDP Population'!$T$17*'Inflation GDP Population'!$T$16</f>
        <v>11.01624738</v>
      </c>
      <c r="H318" s="484">
        <f>H317*'Inflation GDP Population'!G18/'Inflation GDP Population'!$T$17*'Inflation GDP Population'!$T$16</f>
        <v>15.46737738</v>
      </c>
      <c r="I318" s="484">
        <f>I317*'Inflation GDP Population'!H18/'Inflation GDP Population'!$T$17*'Inflation GDP Population'!$T$16</f>
        <v>18.49967683</v>
      </c>
      <c r="J318" s="484">
        <f>J317*'Inflation GDP Population'!I18/'Inflation GDP Population'!$T$17*'Inflation GDP Population'!$T$16</f>
        <v>20.49085455</v>
      </c>
      <c r="K318" s="484">
        <f>K317*'Inflation GDP Population'!J18/'Inflation GDP Population'!$T$17*'Inflation GDP Population'!$T$16</f>
        <v>27.03829478</v>
      </c>
      <c r="L318" s="484">
        <f>L317*'Inflation GDP Population'!K18/'Inflation GDP Population'!$T$17*'Inflation GDP Population'!$T$16</f>
        <v>15.92923351</v>
      </c>
      <c r="M318" s="484">
        <f>M317*'Inflation GDP Population'!L18/'Inflation GDP Population'!$T$17*'Inflation GDP Population'!$T$16</f>
        <v>20.89628232</v>
      </c>
      <c r="N318" s="484">
        <f>N317*'Inflation GDP Population'!M18/'Inflation GDP Population'!$T$17*'Inflation GDP Population'!$T$16</f>
        <v>29.49086345</v>
      </c>
      <c r="O318" s="484">
        <f>O317*'Inflation GDP Population'!N18/'Inflation GDP Population'!$T$17*'Inflation GDP Population'!$T$16</f>
        <v>30.60812658</v>
      </c>
      <c r="P318" s="484">
        <f>P317*'Inflation GDP Population'!O18/'Inflation GDP Population'!$T$17*'Inflation GDP Population'!$T$16</f>
        <v>30.17292729</v>
      </c>
      <c r="Q318" s="484">
        <f>Q317*'Inflation GDP Population'!P18/'Inflation GDP Population'!$T$17*'Inflation GDP Population'!$T$16</f>
        <v>28.40342124</v>
      </c>
      <c r="R318" s="484">
        <f>R317*'Inflation GDP Population'!Q18/'Inflation GDP Population'!$T$17*'Inflation GDP Population'!$T$16</f>
        <v>17.08334712</v>
      </c>
      <c r="S318" s="484">
        <f>S317*'Inflation GDP Population'!R18/'Inflation GDP Population'!$T$17*'Inflation GDP Population'!$T$16</f>
        <v>14.48773435</v>
      </c>
      <c r="T318" s="484">
        <f>T317*'Inflation GDP Population'!S18/'Inflation GDP Population'!$T$17*'Inflation GDP Population'!$T$16</f>
        <v>18.24554748</v>
      </c>
      <c r="U318" s="484">
        <f>U317*'Inflation GDP Population'!T18/'Inflation GDP Population'!$T$17*'Inflation GDP Population'!$T$16</f>
        <v>22.24</v>
      </c>
      <c r="V318" s="484">
        <f>V317*'Inflation GDP Population'!U18/'Inflation GDP Population'!$T$17*'Inflation GDP Population'!$T$16</f>
        <v>23.08168319</v>
      </c>
      <c r="W318" s="484">
        <f>W317*'Inflation GDP Population'!V18/'Inflation GDP Population'!$T$17*'Inflation GDP Population'!$T$16</f>
        <v>23.04346584</v>
      </c>
      <c r="X318" s="484">
        <f>X317*'Inflation GDP Population'!W18/'Inflation GDP Population'!$T$17*'Inflation GDP Population'!$T$16</f>
        <v>22.6770696</v>
      </c>
      <c r="Y318" s="484">
        <f>Y317*'Inflation GDP Population'!X18/'Inflation GDP Population'!$T$17*'Inflation GDP Population'!$T$16</f>
        <v>22.07153711</v>
      </c>
      <c r="Z318" s="484">
        <f>Z317*'Inflation GDP Population'!Y18/'Inflation GDP Population'!$T$17*'Inflation GDP Population'!$T$16</f>
        <v>21.94040299</v>
      </c>
      <c r="AA318" s="484">
        <f>AA317*'Inflation GDP Population'!Z18/'Inflation GDP Population'!$T$17*'Inflation GDP Population'!$T$16</f>
        <v>22.17754245</v>
      </c>
      <c r="AB318" s="484">
        <f>AB317*'Inflation GDP Population'!AA18/'Inflation GDP Population'!$T$17*'Inflation GDP Population'!$T$16</f>
        <v>23.01089072</v>
      </c>
      <c r="AC318" s="484">
        <f>AC317*'Inflation GDP Population'!AB18/'Inflation GDP Population'!$T$17*'Inflation GDP Population'!$T$16</f>
        <v>23.92667149</v>
      </c>
      <c r="AD318" s="484">
        <f>AD317*'Inflation GDP Population'!AC18/'Inflation GDP Population'!$T$17*'Inflation GDP Population'!$T$16</f>
        <v>25.13120963</v>
      </c>
      <c r="AE318" s="484">
        <f>AE317*'Inflation GDP Population'!AD18/'Inflation GDP Population'!$T$17*'Inflation GDP Population'!$T$16</f>
        <v>25.71854488</v>
      </c>
      <c r="AF318" s="484">
        <f>AF317*'Inflation GDP Population'!AE18/'Inflation GDP Population'!$T$17*'Inflation GDP Population'!$T$16</f>
        <v>26.86342644</v>
      </c>
      <c r="AG318" s="484">
        <f>AG317*'Inflation GDP Population'!AF18/'Inflation GDP Population'!$T$17*'Inflation GDP Population'!$T$16</f>
        <v>27.53881653</v>
      </c>
      <c r="AH318" s="484">
        <f>AH317*'Inflation GDP Population'!AG18/'Inflation GDP Population'!$T$17*'Inflation GDP Population'!$T$16</f>
        <v>28.16605801</v>
      </c>
      <c r="AI318" s="484">
        <f>AI317*'Inflation GDP Population'!AH18/'Inflation GDP Population'!$T$17*'Inflation GDP Population'!$T$16</f>
        <v>29.05630852</v>
      </c>
      <c r="AJ318" s="484">
        <f>AJ317*'Inflation GDP Population'!AI18/'Inflation GDP Population'!$T$17*'Inflation GDP Population'!$T$16</f>
        <v>30.06410755</v>
      </c>
      <c r="AK318" s="484">
        <f>AK317*'Inflation GDP Population'!AJ18/'Inflation GDP Population'!$T$17*'Inflation GDP Population'!$T$16</f>
        <v>30.69149497</v>
      </c>
      <c r="AL318" s="484">
        <f>AL317*'Inflation GDP Population'!AK18/'Inflation GDP Population'!$T$17*'Inflation GDP Population'!$T$16</f>
        <v>31.6096846</v>
      </c>
      <c r="AM318" s="484">
        <f>AM317*'Inflation GDP Population'!AL18/'Inflation GDP Population'!$T$17*'Inflation GDP Population'!$T$16</f>
        <v>32.75024783</v>
      </c>
      <c r="AN318" s="484">
        <f>AN317*'Inflation GDP Population'!AM18/'Inflation GDP Population'!$T$17*'Inflation GDP Population'!$T$16</f>
        <v>33.28812351</v>
      </c>
      <c r="AO318" s="484">
        <f>AO317*'Inflation GDP Population'!AN18/'Inflation GDP Population'!$T$17*'Inflation GDP Population'!$T$16</f>
        <v>34.09942833</v>
      </c>
      <c r="AP318" s="484">
        <f>AP317*'Inflation GDP Population'!AO18/'Inflation GDP Population'!$T$17*'Inflation GDP Population'!$T$16</f>
        <v>35.03474836</v>
      </c>
      <c r="AQ318" s="484">
        <f>AQ317*'Inflation GDP Population'!AP18/'Inflation GDP Population'!$T$17*'Inflation GDP Population'!$T$16</f>
        <v>35.99358442</v>
      </c>
      <c r="AR318" s="484">
        <f>AR317*'Inflation GDP Population'!AQ18/'Inflation GDP Population'!$T$17*'Inflation GDP Population'!$T$16</f>
        <v>36.82054489</v>
      </c>
      <c r="AS318" s="484">
        <f>AS317*'Inflation GDP Population'!AR18/'Inflation GDP Population'!$T$17*'Inflation GDP Population'!$T$16</f>
        <v>37.904566</v>
      </c>
      <c r="AT318" s="484">
        <f>AT317*'Inflation GDP Population'!AS18/'Inflation GDP Population'!$T$17*'Inflation GDP Population'!$T$16</f>
        <v>38.70888422</v>
      </c>
      <c r="AU318" s="484">
        <f>AU317*'Inflation GDP Population'!AT18/'Inflation GDP Population'!$T$17*'Inflation GDP Population'!$T$16</f>
        <v>39.43100289</v>
      </c>
      <c r="AV318" s="484">
        <f>AV317*'Inflation GDP Population'!AU18/'Inflation GDP Population'!$T$17*'Inflation GDP Population'!$T$16</f>
        <v>40.31820007</v>
      </c>
      <c r="AW318" s="484">
        <f>AW317*'Inflation GDP Population'!AV18/'Inflation GDP Population'!$T$17*'Inflation GDP Population'!$T$16</f>
        <v>41.1219439</v>
      </c>
      <c r="AX318" s="484">
        <f>AX317*'Inflation GDP Population'!AW18/'Inflation GDP Population'!$T$17*'Inflation GDP Population'!$T$16</f>
        <v>41.97672744</v>
      </c>
      <c r="AY318" s="484">
        <f>AY317*'Inflation GDP Population'!AX18/'Inflation GDP Population'!$T$17*'Inflation GDP Population'!$T$16</f>
        <v>42.92062723</v>
      </c>
      <c r="AZ318" s="484">
        <f>AZ317*'Inflation GDP Population'!AY18/'Inflation GDP Population'!$T$17*'Inflation GDP Population'!$T$16</f>
        <v>43.64875177</v>
      </c>
      <c r="BA318" s="484">
        <f>BA317*'Inflation GDP Population'!AZ18/'Inflation GDP Population'!$T$17*'Inflation GDP Population'!$T$16</f>
        <v>44.4446224</v>
      </c>
    </row>
    <row r="319">
      <c r="B319" s="458" t="s">
        <v>696</v>
      </c>
      <c r="C319" s="530">
        <v>5.8</v>
      </c>
      <c r="D319" s="530">
        <v>5.8</v>
      </c>
      <c r="E319" s="530">
        <v>5.8</v>
      </c>
      <c r="F319" s="530">
        <v>5.8</v>
      </c>
      <c r="G319" s="530">
        <v>5.8</v>
      </c>
      <c r="H319" s="530">
        <v>5.8</v>
      </c>
      <c r="I319" s="530">
        <v>5.8</v>
      </c>
      <c r="J319" s="530">
        <v>5.8</v>
      </c>
      <c r="K319" s="530">
        <v>5.8</v>
      </c>
      <c r="L319" s="530">
        <v>5.8</v>
      </c>
      <c r="M319" s="530">
        <v>5.8</v>
      </c>
      <c r="N319" s="530">
        <v>5.8</v>
      </c>
      <c r="O319" s="530">
        <v>5.8</v>
      </c>
      <c r="P319" s="530">
        <v>5.8</v>
      </c>
      <c r="Q319" s="530">
        <v>5.8</v>
      </c>
      <c r="R319" s="530">
        <v>5.717</v>
      </c>
      <c r="S319" s="530">
        <v>5.722</v>
      </c>
      <c r="T319" s="530">
        <v>5.723</v>
      </c>
      <c r="U319" s="530">
        <v>5.706</v>
      </c>
      <c r="V319" s="530">
        <v>5.698</v>
      </c>
      <c r="W319" s="530">
        <v>5.698</v>
      </c>
      <c r="X319" s="531">
        <f t="shared" ref="X319:BA319" si="58">W319</f>
        <v>5.698</v>
      </c>
      <c r="Y319" s="531">
        <f t="shared" si="58"/>
        <v>5.698</v>
      </c>
      <c r="Z319" s="531">
        <f t="shared" si="58"/>
        <v>5.698</v>
      </c>
      <c r="AA319" s="531">
        <f t="shared" si="58"/>
        <v>5.698</v>
      </c>
      <c r="AB319" s="531">
        <f t="shared" si="58"/>
        <v>5.698</v>
      </c>
      <c r="AC319" s="531">
        <f t="shared" si="58"/>
        <v>5.698</v>
      </c>
      <c r="AD319" s="531">
        <f t="shared" si="58"/>
        <v>5.698</v>
      </c>
      <c r="AE319" s="531">
        <f t="shared" si="58"/>
        <v>5.698</v>
      </c>
      <c r="AF319" s="531">
        <f t="shared" si="58"/>
        <v>5.698</v>
      </c>
      <c r="AG319" s="531">
        <f t="shared" si="58"/>
        <v>5.698</v>
      </c>
      <c r="AH319" s="531">
        <f t="shared" si="58"/>
        <v>5.698</v>
      </c>
      <c r="AI319" s="531">
        <f t="shared" si="58"/>
        <v>5.698</v>
      </c>
      <c r="AJ319" s="531">
        <f t="shared" si="58"/>
        <v>5.698</v>
      </c>
      <c r="AK319" s="531">
        <f t="shared" si="58"/>
        <v>5.698</v>
      </c>
      <c r="AL319" s="531">
        <f t="shared" si="58"/>
        <v>5.698</v>
      </c>
      <c r="AM319" s="531">
        <f t="shared" si="58"/>
        <v>5.698</v>
      </c>
      <c r="AN319" s="531">
        <f t="shared" si="58"/>
        <v>5.698</v>
      </c>
      <c r="AO319" s="531">
        <f t="shared" si="58"/>
        <v>5.698</v>
      </c>
      <c r="AP319" s="531">
        <f t="shared" si="58"/>
        <v>5.698</v>
      </c>
      <c r="AQ319" s="531">
        <f t="shared" si="58"/>
        <v>5.698</v>
      </c>
      <c r="AR319" s="531">
        <f t="shared" si="58"/>
        <v>5.698</v>
      </c>
      <c r="AS319" s="531">
        <f t="shared" si="58"/>
        <v>5.698</v>
      </c>
      <c r="AT319" s="531">
        <f t="shared" si="58"/>
        <v>5.698</v>
      </c>
      <c r="AU319" s="531">
        <f t="shared" si="58"/>
        <v>5.698</v>
      </c>
      <c r="AV319" s="531">
        <f t="shared" si="58"/>
        <v>5.698</v>
      </c>
      <c r="AW319" s="531">
        <f t="shared" si="58"/>
        <v>5.698</v>
      </c>
      <c r="AX319" s="531">
        <f t="shared" si="58"/>
        <v>5.698</v>
      </c>
      <c r="AY319" s="531">
        <f t="shared" si="58"/>
        <v>5.698</v>
      </c>
      <c r="AZ319" s="531">
        <f t="shared" si="58"/>
        <v>5.698</v>
      </c>
      <c r="BA319" s="531">
        <f t="shared" si="58"/>
        <v>5.698</v>
      </c>
    </row>
    <row r="320">
      <c r="B320" s="458" t="s">
        <v>697</v>
      </c>
      <c r="C320" s="530">
        <v>1025.0</v>
      </c>
      <c r="D320" s="530">
        <v>1028.0</v>
      </c>
      <c r="E320" s="530">
        <v>1024.0</v>
      </c>
      <c r="F320" s="530">
        <v>1028.0</v>
      </c>
      <c r="G320" s="530">
        <v>1026.0</v>
      </c>
      <c r="H320" s="530">
        <v>1028.0</v>
      </c>
      <c r="I320" s="530">
        <v>1028.0</v>
      </c>
      <c r="J320" s="530">
        <v>1027.0</v>
      </c>
      <c r="K320" s="530">
        <v>1027.0</v>
      </c>
      <c r="L320" s="530">
        <v>1025.0</v>
      </c>
      <c r="M320" s="530">
        <v>1023.0</v>
      </c>
      <c r="N320" s="530">
        <v>1022.0</v>
      </c>
      <c r="O320" s="530">
        <v>1024.0</v>
      </c>
      <c r="P320" s="530">
        <v>1027.0</v>
      </c>
      <c r="Q320" s="530">
        <v>1032.0</v>
      </c>
      <c r="R320" s="530">
        <v>1037.0</v>
      </c>
      <c r="S320" s="530">
        <v>1037.0</v>
      </c>
      <c r="T320" s="530">
        <v>1036.0</v>
      </c>
      <c r="U320" s="530">
        <v>1036.0</v>
      </c>
      <c r="V320" s="530">
        <v>1037.0</v>
      </c>
      <c r="W320" s="530">
        <v>1037.0</v>
      </c>
      <c r="X320" s="531">
        <f t="shared" ref="X320:BA320" si="59">W320</f>
        <v>1037</v>
      </c>
      <c r="Y320" s="531">
        <f t="shared" si="59"/>
        <v>1037</v>
      </c>
      <c r="Z320" s="531">
        <f t="shared" si="59"/>
        <v>1037</v>
      </c>
      <c r="AA320" s="531">
        <f t="shared" si="59"/>
        <v>1037</v>
      </c>
      <c r="AB320" s="531">
        <f t="shared" si="59"/>
        <v>1037</v>
      </c>
      <c r="AC320" s="531">
        <f t="shared" si="59"/>
        <v>1037</v>
      </c>
      <c r="AD320" s="531">
        <f t="shared" si="59"/>
        <v>1037</v>
      </c>
      <c r="AE320" s="531">
        <f t="shared" si="59"/>
        <v>1037</v>
      </c>
      <c r="AF320" s="531">
        <f t="shared" si="59"/>
        <v>1037</v>
      </c>
      <c r="AG320" s="531">
        <f t="shared" si="59"/>
        <v>1037</v>
      </c>
      <c r="AH320" s="531">
        <f t="shared" si="59"/>
        <v>1037</v>
      </c>
      <c r="AI320" s="531">
        <f t="shared" si="59"/>
        <v>1037</v>
      </c>
      <c r="AJ320" s="531">
        <f t="shared" si="59"/>
        <v>1037</v>
      </c>
      <c r="AK320" s="531">
        <f t="shared" si="59"/>
        <v>1037</v>
      </c>
      <c r="AL320" s="531">
        <f t="shared" si="59"/>
        <v>1037</v>
      </c>
      <c r="AM320" s="531">
        <f t="shared" si="59"/>
        <v>1037</v>
      </c>
      <c r="AN320" s="531">
        <f t="shared" si="59"/>
        <v>1037</v>
      </c>
      <c r="AO320" s="531">
        <f t="shared" si="59"/>
        <v>1037</v>
      </c>
      <c r="AP320" s="531">
        <f t="shared" si="59"/>
        <v>1037</v>
      </c>
      <c r="AQ320" s="531">
        <f t="shared" si="59"/>
        <v>1037</v>
      </c>
      <c r="AR320" s="531">
        <f t="shared" si="59"/>
        <v>1037</v>
      </c>
      <c r="AS320" s="531">
        <f t="shared" si="59"/>
        <v>1037</v>
      </c>
      <c r="AT320" s="531">
        <f t="shared" si="59"/>
        <v>1037</v>
      </c>
      <c r="AU320" s="531">
        <f t="shared" si="59"/>
        <v>1037</v>
      </c>
      <c r="AV320" s="531">
        <f t="shared" si="59"/>
        <v>1037</v>
      </c>
      <c r="AW320" s="531">
        <f t="shared" si="59"/>
        <v>1037</v>
      </c>
      <c r="AX320" s="531">
        <f t="shared" si="59"/>
        <v>1037</v>
      </c>
      <c r="AY320" s="531">
        <f t="shared" si="59"/>
        <v>1037</v>
      </c>
      <c r="AZ320" s="531">
        <f t="shared" si="59"/>
        <v>1037</v>
      </c>
      <c r="BA320" s="531">
        <f t="shared" si="59"/>
        <v>1037</v>
      </c>
    </row>
    <row r="321">
      <c r="B321" s="447" t="s">
        <v>698</v>
      </c>
      <c r="C321" s="532">
        <f t="shared" ref="C321:O321" si="60">C309/C319</f>
        <v>5.224281609</v>
      </c>
      <c r="D321" s="532">
        <f t="shared" si="60"/>
        <v>4.473706897</v>
      </c>
      <c r="E321" s="532">
        <f t="shared" si="60"/>
        <v>4.502586207</v>
      </c>
      <c r="F321" s="532">
        <f t="shared" si="60"/>
        <v>5.365660919</v>
      </c>
      <c r="G321" s="532">
        <f t="shared" si="60"/>
        <v>7.145402298</v>
      </c>
      <c r="H321" s="532">
        <f t="shared" si="60"/>
        <v>9.740086207</v>
      </c>
      <c r="I321" s="532">
        <f t="shared" si="60"/>
        <v>11.38247126</v>
      </c>
      <c r="J321" s="532">
        <f t="shared" si="60"/>
        <v>12.46867816</v>
      </c>
      <c r="K321" s="532">
        <f t="shared" si="60"/>
        <v>17.16752874</v>
      </c>
      <c r="L321" s="532">
        <f t="shared" si="60"/>
        <v>10.63002874</v>
      </c>
      <c r="M321" s="532">
        <f t="shared" si="60"/>
        <v>13.6887931</v>
      </c>
      <c r="N321" s="532">
        <f t="shared" si="60"/>
        <v>16.35761494</v>
      </c>
      <c r="O321" s="532">
        <f t="shared" si="60"/>
        <v>16.22600575</v>
      </c>
      <c r="AD321" s="447" t="s">
        <v>538</v>
      </c>
      <c r="AG321" s="4" t="s">
        <v>699</v>
      </c>
    </row>
    <row r="322">
      <c r="K322" s="4" t="s">
        <v>700</v>
      </c>
      <c r="Z322" s="447" t="s">
        <v>701</v>
      </c>
      <c r="AA322" s="447" t="s">
        <v>702</v>
      </c>
      <c r="AB322" s="447" t="s">
        <v>703</v>
      </c>
      <c r="AG322" s="4" t="s">
        <v>704</v>
      </c>
    </row>
    <row r="323">
      <c r="K323" s="4" t="s">
        <v>705</v>
      </c>
      <c r="Z323" s="510">
        <v>51.64</v>
      </c>
      <c r="AA323" s="498">
        <v>72.31833333</v>
      </c>
      <c r="AB323" s="460">
        <v>6.97</v>
      </c>
      <c r="AD323" s="461" t="s">
        <v>539</v>
      </c>
      <c r="AE323" s="462"/>
    </row>
    <row r="324">
      <c r="K324" s="4" t="s">
        <v>706</v>
      </c>
      <c r="Z324" s="510">
        <v>60.8</v>
      </c>
      <c r="AA324" s="498">
        <v>99.57166667</v>
      </c>
      <c r="AB324" s="460">
        <v>8.86</v>
      </c>
      <c r="AD324" s="447" t="s">
        <v>540</v>
      </c>
      <c r="AE324" s="464">
        <v>0.9927151357559024</v>
      </c>
    </row>
    <row r="325">
      <c r="K325" s="4" t="s">
        <v>707</v>
      </c>
      <c r="Z325" s="510">
        <v>35.96</v>
      </c>
      <c r="AA325" s="498">
        <v>61.65416667</v>
      </c>
      <c r="AB325" s="460">
        <v>3.94</v>
      </c>
      <c r="AD325" s="447" t="s">
        <v>541</v>
      </c>
      <c r="AE325" s="464">
        <v>0.9854833407588597</v>
      </c>
    </row>
    <row r="326">
      <c r="Z326" s="510">
        <v>44.88</v>
      </c>
      <c r="AA326" s="498">
        <v>79.395</v>
      </c>
      <c r="AB326" s="460">
        <v>4.37</v>
      </c>
      <c r="AD326" s="447" t="s">
        <v>542</v>
      </c>
      <c r="AE326" s="464">
        <v>0.9825800089106316</v>
      </c>
    </row>
    <row r="327">
      <c r="Z327" s="510">
        <v>56.25</v>
      </c>
      <c r="AA327" s="498">
        <v>94.87416667</v>
      </c>
      <c r="AB327" s="460">
        <v>4.0</v>
      </c>
      <c r="AD327" s="447" t="s">
        <v>543</v>
      </c>
      <c r="AE327" s="464">
        <v>5.432929045092828</v>
      </c>
    </row>
    <row r="328">
      <c r="Z328" s="510">
        <v>44.27</v>
      </c>
      <c r="AA328" s="498">
        <v>94.11083333</v>
      </c>
      <c r="AB328" s="460">
        <v>2.75</v>
      </c>
      <c r="AD328" s="465" t="s">
        <v>544</v>
      </c>
      <c r="AE328" s="466">
        <v>12.0</v>
      </c>
    </row>
    <row r="329">
      <c r="Z329" s="510">
        <v>40.0</v>
      </c>
      <c r="AA329" s="498">
        <v>97.90583333</v>
      </c>
      <c r="AB329" s="460">
        <v>3.73</v>
      </c>
    </row>
    <row r="330">
      <c r="Z330" s="510">
        <v>38.6</v>
      </c>
      <c r="AA330" s="498">
        <v>93.25833333</v>
      </c>
      <c r="AB330" s="460">
        <v>4.37</v>
      </c>
      <c r="AD330" s="447" t="s">
        <v>545</v>
      </c>
    </row>
    <row r="331">
      <c r="Z331" s="510">
        <v>19.9</v>
      </c>
      <c r="AA331" s="498">
        <v>48.68833333</v>
      </c>
      <c r="AB331" s="460">
        <v>2.62</v>
      </c>
      <c r="AD331" s="462"/>
      <c r="AE331" s="461" t="s">
        <v>546</v>
      </c>
      <c r="AF331" s="461" t="s">
        <v>547</v>
      </c>
      <c r="AG331" s="461" t="s">
        <v>548</v>
      </c>
      <c r="AH331" s="461" t="s">
        <v>549</v>
      </c>
      <c r="AI331" s="461" t="s">
        <v>550</v>
      </c>
    </row>
    <row r="332">
      <c r="Z332" s="510">
        <v>19.77</v>
      </c>
      <c r="AA332" s="498">
        <v>43.14416667</v>
      </c>
      <c r="AB332" s="460">
        <v>2.52</v>
      </c>
      <c r="AD332" s="447" t="s">
        <v>551</v>
      </c>
      <c r="AE332" s="464">
        <v>2.0</v>
      </c>
      <c r="AF332" s="464">
        <v>20037.82921990987</v>
      </c>
      <c r="AG332" s="464">
        <v>10018.914609954934</v>
      </c>
      <c r="AH332" s="464">
        <v>339.43186389813206</v>
      </c>
      <c r="AI332" s="464">
        <v>6.446639888579853E-10</v>
      </c>
    </row>
    <row r="333">
      <c r="Z333" s="510">
        <v>27.1</v>
      </c>
      <c r="AA333" s="498">
        <v>50.88416667</v>
      </c>
      <c r="AB333" s="460">
        <v>2.99</v>
      </c>
      <c r="AD333" s="447" t="s">
        <v>552</v>
      </c>
      <c r="AE333" s="464">
        <v>10.0</v>
      </c>
      <c r="AF333" s="464">
        <v>295.16718009013266</v>
      </c>
      <c r="AG333" s="464">
        <v>29.516718009013267</v>
      </c>
    </row>
    <row r="334">
      <c r="Z334" s="510">
        <v>30.45</v>
      </c>
      <c r="AA334" s="498">
        <v>64.94</v>
      </c>
      <c r="AB334" s="533">
        <v>3.17</v>
      </c>
      <c r="AD334" s="465" t="s">
        <v>553</v>
      </c>
      <c r="AE334" s="466">
        <v>12.0</v>
      </c>
      <c r="AF334" s="466">
        <v>20332.9964</v>
      </c>
      <c r="AG334" s="468"/>
      <c r="AH334" s="468"/>
      <c r="AI334" s="468"/>
    </row>
    <row r="336">
      <c r="AD336" s="462"/>
      <c r="AE336" s="461" t="s">
        <v>554</v>
      </c>
      <c r="AF336" s="461" t="s">
        <v>543</v>
      </c>
      <c r="AG336" s="461" t="s">
        <v>555</v>
      </c>
      <c r="AH336" s="461" t="s">
        <v>556</v>
      </c>
      <c r="AI336" s="461" t="s">
        <v>557</v>
      </c>
      <c r="AJ336" s="461" t="s">
        <v>558</v>
      </c>
      <c r="AK336" s="461" t="s">
        <v>557</v>
      </c>
      <c r="AL336" s="461" t="s">
        <v>558</v>
      </c>
    </row>
    <row r="337">
      <c r="AD337" s="447" t="s">
        <v>559</v>
      </c>
      <c r="AE337" s="464">
        <v>0.0</v>
      </c>
      <c r="AF337" s="447" t="e">
        <v>#N/A</v>
      </c>
      <c r="AG337" s="447" t="e">
        <v>#N/A</v>
      </c>
      <c r="AH337" s="447" t="e">
        <v>#N/A</v>
      </c>
      <c r="AI337" s="447" t="e">
        <v>#N/A</v>
      </c>
      <c r="AJ337" s="447" t="e">
        <v>#N/A</v>
      </c>
      <c r="AK337" s="447" t="e">
        <v>#N/A</v>
      </c>
      <c r="AL337" s="447" t="e">
        <v>#N/A</v>
      </c>
    </row>
    <row r="338">
      <c r="AD338" s="447" t="s">
        <v>702</v>
      </c>
      <c r="AE338" s="464">
        <v>0.3396608716869922</v>
      </c>
      <c r="AF338" s="464">
        <v>0.05682454778300661</v>
      </c>
      <c r="AG338" s="464">
        <v>5.9773616322304965</v>
      </c>
      <c r="AH338" s="464">
        <v>1.3616259165342512E-4</v>
      </c>
      <c r="AI338" s="464">
        <v>0.2130478895659591</v>
      </c>
      <c r="AJ338" s="464">
        <v>0.46627385380802533</v>
      </c>
      <c r="AK338" s="464">
        <v>0.2130478895659591</v>
      </c>
      <c r="AL338" s="464">
        <v>0.46627385380802533</v>
      </c>
    </row>
    <row r="339">
      <c r="AD339" s="465" t="s">
        <v>703</v>
      </c>
      <c r="AE339" s="466">
        <v>3.306570407056853</v>
      </c>
      <c r="AF339" s="466">
        <v>0.9662867029562692</v>
      </c>
      <c r="AG339" s="466">
        <v>3.421935122299305</v>
      </c>
      <c r="AH339" s="466">
        <v>0.006526201414069325</v>
      </c>
      <c r="AI339" s="466">
        <v>1.1535494712390184</v>
      </c>
      <c r="AJ339" s="466">
        <v>5.459591342874687</v>
      </c>
      <c r="AK339" s="466">
        <v>1.1535494712390184</v>
      </c>
      <c r="AL339" s="466">
        <v>5.459591342874687</v>
      </c>
    </row>
    <row r="341">
      <c r="B341" s="534"/>
      <c r="C341" s="534"/>
      <c r="D341" s="534"/>
      <c r="E341" s="534"/>
      <c r="F341" s="534"/>
      <c r="G341" s="534"/>
      <c r="H341" s="534"/>
      <c r="I341" s="534"/>
      <c r="J341" s="534"/>
      <c r="K341" s="534"/>
      <c r="L341" s="534"/>
      <c r="M341" s="534"/>
      <c r="N341" s="534"/>
      <c r="O341" s="534"/>
      <c r="P341" s="534"/>
      <c r="Q341" s="534"/>
      <c r="R341" s="534"/>
      <c r="S341" s="534"/>
      <c r="T341" s="534"/>
    </row>
    <row r="342">
      <c r="A342" s="535" t="s">
        <v>74</v>
      </c>
      <c r="B342" s="536">
        <v>0.6</v>
      </c>
      <c r="C342" s="537"/>
      <c r="D342" s="537"/>
      <c r="E342" s="537"/>
      <c r="F342" s="537"/>
      <c r="G342" s="537"/>
      <c r="H342" s="537"/>
      <c r="I342" s="537"/>
      <c r="J342" s="537"/>
      <c r="K342" s="537"/>
      <c r="L342" s="537"/>
      <c r="M342" s="537"/>
      <c r="N342" s="537"/>
      <c r="O342" s="537"/>
      <c r="P342" s="537"/>
      <c r="Q342" s="537"/>
      <c r="R342" s="537"/>
      <c r="S342" s="537"/>
      <c r="T342" s="537"/>
      <c r="U342" s="537"/>
      <c r="V342" s="537"/>
    </row>
    <row r="343">
      <c r="A343" s="535" t="s">
        <v>76</v>
      </c>
      <c r="B343" s="538">
        <f>1-B342</f>
        <v>0.4</v>
      </c>
      <c r="C343" s="537"/>
      <c r="D343" s="537"/>
      <c r="E343" s="537"/>
      <c r="F343" s="537"/>
      <c r="G343" s="537"/>
      <c r="H343" s="537"/>
      <c r="I343" s="537"/>
      <c r="J343" s="537"/>
      <c r="K343" s="537"/>
      <c r="L343" s="537"/>
      <c r="M343" s="537"/>
      <c r="N343" s="537"/>
      <c r="O343" s="537"/>
      <c r="P343" s="537"/>
      <c r="Q343" s="537"/>
      <c r="R343" s="537"/>
      <c r="S343" s="537"/>
      <c r="T343" s="537"/>
      <c r="U343" s="537"/>
      <c r="V343" s="537"/>
    </row>
    <row r="344">
      <c r="A344" s="535" t="s">
        <v>78</v>
      </c>
      <c r="B344" s="536">
        <v>0.075</v>
      </c>
      <c r="C344" s="537"/>
      <c r="D344" s="537"/>
      <c r="E344" s="537"/>
      <c r="F344" s="537"/>
      <c r="G344" s="537"/>
      <c r="H344" s="537"/>
      <c r="I344" s="537"/>
      <c r="J344" s="537"/>
      <c r="K344" s="537"/>
      <c r="L344" s="537"/>
      <c r="M344" s="537"/>
      <c r="N344" s="537"/>
      <c r="O344" s="537"/>
      <c r="P344" s="537"/>
      <c r="Q344" s="537"/>
      <c r="R344" s="537"/>
      <c r="S344" s="537"/>
      <c r="T344" s="537"/>
      <c r="U344" s="537"/>
      <c r="V344" s="537"/>
    </row>
    <row r="345">
      <c r="A345" s="535" t="s">
        <v>80</v>
      </c>
      <c r="B345" s="536">
        <v>0.09</v>
      </c>
      <c r="C345" s="537"/>
      <c r="D345" s="537"/>
      <c r="E345" s="537"/>
      <c r="F345" s="537"/>
      <c r="G345" s="537"/>
      <c r="H345" s="537"/>
      <c r="I345" s="537"/>
      <c r="J345" s="537"/>
      <c r="K345" s="537"/>
      <c r="L345" s="537"/>
      <c r="M345" s="537"/>
      <c r="N345" s="537"/>
      <c r="O345" s="537"/>
      <c r="P345" s="537"/>
      <c r="Q345" s="537"/>
      <c r="R345" s="537"/>
      <c r="S345" s="537"/>
      <c r="T345" s="537"/>
      <c r="U345" s="537"/>
      <c r="V345" s="537"/>
    </row>
    <row r="346">
      <c r="A346" s="535" t="s">
        <v>82</v>
      </c>
      <c r="B346" s="538">
        <f>B342*B344+B343*B345</f>
        <v>0.081</v>
      </c>
      <c r="C346" s="539"/>
      <c r="D346" s="539"/>
      <c r="E346" s="539"/>
      <c r="F346" s="539"/>
      <c r="G346" s="539"/>
      <c r="H346" s="539"/>
      <c r="I346" s="539"/>
      <c r="J346" s="539"/>
      <c r="K346" s="539"/>
      <c r="L346" s="539"/>
      <c r="M346" s="539"/>
      <c r="N346" s="539"/>
      <c r="O346" s="539"/>
      <c r="P346" s="539"/>
      <c r="Q346" s="539"/>
      <c r="R346" s="539"/>
      <c r="S346" s="539"/>
      <c r="T346" s="539"/>
      <c r="U346" s="539"/>
      <c r="V346" s="539"/>
    </row>
    <row r="347">
      <c r="A347" s="535" t="s">
        <v>84</v>
      </c>
      <c r="B347" s="540">
        <v>10.0</v>
      </c>
      <c r="C347" s="141"/>
      <c r="D347" s="141"/>
      <c r="E347" s="141"/>
      <c r="F347" s="141"/>
      <c r="G347" s="141"/>
      <c r="H347" s="141"/>
      <c r="I347" s="141"/>
      <c r="J347" s="141"/>
      <c r="K347" s="141"/>
      <c r="L347" s="141"/>
      <c r="M347" s="141"/>
      <c r="N347" s="141"/>
      <c r="O347" s="141"/>
      <c r="P347" s="141"/>
      <c r="Q347" s="141"/>
      <c r="R347" s="141"/>
      <c r="S347" s="141"/>
      <c r="T347" s="141"/>
      <c r="U347" s="141"/>
      <c r="V347" s="141"/>
    </row>
    <row r="348">
      <c r="A348" s="541" t="s">
        <v>708</v>
      </c>
      <c r="B348" s="542">
        <v>0.7</v>
      </c>
      <c r="C348" s="543"/>
      <c r="D348" s="543"/>
      <c r="E348" s="543"/>
      <c r="F348" s="543"/>
      <c r="G348" s="543"/>
      <c r="H348" s="543"/>
      <c r="I348" s="543"/>
      <c r="J348" s="544"/>
      <c r="K348" s="544"/>
      <c r="L348" s="544"/>
      <c r="M348" s="544"/>
      <c r="N348" s="544"/>
      <c r="O348" s="544"/>
      <c r="P348" s="544"/>
      <c r="Q348" s="544"/>
      <c r="R348" s="544"/>
      <c r="S348" s="544"/>
      <c r="T348" s="544"/>
      <c r="U348" s="544"/>
      <c r="V348" s="544"/>
    </row>
    <row r="349">
      <c r="A349" s="541" t="s">
        <v>709</v>
      </c>
      <c r="B349" s="536">
        <v>0.1429</v>
      </c>
      <c r="C349" s="536">
        <v>0.2449</v>
      </c>
      <c r="D349" s="536">
        <v>0.1749</v>
      </c>
      <c r="E349" s="536">
        <v>0.1249</v>
      </c>
      <c r="F349" s="536">
        <v>0.0893</v>
      </c>
      <c r="G349" s="536">
        <v>0.0892</v>
      </c>
      <c r="H349" s="536">
        <v>0.0893</v>
      </c>
      <c r="I349" s="536">
        <v>0.0446</v>
      </c>
      <c r="J349" s="545"/>
      <c r="K349" s="545"/>
      <c r="L349" s="545"/>
      <c r="M349" s="545"/>
      <c r="N349" s="545"/>
      <c r="O349" s="545"/>
      <c r="P349" s="545"/>
      <c r="Q349" s="545"/>
      <c r="R349" s="545"/>
      <c r="S349" s="545"/>
      <c r="T349" s="545"/>
      <c r="U349" s="545"/>
      <c r="V349" s="545"/>
    </row>
    <row r="350">
      <c r="A350" s="535" t="s">
        <v>112</v>
      </c>
      <c r="B350" s="546">
        <v>0.35</v>
      </c>
      <c r="C350" s="546">
        <v>0.35</v>
      </c>
      <c r="D350" s="546">
        <v>0.35</v>
      </c>
      <c r="E350" s="546">
        <v>0.35</v>
      </c>
      <c r="F350" s="546">
        <v>0.35</v>
      </c>
      <c r="G350" s="546">
        <v>0.35</v>
      </c>
      <c r="H350" s="546">
        <v>0.35</v>
      </c>
      <c r="I350" s="546">
        <v>0.35</v>
      </c>
      <c r="J350" s="546">
        <v>0.35</v>
      </c>
      <c r="K350" s="546">
        <v>0.35</v>
      </c>
      <c r="L350" s="546">
        <v>0.35</v>
      </c>
      <c r="M350" s="546">
        <v>0.35</v>
      </c>
      <c r="N350" s="546">
        <v>0.35</v>
      </c>
      <c r="O350" s="546">
        <v>0.35</v>
      </c>
      <c r="P350" s="546">
        <v>0.35</v>
      </c>
      <c r="Q350" s="546">
        <v>0.35</v>
      </c>
      <c r="R350" s="546">
        <v>0.35</v>
      </c>
      <c r="S350" s="546">
        <v>0.35</v>
      </c>
      <c r="T350" s="546">
        <v>0.21</v>
      </c>
      <c r="U350" s="546">
        <v>0.21</v>
      </c>
      <c r="V350" s="547">
        <v>0.21</v>
      </c>
      <c r="W350" s="208">
        <f t="shared" ref="W350:AZ350" si="61">V350</f>
        <v>0.21</v>
      </c>
      <c r="X350" s="208">
        <f t="shared" si="61"/>
        <v>0.21</v>
      </c>
      <c r="Y350" s="208">
        <f t="shared" si="61"/>
        <v>0.21</v>
      </c>
      <c r="Z350" s="208">
        <f t="shared" si="61"/>
        <v>0.21</v>
      </c>
      <c r="AA350" s="208">
        <f t="shared" si="61"/>
        <v>0.21</v>
      </c>
      <c r="AB350" s="208">
        <f t="shared" si="61"/>
        <v>0.21</v>
      </c>
      <c r="AC350" s="208">
        <f t="shared" si="61"/>
        <v>0.21</v>
      </c>
      <c r="AD350" s="208">
        <f t="shared" si="61"/>
        <v>0.21</v>
      </c>
      <c r="AE350" s="208">
        <f t="shared" si="61"/>
        <v>0.21</v>
      </c>
      <c r="AF350" s="208">
        <f t="shared" si="61"/>
        <v>0.21</v>
      </c>
      <c r="AG350" s="208">
        <f t="shared" si="61"/>
        <v>0.21</v>
      </c>
      <c r="AH350" s="208">
        <f t="shared" si="61"/>
        <v>0.21</v>
      </c>
      <c r="AI350" s="208">
        <f t="shared" si="61"/>
        <v>0.21</v>
      </c>
      <c r="AJ350" s="208">
        <f t="shared" si="61"/>
        <v>0.21</v>
      </c>
      <c r="AK350" s="208">
        <f t="shared" si="61"/>
        <v>0.21</v>
      </c>
      <c r="AL350" s="208">
        <f t="shared" si="61"/>
        <v>0.21</v>
      </c>
      <c r="AM350" s="208">
        <f t="shared" si="61"/>
        <v>0.21</v>
      </c>
      <c r="AN350" s="208">
        <f t="shared" si="61"/>
        <v>0.21</v>
      </c>
      <c r="AO350" s="208">
        <f t="shared" si="61"/>
        <v>0.21</v>
      </c>
      <c r="AP350" s="208">
        <f t="shared" si="61"/>
        <v>0.21</v>
      </c>
      <c r="AQ350" s="208">
        <f t="shared" si="61"/>
        <v>0.21</v>
      </c>
      <c r="AR350" s="208">
        <f t="shared" si="61"/>
        <v>0.21</v>
      </c>
      <c r="AS350" s="208">
        <f t="shared" si="61"/>
        <v>0.21</v>
      </c>
      <c r="AT350" s="208">
        <f t="shared" si="61"/>
        <v>0.21</v>
      </c>
      <c r="AU350" s="208">
        <f t="shared" si="61"/>
        <v>0.21</v>
      </c>
      <c r="AV350" s="208">
        <f t="shared" si="61"/>
        <v>0.21</v>
      </c>
      <c r="AW350" s="208">
        <f t="shared" si="61"/>
        <v>0.21</v>
      </c>
      <c r="AX350" s="208">
        <f t="shared" si="61"/>
        <v>0.21</v>
      </c>
      <c r="AY350" s="208">
        <f t="shared" si="61"/>
        <v>0.21</v>
      </c>
      <c r="AZ350" s="208">
        <f t="shared" si="61"/>
        <v>0.21</v>
      </c>
    </row>
    <row r="351">
      <c r="A351" s="535" t="s">
        <v>710</v>
      </c>
      <c r="B351" s="548">
        <v>0.05</v>
      </c>
      <c r="C351" s="534"/>
      <c r="D351" s="534"/>
      <c r="E351" s="534"/>
      <c r="F351" s="534"/>
      <c r="G351" s="534"/>
      <c r="H351" s="534"/>
      <c r="I351" s="534"/>
      <c r="J351" s="534"/>
      <c r="K351" s="534"/>
      <c r="L351" s="534"/>
      <c r="M351" s="534"/>
      <c r="N351" s="534"/>
      <c r="O351" s="534"/>
      <c r="P351" s="534"/>
      <c r="Q351" s="534"/>
      <c r="R351" s="534"/>
      <c r="S351" s="534"/>
      <c r="T351" s="534"/>
    </row>
    <row r="352">
      <c r="A352" s="535" t="s">
        <v>711</v>
      </c>
      <c r="B352" s="548">
        <v>0.2</v>
      </c>
      <c r="C352" s="534"/>
      <c r="D352" s="534"/>
      <c r="E352" s="534"/>
      <c r="F352" s="534"/>
      <c r="G352" s="534"/>
      <c r="H352" s="534"/>
      <c r="I352" s="534"/>
      <c r="J352" s="534"/>
      <c r="K352" s="534"/>
      <c r="L352" s="534"/>
      <c r="M352" s="534"/>
      <c r="N352" s="534"/>
      <c r="O352" s="534"/>
      <c r="P352" s="534"/>
      <c r="Q352" s="534"/>
      <c r="R352" s="534"/>
      <c r="S352" s="534"/>
      <c r="T352" s="534"/>
    </row>
    <row r="353">
      <c r="A353" s="541" t="s">
        <v>712</v>
      </c>
      <c r="B353" s="548">
        <v>0.01</v>
      </c>
      <c r="C353" s="534"/>
      <c r="D353" s="534"/>
      <c r="E353" s="534"/>
      <c r="F353" s="534"/>
      <c r="G353" s="534"/>
      <c r="H353" s="534"/>
      <c r="I353" s="534"/>
      <c r="J353" s="534"/>
      <c r="K353" s="549"/>
      <c r="L353" s="550"/>
      <c r="M353" s="550"/>
      <c r="N353" s="550"/>
      <c r="O353" s="550"/>
      <c r="P353" s="550"/>
      <c r="Q353" s="534"/>
      <c r="R353" s="534"/>
      <c r="S353" s="534"/>
      <c r="T353" s="534"/>
    </row>
    <row r="354">
      <c r="B354" s="534"/>
      <c r="C354" s="534"/>
      <c r="D354" s="534"/>
      <c r="E354" s="534"/>
      <c r="F354" s="534"/>
      <c r="G354" s="534"/>
      <c r="H354" s="534"/>
      <c r="I354" s="534"/>
      <c r="J354" s="534"/>
      <c r="K354" s="534"/>
      <c r="L354" s="534"/>
      <c r="M354" s="534"/>
      <c r="N354" s="534"/>
      <c r="O354" s="534"/>
      <c r="P354" s="551"/>
      <c r="Q354" s="534"/>
      <c r="R354" s="534"/>
      <c r="S354" s="534"/>
      <c r="T354" s="534"/>
    </row>
    <row r="355">
      <c r="B355" s="534"/>
      <c r="C355" s="534"/>
      <c r="D355" s="534"/>
      <c r="E355" s="534"/>
      <c r="F355" s="534"/>
      <c r="G355" s="534"/>
      <c r="H355" s="534"/>
      <c r="I355" s="534"/>
      <c r="J355" s="534"/>
      <c r="K355" s="534"/>
      <c r="L355" s="513" t="s">
        <v>684</v>
      </c>
      <c r="M355" s="519" t="s">
        <v>687</v>
      </c>
      <c r="N355" s="521" t="s">
        <v>640</v>
      </c>
      <c r="O355" s="458" t="s">
        <v>689</v>
      </c>
      <c r="P355" s="458" t="s">
        <v>537</v>
      </c>
      <c r="Q355" s="552"/>
      <c r="R355" s="552" t="s">
        <v>538</v>
      </c>
      <c r="S355" s="534"/>
      <c r="T355" s="534"/>
    </row>
    <row r="356">
      <c r="B356" s="534"/>
      <c r="C356" s="534"/>
      <c r="D356" s="534"/>
      <c r="E356" s="534"/>
      <c r="F356" s="534"/>
      <c r="G356" s="534"/>
      <c r="H356" s="534"/>
      <c r="I356" s="534"/>
      <c r="J356" s="534"/>
      <c r="K356" s="552"/>
      <c r="L356" s="514">
        <v>31.1</v>
      </c>
      <c r="M356" s="520">
        <v>0.396782</v>
      </c>
      <c r="N356" s="498">
        <v>30.30083333</v>
      </c>
      <c r="O356" s="499">
        <v>1.317278329</v>
      </c>
      <c r="P356" s="460">
        <v>4.31</v>
      </c>
      <c r="Q356" s="534"/>
      <c r="R356" s="534"/>
      <c r="S356" s="534"/>
      <c r="T356" s="534"/>
    </row>
    <row r="357">
      <c r="B357" s="534"/>
      <c r="C357" s="534"/>
      <c r="D357" s="534"/>
      <c r="E357" s="534"/>
      <c r="F357" s="534"/>
      <c r="G357" s="534"/>
      <c r="H357" s="534"/>
      <c r="I357" s="534"/>
      <c r="J357" s="534"/>
      <c r="K357" s="534"/>
      <c r="L357" s="514">
        <v>41.7</v>
      </c>
      <c r="M357" s="520">
        <v>0.38715</v>
      </c>
      <c r="N357" s="498">
        <v>25.9475</v>
      </c>
      <c r="O357" s="499">
        <v>1.318267898</v>
      </c>
      <c r="P357" s="460">
        <v>3.96</v>
      </c>
      <c r="Q357" s="550"/>
      <c r="R357" s="553" t="s">
        <v>539</v>
      </c>
      <c r="S357" s="554"/>
      <c r="T357" s="534"/>
    </row>
    <row r="358">
      <c r="B358" s="534"/>
      <c r="C358" s="534"/>
      <c r="D358" s="534"/>
      <c r="E358" s="534"/>
      <c r="F358" s="534"/>
      <c r="G358" s="534"/>
      <c r="H358" s="534"/>
      <c r="I358" s="534"/>
      <c r="J358" s="534"/>
      <c r="K358" s="549"/>
      <c r="L358" s="514">
        <v>33.8</v>
      </c>
      <c r="M358" s="520">
        <v>0.376829</v>
      </c>
      <c r="N358" s="498">
        <v>26.115</v>
      </c>
      <c r="O358" s="499">
        <v>1.364595044</v>
      </c>
      <c r="P358" s="460">
        <v>3.38</v>
      </c>
      <c r="Q358" s="550"/>
      <c r="R358" s="550" t="s">
        <v>540</v>
      </c>
      <c r="S358" s="550">
        <v>0.9831947167821842</v>
      </c>
      <c r="T358" s="534"/>
    </row>
    <row r="359">
      <c r="B359" s="534"/>
      <c r="C359" s="534"/>
      <c r="D359" s="534"/>
      <c r="E359" s="534"/>
      <c r="F359" s="534"/>
      <c r="G359" s="534"/>
      <c r="H359" s="534"/>
      <c r="I359" s="534"/>
      <c r="J359" s="534"/>
      <c r="K359" s="534"/>
      <c r="L359" s="514">
        <v>44.7</v>
      </c>
      <c r="M359" s="520">
        <v>0.372466917</v>
      </c>
      <c r="N359" s="498">
        <v>31.12083333</v>
      </c>
      <c r="O359" s="499">
        <v>1.433309762</v>
      </c>
      <c r="P359" s="460">
        <v>5.47</v>
      </c>
      <c r="Q359" s="552"/>
      <c r="R359" s="552" t="s">
        <v>541</v>
      </c>
      <c r="S359" s="551">
        <v>0.9666718511083994</v>
      </c>
      <c r="T359" s="534"/>
    </row>
    <row r="360">
      <c r="B360" s="534"/>
      <c r="C360" s="534"/>
      <c r="D360" s="534"/>
      <c r="E360" s="534"/>
      <c r="F360" s="534"/>
      <c r="G360" s="534"/>
      <c r="H360" s="534"/>
      <c r="I360" s="534"/>
      <c r="J360" s="534"/>
      <c r="K360" s="534"/>
      <c r="L360" s="514">
        <v>51.7</v>
      </c>
      <c r="M360" s="520">
        <v>0.382459417</v>
      </c>
      <c r="N360" s="498">
        <v>41.44333333</v>
      </c>
      <c r="O360" s="499">
        <v>1.503235978</v>
      </c>
      <c r="P360" s="460">
        <v>5.89</v>
      </c>
      <c r="Q360" s="552"/>
      <c r="R360" s="552" t="s">
        <v>542</v>
      </c>
      <c r="S360" s="551">
        <v>0.95641703606483</v>
      </c>
      <c r="T360" s="534"/>
    </row>
    <row r="361">
      <c r="B361" s="534"/>
      <c r="C361" s="534"/>
      <c r="D361" s="534"/>
      <c r="E361" s="534"/>
      <c r="F361" s="534"/>
      <c r="G361" s="534"/>
      <c r="H361" s="534"/>
      <c r="I361" s="534"/>
      <c r="J361" s="534"/>
      <c r="K361" s="534"/>
      <c r="L361" s="514">
        <v>71.7</v>
      </c>
      <c r="M361" s="520">
        <v>0.409815417</v>
      </c>
      <c r="N361" s="498">
        <v>56.4925</v>
      </c>
      <c r="O361" s="499">
        <v>1.662950749</v>
      </c>
      <c r="P361" s="460">
        <v>8.69</v>
      </c>
      <c r="Q361" s="552"/>
      <c r="R361" s="552" t="s">
        <v>543</v>
      </c>
      <c r="S361" s="551">
        <v>10.528393799637366</v>
      </c>
      <c r="T361" s="534"/>
    </row>
    <row r="362">
      <c r="B362" s="534"/>
      <c r="C362" s="534"/>
      <c r="D362" s="534"/>
      <c r="E362" s="534"/>
      <c r="F362" s="534"/>
      <c r="G362" s="534"/>
      <c r="H362" s="534"/>
      <c r="I362" s="534"/>
      <c r="J362" s="534"/>
      <c r="K362" s="534"/>
      <c r="L362" s="514">
        <v>98.8</v>
      </c>
      <c r="M362" s="520">
        <v>0.428021583</v>
      </c>
      <c r="N362" s="498">
        <v>66.01833333</v>
      </c>
      <c r="O362" s="499">
        <v>1.964867693</v>
      </c>
      <c r="P362" s="460">
        <v>6.73</v>
      </c>
      <c r="Q362" s="552"/>
      <c r="R362" s="555" t="s">
        <v>544</v>
      </c>
      <c r="S362" s="556">
        <v>18.0</v>
      </c>
      <c r="T362" s="534"/>
    </row>
    <row r="363">
      <c r="B363" s="534"/>
      <c r="C363" s="534"/>
      <c r="D363" s="534"/>
      <c r="E363" s="534"/>
      <c r="F363" s="534"/>
      <c r="G363" s="534"/>
      <c r="H363" s="534"/>
      <c r="I363" s="534"/>
      <c r="J363" s="534"/>
      <c r="K363" s="552"/>
      <c r="L363" s="514">
        <v>108.1</v>
      </c>
      <c r="M363" s="520">
        <v>0.462267333</v>
      </c>
      <c r="N363" s="498">
        <v>72.31833333</v>
      </c>
      <c r="O363" s="499">
        <v>2.521740711</v>
      </c>
      <c r="P363" s="460">
        <v>6.97</v>
      </c>
      <c r="Q363" s="551"/>
      <c r="R363" s="551"/>
      <c r="S363" s="551"/>
      <c r="T363" s="534"/>
    </row>
    <row r="364">
      <c r="B364" s="534"/>
      <c r="C364" s="534"/>
      <c r="D364" s="534"/>
      <c r="E364" s="534"/>
      <c r="F364" s="534"/>
      <c r="G364" s="534"/>
      <c r="H364" s="534"/>
      <c r="I364" s="534"/>
      <c r="J364" s="534"/>
      <c r="K364" s="534"/>
      <c r="L364" s="514">
        <v>125.3</v>
      </c>
      <c r="M364" s="520">
        <v>0.55364875</v>
      </c>
      <c r="N364" s="498">
        <v>99.57166667</v>
      </c>
      <c r="O364" s="499">
        <v>3.373959326</v>
      </c>
      <c r="P364" s="460">
        <v>8.86</v>
      </c>
      <c r="Q364" s="552"/>
      <c r="R364" s="552" t="s">
        <v>545</v>
      </c>
      <c r="S364" s="534"/>
      <c r="T364" s="534"/>
    </row>
    <row r="365">
      <c r="B365" s="534"/>
      <c r="C365" s="534"/>
      <c r="D365" s="534"/>
      <c r="E365" s="534"/>
      <c r="F365" s="534"/>
      <c r="G365" s="534"/>
      <c r="H365" s="534"/>
      <c r="I365" s="534"/>
      <c r="J365" s="534"/>
      <c r="K365" s="534"/>
      <c r="L365" s="514">
        <v>87.2</v>
      </c>
      <c r="M365" s="520">
        <v>0.63217125</v>
      </c>
      <c r="N365" s="498">
        <v>61.65416667</v>
      </c>
      <c r="O365" s="499">
        <v>4.358458806</v>
      </c>
      <c r="P365" s="460">
        <v>3.94</v>
      </c>
      <c r="Q365" s="549"/>
      <c r="R365" s="553"/>
      <c r="S365" s="553" t="s">
        <v>546</v>
      </c>
      <c r="T365" s="553" t="s">
        <v>547</v>
      </c>
      <c r="U365" s="461" t="s">
        <v>548</v>
      </c>
      <c r="V365" s="461" t="s">
        <v>549</v>
      </c>
      <c r="W365" s="461" t="s">
        <v>550</v>
      </c>
    </row>
    <row r="366">
      <c r="B366" s="534"/>
      <c r="C366" s="534"/>
      <c r="D366" s="534"/>
      <c r="E366" s="534"/>
      <c r="F366" s="534"/>
      <c r="G366" s="534"/>
      <c r="H366" s="534"/>
      <c r="I366" s="534"/>
      <c r="J366" s="534"/>
      <c r="K366" s="534"/>
      <c r="L366" s="514">
        <v>103.1</v>
      </c>
      <c r="M366" s="520">
        <v>0.824436167</v>
      </c>
      <c r="N366" s="498">
        <v>79.395</v>
      </c>
      <c r="O366" s="499">
        <v>6.123842214</v>
      </c>
      <c r="P366" s="460">
        <v>4.37</v>
      </c>
      <c r="Q366" s="552"/>
      <c r="R366" s="552" t="s">
        <v>551</v>
      </c>
      <c r="S366" s="551">
        <v>4.0</v>
      </c>
      <c r="T366" s="551">
        <v>41796.07245644128</v>
      </c>
      <c r="U366" s="464">
        <v>10449.01811411032</v>
      </c>
      <c r="V366" s="464">
        <v>94.26516685101787</v>
      </c>
      <c r="W366" s="464">
        <v>1.8222373610043974E-9</v>
      </c>
    </row>
    <row r="367">
      <c r="B367" s="534"/>
      <c r="C367" s="534"/>
      <c r="D367" s="534"/>
      <c r="E367" s="534"/>
      <c r="F367" s="534"/>
      <c r="G367" s="534"/>
      <c r="H367" s="534"/>
      <c r="I367" s="534"/>
      <c r="J367" s="534"/>
      <c r="K367" s="534"/>
      <c r="L367" s="514">
        <v>130.2</v>
      </c>
      <c r="M367" s="520">
        <v>1.292299917</v>
      </c>
      <c r="N367" s="498">
        <v>94.87416667</v>
      </c>
      <c r="O367" s="499">
        <v>8.875533197</v>
      </c>
      <c r="P367" s="460">
        <v>4.0</v>
      </c>
      <c r="Q367" s="552"/>
      <c r="R367" s="552" t="s">
        <v>552</v>
      </c>
      <c r="S367" s="551">
        <v>13.0</v>
      </c>
      <c r="T367" s="551">
        <v>1441.011988003153</v>
      </c>
      <c r="U367" s="464">
        <v>110.84707600024254</v>
      </c>
    </row>
    <row r="368">
      <c r="B368" s="534"/>
      <c r="C368" s="534"/>
      <c r="D368" s="534"/>
      <c r="E368" s="534"/>
      <c r="F368" s="534"/>
      <c r="G368" s="534"/>
      <c r="H368" s="534"/>
      <c r="I368" s="534"/>
      <c r="J368" s="534"/>
      <c r="K368" s="534"/>
      <c r="L368" s="514">
        <v>162.7</v>
      </c>
      <c r="M368" s="520">
        <v>2.143491623</v>
      </c>
      <c r="N368" s="498">
        <v>94.11083333</v>
      </c>
      <c r="O368" s="499">
        <v>11.05550897</v>
      </c>
      <c r="P368" s="460">
        <v>2.75</v>
      </c>
      <c r="Q368" s="552"/>
      <c r="R368" s="555" t="s">
        <v>553</v>
      </c>
      <c r="S368" s="556">
        <v>17.0</v>
      </c>
      <c r="T368" s="556">
        <v>43237.08444444444</v>
      </c>
      <c r="U368" s="468"/>
      <c r="V368" s="468"/>
      <c r="W368" s="468"/>
    </row>
    <row r="369">
      <c r="B369" s="534"/>
      <c r="C369" s="534"/>
      <c r="D369" s="534"/>
      <c r="E369" s="534"/>
      <c r="F369" s="534"/>
      <c r="G369" s="534"/>
      <c r="H369" s="534"/>
      <c r="I369" s="534"/>
      <c r="J369" s="534"/>
      <c r="K369" s="534"/>
      <c r="L369" s="514">
        <v>170.6</v>
      </c>
      <c r="M369" s="520">
        <v>3.049101523</v>
      </c>
      <c r="N369" s="498">
        <v>97.90583333</v>
      </c>
      <c r="O369" s="499">
        <v>12.40544627</v>
      </c>
      <c r="P369" s="460">
        <v>3.73</v>
      </c>
      <c r="Q369" s="534"/>
      <c r="R369" s="534"/>
      <c r="S369" s="534"/>
      <c r="T369" s="534"/>
    </row>
    <row r="370">
      <c r="B370" s="534"/>
      <c r="C370" s="534"/>
      <c r="D370" s="534"/>
      <c r="E370" s="534"/>
      <c r="F370" s="534"/>
      <c r="G370" s="534"/>
      <c r="H370" s="534"/>
      <c r="I370" s="534"/>
      <c r="J370" s="534"/>
      <c r="K370" s="534"/>
      <c r="L370" s="514">
        <v>203.9</v>
      </c>
      <c r="M370" s="520">
        <v>4.105007951</v>
      </c>
      <c r="N370" s="498">
        <v>93.25833333</v>
      </c>
      <c r="O370" s="499">
        <v>14.36104015</v>
      </c>
      <c r="P370" s="460">
        <v>4.37</v>
      </c>
      <c r="Q370" s="549"/>
      <c r="R370" s="553"/>
      <c r="S370" s="553" t="s">
        <v>554</v>
      </c>
      <c r="T370" s="553" t="s">
        <v>543</v>
      </c>
      <c r="U370" s="461" t="s">
        <v>555</v>
      </c>
      <c r="V370" s="461" t="s">
        <v>556</v>
      </c>
      <c r="W370" s="461" t="s">
        <v>557</v>
      </c>
      <c r="X370" s="461" t="s">
        <v>558</v>
      </c>
      <c r="Y370" s="462"/>
      <c r="Z370" s="462"/>
    </row>
    <row r="371">
      <c r="B371" s="534"/>
      <c r="C371" s="534"/>
      <c r="D371" s="534"/>
      <c r="E371" s="534"/>
      <c r="F371" s="534"/>
      <c r="G371" s="534"/>
      <c r="H371" s="534"/>
      <c r="I371" s="534"/>
      <c r="J371" s="534"/>
      <c r="K371" s="534"/>
      <c r="L371" s="514">
        <v>149.6</v>
      </c>
      <c r="M371" s="520">
        <v>4.774478068</v>
      </c>
      <c r="N371" s="498">
        <v>48.68833333</v>
      </c>
      <c r="O371" s="499">
        <v>15.98832085</v>
      </c>
      <c r="P371" s="460">
        <v>2.62</v>
      </c>
      <c r="Q371" s="552"/>
      <c r="R371" s="552" t="s">
        <v>559</v>
      </c>
      <c r="S371" s="551">
        <v>9.365276086128006</v>
      </c>
      <c r="T371" s="551">
        <v>11.304061997877612</v>
      </c>
      <c r="U371" s="464">
        <v>0.8284876788437977</v>
      </c>
      <c r="V371" s="464">
        <v>0.4223448646171418</v>
      </c>
      <c r="W371" s="464">
        <v>-15.055665097592563</v>
      </c>
      <c r="X371" s="464">
        <v>33.78621726984858</v>
      </c>
    </row>
    <row r="372">
      <c r="B372" s="534"/>
      <c r="C372" s="534"/>
      <c r="D372" s="534"/>
      <c r="E372" s="534"/>
      <c r="F372" s="534"/>
      <c r="G372" s="534"/>
      <c r="H372" s="534"/>
      <c r="I372" s="534"/>
      <c r="J372" s="534"/>
      <c r="K372" s="534"/>
      <c r="L372" s="514">
        <v>79.9</v>
      </c>
      <c r="M372" s="520">
        <v>4.429167813</v>
      </c>
      <c r="N372" s="498">
        <v>43.14416667</v>
      </c>
      <c r="O372" s="499">
        <v>16.63158594</v>
      </c>
      <c r="P372" s="460">
        <v>2.52</v>
      </c>
      <c r="Q372" s="552"/>
      <c r="R372" s="552" t="s">
        <v>687</v>
      </c>
      <c r="S372" s="551">
        <v>57.71762272639944</v>
      </c>
      <c r="T372" s="551">
        <v>10.442143557926496</v>
      </c>
      <c r="U372" s="464">
        <v>5.527373034685655</v>
      </c>
      <c r="V372" s="464">
        <v>9.751194093062294E-5</v>
      </c>
      <c r="W372" s="464">
        <v>35.15874312117715</v>
      </c>
      <c r="X372" s="464">
        <v>80.27650233162173</v>
      </c>
    </row>
    <row r="373">
      <c r="B373" s="534"/>
      <c r="C373" s="534"/>
      <c r="D373" s="534"/>
      <c r="E373" s="534"/>
      <c r="F373" s="534"/>
      <c r="G373" s="534"/>
      <c r="H373" s="534"/>
      <c r="I373" s="534"/>
      <c r="J373" s="534"/>
      <c r="K373" s="534"/>
      <c r="L373" s="514">
        <v>112.3</v>
      </c>
      <c r="M373" s="520">
        <v>4.959407378</v>
      </c>
      <c r="N373" s="498">
        <v>50.88416667</v>
      </c>
      <c r="O373" s="499">
        <v>18.03613923</v>
      </c>
      <c r="P373" s="460">
        <v>2.99</v>
      </c>
      <c r="Q373" s="552"/>
      <c r="R373" s="552" t="s">
        <v>640</v>
      </c>
      <c r="S373" s="551">
        <v>2.1526072651448445</v>
      </c>
      <c r="T373" s="551">
        <v>0.19192172702259627</v>
      </c>
      <c r="U373" s="464">
        <v>11.21606864704486</v>
      </c>
      <c r="V373" s="464">
        <v>4.678714963632468E-8</v>
      </c>
      <c r="W373" s="464">
        <v>1.7379855823924952</v>
      </c>
      <c r="X373" s="464">
        <v>2.5672289478971937</v>
      </c>
    </row>
    <row r="374">
      <c r="B374" s="534"/>
      <c r="C374" s="534"/>
      <c r="D374" s="534"/>
      <c r="E374" s="534"/>
      <c r="F374" s="534"/>
      <c r="G374" s="534"/>
      <c r="H374" s="534"/>
      <c r="I374" s="534"/>
      <c r="J374" s="534"/>
      <c r="K374" s="534"/>
      <c r="L374" s="534"/>
      <c r="M374" s="534"/>
      <c r="N374" s="534"/>
      <c r="O374" s="534"/>
      <c r="P374" s="534"/>
      <c r="Q374" s="552"/>
      <c r="R374" s="552" t="s">
        <v>689</v>
      </c>
      <c r="S374" s="551">
        <v>-14.793691715021737</v>
      </c>
      <c r="T374" s="551">
        <v>3.4214407506560245</v>
      </c>
      <c r="U374" s="464">
        <v>-4.3238193477952835</v>
      </c>
      <c r="V374" s="464">
        <v>8.260265580608682E-4</v>
      </c>
      <c r="W374" s="464">
        <v>-22.185265058395412</v>
      </c>
      <c r="X374" s="464">
        <v>-7.402118371648062</v>
      </c>
    </row>
    <row r="375">
      <c r="B375" s="534"/>
      <c r="C375" s="534"/>
      <c r="D375" s="534"/>
      <c r="E375" s="534"/>
      <c r="F375" s="534"/>
      <c r="G375" s="534"/>
      <c r="H375" s="534"/>
      <c r="I375" s="534"/>
      <c r="J375" s="534"/>
      <c r="K375" s="534"/>
      <c r="L375" s="534"/>
      <c r="M375" s="534"/>
      <c r="N375" s="534"/>
      <c r="O375" s="534"/>
      <c r="P375" s="534"/>
      <c r="Q375" s="534"/>
      <c r="R375" s="555" t="s">
        <v>537</v>
      </c>
      <c r="S375" s="556">
        <v>-7.598708177943877</v>
      </c>
      <c r="T375" s="556">
        <v>2.3968995749048427</v>
      </c>
      <c r="U375" s="466">
        <v>-3.1702238414579997</v>
      </c>
      <c r="V375" s="466">
        <v>0.007378677820488816</v>
      </c>
      <c r="W375" s="466">
        <v>-12.776894882247703</v>
      </c>
      <c r="X375" s="466">
        <v>-2.4205214736400507</v>
      </c>
      <c r="Y375" s="468"/>
      <c r="Z375" s="468"/>
    </row>
    <row r="376">
      <c r="B376" s="534"/>
      <c r="C376" s="534"/>
      <c r="D376" s="534"/>
      <c r="E376" s="534"/>
      <c r="F376" s="534"/>
      <c r="G376" s="534"/>
      <c r="H376" s="534"/>
      <c r="I376" s="534"/>
      <c r="J376" s="534"/>
      <c r="K376" s="534"/>
      <c r="L376" s="534"/>
      <c r="M376" s="534"/>
      <c r="N376" s="534"/>
      <c r="O376" s="534"/>
      <c r="P376" s="534"/>
      <c r="Q376" s="534"/>
      <c r="R376" s="534"/>
      <c r="S376" s="534"/>
      <c r="T376" s="534"/>
    </row>
    <row r="377">
      <c r="B377" s="534"/>
      <c r="C377" s="534"/>
      <c r="D377" s="534"/>
      <c r="E377" s="534"/>
      <c r="F377" s="534"/>
      <c r="G377" s="534"/>
      <c r="H377" s="534"/>
      <c r="I377" s="534"/>
      <c r="J377" s="534"/>
      <c r="K377" s="534"/>
      <c r="L377" s="534"/>
      <c r="M377" s="534"/>
      <c r="N377" s="534"/>
      <c r="O377" s="534"/>
      <c r="P377" s="534"/>
      <c r="Q377" s="534"/>
      <c r="R377" s="552" t="s">
        <v>538</v>
      </c>
      <c r="S377" s="534"/>
      <c r="T377" s="534"/>
    </row>
    <row r="378">
      <c r="B378" s="534"/>
      <c r="C378" s="534"/>
      <c r="D378" s="534"/>
      <c r="E378" s="534"/>
      <c r="F378" s="534"/>
      <c r="G378" s="534"/>
      <c r="H378" s="534"/>
      <c r="I378" s="534"/>
      <c r="J378" s="534"/>
      <c r="K378" s="534"/>
      <c r="L378" s="534"/>
      <c r="M378" s="534"/>
      <c r="N378" s="534"/>
      <c r="O378" s="534"/>
      <c r="P378" s="534"/>
      <c r="Q378" s="534"/>
      <c r="R378" s="534"/>
      <c r="S378" s="534"/>
      <c r="T378" s="534"/>
    </row>
    <row r="379">
      <c r="B379" s="534"/>
      <c r="C379" s="534"/>
      <c r="D379" s="534"/>
      <c r="E379" s="534"/>
      <c r="F379" s="534"/>
      <c r="G379" s="534"/>
      <c r="H379" s="534"/>
      <c r="I379" s="534"/>
      <c r="J379" s="534"/>
      <c r="K379" s="534"/>
      <c r="L379" s="534"/>
      <c r="M379" s="534"/>
      <c r="N379" s="534"/>
      <c r="O379" s="534"/>
      <c r="P379" s="534"/>
      <c r="Q379" s="534"/>
      <c r="R379" s="553" t="s">
        <v>539</v>
      </c>
      <c r="S379" s="554"/>
      <c r="T379" s="534"/>
    </row>
    <row r="380">
      <c r="B380" s="534"/>
      <c r="C380" s="534"/>
      <c r="D380" s="534"/>
      <c r="E380" s="534"/>
      <c r="F380" s="534"/>
      <c r="G380" s="534"/>
      <c r="H380" s="534"/>
      <c r="I380" s="534"/>
      <c r="J380" s="534"/>
      <c r="K380" s="534"/>
      <c r="L380" s="534"/>
      <c r="M380" s="534"/>
      <c r="N380" s="534"/>
      <c r="O380" s="534"/>
      <c r="P380" s="534"/>
      <c r="Q380" s="534"/>
      <c r="R380" s="552" t="s">
        <v>540</v>
      </c>
      <c r="S380" s="551">
        <v>0.9966157306017115</v>
      </c>
      <c r="T380" s="534"/>
    </row>
    <row r="381">
      <c r="B381" s="534"/>
      <c r="C381" s="534"/>
      <c r="D381" s="534"/>
      <c r="E381" s="534"/>
      <c r="F381" s="534"/>
      <c r="G381" s="534"/>
      <c r="H381" s="534"/>
      <c r="I381" s="534"/>
      <c r="J381" s="534"/>
      <c r="K381" s="534"/>
      <c r="L381" s="534"/>
      <c r="M381" s="534"/>
      <c r="N381" s="534"/>
      <c r="O381" s="534"/>
      <c r="P381" s="534"/>
      <c r="Q381" s="534"/>
      <c r="R381" s="552" t="s">
        <v>541</v>
      </c>
      <c r="S381" s="551">
        <v>0.9932429144827831</v>
      </c>
      <c r="T381" s="534"/>
    </row>
    <row r="382">
      <c r="B382" s="534"/>
      <c r="C382" s="534"/>
      <c r="D382" s="534"/>
      <c r="E382" s="534"/>
      <c r="F382" s="534"/>
      <c r="G382" s="534"/>
      <c r="H382" s="534"/>
      <c r="I382" s="534"/>
      <c r="J382" s="534"/>
      <c r="K382" s="534"/>
      <c r="L382" s="534"/>
      <c r="M382" s="534"/>
      <c r="N382" s="534"/>
      <c r="O382" s="534"/>
      <c r="P382" s="534"/>
      <c r="Q382" s="534"/>
      <c r="R382" s="552" t="s">
        <v>542</v>
      </c>
      <c r="S382" s="551">
        <v>0.9913123186207211</v>
      </c>
      <c r="T382" s="534"/>
    </row>
    <row r="383">
      <c r="B383" s="534"/>
      <c r="C383" s="534"/>
      <c r="D383" s="534"/>
      <c r="E383" s="534"/>
      <c r="F383" s="534"/>
      <c r="G383" s="534"/>
      <c r="H383" s="534"/>
      <c r="I383" s="534"/>
      <c r="J383" s="534"/>
      <c r="K383" s="534"/>
      <c r="L383" s="534"/>
      <c r="M383" s="534"/>
      <c r="N383" s="534"/>
      <c r="O383" s="534"/>
      <c r="P383" s="534"/>
      <c r="Q383" s="534"/>
      <c r="R383" s="552" t="s">
        <v>543</v>
      </c>
      <c r="S383" s="551">
        <v>10.40980484169617</v>
      </c>
      <c r="T383" s="534"/>
    </row>
    <row r="384">
      <c r="B384" s="534"/>
      <c r="C384" s="534"/>
      <c r="D384" s="534"/>
      <c r="E384" s="534"/>
      <c r="F384" s="534"/>
      <c r="G384" s="534"/>
      <c r="H384" s="534"/>
      <c r="I384" s="534"/>
      <c r="J384" s="534"/>
      <c r="K384" s="534"/>
      <c r="L384" s="534"/>
      <c r="M384" s="534"/>
      <c r="N384" s="534"/>
      <c r="O384" s="534"/>
      <c r="P384" s="534"/>
      <c r="Q384" s="534"/>
      <c r="R384" s="555" t="s">
        <v>544</v>
      </c>
      <c r="S384" s="556">
        <v>18.0</v>
      </c>
      <c r="T384" s="534"/>
    </row>
    <row r="385">
      <c r="B385" s="534"/>
      <c r="C385" s="534"/>
      <c r="D385" s="534"/>
      <c r="E385" s="534"/>
      <c r="F385" s="534"/>
      <c r="G385" s="534"/>
      <c r="H385" s="534"/>
      <c r="I385" s="534"/>
      <c r="J385" s="534"/>
      <c r="K385" s="534"/>
      <c r="L385" s="534"/>
      <c r="M385" s="534"/>
      <c r="N385" s="534"/>
      <c r="O385" s="534"/>
      <c r="P385" s="534"/>
      <c r="Q385" s="534"/>
      <c r="R385" s="534"/>
      <c r="S385" s="534"/>
      <c r="T385" s="534"/>
    </row>
    <row r="386">
      <c r="B386" s="534"/>
      <c r="C386" s="534"/>
      <c r="D386" s="534"/>
      <c r="E386" s="534"/>
      <c r="F386" s="534"/>
      <c r="G386" s="534"/>
      <c r="H386" s="534"/>
      <c r="I386" s="534"/>
      <c r="J386" s="534"/>
      <c r="K386" s="534"/>
      <c r="L386" s="534"/>
      <c r="M386" s="534"/>
      <c r="N386" s="534"/>
      <c r="O386" s="534"/>
      <c r="P386" s="534"/>
      <c r="Q386" s="534"/>
      <c r="R386" s="552" t="s">
        <v>545</v>
      </c>
      <c r="S386" s="534"/>
      <c r="T386" s="534"/>
    </row>
    <row r="387">
      <c r="B387" s="534"/>
      <c r="C387" s="534"/>
      <c r="D387" s="534"/>
      <c r="E387" s="534"/>
      <c r="F387" s="534"/>
      <c r="G387" s="534"/>
      <c r="H387" s="534"/>
      <c r="I387" s="534"/>
      <c r="J387" s="534"/>
      <c r="K387" s="534"/>
      <c r="L387" s="551"/>
      <c r="M387" s="551"/>
      <c r="N387" s="534"/>
      <c r="O387" s="534"/>
      <c r="P387" s="534"/>
      <c r="Q387" s="534"/>
      <c r="R387" s="554"/>
      <c r="S387" s="553" t="s">
        <v>546</v>
      </c>
      <c r="T387" s="553" t="s">
        <v>547</v>
      </c>
      <c r="U387" s="461" t="s">
        <v>548</v>
      </c>
      <c r="V387" s="461" t="s">
        <v>549</v>
      </c>
      <c r="W387" s="461" t="s">
        <v>550</v>
      </c>
    </row>
    <row r="388">
      <c r="B388" s="534"/>
      <c r="C388" s="534"/>
      <c r="D388" s="534"/>
      <c r="E388" s="534"/>
      <c r="F388" s="534"/>
      <c r="G388" s="534"/>
      <c r="H388" s="534"/>
      <c r="I388" s="534"/>
      <c r="J388" s="534"/>
      <c r="K388" s="534"/>
      <c r="L388" s="534"/>
      <c r="M388" s="534"/>
      <c r="N388" s="534"/>
      <c r="O388" s="534"/>
      <c r="P388" s="534"/>
      <c r="Q388" s="534"/>
      <c r="R388" s="552" t="s">
        <v>551</v>
      </c>
      <c r="S388" s="551">
        <v>4.0</v>
      </c>
      <c r="T388" s="551">
        <v>223002.26348420916</v>
      </c>
      <c r="U388" s="464">
        <v>55750.56587105229</v>
      </c>
      <c r="V388" s="464">
        <v>514.4747971343656</v>
      </c>
      <c r="W388" s="464">
        <v>5.10702591327572E-15</v>
      </c>
    </row>
    <row r="389">
      <c r="R389" s="447" t="s">
        <v>552</v>
      </c>
      <c r="S389" s="464">
        <v>14.0</v>
      </c>
      <c r="T389" s="464">
        <v>1517.0965157908142</v>
      </c>
      <c r="U389" s="464">
        <v>108.36403684220102</v>
      </c>
    </row>
    <row r="390">
      <c r="R390" s="465" t="s">
        <v>553</v>
      </c>
      <c r="S390" s="466">
        <v>18.0</v>
      </c>
      <c r="T390" s="466">
        <v>224519.36</v>
      </c>
      <c r="U390" s="468"/>
      <c r="V390" s="468"/>
      <c r="W390" s="468"/>
    </row>
    <row r="392">
      <c r="R392" s="462"/>
      <c r="S392" s="461" t="s">
        <v>554</v>
      </c>
      <c r="T392" s="461" t="s">
        <v>543</v>
      </c>
      <c r="U392" s="461" t="s">
        <v>555</v>
      </c>
      <c r="V392" s="461" t="s">
        <v>556</v>
      </c>
      <c r="W392" s="461" t="s">
        <v>557</v>
      </c>
      <c r="X392" s="461" t="s">
        <v>558</v>
      </c>
      <c r="Y392" s="462"/>
      <c r="Z392" s="462"/>
    </row>
    <row r="393">
      <c r="R393" s="447" t="s">
        <v>559</v>
      </c>
      <c r="S393" s="464">
        <v>0.0</v>
      </c>
      <c r="T393" s="447" t="e">
        <v>#N/A</v>
      </c>
      <c r="U393" s="447" t="e">
        <v>#N/A</v>
      </c>
      <c r="V393" s="447" t="e">
        <v>#N/A</v>
      </c>
      <c r="W393" s="447" t="e">
        <v>#N/A</v>
      </c>
      <c r="X393" s="447" t="e">
        <v>#N/A</v>
      </c>
    </row>
    <row r="394">
      <c r="R394" s="447" t="s">
        <v>687</v>
      </c>
      <c r="S394" s="464">
        <v>55.1900908780342</v>
      </c>
      <c r="T394" s="464">
        <v>9.874061043586583</v>
      </c>
      <c r="U394" s="464">
        <v>5.589401426060796</v>
      </c>
      <c r="V394" s="464">
        <v>6.670805753023928E-5</v>
      </c>
      <c r="W394" s="464">
        <v>34.01233626121639</v>
      </c>
      <c r="X394" s="464">
        <v>76.367845494852</v>
      </c>
    </row>
    <row r="395">
      <c r="R395" s="447" t="s">
        <v>640</v>
      </c>
      <c r="S395" s="464">
        <v>2.11894854413233</v>
      </c>
      <c r="T395" s="464">
        <v>0.18545967579867662</v>
      </c>
      <c r="U395" s="464">
        <v>11.42538686648265</v>
      </c>
      <c r="V395" s="464">
        <v>1.7513420009614645E-8</v>
      </c>
      <c r="W395" s="464">
        <v>1.7211771015575412</v>
      </c>
      <c r="X395" s="464">
        <v>2.516719986707119</v>
      </c>
    </row>
    <row r="396">
      <c r="R396" s="447" t="s">
        <v>689</v>
      </c>
      <c r="S396" s="464">
        <v>-13.66247233909857</v>
      </c>
      <c r="T396" s="464">
        <v>3.101848973220392</v>
      </c>
      <c r="U396" s="464">
        <v>-4.404622035776926</v>
      </c>
      <c r="V396" s="464">
        <v>5.994585533427463E-4</v>
      </c>
      <c r="W396" s="464">
        <v>-20.315276704325477</v>
      </c>
      <c r="X396" s="464">
        <v>-7.009667973871665</v>
      </c>
    </row>
    <row r="397">
      <c r="R397" s="465" t="s">
        <v>537</v>
      </c>
      <c r="S397" s="466">
        <v>-6.0430336696036875</v>
      </c>
      <c r="T397" s="466">
        <v>1.4729400238449102</v>
      </c>
      <c r="U397" s="466">
        <v>-4.102701788107548</v>
      </c>
      <c r="V397" s="466">
        <v>0.0010764381452583595</v>
      </c>
      <c r="W397" s="466">
        <v>-9.202175815128317</v>
      </c>
      <c r="X397" s="466">
        <v>-2.8838915240790572</v>
      </c>
      <c r="Y397" s="468"/>
      <c r="Z397" s="468"/>
    </row>
    <row r="399">
      <c r="R399" s="447" t="s">
        <v>538</v>
      </c>
    </row>
    <row r="401">
      <c r="R401" s="461" t="s">
        <v>539</v>
      </c>
      <c r="S401" s="462"/>
    </row>
    <row r="402">
      <c r="R402" s="447" t="s">
        <v>540</v>
      </c>
      <c r="S402" s="464">
        <v>0.9584471737054023</v>
      </c>
    </row>
    <row r="403">
      <c r="R403" s="447" t="s">
        <v>541</v>
      </c>
      <c r="S403" s="464">
        <v>0.9186209847838738</v>
      </c>
    </row>
    <row r="404">
      <c r="R404" s="447" t="s">
        <v>542</v>
      </c>
      <c r="S404" s="464">
        <v>0.9077704494217236</v>
      </c>
    </row>
    <row r="405">
      <c r="R405" s="447" t="s">
        <v>543</v>
      </c>
      <c r="S405" s="464">
        <v>15.315768242577926</v>
      </c>
    </row>
    <row r="406">
      <c r="R406" s="465" t="s">
        <v>544</v>
      </c>
      <c r="S406" s="466">
        <v>18.0</v>
      </c>
    </row>
    <row r="408">
      <c r="R408" s="447" t="s">
        <v>545</v>
      </c>
    </row>
    <row r="409">
      <c r="R409" s="462"/>
      <c r="S409" s="461" t="s">
        <v>546</v>
      </c>
      <c r="T409" s="461" t="s">
        <v>547</v>
      </c>
      <c r="U409" s="461" t="s">
        <v>548</v>
      </c>
      <c r="V409" s="461" t="s">
        <v>549</v>
      </c>
      <c r="W409" s="461" t="s">
        <v>550</v>
      </c>
    </row>
    <row r="410">
      <c r="R410" s="447" t="s">
        <v>551</v>
      </c>
      <c r="S410" s="464">
        <v>2.0</v>
      </c>
      <c r="T410" s="464">
        <v>39718.49309153906</v>
      </c>
      <c r="U410" s="464">
        <v>19859.24654576953</v>
      </c>
      <c r="V410" s="464">
        <v>84.66135117980373</v>
      </c>
      <c r="W410" s="464">
        <v>6.7428457262153074E-9</v>
      </c>
    </row>
    <row r="411">
      <c r="R411" s="447" t="s">
        <v>552</v>
      </c>
      <c r="S411" s="464">
        <v>15.0</v>
      </c>
      <c r="T411" s="464">
        <v>3518.5913529053782</v>
      </c>
      <c r="U411" s="464">
        <v>234.57275686035854</v>
      </c>
    </row>
    <row r="412">
      <c r="R412" s="465" t="s">
        <v>553</v>
      </c>
      <c r="S412" s="466">
        <v>17.0</v>
      </c>
      <c r="T412" s="466">
        <v>43237.08444444444</v>
      </c>
      <c r="U412" s="468"/>
      <c r="V412" s="468"/>
      <c r="W412" s="468"/>
    </row>
    <row r="414">
      <c r="R414" s="462"/>
      <c r="S414" s="461" t="s">
        <v>554</v>
      </c>
      <c r="T414" s="461" t="s">
        <v>543</v>
      </c>
      <c r="U414" s="461" t="s">
        <v>555</v>
      </c>
      <c r="V414" s="461" t="s">
        <v>556</v>
      </c>
      <c r="W414" s="461" t="s">
        <v>557</v>
      </c>
      <c r="X414" s="461" t="s">
        <v>558</v>
      </c>
      <c r="Y414" s="462"/>
      <c r="Z414" s="462"/>
    </row>
    <row r="415">
      <c r="R415" s="447" t="s">
        <v>559</v>
      </c>
      <c r="S415" s="464">
        <v>-11.873144163252391</v>
      </c>
      <c r="T415" s="464">
        <v>9.64778223838498</v>
      </c>
      <c r="U415" s="464">
        <v>-1.2306604637088008</v>
      </c>
      <c r="V415" s="464">
        <v>0.23739980840238512</v>
      </c>
      <c r="W415" s="464">
        <v>-32.436905135911005</v>
      </c>
      <c r="X415" s="464">
        <v>8.690616809406222</v>
      </c>
    </row>
    <row r="416">
      <c r="R416" s="447" t="s">
        <v>687</v>
      </c>
      <c r="S416" s="464">
        <v>13.596477996054709</v>
      </c>
      <c r="T416" s="464">
        <v>2.1504289815347293</v>
      </c>
      <c r="U416" s="464">
        <v>6.322681712720922</v>
      </c>
      <c r="V416" s="464">
        <v>1.3679069129483492E-5</v>
      </c>
      <c r="W416" s="464">
        <v>9.01294714178033</v>
      </c>
      <c r="X416" s="464">
        <v>18.180008850329088</v>
      </c>
    </row>
    <row r="417">
      <c r="R417" s="465" t="s">
        <v>640</v>
      </c>
      <c r="S417" s="466">
        <v>1.4484773491866285</v>
      </c>
      <c r="T417" s="466">
        <v>0.14257462723476055</v>
      </c>
      <c r="U417" s="466">
        <v>10.15943283373692</v>
      </c>
      <c r="V417" s="466">
        <v>4.0564544371806455E-8</v>
      </c>
      <c r="W417" s="466">
        <v>1.1445867261627503</v>
      </c>
      <c r="X417" s="466">
        <v>1.7523679722105068</v>
      </c>
      <c r="Y417" s="468"/>
      <c r="Z417" s="468"/>
    </row>
    <row r="419">
      <c r="R419" s="447" t="s">
        <v>538</v>
      </c>
    </row>
    <row r="421">
      <c r="R421" s="461" t="s">
        <v>539</v>
      </c>
      <c r="S421" s="462"/>
    </row>
    <row r="422">
      <c r="R422" s="447" t="s">
        <v>540</v>
      </c>
      <c r="S422" s="464">
        <v>0.9913354614122644</v>
      </c>
    </row>
    <row r="423">
      <c r="R423" s="447" t="s">
        <v>541</v>
      </c>
      <c r="S423" s="464">
        <v>0.9827459970534671</v>
      </c>
    </row>
    <row r="424">
      <c r="R424" s="447" t="s">
        <v>542</v>
      </c>
      <c r="S424" s="464">
        <v>0.9805892466851506</v>
      </c>
    </row>
    <row r="425">
      <c r="R425" s="447" t="s">
        <v>543</v>
      </c>
      <c r="S425" s="464">
        <v>15.560080532796238</v>
      </c>
    </row>
    <row r="426">
      <c r="R426" s="465" t="s">
        <v>544</v>
      </c>
      <c r="S426" s="466">
        <v>18.0</v>
      </c>
    </row>
    <row r="428">
      <c r="R428" s="447" t="s">
        <v>545</v>
      </c>
    </row>
    <row r="429">
      <c r="R429" s="462"/>
      <c r="S429" s="461" t="s">
        <v>546</v>
      </c>
      <c r="T429" s="461" t="s">
        <v>547</v>
      </c>
      <c r="U429" s="461" t="s">
        <v>548</v>
      </c>
      <c r="V429" s="461" t="s">
        <v>549</v>
      </c>
      <c r="W429" s="461" t="s">
        <v>550</v>
      </c>
    </row>
    <row r="430">
      <c r="R430" s="447" t="s">
        <v>551</v>
      </c>
      <c r="S430" s="464">
        <v>2.0</v>
      </c>
      <c r="T430" s="464">
        <v>220645.50230100632</v>
      </c>
      <c r="U430" s="464">
        <v>110322.75115050316</v>
      </c>
      <c r="V430" s="464">
        <v>455.6605212593624</v>
      </c>
      <c r="W430" s="464">
        <v>7.882583474838611E-15</v>
      </c>
    </row>
    <row r="431">
      <c r="R431" s="447" t="s">
        <v>552</v>
      </c>
      <c r="S431" s="464">
        <v>16.0</v>
      </c>
      <c r="T431" s="464">
        <v>3873.8576989936714</v>
      </c>
      <c r="U431" s="464">
        <v>242.11610618710446</v>
      </c>
    </row>
    <row r="432">
      <c r="R432" s="465" t="s">
        <v>553</v>
      </c>
      <c r="S432" s="466">
        <v>18.0</v>
      </c>
      <c r="T432" s="466">
        <v>224519.36</v>
      </c>
      <c r="U432" s="468"/>
      <c r="V432" s="468"/>
      <c r="W432" s="468"/>
    </row>
    <row r="434">
      <c r="R434" s="462"/>
      <c r="S434" s="461" t="s">
        <v>554</v>
      </c>
      <c r="T434" s="461" t="s">
        <v>543</v>
      </c>
      <c r="U434" s="461" t="s">
        <v>555</v>
      </c>
      <c r="V434" s="461" t="s">
        <v>556</v>
      </c>
      <c r="W434" s="461" t="s">
        <v>557</v>
      </c>
      <c r="X434" s="461" t="s">
        <v>558</v>
      </c>
      <c r="Y434" s="462"/>
      <c r="Z434" s="462"/>
    </row>
    <row r="435">
      <c r="R435" s="447" t="s">
        <v>559</v>
      </c>
      <c r="S435" s="464">
        <v>0.0</v>
      </c>
      <c r="T435" s="447" t="e">
        <v>#N/A</v>
      </c>
      <c r="U435" s="447" t="e">
        <v>#N/A</v>
      </c>
      <c r="V435" s="447" t="e">
        <v>#N/A</v>
      </c>
      <c r="W435" s="447" t="e">
        <v>#N/A</v>
      </c>
      <c r="X435" s="447" t="e">
        <v>#N/A</v>
      </c>
    </row>
    <row r="436">
      <c r="R436" s="447" t="s">
        <v>687</v>
      </c>
      <c r="S436" s="464">
        <v>13.017394495992768</v>
      </c>
      <c r="T436" s="464">
        <v>2.1317877596820685</v>
      </c>
      <c r="U436" s="464">
        <v>6.1063276289447135</v>
      </c>
      <c r="V436" s="464">
        <v>1.5161728923838907E-5</v>
      </c>
      <c r="W436" s="464">
        <v>8.498206357322038</v>
      </c>
      <c r="X436" s="464">
        <v>17.536582634663496</v>
      </c>
    </row>
    <row r="437">
      <c r="R437" s="465" t="s">
        <v>640</v>
      </c>
      <c r="S437" s="466">
        <v>1.2989732809500631</v>
      </c>
      <c r="T437" s="466">
        <v>0.0758192411726405</v>
      </c>
      <c r="U437" s="466">
        <v>17.13250173517695</v>
      </c>
      <c r="V437" s="466">
        <v>1.0250339638788786E-11</v>
      </c>
      <c r="W437" s="466">
        <v>1.1382436708684698</v>
      </c>
      <c r="X437" s="466">
        <v>1.4597028910316565</v>
      </c>
      <c r="Y437" s="468"/>
      <c r="Z437" s="468"/>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6.0"/>
  </cols>
  <sheetData>
    <row r="1">
      <c r="A1" s="32" t="s">
        <v>188</v>
      </c>
      <c r="B1" s="557">
        <v>2000.0</v>
      </c>
      <c r="C1" s="557">
        <v>2001.0</v>
      </c>
      <c r="D1" s="557">
        <v>2002.0</v>
      </c>
      <c r="E1" s="557">
        <v>2003.0</v>
      </c>
      <c r="F1" s="557">
        <v>2004.0</v>
      </c>
      <c r="G1" s="557">
        <v>2005.0</v>
      </c>
      <c r="H1" s="557">
        <v>2006.0</v>
      </c>
      <c r="I1" s="557">
        <v>2007.0</v>
      </c>
      <c r="J1" s="557">
        <v>2008.0</v>
      </c>
      <c r="K1" s="557">
        <v>2009.0</v>
      </c>
      <c r="L1" s="557">
        <v>2010.0</v>
      </c>
      <c r="M1" s="557">
        <v>2011.0</v>
      </c>
      <c r="N1" s="557">
        <v>2012.0</v>
      </c>
      <c r="O1" s="557">
        <v>2013.0</v>
      </c>
      <c r="P1" s="557">
        <v>2014.0</v>
      </c>
      <c r="Q1" s="557">
        <v>2015.0</v>
      </c>
      <c r="R1" s="557">
        <v>2016.0</v>
      </c>
      <c r="S1" s="557">
        <v>2017.0</v>
      </c>
      <c r="T1" s="557">
        <v>2018.0</v>
      </c>
      <c r="U1" s="557">
        <v>2019.0</v>
      </c>
      <c r="V1" s="557">
        <v>2020.0</v>
      </c>
      <c r="W1" s="557">
        <v>2021.0</v>
      </c>
      <c r="X1" s="557">
        <v>2022.0</v>
      </c>
      <c r="Y1" s="557">
        <v>2023.0</v>
      </c>
      <c r="Z1" s="557">
        <v>2024.0</v>
      </c>
      <c r="AA1" s="557">
        <v>2025.0</v>
      </c>
      <c r="AB1" s="557">
        <v>2026.0</v>
      </c>
      <c r="AC1" s="557">
        <v>2027.0</v>
      </c>
      <c r="AD1" s="557">
        <v>2028.0</v>
      </c>
      <c r="AE1" s="557">
        <v>2029.0</v>
      </c>
      <c r="AF1" s="557">
        <v>2030.0</v>
      </c>
      <c r="AG1" s="557">
        <v>2031.0</v>
      </c>
      <c r="AH1" s="557">
        <v>2032.0</v>
      </c>
      <c r="AI1" s="557">
        <v>2033.0</v>
      </c>
      <c r="AJ1" s="557">
        <v>2034.0</v>
      </c>
      <c r="AK1" s="557">
        <v>2035.0</v>
      </c>
      <c r="AL1" s="557">
        <v>2036.0</v>
      </c>
      <c r="AM1" s="557">
        <v>2037.0</v>
      </c>
      <c r="AN1" s="557">
        <v>2038.0</v>
      </c>
      <c r="AO1" s="557">
        <v>2039.0</v>
      </c>
      <c r="AP1" s="557">
        <v>2040.0</v>
      </c>
      <c r="AQ1" s="557">
        <v>2041.0</v>
      </c>
      <c r="AR1" s="557">
        <v>2042.0</v>
      </c>
      <c r="AS1" s="557">
        <v>2043.0</v>
      </c>
      <c r="AT1" s="557">
        <v>2044.0</v>
      </c>
      <c r="AU1" s="557">
        <v>2045.0</v>
      </c>
      <c r="AV1" s="557">
        <v>2046.0</v>
      </c>
      <c r="AW1" s="557">
        <v>2047.0</v>
      </c>
      <c r="AX1" s="557">
        <v>2048.0</v>
      </c>
      <c r="AY1" s="557">
        <v>2049.0</v>
      </c>
      <c r="AZ1" s="557">
        <v>2050.0</v>
      </c>
    </row>
    <row r="2">
      <c r="A2" s="61" t="s">
        <v>713</v>
      </c>
      <c r="B2" s="558" t="s">
        <v>714</v>
      </c>
      <c r="C2" s="559" t="s">
        <v>715</v>
      </c>
      <c r="D2" s="61" t="s">
        <v>716</v>
      </c>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row>
    <row r="3">
      <c r="A3" s="32" t="s">
        <v>717</v>
      </c>
      <c r="B3" s="252">
        <v>53.06</v>
      </c>
      <c r="C3" s="560">
        <v>2014.0</v>
      </c>
      <c r="D3" s="252">
        <v>53.06</v>
      </c>
      <c r="E3" s="32"/>
      <c r="F3" s="32"/>
      <c r="G3" s="32"/>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row>
    <row r="4">
      <c r="A4" s="32" t="s">
        <v>718</v>
      </c>
      <c r="B4" s="252">
        <v>94.67</v>
      </c>
      <c r="C4" s="560">
        <v>2014.0</v>
      </c>
      <c r="D4" s="252">
        <v>94.67</v>
      </c>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row>
    <row r="5">
      <c r="A5" s="32" t="s">
        <v>719</v>
      </c>
      <c r="B5" s="252">
        <v>94.27</v>
      </c>
      <c r="C5" s="560">
        <v>2014.0</v>
      </c>
      <c r="D5" s="252">
        <v>94.27</v>
      </c>
      <c r="E5" s="32"/>
      <c r="F5" s="32"/>
      <c r="G5" s="32"/>
      <c r="H5" s="32"/>
      <c r="I5" s="32"/>
      <c r="J5" s="32"/>
      <c r="K5" s="32"/>
      <c r="L5" s="32"/>
      <c r="M5" s="32"/>
      <c r="N5" s="32"/>
      <c r="O5" s="32"/>
      <c r="P5" s="561"/>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row>
    <row r="6">
      <c r="A6" s="562" t="s">
        <v>720</v>
      </c>
      <c r="B6" s="252">
        <v>10.21</v>
      </c>
      <c r="C6" s="560">
        <v>2014.0</v>
      </c>
      <c r="D6" s="252">
        <v>10.21</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row>
    <row r="7">
      <c r="A7" s="560" t="s">
        <v>721</v>
      </c>
      <c r="B7" s="560">
        <v>71.02</v>
      </c>
      <c r="C7" s="560">
        <v>2014.0</v>
      </c>
      <c r="D7" s="560">
        <v>71.02</v>
      </c>
      <c r="E7" s="560" t="s">
        <v>722</v>
      </c>
      <c r="F7" s="32"/>
      <c r="G7" s="32"/>
      <c r="H7" s="32"/>
      <c r="I7" s="32"/>
      <c r="J7" s="32"/>
      <c r="K7" s="32"/>
      <c r="L7" s="32"/>
      <c r="M7" s="32"/>
      <c r="N7" s="32"/>
      <c r="O7" s="32"/>
      <c r="P7" s="561"/>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row>
    <row r="8">
      <c r="A8" s="560" t="s">
        <v>723</v>
      </c>
      <c r="B8" s="560">
        <v>74.54</v>
      </c>
      <c r="C8" s="560">
        <v>2014.0</v>
      </c>
      <c r="D8" s="560">
        <v>74.54</v>
      </c>
      <c r="E8" s="560" t="s">
        <v>724</v>
      </c>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row>
    <row r="9">
      <c r="A9" s="560" t="s">
        <v>725</v>
      </c>
      <c r="B9" s="560">
        <v>62.87</v>
      </c>
      <c r="C9" s="560">
        <v>2014.0</v>
      </c>
      <c r="D9" s="560">
        <v>62.87</v>
      </c>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row>
    <row r="10">
      <c r="A10" s="560" t="s">
        <v>726</v>
      </c>
      <c r="B10" s="382">
        <v>70.22</v>
      </c>
      <c r="C10" s="560">
        <v>2014.0</v>
      </c>
      <c r="D10" s="382">
        <v>70.22</v>
      </c>
      <c r="E10" s="292"/>
      <c r="F10" s="32"/>
      <c r="G10" s="32"/>
      <c r="H10" s="292"/>
      <c r="I10" s="292"/>
      <c r="J10" s="292"/>
      <c r="K10" s="292"/>
      <c r="L10" s="292"/>
      <c r="M10" s="292"/>
      <c r="N10" s="292"/>
      <c r="O10" s="292"/>
      <c r="P10" s="292"/>
      <c r="Q10" s="292"/>
      <c r="R10" s="292"/>
      <c r="S10" s="292"/>
      <c r="T10" s="292"/>
      <c r="U10" s="292"/>
      <c r="V10" s="292"/>
      <c r="W10" s="292"/>
      <c r="X10" s="292"/>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row>
    <row r="11">
      <c r="A11" s="560" t="s">
        <v>727</v>
      </c>
      <c r="B11" s="382">
        <v>73.96</v>
      </c>
      <c r="C11" s="560">
        <v>2014.0</v>
      </c>
      <c r="D11" s="382">
        <v>73.96</v>
      </c>
      <c r="E11" s="292"/>
      <c r="F11" s="32"/>
      <c r="G11" s="32"/>
      <c r="H11" s="292"/>
      <c r="I11" s="292"/>
      <c r="J11" s="292"/>
      <c r="K11" s="292"/>
      <c r="L11" s="292"/>
      <c r="M11" s="292"/>
      <c r="N11" s="292"/>
      <c r="O11" s="292"/>
      <c r="P11" s="292"/>
      <c r="Q11" s="292"/>
      <c r="R11" s="292"/>
      <c r="S11" s="292"/>
      <c r="T11" s="292"/>
      <c r="U11" s="292"/>
      <c r="V11" s="292"/>
      <c r="W11" s="292"/>
      <c r="X11" s="292"/>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row>
    <row r="12">
      <c r="A12" s="560" t="s">
        <v>728</v>
      </c>
      <c r="B12" s="382">
        <v>75.1</v>
      </c>
      <c r="C12" s="560">
        <v>2014.0</v>
      </c>
      <c r="D12" s="382">
        <v>75.1</v>
      </c>
      <c r="E12" s="292"/>
      <c r="F12" s="32"/>
      <c r="G12" s="32"/>
      <c r="H12" s="292"/>
      <c r="I12" s="292"/>
      <c r="J12" s="292"/>
      <c r="K12" s="292"/>
      <c r="L12" s="292"/>
      <c r="M12" s="292"/>
      <c r="N12" s="292"/>
      <c r="O12" s="292"/>
      <c r="P12" s="292"/>
      <c r="Q12" s="292"/>
      <c r="R12" s="292"/>
      <c r="S12" s="292"/>
      <c r="T12" s="292"/>
      <c r="U12" s="292"/>
      <c r="V12" s="292"/>
      <c r="W12" s="292"/>
      <c r="X12" s="292"/>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row>
    <row r="13">
      <c r="A13" s="563" t="s">
        <v>729</v>
      </c>
      <c r="B13" s="564"/>
      <c r="C13" s="564"/>
      <c r="D13" s="292"/>
      <c r="E13" s="292"/>
      <c r="F13" s="292"/>
      <c r="G13" s="292"/>
      <c r="H13" s="292"/>
      <c r="I13" s="292"/>
      <c r="J13" s="292"/>
      <c r="K13" s="292"/>
      <c r="L13" s="292"/>
      <c r="M13" s="292"/>
      <c r="N13" s="292"/>
      <c r="O13" s="292"/>
      <c r="P13" s="292"/>
      <c r="Q13" s="292"/>
      <c r="R13" s="292"/>
      <c r="S13" s="292"/>
      <c r="T13" s="292"/>
      <c r="U13" s="292"/>
      <c r="V13" s="292"/>
      <c r="W13" s="292"/>
      <c r="X13" s="292"/>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row>
    <row r="14">
      <c r="A14" s="565" t="s">
        <v>730</v>
      </c>
      <c r="B14" s="566">
        <v>45.429</v>
      </c>
      <c r="C14" s="566">
        <v>37.818</v>
      </c>
      <c r="D14" s="566">
        <v>39.844</v>
      </c>
      <c r="E14" s="566">
        <v>38.363</v>
      </c>
      <c r="F14" s="566">
        <v>38.594</v>
      </c>
      <c r="G14" s="566">
        <v>36.774</v>
      </c>
      <c r="H14" s="566">
        <v>37.462</v>
      </c>
      <c r="I14" s="566">
        <v>37.356</v>
      </c>
      <c r="J14" s="566">
        <v>36.751</v>
      </c>
      <c r="K14" s="566">
        <v>33.962</v>
      </c>
      <c r="L14" s="566">
        <v>37.325</v>
      </c>
      <c r="M14" s="566">
        <v>38.243</v>
      </c>
      <c r="N14" s="566">
        <v>39.72</v>
      </c>
      <c r="O14" s="566">
        <v>41.676</v>
      </c>
      <c r="P14" s="566">
        <v>42.723</v>
      </c>
      <c r="Q14" s="566">
        <v>42.958</v>
      </c>
      <c r="R14" s="566">
        <v>43.214</v>
      </c>
      <c r="S14" s="566">
        <v>44.883</v>
      </c>
      <c r="T14" s="567">
        <f>'Assumptions (NG non-electricity'!T7*$R$14/'Assumptions (NG non-electricity'!$R$7</f>
        <v>45.25938033</v>
      </c>
      <c r="U14" s="567">
        <f>'Assumptions (NG non-electricity'!U7*$R$14/'Assumptions (NG non-electricity'!$R$7</f>
        <v>45.64008754</v>
      </c>
      <c r="V14" s="567">
        <f>'Assumptions (NG non-electricity'!V7*$R$14/'Assumptions (NG non-electricity'!$R$7</f>
        <v>46.02079475</v>
      </c>
      <c r="W14" s="567">
        <f>'Assumptions (NG non-electricity'!W7*$R$14/'Assumptions (NG non-electricity'!$R$7</f>
        <v>46.40150196</v>
      </c>
      <c r="X14" s="567">
        <f>'Assumptions (NG non-electricity'!X7*$R$14/'Assumptions (NG non-electricity'!$R$7</f>
        <v>46.78220917</v>
      </c>
      <c r="Y14" s="567">
        <f>'Assumptions (NG non-electricity'!Y7*$R$14/'Assumptions (NG non-electricity'!$R$7</f>
        <v>47.16291638</v>
      </c>
      <c r="Z14" s="567">
        <f>'Assumptions (NG non-electricity'!Z7*$R$14/'Assumptions (NG non-electricity'!$R$7</f>
        <v>47.5436236</v>
      </c>
      <c r="AA14" s="567">
        <f>'Assumptions (NG non-electricity'!AA7*$R$14/'Assumptions (NG non-electricity'!$R$7</f>
        <v>47.92433081</v>
      </c>
      <c r="AB14" s="567">
        <f>'Assumptions (NG non-electricity'!AB7*$R$14/'Assumptions (NG non-electricity'!$R$7</f>
        <v>48.30503802</v>
      </c>
      <c r="AC14" s="567">
        <f>'Assumptions (NG non-electricity'!AC7*$R$14/'Assumptions (NG non-electricity'!$R$7</f>
        <v>48.68574523</v>
      </c>
      <c r="AD14" s="567">
        <f>'Assumptions (NG non-electricity'!AD7*$R$14/'Assumptions (NG non-electricity'!$R$7</f>
        <v>49.06645244</v>
      </c>
      <c r="AE14" s="567">
        <f>'Assumptions (NG non-electricity'!AE7*$R$14/'Assumptions (NG non-electricity'!$R$7</f>
        <v>49.44715965</v>
      </c>
      <c r="AF14" s="567">
        <f>'Assumptions (NG non-electricity'!AF7*$R$14/'Assumptions (NG non-electricity'!$R$7</f>
        <v>49.82786686</v>
      </c>
      <c r="AG14" s="567">
        <f>'Assumptions (NG non-electricity'!AG7*$R$14/'Assumptions (NG non-electricity'!$R$7</f>
        <v>50.20857408</v>
      </c>
      <c r="AH14" s="567">
        <f>'Assumptions (NG non-electricity'!AH7*$R$14/'Assumptions (NG non-electricity'!$R$7</f>
        <v>50.58928129</v>
      </c>
      <c r="AI14" s="567">
        <f>'Assumptions (NG non-electricity'!AI7*$R$14/'Assumptions (NG non-electricity'!$R$7</f>
        <v>50.9699885</v>
      </c>
      <c r="AJ14" s="567">
        <f>'Assumptions (NG non-electricity'!AJ7*$R$14/'Assumptions (NG non-electricity'!$R$7</f>
        <v>51.35069571</v>
      </c>
      <c r="AK14" s="567">
        <f>'Assumptions (NG non-electricity'!AK7*$R$14/'Assumptions (NG non-electricity'!$R$7</f>
        <v>51.73140292</v>
      </c>
      <c r="AL14" s="567">
        <f>'Assumptions (NG non-electricity'!AL7*$R$14/'Assumptions (NG non-electricity'!$R$7</f>
        <v>52.11211013</v>
      </c>
      <c r="AM14" s="567">
        <f>'Assumptions (NG non-electricity'!AM7*$R$14/'Assumptions (NG non-electricity'!$R$7</f>
        <v>52.49281735</v>
      </c>
      <c r="AN14" s="567">
        <f>'Assumptions (NG non-electricity'!AN7*$R$14/'Assumptions (NG non-electricity'!$R$7</f>
        <v>52.87352456</v>
      </c>
      <c r="AO14" s="567">
        <f>'Assumptions (NG non-electricity'!AO7*$R$14/'Assumptions (NG non-electricity'!$R$7</f>
        <v>53.25423177</v>
      </c>
      <c r="AP14" s="567">
        <f>'Assumptions (NG non-electricity'!AP7*$R$14/'Assumptions (NG non-electricity'!$R$7</f>
        <v>53.63493898</v>
      </c>
      <c r="AQ14" s="567">
        <f>'Assumptions (NG non-electricity'!AQ7*$R$14/'Assumptions (NG non-electricity'!$R$7</f>
        <v>54.01564619</v>
      </c>
      <c r="AR14" s="567">
        <f>'Assumptions (NG non-electricity'!AR7*$R$14/'Assumptions (NG non-electricity'!$R$7</f>
        <v>54.3963534</v>
      </c>
      <c r="AS14" s="567">
        <f>'Assumptions (NG non-electricity'!AS7*$R$14/'Assumptions (NG non-electricity'!$R$7</f>
        <v>54.77706061</v>
      </c>
      <c r="AT14" s="567">
        <f>'Assumptions (NG non-electricity'!AT7*$R$14/'Assumptions (NG non-electricity'!$R$7</f>
        <v>55.15776783</v>
      </c>
      <c r="AU14" s="567">
        <f>'Assumptions (NG non-electricity'!AU7*$R$14/'Assumptions (NG non-electricity'!$R$7</f>
        <v>55.53847504</v>
      </c>
      <c r="AV14" s="567">
        <f>'Assumptions (NG non-electricity'!AV7*$R$14/'Assumptions (NG non-electricity'!$R$7</f>
        <v>55.91918225</v>
      </c>
      <c r="AW14" s="567">
        <f>'Assumptions (NG non-electricity'!AW7*$R$14/'Assumptions (NG non-electricity'!$R$7</f>
        <v>56.29988946</v>
      </c>
      <c r="AX14" s="567">
        <f>'Assumptions (NG non-electricity'!AX7*$R$14/'Assumptions (NG non-electricity'!$R$7</f>
        <v>56.68059667</v>
      </c>
      <c r="AY14" s="567">
        <f>'Assumptions (NG non-electricity'!AY7*$R$14/'Assumptions (NG non-electricity'!$R$7</f>
        <v>57.06130388</v>
      </c>
      <c r="AZ14" s="567">
        <f>'Assumptions (NG non-electricity'!AZ7*$R$14/'Assumptions (NG non-electricity'!$R$7</f>
        <v>57.4420111</v>
      </c>
    </row>
    <row r="15">
      <c r="A15" s="565" t="s">
        <v>731</v>
      </c>
      <c r="B15" s="566">
        <v>12.292</v>
      </c>
      <c r="C15" s="566">
        <v>11.589</v>
      </c>
      <c r="D15" s="566">
        <v>11.482</v>
      </c>
      <c r="E15" s="566">
        <v>12.171</v>
      </c>
      <c r="F15" s="566">
        <v>12.338</v>
      </c>
      <c r="G15" s="566">
        <v>12.231</v>
      </c>
      <c r="H15" s="566">
        <v>11.537</v>
      </c>
      <c r="I15" s="566">
        <v>11.517</v>
      </c>
      <c r="J15" s="566">
        <v>12.117</v>
      </c>
      <c r="K15" s="566">
        <v>12.096</v>
      </c>
      <c r="L15" s="566">
        <v>13.261</v>
      </c>
      <c r="M15" s="566">
        <v>12.196</v>
      </c>
      <c r="N15" s="566">
        <v>11.131</v>
      </c>
      <c r="O15" s="566">
        <v>12.669</v>
      </c>
      <c r="P15" s="566">
        <v>13.66</v>
      </c>
      <c r="Q15" s="566">
        <v>12.604</v>
      </c>
      <c r="R15" s="566">
        <v>12.181</v>
      </c>
      <c r="S15" s="566">
        <v>11.809</v>
      </c>
      <c r="T15" s="567">
        <f>'Assumptions (NG non-electricity'!T3*$R$15/'Assumptions (NG non-electricity'!$R$3</f>
        <v>11.91039122</v>
      </c>
      <c r="U15" s="567">
        <f>'Assumptions (NG non-electricity'!U3*$R$15/'Assumptions (NG non-electricity'!$R$3</f>
        <v>12.0127043</v>
      </c>
      <c r="V15" s="567">
        <f>'Assumptions (NG non-electricity'!V3*$R$15/'Assumptions (NG non-electricity'!$R$3</f>
        <v>12.11501739</v>
      </c>
      <c r="W15" s="567">
        <f>'Assumptions (NG non-electricity'!W3*$R$15/'Assumptions (NG non-electricity'!$R$3</f>
        <v>12.21733047</v>
      </c>
      <c r="X15" s="567">
        <f>'Assumptions (NG non-electricity'!X3*$R$15/'Assumptions (NG non-electricity'!$R$3</f>
        <v>12.31964355</v>
      </c>
      <c r="Y15" s="567">
        <f>'Assumptions (NG non-electricity'!Y3*$R$15/'Assumptions (NG non-electricity'!$R$3</f>
        <v>12.42195664</v>
      </c>
      <c r="Z15" s="567">
        <f>'Assumptions (NG non-electricity'!Z3*$R$15/'Assumptions (NG non-electricity'!$R$3</f>
        <v>12.52426972</v>
      </c>
      <c r="AA15" s="567">
        <f>'Assumptions (NG non-electricity'!AA3*$R$15/'Assumptions (NG non-electricity'!$R$3</f>
        <v>12.6265828</v>
      </c>
      <c r="AB15" s="567">
        <f>'Assumptions (NG non-electricity'!AB3*$R$15/'Assumptions (NG non-electricity'!$R$3</f>
        <v>12.72889588</v>
      </c>
      <c r="AC15" s="567">
        <f>'Assumptions (NG non-electricity'!AC3*$R$15/'Assumptions (NG non-electricity'!$R$3</f>
        <v>12.83120897</v>
      </c>
      <c r="AD15" s="567">
        <f>'Assumptions (NG non-electricity'!AD3*$R$15/'Assumptions (NG non-electricity'!$R$3</f>
        <v>12.93352205</v>
      </c>
      <c r="AE15" s="567">
        <f>'Assumptions (NG non-electricity'!AE3*$R$15/'Assumptions (NG non-electricity'!$R$3</f>
        <v>13.03583513</v>
      </c>
      <c r="AF15" s="567">
        <f>'Assumptions (NG non-electricity'!AF3*$R$15/'Assumptions (NG non-electricity'!$R$3</f>
        <v>13.13814822</v>
      </c>
      <c r="AG15" s="567">
        <f>'Assumptions (NG non-electricity'!AG3*$R$15/'Assumptions (NG non-electricity'!$R$3</f>
        <v>13.2404613</v>
      </c>
      <c r="AH15" s="567">
        <f>'Assumptions (NG non-electricity'!AH3*$R$15/'Assumptions (NG non-electricity'!$R$3</f>
        <v>13.34277438</v>
      </c>
      <c r="AI15" s="567">
        <f>'Assumptions (NG non-electricity'!AI3*$R$15/'Assumptions (NG non-electricity'!$R$3</f>
        <v>13.44508746</v>
      </c>
      <c r="AJ15" s="567">
        <f>'Assumptions (NG non-electricity'!AJ3*$R$15/'Assumptions (NG non-electricity'!$R$3</f>
        <v>13.54740055</v>
      </c>
      <c r="AK15" s="567">
        <f>'Assumptions (NG non-electricity'!AK3*$R$15/'Assumptions (NG non-electricity'!$R$3</f>
        <v>13.64971363</v>
      </c>
      <c r="AL15" s="567">
        <f>'Assumptions (NG non-electricity'!AL3*$R$15/'Assumptions (NG non-electricity'!$R$3</f>
        <v>13.75202671</v>
      </c>
      <c r="AM15" s="567">
        <f>'Assumptions (NG non-electricity'!AM3*$R$15/'Assumptions (NG non-electricity'!$R$3</f>
        <v>13.8543398</v>
      </c>
      <c r="AN15" s="567">
        <f>'Assumptions (NG non-electricity'!AN3*$R$15/'Assumptions (NG non-electricity'!$R$3</f>
        <v>13.95665288</v>
      </c>
      <c r="AO15" s="567">
        <f>'Assumptions (NG non-electricity'!AO3*$R$15/'Assumptions (NG non-electricity'!$R$3</f>
        <v>14.05896596</v>
      </c>
      <c r="AP15" s="567">
        <f>'Assumptions (NG non-electricity'!AP3*$R$15/'Assumptions (NG non-electricity'!$R$3</f>
        <v>14.16127904</v>
      </c>
      <c r="AQ15" s="567">
        <f>'Assumptions (NG non-electricity'!AQ3*$R$15/'Assumptions (NG non-electricity'!$R$3</f>
        <v>14.26359213</v>
      </c>
      <c r="AR15" s="567">
        <f>'Assumptions (NG non-electricity'!AR3*$R$15/'Assumptions (NG non-electricity'!$R$3</f>
        <v>14.36590521</v>
      </c>
      <c r="AS15" s="567">
        <f>'Assumptions (NG non-electricity'!AS3*$R$15/'Assumptions (NG non-electricity'!$R$3</f>
        <v>14.46821829</v>
      </c>
      <c r="AT15" s="567">
        <f>'Assumptions (NG non-electricity'!AT3*$R$15/'Assumptions (NG non-electricity'!$R$3</f>
        <v>14.57053138</v>
      </c>
      <c r="AU15" s="567">
        <f>'Assumptions (NG non-electricity'!AU3*$R$15/'Assumptions (NG non-electricity'!$R$3</f>
        <v>14.67284446</v>
      </c>
      <c r="AV15" s="567">
        <f>'Assumptions (NG non-electricity'!AV3*$R$15/'Assumptions (NG non-electricity'!$R$3</f>
        <v>14.77515754</v>
      </c>
      <c r="AW15" s="567">
        <f>'Assumptions (NG non-electricity'!AW3*$R$15/'Assumptions (NG non-electricity'!$R$3</f>
        <v>14.87747063</v>
      </c>
      <c r="AX15" s="567">
        <f>'Assumptions (NG non-electricity'!AX3*$R$15/'Assumptions (NG non-electricity'!$R$3</f>
        <v>14.97978371</v>
      </c>
      <c r="AY15" s="567">
        <f>'Assumptions (NG non-electricity'!AY3*$R$15/'Assumptions (NG non-electricity'!$R$3</f>
        <v>15.08209679</v>
      </c>
      <c r="AZ15" s="567">
        <f>'Assumptions (NG non-electricity'!AZ3*$R$15/'Assumptions (NG non-electricity'!$R$3</f>
        <v>15.18440987</v>
      </c>
    </row>
    <row r="16">
      <c r="A16" s="565" t="s">
        <v>732</v>
      </c>
      <c r="B16" s="566">
        <v>20.579</v>
      </c>
      <c r="C16" s="566">
        <v>19.196</v>
      </c>
      <c r="D16" s="566">
        <v>19.435</v>
      </c>
      <c r="E16" s="566">
        <v>20.145</v>
      </c>
      <c r="F16" s="566">
        <v>19.248</v>
      </c>
      <c r="G16" s="566">
        <v>19.199</v>
      </c>
      <c r="H16" s="566">
        <v>17.105</v>
      </c>
      <c r="I16" s="566">
        <v>17.183</v>
      </c>
      <c r="J16" s="566">
        <v>18.617</v>
      </c>
      <c r="K16" s="566">
        <v>18.34</v>
      </c>
      <c r="L16" s="566">
        <v>21.078</v>
      </c>
      <c r="M16" s="566">
        <v>17.796</v>
      </c>
      <c r="N16" s="566">
        <v>14.976</v>
      </c>
      <c r="O16" s="566">
        <v>18.941</v>
      </c>
      <c r="P16" s="566">
        <v>21.005</v>
      </c>
      <c r="Q16" s="566">
        <v>18.255</v>
      </c>
      <c r="R16" s="566">
        <v>17.269</v>
      </c>
      <c r="S16" s="566">
        <v>16.288</v>
      </c>
      <c r="T16" s="567">
        <f>'Assumptions (NG non-electricity'!T6*$R$16/'Assumptions (NG non-electricity'!$R$6</f>
        <v>17.30221788</v>
      </c>
      <c r="U16" s="567">
        <f>'Assumptions (NG non-electricity'!U6*$R$16/'Assumptions (NG non-electricity'!$R$6</f>
        <v>17.31882683</v>
      </c>
      <c r="V16" s="567">
        <f>'Assumptions (NG non-electricity'!V6*$R$16/'Assumptions (NG non-electricity'!$R$6</f>
        <v>17.33543577</v>
      </c>
      <c r="W16" s="567">
        <f>'Assumptions (NG non-electricity'!W6*$R$16/'Assumptions (NG non-electricity'!$R$6</f>
        <v>17.35204471</v>
      </c>
      <c r="X16" s="567">
        <f>'Assumptions (NG non-electricity'!X6*$R$16/'Assumptions (NG non-electricity'!$R$6</f>
        <v>17.36865365</v>
      </c>
      <c r="Y16" s="567">
        <f>'Assumptions (NG non-electricity'!Y6*$R$16/'Assumptions (NG non-electricity'!$R$6</f>
        <v>17.38526259</v>
      </c>
      <c r="Z16" s="567">
        <f>'Assumptions (NG non-electricity'!Z6*$R$16/'Assumptions (NG non-electricity'!$R$6</f>
        <v>17.40187154</v>
      </c>
      <c r="AA16" s="567">
        <f>'Assumptions (NG non-electricity'!AA6*$R$16/'Assumptions (NG non-electricity'!$R$6</f>
        <v>17.41848048</v>
      </c>
      <c r="AB16" s="567">
        <f>'Assumptions (NG non-electricity'!AB6*$R$16/'Assumptions (NG non-electricity'!$R$6</f>
        <v>17.43508942</v>
      </c>
      <c r="AC16" s="567">
        <f>'Assumptions (NG non-electricity'!AC6*$R$16/'Assumptions (NG non-electricity'!$R$6</f>
        <v>17.45169836</v>
      </c>
      <c r="AD16" s="567">
        <f>'Assumptions (NG non-electricity'!AD6*$R$16/'Assumptions (NG non-electricity'!$R$6</f>
        <v>17.4683073</v>
      </c>
      <c r="AE16" s="567">
        <f>'Assumptions (NG non-electricity'!AE6*$R$16/'Assumptions (NG non-electricity'!$R$6</f>
        <v>17.48491625</v>
      </c>
      <c r="AF16" s="567">
        <f>'Assumptions (NG non-electricity'!AF6*$R$16/'Assumptions (NG non-electricity'!$R$6</f>
        <v>17.50152519</v>
      </c>
      <c r="AG16" s="567">
        <f>'Assumptions (NG non-electricity'!AG6*$R$16/'Assumptions (NG non-electricity'!$R$6</f>
        <v>17.51813413</v>
      </c>
      <c r="AH16" s="567">
        <f>'Assumptions (NG non-electricity'!AH6*$R$16/'Assumptions (NG non-electricity'!$R$6</f>
        <v>17.53474307</v>
      </c>
      <c r="AI16" s="567">
        <f>'Assumptions (NG non-electricity'!AI6*$R$16/'Assumptions (NG non-electricity'!$R$6</f>
        <v>17.55135201</v>
      </c>
      <c r="AJ16" s="567">
        <f>'Assumptions (NG non-electricity'!AJ6*$R$16/'Assumptions (NG non-electricity'!$R$6</f>
        <v>17.56796096</v>
      </c>
      <c r="AK16" s="567">
        <f>'Assumptions (NG non-electricity'!AK6*$R$16/'Assumptions (NG non-electricity'!$R$6</f>
        <v>17.5845699</v>
      </c>
      <c r="AL16" s="567">
        <f>'Assumptions (NG non-electricity'!AL6*$R$16/'Assumptions (NG non-electricity'!$R$6</f>
        <v>17.60117884</v>
      </c>
      <c r="AM16" s="567">
        <f>'Assumptions (NG non-electricity'!AM6*$R$16/'Assumptions (NG non-electricity'!$R$6</f>
        <v>17.61778778</v>
      </c>
      <c r="AN16" s="567">
        <f>'Assumptions (NG non-electricity'!AN6*$R$16/'Assumptions (NG non-electricity'!$R$6</f>
        <v>17.63439672</v>
      </c>
      <c r="AO16" s="567">
        <f>'Assumptions (NG non-electricity'!AO6*$R$16/'Assumptions (NG non-electricity'!$R$6</f>
        <v>17.65100567</v>
      </c>
      <c r="AP16" s="567">
        <f>'Assumptions (NG non-electricity'!AP6*$R$16/'Assumptions (NG non-electricity'!$R$6</f>
        <v>17.66761461</v>
      </c>
      <c r="AQ16" s="567">
        <f>'Assumptions (NG non-electricity'!AQ6*$R$16/'Assumptions (NG non-electricity'!$R$6</f>
        <v>17.68422355</v>
      </c>
      <c r="AR16" s="567">
        <f>'Assumptions (NG non-electricity'!AR6*$R$16/'Assumptions (NG non-electricity'!$R$6</f>
        <v>17.70083249</v>
      </c>
      <c r="AS16" s="567">
        <f>'Assumptions (NG non-electricity'!AS6*$R$16/'Assumptions (NG non-electricity'!$R$6</f>
        <v>17.71744143</v>
      </c>
      <c r="AT16" s="567">
        <f>'Assumptions (NG non-electricity'!AT6*$R$16/'Assumptions (NG non-electricity'!$R$6</f>
        <v>17.73405038</v>
      </c>
      <c r="AU16" s="567">
        <f>'Assumptions (NG non-electricity'!AU6*$R$16/'Assumptions (NG non-electricity'!$R$6</f>
        <v>17.75065932</v>
      </c>
      <c r="AV16" s="567">
        <f>'Assumptions (NG non-electricity'!AV6*$R$16/'Assumptions (NG non-electricity'!$R$6</f>
        <v>17.76726826</v>
      </c>
      <c r="AW16" s="567">
        <f>'Assumptions (NG non-electricity'!AW6*$R$16/'Assumptions (NG non-electricity'!$R$6</f>
        <v>17.7838772</v>
      </c>
      <c r="AX16" s="567">
        <f>'Assumptions (NG non-electricity'!AX6*$R$16/'Assumptions (NG non-electricity'!$R$6</f>
        <v>17.80048614</v>
      </c>
      <c r="AY16" s="567">
        <f>'Assumptions (NG non-electricity'!AY6*$R$16/'Assumptions (NG non-electricity'!$R$6</f>
        <v>17.81709508</v>
      </c>
      <c r="AZ16" s="567">
        <f>'Assumptions (NG non-electricity'!AZ6*$R$16/'Assumptions (NG non-electricity'!$R$6</f>
        <v>17.83370403</v>
      </c>
    </row>
    <row r="17">
      <c r="A17" s="565" t="s">
        <v>733</v>
      </c>
      <c r="B17" s="566">
        <v>4.646</v>
      </c>
      <c r="C17" s="566">
        <v>4.464</v>
      </c>
      <c r="D17" s="566">
        <v>4.283</v>
      </c>
      <c r="E17" s="566">
        <v>4.105</v>
      </c>
      <c r="F17" s="566">
        <v>3.444</v>
      </c>
      <c r="G17" s="566">
        <v>3.242</v>
      </c>
      <c r="H17" s="566">
        <v>3.27</v>
      </c>
      <c r="I17" s="566">
        <v>3.66</v>
      </c>
      <c r="J17" s="566">
        <v>3.839</v>
      </c>
      <c r="K17" s="566">
        <v>4.253</v>
      </c>
      <c r="L17" s="566">
        <v>4.396</v>
      </c>
      <c r="M17" s="566">
        <v>4.643</v>
      </c>
      <c r="N17" s="566">
        <v>5.628</v>
      </c>
      <c r="O17" s="566">
        <v>3.685</v>
      </c>
      <c r="P17" s="566">
        <v>3.356</v>
      </c>
      <c r="Q17" s="566">
        <v>3.707</v>
      </c>
      <c r="R17" s="566">
        <v>3.393</v>
      </c>
      <c r="S17" s="566">
        <v>3.242</v>
      </c>
      <c r="T17" s="567">
        <f>'Assumptions (NG non-electricity'!T8*$R$17/'Assumptions (NG non-electricity'!$R$8</f>
        <v>3.322351275</v>
      </c>
      <c r="U17" s="567">
        <f>'Assumptions (NG non-electricity'!U8*$R$17/'Assumptions (NG non-electricity'!$R$8</f>
        <v>3.403759374</v>
      </c>
      <c r="V17" s="567">
        <f>'Assumptions (NG non-electricity'!V8*$R$17/'Assumptions (NG non-electricity'!$R$8</f>
        <v>3.485167473</v>
      </c>
      <c r="W17" s="567">
        <f>'Assumptions (NG non-electricity'!W8*$R$17/'Assumptions (NG non-electricity'!$R$8</f>
        <v>3.566575572</v>
      </c>
      <c r="X17" s="567">
        <f>'Assumptions (NG non-electricity'!X8*$R$17/'Assumptions (NG non-electricity'!$R$8</f>
        <v>3.647983671</v>
      </c>
      <c r="Y17" s="567">
        <f>'Assumptions (NG non-electricity'!Y8*$R$17/'Assumptions (NG non-electricity'!$R$8</f>
        <v>3.72939177</v>
      </c>
      <c r="Z17" s="567">
        <f>'Assumptions (NG non-electricity'!Z8*$R$17/'Assumptions (NG non-electricity'!$R$8</f>
        <v>3.810799869</v>
      </c>
      <c r="AA17" s="567">
        <f>'Assumptions (NG non-electricity'!AA8*$R$17/'Assumptions (NG non-electricity'!$R$8</f>
        <v>3.892207968</v>
      </c>
      <c r="AB17" s="567">
        <f>'Assumptions (NG non-electricity'!AB8*$R$17/'Assumptions (NG non-electricity'!$R$8</f>
        <v>3.973616067</v>
      </c>
      <c r="AC17" s="567">
        <f>'Assumptions (NG non-electricity'!AC8*$R$17/'Assumptions (NG non-electricity'!$R$8</f>
        <v>4.055024166</v>
      </c>
      <c r="AD17" s="567">
        <f>'Assumptions (NG non-electricity'!AD8*$R$17/'Assumptions (NG non-electricity'!$R$8</f>
        <v>4.136432265</v>
      </c>
      <c r="AE17" s="567">
        <f>'Assumptions (NG non-electricity'!AE8*$R$17/'Assumptions (NG non-electricity'!$R$8</f>
        <v>4.217840364</v>
      </c>
      <c r="AF17" s="567">
        <f>'Assumptions (NG non-electricity'!AF8*$R$17/'Assumptions (NG non-electricity'!$R$8</f>
        <v>4.299248463</v>
      </c>
      <c r="AG17" s="567">
        <f>'Assumptions (NG non-electricity'!AG8*$R$17/'Assumptions (NG non-electricity'!$R$8</f>
        <v>4.380656562</v>
      </c>
      <c r="AH17" s="567">
        <f>'Assumptions (NG non-electricity'!AH8*$R$17/'Assumptions (NG non-electricity'!$R$8</f>
        <v>4.462064661</v>
      </c>
      <c r="AI17" s="567">
        <f>'Assumptions (NG non-electricity'!AI8*$R$17/'Assumptions (NG non-electricity'!$R$8</f>
        <v>4.54347276</v>
      </c>
      <c r="AJ17" s="567">
        <f>'Assumptions (NG non-electricity'!AJ8*$R$17/'Assumptions (NG non-electricity'!$R$8</f>
        <v>4.624880859</v>
      </c>
      <c r="AK17" s="567">
        <f>'Assumptions (NG non-electricity'!AK8*$R$17/'Assumptions (NG non-electricity'!$R$8</f>
        <v>4.706288958</v>
      </c>
      <c r="AL17" s="567">
        <f>'Assumptions (NG non-electricity'!AL8*$R$17/'Assumptions (NG non-electricity'!$R$8</f>
        <v>4.787697057</v>
      </c>
      <c r="AM17" s="567">
        <f>'Assumptions (NG non-electricity'!AM8*$R$17/'Assumptions (NG non-electricity'!$R$8</f>
        <v>4.869105156</v>
      </c>
      <c r="AN17" s="567">
        <f>'Assumptions (NG non-electricity'!AN8*$R$17/'Assumptions (NG non-electricity'!$R$8</f>
        <v>4.950513255</v>
      </c>
      <c r="AO17" s="567">
        <f>'Assumptions (NG non-electricity'!AO8*$R$17/'Assumptions (NG non-electricity'!$R$8</f>
        <v>5.031921354</v>
      </c>
      <c r="AP17" s="567">
        <f>'Assumptions (NG non-electricity'!AP8*$R$17/'Assumptions (NG non-electricity'!$R$8</f>
        <v>5.113329453</v>
      </c>
      <c r="AQ17" s="567">
        <f>'Assumptions (NG non-electricity'!AQ8*$R$17/'Assumptions (NG non-electricity'!$R$8</f>
        <v>5.194737552</v>
      </c>
      <c r="AR17" s="567">
        <f>'Assumptions (NG non-electricity'!AR8*$R$17/'Assumptions (NG non-electricity'!$R$8</f>
        <v>5.276145651</v>
      </c>
      <c r="AS17" s="567">
        <f>'Assumptions (NG non-electricity'!AS8*$R$17/'Assumptions (NG non-electricity'!$R$8</f>
        <v>5.35755375</v>
      </c>
      <c r="AT17" s="567">
        <f>'Assumptions (NG non-electricity'!AT8*$R$17/'Assumptions (NG non-electricity'!$R$8</f>
        <v>5.438961849</v>
      </c>
      <c r="AU17" s="567">
        <f>'Assumptions (NG non-electricity'!AU8*$R$17/'Assumptions (NG non-electricity'!$R$8</f>
        <v>5.520369948</v>
      </c>
      <c r="AV17" s="567">
        <f>'Assumptions (NG non-electricity'!AV8*$R$17/'Assumptions (NG non-electricity'!$R$8</f>
        <v>5.601778047</v>
      </c>
      <c r="AW17" s="567">
        <f>'Assumptions (NG non-electricity'!AW8*$R$17/'Assumptions (NG non-electricity'!$R$8</f>
        <v>5.683186146</v>
      </c>
      <c r="AX17" s="567">
        <f>'Assumptions (NG non-electricity'!AX8*$R$17/'Assumptions (NG non-electricity'!$R$8</f>
        <v>5.764594245</v>
      </c>
      <c r="AY17" s="567">
        <f>'Assumptions (NG non-electricity'!AY8*$R$17/'Assumptions (NG non-electricity'!$R$8</f>
        <v>5.846002344</v>
      </c>
      <c r="AZ17" s="567">
        <f>'Assumptions (NG non-electricity'!AZ8*$R$17/'Assumptions (NG non-electricity'!$R$8</f>
        <v>5.927410443</v>
      </c>
    </row>
    <row r="18">
      <c r="A18" s="61"/>
      <c r="B18" s="292"/>
      <c r="C18" s="292"/>
      <c r="D18" s="292"/>
      <c r="E18" s="292"/>
      <c r="F18" s="292"/>
      <c r="G18" s="292"/>
      <c r="H18" s="292"/>
      <c r="I18" s="292"/>
      <c r="J18" s="292"/>
      <c r="K18" s="292"/>
      <c r="L18" s="292"/>
      <c r="M18" s="292"/>
      <c r="N18" s="292"/>
      <c r="O18" s="292"/>
      <c r="P18" s="292"/>
      <c r="Q18" s="292"/>
      <c r="R18" s="292"/>
      <c r="S18" s="292"/>
      <c r="T18" s="292"/>
      <c r="U18" s="292"/>
      <c r="V18" s="292"/>
      <c r="W18" s="292"/>
      <c r="X18" s="292"/>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row>
    <row r="19">
      <c r="A19" s="568" t="s">
        <v>734</v>
      </c>
      <c r="B19" s="292"/>
      <c r="C19" s="292"/>
      <c r="D19" s="292"/>
      <c r="E19" s="292"/>
      <c r="F19" s="292"/>
      <c r="G19" s="292"/>
      <c r="H19" s="292"/>
      <c r="I19" s="292"/>
      <c r="J19" s="292"/>
      <c r="K19" s="292"/>
      <c r="L19" s="292"/>
      <c r="M19" s="292"/>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row>
    <row r="20">
      <c r="A20" s="569" t="s">
        <v>735</v>
      </c>
      <c r="B20" s="570">
        <v>0.3632</v>
      </c>
      <c r="C20" s="571">
        <v>0.355033</v>
      </c>
      <c r="D20" s="571">
        <v>0.328559</v>
      </c>
      <c r="E20" s="571">
        <v>0.334688</v>
      </c>
      <c r="F20" s="571">
        <v>0.329009</v>
      </c>
      <c r="G20" s="571">
        <v>0.299991</v>
      </c>
      <c r="H20" s="571">
        <v>0.283912</v>
      </c>
      <c r="I20" s="571">
        <v>0.267461</v>
      </c>
      <c r="J20" s="571">
        <v>0.264159</v>
      </c>
      <c r="K20" s="571">
        <v>0.208889</v>
      </c>
      <c r="L20" s="571">
        <v>0.227361</v>
      </c>
      <c r="M20" s="571">
        <v>0.213094</v>
      </c>
      <c r="N20" s="571">
        <v>0.196358</v>
      </c>
      <c r="O20" s="571">
        <v>0.19895</v>
      </c>
      <c r="P20" s="571">
        <v>0.207128</v>
      </c>
      <c r="Q20" s="571">
        <v>0.169813</v>
      </c>
      <c r="R20" s="572">
        <v>0.151712</v>
      </c>
      <c r="S20" s="573">
        <f t="shared" ref="S20:AY20" si="1">$R$20+(S$1-$R$1)/($AZ$1-$R$1)*($AZ$20-$R$20)</f>
        <v>0.1514311889</v>
      </c>
      <c r="T20" s="573">
        <f t="shared" si="1"/>
        <v>0.1511503778</v>
      </c>
      <c r="U20" s="573">
        <f t="shared" si="1"/>
        <v>0.1508695666</v>
      </c>
      <c r="V20" s="573">
        <f t="shared" si="1"/>
        <v>0.1505887555</v>
      </c>
      <c r="W20" s="573">
        <f t="shared" si="1"/>
        <v>0.1503079444</v>
      </c>
      <c r="X20" s="573">
        <f t="shared" si="1"/>
        <v>0.1500271333</v>
      </c>
      <c r="Y20" s="573">
        <f t="shared" si="1"/>
        <v>0.1497463222</v>
      </c>
      <c r="Z20" s="573">
        <f t="shared" si="1"/>
        <v>0.149465511</v>
      </c>
      <c r="AA20" s="573">
        <f t="shared" si="1"/>
        <v>0.1491846999</v>
      </c>
      <c r="AB20" s="573">
        <f t="shared" si="1"/>
        <v>0.1489038888</v>
      </c>
      <c r="AC20" s="573">
        <f t="shared" si="1"/>
        <v>0.1486230777</v>
      </c>
      <c r="AD20" s="573">
        <f t="shared" si="1"/>
        <v>0.1483422665</v>
      </c>
      <c r="AE20" s="573">
        <f t="shared" si="1"/>
        <v>0.1480614554</v>
      </c>
      <c r="AF20" s="573">
        <f t="shared" si="1"/>
        <v>0.1477806443</v>
      </c>
      <c r="AG20" s="573">
        <f t="shared" si="1"/>
        <v>0.1474998332</v>
      </c>
      <c r="AH20" s="573">
        <f t="shared" si="1"/>
        <v>0.1472190221</v>
      </c>
      <c r="AI20" s="573">
        <f t="shared" si="1"/>
        <v>0.1469382109</v>
      </c>
      <c r="AJ20" s="573">
        <f t="shared" si="1"/>
        <v>0.1466573998</v>
      </c>
      <c r="AK20" s="573">
        <f t="shared" si="1"/>
        <v>0.1463765887</v>
      </c>
      <c r="AL20" s="573">
        <f t="shared" si="1"/>
        <v>0.1460957776</v>
      </c>
      <c r="AM20" s="573">
        <f t="shared" si="1"/>
        <v>0.1458149665</v>
      </c>
      <c r="AN20" s="573">
        <f t="shared" si="1"/>
        <v>0.1455341553</v>
      </c>
      <c r="AO20" s="573">
        <f t="shared" si="1"/>
        <v>0.1452533442</v>
      </c>
      <c r="AP20" s="573">
        <f t="shared" si="1"/>
        <v>0.1449725331</v>
      </c>
      <c r="AQ20" s="573">
        <f t="shared" si="1"/>
        <v>0.144691722</v>
      </c>
      <c r="AR20" s="573">
        <f t="shared" si="1"/>
        <v>0.1444109108</v>
      </c>
      <c r="AS20" s="573">
        <f t="shared" si="1"/>
        <v>0.1441300997</v>
      </c>
      <c r="AT20" s="573">
        <f t="shared" si="1"/>
        <v>0.1438492886</v>
      </c>
      <c r="AU20" s="573">
        <f t="shared" si="1"/>
        <v>0.1435684775</v>
      </c>
      <c r="AV20" s="573">
        <f t="shared" si="1"/>
        <v>0.1432876664</v>
      </c>
      <c r="AW20" s="573">
        <f t="shared" si="1"/>
        <v>0.1430068552</v>
      </c>
      <c r="AX20" s="573">
        <f t="shared" si="1"/>
        <v>0.1427260441</v>
      </c>
      <c r="AY20" s="573">
        <f t="shared" si="1"/>
        <v>0.142445233</v>
      </c>
      <c r="AZ20" s="572">
        <v>0.142164421875</v>
      </c>
    </row>
    <row r="21">
      <c r="A21" s="569" t="s">
        <v>736</v>
      </c>
      <c r="B21" s="570">
        <v>34.168</v>
      </c>
      <c r="C21" s="574">
        <v>33.325</v>
      </c>
      <c r="D21" s="574">
        <v>30.735</v>
      </c>
      <c r="E21" s="574">
        <v>31.274</v>
      </c>
      <c r="F21" s="574">
        <v>30.751</v>
      </c>
      <c r="G21" s="574">
        <v>28.29</v>
      </c>
      <c r="H21" s="574">
        <v>26.817</v>
      </c>
      <c r="I21" s="574">
        <v>25.242</v>
      </c>
      <c r="J21" s="574">
        <v>24.927</v>
      </c>
      <c r="K21" s="574">
        <v>19.72</v>
      </c>
      <c r="L21" s="574">
        <v>21.453</v>
      </c>
      <c r="M21" s="574">
        <v>20.107</v>
      </c>
      <c r="N21" s="574">
        <v>18.517</v>
      </c>
      <c r="O21" s="574">
        <v>18.764</v>
      </c>
      <c r="P21" s="574">
        <v>19.525</v>
      </c>
      <c r="Q21" s="574">
        <v>16.014</v>
      </c>
      <c r="R21" s="574">
        <v>14.296</v>
      </c>
      <c r="S21" s="575">
        <v>12.466</v>
      </c>
      <c r="T21" s="567">
        <f t="shared" ref="T21:AZ21" si="2">T20*($R$21/$R$20)</f>
        <v>14.24307768</v>
      </c>
      <c r="U21" s="567">
        <f t="shared" si="2"/>
        <v>14.21661651</v>
      </c>
      <c r="V21" s="567">
        <f t="shared" si="2"/>
        <v>14.19015535</v>
      </c>
      <c r="W21" s="567">
        <f t="shared" si="2"/>
        <v>14.16369419</v>
      </c>
      <c r="X21" s="567">
        <f t="shared" si="2"/>
        <v>14.13723303</v>
      </c>
      <c r="Y21" s="567">
        <f t="shared" si="2"/>
        <v>14.11077187</v>
      </c>
      <c r="Z21" s="567">
        <f t="shared" si="2"/>
        <v>14.0843107</v>
      </c>
      <c r="AA21" s="567">
        <f t="shared" si="2"/>
        <v>14.05784954</v>
      </c>
      <c r="AB21" s="567">
        <f t="shared" si="2"/>
        <v>14.03138838</v>
      </c>
      <c r="AC21" s="567">
        <f t="shared" si="2"/>
        <v>14.00492722</v>
      </c>
      <c r="AD21" s="567">
        <f t="shared" si="2"/>
        <v>13.97846606</v>
      </c>
      <c r="AE21" s="567">
        <f t="shared" si="2"/>
        <v>13.9520049</v>
      </c>
      <c r="AF21" s="567">
        <f t="shared" si="2"/>
        <v>13.92554373</v>
      </c>
      <c r="AG21" s="567">
        <f t="shared" si="2"/>
        <v>13.89908257</v>
      </c>
      <c r="AH21" s="567">
        <f t="shared" si="2"/>
        <v>13.87262141</v>
      </c>
      <c r="AI21" s="567">
        <f t="shared" si="2"/>
        <v>13.84616025</v>
      </c>
      <c r="AJ21" s="567">
        <f t="shared" si="2"/>
        <v>13.81969909</v>
      </c>
      <c r="AK21" s="567">
        <f t="shared" si="2"/>
        <v>13.79323792</v>
      </c>
      <c r="AL21" s="567">
        <f t="shared" si="2"/>
        <v>13.76677676</v>
      </c>
      <c r="AM21" s="567">
        <f t="shared" si="2"/>
        <v>13.7403156</v>
      </c>
      <c r="AN21" s="567">
        <f t="shared" si="2"/>
        <v>13.71385444</v>
      </c>
      <c r="AO21" s="567">
        <f t="shared" si="2"/>
        <v>13.68739328</v>
      </c>
      <c r="AP21" s="567">
        <f t="shared" si="2"/>
        <v>13.66093211</v>
      </c>
      <c r="AQ21" s="567">
        <f t="shared" si="2"/>
        <v>13.63447095</v>
      </c>
      <c r="AR21" s="567">
        <f t="shared" si="2"/>
        <v>13.60800979</v>
      </c>
      <c r="AS21" s="567">
        <f t="shared" si="2"/>
        <v>13.58154863</v>
      </c>
      <c r="AT21" s="567">
        <f t="shared" si="2"/>
        <v>13.55508747</v>
      </c>
      <c r="AU21" s="567">
        <f t="shared" si="2"/>
        <v>13.52862631</v>
      </c>
      <c r="AV21" s="567">
        <f t="shared" si="2"/>
        <v>13.50216514</v>
      </c>
      <c r="AW21" s="567">
        <f t="shared" si="2"/>
        <v>13.47570398</v>
      </c>
      <c r="AX21" s="567">
        <f t="shared" si="2"/>
        <v>13.44924282</v>
      </c>
      <c r="AY21" s="567">
        <f t="shared" si="2"/>
        <v>13.42278166</v>
      </c>
      <c r="AZ21" s="567">
        <f t="shared" si="2"/>
        <v>13.3963205</v>
      </c>
    </row>
    <row r="22">
      <c r="A22" s="560" t="s">
        <v>737</v>
      </c>
      <c r="B22" s="576">
        <v>31.46</v>
      </c>
      <c r="C22" s="571">
        <v>32.26</v>
      </c>
      <c r="D22" s="571">
        <v>35.49</v>
      </c>
      <c r="E22" s="571">
        <v>34.7</v>
      </c>
      <c r="F22" s="571">
        <v>39.3</v>
      </c>
      <c r="G22" s="571">
        <v>47.63</v>
      </c>
      <c r="H22" s="571">
        <v>51.67</v>
      </c>
      <c r="I22" s="571">
        <v>54.42</v>
      </c>
      <c r="J22" s="571">
        <v>63.36</v>
      </c>
      <c r="K22" s="571">
        <v>64.87</v>
      </c>
      <c r="L22" s="571">
        <v>64.38</v>
      </c>
      <c r="M22" s="571">
        <v>70.66</v>
      </c>
      <c r="N22" s="571">
        <v>70.33</v>
      </c>
      <c r="O22" s="571">
        <v>69.16</v>
      </c>
      <c r="P22" s="571">
        <v>68.2</v>
      </c>
      <c r="Q22" s="571">
        <v>65.44</v>
      </c>
      <c r="R22" s="571">
        <v>60.49</v>
      </c>
      <c r="S22" s="571">
        <v>58.67</v>
      </c>
      <c r="T22" s="571">
        <v>59.01</v>
      </c>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row>
    <row r="23">
      <c r="A23" s="560" t="s">
        <v>738</v>
      </c>
      <c r="B23" s="96">
        <f t="shared" ref="B23:C23" si="3">C23</f>
        <v>11897</v>
      </c>
      <c r="C23" s="96">
        <f t="shared" si="3"/>
        <v>11897</v>
      </c>
      <c r="D23" s="577">
        <v>11897.0</v>
      </c>
      <c r="E23" s="577">
        <v>12008.0</v>
      </c>
      <c r="F23" s="577">
        <v>11972.0</v>
      </c>
      <c r="G23" s="577">
        <v>11942.0</v>
      </c>
      <c r="H23" s="577">
        <v>11887.0</v>
      </c>
      <c r="I23" s="577">
        <v>12027.0</v>
      </c>
      <c r="J23" s="577">
        <v>11152.0</v>
      </c>
      <c r="K23" s="577">
        <v>10911.0</v>
      </c>
      <c r="L23" s="577">
        <v>10923.0</v>
      </c>
      <c r="M23" s="577">
        <v>10858.0</v>
      </c>
      <c r="N23" s="577">
        <v>10724.0</v>
      </c>
      <c r="O23" s="577">
        <v>10800.0</v>
      </c>
      <c r="P23" s="577">
        <v>10763.0</v>
      </c>
      <c r="Q23" s="577">
        <v>10629.0</v>
      </c>
      <c r="R23" s="577">
        <v>10535.0</v>
      </c>
      <c r="S23" s="577">
        <v>10401.0</v>
      </c>
      <c r="T23" s="577">
        <v>10365.0</v>
      </c>
      <c r="U23" s="578"/>
      <c r="V23" s="578"/>
      <c r="W23" s="578"/>
      <c r="X23" s="578"/>
      <c r="Y23" s="578"/>
      <c r="Z23" s="578"/>
      <c r="AA23" s="578"/>
      <c r="AB23" s="578"/>
      <c r="AC23" s="578"/>
      <c r="AD23" s="578"/>
      <c r="AE23" s="578"/>
      <c r="AF23" s="578"/>
      <c r="AG23" s="578"/>
      <c r="AH23" s="578"/>
      <c r="AI23" s="578"/>
      <c r="AJ23" s="578"/>
      <c r="AK23" s="578"/>
      <c r="AL23" s="578"/>
      <c r="AM23" s="578"/>
      <c r="AN23" s="578"/>
      <c r="AO23" s="578"/>
      <c r="AP23" s="578"/>
      <c r="AQ23" s="578"/>
      <c r="AR23" s="578"/>
      <c r="AS23" s="578"/>
      <c r="AT23" s="578"/>
      <c r="AU23" s="578"/>
      <c r="AV23" s="578"/>
      <c r="AW23" s="578"/>
      <c r="AX23" s="578"/>
      <c r="AY23" s="578"/>
      <c r="AZ23" s="578"/>
    </row>
    <row r="24">
      <c r="A24" s="560" t="s">
        <v>739</v>
      </c>
      <c r="B24" s="576">
        <v>44.38</v>
      </c>
      <c r="C24" s="571">
        <v>46.42</v>
      </c>
      <c r="D24" s="571">
        <v>50.67</v>
      </c>
      <c r="E24" s="571">
        <v>50.63</v>
      </c>
      <c r="F24" s="571">
        <v>61.5</v>
      </c>
      <c r="G24" s="571">
        <v>83.79</v>
      </c>
      <c r="H24" s="571">
        <v>92.87</v>
      </c>
      <c r="I24" s="571">
        <v>94.97</v>
      </c>
      <c r="J24" s="571">
        <v>118.09</v>
      </c>
      <c r="K24" s="571">
        <v>143.01</v>
      </c>
      <c r="L24" s="571">
        <v>153.59</v>
      </c>
      <c r="M24" s="571">
        <v>184.44</v>
      </c>
      <c r="N24" s="571">
        <v>190.55</v>
      </c>
      <c r="O24" s="571">
        <v>156.99</v>
      </c>
      <c r="P24" s="571">
        <v>131.41</v>
      </c>
      <c r="Q24" s="571">
        <v>118.69</v>
      </c>
      <c r="R24" s="571">
        <v>102.0</v>
      </c>
      <c r="S24" s="571">
        <v>122.14</v>
      </c>
      <c r="T24" s="571">
        <v>128.75</v>
      </c>
      <c r="U24" s="578"/>
      <c r="V24" s="578"/>
      <c r="W24" s="578"/>
      <c r="X24" s="578"/>
      <c r="Y24" s="578"/>
      <c r="Z24" s="578"/>
      <c r="AA24" s="578"/>
      <c r="AB24" s="578"/>
      <c r="AC24" s="578"/>
      <c r="AD24" s="578"/>
      <c r="AE24" s="578"/>
      <c r="AF24" s="578"/>
      <c r="AG24" s="578"/>
      <c r="AH24" s="578"/>
      <c r="AI24" s="578"/>
      <c r="AJ24" s="578"/>
      <c r="AK24" s="578"/>
      <c r="AL24" s="578"/>
      <c r="AM24" s="578"/>
      <c r="AN24" s="578"/>
      <c r="AO24" s="578"/>
      <c r="AP24" s="578"/>
      <c r="AQ24" s="578"/>
      <c r="AR24" s="578"/>
      <c r="AS24" s="578"/>
      <c r="AT24" s="578"/>
      <c r="AU24" s="578"/>
      <c r="AV24" s="578"/>
      <c r="AW24" s="578"/>
      <c r="AX24" s="578"/>
      <c r="AY24" s="578"/>
      <c r="AZ24" s="578"/>
    </row>
    <row r="25">
      <c r="A25" s="560" t="s">
        <v>740</v>
      </c>
      <c r="B25" s="96">
        <f t="shared" ref="B25:C25" si="4">C25</f>
        <v>13131</v>
      </c>
      <c r="C25" s="96">
        <f t="shared" si="4"/>
        <v>13131</v>
      </c>
      <c r="D25" s="579">
        <v>13131.0</v>
      </c>
      <c r="E25" s="579">
        <v>13214.0</v>
      </c>
      <c r="F25" s="579">
        <v>13167.0</v>
      </c>
      <c r="G25" s="579">
        <v>13139.0</v>
      </c>
      <c r="H25" s="579">
        <v>13135.0</v>
      </c>
      <c r="I25" s="579">
        <v>13164.0</v>
      </c>
      <c r="J25" s="579">
        <v>13140.0</v>
      </c>
      <c r="K25" s="579">
        <v>13166.0</v>
      </c>
      <c r="L25" s="579">
        <v>13148.0</v>
      </c>
      <c r="M25" s="579">
        <v>13150.0</v>
      </c>
      <c r="N25" s="579">
        <v>14318.0</v>
      </c>
      <c r="O25" s="579">
        <v>14352.0</v>
      </c>
      <c r="P25" s="579">
        <v>14229.0</v>
      </c>
      <c r="Q25" s="579">
        <v>14263.0</v>
      </c>
      <c r="R25" s="579">
        <v>14304.0</v>
      </c>
      <c r="S25" s="579">
        <v>14336.0</v>
      </c>
      <c r="T25" s="579">
        <v>14304.0</v>
      </c>
      <c r="U25" s="578"/>
      <c r="V25" s="578"/>
      <c r="W25" s="578"/>
      <c r="X25" s="578"/>
      <c r="Y25" s="578"/>
      <c r="Z25" s="578"/>
      <c r="AA25" s="578"/>
      <c r="AB25" s="578"/>
      <c r="AC25" s="578"/>
      <c r="AD25" s="578"/>
      <c r="AE25" s="578"/>
      <c r="AF25" s="578"/>
      <c r="AG25" s="578"/>
      <c r="AH25" s="578"/>
      <c r="AI25" s="578"/>
      <c r="AJ25" s="578"/>
      <c r="AK25" s="578"/>
      <c r="AL25" s="578"/>
      <c r="AM25" s="578"/>
      <c r="AN25" s="578"/>
      <c r="AO25" s="578"/>
      <c r="AP25" s="578"/>
      <c r="AQ25" s="578"/>
      <c r="AR25" s="578"/>
      <c r="AS25" s="578"/>
      <c r="AT25" s="578"/>
      <c r="AU25" s="578"/>
      <c r="AV25" s="578"/>
      <c r="AW25" s="578"/>
      <c r="AX25" s="578"/>
      <c r="AY25" s="578"/>
      <c r="AZ25" s="578"/>
    </row>
    <row r="26">
      <c r="A26" s="560" t="s">
        <v>741</v>
      </c>
      <c r="B26" s="382"/>
      <c r="C26" s="292"/>
      <c r="D26" s="292"/>
      <c r="E26" s="292"/>
      <c r="F26" s="292"/>
      <c r="G26" s="292"/>
      <c r="H26" s="292"/>
      <c r="I26" s="292"/>
      <c r="J26" s="292"/>
      <c r="K26" s="292"/>
      <c r="L26" s="292"/>
      <c r="M26" s="292"/>
      <c r="N26" s="292"/>
      <c r="O26" s="292"/>
      <c r="P26" s="292"/>
      <c r="Q26" s="292"/>
      <c r="R26" s="292"/>
      <c r="S26" s="578">
        <v>4.57</v>
      </c>
      <c r="T26" s="578">
        <v>5.23</v>
      </c>
      <c r="U26" s="578">
        <v>5.03</v>
      </c>
      <c r="V26" s="578">
        <v>5.05</v>
      </c>
      <c r="W26" s="578">
        <v>4.98</v>
      </c>
      <c r="X26" s="578">
        <v>5.03</v>
      </c>
      <c r="Y26" s="578">
        <v>5.12</v>
      </c>
      <c r="Z26" s="578">
        <v>5.26</v>
      </c>
      <c r="AA26" s="578">
        <v>5.41</v>
      </c>
      <c r="AB26" s="578">
        <v>5.58</v>
      </c>
      <c r="AC26" s="578">
        <v>5.75</v>
      </c>
      <c r="AD26" s="578">
        <v>5.91</v>
      </c>
      <c r="AE26" s="578">
        <v>6.1</v>
      </c>
      <c r="AF26" s="578">
        <v>6.26</v>
      </c>
      <c r="AG26" s="578">
        <v>6.44</v>
      </c>
      <c r="AH26" s="578">
        <v>6.63</v>
      </c>
      <c r="AI26" s="578">
        <v>6.79</v>
      </c>
      <c r="AJ26" s="578">
        <v>6.96</v>
      </c>
      <c r="AK26" s="578">
        <v>7.15</v>
      </c>
      <c r="AL26" s="578">
        <v>7.34</v>
      </c>
      <c r="AM26" s="578">
        <v>7.52</v>
      </c>
      <c r="AN26" s="578">
        <v>7.71</v>
      </c>
      <c r="AO26" s="578">
        <v>7.9</v>
      </c>
      <c r="AP26" s="578">
        <v>8.09</v>
      </c>
      <c r="AQ26" s="578">
        <v>8.3</v>
      </c>
      <c r="AR26" s="578">
        <v>8.51</v>
      </c>
      <c r="AS26" s="578">
        <v>8.73</v>
      </c>
      <c r="AT26" s="578">
        <v>8.96</v>
      </c>
      <c r="AU26" s="578">
        <v>9.23</v>
      </c>
      <c r="AV26" s="578">
        <v>9.46</v>
      </c>
      <c r="AW26" s="578">
        <v>9.72</v>
      </c>
      <c r="AX26" s="578">
        <v>9.98</v>
      </c>
      <c r="AY26" s="578">
        <v>10.25</v>
      </c>
      <c r="AZ26" s="578">
        <v>10.53</v>
      </c>
    </row>
    <row r="27">
      <c r="A27" s="560" t="s">
        <v>742</v>
      </c>
      <c r="B27" s="382"/>
      <c r="C27" s="292"/>
      <c r="D27" s="292"/>
      <c r="E27" s="292"/>
      <c r="F27" s="292"/>
      <c r="G27" s="292"/>
      <c r="H27" s="292"/>
      <c r="I27" s="292"/>
      <c r="J27" s="292"/>
      <c r="K27" s="292"/>
      <c r="L27" s="292"/>
      <c r="M27" s="292"/>
      <c r="N27" s="292"/>
      <c r="O27" s="292"/>
      <c r="P27" s="292"/>
      <c r="Q27" s="292"/>
      <c r="R27" s="292"/>
      <c r="S27" s="578">
        <v>4.65</v>
      </c>
      <c r="T27" s="578">
        <v>5.23</v>
      </c>
      <c r="U27" s="578">
        <v>4.91</v>
      </c>
      <c r="V27" s="578">
        <v>4.8</v>
      </c>
      <c r="W27" s="578">
        <v>4.61</v>
      </c>
      <c r="X27" s="578">
        <v>4.54</v>
      </c>
      <c r="Y27" s="578">
        <v>4.51</v>
      </c>
      <c r="Z27" s="578">
        <v>4.53</v>
      </c>
      <c r="AA27" s="578">
        <v>4.55</v>
      </c>
      <c r="AB27" s="578">
        <v>4.58</v>
      </c>
      <c r="AC27" s="578">
        <v>4.62</v>
      </c>
      <c r="AD27" s="578">
        <v>4.64</v>
      </c>
      <c r="AE27" s="578">
        <v>4.69</v>
      </c>
      <c r="AF27" s="578">
        <v>4.71</v>
      </c>
      <c r="AG27" s="578">
        <v>4.75</v>
      </c>
      <c r="AH27" s="578">
        <v>4.78</v>
      </c>
      <c r="AI27" s="578">
        <v>4.79</v>
      </c>
      <c r="AJ27" s="578">
        <v>4.8</v>
      </c>
      <c r="AK27" s="578">
        <v>4.83</v>
      </c>
      <c r="AL27" s="578">
        <v>4.85</v>
      </c>
      <c r="AM27" s="578">
        <v>4.86</v>
      </c>
      <c r="AN27" s="578">
        <v>4.88</v>
      </c>
      <c r="AO27" s="578">
        <v>4.88</v>
      </c>
      <c r="AP27" s="578">
        <v>4.89</v>
      </c>
      <c r="AQ27" s="578">
        <v>4.91</v>
      </c>
      <c r="AR27" s="578">
        <v>4.92</v>
      </c>
      <c r="AS27" s="578">
        <v>4.93</v>
      </c>
      <c r="AT27" s="578">
        <v>4.95</v>
      </c>
      <c r="AU27" s="578">
        <v>4.98</v>
      </c>
      <c r="AV27" s="578">
        <v>4.98</v>
      </c>
      <c r="AW27" s="578">
        <v>5.0</v>
      </c>
      <c r="AX27" s="578">
        <v>5.01</v>
      </c>
      <c r="AY27" s="578">
        <v>5.02</v>
      </c>
      <c r="AZ27" s="578">
        <v>5.03</v>
      </c>
    </row>
    <row r="28">
      <c r="A28" s="560" t="s">
        <v>743</v>
      </c>
      <c r="B28" s="580">
        <f>B$24/B$25/2000*10^6*'Inflation GDP Population'!$S$18/'Inflation GDP Population'!B$18</f>
        <v>2.333071889</v>
      </c>
      <c r="C28" s="580">
        <f>C$24/C$25/2000*10^6*'Inflation GDP Population'!$S$18/'Inflation GDP Population'!C$18</f>
        <v>2.387937981</v>
      </c>
      <c r="D28" s="580">
        <f>D$24/D$25/2000*10^6*'Inflation GDP Population'!$S$18/'Inflation GDP Population'!D$18</f>
        <v>2.565979202</v>
      </c>
      <c r="E28" s="580">
        <f>E$24/E$25/2000*10^6*'Inflation GDP Population'!$S$18/'Inflation GDP Population'!E$18</f>
        <v>2.501394814</v>
      </c>
      <c r="F28" s="580">
        <f>F$24/F$25/2000*10^6*'Inflation GDP Population'!$S$18/'Inflation GDP Population'!F$18</f>
        <v>2.969336667</v>
      </c>
      <c r="G28" s="580">
        <f>G$24/G$25/2000*10^6*'Inflation GDP Population'!$S$18/'Inflation GDP Population'!G$18</f>
        <v>3.931692766</v>
      </c>
      <c r="H28" s="580">
        <f>H$24/H$25/2000*10^6*'Inflation GDP Population'!$S$18/'Inflation GDP Population'!H$18</f>
        <v>4.231041948</v>
      </c>
      <c r="I28" s="580">
        <f>I$24/I$25/2000*10^6*'Inflation GDP Population'!$S$18/'Inflation GDP Population'!I$18</f>
        <v>4.204244787</v>
      </c>
      <c r="J28" s="580">
        <f>J$24/J$25/2000*10^6*'Inflation GDP Population'!$S$18/'Inflation GDP Population'!J$18</f>
        <v>5.137368393</v>
      </c>
      <c r="K28" s="580">
        <f>K$24/K$25/2000*10^6*'Inflation GDP Population'!$S$18/'Inflation GDP Population'!K$18</f>
        <v>6.162221121</v>
      </c>
      <c r="L28" s="580">
        <f>L$24/L$25/2000*10^6*'Inflation GDP Population'!$S$18/'Inflation GDP Population'!L$18</f>
        <v>6.550834025</v>
      </c>
      <c r="M28" s="580">
        <f>M$24/M$25/2000*10^6*'Inflation GDP Population'!$S$18/'Inflation GDP Population'!M$18</f>
        <v>7.704494072</v>
      </c>
      <c r="N28" s="580">
        <f>N$24/N$25/2000*10^6*'Inflation GDP Population'!$S$18/'Inflation GDP Population'!N$18</f>
        <v>7.172840023</v>
      </c>
      <c r="O28" s="580">
        <f>O$24/O$25/2000*10^6*'Inflation GDP Population'!$S$18/'Inflation GDP Population'!O$18</f>
        <v>5.793868823</v>
      </c>
      <c r="P28" s="580">
        <f>P$24/P$25/2000*10^6*'Inflation GDP Population'!$S$18/'Inflation GDP Population'!P$18</f>
        <v>4.802866907</v>
      </c>
      <c r="Q28" s="580">
        <f>Q$24/Q$25/2000*10^6*'Inflation GDP Population'!$S$18/'Inflation GDP Population'!Q$18</f>
        <v>4.283025497</v>
      </c>
      <c r="R28" s="580">
        <f>R$24/R$25/2000*10^6*'Inflation GDP Population'!$S$18/'Inflation GDP Population'!R$18</f>
        <v>3.632595509</v>
      </c>
      <c r="S28" s="292">
        <f>S27*'Inflation GDP Population'!$S$18/'Inflation GDP Population'!$T$18</f>
        <v>4.539421924</v>
      </c>
      <c r="T28" s="292">
        <f>T27*'Inflation GDP Population'!$S$18/'Inflation GDP Population'!$T$18</f>
        <v>5.10562939</v>
      </c>
      <c r="U28" s="292">
        <f>U27*'Inflation GDP Population'!$S$18/'Inflation GDP Population'!$T$18</f>
        <v>4.793239064</v>
      </c>
      <c r="V28" s="292">
        <f>V27*'Inflation GDP Population'!$S$18/'Inflation GDP Population'!$T$18</f>
        <v>4.685854889</v>
      </c>
      <c r="W28" s="292">
        <f>W27*'Inflation GDP Population'!$S$18/'Inflation GDP Population'!$T$18</f>
        <v>4.500373133</v>
      </c>
      <c r="X28" s="292">
        <f>X27*'Inflation GDP Population'!$S$18/'Inflation GDP Population'!$T$18</f>
        <v>4.43203775</v>
      </c>
      <c r="Y28" s="292">
        <f>Y27*'Inflation GDP Population'!$S$18/'Inflation GDP Population'!$T$18</f>
        <v>4.402751156</v>
      </c>
      <c r="Z28" s="292">
        <f>Z27*'Inflation GDP Population'!$S$18/'Inflation GDP Population'!$T$18</f>
        <v>4.422275552</v>
      </c>
      <c r="AA28" s="292">
        <f>AA27*'Inflation GDP Population'!$S$18/'Inflation GDP Population'!$T$18</f>
        <v>4.441799947</v>
      </c>
      <c r="AB28" s="292">
        <f>AB27*'Inflation GDP Population'!$S$18/'Inflation GDP Population'!$T$18</f>
        <v>4.47108654</v>
      </c>
      <c r="AC28" s="292">
        <f>AC27*'Inflation GDP Population'!$S$18/'Inflation GDP Population'!$T$18</f>
        <v>4.510135331</v>
      </c>
      <c r="AD28" s="292">
        <f>AD27*'Inflation GDP Population'!$S$18/'Inflation GDP Population'!$T$18</f>
        <v>4.529659726</v>
      </c>
      <c r="AE28" s="292">
        <f>AE27*'Inflation GDP Population'!$S$18/'Inflation GDP Population'!$T$18</f>
        <v>4.578470715</v>
      </c>
      <c r="AF28" s="292">
        <f>AF27*'Inflation GDP Population'!$S$18/'Inflation GDP Population'!$T$18</f>
        <v>4.59799511</v>
      </c>
      <c r="AG28" s="292">
        <f>AG27*'Inflation GDP Population'!$S$18/'Inflation GDP Population'!$T$18</f>
        <v>4.637043901</v>
      </c>
      <c r="AH28" s="292">
        <f>AH27*'Inflation GDP Population'!$S$18/'Inflation GDP Population'!$T$18</f>
        <v>4.666330494</v>
      </c>
      <c r="AI28" s="292">
        <f>AI27*'Inflation GDP Population'!$S$18/'Inflation GDP Population'!$T$18</f>
        <v>4.676092692</v>
      </c>
      <c r="AJ28" s="292">
        <f>AJ27*'Inflation GDP Population'!$S$18/'Inflation GDP Population'!$T$18</f>
        <v>4.685854889</v>
      </c>
      <c r="AK28" s="292">
        <f>AK27*'Inflation GDP Population'!$S$18/'Inflation GDP Population'!$T$18</f>
        <v>4.715141482</v>
      </c>
      <c r="AL28" s="292">
        <f>AL27*'Inflation GDP Population'!$S$18/'Inflation GDP Population'!$T$18</f>
        <v>4.734665878</v>
      </c>
      <c r="AM28" s="292">
        <f>AM27*'Inflation GDP Population'!$S$18/'Inflation GDP Population'!$T$18</f>
        <v>4.744428075</v>
      </c>
      <c r="AN28" s="292">
        <f>AN27*'Inflation GDP Population'!$S$18/'Inflation GDP Population'!$T$18</f>
        <v>4.763952471</v>
      </c>
      <c r="AO28" s="292">
        <f>AO27*'Inflation GDP Population'!$S$18/'Inflation GDP Population'!$T$18</f>
        <v>4.763952471</v>
      </c>
      <c r="AP28" s="292">
        <f>AP27*'Inflation GDP Population'!$S$18/'Inflation GDP Population'!$T$18</f>
        <v>4.773714669</v>
      </c>
      <c r="AQ28" s="292">
        <f>AQ27*'Inflation GDP Population'!$S$18/'Inflation GDP Population'!$T$18</f>
        <v>4.793239064</v>
      </c>
      <c r="AR28" s="292">
        <f>AR27*'Inflation GDP Population'!$S$18/'Inflation GDP Population'!$T$18</f>
        <v>4.803001262</v>
      </c>
      <c r="AS28" s="292">
        <f>AS27*'Inflation GDP Population'!$S$18/'Inflation GDP Population'!$T$18</f>
        <v>4.812763459</v>
      </c>
      <c r="AT28" s="292">
        <f>AT27*'Inflation GDP Population'!$S$18/'Inflation GDP Population'!$T$18</f>
        <v>4.832287855</v>
      </c>
      <c r="AU28" s="292">
        <f>AU27*'Inflation GDP Population'!$S$18/'Inflation GDP Population'!$T$18</f>
        <v>4.861574448</v>
      </c>
      <c r="AV28" s="292">
        <f>AV27*'Inflation GDP Population'!$S$18/'Inflation GDP Population'!$T$18</f>
        <v>4.861574448</v>
      </c>
      <c r="AW28" s="292">
        <f>AW27*'Inflation GDP Population'!$S$18/'Inflation GDP Population'!$T$18</f>
        <v>4.881098843</v>
      </c>
      <c r="AX28" s="292">
        <f>AX27*'Inflation GDP Population'!$S$18/'Inflation GDP Population'!$T$18</f>
        <v>4.890861041</v>
      </c>
      <c r="AY28" s="292">
        <f>AY27*'Inflation GDP Population'!$S$18/'Inflation GDP Population'!$T$18</f>
        <v>4.900623238</v>
      </c>
      <c r="AZ28" s="292">
        <f>AZ27*'Inflation GDP Population'!$S$18/'Inflation GDP Population'!$T$18</f>
        <v>4.910385436</v>
      </c>
    </row>
    <row r="29">
      <c r="A29" s="61"/>
      <c r="B29" s="382"/>
      <c r="C29" s="292"/>
      <c r="D29" s="292"/>
      <c r="E29" s="292"/>
      <c r="F29" s="292"/>
      <c r="G29" s="292"/>
      <c r="H29" s="292"/>
      <c r="I29" s="292"/>
      <c r="J29" s="292"/>
      <c r="K29" s="292"/>
      <c r="L29" s="292"/>
      <c r="M29" s="292"/>
      <c r="N29" s="292"/>
      <c r="O29" s="292"/>
      <c r="P29" s="292"/>
      <c r="Q29" s="292"/>
      <c r="R29" s="292"/>
      <c r="S29" s="292"/>
      <c r="T29" s="292"/>
      <c r="U29" s="292"/>
      <c r="V29" s="292"/>
      <c r="W29" s="292"/>
      <c r="X29" s="292"/>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row>
    <row r="30">
      <c r="A30" s="563" t="s">
        <v>744</v>
      </c>
      <c r="B30" s="382"/>
      <c r="C30" s="292"/>
      <c r="D30" s="292"/>
      <c r="E30" s="292"/>
      <c r="F30" s="292"/>
      <c r="G30" s="292"/>
      <c r="H30" s="292"/>
      <c r="I30" s="292"/>
      <c r="J30" s="292"/>
      <c r="K30" s="292"/>
      <c r="L30" s="292"/>
      <c r="M30" s="292"/>
      <c r="N30" s="292"/>
      <c r="O30" s="292"/>
      <c r="P30" s="292"/>
      <c r="Q30" s="292"/>
      <c r="R30" s="292"/>
      <c r="S30" s="292"/>
      <c r="T30" s="292"/>
      <c r="U30" s="292"/>
      <c r="V30" s="292"/>
      <c r="W30" s="292"/>
      <c r="X30" s="292"/>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row>
    <row r="31">
      <c r="A31" s="565" t="s">
        <v>745</v>
      </c>
      <c r="B31" s="292"/>
      <c r="C31" s="292"/>
      <c r="D31" s="292"/>
      <c r="E31" s="292"/>
      <c r="F31" s="292"/>
      <c r="G31" s="292"/>
      <c r="H31" s="292"/>
      <c r="I31" s="292"/>
      <c r="J31" s="292"/>
      <c r="K31" s="292"/>
      <c r="L31" s="292"/>
      <c r="M31" s="292"/>
      <c r="N31" s="292"/>
      <c r="O31" s="292"/>
      <c r="P31" s="292"/>
      <c r="Q31" s="292"/>
      <c r="R31" s="572">
        <v>2.07292654058889</v>
      </c>
      <c r="S31" s="573">
        <f t="shared" ref="S31:AY31" si="5">$R$31+(S$1-$R$1)/($AZ$1-$R$1)*($AZ$31-$R$31)</f>
        <v>2.055451877</v>
      </c>
      <c r="T31" s="573">
        <f t="shared" si="5"/>
        <v>2.037977214</v>
      </c>
      <c r="U31" s="573">
        <f t="shared" si="5"/>
        <v>2.020502551</v>
      </c>
      <c r="V31" s="573">
        <f t="shared" si="5"/>
        <v>2.003027888</v>
      </c>
      <c r="W31" s="573">
        <f t="shared" si="5"/>
        <v>1.985553225</v>
      </c>
      <c r="X31" s="573">
        <f t="shared" si="5"/>
        <v>1.968078562</v>
      </c>
      <c r="Y31" s="573">
        <f t="shared" si="5"/>
        <v>1.950603899</v>
      </c>
      <c r="Z31" s="573">
        <f t="shared" si="5"/>
        <v>1.933129235</v>
      </c>
      <c r="AA31" s="573">
        <f t="shared" si="5"/>
        <v>1.915654572</v>
      </c>
      <c r="AB31" s="573">
        <f t="shared" si="5"/>
        <v>1.898179909</v>
      </c>
      <c r="AC31" s="573">
        <f t="shared" si="5"/>
        <v>1.880705246</v>
      </c>
      <c r="AD31" s="573">
        <f t="shared" si="5"/>
        <v>1.863230583</v>
      </c>
      <c r="AE31" s="573">
        <f t="shared" si="5"/>
        <v>1.84575592</v>
      </c>
      <c r="AF31" s="573">
        <f t="shared" si="5"/>
        <v>1.828281256</v>
      </c>
      <c r="AG31" s="573">
        <f t="shared" si="5"/>
        <v>1.810806593</v>
      </c>
      <c r="AH31" s="573">
        <f t="shared" si="5"/>
        <v>1.79333193</v>
      </c>
      <c r="AI31" s="573">
        <f t="shared" si="5"/>
        <v>1.775857267</v>
      </c>
      <c r="AJ31" s="573">
        <f t="shared" si="5"/>
        <v>1.758382604</v>
      </c>
      <c r="AK31" s="573">
        <f t="shared" si="5"/>
        <v>1.740907941</v>
      </c>
      <c r="AL31" s="573">
        <f t="shared" si="5"/>
        <v>1.723433278</v>
      </c>
      <c r="AM31" s="573">
        <f t="shared" si="5"/>
        <v>1.705958614</v>
      </c>
      <c r="AN31" s="573">
        <f t="shared" si="5"/>
        <v>1.688483951</v>
      </c>
      <c r="AO31" s="573">
        <f t="shared" si="5"/>
        <v>1.671009288</v>
      </c>
      <c r="AP31" s="573">
        <f t="shared" si="5"/>
        <v>1.653534625</v>
      </c>
      <c r="AQ31" s="573">
        <f t="shared" si="5"/>
        <v>1.636059962</v>
      </c>
      <c r="AR31" s="573">
        <f t="shared" si="5"/>
        <v>1.618585299</v>
      </c>
      <c r="AS31" s="573">
        <f t="shared" si="5"/>
        <v>1.601110635</v>
      </c>
      <c r="AT31" s="573">
        <f t="shared" si="5"/>
        <v>1.583635972</v>
      </c>
      <c r="AU31" s="573">
        <f t="shared" si="5"/>
        <v>1.566161309</v>
      </c>
      <c r="AV31" s="573">
        <f t="shared" si="5"/>
        <v>1.548686646</v>
      </c>
      <c r="AW31" s="573">
        <f t="shared" si="5"/>
        <v>1.531211983</v>
      </c>
      <c r="AX31" s="573">
        <f t="shared" si="5"/>
        <v>1.51373732</v>
      </c>
      <c r="AY31" s="573">
        <f t="shared" si="5"/>
        <v>1.496262657</v>
      </c>
      <c r="AZ31" s="581">
        <f>Inputs!H21</f>
        <v>1.478787993</v>
      </c>
    </row>
    <row r="32">
      <c r="A32" s="565" t="s">
        <v>746</v>
      </c>
      <c r="B32" s="570">
        <v>3.267188</v>
      </c>
      <c r="C32" s="571">
        <v>3.221195</v>
      </c>
      <c r="D32" s="571">
        <v>3.308957</v>
      </c>
      <c r="E32" s="571">
        <v>3.380695</v>
      </c>
      <c r="F32" s="571">
        <v>3.528116</v>
      </c>
      <c r="G32" s="571">
        <v>3.569012</v>
      </c>
      <c r="H32" s="571">
        <v>3.590293</v>
      </c>
      <c r="I32" s="571">
        <v>3.576572</v>
      </c>
      <c r="J32" s="571">
        <v>3.418466</v>
      </c>
      <c r="K32" s="571">
        <v>3.401677</v>
      </c>
      <c r="L32" s="571">
        <v>3.471298</v>
      </c>
      <c r="M32" s="571">
        <v>3.41084</v>
      </c>
      <c r="N32" s="571">
        <v>3.287033</v>
      </c>
      <c r="O32" s="571">
        <v>3.35712</v>
      </c>
      <c r="P32" s="571">
        <v>3.345661</v>
      </c>
      <c r="Q32" s="571">
        <v>3.42703</v>
      </c>
      <c r="R32" s="572">
        <v>1.43717645941111</v>
      </c>
      <c r="S32" s="573">
        <f t="shared" ref="S32:AY32" si="6">$R$32+(S$1-$R$1)/($AZ$1-$R$1)*($AZ$32-$R$32)</f>
        <v>1.43044981</v>
      </c>
      <c r="T32" s="573">
        <f t="shared" si="6"/>
        <v>1.42372316</v>
      </c>
      <c r="U32" s="573">
        <f t="shared" si="6"/>
        <v>1.41699651</v>
      </c>
      <c r="V32" s="573">
        <f t="shared" si="6"/>
        <v>1.41026986</v>
      </c>
      <c r="W32" s="573">
        <f t="shared" si="6"/>
        <v>1.403543211</v>
      </c>
      <c r="X32" s="573">
        <f t="shared" si="6"/>
        <v>1.396816561</v>
      </c>
      <c r="Y32" s="573">
        <f t="shared" si="6"/>
        <v>1.390089911</v>
      </c>
      <c r="Z32" s="573">
        <f t="shared" si="6"/>
        <v>1.383363261</v>
      </c>
      <c r="AA32" s="573">
        <f t="shared" si="6"/>
        <v>1.376636612</v>
      </c>
      <c r="AB32" s="573">
        <f t="shared" si="6"/>
        <v>1.369909962</v>
      </c>
      <c r="AC32" s="573">
        <f t="shared" si="6"/>
        <v>1.363183312</v>
      </c>
      <c r="AD32" s="573">
        <f t="shared" si="6"/>
        <v>1.356456662</v>
      </c>
      <c r="AE32" s="573">
        <f t="shared" si="6"/>
        <v>1.349730013</v>
      </c>
      <c r="AF32" s="573">
        <f t="shared" si="6"/>
        <v>1.343003363</v>
      </c>
      <c r="AG32" s="573">
        <f t="shared" si="6"/>
        <v>1.336276713</v>
      </c>
      <c r="AH32" s="573">
        <f t="shared" si="6"/>
        <v>1.329550063</v>
      </c>
      <c r="AI32" s="573">
        <f t="shared" si="6"/>
        <v>1.322823414</v>
      </c>
      <c r="AJ32" s="573">
        <f t="shared" si="6"/>
        <v>1.316096764</v>
      </c>
      <c r="AK32" s="573">
        <f t="shared" si="6"/>
        <v>1.309370114</v>
      </c>
      <c r="AL32" s="573">
        <f t="shared" si="6"/>
        <v>1.302643464</v>
      </c>
      <c r="AM32" s="573">
        <f t="shared" si="6"/>
        <v>1.295916814</v>
      </c>
      <c r="AN32" s="573">
        <f t="shared" si="6"/>
        <v>1.289190165</v>
      </c>
      <c r="AO32" s="573">
        <f t="shared" si="6"/>
        <v>1.282463515</v>
      </c>
      <c r="AP32" s="573">
        <f t="shared" si="6"/>
        <v>1.275736865</v>
      </c>
      <c r="AQ32" s="573">
        <f t="shared" si="6"/>
        <v>1.269010215</v>
      </c>
      <c r="AR32" s="573">
        <f t="shared" si="6"/>
        <v>1.262283566</v>
      </c>
      <c r="AS32" s="573">
        <f t="shared" si="6"/>
        <v>1.255556916</v>
      </c>
      <c r="AT32" s="573">
        <f t="shared" si="6"/>
        <v>1.248830266</v>
      </c>
      <c r="AU32" s="573">
        <f t="shared" si="6"/>
        <v>1.242103616</v>
      </c>
      <c r="AV32" s="573">
        <f t="shared" si="6"/>
        <v>1.235376967</v>
      </c>
      <c r="AW32" s="573">
        <f t="shared" si="6"/>
        <v>1.228650317</v>
      </c>
      <c r="AX32" s="573">
        <f t="shared" si="6"/>
        <v>1.221923667</v>
      </c>
      <c r="AY32" s="573">
        <f t="shared" si="6"/>
        <v>1.215197017</v>
      </c>
      <c r="AZ32" s="570">
        <v>1.20847036759193</v>
      </c>
    </row>
    <row r="33">
      <c r="A33" s="565" t="s">
        <v>747</v>
      </c>
      <c r="B33" s="570">
        <v>0.129004</v>
      </c>
      <c r="C33" s="571">
        <v>0.115485</v>
      </c>
      <c r="D33" s="571">
        <v>0.101645</v>
      </c>
      <c r="E33" s="571">
        <v>0.104656</v>
      </c>
      <c r="F33" s="571">
        <v>0.107623</v>
      </c>
      <c r="G33" s="571">
        <v>0.092355</v>
      </c>
      <c r="H33" s="571">
        <v>0.080299</v>
      </c>
      <c r="I33" s="571">
        <v>0.076352</v>
      </c>
      <c r="J33" s="571">
        <v>0.080186</v>
      </c>
      <c r="K33" s="571">
        <v>0.078407</v>
      </c>
      <c r="L33" s="571">
        <v>0.086112</v>
      </c>
      <c r="M33" s="571">
        <v>0.064502</v>
      </c>
      <c r="N33" s="571">
        <v>0.049798</v>
      </c>
      <c r="O33" s="571">
        <v>0.050578</v>
      </c>
      <c r="P33" s="571">
        <v>0.05917</v>
      </c>
      <c r="Q33" s="571">
        <v>0.058384</v>
      </c>
      <c r="R33" s="582">
        <v>0.053115</v>
      </c>
      <c r="S33" s="582">
        <v>0.046155</v>
      </c>
      <c r="T33" s="573">
        <f t="shared" ref="T33:AY33" si="7">$S$33+(T$1-$S$1)/($AZ$1-$S$1)*($AZ$33-$S$33)</f>
        <v>0.04579850406</v>
      </c>
      <c r="U33" s="573">
        <f t="shared" si="7"/>
        <v>0.04544200812</v>
      </c>
      <c r="V33" s="573">
        <f t="shared" si="7"/>
        <v>0.04508551219</v>
      </c>
      <c r="W33" s="573">
        <f t="shared" si="7"/>
        <v>0.04472901625</v>
      </c>
      <c r="X33" s="573">
        <f t="shared" si="7"/>
        <v>0.04437252031</v>
      </c>
      <c r="Y33" s="573">
        <f t="shared" si="7"/>
        <v>0.04401602437</v>
      </c>
      <c r="Z33" s="573">
        <f t="shared" si="7"/>
        <v>0.04365952844</v>
      </c>
      <c r="AA33" s="573">
        <f t="shared" si="7"/>
        <v>0.0433030325</v>
      </c>
      <c r="AB33" s="573">
        <f t="shared" si="7"/>
        <v>0.04294653656</v>
      </c>
      <c r="AC33" s="573">
        <f t="shared" si="7"/>
        <v>0.04259004062</v>
      </c>
      <c r="AD33" s="573">
        <f t="shared" si="7"/>
        <v>0.04223354469</v>
      </c>
      <c r="AE33" s="573">
        <f t="shared" si="7"/>
        <v>0.04187704875</v>
      </c>
      <c r="AF33" s="573">
        <f t="shared" si="7"/>
        <v>0.04152055281</v>
      </c>
      <c r="AG33" s="573">
        <f t="shared" si="7"/>
        <v>0.04116405687</v>
      </c>
      <c r="AH33" s="573">
        <f t="shared" si="7"/>
        <v>0.04080756094</v>
      </c>
      <c r="AI33" s="573">
        <f t="shared" si="7"/>
        <v>0.040451065</v>
      </c>
      <c r="AJ33" s="573">
        <f t="shared" si="7"/>
        <v>0.04009456906</v>
      </c>
      <c r="AK33" s="573">
        <f t="shared" si="7"/>
        <v>0.03973807312</v>
      </c>
      <c r="AL33" s="573">
        <f t="shared" si="7"/>
        <v>0.03938157718</v>
      </c>
      <c r="AM33" s="573">
        <f t="shared" si="7"/>
        <v>0.03902508125</v>
      </c>
      <c r="AN33" s="573">
        <f t="shared" si="7"/>
        <v>0.03866858531</v>
      </c>
      <c r="AO33" s="573">
        <f t="shared" si="7"/>
        <v>0.03831208937</v>
      </c>
      <c r="AP33" s="573">
        <f t="shared" si="7"/>
        <v>0.03795559343</v>
      </c>
      <c r="AQ33" s="573">
        <f t="shared" si="7"/>
        <v>0.0375990975</v>
      </c>
      <c r="AR33" s="573">
        <f t="shared" si="7"/>
        <v>0.03724260156</v>
      </c>
      <c r="AS33" s="573">
        <f t="shared" si="7"/>
        <v>0.03688610562</v>
      </c>
      <c r="AT33" s="573">
        <f t="shared" si="7"/>
        <v>0.03652960968</v>
      </c>
      <c r="AU33" s="573">
        <f t="shared" si="7"/>
        <v>0.03617311375</v>
      </c>
      <c r="AV33" s="573">
        <f t="shared" si="7"/>
        <v>0.03581661781</v>
      </c>
      <c r="AW33" s="573">
        <f t="shared" si="7"/>
        <v>0.03546012187</v>
      </c>
      <c r="AX33" s="573">
        <f t="shared" si="7"/>
        <v>0.03510362593</v>
      </c>
      <c r="AY33" s="573">
        <f t="shared" si="7"/>
        <v>0.03474713</v>
      </c>
      <c r="AZ33" s="570">
        <v>0.034390634057971</v>
      </c>
    </row>
    <row r="34">
      <c r="A34" s="565" t="s">
        <v>748</v>
      </c>
      <c r="B34" s="570">
        <v>0.077464</v>
      </c>
      <c r="C34" s="571">
        <v>0.077594</v>
      </c>
      <c r="D34" s="571">
        <v>0.063177</v>
      </c>
      <c r="E34" s="571">
        <v>0.07307</v>
      </c>
      <c r="F34" s="571">
        <v>0.07119</v>
      </c>
      <c r="G34" s="571">
        <v>0.063164</v>
      </c>
      <c r="H34" s="571">
        <v>0.063482</v>
      </c>
      <c r="I34" s="571">
        <v>0.064596</v>
      </c>
      <c r="J34" s="571">
        <v>0.062372</v>
      </c>
      <c r="K34" s="571">
        <v>0.065165</v>
      </c>
      <c r="L34" s="571">
        <v>0.063783</v>
      </c>
      <c r="M34" s="571">
        <v>0.058508</v>
      </c>
      <c r="N34" s="571">
        <v>0.057176</v>
      </c>
      <c r="O34" s="571">
        <v>0.050366</v>
      </c>
      <c r="P34" s="571">
        <v>0.05653</v>
      </c>
      <c r="Q34" s="571">
        <v>0.096532</v>
      </c>
      <c r="R34" s="582">
        <v>0.099789</v>
      </c>
      <c r="S34" s="582">
        <v>0.099362</v>
      </c>
      <c r="T34" s="573">
        <f t="shared" ref="T34:AY34" si="8">$S$34+(T$1-$S$1)/($AZ$1-$S$1)*($AZ$34-$S$34)</f>
        <v>0.09953152047</v>
      </c>
      <c r="U34" s="573">
        <f t="shared" si="8"/>
        <v>0.09970104094</v>
      </c>
      <c r="V34" s="573">
        <f t="shared" si="8"/>
        <v>0.09987056141</v>
      </c>
      <c r="W34" s="573">
        <f t="shared" si="8"/>
        <v>0.1000400819</v>
      </c>
      <c r="X34" s="573">
        <f t="shared" si="8"/>
        <v>0.1002096024</v>
      </c>
      <c r="Y34" s="573">
        <f t="shared" si="8"/>
        <v>0.1003791228</v>
      </c>
      <c r="Z34" s="573">
        <f t="shared" si="8"/>
        <v>0.1005486433</v>
      </c>
      <c r="AA34" s="573">
        <f t="shared" si="8"/>
        <v>0.1007181638</v>
      </c>
      <c r="AB34" s="573">
        <f t="shared" si="8"/>
        <v>0.1008876842</v>
      </c>
      <c r="AC34" s="573">
        <f t="shared" si="8"/>
        <v>0.1010572047</v>
      </c>
      <c r="AD34" s="573">
        <f t="shared" si="8"/>
        <v>0.1012267252</v>
      </c>
      <c r="AE34" s="573">
        <f t="shared" si="8"/>
        <v>0.1013962456</v>
      </c>
      <c r="AF34" s="573">
        <f t="shared" si="8"/>
        <v>0.1015657661</v>
      </c>
      <c r="AG34" s="573">
        <f t="shared" si="8"/>
        <v>0.1017352866</v>
      </c>
      <c r="AH34" s="573">
        <f t="shared" si="8"/>
        <v>0.1019048071</v>
      </c>
      <c r="AI34" s="573">
        <f t="shared" si="8"/>
        <v>0.1020743275</v>
      </c>
      <c r="AJ34" s="573">
        <f t="shared" si="8"/>
        <v>0.102243848</v>
      </c>
      <c r="AK34" s="573">
        <f t="shared" si="8"/>
        <v>0.1024133685</v>
      </c>
      <c r="AL34" s="573">
        <f t="shared" si="8"/>
        <v>0.1025828889</v>
      </c>
      <c r="AM34" s="573">
        <f t="shared" si="8"/>
        <v>0.1027524094</v>
      </c>
      <c r="AN34" s="573">
        <f t="shared" si="8"/>
        <v>0.1029219299</v>
      </c>
      <c r="AO34" s="573">
        <f t="shared" si="8"/>
        <v>0.1030914504</v>
      </c>
      <c r="AP34" s="573">
        <f t="shared" si="8"/>
        <v>0.1032609708</v>
      </c>
      <c r="AQ34" s="573">
        <f t="shared" si="8"/>
        <v>0.1034304913</v>
      </c>
      <c r="AR34" s="573">
        <f t="shared" si="8"/>
        <v>0.1036000118</v>
      </c>
      <c r="AS34" s="573">
        <f t="shared" si="8"/>
        <v>0.1037695322</v>
      </c>
      <c r="AT34" s="573">
        <f t="shared" si="8"/>
        <v>0.1039390527</v>
      </c>
      <c r="AU34" s="573">
        <f t="shared" si="8"/>
        <v>0.1041085732</v>
      </c>
      <c r="AV34" s="573">
        <f t="shared" si="8"/>
        <v>0.1042780936</v>
      </c>
      <c r="AW34" s="573">
        <f t="shared" si="8"/>
        <v>0.1044476141</v>
      </c>
      <c r="AX34" s="573">
        <f t="shared" si="8"/>
        <v>0.1046171346</v>
      </c>
      <c r="AY34" s="573">
        <f t="shared" si="8"/>
        <v>0.1047866551</v>
      </c>
      <c r="AZ34" s="570">
        <v>0.104956175531915</v>
      </c>
    </row>
    <row r="35">
      <c r="A35" s="565" t="s">
        <v>749</v>
      </c>
      <c r="B35" s="570">
        <v>0.575753</v>
      </c>
      <c r="C35" s="571">
        <v>0.635678</v>
      </c>
      <c r="D35" s="571">
        <v>0.607253</v>
      </c>
      <c r="E35" s="571">
        <v>0.639189</v>
      </c>
      <c r="F35" s="571">
        <v>0.695327</v>
      </c>
      <c r="G35" s="571">
        <v>0.72326</v>
      </c>
      <c r="H35" s="571">
        <v>0.700394</v>
      </c>
      <c r="I35" s="571">
        <v>0.641176</v>
      </c>
      <c r="J35" s="571">
        <v>0.559654</v>
      </c>
      <c r="K35" s="571">
        <v>0.452983</v>
      </c>
      <c r="L35" s="571">
        <v>0.452309</v>
      </c>
      <c r="M35" s="571">
        <v>0.434615</v>
      </c>
      <c r="N35" s="571">
        <v>0.4326</v>
      </c>
      <c r="O35" s="571">
        <v>0.412497</v>
      </c>
      <c r="P35" s="571">
        <v>0.402811</v>
      </c>
      <c r="Q35" s="571">
        <v>0.408217</v>
      </c>
      <c r="R35" s="582">
        <v>0.439638</v>
      </c>
      <c r="S35" s="582">
        <v>0.454341</v>
      </c>
      <c r="T35" s="573">
        <f t="shared" ref="T35:AY35" si="9">$S$35+(T$1-$S$1)/($AZ$1-$S$1)*($AZ$35-$S$35)</f>
        <v>0.4582964944</v>
      </c>
      <c r="U35" s="573">
        <f t="shared" si="9"/>
        <v>0.4622519888</v>
      </c>
      <c r="V35" s="573">
        <f t="shared" si="9"/>
        <v>0.4662074832</v>
      </c>
      <c r="W35" s="573">
        <f t="shared" si="9"/>
        <v>0.4701629776</v>
      </c>
      <c r="X35" s="573">
        <f t="shared" si="9"/>
        <v>0.4741184719</v>
      </c>
      <c r="Y35" s="573">
        <f t="shared" si="9"/>
        <v>0.4780739663</v>
      </c>
      <c r="Z35" s="573">
        <f t="shared" si="9"/>
        <v>0.4820294607</v>
      </c>
      <c r="AA35" s="573">
        <f t="shared" si="9"/>
        <v>0.4859849551</v>
      </c>
      <c r="AB35" s="573">
        <f t="shared" si="9"/>
        <v>0.4899404495</v>
      </c>
      <c r="AC35" s="573">
        <f t="shared" si="9"/>
        <v>0.4938959439</v>
      </c>
      <c r="AD35" s="573">
        <f t="shared" si="9"/>
        <v>0.4978514383</v>
      </c>
      <c r="AE35" s="573">
        <f t="shared" si="9"/>
        <v>0.5018069327</v>
      </c>
      <c r="AF35" s="573">
        <f t="shared" si="9"/>
        <v>0.5057624271</v>
      </c>
      <c r="AG35" s="573">
        <f t="shared" si="9"/>
        <v>0.5097179215</v>
      </c>
      <c r="AH35" s="573">
        <f t="shared" si="9"/>
        <v>0.5136734158</v>
      </c>
      <c r="AI35" s="573">
        <f t="shared" si="9"/>
        <v>0.5176289102</v>
      </c>
      <c r="AJ35" s="573">
        <f t="shared" si="9"/>
        <v>0.5215844046</v>
      </c>
      <c r="AK35" s="573">
        <f t="shared" si="9"/>
        <v>0.525539899</v>
      </c>
      <c r="AL35" s="573">
        <f t="shared" si="9"/>
        <v>0.5294953934</v>
      </c>
      <c r="AM35" s="573">
        <f t="shared" si="9"/>
        <v>0.5334508878</v>
      </c>
      <c r="AN35" s="573">
        <f t="shared" si="9"/>
        <v>0.5374063822</v>
      </c>
      <c r="AO35" s="573">
        <f t="shared" si="9"/>
        <v>0.5413618766</v>
      </c>
      <c r="AP35" s="573">
        <f t="shared" si="9"/>
        <v>0.545317371</v>
      </c>
      <c r="AQ35" s="573">
        <f t="shared" si="9"/>
        <v>0.5492728653</v>
      </c>
      <c r="AR35" s="573">
        <f t="shared" si="9"/>
        <v>0.5532283597</v>
      </c>
      <c r="AS35" s="573">
        <f t="shared" si="9"/>
        <v>0.5571838541</v>
      </c>
      <c r="AT35" s="573">
        <f t="shared" si="9"/>
        <v>0.5611393485</v>
      </c>
      <c r="AU35" s="573">
        <f t="shared" si="9"/>
        <v>0.5650948429</v>
      </c>
      <c r="AV35" s="573">
        <f t="shared" si="9"/>
        <v>0.5690503373</v>
      </c>
      <c r="AW35" s="573">
        <f t="shared" si="9"/>
        <v>0.5730058317</v>
      </c>
      <c r="AX35" s="573">
        <f t="shared" si="9"/>
        <v>0.5769613261</v>
      </c>
      <c r="AY35" s="573">
        <f t="shared" si="9"/>
        <v>0.5809168205</v>
      </c>
      <c r="AZ35" s="570">
        <v>0.58487231485459</v>
      </c>
    </row>
    <row r="36">
      <c r="A36" s="565" t="s">
        <v>750</v>
      </c>
      <c r="B36" s="566">
        <v>232.671</v>
      </c>
      <c r="C36" s="566">
        <v>229.284</v>
      </c>
      <c r="D36" s="566">
        <v>235.964</v>
      </c>
      <c r="E36" s="566">
        <v>240.829</v>
      </c>
      <c r="F36" s="566">
        <v>251.705</v>
      </c>
      <c r="G36" s="566">
        <v>253.867</v>
      </c>
      <c r="H36" s="566">
        <v>256.166</v>
      </c>
      <c r="I36" s="566">
        <v>255.41</v>
      </c>
      <c r="J36" s="566">
        <v>238.344</v>
      </c>
      <c r="K36" s="566">
        <v>234.89</v>
      </c>
      <c r="L36" s="566">
        <v>238.247</v>
      </c>
      <c r="M36" s="566">
        <v>234.196</v>
      </c>
      <c r="N36" s="566">
        <v>224.779</v>
      </c>
      <c r="O36" s="566">
        <v>229.28</v>
      </c>
      <c r="P36" s="566">
        <v>228.47</v>
      </c>
      <c r="Q36" s="566">
        <v>234.288</v>
      </c>
      <c r="R36" s="566">
        <v>239.924</v>
      </c>
      <c r="S36" s="566">
        <v>244.05</v>
      </c>
      <c r="T36" s="583">
        <f t="shared" ref="T36:AZ36" si="10">sum(T$32,T$31)*$S$40*10^9/10^6</f>
        <v>242.355652</v>
      </c>
      <c r="U36" s="583">
        <f t="shared" si="10"/>
        <v>240.6613041</v>
      </c>
      <c r="V36" s="583">
        <f t="shared" si="10"/>
        <v>238.9669561</v>
      </c>
      <c r="W36" s="583">
        <f t="shared" si="10"/>
        <v>237.2726082</v>
      </c>
      <c r="X36" s="583">
        <f t="shared" si="10"/>
        <v>235.5782602</v>
      </c>
      <c r="Y36" s="583">
        <f t="shared" si="10"/>
        <v>233.8839122</v>
      </c>
      <c r="Z36" s="583">
        <f t="shared" si="10"/>
        <v>232.1895643</v>
      </c>
      <c r="AA36" s="583">
        <f t="shared" si="10"/>
        <v>230.4952163</v>
      </c>
      <c r="AB36" s="583">
        <f t="shared" si="10"/>
        <v>228.8008684</v>
      </c>
      <c r="AC36" s="583">
        <f t="shared" si="10"/>
        <v>227.1065204</v>
      </c>
      <c r="AD36" s="583">
        <f t="shared" si="10"/>
        <v>225.4121724</v>
      </c>
      <c r="AE36" s="583">
        <f t="shared" si="10"/>
        <v>223.7178245</v>
      </c>
      <c r="AF36" s="583">
        <f t="shared" si="10"/>
        <v>222.0234765</v>
      </c>
      <c r="AG36" s="583">
        <f t="shared" si="10"/>
        <v>220.3291285</v>
      </c>
      <c r="AH36" s="583">
        <f t="shared" si="10"/>
        <v>218.6347806</v>
      </c>
      <c r="AI36" s="583">
        <f t="shared" si="10"/>
        <v>216.9404326</v>
      </c>
      <c r="AJ36" s="583">
        <f t="shared" si="10"/>
        <v>215.2460847</v>
      </c>
      <c r="AK36" s="583">
        <f t="shared" si="10"/>
        <v>213.5517367</v>
      </c>
      <c r="AL36" s="583">
        <f t="shared" si="10"/>
        <v>211.8573887</v>
      </c>
      <c r="AM36" s="583">
        <f t="shared" si="10"/>
        <v>210.1630408</v>
      </c>
      <c r="AN36" s="583">
        <f t="shared" si="10"/>
        <v>208.4686928</v>
      </c>
      <c r="AO36" s="583">
        <f t="shared" si="10"/>
        <v>206.7743449</v>
      </c>
      <c r="AP36" s="583">
        <f t="shared" si="10"/>
        <v>205.0799969</v>
      </c>
      <c r="AQ36" s="583">
        <f t="shared" si="10"/>
        <v>203.3856489</v>
      </c>
      <c r="AR36" s="583">
        <f t="shared" si="10"/>
        <v>201.691301</v>
      </c>
      <c r="AS36" s="583">
        <f t="shared" si="10"/>
        <v>199.996953</v>
      </c>
      <c r="AT36" s="583">
        <f t="shared" si="10"/>
        <v>198.3026051</v>
      </c>
      <c r="AU36" s="583">
        <f t="shared" si="10"/>
        <v>196.6082571</v>
      </c>
      <c r="AV36" s="583">
        <f t="shared" si="10"/>
        <v>194.9139091</v>
      </c>
      <c r="AW36" s="583">
        <f t="shared" si="10"/>
        <v>193.2195612</v>
      </c>
      <c r="AX36" s="583">
        <f t="shared" si="10"/>
        <v>191.5252132</v>
      </c>
      <c r="AY36" s="583">
        <f t="shared" si="10"/>
        <v>189.8308652</v>
      </c>
      <c r="AZ36" s="583">
        <f t="shared" si="10"/>
        <v>188.1365173</v>
      </c>
    </row>
    <row r="37">
      <c r="A37" s="565" t="s">
        <v>751</v>
      </c>
      <c r="B37" s="566">
        <v>8.465</v>
      </c>
      <c r="C37" s="566">
        <v>7.606</v>
      </c>
      <c r="D37" s="566">
        <v>6.648</v>
      </c>
      <c r="E37" s="566">
        <v>6.894</v>
      </c>
      <c r="F37" s="566">
        <v>7.079</v>
      </c>
      <c r="G37" s="566">
        <v>6.071</v>
      </c>
      <c r="H37" s="566">
        <v>5.263</v>
      </c>
      <c r="I37" s="566">
        <v>4.976</v>
      </c>
      <c r="J37" s="566">
        <v>5.166</v>
      </c>
      <c r="K37" s="566">
        <v>5.027</v>
      </c>
      <c r="L37" s="566">
        <v>5.511</v>
      </c>
      <c r="M37" s="566">
        <v>4.083</v>
      </c>
      <c r="N37" s="566">
        <v>3.151</v>
      </c>
      <c r="O37" s="566">
        <v>3.208</v>
      </c>
      <c r="P37" s="566">
        <v>3.734</v>
      </c>
      <c r="Q37" s="566">
        <v>3.744</v>
      </c>
      <c r="R37" s="566">
        <v>3.396</v>
      </c>
      <c r="S37" s="566">
        <v>2.919</v>
      </c>
      <c r="T37" s="583">
        <f t="shared" ref="T37:AZ37" si="11">T33*$S$41*10^9/10^6</f>
        <v>2.896453978</v>
      </c>
      <c r="U37" s="583">
        <f t="shared" si="11"/>
        <v>2.873907956</v>
      </c>
      <c r="V37" s="583">
        <f t="shared" si="11"/>
        <v>2.851361934</v>
      </c>
      <c r="W37" s="583">
        <f t="shared" si="11"/>
        <v>2.828815912</v>
      </c>
      <c r="X37" s="583">
        <f t="shared" si="11"/>
        <v>2.80626989</v>
      </c>
      <c r="Y37" s="583">
        <f t="shared" si="11"/>
        <v>2.783723868</v>
      </c>
      <c r="Z37" s="583">
        <f t="shared" si="11"/>
        <v>2.761177847</v>
      </c>
      <c r="AA37" s="583">
        <f t="shared" si="11"/>
        <v>2.738631825</v>
      </c>
      <c r="AB37" s="583">
        <f t="shared" si="11"/>
        <v>2.716085803</v>
      </c>
      <c r="AC37" s="583">
        <f t="shared" si="11"/>
        <v>2.693539781</v>
      </c>
      <c r="AD37" s="583">
        <f t="shared" si="11"/>
        <v>2.670993759</v>
      </c>
      <c r="AE37" s="583">
        <f t="shared" si="11"/>
        <v>2.648447737</v>
      </c>
      <c r="AF37" s="583">
        <f t="shared" si="11"/>
        <v>2.625901715</v>
      </c>
      <c r="AG37" s="583">
        <f t="shared" si="11"/>
        <v>2.603355693</v>
      </c>
      <c r="AH37" s="583">
        <f t="shared" si="11"/>
        <v>2.580809671</v>
      </c>
      <c r="AI37" s="583">
        <f t="shared" si="11"/>
        <v>2.558263649</v>
      </c>
      <c r="AJ37" s="583">
        <f t="shared" si="11"/>
        <v>2.535717627</v>
      </c>
      <c r="AK37" s="583">
        <f t="shared" si="11"/>
        <v>2.513171605</v>
      </c>
      <c r="AL37" s="583">
        <f t="shared" si="11"/>
        <v>2.490625583</v>
      </c>
      <c r="AM37" s="583">
        <f t="shared" si="11"/>
        <v>2.468079561</v>
      </c>
      <c r="AN37" s="583">
        <f t="shared" si="11"/>
        <v>2.44553354</v>
      </c>
      <c r="AO37" s="583">
        <f t="shared" si="11"/>
        <v>2.422987518</v>
      </c>
      <c r="AP37" s="583">
        <f t="shared" si="11"/>
        <v>2.400441496</v>
      </c>
      <c r="AQ37" s="583">
        <f t="shared" si="11"/>
        <v>2.377895474</v>
      </c>
      <c r="AR37" s="583">
        <f t="shared" si="11"/>
        <v>2.355349452</v>
      </c>
      <c r="AS37" s="583">
        <f t="shared" si="11"/>
        <v>2.33280343</v>
      </c>
      <c r="AT37" s="583">
        <f t="shared" si="11"/>
        <v>2.310257408</v>
      </c>
      <c r="AU37" s="583">
        <f t="shared" si="11"/>
        <v>2.287711386</v>
      </c>
      <c r="AV37" s="583">
        <f t="shared" si="11"/>
        <v>2.265165364</v>
      </c>
      <c r="AW37" s="583">
        <f t="shared" si="11"/>
        <v>2.242619342</v>
      </c>
      <c r="AX37" s="583">
        <f t="shared" si="11"/>
        <v>2.22007332</v>
      </c>
      <c r="AY37" s="583">
        <f t="shared" si="11"/>
        <v>2.197527298</v>
      </c>
      <c r="AZ37" s="583">
        <f t="shared" si="11"/>
        <v>2.174981276</v>
      </c>
    </row>
    <row r="38">
      <c r="A38" s="565" t="s">
        <v>752</v>
      </c>
      <c r="B38" s="566">
        <v>5.326</v>
      </c>
      <c r="C38" s="566">
        <v>5.389</v>
      </c>
      <c r="D38" s="566">
        <v>4.344</v>
      </c>
      <c r="E38" s="566">
        <v>5.062</v>
      </c>
      <c r="F38" s="566">
        <v>4.915</v>
      </c>
      <c r="G38" s="566">
        <v>4.391</v>
      </c>
      <c r="H38" s="566">
        <v>4.403</v>
      </c>
      <c r="I38" s="566">
        <v>4.5</v>
      </c>
      <c r="J38" s="566">
        <v>4.263</v>
      </c>
      <c r="K38" s="566">
        <v>4.499</v>
      </c>
      <c r="L38" s="566">
        <v>4.396</v>
      </c>
      <c r="M38" s="566">
        <v>4.03</v>
      </c>
      <c r="N38" s="566">
        <v>3.939</v>
      </c>
      <c r="O38" s="566">
        <v>3.457</v>
      </c>
      <c r="P38" s="566">
        <v>3.891</v>
      </c>
      <c r="Q38" s="566">
        <v>6.769</v>
      </c>
      <c r="R38" s="566">
        <v>7.008</v>
      </c>
      <c r="S38" s="566">
        <v>6.952</v>
      </c>
      <c r="T38" s="583">
        <f t="shared" ref="T38:AZ38" si="12">T34*$S$42*10^9/10^6</f>
        <v>6.963860735</v>
      </c>
      <c r="U38" s="583">
        <f t="shared" si="12"/>
        <v>6.975721469</v>
      </c>
      <c r="V38" s="583">
        <f t="shared" si="12"/>
        <v>6.987582204</v>
      </c>
      <c r="W38" s="583">
        <f t="shared" si="12"/>
        <v>6.999442938</v>
      </c>
      <c r="X38" s="583">
        <f t="shared" si="12"/>
        <v>7.011303673</v>
      </c>
      <c r="Y38" s="583">
        <f t="shared" si="12"/>
        <v>7.023164408</v>
      </c>
      <c r="Z38" s="583">
        <f t="shared" si="12"/>
        <v>7.035025142</v>
      </c>
      <c r="AA38" s="583">
        <f t="shared" si="12"/>
        <v>7.046885877</v>
      </c>
      <c r="AB38" s="583">
        <f t="shared" si="12"/>
        <v>7.058746611</v>
      </c>
      <c r="AC38" s="583">
        <f t="shared" si="12"/>
        <v>7.070607346</v>
      </c>
      <c r="AD38" s="583">
        <f t="shared" si="12"/>
        <v>7.082468081</v>
      </c>
      <c r="AE38" s="583">
        <f t="shared" si="12"/>
        <v>7.094328815</v>
      </c>
      <c r="AF38" s="583">
        <f t="shared" si="12"/>
        <v>7.10618955</v>
      </c>
      <c r="AG38" s="583">
        <f t="shared" si="12"/>
        <v>7.118050285</v>
      </c>
      <c r="AH38" s="583">
        <f t="shared" si="12"/>
        <v>7.129911019</v>
      </c>
      <c r="AI38" s="583">
        <f t="shared" si="12"/>
        <v>7.141771754</v>
      </c>
      <c r="AJ38" s="583">
        <f t="shared" si="12"/>
        <v>7.153632488</v>
      </c>
      <c r="AK38" s="583">
        <f t="shared" si="12"/>
        <v>7.165493223</v>
      </c>
      <c r="AL38" s="583">
        <f t="shared" si="12"/>
        <v>7.177353958</v>
      </c>
      <c r="AM38" s="583">
        <f t="shared" si="12"/>
        <v>7.189214692</v>
      </c>
      <c r="AN38" s="583">
        <f t="shared" si="12"/>
        <v>7.201075427</v>
      </c>
      <c r="AO38" s="583">
        <f t="shared" si="12"/>
        <v>7.212936161</v>
      </c>
      <c r="AP38" s="583">
        <f t="shared" si="12"/>
        <v>7.224796896</v>
      </c>
      <c r="AQ38" s="583">
        <f t="shared" si="12"/>
        <v>7.236657631</v>
      </c>
      <c r="AR38" s="583">
        <f t="shared" si="12"/>
        <v>7.248518365</v>
      </c>
      <c r="AS38" s="583">
        <f t="shared" si="12"/>
        <v>7.2603791</v>
      </c>
      <c r="AT38" s="583">
        <f t="shared" si="12"/>
        <v>7.272239834</v>
      </c>
      <c r="AU38" s="583">
        <f t="shared" si="12"/>
        <v>7.284100569</v>
      </c>
      <c r="AV38" s="583">
        <f t="shared" si="12"/>
        <v>7.295961304</v>
      </c>
      <c r="AW38" s="583">
        <f t="shared" si="12"/>
        <v>7.307822038</v>
      </c>
      <c r="AX38" s="583">
        <f t="shared" si="12"/>
        <v>7.319682773</v>
      </c>
      <c r="AY38" s="583">
        <f t="shared" si="12"/>
        <v>7.331543507</v>
      </c>
      <c r="AZ38" s="583">
        <f t="shared" si="12"/>
        <v>7.343404242</v>
      </c>
    </row>
    <row r="39">
      <c r="A39" s="565" t="s">
        <v>753</v>
      </c>
      <c r="B39" s="566">
        <v>20.232</v>
      </c>
      <c r="C39" s="566">
        <v>24.064</v>
      </c>
      <c r="D39" s="566">
        <v>22.786</v>
      </c>
      <c r="E39" s="566">
        <v>25.15</v>
      </c>
      <c r="F39" s="566">
        <v>25.168</v>
      </c>
      <c r="G39" s="566">
        <v>26.689</v>
      </c>
      <c r="H39" s="566">
        <v>24.98</v>
      </c>
      <c r="I39" s="566">
        <v>22.901</v>
      </c>
      <c r="J39" s="566">
        <v>20.123</v>
      </c>
      <c r="K39" s="566">
        <v>16.553</v>
      </c>
      <c r="L39" s="566">
        <v>17.137</v>
      </c>
      <c r="M39" s="566">
        <v>16.732</v>
      </c>
      <c r="N39" s="566">
        <v>17.487</v>
      </c>
      <c r="O39" s="566">
        <v>17.19</v>
      </c>
      <c r="P39" s="566">
        <v>17.367</v>
      </c>
      <c r="Q39" s="566">
        <v>17.54</v>
      </c>
      <c r="R39" s="566">
        <v>18.344</v>
      </c>
      <c r="S39" s="566">
        <v>18.405</v>
      </c>
      <c r="T39" s="583">
        <f t="shared" ref="T39:AZ39" si="13">T35*$S$43*10^9/10^6</f>
        <v>18.565234</v>
      </c>
      <c r="U39" s="583">
        <f t="shared" si="13"/>
        <v>18.72546799</v>
      </c>
      <c r="V39" s="583">
        <f t="shared" si="13"/>
        <v>18.88570199</v>
      </c>
      <c r="W39" s="583">
        <f t="shared" si="13"/>
        <v>19.04593599</v>
      </c>
      <c r="X39" s="583">
        <f t="shared" si="13"/>
        <v>19.20616998</v>
      </c>
      <c r="Y39" s="583">
        <f t="shared" si="13"/>
        <v>19.36640398</v>
      </c>
      <c r="Z39" s="583">
        <f t="shared" si="13"/>
        <v>19.52663798</v>
      </c>
      <c r="AA39" s="583">
        <f t="shared" si="13"/>
        <v>19.68687197</v>
      </c>
      <c r="AB39" s="583">
        <f t="shared" si="13"/>
        <v>19.84710597</v>
      </c>
      <c r="AC39" s="583">
        <f t="shared" si="13"/>
        <v>20.00733997</v>
      </c>
      <c r="AD39" s="583">
        <f t="shared" si="13"/>
        <v>20.16757396</v>
      </c>
      <c r="AE39" s="583">
        <f t="shared" si="13"/>
        <v>20.32780796</v>
      </c>
      <c r="AF39" s="583">
        <f t="shared" si="13"/>
        <v>20.48804196</v>
      </c>
      <c r="AG39" s="583">
        <f t="shared" si="13"/>
        <v>20.64827595</v>
      </c>
      <c r="AH39" s="583">
        <f t="shared" si="13"/>
        <v>20.80850995</v>
      </c>
      <c r="AI39" s="583">
        <f t="shared" si="13"/>
        <v>20.96874395</v>
      </c>
      <c r="AJ39" s="583">
        <f t="shared" si="13"/>
        <v>21.12897794</v>
      </c>
      <c r="AK39" s="583">
        <f t="shared" si="13"/>
        <v>21.28921194</v>
      </c>
      <c r="AL39" s="583">
        <f t="shared" si="13"/>
        <v>21.44944593</v>
      </c>
      <c r="AM39" s="583">
        <f t="shared" si="13"/>
        <v>21.60967993</v>
      </c>
      <c r="AN39" s="583">
        <f t="shared" si="13"/>
        <v>21.76991393</v>
      </c>
      <c r="AO39" s="583">
        <f t="shared" si="13"/>
        <v>21.93014792</v>
      </c>
      <c r="AP39" s="583">
        <f t="shared" si="13"/>
        <v>22.09038192</v>
      </c>
      <c r="AQ39" s="583">
        <f t="shared" si="13"/>
        <v>22.25061592</v>
      </c>
      <c r="AR39" s="583">
        <f t="shared" si="13"/>
        <v>22.41084991</v>
      </c>
      <c r="AS39" s="583">
        <f t="shared" si="13"/>
        <v>22.57108391</v>
      </c>
      <c r="AT39" s="583">
        <f t="shared" si="13"/>
        <v>22.73131791</v>
      </c>
      <c r="AU39" s="583">
        <f t="shared" si="13"/>
        <v>22.8915519</v>
      </c>
      <c r="AV39" s="583">
        <f t="shared" si="13"/>
        <v>23.0517859</v>
      </c>
      <c r="AW39" s="583">
        <f t="shared" si="13"/>
        <v>23.2120199</v>
      </c>
      <c r="AX39" s="583">
        <f t="shared" si="13"/>
        <v>23.37225389</v>
      </c>
      <c r="AY39" s="583">
        <f t="shared" si="13"/>
        <v>23.53248789</v>
      </c>
      <c r="AZ39" s="583">
        <f t="shared" si="13"/>
        <v>23.69272189</v>
      </c>
    </row>
    <row r="40">
      <c r="A40" s="565" t="s">
        <v>754</v>
      </c>
      <c r="B40" s="584">
        <f t="shared" ref="B40:Q40" si="14">B36*1000000/(B32*1000000000)</f>
        <v>0.07121445108</v>
      </c>
      <c r="C40" s="584">
        <f t="shared" si="14"/>
        <v>0.07117979508</v>
      </c>
      <c r="D40" s="584">
        <f t="shared" si="14"/>
        <v>0.07131068793</v>
      </c>
      <c r="E40" s="584">
        <f t="shared" si="14"/>
        <v>0.07123653568</v>
      </c>
      <c r="F40" s="584">
        <f t="shared" si="14"/>
        <v>0.07134260892</v>
      </c>
      <c r="G40" s="584">
        <f t="shared" si="14"/>
        <v>0.07113089001</v>
      </c>
      <c r="H40" s="584">
        <f t="shared" si="14"/>
        <v>0.07134960851</v>
      </c>
      <c r="I40" s="584">
        <f t="shared" si="14"/>
        <v>0.07141195536</v>
      </c>
      <c r="J40" s="584">
        <f t="shared" si="14"/>
        <v>0.06972250126</v>
      </c>
      <c r="K40" s="584">
        <f t="shared" si="14"/>
        <v>0.06905123561</v>
      </c>
      <c r="L40" s="584">
        <f t="shared" si="14"/>
        <v>0.06863340457</v>
      </c>
      <c r="M40" s="584">
        <f t="shared" si="14"/>
        <v>0.06866226501</v>
      </c>
      <c r="N40" s="584">
        <f t="shared" si="14"/>
        <v>0.06838355441</v>
      </c>
      <c r="O40" s="584">
        <f t="shared" si="14"/>
        <v>0.06829663521</v>
      </c>
      <c r="P40" s="584">
        <f t="shared" si="14"/>
        <v>0.06828844883</v>
      </c>
      <c r="Q40" s="584">
        <f t="shared" si="14"/>
        <v>0.06836473565</v>
      </c>
      <c r="R40" s="585">
        <f t="shared" ref="R40:S40" si="15">R36*1000000/(sum(R$32,R$31)*1000000000)</f>
        <v>0.06835241017</v>
      </c>
      <c r="S40" s="585">
        <f t="shared" si="15"/>
        <v>0.07001058031</v>
      </c>
      <c r="T40" s="586"/>
      <c r="U40" s="586"/>
      <c r="V40" s="586"/>
      <c r="W40" s="586"/>
      <c r="X40" s="586"/>
      <c r="Y40" s="586"/>
      <c r="Z40" s="586"/>
      <c r="AA40" s="586"/>
      <c r="AB40" s="586"/>
      <c r="AC40" s="586"/>
      <c r="AD40" s="586"/>
      <c r="AE40" s="586"/>
      <c r="AF40" s="586"/>
      <c r="AG40" s="586"/>
      <c r="AH40" s="586"/>
      <c r="AI40" s="586"/>
      <c r="AJ40" s="586"/>
      <c r="AK40" s="586"/>
      <c r="AL40" s="586"/>
      <c r="AM40" s="586"/>
      <c r="AN40" s="586"/>
      <c r="AO40" s="586"/>
      <c r="AP40" s="586"/>
      <c r="AQ40" s="586"/>
      <c r="AR40" s="586"/>
      <c r="AS40" s="586"/>
      <c r="AT40" s="586"/>
      <c r="AU40" s="586"/>
      <c r="AV40" s="586"/>
      <c r="AW40" s="586"/>
      <c r="AX40" s="586"/>
      <c r="AY40" s="586"/>
      <c r="AZ40" s="586"/>
    </row>
    <row r="41">
      <c r="A41" s="565" t="s">
        <v>755</v>
      </c>
      <c r="B41" s="584">
        <f t="shared" ref="B41:S41" si="16">B37*1000000/(B33*1000000000)</f>
        <v>0.06561812037</v>
      </c>
      <c r="C41" s="584">
        <f t="shared" si="16"/>
        <v>0.06586136728</v>
      </c>
      <c r="D41" s="584">
        <f t="shared" si="16"/>
        <v>0.06540410251</v>
      </c>
      <c r="E41" s="584">
        <f t="shared" si="16"/>
        <v>0.06587295521</v>
      </c>
      <c r="F41" s="584">
        <f t="shared" si="16"/>
        <v>0.06577590292</v>
      </c>
      <c r="G41" s="584">
        <f t="shared" si="16"/>
        <v>0.06573547723</v>
      </c>
      <c r="H41" s="584">
        <f t="shared" si="16"/>
        <v>0.06554253478</v>
      </c>
      <c r="I41" s="584">
        <f t="shared" si="16"/>
        <v>0.06517183571</v>
      </c>
      <c r="J41" s="584">
        <f t="shared" si="16"/>
        <v>0.06442521138</v>
      </c>
      <c r="K41" s="584">
        <f t="shared" si="16"/>
        <v>0.06411417348</v>
      </c>
      <c r="L41" s="584">
        <f t="shared" si="16"/>
        <v>0.06399804905</v>
      </c>
      <c r="M41" s="584">
        <f t="shared" si="16"/>
        <v>0.06330036278</v>
      </c>
      <c r="N41" s="584">
        <f t="shared" si="16"/>
        <v>0.06327563356</v>
      </c>
      <c r="O41" s="584">
        <f t="shared" si="16"/>
        <v>0.06342678635</v>
      </c>
      <c r="P41" s="584">
        <f t="shared" si="16"/>
        <v>0.06310630387</v>
      </c>
      <c r="Q41" s="584">
        <f t="shared" si="16"/>
        <v>0.06412715813</v>
      </c>
      <c r="R41" s="584">
        <f t="shared" si="16"/>
        <v>0.06393674103</v>
      </c>
      <c r="S41" s="584">
        <f t="shared" si="16"/>
        <v>0.06324341891</v>
      </c>
      <c r="T41" s="586"/>
      <c r="U41" s="586"/>
      <c r="V41" s="586"/>
      <c r="W41" s="586"/>
      <c r="X41" s="586"/>
      <c r="Y41" s="586"/>
      <c r="Z41" s="586"/>
      <c r="AA41" s="586"/>
      <c r="AB41" s="586"/>
      <c r="AC41" s="586"/>
      <c r="AD41" s="586"/>
      <c r="AE41" s="586"/>
      <c r="AF41" s="586"/>
      <c r="AG41" s="586"/>
      <c r="AH41" s="586"/>
      <c r="AI41" s="586"/>
      <c r="AJ41" s="586"/>
      <c r="AK41" s="586"/>
      <c r="AL41" s="586"/>
      <c r="AM41" s="586"/>
      <c r="AN41" s="586"/>
      <c r="AO41" s="586"/>
      <c r="AP41" s="586"/>
      <c r="AQ41" s="586"/>
      <c r="AR41" s="586"/>
      <c r="AS41" s="586"/>
      <c r="AT41" s="586"/>
      <c r="AU41" s="586"/>
      <c r="AV41" s="586"/>
      <c r="AW41" s="586"/>
      <c r="AX41" s="586"/>
      <c r="AY41" s="586"/>
      <c r="AZ41" s="586"/>
    </row>
    <row r="42">
      <c r="A42" s="565" t="s">
        <v>756</v>
      </c>
      <c r="B42" s="584">
        <f t="shared" ref="B42:S42" si="17">B38*1000000/(B34*1000000000)</f>
        <v>0.06875451823</v>
      </c>
      <c r="C42" s="584">
        <f t="shared" si="17"/>
        <v>0.06945124623</v>
      </c>
      <c r="D42" s="584">
        <f t="shared" si="17"/>
        <v>0.06875920034</v>
      </c>
      <c r="E42" s="584">
        <f t="shared" si="17"/>
        <v>0.06927603668</v>
      </c>
      <c r="F42" s="584">
        <f t="shared" si="17"/>
        <v>0.06904059559</v>
      </c>
      <c r="G42" s="584">
        <f t="shared" si="17"/>
        <v>0.06951744665</v>
      </c>
      <c r="H42" s="584">
        <f t="shared" si="17"/>
        <v>0.06935824328</v>
      </c>
      <c r="I42" s="584">
        <f t="shared" si="17"/>
        <v>0.06966375627</v>
      </c>
      <c r="J42" s="584">
        <f t="shared" si="17"/>
        <v>0.06834797666</v>
      </c>
      <c r="K42" s="584">
        <f t="shared" si="17"/>
        <v>0.0690401289</v>
      </c>
      <c r="L42" s="584">
        <f t="shared" si="17"/>
        <v>0.0689211859</v>
      </c>
      <c r="M42" s="584">
        <f t="shared" si="17"/>
        <v>0.06887946947</v>
      </c>
      <c r="N42" s="584">
        <f t="shared" si="17"/>
        <v>0.06889254233</v>
      </c>
      <c r="O42" s="584">
        <f t="shared" si="17"/>
        <v>0.06863757297</v>
      </c>
      <c r="P42" s="584">
        <f t="shared" si="17"/>
        <v>0.06883070936</v>
      </c>
      <c r="Q42" s="584">
        <f t="shared" si="17"/>
        <v>0.07012182489</v>
      </c>
      <c r="R42" s="584">
        <f t="shared" si="17"/>
        <v>0.07022818146</v>
      </c>
      <c r="S42" s="584">
        <f t="shared" si="17"/>
        <v>0.06996638554</v>
      </c>
      <c r="T42" s="170"/>
      <c r="U42" s="170"/>
      <c r="V42" s="170"/>
      <c r="W42" s="170"/>
      <c r="X42" s="170"/>
      <c r="Y42" s="170"/>
      <c r="Z42" s="170"/>
      <c r="AA42" s="170"/>
      <c r="AB42" s="170"/>
      <c r="AC42" s="170"/>
      <c r="AD42" s="170"/>
      <c r="AE42" s="170"/>
      <c r="AF42" s="170"/>
      <c r="AG42" s="170"/>
      <c r="AH42" s="170"/>
      <c r="AI42" s="170"/>
      <c r="AJ42" s="170"/>
      <c r="AK42" s="170"/>
      <c r="AL42" s="170"/>
      <c r="AM42" s="170"/>
      <c r="AN42" s="170"/>
      <c r="AO42" s="170"/>
      <c r="AP42" s="170"/>
      <c r="AQ42" s="170"/>
      <c r="AR42" s="170"/>
      <c r="AS42" s="170"/>
      <c r="AT42" s="170"/>
      <c r="AU42" s="170"/>
      <c r="AV42" s="170"/>
      <c r="AW42" s="170"/>
      <c r="AX42" s="170"/>
      <c r="AY42" s="170"/>
      <c r="AZ42" s="170"/>
    </row>
    <row r="43">
      <c r="A43" s="565" t="s">
        <v>757</v>
      </c>
      <c r="B43" s="584">
        <f t="shared" ref="B43:S43" si="18">B39*1000000/(B35*1000000000)</f>
        <v>0.03514006874</v>
      </c>
      <c r="C43" s="584">
        <f t="shared" si="18"/>
        <v>0.0378556439</v>
      </c>
      <c r="D43" s="584">
        <f t="shared" si="18"/>
        <v>0.03752307523</v>
      </c>
      <c r="E43" s="584">
        <f t="shared" si="18"/>
        <v>0.03934673469</v>
      </c>
      <c r="F43" s="584">
        <f t="shared" si="18"/>
        <v>0.03619591933</v>
      </c>
      <c r="G43" s="584">
        <f t="shared" si="18"/>
        <v>0.03690097614</v>
      </c>
      <c r="H43" s="584">
        <f t="shared" si="18"/>
        <v>0.03566563963</v>
      </c>
      <c r="I43" s="584">
        <f t="shared" si="18"/>
        <v>0.03571718218</v>
      </c>
      <c r="J43" s="584">
        <f t="shared" si="18"/>
        <v>0.03595614433</v>
      </c>
      <c r="K43" s="584">
        <f t="shared" si="18"/>
        <v>0.03654221019</v>
      </c>
      <c r="L43" s="584">
        <f t="shared" si="18"/>
        <v>0.03788781563</v>
      </c>
      <c r="M43" s="584">
        <f t="shared" si="18"/>
        <v>0.03849844115</v>
      </c>
      <c r="N43" s="584">
        <f t="shared" si="18"/>
        <v>0.04042302358</v>
      </c>
      <c r="O43" s="584">
        <f t="shared" si="18"/>
        <v>0.04167303035</v>
      </c>
      <c r="P43" s="584">
        <f t="shared" si="18"/>
        <v>0.04311451276</v>
      </c>
      <c r="Q43" s="584">
        <f t="shared" si="18"/>
        <v>0.04296734335</v>
      </c>
      <c r="R43" s="584">
        <f t="shared" si="18"/>
        <v>0.04172523758</v>
      </c>
      <c r="S43" s="584">
        <f t="shared" si="18"/>
        <v>0.04050922105</v>
      </c>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42.29"/>
    <col customWidth="1" min="2" max="2" width="21.14"/>
    <col customWidth="1" min="50" max="50" width="14.0"/>
  </cols>
  <sheetData>
    <row r="1">
      <c r="A1" s="32"/>
      <c r="B1" s="32"/>
      <c r="C1" s="557">
        <v>2000.0</v>
      </c>
      <c r="D1" s="557">
        <v>2001.0</v>
      </c>
      <c r="E1" s="557">
        <v>2002.0</v>
      </c>
      <c r="F1" s="557">
        <v>2003.0</v>
      </c>
      <c r="G1" s="557">
        <v>2004.0</v>
      </c>
      <c r="H1" s="557">
        <v>2005.0</v>
      </c>
      <c r="I1" s="557">
        <v>2006.0</v>
      </c>
      <c r="J1" s="557">
        <v>2007.0</v>
      </c>
      <c r="K1" s="557">
        <v>2008.0</v>
      </c>
      <c r="L1" s="557">
        <v>2009.0</v>
      </c>
      <c r="M1" s="557">
        <v>2010.0</v>
      </c>
      <c r="N1" s="557">
        <v>2011.0</v>
      </c>
      <c r="O1" s="557">
        <v>2012.0</v>
      </c>
      <c r="P1" s="557">
        <v>2013.0</v>
      </c>
      <c r="Q1" s="557">
        <v>2014.0</v>
      </c>
      <c r="R1" s="557">
        <v>2015.0</v>
      </c>
      <c r="S1" s="557">
        <v>2016.0</v>
      </c>
      <c r="T1" s="557">
        <v>2017.0</v>
      </c>
      <c r="U1" s="557">
        <v>2018.0</v>
      </c>
      <c r="V1" s="557">
        <v>2019.0</v>
      </c>
      <c r="W1" s="587">
        <v>2020.0</v>
      </c>
      <c r="X1" s="557">
        <v>2021.0</v>
      </c>
      <c r="Y1" s="557">
        <v>2022.0</v>
      </c>
      <c r="Z1" s="557">
        <v>2023.0</v>
      </c>
      <c r="AA1" s="557">
        <v>2024.0</v>
      </c>
      <c r="AB1" s="557">
        <v>2025.0</v>
      </c>
      <c r="AC1" s="557">
        <v>2026.0</v>
      </c>
      <c r="AD1" s="557">
        <v>2027.0</v>
      </c>
      <c r="AE1" s="557">
        <v>2028.0</v>
      </c>
      <c r="AF1" s="557">
        <v>2029.0</v>
      </c>
      <c r="AG1" s="557">
        <v>2030.0</v>
      </c>
      <c r="AH1" s="557">
        <v>2031.0</v>
      </c>
      <c r="AI1" s="557">
        <v>2032.0</v>
      </c>
      <c r="AJ1" s="557">
        <v>2033.0</v>
      </c>
      <c r="AK1" s="557">
        <v>2034.0</v>
      </c>
      <c r="AL1" s="557">
        <v>2035.0</v>
      </c>
      <c r="AM1" s="557">
        <v>2036.0</v>
      </c>
      <c r="AN1" s="557">
        <v>2037.0</v>
      </c>
      <c r="AO1" s="557">
        <v>2038.0</v>
      </c>
      <c r="AP1" s="557">
        <v>2039.0</v>
      </c>
      <c r="AQ1" s="557">
        <v>2040.0</v>
      </c>
      <c r="AR1" s="557">
        <v>2041.0</v>
      </c>
      <c r="AS1" s="557">
        <v>2042.0</v>
      </c>
      <c r="AT1" s="557">
        <v>2043.0</v>
      </c>
      <c r="AU1" s="557">
        <v>2044.0</v>
      </c>
      <c r="AV1" s="557">
        <v>2045.0</v>
      </c>
      <c r="AW1" s="557">
        <v>2046.0</v>
      </c>
      <c r="AX1" s="557">
        <v>2047.0</v>
      </c>
      <c r="AY1" s="557">
        <v>2048.0</v>
      </c>
      <c r="AZ1" s="557">
        <v>2049.0</v>
      </c>
      <c r="BA1" s="557">
        <v>2050.0</v>
      </c>
      <c r="BB1" s="32"/>
      <c r="BC1" s="32"/>
      <c r="BD1" s="32"/>
      <c r="BE1" s="32"/>
      <c r="BF1" s="32"/>
      <c r="BG1" s="32"/>
      <c r="BH1" s="32"/>
      <c r="BI1" s="32"/>
      <c r="BJ1" s="32"/>
      <c r="BK1" s="32"/>
      <c r="BL1" s="32"/>
      <c r="BM1" s="32"/>
      <c r="BN1" s="32"/>
      <c r="BO1" s="32"/>
      <c r="BP1" s="32"/>
      <c r="BQ1" s="32"/>
      <c r="BR1" s="32"/>
      <c r="BS1" s="32"/>
      <c r="BT1" s="32"/>
      <c r="BU1" s="32"/>
    </row>
    <row r="2">
      <c r="A2" s="32" t="s">
        <v>432</v>
      </c>
      <c r="B2" s="561"/>
      <c r="C2" s="588">
        <f>Aggregation!D15</f>
        <v>598.302617</v>
      </c>
      <c r="D2" s="588">
        <f>Aggregation!E15</f>
        <v>601.621159</v>
      </c>
      <c r="E2" s="588">
        <f>Aggregation!F15</f>
        <v>621.062782</v>
      </c>
      <c r="F2" s="588">
        <f>Aggregation!G15</f>
        <v>616.792479</v>
      </c>
      <c r="G2" s="588">
        <f>Aggregation!H15</f>
        <v>631.453502</v>
      </c>
      <c r="H2" s="588">
        <f>Aggregation!I15</f>
        <v>649.933631</v>
      </c>
      <c r="I2" s="588">
        <f>Aggregation!J15</f>
        <v>644.483876</v>
      </c>
      <c r="J2" s="588">
        <f>Aggregation!K15</f>
        <v>668.63923</v>
      </c>
      <c r="K2" s="588">
        <f>Aggregation!L15</f>
        <v>648.233069</v>
      </c>
      <c r="L2" s="588">
        <f>Aggregation!M15</f>
        <v>618.914553</v>
      </c>
      <c r="M2" s="588">
        <f>Aggregation!N15</f>
        <v>659.674439</v>
      </c>
      <c r="N2" s="588">
        <f>Aggregation!O15</f>
        <v>635.448876</v>
      </c>
      <c r="O2" s="588">
        <f>Aggregation!P15</f>
        <v>621.036074</v>
      </c>
      <c r="P2" s="588">
        <f>Aggregation!Q15</f>
        <v>624.272859</v>
      </c>
      <c r="Q2" s="588">
        <f>Aggregation!R15</f>
        <v>634.953756</v>
      </c>
      <c r="R2" s="588">
        <f>Aggregation!S15</f>
        <v>646.332348</v>
      </c>
      <c r="S2" s="588">
        <f>Aggregation!T15</f>
        <v>646.373921</v>
      </c>
      <c r="T2" s="588">
        <f>Aggregation!U15</f>
        <v>628.579178</v>
      </c>
      <c r="U2" s="588">
        <f>Aggregation!V15</f>
        <v>652.777506</v>
      </c>
      <c r="V2" s="588">
        <f>Aggregation!W15</f>
        <v>654.2536189</v>
      </c>
      <c r="W2" s="588">
        <f>Aggregation!X15</f>
        <v>654.2536189</v>
      </c>
      <c r="X2" s="588">
        <f>Aggregation!Y15</f>
        <v>660.5013506</v>
      </c>
      <c r="Y2" s="588">
        <f>Aggregation!Z15</f>
        <v>666.7490823</v>
      </c>
      <c r="Z2" s="588">
        <f>Aggregation!AA15</f>
        <v>672.996814</v>
      </c>
      <c r="AA2" s="588">
        <f>Aggregation!AB15</f>
        <v>679.2445458</v>
      </c>
      <c r="AB2" s="588">
        <f>Aggregation!AC15</f>
        <v>685.4922775</v>
      </c>
      <c r="AC2" s="588">
        <f>Aggregation!AD15</f>
        <v>691.7400092</v>
      </c>
      <c r="AD2" s="588">
        <f>Aggregation!AE15</f>
        <v>697.9877409</v>
      </c>
      <c r="AE2" s="588">
        <f>Aggregation!AF15</f>
        <v>704.2354726</v>
      </c>
      <c r="AF2" s="588">
        <f>Aggregation!AG15</f>
        <v>710.4832043</v>
      </c>
      <c r="AG2" s="588">
        <f>Aggregation!AH15</f>
        <v>716.7309361</v>
      </c>
      <c r="AH2" s="588">
        <f>Aggregation!AI15</f>
        <v>722.9786678</v>
      </c>
      <c r="AI2" s="588">
        <f>Aggregation!AJ15</f>
        <v>729.2263995</v>
      </c>
      <c r="AJ2" s="588">
        <f>Aggregation!AK15</f>
        <v>735.4741312</v>
      </c>
      <c r="AK2" s="588">
        <f>Aggregation!AL15</f>
        <v>741.7218629</v>
      </c>
      <c r="AL2" s="588">
        <f>Aggregation!AM15</f>
        <v>747.9695946</v>
      </c>
      <c r="AM2" s="588">
        <f>Aggregation!AN15</f>
        <v>754.2173263</v>
      </c>
      <c r="AN2" s="588">
        <f>Aggregation!AO15</f>
        <v>760.4650581</v>
      </c>
      <c r="AO2" s="588">
        <f>Aggregation!AP15</f>
        <v>766.7127898</v>
      </c>
      <c r="AP2" s="588">
        <f>Aggregation!AQ15</f>
        <v>772.9605215</v>
      </c>
      <c r="AQ2" s="588">
        <f>Aggregation!AR15</f>
        <v>779.2082532</v>
      </c>
      <c r="AR2" s="588">
        <f>Aggregation!AS15</f>
        <v>785.4559849</v>
      </c>
      <c r="AS2" s="588">
        <f>Aggregation!AT15</f>
        <v>791.7037166</v>
      </c>
      <c r="AT2" s="588">
        <f>Aggregation!AU15</f>
        <v>797.9514484</v>
      </c>
      <c r="AU2" s="588">
        <f>Aggregation!AV15</f>
        <v>804.1991801</v>
      </c>
      <c r="AV2" s="588">
        <f>Aggregation!AW15</f>
        <v>810.4469118</v>
      </c>
      <c r="AW2" s="588">
        <f>Aggregation!AX15</f>
        <v>816.6946435</v>
      </c>
      <c r="AX2" s="588">
        <f>Aggregation!AY15</f>
        <v>822.9423752</v>
      </c>
      <c r="AY2" s="588">
        <f>Aggregation!AZ15</f>
        <v>829.1901069</v>
      </c>
      <c r="AZ2" s="588">
        <f>Aggregation!BA15</f>
        <v>835.4378387</v>
      </c>
      <c r="BA2" s="588">
        <f>Aggregation!BB15</f>
        <v>841.6855704</v>
      </c>
      <c r="BB2" s="561"/>
      <c r="BC2" s="561"/>
      <c r="BD2" s="561"/>
      <c r="BE2" s="561"/>
      <c r="BF2" s="561"/>
      <c r="BG2" s="561"/>
      <c r="BH2" s="561"/>
      <c r="BI2" s="561"/>
      <c r="BJ2" s="561"/>
      <c r="BK2" s="561"/>
      <c r="BL2" s="561"/>
      <c r="BM2" s="561"/>
      <c r="BN2" s="561"/>
      <c r="BO2" s="561"/>
      <c r="BP2" s="561"/>
      <c r="BQ2" s="561"/>
      <c r="BR2" s="561"/>
      <c r="BS2" s="561"/>
      <c r="BT2" s="561"/>
      <c r="BU2" s="561"/>
    </row>
    <row r="3">
      <c r="A3" s="560" t="s">
        <v>758</v>
      </c>
      <c r="B3" s="32"/>
      <c r="C3" s="52">
        <f>S3*(C2/S2)</f>
        <v>118046.0375</v>
      </c>
      <c r="D3" s="52">
        <f t="shared" ref="D3:R3" si="1">C3+($S$3-$C$3)/($S$1-$C$1)</f>
        <v>118638.8215</v>
      </c>
      <c r="E3" s="52">
        <f t="shared" si="1"/>
        <v>119231.6054</v>
      </c>
      <c r="F3" s="52">
        <f t="shared" si="1"/>
        <v>119824.3894</v>
      </c>
      <c r="G3" s="52">
        <f t="shared" si="1"/>
        <v>120417.1733</v>
      </c>
      <c r="H3" s="52">
        <f t="shared" si="1"/>
        <v>121009.9573</v>
      </c>
      <c r="I3" s="52">
        <f t="shared" si="1"/>
        <v>121602.7412</v>
      </c>
      <c r="J3" s="52">
        <f t="shared" si="1"/>
        <v>122195.5252</v>
      </c>
      <c r="K3" s="52">
        <f t="shared" si="1"/>
        <v>122788.3091</v>
      </c>
      <c r="L3" s="52">
        <f t="shared" si="1"/>
        <v>123381.093</v>
      </c>
      <c r="M3" s="52">
        <f t="shared" si="1"/>
        <v>123973.877</v>
      </c>
      <c r="N3" s="52">
        <f t="shared" si="1"/>
        <v>124566.6609</v>
      </c>
      <c r="O3" s="52">
        <f t="shared" si="1"/>
        <v>125159.4449</v>
      </c>
      <c r="P3" s="52">
        <f t="shared" si="1"/>
        <v>125752.2288</v>
      </c>
      <c r="Q3" s="52">
        <f t="shared" si="1"/>
        <v>126345.0128</v>
      </c>
      <c r="R3" s="52">
        <f t="shared" si="1"/>
        <v>126937.7967</v>
      </c>
      <c r="S3" s="589">
        <f t="shared" ref="S3:V3" si="2">T3</f>
        <v>127530.5806</v>
      </c>
      <c r="T3" s="589">
        <f t="shared" si="2"/>
        <v>127530.5806</v>
      </c>
      <c r="U3" s="589">
        <f t="shared" si="2"/>
        <v>127530.5806</v>
      </c>
      <c r="V3" s="589">
        <f t="shared" si="2"/>
        <v>127530.5806</v>
      </c>
      <c r="W3" s="590">
        <v>127530.580645161</v>
      </c>
      <c r="X3" s="175">
        <f t="shared" ref="X3:AZ3" si="3">$W$3+(Y$1-$W$1)/($BA$1-$W$1)*($BA$3-$W$3)</f>
        <v>129642.2873</v>
      </c>
      <c r="Y3" s="175">
        <f t="shared" si="3"/>
        <v>130698.1406</v>
      </c>
      <c r="Z3" s="175">
        <f t="shared" si="3"/>
        <v>131753.9939</v>
      </c>
      <c r="AA3" s="175">
        <f t="shared" si="3"/>
        <v>132809.8472</v>
      </c>
      <c r="AB3" s="175">
        <f t="shared" si="3"/>
        <v>133865.7005</v>
      </c>
      <c r="AC3" s="175">
        <f t="shared" si="3"/>
        <v>134921.5538</v>
      </c>
      <c r="AD3" s="175">
        <f t="shared" si="3"/>
        <v>135977.4071</v>
      </c>
      <c r="AE3" s="175">
        <f t="shared" si="3"/>
        <v>137033.2604</v>
      </c>
      <c r="AF3" s="175">
        <f t="shared" si="3"/>
        <v>138089.1137</v>
      </c>
      <c r="AG3" s="175">
        <f t="shared" si="3"/>
        <v>139144.967</v>
      </c>
      <c r="AH3" s="175">
        <f t="shared" si="3"/>
        <v>140200.8203</v>
      </c>
      <c r="AI3" s="175">
        <f t="shared" si="3"/>
        <v>141256.6736</v>
      </c>
      <c r="AJ3" s="175">
        <f t="shared" si="3"/>
        <v>142312.5269</v>
      </c>
      <c r="AK3" s="175">
        <f t="shared" si="3"/>
        <v>143368.3802</v>
      </c>
      <c r="AL3" s="175">
        <f t="shared" si="3"/>
        <v>144424.2335</v>
      </c>
      <c r="AM3" s="175">
        <f t="shared" si="3"/>
        <v>145480.0869</v>
      </c>
      <c r="AN3" s="175">
        <f t="shared" si="3"/>
        <v>146535.9402</v>
      </c>
      <c r="AO3" s="175">
        <f t="shared" si="3"/>
        <v>147591.7935</v>
      </c>
      <c r="AP3" s="175">
        <f t="shared" si="3"/>
        <v>148647.6468</v>
      </c>
      <c r="AQ3" s="175">
        <f t="shared" si="3"/>
        <v>149703.5001</v>
      </c>
      <c r="AR3" s="175">
        <f t="shared" si="3"/>
        <v>150759.3534</v>
      </c>
      <c r="AS3" s="175">
        <f t="shared" si="3"/>
        <v>151815.2067</v>
      </c>
      <c r="AT3" s="175">
        <f t="shared" si="3"/>
        <v>152871.06</v>
      </c>
      <c r="AU3" s="175">
        <f t="shared" si="3"/>
        <v>153926.9133</v>
      </c>
      <c r="AV3" s="175">
        <f t="shared" si="3"/>
        <v>154982.7666</v>
      </c>
      <c r="AW3" s="175">
        <f t="shared" si="3"/>
        <v>156038.6199</v>
      </c>
      <c r="AX3" s="175">
        <f t="shared" si="3"/>
        <v>157094.4732</v>
      </c>
      <c r="AY3" s="175">
        <f t="shared" si="3"/>
        <v>158150.3265</v>
      </c>
      <c r="AZ3" s="175">
        <f t="shared" si="3"/>
        <v>159206.1798</v>
      </c>
      <c r="BA3" s="304">
        <f>Inputs!H20</f>
        <v>159206.1798</v>
      </c>
      <c r="BB3" s="32"/>
      <c r="BC3" s="32"/>
      <c r="BD3" s="32"/>
      <c r="BE3" s="32"/>
      <c r="BF3" s="32"/>
      <c r="BG3" s="32"/>
      <c r="BH3" s="32"/>
      <c r="BI3" s="32"/>
      <c r="BJ3" s="32"/>
      <c r="BK3" s="32"/>
      <c r="BL3" s="32"/>
      <c r="BM3" s="32"/>
      <c r="BN3" s="32"/>
      <c r="BO3" s="32"/>
      <c r="BP3" s="32"/>
      <c r="BQ3" s="32"/>
      <c r="BR3" s="32"/>
      <c r="BS3" s="32"/>
      <c r="BT3" s="32"/>
      <c r="BU3" s="32"/>
    </row>
    <row r="4">
      <c r="A4" s="560" t="s">
        <v>759</v>
      </c>
      <c r="B4" s="32" t="s">
        <v>760</v>
      </c>
      <c r="C4" s="32"/>
      <c r="D4" s="32"/>
      <c r="E4" s="32"/>
      <c r="F4" s="32"/>
      <c r="G4" s="32"/>
      <c r="H4" s="32"/>
      <c r="I4" s="32"/>
      <c r="J4" s="32"/>
      <c r="K4" s="32"/>
      <c r="L4" s="32"/>
      <c r="M4" s="32"/>
      <c r="N4" s="32"/>
      <c r="O4" s="32"/>
      <c r="P4" s="32"/>
      <c r="Q4" s="32"/>
      <c r="R4" s="32"/>
      <c r="S4" s="32"/>
      <c r="T4" s="32"/>
      <c r="U4" s="32"/>
      <c r="V4" s="32"/>
      <c r="W4" s="591">
        <f>Inputs!$H$17</f>
        <v>345</v>
      </c>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2"/>
      <c r="AW4" s="592"/>
      <c r="AX4" s="592"/>
      <c r="AY4" s="592"/>
      <c r="AZ4" s="592"/>
      <c r="BA4" s="56"/>
      <c r="BB4" s="32"/>
      <c r="BC4" s="32"/>
      <c r="BD4" s="32"/>
      <c r="BE4" s="32"/>
      <c r="BF4" s="32"/>
      <c r="BG4" s="32"/>
      <c r="BH4" s="32"/>
      <c r="BI4" s="32"/>
      <c r="BJ4" s="32"/>
      <c r="BK4" s="32"/>
      <c r="BL4" s="32"/>
      <c r="BM4" s="32"/>
      <c r="BN4" s="32"/>
      <c r="BO4" s="32"/>
      <c r="BP4" s="32"/>
      <c r="BQ4" s="32"/>
      <c r="BR4" s="32"/>
      <c r="BS4" s="32"/>
      <c r="BT4" s="32"/>
      <c r="BU4" s="32"/>
    </row>
    <row r="5">
      <c r="A5" s="593" t="s">
        <v>761</v>
      </c>
      <c r="B5" s="32" t="s">
        <v>760</v>
      </c>
      <c r="C5" s="32"/>
      <c r="D5" s="32"/>
      <c r="E5" s="32"/>
      <c r="F5" s="32"/>
      <c r="G5" s="32"/>
      <c r="H5" s="32"/>
      <c r="I5" s="32"/>
      <c r="J5" s="32"/>
      <c r="K5" s="32"/>
      <c r="L5" s="32"/>
      <c r="M5" s="32"/>
      <c r="N5" s="32"/>
      <c r="O5" s="32"/>
      <c r="P5" s="32"/>
      <c r="Q5" s="32"/>
      <c r="R5" s="32"/>
      <c r="S5" s="32"/>
      <c r="T5" s="32"/>
      <c r="U5" s="32"/>
      <c r="V5" s="32"/>
      <c r="W5" s="591">
        <f>Inputs!$H$16</f>
        <v>50</v>
      </c>
      <c r="X5" s="592"/>
      <c r="Y5" s="592"/>
      <c r="Z5" s="592"/>
      <c r="AA5" s="592"/>
      <c r="AB5" s="592"/>
      <c r="AC5" s="592"/>
      <c r="AD5" s="592"/>
      <c r="AE5" s="592"/>
      <c r="AF5" s="592"/>
      <c r="AG5" s="592"/>
      <c r="AH5" s="592"/>
      <c r="AI5" s="592"/>
      <c r="AJ5" s="592"/>
      <c r="AK5" s="592"/>
      <c r="AL5" s="592"/>
      <c r="AM5" s="592"/>
      <c r="AN5" s="592"/>
      <c r="AO5" s="592"/>
      <c r="AP5" s="592"/>
      <c r="AQ5" s="592"/>
      <c r="AR5" s="592"/>
      <c r="AS5" s="592"/>
      <c r="AT5" s="592"/>
      <c r="AU5" s="592"/>
      <c r="AV5" s="592"/>
      <c r="AW5" s="592"/>
      <c r="AX5" s="592"/>
      <c r="AY5" s="592"/>
      <c r="AZ5" s="592"/>
      <c r="BA5" s="56"/>
      <c r="BB5" s="32"/>
      <c r="BC5" s="32"/>
      <c r="BD5" s="32"/>
      <c r="BE5" s="32"/>
      <c r="BF5" s="32"/>
      <c r="BG5" s="32"/>
      <c r="BH5" s="32"/>
      <c r="BI5" s="32"/>
      <c r="BJ5" s="32"/>
      <c r="BK5" s="32"/>
      <c r="BL5" s="32"/>
      <c r="BM5" s="32"/>
      <c r="BN5" s="32"/>
      <c r="BO5" s="32"/>
      <c r="BP5" s="32"/>
      <c r="BQ5" s="32"/>
      <c r="BR5" s="32"/>
      <c r="BS5" s="32"/>
      <c r="BT5" s="32"/>
      <c r="BU5" s="32"/>
    </row>
    <row r="6">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row>
    <row r="7">
      <c r="A7" s="594" t="s">
        <v>762</v>
      </c>
      <c r="B7" s="32"/>
      <c r="C7" s="171">
        <v>7757574.0</v>
      </c>
      <c r="D7" s="171">
        <v>8011207.0</v>
      </c>
      <c r="E7" s="171">
        <v>8147000.0</v>
      </c>
      <c r="F7" s="171">
        <v>8247286.0</v>
      </c>
      <c r="G7" s="171">
        <v>8391876.0</v>
      </c>
      <c r="H7" s="171">
        <v>8434175.0</v>
      </c>
      <c r="I7" s="171">
        <v>8728142.0</v>
      </c>
      <c r="J7" s="171">
        <v>8730896.0</v>
      </c>
      <c r="K7" s="171">
        <v>8836704.0</v>
      </c>
      <c r="L7" s="171">
        <v>8878591.0</v>
      </c>
      <c r="M7" s="171">
        <v>8879788.0</v>
      </c>
      <c r="N7" s="171">
        <v>8897484.0</v>
      </c>
      <c r="O7" s="171">
        <v>8946843.0</v>
      </c>
      <c r="P7" s="171">
        <v>9006630.0</v>
      </c>
      <c r="Q7" s="171">
        <v>9083895.0</v>
      </c>
      <c r="R7" s="171">
        <v>9184646.0</v>
      </c>
      <c r="S7" s="171">
        <v>9292687.0</v>
      </c>
      <c r="T7" s="595"/>
      <c r="U7" s="595"/>
      <c r="V7" s="595"/>
      <c r="W7" s="595"/>
      <c r="X7" s="595"/>
      <c r="Y7" s="595"/>
      <c r="Z7" s="595"/>
      <c r="AA7" s="595"/>
      <c r="AB7" s="595"/>
      <c r="AC7" s="595"/>
      <c r="AD7" s="595"/>
      <c r="AE7" s="595"/>
      <c r="AF7" s="595"/>
      <c r="AG7" s="595"/>
      <c r="AH7" s="595"/>
      <c r="AI7" s="595"/>
      <c r="AJ7" s="595"/>
      <c r="AK7" s="595"/>
      <c r="AL7" s="595"/>
      <c r="AM7" s="595"/>
      <c r="AN7" s="595"/>
      <c r="AO7" s="595"/>
      <c r="AP7" s="595"/>
      <c r="AQ7" s="595"/>
      <c r="AR7" s="595"/>
      <c r="AS7" s="595"/>
      <c r="AT7" s="595"/>
      <c r="AU7" s="595"/>
      <c r="AV7" s="595"/>
      <c r="AW7" s="595"/>
      <c r="AX7" s="595"/>
      <c r="AY7" s="595"/>
      <c r="AZ7" s="595"/>
      <c r="BA7" s="595"/>
      <c r="BB7" s="32"/>
      <c r="BC7" s="32"/>
      <c r="BD7" s="32"/>
      <c r="BE7" s="32"/>
      <c r="BF7" s="32"/>
      <c r="BG7" s="32"/>
      <c r="BH7" s="32"/>
      <c r="BI7" s="32"/>
      <c r="BJ7" s="32"/>
      <c r="BK7" s="32"/>
      <c r="BL7" s="32"/>
      <c r="BM7" s="32"/>
      <c r="BN7" s="32"/>
      <c r="BO7" s="32"/>
      <c r="BP7" s="32"/>
      <c r="BQ7" s="32"/>
      <c r="BR7" s="32"/>
      <c r="BS7" s="32"/>
      <c r="BT7" s="32"/>
      <c r="BU7" s="32"/>
    </row>
    <row r="8">
      <c r="A8" s="594" t="s">
        <v>763</v>
      </c>
      <c r="B8" s="32"/>
      <c r="C8" s="596">
        <f>'Inflation GDP Population'!B28*$K$8/'Inflation GDP Population'!$J$28</f>
        <v>16846926.8</v>
      </c>
      <c r="D8" s="596">
        <f>'Inflation GDP Population'!C28*$K$8/'Inflation GDP Population'!$J$28</f>
        <v>17042085</v>
      </c>
      <c r="E8" s="596">
        <f>'Inflation GDP Population'!D28*$K$8/'Inflation GDP Population'!$J$28</f>
        <v>17220658.24</v>
      </c>
      <c r="F8" s="596">
        <f>'Inflation GDP Population'!E28*$K$8/'Inflation GDP Population'!$J$28</f>
        <v>17391599.74</v>
      </c>
      <c r="G8" s="596">
        <f>'Inflation GDP Population'!F28*$K$8/'Inflation GDP Population'!$J$28</f>
        <v>17618331.98</v>
      </c>
      <c r="H8" s="596">
        <f>'Inflation GDP Population'!G28*$K$8/'Inflation GDP Population'!$J$28</f>
        <v>17873234.25</v>
      </c>
      <c r="I8" s="596">
        <f>'Inflation GDP Population'!H28*$K$8/'Inflation GDP Population'!$J$28</f>
        <v>18219584.01</v>
      </c>
      <c r="J8" s="596">
        <f>'Inflation GDP Population'!I28*$K$8/'Inflation GDP Population'!$J$28</f>
        <v>18540679.58</v>
      </c>
      <c r="K8" s="171">
        <v>1.8827544E7</v>
      </c>
      <c r="L8" s="171">
        <v>1.8971479E7</v>
      </c>
      <c r="M8" s="171">
        <v>1.891661E7</v>
      </c>
      <c r="N8" s="171">
        <v>1.9032506E7</v>
      </c>
      <c r="O8" s="171">
        <v>1.9095513E7</v>
      </c>
      <c r="P8" s="171">
        <v>1.9250383E7</v>
      </c>
      <c r="Q8" s="171">
        <v>1.9335932E7</v>
      </c>
      <c r="R8" s="171">
        <v>1.9545884E7</v>
      </c>
      <c r="S8" s="171">
        <v>1.9776077E7</v>
      </c>
      <c r="T8" s="171">
        <v>2.0011714E7</v>
      </c>
      <c r="U8" s="171">
        <v>2.0290953E7</v>
      </c>
      <c r="V8" s="171">
        <v>2.0648499E7</v>
      </c>
      <c r="W8" s="597">
        <f>'Inflation GDP Population'!V28*10^6*($V$8/('Inflation GDP Population'!$U$28*10^6))</f>
        <v>20802328.21</v>
      </c>
      <c r="X8" s="597">
        <f>'Inflation GDP Population'!W28*10^6*($V$8/('Inflation GDP Population'!$U$28*10^6))</f>
        <v>20978290.97</v>
      </c>
      <c r="Y8" s="597">
        <f>'Inflation GDP Population'!X28*10^6*($V$8/('Inflation GDP Population'!$U$28*10^6))</f>
        <v>21154253.74</v>
      </c>
      <c r="Z8" s="597">
        <f>'Inflation GDP Population'!Y28*10^6*($V$8/('Inflation GDP Population'!$U$28*10^6))</f>
        <v>21330216.5</v>
      </c>
      <c r="AA8" s="597">
        <f>'Inflation GDP Population'!Z28*10^6*($V$8/('Inflation GDP Population'!$U$28*10^6))</f>
        <v>21506179.27</v>
      </c>
      <c r="AB8" s="597">
        <f>'Inflation GDP Population'!AA28*10^6*($V$8/('Inflation GDP Population'!$U$28*10^6))</f>
        <v>21682142.03</v>
      </c>
      <c r="AC8" s="597">
        <f>'Inflation GDP Population'!AB28*10^6*($V$8/('Inflation GDP Population'!$U$28*10^6))</f>
        <v>21858104.8</v>
      </c>
      <c r="AD8" s="597">
        <f>'Inflation GDP Population'!AC28*10^6*($V$8/('Inflation GDP Population'!$U$28*10^6))</f>
        <v>22034067.56</v>
      </c>
      <c r="AE8" s="597">
        <f>'Inflation GDP Population'!AD28*10^6*($V$8/('Inflation GDP Population'!$U$28*10^6))</f>
        <v>22210030.33</v>
      </c>
      <c r="AF8" s="597">
        <f>'Inflation GDP Population'!AE28*10^6*($V$8/('Inflation GDP Population'!$U$28*10^6))</f>
        <v>22385993.09</v>
      </c>
      <c r="AG8" s="597">
        <f>'Inflation GDP Population'!AF28*10^6*($V$8/('Inflation GDP Population'!$U$28*10^6))</f>
        <v>22561955.86</v>
      </c>
      <c r="AH8" s="597">
        <f>'Inflation GDP Population'!AG28*10^6*($V$8/('Inflation GDP Population'!$U$28*10^6))</f>
        <v>22710461.58</v>
      </c>
      <c r="AI8" s="597">
        <f>'Inflation GDP Population'!AH28*10^6*($V$8/('Inflation GDP Population'!$U$28*10^6))</f>
        <v>22858967.31</v>
      </c>
      <c r="AJ8" s="597">
        <f>'Inflation GDP Population'!AI28*10^6*($V$8/('Inflation GDP Population'!$U$28*10^6))</f>
        <v>23007473.03</v>
      </c>
      <c r="AK8" s="597">
        <f>'Inflation GDP Population'!AJ28*10^6*($V$8/('Inflation GDP Population'!$U$28*10^6))</f>
        <v>23155978.76</v>
      </c>
      <c r="AL8" s="597">
        <f>'Inflation GDP Population'!AK28*10^6*($V$8/('Inflation GDP Population'!$U$28*10^6))</f>
        <v>23304484.48</v>
      </c>
      <c r="AM8" s="597">
        <f>'Inflation GDP Population'!AL28*10^6*($V$8/('Inflation GDP Population'!$U$28*10^6))</f>
        <v>23452990.2</v>
      </c>
      <c r="AN8" s="597">
        <f>'Inflation GDP Population'!AM28*10^6*($V$8/('Inflation GDP Population'!$U$28*10^6))</f>
        <v>23601495.93</v>
      </c>
      <c r="AO8" s="597">
        <f>'Inflation GDP Population'!AN28*10^6*($V$8/('Inflation GDP Population'!$U$28*10^6))</f>
        <v>23750001.65</v>
      </c>
      <c r="AP8" s="597">
        <f>'Inflation GDP Population'!AO28*10^6*($V$8/('Inflation GDP Population'!$U$28*10^6))</f>
        <v>23898507.38</v>
      </c>
      <c r="AQ8" s="597">
        <f>'Inflation GDP Population'!AP28*10^6*($V$8/('Inflation GDP Population'!$U$28*10^6))</f>
        <v>24047013.1</v>
      </c>
      <c r="AR8" s="597">
        <f>'Inflation GDP Population'!AQ28*10^6*($V$8/('Inflation GDP Population'!$U$28*10^6))</f>
        <v>24207870.57</v>
      </c>
      <c r="AS8" s="597">
        <f>'Inflation GDP Population'!AR28*10^6*($V$8/('Inflation GDP Population'!$U$28*10^6))</f>
        <v>24368728.03</v>
      </c>
      <c r="AT8" s="597">
        <f>'Inflation GDP Population'!AS28*10^6*($V$8/('Inflation GDP Population'!$U$28*10^6))</f>
        <v>24529585.49</v>
      </c>
      <c r="AU8" s="597">
        <f>'Inflation GDP Population'!AT28*10^6*($V$8/('Inflation GDP Population'!$U$28*10^6))</f>
        <v>24690442.96</v>
      </c>
      <c r="AV8" s="597">
        <f>'Inflation GDP Population'!AU28*10^6*($V$8/('Inflation GDP Population'!$U$28*10^6))</f>
        <v>24851300.42</v>
      </c>
      <c r="AW8" s="597">
        <f>'Inflation GDP Population'!AV28*10^6*($V$8/('Inflation GDP Population'!$U$28*10^6))</f>
        <v>25012157.89</v>
      </c>
      <c r="AX8" s="597">
        <f>'Inflation GDP Population'!AW28*10^6*($V$8/('Inflation GDP Population'!$U$28*10^6))</f>
        <v>25173015.35</v>
      </c>
      <c r="AY8" s="597">
        <f>'Inflation GDP Population'!AX28*10^6*($V$8/('Inflation GDP Population'!$U$28*10^6))</f>
        <v>25333872.81</v>
      </c>
      <c r="AZ8" s="597">
        <f>'Inflation GDP Population'!AY28*10^6*($V$8/('Inflation GDP Population'!$U$28*10^6))</f>
        <v>25494730.28</v>
      </c>
      <c r="BA8" s="597">
        <f>'Inflation GDP Population'!AZ28*10^6*($V$8/('Inflation GDP Population'!$U$28*10^6))</f>
        <v>25655587.74</v>
      </c>
      <c r="BB8" s="32"/>
      <c r="BC8" s="32"/>
      <c r="BD8" s="32"/>
      <c r="BE8" s="32"/>
      <c r="BF8" s="32"/>
      <c r="BG8" s="32"/>
      <c r="BH8" s="32"/>
      <c r="BI8" s="32"/>
      <c r="BJ8" s="32"/>
      <c r="BK8" s="32"/>
      <c r="BL8" s="32"/>
      <c r="BM8" s="32"/>
      <c r="BN8" s="32"/>
      <c r="BO8" s="32"/>
      <c r="BP8" s="32"/>
      <c r="BQ8" s="32"/>
      <c r="BR8" s="32"/>
      <c r="BS8" s="32"/>
      <c r="BT8" s="32"/>
      <c r="BU8" s="32"/>
    </row>
    <row r="9">
      <c r="A9" s="598" t="s">
        <v>764</v>
      </c>
      <c r="B9" s="599"/>
      <c r="C9" s="600">
        <f t="shared" ref="C9:S9" si="4">if(C8&gt;0,C7/C8,0)</f>
        <v>0.4604741324</v>
      </c>
      <c r="D9" s="600">
        <f t="shared" si="4"/>
        <v>0.4700837368</v>
      </c>
      <c r="E9" s="600">
        <f t="shared" si="4"/>
        <v>0.4730945755</v>
      </c>
      <c r="F9" s="600">
        <f t="shared" si="4"/>
        <v>0.4742108906</v>
      </c>
      <c r="G9" s="600">
        <f t="shared" si="4"/>
        <v>0.4763150115</v>
      </c>
      <c r="H9" s="600">
        <f t="shared" si="4"/>
        <v>0.4718885726</v>
      </c>
      <c r="I9" s="600">
        <f t="shared" si="4"/>
        <v>0.4790527598</v>
      </c>
      <c r="J9" s="600">
        <f t="shared" si="4"/>
        <v>0.4709048534</v>
      </c>
      <c r="K9" s="600">
        <f t="shared" si="4"/>
        <v>0.4693497994</v>
      </c>
      <c r="L9" s="600">
        <f t="shared" si="4"/>
        <v>0.4679967756</v>
      </c>
      <c r="M9" s="600">
        <f t="shared" si="4"/>
        <v>0.4694175119</v>
      </c>
      <c r="N9" s="600">
        <f t="shared" si="4"/>
        <v>0.467488832</v>
      </c>
      <c r="O9" s="600">
        <f t="shared" si="4"/>
        <v>0.4685311675</v>
      </c>
      <c r="P9" s="600">
        <f t="shared" si="4"/>
        <v>0.4678675744</v>
      </c>
      <c r="Q9" s="600">
        <f t="shared" si="4"/>
        <v>0.4697934912</v>
      </c>
      <c r="R9" s="600">
        <f t="shared" si="4"/>
        <v>0.4699017962</v>
      </c>
      <c r="S9" s="600">
        <f t="shared" si="4"/>
        <v>0.469895369</v>
      </c>
      <c r="T9" s="600">
        <f t="shared" ref="T9:V9" si="5">average($K$9:$S$9)</f>
        <v>0.468915813</v>
      </c>
      <c r="U9" s="600">
        <f t="shared" si="5"/>
        <v>0.468915813</v>
      </c>
      <c r="V9" s="600">
        <f t="shared" si="5"/>
        <v>0.468915813</v>
      </c>
      <c r="W9" s="600">
        <f t="shared" ref="W9:BA9" si="6">U9</f>
        <v>0.468915813</v>
      </c>
      <c r="X9" s="600">
        <f t="shared" si="6"/>
        <v>0.468915813</v>
      </c>
      <c r="Y9" s="600">
        <f t="shared" si="6"/>
        <v>0.468915813</v>
      </c>
      <c r="Z9" s="600">
        <f t="shared" si="6"/>
        <v>0.468915813</v>
      </c>
      <c r="AA9" s="600">
        <f t="shared" si="6"/>
        <v>0.468915813</v>
      </c>
      <c r="AB9" s="600">
        <f t="shared" si="6"/>
        <v>0.468915813</v>
      </c>
      <c r="AC9" s="600">
        <f t="shared" si="6"/>
        <v>0.468915813</v>
      </c>
      <c r="AD9" s="600">
        <f t="shared" si="6"/>
        <v>0.468915813</v>
      </c>
      <c r="AE9" s="600">
        <f t="shared" si="6"/>
        <v>0.468915813</v>
      </c>
      <c r="AF9" s="600">
        <f t="shared" si="6"/>
        <v>0.468915813</v>
      </c>
      <c r="AG9" s="600">
        <f t="shared" si="6"/>
        <v>0.468915813</v>
      </c>
      <c r="AH9" s="600">
        <f t="shared" si="6"/>
        <v>0.468915813</v>
      </c>
      <c r="AI9" s="600">
        <f t="shared" si="6"/>
        <v>0.468915813</v>
      </c>
      <c r="AJ9" s="600">
        <f t="shared" si="6"/>
        <v>0.468915813</v>
      </c>
      <c r="AK9" s="600">
        <f t="shared" si="6"/>
        <v>0.468915813</v>
      </c>
      <c r="AL9" s="600">
        <f t="shared" si="6"/>
        <v>0.468915813</v>
      </c>
      <c r="AM9" s="600">
        <f t="shared" si="6"/>
        <v>0.468915813</v>
      </c>
      <c r="AN9" s="600">
        <f t="shared" si="6"/>
        <v>0.468915813</v>
      </c>
      <c r="AO9" s="600">
        <f t="shared" si="6"/>
        <v>0.468915813</v>
      </c>
      <c r="AP9" s="600">
        <f t="shared" si="6"/>
        <v>0.468915813</v>
      </c>
      <c r="AQ9" s="600">
        <f t="shared" si="6"/>
        <v>0.468915813</v>
      </c>
      <c r="AR9" s="600">
        <f t="shared" si="6"/>
        <v>0.468915813</v>
      </c>
      <c r="AS9" s="600">
        <f t="shared" si="6"/>
        <v>0.468915813</v>
      </c>
      <c r="AT9" s="600">
        <f t="shared" si="6"/>
        <v>0.468915813</v>
      </c>
      <c r="AU9" s="600">
        <f t="shared" si="6"/>
        <v>0.468915813</v>
      </c>
      <c r="AV9" s="600">
        <f t="shared" si="6"/>
        <v>0.468915813</v>
      </c>
      <c r="AW9" s="600">
        <f t="shared" si="6"/>
        <v>0.468915813</v>
      </c>
      <c r="AX9" s="600">
        <f t="shared" si="6"/>
        <v>0.468915813</v>
      </c>
      <c r="AY9" s="600">
        <f t="shared" si="6"/>
        <v>0.468915813</v>
      </c>
      <c r="AZ9" s="600">
        <f t="shared" si="6"/>
        <v>0.468915813</v>
      </c>
      <c r="BA9" s="600">
        <f t="shared" si="6"/>
        <v>0.468915813</v>
      </c>
      <c r="BB9" s="601"/>
      <c r="BC9" s="601"/>
      <c r="BD9" s="601"/>
      <c r="BE9" s="32"/>
      <c r="BF9" s="32"/>
      <c r="BG9" s="32"/>
      <c r="BH9" s="32"/>
      <c r="BI9" s="32"/>
      <c r="BJ9" s="32"/>
      <c r="BK9" s="32"/>
      <c r="BL9" s="32"/>
      <c r="BM9" s="32"/>
      <c r="BN9" s="32"/>
      <c r="BO9" s="32"/>
      <c r="BP9" s="32"/>
      <c r="BQ9" s="32"/>
      <c r="BR9" s="32"/>
      <c r="BS9" s="32"/>
      <c r="BT9" s="32"/>
      <c r="BU9" s="32"/>
    </row>
    <row r="10">
      <c r="A10" s="560" t="s">
        <v>765</v>
      </c>
      <c r="B10" s="560" t="s">
        <v>760</v>
      </c>
      <c r="C10" s="252">
        <f t="shared" ref="C10:V10" si="7">C4*$C12</f>
        <v>0</v>
      </c>
      <c r="D10" s="252">
        <f t="shared" si="7"/>
        <v>0</v>
      </c>
      <c r="E10" s="252">
        <f t="shared" si="7"/>
        <v>0</v>
      </c>
      <c r="F10" s="252">
        <f t="shared" si="7"/>
        <v>0</v>
      </c>
      <c r="G10" s="252">
        <f t="shared" si="7"/>
        <v>0</v>
      </c>
      <c r="H10" s="252">
        <f t="shared" si="7"/>
        <v>0</v>
      </c>
      <c r="I10" s="252">
        <f t="shared" si="7"/>
        <v>0</v>
      </c>
      <c r="J10" s="252">
        <f t="shared" si="7"/>
        <v>0</v>
      </c>
      <c r="K10" s="252">
        <f t="shared" si="7"/>
        <v>0</v>
      </c>
      <c r="L10" s="252">
        <f t="shared" si="7"/>
        <v>0</v>
      </c>
      <c r="M10" s="252">
        <f t="shared" si="7"/>
        <v>0</v>
      </c>
      <c r="N10" s="252">
        <f t="shared" si="7"/>
        <v>0</v>
      </c>
      <c r="O10" s="252">
        <f t="shared" si="7"/>
        <v>0</v>
      </c>
      <c r="P10" s="252">
        <f t="shared" si="7"/>
        <v>0</v>
      </c>
      <c r="Q10" s="252">
        <f t="shared" si="7"/>
        <v>0</v>
      </c>
      <c r="R10" s="252">
        <f t="shared" si="7"/>
        <v>0</v>
      </c>
      <c r="S10" s="252">
        <f t="shared" si="7"/>
        <v>0</v>
      </c>
      <c r="T10" s="252">
        <f t="shared" si="7"/>
        <v>0</v>
      </c>
      <c r="U10" s="252">
        <f t="shared" si="7"/>
        <v>0</v>
      </c>
      <c r="V10" s="252">
        <f t="shared" si="7"/>
        <v>0</v>
      </c>
      <c r="W10" s="253">
        <f>$W$4*W$12*Model!W677/10^9</f>
        <v>0</v>
      </c>
      <c r="X10" s="253">
        <f>$W$4*X$12*Model!X677/10^9</f>
        <v>0.08572174307</v>
      </c>
      <c r="Y10" s="253">
        <f>$W$4*Y$12*Model!Y677/10^9</f>
        <v>0.08572174307</v>
      </c>
      <c r="Z10" s="253">
        <f>$W$4*Z$12*Model!Z677/10^9</f>
        <v>0.08572174307</v>
      </c>
      <c r="AA10" s="253">
        <f>$W$4*AA$12*Model!AA677/10^9</f>
        <v>0.08572174307</v>
      </c>
      <c r="AB10" s="253">
        <f>$W$4*AB$12*Model!AB677/10^9</f>
        <v>0.08572174307</v>
      </c>
      <c r="AC10" s="253">
        <f>$W$4*AC$12*Model!AC677/10^9</f>
        <v>0.08572174307</v>
      </c>
      <c r="AD10" s="253">
        <f>$W$4*AD$12*Model!AD677/10^9</f>
        <v>0.08572174307</v>
      </c>
      <c r="AE10" s="253">
        <f>$W$4*AE$12*Model!AE677/10^9</f>
        <v>0.08671436031</v>
      </c>
      <c r="AF10" s="253">
        <f>$W$4*AF$12*Model!AF677/10^9</f>
        <v>0.08572174307</v>
      </c>
      <c r="AG10" s="253">
        <f>$W$4*AG$12*Model!AG677/10^9</f>
        <v>0.08572174307</v>
      </c>
      <c r="AH10" s="253">
        <f>$W$4*AH$12*Model!AH677/10^9</f>
        <v>0.08572174307</v>
      </c>
      <c r="AI10" s="253">
        <f>$W$4*AI$12*Model!AI677/10^9</f>
        <v>0.1006110017</v>
      </c>
      <c r="AJ10" s="253">
        <f>$W$4*AJ$12*Model!AJ677/10^9</f>
        <v>0.08572174307</v>
      </c>
      <c r="AK10" s="253">
        <f>$W$4*AK$12*Model!AK677/10^9</f>
        <v>0.08572174307</v>
      </c>
      <c r="AL10" s="253">
        <f>$W$4*AL$12*Model!AL677/10^9</f>
        <v>0.08572174307</v>
      </c>
      <c r="AM10" s="253">
        <f>$W$4*AM$12*Model!AM677/10^9</f>
        <v>0.08572174307</v>
      </c>
      <c r="AN10" s="253">
        <f>$W$4*AN$12*Model!AN677/10^9</f>
        <v>0.08572174307</v>
      </c>
      <c r="AO10" s="253">
        <f>$W$4*AO$12*Model!AO677/10^9</f>
        <v>0.08572174307</v>
      </c>
      <c r="AP10" s="253">
        <f>$W$4*AP$12*Model!AP677/10^9</f>
        <v>0.08572174307</v>
      </c>
      <c r="AQ10" s="253">
        <f>$W$4*AQ$12*Model!AQ677/10^9</f>
        <v>0.08572174307</v>
      </c>
      <c r="AR10" s="253">
        <f>$W$4*AR$12*Model!AR677/10^9</f>
        <v>0.08572174307</v>
      </c>
      <c r="AS10" s="253">
        <f>$W$4*AS$12*Model!AS677/10^9</f>
        <v>0.08572174307</v>
      </c>
      <c r="AT10" s="253">
        <f>$W$4*AT$12*Model!AT677/10^9</f>
        <v>0.08572174307</v>
      </c>
      <c r="AU10" s="253">
        <f>$W$4*AU$12*Model!AU677/10^9</f>
        <v>0.2004241799</v>
      </c>
      <c r="AV10" s="253">
        <f>$W$4*AV$12*Model!AV677/10^9</f>
        <v>0.08572174307</v>
      </c>
      <c r="AW10" s="253">
        <f>$W$4*AW$12*Model!AW677/10^9</f>
        <v>0.08572174307</v>
      </c>
      <c r="AX10" s="253">
        <f>$W$4*AX$12*Model!AX677/10^9</f>
        <v>0.08572174307</v>
      </c>
      <c r="AY10" s="253">
        <f>$W$4*AY$12*Model!AY677/10^9</f>
        <v>0.08572174307</v>
      </c>
      <c r="AZ10" s="253">
        <f>$W$4*AZ$12*Model!AZ677/10^9</f>
        <v>0.1714434861</v>
      </c>
      <c r="BA10" s="253">
        <f>$W$4*BA$12*Model!BA677/10^9</f>
        <v>0.1714434861</v>
      </c>
      <c r="BB10" s="252"/>
      <c r="BC10" s="252"/>
      <c r="BD10" s="252"/>
      <c r="BE10" s="252"/>
      <c r="BF10" s="32"/>
      <c r="BG10" s="32"/>
      <c r="BH10" s="32"/>
      <c r="BI10" s="32"/>
      <c r="BJ10" s="32"/>
      <c r="BK10" s="32"/>
      <c r="BL10" s="32"/>
      <c r="BM10" s="32"/>
      <c r="BN10" s="32"/>
      <c r="BO10" s="32"/>
      <c r="BP10" s="32"/>
      <c r="BQ10" s="32"/>
      <c r="BR10" s="32"/>
      <c r="BS10" s="32"/>
      <c r="BT10" s="32"/>
      <c r="BU10" s="32"/>
    </row>
    <row r="11">
      <c r="A11" s="560" t="s">
        <v>766</v>
      </c>
      <c r="B11" s="560" t="s">
        <v>760</v>
      </c>
      <c r="C11" s="252">
        <f t="shared" ref="C11:V11" si="8">$C12*C5</f>
        <v>0</v>
      </c>
      <c r="D11" s="252">
        <f t="shared" si="8"/>
        <v>0</v>
      </c>
      <c r="E11" s="252">
        <f t="shared" si="8"/>
        <v>0</v>
      </c>
      <c r="F11" s="252">
        <f t="shared" si="8"/>
        <v>0</v>
      </c>
      <c r="G11" s="252">
        <f t="shared" si="8"/>
        <v>0</v>
      </c>
      <c r="H11" s="252">
        <f t="shared" si="8"/>
        <v>0</v>
      </c>
      <c r="I11" s="252">
        <f t="shared" si="8"/>
        <v>0</v>
      </c>
      <c r="J11" s="252">
        <f t="shared" si="8"/>
        <v>0</v>
      </c>
      <c r="K11" s="252">
        <f t="shared" si="8"/>
        <v>0</v>
      </c>
      <c r="L11" s="252">
        <f t="shared" si="8"/>
        <v>0</v>
      </c>
      <c r="M11" s="252">
        <f t="shared" si="8"/>
        <v>0</v>
      </c>
      <c r="N11" s="252">
        <f t="shared" si="8"/>
        <v>0</v>
      </c>
      <c r="O11" s="252">
        <f t="shared" si="8"/>
        <v>0</v>
      </c>
      <c r="P11" s="252">
        <f t="shared" si="8"/>
        <v>0</v>
      </c>
      <c r="Q11" s="252">
        <f t="shared" si="8"/>
        <v>0</v>
      </c>
      <c r="R11" s="252">
        <f t="shared" si="8"/>
        <v>0</v>
      </c>
      <c r="S11" s="252">
        <f t="shared" si="8"/>
        <v>0</v>
      </c>
      <c r="T11" s="252">
        <f t="shared" si="8"/>
        <v>0</v>
      </c>
      <c r="U11" s="252">
        <f t="shared" si="8"/>
        <v>0</v>
      </c>
      <c r="V11" s="252">
        <f t="shared" si="8"/>
        <v>0</v>
      </c>
      <c r="W11" s="253">
        <f>$W$5*W$12*Model!X3539/10^9</f>
        <v>0</v>
      </c>
      <c r="X11" s="253">
        <f>$W$5*X$12*Model!Y3539/10^9</f>
        <v>0</v>
      </c>
      <c r="Y11" s="253">
        <f>$W$5*Y$12*Model!Z3539/10^9</f>
        <v>0</v>
      </c>
      <c r="Z11" s="253">
        <f>$W$5*Z$12*Model!AA3539/10^9</f>
        <v>0</v>
      </c>
      <c r="AA11" s="253">
        <f>$W$5*AA$12*Model!AB3539/10^9</f>
        <v>0</v>
      </c>
      <c r="AB11" s="253">
        <f>$W$5*AB$12*Model!AC3539/10^9</f>
        <v>0</v>
      </c>
      <c r="AC11" s="253">
        <f>$W$5*AC$12*Model!AD3539/10^9</f>
        <v>0</v>
      </c>
      <c r="AD11" s="253">
        <f>$W$5*AD$12*Model!AE3539/10^9</f>
        <v>0</v>
      </c>
      <c r="AE11" s="253">
        <f>$W$5*AE$12*Model!AF3539/10^9</f>
        <v>0</v>
      </c>
      <c r="AF11" s="253">
        <f>$W$5*AF$12*Model!AG3539/10^9</f>
        <v>0</v>
      </c>
      <c r="AG11" s="253">
        <f>$W$5*AG$12*Model!AH3539/10^9</f>
        <v>0</v>
      </c>
      <c r="AH11" s="253">
        <f>$W$5*AH$12*Model!AI3539/10^9</f>
        <v>0</v>
      </c>
      <c r="AI11" s="253">
        <f>$W$5*AI$12*Model!AJ3539/10^9</f>
        <v>0</v>
      </c>
      <c r="AJ11" s="253">
        <f>$W$5*AJ$12*Model!AK3539/10^9</f>
        <v>0</v>
      </c>
      <c r="AK11" s="253">
        <f>$W$5*AK$12*Model!AL3539/10^9</f>
        <v>0</v>
      </c>
      <c r="AL11" s="253">
        <f>$W$5*AL$12*Model!AM3539/10^9</f>
        <v>0</v>
      </c>
      <c r="AM11" s="253">
        <f>$W$5*AM$12*Model!AN3539/10^9</f>
        <v>0</v>
      </c>
      <c r="AN11" s="253">
        <f>$W$5*AN$12*Model!AO3539/10^9</f>
        <v>0</v>
      </c>
      <c r="AO11" s="253">
        <f>$W$5*AO$12*Model!AP3539/10^9</f>
        <v>0</v>
      </c>
      <c r="AP11" s="253">
        <f>$W$5*AP$12*Model!AQ3539/10^9</f>
        <v>0</v>
      </c>
      <c r="AQ11" s="253">
        <f>$W$5*AQ$12*Model!AR3539/10^9</f>
        <v>0</v>
      </c>
      <c r="AR11" s="253">
        <f>$W$5*AR$12*Model!AS3539/10^9</f>
        <v>0</v>
      </c>
      <c r="AS11" s="253">
        <f>$W$5*AS$12*Model!AT3539/10^9</f>
        <v>0</v>
      </c>
      <c r="AT11" s="253">
        <f>$W$5*AT$12*Model!AU3539/10^9</f>
        <v>0</v>
      </c>
      <c r="AU11" s="253">
        <f>$W$5*AU$12*Model!AV3539/10^9</f>
        <v>0</v>
      </c>
      <c r="AV11" s="253">
        <f>$W$5*AV$12*Model!AW3539/10^9</f>
        <v>0</v>
      </c>
      <c r="AW11" s="253">
        <f>$W$5*AW$12*Model!AX3539/10^9</f>
        <v>0</v>
      </c>
      <c r="AX11" s="253">
        <f>$W$5*AX$12*Model!AY3539/10^9</f>
        <v>0</v>
      </c>
      <c r="AY11" s="253">
        <f>$W$5*AY$12*Model!AZ3539/10^9</f>
        <v>0</v>
      </c>
      <c r="AZ11" s="253">
        <f>$W$5*AZ$12*Model!BA3539/10^9</f>
        <v>0</v>
      </c>
      <c r="BA11" s="253">
        <f>$W$5*BA$12*Model!BB3539/10^9</f>
        <v>0</v>
      </c>
      <c r="BB11" s="252"/>
      <c r="BC11" s="252"/>
      <c r="BD11" s="252"/>
      <c r="BE11" s="252"/>
      <c r="BF11" s="32"/>
      <c r="BG11" s="32"/>
      <c r="BH11" s="32"/>
      <c r="BI11" s="32"/>
      <c r="BJ11" s="32"/>
      <c r="BK11" s="32"/>
      <c r="BL11" s="32"/>
      <c r="BM11" s="32"/>
      <c r="BN11" s="32"/>
      <c r="BO11" s="32"/>
      <c r="BP11" s="32"/>
      <c r="BQ11" s="32"/>
      <c r="BR11" s="32"/>
      <c r="BS11" s="32"/>
      <c r="BT11" s="32"/>
      <c r="BU11" s="32"/>
    </row>
    <row r="12">
      <c r="A12" s="560" t="s">
        <v>767</v>
      </c>
      <c r="B12" s="560" t="s">
        <v>760</v>
      </c>
      <c r="C12" s="52">
        <f t="shared" ref="C12:E12" si="9">C13</f>
        <v>1072.043903</v>
      </c>
      <c r="D12" s="52">
        <f t="shared" si="9"/>
        <v>1072.043903</v>
      </c>
      <c r="E12" s="52">
        <f t="shared" si="9"/>
        <v>1072.043903</v>
      </c>
      <c r="F12" s="602">
        <f>F$13*'Inflation GDP Population'!$S$11/'Inflation GDP Population'!E$11</f>
        <v>1598.417459</v>
      </c>
      <c r="G12" s="602">
        <f>G$13*'Inflation GDP Population'!$S$11/'Inflation GDP Population'!F$11</f>
        <v>1598.417459</v>
      </c>
      <c r="H12" s="602">
        <f>H$13*'Inflation GDP Population'!$S$11/'Inflation GDP Population'!G$11</f>
        <v>1598.417459</v>
      </c>
      <c r="I12" s="602">
        <f>I$13*'Inflation GDP Population'!$S$11/'Inflation GDP Population'!H$11</f>
        <v>1598.417459</v>
      </c>
      <c r="J12" s="602">
        <f>J$13*'Inflation GDP Population'!$S$11/'Inflation GDP Population'!I$11</f>
        <v>1598.417459</v>
      </c>
      <c r="K12" s="602">
        <f>K$13*'Inflation GDP Population'!$S$11/'Inflation GDP Population'!J$11</f>
        <v>1598.417459</v>
      </c>
      <c r="L12" s="602">
        <f>L$13*'Inflation GDP Population'!$S$11/'Inflation GDP Population'!K$11</f>
        <v>1598.417459</v>
      </c>
      <c r="M12" s="603">
        <f>M$13*'Inflation GDP Population'!$S$11/'Inflation GDP Population'!$L$11</f>
        <v>1598.417459</v>
      </c>
      <c r="N12" s="602">
        <f>N$13*'Inflation GDP Population'!$S$11/'Inflation GDP Population'!M$11</f>
        <v>1598.417459</v>
      </c>
      <c r="O12" s="602">
        <f>O$13*'Inflation GDP Population'!$S$11/'Inflation GDP Population'!N$11</f>
        <v>1598.417459</v>
      </c>
      <c r="P12" s="602">
        <f>P$13*'Inflation GDP Population'!$S$11/'Inflation GDP Population'!O$11</f>
        <v>1598.417459</v>
      </c>
      <c r="Q12" s="602">
        <f>Q$13*'Inflation GDP Population'!$S$11/'Inflation GDP Population'!P$11</f>
        <v>1598.417459</v>
      </c>
      <c r="R12" s="602">
        <f>R$13*'Inflation GDP Population'!$S$11/'Inflation GDP Population'!Q$11</f>
        <v>1598.417459</v>
      </c>
      <c r="S12" s="602">
        <f>S$13*'Inflation GDP Population'!$S$11/'Inflation GDP Population'!R$11</f>
        <v>1598.417459</v>
      </c>
      <c r="T12" s="602">
        <f>T$13*'Inflation GDP Population'!$S$11/'Inflation GDP Population'!S$11</f>
        <v>1598.417459</v>
      </c>
      <c r="U12" s="602">
        <f>U$13*'Inflation GDP Population'!$S$11/'Inflation GDP Population'!T$11</f>
        <v>1598.417459</v>
      </c>
      <c r="V12" s="604">
        <f t="shared" ref="V12:BA12" si="10">U12</f>
        <v>1598.417459</v>
      </c>
      <c r="W12" s="604">
        <f t="shared" si="10"/>
        <v>1598.417459</v>
      </c>
      <c r="X12" s="604">
        <f t="shared" si="10"/>
        <v>1598.417459</v>
      </c>
      <c r="Y12" s="604">
        <f t="shared" si="10"/>
        <v>1598.417459</v>
      </c>
      <c r="Z12" s="604">
        <f t="shared" si="10"/>
        <v>1598.417459</v>
      </c>
      <c r="AA12" s="604">
        <f t="shared" si="10"/>
        <v>1598.417459</v>
      </c>
      <c r="AB12" s="604">
        <f t="shared" si="10"/>
        <v>1598.417459</v>
      </c>
      <c r="AC12" s="604">
        <f t="shared" si="10"/>
        <v>1598.417459</v>
      </c>
      <c r="AD12" s="604">
        <f t="shared" si="10"/>
        <v>1598.417459</v>
      </c>
      <c r="AE12" s="604">
        <f t="shared" si="10"/>
        <v>1598.417459</v>
      </c>
      <c r="AF12" s="604">
        <f t="shared" si="10"/>
        <v>1598.417459</v>
      </c>
      <c r="AG12" s="604">
        <f t="shared" si="10"/>
        <v>1598.417459</v>
      </c>
      <c r="AH12" s="604">
        <f t="shared" si="10"/>
        <v>1598.417459</v>
      </c>
      <c r="AI12" s="604">
        <f t="shared" si="10"/>
        <v>1598.417459</v>
      </c>
      <c r="AJ12" s="604">
        <f t="shared" si="10"/>
        <v>1598.417459</v>
      </c>
      <c r="AK12" s="604">
        <f t="shared" si="10"/>
        <v>1598.417459</v>
      </c>
      <c r="AL12" s="604">
        <f t="shared" si="10"/>
        <v>1598.417459</v>
      </c>
      <c r="AM12" s="604">
        <f t="shared" si="10"/>
        <v>1598.417459</v>
      </c>
      <c r="AN12" s="604">
        <f t="shared" si="10"/>
        <v>1598.417459</v>
      </c>
      <c r="AO12" s="604">
        <f t="shared" si="10"/>
        <v>1598.417459</v>
      </c>
      <c r="AP12" s="604">
        <f t="shared" si="10"/>
        <v>1598.417459</v>
      </c>
      <c r="AQ12" s="604">
        <f t="shared" si="10"/>
        <v>1598.417459</v>
      </c>
      <c r="AR12" s="604">
        <f t="shared" si="10"/>
        <v>1598.417459</v>
      </c>
      <c r="AS12" s="604">
        <f t="shared" si="10"/>
        <v>1598.417459</v>
      </c>
      <c r="AT12" s="604">
        <f t="shared" si="10"/>
        <v>1598.417459</v>
      </c>
      <c r="AU12" s="604">
        <f t="shared" si="10"/>
        <v>1598.417459</v>
      </c>
      <c r="AV12" s="604">
        <f t="shared" si="10"/>
        <v>1598.417459</v>
      </c>
      <c r="AW12" s="604">
        <f t="shared" si="10"/>
        <v>1598.417459</v>
      </c>
      <c r="AX12" s="604">
        <f t="shared" si="10"/>
        <v>1598.417459</v>
      </c>
      <c r="AY12" s="604">
        <f t="shared" si="10"/>
        <v>1598.417459</v>
      </c>
      <c r="AZ12" s="604">
        <f t="shared" si="10"/>
        <v>1598.417459</v>
      </c>
      <c r="BA12" s="604">
        <f t="shared" si="10"/>
        <v>1598.417459</v>
      </c>
      <c r="BB12" s="32"/>
      <c r="BC12" s="32"/>
      <c r="BD12" s="32"/>
      <c r="BE12" s="32"/>
      <c r="BF12" s="32"/>
      <c r="BG12" s="32"/>
      <c r="BH12" s="32"/>
      <c r="BI12" s="32"/>
      <c r="BJ12" s="32"/>
      <c r="BK12" s="32"/>
      <c r="BL12" s="32"/>
      <c r="BM12" s="32"/>
      <c r="BN12" s="32"/>
      <c r="BO12" s="32"/>
      <c r="BP12" s="32"/>
      <c r="BQ12" s="32"/>
      <c r="BR12" s="32"/>
      <c r="BS12" s="32"/>
      <c r="BT12" s="32"/>
      <c r="BU12" s="32"/>
    </row>
    <row r="13">
      <c r="A13" s="560" t="s">
        <v>768</v>
      </c>
      <c r="B13" s="560"/>
      <c r="C13" s="52">
        <f t="shared" ref="C13:E13" si="11">D13</f>
        <v>1072.043903</v>
      </c>
      <c r="D13" s="52">
        <f t="shared" si="11"/>
        <v>1072.043903</v>
      </c>
      <c r="E13" s="52">
        <f t="shared" si="11"/>
        <v>1072.043903</v>
      </c>
      <c r="F13" s="602">
        <f>$M$13*'Inflation GDP Population'!E$11/'Inflation GDP Population'!$L$11</f>
        <v>1072.043903</v>
      </c>
      <c r="G13" s="602">
        <f>$M$13*'Inflation GDP Population'!F$11/'Inflation GDP Population'!$L$11</f>
        <v>1099.202348</v>
      </c>
      <c r="H13" s="602">
        <f>$M$13*'Inflation GDP Population'!G$11/'Inflation GDP Population'!$L$11</f>
        <v>1148.15902</v>
      </c>
      <c r="I13" s="602">
        <f>$M$13*'Inflation GDP Population'!H$11/'Inflation GDP Population'!$L$11</f>
        <v>1234.011869</v>
      </c>
      <c r="J13" s="602">
        <f>$M$13*'Inflation GDP Population'!I$11/'Inflation GDP Population'!$L$11</f>
        <v>1274.302852</v>
      </c>
      <c r="K13" s="602">
        <f>$M$13*'Inflation GDP Population'!J$11/'Inflation GDP Population'!$L$11</f>
        <v>1338.178802</v>
      </c>
      <c r="L13" s="602">
        <f>$M$13*'Inflation GDP Population'!K$11/'Inflation GDP Population'!$L$11</f>
        <v>1369.178738</v>
      </c>
      <c r="M13" s="603">
        <v>1400.0</v>
      </c>
      <c r="N13" s="602">
        <f>$M$13*'Inflation GDP Population'!M$11/'Inflation GDP Population'!$L$11</f>
        <v>1435.824134</v>
      </c>
      <c r="O13" s="602">
        <f>$M$13*'Inflation GDP Population'!N$11/'Inflation GDP Population'!$L$11</f>
        <v>1450.922085</v>
      </c>
      <c r="P13" s="602">
        <f>$M$13*'Inflation GDP Population'!O$11/'Inflation GDP Population'!$L$11</f>
        <v>1471.112246</v>
      </c>
      <c r="Q13" s="602">
        <f>$M$13*'Inflation GDP Population'!P$11/'Inflation GDP Population'!$L$11</f>
        <v>1526.769192</v>
      </c>
      <c r="R13" s="602">
        <f>$M$13*'Inflation GDP Population'!Q$11/'Inflation GDP Population'!$L$11</f>
        <v>1552.676919</v>
      </c>
      <c r="S13" s="602">
        <f>$M$13*'Inflation GDP Population'!R$11/'Inflation GDP Population'!$L$11</f>
        <v>1535.702891</v>
      </c>
      <c r="T13" s="602">
        <f>$M$13*'Inflation GDP Population'!S$11/'Inflation GDP Population'!$L$11</f>
        <v>1598.417459</v>
      </c>
      <c r="U13" s="602">
        <f>$M$13*'Inflation GDP Population'!T$11/'Inflation GDP Population'!$L$11</f>
        <v>1618.607619</v>
      </c>
      <c r="V13" s="605">
        <f>$M$13*'Inflation GDP Population'!U$18/'Inflation GDP Population'!$L$18</f>
        <v>1639.814936</v>
      </c>
      <c r="W13" s="605">
        <f>$M$13*'Inflation GDP Population'!V$18/'Inflation GDP Population'!$L$18</f>
        <v>1671.806044</v>
      </c>
      <c r="X13" s="605">
        <f>$M$13*'Inflation GDP Population'!W$18/'Inflation GDP Population'!$L$18</f>
        <v>1704.421266</v>
      </c>
      <c r="Y13" s="605">
        <f>$M$13*'Inflation GDP Population'!X$18/'Inflation GDP Population'!$L$18</f>
        <v>1737.672777</v>
      </c>
      <c r="Z13" s="605">
        <f>$M$13*'Inflation GDP Population'!Y$18/'Inflation GDP Population'!$L$18</f>
        <v>1771.572991</v>
      </c>
      <c r="AA13" s="605">
        <f>$M$13*'Inflation GDP Population'!Z$18/'Inflation GDP Population'!$L$18</f>
        <v>1806.134564</v>
      </c>
      <c r="AB13" s="605">
        <f>$M$13*'Inflation GDP Population'!AA$18/'Inflation GDP Population'!$L$18</f>
        <v>1841.370398</v>
      </c>
      <c r="AC13" s="605">
        <f>$M$13*'Inflation GDP Population'!AB$18/'Inflation GDP Population'!$L$18</f>
        <v>1877.293646</v>
      </c>
      <c r="AD13" s="605">
        <f>$M$13*'Inflation GDP Population'!AC$18/'Inflation GDP Population'!$L$18</f>
        <v>1913.917721</v>
      </c>
      <c r="AE13" s="605">
        <f>$M$13*'Inflation GDP Population'!AD$18/'Inflation GDP Population'!$L$18</f>
        <v>1951.256293</v>
      </c>
      <c r="AF13" s="605">
        <f>$M$13*'Inflation GDP Population'!AE$18/'Inflation GDP Population'!$L$18</f>
        <v>1989.323303</v>
      </c>
      <c r="AG13" s="605">
        <f>$M$13*'Inflation GDP Population'!AF$18/'Inflation GDP Population'!$L$18</f>
        <v>2028.132961</v>
      </c>
      <c r="AH13" s="605">
        <f>$M$13*'Inflation GDP Population'!AG$18/'Inflation GDP Population'!$L$18</f>
        <v>2067.699755</v>
      </c>
      <c r="AI13" s="605">
        <f>$M$13*'Inflation GDP Population'!AH$18/'Inflation GDP Population'!$L$18</f>
        <v>2108.038458</v>
      </c>
      <c r="AJ13" s="605">
        <f>$M$13*'Inflation GDP Population'!AI$18/'Inflation GDP Population'!$L$18</f>
        <v>2149.164127</v>
      </c>
      <c r="AK13" s="605">
        <f>$M$13*'Inflation GDP Population'!AJ$18/'Inflation GDP Population'!$L$18</f>
        <v>2191.092115</v>
      </c>
      <c r="AL13" s="605">
        <f>$M$13*'Inflation GDP Population'!AK$18/'Inflation GDP Population'!$L$18</f>
        <v>2233.838076</v>
      </c>
      <c r="AM13" s="605">
        <f>$M$13*'Inflation GDP Population'!AL$18/'Inflation GDP Population'!$L$18</f>
        <v>2277.417967</v>
      </c>
      <c r="AN13" s="605">
        <f>$M$13*'Inflation GDP Population'!AM$18/'Inflation GDP Population'!$L$18</f>
        <v>2321.848056</v>
      </c>
      <c r="AO13" s="605">
        <f>$M$13*'Inflation GDP Population'!AN$18/'Inflation GDP Population'!$L$18</f>
        <v>2367.144931</v>
      </c>
      <c r="AP13" s="605">
        <f>$M$13*'Inflation GDP Population'!AO$18/'Inflation GDP Population'!$L$18</f>
        <v>2413.325502</v>
      </c>
      <c r="AQ13" s="605">
        <f>$M$13*'Inflation GDP Population'!AP$18/'Inflation GDP Population'!$L$18</f>
        <v>2460.407008</v>
      </c>
      <c r="AR13" s="605">
        <f>$M$13*'Inflation GDP Population'!AQ$18/'Inflation GDP Population'!$L$18</f>
        <v>2508.407026</v>
      </c>
      <c r="AS13" s="605">
        <f>$M$13*'Inflation GDP Population'!AR$18/'Inflation GDP Population'!$L$18</f>
        <v>2557.343475</v>
      </c>
      <c r="AT13" s="605">
        <f>$M$13*'Inflation GDP Population'!AS$18/'Inflation GDP Population'!$L$18</f>
        <v>2607.234625</v>
      </c>
      <c r="AU13" s="605">
        <f>$M$13*'Inflation GDP Population'!AT$18/'Inflation GDP Population'!$L$18</f>
        <v>2658.099099</v>
      </c>
      <c r="AV13" s="605">
        <f>$M$13*'Inflation GDP Population'!AU$18/'Inflation GDP Population'!$L$18</f>
        <v>2709.955887</v>
      </c>
      <c r="AW13" s="605">
        <f>$M$13*'Inflation GDP Population'!AV$18/'Inflation GDP Population'!$L$18</f>
        <v>2762.824348</v>
      </c>
      <c r="AX13" s="605">
        <f>$M$13*'Inflation GDP Population'!AW$18/'Inflation GDP Population'!$L$18</f>
        <v>2816.724219</v>
      </c>
      <c r="AY13" s="605">
        <f>$M$13*'Inflation GDP Population'!AX$18/'Inflation GDP Population'!$L$18</f>
        <v>2871.67562</v>
      </c>
      <c r="AZ13" s="605">
        <f>$M$13*'Inflation GDP Population'!AY$18/'Inflation GDP Population'!$L$18</f>
        <v>2927.699067</v>
      </c>
      <c r="BA13" s="605">
        <f>$M$13*'Inflation GDP Population'!AZ$18/'Inflation GDP Population'!$L$18</f>
        <v>2984.815474</v>
      </c>
      <c r="BB13" s="32"/>
      <c r="BC13" s="32"/>
      <c r="BD13" s="32"/>
      <c r="BE13" s="32"/>
      <c r="BF13" s="32"/>
      <c r="BG13" s="32"/>
      <c r="BH13" s="32"/>
      <c r="BI13" s="32"/>
      <c r="BJ13" s="32"/>
      <c r="BK13" s="32"/>
      <c r="BL13" s="32"/>
      <c r="BM13" s="32"/>
      <c r="BN13" s="32"/>
      <c r="BO13" s="32"/>
      <c r="BP13" s="32"/>
      <c r="BQ13" s="32"/>
      <c r="BR13" s="32"/>
      <c r="BS13" s="32"/>
      <c r="BT13" s="32"/>
      <c r="BU13" s="32"/>
    </row>
    <row r="14">
      <c r="A14" s="560" t="s">
        <v>769</v>
      </c>
      <c r="B14" s="560" t="s">
        <v>770</v>
      </c>
      <c r="C14" s="606">
        <v>11.93</v>
      </c>
      <c r="D14" s="560"/>
      <c r="E14" s="607"/>
      <c r="F14" s="607"/>
      <c r="G14" s="607"/>
      <c r="H14" s="607"/>
      <c r="I14" s="607"/>
      <c r="J14" s="607"/>
      <c r="K14" s="607"/>
      <c r="L14" s="607"/>
      <c r="M14" s="607"/>
      <c r="N14" s="607"/>
      <c r="O14" s="607"/>
      <c r="P14" s="607"/>
      <c r="Q14" s="607"/>
      <c r="R14" s="607"/>
      <c r="S14" s="607"/>
      <c r="T14" s="607"/>
      <c r="U14" s="607"/>
      <c r="V14" s="607"/>
      <c r="W14" s="607"/>
      <c r="X14" s="607"/>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row>
    <row r="15">
      <c r="A15" s="560" t="s">
        <v>771</v>
      </c>
      <c r="B15" s="560" t="s">
        <v>770</v>
      </c>
      <c r="C15" s="606">
        <v>11.86</v>
      </c>
      <c r="D15" s="560"/>
      <c r="E15" s="607"/>
      <c r="F15" s="607"/>
      <c r="G15" s="607"/>
      <c r="H15" s="607"/>
      <c r="I15" s="607"/>
      <c r="J15" s="607"/>
      <c r="K15" s="607"/>
      <c r="L15" s="607"/>
      <c r="M15" s="607"/>
      <c r="N15" s="607"/>
      <c r="O15" s="607"/>
      <c r="P15" s="607"/>
      <c r="Q15" s="607"/>
      <c r="R15" s="607"/>
      <c r="S15" s="607"/>
      <c r="T15" s="607"/>
      <c r="U15" s="607"/>
      <c r="V15" s="607"/>
      <c r="W15" s="607"/>
      <c r="X15" s="607"/>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row>
    <row r="16">
      <c r="A16" s="560" t="s">
        <v>769</v>
      </c>
      <c r="B16" s="32" t="s">
        <v>760</v>
      </c>
      <c r="C16" s="606">
        <v>7.0</v>
      </c>
      <c r="D16" s="32"/>
      <c r="E16" s="560"/>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row>
    <row r="17">
      <c r="A17" s="560" t="s">
        <v>771</v>
      </c>
      <c r="B17" s="32" t="s">
        <v>760</v>
      </c>
      <c r="C17" s="606">
        <v>2.61</v>
      </c>
      <c r="D17" s="32"/>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row>
    <row r="18">
      <c r="A18" s="608" t="s">
        <v>74</v>
      </c>
      <c r="B18" s="609"/>
      <c r="C18" s="610">
        <v>0.4</v>
      </c>
      <c r="D18" s="601"/>
      <c r="E18" s="601"/>
      <c r="F18" s="601"/>
      <c r="G18" s="601"/>
      <c r="H18" s="601"/>
      <c r="I18" s="601"/>
      <c r="J18" s="601"/>
      <c r="K18" s="601"/>
      <c r="L18" s="601"/>
      <c r="M18" s="601"/>
      <c r="N18" s="601"/>
      <c r="O18" s="601"/>
      <c r="P18" s="601"/>
      <c r="Q18" s="601"/>
      <c r="R18" s="601"/>
      <c r="S18" s="601"/>
      <c r="T18" s="601"/>
      <c r="U18" s="601"/>
      <c r="V18" s="601"/>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row>
    <row r="19">
      <c r="A19" s="608" t="s">
        <v>76</v>
      </c>
      <c r="B19" s="609"/>
      <c r="C19" s="610">
        <v>0.6</v>
      </c>
      <c r="D19" s="601"/>
      <c r="E19" s="601"/>
      <c r="F19" s="601"/>
      <c r="G19" s="601"/>
      <c r="H19" s="601"/>
      <c r="I19" s="601"/>
      <c r="J19" s="601"/>
      <c r="K19" s="601"/>
      <c r="L19" s="601"/>
      <c r="M19" s="601"/>
      <c r="N19" s="601"/>
      <c r="O19" s="601"/>
      <c r="P19" s="601"/>
      <c r="Q19" s="601"/>
      <c r="R19" s="601"/>
      <c r="S19" s="601"/>
      <c r="T19" s="601"/>
      <c r="U19" s="601"/>
      <c r="V19" s="601"/>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row>
    <row r="20">
      <c r="A20" s="608" t="s">
        <v>78</v>
      </c>
      <c r="B20" s="609"/>
      <c r="C20" s="610">
        <v>0.0475</v>
      </c>
      <c r="D20" s="601"/>
      <c r="E20" s="601"/>
      <c r="F20" s="601"/>
      <c r="G20" s="601"/>
      <c r="H20" s="601"/>
      <c r="I20" s="601"/>
      <c r="J20" s="601"/>
      <c r="K20" s="601"/>
      <c r="L20" s="601"/>
      <c r="M20" s="601"/>
      <c r="N20" s="601"/>
      <c r="O20" s="601"/>
      <c r="P20" s="601"/>
      <c r="Q20" s="601"/>
      <c r="R20" s="601"/>
      <c r="S20" s="601"/>
      <c r="T20" s="601"/>
      <c r="U20" s="601"/>
      <c r="V20" s="601"/>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row>
    <row r="21">
      <c r="A21" s="608" t="s">
        <v>80</v>
      </c>
      <c r="B21" s="609"/>
      <c r="C21" s="610">
        <v>0.08</v>
      </c>
      <c r="D21" s="601"/>
      <c r="E21" s="601"/>
      <c r="F21" s="601"/>
      <c r="G21" s="601"/>
      <c r="H21" s="601"/>
      <c r="I21" s="601"/>
      <c r="J21" s="601"/>
      <c r="K21" s="601"/>
      <c r="L21" s="601"/>
      <c r="M21" s="601"/>
      <c r="N21" s="601"/>
      <c r="O21" s="601"/>
      <c r="P21" s="601"/>
      <c r="Q21" s="601"/>
      <c r="R21" s="601"/>
      <c r="S21" s="601"/>
      <c r="T21" s="601"/>
      <c r="U21" s="601"/>
      <c r="V21" s="601"/>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row>
    <row r="22">
      <c r="A22" s="608" t="s">
        <v>82</v>
      </c>
      <c r="B22" s="411"/>
      <c r="C22" s="611">
        <v>0.067</v>
      </c>
      <c r="D22" s="410"/>
      <c r="E22" s="410"/>
      <c r="F22" s="410"/>
      <c r="G22" s="410"/>
      <c r="H22" s="410"/>
      <c r="I22" s="410"/>
      <c r="J22" s="410"/>
      <c r="K22" s="410"/>
      <c r="L22" s="410"/>
      <c r="M22" s="410"/>
      <c r="N22" s="410"/>
      <c r="O22" s="410"/>
      <c r="P22" s="410"/>
      <c r="Q22" s="410"/>
      <c r="R22" s="410"/>
      <c r="S22" s="410"/>
      <c r="T22" s="410"/>
      <c r="U22" s="410"/>
      <c r="V22" s="410"/>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row>
    <row r="23">
      <c r="A23" s="612" t="s">
        <v>84</v>
      </c>
      <c r="B23" s="31"/>
      <c r="C23" s="613">
        <v>15.0</v>
      </c>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row>
    <row r="24">
      <c r="A24" s="608" t="s">
        <v>772</v>
      </c>
      <c r="B24" s="609"/>
      <c r="C24" s="610">
        <v>0.0375</v>
      </c>
      <c r="D24" s="610">
        <v>0.0722</v>
      </c>
      <c r="E24" s="610">
        <v>0.0668</v>
      </c>
      <c r="F24" s="610">
        <v>0.0618</v>
      </c>
      <c r="G24" s="610">
        <v>0.0571</v>
      </c>
      <c r="H24" s="610">
        <v>0.0529</v>
      </c>
      <c r="I24" s="610">
        <v>0.0489</v>
      </c>
      <c r="J24" s="610">
        <v>0.0452</v>
      </c>
      <c r="K24" s="610">
        <v>0.0446</v>
      </c>
      <c r="L24" s="610">
        <v>0.0446</v>
      </c>
      <c r="M24" s="610">
        <v>0.0446</v>
      </c>
      <c r="N24" s="610">
        <v>0.0446</v>
      </c>
      <c r="O24" s="610">
        <v>0.0446</v>
      </c>
      <c r="P24" s="610">
        <v>0.0446</v>
      </c>
      <c r="Q24" s="610">
        <v>0.0446</v>
      </c>
      <c r="R24" s="610">
        <v>0.0446</v>
      </c>
      <c r="S24" s="610">
        <v>0.0446</v>
      </c>
      <c r="T24" s="610">
        <v>0.0446</v>
      </c>
      <c r="U24" s="610">
        <v>0.0446</v>
      </c>
      <c r="V24" s="610">
        <v>0.0446</v>
      </c>
      <c r="W24" s="610">
        <v>0.0223</v>
      </c>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row>
    <row r="25">
      <c r="A25" s="608" t="s">
        <v>773</v>
      </c>
      <c r="B25" s="609"/>
      <c r="C25" s="610">
        <v>0.0333</v>
      </c>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row>
    <row r="26">
      <c r="A26" s="614" t="s">
        <v>112</v>
      </c>
      <c r="B26" s="410"/>
      <c r="C26" s="410">
        <v>0.35</v>
      </c>
      <c r="D26" s="410">
        <v>0.35</v>
      </c>
      <c r="E26" s="410">
        <v>0.35</v>
      </c>
      <c r="F26" s="410">
        <v>0.35</v>
      </c>
      <c r="G26" s="410">
        <v>0.35</v>
      </c>
      <c r="H26" s="410">
        <v>0.35</v>
      </c>
      <c r="I26" s="410">
        <v>0.35</v>
      </c>
      <c r="J26" s="410">
        <v>0.35</v>
      </c>
      <c r="K26" s="410">
        <v>0.35</v>
      </c>
      <c r="L26" s="410">
        <v>0.35</v>
      </c>
      <c r="M26" s="410">
        <v>0.35</v>
      </c>
      <c r="N26" s="410">
        <v>0.35</v>
      </c>
      <c r="O26" s="410">
        <v>0.35</v>
      </c>
      <c r="P26" s="410">
        <v>0.35</v>
      </c>
      <c r="Q26" s="410">
        <v>0.35</v>
      </c>
      <c r="R26" s="410">
        <v>0.35</v>
      </c>
      <c r="S26" s="410">
        <v>0.35</v>
      </c>
      <c r="T26" s="410">
        <v>0.35</v>
      </c>
      <c r="U26" s="410">
        <v>0.21</v>
      </c>
      <c r="V26" s="615">
        <v>0.21</v>
      </c>
      <c r="W26" s="611">
        <v>0.21</v>
      </c>
      <c r="X26" s="616">
        <v>0.21</v>
      </c>
      <c r="Y26" s="616">
        <v>0.21</v>
      </c>
      <c r="Z26" s="616">
        <v>0.21</v>
      </c>
      <c r="AA26" s="616">
        <v>0.21</v>
      </c>
      <c r="AB26" s="616">
        <v>0.21</v>
      </c>
      <c r="AC26" s="616">
        <v>0.21</v>
      </c>
      <c r="AD26" s="616">
        <v>0.21</v>
      </c>
      <c r="AE26" s="616">
        <v>0.21</v>
      </c>
      <c r="AF26" s="616">
        <v>0.21</v>
      </c>
      <c r="AG26" s="616">
        <v>0.21</v>
      </c>
      <c r="AH26" s="616">
        <v>0.21</v>
      </c>
      <c r="AI26" s="616">
        <v>0.21</v>
      </c>
      <c r="AJ26" s="616">
        <v>0.21</v>
      </c>
      <c r="AK26" s="616">
        <v>0.21</v>
      </c>
      <c r="AL26" s="616">
        <v>0.21</v>
      </c>
      <c r="AM26" s="616">
        <v>0.21</v>
      </c>
      <c r="AN26" s="616">
        <v>0.21</v>
      </c>
      <c r="AO26" s="616">
        <v>0.21</v>
      </c>
      <c r="AP26" s="616">
        <v>0.21</v>
      </c>
      <c r="AQ26" s="616">
        <v>0.21</v>
      </c>
      <c r="AR26" s="616">
        <v>0.21</v>
      </c>
      <c r="AS26" s="616">
        <v>0.21</v>
      </c>
      <c r="AT26" s="616">
        <v>0.21</v>
      </c>
      <c r="AU26" s="616">
        <v>0.21</v>
      </c>
      <c r="AV26" s="616">
        <v>0.21</v>
      </c>
      <c r="AW26" s="616">
        <v>0.21</v>
      </c>
      <c r="AX26" s="616">
        <v>0.21</v>
      </c>
      <c r="AY26" s="616">
        <v>0.21</v>
      </c>
      <c r="AZ26" s="616">
        <v>0.21</v>
      </c>
      <c r="BA26" s="616">
        <v>0.21</v>
      </c>
      <c r="BB26" s="32"/>
      <c r="BC26" s="32"/>
      <c r="BD26" s="32"/>
      <c r="BE26" s="32"/>
      <c r="BF26" s="32"/>
      <c r="BG26" s="32"/>
      <c r="BH26" s="32"/>
      <c r="BI26" s="32"/>
      <c r="BJ26" s="32"/>
      <c r="BK26" s="32"/>
      <c r="BL26" s="32"/>
      <c r="BM26" s="32"/>
      <c r="BN26" s="32"/>
      <c r="BO26" s="32"/>
      <c r="BP26" s="32"/>
      <c r="BQ26" s="32"/>
      <c r="BR26" s="32"/>
      <c r="BS26" s="32"/>
      <c r="BT26" s="32"/>
      <c r="BU26" s="32"/>
    </row>
    <row r="27">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row>
    <row r="28">
      <c r="A28" s="447" t="s">
        <v>774</v>
      </c>
      <c r="B28" s="560" t="s">
        <v>775</v>
      </c>
      <c r="C28" s="617">
        <v>64985.0</v>
      </c>
      <c r="D28" s="617">
        <v>64749.0</v>
      </c>
      <c r="E28" s="617">
        <v>67437.0</v>
      </c>
      <c r="F28" s="617">
        <v>65479.0</v>
      </c>
      <c r="G28" s="617">
        <v>66109.0</v>
      </c>
      <c r="H28" s="617">
        <v>70240.0</v>
      </c>
      <c r="I28" s="617">
        <v>70182.0</v>
      </c>
      <c r="J28" s="617">
        <v>72490.0</v>
      </c>
      <c r="K28" s="617">
        <v>69810.0</v>
      </c>
      <c r="L28" s="617">
        <v>66506.0</v>
      </c>
      <c r="M28" s="617">
        <v>70107.0</v>
      </c>
      <c r="N28" s="617">
        <v>69786.0</v>
      </c>
      <c r="O28" s="617">
        <v>68837.0</v>
      </c>
      <c r="P28" s="617">
        <v>74169.0</v>
      </c>
      <c r="Q28" s="617">
        <v>72113.0</v>
      </c>
      <c r="R28" s="617">
        <v>74450.0</v>
      </c>
      <c r="S28" s="617">
        <v>70911.0</v>
      </c>
    </row>
    <row r="29">
      <c r="A29" s="447" t="s">
        <v>776</v>
      </c>
      <c r="B29" s="560" t="s">
        <v>775</v>
      </c>
      <c r="C29" s="618">
        <v>2.880866E8</v>
      </c>
      <c r="D29" s="618">
        <v>2.79511776E8</v>
      </c>
      <c r="E29" s="618">
        <v>2.91223724E8</v>
      </c>
      <c r="F29" s="618">
        <v>2.88619519E8</v>
      </c>
      <c r="G29" s="618">
        <v>2.9884353E8</v>
      </c>
      <c r="H29" s="618">
        <v>3.01240541E8</v>
      </c>
      <c r="I29" s="618">
        <v>3.0361031E8</v>
      </c>
      <c r="J29" s="618">
        <v>3.07845141E8</v>
      </c>
      <c r="K29" s="618">
        <v>3.01484273E8</v>
      </c>
      <c r="L29" s="618">
        <v>2.89402774E8</v>
      </c>
      <c r="M29" s="618">
        <v>3.1118298E8</v>
      </c>
      <c r="N29" s="618">
        <v>3.00620126E8</v>
      </c>
      <c r="O29" s="618">
        <v>2.94113864E8</v>
      </c>
      <c r="P29" s="618">
        <v>2.95762756E8</v>
      </c>
      <c r="Q29" s="618">
        <v>3.04539814E8</v>
      </c>
      <c r="R29" s="618">
        <v>3.03777755E8</v>
      </c>
      <c r="S29" s="618">
        <v>3.05394723E8</v>
      </c>
    </row>
    <row r="30">
      <c r="A30" s="560" t="s">
        <v>777</v>
      </c>
      <c r="B30" s="560"/>
      <c r="C30" s="619">
        <f t="shared" ref="C30:S30" si="12">sum(C33:C38)*10^9/C7</f>
        <v>887.4546931</v>
      </c>
      <c r="D30" s="619">
        <f t="shared" si="12"/>
        <v>877.9054332</v>
      </c>
      <c r="E30" s="619">
        <f t="shared" si="12"/>
        <v>866.164933</v>
      </c>
      <c r="F30" s="619">
        <f t="shared" si="12"/>
        <v>836.616155</v>
      </c>
      <c r="G30" s="619">
        <f t="shared" si="12"/>
        <v>855.7768803</v>
      </c>
      <c r="H30" s="619">
        <f t="shared" si="12"/>
        <v>830.1464808</v>
      </c>
      <c r="I30" s="619">
        <f t="shared" si="12"/>
        <v>996.6585417</v>
      </c>
      <c r="J30" s="619">
        <f t="shared" si="12"/>
        <v>847.8544654</v>
      </c>
      <c r="K30" s="619">
        <f t="shared" si="12"/>
        <v>828.4903396</v>
      </c>
      <c r="L30" s="619">
        <f t="shared" si="12"/>
        <v>781.3051553</v>
      </c>
      <c r="M30" s="619">
        <f t="shared" si="12"/>
        <v>842.6661698</v>
      </c>
      <c r="N30" s="619">
        <f t="shared" si="12"/>
        <v>844.6350604</v>
      </c>
      <c r="O30" s="619">
        <f t="shared" si="12"/>
        <v>837.0742508</v>
      </c>
      <c r="P30" s="619">
        <f t="shared" si="12"/>
        <v>854.8123056</v>
      </c>
      <c r="Q30" s="619">
        <f t="shared" si="12"/>
        <v>837.9060053</v>
      </c>
      <c r="R30" s="619">
        <f t="shared" si="12"/>
        <v>853.0405637</v>
      </c>
      <c r="S30" s="619">
        <f t="shared" si="12"/>
        <v>899.3260043</v>
      </c>
      <c r="W30" s="620"/>
      <c r="X30" s="620"/>
      <c r="Y30" s="620"/>
      <c r="Z30" s="620"/>
      <c r="AA30" s="620"/>
      <c r="AB30" s="620"/>
      <c r="AC30" s="620"/>
      <c r="AD30" s="620"/>
      <c r="AE30" s="620"/>
      <c r="AF30" s="620"/>
      <c r="AG30" s="620"/>
      <c r="AH30" s="620"/>
      <c r="AI30" s="620"/>
      <c r="AJ30" s="620"/>
      <c r="AK30" s="620"/>
      <c r="AL30" s="620"/>
      <c r="AM30" s="620"/>
      <c r="AN30" s="620"/>
      <c r="AO30" s="620"/>
      <c r="AP30" s="620"/>
      <c r="AQ30" s="620"/>
      <c r="AR30" s="620"/>
      <c r="AS30" s="620"/>
      <c r="AT30" s="620"/>
      <c r="AU30" s="620"/>
      <c r="AV30" s="620"/>
      <c r="AW30" s="620"/>
      <c r="AX30" s="620"/>
      <c r="AY30" s="620"/>
      <c r="AZ30" s="620"/>
      <c r="BA30" s="620"/>
      <c r="BB30" s="620"/>
      <c r="BC30" s="32"/>
      <c r="BD30" s="32"/>
      <c r="BE30" s="32"/>
      <c r="BF30" s="32"/>
      <c r="BG30" s="32"/>
      <c r="BH30" s="32"/>
      <c r="BI30" s="32"/>
      <c r="BJ30" s="32"/>
      <c r="BK30" s="32"/>
      <c r="BL30" s="32"/>
      <c r="BM30" s="32"/>
      <c r="BN30" s="32"/>
      <c r="BO30" s="32"/>
      <c r="BP30" s="32"/>
      <c r="BQ30" s="32"/>
      <c r="BR30" s="32"/>
      <c r="BS30" s="32"/>
      <c r="BT30" s="32"/>
      <c r="BU30" s="32"/>
    </row>
    <row r="31">
      <c r="A31" s="560" t="s">
        <v>778</v>
      </c>
      <c r="B31" s="560"/>
      <c r="C31" s="621">
        <f t="shared" ref="C31:S31" si="13">sum(C33:C38)*10^9/(C28*10^3)</f>
        <v>105.9397623</v>
      </c>
      <c r="D31" s="621">
        <f t="shared" si="13"/>
        <v>108.6207069</v>
      </c>
      <c r="E31" s="621">
        <f t="shared" si="13"/>
        <v>104.6405639</v>
      </c>
      <c r="F31" s="621">
        <f t="shared" si="13"/>
        <v>105.3744361</v>
      </c>
      <c r="G31" s="621">
        <f t="shared" si="13"/>
        <v>108.6323112</v>
      </c>
      <c r="H31" s="621">
        <f t="shared" si="13"/>
        <v>99.68110329</v>
      </c>
      <c r="I31" s="621">
        <f t="shared" si="13"/>
        <v>123.948837</v>
      </c>
      <c r="J31" s="621">
        <f t="shared" si="13"/>
        <v>102.1179357</v>
      </c>
      <c r="K31" s="621">
        <f t="shared" si="13"/>
        <v>104.8721372</v>
      </c>
      <c r="L31" s="621">
        <f t="shared" si="13"/>
        <v>104.3047081</v>
      </c>
      <c r="M31" s="621">
        <f t="shared" si="13"/>
        <v>106.7325223</v>
      </c>
      <c r="N31" s="621">
        <f t="shared" si="13"/>
        <v>107.6881744</v>
      </c>
      <c r="O31" s="621">
        <f t="shared" si="13"/>
        <v>108.7957334</v>
      </c>
      <c r="P31" s="621">
        <f t="shared" si="13"/>
        <v>103.8031813</v>
      </c>
      <c r="Q31" s="621">
        <f t="shared" si="13"/>
        <v>105.5489325</v>
      </c>
      <c r="R31" s="621">
        <f t="shared" si="13"/>
        <v>105.2367441</v>
      </c>
      <c r="S31" s="621">
        <f t="shared" si="13"/>
        <v>117.8541421</v>
      </c>
      <c r="W31" s="620"/>
      <c r="X31" s="620"/>
      <c r="Y31" s="620"/>
      <c r="Z31" s="620"/>
      <c r="AA31" s="620"/>
      <c r="AB31" s="620"/>
      <c r="AC31" s="620"/>
      <c r="AD31" s="620"/>
      <c r="AE31" s="620"/>
      <c r="AF31" s="620"/>
      <c r="AG31" s="620"/>
      <c r="AH31" s="620"/>
      <c r="AI31" s="620"/>
      <c r="AJ31" s="620"/>
      <c r="AK31" s="620"/>
      <c r="AL31" s="620"/>
      <c r="AM31" s="620"/>
      <c r="AN31" s="620"/>
      <c r="AO31" s="620"/>
      <c r="AP31" s="620"/>
      <c r="AQ31" s="620"/>
      <c r="AR31" s="620"/>
      <c r="AS31" s="620"/>
      <c r="AT31" s="620"/>
      <c r="AU31" s="620"/>
      <c r="AV31" s="620"/>
      <c r="AW31" s="620"/>
      <c r="AX31" s="620"/>
      <c r="AY31" s="620"/>
      <c r="AZ31" s="620"/>
      <c r="BA31" s="620"/>
      <c r="BB31" s="620"/>
      <c r="BC31" s="32"/>
      <c r="BD31" s="32"/>
      <c r="BE31" s="32"/>
      <c r="BF31" s="32"/>
      <c r="BG31" s="32"/>
      <c r="BH31" s="32"/>
      <c r="BI31" s="32"/>
      <c r="BJ31" s="32"/>
      <c r="BK31" s="32"/>
      <c r="BL31" s="32"/>
      <c r="BM31" s="32"/>
      <c r="BN31" s="32"/>
      <c r="BO31" s="32"/>
      <c r="BP31" s="32"/>
      <c r="BQ31" s="32"/>
      <c r="BR31" s="32"/>
      <c r="BS31" s="32"/>
      <c r="BT31" s="32"/>
      <c r="BU31" s="32"/>
    </row>
    <row r="32">
      <c r="A32" s="560" t="s">
        <v>779</v>
      </c>
      <c r="B32" s="560"/>
      <c r="C32" s="621">
        <f t="shared" ref="C32:S32" si="14">sum(C33:C38)*10^9*100/(C29*10^3)</f>
        <v>2.389731231</v>
      </c>
      <c r="D32" s="621">
        <f t="shared" si="14"/>
        <v>2.516202449</v>
      </c>
      <c r="E32" s="621">
        <f t="shared" si="14"/>
        <v>2.423101254</v>
      </c>
      <c r="F32" s="621">
        <f t="shared" si="14"/>
        <v>2.390625806</v>
      </c>
      <c r="G32" s="621">
        <f t="shared" si="14"/>
        <v>2.403121615</v>
      </c>
      <c r="H32" s="621">
        <f t="shared" si="14"/>
        <v>2.324255783</v>
      </c>
      <c r="I32" s="621">
        <f t="shared" si="14"/>
        <v>2.865178484</v>
      </c>
      <c r="J32" s="621">
        <f t="shared" si="14"/>
        <v>2.404627579</v>
      </c>
      <c r="K32" s="621">
        <f t="shared" si="14"/>
        <v>2.428360135</v>
      </c>
      <c r="L32" s="621">
        <f t="shared" si="14"/>
        <v>2.396966976</v>
      </c>
      <c r="M32" s="621">
        <f t="shared" si="14"/>
        <v>2.404597109</v>
      </c>
      <c r="N32" s="621">
        <f t="shared" si="14"/>
        <v>2.499874854</v>
      </c>
      <c r="O32" s="621">
        <f t="shared" si="14"/>
        <v>2.546351199</v>
      </c>
      <c r="P32" s="621">
        <f t="shared" si="14"/>
        <v>2.603092512</v>
      </c>
      <c r="Q32" s="621">
        <f t="shared" si="14"/>
        <v>2.499328437</v>
      </c>
      <c r="R32" s="621">
        <f t="shared" si="14"/>
        <v>2.579147246</v>
      </c>
      <c r="S32" s="621">
        <f t="shared" si="14"/>
        <v>2.736509324</v>
      </c>
      <c r="W32" s="620"/>
      <c r="X32" s="620"/>
      <c r="Y32" s="620"/>
      <c r="Z32" s="620"/>
      <c r="AA32" s="620"/>
      <c r="AB32" s="620"/>
      <c r="AC32" s="620"/>
      <c r="AD32" s="620"/>
      <c r="AE32" s="620"/>
      <c r="AF32" s="620"/>
      <c r="AG32" s="620"/>
      <c r="AH32" s="620"/>
      <c r="AI32" s="620"/>
      <c r="AJ32" s="620"/>
      <c r="AK32" s="620"/>
      <c r="AL32" s="620"/>
      <c r="AM32" s="620"/>
      <c r="AN32" s="620"/>
      <c r="AO32" s="620"/>
      <c r="AP32" s="620"/>
      <c r="AQ32" s="620"/>
      <c r="AR32" s="620"/>
      <c r="AS32" s="620"/>
      <c r="AT32" s="620"/>
      <c r="AU32" s="620"/>
      <c r="AV32" s="620"/>
      <c r="AW32" s="620"/>
      <c r="AX32" s="620"/>
      <c r="AY32" s="620"/>
      <c r="AZ32" s="620"/>
      <c r="BA32" s="620"/>
      <c r="BB32" s="620"/>
      <c r="BC32" s="32"/>
      <c r="BD32" s="32"/>
      <c r="BE32" s="32"/>
      <c r="BF32" s="32"/>
      <c r="BG32" s="32"/>
      <c r="BH32" s="32"/>
      <c r="BI32" s="32"/>
      <c r="BJ32" s="32"/>
      <c r="BK32" s="32"/>
      <c r="BL32" s="32"/>
      <c r="BM32" s="32"/>
      <c r="BN32" s="32"/>
      <c r="BO32" s="32"/>
      <c r="BP32" s="32"/>
      <c r="BQ32" s="32"/>
      <c r="BR32" s="32"/>
      <c r="BS32" s="32"/>
      <c r="BT32" s="32"/>
      <c r="BU32" s="32"/>
    </row>
    <row r="33">
      <c r="A33" s="560" t="s">
        <v>780</v>
      </c>
      <c r="B33" s="32" t="s">
        <v>760</v>
      </c>
      <c r="C33" s="571">
        <v>0.526311511966533</v>
      </c>
      <c r="D33" s="571">
        <v>0.816702824384528</v>
      </c>
      <c r="E33" s="571">
        <v>0.73022971223248</v>
      </c>
      <c r="F33" s="571">
        <v>0.744944046768731</v>
      </c>
      <c r="G33" s="571">
        <v>0.841238696306913</v>
      </c>
      <c r="H33" s="571">
        <v>0.63765685105029</v>
      </c>
      <c r="I33" s="571">
        <v>0.854599365771793</v>
      </c>
      <c r="J33" s="571">
        <v>0.833359729286593</v>
      </c>
      <c r="K33" s="571">
        <v>0.736636577159638</v>
      </c>
      <c r="L33" s="571">
        <v>0.660466601924002</v>
      </c>
      <c r="M33" s="571">
        <v>0.889230399440058</v>
      </c>
      <c r="N33" s="571">
        <v>0.987347319137282</v>
      </c>
      <c r="O33" s="571">
        <v>1.04740596003531</v>
      </c>
      <c r="P33" s="571">
        <v>1.21723030228751</v>
      </c>
      <c r="Q33" s="571">
        <v>1.05724591694549</v>
      </c>
      <c r="R33" s="571">
        <v>1.03799161944528</v>
      </c>
      <c r="S33" s="571">
        <v>1.07781845618042</v>
      </c>
      <c r="T33" s="620"/>
      <c r="U33" s="620"/>
      <c r="V33" s="620"/>
      <c r="W33" s="620"/>
      <c r="X33" s="620"/>
      <c r="Y33" s="620"/>
      <c r="Z33" s="620"/>
      <c r="AA33" s="620"/>
      <c r="AB33" s="620"/>
      <c r="AC33" s="620"/>
      <c r="AD33" s="620"/>
      <c r="AE33" s="620"/>
      <c r="AF33" s="620"/>
      <c r="AG33" s="620"/>
      <c r="AH33" s="620"/>
      <c r="AI33" s="620"/>
      <c r="AJ33" s="620"/>
      <c r="AK33" s="620"/>
      <c r="AL33" s="620"/>
      <c r="AM33" s="620"/>
      <c r="AN33" s="620"/>
      <c r="AO33" s="620"/>
      <c r="AP33" s="620"/>
      <c r="AQ33" s="620"/>
      <c r="AR33" s="620"/>
      <c r="AS33" s="620"/>
      <c r="AT33" s="620"/>
      <c r="AU33" s="620"/>
      <c r="AV33" s="620"/>
      <c r="AW33" s="620"/>
      <c r="AX33" s="620"/>
      <c r="AY33" s="620"/>
      <c r="AZ33" s="620"/>
      <c r="BA33" s="620"/>
      <c r="BB33" s="620"/>
      <c r="BC33" s="32"/>
      <c r="BD33" s="32"/>
      <c r="BE33" s="32"/>
      <c r="BF33" s="32"/>
      <c r="BG33" s="32"/>
      <c r="BH33" s="32"/>
      <c r="BI33" s="32"/>
      <c r="BJ33" s="32"/>
      <c r="BK33" s="32"/>
      <c r="BL33" s="32"/>
      <c r="BM33" s="32"/>
      <c r="BN33" s="32"/>
      <c r="BO33" s="32"/>
      <c r="BP33" s="32"/>
      <c r="BQ33" s="32"/>
      <c r="BR33" s="32"/>
      <c r="BS33" s="32"/>
      <c r="BT33" s="32"/>
      <c r="BU33" s="32"/>
    </row>
    <row r="34">
      <c r="A34" s="560" t="s">
        <v>780</v>
      </c>
      <c r="B34" s="560" t="s">
        <v>781</v>
      </c>
      <c r="C34" s="571">
        <v>1.78233436604117</v>
      </c>
      <c r="D34" s="571">
        <v>1.81520780056495</v>
      </c>
      <c r="E34" s="571">
        <v>1.76300092783801</v>
      </c>
      <c r="F34" s="571">
        <v>1.66481514799784</v>
      </c>
      <c r="G34" s="571">
        <v>1.820989784027</v>
      </c>
      <c r="H34" s="571">
        <v>1.73647408102448</v>
      </c>
      <c r="I34" s="571">
        <v>2.57486882904034</v>
      </c>
      <c r="J34" s="571">
        <v>1.97548501085756</v>
      </c>
      <c r="K34" s="571">
        <v>2.01126590334887</v>
      </c>
      <c r="L34" s="571">
        <v>1.75911292736413</v>
      </c>
      <c r="M34" s="571">
        <v>1.63537985085616</v>
      </c>
      <c r="N34" s="571">
        <v>1.65502571949686</v>
      </c>
      <c r="O34" s="571">
        <v>1.61594557194718</v>
      </c>
      <c r="P34" s="571">
        <v>1.5411774521984</v>
      </c>
      <c r="Q34" s="571">
        <v>1.69158127385894</v>
      </c>
      <c r="R34" s="571">
        <v>1.87907328481289</v>
      </c>
      <c r="S34" s="571">
        <v>2.20330401866896</v>
      </c>
      <c r="T34" s="620"/>
      <c r="U34" s="620"/>
      <c r="V34" s="620"/>
      <c r="W34" s="620"/>
      <c r="X34" s="620"/>
      <c r="Y34" s="620"/>
      <c r="Z34" s="620"/>
      <c r="AA34" s="620"/>
      <c r="AB34" s="620"/>
      <c r="AC34" s="620"/>
      <c r="AD34" s="620"/>
      <c r="AE34" s="620"/>
      <c r="AF34" s="620"/>
      <c r="AG34" s="620"/>
      <c r="AH34" s="620"/>
      <c r="AI34" s="620"/>
      <c r="AJ34" s="620"/>
      <c r="AK34" s="620"/>
      <c r="AL34" s="620"/>
      <c r="AM34" s="620"/>
      <c r="AN34" s="620"/>
      <c r="AO34" s="620"/>
      <c r="AP34" s="620"/>
      <c r="AQ34" s="620"/>
      <c r="AR34" s="620"/>
      <c r="AS34" s="620"/>
      <c r="AT34" s="620"/>
      <c r="AU34" s="620"/>
      <c r="AV34" s="620"/>
      <c r="AW34" s="620"/>
      <c r="AX34" s="620"/>
      <c r="AY34" s="620"/>
      <c r="AZ34" s="620"/>
      <c r="BA34" s="620"/>
      <c r="BB34" s="620"/>
      <c r="BC34" s="32"/>
      <c r="BD34" s="32"/>
      <c r="BE34" s="32"/>
      <c r="BF34" s="32"/>
      <c r="BG34" s="32"/>
      <c r="BH34" s="32"/>
      <c r="BI34" s="32"/>
      <c r="BJ34" s="32"/>
      <c r="BK34" s="32"/>
      <c r="BL34" s="32"/>
      <c r="BM34" s="32"/>
      <c r="BN34" s="32"/>
      <c r="BO34" s="32"/>
      <c r="BP34" s="32"/>
      <c r="BQ34" s="32"/>
      <c r="BR34" s="32"/>
      <c r="BS34" s="32"/>
      <c r="BT34" s="32"/>
      <c r="BU34" s="32"/>
    </row>
    <row r="35">
      <c r="A35" s="560" t="s">
        <v>780</v>
      </c>
      <c r="B35" s="560" t="s">
        <v>782</v>
      </c>
      <c r="C35" s="571">
        <v>0.277907322421126</v>
      </c>
      <c r="D35" s="571">
        <v>0.303108124262595</v>
      </c>
      <c r="E35" s="571">
        <v>0.238286504119873</v>
      </c>
      <c r="F35" s="571">
        <v>0.301452751023205</v>
      </c>
      <c r="G35" s="571">
        <v>0.301695079216621</v>
      </c>
      <c r="H35" s="571">
        <v>0.218344032510177</v>
      </c>
      <c r="I35" s="571">
        <v>0.511283066920064</v>
      </c>
      <c r="J35" s="571">
        <v>0.340918260763741</v>
      </c>
      <c r="K35" s="571">
        <v>0.375540682899706</v>
      </c>
      <c r="L35" s="571">
        <v>0.420309371008564</v>
      </c>
      <c r="M35" s="571">
        <v>0.390845766641641</v>
      </c>
      <c r="N35" s="571">
        <v>0.547800879832181</v>
      </c>
      <c r="O35" s="571">
        <v>0.554291885136759</v>
      </c>
      <c r="P35" s="571">
        <v>0.670387404005892</v>
      </c>
      <c r="Q35" s="571">
        <v>0.554851504625233</v>
      </c>
      <c r="R35" s="571">
        <v>0.580097600605416</v>
      </c>
      <c r="S35" s="571">
        <v>0.62919387852688</v>
      </c>
      <c r="T35" s="620"/>
      <c r="U35" s="620"/>
      <c r="V35" s="620"/>
      <c r="W35" s="620"/>
      <c r="X35" s="620"/>
      <c r="Y35" s="620"/>
      <c r="Z35" s="620"/>
      <c r="AA35" s="620"/>
      <c r="AB35" s="620"/>
      <c r="AC35" s="620"/>
      <c r="AD35" s="620"/>
      <c r="AE35" s="620"/>
      <c r="AF35" s="620"/>
      <c r="AG35" s="620"/>
      <c r="AH35" s="620"/>
      <c r="AI35" s="620"/>
      <c r="AJ35" s="620"/>
      <c r="AK35" s="620"/>
      <c r="AL35" s="620"/>
      <c r="AM35" s="620"/>
      <c r="AN35" s="620"/>
      <c r="AO35" s="620"/>
      <c r="AP35" s="620"/>
      <c r="AQ35" s="620"/>
      <c r="AR35" s="620"/>
      <c r="AS35" s="620"/>
      <c r="AT35" s="620"/>
      <c r="AU35" s="620"/>
      <c r="AV35" s="620"/>
      <c r="AW35" s="620"/>
      <c r="AX35" s="620"/>
      <c r="AY35" s="620"/>
      <c r="AZ35" s="620"/>
      <c r="BA35" s="620"/>
      <c r="BB35" s="620"/>
      <c r="BC35" s="32"/>
      <c r="BD35" s="32"/>
      <c r="BE35" s="32"/>
      <c r="BF35" s="32"/>
      <c r="BG35" s="32"/>
      <c r="BH35" s="32"/>
      <c r="BI35" s="32"/>
      <c r="BJ35" s="32"/>
      <c r="BK35" s="32"/>
      <c r="BL35" s="32"/>
      <c r="BM35" s="32"/>
      <c r="BN35" s="32"/>
      <c r="BO35" s="32"/>
      <c r="BP35" s="32"/>
      <c r="BQ35" s="32"/>
      <c r="BR35" s="32"/>
      <c r="BS35" s="32"/>
      <c r="BT35" s="32"/>
      <c r="BU35" s="32"/>
    </row>
    <row r="36">
      <c r="A36" s="560" t="s">
        <v>783</v>
      </c>
      <c r="B36" s="32" t="s">
        <v>760</v>
      </c>
      <c r="C36" s="571">
        <v>0.337016020432744</v>
      </c>
      <c r="D36" s="571">
        <v>0.343809298197689</v>
      </c>
      <c r="E36" s="571">
        <v>0.34273122189562</v>
      </c>
      <c r="F36" s="571">
        <v>0.347512863891267</v>
      </c>
      <c r="G36" s="571">
        <v>0.340887376998949</v>
      </c>
      <c r="H36" s="571">
        <v>0.360622686428749</v>
      </c>
      <c r="I36" s="571">
        <v>0.368652606044851</v>
      </c>
      <c r="J36" s="571">
        <v>0.371175839275559</v>
      </c>
      <c r="K36" s="571">
        <v>0.388251775484619</v>
      </c>
      <c r="L36" s="571">
        <v>0.369495624932384</v>
      </c>
      <c r="M36" s="571">
        <v>0.424461832745246</v>
      </c>
      <c r="N36" s="571">
        <v>0.393486978041267</v>
      </c>
      <c r="O36" s="571">
        <v>0.360243853337795</v>
      </c>
      <c r="P36" s="571">
        <v>0.362455295981796</v>
      </c>
      <c r="Q36" s="571">
        <v>0.392787425728789</v>
      </c>
      <c r="R36" s="571">
        <v>0.34509164853435</v>
      </c>
      <c r="S36" s="571">
        <v>0.395898285933224</v>
      </c>
      <c r="T36" s="620"/>
      <c r="U36" s="620"/>
      <c r="V36" s="620"/>
      <c r="W36" s="620"/>
      <c r="X36" s="620"/>
      <c r="Y36" s="620"/>
      <c r="Z36" s="620"/>
      <c r="AA36" s="620"/>
      <c r="AB36" s="620"/>
      <c r="AC36" s="620"/>
      <c r="AD36" s="620"/>
      <c r="AE36" s="620"/>
      <c r="AF36" s="620"/>
      <c r="AG36" s="620"/>
      <c r="AH36" s="620"/>
      <c r="AI36" s="620"/>
      <c r="AJ36" s="620"/>
      <c r="AK36" s="620"/>
      <c r="AL36" s="620"/>
      <c r="AM36" s="620"/>
      <c r="AN36" s="620"/>
      <c r="AO36" s="620"/>
      <c r="AP36" s="620"/>
      <c r="AQ36" s="620"/>
      <c r="AR36" s="620"/>
      <c r="AS36" s="620"/>
      <c r="AT36" s="620"/>
      <c r="AU36" s="620"/>
      <c r="AV36" s="620"/>
      <c r="AW36" s="620"/>
      <c r="AX36" s="620"/>
      <c r="AY36" s="620"/>
      <c r="AZ36" s="620"/>
      <c r="BA36" s="620"/>
      <c r="BB36" s="620"/>
      <c r="BC36" s="32"/>
      <c r="BD36" s="32"/>
      <c r="BE36" s="32"/>
      <c r="BF36" s="32"/>
      <c r="BG36" s="32"/>
      <c r="BH36" s="32"/>
      <c r="BI36" s="32"/>
      <c r="BJ36" s="32"/>
      <c r="BK36" s="32"/>
      <c r="BL36" s="32"/>
      <c r="BM36" s="32"/>
      <c r="BN36" s="32"/>
      <c r="BO36" s="32"/>
      <c r="BP36" s="32"/>
      <c r="BQ36" s="32"/>
      <c r="BR36" s="32"/>
      <c r="BS36" s="32"/>
      <c r="BT36" s="32"/>
      <c r="BU36" s="32"/>
    </row>
    <row r="37">
      <c r="A37" s="560" t="s">
        <v>783</v>
      </c>
      <c r="B37" s="560" t="s">
        <v>781</v>
      </c>
      <c r="C37" s="571">
        <v>0.939699202136065</v>
      </c>
      <c r="D37" s="571">
        <v>0.855773663815457</v>
      </c>
      <c r="E37" s="571">
        <v>1.0196769229139</v>
      </c>
      <c r="F37" s="571">
        <v>0.992777088207599</v>
      </c>
      <c r="G37" s="571">
        <v>0.993301509472696</v>
      </c>
      <c r="H37" s="571">
        <v>1.04524380905233</v>
      </c>
      <c r="I37" s="571">
        <v>0.993533384218049</v>
      </c>
      <c r="J37" s="571">
        <v>0.991376657741681</v>
      </c>
      <c r="K37" s="571">
        <v>0.951419390124102</v>
      </c>
      <c r="L37" s="571">
        <v>0.943097988379584</v>
      </c>
      <c r="M37" s="571">
        <v>1.04389042457471</v>
      </c>
      <c r="N37" s="571">
        <v>1.0003782130067</v>
      </c>
      <c r="O37" s="571">
        <v>0.88160156138021</v>
      </c>
      <c r="P37" s="571">
        <v>0.899059912651191</v>
      </c>
      <c r="Q37" s="571">
        <v>1.07330959029202</v>
      </c>
      <c r="R37" s="571">
        <v>1.00073954631047</v>
      </c>
      <c r="S37" s="571">
        <v>1.08289999894853</v>
      </c>
      <c r="T37" s="620"/>
      <c r="U37" s="620"/>
      <c r="V37" s="620"/>
      <c r="W37" s="620"/>
      <c r="X37" s="620"/>
      <c r="Y37" s="620"/>
      <c r="Z37" s="620"/>
      <c r="AA37" s="620"/>
      <c r="AB37" s="620"/>
      <c r="AC37" s="620"/>
      <c r="AD37" s="620"/>
      <c r="AE37" s="620"/>
      <c r="AF37" s="620"/>
      <c r="AG37" s="620"/>
      <c r="AH37" s="620"/>
      <c r="AI37" s="620"/>
      <c r="AJ37" s="620"/>
      <c r="AK37" s="620"/>
      <c r="AL37" s="620"/>
      <c r="AM37" s="620"/>
      <c r="AN37" s="620"/>
      <c r="AO37" s="620"/>
      <c r="AP37" s="620"/>
      <c r="AQ37" s="620"/>
      <c r="AR37" s="620"/>
      <c r="AS37" s="620"/>
      <c r="AT37" s="620"/>
      <c r="AU37" s="620"/>
      <c r="AV37" s="620"/>
      <c r="AW37" s="620"/>
      <c r="AX37" s="620"/>
      <c r="AY37" s="620"/>
      <c r="AZ37" s="620"/>
      <c r="BA37" s="620"/>
      <c r="BB37" s="620"/>
      <c r="BC37" s="32"/>
      <c r="BD37" s="32"/>
      <c r="BE37" s="32"/>
      <c r="BF37" s="32"/>
      <c r="BG37" s="32"/>
      <c r="BH37" s="32"/>
      <c r="BI37" s="32"/>
      <c r="BJ37" s="32"/>
      <c r="BK37" s="32"/>
      <c r="BL37" s="32"/>
      <c r="BM37" s="32"/>
      <c r="BN37" s="32"/>
      <c r="BO37" s="32"/>
      <c r="BP37" s="32"/>
      <c r="BQ37" s="32"/>
      <c r="BR37" s="32"/>
      <c r="BS37" s="32"/>
      <c r="BT37" s="32"/>
      <c r="BU37" s="32"/>
    </row>
    <row r="38">
      <c r="A38" s="560" t="s">
        <v>783</v>
      </c>
      <c r="B38" s="560" t="s">
        <v>782</v>
      </c>
      <c r="C38" s="571">
        <v>3.02122703026476</v>
      </c>
      <c r="D38" s="571">
        <v>2.89848044090206</v>
      </c>
      <c r="E38" s="571">
        <v>2.96272042016412</v>
      </c>
      <c r="F38" s="571">
        <v>2.84831080429661</v>
      </c>
      <c r="G38" s="571">
        <v>2.88346101725458</v>
      </c>
      <c r="H38" s="571">
        <v>3.00325923498334</v>
      </c>
      <c r="I38" s="571">
        <v>3.39604002532928</v>
      </c>
      <c r="J38" s="571">
        <v>2.89021366267426</v>
      </c>
      <c r="K38" s="571">
        <v>2.85800956869697</v>
      </c>
      <c r="L38" s="571">
        <v>2.78440640641076</v>
      </c>
      <c r="M38" s="571">
        <v>3.09888866800408</v>
      </c>
      <c r="N38" s="571">
        <v>2.93108782667631</v>
      </c>
      <c r="O38" s="571">
        <v>3.02968306971121</v>
      </c>
      <c r="P38" s="571">
        <v>3.0086677889807</v>
      </c>
      <c r="Q38" s="571">
        <v>2.84167446082689</v>
      </c>
      <c r="R38" s="571">
        <v>2.99188190153033</v>
      </c>
      <c r="S38" s="571">
        <v>2.96804043104902</v>
      </c>
      <c r="T38" s="620"/>
      <c r="U38" s="620"/>
      <c r="V38" s="620"/>
      <c r="W38" s="620"/>
      <c r="X38" s="620"/>
      <c r="Y38" s="620"/>
      <c r="Z38" s="620"/>
      <c r="AA38" s="620"/>
      <c r="AB38" s="620"/>
      <c r="AC38" s="620"/>
      <c r="AD38" s="620"/>
      <c r="AE38" s="620"/>
      <c r="AF38" s="620"/>
      <c r="AG38" s="620"/>
      <c r="AH38" s="620"/>
      <c r="AI38" s="620"/>
      <c r="AJ38" s="620"/>
      <c r="AK38" s="620"/>
      <c r="AL38" s="620"/>
      <c r="AM38" s="620"/>
      <c r="AN38" s="620"/>
      <c r="AO38" s="620"/>
      <c r="AP38" s="620"/>
      <c r="AQ38" s="620"/>
      <c r="AR38" s="620"/>
      <c r="AS38" s="620"/>
      <c r="AT38" s="620"/>
      <c r="AU38" s="620"/>
      <c r="AV38" s="620"/>
      <c r="AW38" s="620"/>
      <c r="AX38" s="620"/>
      <c r="AY38" s="620"/>
      <c r="AZ38" s="620"/>
      <c r="BA38" s="620"/>
      <c r="BB38" s="620"/>
      <c r="BC38" s="32"/>
      <c r="BD38" s="32"/>
      <c r="BE38" s="32"/>
      <c r="BF38" s="32"/>
      <c r="BG38" s="32"/>
      <c r="BH38" s="32"/>
      <c r="BI38" s="32"/>
      <c r="BJ38" s="32"/>
      <c r="BK38" s="32"/>
      <c r="BL38" s="32"/>
      <c r="BM38" s="32"/>
      <c r="BN38" s="32"/>
      <c r="BO38" s="32"/>
      <c r="BP38" s="32"/>
      <c r="BQ38" s="32"/>
      <c r="BR38" s="32"/>
      <c r="BS38" s="32"/>
      <c r="BT38" s="32"/>
      <c r="BU38" s="32"/>
    </row>
    <row r="39">
      <c r="A39" s="560" t="s">
        <v>784</v>
      </c>
      <c r="B39" s="32" t="s">
        <v>760</v>
      </c>
      <c r="C39" s="622">
        <f t="shared" ref="C39:S39" si="15">C33*C$8/C$7</f>
        <v>1.142977368</v>
      </c>
      <c r="D39" s="622">
        <f t="shared" si="15"/>
        <v>1.73735605</v>
      </c>
      <c r="E39" s="622">
        <f t="shared" si="15"/>
        <v>1.543517406</v>
      </c>
      <c r="F39" s="622">
        <f t="shared" si="15"/>
        <v>1.570912987</v>
      </c>
      <c r="G39" s="622">
        <f t="shared" si="15"/>
        <v>1.766139374</v>
      </c>
      <c r="H39" s="622">
        <f t="shared" si="15"/>
        <v>1.35128691</v>
      </c>
      <c r="I39" s="622">
        <f t="shared" si="15"/>
        <v>1.783935795</v>
      </c>
      <c r="J39" s="622">
        <f t="shared" si="15"/>
        <v>1.769698747</v>
      </c>
      <c r="K39" s="622">
        <f t="shared" si="15"/>
        <v>1.569483098</v>
      </c>
      <c r="L39" s="622">
        <f t="shared" si="15"/>
        <v>1.411263146</v>
      </c>
      <c r="M39" s="622">
        <f t="shared" si="15"/>
        <v>1.894327282</v>
      </c>
      <c r="N39" s="622">
        <f t="shared" si="15"/>
        <v>2.112023329</v>
      </c>
      <c r="O39" s="622">
        <f t="shared" si="15"/>
        <v>2.235509679</v>
      </c>
      <c r="P39" s="622">
        <f t="shared" si="15"/>
        <v>2.601655616</v>
      </c>
      <c r="Q39" s="622">
        <f t="shared" si="15"/>
        <v>2.250448201</v>
      </c>
      <c r="R39" s="622">
        <f t="shared" si="15"/>
        <v>2.208954356</v>
      </c>
      <c r="S39" s="622">
        <f t="shared" si="15"/>
        <v>2.293741388</v>
      </c>
      <c r="T39" s="620"/>
      <c r="U39" s="620"/>
      <c r="V39" s="620"/>
      <c r="W39" s="620"/>
      <c r="X39" s="620"/>
      <c r="Y39" s="620"/>
      <c r="Z39" s="620"/>
      <c r="AA39" s="620"/>
      <c r="AB39" s="620"/>
      <c r="AC39" s="620"/>
      <c r="AD39" s="620"/>
      <c r="AE39" s="620"/>
      <c r="AF39" s="620"/>
      <c r="AG39" s="620"/>
      <c r="AH39" s="620"/>
      <c r="AI39" s="620"/>
      <c r="AJ39" s="620"/>
      <c r="AK39" s="620"/>
      <c r="AL39" s="620"/>
      <c r="AM39" s="620"/>
      <c r="AN39" s="620"/>
      <c r="AO39" s="620"/>
      <c r="AP39" s="620"/>
      <c r="AQ39" s="620"/>
      <c r="AR39" s="620"/>
      <c r="AS39" s="620"/>
      <c r="AT39" s="620"/>
      <c r="AU39" s="620"/>
      <c r="AV39" s="620"/>
      <c r="AW39" s="620"/>
      <c r="AX39" s="620"/>
      <c r="AY39" s="620"/>
      <c r="AZ39" s="620"/>
      <c r="BA39" s="620"/>
      <c r="BB39" s="620"/>
      <c r="BC39" s="32"/>
      <c r="BD39" s="32"/>
      <c r="BE39" s="32"/>
      <c r="BF39" s="32"/>
      <c r="BG39" s="32"/>
      <c r="BH39" s="32"/>
      <c r="BI39" s="32"/>
      <c r="BJ39" s="32"/>
      <c r="BK39" s="32"/>
      <c r="BL39" s="32"/>
      <c r="BM39" s="32"/>
      <c r="BN39" s="32"/>
      <c r="BO39" s="32"/>
      <c r="BP39" s="32"/>
      <c r="BQ39" s="32"/>
      <c r="BR39" s="32"/>
      <c r="BS39" s="32"/>
      <c r="BT39" s="32"/>
      <c r="BU39" s="32"/>
    </row>
    <row r="40">
      <c r="A40" s="560" t="s">
        <v>784</v>
      </c>
      <c r="B40" s="560" t="s">
        <v>785</v>
      </c>
      <c r="C40" s="622">
        <f t="shared" ref="C40:S40" si="16">sum(C34:C35)*C$8/C$7</f>
        <v>4.474174647</v>
      </c>
      <c r="D40" s="622">
        <f t="shared" si="16"/>
        <v>4.50625231</v>
      </c>
      <c r="E40" s="622">
        <f t="shared" si="16"/>
        <v>4.230205831</v>
      </c>
      <c r="F40" s="622">
        <f t="shared" si="16"/>
        <v>4.14639971</v>
      </c>
      <c r="G40" s="622">
        <f t="shared" si="16"/>
        <v>4.456472738</v>
      </c>
      <c r="H40" s="622">
        <f t="shared" si="16"/>
        <v>4.14254175</v>
      </c>
      <c r="I40" s="622">
        <f t="shared" si="16"/>
        <v>6.442196257</v>
      </c>
      <c r="J40" s="622">
        <f t="shared" si="16"/>
        <v>4.919047351</v>
      </c>
      <c r="K40" s="622">
        <f t="shared" si="16"/>
        <v>5.085346983</v>
      </c>
      <c r="L40" s="622">
        <f t="shared" si="16"/>
        <v>4.656917338</v>
      </c>
      <c r="M40" s="622">
        <f t="shared" si="16"/>
        <v>4.316467891</v>
      </c>
      <c r="N40" s="622">
        <f t="shared" si="16"/>
        <v>4.71204112</v>
      </c>
      <c r="O40" s="622">
        <f t="shared" si="16"/>
        <v>4.632002325</v>
      </c>
      <c r="P40" s="622">
        <f t="shared" si="16"/>
        <v>4.72690346</v>
      </c>
      <c r="Q40" s="622">
        <f t="shared" si="16"/>
        <v>4.781745215</v>
      </c>
      <c r="R40" s="622">
        <f t="shared" si="16"/>
        <v>5.233371963</v>
      </c>
      <c r="S40" s="622">
        <f t="shared" si="16"/>
        <v>6.027933204</v>
      </c>
      <c r="T40" s="620"/>
      <c r="U40" s="620"/>
      <c r="V40" s="620"/>
      <c r="W40" s="620"/>
      <c r="X40" s="620"/>
      <c r="Y40" s="620"/>
      <c r="Z40" s="620"/>
      <c r="AA40" s="620"/>
      <c r="AB40" s="620"/>
      <c r="AC40" s="620"/>
      <c r="AD40" s="620"/>
      <c r="AE40" s="620"/>
      <c r="AF40" s="620"/>
      <c r="AG40" s="620"/>
      <c r="AH40" s="620"/>
      <c r="AI40" s="620"/>
      <c r="AJ40" s="620"/>
      <c r="AK40" s="620"/>
      <c r="AL40" s="620"/>
      <c r="AM40" s="620"/>
      <c r="AN40" s="620"/>
      <c r="AO40" s="620"/>
      <c r="AP40" s="620"/>
      <c r="AQ40" s="620"/>
      <c r="AR40" s="620"/>
      <c r="AS40" s="620"/>
      <c r="AT40" s="620"/>
      <c r="AU40" s="620"/>
      <c r="AV40" s="620"/>
      <c r="AW40" s="620"/>
      <c r="AX40" s="620"/>
      <c r="AY40" s="620"/>
      <c r="AZ40" s="620"/>
      <c r="BA40" s="620"/>
      <c r="BB40" s="620"/>
      <c r="BC40" s="32"/>
      <c r="BD40" s="32"/>
      <c r="BE40" s="32"/>
      <c r="BF40" s="32"/>
      <c r="BG40" s="32"/>
      <c r="BH40" s="32"/>
      <c r="BI40" s="32"/>
      <c r="BJ40" s="32"/>
      <c r="BK40" s="32"/>
      <c r="BL40" s="32"/>
      <c r="BM40" s="32"/>
      <c r="BN40" s="32"/>
      <c r="BO40" s="32"/>
      <c r="BP40" s="32"/>
      <c r="BQ40" s="32"/>
      <c r="BR40" s="32"/>
      <c r="BS40" s="32"/>
      <c r="BT40" s="32"/>
      <c r="BU40" s="32"/>
    </row>
    <row r="41">
      <c r="A41" s="560" t="s">
        <v>786</v>
      </c>
      <c r="B41" s="32" t="s">
        <v>760</v>
      </c>
      <c r="C41" s="622">
        <f t="shared" ref="C41:S41" si="17">C36*C$8/C$7</f>
        <v>0.7318891481</v>
      </c>
      <c r="D41" s="622">
        <f t="shared" si="17"/>
        <v>0.7313788401</v>
      </c>
      <c r="E41" s="622">
        <f t="shared" si="17"/>
        <v>0.7244454695</v>
      </c>
      <c r="F41" s="622">
        <f t="shared" si="17"/>
        <v>0.7328234564</v>
      </c>
      <c r="G41" s="622">
        <f t="shared" si="17"/>
        <v>0.7156763251</v>
      </c>
      <c r="H41" s="622">
        <f t="shared" si="17"/>
        <v>0.7642115265</v>
      </c>
      <c r="I41" s="622">
        <f t="shared" si="17"/>
        <v>0.7695448957</v>
      </c>
      <c r="J41" s="622">
        <f t="shared" si="17"/>
        <v>0.7882183345</v>
      </c>
      <c r="K41" s="622">
        <f t="shared" si="17"/>
        <v>0.827211977</v>
      </c>
      <c r="L41" s="622">
        <f t="shared" si="17"/>
        <v>0.7895260058</v>
      </c>
      <c r="M41" s="622">
        <f t="shared" si="17"/>
        <v>0.9042309287</v>
      </c>
      <c r="N41" s="622">
        <f t="shared" si="17"/>
        <v>0.8417034827</v>
      </c>
      <c r="O41" s="622">
        <f t="shared" si="17"/>
        <v>0.768879166</v>
      </c>
      <c r="P41" s="622">
        <f t="shared" si="17"/>
        <v>0.7746963368</v>
      </c>
      <c r="Q41" s="622">
        <f t="shared" si="17"/>
        <v>0.8360852866</v>
      </c>
      <c r="R41" s="622">
        <f t="shared" si="17"/>
        <v>0.7343909968</v>
      </c>
      <c r="S41" s="622">
        <f t="shared" si="17"/>
        <v>0.8425243406</v>
      </c>
      <c r="T41" s="620"/>
      <c r="U41" s="620"/>
      <c r="V41" s="620"/>
      <c r="W41" s="620"/>
      <c r="X41" s="620"/>
      <c r="Y41" s="620"/>
      <c r="Z41" s="620"/>
      <c r="AA41" s="620"/>
      <c r="AB41" s="620"/>
      <c r="AC41" s="620"/>
      <c r="AD41" s="620"/>
      <c r="AE41" s="620"/>
      <c r="AF41" s="620"/>
      <c r="AG41" s="620"/>
      <c r="AH41" s="620"/>
      <c r="AI41" s="620"/>
      <c r="AJ41" s="620"/>
      <c r="AK41" s="620"/>
      <c r="AL41" s="620"/>
      <c r="AM41" s="620"/>
      <c r="AN41" s="620"/>
      <c r="AO41" s="620"/>
      <c r="AP41" s="620"/>
      <c r="AQ41" s="620"/>
      <c r="AR41" s="620"/>
      <c r="AS41" s="620"/>
      <c r="AT41" s="620"/>
      <c r="AU41" s="620"/>
      <c r="AV41" s="620"/>
      <c r="AW41" s="620"/>
      <c r="AX41" s="620"/>
      <c r="AY41" s="620"/>
      <c r="AZ41" s="620"/>
      <c r="BA41" s="620"/>
      <c r="BB41" s="620"/>
      <c r="BC41" s="32"/>
      <c r="BD41" s="32"/>
      <c r="BE41" s="32"/>
      <c r="BF41" s="32"/>
      <c r="BG41" s="32"/>
      <c r="BH41" s="32"/>
      <c r="BI41" s="32"/>
      <c r="BJ41" s="32"/>
      <c r="BK41" s="32"/>
      <c r="BL41" s="32"/>
      <c r="BM41" s="32"/>
      <c r="BN41" s="32"/>
      <c r="BO41" s="32"/>
      <c r="BP41" s="32"/>
      <c r="BQ41" s="32"/>
      <c r="BR41" s="32"/>
      <c r="BS41" s="32"/>
      <c r="BT41" s="32"/>
      <c r="BU41" s="32"/>
    </row>
    <row r="42">
      <c r="A42" s="560" t="s">
        <v>786</v>
      </c>
      <c r="B42" s="560" t="s">
        <v>785</v>
      </c>
      <c r="C42" s="622">
        <f t="shared" ref="C42:S42" si="18">sum(C37:C38)*C$8/C$7</f>
        <v>8.601843087</v>
      </c>
      <c r="D42" s="622">
        <f t="shared" si="18"/>
        <v>7.986351815</v>
      </c>
      <c r="E42" s="622">
        <f t="shared" si="18"/>
        <v>8.417761583</v>
      </c>
      <c r="F42" s="622">
        <f t="shared" si="18"/>
        <v>8.099957147</v>
      </c>
      <c r="G42" s="622">
        <f t="shared" si="18"/>
        <v>8.139072742</v>
      </c>
      <c r="H42" s="622">
        <f t="shared" si="18"/>
        <v>8.57936233</v>
      </c>
      <c r="I42" s="622">
        <f t="shared" si="18"/>
        <v>9.163027078</v>
      </c>
      <c r="J42" s="622">
        <f t="shared" si="18"/>
        <v>8.242833541</v>
      </c>
      <c r="K42" s="622">
        <f t="shared" si="18"/>
        <v>8.116396265</v>
      </c>
      <c r="L42" s="622">
        <f t="shared" si="18"/>
        <v>7.964807856</v>
      </c>
      <c r="M42" s="622">
        <f t="shared" si="18"/>
        <v>8.825361192</v>
      </c>
      <c r="N42" s="622">
        <f t="shared" si="18"/>
        <v>8.409753925</v>
      </c>
      <c r="O42" s="622">
        <f t="shared" si="18"/>
        <v>8.347971069</v>
      </c>
      <c r="P42" s="622">
        <f t="shared" si="18"/>
        <v>8.352208863</v>
      </c>
      <c r="Q42" s="622">
        <f t="shared" si="18"/>
        <v>8.33341484</v>
      </c>
      <c r="R42" s="622">
        <f t="shared" si="18"/>
        <v>8.49671459</v>
      </c>
      <c r="S42" s="622">
        <f t="shared" si="18"/>
        <v>8.620941377</v>
      </c>
      <c r="T42" s="620"/>
      <c r="U42" s="620"/>
      <c r="V42" s="620"/>
      <c r="W42" s="620"/>
      <c r="X42" s="620"/>
      <c r="Y42" s="620"/>
      <c r="Z42" s="620"/>
      <c r="AA42" s="620"/>
      <c r="AB42" s="620"/>
      <c r="AC42" s="620"/>
      <c r="AD42" s="620"/>
      <c r="AE42" s="620"/>
      <c r="AF42" s="620"/>
      <c r="AG42" s="620"/>
      <c r="AH42" s="620"/>
      <c r="AI42" s="620"/>
      <c r="AJ42" s="620"/>
      <c r="AK42" s="620"/>
      <c r="AL42" s="620"/>
      <c r="AM42" s="620"/>
      <c r="AN42" s="620"/>
      <c r="AO42" s="620"/>
      <c r="AP42" s="620"/>
      <c r="AQ42" s="620"/>
      <c r="AR42" s="620"/>
      <c r="AS42" s="620"/>
      <c r="AT42" s="620"/>
      <c r="AU42" s="620"/>
      <c r="AV42" s="620"/>
      <c r="AW42" s="620"/>
      <c r="AX42" s="620"/>
      <c r="AY42" s="620"/>
      <c r="AZ42" s="620"/>
      <c r="BA42" s="620"/>
      <c r="BB42" s="620"/>
      <c r="BC42" s="32"/>
      <c r="BD42" s="32"/>
      <c r="BE42" s="32"/>
      <c r="BF42" s="32"/>
      <c r="BG42" s="32"/>
      <c r="BH42" s="32"/>
      <c r="BI42" s="32"/>
      <c r="BJ42" s="32"/>
      <c r="BK42" s="32"/>
      <c r="BL42" s="32"/>
      <c r="BM42" s="32"/>
      <c r="BN42" s="32"/>
      <c r="BO42" s="32"/>
      <c r="BP42" s="32"/>
      <c r="BQ42" s="32"/>
      <c r="BR42" s="32"/>
      <c r="BS42" s="32"/>
      <c r="BT42" s="32"/>
      <c r="BU42" s="32"/>
    </row>
    <row r="43">
      <c r="A43" s="560" t="s">
        <v>787</v>
      </c>
      <c r="B43" s="32" t="s">
        <v>760</v>
      </c>
      <c r="C43" s="622">
        <f t="shared" ref="C43:S43" si="19">C39*10^9/(C3*1000)</f>
        <v>9.68247128</v>
      </c>
      <c r="D43" s="622">
        <f t="shared" si="19"/>
        <v>14.64407711</v>
      </c>
      <c r="E43" s="622">
        <f t="shared" si="19"/>
        <v>12.94553907</v>
      </c>
      <c r="F43" s="622">
        <f t="shared" si="19"/>
        <v>13.11012721</v>
      </c>
      <c r="G43" s="622">
        <f t="shared" si="19"/>
        <v>14.66683967</v>
      </c>
      <c r="H43" s="622">
        <f t="shared" si="19"/>
        <v>11.16674148</v>
      </c>
      <c r="I43" s="622">
        <f t="shared" si="19"/>
        <v>14.67019392</v>
      </c>
      <c r="J43" s="622">
        <f t="shared" si="19"/>
        <v>14.48251681</v>
      </c>
      <c r="K43" s="622">
        <f t="shared" si="19"/>
        <v>12.78202387</v>
      </c>
      <c r="L43" s="622">
        <f t="shared" si="19"/>
        <v>11.4382448</v>
      </c>
      <c r="M43" s="622">
        <f t="shared" si="19"/>
        <v>15.28005196</v>
      </c>
      <c r="N43" s="622">
        <f t="shared" si="19"/>
        <v>16.95496462</v>
      </c>
      <c r="O43" s="622">
        <f t="shared" si="19"/>
        <v>17.8612943</v>
      </c>
      <c r="P43" s="622">
        <f t="shared" si="19"/>
        <v>20.68874357</v>
      </c>
      <c r="Q43" s="622">
        <f t="shared" si="19"/>
        <v>17.81192745</v>
      </c>
      <c r="R43" s="622">
        <f t="shared" si="19"/>
        <v>17.40186464</v>
      </c>
      <c r="S43" s="622">
        <f t="shared" si="19"/>
        <v>17.98581467</v>
      </c>
      <c r="T43" s="620"/>
      <c r="U43" s="620"/>
      <c r="V43" s="620"/>
      <c r="W43" s="620"/>
      <c r="X43" s="620"/>
      <c r="Y43" s="620"/>
      <c r="Z43" s="620"/>
      <c r="AA43" s="620"/>
      <c r="AB43" s="620"/>
      <c r="AC43" s="620"/>
      <c r="AD43" s="620"/>
      <c r="AE43" s="620"/>
      <c r="AF43" s="620"/>
      <c r="AG43" s="620"/>
      <c r="AH43" s="620"/>
      <c r="AI43" s="620"/>
      <c r="AJ43" s="620"/>
      <c r="AK43" s="620"/>
      <c r="AL43" s="620"/>
      <c r="AM43" s="620"/>
      <c r="AN43" s="620"/>
      <c r="AO43" s="620"/>
      <c r="AP43" s="620"/>
      <c r="AQ43" s="620"/>
      <c r="AR43" s="620"/>
      <c r="AS43" s="620"/>
      <c r="AT43" s="620"/>
      <c r="AU43" s="620"/>
      <c r="AV43" s="620"/>
      <c r="AW43" s="620"/>
      <c r="AX43" s="620"/>
      <c r="AY43" s="620"/>
      <c r="AZ43" s="620"/>
      <c r="BA43" s="620"/>
      <c r="BB43" s="620"/>
      <c r="BC43" s="32"/>
      <c r="BD43" s="32"/>
      <c r="BE43" s="32"/>
      <c r="BF43" s="32"/>
      <c r="BG43" s="32"/>
      <c r="BH43" s="32"/>
      <c r="BI43" s="32"/>
      <c r="BJ43" s="32"/>
      <c r="BK43" s="32"/>
      <c r="BL43" s="32"/>
      <c r="BM43" s="32"/>
      <c r="BN43" s="32"/>
      <c r="BO43" s="32"/>
      <c r="BP43" s="32"/>
      <c r="BQ43" s="32"/>
      <c r="BR43" s="32"/>
      <c r="BS43" s="32"/>
      <c r="BT43" s="32"/>
      <c r="BU43" s="32"/>
    </row>
    <row r="44">
      <c r="A44" s="560" t="s">
        <v>787</v>
      </c>
      <c r="B44" s="560" t="s">
        <v>785</v>
      </c>
      <c r="C44" s="622">
        <f t="shared" ref="C44:S44" si="20">C40*10^9/(C3*1000)</f>
        <v>37.9019469</v>
      </c>
      <c r="D44" s="622">
        <f t="shared" si="20"/>
        <v>37.98294903</v>
      </c>
      <c r="E44" s="622">
        <f t="shared" si="20"/>
        <v>35.47889685</v>
      </c>
      <c r="F44" s="622">
        <f t="shared" si="20"/>
        <v>34.60397112</v>
      </c>
      <c r="G44" s="622">
        <f t="shared" si="20"/>
        <v>37.00861443</v>
      </c>
      <c r="H44" s="622">
        <f t="shared" si="20"/>
        <v>34.23306514</v>
      </c>
      <c r="I44" s="622">
        <f t="shared" si="20"/>
        <v>52.97739338</v>
      </c>
      <c r="J44" s="622">
        <f t="shared" si="20"/>
        <v>40.25554409</v>
      </c>
      <c r="K44" s="622">
        <f t="shared" si="20"/>
        <v>41.41556326</v>
      </c>
      <c r="L44" s="622">
        <f t="shared" si="20"/>
        <v>37.74417314</v>
      </c>
      <c r="M44" s="622">
        <f t="shared" si="20"/>
        <v>34.81755992</v>
      </c>
      <c r="N44" s="622">
        <f t="shared" si="20"/>
        <v>37.82746591</v>
      </c>
      <c r="O44" s="622">
        <f t="shared" si="20"/>
        <v>37.00881168</v>
      </c>
      <c r="P44" s="622">
        <f t="shared" si="20"/>
        <v>37.58902331</v>
      </c>
      <c r="Q44" s="622">
        <f t="shared" si="20"/>
        <v>37.84672707</v>
      </c>
      <c r="R44" s="622">
        <f t="shared" si="20"/>
        <v>41.22784623</v>
      </c>
      <c r="S44" s="622">
        <f t="shared" si="20"/>
        <v>47.26657068</v>
      </c>
      <c r="T44" s="620"/>
      <c r="U44" s="620"/>
      <c r="V44" s="620"/>
      <c r="W44" s="620"/>
      <c r="X44" s="620"/>
      <c r="Y44" s="620"/>
      <c r="Z44" s="620"/>
      <c r="AA44" s="620"/>
      <c r="AB44" s="620"/>
      <c r="AC44" s="620"/>
      <c r="AD44" s="620"/>
      <c r="AE44" s="620"/>
      <c r="AF44" s="620"/>
      <c r="AG44" s="620"/>
      <c r="AH44" s="620"/>
      <c r="AI44" s="620"/>
      <c r="AJ44" s="620"/>
      <c r="AK44" s="620"/>
      <c r="AL44" s="620"/>
      <c r="AM44" s="620"/>
      <c r="AN44" s="620"/>
      <c r="AO44" s="620"/>
      <c r="AP44" s="620"/>
      <c r="AQ44" s="620"/>
      <c r="AR44" s="620"/>
      <c r="AS44" s="620"/>
      <c r="AT44" s="620"/>
      <c r="AU44" s="620"/>
      <c r="AV44" s="620"/>
      <c r="AW44" s="620"/>
      <c r="AX44" s="620"/>
      <c r="AY44" s="620"/>
      <c r="AZ44" s="620"/>
      <c r="BA44" s="620"/>
      <c r="BB44" s="620"/>
      <c r="BC44" s="32"/>
      <c r="BD44" s="32"/>
      <c r="BE44" s="32"/>
      <c r="BF44" s="32"/>
      <c r="BG44" s="32"/>
      <c r="BH44" s="32"/>
      <c r="BI44" s="32"/>
      <c r="BJ44" s="32"/>
      <c r="BK44" s="32"/>
      <c r="BL44" s="32"/>
      <c r="BM44" s="32"/>
      <c r="BN44" s="32"/>
      <c r="BO44" s="32"/>
      <c r="BP44" s="32"/>
      <c r="BQ44" s="32"/>
      <c r="BR44" s="32"/>
      <c r="BS44" s="32"/>
      <c r="BT44" s="32"/>
      <c r="BU44" s="32"/>
    </row>
    <row r="45">
      <c r="A45" s="560" t="s">
        <v>788</v>
      </c>
      <c r="B45" s="32" t="s">
        <v>760</v>
      </c>
      <c r="C45" s="622">
        <f t="shared" ref="C45:S45" si="21">C41*10^9*100/(C2*10^9)</f>
        <v>0.122327586</v>
      </c>
      <c r="D45" s="622">
        <f t="shared" si="21"/>
        <v>0.1215680049</v>
      </c>
      <c r="E45" s="622">
        <f t="shared" si="21"/>
        <v>0.1166460929</v>
      </c>
      <c r="F45" s="622">
        <f t="shared" si="21"/>
        <v>0.1188119961</v>
      </c>
      <c r="G45" s="622">
        <f t="shared" si="21"/>
        <v>0.1133379295</v>
      </c>
      <c r="H45" s="622">
        <f t="shared" si="21"/>
        <v>0.11758301</v>
      </c>
      <c r="I45" s="622">
        <f t="shared" si="21"/>
        <v>0.119404833</v>
      </c>
      <c r="J45" s="622">
        <f t="shared" si="21"/>
        <v>0.1178839498</v>
      </c>
      <c r="K45" s="622">
        <f t="shared" si="21"/>
        <v>0.1276102711</v>
      </c>
      <c r="L45" s="622">
        <f t="shared" si="21"/>
        <v>0.127566237</v>
      </c>
      <c r="M45" s="622">
        <f t="shared" si="21"/>
        <v>0.1370723004</v>
      </c>
      <c r="N45" s="622">
        <f t="shared" si="21"/>
        <v>0.1324580961</v>
      </c>
      <c r="O45" s="622">
        <f t="shared" si="21"/>
        <v>0.1238058783</v>
      </c>
      <c r="P45" s="622">
        <f t="shared" si="21"/>
        <v>0.1240957901</v>
      </c>
      <c r="Q45" s="622">
        <f t="shared" si="21"/>
        <v>0.1316765636</v>
      </c>
      <c r="R45" s="622">
        <f t="shared" si="21"/>
        <v>0.1136243605</v>
      </c>
      <c r="S45" s="622">
        <f t="shared" si="21"/>
        <v>0.1303462769</v>
      </c>
      <c r="T45" s="620"/>
      <c r="U45" s="620"/>
      <c r="V45" s="620"/>
      <c r="W45" s="620"/>
      <c r="X45" s="620"/>
      <c r="Y45" s="620"/>
      <c r="Z45" s="620"/>
      <c r="AA45" s="620"/>
      <c r="AB45" s="620"/>
      <c r="AC45" s="620"/>
      <c r="AD45" s="620"/>
      <c r="AE45" s="620"/>
      <c r="AF45" s="620"/>
      <c r="AG45" s="620"/>
      <c r="AH45" s="620"/>
      <c r="AI45" s="620"/>
      <c r="AJ45" s="620"/>
      <c r="AK45" s="620"/>
      <c r="AL45" s="620"/>
      <c r="AM45" s="620"/>
      <c r="AN45" s="620"/>
      <c r="AO45" s="620"/>
      <c r="AP45" s="620"/>
      <c r="AQ45" s="620"/>
      <c r="AR45" s="620"/>
      <c r="AS45" s="620"/>
      <c r="AT45" s="620"/>
      <c r="AU45" s="620"/>
      <c r="AV45" s="620"/>
      <c r="AW45" s="620"/>
      <c r="AX45" s="620"/>
      <c r="AY45" s="620"/>
      <c r="AZ45" s="620"/>
      <c r="BA45" s="620"/>
      <c r="BB45" s="620"/>
      <c r="BC45" s="32"/>
      <c r="BD45" s="32"/>
      <c r="BE45" s="32"/>
      <c r="BF45" s="32"/>
      <c r="BG45" s="32"/>
      <c r="BH45" s="32"/>
      <c r="BI45" s="32"/>
      <c r="BJ45" s="32"/>
      <c r="BK45" s="32"/>
      <c r="BL45" s="32"/>
      <c r="BM45" s="32"/>
      <c r="BN45" s="32"/>
      <c r="BO45" s="32"/>
      <c r="BP45" s="32"/>
      <c r="BQ45" s="32"/>
      <c r="BR45" s="32"/>
      <c r="BS45" s="32"/>
      <c r="BT45" s="32"/>
      <c r="BU45" s="32"/>
    </row>
    <row r="46">
      <c r="A46" s="560" t="s">
        <v>788</v>
      </c>
      <c r="B46" s="560" t="s">
        <v>785</v>
      </c>
      <c r="C46" s="622">
        <f t="shared" ref="C46:S46" si="22">C42*10^9*100/(C2*10^9)</f>
        <v>1.437707749</v>
      </c>
      <c r="D46" s="622">
        <f t="shared" si="22"/>
        <v>1.327471897</v>
      </c>
      <c r="E46" s="622">
        <f t="shared" si="22"/>
        <v>1.355380137</v>
      </c>
      <c r="F46" s="622">
        <f t="shared" si="22"/>
        <v>1.313238637</v>
      </c>
      <c r="G46" s="622">
        <f t="shared" si="22"/>
        <v>1.28894253</v>
      </c>
      <c r="H46" s="622">
        <f t="shared" si="22"/>
        <v>1.320036681</v>
      </c>
      <c r="I46" s="622">
        <f t="shared" si="22"/>
        <v>1.421762036</v>
      </c>
      <c r="J46" s="622">
        <f t="shared" si="22"/>
        <v>1.232777434</v>
      </c>
      <c r="K46" s="622">
        <f t="shared" si="22"/>
        <v>1.252079947</v>
      </c>
      <c r="L46" s="622">
        <f t="shared" si="22"/>
        <v>1.28689943</v>
      </c>
      <c r="M46" s="622">
        <f t="shared" si="22"/>
        <v>1.337835858</v>
      </c>
      <c r="N46" s="622">
        <f t="shared" si="22"/>
        <v>1.323435172</v>
      </c>
      <c r="O46" s="622">
        <f t="shared" si="22"/>
        <v>1.34420067</v>
      </c>
      <c r="P46" s="622">
        <f t="shared" si="22"/>
        <v>1.337909977</v>
      </c>
      <c r="Q46" s="622">
        <f t="shared" si="22"/>
        <v>1.312444373</v>
      </c>
      <c r="R46" s="622">
        <f t="shared" si="22"/>
        <v>1.314604571</v>
      </c>
      <c r="S46" s="622">
        <f t="shared" si="22"/>
        <v>1.333739048</v>
      </c>
      <c r="T46" s="620"/>
      <c r="U46" s="620"/>
      <c r="V46" s="620"/>
      <c r="W46" s="620"/>
      <c r="X46" s="620"/>
      <c r="Y46" s="620"/>
      <c r="Z46" s="620"/>
      <c r="AA46" s="620"/>
      <c r="AB46" s="620"/>
      <c r="AC46" s="620"/>
      <c r="AD46" s="620"/>
      <c r="AE46" s="620"/>
      <c r="AF46" s="620"/>
      <c r="AG46" s="620"/>
      <c r="AH46" s="620"/>
      <c r="AI46" s="620"/>
      <c r="AJ46" s="620"/>
      <c r="AK46" s="620"/>
      <c r="AL46" s="620"/>
      <c r="AM46" s="620"/>
      <c r="AN46" s="620"/>
      <c r="AO46" s="620"/>
      <c r="AP46" s="620"/>
      <c r="AQ46" s="620"/>
      <c r="AR46" s="620"/>
      <c r="AS46" s="620"/>
      <c r="AT46" s="620"/>
      <c r="AU46" s="620"/>
      <c r="AV46" s="620"/>
      <c r="AW46" s="620"/>
      <c r="AX46" s="620"/>
      <c r="AY46" s="620"/>
      <c r="AZ46" s="620"/>
      <c r="BA46" s="620"/>
      <c r="BB46" s="620"/>
      <c r="BC46" s="32"/>
      <c r="BD46" s="32"/>
      <c r="BE46" s="32"/>
      <c r="BF46" s="32"/>
      <c r="BG46" s="32"/>
      <c r="BH46" s="32"/>
      <c r="BI46" s="32"/>
      <c r="BJ46" s="32"/>
      <c r="BK46" s="32"/>
      <c r="BL46" s="32"/>
      <c r="BM46" s="32"/>
      <c r="BN46" s="32"/>
      <c r="BO46" s="32"/>
      <c r="BP46" s="32"/>
      <c r="BQ46" s="32"/>
      <c r="BR46" s="32"/>
      <c r="BS46" s="32"/>
      <c r="BT46" s="32"/>
      <c r="BU46" s="32"/>
    </row>
    <row r="47">
      <c r="A47" s="560" t="s">
        <v>789</v>
      </c>
      <c r="B47" s="32" t="s">
        <v>760</v>
      </c>
      <c r="C47" s="623">
        <f t="shared" ref="C47:S47" si="23">C$33*10^9/(C$28*1000)</f>
        <v>8.098969177</v>
      </c>
      <c r="D47" s="623">
        <f t="shared" si="23"/>
        <v>12.61336583</v>
      </c>
      <c r="E47" s="623">
        <f t="shared" si="23"/>
        <v>10.8283244</v>
      </c>
      <c r="F47" s="623">
        <f t="shared" si="23"/>
        <v>11.37683909</v>
      </c>
      <c r="G47" s="623">
        <f t="shared" si="23"/>
        <v>12.72502528</v>
      </c>
      <c r="H47" s="623">
        <f t="shared" si="23"/>
        <v>9.07825813</v>
      </c>
      <c r="I47" s="623">
        <f t="shared" si="23"/>
        <v>12.17690242</v>
      </c>
      <c r="J47" s="623">
        <f t="shared" si="23"/>
        <v>11.49620264</v>
      </c>
      <c r="K47" s="623">
        <f t="shared" si="23"/>
        <v>10.55202087</v>
      </c>
      <c r="L47" s="623">
        <f t="shared" si="23"/>
        <v>9.930932576</v>
      </c>
      <c r="M47" s="623">
        <f t="shared" si="23"/>
        <v>12.68390317</v>
      </c>
      <c r="N47" s="623">
        <f t="shared" si="23"/>
        <v>14.14821482</v>
      </c>
      <c r="O47" s="623">
        <f t="shared" si="23"/>
        <v>15.21574095</v>
      </c>
      <c r="P47" s="623">
        <f t="shared" si="23"/>
        <v>16.41157764</v>
      </c>
      <c r="Q47" s="623">
        <f t="shared" si="23"/>
        <v>14.6609615</v>
      </c>
      <c r="R47" s="623">
        <f t="shared" si="23"/>
        <v>13.94213055</v>
      </c>
      <c r="S47" s="623">
        <f t="shared" si="23"/>
        <v>15.19959465</v>
      </c>
      <c r="T47" s="620"/>
      <c r="U47" s="620"/>
      <c r="V47" s="620"/>
      <c r="W47" s="620"/>
      <c r="X47" s="620"/>
      <c r="Y47" s="620"/>
      <c r="Z47" s="620"/>
      <c r="AA47" s="620"/>
      <c r="AB47" s="620"/>
      <c r="AC47" s="620"/>
      <c r="AD47" s="620"/>
      <c r="AE47" s="620"/>
      <c r="AF47" s="620"/>
      <c r="AG47" s="620"/>
      <c r="AH47" s="620"/>
      <c r="AI47" s="620"/>
      <c r="AJ47" s="620"/>
      <c r="AK47" s="620"/>
      <c r="AL47" s="620"/>
      <c r="AM47" s="620"/>
      <c r="AN47" s="620"/>
      <c r="AO47" s="620"/>
      <c r="AP47" s="620"/>
      <c r="AQ47" s="620"/>
      <c r="AR47" s="620"/>
      <c r="AS47" s="620"/>
      <c r="AT47" s="620"/>
      <c r="AU47" s="620"/>
      <c r="AV47" s="620"/>
      <c r="AW47" s="620"/>
      <c r="AX47" s="620"/>
      <c r="AY47" s="620"/>
      <c r="AZ47" s="620"/>
      <c r="BA47" s="620"/>
      <c r="BB47" s="620"/>
      <c r="BC47" s="32"/>
      <c r="BD47" s="32"/>
      <c r="BE47" s="32"/>
      <c r="BF47" s="32"/>
      <c r="BG47" s="32"/>
      <c r="BH47" s="32"/>
      <c r="BI47" s="32"/>
      <c r="BJ47" s="32"/>
      <c r="BK47" s="32"/>
      <c r="BL47" s="32"/>
      <c r="BM47" s="32"/>
      <c r="BN47" s="32"/>
      <c r="BO47" s="32"/>
      <c r="BP47" s="32"/>
      <c r="BQ47" s="32"/>
      <c r="BR47" s="32"/>
      <c r="BS47" s="32"/>
      <c r="BT47" s="32"/>
      <c r="BU47" s="32"/>
    </row>
    <row r="48">
      <c r="A48" s="560" t="s">
        <v>789</v>
      </c>
      <c r="B48" s="560" t="s">
        <v>781</v>
      </c>
      <c r="C48" s="623">
        <f t="shared" ref="C48:S48" si="24">C$34*10^9/(C$28*1000)</f>
        <v>27.42685798</v>
      </c>
      <c r="D48" s="623">
        <f t="shared" si="24"/>
        <v>28.03453027</v>
      </c>
      <c r="E48" s="623">
        <f t="shared" si="24"/>
        <v>26.14293233</v>
      </c>
      <c r="F48" s="623">
        <f t="shared" si="24"/>
        <v>25.42517674</v>
      </c>
      <c r="G48" s="623">
        <f t="shared" si="24"/>
        <v>27.54526288</v>
      </c>
      <c r="H48" s="623">
        <f t="shared" si="24"/>
        <v>24.7220114</v>
      </c>
      <c r="I48" s="623">
        <f t="shared" si="24"/>
        <v>36.68845044</v>
      </c>
      <c r="J48" s="623">
        <f t="shared" si="24"/>
        <v>27.25182799</v>
      </c>
      <c r="K48" s="623">
        <f t="shared" si="24"/>
        <v>28.81057017</v>
      </c>
      <c r="L48" s="623">
        <f t="shared" si="24"/>
        <v>26.45043947</v>
      </c>
      <c r="M48" s="623">
        <f t="shared" si="24"/>
        <v>23.32691245</v>
      </c>
      <c r="N48" s="623">
        <f t="shared" si="24"/>
        <v>23.71572693</v>
      </c>
      <c r="O48" s="623">
        <f t="shared" si="24"/>
        <v>23.47495637</v>
      </c>
      <c r="P48" s="623">
        <f t="shared" si="24"/>
        <v>20.77926697</v>
      </c>
      <c r="Q48" s="623">
        <f t="shared" si="24"/>
        <v>23.45736932</v>
      </c>
      <c r="R48" s="623">
        <f t="shared" si="24"/>
        <v>25.23939939</v>
      </c>
      <c r="S48" s="623">
        <f t="shared" si="24"/>
        <v>31.07139962</v>
      </c>
      <c r="T48" s="620"/>
      <c r="U48" s="620"/>
      <c r="V48" s="620"/>
      <c r="W48" s="620"/>
      <c r="X48" s="620"/>
      <c r="Y48" s="620"/>
      <c r="Z48" s="620"/>
      <c r="AA48" s="620"/>
      <c r="AB48" s="620"/>
      <c r="AC48" s="620"/>
      <c r="AD48" s="620"/>
      <c r="AE48" s="620"/>
      <c r="AF48" s="620"/>
      <c r="AG48" s="620"/>
      <c r="AH48" s="620"/>
      <c r="AI48" s="620"/>
      <c r="AJ48" s="620"/>
      <c r="AK48" s="620"/>
      <c r="AL48" s="620"/>
      <c r="AM48" s="620"/>
      <c r="AN48" s="620"/>
      <c r="AO48" s="620"/>
      <c r="AP48" s="620"/>
      <c r="AQ48" s="620"/>
      <c r="AR48" s="620"/>
      <c r="AS48" s="620"/>
      <c r="AT48" s="620"/>
      <c r="AU48" s="620"/>
      <c r="AV48" s="620"/>
      <c r="AW48" s="620"/>
      <c r="AX48" s="620"/>
      <c r="AY48" s="620"/>
      <c r="AZ48" s="620"/>
      <c r="BA48" s="620"/>
      <c r="BB48" s="620"/>
      <c r="BC48" s="32"/>
      <c r="BD48" s="32"/>
      <c r="BE48" s="32"/>
      <c r="BF48" s="32"/>
      <c r="BG48" s="32"/>
      <c r="BH48" s="32"/>
      <c r="BI48" s="32"/>
      <c r="BJ48" s="32"/>
      <c r="BK48" s="32"/>
      <c r="BL48" s="32"/>
      <c r="BM48" s="32"/>
      <c r="BN48" s="32"/>
      <c r="BO48" s="32"/>
      <c r="BP48" s="32"/>
      <c r="BQ48" s="32"/>
      <c r="BR48" s="32"/>
      <c r="BS48" s="32"/>
      <c r="BT48" s="32"/>
      <c r="BU48" s="32"/>
    </row>
    <row r="49">
      <c r="A49" s="560" t="s">
        <v>789</v>
      </c>
      <c r="B49" s="560" t="s">
        <v>782</v>
      </c>
      <c r="C49" s="623">
        <f t="shared" ref="C49:S49" si="25">C35*10^9/(C$28*1000)</f>
        <v>4.276484149</v>
      </c>
      <c r="D49" s="623">
        <f t="shared" si="25"/>
        <v>4.68127885</v>
      </c>
      <c r="E49" s="623">
        <f t="shared" si="25"/>
        <v>3.533468335</v>
      </c>
      <c r="F49" s="623">
        <f t="shared" si="25"/>
        <v>4.603808107</v>
      </c>
      <c r="G49" s="623">
        <f t="shared" si="25"/>
        <v>4.563600708</v>
      </c>
      <c r="H49" s="623">
        <f t="shared" si="25"/>
        <v>3.108542604</v>
      </c>
      <c r="I49" s="623">
        <f t="shared" si="25"/>
        <v>7.285102547</v>
      </c>
      <c r="J49" s="623">
        <f t="shared" si="25"/>
        <v>4.702969524</v>
      </c>
      <c r="K49" s="623">
        <f t="shared" si="25"/>
        <v>5.379468313</v>
      </c>
      <c r="L49" s="623">
        <f t="shared" si="25"/>
        <v>6.319871455</v>
      </c>
      <c r="M49" s="623">
        <f t="shared" si="25"/>
        <v>5.574989183</v>
      </c>
      <c r="N49" s="623">
        <f t="shared" si="25"/>
        <v>7.849724584</v>
      </c>
      <c r="O49" s="623">
        <f t="shared" si="25"/>
        <v>8.052237679</v>
      </c>
      <c r="P49" s="623">
        <f t="shared" si="25"/>
        <v>9.038646928</v>
      </c>
      <c r="Q49" s="623">
        <f t="shared" si="25"/>
        <v>7.694195286</v>
      </c>
      <c r="R49" s="623">
        <f t="shared" si="25"/>
        <v>7.791774353</v>
      </c>
      <c r="S49" s="623">
        <f t="shared" si="25"/>
        <v>8.873008116</v>
      </c>
      <c r="T49" s="620"/>
      <c r="U49" s="620"/>
      <c r="V49" s="620"/>
      <c r="W49" s="620"/>
      <c r="X49" s="620"/>
      <c r="Y49" s="620"/>
      <c r="Z49" s="620"/>
      <c r="AA49" s="620"/>
      <c r="AB49" s="620"/>
      <c r="AC49" s="620"/>
      <c r="AD49" s="620"/>
      <c r="AE49" s="620"/>
      <c r="AF49" s="620"/>
      <c r="AG49" s="620"/>
      <c r="AH49" s="620"/>
      <c r="AI49" s="620"/>
      <c r="AJ49" s="620"/>
      <c r="AK49" s="620"/>
      <c r="AL49" s="620"/>
      <c r="AM49" s="620"/>
      <c r="AN49" s="620"/>
      <c r="AO49" s="620"/>
      <c r="AP49" s="620"/>
      <c r="AQ49" s="620"/>
      <c r="AR49" s="620"/>
      <c r="AS49" s="620"/>
      <c r="AT49" s="620"/>
      <c r="AU49" s="620"/>
      <c r="AV49" s="620"/>
      <c r="AW49" s="620"/>
      <c r="AX49" s="620"/>
      <c r="AY49" s="620"/>
      <c r="AZ49" s="620"/>
      <c r="BA49" s="620"/>
      <c r="BB49" s="620"/>
      <c r="BC49" s="32"/>
      <c r="BD49" s="32"/>
      <c r="BE49" s="32"/>
      <c r="BF49" s="32"/>
      <c r="BG49" s="32"/>
      <c r="BH49" s="32"/>
      <c r="BI49" s="32"/>
      <c r="BJ49" s="32"/>
      <c r="BK49" s="32"/>
      <c r="BL49" s="32"/>
      <c r="BM49" s="32"/>
      <c r="BN49" s="32"/>
      <c r="BO49" s="32"/>
      <c r="BP49" s="32"/>
      <c r="BQ49" s="32"/>
      <c r="BR49" s="32"/>
      <c r="BS49" s="32"/>
      <c r="BT49" s="32"/>
      <c r="BU49" s="32"/>
    </row>
    <row r="50">
      <c r="A50" s="560" t="s">
        <v>790</v>
      </c>
      <c r="B50" s="32" t="s">
        <v>760</v>
      </c>
      <c r="C50" s="623">
        <f t="shared" ref="C50:S50" si="26">C36*10^9*100/(C$29*10^3)</f>
        <v>0.116984275</v>
      </c>
      <c r="D50" s="623">
        <f t="shared" si="26"/>
        <v>0.123003511</v>
      </c>
      <c r="E50" s="623">
        <f t="shared" si="26"/>
        <v>0.1176865735</v>
      </c>
      <c r="F50" s="623">
        <f t="shared" si="26"/>
        <v>0.1204051843</v>
      </c>
      <c r="G50" s="623">
        <f t="shared" si="26"/>
        <v>0.1140688497</v>
      </c>
      <c r="H50" s="623">
        <f t="shared" si="26"/>
        <v>0.1197125345</v>
      </c>
      <c r="I50" s="623">
        <f t="shared" si="26"/>
        <v>0.1214229537</v>
      </c>
      <c r="J50" s="623">
        <f t="shared" si="26"/>
        <v>0.1205722585</v>
      </c>
      <c r="K50" s="623">
        <f t="shared" si="26"/>
        <v>0.128780109</v>
      </c>
      <c r="L50" s="623">
        <f t="shared" si="26"/>
        <v>0.1276752188</v>
      </c>
      <c r="M50" s="623">
        <f t="shared" si="26"/>
        <v>0.1364026505</v>
      </c>
      <c r="N50" s="623">
        <f t="shared" si="26"/>
        <v>0.1308917614</v>
      </c>
      <c r="O50" s="623">
        <f t="shared" si="26"/>
        <v>0.1224844856</v>
      </c>
      <c r="P50" s="623">
        <f t="shared" si="26"/>
        <v>0.1225493368</v>
      </c>
      <c r="Q50" s="623">
        <f t="shared" si="26"/>
        <v>0.1289773644</v>
      </c>
      <c r="R50" s="623">
        <f t="shared" si="26"/>
        <v>0.1136000391</v>
      </c>
      <c r="S50" s="623">
        <f t="shared" si="26"/>
        <v>0.1296349466</v>
      </c>
      <c r="T50" s="620"/>
      <c r="U50" s="620"/>
      <c r="V50" s="620"/>
      <c r="W50" s="620"/>
      <c r="X50" s="620"/>
      <c r="Y50" s="620"/>
      <c r="Z50" s="620"/>
      <c r="AA50" s="620"/>
      <c r="AB50" s="620"/>
      <c r="AC50" s="620"/>
      <c r="AD50" s="620"/>
      <c r="AE50" s="620"/>
      <c r="AF50" s="620"/>
      <c r="AG50" s="620"/>
      <c r="AH50" s="620"/>
      <c r="AI50" s="620"/>
      <c r="AJ50" s="620"/>
      <c r="AK50" s="620"/>
      <c r="AL50" s="620"/>
      <c r="AM50" s="620"/>
      <c r="AN50" s="620"/>
      <c r="AO50" s="620"/>
      <c r="AP50" s="620"/>
      <c r="AQ50" s="620"/>
      <c r="AR50" s="620"/>
      <c r="AS50" s="620"/>
      <c r="AT50" s="620"/>
      <c r="AU50" s="620"/>
      <c r="AV50" s="620"/>
      <c r="AW50" s="620"/>
      <c r="AX50" s="620"/>
      <c r="AY50" s="620"/>
      <c r="AZ50" s="620"/>
      <c r="BA50" s="620"/>
      <c r="BB50" s="620"/>
      <c r="BC50" s="32"/>
      <c r="BD50" s="32"/>
      <c r="BE50" s="32"/>
      <c r="BF50" s="32"/>
      <c r="BG50" s="32"/>
      <c r="BH50" s="32"/>
      <c r="BI50" s="32"/>
      <c r="BJ50" s="32"/>
      <c r="BK50" s="32"/>
      <c r="BL50" s="32"/>
      <c r="BM50" s="32"/>
      <c r="BN50" s="32"/>
      <c r="BO50" s="32"/>
      <c r="BP50" s="32"/>
      <c r="BQ50" s="32"/>
      <c r="BR50" s="32"/>
      <c r="BS50" s="32"/>
      <c r="BT50" s="32"/>
      <c r="BU50" s="32"/>
    </row>
    <row r="51">
      <c r="A51" s="560" t="s">
        <v>790</v>
      </c>
      <c r="B51" s="560" t="s">
        <v>781</v>
      </c>
      <c r="C51" s="623">
        <f t="shared" ref="C51:S51" si="27">C37*10^9*100/(C$29*10^3)</f>
        <v>0.3261863628</v>
      </c>
      <c r="D51" s="623">
        <f t="shared" si="27"/>
        <v>0.3061673022</v>
      </c>
      <c r="E51" s="623">
        <f t="shared" si="27"/>
        <v>0.350135253</v>
      </c>
      <c r="F51" s="623">
        <f t="shared" si="27"/>
        <v>0.3439743409</v>
      </c>
      <c r="G51" s="623">
        <f t="shared" si="27"/>
        <v>0.3323818018</v>
      </c>
      <c r="H51" s="623">
        <f t="shared" si="27"/>
        <v>0.3469797941</v>
      </c>
      <c r="I51" s="623">
        <f t="shared" si="27"/>
        <v>0.3272396725</v>
      </c>
      <c r="J51" s="623">
        <f t="shared" si="27"/>
        <v>0.3220374551</v>
      </c>
      <c r="K51" s="623">
        <f t="shared" si="27"/>
        <v>0.3155784481</v>
      </c>
      <c r="L51" s="623">
        <f t="shared" si="27"/>
        <v>0.3258773146</v>
      </c>
      <c r="M51" s="623">
        <f t="shared" si="27"/>
        <v>0.3354587145</v>
      </c>
      <c r="N51" s="623">
        <f t="shared" si="27"/>
        <v>0.3327715367</v>
      </c>
      <c r="O51" s="623">
        <f t="shared" si="27"/>
        <v>0.2997483864</v>
      </c>
      <c r="P51" s="623">
        <f t="shared" si="27"/>
        <v>0.303980097</v>
      </c>
      <c r="Q51" s="623">
        <f t="shared" si="27"/>
        <v>0.3524365423</v>
      </c>
      <c r="R51" s="623">
        <f t="shared" si="27"/>
        <v>0.3294314774</v>
      </c>
      <c r="S51" s="623">
        <f t="shared" si="27"/>
        <v>0.3545902785</v>
      </c>
      <c r="T51" s="620"/>
      <c r="U51" s="620"/>
      <c r="V51" s="620"/>
      <c r="W51" s="620"/>
      <c r="X51" s="620"/>
      <c r="Y51" s="620"/>
      <c r="Z51" s="620"/>
      <c r="AA51" s="620"/>
      <c r="AB51" s="620"/>
      <c r="AC51" s="620"/>
      <c r="AD51" s="620"/>
      <c r="AE51" s="620"/>
      <c r="AF51" s="620"/>
      <c r="AG51" s="620"/>
      <c r="AH51" s="620"/>
      <c r="AI51" s="620"/>
      <c r="AJ51" s="620"/>
      <c r="AK51" s="620"/>
      <c r="AL51" s="620"/>
      <c r="AM51" s="620"/>
      <c r="AN51" s="620"/>
      <c r="AO51" s="620"/>
      <c r="AP51" s="620"/>
      <c r="AQ51" s="620"/>
      <c r="AR51" s="620"/>
      <c r="AS51" s="620"/>
      <c r="AT51" s="620"/>
      <c r="AU51" s="620"/>
      <c r="AV51" s="620"/>
      <c r="AW51" s="620"/>
      <c r="AX51" s="620"/>
      <c r="AY51" s="620"/>
      <c r="AZ51" s="620"/>
      <c r="BA51" s="620"/>
      <c r="BB51" s="620"/>
      <c r="BC51" s="32"/>
      <c r="BD51" s="32"/>
      <c r="BE51" s="32"/>
      <c r="BF51" s="32"/>
      <c r="BG51" s="32"/>
      <c r="BH51" s="32"/>
      <c r="BI51" s="32"/>
      <c r="BJ51" s="32"/>
      <c r="BK51" s="32"/>
      <c r="BL51" s="32"/>
      <c r="BM51" s="32"/>
      <c r="BN51" s="32"/>
      <c r="BO51" s="32"/>
      <c r="BP51" s="32"/>
      <c r="BQ51" s="32"/>
      <c r="BR51" s="32"/>
      <c r="BS51" s="32"/>
      <c r="BT51" s="32"/>
      <c r="BU51" s="32"/>
    </row>
    <row r="52">
      <c r="A52" s="560" t="s">
        <v>790</v>
      </c>
      <c r="B52" s="560" t="s">
        <v>782</v>
      </c>
      <c r="C52" s="623">
        <f t="shared" ref="C52:S52" si="28">C38*10^9*100/(C$29*10^3)</f>
        <v>1.048721818</v>
      </c>
      <c r="D52" s="623">
        <f t="shared" si="28"/>
        <v>1.036979723</v>
      </c>
      <c r="E52" s="623">
        <f t="shared" si="28"/>
        <v>1.017334845</v>
      </c>
      <c r="F52" s="623">
        <f t="shared" si="28"/>
        <v>0.986873935</v>
      </c>
      <c r="G52" s="623">
        <f t="shared" si="28"/>
        <v>0.964873162</v>
      </c>
      <c r="H52" s="623">
        <f t="shared" si="28"/>
        <v>0.99696383</v>
      </c>
      <c r="I52" s="623">
        <f t="shared" si="28"/>
        <v>1.118552274</v>
      </c>
      <c r="J52" s="623">
        <f t="shared" si="28"/>
        <v>0.9388531043</v>
      </c>
      <c r="K52" s="623">
        <f t="shared" si="28"/>
        <v>0.9479796542</v>
      </c>
      <c r="L52" s="623">
        <f t="shared" si="28"/>
        <v>0.9621215332</v>
      </c>
      <c r="M52" s="623">
        <f t="shared" si="28"/>
        <v>0.9958413111</v>
      </c>
      <c r="N52" s="623">
        <f t="shared" si="28"/>
        <v>0.9750138375</v>
      </c>
      <c r="O52" s="623">
        <f t="shared" si="28"/>
        <v>1.030105493</v>
      </c>
      <c r="P52" s="623">
        <f t="shared" si="28"/>
        <v>1.017257152</v>
      </c>
      <c r="Q52" s="623">
        <f t="shared" si="28"/>
        <v>0.9331044186</v>
      </c>
      <c r="R52" s="623">
        <f t="shared" si="28"/>
        <v>0.984891702</v>
      </c>
      <c r="S52" s="623">
        <f t="shared" si="28"/>
        <v>0.9718702412</v>
      </c>
      <c r="T52" s="620"/>
      <c r="U52" s="620"/>
      <c r="V52" s="620"/>
      <c r="W52" s="620"/>
      <c r="X52" s="620"/>
      <c r="Y52" s="620"/>
      <c r="Z52" s="620"/>
      <c r="AA52" s="620"/>
      <c r="AB52" s="620"/>
      <c r="AC52" s="620"/>
      <c r="AD52" s="620"/>
      <c r="AE52" s="620"/>
      <c r="AF52" s="620"/>
      <c r="AG52" s="620"/>
      <c r="AH52" s="620"/>
      <c r="AI52" s="620"/>
      <c r="AJ52" s="620"/>
      <c r="AK52" s="620"/>
      <c r="AL52" s="620"/>
      <c r="AM52" s="620"/>
      <c r="AN52" s="620"/>
      <c r="AO52" s="620"/>
      <c r="AP52" s="620"/>
      <c r="AQ52" s="620"/>
      <c r="AR52" s="620"/>
      <c r="AS52" s="620"/>
      <c r="AT52" s="620"/>
      <c r="AU52" s="620"/>
      <c r="AV52" s="620"/>
      <c r="AW52" s="620"/>
      <c r="AX52" s="620"/>
      <c r="AY52" s="620"/>
      <c r="AZ52" s="620"/>
      <c r="BA52" s="620"/>
      <c r="BB52" s="620"/>
      <c r="BC52" s="32"/>
      <c r="BD52" s="32"/>
      <c r="BE52" s="32"/>
      <c r="BF52" s="32"/>
      <c r="BG52" s="32"/>
      <c r="BH52" s="32"/>
      <c r="BI52" s="32"/>
      <c r="BJ52" s="32"/>
      <c r="BK52" s="32"/>
      <c r="BL52" s="32"/>
      <c r="BM52" s="32"/>
      <c r="BN52" s="32"/>
      <c r="BO52" s="32"/>
      <c r="BP52" s="32"/>
      <c r="BQ52" s="32"/>
      <c r="BR52" s="32"/>
      <c r="BS52" s="32"/>
      <c r="BT52" s="32"/>
      <c r="BU52" s="32"/>
    </row>
    <row r="53">
      <c r="A53" s="624" t="s">
        <v>791</v>
      </c>
      <c r="B53" s="624" t="s">
        <v>792</v>
      </c>
      <c r="C53" s="623">
        <f t="shared" ref="C53:S53" si="29">sum(C47:C49)</f>
        <v>39.80231131</v>
      </c>
      <c r="D53" s="623">
        <f t="shared" si="29"/>
        <v>45.32917496</v>
      </c>
      <c r="E53" s="623">
        <f t="shared" si="29"/>
        <v>40.50472506</v>
      </c>
      <c r="F53" s="623">
        <f t="shared" si="29"/>
        <v>41.40582394</v>
      </c>
      <c r="G53" s="623">
        <f t="shared" si="29"/>
        <v>44.83388887</v>
      </c>
      <c r="H53" s="623">
        <f t="shared" si="29"/>
        <v>36.90881214</v>
      </c>
      <c r="I53" s="623">
        <f t="shared" si="29"/>
        <v>56.15045541</v>
      </c>
      <c r="J53" s="623">
        <f t="shared" si="29"/>
        <v>43.45100015</v>
      </c>
      <c r="K53" s="623">
        <f t="shared" si="29"/>
        <v>44.74205935</v>
      </c>
      <c r="L53" s="623">
        <f t="shared" si="29"/>
        <v>42.7012435</v>
      </c>
      <c r="M53" s="623">
        <f t="shared" si="29"/>
        <v>41.5858048</v>
      </c>
      <c r="N53" s="623">
        <f t="shared" si="29"/>
        <v>45.71366633</v>
      </c>
      <c r="O53" s="623">
        <f t="shared" si="29"/>
        <v>46.74293501</v>
      </c>
      <c r="P53" s="623">
        <f t="shared" si="29"/>
        <v>46.22949155</v>
      </c>
      <c r="Q53" s="623">
        <f t="shared" si="29"/>
        <v>45.81252611</v>
      </c>
      <c r="R53" s="623">
        <f t="shared" si="29"/>
        <v>46.9733043</v>
      </c>
      <c r="S53" s="623">
        <f t="shared" si="29"/>
        <v>55.14400239</v>
      </c>
      <c r="T53" s="620"/>
      <c r="U53" s="620"/>
      <c r="V53" s="620"/>
      <c r="W53" s="620"/>
      <c r="X53" s="620"/>
      <c r="Y53" s="620"/>
      <c r="Z53" s="620"/>
      <c r="AA53" s="620"/>
      <c r="AB53" s="620"/>
      <c r="AC53" s="620"/>
      <c r="AD53" s="620"/>
      <c r="AE53" s="620"/>
      <c r="AF53" s="620"/>
      <c r="AG53" s="620"/>
      <c r="AH53" s="620"/>
      <c r="AI53" s="620"/>
      <c r="AJ53" s="620"/>
      <c r="AK53" s="620"/>
      <c r="AL53" s="620"/>
      <c r="AM53" s="620"/>
      <c r="AN53" s="620"/>
      <c r="AO53" s="620"/>
      <c r="AP53" s="620"/>
      <c r="AQ53" s="620"/>
      <c r="AR53" s="620"/>
      <c r="AS53" s="620"/>
      <c r="AT53" s="620"/>
      <c r="AU53" s="620"/>
      <c r="AV53" s="620"/>
      <c r="AW53" s="620"/>
      <c r="AX53" s="620"/>
      <c r="AY53" s="620"/>
      <c r="AZ53" s="620"/>
      <c r="BA53" s="620"/>
      <c r="BB53" s="620"/>
      <c r="BC53" s="32"/>
      <c r="BD53" s="32"/>
      <c r="BE53" s="32"/>
      <c r="BF53" s="32"/>
      <c r="BG53" s="32"/>
      <c r="BH53" s="32"/>
      <c r="BI53" s="32"/>
      <c r="BJ53" s="32"/>
      <c r="BK53" s="32"/>
      <c r="BL53" s="32"/>
      <c r="BM53" s="32"/>
      <c r="BN53" s="32"/>
      <c r="BO53" s="32"/>
      <c r="BP53" s="32"/>
      <c r="BQ53" s="32"/>
      <c r="BR53" s="32"/>
      <c r="BS53" s="32"/>
      <c r="BT53" s="32"/>
      <c r="BU53" s="32"/>
    </row>
    <row r="54">
      <c r="A54" s="624" t="s">
        <v>793</v>
      </c>
      <c r="B54" s="624" t="s">
        <v>792</v>
      </c>
      <c r="C54" s="625">
        <f t="shared" ref="C54:S54" si="30">sum(C50:C52)</f>
        <v>1.491892456</v>
      </c>
      <c r="D54" s="625">
        <f t="shared" si="30"/>
        <v>1.466150536</v>
      </c>
      <c r="E54" s="625">
        <f t="shared" si="30"/>
        <v>1.485156671</v>
      </c>
      <c r="F54" s="625">
        <f t="shared" si="30"/>
        <v>1.45125346</v>
      </c>
      <c r="G54" s="625">
        <f t="shared" si="30"/>
        <v>1.411323813</v>
      </c>
      <c r="H54" s="625">
        <f t="shared" si="30"/>
        <v>1.463656159</v>
      </c>
      <c r="I54" s="625">
        <f t="shared" si="30"/>
        <v>1.5672149</v>
      </c>
      <c r="J54" s="625">
        <f t="shared" si="30"/>
        <v>1.381462818</v>
      </c>
      <c r="K54" s="625">
        <f t="shared" si="30"/>
        <v>1.392338211</v>
      </c>
      <c r="L54" s="625">
        <f t="shared" si="30"/>
        <v>1.415674067</v>
      </c>
      <c r="M54" s="625">
        <f t="shared" si="30"/>
        <v>1.467702676</v>
      </c>
      <c r="N54" s="625">
        <f t="shared" si="30"/>
        <v>1.438677136</v>
      </c>
      <c r="O54" s="625">
        <f t="shared" si="30"/>
        <v>1.452338365</v>
      </c>
      <c r="P54" s="625">
        <f t="shared" si="30"/>
        <v>1.443786586</v>
      </c>
      <c r="Q54" s="625">
        <f t="shared" si="30"/>
        <v>1.414518325</v>
      </c>
      <c r="R54" s="625">
        <f t="shared" si="30"/>
        <v>1.427923219</v>
      </c>
      <c r="S54" s="625">
        <f t="shared" si="30"/>
        <v>1.456095466</v>
      </c>
      <c r="T54" s="620"/>
      <c r="U54" s="620"/>
      <c r="V54" s="620"/>
      <c r="W54" s="620"/>
      <c r="X54" s="620"/>
      <c r="Y54" s="620"/>
      <c r="Z54" s="620"/>
      <c r="AA54" s="620"/>
      <c r="AB54" s="620"/>
      <c r="AC54" s="620"/>
      <c r="AD54" s="620"/>
      <c r="AE54" s="620"/>
      <c r="AF54" s="620"/>
      <c r="AG54" s="620"/>
      <c r="AH54" s="620"/>
      <c r="AI54" s="620"/>
      <c r="AJ54" s="620"/>
      <c r="AK54" s="620"/>
      <c r="AL54" s="620"/>
      <c r="AM54" s="620"/>
      <c r="AN54" s="620"/>
      <c r="AO54" s="620"/>
      <c r="AP54" s="620"/>
      <c r="AQ54" s="620"/>
      <c r="AR54" s="620"/>
      <c r="AS54" s="620"/>
      <c r="AT54" s="620"/>
      <c r="AU54" s="620"/>
      <c r="AV54" s="620"/>
      <c r="AW54" s="620"/>
      <c r="AX54" s="620"/>
      <c r="AY54" s="620"/>
      <c r="AZ54" s="620"/>
      <c r="BA54" s="620"/>
      <c r="BB54" s="620"/>
      <c r="BC54" s="32"/>
      <c r="BD54" s="32"/>
      <c r="BE54" s="32"/>
      <c r="BF54" s="32"/>
      <c r="BG54" s="32"/>
      <c r="BH54" s="32"/>
      <c r="BI54" s="32"/>
      <c r="BJ54" s="32"/>
      <c r="BK54" s="32"/>
      <c r="BL54" s="32"/>
      <c r="BM54" s="32"/>
      <c r="BN54" s="32"/>
      <c r="BO54" s="32"/>
      <c r="BP54" s="32"/>
      <c r="BQ54" s="32"/>
      <c r="BR54" s="32"/>
      <c r="BS54" s="32"/>
      <c r="BT54" s="32"/>
      <c r="BU54" s="32"/>
    </row>
    <row r="55">
      <c r="A55" s="560" t="s">
        <v>794</v>
      </c>
      <c r="B55" s="32" t="s">
        <v>760</v>
      </c>
      <c r="C55" s="622">
        <f t="shared" ref="C55:S55" si="31">C39</f>
        <v>1.142977368</v>
      </c>
      <c r="D55" s="622">
        <f t="shared" si="31"/>
        <v>1.73735605</v>
      </c>
      <c r="E55" s="622">
        <f t="shared" si="31"/>
        <v>1.543517406</v>
      </c>
      <c r="F55" s="622">
        <f t="shared" si="31"/>
        <v>1.570912987</v>
      </c>
      <c r="G55" s="622">
        <f t="shared" si="31"/>
        <v>1.766139374</v>
      </c>
      <c r="H55" s="622">
        <f t="shared" si="31"/>
        <v>1.35128691</v>
      </c>
      <c r="I55" s="622">
        <f t="shared" si="31"/>
        <v>1.783935795</v>
      </c>
      <c r="J55" s="622">
        <f t="shared" si="31"/>
        <v>1.769698747</v>
      </c>
      <c r="K55" s="622">
        <f t="shared" si="31"/>
        <v>1.569483098</v>
      </c>
      <c r="L55" s="622">
        <f t="shared" si="31"/>
        <v>1.411263146</v>
      </c>
      <c r="M55" s="622">
        <f t="shared" si="31"/>
        <v>1.894327282</v>
      </c>
      <c r="N55" s="622">
        <f t="shared" si="31"/>
        <v>2.112023329</v>
      </c>
      <c r="O55" s="622">
        <f t="shared" si="31"/>
        <v>2.235509679</v>
      </c>
      <c r="P55" s="622">
        <f t="shared" si="31"/>
        <v>2.601655616</v>
      </c>
      <c r="Q55" s="622">
        <f t="shared" si="31"/>
        <v>2.250448201</v>
      </c>
      <c r="R55" s="622">
        <f t="shared" si="31"/>
        <v>2.208954356</v>
      </c>
      <c r="S55" s="622">
        <f t="shared" si="31"/>
        <v>2.293741388</v>
      </c>
      <c r="T55" s="620">
        <f t="shared" ref="T55:BA55" si="32">(average($O43:$S43)*T$3*10^3/10^9)+T10+T11</f>
        <v>2.340177091</v>
      </c>
      <c r="U55" s="620">
        <f t="shared" si="32"/>
        <v>2.340177091</v>
      </c>
      <c r="V55" s="620">
        <f t="shared" si="32"/>
        <v>2.340177091</v>
      </c>
      <c r="W55" s="620">
        <f t="shared" si="32"/>
        <v>2.340177091</v>
      </c>
      <c r="X55" s="620">
        <f t="shared" si="32"/>
        <v>2.4646485</v>
      </c>
      <c r="Y55" s="620">
        <f t="shared" si="32"/>
        <v>2.484023333</v>
      </c>
      <c r="Z55" s="620">
        <f t="shared" si="32"/>
        <v>2.503398166</v>
      </c>
      <c r="AA55" s="620">
        <f t="shared" si="32"/>
        <v>2.522772999</v>
      </c>
      <c r="AB55" s="620">
        <f t="shared" si="32"/>
        <v>2.542147833</v>
      </c>
      <c r="AC55" s="620">
        <f t="shared" si="32"/>
        <v>2.561522666</v>
      </c>
      <c r="AD55" s="620">
        <f t="shared" si="32"/>
        <v>2.580897499</v>
      </c>
      <c r="AE55" s="620">
        <f t="shared" si="32"/>
        <v>2.601264949</v>
      </c>
      <c r="AF55" s="620">
        <f t="shared" si="32"/>
        <v>2.619647165</v>
      </c>
      <c r="AG55" s="620">
        <f t="shared" si="32"/>
        <v>2.639021998</v>
      </c>
      <c r="AH55" s="620">
        <f t="shared" si="32"/>
        <v>2.658396831</v>
      </c>
      <c r="AI55" s="620">
        <f t="shared" si="32"/>
        <v>2.692660923</v>
      </c>
      <c r="AJ55" s="620">
        <f t="shared" si="32"/>
        <v>2.697146498</v>
      </c>
      <c r="AK55" s="620">
        <f t="shared" si="32"/>
        <v>2.716521331</v>
      </c>
      <c r="AL55" s="620">
        <f t="shared" si="32"/>
        <v>2.735896164</v>
      </c>
      <c r="AM55" s="620">
        <f t="shared" si="32"/>
        <v>2.755270997</v>
      </c>
      <c r="AN55" s="620">
        <f t="shared" si="32"/>
        <v>2.77464583</v>
      </c>
      <c r="AO55" s="620">
        <f t="shared" si="32"/>
        <v>2.794020663</v>
      </c>
      <c r="AP55" s="620">
        <f t="shared" si="32"/>
        <v>2.813395496</v>
      </c>
      <c r="AQ55" s="620">
        <f t="shared" si="32"/>
        <v>2.832770329</v>
      </c>
      <c r="AR55" s="620">
        <f t="shared" si="32"/>
        <v>2.852145163</v>
      </c>
      <c r="AS55" s="620">
        <f t="shared" si="32"/>
        <v>2.871519996</v>
      </c>
      <c r="AT55" s="620">
        <f t="shared" si="32"/>
        <v>2.890894829</v>
      </c>
      <c r="AU55" s="620">
        <f t="shared" si="32"/>
        <v>3.024972099</v>
      </c>
      <c r="AV55" s="620">
        <f t="shared" si="32"/>
        <v>2.929644495</v>
      </c>
      <c r="AW55" s="620">
        <f t="shared" si="32"/>
        <v>2.949019328</v>
      </c>
      <c r="AX55" s="620">
        <f t="shared" si="32"/>
        <v>2.968394161</v>
      </c>
      <c r="AY55" s="620">
        <f t="shared" si="32"/>
        <v>2.987768995</v>
      </c>
      <c r="AZ55" s="620">
        <f t="shared" si="32"/>
        <v>3.092865571</v>
      </c>
      <c r="BA55" s="620">
        <f t="shared" si="32"/>
        <v>3.092865571</v>
      </c>
      <c r="BB55" s="620"/>
      <c r="BC55" s="32"/>
      <c r="BD55" s="32"/>
      <c r="BE55" s="32"/>
      <c r="BF55" s="32"/>
      <c r="BG55" s="32"/>
      <c r="BH55" s="32"/>
      <c r="BI55" s="32"/>
      <c r="BJ55" s="32"/>
      <c r="BK55" s="32"/>
      <c r="BL55" s="32"/>
      <c r="BM55" s="32"/>
      <c r="BN55" s="32"/>
      <c r="BO55" s="32"/>
      <c r="BP55" s="32"/>
      <c r="BQ55" s="32"/>
      <c r="BR55" s="32"/>
      <c r="BS55" s="32"/>
      <c r="BT55" s="32"/>
      <c r="BU55" s="32"/>
    </row>
    <row r="56">
      <c r="A56" s="560" t="s">
        <v>794</v>
      </c>
      <c r="B56" s="560" t="s">
        <v>785</v>
      </c>
      <c r="C56" s="622">
        <f t="shared" ref="C56:S56" si="33">C40</f>
        <v>4.474174647</v>
      </c>
      <c r="D56" s="622">
        <f t="shared" si="33"/>
        <v>4.50625231</v>
      </c>
      <c r="E56" s="622">
        <f t="shared" si="33"/>
        <v>4.230205831</v>
      </c>
      <c r="F56" s="622">
        <f t="shared" si="33"/>
        <v>4.14639971</v>
      </c>
      <c r="G56" s="622">
        <f t="shared" si="33"/>
        <v>4.456472738</v>
      </c>
      <c r="H56" s="622">
        <f t="shared" si="33"/>
        <v>4.14254175</v>
      </c>
      <c r="I56" s="622">
        <f t="shared" si="33"/>
        <v>6.442196257</v>
      </c>
      <c r="J56" s="622">
        <f t="shared" si="33"/>
        <v>4.919047351</v>
      </c>
      <c r="K56" s="622">
        <f t="shared" si="33"/>
        <v>5.085346983</v>
      </c>
      <c r="L56" s="622">
        <f t="shared" si="33"/>
        <v>4.656917338</v>
      </c>
      <c r="M56" s="622">
        <f t="shared" si="33"/>
        <v>4.316467891</v>
      </c>
      <c r="N56" s="622">
        <f t="shared" si="33"/>
        <v>4.71204112</v>
      </c>
      <c r="O56" s="622">
        <f t="shared" si="33"/>
        <v>4.632002325</v>
      </c>
      <c r="P56" s="622">
        <f t="shared" si="33"/>
        <v>4.72690346</v>
      </c>
      <c r="Q56" s="622">
        <f t="shared" si="33"/>
        <v>4.781745215</v>
      </c>
      <c r="R56" s="622">
        <f t="shared" si="33"/>
        <v>5.233371963</v>
      </c>
      <c r="S56" s="622">
        <f t="shared" si="33"/>
        <v>6.027933204</v>
      </c>
      <c r="T56" s="620">
        <f t="shared" ref="T56:BA56" si="34">(average($O44:$S44)*T$3*10^3/10^9)</f>
        <v>5.125172932</v>
      </c>
      <c r="U56" s="620">
        <f t="shared" si="34"/>
        <v>5.125172932</v>
      </c>
      <c r="V56" s="620">
        <f t="shared" si="34"/>
        <v>5.125172932</v>
      </c>
      <c r="W56" s="620">
        <f t="shared" si="34"/>
        <v>5.125172932</v>
      </c>
      <c r="X56" s="620">
        <f t="shared" si="34"/>
        <v>5.210037766</v>
      </c>
      <c r="Y56" s="620">
        <f t="shared" si="34"/>
        <v>5.252470183</v>
      </c>
      <c r="Z56" s="620">
        <f t="shared" si="34"/>
        <v>5.2949026</v>
      </c>
      <c r="AA56" s="620">
        <f t="shared" si="34"/>
        <v>5.337335017</v>
      </c>
      <c r="AB56" s="620">
        <f t="shared" si="34"/>
        <v>5.379767435</v>
      </c>
      <c r="AC56" s="620">
        <f t="shared" si="34"/>
        <v>5.422199852</v>
      </c>
      <c r="AD56" s="620">
        <f t="shared" si="34"/>
        <v>5.464632269</v>
      </c>
      <c r="AE56" s="620">
        <f t="shared" si="34"/>
        <v>5.507064686</v>
      </c>
      <c r="AF56" s="620">
        <f t="shared" si="34"/>
        <v>5.549497103</v>
      </c>
      <c r="AG56" s="620">
        <f t="shared" si="34"/>
        <v>5.59192952</v>
      </c>
      <c r="AH56" s="620">
        <f t="shared" si="34"/>
        <v>5.634361937</v>
      </c>
      <c r="AI56" s="620">
        <f t="shared" si="34"/>
        <v>5.676794354</v>
      </c>
      <c r="AJ56" s="620">
        <f t="shared" si="34"/>
        <v>5.719226771</v>
      </c>
      <c r="AK56" s="620">
        <f t="shared" si="34"/>
        <v>5.761659188</v>
      </c>
      <c r="AL56" s="620">
        <f t="shared" si="34"/>
        <v>5.804091605</v>
      </c>
      <c r="AM56" s="620">
        <f t="shared" si="34"/>
        <v>5.846524022</v>
      </c>
      <c r="AN56" s="620">
        <f t="shared" si="34"/>
        <v>5.888956439</v>
      </c>
      <c r="AO56" s="620">
        <f t="shared" si="34"/>
        <v>5.931388856</v>
      </c>
      <c r="AP56" s="620">
        <f t="shared" si="34"/>
        <v>5.973821273</v>
      </c>
      <c r="AQ56" s="620">
        <f t="shared" si="34"/>
        <v>6.01625369</v>
      </c>
      <c r="AR56" s="620">
        <f t="shared" si="34"/>
        <v>6.058686108</v>
      </c>
      <c r="AS56" s="620">
        <f t="shared" si="34"/>
        <v>6.101118525</v>
      </c>
      <c r="AT56" s="620">
        <f t="shared" si="34"/>
        <v>6.143550942</v>
      </c>
      <c r="AU56" s="620">
        <f t="shared" si="34"/>
        <v>6.185983359</v>
      </c>
      <c r="AV56" s="620">
        <f t="shared" si="34"/>
        <v>6.228415776</v>
      </c>
      <c r="AW56" s="620">
        <f t="shared" si="34"/>
        <v>6.270848193</v>
      </c>
      <c r="AX56" s="620">
        <f t="shared" si="34"/>
        <v>6.31328061</v>
      </c>
      <c r="AY56" s="620">
        <f t="shared" si="34"/>
        <v>6.355713027</v>
      </c>
      <c r="AZ56" s="620">
        <f t="shared" si="34"/>
        <v>6.398145444</v>
      </c>
      <c r="BA56" s="620">
        <f t="shared" si="34"/>
        <v>6.398145444</v>
      </c>
      <c r="BB56" s="620"/>
      <c r="BC56" s="32"/>
      <c r="BD56" s="32"/>
      <c r="BE56" s="32"/>
      <c r="BF56" s="32"/>
      <c r="BG56" s="32"/>
      <c r="BH56" s="32"/>
      <c r="BI56" s="32"/>
      <c r="BJ56" s="32"/>
      <c r="BK56" s="32"/>
      <c r="BL56" s="32"/>
      <c r="BM56" s="32"/>
      <c r="BN56" s="32"/>
      <c r="BO56" s="32"/>
      <c r="BP56" s="32"/>
      <c r="BQ56" s="32"/>
      <c r="BR56" s="32"/>
      <c r="BS56" s="32"/>
      <c r="BT56" s="32"/>
      <c r="BU56" s="32"/>
    </row>
    <row r="57">
      <c r="A57" s="560" t="s">
        <v>795</v>
      </c>
      <c r="B57" s="32" t="s">
        <v>760</v>
      </c>
      <c r="C57" s="622">
        <f t="shared" ref="C57:S57" si="35">C41</f>
        <v>0.7318891481</v>
      </c>
      <c r="D57" s="622">
        <f t="shared" si="35"/>
        <v>0.7313788401</v>
      </c>
      <c r="E57" s="622">
        <f t="shared" si="35"/>
        <v>0.7244454695</v>
      </c>
      <c r="F57" s="622">
        <f t="shared" si="35"/>
        <v>0.7328234564</v>
      </c>
      <c r="G57" s="622">
        <f t="shared" si="35"/>
        <v>0.7156763251</v>
      </c>
      <c r="H57" s="622">
        <f t="shared" si="35"/>
        <v>0.7642115265</v>
      </c>
      <c r="I57" s="622">
        <f t="shared" si="35"/>
        <v>0.7695448957</v>
      </c>
      <c r="J57" s="622">
        <f t="shared" si="35"/>
        <v>0.7882183345</v>
      </c>
      <c r="K57" s="622">
        <f t="shared" si="35"/>
        <v>0.827211977</v>
      </c>
      <c r="L57" s="622">
        <f t="shared" si="35"/>
        <v>0.7895260058</v>
      </c>
      <c r="M57" s="622">
        <f t="shared" si="35"/>
        <v>0.9042309287</v>
      </c>
      <c r="N57" s="622">
        <f t="shared" si="35"/>
        <v>0.8417034827</v>
      </c>
      <c r="O57" s="622">
        <f t="shared" si="35"/>
        <v>0.768879166</v>
      </c>
      <c r="P57" s="622">
        <f t="shared" si="35"/>
        <v>0.7746963368</v>
      </c>
      <c r="Q57" s="622">
        <f t="shared" si="35"/>
        <v>0.8360852866</v>
      </c>
      <c r="R57" s="622">
        <f t="shared" si="35"/>
        <v>0.7343909968</v>
      </c>
      <c r="S57" s="622">
        <f t="shared" si="35"/>
        <v>0.8425243406</v>
      </c>
      <c r="T57" s="620">
        <f t="shared" ref="T57:BA57" si="36">(average($O45:$S45)/100/10^9*S$2*10^9)</f>
        <v>0.8060914553</v>
      </c>
      <c r="U57" s="620">
        <f t="shared" si="36"/>
        <v>0.7838996715</v>
      </c>
      <c r="V57" s="620">
        <f t="shared" si="36"/>
        <v>0.8140773516</v>
      </c>
      <c r="W57" s="620">
        <f t="shared" si="36"/>
        <v>0.8159182087</v>
      </c>
      <c r="X57" s="620">
        <f t="shared" si="36"/>
        <v>0.8159182087</v>
      </c>
      <c r="Y57" s="620">
        <f t="shared" si="36"/>
        <v>0.8237097408</v>
      </c>
      <c r="Z57" s="620">
        <f t="shared" si="36"/>
        <v>0.8315012729</v>
      </c>
      <c r="AA57" s="620">
        <f t="shared" si="36"/>
        <v>0.839292805</v>
      </c>
      <c r="AB57" s="620">
        <f t="shared" si="36"/>
        <v>0.8470843371</v>
      </c>
      <c r="AC57" s="620">
        <f t="shared" si="36"/>
        <v>0.8548758692</v>
      </c>
      <c r="AD57" s="620">
        <f t="shared" si="36"/>
        <v>0.8626674013</v>
      </c>
      <c r="AE57" s="620">
        <f t="shared" si="36"/>
        <v>0.8704589333</v>
      </c>
      <c r="AF57" s="620">
        <f t="shared" si="36"/>
        <v>0.8782504654</v>
      </c>
      <c r="AG57" s="620">
        <f t="shared" si="36"/>
        <v>0.8860419975</v>
      </c>
      <c r="AH57" s="620">
        <f t="shared" si="36"/>
        <v>0.8938335296</v>
      </c>
      <c r="AI57" s="620">
        <f t="shared" si="36"/>
        <v>0.9016250617</v>
      </c>
      <c r="AJ57" s="620">
        <f t="shared" si="36"/>
        <v>0.9094165938</v>
      </c>
      <c r="AK57" s="620">
        <f t="shared" si="36"/>
        <v>0.9172081259</v>
      </c>
      <c r="AL57" s="620">
        <f t="shared" si="36"/>
        <v>0.924999658</v>
      </c>
      <c r="AM57" s="620">
        <f t="shared" si="36"/>
        <v>0.9327911901</v>
      </c>
      <c r="AN57" s="620">
        <f t="shared" si="36"/>
        <v>0.9405827222</v>
      </c>
      <c r="AO57" s="620">
        <f t="shared" si="36"/>
        <v>0.9483742543</v>
      </c>
      <c r="AP57" s="620">
        <f t="shared" si="36"/>
        <v>0.9561657864</v>
      </c>
      <c r="AQ57" s="620">
        <f t="shared" si="36"/>
        <v>0.9639573185</v>
      </c>
      <c r="AR57" s="620">
        <f t="shared" si="36"/>
        <v>0.9717488506</v>
      </c>
      <c r="AS57" s="620">
        <f t="shared" si="36"/>
        <v>0.9795403827</v>
      </c>
      <c r="AT57" s="620">
        <f t="shared" si="36"/>
        <v>0.9873319148</v>
      </c>
      <c r="AU57" s="620">
        <f t="shared" si="36"/>
        <v>0.9951234469</v>
      </c>
      <c r="AV57" s="620">
        <f t="shared" si="36"/>
        <v>1.002914979</v>
      </c>
      <c r="AW57" s="620">
        <f t="shared" si="36"/>
        <v>1.010706511</v>
      </c>
      <c r="AX57" s="620">
        <f t="shared" si="36"/>
        <v>1.018498043</v>
      </c>
      <c r="AY57" s="620">
        <f t="shared" si="36"/>
        <v>1.026289575</v>
      </c>
      <c r="AZ57" s="620">
        <f t="shared" si="36"/>
        <v>1.034081107</v>
      </c>
      <c r="BA57" s="620">
        <f t="shared" si="36"/>
        <v>1.041872639</v>
      </c>
      <c r="BB57" s="620"/>
      <c r="BC57" s="32"/>
      <c r="BD57" s="32"/>
      <c r="BE57" s="32"/>
      <c r="BF57" s="32"/>
      <c r="BG57" s="32"/>
      <c r="BH57" s="32"/>
      <c r="BI57" s="32"/>
      <c r="BJ57" s="32"/>
      <c r="BK57" s="32"/>
      <c r="BL57" s="32"/>
      <c r="BM57" s="32"/>
      <c r="BN57" s="32"/>
      <c r="BO57" s="32"/>
      <c r="BP57" s="32"/>
      <c r="BQ57" s="32"/>
      <c r="BR57" s="32"/>
      <c r="BS57" s="32"/>
      <c r="BT57" s="32"/>
      <c r="BU57" s="32"/>
    </row>
    <row r="58">
      <c r="A58" s="560" t="s">
        <v>795</v>
      </c>
      <c r="B58" s="560" t="s">
        <v>785</v>
      </c>
      <c r="C58" s="622">
        <f t="shared" ref="C58:S58" si="37">C42</f>
        <v>8.601843087</v>
      </c>
      <c r="D58" s="622">
        <f t="shared" si="37"/>
        <v>7.986351815</v>
      </c>
      <c r="E58" s="622">
        <f t="shared" si="37"/>
        <v>8.417761583</v>
      </c>
      <c r="F58" s="622">
        <f t="shared" si="37"/>
        <v>8.099957147</v>
      </c>
      <c r="G58" s="622">
        <f t="shared" si="37"/>
        <v>8.139072742</v>
      </c>
      <c r="H58" s="622">
        <f t="shared" si="37"/>
        <v>8.57936233</v>
      </c>
      <c r="I58" s="622">
        <f t="shared" si="37"/>
        <v>9.163027078</v>
      </c>
      <c r="J58" s="622">
        <f t="shared" si="37"/>
        <v>8.242833541</v>
      </c>
      <c r="K58" s="622">
        <f t="shared" si="37"/>
        <v>8.116396265</v>
      </c>
      <c r="L58" s="622">
        <f t="shared" si="37"/>
        <v>7.964807856</v>
      </c>
      <c r="M58" s="622">
        <f t="shared" si="37"/>
        <v>8.825361192</v>
      </c>
      <c r="N58" s="622">
        <f t="shared" si="37"/>
        <v>8.409753925</v>
      </c>
      <c r="O58" s="622">
        <f t="shared" si="37"/>
        <v>8.347971069</v>
      </c>
      <c r="P58" s="622">
        <f t="shared" si="37"/>
        <v>8.352208863</v>
      </c>
      <c r="Q58" s="622">
        <f t="shared" si="37"/>
        <v>8.33341484</v>
      </c>
      <c r="R58" s="622">
        <f t="shared" si="37"/>
        <v>8.49671459</v>
      </c>
      <c r="S58" s="622">
        <f t="shared" si="37"/>
        <v>8.620941377</v>
      </c>
      <c r="T58" s="620">
        <f t="shared" ref="T58:BA58" si="38">(average($O46:$S46)/100/10^9*S$2*10^9)</f>
        <v>8.587592879</v>
      </c>
      <c r="U58" s="620">
        <f t="shared" si="38"/>
        <v>8.351175531</v>
      </c>
      <c r="V58" s="620">
        <f t="shared" si="38"/>
        <v>8.672669611</v>
      </c>
      <c r="W58" s="620">
        <f t="shared" si="38"/>
        <v>8.692280948</v>
      </c>
      <c r="X58" s="620">
        <f t="shared" si="38"/>
        <v>8.692280948</v>
      </c>
      <c r="Y58" s="620">
        <f t="shared" si="38"/>
        <v>8.775287045</v>
      </c>
      <c r="Z58" s="620">
        <f t="shared" si="38"/>
        <v>8.858293142</v>
      </c>
      <c r="AA58" s="620">
        <f t="shared" si="38"/>
        <v>8.941299239</v>
      </c>
      <c r="AB58" s="620">
        <f t="shared" si="38"/>
        <v>9.024305336</v>
      </c>
      <c r="AC58" s="620">
        <f t="shared" si="38"/>
        <v>9.107311433</v>
      </c>
      <c r="AD58" s="620">
        <f t="shared" si="38"/>
        <v>9.19031753</v>
      </c>
      <c r="AE58" s="620">
        <f t="shared" si="38"/>
        <v>9.273323627</v>
      </c>
      <c r="AF58" s="620">
        <f t="shared" si="38"/>
        <v>9.356329724</v>
      </c>
      <c r="AG58" s="620">
        <f t="shared" si="38"/>
        <v>9.439335821</v>
      </c>
      <c r="AH58" s="620">
        <f t="shared" si="38"/>
        <v>9.522341918</v>
      </c>
      <c r="AI58" s="620">
        <f t="shared" si="38"/>
        <v>9.605348015</v>
      </c>
      <c r="AJ58" s="620">
        <f t="shared" si="38"/>
        <v>9.688354112</v>
      </c>
      <c r="AK58" s="620">
        <f t="shared" si="38"/>
        <v>9.771360209</v>
      </c>
      <c r="AL58" s="620">
        <f t="shared" si="38"/>
        <v>9.854366306</v>
      </c>
      <c r="AM58" s="620">
        <f t="shared" si="38"/>
        <v>9.937372403</v>
      </c>
      <c r="AN58" s="620">
        <f t="shared" si="38"/>
        <v>10.0203785</v>
      </c>
      <c r="AO58" s="620">
        <f t="shared" si="38"/>
        <v>10.1033846</v>
      </c>
      <c r="AP58" s="620">
        <f t="shared" si="38"/>
        <v>10.18639069</v>
      </c>
      <c r="AQ58" s="620">
        <f t="shared" si="38"/>
        <v>10.26939679</v>
      </c>
      <c r="AR58" s="620">
        <f t="shared" si="38"/>
        <v>10.35240289</v>
      </c>
      <c r="AS58" s="620">
        <f t="shared" si="38"/>
        <v>10.43540899</v>
      </c>
      <c r="AT58" s="620">
        <f t="shared" si="38"/>
        <v>10.51841508</v>
      </c>
      <c r="AU58" s="620">
        <f t="shared" si="38"/>
        <v>10.60142118</v>
      </c>
      <c r="AV58" s="620">
        <f t="shared" si="38"/>
        <v>10.68442728</v>
      </c>
      <c r="AW58" s="620">
        <f t="shared" si="38"/>
        <v>10.76743337</v>
      </c>
      <c r="AX58" s="620">
        <f t="shared" si="38"/>
        <v>10.85043947</v>
      </c>
      <c r="AY58" s="620">
        <f t="shared" si="38"/>
        <v>10.93344557</v>
      </c>
      <c r="AZ58" s="620">
        <f t="shared" si="38"/>
        <v>11.01645166</v>
      </c>
      <c r="BA58" s="620">
        <f t="shared" si="38"/>
        <v>11.09945776</v>
      </c>
      <c r="BB58" s="620"/>
      <c r="BC58" s="32"/>
      <c r="BD58" s="32"/>
      <c r="BE58" s="32"/>
      <c r="BF58" s="32"/>
      <c r="BG58" s="32"/>
      <c r="BH58" s="32"/>
      <c r="BI58" s="32"/>
      <c r="BJ58" s="32"/>
      <c r="BK58" s="32"/>
      <c r="BL58" s="32"/>
      <c r="BM58" s="32"/>
      <c r="BN58" s="32"/>
      <c r="BO58" s="32"/>
      <c r="BP58" s="32"/>
      <c r="BQ58" s="32"/>
      <c r="BR58" s="32"/>
      <c r="BS58" s="32"/>
      <c r="BT58" s="32"/>
      <c r="BU58" s="32"/>
    </row>
    <row r="59">
      <c r="A59" s="32"/>
      <c r="B59" s="560"/>
      <c r="C59" s="626" t="s">
        <v>796</v>
      </c>
      <c r="D59" s="626" t="s">
        <v>797</v>
      </c>
      <c r="E59" s="626" t="s">
        <v>798</v>
      </c>
      <c r="F59" s="626" t="s">
        <v>799</v>
      </c>
      <c r="G59" s="620"/>
      <c r="H59" s="620"/>
      <c r="I59" s="620"/>
      <c r="J59" s="620"/>
      <c r="K59" s="620"/>
      <c r="L59" s="620"/>
      <c r="M59" s="620"/>
      <c r="N59" s="620"/>
      <c r="O59" s="620"/>
      <c r="P59" s="620"/>
      <c r="Q59" s="620"/>
      <c r="R59" s="620"/>
      <c r="S59" s="620"/>
      <c r="T59" s="620"/>
      <c r="U59" s="620"/>
      <c r="V59" s="620"/>
      <c r="W59" s="620"/>
      <c r="X59" s="620"/>
      <c r="Y59" s="620"/>
      <c r="Z59" s="620"/>
      <c r="AA59" s="620"/>
      <c r="AB59" s="620"/>
      <c r="AC59" s="620"/>
      <c r="AD59" s="620"/>
      <c r="AE59" s="620"/>
      <c r="AF59" s="620"/>
      <c r="AG59" s="620"/>
      <c r="AH59" s="620"/>
      <c r="AI59" s="620"/>
      <c r="AJ59" s="620"/>
      <c r="AK59" s="620"/>
      <c r="AL59" s="620"/>
      <c r="AM59" s="620"/>
      <c r="AN59" s="620"/>
      <c r="AO59" s="620"/>
      <c r="AP59" s="620"/>
      <c r="AQ59" s="620"/>
      <c r="AR59" s="620"/>
      <c r="AS59" s="620"/>
      <c r="AT59" s="620"/>
      <c r="AU59" s="620"/>
      <c r="AV59" s="620"/>
      <c r="AW59" s="620"/>
      <c r="AX59" s="620"/>
      <c r="AY59" s="620"/>
      <c r="AZ59" s="620"/>
      <c r="BA59" s="620"/>
      <c r="BB59" s="620"/>
      <c r="BC59" s="32"/>
      <c r="BD59" s="32"/>
      <c r="BE59" s="32"/>
      <c r="BF59" s="32"/>
      <c r="BG59" s="32"/>
      <c r="BH59" s="32"/>
      <c r="BI59" s="32"/>
      <c r="BJ59" s="32"/>
      <c r="BK59" s="32"/>
      <c r="BL59" s="32"/>
      <c r="BM59" s="32"/>
      <c r="BN59" s="32"/>
      <c r="BO59" s="32"/>
      <c r="BP59" s="32"/>
      <c r="BQ59" s="32"/>
      <c r="BR59" s="32"/>
      <c r="BS59" s="32"/>
      <c r="BT59" s="32"/>
      <c r="BU59" s="32"/>
    </row>
    <row r="60">
      <c r="A60" s="560" t="s">
        <v>800</v>
      </c>
      <c r="B60" s="627" t="s">
        <v>159</v>
      </c>
      <c r="C60" s="621">
        <f>average(O43:S43)</f>
        <v>18.34992893</v>
      </c>
      <c r="D60" s="621">
        <f>average(O45:S45)/100*10000</f>
        <v>12.47097739</v>
      </c>
      <c r="E60" s="621">
        <f>average(O44:S44)</f>
        <v>40.18779579</v>
      </c>
      <c r="F60" s="621">
        <f>average(O46:S46)/100*10000</f>
        <v>132.8579728</v>
      </c>
      <c r="G60" s="620"/>
      <c r="H60" s="620"/>
      <c r="I60" s="620"/>
      <c r="J60" s="620"/>
      <c r="K60" s="620"/>
      <c r="L60" s="620"/>
      <c r="M60" s="620"/>
      <c r="N60" s="620"/>
      <c r="O60" s="620"/>
      <c r="P60" s="620"/>
      <c r="Q60" s="620"/>
      <c r="R60" s="620"/>
      <c r="S60" s="620"/>
      <c r="T60" s="620"/>
      <c r="U60" s="620"/>
      <c r="V60" s="620"/>
      <c r="W60" s="620"/>
      <c r="X60" s="620"/>
      <c r="Y60" s="620"/>
      <c r="Z60" s="620"/>
      <c r="AA60" s="620"/>
      <c r="AB60" s="620"/>
      <c r="AC60" s="620"/>
      <c r="AD60" s="620"/>
      <c r="AE60" s="620"/>
      <c r="AF60" s="620"/>
      <c r="AG60" s="620"/>
      <c r="AH60" s="620"/>
      <c r="AI60" s="620"/>
      <c r="AJ60" s="620"/>
      <c r="AK60" s="620"/>
      <c r="AL60" s="620"/>
      <c r="AM60" s="620"/>
      <c r="AN60" s="620"/>
      <c r="AO60" s="620"/>
      <c r="AP60" s="620"/>
      <c r="AQ60" s="620"/>
      <c r="AR60" s="620"/>
      <c r="AS60" s="620"/>
      <c r="AT60" s="620"/>
      <c r="AU60" s="620"/>
      <c r="AV60" s="620"/>
      <c r="AW60" s="620"/>
      <c r="AX60" s="620"/>
      <c r="AY60" s="620"/>
      <c r="AZ60" s="620"/>
      <c r="BA60" s="620"/>
      <c r="BB60" s="620"/>
      <c r="BC60" s="32"/>
      <c r="BD60" s="32"/>
      <c r="BE60" s="32"/>
      <c r="BF60" s="32"/>
      <c r="BG60" s="32"/>
      <c r="BH60" s="32"/>
      <c r="BI60" s="32"/>
      <c r="BJ60" s="32"/>
      <c r="BK60" s="32"/>
      <c r="BL60" s="32"/>
      <c r="BM60" s="32"/>
      <c r="BN60" s="32"/>
      <c r="BO60" s="32"/>
      <c r="BP60" s="32"/>
      <c r="BQ60" s="32"/>
      <c r="BR60" s="32"/>
      <c r="BS60" s="32"/>
      <c r="BT60" s="32"/>
      <c r="BU60" s="32"/>
    </row>
    <row r="61">
      <c r="A61" s="32"/>
      <c r="B61" s="560"/>
      <c r="C61" s="620"/>
      <c r="D61" s="620"/>
      <c r="E61" s="620"/>
      <c r="F61" s="620"/>
      <c r="G61" s="620"/>
      <c r="H61" s="620"/>
      <c r="I61" s="620"/>
      <c r="J61" s="620"/>
      <c r="K61" s="620"/>
      <c r="L61" s="620"/>
      <c r="M61" s="620"/>
      <c r="N61" s="620"/>
      <c r="O61" s="620"/>
      <c r="P61" s="620"/>
      <c r="Q61" s="620"/>
      <c r="R61" s="620"/>
      <c r="S61" s="620"/>
      <c r="T61" s="620"/>
      <c r="U61" s="620"/>
      <c r="V61" s="620"/>
      <c r="W61" s="620"/>
      <c r="X61" s="620"/>
      <c r="Y61" s="620"/>
      <c r="Z61" s="620"/>
      <c r="AA61" s="620"/>
      <c r="AB61" s="620"/>
      <c r="AC61" s="620"/>
      <c r="AD61" s="620"/>
      <c r="AE61" s="620"/>
      <c r="AF61" s="620"/>
      <c r="AG61" s="620"/>
      <c r="AH61" s="620"/>
      <c r="AI61" s="620"/>
      <c r="AJ61" s="620"/>
      <c r="AK61" s="620"/>
      <c r="AL61" s="620"/>
      <c r="AM61" s="620"/>
      <c r="AN61" s="620"/>
      <c r="AO61" s="620"/>
      <c r="AP61" s="620"/>
      <c r="AQ61" s="620"/>
      <c r="AR61" s="620"/>
      <c r="AS61" s="620"/>
      <c r="AT61" s="620"/>
      <c r="AU61" s="620"/>
      <c r="AV61" s="620"/>
      <c r="AW61" s="620"/>
      <c r="AX61" s="620"/>
      <c r="AY61" s="620"/>
      <c r="AZ61" s="620"/>
      <c r="BA61" s="620"/>
      <c r="BB61" s="620"/>
      <c r="BC61" s="32"/>
      <c r="BD61" s="32"/>
      <c r="BE61" s="32"/>
      <c r="BF61" s="32"/>
      <c r="BG61" s="32"/>
      <c r="BH61" s="32"/>
      <c r="BI61" s="32"/>
      <c r="BJ61" s="32"/>
      <c r="BK61" s="32"/>
      <c r="BL61" s="32"/>
      <c r="BM61" s="32"/>
      <c r="BN61" s="32"/>
      <c r="BO61" s="32"/>
      <c r="BP61" s="32"/>
      <c r="BQ61" s="32"/>
      <c r="BR61" s="32"/>
      <c r="BS61" s="32"/>
      <c r="BT61" s="32"/>
      <c r="BU61" s="32"/>
    </row>
    <row r="62">
      <c r="A62" s="31" t="s">
        <v>801</v>
      </c>
      <c r="B62" s="560" t="s">
        <v>802</v>
      </c>
      <c r="C62" s="620">
        <v>9.99</v>
      </c>
      <c r="D62" s="620">
        <v>9.99</v>
      </c>
      <c r="E62" s="620">
        <v>9.99</v>
      </c>
      <c r="F62" s="620">
        <v>9.99</v>
      </c>
      <c r="G62" s="620">
        <v>9.99</v>
      </c>
      <c r="H62" s="620">
        <v>9.99</v>
      </c>
      <c r="I62" s="620">
        <v>9.99</v>
      </c>
      <c r="J62" s="620">
        <v>9.99</v>
      </c>
      <c r="K62" s="620">
        <v>9.99</v>
      </c>
      <c r="L62" s="620">
        <v>9.99</v>
      </c>
      <c r="M62" s="620">
        <v>9.99</v>
      </c>
      <c r="N62" s="620">
        <v>9.99</v>
      </c>
      <c r="O62" s="620">
        <v>9.99</v>
      </c>
      <c r="P62" s="620">
        <v>9.99</v>
      </c>
      <c r="Q62" s="620">
        <v>9.99</v>
      </c>
      <c r="R62" s="620">
        <v>9.99</v>
      </c>
      <c r="S62" s="620">
        <v>9.99</v>
      </c>
      <c r="T62" s="620">
        <v>9.99</v>
      </c>
      <c r="U62" s="620">
        <v>9.99</v>
      </c>
      <c r="V62" s="620">
        <v>9.99</v>
      </c>
      <c r="W62" s="620">
        <v>9.99</v>
      </c>
      <c r="X62" s="620">
        <v>9.99</v>
      </c>
      <c r="Y62" s="620">
        <v>9.99</v>
      </c>
      <c r="Z62" s="620">
        <v>9.99</v>
      </c>
      <c r="AA62" s="620">
        <v>9.99</v>
      </c>
      <c r="AB62" s="620">
        <v>9.99</v>
      </c>
      <c r="AC62" s="620">
        <v>9.99</v>
      </c>
      <c r="AD62" s="620">
        <v>9.99</v>
      </c>
      <c r="AE62" s="620">
        <v>9.99</v>
      </c>
      <c r="AF62" s="620">
        <v>9.99</v>
      </c>
      <c r="AG62" s="620">
        <v>9.99</v>
      </c>
      <c r="AH62" s="620">
        <v>9.99</v>
      </c>
      <c r="AI62" s="620">
        <v>9.99</v>
      </c>
      <c r="AJ62" s="620">
        <v>9.99</v>
      </c>
      <c r="AK62" s="620">
        <v>9.99</v>
      </c>
      <c r="AL62" s="620">
        <v>9.99</v>
      </c>
      <c r="AM62" s="620">
        <v>9.99</v>
      </c>
      <c r="AN62" s="620">
        <v>9.99</v>
      </c>
      <c r="AO62" s="620">
        <v>9.99</v>
      </c>
      <c r="AP62" s="620">
        <v>9.99</v>
      </c>
      <c r="AQ62" s="620">
        <v>9.99</v>
      </c>
      <c r="AR62" s="620">
        <v>9.99</v>
      </c>
      <c r="AS62" s="620">
        <v>9.99</v>
      </c>
      <c r="AT62" s="620">
        <v>9.99</v>
      </c>
      <c r="AU62" s="620">
        <v>9.99</v>
      </c>
      <c r="AV62" s="620">
        <v>9.99</v>
      </c>
      <c r="AW62" s="620">
        <v>9.99</v>
      </c>
      <c r="AX62" s="620">
        <v>9.99</v>
      </c>
      <c r="AY62" s="620">
        <v>9.99</v>
      </c>
      <c r="AZ62" s="620">
        <v>9.99</v>
      </c>
      <c r="BA62" s="620">
        <v>9.99</v>
      </c>
      <c r="BB62" s="620"/>
      <c r="BC62" s="32"/>
      <c r="BD62" s="32"/>
      <c r="BE62" s="32"/>
      <c r="BF62" s="32"/>
      <c r="BG62" s="32"/>
      <c r="BH62" s="32"/>
      <c r="BI62" s="32"/>
      <c r="BJ62" s="32"/>
      <c r="BK62" s="32"/>
      <c r="BL62" s="32"/>
      <c r="BM62" s="32"/>
      <c r="BN62" s="32"/>
      <c r="BO62" s="32"/>
      <c r="BP62" s="32"/>
      <c r="BQ62" s="32"/>
      <c r="BR62" s="32"/>
      <c r="BS62" s="32"/>
      <c r="BT62" s="32"/>
      <c r="BU62" s="32"/>
    </row>
    <row r="63">
      <c r="A63" s="628" t="s">
        <v>803</v>
      </c>
      <c r="B63" s="560" t="s">
        <v>802</v>
      </c>
      <c r="C63" s="629">
        <v>67.66</v>
      </c>
      <c r="D63" s="629">
        <v>69.6</v>
      </c>
      <c r="E63" s="629">
        <v>69.32</v>
      </c>
      <c r="F63" s="629">
        <v>73.1</v>
      </c>
      <c r="G63" s="629">
        <v>76.09</v>
      </c>
      <c r="H63" s="629">
        <v>78.83</v>
      </c>
      <c r="I63" s="629">
        <v>82.48</v>
      </c>
      <c r="J63" s="629">
        <v>88.24</v>
      </c>
      <c r="K63" s="629">
        <v>93.98</v>
      </c>
      <c r="L63" s="629">
        <v>101.62</v>
      </c>
      <c r="M63" s="629">
        <v>109.48</v>
      </c>
      <c r="N63" s="629">
        <v>118.43</v>
      </c>
      <c r="O63" s="629">
        <v>127.9</v>
      </c>
      <c r="P63" s="629">
        <v>141.34</v>
      </c>
      <c r="Q63" s="629">
        <v>156.84</v>
      </c>
      <c r="R63" s="629">
        <v>174.8</v>
      </c>
      <c r="S63" s="629">
        <v>193.45</v>
      </c>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row>
    <row r="64">
      <c r="A64" s="628" t="s">
        <v>804</v>
      </c>
      <c r="B64" s="560" t="s">
        <v>802</v>
      </c>
      <c r="C64" s="629">
        <v>0.35</v>
      </c>
      <c r="D64" s="629">
        <v>1.1</v>
      </c>
      <c r="E64" s="629">
        <v>0.42</v>
      </c>
      <c r="F64" s="629">
        <v>0.43</v>
      </c>
      <c r="G64" s="629">
        <v>0.41</v>
      </c>
      <c r="H64" s="629">
        <v>0.58</v>
      </c>
      <c r="I64" s="629">
        <v>0.42</v>
      </c>
      <c r="J64" s="629">
        <v>1.37</v>
      </c>
      <c r="K64" s="629">
        <v>0.59</v>
      </c>
      <c r="L64" s="629">
        <v>0.66</v>
      </c>
      <c r="M64" s="629">
        <v>0.71</v>
      </c>
      <c r="N64" s="629">
        <v>0.79</v>
      </c>
      <c r="O64" s="629">
        <v>0.85</v>
      </c>
      <c r="P64" s="629">
        <v>0.98</v>
      </c>
      <c r="Q64" s="629">
        <v>0.92</v>
      </c>
      <c r="R64" s="629">
        <v>1.13</v>
      </c>
      <c r="S64" s="629">
        <v>1.2</v>
      </c>
      <c r="T64" s="630">
        <v>1.05</v>
      </c>
      <c r="U64" s="630">
        <v>1.05</v>
      </c>
      <c r="V64" s="630">
        <v>1.05</v>
      </c>
      <c r="W64" s="631">
        <v>1.05</v>
      </c>
      <c r="X64" s="630">
        <v>1.05</v>
      </c>
      <c r="Y64" s="630">
        <v>1.05</v>
      </c>
      <c r="Z64" s="630">
        <v>1.05</v>
      </c>
      <c r="AA64" s="630">
        <v>1.05</v>
      </c>
      <c r="AB64" s="630">
        <v>1.05</v>
      </c>
      <c r="AC64" s="630">
        <v>1.05</v>
      </c>
      <c r="AD64" s="630">
        <v>1.05</v>
      </c>
      <c r="AE64" s="630">
        <v>1.05</v>
      </c>
      <c r="AF64" s="630">
        <v>1.05</v>
      </c>
      <c r="AG64" s="630">
        <v>1.05</v>
      </c>
      <c r="AH64" s="630">
        <v>1.05</v>
      </c>
      <c r="AI64" s="630">
        <v>1.05</v>
      </c>
      <c r="AJ64" s="630">
        <v>1.05</v>
      </c>
      <c r="AK64" s="630">
        <v>1.05</v>
      </c>
      <c r="AL64" s="630">
        <v>1.05</v>
      </c>
      <c r="AM64" s="630">
        <v>1.05</v>
      </c>
      <c r="AN64" s="630">
        <v>1.05</v>
      </c>
      <c r="AO64" s="630">
        <v>1.05</v>
      </c>
      <c r="AP64" s="630">
        <v>1.05</v>
      </c>
      <c r="AQ64" s="630">
        <v>1.05</v>
      </c>
      <c r="AR64" s="630">
        <v>1.05</v>
      </c>
      <c r="AS64" s="630">
        <v>1.05</v>
      </c>
      <c r="AT64" s="630">
        <v>1.05</v>
      </c>
      <c r="AU64" s="630">
        <v>1.05</v>
      </c>
      <c r="AV64" s="630">
        <v>1.05</v>
      </c>
      <c r="AW64" s="630">
        <v>1.05</v>
      </c>
      <c r="AX64" s="630">
        <v>1.05</v>
      </c>
      <c r="AY64" s="630">
        <v>1.05</v>
      </c>
      <c r="AZ64" s="630">
        <v>1.05</v>
      </c>
      <c r="BA64" s="630">
        <v>1.05</v>
      </c>
      <c r="BB64" s="32"/>
      <c r="BC64" s="32"/>
      <c r="BD64" s="32"/>
      <c r="BE64" s="32"/>
      <c r="BF64" s="32"/>
      <c r="BG64" s="32"/>
      <c r="BH64" s="32"/>
      <c r="BI64" s="32"/>
      <c r="BJ64" s="32"/>
      <c r="BK64" s="32"/>
      <c r="BL64" s="32"/>
      <c r="BM64" s="32"/>
      <c r="BN64" s="32"/>
      <c r="BO64" s="32"/>
      <c r="BP64" s="32"/>
      <c r="BQ64" s="32"/>
      <c r="BR64" s="32"/>
      <c r="BS64" s="32"/>
      <c r="BT64" s="32"/>
      <c r="BU64" s="32"/>
    </row>
    <row r="65">
      <c r="A65" s="632" t="s">
        <v>805</v>
      </c>
      <c r="B65" s="630"/>
      <c r="C65" s="630">
        <f t="shared" ref="C65:W65" si="39">C62*C67</f>
        <v>5.389863418</v>
      </c>
      <c r="D65" s="630">
        <f t="shared" si="39"/>
        <v>5.293863469</v>
      </c>
      <c r="E65" s="630">
        <f t="shared" si="39"/>
        <v>5.26378519</v>
      </c>
      <c r="F65" s="630">
        <f t="shared" si="39"/>
        <v>5.252633203</v>
      </c>
      <c r="G65" s="630">
        <f t="shared" si="39"/>
        <v>5.231613035</v>
      </c>
      <c r="H65" s="630">
        <f t="shared" si="39"/>
        <v>5.275833159</v>
      </c>
      <c r="I65" s="630">
        <f t="shared" si="39"/>
        <v>5.20426293</v>
      </c>
      <c r="J65" s="630">
        <f t="shared" si="39"/>
        <v>5.285660514</v>
      </c>
      <c r="K65" s="630">
        <f t="shared" si="39"/>
        <v>5.301195504</v>
      </c>
      <c r="L65" s="630">
        <f t="shared" si="39"/>
        <v>5.314712212</v>
      </c>
      <c r="M65" s="630">
        <f t="shared" si="39"/>
        <v>5.300519056</v>
      </c>
      <c r="N65" s="630">
        <f t="shared" si="39"/>
        <v>5.319786568</v>
      </c>
      <c r="O65" s="630">
        <f t="shared" si="39"/>
        <v>5.309373637</v>
      </c>
      <c r="P65" s="630">
        <f t="shared" si="39"/>
        <v>5.316002932</v>
      </c>
      <c r="Q65" s="630">
        <f t="shared" si="39"/>
        <v>5.296763023</v>
      </c>
      <c r="R65" s="630">
        <f t="shared" si="39"/>
        <v>5.295681056</v>
      </c>
      <c r="S65" s="630">
        <f t="shared" si="39"/>
        <v>5.295745263</v>
      </c>
      <c r="T65" s="630">
        <f t="shared" si="39"/>
        <v>5.305531028</v>
      </c>
      <c r="U65" s="630">
        <f t="shared" si="39"/>
        <v>5.305531028</v>
      </c>
      <c r="V65" s="630">
        <f t="shared" si="39"/>
        <v>5.305531028</v>
      </c>
      <c r="W65" s="630">
        <f t="shared" si="39"/>
        <v>5.305531028</v>
      </c>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row>
    <row r="66">
      <c r="A66" s="628" t="s">
        <v>806</v>
      </c>
      <c r="B66" s="560" t="s">
        <v>802</v>
      </c>
      <c r="C66" s="629">
        <v>189.17</v>
      </c>
      <c r="D66" s="629">
        <v>199.03</v>
      </c>
      <c r="E66" s="629">
        <v>204.83</v>
      </c>
      <c r="F66" s="629">
        <v>214.89</v>
      </c>
      <c r="G66" s="629">
        <v>225.08</v>
      </c>
      <c r="H66" s="629">
        <v>238.31</v>
      </c>
      <c r="I66" s="629">
        <v>249.59</v>
      </c>
      <c r="J66" s="629">
        <v>262.12</v>
      </c>
      <c r="K66" s="629">
        <v>275.23</v>
      </c>
      <c r="L66" s="629">
        <v>289.89</v>
      </c>
      <c r="M66" s="629">
        <v>307.42</v>
      </c>
      <c r="N66" s="629">
        <v>317.98</v>
      </c>
      <c r="O66" s="629">
        <v>332.2</v>
      </c>
      <c r="P66" s="629">
        <v>347.3</v>
      </c>
      <c r="Q66" s="629">
        <v>362.64</v>
      </c>
      <c r="R66" s="629">
        <v>380.27</v>
      </c>
      <c r="S66" s="629">
        <v>398.96</v>
      </c>
      <c r="T66" s="32"/>
      <c r="U66" s="32"/>
      <c r="V66" s="32"/>
      <c r="W66" s="633"/>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row>
    <row r="67">
      <c r="A67" s="31" t="s">
        <v>807</v>
      </c>
      <c r="B67" s="410"/>
      <c r="C67" s="410">
        <f t="shared" ref="C67:BA67" si="40">1-C9</f>
        <v>0.5395258676</v>
      </c>
      <c r="D67" s="410">
        <f t="shared" si="40"/>
        <v>0.5299162632</v>
      </c>
      <c r="E67" s="410">
        <f t="shared" si="40"/>
        <v>0.5269054245</v>
      </c>
      <c r="F67" s="410">
        <f t="shared" si="40"/>
        <v>0.5257891094</v>
      </c>
      <c r="G67" s="410">
        <f t="shared" si="40"/>
        <v>0.5236849885</v>
      </c>
      <c r="H67" s="410">
        <f t="shared" si="40"/>
        <v>0.5281114274</v>
      </c>
      <c r="I67" s="410">
        <f t="shared" si="40"/>
        <v>0.5209472402</v>
      </c>
      <c r="J67" s="410">
        <f t="shared" si="40"/>
        <v>0.5290951466</v>
      </c>
      <c r="K67" s="410">
        <f t="shared" si="40"/>
        <v>0.5306502006</v>
      </c>
      <c r="L67" s="410">
        <f t="shared" si="40"/>
        <v>0.5320032244</v>
      </c>
      <c r="M67" s="410">
        <f t="shared" si="40"/>
        <v>0.5305824881</v>
      </c>
      <c r="N67" s="410">
        <f t="shared" si="40"/>
        <v>0.532511168</v>
      </c>
      <c r="O67" s="410">
        <f t="shared" si="40"/>
        <v>0.5314688325</v>
      </c>
      <c r="P67" s="410">
        <f t="shared" si="40"/>
        <v>0.5321324256</v>
      </c>
      <c r="Q67" s="410">
        <f t="shared" si="40"/>
        <v>0.5302065088</v>
      </c>
      <c r="R67" s="410">
        <f t="shared" si="40"/>
        <v>0.5300982038</v>
      </c>
      <c r="S67" s="410">
        <f t="shared" si="40"/>
        <v>0.530104631</v>
      </c>
      <c r="T67" s="410">
        <f t="shared" si="40"/>
        <v>0.531084187</v>
      </c>
      <c r="U67" s="410">
        <f t="shared" si="40"/>
        <v>0.531084187</v>
      </c>
      <c r="V67" s="410">
        <f t="shared" si="40"/>
        <v>0.531084187</v>
      </c>
      <c r="W67" s="410">
        <f t="shared" si="40"/>
        <v>0.531084187</v>
      </c>
      <c r="X67" s="410">
        <f t="shared" si="40"/>
        <v>0.531084187</v>
      </c>
      <c r="Y67" s="410">
        <f t="shared" si="40"/>
        <v>0.531084187</v>
      </c>
      <c r="Z67" s="410">
        <f t="shared" si="40"/>
        <v>0.531084187</v>
      </c>
      <c r="AA67" s="410">
        <f t="shared" si="40"/>
        <v>0.531084187</v>
      </c>
      <c r="AB67" s="410">
        <f t="shared" si="40"/>
        <v>0.531084187</v>
      </c>
      <c r="AC67" s="410">
        <f t="shared" si="40"/>
        <v>0.531084187</v>
      </c>
      <c r="AD67" s="410">
        <f t="shared" si="40"/>
        <v>0.531084187</v>
      </c>
      <c r="AE67" s="410">
        <f t="shared" si="40"/>
        <v>0.531084187</v>
      </c>
      <c r="AF67" s="410">
        <f t="shared" si="40"/>
        <v>0.531084187</v>
      </c>
      <c r="AG67" s="410">
        <f t="shared" si="40"/>
        <v>0.531084187</v>
      </c>
      <c r="AH67" s="410">
        <f t="shared" si="40"/>
        <v>0.531084187</v>
      </c>
      <c r="AI67" s="410">
        <f t="shared" si="40"/>
        <v>0.531084187</v>
      </c>
      <c r="AJ67" s="410">
        <f t="shared" si="40"/>
        <v>0.531084187</v>
      </c>
      <c r="AK67" s="410">
        <f t="shared" si="40"/>
        <v>0.531084187</v>
      </c>
      <c r="AL67" s="410">
        <f t="shared" si="40"/>
        <v>0.531084187</v>
      </c>
      <c r="AM67" s="410">
        <f t="shared" si="40"/>
        <v>0.531084187</v>
      </c>
      <c r="AN67" s="410">
        <f t="shared" si="40"/>
        <v>0.531084187</v>
      </c>
      <c r="AO67" s="410">
        <f t="shared" si="40"/>
        <v>0.531084187</v>
      </c>
      <c r="AP67" s="410">
        <f t="shared" si="40"/>
        <v>0.531084187</v>
      </c>
      <c r="AQ67" s="410">
        <f t="shared" si="40"/>
        <v>0.531084187</v>
      </c>
      <c r="AR67" s="410">
        <f t="shared" si="40"/>
        <v>0.531084187</v>
      </c>
      <c r="AS67" s="410">
        <f t="shared" si="40"/>
        <v>0.531084187</v>
      </c>
      <c r="AT67" s="410">
        <f t="shared" si="40"/>
        <v>0.531084187</v>
      </c>
      <c r="AU67" s="410">
        <f t="shared" si="40"/>
        <v>0.531084187</v>
      </c>
      <c r="AV67" s="410">
        <f t="shared" si="40"/>
        <v>0.531084187</v>
      </c>
      <c r="AW67" s="410">
        <f t="shared" si="40"/>
        <v>0.531084187</v>
      </c>
      <c r="AX67" s="410">
        <f t="shared" si="40"/>
        <v>0.531084187</v>
      </c>
      <c r="AY67" s="410">
        <f t="shared" si="40"/>
        <v>0.531084187</v>
      </c>
      <c r="AZ67" s="410">
        <f t="shared" si="40"/>
        <v>0.531084187</v>
      </c>
      <c r="BA67" s="410">
        <f t="shared" si="40"/>
        <v>0.531084187</v>
      </c>
      <c r="BB67" s="32"/>
      <c r="BC67" s="32"/>
      <c r="BD67" s="32"/>
      <c r="BE67" s="32"/>
      <c r="BF67" s="32"/>
      <c r="BG67" s="32"/>
      <c r="BH67" s="32"/>
      <c r="BI67" s="32"/>
      <c r="BJ67" s="32"/>
      <c r="BK67" s="32"/>
      <c r="BL67" s="32"/>
      <c r="BM67" s="32"/>
      <c r="BN67" s="32"/>
      <c r="BO67" s="32"/>
      <c r="BP67" s="32"/>
      <c r="BQ67" s="32"/>
      <c r="BR67" s="32"/>
      <c r="BS67" s="32"/>
      <c r="BT67" s="32"/>
      <c r="BU67" s="32"/>
    </row>
    <row r="68">
      <c r="A68" s="628" t="s">
        <v>808</v>
      </c>
      <c r="B68" s="560" t="s">
        <v>802</v>
      </c>
      <c r="C68" s="629">
        <v>1.74</v>
      </c>
      <c r="D68" s="629">
        <v>1.92</v>
      </c>
      <c r="E68" s="629">
        <v>1.86</v>
      </c>
      <c r="F68" s="629">
        <v>2.22</v>
      </c>
      <c r="G68" s="629">
        <v>2.23</v>
      </c>
      <c r="H68" s="629">
        <v>2.49</v>
      </c>
      <c r="I68" s="629">
        <v>2.71</v>
      </c>
      <c r="J68" s="629">
        <v>2.91</v>
      </c>
      <c r="K68" s="629">
        <v>2.86</v>
      </c>
      <c r="L68" s="629">
        <v>2.83</v>
      </c>
      <c r="M68" s="629">
        <v>3.78</v>
      </c>
      <c r="N68" s="629">
        <v>3.45</v>
      </c>
      <c r="O68" s="629">
        <v>3.7</v>
      </c>
      <c r="P68" s="629">
        <v>3.2</v>
      </c>
      <c r="Q68" s="629">
        <v>3.48</v>
      </c>
      <c r="R68" s="629">
        <v>3.94</v>
      </c>
      <c r="S68" s="629">
        <v>4.06</v>
      </c>
      <c r="T68" s="630">
        <v>4.81</v>
      </c>
      <c r="U68" s="630">
        <v>4.81</v>
      </c>
      <c r="V68" s="630">
        <v>4.81</v>
      </c>
      <c r="W68" s="631">
        <v>4.81</v>
      </c>
      <c r="X68" s="630">
        <v>4.81</v>
      </c>
      <c r="Y68" s="630">
        <v>4.81</v>
      </c>
      <c r="Z68" s="630">
        <v>4.81</v>
      </c>
      <c r="AA68" s="630">
        <v>4.81</v>
      </c>
      <c r="AB68" s="630">
        <v>4.81</v>
      </c>
      <c r="AC68" s="630">
        <v>4.81</v>
      </c>
      <c r="AD68" s="630">
        <v>4.81</v>
      </c>
      <c r="AE68" s="630">
        <v>4.81</v>
      </c>
      <c r="AF68" s="630">
        <v>4.81</v>
      </c>
      <c r="AG68" s="630">
        <v>4.81</v>
      </c>
      <c r="AH68" s="630">
        <v>4.81</v>
      </c>
      <c r="AI68" s="630">
        <v>4.81</v>
      </c>
      <c r="AJ68" s="630">
        <v>4.81</v>
      </c>
      <c r="AK68" s="630">
        <v>4.81</v>
      </c>
      <c r="AL68" s="630">
        <v>4.81</v>
      </c>
      <c r="AM68" s="630">
        <v>4.81</v>
      </c>
      <c r="AN68" s="630">
        <v>4.81</v>
      </c>
      <c r="AO68" s="630">
        <v>4.81</v>
      </c>
      <c r="AP68" s="630">
        <v>4.81</v>
      </c>
      <c r="AQ68" s="630">
        <v>4.81</v>
      </c>
      <c r="AR68" s="630">
        <v>4.81</v>
      </c>
      <c r="AS68" s="630">
        <v>4.81</v>
      </c>
      <c r="AT68" s="630">
        <v>4.81</v>
      </c>
      <c r="AU68" s="630">
        <v>4.81</v>
      </c>
      <c r="AV68" s="630">
        <v>4.81</v>
      </c>
      <c r="AW68" s="630">
        <v>4.81</v>
      </c>
      <c r="AX68" s="630">
        <v>4.81</v>
      </c>
      <c r="AY68" s="630">
        <v>4.81</v>
      </c>
      <c r="AZ68" s="630">
        <v>4.81</v>
      </c>
      <c r="BA68" s="630">
        <v>4.81</v>
      </c>
      <c r="BB68" s="32"/>
      <c r="BC68" s="32"/>
      <c r="BD68" s="32"/>
      <c r="BE68" s="32"/>
      <c r="BF68" s="32"/>
      <c r="BG68" s="32"/>
      <c r="BH68" s="32"/>
      <c r="BI68" s="32"/>
      <c r="BJ68" s="32"/>
      <c r="BK68" s="32"/>
      <c r="BL68" s="32"/>
      <c r="BM68" s="32"/>
      <c r="BN68" s="32"/>
      <c r="BO68" s="32"/>
      <c r="BP68" s="32"/>
      <c r="BQ68" s="32"/>
      <c r="BR68" s="32"/>
      <c r="BS68" s="32"/>
      <c r="BT68" s="32"/>
      <c r="BU68" s="32"/>
    </row>
    <row r="69">
      <c r="A69" s="634" t="s">
        <v>809</v>
      </c>
      <c r="B69" s="560" t="s">
        <v>802</v>
      </c>
      <c r="C69" s="629">
        <v>24.33</v>
      </c>
      <c r="D69" s="629">
        <v>24.19</v>
      </c>
      <c r="E69" s="629">
        <v>23.66</v>
      </c>
      <c r="F69" s="629">
        <v>23.41</v>
      </c>
      <c r="G69" s="629">
        <v>23.8</v>
      </c>
      <c r="H69" s="629">
        <v>23.92</v>
      </c>
      <c r="I69" s="629">
        <v>23.97</v>
      </c>
      <c r="J69" s="629">
        <v>24.0</v>
      </c>
      <c r="K69" s="629">
        <v>24.19</v>
      </c>
      <c r="L69" s="629">
        <v>25.25</v>
      </c>
      <c r="M69" s="629">
        <v>26.59</v>
      </c>
      <c r="N69" s="629">
        <v>27.27</v>
      </c>
      <c r="O69" s="629">
        <v>28.62</v>
      </c>
      <c r="P69" s="629">
        <v>30.57</v>
      </c>
      <c r="Q69" s="629">
        <v>32.28</v>
      </c>
      <c r="R69" s="629">
        <v>34.07</v>
      </c>
      <c r="S69" s="629">
        <v>35.57</v>
      </c>
      <c r="T69" s="32"/>
      <c r="U69" s="32"/>
      <c r="V69" s="32"/>
      <c r="W69" s="633"/>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row>
    <row r="70">
      <c r="A70" s="628" t="s">
        <v>810</v>
      </c>
      <c r="B70" s="560" t="s">
        <v>802</v>
      </c>
      <c r="C70" s="629">
        <v>1.41</v>
      </c>
      <c r="D70" s="629">
        <v>1.33</v>
      </c>
      <c r="E70" s="629">
        <v>1.27</v>
      </c>
      <c r="F70" s="629">
        <v>1.13</v>
      </c>
      <c r="G70" s="629">
        <v>1.19</v>
      </c>
      <c r="H70" s="629">
        <v>1.44</v>
      </c>
      <c r="I70" s="629">
        <v>1.34</v>
      </c>
      <c r="J70" s="629">
        <v>1.02</v>
      </c>
      <c r="K70" s="629">
        <v>1.16</v>
      </c>
      <c r="L70" s="629">
        <v>1.14</v>
      </c>
      <c r="M70" s="629">
        <v>1.12</v>
      </c>
      <c r="N70" s="629">
        <v>1.17</v>
      </c>
      <c r="O70" s="629">
        <v>1.22</v>
      </c>
      <c r="P70" s="629">
        <v>1.12</v>
      </c>
      <c r="Q70" s="629">
        <v>1.12</v>
      </c>
      <c r="R70" s="629">
        <v>1.63</v>
      </c>
      <c r="S70" s="629">
        <v>1.61</v>
      </c>
      <c r="T70" s="630">
        <v>1.26</v>
      </c>
      <c r="U70" s="630">
        <v>1.25</v>
      </c>
      <c r="V70" s="630">
        <v>1.25</v>
      </c>
      <c r="W70" s="631">
        <v>1.25</v>
      </c>
      <c r="X70" s="630">
        <v>1.25</v>
      </c>
      <c r="Y70" s="630">
        <v>1.26</v>
      </c>
      <c r="Z70" s="630">
        <v>1.24</v>
      </c>
      <c r="AA70" s="630">
        <v>1.24</v>
      </c>
      <c r="AB70" s="630">
        <v>1.25</v>
      </c>
      <c r="AC70" s="630">
        <v>1.26</v>
      </c>
      <c r="AD70" s="630">
        <v>1.26</v>
      </c>
      <c r="AE70" s="630">
        <v>1.27</v>
      </c>
      <c r="AF70" s="630">
        <v>1.28</v>
      </c>
      <c r="AG70" s="630">
        <v>1.28</v>
      </c>
      <c r="AH70" s="630">
        <v>1.29</v>
      </c>
      <c r="AI70" s="630">
        <v>1.3</v>
      </c>
      <c r="AJ70" s="630">
        <v>1.28</v>
      </c>
      <c r="AK70" s="630">
        <v>1.26</v>
      </c>
      <c r="AL70" s="630">
        <v>1.26</v>
      </c>
      <c r="AM70" s="630">
        <v>1.26</v>
      </c>
      <c r="AN70" s="630">
        <v>1.27</v>
      </c>
      <c r="AO70" s="630">
        <v>1.27</v>
      </c>
      <c r="AP70" s="630">
        <v>1.27</v>
      </c>
      <c r="AQ70" s="630">
        <v>1.27</v>
      </c>
      <c r="AR70" s="630">
        <v>1.27</v>
      </c>
      <c r="AS70" s="630">
        <v>1.27</v>
      </c>
      <c r="AT70" s="630">
        <v>1.27</v>
      </c>
      <c r="AU70" s="630">
        <v>1.27</v>
      </c>
      <c r="AV70" s="630">
        <v>1.27</v>
      </c>
      <c r="AW70" s="630">
        <v>1.27</v>
      </c>
      <c r="AX70" s="630">
        <v>1.27</v>
      </c>
      <c r="AY70" s="630">
        <v>1.27</v>
      </c>
      <c r="AZ70" s="630">
        <v>1.27</v>
      </c>
      <c r="BA70" s="630">
        <v>1.27</v>
      </c>
      <c r="BB70" s="32"/>
      <c r="BC70" s="32"/>
      <c r="BD70" s="32"/>
      <c r="BE70" s="32"/>
      <c r="BF70" s="32"/>
      <c r="BG70" s="32"/>
      <c r="BH70" s="32"/>
      <c r="BI70" s="32"/>
      <c r="BJ70" s="32"/>
      <c r="BK70" s="32"/>
      <c r="BL70" s="32"/>
      <c r="BM70" s="32"/>
      <c r="BN70" s="32"/>
      <c r="BO70" s="32"/>
      <c r="BP70" s="32"/>
      <c r="BQ70" s="32"/>
      <c r="BR70" s="32"/>
      <c r="BS70" s="32"/>
      <c r="BT70" s="32"/>
      <c r="BU70" s="32"/>
    </row>
    <row r="72">
      <c r="B72" s="560"/>
      <c r="C72" s="560"/>
      <c r="D72" s="560"/>
      <c r="E72" s="560"/>
      <c r="F72" s="560"/>
      <c r="G72" s="560"/>
      <c r="H72" s="560"/>
      <c r="I72" s="560"/>
      <c r="J72" s="560"/>
      <c r="K72" s="560"/>
      <c r="L72" s="560"/>
      <c r="M72" s="560"/>
      <c r="N72" s="560"/>
      <c r="O72" s="560"/>
      <c r="P72" s="560"/>
      <c r="Q72" s="560"/>
      <c r="R72" s="560"/>
      <c r="S72" s="560"/>
      <c r="T72" s="560"/>
      <c r="U72" s="560"/>
      <c r="V72" s="560"/>
      <c r="W72" s="560"/>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54.14"/>
    <col customWidth="1" min="2" max="3" width="8.86"/>
    <col customWidth="1" min="4" max="4" width="9.29"/>
    <col customWidth="1" min="5" max="6" width="8.71"/>
    <col customWidth="1" min="7" max="12" width="8.86"/>
    <col customWidth="1" min="13" max="60" width="8.71"/>
  </cols>
  <sheetData>
    <row r="1">
      <c r="A1" s="635" t="s">
        <v>811</v>
      </c>
      <c r="B1" s="78"/>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c r="AO1" s="78"/>
      <c r="AP1" s="78"/>
      <c r="AQ1" s="78"/>
      <c r="AR1" s="78"/>
      <c r="AS1" s="78"/>
      <c r="AT1" s="78"/>
      <c r="AU1" s="78"/>
      <c r="AV1" s="78"/>
      <c r="AW1" s="78"/>
      <c r="AX1" s="78"/>
      <c r="AY1" s="78"/>
      <c r="AZ1" s="78"/>
    </row>
    <row r="2">
      <c r="A2" s="635">
        <v>0.0</v>
      </c>
      <c r="B2" s="78">
        <v>2000.0</v>
      </c>
      <c r="C2" s="78">
        <v>2001.0</v>
      </c>
      <c r="D2" s="78">
        <v>2002.0</v>
      </c>
      <c r="E2" s="78">
        <v>2003.0</v>
      </c>
      <c r="F2" s="78">
        <v>2004.0</v>
      </c>
      <c r="G2" s="78">
        <v>2005.0</v>
      </c>
      <c r="H2" s="78">
        <v>2006.0</v>
      </c>
      <c r="I2" s="78">
        <v>2007.0</v>
      </c>
      <c r="J2" s="78">
        <v>2008.0</v>
      </c>
      <c r="K2" s="78">
        <v>2009.0</v>
      </c>
      <c r="L2" s="78">
        <v>2010.0</v>
      </c>
      <c r="M2" s="78">
        <v>2011.0</v>
      </c>
      <c r="N2" s="78">
        <v>2012.0</v>
      </c>
      <c r="O2" s="78">
        <v>2013.0</v>
      </c>
      <c r="P2" s="78">
        <v>2014.0</v>
      </c>
      <c r="Q2" s="78">
        <v>2015.0</v>
      </c>
      <c r="R2" s="78">
        <v>2016.0</v>
      </c>
      <c r="S2" s="78">
        <v>2017.0</v>
      </c>
      <c r="T2" s="78">
        <v>2018.0</v>
      </c>
      <c r="U2" s="78">
        <v>2019.0</v>
      </c>
      <c r="V2" s="78">
        <v>2020.0</v>
      </c>
      <c r="W2" s="78">
        <v>2021.0</v>
      </c>
      <c r="X2" s="78">
        <v>2022.0</v>
      </c>
      <c r="Y2" s="78">
        <v>2023.0</v>
      </c>
      <c r="Z2" s="78">
        <v>2024.0</v>
      </c>
      <c r="AA2" s="78">
        <v>2025.0</v>
      </c>
      <c r="AB2" s="78">
        <v>2026.0</v>
      </c>
      <c r="AC2" s="78">
        <v>2027.0</v>
      </c>
      <c r="AD2" s="78">
        <v>2028.0</v>
      </c>
      <c r="AE2" s="78">
        <v>2029.0</v>
      </c>
      <c r="AF2" s="78">
        <v>2030.0</v>
      </c>
      <c r="AG2" s="78">
        <v>2031.0</v>
      </c>
      <c r="AH2" s="78">
        <v>2032.0</v>
      </c>
      <c r="AI2" s="78">
        <v>2033.0</v>
      </c>
      <c r="AJ2" s="78">
        <v>2034.0</v>
      </c>
      <c r="AK2" s="78">
        <v>2035.0</v>
      </c>
      <c r="AL2" s="78">
        <v>2036.0</v>
      </c>
      <c r="AM2" s="78">
        <v>2037.0</v>
      </c>
      <c r="AN2" s="78">
        <v>2038.0</v>
      </c>
      <c r="AO2" s="78">
        <v>2039.0</v>
      </c>
      <c r="AP2" s="78">
        <v>2040.0</v>
      </c>
      <c r="AQ2" s="78">
        <v>2041.0</v>
      </c>
      <c r="AR2" s="78">
        <v>2042.0</v>
      </c>
      <c r="AS2" s="78">
        <v>2043.0</v>
      </c>
      <c r="AT2" s="78">
        <v>2044.0</v>
      </c>
      <c r="AU2" s="78">
        <v>2045.0</v>
      </c>
      <c r="AV2" s="78">
        <v>2046.0</v>
      </c>
      <c r="AW2" s="78">
        <v>2047.0</v>
      </c>
      <c r="AX2" s="78">
        <v>2048.0</v>
      </c>
      <c r="AY2" s="78">
        <v>2049.0</v>
      </c>
      <c r="AZ2" s="78">
        <v>2050.0</v>
      </c>
    </row>
    <row r="3">
      <c r="A3" s="636" t="s">
        <v>812</v>
      </c>
      <c r="B3" s="95">
        <v>0.832912139</v>
      </c>
      <c r="C3" s="95">
        <v>0.806146839</v>
      </c>
      <c r="D3" s="95">
        <v>0.750084683</v>
      </c>
      <c r="E3" s="95">
        <v>0.78258725</v>
      </c>
      <c r="F3" s="95">
        <v>0.869450815</v>
      </c>
      <c r="G3" s="95">
        <v>0.939785012</v>
      </c>
      <c r="H3" s="95">
        <v>1.076807796</v>
      </c>
      <c r="I3" s="95">
        <v>1.137262158</v>
      </c>
      <c r="J3" s="95">
        <v>1.26793461</v>
      </c>
      <c r="K3" s="95">
        <v>1.310132618</v>
      </c>
      <c r="L3" s="95">
        <v>1.387720113</v>
      </c>
      <c r="M3" s="95">
        <v>1.414356487</v>
      </c>
      <c r="N3" s="95">
        <v>1.48579806</v>
      </c>
      <c r="O3" s="95">
        <v>1.523672487</v>
      </c>
      <c r="P3" s="95">
        <v>1.64695471</v>
      </c>
      <c r="Q3" s="95">
        <v>1.643100142</v>
      </c>
      <c r="R3" s="95">
        <v>1.744708918</v>
      </c>
      <c r="S3" s="637">
        <f t="shared" ref="S3:AZ3" si="1">-129+6.97*ln(S96)</f>
        <v>1.319899681</v>
      </c>
      <c r="T3" s="637">
        <f t="shared" si="1"/>
        <v>1.319899681</v>
      </c>
      <c r="U3" s="637">
        <f t="shared" si="1"/>
        <v>1.319899681</v>
      </c>
      <c r="V3" s="637">
        <f t="shared" si="1"/>
        <v>1.319899681</v>
      </c>
      <c r="W3" s="637">
        <f t="shared" si="1"/>
        <v>1.319899681</v>
      </c>
      <c r="X3" s="637">
        <f t="shared" si="1"/>
        <v>1.319899681</v>
      </c>
      <c r="Y3" s="637">
        <f t="shared" si="1"/>
        <v>1.319899681</v>
      </c>
      <c r="Z3" s="637">
        <f t="shared" si="1"/>
        <v>1.319899681</v>
      </c>
      <c r="AA3" s="637">
        <f t="shared" si="1"/>
        <v>1.319899681</v>
      </c>
      <c r="AB3" s="637">
        <f t="shared" si="1"/>
        <v>1.319899681</v>
      </c>
      <c r="AC3" s="637">
        <f t="shared" si="1"/>
        <v>1.319899681</v>
      </c>
      <c r="AD3" s="637">
        <f t="shared" si="1"/>
        <v>1.319899681</v>
      </c>
      <c r="AE3" s="637">
        <f t="shared" si="1"/>
        <v>1.319899681</v>
      </c>
      <c r="AF3" s="637">
        <f t="shared" si="1"/>
        <v>1.319899681</v>
      </c>
      <c r="AG3" s="637">
        <f t="shared" si="1"/>
        <v>1.319899681</v>
      </c>
      <c r="AH3" s="637">
        <f t="shared" si="1"/>
        <v>1.319899681</v>
      </c>
      <c r="AI3" s="637">
        <f t="shared" si="1"/>
        <v>1.319899681</v>
      </c>
      <c r="AJ3" s="637">
        <f t="shared" si="1"/>
        <v>1.319899681</v>
      </c>
      <c r="AK3" s="637">
        <f t="shared" si="1"/>
        <v>1.319899681</v>
      </c>
      <c r="AL3" s="637">
        <f t="shared" si="1"/>
        <v>1.319899681</v>
      </c>
      <c r="AM3" s="637">
        <f t="shared" si="1"/>
        <v>1.319899681</v>
      </c>
      <c r="AN3" s="637">
        <f t="shared" si="1"/>
        <v>1.319899681</v>
      </c>
      <c r="AO3" s="637">
        <f t="shared" si="1"/>
        <v>1.319899681</v>
      </c>
      <c r="AP3" s="637">
        <f t="shared" si="1"/>
        <v>1.319899681</v>
      </c>
      <c r="AQ3" s="637">
        <f t="shared" si="1"/>
        <v>1.319899681</v>
      </c>
      <c r="AR3" s="637">
        <f t="shared" si="1"/>
        <v>1.319899681</v>
      </c>
      <c r="AS3" s="637">
        <f t="shared" si="1"/>
        <v>1.319899681</v>
      </c>
      <c r="AT3" s="637">
        <f t="shared" si="1"/>
        <v>1.319899681</v>
      </c>
      <c r="AU3" s="637">
        <f t="shared" si="1"/>
        <v>1.319899681</v>
      </c>
      <c r="AV3" s="637">
        <f t="shared" si="1"/>
        <v>1.319899681</v>
      </c>
      <c r="AW3" s="637">
        <f t="shared" si="1"/>
        <v>1.319899681</v>
      </c>
      <c r="AX3" s="637">
        <f t="shared" si="1"/>
        <v>1.319899681</v>
      </c>
      <c r="AY3" s="637">
        <f t="shared" si="1"/>
        <v>1.319899681</v>
      </c>
      <c r="AZ3" s="637">
        <f t="shared" si="1"/>
        <v>1.319899681</v>
      </c>
    </row>
    <row r="4">
      <c r="A4" s="636" t="s">
        <v>813</v>
      </c>
      <c r="B4" s="95">
        <v>2.880949779</v>
      </c>
      <c r="C4" s="95">
        <v>3.554611696</v>
      </c>
      <c r="D4" s="95">
        <v>3.708302687</v>
      </c>
      <c r="E4" s="95">
        <v>3.9827134</v>
      </c>
      <c r="F4" s="95">
        <v>4.713073551</v>
      </c>
      <c r="G4" s="95">
        <v>6.014313693</v>
      </c>
      <c r="H4" s="95">
        <v>6.48302537</v>
      </c>
      <c r="I4" s="95">
        <v>6.427053813</v>
      </c>
      <c r="J4" s="95">
        <v>7.279350533</v>
      </c>
      <c r="K4" s="95">
        <v>7.059480719</v>
      </c>
      <c r="L4" s="95">
        <v>7.582450633</v>
      </c>
      <c r="M4" s="95">
        <v>7.551803018</v>
      </c>
      <c r="N4" s="95">
        <v>7.898956762</v>
      </c>
      <c r="O4" s="95">
        <v>8.722264007</v>
      </c>
      <c r="P4" s="95">
        <v>9.868470211</v>
      </c>
      <c r="Q4" s="95">
        <v>10.723777163</v>
      </c>
      <c r="R4" s="95">
        <v>11.556976395</v>
      </c>
      <c r="S4" s="637">
        <f t="shared" ref="S4:AZ4" si="2">-983+53.2*ln(S96)</f>
        <v>11.69421278</v>
      </c>
      <c r="T4" s="637">
        <f t="shared" si="2"/>
        <v>11.69421278</v>
      </c>
      <c r="U4" s="637">
        <f t="shared" si="2"/>
        <v>11.69421278</v>
      </c>
      <c r="V4" s="637">
        <f t="shared" si="2"/>
        <v>11.69421278</v>
      </c>
      <c r="W4" s="637">
        <f t="shared" si="2"/>
        <v>11.69421278</v>
      </c>
      <c r="X4" s="637">
        <f t="shared" si="2"/>
        <v>11.69421278</v>
      </c>
      <c r="Y4" s="637">
        <f t="shared" si="2"/>
        <v>11.69421278</v>
      </c>
      <c r="Z4" s="637">
        <f t="shared" si="2"/>
        <v>11.69421278</v>
      </c>
      <c r="AA4" s="637">
        <f t="shared" si="2"/>
        <v>11.69421278</v>
      </c>
      <c r="AB4" s="637">
        <f t="shared" si="2"/>
        <v>11.69421278</v>
      </c>
      <c r="AC4" s="637">
        <f t="shared" si="2"/>
        <v>11.69421278</v>
      </c>
      <c r="AD4" s="637">
        <f t="shared" si="2"/>
        <v>11.69421278</v>
      </c>
      <c r="AE4" s="637">
        <f t="shared" si="2"/>
        <v>11.69421278</v>
      </c>
      <c r="AF4" s="637">
        <f t="shared" si="2"/>
        <v>11.69421278</v>
      </c>
      <c r="AG4" s="637">
        <f t="shared" si="2"/>
        <v>11.69421278</v>
      </c>
      <c r="AH4" s="637">
        <f t="shared" si="2"/>
        <v>11.69421278</v>
      </c>
      <c r="AI4" s="637">
        <f t="shared" si="2"/>
        <v>11.69421278</v>
      </c>
      <c r="AJ4" s="637">
        <f t="shared" si="2"/>
        <v>11.69421278</v>
      </c>
      <c r="AK4" s="637">
        <f t="shared" si="2"/>
        <v>11.69421278</v>
      </c>
      <c r="AL4" s="637">
        <f t="shared" si="2"/>
        <v>11.69421278</v>
      </c>
      <c r="AM4" s="637">
        <f t="shared" si="2"/>
        <v>11.69421278</v>
      </c>
      <c r="AN4" s="637">
        <f t="shared" si="2"/>
        <v>11.69421278</v>
      </c>
      <c r="AO4" s="637">
        <f t="shared" si="2"/>
        <v>11.69421278</v>
      </c>
      <c r="AP4" s="637">
        <f t="shared" si="2"/>
        <v>11.69421278</v>
      </c>
      <c r="AQ4" s="637">
        <f t="shared" si="2"/>
        <v>11.69421278</v>
      </c>
      <c r="AR4" s="637">
        <f t="shared" si="2"/>
        <v>11.69421278</v>
      </c>
      <c r="AS4" s="637">
        <f t="shared" si="2"/>
        <v>11.69421278</v>
      </c>
      <c r="AT4" s="637">
        <f t="shared" si="2"/>
        <v>11.69421278</v>
      </c>
      <c r="AU4" s="637">
        <f t="shared" si="2"/>
        <v>11.69421278</v>
      </c>
      <c r="AV4" s="637">
        <f t="shared" si="2"/>
        <v>11.69421278</v>
      </c>
      <c r="AW4" s="637">
        <f t="shared" si="2"/>
        <v>11.69421278</v>
      </c>
      <c r="AX4" s="637">
        <f t="shared" si="2"/>
        <v>11.69421278</v>
      </c>
      <c r="AY4" s="637">
        <f t="shared" si="2"/>
        <v>11.69421278</v>
      </c>
      <c r="AZ4" s="637">
        <f t="shared" si="2"/>
        <v>11.69421278</v>
      </c>
    </row>
    <row r="5">
      <c r="A5" s="638" t="s">
        <v>814</v>
      </c>
      <c r="B5" s="218">
        <v>0.0</v>
      </c>
      <c r="C5" s="218">
        <v>0.0</v>
      </c>
      <c r="D5" s="218">
        <v>0.0</v>
      </c>
      <c r="E5" s="218">
        <v>0.0</v>
      </c>
      <c r="F5" s="218">
        <v>0.0</v>
      </c>
      <c r="G5" s="218">
        <v>0.0</v>
      </c>
      <c r="H5" s="218">
        <v>0.037438535</v>
      </c>
      <c r="I5" s="218">
        <v>0.032470958</v>
      </c>
      <c r="J5" s="218">
        <v>0.029167768</v>
      </c>
      <c r="K5" s="218">
        <v>0.037279024</v>
      </c>
      <c r="L5" s="218">
        <v>0.045085244</v>
      </c>
      <c r="M5" s="218">
        <v>0.050421139</v>
      </c>
      <c r="N5" s="218">
        <v>0.051821512</v>
      </c>
      <c r="O5" s="218">
        <v>0.052835649</v>
      </c>
      <c r="P5" s="218">
        <v>0.058900216</v>
      </c>
      <c r="Q5" s="218">
        <v>0.056491276</v>
      </c>
      <c r="R5" s="218">
        <v>0.059686318</v>
      </c>
      <c r="S5" s="637">
        <f t="shared" ref="S5:AZ5" si="3">average(N5:R5)</f>
        <v>0.0559469942</v>
      </c>
      <c r="T5" s="637">
        <f t="shared" si="3"/>
        <v>0.05677209064</v>
      </c>
      <c r="U5" s="637">
        <f t="shared" si="3"/>
        <v>0.05755937897</v>
      </c>
      <c r="V5" s="637">
        <f t="shared" si="3"/>
        <v>0.05729121156</v>
      </c>
      <c r="W5" s="637">
        <f t="shared" si="3"/>
        <v>0.05745119867</v>
      </c>
      <c r="X5" s="637">
        <f t="shared" si="3"/>
        <v>0.05700417481</v>
      </c>
      <c r="Y5" s="637">
        <f t="shared" si="3"/>
        <v>0.05721561093</v>
      </c>
      <c r="Z5" s="637">
        <f t="shared" si="3"/>
        <v>0.05730431499</v>
      </c>
      <c r="AA5" s="637">
        <f t="shared" si="3"/>
        <v>0.05725330219</v>
      </c>
      <c r="AB5" s="637">
        <f t="shared" si="3"/>
        <v>0.05724572032</v>
      </c>
      <c r="AC5" s="637">
        <f t="shared" si="3"/>
        <v>0.05720462465</v>
      </c>
      <c r="AD5" s="637">
        <f t="shared" si="3"/>
        <v>0.05724471462</v>
      </c>
      <c r="AE5" s="637">
        <f t="shared" si="3"/>
        <v>0.05725053535</v>
      </c>
      <c r="AF5" s="637">
        <f t="shared" si="3"/>
        <v>0.05723977943</v>
      </c>
      <c r="AG5" s="637">
        <f t="shared" si="3"/>
        <v>0.05723707487</v>
      </c>
      <c r="AH5" s="637">
        <f t="shared" si="3"/>
        <v>0.05723534578</v>
      </c>
      <c r="AI5" s="637">
        <f t="shared" si="3"/>
        <v>0.05724149001</v>
      </c>
      <c r="AJ5" s="637">
        <f t="shared" si="3"/>
        <v>0.05724084509</v>
      </c>
      <c r="AK5" s="637">
        <f t="shared" si="3"/>
        <v>0.05723890704</v>
      </c>
      <c r="AL5" s="637">
        <f t="shared" si="3"/>
        <v>0.05723873256</v>
      </c>
      <c r="AM5" s="637">
        <f t="shared" si="3"/>
        <v>0.05723906409</v>
      </c>
      <c r="AN5" s="637">
        <f t="shared" si="3"/>
        <v>0.05723980776</v>
      </c>
      <c r="AO5" s="637">
        <f t="shared" si="3"/>
        <v>0.05723947131</v>
      </c>
      <c r="AP5" s="637">
        <f t="shared" si="3"/>
        <v>0.05723919655</v>
      </c>
      <c r="AQ5" s="637">
        <f t="shared" si="3"/>
        <v>0.05723925445</v>
      </c>
      <c r="AR5" s="637">
        <f t="shared" si="3"/>
        <v>0.05723935883</v>
      </c>
      <c r="AS5" s="637">
        <f t="shared" si="3"/>
        <v>0.05723941778</v>
      </c>
      <c r="AT5" s="637">
        <f t="shared" si="3"/>
        <v>0.05723933978</v>
      </c>
      <c r="AU5" s="637">
        <f t="shared" si="3"/>
        <v>0.05723931348</v>
      </c>
      <c r="AV5" s="637">
        <f t="shared" si="3"/>
        <v>0.05723933687</v>
      </c>
      <c r="AW5" s="637">
        <f t="shared" si="3"/>
        <v>0.05723935335</v>
      </c>
      <c r="AX5" s="637">
        <f t="shared" si="3"/>
        <v>0.05723935225</v>
      </c>
      <c r="AY5" s="637">
        <f t="shared" si="3"/>
        <v>0.05723933915</v>
      </c>
      <c r="AZ5" s="637">
        <f t="shared" si="3"/>
        <v>0.05723933902</v>
      </c>
    </row>
    <row r="6">
      <c r="A6" s="636" t="s">
        <v>815</v>
      </c>
      <c r="B6" s="95">
        <v>0.0</v>
      </c>
      <c r="C6" s="95">
        <v>0.0</v>
      </c>
      <c r="D6" s="95">
        <v>0.0</v>
      </c>
      <c r="E6" s="95">
        <v>0.0</v>
      </c>
      <c r="F6" s="95">
        <v>0.0</v>
      </c>
      <c r="G6" s="95">
        <v>0.0</v>
      </c>
      <c r="H6" s="95">
        <v>0.211859135</v>
      </c>
      <c r="I6" s="95">
        <v>0.255444289</v>
      </c>
      <c r="J6" s="95">
        <v>0.258241478</v>
      </c>
      <c r="K6" s="95">
        <v>0.302299861</v>
      </c>
      <c r="L6" s="95">
        <v>0.302960714</v>
      </c>
      <c r="M6" s="95">
        <v>0.298273343</v>
      </c>
      <c r="N6" s="95">
        <v>0.318941713</v>
      </c>
      <c r="O6" s="95">
        <v>0.320806494</v>
      </c>
      <c r="P6" s="95">
        <v>0.347197743</v>
      </c>
      <c r="Q6" s="95">
        <v>0.356313469</v>
      </c>
      <c r="R6" s="95">
        <v>0.351527298</v>
      </c>
      <c r="S6" s="637">
        <f t="shared" ref="S6:AZ6" si="4">average(N6:R6)</f>
        <v>0.3389573434</v>
      </c>
      <c r="T6" s="637">
        <f t="shared" si="4"/>
        <v>0.3429604695</v>
      </c>
      <c r="U6" s="637">
        <f t="shared" si="4"/>
        <v>0.3473912646</v>
      </c>
      <c r="V6" s="637">
        <f t="shared" si="4"/>
        <v>0.3474299689</v>
      </c>
      <c r="W6" s="637">
        <f t="shared" si="4"/>
        <v>0.3456532689</v>
      </c>
      <c r="X6" s="637">
        <f t="shared" si="4"/>
        <v>0.344478463</v>
      </c>
      <c r="Y6" s="637">
        <f t="shared" si="4"/>
        <v>0.345582687</v>
      </c>
      <c r="Z6" s="637">
        <f t="shared" si="4"/>
        <v>0.3461071305</v>
      </c>
      <c r="AA6" s="637">
        <f t="shared" si="4"/>
        <v>0.3458503036</v>
      </c>
      <c r="AB6" s="637">
        <f t="shared" si="4"/>
        <v>0.3455343706</v>
      </c>
      <c r="AC6" s="637">
        <f t="shared" si="4"/>
        <v>0.3455105909</v>
      </c>
      <c r="AD6" s="637">
        <f t="shared" si="4"/>
        <v>0.3457170165</v>
      </c>
      <c r="AE6" s="637">
        <f t="shared" si="4"/>
        <v>0.3457438824</v>
      </c>
      <c r="AF6" s="637">
        <f t="shared" si="4"/>
        <v>0.3456712328</v>
      </c>
      <c r="AG6" s="637">
        <f t="shared" si="4"/>
        <v>0.3456354187</v>
      </c>
      <c r="AH6" s="637">
        <f t="shared" si="4"/>
        <v>0.3456556283</v>
      </c>
      <c r="AI6" s="637">
        <f t="shared" si="4"/>
        <v>0.3456846358</v>
      </c>
      <c r="AJ6" s="637">
        <f t="shared" si="4"/>
        <v>0.3456781596</v>
      </c>
      <c r="AK6" s="637">
        <f t="shared" si="4"/>
        <v>0.345665015</v>
      </c>
      <c r="AL6" s="637">
        <f t="shared" si="4"/>
        <v>0.3456637715</v>
      </c>
      <c r="AM6" s="637">
        <f t="shared" si="4"/>
        <v>0.345669442</v>
      </c>
      <c r="AN6" s="637">
        <f t="shared" si="4"/>
        <v>0.3456722048</v>
      </c>
      <c r="AO6" s="637">
        <f t="shared" si="4"/>
        <v>0.3456697186</v>
      </c>
      <c r="AP6" s="637">
        <f t="shared" si="4"/>
        <v>0.3456680304</v>
      </c>
      <c r="AQ6" s="637">
        <f t="shared" si="4"/>
        <v>0.3456686334</v>
      </c>
      <c r="AR6" s="637">
        <f t="shared" si="4"/>
        <v>0.3456696058</v>
      </c>
      <c r="AS6" s="637">
        <f t="shared" si="4"/>
        <v>0.3456696386</v>
      </c>
      <c r="AT6" s="637">
        <f t="shared" si="4"/>
        <v>0.3456691254</v>
      </c>
      <c r="AU6" s="637">
        <f t="shared" si="4"/>
        <v>0.3456690067</v>
      </c>
      <c r="AV6" s="637">
        <f t="shared" si="4"/>
        <v>0.345669202</v>
      </c>
      <c r="AW6" s="637">
        <f t="shared" si="4"/>
        <v>0.3456693157</v>
      </c>
      <c r="AX6" s="637">
        <f t="shared" si="4"/>
        <v>0.3456692577</v>
      </c>
      <c r="AY6" s="637">
        <f t="shared" si="4"/>
        <v>0.3456691815</v>
      </c>
      <c r="AZ6" s="637">
        <f t="shared" si="4"/>
        <v>0.3456691927</v>
      </c>
    </row>
    <row r="7">
      <c r="A7" s="636" t="s">
        <v>803</v>
      </c>
      <c r="B7" s="95">
        <v>67.655037156</v>
      </c>
      <c r="C7" s="95">
        <v>69.599532662</v>
      </c>
      <c r="D7" s="95">
        <v>69.324943227</v>
      </c>
      <c r="E7" s="95">
        <v>73.097058865</v>
      </c>
      <c r="F7" s="95">
        <v>76.089198875</v>
      </c>
      <c r="G7" s="95">
        <v>78.834038109</v>
      </c>
      <c r="H7" s="95">
        <v>82.476106654</v>
      </c>
      <c r="I7" s="95">
        <v>88.238335165</v>
      </c>
      <c r="J7" s="95">
        <v>93.978566133</v>
      </c>
      <c r="K7" s="95">
        <v>101.620949419</v>
      </c>
      <c r="L7" s="95">
        <v>109.476123779</v>
      </c>
      <c r="M7" s="95">
        <v>118.427321542</v>
      </c>
      <c r="N7" s="95">
        <v>127.898037038</v>
      </c>
      <c r="O7" s="95">
        <v>141.344189963</v>
      </c>
      <c r="P7" s="95">
        <v>156.837432619</v>
      </c>
      <c r="Q7" s="95">
        <v>174.798276816</v>
      </c>
      <c r="R7" s="95">
        <v>193.453490646</v>
      </c>
    </row>
    <row r="8">
      <c r="A8" s="636" t="s">
        <v>804</v>
      </c>
      <c r="B8" s="95">
        <v>0.351915928</v>
      </c>
      <c r="C8" s="95">
        <v>1.104433696</v>
      </c>
      <c r="D8" s="95">
        <v>0.416667576</v>
      </c>
      <c r="E8" s="95">
        <v>0.429679016</v>
      </c>
      <c r="F8" s="95">
        <v>0.407710158</v>
      </c>
      <c r="G8" s="95">
        <v>0.582058456</v>
      </c>
      <c r="H8" s="95">
        <v>0.423153903</v>
      </c>
      <c r="I8" s="95">
        <v>1.369797154</v>
      </c>
      <c r="J8" s="95">
        <v>0.593398215</v>
      </c>
      <c r="K8" s="95">
        <v>0.657283754</v>
      </c>
      <c r="L8" s="95">
        <v>0.71078155</v>
      </c>
      <c r="M8" s="95">
        <v>0.786585173</v>
      </c>
      <c r="N8" s="95">
        <v>0.85292395</v>
      </c>
      <c r="O8" s="95">
        <v>0.977762913</v>
      </c>
      <c r="P8" s="95">
        <v>0.924035931</v>
      </c>
      <c r="Q8" s="95">
        <v>1.126323582</v>
      </c>
      <c r="R8" s="95">
        <v>1.204180812</v>
      </c>
      <c r="S8" s="637">
        <f t="shared" ref="S8:AZ8" si="5">-72.8+3.95*ln(S96)</f>
        <v>1.054175573</v>
      </c>
      <c r="T8" s="637">
        <f t="shared" si="5"/>
        <v>1.054175573</v>
      </c>
      <c r="U8" s="637">
        <f t="shared" si="5"/>
        <v>1.054175573</v>
      </c>
      <c r="V8" s="637">
        <f t="shared" si="5"/>
        <v>1.054175573</v>
      </c>
      <c r="W8" s="637">
        <f t="shared" si="5"/>
        <v>1.054175573</v>
      </c>
      <c r="X8" s="637">
        <f t="shared" si="5"/>
        <v>1.054175573</v>
      </c>
      <c r="Y8" s="637">
        <f t="shared" si="5"/>
        <v>1.054175573</v>
      </c>
      <c r="Z8" s="637">
        <f t="shared" si="5"/>
        <v>1.054175573</v>
      </c>
      <c r="AA8" s="637">
        <f t="shared" si="5"/>
        <v>1.054175573</v>
      </c>
      <c r="AB8" s="637">
        <f t="shared" si="5"/>
        <v>1.054175573</v>
      </c>
      <c r="AC8" s="637">
        <f t="shared" si="5"/>
        <v>1.054175573</v>
      </c>
      <c r="AD8" s="637">
        <f t="shared" si="5"/>
        <v>1.054175573</v>
      </c>
      <c r="AE8" s="637">
        <f t="shared" si="5"/>
        <v>1.054175573</v>
      </c>
      <c r="AF8" s="637">
        <f t="shared" si="5"/>
        <v>1.054175573</v>
      </c>
      <c r="AG8" s="637">
        <f t="shared" si="5"/>
        <v>1.054175573</v>
      </c>
      <c r="AH8" s="637">
        <f t="shared" si="5"/>
        <v>1.054175573</v>
      </c>
      <c r="AI8" s="637">
        <f t="shared" si="5"/>
        <v>1.054175573</v>
      </c>
      <c r="AJ8" s="637">
        <f t="shared" si="5"/>
        <v>1.054175573</v>
      </c>
      <c r="AK8" s="637">
        <f t="shared" si="5"/>
        <v>1.054175573</v>
      </c>
      <c r="AL8" s="637">
        <f t="shared" si="5"/>
        <v>1.054175573</v>
      </c>
      <c r="AM8" s="637">
        <f t="shared" si="5"/>
        <v>1.054175573</v>
      </c>
      <c r="AN8" s="637">
        <f t="shared" si="5"/>
        <v>1.054175573</v>
      </c>
      <c r="AO8" s="637">
        <f t="shared" si="5"/>
        <v>1.054175573</v>
      </c>
      <c r="AP8" s="637">
        <f t="shared" si="5"/>
        <v>1.054175573</v>
      </c>
      <c r="AQ8" s="637">
        <f t="shared" si="5"/>
        <v>1.054175573</v>
      </c>
      <c r="AR8" s="637">
        <f t="shared" si="5"/>
        <v>1.054175573</v>
      </c>
      <c r="AS8" s="637">
        <f t="shared" si="5"/>
        <v>1.054175573</v>
      </c>
      <c r="AT8" s="637">
        <f t="shared" si="5"/>
        <v>1.054175573</v>
      </c>
      <c r="AU8" s="637">
        <f t="shared" si="5"/>
        <v>1.054175573</v>
      </c>
      <c r="AV8" s="637">
        <f t="shared" si="5"/>
        <v>1.054175573</v>
      </c>
      <c r="AW8" s="637">
        <f t="shared" si="5"/>
        <v>1.054175573</v>
      </c>
      <c r="AX8" s="637">
        <f t="shared" si="5"/>
        <v>1.054175573</v>
      </c>
      <c r="AY8" s="637">
        <f t="shared" si="5"/>
        <v>1.054175573</v>
      </c>
      <c r="AZ8" s="637">
        <f t="shared" si="5"/>
        <v>1.054175573</v>
      </c>
    </row>
    <row r="9">
      <c r="A9" s="636" t="s">
        <v>816</v>
      </c>
      <c r="B9" s="95">
        <v>2.590149913</v>
      </c>
      <c r="C9" s="95">
        <v>3.322787267</v>
      </c>
      <c r="D9" s="95">
        <v>3.174539377</v>
      </c>
      <c r="E9" s="95">
        <v>3.784342969</v>
      </c>
      <c r="F9" s="95">
        <v>3.8651714</v>
      </c>
      <c r="G9" s="95">
        <v>4.165938712</v>
      </c>
      <c r="H9" s="95">
        <v>6.316477343</v>
      </c>
      <c r="I9" s="95">
        <v>6.262582074</v>
      </c>
      <c r="J9" s="95">
        <v>8.257026378</v>
      </c>
      <c r="K9" s="95">
        <v>8.083217289</v>
      </c>
      <c r="L9" s="95">
        <v>10.053971454</v>
      </c>
      <c r="M9" s="95">
        <v>10.27049879</v>
      </c>
      <c r="N9" s="95">
        <v>13.52742262</v>
      </c>
      <c r="O9" s="95">
        <v>16.565338741</v>
      </c>
      <c r="P9" s="95">
        <v>18.945019073</v>
      </c>
      <c r="Q9" s="95">
        <v>19.25370279</v>
      </c>
      <c r="R9" s="95">
        <v>20.039676218</v>
      </c>
    </row>
    <row r="10">
      <c r="A10" s="174" t="s">
        <v>817</v>
      </c>
      <c r="B10" s="95">
        <v>0.175676163</v>
      </c>
      <c r="C10" s="95">
        <v>0.5248574</v>
      </c>
      <c r="D10" s="95">
        <v>0.435377435</v>
      </c>
      <c r="E10" s="95">
        <v>0.357212547</v>
      </c>
      <c r="F10" s="95">
        <v>0.376930059</v>
      </c>
      <c r="G10" s="95">
        <v>0.377161221</v>
      </c>
      <c r="H10" s="95">
        <v>0.558202653</v>
      </c>
      <c r="I10" s="95">
        <v>0.549400557</v>
      </c>
      <c r="J10" s="95">
        <v>0.64376983</v>
      </c>
      <c r="K10" s="95">
        <v>0.6019699</v>
      </c>
      <c r="L10" s="95">
        <v>0.646326324</v>
      </c>
      <c r="M10" s="95">
        <v>0.968717038</v>
      </c>
      <c r="N10" s="95">
        <v>0.993035681</v>
      </c>
      <c r="O10" s="95">
        <v>1.939750504</v>
      </c>
      <c r="P10" s="95">
        <v>1.810340294</v>
      </c>
      <c r="Q10" s="95">
        <v>1.336739191</v>
      </c>
      <c r="R10" s="95">
        <v>1.792114315</v>
      </c>
    </row>
    <row r="11">
      <c r="A11" s="78" t="s">
        <v>818</v>
      </c>
      <c r="B11" s="637">
        <f t="shared" ref="B11:R11" si="6">B9-B10+B12</f>
        <v>2.81035275</v>
      </c>
      <c r="C11" s="637">
        <f t="shared" si="6"/>
        <v>3.375269867</v>
      </c>
      <c r="D11" s="637">
        <f t="shared" si="6"/>
        <v>3.439168942</v>
      </c>
      <c r="E11" s="637">
        <f t="shared" si="6"/>
        <v>4.496139422</v>
      </c>
      <c r="F11" s="637">
        <f t="shared" si="6"/>
        <v>4.405760741</v>
      </c>
      <c r="G11" s="637">
        <f t="shared" si="6"/>
        <v>4.957628279</v>
      </c>
      <c r="H11" s="637">
        <f t="shared" si="6"/>
        <v>6.547167906</v>
      </c>
      <c r="I11" s="637">
        <f t="shared" si="6"/>
        <v>6.864977108</v>
      </c>
      <c r="J11" s="637">
        <f t="shared" si="6"/>
        <v>8.158962332</v>
      </c>
      <c r="K11" s="637">
        <f t="shared" si="6"/>
        <v>8.204525133</v>
      </c>
      <c r="L11" s="637">
        <f t="shared" si="6"/>
        <v>10.24781999</v>
      </c>
      <c r="M11" s="637">
        <f t="shared" si="6"/>
        <v>10.48085636</v>
      </c>
      <c r="N11" s="637">
        <f t="shared" si="6"/>
        <v>13.5511474</v>
      </c>
      <c r="O11" s="637">
        <f t="shared" si="6"/>
        <v>19.90859798</v>
      </c>
      <c r="P11" s="637">
        <f t="shared" si="6"/>
        <v>17.99950084</v>
      </c>
      <c r="Q11" s="637">
        <f t="shared" si="6"/>
        <v>18.83970195</v>
      </c>
      <c r="R11" s="637">
        <f t="shared" si="6"/>
        <v>20.24754371</v>
      </c>
    </row>
    <row r="12">
      <c r="A12" s="78" t="s">
        <v>819</v>
      </c>
      <c r="B12" s="637">
        <f t="shared" ref="B12:Y12" si="7">SUM(B48:B50)</f>
        <v>0.395879</v>
      </c>
      <c r="C12" s="637">
        <f t="shared" si="7"/>
        <v>0.57734</v>
      </c>
      <c r="D12" s="637">
        <f t="shared" si="7"/>
        <v>0.700007</v>
      </c>
      <c r="E12" s="637">
        <f t="shared" si="7"/>
        <v>1.069009</v>
      </c>
      <c r="F12" s="637">
        <f t="shared" si="7"/>
        <v>0.9175194</v>
      </c>
      <c r="G12" s="637">
        <f t="shared" si="7"/>
        <v>1.168850788</v>
      </c>
      <c r="H12" s="637">
        <f t="shared" si="7"/>
        <v>0.7888932163</v>
      </c>
      <c r="I12" s="637">
        <f t="shared" si="7"/>
        <v>1.151795591</v>
      </c>
      <c r="J12" s="637">
        <f t="shared" si="7"/>
        <v>0.545705784</v>
      </c>
      <c r="K12" s="637">
        <f t="shared" si="7"/>
        <v>0.723277744</v>
      </c>
      <c r="L12" s="637">
        <f t="shared" si="7"/>
        <v>0.840174862</v>
      </c>
      <c r="M12" s="637">
        <f t="shared" si="7"/>
        <v>1.179074607</v>
      </c>
      <c r="N12" s="637">
        <f t="shared" si="7"/>
        <v>1.016760459</v>
      </c>
      <c r="O12" s="637">
        <f t="shared" si="7"/>
        <v>5.28300974</v>
      </c>
      <c r="P12" s="637">
        <f t="shared" si="7"/>
        <v>0.864822065</v>
      </c>
      <c r="Q12" s="637">
        <f t="shared" si="7"/>
        <v>0.922738353</v>
      </c>
      <c r="R12" s="637">
        <f t="shared" si="7"/>
        <v>1.999981805</v>
      </c>
      <c r="S12" s="637">
        <f t="shared" si="7"/>
        <v>1.092892909</v>
      </c>
      <c r="T12" s="637">
        <f t="shared" si="7"/>
        <v>2.314019368</v>
      </c>
      <c r="U12" s="637">
        <f t="shared" si="7"/>
        <v>2.124144816</v>
      </c>
      <c r="V12" s="637">
        <f t="shared" si="7"/>
        <v>1.772002959</v>
      </c>
      <c r="W12" s="637">
        <f t="shared" si="7"/>
        <v>0.817204</v>
      </c>
      <c r="X12" s="637">
        <f t="shared" si="7"/>
        <v>0.130359</v>
      </c>
      <c r="Y12" s="637">
        <f t="shared" si="7"/>
        <v>0.15745</v>
      </c>
    </row>
    <row r="13">
      <c r="A13" s="174" t="s">
        <v>820</v>
      </c>
      <c r="B13" s="639">
        <v>0.3</v>
      </c>
      <c r="C13" s="639">
        <v>0.25</v>
      </c>
      <c r="D13" s="639">
        <v>0.31</v>
      </c>
      <c r="E13" s="639">
        <v>0.3</v>
      </c>
      <c r="F13" s="639">
        <v>0.32</v>
      </c>
      <c r="G13" s="639">
        <v>0.32</v>
      </c>
      <c r="H13" s="639">
        <v>0.32</v>
      </c>
      <c r="I13" s="639">
        <v>0.32</v>
      </c>
      <c r="J13" s="639">
        <v>0.32</v>
      </c>
      <c r="K13" s="639">
        <v>0.32</v>
      </c>
      <c r="L13" s="640">
        <v>0.32</v>
      </c>
      <c r="M13" s="640">
        <v>0.32</v>
      </c>
      <c r="N13" s="640">
        <v>0.32</v>
      </c>
      <c r="O13" s="640">
        <v>0.32</v>
      </c>
      <c r="P13" s="640">
        <v>0.32</v>
      </c>
      <c r="Q13" s="640">
        <v>0.32</v>
      </c>
      <c r="R13" s="640">
        <v>0.32</v>
      </c>
      <c r="S13" s="640">
        <v>0.32</v>
      </c>
      <c r="T13" s="640">
        <v>0.32</v>
      </c>
      <c r="U13" s="640">
        <v>0.32</v>
      </c>
      <c r="V13" s="640">
        <v>0.32</v>
      </c>
      <c r="W13" s="640">
        <v>0.32</v>
      </c>
      <c r="X13" s="640">
        <v>0.32</v>
      </c>
      <c r="Y13" s="640">
        <v>0.32</v>
      </c>
      <c r="Z13" s="640">
        <v>0.32</v>
      </c>
      <c r="AA13" s="640">
        <v>0.32</v>
      </c>
      <c r="AB13" s="640">
        <v>0.32</v>
      </c>
      <c r="AC13" s="640">
        <v>0.32</v>
      </c>
      <c r="AD13" s="640">
        <v>0.32</v>
      </c>
      <c r="AE13" s="640">
        <v>0.32</v>
      </c>
      <c r="AF13" s="640">
        <v>0.32</v>
      </c>
      <c r="AG13" s="640">
        <v>0.32</v>
      </c>
      <c r="AH13" s="640">
        <v>0.32</v>
      </c>
      <c r="AI13" s="640">
        <v>0.32</v>
      </c>
      <c r="AJ13" s="640">
        <v>0.32</v>
      </c>
      <c r="AK13" s="640">
        <v>0.32</v>
      </c>
      <c r="AL13" s="640">
        <v>0.32</v>
      </c>
      <c r="AM13" s="640">
        <v>0.32</v>
      </c>
      <c r="AN13" s="640">
        <v>0.32</v>
      </c>
      <c r="AO13" s="640">
        <v>0.32</v>
      </c>
      <c r="AP13" s="640">
        <v>0.32</v>
      </c>
      <c r="AQ13" s="640">
        <v>0.32</v>
      </c>
      <c r="AR13" s="640">
        <v>0.32</v>
      </c>
      <c r="AS13" s="640">
        <v>0.32</v>
      </c>
      <c r="AT13" s="640">
        <v>0.32</v>
      </c>
      <c r="AU13" s="640">
        <v>0.32</v>
      </c>
      <c r="AV13" s="640">
        <v>0.32</v>
      </c>
      <c r="AW13" s="640">
        <v>0.32</v>
      </c>
      <c r="AX13" s="640">
        <v>0.32</v>
      </c>
      <c r="AY13" s="640">
        <v>0.32</v>
      </c>
      <c r="AZ13" s="640">
        <v>0.32</v>
      </c>
    </row>
    <row r="14">
      <c r="A14" s="78" t="s">
        <v>805</v>
      </c>
      <c r="B14" s="637">
        <f t="shared" ref="B14:R14" si="8">IF($A$2=1,B13*B9,B13*B11)</f>
        <v>0.843105825</v>
      </c>
      <c r="C14" s="637">
        <f t="shared" si="8"/>
        <v>0.8438174668</v>
      </c>
      <c r="D14" s="637">
        <f t="shared" si="8"/>
        <v>1.066142372</v>
      </c>
      <c r="E14" s="637">
        <f t="shared" si="8"/>
        <v>1.348841827</v>
      </c>
      <c r="F14" s="637">
        <f t="shared" si="8"/>
        <v>1.409843437</v>
      </c>
      <c r="G14" s="637">
        <f t="shared" si="8"/>
        <v>1.586441049</v>
      </c>
      <c r="H14" s="637">
        <f t="shared" si="8"/>
        <v>2.09509373</v>
      </c>
      <c r="I14" s="637">
        <f t="shared" si="8"/>
        <v>2.196792675</v>
      </c>
      <c r="J14" s="637">
        <f t="shared" si="8"/>
        <v>2.610867946</v>
      </c>
      <c r="K14" s="637">
        <f t="shared" si="8"/>
        <v>2.625448043</v>
      </c>
      <c r="L14" s="637">
        <f t="shared" si="8"/>
        <v>3.279302397</v>
      </c>
      <c r="M14" s="637">
        <f t="shared" si="8"/>
        <v>3.353874035</v>
      </c>
      <c r="N14" s="637">
        <f t="shared" si="8"/>
        <v>4.336367167</v>
      </c>
      <c r="O14" s="637">
        <f t="shared" si="8"/>
        <v>6.370751353</v>
      </c>
      <c r="P14" s="637">
        <f t="shared" si="8"/>
        <v>5.75984027</v>
      </c>
      <c r="Q14" s="637">
        <f t="shared" si="8"/>
        <v>6.028704625</v>
      </c>
      <c r="R14" s="637">
        <f t="shared" si="8"/>
        <v>6.479213987</v>
      </c>
    </row>
    <row r="15">
      <c r="A15" s="636" t="s">
        <v>821</v>
      </c>
      <c r="B15" s="637">
        <f t="shared" ref="B15:R15" si="9">IF($A$2=1,SUM(B9,B14),SUM(B11,B14))</f>
        <v>3.653458575</v>
      </c>
      <c r="C15" s="637">
        <f t="shared" si="9"/>
        <v>4.219087334</v>
      </c>
      <c r="D15" s="637">
        <f t="shared" si="9"/>
        <v>4.505311314</v>
      </c>
      <c r="E15" s="637">
        <f t="shared" si="9"/>
        <v>5.844981249</v>
      </c>
      <c r="F15" s="637">
        <f t="shared" si="9"/>
        <v>5.815604178</v>
      </c>
      <c r="G15" s="637">
        <f t="shared" si="9"/>
        <v>6.544069328</v>
      </c>
      <c r="H15" s="637">
        <f t="shared" si="9"/>
        <v>8.642261636</v>
      </c>
      <c r="I15" s="637">
        <f t="shared" si="9"/>
        <v>9.061769782</v>
      </c>
      <c r="J15" s="637">
        <f t="shared" si="9"/>
        <v>10.76983028</v>
      </c>
      <c r="K15" s="637">
        <f t="shared" si="9"/>
        <v>10.82997318</v>
      </c>
      <c r="L15" s="637">
        <f t="shared" si="9"/>
        <v>13.52712239</v>
      </c>
      <c r="M15" s="637">
        <f t="shared" si="9"/>
        <v>13.83473039</v>
      </c>
      <c r="N15" s="637">
        <f t="shared" si="9"/>
        <v>17.88751457</v>
      </c>
      <c r="O15" s="637">
        <f t="shared" si="9"/>
        <v>26.27934933</v>
      </c>
      <c r="P15" s="637">
        <f t="shared" si="9"/>
        <v>23.75934111</v>
      </c>
      <c r="Q15" s="637">
        <f t="shared" si="9"/>
        <v>24.86840658</v>
      </c>
      <c r="R15" s="637">
        <f t="shared" si="9"/>
        <v>26.72675769</v>
      </c>
      <c r="S15" s="637">
        <f t="shared" ref="S15:AZ15" si="10">IF($A$2=1,S17+S21+S23,S17+S20+S24)</f>
        <v>23.45321832</v>
      </c>
      <c r="T15" s="637">
        <f t="shared" si="10"/>
        <v>24.15953965</v>
      </c>
      <c r="U15" s="637">
        <f t="shared" si="10"/>
        <v>24.42655716</v>
      </c>
      <c r="V15" s="637">
        <f t="shared" si="10"/>
        <v>25.13718846</v>
      </c>
      <c r="W15" s="637">
        <f t="shared" si="10"/>
        <v>24.34739969</v>
      </c>
      <c r="X15" s="637">
        <f t="shared" si="10"/>
        <v>23.94464656</v>
      </c>
      <c r="Y15" s="637">
        <f t="shared" si="10"/>
        <v>25.64911831</v>
      </c>
      <c r="Z15" s="637">
        <f t="shared" si="10"/>
        <v>25.56249164</v>
      </c>
      <c r="AA15" s="637">
        <f t="shared" si="10"/>
        <v>23.34714697</v>
      </c>
      <c r="AB15" s="637">
        <f t="shared" si="10"/>
        <v>24.88039527</v>
      </c>
      <c r="AC15" s="637">
        <f t="shared" si="10"/>
        <v>26.8172364</v>
      </c>
      <c r="AD15" s="637">
        <f t="shared" si="10"/>
        <v>27.08082586</v>
      </c>
      <c r="AE15" s="637">
        <f t="shared" si="10"/>
        <v>26.24146241</v>
      </c>
      <c r="AF15" s="637">
        <f t="shared" si="10"/>
        <v>29.08122642</v>
      </c>
      <c r="AG15" s="637">
        <f t="shared" si="10"/>
        <v>27.48923222</v>
      </c>
      <c r="AH15" s="637">
        <f t="shared" si="10"/>
        <v>25.44699976</v>
      </c>
      <c r="AI15" s="637">
        <f t="shared" si="10"/>
        <v>26.92464385</v>
      </c>
      <c r="AJ15" s="637">
        <f t="shared" si="10"/>
        <v>27.54320509</v>
      </c>
      <c r="AK15" s="637">
        <f t="shared" si="10"/>
        <v>24.19396829</v>
      </c>
      <c r="AL15" s="637">
        <f t="shared" si="10"/>
        <v>24.47029927</v>
      </c>
      <c r="AM15" s="637">
        <f t="shared" si="10"/>
        <v>27.48766141</v>
      </c>
      <c r="AN15" s="637">
        <f t="shared" si="10"/>
        <v>27.51277961</v>
      </c>
      <c r="AO15" s="637">
        <f t="shared" si="10"/>
        <v>26.44848625</v>
      </c>
      <c r="AP15" s="637">
        <f t="shared" si="10"/>
        <v>28.70831666</v>
      </c>
      <c r="AQ15" s="637">
        <f t="shared" si="10"/>
        <v>26.90594192</v>
      </c>
      <c r="AR15" s="637">
        <f t="shared" si="10"/>
        <v>25.94088752</v>
      </c>
      <c r="AS15" s="637">
        <f t="shared" si="10"/>
        <v>21.66720514</v>
      </c>
      <c r="AT15" s="637">
        <f t="shared" si="10"/>
        <v>21.66739917</v>
      </c>
      <c r="AU15" s="637">
        <f t="shared" si="10"/>
        <v>21.66766916</v>
      </c>
      <c r="AV15" s="637">
        <f t="shared" si="10"/>
        <v>21.66770639</v>
      </c>
      <c r="AW15" s="637">
        <f t="shared" si="10"/>
        <v>21.66758141</v>
      </c>
      <c r="AX15" s="637">
        <f t="shared" si="10"/>
        <v>21.6675014</v>
      </c>
      <c r="AY15" s="637">
        <f t="shared" si="10"/>
        <v>21.66751044</v>
      </c>
      <c r="AZ15" s="637">
        <f t="shared" si="10"/>
        <v>21.66756133</v>
      </c>
    </row>
    <row r="16">
      <c r="A16" s="638" t="s">
        <v>822</v>
      </c>
      <c r="B16" s="641">
        <f t="shared" ref="B16:R16" si="11">B15</f>
        <v>3.653458575</v>
      </c>
      <c r="C16" s="641">
        <f t="shared" si="11"/>
        <v>4.219087334</v>
      </c>
      <c r="D16" s="641">
        <f t="shared" si="11"/>
        <v>4.505311314</v>
      </c>
      <c r="E16" s="641">
        <f t="shared" si="11"/>
        <v>5.844981249</v>
      </c>
      <c r="F16" s="641">
        <f t="shared" si="11"/>
        <v>5.815604178</v>
      </c>
      <c r="G16" s="641">
        <f t="shared" si="11"/>
        <v>6.544069328</v>
      </c>
      <c r="H16" s="641">
        <f t="shared" si="11"/>
        <v>8.642261636</v>
      </c>
      <c r="I16" s="641">
        <f t="shared" si="11"/>
        <v>9.061769782</v>
      </c>
      <c r="J16" s="641">
        <f t="shared" si="11"/>
        <v>10.76983028</v>
      </c>
      <c r="K16" s="641">
        <f t="shared" si="11"/>
        <v>10.82997318</v>
      </c>
      <c r="L16" s="641">
        <f t="shared" si="11"/>
        <v>13.52712239</v>
      </c>
      <c r="M16" s="641">
        <f t="shared" si="11"/>
        <v>13.83473039</v>
      </c>
      <c r="N16" s="641">
        <f t="shared" si="11"/>
        <v>17.88751457</v>
      </c>
      <c r="O16" s="641">
        <f t="shared" si="11"/>
        <v>26.27934933</v>
      </c>
      <c r="P16" s="641">
        <f t="shared" si="11"/>
        <v>23.75934111</v>
      </c>
      <c r="Q16" s="641">
        <f t="shared" si="11"/>
        <v>24.86840658</v>
      </c>
      <c r="R16" s="641">
        <f t="shared" si="11"/>
        <v>26.72675769</v>
      </c>
      <c r="S16" s="641">
        <f t="shared" ref="S16:AZ16" si="12">-2895+156*ln(S96)</f>
        <v>21.77250363</v>
      </c>
      <c r="T16" s="641">
        <f t="shared" si="12"/>
        <v>21.77250363</v>
      </c>
      <c r="U16" s="641">
        <f t="shared" si="12"/>
        <v>21.77250363</v>
      </c>
      <c r="V16" s="641">
        <f t="shared" si="12"/>
        <v>21.77250363</v>
      </c>
      <c r="W16" s="641">
        <f t="shared" si="12"/>
        <v>21.77250363</v>
      </c>
      <c r="X16" s="641">
        <f t="shared" si="12"/>
        <v>21.77250363</v>
      </c>
      <c r="Y16" s="641">
        <f t="shared" si="12"/>
        <v>21.77250363</v>
      </c>
      <c r="Z16" s="641">
        <f t="shared" si="12"/>
        <v>21.77250363</v>
      </c>
      <c r="AA16" s="641">
        <f t="shared" si="12"/>
        <v>21.77250363</v>
      </c>
      <c r="AB16" s="641">
        <f t="shared" si="12"/>
        <v>21.77250363</v>
      </c>
      <c r="AC16" s="641">
        <f t="shared" si="12"/>
        <v>21.77250363</v>
      </c>
      <c r="AD16" s="641">
        <f t="shared" si="12"/>
        <v>21.77250363</v>
      </c>
      <c r="AE16" s="641">
        <f t="shared" si="12"/>
        <v>21.77250363</v>
      </c>
      <c r="AF16" s="641">
        <f t="shared" si="12"/>
        <v>21.77250363</v>
      </c>
      <c r="AG16" s="641">
        <f t="shared" si="12"/>
        <v>21.77250363</v>
      </c>
      <c r="AH16" s="641">
        <f t="shared" si="12"/>
        <v>21.77250363</v>
      </c>
      <c r="AI16" s="641">
        <f t="shared" si="12"/>
        <v>21.77250363</v>
      </c>
      <c r="AJ16" s="641">
        <f t="shared" si="12"/>
        <v>21.77250363</v>
      </c>
      <c r="AK16" s="641">
        <f t="shared" si="12"/>
        <v>21.77250363</v>
      </c>
      <c r="AL16" s="641">
        <f t="shared" si="12"/>
        <v>21.77250363</v>
      </c>
      <c r="AM16" s="641">
        <f t="shared" si="12"/>
        <v>21.77250363</v>
      </c>
      <c r="AN16" s="641">
        <f t="shared" si="12"/>
        <v>21.77250363</v>
      </c>
      <c r="AO16" s="641">
        <f t="shared" si="12"/>
        <v>21.77250363</v>
      </c>
      <c r="AP16" s="641">
        <f t="shared" si="12"/>
        <v>21.77250363</v>
      </c>
      <c r="AQ16" s="641">
        <f t="shared" si="12"/>
        <v>21.77250363</v>
      </c>
      <c r="AR16" s="641">
        <f t="shared" si="12"/>
        <v>21.77250363</v>
      </c>
      <c r="AS16" s="641">
        <f t="shared" si="12"/>
        <v>21.77250363</v>
      </c>
      <c r="AT16" s="641">
        <f t="shared" si="12"/>
        <v>21.77250363</v>
      </c>
      <c r="AU16" s="641">
        <f t="shared" si="12"/>
        <v>21.77250363</v>
      </c>
      <c r="AV16" s="641">
        <f t="shared" si="12"/>
        <v>21.77250363</v>
      </c>
      <c r="AW16" s="641">
        <f t="shared" si="12"/>
        <v>21.77250363</v>
      </c>
      <c r="AX16" s="641">
        <f t="shared" si="12"/>
        <v>21.77250363</v>
      </c>
      <c r="AY16" s="641">
        <f t="shared" si="12"/>
        <v>21.77250363</v>
      </c>
      <c r="AZ16" s="641">
        <f t="shared" si="12"/>
        <v>21.77250363</v>
      </c>
    </row>
    <row r="17">
      <c r="A17" s="636" t="s">
        <v>823</v>
      </c>
      <c r="B17" s="95">
        <v>1.9034999999999997</v>
      </c>
      <c r="C17" s="95">
        <v>2.08116</v>
      </c>
      <c r="D17" s="95">
        <v>2.2842</v>
      </c>
      <c r="E17" s="95">
        <v>2.46186</v>
      </c>
      <c r="F17" s="95">
        <v>2.6649</v>
      </c>
      <c r="G17" s="95">
        <v>2.86794</v>
      </c>
      <c r="H17" s="95">
        <v>3.0456</v>
      </c>
      <c r="I17" s="95">
        <v>3.24864</v>
      </c>
      <c r="J17" s="95">
        <v>3.4263</v>
      </c>
      <c r="K17" s="95">
        <v>3.6293400000000005</v>
      </c>
      <c r="L17" s="95">
        <v>4.46688</v>
      </c>
      <c r="M17" s="95">
        <v>5.60898</v>
      </c>
      <c r="N17" s="95">
        <v>4.517639999999999</v>
      </c>
      <c r="O17" s="95">
        <v>6.5988</v>
      </c>
      <c r="P17" s="95">
        <v>6.141959999999999</v>
      </c>
      <c r="Q17" s="95">
        <v>5.65974</v>
      </c>
      <c r="R17" s="95">
        <v>7.512479999999999</v>
      </c>
      <c r="S17" s="95">
        <v>9.314459999999999</v>
      </c>
      <c r="T17" s="95">
        <v>9.035279999999998</v>
      </c>
      <c r="U17" s="95">
        <v>9.0099</v>
      </c>
      <c r="V17" s="95">
        <v>10.431180000000001</v>
      </c>
      <c r="W17" s="95">
        <v>10.12662</v>
      </c>
      <c r="X17" s="95">
        <v>9.44136</v>
      </c>
      <c r="Y17" s="95">
        <v>10.96416</v>
      </c>
      <c r="Z17" s="95">
        <v>10.786499999999998</v>
      </c>
      <c r="AA17" s="95">
        <v>8.6292</v>
      </c>
      <c r="AB17" s="95">
        <v>10.2789</v>
      </c>
      <c r="AC17" s="95">
        <v>12.23316</v>
      </c>
      <c r="AD17" s="95">
        <v>12.4362</v>
      </c>
      <c r="AE17" s="95">
        <v>11.57328</v>
      </c>
      <c r="AF17" s="95">
        <v>14.415840000000001</v>
      </c>
      <c r="AG17" s="95">
        <v>12.842279999999999</v>
      </c>
      <c r="AH17" s="95">
        <v>10.811879999999999</v>
      </c>
      <c r="AI17" s="95">
        <v>12.283919999999998</v>
      </c>
      <c r="AJ17" s="95">
        <v>12.89304</v>
      </c>
      <c r="AK17" s="95">
        <v>9.54288</v>
      </c>
      <c r="AL17" s="95">
        <v>9.82206</v>
      </c>
      <c r="AM17" s="95">
        <v>12.842279999999999</v>
      </c>
      <c r="AN17" s="95">
        <v>12.867659999999999</v>
      </c>
      <c r="AO17" s="95">
        <v>11.8017</v>
      </c>
      <c r="AP17" s="95">
        <v>14.06052</v>
      </c>
      <c r="AQ17" s="95">
        <v>12.25854</v>
      </c>
      <c r="AR17" s="95">
        <v>11.2941</v>
      </c>
      <c r="AS17" s="637">
        <f t="shared" ref="AS17:AZ17" si="13">-739+39.9*ln(AS96)</f>
        <v>7.020659581</v>
      </c>
      <c r="AT17" s="637">
        <f t="shared" si="13"/>
        <v>7.020659581</v>
      </c>
      <c r="AU17" s="637">
        <f t="shared" si="13"/>
        <v>7.020659581</v>
      </c>
      <c r="AV17" s="637">
        <f t="shared" si="13"/>
        <v>7.020659581</v>
      </c>
      <c r="AW17" s="637">
        <f t="shared" si="13"/>
        <v>7.020659581</v>
      </c>
      <c r="AX17" s="637">
        <f t="shared" si="13"/>
        <v>7.020659581</v>
      </c>
      <c r="AY17" s="637">
        <f t="shared" si="13"/>
        <v>7.020659581</v>
      </c>
      <c r="AZ17" s="637">
        <f t="shared" si="13"/>
        <v>7.020659581</v>
      </c>
    </row>
    <row r="18">
      <c r="A18" s="78" t="s">
        <v>824</v>
      </c>
      <c r="B18" s="642">
        <f t="shared" ref="B18:R18" si="14">B17/B15</f>
        <v>0.5210131608</v>
      </c>
      <c r="C18" s="642">
        <f t="shared" si="14"/>
        <v>0.4932725576</v>
      </c>
      <c r="D18" s="642">
        <f t="shared" si="14"/>
        <v>0.5070015901</v>
      </c>
      <c r="E18" s="642">
        <f t="shared" si="14"/>
        <v>0.4211921126</v>
      </c>
      <c r="F18" s="642">
        <f t="shared" si="14"/>
        <v>0.4582326992</v>
      </c>
      <c r="G18" s="642">
        <f t="shared" si="14"/>
        <v>0.4382502471</v>
      </c>
      <c r="H18" s="642">
        <f t="shared" si="14"/>
        <v>0.3524077525</v>
      </c>
      <c r="I18" s="642">
        <f t="shared" si="14"/>
        <v>0.3584995071</v>
      </c>
      <c r="J18" s="642">
        <f t="shared" si="14"/>
        <v>0.3181387182</v>
      </c>
      <c r="K18" s="642">
        <f t="shared" si="14"/>
        <v>0.3351199436</v>
      </c>
      <c r="L18" s="642">
        <f t="shared" si="14"/>
        <v>0.3302165731</v>
      </c>
      <c r="M18" s="642">
        <f t="shared" si="14"/>
        <v>0.4054274887</v>
      </c>
      <c r="N18" s="642">
        <f t="shared" si="14"/>
        <v>0.2525582849</v>
      </c>
      <c r="O18" s="642">
        <f t="shared" si="14"/>
        <v>0.2511021075</v>
      </c>
      <c r="P18" s="642">
        <f t="shared" si="14"/>
        <v>0.2585071686</v>
      </c>
      <c r="Q18" s="642">
        <f t="shared" si="14"/>
        <v>0.2275875611</v>
      </c>
      <c r="R18" s="642">
        <f t="shared" si="14"/>
        <v>0.2810846002</v>
      </c>
      <c r="S18" s="642">
        <f t="shared" ref="S18:AZ18" si="15">0.4984*EXP(-0.045*(S2-$B$2))</f>
        <v>0.2319224312</v>
      </c>
      <c r="T18" s="642">
        <f t="shared" si="15"/>
        <v>0.2217172602</v>
      </c>
      <c r="U18" s="642">
        <f t="shared" si="15"/>
        <v>0.2119611424</v>
      </c>
      <c r="V18" s="642">
        <f t="shared" si="15"/>
        <v>0.2026343184</v>
      </c>
      <c r="W18" s="642">
        <f t="shared" si="15"/>
        <v>0.1937178981</v>
      </c>
      <c r="X18" s="642">
        <f t="shared" si="15"/>
        <v>0.1851938228</v>
      </c>
      <c r="Y18" s="642">
        <f t="shared" si="15"/>
        <v>0.1770448283</v>
      </c>
      <c r="Z18" s="642">
        <f t="shared" si="15"/>
        <v>0.16925441</v>
      </c>
      <c r="AA18" s="642">
        <f t="shared" si="15"/>
        <v>0.1618067897</v>
      </c>
      <c r="AB18" s="642">
        <f t="shared" si="15"/>
        <v>0.1546868835</v>
      </c>
      <c r="AC18" s="642">
        <f t="shared" si="15"/>
        <v>0.1478802711</v>
      </c>
      <c r="AD18" s="642">
        <f t="shared" si="15"/>
        <v>0.1413731668</v>
      </c>
      <c r="AE18" s="642">
        <f t="shared" si="15"/>
        <v>0.1351523915</v>
      </c>
      <c r="AF18" s="642">
        <f t="shared" si="15"/>
        <v>0.1292053459</v>
      </c>
      <c r="AG18" s="642">
        <f t="shared" si="15"/>
        <v>0.1235199853</v>
      </c>
      <c r="AH18" s="642">
        <f t="shared" si="15"/>
        <v>0.1180847949</v>
      </c>
      <c r="AI18" s="642">
        <f t="shared" si="15"/>
        <v>0.1128887666</v>
      </c>
      <c r="AJ18" s="642">
        <f t="shared" si="15"/>
        <v>0.1079213766</v>
      </c>
      <c r="AK18" s="642">
        <f t="shared" si="15"/>
        <v>0.1031725643</v>
      </c>
      <c r="AL18" s="642">
        <f t="shared" si="15"/>
        <v>0.09863271162</v>
      </c>
      <c r="AM18" s="642">
        <f t="shared" si="15"/>
        <v>0.09429262394</v>
      </c>
      <c r="AN18" s="642">
        <f t="shared" si="15"/>
        <v>0.09014351104</v>
      </c>
      <c r="AO18" s="642">
        <f t="shared" si="15"/>
        <v>0.08617696956</v>
      </c>
      <c r="AP18" s="642">
        <f t="shared" si="15"/>
        <v>0.08238496589</v>
      </c>
      <c r="AQ18" s="642">
        <f t="shared" si="15"/>
        <v>0.07875981993</v>
      </c>
      <c r="AR18" s="642">
        <f t="shared" si="15"/>
        <v>0.07529418952</v>
      </c>
      <c r="AS18" s="642">
        <f t="shared" si="15"/>
        <v>0.07198105558</v>
      </c>
      <c r="AT18" s="642">
        <f t="shared" si="15"/>
        <v>0.06881370788</v>
      </c>
      <c r="AU18" s="642">
        <f t="shared" si="15"/>
        <v>0.06578573144</v>
      </c>
      <c r="AV18" s="642">
        <f t="shared" si="15"/>
        <v>0.0628909936</v>
      </c>
      <c r="AW18" s="642">
        <f t="shared" si="15"/>
        <v>0.06012363151</v>
      </c>
      <c r="AX18" s="642">
        <f t="shared" si="15"/>
        <v>0.05747804033</v>
      </c>
      <c r="AY18" s="642">
        <f t="shared" si="15"/>
        <v>0.05494886181</v>
      </c>
      <c r="AZ18" s="642">
        <f t="shared" si="15"/>
        <v>0.05253097352</v>
      </c>
    </row>
    <row r="19">
      <c r="A19" s="78" t="s">
        <v>825</v>
      </c>
      <c r="K19" s="643">
        <v>0.35</v>
      </c>
      <c r="L19" s="643">
        <v>0.27</v>
      </c>
      <c r="M19" s="643">
        <v>0.06</v>
      </c>
      <c r="N19" s="643">
        <v>0.24</v>
      </c>
      <c r="O19" s="643">
        <v>0.18</v>
      </c>
      <c r="P19" s="643">
        <v>0.16</v>
      </c>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row>
    <row r="20">
      <c r="A20" s="259" t="s">
        <v>826</v>
      </c>
      <c r="K20" s="637">
        <f t="shared" ref="K20:P20" si="16">K15*K19</f>
        <v>3.790490611</v>
      </c>
      <c r="L20" s="637">
        <f t="shared" si="16"/>
        <v>3.652323045</v>
      </c>
      <c r="M20" s="637">
        <f t="shared" si="16"/>
        <v>0.8300838236</v>
      </c>
      <c r="N20" s="637">
        <f t="shared" si="16"/>
        <v>4.293003496</v>
      </c>
      <c r="O20" s="637">
        <f t="shared" si="16"/>
        <v>4.730282879</v>
      </c>
      <c r="P20" s="637">
        <f t="shared" si="16"/>
        <v>3.801494578</v>
      </c>
      <c r="Q20" s="637">
        <f t="shared" ref="Q20:AZ20" si="17">AVERAGE(K20:P20)</f>
        <v>3.516279739</v>
      </c>
      <c r="R20" s="637">
        <f t="shared" si="17"/>
        <v>3.470577927</v>
      </c>
      <c r="S20" s="637">
        <f t="shared" si="17"/>
        <v>3.440287074</v>
      </c>
      <c r="T20" s="637">
        <f t="shared" si="17"/>
        <v>3.875320949</v>
      </c>
      <c r="U20" s="637">
        <f t="shared" si="17"/>
        <v>3.805707191</v>
      </c>
      <c r="V20" s="637">
        <f t="shared" si="17"/>
        <v>3.651611243</v>
      </c>
      <c r="W20" s="637">
        <f t="shared" si="17"/>
        <v>3.626630687</v>
      </c>
      <c r="X20" s="637">
        <f t="shared" si="17"/>
        <v>3.645022512</v>
      </c>
      <c r="Y20" s="637">
        <f t="shared" si="17"/>
        <v>3.674096609</v>
      </c>
      <c r="Z20" s="637">
        <f t="shared" si="17"/>
        <v>3.713064865</v>
      </c>
      <c r="AA20" s="637">
        <f t="shared" si="17"/>
        <v>3.686022184</v>
      </c>
      <c r="AB20" s="637">
        <f t="shared" si="17"/>
        <v>3.666074683</v>
      </c>
      <c r="AC20" s="637">
        <f t="shared" si="17"/>
        <v>3.668485257</v>
      </c>
      <c r="AD20" s="637">
        <f t="shared" si="17"/>
        <v>3.675461018</v>
      </c>
      <c r="AE20" s="637">
        <f t="shared" si="17"/>
        <v>3.680534103</v>
      </c>
      <c r="AF20" s="637">
        <f t="shared" si="17"/>
        <v>3.681607019</v>
      </c>
      <c r="AG20" s="637">
        <f t="shared" si="17"/>
        <v>3.676364044</v>
      </c>
      <c r="AH20" s="637">
        <f t="shared" si="17"/>
        <v>3.674754354</v>
      </c>
      <c r="AI20" s="637">
        <f t="shared" si="17"/>
        <v>3.676200966</v>
      </c>
      <c r="AJ20" s="637">
        <f t="shared" si="17"/>
        <v>3.677486917</v>
      </c>
      <c r="AK20" s="637">
        <f t="shared" si="17"/>
        <v>3.677824567</v>
      </c>
      <c r="AL20" s="637">
        <f t="shared" si="17"/>
        <v>3.677372978</v>
      </c>
      <c r="AM20" s="637">
        <f t="shared" si="17"/>
        <v>3.676667304</v>
      </c>
      <c r="AN20" s="637">
        <f t="shared" si="17"/>
        <v>3.676717848</v>
      </c>
      <c r="AO20" s="637">
        <f t="shared" si="17"/>
        <v>3.677045097</v>
      </c>
      <c r="AP20" s="637">
        <f t="shared" si="17"/>
        <v>3.677185785</v>
      </c>
      <c r="AQ20" s="637">
        <f t="shared" si="17"/>
        <v>3.677135596</v>
      </c>
      <c r="AR20" s="637">
        <f t="shared" si="17"/>
        <v>3.677020768</v>
      </c>
      <c r="AS20" s="637">
        <f t="shared" si="17"/>
        <v>3.676962066</v>
      </c>
      <c r="AT20" s="637">
        <f t="shared" si="17"/>
        <v>3.677011193</v>
      </c>
      <c r="AU20" s="637">
        <f t="shared" si="17"/>
        <v>3.677060084</v>
      </c>
      <c r="AV20" s="637">
        <f t="shared" si="17"/>
        <v>3.677062582</v>
      </c>
      <c r="AW20" s="637">
        <f t="shared" si="17"/>
        <v>3.677042049</v>
      </c>
      <c r="AX20" s="637">
        <f t="shared" si="17"/>
        <v>3.677026457</v>
      </c>
      <c r="AY20" s="637">
        <f t="shared" si="17"/>
        <v>3.677027405</v>
      </c>
      <c r="AZ20" s="637">
        <f t="shared" si="17"/>
        <v>3.677038295</v>
      </c>
    </row>
    <row r="21">
      <c r="A21" s="636" t="s">
        <v>827</v>
      </c>
      <c r="B21" s="637"/>
      <c r="C21" s="637"/>
      <c r="D21" s="637"/>
      <c r="E21" s="637"/>
      <c r="F21" s="637"/>
      <c r="G21" s="637"/>
      <c r="H21" s="637"/>
      <c r="I21" s="637"/>
      <c r="J21" s="637">
        <f>LOOKUP($AZ$22,'Assumptions (T&amp;D) old'!$B$29:$B$36,'Assumptions (T&amp;D) old'!$C$29:$C$36)</f>
        <v>2</v>
      </c>
      <c r="K21" s="637">
        <f>LOOKUP($AZ$22,'Assumptions (T&amp;D) old'!$B$29:$B$36,'Assumptions (T&amp;D) old'!$C$29:$C$36)</f>
        <v>2</v>
      </c>
      <c r="L21" s="637">
        <f>LOOKUP($AZ$22,'Assumptions (T&amp;D) old'!$B$29:$B$36,'Assumptions (T&amp;D) old'!$C$29:$C$36)</f>
        <v>2</v>
      </c>
      <c r="M21" s="637">
        <f>LOOKUP($AZ$22,'Assumptions (T&amp;D) old'!$B$29:$B$36,'Assumptions (T&amp;D) old'!$C$29:$C$36)</f>
        <v>2</v>
      </c>
      <c r="N21" s="637">
        <f>LOOKUP($AZ$22,'Assumptions (T&amp;D) old'!$B$29:$B$36,'Assumptions (T&amp;D) old'!$C$29:$C$36)</f>
        <v>2</v>
      </c>
      <c r="O21" s="637">
        <f>LOOKUP($AZ$22,'Assumptions (T&amp;D) old'!$B$29:$B$36,'Assumptions (T&amp;D) old'!$C$29:$C$36)</f>
        <v>2</v>
      </c>
      <c r="P21" s="637">
        <f>LOOKUP($AZ$22,'Assumptions (T&amp;D) old'!$B$29:$B$36,'Assumptions (T&amp;D) old'!$C$29:$C$36)</f>
        <v>2</v>
      </c>
      <c r="Q21" s="637">
        <f>LOOKUP($AZ$22,'Assumptions (T&amp;D) old'!$B$29:$B$36,'Assumptions (T&amp;D) old'!$C$29:$C$36)</f>
        <v>2</v>
      </c>
      <c r="R21" s="637">
        <f>LOOKUP($AZ$22,'Assumptions (T&amp;D) old'!$B$29:$B$36,'Assumptions (T&amp;D) old'!$C$29:$C$36)</f>
        <v>2</v>
      </c>
      <c r="S21" s="637">
        <f>LOOKUP($AZ$22,'Assumptions (T&amp;D) old'!$B$29:$B$36,'Assumptions (T&amp;D) old'!$C$29:$C$36)</f>
        <v>2</v>
      </c>
      <c r="T21" s="637">
        <f>LOOKUP($AZ$22,'Assumptions (T&amp;D) old'!$B$29:$B$36,'Assumptions (T&amp;D) old'!$C$29:$C$36)</f>
        <v>2</v>
      </c>
      <c r="U21" s="637">
        <f>LOOKUP($AZ$22,'Assumptions (T&amp;D) old'!$B$29:$B$36,'Assumptions (T&amp;D) old'!$C$29:$C$36)</f>
        <v>2</v>
      </c>
      <c r="V21" s="637">
        <f>LOOKUP($AZ$22,'Assumptions (T&amp;D) old'!$B$29:$B$36,'Assumptions (T&amp;D) old'!$C$29:$C$36)</f>
        <v>2</v>
      </c>
      <c r="W21" s="637">
        <f>LOOKUP($AZ$22,'Assumptions (T&amp;D) old'!$B$29:$B$36,'Assumptions (T&amp;D) old'!$C$29:$C$36)</f>
        <v>2</v>
      </c>
      <c r="X21" s="637">
        <f>LOOKUP($AZ$22,'Assumptions (T&amp;D) old'!$B$29:$B$36,'Assumptions (T&amp;D) old'!$C$29:$C$36)</f>
        <v>2</v>
      </c>
      <c r="Y21" s="637">
        <f>LOOKUP($AZ$22,'Assumptions (T&amp;D) old'!$B$29:$B$36,'Assumptions (T&amp;D) old'!$C$29:$C$36)</f>
        <v>2</v>
      </c>
      <c r="Z21" s="637">
        <f>LOOKUP($AZ$22,'Assumptions (T&amp;D) old'!$B$29:$B$36,'Assumptions (T&amp;D) old'!$C$29:$C$36)</f>
        <v>2</v>
      </c>
      <c r="AA21" s="637">
        <f>LOOKUP($AZ$22,'Assumptions (T&amp;D) old'!$B$29:$B$36,'Assumptions (T&amp;D) old'!$C$29:$C$36)</f>
        <v>2</v>
      </c>
      <c r="AB21" s="637">
        <f>LOOKUP($AZ$22,'Assumptions (T&amp;D) old'!$B$29:$B$36,'Assumptions (T&amp;D) old'!$C$29:$C$36)</f>
        <v>2</v>
      </c>
      <c r="AC21" s="637">
        <f>LOOKUP($AZ$22,'Assumptions (T&amp;D) old'!$B$29:$B$36,'Assumptions (T&amp;D) old'!$C$29:$C$36)</f>
        <v>2</v>
      </c>
      <c r="AD21" s="637">
        <f>LOOKUP($AZ$22,'Assumptions (T&amp;D) old'!$B$29:$B$36,'Assumptions (T&amp;D) old'!$C$29:$C$36)</f>
        <v>2</v>
      </c>
      <c r="AE21" s="637">
        <f>LOOKUP($AZ$22,'Assumptions (T&amp;D) old'!$B$29:$B$36,'Assumptions (T&amp;D) old'!$C$29:$C$36)</f>
        <v>2</v>
      </c>
      <c r="AF21" s="637">
        <f>LOOKUP($AZ$22,'Assumptions (T&amp;D) old'!$B$29:$B$36,'Assumptions (T&amp;D) old'!$C$29:$C$36)</f>
        <v>2</v>
      </c>
      <c r="AG21" s="637">
        <f>LOOKUP($AZ$22,'Assumptions (T&amp;D) old'!$B$29:$B$36,'Assumptions (T&amp;D) old'!$C$29:$C$36)</f>
        <v>2</v>
      </c>
      <c r="AH21" s="637">
        <f>LOOKUP($AZ$22,'Assumptions (T&amp;D) old'!$B$29:$B$36,'Assumptions (T&amp;D) old'!$C$29:$C$36)</f>
        <v>2</v>
      </c>
      <c r="AI21" s="637">
        <f>LOOKUP($AZ$22,'Assumptions (T&amp;D) old'!$B$29:$B$36,'Assumptions (T&amp;D) old'!$C$29:$C$36)</f>
        <v>2</v>
      </c>
      <c r="AJ21" s="637">
        <f>LOOKUP($AZ$22,'Assumptions (T&amp;D) old'!$B$29:$B$36,'Assumptions (T&amp;D) old'!$C$29:$C$36)</f>
        <v>2</v>
      </c>
      <c r="AK21" s="637">
        <f>LOOKUP($AZ$22,'Assumptions (T&amp;D) old'!$B$29:$B$36,'Assumptions (T&amp;D) old'!$C$29:$C$36)</f>
        <v>2</v>
      </c>
      <c r="AL21" s="637">
        <f>LOOKUP($AZ$22,'Assumptions (T&amp;D) old'!$B$29:$B$36,'Assumptions (T&amp;D) old'!$C$29:$C$36)</f>
        <v>2</v>
      </c>
      <c r="AM21" s="637">
        <f>LOOKUP($AZ$22,'Assumptions (T&amp;D) old'!$B$29:$B$36,'Assumptions (T&amp;D) old'!$C$29:$C$36)</f>
        <v>2</v>
      </c>
      <c r="AN21" s="637">
        <f>LOOKUP($AZ$22,'Assumptions (T&amp;D) old'!$B$29:$B$36,'Assumptions (T&amp;D) old'!$C$29:$C$36)</f>
        <v>2</v>
      </c>
      <c r="AO21" s="637">
        <f>LOOKUP($AZ$22,'Assumptions (T&amp;D) old'!$B$29:$B$36,'Assumptions (T&amp;D) old'!$C$29:$C$36)</f>
        <v>2</v>
      </c>
      <c r="AP21" s="637">
        <f>LOOKUP($AZ$22,'Assumptions (T&amp;D) old'!$B$29:$B$36,'Assumptions (T&amp;D) old'!$C$29:$C$36)</f>
        <v>2</v>
      </c>
      <c r="AQ21" s="637">
        <f>LOOKUP($AZ$22,'Assumptions (T&amp;D) old'!$B$29:$B$36,'Assumptions (T&amp;D) old'!$C$29:$C$36)</f>
        <v>2</v>
      </c>
      <c r="AR21" s="637">
        <f>LOOKUP($AZ$22,'Assumptions (T&amp;D) old'!$B$29:$B$36,'Assumptions (T&amp;D) old'!$C$29:$C$36)</f>
        <v>2</v>
      </c>
      <c r="AS21" s="637">
        <f>LOOKUP($AZ$22,'Assumptions (T&amp;D) old'!$B$29:$B$36,'Assumptions (T&amp;D) old'!$C$29:$C$36)</f>
        <v>2</v>
      </c>
      <c r="AT21" s="637">
        <f>LOOKUP($AZ$22,'Assumptions (T&amp;D) old'!$B$29:$B$36,'Assumptions (T&amp;D) old'!$C$29:$C$36)</f>
        <v>2</v>
      </c>
      <c r="AU21" s="637">
        <f>LOOKUP($AZ$22,'Assumptions (T&amp;D) old'!$B$29:$B$36,'Assumptions (T&amp;D) old'!$C$29:$C$36)</f>
        <v>2</v>
      </c>
      <c r="AV21" s="637">
        <f>LOOKUP($AZ$22,'Assumptions (T&amp;D) old'!$B$29:$B$36,'Assumptions (T&amp;D) old'!$C$29:$C$36)</f>
        <v>2</v>
      </c>
      <c r="AW21" s="637">
        <f>LOOKUP($AZ$22,'Assumptions (T&amp;D) old'!$B$29:$B$36,'Assumptions (T&amp;D) old'!$C$29:$C$36)</f>
        <v>2</v>
      </c>
      <c r="AX21" s="637">
        <f>LOOKUP($AZ$22,'Assumptions (T&amp;D) old'!$B$29:$B$36,'Assumptions (T&amp;D) old'!$C$29:$C$36)</f>
        <v>2</v>
      </c>
      <c r="AY21" s="637">
        <f>LOOKUP($AZ$22,'Assumptions (T&amp;D) old'!$B$29:$B$36,'Assumptions (T&amp;D) old'!$C$29:$C$36)</f>
        <v>2</v>
      </c>
      <c r="AZ21" s="637">
        <f>LOOKUP($AZ$22,'Assumptions (T&amp;D) old'!$B$29:$B$36,'Assumptions (T&amp;D) old'!$C$29:$C$36)</f>
        <v>2</v>
      </c>
    </row>
    <row r="22">
      <c r="A22" s="78" t="s">
        <v>828</v>
      </c>
      <c r="B22" s="642">
        <f>(Model!C673+Model!C898)/SUM(Model!C9,Model!C428,Model!C673,Model!C898,Model!C1123,Model!C1350)</f>
        <v>0</v>
      </c>
      <c r="C22" s="642">
        <f>(Model!D673+Model!D898)/SUM(Model!D9,Model!D428,Model!D673,Model!D898,Model!D1123,Model!D1350)</f>
        <v>0</v>
      </c>
      <c r="D22" s="642">
        <f>(Model!E673+Model!E898)/SUM(Model!E9,Model!E428,Model!E673,Model!E898,Model!E1123,Model!E1350)</f>
        <v>0.000006737238344</v>
      </c>
      <c r="E22" s="642">
        <f>(Model!F673+Model!F898)/SUM(Model!F9,Model!F428,Model!F673,Model!F898,Model!F1123,Model!F1350)</f>
        <v>0.000006550553201</v>
      </c>
      <c r="F22" s="642">
        <f>(Model!G673+Model!G898)/SUM(Model!G9,Model!G428,Model!G673,Model!G898,Model!G1123,Model!G1350)</f>
        <v>0.000006217318295</v>
      </c>
      <c r="G22" s="644">
        <f>(Model!H673+Model!H898)/SUM(Model!H9,Model!H428,Model!H673,Model!H898,Model!H1123,Model!H1350)</f>
        <v>0.000005272515939</v>
      </c>
      <c r="H22" s="644">
        <f>(Model!I673+Model!I898)/SUM(Model!I9,Model!I428,Model!I673,Model!I898,Model!I1123,Model!I1350)</f>
        <v>0.00008677065975</v>
      </c>
      <c r="I22" s="644">
        <f>(Model!J673+Model!J898)/SUM(Model!J9,Model!J428,Model!J673,Model!J898,Model!J1123,Model!J1350)</f>
        <v>0.00007643031607</v>
      </c>
      <c r="J22" s="644">
        <f>(Model!K673+Model!K898)/SUM(Model!K9,Model!K428,Model!K673,Model!K898,Model!K1123,Model!K1350)</f>
        <v>0.0000817929447</v>
      </c>
      <c r="K22" s="642">
        <f>(Model!L673+Model!L898)/SUM(Model!L9,Model!L428,Model!L673,Model!L898,Model!L1123,Model!L1350)</f>
        <v>0.00009298324429</v>
      </c>
      <c r="L22" s="642">
        <f>(Model!M673+Model!M898)/SUM(Model!M9,Model!M428,Model!M673,Model!M898,Model!M1123,Model!M1350)</f>
        <v>0.00008028186839</v>
      </c>
      <c r="M22" s="642">
        <f>(Model!N673+Model!N898)/SUM(Model!N9,Model!N428,Model!N673,Model!N898,Model!N1123,Model!N1350)</f>
        <v>0.000113387375</v>
      </c>
      <c r="N22" s="642">
        <f>(Model!O673+Model!O898)/SUM(Model!O9,Model!O428,Model!O673,Model!O898,Model!O1123,Model!O1350)</f>
        <v>0.0003324818815</v>
      </c>
      <c r="O22" s="642">
        <f>(Model!P673+Model!P898)/SUM(Model!P9,Model!P428,Model!P673,Model!P898,Model!P1123,Model!P1350)</f>
        <v>0.0006983633606</v>
      </c>
      <c r="P22" s="642">
        <f>(Model!Q673+Model!Q898)/SUM(Model!Q9,Model!Q428,Model!Q673,Model!Q898,Model!Q1123,Model!Q1350)</f>
        <v>0.001501977363</v>
      </c>
      <c r="Q22" s="642">
        <f>(Model!R673+Model!R898)/SUM(Model!R9,Model!R428,Model!R673,Model!R898,Model!R1123,Model!R1350)</f>
        <v>0.002581959119</v>
      </c>
      <c r="R22" s="642">
        <f>(Model!S673+Model!S898)/SUM(Model!S9,Model!S428,Model!S673,Model!S898,Model!S1123,Model!S1350)</f>
        <v>0.007063941774</v>
      </c>
      <c r="S22" s="642">
        <f>(Model!T673+Model!T898)/SUM(Model!T9,Model!T428,Model!T673,Model!T898,Model!T1123,Model!T1350)</f>
        <v>0.01313546877</v>
      </c>
      <c r="T22" s="642">
        <f>(Model!U673+Model!U898)/SUM(Model!U9,Model!U428,Model!U673,Model!U898,Model!U1123,Model!U1350)</f>
        <v>0.01578729342</v>
      </c>
      <c r="U22" s="642">
        <f>(Model!V673+Model!V898)/SUM(Model!V9,Model!V428,Model!V673,Model!V898,Model!V1123,Model!V1350)</f>
        <v>0.01806392644</v>
      </c>
      <c r="V22" s="642">
        <f>(Model!W673+Model!W898)/SUM(Model!W9,Model!W428,Model!W673,Model!W898,Model!W1123,Model!W1350)</f>
        <v>0.01806392644</v>
      </c>
      <c r="W22" s="642">
        <f>(Model!X673+Model!X898)/SUM(Model!X9,Model!X428,Model!X673,Model!X898,Model!X1123,Model!X1350)</f>
        <v>0.0229423773</v>
      </c>
      <c r="X22" s="642">
        <f>(Model!Y673+Model!Y898)/SUM(Model!Y9,Model!Y428,Model!Y673,Model!Y898,Model!Y1123,Model!Y1350)</f>
        <v>0.02772336644</v>
      </c>
      <c r="Y22" s="642">
        <f>(Model!Z673+Model!Z898)/SUM(Model!Z9,Model!Z428,Model!Z673,Model!Z898,Model!Z1123,Model!Z1350)</f>
        <v>0.03240978562</v>
      </c>
      <c r="Z22" s="642">
        <f>(Model!AA673+Model!AA898)/SUM(Model!AA9,Model!AA428,Model!AA673,Model!AA898,Model!AA1123,Model!AA1350)</f>
        <v>0.0370044133</v>
      </c>
      <c r="AA22" s="642">
        <f>(Model!AB673+Model!AB898)/SUM(Model!AB9,Model!AB428,Model!AB673,Model!AB898,Model!AB1123,Model!AB1350)</f>
        <v>0.04150992018</v>
      </c>
      <c r="AB22" s="642">
        <f>(Model!AC673+Model!AC898)/SUM(Model!AC9,Model!AC428,Model!AC673,Model!AC898,Model!AC1123,Model!AC1350)</f>
        <v>0.04592887431</v>
      </c>
      <c r="AC22" s="642">
        <f>(Model!AD673+Model!AD898)/SUM(Model!AD9,Model!AD428,Model!AD673,Model!AD898,Model!AD1123,Model!AD1350)</f>
        <v>0.05026374606</v>
      </c>
      <c r="AD22" s="642">
        <f>(Model!AE673+Model!AE898)/SUM(Model!AE9,Model!AE428,Model!AE673,Model!AE898,Model!AE1123,Model!AE1350)</f>
        <v>0.05451691263</v>
      </c>
      <c r="AE22" s="642">
        <f>(Model!AF673+Model!AF898)/SUM(Model!AF9,Model!AF428,Model!AF673,Model!AF898,Model!AF1123,Model!AF1350)</f>
        <v>0.05869066248</v>
      </c>
      <c r="AF22" s="642">
        <f>(Model!AG673+Model!AG898)/SUM(Model!AG9,Model!AG428,Model!AG673,Model!AG898,Model!AG1123,Model!AG1350)</f>
        <v>0.06278719938</v>
      </c>
      <c r="AG22" s="642">
        <f>(Model!AH673+Model!AH898)/SUM(Model!AH9,Model!AH428,Model!AH673,Model!AH898,Model!AH1123,Model!AH1350)</f>
        <v>0.06680864631</v>
      </c>
      <c r="AH22" s="642">
        <f>(Model!AI673+Model!AI898)/SUM(Model!AI9,Model!AI428,Model!AI673,Model!AI898,Model!AI1123,Model!AI1350)</f>
        <v>0.07075704913</v>
      </c>
      <c r="AI22" s="642">
        <f>(Model!AJ673+Model!AJ898)/SUM(Model!AJ9,Model!AJ428,Model!AJ673,Model!AJ898,Model!AJ1123,Model!AJ1350)</f>
        <v>0.07463438005</v>
      </c>
      <c r="AJ22" s="642">
        <f>(Model!AK673+Model!AK898)/SUM(Model!AK9,Model!AK428,Model!AK673,Model!AK898,Model!AK1123,Model!AK1350)</f>
        <v>0.07844254091</v>
      </c>
      <c r="AK22" s="642">
        <f>(Model!AL673+Model!AL898)/SUM(Model!AL9,Model!AL428,Model!AL673,Model!AL898,Model!AL1123,Model!AL1350)</f>
        <v>0.0821833663</v>
      </c>
      <c r="AL22" s="642">
        <f>(Model!AM673+Model!AM898)/SUM(Model!AM9,Model!AM428,Model!AM673,Model!AM898,Model!AM1123,Model!AM1350)</f>
        <v>0.0858586265</v>
      </c>
      <c r="AM22" s="642">
        <f>(Model!AN673+Model!AN898)/SUM(Model!AN9,Model!AN428,Model!AN673,Model!AN898,Model!AN1123,Model!AN1350)</f>
        <v>0.08947003026</v>
      </c>
      <c r="AN22" s="642">
        <f>(Model!AO673+Model!AO898)/SUM(Model!AO9,Model!AO428,Model!AO673,Model!AO898,Model!AO1123,Model!AO1350)</f>
        <v>0.09301922748</v>
      </c>
      <c r="AO22" s="642">
        <f>(Model!AP673+Model!AP898)/SUM(Model!AP9,Model!AP428,Model!AP673,Model!AP898,Model!AP1123,Model!AP1350)</f>
        <v>0.09650781169</v>
      </c>
      <c r="AP22" s="642">
        <f>(Model!AQ673+Model!AQ898)/SUM(Model!AQ9,Model!AQ428,Model!AQ673,Model!AQ898,Model!AQ1123,Model!AQ1350)</f>
        <v>0.09993732248</v>
      </c>
      <c r="AQ22" s="642">
        <f>(Model!AR673+Model!AR898)/SUM(Model!AR9,Model!AR428,Model!AR673,Model!AR898,Model!AR1123,Model!AR1350)</f>
        <v>0.1033092477</v>
      </c>
      <c r="AR22" s="642">
        <f>(Model!AS673+Model!AS898)/SUM(Model!AS9,Model!AS428,Model!AS673,Model!AS898,Model!AS1123,Model!AS1350)</f>
        <v>0.1066250257</v>
      </c>
      <c r="AS22" s="642">
        <f>(Model!AT673+Model!AT898)/SUM(Model!AT9,Model!AT428,Model!AT673,Model!AT898,Model!AT1123,Model!AT1350)</f>
        <v>0.1098860473</v>
      </c>
      <c r="AT22" s="642">
        <f>(Model!AU673+Model!AU898)/SUM(Model!AU9,Model!AU428,Model!AU673,Model!AU898,Model!AU1123,Model!AU1350)</f>
        <v>0.1130936577</v>
      </c>
      <c r="AU22" s="642">
        <f>(Model!AV673+Model!AV898)/SUM(Model!AV9,Model!AV428,Model!AV673,Model!AV898,Model!AV1123,Model!AV1350)</f>
        <v>0.1162491584</v>
      </c>
      <c r="AV22" s="642">
        <f>(Model!AW673+Model!AW898)/SUM(Model!AW9,Model!AW428,Model!AW673,Model!AW898,Model!AW1123,Model!AW1350)</f>
        <v>0.1193538092</v>
      </c>
      <c r="AW22" s="642">
        <f>(Model!AX673+Model!AX898)/SUM(Model!AX9,Model!AX428,Model!AX673,Model!AX898,Model!AX1123,Model!AX1350)</f>
        <v>0.1224088292</v>
      </c>
      <c r="AX22" s="642">
        <f>(Model!AY673+Model!AY898)/SUM(Model!AY9,Model!AY428,Model!AY673,Model!AY898,Model!AY1123,Model!AY1350)</f>
        <v>0.1254153992</v>
      </c>
      <c r="AY22" s="642">
        <f>(Model!AZ673+Model!AZ898)/SUM(Model!AZ9,Model!AZ428,Model!AZ673,Model!AZ898,Model!AZ1123,Model!AZ1350)</f>
        <v>0.1283746627</v>
      </c>
      <c r="AZ22" s="642">
        <f>(Model!BA673+Model!BA898)/SUM(Model!BA9,Model!BA428,Model!BA673,Model!BA898,Model!BA1123,Model!BA1350)</f>
        <v>0.1312877274</v>
      </c>
    </row>
    <row r="23">
      <c r="A23" s="259" t="s">
        <v>829</v>
      </c>
      <c r="B23" s="637">
        <f t="shared" ref="B23:R23" si="18">B15-B17-B21</f>
        <v>1.749958575</v>
      </c>
      <c r="C23" s="637">
        <f t="shared" si="18"/>
        <v>2.137927334</v>
      </c>
      <c r="D23" s="637">
        <f t="shared" si="18"/>
        <v>2.221111314</v>
      </c>
      <c r="E23" s="637">
        <f t="shared" si="18"/>
        <v>3.383121249</v>
      </c>
      <c r="F23" s="637">
        <f t="shared" si="18"/>
        <v>3.150704178</v>
      </c>
      <c r="G23" s="637">
        <f t="shared" si="18"/>
        <v>3.676129328</v>
      </c>
      <c r="H23" s="637">
        <f t="shared" si="18"/>
        <v>5.596661636</v>
      </c>
      <c r="I23" s="637">
        <f t="shared" si="18"/>
        <v>5.813129782</v>
      </c>
      <c r="J23" s="637">
        <f t="shared" si="18"/>
        <v>5.343530278</v>
      </c>
      <c r="K23" s="637">
        <f t="shared" si="18"/>
        <v>5.200633176</v>
      </c>
      <c r="L23" s="637">
        <f t="shared" si="18"/>
        <v>7.060242389</v>
      </c>
      <c r="M23" s="637">
        <f t="shared" si="18"/>
        <v>6.225750394</v>
      </c>
      <c r="N23" s="637">
        <f t="shared" si="18"/>
        <v>11.36987457</v>
      </c>
      <c r="O23" s="637">
        <f t="shared" si="18"/>
        <v>17.68054933</v>
      </c>
      <c r="P23" s="637">
        <f t="shared" si="18"/>
        <v>15.61738111</v>
      </c>
      <c r="Q23" s="637">
        <f t="shared" si="18"/>
        <v>17.20866658</v>
      </c>
      <c r="R23" s="637">
        <f t="shared" si="18"/>
        <v>17.21427769</v>
      </c>
      <c r="S23" s="637">
        <f t="shared" ref="S23:AZ23" si="19">AVERAGE(M23:R23)</f>
        <v>14.21941661</v>
      </c>
      <c r="T23" s="637">
        <f t="shared" si="19"/>
        <v>15.55169432</v>
      </c>
      <c r="U23" s="637">
        <f t="shared" si="19"/>
        <v>16.24866427</v>
      </c>
      <c r="V23" s="637">
        <f t="shared" si="19"/>
        <v>16.01001676</v>
      </c>
      <c r="W23" s="637">
        <f t="shared" si="19"/>
        <v>16.07545604</v>
      </c>
      <c r="X23" s="637">
        <f t="shared" si="19"/>
        <v>15.88658762</v>
      </c>
      <c r="Y23" s="637">
        <f t="shared" si="19"/>
        <v>15.66530594</v>
      </c>
      <c r="Z23" s="637">
        <f t="shared" si="19"/>
        <v>15.90628749</v>
      </c>
      <c r="AA23" s="637">
        <f t="shared" si="19"/>
        <v>15.96538635</v>
      </c>
      <c r="AB23" s="637">
        <f t="shared" si="19"/>
        <v>15.91817337</v>
      </c>
      <c r="AC23" s="637">
        <f t="shared" si="19"/>
        <v>15.90286613</v>
      </c>
      <c r="AD23" s="637">
        <f t="shared" si="19"/>
        <v>15.87410115</v>
      </c>
      <c r="AE23" s="637">
        <f t="shared" si="19"/>
        <v>15.87202007</v>
      </c>
      <c r="AF23" s="637">
        <f t="shared" si="19"/>
        <v>15.90647243</v>
      </c>
      <c r="AG23" s="637">
        <f t="shared" si="19"/>
        <v>15.90650325</v>
      </c>
      <c r="AH23" s="637">
        <f t="shared" si="19"/>
        <v>15.8966894</v>
      </c>
      <c r="AI23" s="637">
        <f t="shared" si="19"/>
        <v>15.89310874</v>
      </c>
      <c r="AJ23" s="637">
        <f t="shared" si="19"/>
        <v>15.89148251</v>
      </c>
      <c r="AK23" s="637">
        <f t="shared" si="19"/>
        <v>15.8943794</v>
      </c>
      <c r="AL23" s="637">
        <f t="shared" si="19"/>
        <v>15.89810595</v>
      </c>
      <c r="AM23" s="637">
        <f t="shared" si="19"/>
        <v>15.89671154</v>
      </c>
      <c r="AN23" s="637">
        <f t="shared" si="19"/>
        <v>15.89507959</v>
      </c>
      <c r="AO23" s="637">
        <f t="shared" si="19"/>
        <v>15.89481129</v>
      </c>
      <c r="AP23" s="637">
        <f t="shared" si="19"/>
        <v>15.89509505</v>
      </c>
      <c r="AQ23" s="637">
        <f t="shared" si="19"/>
        <v>15.89569714</v>
      </c>
      <c r="AR23" s="637">
        <f t="shared" si="19"/>
        <v>15.89591676</v>
      </c>
      <c r="AS23" s="637">
        <f t="shared" si="19"/>
        <v>15.89555189</v>
      </c>
      <c r="AT23" s="637">
        <f t="shared" si="19"/>
        <v>15.89535862</v>
      </c>
      <c r="AU23" s="637">
        <f t="shared" si="19"/>
        <v>15.89540512</v>
      </c>
      <c r="AV23" s="637">
        <f t="shared" si="19"/>
        <v>15.8955041</v>
      </c>
      <c r="AW23" s="637">
        <f t="shared" si="19"/>
        <v>15.89557227</v>
      </c>
      <c r="AX23" s="637">
        <f t="shared" si="19"/>
        <v>15.89555146</v>
      </c>
      <c r="AY23" s="637">
        <f t="shared" si="19"/>
        <v>15.89549058</v>
      </c>
      <c r="AZ23" s="637">
        <f t="shared" si="19"/>
        <v>15.89548036</v>
      </c>
    </row>
    <row r="24" ht="15.75" customHeight="1">
      <c r="A24" s="259" t="s">
        <v>830</v>
      </c>
      <c r="K24" s="637">
        <f t="shared" ref="K24:P24" si="20">K15-K20-K17</f>
        <v>3.410142564</v>
      </c>
      <c r="L24" s="637">
        <f t="shared" si="20"/>
        <v>5.407919344</v>
      </c>
      <c r="M24" s="637">
        <f t="shared" si="20"/>
        <v>7.39566657</v>
      </c>
      <c r="N24" s="637">
        <f t="shared" si="20"/>
        <v>9.07687107</v>
      </c>
      <c r="O24" s="637">
        <f t="shared" si="20"/>
        <v>14.95026645</v>
      </c>
      <c r="P24" s="637">
        <f t="shared" si="20"/>
        <v>13.81588654</v>
      </c>
      <c r="Q24" s="637">
        <f t="shared" ref="Q24:AZ24" si="21">AVERAGE(K24:P24)</f>
        <v>9.009458756</v>
      </c>
      <c r="R24" s="637">
        <f t="shared" si="21"/>
        <v>9.942678121</v>
      </c>
      <c r="S24" s="637">
        <f t="shared" si="21"/>
        <v>10.69847125</v>
      </c>
      <c r="T24" s="637">
        <f t="shared" si="21"/>
        <v>11.2489387</v>
      </c>
      <c r="U24" s="637">
        <f t="shared" si="21"/>
        <v>11.61094997</v>
      </c>
      <c r="V24" s="637">
        <f t="shared" si="21"/>
        <v>11.05439722</v>
      </c>
      <c r="W24" s="637">
        <f t="shared" si="21"/>
        <v>10.594149</v>
      </c>
      <c r="X24" s="637">
        <f t="shared" si="21"/>
        <v>10.85826404</v>
      </c>
      <c r="Y24" s="637">
        <f t="shared" si="21"/>
        <v>11.0108617</v>
      </c>
      <c r="Z24" s="637">
        <f t="shared" si="21"/>
        <v>11.06292677</v>
      </c>
      <c r="AA24" s="637">
        <f t="shared" si="21"/>
        <v>11.03192478</v>
      </c>
      <c r="AB24" s="637">
        <f t="shared" si="21"/>
        <v>10.93542059</v>
      </c>
      <c r="AC24" s="637">
        <f t="shared" si="21"/>
        <v>10.91559115</v>
      </c>
      <c r="AD24" s="637">
        <f t="shared" si="21"/>
        <v>10.96916484</v>
      </c>
      <c r="AE24" s="637">
        <f t="shared" si="21"/>
        <v>10.9876483</v>
      </c>
      <c r="AF24" s="637">
        <f t="shared" si="21"/>
        <v>10.98377941</v>
      </c>
      <c r="AG24" s="637">
        <f t="shared" si="21"/>
        <v>10.97058818</v>
      </c>
      <c r="AH24" s="637">
        <f t="shared" si="21"/>
        <v>10.96036541</v>
      </c>
      <c r="AI24" s="637">
        <f t="shared" si="21"/>
        <v>10.96452288</v>
      </c>
      <c r="AJ24" s="637">
        <f t="shared" si="21"/>
        <v>10.97267817</v>
      </c>
      <c r="AK24" s="637">
        <f t="shared" si="21"/>
        <v>10.97326372</v>
      </c>
      <c r="AL24" s="637">
        <f t="shared" si="21"/>
        <v>10.97086629</v>
      </c>
      <c r="AM24" s="637">
        <f t="shared" si="21"/>
        <v>10.96871411</v>
      </c>
      <c r="AN24" s="637">
        <f t="shared" si="21"/>
        <v>10.96840176</v>
      </c>
      <c r="AO24" s="637">
        <f t="shared" si="21"/>
        <v>10.96974116</v>
      </c>
      <c r="AP24" s="637">
        <f t="shared" si="21"/>
        <v>10.97061087</v>
      </c>
      <c r="AQ24" s="637">
        <f t="shared" si="21"/>
        <v>10.97026632</v>
      </c>
      <c r="AR24" s="637">
        <f t="shared" si="21"/>
        <v>10.96976675</v>
      </c>
      <c r="AS24" s="637">
        <f t="shared" si="21"/>
        <v>10.9695835</v>
      </c>
      <c r="AT24" s="637">
        <f t="shared" si="21"/>
        <v>10.96972839</v>
      </c>
      <c r="AU24" s="637">
        <f t="shared" si="21"/>
        <v>10.9699495</v>
      </c>
      <c r="AV24" s="637">
        <f t="shared" si="21"/>
        <v>10.96998422</v>
      </c>
      <c r="AW24" s="637">
        <f t="shared" si="21"/>
        <v>10.96987978</v>
      </c>
      <c r="AX24" s="637">
        <f t="shared" si="21"/>
        <v>10.96981536</v>
      </c>
      <c r="AY24" s="637">
        <f t="shared" si="21"/>
        <v>10.96982346</v>
      </c>
      <c r="AZ24" s="637">
        <f t="shared" si="21"/>
        <v>10.96986345</v>
      </c>
    </row>
    <row r="25" ht="15.75" customHeight="1">
      <c r="A25" s="76" t="s">
        <v>831</v>
      </c>
      <c r="B25" s="645"/>
      <c r="C25" s="645"/>
      <c r="D25" s="646"/>
      <c r="E25" s="474"/>
      <c r="F25" s="474"/>
      <c r="G25" s="474"/>
      <c r="H25" s="474"/>
      <c r="I25" s="474"/>
      <c r="J25" s="474"/>
      <c r="K25" s="474"/>
      <c r="L25" s="474"/>
      <c r="M25" s="474"/>
      <c r="N25" s="474"/>
      <c r="O25" s="474"/>
      <c r="P25" s="474"/>
      <c r="Q25" s="474"/>
      <c r="R25" s="474"/>
      <c r="S25" s="474"/>
      <c r="T25" s="474"/>
      <c r="U25" s="474"/>
      <c r="V25" s="474"/>
      <c r="W25" s="474"/>
      <c r="X25" s="474"/>
      <c r="Y25" s="474"/>
      <c r="Z25" s="474"/>
      <c r="AA25" s="474"/>
      <c r="AB25" s="474"/>
      <c r="AC25" s="474"/>
      <c r="AD25" s="474"/>
      <c r="AE25" s="474"/>
      <c r="AF25" s="474"/>
      <c r="AG25" s="474"/>
      <c r="AH25" s="474"/>
      <c r="AI25" s="474"/>
      <c r="AJ25" s="474"/>
      <c r="AK25" s="474"/>
      <c r="AL25" s="474"/>
      <c r="AM25" s="474"/>
      <c r="AN25" s="474"/>
      <c r="AO25" s="474"/>
      <c r="AP25" s="474"/>
      <c r="AQ25" s="474"/>
      <c r="AR25" s="474"/>
      <c r="AS25" s="474"/>
      <c r="AT25" s="474"/>
      <c r="AU25" s="474"/>
      <c r="AV25" s="474"/>
      <c r="AW25" s="474"/>
      <c r="AX25" s="474"/>
      <c r="AY25" s="474"/>
      <c r="AZ25" s="474"/>
      <c r="BA25" s="474"/>
      <c r="BB25" s="474"/>
      <c r="BC25" s="474"/>
      <c r="BD25" s="474"/>
      <c r="BE25" s="474"/>
      <c r="BF25" s="474"/>
      <c r="BG25" s="474"/>
      <c r="BH25" s="474"/>
    </row>
    <row r="26" ht="15.75" customHeight="1">
      <c r="A26" s="76" t="s">
        <v>832</v>
      </c>
      <c r="B26" s="645"/>
      <c r="C26" s="645"/>
      <c r="D26" s="646"/>
      <c r="E26" s="474"/>
      <c r="F26" s="474"/>
      <c r="G26" s="474"/>
      <c r="H26" s="474"/>
      <c r="I26" s="474"/>
      <c r="J26" s="474"/>
      <c r="K26" s="474"/>
      <c r="L26" s="474"/>
      <c r="M26" s="474"/>
      <c r="N26" s="474"/>
      <c r="O26" s="474"/>
      <c r="P26" s="474"/>
      <c r="Q26" s="474"/>
      <c r="R26" s="474"/>
      <c r="S26" s="474"/>
      <c r="T26" s="474"/>
      <c r="U26" s="474"/>
      <c r="V26" s="474"/>
      <c r="W26" s="474"/>
      <c r="X26" s="474"/>
      <c r="Y26" s="474"/>
      <c r="Z26" s="474"/>
      <c r="AA26" s="474"/>
      <c r="AB26" s="474"/>
      <c r="AC26" s="474"/>
      <c r="AD26" s="474"/>
      <c r="AE26" s="474"/>
      <c r="AF26" s="474"/>
      <c r="AG26" s="474"/>
      <c r="AH26" s="474"/>
      <c r="AI26" s="474"/>
      <c r="AJ26" s="474"/>
      <c r="AK26" s="474"/>
      <c r="AL26" s="474"/>
      <c r="AM26" s="474"/>
      <c r="AN26" s="474"/>
      <c r="AO26" s="474"/>
      <c r="AP26" s="474"/>
      <c r="AQ26" s="474"/>
      <c r="AR26" s="474"/>
      <c r="AS26" s="474"/>
      <c r="AT26" s="474"/>
      <c r="AU26" s="474"/>
      <c r="AV26" s="474"/>
      <c r="AW26" s="474"/>
      <c r="AX26" s="474"/>
      <c r="AY26" s="474"/>
      <c r="AZ26" s="474"/>
      <c r="BA26" s="474"/>
      <c r="BB26" s="474"/>
      <c r="BC26" s="474"/>
      <c r="BD26" s="474"/>
      <c r="BE26" s="474"/>
      <c r="BF26" s="474"/>
      <c r="BG26" s="474"/>
      <c r="BH26" s="474"/>
    </row>
    <row r="27" ht="15.75" customHeight="1">
      <c r="A27" s="76" t="s">
        <v>833</v>
      </c>
      <c r="B27" s="647">
        <f>Model!C672</f>
        <v>1.8</v>
      </c>
      <c r="C27" s="647">
        <f>Model!D672</f>
        <v>1.8</v>
      </c>
      <c r="D27" s="647">
        <f>Model!E672</f>
        <v>1.8</v>
      </c>
      <c r="E27" s="647">
        <f>Model!F672</f>
        <v>1.8</v>
      </c>
      <c r="F27" s="647">
        <f>Model!G672</f>
        <v>28.8</v>
      </c>
      <c r="G27" s="647">
        <f>Model!H672</f>
        <v>28.8</v>
      </c>
      <c r="H27" s="647">
        <f>Model!I672</f>
        <v>28.8</v>
      </c>
      <c r="I27" s="647">
        <f>Model!J672</f>
        <v>28.8</v>
      </c>
      <c r="J27" s="647">
        <f>Model!K672</f>
        <v>28.8</v>
      </c>
      <c r="K27" s="647">
        <f>Model!L672</f>
        <v>28.8</v>
      </c>
      <c r="L27" s="647">
        <f>Model!M672</f>
        <v>28.8</v>
      </c>
      <c r="M27" s="647">
        <f>Model!N672</f>
        <v>28.8</v>
      </c>
      <c r="N27" s="647">
        <f>Model!O672</f>
        <v>28.8</v>
      </c>
      <c r="O27" s="647">
        <f>Model!P672</f>
        <v>28.8</v>
      </c>
      <c r="P27" s="647">
        <f>Model!Q672</f>
        <v>28.8</v>
      </c>
      <c r="Q27" s="647">
        <f>Model!R672</f>
        <v>28.8</v>
      </c>
      <c r="R27" s="647">
        <f>Model!S672</f>
        <v>236.8</v>
      </c>
      <c r="S27" s="647">
        <f>Model!T672</f>
        <v>236.8</v>
      </c>
      <c r="T27" s="647">
        <f>Model!U672</f>
        <v>236.8</v>
      </c>
      <c r="U27" s="647">
        <f>Model!V672</f>
        <v>236.8</v>
      </c>
      <c r="V27" s="648">
        <f>Model!W672</f>
        <v>236.8</v>
      </c>
      <c r="W27" s="648">
        <f>Model!X672</f>
        <v>392.2467634</v>
      </c>
      <c r="X27" s="648">
        <f>Model!Y672</f>
        <v>547.6935267</v>
      </c>
      <c r="Y27" s="648">
        <f>Model!Z672</f>
        <v>703.1402901</v>
      </c>
      <c r="Z27" s="648">
        <f>Model!AA672</f>
        <v>858.5870534</v>
      </c>
      <c r="AA27" s="648">
        <f>Model!AB672</f>
        <v>1014.033817</v>
      </c>
      <c r="AB27" s="648">
        <f>Model!AC672</f>
        <v>1169.48058</v>
      </c>
      <c r="AC27" s="648">
        <f>Model!AD672</f>
        <v>1324.927343</v>
      </c>
      <c r="AD27" s="648">
        <f>Model!AE672</f>
        <v>1480.374107</v>
      </c>
      <c r="AE27" s="648">
        <f>Model!AF672</f>
        <v>1635.82087</v>
      </c>
      <c r="AF27" s="648">
        <f>Model!AG672</f>
        <v>1791.267634</v>
      </c>
      <c r="AG27" s="648">
        <f>Model!AH672</f>
        <v>1946.714397</v>
      </c>
      <c r="AH27" s="648">
        <f>Model!AI672</f>
        <v>2102.16116</v>
      </c>
      <c r="AI27" s="648">
        <f>Model!AJ672</f>
        <v>2257.607924</v>
      </c>
      <c r="AJ27" s="648">
        <f>Model!AK672</f>
        <v>2413.054687</v>
      </c>
      <c r="AK27" s="648">
        <f>Model!AL672</f>
        <v>2568.50145</v>
      </c>
      <c r="AL27" s="648">
        <f>Model!AM672</f>
        <v>2723.948214</v>
      </c>
      <c r="AM27" s="648">
        <f>Model!AN672</f>
        <v>2879.394977</v>
      </c>
      <c r="AN27" s="648">
        <f>Model!AO672</f>
        <v>3034.84174</v>
      </c>
      <c r="AO27" s="648">
        <f>Model!AP672</f>
        <v>3190.288504</v>
      </c>
      <c r="AP27" s="648">
        <f>Model!AQ672</f>
        <v>3345.735267</v>
      </c>
      <c r="AQ27" s="648">
        <f>Model!AR672</f>
        <v>3501.18203</v>
      </c>
      <c r="AR27" s="648">
        <f>Model!AS672</f>
        <v>3656.628794</v>
      </c>
      <c r="AS27" s="648">
        <f>Model!AT672</f>
        <v>3812.075557</v>
      </c>
      <c r="AT27" s="648">
        <f>Model!AU672</f>
        <v>3967.52232</v>
      </c>
      <c r="AU27" s="648">
        <f>Model!AV672</f>
        <v>4122.969084</v>
      </c>
      <c r="AV27" s="648">
        <f>Model!AW672</f>
        <v>4278.415847</v>
      </c>
      <c r="AW27" s="648">
        <f>Model!AX672</f>
        <v>4433.862611</v>
      </c>
      <c r="AX27" s="648">
        <f>Model!AY672</f>
        <v>4589.309374</v>
      </c>
      <c r="AY27" s="648">
        <f>Model!AZ672</f>
        <v>4744.756137</v>
      </c>
      <c r="AZ27" s="648">
        <f>Model!BA672</f>
        <v>4900.202901</v>
      </c>
      <c r="BA27" s="474"/>
      <c r="BB27" s="474"/>
      <c r="BC27" s="474"/>
      <c r="BD27" s="474"/>
      <c r="BE27" s="474"/>
      <c r="BF27" s="474"/>
      <c r="BG27" s="474"/>
      <c r="BH27" s="474"/>
    </row>
    <row r="28" ht="62.25" customHeight="1">
      <c r="B28" s="645" t="s">
        <v>834</v>
      </c>
      <c r="C28" s="645" t="s">
        <v>835</v>
      </c>
      <c r="D28" s="646" t="s">
        <v>836</v>
      </c>
    </row>
    <row r="29" ht="15.75" customHeight="1">
      <c r="A29" s="78" t="s">
        <v>837</v>
      </c>
      <c r="B29" s="649">
        <v>0.06</v>
      </c>
      <c r="C29" s="650">
        <v>1.8</v>
      </c>
      <c r="D29" s="447">
        <v>5.0</v>
      </c>
    </row>
    <row r="30" ht="15.75" customHeight="1">
      <c r="A30" s="78" t="s">
        <v>838</v>
      </c>
      <c r="B30" s="649">
        <v>0.13</v>
      </c>
      <c r="C30" s="650">
        <v>2.0</v>
      </c>
      <c r="D30" s="447">
        <v>11.0</v>
      </c>
    </row>
    <row r="31" ht="15.75" customHeight="1">
      <c r="A31" s="78" t="s">
        <v>839</v>
      </c>
      <c r="B31" s="649">
        <v>0.21</v>
      </c>
      <c r="C31" s="650">
        <v>2.6</v>
      </c>
      <c r="D31" s="447">
        <v>25.0</v>
      </c>
    </row>
    <row r="32" ht="15.75" customHeight="1">
      <c r="A32" s="78" t="s">
        <v>840</v>
      </c>
      <c r="B32" s="649">
        <v>0.3</v>
      </c>
      <c r="C32" s="650">
        <v>3.5</v>
      </c>
      <c r="D32" s="447">
        <v>35.0</v>
      </c>
    </row>
    <row r="33" ht="15.75" customHeight="1">
      <c r="A33" s="78" t="s">
        <v>841</v>
      </c>
      <c r="B33" s="649">
        <v>0.35</v>
      </c>
      <c r="C33" s="650">
        <v>4.3</v>
      </c>
      <c r="D33" s="447">
        <v>45.0</v>
      </c>
    </row>
    <row r="34" ht="15.75" customHeight="1">
      <c r="A34" s="78" t="s">
        <v>842</v>
      </c>
      <c r="B34" s="649">
        <v>0.42</v>
      </c>
      <c r="C34" s="650">
        <v>5.2</v>
      </c>
      <c r="D34" s="447">
        <v>70.0</v>
      </c>
    </row>
    <row r="35" ht="15.75" customHeight="1">
      <c r="A35" s="78" t="s">
        <v>843</v>
      </c>
      <c r="B35" s="649">
        <v>0.5</v>
      </c>
      <c r="C35" s="650">
        <v>6.5</v>
      </c>
      <c r="D35" s="447">
        <v>110.0</v>
      </c>
    </row>
    <row r="36" ht="15.75" customHeight="1">
      <c r="A36" s="78" t="s">
        <v>844</v>
      </c>
      <c r="B36" s="649">
        <v>0.6</v>
      </c>
      <c r="C36" s="650">
        <v>8.3</v>
      </c>
      <c r="D36" s="447">
        <v>197.0</v>
      </c>
    </row>
    <row r="37" ht="15.75" customHeight="1">
      <c r="A37" s="78"/>
      <c r="B37" s="639"/>
      <c r="C37" s="95"/>
    </row>
    <row r="38" ht="15.75" customHeight="1"/>
    <row r="39" ht="15.75" customHeight="1">
      <c r="A39" s="78" t="s">
        <v>845</v>
      </c>
    </row>
    <row r="40" ht="15.75" customHeight="1">
      <c r="A40" s="174" t="s">
        <v>846</v>
      </c>
      <c r="B40" s="139">
        <v>24.09</v>
      </c>
      <c r="C40" s="139">
        <v>7.7</v>
      </c>
      <c r="D40" s="139">
        <v>0.0</v>
      </c>
      <c r="E40" s="139">
        <v>13.509999999999998</v>
      </c>
      <c r="F40" s="139">
        <v>24.82</v>
      </c>
      <c r="G40" s="139">
        <v>2.51</v>
      </c>
      <c r="H40" s="139">
        <v>2.6</v>
      </c>
      <c r="I40" s="139">
        <v>12.2</v>
      </c>
      <c r="J40" s="139">
        <v>0.02</v>
      </c>
      <c r="K40" s="139">
        <v>1.0</v>
      </c>
      <c r="L40" s="139">
        <v>26.5</v>
      </c>
      <c r="M40" s="139"/>
    </row>
    <row r="41" ht="15.75" customHeight="1">
      <c r="A41" s="174" t="s">
        <v>847</v>
      </c>
      <c r="B41">
        <v>95.05000000000001</v>
      </c>
      <c r="C41">
        <v>114.8</v>
      </c>
      <c r="D41">
        <v>153.63</v>
      </c>
      <c r="E41">
        <v>544.23</v>
      </c>
      <c r="F41">
        <v>656.378</v>
      </c>
      <c r="G41">
        <v>65.47999999999999</v>
      </c>
      <c r="H41">
        <v>94.36</v>
      </c>
      <c r="I41">
        <v>80.51999999999998</v>
      </c>
      <c r="J41">
        <v>52.18</v>
      </c>
      <c r="K41">
        <v>52.76000000000001</v>
      </c>
      <c r="L41">
        <v>106.07000000000001</v>
      </c>
    </row>
    <row r="42" ht="15.75" customHeight="1">
      <c r="A42" s="174" t="s">
        <v>848</v>
      </c>
      <c r="B42">
        <v>155.14</v>
      </c>
      <c r="C42">
        <v>262.75000000000006</v>
      </c>
      <c r="D42">
        <v>312.67999999999995</v>
      </c>
      <c r="E42">
        <v>217.5</v>
      </c>
      <c r="F42">
        <v>24.63</v>
      </c>
      <c r="G42">
        <v>27.5</v>
      </c>
      <c r="H42">
        <v>204.1</v>
      </c>
      <c r="I42">
        <v>173.82</v>
      </c>
      <c r="J42">
        <v>21.6</v>
      </c>
      <c r="K42">
        <v>107.13999999999999</v>
      </c>
      <c r="L42">
        <v>308.45</v>
      </c>
    </row>
    <row r="43" ht="15.75" customHeight="1">
      <c r="A43" s="651" t="s">
        <v>849</v>
      </c>
    </row>
    <row r="44" ht="15.75" customHeight="1">
      <c r="A44" s="174" t="s">
        <v>846</v>
      </c>
      <c r="G44">
        <v>16.29</v>
      </c>
      <c r="H44">
        <v>68.01</v>
      </c>
      <c r="I44">
        <v>189.46999999999997</v>
      </c>
      <c r="J44">
        <v>146.52</v>
      </c>
      <c r="K44">
        <v>119.30000000000001</v>
      </c>
      <c r="L44">
        <v>52.55</v>
      </c>
    </row>
    <row r="45" ht="15.75" customHeight="1">
      <c r="A45" s="174" t="s">
        <v>847</v>
      </c>
      <c r="G45">
        <v>562.4599999999999</v>
      </c>
      <c r="H45">
        <v>404.07</v>
      </c>
      <c r="I45">
        <v>437.9899999999999</v>
      </c>
      <c r="J45">
        <v>295.21999999999986</v>
      </c>
      <c r="K45">
        <v>350.15000000000003</v>
      </c>
      <c r="L45">
        <v>258.08000000000004</v>
      </c>
    </row>
    <row r="46" ht="15.75" customHeight="1">
      <c r="A46" s="174" t="s">
        <v>848</v>
      </c>
      <c r="G46">
        <v>39.92</v>
      </c>
      <c r="H46">
        <v>32.24</v>
      </c>
      <c r="I46">
        <v>52.6</v>
      </c>
      <c r="J46">
        <v>13.42</v>
      </c>
      <c r="K46">
        <v>0.5</v>
      </c>
      <c r="L46">
        <v>115.50000000000001</v>
      </c>
    </row>
    <row r="47" ht="15.75" customHeight="1">
      <c r="A47" s="652" t="s">
        <v>850</v>
      </c>
    </row>
    <row r="48" ht="15.75" customHeight="1">
      <c r="A48" s="174" t="s">
        <v>846</v>
      </c>
      <c r="B48" s="637">
        <f t="shared" ref="B48:F48" si="22">0.001*B40</f>
        <v>0.02409</v>
      </c>
      <c r="C48" s="637">
        <f t="shared" si="22"/>
        <v>0.0077</v>
      </c>
      <c r="D48" s="637">
        <f t="shared" si="22"/>
        <v>0</v>
      </c>
      <c r="E48" s="637">
        <f t="shared" si="22"/>
        <v>0.01351</v>
      </c>
      <c r="F48" s="637">
        <f t="shared" si="22"/>
        <v>0.02482</v>
      </c>
      <c r="G48" s="637">
        <f t="shared" ref="G48:I48" si="23">((H48-(H40*I48/I40))/(H44-(H40*I44/I40))*(G44-(I44*G40)/I40)+(I48*G40/I40))</f>
        <v>0.01087113043</v>
      </c>
      <c r="H48" s="637">
        <f t="shared" si="23"/>
        <v>0.0538139623</v>
      </c>
      <c r="I48" s="637">
        <f t="shared" si="23"/>
        <v>0.1446194753</v>
      </c>
      <c r="J48" s="95">
        <v>0.121906069</v>
      </c>
      <c r="K48" s="95">
        <v>0.098206585</v>
      </c>
      <c r="L48" s="95">
        <v>0.04805105</v>
      </c>
      <c r="M48" s="95">
        <v>0.204249547</v>
      </c>
      <c r="N48" s="95">
        <v>0.044545997</v>
      </c>
      <c r="O48" s="95">
        <v>0.129414317</v>
      </c>
      <c r="P48" s="95">
        <v>0.152714335</v>
      </c>
      <c r="Q48" s="95">
        <v>0.182173454</v>
      </c>
      <c r="R48" s="95">
        <v>0.166648</v>
      </c>
      <c r="S48" s="95">
        <v>0.196889112</v>
      </c>
      <c r="T48" s="95">
        <v>0.416130781</v>
      </c>
      <c r="U48" s="653">
        <v>0.773918094</v>
      </c>
      <c r="V48" s="653">
        <v>0.250469717</v>
      </c>
      <c r="W48" s="653">
        <v>0.0742</v>
      </c>
      <c r="X48" s="653">
        <v>0.0066</v>
      </c>
      <c r="Y48" s="653">
        <v>0.00195</v>
      </c>
    </row>
    <row r="49" ht="15.75" customHeight="1">
      <c r="A49" s="174" t="s">
        <v>847</v>
      </c>
      <c r="B49" s="637">
        <f t="shared" ref="B49:F49" si="24">0.0013*B41</f>
        <v>0.123565</v>
      </c>
      <c r="C49" s="637">
        <f t="shared" si="24"/>
        <v>0.14924</v>
      </c>
      <c r="D49" s="637">
        <f t="shared" si="24"/>
        <v>0.199719</v>
      </c>
      <c r="E49" s="637">
        <f t="shared" si="24"/>
        <v>0.707499</v>
      </c>
      <c r="F49" s="637">
        <f t="shared" si="24"/>
        <v>0.8532914</v>
      </c>
      <c r="G49" s="637">
        <f t="shared" ref="G49:I49" si="25">((H49-(H41*I49/I41))/(H45-(H41*I45/I41))*(G45-(I45*G41)/I41)+(I49*G41/I41))</f>
        <v>0.8935626015</v>
      </c>
      <c r="H49" s="637">
        <f t="shared" si="25"/>
        <v>0.2337441587</v>
      </c>
      <c r="I49" s="637">
        <f t="shared" si="25"/>
        <v>0.4410834062</v>
      </c>
      <c r="J49" s="95">
        <v>0.315361481</v>
      </c>
      <c r="K49" s="95">
        <v>0.452787047</v>
      </c>
      <c r="L49" s="95">
        <v>0.358346887</v>
      </c>
      <c r="M49" s="95">
        <v>0.325895515</v>
      </c>
      <c r="N49" s="95">
        <v>0.167910028</v>
      </c>
      <c r="O49" s="95">
        <v>0.34125112</v>
      </c>
      <c r="P49" s="95">
        <v>0.491318759</v>
      </c>
      <c r="Q49" s="95">
        <v>0.586204899</v>
      </c>
      <c r="R49" s="95">
        <v>0.727558955</v>
      </c>
      <c r="S49" s="95">
        <v>0.634706922</v>
      </c>
      <c r="T49" s="95">
        <v>1.344046578</v>
      </c>
      <c r="U49" s="653">
        <v>1.081180253</v>
      </c>
      <c r="V49" s="653">
        <v>0.857477442</v>
      </c>
      <c r="W49" s="653">
        <v>0.281354</v>
      </c>
      <c r="X49" s="653">
        <v>0.060959</v>
      </c>
      <c r="Y49" s="653">
        <v>0.0843</v>
      </c>
    </row>
    <row r="50" ht="15.75" customHeight="1">
      <c r="A50" s="174" t="s">
        <v>848</v>
      </c>
      <c r="B50" s="637">
        <f t="shared" ref="B50:F50" si="26">0.0016*B42</f>
        <v>0.248224</v>
      </c>
      <c r="C50" s="637">
        <f t="shared" si="26"/>
        <v>0.4204</v>
      </c>
      <c r="D50" s="637">
        <f t="shared" si="26"/>
        <v>0.500288</v>
      </c>
      <c r="E50" s="637">
        <f t="shared" si="26"/>
        <v>0.348</v>
      </c>
      <c r="F50" s="637">
        <f t="shared" si="26"/>
        <v>0.039408</v>
      </c>
      <c r="G50" s="637">
        <f t="shared" ref="G50:I50" si="27">((H50-(H42*I50/I42))/(H46-(H42*I46/I42))*(G46-(I46*G42)/I42)+(I50*G42/I42))</f>
        <v>0.2644170559</v>
      </c>
      <c r="H50" s="637">
        <f t="shared" si="27"/>
        <v>0.5013350953</v>
      </c>
      <c r="I50" s="637">
        <f t="shared" si="27"/>
        <v>0.5660927094</v>
      </c>
      <c r="J50" s="95">
        <v>0.108438234</v>
      </c>
      <c r="K50" s="95">
        <v>0.172284112</v>
      </c>
      <c r="L50" s="95">
        <v>0.433776925</v>
      </c>
      <c r="M50" s="95">
        <v>0.648929545</v>
      </c>
      <c r="N50" s="95">
        <v>0.804304434</v>
      </c>
      <c r="O50" s="95">
        <v>4.812344303</v>
      </c>
      <c r="P50" s="95">
        <v>0.220788971</v>
      </c>
      <c r="Q50" s="95">
        <v>0.15436</v>
      </c>
      <c r="R50" s="95">
        <v>1.10577485</v>
      </c>
      <c r="S50" s="95">
        <v>0.261296875</v>
      </c>
      <c r="T50" s="95">
        <v>0.553842009</v>
      </c>
      <c r="U50" s="653">
        <v>0.269046469</v>
      </c>
      <c r="V50" s="653">
        <v>0.6640558</v>
      </c>
      <c r="W50" s="653">
        <v>0.46165</v>
      </c>
      <c r="X50" s="653">
        <v>0.0628</v>
      </c>
      <c r="Y50" s="653">
        <v>0.0712</v>
      </c>
    </row>
    <row r="51" ht="15.75" customHeight="1"/>
    <row r="52" ht="15.75" customHeight="1">
      <c r="G52" s="95"/>
      <c r="H52" s="95"/>
      <c r="I52" s="95"/>
      <c r="J52" s="654"/>
      <c r="K52" s="655"/>
      <c r="L52" s="95"/>
    </row>
    <row r="53" ht="15.75" customHeight="1">
      <c r="G53" s="95"/>
      <c r="H53" s="95"/>
      <c r="I53" s="95"/>
      <c r="J53" s="95"/>
      <c r="K53" s="655"/>
      <c r="L53" s="95"/>
    </row>
    <row r="54" ht="15.75" customHeight="1">
      <c r="G54" s="656"/>
      <c r="H54" s="656"/>
      <c r="I54" s="656"/>
      <c r="J54" s="656"/>
      <c r="K54" s="655"/>
    </row>
    <row r="55" ht="15.75" customHeight="1">
      <c r="H55" s="654"/>
    </row>
    <row r="56" ht="15.75" customHeight="1">
      <c r="H56" s="654"/>
    </row>
    <row r="57" ht="15.75" customHeight="1">
      <c r="H57" s="654"/>
    </row>
    <row r="58" ht="15.75" customHeight="1"/>
    <row r="59" ht="15.75" customHeight="1">
      <c r="H59" s="657"/>
    </row>
    <row r="60" ht="15.75" customHeight="1">
      <c r="A60" s="636" t="s">
        <v>851</v>
      </c>
      <c r="B60" s="657">
        <v>0.43</v>
      </c>
      <c r="C60" s="657">
        <v>0.38</v>
      </c>
      <c r="D60" s="657">
        <v>0.39</v>
      </c>
      <c r="E60" s="657">
        <v>0.4</v>
      </c>
      <c r="F60" s="657">
        <v>0.37</v>
      </c>
      <c r="G60" s="657">
        <v>0.37</v>
      </c>
      <c r="H60" s="657">
        <v>5.93</v>
      </c>
      <c r="I60" s="657">
        <v>0.45</v>
      </c>
      <c r="J60" s="657">
        <v>0.46</v>
      </c>
      <c r="K60" s="657">
        <v>0.46</v>
      </c>
      <c r="L60" s="657">
        <v>0.48</v>
      </c>
      <c r="M60" s="657">
        <v>0.49</v>
      </c>
      <c r="N60" s="657">
        <v>0.49</v>
      </c>
      <c r="O60" s="657">
        <v>0.49</v>
      </c>
      <c r="P60" s="657">
        <v>0.52</v>
      </c>
      <c r="Q60" s="657">
        <v>0.54</v>
      </c>
      <c r="R60" s="657">
        <v>0.55</v>
      </c>
      <c r="S60" s="637">
        <f t="shared" ref="S60:AZ60" si="28">-19.4+1.07*ln(S96)</f>
        <v>0.6060678133</v>
      </c>
      <c r="T60" s="637">
        <f t="shared" si="28"/>
        <v>0.6060678133</v>
      </c>
      <c r="U60" s="637">
        <f t="shared" si="28"/>
        <v>0.6060678133</v>
      </c>
      <c r="V60" s="637">
        <f t="shared" si="28"/>
        <v>0.6060678133</v>
      </c>
      <c r="W60" s="637">
        <f t="shared" si="28"/>
        <v>0.6060678133</v>
      </c>
      <c r="X60" s="637">
        <f t="shared" si="28"/>
        <v>0.6060678133</v>
      </c>
      <c r="Y60" s="637">
        <f t="shared" si="28"/>
        <v>0.6060678133</v>
      </c>
      <c r="Z60" s="637">
        <f t="shared" si="28"/>
        <v>0.6060678133</v>
      </c>
      <c r="AA60" s="637">
        <f t="shared" si="28"/>
        <v>0.6060678133</v>
      </c>
      <c r="AB60" s="637">
        <f t="shared" si="28"/>
        <v>0.6060678133</v>
      </c>
      <c r="AC60" s="637">
        <f t="shared" si="28"/>
        <v>0.6060678133</v>
      </c>
      <c r="AD60" s="637">
        <f t="shared" si="28"/>
        <v>0.6060678133</v>
      </c>
      <c r="AE60" s="637">
        <f t="shared" si="28"/>
        <v>0.6060678133</v>
      </c>
      <c r="AF60" s="637">
        <f t="shared" si="28"/>
        <v>0.6060678133</v>
      </c>
      <c r="AG60" s="637">
        <f t="shared" si="28"/>
        <v>0.6060678133</v>
      </c>
      <c r="AH60" s="637">
        <f t="shared" si="28"/>
        <v>0.6060678133</v>
      </c>
      <c r="AI60" s="637">
        <f t="shared" si="28"/>
        <v>0.6060678133</v>
      </c>
      <c r="AJ60" s="637">
        <f t="shared" si="28"/>
        <v>0.6060678133</v>
      </c>
      <c r="AK60" s="637">
        <f t="shared" si="28"/>
        <v>0.6060678133</v>
      </c>
      <c r="AL60" s="637">
        <f t="shared" si="28"/>
        <v>0.6060678133</v>
      </c>
      <c r="AM60" s="637">
        <f t="shared" si="28"/>
        <v>0.6060678133</v>
      </c>
      <c r="AN60" s="637">
        <f t="shared" si="28"/>
        <v>0.6060678133</v>
      </c>
      <c r="AO60" s="637">
        <f t="shared" si="28"/>
        <v>0.6060678133</v>
      </c>
      <c r="AP60" s="637">
        <f t="shared" si="28"/>
        <v>0.6060678133</v>
      </c>
      <c r="AQ60" s="637">
        <f t="shared" si="28"/>
        <v>0.6060678133</v>
      </c>
      <c r="AR60" s="637">
        <f t="shared" si="28"/>
        <v>0.6060678133</v>
      </c>
      <c r="AS60" s="637">
        <f t="shared" si="28"/>
        <v>0.6060678133</v>
      </c>
      <c r="AT60" s="637">
        <f t="shared" si="28"/>
        <v>0.6060678133</v>
      </c>
      <c r="AU60" s="637">
        <f t="shared" si="28"/>
        <v>0.6060678133</v>
      </c>
      <c r="AV60" s="637">
        <f t="shared" si="28"/>
        <v>0.6060678133</v>
      </c>
      <c r="AW60" s="637">
        <f t="shared" si="28"/>
        <v>0.6060678133</v>
      </c>
      <c r="AX60" s="637">
        <f t="shared" si="28"/>
        <v>0.6060678133</v>
      </c>
      <c r="AY60" s="637">
        <f t="shared" si="28"/>
        <v>0.6060678133</v>
      </c>
      <c r="AZ60" s="637">
        <f t="shared" si="28"/>
        <v>0.6060678133</v>
      </c>
    </row>
    <row r="61" ht="15.75" customHeight="1">
      <c r="A61" s="636" t="s">
        <v>852</v>
      </c>
      <c r="B61" s="657">
        <v>13.2</v>
      </c>
      <c r="C61" s="657">
        <v>12.83</v>
      </c>
      <c r="D61" s="657">
        <v>13.46</v>
      </c>
      <c r="E61" s="657">
        <v>14.49</v>
      </c>
      <c r="F61" s="657">
        <v>13.91</v>
      </c>
      <c r="G61" s="657">
        <v>14.86</v>
      </c>
      <c r="H61" s="657">
        <v>15.02</v>
      </c>
      <c r="I61" s="657">
        <v>15.36</v>
      </c>
      <c r="J61" s="657">
        <v>15.17</v>
      </c>
      <c r="K61" s="657">
        <v>16.61</v>
      </c>
      <c r="L61" s="657">
        <v>18.01</v>
      </c>
      <c r="M61" s="657">
        <v>18.06</v>
      </c>
      <c r="N61" s="657">
        <v>19.17</v>
      </c>
      <c r="O61" s="657">
        <v>18.49</v>
      </c>
      <c r="P61" s="657">
        <v>18.23</v>
      </c>
      <c r="Q61" s="657">
        <v>17.89</v>
      </c>
      <c r="R61" s="657">
        <v>18.41</v>
      </c>
      <c r="S61" s="658">
        <f t="shared" ref="S61:AZ61" si="29">-773+42.4*ln(S96)</f>
        <v>19.76380868</v>
      </c>
      <c r="T61" s="658">
        <f t="shared" si="29"/>
        <v>19.76380868</v>
      </c>
      <c r="U61" s="658">
        <f t="shared" si="29"/>
        <v>19.76380868</v>
      </c>
      <c r="V61" s="658">
        <f t="shared" si="29"/>
        <v>19.76380868</v>
      </c>
      <c r="W61" s="658">
        <f t="shared" si="29"/>
        <v>19.76380868</v>
      </c>
      <c r="X61" s="658">
        <f t="shared" si="29"/>
        <v>19.76380868</v>
      </c>
      <c r="Y61" s="658">
        <f t="shared" si="29"/>
        <v>19.76380868</v>
      </c>
      <c r="Z61" s="658">
        <f t="shared" si="29"/>
        <v>19.76380868</v>
      </c>
      <c r="AA61" s="658">
        <f t="shared" si="29"/>
        <v>19.76380868</v>
      </c>
      <c r="AB61" s="658">
        <f t="shared" si="29"/>
        <v>19.76380868</v>
      </c>
      <c r="AC61" s="658">
        <f t="shared" si="29"/>
        <v>19.76380868</v>
      </c>
      <c r="AD61" s="658">
        <f t="shared" si="29"/>
        <v>19.76380868</v>
      </c>
      <c r="AE61" s="658">
        <f t="shared" si="29"/>
        <v>19.76380868</v>
      </c>
      <c r="AF61" s="658">
        <f t="shared" si="29"/>
        <v>19.76380868</v>
      </c>
      <c r="AG61" s="658">
        <f t="shared" si="29"/>
        <v>19.76380868</v>
      </c>
      <c r="AH61" s="658">
        <f t="shared" si="29"/>
        <v>19.76380868</v>
      </c>
      <c r="AI61" s="658">
        <f t="shared" si="29"/>
        <v>19.76380868</v>
      </c>
      <c r="AJ61" s="658">
        <f t="shared" si="29"/>
        <v>19.76380868</v>
      </c>
      <c r="AK61" s="658">
        <f t="shared" si="29"/>
        <v>19.76380868</v>
      </c>
      <c r="AL61" s="658">
        <f t="shared" si="29"/>
        <v>19.76380868</v>
      </c>
      <c r="AM61" s="658">
        <f t="shared" si="29"/>
        <v>19.76380868</v>
      </c>
      <c r="AN61" s="658">
        <f t="shared" si="29"/>
        <v>19.76380868</v>
      </c>
      <c r="AO61" s="658">
        <f t="shared" si="29"/>
        <v>19.76380868</v>
      </c>
      <c r="AP61" s="658">
        <f t="shared" si="29"/>
        <v>19.76380868</v>
      </c>
      <c r="AQ61" s="658">
        <f t="shared" si="29"/>
        <v>19.76380868</v>
      </c>
      <c r="AR61" s="658">
        <f t="shared" si="29"/>
        <v>19.76380868</v>
      </c>
      <c r="AS61" s="658">
        <f t="shared" si="29"/>
        <v>19.76380868</v>
      </c>
      <c r="AT61" s="658">
        <f t="shared" si="29"/>
        <v>19.76380868</v>
      </c>
      <c r="AU61" s="658">
        <f t="shared" si="29"/>
        <v>19.76380868</v>
      </c>
      <c r="AV61" s="658">
        <f t="shared" si="29"/>
        <v>19.76380868</v>
      </c>
      <c r="AW61" s="658">
        <f t="shared" si="29"/>
        <v>19.76380868</v>
      </c>
      <c r="AX61" s="658">
        <f t="shared" si="29"/>
        <v>19.76380868</v>
      </c>
      <c r="AY61" s="658">
        <f t="shared" si="29"/>
        <v>19.76380868</v>
      </c>
      <c r="AZ61" s="658">
        <f t="shared" si="29"/>
        <v>19.76380868</v>
      </c>
    </row>
    <row r="62" ht="15.75" customHeight="1">
      <c r="A62" s="638" t="s">
        <v>809</v>
      </c>
      <c r="B62" s="657">
        <v>24.33</v>
      </c>
      <c r="C62" s="657">
        <v>24.19</v>
      </c>
      <c r="D62" s="657">
        <v>23.66</v>
      </c>
      <c r="E62" s="657">
        <v>23.41</v>
      </c>
      <c r="F62" s="657">
        <v>23.8</v>
      </c>
      <c r="G62" s="657">
        <v>23.92</v>
      </c>
      <c r="H62" s="657">
        <v>23.97</v>
      </c>
      <c r="I62" s="657">
        <v>24.0</v>
      </c>
      <c r="J62" s="657">
        <v>24.19</v>
      </c>
      <c r="K62" s="657">
        <v>25.25</v>
      </c>
      <c r="L62" s="657">
        <v>26.59</v>
      </c>
      <c r="M62" s="657">
        <v>27.27</v>
      </c>
      <c r="N62" s="657">
        <v>28.62</v>
      </c>
      <c r="O62" s="657">
        <v>30.57</v>
      </c>
      <c r="P62" s="657">
        <v>32.28</v>
      </c>
      <c r="Q62" s="657">
        <v>34.07</v>
      </c>
      <c r="R62" s="657">
        <v>35.57</v>
      </c>
      <c r="S62" s="659"/>
      <c r="T62" s="659"/>
      <c r="U62" s="659"/>
      <c r="V62" s="659"/>
      <c r="W62" s="659"/>
      <c r="X62" s="659"/>
      <c r="Y62" s="659"/>
      <c r="Z62" s="659"/>
      <c r="AA62" s="659"/>
      <c r="AB62" s="659"/>
      <c r="AC62" s="659"/>
      <c r="AD62" s="659"/>
      <c r="AE62" s="659"/>
      <c r="AF62" s="659"/>
      <c r="AG62" s="659"/>
      <c r="AH62" s="659"/>
      <c r="AI62" s="659"/>
      <c r="AJ62" s="659"/>
      <c r="AK62" s="659"/>
      <c r="AL62" s="659"/>
      <c r="AM62" s="659"/>
      <c r="AN62" s="659"/>
      <c r="AO62" s="659"/>
      <c r="AP62" s="659"/>
      <c r="AQ62" s="659"/>
      <c r="AR62" s="659"/>
      <c r="AS62" s="659"/>
      <c r="AT62" s="659"/>
      <c r="AU62" s="659"/>
      <c r="AV62" s="659"/>
      <c r="AW62" s="659"/>
      <c r="AX62" s="659"/>
      <c r="AY62" s="659"/>
      <c r="AZ62" s="659"/>
      <c r="BA62" s="534"/>
      <c r="BB62" s="534"/>
      <c r="BC62" s="534"/>
      <c r="BD62" s="534"/>
      <c r="BE62" s="534"/>
      <c r="BF62" s="534"/>
      <c r="BG62" s="534"/>
      <c r="BH62" s="534"/>
    </row>
    <row r="63" ht="15.75" customHeight="1">
      <c r="A63" s="638" t="s">
        <v>810</v>
      </c>
      <c r="B63" s="657">
        <v>1.41</v>
      </c>
      <c r="C63" s="657">
        <v>1.33</v>
      </c>
      <c r="D63" s="657">
        <v>1.27</v>
      </c>
      <c r="E63" s="657">
        <v>1.13</v>
      </c>
      <c r="F63" s="657">
        <v>1.19</v>
      </c>
      <c r="G63" s="657">
        <v>1.44</v>
      </c>
      <c r="H63" s="657">
        <v>1.34</v>
      </c>
      <c r="I63" s="657">
        <v>1.02</v>
      </c>
      <c r="J63" s="657">
        <v>1.16</v>
      </c>
      <c r="K63" s="657">
        <v>1.14</v>
      </c>
      <c r="L63" s="657">
        <v>1.12</v>
      </c>
      <c r="M63" s="657">
        <v>1.17</v>
      </c>
      <c r="N63" s="657">
        <v>1.22</v>
      </c>
      <c r="O63" s="657">
        <v>1.12</v>
      </c>
      <c r="P63" s="657">
        <v>1.12</v>
      </c>
      <c r="Q63" s="657">
        <v>1.63</v>
      </c>
      <c r="R63" s="657">
        <v>1.61</v>
      </c>
      <c r="S63" s="660">
        <f t="shared" ref="S63:AZ63" si="30">average(B63:R63)</f>
        <v>1.26</v>
      </c>
      <c r="T63" s="660">
        <f t="shared" si="30"/>
        <v>1.251176471</v>
      </c>
      <c r="U63" s="660">
        <f t="shared" si="30"/>
        <v>1.246539792</v>
      </c>
      <c r="V63" s="660">
        <f t="shared" si="30"/>
        <v>1.24515978</v>
      </c>
      <c r="W63" s="660">
        <f t="shared" si="30"/>
        <v>1.251933885</v>
      </c>
      <c r="X63" s="660">
        <f t="shared" si="30"/>
        <v>1.255577055</v>
      </c>
      <c r="Y63" s="660">
        <f t="shared" si="30"/>
        <v>1.244728646</v>
      </c>
      <c r="Z63" s="660">
        <f t="shared" si="30"/>
        <v>1.239124449</v>
      </c>
      <c r="AA63" s="660">
        <f t="shared" si="30"/>
        <v>1.252014122</v>
      </c>
      <c r="AB63" s="660">
        <f t="shared" si="30"/>
        <v>1.257426718</v>
      </c>
      <c r="AC63" s="660">
        <f t="shared" si="30"/>
        <v>1.264334172</v>
      </c>
      <c r="AD63" s="660">
        <f t="shared" si="30"/>
        <v>1.272824417</v>
      </c>
      <c r="AE63" s="660">
        <f t="shared" si="30"/>
        <v>1.278872912</v>
      </c>
      <c r="AF63" s="660">
        <f t="shared" si="30"/>
        <v>1.282336025</v>
      </c>
      <c r="AG63" s="660">
        <f t="shared" si="30"/>
        <v>1.291885203</v>
      </c>
      <c r="AH63" s="660">
        <f t="shared" si="30"/>
        <v>1.301996097</v>
      </c>
      <c r="AI63" s="660">
        <f t="shared" si="30"/>
        <v>1.28270175</v>
      </c>
      <c r="AJ63" s="660">
        <f t="shared" si="30"/>
        <v>1.263448911</v>
      </c>
      <c r="AK63" s="660">
        <f t="shared" si="30"/>
        <v>1.263651788</v>
      </c>
      <c r="AL63" s="660">
        <f t="shared" si="30"/>
        <v>1.264385631</v>
      </c>
      <c r="AM63" s="660">
        <f t="shared" si="30"/>
        <v>1.265435386</v>
      </c>
      <c r="AN63" s="660">
        <f t="shared" si="30"/>
        <v>1.266628068</v>
      </c>
      <c r="AO63" s="660">
        <f t="shared" si="30"/>
        <v>1.267492432</v>
      </c>
      <c r="AP63" s="660">
        <f t="shared" si="30"/>
        <v>1.268193337</v>
      </c>
      <c r="AQ63" s="660">
        <f t="shared" si="30"/>
        <v>1.269573613</v>
      </c>
      <c r="AR63" s="660">
        <f t="shared" si="30"/>
        <v>1.27136474</v>
      </c>
      <c r="AS63" s="660">
        <f t="shared" si="30"/>
        <v>1.272503012</v>
      </c>
      <c r="AT63" s="660">
        <f t="shared" si="30"/>
        <v>1.273389852</v>
      </c>
      <c r="AU63" s="660">
        <f t="shared" si="30"/>
        <v>1.27392254</v>
      </c>
      <c r="AV63" s="660">
        <f t="shared" si="30"/>
        <v>1.273987135</v>
      </c>
      <c r="AW63" s="660">
        <f t="shared" si="30"/>
        <v>1.273699736</v>
      </c>
      <c r="AX63" s="660">
        <f t="shared" si="30"/>
        <v>1.273191719</v>
      </c>
      <c r="AY63" s="660">
        <f t="shared" si="30"/>
        <v>1.272092103</v>
      </c>
      <c r="AZ63" s="660">
        <f t="shared" si="30"/>
        <v>1.270333044</v>
      </c>
    </row>
    <row r="64" ht="15.75" customHeight="1">
      <c r="A64" s="661" t="s">
        <v>853</v>
      </c>
      <c r="B64" s="657">
        <v>1.66</v>
      </c>
      <c r="C64" s="657">
        <v>1.29</v>
      </c>
      <c r="D64" s="657">
        <v>1.4</v>
      </c>
      <c r="E64" s="657">
        <v>1.54</v>
      </c>
      <c r="F64" s="657">
        <v>1.38</v>
      </c>
      <c r="G64" s="657">
        <v>1.88</v>
      </c>
      <c r="H64" s="657">
        <v>1.52</v>
      </c>
      <c r="I64" s="657">
        <v>1.72</v>
      </c>
      <c r="J64" s="657">
        <v>2.11</v>
      </c>
      <c r="K64" s="657">
        <v>2.19</v>
      </c>
      <c r="L64" s="657">
        <v>2.12</v>
      </c>
      <c r="M64" s="657">
        <v>2.71</v>
      </c>
      <c r="N64" s="657">
        <v>3.18</v>
      </c>
      <c r="O64" s="657">
        <v>2.9</v>
      </c>
      <c r="P64" s="657">
        <v>3.0</v>
      </c>
      <c r="Q64" s="657">
        <v>3.27</v>
      </c>
      <c r="R64" s="657">
        <v>3.67</v>
      </c>
      <c r="S64" s="658">
        <f t="shared" ref="S64:AZ64" si="31">-261+14.1*ln(S96)</f>
        <v>2.631360905</v>
      </c>
      <c r="T64" s="658">
        <f t="shared" si="31"/>
        <v>2.631360905</v>
      </c>
      <c r="U64" s="658">
        <f t="shared" si="31"/>
        <v>2.631360905</v>
      </c>
      <c r="V64" s="658">
        <f t="shared" si="31"/>
        <v>2.631360905</v>
      </c>
      <c r="W64" s="658">
        <f t="shared" si="31"/>
        <v>2.631360905</v>
      </c>
      <c r="X64" s="658">
        <f t="shared" si="31"/>
        <v>2.631360905</v>
      </c>
      <c r="Y64" s="658">
        <f t="shared" si="31"/>
        <v>2.631360905</v>
      </c>
      <c r="Z64" s="658">
        <f t="shared" si="31"/>
        <v>2.631360905</v>
      </c>
      <c r="AA64" s="658">
        <f t="shared" si="31"/>
        <v>2.631360905</v>
      </c>
      <c r="AB64" s="658">
        <f t="shared" si="31"/>
        <v>2.631360905</v>
      </c>
      <c r="AC64" s="658">
        <f t="shared" si="31"/>
        <v>2.631360905</v>
      </c>
      <c r="AD64" s="658">
        <f t="shared" si="31"/>
        <v>2.631360905</v>
      </c>
      <c r="AE64" s="658">
        <f t="shared" si="31"/>
        <v>2.631360905</v>
      </c>
      <c r="AF64" s="658">
        <f t="shared" si="31"/>
        <v>2.631360905</v>
      </c>
      <c r="AG64" s="658">
        <f t="shared" si="31"/>
        <v>2.631360905</v>
      </c>
      <c r="AH64" s="658">
        <f t="shared" si="31"/>
        <v>2.631360905</v>
      </c>
      <c r="AI64" s="658">
        <f t="shared" si="31"/>
        <v>2.631360905</v>
      </c>
      <c r="AJ64" s="658">
        <f t="shared" si="31"/>
        <v>2.631360905</v>
      </c>
      <c r="AK64" s="658">
        <f t="shared" si="31"/>
        <v>2.631360905</v>
      </c>
      <c r="AL64" s="658">
        <f t="shared" si="31"/>
        <v>2.631360905</v>
      </c>
      <c r="AM64" s="658">
        <f t="shared" si="31"/>
        <v>2.631360905</v>
      </c>
      <c r="AN64" s="658">
        <f t="shared" si="31"/>
        <v>2.631360905</v>
      </c>
      <c r="AO64" s="658">
        <f t="shared" si="31"/>
        <v>2.631360905</v>
      </c>
      <c r="AP64" s="658">
        <f t="shared" si="31"/>
        <v>2.631360905</v>
      </c>
      <c r="AQ64" s="658">
        <f t="shared" si="31"/>
        <v>2.631360905</v>
      </c>
      <c r="AR64" s="658">
        <f t="shared" si="31"/>
        <v>2.631360905</v>
      </c>
      <c r="AS64" s="658">
        <f t="shared" si="31"/>
        <v>2.631360905</v>
      </c>
      <c r="AT64" s="658">
        <f t="shared" si="31"/>
        <v>2.631360905</v>
      </c>
      <c r="AU64" s="658">
        <f t="shared" si="31"/>
        <v>2.631360905</v>
      </c>
      <c r="AV64" s="658">
        <f t="shared" si="31"/>
        <v>2.631360905</v>
      </c>
      <c r="AW64" s="658">
        <f t="shared" si="31"/>
        <v>2.631360905</v>
      </c>
      <c r="AX64" s="658">
        <f t="shared" si="31"/>
        <v>2.631360905</v>
      </c>
      <c r="AY64" s="658">
        <f t="shared" si="31"/>
        <v>2.631360905</v>
      </c>
      <c r="AZ64" s="658">
        <f t="shared" si="31"/>
        <v>2.631360905</v>
      </c>
    </row>
    <row r="65" ht="15.75" customHeight="1">
      <c r="A65" s="662"/>
      <c r="B65" s="190"/>
      <c r="C65" s="190"/>
      <c r="D65" s="190"/>
      <c r="E65" s="190"/>
      <c r="F65" s="190"/>
      <c r="G65" s="190"/>
      <c r="H65" s="190"/>
      <c r="I65" s="190"/>
      <c r="J65" s="190"/>
      <c r="K65" s="190"/>
      <c r="L65" s="190"/>
      <c r="M65" s="190"/>
      <c r="N65" s="190"/>
      <c r="O65" s="190"/>
      <c r="P65" s="190"/>
      <c r="Q65" s="190"/>
      <c r="R65" s="190"/>
      <c r="S65" s="659"/>
      <c r="T65" s="659"/>
      <c r="U65" s="659"/>
      <c r="V65" s="659"/>
      <c r="W65" s="659"/>
      <c r="X65" s="659"/>
      <c r="Y65" s="659"/>
      <c r="Z65" s="659"/>
      <c r="AA65" s="659"/>
      <c r="AB65" s="659"/>
      <c r="AC65" s="659"/>
      <c r="AD65" s="659"/>
      <c r="AE65" s="659"/>
      <c r="AF65" s="659"/>
      <c r="AG65" s="659"/>
      <c r="AH65" s="659"/>
      <c r="AI65" s="659"/>
      <c r="AJ65" s="659"/>
      <c r="AK65" s="659"/>
      <c r="AL65" s="659"/>
      <c r="AM65" s="659"/>
      <c r="AN65" s="659"/>
      <c r="AO65" s="659"/>
      <c r="AP65" s="659"/>
      <c r="AQ65" s="659"/>
      <c r="AR65" s="659"/>
      <c r="AS65" s="659"/>
      <c r="AT65" s="659"/>
      <c r="AU65" s="659"/>
      <c r="AV65" s="659"/>
      <c r="AW65" s="659"/>
      <c r="AX65" s="659"/>
      <c r="AY65" s="659"/>
      <c r="AZ65" s="659"/>
      <c r="BA65" s="534"/>
      <c r="BB65" s="534"/>
      <c r="BC65" s="534"/>
      <c r="BD65" s="534"/>
      <c r="BE65" s="534"/>
      <c r="BF65" s="534"/>
      <c r="BG65" s="534"/>
      <c r="BH65" s="534"/>
    </row>
    <row r="66" ht="15.75" customHeight="1">
      <c r="A66" s="663" t="s">
        <v>854</v>
      </c>
      <c r="B66" s="95">
        <v>4.05730332</v>
      </c>
      <c r="C66" s="95">
        <v>4.068305639</v>
      </c>
      <c r="D66" s="95">
        <v>4.187502729</v>
      </c>
      <c r="E66" s="95">
        <v>4.632769503</v>
      </c>
      <c r="F66" s="95">
        <v>4.591624867</v>
      </c>
      <c r="G66" s="95">
        <v>4.78007499</v>
      </c>
      <c r="H66" s="95">
        <v>5.254272454</v>
      </c>
      <c r="I66" s="95">
        <v>5.52749963</v>
      </c>
      <c r="J66" s="95">
        <v>5.611291323</v>
      </c>
      <c r="K66" s="95">
        <v>5.497138199</v>
      </c>
      <c r="L66" s="95">
        <v>5.913415911</v>
      </c>
      <c r="M66" s="95">
        <v>6.488632689</v>
      </c>
      <c r="N66" s="95">
        <v>6.283499419</v>
      </c>
      <c r="O66" s="95">
        <v>6.394317018</v>
      </c>
      <c r="P66" s="95">
        <v>6.830905533</v>
      </c>
      <c r="Q66" s="95">
        <v>6.835972979</v>
      </c>
      <c r="R66" s="95">
        <v>7.109575256</v>
      </c>
      <c r="S66" s="664">
        <f t="shared" ref="S66:AZ66" si="32">-394+21.4*ln(S96)</f>
        <v>6.121356267</v>
      </c>
      <c r="T66" s="664">
        <f t="shared" si="32"/>
        <v>6.121356267</v>
      </c>
      <c r="U66" s="664">
        <f t="shared" si="32"/>
        <v>6.121356267</v>
      </c>
      <c r="V66" s="664">
        <f t="shared" si="32"/>
        <v>6.121356267</v>
      </c>
      <c r="W66" s="664">
        <f t="shared" si="32"/>
        <v>6.121356267</v>
      </c>
      <c r="X66" s="664">
        <f t="shared" si="32"/>
        <v>6.121356267</v>
      </c>
      <c r="Y66" s="664">
        <f t="shared" si="32"/>
        <v>6.121356267</v>
      </c>
      <c r="Z66" s="664">
        <f t="shared" si="32"/>
        <v>6.121356267</v>
      </c>
      <c r="AA66" s="664">
        <f t="shared" si="32"/>
        <v>6.121356267</v>
      </c>
      <c r="AB66" s="664">
        <f t="shared" si="32"/>
        <v>6.121356267</v>
      </c>
      <c r="AC66" s="664">
        <f t="shared" si="32"/>
        <v>6.121356267</v>
      </c>
      <c r="AD66" s="664">
        <f t="shared" si="32"/>
        <v>6.121356267</v>
      </c>
      <c r="AE66" s="664">
        <f t="shared" si="32"/>
        <v>6.121356267</v>
      </c>
      <c r="AF66" s="664">
        <f t="shared" si="32"/>
        <v>6.121356267</v>
      </c>
      <c r="AG66" s="664">
        <f t="shared" si="32"/>
        <v>6.121356267</v>
      </c>
      <c r="AH66" s="664">
        <f t="shared" si="32"/>
        <v>6.121356267</v>
      </c>
      <c r="AI66" s="664">
        <f t="shared" si="32"/>
        <v>6.121356267</v>
      </c>
      <c r="AJ66" s="664">
        <f t="shared" si="32"/>
        <v>6.121356267</v>
      </c>
      <c r="AK66" s="664">
        <f t="shared" si="32"/>
        <v>6.121356267</v>
      </c>
      <c r="AL66" s="664">
        <f t="shared" si="32"/>
        <v>6.121356267</v>
      </c>
      <c r="AM66" s="664">
        <f t="shared" si="32"/>
        <v>6.121356267</v>
      </c>
      <c r="AN66" s="664">
        <f t="shared" si="32"/>
        <v>6.121356267</v>
      </c>
      <c r="AO66" s="664">
        <f t="shared" si="32"/>
        <v>6.121356267</v>
      </c>
      <c r="AP66" s="664">
        <f t="shared" si="32"/>
        <v>6.121356267</v>
      </c>
      <c r="AQ66" s="664">
        <f t="shared" si="32"/>
        <v>6.121356267</v>
      </c>
      <c r="AR66" s="664">
        <f t="shared" si="32"/>
        <v>6.121356267</v>
      </c>
      <c r="AS66" s="664">
        <f t="shared" si="32"/>
        <v>6.121356267</v>
      </c>
      <c r="AT66" s="664">
        <f t="shared" si="32"/>
        <v>6.121356267</v>
      </c>
      <c r="AU66" s="664">
        <f t="shared" si="32"/>
        <v>6.121356267</v>
      </c>
      <c r="AV66" s="664">
        <f t="shared" si="32"/>
        <v>6.121356267</v>
      </c>
      <c r="AW66" s="664">
        <f t="shared" si="32"/>
        <v>6.121356267</v>
      </c>
      <c r="AX66" s="664">
        <f t="shared" si="32"/>
        <v>6.121356267</v>
      </c>
      <c r="AY66" s="664">
        <f t="shared" si="32"/>
        <v>6.121356267</v>
      </c>
      <c r="AZ66" s="664">
        <f t="shared" si="32"/>
        <v>6.121356267</v>
      </c>
    </row>
    <row r="67" ht="15.75" customHeight="1">
      <c r="A67" s="636" t="s">
        <v>855</v>
      </c>
      <c r="B67" s="95">
        <v>3.129307398</v>
      </c>
      <c r="C67" s="95">
        <v>3.250683096</v>
      </c>
      <c r="D67" s="95">
        <v>3.122129002</v>
      </c>
      <c r="E67" s="95">
        <v>3.196409733</v>
      </c>
      <c r="F67" s="95">
        <v>3.283254461</v>
      </c>
      <c r="G67" s="95">
        <v>3.520457843</v>
      </c>
      <c r="H67" s="95">
        <v>3.659628807</v>
      </c>
      <c r="I67" s="95">
        <v>3.856490323</v>
      </c>
      <c r="J67" s="95">
        <v>4.013748946</v>
      </c>
      <c r="K67" s="95">
        <v>3.980041438</v>
      </c>
      <c r="L67" s="95">
        <v>4.161037737</v>
      </c>
      <c r="M67" s="95">
        <v>4.167939107</v>
      </c>
      <c r="N67" s="95">
        <v>4.314509305</v>
      </c>
      <c r="O67" s="95">
        <v>4.30199405</v>
      </c>
      <c r="P67" s="95">
        <v>4.437284148</v>
      </c>
      <c r="Q67" s="95">
        <v>4.547652075</v>
      </c>
      <c r="R67" s="95">
        <v>4.846899735</v>
      </c>
      <c r="S67" s="637">
        <f t="shared" ref="S67:AZ67" si="33">-209+11.4*ln(S96)</f>
        <v>4.14875988</v>
      </c>
      <c r="T67" s="637">
        <f t="shared" si="33"/>
        <v>4.14875988</v>
      </c>
      <c r="U67" s="637">
        <f t="shared" si="33"/>
        <v>4.14875988</v>
      </c>
      <c r="V67" s="637">
        <f t="shared" si="33"/>
        <v>4.14875988</v>
      </c>
      <c r="W67" s="637">
        <f t="shared" si="33"/>
        <v>4.14875988</v>
      </c>
      <c r="X67" s="637">
        <f t="shared" si="33"/>
        <v>4.14875988</v>
      </c>
      <c r="Y67" s="637">
        <f t="shared" si="33"/>
        <v>4.14875988</v>
      </c>
      <c r="Z67" s="637">
        <f t="shared" si="33"/>
        <v>4.14875988</v>
      </c>
      <c r="AA67" s="637">
        <f t="shared" si="33"/>
        <v>4.14875988</v>
      </c>
      <c r="AB67" s="637">
        <f t="shared" si="33"/>
        <v>4.14875988</v>
      </c>
      <c r="AC67" s="637">
        <f t="shared" si="33"/>
        <v>4.14875988</v>
      </c>
      <c r="AD67" s="637">
        <f t="shared" si="33"/>
        <v>4.14875988</v>
      </c>
      <c r="AE67" s="637">
        <f t="shared" si="33"/>
        <v>4.14875988</v>
      </c>
      <c r="AF67" s="637">
        <f t="shared" si="33"/>
        <v>4.14875988</v>
      </c>
      <c r="AG67" s="637">
        <f t="shared" si="33"/>
        <v>4.14875988</v>
      </c>
      <c r="AH67" s="637">
        <f t="shared" si="33"/>
        <v>4.14875988</v>
      </c>
      <c r="AI67" s="637">
        <f t="shared" si="33"/>
        <v>4.14875988</v>
      </c>
      <c r="AJ67" s="637">
        <f t="shared" si="33"/>
        <v>4.14875988</v>
      </c>
      <c r="AK67" s="637">
        <f t="shared" si="33"/>
        <v>4.14875988</v>
      </c>
      <c r="AL67" s="637">
        <f t="shared" si="33"/>
        <v>4.14875988</v>
      </c>
      <c r="AM67" s="637">
        <f t="shared" si="33"/>
        <v>4.14875988</v>
      </c>
      <c r="AN67" s="637">
        <f t="shared" si="33"/>
        <v>4.14875988</v>
      </c>
      <c r="AO67" s="637">
        <f t="shared" si="33"/>
        <v>4.14875988</v>
      </c>
      <c r="AP67" s="637">
        <f t="shared" si="33"/>
        <v>4.14875988</v>
      </c>
      <c r="AQ67" s="637">
        <f t="shared" si="33"/>
        <v>4.14875988</v>
      </c>
      <c r="AR67" s="637">
        <f t="shared" si="33"/>
        <v>4.14875988</v>
      </c>
      <c r="AS67" s="637">
        <f t="shared" si="33"/>
        <v>4.14875988</v>
      </c>
      <c r="AT67" s="637">
        <f t="shared" si="33"/>
        <v>4.14875988</v>
      </c>
      <c r="AU67" s="637">
        <f t="shared" si="33"/>
        <v>4.14875988</v>
      </c>
      <c r="AV67" s="637">
        <f t="shared" si="33"/>
        <v>4.14875988</v>
      </c>
      <c r="AW67" s="637">
        <f t="shared" si="33"/>
        <v>4.14875988</v>
      </c>
      <c r="AX67" s="637">
        <f t="shared" si="33"/>
        <v>4.14875988</v>
      </c>
      <c r="AY67" s="637">
        <f t="shared" si="33"/>
        <v>4.14875988</v>
      </c>
      <c r="AZ67" s="637">
        <f t="shared" si="33"/>
        <v>4.14875988</v>
      </c>
    </row>
    <row r="68" ht="15.75" customHeight="1">
      <c r="A68" s="636" t="s">
        <v>856</v>
      </c>
      <c r="B68" s="95">
        <v>4.284917486</v>
      </c>
      <c r="C68" s="95">
        <v>4.481298453</v>
      </c>
      <c r="D68" s="95">
        <v>4.157266883</v>
      </c>
      <c r="E68" s="95">
        <v>4.257109034</v>
      </c>
      <c r="F68" s="95">
        <v>4.083801601</v>
      </c>
      <c r="G68" s="95">
        <v>4.258146817</v>
      </c>
      <c r="H68" s="95">
        <v>4.442351144</v>
      </c>
      <c r="I68" s="95">
        <v>4.86637907</v>
      </c>
      <c r="J68" s="95">
        <v>5.318820724</v>
      </c>
      <c r="K68" s="95">
        <v>5.243839751</v>
      </c>
      <c r="L68" s="95">
        <v>5.160951545</v>
      </c>
      <c r="M68" s="95">
        <v>5.224008538</v>
      </c>
      <c r="N68" s="95">
        <v>5.138190665</v>
      </c>
      <c r="O68" s="95">
        <v>5.145865407</v>
      </c>
      <c r="P68" s="95">
        <v>5.336118558</v>
      </c>
      <c r="Q68" s="95">
        <v>5.277033203</v>
      </c>
      <c r="R68" s="95">
        <v>5.126170275</v>
      </c>
      <c r="S68" s="637">
        <f t="shared" ref="S68:AZ68" si="34">-160+8.84*ln(S96)</f>
        <v>5.283775205</v>
      </c>
      <c r="T68" s="637">
        <f t="shared" si="34"/>
        <v>5.283775205</v>
      </c>
      <c r="U68" s="637">
        <f t="shared" si="34"/>
        <v>5.283775205</v>
      </c>
      <c r="V68" s="637">
        <f t="shared" si="34"/>
        <v>5.283775205</v>
      </c>
      <c r="W68" s="637">
        <f t="shared" si="34"/>
        <v>5.283775205</v>
      </c>
      <c r="X68" s="637">
        <f t="shared" si="34"/>
        <v>5.283775205</v>
      </c>
      <c r="Y68" s="637">
        <f t="shared" si="34"/>
        <v>5.283775205</v>
      </c>
      <c r="Z68" s="637">
        <f t="shared" si="34"/>
        <v>5.283775205</v>
      </c>
      <c r="AA68" s="637">
        <f t="shared" si="34"/>
        <v>5.283775205</v>
      </c>
      <c r="AB68" s="637">
        <f t="shared" si="34"/>
        <v>5.283775205</v>
      </c>
      <c r="AC68" s="637">
        <f t="shared" si="34"/>
        <v>5.283775205</v>
      </c>
      <c r="AD68" s="637">
        <f t="shared" si="34"/>
        <v>5.283775205</v>
      </c>
      <c r="AE68" s="637">
        <f t="shared" si="34"/>
        <v>5.283775205</v>
      </c>
      <c r="AF68" s="637">
        <f t="shared" si="34"/>
        <v>5.283775205</v>
      </c>
      <c r="AG68" s="637">
        <f t="shared" si="34"/>
        <v>5.283775205</v>
      </c>
      <c r="AH68" s="637">
        <f t="shared" si="34"/>
        <v>5.283775205</v>
      </c>
      <c r="AI68" s="637">
        <f t="shared" si="34"/>
        <v>5.283775205</v>
      </c>
      <c r="AJ68" s="637">
        <f t="shared" si="34"/>
        <v>5.283775205</v>
      </c>
      <c r="AK68" s="637">
        <f t="shared" si="34"/>
        <v>5.283775205</v>
      </c>
      <c r="AL68" s="637">
        <f t="shared" si="34"/>
        <v>5.283775205</v>
      </c>
      <c r="AM68" s="637">
        <f t="shared" si="34"/>
        <v>5.283775205</v>
      </c>
      <c r="AN68" s="637">
        <f t="shared" si="34"/>
        <v>5.283775205</v>
      </c>
      <c r="AO68" s="637">
        <f t="shared" si="34"/>
        <v>5.283775205</v>
      </c>
      <c r="AP68" s="637">
        <f t="shared" si="34"/>
        <v>5.283775205</v>
      </c>
      <c r="AQ68" s="637">
        <f t="shared" si="34"/>
        <v>5.283775205</v>
      </c>
      <c r="AR68" s="637">
        <f t="shared" si="34"/>
        <v>5.283775205</v>
      </c>
      <c r="AS68" s="637">
        <f t="shared" si="34"/>
        <v>5.283775205</v>
      </c>
      <c r="AT68" s="637">
        <f t="shared" si="34"/>
        <v>5.283775205</v>
      </c>
      <c r="AU68" s="637">
        <f t="shared" si="34"/>
        <v>5.283775205</v>
      </c>
      <c r="AV68" s="637">
        <f t="shared" si="34"/>
        <v>5.283775205</v>
      </c>
      <c r="AW68" s="637">
        <f t="shared" si="34"/>
        <v>5.283775205</v>
      </c>
      <c r="AX68" s="637">
        <f t="shared" si="34"/>
        <v>5.283775205</v>
      </c>
      <c r="AY68" s="637">
        <f t="shared" si="34"/>
        <v>5.283775205</v>
      </c>
      <c r="AZ68" s="637">
        <f t="shared" si="34"/>
        <v>5.283775205</v>
      </c>
    </row>
    <row r="69" ht="15.75" customHeight="1">
      <c r="A69" s="636" t="s">
        <v>857</v>
      </c>
      <c r="B69" s="95">
        <v>1.843032161</v>
      </c>
      <c r="C69" s="95">
        <v>1.86882779</v>
      </c>
      <c r="D69" s="95">
        <v>1.825273809</v>
      </c>
      <c r="E69" s="95">
        <v>1.91786626</v>
      </c>
      <c r="F69" s="95">
        <v>2.035802384</v>
      </c>
      <c r="G69" s="95">
        <v>2.310670182</v>
      </c>
      <c r="H69" s="95">
        <v>2.539277103</v>
      </c>
      <c r="I69" s="95">
        <v>2.9568923</v>
      </c>
      <c r="J69" s="95">
        <v>3.555294353</v>
      </c>
      <c r="K69" s="95">
        <v>3.884191665</v>
      </c>
      <c r="L69" s="95">
        <v>4.811366451</v>
      </c>
      <c r="M69" s="95">
        <v>5.369925219</v>
      </c>
      <c r="N69" s="95">
        <v>5.698451817</v>
      </c>
      <c r="O69" s="95">
        <v>5.979463624</v>
      </c>
      <c r="P69" s="95">
        <v>6.4579223</v>
      </c>
      <c r="Q69" s="95">
        <v>6.526133381</v>
      </c>
      <c r="R69" s="95">
        <v>6.247754464</v>
      </c>
      <c r="S69" s="637">
        <f t="shared" ref="S69:AZ69" si="35">-674+36.4*ln(S96)</f>
        <v>6.580250846</v>
      </c>
      <c r="T69" s="637">
        <f t="shared" si="35"/>
        <v>6.580250846</v>
      </c>
      <c r="U69" s="637">
        <f t="shared" si="35"/>
        <v>6.580250846</v>
      </c>
      <c r="V69" s="637">
        <f t="shared" si="35"/>
        <v>6.580250846</v>
      </c>
      <c r="W69" s="637">
        <f t="shared" si="35"/>
        <v>6.580250846</v>
      </c>
      <c r="X69" s="637">
        <f t="shared" si="35"/>
        <v>6.580250846</v>
      </c>
      <c r="Y69" s="637">
        <f t="shared" si="35"/>
        <v>6.580250846</v>
      </c>
      <c r="Z69" s="637">
        <f t="shared" si="35"/>
        <v>6.580250846</v>
      </c>
      <c r="AA69" s="637">
        <f t="shared" si="35"/>
        <v>6.580250846</v>
      </c>
      <c r="AB69" s="637">
        <f t="shared" si="35"/>
        <v>6.580250846</v>
      </c>
      <c r="AC69" s="637">
        <f t="shared" si="35"/>
        <v>6.580250846</v>
      </c>
      <c r="AD69" s="637">
        <f t="shared" si="35"/>
        <v>6.580250846</v>
      </c>
      <c r="AE69" s="637">
        <f t="shared" si="35"/>
        <v>6.580250846</v>
      </c>
      <c r="AF69" s="637">
        <f t="shared" si="35"/>
        <v>6.580250846</v>
      </c>
      <c r="AG69" s="637">
        <f t="shared" si="35"/>
        <v>6.580250846</v>
      </c>
      <c r="AH69" s="637">
        <f t="shared" si="35"/>
        <v>6.580250846</v>
      </c>
      <c r="AI69" s="637">
        <f t="shared" si="35"/>
        <v>6.580250846</v>
      </c>
      <c r="AJ69" s="637">
        <f t="shared" si="35"/>
        <v>6.580250846</v>
      </c>
      <c r="AK69" s="637">
        <f t="shared" si="35"/>
        <v>6.580250846</v>
      </c>
      <c r="AL69" s="637">
        <f t="shared" si="35"/>
        <v>6.580250846</v>
      </c>
      <c r="AM69" s="637">
        <f t="shared" si="35"/>
        <v>6.580250846</v>
      </c>
      <c r="AN69" s="637">
        <f t="shared" si="35"/>
        <v>6.580250846</v>
      </c>
      <c r="AO69" s="637">
        <f t="shared" si="35"/>
        <v>6.580250846</v>
      </c>
      <c r="AP69" s="637">
        <f t="shared" si="35"/>
        <v>6.580250846</v>
      </c>
      <c r="AQ69" s="637">
        <f t="shared" si="35"/>
        <v>6.580250846</v>
      </c>
      <c r="AR69" s="637">
        <f t="shared" si="35"/>
        <v>6.580250846</v>
      </c>
      <c r="AS69" s="637">
        <f t="shared" si="35"/>
        <v>6.580250846</v>
      </c>
      <c r="AT69" s="637">
        <f t="shared" si="35"/>
        <v>6.580250846</v>
      </c>
      <c r="AU69" s="637">
        <f t="shared" si="35"/>
        <v>6.580250846</v>
      </c>
      <c r="AV69" s="637">
        <f t="shared" si="35"/>
        <v>6.580250846</v>
      </c>
      <c r="AW69" s="637">
        <f t="shared" si="35"/>
        <v>6.580250846</v>
      </c>
      <c r="AX69" s="637">
        <f t="shared" si="35"/>
        <v>6.580250846</v>
      </c>
      <c r="AY69" s="637">
        <f t="shared" si="35"/>
        <v>6.580250846</v>
      </c>
      <c r="AZ69" s="637">
        <f t="shared" si="35"/>
        <v>6.580250846</v>
      </c>
    </row>
    <row r="70" ht="15.75" customHeight="1">
      <c r="A70" s="636" t="s">
        <v>806</v>
      </c>
      <c r="B70" s="95">
        <v>189.170918411</v>
      </c>
      <c r="C70" s="95">
        <v>199.027140022</v>
      </c>
      <c r="D70" s="95">
        <v>204.825773102</v>
      </c>
      <c r="E70" s="95">
        <v>214.889028668</v>
      </c>
      <c r="F70" s="95">
        <v>225.075659498</v>
      </c>
      <c r="G70" s="95">
        <v>238.314719948</v>
      </c>
      <c r="H70" s="95">
        <v>249.588379532</v>
      </c>
      <c r="I70" s="95">
        <v>262.118992959</v>
      </c>
      <c r="J70" s="95">
        <v>275.229899413</v>
      </c>
      <c r="K70" s="95">
        <v>289.891991175</v>
      </c>
      <c r="L70" s="95">
        <v>307.418820931</v>
      </c>
      <c r="M70" s="95">
        <v>317.977915991</v>
      </c>
      <c r="N70" s="95">
        <v>332.20222008</v>
      </c>
      <c r="O70" s="95">
        <v>347.302364187</v>
      </c>
      <c r="P70" s="95">
        <v>362.643588623</v>
      </c>
      <c r="Q70" s="95">
        <v>380.270308219</v>
      </c>
      <c r="R70" s="95">
        <v>398.962521152</v>
      </c>
    </row>
    <row r="71" ht="15.75" customHeight="1">
      <c r="A71" s="636" t="s">
        <v>808</v>
      </c>
      <c r="B71" s="95">
        <v>1.742350408</v>
      </c>
      <c r="C71" s="95">
        <v>1.917088243</v>
      </c>
      <c r="D71" s="95">
        <v>1.86359564</v>
      </c>
      <c r="E71" s="95">
        <v>2.21828784</v>
      </c>
      <c r="F71" s="95">
        <v>2.234862703</v>
      </c>
      <c r="G71" s="95">
        <v>2.485348646</v>
      </c>
      <c r="H71" s="95">
        <v>2.707109552</v>
      </c>
      <c r="I71" s="95">
        <v>2.913529705</v>
      </c>
      <c r="J71" s="95">
        <v>2.860235029</v>
      </c>
      <c r="K71" s="95">
        <v>2.832197652</v>
      </c>
      <c r="L71" s="95">
        <v>3.77873164</v>
      </c>
      <c r="M71" s="95">
        <v>3.451698077</v>
      </c>
      <c r="N71" s="95">
        <v>3.701423133</v>
      </c>
      <c r="O71" s="95">
        <v>3.199976466</v>
      </c>
      <c r="P71" s="95">
        <v>3.47761253</v>
      </c>
      <c r="Q71" s="95">
        <v>3.939657135</v>
      </c>
      <c r="R71" s="95">
        <v>4.056273681</v>
      </c>
      <c r="S71" s="637">
        <f t="shared" ref="S71:AZ71" si="36">-285+15.5*ln(S96)</f>
        <v>4.807524399</v>
      </c>
      <c r="T71" s="637">
        <f t="shared" si="36"/>
        <v>4.807524399</v>
      </c>
      <c r="U71" s="637">
        <f t="shared" si="36"/>
        <v>4.807524399</v>
      </c>
      <c r="V71" s="637">
        <f t="shared" si="36"/>
        <v>4.807524399</v>
      </c>
      <c r="W71" s="637">
        <f t="shared" si="36"/>
        <v>4.807524399</v>
      </c>
      <c r="X71" s="637">
        <f t="shared" si="36"/>
        <v>4.807524399</v>
      </c>
      <c r="Y71" s="637">
        <f t="shared" si="36"/>
        <v>4.807524399</v>
      </c>
      <c r="Z71" s="637">
        <f t="shared" si="36"/>
        <v>4.807524399</v>
      </c>
      <c r="AA71" s="637">
        <f t="shared" si="36"/>
        <v>4.807524399</v>
      </c>
      <c r="AB71" s="637">
        <f t="shared" si="36"/>
        <v>4.807524399</v>
      </c>
      <c r="AC71" s="637">
        <f t="shared" si="36"/>
        <v>4.807524399</v>
      </c>
      <c r="AD71" s="637">
        <f t="shared" si="36"/>
        <v>4.807524399</v>
      </c>
      <c r="AE71" s="637">
        <f t="shared" si="36"/>
        <v>4.807524399</v>
      </c>
      <c r="AF71" s="637">
        <f t="shared" si="36"/>
        <v>4.807524399</v>
      </c>
      <c r="AG71" s="637">
        <f t="shared" si="36"/>
        <v>4.807524399</v>
      </c>
      <c r="AH71" s="637">
        <f t="shared" si="36"/>
        <v>4.807524399</v>
      </c>
      <c r="AI71" s="637">
        <f t="shared" si="36"/>
        <v>4.807524399</v>
      </c>
      <c r="AJ71" s="637">
        <f t="shared" si="36"/>
        <v>4.807524399</v>
      </c>
      <c r="AK71" s="637">
        <f t="shared" si="36"/>
        <v>4.807524399</v>
      </c>
      <c r="AL71" s="637">
        <f t="shared" si="36"/>
        <v>4.807524399</v>
      </c>
      <c r="AM71" s="637">
        <f t="shared" si="36"/>
        <v>4.807524399</v>
      </c>
      <c r="AN71" s="637">
        <f t="shared" si="36"/>
        <v>4.807524399</v>
      </c>
      <c r="AO71" s="637">
        <f t="shared" si="36"/>
        <v>4.807524399</v>
      </c>
      <c r="AP71" s="637">
        <f t="shared" si="36"/>
        <v>4.807524399</v>
      </c>
      <c r="AQ71" s="637">
        <f t="shared" si="36"/>
        <v>4.807524399</v>
      </c>
      <c r="AR71" s="637">
        <f t="shared" si="36"/>
        <v>4.807524399</v>
      </c>
      <c r="AS71" s="637">
        <f t="shared" si="36"/>
        <v>4.807524399</v>
      </c>
      <c r="AT71" s="637">
        <f t="shared" si="36"/>
        <v>4.807524399</v>
      </c>
      <c r="AU71" s="637">
        <f t="shared" si="36"/>
        <v>4.807524399</v>
      </c>
      <c r="AV71" s="637">
        <f t="shared" si="36"/>
        <v>4.807524399</v>
      </c>
      <c r="AW71" s="637">
        <f t="shared" si="36"/>
        <v>4.807524399</v>
      </c>
      <c r="AX71" s="637">
        <f t="shared" si="36"/>
        <v>4.807524399</v>
      </c>
      <c r="AY71" s="637">
        <f t="shared" si="36"/>
        <v>4.807524399</v>
      </c>
      <c r="AZ71" s="637">
        <f t="shared" si="36"/>
        <v>4.807524399</v>
      </c>
    </row>
    <row r="72" ht="15.75" customHeight="1">
      <c r="A72" s="636" t="s">
        <v>858</v>
      </c>
      <c r="B72" s="95">
        <v>10.849925809</v>
      </c>
      <c r="C72" s="95">
        <v>11.459881746</v>
      </c>
      <c r="D72" s="95">
        <v>11.347540263</v>
      </c>
      <c r="E72" s="95">
        <v>12.046496358</v>
      </c>
      <c r="F72" s="95">
        <v>13.070995622</v>
      </c>
      <c r="G72" s="95">
        <v>13.798600292</v>
      </c>
      <c r="H72" s="95">
        <v>16.61298212</v>
      </c>
      <c r="I72" s="95">
        <v>15.904346755</v>
      </c>
      <c r="J72" s="95">
        <v>17.630513963</v>
      </c>
      <c r="K72" s="95">
        <v>17.364613284</v>
      </c>
      <c r="L72" s="95">
        <v>16.93361293</v>
      </c>
      <c r="M72" s="95">
        <v>17.38618823</v>
      </c>
      <c r="N72" s="95">
        <v>19.758207098</v>
      </c>
      <c r="O72" s="95">
        <v>18.647228101</v>
      </c>
      <c r="P72" s="95">
        <v>20.989356668</v>
      </c>
      <c r="Q72" s="95">
        <v>23.159256637</v>
      </c>
      <c r="R72" s="95">
        <v>24.635637034</v>
      </c>
      <c r="S72" s="95">
        <v>26.0</v>
      </c>
      <c r="T72" s="637">
        <f t="shared" ref="T72:AZ72" si="37">-1670+90.6*LN(T96)</f>
        <v>23.97172326</v>
      </c>
      <c r="U72" s="637">
        <f t="shared" si="37"/>
        <v>23.97172326</v>
      </c>
      <c r="V72" s="637">
        <f t="shared" si="37"/>
        <v>23.97172326</v>
      </c>
      <c r="W72" s="637">
        <f t="shared" si="37"/>
        <v>23.97172326</v>
      </c>
      <c r="X72" s="637">
        <f t="shared" si="37"/>
        <v>23.97172326</v>
      </c>
      <c r="Y72" s="637">
        <f t="shared" si="37"/>
        <v>23.97172326</v>
      </c>
      <c r="Z72" s="637">
        <f t="shared" si="37"/>
        <v>23.97172326</v>
      </c>
      <c r="AA72" s="637">
        <f t="shared" si="37"/>
        <v>23.97172326</v>
      </c>
      <c r="AB72" s="637">
        <f t="shared" si="37"/>
        <v>23.97172326</v>
      </c>
      <c r="AC72" s="637">
        <f t="shared" si="37"/>
        <v>23.97172326</v>
      </c>
      <c r="AD72" s="637">
        <f t="shared" si="37"/>
        <v>23.97172326</v>
      </c>
      <c r="AE72" s="637">
        <f t="shared" si="37"/>
        <v>23.97172326</v>
      </c>
      <c r="AF72" s="637">
        <f t="shared" si="37"/>
        <v>23.97172326</v>
      </c>
      <c r="AG72" s="637">
        <f t="shared" si="37"/>
        <v>23.97172326</v>
      </c>
      <c r="AH72" s="637">
        <f t="shared" si="37"/>
        <v>23.97172326</v>
      </c>
      <c r="AI72" s="637">
        <f t="shared" si="37"/>
        <v>23.97172326</v>
      </c>
      <c r="AJ72" s="637">
        <f t="shared" si="37"/>
        <v>23.97172326</v>
      </c>
      <c r="AK72" s="637">
        <f t="shared" si="37"/>
        <v>23.97172326</v>
      </c>
      <c r="AL72" s="637">
        <f t="shared" si="37"/>
        <v>23.97172326</v>
      </c>
      <c r="AM72" s="637">
        <f t="shared" si="37"/>
        <v>23.97172326</v>
      </c>
      <c r="AN72" s="637">
        <f t="shared" si="37"/>
        <v>23.97172326</v>
      </c>
      <c r="AO72" s="637">
        <f t="shared" si="37"/>
        <v>23.97172326</v>
      </c>
      <c r="AP72" s="637">
        <f t="shared" si="37"/>
        <v>23.97172326</v>
      </c>
      <c r="AQ72" s="637">
        <f t="shared" si="37"/>
        <v>23.97172326</v>
      </c>
      <c r="AR72" s="637">
        <f t="shared" si="37"/>
        <v>23.97172326</v>
      </c>
      <c r="AS72" s="637">
        <f t="shared" si="37"/>
        <v>23.97172326</v>
      </c>
      <c r="AT72" s="637">
        <f t="shared" si="37"/>
        <v>23.97172326</v>
      </c>
      <c r="AU72" s="637">
        <f t="shared" si="37"/>
        <v>23.97172326</v>
      </c>
      <c r="AV72" s="637">
        <f t="shared" si="37"/>
        <v>23.97172326</v>
      </c>
      <c r="AW72" s="637">
        <f t="shared" si="37"/>
        <v>23.97172326</v>
      </c>
      <c r="AX72" s="637">
        <f t="shared" si="37"/>
        <v>23.97172326</v>
      </c>
      <c r="AY72" s="637">
        <f t="shared" si="37"/>
        <v>23.97172326</v>
      </c>
      <c r="AZ72" s="637">
        <f t="shared" si="37"/>
        <v>23.97172326</v>
      </c>
    </row>
    <row r="73" ht="15.75" customHeight="1">
      <c r="A73" s="79" t="s">
        <v>807</v>
      </c>
      <c r="B73" s="665">
        <v>0.3</v>
      </c>
      <c r="C73" s="665">
        <v>0.3</v>
      </c>
      <c r="D73" s="665">
        <v>0.3</v>
      </c>
      <c r="E73" s="665">
        <v>0.3</v>
      </c>
      <c r="F73" s="665">
        <v>0.3</v>
      </c>
      <c r="G73" s="665">
        <v>0.3</v>
      </c>
      <c r="H73" s="665">
        <v>0.3</v>
      </c>
      <c r="I73" s="665">
        <v>0.3</v>
      </c>
      <c r="J73" s="665">
        <v>0.3</v>
      </c>
      <c r="K73" s="665">
        <v>0.3</v>
      </c>
      <c r="L73" s="665">
        <v>0.3</v>
      </c>
      <c r="M73" s="665">
        <v>0.3</v>
      </c>
      <c r="N73" s="665">
        <v>0.3</v>
      </c>
      <c r="O73" s="665">
        <v>0.3</v>
      </c>
      <c r="P73" s="665">
        <v>0.3</v>
      </c>
      <c r="Q73" s="665">
        <v>0.3</v>
      </c>
      <c r="R73" s="665">
        <v>0.3</v>
      </c>
      <c r="S73" s="665">
        <v>0.3</v>
      </c>
      <c r="T73" s="665">
        <v>0.3</v>
      </c>
      <c r="U73" s="665">
        <v>0.3</v>
      </c>
      <c r="V73" s="665">
        <v>0.3</v>
      </c>
      <c r="W73" s="665">
        <v>0.3</v>
      </c>
      <c r="X73" s="665">
        <v>0.3</v>
      </c>
      <c r="Y73" s="665">
        <v>0.3</v>
      </c>
      <c r="Z73" s="665">
        <v>0.3</v>
      </c>
      <c r="AA73" s="665">
        <v>0.3</v>
      </c>
      <c r="AB73" s="665">
        <v>0.3</v>
      </c>
      <c r="AC73" s="665">
        <v>0.3</v>
      </c>
      <c r="AD73" s="665">
        <v>0.3</v>
      </c>
      <c r="AE73" s="665">
        <v>0.3</v>
      </c>
      <c r="AF73" s="665">
        <v>0.3</v>
      </c>
      <c r="AG73" s="665">
        <v>0.3</v>
      </c>
      <c r="AH73" s="665">
        <v>0.3</v>
      </c>
      <c r="AI73" s="665">
        <v>0.3</v>
      </c>
      <c r="AJ73" s="665">
        <v>0.3</v>
      </c>
      <c r="AK73" s="665">
        <v>0.3</v>
      </c>
      <c r="AL73" s="665">
        <v>0.3</v>
      </c>
      <c r="AM73" s="665">
        <v>0.3</v>
      </c>
      <c r="AN73" s="665">
        <v>0.3</v>
      </c>
      <c r="AO73" s="665">
        <v>0.3</v>
      </c>
      <c r="AP73" s="665">
        <v>0.3</v>
      </c>
      <c r="AQ73" s="665">
        <v>0.3</v>
      </c>
      <c r="AR73" s="665">
        <v>0.3</v>
      </c>
      <c r="AS73" s="665">
        <v>0.3</v>
      </c>
      <c r="AT73" s="665">
        <v>0.3</v>
      </c>
      <c r="AU73" s="665">
        <v>0.3</v>
      </c>
      <c r="AV73" s="665">
        <v>0.3</v>
      </c>
      <c r="AW73" s="665">
        <v>0.3</v>
      </c>
      <c r="AX73" s="665">
        <v>0.3</v>
      </c>
      <c r="AY73" s="665">
        <v>0.3</v>
      </c>
      <c r="AZ73" s="665">
        <v>0.3</v>
      </c>
    </row>
    <row r="74" ht="15.75" customHeight="1">
      <c r="A74" s="78" t="s">
        <v>859</v>
      </c>
      <c r="B74" s="95">
        <f t="shared" ref="B74:F74" si="38">B75-B72</f>
        <v>4.649968204</v>
      </c>
      <c r="C74" s="95">
        <f t="shared" si="38"/>
        <v>4.911377891</v>
      </c>
      <c r="D74" s="95">
        <f t="shared" si="38"/>
        <v>4.863231541</v>
      </c>
      <c r="E74" s="95">
        <f t="shared" si="38"/>
        <v>5.162784153</v>
      </c>
      <c r="F74" s="95">
        <f t="shared" si="38"/>
        <v>5.601855267</v>
      </c>
      <c r="G74" s="95">
        <f t="shared" ref="G74:AZ74" si="39">G72*G73</f>
        <v>4.139580088</v>
      </c>
      <c r="H74" s="95">
        <f t="shared" si="39"/>
        <v>4.983894636</v>
      </c>
      <c r="I74" s="95">
        <f t="shared" si="39"/>
        <v>4.771304027</v>
      </c>
      <c r="J74" s="95">
        <f t="shared" si="39"/>
        <v>5.289154189</v>
      </c>
      <c r="K74" s="95">
        <f t="shared" si="39"/>
        <v>5.209383985</v>
      </c>
      <c r="L74" s="95">
        <f t="shared" si="39"/>
        <v>5.080083879</v>
      </c>
      <c r="M74" s="95">
        <f t="shared" si="39"/>
        <v>5.215856469</v>
      </c>
      <c r="N74" s="95">
        <f t="shared" si="39"/>
        <v>5.927462129</v>
      </c>
      <c r="O74" s="95">
        <f t="shared" si="39"/>
        <v>5.59416843</v>
      </c>
      <c r="P74" s="95">
        <f t="shared" si="39"/>
        <v>6.296807</v>
      </c>
      <c r="Q74" s="95">
        <f t="shared" si="39"/>
        <v>6.947776991</v>
      </c>
      <c r="R74" s="95">
        <f t="shared" si="39"/>
        <v>7.39069111</v>
      </c>
      <c r="S74" s="95">
        <f t="shared" si="39"/>
        <v>7.8</v>
      </c>
      <c r="T74" s="95">
        <f t="shared" si="39"/>
        <v>7.191516978</v>
      </c>
      <c r="U74" s="95">
        <f t="shared" si="39"/>
        <v>7.191516978</v>
      </c>
      <c r="V74" s="95">
        <f t="shared" si="39"/>
        <v>7.191516978</v>
      </c>
      <c r="W74" s="95">
        <f t="shared" si="39"/>
        <v>7.191516978</v>
      </c>
      <c r="X74" s="95">
        <f t="shared" si="39"/>
        <v>7.191516978</v>
      </c>
      <c r="Y74" s="95">
        <f t="shared" si="39"/>
        <v>7.191516978</v>
      </c>
      <c r="Z74" s="95">
        <f t="shared" si="39"/>
        <v>7.191516978</v>
      </c>
      <c r="AA74" s="95">
        <f t="shared" si="39"/>
        <v>7.191516978</v>
      </c>
      <c r="AB74" s="95">
        <f t="shared" si="39"/>
        <v>7.191516978</v>
      </c>
      <c r="AC74" s="95">
        <f t="shared" si="39"/>
        <v>7.191516978</v>
      </c>
      <c r="AD74" s="95">
        <f t="shared" si="39"/>
        <v>7.191516978</v>
      </c>
      <c r="AE74" s="95">
        <f t="shared" si="39"/>
        <v>7.191516978</v>
      </c>
      <c r="AF74" s="95">
        <f t="shared" si="39"/>
        <v>7.191516978</v>
      </c>
      <c r="AG74" s="95">
        <f t="shared" si="39"/>
        <v>7.191516978</v>
      </c>
      <c r="AH74" s="95">
        <f t="shared" si="39"/>
        <v>7.191516978</v>
      </c>
      <c r="AI74" s="95">
        <f t="shared" si="39"/>
        <v>7.191516978</v>
      </c>
      <c r="AJ74" s="95">
        <f t="shared" si="39"/>
        <v>7.191516978</v>
      </c>
      <c r="AK74" s="95">
        <f t="shared" si="39"/>
        <v>7.191516978</v>
      </c>
      <c r="AL74" s="95">
        <f t="shared" si="39"/>
        <v>7.191516978</v>
      </c>
      <c r="AM74" s="95">
        <f t="shared" si="39"/>
        <v>7.191516978</v>
      </c>
      <c r="AN74" s="95">
        <f t="shared" si="39"/>
        <v>7.191516978</v>
      </c>
      <c r="AO74" s="95">
        <f t="shared" si="39"/>
        <v>7.191516978</v>
      </c>
      <c r="AP74" s="95">
        <f t="shared" si="39"/>
        <v>7.191516978</v>
      </c>
      <c r="AQ74" s="95">
        <f t="shared" si="39"/>
        <v>7.191516978</v>
      </c>
      <c r="AR74" s="95">
        <f t="shared" si="39"/>
        <v>7.191516978</v>
      </c>
      <c r="AS74" s="95">
        <f t="shared" si="39"/>
        <v>7.191516978</v>
      </c>
      <c r="AT74" s="95">
        <f t="shared" si="39"/>
        <v>7.191516978</v>
      </c>
      <c r="AU74" s="95">
        <f t="shared" si="39"/>
        <v>7.191516978</v>
      </c>
      <c r="AV74" s="95">
        <f t="shared" si="39"/>
        <v>7.191516978</v>
      </c>
      <c r="AW74" s="95">
        <f t="shared" si="39"/>
        <v>7.191516978</v>
      </c>
      <c r="AX74" s="95">
        <f t="shared" si="39"/>
        <v>7.191516978</v>
      </c>
      <c r="AY74" s="95">
        <f t="shared" si="39"/>
        <v>7.191516978</v>
      </c>
      <c r="AZ74" s="95">
        <f t="shared" si="39"/>
        <v>7.191516978</v>
      </c>
    </row>
    <row r="75" ht="15.75" customHeight="1">
      <c r="A75" s="78" t="s">
        <v>860</v>
      </c>
      <c r="B75" s="637">
        <f t="shared" ref="B75:AZ75" si="40">B72/(1-B73)</f>
        <v>15.49989401</v>
      </c>
      <c r="C75" s="637">
        <f t="shared" si="40"/>
        <v>16.37125964</v>
      </c>
      <c r="D75" s="637">
        <f t="shared" si="40"/>
        <v>16.2107718</v>
      </c>
      <c r="E75" s="637">
        <f t="shared" si="40"/>
        <v>17.20928051</v>
      </c>
      <c r="F75" s="637">
        <f t="shared" si="40"/>
        <v>18.67285089</v>
      </c>
      <c r="G75" s="637">
        <f t="shared" si="40"/>
        <v>19.71228613</v>
      </c>
      <c r="H75" s="637">
        <f t="shared" si="40"/>
        <v>23.7328316</v>
      </c>
      <c r="I75" s="637">
        <f t="shared" si="40"/>
        <v>22.72049536</v>
      </c>
      <c r="J75" s="637">
        <f t="shared" si="40"/>
        <v>25.18644852</v>
      </c>
      <c r="K75" s="637">
        <f t="shared" si="40"/>
        <v>24.80659041</v>
      </c>
      <c r="L75" s="637">
        <f t="shared" si="40"/>
        <v>24.19087561</v>
      </c>
      <c r="M75" s="637">
        <f t="shared" si="40"/>
        <v>24.83741176</v>
      </c>
      <c r="N75" s="637">
        <f t="shared" si="40"/>
        <v>28.22601014</v>
      </c>
      <c r="O75" s="637">
        <f t="shared" si="40"/>
        <v>26.63889729</v>
      </c>
      <c r="P75" s="637">
        <f t="shared" si="40"/>
        <v>29.98479524</v>
      </c>
      <c r="Q75" s="637">
        <f t="shared" si="40"/>
        <v>33.08465234</v>
      </c>
      <c r="R75" s="637">
        <f t="shared" si="40"/>
        <v>35.19376719</v>
      </c>
      <c r="S75" s="637">
        <f t="shared" si="40"/>
        <v>37.14285714</v>
      </c>
      <c r="T75" s="637">
        <f t="shared" si="40"/>
        <v>34.24531894</v>
      </c>
      <c r="U75" s="637">
        <f t="shared" si="40"/>
        <v>34.24531894</v>
      </c>
      <c r="V75" s="637">
        <f t="shared" si="40"/>
        <v>34.24531894</v>
      </c>
      <c r="W75" s="637">
        <f t="shared" si="40"/>
        <v>34.24531894</v>
      </c>
      <c r="X75" s="637">
        <f t="shared" si="40"/>
        <v>34.24531894</v>
      </c>
      <c r="Y75" s="637">
        <f t="shared" si="40"/>
        <v>34.24531894</v>
      </c>
      <c r="Z75" s="637">
        <f t="shared" si="40"/>
        <v>34.24531894</v>
      </c>
      <c r="AA75" s="637">
        <f t="shared" si="40"/>
        <v>34.24531894</v>
      </c>
      <c r="AB75" s="637">
        <f t="shared" si="40"/>
        <v>34.24531894</v>
      </c>
      <c r="AC75" s="637">
        <f t="shared" si="40"/>
        <v>34.24531894</v>
      </c>
      <c r="AD75" s="637">
        <f t="shared" si="40"/>
        <v>34.24531894</v>
      </c>
      <c r="AE75" s="637">
        <f t="shared" si="40"/>
        <v>34.24531894</v>
      </c>
      <c r="AF75" s="637">
        <f t="shared" si="40"/>
        <v>34.24531894</v>
      </c>
      <c r="AG75" s="637">
        <f t="shared" si="40"/>
        <v>34.24531894</v>
      </c>
      <c r="AH75" s="637">
        <f t="shared" si="40"/>
        <v>34.24531894</v>
      </c>
      <c r="AI75" s="637">
        <f t="shared" si="40"/>
        <v>34.24531894</v>
      </c>
      <c r="AJ75" s="637">
        <f t="shared" si="40"/>
        <v>34.24531894</v>
      </c>
      <c r="AK75" s="637">
        <f t="shared" si="40"/>
        <v>34.24531894</v>
      </c>
      <c r="AL75" s="637">
        <f t="shared" si="40"/>
        <v>34.24531894</v>
      </c>
      <c r="AM75" s="637">
        <f t="shared" si="40"/>
        <v>34.24531894</v>
      </c>
      <c r="AN75" s="637">
        <f t="shared" si="40"/>
        <v>34.24531894</v>
      </c>
      <c r="AO75" s="637">
        <f t="shared" si="40"/>
        <v>34.24531894</v>
      </c>
      <c r="AP75" s="637">
        <f t="shared" si="40"/>
        <v>34.24531894</v>
      </c>
      <c r="AQ75" s="637">
        <f t="shared" si="40"/>
        <v>34.24531894</v>
      </c>
      <c r="AR75" s="637">
        <f t="shared" si="40"/>
        <v>34.24531894</v>
      </c>
      <c r="AS75" s="637">
        <f t="shared" si="40"/>
        <v>34.24531894</v>
      </c>
      <c r="AT75" s="637">
        <f t="shared" si="40"/>
        <v>34.24531894</v>
      </c>
      <c r="AU75" s="637">
        <f t="shared" si="40"/>
        <v>34.24531894</v>
      </c>
      <c r="AV75" s="637">
        <f t="shared" si="40"/>
        <v>34.24531894</v>
      </c>
      <c r="AW75" s="637">
        <f t="shared" si="40"/>
        <v>34.24531894</v>
      </c>
      <c r="AX75" s="637">
        <f t="shared" si="40"/>
        <v>34.24531894</v>
      </c>
      <c r="AY75" s="637">
        <f t="shared" si="40"/>
        <v>34.24531894</v>
      </c>
      <c r="AZ75" s="637">
        <f t="shared" si="40"/>
        <v>34.24531894</v>
      </c>
    </row>
    <row r="76" ht="15.75" customHeight="1">
      <c r="A76" s="447" t="s">
        <v>861</v>
      </c>
      <c r="B76" s="95"/>
      <c r="C76" s="95">
        <f t="shared" ref="C76:R76" si="41">C75-B75</f>
        <v>0.8713656243</v>
      </c>
      <c r="D76" s="95">
        <f t="shared" si="41"/>
        <v>-0.1604878329</v>
      </c>
      <c r="E76" s="95">
        <f t="shared" si="41"/>
        <v>0.9985087071</v>
      </c>
      <c r="F76" s="95">
        <f t="shared" si="41"/>
        <v>1.463570377</v>
      </c>
      <c r="G76" s="95">
        <f t="shared" si="41"/>
        <v>1.039435243</v>
      </c>
      <c r="H76" s="95">
        <f t="shared" si="41"/>
        <v>4.020545469</v>
      </c>
      <c r="I76" s="95">
        <f t="shared" si="41"/>
        <v>-1.012336236</v>
      </c>
      <c r="J76" s="95">
        <f t="shared" si="41"/>
        <v>2.465953154</v>
      </c>
      <c r="K76" s="95">
        <f t="shared" si="41"/>
        <v>-0.3798581129</v>
      </c>
      <c r="L76" s="95">
        <f t="shared" si="41"/>
        <v>-0.6157147914</v>
      </c>
      <c r="M76" s="95">
        <f t="shared" si="41"/>
        <v>0.6465361429</v>
      </c>
      <c r="N76" s="95">
        <f t="shared" si="41"/>
        <v>3.388598383</v>
      </c>
      <c r="O76" s="95">
        <f t="shared" si="41"/>
        <v>-1.587112853</v>
      </c>
      <c r="P76" s="95">
        <f t="shared" si="41"/>
        <v>3.345897953</v>
      </c>
      <c r="Q76" s="95">
        <f t="shared" si="41"/>
        <v>3.099857099</v>
      </c>
      <c r="R76" s="95">
        <f t="shared" si="41"/>
        <v>2.109114853</v>
      </c>
    </row>
    <row r="77" ht="15.75" customHeight="1">
      <c r="B77" s="95"/>
      <c r="C77" s="95"/>
      <c r="D77" s="95"/>
      <c r="E77" s="95"/>
      <c r="F77" s="95"/>
      <c r="G77" s="95"/>
      <c r="H77" s="95"/>
      <c r="I77" s="95"/>
      <c r="J77" s="95"/>
      <c r="K77" s="95"/>
      <c r="L77" s="95"/>
      <c r="M77" s="95"/>
      <c r="N77" s="95"/>
      <c r="O77" s="95"/>
      <c r="P77" s="95"/>
      <c r="Q77" s="95"/>
      <c r="R77" s="95"/>
      <c r="S77" s="95"/>
      <c r="T77">
        <f t="shared" ref="T77:AZ77" si="42">455-0.00000799*T96+3.59E-14*(T96^2)</f>
        <v>25.63566203</v>
      </c>
      <c r="U77">
        <f t="shared" si="42"/>
        <v>25.63566203</v>
      </c>
      <c r="V77">
        <f t="shared" si="42"/>
        <v>25.63566203</v>
      </c>
      <c r="W77">
        <f t="shared" si="42"/>
        <v>25.63566203</v>
      </c>
      <c r="X77">
        <f t="shared" si="42"/>
        <v>25.63566203</v>
      </c>
      <c r="Y77">
        <f t="shared" si="42"/>
        <v>25.63566203</v>
      </c>
      <c r="Z77">
        <f t="shared" si="42"/>
        <v>25.63566203</v>
      </c>
      <c r="AA77">
        <f t="shared" si="42"/>
        <v>25.63566203</v>
      </c>
      <c r="AB77">
        <f t="shared" si="42"/>
        <v>25.63566203</v>
      </c>
      <c r="AC77">
        <f t="shared" si="42"/>
        <v>25.63566203</v>
      </c>
      <c r="AD77">
        <f t="shared" si="42"/>
        <v>25.63566203</v>
      </c>
      <c r="AE77">
        <f t="shared" si="42"/>
        <v>25.63566203</v>
      </c>
      <c r="AF77">
        <f t="shared" si="42"/>
        <v>25.63566203</v>
      </c>
      <c r="AG77">
        <f t="shared" si="42"/>
        <v>25.63566203</v>
      </c>
      <c r="AH77">
        <f t="shared" si="42"/>
        <v>25.63566203</v>
      </c>
      <c r="AI77">
        <f t="shared" si="42"/>
        <v>25.63566203</v>
      </c>
      <c r="AJ77">
        <f t="shared" si="42"/>
        <v>25.63566203</v>
      </c>
      <c r="AK77">
        <f t="shared" si="42"/>
        <v>25.63566203</v>
      </c>
      <c r="AL77">
        <f t="shared" si="42"/>
        <v>25.63566203</v>
      </c>
      <c r="AM77">
        <f t="shared" si="42"/>
        <v>25.63566203</v>
      </c>
      <c r="AN77">
        <f t="shared" si="42"/>
        <v>25.63566203</v>
      </c>
      <c r="AO77">
        <f t="shared" si="42"/>
        <v>25.63566203</v>
      </c>
      <c r="AP77">
        <f t="shared" si="42"/>
        <v>25.63566203</v>
      </c>
      <c r="AQ77">
        <f t="shared" si="42"/>
        <v>25.63566203</v>
      </c>
      <c r="AR77">
        <f t="shared" si="42"/>
        <v>25.63566203</v>
      </c>
      <c r="AS77">
        <f t="shared" si="42"/>
        <v>25.63566203</v>
      </c>
      <c r="AT77">
        <f t="shared" si="42"/>
        <v>25.63566203</v>
      </c>
      <c r="AU77">
        <f t="shared" si="42"/>
        <v>25.63566203</v>
      </c>
      <c r="AV77">
        <f t="shared" si="42"/>
        <v>25.63566203</v>
      </c>
      <c r="AW77">
        <f t="shared" si="42"/>
        <v>25.63566203</v>
      </c>
      <c r="AX77">
        <f t="shared" si="42"/>
        <v>25.63566203</v>
      </c>
      <c r="AY77">
        <f t="shared" si="42"/>
        <v>25.63566203</v>
      </c>
      <c r="AZ77">
        <f t="shared" si="42"/>
        <v>25.63566203</v>
      </c>
    </row>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c r="A95" s="458" t="s">
        <v>862</v>
      </c>
      <c r="C95" s="107">
        <f t="shared" ref="C95:AZ95" si="43">C96-B96</f>
        <v>3161757</v>
      </c>
      <c r="D95" s="107">
        <f t="shared" si="43"/>
        <v>1725974</v>
      </c>
      <c r="E95" s="107">
        <f t="shared" si="43"/>
        <v>641186</v>
      </c>
      <c r="F95" s="107">
        <f t="shared" si="43"/>
        <v>1475426</v>
      </c>
      <c r="G95" s="107">
        <f t="shared" si="43"/>
        <v>1985884</v>
      </c>
      <c r="H95" s="107">
        <f t="shared" si="43"/>
        <v>1698934</v>
      </c>
      <c r="I95" s="107">
        <f t="shared" si="43"/>
        <v>1469344</v>
      </c>
      <c r="J95" s="107">
        <f t="shared" si="43"/>
        <v>1082024</v>
      </c>
      <c r="K95" s="107">
        <f t="shared" si="43"/>
        <v>166896</v>
      </c>
      <c r="L95" s="107">
        <f t="shared" si="43"/>
        <v>505170</v>
      </c>
      <c r="M95" s="107">
        <f t="shared" si="43"/>
        <v>420275</v>
      </c>
      <c r="N95" s="107">
        <f t="shared" si="43"/>
        <v>685640</v>
      </c>
      <c r="O95" s="107">
        <f t="shared" si="43"/>
        <v>940166</v>
      </c>
      <c r="P95" s="107">
        <f t="shared" si="43"/>
        <v>896318</v>
      </c>
      <c r="Q95" s="107">
        <f t="shared" si="43"/>
        <v>1127287</v>
      </c>
      <c r="R95" s="107">
        <f t="shared" si="43"/>
        <v>1253462</v>
      </c>
      <c r="S95" s="107">
        <f t="shared" si="43"/>
        <v>1506539</v>
      </c>
      <c r="T95" s="107">
        <f t="shared" si="43"/>
        <v>0</v>
      </c>
      <c r="U95" s="107">
        <f t="shared" si="43"/>
        <v>0</v>
      </c>
      <c r="V95" s="107">
        <f t="shared" si="43"/>
        <v>0</v>
      </c>
      <c r="W95" s="107">
        <f t="shared" si="43"/>
        <v>0</v>
      </c>
      <c r="X95" s="107">
        <f t="shared" si="43"/>
        <v>0</v>
      </c>
      <c r="Y95" s="107">
        <f t="shared" si="43"/>
        <v>0</v>
      </c>
      <c r="Z95" s="107">
        <f t="shared" si="43"/>
        <v>0</v>
      </c>
      <c r="AA95" s="107">
        <f t="shared" si="43"/>
        <v>0</v>
      </c>
      <c r="AB95" s="107">
        <f t="shared" si="43"/>
        <v>0</v>
      </c>
      <c r="AC95" s="107">
        <f t="shared" si="43"/>
        <v>0</v>
      </c>
      <c r="AD95" s="107">
        <f t="shared" si="43"/>
        <v>0</v>
      </c>
      <c r="AE95" s="107">
        <f t="shared" si="43"/>
        <v>0</v>
      </c>
      <c r="AF95" s="107">
        <f t="shared" si="43"/>
        <v>0</v>
      </c>
      <c r="AG95" s="107">
        <f t="shared" si="43"/>
        <v>0</v>
      </c>
      <c r="AH95" s="107">
        <f t="shared" si="43"/>
        <v>0</v>
      </c>
      <c r="AI95" s="107">
        <f t="shared" si="43"/>
        <v>0</v>
      </c>
      <c r="AJ95" s="107">
        <f t="shared" si="43"/>
        <v>0</v>
      </c>
      <c r="AK95" s="107">
        <f t="shared" si="43"/>
        <v>0</v>
      </c>
      <c r="AL95" s="107">
        <f t="shared" si="43"/>
        <v>0</v>
      </c>
      <c r="AM95" s="107">
        <f t="shared" si="43"/>
        <v>0</v>
      </c>
      <c r="AN95" s="107">
        <f t="shared" si="43"/>
        <v>0</v>
      </c>
      <c r="AO95" s="107">
        <f t="shared" si="43"/>
        <v>0</v>
      </c>
      <c r="AP95" s="107">
        <f t="shared" si="43"/>
        <v>0</v>
      </c>
      <c r="AQ95" s="107">
        <f t="shared" si="43"/>
        <v>0</v>
      </c>
      <c r="AR95" s="107">
        <f t="shared" si="43"/>
        <v>0</v>
      </c>
      <c r="AS95" s="107">
        <f t="shared" si="43"/>
        <v>0</v>
      </c>
      <c r="AT95" s="107">
        <f t="shared" si="43"/>
        <v>0</v>
      </c>
      <c r="AU95" s="107">
        <f t="shared" si="43"/>
        <v>0</v>
      </c>
      <c r="AV95" s="107">
        <f t="shared" si="43"/>
        <v>0</v>
      </c>
      <c r="AW95" s="107">
        <f t="shared" si="43"/>
        <v>0</v>
      </c>
      <c r="AX95" s="107">
        <f t="shared" si="43"/>
        <v>0</v>
      </c>
      <c r="AY95" s="107">
        <f t="shared" si="43"/>
        <v>0</v>
      </c>
      <c r="AZ95" s="107">
        <f t="shared" si="43"/>
        <v>0</v>
      </c>
    </row>
    <row r="96" ht="15.75" customHeight="1">
      <c r="A96" s="509" t="s">
        <v>863</v>
      </c>
      <c r="B96" s="452">
        <v>1.11118816E8</v>
      </c>
      <c r="C96" s="452">
        <v>1.14280573E8</v>
      </c>
      <c r="D96" s="452">
        <v>1.16006547E8</v>
      </c>
      <c r="E96" s="452">
        <v>1.16647733E8</v>
      </c>
      <c r="F96" s="452">
        <v>1.18123159E8</v>
      </c>
      <c r="G96" s="452">
        <v>1.20109043E8</v>
      </c>
      <c r="H96" s="452">
        <v>1.21807977E8</v>
      </c>
      <c r="I96" s="452">
        <v>1.23277321E8</v>
      </c>
      <c r="J96" s="452">
        <v>1.24359345E8</v>
      </c>
      <c r="K96" s="452">
        <v>1.24526241E8</v>
      </c>
      <c r="L96" s="452">
        <v>1.25031411E8</v>
      </c>
      <c r="M96" s="452">
        <v>1.25451686E8</v>
      </c>
      <c r="N96" s="452">
        <v>1.26137326E8</v>
      </c>
      <c r="O96" s="452">
        <v>1.27077492E8</v>
      </c>
      <c r="P96" s="452">
        <v>1.2797381E8</v>
      </c>
      <c r="Q96" s="452">
        <v>1.29101097E8</v>
      </c>
      <c r="R96" s="452">
        <v>1.30354559E8</v>
      </c>
      <c r="S96" s="452">
        <v>1.31861098E8</v>
      </c>
      <c r="T96" s="666">
        <f t="shared" ref="T96:AZ96" si="44">S96*(1+$S$97)</f>
        <v>131861098</v>
      </c>
      <c r="U96" s="666">
        <f t="shared" si="44"/>
        <v>131861098</v>
      </c>
      <c r="V96" s="666">
        <f t="shared" si="44"/>
        <v>131861098</v>
      </c>
      <c r="W96" s="666">
        <f t="shared" si="44"/>
        <v>131861098</v>
      </c>
      <c r="X96" s="666">
        <f t="shared" si="44"/>
        <v>131861098</v>
      </c>
      <c r="Y96" s="666">
        <f t="shared" si="44"/>
        <v>131861098</v>
      </c>
      <c r="Z96" s="666">
        <f t="shared" si="44"/>
        <v>131861098</v>
      </c>
      <c r="AA96" s="666">
        <f t="shared" si="44"/>
        <v>131861098</v>
      </c>
      <c r="AB96" s="666">
        <f t="shared" si="44"/>
        <v>131861098</v>
      </c>
      <c r="AC96" s="666">
        <f t="shared" si="44"/>
        <v>131861098</v>
      </c>
      <c r="AD96" s="666">
        <f t="shared" si="44"/>
        <v>131861098</v>
      </c>
      <c r="AE96" s="666">
        <f t="shared" si="44"/>
        <v>131861098</v>
      </c>
      <c r="AF96" s="666">
        <f t="shared" si="44"/>
        <v>131861098</v>
      </c>
      <c r="AG96" s="666">
        <f t="shared" si="44"/>
        <v>131861098</v>
      </c>
      <c r="AH96" s="666">
        <f t="shared" si="44"/>
        <v>131861098</v>
      </c>
      <c r="AI96" s="666">
        <f t="shared" si="44"/>
        <v>131861098</v>
      </c>
      <c r="AJ96" s="666">
        <f t="shared" si="44"/>
        <v>131861098</v>
      </c>
      <c r="AK96" s="666">
        <f t="shared" si="44"/>
        <v>131861098</v>
      </c>
      <c r="AL96" s="666">
        <f t="shared" si="44"/>
        <v>131861098</v>
      </c>
      <c r="AM96" s="666">
        <f t="shared" si="44"/>
        <v>131861098</v>
      </c>
      <c r="AN96" s="666">
        <f t="shared" si="44"/>
        <v>131861098</v>
      </c>
      <c r="AO96" s="666">
        <f t="shared" si="44"/>
        <v>131861098</v>
      </c>
      <c r="AP96" s="666">
        <f t="shared" si="44"/>
        <v>131861098</v>
      </c>
      <c r="AQ96" s="666">
        <f t="shared" si="44"/>
        <v>131861098</v>
      </c>
      <c r="AR96" s="666">
        <f t="shared" si="44"/>
        <v>131861098</v>
      </c>
      <c r="AS96" s="666">
        <f t="shared" si="44"/>
        <v>131861098</v>
      </c>
      <c r="AT96" s="666">
        <f t="shared" si="44"/>
        <v>131861098</v>
      </c>
      <c r="AU96" s="666">
        <f t="shared" si="44"/>
        <v>131861098</v>
      </c>
      <c r="AV96" s="666">
        <f t="shared" si="44"/>
        <v>131861098</v>
      </c>
      <c r="AW96" s="666">
        <f t="shared" si="44"/>
        <v>131861098</v>
      </c>
      <c r="AX96" s="666">
        <f t="shared" si="44"/>
        <v>131861098</v>
      </c>
      <c r="AY96" s="666">
        <f t="shared" si="44"/>
        <v>131861098</v>
      </c>
      <c r="AZ96" s="666">
        <f t="shared" si="44"/>
        <v>131861098</v>
      </c>
    </row>
    <row r="97" ht="15.75" customHeight="1"/>
    <row r="98" ht="15.75" customHeight="1">
      <c r="A98" s="535" t="s">
        <v>74</v>
      </c>
      <c r="B98" s="538">
        <v>0.4</v>
      </c>
      <c r="C98" s="537"/>
      <c r="D98" s="537"/>
      <c r="E98" s="537"/>
      <c r="F98" s="537"/>
      <c r="G98" s="537"/>
      <c r="H98" s="537"/>
      <c r="I98" s="537"/>
      <c r="J98" s="537"/>
      <c r="K98" s="667"/>
      <c r="L98" s="537"/>
      <c r="M98" s="537"/>
      <c r="N98" s="537"/>
      <c r="O98" s="537"/>
      <c r="P98" s="537"/>
      <c r="Q98" s="537"/>
      <c r="R98" s="537"/>
      <c r="S98" s="537"/>
      <c r="T98" s="537"/>
      <c r="U98" s="537"/>
      <c r="V98" s="537"/>
    </row>
    <row r="99" ht="15.75" customHeight="1">
      <c r="A99" s="535" t="s">
        <v>76</v>
      </c>
      <c r="B99" s="538">
        <f>1-B98</f>
        <v>0.6</v>
      </c>
      <c r="C99" s="537"/>
      <c r="D99" s="537"/>
      <c r="E99" s="537"/>
      <c r="F99" s="537"/>
      <c r="G99" s="537"/>
      <c r="H99" s="537"/>
      <c r="I99" s="537"/>
      <c r="J99" s="537"/>
      <c r="K99" s="537"/>
      <c r="L99" s="537"/>
      <c r="M99" s="537"/>
      <c r="N99" s="537"/>
      <c r="O99" s="537"/>
      <c r="P99" s="537"/>
      <c r="Q99" s="537"/>
      <c r="R99" s="537"/>
      <c r="S99" s="537"/>
      <c r="T99" s="537"/>
      <c r="U99" s="537"/>
      <c r="V99" s="537"/>
    </row>
    <row r="100" ht="15.75" customHeight="1">
      <c r="A100" s="535" t="s">
        <v>78</v>
      </c>
      <c r="B100" s="538">
        <v>0.0475</v>
      </c>
      <c r="C100" s="537"/>
      <c r="D100" s="537"/>
      <c r="E100" s="537"/>
      <c r="F100" s="537"/>
      <c r="G100" s="537"/>
      <c r="H100" s="537"/>
      <c r="I100" s="537"/>
      <c r="J100" s="537"/>
      <c r="K100" s="537"/>
      <c r="L100" s="537"/>
      <c r="M100" s="537"/>
      <c r="N100" s="537"/>
      <c r="O100" s="537"/>
      <c r="P100" s="537"/>
      <c r="Q100" s="537"/>
      <c r="R100" s="537"/>
      <c r="S100" s="537"/>
      <c r="T100" s="537"/>
      <c r="U100" s="537"/>
      <c r="V100" s="537"/>
    </row>
    <row r="101" ht="15.75" customHeight="1">
      <c r="A101" s="535" t="s">
        <v>80</v>
      </c>
      <c r="B101" s="538">
        <v>0.08</v>
      </c>
      <c r="C101" s="537"/>
      <c r="D101" s="537"/>
      <c r="E101" s="537"/>
      <c r="F101" s="537"/>
      <c r="G101" s="537"/>
      <c r="H101" s="537"/>
      <c r="I101" s="537"/>
      <c r="J101" s="537"/>
      <c r="K101" s="537"/>
      <c r="L101" s="537"/>
      <c r="M101" s="537"/>
      <c r="N101" s="537"/>
      <c r="O101" s="537"/>
      <c r="P101" s="537"/>
      <c r="Q101" s="537"/>
      <c r="R101" s="537"/>
      <c r="S101" s="537"/>
      <c r="T101" s="537"/>
      <c r="U101" s="537"/>
      <c r="V101" s="537"/>
    </row>
    <row r="102" ht="15.75" customHeight="1">
      <c r="A102" s="535" t="s">
        <v>82</v>
      </c>
      <c r="B102" s="538">
        <f>B98*B100+B99*B101</f>
        <v>0.067</v>
      </c>
      <c r="C102" s="539"/>
      <c r="D102" s="539"/>
      <c r="E102" s="539"/>
      <c r="F102" s="539"/>
      <c r="G102" s="539"/>
      <c r="H102" s="539"/>
      <c r="I102" s="539"/>
      <c r="J102" s="539"/>
      <c r="K102" s="539"/>
      <c r="L102" s="539"/>
      <c r="M102" s="539"/>
      <c r="N102" s="539"/>
      <c r="O102" s="539"/>
      <c r="P102" s="539"/>
      <c r="Q102" s="539"/>
      <c r="R102" s="539"/>
      <c r="S102" s="539"/>
      <c r="T102" s="539"/>
      <c r="U102" s="539"/>
      <c r="V102" s="539"/>
    </row>
    <row r="103" ht="15.75" customHeight="1">
      <c r="A103" s="535" t="s">
        <v>84</v>
      </c>
      <c r="B103" s="668">
        <v>15.0</v>
      </c>
      <c r="C103" s="141"/>
      <c r="D103" s="141"/>
      <c r="E103" s="141"/>
      <c r="F103" s="141"/>
      <c r="G103" s="141"/>
      <c r="H103" s="141"/>
      <c r="I103" s="141"/>
      <c r="J103" s="141"/>
      <c r="K103" s="141"/>
      <c r="L103" s="141"/>
      <c r="M103" s="141"/>
      <c r="N103" s="141"/>
      <c r="O103" s="141"/>
      <c r="P103" s="141"/>
      <c r="Q103" s="141"/>
      <c r="R103" s="141"/>
      <c r="S103" s="141"/>
      <c r="T103" s="141"/>
      <c r="U103" s="141"/>
      <c r="V103" s="141"/>
    </row>
    <row r="104" ht="15.75" customHeight="1">
      <c r="A104" s="535" t="s">
        <v>772</v>
      </c>
      <c r="B104" s="538">
        <v>0.0375</v>
      </c>
      <c r="C104" s="669">
        <v>0.07219</v>
      </c>
      <c r="D104" s="669">
        <v>0.06677</v>
      </c>
      <c r="E104" s="669">
        <v>0.06177</v>
      </c>
      <c r="F104" s="669">
        <v>0.05713</v>
      </c>
      <c r="G104" s="669">
        <v>0.05285</v>
      </c>
      <c r="H104" s="669">
        <v>0.04888</v>
      </c>
      <c r="I104" s="669">
        <v>0.04522</v>
      </c>
      <c r="J104" s="669">
        <v>0.04462</v>
      </c>
      <c r="K104" s="669">
        <v>0.04461</v>
      </c>
      <c r="L104" s="669">
        <v>0.04462</v>
      </c>
      <c r="M104" s="669">
        <v>0.04461</v>
      </c>
      <c r="N104" s="669">
        <v>0.04462</v>
      </c>
      <c r="O104" s="669">
        <v>0.04461</v>
      </c>
      <c r="P104" s="669">
        <v>0.04462</v>
      </c>
      <c r="Q104" s="669">
        <v>0.04461</v>
      </c>
      <c r="R104" s="669">
        <v>0.04462</v>
      </c>
      <c r="S104" s="669">
        <v>0.04461</v>
      </c>
      <c r="T104" s="669">
        <v>0.04462</v>
      </c>
      <c r="U104" s="669">
        <v>0.04461</v>
      </c>
      <c r="V104" s="669">
        <v>0.02231</v>
      </c>
    </row>
    <row r="105" ht="15.75" customHeight="1">
      <c r="A105" s="535" t="s">
        <v>773</v>
      </c>
      <c r="B105" s="538">
        <f>1/30</f>
        <v>0.03333333333</v>
      </c>
    </row>
    <row r="106" ht="15.0" customHeight="1">
      <c r="A106" s="535" t="s">
        <v>112</v>
      </c>
      <c r="B106" s="546">
        <v>0.35</v>
      </c>
      <c r="C106" s="546">
        <v>0.35</v>
      </c>
      <c r="D106" s="546">
        <v>0.35</v>
      </c>
      <c r="E106" s="546">
        <v>0.35</v>
      </c>
      <c r="F106" s="546">
        <v>0.35</v>
      </c>
      <c r="G106" s="546">
        <v>0.35</v>
      </c>
      <c r="H106" s="546">
        <v>0.35</v>
      </c>
      <c r="I106" s="546">
        <v>0.35</v>
      </c>
      <c r="J106" s="546">
        <v>0.35</v>
      </c>
      <c r="K106" s="546">
        <v>0.35</v>
      </c>
      <c r="L106" s="546">
        <v>0.35</v>
      </c>
      <c r="M106" s="546">
        <v>0.35</v>
      </c>
      <c r="N106" s="546">
        <v>0.35</v>
      </c>
      <c r="O106" s="546">
        <v>0.35</v>
      </c>
      <c r="P106" s="546">
        <v>0.35</v>
      </c>
      <c r="Q106" s="546">
        <v>0.35</v>
      </c>
      <c r="R106" s="546">
        <v>0.35</v>
      </c>
      <c r="S106" s="546">
        <v>0.35</v>
      </c>
      <c r="T106" s="546">
        <v>0.21</v>
      </c>
      <c r="U106" s="546">
        <v>0.21</v>
      </c>
      <c r="V106" s="547">
        <v>0.21</v>
      </c>
      <c r="W106" s="208">
        <f t="shared" ref="W106:AZ106" si="45">V106</f>
        <v>0.21</v>
      </c>
      <c r="X106" s="208">
        <f t="shared" si="45"/>
        <v>0.21</v>
      </c>
      <c r="Y106" s="208">
        <f t="shared" si="45"/>
        <v>0.21</v>
      </c>
      <c r="Z106" s="208">
        <f t="shared" si="45"/>
        <v>0.21</v>
      </c>
      <c r="AA106" s="208">
        <f t="shared" si="45"/>
        <v>0.21</v>
      </c>
      <c r="AB106" s="208">
        <f t="shared" si="45"/>
        <v>0.21</v>
      </c>
      <c r="AC106" s="208">
        <f t="shared" si="45"/>
        <v>0.21</v>
      </c>
      <c r="AD106" s="208">
        <f t="shared" si="45"/>
        <v>0.21</v>
      </c>
      <c r="AE106" s="208">
        <f t="shared" si="45"/>
        <v>0.21</v>
      </c>
      <c r="AF106" s="208">
        <f t="shared" si="45"/>
        <v>0.21</v>
      </c>
      <c r="AG106" s="208">
        <f t="shared" si="45"/>
        <v>0.21</v>
      </c>
      <c r="AH106" s="208">
        <f t="shared" si="45"/>
        <v>0.21</v>
      </c>
      <c r="AI106" s="208">
        <f t="shared" si="45"/>
        <v>0.21</v>
      </c>
      <c r="AJ106" s="208">
        <f t="shared" si="45"/>
        <v>0.21</v>
      </c>
      <c r="AK106" s="208">
        <f t="shared" si="45"/>
        <v>0.21</v>
      </c>
      <c r="AL106" s="208">
        <f t="shared" si="45"/>
        <v>0.21</v>
      </c>
      <c r="AM106" s="208">
        <f t="shared" si="45"/>
        <v>0.21</v>
      </c>
      <c r="AN106" s="208">
        <f t="shared" si="45"/>
        <v>0.21</v>
      </c>
      <c r="AO106" s="208">
        <f t="shared" si="45"/>
        <v>0.21</v>
      </c>
      <c r="AP106" s="208">
        <f t="shared" si="45"/>
        <v>0.21</v>
      </c>
      <c r="AQ106" s="208">
        <f t="shared" si="45"/>
        <v>0.21</v>
      </c>
      <c r="AR106" s="208">
        <f t="shared" si="45"/>
        <v>0.21</v>
      </c>
      <c r="AS106" s="208">
        <f t="shared" si="45"/>
        <v>0.21</v>
      </c>
      <c r="AT106" s="208">
        <f t="shared" si="45"/>
        <v>0.21</v>
      </c>
      <c r="AU106" s="208">
        <f t="shared" si="45"/>
        <v>0.21</v>
      </c>
      <c r="AV106" s="208">
        <f t="shared" si="45"/>
        <v>0.21</v>
      </c>
      <c r="AW106" s="208">
        <f t="shared" si="45"/>
        <v>0.21</v>
      </c>
      <c r="AX106" s="208">
        <f t="shared" si="45"/>
        <v>0.21</v>
      </c>
      <c r="AY106" s="208">
        <f t="shared" si="45"/>
        <v>0.21</v>
      </c>
      <c r="AZ106" s="208">
        <f t="shared" si="45"/>
        <v>0.21</v>
      </c>
    </row>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c r="B118" s="268">
        <f t="shared" ref="B118:S118" si="46">89*B96/1000000000</f>
        <v>9.889574624</v>
      </c>
      <c r="C118" s="268">
        <f t="shared" si="46"/>
        <v>10.170971</v>
      </c>
      <c r="D118" s="268">
        <f t="shared" si="46"/>
        <v>10.32458268</v>
      </c>
      <c r="E118" s="268">
        <f t="shared" si="46"/>
        <v>10.38164824</v>
      </c>
      <c r="F118" s="268">
        <f t="shared" si="46"/>
        <v>10.51296115</v>
      </c>
      <c r="G118" s="268">
        <f t="shared" si="46"/>
        <v>10.68970483</v>
      </c>
      <c r="H118" s="268">
        <f t="shared" si="46"/>
        <v>10.84090995</v>
      </c>
      <c r="I118" s="268">
        <f t="shared" si="46"/>
        <v>10.97168157</v>
      </c>
      <c r="J118" s="268">
        <f t="shared" si="46"/>
        <v>11.06798171</v>
      </c>
      <c r="K118" s="268">
        <f t="shared" si="46"/>
        <v>11.08283545</v>
      </c>
      <c r="L118" s="268">
        <f t="shared" si="46"/>
        <v>11.12779558</v>
      </c>
      <c r="M118" s="268">
        <f t="shared" si="46"/>
        <v>11.16520005</v>
      </c>
      <c r="N118" s="268">
        <f t="shared" si="46"/>
        <v>11.22622201</v>
      </c>
      <c r="O118" s="268">
        <f t="shared" si="46"/>
        <v>11.30989679</v>
      </c>
      <c r="P118" s="268">
        <f t="shared" si="46"/>
        <v>11.38966909</v>
      </c>
      <c r="Q118" s="268">
        <f t="shared" si="46"/>
        <v>11.48999763</v>
      </c>
      <c r="R118" s="268">
        <f t="shared" si="46"/>
        <v>11.60155575</v>
      </c>
      <c r="S118" s="268">
        <f t="shared" si="46"/>
        <v>11.73563772</v>
      </c>
    </row>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sheetData>
  <printOptions/>
  <pageMargins bottom="0.75" footer="0.0" header="0.0" left="0.7" right="0.7" top="0.75"/>
  <pageSetup orientation="landscape"/>
  <drawing r:id="rId2"/>
  <legacyDrawing r:id="rId3"/>
  <tableParts count="1">
    <tablePart r:id="rId5"/>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1.43"/>
    <col customWidth="1" min="2" max="60" width="8.86"/>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71"/>
      <c r="B2" s="672"/>
      <c r="C2" s="494">
        <f t="shared" ref="C2:R2" si="1">B3+B4-B5+B6</f>
        <v>0.766931</v>
      </c>
      <c r="D2" s="494">
        <f t="shared" si="1"/>
        <v>0.823574</v>
      </c>
      <c r="E2" s="494">
        <f t="shared" si="1"/>
        <v>0.838442</v>
      </c>
      <c r="F2" s="494">
        <f t="shared" si="1"/>
        <v>0.775013</v>
      </c>
      <c r="G2" s="494">
        <f t="shared" si="1"/>
        <v>0.802994</v>
      </c>
      <c r="H2" s="494">
        <f t="shared" si="1"/>
        <v>0.821751</v>
      </c>
      <c r="I2" s="494">
        <f t="shared" si="1"/>
        <v>0.857194</v>
      </c>
      <c r="J2" s="494">
        <f t="shared" si="1"/>
        <v>0.962298</v>
      </c>
      <c r="K2" s="494">
        <f t="shared" si="1"/>
        <v>1.03802</v>
      </c>
      <c r="L2" s="494">
        <f t="shared" si="1"/>
        <v>1.141952</v>
      </c>
      <c r="M2" s="494">
        <f t="shared" si="1"/>
        <v>1.127174</v>
      </c>
      <c r="N2" s="494">
        <f t="shared" si="1"/>
        <v>1.272691</v>
      </c>
      <c r="O2" s="494">
        <f t="shared" si="1"/>
        <v>1.926722</v>
      </c>
      <c r="P2" s="494">
        <f t="shared" si="1"/>
        <v>2.259253</v>
      </c>
      <c r="Q2" s="494">
        <f t="shared" si="1"/>
        <v>2.756862</v>
      </c>
      <c r="R2" s="494">
        <f t="shared" si="1"/>
        <v>3.224666</v>
      </c>
      <c r="S2" s="673" t="s">
        <v>864</v>
      </c>
      <c r="T2" s="670"/>
      <c r="U2" s="670"/>
      <c r="V2" s="670"/>
      <c r="W2" s="670"/>
      <c r="X2" s="670"/>
      <c r="Y2" s="670"/>
      <c r="Z2" s="670"/>
      <c r="AA2" s="670"/>
      <c r="AB2" s="670"/>
      <c r="AC2" s="670"/>
      <c r="AD2" s="670"/>
      <c r="AE2" s="670"/>
      <c r="AF2" s="670"/>
      <c r="AG2" s="670"/>
      <c r="AH2" s="670"/>
      <c r="AI2" s="670"/>
      <c r="AJ2" s="670"/>
      <c r="AK2" s="670"/>
      <c r="AL2" s="670"/>
      <c r="AM2" s="670"/>
      <c r="AN2" s="670"/>
      <c r="AO2" s="670"/>
      <c r="AP2" s="670"/>
      <c r="AQ2" s="670"/>
      <c r="AR2" s="670"/>
      <c r="AS2" s="670"/>
      <c r="AT2" s="670"/>
      <c r="AU2" s="670"/>
      <c r="AV2" s="670"/>
      <c r="AW2" s="670"/>
      <c r="AX2" s="670"/>
      <c r="AY2" s="670"/>
      <c r="AZ2" s="670"/>
      <c r="BA2" s="670"/>
      <c r="BB2" s="670"/>
      <c r="BC2" s="670"/>
      <c r="BD2" s="670"/>
      <c r="BE2" s="670"/>
      <c r="BF2" s="670"/>
      <c r="BG2" s="670"/>
      <c r="BH2" s="670"/>
    </row>
    <row r="3">
      <c r="A3" s="674" t="s">
        <v>865</v>
      </c>
      <c r="B3" s="672">
        <v>0.781947</v>
      </c>
      <c r="C3" s="672">
        <v>0.770892</v>
      </c>
      <c r="D3" s="672">
        <v>0.872599</v>
      </c>
      <c r="E3" s="672">
        <v>0.825306</v>
      </c>
      <c r="F3" s="672">
        <v>0.684923</v>
      </c>
      <c r="G3" s="672">
        <v>0.797455</v>
      </c>
      <c r="H3" s="672">
        <v>0.834441</v>
      </c>
      <c r="I3" s="672">
        <v>0.853351</v>
      </c>
      <c r="J3" s="672">
        <v>0.960146</v>
      </c>
      <c r="K3" s="672">
        <v>1.038058</v>
      </c>
      <c r="L3" s="672">
        <v>1.139646</v>
      </c>
      <c r="M3" s="672">
        <v>1.151108</v>
      </c>
      <c r="N3" s="672">
        <v>1.380293</v>
      </c>
      <c r="O3" s="672">
        <v>1.926246</v>
      </c>
      <c r="P3" s="672">
        <v>2.244048</v>
      </c>
      <c r="Q3" s="672">
        <v>2.583063</v>
      </c>
      <c r="R3" s="672">
        <v>3.296882</v>
      </c>
      <c r="T3" s="670"/>
      <c r="U3" s="670"/>
      <c r="V3" s="670"/>
      <c r="W3" s="670"/>
      <c r="X3" s="670"/>
      <c r="Y3" s="670"/>
      <c r="Z3" s="670"/>
      <c r="AA3" s="670"/>
      <c r="AB3" s="670"/>
      <c r="AC3" s="670"/>
      <c r="AD3" s="670"/>
      <c r="AE3" s="670"/>
      <c r="AF3" s="670"/>
      <c r="AG3" s="670"/>
      <c r="AH3" s="670"/>
      <c r="AI3" s="670"/>
      <c r="AJ3" s="670"/>
      <c r="AK3" s="670"/>
      <c r="AL3" s="670"/>
      <c r="AM3" s="670"/>
      <c r="AN3" s="670"/>
      <c r="AO3" s="670"/>
      <c r="AP3" s="670"/>
      <c r="AQ3" s="670"/>
      <c r="AR3" s="670"/>
      <c r="AS3" s="670"/>
      <c r="AT3" s="670"/>
      <c r="AU3" s="670"/>
      <c r="AV3" s="670"/>
      <c r="AW3" s="670"/>
      <c r="AX3" s="670"/>
      <c r="AY3" s="670"/>
      <c r="AZ3" s="670"/>
      <c r="BA3" s="670"/>
      <c r="BB3" s="670"/>
      <c r="BC3" s="670"/>
      <c r="BD3" s="670"/>
      <c r="BE3" s="670"/>
      <c r="BF3" s="670"/>
      <c r="BG3" s="670"/>
      <c r="BH3" s="670"/>
    </row>
    <row r="4">
      <c r="A4" s="674" t="s">
        <v>866</v>
      </c>
      <c r="B4" s="672">
        <v>0.028816</v>
      </c>
      <c r="C4" s="672">
        <v>0.087579</v>
      </c>
      <c r="D4" s="672">
        <v>0.056818</v>
      </c>
      <c r="E4" s="672">
        <v>0.024539</v>
      </c>
      <c r="F4" s="672">
        <v>0.198388</v>
      </c>
      <c r="G4" s="672">
        <v>0.041421</v>
      </c>
      <c r="H4" s="672">
        <v>0.042916</v>
      </c>
      <c r="I4" s="672">
        <v>0.110514</v>
      </c>
      <c r="J4" s="672">
        <v>0.104915</v>
      </c>
      <c r="K4" s="672">
        <v>0.110644</v>
      </c>
      <c r="L4" s="672">
        <v>0.11376</v>
      </c>
      <c r="M4" s="672">
        <v>0.109114</v>
      </c>
      <c r="N4" s="672">
        <v>0.420484</v>
      </c>
      <c r="O4" s="672">
        <v>0.499694</v>
      </c>
      <c r="P4" s="672">
        <v>0.477334</v>
      </c>
      <c r="Q4" s="672">
        <v>0.824506</v>
      </c>
      <c r="R4" s="672">
        <v>0.557279</v>
      </c>
      <c r="S4" s="670"/>
      <c r="T4" s="670"/>
      <c r="U4" s="670"/>
      <c r="V4" s="670"/>
      <c r="W4" s="670"/>
      <c r="X4" s="670"/>
      <c r="Y4" s="670"/>
      <c r="Z4" s="670"/>
      <c r="AA4" s="670"/>
      <c r="AB4" s="670"/>
      <c r="AC4" s="670"/>
      <c r="AD4" s="670"/>
      <c r="AE4" s="670"/>
      <c r="AF4" s="670"/>
      <c r="AG4" s="670"/>
      <c r="AH4" s="670"/>
      <c r="AI4" s="670"/>
      <c r="AJ4" s="670"/>
      <c r="AK4" s="670"/>
      <c r="AL4" s="670"/>
      <c r="AM4" s="670"/>
      <c r="AN4" s="670"/>
      <c r="AO4" s="670"/>
      <c r="AP4" s="670"/>
      <c r="AQ4" s="670"/>
      <c r="AR4" s="670"/>
      <c r="AS4" s="670"/>
      <c r="AT4" s="670"/>
      <c r="AU4" s="670"/>
      <c r="AV4" s="670"/>
      <c r="AW4" s="670"/>
      <c r="AX4" s="670"/>
      <c r="AY4" s="670"/>
      <c r="AZ4" s="670"/>
      <c r="BA4" s="670"/>
      <c r="BB4" s="670"/>
      <c r="BC4" s="670"/>
      <c r="BD4" s="670"/>
      <c r="BE4" s="670"/>
      <c r="BF4" s="670"/>
      <c r="BG4" s="670"/>
      <c r="BH4" s="670"/>
    </row>
    <row r="5">
      <c r="A5" s="674" t="s">
        <v>867</v>
      </c>
      <c r="B5" s="672">
        <v>0.038592</v>
      </c>
      <c r="C5" s="672">
        <v>0.038571</v>
      </c>
      <c r="D5" s="672">
        <v>0.057065</v>
      </c>
      <c r="E5" s="672">
        <v>0.071832</v>
      </c>
      <c r="F5" s="672">
        <v>0.039987</v>
      </c>
      <c r="G5" s="672">
        <v>0.016865</v>
      </c>
      <c r="H5" s="672">
        <v>0.021786</v>
      </c>
      <c r="I5" s="672">
        <v>0.05585</v>
      </c>
      <c r="J5" s="672">
        <v>0.027151</v>
      </c>
      <c r="K5" s="672">
        <v>0.009588</v>
      </c>
      <c r="L5" s="672">
        <v>0.126879</v>
      </c>
      <c r="M5" s="672">
        <v>0.023699</v>
      </c>
      <c r="N5" s="672">
        <v>0.007794</v>
      </c>
      <c r="O5" s="672">
        <v>0.018077</v>
      </c>
      <c r="P5" s="672">
        <v>0.006806</v>
      </c>
      <c r="Q5" s="672">
        <v>0.151773</v>
      </c>
      <c r="R5" s="672">
        <v>0.050451</v>
      </c>
      <c r="S5" s="670"/>
      <c r="T5" s="670"/>
      <c r="U5" s="670"/>
      <c r="V5" s="670"/>
      <c r="W5" s="670"/>
      <c r="X5" s="670"/>
      <c r="Y5" s="675" t="s">
        <v>868</v>
      </c>
      <c r="Z5" s="670"/>
      <c r="AA5" s="670"/>
      <c r="AB5" s="670"/>
      <c r="AC5" s="670"/>
      <c r="AD5" s="670"/>
      <c r="AE5" s="670"/>
      <c r="AF5" s="670"/>
      <c r="AG5" s="670"/>
      <c r="AH5" s="670"/>
      <c r="AI5" s="670"/>
      <c r="AJ5" s="670"/>
      <c r="AK5" s="670"/>
      <c r="AL5" s="670"/>
      <c r="AM5" s="670"/>
      <c r="AN5" s="670"/>
      <c r="AO5" s="670"/>
      <c r="AP5" s="670"/>
      <c r="AQ5" s="670"/>
      <c r="AR5" s="670"/>
      <c r="AS5" s="670"/>
      <c r="AT5" s="670"/>
      <c r="AU5" s="670"/>
      <c r="AV5" s="670"/>
      <c r="AW5" s="670"/>
      <c r="AX5" s="670"/>
      <c r="AY5" s="670"/>
      <c r="AZ5" s="670"/>
      <c r="BA5" s="670"/>
      <c r="BB5" s="670"/>
      <c r="BC5" s="670"/>
      <c r="BD5" s="670"/>
      <c r="BE5" s="670"/>
      <c r="BF5" s="670"/>
      <c r="BG5" s="670"/>
      <c r="BH5" s="670"/>
    </row>
    <row r="6">
      <c r="A6" s="674" t="s">
        <v>869</v>
      </c>
      <c r="B6" s="672">
        <v>-0.00524</v>
      </c>
      <c r="C6" s="672">
        <v>0.003674</v>
      </c>
      <c r="D6" s="672">
        <v>-0.03391</v>
      </c>
      <c r="E6" s="672">
        <v>-0.003</v>
      </c>
      <c r="F6" s="672">
        <v>-0.04033</v>
      </c>
      <c r="G6" s="672">
        <v>-2.6E-4</v>
      </c>
      <c r="H6" s="672">
        <v>0.001623</v>
      </c>
      <c r="I6" s="672">
        <v>0.054283</v>
      </c>
      <c r="J6" s="672">
        <v>1.1E-4</v>
      </c>
      <c r="K6" s="672">
        <v>0.002838</v>
      </c>
      <c r="L6" s="672">
        <v>6.47E-4</v>
      </c>
      <c r="M6" s="672">
        <v>0.036168</v>
      </c>
      <c r="N6" s="672">
        <v>0.133739</v>
      </c>
      <c r="O6" s="672">
        <v>-0.14861</v>
      </c>
      <c r="P6" s="672">
        <v>0.042286</v>
      </c>
      <c r="Q6" s="672">
        <v>-0.03113</v>
      </c>
      <c r="R6" s="672">
        <v>0.009742</v>
      </c>
      <c r="S6" s="670"/>
      <c r="T6" s="670"/>
      <c r="U6" s="670"/>
      <c r="V6" s="670"/>
      <c r="W6" s="670"/>
      <c r="X6" s="670"/>
      <c r="Y6" s="670"/>
      <c r="Z6" s="670"/>
      <c r="AA6" s="670"/>
      <c r="AB6" s="670"/>
      <c r="AC6" s="670"/>
      <c r="AD6" s="670"/>
      <c r="AE6" s="670"/>
      <c r="AF6" s="670"/>
      <c r="AG6" s="670"/>
      <c r="AH6" s="670"/>
      <c r="AI6" s="670"/>
      <c r="AJ6" s="670"/>
      <c r="AK6" s="670"/>
      <c r="AL6" s="670"/>
      <c r="AM6" s="670"/>
      <c r="AN6" s="670"/>
      <c r="AO6" s="670"/>
      <c r="AP6" s="670"/>
      <c r="AQ6" s="670"/>
      <c r="AR6" s="670"/>
      <c r="AS6" s="670"/>
      <c r="AT6" s="670"/>
      <c r="AU6" s="670"/>
      <c r="AV6" s="670"/>
      <c r="AW6" s="670"/>
      <c r="AX6" s="670"/>
      <c r="AY6" s="670"/>
      <c r="AZ6" s="670"/>
      <c r="BA6" s="670"/>
      <c r="BB6" s="670"/>
      <c r="BC6" s="670"/>
      <c r="BD6" s="670"/>
      <c r="BE6" s="670"/>
      <c r="BF6" s="670"/>
      <c r="BG6" s="670"/>
      <c r="BH6" s="670"/>
    </row>
    <row r="7">
      <c r="A7" s="676" t="s">
        <v>870</v>
      </c>
      <c r="B7" s="454">
        <v>0.174865384</v>
      </c>
      <c r="C7" s="454">
        <v>0.187716609</v>
      </c>
      <c r="D7" s="454">
        <v>0.17360095</v>
      </c>
      <c r="E7" s="454">
        <v>0.155705036</v>
      </c>
      <c r="F7" s="454">
        <v>0.118924756</v>
      </c>
      <c r="G7" s="454">
        <v>0.117861408</v>
      </c>
      <c r="H7" s="454">
        <v>0.115729488</v>
      </c>
      <c r="I7" s="454">
        <v>0.139672836</v>
      </c>
      <c r="J7" s="454">
        <v>0.148171138</v>
      </c>
      <c r="K7" s="454">
        <v>0.184162747</v>
      </c>
      <c r="L7" s="454">
        <v>0.18565095</v>
      </c>
      <c r="M7" s="454">
        <v>0.226574973</v>
      </c>
      <c r="N7" s="454">
        <v>0.330541285</v>
      </c>
      <c r="O7" s="454">
        <v>0.388394352</v>
      </c>
      <c r="P7" s="454">
        <v>0.490407988</v>
      </c>
      <c r="Q7" s="454">
        <v>0.480271447</v>
      </c>
      <c r="R7" s="454">
        <v>0.542665757</v>
      </c>
    </row>
    <row r="8">
      <c r="A8" s="676" t="s">
        <v>871</v>
      </c>
      <c r="B8" s="454">
        <v>0.005179784</v>
      </c>
      <c r="C8" s="454">
        <v>0.052272158</v>
      </c>
      <c r="D8" s="454">
        <v>0.013496766</v>
      </c>
      <c r="E8" s="454">
        <v>0.056672142</v>
      </c>
      <c r="F8" s="454">
        <v>0.011771668</v>
      </c>
      <c r="G8" s="454">
        <v>0.693453717</v>
      </c>
      <c r="H8" s="454">
        <v>0.011003299</v>
      </c>
      <c r="I8" s="454">
        <v>4.89647E-4</v>
      </c>
      <c r="J8" s="454">
        <v>0.001265095</v>
      </c>
      <c r="K8" s="454">
        <v>0.009569382</v>
      </c>
      <c r="L8" s="454">
        <v>0.035347482</v>
      </c>
      <c r="M8" s="454">
        <v>8.09873E-4</v>
      </c>
      <c r="N8" s="454">
        <v>8.87147E-4</v>
      </c>
      <c r="O8" s="454">
        <v>0.006825814</v>
      </c>
      <c r="P8" s="454">
        <v>0.002085086</v>
      </c>
      <c r="Q8" s="454">
        <v>0.002326821</v>
      </c>
      <c r="R8" s="454">
        <v>0.004857052</v>
      </c>
    </row>
    <row r="9">
      <c r="A9" s="676" t="s">
        <v>872</v>
      </c>
      <c r="B9" s="454">
        <v>0.078427744</v>
      </c>
      <c r="C9" s="454">
        <v>0.098151913</v>
      </c>
      <c r="D9" s="454">
        <v>0.087350766</v>
      </c>
      <c r="E9" s="454">
        <v>0.084484965</v>
      </c>
      <c r="F9" s="454">
        <v>0.031270324</v>
      </c>
      <c r="G9" s="454">
        <v>0.034692195</v>
      </c>
      <c r="H9" s="454">
        <v>0.443750156</v>
      </c>
      <c r="I9" s="454">
        <v>2.347074744</v>
      </c>
      <c r="J9" s="454">
        <v>7.526289327</v>
      </c>
      <c r="K9" s="454">
        <v>0.091641356</v>
      </c>
      <c r="L9" s="454">
        <v>0.063429055</v>
      </c>
      <c r="M9" s="454">
        <v>0.080415605</v>
      </c>
      <c r="N9" s="454">
        <v>0.090647265</v>
      </c>
      <c r="O9" s="454">
        <v>0.116362548</v>
      </c>
      <c r="P9" s="454">
        <v>0.121340096</v>
      </c>
      <c r="Q9" s="454">
        <v>0.086348015</v>
      </c>
      <c r="R9" s="454">
        <v>0.096358811</v>
      </c>
    </row>
    <row r="10">
      <c r="A10" s="676" t="s">
        <v>873</v>
      </c>
      <c r="B10" s="454">
        <v>0.001530307</v>
      </c>
      <c r="C10" s="454">
        <v>0.0</v>
      </c>
      <c r="D10" s="454">
        <v>0.0</v>
      </c>
      <c r="E10" s="454">
        <v>0.0</v>
      </c>
      <c r="F10" s="454">
        <v>0.0</v>
      </c>
      <c r="G10" s="454">
        <v>0.0</v>
      </c>
      <c r="H10" s="454">
        <v>0.0</v>
      </c>
      <c r="I10" s="454">
        <v>0.0</v>
      </c>
      <c r="J10" s="454">
        <v>0.0</v>
      </c>
      <c r="K10" s="454">
        <v>0.0</v>
      </c>
      <c r="L10" s="454">
        <v>0.0</v>
      </c>
      <c r="M10" s="454">
        <v>0.0</v>
      </c>
      <c r="N10" s="454">
        <v>0.0</v>
      </c>
      <c r="O10" s="454">
        <v>0.0</v>
      </c>
      <c r="P10" s="454">
        <v>0.0</v>
      </c>
      <c r="Q10" s="454">
        <v>0.0</v>
      </c>
      <c r="R10" s="454">
        <v>0.0</v>
      </c>
    </row>
    <row r="11">
      <c r="A11" s="676" t="s">
        <v>874</v>
      </c>
      <c r="B11" s="454">
        <v>0.075911079</v>
      </c>
      <c r="C11" s="454">
        <v>0.089139422</v>
      </c>
      <c r="D11" s="454">
        <v>0.084109663</v>
      </c>
      <c r="E11" s="454">
        <v>0.073912033</v>
      </c>
      <c r="F11" s="454">
        <v>0.041929342</v>
      </c>
      <c r="G11" s="454">
        <v>0.05094358</v>
      </c>
      <c r="H11" s="454">
        <v>0.043741889</v>
      </c>
      <c r="I11" s="454">
        <v>0.076229037</v>
      </c>
      <c r="J11" s="454">
        <v>0.067245165</v>
      </c>
      <c r="K11" s="454">
        <v>0.04156918</v>
      </c>
      <c r="L11" s="454">
        <v>0.065388281</v>
      </c>
      <c r="M11" s="454">
        <v>0.083086494</v>
      </c>
      <c r="N11" s="454">
        <v>0.070053352</v>
      </c>
      <c r="O11" s="454">
        <v>0.116505612</v>
      </c>
      <c r="P11" s="454">
        <v>0.102074752</v>
      </c>
      <c r="Q11" s="454">
        <v>0.115037047</v>
      </c>
      <c r="R11" s="454">
        <v>0.66425008</v>
      </c>
    </row>
    <row r="12">
      <c r="A12" s="676" t="s">
        <v>875</v>
      </c>
      <c r="B12" s="454">
        <v>0.00578477</v>
      </c>
      <c r="C12" s="454">
        <v>0.0</v>
      </c>
      <c r="D12" s="454">
        <v>0.0</v>
      </c>
      <c r="E12" s="454">
        <v>0.0</v>
      </c>
      <c r="F12" s="454">
        <v>0.0</v>
      </c>
      <c r="G12" s="454">
        <v>0.0</v>
      </c>
      <c r="H12" s="454">
        <v>0.0</v>
      </c>
      <c r="I12" s="454">
        <v>0.0</v>
      </c>
      <c r="J12" s="454">
        <v>0.0</v>
      </c>
      <c r="K12" s="454">
        <v>0.0</v>
      </c>
      <c r="L12" s="454">
        <v>0.0</v>
      </c>
      <c r="M12" s="454">
        <v>0.0</v>
      </c>
      <c r="N12" s="454">
        <v>0.0</v>
      </c>
      <c r="O12" s="454">
        <v>0.0</v>
      </c>
      <c r="P12" s="454">
        <v>0.0</v>
      </c>
      <c r="Q12" s="454">
        <v>0.0</v>
      </c>
      <c r="R12" s="454">
        <v>0.0</v>
      </c>
    </row>
    <row r="13">
      <c r="C13" s="494">
        <f t="shared" ref="C13:R13" si="2">B14+B15-B16+B17</f>
        <v>32.57401673</v>
      </c>
      <c r="D13" s="494">
        <f t="shared" si="2"/>
        <v>30.90883375</v>
      </c>
      <c r="E13" s="494">
        <f t="shared" si="2"/>
        <v>33.9215089</v>
      </c>
      <c r="F13" s="494">
        <f t="shared" si="2"/>
        <v>30.92394741</v>
      </c>
      <c r="G13" s="494">
        <f t="shared" si="2"/>
        <v>32.33231768</v>
      </c>
      <c r="H13" s="494">
        <f t="shared" si="2"/>
        <v>33.80670597</v>
      </c>
      <c r="I13" s="494">
        <f t="shared" si="2"/>
        <v>37.85295357</v>
      </c>
      <c r="J13" s="494">
        <f t="shared" si="2"/>
        <v>37.25064252</v>
      </c>
      <c r="K13" s="494">
        <f t="shared" si="2"/>
        <v>40.89557356</v>
      </c>
      <c r="L13" s="494">
        <f t="shared" si="2"/>
        <v>43.62975562</v>
      </c>
      <c r="M13" s="494">
        <f t="shared" si="2"/>
        <v>49.40459205</v>
      </c>
      <c r="N13" s="494">
        <f t="shared" si="2"/>
        <v>52.53987933</v>
      </c>
      <c r="O13" s="494">
        <f t="shared" si="2"/>
        <v>56.89657693</v>
      </c>
      <c r="P13" s="494">
        <f t="shared" si="2"/>
        <v>63.58106716</v>
      </c>
      <c r="Q13" s="494">
        <f t="shared" si="2"/>
        <v>82.90866113</v>
      </c>
      <c r="R13" s="494">
        <f t="shared" si="2"/>
        <v>94.45549746</v>
      </c>
      <c r="S13" s="673" t="s">
        <v>864</v>
      </c>
    </row>
    <row r="14">
      <c r="A14" s="676" t="s">
        <v>876</v>
      </c>
      <c r="B14" s="672">
        <v>31.68996508</v>
      </c>
      <c r="C14" s="672">
        <v>29.98317852</v>
      </c>
      <c r="D14" s="672">
        <v>33.03055561</v>
      </c>
      <c r="E14" s="672">
        <v>29.57211783</v>
      </c>
      <c r="F14" s="672">
        <v>30.63664854</v>
      </c>
      <c r="G14" s="672">
        <v>31.94318748</v>
      </c>
      <c r="H14" s="672">
        <v>36.46854176</v>
      </c>
      <c r="I14" s="672">
        <v>35.22025165</v>
      </c>
      <c r="J14" s="672">
        <v>37.37482463</v>
      </c>
      <c r="K14" s="672">
        <v>40.39961537</v>
      </c>
      <c r="L14" s="672">
        <v>44.4071365</v>
      </c>
      <c r="M14" s="672">
        <v>49.90814579</v>
      </c>
      <c r="N14" s="672">
        <v>54.25113528</v>
      </c>
      <c r="O14" s="672">
        <v>55.7649368</v>
      </c>
      <c r="P14" s="672">
        <v>65.33513768</v>
      </c>
      <c r="Q14" s="672">
        <v>82.89386099</v>
      </c>
      <c r="R14" s="672">
        <v>92.43896778</v>
      </c>
    </row>
    <row r="15">
      <c r="A15" s="676" t="s">
        <v>877</v>
      </c>
      <c r="B15" s="672">
        <v>1.574541375</v>
      </c>
      <c r="C15" s="672">
        <v>1.449542345</v>
      </c>
      <c r="D15" s="672">
        <v>1.82814438</v>
      </c>
      <c r="E15" s="672">
        <v>1.583199522</v>
      </c>
      <c r="F15" s="672">
        <v>2.441266287</v>
      </c>
      <c r="G15" s="672">
        <v>2.105004248</v>
      </c>
      <c r="H15" s="672">
        <v>1.446789969</v>
      </c>
      <c r="I15" s="672">
        <v>2.389606838</v>
      </c>
      <c r="J15" s="672">
        <v>2.147043566</v>
      </c>
      <c r="K15" s="672">
        <v>2.888890718</v>
      </c>
      <c r="L15" s="672">
        <v>4.405909304</v>
      </c>
      <c r="M15" s="672">
        <v>2.603363213</v>
      </c>
      <c r="N15" s="672">
        <v>2.749673707</v>
      </c>
      <c r="O15" s="672">
        <v>6.252107506</v>
      </c>
      <c r="P15" s="672">
        <v>12.97798695</v>
      </c>
      <c r="Q15" s="672">
        <v>11.85772195</v>
      </c>
      <c r="R15" s="672">
        <v>8.134342502</v>
      </c>
    </row>
    <row r="16">
      <c r="A16" s="676" t="s">
        <v>878</v>
      </c>
      <c r="B16" s="672">
        <v>0.910322325</v>
      </c>
      <c r="C16" s="672">
        <v>0.530302252</v>
      </c>
      <c r="D16" s="672">
        <v>0.512074585</v>
      </c>
      <c r="E16" s="672">
        <v>0.215920258</v>
      </c>
      <c r="F16" s="672">
        <v>0.64196218</v>
      </c>
      <c r="G16" s="672">
        <v>0.682314373</v>
      </c>
      <c r="H16" s="672">
        <v>0.579770499</v>
      </c>
      <c r="I16" s="672">
        <v>0.42640882</v>
      </c>
      <c r="J16" s="672">
        <v>0.421482547</v>
      </c>
      <c r="K16" s="672">
        <v>0.376919302</v>
      </c>
      <c r="L16" s="672">
        <v>0.409570781</v>
      </c>
      <c r="M16" s="672">
        <v>0.287282165</v>
      </c>
      <c r="N16" s="672">
        <v>0.247020733</v>
      </c>
      <c r="O16" s="672">
        <v>0.557907768</v>
      </c>
      <c r="P16" s="672">
        <v>0.645199671</v>
      </c>
      <c r="Q16" s="672">
        <v>0.628899494</v>
      </c>
      <c r="R16" s="672">
        <v>0.858893862</v>
      </c>
    </row>
    <row r="17">
      <c r="A17" s="676" t="s">
        <v>879</v>
      </c>
      <c r="B17" s="672">
        <v>0.219832596</v>
      </c>
      <c r="C17" s="672">
        <v>0.00641514</v>
      </c>
      <c r="D17" s="672">
        <v>-0.425116505</v>
      </c>
      <c r="E17" s="672">
        <v>-0.015449684</v>
      </c>
      <c r="F17" s="672">
        <v>-0.10363497</v>
      </c>
      <c r="G17" s="672">
        <v>0.440828615</v>
      </c>
      <c r="H17" s="672">
        <v>0.51739234</v>
      </c>
      <c r="I17" s="672">
        <v>0.067192854</v>
      </c>
      <c r="J17" s="672">
        <v>1.795187914</v>
      </c>
      <c r="K17" s="672">
        <v>0.718168832</v>
      </c>
      <c r="L17" s="672">
        <v>1.001117026</v>
      </c>
      <c r="M17" s="672">
        <v>0.315652495</v>
      </c>
      <c r="N17" s="672">
        <v>0.142788679</v>
      </c>
      <c r="O17" s="672">
        <v>2.121930621</v>
      </c>
      <c r="P17" s="672">
        <v>5.240736171</v>
      </c>
      <c r="Q17" s="672">
        <v>0.332814011</v>
      </c>
      <c r="R17" s="672">
        <v>1.465142149</v>
      </c>
    </row>
    <row r="18">
      <c r="A18" s="676" t="s">
        <v>880</v>
      </c>
      <c r="B18" s="454">
        <v>3.255309899</v>
      </c>
      <c r="C18" s="454">
        <v>3.539797783</v>
      </c>
      <c r="D18" s="454">
        <v>3.602491855</v>
      </c>
      <c r="E18" s="454">
        <v>3.325035076</v>
      </c>
      <c r="F18" s="454">
        <v>3.19306039</v>
      </c>
      <c r="G18" s="454">
        <v>3.376933734</v>
      </c>
      <c r="H18" s="454">
        <v>3.545766819</v>
      </c>
      <c r="I18" s="454">
        <v>3.912360755</v>
      </c>
      <c r="J18" s="454">
        <v>3.497811905</v>
      </c>
      <c r="K18" s="454">
        <v>4.063832647</v>
      </c>
      <c r="L18" s="454">
        <v>4.910473743</v>
      </c>
      <c r="M18" s="454">
        <v>5.702697027</v>
      </c>
      <c r="N18" s="454">
        <v>6.632956154</v>
      </c>
      <c r="O18" s="454">
        <v>7.815248833</v>
      </c>
      <c r="P18" s="454">
        <v>9.436708127</v>
      </c>
      <c r="Q18" s="454">
        <v>11.18910794</v>
      </c>
      <c r="R18" s="454">
        <v>11.37760753</v>
      </c>
    </row>
    <row r="19">
      <c r="A19" s="676" t="s">
        <v>881</v>
      </c>
      <c r="B19" s="454">
        <v>3.330544435</v>
      </c>
      <c r="C19" s="454">
        <v>3.521736221</v>
      </c>
      <c r="D19" s="454">
        <v>3.638704312</v>
      </c>
      <c r="E19" s="454">
        <v>3.681197439</v>
      </c>
      <c r="F19" s="454">
        <v>3.789413886</v>
      </c>
      <c r="G19" s="454">
        <v>3.197197742</v>
      </c>
      <c r="H19" s="454">
        <v>4.172492468</v>
      </c>
      <c r="I19" s="454">
        <v>4.47995985</v>
      </c>
      <c r="J19" s="454">
        <v>4.632761854</v>
      </c>
      <c r="K19" s="454">
        <v>4.860201261</v>
      </c>
      <c r="L19" s="454">
        <v>5.105084525</v>
      </c>
      <c r="M19" s="454">
        <v>5.413288358</v>
      </c>
      <c r="N19" s="454">
        <v>5.767653165</v>
      </c>
      <c r="O19" s="454">
        <v>6.351389572</v>
      </c>
      <c r="P19" s="454">
        <v>7.258083673</v>
      </c>
      <c r="Q19" s="454">
        <v>8.048577236</v>
      </c>
      <c r="R19" s="454">
        <v>8.770927572</v>
      </c>
    </row>
    <row r="20">
      <c r="A20" s="676" t="s">
        <v>882</v>
      </c>
      <c r="B20" s="454">
        <v>1.112751013</v>
      </c>
      <c r="C20" s="454">
        <v>1.275763023</v>
      </c>
      <c r="D20" s="454">
        <v>1.195476834</v>
      </c>
      <c r="E20" s="454">
        <v>1.174501007</v>
      </c>
      <c r="F20" s="454">
        <v>0.719040652</v>
      </c>
      <c r="G20" s="454">
        <v>0.740467332</v>
      </c>
      <c r="H20" s="454">
        <v>0.632294716</v>
      </c>
      <c r="I20" s="454">
        <v>-1.371802502</v>
      </c>
      <c r="J20" s="454">
        <v>-6.327664651</v>
      </c>
      <c r="K20" s="454">
        <v>1.170020116</v>
      </c>
      <c r="L20" s="454">
        <v>0.882907407</v>
      </c>
      <c r="M20" s="454">
        <v>1.537400148</v>
      </c>
      <c r="N20" s="454">
        <v>1.277057438</v>
      </c>
      <c r="O20" s="454">
        <v>1.685794853</v>
      </c>
      <c r="P20" s="454">
        <v>2.047250399</v>
      </c>
      <c r="Q20" s="454">
        <v>2.125848527</v>
      </c>
      <c r="R20" s="454">
        <v>1.78234116</v>
      </c>
    </row>
    <row r="21">
      <c r="A21" s="676" t="s">
        <v>883</v>
      </c>
      <c r="B21" s="454">
        <v>0.904848956</v>
      </c>
      <c r="C21" s="454">
        <v>1.008042558</v>
      </c>
      <c r="D21" s="454">
        <v>1.093020409</v>
      </c>
      <c r="E21" s="454">
        <v>1.175476174</v>
      </c>
      <c r="F21" s="454">
        <v>0.789933552</v>
      </c>
      <c r="G21" s="454">
        <v>0.908145795</v>
      </c>
      <c r="H21" s="454">
        <v>0.992327677</v>
      </c>
      <c r="I21" s="454">
        <v>1.025388762</v>
      </c>
      <c r="J21" s="454">
        <v>0.814102337</v>
      </c>
      <c r="K21" s="454">
        <v>0.935703624</v>
      </c>
      <c r="L21" s="454">
        <v>1.215382398</v>
      </c>
      <c r="M21" s="454">
        <v>1.355898485</v>
      </c>
      <c r="N21" s="454">
        <v>1.071876932</v>
      </c>
      <c r="O21" s="454">
        <v>1.492814394</v>
      </c>
      <c r="P21" s="454">
        <v>1.425412452</v>
      </c>
      <c r="Q21" s="454">
        <v>1.40103822</v>
      </c>
      <c r="R21" s="454">
        <v>1.675166002</v>
      </c>
    </row>
    <row r="22">
      <c r="A22" s="676" t="s">
        <v>884</v>
      </c>
      <c r="B22" s="454">
        <v>1.32402692</v>
      </c>
      <c r="C22" s="454">
        <v>1.318922878</v>
      </c>
      <c r="D22" s="454">
        <v>1.385774302</v>
      </c>
      <c r="E22" s="454">
        <v>1.369522699</v>
      </c>
      <c r="F22" s="454">
        <v>0.998724988</v>
      </c>
      <c r="G22" s="454">
        <v>0.787948914</v>
      </c>
      <c r="H22" s="454">
        <v>0.783974082</v>
      </c>
      <c r="I22" s="454">
        <v>1.271282469</v>
      </c>
      <c r="J22" s="454">
        <v>1.218148944</v>
      </c>
      <c r="K22" s="454">
        <v>0.962226581</v>
      </c>
      <c r="L22" s="454">
        <v>2.119177378</v>
      </c>
      <c r="M22" s="454">
        <v>0.976468736</v>
      </c>
      <c r="N22" s="454">
        <v>1.443581408</v>
      </c>
      <c r="O22" s="454">
        <v>1.543700366</v>
      </c>
      <c r="P22" s="454">
        <v>1.576861085</v>
      </c>
      <c r="Q22" s="454">
        <v>2.076736643</v>
      </c>
      <c r="R22" s="454">
        <v>1.707702141</v>
      </c>
    </row>
    <row r="23">
      <c r="A23" s="676" t="s">
        <v>885</v>
      </c>
      <c r="B23" s="454">
        <v>0.74592158</v>
      </c>
      <c r="C23" s="454">
        <v>0.853929053</v>
      </c>
      <c r="D23" s="454">
        <v>0.916564285</v>
      </c>
      <c r="E23" s="454">
        <v>0.931153882</v>
      </c>
      <c r="F23" s="454">
        <v>0.608906313</v>
      </c>
      <c r="G23" s="454">
        <v>0.567156913</v>
      </c>
      <c r="H23" s="454">
        <v>0.561268084</v>
      </c>
      <c r="I23" s="454">
        <v>0.677267544</v>
      </c>
      <c r="J23" s="454">
        <v>0.584391279</v>
      </c>
      <c r="K23" s="454">
        <v>0.8134147</v>
      </c>
      <c r="L23" s="454">
        <v>0.799275812</v>
      </c>
      <c r="M23" s="454">
        <v>0.696816243</v>
      </c>
      <c r="N23" s="454">
        <v>0.862513291</v>
      </c>
      <c r="O23" s="454">
        <v>0.915362322</v>
      </c>
      <c r="P23" s="454">
        <v>1.136214468</v>
      </c>
      <c r="Q23" s="454">
        <v>1.149188752</v>
      </c>
      <c r="R23" s="454">
        <v>1.117297332</v>
      </c>
    </row>
    <row r="24">
      <c r="C24" s="494">
        <f t="shared" ref="C24:R24" si="3">B25+B26-B27+B28</f>
        <v>0.955832614</v>
      </c>
      <c r="D24" s="494">
        <f t="shared" si="3"/>
        <v>0.987342834</v>
      </c>
      <c r="E24" s="494">
        <f t="shared" si="3"/>
        <v>1.044317058</v>
      </c>
      <c r="F24" s="494">
        <f t="shared" si="3"/>
        <v>0.922908529</v>
      </c>
      <c r="G24" s="494">
        <f t="shared" si="3"/>
        <v>1.083584972</v>
      </c>
      <c r="H24" s="494">
        <f t="shared" si="3"/>
        <v>1.556278201</v>
      </c>
      <c r="I24" s="494">
        <f t="shared" si="3"/>
        <v>2.158984805</v>
      </c>
      <c r="J24" s="494">
        <f t="shared" si="3"/>
        <v>3.204422832</v>
      </c>
      <c r="K24" s="494">
        <f t="shared" si="3"/>
        <v>3.216750326</v>
      </c>
      <c r="L24" s="494">
        <f t="shared" si="3"/>
        <v>2.988626614</v>
      </c>
      <c r="M24" s="494">
        <f t="shared" si="3"/>
        <v>3.707849219</v>
      </c>
      <c r="N24" s="494">
        <f t="shared" si="3"/>
        <v>4.667423141</v>
      </c>
      <c r="O24" s="494">
        <f t="shared" si="3"/>
        <v>6.651388541</v>
      </c>
      <c r="P24" s="494">
        <f t="shared" si="3"/>
        <v>13.20843656</v>
      </c>
      <c r="Q24" s="494">
        <f t="shared" si="3"/>
        <v>10.35487925</v>
      </c>
      <c r="R24" s="494">
        <f t="shared" si="3"/>
        <v>7.391449309</v>
      </c>
      <c r="S24" s="673" t="s">
        <v>864</v>
      </c>
    </row>
    <row r="25">
      <c r="A25" s="676" t="s">
        <v>886</v>
      </c>
      <c r="B25" s="672">
        <v>1.0330209</v>
      </c>
      <c r="C25" s="672">
        <v>0.931512596</v>
      </c>
      <c r="D25" s="672">
        <v>1.24296857</v>
      </c>
      <c r="E25" s="672">
        <v>1.038058052</v>
      </c>
      <c r="F25" s="672">
        <v>0.918053986</v>
      </c>
      <c r="G25" s="672">
        <v>1.088897203</v>
      </c>
      <c r="H25" s="672">
        <v>1.525705386</v>
      </c>
      <c r="I25" s="672">
        <v>2.16563941</v>
      </c>
      <c r="J25" s="672">
        <v>3.48553555</v>
      </c>
      <c r="K25" s="672">
        <v>3.206629377</v>
      </c>
      <c r="L25" s="672">
        <v>2.989309047</v>
      </c>
      <c r="M25" s="672">
        <v>3.896301829</v>
      </c>
      <c r="N25" s="672">
        <v>4.676165325</v>
      </c>
      <c r="O25" s="672">
        <v>7.387153262</v>
      </c>
      <c r="P25" s="672">
        <v>13.76234671</v>
      </c>
      <c r="Q25" s="672">
        <v>10.36586779</v>
      </c>
      <c r="R25" s="672">
        <v>7.8257547</v>
      </c>
    </row>
    <row r="26">
      <c r="A26" s="676" t="s">
        <v>887</v>
      </c>
      <c r="B26" s="672">
        <v>0.091492487</v>
      </c>
      <c r="C26" s="672">
        <v>0.247341128</v>
      </c>
      <c r="D26" s="672">
        <v>-0.070626297</v>
      </c>
      <c r="E26" s="672">
        <v>0.228440516</v>
      </c>
      <c r="F26" s="672">
        <v>0.402307089</v>
      </c>
      <c r="G26" s="672">
        <v>0.639086109</v>
      </c>
      <c r="H26" s="672">
        <v>0.990787875</v>
      </c>
      <c r="I26" s="672">
        <v>2.1949181</v>
      </c>
      <c r="J26" s="672">
        <v>2.762658968</v>
      </c>
      <c r="K26" s="672">
        <v>1.054211885</v>
      </c>
      <c r="L26" s="672">
        <v>2.84795401</v>
      </c>
      <c r="M26" s="672">
        <v>1.266054634</v>
      </c>
      <c r="N26" s="672">
        <v>3.866351862</v>
      </c>
      <c r="O26" s="672">
        <v>8.567613152</v>
      </c>
      <c r="P26" s="672">
        <v>7.642763962</v>
      </c>
      <c r="Q26" s="672">
        <v>3.313683724</v>
      </c>
      <c r="R26" s="672">
        <v>1.265556518</v>
      </c>
    </row>
    <row r="27">
      <c r="A27" s="676" t="s">
        <v>888</v>
      </c>
      <c r="B27" s="672">
        <v>0.061656354</v>
      </c>
      <c r="C27" s="672">
        <v>0.075846432</v>
      </c>
      <c r="D27" s="672">
        <v>0.064111174</v>
      </c>
      <c r="E27" s="672">
        <v>0.089603886</v>
      </c>
      <c r="F27" s="672">
        <v>0.044435326</v>
      </c>
      <c r="G27" s="672">
        <v>0.03328823</v>
      </c>
      <c r="H27" s="672">
        <v>0.034730663</v>
      </c>
      <c r="I27" s="672">
        <v>0.134370763</v>
      </c>
      <c r="J27" s="672">
        <v>0.094216988</v>
      </c>
      <c r="K27" s="672">
        <v>0.184476866</v>
      </c>
      <c r="L27" s="672">
        <v>0.045709098</v>
      </c>
      <c r="M27" s="672">
        <v>0.060674494</v>
      </c>
      <c r="N27" s="672">
        <v>0.101577401</v>
      </c>
      <c r="O27" s="672">
        <v>0.10928251</v>
      </c>
      <c r="P27" s="672">
        <v>0.095134058</v>
      </c>
      <c r="Q27" s="672">
        <v>0.190329111</v>
      </c>
      <c r="R27" s="672">
        <v>0.213500986</v>
      </c>
      <c r="Y27" s="675" t="s">
        <v>889</v>
      </c>
    </row>
    <row r="28">
      <c r="A28" s="676" t="s">
        <v>890</v>
      </c>
      <c r="B28" s="672">
        <v>-0.107024419</v>
      </c>
      <c r="C28" s="672">
        <v>-0.115664458</v>
      </c>
      <c r="D28" s="672">
        <v>-0.063914041</v>
      </c>
      <c r="E28" s="672">
        <v>-0.253986153</v>
      </c>
      <c r="F28" s="672">
        <v>-0.192340777</v>
      </c>
      <c r="G28" s="672">
        <v>-0.138416881</v>
      </c>
      <c r="H28" s="672">
        <v>-0.322777793</v>
      </c>
      <c r="I28" s="672">
        <v>-1.021763915</v>
      </c>
      <c r="J28" s="672">
        <v>-2.937227204</v>
      </c>
      <c r="K28" s="672">
        <v>-1.087737782</v>
      </c>
      <c r="L28" s="672">
        <v>-2.08370474</v>
      </c>
      <c r="M28" s="672">
        <v>-0.434258828</v>
      </c>
      <c r="N28" s="672">
        <v>-1.789551245</v>
      </c>
      <c r="O28" s="672">
        <v>-2.637047349</v>
      </c>
      <c r="P28" s="672">
        <v>-10.95509736</v>
      </c>
      <c r="Q28" s="672">
        <v>-6.097773094</v>
      </c>
      <c r="R28" s="672">
        <v>-4.151471604</v>
      </c>
    </row>
    <row r="29">
      <c r="A29" s="676" t="s">
        <v>891</v>
      </c>
      <c r="B29" s="454">
        <v>0.322451073</v>
      </c>
      <c r="C29" s="454">
        <v>0.246899305</v>
      </c>
      <c r="D29" s="454">
        <v>0.271410923</v>
      </c>
      <c r="E29" s="454">
        <v>0.286724759</v>
      </c>
      <c r="F29" s="454">
        <v>0.310490466</v>
      </c>
      <c r="G29" s="454">
        <v>0.343132144</v>
      </c>
      <c r="H29" s="454">
        <v>0.413314754</v>
      </c>
      <c r="I29" s="454">
        <v>0.472672406</v>
      </c>
      <c r="J29" s="454">
        <v>0.611010789</v>
      </c>
      <c r="K29" s="454">
        <v>0.522287153</v>
      </c>
      <c r="L29" s="454">
        <v>0.612620409</v>
      </c>
      <c r="M29" s="454">
        <v>0.77238363</v>
      </c>
      <c r="N29" s="454">
        <v>0.799909698</v>
      </c>
      <c r="O29" s="454">
        <v>0.932381754</v>
      </c>
      <c r="P29" s="454">
        <v>1.494661737</v>
      </c>
      <c r="Q29" s="454">
        <v>1.666748581</v>
      </c>
      <c r="R29" s="454">
        <v>1.715248244</v>
      </c>
    </row>
    <row r="30">
      <c r="A30" s="676" t="s">
        <v>892</v>
      </c>
      <c r="B30" s="454">
        <v>0.193914157</v>
      </c>
      <c r="C30" s="454">
        <v>0.219866557</v>
      </c>
      <c r="D30" s="454">
        <v>0.241125818</v>
      </c>
      <c r="E30" s="454">
        <v>0.225597799</v>
      </c>
      <c r="F30" s="454">
        <v>0.233906285</v>
      </c>
      <c r="G30" s="454">
        <v>0.225418014</v>
      </c>
      <c r="H30" s="454">
        <v>0.281977238</v>
      </c>
      <c r="I30" s="454">
        <v>0.305200729</v>
      </c>
      <c r="J30" s="454">
        <v>0.344394344</v>
      </c>
      <c r="K30" s="454">
        <v>0.338785429</v>
      </c>
      <c r="L30" s="454">
        <v>0.361379029</v>
      </c>
      <c r="M30" s="454">
        <v>0.449557515</v>
      </c>
      <c r="N30" s="454">
        <v>0.493703523</v>
      </c>
      <c r="O30" s="454">
        <v>0.529803683</v>
      </c>
      <c r="P30" s="454">
        <v>0.632593524</v>
      </c>
      <c r="Q30" s="454">
        <v>0.683482423</v>
      </c>
      <c r="R30" s="454">
        <v>0.70766193</v>
      </c>
    </row>
    <row r="31">
      <c r="A31" s="676" t="s">
        <v>893</v>
      </c>
      <c r="B31" s="454">
        <v>0.018944876</v>
      </c>
      <c r="C31" s="454">
        <v>0.01810393</v>
      </c>
      <c r="D31" s="454">
        <v>0.022744084</v>
      </c>
      <c r="E31" s="454">
        <v>0.027049719</v>
      </c>
      <c r="F31" s="454">
        <v>0.017950946</v>
      </c>
      <c r="G31" s="454">
        <v>0.010735837</v>
      </c>
      <c r="H31" s="454">
        <v>0.01613891</v>
      </c>
      <c r="I31" s="454">
        <v>0.023890562</v>
      </c>
      <c r="J31" s="454">
        <v>0.014935682</v>
      </c>
      <c r="K31" s="454">
        <v>0.013176681</v>
      </c>
      <c r="L31" s="454">
        <v>0.009336802</v>
      </c>
      <c r="M31" s="454">
        <v>0.019139399</v>
      </c>
      <c r="N31" s="454">
        <v>0.012226798</v>
      </c>
      <c r="O31" s="454">
        <v>0.019016269</v>
      </c>
      <c r="P31" s="454">
        <v>0.029091058</v>
      </c>
      <c r="Q31" s="454">
        <v>0.02545796</v>
      </c>
      <c r="R31" s="454">
        <v>0.035490262</v>
      </c>
    </row>
    <row r="32">
      <c r="A32" s="676" t="s">
        <v>894</v>
      </c>
      <c r="B32" s="454">
        <v>0.201115906</v>
      </c>
      <c r="C32" s="454">
        <v>0.205826833</v>
      </c>
      <c r="D32" s="454">
        <v>0.190961208</v>
      </c>
      <c r="E32" s="454">
        <v>0.199419659</v>
      </c>
      <c r="F32" s="454">
        <v>0.03983714</v>
      </c>
      <c r="G32" s="454">
        <v>0.09712526</v>
      </c>
      <c r="H32" s="454">
        <v>0.281178568</v>
      </c>
      <c r="I32" s="454">
        <v>0.205569353</v>
      </c>
      <c r="J32" s="454">
        <v>0.147055257</v>
      </c>
      <c r="K32" s="454">
        <v>0.165259202</v>
      </c>
      <c r="L32" s="454">
        <v>0.234677927</v>
      </c>
      <c r="M32" s="454">
        <v>0.103065715</v>
      </c>
      <c r="N32" s="454">
        <v>0.103368808</v>
      </c>
      <c r="O32" s="454">
        <v>0.216463769</v>
      </c>
      <c r="P32" s="454">
        <v>0.237720482</v>
      </c>
      <c r="Q32" s="454">
        <v>0.464065338</v>
      </c>
      <c r="R32" s="454">
        <v>0.596199135</v>
      </c>
    </row>
    <row r="33">
      <c r="A33" s="676" t="s">
        <v>895</v>
      </c>
      <c r="B33" s="454">
        <v>0.020392057</v>
      </c>
      <c r="C33" s="454">
        <v>0.014581238</v>
      </c>
      <c r="D33" s="454">
        <v>0.022232855</v>
      </c>
      <c r="E33" s="454">
        <v>0.026151369</v>
      </c>
      <c r="F33" s="454">
        <v>0.017540608</v>
      </c>
      <c r="G33" s="454">
        <v>0.030641297</v>
      </c>
      <c r="H33" s="454">
        <v>0.068233522</v>
      </c>
      <c r="I33" s="454">
        <v>0.067244747</v>
      </c>
      <c r="J33" s="454">
        <v>0.027558185</v>
      </c>
      <c r="K33" s="454">
        <v>0.031022774</v>
      </c>
      <c r="L33" s="454">
        <v>0.026534145</v>
      </c>
      <c r="M33" s="454">
        <v>0.007297899</v>
      </c>
      <c r="N33" s="454">
        <v>0.014685944</v>
      </c>
      <c r="O33" s="454">
        <v>0.030634506</v>
      </c>
      <c r="P33" s="454">
        <v>0.016541777</v>
      </c>
      <c r="Q33" s="454">
        <v>0.037233662</v>
      </c>
      <c r="R33" s="454">
        <v>0.039253483</v>
      </c>
    </row>
    <row r="34">
      <c r="A34" s="676" t="s">
        <v>896</v>
      </c>
      <c r="B34" s="454">
        <v>0.186849762</v>
      </c>
      <c r="C34" s="454">
        <v>0.172547123</v>
      </c>
      <c r="D34" s="454">
        <v>0.159273915</v>
      </c>
      <c r="E34" s="454">
        <v>0.152926798</v>
      </c>
      <c r="F34" s="454">
        <v>0.058165513</v>
      </c>
      <c r="G34" s="454">
        <v>0.065193528</v>
      </c>
      <c r="H34" s="454">
        <v>0.212375015</v>
      </c>
      <c r="I34" s="454">
        <v>0.150318909</v>
      </c>
      <c r="J34" s="454">
        <v>0.101506764</v>
      </c>
      <c r="K34" s="454">
        <v>0.088906309</v>
      </c>
      <c r="L34" s="454">
        <v>0.105577955</v>
      </c>
      <c r="M34" s="454">
        <v>0.125667197</v>
      </c>
      <c r="N34" s="454">
        <v>0.176758754</v>
      </c>
      <c r="O34" s="454">
        <v>0.265639377</v>
      </c>
      <c r="P34" s="454">
        <v>0.217469421</v>
      </c>
      <c r="Q34" s="454">
        <v>0.150564359</v>
      </c>
      <c r="R34" s="454">
        <v>0.258402095</v>
      </c>
    </row>
    <row r="35">
      <c r="Y35" s="4" t="s">
        <v>897</v>
      </c>
    </row>
    <row r="36">
      <c r="A36" s="676" t="s">
        <v>898</v>
      </c>
      <c r="B36" s="454">
        <f t="shared" ref="B36:R36" si="4">sum(B3,B14,B25)</f>
        <v>33.50493298</v>
      </c>
      <c r="C36" s="454">
        <f t="shared" si="4"/>
        <v>31.68558312</v>
      </c>
      <c r="D36" s="454">
        <f t="shared" si="4"/>
        <v>35.14612318</v>
      </c>
      <c r="E36" s="454">
        <f t="shared" si="4"/>
        <v>31.43548188</v>
      </c>
      <c r="F36" s="454">
        <f t="shared" si="4"/>
        <v>32.23962553</v>
      </c>
      <c r="G36" s="454">
        <f t="shared" si="4"/>
        <v>33.82953968</v>
      </c>
      <c r="H36" s="454">
        <f t="shared" si="4"/>
        <v>38.82868815</v>
      </c>
      <c r="I36" s="454">
        <f t="shared" si="4"/>
        <v>38.23924206</v>
      </c>
      <c r="J36" s="454">
        <f t="shared" si="4"/>
        <v>41.82050618</v>
      </c>
      <c r="K36" s="454">
        <f t="shared" si="4"/>
        <v>44.64430275</v>
      </c>
      <c r="L36" s="454">
        <f t="shared" si="4"/>
        <v>48.53609155</v>
      </c>
      <c r="M36" s="454">
        <f t="shared" si="4"/>
        <v>54.95555562</v>
      </c>
      <c r="N36" s="454">
        <f t="shared" si="4"/>
        <v>60.30759361</v>
      </c>
      <c r="O36" s="454">
        <f t="shared" si="4"/>
        <v>65.07833606</v>
      </c>
      <c r="P36" s="454">
        <f t="shared" si="4"/>
        <v>81.34153239</v>
      </c>
      <c r="Q36" s="454">
        <f t="shared" si="4"/>
        <v>95.84279178</v>
      </c>
      <c r="R36" s="454">
        <f t="shared" si="4"/>
        <v>103.5616045</v>
      </c>
      <c r="S36" s="454">
        <f t="shared" ref="S36:AZ36" si="5">R36+R37-R38+R39</f>
        <v>109.7193492</v>
      </c>
      <c r="T36" s="454">
        <f t="shared" si="5"/>
        <v>119.8041745</v>
      </c>
      <c r="U36" s="454">
        <f t="shared" si="5"/>
        <v>129.7636239</v>
      </c>
      <c r="V36" s="454">
        <f t="shared" si="5"/>
        <v>139.4193997</v>
      </c>
      <c r="W36" s="454">
        <f t="shared" si="5"/>
        <v>148.7463654</v>
      </c>
      <c r="X36" s="454">
        <f t="shared" si="5"/>
        <v>157.8503299</v>
      </c>
      <c r="Y36" s="454">
        <f t="shared" si="5"/>
        <v>166.8721361</v>
      </c>
      <c r="Z36" s="454">
        <f t="shared" si="5"/>
        <v>175.8856892</v>
      </c>
      <c r="AA36" s="454">
        <f t="shared" si="5"/>
        <v>184.7954272</v>
      </c>
      <c r="AB36" s="454">
        <f t="shared" si="5"/>
        <v>193.6765177</v>
      </c>
      <c r="AC36" s="454">
        <f t="shared" si="5"/>
        <v>202.4921817</v>
      </c>
      <c r="AD36" s="454">
        <f t="shared" si="5"/>
        <v>211.1697695</v>
      </c>
      <c r="AE36" s="454">
        <f t="shared" si="5"/>
        <v>219.8210072</v>
      </c>
      <c r="AF36" s="454">
        <f t="shared" si="5"/>
        <v>228.4081657</v>
      </c>
      <c r="AG36" s="454">
        <f t="shared" si="5"/>
        <v>236.9463246</v>
      </c>
      <c r="AH36" s="454">
        <f t="shared" si="5"/>
        <v>245.4501265</v>
      </c>
      <c r="AI36" s="454">
        <f t="shared" si="5"/>
        <v>253.9759964</v>
      </c>
      <c r="AJ36" s="454">
        <f t="shared" si="5"/>
        <v>262.5406959</v>
      </c>
      <c r="AK36" s="454">
        <f t="shared" si="5"/>
        <v>271.1246243</v>
      </c>
      <c r="AL36" s="454">
        <f t="shared" si="5"/>
        <v>279.7601656</v>
      </c>
      <c r="AM36" s="454">
        <f t="shared" si="5"/>
        <v>288.4574654</v>
      </c>
      <c r="AN36" s="454">
        <f t="shared" si="5"/>
        <v>297.2251736</v>
      </c>
      <c r="AO36" s="454">
        <f t="shared" si="5"/>
        <v>306.0373389</v>
      </c>
      <c r="AP36" s="454">
        <f t="shared" si="5"/>
        <v>314.8884089</v>
      </c>
      <c r="AQ36" s="454">
        <f t="shared" si="5"/>
        <v>323.7801311</v>
      </c>
      <c r="AR36" s="454">
        <f t="shared" si="5"/>
        <v>332.6839941</v>
      </c>
      <c r="AS36" s="454">
        <f t="shared" si="5"/>
        <v>341.6168977</v>
      </c>
      <c r="AT36" s="454">
        <f t="shared" si="5"/>
        <v>350.5931571</v>
      </c>
      <c r="AU36" s="454">
        <f t="shared" si="5"/>
        <v>359.6093788</v>
      </c>
      <c r="AV36" s="454">
        <f t="shared" si="5"/>
        <v>368.6956496</v>
      </c>
      <c r="AW36" s="454">
        <f t="shared" si="5"/>
        <v>377.8351819</v>
      </c>
      <c r="AX36" s="454">
        <f t="shared" si="5"/>
        <v>387.016058</v>
      </c>
      <c r="AY36" s="454">
        <f t="shared" si="5"/>
        <v>396.2372897</v>
      </c>
      <c r="AZ36" s="454">
        <f t="shared" si="5"/>
        <v>405.5302576</v>
      </c>
    </row>
    <row r="37">
      <c r="A37" s="676" t="s">
        <v>899</v>
      </c>
      <c r="B37" s="454">
        <f t="shared" ref="B37:R37" si="6">sum(B4,B15,B26)</f>
        <v>1.694849862</v>
      </c>
      <c r="C37" s="454">
        <f t="shared" si="6"/>
        <v>1.784462473</v>
      </c>
      <c r="D37" s="454">
        <f t="shared" si="6"/>
        <v>1.814336083</v>
      </c>
      <c r="E37" s="454">
        <f t="shared" si="6"/>
        <v>1.836179038</v>
      </c>
      <c r="F37" s="454">
        <f t="shared" si="6"/>
        <v>3.041961376</v>
      </c>
      <c r="G37" s="454">
        <f t="shared" si="6"/>
        <v>2.785511357</v>
      </c>
      <c r="H37" s="454">
        <f t="shared" si="6"/>
        <v>2.480493844</v>
      </c>
      <c r="I37" s="454">
        <f t="shared" si="6"/>
        <v>4.695038938</v>
      </c>
      <c r="J37" s="454">
        <f t="shared" si="6"/>
        <v>5.014617534</v>
      </c>
      <c r="K37" s="454">
        <f t="shared" si="6"/>
        <v>4.053746603</v>
      </c>
      <c r="L37" s="454">
        <f t="shared" si="6"/>
        <v>7.367623314</v>
      </c>
      <c r="M37" s="454">
        <f t="shared" si="6"/>
        <v>3.978531847</v>
      </c>
      <c r="N37" s="454">
        <f t="shared" si="6"/>
        <v>7.036509569</v>
      </c>
      <c r="O37" s="454">
        <f t="shared" si="6"/>
        <v>15.31941466</v>
      </c>
      <c r="P37" s="454">
        <f t="shared" si="6"/>
        <v>21.09808491</v>
      </c>
      <c r="Q37" s="454">
        <f t="shared" si="6"/>
        <v>15.99591167</v>
      </c>
      <c r="R37" s="454">
        <f t="shared" si="6"/>
        <v>9.95717802</v>
      </c>
      <c r="S37" s="454">
        <f t="shared" ref="S37:AZ37" si="7">7.07+5.21*ln(S48)</f>
        <v>15.41270138</v>
      </c>
      <c r="T37" s="454">
        <f t="shared" si="7"/>
        <v>16.7937109</v>
      </c>
      <c r="U37" s="454">
        <f t="shared" si="7"/>
        <v>17.65646202</v>
      </c>
      <c r="V37" s="454">
        <f t="shared" si="7"/>
        <v>18.24625062</v>
      </c>
      <c r="W37" s="454">
        <f t="shared" si="7"/>
        <v>18.52469946</v>
      </c>
      <c r="X37" s="454">
        <f t="shared" si="7"/>
        <v>18.580221</v>
      </c>
      <c r="Y37" s="454">
        <f t="shared" si="7"/>
        <v>18.57782792</v>
      </c>
      <c r="Z37" s="454">
        <f t="shared" si="7"/>
        <v>18.70958746</v>
      </c>
      <c r="AA37" s="454">
        <f t="shared" si="7"/>
        <v>18.77147382</v>
      </c>
      <c r="AB37" s="454">
        <f t="shared" si="7"/>
        <v>18.89892854</v>
      </c>
      <c r="AC37" s="454">
        <f t="shared" si="7"/>
        <v>19.04872572</v>
      </c>
      <c r="AD37" s="454">
        <f t="shared" si="7"/>
        <v>19.07012031</v>
      </c>
      <c r="AE37" s="454">
        <f t="shared" si="7"/>
        <v>19.13283911</v>
      </c>
      <c r="AF37" s="454">
        <f t="shared" si="7"/>
        <v>19.1787057</v>
      </c>
      <c r="AG37" s="454">
        <f t="shared" si="7"/>
        <v>19.2119958</v>
      </c>
      <c r="AH37" s="454">
        <f t="shared" si="7"/>
        <v>19.1906277</v>
      </c>
      <c r="AI37" s="454">
        <f t="shared" si="7"/>
        <v>19.15260872</v>
      </c>
      <c r="AJ37" s="454">
        <f t="shared" si="7"/>
        <v>19.13605212</v>
      </c>
      <c r="AK37" s="454">
        <f t="shared" si="7"/>
        <v>19.08207078</v>
      </c>
      <c r="AL37" s="454">
        <f t="shared" si="7"/>
        <v>19.01077325</v>
      </c>
      <c r="AM37" s="454">
        <f t="shared" si="7"/>
        <v>18.92793871</v>
      </c>
      <c r="AN37" s="454">
        <f t="shared" si="7"/>
        <v>18.8741674</v>
      </c>
      <c r="AO37" s="454">
        <f t="shared" si="7"/>
        <v>18.82670762</v>
      </c>
      <c r="AP37" s="454">
        <f t="shared" si="7"/>
        <v>18.7768759</v>
      </c>
      <c r="AQ37" s="454">
        <f t="shared" si="7"/>
        <v>18.76246579</v>
      </c>
      <c r="AR37" s="454">
        <f t="shared" si="7"/>
        <v>18.72635441</v>
      </c>
      <c r="AS37" s="454">
        <f t="shared" si="7"/>
        <v>18.67066682</v>
      </c>
      <c r="AT37" s="454">
        <f t="shared" si="7"/>
        <v>18.61759048</v>
      </c>
      <c r="AU37" s="454">
        <f t="shared" si="7"/>
        <v>18.52120718</v>
      </c>
      <c r="AV37" s="454">
        <f t="shared" si="7"/>
        <v>18.44510788</v>
      </c>
      <c r="AW37" s="454">
        <f t="shared" si="7"/>
        <v>18.38426851</v>
      </c>
      <c r="AX37" s="454">
        <f t="shared" si="7"/>
        <v>18.32328115</v>
      </c>
      <c r="AY37" s="454">
        <f t="shared" si="7"/>
        <v>18.21014948</v>
      </c>
      <c r="AZ37" s="454">
        <f t="shared" si="7"/>
        <v>18.1439539</v>
      </c>
    </row>
    <row r="38">
      <c r="A38" s="676" t="s">
        <v>900</v>
      </c>
      <c r="B38" s="454">
        <f t="shared" ref="B38:R38" si="8">sum(B5,B16,B27)</f>
        <v>1.010570679</v>
      </c>
      <c r="C38" s="454">
        <f t="shared" si="8"/>
        <v>0.644719684</v>
      </c>
      <c r="D38" s="454">
        <f t="shared" si="8"/>
        <v>0.633250759</v>
      </c>
      <c r="E38" s="454">
        <f t="shared" si="8"/>
        <v>0.377356144</v>
      </c>
      <c r="F38" s="454">
        <f t="shared" si="8"/>
        <v>0.726384506</v>
      </c>
      <c r="G38" s="454">
        <f t="shared" si="8"/>
        <v>0.732467603</v>
      </c>
      <c r="H38" s="454">
        <f t="shared" si="8"/>
        <v>0.636287162</v>
      </c>
      <c r="I38" s="454">
        <f t="shared" si="8"/>
        <v>0.616629583</v>
      </c>
      <c r="J38" s="454">
        <f t="shared" si="8"/>
        <v>0.542850535</v>
      </c>
      <c r="K38" s="454">
        <f t="shared" si="8"/>
        <v>0.570984168</v>
      </c>
      <c r="L38" s="454">
        <f t="shared" si="8"/>
        <v>0.582158879</v>
      </c>
      <c r="M38" s="454">
        <f t="shared" si="8"/>
        <v>0.371655659</v>
      </c>
      <c r="N38" s="454">
        <f t="shared" si="8"/>
        <v>0.356392134</v>
      </c>
      <c r="O38" s="454">
        <f t="shared" si="8"/>
        <v>0.685267278</v>
      </c>
      <c r="P38" s="454">
        <f t="shared" si="8"/>
        <v>0.747139729</v>
      </c>
      <c r="Q38" s="454">
        <f t="shared" si="8"/>
        <v>0.971001605</v>
      </c>
      <c r="R38" s="454">
        <f t="shared" si="8"/>
        <v>1.122845848</v>
      </c>
      <c r="S38" s="454">
        <f t="shared" ref="S38:AZ38" si="9">average(J38:R38)</f>
        <v>0.6611439817</v>
      </c>
      <c r="T38" s="454">
        <f t="shared" si="9"/>
        <v>0.674287698</v>
      </c>
      <c r="U38" s="454">
        <f t="shared" si="9"/>
        <v>0.685765868</v>
      </c>
      <c r="V38" s="454">
        <f t="shared" si="9"/>
        <v>0.6972777556</v>
      </c>
      <c r="W38" s="454">
        <f t="shared" si="9"/>
        <v>0.7334579886</v>
      </c>
      <c r="X38" s="454">
        <f t="shared" si="9"/>
        <v>0.7753541946</v>
      </c>
      <c r="Y38" s="454">
        <f t="shared" si="9"/>
        <v>0.785363852</v>
      </c>
      <c r="Z38" s="454">
        <f t="shared" si="9"/>
        <v>0.7896109768</v>
      </c>
      <c r="AA38" s="454">
        <f t="shared" si="9"/>
        <v>0.7694564626</v>
      </c>
      <c r="AB38" s="454">
        <f t="shared" si="9"/>
        <v>0.7301909753</v>
      </c>
      <c r="AC38" s="454">
        <f t="shared" si="9"/>
        <v>0.7378628635</v>
      </c>
      <c r="AD38" s="454">
        <f t="shared" si="9"/>
        <v>0.7449267708</v>
      </c>
      <c r="AE38" s="454">
        <f t="shared" si="9"/>
        <v>0.7515002044</v>
      </c>
      <c r="AF38" s="454">
        <f t="shared" si="9"/>
        <v>0.757524921</v>
      </c>
      <c r="AG38" s="454">
        <f t="shared" si="9"/>
        <v>0.7601990246</v>
      </c>
      <c r="AH38" s="454">
        <f t="shared" si="9"/>
        <v>0.7585151168</v>
      </c>
      <c r="AI38" s="454">
        <f t="shared" si="9"/>
        <v>0.755531924</v>
      </c>
      <c r="AJ38" s="454">
        <f t="shared" si="9"/>
        <v>0.7517453625</v>
      </c>
      <c r="AK38" s="454">
        <f t="shared" si="9"/>
        <v>0.7497774625</v>
      </c>
      <c r="AL38" s="454">
        <f t="shared" si="9"/>
        <v>0.7519537389</v>
      </c>
      <c r="AM38" s="454">
        <f t="shared" si="9"/>
        <v>0.7535193917</v>
      </c>
      <c r="AN38" s="454">
        <f t="shared" si="9"/>
        <v>0.7544741274</v>
      </c>
      <c r="AO38" s="454">
        <f t="shared" si="9"/>
        <v>0.7548045633</v>
      </c>
      <c r="AP38" s="454">
        <f t="shared" si="9"/>
        <v>0.7545023013</v>
      </c>
      <c r="AQ38" s="454">
        <f t="shared" si="9"/>
        <v>0.753869332</v>
      </c>
      <c r="AR38" s="454">
        <f t="shared" si="9"/>
        <v>0.7533531337</v>
      </c>
      <c r="AS38" s="454">
        <f t="shared" si="9"/>
        <v>0.7531110459</v>
      </c>
      <c r="AT38" s="454">
        <f t="shared" si="9"/>
        <v>0.7532627885</v>
      </c>
      <c r="AU38" s="454">
        <f t="shared" si="9"/>
        <v>0.753650047</v>
      </c>
      <c r="AV38" s="454">
        <f t="shared" si="9"/>
        <v>0.7538385257</v>
      </c>
      <c r="AW38" s="454">
        <f t="shared" si="9"/>
        <v>0.753873985</v>
      </c>
      <c r="AX38" s="454">
        <f t="shared" si="9"/>
        <v>0.7538073025</v>
      </c>
      <c r="AY38" s="454">
        <f t="shared" si="9"/>
        <v>0.7536964957</v>
      </c>
      <c r="AZ38" s="454">
        <f t="shared" si="9"/>
        <v>0.7536069618</v>
      </c>
    </row>
    <row r="39">
      <c r="A39" s="676" t="s">
        <v>901</v>
      </c>
      <c r="B39" s="454">
        <f t="shared" ref="B39:R39" si="10">sum(B6,B17,B28)</f>
        <v>0.107568177</v>
      </c>
      <c r="C39" s="454">
        <f t="shared" si="10"/>
        <v>-0.105575318</v>
      </c>
      <c r="D39" s="454">
        <f t="shared" si="10"/>
        <v>-0.522940546</v>
      </c>
      <c r="E39" s="454">
        <f t="shared" si="10"/>
        <v>-0.272435837</v>
      </c>
      <c r="F39" s="454">
        <f t="shared" si="10"/>
        <v>-0.336305747</v>
      </c>
      <c r="G39" s="454">
        <f t="shared" si="10"/>
        <v>0.302151734</v>
      </c>
      <c r="H39" s="454">
        <f t="shared" si="10"/>
        <v>0.196237547</v>
      </c>
      <c r="I39" s="454">
        <f t="shared" si="10"/>
        <v>-0.900288061</v>
      </c>
      <c r="J39" s="454">
        <f t="shared" si="10"/>
        <v>-1.14192929</v>
      </c>
      <c r="K39" s="454">
        <f t="shared" si="10"/>
        <v>-0.36673095</v>
      </c>
      <c r="L39" s="454">
        <f t="shared" si="10"/>
        <v>-1.081940714</v>
      </c>
      <c r="M39" s="454">
        <f t="shared" si="10"/>
        <v>-0.082438333</v>
      </c>
      <c r="N39" s="454">
        <f t="shared" si="10"/>
        <v>-1.513023566</v>
      </c>
      <c r="O39" s="454">
        <f t="shared" si="10"/>
        <v>-0.663726728</v>
      </c>
      <c r="P39" s="454">
        <f t="shared" si="10"/>
        <v>-5.672075189</v>
      </c>
      <c r="Q39" s="454">
        <f t="shared" si="10"/>
        <v>-5.796089083</v>
      </c>
      <c r="R39" s="454">
        <f t="shared" si="10"/>
        <v>-2.676587455</v>
      </c>
      <c r="S39" s="454">
        <f t="shared" ref="S39:AZ39" si="11">-0.992*S48+0.253</f>
        <v>-4.666732119</v>
      </c>
      <c r="T39" s="454">
        <f t="shared" si="11"/>
        <v>-6.159973749</v>
      </c>
      <c r="U39" s="454">
        <f t="shared" si="11"/>
        <v>-7.314920384</v>
      </c>
      <c r="V39" s="454">
        <f t="shared" si="11"/>
        <v>-8.222007168</v>
      </c>
      <c r="W39" s="454">
        <f t="shared" si="11"/>
        <v>-8.687276992</v>
      </c>
      <c r="X39" s="454">
        <f t="shared" si="11"/>
        <v>-8.783060544</v>
      </c>
      <c r="Y39" s="454">
        <f t="shared" si="11"/>
        <v>-8.778911008</v>
      </c>
      <c r="Z39" s="454">
        <f t="shared" si="11"/>
        <v>-9.010238464</v>
      </c>
      <c r="AA39" s="454">
        <f t="shared" si="11"/>
        <v>-9.120926816</v>
      </c>
      <c r="AB39" s="454">
        <f t="shared" si="11"/>
        <v>-9.353073664</v>
      </c>
      <c r="AC39" s="454">
        <f t="shared" si="11"/>
        <v>-9.633274976</v>
      </c>
      <c r="AD39" s="454">
        <f t="shared" si="11"/>
        <v>-9.673955904</v>
      </c>
      <c r="AE39" s="454">
        <f t="shared" si="11"/>
        <v>-9.794180352</v>
      </c>
      <c r="AF39" s="454">
        <f t="shared" si="11"/>
        <v>-9.883021888</v>
      </c>
      <c r="AG39" s="454">
        <f t="shared" si="11"/>
        <v>-9.947994912</v>
      </c>
      <c r="AH39" s="454">
        <f t="shared" si="11"/>
        <v>-9.906242624</v>
      </c>
      <c r="AI39" s="454">
        <f t="shared" si="11"/>
        <v>-9.832377312</v>
      </c>
      <c r="AJ39" s="454">
        <f t="shared" si="11"/>
        <v>-9.800378368</v>
      </c>
      <c r="AK39" s="454">
        <f t="shared" si="11"/>
        <v>-9.696752064</v>
      </c>
      <c r="AL39" s="454">
        <f t="shared" si="11"/>
        <v>-9.561519648</v>
      </c>
      <c r="AM39" s="454">
        <f t="shared" si="11"/>
        <v>-9.406711104</v>
      </c>
      <c r="AN39" s="454">
        <f t="shared" si="11"/>
        <v>-9.307527968</v>
      </c>
      <c r="AO39" s="454">
        <f t="shared" si="11"/>
        <v>-9.22083312</v>
      </c>
      <c r="AP39" s="454">
        <f t="shared" si="11"/>
        <v>-9.130651392</v>
      </c>
      <c r="AQ39" s="454">
        <f t="shared" si="11"/>
        <v>-9.104733408</v>
      </c>
      <c r="AR39" s="454">
        <f t="shared" si="11"/>
        <v>-9.040097664</v>
      </c>
      <c r="AS39" s="454">
        <f t="shared" si="11"/>
        <v>-8.941296448</v>
      </c>
      <c r="AT39" s="454">
        <f t="shared" si="11"/>
        <v>-8.848105984</v>
      </c>
      <c r="AU39" s="454">
        <f t="shared" si="11"/>
        <v>-8.681286304</v>
      </c>
      <c r="AV39" s="454">
        <f t="shared" si="11"/>
        <v>-8.551737056</v>
      </c>
      <c r="AW39" s="454">
        <f t="shared" si="11"/>
        <v>-8.4495184</v>
      </c>
      <c r="AX39" s="454">
        <f t="shared" si="11"/>
        <v>-8.348242144</v>
      </c>
      <c r="AY39" s="454">
        <f t="shared" si="11"/>
        <v>-8.16348512</v>
      </c>
      <c r="AZ39" s="454">
        <f t="shared" si="11"/>
        <v>-8.057226048</v>
      </c>
    </row>
    <row r="40">
      <c r="A40" s="676" t="s">
        <v>902</v>
      </c>
      <c r="B40" s="454">
        <f t="shared" ref="B40:R40" si="12">sum(B7:B8,B18:B19,B29:B30)</f>
        <v>7.282264732</v>
      </c>
      <c r="C40" s="454">
        <f t="shared" si="12"/>
        <v>7.768288633</v>
      </c>
      <c r="D40" s="454">
        <f t="shared" si="12"/>
        <v>7.940830624</v>
      </c>
      <c r="E40" s="454">
        <f t="shared" si="12"/>
        <v>7.730932251</v>
      </c>
      <c r="F40" s="454">
        <f t="shared" si="12"/>
        <v>7.657567451</v>
      </c>
      <c r="G40" s="454">
        <f t="shared" si="12"/>
        <v>7.953996759</v>
      </c>
      <c r="H40" s="454">
        <f t="shared" si="12"/>
        <v>8.540284066</v>
      </c>
      <c r="I40" s="454">
        <f t="shared" si="12"/>
        <v>9.310356223</v>
      </c>
      <c r="J40" s="454">
        <f t="shared" si="12"/>
        <v>9.235415125</v>
      </c>
      <c r="K40" s="454">
        <f t="shared" si="12"/>
        <v>9.978838619</v>
      </c>
      <c r="L40" s="454">
        <f t="shared" si="12"/>
        <v>11.21055614</v>
      </c>
      <c r="M40" s="454">
        <f t="shared" si="12"/>
        <v>12.56531138</v>
      </c>
      <c r="N40" s="454">
        <f t="shared" si="12"/>
        <v>14.02565097</v>
      </c>
      <c r="O40" s="454">
        <f t="shared" si="12"/>
        <v>16.02404401</v>
      </c>
      <c r="P40" s="454">
        <f t="shared" si="12"/>
        <v>19.31454014</v>
      </c>
      <c r="Q40" s="454">
        <f t="shared" si="12"/>
        <v>22.07051445</v>
      </c>
      <c r="R40" s="454">
        <f t="shared" si="12"/>
        <v>23.11896809</v>
      </c>
      <c r="S40" s="454">
        <f t="shared" ref="S40:AZ40" si="13">3.24*S48+7.1</f>
        <v>23.1684799</v>
      </c>
      <c r="T40" s="454">
        <f t="shared" si="13"/>
        <v>28.04559974</v>
      </c>
      <c r="U40" s="454">
        <f t="shared" si="13"/>
        <v>31.81780448</v>
      </c>
      <c r="V40" s="454">
        <f t="shared" si="13"/>
        <v>34.78046696</v>
      </c>
      <c r="W40" s="454">
        <f t="shared" si="13"/>
        <v>36.30009824</v>
      </c>
      <c r="X40" s="454">
        <f t="shared" si="13"/>
        <v>36.61293968</v>
      </c>
      <c r="Y40" s="454">
        <f t="shared" si="13"/>
        <v>36.59938676</v>
      </c>
      <c r="Z40" s="454">
        <f t="shared" si="13"/>
        <v>37.35493208</v>
      </c>
      <c r="AA40" s="454">
        <f t="shared" si="13"/>
        <v>37.71645452</v>
      </c>
      <c r="AB40" s="454">
        <f t="shared" si="13"/>
        <v>38.47467608</v>
      </c>
      <c r="AC40" s="454">
        <f t="shared" si="13"/>
        <v>39.38984972</v>
      </c>
      <c r="AD40" s="454">
        <f t="shared" si="13"/>
        <v>39.52271888</v>
      </c>
      <c r="AE40" s="454">
        <f t="shared" si="13"/>
        <v>39.91538744</v>
      </c>
      <c r="AF40" s="454">
        <f t="shared" si="13"/>
        <v>40.20555536</v>
      </c>
      <c r="AG40" s="454">
        <f t="shared" si="13"/>
        <v>40.41776564</v>
      </c>
      <c r="AH40" s="454">
        <f t="shared" si="13"/>
        <v>40.28139728</v>
      </c>
      <c r="AI40" s="454">
        <f t="shared" si="13"/>
        <v>40.04014364</v>
      </c>
      <c r="AJ40" s="454">
        <f t="shared" si="13"/>
        <v>39.93563096</v>
      </c>
      <c r="AK40" s="454">
        <f t="shared" si="13"/>
        <v>39.59717408</v>
      </c>
      <c r="AL40" s="454">
        <f t="shared" si="13"/>
        <v>39.15548756</v>
      </c>
      <c r="AM40" s="454">
        <f t="shared" si="13"/>
        <v>38.64986288</v>
      </c>
      <c r="AN40" s="454">
        <f t="shared" si="13"/>
        <v>38.32591796</v>
      </c>
      <c r="AO40" s="454">
        <f t="shared" si="13"/>
        <v>38.0427614</v>
      </c>
      <c r="AP40" s="454">
        <f t="shared" si="13"/>
        <v>37.74821624</v>
      </c>
      <c r="AQ40" s="454">
        <f t="shared" si="13"/>
        <v>37.66356476</v>
      </c>
      <c r="AR40" s="454">
        <f t="shared" si="13"/>
        <v>37.45245608</v>
      </c>
      <c r="AS40" s="454">
        <f t="shared" si="13"/>
        <v>37.12975856</v>
      </c>
      <c r="AT40" s="454">
        <f t="shared" si="13"/>
        <v>36.82538648</v>
      </c>
      <c r="AU40" s="454">
        <f t="shared" si="13"/>
        <v>36.28053188</v>
      </c>
      <c r="AV40" s="454">
        <f t="shared" si="13"/>
        <v>35.85740732</v>
      </c>
      <c r="AW40" s="454">
        <f t="shared" si="13"/>
        <v>35.523548</v>
      </c>
      <c r="AX40" s="454">
        <f t="shared" si="13"/>
        <v>35.19276668</v>
      </c>
      <c r="AY40" s="454">
        <f t="shared" si="13"/>
        <v>34.5893264</v>
      </c>
      <c r="AZ40" s="454">
        <f t="shared" si="13"/>
        <v>34.24227056</v>
      </c>
    </row>
    <row r="41">
      <c r="A41" s="676" t="s">
        <v>903</v>
      </c>
      <c r="B41" s="454">
        <f t="shared" ref="B41:R41" si="14">sum(B9:B12,B20:B23,B31:B34)</f>
        <v>4.67650497</v>
      </c>
      <c r="C41" s="454">
        <f t="shared" si="14"/>
        <v>5.055007971</v>
      </c>
      <c r="D41" s="454">
        <f t="shared" si="14"/>
        <v>5.157508321</v>
      </c>
      <c r="E41" s="454">
        <f t="shared" si="14"/>
        <v>5.214598305</v>
      </c>
      <c r="F41" s="454">
        <f t="shared" si="14"/>
        <v>3.323299378</v>
      </c>
      <c r="G41" s="454">
        <f t="shared" si="14"/>
        <v>3.293050651</v>
      </c>
      <c r="H41" s="454">
        <f t="shared" si="14"/>
        <v>4.035282619</v>
      </c>
      <c r="I41" s="454">
        <f t="shared" si="14"/>
        <v>4.472463625</v>
      </c>
      <c r="J41" s="454">
        <f t="shared" si="14"/>
        <v>4.173568289</v>
      </c>
      <c r="K41" s="454">
        <f t="shared" si="14"/>
        <v>4.312940523</v>
      </c>
      <c r="L41" s="454">
        <f t="shared" si="14"/>
        <v>5.52168716</v>
      </c>
      <c r="M41" s="454">
        <f t="shared" si="14"/>
        <v>4.985255921</v>
      </c>
      <c r="N41" s="454">
        <f t="shared" si="14"/>
        <v>5.12276999</v>
      </c>
      <c r="O41" s="454">
        <f t="shared" si="14"/>
        <v>6.402294016</v>
      </c>
      <c r="P41" s="454">
        <f t="shared" si="14"/>
        <v>6.90997599</v>
      </c>
      <c r="Q41" s="454">
        <f t="shared" si="14"/>
        <v>7.631518523</v>
      </c>
      <c r="R41" s="454">
        <f t="shared" si="14"/>
        <v>7.972460501</v>
      </c>
      <c r="S41" s="454">
        <f t="shared" ref="S41:AZ41" si="15">0.759*S48+4.08</f>
        <v>7.8441902</v>
      </c>
      <c r="T41" s="454">
        <f t="shared" si="15"/>
        <v>8.986700681</v>
      </c>
      <c r="U41" s="454">
        <f t="shared" si="15"/>
        <v>9.870374568</v>
      </c>
      <c r="V41" s="454">
        <f t="shared" si="15"/>
        <v>10.56440569</v>
      </c>
      <c r="W41" s="454">
        <f t="shared" si="15"/>
        <v>10.92039338</v>
      </c>
      <c r="X41" s="454">
        <f t="shared" si="15"/>
        <v>10.99367939</v>
      </c>
      <c r="Y41" s="454">
        <f t="shared" si="15"/>
        <v>10.99050449</v>
      </c>
      <c r="Z41" s="454">
        <f t="shared" si="15"/>
        <v>11.16749798</v>
      </c>
      <c r="AA41" s="454">
        <f t="shared" si="15"/>
        <v>11.25218796</v>
      </c>
      <c r="AB41" s="454">
        <f t="shared" si="15"/>
        <v>11.42980838</v>
      </c>
      <c r="AC41" s="454">
        <f t="shared" si="15"/>
        <v>11.64419628</v>
      </c>
      <c r="AD41" s="454">
        <f t="shared" si="15"/>
        <v>11.67532211</v>
      </c>
      <c r="AE41" s="454">
        <f t="shared" si="15"/>
        <v>11.76730835</v>
      </c>
      <c r="AF41" s="454">
        <f t="shared" si="15"/>
        <v>11.83528288</v>
      </c>
      <c r="AG41" s="454">
        <f t="shared" si="15"/>
        <v>11.8849951</v>
      </c>
      <c r="AH41" s="454">
        <f t="shared" si="15"/>
        <v>11.85304955</v>
      </c>
      <c r="AI41" s="454">
        <f t="shared" si="15"/>
        <v>11.79653365</v>
      </c>
      <c r="AJ41" s="454">
        <f t="shared" si="15"/>
        <v>11.77205059</v>
      </c>
      <c r="AK41" s="454">
        <f t="shared" si="15"/>
        <v>11.69276393</v>
      </c>
      <c r="AL41" s="454">
        <f t="shared" si="15"/>
        <v>11.58929477</v>
      </c>
      <c r="AM41" s="454">
        <f t="shared" si="15"/>
        <v>11.47084751</v>
      </c>
      <c r="AN41" s="454">
        <f t="shared" si="15"/>
        <v>11.39496041</v>
      </c>
      <c r="AO41" s="454">
        <f t="shared" si="15"/>
        <v>11.32862837</v>
      </c>
      <c r="AP41" s="454">
        <f t="shared" si="15"/>
        <v>11.25962843</v>
      </c>
      <c r="AQ41" s="454">
        <f t="shared" si="15"/>
        <v>11.23979804</v>
      </c>
      <c r="AR41" s="454">
        <f t="shared" si="15"/>
        <v>11.19034388</v>
      </c>
      <c r="AS41" s="454">
        <f t="shared" si="15"/>
        <v>11.114749</v>
      </c>
      <c r="AT41" s="454">
        <f t="shared" si="15"/>
        <v>11.04344702</v>
      </c>
      <c r="AU41" s="454">
        <f t="shared" si="15"/>
        <v>10.91580978</v>
      </c>
      <c r="AV41" s="454">
        <f t="shared" si="15"/>
        <v>10.81668894</v>
      </c>
      <c r="AW41" s="454">
        <f t="shared" si="15"/>
        <v>10.7384793</v>
      </c>
      <c r="AX41" s="454">
        <f t="shared" si="15"/>
        <v>10.66099071</v>
      </c>
      <c r="AY41" s="454">
        <f t="shared" si="15"/>
        <v>10.51962924</v>
      </c>
      <c r="AZ41" s="454">
        <f t="shared" si="15"/>
        <v>10.4383282</v>
      </c>
    </row>
    <row r="42">
      <c r="A42" s="447"/>
      <c r="B42" s="447"/>
      <c r="C42" s="447"/>
      <c r="D42" s="447"/>
      <c r="E42" s="447"/>
      <c r="F42" s="447"/>
      <c r="G42" s="447"/>
      <c r="H42" s="447"/>
      <c r="I42" s="447"/>
      <c r="J42" s="447"/>
      <c r="K42" s="447"/>
      <c r="L42" s="447"/>
      <c r="M42" s="447"/>
      <c r="N42" s="447"/>
      <c r="O42" s="447"/>
      <c r="P42" s="447"/>
      <c r="Q42" s="447"/>
      <c r="R42" s="447"/>
      <c r="S42" s="447"/>
    </row>
    <row r="43">
      <c r="A43" s="447" t="s">
        <v>904</v>
      </c>
      <c r="B43" s="448">
        <v>0.15</v>
      </c>
      <c r="C43" s="448">
        <v>0.15</v>
      </c>
      <c r="D43" s="448">
        <v>0.15</v>
      </c>
      <c r="E43" s="448">
        <v>0.15</v>
      </c>
      <c r="F43" s="448">
        <v>0.15</v>
      </c>
      <c r="G43" s="448">
        <v>0.15</v>
      </c>
      <c r="H43" s="448">
        <v>0.15</v>
      </c>
      <c r="I43" s="448">
        <v>0.15</v>
      </c>
      <c r="J43" s="448">
        <v>0.15</v>
      </c>
      <c r="K43" s="448">
        <v>0.15</v>
      </c>
      <c r="L43" s="448">
        <v>0.15</v>
      </c>
      <c r="M43" s="448">
        <v>0.15</v>
      </c>
      <c r="N43" s="448">
        <v>0.15</v>
      </c>
      <c r="O43" s="448">
        <v>0.15</v>
      </c>
      <c r="P43" s="448">
        <v>0.15</v>
      </c>
      <c r="Q43" s="448">
        <v>0.15</v>
      </c>
      <c r="R43" s="448">
        <v>0.15</v>
      </c>
      <c r="S43" s="448">
        <v>0.15</v>
      </c>
      <c r="T43" s="448">
        <v>0.15</v>
      </c>
      <c r="U43" s="448">
        <v>0.15</v>
      </c>
      <c r="V43" s="448">
        <v>0.15</v>
      </c>
      <c r="W43" s="448">
        <v>0.15</v>
      </c>
      <c r="X43" s="448">
        <v>0.15</v>
      </c>
      <c r="Y43" s="448">
        <v>0.15</v>
      </c>
      <c r="Z43" s="448">
        <v>0.15</v>
      </c>
      <c r="AA43" s="448">
        <v>0.15</v>
      </c>
      <c r="AB43" s="448">
        <v>0.15</v>
      </c>
      <c r="AC43" s="448">
        <v>0.15</v>
      </c>
      <c r="AD43" s="448">
        <v>0.15</v>
      </c>
      <c r="AE43" s="448">
        <v>0.15</v>
      </c>
      <c r="AF43" s="448">
        <v>0.15</v>
      </c>
      <c r="AG43" s="448">
        <v>0.15</v>
      </c>
      <c r="AH43" s="448">
        <v>0.15</v>
      </c>
      <c r="AI43" s="448">
        <v>0.15</v>
      </c>
      <c r="AJ43" s="448">
        <v>0.15</v>
      </c>
      <c r="AK43" s="448">
        <v>0.15</v>
      </c>
      <c r="AL43" s="448">
        <v>0.15</v>
      </c>
      <c r="AM43" s="448">
        <v>0.15</v>
      </c>
      <c r="AN43" s="448">
        <v>0.15</v>
      </c>
      <c r="AO43" s="448">
        <v>0.15</v>
      </c>
      <c r="AP43" s="448">
        <v>0.15</v>
      </c>
      <c r="AQ43" s="448">
        <v>0.15</v>
      </c>
      <c r="AR43" s="448">
        <v>0.15</v>
      </c>
      <c r="AS43" s="448">
        <v>0.15</v>
      </c>
      <c r="AT43" s="448">
        <v>0.15</v>
      </c>
      <c r="AU43" s="448">
        <v>0.15</v>
      </c>
      <c r="AV43" s="448">
        <v>0.15</v>
      </c>
      <c r="AW43" s="448">
        <v>0.15</v>
      </c>
      <c r="AX43" s="448">
        <v>0.15</v>
      </c>
      <c r="AY43" s="448">
        <v>0.15</v>
      </c>
      <c r="AZ43" s="448">
        <v>0.15</v>
      </c>
    </row>
    <row r="44">
      <c r="A44" s="447"/>
      <c r="B44" s="447"/>
      <c r="C44" s="447"/>
      <c r="D44" s="447"/>
      <c r="E44" s="447"/>
      <c r="F44" s="447"/>
      <c r="G44" s="447"/>
      <c r="H44" s="447"/>
      <c r="I44" s="447"/>
      <c r="J44" s="447"/>
      <c r="K44" s="447"/>
      <c r="L44" s="447"/>
      <c r="M44" s="447"/>
      <c r="N44" s="447"/>
      <c r="O44" s="447"/>
      <c r="P44" s="447"/>
      <c r="Q44" s="447"/>
      <c r="R44" s="447"/>
      <c r="S44" s="447"/>
    </row>
    <row r="45">
      <c r="A45" s="76" t="s">
        <v>905</v>
      </c>
      <c r="B45" s="447"/>
      <c r="C45" s="447"/>
      <c r="D45" s="447"/>
      <c r="E45" s="447"/>
      <c r="F45" s="447"/>
      <c r="G45" s="447"/>
      <c r="H45" s="447"/>
      <c r="I45" s="447"/>
      <c r="J45" s="447"/>
      <c r="K45" s="447"/>
      <c r="L45" s="447"/>
      <c r="M45" s="447"/>
      <c r="N45" s="447"/>
      <c r="O45" s="447"/>
      <c r="P45" s="447"/>
      <c r="Q45" s="447"/>
      <c r="R45" s="447"/>
      <c r="S45" s="447"/>
    </row>
    <row r="46">
      <c r="A46" s="447" t="s">
        <v>906</v>
      </c>
      <c r="B46" s="447">
        <v>2130707.0</v>
      </c>
      <c r="C46" s="447">
        <v>2117511.0</v>
      </c>
      <c r="D46" s="447">
        <v>2096588.0</v>
      </c>
      <c r="E46" s="447">
        <v>2061995.0</v>
      </c>
      <c r="F46" s="447">
        <v>1991394.0</v>
      </c>
      <c r="G46" s="447">
        <v>1892095.0</v>
      </c>
      <c r="H46" s="447">
        <v>1856340.0</v>
      </c>
      <c r="I46" s="447">
        <v>1851974.0</v>
      </c>
      <c r="J46" s="447">
        <v>1829880.0</v>
      </c>
      <c r="K46" s="447">
        <v>1952420.0</v>
      </c>
      <c r="L46" s="447">
        <v>1999352.0</v>
      </c>
      <c r="M46" s="447">
        <v>2063809.0</v>
      </c>
      <c r="N46" s="447">
        <v>2379555.0</v>
      </c>
      <c r="O46" s="447">
        <v>2725431.0</v>
      </c>
      <c r="P46" s="447">
        <v>3196889.0</v>
      </c>
      <c r="Q46" s="447">
        <v>3442188.0</v>
      </c>
      <c r="R46" s="447">
        <v>3232025.0</v>
      </c>
      <c r="S46" s="447">
        <v>3413376.0</v>
      </c>
    </row>
    <row r="47">
      <c r="A47" s="447" t="s">
        <v>907</v>
      </c>
      <c r="B47" s="677">
        <f t="shared" ref="B47:S47" si="16">0.001*B46/365</f>
        <v>5.837553425</v>
      </c>
      <c r="C47" s="677">
        <f t="shared" si="16"/>
        <v>5.8014</v>
      </c>
      <c r="D47" s="677">
        <f t="shared" si="16"/>
        <v>5.744076712</v>
      </c>
      <c r="E47" s="677">
        <f t="shared" si="16"/>
        <v>5.64930137</v>
      </c>
      <c r="F47" s="677">
        <f t="shared" si="16"/>
        <v>5.455873973</v>
      </c>
      <c r="G47" s="677">
        <f t="shared" si="16"/>
        <v>5.183821918</v>
      </c>
      <c r="H47" s="677">
        <f t="shared" si="16"/>
        <v>5.085863014</v>
      </c>
      <c r="I47" s="677">
        <f t="shared" si="16"/>
        <v>5.07390137</v>
      </c>
      <c r="J47" s="677">
        <f t="shared" si="16"/>
        <v>5.013369863</v>
      </c>
      <c r="K47" s="677">
        <f t="shared" si="16"/>
        <v>5.34909589</v>
      </c>
      <c r="L47" s="677">
        <f t="shared" si="16"/>
        <v>5.477676712</v>
      </c>
      <c r="M47" s="677">
        <f t="shared" si="16"/>
        <v>5.654271233</v>
      </c>
      <c r="N47" s="677">
        <f t="shared" si="16"/>
        <v>6.519328767</v>
      </c>
      <c r="O47" s="677">
        <f t="shared" si="16"/>
        <v>7.466934247</v>
      </c>
      <c r="P47" s="677">
        <f t="shared" si="16"/>
        <v>8.7586</v>
      </c>
      <c r="Q47" s="677">
        <f t="shared" si="16"/>
        <v>9.430652055</v>
      </c>
      <c r="R47" s="677">
        <f t="shared" si="16"/>
        <v>8.854863014</v>
      </c>
      <c r="S47" s="677">
        <f t="shared" si="16"/>
        <v>9.351715068</v>
      </c>
      <c r="T47" s="678">
        <v>10.738707</v>
      </c>
      <c r="U47" s="678">
        <v>11.969468</v>
      </c>
      <c r="V47" s="518">
        <v>13.085901</v>
      </c>
      <c r="W47" s="518">
        <v>13.665423</v>
      </c>
      <c r="X47" s="518">
        <v>13.977781</v>
      </c>
      <c r="Y47" s="518">
        <v>13.917915</v>
      </c>
      <c r="Z47" s="518">
        <v>14.012055</v>
      </c>
      <c r="AA47" s="518">
        <v>14.094161</v>
      </c>
      <c r="AB47" s="518">
        <v>14.37495</v>
      </c>
      <c r="AC47" s="518">
        <v>14.506202</v>
      </c>
      <c r="AD47" s="518">
        <v>14.414598</v>
      </c>
      <c r="AE47" s="518">
        <v>14.413425</v>
      </c>
      <c r="AF47" s="518">
        <v>14.460274</v>
      </c>
      <c r="AG47" s="518">
        <v>14.534123</v>
      </c>
      <c r="AH47" s="518">
        <v>14.510523</v>
      </c>
      <c r="AI47" s="518">
        <v>14.482531</v>
      </c>
      <c r="AJ47" s="518">
        <v>14.434381</v>
      </c>
      <c r="AK47" s="518">
        <v>14.329348</v>
      </c>
      <c r="AL47" s="518">
        <v>14.269213</v>
      </c>
      <c r="AM47" s="518">
        <v>14.174327</v>
      </c>
      <c r="AN47" s="518">
        <v>14.138342</v>
      </c>
      <c r="AO47" s="518">
        <v>14.101297</v>
      </c>
      <c r="AP47" s="518">
        <v>14.050146</v>
      </c>
      <c r="AQ47" s="518">
        <v>13.942209</v>
      </c>
      <c r="AR47" s="518">
        <v>13.782656</v>
      </c>
      <c r="AS47" s="518">
        <v>13.524229</v>
      </c>
      <c r="AT47" s="518">
        <v>13.299628</v>
      </c>
      <c r="AU47" s="518">
        <v>13.030391</v>
      </c>
      <c r="AV47" s="518">
        <v>12.814965</v>
      </c>
      <c r="AW47" s="518">
        <v>12.614922</v>
      </c>
      <c r="AX47" s="518">
        <v>12.374134</v>
      </c>
      <c r="AY47" s="518">
        <v>12.0793</v>
      </c>
      <c r="AZ47" s="518">
        <v>11.860889</v>
      </c>
    </row>
    <row r="48">
      <c r="A48" s="679" t="s">
        <v>908</v>
      </c>
      <c r="B48" s="677">
        <v>0.396782</v>
      </c>
      <c r="C48" s="677">
        <v>0.38715</v>
      </c>
      <c r="D48" s="677">
        <v>0.376829</v>
      </c>
      <c r="E48" s="677">
        <v>0.372466917</v>
      </c>
      <c r="F48" s="677">
        <v>0.382459417</v>
      </c>
      <c r="G48" s="677">
        <v>0.409815417</v>
      </c>
      <c r="H48" s="677">
        <v>0.428021583</v>
      </c>
      <c r="I48" s="677">
        <v>0.462267333</v>
      </c>
      <c r="J48" s="677">
        <v>0.55364875</v>
      </c>
      <c r="K48" s="677">
        <v>0.63217125</v>
      </c>
      <c r="L48" s="677">
        <v>0.824436167</v>
      </c>
      <c r="M48" s="677">
        <v>1.292299917</v>
      </c>
      <c r="N48" s="677">
        <v>2.143491623</v>
      </c>
      <c r="O48" s="677">
        <v>3.049101523</v>
      </c>
      <c r="P48" s="677">
        <v>4.105007951</v>
      </c>
      <c r="Q48" s="677">
        <v>4.774478068</v>
      </c>
      <c r="R48" s="677">
        <v>4.429167813</v>
      </c>
      <c r="S48" s="677">
        <v>4.959407378</v>
      </c>
      <c r="T48" s="680">
        <v>6.464691279</v>
      </c>
      <c r="U48" s="678">
        <v>7.628952</v>
      </c>
      <c r="V48" s="518">
        <v>8.543354</v>
      </c>
      <c r="W48" s="518">
        <v>9.012376</v>
      </c>
      <c r="X48" s="518">
        <v>9.108932</v>
      </c>
      <c r="Y48" s="518">
        <v>9.104749</v>
      </c>
      <c r="Z48" s="518">
        <v>9.337942</v>
      </c>
      <c r="AA48" s="518">
        <v>9.449523</v>
      </c>
      <c r="AB48" s="518">
        <v>9.683542</v>
      </c>
      <c r="AC48" s="518">
        <v>9.966003</v>
      </c>
      <c r="AD48" s="518">
        <v>10.007012</v>
      </c>
      <c r="AE48" s="518">
        <v>10.128206</v>
      </c>
      <c r="AF48" s="518">
        <v>10.217764</v>
      </c>
      <c r="AG48" s="518">
        <v>10.283261</v>
      </c>
      <c r="AH48" s="518">
        <v>10.241172</v>
      </c>
      <c r="AI48" s="518">
        <v>10.166711</v>
      </c>
      <c r="AJ48" s="518">
        <v>10.134454</v>
      </c>
      <c r="AK48" s="518">
        <v>10.029992</v>
      </c>
      <c r="AL48" s="518">
        <v>9.893669</v>
      </c>
      <c r="AM48" s="518">
        <v>9.737612</v>
      </c>
      <c r="AN48" s="518">
        <v>9.637629</v>
      </c>
      <c r="AO48" s="518">
        <v>9.550235</v>
      </c>
      <c r="AP48" s="518">
        <v>9.459326</v>
      </c>
      <c r="AQ48" s="518">
        <v>9.433199</v>
      </c>
      <c r="AR48" s="518">
        <v>9.368042</v>
      </c>
      <c r="AS48" s="518">
        <v>9.268444</v>
      </c>
      <c r="AT48" s="518">
        <v>9.174502</v>
      </c>
      <c r="AU48" s="518">
        <v>9.006337</v>
      </c>
      <c r="AV48" s="518">
        <v>8.875743</v>
      </c>
      <c r="AW48" s="518">
        <v>8.7727</v>
      </c>
      <c r="AX48" s="518">
        <v>8.670607</v>
      </c>
      <c r="AY48" s="518">
        <v>8.48436</v>
      </c>
      <c r="AZ48" s="518">
        <v>8.377244</v>
      </c>
    </row>
    <row r="49">
      <c r="A49" s="447" t="s">
        <v>909</v>
      </c>
      <c r="B49" s="681">
        <f t="shared" ref="B49:AZ49" si="17">B48/B47</f>
        <v>0.06797059849</v>
      </c>
      <c r="C49" s="681">
        <f t="shared" si="17"/>
        <v>0.06673389182</v>
      </c>
      <c r="D49" s="681">
        <f t="shared" si="17"/>
        <v>0.0656030584</v>
      </c>
      <c r="E49" s="681">
        <f t="shared" si="17"/>
        <v>0.06593150066</v>
      </c>
      <c r="F49" s="681">
        <f t="shared" si="17"/>
        <v>0.07010048599</v>
      </c>
      <c r="G49" s="681">
        <f t="shared" si="17"/>
        <v>0.07905661566</v>
      </c>
      <c r="H49" s="681">
        <f t="shared" si="17"/>
        <v>0.08415908605</v>
      </c>
      <c r="I49" s="681">
        <f t="shared" si="17"/>
        <v>0.09110688192</v>
      </c>
      <c r="J49" s="681">
        <f t="shared" si="17"/>
        <v>0.1104344513</v>
      </c>
      <c r="K49" s="681">
        <f t="shared" si="17"/>
        <v>0.1181828225</v>
      </c>
      <c r="L49" s="681">
        <f t="shared" si="17"/>
        <v>0.1505083652</v>
      </c>
      <c r="M49" s="681">
        <f t="shared" si="17"/>
        <v>0.2285528698</v>
      </c>
      <c r="N49" s="681">
        <f t="shared" si="17"/>
        <v>0.3287902328</v>
      </c>
      <c r="O49" s="681">
        <f t="shared" si="17"/>
        <v>0.4083471773</v>
      </c>
      <c r="P49" s="681">
        <f t="shared" si="17"/>
        <v>0.4686831173</v>
      </c>
      <c r="Q49" s="681">
        <f t="shared" si="17"/>
        <v>0.5062723171</v>
      </c>
      <c r="R49" s="681">
        <f t="shared" si="17"/>
        <v>0.500196085</v>
      </c>
      <c r="S49" s="681">
        <f t="shared" si="17"/>
        <v>0.5303206248</v>
      </c>
      <c r="T49" s="681">
        <f t="shared" si="17"/>
        <v>0.6019990376</v>
      </c>
      <c r="U49" s="681">
        <f t="shared" si="17"/>
        <v>0.6373676758</v>
      </c>
      <c r="V49" s="681">
        <f t="shared" si="17"/>
        <v>0.6528670819</v>
      </c>
      <c r="W49" s="681">
        <f t="shared" si="17"/>
        <v>0.659502161</v>
      </c>
      <c r="X49" s="681">
        <f t="shared" si="17"/>
        <v>0.6516722504</v>
      </c>
      <c r="Y49" s="681">
        <f t="shared" si="17"/>
        <v>0.6541747812</v>
      </c>
      <c r="Z49" s="681">
        <f t="shared" si="17"/>
        <v>0.6664220202</v>
      </c>
      <c r="AA49" s="681">
        <f t="shared" si="17"/>
        <v>0.6704565813</v>
      </c>
      <c r="AB49" s="681">
        <f t="shared" si="17"/>
        <v>0.6736400474</v>
      </c>
      <c r="AC49" s="681">
        <f t="shared" si="17"/>
        <v>0.6870166981</v>
      </c>
      <c r="AD49" s="681">
        <f t="shared" si="17"/>
        <v>0.6942276156</v>
      </c>
      <c r="AE49" s="681">
        <f t="shared" si="17"/>
        <v>0.7026925245</v>
      </c>
      <c r="AF49" s="681">
        <f t="shared" si="17"/>
        <v>0.7066092938</v>
      </c>
      <c r="AG49" s="681">
        <f t="shared" si="17"/>
        <v>0.707525387</v>
      </c>
      <c r="AH49" s="681">
        <f t="shared" si="17"/>
        <v>0.7057755258</v>
      </c>
      <c r="AI49" s="681">
        <f t="shared" si="17"/>
        <v>0.7019982212</v>
      </c>
      <c r="AJ49" s="681">
        <f t="shared" si="17"/>
        <v>0.7021052028</v>
      </c>
      <c r="AK49" s="681">
        <f t="shared" si="17"/>
        <v>0.6999615056</v>
      </c>
      <c r="AL49" s="681">
        <f t="shared" si="17"/>
        <v>0.6933577206</v>
      </c>
      <c r="AM49" s="681">
        <f t="shared" si="17"/>
        <v>0.6869893717</v>
      </c>
      <c r="AN49" s="681">
        <f t="shared" si="17"/>
        <v>0.6816661388</v>
      </c>
      <c r="AO49" s="681">
        <f t="shared" si="17"/>
        <v>0.677259333</v>
      </c>
      <c r="AP49" s="681">
        <f t="shared" si="17"/>
        <v>0.6732546409</v>
      </c>
      <c r="AQ49" s="681">
        <f t="shared" si="17"/>
        <v>0.6765928556</v>
      </c>
      <c r="AR49" s="681">
        <f t="shared" si="17"/>
        <v>0.6796978754</v>
      </c>
      <c r="AS49" s="681">
        <f t="shared" si="17"/>
        <v>0.6853214331</v>
      </c>
      <c r="AT49" s="681">
        <f t="shared" si="17"/>
        <v>0.689831475</v>
      </c>
      <c r="AU49" s="681">
        <f t="shared" si="17"/>
        <v>0.6911793361</v>
      </c>
      <c r="AV49" s="681">
        <f t="shared" si="17"/>
        <v>0.6926076661</v>
      </c>
      <c r="AW49" s="681">
        <f t="shared" si="17"/>
        <v>0.6954224529</v>
      </c>
      <c r="AX49" s="681">
        <f t="shared" si="17"/>
        <v>0.7007041462</v>
      </c>
      <c r="AY49" s="681">
        <f t="shared" si="17"/>
        <v>0.7023883834</v>
      </c>
      <c r="AZ49" s="681">
        <f t="shared" si="17"/>
        <v>0.7062914087</v>
      </c>
    </row>
    <row r="50">
      <c r="A50" s="447" t="s">
        <v>910</v>
      </c>
      <c r="B50" s="447">
        <v>6310904.0</v>
      </c>
      <c r="C50" s="447">
        <v>6309000.0</v>
      </c>
      <c r="D50" s="447">
        <v>6304620.0</v>
      </c>
      <c r="E50" s="447">
        <v>6382794.0</v>
      </c>
      <c r="F50" s="447">
        <v>6519753.0</v>
      </c>
      <c r="G50" s="447">
        <v>6497015.0</v>
      </c>
      <c r="H50" s="447">
        <v>6560912.0</v>
      </c>
      <c r="I50" s="447">
        <v>6567929.0</v>
      </c>
      <c r="J50" s="447">
        <v>6641293.0</v>
      </c>
      <c r="K50" s="447">
        <v>6527069.0</v>
      </c>
      <c r="L50" s="447">
        <v>6735067.0</v>
      </c>
      <c r="M50" s="447">
        <v>6815590.0</v>
      </c>
      <c r="N50" s="447">
        <v>6794407.0</v>
      </c>
      <c r="O50" s="447">
        <v>6973710.0</v>
      </c>
      <c r="P50" s="447">
        <v>7173730.0</v>
      </c>
      <c r="Q50" s="447">
        <v>7258314.0</v>
      </c>
      <c r="R50" s="447">
        <v>7348911.0</v>
      </c>
      <c r="S50" s="447">
        <v>7408771.0</v>
      </c>
    </row>
    <row r="51">
      <c r="A51" s="447" t="s">
        <v>911</v>
      </c>
      <c r="B51" s="447">
        <v>257984.0</v>
      </c>
      <c r="C51" s="447">
        <v>243322.0</v>
      </c>
      <c r="D51" s="447">
        <v>244900.0</v>
      </c>
      <c r="E51" s="447">
        <v>240082.0</v>
      </c>
      <c r="F51" s="447">
        <v>235975.0</v>
      </c>
      <c r="G51" s="447">
        <v>209029.0</v>
      </c>
      <c r="H51" s="447">
        <v>228960.0</v>
      </c>
      <c r="I51" s="447">
        <v>238904.0</v>
      </c>
      <c r="J51" s="447">
        <v>230431.0</v>
      </c>
      <c r="K51" s="447">
        <v>227470.0</v>
      </c>
      <c r="L51" s="447">
        <v>240454.0</v>
      </c>
      <c r="M51" s="447">
        <v>225992.0</v>
      </c>
      <c r="N51" s="447">
        <v>230413.0</v>
      </c>
      <c r="O51" s="447">
        <v>227349.0</v>
      </c>
      <c r="P51" s="447">
        <v>238485.0</v>
      </c>
      <c r="Q51" s="447">
        <v>224329.0</v>
      </c>
      <c r="R51" s="447">
        <v>231136.0</v>
      </c>
      <c r="S51" s="447">
        <v>229391.0</v>
      </c>
      <c r="AH51" s="682" t="s">
        <v>912</v>
      </c>
    </row>
    <row r="52">
      <c r="A52" s="447" t="s">
        <v>913</v>
      </c>
      <c r="B52" s="447">
        <v>257984.0</v>
      </c>
      <c r="C52" s="447">
        <v>243322.0</v>
      </c>
      <c r="D52" s="447">
        <v>244900.0</v>
      </c>
      <c r="E52" s="447">
        <v>240082.0</v>
      </c>
      <c r="F52" s="447">
        <v>235975.0</v>
      </c>
      <c r="G52" s="447">
        <v>209029.0</v>
      </c>
      <c r="H52" s="447">
        <v>228960.0</v>
      </c>
      <c r="I52" s="447">
        <v>238904.0</v>
      </c>
      <c r="J52" s="447">
        <v>230431.0</v>
      </c>
      <c r="K52" s="447">
        <v>227470.0</v>
      </c>
      <c r="L52" s="447">
        <v>240454.0</v>
      </c>
      <c r="M52" s="447">
        <v>225992.0</v>
      </c>
      <c r="N52" s="447">
        <v>230413.0</v>
      </c>
      <c r="O52" s="447">
        <v>227349.0</v>
      </c>
      <c r="P52" s="447">
        <v>238485.0</v>
      </c>
      <c r="Q52" s="447">
        <v>224329.0</v>
      </c>
      <c r="R52" s="447">
        <v>231136.0</v>
      </c>
      <c r="S52" s="447">
        <v>229391.0</v>
      </c>
      <c r="AH52" s="683" t="s">
        <v>914</v>
      </c>
    </row>
    <row r="53">
      <c r="A53" s="447" t="s">
        <v>915</v>
      </c>
      <c r="B53" s="447">
        <v>2910056.0</v>
      </c>
      <c r="C53" s="447">
        <v>2928050.0</v>
      </c>
      <c r="D53" s="447">
        <v>2986747.0</v>
      </c>
      <c r="E53" s="447">
        <v>2990949.0</v>
      </c>
      <c r="F53" s="447">
        <v>3025128.0</v>
      </c>
      <c r="G53" s="447">
        <v>3035889.0</v>
      </c>
      <c r="H53" s="447">
        <v>3052754.0</v>
      </c>
      <c r="I53" s="447">
        <v>3050614.0</v>
      </c>
      <c r="J53" s="447">
        <v>3128673.0</v>
      </c>
      <c r="K53" s="447">
        <v>3206726.0</v>
      </c>
      <c r="L53" s="447">
        <v>3306400.0</v>
      </c>
      <c r="M53" s="447">
        <v>3306028.0</v>
      </c>
      <c r="N53" s="447">
        <v>3267022.0</v>
      </c>
      <c r="O53" s="447">
        <v>3370460.0</v>
      </c>
      <c r="P53" s="447">
        <v>3493224.0</v>
      </c>
      <c r="Q53" s="447">
        <v>3560117.0</v>
      </c>
      <c r="R53" s="447">
        <v>3658204.0</v>
      </c>
      <c r="S53" s="447">
        <v>3633123.0</v>
      </c>
      <c r="AH53" s="4" t="s">
        <v>916</v>
      </c>
    </row>
    <row r="54">
      <c r="A54" s="447" t="s">
        <v>917</v>
      </c>
      <c r="B54" s="447">
        <v>587899.0</v>
      </c>
      <c r="C54" s="447">
        <v>558230.0</v>
      </c>
      <c r="D54" s="447">
        <v>552511.0</v>
      </c>
      <c r="E54" s="447">
        <v>543345.0</v>
      </c>
      <c r="F54" s="447">
        <v>566164.0</v>
      </c>
      <c r="G54" s="447">
        <v>564226.0</v>
      </c>
      <c r="H54" s="447">
        <v>540556.0</v>
      </c>
      <c r="I54" s="447">
        <v>528476.0</v>
      </c>
      <c r="J54" s="447">
        <v>546410.0</v>
      </c>
      <c r="K54" s="447">
        <v>509684.0</v>
      </c>
      <c r="L54" s="447">
        <v>517475.0</v>
      </c>
      <c r="M54" s="447">
        <v>528811.0</v>
      </c>
      <c r="N54" s="447">
        <v>538319.0</v>
      </c>
      <c r="O54" s="447">
        <v>547275.0</v>
      </c>
      <c r="P54" s="447">
        <v>562600.0</v>
      </c>
      <c r="Q54" s="447">
        <v>580431.0</v>
      </c>
      <c r="R54" s="447">
        <v>603899.0</v>
      </c>
      <c r="S54" s="447">
        <v>621176.0</v>
      </c>
      <c r="AH54" s="4" t="s">
        <v>918</v>
      </c>
    </row>
    <row r="55">
      <c r="A55" s="447" t="s">
        <v>919</v>
      </c>
      <c r="B55" s="447">
        <v>1310158.0</v>
      </c>
      <c r="C55" s="447">
        <v>1348525.0</v>
      </c>
      <c r="D55" s="447">
        <v>1311151.0</v>
      </c>
      <c r="E55" s="447">
        <v>1353138.0</v>
      </c>
      <c r="F55" s="447">
        <v>1396037.0</v>
      </c>
      <c r="G55" s="447">
        <v>1443348.0</v>
      </c>
      <c r="H55" s="447">
        <v>1474741.0</v>
      </c>
      <c r="I55" s="447">
        <v>1508530.0</v>
      </c>
      <c r="J55" s="447">
        <v>1571539.0</v>
      </c>
      <c r="K55" s="447">
        <v>1477534.0</v>
      </c>
      <c r="L55" s="447">
        <v>1541503.0</v>
      </c>
      <c r="M55" s="447">
        <v>1639606.0</v>
      </c>
      <c r="N55" s="447">
        <v>1665256.0</v>
      </c>
      <c r="O55" s="447">
        <v>1727493.0</v>
      </c>
      <c r="P55" s="447">
        <v>1794433.0</v>
      </c>
      <c r="Q55" s="447">
        <v>1818780.0</v>
      </c>
      <c r="R55" s="447">
        <v>1769335.0</v>
      </c>
      <c r="S55" s="447">
        <v>1833879.0</v>
      </c>
    </row>
    <row r="56">
      <c r="A56" s="447" t="s">
        <v>920</v>
      </c>
      <c r="B56" s="447">
        <v>254843.0</v>
      </c>
      <c r="C56" s="447">
        <v>263017.0</v>
      </c>
      <c r="D56" s="447">
        <v>219445.0</v>
      </c>
      <c r="E56" s="447">
        <v>240871.0</v>
      </c>
      <c r="F56" s="447">
        <v>239907.0</v>
      </c>
      <c r="G56" s="447">
        <v>229074.0</v>
      </c>
      <c r="H56" s="447">
        <v>231888.0</v>
      </c>
      <c r="I56" s="447">
        <v>245521.0</v>
      </c>
      <c r="J56" s="447">
        <v>226867.0</v>
      </c>
      <c r="K56" s="447">
        <v>218339.0</v>
      </c>
      <c r="L56" s="447">
        <v>213493.0</v>
      </c>
      <c r="M56" s="447">
        <v>196168.0</v>
      </c>
      <c r="N56" s="447">
        <v>183222.0</v>
      </c>
      <c r="O56" s="447">
        <v>170445.0</v>
      </c>
      <c r="P56" s="447">
        <v>158897.0</v>
      </c>
      <c r="Q56" s="447">
        <v>152266.0</v>
      </c>
      <c r="R56" s="447">
        <v>152855.0</v>
      </c>
      <c r="S56" s="447">
        <v>155851.0</v>
      </c>
    </row>
    <row r="57">
      <c r="A57" s="76" t="s">
        <v>921</v>
      </c>
    </row>
    <row r="58">
      <c r="A58" s="482" t="s">
        <v>640</v>
      </c>
      <c r="B58" s="498">
        <v>30.30083333</v>
      </c>
      <c r="C58" s="498">
        <v>25.9475</v>
      </c>
      <c r="D58" s="498">
        <v>26.115</v>
      </c>
      <c r="E58" s="498">
        <v>31.12083333</v>
      </c>
      <c r="F58" s="498">
        <v>41.44333333</v>
      </c>
      <c r="G58" s="498">
        <v>56.4925</v>
      </c>
      <c r="H58" s="498">
        <v>66.01833333</v>
      </c>
      <c r="I58" s="498">
        <v>72.31833333</v>
      </c>
      <c r="J58" s="498">
        <v>99.57166667</v>
      </c>
      <c r="K58" s="498">
        <v>61.65416667</v>
      </c>
      <c r="L58" s="498">
        <v>79.395</v>
      </c>
      <c r="M58" s="498">
        <v>94.87416667</v>
      </c>
      <c r="N58" s="498">
        <v>94.11083333</v>
      </c>
      <c r="O58" s="498">
        <v>97.90583333</v>
      </c>
      <c r="P58" s="498">
        <v>93.25833333</v>
      </c>
      <c r="Q58" s="498">
        <v>48.68833333</v>
      </c>
      <c r="R58" s="498">
        <v>43.14416667</v>
      </c>
      <c r="S58" s="498">
        <v>50.88416667</v>
      </c>
      <c r="T58" s="523">
        <v>68.463997</v>
      </c>
      <c r="U58" s="523">
        <v>69.556999</v>
      </c>
      <c r="V58" s="523">
        <v>73.417885</v>
      </c>
      <c r="W58" s="523">
        <v>77.008263</v>
      </c>
      <c r="X58" s="523">
        <v>78.175545</v>
      </c>
      <c r="Y58" s="523">
        <v>81.901627</v>
      </c>
      <c r="Z58" s="523">
        <v>87.454857</v>
      </c>
      <c r="AA58" s="523">
        <v>92.685051</v>
      </c>
      <c r="AB58" s="523">
        <v>97.377525</v>
      </c>
      <c r="AC58" s="523">
        <v>102.453674</v>
      </c>
      <c r="AD58" s="523">
        <v>106.935913</v>
      </c>
      <c r="AE58" s="523">
        <v>111.79879</v>
      </c>
      <c r="AF58" s="523">
        <v>116.054909</v>
      </c>
      <c r="AG58" s="523">
        <v>121.082336</v>
      </c>
      <c r="AH58" s="523">
        <v>125.284821</v>
      </c>
      <c r="AI58" s="523">
        <v>131.83606</v>
      </c>
      <c r="AJ58" s="523">
        <v>135.625595</v>
      </c>
      <c r="AK58" s="523">
        <v>140.913284</v>
      </c>
      <c r="AL58" s="523">
        <v>146.975525</v>
      </c>
      <c r="AM58" s="523">
        <v>149.761261</v>
      </c>
      <c r="AN58" s="523">
        <v>154.985153</v>
      </c>
      <c r="AO58" s="523">
        <v>159.689987</v>
      </c>
      <c r="AP58" s="523">
        <v>165.707123</v>
      </c>
      <c r="AQ58" s="523">
        <v>170.507996</v>
      </c>
      <c r="AR58" s="523">
        <v>176.77037</v>
      </c>
      <c r="AS58" s="523">
        <v>181.380966</v>
      </c>
      <c r="AT58" s="523">
        <v>186.617828</v>
      </c>
      <c r="AU58" s="523">
        <v>192.045486</v>
      </c>
      <c r="AV58" s="523">
        <v>197.27951</v>
      </c>
      <c r="AW58" s="523">
        <v>202.597809</v>
      </c>
      <c r="AX58" s="523">
        <v>208.117722</v>
      </c>
      <c r="AY58" s="523">
        <v>213.356369</v>
      </c>
      <c r="AZ58" s="523">
        <v>218.588654</v>
      </c>
    </row>
    <row r="59">
      <c r="A59" s="482" t="s">
        <v>922</v>
      </c>
      <c r="B59" s="454">
        <f t="shared" ref="B59:AZ59" si="18">B48*B58*0.365</f>
        <v>4.388331216</v>
      </c>
      <c r="C59" s="454">
        <f t="shared" si="18"/>
        <v>3.666634738</v>
      </c>
      <c r="D59" s="454">
        <f t="shared" si="18"/>
        <v>3.591924607</v>
      </c>
      <c r="E59" s="454">
        <f t="shared" si="18"/>
        <v>4.230890508</v>
      </c>
      <c r="F59" s="454">
        <f t="shared" si="18"/>
        <v>5.785393483</v>
      </c>
      <c r="G59" s="454">
        <f t="shared" si="18"/>
        <v>8.450296567</v>
      </c>
      <c r="H59" s="454">
        <f t="shared" si="18"/>
        <v>10.31390411</v>
      </c>
      <c r="I59" s="454">
        <f t="shared" si="18"/>
        <v>12.20209712</v>
      </c>
      <c r="J59" s="454">
        <f t="shared" si="18"/>
        <v>20.12162101</v>
      </c>
      <c r="K59" s="454">
        <f t="shared" si="18"/>
        <v>14.22623694</v>
      </c>
      <c r="L59" s="454">
        <f t="shared" si="18"/>
        <v>23.89147996</v>
      </c>
      <c r="M59" s="454">
        <f t="shared" si="18"/>
        <v>44.75114537</v>
      </c>
      <c r="N59" s="454">
        <f t="shared" si="18"/>
        <v>73.62991075</v>
      </c>
      <c r="O59" s="454">
        <f t="shared" si="18"/>
        <v>108.9615613</v>
      </c>
      <c r="P59" s="454">
        <f t="shared" si="18"/>
        <v>139.7315629</v>
      </c>
      <c r="Q59" s="454">
        <f t="shared" si="18"/>
        <v>84.84840357</v>
      </c>
      <c r="R59" s="454">
        <f t="shared" si="18"/>
        <v>69.74885533</v>
      </c>
      <c r="S59" s="454">
        <f t="shared" si="18"/>
        <v>92.10968874</v>
      </c>
      <c r="T59" s="684">
        <f t="shared" si="18"/>
        <v>161.5484906</v>
      </c>
      <c r="U59" s="684">
        <f t="shared" si="18"/>
        <v>193.6861574</v>
      </c>
      <c r="V59" s="684">
        <f t="shared" si="18"/>
        <v>228.9407682</v>
      </c>
      <c r="W59" s="684">
        <f t="shared" si="18"/>
        <v>253.3200088</v>
      </c>
      <c r="X59" s="684">
        <f t="shared" si="18"/>
        <v>259.9149391</v>
      </c>
      <c r="Y59" s="684">
        <f t="shared" si="18"/>
        <v>272.1782211</v>
      </c>
      <c r="Z59" s="684">
        <f t="shared" si="18"/>
        <v>298.0766595</v>
      </c>
      <c r="AA59" s="684">
        <f t="shared" si="18"/>
        <v>319.6777752</v>
      </c>
      <c r="AB59" s="684">
        <f t="shared" si="18"/>
        <v>344.1801639</v>
      </c>
      <c r="AC59" s="684">
        <f t="shared" si="18"/>
        <v>372.6845722</v>
      </c>
      <c r="AD59" s="684">
        <f t="shared" si="18"/>
        <v>390.5897721</v>
      </c>
      <c r="AE59" s="684">
        <f t="shared" si="18"/>
        <v>413.2972291</v>
      </c>
      <c r="AF59" s="684">
        <f t="shared" si="18"/>
        <v>432.82491</v>
      </c>
      <c r="AG59" s="684">
        <f t="shared" si="18"/>
        <v>454.4692612</v>
      </c>
      <c r="AH59" s="684">
        <f t="shared" si="18"/>
        <v>468.3181413</v>
      </c>
      <c r="AI59" s="684">
        <f t="shared" si="18"/>
        <v>489.2237793</v>
      </c>
      <c r="AJ59" s="684">
        <f t="shared" si="18"/>
        <v>501.6893441</v>
      </c>
      <c r="AK59" s="684">
        <f t="shared" si="18"/>
        <v>515.8760756</v>
      </c>
      <c r="AL59" s="684">
        <f t="shared" si="18"/>
        <v>530.7564263</v>
      </c>
      <c r="AM59" s="684">
        <f t="shared" si="18"/>
        <v>532.2857241</v>
      </c>
      <c r="AN59" s="684">
        <f t="shared" si="18"/>
        <v>545.1966329</v>
      </c>
      <c r="AO59" s="684">
        <f t="shared" si="18"/>
        <v>556.6530696</v>
      </c>
      <c r="AP59" s="684">
        <f t="shared" si="18"/>
        <v>572.1293594</v>
      </c>
      <c r="AQ59" s="684">
        <f t="shared" si="18"/>
        <v>587.0790879</v>
      </c>
      <c r="AR59" s="684">
        <f t="shared" si="18"/>
        <v>604.4371714</v>
      </c>
      <c r="AS59" s="684">
        <f t="shared" si="18"/>
        <v>613.608554</v>
      </c>
      <c r="AT59" s="684">
        <f t="shared" si="18"/>
        <v>624.9258572</v>
      </c>
      <c r="AU59" s="684">
        <f t="shared" si="18"/>
        <v>631.3136237</v>
      </c>
      <c r="AV59" s="684">
        <f t="shared" si="18"/>
        <v>639.1158139</v>
      </c>
      <c r="AW59" s="684">
        <f t="shared" si="18"/>
        <v>648.7253766</v>
      </c>
      <c r="AX59" s="684">
        <f t="shared" si="18"/>
        <v>658.6450467</v>
      </c>
      <c r="AY59" s="684">
        <f t="shared" si="18"/>
        <v>660.7201687</v>
      </c>
      <c r="AZ59" s="684">
        <f t="shared" si="18"/>
        <v>668.3772289</v>
      </c>
    </row>
    <row r="60">
      <c r="V60" s="4" t="s">
        <v>923</v>
      </c>
    </row>
    <row r="71" ht="15.75" customHeight="1">
      <c r="A71" s="535" t="s">
        <v>74</v>
      </c>
      <c r="B71" s="536">
        <v>0.6</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76</v>
      </c>
      <c r="B72" s="538">
        <f>1-B71</f>
        <v>0.4</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78</v>
      </c>
      <c r="B73" s="536">
        <v>0.075</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80</v>
      </c>
      <c r="B74" s="536">
        <v>0.09</v>
      </c>
      <c r="C74" s="537"/>
      <c r="D74" s="537"/>
      <c r="E74" s="537"/>
      <c r="F74" s="537"/>
      <c r="G74" s="537"/>
      <c r="H74" s="537"/>
      <c r="I74" s="537"/>
      <c r="J74" s="537"/>
      <c r="K74" s="537"/>
      <c r="L74" s="537"/>
      <c r="M74" s="537"/>
      <c r="N74" s="537"/>
      <c r="O74" s="537"/>
      <c r="P74" s="537"/>
      <c r="Q74" s="537"/>
      <c r="R74" s="537"/>
      <c r="S74" s="537"/>
      <c r="T74" s="537"/>
      <c r="U74" s="537"/>
      <c r="V74" s="537"/>
    </row>
    <row r="75" ht="15.75" customHeight="1">
      <c r="A75" s="535" t="s">
        <v>82</v>
      </c>
      <c r="B75" s="538">
        <f>B71*B73+B72*B74</f>
        <v>0.081</v>
      </c>
      <c r="C75" s="539"/>
      <c r="D75" s="539"/>
      <c r="E75" s="539"/>
      <c r="F75" s="539"/>
      <c r="G75" s="539"/>
      <c r="H75" s="539"/>
      <c r="I75" s="539"/>
      <c r="J75" s="539"/>
      <c r="K75" s="539"/>
      <c r="L75" s="539"/>
      <c r="M75" s="539"/>
      <c r="N75" s="539"/>
      <c r="O75" s="539"/>
      <c r="P75" s="539"/>
      <c r="Q75" s="539"/>
      <c r="R75" s="539"/>
      <c r="S75" s="539"/>
      <c r="T75" s="539"/>
      <c r="U75" s="539"/>
      <c r="V75" s="539"/>
    </row>
    <row r="76" ht="15.75" customHeight="1">
      <c r="A76" s="535" t="s">
        <v>84</v>
      </c>
      <c r="B76" s="668">
        <v>15.0</v>
      </c>
      <c r="C76" s="141"/>
      <c r="D76" s="141"/>
      <c r="E76" s="141"/>
      <c r="F76" s="141"/>
      <c r="G76" s="141"/>
      <c r="H76" s="141"/>
      <c r="I76" s="141"/>
      <c r="J76" s="141"/>
      <c r="K76" s="141"/>
      <c r="L76" s="141"/>
      <c r="M76" s="141"/>
      <c r="N76" s="141"/>
      <c r="O76" s="141"/>
      <c r="P76" s="141"/>
      <c r="Q76" s="141"/>
      <c r="R76" s="141"/>
      <c r="S76" s="141"/>
      <c r="T76" s="141"/>
      <c r="U76" s="141"/>
      <c r="V76" s="141"/>
    </row>
    <row r="77" ht="15.75" customHeight="1">
      <c r="A77" s="535" t="s">
        <v>772</v>
      </c>
      <c r="B77" s="538">
        <v>0.0375</v>
      </c>
      <c r="C77" s="669">
        <v>0.07219</v>
      </c>
      <c r="D77" s="669">
        <v>0.06677</v>
      </c>
      <c r="E77" s="669">
        <v>0.06177</v>
      </c>
      <c r="F77" s="669">
        <v>0.05713</v>
      </c>
      <c r="G77" s="669">
        <v>0.05285</v>
      </c>
      <c r="H77" s="669">
        <v>0.04888</v>
      </c>
      <c r="I77" s="669">
        <v>0.04522</v>
      </c>
      <c r="J77" s="669">
        <v>0.04462</v>
      </c>
      <c r="K77" s="669">
        <v>0.04461</v>
      </c>
      <c r="L77" s="669">
        <v>0.04462</v>
      </c>
      <c r="M77" s="669">
        <v>0.04461</v>
      </c>
      <c r="N77" s="669">
        <v>0.04462</v>
      </c>
      <c r="O77" s="669">
        <v>0.04461</v>
      </c>
      <c r="P77" s="669">
        <v>0.04462</v>
      </c>
      <c r="Q77" s="669">
        <v>0.04461</v>
      </c>
      <c r="R77" s="669">
        <v>0.04462</v>
      </c>
      <c r="S77" s="669">
        <v>0.04461</v>
      </c>
      <c r="T77" s="669">
        <v>0.04462</v>
      </c>
      <c r="U77" s="669">
        <v>0.04461</v>
      </c>
      <c r="V77" s="669">
        <v>0.02231</v>
      </c>
    </row>
    <row r="78" ht="15.75" customHeight="1">
      <c r="A78" s="535" t="s">
        <v>773</v>
      </c>
      <c r="B78" s="538">
        <f>1/30</f>
        <v>0.03333333333</v>
      </c>
    </row>
    <row r="79" ht="15.0" customHeight="1">
      <c r="A79" s="535" t="s">
        <v>112</v>
      </c>
      <c r="B79" s="546">
        <v>0.35</v>
      </c>
      <c r="C79" s="546">
        <v>0.35</v>
      </c>
      <c r="D79" s="546">
        <v>0.35</v>
      </c>
      <c r="E79" s="546">
        <v>0.35</v>
      </c>
      <c r="F79" s="546">
        <v>0.35</v>
      </c>
      <c r="G79" s="546">
        <v>0.35</v>
      </c>
      <c r="H79" s="546">
        <v>0.35</v>
      </c>
      <c r="I79" s="546">
        <v>0.35</v>
      </c>
      <c r="J79" s="546">
        <v>0.35</v>
      </c>
      <c r="K79" s="546">
        <v>0.35</v>
      </c>
      <c r="L79" s="546">
        <v>0.35</v>
      </c>
      <c r="M79" s="546">
        <v>0.35</v>
      </c>
      <c r="N79" s="546">
        <v>0.35</v>
      </c>
      <c r="O79" s="546">
        <v>0.35</v>
      </c>
      <c r="P79" s="546">
        <v>0.35</v>
      </c>
      <c r="Q79" s="546">
        <v>0.35</v>
      </c>
      <c r="R79" s="546">
        <v>0.35</v>
      </c>
      <c r="S79" s="546">
        <v>0.35</v>
      </c>
      <c r="T79" s="546">
        <v>0.21</v>
      </c>
      <c r="U79" s="546">
        <v>0.21</v>
      </c>
      <c r="V79" s="547">
        <v>0.21</v>
      </c>
      <c r="W79" s="208">
        <f t="shared" ref="W79:AZ79" si="19">V79</f>
        <v>0.21</v>
      </c>
      <c r="X79" s="208">
        <f t="shared" si="19"/>
        <v>0.21</v>
      </c>
      <c r="Y79" s="208">
        <f t="shared" si="19"/>
        <v>0.21</v>
      </c>
      <c r="Z79" s="208">
        <f t="shared" si="19"/>
        <v>0.21</v>
      </c>
      <c r="AA79" s="208">
        <f t="shared" si="19"/>
        <v>0.21</v>
      </c>
      <c r="AB79" s="208">
        <f t="shared" si="19"/>
        <v>0.21</v>
      </c>
      <c r="AC79" s="208">
        <f t="shared" si="19"/>
        <v>0.21</v>
      </c>
      <c r="AD79" s="208">
        <f t="shared" si="19"/>
        <v>0.21</v>
      </c>
      <c r="AE79" s="208">
        <f t="shared" si="19"/>
        <v>0.21</v>
      </c>
      <c r="AF79" s="208">
        <f t="shared" si="19"/>
        <v>0.21</v>
      </c>
      <c r="AG79" s="208">
        <f t="shared" si="19"/>
        <v>0.21</v>
      </c>
      <c r="AH79" s="208">
        <f t="shared" si="19"/>
        <v>0.21</v>
      </c>
      <c r="AI79" s="208">
        <f t="shared" si="19"/>
        <v>0.21</v>
      </c>
      <c r="AJ79" s="208">
        <f t="shared" si="19"/>
        <v>0.21</v>
      </c>
      <c r="AK79" s="208">
        <f t="shared" si="19"/>
        <v>0.21</v>
      </c>
      <c r="AL79" s="208">
        <f t="shared" si="19"/>
        <v>0.21</v>
      </c>
      <c r="AM79" s="208">
        <f t="shared" si="19"/>
        <v>0.21</v>
      </c>
      <c r="AN79" s="208">
        <f t="shared" si="19"/>
        <v>0.21</v>
      </c>
      <c r="AO79" s="208">
        <f t="shared" si="19"/>
        <v>0.21</v>
      </c>
      <c r="AP79" s="208">
        <f t="shared" si="19"/>
        <v>0.21</v>
      </c>
      <c r="AQ79" s="208">
        <f t="shared" si="19"/>
        <v>0.21</v>
      </c>
      <c r="AR79" s="208">
        <f t="shared" si="19"/>
        <v>0.21</v>
      </c>
      <c r="AS79" s="208">
        <f t="shared" si="19"/>
        <v>0.21</v>
      </c>
      <c r="AT79" s="208">
        <f t="shared" si="19"/>
        <v>0.21</v>
      </c>
      <c r="AU79" s="208">
        <f t="shared" si="19"/>
        <v>0.21</v>
      </c>
      <c r="AV79" s="208">
        <f t="shared" si="19"/>
        <v>0.21</v>
      </c>
      <c r="AW79" s="208">
        <f t="shared" si="19"/>
        <v>0.21</v>
      </c>
      <c r="AX79" s="208">
        <f t="shared" si="19"/>
        <v>0.21</v>
      </c>
      <c r="AY79" s="208">
        <f t="shared" si="19"/>
        <v>0.21</v>
      </c>
      <c r="AZ79" s="208">
        <f t="shared" si="19"/>
        <v>0.21</v>
      </c>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6.57"/>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85" t="s">
        <v>924</v>
      </c>
      <c r="B2" s="686" t="s">
        <v>925</v>
      </c>
      <c r="C2" s="686" t="s">
        <v>925</v>
      </c>
      <c r="D2" s="686" t="s">
        <v>925</v>
      </c>
      <c r="E2" s="686">
        <v>1.17</v>
      </c>
      <c r="F2" s="686">
        <v>1.15</v>
      </c>
      <c r="G2" s="686">
        <v>1.14</v>
      </c>
      <c r="H2" s="686">
        <v>1.12</v>
      </c>
      <c r="I2" s="686">
        <v>1.17</v>
      </c>
      <c r="J2" s="686">
        <v>1.45</v>
      </c>
      <c r="K2" s="686">
        <v>1.48</v>
      </c>
      <c r="L2" s="686">
        <v>1.83</v>
      </c>
      <c r="M2" s="686">
        <v>1.58</v>
      </c>
      <c r="N2" s="686">
        <v>1.52</v>
      </c>
      <c r="O2" s="686">
        <v>1.97</v>
      </c>
      <c r="P2" s="686">
        <v>1.79</v>
      </c>
      <c r="Q2" s="686">
        <v>1.82</v>
      </c>
      <c r="R2" s="686">
        <v>1.82</v>
      </c>
    </row>
    <row r="3">
      <c r="A3" s="685" t="s">
        <v>926</v>
      </c>
      <c r="B3" s="686" t="s">
        <v>925</v>
      </c>
      <c r="C3" s="686" t="s">
        <v>925</v>
      </c>
      <c r="D3" s="686" t="s">
        <v>925</v>
      </c>
      <c r="E3" s="686">
        <v>0.03</v>
      </c>
      <c r="F3" s="686">
        <v>0.02</v>
      </c>
      <c r="G3" s="686">
        <v>0.03</v>
      </c>
      <c r="H3" s="686">
        <v>0.03</v>
      </c>
      <c r="I3" s="686">
        <v>0.07</v>
      </c>
      <c r="J3" s="686">
        <v>0.12</v>
      </c>
      <c r="K3" s="686">
        <v>0.23</v>
      </c>
      <c r="L3" s="686">
        <v>0.03</v>
      </c>
      <c r="M3" s="686">
        <v>0.07</v>
      </c>
      <c r="N3" s="686">
        <v>0.1</v>
      </c>
      <c r="O3" s="686">
        <v>0.06</v>
      </c>
      <c r="P3" s="686">
        <v>0.04</v>
      </c>
      <c r="Q3" s="686">
        <v>0.03</v>
      </c>
      <c r="R3" s="686">
        <v>0.02</v>
      </c>
    </row>
    <row r="4">
      <c r="A4" s="685" t="s">
        <v>927</v>
      </c>
      <c r="B4" s="686" t="s">
        <v>925</v>
      </c>
      <c r="C4" s="686" t="s">
        <v>925</v>
      </c>
      <c r="D4" s="686" t="s">
        <v>925</v>
      </c>
      <c r="E4" s="686">
        <v>0.09</v>
      </c>
      <c r="F4" s="686">
        <v>0.05</v>
      </c>
      <c r="G4" s="686">
        <v>0.07</v>
      </c>
      <c r="H4" s="686">
        <v>0.02</v>
      </c>
      <c r="I4" s="686">
        <v>0.05</v>
      </c>
      <c r="J4" s="686">
        <v>0.1</v>
      </c>
      <c r="K4" s="686">
        <v>0.08</v>
      </c>
      <c r="L4" s="686">
        <v>0.2</v>
      </c>
      <c r="M4" s="686">
        <v>0.17</v>
      </c>
      <c r="N4" s="686">
        <v>0.08</v>
      </c>
      <c r="O4" s="686">
        <v>0.21</v>
      </c>
      <c r="P4" s="686">
        <v>0.02</v>
      </c>
      <c r="Q4" s="686">
        <v>0.04</v>
      </c>
      <c r="R4" s="686">
        <v>0.4</v>
      </c>
    </row>
    <row r="5">
      <c r="A5" s="685" t="s">
        <v>928</v>
      </c>
      <c r="B5" s="686" t="s">
        <v>925</v>
      </c>
      <c r="C5" s="686" t="s">
        <v>925</v>
      </c>
      <c r="D5" s="686" t="s">
        <v>925</v>
      </c>
      <c r="E5" s="686">
        <v>0.0</v>
      </c>
      <c r="F5" s="686">
        <v>0.0</v>
      </c>
      <c r="G5" s="686">
        <v>0.0</v>
      </c>
      <c r="H5" s="686">
        <v>0.0</v>
      </c>
      <c r="I5" s="686">
        <v>0.0</v>
      </c>
      <c r="J5" s="686">
        <v>0.0</v>
      </c>
      <c r="K5" s="686">
        <v>0.0</v>
      </c>
      <c r="L5" s="686">
        <v>-0.09</v>
      </c>
      <c r="M5" s="686">
        <v>0.01</v>
      </c>
      <c r="N5" s="686">
        <v>-0.01</v>
      </c>
      <c r="O5" s="686">
        <v>0.0</v>
      </c>
      <c r="P5" s="686">
        <v>0.0</v>
      </c>
      <c r="Q5" s="686">
        <v>0.0</v>
      </c>
      <c r="R5" s="686">
        <v>0.01</v>
      </c>
    </row>
    <row r="6">
      <c r="A6" s="685" t="s">
        <v>929</v>
      </c>
      <c r="B6" s="686" t="s">
        <v>925</v>
      </c>
      <c r="C6" s="686" t="s">
        <v>925</v>
      </c>
      <c r="D6" s="686" t="s">
        <v>925</v>
      </c>
      <c r="E6" s="686">
        <v>0.0</v>
      </c>
      <c r="F6" s="686">
        <v>0.03</v>
      </c>
      <c r="G6" s="686">
        <v>0.02</v>
      </c>
      <c r="H6" s="686">
        <v>0.05</v>
      </c>
      <c r="I6" s="686">
        <v>0.25</v>
      </c>
      <c r="J6" s="686">
        <v>0.01</v>
      </c>
      <c r="K6" s="686">
        <v>0.21</v>
      </c>
      <c r="L6" s="686">
        <v>0.01</v>
      </c>
      <c r="M6" s="686">
        <v>0.03</v>
      </c>
      <c r="N6" s="686">
        <v>0.43</v>
      </c>
      <c r="O6" s="686">
        <v>-0.03</v>
      </c>
      <c r="P6" s="686">
        <v>0.0</v>
      </c>
      <c r="Q6" s="686">
        <v>0.0</v>
      </c>
      <c r="R6" s="686">
        <v>-0.23</v>
      </c>
    </row>
    <row r="7">
      <c r="A7" s="685" t="s">
        <v>930</v>
      </c>
      <c r="B7" s="686" t="s">
        <v>925</v>
      </c>
      <c r="C7" s="686" t="s">
        <v>925</v>
      </c>
      <c r="D7" s="686" t="s">
        <v>925</v>
      </c>
      <c r="E7" s="686">
        <v>1.11</v>
      </c>
      <c r="F7" s="686">
        <v>1.14</v>
      </c>
      <c r="G7" s="686">
        <v>1.12</v>
      </c>
      <c r="H7" s="686">
        <v>1.17</v>
      </c>
      <c r="I7" s="686">
        <v>1.45</v>
      </c>
      <c r="J7" s="686">
        <v>1.48</v>
      </c>
      <c r="K7" s="686">
        <v>1.83</v>
      </c>
      <c r="L7" s="686">
        <v>1.58</v>
      </c>
      <c r="M7" s="686">
        <v>1.52</v>
      </c>
      <c r="N7" s="686">
        <v>1.97</v>
      </c>
      <c r="O7" s="686">
        <v>1.79</v>
      </c>
      <c r="P7" s="686">
        <v>1.82</v>
      </c>
      <c r="Q7" s="686">
        <v>1.8</v>
      </c>
      <c r="R7" s="686">
        <v>1.21</v>
      </c>
    </row>
    <row r="8">
      <c r="A8" s="687" t="s">
        <v>931</v>
      </c>
      <c r="B8" s="688">
        <v>0.0</v>
      </c>
      <c r="C8" s="688">
        <v>0.0</v>
      </c>
      <c r="D8" s="688">
        <v>0.0</v>
      </c>
      <c r="E8" s="688">
        <v>0.07</v>
      </c>
      <c r="F8" s="688">
        <v>0.13</v>
      </c>
      <c r="G8" s="688">
        <v>0.13</v>
      </c>
      <c r="H8" s="688">
        <v>0.15</v>
      </c>
      <c r="I8" s="688">
        <v>0.16</v>
      </c>
      <c r="J8" s="688">
        <v>0.17</v>
      </c>
      <c r="K8" s="688">
        <v>0.17</v>
      </c>
      <c r="L8" s="688">
        <v>0.16</v>
      </c>
      <c r="M8" s="688">
        <v>0.16</v>
      </c>
      <c r="N8" s="688">
        <v>0.25</v>
      </c>
      <c r="O8" s="688">
        <v>0.3</v>
      </c>
      <c r="P8" s="688">
        <v>0.3</v>
      </c>
      <c r="Q8" s="688">
        <v>0.3</v>
      </c>
      <c r="R8" s="688">
        <v>0.31</v>
      </c>
    </row>
    <row r="9">
      <c r="A9" s="687" t="s">
        <v>932</v>
      </c>
      <c r="B9" s="688">
        <v>0.0</v>
      </c>
      <c r="C9" s="688" t="s">
        <v>925</v>
      </c>
      <c r="D9" s="688">
        <v>0.0</v>
      </c>
      <c r="E9" s="688">
        <v>0.08</v>
      </c>
      <c r="F9" s="688">
        <v>0.01</v>
      </c>
      <c r="G9" s="688">
        <v>0.01</v>
      </c>
      <c r="H9" s="688">
        <v>0.01</v>
      </c>
      <c r="I9" s="688">
        <v>0.0</v>
      </c>
      <c r="J9" s="688">
        <v>0.0</v>
      </c>
      <c r="K9" s="688">
        <v>0.01</v>
      </c>
      <c r="L9" s="688">
        <v>0.0</v>
      </c>
      <c r="M9" s="688">
        <v>0.09</v>
      </c>
      <c r="N9" s="688">
        <v>0.04</v>
      </c>
      <c r="O9" s="688">
        <v>0.0</v>
      </c>
      <c r="P9" s="688">
        <v>0.0</v>
      </c>
      <c r="Q9" s="688">
        <v>0.01</v>
      </c>
      <c r="R9" s="688">
        <v>0.0</v>
      </c>
    </row>
    <row r="10">
      <c r="A10" s="687" t="s">
        <v>933</v>
      </c>
      <c r="B10" s="688">
        <v>0.0</v>
      </c>
      <c r="C10" s="688" t="s">
        <v>925</v>
      </c>
      <c r="D10" s="688">
        <v>0.0</v>
      </c>
      <c r="E10" s="688">
        <v>0.02</v>
      </c>
      <c r="F10" s="688">
        <v>0.0</v>
      </c>
      <c r="G10" s="688">
        <v>0.0</v>
      </c>
      <c r="H10" s="688">
        <v>0.0</v>
      </c>
      <c r="I10" s="688">
        <v>0.0</v>
      </c>
      <c r="J10" s="688">
        <v>0.0</v>
      </c>
      <c r="K10" s="688">
        <v>0.02</v>
      </c>
      <c r="L10" s="688">
        <v>0.0</v>
      </c>
      <c r="M10" s="688">
        <v>0.0</v>
      </c>
      <c r="N10" s="688">
        <v>0.0</v>
      </c>
      <c r="O10" s="688">
        <v>0.0</v>
      </c>
      <c r="P10" s="688">
        <v>0.0</v>
      </c>
      <c r="Q10" s="688">
        <v>0.0</v>
      </c>
      <c r="R10" s="688">
        <v>0.28</v>
      </c>
    </row>
    <row r="11">
      <c r="A11" s="687" t="s">
        <v>934</v>
      </c>
      <c r="B11" s="688" t="s">
        <v>925</v>
      </c>
      <c r="C11" s="688" t="s">
        <v>925</v>
      </c>
      <c r="D11" s="688" t="s">
        <v>925</v>
      </c>
      <c r="E11" s="688">
        <v>0.0</v>
      </c>
      <c r="F11" s="688" t="s">
        <v>925</v>
      </c>
      <c r="G11" s="688">
        <v>0.01</v>
      </c>
      <c r="H11" s="688">
        <v>0.0</v>
      </c>
      <c r="I11" s="688" t="s">
        <v>925</v>
      </c>
      <c r="J11" s="688">
        <v>0.0</v>
      </c>
      <c r="K11" s="688">
        <v>0.0</v>
      </c>
      <c r="L11" s="688">
        <v>0.0</v>
      </c>
      <c r="M11" s="688" t="s">
        <v>925</v>
      </c>
      <c r="N11" s="688" t="s">
        <v>925</v>
      </c>
      <c r="O11" s="688" t="s">
        <v>925</v>
      </c>
      <c r="P11" s="688" t="s">
        <v>925</v>
      </c>
      <c r="Q11" s="688" t="s">
        <v>925</v>
      </c>
      <c r="R11" s="688" t="s">
        <v>925</v>
      </c>
    </row>
    <row r="12">
      <c r="A12" s="687" t="s">
        <v>935</v>
      </c>
      <c r="B12" s="688" t="s">
        <v>925</v>
      </c>
      <c r="C12" s="688" t="s">
        <v>925</v>
      </c>
      <c r="D12" s="688" t="s">
        <v>925</v>
      </c>
      <c r="E12" s="688">
        <v>0.0</v>
      </c>
      <c r="F12" s="688" t="s">
        <v>925</v>
      </c>
      <c r="G12" s="688">
        <v>0.0</v>
      </c>
      <c r="H12" s="688">
        <v>0.0</v>
      </c>
      <c r="I12" s="688" t="s">
        <v>925</v>
      </c>
      <c r="J12" s="688">
        <v>0.0</v>
      </c>
      <c r="K12" s="688">
        <v>0.0</v>
      </c>
      <c r="L12" s="688">
        <v>0.0</v>
      </c>
      <c r="M12" s="688">
        <v>0.0</v>
      </c>
      <c r="N12" s="688">
        <v>0.0</v>
      </c>
      <c r="O12" s="688">
        <v>0.0</v>
      </c>
      <c r="P12" s="688">
        <v>0.0</v>
      </c>
      <c r="Q12" s="688" t="s">
        <v>925</v>
      </c>
      <c r="R12" s="688">
        <v>0.0</v>
      </c>
    </row>
    <row r="13">
      <c r="A13" s="687" t="s">
        <v>936</v>
      </c>
      <c r="B13" s="688">
        <v>0.0</v>
      </c>
      <c r="C13" s="688">
        <v>0.0</v>
      </c>
      <c r="D13" s="688">
        <v>0.0</v>
      </c>
      <c r="E13" s="688">
        <v>0.13</v>
      </c>
      <c r="F13" s="688">
        <v>0.13</v>
      </c>
      <c r="G13" s="688">
        <v>0.15</v>
      </c>
      <c r="H13" s="688">
        <v>0.16</v>
      </c>
      <c r="I13" s="688">
        <v>0.17</v>
      </c>
      <c r="J13" s="688">
        <v>0.17</v>
      </c>
      <c r="K13" s="688">
        <v>0.16</v>
      </c>
      <c r="L13" s="688">
        <v>0.16</v>
      </c>
      <c r="M13" s="688">
        <v>0.25</v>
      </c>
      <c r="N13" s="688">
        <v>0.3</v>
      </c>
      <c r="O13" s="688">
        <v>0.3</v>
      </c>
      <c r="P13" s="688">
        <v>0.3</v>
      </c>
      <c r="Q13" s="688">
        <v>0.31</v>
      </c>
      <c r="R13" s="688">
        <v>0.03</v>
      </c>
    </row>
    <row r="14">
      <c r="A14" s="689" t="s">
        <v>937</v>
      </c>
      <c r="B14" s="690">
        <v>1.77</v>
      </c>
      <c r="C14" s="690">
        <v>1.81</v>
      </c>
      <c r="D14" s="690">
        <v>1.88</v>
      </c>
      <c r="E14" s="690">
        <v>0.81</v>
      </c>
      <c r="F14" s="690">
        <v>1.18</v>
      </c>
      <c r="G14" s="690">
        <v>1.23</v>
      </c>
      <c r="H14" s="690">
        <v>1.33</v>
      </c>
      <c r="I14" s="690">
        <v>1.66</v>
      </c>
      <c r="J14" s="690">
        <v>1.69</v>
      </c>
      <c r="K14" s="690">
        <v>1.47</v>
      </c>
      <c r="L14" s="690">
        <v>1.94</v>
      </c>
      <c r="M14" s="690">
        <v>2.76</v>
      </c>
      <c r="N14" s="690">
        <v>2.82</v>
      </c>
      <c r="O14" s="690">
        <v>2.82</v>
      </c>
      <c r="P14" s="690">
        <v>2.84</v>
      </c>
      <c r="Q14" s="690">
        <v>2.85</v>
      </c>
      <c r="R14" s="690">
        <v>2.85</v>
      </c>
    </row>
    <row r="15">
      <c r="A15" s="689" t="s">
        <v>938</v>
      </c>
      <c r="B15" s="690">
        <v>0.06</v>
      </c>
      <c r="C15" s="690">
        <v>0.08</v>
      </c>
      <c r="D15" s="690">
        <v>0.13</v>
      </c>
      <c r="E15" s="690">
        <v>0.19</v>
      </c>
      <c r="F15" s="690">
        <v>0.04</v>
      </c>
      <c r="G15" s="690">
        <v>0.1</v>
      </c>
      <c r="H15" s="690">
        <v>0.33</v>
      </c>
      <c r="I15" s="690">
        <v>0.03</v>
      </c>
      <c r="J15" s="690">
        <v>0.07</v>
      </c>
      <c r="K15" s="690">
        <v>0.47</v>
      </c>
      <c r="L15" s="690">
        <v>0.83</v>
      </c>
      <c r="M15" s="690">
        <v>0.06</v>
      </c>
      <c r="N15" s="690">
        <v>0.01</v>
      </c>
      <c r="O15" s="690">
        <v>0.01</v>
      </c>
      <c r="P15" s="690">
        <v>0.02</v>
      </c>
      <c r="Q15" s="690">
        <v>0.01</v>
      </c>
      <c r="R15" s="690">
        <v>0.01</v>
      </c>
    </row>
    <row r="16">
      <c r="A16" s="689" t="s">
        <v>939</v>
      </c>
      <c r="B16" s="690">
        <v>0.01</v>
      </c>
      <c r="C16" s="690">
        <v>0.01</v>
      </c>
      <c r="D16" s="690">
        <v>0.01</v>
      </c>
      <c r="E16" s="690">
        <v>0.0</v>
      </c>
      <c r="F16" s="690">
        <v>0.0</v>
      </c>
      <c r="G16" s="690">
        <v>0.0</v>
      </c>
      <c r="H16" s="690">
        <v>0.01</v>
      </c>
      <c r="I16" s="690">
        <v>0.0</v>
      </c>
      <c r="J16" s="690">
        <v>0.0</v>
      </c>
      <c r="K16" s="690">
        <v>0.0</v>
      </c>
      <c r="L16" s="690">
        <v>0.0</v>
      </c>
      <c r="M16" s="690">
        <v>0.01</v>
      </c>
      <c r="N16" s="690">
        <v>0.0</v>
      </c>
      <c r="O16" s="690">
        <v>0.0</v>
      </c>
      <c r="P16" s="690">
        <v>0.0</v>
      </c>
      <c r="Q16" s="690">
        <v>0.01</v>
      </c>
      <c r="R16" s="690">
        <v>0.0</v>
      </c>
    </row>
    <row r="17">
      <c r="A17" s="689" t="s">
        <v>940</v>
      </c>
      <c r="B17" s="690">
        <v>0.0</v>
      </c>
      <c r="C17" s="690">
        <v>0.0</v>
      </c>
      <c r="D17" s="690">
        <v>0.0</v>
      </c>
      <c r="E17" s="690" t="s">
        <v>925</v>
      </c>
      <c r="F17" s="690" t="s">
        <v>925</v>
      </c>
      <c r="G17" s="690" t="s">
        <v>925</v>
      </c>
      <c r="H17" s="690" t="s">
        <v>925</v>
      </c>
      <c r="I17" s="690">
        <v>0.0</v>
      </c>
      <c r="J17" s="690">
        <v>0.0</v>
      </c>
      <c r="K17" s="690">
        <v>0.0</v>
      </c>
      <c r="L17" s="690">
        <v>0.0</v>
      </c>
      <c r="M17" s="690" t="s">
        <v>925</v>
      </c>
      <c r="N17" s="690">
        <v>0.0</v>
      </c>
      <c r="O17" s="690" t="s">
        <v>925</v>
      </c>
      <c r="P17" s="690" t="s">
        <v>925</v>
      </c>
      <c r="Q17" s="690" t="s">
        <v>925</v>
      </c>
      <c r="R17" s="690" t="s">
        <v>925</v>
      </c>
    </row>
    <row r="18">
      <c r="A18" s="689" t="s">
        <v>941</v>
      </c>
      <c r="B18" s="690">
        <v>0.0</v>
      </c>
      <c r="C18" s="690">
        <v>0.0</v>
      </c>
      <c r="D18" s="690">
        <v>0.0</v>
      </c>
      <c r="E18" s="690">
        <v>0.18</v>
      </c>
      <c r="F18" s="690">
        <v>0.0</v>
      </c>
      <c r="G18" s="690">
        <v>0.01</v>
      </c>
      <c r="H18" s="690" t="s">
        <v>925</v>
      </c>
      <c r="I18" s="690">
        <v>0.0</v>
      </c>
      <c r="J18" s="690">
        <v>0.0</v>
      </c>
      <c r="K18" s="690" t="s">
        <v>925</v>
      </c>
      <c r="L18" s="690" t="s">
        <v>925</v>
      </c>
      <c r="M18" s="690" t="s">
        <v>925</v>
      </c>
      <c r="N18" s="690">
        <v>0.0</v>
      </c>
      <c r="O18" s="690">
        <v>0.0</v>
      </c>
      <c r="P18" s="690" t="s">
        <v>925</v>
      </c>
      <c r="Q18" s="690">
        <v>0.0</v>
      </c>
      <c r="R18" s="690">
        <v>0.0</v>
      </c>
    </row>
    <row r="19">
      <c r="A19" s="689" t="s">
        <v>942</v>
      </c>
      <c r="B19" s="690">
        <v>1.82</v>
      </c>
      <c r="C19" s="690">
        <v>1.89</v>
      </c>
      <c r="D19" s="690">
        <v>1.99</v>
      </c>
      <c r="E19" s="690">
        <v>1.18</v>
      </c>
      <c r="F19" s="690">
        <v>1.23</v>
      </c>
      <c r="G19" s="690">
        <v>1.33</v>
      </c>
      <c r="H19" s="690">
        <v>1.66</v>
      </c>
      <c r="I19" s="690">
        <v>1.69</v>
      </c>
      <c r="J19" s="690">
        <v>1.76</v>
      </c>
      <c r="K19" s="690">
        <v>1.94</v>
      </c>
      <c r="L19" s="690">
        <v>2.76</v>
      </c>
      <c r="M19" s="690">
        <v>2.82</v>
      </c>
      <c r="N19" s="690">
        <v>2.82</v>
      </c>
      <c r="O19" s="690">
        <v>2.84</v>
      </c>
      <c r="P19" s="690">
        <v>2.85</v>
      </c>
      <c r="Q19" s="690">
        <v>2.85</v>
      </c>
      <c r="R19" s="690">
        <v>2.85</v>
      </c>
    </row>
    <row r="20">
      <c r="A20" s="449" t="s">
        <v>943</v>
      </c>
      <c r="B20" s="691">
        <v>4.49</v>
      </c>
      <c r="C20" s="691">
        <v>4.73</v>
      </c>
      <c r="D20" s="691">
        <v>4.88</v>
      </c>
      <c r="E20" s="691">
        <v>5.07</v>
      </c>
      <c r="F20" s="691">
        <v>5.28</v>
      </c>
      <c r="G20" s="691">
        <v>5.37</v>
      </c>
      <c r="H20" s="691">
        <v>5.55</v>
      </c>
      <c r="I20" s="691">
        <v>5.84</v>
      </c>
      <c r="J20" s="691">
        <v>6.31</v>
      </c>
      <c r="K20" s="691">
        <v>6.82</v>
      </c>
      <c r="L20" s="691">
        <v>7.23</v>
      </c>
      <c r="M20" s="691">
        <v>7.46</v>
      </c>
      <c r="N20" s="691">
        <v>7.81</v>
      </c>
      <c r="O20" s="691">
        <v>8.04</v>
      </c>
      <c r="P20" s="691">
        <v>8.33</v>
      </c>
      <c r="Q20" s="691">
        <v>8.64</v>
      </c>
      <c r="R20" s="691">
        <v>8.97</v>
      </c>
    </row>
    <row r="21">
      <c r="A21" s="449" t="s">
        <v>944</v>
      </c>
      <c r="B21" s="691">
        <v>0.17</v>
      </c>
      <c r="C21" s="691">
        <v>0.21</v>
      </c>
      <c r="D21" s="691">
        <v>0.27</v>
      </c>
      <c r="E21" s="691">
        <v>0.2</v>
      </c>
      <c r="F21" s="691">
        <v>0.26</v>
      </c>
      <c r="G21" s="691">
        <v>0.22</v>
      </c>
      <c r="H21" s="691">
        <v>0.32</v>
      </c>
      <c r="I21" s="691">
        <v>0.52</v>
      </c>
      <c r="J21" s="691">
        <v>0.5</v>
      </c>
      <c r="K21" s="691">
        <v>0.46</v>
      </c>
      <c r="L21" s="691">
        <v>0.27</v>
      </c>
      <c r="M21" s="691">
        <v>0.37</v>
      </c>
      <c r="N21" s="691">
        <v>0.3</v>
      </c>
      <c r="O21" s="691">
        <v>0.45</v>
      </c>
      <c r="P21" s="691">
        <v>0.38</v>
      </c>
      <c r="Q21" s="691">
        <v>0.33</v>
      </c>
      <c r="R21" s="691">
        <v>0.26</v>
      </c>
    </row>
    <row r="22">
      <c r="A22" s="449" t="s">
        <v>945</v>
      </c>
      <c r="B22" s="691">
        <v>0.05</v>
      </c>
      <c r="C22" s="691">
        <v>0.05</v>
      </c>
      <c r="D22" s="691">
        <v>0.04</v>
      </c>
      <c r="E22" s="691">
        <v>0.03</v>
      </c>
      <c r="F22" s="691">
        <v>0.08</v>
      </c>
      <c r="G22" s="691">
        <v>0.03</v>
      </c>
      <c r="H22" s="691">
        <v>0.03</v>
      </c>
      <c r="I22" s="691">
        <v>0.03</v>
      </c>
      <c r="J22" s="691">
        <v>0.02</v>
      </c>
      <c r="K22" s="691">
        <v>0.03</v>
      </c>
      <c r="L22" s="691">
        <v>0.04</v>
      </c>
      <c r="M22" s="691">
        <v>0.03</v>
      </c>
      <c r="N22" s="691">
        <v>0.05</v>
      </c>
      <c r="O22" s="691">
        <v>0.17</v>
      </c>
      <c r="P22" s="691">
        <v>0.04</v>
      </c>
      <c r="Q22" s="691">
        <v>0.05</v>
      </c>
      <c r="R22" s="691">
        <v>0.05</v>
      </c>
    </row>
    <row r="23">
      <c r="A23" s="449" t="s">
        <v>946</v>
      </c>
      <c r="B23" s="691">
        <v>0.0</v>
      </c>
      <c r="C23" s="691">
        <v>0.0</v>
      </c>
      <c r="D23" s="691">
        <v>0.0</v>
      </c>
      <c r="E23" s="691">
        <v>0.0</v>
      </c>
      <c r="F23" s="691">
        <v>-0.11</v>
      </c>
      <c r="G23" s="691">
        <v>0.0</v>
      </c>
      <c r="H23" s="691">
        <v>0.0</v>
      </c>
      <c r="I23" s="691">
        <v>-0.03</v>
      </c>
      <c r="J23" s="691">
        <v>0.0</v>
      </c>
      <c r="K23" s="691">
        <v>-0.01</v>
      </c>
      <c r="L23" s="691">
        <v>0.0</v>
      </c>
      <c r="M23" s="691">
        <v>0.01</v>
      </c>
      <c r="N23" s="691">
        <v>0.0</v>
      </c>
      <c r="O23" s="691">
        <v>0.0</v>
      </c>
      <c r="P23" s="691">
        <v>0.0</v>
      </c>
      <c r="Q23" s="691">
        <v>-0.01</v>
      </c>
      <c r="R23" s="691">
        <v>-0.08</v>
      </c>
    </row>
    <row r="24">
      <c r="A24" s="449" t="s">
        <v>947</v>
      </c>
      <c r="B24" s="691">
        <v>0.0</v>
      </c>
      <c r="C24" s="691">
        <v>0.0</v>
      </c>
      <c r="D24" s="691">
        <v>0.0</v>
      </c>
      <c r="E24" s="691">
        <v>0.0</v>
      </c>
      <c r="F24" s="691">
        <v>0.02</v>
      </c>
      <c r="G24" s="691">
        <v>-0.01</v>
      </c>
      <c r="H24" s="691">
        <v>0.01</v>
      </c>
      <c r="I24" s="691">
        <v>0.0</v>
      </c>
      <c r="J24" s="691">
        <v>0.03</v>
      </c>
      <c r="K24" s="691">
        <v>-0.01</v>
      </c>
      <c r="L24" s="691">
        <v>0.0</v>
      </c>
      <c r="M24" s="691">
        <v>0.0</v>
      </c>
      <c r="N24" s="691">
        <v>0.02</v>
      </c>
      <c r="O24" s="691">
        <v>0.01</v>
      </c>
      <c r="P24" s="691">
        <v>-0.03</v>
      </c>
      <c r="Q24" s="691">
        <v>0.06</v>
      </c>
      <c r="R24" s="691">
        <v>0.1</v>
      </c>
    </row>
    <row r="25">
      <c r="A25" s="449" t="s">
        <v>948</v>
      </c>
      <c r="B25" s="691">
        <v>4.6</v>
      </c>
      <c r="C25" s="691">
        <v>4.89</v>
      </c>
      <c r="D25" s="691">
        <v>5.1</v>
      </c>
      <c r="E25" s="691">
        <v>5.24</v>
      </c>
      <c r="F25" s="691">
        <v>5.37</v>
      </c>
      <c r="G25" s="691">
        <v>5.55</v>
      </c>
      <c r="H25" s="691">
        <v>5.84</v>
      </c>
      <c r="I25" s="691">
        <v>6.31</v>
      </c>
      <c r="J25" s="691">
        <v>6.82</v>
      </c>
      <c r="K25" s="691">
        <v>7.23</v>
      </c>
      <c r="L25" s="691">
        <v>7.46</v>
      </c>
      <c r="M25" s="691">
        <v>7.81</v>
      </c>
      <c r="N25" s="691">
        <v>8.07</v>
      </c>
      <c r="O25" s="691">
        <v>8.33</v>
      </c>
      <c r="P25" s="691">
        <v>8.64</v>
      </c>
      <c r="Q25" s="691">
        <v>8.97</v>
      </c>
      <c r="R25" s="691">
        <v>9.2</v>
      </c>
    </row>
    <row r="26">
      <c r="A26" s="692" t="s">
        <v>949</v>
      </c>
      <c r="B26" s="693">
        <v>0.5</v>
      </c>
      <c r="C26" s="693">
        <v>0.5</v>
      </c>
      <c r="D26" s="693">
        <v>0.56</v>
      </c>
      <c r="E26" s="693">
        <v>0.4</v>
      </c>
      <c r="F26" s="693">
        <v>0.39</v>
      </c>
      <c r="G26" s="693">
        <v>0.41</v>
      </c>
      <c r="H26" s="693">
        <v>0.41</v>
      </c>
      <c r="I26" s="693">
        <v>0.43</v>
      </c>
      <c r="J26" s="693">
        <v>0.43</v>
      </c>
      <c r="K26" s="693">
        <v>0.43</v>
      </c>
      <c r="L26" s="693">
        <v>0.43</v>
      </c>
      <c r="M26" s="693">
        <v>0.44</v>
      </c>
      <c r="N26" s="693">
        <v>0.45</v>
      </c>
      <c r="O26" s="693">
        <v>0.41</v>
      </c>
      <c r="P26" s="693">
        <v>0.47</v>
      </c>
      <c r="Q26" s="693">
        <v>0.49</v>
      </c>
      <c r="R26" s="693">
        <v>0.52</v>
      </c>
    </row>
    <row r="27">
      <c r="A27" s="692" t="s">
        <v>950</v>
      </c>
      <c r="B27" s="693">
        <v>0.0</v>
      </c>
      <c r="C27" s="693">
        <v>0.08</v>
      </c>
      <c r="D27" s="693">
        <v>0.01</v>
      </c>
      <c r="E27" s="693">
        <v>0.0</v>
      </c>
      <c r="F27" s="693">
        <v>0.0</v>
      </c>
      <c r="G27" s="693">
        <v>0.01</v>
      </c>
      <c r="H27" s="693">
        <v>0.02</v>
      </c>
      <c r="I27" s="693">
        <v>0.0</v>
      </c>
      <c r="J27" s="693">
        <v>0.0</v>
      </c>
      <c r="K27" s="693">
        <v>0.0</v>
      </c>
      <c r="L27" s="693">
        <v>0.0</v>
      </c>
      <c r="M27" s="693">
        <v>0.01</v>
      </c>
      <c r="N27" s="693">
        <v>0.01</v>
      </c>
      <c r="O27" s="693">
        <v>0.02</v>
      </c>
      <c r="P27" s="693">
        <v>0.02</v>
      </c>
      <c r="Q27" s="693">
        <v>0.04</v>
      </c>
      <c r="R27" s="693">
        <v>0.03</v>
      </c>
    </row>
    <row r="28">
      <c r="A28" s="692" t="s">
        <v>951</v>
      </c>
      <c r="B28" s="693" t="s">
        <v>925</v>
      </c>
      <c r="C28" s="693">
        <v>0.02</v>
      </c>
      <c r="D28" s="693" t="s">
        <v>925</v>
      </c>
      <c r="E28" s="693">
        <v>0.0</v>
      </c>
      <c r="F28" s="693">
        <v>0.0</v>
      </c>
      <c r="G28" s="693">
        <v>0.0</v>
      </c>
      <c r="H28" s="693">
        <v>0.0</v>
      </c>
      <c r="I28" s="693">
        <v>0.0</v>
      </c>
      <c r="J28" s="693">
        <v>0.0</v>
      </c>
      <c r="K28" s="693">
        <v>0.0</v>
      </c>
      <c r="L28" s="693">
        <v>0.0</v>
      </c>
      <c r="M28" s="693">
        <v>0.0</v>
      </c>
      <c r="N28" s="693">
        <v>0.0</v>
      </c>
      <c r="O28" s="693">
        <v>0.0</v>
      </c>
      <c r="P28" s="693">
        <v>0.01</v>
      </c>
      <c r="Q28" s="693">
        <v>0.01</v>
      </c>
      <c r="R28" s="693">
        <v>0.0</v>
      </c>
    </row>
    <row r="29">
      <c r="A29" s="692" t="s">
        <v>952</v>
      </c>
      <c r="B29" s="693" t="s">
        <v>925</v>
      </c>
      <c r="C29" s="693" t="s">
        <v>925</v>
      </c>
      <c r="D29" s="693" t="s">
        <v>925</v>
      </c>
      <c r="E29" s="693">
        <v>0.0</v>
      </c>
      <c r="F29" s="693">
        <v>0.01</v>
      </c>
      <c r="G29" s="693">
        <v>0.0</v>
      </c>
      <c r="H29" s="693" t="s">
        <v>925</v>
      </c>
      <c r="I29" s="693">
        <v>0.0</v>
      </c>
      <c r="J29" s="693" t="s">
        <v>925</v>
      </c>
      <c r="K29" s="693" t="s">
        <v>925</v>
      </c>
      <c r="L29" s="693" t="s">
        <v>925</v>
      </c>
      <c r="M29" s="693" t="s">
        <v>925</v>
      </c>
      <c r="N29" s="693" t="s">
        <v>925</v>
      </c>
      <c r="O29" s="693" t="s">
        <v>925</v>
      </c>
      <c r="P29" s="693" t="s">
        <v>925</v>
      </c>
      <c r="Q29" s="693" t="s">
        <v>925</v>
      </c>
      <c r="R29" s="693">
        <v>0.0</v>
      </c>
    </row>
    <row r="30">
      <c r="A30" s="692" t="s">
        <v>953</v>
      </c>
      <c r="B30" s="693" t="s">
        <v>925</v>
      </c>
      <c r="C30" s="693" t="s">
        <v>925</v>
      </c>
      <c r="D30" s="693">
        <v>0.01</v>
      </c>
      <c r="E30" s="693">
        <v>-0.01</v>
      </c>
      <c r="F30" s="693">
        <v>0.0</v>
      </c>
      <c r="G30" s="693">
        <v>0.0</v>
      </c>
      <c r="H30" s="693">
        <v>0.0</v>
      </c>
      <c r="I30" s="693">
        <v>0.0</v>
      </c>
      <c r="J30" s="693">
        <v>0.0</v>
      </c>
      <c r="K30" s="693">
        <v>0.0</v>
      </c>
      <c r="L30" s="693" t="s">
        <v>925</v>
      </c>
      <c r="M30" s="693">
        <v>0.0</v>
      </c>
      <c r="N30" s="693">
        <v>0.0</v>
      </c>
      <c r="O30" s="693">
        <v>0.0</v>
      </c>
      <c r="P30" s="693">
        <v>0.0</v>
      </c>
      <c r="Q30" s="693">
        <v>0.0</v>
      </c>
      <c r="R30" s="693">
        <v>0.0</v>
      </c>
    </row>
    <row r="31">
      <c r="A31" s="692" t="s">
        <v>954</v>
      </c>
      <c r="B31" s="693">
        <v>0.5</v>
      </c>
      <c r="C31" s="693">
        <v>0.56</v>
      </c>
      <c r="D31" s="693">
        <v>0.58</v>
      </c>
      <c r="E31" s="693">
        <v>0.39</v>
      </c>
      <c r="F31" s="693">
        <v>0.4</v>
      </c>
      <c r="G31" s="693">
        <v>0.41</v>
      </c>
      <c r="H31" s="693">
        <v>0.43</v>
      </c>
      <c r="I31" s="693">
        <v>0.43</v>
      </c>
      <c r="J31" s="693">
        <v>0.43</v>
      </c>
      <c r="K31" s="693">
        <v>0.43</v>
      </c>
      <c r="L31" s="693">
        <v>0.44</v>
      </c>
      <c r="M31" s="693">
        <v>0.45</v>
      </c>
      <c r="N31" s="693">
        <v>0.46</v>
      </c>
      <c r="O31" s="693">
        <v>0.42</v>
      </c>
      <c r="P31" s="693">
        <v>0.49</v>
      </c>
      <c r="Q31" s="693">
        <v>0.52</v>
      </c>
      <c r="R31" s="693">
        <v>0.54</v>
      </c>
    </row>
    <row r="32">
      <c r="A32" s="694" t="s">
        <v>955</v>
      </c>
      <c r="B32" s="490">
        <v>59.49</v>
      </c>
      <c r="C32" s="490">
        <v>62.62</v>
      </c>
      <c r="D32" s="490">
        <v>64.64</v>
      </c>
      <c r="E32" s="490">
        <v>65.44</v>
      </c>
      <c r="F32" s="490">
        <v>69.74</v>
      </c>
      <c r="G32" s="490">
        <v>71.75</v>
      </c>
      <c r="H32" s="490">
        <v>73.4</v>
      </c>
      <c r="I32" s="490">
        <v>76.16</v>
      </c>
      <c r="J32" s="490">
        <v>80.54</v>
      </c>
      <c r="K32" s="490">
        <v>91.79</v>
      </c>
      <c r="L32" s="490">
        <v>105.03</v>
      </c>
      <c r="M32" s="490">
        <v>109.11</v>
      </c>
      <c r="N32" s="490">
        <v>121.56</v>
      </c>
      <c r="O32" s="490">
        <v>124.21</v>
      </c>
      <c r="P32" s="490">
        <v>128.55</v>
      </c>
      <c r="Q32" s="490">
        <v>131.73</v>
      </c>
      <c r="R32" s="490">
        <v>136.99</v>
      </c>
    </row>
    <row r="33">
      <c r="A33" s="694" t="s">
        <v>956</v>
      </c>
      <c r="B33" s="490">
        <v>2.23</v>
      </c>
      <c r="C33" s="490">
        <v>2.8</v>
      </c>
      <c r="D33" s="490">
        <v>3.6</v>
      </c>
      <c r="E33" s="490">
        <v>4.43</v>
      </c>
      <c r="F33" s="490">
        <v>2.53</v>
      </c>
      <c r="G33" s="490">
        <v>2.34</v>
      </c>
      <c r="H33" s="490">
        <v>2.95</v>
      </c>
      <c r="I33" s="490">
        <v>5.46</v>
      </c>
      <c r="J33" s="490">
        <v>11.24</v>
      </c>
      <c r="K33" s="490">
        <v>14.26</v>
      </c>
      <c r="L33" s="490">
        <v>3.76</v>
      </c>
      <c r="M33" s="490">
        <v>13.45</v>
      </c>
      <c r="N33" s="490">
        <v>4.34</v>
      </c>
      <c r="O33" s="490">
        <v>5.79</v>
      </c>
      <c r="P33" s="490">
        <v>3.82</v>
      </c>
      <c r="Q33" s="490">
        <v>5.8</v>
      </c>
      <c r="R33" s="490">
        <v>5.48</v>
      </c>
    </row>
    <row r="34">
      <c r="A34" s="694" t="s">
        <v>957</v>
      </c>
      <c r="B34" s="490">
        <v>0.68</v>
      </c>
      <c r="C34" s="490">
        <v>0.62</v>
      </c>
      <c r="D34" s="490">
        <v>0.56</v>
      </c>
      <c r="E34" s="490">
        <v>0.39</v>
      </c>
      <c r="F34" s="490">
        <v>0.52</v>
      </c>
      <c r="G34" s="490">
        <v>0.57</v>
      </c>
      <c r="H34" s="490">
        <v>0.56</v>
      </c>
      <c r="I34" s="490">
        <v>0.44</v>
      </c>
      <c r="J34" s="490">
        <v>0.48</v>
      </c>
      <c r="K34" s="490">
        <v>0.5</v>
      </c>
      <c r="L34" s="490">
        <v>0.45</v>
      </c>
      <c r="M34" s="490">
        <v>0.71</v>
      </c>
      <c r="N34" s="490">
        <v>1.18</v>
      </c>
      <c r="O34" s="490">
        <v>1.3</v>
      </c>
      <c r="P34" s="490">
        <v>0.48</v>
      </c>
      <c r="Q34" s="490">
        <v>0.69</v>
      </c>
      <c r="R34" s="490">
        <v>0.55</v>
      </c>
    </row>
    <row r="35">
      <c r="A35" s="694" t="s">
        <v>958</v>
      </c>
      <c r="B35" s="490">
        <v>-0.04</v>
      </c>
      <c r="C35" s="490">
        <v>0.0</v>
      </c>
      <c r="D35" s="490">
        <v>-0.03</v>
      </c>
      <c r="E35" s="490">
        <v>-0.01</v>
      </c>
      <c r="F35" s="490">
        <v>0.03</v>
      </c>
      <c r="G35" s="490">
        <v>-0.04</v>
      </c>
      <c r="H35" s="490">
        <v>0.03</v>
      </c>
      <c r="I35" s="490">
        <v>0.0</v>
      </c>
      <c r="J35" s="490">
        <v>0.04</v>
      </c>
      <c r="K35" s="490">
        <v>0.01</v>
      </c>
      <c r="L35" s="490">
        <v>-0.09</v>
      </c>
      <c r="M35" s="490">
        <v>-0.26</v>
      </c>
      <c r="N35" s="490">
        <v>-0.03</v>
      </c>
      <c r="O35" s="490">
        <v>-0.01</v>
      </c>
      <c r="P35" s="490">
        <v>0.03</v>
      </c>
      <c r="Q35" s="490">
        <v>0.05</v>
      </c>
      <c r="R35" s="490">
        <v>-0.08</v>
      </c>
    </row>
    <row r="36">
      <c r="A36" s="694" t="s">
        <v>959</v>
      </c>
      <c r="B36" s="490">
        <v>0.03</v>
      </c>
      <c r="C36" s="490">
        <v>0.04</v>
      </c>
      <c r="D36" s="490">
        <v>-0.02</v>
      </c>
      <c r="E36" s="490">
        <v>0.0</v>
      </c>
      <c r="F36" s="490">
        <v>-0.04</v>
      </c>
      <c r="G36" s="490">
        <v>-0.03</v>
      </c>
      <c r="H36" s="490">
        <v>-0.03</v>
      </c>
      <c r="I36" s="490">
        <v>-0.7</v>
      </c>
      <c r="J36" s="490">
        <v>-0.11</v>
      </c>
      <c r="K36" s="490">
        <v>-0.21</v>
      </c>
      <c r="L36" s="490">
        <v>-0.06</v>
      </c>
      <c r="M36" s="490">
        <v>0.03</v>
      </c>
      <c r="N36" s="490">
        <v>-0.49</v>
      </c>
      <c r="O36" s="490">
        <v>-0.14</v>
      </c>
      <c r="P36" s="490">
        <v>-0.01</v>
      </c>
      <c r="Q36" s="490">
        <v>-0.01</v>
      </c>
      <c r="R36" s="490">
        <v>0.07</v>
      </c>
    </row>
    <row r="37">
      <c r="A37" s="694" t="s">
        <v>960</v>
      </c>
      <c r="B37" s="490">
        <v>61.02</v>
      </c>
      <c r="C37" s="490">
        <v>64.83</v>
      </c>
      <c r="D37" s="490">
        <v>67.62</v>
      </c>
      <c r="E37" s="490">
        <v>69.48</v>
      </c>
      <c r="F37" s="490">
        <v>71.75</v>
      </c>
      <c r="G37" s="490">
        <v>73.44</v>
      </c>
      <c r="H37" s="490">
        <v>75.78</v>
      </c>
      <c r="I37" s="490">
        <v>80.48</v>
      </c>
      <c r="J37" s="490">
        <v>91.23</v>
      </c>
      <c r="K37" s="490">
        <v>105.35</v>
      </c>
      <c r="L37" s="490">
        <v>108.18</v>
      </c>
      <c r="M37" s="490">
        <v>121.62</v>
      </c>
      <c r="N37" s="490">
        <v>124.21</v>
      </c>
      <c r="O37" s="490">
        <v>128.55</v>
      </c>
      <c r="P37" s="490">
        <v>131.92</v>
      </c>
      <c r="Q37" s="490">
        <v>136.87</v>
      </c>
      <c r="R37" s="490">
        <v>141.91</v>
      </c>
    </row>
    <row r="38">
      <c r="A38" s="695" t="s">
        <v>961</v>
      </c>
      <c r="B38" s="696">
        <v>0.29</v>
      </c>
      <c r="C38" s="696">
        <v>0.29</v>
      </c>
      <c r="D38" s="696">
        <v>0.25</v>
      </c>
      <c r="E38" s="696">
        <v>0.05</v>
      </c>
      <c r="F38" s="696">
        <v>0.07</v>
      </c>
      <c r="G38" s="696">
        <v>0.07</v>
      </c>
      <c r="H38" s="696">
        <v>0.08</v>
      </c>
      <c r="I38" s="696">
        <v>0.33</v>
      </c>
      <c r="J38" s="696">
        <v>0.11</v>
      </c>
      <c r="K38" s="696">
        <v>0.1</v>
      </c>
      <c r="L38" s="696">
        <v>0.11</v>
      </c>
      <c r="M38" s="696">
        <v>0.12</v>
      </c>
      <c r="N38" s="696">
        <v>0.12</v>
      </c>
      <c r="O38" s="696">
        <v>0.12</v>
      </c>
      <c r="P38" s="696">
        <v>0.57</v>
      </c>
      <c r="Q38" s="696">
        <v>0.59</v>
      </c>
      <c r="R38" s="696" t="s">
        <v>925</v>
      </c>
    </row>
    <row r="39">
      <c r="A39" s="695" t="s">
        <v>962</v>
      </c>
      <c r="B39" s="696">
        <v>0.02</v>
      </c>
      <c r="C39" s="696">
        <v>0.02</v>
      </c>
      <c r="D39" s="696">
        <v>0.02</v>
      </c>
      <c r="E39" s="696">
        <v>0.01</v>
      </c>
      <c r="F39" s="696">
        <v>0.01</v>
      </c>
      <c r="G39" s="696">
        <v>0.01</v>
      </c>
      <c r="H39" s="696">
        <v>0.01</v>
      </c>
      <c r="I39" s="696">
        <v>0.02</v>
      </c>
      <c r="J39" s="696">
        <v>0.01</v>
      </c>
      <c r="K39" s="696">
        <v>0.01</v>
      </c>
      <c r="L39" s="696">
        <v>0.01</v>
      </c>
      <c r="M39" s="696">
        <v>0.01</v>
      </c>
      <c r="N39" s="696">
        <v>0.01</v>
      </c>
      <c r="O39" s="696">
        <v>0.0</v>
      </c>
      <c r="P39" s="696">
        <v>0.03</v>
      </c>
      <c r="Q39" s="696">
        <v>0.03</v>
      </c>
      <c r="R39" s="696" t="s">
        <v>925</v>
      </c>
    </row>
    <row r="40">
      <c r="A40" s="695" t="s">
        <v>963</v>
      </c>
      <c r="B40" s="696">
        <v>0.0</v>
      </c>
      <c r="C40" s="696">
        <v>0.0</v>
      </c>
      <c r="D40" s="696">
        <v>0.0</v>
      </c>
      <c r="E40" s="696">
        <v>0.0</v>
      </c>
      <c r="F40" s="696">
        <v>0.0</v>
      </c>
      <c r="G40" s="696">
        <v>0.0</v>
      </c>
      <c r="H40" s="696">
        <v>0.0</v>
      </c>
      <c r="I40" s="696">
        <v>0.0</v>
      </c>
      <c r="J40" s="696">
        <v>0.0</v>
      </c>
      <c r="K40" s="696">
        <v>0.0</v>
      </c>
      <c r="L40" s="696">
        <v>0.0</v>
      </c>
      <c r="M40" s="696">
        <v>0.0</v>
      </c>
      <c r="N40" s="696">
        <v>0.0</v>
      </c>
      <c r="O40" s="696">
        <v>0.0</v>
      </c>
      <c r="P40" s="696">
        <v>0.0</v>
      </c>
      <c r="Q40" s="696">
        <v>0.01</v>
      </c>
      <c r="R40" s="696" t="s">
        <v>925</v>
      </c>
    </row>
    <row r="41">
      <c r="A41" s="695" t="s">
        <v>964</v>
      </c>
      <c r="B41" s="696">
        <v>0.0</v>
      </c>
      <c r="C41" s="696">
        <v>0.0</v>
      </c>
      <c r="D41" s="696" t="s">
        <v>925</v>
      </c>
      <c r="E41" s="696" t="s">
        <v>925</v>
      </c>
      <c r="F41" s="696" t="s">
        <v>925</v>
      </c>
      <c r="G41" s="696" t="s">
        <v>925</v>
      </c>
      <c r="H41" s="696" t="s">
        <v>925</v>
      </c>
      <c r="I41" s="696" t="s">
        <v>925</v>
      </c>
      <c r="J41" s="696" t="s">
        <v>925</v>
      </c>
      <c r="K41" s="696" t="s">
        <v>925</v>
      </c>
      <c r="L41" s="696" t="s">
        <v>925</v>
      </c>
      <c r="M41" s="696">
        <v>0.0</v>
      </c>
      <c r="N41" s="696">
        <v>0.0</v>
      </c>
      <c r="O41" s="696" t="s">
        <v>925</v>
      </c>
      <c r="P41" s="696" t="s">
        <v>925</v>
      </c>
      <c r="Q41" s="696" t="s">
        <v>925</v>
      </c>
      <c r="R41" s="696" t="s">
        <v>925</v>
      </c>
    </row>
    <row r="42">
      <c r="A42" s="695" t="s">
        <v>965</v>
      </c>
      <c r="B42" s="696">
        <v>-0.01</v>
      </c>
      <c r="C42" s="696">
        <v>0.0</v>
      </c>
      <c r="D42" s="696">
        <v>0.0</v>
      </c>
      <c r="E42" s="696" t="s">
        <v>925</v>
      </c>
      <c r="F42" s="696">
        <v>0.0</v>
      </c>
      <c r="G42" s="696">
        <v>0.0</v>
      </c>
      <c r="H42" s="696">
        <v>0.0</v>
      </c>
      <c r="I42" s="696" t="s">
        <v>925</v>
      </c>
      <c r="J42" s="696" t="s">
        <v>925</v>
      </c>
      <c r="K42" s="696" t="s">
        <v>925</v>
      </c>
      <c r="L42" s="696" t="s">
        <v>925</v>
      </c>
      <c r="M42" s="696" t="s">
        <v>925</v>
      </c>
      <c r="N42" s="696" t="s">
        <v>925</v>
      </c>
      <c r="O42" s="696" t="s">
        <v>925</v>
      </c>
      <c r="P42" s="696" t="s">
        <v>925</v>
      </c>
      <c r="Q42" s="696" t="s">
        <v>925</v>
      </c>
      <c r="R42" s="696" t="s">
        <v>925</v>
      </c>
    </row>
    <row r="43">
      <c r="A43" s="695" t="s">
        <v>966</v>
      </c>
      <c r="B43" s="696">
        <v>0.29</v>
      </c>
      <c r="C43" s="696">
        <v>0.31</v>
      </c>
      <c r="D43" s="696">
        <v>0.27</v>
      </c>
      <c r="E43" s="696">
        <v>0.06</v>
      </c>
      <c r="F43" s="696">
        <v>0.08</v>
      </c>
      <c r="G43" s="696">
        <v>0.07</v>
      </c>
      <c r="H43" s="696">
        <v>0.09</v>
      </c>
      <c r="I43" s="696">
        <v>0.35</v>
      </c>
      <c r="J43" s="696">
        <v>0.12</v>
      </c>
      <c r="K43" s="696">
        <v>0.11</v>
      </c>
      <c r="L43" s="696">
        <v>0.12</v>
      </c>
      <c r="M43" s="696">
        <v>0.12</v>
      </c>
      <c r="N43" s="696">
        <v>0.13</v>
      </c>
      <c r="O43" s="696">
        <v>0.12</v>
      </c>
      <c r="P43" s="696">
        <v>0.59</v>
      </c>
      <c r="Q43" s="696">
        <v>0.62</v>
      </c>
      <c r="R43" s="696" t="s">
        <v>925</v>
      </c>
    </row>
    <row r="44">
      <c r="A44" s="697" t="s">
        <v>967</v>
      </c>
      <c r="B44" s="698">
        <v>1.07</v>
      </c>
      <c r="C44" s="698">
        <v>1.06</v>
      </c>
      <c r="D44" s="698">
        <v>1.13</v>
      </c>
      <c r="E44" s="698">
        <v>1.2</v>
      </c>
      <c r="F44" s="698">
        <v>1.24</v>
      </c>
      <c r="G44" s="698">
        <v>1.42</v>
      </c>
      <c r="H44" s="698">
        <v>1.54</v>
      </c>
      <c r="I44" s="698">
        <v>1.56</v>
      </c>
      <c r="J44" s="698">
        <v>1.57</v>
      </c>
      <c r="K44" s="698">
        <v>1.63</v>
      </c>
      <c r="L44" s="698">
        <v>1.75</v>
      </c>
      <c r="M44" s="698">
        <v>1.85</v>
      </c>
      <c r="N44" s="698">
        <v>1.78</v>
      </c>
      <c r="O44" s="698">
        <v>1.77</v>
      </c>
      <c r="P44" s="698">
        <v>1.84</v>
      </c>
      <c r="Q44" s="698">
        <v>1.82</v>
      </c>
      <c r="R44" s="698">
        <v>1.86</v>
      </c>
    </row>
    <row r="45">
      <c r="A45" s="697" t="s">
        <v>968</v>
      </c>
      <c r="B45" s="698">
        <v>0.12</v>
      </c>
      <c r="C45" s="698">
        <v>0.09</v>
      </c>
      <c r="D45" s="698">
        <v>0.07</v>
      </c>
      <c r="E45" s="698">
        <v>0.11</v>
      </c>
      <c r="F45" s="698">
        <v>0.19</v>
      </c>
      <c r="G45" s="698">
        <v>0.11</v>
      </c>
      <c r="H45" s="698">
        <v>0.09</v>
      </c>
      <c r="I45" s="698">
        <v>0.15</v>
      </c>
      <c r="J45" s="698">
        <v>0.17</v>
      </c>
      <c r="K45" s="698">
        <v>0.18</v>
      </c>
      <c r="L45" s="698">
        <v>0.14</v>
      </c>
      <c r="M45" s="698">
        <v>0.18</v>
      </c>
      <c r="N45" s="698">
        <v>0.08</v>
      </c>
      <c r="O45" s="698">
        <v>0.08</v>
      </c>
      <c r="P45" s="698">
        <v>0.06</v>
      </c>
      <c r="Q45" s="698">
        <v>0.08</v>
      </c>
      <c r="R45" s="698">
        <v>0.09</v>
      </c>
    </row>
    <row r="46">
      <c r="A46" s="697" t="s">
        <v>969</v>
      </c>
      <c r="B46" s="698">
        <v>0.13</v>
      </c>
      <c r="C46" s="698">
        <v>0.02</v>
      </c>
      <c r="D46" s="698">
        <v>0.02</v>
      </c>
      <c r="E46" s="698">
        <v>0.08</v>
      </c>
      <c r="F46" s="698">
        <v>0.02</v>
      </c>
      <c r="G46" s="698">
        <v>0.02</v>
      </c>
      <c r="H46" s="698">
        <v>0.07</v>
      </c>
      <c r="I46" s="698">
        <v>0.14</v>
      </c>
      <c r="J46" s="698">
        <v>0.1</v>
      </c>
      <c r="K46" s="698">
        <v>0.05</v>
      </c>
      <c r="L46" s="698">
        <v>0.05</v>
      </c>
      <c r="M46" s="698">
        <v>0.26</v>
      </c>
      <c r="N46" s="698">
        <v>0.09</v>
      </c>
      <c r="O46" s="698">
        <v>0.03</v>
      </c>
      <c r="P46" s="698">
        <v>0.08</v>
      </c>
      <c r="Q46" s="698">
        <v>0.04</v>
      </c>
      <c r="R46" s="698">
        <v>0.1</v>
      </c>
    </row>
    <row r="47">
      <c r="A47" s="697" t="s">
        <v>970</v>
      </c>
      <c r="B47" s="698">
        <v>0.0</v>
      </c>
      <c r="C47" s="698">
        <v>0.0</v>
      </c>
      <c r="D47" s="698">
        <v>0.0</v>
      </c>
      <c r="E47" s="698">
        <v>0.01</v>
      </c>
      <c r="F47" s="698">
        <v>0.0</v>
      </c>
      <c r="G47" s="698">
        <v>0.0</v>
      </c>
      <c r="H47" s="698">
        <v>0.0</v>
      </c>
      <c r="I47" s="698">
        <v>0.0</v>
      </c>
      <c r="J47" s="698">
        <v>-0.01</v>
      </c>
      <c r="K47" s="698">
        <v>0.0</v>
      </c>
      <c r="L47" s="698">
        <v>0.0</v>
      </c>
      <c r="M47" s="698">
        <v>0.0</v>
      </c>
      <c r="N47" s="698">
        <v>0.0</v>
      </c>
      <c r="O47" s="698">
        <v>0.0</v>
      </c>
      <c r="P47" s="698">
        <v>0.0</v>
      </c>
      <c r="Q47" s="698">
        <v>0.0</v>
      </c>
      <c r="R47" s="698">
        <v>0.0</v>
      </c>
    </row>
    <row r="48">
      <c r="A48" s="697" t="s">
        <v>971</v>
      </c>
      <c r="B48" s="698">
        <v>0.01</v>
      </c>
      <c r="C48" s="698">
        <v>-0.01</v>
      </c>
      <c r="D48" s="698">
        <v>0.02</v>
      </c>
      <c r="E48" s="698">
        <v>0.0</v>
      </c>
      <c r="F48" s="698">
        <v>0.01</v>
      </c>
      <c r="G48" s="698">
        <v>0.0</v>
      </c>
      <c r="H48" s="698">
        <v>0.0</v>
      </c>
      <c r="I48" s="698">
        <v>0.0</v>
      </c>
      <c r="J48" s="698">
        <v>0.0</v>
      </c>
      <c r="K48" s="698">
        <v>0.0</v>
      </c>
      <c r="L48" s="698">
        <v>0.02</v>
      </c>
      <c r="M48" s="698">
        <v>-0.01</v>
      </c>
      <c r="N48" s="698">
        <v>0.01</v>
      </c>
      <c r="O48" s="698">
        <v>0.0</v>
      </c>
      <c r="P48" s="698">
        <v>0.0</v>
      </c>
      <c r="Q48" s="698">
        <v>0.01</v>
      </c>
      <c r="R48" s="698">
        <v>0.03</v>
      </c>
    </row>
    <row r="49">
      <c r="A49" s="697" t="s">
        <v>972</v>
      </c>
      <c r="B49" s="698">
        <v>1.07</v>
      </c>
      <c r="C49" s="698">
        <v>1.13</v>
      </c>
      <c r="D49" s="698">
        <v>1.2</v>
      </c>
      <c r="E49" s="698">
        <v>1.24</v>
      </c>
      <c r="F49" s="698">
        <v>1.42</v>
      </c>
      <c r="G49" s="698">
        <v>1.52</v>
      </c>
      <c r="H49" s="698">
        <v>1.55</v>
      </c>
      <c r="I49" s="698">
        <v>1.57</v>
      </c>
      <c r="J49" s="698">
        <v>1.63</v>
      </c>
      <c r="K49" s="698">
        <v>1.75</v>
      </c>
      <c r="L49" s="698">
        <v>1.85</v>
      </c>
      <c r="M49" s="698">
        <v>1.78</v>
      </c>
      <c r="N49" s="698">
        <v>1.77</v>
      </c>
      <c r="O49" s="698">
        <v>1.82</v>
      </c>
      <c r="P49" s="698">
        <v>1.82</v>
      </c>
      <c r="Q49" s="698">
        <v>1.88</v>
      </c>
      <c r="R49" s="698">
        <v>1.88</v>
      </c>
    </row>
    <row r="50">
      <c r="A50" s="699" t="s">
        <v>973</v>
      </c>
      <c r="B50" s="700">
        <v>1.66</v>
      </c>
      <c r="C50" s="700">
        <v>1.75</v>
      </c>
      <c r="D50" s="700">
        <v>1.81</v>
      </c>
      <c r="E50" s="700">
        <v>1.94</v>
      </c>
      <c r="F50" s="700">
        <v>1.95</v>
      </c>
      <c r="G50" s="700">
        <v>1.91</v>
      </c>
      <c r="H50" s="700">
        <v>1.92</v>
      </c>
      <c r="I50" s="700">
        <v>1.97</v>
      </c>
      <c r="J50" s="700">
        <v>2.03</v>
      </c>
      <c r="K50" s="700">
        <v>2.06</v>
      </c>
      <c r="L50" s="700">
        <v>2.12</v>
      </c>
      <c r="M50" s="700">
        <v>2.02</v>
      </c>
      <c r="N50" s="700">
        <v>2.15</v>
      </c>
      <c r="O50" s="700">
        <v>2.12</v>
      </c>
      <c r="P50" s="700">
        <v>2.13</v>
      </c>
      <c r="Q50" s="700">
        <v>2.08</v>
      </c>
      <c r="R50" s="700">
        <v>2.23</v>
      </c>
    </row>
    <row r="51">
      <c r="A51" s="699" t="s">
        <v>974</v>
      </c>
      <c r="B51" s="700">
        <v>0.06</v>
      </c>
      <c r="C51" s="700">
        <v>0.08</v>
      </c>
      <c r="D51" s="700">
        <v>0.1</v>
      </c>
      <c r="E51" s="700">
        <v>0.25</v>
      </c>
      <c r="F51" s="700">
        <v>0.12</v>
      </c>
      <c r="G51" s="700">
        <v>0.17</v>
      </c>
      <c r="H51" s="700">
        <v>0.14</v>
      </c>
      <c r="I51" s="700">
        <v>0.16</v>
      </c>
      <c r="J51" s="700">
        <v>0.17</v>
      </c>
      <c r="K51" s="700">
        <v>0.14</v>
      </c>
      <c r="L51" s="700">
        <v>0.13</v>
      </c>
      <c r="M51" s="700">
        <v>0.14</v>
      </c>
      <c r="N51" s="700">
        <v>0.12</v>
      </c>
      <c r="O51" s="700">
        <v>0.12</v>
      </c>
      <c r="P51" s="700">
        <v>0.14</v>
      </c>
      <c r="Q51" s="700">
        <v>0.21</v>
      </c>
      <c r="R51" s="700">
        <v>0.14</v>
      </c>
    </row>
    <row r="52">
      <c r="A52" s="699" t="s">
        <v>975</v>
      </c>
      <c r="B52" s="700">
        <v>0.02</v>
      </c>
      <c r="C52" s="700">
        <v>0.02</v>
      </c>
      <c r="D52" s="700">
        <v>0.02</v>
      </c>
      <c r="E52" s="700">
        <v>0.24</v>
      </c>
      <c r="F52" s="700">
        <v>0.14</v>
      </c>
      <c r="G52" s="700">
        <v>0.17</v>
      </c>
      <c r="H52" s="700">
        <v>0.11</v>
      </c>
      <c r="I52" s="700">
        <v>0.11</v>
      </c>
      <c r="J52" s="700">
        <v>0.13</v>
      </c>
      <c r="K52" s="700">
        <v>0.1</v>
      </c>
      <c r="L52" s="700">
        <v>0.15</v>
      </c>
      <c r="M52" s="700">
        <v>0.1</v>
      </c>
      <c r="N52" s="700">
        <v>0.15</v>
      </c>
      <c r="O52" s="700">
        <v>0.13</v>
      </c>
      <c r="P52" s="700">
        <v>0.09</v>
      </c>
      <c r="Q52" s="700">
        <v>0.09</v>
      </c>
      <c r="R52" s="700">
        <v>0.15</v>
      </c>
    </row>
    <row r="53">
      <c r="A53" s="699" t="s">
        <v>976</v>
      </c>
      <c r="B53" s="700">
        <v>0.0</v>
      </c>
      <c r="C53" s="700">
        <v>0.0</v>
      </c>
      <c r="D53" s="700">
        <v>0.0</v>
      </c>
      <c r="E53" s="700">
        <v>0.0</v>
      </c>
      <c r="F53" s="700">
        <v>0.0</v>
      </c>
      <c r="G53" s="700">
        <v>0.0</v>
      </c>
      <c r="H53" s="700">
        <v>0.0</v>
      </c>
      <c r="I53" s="700">
        <v>0.0</v>
      </c>
      <c r="J53" s="700">
        <v>0.0</v>
      </c>
      <c r="K53" s="700">
        <v>0.0</v>
      </c>
      <c r="L53" s="700">
        <v>0.01</v>
      </c>
      <c r="M53" s="700">
        <v>0.0</v>
      </c>
      <c r="N53" s="700">
        <v>0.0</v>
      </c>
      <c r="O53" s="700">
        <v>0.0</v>
      </c>
      <c r="P53" s="700">
        <v>0.0</v>
      </c>
      <c r="Q53" s="700">
        <v>0.0</v>
      </c>
      <c r="R53" s="700">
        <v>0.0</v>
      </c>
    </row>
    <row r="54">
      <c r="A54" s="699" t="s">
        <v>977</v>
      </c>
      <c r="B54" s="700">
        <v>0.0</v>
      </c>
      <c r="C54" s="700">
        <v>0.0</v>
      </c>
      <c r="D54" s="700">
        <v>0.0</v>
      </c>
      <c r="E54" s="700">
        <v>0.0</v>
      </c>
      <c r="F54" s="700">
        <v>-0.02</v>
      </c>
      <c r="G54" s="700">
        <v>0.01</v>
      </c>
      <c r="H54" s="700">
        <v>0.0</v>
      </c>
      <c r="I54" s="700">
        <v>0.01</v>
      </c>
      <c r="J54" s="700">
        <v>0.0</v>
      </c>
      <c r="K54" s="700">
        <v>0.01</v>
      </c>
      <c r="L54" s="700">
        <v>0.03</v>
      </c>
      <c r="M54" s="700">
        <v>-0.01</v>
      </c>
      <c r="N54" s="700">
        <v>-0.01</v>
      </c>
      <c r="O54" s="700">
        <v>-0.04</v>
      </c>
      <c r="P54" s="700">
        <v>-0.01</v>
      </c>
      <c r="Q54" s="700">
        <v>0.0</v>
      </c>
      <c r="R54" s="700">
        <v>0.01</v>
      </c>
    </row>
    <row r="55">
      <c r="A55" s="699" t="s">
        <v>978</v>
      </c>
      <c r="B55" s="700">
        <v>1.7</v>
      </c>
      <c r="C55" s="700">
        <v>1.81</v>
      </c>
      <c r="D55" s="700">
        <v>1.89</v>
      </c>
      <c r="E55" s="700">
        <v>1.94</v>
      </c>
      <c r="F55" s="700">
        <v>1.92</v>
      </c>
      <c r="G55" s="700">
        <v>1.91</v>
      </c>
      <c r="H55" s="700">
        <v>1.95</v>
      </c>
      <c r="I55" s="700">
        <v>2.04</v>
      </c>
      <c r="J55" s="700">
        <v>2.07</v>
      </c>
      <c r="K55" s="700">
        <v>2.12</v>
      </c>
      <c r="L55" s="700">
        <v>2.14</v>
      </c>
      <c r="M55" s="700">
        <v>2.04</v>
      </c>
      <c r="N55" s="700">
        <v>2.11</v>
      </c>
      <c r="O55" s="700">
        <v>2.07</v>
      </c>
      <c r="P55" s="700">
        <v>2.17</v>
      </c>
      <c r="Q55" s="700">
        <v>2.2</v>
      </c>
      <c r="R55" s="700">
        <v>2.23</v>
      </c>
    </row>
    <row r="57">
      <c r="A57" s="76" t="s">
        <v>553</v>
      </c>
    </row>
    <row r="58">
      <c r="A58" s="552" t="s">
        <v>979</v>
      </c>
      <c r="B58" s="484">
        <f t="shared" ref="B58:R58" si="1">sum(B2,B8,B14,B20,B26,B32,B38,B44,B50)</f>
        <v>69.27</v>
      </c>
      <c r="C58" s="484">
        <f t="shared" si="1"/>
        <v>72.76</v>
      </c>
      <c r="D58" s="484">
        <f t="shared" si="1"/>
        <v>75.15</v>
      </c>
      <c r="E58" s="484">
        <f t="shared" si="1"/>
        <v>76.15</v>
      </c>
      <c r="F58" s="484">
        <f t="shared" si="1"/>
        <v>81.13</v>
      </c>
      <c r="G58" s="484">
        <f t="shared" si="1"/>
        <v>83.43</v>
      </c>
      <c r="H58" s="484">
        <f t="shared" si="1"/>
        <v>85.5</v>
      </c>
      <c r="I58" s="484">
        <f t="shared" si="1"/>
        <v>89.28</v>
      </c>
      <c r="J58" s="484">
        <f t="shared" si="1"/>
        <v>94.3</v>
      </c>
      <c r="K58" s="484">
        <f t="shared" si="1"/>
        <v>105.95</v>
      </c>
      <c r="L58" s="484">
        <f t="shared" si="1"/>
        <v>120.6</v>
      </c>
      <c r="M58" s="484">
        <f t="shared" si="1"/>
        <v>125.5</v>
      </c>
      <c r="N58" s="484">
        <f t="shared" si="1"/>
        <v>138.46</v>
      </c>
      <c r="O58" s="484">
        <f t="shared" si="1"/>
        <v>141.76</v>
      </c>
      <c r="P58" s="484">
        <f t="shared" si="1"/>
        <v>146.82</v>
      </c>
      <c r="Q58" s="484">
        <f t="shared" si="1"/>
        <v>150.32</v>
      </c>
      <c r="R58" s="484">
        <f t="shared" si="1"/>
        <v>155.55</v>
      </c>
      <c r="S58" s="484">
        <f t="shared" ref="S58:AZ58" si="2">63.8+30.8*ln(S85)</f>
        <v>152.8852264</v>
      </c>
      <c r="T58" s="484">
        <f t="shared" si="2"/>
        <v>158.5594838</v>
      </c>
      <c r="U58" s="484">
        <f t="shared" si="2"/>
        <v>158.3611072</v>
      </c>
      <c r="V58" s="484">
        <f t="shared" si="2"/>
        <v>160.1143679</v>
      </c>
      <c r="W58" s="484">
        <f t="shared" si="2"/>
        <v>160.8186345</v>
      </c>
      <c r="X58" s="484">
        <f t="shared" si="2"/>
        <v>161.3211552</v>
      </c>
      <c r="Y58" s="484">
        <f t="shared" si="2"/>
        <v>162.2669189</v>
      </c>
      <c r="Z58" s="484">
        <f t="shared" si="2"/>
        <v>163.3803065</v>
      </c>
      <c r="AA58" s="484">
        <f t="shared" si="2"/>
        <v>164.4841077</v>
      </c>
      <c r="AB58" s="484">
        <f t="shared" si="2"/>
        <v>165.4282277</v>
      </c>
      <c r="AC58" s="484">
        <f t="shared" si="2"/>
        <v>166.0080847</v>
      </c>
      <c r="AD58" s="484">
        <f t="shared" si="2"/>
        <v>166.5153111</v>
      </c>
      <c r="AE58" s="484">
        <f t="shared" si="2"/>
        <v>166.7836591</v>
      </c>
      <c r="AF58" s="484">
        <f t="shared" si="2"/>
        <v>166.9429871</v>
      </c>
      <c r="AG58" s="484">
        <f t="shared" si="2"/>
        <v>167.3027059</v>
      </c>
      <c r="AH58" s="484">
        <f t="shared" si="2"/>
        <v>167.7223615</v>
      </c>
      <c r="AI58" s="484">
        <f t="shared" si="2"/>
        <v>167.8922474</v>
      </c>
      <c r="AJ58" s="484">
        <f t="shared" si="2"/>
        <v>168.2576054</v>
      </c>
      <c r="AK58" s="484">
        <f t="shared" si="2"/>
        <v>168.5002313</v>
      </c>
      <c r="AL58" s="484">
        <f t="shared" si="2"/>
        <v>168.7586816</v>
      </c>
      <c r="AM58" s="484">
        <f t="shared" si="2"/>
        <v>168.902724</v>
      </c>
      <c r="AN58" s="484">
        <f t="shared" si="2"/>
        <v>169.1103836</v>
      </c>
      <c r="AO58" s="484">
        <f t="shared" si="2"/>
        <v>169.2468988</v>
      </c>
      <c r="AP58" s="484">
        <f t="shared" si="2"/>
        <v>169.436066</v>
      </c>
      <c r="AQ58" s="484">
        <f t="shared" si="2"/>
        <v>169.5482458</v>
      </c>
      <c r="AR58" s="484">
        <f t="shared" si="2"/>
        <v>169.7545132</v>
      </c>
      <c r="AS58" s="484">
        <f t="shared" si="2"/>
        <v>169.922608</v>
      </c>
      <c r="AT58" s="484">
        <f t="shared" si="2"/>
        <v>170.2823603</v>
      </c>
      <c r="AU58" s="484">
        <f t="shared" si="2"/>
        <v>170.5205506</v>
      </c>
      <c r="AV58" s="484">
        <f t="shared" si="2"/>
        <v>170.6782508</v>
      </c>
      <c r="AW58" s="484">
        <f t="shared" si="2"/>
        <v>170.9599291</v>
      </c>
      <c r="AX58" s="484">
        <f t="shared" si="2"/>
        <v>171.3384068</v>
      </c>
      <c r="AY58" s="484">
        <f t="shared" si="2"/>
        <v>171.5360484</v>
      </c>
      <c r="AZ58" s="484">
        <f t="shared" si="2"/>
        <v>171.8134744</v>
      </c>
    </row>
    <row r="59">
      <c r="A59" s="552" t="s">
        <v>980</v>
      </c>
      <c r="B59" s="484">
        <f t="shared" ref="B59:R59" si="3">sum(B3,B9,B15,B21,B27,B33,B39,B45,B51)</f>
        <v>2.66</v>
      </c>
      <c r="C59" s="484">
        <f t="shared" si="3"/>
        <v>3.36</v>
      </c>
      <c r="D59" s="484">
        <f t="shared" si="3"/>
        <v>4.2</v>
      </c>
      <c r="E59" s="484">
        <f t="shared" si="3"/>
        <v>5.3</v>
      </c>
      <c r="F59" s="484">
        <f t="shared" si="3"/>
        <v>3.18</v>
      </c>
      <c r="G59" s="484">
        <f t="shared" si="3"/>
        <v>3</v>
      </c>
      <c r="H59" s="484">
        <f t="shared" si="3"/>
        <v>3.9</v>
      </c>
      <c r="I59" s="484">
        <f t="shared" si="3"/>
        <v>6.41</v>
      </c>
      <c r="J59" s="484">
        <f t="shared" si="3"/>
        <v>12.28</v>
      </c>
      <c r="K59" s="484">
        <f t="shared" si="3"/>
        <v>15.76</v>
      </c>
      <c r="L59" s="484">
        <f t="shared" si="3"/>
        <v>5.17</v>
      </c>
      <c r="M59" s="484">
        <f t="shared" si="3"/>
        <v>14.38</v>
      </c>
      <c r="N59" s="484">
        <f t="shared" si="3"/>
        <v>5.01</v>
      </c>
      <c r="O59" s="484">
        <f t="shared" si="3"/>
        <v>6.53</v>
      </c>
      <c r="P59" s="484">
        <f t="shared" si="3"/>
        <v>4.51</v>
      </c>
      <c r="Q59" s="484">
        <f t="shared" si="3"/>
        <v>6.54</v>
      </c>
      <c r="R59" s="484">
        <f t="shared" si="3"/>
        <v>6.03</v>
      </c>
      <c r="S59" s="484">
        <f t="shared" ref="S59:AY59" si="4">T58-S58+S60-S61-S62</f>
        <v>6.757590699</v>
      </c>
      <c r="T59" s="484">
        <f t="shared" si="4"/>
        <v>0.9125123222</v>
      </c>
      <c r="U59" s="484">
        <f t="shared" si="4"/>
        <v>2.892875554</v>
      </c>
      <c r="V59" s="484">
        <f t="shared" si="4"/>
        <v>1.861189027</v>
      </c>
      <c r="W59" s="484">
        <f t="shared" si="4"/>
        <v>1.677237969</v>
      </c>
      <c r="X59" s="484">
        <f t="shared" si="4"/>
        <v>2.149462177</v>
      </c>
      <c r="Y59" s="484">
        <f t="shared" si="4"/>
        <v>2.314665998</v>
      </c>
      <c r="Z59" s="484">
        <f t="shared" si="4"/>
        <v>2.327164762</v>
      </c>
      <c r="AA59" s="484">
        <f t="shared" si="4"/>
        <v>2.197041164</v>
      </c>
      <c r="AB59" s="484">
        <f t="shared" si="4"/>
        <v>1.845639484</v>
      </c>
      <c r="AC59" s="484">
        <f t="shared" si="4"/>
        <v>1.758727799</v>
      </c>
      <c r="AD59" s="484">
        <f t="shared" si="4"/>
        <v>1.494616145</v>
      </c>
      <c r="AE59" s="484">
        <f t="shared" si="4"/>
        <v>1.330680759</v>
      </c>
      <c r="AF59" s="484">
        <f t="shared" si="4"/>
        <v>1.559828352</v>
      </c>
      <c r="AG59" s="484">
        <f t="shared" si="4"/>
        <v>1.643772394</v>
      </c>
      <c r="AH59" s="484">
        <f t="shared" si="4"/>
        <v>1.362277207</v>
      </c>
      <c r="AI59" s="484">
        <f t="shared" si="4"/>
        <v>1.565019816</v>
      </c>
      <c r="AJ59" s="484">
        <f t="shared" si="4"/>
        <v>1.448205924</v>
      </c>
      <c r="AK59" s="484">
        <f t="shared" si="4"/>
        <v>1.468428072</v>
      </c>
      <c r="AL59" s="484">
        <f t="shared" si="4"/>
        <v>1.357557067</v>
      </c>
      <c r="AM59" s="484">
        <f t="shared" si="4"/>
        <v>1.423760881</v>
      </c>
      <c r="AN59" s="484">
        <f t="shared" si="4"/>
        <v>1.35344327</v>
      </c>
      <c r="AO59" s="484">
        <f t="shared" si="4"/>
        <v>1.407138524</v>
      </c>
      <c r="AP59" s="484">
        <f t="shared" si="4"/>
        <v>1.329791729</v>
      </c>
      <c r="AQ59" s="484">
        <f t="shared" si="4"/>
        <v>1.42152532</v>
      </c>
      <c r="AR59" s="484">
        <f t="shared" si="4"/>
        <v>1.379984542</v>
      </c>
      <c r="AS59" s="484">
        <f t="shared" si="4"/>
        <v>1.569001142</v>
      </c>
      <c r="AT59" s="484">
        <f t="shared" si="4"/>
        <v>1.446304485</v>
      </c>
      <c r="AU59" s="484">
        <f t="shared" si="4"/>
        <v>1.368265248</v>
      </c>
      <c r="AV59" s="484">
        <f t="shared" si="4"/>
        <v>1.492940391</v>
      </c>
      <c r="AW59" s="484">
        <f t="shared" si="4"/>
        <v>1.588882746</v>
      </c>
      <c r="AX59" s="484">
        <f t="shared" si="4"/>
        <v>1.409247576</v>
      </c>
      <c r="AY59" s="484">
        <f t="shared" si="4"/>
        <v>1.489828284</v>
      </c>
      <c r="AZ59" s="354">
        <f>AY59</f>
        <v>1.489828284</v>
      </c>
    </row>
    <row r="60">
      <c r="A60" s="552" t="s">
        <v>981</v>
      </c>
      <c r="B60" s="484">
        <f t="shared" ref="B60:R60" si="5">sum(B4,B10,B16,B22,B28,B34,B40,B46,B52)</f>
        <v>0.89</v>
      </c>
      <c r="C60" s="484">
        <f t="shared" si="5"/>
        <v>0.74</v>
      </c>
      <c r="D60" s="484">
        <f t="shared" si="5"/>
        <v>0.65</v>
      </c>
      <c r="E60" s="484">
        <f t="shared" si="5"/>
        <v>0.85</v>
      </c>
      <c r="F60" s="484">
        <f t="shared" si="5"/>
        <v>0.81</v>
      </c>
      <c r="G60" s="484">
        <f t="shared" si="5"/>
        <v>0.86</v>
      </c>
      <c r="H60" s="484">
        <f t="shared" si="5"/>
        <v>0.8</v>
      </c>
      <c r="I60" s="484">
        <f t="shared" si="5"/>
        <v>0.77</v>
      </c>
      <c r="J60" s="484">
        <f t="shared" si="5"/>
        <v>0.83</v>
      </c>
      <c r="K60" s="484">
        <f t="shared" si="5"/>
        <v>0.78</v>
      </c>
      <c r="L60" s="484">
        <f t="shared" si="5"/>
        <v>0.89</v>
      </c>
      <c r="M60" s="484">
        <f t="shared" si="5"/>
        <v>1.28</v>
      </c>
      <c r="N60" s="484">
        <f t="shared" si="5"/>
        <v>1.55</v>
      </c>
      <c r="O60" s="484">
        <f t="shared" si="5"/>
        <v>1.84</v>
      </c>
      <c r="P60" s="484">
        <f t="shared" si="5"/>
        <v>0.72</v>
      </c>
      <c r="Q60" s="484">
        <f t="shared" si="5"/>
        <v>0.94</v>
      </c>
      <c r="R60" s="484">
        <f t="shared" si="5"/>
        <v>1.53</v>
      </c>
      <c r="S60" s="484">
        <f t="shared" ref="S60:AZ60" si="6">average(D60:R60)</f>
        <v>1.006666667</v>
      </c>
      <c r="T60" s="484">
        <f t="shared" si="6"/>
        <v>1.030444444</v>
      </c>
      <c r="U60" s="484">
        <f t="shared" si="6"/>
        <v>1.042474074</v>
      </c>
      <c r="V60" s="484">
        <f t="shared" si="6"/>
        <v>1.057972346</v>
      </c>
      <c r="W60" s="484">
        <f t="shared" si="6"/>
        <v>1.071170502</v>
      </c>
      <c r="X60" s="484">
        <f t="shared" si="6"/>
        <v>1.089248536</v>
      </c>
      <c r="Y60" s="484">
        <f t="shared" si="6"/>
        <v>1.110531771</v>
      </c>
      <c r="Z60" s="484">
        <f t="shared" si="6"/>
        <v>1.129233889</v>
      </c>
      <c r="AA60" s="484">
        <f t="shared" si="6"/>
        <v>1.152516149</v>
      </c>
      <c r="AB60" s="484">
        <f t="shared" si="6"/>
        <v>1.170017225</v>
      </c>
      <c r="AC60" s="484">
        <f t="shared" si="6"/>
        <v>1.16268504</v>
      </c>
      <c r="AD60" s="484">
        <f t="shared" si="6"/>
        <v>1.136864043</v>
      </c>
      <c r="AE60" s="484">
        <f t="shared" si="6"/>
        <v>1.089988312</v>
      </c>
      <c r="AF60" s="484">
        <f t="shared" si="6"/>
        <v>1.1146542</v>
      </c>
      <c r="AG60" s="484">
        <f t="shared" si="6"/>
        <v>1.126297813</v>
      </c>
      <c r="AH60" s="484">
        <f t="shared" si="6"/>
        <v>1.099384334</v>
      </c>
      <c r="AI60" s="484">
        <f t="shared" si="6"/>
        <v>1.105565512</v>
      </c>
      <c r="AJ60" s="484">
        <f t="shared" si="6"/>
        <v>1.110573583</v>
      </c>
      <c r="AK60" s="484">
        <f t="shared" si="6"/>
        <v>1.11511355</v>
      </c>
      <c r="AL60" s="484">
        <f t="shared" si="6"/>
        <v>1.118922964</v>
      </c>
      <c r="AM60" s="484">
        <f t="shared" si="6"/>
        <v>1.122106461</v>
      </c>
      <c r="AN60" s="484">
        <f t="shared" si="6"/>
        <v>1.12429699</v>
      </c>
      <c r="AO60" s="484">
        <f t="shared" si="6"/>
        <v>1.125214671</v>
      </c>
      <c r="AP60" s="484">
        <f t="shared" si="6"/>
        <v>1.124946723</v>
      </c>
      <c r="AQ60" s="484">
        <f t="shared" si="6"/>
        <v>1.123108762</v>
      </c>
      <c r="AR60" s="484">
        <f t="shared" si="6"/>
        <v>1.119981531</v>
      </c>
      <c r="AS60" s="484">
        <f t="shared" si="6"/>
        <v>1.11713463</v>
      </c>
      <c r="AT60" s="484">
        <f t="shared" si="6"/>
        <v>1.115819336</v>
      </c>
      <c r="AU60" s="484">
        <f t="shared" si="6"/>
        <v>1.117541404</v>
      </c>
      <c r="AV60" s="484">
        <f t="shared" si="6"/>
        <v>1.117733884</v>
      </c>
      <c r="AW60" s="484">
        <f t="shared" si="6"/>
        <v>1.117162956</v>
      </c>
      <c r="AX60" s="484">
        <f t="shared" si="6"/>
        <v>1.118348197</v>
      </c>
      <c r="AY60" s="484">
        <f t="shared" si="6"/>
        <v>1.119200376</v>
      </c>
      <c r="AZ60" s="484">
        <f t="shared" si="6"/>
        <v>1.119775496</v>
      </c>
    </row>
    <row r="61">
      <c r="A61" s="552" t="s">
        <v>982</v>
      </c>
      <c r="B61" s="484">
        <f t="shared" ref="B61:R61" si="7">sum(B5,B11,B17,B23,B29,B35,B41,B47,B53)</f>
        <v>-0.04</v>
      </c>
      <c r="C61" s="484">
        <f t="shared" si="7"/>
        <v>0</v>
      </c>
      <c r="D61" s="484">
        <f t="shared" si="7"/>
        <v>-0.03</v>
      </c>
      <c r="E61" s="484">
        <f t="shared" si="7"/>
        <v>0</v>
      </c>
      <c r="F61" s="484">
        <f t="shared" si="7"/>
        <v>-0.07</v>
      </c>
      <c r="G61" s="484">
        <f t="shared" si="7"/>
        <v>-0.03</v>
      </c>
      <c r="H61" s="484">
        <f t="shared" si="7"/>
        <v>0.03</v>
      </c>
      <c r="I61" s="484">
        <f t="shared" si="7"/>
        <v>-0.03</v>
      </c>
      <c r="J61" s="484">
        <f t="shared" si="7"/>
        <v>0.03</v>
      </c>
      <c r="K61" s="484">
        <f t="shared" si="7"/>
        <v>0</v>
      </c>
      <c r="L61" s="484">
        <f t="shared" si="7"/>
        <v>-0.17</v>
      </c>
      <c r="M61" s="484">
        <f t="shared" si="7"/>
        <v>-0.24</v>
      </c>
      <c r="N61" s="484">
        <f t="shared" si="7"/>
        <v>-0.04</v>
      </c>
      <c r="O61" s="484">
        <f t="shared" si="7"/>
        <v>-0.01</v>
      </c>
      <c r="P61" s="484">
        <f t="shared" si="7"/>
        <v>0.03</v>
      </c>
      <c r="Q61" s="484">
        <f t="shared" si="7"/>
        <v>0.04</v>
      </c>
      <c r="R61" s="484">
        <f t="shared" si="7"/>
        <v>-0.15</v>
      </c>
      <c r="S61" s="484">
        <f t="shared" ref="S61:AZ61" si="8">average(D61:R61)</f>
        <v>-0.04266666667</v>
      </c>
      <c r="T61" s="484">
        <f t="shared" si="8"/>
        <v>-0.04351111111</v>
      </c>
      <c r="U61" s="484">
        <f t="shared" si="8"/>
        <v>-0.04641185185</v>
      </c>
      <c r="V61" s="484">
        <f t="shared" si="8"/>
        <v>-0.04483930864</v>
      </c>
      <c r="W61" s="484">
        <f t="shared" si="8"/>
        <v>-0.04582859588</v>
      </c>
      <c r="X61" s="484">
        <f t="shared" si="8"/>
        <v>-0.05088383561</v>
      </c>
      <c r="Y61" s="484">
        <f t="shared" si="8"/>
        <v>-0.05227609132</v>
      </c>
      <c r="Z61" s="484">
        <f t="shared" si="8"/>
        <v>-0.05776116407</v>
      </c>
      <c r="AA61" s="484">
        <f t="shared" si="8"/>
        <v>-0.06161190834</v>
      </c>
      <c r="AB61" s="484">
        <f t="shared" si="8"/>
        <v>-0.05438603557</v>
      </c>
      <c r="AC61" s="484">
        <f t="shared" si="8"/>
        <v>-0.04201177127</v>
      </c>
      <c r="AD61" s="484">
        <f t="shared" si="8"/>
        <v>-0.04214588936</v>
      </c>
      <c r="AE61" s="484">
        <f t="shared" si="8"/>
        <v>-0.04428894865</v>
      </c>
      <c r="AF61" s="484">
        <f t="shared" si="8"/>
        <v>-0.04924154522</v>
      </c>
      <c r="AG61" s="484">
        <f t="shared" si="8"/>
        <v>-0.05519098157</v>
      </c>
      <c r="AH61" s="484">
        <f t="shared" si="8"/>
        <v>-0.04887038034</v>
      </c>
      <c r="AI61" s="484">
        <f t="shared" si="8"/>
        <v>-0.04928396125</v>
      </c>
      <c r="AJ61" s="484">
        <f t="shared" si="8"/>
        <v>-0.04966881793</v>
      </c>
      <c r="AK61" s="484">
        <f t="shared" si="8"/>
        <v>-0.049885949</v>
      </c>
      <c r="AL61" s="484">
        <f t="shared" si="8"/>
        <v>-0.05022239169</v>
      </c>
      <c r="AM61" s="484">
        <f t="shared" si="8"/>
        <v>-0.05051531141</v>
      </c>
      <c r="AN61" s="484">
        <f t="shared" si="8"/>
        <v>-0.05049074313</v>
      </c>
      <c r="AO61" s="484">
        <f t="shared" si="8"/>
        <v>-0.05037171992</v>
      </c>
      <c r="AP61" s="484">
        <f t="shared" si="8"/>
        <v>-0.04987909031</v>
      </c>
      <c r="AQ61" s="484">
        <f t="shared" si="8"/>
        <v>-0.04909690244</v>
      </c>
      <c r="AR61" s="484">
        <f t="shared" si="8"/>
        <v>-0.04874429357</v>
      </c>
      <c r="AS61" s="484">
        <f t="shared" si="8"/>
        <v>-0.04919312839</v>
      </c>
      <c r="AT61" s="484">
        <f t="shared" si="8"/>
        <v>-0.04966294432</v>
      </c>
      <c r="AU61" s="484">
        <f t="shared" si="8"/>
        <v>-0.0500212107</v>
      </c>
      <c r="AV61" s="484">
        <f t="shared" si="8"/>
        <v>-0.0500731884</v>
      </c>
      <c r="AW61" s="484">
        <f t="shared" si="8"/>
        <v>-0.04973200219</v>
      </c>
      <c r="AX61" s="484">
        <f t="shared" si="8"/>
        <v>-0.04978944364</v>
      </c>
      <c r="AY61" s="484">
        <f t="shared" si="8"/>
        <v>-0.04982314247</v>
      </c>
      <c r="AZ61" s="484">
        <f t="shared" si="8"/>
        <v>-0.04983343077</v>
      </c>
    </row>
    <row r="62">
      <c r="A62" s="552" t="s">
        <v>983</v>
      </c>
      <c r="B62" s="484">
        <f t="shared" ref="B62:R62" si="9">sum(B6,B12,B18,B24,B30,B36,B42,B48,B54)</f>
        <v>0.03</v>
      </c>
      <c r="C62" s="484">
        <f t="shared" si="9"/>
        <v>0.03</v>
      </c>
      <c r="D62" s="484">
        <f t="shared" si="9"/>
        <v>0.01</v>
      </c>
      <c r="E62" s="484">
        <f t="shared" si="9"/>
        <v>0.17</v>
      </c>
      <c r="F62" s="484">
        <f t="shared" si="9"/>
        <v>0</v>
      </c>
      <c r="G62" s="484">
        <f t="shared" si="9"/>
        <v>0</v>
      </c>
      <c r="H62" s="484">
        <f t="shared" si="9"/>
        <v>0.03</v>
      </c>
      <c r="I62" s="484">
        <f t="shared" si="9"/>
        <v>-0.44</v>
      </c>
      <c r="J62" s="484">
        <f t="shared" si="9"/>
        <v>-0.07</v>
      </c>
      <c r="K62" s="484">
        <f t="shared" si="9"/>
        <v>0</v>
      </c>
      <c r="L62" s="484">
        <f t="shared" si="9"/>
        <v>0</v>
      </c>
      <c r="M62" s="484">
        <f t="shared" si="9"/>
        <v>0.04</v>
      </c>
      <c r="N62" s="484">
        <f t="shared" si="9"/>
        <v>-0.04</v>
      </c>
      <c r="O62" s="484">
        <f t="shared" si="9"/>
        <v>-0.2</v>
      </c>
      <c r="P62" s="484">
        <f t="shared" si="9"/>
        <v>-0.05</v>
      </c>
      <c r="Q62" s="484">
        <f t="shared" si="9"/>
        <v>0.06</v>
      </c>
      <c r="R62" s="484">
        <f t="shared" si="9"/>
        <v>-0.02</v>
      </c>
      <c r="S62" s="484">
        <f t="shared" ref="S62:AZ62" si="10">average(D62:R62)</f>
        <v>-0.034</v>
      </c>
      <c r="T62" s="484">
        <f t="shared" si="10"/>
        <v>-0.03693333333</v>
      </c>
      <c r="U62" s="484">
        <f t="shared" si="10"/>
        <v>-0.05072888889</v>
      </c>
      <c r="V62" s="484">
        <f t="shared" si="10"/>
        <v>-0.05411081481</v>
      </c>
      <c r="W62" s="484">
        <f t="shared" si="10"/>
        <v>-0.05771820247</v>
      </c>
      <c r="X62" s="484">
        <f t="shared" si="10"/>
        <v>-0.06356608263</v>
      </c>
      <c r="Y62" s="484">
        <f t="shared" si="10"/>
        <v>-0.03847048814</v>
      </c>
      <c r="Z62" s="484">
        <f t="shared" si="10"/>
        <v>-0.03636852069</v>
      </c>
      <c r="AA62" s="484">
        <f t="shared" si="10"/>
        <v>-0.03879308873</v>
      </c>
      <c r="AB62" s="484">
        <f t="shared" si="10"/>
        <v>-0.04137929465</v>
      </c>
      <c r="AC62" s="484">
        <f t="shared" si="10"/>
        <v>-0.04680458096</v>
      </c>
      <c r="AD62" s="484">
        <f t="shared" si="10"/>
        <v>-0.04725821969</v>
      </c>
      <c r="AE62" s="484">
        <f t="shared" si="10"/>
        <v>-0.03707543433</v>
      </c>
      <c r="AF62" s="484">
        <f t="shared" si="10"/>
        <v>-0.03621379662</v>
      </c>
      <c r="AG62" s="484">
        <f t="shared" si="10"/>
        <v>-0.04262804973</v>
      </c>
      <c r="AH62" s="484">
        <f t="shared" si="10"/>
        <v>-0.04413658638</v>
      </c>
      <c r="AI62" s="484">
        <f t="shared" si="10"/>
        <v>-0.0448123588</v>
      </c>
      <c r="AJ62" s="484">
        <f t="shared" si="10"/>
        <v>-0.04533762717</v>
      </c>
      <c r="AK62" s="484">
        <f t="shared" si="10"/>
        <v>-0.04497820972</v>
      </c>
      <c r="AL62" s="484">
        <f t="shared" si="10"/>
        <v>-0.04436936938</v>
      </c>
      <c r="AM62" s="484">
        <f t="shared" si="10"/>
        <v>-0.04347944717</v>
      </c>
      <c r="AN62" s="484">
        <f t="shared" si="10"/>
        <v>-0.04214033814</v>
      </c>
      <c r="AO62" s="484">
        <f t="shared" si="10"/>
        <v>-0.04238499481</v>
      </c>
      <c r="AP62" s="484">
        <f t="shared" si="10"/>
        <v>-0.04278609309</v>
      </c>
      <c r="AQ62" s="484">
        <f t="shared" si="10"/>
        <v>-0.04305229338</v>
      </c>
      <c r="AR62" s="484">
        <f t="shared" si="10"/>
        <v>-0.04316382662</v>
      </c>
      <c r="AS62" s="484">
        <f t="shared" si="10"/>
        <v>-0.04292110967</v>
      </c>
      <c r="AT62" s="484">
        <f t="shared" si="10"/>
        <v>-0.042631969</v>
      </c>
      <c r="AU62" s="484">
        <f t="shared" si="10"/>
        <v>-0.04300240465</v>
      </c>
      <c r="AV62" s="484">
        <f t="shared" si="10"/>
        <v>-0.04345497851</v>
      </c>
      <c r="AW62" s="484">
        <f t="shared" si="10"/>
        <v>-0.0435101071</v>
      </c>
      <c r="AX62" s="484">
        <f t="shared" si="10"/>
        <v>-0.04346834181</v>
      </c>
      <c r="AY62" s="484">
        <f t="shared" si="10"/>
        <v>-0.04337874068</v>
      </c>
      <c r="AZ62" s="484">
        <f t="shared" si="10"/>
        <v>-0.04324814825</v>
      </c>
    </row>
    <row r="63">
      <c r="A63" s="552" t="s">
        <v>984</v>
      </c>
      <c r="B63" s="484">
        <f t="shared" ref="B63:R63" si="11">sum(B7,B13,B19,B25,B31,B37,B43,B49,B55)</f>
        <v>71</v>
      </c>
      <c r="C63" s="484">
        <f t="shared" si="11"/>
        <v>75.42</v>
      </c>
      <c r="D63" s="484">
        <f t="shared" si="11"/>
        <v>78.65</v>
      </c>
      <c r="E63" s="484">
        <f t="shared" si="11"/>
        <v>80.77</v>
      </c>
      <c r="F63" s="484">
        <f t="shared" si="11"/>
        <v>83.44</v>
      </c>
      <c r="G63" s="484">
        <f t="shared" si="11"/>
        <v>85.5</v>
      </c>
      <c r="H63" s="484">
        <f t="shared" si="11"/>
        <v>88.63</v>
      </c>
      <c r="I63" s="484">
        <f t="shared" si="11"/>
        <v>94.49</v>
      </c>
      <c r="J63" s="484">
        <f t="shared" si="11"/>
        <v>105.71</v>
      </c>
      <c r="K63" s="484">
        <f t="shared" si="11"/>
        <v>120.92</v>
      </c>
      <c r="L63" s="484">
        <f t="shared" si="11"/>
        <v>124.69</v>
      </c>
      <c r="M63" s="484">
        <f t="shared" si="11"/>
        <v>138.41</v>
      </c>
      <c r="N63" s="484">
        <f t="shared" si="11"/>
        <v>141.84</v>
      </c>
      <c r="O63" s="484">
        <f t="shared" si="11"/>
        <v>146.24</v>
      </c>
      <c r="P63" s="484">
        <f t="shared" si="11"/>
        <v>150.6</v>
      </c>
      <c r="Q63" s="484">
        <f t="shared" si="11"/>
        <v>156.02</v>
      </c>
      <c r="R63" s="484">
        <f t="shared" si="11"/>
        <v>159.85</v>
      </c>
    </row>
    <row r="64">
      <c r="A64" s="447" t="s">
        <v>985</v>
      </c>
      <c r="B64" s="657">
        <v>14.97</v>
      </c>
      <c r="C64" s="657">
        <v>14.32</v>
      </c>
      <c r="D64" s="657">
        <v>13.89</v>
      </c>
      <c r="E64" s="657">
        <v>14.91</v>
      </c>
      <c r="F64" s="657">
        <v>15.85</v>
      </c>
      <c r="G64" s="657">
        <v>16.73</v>
      </c>
      <c r="H64" s="657">
        <v>17.23</v>
      </c>
      <c r="I64" s="657">
        <v>21.89</v>
      </c>
      <c r="J64" s="657">
        <v>20.3</v>
      </c>
      <c r="K64" s="657">
        <v>19.01</v>
      </c>
      <c r="L64" s="657">
        <v>19.85</v>
      </c>
      <c r="M64" s="657">
        <v>20.87</v>
      </c>
      <c r="N64" s="657">
        <v>20.96</v>
      </c>
      <c r="O64" s="657">
        <v>21.27</v>
      </c>
      <c r="P64" s="657">
        <v>24.65</v>
      </c>
      <c r="Q64" s="657">
        <v>24.09</v>
      </c>
      <c r="R64" s="657">
        <v>22.4</v>
      </c>
      <c r="S64" s="268">
        <f t="shared" ref="S64:AZ64" si="12">14.7+3.13*ln(S85)</f>
        <v>23.75314151</v>
      </c>
      <c r="T64" s="268">
        <f t="shared" si="12"/>
        <v>24.32977871</v>
      </c>
      <c r="U64" s="268">
        <f t="shared" si="12"/>
        <v>24.30961901</v>
      </c>
      <c r="V64" s="268">
        <f t="shared" si="12"/>
        <v>24.48779129</v>
      </c>
      <c r="W64" s="268">
        <f t="shared" si="12"/>
        <v>24.55936123</v>
      </c>
      <c r="X64" s="268">
        <f t="shared" si="12"/>
        <v>24.61042908</v>
      </c>
      <c r="Y64" s="268">
        <f t="shared" si="12"/>
        <v>24.70654078</v>
      </c>
      <c r="Z64" s="268">
        <f t="shared" si="12"/>
        <v>24.81968699</v>
      </c>
      <c r="AA64" s="268">
        <f t="shared" si="12"/>
        <v>24.931859</v>
      </c>
      <c r="AB64" s="268">
        <f t="shared" si="12"/>
        <v>25.02780366</v>
      </c>
      <c r="AC64" s="268">
        <f t="shared" si="12"/>
        <v>25.08673068</v>
      </c>
      <c r="AD64" s="268">
        <f t="shared" si="12"/>
        <v>25.13827674</v>
      </c>
      <c r="AE64" s="268">
        <f t="shared" si="12"/>
        <v>25.16554717</v>
      </c>
      <c r="AF64" s="268">
        <f t="shared" si="12"/>
        <v>25.18173863</v>
      </c>
      <c r="AG64" s="268">
        <f t="shared" si="12"/>
        <v>25.21829447</v>
      </c>
      <c r="AH64" s="268">
        <f t="shared" si="12"/>
        <v>25.26094128</v>
      </c>
      <c r="AI64" s="268">
        <f t="shared" si="12"/>
        <v>25.27820566</v>
      </c>
      <c r="AJ64" s="268">
        <f t="shared" si="12"/>
        <v>25.31533457</v>
      </c>
      <c r="AK64" s="268">
        <f t="shared" si="12"/>
        <v>25.33999103</v>
      </c>
      <c r="AL64" s="268">
        <f t="shared" si="12"/>
        <v>25.36625563</v>
      </c>
      <c r="AM64" s="268">
        <f t="shared" si="12"/>
        <v>25.3808937</v>
      </c>
      <c r="AN64" s="268">
        <f t="shared" si="12"/>
        <v>25.40199678</v>
      </c>
      <c r="AO64" s="268">
        <f t="shared" si="12"/>
        <v>25.41586991</v>
      </c>
      <c r="AP64" s="268">
        <f t="shared" si="12"/>
        <v>25.43509372</v>
      </c>
      <c r="AQ64" s="268">
        <f t="shared" si="12"/>
        <v>25.44649381</v>
      </c>
      <c r="AR64" s="268">
        <f t="shared" si="12"/>
        <v>25.4674554</v>
      </c>
      <c r="AS64" s="268">
        <f t="shared" si="12"/>
        <v>25.48453777</v>
      </c>
      <c r="AT64" s="268">
        <f t="shared" si="12"/>
        <v>25.52109701</v>
      </c>
      <c r="AU64" s="268">
        <f t="shared" si="12"/>
        <v>25.5453027</v>
      </c>
      <c r="AV64" s="268">
        <f t="shared" si="12"/>
        <v>25.56132873</v>
      </c>
      <c r="AW64" s="268">
        <f t="shared" si="12"/>
        <v>25.58995384</v>
      </c>
      <c r="AX64" s="268">
        <f t="shared" si="12"/>
        <v>25.62841602</v>
      </c>
      <c r="AY64" s="268">
        <f t="shared" si="12"/>
        <v>25.64850102</v>
      </c>
      <c r="AZ64" s="268">
        <f t="shared" si="12"/>
        <v>25.67669399</v>
      </c>
    </row>
    <row r="65">
      <c r="A65" s="447" t="s">
        <v>986</v>
      </c>
      <c r="B65" s="657">
        <v>11.47</v>
      </c>
      <c r="C65" s="657">
        <v>10.72</v>
      </c>
      <c r="D65" s="657">
        <v>10.09</v>
      </c>
      <c r="E65" s="657">
        <v>10.84</v>
      </c>
      <c r="F65" s="657">
        <v>11.16</v>
      </c>
      <c r="G65" s="657">
        <v>12.05</v>
      </c>
      <c r="H65" s="657">
        <v>12.46</v>
      </c>
      <c r="I65" s="657">
        <v>16.34</v>
      </c>
      <c r="J65" s="657">
        <v>14.59</v>
      </c>
      <c r="K65" s="657">
        <v>13.24</v>
      </c>
      <c r="L65" s="657">
        <v>13.91</v>
      </c>
      <c r="M65" s="657">
        <v>14.64</v>
      </c>
      <c r="N65" s="657">
        <v>14.6</v>
      </c>
      <c r="O65" s="657">
        <v>14.8</v>
      </c>
      <c r="P65" s="657">
        <v>17.41</v>
      </c>
      <c r="Q65" s="657">
        <v>17.3</v>
      </c>
      <c r="R65" s="657">
        <v>15.23</v>
      </c>
      <c r="S65" s="268">
        <f t="shared" ref="S65:AZ65" si="13">10.9+1.95*ln(S85)</f>
        <v>16.54013609</v>
      </c>
      <c r="T65" s="268">
        <f t="shared" si="13"/>
        <v>16.8993829</v>
      </c>
      <c r="U65" s="268">
        <f t="shared" si="13"/>
        <v>16.88682334</v>
      </c>
      <c r="V65" s="268">
        <f t="shared" si="13"/>
        <v>16.99782524</v>
      </c>
      <c r="W65" s="268">
        <f t="shared" si="13"/>
        <v>17.04241355</v>
      </c>
      <c r="X65" s="268">
        <f t="shared" si="13"/>
        <v>17.07422898</v>
      </c>
      <c r="Y65" s="268">
        <f t="shared" si="13"/>
        <v>17.13410688</v>
      </c>
      <c r="Z65" s="268">
        <f t="shared" si="13"/>
        <v>17.20459733</v>
      </c>
      <c r="AA65" s="268">
        <f t="shared" si="13"/>
        <v>17.27448085</v>
      </c>
      <c r="AB65" s="268">
        <f t="shared" si="13"/>
        <v>17.33425468</v>
      </c>
      <c r="AC65" s="268">
        <f t="shared" si="13"/>
        <v>17.3709664</v>
      </c>
      <c r="AD65" s="268">
        <f t="shared" si="13"/>
        <v>17.40307976</v>
      </c>
      <c r="AE65" s="268">
        <f t="shared" si="13"/>
        <v>17.42006932</v>
      </c>
      <c r="AF65" s="268">
        <f t="shared" si="13"/>
        <v>17.43015665</v>
      </c>
      <c r="AG65" s="268">
        <f t="shared" si="13"/>
        <v>17.45293106</v>
      </c>
      <c r="AH65" s="268">
        <f t="shared" si="13"/>
        <v>17.47950016</v>
      </c>
      <c r="AI65" s="268">
        <f t="shared" si="13"/>
        <v>17.49025592</v>
      </c>
      <c r="AJ65" s="268">
        <f t="shared" si="13"/>
        <v>17.51338735</v>
      </c>
      <c r="AK65" s="268">
        <f t="shared" si="13"/>
        <v>17.52874841</v>
      </c>
      <c r="AL65" s="268">
        <f t="shared" si="13"/>
        <v>17.54511134</v>
      </c>
      <c r="AM65" s="268">
        <f t="shared" si="13"/>
        <v>17.5542309</v>
      </c>
      <c r="AN65" s="268">
        <f t="shared" si="13"/>
        <v>17.56737818</v>
      </c>
      <c r="AO65" s="268">
        <f t="shared" si="13"/>
        <v>17.57602119</v>
      </c>
      <c r="AP65" s="268">
        <f t="shared" si="13"/>
        <v>17.58799768</v>
      </c>
      <c r="AQ65" s="268">
        <f t="shared" si="13"/>
        <v>17.59509998</v>
      </c>
      <c r="AR65" s="268">
        <f t="shared" si="13"/>
        <v>17.60815911</v>
      </c>
      <c r="AS65" s="268">
        <f t="shared" si="13"/>
        <v>17.61880148</v>
      </c>
      <c r="AT65" s="268">
        <f t="shared" si="13"/>
        <v>17.64157801</v>
      </c>
      <c r="AU65" s="268">
        <f t="shared" si="13"/>
        <v>17.65665823</v>
      </c>
      <c r="AV65" s="268">
        <f t="shared" si="13"/>
        <v>17.6666425</v>
      </c>
      <c r="AW65" s="268">
        <f t="shared" si="13"/>
        <v>17.68447603</v>
      </c>
      <c r="AX65" s="268">
        <f t="shared" si="13"/>
        <v>17.70843809</v>
      </c>
      <c r="AY65" s="268">
        <f t="shared" si="13"/>
        <v>17.72095112</v>
      </c>
      <c r="AZ65" s="268">
        <f t="shared" si="13"/>
        <v>17.73851543</v>
      </c>
    </row>
    <row r="66">
      <c r="B66" s="484">
        <f t="shared" ref="B66:AA66" si="14">B58+B59-B60+B61+B62</f>
        <v>71.03</v>
      </c>
      <c r="C66" s="484">
        <f t="shared" si="14"/>
        <v>75.41</v>
      </c>
      <c r="D66" s="484">
        <f t="shared" si="14"/>
        <v>78.68</v>
      </c>
      <c r="E66" s="484">
        <f t="shared" si="14"/>
        <v>80.77</v>
      </c>
      <c r="F66" s="484">
        <f t="shared" si="14"/>
        <v>83.43</v>
      </c>
      <c r="G66" s="484">
        <f t="shared" si="14"/>
        <v>85.54</v>
      </c>
      <c r="H66" s="484">
        <f t="shared" si="14"/>
        <v>88.66</v>
      </c>
      <c r="I66" s="484">
        <f t="shared" si="14"/>
        <v>94.45</v>
      </c>
      <c r="J66" s="484">
        <f t="shared" si="14"/>
        <v>105.71</v>
      </c>
      <c r="K66" s="484">
        <f t="shared" si="14"/>
        <v>120.93</v>
      </c>
      <c r="L66" s="484">
        <f t="shared" si="14"/>
        <v>124.71</v>
      </c>
      <c r="M66" s="484">
        <f t="shared" si="14"/>
        <v>138.4</v>
      </c>
      <c r="N66" s="484">
        <f t="shared" si="14"/>
        <v>141.84</v>
      </c>
      <c r="O66" s="484">
        <f t="shared" si="14"/>
        <v>146.24</v>
      </c>
      <c r="P66" s="484">
        <f t="shared" si="14"/>
        <v>150.59</v>
      </c>
      <c r="Q66" s="484">
        <f t="shared" si="14"/>
        <v>156.02</v>
      </c>
      <c r="R66" s="484">
        <f t="shared" si="14"/>
        <v>159.88</v>
      </c>
      <c r="S66" s="484">
        <f t="shared" si="14"/>
        <v>158.5594838</v>
      </c>
      <c r="T66" s="484">
        <f t="shared" si="14"/>
        <v>158.3611072</v>
      </c>
      <c r="U66" s="484">
        <f t="shared" si="14"/>
        <v>160.1143679</v>
      </c>
      <c r="V66" s="484">
        <f t="shared" si="14"/>
        <v>160.8186345</v>
      </c>
      <c r="W66" s="484">
        <f t="shared" si="14"/>
        <v>161.3211552</v>
      </c>
      <c r="X66" s="484">
        <f t="shared" si="14"/>
        <v>162.2669189</v>
      </c>
      <c r="Y66" s="484">
        <f t="shared" si="14"/>
        <v>163.3803065</v>
      </c>
      <c r="Z66" s="484">
        <f t="shared" si="14"/>
        <v>164.4841077</v>
      </c>
      <c r="AA66" s="484">
        <f t="shared" si="14"/>
        <v>165.4282277</v>
      </c>
    </row>
    <row r="67">
      <c r="A67" s="447" t="s">
        <v>987</v>
      </c>
      <c r="B67" s="701">
        <v>0.143644346</v>
      </c>
      <c r="C67" s="701">
        <v>0.18021915</v>
      </c>
      <c r="D67" s="701">
        <v>0.152820072</v>
      </c>
      <c r="E67" s="701">
        <v>0.149241768</v>
      </c>
      <c r="F67" s="701">
        <v>0.138573002</v>
      </c>
      <c r="G67" s="701">
        <v>0.198721509</v>
      </c>
      <c r="H67" s="701">
        <v>0.166878394</v>
      </c>
      <c r="I67" s="701">
        <v>0.196629443</v>
      </c>
      <c r="J67" s="701">
        <v>0.145958922</v>
      </c>
      <c r="K67" s="701">
        <v>0.147554577</v>
      </c>
      <c r="L67" s="701">
        <v>0.158764382</v>
      </c>
      <c r="M67" s="701">
        <v>0.186688381</v>
      </c>
      <c r="N67" s="701">
        <v>0.239764554</v>
      </c>
      <c r="O67" s="701">
        <v>0.202969234</v>
      </c>
      <c r="P67" s="701">
        <v>0.170772484</v>
      </c>
      <c r="Q67" s="701">
        <v>0.16254286</v>
      </c>
      <c r="R67" s="701">
        <v>0.163580406</v>
      </c>
      <c r="S67" s="702">
        <f t="shared" ref="S67:AZ67" si="15">average(B67:R67)</f>
        <v>0.1709013814</v>
      </c>
      <c r="T67" s="702">
        <f t="shared" si="15"/>
        <v>0.1725047364</v>
      </c>
      <c r="U67" s="702">
        <f t="shared" si="15"/>
        <v>0.1720509474</v>
      </c>
      <c r="V67" s="702">
        <f t="shared" si="15"/>
        <v>0.1731821754</v>
      </c>
      <c r="W67" s="702">
        <f t="shared" si="15"/>
        <v>0.1745904346</v>
      </c>
      <c r="X67" s="702">
        <f t="shared" si="15"/>
        <v>0.1767091071</v>
      </c>
      <c r="Y67" s="702">
        <f t="shared" si="15"/>
        <v>0.17541426</v>
      </c>
      <c r="Z67" s="702">
        <f t="shared" si="15"/>
        <v>0.1759163697</v>
      </c>
      <c r="AA67" s="702">
        <f t="shared" si="15"/>
        <v>0.1746979537</v>
      </c>
      <c r="AB67" s="702">
        <f t="shared" si="15"/>
        <v>0.1763884849</v>
      </c>
      <c r="AC67" s="702">
        <f t="shared" si="15"/>
        <v>0.1780845972</v>
      </c>
      <c r="AD67" s="702">
        <f t="shared" si="15"/>
        <v>0.1792210804</v>
      </c>
      <c r="AE67" s="702">
        <f t="shared" si="15"/>
        <v>0.1787818274</v>
      </c>
      <c r="AF67" s="702">
        <f t="shared" si="15"/>
        <v>0.1751946082</v>
      </c>
      <c r="AG67" s="702">
        <f t="shared" si="15"/>
        <v>0.1735608067</v>
      </c>
      <c r="AH67" s="702">
        <f t="shared" si="15"/>
        <v>0.1737248257</v>
      </c>
      <c r="AI67" s="702">
        <f t="shared" si="15"/>
        <v>0.1743825884</v>
      </c>
      <c r="AJ67" s="702">
        <f t="shared" si="15"/>
        <v>0.1750180109</v>
      </c>
      <c r="AK67" s="702">
        <f t="shared" si="15"/>
        <v>0.1752601655</v>
      </c>
      <c r="AL67" s="702">
        <f t="shared" si="15"/>
        <v>0.1754222496</v>
      </c>
      <c r="AM67" s="702">
        <f t="shared" si="15"/>
        <v>0.1756205615</v>
      </c>
      <c r="AN67" s="702">
        <f t="shared" si="15"/>
        <v>0.175763996</v>
      </c>
      <c r="AO67" s="702">
        <f t="shared" si="15"/>
        <v>0.175833029</v>
      </c>
      <c r="AP67" s="702">
        <f t="shared" si="15"/>
        <v>0.175781495</v>
      </c>
      <c r="AQ67" s="702">
        <f t="shared" si="15"/>
        <v>0.175803097</v>
      </c>
      <c r="AR67" s="702">
        <f t="shared" si="15"/>
        <v>0.1757964339</v>
      </c>
      <c r="AS67" s="702">
        <f t="shared" si="15"/>
        <v>0.1758610504</v>
      </c>
      <c r="AT67" s="702">
        <f t="shared" si="15"/>
        <v>0.1758300249</v>
      </c>
      <c r="AU67" s="702">
        <f t="shared" si="15"/>
        <v>0.175697403</v>
      </c>
      <c r="AV67" s="702">
        <f t="shared" si="15"/>
        <v>0.1754901278</v>
      </c>
      <c r="AW67" s="702">
        <f t="shared" si="15"/>
        <v>0.1752964984</v>
      </c>
      <c r="AX67" s="702">
        <f t="shared" si="15"/>
        <v>0.175302492</v>
      </c>
      <c r="AY67" s="702">
        <f t="shared" si="15"/>
        <v>0.1754049441</v>
      </c>
      <c r="AZ67" s="702">
        <f t="shared" si="15"/>
        <v>0.1755037745</v>
      </c>
    </row>
    <row r="68" ht="15.75" customHeight="1">
      <c r="A68" s="447" t="s">
        <v>988</v>
      </c>
      <c r="B68" s="702">
        <f t="shared" ref="B68:K68" si="16">average($L$68:$S$68)</f>
        <v>0.3535</v>
      </c>
      <c r="C68" s="702">
        <f t="shared" si="16"/>
        <v>0.3535</v>
      </c>
      <c r="D68" s="702">
        <f t="shared" si="16"/>
        <v>0.3535</v>
      </c>
      <c r="E68" s="702">
        <f t="shared" si="16"/>
        <v>0.3535</v>
      </c>
      <c r="F68" s="702">
        <f t="shared" si="16"/>
        <v>0.3535</v>
      </c>
      <c r="G68" s="702">
        <f t="shared" si="16"/>
        <v>0.3535</v>
      </c>
      <c r="H68" s="702">
        <f t="shared" si="16"/>
        <v>0.3535</v>
      </c>
      <c r="I68" s="702">
        <f t="shared" si="16"/>
        <v>0.3535</v>
      </c>
      <c r="J68" s="702">
        <f t="shared" si="16"/>
        <v>0.3535</v>
      </c>
      <c r="K68" s="702">
        <f t="shared" si="16"/>
        <v>0.3535</v>
      </c>
      <c r="L68" s="703">
        <v>0.357</v>
      </c>
      <c r="M68" s="703">
        <v>0.356</v>
      </c>
      <c r="N68" s="703">
        <v>0.353</v>
      </c>
      <c r="O68" s="703">
        <v>0.351</v>
      </c>
      <c r="P68" s="703">
        <v>0.353</v>
      </c>
      <c r="Q68" s="703">
        <v>0.354</v>
      </c>
      <c r="R68" s="703">
        <v>0.353</v>
      </c>
      <c r="S68" s="703">
        <v>0.351</v>
      </c>
      <c r="T68" s="702">
        <f t="shared" ref="T68:AZ68" si="17">average(L68:S68)</f>
        <v>0.3535</v>
      </c>
      <c r="U68" s="702">
        <f t="shared" si="17"/>
        <v>0.3530625</v>
      </c>
      <c r="V68" s="702">
        <f t="shared" si="17"/>
        <v>0.3526953125</v>
      </c>
      <c r="W68" s="702">
        <f t="shared" si="17"/>
        <v>0.3526572266</v>
      </c>
      <c r="X68" s="702">
        <f t="shared" si="17"/>
        <v>0.3528643799</v>
      </c>
      <c r="Y68" s="702">
        <f t="shared" si="17"/>
        <v>0.3528474274</v>
      </c>
      <c r="Z68" s="702">
        <f t="shared" si="17"/>
        <v>0.3527033558</v>
      </c>
      <c r="AA68" s="702">
        <f t="shared" si="17"/>
        <v>0.3526662753</v>
      </c>
      <c r="AB68" s="702">
        <f t="shared" si="17"/>
        <v>0.3528745597</v>
      </c>
      <c r="AC68" s="702">
        <f t="shared" si="17"/>
        <v>0.3527963796</v>
      </c>
      <c r="AD68" s="702">
        <f t="shared" si="17"/>
        <v>0.3527631146</v>
      </c>
      <c r="AE68" s="702">
        <f t="shared" si="17"/>
        <v>0.3527715898</v>
      </c>
      <c r="AF68" s="702">
        <f t="shared" si="17"/>
        <v>0.3527858853</v>
      </c>
      <c r="AG68" s="702">
        <f t="shared" si="17"/>
        <v>0.3527760734</v>
      </c>
      <c r="AH68" s="702">
        <f t="shared" si="17"/>
        <v>0.3527671542</v>
      </c>
      <c r="AI68" s="702">
        <f t="shared" si="17"/>
        <v>0.352775129</v>
      </c>
      <c r="AJ68" s="702">
        <f t="shared" si="17"/>
        <v>0.3527887357</v>
      </c>
      <c r="AK68" s="702">
        <f t="shared" si="17"/>
        <v>0.3527780077</v>
      </c>
      <c r="AL68" s="702">
        <f t="shared" si="17"/>
        <v>0.3527757112</v>
      </c>
      <c r="AM68" s="702">
        <f t="shared" si="17"/>
        <v>0.3527772858</v>
      </c>
      <c r="AN68" s="702">
        <f t="shared" si="17"/>
        <v>0.3527779978</v>
      </c>
      <c r="AO68" s="702">
        <f t="shared" si="17"/>
        <v>0.3527770118</v>
      </c>
      <c r="AP68" s="702">
        <f t="shared" si="17"/>
        <v>0.3527771291</v>
      </c>
      <c r="AQ68" s="702">
        <f t="shared" si="17"/>
        <v>0.352778376</v>
      </c>
      <c r="AR68" s="702">
        <f t="shared" si="17"/>
        <v>0.3527787819</v>
      </c>
      <c r="AS68" s="702">
        <f t="shared" si="17"/>
        <v>0.3527775377</v>
      </c>
      <c r="AT68" s="702">
        <f t="shared" si="17"/>
        <v>0.3527774789</v>
      </c>
      <c r="AU68" s="702">
        <f t="shared" si="17"/>
        <v>0.3527776999</v>
      </c>
      <c r="AV68" s="702">
        <f t="shared" si="17"/>
        <v>0.3527777516</v>
      </c>
      <c r="AW68" s="702">
        <f t="shared" si="17"/>
        <v>0.3527777209</v>
      </c>
      <c r="AX68" s="702">
        <f t="shared" si="17"/>
        <v>0.3527778095</v>
      </c>
      <c r="AY68" s="702">
        <f t="shared" si="17"/>
        <v>0.3527778946</v>
      </c>
      <c r="AZ68" s="702">
        <f t="shared" si="17"/>
        <v>0.3527778344</v>
      </c>
    </row>
    <row r="69" ht="15.75" customHeight="1"/>
    <row r="70" ht="15.75" customHeight="1">
      <c r="A70" s="535" t="s">
        <v>74</v>
      </c>
      <c r="B70" s="536">
        <v>0.6</v>
      </c>
      <c r="C70" s="537"/>
      <c r="D70" s="537"/>
      <c r="E70" s="537"/>
      <c r="F70" s="537"/>
      <c r="G70" s="537"/>
      <c r="H70" s="537"/>
      <c r="I70" s="537"/>
      <c r="J70" s="537"/>
      <c r="K70" s="537"/>
      <c r="L70" s="537"/>
      <c r="M70" s="537"/>
      <c r="N70" s="537"/>
      <c r="O70" s="537"/>
      <c r="P70" s="537"/>
      <c r="Q70" s="537"/>
      <c r="R70" s="537"/>
      <c r="S70" s="537"/>
      <c r="T70" s="537"/>
      <c r="U70" s="537"/>
      <c r="V70" s="537"/>
    </row>
    <row r="71" ht="15.75" customHeight="1">
      <c r="A71" s="535" t="s">
        <v>76</v>
      </c>
      <c r="B71" s="538">
        <f>1-B70</f>
        <v>0.4</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78</v>
      </c>
      <c r="B72" s="536">
        <v>0.075</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80</v>
      </c>
      <c r="B73" s="536">
        <v>0.09</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82</v>
      </c>
      <c r="B74" s="538">
        <f>B70*B72+B71*B73</f>
        <v>0.081</v>
      </c>
      <c r="C74" s="539"/>
      <c r="D74" s="539"/>
      <c r="E74" s="539"/>
      <c r="F74" s="539"/>
      <c r="G74" s="539"/>
      <c r="H74" s="539"/>
      <c r="I74" s="539"/>
      <c r="J74" s="539"/>
      <c r="K74" s="539"/>
      <c r="L74" s="539"/>
      <c r="M74" s="539"/>
      <c r="N74" s="539"/>
      <c r="O74" s="539"/>
      <c r="P74" s="539"/>
      <c r="Q74" s="539"/>
      <c r="R74" s="539"/>
      <c r="S74" s="539"/>
      <c r="T74" s="539"/>
      <c r="U74" s="539"/>
      <c r="V74" s="539"/>
    </row>
    <row r="75" ht="15.75" customHeight="1">
      <c r="A75" s="535" t="s">
        <v>84</v>
      </c>
      <c r="B75" s="668">
        <v>15.0</v>
      </c>
      <c r="C75" s="141"/>
      <c r="D75" s="141"/>
      <c r="E75" s="141"/>
      <c r="F75" s="141"/>
      <c r="G75" s="141"/>
      <c r="H75" s="141"/>
      <c r="I75" s="141"/>
      <c r="J75" s="141"/>
      <c r="K75" s="141"/>
      <c r="L75" s="141"/>
      <c r="M75" s="141"/>
      <c r="N75" s="141"/>
      <c r="O75" s="141"/>
      <c r="P75" s="141"/>
      <c r="Q75" s="141"/>
      <c r="R75" s="141"/>
      <c r="S75" s="141"/>
      <c r="T75" s="141"/>
      <c r="U75" s="141"/>
      <c r="V75" s="141"/>
    </row>
    <row r="76" ht="15.75" customHeight="1">
      <c r="A76" s="535" t="s">
        <v>772</v>
      </c>
      <c r="B76" s="538">
        <v>0.0375</v>
      </c>
      <c r="C76" s="669">
        <v>0.07219</v>
      </c>
      <c r="D76" s="669">
        <v>0.06677</v>
      </c>
      <c r="E76" s="669">
        <v>0.06177</v>
      </c>
      <c r="F76" s="669">
        <v>0.05713</v>
      </c>
      <c r="G76" s="669">
        <v>0.05285</v>
      </c>
      <c r="H76" s="669">
        <v>0.04888</v>
      </c>
      <c r="I76" s="669">
        <v>0.04522</v>
      </c>
      <c r="J76" s="669">
        <v>0.04462</v>
      </c>
      <c r="K76" s="669">
        <v>0.04461</v>
      </c>
      <c r="L76" s="669">
        <v>0.04462</v>
      </c>
      <c r="M76" s="669">
        <v>0.04461</v>
      </c>
      <c r="N76" s="669">
        <v>0.04462</v>
      </c>
      <c r="O76" s="669">
        <v>0.04461</v>
      </c>
      <c r="P76" s="669">
        <v>0.04462</v>
      </c>
      <c r="Q76" s="669">
        <v>0.04461</v>
      </c>
      <c r="R76" s="669">
        <v>0.04462</v>
      </c>
      <c r="S76" s="669">
        <v>0.04461</v>
      </c>
      <c r="T76" s="669">
        <v>0.04462</v>
      </c>
      <c r="U76" s="669">
        <v>0.04461</v>
      </c>
      <c r="V76" s="669">
        <v>0.02231</v>
      </c>
    </row>
    <row r="77" ht="15.0" customHeight="1">
      <c r="A77" s="535" t="s">
        <v>773</v>
      </c>
      <c r="B77" s="538">
        <f>1/30</f>
        <v>0.03333333333</v>
      </c>
    </row>
    <row r="78">
      <c r="A78" s="535" t="s">
        <v>112</v>
      </c>
      <c r="B78" s="546">
        <v>0.35</v>
      </c>
      <c r="C78" s="546">
        <v>0.35</v>
      </c>
      <c r="D78" s="546">
        <v>0.35</v>
      </c>
      <c r="E78" s="546">
        <v>0.35</v>
      </c>
      <c r="F78" s="546">
        <v>0.35</v>
      </c>
      <c r="G78" s="546">
        <v>0.35</v>
      </c>
      <c r="H78" s="546">
        <v>0.35</v>
      </c>
      <c r="I78" s="546">
        <v>0.35</v>
      </c>
      <c r="J78" s="546">
        <v>0.35</v>
      </c>
      <c r="K78" s="546">
        <v>0.35</v>
      </c>
      <c r="L78" s="546">
        <v>0.35</v>
      </c>
      <c r="M78" s="546">
        <v>0.35</v>
      </c>
      <c r="N78" s="546">
        <v>0.35</v>
      </c>
      <c r="O78" s="546">
        <v>0.35</v>
      </c>
      <c r="P78" s="546">
        <v>0.35</v>
      </c>
      <c r="Q78" s="546">
        <v>0.35</v>
      </c>
      <c r="R78" s="546">
        <v>0.35</v>
      </c>
      <c r="S78" s="546">
        <v>0.35</v>
      </c>
      <c r="T78" s="546">
        <v>0.21</v>
      </c>
      <c r="U78" s="546">
        <v>0.21</v>
      </c>
      <c r="V78" s="547">
        <v>0.21</v>
      </c>
      <c r="W78" s="208">
        <f t="shared" ref="W78:AZ78" si="18">V78</f>
        <v>0.21</v>
      </c>
      <c r="X78" s="208">
        <f t="shared" si="18"/>
        <v>0.21</v>
      </c>
      <c r="Y78" s="208">
        <f t="shared" si="18"/>
        <v>0.21</v>
      </c>
      <c r="Z78" s="208">
        <f t="shared" si="18"/>
        <v>0.21</v>
      </c>
      <c r="AA78" s="208">
        <f t="shared" si="18"/>
        <v>0.21</v>
      </c>
      <c r="AB78" s="208">
        <f t="shared" si="18"/>
        <v>0.21</v>
      </c>
      <c r="AC78" s="208">
        <f t="shared" si="18"/>
        <v>0.21</v>
      </c>
      <c r="AD78" s="208">
        <f t="shared" si="18"/>
        <v>0.21</v>
      </c>
      <c r="AE78" s="208">
        <f t="shared" si="18"/>
        <v>0.21</v>
      </c>
      <c r="AF78" s="208">
        <f t="shared" si="18"/>
        <v>0.21</v>
      </c>
      <c r="AG78" s="208">
        <f t="shared" si="18"/>
        <v>0.21</v>
      </c>
      <c r="AH78" s="208">
        <f t="shared" si="18"/>
        <v>0.21</v>
      </c>
      <c r="AI78" s="208">
        <f t="shared" si="18"/>
        <v>0.21</v>
      </c>
      <c r="AJ78" s="208">
        <f t="shared" si="18"/>
        <v>0.21</v>
      </c>
      <c r="AK78" s="208">
        <f t="shared" si="18"/>
        <v>0.21</v>
      </c>
      <c r="AL78" s="208">
        <f t="shared" si="18"/>
        <v>0.21</v>
      </c>
      <c r="AM78" s="208">
        <f t="shared" si="18"/>
        <v>0.21</v>
      </c>
      <c r="AN78" s="208">
        <f t="shared" si="18"/>
        <v>0.21</v>
      </c>
      <c r="AO78" s="208">
        <f t="shared" si="18"/>
        <v>0.21</v>
      </c>
      <c r="AP78" s="208">
        <f t="shared" si="18"/>
        <v>0.21</v>
      </c>
      <c r="AQ78" s="208">
        <f t="shared" si="18"/>
        <v>0.21</v>
      </c>
      <c r="AR78" s="208">
        <f t="shared" si="18"/>
        <v>0.21</v>
      </c>
      <c r="AS78" s="208">
        <f t="shared" si="18"/>
        <v>0.21</v>
      </c>
      <c r="AT78" s="208">
        <f t="shared" si="18"/>
        <v>0.21</v>
      </c>
      <c r="AU78" s="208">
        <f t="shared" si="18"/>
        <v>0.21</v>
      </c>
      <c r="AV78" s="208">
        <f t="shared" si="18"/>
        <v>0.21</v>
      </c>
      <c r="AW78" s="208">
        <f t="shared" si="18"/>
        <v>0.21</v>
      </c>
      <c r="AX78" s="208">
        <f t="shared" si="18"/>
        <v>0.21</v>
      </c>
      <c r="AY78" s="208">
        <f t="shared" si="18"/>
        <v>0.21</v>
      </c>
      <c r="AZ78" s="208">
        <f t="shared" si="18"/>
        <v>0.21</v>
      </c>
    </row>
    <row r="80">
      <c r="B80" s="78">
        <v>2000.0</v>
      </c>
      <c r="C80" s="78">
        <v>2001.0</v>
      </c>
      <c r="D80" s="78">
        <v>2002.0</v>
      </c>
      <c r="E80" s="78">
        <v>2003.0</v>
      </c>
      <c r="F80" s="78">
        <v>2004.0</v>
      </c>
      <c r="G80" s="78">
        <v>2005.0</v>
      </c>
      <c r="H80" s="78">
        <v>2006.0</v>
      </c>
      <c r="I80" s="78">
        <v>2007.0</v>
      </c>
      <c r="J80" s="78">
        <v>2008.0</v>
      </c>
      <c r="K80" s="78">
        <v>2009.0</v>
      </c>
      <c r="L80" s="78">
        <v>2010.0</v>
      </c>
      <c r="M80" s="78">
        <v>2011.0</v>
      </c>
      <c r="N80" s="78">
        <v>2012.0</v>
      </c>
      <c r="O80" s="78">
        <v>2013.0</v>
      </c>
      <c r="P80" s="78">
        <v>2014.0</v>
      </c>
      <c r="Q80" s="78">
        <v>2015.0</v>
      </c>
      <c r="R80" s="78">
        <v>2016.0</v>
      </c>
      <c r="S80" s="78">
        <v>2017.0</v>
      </c>
      <c r="T80" s="78">
        <v>2018.0</v>
      </c>
      <c r="U80" s="78">
        <v>2019.0</v>
      </c>
      <c r="V80" s="78">
        <v>2020.0</v>
      </c>
      <c r="W80" s="78">
        <v>2021.0</v>
      </c>
      <c r="X80" s="78">
        <v>2022.0</v>
      </c>
      <c r="Y80" s="78">
        <v>2023.0</v>
      </c>
      <c r="Z80" s="78">
        <v>2024.0</v>
      </c>
      <c r="AA80" s="78">
        <v>2025.0</v>
      </c>
      <c r="AB80" s="78">
        <v>2026.0</v>
      </c>
      <c r="AC80" s="78">
        <v>2027.0</v>
      </c>
      <c r="AD80" s="78">
        <v>2028.0</v>
      </c>
      <c r="AE80" s="78">
        <v>2029.0</v>
      </c>
      <c r="AF80" s="78">
        <v>2030.0</v>
      </c>
      <c r="AG80" s="78">
        <v>2031.0</v>
      </c>
      <c r="AH80" s="78">
        <v>2032.0</v>
      </c>
      <c r="AI80" s="78">
        <v>2033.0</v>
      </c>
      <c r="AJ80" s="78">
        <v>2034.0</v>
      </c>
      <c r="AK80" s="78">
        <v>2035.0</v>
      </c>
      <c r="AL80" s="78">
        <v>2036.0</v>
      </c>
      <c r="AM80" s="78">
        <v>2037.0</v>
      </c>
      <c r="AN80" s="78">
        <v>2038.0</v>
      </c>
      <c r="AO80" s="78">
        <v>2039.0</v>
      </c>
      <c r="AP80" s="78">
        <v>2040.0</v>
      </c>
      <c r="AQ80" s="78">
        <v>2041.0</v>
      </c>
      <c r="AR80" s="78">
        <v>2042.0</v>
      </c>
      <c r="AS80" s="78">
        <v>2043.0</v>
      </c>
      <c r="AT80" s="78">
        <v>2044.0</v>
      </c>
      <c r="AU80" s="78">
        <v>2045.0</v>
      </c>
      <c r="AV80" s="78">
        <v>2046.0</v>
      </c>
      <c r="AW80" s="78">
        <v>2047.0</v>
      </c>
      <c r="AX80" s="78">
        <v>2048.0</v>
      </c>
      <c r="AY80" s="78">
        <v>2049.0</v>
      </c>
      <c r="AZ80" s="78">
        <v>2050.0</v>
      </c>
    </row>
    <row r="81">
      <c r="A81" s="285" t="s">
        <v>686</v>
      </c>
      <c r="B81" s="285">
        <v>5.84</v>
      </c>
      <c r="C81" s="285">
        <v>5.8</v>
      </c>
      <c r="D81" s="285">
        <v>5.74</v>
      </c>
      <c r="E81" s="285">
        <v>5.65</v>
      </c>
      <c r="F81" s="285">
        <v>5.46</v>
      </c>
      <c r="G81" s="285">
        <v>5.18</v>
      </c>
      <c r="H81" s="285">
        <v>5.09</v>
      </c>
      <c r="I81" s="285">
        <v>5.07</v>
      </c>
      <c r="J81" s="285">
        <v>5.01</v>
      </c>
      <c r="K81" s="285">
        <v>5.35</v>
      </c>
      <c r="L81" s="285">
        <v>5.48</v>
      </c>
      <c r="M81" s="285">
        <v>5.65</v>
      </c>
      <c r="N81" s="285">
        <v>6.52</v>
      </c>
      <c r="O81" s="285">
        <v>7.47</v>
      </c>
      <c r="P81" s="285">
        <v>8.76</v>
      </c>
      <c r="Q81" s="285">
        <v>9.43</v>
      </c>
      <c r="R81" s="285">
        <v>8.85</v>
      </c>
      <c r="S81" s="285">
        <v>9.35</v>
      </c>
      <c r="T81" s="447">
        <v>10.96</v>
      </c>
      <c r="U81" s="516">
        <v>11.969468</v>
      </c>
      <c r="V81" s="517">
        <v>13.085901</v>
      </c>
      <c r="W81" s="517">
        <v>13.665423</v>
      </c>
      <c r="X81" s="517">
        <v>13.977781</v>
      </c>
      <c r="Y81" s="517">
        <v>13.917915</v>
      </c>
      <c r="Z81" s="517">
        <v>14.012055</v>
      </c>
      <c r="AA81" s="517">
        <v>14.094161</v>
      </c>
      <c r="AB81" s="517">
        <v>14.37495</v>
      </c>
      <c r="AC81" s="517">
        <v>14.506202</v>
      </c>
      <c r="AD81" s="517">
        <v>14.414598</v>
      </c>
      <c r="AE81" s="517">
        <v>14.413425</v>
      </c>
      <c r="AF81" s="517">
        <v>14.460274</v>
      </c>
      <c r="AG81" s="517">
        <v>14.534123</v>
      </c>
      <c r="AH81" s="517">
        <v>14.510523</v>
      </c>
      <c r="AI81" s="517">
        <v>14.482531</v>
      </c>
      <c r="AJ81" s="517">
        <v>14.434381</v>
      </c>
      <c r="AK81" s="517">
        <v>14.329348</v>
      </c>
      <c r="AL81" s="517">
        <v>14.269213</v>
      </c>
      <c r="AM81" s="517">
        <v>14.174327</v>
      </c>
      <c r="AN81" s="517">
        <v>14.138342</v>
      </c>
      <c r="AO81" s="517">
        <v>14.101297</v>
      </c>
      <c r="AP81" s="517">
        <v>14.050146</v>
      </c>
      <c r="AQ81" s="517">
        <v>13.942209</v>
      </c>
      <c r="AR81" s="517">
        <v>13.782656</v>
      </c>
      <c r="AS81" s="517">
        <v>13.524229</v>
      </c>
      <c r="AT81" s="517">
        <v>13.299628</v>
      </c>
      <c r="AU81" s="517">
        <v>13.030391</v>
      </c>
      <c r="AV81" s="517">
        <v>12.814965</v>
      </c>
      <c r="AW81" s="517">
        <v>12.614922</v>
      </c>
      <c r="AX81" s="517">
        <v>12.374134</v>
      </c>
      <c r="AY81" s="517">
        <v>12.0793</v>
      </c>
      <c r="AZ81" s="517">
        <v>11.860889</v>
      </c>
    </row>
    <row r="82">
      <c r="A82" s="519" t="s">
        <v>687</v>
      </c>
      <c r="B82" s="520">
        <v>0.396782</v>
      </c>
      <c r="C82" s="520">
        <v>0.38715</v>
      </c>
      <c r="D82" s="520">
        <v>0.376829</v>
      </c>
      <c r="E82" s="520">
        <v>0.372466917</v>
      </c>
      <c r="F82" s="520">
        <v>0.382459417</v>
      </c>
      <c r="G82" s="520">
        <v>0.409815417</v>
      </c>
      <c r="H82" s="520">
        <v>0.428021583</v>
      </c>
      <c r="I82" s="520">
        <v>0.462267333</v>
      </c>
      <c r="J82" s="520">
        <v>0.55364875</v>
      </c>
      <c r="K82" s="520">
        <v>0.63217125</v>
      </c>
      <c r="L82" s="520">
        <v>0.824436167</v>
      </c>
      <c r="M82" s="520">
        <v>1.292299917</v>
      </c>
      <c r="N82" s="520">
        <v>2.143491623</v>
      </c>
      <c r="O82" s="520">
        <v>3.049101523</v>
      </c>
      <c r="P82" s="520">
        <v>4.105007951</v>
      </c>
      <c r="Q82" s="520">
        <v>4.774478068</v>
      </c>
      <c r="R82" s="520">
        <v>4.429167813</v>
      </c>
      <c r="S82" s="520">
        <v>4.959407378</v>
      </c>
      <c r="T82" s="434">
        <v>6.464691279</v>
      </c>
      <c r="U82" s="516">
        <v>7.628952</v>
      </c>
      <c r="V82" s="517">
        <v>8.543354</v>
      </c>
      <c r="W82" s="517">
        <v>9.012376</v>
      </c>
      <c r="X82" s="517">
        <v>9.108932</v>
      </c>
      <c r="Y82" s="517">
        <v>9.104749</v>
      </c>
      <c r="Z82" s="517">
        <v>9.337942</v>
      </c>
      <c r="AA82" s="517">
        <v>9.449523</v>
      </c>
      <c r="AB82" s="517">
        <v>9.683542</v>
      </c>
      <c r="AC82" s="517">
        <v>9.966003</v>
      </c>
      <c r="AD82" s="517">
        <v>10.007012</v>
      </c>
      <c r="AE82" s="517">
        <v>10.128206</v>
      </c>
      <c r="AF82" s="517">
        <v>10.217764</v>
      </c>
      <c r="AG82" s="517">
        <v>10.283261</v>
      </c>
      <c r="AH82" s="517">
        <v>10.241172</v>
      </c>
      <c r="AI82" s="517">
        <v>10.166711</v>
      </c>
      <c r="AJ82" s="517">
        <v>10.134454</v>
      </c>
      <c r="AK82" s="517">
        <v>10.029992</v>
      </c>
      <c r="AL82" s="517">
        <v>9.893669</v>
      </c>
      <c r="AM82" s="517">
        <v>9.737612</v>
      </c>
      <c r="AN82" s="517">
        <v>9.637629</v>
      </c>
      <c r="AO82" s="517">
        <v>9.550235</v>
      </c>
      <c r="AP82" s="517">
        <v>9.459326</v>
      </c>
      <c r="AQ82" s="517">
        <v>9.433199</v>
      </c>
      <c r="AR82" s="517">
        <v>9.368042</v>
      </c>
      <c r="AS82" s="517">
        <v>9.268444</v>
      </c>
      <c r="AT82" s="517">
        <v>9.174502</v>
      </c>
      <c r="AU82" s="517">
        <v>9.006337</v>
      </c>
      <c r="AV82" s="517">
        <v>8.875743</v>
      </c>
      <c r="AW82" s="517">
        <v>8.7727</v>
      </c>
      <c r="AX82" s="517">
        <v>8.670607</v>
      </c>
      <c r="AY82" s="517">
        <v>8.48436</v>
      </c>
      <c r="AZ82" s="517">
        <v>8.377244</v>
      </c>
    </row>
    <row r="83">
      <c r="A83" s="521" t="s">
        <v>640</v>
      </c>
      <c r="B83" s="498">
        <v>30.30083333</v>
      </c>
      <c r="C83" s="498">
        <v>25.9475</v>
      </c>
      <c r="D83" s="498">
        <v>26.115</v>
      </c>
      <c r="E83" s="498">
        <v>31.12083333</v>
      </c>
      <c r="F83" s="498">
        <v>41.44333333</v>
      </c>
      <c r="G83" s="498">
        <v>56.4925</v>
      </c>
      <c r="H83" s="498">
        <v>66.01833333</v>
      </c>
      <c r="I83" s="498">
        <v>72.31833333</v>
      </c>
      <c r="J83" s="498">
        <v>99.57166667</v>
      </c>
      <c r="K83" s="498">
        <v>61.65416667</v>
      </c>
      <c r="L83" s="498">
        <v>79.395</v>
      </c>
      <c r="M83" s="498">
        <v>94.87416667</v>
      </c>
      <c r="N83" s="498">
        <v>94.11083333</v>
      </c>
      <c r="O83" s="498">
        <v>97.90583333</v>
      </c>
      <c r="P83" s="498">
        <v>93.25833333</v>
      </c>
      <c r="Q83" s="498">
        <v>48.68833333</v>
      </c>
      <c r="R83" s="498">
        <v>43.14416667</v>
      </c>
      <c r="S83" s="498">
        <v>50.88416667</v>
      </c>
      <c r="T83" s="498">
        <v>64.94</v>
      </c>
      <c r="U83" s="704">
        <v>69.556999</v>
      </c>
      <c r="V83" s="704">
        <v>73.417885</v>
      </c>
      <c r="W83" s="704">
        <v>77.008263</v>
      </c>
      <c r="X83" s="704">
        <v>78.175545</v>
      </c>
      <c r="Y83" s="704">
        <v>81.901627</v>
      </c>
      <c r="Z83" s="704">
        <v>87.454857</v>
      </c>
      <c r="AA83" s="704">
        <v>92.685051</v>
      </c>
      <c r="AB83" s="704">
        <v>97.377525</v>
      </c>
      <c r="AC83" s="704">
        <v>102.453674</v>
      </c>
      <c r="AD83" s="704">
        <v>106.935913</v>
      </c>
      <c r="AE83" s="704">
        <v>111.79879</v>
      </c>
      <c r="AF83" s="704">
        <v>116.054909</v>
      </c>
      <c r="AG83" s="704">
        <v>121.082336</v>
      </c>
      <c r="AH83" s="704">
        <v>125.284821</v>
      </c>
      <c r="AI83" s="704">
        <v>131.83606</v>
      </c>
      <c r="AJ83" s="704">
        <v>135.625595</v>
      </c>
      <c r="AK83" s="704">
        <v>140.913284</v>
      </c>
      <c r="AL83" s="704">
        <v>146.975525</v>
      </c>
      <c r="AM83" s="704">
        <v>149.761261</v>
      </c>
      <c r="AN83" s="704">
        <v>154.985153</v>
      </c>
      <c r="AO83" s="704">
        <v>159.689987</v>
      </c>
      <c r="AP83" s="704">
        <v>165.707123</v>
      </c>
      <c r="AQ83" s="704">
        <v>170.507996</v>
      </c>
      <c r="AR83" s="704">
        <v>176.77037</v>
      </c>
      <c r="AS83" s="704">
        <v>181.380966</v>
      </c>
      <c r="AT83" s="704">
        <v>186.617828</v>
      </c>
      <c r="AU83" s="704">
        <v>192.045486</v>
      </c>
      <c r="AV83" s="704">
        <v>197.27951</v>
      </c>
      <c r="AW83" s="704">
        <v>202.597809</v>
      </c>
      <c r="AX83" s="704">
        <v>208.117722</v>
      </c>
      <c r="AY83" s="704">
        <v>213.356369</v>
      </c>
      <c r="AZ83" s="704">
        <v>218.588654</v>
      </c>
    </row>
    <row r="84">
      <c r="A84" s="285" t="s">
        <v>688</v>
      </c>
      <c r="B84" s="486">
        <v>19.18198</v>
      </c>
      <c r="C84" s="486">
        <v>19.616311</v>
      </c>
      <c r="D84" s="486">
        <v>18.927788</v>
      </c>
      <c r="E84" s="486">
        <v>19.098544</v>
      </c>
      <c r="F84" s="486">
        <v>18.590891</v>
      </c>
      <c r="G84" s="486">
        <v>18.050598</v>
      </c>
      <c r="H84" s="486">
        <v>18.503605</v>
      </c>
      <c r="I84" s="486">
        <v>19.266026</v>
      </c>
      <c r="J84" s="486">
        <v>20.158602</v>
      </c>
      <c r="K84" s="486">
        <v>20.623854</v>
      </c>
      <c r="L84" s="486">
        <v>21.315507</v>
      </c>
      <c r="M84" s="486">
        <v>22.901879</v>
      </c>
      <c r="N84" s="486">
        <v>24.033266</v>
      </c>
      <c r="O84" s="486">
        <v>24.205523</v>
      </c>
      <c r="P84" s="486">
        <v>25.889605</v>
      </c>
      <c r="Q84" s="486">
        <v>27.06546</v>
      </c>
      <c r="R84" s="486">
        <v>26.592115</v>
      </c>
      <c r="S84" s="486">
        <v>27.291222</v>
      </c>
      <c r="T84" s="524">
        <v>30.439166</v>
      </c>
      <c r="U84" s="517">
        <v>32.255924</v>
      </c>
      <c r="V84" s="517">
        <v>33.551945</v>
      </c>
      <c r="W84" s="517">
        <v>34.104362</v>
      </c>
      <c r="X84" s="517">
        <v>34.610321</v>
      </c>
      <c r="Y84" s="517">
        <v>35.265839</v>
      </c>
      <c r="Z84" s="517">
        <v>35.878204</v>
      </c>
      <c r="AA84" s="517">
        <v>36.620083</v>
      </c>
      <c r="AB84" s="517">
        <v>37.358829</v>
      </c>
      <c r="AC84" s="517">
        <v>37.824024</v>
      </c>
      <c r="AD84" s="517">
        <v>38.264236</v>
      </c>
      <c r="AE84" s="517">
        <v>38.409321</v>
      </c>
      <c r="AF84" s="517">
        <v>38.493877</v>
      </c>
      <c r="AG84" s="517">
        <v>38.755878</v>
      </c>
      <c r="AH84" s="517">
        <v>39.081787</v>
      </c>
      <c r="AI84" s="517">
        <v>39.16407</v>
      </c>
      <c r="AJ84" s="517">
        <v>39.398941</v>
      </c>
      <c r="AK84" s="517">
        <v>39.584068</v>
      </c>
      <c r="AL84" s="517">
        <v>39.824623</v>
      </c>
      <c r="AM84" s="517">
        <v>40.056953</v>
      </c>
      <c r="AN84" s="517">
        <v>40.274426</v>
      </c>
      <c r="AO84" s="517">
        <v>40.437691</v>
      </c>
      <c r="AP84" s="517">
        <v>40.716293</v>
      </c>
      <c r="AQ84" s="517">
        <v>40.93531</v>
      </c>
      <c r="AR84" s="517">
        <v>41.207214</v>
      </c>
      <c r="AS84" s="517">
        <v>41.37851</v>
      </c>
      <c r="AT84" s="517">
        <v>41.772648</v>
      </c>
      <c r="AU84" s="517">
        <v>42.093288</v>
      </c>
      <c r="AV84" s="517">
        <v>42.335583</v>
      </c>
      <c r="AW84" s="517">
        <v>42.559422</v>
      </c>
      <c r="AX84" s="517">
        <v>42.914707</v>
      </c>
      <c r="AY84" s="517">
        <v>43.099472</v>
      </c>
      <c r="AZ84" s="517">
        <v>43.407387</v>
      </c>
    </row>
    <row r="85">
      <c r="A85" s="458" t="s">
        <v>689</v>
      </c>
      <c r="B85" s="499">
        <v>1.317278329</v>
      </c>
      <c r="C85" s="499">
        <v>1.318267898</v>
      </c>
      <c r="D85" s="499">
        <v>1.364595044</v>
      </c>
      <c r="E85" s="499">
        <v>1.433309762</v>
      </c>
      <c r="F85" s="499">
        <v>1.503235978</v>
      </c>
      <c r="G85" s="499">
        <v>1.662950749</v>
      </c>
      <c r="H85" s="499">
        <v>1.964867693</v>
      </c>
      <c r="I85" s="499">
        <v>2.521740711</v>
      </c>
      <c r="J85" s="499">
        <v>3.373959326</v>
      </c>
      <c r="K85" s="499">
        <v>4.358458806</v>
      </c>
      <c r="L85" s="499">
        <v>6.123842214</v>
      </c>
      <c r="M85" s="499">
        <v>8.875533197</v>
      </c>
      <c r="N85" s="499">
        <v>11.05550897</v>
      </c>
      <c r="O85" s="499">
        <v>12.40544627</v>
      </c>
      <c r="P85" s="499">
        <v>14.36104015</v>
      </c>
      <c r="Q85" s="499">
        <v>15.98832085</v>
      </c>
      <c r="R85" s="499">
        <v>16.63158594</v>
      </c>
      <c r="S85" s="499">
        <v>18.03613923</v>
      </c>
      <c r="T85" s="499">
        <v>21.6846929</v>
      </c>
      <c r="U85" s="517">
        <v>21.545475</v>
      </c>
      <c r="V85" s="517">
        <v>22.80751</v>
      </c>
      <c r="W85" s="517">
        <v>23.33503</v>
      </c>
      <c r="X85" s="517">
        <v>23.718878</v>
      </c>
      <c r="Y85" s="517">
        <v>24.458502</v>
      </c>
      <c r="Z85" s="517">
        <v>25.358826</v>
      </c>
      <c r="AA85" s="517">
        <v>26.284109</v>
      </c>
      <c r="AB85" s="517">
        <v>27.102278</v>
      </c>
      <c r="AC85" s="517">
        <v>27.617353</v>
      </c>
      <c r="AD85" s="517">
        <v>28.075932</v>
      </c>
      <c r="AE85" s="517">
        <v>28.321615</v>
      </c>
      <c r="AF85" s="517">
        <v>28.468502</v>
      </c>
      <c r="AG85" s="517">
        <v>28.80294</v>
      </c>
      <c r="AH85" s="517">
        <v>29.198071</v>
      </c>
      <c r="AI85" s="517">
        <v>29.359566</v>
      </c>
      <c r="AJ85" s="517">
        <v>29.709911</v>
      </c>
      <c r="AK85" s="517">
        <v>29.944874</v>
      </c>
      <c r="AL85" s="517">
        <v>30.197206</v>
      </c>
      <c r="AM85" s="517">
        <v>30.33876</v>
      </c>
      <c r="AN85" s="517">
        <v>30.544001</v>
      </c>
      <c r="AO85" s="517">
        <v>30.679682</v>
      </c>
      <c r="AP85" s="517">
        <v>30.86869</v>
      </c>
      <c r="AQ85" s="517">
        <v>30.981325</v>
      </c>
      <c r="AR85" s="517">
        <v>31.189503</v>
      </c>
      <c r="AS85" s="517">
        <v>31.360189</v>
      </c>
      <c r="AT85" s="517">
        <v>31.728632</v>
      </c>
      <c r="AU85" s="517">
        <v>31.974955</v>
      </c>
      <c r="AV85" s="517">
        <v>32.139091</v>
      </c>
      <c r="AW85" s="517">
        <v>32.434364</v>
      </c>
      <c r="AX85" s="517">
        <v>32.835384</v>
      </c>
      <c r="AY85" s="517">
        <v>33.046764</v>
      </c>
      <c r="AZ85" s="517">
        <v>33.345772</v>
      </c>
    </row>
    <row r="86">
      <c r="A86" s="458" t="s">
        <v>537</v>
      </c>
      <c r="B86" s="460">
        <v>4.31</v>
      </c>
      <c r="C86" s="460">
        <v>3.96</v>
      </c>
      <c r="D86" s="460">
        <v>3.38</v>
      </c>
      <c r="E86" s="460">
        <v>5.47</v>
      </c>
      <c r="F86" s="460">
        <v>5.89</v>
      </c>
      <c r="G86" s="460">
        <v>8.69</v>
      </c>
      <c r="H86" s="460">
        <v>6.73</v>
      </c>
      <c r="I86" s="460">
        <v>6.97</v>
      </c>
      <c r="J86" s="460">
        <v>8.86</v>
      </c>
      <c r="K86" s="460">
        <v>3.94</v>
      </c>
      <c r="L86" s="460">
        <v>4.37</v>
      </c>
      <c r="M86" s="460">
        <v>4.0</v>
      </c>
      <c r="N86" s="460">
        <v>2.75</v>
      </c>
      <c r="O86" s="460">
        <v>3.73</v>
      </c>
      <c r="P86" s="460">
        <v>4.37</v>
      </c>
      <c r="Q86" s="460">
        <v>2.62</v>
      </c>
      <c r="R86" s="460">
        <v>2.52</v>
      </c>
      <c r="S86" s="460">
        <v>2.99</v>
      </c>
      <c r="T86" s="533">
        <v>3.17</v>
      </c>
      <c r="U86" s="704">
        <v>3.100914</v>
      </c>
      <c r="V86" s="704">
        <v>3.247373</v>
      </c>
      <c r="W86" s="704">
        <v>3.243106</v>
      </c>
      <c r="X86" s="704">
        <v>3.328699</v>
      </c>
      <c r="Y86" s="704">
        <v>3.555844</v>
      </c>
      <c r="Z86" s="704">
        <v>3.843373</v>
      </c>
      <c r="AA86" s="704">
        <v>4.203092</v>
      </c>
      <c r="AB86" s="704">
        <v>4.38602</v>
      </c>
      <c r="AC86" s="704">
        <v>4.515261</v>
      </c>
      <c r="AD86" s="704">
        <v>4.717234</v>
      </c>
      <c r="AE86" s="704">
        <v>4.844302</v>
      </c>
      <c r="AF86" s="704">
        <v>4.998316</v>
      </c>
      <c r="AG86" s="704">
        <v>5.085895</v>
      </c>
      <c r="AH86" s="704">
        <v>5.381088</v>
      </c>
      <c r="AI86" s="704">
        <v>5.581815</v>
      </c>
      <c r="AJ86" s="704">
        <v>5.765597</v>
      </c>
      <c r="AK86" s="704">
        <v>5.954128</v>
      </c>
      <c r="AL86" s="704">
        <v>6.202986</v>
      </c>
      <c r="AM86" s="704">
        <v>6.372522</v>
      </c>
      <c r="AN86" s="704">
        <v>6.53071</v>
      </c>
      <c r="AO86" s="704">
        <v>6.712088</v>
      </c>
      <c r="AP86" s="704">
        <v>6.961467</v>
      </c>
      <c r="AQ86" s="704">
        <v>7.098888</v>
      </c>
      <c r="AR86" s="704">
        <v>7.33334</v>
      </c>
      <c r="AS86" s="704">
        <v>7.610314</v>
      </c>
      <c r="AT86" s="704">
        <v>7.931487</v>
      </c>
      <c r="AU86" s="704">
        <v>8.252415</v>
      </c>
      <c r="AV86" s="704">
        <v>8.543459</v>
      </c>
      <c r="AW86" s="704">
        <v>8.879307</v>
      </c>
      <c r="AX86" s="704">
        <v>9.345243</v>
      </c>
      <c r="AY86" s="704">
        <v>9.767595</v>
      </c>
      <c r="AZ86" s="704">
        <v>10.176351</v>
      </c>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259">
        <v>2051.0</v>
      </c>
      <c r="BB1" s="259"/>
    </row>
    <row r="2" ht="15.0" customHeight="1">
      <c r="A2" s="535" t="s">
        <v>70</v>
      </c>
      <c r="B2" s="160">
        <f>B3*1000*'Inflation GDP Population'!B$18/'Inflation GDP Population'!$T$18</f>
        <v>2934452.437</v>
      </c>
      <c r="C2" s="160">
        <f>C3*1000*'Inflation GDP Population'!C$18/'Inflation GDP Population'!$T$18</f>
        <v>2998817.182</v>
      </c>
      <c r="D2" s="160">
        <f>D3*1000*'Inflation GDP Population'!D$18/'Inflation GDP Population'!$T$18</f>
        <v>3046250.896</v>
      </c>
      <c r="E2" s="160">
        <f>E3*1000*'Inflation GDP Population'!E$18/'Inflation GDP Population'!$T$18</f>
        <v>3102823.549</v>
      </c>
      <c r="F2" s="160">
        <f>F3*1000*'Inflation GDP Population'!F$18/'Inflation GDP Population'!$T$18</f>
        <v>3186357.773</v>
      </c>
      <c r="G2" s="160">
        <f>G3*1000*'Inflation GDP Population'!G$18/'Inflation GDP Population'!$T$18</f>
        <v>3285609.937</v>
      </c>
      <c r="H2" s="160">
        <f>H3*1000*'Inflation GDP Population'!H$18/'Inflation GDP Population'!$T$18</f>
        <v>3385039.465</v>
      </c>
      <c r="I2" s="160">
        <f>I3*1000*'Inflation GDP Population'!I$18/'Inflation GDP Population'!$T$18</f>
        <v>3475971.997</v>
      </c>
      <c r="J2" s="160">
        <f>J3*1000*'Inflation GDP Population'!J$18/'Inflation GDP Population'!$T$18</f>
        <v>3543584.121</v>
      </c>
      <c r="K2" s="160">
        <f>K3*1000*'Inflation GDP Population'!K$18/'Inflation GDP Population'!$T$18</f>
        <v>3570598.159</v>
      </c>
      <c r="L2" s="160">
        <f>L3*1000*'Inflation GDP Population'!L$18/'Inflation GDP Population'!$T$18</f>
        <v>3612204.654</v>
      </c>
      <c r="M2" s="160">
        <f>M3*1000*'Inflation GDP Population'!M$18/'Inflation GDP Population'!$T$18</f>
        <v>3687660.525</v>
      </c>
      <c r="N2" s="160">
        <f>N3*1000*'Inflation GDP Population'!N$18/'Inflation GDP Population'!$T$18</f>
        <v>3758383.988</v>
      </c>
      <c r="O2" s="160">
        <f>O3*1000*'Inflation GDP Population'!O$18/'Inflation GDP Population'!$T$18</f>
        <v>3824340.956</v>
      </c>
      <c r="P2" s="160">
        <f>P3*1000*'Inflation GDP Population'!P$18/'Inflation GDP Population'!$T$18</f>
        <v>3895105.121</v>
      </c>
      <c r="Q2" s="160">
        <f>Q3*1000*'Inflation GDP Population'!Q$18/'Inflation GDP Population'!$T$18</f>
        <v>3935666.47</v>
      </c>
      <c r="R2" s="160">
        <f>R3*1000*'Inflation GDP Population'!R$18/'Inflation GDP Population'!$T$18</f>
        <v>3976411.56</v>
      </c>
      <c r="S2" s="160">
        <f>S3*1000*'Inflation GDP Population'!S$18/'Inflation GDP Population'!$T$18</f>
        <v>4051312.04</v>
      </c>
      <c r="T2" s="160">
        <f>T3*1000*'Inflation GDP Population'!T$18/'Inflation GDP Population'!$T$18</f>
        <v>4150000</v>
      </c>
      <c r="U2" s="160">
        <f>U3*1000*'Inflation GDP Population'!U$18/'Inflation GDP Population'!$T$18</f>
        <v>4230962.245</v>
      </c>
      <c r="V2" s="705">
        <f>V3*1000*'Inflation GDP Population'!V$18/'Inflation GDP Population'!$T$18</f>
        <v>5466196.972</v>
      </c>
      <c r="W2" s="160">
        <f>W3*1000*'Inflation GDP Population'!W$18/'Inflation GDP Population'!$T$18</f>
        <v>5552703.024</v>
      </c>
      <c r="X2" s="160">
        <f>X3*1000*'Inflation GDP Population'!X$18/'Inflation GDP Population'!$T$18</f>
        <v>5639423.58</v>
      </c>
      <c r="Y2" s="160">
        <f>Y3*1000*'Inflation GDP Population'!Y$18/'Inflation GDP Population'!$T$18</f>
        <v>5727414.435</v>
      </c>
      <c r="Z2" s="160">
        <f>Z3*1000*'Inflation GDP Population'!Z$18/'Inflation GDP Population'!$T$18</f>
        <v>5816692.148</v>
      </c>
      <c r="AA2" s="160">
        <f>AA3*1000*'Inflation GDP Population'!AA$18/'Inflation GDP Population'!$T$18</f>
        <v>5892390.773</v>
      </c>
      <c r="AB2" s="160">
        <f>AB3*1000*'Inflation GDP Population'!AB$18/'Inflation GDP Population'!$T$18</f>
        <v>5981667.872</v>
      </c>
      <c r="AC2" s="160">
        <f>AC3*1000*'Inflation GDP Population'!AC$18/'Inflation GDP Population'!$T$18</f>
        <v>6067426.038</v>
      </c>
      <c r="AD2" s="160">
        <f>AD3*1000*'Inflation GDP Population'!AD$18/'Inflation GDP Population'!$T$18</f>
        <v>6157893.104</v>
      </c>
      <c r="AE2" s="160">
        <f>AE3*1000*'Inflation GDP Population'!AE$18/'Inflation GDP Population'!$T$18</f>
        <v>6247107.135</v>
      </c>
      <c r="AF2" s="160">
        <f>AF3*1000*'Inflation GDP Population'!AF$18/'Inflation GDP Population'!$T$18</f>
        <v>6331153.745</v>
      </c>
      <c r="AG2" s="160">
        <f>AG3*1000*'Inflation GDP Population'!AG$18/'Inflation GDP Population'!$T$18</f>
        <v>6418673.101</v>
      </c>
      <c r="AH2" s="160">
        <f>AH3*1000*'Inflation GDP Population'!AH$18/'Inflation GDP Population'!$T$18</f>
        <v>6503265.804</v>
      </c>
      <c r="AI2" s="160">
        <f>AI3*1000*'Inflation GDP Population'!AI$18/'Inflation GDP Population'!$T$18</f>
        <v>6590052.376</v>
      </c>
      <c r="AJ2" s="160">
        <f>AJ3*1000*'Inflation GDP Population'!AJ$18/'Inflation GDP Population'!$T$18</f>
        <v>6683199.038</v>
      </c>
      <c r="AK2" s="160">
        <f>AK3*1000*'Inflation GDP Population'!AK$18/'Inflation GDP Population'!$T$18</f>
        <v>6776083.091</v>
      </c>
      <c r="AL2" s="160">
        <f>AL3*1000*'Inflation GDP Population'!AL$18/'Inflation GDP Population'!$T$18</f>
        <v>6860136.218</v>
      </c>
      <c r="AM2" s="160">
        <f>AM3*1000*'Inflation GDP Population'!AM$18/'Inflation GDP Population'!$T$18</f>
        <v>6954994.756</v>
      </c>
      <c r="AN2" s="160">
        <f>AN3*1000*'Inflation GDP Population'!AN$18/'Inflation GDP Population'!$T$18</f>
        <v>7049471.804</v>
      </c>
      <c r="AO2" s="160">
        <f>AO3*1000*'Inflation GDP Population'!AO$18/'Inflation GDP Population'!$T$18</f>
        <v>7138986.412</v>
      </c>
      <c r="AP2" s="160">
        <f>AP3*1000*'Inflation GDP Population'!AP$18/'Inflation GDP Population'!$T$18</f>
        <v>7226251.288</v>
      </c>
      <c r="AQ2" s="160">
        <f>AQ3*1000*'Inflation GDP Population'!AQ$18/'Inflation GDP Population'!$T$18</f>
        <v>7329799.28</v>
      </c>
      <c r="AR2" s="160">
        <f>AR3*1000*'Inflation GDP Population'!AR$18/'Inflation GDP Population'!$T$18</f>
        <v>7421917.536</v>
      </c>
      <c r="AS2" s="160">
        <f>AS3*1000*'Inflation GDP Population'!AS$18/'Inflation GDP Population'!$T$18</f>
        <v>7521324.237</v>
      </c>
      <c r="AT2" s="160">
        <f>AT3*1000*'Inflation GDP Population'!AT$18/'Inflation GDP Population'!$T$18</f>
        <v>7621784.8</v>
      </c>
      <c r="AU2" s="160">
        <f>AU3*1000*'Inflation GDP Population'!AU$18/'Inflation GDP Population'!$T$18</f>
        <v>7726672.19</v>
      </c>
      <c r="AV2" s="160">
        <f>AV3*1000*'Inflation GDP Population'!AV$18/'Inflation GDP Population'!$T$18</f>
        <v>7819009.55</v>
      </c>
      <c r="AW2" s="160">
        <f>AW3*1000*'Inflation GDP Population'!AW$18/'Inflation GDP Population'!$T$18</f>
        <v>7922516.268</v>
      </c>
      <c r="AX2" s="160">
        <f>AX3*1000*'Inflation GDP Population'!AX$18/'Inflation GDP Population'!$T$18</f>
        <v>8025300.307</v>
      </c>
      <c r="AY2" s="160">
        <f>AY3*1000*'Inflation GDP Population'!AY$18/'Inflation GDP Population'!$T$18</f>
        <v>8130899.673</v>
      </c>
      <c r="AZ2" s="160">
        <f>AZ3*1000*'Inflation GDP Population'!AZ$18/'Inflation GDP Population'!$T$18</f>
        <v>8165191.59</v>
      </c>
      <c r="BA2" s="160"/>
      <c r="BB2" s="160"/>
    </row>
    <row r="3" ht="15.0" customHeight="1">
      <c r="A3" s="541" t="s">
        <v>989</v>
      </c>
      <c r="B3" s="706">
        <v>4150.0</v>
      </c>
      <c r="C3" s="706">
        <v>4150.0</v>
      </c>
      <c r="D3" s="706">
        <v>4150.0</v>
      </c>
      <c r="E3" s="706">
        <v>4150.0</v>
      </c>
      <c r="F3" s="706">
        <v>4150.0</v>
      </c>
      <c r="G3" s="706">
        <v>4150.0</v>
      </c>
      <c r="H3" s="706">
        <v>4150.0</v>
      </c>
      <c r="I3" s="706">
        <v>4150.0</v>
      </c>
      <c r="J3" s="706">
        <v>4150.0</v>
      </c>
      <c r="K3" s="706">
        <v>4150.0</v>
      </c>
      <c r="L3" s="706">
        <v>4150.0</v>
      </c>
      <c r="M3" s="706">
        <v>4150.0</v>
      </c>
      <c r="N3" s="706">
        <v>4150.0</v>
      </c>
      <c r="O3" s="706">
        <v>4150.0</v>
      </c>
      <c r="P3" s="706">
        <v>4150.0</v>
      </c>
      <c r="Q3" s="706">
        <v>4150.0</v>
      </c>
      <c r="R3" s="706">
        <v>4150.0</v>
      </c>
      <c r="S3" s="706">
        <v>4150.0</v>
      </c>
      <c r="T3" s="706">
        <v>4150.0</v>
      </c>
      <c r="U3" s="706">
        <f>T3</f>
        <v>4150</v>
      </c>
      <c r="V3" s="707">
        <v>5259.0</v>
      </c>
      <c r="W3" s="708">
        <v>5240.0</v>
      </c>
      <c r="X3" s="708">
        <v>5220.0</v>
      </c>
      <c r="Y3" s="708">
        <v>5200.0</v>
      </c>
      <c r="Z3" s="708">
        <v>5180.0</v>
      </c>
      <c r="AA3" s="708">
        <v>5147.0</v>
      </c>
      <c r="AB3" s="708">
        <v>5125.0</v>
      </c>
      <c r="AC3" s="708">
        <v>5099.0</v>
      </c>
      <c r="AD3" s="708">
        <v>5076.0</v>
      </c>
      <c r="AE3" s="708">
        <v>5051.0</v>
      </c>
      <c r="AF3" s="708">
        <v>5021.0</v>
      </c>
      <c r="AG3" s="708">
        <v>4993.0</v>
      </c>
      <c r="AH3" s="708">
        <v>4962.0</v>
      </c>
      <c r="AI3" s="708">
        <v>4932.0</v>
      </c>
      <c r="AJ3" s="708">
        <v>4906.0</v>
      </c>
      <c r="AK3" s="708">
        <v>4879.0</v>
      </c>
      <c r="AL3" s="708">
        <v>4845.0</v>
      </c>
      <c r="AM3" s="708">
        <v>4818.0</v>
      </c>
      <c r="AN3" s="708">
        <v>4790.0</v>
      </c>
      <c r="AO3" s="708">
        <v>4758.0</v>
      </c>
      <c r="AP3" s="708">
        <v>4724.0</v>
      </c>
      <c r="AQ3" s="708">
        <v>4700.0</v>
      </c>
      <c r="AR3" s="708">
        <v>4668.0</v>
      </c>
      <c r="AS3" s="708">
        <v>4640.0</v>
      </c>
      <c r="AT3" s="708">
        <v>4612.0</v>
      </c>
      <c r="AU3" s="708">
        <v>4586.0</v>
      </c>
      <c r="AV3" s="708">
        <v>4552.0</v>
      </c>
      <c r="AW3" s="708">
        <v>4524.0</v>
      </c>
      <c r="AX3" s="708">
        <v>4495.0</v>
      </c>
      <c r="AY3" s="708">
        <v>4467.0</v>
      </c>
      <c r="AZ3" s="708">
        <v>4400.0</v>
      </c>
      <c r="BA3" s="537"/>
      <c r="BB3" s="537"/>
    </row>
    <row r="4" ht="15.0" customHeight="1">
      <c r="A4" s="535" t="s">
        <v>72</v>
      </c>
      <c r="B4" s="709">
        <f t="shared" ref="B4:U4" si="1">C4</f>
        <v>0</v>
      </c>
      <c r="C4" s="709">
        <f t="shared" si="1"/>
        <v>0</v>
      </c>
      <c r="D4" s="709">
        <f t="shared" si="1"/>
        <v>0</v>
      </c>
      <c r="E4" s="709">
        <f t="shared" si="1"/>
        <v>0</v>
      </c>
      <c r="F4" s="709">
        <f t="shared" si="1"/>
        <v>0</v>
      </c>
      <c r="G4" s="709">
        <f t="shared" si="1"/>
        <v>0</v>
      </c>
      <c r="H4" s="709">
        <f t="shared" si="1"/>
        <v>0</v>
      </c>
      <c r="I4" s="709">
        <f t="shared" si="1"/>
        <v>0</v>
      </c>
      <c r="J4" s="709">
        <f t="shared" si="1"/>
        <v>0</v>
      </c>
      <c r="K4" s="709">
        <f t="shared" si="1"/>
        <v>0</v>
      </c>
      <c r="L4" s="709">
        <f t="shared" si="1"/>
        <v>0</v>
      </c>
      <c r="M4" s="709">
        <f t="shared" si="1"/>
        <v>0</v>
      </c>
      <c r="N4" s="709">
        <f t="shared" si="1"/>
        <v>0</v>
      </c>
      <c r="O4" s="709">
        <f t="shared" si="1"/>
        <v>0</v>
      </c>
      <c r="P4" s="709">
        <f t="shared" si="1"/>
        <v>0</v>
      </c>
      <c r="Q4" s="709">
        <f t="shared" si="1"/>
        <v>0</v>
      </c>
      <c r="R4" s="709">
        <f t="shared" si="1"/>
        <v>0</v>
      </c>
      <c r="S4" s="709">
        <f t="shared" si="1"/>
        <v>0</v>
      </c>
      <c r="T4" s="709">
        <f t="shared" si="1"/>
        <v>0</v>
      </c>
      <c r="U4" s="709">
        <f t="shared" si="1"/>
        <v>0</v>
      </c>
      <c r="V4" s="536">
        <v>0.0</v>
      </c>
      <c r="W4" s="537">
        <f t="shared" ref="W4:AZ4" si="2">(V3-W3)/V3</f>
        <v>0.003612854155</v>
      </c>
      <c r="X4" s="537">
        <f t="shared" si="2"/>
        <v>0.003816793893</v>
      </c>
      <c r="Y4" s="537">
        <f t="shared" si="2"/>
        <v>0.003831417625</v>
      </c>
      <c r="Z4" s="537">
        <f t="shared" si="2"/>
        <v>0.003846153846</v>
      </c>
      <c r="AA4" s="537">
        <f t="shared" si="2"/>
        <v>0.006370656371</v>
      </c>
      <c r="AB4" s="537">
        <f t="shared" si="2"/>
        <v>0.004274334564</v>
      </c>
      <c r="AC4" s="537">
        <f t="shared" si="2"/>
        <v>0.005073170732</v>
      </c>
      <c r="AD4" s="537">
        <f t="shared" si="2"/>
        <v>0.00451068837</v>
      </c>
      <c r="AE4" s="537">
        <f t="shared" si="2"/>
        <v>0.004925137904</v>
      </c>
      <c r="AF4" s="537">
        <f t="shared" si="2"/>
        <v>0.005939417937</v>
      </c>
      <c r="AG4" s="537">
        <f t="shared" si="2"/>
        <v>0.005576578371</v>
      </c>
      <c r="AH4" s="537">
        <f t="shared" si="2"/>
        <v>0.006208692169</v>
      </c>
      <c r="AI4" s="537">
        <f t="shared" si="2"/>
        <v>0.006045949214</v>
      </c>
      <c r="AJ4" s="537">
        <f t="shared" si="2"/>
        <v>0.005271695053</v>
      </c>
      <c r="AK4" s="537">
        <f t="shared" si="2"/>
        <v>0.005503465145</v>
      </c>
      <c r="AL4" s="537">
        <f t="shared" si="2"/>
        <v>0.006968641115</v>
      </c>
      <c r="AM4" s="537">
        <f t="shared" si="2"/>
        <v>0.005572755418</v>
      </c>
      <c r="AN4" s="537">
        <f t="shared" si="2"/>
        <v>0.005811540058</v>
      </c>
      <c r="AO4" s="537">
        <f t="shared" si="2"/>
        <v>0.006680584551</v>
      </c>
      <c r="AP4" s="537">
        <f t="shared" si="2"/>
        <v>0.007145859605</v>
      </c>
      <c r="AQ4" s="537">
        <f t="shared" si="2"/>
        <v>0.005080440305</v>
      </c>
      <c r="AR4" s="537">
        <f t="shared" si="2"/>
        <v>0.006808510638</v>
      </c>
      <c r="AS4" s="537">
        <f t="shared" si="2"/>
        <v>0.005998286204</v>
      </c>
      <c r="AT4" s="537">
        <f t="shared" si="2"/>
        <v>0.006034482759</v>
      </c>
      <c r="AU4" s="537">
        <f t="shared" si="2"/>
        <v>0.005637467476</v>
      </c>
      <c r="AV4" s="537">
        <f t="shared" si="2"/>
        <v>0.007413868295</v>
      </c>
      <c r="AW4" s="537">
        <f t="shared" si="2"/>
        <v>0.006151142355</v>
      </c>
      <c r="AX4" s="537">
        <f t="shared" si="2"/>
        <v>0.00641025641</v>
      </c>
      <c r="AY4" s="537">
        <f t="shared" si="2"/>
        <v>0.006229143493</v>
      </c>
      <c r="AZ4" s="537">
        <f t="shared" si="2"/>
        <v>0.01499888068</v>
      </c>
      <c r="BA4" s="537"/>
      <c r="BB4" s="537"/>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41"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772</v>
      </c>
      <c r="B11" s="535"/>
      <c r="C11" s="535"/>
      <c r="D11" s="535"/>
      <c r="E11" s="535"/>
      <c r="F11" s="535"/>
      <c r="G11" s="535"/>
      <c r="H11" s="535"/>
      <c r="I11" s="535"/>
      <c r="J11" s="535"/>
      <c r="K11" s="535"/>
      <c r="L11" s="535"/>
      <c r="M11" s="535"/>
      <c r="N11" s="535"/>
      <c r="O11" s="535"/>
      <c r="P11" s="535"/>
      <c r="Q11" s="535"/>
      <c r="R11" s="535"/>
      <c r="S11" s="535"/>
      <c r="T11" s="535"/>
      <c r="U11" s="535"/>
      <c r="V11" s="538">
        <v>0.0375</v>
      </c>
      <c r="W11" s="669">
        <v>0.07219</v>
      </c>
      <c r="X11" s="669">
        <v>0.06677</v>
      </c>
      <c r="Y11" s="669">
        <v>0.06177</v>
      </c>
      <c r="Z11" s="669">
        <v>0.05713</v>
      </c>
      <c r="AA11" s="669">
        <v>0.05285</v>
      </c>
      <c r="AB11" s="669">
        <v>0.04888</v>
      </c>
      <c r="AC11" s="669">
        <v>0.04522</v>
      </c>
      <c r="AD11" s="669">
        <v>0.04462</v>
      </c>
      <c r="AE11" s="669">
        <v>0.04461</v>
      </c>
      <c r="AF11" s="669">
        <v>0.04462</v>
      </c>
      <c r="AG11" s="669">
        <v>0.04461</v>
      </c>
      <c r="AH11" s="669">
        <v>0.04462</v>
      </c>
      <c r="AI11" s="669">
        <v>0.04461</v>
      </c>
      <c r="AJ11" s="669">
        <v>0.04462</v>
      </c>
      <c r="AK11" s="669">
        <v>0.04461</v>
      </c>
      <c r="AL11" s="669">
        <v>0.04462</v>
      </c>
      <c r="AM11" s="669">
        <v>0.04461</v>
      </c>
      <c r="AN11" s="669">
        <v>0.04462</v>
      </c>
      <c r="AO11" s="669">
        <v>0.04461</v>
      </c>
      <c r="AP11" s="669">
        <v>0.02231</v>
      </c>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f>MAX(V55:V128)</f>
        <v>4004.9</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41" t="s">
        <v>990</v>
      </c>
      <c r="B15" s="535"/>
      <c r="C15" s="535"/>
      <c r="D15" s="535"/>
      <c r="E15" s="535"/>
      <c r="F15" s="535"/>
      <c r="G15" s="535"/>
      <c r="H15" s="535"/>
      <c r="I15" s="535"/>
      <c r="J15" s="535"/>
      <c r="K15" s="535"/>
      <c r="L15" s="535"/>
      <c r="M15" s="535"/>
      <c r="N15" s="535"/>
      <c r="O15" s="535"/>
      <c r="P15" s="535"/>
      <c r="Q15" s="535"/>
      <c r="R15" s="535"/>
      <c r="S15" s="535"/>
      <c r="T15" s="535"/>
      <c r="U15" s="535"/>
      <c r="V15" s="713">
        <f>if(Model!W8&gt;0,Model!W9*1000000/(Model!W8*8760),0)</f>
        <v>0.3864978241</v>
      </c>
      <c r="W15" s="208">
        <f>if(Model!X8&gt;0,Model!X9*1000000/(Model!X8*8760),0)</f>
        <v>0.3954828531</v>
      </c>
      <c r="X15" s="208">
        <f>if(Model!Y8&gt;0,Model!Y9*1000000/(Model!Y8*8760),0)</f>
        <v>0.4048121573</v>
      </c>
      <c r="Y15" s="208">
        <f>if(Model!Z8&gt;0,Model!Z9*1000000/(Model!Z8*8760),0)</f>
        <v>0.4145059103</v>
      </c>
      <c r="Z15" s="208">
        <f>if(Model!AA8&gt;0,Model!AA9*1000000/(Model!AA8*8760),0)</f>
        <v>0.4245858933</v>
      </c>
      <c r="AA15" s="208">
        <f>if(Model!AB8&gt;0,Model!AB9*1000000/(Model!AB8*8760),0)</f>
        <v>0.4350756585</v>
      </c>
      <c r="AB15" s="208">
        <f>if(Model!AC8&gt;0,Model!AC9*1000000/(Model!AC8*8760),0)</f>
        <v>0.4460007126</v>
      </c>
      <c r="AC15" s="208">
        <f>if(Model!AD8&gt;0,Model!AD9*1000000/(Model!AD8*8760),0)</f>
        <v>0.4573887243</v>
      </c>
      <c r="AD15" s="208">
        <f>if(Model!AE8&gt;0,Model!AE9*1000000/(Model!AE8*8760),0)</f>
        <v>0.4692697578</v>
      </c>
      <c r="AE15" s="208">
        <f>if(Model!AF8&gt;0,Model!AF9*1000000/(Model!AF8*8760),0)</f>
        <v>0.481676538</v>
      </c>
      <c r="AF15" s="208">
        <f>if(Model!AG8&gt;0,Model!AG9*1000000/(Model!AG8*8760),0)</f>
        <v>0.4946447519</v>
      </c>
      <c r="AG15" s="208">
        <f>if(Model!AH8&gt;0,Model!AH9*1000000/(Model!AH8*8760),0)</f>
        <v>0.5082133907</v>
      </c>
      <c r="AH15" s="208">
        <f>if(Model!AI8&gt;0,Model!AI9*1000000/(Model!AI8*8760),0)</f>
        <v>0.5224251418</v>
      </c>
      <c r="AI15" s="208">
        <f>if(Model!AJ8&gt;0,Model!AJ9*1000000/(Model!AJ8*8760),0)</f>
        <v>0.5373268376</v>
      </c>
      <c r="AJ15" s="208">
        <f>if(Model!AK8&gt;0,Model!AK9*1000000/(Model!AK8*8760),0)</f>
        <v>0.5529699706</v>
      </c>
      <c r="AK15" s="208">
        <f>if(Model!AL8&gt;0,Model!AL9*1000000/(Model!AL8*8760),0)</f>
        <v>0.569411288</v>
      </c>
      <c r="AL15" s="208">
        <f>if(Model!AM8&gt;0,Model!AM9*1000000/(Model!AM8*8760),0)</f>
        <v>0.5867134797</v>
      </c>
      <c r="AM15" s="208">
        <f>if(Model!AN8&gt;0,Model!AN9*1000000/(Model!AN8*8760),0)</f>
        <v>0.6049459771</v>
      </c>
      <c r="AN15" s="208">
        <f>if(Model!AO8&gt;0,Model!AO9*1000000/(Model!AO8*8760),0)</f>
        <v>0.6241858842</v>
      </c>
      <c r="AO15" s="208">
        <f>if(Model!AP8&gt;0,Model!AP9*1000000/(Model!AP8*8760),0)</f>
        <v>0.6445190677</v>
      </c>
      <c r="AP15" s="208">
        <f>if(Model!AQ8&gt;0,Model!AQ9*1000000/(Model!AQ8*8760),0)</f>
        <v>0.6660414378</v>
      </c>
      <c r="AQ15" s="208">
        <f>if(Model!AR8&gt;0,Model!AR9*1000000/(Model!AR8*8760),0)</f>
        <v>0.6888604618</v>
      </c>
      <c r="AR15" s="208">
        <f>if(Model!AS8&gt;0,Model!AS9*1000000/(Model!AS8*8760),0)</f>
        <v>0.7130969578</v>
      </c>
      <c r="AS15" s="208">
        <f>if(Model!AT8&gt;0,Model!AT9*1000000/(Model!AT8*8760),0)</f>
        <v>0.7388872354</v>
      </c>
      <c r="AT15" s="208">
        <f>if(Model!AU8&gt;0,Model!AU9*1000000/(Model!AU8*8760),0)</f>
        <v>0.76638566</v>
      </c>
      <c r="AU15" s="208">
        <f>if(Model!AV8&gt;0,Model!AV9*1000000/(Model!AV8*8760),0)</f>
        <v>0.7957677456</v>
      </c>
      <c r="AV15" s="208">
        <f>if(Model!AW8&gt;0,Model!AW9*1000000/(Model!AW8*8760),0)</f>
        <v>0.8272339045</v>
      </c>
      <c r="AW15" s="208">
        <f>if(Model!AX8&gt;0,Model!AX9*1000000/(Model!AX8*8760),0)</f>
        <v>0.8610140247</v>
      </c>
      <c r="AX15" s="208">
        <f>if(Model!AY8&gt;0,Model!AY9*1000000/(Model!AY8*8760),0)</f>
        <v>0.8973730963</v>
      </c>
      <c r="AY15" s="208">
        <f>if(Model!AZ8&gt;0,Model!AZ9*1000000/(Model!AZ8*8760),0)</f>
        <v>0.9366181764</v>
      </c>
      <c r="AZ15" s="208">
        <f>if(Model!BA8&gt;0,Model!BA9*1000000/(Model!BA8*8760),0)</f>
        <v>0.9791070821</v>
      </c>
      <c r="BB15" s="208"/>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0.7</v>
      </c>
      <c r="W16" s="208">
        <f t="shared" ref="W16:AZ16" si="3">V16</f>
        <v>0.7</v>
      </c>
      <c r="X16" s="208">
        <f t="shared" si="3"/>
        <v>0.7</v>
      </c>
      <c r="Y16" s="208">
        <f t="shared" si="3"/>
        <v>0.7</v>
      </c>
      <c r="Z16" s="208">
        <f t="shared" si="3"/>
        <v>0.7</v>
      </c>
      <c r="AA16" s="208">
        <f t="shared" si="3"/>
        <v>0.7</v>
      </c>
      <c r="AB16" s="208">
        <f t="shared" si="3"/>
        <v>0.7</v>
      </c>
      <c r="AC16" s="208">
        <f t="shared" si="3"/>
        <v>0.7</v>
      </c>
      <c r="AD16" s="208">
        <f t="shared" si="3"/>
        <v>0.7</v>
      </c>
      <c r="AE16" s="208">
        <f t="shared" si="3"/>
        <v>0.7</v>
      </c>
      <c r="AF16" s="208">
        <f t="shared" si="3"/>
        <v>0.7</v>
      </c>
      <c r="AG16" s="208">
        <f t="shared" si="3"/>
        <v>0.7</v>
      </c>
      <c r="AH16" s="208">
        <f t="shared" si="3"/>
        <v>0.7</v>
      </c>
      <c r="AI16" s="208">
        <f t="shared" si="3"/>
        <v>0.7</v>
      </c>
      <c r="AJ16" s="208">
        <f t="shared" si="3"/>
        <v>0.7</v>
      </c>
      <c r="AK16" s="208">
        <f t="shared" si="3"/>
        <v>0.7</v>
      </c>
      <c r="AL16" s="208">
        <f t="shared" si="3"/>
        <v>0.7</v>
      </c>
      <c r="AM16" s="208">
        <f t="shared" si="3"/>
        <v>0.7</v>
      </c>
      <c r="AN16" s="208">
        <f t="shared" si="3"/>
        <v>0.7</v>
      </c>
      <c r="AO16" s="208">
        <f t="shared" si="3"/>
        <v>0.7</v>
      </c>
      <c r="AP16" s="208">
        <f t="shared" si="3"/>
        <v>0.7</v>
      </c>
      <c r="AQ16" s="208">
        <f t="shared" si="3"/>
        <v>0.7</v>
      </c>
      <c r="AR16" s="208">
        <f t="shared" si="3"/>
        <v>0.7</v>
      </c>
      <c r="AS16" s="208">
        <f t="shared" si="3"/>
        <v>0.7</v>
      </c>
      <c r="AT16" s="208">
        <f t="shared" si="3"/>
        <v>0.7</v>
      </c>
      <c r="AU16" s="208">
        <f t="shared" si="3"/>
        <v>0.7</v>
      </c>
      <c r="AV16" s="208">
        <f t="shared" si="3"/>
        <v>0.7</v>
      </c>
      <c r="AW16" s="208">
        <f t="shared" si="3"/>
        <v>0.7</v>
      </c>
      <c r="AX16" s="208">
        <f t="shared" si="3"/>
        <v>0.7</v>
      </c>
      <c r="AY16" s="208">
        <f t="shared" si="3"/>
        <v>0.7</v>
      </c>
      <c r="AZ16" s="208">
        <f t="shared" si="3"/>
        <v>0.7</v>
      </c>
      <c r="BB16" s="208"/>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4">V17</f>
        <v>0</v>
      </c>
      <c r="X17" s="208">
        <f t="shared" si="4"/>
        <v>0</v>
      </c>
      <c r="Y17" s="208">
        <f t="shared" si="4"/>
        <v>0</v>
      </c>
      <c r="Z17" s="208">
        <f t="shared" si="4"/>
        <v>0</v>
      </c>
      <c r="AA17" s="208">
        <f t="shared" si="4"/>
        <v>0</v>
      </c>
      <c r="AB17" s="208">
        <f t="shared" si="4"/>
        <v>0</v>
      </c>
      <c r="AC17" s="208">
        <f t="shared" si="4"/>
        <v>0</v>
      </c>
      <c r="AD17" s="208">
        <f t="shared" si="4"/>
        <v>0</v>
      </c>
      <c r="AE17" s="208">
        <f t="shared" si="4"/>
        <v>0</v>
      </c>
      <c r="AF17" s="208">
        <f t="shared" si="4"/>
        <v>0</v>
      </c>
      <c r="AG17" s="208">
        <f t="shared" si="4"/>
        <v>0</v>
      </c>
      <c r="AH17" s="208">
        <f t="shared" si="4"/>
        <v>0</v>
      </c>
      <c r="AI17" s="208">
        <f t="shared" si="4"/>
        <v>0</v>
      </c>
      <c r="AJ17" s="208">
        <f t="shared" si="4"/>
        <v>0</v>
      </c>
      <c r="AK17" s="208">
        <f t="shared" si="4"/>
        <v>0</v>
      </c>
      <c r="AL17" s="208">
        <f t="shared" si="4"/>
        <v>0</v>
      </c>
      <c r="AM17" s="208">
        <f t="shared" si="4"/>
        <v>0</v>
      </c>
      <c r="AN17" s="208">
        <f t="shared" si="4"/>
        <v>0</v>
      </c>
      <c r="AO17" s="208">
        <f t="shared" si="4"/>
        <v>0</v>
      </c>
      <c r="AP17" s="208">
        <f t="shared" si="4"/>
        <v>0</v>
      </c>
      <c r="AQ17" s="208">
        <f t="shared" si="4"/>
        <v>0</v>
      </c>
      <c r="AR17" s="208">
        <f t="shared" si="4"/>
        <v>0</v>
      </c>
      <c r="AS17" s="208">
        <f t="shared" si="4"/>
        <v>0</v>
      </c>
      <c r="AT17" s="208">
        <f t="shared" si="4"/>
        <v>0</v>
      </c>
      <c r="AU17" s="208">
        <f t="shared" si="4"/>
        <v>0</v>
      </c>
      <c r="AV17" s="208">
        <f t="shared" si="4"/>
        <v>0</v>
      </c>
      <c r="AW17" s="208">
        <f t="shared" si="4"/>
        <v>0</v>
      </c>
      <c r="AX17" s="208">
        <f t="shared" si="4"/>
        <v>0</v>
      </c>
      <c r="AY17" s="208">
        <f t="shared" si="4"/>
        <v>0</v>
      </c>
      <c r="AZ17" s="208">
        <f t="shared" si="4"/>
        <v>0</v>
      </c>
      <c r="BB17" s="208"/>
    </row>
    <row r="18" ht="15.0" customHeight="1">
      <c r="A18" s="714" t="s">
        <v>991</v>
      </c>
      <c r="B18" s="535"/>
      <c r="C18" s="535"/>
      <c r="D18" s="535"/>
      <c r="E18" s="535"/>
      <c r="F18" s="535"/>
      <c r="G18" s="535"/>
      <c r="H18" s="535"/>
      <c r="I18" s="535"/>
      <c r="J18" s="535"/>
      <c r="K18" s="535"/>
      <c r="L18" s="535"/>
      <c r="M18" s="535"/>
      <c r="N18" s="535"/>
      <c r="O18" s="535"/>
      <c r="P18" s="535"/>
      <c r="Q18" s="535"/>
      <c r="R18" s="535"/>
      <c r="S18" s="535"/>
      <c r="T18" s="535"/>
      <c r="U18" s="535"/>
      <c r="V18" s="705">
        <v>70700.0</v>
      </c>
      <c r="W18" s="160">
        <f t="shared" ref="W18:AZ18" si="5">V18*(1+V50-V21)</f>
        <v>71894.42258</v>
      </c>
      <c r="X18" s="160">
        <f t="shared" si="5"/>
        <v>73109.02402</v>
      </c>
      <c r="Y18" s="160">
        <f t="shared" si="5"/>
        <v>74344.14523</v>
      </c>
      <c r="Z18" s="160">
        <f t="shared" si="5"/>
        <v>75600.13287</v>
      </c>
      <c r="AA18" s="160">
        <f t="shared" si="5"/>
        <v>76877.33946</v>
      </c>
      <c r="AB18" s="160">
        <f t="shared" si="5"/>
        <v>78176.12348</v>
      </c>
      <c r="AC18" s="160">
        <f t="shared" si="5"/>
        <v>79496.84947</v>
      </c>
      <c r="AD18" s="160">
        <f t="shared" si="5"/>
        <v>80839.88811</v>
      </c>
      <c r="AE18" s="160">
        <f t="shared" si="5"/>
        <v>82205.61637</v>
      </c>
      <c r="AF18" s="160">
        <f t="shared" si="5"/>
        <v>83594.41757</v>
      </c>
      <c r="AG18" s="160">
        <f t="shared" si="5"/>
        <v>85006.68151</v>
      </c>
      <c r="AH18" s="160">
        <f t="shared" si="5"/>
        <v>86442.80456</v>
      </c>
      <c r="AI18" s="160">
        <f t="shared" si="5"/>
        <v>87903.18982</v>
      </c>
      <c r="AJ18" s="160">
        <f t="shared" si="5"/>
        <v>89388.24718</v>
      </c>
      <c r="AK18" s="160">
        <f t="shared" si="5"/>
        <v>90898.39344</v>
      </c>
      <c r="AL18" s="160">
        <f t="shared" si="5"/>
        <v>92434.05248</v>
      </c>
      <c r="AM18" s="160">
        <f t="shared" si="5"/>
        <v>93995.65531</v>
      </c>
      <c r="AN18" s="160">
        <f t="shared" si="5"/>
        <v>95583.64022</v>
      </c>
      <c r="AO18" s="160">
        <f t="shared" si="5"/>
        <v>97198.45293</v>
      </c>
      <c r="AP18" s="160">
        <f t="shared" si="5"/>
        <v>98840.54666</v>
      </c>
      <c r="AQ18" s="160">
        <f t="shared" si="5"/>
        <v>100510.3823</v>
      </c>
      <c r="AR18" s="160">
        <f t="shared" si="5"/>
        <v>102208.4286</v>
      </c>
      <c r="AS18" s="160">
        <f t="shared" si="5"/>
        <v>103935.162</v>
      </c>
      <c r="AT18" s="160">
        <f t="shared" si="5"/>
        <v>105691.0673</v>
      </c>
      <c r="AU18" s="160">
        <f t="shared" si="5"/>
        <v>107476.6373</v>
      </c>
      <c r="AV18" s="160">
        <f t="shared" si="5"/>
        <v>109292.3731</v>
      </c>
      <c r="AW18" s="160">
        <f t="shared" si="5"/>
        <v>111138.7844</v>
      </c>
      <c r="AX18" s="160">
        <f t="shared" si="5"/>
        <v>113016.3894</v>
      </c>
      <c r="AY18" s="160">
        <f t="shared" si="5"/>
        <v>114925.7152</v>
      </c>
      <c r="AZ18" s="160">
        <f t="shared" si="5"/>
        <v>116867.2975</v>
      </c>
      <c r="BB18" s="160"/>
    </row>
    <row r="19" ht="15.0" customHeight="1">
      <c r="A19" s="714" t="s">
        <v>992</v>
      </c>
      <c r="B19" s="535"/>
      <c r="C19" s="535"/>
      <c r="D19" s="535"/>
      <c r="E19" s="535"/>
      <c r="F19" s="535"/>
      <c r="G19" s="535"/>
      <c r="H19" s="535"/>
      <c r="I19" s="535"/>
      <c r="J19" s="535"/>
      <c r="K19" s="535"/>
      <c r="L19" s="535"/>
      <c r="M19" s="535"/>
      <c r="N19" s="535"/>
      <c r="O19" s="535"/>
      <c r="P19" s="535"/>
      <c r="Q19" s="535"/>
      <c r="R19" s="535"/>
      <c r="S19" s="535"/>
      <c r="T19" s="535"/>
      <c r="U19" s="535"/>
      <c r="V19" s="715">
        <v>7.17</v>
      </c>
      <c r="W19" s="177">
        <f t="shared" ref="W19:AZ19" si="6">V19*(1+V50-V21)</f>
        <v>7.291131682</v>
      </c>
      <c r="X19" s="177">
        <f t="shared" si="6"/>
        <v>7.414309791</v>
      </c>
      <c r="Y19" s="177">
        <f t="shared" si="6"/>
        <v>7.539568901</v>
      </c>
      <c r="Z19" s="177">
        <f t="shared" si="6"/>
        <v>7.666944168</v>
      </c>
      <c r="AA19" s="177">
        <f t="shared" si="6"/>
        <v>7.796471343</v>
      </c>
      <c r="AB19" s="177">
        <f t="shared" si="6"/>
        <v>7.92818678</v>
      </c>
      <c r="AC19" s="177">
        <f t="shared" si="6"/>
        <v>8.06212745</v>
      </c>
      <c r="AD19" s="177">
        <f t="shared" si="6"/>
        <v>8.198330945</v>
      </c>
      <c r="AE19" s="177">
        <f t="shared" si="6"/>
        <v>8.336835494</v>
      </c>
      <c r="AF19" s="177">
        <f t="shared" si="6"/>
        <v>8.477679972</v>
      </c>
      <c r="AG19" s="177">
        <f t="shared" si="6"/>
        <v>8.620903909</v>
      </c>
      <c r="AH19" s="177">
        <f t="shared" si="6"/>
        <v>8.766547507</v>
      </c>
      <c r="AI19" s="177">
        <f t="shared" si="6"/>
        <v>8.914651641</v>
      </c>
      <c r="AJ19" s="177">
        <f t="shared" si="6"/>
        <v>9.065257882</v>
      </c>
      <c r="AK19" s="177">
        <f t="shared" si="6"/>
        <v>9.218408501</v>
      </c>
      <c r="AL19" s="177">
        <f t="shared" si="6"/>
        <v>9.374146482</v>
      </c>
      <c r="AM19" s="177">
        <f t="shared" si="6"/>
        <v>9.532515538</v>
      </c>
      <c r="AN19" s="177">
        <f t="shared" si="6"/>
        <v>9.693560118</v>
      </c>
      <c r="AO19" s="177">
        <f t="shared" si="6"/>
        <v>9.857325424</v>
      </c>
      <c r="AP19" s="177">
        <f t="shared" si="6"/>
        <v>10.02385742</v>
      </c>
      <c r="AQ19" s="177">
        <f t="shared" si="6"/>
        <v>10.19320285</v>
      </c>
      <c r="AR19" s="177">
        <f t="shared" si="6"/>
        <v>10.36540924</v>
      </c>
      <c r="AS19" s="177">
        <f t="shared" si="6"/>
        <v>10.54052492</v>
      </c>
      <c r="AT19" s="177">
        <f t="shared" si="6"/>
        <v>10.71859905</v>
      </c>
      <c r="AU19" s="177">
        <f t="shared" si="6"/>
        <v>10.89968161</v>
      </c>
      <c r="AV19" s="177">
        <f t="shared" si="6"/>
        <v>11.08382341</v>
      </c>
      <c r="AW19" s="177">
        <f t="shared" si="6"/>
        <v>11.27107616</v>
      </c>
      <c r="AX19" s="177">
        <f t="shared" si="6"/>
        <v>11.46149239</v>
      </c>
      <c r="AY19" s="177">
        <f t="shared" si="6"/>
        <v>11.65512557</v>
      </c>
      <c r="AZ19" s="177">
        <f t="shared" si="6"/>
        <v>11.85203003</v>
      </c>
      <c r="BB19" s="177"/>
    </row>
    <row r="20" ht="15.0" customHeight="1">
      <c r="A20" s="714" t="s">
        <v>104</v>
      </c>
      <c r="B20" s="535"/>
      <c r="C20" s="535"/>
      <c r="D20" s="535"/>
      <c r="E20" s="535"/>
      <c r="F20" s="535"/>
      <c r="G20" s="535"/>
      <c r="H20" s="535"/>
      <c r="I20" s="535"/>
      <c r="J20" s="535"/>
      <c r="K20" s="535"/>
      <c r="L20" s="535"/>
      <c r="M20" s="535"/>
      <c r="N20" s="535"/>
      <c r="O20" s="535"/>
      <c r="P20" s="535"/>
      <c r="Q20" s="535"/>
      <c r="R20" s="535"/>
      <c r="S20" s="535"/>
      <c r="T20" s="535"/>
      <c r="U20" s="535"/>
      <c r="V20" s="715">
        <f>V18*Model!W8/(V15*Model!W8*8760)+V19</f>
        <v>28.0518155</v>
      </c>
      <c r="W20" s="177">
        <f t="shared" ref="W20:AZ20" si="7">V20*(1+V50-V21)</f>
        <v>28.52572953</v>
      </c>
      <c r="X20" s="177">
        <f t="shared" si="7"/>
        <v>29.00764998</v>
      </c>
      <c r="Y20" s="177">
        <f t="shared" si="7"/>
        <v>29.49771211</v>
      </c>
      <c r="Z20" s="177">
        <f t="shared" si="7"/>
        <v>29.99605346</v>
      </c>
      <c r="AA20" s="177">
        <f t="shared" si="7"/>
        <v>30.5028139</v>
      </c>
      <c r="AB20" s="177">
        <f t="shared" si="7"/>
        <v>31.01813568</v>
      </c>
      <c r="AC20" s="177">
        <f t="shared" si="7"/>
        <v>31.54216343</v>
      </c>
      <c r="AD20" s="177">
        <f t="shared" si="7"/>
        <v>32.07504423</v>
      </c>
      <c r="AE20" s="177">
        <f t="shared" si="7"/>
        <v>32.61692764</v>
      </c>
      <c r="AF20" s="177">
        <f t="shared" si="7"/>
        <v>33.16796576</v>
      </c>
      <c r="AG20" s="177">
        <f t="shared" si="7"/>
        <v>33.72831324</v>
      </c>
      <c r="AH20" s="177">
        <f t="shared" si="7"/>
        <v>34.29812737</v>
      </c>
      <c r="AI20" s="177">
        <f t="shared" si="7"/>
        <v>34.87756808</v>
      </c>
      <c r="AJ20" s="177">
        <f t="shared" si="7"/>
        <v>35.46679799</v>
      </c>
      <c r="AK20" s="177">
        <f t="shared" si="7"/>
        <v>36.0659825</v>
      </c>
      <c r="AL20" s="177">
        <f t="shared" si="7"/>
        <v>36.67528977</v>
      </c>
      <c r="AM20" s="177">
        <f t="shared" si="7"/>
        <v>37.29489082</v>
      </c>
      <c r="AN20" s="177">
        <f t="shared" si="7"/>
        <v>37.92495956</v>
      </c>
      <c r="AO20" s="177">
        <f t="shared" si="7"/>
        <v>38.56567283</v>
      </c>
      <c r="AP20" s="177">
        <f t="shared" si="7"/>
        <v>39.21721046</v>
      </c>
      <c r="AQ20" s="177">
        <f t="shared" si="7"/>
        <v>39.87975532</v>
      </c>
      <c r="AR20" s="177">
        <f t="shared" si="7"/>
        <v>40.55349337</v>
      </c>
      <c r="AS20" s="177">
        <f t="shared" si="7"/>
        <v>41.23861372</v>
      </c>
      <c r="AT20" s="177">
        <f t="shared" si="7"/>
        <v>41.93530865</v>
      </c>
      <c r="AU20" s="177">
        <f t="shared" si="7"/>
        <v>42.64377371</v>
      </c>
      <c r="AV20" s="177">
        <f t="shared" si="7"/>
        <v>43.36420774</v>
      </c>
      <c r="AW20" s="177">
        <f t="shared" si="7"/>
        <v>44.09681296</v>
      </c>
      <c r="AX20" s="177">
        <f t="shared" si="7"/>
        <v>44.84179499</v>
      </c>
      <c r="AY20" s="177">
        <f t="shared" si="7"/>
        <v>45.59936292</v>
      </c>
      <c r="AZ20" s="177">
        <f t="shared" si="7"/>
        <v>46.36972938</v>
      </c>
      <c r="BB20" s="177"/>
    </row>
    <row r="21" ht="15.0" customHeight="1">
      <c r="A21" s="714" t="s">
        <v>993</v>
      </c>
      <c r="B21" s="535"/>
      <c r="C21" s="535"/>
      <c r="D21" s="535"/>
      <c r="E21" s="535"/>
      <c r="F21" s="535"/>
      <c r="G21" s="535"/>
      <c r="H21" s="535"/>
      <c r="I21" s="535"/>
      <c r="J21" s="535"/>
      <c r="K21" s="535"/>
      <c r="L21" s="535"/>
      <c r="M21" s="535"/>
      <c r="N21" s="535"/>
      <c r="O21" s="535"/>
      <c r="P21" s="535"/>
      <c r="Q21" s="535"/>
      <c r="R21" s="535"/>
      <c r="S21" s="535"/>
      <c r="T21" s="535"/>
      <c r="U21" s="535"/>
      <c r="V21" s="538">
        <v>0.003</v>
      </c>
      <c r="W21" s="537">
        <f t="shared" ref="W21:AZ21" si="8">V21</f>
        <v>0.003</v>
      </c>
      <c r="X21" s="537">
        <f t="shared" si="8"/>
        <v>0.003</v>
      </c>
      <c r="Y21" s="537">
        <f t="shared" si="8"/>
        <v>0.003</v>
      </c>
      <c r="Z21" s="537">
        <f t="shared" si="8"/>
        <v>0.003</v>
      </c>
      <c r="AA21" s="537">
        <f t="shared" si="8"/>
        <v>0.003</v>
      </c>
      <c r="AB21" s="537">
        <f t="shared" si="8"/>
        <v>0.003</v>
      </c>
      <c r="AC21" s="537">
        <f t="shared" si="8"/>
        <v>0.003</v>
      </c>
      <c r="AD21" s="537">
        <f t="shared" si="8"/>
        <v>0.003</v>
      </c>
      <c r="AE21" s="537">
        <f t="shared" si="8"/>
        <v>0.003</v>
      </c>
      <c r="AF21" s="537">
        <f t="shared" si="8"/>
        <v>0.003</v>
      </c>
      <c r="AG21" s="537">
        <f t="shared" si="8"/>
        <v>0.003</v>
      </c>
      <c r="AH21" s="537">
        <f t="shared" si="8"/>
        <v>0.003</v>
      </c>
      <c r="AI21" s="537">
        <f t="shared" si="8"/>
        <v>0.003</v>
      </c>
      <c r="AJ21" s="537">
        <f t="shared" si="8"/>
        <v>0.003</v>
      </c>
      <c r="AK21" s="537">
        <f t="shared" si="8"/>
        <v>0.003</v>
      </c>
      <c r="AL21" s="537">
        <f t="shared" si="8"/>
        <v>0.003</v>
      </c>
      <c r="AM21" s="537">
        <f t="shared" si="8"/>
        <v>0.003</v>
      </c>
      <c r="AN21" s="537">
        <f t="shared" si="8"/>
        <v>0.003</v>
      </c>
      <c r="AO21" s="537">
        <f t="shared" si="8"/>
        <v>0.003</v>
      </c>
      <c r="AP21" s="537">
        <f t="shared" si="8"/>
        <v>0.003</v>
      </c>
      <c r="AQ21" s="537">
        <f t="shared" si="8"/>
        <v>0.003</v>
      </c>
      <c r="AR21" s="537">
        <f t="shared" si="8"/>
        <v>0.003</v>
      </c>
      <c r="AS21" s="537">
        <f t="shared" si="8"/>
        <v>0.003</v>
      </c>
      <c r="AT21" s="537">
        <f t="shared" si="8"/>
        <v>0.003</v>
      </c>
      <c r="AU21" s="537">
        <f t="shared" si="8"/>
        <v>0.003</v>
      </c>
      <c r="AV21" s="537">
        <f t="shared" si="8"/>
        <v>0.003</v>
      </c>
      <c r="AW21" s="537">
        <f t="shared" si="8"/>
        <v>0.003</v>
      </c>
      <c r="AX21" s="537">
        <f t="shared" si="8"/>
        <v>0.003</v>
      </c>
      <c r="AY21" s="537">
        <f t="shared" si="8"/>
        <v>0.003</v>
      </c>
      <c r="AZ21" s="537">
        <f t="shared" si="8"/>
        <v>0.003</v>
      </c>
      <c r="BB21" s="537"/>
    </row>
    <row r="22" ht="15.0" customHeight="1">
      <c r="A22" s="714" t="s">
        <v>994</v>
      </c>
      <c r="B22" s="535"/>
      <c r="C22" s="535"/>
      <c r="D22" s="535"/>
      <c r="E22" s="535"/>
      <c r="F22" s="535"/>
      <c r="G22" s="535"/>
      <c r="H22" s="535"/>
      <c r="I22" s="535"/>
      <c r="J22" s="535"/>
      <c r="K22" s="535"/>
      <c r="L22" s="535"/>
      <c r="M22" s="535"/>
      <c r="N22" s="535"/>
      <c r="O22" s="535"/>
      <c r="P22" s="535"/>
      <c r="Q22" s="535"/>
      <c r="R22" s="535"/>
      <c r="S22" s="535"/>
      <c r="T22" s="535"/>
      <c r="U22" s="535"/>
      <c r="V22" s="716">
        <v>9.75</v>
      </c>
      <c r="W22" s="191">
        <f t="shared" ref="W22:AE22" si="9">V22-($V$22-$AF$22)/10</f>
        <v>9.695</v>
      </c>
      <c r="X22" s="191">
        <f t="shared" si="9"/>
        <v>9.64</v>
      </c>
      <c r="Y22" s="191">
        <f t="shared" si="9"/>
        <v>9.585</v>
      </c>
      <c r="Z22" s="191">
        <f t="shared" si="9"/>
        <v>9.53</v>
      </c>
      <c r="AA22" s="191">
        <f t="shared" si="9"/>
        <v>9.475</v>
      </c>
      <c r="AB22" s="191">
        <f t="shared" si="9"/>
        <v>9.42</v>
      </c>
      <c r="AC22" s="191">
        <f t="shared" si="9"/>
        <v>9.365</v>
      </c>
      <c r="AD22" s="191">
        <f t="shared" si="9"/>
        <v>9.31</v>
      </c>
      <c r="AE22" s="191">
        <f t="shared" si="9"/>
        <v>9.255</v>
      </c>
      <c r="AF22" s="141">
        <v>9.2</v>
      </c>
      <c r="AG22" s="141">
        <f t="shared" ref="AG22:AZ22" si="10">AF22</f>
        <v>9.2</v>
      </c>
      <c r="AH22" s="141">
        <f t="shared" si="10"/>
        <v>9.2</v>
      </c>
      <c r="AI22" s="141">
        <f t="shared" si="10"/>
        <v>9.2</v>
      </c>
      <c r="AJ22" s="141">
        <f t="shared" si="10"/>
        <v>9.2</v>
      </c>
      <c r="AK22" s="141">
        <f t="shared" si="10"/>
        <v>9.2</v>
      </c>
      <c r="AL22" s="141">
        <f t="shared" si="10"/>
        <v>9.2</v>
      </c>
      <c r="AM22" s="141">
        <f t="shared" si="10"/>
        <v>9.2</v>
      </c>
      <c r="AN22" s="141">
        <f t="shared" si="10"/>
        <v>9.2</v>
      </c>
      <c r="AO22" s="141">
        <f t="shared" si="10"/>
        <v>9.2</v>
      </c>
      <c r="AP22" s="141">
        <f t="shared" si="10"/>
        <v>9.2</v>
      </c>
      <c r="AQ22" s="141">
        <f t="shared" si="10"/>
        <v>9.2</v>
      </c>
      <c r="AR22" s="141">
        <f t="shared" si="10"/>
        <v>9.2</v>
      </c>
      <c r="AS22" s="141">
        <f t="shared" si="10"/>
        <v>9.2</v>
      </c>
      <c r="AT22" s="141">
        <f t="shared" si="10"/>
        <v>9.2</v>
      </c>
      <c r="AU22" s="141">
        <f t="shared" si="10"/>
        <v>9.2</v>
      </c>
      <c r="AV22" s="141">
        <f t="shared" si="10"/>
        <v>9.2</v>
      </c>
      <c r="AW22" s="141">
        <f t="shared" si="10"/>
        <v>9.2</v>
      </c>
      <c r="AX22" s="141">
        <f t="shared" si="10"/>
        <v>9.2</v>
      </c>
      <c r="AY22" s="141">
        <f t="shared" si="10"/>
        <v>9.2</v>
      </c>
      <c r="AZ22" s="141">
        <f t="shared" si="10"/>
        <v>9.2</v>
      </c>
      <c r="BB22" s="141"/>
    </row>
    <row r="23" ht="15.0" customHeight="1">
      <c r="A23" s="714" t="s">
        <v>995</v>
      </c>
      <c r="B23" s="535"/>
      <c r="C23" s="535"/>
      <c r="D23" s="535"/>
      <c r="E23" s="535"/>
      <c r="F23" s="535"/>
      <c r="G23" s="535"/>
      <c r="H23" s="535"/>
      <c r="I23" s="535"/>
      <c r="J23" s="535"/>
      <c r="K23" s="535"/>
      <c r="L23" s="535"/>
      <c r="M23" s="535"/>
      <c r="N23" s="535"/>
      <c r="O23" s="535"/>
      <c r="P23" s="535"/>
      <c r="Q23" s="535"/>
      <c r="R23" s="535"/>
      <c r="S23" s="535"/>
      <c r="T23" s="535"/>
      <c r="U23" s="535"/>
      <c r="V23" s="715">
        <f t="shared" ref="V23:AZ23" si="11">V49*V22</f>
        <v>23.39560275</v>
      </c>
      <c r="W23" s="177">
        <f t="shared" si="11"/>
        <v>23.89735093</v>
      </c>
      <c r="X23" s="177">
        <f t="shared" si="11"/>
        <v>24.22308352</v>
      </c>
      <c r="Y23" s="177">
        <f t="shared" si="11"/>
        <v>24.77260503</v>
      </c>
      <c r="Z23" s="177">
        <f t="shared" si="11"/>
        <v>25.50329971</v>
      </c>
      <c r="AA23" s="177">
        <f t="shared" si="11"/>
        <v>26.1296623</v>
      </c>
      <c r="AB23" s="177">
        <f t="shared" si="11"/>
        <v>26.64605256</v>
      </c>
      <c r="AC23" s="177">
        <f t="shared" si="11"/>
        <v>27.14289791</v>
      </c>
      <c r="AD23" s="177">
        <f t="shared" si="11"/>
        <v>27.58069811</v>
      </c>
      <c r="AE23" s="177">
        <f t="shared" si="11"/>
        <v>28.08911936</v>
      </c>
      <c r="AF23" s="177">
        <f t="shared" si="11"/>
        <v>28.6365364</v>
      </c>
      <c r="AG23" s="177">
        <f t="shared" si="11"/>
        <v>29.3039412</v>
      </c>
      <c r="AH23" s="177">
        <f t="shared" si="11"/>
        <v>29.994024</v>
      </c>
      <c r="AI23" s="177">
        <f t="shared" si="11"/>
        <v>30.8085368</v>
      </c>
      <c r="AJ23" s="177">
        <f t="shared" si="11"/>
        <v>31.6206116</v>
      </c>
      <c r="AK23" s="177">
        <f t="shared" si="11"/>
        <v>32.545322</v>
      </c>
      <c r="AL23" s="177">
        <f t="shared" si="11"/>
        <v>33.4482928</v>
      </c>
      <c r="AM23" s="177">
        <f t="shared" si="11"/>
        <v>34.4388108</v>
      </c>
      <c r="AN23" s="177">
        <f t="shared" si="11"/>
        <v>35.39608</v>
      </c>
      <c r="AO23" s="177">
        <f t="shared" si="11"/>
        <v>36.456978</v>
      </c>
      <c r="AP23" s="177">
        <f t="shared" si="11"/>
        <v>37.3955896</v>
      </c>
      <c r="AQ23" s="177">
        <f t="shared" si="11"/>
        <v>38.4128428</v>
      </c>
      <c r="AR23" s="177">
        <f t="shared" si="11"/>
        <v>39.4366556</v>
      </c>
      <c r="AS23" s="177">
        <f t="shared" si="11"/>
        <v>40.4601464</v>
      </c>
      <c r="AT23" s="177">
        <f t="shared" si="11"/>
        <v>41.5382116</v>
      </c>
      <c r="AU23" s="177">
        <f t="shared" si="11"/>
        <v>42.6147404</v>
      </c>
      <c r="AV23" s="177">
        <f t="shared" si="11"/>
        <v>43.7539856</v>
      </c>
      <c r="AW23" s="177">
        <f t="shared" si="11"/>
        <v>44.8955584</v>
      </c>
      <c r="AX23" s="177">
        <f t="shared" si="11"/>
        <v>46.083536</v>
      </c>
      <c r="AY23" s="177">
        <f t="shared" si="11"/>
        <v>47.409762</v>
      </c>
      <c r="AZ23" s="177">
        <f t="shared" si="11"/>
        <v>48.7024264</v>
      </c>
      <c r="BB23" s="177"/>
    </row>
    <row r="24" ht="15.0" customHeight="1">
      <c r="A24" s="714" t="s">
        <v>996</v>
      </c>
      <c r="B24" s="535"/>
      <c r="C24" s="535"/>
      <c r="D24" s="535"/>
      <c r="E24" s="535"/>
      <c r="F24" s="535"/>
      <c r="G24" s="535"/>
      <c r="H24" s="535"/>
      <c r="I24" s="535"/>
      <c r="J24" s="535"/>
      <c r="K24" s="535"/>
      <c r="L24" s="535"/>
      <c r="M24" s="535"/>
      <c r="N24" s="535"/>
      <c r="O24" s="535"/>
      <c r="P24" s="535"/>
      <c r="Q24" s="535"/>
      <c r="R24" s="535"/>
      <c r="S24" s="535"/>
      <c r="T24" s="535"/>
      <c r="U24" s="535"/>
      <c r="V24" s="717">
        <f>V31*0.7</f>
        <v>0.000701470162</v>
      </c>
      <c r="W24" s="718">
        <f t="shared" ref="W24:AZ24" si="12">V24</f>
        <v>0.000701470162</v>
      </c>
      <c r="X24" s="718">
        <f t="shared" si="12"/>
        <v>0.000701470162</v>
      </c>
      <c r="Y24" s="718">
        <f t="shared" si="12"/>
        <v>0.000701470162</v>
      </c>
      <c r="Z24" s="718">
        <f t="shared" si="12"/>
        <v>0.000701470162</v>
      </c>
      <c r="AA24" s="718">
        <f t="shared" si="12"/>
        <v>0.000701470162</v>
      </c>
      <c r="AB24" s="718">
        <f t="shared" si="12"/>
        <v>0.000701470162</v>
      </c>
      <c r="AC24" s="718">
        <f t="shared" si="12"/>
        <v>0.000701470162</v>
      </c>
      <c r="AD24" s="718">
        <f t="shared" si="12"/>
        <v>0.000701470162</v>
      </c>
      <c r="AE24" s="718">
        <f t="shared" si="12"/>
        <v>0.000701470162</v>
      </c>
      <c r="AF24" s="718">
        <f t="shared" si="12"/>
        <v>0.000701470162</v>
      </c>
      <c r="AG24" s="718">
        <f t="shared" si="12"/>
        <v>0.000701470162</v>
      </c>
      <c r="AH24" s="718">
        <f t="shared" si="12"/>
        <v>0.000701470162</v>
      </c>
      <c r="AI24" s="718">
        <f t="shared" si="12"/>
        <v>0.000701470162</v>
      </c>
      <c r="AJ24" s="718">
        <f t="shared" si="12"/>
        <v>0.000701470162</v>
      </c>
      <c r="AK24" s="718">
        <f t="shared" si="12"/>
        <v>0.000701470162</v>
      </c>
      <c r="AL24" s="718">
        <f t="shared" si="12"/>
        <v>0.000701470162</v>
      </c>
      <c r="AM24" s="718">
        <f t="shared" si="12"/>
        <v>0.000701470162</v>
      </c>
      <c r="AN24" s="718">
        <f t="shared" si="12"/>
        <v>0.000701470162</v>
      </c>
      <c r="AO24" s="718">
        <f t="shared" si="12"/>
        <v>0.000701470162</v>
      </c>
      <c r="AP24" s="718">
        <f t="shared" si="12"/>
        <v>0.000701470162</v>
      </c>
      <c r="AQ24" s="718">
        <f t="shared" si="12"/>
        <v>0.000701470162</v>
      </c>
      <c r="AR24" s="718">
        <f t="shared" si="12"/>
        <v>0.000701470162</v>
      </c>
      <c r="AS24" s="718">
        <f t="shared" si="12"/>
        <v>0.000701470162</v>
      </c>
      <c r="AT24" s="718">
        <f t="shared" si="12"/>
        <v>0.000701470162</v>
      </c>
      <c r="AU24" s="718">
        <f t="shared" si="12"/>
        <v>0.000701470162</v>
      </c>
      <c r="AV24" s="718">
        <f t="shared" si="12"/>
        <v>0.000701470162</v>
      </c>
      <c r="AW24" s="718">
        <f t="shared" si="12"/>
        <v>0.000701470162</v>
      </c>
      <c r="AX24" s="718">
        <f t="shared" si="12"/>
        <v>0.000701470162</v>
      </c>
      <c r="AY24" s="718">
        <f t="shared" si="12"/>
        <v>0.000701470162</v>
      </c>
      <c r="AZ24" s="718">
        <f t="shared" si="12"/>
        <v>0.000701470162</v>
      </c>
      <c r="BB24" s="177"/>
    </row>
    <row r="25" ht="15.0" customHeight="1">
      <c r="A25" s="719" t="s">
        <v>997</v>
      </c>
      <c r="B25" s="160">
        <f t="shared" ref="B25:U25" si="13">C25/(1+C50-B28)</f>
        <v>17680.06816</v>
      </c>
      <c r="C25" s="160">
        <f t="shared" si="13"/>
        <v>17653.54806</v>
      </c>
      <c r="D25" s="160">
        <f t="shared" si="13"/>
        <v>17627.06774</v>
      </c>
      <c r="E25" s="160">
        <f t="shared" si="13"/>
        <v>17600.62714</v>
      </c>
      <c r="F25" s="160">
        <f t="shared" si="13"/>
        <v>17873.27553</v>
      </c>
      <c r="G25" s="160">
        <f t="shared" si="13"/>
        <v>18393.89212</v>
      </c>
      <c r="H25" s="160">
        <f t="shared" si="13"/>
        <v>19354.25848</v>
      </c>
      <c r="I25" s="160">
        <f t="shared" si="13"/>
        <v>19813.08595</v>
      </c>
      <c r="J25" s="160">
        <f t="shared" si="13"/>
        <v>20575.13674</v>
      </c>
      <c r="K25" s="160">
        <f t="shared" si="13"/>
        <v>20943.31118</v>
      </c>
      <c r="L25" s="160">
        <f t="shared" si="13"/>
        <v>21315.73269</v>
      </c>
      <c r="M25" s="160">
        <f t="shared" si="13"/>
        <v>21761.49265</v>
      </c>
      <c r="N25" s="160">
        <f t="shared" si="13"/>
        <v>21934.39995</v>
      </c>
      <c r="O25" s="160">
        <f t="shared" si="13"/>
        <v>22178.55929</v>
      </c>
      <c r="P25" s="160">
        <f t="shared" si="13"/>
        <v>22917.54958</v>
      </c>
      <c r="Q25" s="160">
        <f t="shared" si="13"/>
        <v>23254.62918</v>
      </c>
      <c r="R25" s="160">
        <f t="shared" si="13"/>
        <v>22972.80002</v>
      </c>
      <c r="S25" s="160">
        <f t="shared" si="13"/>
        <v>23839.6881</v>
      </c>
      <c r="T25" s="160">
        <f t="shared" si="13"/>
        <v>24105.05586</v>
      </c>
      <c r="U25" s="160">
        <f t="shared" si="13"/>
        <v>24548.44998</v>
      </c>
      <c r="V25" s="705">
        <v>25000.0</v>
      </c>
      <c r="W25" s="160">
        <f t="shared" ref="W25:AZ25" si="14">V25*(1+V50-V28)</f>
        <v>25459.85593</v>
      </c>
      <c r="X25" s="160">
        <f t="shared" si="14"/>
        <v>25928.17057</v>
      </c>
      <c r="Y25" s="160">
        <f t="shared" si="14"/>
        <v>26405.09949</v>
      </c>
      <c r="Z25" s="160">
        <f t="shared" si="14"/>
        <v>26890.80116</v>
      </c>
      <c r="AA25" s="160">
        <f t="shared" si="14"/>
        <v>27385.43694</v>
      </c>
      <c r="AB25" s="160">
        <f t="shared" si="14"/>
        <v>27889.17117</v>
      </c>
      <c r="AC25" s="160">
        <f t="shared" si="14"/>
        <v>28402.1712</v>
      </c>
      <c r="AD25" s="160">
        <f t="shared" si="14"/>
        <v>28924.60748</v>
      </c>
      <c r="AE25" s="160">
        <f t="shared" si="14"/>
        <v>29456.65358</v>
      </c>
      <c r="AF25" s="160">
        <f t="shared" si="14"/>
        <v>29998.48626</v>
      </c>
      <c r="AG25" s="160">
        <f t="shared" si="14"/>
        <v>30550.28553</v>
      </c>
      <c r="AH25" s="160">
        <f t="shared" si="14"/>
        <v>31112.23474</v>
      </c>
      <c r="AI25" s="160">
        <f t="shared" si="14"/>
        <v>31684.52057</v>
      </c>
      <c r="AJ25" s="160">
        <f t="shared" si="14"/>
        <v>32267.33316</v>
      </c>
      <c r="AK25" s="160">
        <f t="shared" si="14"/>
        <v>32860.86615</v>
      </c>
      <c r="AL25" s="160">
        <f t="shared" si="14"/>
        <v>33465.31672</v>
      </c>
      <c r="AM25" s="160">
        <f t="shared" si="14"/>
        <v>34080.8857</v>
      </c>
      <c r="AN25" s="160">
        <f t="shared" si="14"/>
        <v>34707.7776</v>
      </c>
      <c r="AO25" s="160">
        <f t="shared" si="14"/>
        <v>35346.2007</v>
      </c>
      <c r="AP25" s="160">
        <f t="shared" si="14"/>
        <v>35996.36711</v>
      </c>
      <c r="AQ25" s="160">
        <f t="shared" si="14"/>
        <v>36658.49283</v>
      </c>
      <c r="AR25" s="160">
        <f t="shared" si="14"/>
        <v>37332.79785</v>
      </c>
      <c r="AS25" s="160">
        <f t="shared" si="14"/>
        <v>38019.5062</v>
      </c>
      <c r="AT25" s="160">
        <f t="shared" si="14"/>
        <v>38718.84602</v>
      </c>
      <c r="AU25" s="160">
        <f t="shared" si="14"/>
        <v>39431.04966</v>
      </c>
      <c r="AV25" s="160">
        <f t="shared" si="14"/>
        <v>40156.35375</v>
      </c>
      <c r="AW25" s="160">
        <f t="shared" si="14"/>
        <v>40894.99925</v>
      </c>
      <c r="AX25" s="160">
        <f t="shared" si="14"/>
        <v>41647.23158</v>
      </c>
      <c r="AY25" s="160">
        <f t="shared" si="14"/>
        <v>42413.30064</v>
      </c>
      <c r="AZ25" s="160">
        <f t="shared" si="14"/>
        <v>43193.46096</v>
      </c>
      <c r="BB25" s="160"/>
    </row>
    <row r="26" ht="15.0" customHeight="1">
      <c r="A26" s="719" t="s">
        <v>998</v>
      </c>
      <c r="B26" s="177">
        <f t="shared" ref="B26:U26" si="15">C26/(1+C50-B28)</f>
        <v>3.889614995</v>
      </c>
      <c r="C26" s="177">
        <f t="shared" si="15"/>
        <v>3.883780573</v>
      </c>
      <c r="D26" s="177">
        <f t="shared" si="15"/>
        <v>3.877954902</v>
      </c>
      <c r="E26" s="177">
        <f t="shared" si="15"/>
        <v>3.87213797</v>
      </c>
      <c r="F26" s="177">
        <f t="shared" si="15"/>
        <v>3.932120616</v>
      </c>
      <c r="G26" s="177">
        <f t="shared" si="15"/>
        <v>4.046656266</v>
      </c>
      <c r="H26" s="177">
        <f t="shared" si="15"/>
        <v>4.257936866</v>
      </c>
      <c r="I26" s="177">
        <f t="shared" si="15"/>
        <v>4.358878909</v>
      </c>
      <c r="J26" s="177">
        <f t="shared" si="15"/>
        <v>4.526530084</v>
      </c>
      <c r="K26" s="177">
        <f t="shared" si="15"/>
        <v>4.607528459</v>
      </c>
      <c r="L26" s="177">
        <f t="shared" si="15"/>
        <v>4.689461192</v>
      </c>
      <c r="M26" s="177">
        <f t="shared" si="15"/>
        <v>4.787528383</v>
      </c>
      <c r="N26" s="177">
        <f t="shared" si="15"/>
        <v>4.825567988</v>
      </c>
      <c r="O26" s="177">
        <f t="shared" si="15"/>
        <v>4.879283043</v>
      </c>
      <c r="P26" s="177">
        <f t="shared" si="15"/>
        <v>5.041860907</v>
      </c>
      <c r="Q26" s="177">
        <f t="shared" si="15"/>
        <v>5.116018419</v>
      </c>
      <c r="R26" s="177">
        <f t="shared" si="15"/>
        <v>5.054016004</v>
      </c>
      <c r="S26" s="177">
        <f t="shared" si="15"/>
        <v>5.244731383</v>
      </c>
      <c r="T26" s="177">
        <f t="shared" si="15"/>
        <v>5.30311229</v>
      </c>
      <c r="U26" s="177">
        <f t="shared" si="15"/>
        <v>5.400658996</v>
      </c>
      <c r="V26" s="715">
        <v>5.5</v>
      </c>
      <c r="W26" s="177">
        <f t="shared" ref="W26:AZ26" si="16">V26*(1+V50-V28)</f>
        <v>5.601168306</v>
      </c>
      <c r="X26" s="177">
        <f t="shared" si="16"/>
        <v>5.704197525</v>
      </c>
      <c r="Y26" s="177">
        <f t="shared" si="16"/>
        <v>5.809121888</v>
      </c>
      <c r="Z26" s="177">
        <f t="shared" si="16"/>
        <v>5.915976255</v>
      </c>
      <c r="AA26" s="177">
        <f t="shared" si="16"/>
        <v>6.024796127</v>
      </c>
      <c r="AB26" s="177">
        <f t="shared" si="16"/>
        <v>6.135617657</v>
      </c>
      <c r="AC26" s="177">
        <f t="shared" si="16"/>
        <v>6.248477665</v>
      </c>
      <c r="AD26" s="177">
        <f t="shared" si="16"/>
        <v>6.363413646</v>
      </c>
      <c r="AE26" s="177">
        <f t="shared" si="16"/>
        <v>6.480463787</v>
      </c>
      <c r="AF26" s="177">
        <f t="shared" si="16"/>
        <v>6.599666977</v>
      </c>
      <c r="AG26" s="177">
        <f t="shared" si="16"/>
        <v>6.721062818</v>
      </c>
      <c r="AH26" s="177">
        <f t="shared" si="16"/>
        <v>6.844691643</v>
      </c>
      <c r="AI26" s="177">
        <f t="shared" si="16"/>
        <v>6.970594525</v>
      </c>
      <c r="AJ26" s="177">
        <f t="shared" si="16"/>
        <v>7.098813296</v>
      </c>
      <c r="AK26" s="177">
        <f t="shared" si="16"/>
        <v>7.229390553</v>
      </c>
      <c r="AL26" s="177">
        <f t="shared" si="16"/>
        <v>7.362369679</v>
      </c>
      <c r="AM26" s="177">
        <f t="shared" si="16"/>
        <v>7.497794854</v>
      </c>
      <c r="AN26" s="177">
        <f t="shared" si="16"/>
        <v>7.635711073</v>
      </c>
      <c r="AO26" s="177">
        <f t="shared" si="16"/>
        <v>7.776164155</v>
      </c>
      <c r="AP26" s="177">
        <f t="shared" si="16"/>
        <v>7.919200764</v>
      </c>
      <c r="AQ26" s="177">
        <f t="shared" si="16"/>
        <v>8.064868423</v>
      </c>
      <c r="AR26" s="177">
        <f t="shared" si="16"/>
        <v>8.213215527</v>
      </c>
      <c r="AS26" s="177">
        <f t="shared" si="16"/>
        <v>8.364291363</v>
      </c>
      <c r="AT26" s="177">
        <f t="shared" si="16"/>
        <v>8.518146124</v>
      </c>
      <c r="AU26" s="177">
        <f t="shared" si="16"/>
        <v>8.674830926</v>
      </c>
      <c r="AV26" s="177">
        <f t="shared" si="16"/>
        <v>8.834397825</v>
      </c>
      <c r="AW26" s="177">
        <f t="shared" si="16"/>
        <v>8.996899836</v>
      </c>
      <c r="AX26" s="177">
        <f t="shared" si="16"/>
        <v>9.162390947</v>
      </c>
      <c r="AY26" s="177">
        <f t="shared" si="16"/>
        <v>9.330926141</v>
      </c>
      <c r="AZ26" s="177">
        <f t="shared" si="16"/>
        <v>9.502561411</v>
      </c>
      <c r="BB26" s="177"/>
    </row>
    <row r="27" ht="15.0" customHeight="1">
      <c r="A27" s="719" t="s">
        <v>999</v>
      </c>
      <c r="B27" s="535"/>
      <c r="C27" s="535"/>
      <c r="D27" s="535"/>
      <c r="E27" s="535"/>
      <c r="F27" s="535"/>
      <c r="G27" s="535"/>
      <c r="H27" s="535"/>
      <c r="I27" s="535"/>
      <c r="J27" s="535"/>
      <c r="K27" s="535"/>
      <c r="L27" s="535"/>
      <c r="M27" s="535"/>
      <c r="N27" s="535"/>
      <c r="O27" s="535"/>
      <c r="P27" s="535"/>
      <c r="Q27" s="535"/>
      <c r="R27" s="535"/>
      <c r="S27" s="535"/>
      <c r="T27" s="535"/>
      <c r="U27" s="535"/>
      <c r="V27" s="715">
        <f>V25*Model!W8/(V15*Model!W8*8760)+V26</f>
        <v>12.88395173</v>
      </c>
      <c r="W27" s="177">
        <f t="shared" ref="W27:AZ27" si="17">V27*(1+V50-V28)</f>
        <v>13.1209422</v>
      </c>
      <c r="X27" s="177">
        <f t="shared" si="17"/>
        <v>13.36229193</v>
      </c>
      <c r="Y27" s="177">
        <f t="shared" si="17"/>
        <v>13.6080811</v>
      </c>
      <c r="Z27" s="177">
        <f t="shared" si="17"/>
        <v>13.85839137</v>
      </c>
      <c r="AA27" s="177">
        <f t="shared" si="17"/>
        <v>14.11330591</v>
      </c>
      <c r="AB27" s="177">
        <f t="shared" si="17"/>
        <v>14.37290941</v>
      </c>
      <c r="AC27" s="177">
        <f t="shared" si="17"/>
        <v>14.63728812</v>
      </c>
      <c r="AD27" s="177">
        <f t="shared" si="17"/>
        <v>14.90652987</v>
      </c>
      <c r="AE27" s="177">
        <f t="shared" si="17"/>
        <v>15.18072412</v>
      </c>
      <c r="AF27" s="177">
        <f t="shared" si="17"/>
        <v>15.45996196</v>
      </c>
      <c r="AG27" s="177">
        <f t="shared" si="17"/>
        <v>15.74433617</v>
      </c>
      <c r="AH27" s="177">
        <f t="shared" si="17"/>
        <v>16.03394123</v>
      </c>
      <c r="AI27" s="177">
        <f t="shared" si="17"/>
        <v>16.32887335</v>
      </c>
      <c r="AJ27" s="177">
        <f t="shared" si="17"/>
        <v>16.62923052</v>
      </c>
      <c r="AK27" s="177">
        <f t="shared" si="17"/>
        <v>16.93511254</v>
      </c>
      <c r="AL27" s="177">
        <f t="shared" si="17"/>
        <v>17.24662102</v>
      </c>
      <c r="AM27" s="177">
        <f t="shared" si="17"/>
        <v>17.56385946</v>
      </c>
      <c r="AN27" s="177">
        <f t="shared" si="17"/>
        <v>17.88693326</v>
      </c>
      <c r="AO27" s="177">
        <f t="shared" si="17"/>
        <v>18.21594975</v>
      </c>
      <c r="AP27" s="177">
        <f t="shared" si="17"/>
        <v>18.55101826</v>
      </c>
      <c r="AQ27" s="177">
        <f t="shared" si="17"/>
        <v>18.89225009</v>
      </c>
      <c r="AR27" s="177">
        <f t="shared" si="17"/>
        <v>19.23975862</v>
      </c>
      <c r="AS27" s="177">
        <f t="shared" si="17"/>
        <v>19.59365931</v>
      </c>
      <c r="AT27" s="177">
        <f t="shared" si="17"/>
        <v>19.95406973</v>
      </c>
      <c r="AU27" s="177">
        <f t="shared" si="17"/>
        <v>20.32110963</v>
      </c>
      <c r="AV27" s="177">
        <f t="shared" si="17"/>
        <v>20.69490094</v>
      </c>
      <c r="AW27" s="177">
        <f t="shared" si="17"/>
        <v>21.07556786</v>
      </c>
      <c r="AX27" s="177">
        <f t="shared" si="17"/>
        <v>21.46323686</v>
      </c>
      <c r="AY27" s="177">
        <f t="shared" si="17"/>
        <v>21.85803673</v>
      </c>
      <c r="AZ27" s="177">
        <f t="shared" si="17"/>
        <v>22.26009865</v>
      </c>
      <c r="BB27" s="177"/>
    </row>
    <row r="28" ht="15.0" customHeight="1">
      <c r="A28" s="719" t="s">
        <v>1000</v>
      </c>
      <c r="B28" s="720">
        <v>0.0015</v>
      </c>
      <c r="C28" s="720">
        <v>0.0015</v>
      </c>
      <c r="D28" s="720">
        <v>0.0015</v>
      </c>
      <c r="E28" s="720">
        <v>0.0015</v>
      </c>
      <c r="F28" s="720">
        <v>0.0015</v>
      </c>
      <c r="G28" s="720">
        <v>0.0015</v>
      </c>
      <c r="H28" s="720">
        <v>0.0015</v>
      </c>
      <c r="I28" s="720">
        <v>0.0015</v>
      </c>
      <c r="J28" s="720">
        <v>0.0015</v>
      </c>
      <c r="K28" s="720">
        <v>0.0015</v>
      </c>
      <c r="L28" s="720">
        <v>0.0015</v>
      </c>
      <c r="M28" s="720">
        <v>0.0015</v>
      </c>
      <c r="N28" s="720">
        <v>0.0015</v>
      </c>
      <c r="O28" s="720">
        <v>0.0015</v>
      </c>
      <c r="P28" s="720">
        <v>0.0015</v>
      </c>
      <c r="Q28" s="720">
        <v>0.0015</v>
      </c>
      <c r="R28" s="720">
        <v>0.0015</v>
      </c>
      <c r="S28" s="720">
        <v>0.0015</v>
      </c>
      <c r="T28" s="720">
        <v>0.0015</v>
      </c>
      <c r="U28" s="720">
        <v>0.0015</v>
      </c>
      <c r="V28" s="538">
        <v>0.0015</v>
      </c>
      <c r="W28" s="537">
        <f t="shared" ref="W28:AZ28" si="18">V28</f>
        <v>0.0015</v>
      </c>
      <c r="X28" s="537">
        <f t="shared" si="18"/>
        <v>0.0015</v>
      </c>
      <c r="Y28" s="537">
        <f t="shared" si="18"/>
        <v>0.0015</v>
      </c>
      <c r="Z28" s="537">
        <f t="shared" si="18"/>
        <v>0.0015</v>
      </c>
      <c r="AA28" s="537">
        <f t="shared" si="18"/>
        <v>0.0015</v>
      </c>
      <c r="AB28" s="537">
        <f t="shared" si="18"/>
        <v>0.0015</v>
      </c>
      <c r="AC28" s="537">
        <f t="shared" si="18"/>
        <v>0.0015</v>
      </c>
      <c r="AD28" s="537">
        <f t="shared" si="18"/>
        <v>0.0015</v>
      </c>
      <c r="AE28" s="537">
        <f t="shared" si="18"/>
        <v>0.0015</v>
      </c>
      <c r="AF28" s="537">
        <f t="shared" si="18"/>
        <v>0.0015</v>
      </c>
      <c r="AG28" s="537">
        <f t="shared" si="18"/>
        <v>0.0015</v>
      </c>
      <c r="AH28" s="537">
        <f t="shared" si="18"/>
        <v>0.0015</v>
      </c>
      <c r="AI28" s="537">
        <f t="shared" si="18"/>
        <v>0.0015</v>
      </c>
      <c r="AJ28" s="537">
        <f t="shared" si="18"/>
        <v>0.0015</v>
      </c>
      <c r="AK28" s="537">
        <f t="shared" si="18"/>
        <v>0.0015</v>
      </c>
      <c r="AL28" s="537">
        <f t="shared" si="18"/>
        <v>0.0015</v>
      </c>
      <c r="AM28" s="537">
        <f t="shared" si="18"/>
        <v>0.0015</v>
      </c>
      <c r="AN28" s="537">
        <f t="shared" si="18"/>
        <v>0.0015</v>
      </c>
      <c r="AO28" s="537">
        <f t="shared" si="18"/>
        <v>0.0015</v>
      </c>
      <c r="AP28" s="537">
        <f t="shared" si="18"/>
        <v>0.0015</v>
      </c>
      <c r="AQ28" s="537">
        <f t="shared" si="18"/>
        <v>0.0015</v>
      </c>
      <c r="AR28" s="537">
        <f t="shared" si="18"/>
        <v>0.0015</v>
      </c>
      <c r="AS28" s="537">
        <f t="shared" si="18"/>
        <v>0.0015</v>
      </c>
      <c r="AT28" s="537">
        <f t="shared" si="18"/>
        <v>0.0015</v>
      </c>
      <c r="AU28" s="537">
        <f t="shared" si="18"/>
        <v>0.0015</v>
      </c>
      <c r="AV28" s="537">
        <f t="shared" si="18"/>
        <v>0.0015</v>
      </c>
      <c r="AW28" s="537">
        <f t="shared" si="18"/>
        <v>0.0015</v>
      </c>
      <c r="AX28" s="537">
        <f t="shared" si="18"/>
        <v>0.0015</v>
      </c>
      <c r="AY28" s="537">
        <f t="shared" si="18"/>
        <v>0.0015</v>
      </c>
      <c r="AZ28" s="537">
        <f t="shared" si="18"/>
        <v>0.0015</v>
      </c>
      <c r="BB28" s="537"/>
    </row>
    <row r="29" ht="15.0" customHeight="1">
      <c r="A29" s="719" t="s">
        <v>1001</v>
      </c>
      <c r="B29" s="535"/>
      <c r="C29" s="535"/>
      <c r="D29" s="535"/>
      <c r="E29" s="535"/>
      <c r="F29" s="535"/>
      <c r="G29" s="535"/>
      <c r="H29" s="535"/>
      <c r="I29" s="535"/>
      <c r="J29" s="535"/>
      <c r="K29" s="535"/>
      <c r="L29" s="535"/>
      <c r="M29" s="535"/>
      <c r="N29" s="535"/>
      <c r="O29" s="535"/>
      <c r="P29" s="535"/>
      <c r="Q29" s="535"/>
      <c r="R29" s="535"/>
      <c r="S29" s="535"/>
      <c r="T29" s="535"/>
      <c r="U29" s="535"/>
      <c r="V29" s="716">
        <v>10.1</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c r="BB29" s="141"/>
    </row>
    <row r="30" ht="15.0" customHeight="1">
      <c r="A30" s="719" t="s">
        <v>1002</v>
      </c>
      <c r="B30" s="721">
        <f t="shared" ref="B30:AZ30" si="19">B49*$V$29</f>
        <v>17.877</v>
      </c>
      <c r="C30" s="721">
        <f t="shared" si="19"/>
        <v>17.877</v>
      </c>
      <c r="D30" s="721">
        <f t="shared" si="19"/>
        <v>17.877</v>
      </c>
      <c r="E30" s="721">
        <f t="shared" si="19"/>
        <v>17.877</v>
      </c>
      <c r="F30" s="721">
        <f t="shared" si="19"/>
        <v>17.877</v>
      </c>
      <c r="G30" s="721">
        <f t="shared" si="19"/>
        <v>17.877</v>
      </c>
      <c r="H30" s="721">
        <f t="shared" si="19"/>
        <v>17.877</v>
      </c>
      <c r="I30" s="721">
        <f t="shared" si="19"/>
        <v>17.877</v>
      </c>
      <c r="J30" s="721">
        <f t="shared" si="19"/>
        <v>20.907</v>
      </c>
      <c r="K30" s="721">
        <f t="shared" si="19"/>
        <v>22.321</v>
      </c>
      <c r="L30" s="721">
        <f t="shared" si="19"/>
        <v>22.927</v>
      </c>
      <c r="M30" s="721">
        <f t="shared" si="19"/>
        <v>24.139</v>
      </c>
      <c r="N30" s="721">
        <f t="shared" si="19"/>
        <v>24.038</v>
      </c>
      <c r="O30" s="721">
        <f t="shared" si="19"/>
        <v>23.634</v>
      </c>
      <c r="P30" s="721">
        <f t="shared" si="19"/>
        <v>23.937</v>
      </c>
      <c r="Q30" s="721">
        <f t="shared" si="19"/>
        <v>22.422</v>
      </c>
      <c r="R30" s="721">
        <f t="shared" si="19"/>
        <v>21.311</v>
      </c>
      <c r="S30" s="721">
        <f t="shared" si="19"/>
        <v>20.806</v>
      </c>
      <c r="T30" s="721">
        <f t="shared" si="19"/>
        <v>20.806</v>
      </c>
      <c r="U30" s="721">
        <f t="shared" si="19"/>
        <v>20.806</v>
      </c>
      <c r="V30" s="715">
        <f t="shared" si="19"/>
        <v>24.2354449</v>
      </c>
      <c r="W30" s="721">
        <f t="shared" si="19"/>
        <v>24.8956415</v>
      </c>
      <c r="X30" s="721">
        <f t="shared" si="19"/>
        <v>25.3789568</v>
      </c>
      <c r="Y30" s="721">
        <f t="shared" si="19"/>
        <v>26.1036318</v>
      </c>
      <c r="Z30" s="721">
        <f t="shared" si="19"/>
        <v>27.0286807</v>
      </c>
      <c r="AA30" s="721">
        <f t="shared" si="19"/>
        <v>27.8532548</v>
      </c>
      <c r="AB30" s="721">
        <f t="shared" si="19"/>
        <v>28.5695468</v>
      </c>
      <c r="AC30" s="721">
        <f t="shared" si="19"/>
        <v>29.2731734</v>
      </c>
      <c r="AD30" s="721">
        <f t="shared" si="19"/>
        <v>29.9210581</v>
      </c>
      <c r="AE30" s="721">
        <f t="shared" si="19"/>
        <v>30.6537121</v>
      </c>
      <c r="AF30" s="721">
        <f t="shared" si="19"/>
        <v>31.4379367</v>
      </c>
      <c r="AG30" s="721">
        <f t="shared" si="19"/>
        <v>32.1706311</v>
      </c>
      <c r="AH30" s="721">
        <f t="shared" si="19"/>
        <v>32.928222</v>
      </c>
      <c r="AI30" s="721">
        <f t="shared" si="19"/>
        <v>33.8224154</v>
      </c>
      <c r="AJ30" s="721">
        <f t="shared" si="19"/>
        <v>34.7139323</v>
      </c>
      <c r="AK30" s="721">
        <f t="shared" si="19"/>
        <v>35.7291035</v>
      </c>
      <c r="AL30" s="721">
        <f t="shared" si="19"/>
        <v>36.7204084</v>
      </c>
      <c r="AM30" s="721">
        <f t="shared" si="19"/>
        <v>37.8078249</v>
      </c>
      <c r="AN30" s="721">
        <f t="shared" si="19"/>
        <v>38.85874</v>
      </c>
      <c r="AO30" s="721">
        <f t="shared" si="19"/>
        <v>40.0234215</v>
      </c>
      <c r="AP30" s="721">
        <f t="shared" si="19"/>
        <v>41.0538538</v>
      </c>
      <c r="AQ30" s="721">
        <f t="shared" si="19"/>
        <v>42.1706209</v>
      </c>
      <c r="AR30" s="721">
        <f t="shared" si="19"/>
        <v>43.2945893</v>
      </c>
      <c r="AS30" s="721">
        <f t="shared" si="19"/>
        <v>44.4182042</v>
      </c>
      <c r="AT30" s="721">
        <f t="shared" si="19"/>
        <v>45.6017323</v>
      </c>
      <c r="AU30" s="721">
        <f t="shared" si="19"/>
        <v>46.7835737</v>
      </c>
      <c r="AV30" s="721">
        <f t="shared" si="19"/>
        <v>48.0342668</v>
      </c>
      <c r="AW30" s="721">
        <f t="shared" si="19"/>
        <v>49.2875152</v>
      </c>
      <c r="AX30" s="721">
        <f t="shared" si="19"/>
        <v>50.591708</v>
      </c>
      <c r="AY30" s="721">
        <f t="shared" si="19"/>
        <v>52.0476735</v>
      </c>
      <c r="AZ30" s="721">
        <f t="shared" si="19"/>
        <v>53.4667942</v>
      </c>
      <c r="BB30" s="721"/>
    </row>
    <row r="31" ht="15.0" customHeight="1">
      <c r="A31" s="722" t="s">
        <v>1003</v>
      </c>
      <c r="B31" s="535"/>
      <c r="C31" s="535"/>
      <c r="D31" s="535"/>
      <c r="E31" s="535"/>
      <c r="F31" s="535"/>
      <c r="G31" s="535"/>
      <c r="H31" s="535"/>
      <c r="I31" s="535"/>
      <c r="J31" s="535"/>
      <c r="K31" s="535"/>
      <c r="L31" s="535"/>
      <c r="M31" s="535"/>
      <c r="N31" s="535"/>
      <c r="O31" s="535"/>
      <c r="P31" s="535"/>
      <c r="Q31" s="535"/>
      <c r="R31" s="535"/>
      <c r="S31" s="535"/>
      <c r="T31" s="535"/>
      <c r="U31" s="723">
        <f t="shared" ref="U31:V31" si="20">1127/1124638</f>
        <v>0.001002100231</v>
      </c>
      <c r="V31" s="724">
        <f t="shared" si="20"/>
        <v>0.001002100231</v>
      </c>
      <c r="W31" s="725">
        <f t="shared" ref="W31:AZ31" si="21">V31</f>
        <v>0.001002100231</v>
      </c>
      <c r="X31" s="351">
        <f t="shared" si="21"/>
        <v>0.001002100231</v>
      </c>
      <c r="Y31" s="351">
        <f t="shared" si="21"/>
        <v>0.001002100231</v>
      </c>
      <c r="Z31" s="351">
        <f t="shared" si="21"/>
        <v>0.001002100231</v>
      </c>
      <c r="AA31" s="351">
        <f t="shared" si="21"/>
        <v>0.001002100231</v>
      </c>
      <c r="AB31" s="351">
        <f t="shared" si="21"/>
        <v>0.001002100231</v>
      </c>
      <c r="AC31" s="351">
        <f t="shared" si="21"/>
        <v>0.001002100231</v>
      </c>
      <c r="AD31" s="351">
        <f t="shared" si="21"/>
        <v>0.001002100231</v>
      </c>
      <c r="AE31" s="351">
        <f t="shared" si="21"/>
        <v>0.001002100231</v>
      </c>
      <c r="AF31" s="351">
        <f t="shared" si="21"/>
        <v>0.001002100231</v>
      </c>
      <c r="AG31" s="351">
        <f t="shared" si="21"/>
        <v>0.001002100231</v>
      </c>
      <c r="AH31" s="351">
        <f t="shared" si="21"/>
        <v>0.001002100231</v>
      </c>
      <c r="AI31" s="351">
        <f t="shared" si="21"/>
        <v>0.001002100231</v>
      </c>
      <c r="AJ31" s="351">
        <f t="shared" si="21"/>
        <v>0.001002100231</v>
      </c>
      <c r="AK31" s="351">
        <f t="shared" si="21"/>
        <v>0.001002100231</v>
      </c>
      <c r="AL31" s="351">
        <f t="shared" si="21"/>
        <v>0.001002100231</v>
      </c>
      <c r="AM31" s="351">
        <f t="shared" si="21"/>
        <v>0.001002100231</v>
      </c>
      <c r="AN31" s="351">
        <f t="shared" si="21"/>
        <v>0.001002100231</v>
      </c>
      <c r="AO31" s="351">
        <f t="shared" si="21"/>
        <v>0.001002100231</v>
      </c>
      <c r="AP31" s="351">
        <f t="shared" si="21"/>
        <v>0.001002100231</v>
      </c>
      <c r="AQ31" s="351">
        <f t="shared" si="21"/>
        <v>0.001002100231</v>
      </c>
      <c r="AR31" s="351">
        <f t="shared" si="21"/>
        <v>0.001002100231</v>
      </c>
      <c r="AS31" s="351">
        <f t="shared" si="21"/>
        <v>0.001002100231</v>
      </c>
      <c r="AT31" s="351">
        <f t="shared" si="21"/>
        <v>0.001002100231</v>
      </c>
      <c r="AU31" s="351">
        <f t="shared" si="21"/>
        <v>0.001002100231</v>
      </c>
      <c r="AV31" s="351">
        <f t="shared" si="21"/>
        <v>0.001002100231</v>
      </c>
      <c r="AW31" s="351">
        <f t="shared" si="21"/>
        <v>0.001002100231</v>
      </c>
      <c r="AX31" s="351">
        <f t="shared" si="21"/>
        <v>0.001002100231</v>
      </c>
      <c r="AY31" s="351">
        <f t="shared" si="21"/>
        <v>0.001002100231</v>
      </c>
      <c r="AZ31" s="351">
        <f t="shared" si="21"/>
        <v>0.001002100231</v>
      </c>
      <c r="BB31" s="351"/>
    </row>
    <row r="32" ht="15.0" customHeight="1">
      <c r="A32" s="408" t="s">
        <v>1004</v>
      </c>
      <c r="B32" s="410"/>
      <c r="C32" s="410"/>
      <c r="D32" s="410"/>
      <c r="E32" s="410"/>
      <c r="F32" s="410"/>
      <c r="G32" s="410"/>
      <c r="H32" s="410"/>
      <c r="I32" s="410"/>
      <c r="J32" s="410"/>
      <c r="K32" s="410"/>
      <c r="L32" s="410"/>
      <c r="M32" s="410"/>
      <c r="N32" s="410"/>
      <c r="O32" s="410"/>
      <c r="P32" s="410"/>
      <c r="Q32" s="410"/>
      <c r="R32" s="410"/>
      <c r="S32" s="410"/>
      <c r="T32" s="410"/>
      <c r="U32" s="411"/>
      <c r="V32" s="726">
        <v>18.915</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403" t="s">
        <v>1005</v>
      </c>
      <c r="B33" s="410"/>
      <c r="C33" s="410"/>
      <c r="D33" s="410"/>
      <c r="E33" s="410"/>
      <c r="F33" s="410"/>
      <c r="G33" s="410"/>
      <c r="H33" s="410"/>
      <c r="I33" s="410"/>
      <c r="J33" s="410"/>
      <c r="K33" s="410"/>
      <c r="L33" s="410"/>
      <c r="M33" s="410"/>
      <c r="N33" s="410"/>
      <c r="O33" s="410"/>
      <c r="P33" s="410"/>
      <c r="Q33" s="410"/>
      <c r="R33" s="410"/>
      <c r="S33" s="410"/>
      <c r="T33" s="410"/>
      <c r="U33" s="411"/>
      <c r="V33" s="726">
        <v>1151.0</v>
      </c>
      <c r="W33" s="727"/>
      <c r="X33" s="727"/>
      <c r="Y33" s="208"/>
      <c r="Z33" s="208"/>
      <c r="AA33" s="208"/>
      <c r="AB33" s="208"/>
      <c r="AC33" s="208"/>
      <c r="AD33" s="208"/>
      <c r="AE33" s="208"/>
      <c r="AF33" s="208"/>
      <c r="AG33" s="208"/>
      <c r="AH33" s="208"/>
      <c r="AI33" s="208"/>
      <c r="AJ33" s="208"/>
      <c r="AK33" s="208"/>
      <c r="AL33" s="208"/>
      <c r="AM33" s="208"/>
      <c r="AN33" s="208"/>
      <c r="AO33" s="208"/>
      <c r="AP33" s="208"/>
      <c r="AQ33" s="208"/>
      <c r="AR33" s="208"/>
      <c r="AS33" s="208"/>
      <c r="AT33" s="208"/>
      <c r="AU33" s="208"/>
      <c r="AV33" s="208"/>
      <c r="AW33" s="208"/>
      <c r="AX33" s="208"/>
      <c r="AY33" s="208"/>
      <c r="AZ33" s="208"/>
    </row>
    <row r="34" ht="15.0" customHeight="1">
      <c r="A34" s="403" t="s">
        <v>1006</v>
      </c>
      <c r="B34" s="410"/>
      <c r="C34" s="410"/>
      <c r="D34" s="410"/>
      <c r="E34" s="410"/>
      <c r="F34" s="410"/>
      <c r="G34" s="410"/>
      <c r="H34" s="410"/>
      <c r="I34" s="410"/>
      <c r="J34" s="410"/>
      <c r="K34" s="410"/>
      <c r="L34" s="410"/>
      <c r="M34" s="410"/>
      <c r="N34" s="410"/>
      <c r="O34" s="410"/>
      <c r="P34" s="410"/>
      <c r="Q34" s="410"/>
      <c r="R34" s="410"/>
      <c r="S34" s="410"/>
      <c r="T34" s="410"/>
      <c r="U34" s="411"/>
      <c r="V34" s="726">
        <v>633.533</v>
      </c>
      <c r="W34" s="208"/>
      <c r="X34" s="208"/>
      <c r="Y34" s="208"/>
      <c r="Z34" s="208"/>
      <c r="AA34" s="208"/>
      <c r="AB34" s="208"/>
      <c r="AC34" s="208"/>
      <c r="AD34" s="208"/>
      <c r="AE34" s="208"/>
      <c r="AF34" s="208"/>
      <c r="AG34" s="208"/>
      <c r="AH34" s="208"/>
      <c r="AI34" s="208"/>
      <c r="AJ34" s="208"/>
      <c r="AK34" s="208"/>
      <c r="AL34" s="208"/>
      <c r="AM34" s="208"/>
      <c r="AN34" s="208"/>
      <c r="AO34" s="208"/>
      <c r="AP34" s="208"/>
      <c r="AQ34" s="208"/>
      <c r="AR34" s="208"/>
      <c r="AS34" s="208"/>
      <c r="AT34" s="208"/>
      <c r="AU34" s="208"/>
      <c r="AV34" s="208"/>
      <c r="AW34" s="208"/>
      <c r="AX34" s="208"/>
      <c r="AY34" s="208"/>
      <c r="AZ34" s="208"/>
    </row>
    <row r="35" ht="15.0" customHeight="1">
      <c r="A35" s="728" t="s">
        <v>1007</v>
      </c>
      <c r="B35" s="410"/>
      <c r="C35" s="410"/>
      <c r="D35" s="410"/>
      <c r="E35" s="410"/>
      <c r="F35" s="410"/>
      <c r="G35" s="410"/>
      <c r="H35" s="410"/>
      <c r="I35" s="410"/>
      <c r="J35" s="410"/>
      <c r="K35" s="410"/>
      <c r="L35" s="410"/>
      <c r="M35" s="410"/>
      <c r="N35" s="410"/>
      <c r="O35" s="410"/>
      <c r="P35" s="410"/>
      <c r="Q35" s="410"/>
      <c r="R35" s="410"/>
      <c r="S35" s="410"/>
      <c r="T35" s="410"/>
      <c r="U35" s="411"/>
      <c r="V35" s="729">
        <v>257000.0</v>
      </c>
      <c r="W35" s="208"/>
      <c r="X35" s="208"/>
      <c r="Y35" s="208"/>
      <c r="Z35" s="208"/>
      <c r="AA35" s="208"/>
      <c r="AB35" s="208"/>
      <c r="AC35" s="208"/>
      <c r="AD35" s="208"/>
      <c r="AE35" s="208"/>
      <c r="AF35" s="208"/>
      <c r="AG35" s="208"/>
      <c r="AH35" s="208"/>
      <c r="AI35" s="208"/>
      <c r="AJ35" s="208"/>
      <c r="AK35" s="208"/>
      <c r="AL35" s="208"/>
      <c r="AM35" s="208"/>
      <c r="AN35" s="208"/>
      <c r="AO35" s="208"/>
      <c r="AP35" s="208"/>
      <c r="AQ35" s="208"/>
      <c r="AR35" s="208"/>
      <c r="AS35" s="208"/>
      <c r="AT35" s="208"/>
      <c r="AU35" s="208"/>
      <c r="AV35" s="208"/>
      <c r="AW35" s="208"/>
      <c r="AX35" s="208"/>
      <c r="AY35" s="208"/>
      <c r="AZ35" s="208"/>
    </row>
    <row r="36" ht="15.0" customHeight="1">
      <c r="A36" s="535" t="s">
        <v>112</v>
      </c>
      <c r="B36" s="546">
        <v>0.35</v>
      </c>
      <c r="C36" s="546">
        <v>0.35</v>
      </c>
      <c r="D36" s="546">
        <v>0.35</v>
      </c>
      <c r="E36" s="546">
        <v>0.35</v>
      </c>
      <c r="F36" s="546">
        <v>0.35</v>
      </c>
      <c r="G36" s="546">
        <v>0.35</v>
      </c>
      <c r="H36" s="546">
        <v>0.35</v>
      </c>
      <c r="I36" s="546">
        <v>0.35</v>
      </c>
      <c r="J36" s="546">
        <v>0.35</v>
      </c>
      <c r="K36" s="546">
        <v>0.35</v>
      </c>
      <c r="L36" s="546">
        <v>0.35</v>
      </c>
      <c r="M36" s="546">
        <v>0.35</v>
      </c>
      <c r="N36" s="546">
        <v>0.35</v>
      </c>
      <c r="O36" s="546">
        <v>0.35</v>
      </c>
      <c r="P36" s="546">
        <v>0.35</v>
      </c>
      <c r="Q36" s="546">
        <v>0.35</v>
      </c>
      <c r="R36" s="546">
        <v>0.35</v>
      </c>
      <c r="S36" s="546">
        <v>0.35</v>
      </c>
      <c r="T36" s="546">
        <v>0.21</v>
      </c>
      <c r="U36" s="546">
        <v>0.21</v>
      </c>
      <c r="V36" s="547">
        <v>0.21</v>
      </c>
      <c r="W36" s="208">
        <f t="shared" ref="W36:AZ36" si="22">V36</f>
        <v>0.21</v>
      </c>
      <c r="X36" s="208">
        <f t="shared" si="22"/>
        <v>0.21</v>
      </c>
      <c r="Y36" s="208">
        <f t="shared" si="22"/>
        <v>0.21</v>
      </c>
      <c r="Z36" s="208">
        <f t="shared" si="22"/>
        <v>0.21</v>
      </c>
      <c r="AA36" s="208">
        <f t="shared" si="22"/>
        <v>0.21</v>
      </c>
      <c r="AB36" s="208">
        <f t="shared" si="22"/>
        <v>0.21</v>
      </c>
      <c r="AC36" s="208">
        <f t="shared" si="22"/>
        <v>0.21</v>
      </c>
      <c r="AD36" s="208">
        <f t="shared" si="22"/>
        <v>0.21</v>
      </c>
      <c r="AE36" s="208">
        <f t="shared" si="22"/>
        <v>0.21</v>
      </c>
      <c r="AF36" s="208">
        <f t="shared" si="22"/>
        <v>0.21</v>
      </c>
      <c r="AG36" s="208">
        <f t="shared" si="22"/>
        <v>0.21</v>
      </c>
      <c r="AH36" s="208">
        <f t="shared" si="22"/>
        <v>0.21</v>
      </c>
      <c r="AI36" s="208">
        <f t="shared" si="22"/>
        <v>0.21</v>
      </c>
      <c r="AJ36" s="208">
        <f t="shared" si="22"/>
        <v>0.21</v>
      </c>
      <c r="AK36" s="208">
        <f t="shared" si="22"/>
        <v>0.21</v>
      </c>
      <c r="AL36" s="208">
        <f t="shared" si="22"/>
        <v>0.21</v>
      </c>
      <c r="AM36" s="208">
        <f t="shared" si="22"/>
        <v>0.21</v>
      </c>
      <c r="AN36" s="208">
        <f t="shared" si="22"/>
        <v>0.21</v>
      </c>
      <c r="AO36" s="208">
        <f t="shared" si="22"/>
        <v>0.21</v>
      </c>
      <c r="AP36" s="208">
        <f t="shared" si="22"/>
        <v>0.21</v>
      </c>
      <c r="AQ36" s="208">
        <f t="shared" si="22"/>
        <v>0.21</v>
      </c>
      <c r="AR36" s="208">
        <f t="shared" si="22"/>
        <v>0.21</v>
      </c>
      <c r="AS36" s="208">
        <f t="shared" si="22"/>
        <v>0.21</v>
      </c>
      <c r="AT36" s="208">
        <f t="shared" si="22"/>
        <v>0.21</v>
      </c>
      <c r="AU36" s="208">
        <f t="shared" si="22"/>
        <v>0.21</v>
      </c>
      <c r="AV36" s="208">
        <f t="shared" si="22"/>
        <v>0.21</v>
      </c>
      <c r="AW36" s="208">
        <f t="shared" si="22"/>
        <v>0.21</v>
      </c>
      <c r="AX36" s="208">
        <f t="shared" si="22"/>
        <v>0.21</v>
      </c>
      <c r="AY36" s="208">
        <f t="shared" si="22"/>
        <v>0.21</v>
      </c>
      <c r="AZ36" s="208">
        <f t="shared" si="22"/>
        <v>0.21</v>
      </c>
      <c r="BB36" s="208"/>
    </row>
    <row r="37" ht="15.0" customHeight="1">
      <c r="A37" s="535" t="s">
        <v>114</v>
      </c>
      <c r="B37" s="177">
        <f t="shared" ref="B37:U37" si="23">C37/(1+B50)</f>
        <v>0.5672663151</v>
      </c>
      <c r="C37" s="177">
        <f t="shared" si="23"/>
        <v>0.5672663151</v>
      </c>
      <c r="D37" s="177">
        <f t="shared" si="23"/>
        <v>0.5672663151</v>
      </c>
      <c r="E37" s="177">
        <f t="shared" si="23"/>
        <v>0.5672663151</v>
      </c>
      <c r="F37" s="177">
        <f t="shared" si="23"/>
        <v>0.5672663151</v>
      </c>
      <c r="G37" s="177">
        <f t="shared" si="23"/>
        <v>0.5769046428</v>
      </c>
      <c r="H37" s="177">
        <f t="shared" si="23"/>
        <v>0.5945742015</v>
      </c>
      <c r="I37" s="177">
        <f t="shared" si="23"/>
        <v>0.6265094691</v>
      </c>
      <c r="J37" s="177">
        <f t="shared" si="23"/>
        <v>0.6423017657</v>
      </c>
      <c r="K37" s="177">
        <f t="shared" si="23"/>
        <v>0.6679694251</v>
      </c>
      <c r="L37" s="177">
        <f t="shared" si="23"/>
        <v>0.6809241194</v>
      </c>
      <c r="M37" s="177">
        <f t="shared" si="23"/>
        <v>0.694053944</v>
      </c>
      <c r="N37" s="177">
        <f t="shared" si="23"/>
        <v>0.7096092554</v>
      </c>
      <c r="O37" s="177">
        <f t="shared" si="23"/>
        <v>0.7163119138</v>
      </c>
      <c r="P37" s="177">
        <f t="shared" si="23"/>
        <v>0.7253598957</v>
      </c>
      <c r="Q37" s="177">
        <f t="shared" si="23"/>
        <v>0.75061695</v>
      </c>
      <c r="R37" s="177">
        <f t="shared" si="23"/>
        <v>0.7627832207</v>
      </c>
      <c r="S37" s="177">
        <f t="shared" si="23"/>
        <v>0.7546830188</v>
      </c>
      <c r="T37" s="177">
        <f t="shared" si="23"/>
        <v>0.7842933183</v>
      </c>
      <c r="U37" s="177">
        <f t="shared" si="23"/>
        <v>0.7941999967</v>
      </c>
      <c r="V37" s="715">
        <v>0.81</v>
      </c>
      <c r="W37" s="177">
        <f t="shared" ref="W37:AZ37" si="24">V37*(1+V50)</f>
        <v>0.8261143323</v>
      </c>
      <c r="X37" s="177">
        <f t="shared" si="24"/>
        <v>0.8425492469</v>
      </c>
      <c r="Y37" s="177">
        <f t="shared" si="24"/>
        <v>0.8593111216</v>
      </c>
      <c r="Z37" s="177">
        <f t="shared" si="24"/>
        <v>0.8764064611</v>
      </c>
      <c r="AA37" s="177">
        <f t="shared" si="24"/>
        <v>0.8938418992</v>
      </c>
      <c r="AB37" s="177">
        <f t="shared" si="24"/>
        <v>0.9116242022</v>
      </c>
      <c r="AC37" s="177">
        <f t="shared" si="24"/>
        <v>0.9297602705</v>
      </c>
      <c r="AD37" s="177">
        <f t="shared" si="24"/>
        <v>0.948257142</v>
      </c>
      <c r="AE37" s="177">
        <f t="shared" si="24"/>
        <v>0.9671219947</v>
      </c>
      <c r="AF37" s="177">
        <f t="shared" si="24"/>
        <v>0.9863621492</v>
      </c>
      <c r="AG37" s="177">
        <f t="shared" si="24"/>
        <v>1.005985072</v>
      </c>
      <c r="AH37" s="177">
        <f t="shared" si="24"/>
        <v>1.025998378</v>
      </c>
      <c r="AI37" s="177">
        <f t="shared" si="24"/>
        <v>1.046409833</v>
      </c>
      <c r="AJ37" s="177">
        <f t="shared" si="24"/>
        <v>1.067227359</v>
      </c>
      <c r="AK37" s="177">
        <f t="shared" si="24"/>
        <v>1.088459033</v>
      </c>
      <c r="AL37" s="177">
        <f t="shared" si="24"/>
        <v>1.110113095</v>
      </c>
      <c r="AM37" s="177">
        <f t="shared" si="24"/>
        <v>1.132197949</v>
      </c>
      <c r="AN37" s="177">
        <f t="shared" si="24"/>
        <v>1.154722164</v>
      </c>
      <c r="AO37" s="177">
        <f t="shared" si="24"/>
        <v>1.17769448</v>
      </c>
      <c r="AP37" s="177">
        <f t="shared" si="24"/>
        <v>1.201123814</v>
      </c>
      <c r="AQ37" s="177">
        <f t="shared" si="24"/>
        <v>1.225019256</v>
      </c>
      <c r="AR37" s="177">
        <f t="shared" si="24"/>
        <v>1.24939008</v>
      </c>
      <c r="AS37" s="177">
        <f t="shared" si="24"/>
        <v>1.274245743</v>
      </c>
      <c r="AT37" s="177">
        <f t="shared" si="24"/>
        <v>1.29959589</v>
      </c>
      <c r="AU37" s="177">
        <f t="shared" si="24"/>
        <v>1.325450359</v>
      </c>
      <c r="AV37" s="177">
        <f t="shared" si="24"/>
        <v>1.351819184</v>
      </c>
      <c r="AW37" s="177">
        <f t="shared" si="24"/>
        <v>1.378712595</v>
      </c>
      <c r="AX37" s="177">
        <f t="shared" si="24"/>
        <v>1.406141031</v>
      </c>
      <c r="AY37" s="177">
        <f t="shared" si="24"/>
        <v>1.434115134</v>
      </c>
      <c r="AZ37" s="177">
        <f t="shared" si="24"/>
        <v>1.462645761</v>
      </c>
      <c r="BB37" s="177"/>
    </row>
    <row r="38" ht="15.0" customHeight="1">
      <c r="A38" s="535" t="s">
        <v>116</v>
      </c>
      <c r="B38" s="535"/>
      <c r="C38" s="535"/>
      <c r="D38" s="535"/>
      <c r="E38" s="535"/>
      <c r="F38" s="535"/>
      <c r="G38" s="535"/>
      <c r="H38" s="535"/>
      <c r="I38" s="535"/>
      <c r="J38" s="535"/>
      <c r="K38" s="535"/>
      <c r="L38" s="535"/>
      <c r="M38" s="535"/>
      <c r="N38" s="535"/>
      <c r="O38" s="535"/>
      <c r="P38" s="535"/>
      <c r="Q38" s="535"/>
      <c r="R38" s="535"/>
      <c r="S38" s="535"/>
      <c r="T38" s="535"/>
      <c r="U38" s="535"/>
      <c r="V38" s="712">
        <v>50.0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119</v>
      </c>
      <c r="B39" s="535"/>
      <c r="C39" s="535"/>
      <c r="D39" s="535"/>
      <c r="E39" s="535"/>
      <c r="F39" s="535"/>
      <c r="G39" s="535"/>
      <c r="H39" s="535"/>
      <c r="I39" s="535"/>
      <c r="J39" s="535"/>
      <c r="K39" s="535"/>
      <c r="L39" s="535"/>
      <c r="M39" s="535"/>
      <c r="N39" s="535"/>
      <c r="O39" s="535"/>
      <c r="P39" s="535"/>
      <c r="Q39" s="535"/>
      <c r="R39" s="535"/>
      <c r="S39" s="535"/>
      <c r="T39" s="535"/>
      <c r="U39" s="535"/>
      <c r="V39" s="712">
        <v>61.0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121</v>
      </c>
      <c r="B40" s="535"/>
      <c r="C40" s="535"/>
      <c r="D40" s="535"/>
      <c r="E40" s="535"/>
      <c r="F40" s="535"/>
      <c r="G40" s="535"/>
      <c r="H40" s="535"/>
      <c r="I40" s="535"/>
      <c r="J40" s="535"/>
      <c r="K40" s="535"/>
      <c r="L40" s="535"/>
      <c r="M40" s="535"/>
      <c r="N40" s="535"/>
      <c r="O40" s="535"/>
      <c r="P40" s="535"/>
      <c r="Q40" s="535"/>
      <c r="R40" s="535"/>
      <c r="S40" s="535"/>
      <c r="T40" s="535"/>
      <c r="U40" s="535"/>
      <c r="V40" s="712">
        <v>47.0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122</v>
      </c>
      <c r="B41" s="535"/>
      <c r="C41" s="535"/>
      <c r="D41" s="535"/>
      <c r="E41" s="535"/>
      <c r="F41" s="535"/>
      <c r="G41" s="535"/>
      <c r="H41" s="535"/>
      <c r="I41" s="535"/>
      <c r="J41" s="535"/>
      <c r="K41" s="535"/>
      <c r="L41" s="535"/>
      <c r="M41" s="535"/>
      <c r="N41" s="535"/>
      <c r="O41" s="535"/>
      <c r="P41" s="535"/>
      <c r="Q41" s="535"/>
      <c r="R41" s="535"/>
      <c r="S41" s="535"/>
      <c r="T41" s="535"/>
      <c r="U41" s="535"/>
      <c r="V41" s="712">
        <v>40.0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174" t="s">
        <v>123</v>
      </c>
      <c r="B42" s="174"/>
      <c r="C42" s="174"/>
      <c r="D42" s="174"/>
      <c r="E42" s="174"/>
      <c r="F42" s="174"/>
      <c r="G42" s="174"/>
      <c r="H42" s="174"/>
      <c r="I42" s="174"/>
      <c r="J42" s="174"/>
      <c r="K42" s="174"/>
      <c r="L42" s="174"/>
      <c r="M42" s="174"/>
      <c r="N42" s="174"/>
      <c r="O42" s="174"/>
      <c r="P42" s="174"/>
      <c r="Q42" s="174"/>
      <c r="R42" s="174"/>
      <c r="S42" s="174"/>
      <c r="T42" s="174"/>
      <c r="U42" s="174"/>
      <c r="V42" s="705">
        <v>1500000.0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535" t="s">
        <v>126</v>
      </c>
      <c r="B43" s="730">
        <f>'Inflation GDP Population'!B2</f>
        <v>96.994687</v>
      </c>
      <c r="C43" s="730">
        <f>'Inflation GDP Population'!C2</f>
        <v>82.56180237</v>
      </c>
      <c r="D43" s="730">
        <f>'Inflation GDP Population'!D2</f>
        <v>92.42298883</v>
      </c>
      <c r="E43" s="730">
        <f>'Inflation GDP Population'!E2</f>
        <v>85.643903</v>
      </c>
      <c r="F43" s="730">
        <f>'Inflation GDP Population'!F2</f>
        <v>81.32479157</v>
      </c>
      <c r="G43" s="730">
        <f>'Inflation GDP Population'!G2</f>
        <v>82.28505158</v>
      </c>
      <c r="H43" s="730">
        <f>'Inflation GDP Population'!H2</f>
        <v>73.13235237</v>
      </c>
      <c r="I43" s="730">
        <f>'Inflation GDP Population'!I2</f>
        <v>75.17834992</v>
      </c>
      <c r="J43" s="730">
        <f>'Inflation GDP Population'!J2</f>
        <v>77.56686895</v>
      </c>
      <c r="K43" s="730">
        <f>'Inflation GDP Population'!K2</f>
        <v>67.39705426</v>
      </c>
      <c r="L43" s="730">
        <f>'Inflation GDP Population'!L2</f>
        <v>69.35926131</v>
      </c>
      <c r="M43" s="730">
        <f>'Inflation GDP Population'!M2</f>
        <v>69.14964738</v>
      </c>
      <c r="N43" s="730">
        <f>'Inflation GDP Population'!N2</f>
        <v>66.07741069</v>
      </c>
      <c r="O43" s="730">
        <f>'Inflation GDP Population'!O2</f>
        <v>68.66764955</v>
      </c>
      <c r="P43" s="730">
        <f>'Inflation GDP Population'!P2</f>
        <v>67.61337449</v>
      </c>
      <c r="Q43" s="730">
        <f>'Inflation GDP Population'!Q2</f>
        <v>63.51929276</v>
      </c>
      <c r="R43" s="730">
        <f>'Inflation GDP Population'!R2</f>
        <v>65.2</v>
      </c>
      <c r="S43" s="730">
        <f>'Inflation GDP Population'!S2</f>
        <v>62.54</v>
      </c>
      <c r="T43" s="730">
        <f>'Inflation GDP Population'!T2</f>
        <v>62.8</v>
      </c>
      <c r="U43" s="730">
        <f>'Inflation GDP Population'!U2</f>
        <v>62.22</v>
      </c>
      <c r="V43" s="730">
        <f>'Inflation GDP Population'!V2</f>
        <v>63.24546</v>
      </c>
      <c r="W43" s="730">
        <f>'Inflation GDP Population'!W2</f>
        <v>62.18788</v>
      </c>
      <c r="X43" s="730">
        <f>'Inflation GDP Population'!X2</f>
        <v>61.28391</v>
      </c>
      <c r="Y43" s="730">
        <f>'Inflation GDP Population'!Y2</f>
        <v>60.78271</v>
      </c>
      <c r="Z43" s="730">
        <f>'Inflation GDP Population'!Z2</f>
        <v>60.47005</v>
      </c>
      <c r="AA43" s="730">
        <f>'Inflation GDP Population'!AA2</f>
        <v>60.72605</v>
      </c>
      <c r="AB43" s="730">
        <f>'Inflation GDP Population'!AB2</f>
        <v>60.32351</v>
      </c>
      <c r="AC43" s="730">
        <f>'Inflation GDP Population'!AC2</f>
        <v>60.15475</v>
      </c>
      <c r="AD43" s="730">
        <f>'Inflation GDP Population'!AD2</f>
        <v>59.91858</v>
      </c>
      <c r="AE43" s="730">
        <f>'Inflation GDP Population'!AE2</f>
        <v>59.74736</v>
      </c>
      <c r="AF43" s="730">
        <f>'Inflation GDP Population'!AF2</f>
        <v>59.57172</v>
      </c>
      <c r="AG43" s="730">
        <f>'Inflation GDP Population'!AG2</f>
        <v>59.4622</v>
      </c>
      <c r="AH43" s="730">
        <f>'Inflation GDP Population'!AH2</f>
        <v>59.09818</v>
      </c>
      <c r="AI43" s="730">
        <f>'Inflation GDP Population'!AI2</f>
        <v>58.69071</v>
      </c>
      <c r="AJ43" s="730">
        <f>'Inflation GDP Population'!AJ2</f>
        <v>58.27968</v>
      </c>
      <c r="AK43" s="730">
        <f>'Inflation GDP Population'!AK2</f>
        <v>57.94539</v>
      </c>
      <c r="AL43" s="730">
        <f>'Inflation GDP Population'!AL2</f>
        <v>57.82228</v>
      </c>
      <c r="AM43" s="730">
        <f>'Inflation GDP Population'!AM2</f>
        <v>57.6393</v>
      </c>
      <c r="AN43" s="730">
        <f>'Inflation GDP Population'!AN2</f>
        <v>57.61822</v>
      </c>
      <c r="AO43" s="730">
        <f>'Inflation GDP Population'!AO2</f>
        <v>57.58316</v>
      </c>
      <c r="AP43" s="730">
        <f>'Inflation GDP Population'!AP2</f>
        <v>57.42865</v>
      </c>
      <c r="AQ43" s="730">
        <f>'Inflation GDP Population'!AQ2</f>
        <v>57.21256</v>
      </c>
      <c r="AR43" s="730">
        <f>'Inflation GDP Population'!AR2</f>
        <v>56.95737</v>
      </c>
      <c r="AS43" s="730">
        <f>'Inflation GDP Population'!AS2</f>
        <v>56.72602</v>
      </c>
      <c r="AT43" s="730">
        <f>'Inflation GDP Population'!AT2</f>
        <v>56.5327</v>
      </c>
      <c r="AU43" s="730">
        <f>'Inflation GDP Population'!AU2</f>
        <v>56.32994</v>
      </c>
      <c r="AV43" s="730">
        <f>'Inflation GDP Population'!AV2</f>
        <v>56.00807</v>
      </c>
      <c r="AW43" s="730">
        <f>'Inflation GDP Population'!AW2</f>
        <v>55.85328</v>
      </c>
      <c r="AX43" s="730">
        <f>'Inflation GDP Population'!AX2</f>
        <v>56.44464</v>
      </c>
      <c r="AY43" s="730">
        <f>'Inflation GDP Population'!AY2</f>
        <v>56.52391</v>
      </c>
      <c r="AZ43" s="730">
        <f>'Inflation GDP Population'!AZ2</f>
        <v>56.24409</v>
      </c>
      <c r="BA43" s="730" t="str">
        <f>'Inflation GDP Population'!BA2</f>
        <v/>
      </c>
      <c r="BB43" s="730"/>
    </row>
    <row r="44" ht="15.0" customHeight="1">
      <c r="A44" s="535" t="s">
        <v>128</v>
      </c>
      <c r="B44" s="730">
        <f>'Inflation GDP Population'!B3</f>
        <v>66.9366</v>
      </c>
      <c r="C44" s="730">
        <f>'Inflation GDP Population'!C3</f>
        <v>68.5627</v>
      </c>
      <c r="D44" s="730">
        <f>'Inflation GDP Population'!D3</f>
        <v>61.9876</v>
      </c>
      <c r="E44" s="730">
        <f>'Inflation GDP Population'!E3</f>
        <v>75.3499</v>
      </c>
      <c r="F44" s="730">
        <f>'Inflation GDP Population'!F3</f>
        <v>79.1677</v>
      </c>
      <c r="G44" s="730">
        <f>'Inflation GDP Population'!G3</f>
        <v>95.8529</v>
      </c>
      <c r="H44" s="730">
        <f>'Inflation GDP Population'!H3</f>
        <v>86.2377</v>
      </c>
      <c r="I44" s="730">
        <f>'Inflation GDP Population'!I3</f>
        <v>87.6517</v>
      </c>
      <c r="J44" s="730">
        <f>'Inflation GDP Population'!J3</f>
        <v>101.4382</v>
      </c>
      <c r="K44" s="730">
        <f>'Inflation GDP Population'!K3</f>
        <v>70.8251</v>
      </c>
      <c r="L44" s="730">
        <f>'Inflation GDP Population'!L3</f>
        <v>73.2289</v>
      </c>
      <c r="M44" s="730">
        <f>'Inflation GDP Population'!M3</f>
        <v>70.5423</v>
      </c>
      <c r="N44" s="730">
        <f>'Inflation GDP Population'!N3</f>
        <v>60.9978</v>
      </c>
      <c r="O44" s="730">
        <f>'Inflation GDP Population'!O3</f>
        <v>67.7143</v>
      </c>
      <c r="P44" s="730">
        <f>'Inflation GDP Population'!P3</f>
        <v>72.6633</v>
      </c>
      <c r="Q44" s="730">
        <f>'Inflation GDP Population'!Q3</f>
        <v>59.8666</v>
      </c>
      <c r="R44" s="730">
        <f>'Inflation GDP Population'!R3</f>
        <v>64.07</v>
      </c>
      <c r="S44" s="730">
        <f>'Inflation GDP Population'!S3</f>
        <v>62.54</v>
      </c>
      <c r="T44" s="730">
        <f>'Inflation GDP Population'!T3</f>
        <v>64.2</v>
      </c>
      <c r="U44" s="730">
        <f>'Inflation GDP Population'!U3</f>
        <v>65.09</v>
      </c>
      <c r="V44" s="730">
        <f>'Inflation GDP Population'!V3</f>
        <v>67.89328</v>
      </c>
      <c r="W44" s="730">
        <f>'Inflation GDP Population'!W3</f>
        <v>68.40823</v>
      </c>
      <c r="X44" s="730">
        <f>'Inflation GDP Population'!X3</f>
        <v>69.03984</v>
      </c>
      <c r="Y44" s="730">
        <f>'Inflation GDP Population'!Y3</f>
        <v>70.16593</v>
      </c>
      <c r="Z44" s="730">
        <f>'Inflation GDP Population'!Z3</f>
        <v>71.49954</v>
      </c>
      <c r="AA44" s="730">
        <f>'Inflation GDP Population'!AA3</f>
        <v>73.51659</v>
      </c>
      <c r="AB44" s="730">
        <f>'Inflation GDP Population'!AB3</f>
        <v>74.70362</v>
      </c>
      <c r="AC44" s="730">
        <f>'Inflation GDP Population'!AC3</f>
        <v>76.17161</v>
      </c>
      <c r="AD44" s="730">
        <f>'Inflation GDP Population'!AD3</f>
        <v>77.50948</v>
      </c>
      <c r="AE44" s="730">
        <f>'Inflation GDP Population'!AE3</f>
        <v>78.93703</v>
      </c>
      <c r="AF44" s="730">
        <f>'Inflation GDP Population'!AF3</f>
        <v>80.39476</v>
      </c>
      <c r="AG44" s="730">
        <f>'Inflation GDP Population'!AG3</f>
        <v>81.99922</v>
      </c>
      <c r="AH44" s="730">
        <f>'Inflation GDP Population'!AH3</f>
        <v>83.28815</v>
      </c>
      <c r="AI44" s="730">
        <f>'Inflation GDP Population'!AI3</f>
        <v>84.55218</v>
      </c>
      <c r="AJ44" s="730">
        <f>'Inflation GDP Population'!AJ3</f>
        <v>85.84256</v>
      </c>
      <c r="AK44" s="730">
        <f>'Inflation GDP Population'!AK3</f>
        <v>87.2825</v>
      </c>
      <c r="AL44" s="730">
        <f>'Inflation GDP Population'!AL3</f>
        <v>89.09156</v>
      </c>
      <c r="AM44" s="730">
        <f>'Inflation GDP Population'!AM3</f>
        <v>90.84511</v>
      </c>
      <c r="AN44" s="730">
        <f>'Inflation GDP Population'!AN3</f>
        <v>92.88487</v>
      </c>
      <c r="AO44" s="730">
        <f>'Inflation GDP Population'!AO3</f>
        <v>94.96038</v>
      </c>
      <c r="AP44" s="730">
        <f>'Inflation GDP Population'!AP3</f>
        <v>96.89805</v>
      </c>
      <c r="AQ44" s="730">
        <f>'Inflation GDP Population'!AQ3</f>
        <v>98.79292</v>
      </c>
      <c r="AR44" s="730">
        <f>'Inflation GDP Population'!AR3</f>
        <v>100.67492</v>
      </c>
      <c r="AS44" s="730">
        <f>'Inflation GDP Population'!AS3</f>
        <v>102.66981</v>
      </c>
      <c r="AT44" s="730">
        <f>'Inflation GDP Population'!AT3</f>
        <v>104.79814</v>
      </c>
      <c r="AU44" s="730">
        <f>'Inflation GDP Population'!AU3</f>
        <v>106.98113</v>
      </c>
      <c r="AV44" s="730">
        <f>'Inflation GDP Population'!AV3</f>
        <v>108.97938</v>
      </c>
      <c r="AW44" s="730">
        <f>'Inflation GDP Population'!AW3</f>
        <v>111.37462</v>
      </c>
      <c r="AX44" s="730">
        <f>'Inflation GDP Population'!AX3</f>
        <v>115.38931</v>
      </c>
      <c r="AY44" s="730">
        <f>'Inflation GDP Population'!AY3</f>
        <v>118.463</v>
      </c>
      <c r="AZ44" s="730">
        <f>'Inflation GDP Population'!AZ3</f>
        <v>120.87941</v>
      </c>
      <c r="BA44" s="730" t="str">
        <f>'Inflation GDP Population'!BA3</f>
        <v/>
      </c>
      <c r="BB44" s="730"/>
    </row>
    <row r="45" ht="15.0" customHeight="1">
      <c r="A45" s="535" t="s">
        <v>465</v>
      </c>
      <c r="B45" s="730">
        <f>'Inflation GDP Population'!B6</f>
        <v>249.4238174</v>
      </c>
      <c r="C45" s="730">
        <f>'Inflation GDP Population'!C6</f>
        <v>249.4238174</v>
      </c>
      <c r="D45" s="730">
        <f>'Inflation GDP Population'!D6</f>
        <v>212.30936</v>
      </c>
      <c r="E45" s="730">
        <f>'Inflation GDP Population'!E6</f>
        <v>237.6676023</v>
      </c>
      <c r="F45" s="730">
        <f>'Inflation GDP Population'!F6</f>
        <v>220.2350447</v>
      </c>
      <c r="G45" s="730">
        <f>'Inflation GDP Population'!G6</f>
        <v>209.1283615</v>
      </c>
      <c r="H45" s="730">
        <f>'Inflation GDP Population'!H6</f>
        <v>211.5976897</v>
      </c>
      <c r="I45" s="730">
        <f>'Inflation GDP Population'!I6</f>
        <v>188.0613369</v>
      </c>
      <c r="J45" s="730">
        <f>'Inflation GDP Population'!J6</f>
        <v>193.3226613</v>
      </c>
      <c r="K45" s="730">
        <f>'Inflation GDP Population'!K6</f>
        <v>199.4647867</v>
      </c>
      <c r="L45" s="730">
        <f>'Inflation GDP Population'!L6</f>
        <v>173.3129007</v>
      </c>
      <c r="M45" s="730">
        <f>'Inflation GDP Population'!M6</f>
        <v>178.3587562</v>
      </c>
      <c r="N45" s="730">
        <f>'Inflation GDP Population'!N6</f>
        <v>177.8197297</v>
      </c>
      <c r="O45" s="730">
        <f>'Inflation GDP Population'!O6</f>
        <v>169.9194103</v>
      </c>
      <c r="P45" s="730">
        <f>'Inflation GDP Population'!P6</f>
        <v>176.5802624</v>
      </c>
      <c r="Q45" s="730">
        <f>'Inflation GDP Population'!Q6</f>
        <v>173.8691726</v>
      </c>
      <c r="R45" s="730">
        <f>'Inflation GDP Population'!R6</f>
        <v>163.3411578</v>
      </c>
      <c r="S45" s="730">
        <f>'Inflation GDP Population'!S6</f>
        <v>167.6631308</v>
      </c>
      <c r="T45" s="730">
        <f>'Inflation GDP Population'!T6</f>
        <v>160.8228865</v>
      </c>
      <c r="U45" s="730">
        <f>'Inflation GDP Population'!U6</f>
        <v>161.4914818</v>
      </c>
      <c r="V45" s="730">
        <f>'Inflation GDP Population'!V6</f>
        <v>160</v>
      </c>
      <c r="W45" s="730">
        <f>'Inflation GDP Population'!W6</f>
        <v>157.3245068</v>
      </c>
      <c r="X45" s="730">
        <f>'Inflation GDP Population'!X6</f>
        <v>155.0376201</v>
      </c>
      <c r="Y45" s="730">
        <f>'Inflation GDP Population'!Y6</f>
        <v>153.7696714</v>
      </c>
      <c r="Z45" s="730">
        <f>'Inflation GDP Population'!Z6</f>
        <v>152.978696</v>
      </c>
      <c r="AA45" s="730">
        <f>'Inflation GDP Population'!AA6</f>
        <v>153.6263314</v>
      </c>
      <c r="AB45" s="730">
        <f>'Inflation GDP Population'!AB6</f>
        <v>152.6079753</v>
      </c>
      <c r="AC45" s="730">
        <f>'Inflation GDP Population'!AC6</f>
        <v>152.1810419</v>
      </c>
      <c r="AD45" s="730">
        <f>'Inflation GDP Population'!AD6</f>
        <v>151.583573</v>
      </c>
      <c r="AE45" s="730">
        <f>'Inflation GDP Population'!AE6</f>
        <v>151.1504162</v>
      </c>
      <c r="AF45" s="730">
        <f>'Inflation GDP Population'!AF6</f>
        <v>150.7060776</v>
      </c>
      <c r="AG45" s="730">
        <f>'Inflation GDP Population'!AG6</f>
        <v>150.429011</v>
      </c>
      <c r="AH45" s="730">
        <f>'Inflation GDP Population'!AH6</f>
        <v>149.5081038</v>
      </c>
      <c r="AI45" s="730">
        <f>'Inflation GDP Population'!AI6</f>
        <v>148.4772757</v>
      </c>
      <c r="AJ45" s="730">
        <f>'Inflation GDP Population'!AJ6</f>
        <v>147.4374414</v>
      </c>
      <c r="AK45" s="730">
        <f>'Inflation GDP Population'!AK6</f>
        <v>146.5917459</v>
      </c>
      <c r="AL45" s="730">
        <f>'Inflation GDP Population'!AL6</f>
        <v>146.280299</v>
      </c>
      <c r="AM45" s="730">
        <f>'Inflation GDP Population'!AM6</f>
        <v>145.8173915</v>
      </c>
      <c r="AN45" s="730">
        <f>'Inflation GDP Population'!AN6</f>
        <v>145.7640627</v>
      </c>
      <c r="AO45" s="730">
        <f>'Inflation GDP Population'!AO6</f>
        <v>145.6753671</v>
      </c>
      <c r="AP45" s="730">
        <f>'Inflation GDP Population'!AP6</f>
        <v>145.2844837</v>
      </c>
      <c r="AQ45" s="730">
        <f>'Inflation GDP Population'!AQ6</f>
        <v>144.7378136</v>
      </c>
      <c r="AR45" s="730">
        <f>'Inflation GDP Population'!AR6</f>
        <v>144.0922273</v>
      </c>
      <c r="AS45" s="730">
        <f>'Inflation GDP Population'!AS6</f>
        <v>143.5069521</v>
      </c>
      <c r="AT45" s="730">
        <f>'Inflation GDP Population'!AT6</f>
        <v>143.0178862</v>
      </c>
      <c r="AU45" s="730">
        <f>'Inflation GDP Population'!AU6</f>
        <v>142.5049387</v>
      </c>
      <c r="AV45" s="730">
        <f>'Inflation GDP Population'!AV6</f>
        <v>141.6906636</v>
      </c>
      <c r="AW45" s="730">
        <f>'Inflation GDP Population'!AW6</f>
        <v>141.2990719</v>
      </c>
      <c r="AX45" s="730">
        <f>'Inflation GDP Population'!AX6</f>
        <v>142.7951097</v>
      </c>
      <c r="AY45" s="730">
        <f>'Inflation GDP Population'!AY6</f>
        <v>142.995649</v>
      </c>
      <c r="AZ45" s="730">
        <f>'Inflation GDP Population'!AZ6</f>
        <v>142.2877531</v>
      </c>
      <c r="BA45" s="730" t="str">
        <f>'Inflation GDP Population'!BA6</f>
        <v/>
      </c>
      <c r="BB45" s="730"/>
    </row>
    <row r="46" ht="15.0" customHeight="1">
      <c r="A46" s="535" t="s">
        <v>130</v>
      </c>
      <c r="B46" s="730">
        <f>'Inflation GDP Population'!B7</f>
        <v>164.5391919</v>
      </c>
      <c r="C46" s="730">
        <f>'Inflation GDP Population'!C7</f>
        <v>164.5391919</v>
      </c>
      <c r="D46" s="730">
        <f>'Inflation GDP Population'!D7</f>
        <v>168.536365</v>
      </c>
      <c r="E46" s="730">
        <f>'Inflation GDP Population'!E7</f>
        <v>152.3738823</v>
      </c>
      <c r="F46" s="730">
        <f>'Inflation GDP Population'!F7</f>
        <v>185.2202182</v>
      </c>
      <c r="G46" s="730">
        <f>'Inflation GDP Population'!G7</f>
        <v>194.6048855</v>
      </c>
      <c r="H46" s="730">
        <f>'Inflation GDP Population'!H7</f>
        <v>235.6193578</v>
      </c>
      <c r="I46" s="730">
        <f>'Inflation GDP Population'!I7</f>
        <v>211.9838992</v>
      </c>
      <c r="J46" s="730">
        <f>'Inflation GDP Population'!J7</f>
        <v>215.459702</v>
      </c>
      <c r="K46" s="730">
        <f>'Inflation GDP Population'!K7</f>
        <v>249.3487786</v>
      </c>
      <c r="L46" s="730">
        <f>'Inflation GDP Population'!L7</f>
        <v>174.0976494</v>
      </c>
      <c r="M46" s="730">
        <f>'Inflation GDP Population'!M7</f>
        <v>180.0065141</v>
      </c>
      <c r="N46" s="730">
        <f>'Inflation GDP Population'!N7</f>
        <v>173.4024889</v>
      </c>
      <c r="O46" s="730">
        <f>'Inflation GDP Population'!O7</f>
        <v>149.9408204</v>
      </c>
      <c r="P46" s="730">
        <f>'Inflation GDP Population'!P7</f>
        <v>166.4508834</v>
      </c>
      <c r="Q46" s="730">
        <f>'Inflation GDP Population'!Q7</f>
        <v>178.616193</v>
      </c>
      <c r="R46" s="730">
        <f>'Inflation GDP Population'!R7</f>
        <v>147.1601782</v>
      </c>
      <c r="S46" s="730">
        <f>'Inflation GDP Population'!S7</f>
        <v>157.4927024</v>
      </c>
      <c r="T46" s="730">
        <f>'Inflation GDP Population'!T7</f>
        <v>153.731756</v>
      </c>
      <c r="U46" s="730">
        <f>'Inflation GDP Population'!U7</f>
        <v>157.8122599</v>
      </c>
      <c r="V46" s="730">
        <f>'Inflation GDP Population'!V7</f>
        <v>160</v>
      </c>
      <c r="W46" s="730">
        <f>'Inflation GDP Population'!W7</f>
        <v>161.2135516</v>
      </c>
      <c r="X46" s="730">
        <f>'Inflation GDP Population'!X7</f>
        <v>162.7020288</v>
      </c>
      <c r="Y46" s="730">
        <f>'Inflation GDP Population'!Y7</f>
        <v>165.3558172</v>
      </c>
      <c r="Z46" s="730">
        <f>'Inflation GDP Population'!Z7</f>
        <v>168.4986555</v>
      </c>
      <c r="AA46" s="730">
        <f>'Inflation GDP Population'!AA7</f>
        <v>173.2521157</v>
      </c>
      <c r="AB46" s="730">
        <f>'Inflation GDP Population'!AB7</f>
        <v>176.0495177</v>
      </c>
      <c r="AC46" s="730">
        <f>'Inflation GDP Population'!AC7</f>
        <v>179.5090412</v>
      </c>
      <c r="AD46" s="730">
        <f>'Inflation GDP Population'!AD7</f>
        <v>182.6619188</v>
      </c>
      <c r="AE46" s="730">
        <f>'Inflation GDP Population'!AE7</f>
        <v>186.0261398</v>
      </c>
      <c r="AF46" s="730">
        <f>'Inflation GDP Population'!AF7</f>
        <v>189.4614843</v>
      </c>
      <c r="AG46" s="730">
        <f>'Inflation GDP Population'!AG7</f>
        <v>193.2426184</v>
      </c>
      <c r="AH46" s="730">
        <f>'Inflation GDP Population'!AH7</f>
        <v>196.280162</v>
      </c>
      <c r="AI46" s="730">
        <f>'Inflation GDP Population'!AI7</f>
        <v>199.2590253</v>
      </c>
      <c r="AJ46" s="730">
        <f>'Inflation GDP Population'!AJ7</f>
        <v>202.2999861</v>
      </c>
      <c r="AK46" s="730">
        <f>'Inflation GDP Population'!AK7</f>
        <v>205.6934059</v>
      </c>
      <c r="AL46" s="730">
        <f>'Inflation GDP Population'!AL7</f>
        <v>209.9567085</v>
      </c>
      <c r="AM46" s="730">
        <f>'Inflation GDP Population'!AM7</f>
        <v>214.0891941</v>
      </c>
      <c r="AN46" s="730">
        <f>'Inflation GDP Population'!AN7</f>
        <v>218.8961735</v>
      </c>
      <c r="AO46" s="730">
        <f>'Inflation GDP Population'!AO7</f>
        <v>223.7874028</v>
      </c>
      <c r="AP46" s="730">
        <f>'Inflation GDP Population'!AP7</f>
        <v>228.3537929</v>
      </c>
      <c r="AQ46" s="730">
        <f>'Inflation GDP Population'!AQ7</f>
        <v>232.8193188</v>
      </c>
      <c r="AR46" s="730">
        <f>'Inflation GDP Population'!AR7</f>
        <v>237.2545147</v>
      </c>
      <c r="AS46" s="730">
        <f>'Inflation GDP Population'!AS7</f>
        <v>241.9557517</v>
      </c>
      <c r="AT46" s="730">
        <f>'Inflation GDP Population'!AT7</f>
        <v>246.9714587</v>
      </c>
      <c r="AU46" s="730">
        <f>'Inflation GDP Population'!AU7</f>
        <v>252.1159797</v>
      </c>
      <c r="AV46" s="730">
        <f>'Inflation GDP Population'!AV7</f>
        <v>256.825135</v>
      </c>
      <c r="AW46" s="730">
        <f>'Inflation GDP Population'!AW7</f>
        <v>262.4698527</v>
      </c>
      <c r="AX46" s="730">
        <f>'Inflation GDP Population'!AX7</f>
        <v>271.9310306</v>
      </c>
      <c r="AY46" s="730">
        <f>'Inflation GDP Population'!AY7</f>
        <v>279.1746105</v>
      </c>
      <c r="AZ46" s="730">
        <f>'Inflation GDP Population'!AZ7</f>
        <v>284.8692183</v>
      </c>
      <c r="BA46" s="730" t="str">
        <f>'Inflation GDP Population'!BA7</f>
        <v/>
      </c>
      <c r="BB46" s="730"/>
    </row>
    <row r="47" ht="15.0" customHeight="1">
      <c r="A47" s="535" t="s">
        <v>1008</v>
      </c>
      <c r="B47" s="546">
        <v>0.0</v>
      </c>
      <c r="C47" s="546">
        <v>0.0</v>
      </c>
      <c r="D47" s="546">
        <v>0.0</v>
      </c>
      <c r="E47" s="546">
        <v>0.0</v>
      </c>
      <c r="F47" s="546">
        <v>0.0</v>
      </c>
      <c r="G47" s="546">
        <v>0.0</v>
      </c>
      <c r="H47" s="546">
        <v>0.0</v>
      </c>
      <c r="I47" s="731">
        <f t="shared" ref="I47:U47" si="25">J47</f>
        <v>0.47</v>
      </c>
      <c r="J47" s="731">
        <f t="shared" si="25"/>
        <v>0.47</v>
      </c>
      <c r="K47" s="731">
        <f t="shared" si="25"/>
        <v>0.47</v>
      </c>
      <c r="L47" s="731">
        <f t="shared" si="25"/>
        <v>0.47</v>
      </c>
      <c r="M47" s="731">
        <f t="shared" si="25"/>
        <v>0.47</v>
      </c>
      <c r="N47" s="731">
        <f t="shared" si="25"/>
        <v>0.47</v>
      </c>
      <c r="O47" s="731">
        <f t="shared" si="25"/>
        <v>0.47</v>
      </c>
      <c r="P47" s="731">
        <f t="shared" si="25"/>
        <v>0.47</v>
      </c>
      <c r="Q47" s="731">
        <f t="shared" si="25"/>
        <v>0.47</v>
      </c>
      <c r="R47" s="731">
        <f t="shared" si="25"/>
        <v>0.47</v>
      </c>
      <c r="S47" s="731">
        <f t="shared" si="25"/>
        <v>0.47</v>
      </c>
      <c r="T47" s="731">
        <f t="shared" si="25"/>
        <v>0.47</v>
      </c>
      <c r="U47" s="731">
        <f t="shared" si="25"/>
        <v>0.47</v>
      </c>
      <c r="V47" s="547">
        <v>0.47</v>
      </c>
      <c r="W47" s="208">
        <f t="shared" ref="W47:AZ47" si="26">V47</f>
        <v>0.47</v>
      </c>
      <c r="X47" s="208">
        <f t="shared" si="26"/>
        <v>0.47</v>
      </c>
      <c r="Y47" s="208">
        <f t="shared" si="26"/>
        <v>0.47</v>
      </c>
      <c r="Z47" s="208">
        <f t="shared" si="26"/>
        <v>0.47</v>
      </c>
      <c r="AA47" s="208">
        <f t="shared" si="26"/>
        <v>0.47</v>
      </c>
      <c r="AB47" s="208">
        <f t="shared" si="26"/>
        <v>0.47</v>
      </c>
      <c r="AC47" s="208">
        <f t="shared" si="26"/>
        <v>0.47</v>
      </c>
      <c r="AD47" s="208">
        <f t="shared" si="26"/>
        <v>0.47</v>
      </c>
      <c r="AE47" s="208">
        <f t="shared" si="26"/>
        <v>0.47</v>
      </c>
      <c r="AF47" s="208">
        <f t="shared" si="26"/>
        <v>0.47</v>
      </c>
      <c r="AG47" s="208">
        <f t="shared" si="26"/>
        <v>0.47</v>
      </c>
      <c r="AH47" s="208">
        <f t="shared" si="26"/>
        <v>0.47</v>
      </c>
      <c r="AI47" s="208">
        <f t="shared" si="26"/>
        <v>0.47</v>
      </c>
      <c r="AJ47" s="208">
        <f t="shared" si="26"/>
        <v>0.47</v>
      </c>
      <c r="AK47" s="208">
        <f t="shared" si="26"/>
        <v>0.47</v>
      </c>
      <c r="AL47" s="208">
        <f t="shared" si="26"/>
        <v>0.47</v>
      </c>
      <c r="AM47" s="208">
        <f t="shared" si="26"/>
        <v>0.47</v>
      </c>
      <c r="AN47" s="208">
        <f t="shared" si="26"/>
        <v>0.47</v>
      </c>
      <c r="AO47" s="208">
        <f t="shared" si="26"/>
        <v>0.47</v>
      </c>
      <c r="AP47" s="208">
        <f t="shared" si="26"/>
        <v>0.47</v>
      </c>
      <c r="AQ47" s="208">
        <f t="shared" si="26"/>
        <v>0.47</v>
      </c>
      <c r="AR47" s="208">
        <f t="shared" si="26"/>
        <v>0.47</v>
      </c>
      <c r="AS47" s="208">
        <f t="shared" si="26"/>
        <v>0.47</v>
      </c>
      <c r="AT47" s="208">
        <f t="shared" si="26"/>
        <v>0.47</v>
      </c>
      <c r="AU47" s="208">
        <f t="shared" si="26"/>
        <v>0.47</v>
      </c>
      <c r="AV47" s="208">
        <f t="shared" si="26"/>
        <v>0.47</v>
      </c>
      <c r="AW47" s="208">
        <f t="shared" si="26"/>
        <v>0.47</v>
      </c>
      <c r="AX47" s="208">
        <f t="shared" si="26"/>
        <v>0.47</v>
      </c>
      <c r="AY47" s="208">
        <f t="shared" si="26"/>
        <v>0.47</v>
      </c>
      <c r="AZ47" s="208">
        <f t="shared" si="26"/>
        <v>0.47</v>
      </c>
      <c r="BA47" s="730" t="str">
        <f>'Inflation GDP Population'!BA8</f>
        <v/>
      </c>
      <c r="BB47" s="208"/>
    </row>
    <row r="48" ht="15.0" customHeight="1">
      <c r="A48" s="535" t="s">
        <v>1009</v>
      </c>
      <c r="B48" s="535"/>
      <c r="C48" s="535"/>
      <c r="D48" s="535"/>
      <c r="E48" s="535"/>
      <c r="F48" s="535"/>
      <c r="G48" s="535"/>
      <c r="H48" s="535"/>
      <c r="I48" s="535"/>
      <c r="J48" s="535"/>
      <c r="K48" s="535"/>
      <c r="L48" s="535"/>
      <c r="M48" s="535"/>
      <c r="N48" s="535"/>
      <c r="O48" s="535"/>
      <c r="P48" s="535"/>
      <c r="Q48" s="535"/>
      <c r="R48" s="535"/>
      <c r="S48" s="535"/>
      <c r="T48" s="535"/>
      <c r="U48" s="535"/>
      <c r="V48" s="715">
        <v>2.235281</v>
      </c>
      <c r="W48" s="177">
        <v>2.240781</v>
      </c>
      <c r="X48" s="177">
        <v>2.230484</v>
      </c>
      <c r="Y48" s="177">
        <v>2.238894</v>
      </c>
      <c r="Z48" s="177">
        <v>2.263292</v>
      </c>
      <c r="AA48" s="177">
        <v>2.277951</v>
      </c>
      <c r="AB48" s="177">
        <v>2.284162</v>
      </c>
      <c r="AC48" s="177">
        <v>2.288891</v>
      </c>
      <c r="AD48" s="177">
        <v>2.290141</v>
      </c>
      <c r="AE48" s="177">
        <v>2.297205</v>
      </c>
      <c r="AF48" s="177">
        <v>2.306455</v>
      </c>
      <c r="AG48" s="177">
        <v>2.309774</v>
      </c>
      <c r="AH48" s="177">
        <v>2.313331</v>
      </c>
      <c r="AI48" s="177">
        <v>2.324491</v>
      </c>
      <c r="AJ48" s="177">
        <v>2.333441</v>
      </c>
      <c r="AK48" s="177">
        <v>2.348511</v>
      </c>
      <c r="AL48" s="177">
        <v>2.359635</v>
      </c>
      <c r="AM48" s="177">
        <v>2.375076</v>
      </c>
      <c r="AN48" s="177">
        <v>2.386614</v>
      </c>
      <c r="AO48" s="177">
        <v>2.402956</v>
      </c>
      <c r="AP48" s="177">
        <v>2.409052</v>
      </c>
      <c r="AQ48" s="177">
        <v>2.417988</v>
      </c>
      <c r="AR48" s="177">
        <v>2.425163</v>
      </c>
      <c r="AS48" s="177">
        <v>2.429849</v>
      </c>
      <c r="AT48" s="177">
        <v>2.435601</v>
      </c>
      <c r="AU48" s="177">
        <v>2.438956</v>
      </c>
      <c r="AV48" s="177">
        <v>2.444196</v>
      </c>
      <c r="AW48" s="177">
        <v>2.447248</v>
      </c>
      <c r="AX48" s="177">
        <v>2.450276</v>
      </c>
      <c r="AY48" s="177">
        <v>2.458835</v>
      </c>
      <c r="AZ48" s="177">
        <v>2.46313</v>
      </c>
      <c r="BA48" s="730" t="str">
        <f>'Inflation GDP Population'!BA9</f>
        <v/>
      </c>
      <c r="BB48" s="177"/>
    </row>
    <row r="49" ht="15.0" customHeight="1">
      <c r="A49" s="535" t="s">
        <v>1010</v>
      </c>
      <c r="B49" s="732">
        <v>1.77</v>
      </c>
      <c r="C49" s="732">
        <v>1.77</v>
      </c>
      <c r="D49" s="732">
        <v>1.77</v>
      </c>
      <c r="E49" s="732">
        <v>1.77</v>
      </c>
      <c r="F49" s="732">
        <v>1.77</v>
      </c>
      <c r="G49" s="732">
        <v>1.77</v>
      </c>
      <c r="H49" s="732">
        <v>1.77</v>
      </c>
      <c r="I49" s="177">
        <v>1.77</v>
      </c>
      <c r="J49" s="177">
        <v>2.07</v>
      </c>
      <c r="K49" s="177">
        <v>2.21</v>
      </c>
      <c r="L49" s="177">
        <v>2.27</v>
      </c>
      <c r="M49" s="177">
        <v>2.39</v>
      </c>
      <c r="N49" s="177">
        <v>2.38</v>
      </c>
      <c r="O49" s="177">
        <v>2.34</v>
      </c>
      <c r="P49" s="177">
        <v>2.37</v>
      </c>
      <c r="Q49" s="177">
        <v>2.22</v>
      </c>
      <c r="R49" s="177">
        <v>2.11</v>
      </c>
      <c r="S49" s="177">
        <v>2.06</v>
      </c>
      <c r="T49" s="177">
        <v>2.06</v>
      </c>
      <c r="U49" s="732">
        <v>2.06</v>
      </c>
      <c r="V49" s="715">
        <v>2.399549</v>
      </c>
      <c r="W49" s="177">
        <v>2.464915</v>
      </c>
      <c r="X49" s="177">
        <v>2.512768</v>
      </c>
      <c r="Y49" s="177">
        <v>2.584518</v>
      </c>
      <c r="Z49" s="177">
        <v>2.676107</v>
      </c>
      <c r="AA49" s="177">
        <v>2.757748</v>
      </c>
      <c r="AB49" s="177">
        <v>2.828668</v>
      </c>
      <c r="AC49" s="177">
        <v>2.898334</v>
      </c>
      <c r="AD49" s="177">
        <v>2.962481</v>
      </c>
      <c r="AE49" s="177">
        <v>3.035021</v>
      </c>
      <c r="AF49" s="177">
        <v>3.112667</v>
      </c>
      <c r="AG49" s="177">
        <v>3.185211</v>
      </c>
      <c r="AH49" s="177">
        <v>3.26022</v>
      </c>
      <c r="AI49" s="177">
        <v>3.348754</v>
      </c>
      <c r="AJ49" s="177">
        <v>3.437023</v>
      </c>
      <c r="AK49" s="177">
        <v>3.537535</v>
      </c>
      <c r="AL49" s="177">
        <v>3.635684</v>
      </c>
      <c r="AM49" s="177">
        <v>3.743349</v>
      </c>
      <c r="AN49" s="177">
        <v>3.8474</v>
      </c>
      <c r="AO49" s="177">
        <v>3.962715</v>
      </c>
      <c r="AP49" s="177">
        <v>4.064738</v>
      </c>
      <c r="AQ49" s="177">
        <v>4.175309</v>
      </c>
      <c r="AR49" s="177">
        <v>4.286593</v>
      </c>
      <c r="AS49" s="177">
        <v>4.397842</v>
      </c>
      <c r="AT49" s="177">
        <v>4.515023</v>
      </c>
      <c r="AU49" s="177">
        <v>4.632037</v>
      </c>
      <c r="AV49" s="177">
        <v>4.755868</v>
      </c>
      <c r="AW49" s="177">
        <v>4.879952</v>
      </c>
      <c r="AX49" s="177">
        <v>5.00908</v>
      </c>
      <c r="AY49" s="177">
        <v>5.153235</v>
      </c>
      <c r="AZ49" s="177">
        <v>5.293742</v>
      </c>
      <c r="BA49" s="730" t="str">
        <f>'Inflation GDP Population'!BA10</f>
        <v/>
      </c>
      <c r="BB49" s="177"/>
    </row>
    <row r="50" ht="15.75" customHeight="1">
      <c r="A50" s="535" t="s">
        <v>137</v>
      </c>
      <c r="B50" s="720">
        <f>C50</f>
        <v>0</v>
      </c>
      <c r="C50" s="720">
        <f>'Inflation GDP Population'!C11-'Inflation GDP Population'!B11</f>
        <v>0</v>
      </c>
      <c r="D50" s="720">
        <f>'Inflation GDP Population'!D11-'Inflation GDP Population'!C11</f>
        <v>0</v>
      </c>
      <c r="E50" s="720">
        <f>'Inflation GDP Population'!E11-'Inflation GDP Population'!D11</f>
        <v>0</v>
      </c>
      <c r="F50" s="720">
        <f>'Inflation GDP Population'!F11-'Inflation GDP Population'!E11</f>
        <v>0.01699083389</v>
      </c>
      <c r="G50" s="720">
        <f>'Inflation GDP Population'!G11-'Inflation GDP Population'!F11</f>
        <v>0.03062821373</v>
      </c>
      <c r="H50" s="720">
        <f>'Inflation GDP Population'!H11-'Inflation GDP Population'!G11</f>
        <v>0.05371115582</v>
      </c>
      <c r="I50" s="720">
        <f>'Inflation GDP Population'!I11-'Inflation GDP Population'!H11</f>
        <v>0.02520679633</v>
      </c>
      <c r="J50" s="720">
        <f>'Inflation GDP Population'!J11-'Inflation GDP Population'!I11</f>
        <v>0.03996199419</v>
      </c>
      <c r="K50" s="720">
        <f>'Inflation GDP Population'!K11-'Inflation GDP Population'!J11</f>
        <v>0.01939414263</v>
      </c>
      <c r="L50" s="720">
        <f>'Inflation GDP Population'!L11-'Inflation GDP Population'!K11</f>
        <v>0.01928236083</v>
      </c>
      <c r="M50" s="720">
        <f>'Inflation GDP Population'!M11-'Inflation GDP Population'!L11</f>
        <v>0.02241225129</v>
      </c>
      <c r="N50" s="720">
        <f>'Inflation GDP Population'!N11-'Inflation GDP Population'!M11</f>
        <v>0.009445562262</v>
      </c>
      <c r="O50" s="720">
        <f>'Inflation GDP Population'!O11-'Inflation GDP Population'!N11</f>
        <v>0.01263134362</v>
      </c>
      <c r="P50" s="720">
        <f>'Inflation GDP Population'!P11-'Inflation GDP Population'!O11</f>
        <v>0.0348200313</v>
      </c>
      <c r="Q50" s="720">
        <f>'Inflation GDP Population'!Q11-'Inflation GDP Population'!P11</f>
        <v>0.01620836128</v>
      </c>
      <c r="R50" s="720">
        <f>'Inflation GDP Population'!R11-'Inflation GDP Population'!Q11</f>
        <v>-0.01061927118</v>
      </c>
      <c r="S50" s="720">
        <f>'Inflation GDP Population'!S11-'Inflation GDP Population'!R11</f>
        <v>0.03923541247</v>
      </c>
      <c r="T50" s="720">
        <f>'Inflation GDP Population'!T11-'Inflation GDP Population'!S11</f>
        <v>0.01263134362</v>
      </c>
      <c r="U50" s="720">
        <f>$V$50</f>
        <v>0.01989423738</v>
      </c>
      <c r="V50" s="669">
        <f>Inputs!B21</f>
        <v>0.01989423738</v>
      </c>
      <c r="W50" s="710">
        <f t="shared" ref="W50:AZ50" si="27">V50</f>
        <v>0.01989423738</v>
      </c>
      <c r="X50" s="710">
        <f t="shared" si="27"/>
        <v>0.01989423738</v>
      </c>
      <c r="Y50" s="710">
        <f t="shared" si="27"/>
        <v>0.01989423738</v>
      </c>
      <c r="Z50" s="710">
        <f t="shared" si="27"/>
        <v>0.01989423738</v>
      </c>
      <c r="AA50" s="710">
        <f t="shared" si="27"/>
        <v>0.01989423738</v>
      </c>
      <c r="AB50" s="710">
        <f t="shared" si="27"/>
        <v>0.01989423738</v>
      </c>
      <c r="AC50" s="710">
        <f t="shared" si="27"/>
        <v>0.01989423738</v>
      </c>
      <c r="AD50" s="710">
        <f t="shared" si="27"/>
        <v>0.01989423738</v>
      </c>
      <c r="AE50" s="710">
        <f t="shared" si="27"/>
        <v>0.01989423738</v>
      </c>
      <c r="AF50" s="710">
        <f t="shared" si="27"/>
        <v>0.01989423738</v>
      </c>
      <c r="AG50" s="710">
        <f t="shared" si="27"/>
        <v>0.01989423738</v>
      </c>
      <c r="AH50" s="710">
        <f t="shared" si="27"/>
        <v>0.01989423738</v>
      </c>
      <c r="AI50" s="710">
        <f t="shared" si="27"/>
        <v>0.01989423738</v>
      </c>
      <c r="AJ50" s="710">
        <f t="shared" si="27"/>
        <v>0.01989423738</v>
      </c>
      <c r="AK50" s="710">
        <f t="shared" si="27"/>
        <v>0.01989423738</v>
      </c>
      <c r="AL50" s="710">
        <f t="shared" si="27"/>
        <v>0.01989423738</v>
      </c>
      <c r="AM50" s="710">
        <f t="shared" si="27"/>
        <v>0.01989423738</v>
      </c>
      <c r="AN50" s="710">
        <f t="shared" si="27"/>
        <v>0.01989423738</v>
      </c>
      <c r="AO50" s="710">
        <f t="shared" si="27"/>
        <v>0.01989423738</v>
      </c>
      <c r="AP50" s="710">
        <f t="shared" si="27"/>
        <v>0.01989423738</v>
      </c>
      <c r="AQ50" s="710">
        <f t="shared" si="27"/>
        <v>0.01989423738</v>
      </c>
      <c r="AR50" s="710">
        <f t="shared" si="27"/>
        <v>0.01989423738</v>
      </c>
      <c r="AS50" s="710">
        <f t="shared" si="27"/>
        <v>0.01989423738</v>
      </c>
      <c r="AT50" s="710">
        <f t="shared" si="27"/>
        <v>0.01989423738</v>
      </c>
      <c r="AU50" s="710">
        <f t="shared" si="27"/>
        <v>0.01989423738</v>
      </c>
      <c r="AV50" s="710">
        <f t="shared" si="27"/>
        <v>0.01989423738</v>
      </c>
      <c r="AW50" s="710">
        <f t="shared" si="27"/>
        <v>0.01989423738</v>
      </c>
      <c r="AX50" s="710">
        <f t="shared" si="27"/>
        <v>0.01989423738</v>
      </c>
      <c r="AY50" s="710">
        <f t="shared" si="27"/>
        <v>0.01989423738</v>
      </c>
      <c r="AZ50" s="710">
        <f t="shared" si="27"/>
        <v>0.01989423738</v>
      </c>
      <c r="BA50" s="730" t="str">
        <f>'Inflation GDP Population'!BA11</f>
        <v/>
      </c>
      <c r="BB50" s="710"/>
    </row>
    <row r="51" ht="15.75" customHeight="1">
      <c r="A51" s="535" t="s">
        <v>1011</v>
      </c>
      <c r="B51" s="720"/>
      <c r="C51" s="720"/>
      <c r="D51" s="535"/>
      <c r="E51" s="535"/>
      <c r="F51" s="535"/>
      <c r="G51" s="535"/>
      <c r="H51" s="535"/>
      <c r="I51" s="710"/>
      <c r="J51" s="710">
        <f t="shared" ref="J51:AZ51" si="28">J49/I49-1</f>
        <v>0.1694915254</v>
      </c>
      <c r="K51" s="710">
        <f t="shared" si="28"/>
        <v>0.06763285024</v>
      </c>
      <c r="L51" s="710">
        <f t="shared" si="28"/>
        <v>0.02714932127</v>
      </c>
      <c r="M51" s="710">
        <f t="shared" si="28"/>
        <v>0.05286343612</v>
      </c>
      <c r="N51" s="710">
        <f t="shared" si="28"/>
        <v>-0.004184100418</v>
      </c>
      <c r="O51" s="710">
        <f t="shared" si="28"/>
        <v>-0.01680672269</v>
      </c>
      <c r="P51" s="710">
        <f t="shared" si="28"/>
        <v>0.01282051282</v>
      </c>
      <c r="Q51" s="710">
        <f t="shared" si="28"/>
        <v>-0.06329113924</v>
      </c>
      <c r="R51" s="710">
        <f t="shared" si="28"/>
        <v>-0.04954954955</v>
      </c>
      <c r="S51" s="710">
        <f t="shared" si="28"/>
        <v>-0.02369668246</v>
      </c>
      <c r="T51" s="710">
        <f t="shared" si="28"/>
        <v>0</v>
      </c>
      <c r="U51" s="710">
        <f t="shared" si="28"/>
        <v>0</v>
      </c>
      <c r="V51" s="710">
        <f t="shared" si="28"/>
        <v>0.1648296117</v>
      </c>
      <c r="W51" s="710">
        <f t="shared" si="28"/>
        <v>0.02724095236</v>
      </c>
      <c r="X51" s="710">
        <f t="shared" si="28"/>
        <v>0.01941365118</v>
      </c>
      <c r="Y51" s="710">
        <f t="shared" si="28"/>
        <v>0.02855416815</v>
      </c>
      <c r="Z51" s="710">
        <f t="shared" si="28"/>
        <v>0.03543755547</v>
      </c>
      <c r="AA51" s="710">
        <f t="shared" si="28"/>
        <v>0.03050737508</v>
      </c>
      <c r="AB51" s="710">
        <f t="shared" si="28"/>
        <v>0.02571663546</v>
      </c>
      <c r="AC51" s="710">
        <f t="shared" si="28"/>
        <v>0.02462855309</v>
      </c>
      <c r="AD51" s="710">
        <f t="shared" si="28"/>
        <v>0.02213236984</v>
      </c>
      <c r="AE51" s="710">
        <f t="shared" si="28"/>
        <v>0.02448623299</v>
      </c>
      <c r="AF51" s="710">
        <f t="shared" si="28"/>
        <v>0.02558334852</v>
      </c>
      <c r="AG51" s="710">
        <f t="shared" si="28"/>
        <v>0.02330605876</v>
      </c>
      <c r="AH51" s="710">
        <f t="shared" si="28"/>
        <v>0.02354914635</v>
      </c>
      <c r="AI51" s="710">
        <f t="shared" si="28"/>
        <v>0.02715583611</v>
      </c>
      <c r="AJ51" s="710">
        <f t="shared" si="28"/>
        <v>0.02635875911</v>
      </c>
      <c r="AK51" s="710">
        <f t="shared" si="28"/>
        <v>0.02924391254</v>
      </c>
      <c r="AL51" s="710">
        <f t="shared" si="28"/>
        <v>0.02774502584</v>
      </c>
      <c r="AM51" s="710">
        <f t="shared" si="28"/>
        <v>0.02961340975</v>
      </c>
      <c r="AN51" s="710">
        <f t="shared" si="28"/>
        <v>0.02779623273</v>
      </c>
      <c r="AO51" s="710">
        <f t="shared" si="28"/>
        <v>0.02997218901</v>
      </c>
      <c r="AP51" s="710">
        <f t="shared" si="28"/>
        <v>0.02574573241</v>
      </c>
      <c r="AQ51" s="710">
        <f t="shared" si="28"/>
        <v>0.02720249128</v>
      </c>
      <c r="AR51" s="710">
        <f t="shared" si="28"/>
        <v>0.02665287767</v>
      </c>
      <c r="AS51" s="710">
        <f t="shared" si="28"/>
        <v>0.02595277882</v>
      </c>
      <c r="AT51" s="710">
        <f t="shared" si="28"/>
        <v>0.02664511367</v>
      </c>
      <c r="AU51" s="710">
        <f t="shared" si="28"/>
        <v>0.02591659002</v>
      </c>
      <c r="AV51" s="710">
        <f t="shared" si="28"/>
        <v>0.02673359474</v>
      </c>
      <c r="AW51" s="710">
        <f t="shared" si="28"/>
        <v>0.02609071572</v>
      </c>
      <c r="AX51" s="710">
        <f t="shared" si="28"/>
        <v>0.02646091601</v>
      </c>
      <c r="AY51" s="710">
        <f t="shared" si="28"/>
        <v>0.02877873781</v>
      </c>
      <c r="AZ51" s="710">
        <f t="shared" si="28"/>
        <v>0.02726578547</v>
      </c>
      <c r="BA51" s="730" t="str">
        <f>'Inflation GDP Population'!BA12</f>
        <v/>
      </c>
      <c r="BB51" s="710"/>
    </row>
    <row r="52" ht="15.75" customHeight="1">
      <c r="A52" s="535"/>
      <c r="B52" s="535"/>
      <c r="C52" s="535"/>
      <c r="D52" s="535"/>
      <c r="E52" s="535"/>
      <c r="F52" s="535"/>
      <c r="G52" s="535"/>
      <c r="H52" s="535"/>
      <c r="I52" s="535"/>
      <c r="J52" s="535"/>
      <c r="K52" s="535"/>
      <c r="L52" s="535"/>
      <c r="M52" s="535"/>
      <c r="N52" s="535"/>
      <c r="O52" s="535"/>
      <c r="P52" s="535"/>
      <c r="Q52" s="535"/>
      <c r="R52" s="535"/>
      <c r="S52" s="535"/>
      <c r="T52" s="535"/>
      <c r="U52" s="535"/>
      <c r="V52" s="141"/>
      <c r="W52" s="191"/>
      <c r="X52" s="191"/>
      <c r="Y52" s="191"/>
      <c r="Z52" s="191"/>
      <c r="AA52" s="191"/>
      <c r="AB52" s="191"/>
      <c r="AC52" s="191"/>
      <c r="AD52" s="191"/>
      <c r="AE52" s="191"/>
      <c r="AF52" s="191"/>
      <c r="AG52" s="191"/>
      <c r="AH52" s="191"/>
      <c r="AI52" s="191"/>
      <c r="AJ52" s="191"/>
      <c r="AK52" s="191"/>
      <c r="AL52" s="191"/>
      <c r="AM52" s="191"/>
      <c r="AN52" s="191"/>
      <c r="AO52" s="191"/>
      <c r="AP52" s="191"/>
      <c r="AQ52" s="191"/>
      <c r="AR52" s="191"/>
      <c r="AS52" s="191"/>
      <c r="AT52" s="191"/>
      <c r="AU52" s="191"/>
      <c r="AV52" s="191"/>
      <c r="AW52" s="191"/>
      <c r="AX52" s="191"/>
      <c r="AY52" s="191"/>
      <c r="AZ52" s="191"/>
      <c r="BA52" s="730" t="str">
        <f>'Inflation GDP Population'!BA13</f>
        <v/>
      </c>
    </row>
    <row r="53" ht="15.75" customHeight="1">
      <c r="A53" s="403" t="s">
        <v>140</v>
      </c>
      <c r="B53" s="403"/>
      <c r="C53" s="403"/>
      <c r="D53" s="403"/>
      <c r="E53" s="403"/>
      <c r="F53" s="403"/>
      <c r="G53" s="403"/>
      <c r="H53" s="403"/>
      <c r="I53" s="403"/>
      <c r="J53" s="403"/>
      <c r="K53" s="403"/>
      <c r="L53" s="403"/>
      <c r="M53" s="403"/>
      <c r="N53" s="403"/>
      <c r="O53" s="403"/>
      <c r="P53" s="403"/>
      <c r="Q53" s="403"/>
      <c r="R53" s="403"/>
      <c r="S53" s="403"/>
      <c r="T53" s="403"/>
      <c r="U53" s="403"/>
      <c r="V53" s="32"/>
      <c r="W53" s="252">
        <f t="shared" ref="W53:BB53" si="29">SUM(W55:W128)</f>
        <v>9097.5</v>
      </c>
      <c r="X53" s="252">
        <f t="shared" si="29"/>
        <v>1674.9</v>
      </c>
      <c r="Y53" s="252">
        <f t="shared" si="29"/>
        <v>2187.5</v>
      </c>
      <c r="Z53" s="252">
        <f t="shared" si="29"/>
        <v>2209</v>
      </c>
      <c r="AA53" s="252">
        <f t="shared" si="29"/>
        <v>4004.9</v>
      </c>
      <c r="AB53" s="252">
        <f t="shared" si="29"/>
        <v>3149.6</v>
      </c>
      <c r="AC53" s="252">
        <f t="shared" si="29"/>
        <v>2512.6</v>
      </c>
      <c r="AD53" s="252">
        <f t="shared" si="29"/>
        <v>952</v>
      </c>
      <c r="AE53" s="252">
        <f t="shared" si="29"/>
        <v>863.3</v>
      </c>
      <c r="AF53" s="252">
        <f t="shared" si="29"/>
        <v>1893.5</v>
      </c>
      <c r="AG53" s="252">
        <f t="shared" si="29"/>
        <v>190.1</v>
      </c>
      <c r="AH53" s="252">
        <f t="shared" si="29"/>
        <v>1296.2</v>
      </c>
      <c r="AI53" s="252">
        <f t="shared" si="29"/>
        <v>863.3</v>
      </c>
      <c r="AJ53" s="252">
        <f t="shared" si="29"/>
        <v>906.4</v>
      </c>
      <c r="AK53" s="252">
        <f t="shared" si="29"/>
        <v>763.2</v>
      </c>
      <c r="AL53" s="252">
        <f t="shared" si="29"/>
        <v>1447.2</v>
      </c>
      <c r="AM53" s="252">
        <f t="shared" si="29"/>
        <v>705.5</v>
      </c>
      <c r="AN53" s="252">
        <f t="shared" si="29"/>
        <v>0</v>
      </c>
      <c r="AO53" s="252">
        <f t="shared" si="29"/>
        <v>891</v>
      </c>
      <c r="AP53" s="252">
        <f t="shared" si="29"/>
        <v>0</v>
      </c>
      <c r="AQ53" s="252">
        <f t="shared" si="29"/>
        <v>1596.5</v>
      </c>
      <c r="AR53" s="252">
        <f t="shared" si="29"/>
        <v>114.8</v>
      </c>
      <c r="AS53" s="252">
        <f t="shared" si="29"/>
        <v>733.5</v>
      </c>
      <c r="AT53" s="252">
        <f t="shared" si="29"/>
        <v>0</v>
      </c>
      <c r="AU53" s="252">
        <f t="shared" si="29"/>
        <v>0</v>
      </c>
      <c r="AV53" s="252">
        <f t="shared" si="29"/>
        <v>34.6</v>
      </c>
      <c r="AW53" s="252">
        <f t="shared" si="29"/>
        <v>590.9</v>
      </c>
      <c r="AX53" s="252">
        <f t="shared" si="29"/>
        <v>417.3</v>
      </c>
      <c r="AY53" s="252">
        <f t="shared" si="29"/>
        <v>0</v>
      </c>
      <c r="AZ53" s="252">
        <f t="shared" si="29"/>
        <v>0</v>
      </c>
      <c r="BA53" s="252">
        <f t="shared" si="29"/>
        <v>0</v>
      </c>
      <c r="BB53" s="252">
        <f t="shared" si="29"/>
        <v>0</v>
      </c>
    </row>
    <row r="54" ht="15.75" customHeight="1">
      <c r="A54" s="733" t="s">
        <v>1012</v>
      </c>
      <c r="B54" s="733"/>
      <c r="C54" s="733"/>
      <c r="D54" s="733"/>
      <c r="E54" s="733"/>
      <c r="F54" s="733"/>
      <c r="G54" s="733"/>
      <c r="H54" s="733"/>
      <c r="I54" s="733"/>
      <c r="J54" s="733"/>
      <c r="K54" s="733"/>
      <c r="L54" s="733"/>
      <c r="M54" s="733"/>
      <c r="N54" s="733"/>
      <c r="O54" s="733"/>
      <c r="P54" s="733"/>
      <c r="Q54" s="733"/>
      <c r="R54" s="733"/>
      <c r="S54" s="734" t="s">
        <v>1013</v>
      </c>
      <c r="T54" s="735" t="s">
        <v>1014</v>
      </c>
      <c r="U54" s="733"/>
      <c r="V54" s="736" t="s">
        <v>1015</v>
      </c>
      <c r="W54" s="159">
        <v>2020.0</v>
      </c>
      <c r="X54" s="159">
        <v>2021.0</v>
      </c>
      <c r="Y54" s="159">
        <v>2022.0</v>
      </c>
      <c r="Z54" s="159">
        <v>2023.0</v>
      </c>
      <c r="AA54" s="159">
        <v>2024.0</v>
      </c>
      <c r="AB54" s="159">
        <v>2025.0</v>
      </c>
      <c r="AC54" s="159">
        <v>2026.0</v>
      </c>
      <c r="AD54" s="159">
        <v>2027.0</v>
      </c>
      <c r="AE54" s="159">
        <v>2028.0</v>
      </c>
      <c r="AF54" s="159">
        <v>2029.0</v>
      </c>
      <c r="AG54" s="159">
        <v>2030.0</v>
      </c>
      <c r="AH54" s="159">
        <v>2031.0</v>
      </c>
      <c r="AI54" s="159">
        <v>2032.0</v>
      </c>
      <c r="AJ54" s="159">
        <v>2033.0</v>
      </c>
      <c r="AK54" s="159">
        <v>2034.0</v>
      </c>
      <c r="AL54" s="159">
        <v>2035.0</v>
      </c>
      <c r="AM54" s="159">
        <v>2036.0</v>
      </c>
      <c r="AN54" s="159">
        <v>2037.0</v>
      </c>
      <c r="AO54" s="159">
        <v>2038.0</v>
      </c>
      <c r="AP54" s="159">
        <v>2039.0</v>
      </c>
      <c r="AQ54" s="159">
        <v>2040.0</v>
      </c>
      <c r="AR54" s="159">
        <v>2041.0</v>
      </c>
      <c r="AS54" s="159">
        <v>2042.0</v>
      </c>
      <c r="AT54" s="159">
        <v>2043.0</v>
      </c>
      <c r="AU54" s="159">
        <v>2044.0</v>
      </c>
      <c r="AV54" s="159">
        <v>2045.0</v>
      </c>
      <c r="AW54" s="159">
        <v>2046.0</v>
      </c>
      <c r="AX54" s="159">
        <v>2047.0</v>
      </c>
      <c r="AY54" s="159">
        <v>2048.0</v>
      </c>
      <c r="AZ54" s="159">
        <v>2049.0</v>
      </c>
      <c r="BA54" s="159">
        <v>2050.0</v>
      </c>
      <c r="BB54" s="737">
        <v>2051.0</v>
      </c>
    </row>
    <row r="55" ht="15.75" customHeight="1">
      <c r="A55" s="738">
        <v>1930.0</v>
      </c>
      <c r="B55" s="38"/>
      <c r="C55" s="38"/>
      <c r="D55" s="38"/>
      <c r="E55" s="38"/>
      <c r="F55" s="38"/>
      <c r="G55" s="38"/>
      <c r="H55" s="38"/>
      <c r="I55" s="38"/>
      <c r="J55" s="38"/>
      <c r="K55" s="38"/>
      <c r="L55" s="38"/>
      <c r="M55" s="38"/>
      <c r="N55" s="38"/>
      <c r="O55" s="38"/>
      <c r="P55" s="38"/>
      <c r="Q55" s="38"/>
      <c r="R55" s="24">
        <v>0.0</v>
      </c>
      <c r="S55" s="739">
        <v>1930.0</v>
      </c>
      <c r="T55" s="740">
        <v>5.8</v>
      </c>
      <c r="U55" s="38"/>
      <c r="V55" s="741">
        <v>0.0</v>
      </c>
      <c r="W55" s="252">
        <f t="shared" ref="W55:W175" si="31">IF(W$54-$A55&gt;$V$38,$V55,0)</f>
        <v>0</v>
      </c>
      <c r="X55" s="252">
        <f t="shared" ref="X55:BB55" si="30">IF(AND(X$54-$A55&gt;$V$38,SUM($W55:W55)&lt;&gt;$V55),$V55,0)</f>
        <v>0</v>
      </c>
      <c r="Y55" s="252">
        <f t="shared" si="30"/>
        <v>0</v>
      </c>
      <c r="Z55" s="252">
        <f t="shared" si="30"/>
        <v>0</v>
      </c>
      <c r="AA55" s="252">
        <f t="shared" si="30"/>
        <v>0</v>
      </c>
      <c r="AB55" s="252">
        <f t="shared" si="30"/>
        <v>0</v>
      </c>
      <c r="AC55" s="252">
        <f t="shared" si="30"/>
        <v>0</v>
      </c>
      <c r="AD55" s="252">
        <f t="shared" si="30"/>
        <v>0</v>
      </c>
      <c r="AE55" s="252">
        <f t="shared" si="30"/>
        <v>0</v>
      </c>
      <c r="AF55" s="252">
        <f t="shared" si="30"/>
        <v>0</v>
      </c>
      <c r="AG55" s="252">
        <f t="shared" si="30"/>
        <v>0</v>
      </c>
      <c r="AH55" s="252">
        <f t="shared" si="30"/>
        <v>0</v>
      </c>
      <c r="AI55" s="252">
        <f t="shared" si="30"/>
        <v>0</v>
      </c>
      <c r="AJ55" s="252">
        <f t="shared" si="30"/>
        <v>0</v>
      </c>
      <c r="AK55" s="252">
        <f t="shared" si="30"/>
        <v>0</v>
      </c>
      <c r="AL55" s="252">
        <f t="shared" si="30"/>
        <v>0</v>
      </c>
      <c r="AM55" s="252">
        <f t="shared" si="30"/>
        <v>0</v>
      </c>
      <c r="AN55" s="252">
        <f t="shared" si="30"/>
        <v>0</v>
      </c>
      <c r="AO55" s="252">
        <f t="shared" si="30"/>
        <v>0</v>
      </c>
      <c r="AP55" s="252">
        <f t="shared" si="30"/>
        <v>0</v>
      </c>
      <c r="AQ55" s="252">
        <f t="shared" si="30"/>
        <v>0</v>
      </c>
      <c r="AR55" s="252">
        <f t="shared" si="30"/>
        <v>0</v>
      </c>
      <c r="AS55" s="252">
        <f t="shared" si="30"/>
        <v>0</v>
      </c>
      <c r="AT55" s="252">
        <f t="shared" si="30"/>
        <v>0</v>
      </c>
      <c r="AU55" s="252">
        <f t="shared" si="30"/>
        <v>0</v>
      </c>
      <c r="AV55" s="252">
        <f t="shared" si="30"/>
        <v>0</v>
      </c>
      <c r="AW55" s="252">
        <f t="shared" si="30"/>
        <v>0</v>
      </c>
      <c r="AX55" s="252">
        <f t="shared" si="30"/>
        <v>0</v>
      </c>
      <c r="AY55" s="252">
        <f t="shared" si="30"/>
        <v>0</v>
      </c>
      <c r="AZ55" s="252">
        <f t="shared" si="30"/>
        <v>0</v>
      </c>
      <c r="BA55" s="252">
        <f t="shared" si="30"/>
        <v>0</v>
      </c>
      <c r="BB55" s="252">
        <f t="shared" si="30"/>
        <v>0</v>
      </c>
    </row>
    <row r="56" ht="15.75" customHeight="1">
      <c r="A56" s="738">
        <v>1931.0</v>
      </c>
      <c r="B56" s="38"/>
      <c r="C56" s="38"/>
      <c r="D56" s="38"/>
      <c r="E56" s="38"/>
      <c r="F56" s="38"/>
      <c r="G56" s="38"/>
      <c r="H56" s="38"/>
      <c r="I56" s="38"/>
      <c r="J56" s="38"/>
      <c r="K56" s="38"/>
      <c r="L56" s="38"/>
      <c r="M56" s="38"/>
      <c r="N56" s="38"/>
      <c r="O56" s="38"/>
      <c r="P56" s="38"/>
      <c r="Q56" s="38"/>
      <c r="R56" s="24">
        <v>0.0</v>
      </c>
      <c r="S56" s="739">
        <v>1936.0</v>
      </c>
      <c r="T56" s="740">
        <v>6.0</v>
      </c>
      <c r="U56" s="38"/>
      <c r="V56" s="741">
        <v>0.0</v>
      </c>
      <c r="W56" s="252">
        <f t="shared" si="31"/>
        <v>0</v>
      </c>
      <c r="X56" s="252">
        <f t="shared" ref="X56:BB56" si="32">IF(AND(X$54-$A56&gt;$V$38,SUM($W56:W56)&lt;&gt;$V56),$V56,0)</f>
        <v>0</v>
      </c>
      <c r="Y56" s="252">
        <f t="shared" si="32"/>
        <v>0</v>
      </c>
      <c r="Z56" s="252">
        <f t="shared" si="32"/>
        <v>0</v>
      </c>
      <c r="AA56" s="252">
        <f t="shared" si="32"/>
        <v>0</v>
      </c>
      <c r="AB56" s="252">
        <f t="shared" si="32"/>
        <v>0</v>
      </c>
      <c r="AC56" s="252">
        <f t="shared" si="32"/>
        <v>0</v>
      </c>
      <c r="AD56" s="252">
        <f t="shared" si="32"/>
        <v>0</v>
      </c>
      <c r="AE56" s="252">
        <f t="shared" si="32"/>
        <v>0</v>
      </c>
      <c r="AF56" s="252">
        <f t="shared" si="32"/>
        <v>0</v>
      </c>
      <c r="AG56" s="252">
        <f t="shared" si="32"/>
        <v>0</v>
      </c>
      <c r="AH56" s="252">
        <f t="shared" si="32"/>
        <v>0</v>
      </c>
      <c r="AI56" s="252">
        <f t="shared" si="32"/>
        <v>0</v>
      </c>
      <c r="AJ56" s="252">
        <f t="shared" si="32"/>
        <v>0</v>
      </c>
      <c r="AK56" s="252">
        <f t="shared" si="32"/>
        <v>0</v>
      </c>
      <c r="AL56" s="252">
        <f t="shared" si="32"/>
        <v>0</v>
      </c>
      <c r="AM56" s="252">
        <f t="shared" si="32"/>
        <v>0</v>
      </c>
      <c r="AN56" s="252">
        <f t="shared" si="32"/>
        <v>0</v>
      </c>
      <c r="AO56" s="252">
        <f t="shared" si="32"/>
        <v>0</v>
      </c>
      <c r="AP56" s="252">
        <f t="shared" si="32"/>
        <v>0</v>
      </c>
      <c r="AQ56" s="252">
        <f t="shared" si="32"/>
        <v>0</v>
      </c>
      <c r="AR56" s="252">
        <f t="shared" si="32"/>
        <v>0</v>
      </c>
      <c r="AS56" s="252">
        <f t="shared" si="32"/>
        <v>0</v>
      </c>
      <c r="AT56" s="252">
        <f t="shared" si="32"/>
        <v>0</v>
      </c>
      <c r="AU56" s="252">
        <f t="shared" si="32"/>
        <v>0</v>
      </c>
      <c r="AV56" s="252">
        <f t="shared" si="32"/>
        <v>0</v>
      </c>
      <c r="AW56" s="252">
        <f t="shared" si="32"/>
        <v>0</v>
      </c>
      <c r="AX56" s="252">
        <f t="shared" si="32"/>
        <v>0</v>
      </c>
      <c r="AY56" s="252">
        <f t="shared" si="32"/>
        <v>0</v>
      </c>
      <c r="AZ56" s="252">
        <f t="shared" si="32"/>
        <v>0</v>
      </c>
      <c r="BA56" s="252">
        <f t="shared" si="32"/>
        <v>0</v>
      </c>
      <c r="BB56" s="252">
        <f t="shared" si="32"/>
        <v>0</v>
      </c>
    </row>
    <row r="57" ht="15.75" customHeight="1">
      <c r="A57" s="738">
        <v>1932.0</v>
      </c>
      <c r="B57" s="38"/>
      <c r="C57" s="38"/>
      <c r="D57" s="38"/>
      <c r="E57" s="38"/>
      <c r="F57" s="38"/>
      <c r="G57" s="38"/>
      <c r="H57" s="38"/>
      <c r="I57" s="38"/>
      <c r="J57" s="38"/>
      <c r="K57" s="38"/>
      <c r="L57" s="38"/>
      <c r="M57" s="38"/>
      <c r="N57" s="38"/>
      <c r="O57" s="38"/>
      <c r="P57" s="38"/>
      <c r="Q57" s="38"/>
      <c r="R57" s="24">
        <v>0.0</v>
      </c>
      <c r="S57" s="739">
        <v>1937.0</v>
      </c>
      <c r="T57" s="740">
        <v>7.5</v>
      </c>
      <c r="U57" s="38"/>
      <c r="V57" s="741">
        <v>0.0</v>
      </c>
      <c r="W57" s="252">
        <f t="shared" si="31"/>
        <v>0</v>
      </c>
      <c r="X57" s="252">
        <f t="shared" ref="X57:BB57" si="33">IF(AND(X$54-$A57&gt;$V$38,SUM($W57:W57)&lt;&gt;$V57),$V57,0)</f>
        <v>0</v>
      </c>
      <c r="Y57" s="252">
        <f t="shared" si="33"/>
        <v>0</v>
      </c>
      <c r="Z57" s="252">
        <f t="shared" si="33"/>
        <v>0</v>
      </c>
      <c r="AA57" s="252">
        <f t="shared" si="33"/>
        <v>0</v>
      </c>
      <c r="AB57" s="252">
        <f t="shared" si="33"/>
        <v>0</v>
      </c>
      <c r="AC57" s="252">
        <f t="shared" si="33"/>
        <v>0</v>
      </c>
      <c r="AD57" s="252">
        <f t="shared" si="33"/>
        <v>0</v>
      </c>
      <c r="AE57" s="252">
        <f t="shared" si="33"/>
        <v>0</v>
      </c>
      <c r="AF57" s="252">
        <f t="shared" si="33"/>
        <v>0</v>
      </c>
      <c r="AG57" s="252">
        <f t="shared" si="33"/>
        <v>0</v>
      </c>
      <c r="AH57" s="252">
        <f t="shared" si="33"/>
        <v>0</v>
      </c>
      <c r="AI57" s="252">
        <f t="shared" si="33"/>
        <v>0</v>
      </c>
      <c r="AJ57" s="252">
        <f t="shared" si="33"/>
        <v>0</v>
      </c>
      <c r="AK57" s="252">
        <f t="shared" si="33"/>
        <v>0</v>
      </c>
      <c r="AL57" s="252">
        <f t="shared" si="33"/>
        <v>0</v>
      </c>
      <c r="AM57" s="252">
        <f t="shared" si="33"/>
        <v>0</v>
      </c>
      <c r="AN57" s="252">
        <f t="shared" si="33"/>
        <v>0</v>
      </c>
      <c r="AO57" s="252">
        <f t="shared" si="33"/>
        <v>0</v>
      </c>
      <c r="AP57" s="252">
        <f t="shared" si="33"/>
        <v>0</v>
      </c>
      <c r="AQ57" s="252">
        <f t="shared" si="33"/>
        <v>0</v>
      </c>
      <c r="AR57" s="252">
        <f t="shared" si="33"/>
        <v>0</v>
      </c>
      <c r="AS57" s="252">
        <f t="shared" si="33"/>
        <v>0</v>
      </c>
      <c r="AT57" s="252">
        <f t="shared" si="33"/>
        <v>0</v>
      </c>
      <c r="AU57" s="252">
        <f t="shared" si="33"/>
        <v>0</v>
      </c>
      <c r="AV57" s="252">
        <f t="shared" si="33"/>
        <v>0</v>
      </c>
      <c r="AW57" s="252">
        <f t="shared" si="33"/>
        <v>0</v>
      </c>
      <c r="AX57" s="252">
        <f t="shared" si="33"/>
        <v>0</v>
      </c>
      <c r="AY57" s="252">
        <f t="shared" si="33"/>
        <v>0</v>
      </c>
      <c r="AZ57" s="252">
        <f t="shared" si="33"/>
        <v>0</v>
      </c>
      <c r="BA57" s="252">
        <f t="shared" si="33"/>
        <v>0</v>
      </c>
      <c r="BB57" s="252">
        <f t="shared" si="33"/>
        <v>0</v>
      </c>
    </row>
    <row r="58" ht="15.75" customHeight="1">
      <c r="A58" s="738">
        <v>1933.0</v>
      </c>
      <c r="B58" s="38"/>
      <c r="C58" s="38"/>
      <c r="D58" s="38"/>
      <c r="E58" s="38"/>
      <c r="F58" s="38"/>
      <c r="G58" s="38"/>
      <c r="H58" s="38"/>
      <c r="I58" s="38"/>
      <c r="J58" s="38"/>
      <c r="K58" s="38"/>
      <c r="L58" s="38"/>
      <c r="M58" s="38"/>
      <c r="N58" s="38"/>
      <c r="O58" s="38"/>
      <c r="P58" s="38"/>
      <c r="Q58" s="38"/>
      <c r="R58" s="24">
        <v>0.0</v>
      </c>
      <c r="S58" s="739">
        <v>1939.0</v>
      </c>
      <c r="T58" s="740">
        <v>6.0</v>
      </c>
      <c r="U58" s="38"/>
      <c r="V58" s="741">
        <v>0.0</v>
      </c>
      <c r="W58" s="252">
        <f t="shared" si="31"/>
        <v>0</v>
      </c>
      <c r="X58" s="252">
        <f t="shared" ref="X58:BB58" si="34">IF(AND(X$54-$A58&gt;$V$38,SUM($W58:W58)&lt;&gt;$V58),$V58,0)</f>
        <v>0</v>
      </c>
      <c r="Y58" s="252">
        <f t="shared" si="34"/>
        <v>0</v>
      </c>
      <c r="Z58" s="252">
        <f t="shared" si="34"/>
        <v>0</v>
      </c>
      <c r="AA58" s="252">
        <f t="shared" si="34"/>
        <v>0</v>
      </c>
      <c r="AB58" s="252">
        <f t="shared" si="34"/>
        <v>0</v>
      </c>
      <c r="AC58" s="252">
        <f t="shared" si="34"/>
        <v>0</v>
      </c>
      <c r="AD58" s="252">
        <f t="shared" si="34"/>
        <v>0</v>
      </c>
      <c r="AE58" s="252">
        <f t="shared" si="34"/>
        <v>0</v>
      </c>
      <c r="AF58" s="252">
        <f t="shared" si="34"/>
        <v>0</v>
      </c>
      <c r="AG58" s="252">
        <f t="shared" si="34"/>
        <v>0</v>
      </c>
      <c r="AH58" s="252">
        <f t="shared" si="34"/>
        <v>0</v>
      </c>
      <c r="AI58" s="252">
        <f t="shared" si="34"/>
        <v>0</v>
      </c>
      <c r="AJ58" s="252">
        <f t="shared" si="34"/>
        <v>0</v>
      </c>
      <c r="AK58" s="252">
        <f t="shared" si="34"/>
        <v>0</v>
      </c>
      <c r="AL58" s="252">
        <f t="shared" si="34"/>
        <v>0</v>
      </c>
      <c r="AM58" s="252">
        <f t="shared" si="34"/>
        <v>0</v>
      </c>
      <c r="AN58" s="252">
        <f t="shared" si="34"/>
        <v>0</v>
      </c>
      <c r="AO58" s="252">
        <f t="shared" si="34"/>
        <v>0</v>
      </c>
      <c r="AP58" s="252">
        <f t="shared" si="34"/>
        <v>0</v>
      </c>
      <c r="AQ58" s="252">
        <f t="shared" si="34"/>
        <v>0</v>
      </c>
      <c r="AR58" s="252">
        <f t="shared" si="34"/>
        <v>0</v>
      </c>
      <c r="AS58" s="252">
        <f t="shared" si="34"/>
        <v>0</v>
      </c>
      <c r="AT58" s="252">
        <f t="shared" si="34"/>
        <v>0</v>
      </c>
      <c r="AU58" s="252">
        <f t="shared" si="34"/>
        <v>0</v>
      </c>
      <c r="AV58" s="252">
        <f t="shared" si="34"/>
        <v>0</v>
      </c>
      <c r="AW58" s="252">
        <f t="shared" si="34"/>
        <v>0</v>
      </c>
      <c r="AX58" s="252">
        <f t="shared" si="34"/>
        <v>0</v>
      </c>
      <c r="AY58" s="252">
        <f t="shared" si="34"/>
        <v>0</v>
      </c>
      <c r="AZ58" s="252">
        <f t="shared" si="34"/>
        <v>0</v>
      </c>
      <c r="BA58" s="252">
        <f t="shared" si="34"/>
        <v>0</v>
      </c>
      <c r="BB58" s="252">
        <f t="shared" si="34"/>
        <v>0</v>
      </c>
    </row>
    <row r="59" ht="15.75" customHeight="1">
      <c r="A59" s="738">
        <v>1934.0</v>
      </c>
      <c r="B59" s="38"/>
      <c r="C59" s="38"/>
      <c r="D59" s="38"/>
      <c r="E59" s="38"/>
      <c r="F59" s="38"/>
      <c r="G59" s="38"/>
      <c r="H59" s="38"/>
      <c r="I59" s="38"/>
      <c r="J59" s="38"/>
      <c r="K59" s="38"/>
      <c r="L59" s="38"/>
      <c r="M59" s="38"/>
      <c r="N59" s="38"/>
      <c r="O59" s="38"/>
      <c r="P59" s="38"/>
      <c r="Q59" s="38"/>
      <c r="R59" s="24">
        <v>0.0</v>
      </c>
      <c r="S59" s="739">
        <v>1941.0</v>
      </c>
      <c r="T59" s="740">
        <v>13.5</v>
      </c>
      <c r="U59" s="38"/>
      <c r="V59" s="741">
        <v>0.0</v>
      </c>
      <c r="W59" s="252">
        <f t="shared" si="31"/>
        <v>0</v>
      </c>
      <c r="X59" s="252">
        <f t="shared" ref="X59:BB59" si="35">IF(AND(X$54-$A59&gt;$V$38,SUM($W59:W59)&lt;&gt;$V59),$V59,0)</f>
        <v>0</v>
      </c>
      <c r="Y59" s="252">
        <f t="shared" si="35"/>
        <v>0</v>
      </c>
      <c r="Z59" s="252">
        <f t="shared" si="35"/>
        <v>0</v>
      </c>
      <c r="AA59" s="252">
        <f t="shared" si="35"/>
        <v>0</v>
      </c>
      <c r="AB59" s="252">
        <f t="shared" si="35"/>
        <v>0</v>
      </c>
      <c r="AC59" s="252">
        <f t="shared" si="35"/>
        <v>0</v>
      </c>
      <c r="AD59" s="252">
        <f t="shared" si="35"/>
        <v>0</v>
      </c>
      <c r="AE59" s="252">
        <f t="shared" si="35"/>
        <v>0</v>
      </c>
      <c r="AF59" s="252">
        <f t="shared" si="35"/>
        <v>0</v>
      </c>
      <c r="AG59" s="252">
        <f t="shared" si="35"/>
        <v>0</v>
      </c>
      <c r="AH59" s="252">
        <f t="shared" si="35"/>
        <v>0</v>
      </c>
      <c r="AI59" s="252">
        <f t="shared" si="35"/>
        <v>0</v>
      </c>
      <c r="AJ59" s="252">
        <f t="shared" si="35"/>
        <v>0</v>
      </c>
      <c r="AK59" s="252">
        <f t="shared" si="35"/>
        <v>0</v>
      </c>
      <c r="AL59" s="252">
        <f t="shared" si="35"/>
        <v>0</v>
      </c>
      <c r="AM59" s="252">
        <f t="shared" si="35"/>
        <v>0</v>
      </c>
      <c r="AN59" s="252">
        <f t="shared" si="35"/>
        <v>0</v>
      </c>
      <c r="AO59" s="252">
        <f t="shared" si="35"/>
        <v>0</v>
      </c>
      <c r="AP59" s="252">
        <f t="shared" si="35"/>
        <v>0</v>
      </c>
      <c r="AQ59" s="252">
        <f t="shared" si="35"/>
        <v>0</v>
      </c>
      <c r="AR59" s="252">
        <f t="shared" si="35"/>
        <v>0</v>
      </c>
      <c r="AS59" s="252">
        <f t="shared" si="35"/>
        <v>0</v>
      </c>
      <c r="AT59" s="252">
        <f t="shared" si="35"/>
        <v>0</v>
      </c>
      <c r="AU59" s="252">
        <f t="shared" si="35"/>
        <v>0</v>
      </c>
      <c r="AV59" s="252">
        <f t="shared" si="35"/>
        <v>0</v>
      </c>
      <c r="AW59" s="252">
        <f t="shared" si="35"/>
        <v>0</v>
      </c>
      <c r="AX59" s="252">
        <f t="shared" si="35"/>
        <v>0</v>
      </c>
      <c r="AY59" s="252">
        <f t="shared" si="35"/>
        <v>0</v>
      </c>
      <c r="AZ59" s="252">
        <f t="shared" si="35"/>
        <v>0</v>
      </c>
      <c r="BA59" s="252">
        <f t="shared" si="35"/>
        <v>0</v>
      </c>
      <c r="BB59" s="252">
        <f t="shared" si="35"/>
        <v>0</v>
      </c>
    </row>
    <row r="60" ht="15.75" customHeight="1">
      <c r="A60" s="738">
        <v>1935.0</v>
      </c>
      <c r="B60" s="38"/>
      <c r="C60" s="38"/>
      <c r="D60" s="38"/>
      <c r="E60" s="38"/>
      <c r="F60" s="38"/>
      <c r="G60" s="38"/>
      <c r="H60" s="38"/>
      <c r="I60" s="38"/>
      <c r="J60" s="38"/>
      <c r="K60" s="38"/>
      <c r="L60" s="38"/>
      <c r="M60" s="38"/>
      <c r="N60" s="38"/>
      <c r="O60" s="38"/>
      <c r="P60" s="38"/>
      <c r="Q60" s="38"/>
      <c r="R60" s="24">
        <v>0.0</v>
      </c>
      <c r="S60" s="739">
        <v>1946.0</v>
      </c>
      <c r="T60" s="740">
        <v>13.5</v>
      </c>
      <c r="U60" s="38"/>
      <c r="V60" s="741">
        <v>0.0</v>
      </c>
      <c r="W60" s="252">
        <f t="shared" si="31"/>
        <v>0</v>
      </c>
      <c r="X60" s="252">
        <f t="shared" ref="X60:BB60" si="36">IF(AND(X$54-$A60&gt;$V$38,SUM($W60:W60)&lt;&gt;$V60),$V60,0)</f>
        <v>0</v>
      </c>
      <c r="Y60" s="252">
        <f t="shared" si="36"/>
        <v>0</v>
      </c>
      <c r="Z60" s="252">
        <f t="shared" si="36"/>
        <v>0</v>
      </c>
      <c r="AA60" s="252">
        <f t="shared" si="36"/>
        <v>0</v>
      </c>
      <c r="AB60" s="252">
        <f t="shared" si="36"/>
        <v>0</v>
      </c>
      <c r="AC60" s="252">
        <f t="shared" si="36"/>
        <v>0</v>
      </c>
      <c r="AD60" s="252">
        <f t="shared" si="36"/>
        <v>0</v>
      </c>
      <c r="AE60" s="252">
        <f t="shared" si="36"/>
        <v>0</v>
      </c>
      <c r="AF60" s="252">
        <f t="shared" si="36"/>
        <v>0</v>
      </c>
      <c r="AG60" s="252">
        <f t="shared" si="36"/>
        <v>0</v>
      </c>
      <c r="AH60" s="252">
        <f t="shared" si="36"/>
        <v>0</v>
      </c>
      <c r="AI60" s="252">
        <f t="shared" si="36"/>
        <v>0</v>
      </c>
      <c r="AJ60" s="252">
        <f t="shared" si="36"/>
        <v>0</v>
      </c>
      <c r="AK60" s="252">
        <f t="shared" si="36"/>
        <v>0</v>
      </c>
      <c r="AL60" s="252">
        <f t="shared" si="36"/>
        <v>0</v>
      </c>
      <c r="AM60" s="252">
        <f t="shared" si="36"/>
        <v>0</v>
      </c>
      <c r="AN60" s="252">
        <f t="shared" si="36"/>
        <v>0</v>
      </c>
      <c r="AO60" s="252">
        <f t="shared" si="36"/>
        <v>0</v>
      </c>
      <c r="AP60" s="252">
        <f t="shared" si="36"/>
        <v>0</v>
      </c>
      <c r="AQ60" s="252">
        <f t="shared" si="36"/>
        <v>0</v>
      </c>
      <c r="AR60" s="252">
        <f t="shared" si="36"/>
        <v>0</v>
      </c>
      <c r="AS60" s="252">
        <f t="shared" si="36"/>
        <v>0</v>
      </c>
      <c r="AT60" s="252">
        <f t="shared" si="36"/>
        <v>0</v>
      </c>
      <c r="AU60" s="252">
        <f t="shared" si="36"/>
        <v>0</v>
      </c>
      <c r="AV60" s="252">
        <f t="shared" si="36"/>
        <v>0</v>
      </c>
      <c r="AW60" s="252">
        <f t="shared" si="36"/>
        <v>0</v>
      </c>
      <c r="AX60" s="252">
        <f t="shared" si="36"/>
        <v>0</v>
      </c>
      <c r="AY60" s="252">
        <f t="shared" si="36"/>
        <v>0</v>
      </c>
      <c r="AZ60" s="252">
        <f t="shared" si="36"/>
        <v>0</v>
      </c>
      <c r="BA60" s="252">
        <f t="shared" si="36"/>
        <v>0</v>
      </c>
      <c r="BB60" s="252">
        <f t="shared" si="36"/>
        <v>0</v>
      </c>
    </row>
    <row r="61" ht="15.75" customHeight="1">
      <c r="A61" s="738">
        <v>1936.0</v>
      </c>
      <c r="B61" s="38"/>
      <c r="C61" s="38"/>
      <c r="D61" s="38"/>
      <c r="E61" s="38"/>
      <c r="F61" s="38"/>
      <c r="G61" s="38"/>
      <c r="H61" s="38"/>
      <c r="I61" s="38"/>
      <c r="J61" s="38"/>
      <c r="K61" s="38"/>
      <c r="L61" s="38"/>
      <c r="M61" s="38"/>
      <c r="N61" s="38"/>
      <c r="O61" s="38"/>
      <c r="P61" s="38"/>
      <c r="Q61" s="38"/>
      <c r="R61" s="24">
        <v>0.0</v>
      </c>
      <c r="S61" s="739">
        <v>1947.0</v>
      </c>
      <c r="T61" s="740">
        <v>20.5</v>
      </c>
      <c r="U61" s="38"/>
      <c r="V61" s="741">
        <v>6.0</v>
      </c>
      <c r="W61" s="252">
        <f t="shared" si="31"/>
        <v>6</v>
      </c>
      <c r="X61" s="252">
        <f t="shared" ref="X61:BB61" si="37">IF(AND(X$54-$A61&gt;$V$38,SUM($W61:W61)&lt;&gt;$V61),$V61,0)</f>
        <v>0</v>
      </c>
      <c r="Y61" s="252">
        <f t="shared" si="37"/>
        <v>0</v>
      </c>
      <c r="Z61" s="252">
        <f t="shared" si="37"/>
        <v>0</v>
      </c>
      <c r="AA61" s="252">
        <f t="shared" si="37"/>
        <v>0</v>
      </c>
      <c r="AB61" s="252">
        <f t="shared" si="37"/>
        <v>0</v>
      </c>
      <c r="AC61" s="252">
        <f t="shared" si="37"/>
        <v>0</v>
      </c>
      <c r="AD61" s="252">
        <f t="shared" si="37"/>
        <v>0</v>
      </c>
      <c r="AE61" s="252">
        <f t="shared" si="37"/>
        <v>0</v>
      </c>
      <c r="AF61" s="252">
        <f t="shared" si="37"/>
        <v>0</v>
      </c>
      <c r="AG61" s="252">
        <f t="shared" si="37"/>
        <v>0</v>
      </c>
      <c r="AH61" s="252">
        <f t="shared" si="37"/>
        <v>0</v>
      </c>
      <c r="AI61" s="252">
        <f t="shared" si="37"/>
        <v>0</v>
      </c>
      <c r="AJ61" s="252">
        <f t="shared" si="37"/>
        <v>0</v>
      </c>
      <c r="AK61" s="252">
        <f t="shared" si="37"/>
        <v>0</v>
      </c>
      <c r="AL61" s="252">
        <f t="shared" si="37"/>
        <v>0</v>
      </c>
      <c r="AM61" s="252">
        <f t="shared" si="37"/>
        <v>0</v>
      </c>
      <c r="AN61" s="252">
        <f t="shared" si="37"/>
        <v>0</v>
      </c>
      <c r="AO61" s="252">
        <f t="shared" si="37"/>
        <v>0</v>
      </c>
      <c r="AP61" s="252">
        <f t="shared" si="37"/>
        <v>0</v>
      </c>
      <c r="AQ61" s="252">
        <f t="shared" si="37"/>
        <v>0</v>
      </c>
      <c r="AR61" s="252">
        <f t="shared" si="37"/>
        <v>0</v>
      </c>
      <c r="AS61" s="252">
        <f t="shared" si="37"/>
        <v>0</v>
      </c>
      <c r="AT61" s="252">
        <f t="shared" si="37"/>
        <v>0</v>
      </c>
      <c r="AU61" s="252">
        <f t="shared" si="37"/>
        <v>0</v>
      </c>
      <c r="AV61" s="252">
        <f t="shared" si="37"/>
        <v>0</v>
      </c>
      <c r="AW61" s="252">
        <f t="shared" si="37"/>
        <v>0</v>
      </c>
      <c r="AX61" s="252">
        <f t="shared" si="37"/>
        <v>0</v>
      </c>
      <c r="AY61" s="252">
        <f t="shared" si="37"/>
        <v>0</v>
      </c>
      <c r="AZ61" s="252">
        <f t="shared" si="37"/>
        <v>0</v>
      </c>
      <c r="BA61" s="252">
        <f t="shared" si="37"/>
        <v>0</v>
      </c>
      <c r="BB61" s="252">
        <f t="shared" si="37"/>
        <v>0</v>
      </c>
    </row>
    <row r="62" ht="15.75" customHeight="1">
      <c r="A62" s="738">
        <v>1937.0</v>
      </c>
      <c r="B62" s="38"/>
      <c r="C62" s="38"/>
      <c r="D62" s="38"/>
      <c r="E62" s="38"/>
      <c r="F62" s="38"/>
      <c r="G62" s="38"/>
      <c r="H62" s="38"/>
      <c r="I62" s="38"/>
      <c r="J62" s="38"/>
      <c r="K62" s="38"/>
      <c r="L62" s="38"/>
      <c r="M62" s="38"/>
      <c r="N62" s="38"/>
      <c r="O62" s="38"/>
      <c r="P62" s="38"/>
      <c r="Q62" s="38"/>
      <c r="R62" s="24">
        <v>0.0</v>
      </c>
      <c r="S62" s="739">
        <v>1948.0</v>
      </c>
      <c r="T62" s="740">
        <v>15.5</v>
      </c>
      <c r="U62" s="38"/>
      <c r="V62" s="741">
        <v>7.5</v>
      </c>
      <c r="W62" s="252">
        <f t="shared" si="31"/>
        <v>7.5</v>
      </c>
      <c r="X62" s="252">
        <f t="shared" ref="X62:BB62" si="38">IF(AND(X$54-$A62&gt;$V$38,SUM($W62:W62)&lt;&gt;$V62),$V62,0)</f>
        <v>0</v>
      </c>
      <c r="Y62" s="252">
        <f t="shared" si="38"/>
        <v>0</v>
      </c>
      <c r="Z62" s="252">
        <f t="shared" si="38"/>
        <v>0</v>
      </c>
      <c r="AA62" s="252">
        <f t="shared" si="38"/>
        <v>0</v>
      </c>
      <c r="AB62" s="252">
        <f t="shared" si="38"/>
        <v>0</v>
      </c>
      <c r="AC62" s="252">
        <f t="shared" si="38"/>
        <v>0</v>
      </c>
      <c r="AD62" s="252">
        <f t="shared" si="38"/>
        <v>0</v>
      </c>
      <c r="AE62" s="252">
        <f t="shared" si="38"/>
        <v>0</v>
      </c>
      <c r="AF62" s="252">
        <f t="shared" si="38"/>
        <v>0</v>
      </c>
      <c r="AG62" s="252">
        <f t="shared" si="38"/>
        <v>0</v>
      </c>
      <c r="AH62" s="252">
        <f t="shared" si="38"/>
        <v>0</v>
      </c>
      <c r="AI62" s="252">
        <f t="shared" si="38"/>
        <v>0</v>
      </c>
      <c r="AJ62" s="252">
        <f t="shared" si="38"/>
        <v>0</v>
      </c>
      <c r="AK62" s="252">
        <f t="shared" si="38"/>
        <v>0</v>
      </c>
      <c r="AL62" s="252">
        <f t="shared" si="38"/>
        <v>0</v>
      </c>
      <c r="AM62" s="252">
        <f t="shared" si="38"/>
        <v>0</v>
      </c>
      <c r="AN62" s="252">
        <f t="shared" si="38"/>
        <v>0</v>
      </c>
      <c r="AO62" s="252">
        <f t="shared" si="38"/>
        <v>0</v>
      </c>
      <c r="AP62" s="252">
        <f t="shared" si="38"/>
        <v>0</v>
      </c>
      <c r="AQ62" s="252">
        <f t="shared" si="38"/>
        <v>0</v>
      </c>
      <c r="AR62" s="252">
        <f t="shared" si="38"/>
        <v>0</v>
      </c>
      <c r="AS62" s="252">
        <f t="shared" si="38"/>
        <v>0</v>
      </c>
      <c r="AT62" s="252">
        <f t="shared" si="38"/>
        <v>0</v>
      </c>
      <c r="AU62" s="252">
        <f t="shared" si="38"/>
        <v>0</v>
      </c>
      <c r="AV62" s="252">
        <f t="shared" si="38"/>
        <v>0</v>
      </c>
      <c r="AW62" s="252">
        <f t="shared" si="38"/>
        <v>0</v>
      </c>
      <c r="AX62" s="252">
        <f t="shared" si="38"/>
        <v>0</v>
      </c>
      <c r="AY62" s="252">
        <f t="shared" si="38"/>
        <v>0</v>
      </c>
      <c r="AZ62" s="252">
        <f t="shared" si="38"/>
        <v>0</v>
      </c>
      <c r="BA62" s="252">
        <f t="shared" si="38"/>
        <v>0</v>
      </c>
      <c r="BB62" s="252">
        <f t="shared" si="38"/>
        <v>0</v>
      </c>
    </row>
    <row r="63" ht="15.75" customHeight="1">
      <c r="A63" s="738">
        <v>1938.0</v>
      </c>
      <c r="B63" s="38"/>
      <c r="C63" s="38"/>
      <c r="D63" s="38"/>
      <c r="E63" s="38"/>
      <c r="F63" s="38"/>
      <c r="G63" s="38"/>
      <c r="H63" s="38"/>
      <c r="I63" s="38"/>
      <c r="J63" s="38"/>
      <c r="K63" s="38"/>
      <c r="L63" s="38"/>
      <c r="M63" s="38"/>
      <c r="N63" s="38"/>
      <c r="O63" s="38"/>
      <c r="P63" s="38"/>
      <c r="Q63" s="38"/>
      <c r="R63" s="24">
        <v>0.0</v>
      </c>
      <c r="S63" s="739">
        <v>1949.0</v>
      </c>
      <c r="T63" s="740">
        <v>20.5</v>
      </c>
      <c r="U63" s="38"/>
      <c r="V63" s="741">
        <v>0.0</v>
      </c>
      <c r="W63" s="252">
        <f t="shared" si="31"/>
        <v>0</v>
      </c>
      <c r="X63" s="252">
        <f t="shared" ref="X63:BB63" si="39">IF(AND(X$54-$A63&gt;$V$38,SUM($W63:W63)&lt;&gt;$V63),$V63,0)</f>
        <v>0</v>
      </c>
      <c r="Y63" s="252">
        <f t="shared" si="39"/>
        <v>0</v>
      </c>
      <c r="Z63" s="252">
        <f t="shared" si="39"/>
        <v>0</v>
      </c>
      <c r="AA63" s="252">
        <f t="shared" si="39"/>
        <v>0</v>
      </c>
      <c r="AB63" s="252">
        <f t="shared" si="39"/>
        <v>0</v>
      </c>
      <c r="AC63" s="252">
        <f t="shared" si="39"/>
        <v>0</v>
      </c>
      <c r="AD63" s="252">
        <f t="shared" si="39"/>
        <v>0</v>
      </c>
      <c r="AE63" s="252">
        <f t="shared" si="39"/>
        <v>0</v>
      </c>
      <c r="AF63" s="252">
        <f t="shared" si="39"/>
        <v>0</v>
      </c>
      <c r="AG63" s="252">
        <f t="shared" si="39"/>
        <v>0</v>
      </c>
      <c r="AH63" s="252">
        <f t="shared" si="39"/>
        <v>0</v>
      </c>
      <c r="AI63" s="252">
        <f t="shared" si="39"/>
        <v>0</v>
      </c>
      <c r="AJ63" s="252">
        <f t="shared" si="39"/>
        <v>0</v>
      </c>
      <c r="AK63" s="252">
        <f t="shared" si="39"/>
        <v>0</v>
      </c>
      <c r="AL63" s="252">
        <f t="shared" si="39"/>
        <v>0</v>
      </c>
      <c r="AM63" s="252">
        <f t="shared" si="39"/>
        <v>0</v>
      </c>
      <c r="AN63" s="252">
        <f t="shared" si="39"/>
        <v>0</v>
      </c>
      <c r="AO63" s="252">
        <f t="shared" si="39"/>
        <v>0</v>
      </c>
      <c r="AP63" s="252">
        <f t="shared" si="39"/>
        <v>0</v>
      </c>
      <c r="AQ63" s="252">
        <f t="shared" si="39"/>
        <v>0</v>
      </c>
      <c r="AR63" s="252">
        <f t="shared" si="39"/>
        <v>0</v>
      </c>
      <c r="AS63" s="252">
        <f t="shared" si="39"/>
        <v>0</v>
      </c>
      <c r="AT63" s="252">
        <f t="shared" si="39"/>
        <v>0</v>
      </c>
      <c r="AU63" s="252">
        <f t="shared" si="39"/>
        <v>0</v>
      </c>
      <c r="AV63" s="252">
        <f t="shared" si="39"/>
        <v>0</v>
      </c>
      <c r="AW63" s="252">
        <f t="shared" si="39"/>
        <v>0</v>
      </c>
      <c r="AX63" s="252">
        <f t="shared" si="39"/>
        <v>0</v>
      </c>
      <c r="AY63" s="252">
        <f t="shared" si="39"/>
        <v>0</v>
      </c>
      <c r="AZ63" s="252">
        <f t="shared" si="39"/>
        <v>0</v>
      </c>
      <c r="BA63" s="252">
        <f t="shared" si="39"/>
        <v>0</v>
      </c>
      <c r="BB63" s="252">
        <f t="shared" si="39"/>
        <v>0</v>
      </c>
    </row>
    <row r="64" ht="15.75" customHeight="1">
      <c r="A64" s="738">
        <v>1939.0</v>
      </c>
      <c r="B64" s="38"/>
      <c r="C64" s="38"/>
      <c r="D64" s="38"/>
      <c r="E64" s="38"/>
      <c r="F64" s="38"/>
      <c r="G64" s="38"/>
      <c r="H64" s="38"/>
      <c r="I64" s="38"/>
      <c r="J64" s="38"/>
      <c r="K64" s="38"/>
      <c r="L64" s="38"/>
      <c r="M64" s="38"/>
      <c r="N64" s="38"/>
      <c r="O64" s="38"/>
      <c r="P64" s="38"/>
      <c r="Q64" s="38"/>
      <c r="R64" s="24">
        <v>0.0</v>
      </c>
      <c r="S64" s="739">
        <v>1950.0</v>
      </c>
      <c r="T64" s="740">
        <v>4.0</v>
      </c>
      <c r="U64" s="38"/>
      <c r="V64" s="741">
        <v>6.0</v>
      </c>
      <c r="W64" s="252">
        <f t="shared" si="31"/>
        <v>6</v>
      </c>
      <c r="X64" s="252">
        <f t="shared" ref="X64:BB64" si="40">IF(AND(X$54-$A64&gt;$V$38,SUM($W64:W64)&lt;&gt;$V64),$V64,0)</f>
        <v>0</v>
      </c>
      <c r="Y64" s="252">
        <f t="shared" si="40"/>
        <v>0</v>
      </c>
      <c r="Z64" s="252">
        <f t="shared" si="40"/>
        <v>0</v>
      </c>
      <c r="AA64" s="252">
        <f t="shared" si="40"/>
        <v>0</v>
      </c>
      <c r="AB64" s="252">
        <f t="shared" si="40"/>
        <v>0</v>
      </c>
      <c r="AC64" s="252">
        <f t="shared" si="40"/>
        <v>0</v>
      </c>
      <c r="AD64" s="252">
        <f t="shared" si="40"/>
        <v>0</v>
      </c>
      <c r="AE64" s="252">
        <f t="shared" si="40"/>
        <v>0</v>
      </c>
      <c r="AF64" s="252">
        <f t="shared" si="40"/>
        <v>0</v>
      </c>
      <c r="AG64" s="252">
        <f t="shared" si="40"/>
        <v>0</v>
      </c>
      <c r="AH64" s="252">
        <f t="shared" si="40"/>
        <v>0</v>
      </c>
      <c r="AI64" s="252">
        <f t="shared" si="40"/>
        <v>0</v>
      </c>
      <c r="AJ64" s="252">
        <f t="shared" si="40"/>
        <v>0</v>
      </c>
      <c r="AK64" s="252">
        <f t="shared" si="40"/>
        <v>0</v>
      </c>
      <c r="AL64" s="252">
        <f t="shared" si="40"/>
        <v>0</v>
      </c>
      <c r="AM64" s="252">
        <f t="shared" si="40"/>
        <v>0</v>
      </c>
      <c r="AN64" s="252">
        <f t="shared" si="40"/>
        <v>0</v>
      </c>
      <c r="AO64" s="252">
        <f t="shared" si="40"/>
        <v>0</v>
      </c>
      <c r="AP64" s="252">
        <f t="shared" si="40"/>
        <v>0</v>
      </c>
      <c r="AQ64" s="252">
        <f t="shared" si="40"/>
        <v>0</v>
      </c>
      <c r="AR64" s="252">
        <f t="shared" si="40"/>
        <v>0</v>
      </c>
      <c r="AS64" s="252">
        <f t="shared" si="40"/>
        <v>0</v>
      </c>
      <c r="AT64" s="252">
        <f t="shared" si="40"/>
        <v>0</v>
      </c>
      <c r="AU64" s="252">
        <f t="shared" si="40"/>
        <v>0</v>
      </c>
      <c r="AV64" s="252">
        <f t="shared" si="40"/>
        <v>0</v>
      </c>
      <c r="AW64" s="252">
        <f t="shared" si="40"/>
        <v>0</v>
      </c>
      <c r="AX64" s="252">
        <f t="shared" si="40"/>
        <v>0</v>
      </c>
      <c r="AY64" s="252">
        <f t="shared" si="40"/>
        <v>0</v>
      </c>
      <c r="AZ64" s="252">
        <f t="shared" si="40"/>
        <v>0</v>
      </c>
      <c r="BA64" s="252">
        <f t="shared" si="40"/>
        <v>0</v>
      </c>
      <c r="BB64" s="252">
        <f t="shared" si="40"/>
        <v>0</v>
      </c>
    </row>
    <row r="65" ht="15.75" customHeight="1">
      <c r="A65" s="738">
        <v>1940.0</v>
      </c>
      <c r="B65" s="38"/>
      <c r="C65" s="38"/>
      <c r="D65" s="38"/>
      <c r="E65" s="38"/>
      <c r="F65" s="38"/>
      <c r="G65" s="38"/>
      <c r="H65" s="38"/>
      <c r="I65" s="38"/>
      <c r="J65" s="38"/>
      <c r="K65" s="38"/>
      <c r="L65" s="38"/>
      <c r="M65" s="38"/>
      <c r="N65" s="38"/>
      <c r="O65" s="38"/>
      <c r="P65" s="38"/>
      <c r="Q65" s="38"/>
      <c r="R65" s="24">
        <v>0.0</v>
      </c>
      <c r="S65" s="739">
        <v>1951.0</v>
      </c>
      <c r="T65" s="740">
        <v>10.5</v>
      </c>
      <c r="U65" s="38"/>
      <c r="V65" s="741">
        <v>0.0</v>
      </c>
      <c r="W65" s="252">
        <f t="shared" si="31"/>
        <v>0</v>
      </c>
      <c r="X65" s="252">
        <f t="shared" ref="X65:BB65" si="41">IF(AND(X$54-$A65&gt;$V$38,SUM($W65:W65)&lt;&gt;$V65),$V65,0)</f>
        <v>0</v>
      </c>
      <c r="Y65" s="252">
        <f t="shared" si="41"/>
        <v>0</v>
      </c>
      <c r="Z65" s="252">
        <f t="shared" si="41"/>
        <v>0</v>
      </c>
      <c r="AA65" s="252">
        <f t="shared" si="41"/>
        <v>0</v>
      </c>
      <c r="AB65" s="252">
        <f t="shared" si="41"/>
        <v>0</v>
      </c>
      <c r="AC65" s="252">
        <f t="shared" si="41"/>
        <v>0</v>
      </c>
      <c r="AD65" s="252">
        <f t="shared" si="41"/>
        <v>0</v>
      </c>
      <c r="AE65" s="252">
        <f t="shared" si="41"/>
        <v>0</v>
      </c>
      <c r="AF65" s="252">
        <f t="shared" si="41"/>
        <v>0</v>
      </c>
      <c r="AG65" s="252">
        <f t="shared" si="41"/>
        <v>0</v>
      </c>
      <c r="AH65" s="252">
        <f t="shared" si="41"/>
        <v>0</v>
      </c>
      <c r="AI65" s="252">
        <f t="shared" si="41"/>
        <v>0</v>
      </c>
      <c r="AJ65" s="252">
        <f t="shared" si="41"/>
        <v>0</v>
      </c>
      <c r="AK65" s="252">
        <f t="shared" si="41"/>
        <v>0</v>
      </c>
      <c r="AL65" s="252">
        <f t="shared" si="41"/>
        <v>0</v>
      </c>
      <c r="AM65" s="252">
        <f t="shared" si="41"/>
        <v>0</v>
      </c>
      <c r="AN65" s="252">
        <f t="shared" si="41"/>
        <v>0</v>
      </c>
      <c r="AO65" s="252">
        <f t="shared" si="41"/>
        <v>0</v>
      </c>
      <c r="AP65" s="252">
        <f t="shared" si="41"/>
        <v>0</v>
      </c>
      <c r="AQ65" s="252">
        <f t="shared" si="41"/>
        <v>0</v>
      </c>
      <c r="AR65" s="252">
        <f t="shared" si="41"/>
        <v>0</v>
      </c>
      <c r="AS65" s="252">
        <f t="shared" si="41"/>
        <v>0</v>
      </c>
      <c r="AT65" s="252">
        <f t="shared" si="41"/>
        <v>0</v>
      </c>
      <c r="AU65" s="252">
        <f t="shared" si="41"/>
        <v>0</v>
      </c>
      <c r="AV65" s="252">
        <f t="shared" si="41"/>
        <v>0</v>
      </c>
      <c r="AW65" s="252">
        <f t="shared" si="41"/>
        <v>0</v>
      </c>
      <c r="AX65" s="252">
        <f t="shared" si="41"/>
        <v>0</v>
      </c>
      <c r="AY65" s="252">
        <f t="shared" si="41"/>
        <v>0</v>
      </c>
      <c r="AZ65" s="252">
        <f t="shared" si="41"/>
        <v>0</v>
      </c>
      <c r="BA65" s="252">
        <f t="shared" si="41"/>
        <v>0</v>
      </c>
      <c r="BB65" s="252">
        <f t="shared" si="41"/>
        <v>0</v>
      </c>
    </row>
    <row r="66" ht="15.75" customHeight="1">
      <c r="A66" s="738">
        <v>1941.0</v>
      </c>
      <c r="B66" s="38"/>
      <c r="C66" s="38"/>
      <c r="D66" s="38"/>
      <c r="E66" s="38"/>
      <c r="F66" s="38"/>
      <c r="G66" s="38"/>
      <c r="H66" s="38"/>
      <c r="I66" s="38"/>
      <c r="J66" s="38"/>
      <c r="K66" s="38"/>
      <c r="L66" s="38"/>
      <c r="M66" s="38"/>
      <c r="N66" s="38"/>
      <c r="O66" s="38"/>
      <c r="P66" s="38"/>
      <c r="Q66" s="38"/>
      <c r="R66" s="24">
        <v>0.0</v>
      </c>
      <c r="S66" s="739">
        <v>1952.0</v>
      </c>
      <c r="T66" s="740">
        <v>155.0</v>
      </c>
      <c r="U66" s="38"/>
      <c r="V66" s="741">
        <v>13.5</v>
      </c>
      <c r="W66" s="252">
        <f t="shared" si="31"/>
        <v>13.5</v>
      </c>
      <c r="X66" s="252">
        <f t="shared" ref="X66:BB66" si="42">IF(AND(X$54-$A66&gt;$V$38,SUM($W66:W66)&lt;&gt;$V66),$V66,0)</f>
        <v>0</v>
      </c>
      <c r="Y66" s="252">
        <f t="shared" si="42"/>
        <v>0</v>
      </c>
      <c r="Z66" s="252">
        <f t="shared" si="42"/>
        <v>0</v>
      </c>
      <c r="AA66" s="252">
        <f t="shared" si="42"/>
        <v>0</v>
      </c>
      <c r="AB66" s="252">
        <f t="shared" si="42"/>
        <v>0</v>
      </c>
      <c r="AC66" s="252">
        <f t="shared" si="42"/>
        <v>0</v>
      </c>
      <c r="AD66" s="252">
        <f t="shared" si="42"/>
        <v>0</v>
      </c>
      <c r="AE66" s="252">
        <f t="shared" si="42"/>
        <v>0</v>
      </c>
      <c r="AF66" s="252">
        <f t="shared" si="42"/>
        <v>0</v>
      </c>
      <c r="AG66" s="252">
        <f t="shared" si="42"/>
        <v>0</v>
      </c>
      <c r="AH66" s="252">
        <f t="shared" si="42"/>
        <v>0</v>
      </c>
      <c r="AI66" s="252">
        <f t="shared" si="42"/>
        <v>0</v>
      </c>
      <c r="AJ66" s="252">
        <f t="shared" si="42"/>
        <v>0</v>
      </c>
      <c r="AK66" s="252">
        <f t="shared" si="42"/>
        <v>0</v>
      </c>
      <c r="AL66" s="252">
        <f t="shared" si="42"/>
        <v>0</v>
      </c>
      <c r="AM66" s="252">
        <f t="shared" si="42"/>
        <v>0</v>
      </c>
      <c r="AN66" s="252">
        <f t="shared" si="42"/>
        <v>0</v>
      </c>
      <c r="AO66" s="252">
        <f t="shared" si="42"/>
        <v>0</v>
      </c>
      <c r="AP66" s="252">
        <f t="shared" si="42"/>
        <v>0</v>
      </c>
      <c r="AQ66" s="252">
        <f t="shared" si="42"/>
        <v>0</v>
      </c>
      <c r="AR66" s="252">
        <f t="shared" si="42"/>
        <v>0</v>
      </c>
      <c r="AS66" s="252">
        <f t="shared" si="42"/>
        <v>0</v>
      </c>
      <c r="AT66" s="252">
        <f t="shared" si="42"/>
        <v>0</v>
      </c>
      <c r="AU66" s="252">
        <f t="shared" si="42"/>
        <v>0</v>
      </c>
      <c r="AV66" s="252">
        <f t="shared" si="42"/>
        <v>0</v>
      </c>
      <c r="AW66" s="252">
        <f t="shared" si="42"/>
        <v>0</v>
      </c>
      <c r="AX66" s="252">
        <f t="shared" si="42"/>
        <v>0</v>
      </c>
      <c r="AY66" s="252">
        <f t="shared" si="42"/>
        <v>0</v>
      </c>
      <c r="AZ66" s="252">
        <f t="shared" si="42"/>
        <v>0</v>
      </c>
      <c r="BA66" s="252">
        <f t="shared" si="42"/>
        <v>0</v>
      </c>
      <c r="BB66" s="252">
        <f t="shared" si="42"/>
        <v>0</v>
      </c>
    </row>
    <row r="67" ht="15.75" customHeight="1">
      <c r="A67" s="738">
        <v>1942.0</v>
      </c>
      <c r="B67" s="38"/>
      <c r="C67" s="38"/>
      <c r="D67" s="38"/>
      <c r="E67" s="38"/>
      <c r="F67" s="38"/>
      <c r="G67" s="38"/>
      <c r="H67" s="38"/>
      <c r="I67" s="38"/>
      <c r="J67" s="38"/>
      <c r="K67" s="38"/>
      <c r="L67" s="38"/>
      <c r="M67" s="38"/>
      <c r="N67" s="38"/>
      <c r="O67" s="38"/>
      <c r="P67" s="38"/>
      <c r="Q67" s="38"/>
      <c r="R67" s="24">
        <v>0.0</v>
      </c>
      <c r="S67" s="739">
        <v>1953.0</v>
      </c>
      <c r="T67" s="740">
        <v>1230.0</v>
      </c>
      <c r="U67" s="38"/>
      <c r="V67" s="741">
        <v>0.0</v>
      </c>
      <c r="W67" s="252">
        <f t="shared" si="31"/>
        <v>0</v>
      </c>
      <c r="X67" s="252">
        <f t="shared" ref="X67:BB67" si="43">IF(AND(X$54-$A67&gt;$V$38,SUM($W67:W67)&lt;&gt;$V67),$V67,0)</f>
        <v>0</v>
      </c>
      <c r="Y67" s="252">
        <f t="shared" si="43"/>
        <v>0</v>
      </c>
      <c r="Z67" s="252">
        <f t="shared" si="43"/>
        <v>0</v>
      </c>
      <c r="AA67" s="252">
        <f t="shared" si="43"/>
        <v>0</v>
      </c>
      <c r="AB67" s="252">
        <f t="shared" si="43"/>
        <v>0</v>
      </c>
      <c r="AC67" s="252">
        <f t="shared" si="43"/>
        <v>0</v>
      </c>
      <c r="AD67" s="252">
        <f t="shared" si="43"/>
        <v>0</v>
      </c>
      <c r="AE67" s="252">
        <f t="shared" si="43"/>
        <v>0</v>
      </c>
      <c r="AF67" s="252">
        <f t="shared" si="43"/>
        <v>0</v>
      </c>
      <c r="AG67" s="252">
        <f t="shared" si="43"/>
        <v>0</v>
      </c>
      <c r="AH67" s="252">
        <f t="shared" si="43"/>
        <v>0</v>
      </c>
      <c r="AI67" s="252">
        <f t="shared" si="43"/>
        <v>0</v>
      </c>
      <c r="AJ67" s="252">
        <f t="shared" si="43"/>
        <v>0</v>
      </c>
      <c r="AK67" s="252">
        <f t="shared" si="43"/>
        <v>0</v>
      </c>
      <c r="AL67" s="252">
        <f t="shared" si="43"/>
        <v>0</v>
      </c>
      <c r="AM67" s="252">
        <f t="shared" si="43"/>
        <v>0</v>
      </c>
      <c r="AN67" s="252">
        <f t="shared" si="43"/>
        <v>0</v>
      </c>
      <c r="AO67" s="252">
        <f t="shared" si="43"/>
        <v>0</v>
      </c>
      <c r="AP67" s="252">
        <f t="shared" si="43"/>
        <v>0</v>
      </c>
      <c r="AQ67" s="252">
        <f t="shared" si="43"/>
        <v>0</v>
      </c>
      <c r="AR67" s="252">
        <f t="shared" si="43"/>
        <v>0</v>
      </c>
      <c r="AS67" s="252">
        <f t="shared" si="43"/>
        <v>0</v>
      </c>
      <c r="AT67" s="252">
        <f t="shared" si="43"/>
        <v>0</v>
      </c>
      <c r="AU67" s="252">
        <f t="shared" si="43"/>
        <v>0</v>
      </c>
      <c r="AV67" s="252">
        <f t="shared" si="43"/>
        <v>0</v>
      </c>
      <c r="AW67" s="252">
        <f t="shared" si="43"/>
        <v>0</v>
      </c>
      <c r="AX67" s="252">
        <f t="shared" si="43"/>
        <v>0</v>
      </c>
      <c r="AY67" s="252">
        <f t="shared" si="43"/>
        <v>0</v>
      </c>
      <c r="AZ67" s="252">
        <f t="shared" si="43"/>
        <v>0</v>
      </c>
      <c r="BA67" s="252">
        <f t="shared" si="43"/>
        <v>0</v>
      </c>
      <c r="BB67" s="252">
        <f t="shared" si="43"/>
        <v>0</v>
      </c>
    </row>
    <row r="68" ht="15.75" customHeight="1">
      <c r="A68" s="738">
        <v>1943.0</v>
      </c>
      <c r="B68" s="38"/>
      <c r="C68" s="38"/>
      <c r="D68" s="38"/>
      <c r="E68" s="38"/>
      <c r="F68" s="38"/>
      <c r="G68" s="38"/>
      <c r="H68" s="38"/>
      <c r="I68" s="38"/>
      <c r="J68" s="38"/>
      <c r="K68" s="38"/>
      <c r="L68" s="38"/>
      <c r="M68" s="38"/>
      <c r="N68" s="38"/>
      <c r="O68" s="38"/>
      <c r="P68" s="38"/>
      <c r="Q68" s="38"/>
      <c r="R68" s="24">
        <v>0.0</v>
      </c>
      <c r="S68" s="739">
        <v>1954.0</v>
      </c>
      <c r="T68" s="740">
        <v>1922.0</v>
      </c>
      <c r="U68" s="38"/>
      <c r="V68" s="741">
        <v>0.0</v>
      </c>
      <c r="W68" s="252">
        <f t="shared" si="31"/>
        <v>0</v>
      </c>
      <c r="X68" s="252">
        <f t="shared" ref="X68:BB68" si="44">IF(AND(X$54-$A68&gt;$V$38,SUM($W68:W68)&lt;&gt;$V68),$V68,0)</f>
        <v>0</v>
      </c>
      <c r="Y68" s="252">
        <f t="shared" si="44"/>
        <v>0</v>
      </c>
      <c r="Z68" s="252">
        <f t="shared" si="44"/>
        <v>0</v>
      </c>
      <c r="AA68" s="252">
        <f t="shared" si="44"/>
        <v>0</v>
      </c>
      <c r="AB68" s="252">
        <f t="shared" si="44"/>
        <v>0</v>
      </c>
      <c r="AC68" s="252">
        <f t="shared" si="44"/>
        <v>0</v>
      </c>
      <c r="AD68" s="252">
        <f t="shared" si="44"/>
        <v>0</v>
      </c>
      <c r="AE68" s="252">
        <f t="shared" si="44"/>
        <v>0</v>
      </c>
      <c r="AF68" s="252">
        <f t="shared" si="44"/>
        <v>0</v>
      </c>
      <c r="AG68" s="252">
        <f t="shared" si="44"/>
        <v>0</v>
      </c>
      <c r="AH68" s="252">
        <f t="shared" si="44"/>
        <v>0</v>
      </c>
      <c r="AI68" s="252">
        <f t="shared" si="44"/>
        <v>0</v>
      </c>
      <c r="AJ68" s="252">
        <f t="shared" si="44"/>
        <v>0</v>
      </c>
      <c r="AK68" s="252">
        <f t="shared" si="44"/>
        <v>0</v>
      </c>
      <c r="AL68" s="252">
        <f t="shared" si="44"/>
        <v>0</v>
      </c>
      <c r="AM68" s="252">
        <f t="shared" si="44"/>
        <v>0</v>
      </c>
      <c r="AN68" s="252">
        <f t="shared" si="44"/>
        <v>0</v>
      </c>
      <c r="AO68" s="252">
        <f t="shared" si="44"/>
        <v>0</v>
      </c>
      <c r="AP68" s="252">
        <f t="shared" si="44"/>
        <v>0</v>
      </c>
      <c r="AQ68" s="252">
        <f t="shared" si="44"/>
        <v>0</v>
      </c>
      <c r="AR68" s="252">
        <f t="shared" si="44"/>
        <v>0</v>
      </c>
      <c r="AS68" s="252">
        <f t="shared" si="44"/>
        <v>0</v>
      </c>
      <c r="AT68" s="252">
        <f t="shared" si="44"/>
        <v>0</v>
      </c>
      <c r="AU68" s="252">
        <f t="shared" si="44"/>
        <v>0</v>
      </c>
      <c r="AV68" s="252">
        <f t="shared" si="44"/>
        <v>0</v>
      </c>
      <c r="AW68" s="252">
        <f t="shared" si="44"/>
        <v>0</v>
      </c>
      <c r="AX68" s="252">
        <f t="shared" si="44"/>
        <v>0</v>
      </c>
      <c r="AY68" s="252">
        <f t="shared" si="44"/>
        <v>0</v>
      </c>
      <c r="AZ68" s="252">
        <f t="shared" si="44"/>
        <v>0</v>
      </c>
      <c r="BA68" s="252">
        <f t="shared" si="44"/>
        <v>0</v>
      </c>
      <c r="BB68" s="252">
        <f t="shared" si="44"/>
        <v>0</v>
      </c>
    </row>
    <row r="69" ht="15.75" customHeight="1">
      <c r="A69" s="738">
        <v>1944.0</v>
      </c>
      <c r="B69" s="38"/>
      <c r="C69" s="38"/>
      <c r="D69" s="38"/>
      <c r="E69" s="38"/>
      <c r="F69" s="38"/>
      <c r="G69" s="38"/>
      <c r="H69" s="38"/>
      <c r="I69" s="38"/>
      <c r="J69" s="38"/>
      <c r="K69" s="38"/>
      <c r="L69" s="38"/>
      <c r="M69" s="38"/>
      <c r="N69" s="38"/>
      <c r="O69" s="38"/>
      <c r="P69" s="38"/>
      <c r="Q69" s="38"/>
      <c r="R69" s="24">
        <v>0.0</v>
      </c>
      <c r="S69" s="739">
        <v>1955.0</v>
      </c>
      <c r="T69" s="740">
        <v>3734.6</v>
      </c>
      <c r="U69" s="38"/>
      <c r="V69" s="741">
        <v>0.0</v>
      </c>
      <c r="W69" s="252">
        <f t="shared" si="31"/>
        <v>0</v>
      </c>
      <c r="X69" s="252">
        <f t="shared" ref="X69:BB69" si="45">IF(AND(X$54-$A69&gt;$V$38,SUM($W69:W69)&lt;&gt;$V69),$V69,0)</f>
        <v>0</v>
      </c>
      <c r="Y69" s="252">
        <f t="shared" si="45"/>
        <v>0</v>
      </c>
      <c r="Z69" s="252">
        <f t="shared" si="45"/>
        <v>0</v>
      </c>
      <c r="AA69" s="252">
        <f t="shared" si="45"/>
        <v>0</v>
      </c>
      <c r="AB69" s="252">
        <f t="shared" si="45"/>
        <v>0</v>
      </c>
      <c r="AC69" s="252">
        <f t="shared" si="45"/>
        <v>0</v>
      </c>
      <c r="AD69" s="252">
        <f t="shared" si="45"/>
        <v>0</v>
      </c>
      <c r="AE69" s="252">
        <f t="shared" si="45"/>
        <v>0</v>
      </c>
      <c r="AF69" s="252">
        <f t="shared" si="45"/>
        <v>0</v>
      </c>
      <c r="AG69" s="252">
        <f t="shared" si="45"/>
        <v>0</v>
      </c>
      <c r="AH69" s="252">
        <f t="shared" si="45"/>
        <v>0</v>
      </c>
      <c r="AI69" s="252">
        <f t="shared" si="45"/>
        <v>0</v>
      </c>
      <c r="AJ69" s="252">
        <f t="shared" si="45"/>
        <v>0</v>
      </c>
      <c r="AK69" s="252">
        <f t="shared" si="45"/>
        <v>0</v>
      </c>
      <c r="AL69" s="252">
        <f t="shared" si="45"/>
        <v>0</v>
      </c>
      <c r="AM69" s="252">
        <f t="shared" si="45"/>
        <v>0</v>
      </c>
      <c r="AN69" s="252">
        <f t="shared" si="45"/>
        <v>0</v>
      </c>
      <c r="AO69" s="252">
        <f t="shared" si="45"/>
        <v>0</v>
      </c>
      <c r="AP69" s="252">
        <f t="shared" si="45"/>
        <v>0</v>
      </c>
      <c r="AQ69" s="252">
        <f t="shared" si="45"/>
        <v>0</v>
      </c>
      <c r="AR69" s="252">
        <f t="shared" si="45"/>
        <v>0</v>
      </c>
      <c r="AS69" s="252">
        <f t="shared" si="45"/>
        <v>0</v>
      </c>
      <c r="AT69" s="252">
        <f t="shared" si="45"/>
        <v>0</v>
      </c>
      <c r="AU69" s="252">
        <f t="shared" si="45"/>
        <v>0</v>
      </c>
      <c r="AV69" s="252">
        <f t="shared" si="45"/>
        <v>0</v>
      </c>
      <c r="AW69" s="252">
        <f t="shared" si="45"/>
        <v>0</v>
      </c>
      <c r="AX69" s="252">
        <f t="shared" si="45"/>
        <v>0</v>
      </c>
      <c r="AY69" s="252">
        <f t="shared" si="45"/>
        <v>0</v>
      </c>
      <c r="AZ69" s="252">
        <f t="shared" si="45"/>
        <v>0</v>
      </c>
      <c r="BA69" s="252">
        <f t="shared" si="45"/>
        <v>0</v>
      </c>
      <c r="BB69" s="252">
        <f t="shared" si="45"/>
        <v>0</v>
      </c>
    </row>
    <row r="70" ht="15.75" customHeight="1">
      <c r="A70" s="738">
        <v>1945.0</v>
      </c>
      <c r="B70" s="38"/>
      <c r="C70" s="38"/>
      <c r="D70" s="38"/>
      <c r="E70" s="38"/>
      <c r="F70" s="38"/>
      <c r="G70" s="38"/>
      <c r="H70" s="38"/>
      <c r="I70" s="38"/>
      <c r="J70" s="38"/>
      <c r="K70" s="38"/>
      <c r="L70" s="38"/>
      <c r="M70" s="38"/>
      <c r="N70" s="38"/>
      <c r="O70" s="38"/>
      <c r="P70" s="38"/>
      <c r="Q70" s="38"/>
      <c r="R70" s="24">
        <v>0.0</v>
      </c>
      <c r="S70" s="739">
        <v>1956.0</v>
      </c>
      <c r="T70" s="740">
        <v>586.5</v>
      </c>
      <c r="U70" s="38"/>
      <c r="V70" s="741">
        <v>0.0</v>
      </c>
      <c r="W70" s="252">
        <f t="shared" si="31"/>
        <v>0</v>
      </c>
      <c r="X70" s="252">
        <f t="shared" ref="X70:BB70" si="46">IF(AND(X$54-$A70&gt;$V$38,SUM($W70:W70)&lt;&gt;$V70),$V70,0)</f>
        <v>0</v>
      </c>
      <c r="Y70" s="252">
        <f t="shared" si="46"/>
        <v>0</v>
      </c>
      <c r="Z70" s="252">
        <f t="shared" si="46"/>
        <v>0</v>
      </c>
      <c r="AA70" s="252">
        <f t="shared" si="46"/>
        <v>0</v>
      </c>
      <c r="AB70" s="252">
        <f t="shared" si="46"/>
        <v>0</v>
      </c>
      <c r="AC70" s="252">
        <f t="shared" si="46"/>
        <v>0</v>
      </c>
      <c r="AD70" s="252">
        <f t="shared" si="46"/>
        <v>0</v>
      </c>
      <c r="AE70" s="252">
        <f t="shared" si="46"/>
        <v>0</v>
      </c>
      <c r="AF70" s="252">
        <f t="shared" si="46"/>
        <v>0</v>
      </c>
      <c r="AG70" s="252">
        <f t="shared" si="46"/>
        <v>0</v>
      </c>
      <c r="AH70" s="252">
        <f t="shared" si="46"/>
        <v>0</v>
      </c>
      <c r="AI70" s="252">
        <f t="shared" si="46"/>
        <v>0</v>
      </c>
      <c r="AJ70" s="252">
        <f t="shared" si="46"/>
        <v>0</v>
      </c>
      <c r="AK70" s="252">
        <f t="shared" si="46"/>
        <v>0</v>
      </c>
      <c r="AL70" s="252">
        <f t="shared" si="46"/>
        <v>0</v>
      </c>
      <c r="AM70" s="252">
        <f t="shared" si="46"/>
        <v>0</v>
      </c>
      <c r="AN70" s="252">
        <f t="shared" si="46"/>
        <v>0</v>
      </c>
      <c r="AO70" s="252">
        <f t="shared" si="46"/>
        <v>0</v>
      </c>
      <c r="AP70" s="252">
        <f t="shared" si="46"/>
        <v>0</v>
      </c>
      <c r="AQ70" s="252">
        <f t="shared" si="46"/>
        <v>0</v>
      </c>
      <c r="AR70" s="252">
        <f t="shared" si="46"/>
        <v>0</v>
      </c>
      <c r="AS70" s="252">
        <f t="shared" si="46"/>
        <v>0</v>
      </c>
      <c r="AT70" s="252">
        <f t="shared" si="46"/>
        <v>0</v>
      </c>
      <c r="AU70" s="252">
        <f t="shared" si="46"/>
        <v>0</v>
      </c>
      <c r="AV70" s="252">
        <f t="shared" si="46"/>
        <v>0</v>
      </c>
      <c r="AW70" s="252">
        <f t="shared" si="46"/>
        <v>0</v>
      </c>
      <c r="AX70" s="252">
        <f t="shared" si="46"/>
        <v>0</v>
      </c>
      <c r="AY70" s="252">
        <f t="shared" si="46"/>
        <v>0</v>
      </c>
      <c r="AZ70" s="252">
        <f t="shared" si="46"/>
        <v>0</v>
      </c>
      <c r="BA70" s="252">
        <f t="shared" si="46"/>
        <v>0</v>
      </c>
      <c r="BB70" s="252">
        <f t="shared" si="46"/>
        <v>0</v>
      </c>
    </row>
    <row r="71" ht="15.75" customHeight="1">
      <c r="A71" s="738">
        <v>1946.0</v>
      </c>
      <c r="B71" s="38"/>
      <c r="C71" s="38"/>
      <c r="D71" s="38"/>
      <c r="E71" s="38"/>
      <c r="F71" s="38"/>
      <c r="G71" s="38"/>
      <c r="H71" s="38"/>
      <c r="I71" s="38"/>
      <c r="J71" s="38"/>
      <c r="K71" s="38"/>
      <c r="L71" s="38"/>
      <c r="M71" s="38"/>
      <c r="N71" s="38"/>
      <c r="O71" s="38"/>
      <c r="P71" s="38"/>
      <c r="Q71" s="38"/>
      <c r="R71" s="24">
        <v>0.0</v>
      </c>
      <c r="S71" s="739">
        <v>1957.0</v>
      </c>
      <c r="T71" s="740">
        <v>1143.8</v>
      </c>
      <c r="U71" s="38"/>
      <c r="V71" s="741">
        <v>13.5</v>
      </c>
      <c r="W71" s="252">
        <f t="shared" si="31"/>
        <v>13.5</v>
      </c>
      <c r="X71" s="252">
        <f t="shared" ref="X71:BB71" si="47">IF(AND(X$54-$A71&gt;$V$38,SUM($W71:W71)&lt;&gt;$V71),$V71,0)</f>
        <v>0</v>
      </c>
      <c r="Y71" s="252">
        <f t="shared" si="47"/>
        <v>0</v>
      </c>
      <c r="Z71" s="252">
        <f t="shared" si="47"/>
        <v>0</v>
      </c>
      <c r="AA71" s="252">
        <f t="shared" si="47"/>
        <v>0</v>
      </c>
      <c r="AB71" s="252">
        <f t="shared" si="47"/>
        <v>0</v>
      </c>
      <c r="AC71" s="252">
        <f t="shared" si="47"/>
        <v>0</v>
      </c>
      <c r="AD71" s="252">
        <f t="shared" si="47"/>
        <v>0</v>
      </c>
      <c r="AE71" s="252">
        <f t="shared" si="47"/>
        <v>0</v>
      </c>
      <c r="AF71" s="252">
        <f t="shared" si="47"/>
        <v>0</v>
      </c>
      <c r="AG71" s="252">
        <f t="shared" si="47"/>
        <v>0</v>
      </c>
      <c r="AH71" s="252">
        <f t="shared" si="47"/>
        <v>0</v>
      </c>
      <c r="AI71" s="252">
        <f t="shared" si="47"/>
        <v>0</v>
      </c>
      <c r="AJ71" s="252">
        <f t="shared" si="47"/>
        <v>0</v>
      </c>
      <c r="AK71" s="252">
        <f t="shared" si="47"/>
        <v>0</v>
      </c>
      <c r="AL71" s="252">
        <f t="shared" si="47"/>
        <v>0</v>
      </c>
      <c r="AM71" s="252">
        <f t="shared" si="47"/>
        <v>0</v>
      </c>
      <c r="AN71" s="252">
        <f t="shared" si="47"/>
        <v>0</v>
      </c>
      <c r="AO71" s="252">
        <f t="shared" si="47"/>
        <v>0</v>
      </c>
      <c r="AP71" s="252">
        <f t="shared" si="47"/>
        <v>0</v>
      </c>
      <c r="AQ71" s="252">
        <f t="shared" si="47"/>
        <v>0</v>
      </c>
      <c r="AR71" s="252">
        <f t="shared" si="47"/>
        <v>0</v>
      </c>
      <c r="AS71" s="252">
        <f t="shared" si="47"/>
        <v>0</v>
      </c>
      <c r="AT71" s="252">
        <f t="shared" si="47"/>
        <v>0</v>
      </c>
      <c r="AU71" s="252">
        <f t="shared" si="47"/>
        <v>0</v>
      </c>
      <c r="AV71" s="252">
        <f t="shared" si="47"/>
        <v>0</v>
      </c>
      <c r="AW71" s="252">
        <f t="shared" si="47"/>
        <v>0</v>
      </c>
      <c r="AX71" s="252">
        <f t="shared" si="47"/>
        <v>0</v>
      </c>
      <c r="AY71" s="252">
        <f t="shared" si="47"/>
        <v>0</v>
      </c>
      <c r="AZ71" s="252">
        <f t="shared" si="47"/>
        <v>0</v>
      </c>
      <c r="BA71" s="252">
        <f t="shared" si="47"/>
        <v>0</v>
      </c>
      <c r="BB71" s="252">
        <f t="shared" si="47"/>
        <v>0</v>
      </c>
    </row>
    <row r="72" ht="15.75" customHeight="1">
      <c r="A72" s="738">
        <v>1947.0</v>
      </c>
      <c r="B72" s="38"/>
      <c r="C72" s="38"/>
      <c r="D72" s="38"/>
      <c r="E72" s="38"/>
      <c r="F72" s="38"/>
      <c r="G72" s="38"/>
      <c r="H72" s="38"/>
      <c r="I72" s="38"/>
      <c r="J72" s="38"/>
      <c r="K72" s="38"/>
      <c r="L72" s="38"/>
      <c r="M72" s="38"/>
      <c r="N72" s="38"/>
      <c r="O72" s="38"/>
      <c r="P72" s="38"/>
      <c r="Q72" s="38"/>
      <c r="R72" s="24">
        <v>0.0</v>
      </c>
      <c r="S72" s="739">
        <v>1958.0</v>
      </c>
      <c r="T72" s="740">
        <v>1937.6999999999998</v>
      </c>
      <c r="U72" s="38"/>
      <c r="V72" s="741">
        <v>0.0</v>
      </c>
      <c r="W72" s="252">
        <f t="shared" si="31"/>
        <v>0</v>
      </c>
      <c r="X72" s="252">
        <f t="shared" ref="X72:BB72" si="48">IF(AND(X$54-$A72&gt;$V$38,SUM($W72:W72)&lt;&gt;$V72),$V72,0)</f>
        <v>0</v>
      </c>
      <c r="Y72" s="252">
        <f t="shared" si="48"/>
        <v>0</v>
      </c>
      <c r="Z72" s="252">
        <f t="shared" si="48"/>
        <v>0</v>
      </c>
      <c r="AA72" s="252">
        <f t="shared" si="48"/>
        <v>0</v>
      </c>
      <c r="AB72" s="252">
        <f t="shared" si="48"/>
        <v>0</v>
      </c>
      <c r="AC72" s="252">
        <f t="shared" si="48"/>
        <v>0</v>
      </c>
      <c r="AD72" s="252">
        <f t="shared" si="48"/>
        <v>0</v>
      </c>
      <c r="AE72" s="252">
        <f t="shared" si="48"/>
        <v>0</v>
      </c>
      <c r="AF72" s="252">
        <f t="shared" si="48"/>
        <v>0</v>
      </c>
      <c r="AG72" s="252">
        <f t="shared" si="48"/>
        <v>0</v>
      </c>
      <c r="AH72" s="252">
        <f t="shared" si="48"/>
        <v>0</v>
      </c>
      <c r="AI72" s="252">
        <f t="shared" si="48"/>
        <v>0</v>
      </c>
      <c r="AJ72" s="252">
        <f t="shared" si="48"/>
        <v>0</v>
      </c>
      <c r="AK72" s="252">
        <f t="shared" si="48"/>
        <v>0</v>
      </c>
      <c r="AL72" s="252">
        <f t="shared" si="48"/>
        <v>0</v>
      </c>
      <c r="AM72" s="252">
        <f t="shared" si="48"/>
        <v>0</v>
      </c>
      <c r="AN72" s="252">
        <f t="shared" si="48"/>
        <v>0</v>
      </c>
      <c r="AO72" s="252">
        <f t="shared" si="48"/>
        <v>0</v>
      </c>
      <c r="AP72" s="252">
        <f t="shared" si="48"/>
        <v>0</v>
      </c>
      <c r="AQ72" s="252">
        <f t="shared" si="48"/>
        <v>0</v>
      </c>
      <c r="AR72" s="252">
        <f t="shared" si="48"/>
        <v>0</v>
      </c>
      <c r="AS72" s="252">
        <f t="shared" si="48"/>
        <v>0</v>
      </c>
      <c r="AT72" s="252">
        <f t="shared" si="48"/>
        <v>0</v>
      </c>
      <c r="AU72" s="252">
        <f t="shared" si="48"/>
        <v>0</v>
      </c>
      <c r="AV72" s="252">
        <f t="shared" si="48"/>
        <v>0</v>
      </c>
      <c r="AW72" s="252">
        <f t="shared" si="48"/>
        <v>0</v>
      </c>
      <c r="AX72" s="252">
        <f t="shared" si="48"/>
        <v>0</v>
      </c>
      <c r="AY72" s="252">
        <f t="shared" si="48"/>
        <v>0</v>
      </c>
      <c r="AZ72" s="252">
        <f t="shared" si="48"/>
        <v>0</v>
      </c>
      <c r="BA72" s="252">
        <f t="shared" si="48"/>
        <v>0</v>
      </c>
      <c r="BB72" s="252">
        <f t="shared" si="48"/>
        <v>0</v>
      </c>
    </row>
    <row r="73" ht="15.75" customHeight="1">
      <c r="A73" s="738">
        <v>1948.0</v>
      </c>
      <c r="B73" s="38"/>
      <c r="C73" s="38"/>
      <c r="D73" s="38"/>
      <c r="E73" s="38"/>
      <c r="F73" s="38"/>
      <c r="G73" s="38"/>
      <c r="H73" s="38"/>
      <c r="I73" s="38"/>
      <c r="J73" s="38"/>
      <c r="K73" s="38"/>
      <c r="L73" s="38"/>
      <c r="M73" s="38"/>
      <c r="N73" s="38"/>
      <c r="O73" s="38"/>
      <c r="P73" s="38"/>
      <c r="Q73" s="38"/>
      <c r="R73" s="24">
        <v>0.0</v>
      </c>
      <c r="S73" s="739">
        <v>1959.0</v>
      </c>
      <c r="T73" s="740">
        <v>3700.0</v>
      </c>
      <c r="U73" s="38"/>
      <c r="V73" s="741">
        <v>0.0</v>
      </c>
      <c r="W73" s="252">
        <f t="shared" si="31"/>
        <v>0</v>
      </c>
      <c r="X73" s="252">
        <f t="shared" ref="X73:BB73" si="49">IF(AND(X$54-$A73&gt;$V$38,SUM($W73:W73)&lt;&gt;$V73),$V73,0)</f>
        <v>0</v>
      </c>
      <c r="Y73" s="252">
        <f t="shared" si="49"/>
        <v>0</v>
      </c>
      <c r="Z73" s="252">
        <f t="shared" si="49"/>
        <v>0</v>
      </c>
      <c r="AA73" s="252">
        <f t="shared" si="49"/>
        <v>0</v>
      </c>
      <c r="AB73" s="252">
        <f t="shared" si="49"/>
        <v>0</v>
      </c>
      <c r="AC73" s="252">
        <f t="shared" si="49"/>
        <v>0</v>
      </c>
      <c r="AD73" s="252">
        <f t="shared" si="49"/>
        <v>0</v>
      </c>
      <c r="AE73" s="252">
        <f t="shared" si="49"/>
        <v>0</v>
      </c>
      <c r="AF73" s="252">
        <f t="shared" si="49"/>
        <v>0</v>
      </c>
      <c r="AG73" s="252">
        <f t="shared" si="49"/>
        <v>0</v>
      </c>
      <c r="AH73" s="252">
        <f t="shared" si="49"/>
        <v>0</v>
      </c>
      <c r="AI73" s="252">
        <f t="shared" si="49"/>
        <v>0</v>
      </c>
      <c r="AJ73" s="252">
        <f t="shared" si="49"/>
        <v>0</v>
      </c>
      <c r="AK73" s="252">
        <f t="shared" si="49"/>
        <v>0</v>
      </c>
      <c r="AL73" s="252">
        <f t="shared" si="49"/>
        <v>0</v>
      </c>
      <c r="AM73" s="252">
        <f t="shared" si="49"/>
        <v>0</v>
      </c>
      <c r="AN73" s="252">
        <f t="shared" si="49"/>
        <v>0</v>
      </c>
      <c r="AO73" s="252">
        <f t="shared" si="49"/>
        <v>0</v>
      </c>
      <c r="AP73" s="252">
        <f t="shared" si="49"/>
        <v>0</v>
      </c>
      <c r="AQ73" s="252">
        <f t="shared" si="49"/>
        <v>0</v>
      </c>
      <c r="AR73" s="252">
        <f t="shared" si="49"/>
        <v>0</v>
      </c>
      <c r="AS73" s="252">
        <f t="shared" si="49"/>
        <v>0</v>
      </c>
      <c r="AT73" s="252">
        <f t="shared" si="49"/>
        <v>0</v>
      </c>
      <c r="AU73" s="252">
        <f t="shared" si="49"/>
        <v>0</v>
      </c>
      <c r="AV73" s="252">
        <f t="shared" si="49"/>
        <v>0</v>
      </c>
      <c r="AW73" s="252">
        <f t="shared" si="49"/>
        <v>0</v>
      </c>
      <c r="AX73" s="252">
        <f t="shared" si="49"/>
        <v>0</v>
      </c>
      <c r="AY73" s="252">
        <f t="shared" si="49"/>
        <v>0</v>
      </c>
      <c r="AZ73" s="252">
        <f t="shared" si="49"/>
        <v>0</v>
      </c>
      <c r="BA73" s="252">
        <f t="shared" si="49"/>
        <v>0</v>
      </c>
      <c r="BB73" s="252">
        <f t="shared" si="49"/>
        <v>0</v>
      </c>
    </row>
    <row r="74" ht="15.75" customHeight="1">
      <c r="A74" s="738">
        <v>1949.0</v>
      </c>
      <c r="B74" s="38"/>
      <c r="C74" s="38"/>
      <c r="D74" s="38"/>
      <c r="E74" s="38"/>
      <c r="F74" s="38"/>
      <c r="G74" s="38"/>
      <c r="H74" s="38"/>
      <c r="I74" s="38"/>
      <c r="J74" s="38"/>
      <c r="K74" s="38"/>
      <c r="L74" s="38"/>
      <c r="M74" s="38"/>
      <c r="N74" s="38"/>
      <c r="O74" s="38"/>
      <c r="P74" s="38"/>
      <c r="Q74" s="38"/>
      <c r="R74" s="24">
        <v>0.0</v>
      </c>
      <c r="S74" s="739">
        <v>1960.0</v>
      </c>
      <c r="T74" s="740">
        <v>1381.1999999999998</v>
      </c>
      <c r="U74" s="38"/>
      <c r="V74" s="741">
        <v>13.5</v>
      </c>
      <c r="W74" s="252">
        <f t="shared" si="31"/>
        <v>13.5</v>
      </c>
      <c r="X74" s="252">
        <f t="shared" ref="X74:BB74" si="50">IF(AND(X$54-$A74&gt;$V$38,SUM($W74:W74)&lt;&gt;$V74),$V74,0)</f>
        <v>0</v>
      </c>
      <c r="Y74" s="252">
        <f t="shared" si="50"/>
        <v>0</v>
      </c>
      <c r="Z74" s="252">
        <f t="shared" si="50"/>
        <v>0</v>
      </c>
      <c r="AA74" s="252">
        <f t="shared" si="50"/>
        <v>0</v>
      </c>
      <c r="AB74" s="252">
        <f t="shared" si="50"/>
        <v>0</v>
      </c>
      <c r="AC74" s="252">
        <f t="shared" si="50"/>
        <v>0</v>
      </c>
      <c r="AD74" s="252">
        <f t="shared" si="50"/>
        <v>0</v>
      </c>
      <c r="AE74" s="252">
        <f t="shared" si="50"/>
        <v>0</v>
      </c>
      <c r="AF74" s="252">
        <f t="shared" si="50"/>
        <v>0</v>
      </c>
      <c r="AG74" s="252">
        <f t="shared" si="50"/>
        <v>0</v>
      </c>
      <c r="AH74" s="252">
        <f t="shared" si="50"/>
        <v>0</v>
      </c>
      <c r="AI74" s="252">
        <f t="shared" si="50"/>
        <v>0</v>
      </c>
      <c r="AJ74" s="252">
        <f t="shared" si="50"/>
        <v>0</v>
      </c>
      <c r="AK74" s="252">
        <f t="shared" si="50"/>
        <v>0</v>
      </c>
      <c r="AL74" s="252">
        <f t="shared" si="50"/>
        <v>0</v>
      </c>
      <c r="AM74" s="252">
        <f t="shared" si="50"/>
        <v>0</v>
      </c>
      <c r="AN74" s="252">
        <f t="shared" si="50"/>
        <v>0</v>
      </c>
      <c r="AO74" s="252">
        <f t="shared" si="50"/>
        <v>0</v>
      </c>
      <c r="AP74" s="252">
        <f t="shared" si="50"/>
        <v>0</v>
      </c>
      <c r="AQ74" s="252">
        <f t="shared" si="50"/>
        <v>0</v>
      </c>
      <c r="AR74" s="252">
        <f t="shared" si="50"/>
        <v>0</v>
      </c>
      <c r="AS74" s="252">
        <f t="shared" si="50"/>
        <v>0</v>
      </c>
      <c r="AT74" s="252">
        <f t="shared" si="50"/>
        <v>0</v>
      </c>
      <c r="AU74" s="252">
        <f t="shared" si="50"/>
        <v>0</v>
      </c>
      <c r="AV74" s="252">
        <f t="shared" si="50"/>
        <v>0</v>
      </c>
      <c r="AW74" s="252">
        <f t="shared" si="50"/>
        <v>0</v>
      </c>
      <c r="AX74" s="252">
        <f t="shared" si="50"/>
        <v>0</v>
      </c>
      <c r="AY74" s="252">
        <f t="shared" si="50"/>
        <v>0</v>
      </c>
      <c r="AZ74" s="252">
        <f t="shared" si="50"/>
        <v>0</v>
      </c>
      <c r="BA74" s="252">
        <f t="shared" si="50"/>
        <v>0</v>
      </c>
      <c r="BB74" s="252">
        <f t="shared" si="50"/>
        <v>0</v>
      </c>
    </row>
    <row r="75" ht="15.75" customHeight="1">
      <c r="A75" s="738">
        <v>1950.0</v>
      </c>
      <c r="B75" s="38"/>
      <c r="C75" s="38"/>
      <c r="D75" s="38"/>
      <c r="E75" s="38"/>
      <c r="F75" s="38"/>
      <c r="G75" s="38"/>
      <c r="H75" s="38"/>
      <c r="I75" s="38"/>
      <c r="J75" s="38"/>
      <c r="K75" s="38"/>
      <c r="L75" s="38"/>
      <c r="M75" s="38"/>
      <c r="N75" s="38"/>
      <c r="O75" s="38"/>
      <c r="P75" s="38"/>
      <c r="Q75" s="38"/>
      <c r="R75" s="24">
        <v>0.0</v>
      </c>
      <c r="S75" s="739">
        <v>1961.0</v>
      </c>
      <c r="T75" s="740">
        <v>2208.0</v>
      </c>
      <c r="U75" s="38"/>
      <c r="V75" s="741">
        <v>0.0</v>
      </c>
      <c r="W75" s="252">
        <f t="shared" si="31"/>
        <v>0</v>
      </c>
      <c r="X75" s="252">
        <f t="shared" ref="X75:BB75" si="51">IF(AND(X$54-$A75&gt;$V$38,SUM($W75:W75)&lt;&gt;$V75),$V75,0)</f>
        <v>0</v>
      </c>
      <c r="Y75" s="252">
        <f t="shared" si="51"/>
        <v>0</v>
      </c>
      <c r="Z75" s="252">
        <f t="shared" si="51"/>
        <v>0</v>
      </c>
      <c r="AA75" s="252">
        <f t="shared" si="51"/>
        <v>0</v>
      </c>
      <c r="AB75" s="252">
        <f t="shared" si="51"/>
        <v>0</v>
      </c>
      <c r="AC75" s="252">
        <f t="shared" si="51"/>
        <v>0</v>
      </c>
      <c r="AD75" s="252">
        <f t="shared" si="51"/>
        <v>0</v>
      </c>
      <c r="AE75" s="252">
        <f t="shared" si="51"/>
        <v>0</v>
      </c>
      <c r="AF75" s="252">
        <f t="shared" si="51"/>
        <v>0</v>
      </c>
      <c r="AG75" s="252">
        <f t="shared" si="51"/>
        <v>0</v>
      </c>
      <c r="AH75" s="252">
        <f t="shared" si="51"/>
        <v>0</v>
      </c>
      <c r="AI75" s="252">
        <f t="shared" si="51"/>
        <v>0</v>
      </c>
      <c r="AJ75" s="252">
        <f t="shared" si="51"/>
        <v>0</v>
      </c>
      <c r="AK75" s="252">
        <f t="shared" si="51"/>
        <v>0</v>
      </c>
      <c r="AL75" s="252">
        <f t="shared" si="51"/>
        <v>0</v>
      </c>
      <c r="AM75" s="252">
        <f t="shared" si="51"/>
        <v>0</v>
      </c>
      <c r="AN75" s="252">
        <f t="shared" si="51"/>
        <v>0</v>
      </c>
      <c r="AO75" s="252">
        <f t="shared" si="51"/>
        <v>0</v>
      </c>
      <c r="AP75" s="252">
        <f t="shared" si="51"/>
        <v>0</v>
      </c>
      <c r="AQ75" s="252">
        <f t="shared" si="51"/>
        <v>0</v>
      </c>
      <c r="AR75" s="252">
        <f t="shared" si="51"/>
        <v>0</v>
      </c>
      <c r="AS75" s="252">
        <f t="shared" si="51"/>
        <v>0</v>
      </c>
      <c r="AT75" s="252">
        <f t="shared" si="51"/>
        <v>0</v>
      </c>
      <c r="AU75" s="252">
        <f t="shared" si="51"/>
        <v>0</v>
      </c>
      <c r="AV75" s="252">
        <f t="shared" si="51"/>
        <v>0</v>
      </c>
      <c r="AW75" s="252">
        <f t="shared" si="51"/>
        <v>0</v>
      </c>
      <c r="AX75" s="252">
        <f t="shared" si="51"/>
        <v>0</v>
      </c>
      <c r="AY75" s="252">
        <f t="shared" si="51"/>
        <v>0</v>
      </c>
      <c r="AZ75" s="252">
        <f t="shared" si="51"/>
        <v>0</v>
      </c>
      <c r="BA75" s="252">
        <f t="shared" si="51"/>
        <v>0</v>
      </c>
      <c r="BB75" s="252">
        <f t="shared" si="51"/>
        <v>0</v>
      </c>
    </row>
    <row r="76" ht="15.75" customHeight="1">
      <c r="A76" s="738">
        <v>1951.0</v>
      </c>
      <c r="B76" s="38"/>
      <c r="C76" s="38"/>
      <c r="D76" s="38"/>
      <c r="E76" s="38"/>
      <c r="F76" s="38"/>
      <c r="G76" s="38"/>
      <c r="H76" s="38"/>
      <c r="I76" s="38"/>
      <c r="J76" s="38"/>
      <c r="K76" s="38"/>
      <c r="L76" s="38"/>
      <c r="M76" s="38"/>
      <c r="N76" s="38"/>
      <c r="O76" s="38"/>
      <c r="P76" s="38"/>
      <c r="Q76" s="38"/>
      <c r="R76" s="24">
        <v>0.0</v>
      </c>
      <c r="S76" s="739">
        <v>1962.0</v>
      </c>
      <c r="T76" s="740">
        <v>1400.3000000000002</v>
      </c>
      <c r="U76" s="38"/>
      <c r="V76" s="741">
        <v>0.0</v>
      </c>
      <c r="W76" s="252">
        <f t="shared" si="31"/>
        <v>0</v>
      </c>
      <c r="X76" s="252">
        <f t="shared" ref="X76:BB76" si="52">IF(AND(X$54-$A76&gt;$V$38,SUM($W76:W76)&lt;&gt;$V76),$V76,0)</f>
        <v>0</v>
      </c>
      <c r="Y76" s="252">
        <f t="shared" si="52"/>
        <v>0</v>
      </c>
      <c r="Z76" s="252">
        <f t="shared" si="52"/>
        <v>0</v>
      </c>
      <c r="AA76" s="252">
        <f t="shared" si="52"/>
        <v>0</v>
      </c>
      <c r="AB76" s="252">
        <f t="shared" si="52"/>
        <v>0</v>
      </c>
      <c r="AC76" s="252">
        <f t="shared" si="52"/>
        <v>0</v>
      </c>
      <c r="AD76" s="252">
        <f t="shared" si="52"/>
        <v>0</v>
      </c>
      <c r="AE76" s="252">
        <f t="shared" si="52"/>
        <v>0</v>
      </c>
      <c r="AF76" s="252">
        <f t="shared" si="52"/>
        <v>0</v>
      </c>
      <c r="AG76" s="252">
        <f t="shared" si="52"/>
        <v>0</v>
      </c>
      <c r="AH76" s="252">
        <f t="shared" si="52"/>
        <v>0</v>
      </c>
      <c r="AI76" s="252">
        <f t="shared" si="52"/>
        <v>0</v>
      </c>
      <c r="AJ76" s="252">
        <f t="shared" si="52"/>
        <v>0</v>
      </c>
      <c r="AK76" s="252">
        <f t="shared" si="52"/>
        <v>0</v>
      </c>
      <c r="AL76" s="252">
        <f t="shared" si="52"/>
        <v>0</v>
      </c>
      <c r="AM76" s="252">
        <f t="shared" si="52"/>
        <v>0</v>
      </c>
      <c r="AN76" s="252">
        <f t="shared" si="52"/>
        <v>0</v>
      </c>
      <c r="AO76" s="252">
        <f t="shared" si="52"/>
        <v>0</v>
      </c>
      <c r="AP76" s="252">
        <f t="shared" si="52"/>
        <v>0</v>
      </c>
      <c r="AQ76" s="252">
        <f t="shared" si="52"/>
        <v>0</v>
      </c>
      <c r="AR76" s="252">
        <f t="shared" si="52"/>
        <v>0</v>
      </c>
      <c r="AS76" s="252">
        <f t="shared" si="52"/>
        <v>0</v>
      </c>
      <c r="AT76" s="252">
        <f t="shared" si="52"/>
        <v>0</v>
      </c>
      <c r="AU76" s="252">
        <f t="shared" si="52"/>
        <v>0</v>
      </c>
      <c r="AV76" s="252">
        <f t="shared" si="52"/>
        <v>0</v>
      </c>
      <c r="AW76" s="252">
        <f t="shared" si="52"/>
        <v>0</v>
      </c>
      <c r="AX76" s="252">
        <f t="shared" si="52"/>
        <v>0</v>
      </c>
      <c r="AY76" s="252">
        <f t="shared" si="52"/>
        <v>0</v>
      </c>
      <c r="AZ76" s="252">
        <f t="shared" si="52"/>
        <v>0</v>
      </c>
      <c r="BA76" s="252">
        <f t="shared" si="52"/>
        <v>0</v>
      </c>
      <c r="BB76" s="252">
        <f t="shared" si="52"/>
        <v>0</v>
      </c>
    </row>
    <row r="77" ht="15.75" customHeight="1">
      <c r="A77" s="738">
        <v>1952.0</v>
      </c>
      <c r="B77" s="38"/>
      <c r="C77" s="38"/>
      <c r="D77" s="38"/>
      <c r="E77" s="38"/>
      <c r="F77" s="38"/>
      <c r="G77" s="38"/>
      <c r="H77" s="38"/>
      <c r="I77" s="38"/>
      <c r="J77" s="38"/>
      <c r="K77" s="38"/>
      <c r="L77" s="38"/>
      <c r="M77" s="38"/>
      <c r="N77" s="38"/>
      <c r="O77" s="38"/>
      <c r="P77" s="38"/>
      <c r="Q77" s="38"/>
      <c r="R77" s="24">
        <v>0.0</v>
      </c>
      <c r="S77" s="739">
        <v>1963.0</v>
      </c>
      <c r="T77" s="740">
        <v>1369.2</v>
      </c>
      <c r="U77" s="38"/>
      <c r="V77" s="741">
        <v>10.0</v>
      </c>
      <c r="W77" s="252">
        <f t="shared" si="31"/>
        <v>10</v>
      </c>
      <c r="X77" s="252">
        <f t="shared" ref="X77:BB77" si="53">IF(AND(X$54-$A77&gt;$V$38,SUM($W77:W77)&lt;&gt;$V77),$V77,0)</f>
        <v>0</v>
      </c>
      <c r="Y77" s="252">
        <f t="shared" si="53"/>
        <v>0</v>
      </c>
      <c r="Z77" s="252">
        <f t="shared" si="53"/>
        <v>0</v>
      </c>
      <c r="AA77" s="252">
        <f t="shared" si="53"/>
        <v>0</v>
      </c>
      <c r="AB77" s="252">
        <f t="shared" si="53"/>
        <v>0</v>
      </c>
      <c r="AC77" s="252">
        <f t="shared" si="53"/>
        <v>0</v>
      </c>
      <c r="AD77" s="252">
        <f t="shared" si="53"/>
        <v>0</v>
      </c>
      <c r="AE77" s="252">
        <f t="shared" si="53"/>
        <v>0</v>
      </c>
      <c r="AF77" s="252">
        <f t="shared" si="53"/>
        <v>0</v>
      </c>
      <c r="AG77" s="252">
        <f t="shared" si="53"/>
        <v>0</v>
      </c>
      <c r="AH77" s="252">
        <f t="shared" si="53"/>
        <v>0</v>
      </c>
      <c r="AI77" s="252">
        <f t="shared" si="53"/>
        <v>0</v>
      </c>
      <c r="AJ77" s="252">
        <f t="shared" si="53"/>
        <v>0</v>
      </c>
      <c r="AK77" s="252">
        <f t="shared" si="53"/>
        <v>0</v>
      </c>
      <c r="AL77" s="252">
        <f t="shared" si="53"/>
        <v>0</v>
      </c>
      <c r="AM77" s="252">
        <f t="shared" si="53"/>
        <v>0</v>
      </c>
      <c r="AN77" s="252">
        <f t="shared" si="53"/>
        <v>0</v>
      </c>
      <c r="AO77" s="252">
        <f t="shared" si="53"/>
        <v>0</v>
      </c>
      <c r="AP77" s="252">
        <f t="shared" si="53"/>
        <v>0</v>
      </c>
      <c r="AQ77" s="252">
        <f t="shared" si="53"/>
        <v>0</v>
      </c>
      <c r="AR77" s="252">
        <f t="shared" si="53"/>
        <v>0</v>
      </c>
      <c r="AS77" s="252">
        <f t="shared" si="53"/>
        <v>0</v>
      </c>
      <c r="AT77" s="252">
        <f t="shared" si="53"/>
        <v>0</v>
      </c>
      <c r="AU77" s="252">
        <f t="shared" si="53"/>
        <v>0</v>
      </c>
      <c r="AV77" s="252">
        <f t="shared" si="53"/>
        <v>0</v>
      </c>
      <c r="AW77" s="252">
        <f t="shared" si="53"/>
        <v>0</v>
      </c>
      <c r="AX77" s="252">
        <f t="shared" si="53"/>
        <v>0</v>
      </c>
      <c r="AY77" s="252">
        <f t="shared" si="53"/>
        <v>0</v>
      </c>
      <c r="AZ77" s="252">
        <f t="shared" si="53"/>
        <v>0</v>
      </c>
      <c r="BA77" s="252">
        <f t="shared" si="53"/>
        <v>0</v>
      </c>
      <c r="BB77" s="252">
        <f t="shared" si="53"/>
        <v>0</v>
      </c>
    </row>
    <row r="78" ht="15.75" customHeight="1">
      <c r="A78" s="738">
        <v>1953.0</v>
      </c>
      <c r="B78" s="38"/>
      <c r="C78" s="38"/>
      <c r="D78" s="38"/>
      <c r="E78" s="38"/>
      <c r="F78" s="38"/>
      <c r="G78" s="38"/>
      <c r="H78" s="38"/>
      <c r="I78" s="38"/>
      <c r="J78" s="38"/>
      <c r="K78" s="38"/>
      <c r="L78" s="38"/>
      <c r="M78" s="38"/>
      <c r="N78" s="38"/>
      <c r="O78" s="38"/>
      <c r="P78" s="38"/>
      <c r="Q78" s="38"/>
      <c r="R78" s="24">
        <v>0.0</v>
      </c>
      <c r="S78" s="739">
        <v>1964.0</v>
      </c>
      <c r="T78" s="740">
        <v>2006.7</v>
      </c>
      <c r="U78" s="38"/>
      <c r="V78" s="741">
        <v>6.0</v>
      </c>
      <c r="W78" s="252">
        <f t="shared" si="31"/>
        <v>6</v>
      </c>
      <c r="X78" s="252">
        <f t="shared" ref="X78:BB78" si="54">IF(AND(X$54-$A78&gt;$V$38,SUM($W78:W78)&lt;&gt;$V78),$V78,0)</f>
        <v>0</v>
      </c>
      <c r="Y78" s="252">
        <f t="shared" si="54"/>
        <v>0</v>
      </c>
      <c r="Z78" s="252">
        <f t="shared" si="54"/>
        <v>0</v>
      </c>
      <c r="AA78" s="252">
        <f t="shared" si="54"/>
        <v>0</v>
      </c>
      <c r="AB78" s="252">
        <f t="shared" si="54"/>
        <v>0</v>
      </c>
      <c r="AC78" s="252">
        <f t="shared" si="54"/>
        <v>0</v>
      </c>
      <c r="AD78" s="252">
        <f t="shared" si="54"/>
        <v>0</v>
      </c>
      <c r="AE78" s="252">
        <f t="shared" si="54"/>
        <v>0</v>
      </c>
      <c r="AF78" s="252">
        <f t="shared" si="54"/>
        <v>0</v>
      </c>
      <c r="AG78" s="252">
        <f t="shared" si="54"/>
        <v>0</v>
      </c>
      <c r="AH78" s="252">
        <f t="shared" si="54"/>
        <v>0</v>
      </c>
      <c r="AI78" s="252">
        <f t="shared" si="54"/>
        <v>0</v>
      </c>
      <c r="AJ78" s="252">
        <f t="shared" si="54"/>
        <v>0</v>
      </c>
      <c r="AK78" s="252">
        <f t="shared" si="54"/>
        <v>0</v>
      </c>
      <c r="AL78" s="252">
        <f t="shared" si="54"/>
        <v>0</v>
      </c>
      <c r="AM78" s="252">
        <f t="shared" si="54"/>
        <v>0</v>
      </c>
      <c r="AN78" s="252">
        <f t="shared" si="54"/>
        <v>0</v>
      </c>
      <c r="AO78" s="252">
        <f t="shared" si="54"/>
        <v>0</v>
      </c>
      <c r="AP78" s="252">
        <f t="shared" si="54"/>
        <v>0</v>
      </c>
      <c r="AQ78" s="252">
        <f t="shared" si="54"/>
        <v>0</v>
      </c>
      <c r="AR78" s="252">
        <f t="shared" si="54"/>
        <v>0</v>
      </c>
      <c r="AS78" s="252">
        <f t="shared" si="54"/>
        <v>0</v>
      </c>
      <c r="AT78" s="252">
        <f t="shared" si="54"/>
        <v>0</v>
      </c>
      <c r="AU78" s="252">
        <f t="shared" si="54"/>
        <v>0</v>
      </c>
      <c r="AV78" s="252">
        <f t="shared" si="54"/>
        <v>0</v>
      </c>
      <c r="AW78" s="252">
        <f t="shared" si="54"/>
        <v>0</v>
      </c>
      <c r="AX78" s="252">
        <f t="shared" si="54"/>
        <v>0</v>
      </c>
      <c r="AY78" s="252">
        <f t="shared" si="54"/>
        <v>0</v>
      </c>
      <c r="AZ78" s="252">
        <f t="shared" si="54"/>
        <v>0</v>
      </c>
      <c r="BA78" s="252">
        <f t="shared" si="54"/>
        <v>0</v>
      </c>
      <c r="BB78" s="252">
        <f t="shared" si="54"/>
        <v>0</v>
      </c>
    </row>
    <row r="79" ht="15.75" customHeight="1">
      <c r="A79" s="738">
        <v>1954.0</v>
      </c>
      <c r="B79" s="38"/>
      <c r="C79" s="38"/>
      <c r="D79" s="38"/>
      <c r="E79" s="38"/>
      <c r="F79" s="38"/>
      <c r="G79" s="38"/>
      <c r="H79" s="38"/>
      <c r="I79" s="38"/>
      <c r="J79" s="38"/>
      <c r="K79" s="38"/>
      <c r="L79" s="38"/>
      <c r="M79" s="38"/>
      <c r="N79" s="38"/>
      <c r="O79" s="38"/>
      <c r="P79" s="38"/>
      <c r="Q79" s="38"/>
      <c r="R79" s="24">
        <v>0.0</v>
      </c>
      <c r="S79" s="739">
        <v>1965.0</v>
      </c>
      <c r="T79" s="740">
        <v>3012.1</v>
      </c>
      <c r="U79" s="38"/>
      <c r="V79" s="741">
        <v>950.0</v>
      </c>
      <c r="W79" s="252">
        <f t="shared" si="31"/>
        <v>950</v>
      </c>
      <c r="X79" s="252">
        <f t="shared" ref="X79:BB79" si="55">IF(AND(X$54-$A79&gt;$V$38,SUM($W79:W79)&lt;&gt;$V79),$V79,0)</f>
        <v>0</v>
      </c>
      <c r="Y79" s="252">
        <f t="shared" si="55"/>
        <v>0</v>
      </c>
      <c r="Z79" s="252">
        <f t="shared" si="55"/>
        <v>0</v>
      </c>
      <c r="AA79" s="252">
        <f t="shared" si="55"/>
        <v>0</v>
      </c>
      <c r="AB79" s="252">
        <f t="shared" si="55"/>
        <v>0</v>
      </c>
      <c r="AC79" s="252">
        <f t="shared" si="55"/>
        <v>0</v>
      </c>
      <c r="AD79" s="252">
        <f t="shared" si="55"/>
        <v>0</v>
      </c>
      <c r="AE79" s="252">
        <f t="shared" si="55"/>
        <v>0</v>
      </c>
      <c r="AF79" s="252">
        <f t="shared" si="55"/>
        <v>0</v>
      </c>
      <c r="AG79" s="252">
        <f t="shared" si="55"/>
        <v>0</v>
      </c>
      <c r="AH79" s="252">
        <f t="shared" si="55"/>
        <v>0</v>
      </c>
      <c r="AI79" s="252">
        <f t="shared" si="55"/>
        <v>0</v>
      </c>
      <c r="AJ79" s="252">
        <f t="shared" si="55"/>
        <v>0</v>
      </c>
      <c r="AK79" s="252">
        <f t="shared" si="55"/>
        <v>0</v>
      </c>
      <c r="AL79" s="252">
        <f t="shared" si="55"/>
        <v>0</v>
      </c>
      <c r="AM79" s="252">
        <f t="shared" si="55"/>
        <v>0</v>
      </c>
      <c r="AN79" s="252">
        <f t="shared" si="55"/>
        <v>0</v>
      </c>
      <c r="AO79" s="252">
        <f t="shared" si="55"/>
        <v>0</v>
      </c>
      <c r="AP79" s="252">
        <f t="shared" si="55"/>
        <v>0</v>
      </c>
      <c r="AQ79" s="252">
        <f t="shared" si="55"/>
        <v>0</v>
      </c>
      <c r="AR79" s="252">
        <f t="shared" si="55"/>
        <v>0</v>
      </c>
      <c r="AS79" s="252">
        <f t="shared" si="55"/>
        <v>0</v>
      </c>
      <c r="AT79" s="252">
        <f t="shared" si="55"/>
        <v>0</v>
      </c>
      <c r="AU79" s="252">
        <f t="shared" si="55"/>
        <v>0</v>
      </c>
      <c r="AV79" s="252">
        <f t="shared" si="55"/>
        <v>0</v>
      </c>
      <c r="AW79" s="252">
        <f t="shared" si="55"/>
        <v>0</v>
      </c>
      <c r="AX79" s="252">
        <f t="shared" si="55"/>
        <v>0</v>
      </c>
      <c r="AY79" s="252">
        <f t="shared" si="55"/>
        <v>0</v>
      </c>
      <c r="AZ79" s="252">
        <f t="shared" si="55"/>
        <v>0</v>
      </c>
      <c r="BA79" s="252">
        <f t="shared" si="55"/>
        <v>0</v>
      </c>
      <c r="BB79" s="252">
        <f t="shared" si="55"/>
        <v>0</v>
      </c>
    </row>
    <row r="80" ht="15.75" customHeight="1">
      <c r="A80" s="738">
        <v>1955.0</v>
      </c>
      <c r="B80" s="38"/>
      <c r="C80" s="38"/>
      <c r="D80" s="38"/>
      <c r="E80" s="38"/>
      <c r="F80" s="38"/>
      <c r="G80" s="38"/>
      <c r="H80" s="38"/>
      <c r="I80" s="38"/>
      <c r="J80" s="38"/>
      <c r="K80" s="38"/>
      <c r="L80" s="38"/>
      <c r="M80" s="38"/>
      <c r="N80" s="38"/>
      <c r="O80" s="38"/>
      <c r="P80" s="38"/>
      <c r="Q80" s="38"/>
      <c r="R80" s="24">
        <v>0.0</v>
      </c>
      <c r="S80" s="739">
        <v>1966.0</v>
      </c>
      <c r="T80" s="740">
        <v>3232.4</v>
      </c>
      <c r="U80" s="38"/>
      <c r="V80" s="741">
        <v>1125.0</v>
      </c>
      <c r="W80" s="252">
        <f t="shared" si="31"/>
        <v>1125</v>
      </c>
      <c r="X80" s="252">
        <f t="shared" ref="X80:BB80" si="56">IF(AND(X$54-$A80&gt;$V$38,SUM($W80:W80)&lt;&gt;$V80),$V80,0)</f>
        <v>0</v>
      </c>
      <c r="Y80" s="252">
        <f t="shared" si="56"/>
        <v>0</v>
      </c>
      <c r="Z80" s="252">
        <f t="shared" si="56"/>
        <v>0</v>
      </c>
      <c r="AA80" s="252">
        <f t="shared" si="56"/>
        <v>0</v>
      </c>
      <c r="AB80" s="252">
        <f t="shared" si="56"/>
        <v>0</v>
      </c>
      <c r="AC80" s="252">
        <f t="shared" si="56"/>
        <v>0</v>
      </c>
      <c r="AD80" s="252">
        <f t="shared" si="56"/>
        <v>0</v>
      </c>
      <c r="AE80" s="252">
        <f t="shared" si="56"/>
        <v>0</v>
      </c>
      <c r="AF80" s="252">
        <f t="shared" si="56"/>
        <v>0</v>
      </c>
      <c r="AG80" s="252">
        <f t="shared" si="56"/>
        <v>0</v>
      </c>
      <c r="AH80" s="252">
        <f t="shared" si="56"/>
        <v>0</v>
      </c>
      <c r="AI80" s="252">
        <f t="shared" si="56"/>
        <v>0</v>
      </c>
      <c r="AJ80" s="252">
        <f t="shared" si="56"/>
        <v>0</v>
      </c>
      <c r="AK80" s="252">
        <f t="shared" si="56"/>
        <v>0</v>
      </c>
      <c r="AL80" s="252">
        <f t="shared" si="56"/>
        <v>0</v>
      </c>
      <c r="AM80" s="252">
        <f t="shared" si="56"/>
        <v>0</v>
      </c>
      <c r="AN80" s="252">
        <f t="shared" si="56"/>
        <v>0</v>
      </c>
      <c r="AO80" s="252">
        <f t="shared" si="56"/>
        <v>0</v>
      </c>
      <c r="AP80" s="252">
        <f t="shared" si="56"/>
        <v>0</v>
      </c>
      <c r="AQ80" s="252">
        <f t="shared" si="56"/>
        <v>0</v>
      </c>
      <c r="AR80" s="252">
        <f t="shared" si="56"/>
        <v>0</v>
      </c>
      <c r="AS80" s="252">
        <f t="shared" si="56"/>
        <v>0</v>
      </c>
      <c r="AT80" s="252">
        <f t="shared" si="56"/>
        <v>0</v>
      </c>
      <c r="AU80" s="252">
        <f t="shared" si="56"/>
        <v>0</v>
      </c>
      <c r="AV80" s="252">
        <f t="shared" si="56"/>
        <v>0</v>
      </c>
      <c r="AW80" s="252">
        <f t="shared" si="56"/>
        <v>0</v>
      </c>
      <c r="AX80" s="252">
        <f t="shared" si="56"/>
        <v>0</v>
      </c>
      <c r="AY80" s="252">
        <f t="shared" si="56"/>
        <v>0</v>
      </c>
      <c r="AZ80" s="252">
        <f t="shared" si="56"/>
        <v>0</v>
      </c>
      <c r="BA80" s="252">
        <f t="shared" si="56"/>
        <v>0</v>
      </c>
      <c r="BB80" s="252">
        <f t="shared" si="56"/>
        <v>0</v>
      </c>
    </row>
    <row r="81" ht="15.75" customHeight="1">
      <c r="A81" s="738">
        <v>1956.0</v>
      </c>
      <c r="B81" s="38"/>
      <c r="C81" s="38"/>
      <c r="D81" s="38"/>
      <c r="E81" s="38"/>
      <c r="F81" s="38"/>
      <c r="G81" s="38"/>
      <c r="H81" s="38"/>
      <c r="I81" s="38"/>
      <c r="J81" s="38"/>
      <c r="K81" s="38"/>
      <c r="L81" s="38"/>
      <c r="M81" s="38"/>
      <c r="N81" s="38"/>
      <c r="O81" s="38"/>
      <c r="P81" s="38"/>
      <c r="Q81" s="38"/>
      <c r="R81" s="24">
        <v>0.0</v>
      </c>
      <c r="S81" s="739">
        <v>1967.0</v>
      </c>
      <c r="T81" s="740">
        <v>5685.1</v>
      </c>
      <c r="U81" s="38"/>
      <c r="V81" s="741">
        <v>487.5</v>
      </c>
      <c r="W81" s="252">
        <f t="shared" si="31"/>
        <v>487.5</v>
      </c>
      <c r="X81" s="252">
        <f t="shared" ref="X81:BB81" si="57">IF(AND(X$54-$A81&gt;$V$38,SUM($W81:W81)&lt;&gt;$V81),$V81,0)</f>
        <v>0</v>
      </c>
      <c r="Y81" s="252">
        <f t="shared" si="57"/>
        <v>0</v>
      </c>
      <c r="Z81" s="252">
        <f t="shared" si="57"/>
        <v>0</v>
      </c>
      <c r="AA81" s="252">
        <f t="shared" si="57"/>
        <v>0</v>
      </c>
      <c r="AB81" s="252">
        <f t="shared" si="57"/>
        <v>0</v>
      </c>
      <c r="AC81" s="252">
        <f t="shared" si="57"/>
        <v>0</v>
      </c>
      <c r="AD81" s="252">
        <f t="shared" si="57"/>
        <v>0</v>
      </c>
      <c r="AE81" s="252">
        <f t="shared" si="57"/>
        <v>0</v>
      </c>
      <c r="AF81" s="252">
        <f t="shared" si="57"/>
        <v>0</v>
      </c>
      <c r="AG81" s="252">
        <f t="shared" si="57"/>
        <v>0</v>
      </c>
      <c r="AH81" s="252">
        <f t="shared" si="57"/>
        <v>0</v>
      </c>
      <c r="AI81" s="252">
        <f t="shared" si="57"/>
        <v>0</v>
      </c>
      <c r="AJ81" s="252">
        <f t="shared" si="57"/>
        <v>0</v>
      </c>
      <c r="AK81" s="252">
        <f t="shared" si="57"/>
        <v>0</v>
      </c>
      <c r="AL81" s="252">
        <f t="shared" si="57"/>
        <v>0</v>
      </c>
      <c r="AM81" s="252">
        <f t="shared" si="57"/>
        <v>0</v>
      </c>
      <c r="AN81" s="252">
        <f t="shared" si="57"/>
        <v>0</v>
      </c>
      <c r="AO81" s="252">
        <f t="shared" si="57"/>
        <v>0</v>
      </c>
      <c r="AP81" s="252">
        <f t="shared" si="57"/>
        <v>0</v>
      </c>
      <c r="AQ81" s="252">
        <f t="shared" si="57"/>
        <v>0</v>
      </c>
      <c r="AR81" s="252">
        <f t="shared" si="57"/>
        <v>0</v>
      </c>
      <c r="AS81" s="252">
        <f t="shared" si="57"/>
        <v>0</v>
      </c>
      <c r="AT81" s="252">
        <f t="shared" si="57"/>
        <v>0</v>
      </c>
      <c r="AU81" s="252">
        <f t="shared" si="57"/>
        <v>0</v>
      </c>
      <c r="AV81" s="252">
        <f t="shared" si="57"/>
        <v>0</v>
      </c>
      <c r="AW81" s="252">
        <f t="shared" si="57"/>
        <v>0</v>
      </c>
      <c r="AX81" s="252">
        <f t="shared" si="57"/>
        <v>0</v>
      </c>
      <c r="AY81" s="252">
        <f t="shared" si="57"/>
        <v>0</v>
      </c>
      <c r="AZ81" s="252">
        <f t="shared" si="57"/>
        <v>0</v>
      </c>
      <c r="BA81" s="252">
        <f t="shared" si="57"/>
        <v>0</v>
      </c>
      <c r="BB81" s="252">
        <f t="shared" si="57"/>
        <v>0</v>
      </c>
    </row>
    <row r="82" ht="15.75" customHeight="1">
      <c r="A82" s="738">
        <v>1957.0</v>
      </c>
      <c r="B82" s="38"/>
      <c r="C82" s="38"/>
      <c r="D82" s="38"/>
      <c r="E82" s="38"/>
      <c r="F82" s="38"/>
      <c r="G82" s="38"/>
      <c r="H82" s="38"/>
      <c r="I82" s="38"/>
      <c r="J82" s="38"/>
      <c r="K82" s="38"/>
      <c r="L82" s="38"/>
      <c r="M82" s="38"/>
      <c r="N82" s="38"/>
      <c r="O82" s="38"/>
      <c r="P82" s="38"/>
      <c r="Q82" s="38"/>
      <c r="R82" s="24">
        <v>0.0</v>
      </c>
      <c r="S82" s="739">
        <v>1968.0</v>
      </c>
      <c r="T82" s="740">
        <v>5819.6</v>
      </c>
      <c r="U82" s="38"/>
      <c r="V82" s="741">
        <v>654.4</v>
      </c>
      <c r="W82" s="252">
        <f t="shared" si="31"/>
        <v>654.4</v>
      </c>
      <c r="X82" s="252">
        <f t="shared" ref="X82:BB82" si="58">IF(AND(X$54-$A82&gt;$V$38,SUM($W82:W82)&lt;&gt;$V82),$V82,0)</f>
        <v>0</v>
      </c>
      <c r="Y82" s="252">
        <f t="shared" si="58"/>
        <v>0</v>
      </c>
      <c r="Z82" s="252">
        <f t="shared" si="58"/>
        <v>0</v>
      </c>
      <c r="AA82" s="252">
        <f t="shared" si="58"/>
        <v>0</v>
      </c>
      <c r="AB82" s="252">
        <f t="shared" si="58"/>
        <v>0</v>
      </c>
      <c r="AC82" s="252">
        <f t="shared" si="58"/>
        <v>0</v>
      </c>
      <c r="AD82" s="252">
        <f t="shared" si="58"/>
        <v>0</v>
      </c>
      <c r="AE82" s="252">
        <f t="shared" si="58"/>
        <v>0</v>
      </c>
      <c r="AF82" s="252">
        <f t="shared" si="58"/>
        <v>0</v>
      </c>
      <c r="AG82" s="252">
        <f t="shared" si="58"/>
        <v>0</v>
      </c>
      <c r="AH82" s="252">
        <f t="shared" si="58"/>
        <v>0</v>
      </c>
      <c r="AI82" s="252">
        <f t="shared" si="58"/>
        <v>0</v>
      </c>
      <c r="AJ82" s="252">
        <f t="shared" si="58"/>
        <v>0</v>
      </c>
      <c r="AK82" s="252">
        <f t="shared" si="58"/>
        <v>0</v>
      </c>
      <c r="AL82" s="252">
        <f t="shared" si="58"/>
        <v>0</v>
      </c>
      <c r="AM82" s="252">
        <f t="shared" si="58"/>
        <v>0</v>
      </c>
      <c r="AN82" s="252">
        <f t="shared" si="58"/>
        <v>0</v>
      </c>
      <c r="AO82" s="252">
        <f t="shared" si="58"/>
        <v>0</v>
      </c>
      <c r="AP82" s="252">
        <f t="shared" si="58"/>
        <v>0</v>
      </c>
      <c r="AQ82" s="252">
        <f t="shared" si="58"/>
        <v>0</v>
      </c>
      <c r="AR82" s="252">
        <f t="shared" si="58"/>
        <v>0</v>
      </c>
      <c r="AS82" s="252">
        <f t="shared" si="58"/>
        <v>0</v>
      </c>
      <c r="AT82" s="252">
        <f t="shared" si="58"/>
        <v>0</v>
      </c>
      <c r="AU82" s="252">
        <f t="shared" si="58"/>
        <v>0</v>
      </c>
      <c r="AV82" s="252">
        <f t="shared" si="58"/>
        <v>0</v>
      </c>
      <c r="AW82" s="252">
        <f t="shared" si="58"/>
        <v>0</v>
      </c>
      <c r="AX82" s="252">
        <f t="shared" si="58"/>
        <v>0</v>
      </c>
      <c r="AY82" s="252">
        <f t="shared" si="58"/>
        <v>0</v>
      </c>
      <c r="AZ82" s="252">
        <f t="shared" si="58"/>
        <v>0</v>
      </c>
      <c r="BA82" s="252">
        <f t="shared" si="58"/>
        <v>0</v>
      </c>
      <c r="BB82" s="252">
        <f t="shared" si="58"/>
        <v>0</v>
      </c>
    </row>
    <row r="83" ht="15.75" customHeight="1">
      <c r="A83" s="738">
        <v>1958.0</v>
      </c>
      <c r="B83" s="38"/>
      <c r="C83" s="38"/>
      <c r="D83" s="38"/>
      <c r="E83" s="38"/>
      <c r="F83" s="38"/>
      <c r="G83" s="38"/>
      <c r="H83" s="38"/>
      <c r="I83" s="38"/>
      <c r="J83" s="38"/>
      <c r="K83" s="38"/>
      <c r="L83" s="38"/>
      <c r="M83" s="38"/>
      <c r="N83" s="38"/>
      <c r="O83" s="38"/>
      <c r="P83" s="38"/>
      <c r="Q83" s="38"/>
      <c r="R83" s="24">
        <v>0.0</v>
      </c>
      <c r="S83" s="739">
        <v>1969.0</v>
      </c>
      <c r="T83" s="740">
        <v>7781.200000000001</v>
      </c>
      <c r="U83" s="38"/>
      <c r="V83" s="741">
        <v>190.4</v>
      </c>
      <c r="W83" s="252">
        <f t="shared" si="31"/>
        <v>190.4</v>
      </c>
      <c r="X83" s="252">
        <f t="shared" ref="X83:BB83" si="59">IF(AND(X$54-$A83&gt;$V$38,SUM($W83:W83)&lt;&gt;$V83),$V83,0)</f>
        <v>0</v>
      </c>
      <c r="Y83" s="252">
        <f t="shared" si="59"/>
        <v>0</v>
      </c>
      <c r="Z83" s="252">
        <f t="shared" si="59"/>
        <v>0</v>
      </c>
      <c r="AA83" s="252">
        <f t="shared" si="59"/>
        <v>0</v>
      </c>
      <c r="AB83" s="252">
        <f t="shared" si="59"/>
        <v>0</v>
      </c>
      <c r="AC83" s="252">
        <f t="shared" si="59"/>
        <v>0</v>
      </c>
      <c r="AD83" s="252">
        <f t="shared" si="59"/>
        <v>0</v>
      </c>
      <c r="AE83" s="252">
        <f t="shared" si="59"/>
        <v>0</v>
      </c>
      <c r="AF83" s="252">
        <f t="shared" si="59"/>
        <v>0</v>
      </c>
      <c r="AG83" s="252">
        <f t="shared" si="59"/>
        <v>0</v>
      </c>
      <c r="AH83" s="252">
        <f t="shared" si="59"/>
        <v>0</v>
      </c>
      <c r="AI83" s="252">
        <f t="shared" si="59"/>
        <v>0</v>
      </c>
      <c r="AJ83" s="252">
        <f t="shared" si="59"/>
        <v>0</v>
      </c>
      <c r="AK83" s="252">
        <f t="shared" si="59"/>
        <v>0</v>
      </c>
      <c r="AL83" s="252">
        <f t="shared" si="59"/>
        <v>0</v>
      </c>
      <c r="AM83" s="252">
        <f t="shared" si="59"/>
        <v>0</v>
      </c>
      <c r="AN83" s="252">
        <f t="shared" si="59"/>
        <v>0</v>
      </c>
      <c r="AO83" s="252">
        <f t="shared" si="59"/>
        <v>0</v>
      </c>
      <c r="AP83" s="252">
        <f t="shared" si="59"/>
        <v>0</v>
      </c>
      <c r="AQ83" s="252">
        <f t="shared" si="59"/>
        <v>0</v>
      </c>
      <c r="AR83" s="252">
        <f t="shared" si="59"/>
        <v>0</v>
      </c>
      <c r="AS83" s="252">
        <f t="shared" si="59"/>
        <v>0</v>
      </c>
      <c r="AT83" s="252">
        <f t="shared" si="59"/>
        <v>0</v>
      </c>
      <c r="AU83" s="252">
        <f t="shared" si="59"/>
        <v>0</v>
      </c>
      <c r="AV83" s="252">
        <f t="shared" si="59"/>
        <v>0</v>
      </c>
      <c r="AW83" s="252">
        <f t="shared" si="59"/>
        <v>0</v>
      </c>
      <c r="AX83" s="252">
        <f t="shared" si="59"/>
        <v>0</v>
      </c>
      <c r="AY83" s="252">
        <f t="shared" si="59"/>
        <v>0</v>
      </c>
      <c r="AZ83" s="252">
        <f t="shared" si="59"/>
        <v>0</v>
      </c>
      <c r="BA83" s="252">
        <f t="shared" si="59"/>
        <v>0</v>
      </c>
      <c r="BB83" s="252">
        <f t="shared" si="59"/>
        <v>0</v>
      </c>
    </row>
    <row r="84" ht="15.75" customHeight="1">
      <c r="A84" s="738">
        <v>1959.0</v>
      </c>
      <c r="B84" s="38"/>
      <c r="C84" s="38"/>
      <c r="D84" s="38"/>
      <c r="E84" s="38"/>
      <c r="F84" s="38"/>
      <c r="G84" s="38"/>
      <c r="H84" s="38"/>
      <c r="I84" s="38"/>
      <c r="J84" s="38"/>
      <c r="K84" s="38"/>
      <c r="L84" s="38"/>
      <c r="M84" s="38"/>
      <c r="N84" s="38"/>
      <c r="O84" s="38"/>
      <c r="P84" s="38"/>
      <c r="Q84" s="38"/>
      <c r="R84" s="24">
        <v>0.0</v>
      </c>
      <c r="S84" s="739">
        <v>1970.0</v>
      </c>
      <c r="T84" s="740">
        <v>9634.1</v>
      </c>
      <c r="U84" s="38"/>
      <c r="V84" s="741">
        <v>927.2</v>
      </c>
      <c r="W84" s="252">
        <f t="shared" si="31"/>
        <v>927.2</v>
      </c>
      <c r="X84" s="252">
        <f t="shared" ref="X84:BB84" si="60">IF(AND(X$54-$A84&gt;$V$38,SUM($W84:W84)&lt;&gt;$V84),$V84,0)</f>
        <v>0</v>
      </c>
      <c r="Y84" s="252">
        <f t="shared" si="60"/>
        <v>0</v>
      </c>
      <c r="Z84" s="252">
        <f t="shared" si="60"/>
        <v>0</v>
      </c>
      <c r="AA84" s="252">
        <f t="shared" si="60"/>
        <v>0</v>
      </c>
      <c r="AB84" s="252">
        <f t="shared" si="60"/>
        <v>0</v>
      </c>
      <c r="AC84" s="252">
        <f t="shared" si="60"/>
        <v>0</v>
      </c>
      <c r="AD84" s="252">
        <f t="shared" si="60"/>
        <v>0</v>
      </c>
      <c r="AE84" s="252">
        <f t="shared" si="60"/>
        <v>0</v>
      </c>
      <c r="AF84" s="252">
        <f t="shared" si="60"/>
        <v>0</v>
      </c>
      <c r="AG84" s="252">
        <f t="shared" si="60"/>
        <v>0</v>
      </c>
      <c r="AH84" s="252">
        <f t="shared" si="60"/>
        <v>0</v>
      </c>
      <c r="AI84" s="252">
        <f t="shared" si="60"/>
        <v>0</v>
      </c>
      <c r="AJ84" s="252">
        <f t="shared" si="60"/>
        <v>0</v>
      </c>
      <c r="AK84" s="252">
        <f t="shared" si="60"/>
        <v>0</v>
      </c>
      <c r="AL84" s="252">
        <f t="shared" si="60"/>
        <v>0</v>
      </c>
      <c r="AM84" s="252">
        <f t="shared" si="60"/>
        <v>0</v>
      </c>
      <c r="AN84" s="252">
        <f t="shared" si="60"/>
        <v>0</v>
      </c>
      <c r="AO84" s="252">
        <f t="shared" si="60"/>
        <v>0</v>
      </c>
      <c r="AP84" s="252">
        <f t="shared" si="60"/>
        <v>0</v>
      </c>
      <c r="AQ84" s="252">
        <f t="shared" si="60"/>
        <v>0</v>
      </c>
      <c r="AR84" s="252">
        <f t="shared" si="60"/>
        <v>0</v>
      </c>
      <c r="AS84" s="252">
        <f t="shared" si="60"/>
        <v>0</v>
      </c>
      <c r="AT84" s="252">
        <f t="shared" si="60"/>
        <v>0</v>
      </c>
      <c r="AU84" s="252">
        <f t="shared" si="60"/>
        <v>0</v>
      </c>
      <c r="AV84" s="252">
        <f t="shared" si="60"/>
        <v>0</v>
      </c>
      <c r="AW84" s="252">
        <f t="shared" si="60"/>
        <v>0</v>
      </c>
      <c r="AX84" s="252">
        <f t="shared" si="60"/>
        <v>0</v>
      </c>
      <c r="AY84" s="252">
        <f t="shared" si="60"/>
        <v>0</v>
      </c>
      <c r="AZ84" s="252">
        <f t="shared" si="60"/>
        <v>0</v>
      </c>
      <c r="BA84" s="252">
        <f t="shared" si="60"/>
        <v>0</v>
      </c>
      <c r="BB84" s="252">
        <f t="shared" si="60"/>
        <v>0</v>
      </c>
    </row>
    <row r="85" ht="15.75" customHeight="1">
      <c r="A85" s="738">
        <v>1960.0</v>
      </c>
      <c r="B85" s="38"/>
      <c r="C85" s="38"/>
      <c r="D85" s="38"/>
      <c r="E85" s="38"/>
      <c r="F85" s="38"/>
      <c r="G85" s="38"/>
      <c r="H85" s="38"/>
      <c r="I85" s="38"/>
      <c r="J85" s="38"/>
      <c r="K85" s="38"/>
      <c r="L85" s="38"/>
      <c r="M85" s="38"/>
      <c r="N85" s="38"/>
      <c r="O85" s="38"/>
      <c r="P85" s="38"/>
      <c r="Q85" s="38"/>
      <c r="R85" s="24">
        <v>0.0</v>
      </c>
      <c r="S85" s="739">
        <v>1971.0</v>
      </c>
      <c r="T85" s="740">
        <v>9647.5</v>
      </c>
      <c r="U85" s="38"/>
      <c r="V85" s="741">
        <v>285.0</v>
      </c>
      <c r="W85" s="252">
        <f t="shared" si="31"/>
        <v>285</v>
      </c>
      <c r="X85" s="252">
        <f t="shared" ref="X85:BB85" si="61">IF(AND(X$54-$A85&gt;$V$38,SUM($W85:W85)&lt;&gt;$V85),$V85,0)</f>
        <v>0</v>
      </c>
      <c r="Y85" s="252">
        <f t="shared" si="61"/>
        <v>0</v>
      </c>
      <c r="Z85" s="252">
        <f t="shared" si="61"/>
        <v>0</v>
      </c>
      <c r="AA85" s="252">
        <f t="shared" si="61"/>
        <v>0</v>
      </c>
      <c r="AB85" s="252">
        <f t="shared" si="61"/>
        <v>0</v>
      </c>
      <c r="AC85" s="252">
        <f t="shared" si="61"/>
        <v>0</v>
      </c>
      <c r="AD85" s="252">
        <f t="shared" si="61"/>
        <v>0</v>
      </c>
      <c r="AE85" s="252">
        <f t="shared" si="61"/>
        <v>0</v>
      </c>
      <c r="AF85" s="252">
        <f t="shared" si="61"/>
        <v>0</v>
      </c>
      <c r="AG85" s="252">
        <f t="shared" si="61"/>
        <v>0</v>
      </c>
      <c r="AH85" s="252">
        <f t="shared" si="61"/>
        <v>0</v>
      </c>
      <c r="AI85" s="252">
        <f t="shared" si="61"/>
        <v>0</v>
      </c>
      <c r="AJ85" s="252">
        <f t="shared" si="61"/>
        <v>0</v>
      </c>
      <c r="AK85" s="252">
        <f t="shared" si="61"/>
        <v>0</v>
      </c>
      <c r="AL85" s="252">
        <f t="shared" si="61"/>
        <v>0</v>
      </c>
      <c r="AM85" s="252">
        <f t="shared" si="61"/>
        <v>0</v>
      </c>
      <c r="AN85" s="252">
        <f t="shared" si="61"/>
        <v>0</v>
      </c>
      <c r="AO85" s="252">
        <f t="shared" si="61"/>
        <v>0</v>
      </c>
      <c r="AP85" s="252">
        <f t="shared" si="61"/>
        <v>0</v>
      </c>
      <c r="AQ85" s="252">
        <f t="shared" si="61"/>
        <v>0</v>
      </c>
      <c r="AR85" s="252">
        <f t="shared" si="61"/>
        <v>0</v>
      </c>
      <c r="AS85" s="252">
        <f t="shared" si="61"/>
        <v>0</v>
      </c>
      <c r="AT85" s="252">
        <f t="shared" si="61"/>
        <v>0</v>
      </c>
      <c r="AU85" s="252">
        <f t="shared" si="61"/>
        <v>0</v>
      </c>
      <c r="AV85" s="252">
        <f t="shared" si="61"/>
        <v>0</v>
      </c>
      <c r="AW85" s="252">
        <f t="shared" si="61"/>
        <v>0</v>
      </c>
      <c r="AX85" s="252">
        <f t="shared" si="61"/>
        <v>0</v>
      </c>
      <c r="AY85" s="252">
        <f t="shared" si="61"/>
        <v>0</v>
      </c>
      <c r="AZ85" s="252">
        <f t="shared" si="61"/>
        <v>0</v>
      </c>
      <c r="BA85" s="252">
        <f t="shared" si="61"/>
        <v>0</v>
      </c>
      <c r="BB85" s="252">
        <f t="shared" si="61"/>
        <v>0</v>
      </c>
    </row>
    <row r="86" ht="15.75" customHeight="1">
      <c r="A86" s="738">
        <v>1961.0</v>
      </c>
      <c r="B86" s="38"/>
      <c r="C86" s="38"/>
      <c r="D86" s="38"/>
      <c r="E86" s="38"/>
      <c r="F86" s="38"/>
      <c r="G86" s="38"/>
      <c r="H86" s="38"/>
      <c r="I86" s="38"/>
      <c r="J86" s="38"/>
      <c r="K86" s="38"/>
      <c r="L86" s="38"/>
      <c r="M86" s="38"/>
      <c r="N86" s="38"/>
      <c r="O86" s="38"/>
      <c r="P86" s="38"/>
      <c r="Q86" s="38"/>
      <c r="R86" s="24">
        <v>0.0</v>
      </c>
      <c r="S86" s="739">
        <v>1972.0</v>
      </c>
      <c r="T86" s="740">
        <v>9028.6</v>
      </c>
      <c r="U86" s="38"/>
      <c r="V86" s="741">
        <v>272.0</v>
      </c>
      <c r="W86" s="252">
        <f t="shared" si="31"/>
        <v>272</v>
      </c>
      <c r="X86" s="252">
        <f t="shared" ref="X86:BB86" si="62">IF(AND(X$54-$A86&gt;$V$38,SUM($W86:W86)&lt;&gt;$V86),$V86,0)</f>
        <v>0</v>
      </c>
      <c r="Y86" s="252">
        <f t="shared" si="62"/>
        <v>0</v>
      </c>
      <c r="Z86" s="252">
        <f t="shared" si="62"/>
        <v>0</v>
      </c>
      <c r="AA86" s="252">
        <f t="shared" si="62"/>
        <v>0</v>
      </c>
      <c r="AB86" s="252">
        <f t="shared" si="62"/>
        <v>0</v>
      </c>
      <c r="AC86" s="252">
        <f t="shared" si="62"/>
        <v>0</v>
      </c>
      <c r="AD86" s="252">
        <f t="shared" si="62"/>
        <v>0</v>
      </c>
      <c r="AE86" s="252">
        <f t="shared" si="62"/>
        <v>0</v>
      </c>
      <c r="AF86" s="252">
        <f t="shared" si="62"/>
        <v>0</v>
      </c>
      <c r="AG86" s="252">
        <f t="shared" si="62"/>
        <v>0</v>
      </c>
      <c r="AH86" s="252">
        <f t="shared" si="62"/>
        <v>0</v>
      </c>
      <c r="AI86" s="252">
        <f t="shared" si="62"/>
        <v>0</v>
      </c>
      <c r="AJ86" s="252">
        <f t="shared" si="62"/>
        <v>0</v>
      </c>
      <c r="AK86" s="252">
        <f t="shared" si="62"/>
        <v>0</v>
      </c>
      <c r="AL86" s="252">
        <f t="shared" si="62"/>
        <v>0</v>
      </c>
      <c r="AM86" s="252">
        <f t="shared" si="62"/>
        <v>0</v>
      </c>
      <c r="AN86" s="252">
        <f t="shared" si="62"/>
        <v>0</v>
      </c>
      <c r="AO86" s="252">
        <f t="shared" si="62"/>
        <v>0</v>
      </c>
      <c r="AP86" s="252">
        <f t="shared" si="62"/>
        <v>0</v>
      </c>
      <c r="AQ86" s="252">
        <f t="shared" si="62"/>
        <v>0</v>
      </c>
      <c r="AR86" s="252">
        <f t="shared" si="62"/>
        <v>0</v>
      </c>
      <c r="AS86" s="252">
        <f t="shared" si="62"/>
        <v>0</v>
      </c>
      <c r="AT86" s="252">
        <f t="shared" si="62"/>
        <v>0</v>
      </c>
      <c r="AU86" s="252">
        <f t="shared" si="62"/>
        <v>0</v>
      </c>
      <c r="AV86" s="252">
        <f t="shared" si="62"/>
        <v>0</v>
      </c>
      <c r="AW86" s="252">
        <f t="shared" si="62"/>
        <v>0</v>
      </c>
      <c r="AX86" s="252">
        <f t="shared" si="62"/>
        <v>0</v>
      </c>
      <c r="AY86" s="252">
        <f t="shared" si="62"/>
        <v>0</v>
      </c>
      <c r="AZ86" s="252">
        <f t="shared" si="62"/>
        <v>0</v>
      </c>
      <c r="BA86" s="252">
        <f t="shared" si="62"/>
        <v>0</v>
      </c>
      <c r="BB86" s="252">
        <f t="shared" si="62"/>
        <v>0</v>
      </c>
    </row>
    <row r="87" ht="15.75" customHeight="1">
      <c r="A87" s="738">
        <v>1962.0</v>
      </c>
      <c r="B87" s="38"/>
      <c r="C87" s="38"/>
      <c r="D87" s="38"/>
      <c r="E87" s="38"/>
      <c r="F87" s="38"/>
      <c r="G87" s="38"/>
      <c r="H87" s="38"/>
      <c r="I87" s="38"/>
      <c r="J87" s="38"/>
      <c r="K87" s="38"/>
      <c r="L87" s="38"/>
      <c r="M87" s="38"/>
      <c r="N87" s="38"/>
      <c r="O87" s="38"/>
      <c r="P87" s="38"/>
      <c r="Q87" s="38"/>
      <c r="R87" s="24">
        <v>0.0</v>
      </c>
      <c r="S87" s="739">
        <v>1973.0</v>
      </c>
      <c r="T87" s="740">
        <v>14100.1</v>
      </c>
      <c r="U87" s="38"/>
      <c r="V87" s="741">
        <v>10.0</v>
      </c>
      <c r="W87" s="252">
        <f t="shared" si="31"/>
        <v>10</v>
      </c>
      <c r="X87" s="252">
        <f t="shared" ref="X87:BB87" si="63">IF(AND(X$54-$A87&gt;$V$38,SUM($W87:W87)&lt;&gt;$V87),$V87,0)</f>
        <v>0</v>
      </c>
      <c r="Y87" s="252">
        <f t="shared" si="63"/>
        <v>0</v>
      </c>
      <c r="Z87" s="252">
        <f t="shared" si="63"/>
        <v>0</v>
      </c>
      <c r="AA87" s="252">
        <f t="shared" si="63"/>
        <v>0</v>
      </c>
      <c r="AB87" s="252">
        <f t="shared" si="63"/>
        <v>0</v>
      </c>
      <c r="AC87" s="252">
        <f t="shared" si="63"/>
        <v>0</v>
      </c>
      <c r="AD87" s="252">
        <f t="shared" si="63"/>
        <v>0</v>
      </c>
      <c r="AE87" s="252">
        <f t="shared" si="63"/>
        <v>0</v>
      </c>
      <c r="AF87" s="252">
        <f t="shared" si="63"/>
        <v>0</v>
      </c>
      <c r="AG87" s="252">
        <f t="shared" si="63"/>
        <v>0</v>
      </c>
      <c r="AH87" s="252">
        <f t="shared" si="63"/>
        <v>0</v>
      </c>
      <c r="AI87" s="252">
        <f t="shared" si="63"/>
        <v>0</v>
      </c>
      <c r="AJ87" s="252">
        <f t="shared" si="63"/>
        <v>0</v>
      </c>
      <c r="AK87" s="252">
        <f t="shared" si="63"/>
        <v>0</v>
      </c>
      <c r="AL87" s="252">
        <f t="shared" si="63"/>
        <v>0</v>
      </c>
      <c r="AM87" s="252">
        <f t="shared" si="63"/>
        <v>0</v>
      </c>
      <c r="AN87" s="252">
        <f t="shared" si="63"/>
        <v>0</v>
      </c>
      <c r="AO87" s="252">
        <f t="shared" si="63"/>
        <v>0</v>
      </c>
      <c r="AP87" s="252">
        <f t="shared" si="63"/>
        <v>0</v>
      </c>
      <c r="AQ87" s="252">
        <f t="shared" si="63"/>
        <v>0</v>
      </c>
      <c r="AR87" s="252">
        <f t="shared" si="63"/>
        <v>0</v>
      </c>
      <c r="AS87" s="252">
        <f t="shared" si="63"/>
        <v>0</v>
      </c>
      <c r="AT87" s="252">
        <f t="shared" si="63"/>
        <v>0</v>
      </c>
      <c r="AU87" s="252">
        <f t="shared" si="63"/>
        <v>0</v>
      </c>
      <c r="AV87" s="252">
        <f t="shared" si="63"/>
        <v>0</v>
      </c>
      <c r="AW87" s="252">
        <f t="shared" si="63"/>
        <v>0</v>
      </c>
      <c r="AX87" s="252">
        <f t="shared" si="63"/>
        <v>0</v>
      </c>
      <c r="AY87" s="252">
        <f t="shared" si="63"/>
        <v>0</v>
      </c>
      <c r="AZ87" s="252">
        <f t="shared" si="63"/>
        <v>0</v>
      </c>
      <c r="BA87" s="252">
        <f t="shared" si="63"/>
        <v>0</v>
      </c>
      <c r="BB87" s="252">
        <f t="shared" si="63"/>
        <v>0</v>
      </c>
    </row>
    <row r="88" ht="15.75" customHeight="1">
      <c r="A88" s="738">
        <v>1963.0</v>
      </c>
      <c r="B88" s="38"/>
      <c r="C88" s="38"/>
      <c r="D88" s="38"/>
      <c r="E88" s="38"/>
      <c r="F88" s="38"/>
      <c r="G88" s="38"/>
      <c r="H88" s="38"/>
      <c r="I88" s="38"/>
      <c r="J88" s="38"/>
      <c r="K88" s="38"/>
      <c r="L88" s="38"/>
      <c r="M88" s="38"/>
      <c r="N88" s="38"/>
      <c r="O88" s="38"/>
      <c r="P88" s="38"/>
      <c r="Q88" s="38"/>
      <c r="R88" s="24">
        <v>0.0</v>
      </c>
      <c r="S88" s="739">
        <v>1974.0</v>
      </c>
      <c r="T88" s="740">
        <v>9729.0</v>
      </c>
      <c r="U88" s="38"/>
      <c r="V88" s="741">
        <v>7.5</v>
      </c>
      <c r="W88" s="252">
        <f t="shared" si="31"/>
        <v>7.5</v>
      </c>
      <c r="X88" s="252">
        <f t="shared" ref="X88:BB88" si="64">IF(AND(X$54-$A88&gt;$V$38,SUM($W88:W88)&lt;&gt;$V88),$V88,0)</f>
        <v>0</v>
      </c>
      <c r="Y88" s="252">
        <f t="shared" si="64"/>
        <v>0</v>
      </c>
      <c r="Z88" s="252">
        <f t="shared" si="64"/>
        <v>0</v>
      </c>
      <c r="AA88" s="252">
        <f t="shared" si="64"/>
        <v>0</v>
      </c>
      <c r="AB88" s="252">
        <f t="shared" si="64"/>
        <v>0</v>
      </c>
      <c r="AC88" s="252">
        <f t="shared" si="64"/>
        <v>0</v>
      </c>
      <c r="AD88" s="252">
        <f t="shared" si="64"/>
        <v>0</v>
      </c>
      <c r="AE88" s="252">
        <f t="shared" si="64"/>
        <v>0</v>
      </c>
      <c r="AF88" s="252">
        <f t="shared" si="64"/>
        <v>0</v>
      </c>
      <c r="AG88" s="252">
        <f t="shared" si="64"/>
        <v>0</v>
      </c>
      <c r="AH88" s="252">
        <f t="shared" si="64"/>
        <v>0</v>
      </c>
      <c r="AI88" s="252">
        <f t="shared" si="64"/>
        <v>0</v>
      </c>
      <c r="AJ88" s="252">
        <f t="shared" si="64"/>
        <v>0</v>
      </c>
      <c r="AK88" s="252">
        <f t="shared" si="64"/>
        <v>0</v>
      </c>
      <c r="AL88" s="252">
        <f t="shared" si="64"/>
        <v>0</v>
      </c>
      <c r="AM88" s="252">
        <f t="shared" si="64"/>
        <v>0</v>
      </c>
      <c r="AN88" s="252">
        <f t="shared" si="64"/>
        <v>0</v>
      </c>
      <c r="AO88" s="252">
        <f t="shared" si="64"/>
        <v>0</v>
      </c>
      <c r="AP88" s="252">
        <f t="shared" si="64"/>
        <v>0</v>
      </c>
      <c r="AQ88" s="252">
        <f t="shared" si="64"/>
        <v>0</v>
      </c>
      <c r="AR88" s="252">
        <f t="shared" si="64"/>
        <v>0</v>
      </c>
      <c r="AS88" s="252">
        <f t="shared" si="64"/>
        <v>0</v>
      </c>
      <c r="AT88" s="252">
        <f t="shared" si="64"/>
        <v>0</v>
      </c>
      <c r="AU88" s="252">
        <f t="shared" si="64"/>
        <v>0</v>
      </c>
      <c r="AV88" s="252">
        <f t="shared" si="64"/>
        <v>0</v>
      </c>
      <c r="AW88" s="252">
        <f t="shared" si="64"/>
        <v>0</v>
      </c>
      <c r="AX88" s="252">
        <f t="shared" si="64"/>
        <v>0</v>
      </c>
      <c r="AY88" s="252">
        <f t="shared" si="64"/>
        <v>0</v>
      </c>
      <c r="AZ88" s="252">
        <f t="shared" si="64"/>
        <v>0</v>
      </c>
      <c r="BA88" s="252">
        <f t="shared" si="64"/>
        <v>0</v>
      </c>
      <c r="BB88" s="252">
        <f t="shared" si="64"/>
        <v>0</v>
      </c>
    </row>
    <row r="89" ht="15.75" customHeight="1">
      <c r="A89" s="738">
        <v>1964.0</v>
      </c>
      <c r="B89" s="38"/>
      <c r="C89" s="38"/>
      <c r="D89" s="38"/>
      <c r="E89" s="38"/>
      <c r="F89" s="38"/>
      <c r="G89" s="38"/>
      <c r="H89" s="38"/>
      <c r="I89" s="38"/>
      <c r="J89" s="38"/>
      <c r="K89" s="38"/>
      <c r="L89" s="38"/>
      <c r="M89" s="38"/>
      <c r="N89" s="38"/>
      <c r="O89" s="38"/>
      <c r="P89" s="38"/>
      <c r="Q89" s="38"/>
      <c r="R89" s="24">
        <v>0.0</v>
      </c>
      <c r="S89" s="739">
        <v>1975.0</v>
      </c>
      <c r="T89" s="740">
        <v>9482.1</v>
      </c>
      <c r="U89" s="38"/>
      <c r="V89" s="741">
        <v>206.6</v>
      </c>
      <c r="W89" s="252">
        <f t="shared" si="31"/>
        <v>206.6</v>
      </c>
      <c r="X89" s="252">
        <f t="shared" ref="X89:BB89" si="65">IF(AND(X$54-$A89&gt;$V$38,SUM($W89:W89)&lt;&gt;$V89),$V89,0)</f>
        <v>0</v>
      </c>
      <c r="Y89" s="252">
        <f t="shared" si="65"/>
        <v>0</v>
      </c>
      <c r="Z89" s="252">
        <f t="shared" si="65"/>
        <v>0</v>
      </c>
      <c r="AA89" s="252">
        <f t="shared" si="65"/>
        <v>0</v>
      </c>
      <c r="AB89" s="252">
        <f t="shared" si="65"/>
        <v>0</v>
      </c>
      <c r="AC89" s="252">
        <f t="shared" si="65"/>
        <v>0</v>
      </c>
      <c r="AD89" s="252">
        <f t="shared" si="65"/>
        <v>0</v>
      </c>
      <c r="AE89" s="252">
        <f t="shared" si="65"/>
        <v>0</v>
      </c>
      <c r="AF89" s="252">
        <f t="shared" si="65"/>
        <v>0</v>
      </c>
      <c r="AG89" s="252">
        <f t="shared" si="65"/>
        <v>0</v>
      </c>
      <c r="AH89" s="252">
        <f t="shared" si="65"/>
        <v>0</v>
      </c>
      <c r="AI89" s="252">
        <f t="shared" si="65"/>
        <v>0</v>
      </c>
      <c r="AJ89" s="252">
        <f t="shared" si="65"/>
        <v>0</v>
      </c>
      <c r="AK89" s="252">
        <f t="shared" si="65"/>
        <v>0</v>
      </c>
      <c r="AL89" s="252">
        <f t="shared" si="65"/>
        <v>0</v>
      </c>
      <c r="AM89" s="252">
        <f t="shared" si="65"/>
        <v>0</v>
      </c>
      <c r="AN89" s="252">
        <f t="shared" si="65"/>
        <v>0</v>
      </c>
      <c r="AO89" s="252">
        <f t="shared" si="65"/>
        <v>0</v>
      </c>
      <c r="AP89" s="252">
        <f t="shared" si="65"/>
        <v>0</v>
      </c>
      <c r="AQ89" s="252">
        <f t="shared" si="65"/>
        <v>0</v>
      </c>
      <c r="AR89" s="252">
        <f t="shared" si="65"/>
        <v>0</v>
      </c>
      <c r="AS89" s="252">
        <f t="shared" si="65"/>
        <v>0</v>
      </c>
      <c r="AT89" s="252">
        <f t="shared" si="65"/>
        <v>0</v>
      </c>
      <c r="AU89" s="252">
        <f t="shared" si="65"/>
        <v>0</v>
      </c>
      <c r="AV89" s="252">
        <f t="shared" si="65"/>
        <v>0</v>
      </c>
      <c r="AW89" s="252">
        <f t="shared" si="65"/>
        <v>0</v>
      </c>
      <c r="AX89" s="252">
        <f t="shared" si="65"/>
        <v>0</v>
      </c>
      <c r="AY89" s="252">
        <f t="shared" si="65"/>
        <v>0</v>
      </c>
      <c r="AZ89" s="252">
        <f t="shared" si="65"/>
        <v>0</v>
      </c>
      <c r="BA89" s="252">
        <f t="shared" si="65"/>
        <v>0</v>
      </c>
      <c r="BB89" s="252">
        <f t="shared" si="65"/>
        <v>0</v>
      </c>
    </row>
    <row r="90" ht="15.75" customHeight="1">
      <c r="A90" s="738">
        <v>1965.0</v>
      </c>
      <c r="B90" s="38"/>
      <c r="C90" s="38"/>
      <c r="D90" s="38"/>
      <c r="E90" s="38"/>
      <c r="F90" s="38"/>
      <c r="G90" s="38"/>
      <c r="H90" s="38"/>
      <c r="I90" s="38"/>
      <c r="J90" s="38"/>
      <c r="K90" s="38"/>
      <c r="L90" s="38"/>
      <c r="M90" s="38"/>
      <c r="N90" s="38"/>
      <c r="O90" s="38"/>
      <c r="P90" s="38"/>
      <c r="Q90" s="38"/>
      <c r="R90" s="24">
        <v>0.0</v>
      </c>
      <c r="S90" s="739">
        <v>1976.0</v>
      </c>
      <c r="T90" s="740">
        <v>8007.5</v>
      </c>
      <c r="U90" s="38"/>
      <c r="V90" s="741">
        <v>348.5</v>
      </c>
      <c r="W90" s="252">
        <f t="shared" si="31"/>
        <v>348.5</v>
      </c>
      <c r="X90" s="252">
        <f t="shared" ref="X90:BB90" si="66">IF(AND(X$54-$A90&gt;$V$38,SUM($W90:W90)&lt;&gt;$V90),$V90,0)</f>
        <v>0</v>
      </c>
      <c r="Y90" s="252">
        <f t="shared" si="66"/>
        <v>0</v>
      </c>
      <c r="Z90" s="252">
        <f t="shared" si="66"/>
        <v>0</v>
      </c>
      <c r="AA90" s="252">
        <f t="shared" si="66"/>
        <v>0</v>
      </c>
      <c r="AB90" s="252">
        <f t="shared" si="66"/>
        <v>0</v>
      </c>
      <c r="AC90" s="252">
        <f t="shared" si="66"/>
        <v>0</v>
      </c>
      <c r="AD90" s="252">
        <f t="shared" si="66"/>
        <v>0</v>
      </c>
      <c r="AE90" s="252">
        <f t="shared" si="66"/>
        <v>0</v>
      </c>
      <c r="AF90" s="252">
        <f t="shared" si="66"/>
        <v>0</v>
      </c>
      <c r="AG90" s="252">
        <f t="shared" si="66"/>
        <v>0</v>
      </c>
      <c r="AH90" s="252">
        <f t="shared" si="66"/>
        <v>0</v>
      </c>
      <c r="AI90" s="252">
        <f t="shared" si="66"/>
        <v>0</v>
      </c>
      <c r="AJ90" s="252">
        <f t="shared" si="66"/>
        <v>0</v>
      </c>
      <c r="AK90" s="252">
        <f t="shared" si="66"/>
        <v>0</v>
      </c>
      <c r="AL90" s="252">
        <f t="shared" si="66"/>
        <v>0</v>
      </c>
      <c r="AM90" s="252">
        <f t="shared" si="66"/>
        <v>0</v>
      </c>
      <c r="AN90" s="252">
        <f t="shared" si="66"/>
        <v>0</v>
      </c>
      <c r="AO90" s="252">
        <f t="shared" si="66"/>
        <v>0</v>
      </c>
      <c r="AP90" s="252">
        <f t="shared" si="66"/>
        <v>0</v>
      </c>
      <c r="AQ90" s="252">
        <f t="shared" si="66"/>
        <v>0</v>
      </c>
      <c r="AR90" s="252">
        <f t="shared" si="66"/>
        <v>0</v>
      </c>
      <c r="AS90" s="252">
        <f t="shared" si="66"/>
        <v>0</v>
      </c>
      <c r="AT90" s="252">
        <f t="shared" si="66"/>
        <v>0</v>
      </c>
      <c r="AU90" s="252">
        <f t="shared" si="66"/>
        <v>0</v>
      </c>
      <c r="AV90" s="252">
        <f t="shared" si="66"/>
        <v>0</v>
      </c>
      <c r="AW90" s="252">
        <f t="shared" si="66"/>
        <v>0</v>
      </c>
      <c r="AX90" s="252">
        <f t="shared" si="66"/>
        <v>0</v>
      </c>
      <c r="AY90" s="252">
        <f t="shared" si="66"/>
        <v>0</v>
      </c>
      <c r="AZ90" s="252">
        <f t="shared" si="66"/>
        <v>0</v>
      </c>
      <c r="BA90" s="252">
        <f t="shared" si="66"/>
        <v>0</v>
      </c>
      <c r="BB90" s="252">
        <f t="shared" si="66"/>
        <v>0</v>
      </c>
    </row>
    <row r="91" ht="15.75" customHeight="1">
      <c r="A91" s="738">
        <v>1966.0</v>
      </c>
      <c r="B91" s="38"/>
      <c r="C91" s="38"/>
      <c r="D91" s="38"/>
      <c r="E91" s="38"/>
      <c r="F91" s="38"/>
      <c r="G91" s="38"/>
      <c r="H91" s="38"/>
      <c r="I91" s="38"/>
      <c r="J91" s="38"/>
      <c r="K91" s="38"/>
      <c r="L91" s="38"/>
      <c r="M91" s="38"/>
      <c r="N91" s="38"/>
      <c r="O91" s="38"/>
      <c r="P91" s="38"/>
      <c r="Q91" s="38"/>
      <c r="R91" s="24">
        <v>0.0</v>
      </c>
      <c r="S91" s="739">
        <v>1977.0</v>
      </c>
      <c r="T91" s="740">
        <v>11379.2</v>
      </c>
      <c r="U91" s="38"/>
      <c r="V91" s="741">
        <v>769.7</v>
      </c>
      <c r="W91" s="252">
        <f t="shared" si="31"/>
        <v>769.7</v>
      </c>
      <c r="X91" s="252">
        <f t="shared" ref="X91:BB91" si="67">IF(AND(X$54-$A91&gt;$V$38,SUM($W91:W91)&lt;&gt;$V91),$V91,0)</f>
        <v>0</v>
      </c>
      <c r="Y91" s="252">
        <f t="shared" si="67"/>
        <v>0</v>
      </c>
      <c r="Z91" s="252">
        <f t="shared" si="67"/>
        <v>0</v>
      </c>
      <c r="AA91" s="252">
        <f t="shared" si="67"/>
        <v>0</v>
      </c>
      <c r="AB91" s="252">
        <f t="shared" si="67"/>
        <v>0</v>
      </c>
      <c r="AC91" s="252">
        <f t="shared" si="67"/>
        <v>0</v>
      </c>
      <c r="AD91" s="252">
        <f t="shared" si="67"/>
        <v>0</v>
      </c>
      <c r="AE91" s="252">
        <f t="shared" si="67"/>
        <v>0</v>
      </c>
      <c r="AF91" s="252">
        <f t="shared" si="67"/>
        <v>0</v>
      </c>
      <c r="AG91" s="252">
        <f t="shared" si="67"/>
        <v>0</v>
      </c>
      <c r="AH91" s="252">
        <f t="shared" si="67"/>
        <v>0</v>
      </c>
      <c r="AI91" s="252">
        <f t="shared" si="67"/>
        <v>0</v>
      </c>
      <c r="AJ91" s="252">
        <f t="shared" si="67"/>
        <v>0</v>
      </c>
      <c r="AK91" s="252">
        <f t="shared" si="67"/>
        <v>0</v>
      </c>
      <c r="AL91" s="252">
        <f t="shared" si="67"/>
        <v>0</v>
      </c>
      <c r="AM91" s="252">
        <f t="shared" si="67"/>
        <v>0</v>
      </c>
      <c r="AN91" s="252">
        <f t="shared" si="67"/>
        <v>0</v>
      </c>
      <c r="AO91" s="252">
        <f t="shared" si="67"/>
        <v>0</v>
      </c>
      <c r="AP91" s="252">
        <f t="shared" si="67"/>
        <v>0</v>
      </c>
      <c r="AQ91" s="252">
        <f t="shared" si="67"/>
        <v>0</v>
      </c>
      <c r="AR91" s="252">
        <f t="shared" si="67"/>
        <v>0</v>
      </c>
      <c r="AS91" s="252">
        <f t="shared" si="67"/>
        <v>0</v>
      </c>
      <c r="AT91" s="252">
        <f t="shared" si="67"/>
        <v>0</v>
      </c>
      <c r="AU91" s="252">
        <f t="shared" si="67"/>
        <v>0</v>
      </c>
      <c r="AV91" s="252">
        <f t="shared" si="67"/>
        <v>0</v>
      </c>
      <c r="AW91" s="252">
        <f t="shared" si="67"/>
        <v>0</v>
      </c>
      <c r="AX91" s="252">
        <f t="shared" si="67"/>
        <v>0</v>
      </c>
      <c r="AY91" s="252">
        <f t="shared" si="67"/>
        <v>0</v>
      </c>
      <c r="AZ91" s="252">
        <f t="shared" si="67"/>
        <v>0</v>
      </c>
      <c r="BA91" s="252">
        <f t="shared" si="67"/>
        <v>0</v>
      </c>
      <c r="BB91" s="252">
        <f t="shared" si="67"/>
        <v>0</v>
      </c>
    </row>
    <row r="92" ht="15.75" customHeight="1">
      <c r="A92" s="738">
        <v>1967.0</v>
      </c>
      <c r="B92" s="38"/>
      <c r="C92" s="38"/>
      <c r="D92" s="38"/>
      <c r="E92" s="38"/>
      <c r="F92" s="38"/>
      <c r="G92" s="38"/>
      <c r="H92" s="38"/>
      <c r="I92" s="38"/>
      <c r="J92" s="38"/>
      <c r="K92" s="38"/>
      <c r="L92" s="38"/>
      <c r="M92" s="38"/>
      <c r="N92" s="38"/>
      <c r="O92" s="38"/>
      <c r="P92" s="38"/>
      <c r="Q92" s="38"/>
      <c r="R92" s="24">
        <v>0.0</v>
      </c>
      <c r="S92" s="739">
        <v>1978.0</v>
      </c>
      <c r="T92" s="740">
        <v>11123.3</v>
      </c>
      <c r="U92" s="38"/>
      <c r="V92" s="741">
        <v>950.0</v>
      </c>
      <c r="W92" s="252">
        <f t="shared" si="31"/>
        <v>950</v>
      </c>
      <c r="X92" s="252">
        <f t="shared" ref="X92:BB92" si="68">IF(AND(X$54-$A92&gt;$V$38,SUM($W92:W92)&lt;&gt;$V92),$V92,0)</f>
        <v>0</v>
      </c>
      <c r="Y92" s="252">
        <f t="shared" si="68"/>
        <v>0</v>
      </c>
      <c r="Z92" s="252">
        <f t="shared" si="68"/>
        <v>0</v>
      </c>
      <c r="AA92" s="252">
        <f t="shared" si="68"/>
        <v>0</v>
      </c>
      <c r="AB92" s="252">
        <f t="shared" si="68"/>
        <v>0</v>
      </c>
      <c r="AC92" s="252">
        <f t="shared" si="68"/>
        <v>0</v>
      </c>
      <c r="AD92" s="252">
        <f t="shared" si="68"/>
        <v>0</v>
      </c>
      <c r="AE92" s="252">
        <f t="shared" si="68"/>
        <v>0</v>
      </c>
      <c r="AF92" s="252">
        <f t="shared" si="68"/>
        <v>0</v>
      </c>
      <c r="AG92" s="252">
        <f t="shared" si="68"/>
        <v>0</v>
      </c>
      <c r="AH92" s="252">
        <f t="shared" si="68"/>
        <v>0</v>
      </c>
      <c r="AI92" s="252">
        <f t="shared" si="68"/>
        <v>0</v>
      </c>
      <c r="AJ92" s="252">
        <f t="shared" si="68"/>
        <v>0</v>
      </c>
      <c r="AK92" s="252">
        <f t="shared" si="68"/>
        <v>0</v>
      </c>
      <c r="AL92" s="252">
        <f t="shared" si="68"/>
        <v>0</v>
      </c>
      <c r="AM92" s="252">
        <f t="shared" si="68"/>
        <v>0</v>
      </c>
      <c r="AN92" s="252">
        <f t="shared" si="68"/>
        <v>0</v>
      </c>
      <c r="AO92" s="252">
        <f t="shared" si="68"/>
        <v>0</v>
      </c>
      <c r="AP92" s="252">
        <f t="shared" si="68"/>
        <v>0</v>
      </c>
      <c r="AQ92" s="252">
        <f t="shared" si="68"/>
        <v>0</v>
      </c>
      <c r="AR92" s="252">
        <f t="shared" si="68"/>
        <v>0</v>
      </c>
      <c r="AS92" s="252">
        <f t="shared" si="68"/>
        <v>0</v>
      </c>
      <c r="AT92" s="252">
        <f t="shared" si="68"/>
        <v>0</v>
      </c>
      <c r="AU92" s="252">
        <f t="shared" si="68"/>
        <v>0</v>
      </c>
      <c r="AV92" s="252">
        <f t="shared" si="68"/>
        <v>0</v>
      </c>
      <c r="AW92" s="252">
        <f t="shared" si="68"/>
        <v>0</v>
      </c>
      <c r="AX92" s="252">
        <f t="shared" si="68"/>
        <v>0</v>
      </c>
      <c r="AY92" s="252">
        <f t="shared" si="68"/>
        <v>0</v>
      </c>
      <c r="AZ92" s="252">
        <f t="shared" si="68"/>
        <v>0</v>
      </c>
      <c r="BA92" s="252">
        <f t="shared" si="68"/>
        <v>0</v>
      </c>
      <c r="BB92" s="252">
        <f t="shared" si="68"/>
        <v>0</v>
      </c>
    </row>
    <row r="93" ht="15.75" customHeight="1">
      <c r="A93" s="738">
        <v>1968.0</v>
      </c>
      <c r="B93" s="38"/>
      <c r="C93" s="38"/>
      <c r="D93" s="38"/>
      <c r="E93" s="38"/>
      <c r="F93" s="38"/>
      <c r="G93" s="38"/>
      <c r="H93" s="38"/>
      <c r="I93" s="38"/>
      <c r="J93" s="38"/>
      <c r="K93" s="38"/>
      <c r="L93" s="38"/>
      <c r="M93" s="38"/>
      <c r="N93" s="38"/>
      <c r="O93" s="38"/>
      <c r="P93" s="38"/>
      <c r="Q93" s="38"/>
      <c r="R93" s="24">
        <v>0.0</v>
      </c>
      <c r="S93" s="739">
        <v>1979.0</v>
      </c>
      <c r="T93" s="740">
        <v>9478.6</v>
      </c>
      <c r="U93" s="38"/>
      <c r="V93" s="741">
        <v>657.0</v>
      </c>
      <c r="W93" s="252">
        <f t="shared" si="31"/>
        <v>657</v>
      </c>
      <c r="X93" s="252">
        <f t="shared" ref="X93:BB93" si="69">IF(AND(X$54-$A93&gt;$V$38,SUM($W93:W93)&lt;&gt;$V93),$V93,0)</f>
        <v>0</v>
      </c>
      <c r="Y93" s="252">
        <f t="shared" si="69"/>
        <v>0</v>
      </c>
      <c r="Z93" s="252">
        <f t="shared" si="69"/>
        <v>0</v>
      </c>
      <c r="AA93" s="252">
        <f t="shared" si="69"/>
        <v>0</v>
      </c>
      <c r="AB93" s="252">
        <f t="shared" si="69"/>
        <v>0</v>
      </c>
      <c r="AC93" s="252">
        <f t="shared" si="69"/>
        <v>0</v>
      </c>
      <c r="AD93" s="252">
        <f t="shared" si="69"/>
        <v>0</v>
      </c>
      <c r="AE93" s="252">
        <f t="shared" si="69"/>
        <v>0</v>
      </c>
      <c r="AF93" s="252">
        <f t="shared" si="69"/>
        <v>0</v>
      </c>
      <c r="AG93" s="252">
        <f t="shared" si="69"/>
        <v>0</v>
      </c>
      <c r="AH93" s="252">
        <f t="shared" si="69"/>
        <v>0</v>
      </c>
      <c r="AI93" s="252">
        <f t="shared" si="69"/>
        <v>0</v>
      </c>
      <c r="AJ93" s="252">
        <f t="shared" si="69"/>
        <v>0</v>
      </c>
      <c r="AK93" s="252">
        <f t="shared" si="69"/>
        <v>0</v>
      </c>
      <c r="AL93" s="252">
        <f t="shared" si="69"/>
        <v>0</v>
      </c>
      <c r="AM93" s="252">
        <f t="shared" si="69"/>
        <v>0</v>
      </c>
      <c r="AN93" s="252">
        <f t="shared" si="69"/>
        <v>0</v>
      </c>
      <c r="AO93" s="252">
        <f t="shared" si="69"/>
        <v>0</v>
      </c>
      <c r="AP93" s="252">
        <f t="shared" si="69"/>
        <v>0</v>
      </c>
      <c r="AQ93" s="252">
        <f t="shared" si="69"/>
        <v>0</v>
      </c>
      <c r="AR93" s="252">
        <f t="shared" si="69"/>
        <v>0</v>
      </c>
      <c r="AS93" s="252">
        <f t="shared" si="69"/>
        <v>0</v>
      </c>
      <c r="AT93" s="252">
        <f t="shared" si="69"/>
        <v>0</v>
      </c>
      <c r="AU93" s="252">
        <f t="shared" si="69"/>
        <v>0</v>
      </c>
      <c r="AV93" s="252">
        <f t="shared" si="69"/>
        <v>0</v>
      </c>
      <c r="AW93" s="252">
        <f t="shared" si="69"/>
        <v>0</v>
      </c>
      <c r="AX93" s="252">
        <f t="shared" si="69"/>
        <v>0</v>
      </c>
      <c r="AY93" s="252">
        <f t="shared" si="69"/>
        <v>0</v>
      </c>
      <c r="AZ93" s="252">
        <f t="shared" si="69"/>
        <v>0</v>
      </c>
      <c r="BA93" s="252">
        <f t="shared" si="69"/>
        <v>0</v>
      </c>
      <c r="BB93" s="252">
        <f t="shared" si="69"/>
        <v>0</v>
      </c>
    </row>
    <row r="94" ht="15.75" customHeight="1">
      <c r="A94" s="738">
        <v>1969.0</v>
      </c>
      <c r="B94" s="38"/>
      <c r="C94" s="38"/>
      <c r="D94" s="38"/>
      <c r="E94" s="38"/>
      <c r="F94" s="38"/>
      <c r="G94" s="38"/>
      <c r="H94" s="38"/>
      <c r="I94" s="38"/>
      <c r="J94" s="38"/>
      <c r="K94" s="38"/>
      <c r="L94" s="38"/>
      <c r="M94" s="38"/>
      <c r="N94" s="38"/>
      <c r="O94" s="38"/>
      <c r="P94" s="38"/>
      <c r="Q94" s="38"/>
      <c r="R94" s="24">
        <v>0.0</v>
      </c>
      <c r="S94" s="739">
        <v>1980.0</v>
      </c>
      <c r="T94" s="740">
        <v>14231.099999999999</v>
      </c>
      <c r="U94" s="38"/>
      <c r="V94" s="741">
        <v>1180.7</v>
      </c>
      <c r="W94" s="252">
        <f t="shared" si="31"/>
        <v>1180.7</v>
      </c>
      <c r="X94" s="252">
        <f t="shared" ref="X94:BB94" si="70">IF(AND(X$54-$A94&gt;$V$38,SUM($W94:W94)&lt;&gt;$V94),$V94,0)</f>
        <v>0</v>
      </c>
      <c r="Y94" s="252">
        <f t="shared" si="70"/>
        <v>0</v>
      </c>
      <c r="Z94" s="252">
        <f t="shared" si="70"/>
        <v>0</v>
      </c>
      <c r="AA94" s="252">
        <f t="shared" si="70"/>
        <v>0</v>
      </c>
      <c r="AB94" s="252">
        <f t="shared" si="70"/>
        <v>0</v>
      </c>
      <c r="AC94" s="252">
        <f t="shared" si="70"/>
        <v>0</v>
      </c>
      <c r="AD94" s="252">
        <f t="shared" si="70"/>
        <v>0</v>
      </c>
      <c r="AE94" s="252">
        <f t="shared" si="70"/>
        <v>0</v>
      </c>
      <c r="AF94" s="252">
        <f t="shared" si="70"/>
        <v>0</v>
      </c>
      <c r="AG94" s="252">
        <f t="shared" si="70"/>
        <v>0</v>
      </c>
      <c r="AH94" s="252">
        <f t="shared" si="70"/>
        <v>0</v>
      </c>
      <c r="AI94" s="252">
        <f t="shared" si="70"/>
        <v>0</v>
      </c>
      <c r="AJ94" s="252">
        <f t="shared" si="70"/>
        <v>0</v>
      </c>
      <c r="AK94" s="252">
        <f t="shared" si="70"/>
        <v>0</v>
      </c>
      <c r="AL94" s="252">
        <f t="shared" si="70"/>
        <v>0</v>
      </c>
      <c r="AM94" s="252">
        <f t="shared" si="70"/>
        <v>0</v>
      </c>
      <c r="AN94" s="252">
        <f t="shared" si="70"/>
        <v>0</v>
      </c>
      <c r="AO94" s="252">
        <f t="shared" si="70"/>
        <v>0</v>
      </c>
      <c r="AP94" s="252">
        <f t="shared" si="70"/>
        <v>0</v>
      </c>
      <c r="AQ94" s="252">
        <f t="shared" si="70"/>
        <v>0</v>
      </c>
      <c r="AR94" s="252">
        <f t="shared" si="70"/>
        <v>0</v>
      </c>
      <c r="AS94" s="252">
        <f t="shared" si="70"/>
        <v>0</v>
      </c>
      <c r="AT94" s="252">
        <f t="shared" si="70"/>
        <v>0</v>
      </c>
      <c r="AU94" s="252">
        <f t="shared" si="70"/>
        <v>0</v>
      </c>
      <c r="AV94" s="252">
        <f t="shared" si="70"/>
        <v>0</v>
      </c>
      <c r="AW94" s="252">
        <f t="shared" si="70"/>
        <v>0</v>
      </c>
      <c r="AX94" s="252">
        <f t="shared" si="70"/>
        <v>0</v>
      </c>
      <c r="AY94" s="252">
        <f t="shared" si="70"/>
        <v>0</v>
      </c>
      <c r="AZ94" s="252">
        <f t="shared" si="70"/>
        <v>0</v>
      </c>
      <c r="BA94" s="252">
        <f t="shared" si="70"/>
        <v>0</v>
      </c>
      <c r="BB94" s="252">
        <f t="shared" si="70"/>
        <v>0</v>
      </c>
    </row>
    <row r="95" ht="15.75" customHeight="1">
      <c r="A95" s="738">
        <v>1970.0</v>
      </c>
      <c r="B95" s="38"/>
      <c r="C95" s="38"/>
      <c r="D95" s="38"/>
      <c r="E95" s="38"/>
      <c r="F95" s="38"/>
      <c r="G95" s="38"/>
      <c r="H95" s="38"/>
      <c r="I95" s="38"/>
      <c r="J95" s="38"/>
      <c r="K95" s="38"/>
      <c r="L95" s="38"/>
      <c r="M95" s="38"/>
      <c r="N95" s="38"/>
      <c r="O95" s="38"/>
      <c r="P95" s="38"/>
      <c r="Q95" s="38"/>
      <c r="R95" s="24">
        <v>0.0</v>
      </c>
      <c r="S95" s="739">
        <v>1981.0</v>
      </c>
      <c r="T95" s="740">
        <v>9029.4</v>
      </c>
      <c r="U95" s="38"/>
      <c r="V95" s="741">
        <v>1674.9</v>
      </c>
      <c r="W95" s="252">
        <f t="shared" si="31"/>
        <v>0</v>
      </c>
      <c r="X95" s="252">
        <f t="shared" ref="X95:BB95" si="71">IF(AND(X$54-$A95&gt;$V$38,SUM($W95:W95)&lt;&gt;$V95),$V95,0)</f>
        <v>1674.9</v>
      </c>
      <c r="Y95" s="252">
        <f t="shared" si="71"/>
        <v>0</v>
      </c>
      <c r="Z95" s="252">
        <f t="shared" si="71"/>
        <v>0</v>
      </c>
      <c r="AA95" s="252">
        <f t="shared" si="71"/>
        <v>0</v>
      </c>
      <c r="AB95" s="252">
        <f t="shared" si="71"/>
        <v>0</v>
      </c>
      <c r="AC95" s="252">
        <f t="shared" si="71"/>
        <v>0</v>
      </c>
      <c r="AD95" s="252">
        <f t="shared" si="71"/>
        <v>0</v>
      </c>
      <c r="AE95" s="252">
        <f t="shared" si="71"/>
        <v>0</v>
      </c>
      <c r="AF95" s="252">
        <f t="shared" si="71"/>
        <v>0</v>
      </c>
      <c r="AG95" s="252">
        <f t="shared" si="71"/>
        <v>0</v>
      </c>
      <c r="AH95" s="252">
        <f t="shared" si="71"/>
        <v>0</v>
      </c>
      <c r="AI95" s="252">
        <f t="shared" si="71"/>
        <v>0</v>
      </c>
      <c r="AJ95" s="252">
        <f t="shared" si="71"/>
        <v>0</v>
      </c>
      <c r="AK95" s="252">
        <f t="shared" si="71"/>
        <v>0</v>
      </c>
      <c r="AL95" s="252">
        <f t="shared" si="71"/>
        <v>0</v>
      </c>
      <c r="AM95" s="252">
        <f t="shared" si="71"/>
        <v>0</v>
      </c>
      <c r="AN95" s="252">
        <f t="shared" si="71"/>
        <v>0</v>
      </c>
      <c r="AO95" s="252">
        <f t="shared" si="71"/>
        <v>0</v>
      </c>
      <c r="AP95" s="252">
        <f t="shared" si="71"/>
        <v>0</v>
      </c>
      <c r="AQ95" s="252">
        <f t="shared" si="71"/>
        <v>0</v>
      </c>
      <c r="AR95" s="252">
        <f t="shared" si="71"/>
        <v>0</v>
      </c>
      <c r="AS95" s="252">
        <f t="shared" si="71"/>
        <v>0</v>
      </c>
      <c r="AT95" s="252">
        <f t="shared" si="71"/>
        <v>0</v>
      </c>
      <c r="AU95" s="252">
        <f t="shared" si="71"/>
        <v>0</v>
      </c>
      <c r="AV95" s="252">
        <f t="shared" si="71"/>
        <v>0</v>
      </c>
      <c r="AW95" s="252">
        <f t="shared" si="71"/>
        <v>0</v>
      </c>
      <c r="AX95" s="252">
        <f t="shared" si="71"/>
        <v>0</v>
      </c>
      <c r="AY95" s="252">
        <f t="shared" si="71"/>
        <v>0</v>
      </c>
      <c r="AZ95" s="252">
        <f t="shared" si="71"/>
        <v>0</v>
      </c>
      <c r="BA95" s="252">
        <f t="shared" si="71"/>
        <v>0</v>
      </c>
      <c r="BB95" s="252">
        <f t="shared" si="71"/>
        <v>0</v>
      </c>
    </row>
    <row r="96" ht="15.75" customHeight="1">
      <c r="A96" s="738">
        <v>1971.0</v>
      </c>
      <c r="B96" s="38"/>
      <c r="C96" s="38"/>
      <c r="D96" s="38"/>
      <c r="E96" s="38"/>
      <c r="F96" s="38"/>
      <c r="G96" s="38"/>
      <c r="H96" s="38"/>
      <c r="I96" s="38"/>
      <c r="J96" s="38"/>
      <c r="K96" s="38"/>
      <c r="L96" s="38"/>
      <c r="M96" s="38"/>
      <c r="N96" s="38"/>
      <c r="O96" s="38"/>
      <c r="P96" s="38"/>
      <c r="Q96" s="38"/>
      <c r="R96" s="24">
        <v>0.0</v>
      </c>
      <c r="S96" s="739">
        <v>1982.0</v>
      </c>
      <c r="T96" s="740">
        <v>10244.2</v>
      </c>
      <c r="U96" s="38"/>
      <c r="V96" s="741">
        <v>2187.5</v>
      </c>
      <c r="W96" s="252">
        <f t="shared" si="31"/>
        <v>0</v>
      </c>
      <c r="X96" s="252">
        <f t="shared" ref="X96:BB96" si="72">IF(AND(X$54-$A96&gt;$V$38,SUM($W96:W96)&lt;&gt;$V96),$V96,0)</f>
        <v>0</v>
      </c>
      <c r="Y96" s="252">
        <f t="shared" si="72"/>
        <v>2187.5</v>
      </c>
      <c r="Z96" s="252">
        <f t="shared" si="72"/>
        <v>0</v>
      </c>
      <c r="AA96" s="252">
        <f t="shared" si="72"/>
        <v>0</v>
      </c>
      <c r="AB96" s="252">
        <f t="shared" si="72"/>
        <v>0</v>
      </c>
      <c r="AC96" s="252">
        <f t="shared" si="72"/>
        <v>0</v>
      </c>
      <c r="AD96" s="252">
        <f t="shared" si="72"/>
        <v>0</v>
      </c>
      <c r="AE96" s="252">
        <f t="shared" si="72"/>
        <v>0</v>
      </c>
      <c r="AF96" s="252">
        <f t="shared" si="72"/>
        <v>0</v>
      </c>
      <c r="AG96" s="252">
        <f t="shared" si="72"/>
        <v>0</v>
      </c>
      <c r="AH96" s="252">
        <f t="shared" si="72"/>
        <v>0</v>
      </c>
      <c r="AI96" s="252">
        <f t="shared" si="72"/>
        <v>0</v>
      </c>
      <c r="AJ96" s="252">
        <f t="shared" si="72"/>
        <v>0</v>
      </c>
      <c r="AK96" s="252">
        <f t="shared" si="72"/>
        <v>0</v>
      </c>
      <c r="AL96" s="252">
        <f t="shared" si="72"/>
        <v>0</v>
      </c>
      <c r="AM96" s="252">
        <f t="shared" si="72"/>
        <v>0</v>
      </c>
      <c r="AN96" s="252">
        <f t="shared" si="72"/>
        <v>0</v>
      </c>
      <c r="AO96" s="252">
        <f t="shared" si="72"/>
        <v>0</v>
      </c>
      <c r="AP96" s="252">
        <f t="shared" si="72"/>
        <v>0</v>
      </c>
      <c r="AQ96" s="252">
        <f t="shared" si="72"/>
        <v>0</v>
      </c>
      <c r="AR96" s="252">
        <f t="shared" si="72"/>
        <v>0</v>
      </c>
      <c r="AS96" s="252">
        <f t="shared" si="72"/>
        <v>0</v>
      </c>
      <c r="AT96" s="252">
        <f t="shared" si="72"/>
        <v>0</v>
      </c>
      <c r="AU96" s="252">
        <f t="shared" si="72"/>
        <v>0</v>
      </c>
      <c r="AV96" s="252">
        <f t="shared" si="72"/>
        <v>0</v>
      </c>
      <c r="AW96" s="252">
        <f t="shared" si="72"/>
        <v>0</v>
      </c>
      <c r="AX96" s="252">
        <f t="shared" si="72"/>
        <v>0</v>
      </c>
      <c r="AY96" s="252">
        <f t="shared" si="72"/>
        <v>0</v>
      </c>
      <c r="AZ96" s="252">
        <f t="shared" si="72"/>
        <v>0</v>
      </c>
      <c r="BA96" s="252">
        <f t="shared" si="72"/>
        <v>0</v>
      </c>
      <c r="BB96" s="252">
        <f t="shared" si="72"/>
        <v>0</v>
      </c>
    </row>
    <row r="97" ht="15.75" customHeight="1">
      <c r="A97" s="738">
        <v>1972.0</v>
      </c>
      <c r="B97" s="38"/>
      <c r="C97" s="38"/>
      <c r="D97" s="38"/>
      <c r="E97" s="38"/>
      <c r="F97" s="38"/>
      <c r="G97" s="38"/>
      <c r="H97" s="38"/>
      <c r="I97" s="38"/>
      <c r="J97" s="38"/>
      <c r="K97" s="38"/>
      <c r="L97" s="38"/>
      <c r="M97" s="38"/>
      <c r="N97" s="38"/>
      <c r="O97" s="38"/>
      <c r="P97" s="38"/>
      <c r="Q97" s="38"/>
      <c r="R97" s="24">
        <v>0.0</v>
      </c>
      <c r="S97" s="739">
        <v>1983.0</v>
      </c>
      <c r="T97" s="740">
        <v>6015.200000000001</v>
      </c>
      <c r="U97" s="38"/>
      <c r="V97" s="741">
        <v>2209.0</v>
      </c>
      <c r="W97" s="252">
        <f t="shared" si="31"/>
        <v>0</v>
      </c>
      <c r="X97" s="252">
        <f t="shared" ref="X97:BB97" si="73">IF(AND(X$54-$A97&gt;$V$38,SUM($W97:W97)&lt;&gt;$V97),$V97,0)</f>
        <v>0</v>
      </c>
      <c r="Y97" s="252">
        <f t="shared" si="73"/>
        <v>0</v>
      </c>
      <c r="Z97" s="252">
        <f t="shared" si="73"/>
        <v>2209</v>
      </c>
      <c r="AA97" s="252">
        <f t="shared" si="73"/>
        <v>0</v>
      </c>
      <c r="AB97" s="252">
        <f t="shared" si="73"/>
        <v>0</v>
      </c>
      <c r="AC97" s="252">
        <f t="shared" si="73"/>
        <v>0</v>
      </c>
      <c r="AD97" s="252">
        <f t="shared" si="73"/>
        <v>0</v>
      </c>
      <c r="AE97" s="252">
        <f t="shared" si="73"/>
        <v>0</v>
      </c>
      <c r="AF97" s="252">
        <f t="shared" si="73"/>
        <v>0</v>
      </c>
      <c r="AG97" s="252">
        <f t="shared" si="73"/>
        <v>0</v>
      </c>
      <c r="AH97" s="252">
        <f t="shared" si="73"/>
        <v>0</v>
      </c>
      <c r="AI97" s="252">
        <f t="shared" si="73"/>
        <v>0</v>
      </c>
      <c r="AJ97" s="252">
        <f t="shared" si="73"/>
        <v>0</v>
      </c>
      <c r="AK97" s="252">
        <f t="shared" si="73"/>
        <v>0</v>
      </c>
      <c r="AL97" s="252">
        <f t="shared" si="73"/>
        <v>0</v>
      </c>
      <c r="AM97" s="252">
        <f t="shared" si="73"/>
        <v>0</v>
      </c>
      <c r="AN97" s="252">
        <f t="shared" si="73"/>
        <v>0</v>
      </c>
      <c r="AO97" s="252">
        <f t="shared" si="73"/>
        <v>0</v>
      </c>
      <c r="AP97" s="252">
        <f t="shared" si="73"/>
        <v>0</v>
      </c>
      <c r="AQ97" s="252">
        <f t="shared" si="73"/>
        <v>0</v>
      </c>
      <c r="AR97" s="252">
        <f t="shared" si="73"/>
        <v>0</v>
      </c>
      <c r="AS97" s="252">
        <f t="shared" si="73"/>
        <v>0</v>
      </c>
      <c r="AT97" s="252">
        <f t="shared" si="73"/>
        <v>0</v>
      </c>
      <c r="AU97" s="252">
        <f t="shared" si="73"/>
        <v>0</v>
      </c>
      <c r="AV97" s="252">
        <f t="shared" si="73"/>
        <v>0</v>
      </c>
      <c r="AW97" s="252">
        <f t="shared" si="73"/>
        <v>0</v>
      </c>
      <c r="AX97" s="252">
        <f t="shared" si="73"/>
        <v>0</v>
      </c>
      <c r="AY97" s="252">
        <f t="shared" si="73"/>
        <v>0</v>
      </c>
      <c r="AZ97" s="252">
        <f t="shared" si="73"/>
        <v>0</v>
      </c>
      <c r="BA97" s="252">
        <f t="shared" si="73"/>
        <v>0</v>
      </c>
      <c r="BB97" s="252">
        <f t="shared" si="73"/>
        <v>0</v>
      </c>
    </row>
    <row r="98" ht="15.75" customHeight="1">
      <c r="A98" s="738">
        <v>1973.0</v>
      </c>
      <c r="B98" s="38"/>
      <c r="C98" s="38"/>
      <c r="D98" s="38"/>
      <c r="E98" s="38"/>
      <c r="F98" s="38"/>
      <c r="G98" s="38"/>
      <c r="H98" s="38"/>
      <c r="I98" s="38"/>
      <c r="J98" s="38"/>
      <c r="K98" s="38"/>
      <c r="L98" s="38"/>
      <c r="M98" s="38"/>
      <c r="N98" s="38"/>
      <c r="O98" s="38"/>
      <c r="P98" s="38"/>
      <c r="Q98" s="38"/>
      <c r="R98" s="24">
        <v>0.0</v>
      </c>
      <c r="S98" s="739">
        <v>1984.0</v>
      </c>
      <c r="T98" s="740">
        <v>11111.9</v>
      </c>
      <c r="U98" s="38"/>
      <c r="V98" s="741">
        <v>4004.9</v>
      </c>
      <c r="W98" s="252">
        <f t="shared" si="31"/>
        <v>0</v>
      </c>
      <c r="X98" s="252">
        <f t="shared" ref="X98:BB98" si="74">IF(AND(X$54-$A98&gt;$V$38,SUM($W98:W98)&lt;&gt;$V98),$V98,0)</f>
        <v>0</v>
      </c>
      <c r="Y98" s="252">
        <f t="shared" si="74"/>
        <v>0</v>
      </c>
      <c r="Z98" s="252">
        <f t="shared" si="74"/>
        <v>0</v>
      </c>
      <c r="AA98" s="252">
        <f t="shared" si="74"/>
        <v>4004.9</v>
      </c>
      <c r="AB98" s="252">
        <f t="shared" si="74"/>
        <v>0</v>
      </c>
      <c r="AC98" s="252">
        <f t="shared" si="74"/>
        <v>0</v>
      </c>
      <c r="AD98" s="252">
        <f t="shared" si="74"/>
        <v>0</v>
      </c>
      <c r="AE98" s="252">
        <f t="shared" si="74"/>
        <v>0</v>
      </c>
      <c r="AF98" s="252">
        <f t="shared" si="74"/>
        <v>0</v>
      </c>
      <c r="AG98" s="252">
        <f t="shared" si="74"/>
        <v>0</v>
      </c>
      <c r="AH98" s="252">
        <f t="shared" si="74"/>
        <v>0</v>
      </c>
      <c r="AI98" s="252">
        <f t="shared" si="74"/>
        <v>0</v>
      </c>
      <c r="AJ98" s="252">
        <f t="shared" si="74"/>
        <v>0</v>
      </c>
      <c r="AK98" s="252">
        <f t="shared" si="74"/>
        <v>0</v>
      </c>
      <c r="AL98" s="252">
        <f t="shared" si="74"/>
        <v>0</v>
      </c>
      <c r="AM98" s="252">
        <f t="shared" si="74"/>
        <v>0</v>
      </c>
      <c r="AN98" s="252">
        <f t="shared" si="74"/>
        <v>0</v>
      </c>
      <c r="AO98" s="252">
        <f t="shared" si="74"/>
        <v>0</v>
      </c>
      <c r="AP98" s="252">
        <f t="shared" si="74"/>
        <v>0</v>
      </c>
      <c r="AQ98" s="252">
        <f t="shared" si="74"/>
        <v>0</v>
      </c>
      <c r="AR98" s="252">
        <f t="shared" si="74"/>
        <v>0</v>
      </c>
      <c r="AS98" s="252">
        <f t="shared" si="74"/>
        <v>0</v>
      </c>
      <c r="AT98" s="252">
        <f t="shared" si="74"/>
        <v>0</v>
      </c>
      <c r="AU98" s="252">
        <f t="shared" si="74"/>
        <v>0</v>
      </c>
      <c r="AV98" s="252">
        <f t="shared" si="74"/>
        <v>0</v>
      </c>
      <c r="AW98" s="252">
        <f t="shared" si="74"/>
        <v>0</v>
      </c>
      <c r="AX98" s="252">
        <f t="shared" si="74"/>
        <v>0</v>
      </c>
      <c r="AY98" s="252">
        <f t="shared" si="74"/>
        <v>0</v>
      </c>
      <c r="AZ98" s="252">
        <f t="shared" si="74"/>
        <v>0</v>
      </c>
      <c r="BA98" s="252">
        <f t="shared" si="74"/>
        <v>0</v>
      </c>
      <c r="BB98" s="252">
        <f t="shared" si="74"/>
        <v>0</v>
      </c>
    </row>
    <row r="99" ht="15.75" customHeight="1">
      <c r="A99" s="738">
        <v>1974.0</v>
      </c>
      <c r="B99" s="38"/>
      <c r="C99" s="38"/>
      <c r="D99" s="38"/>
      <c r="E99" s="38"/>
      <c r="F99" s="38"/>
      <c r="G99" s="38"/>
      <c r="H99" s="38"/>
      <c r="I99" s="38"/>
      <c r="J99" s="38"/>
      <c r="K99" s="38"/>
      <c r="L99" s="38"/>
      <c r="M99" s="38"/>
      <c r="N99" s="38"/>
      <c r="O99" s="38"/>
      <c r="P99" s="38"/>
      <c r="Q99" s="38"/>
      <c r="R99" s="24">
        <v>0.0</v>
      </c>
      <c r="S99" s="739">
        <v>1985.0</v>
      </c>
      <c r="T99" s="740">
        <v>6033.8</v>
      </c>
      <c r="U99" s="38"/>
      <c r="V99" s="741">
        <v>3149.6</v>
      </c>
      <c r="W99" s="252">
        <f t="shared" si="31"/>
        <v>0</v>
      </c>
      <c r="X99" s="252">
        <f t="shared" ref="X99:BB99" si="75">IF(AND(X$54-$A99&gt;$V$38,SUM($W99:W99)&lt;&gt;$V99),$V99,0)</f>
        <v>0</v>
      </c>
      <c r="Y99" s="252">
        <f t="shared" si="75"/>
        <v>0</v>
      </c>
      <c r="Z99" s="252">
        <f t="shared" si="75"/>
        <v>0</v>
      </c>
      <c r="AA99" s="252">
        <f t="shared" si="75"/>
        <v>0</v>
      </c>
      <c r="AB99" s="252">
        <f t="shared" si="75"/>
        <v>3149.6</v>
      </c>
      <c r="AC99" s="252">
        <f t="shared" si="75"/>
        <v>0</v>
      </c>
      <c r="AD99" s="252">
        <f t="shared" si="75"/>
        <v>0</v>
      </c>
      <c r="AE99" s="252">
        <f t="shared" si="75"/>
        <v>0</v>
      </c>
      <c r="AF99" s="252">
        <f t="shared" si="75"/>
        <v>0</v>
      </c>
      <c r="AG99" s="252">
        <f t="shared" si="75"/>
        <v>0</v>
      </c>
      <c r="AH99" s="252">
        <f t="shared" si="75"/>
        <v>0</v>
      </c>
      <c r="AI99" s="252">
        <f t="shared" si="75"/>
        <v>0</v>
      </c>
      <c r="AJ99" s="252">
        <f t="shared" si="75"/>
        <v>0</v>
      </c>
      <c r="AK99" s="252">
        <f t="shared" si="75"/>
        <v>0</v>
      </c>
      <c r="AL99" s="252">
        <f t="shared" si="75"/>
        <v>0</v>
      </c>
      <c r="AM99" s="252">
        <f t="shared" si="75"/>
        <v>0</v>
      </c>
      <c r="AN99" s="252">
        <f t="shared" si="75"/>
        <v>0</v>
      </c>
      <c r="AO99" s="252">
        <f t="shared" si="75"/>
        <v>0</v>
      </c>
      <c r="AP99" s="252">
        <f t="shared" si="75"/>
        <v>0</v>
      </c>
      <c r="AQ99" s="252">
        <f t="shared" si="75"/>
        <v>0</v>
      </c>
      <c r="AR99" s="252">
        <f t="shared" si="75"/>
        <v>0</v>
      </c>
      <c r="AS99" s="252">
        <f t="shared" si="75"/>
        <v>0</v>
      </c>
      <c r="AT99" s="252">
        <f t="shared" si="75"/>
        <v>0</v>
      </c>
      <c r="AU99" s="252">
        <f t="shared" si="75"/>
        <v>0</v>
      </c>
      <c r="AV99" s="252">
        <f t="shared" si="75"/>
        <v>0</v>
      </c>
      <c r="AW99" s="252">
        <f t="shared" si="75"/>
        <v>0</v>
      </c>
      <c r="AX99" s="252">
        <f t="shared" si="75"/>
        <v>0</v>
      </c>
      <c r="AY99" s="252">
        <f t="shared" si="75"/>
        <v>0</v>
      </c>
      <c r="AZ99" s="252">
        <f t="shared" si="75"/>
        <v>0</v>
      </c>
      <c r="BA99" s="252">
        <f t="shared" si="75"/>
        <v>0</v>
      </c>
      <c r="BB99" s="252">
        <f t="shared" si="75"/>
        <v>0</v>
      </c>
    </row>
    <row r="100" ht="15.75" customHeight="1">
      <c r="A100" s="738">
        <v>1975.0</v>
      </c>
      <c r="B100" s="38"/>
      <c r="C100" s="38"/>
      <c r="D100" s="38"/>
      <c r="E100" s="38"/>
      <c r="F100" s="38"/>
      <c r="G100" s="38"/>
      <c r="H100" s="38"/>
      <c r="I100" s="38"/>
      <c r="J100" s="38"/>
      <c r="K100" s="38"/>
      <c r="L100" s="38"/>
      <c r="M100" s="38"/>
      <c r="N100" s="38"/>
      <c r="O100" s="38"/>
      <c r="P100" s="38"/>
      <c r="Q100" s="38"/>
      <c r="R100" s="24">
        <v>0.0</v>
      </c>
      <c r="S100" s="739">
        <v>1986.0</v>
      </c>
      <c r="T100" s="740">
        <v>5860.4</v>
      </c>
      <c r="U100" s="38"/>
      <c r="V100" s="741">
        <v>2512.6</v>
      </c>
      <c r="W100" s="252">
        <f t="shared" si="31"/>
        <v>0</v>
      </c>
      <c r="X100" s="252">
        <f t="shared" ref="X100:BB100" si="76">IF(AND(X$54-$A100&gt;$V$38,SUM($W100:W100)&lt;&gt;$V100),$V100,0)</f>
        <v>0</v>
      </c>
      <c r="Y100" s="252">
        <f t="shared" si="76"/>
        <v>0</v>
      </c>
      <c r="Z100" s="252">
        <f t="shared" si="76"/>
        <v>0</v>
      </c>
      <c r="AA100" s="252">
        <f t="shared" si="76"/>
        <v>0</v>
      </c>
      <c r="AB100" s="252">
        <f t="shared" si="76"/>
        <v>0</v>
      </c>
      <c r="AC100" s="252">
        <f t="shared" si="76"/>
        <v>2512.6</v>
      </c>
      <c r="AD100" s="252">
        <f t="shared" si="76"/>
        <v>0</v>
      </c>
      <c r="AE100" s="252">
        <f t="shared" si="76"/>
        <v>0</v>
      </c>
      <c r="AF100" s="252">
        <f t="shared" si="76"/>
        <v>0</v>
      </c>
      <c r="AG100" s="252">
        <f t="shared" si="76"/>
        <v>0</v>
      </c>
      <c r="AH100" s="252">
        <f t="shared" si="76"/>
        <v>0</v>
      </c>
      <c r="AI100" s="252">
        <f t="shared" si="76"/>
        <v>0</v>
      </c>
      <c r="AJ100" s="252">
        <f t="shared" si="76"/>
        <v>0</v>
      </c>
      <c r="AK100" s="252">
        <f t="shared" si="76"/>
        <v>0</v>
      </c>
      <c r="AL100" s="252">
        <f t="shared" si="76"/>
        <v>0</v>
      </c>
      <c r="AM100" s="252">
        <f t="shared" si="76"/>
        <v>0</v>
      </c>
      <c r="AN100" s="252">
        <f t="shared" si="76"/>
        <v>0</v>
      </c>
      <c r="AO100" s="252">
        <f t="shared" si="76"/>
        <v>0</v>
      </c>
      <c r="AP100" s="252">
        <f t="shared" si="76"/>
        <v>0</v>
      </c>
      <c r="AQ100" s="252">
        <f t="shared" si="76"/>
        <v>0</v>
      </c>
      <c r="AR100" s="252">
        <f t="shared" si="76"/>
        <v>0</v>
      </c>
      <c r="AS100" s="252">
        <f t="shared" si="76"/>
        <v>0</v>
      </c>
      <c r="AT100" s="252">
        <f t="shared" si="76"/>
        <v>0</v>
      </c>
      <c r="AU100" s="252">
        <f t="shared" si="76"/>
        <v>0</v>
      </c>
      <c r="AV100" s="252">
        <f t="shared" si="76"/>
        <v>0</v>
      </c>
      <c r="AW100" s="252">
        <f t="shared" si="76"/>
        <v>0</v>
      </c>
      <c r="AX100" s="252">
        <f t="shared" si="76"/>
        <v>0</v>
      </c>
      <c r="AY100" s="252">
        <f t="shared" si="76"/>
        <v>0</v>
      </c>
      <c r="AZ100" s="252">
        <f t="shared" si="76"/>
        <v>0</v>
      </c>
      <c r="BA100" s="252">
        <f t="shared" si="76"/>
        <v>0</v>
      </c>
      <c r="BB100" s="252">
        <f t="shared" si="76"/>
        <v>0</v>
      </c>
    </row>
    <row r="101" ht="15.75" customHeight="1">
      <c r="A101" s="738">
        <v>1976.0</v>
      </c>
      <c r="B101" s="38"/>
      <c r="C101" s="38"/>
      <c r="D101" s="38"/>
      <c r="E101" s="38"/>
      <c r="F101" s="38"/>
      <c r="G101" s="38"/>
      <c r="H101" s="38"/>
      <c r="I101" s="38"/>
      <c r="J101" s="38"/>
      <c r="K101" s="38"/>
      <c r="L101" s="38"/>
      <c r="M101" s="38"/>
      <c r="N101" s="38"/>
      <c r="O101" s="38"/>
      <c r="P101" s="38"/>
      <c r="Q101" s="38"/>
      <c r="R101" s="24">
        <v>360.0</v>
      </c>
      <c r="S101" s="739">
        <v>1987.0</v>
      </c>
      <c r="T101" s="740">
        <v>3283.8</v>
      </c>
      <c r="U101" s="252"/>
      <c r="V101" s="741">
        <v>952.0</v>
      </c>
      <c r="W101" s="252">
        <f t="shared" si="31"/>
        <v>0</v>
      </c>
      <c r="X101" s="252">
        <f t="shared" ref="X101:BB101" si="77">IF(AND(X$54-$A101&gt;$V$38,SUM($W101:W101)&lt;&gt;$V101),$V101,0)</f>
        <v>0</v>
      </c>
      <c r="Y101" s="252">
        <f t="shared" si="77"/>
        <v>0</v>
      </c>
      <c r="Z101" s="252">
        <f t="shared" si="77"/>
        <v>0</v>
      </c>
      <c r="AA101" s="252">
        <f t="shared" si="77"/>
        <v>0</v>
      </c>
      <c r="AB101" s="252">
        <f t="shared" si="77"/>
        <v>0</v>
      </c>
      <c r="AC101" s="252">
        <f t="shared" si="77"/>
        <v>0</v>
      </c>
      <c r="AD101" s="252">
        <f t="shared" si="77"/>
        <v>952</v>
      </c>
      <c r="AE101" s="252">
        <f t="shared" si="77"/>
        <v>0</v>
      </c>
      <c r="AF101" s="252">
        <f t="shared" si="77"/>
        <v>0</v>
      </c>
      <c r="AG101" s="252">
        <f t="shared" si="77"/>
        <v>0</v>
      </c>
      <c r="AH101" s="252">
        <f t="shared" si="77"/>
        <v>0</v>
      </c>
      <c r="AI101" s="252">
        <f t="shared" si="77"/>
        <v>0</v>
      </c>
      <c r="AJ101" s="252">
        <f t="shared" si="77"/>
        <v>0</v>
      </c>
      <c r="AK101" s="252">
        <f t="shared" si="77"/>
        <v>0</v>
      </c>
      <c r="AL101" s="252">
        <f t="shared" si="77"/>
        <v>0</v>
      </c>
      <c r="AM101" s="252">
        <f t="shared" si="77"/>
        <v>0</v>
      </c>
      <c r="AN101" s="252">
        <f t="shared" si="77"/>
        <v>0</v>
      </c>
      <c r="AO101" s="252">
        <f t="shared" si="77"/>
        <v>0</v>
      </c>
      <c r="AP101" s="252">
        <f t="shared" si="77"/>
        <v>0</v>
      </c>
      <c r="AQ101" s="252">
        <f t="shared" si="77"/>
        <v>0</v>
      </c>
      <c r="AR101" s="252">
        <f t="shared" si="77"/>
        <v>0</v>
      </c>
      <c r="AS101" s="252">
        <f t="shared" si="77"/>
        <v>0</v>
      </c>
      <c r="AT101" s="252">
        <f t="shared" si="77"/>
        <v>0</v>
      </c>
      <c r="AU101" s="252">
        <f t="shared" si="77"/>
        <v>0</v>
      </c>
      <c r="AV101" s="252">
        <f t="shared" si="77"/>
        <v>0</v>
      </c>
      <c r="AW101" s="252">
        <f t="shared" si="77"/>
        <v>0</v>
      </c>
      <c r="AX101" s="252">
        <f t="shared" si="77"/>
        <v>0</v>
      </c>
      <c r="AY101" s="252">
        <f t="shared" si="77"/>
        <v>0</v>
      </c>
      <c r="AZ101" s="252">
        <f t="shared" si="77"/>
        <v>0</v>
      </c>
      <c r="BA101" s="252">
        <f t="shared" si="77"/>
        <v>0</v>
      </c>
      <c r="BB101" s="252">
        <f t="shared" si="77"/>
        <v>0</v>
      </c>
    </row>
    <row r="102" ht="15.75" customHeight="1">
      <c r="A102" s="738">
        <v>1977.0</v>
      </c>
      <c r="B102" s="38"/>
      <c r="C102" s="38"/>
      <c r="D102" s="38"/>
      <c r="E102" s="38"/>
      <c r="F102" s="38"/>
      <c r="G102" s="38"/>
      <c r="H102" s="38"/>
      <c r="I102" s="38"/>
      <c r="J102" s="38"/>
      <c r="K102" s="38"/>
      <c r="L102" s="38"/>
      <c r="M102" s="38"/>
      <c r="N102" s="38"/>
      <c r="O102" s="38"/>
      <c r="P102" s="38"/>
      <c r="Q102" s="38"/>
      <c r="R102" s="24">
        <v>2571.3</v>
      </c>
      <c r="S102" s="739">
        <v>1988.0</v>
      </c>
      <c r="T102" s="740">
        <v>803.1999999999999</v>
      </c>
      <c r="U102" s="252"/>
      <c r="V102" s="741">
        <v>863.3</v>
      </c>
      <c r="W102" s="252">
        <f t="shared" si="31"/>
        <v>0</v>
      </c>
      <c r="X102" s="252">
        <f t="shared" ref="X102:BB102" si="78">IF(AND(X$54-$A102&gt;$V$38,SUM($W102:W102)&lt;&gt;$V102),$V102,0)</f>
        <v>0</v>
      </c>
      <c r="Y102" s="252">
        <f t="shared" si="78"/>
        <v>0</v>
      </c>
      <c r="Z102" s="252">
        <f t="shared" si="78"/>
        <v>0</v>
      </c>
      <c r="AA102" s="252">
        <f t="shared" si="78"/>
        <v>0</v>
      </c>
      <c r="AB102" s="252">
        <f t="shared" si="78"/>
        <v>0</v>
      </c>
      <c r="AC102" s="252">
        <f t="shared" si="78"/>
        <v>0</v>
      </c>
      <c r="AD102" s="252">
        <f t="shared" si="78"/>
        <v>0</v>
      </c>
      <c r="AE102" s="252">
        <f t="shared" si="78"/>
        <v>863.3</v>
      </c>
      <c r="AF102" s="252">
        <f t="shared" si="78"/>
        <v>0</v>
      </c>
      <c r="AG102" s="252">
        <f t="shared" si="78"/>
        <v>0</v>
      </c>
      <c r="AH102" s="252">
        <f t="shared" si="78"/>
        <v>0</v>
      </c>
      <c r="AI102" s="252">
        <f t="shared" si="78"/>
        <v>0</v>
      </c>
      <c r="AJ102" s="252">
        <f t="shared" si="78"/>
        <v>0</v>
      </c>
      <c r="AK102" s="252">
        <f t="shared" si="78"/>
        <v>0</v>
      </c>
      <c r="AL102" s="252">
        <f t="shared" si="78"/>
        <v>0</v>
      </c>
      <c r="AM102" s="252">
        <f t="shared" si="78"/>
        <v>0</v>
      </c>
      <c r="AN102" s="252">
        <f t="shared" si="78"/>
        <v>0</v>
      </c>
      <c r="AO102" s="252">
        <f t="shared" si="78"/>
        <v>0</v>
      </c>
      <c r="AP102" s="252">
        <f t="shared" si="78"/>
        <v>0</v>
      </c>
      <c r="AQ102" s="252">
        <f t="shared" si="78"/>
        <v>0</v>
      </c>
      <c r="AR102" s="252">
        <f t="shared" si="78"/>
        <v>0</v>
      </c>
      <c r="AS102" s="252">
        <f t="shared" si="78"/>
        <v>0</v>
      </c>
      <c r="AT102" s="252">
        <f t="shared" si="78"/>
        <v>0</v>
      </c>
      <c r="AU102" s="252">
        <f t="shared" si="78"/>
        <v>0</v>
      </c>
      <c r="AV102" s="252">
        <f t="shared" si="78"/>
        <v>0</v>
      </c>
      <c r="AW102" s="252">
        <f t="shared" si="78"/>
        <v>0</v>
      </c>
      <c r="AX102" s="252">
        <f t="shared" si="78"/>
        <v>0</v>
      </c>
      <c r="AY102" s="252">
        <f t="shared" si="78"/>
        <v>0</v>
      </c>
      <c r="AZ102" s="252">
        <f t="shared" si="78"/>
        <v>0</v>
      </c>
      <c r="BA102" s="252">
        <f t="shared" si="78"/>
        <v>0</v>
      </c>
      <c r="BB102" s="252">
        <f t="shared" si="78"/>
        <v>0</v>
      </c>
    </row>
    <row r="103" ht="15.75" customHeight="1">
      <c r="A103" s="738">
        <v>1978.0</v>
      </c>
      <c r="B103" s="38"/>
      <c r="C103" s="38"/>
      <c r="D103" s="38"/>
      <c r="E103" s="38"/>
      <c r="F103" s="38"/>
      <c r="G103" s="38"/>
      <c r="H103" s="38"/>
      <c r="I103" s="38"/>
      <c r="J103" s="38"/>
      <c r="K103" s="38"/>
      <c r="L103" s="38"/>
      <c r="M103" s="38"/>
      <c r="N103" s="38"/>
      <c r="O103" s="38"/>
      <c r="P103" s="38"/>
      <c r="Q103" s="38"/>
      <c r="R103" s="24">
        <v>2333.3</v>
      </c>
      <c r="S103" s="739">
        <v>1989.0</v>
      </c>
      <c r="T103" s="740">
        <v>3027.6</v>
      </c>
      <c r="U103" s="38"/>
      <c r="V103" s="741">
        <v>1893.5</v>
      </c>
      <c r="W103" s="252">
        <f t="shared" si="31"/>
        <v>0</v>
      </c>
      <c r="X103" s="252">
        <f t="shared" ref="X103:BB103" si="79">IF(AND(X$54-$A103&gt;$V$38,SUM($W103:W103)&lt;&gt;$V103),$V103,0)</f>
        <v>0</v>
      </c>
      <c r="Y103" s="252">
        <f t="shared" si="79"/>
        <v>0</v>
      </c>
      <c r="Z103" s="252">
        <f t="shared" si="79"/>
        <v>0</v>
      </c>
      <c r="AA103" s="252">
        <f t="shared" si="79"/>
        <v>0</v>
      </c>
      <c r="AB103" s="252">
        <f t="shared" si="79"/>
        <v>0</v>
      </c>
      <c r="AC103" s="252">
        <f t="shared" si="79"/>
        <v>0</v>
      </c>
      <c r="AD103" s="252">
        <f t="shared" si="79"/>
        <v>0</v>
      </c>
      <c r="AE103" s="252">
        <f t="shared" si="79"/>
        <v>0</v>
      </c>
      <c r="AF103" s="252">
        <f t="shared" si="79"/>
        <v>1893.5</v>
      </c>
      <c r="AG103" s="252">
        <f t="shared" si="79"/>
        <v>0</v>
      </c>
      <c r="AH103" s="252">
        <f t="shared" si="79"/>
        <v>0</v>
      </c>
      <c r="AI103" s="252">
        <f t="shared" si="79"/>
        <v>0</v>
      </c>
      <c r="AJ103" s="252">
        <f t="shared" si="79"/>
        <v>0</v>
      </c>
      <c r="AK103" s="252">
        <f t="shared" si="79"/>
        <v>0</v>
      </c>
      <c r="AL103" s="252">
        <f t="shared" si="79"/>
        <v>0</v>
      </c>
      <c r="AM103" s="252">
        <f t="shared" si="79"/>
        <v>0</v>
      </c>
      <c r="AN103" s="252">
        <f t="shared" si="79"/>
        <v>0</v>
      </c>
      <c r="AO103" s="252">
        <f t="shared" si="79"/>
        <v>0</v>
      </c>
      <c r="AP103" s="252">
        <f t="shared" si="79"/>
        <v>0</v>
      </c>
      <c r="AQ103" s="252">
        <f t="shared" si="79"/>
        <v>0</v>
      </c>
      <c r="AR103" s="252">
        <f t="shared" si="79"/>
        <v>0</v>
      </c>
      <c r="AS103" s="252">
        <f t="shared" si="79"/>
        <v>0</v>
      </c>
      <c r="AT103" s="252">
        <f t="shared" si="79"/>
        <v>0</v>
      </c>
      <c r="AU103" s="252">
        <f t="shared" si="79"/>
        <v>0</v>
      </c>
      <c r="AV103" s="252">
        <f t="shared" si="79"/>
        <v>0</v>
      </c>
      <c r="AW103" s="252">
        <f t="shared" si="79"/>
        <v>0</v>
      </c>
      <c r="AX103" s="252">
        <f t="shared" si="79"/>
        <v>0</v>
      </c>
      <c r="AY103" s="252">
        <f t="shared" si="79"/>
        <v>0</v>
      </c>
      <c r="AZ103" s="252">
        <f t="shared" si="79"/>
        <v>0</v>
      </c>
      <c r="BA103" s="252">
        <f t="shared" si="79"/>
        <v>0</v>
      </c>
      <c r="BB103" s="252">
        <f t="shared" si="79"/>
        <v>0</v>
      </c>
    </row>
    <row r="104" ht="15.75" customHeight="1">
      <c r="A104" s="738">
        <v>1979.0</v>
      </c>
      <c r="B104" s="38"/>
      <c r="C104" s="38"/>
      <c r="D104" s="38"/>
      <c r="E104" s="38"/>
      <c r="F104" s="38"/>
      <c r="G104" s="38"/>
      <c r="H104" s="38"/>
      <c r="I104" s="38"/>
      <c r="J104" s="38"/>
      <c r="K104" s="38"/>
      <c r="L104" s="38"/>
      <c r="M104" s="38"/>
      <c r="N104" s="38"/>
      <c r="O104" s="38"/>
      <c r="P104" s="38"/>
      <c r="Q104" s="38"/>
      <c r="R104" s="24">
        <v>1408.2</v>
      </c>
      <c r="S104" s="739">
        <v>1990.0</v>
      </c>
      <c r="T104" s="740">
        <v>1816.8999999999999</v>
      </c>
      <c r="U104" s="38"/>
      <c r="V104" s="741">
        <v>190.1</v>
      </c>
      <c r="W104" s="252">
        <f t="shared" si="31"/>
        <v>0</v>
      </c>
      <c r="X104" s="252">
        <f t="shared" ref="X104:BB104" si="80">IF(AND(X$54-$A104&gt;$V$38,SUM($W104:W104)&lt;&gt;$V104),$V104,0)</f>
        <v>0</v>
      </c>
      <c r="Y104" s="252">
        <f t="shared" si="80"/>
        <v>0</v>
      </c>
      <c r="Z104" s="252">
        <f t="shared" si="80"/>
        <v>0</v>
      </c>
      <c r="AA104" s="252">
        <f t="shared" si="80"/>
        <v>0</v>
      </c>
      <c r="AB104" s="252">
        <f t="shared" si="80"/>
        <v>0</v>
      </c>
      <c r="AC104" s="252">
        <f t="shared" si="80"/>
        <v>0</v>
      </c>
      <c r="AD104" s="252">
        <f t="shared" si="80"/>
        <v>0</v>
      </c>
      <c r="AE104" s="252">
        <f t="shared" si="80"/>
        <v>0</v>
      </c>
      <c r="AF104" s="252">
        <f t="shared" si="80"/>
        <v>0</v>
      </c>
      <c r="AG104" s="252">
        <f t="shared" si="80"/>
        <v>190.1</v>
      </c>
      <c r="AH104" s="252">
        <f t="shared" si="80"/>
        <v>0</v>
      </c>
      <c r="AI104" s="252">
        <f t="shared" si="80"/>
        <v>0</v>
      </c>
      <c r="AJ104" s="252">
        <f t="shared" si="80"/>
        <v>0</v>
      </c>
      <c r="AK104" s="252">
        <f t="shared" si="80"/>
        <v>0</v>
      </c>
      <c r="AL104" s="252">
        <f t="shared" si="80"/>
        <v>0</v>
      </c>
      <c r="AM104" s="252">
        <f t="shared" si="80"/>
        <v>0</v>
      </c>
      <c r="AN104" s="252">
        <f t="shared" si="80"/>
        <v>0</v>
      </c>
      <c r="AO104" s="252">
        <f t="shared" si="80"/>
        <v>0</v>
      </c>
      <c r="AP104" s="252">
        <f t="shared" si="80"/>
        <v>0</v>
      </c>
      <c r="AQ104" s="252">
        <f t="shared" si="80"/>
        <v>0</v>
      </c>
      <c r="AR104" s="252">
        <f t="shared" si="80"/>
        <v>0</v>
      </c>
      <c r="AS104" s="252">
        <f t="shared" si="80"/>
        <v>0</v>
      </c>
      <c r="AT104" s="252">
        <f t="shared" si="80"/>
        <v>0</v>
      </c>
      <c r="AU104" s="252">
        <f t="shared" si="80"/>
        <v>0</v>
      </c>
      <c r="AV104" s="252">
        <f t="shared" si="80"/>
        <v>0</v>
      </c>
      <c r="AW104" s="252">
        <f t="shared" si="80"/>
        <v>0</v>
      </c>
      <c r="AX104" s="252">
        <f t="shared" si="80"/>
        <v>0</v>
      </c>
      <c r="AY104" s="252">
        <f t="shared" si="80"/>
        <v>0</v>
      </c>
      <c r="AZ104" s="252">
        <f t="shared" si="80"/>
        <v>0</v>
      </c>
      <c r="BA104" s="252">
        <f t="shared" si="80"/>
        <v>0</v>
      </c>
      <c r="BB104" s="252">
        <f t="shared" si="80"/>
        <v>0</v>
      </c>
    </row>
    <row r="105" ht="15.75" customHeight="1">
      <c r="A105" s="738">
        <v>1980.0</v>
      </c>
      <c r="B105" s="38"/>
      <c r="C105" s="38"/>
      <c r="D105" s="38"/>
      <c r="E105" s="38"/>
      <c r="F105" s="38"/>
      <c r="G105" s="38"/>
      <c r="H105" s="38"/>
      <c r="I105" s="38"/>
      <c r="J105" s="38"/>
      <c r="K105" s="38"/>
      <c r="L105" s="38"/>
      <c r="M105" s="38"/>
      <c r="N105" s="38"/>
      <c r="O105" s="38"/>
      <c r="P105" s="38"/>
      <c r="Q105" s="38"/>
      <c r="R105" s="24">
        <v>2212.0</v>
      </c>
      <c r="S105" s="739">
        <v>1991.0</v>
      </c>
      <c r="T105" s="740">
        <v>3074.3</v>
      </c>
      <c r="U105" s="38"/>
      <c r="V105" s="741">
        <v>1296.2</v>
      </c>
      <c r="W105" s="252">
        <f t="shared" si="31"/>
        <v>0</v>
      </c>
      <c r="X105" s="252">
        <f t="shared" ref="X105:BB105" si="81">IF(AND(X$54-$A105&gt;$V$38,SUM($W105:W105)&lt;&gt;$V105),$V105,0)</f>
        <v>0</v>
      </c>
      <c r="Y105" s="252">
        <f t="shared" si="81"/>
        <v>0</v>
      </c>
      <c r="Z105" s="252">
        <f t="shared" si="81"/>
        <v>0</v>
      </c>
      <c r="AA105" s="252">
        <f t="shared" si="81"/>
        <v>0</v>
      </c>
      <c r="AB105" s="252">
        <f t="shared" si="81"/>
        <v>0</v>
      </c>
      <c r="AC105" s="252">
        <f t="shared" si="81"/>
        <v>0</v>
      </c>
      <c r="AD105" s="252">
        <f t="shared" si="81"/>
        <v>0</v>
      </c>
      <c r="AE105" s="252">
        <f t="shared" si="81"/>
        <v>0</v>
      </c>
      <c r="AF105" s="252">
        <f t="shared" si="81"/>
        <v>0</v>
      </c>
      <c r="AG105" s="252">
        <f t="shared" si="81"/>
        <v>0</v>
      </c>
      <c r="AH105" s="252">
        <f t="shared" si="81"/>
        <v>1296.2</v>
      </c>
      <c r="AI105" s="252">
        <f t="shared" si="81"/>
        <v>0</v>
      </c>
      <c r="AJ105" s="252">
        <f t="shared" si="81"/>
        <v>0</v>
      </c>
      <c r="AK105" s="252">
        <f t="shared" si="81"/>
        <v>0</v>
      </c>
      <c r="AL105" s="252">
        <f t="shared" si="81"/>
        <v>0</v>
      </c>
      <c r="AM105" s="252">
        <f t="shared" si="81"/>
        <v>0</v>
      </c>
      <c r="AN105" s="252">
        <f t="shared" si="81"/>
        <v>0</v>
      </c>
      <c r="AO105" s="252">
        <f t="shared" si="81"/>
        <v>0</v>
      </c>
      <c r="AP105" s="252">
        <f t="shared" si="81"/>
        <v>0</v>
      </c>
      <c r="AQ105" s="252">
        <f t="shared" si="81"/>
        <v>0</v>
      </c>
      <c r="AR105" s="252">
        <f t="shared" si="81"/>
        <v>0</v>
      </c>
      <c r="AS105" s="252">
        <f t="shared" si="81"/>
        <v>0</v>
      </c>
      <c r="AT105" s="252">
        <f t="shared" si="81"/>
        <v>0</v>
      </c>
      <c r="AU105" s="252">
        <f t="shared" si="81"/>
        <v>0</v>
      </c>
      <c r="AV105" s="252">
        <f t="shared" si="81"/>
        <v>0</v>
      </c>
      <c r="AW105" s="252">
        <f t="shared" si="81"/>
        <v>0</v>
      </c>
      <c r="AX105" s="252">
        <f t="shared" si="81"/>
        <v>0</v>
      </c>
      <c r="AY105" s="252">
        <f t="shared" si="81"/>
        <v>0</v>
      </c>
      <c r="AZ105" s="252">
        <f t="shared" si="81"/>
        <v>0</v>
      </c>
      <c r="BA105" s="252">
        <f t="shared" si="81"/>
        <v>0</v>
      </c>
      <c r="BB105" s="252">
        <f t="shared" si="81"/>
        <v>0</v>
      </c>
    </row>
    <row r="106" ht="15.75" customHeight="1">
      <c r="A106" s="738">
        <v>1981.0</v>
      </c>
      <c r="B106" s="38"/>
      <c r="C106" s="38"/>
      <c r="D106" s="38"/>
      <c r="E106" s="38"/>
      <c r="F106" s="38"/>
      <c r="G106" s="38"/>
      <c r="H106" s="38"/>
      <c r="I106" s="38"/>
      <c r="J106" s="38"/>
      <c r="K106" s="38"/>
      <c r="L106" s="38"/>
      <c r="M106" s="38"/>
      <c r="N106" s="38"/>
      <c r="O106" s="38"/>
      <c r="P106" s="38"/>
      <c r="Q106" s="38"/>
      <c r="R106" s="24">
        <v>0.0</v>
      </c>
      <c r="S106" s="739">
        <v>1992.0</v>
      </c>
      <c r="T106" s="740">
        <v>1051.0</v>
      </c>
      <c r="U106" s="38"/>
      <c r="V106" s="741">
        <v>863.3</v>
      </c>
      <c r="W106" s="252">
        <f t="shared" si="31"/>
        <v>0</v>
      </c>
      <c r="X106" s="252">
        <f t="shared" ref="X106:BB106" si="82">IF(AND(X$54-$A106&gt;$V$38,SUM($W106:W106)&lt;&gt;$V106),$V106,0)</f>
        <v>0</v>
      </c>
      <c r="Y106" s="252">
        <f t="shared" si="82"/>
        <v>0</v>
      </c>
      <c r="Z106" s="252">
        <f t="shared" si="82"/>
        <v>0</v>
      </c>
      <c r="AA106" s="252">
        <f t="shared" si="82"/>
        <v>0</v>
      </c>
      <c r="AB106" s="252">
        <f t="shared" si="82"/>
        <v>0</v>
      </c>
      <c r="AC106" s="252">
        <f t="shared" si="82"/>
        <v>0</v>
      </c>
      <c r="AD106" s="252">
        <f t="shared" si="82"/>
        <v>0</v>
      </c>
      <c r="AE106" s="252">
        <f t="shared" si="82"/>
        <v>0</v>
      </c>
      <c r="AF106" s="252">
        <f t="shared" si="82"/>
        <v>0</v>
      </c>
      <c r="AG106" s="252">
        <f t="shared" si="82"/>
        <v>0</v>
      </c>
      <c r="AH106" s="252">
        <f t="shared" si="82"/>
        <v>0</v>
      </c>
      <c r="AI106" s="252">
        <f t="shared" si="82"/>
        <v>863.3</v>
      </c>
      <c r="AJ106" s="252">
        <f t="shared" si="82"/>
        <v>0</v>
      </c>
      <c r="AK106" s="252">
        <f t="shared" si="82"/>
        <v>0</v>
      </c>
      <c r="AL106" s="252">
        <f t="shared" si="82"/>
        <v>0</v>
      </c>
      <c r="AM106" s="252">
        <f t="shared" si="82"/>
        <v>0</v>
      </c>
      <c r="AN106" s="252">
        <f t="shared" si="82"/>
        <v>0</v>
      </c>
      <c r="AO106" s="252">
        <f t="shared" si="82"/>
        <v>0</v>
      </c>
      <c r="AP106" s="252">
        <f t="shared" si="82"/>
        <v>0</v>
      </c>
      <c r="AQ106" s="252">
        <f t="shared" si="82"/>
        <v>0</v>
      </c>
      <c r="AR106" s="252">
        <f t="shared" si="82"/>
        <v>0</v>
      </c>
      <c r="AS106" s="252">
        <f t="shared" si="82"/>
        <v>0</v>
      </c>
      <c r="AT106" s="252">
        <f t="shared" si="82"/>
        <v>0</v>
      </c>
      <c r="AU106" s="252">
        <f t="shared" si="82"/>
        <v>0</v>
      </c>
      <c r="AV106" s="252">
        <f t="shared" si="82"/>
        <v>0</v>
      </c>
      <c r="AW106" s="252">
        <f t="shared" si="82"/>
        <v>0</v>
      </c>
      <c r="AX106" s="252">
        <f t="shared" si="82"/>
        <v>0</v>
      </c>
      <c r="AY106" s="252">
        <f t="shared" si="82"/>
        <v>0</v>
      </c>
      <c r="AZ106" s="252">
        <f t="shared" si="82"/>
        <v>0</v>
      </c>
      <c r="BA106" s="252">
        <f t="shared" si="82"/>
        <v>0</v>
      </c>
      <c r="BB106" s="252">
        <f t="shared" si="82"/>
        <v>0</v>
      </c>
    </row>
    <row r="107" ht="15.75" customHeight="1">
      <c r="A107" s="738">
        <v>1982.0</v>
      </c>
      <c r="B107" s="38"/>
      <c r="C107" s="38"/>
      <c r="D107" s="38"/>
      <c r="E107" s="38"/>
      <c r="F107" s="38"/>
      <c r="G107" s="38"/>
      <c r="H107" s="38"/>
      <c r="I107" s="38"/>
      <c r="J107" s="38"/>
      <c r="K107" s="38"/>
      <c r="L107" s="38"/>
      <c r="M107" s="38"/>
      <c r="N107" s="38"/>
      <c r="O107" s="38"/>
      <c r="P107" s="38"/>
      <c r="Q107" s="38"/>
      <c r="R107" s="24">
        <v>2189.9</v>
      </c>
      <c r="S107" s="739">
        <v>1993.0</v>
      </c>
      <c r="T107" s="740">
        <v>137.2</v>
      </c>
      <c r="U107" s="38"/>
      <c r="V107" s="741">
        <v>906.4</v>
      </c>
      <c r="W107" s="252">
        <f t="shared" si="31"/>
        <v>0</v>
      </c>
      <c r="X107" s="252">
        <f t="shared" ref="X107:BB107" si="83">IF(AND(X$54-$A107&gt;$V$38,SUM($W107:W107)&lt;&gt;$V107),$V107,0)</f>
        <v>0</v>
      </c>
      <c r="Y107" s="252">
        <f t="shared" si="83"/>
        <v>0</v>
      </c>
      <c r="Z107" s="252">
        <f t="shared" si="83"/>
        <v>0</v>
      </c>
      <c r="AA107" s="252">
        <f t="shared" si="83"/>
        <v>0</v>
      </c>
      <c r="AB107" s="252">
        <f t="shared" si="83"/>
        <v>0</v>
      </c>
      <c r="AC107" s="252">
        <f t="shared" si="83"/>
        <v>0</v>
      </c>
      <c r="AD107" s="252">
        <f t="shared" si="83"/>
        <v>0</v>
      </c>
      <c r="AE107" s="252">
        <f t="shared" si="83"/>
        <v>0</v>
      </c>
      <c r="AF107" s="252">
        <f t="shared" si="83"/>
        <v>0</v>
      </c>
      <c r="AG107" s="252">
        <f t="shared" si="83"/>
        <v>0</v>
      </c>
      <c r="AH107" s="252">
        <f t="shared" si="83"/>
        <v>0</v>
      </c>
      <c r="AI107" s="252">
        <f t="shared" si="83"/>
        <v>0</v>
      </c>
      <c r="AJ107" s="252">
        <f t="shared" si="83"/>
        <v>906.4</v>
      </c>
      <c r="AK107" s="252">
        <f t="shared" si="83"/>
        <v>0</v>
      </c>
      <c r="AL107" s="252">
        <f t="shared" si="83"/>
        <v>0</v>
      </c>
      <c r="AM107" s="252">
        <f t="shared" si="83"/>
        <v>0</v>
      </c>
      <c r="AN107" s="252">
        <f t="shared" si="83"/>
        <v>0</v>
      </c>
      <c r="AO107" s="252">
        <f t="shared" si="83"/>
        <v>0</v>
      </c>
      <c r="AP107" s="252">
        <f t="shared" si="83"/>
        <v>0</v>
      </c>
      <c r="AQ107" s="252">
        <f t="shared" si="83"/>
        <v>0</v>
      </c>
      <c r="AR107" s="252">
        <f t="shared" si="83"/>
        <v>0</v>
      </c>
      <c r="AS107" s="252">
        <f t="shared" si="83"/>
        <v>0</v>
      </c>
      <c r="AT107" s="252">
        <f t="shared" si="83"/>
        <v>0</v>
      </c>
      <c r="AU107" s="252">
        <f t="shared" si="83"/>
        <v>0</v>
      </c>
      <c r="AV107" s="252">
        <f t="shared" si="83"/>
        <v>0</v>
      </c>
      <c r="AW107" s="252">
        <f t="shared" si="83"/>
        <v>0</v>
      </c>
      <c r="AX107" s="252">
        <f t="shared" si="83"/>
        <v>0</v>
      </c>
      <c r="AY107" s="252">
        <f t="shared" si="83"/>
        <v>0</v>
      </c>
      <c r="AZ107" s="252">
        <f t="shared" si="83"/>
        <v>0</v>
      </c>
      <c r="BA107" s="252">
        <f t="shared" si="83"/>
        <v>0</v>
      </c>
      <c r="BB107" s="252">
        <f t="shared" si="83"/>
        <v>0</v>
      </c>
    </row>
    <row r="108" ht="15.75" customHeight="1">
      <c r="A108" s="738">
        <v>1983.0</v>
      </c>
      <c r="B108" s="38"/>
      <c r="C108" s="38"/>
      <c r="D108" s="38"/>
      <c r="E108" s="38"/>
      <c r="F108" s="38"/>
      <c r="G108" s="38"/>
      <c r="H108" s="38"/>
      <c r="I108" s="38"/>
      <c r="J108" s="38"/>
      <c r="K108" s="38"/>
      <c r="L108" s="38"/>
      <c r="M108" s="38"/>
      <c r="N108" s="38"/>
      <c r="O108" s="38"/>
      <c r="P108" s="38"/>
      <c r="Q108" s="38"/>
      <c r="R108" s="24">
        <v>453.5</v>
      </c>
      <c r="S108" s="739">
        <v>1994.0</v>
      </c>
      <c r="T108" s="740">
        <v>533.6</v>
      </c>
      <c r="U108" s="38"/>
      <c r="V108" s="741">
        <v>763.2</v>
      </c>
      <c r="W108" s="252">
        <f t="shared" si="31"/>
        <v>0</v>
      </c>
      <c r="X108" s="252">
        <f t="shared" ref="X108:BB108" si="84">IF(AND(X$54-$A108&gt;$V$38,SUM($W108:W108)&lt;&gt;$V108),$V108,0)</f>
        <v>0</v>
      </c>
      <c r="Y108" s="252">
        <f t="shared" si="84"/>
        <v>0</v>
      </c>
      <c r="Z108" s="252">
        <f t="shared" si="84"/>
        <v>0</v>
      </c>
      <c r="AA108" s="252">
        <f t="shared" si="84"/>
        <v>0</v>
      </c>
      <c r="AB108" s="252">
        <f t="shared" si="84"/>
        <v>0</v>
      </c>
      <c r="AC108" s="252">
        <f t="shared" si="84"/>
        <v>0</v>
      </c>
      <c r="AD108" s="252">
        <f t="shared" si="84"/>
        <v>0</v>
      </c>
      <c r="AE108" s="252">
        <f t="shared" si="84"/>
        <v>0</v>
      </c>
      <c r="AF108" s="252">
        <f t="shared" si="84"/>
        <v>0</v>
      </c>
      <c r="AG108" s="252">
        <f t="shared" si="84"/>
        <v>0</v>
      </c>
      <c r="AH108" s="252">
        <f t="shared" si="84"/>
        <v>0</v>
      </c>
      <c r="AI108" s="252">
        <f t="shared" si="84"/>
        <v>0</v>
      </c>
      <c r="AJ108" s="252">
        <f t="shared" si="84"/>
        <v>0</v>
      </c>
      <c r="AK108" s="252">
        <f t="shared" si="84"/>
        <v>763.2</v>
      </c>
      <c r="AL108" s="252">
        <f t="shared" si="84"/>
        <v>0</v>
      </c>
      <c r="AM108" s="252">
        <f t="shared" si="84"/>
        <v>0</v>
      </c>
      <c r="AN108" s="252">
        <f t="shared" si="84"/>
        <v>0</v>
      </c>
      <c r="AO108" s="252">
        <f t="shared" si="84"/>
        <v>0</v>
      </c>
      <c r="AP108" s="252">
        <f t="shared" si="84"/>
        <v>0</v>
      </c>
      <c r="AQ108" s="252">
        <f t="shared" si="84"/>
        <v>0</v>
      </c>
      <c r="AR108" s="252">
        <f t="shared" si="84"/>
        <v>0</v>
      </c>
      <c r="AS108" s="252">
        <f t="shared" si="84"/>
        <v>0</v>
      </c>
      <c r="AT108" s="252">
        <f t="shared" si="84"/>
        <v>0</v>
      </c>
      <c r="AU108" s="252">
        <f t="shared" si="84"/>
        <v>0</v>
      </c>
      <c r="AV108" s="252">
        <f t="shared" si="84"/>
        <v>0</v>
      </c>
      <c r="AW108" s="252">
        <f t="shared" si="84"/>
        <v>0</v>
      </c>
      <c r="AX108" s="252">
        <f t="shared" si="84"/>
        <v>0</v>
      </c>
      <c r="AY108" s="252">
        <f t="shared" si="84"/>
        <v>0</v>
      </c>
      <c r="AZ108" s="252">
        <f t="shared" si="84"/>
        <v>0</v>
      </c>
      <c r="BA108" s="252">
        <f t="shared" si="84"/>
        <v>0</v>
      </c>
      <c r="BB108" s="252">
        <f t="shared" si="84"/>
        <v>0</v>
      </c>
    </row>
    <row r="109" ht="15.75" customHeight="1">
      <c r="A109" s="738">
        <v>1984.0</v>
      </c>
      <c r="B109" s="38"/>
      <c r="C109" s="38"/>
      <c r="D109" s="38"/>
      <c r="E109" s="38"/>
      <c r="F109" s="38"/>
      <c r="G109" s="38"/>
      <c r="H109" s="38"/>
      <c r="I109" s="38"/>
      <c r="J109" s="38"/>
      <c r="K109" s="38"/>
      <c r="L109" s="38"/>
      <c r="M109" s="38"/>
      <c r="N109" s="38"/>
      <c r="O109" s="38"/>
      <c r="P109" s="38"/>
      <c r="Q109" s="38"/>
      <c r="R109" s="24">
        <v>0.0</v>
      </c>
      <c r="S109" s="739">
        <v>1995.0</v>
      </c>
      <c r="T109" s="740">
        <v>1683.0</v>
      </c>
      <c r="U109" s="38"/>
      <c r="V109" s="741">
        <v>1447.2</v>
      </c>
      <c r="W109" s="252">
        <f t="shared" si="31"/>
        <v>0</v>
      </c>
      <c r="X109" s="252">
        <f t="shared" ref="X109:BB109" si="85">IF(AND(X$54-$A109&gt;$V$38,SUM($W109:W109)&lt;&gt;$V109),$V109,0)</f>
        <v>0</v>
      </c>
      <c r="Y109" s="252">
        <f t="shared" si="85"/>
        <v>0</v>
      </c>
      <c r="Z109" s="252">
        <f t="shared" si="85"/>
        <v>0</v>
      </c>
      <c r="AA109" s="252">
        <f t="shared" si="85"/>
        <v>0</v>
      </c>
      <c r="AB109" s="252">
        <f t="shared" si="85"/>
        <v>0</v>
      </c>
      <c r="AC109" s="252">
        <f t="shared" si="85"/>
        <v>0</v>
      </c>
      <c r="AD109" s="252">
        <f t="shared" si="85"/>
        <v>0</v>
      </c>
      <c r="AE109" s="252">
        <f t="shared" si="85"/>
        <v>0</v>
      </c>
      <c r="AF109" s="252">
        <f t="shared" si="85"/>
        <v>0</v>
      </c>
      <c r="AG109" s="252">
        <f t="shared" si="85"/>
        <v>0</v>
      </c>
      <c r="AH109" s="252">
        <f t="shared" si="85"/>
        <v>0</v>
      </c>
      <c r="AI109" s="252">
        <f t="shared" si="85"/>
        <v>0</v>
      </c>
      <c r="AJ109" s="252">
        <f t="shared" si="85"/>
        <v>0</v>
      </c>
      <c r="AK109" s="252">
        <f t="shared" si="85"/>
        <v>0</v>
      </c>
      <c r="AL109" s="252">
        <f t="shared" si="85"/>
        <v>1447.2</v>
      </c>
      <c r="AM109" s="252">
        <f t="shared" si="85"/>
        <v>0</v>
      </c>
      <c r="AN109" s="252">
        <f t="shared" si="85"/>
        <v>0</v>
      </c>
      <c r="AO109" s="252">
        <f t="shared" si="85"/>
        <v>0</v>
      </c>
      <c r="AP109" s="252">
        <f t="shared" si="85"/>
        <v>0</v>
      </c>
      <c r="AQ109" s="252">
        <f t="shared" si="85"/>
        <v>0</v>
      </c>
      <c r="AR109" s="252">
        <f t="shared" si="85"/>
        <v>0</v>
      </c>
      <c r="AS109" s="252">
        <f t="shared" si="85"/>
        <v>0</v>
      </c>
      <c r="AT109" s="252">
        <f t="shared" si="85"/>
        <v>0</v>
      </c>
      <c r="AU109" s="252">
        <f t="shared" si="85"/>
        <v>0</v>
      </c>
      <c r="AV109" s="252">
        <f t="shared" si="85"/>
        <v>0</v>
      </c>
      <c r="AW109" s="252">
        <f t="shared" si="85"/>
        <v>0</v>
      </c>
      <c r="AX109" s="252">
        <f t="shared" si="85"/>
        <v>0</v>
      </c>
      <c r="AY109" s="252">
        <f t="shared" si="85"/>
        <v>0</v>
      </c>
      <c r="AZ109" s="252">
        <f t="shared" si="85"/>
        <v>0</v>
      </c>
      <c r="BA109" s="252">
        <f t="shared" si="85"/>
        <v>0</v>
      </c>
      <c r="BB109" s="252">
        <f t="shared" si="85"/>
        <v>0</v>
      </c>
    </row>
    <row r="110" ht="15.75" customHeight="1">
      <c r="A110" s="738">
        <v>1985.0</v>
      </c>
      <c r="B110" s="38"/>
      <c r="C110" s="38"/>
      <c r="D110" s="38"/>
      <c r="E110" s="38"/>
      <c r="F110" s="38"/>
      <c r="G110" s="38"/>
      <c r="H110" s="38"/>
      <c r="I110" s="38"/>
      <c r="J110" s="38"/>
      <c r="K110" s="38"/>
      <c r="L110" s="38"/>
      <c r="M110" s="38"/>
      <c r="N110" s="38"/>
      <c r="O110" s="38"/>
      <c r="P110" s="38"/>
      <c r="Q110" s="38"/>
      <c r="R110" s="24">
        <v>2181.9</v>
      </c>
      <c r="S110" s="739">
        <v>1996.0</v>
      </c>
      <c r="T110" s="740">
        <v>1767.4</v>
      </c>
      <c r="U110" s="38"/>
      <c r="V110" s="741">
        <v>705.5</v>
      </c>
      <c r="W110" s="252">
        <f t="shared" si="31"/>
        <v>0</v>
      </c>
      <c r="X110" s="252">
        <f t="shared" ref="X110:BB110" si="86">IF(AND(X$54-$A110&gt;$V$38,SUM($W110:W110)&lt;&gt;$V110),$V110,0)</f>
        <v>0</v>
      </c>
      <c r="Y110" s="252">
        <f t="shared" si="86"/>
        <v>0</v>
      </c>
      <c r="Z110" s="252">
        <f t="shared" si="86"/>
        <v>0</v>
      </c>
      <c r="AA110" s="252">
        <f t="shared" si="86"/>
        <v>0</v>
      </c>
      <c r="AB110" s="252">
        <f t="shared" si="86"/>
        <v>0</v>
      </c>
      <c r="AC110" s="252">
        <f t="shared" si="86"/>
        <v>0</v>
      </c>
      <c r="AD110" s="252">
        <f t="shared" si="86"/>
        <v>0</v>
      </c>
      <c r="AE110" s="252">
        <f t="shared" si="86"/>
        <v>0</v>
      </c>
      <c r="AF110" s="252">
        <f t="shared" si="86"/>
        <v>0</v>
      </c>
      <c r="AG110" s="252">
        <f t="shared" si="86"/>
        <v>0</v>
      </c>
      <c r="AH110" s="252">
        <f t="shared" si="86"/>
        <v>0</v>
      </c>
      <c r="AI110" s="252">
        <f t="shared" si="86"/>
        <v>0</v>
      </c>
      <c r="AJ110" s="252">
        <f t="shared" si="86"/>
        <v>0</v>
      </c>
      <c r="AK110" s="252">
        <f t="shared" si="86"/>
        <v>0</v>
      </c>
      <c r="AL110" s="252">
        <f t="shared" si="86"/>
        <v>0</v>
      </c>
      <c r="AM110" s="252">
        <f t="shared" si="86"/>
        <v>705.5</v>
      </c>
      <c r="AN110" s="252">
        <f t="shared" si="86"/>
        <v>0</v>
      </c>
      <c r="AO110" s="252">
        <f t="shared" si="86"/>
        <v>0</v>
      </c>
      <c r="AP110" s="252">
        <f t="shared" si="86"/>
        <v>0</v>
      </c>
      <c r="AQ110" s="252">
        <f t="shared" si="86"/>
        <v>0</v>
      </c>
      <c r="AR110" s="252">
        <f t="shared" si="86"/>
        <v>0</v>
      </c>
      <c r="AS110" s="252">
        <f t="shared" si="86"/>
        <v>0</v>
      </c>
      <c r="AT110" s="252">
        <f t="shared" si="86"/>
        <v>0</v>
      </c>
      <c r="AU110" s="252">
        <f t="shared" si="86"/>
        <v>0</v>
      </c>
      <c r="AV110" s="252">
        <f t="shared" si="86"/>
        <v>0</v>
      </c>
      <c r="AW110" s="252">
        <f t="shared" si="86"/>
        <v>0</v>
      </c>
      <c r="AX110" s="252">
        <f t="shared" si="86"/>
        <v>0</v>
      </c>
      <c r="AY110" s="252">
        <f t="shared" si="86"/>
        <v>0</v>
      </c>
      <c r="AZ110" s="252">
        <f t="shared" si="86"/>
        <v>0</v>
      </c>
      <c r="BA110" s="252">
        <f t="shared" si="86"/>
        <v>0</v>
      </c>
      <c r="BB110" s="252">
        <f t="shared" si="86"/>
        <v>0</v>
      </c>
    </row>
    <row r="111" ht="15.75" customHeight="1">
      <c r="A111" s="738">
        <v>1986.0</v>
      </c>
      <c r="B111" s="38"/>
      <c r="C111" s="38"/>
      <c r="D111" s="38"/>
      <c r="E111" s="38"/>
      <c r="F111" s="38"/>
      <c r="G111" s="38"/>
      <c r="H111" s="38"/>
      <c r="I111" s="38"/>
      <c r="J111" s="38"/>
      <c r="K111" s="38"/>
      <c r="L111" s="38"/>
      <c r="M111" s="38"/>
      <c r="N111" s="38"/>
      <c r="O111" s="38"/>
      <c r="P111" s="38"/>
      <c r="Q111" s="38"/>
      <c r="R111" s="24">
        <v>1676.8</v>
      </c>
      <c r="S111" s="739">
        <v>1997.0</v>
      </c>
      <c r="T111" s="740">
        <v>78.7</v>
      </c>
      <c r="U111" s="38"/>
      <c r="V111" s="741">
        <v>0.0</v>
      </c>
      <c r="W111" s="252">
        <f t="shared" si="31"/>
        <v>0</v>
      </c>
      <c r="X111" s="252">
        <f t="shared" ref="X111:BB111" si="87">IF(AND(X$54-$A111&gt;$V$38,SUM($W111:W111)&lt;&gt;$V111),$V111,0)</f>
        <v>0</v>
      </c>
      <c r="Y111" s="252">
        <f t="shared" si="87"/>
        <v>0</v>
      </c>
      <c r="Z111" s="252">
        <f t="shared" si="87"/>
        <v>0</v>
      </c>
      <c r="AA111" s="252">
        <f t="shared" si="87"/>
        <v>0</v>
      </c>
      <c r="AB111" s="252">
        <f t="shared" si="87"/>
        <v>0</v>
      </c>
      <c r="AC111" s="252">
        <f t="shared" si="87"/>
        <v>0</v>
      </c>
      <c r="AD111" s="252">
        <f t="shared" si="87"/>
        <v>0</v>
      </c>
      <c r="AE111" s="252">
        <f t="shared" si="87"/>
        <v>0</v>
      </c>
      <c r="AF111" s="252">
        <f t="shared" si="87"/>
        <v>0</v>
      </c>
      <c r="AG111" s="252">
        <f t="shared" si="87"/>
        <v>0</v>
      </c>
      <c r="AH111" s="252">
        <f t="shared" si="87"/>
        <v>0</v>
      </c>
      <c r="AI111" s="252">
        <f t="shared" si="87"/>
        <v>0</v>
      </c>
      <c r="AJ111" s="252">
        <f t="shared" si="87"/>
        <v>0</v>
      </c>
      <c r="AK111" s="252">
        <f t="shared" si="87"/>
        <v>0</v>
      </c>
      <c r="AL111" s="252">
        <f t="shared" si="87"/>
        <v>0</v>
      </c>
      <c r="AM111" s="252">
        <f t="shared" si="87"/>
        <v>0</v>
      </c>
      <c r="AN111" s="252">
        <f t="shared" si="87"/>
        <v>0</v>
      </c>
      <c r="AO111" s="252">
        <f t="shared" si="87"/>
        <v>0</v>
      </c>
      <c r="AP111" s="252">
        <f t="shared" si="87"/>
        <v>0</v>
      </c>
      <c r="AQ111" s="252">
        <f t="shared" si="87"/>
        <v>0</v>
      </c>
      <c r="AR111" s="252">
        <f t="shared" si="87"/>
        <v>0</v>
      </c>
      <c r="AS111" s="252">
        <f t="shared" si="87"/>
        <v>0</v>
      </c>
      <c r="AT111" s="252">
        <f t="shared" si="87"/>
        <v>0</v>
      </c>
      <c r="AU111" s="252">
        <f t="shared" si="87"/>
        <v>0</v>
      </c>
      <c r="AV111" s="252">
        <f t="shared" si="87"/>
        <v>0</v>
      </c>
      <c r="AW111" s="252">
        <f t="shared" si="87"/>
        <v>0</v>
      </c>
      <c r="AX111" s="252">
        <f t="shared" si="87"/>
        <v>0</v>
      </c>
      <c r="AY111" s="252">
        <f t="shared" si="87"/>
        <v>0</v>
      </c>
      <c r="AZ111" s="252">
        <f t="shared" si="87"/>
        <v>0</v>
      </c>
      <c r="BA111" s="252">
        <f t="shared" si="87"/>
        <v>0</v>
      </c>
      <c r="BB111" s="252">
        <f t="shared" si="87"/>
        <v>0</v>
      </c>
    </row>
    <row r="112" ht="15.75" customHeight="1">
      <c r="A112" s="738">
        <v>1987.0</v>
      </c>
      <c r="B112" s="38"/>
      <c r="C112" s="38"/>
      <c r="D112" s="38"/>
      <c r="E112" s="38"/>
      <c r="F112" s="38"/>
      <c r="G112" s="38"/>
      <c r="H112" s="38"/>
      <c r="I112" s="38"/>
      <c r="J112" s="38"/>
      <c r="K112" s="38"/>
      <c r="L112" s="38"/>
      <c r="M112" s="38"/>
      <c r="N112" s="38"/>
      <c r="O112" s="38"/>
      <c r="P112" s="38"/>
      <c r="Q112" s="38"/>
      <c r="R112" s="24">
        <v>0.0</v>
      </c>
      <c r="S112" s="739">
        <v>1998.0</v>
      </c>
      <c r="T112" s="740">
        <v>2.8</v>
      </c>
      <c r="U112" s="38"/>
      <c r="V112" s="741">
        <v>891.0</v>
      </c>
      <c r="W112" s="252">
        <f t="shared" si="31"/>
        <v>0</v>
      </c>
      <c r="X112" s="252">
        <f t="shared" ref="X112:BB112" si="88">IF(AND(X$54-$A112&gt;$V$38,SUM($W112:W112)&lt;&gt;$V112),$V112,0)</f>
        <v>0</v>
      </c>
      <c r="Y112" s="252">
        <f t="shared" si="88"/>
        <v>0</v>
      </c>
      <c r="Z112" s="252">
        <f t="shared" si="88"/>
        <v>0</v>
      </c>
      <c r="AA112" s="252">
        <f t="shared" si="88"/>
        <v>0</v>
      </c>
      <c r="AB112" s="252">
        <f t="shared" si="88"/>
        <v>0</v>
      </c>
      <c r="AC112" s="252">
        <f t="shared" si="88"/>
        <v>0</v>
      </c>
      <c r="AD112" s="252">
        <f t="shared" si="88"/>
        <v>0</v>
      </c>
      <c r="AE112" s="252">
        <f t="shared" si="88"/>
        <v>0</v>
      </c>
      <c r="AF112" s="252">
        <f t="shared" si="88"/>
        <v>0</v>
      </c>
      <c r="AG112" s="252">
        <f t="shared" si="88"/>
        <v>0</v>
      </c>
      <c r="AH112" s="252">
        <f t="shared" si="88"/>
        <v>0</v>
      </c>
      <c r="AI112" s="252">
        <f t="shared" si="88"/>
        <v>0</v>
      </c>
      <c r="AJ112" s="252">
        <f t="shared" si="88"/>
        <v>0</v>
      </c>
      <c r="AK112" s="252">
        <f t="shared" si="88"/>
        <v>0</v>
      </c>
      <c r="AL112" s="252">
        <f t="shared" si="88"/>
        <v>0</v>
      </c>
      <c r="AM112" s="252">
        <f t="shared" si="88"/>
        <v>0</v>
      </c>
      <c r="AN112" s="252">
        <f t="shared" si="88"/>
        <v>0</v>
      </c>
      <c r="AO112" s="252">
        <f t="shared" si="88"/>
        <v>891</v>
      </c>
      <c r="AP112" s="252">
        <f t="shared" si="88"/>
        <v>0</v>
      </c>
      <c r="AQ112" s="252">
        <f t="shared" si="88"/>
        <v>0</v>
      </c>
      <c r="AR112" s="252">
        <f t="shared" si="88"/>
        <v>0</v>
      </c>
      <c r="AS112" s="252">
        <f t="shared" si="88"/>
        <v>0</v>
      </c>
      <c r="AT112" s="252">
        <f t="shared" si="88"/>
        <v>0</v>
      </c>
      <c r="AU112" s="252">
        <f t="shared" si="88"/>
        <v>0</v>
      </c>
      <c r="AV112" s="252">
        <f t="shared" si="88"/>
        <v>0</v>
      </c>
      <c r="AW112" s="252">
        <f t="shared" si="88"/>
        <v>0</v>
      </c>
      <c r="AX112" s="252">
        <f t="shared" si="88"/>
        <v>0</v>
      </c>
      <c r="AY112" s="252">
        <f t="shared" si="88"/>
        <v>0</v>
      </c>
      <c r="AZ112" s="252">
        <f t="shared" si="88"/>
        <v>0</v>
      </c>
      <c r="BA112" s="252">
        <f t="shared" si="88"/>
        <v>0</v>
      </c>
      <c r="BB112" s="252">
        <f t="shared" si="88"/>
        <v>0</v>
      </c>
    </row>
    <row r="113" ht="15.75" customHeight="1">
      <c r="A113" s="738">
        <v>1988.0</v>
      </c>
      <c r="B113" s="38"/>
      <c r="C113" s="38"/>
      <c r="D113" s="38"/>
      <c r="E113" s="38"/>
      <c r="F113" s="38"/>
      <c r="G113" s="38"/>
      <c r="H113" s="38"/>
      <c r="I113" s="38"/>
      <c r="J113" s="38"/>
      <c r="K113" s="38"/>
      <c r="L113" s="38"/>
      <c r="M113" s="38"/>
      <c r="N113" s="38"/>
      <c r="O113" s="38"/>
      <c r="P113" s="38"/>
      <c r="Q113" s="38"/>
      <c r="R113" s="24">
        <v>460.0</v>
      </c>
      <c r="S113" s="739">
        <v>1999.0</v>
      </c>
      <c r="T113" s="740">
        <v>180.0</v>
      </c>
      <c r="U113" s="38"/>
      <c r="V113" s="741">
        <v>0.0</v>
      </c>
      <c r="W113" s="252">
        <f t="shared" si="31"/>
        <v>0</v>
      </c>
      <c r="X113" s="252">
        <f t="shared" ref="X113:BB113" si="89">IF(AND(X$54-$A113&gt;$V$38,SUM($W113:W113)&lt;&gt;$V113),$V113,0)</f>
        <v>0</v>
      </c>
      <c r="Y113" s="252">
        <f t="shared" si="89"/>
        <v>0</v>
      </c>
      <c r="Z113" s="252">
        <f t="shared" si="89"/>
        <v>0</v>
      </c>
      <c r="AA113" s="252">
        <f t="shared" si="89"/>
        <v>0</v>
      </c>
      <c r="AB113" s="252">
        <f t="shared" si="89"/>
        <v>0</v>
      </c>
      <c r="AC113" s="252">
        <f t="shared" si="89"/>
        <v>0</v>
      </c>
      <c r="AD113" s="252">
        <f t="shared" si="89"/>
        <v>0</v>
      </c>
      <c r="AE113" s="252">
        <f t="shared" si="89"/>
        <v>0</v>
      </c>
      <c r="AF113" s="252">
        <f t="shared" si="89"/>
        <v>0</v>
      </c>
      <c r="AG113" s="252">
        <f t="shared" si="89"/>
        <v>0</v>
      </c>
      <c r="AH113" s="252">
        <f t="shared" si="89"/>
        <v>0</v>
      </c>
      <c r="AI113" s="252">
        <f t="shared" si="89"/>
        <v>0</v>
      </c>
      <c r="AJ113" s="252">
        <f t="shared" si="89"/>
        <v>0</v>
      </c>
      <c r="AK113" s="252">
        <f t="shared" si="89"/>
        <v>0</v>
      </c>
      <c r="AL113" s="252">
        <f t="shared" si="89"/>
        <v>0</v>
      </c>
      <c r="AM113" s="252">
        <f t="shared" si="89"/>
        <v>0</v>
      </c>
      <c r="AN113" s="252">
        <f t="shared" si="89"/>
        <v>0</v>
      </c>
      <c r="AO113" s="252">
        <f t="shared" si="89"/>
        <v>0</v>
      </c>
      <c r="AP113" s="252">
        <f t="shared" si="89"/>
        <v>0</v>
      </c>
      <c r="AQ113" s="252">
        <f t="shared" si="89"/>
        <v>0</v>
      </c>
      <c r="AR113" s="252">
        <f t="shared" si="89"/>
        <v>0</v>
      </c>
      <c r="AS113" s="252">
        <f t="shared" si="89"/>
        <v>0</v>
      </c>
      <c r="AT113" s="252">
        <f t="shared" si="89"/>
        <v>0</v>
      </c>
      <c r="AU113" s="252">
        <f t="shared" si="89"/>
        <v>0</v>
      </c>
      <c r="AV113" s="252">
        <f t="shared" si="89"/>
        <v>0</v>
      </c>
      <c r="AW113" s="252">
        <f t="shared" si="89"/>
        <v>0</v>
      </c>
      <c r="AX113" s="252">
        <f t="shared" si="89"/>
        <v>0</v>
      </c>
      <c r="AY113" s="252">
        <f t="shared" si="89"/>
        <v>0</v>
      </c>
      <c r="AZ113" s="252">
        <f t="shared" si="89"/>
        <v>0</v>
      </c>
      <c r="BA113" s="252">
        <f t="shared" si="89"/>
        <v>0</v>
      </c>
      <c r="BB113" s="252">
        <f t="shared" si="89"/>
        <v>0</v>
      </c>
    </row>
    <row r="114" ht="15.75" customHeight="1">
      <c r="A114" s="738">
        <v>1989.0</v>
      </c>
      <c r="B114" s="38"/>
      <c r="C114" s="38"/>
      <c r="D114" s="38"/>
      <c r="E114" s="38"/>
      <c r="F114" s="38"/>
      <c r="G114" s="38"/>
      <c r="H114" s="38"/>
      <c r="I114" s="38"/>
      <c r="J114" s="38"/>
      <c r="K114" s="38"/>
      <c r="L114" s="38"/>
      <c r="M114" s="38"/>
      <c r="N114" s="38"/>
      <c r="O114" s="38"/>
      <c r="P114" s="38"/>
      <c r="Q114" s="38"/>
      <c r="R114" s="24">
        <v>0.0</v>
      </c>
      <c r="S114" s="739">
        <v>2000.0</v>
      </c>
      <c r="T114" s="740">
        <v>133.2</v>
      </c>
      <c r="U114" s="38"/>
      <c r="V114" s="741">
        <v>1596.5</v>
      </c>
      <c r="W114" s="252">
        <f t="shared" si="31"/>
        <v>0</v>
      </c>
      <c r="X114" s="252">
        <f t="shared" ref="X114:BB114" si="90">IF(AND(X$54-$A114&gt;$V$38,SUM($W114:W114)&lt;&gt;$V114),$V114,0)</f>
        <v>0</v>
      </c>
      <c r="Y114" s="252">
        <f t="shared" si="90"/>
        <v>0</v>
      </c>
      <c r="Z114" s="252">
        <f t="shared" si="90"/>
        <v>0</v>
      </c>
      <c r="AA114" s="252">
        <f t="shared" si="90"/>
        <v>0</v>
      </c>
      <c r="AB114" s="252">
        <f t="shared" si="90"/>
        <v>0</v>
      </c>
      <c r="AC114" s="252">
        <f t="shared" si="90"/>
        <v>0</v>
      </c>
      <c r="AD114" s="252">
        <f t="shared" si="90"/>
        <v>0</v>
      </c>
      <c r="AE114" s="252">
        <f t="shared" si="90"/>
        <v>0</v>
      </c>
      <c r="AF114" s="252">
        <f t="shared" si="90"/>
        <v>0</v>
      </c>
      <c r="AG114" s="252">
        <f t="shared" si="90"/>
        <v>0</v>
      </c>
      <c r="AH114" s="252">
        <f t="shared" si="90"/>
        <v>0</v>
      </c>
      <c r="AI114" s="252">
        <f t="shared" si="90"/>
        <v>0</v>
      </c>
      <c r="AJ114" s="252">
        <f t="shared" si="90"/>
        <v>0</v>
      </c>
      <c r="AK114" s="252">
        <f t="shared" si="90"/>
        <v>0</v>
      </c>
      <c r="AL114" s="252">
        <f t="shared" si="90"/>
        <v>0</v>
      </c>
      <c r="AM114" s="252">
        <f t="shared" si="90"/>
        <v>0</v>
      </c>
      <c r="AN114" s="252">
        <f t="shared" si="90"/>
        <v>0</v>
      </c>
      <c r="AO114" s="252">
        <f t="shared" si="90"/>
        <v>0</v>
      </c>
      <c r="AP114" s="252">
        <f t="shared" si="90"/>
        <v>0</v>
      </c>
      <c r="AQ114" s="252">
        <f t="shared" si="90"/>
        <v>1596.5</v>
      </c>
      <c r="AR114" s="252">
        <f t="shared" si="90"/>
        <v>0</v>
      </c>
      <c r="AS114" s="252">
        <f t="shared" si="90"/>
        <v>0</v>
      </c>
      <c r="AT114" s="252">
        <f t="shared" si="90"/>
        <v>0</v>
      </c>
      <c r="AU114" s="252">
        <f t="shared" si="90"/>
        <v>0</v>
      </c>
      <c r="AV114" s="252">
        <f t="shared" si="90"/>
        <v>0</v>
      </c>
      <c r="AW114" s="252">
        <f t="shared" si="90"/>
        <v>0</v>
      </c>
      <c r="AX114" s="252">
        <f t="shared" si="90"/>
        <v>0</v>
      </c>
      <c r="AY114" s="252">
        <f t="shared" si="90"/>
        <v>0</v>
      </c>
      <c r="AZ114" s="252">
        <f t="shared" si="90"/>
        <v>0</v>
      </c>
      <c r="BA114" s="252">
        <f t="shared" si="90"/>
        <v>0</v>
      </c>
      <c r="BB114" s="252">
        <f t="shared" si="90"/>
        <v>0</v>
      </c>
    </row>
    <row r="115" ht="15.75" customHeight="1">
      <c r="A115" s="738">
        <v>1990.0</v>
      </c>
      <c r="B115" s="38"/>
      <c r="C115" s="38"/>
      <c r="D115" s="38"/>
      <c r="E115" s="38"/>
      <c r="F115" s="38"/>
      <c r="G115" s="38"/>
      <c r="H115" s="38"/>
      <c r="I115" s="38"/>
      <c r="J115" s="38"/>
      <c r="K115" s="38"/>
      <c r="L115" s="38"/>
      <c r="M115" s="38"/>
      <c r="N115" s="38"/>
      <c r="O115" s="38"/>
      <c r="P115" s="38"/>
      <c r="Q115" s="38"/>
      <c r="R115" s="24">
        <v>174.6</v>
      </c>
      <c r="S115" s="739">
        <v>2001.0</v>
      </c>
      <c r="T115" s="740">
        <v>440.0</v>
      </c>
      <c r="U115" s="38"/>
      <c r="V115" s="741">
        <v>114.8</v>
      </c>
      <c r="W115" s="252">
        <f t="shared" si="31"/>
        <v>0</v>
      </c>
      <c r="X115" s="252">
        <f t="shared" ref="X115:BB115" si="91">IF(AND(X$54-$A115&gt;$V$38,SUM($W115:W115)&lt;&gt;$V115),$V115,0)</f>
        <v>0</v>
      </c>
      <c r="Y115" s="252">
        <f t="shared" si="91"/>
        <v>0</v>
      </c>
      <c r="Z115" s="252">
        <f t="shared" si="91"/>
        <v>0</v>
      </c>
      <c r="AA115" s="252">
        <f t="shared" si="91"/>
        <v>0</v>
      </c>
      <c r="AB115" s="252">
        <f t="shared" si="91"/>
        <v>0</v>
      </c>
      <c r="AC115" s="252">
        <f t="shared" si="91"/>
        <v>0</v>
      </c>
      <c r="AD115" s="252">
        <f t="shared" si="91"/>
        <v>0</v>
      </c>
      <c r="AE115" s="252">
        <f t="shared" si="91"/>
        <v>0</v>
      </c>
      <c r="AF115" s="252">
        <f t="shared" si="91"/>
        <v>0</v>
      </c>
      <c r="AG115" s="252">
        <f t="shared" si="91"/>
        <v>0</v>
      </c>
      <c r="AH115" s="252">
        <f t="shared" si="91"/>
        <v>0</v>
      </c>
      <c r="AI115" s="252">
        <f t="shared" si="91"/>
        <v>0</v>
      </c>
      <c r="AJ115" s="252">
        <f t="shared" si="91"/>
        <v>0</v>
      </c>
      <c r="AK115" s="252">
        <f t="shared" si="91"/>
        <v>0</v>
      </c>
      <c r="AL115" s="252">
        <f t="shared" si="91"/>
        <v>0</v>
      </c>
      <c r="AM115" s="252">
        <f t="shared" si="91"/>
        <v>0</v>
      </c>
      <c r="AN115" s="252">
        <f t="shared" si="91"/>
        <v>0</v>
      </c>
      <c r="AO115" s="252">
        <f t="shared" si="91"/>
        <v>0</v>
      </c>
      <c r="AP115" s="252">
        <f t="shared" si="91"/>
        <v>0</v>
      </c>
      <c r="AQ115" s="252">
        <f t="shared" si="91"/>
        <v>0</v>
      </c>
      <c r="AR115" s="252">
        <f t="shared" si="91"/>
        <v>114.8</v>
      </c>
      <c r="AS115" s="252">
        <f t="shared" si="91"/>
        <v>0</v>
      </c>
      <c r="AT115" s="252">
        <f t="shared" si="91"/>
        <v>0</v>
      </c>
      <c r="AU115" s="252">
        <f t="shared" si="91"/>
        <v>0</v>
      </c>
      <c r="AV115" s="252">
        <f t="shared" si="91"/>
        <v>0</v>
      </c>
      <c r="AW115" s="252">
        <f t="shared" si="91"/>
        <v>0</v>
      </c>
      <c r="AX115" s="252">
        <f t="shared" si="91"/>
        <v>0</v>
      </c>
      <c r="AY115" s="252">
        <f t="shared" si="91"/>
        <v>0</v>
      </c>
      <c r="AZ115" s="252">
        <f t="shared" si="91"/>
        <v>0</v>
      </c>
      <c r="BA115" s="252">
        <f t="shared" si="91"/>
        <v>0</v>
      </c>
      <c r="BB115" s="252">
        <f t="shared" si="91"/>
        <v>0</v>
      </c>
    </row>
    <row r="116" ht="15.75" customHeight="1">
      <c r="A116" s="738">
        <v>1991.0</v>
      </c>
      <c r="B116" s="38"/>
      <c r="C116" s="38"/>
      <c r="D116" s="38"/>
      <c r="E116" s="38"/>
      <c r="F116" s="38"/>
      <c r="G116" s="38"/>
      <c r="H116" s="38"/>
      <c r="I116" s="38"/>
      <c r="J116" s="38"/>
      <c r="K116" s="38"/>
      <c r="L116" s="38"/>
      <c r="M116" s="38"/>
      <c r="N116" s="38"/>
      <c r="O116" s="38"/>
      <c r="P116" s="38"/>
      <c r="Q116" s="38"/>
      <c r="R116" s="24">
        <v>174.6</v>
      </c>
      <c r="S116" s="739">
        <v>2003.0</v>
      </c>
      <c r="T116" s="740">
        <v>85.0</v>
      </c>
      <c r="U116" s="38"/>
      <c r="V116" s="741">
        <v>733.5</v>
      </c>
      <c r="W116" s="252">
        <f t="shared" si="31"/>
        <v>0</v>
      </c>
      <c r="X116" s="252">
        <f t="shared" ref="X116:BB116" si="92">IF(AND(X$54-$A116&gt;$V$38,SUM($W116:W116)&lt;&gt;$V116),$V116,0)</f>
        <v>0</v>
      </c>
      <c r="Y116" s="252">
        <f t="shared" si="92"/>
        <v>0</v>
      </c>
      <c r="Z116" s="252">
        <f t="shared" si="92"/>
        <v>0</v>
      </c>
      <c r="AA116" s="252">
        <f t="shared" si="92"/>
        <v>0</v>
      </c>
      <c r="AB116" s="252">
        <f t="shared" si="92"/>
        <v>0</v>
      </c>
      <c r="AC116" s="252">
        <f t="shared" si="92"/>
        <v>0</v>
      </c>
      <c r="AD116" s="252">
        <f t="shared" si="92"/>
        <v>0</v>
      </c>
      <c r="AE116" s="252">
        <f t="shared" si="92"/>
        <v>0</v>
      </c>
      <c r="AF116" s="252">
        <f t="shared" si="92"/>
        <v>0</v>
      </c>
      <c r="AG116" s="252">
        <f t="shared" si="92"/>
        <v>0</v>
      </c>
      <c r="AH116" s="252">
        <f t="shared" si="92"/>
        <v>0</v>
      </c>
      <c r="AI116" s="252">
        <f t="shared" si="92"/>
        <v>0</v>
      </c>
      <c r="AJ116" s="252">
        <f t="shared" si="92"/>
        <v>0</v>
      </c>
      <c r="AK116" s="252">
        <f t="shared" si="92"/>
        <v>0</v>
      </c>
      <c r="AL116" s="252">
        <f t="shared" si="92"/>
        <v>0</v>
      </c>
      <c r="AM116" s="252">
        <f t="shared" si="92"/>
        <v>0</v>
      </c>
      <c r="AN116" s="252">
        <f t="shared" si="92"/>
        <v>0</v>
      </c>
      <c r="AO116" s="252">
        <f t="shared" si="92"/>
        <v>0</v>
      </c>
      <c r="AP116" s="252">
        <f t="shared" si="92"/>
        <v>0</v>
      </c>
      <c r="AQ116" s="252">
        <f t="shared" si="92"/>
        <v>0</v>
      </c>
      <c r="AR116" s="252">
        <f t="shared" si="92"/>
        <v>0</v>
      </c>
      <c r="AS116" s="252">
        <f t="shared" si="92"/>
        <v>733.5</v>
      </c>
      <c r="AT116" s="252">
        <f t="shared" si="92"/>
        <v>0</v>
      </c>
      <c r="AU116" s="252">
        <f t="shared" si="92"/>
        <v>0</v>
      </c>
      <c r="AV116" s="252">
        <f t="shared" si="92"/>
        <v>0</v>
      </c>
      <c r="AW116" s="252">
        <f t="shared" si="92"/>
        <v>0</v>
      </c>
      <c r="AX116" s="252">
        <f t="shared" si="92"/>
        <v>0</v>
      </c>
      <c r="AY116" s="252">
        <f t="shared" si="92"/>
        <v>0</v>
      </c>
      <c r="AZ116" s="252">
        <f t="shared" si="92"/>
        <v>0</v>
      </c>
      <c r="BA116" s="252">
        <f t="shared" si="92"/>
        <v>0</v>
      </c>
      <c r="BB116" s="252">
        <f t="shared" si="92"/>
        <v>0</v>
      </c>
    </row>
    <row r="117" ht="15.75" customHeight="1">
      <c r="A117" s="738">
        <v>1992.0</v>
      </c>
      <c r="B117" s="38"/>
      <c r="C117" s="38"/>
      <c r="D117" s="38"/>
      <c r="E117" s="38"/>
      <c r="F117" s="38"/>
      <c r="G117" s="38"/>
      <c r="H117" s="38"/>
      <c r="I117" s="38"/>
      <c r="J117" s="38"/>
      <c r="K117" s="38"/>
      <c r="L117" s="38"/>
      <c r="M117" s="38"/>
      <c r="N117" s="38"/>
      <c r="O117" s="38"/>
      <c r="P117" s="38"/>
      <c r="Q117" s="38"/>
      <c r="R117" s="24">
        <v>566.0</v>
      </c>
      <c r="S117" s="739">
        <v>2004.0</v>
      </c>
      <c r="T117" s="740">
        <v>521.0</v>
      </c>
      <c r="U117" s="38"/>
      <c r="V117" s="741">
        <v>0.0</v>
      </c>
      <c r="W117" s="252">
        <f t="shared" si="31"/>
        <v>0</v>
      </c>
      <c r="X117" s="252">
        <f t="shared" ref="X117:BB117" si="93">IF(AND(X$54-$A117&gt;$V$38,SUM($W117:W117)&lt;&gt;$V117),$V117,0)</f>
        <v>0</v>
      </c>
      <c r="Y117" s="252">
        <f t="shared" si="93"/>
        <v>0</v>
      </c>
      <c r="Z117" s="252">
        <f t="shared" si="93"/>
        <v>0</v>
      </c>
      <c r="AA117" s="252">
        <f t="shared" si="93"/>
        <v>0</v>
      </c>
      <c r="AB117" s="252">
        <f t="shared" si="93"/>
        <v>0</v>
      </c>
      <c r="AC117" s="252">
        <f t="shared" si="93"/>
        <v>0</v>
      </c>
      <c r="AD117" s="252">
        <f t="shared" si="93"/>
        <v>0</v>
      </c>
      <c r="AE117" s="252">
        <f t="shared" si="93"/>
        <v>0</v>
      </c>
      <c r="AF117" s="252">
        <f t="shared" si="93"/>
        <v>0</v>
      </c>
      <c r="AG117" s="252">
        <f t="shared" si="93"/>
        <v>0</v>
      </c>
      <c r="AH117" s="252">
        <f t="shared" si="93"/>
        <v>0</v>
      </c>
      <c r="AI117" s="252">
        <f t="shared" si="93"/>
        <v>0</v>
      </c>
      <c r="AJ117" s="252">
        <f t="shared" si="93"/>
        <v>0</v>
      </c>
      <c r="AK117" s="252">
        <f t="shared" si="93"/>
        <v>0</v>
      </c>
      <c r="AL117" s="252">
        <f t="shared" si="93"/>
        <v>0</v>
      </c>
      <c r="AM117" s="252">
        <f t="shared" si="93"/>
        <v>0</v>
      </c>
      <c r="AN117" s="252">
        <f t="shared" si="93"/>
        <v>0</v>
      </c>
      <c r="AO117" s="252">
        <f t="shared" si="93"/>
        <v>0</v>
      </c>
      <c r="AP117" s="252">
        <f t="shared" si="93"/>
        <v>0</v>
      </c>
      <c r="AQ117" s="252">
        <f t="shared" si="93"/>
        <v>0</v>
      </c>
      <c r="AR117" s="252">
        <f t="shared" si="93"/>
        <v>0</v>
      </c>
      <c r="AS117" s="252">
        <f t="shared" si="93"/>
        <v>0</v>
      </c>
      <c r="AT117" s="252">
        <f t="shared" si="93"/>
        <v>0</v>
      </c>
      <c r="AU117" s="252">
        <f t="shared" si="93"/>
        <v>0</v>
      </c>
      <c r="AV117" s="252">
        <f t="shared" si="93"/>
        <v>0</v>
      </c>
      <c r="AW117" s="252">
        <f t="shared" si="93"/>
        <v>0</v>
      </c>
      <c r="AX117" s="252">
        <f t="shared" si="93"/>
        <v>0</v>
      </c>
      <c r="AY117" s="252">
        <f t="shared" si="93"/>
        <v>0</v>
      </c>
      <c r="AZ117" s="252">
        <f t="shared" si="93"/>
        <v>0</v>
      </c>
      <c r="BA117" s="252">
        <f t="shared" si="93"/>
        <v>0</v>
      </c>
      <c r="BB117" s="252">
        <f t="shared" si="93"/>
        <v>0</v>
      </c>
    </row>
    <row r="118" ht="15.75" customHeight="1">
      <c r="A118" s="738">
        <v>1993.0</v>
      </c>
      <c r="B118" s="38"/>
      <c r="C118" s="38"/>
      <c r="D118" s="38"/>
      <c r="E118" s="38"/>
      <c r="F118" s="38"/>
      <c r="G118" s="38"/>
      <c r="H118" s="38"/>
      <c r="I118" s="38"/>
      <c r="J118" s="38"/>
      <c r="K118" s="38"/>
      <c r="L118" s="38"/>
      <c r="M118" s="38"/>
      <c r="N118" s="38"/>
      <c r="O118" s="38"/>
      <c r="P118" s="38"/>
      <c r="Q118" s="38"/>
      <c r="R118" s="24">
        <v>0.0</v>
      </c>
      <c r="S118" s="739">
        <v>2005.0</v>
      </c>
      <c r="T118" s="740">
        <v>388.1</v>
      </c>
      <c r="U118" s="38"/>
      <c r="V118" s="741">
        <v>0.0</v>
      </c>
      <c r="W118" s="252">
        <f t="shared" si="31"/>
        <v>0</v>
      </c>
      <c r="X118" s="252">
        <f t="shared" ref="X118:BB118" si="94">IF(AND(X$54-$A118&gt;$V$38,SUM($W118:W118)&lt;&gt;$V118),$V118,0)</f>
        <v>0</v>
      </c>
      <c r="Y118" s="252">
        <f t="shared" si="94"/>
        <v>0</v>
      </c>
      <c r="Z118" s="252">
        <f t="shared" si="94"/>
        <v>0</v>
      </c>
      <c r="AA118" s="252">
        <f t="shared" si="94"/>
        <v>0</v>
      </c>
      <c r="AB118" s="252">
        <f t="shared" si="94"/>
        <v>0</v>
      </c>
      <c r="AC118" s="252">
        <f t="shared" si="94"/>
        <v>0</v>
      </c>
      <c r="AD118" s="252">
        <f t="shared" si="94"/>
        <v>0</v>
      </c>
      <c r="AE118" s="252">
        <f t="shared" si="94"/>
        <v>0</v>
      </c>
      <c r="AF118" s="252">
        <f t="shared" si="94"/>
        <v>0</v>
      </c>
      <c r="AG118" s="252">
        <f t="shared" si="94"/>
        <v>0</v>
      </c>
      <c r="AH118" s="252">
        <f t="shared" si="94"/>
        <v>0</v>
      </c>
      <c r="AI118" s="252">
        <f t="shared" si="94"/>
        <v>0</v>
      </c>
      <c r="AJ118" s="252">
        <f t="shared" si="94"/>
        <v>0</v>
      </c>
      <c r="AK118" s="252">
        <f t="shared" si="94"/>
        <v>0</v>
      </c>
      <c r="AL118" s="252">
        <f t="shared" si="94"/>
        <v>0</v>
      </c>
      <c r="AM118" s="252">
        <f t="shared" si="94"/>
        <v>0</v>
      </c>
      <c r="AN118" s="252">
        <f t="shared" si="94"/>
        <v>0</v>
      </c>
      <c r="AO118" s="252">
        <f t="shared" si="94"/>
        <v>0</v>
      </c>
      <c r="AP118" s="252">
        <f t="shared" si="94"/>
        <v>0</v>
      </c>
      <c r="AQ118" s="252">
        <f t="shared" si="94"/>
        <v>0</v>
      </c>
      <c r="AR118" s="252">
        <f t="shared" si="94"/>
        <v>0</v>
      </c>
      <c r="AS118" s="252">
        <f t="shared" si="94"/>
        <v>0</v>
      </c>
      <c r="AT118" s="252">
        <f t="shared" si="94"/>
        <v>0</v>
      </c>
      <c r="AU118" s="252">
        <f t="shared" si="94"/>
        <v>0</v>
      </c>
      <c r="AV118" s="252">
        <f t="shared" si="94"/>
        <v>0</v>
      </c>
      <c r="AW118" s="252">
        <f t="shared" si="94"/>
        <v>0</v>
      </c>
      <c r="AX118" s="252">
        <f t="shared" si="94"/>
        <v>0</v>
      </c>
      <c r="AY118" s="252">
        <f t="shared" si="94"/>
        <v>0</v>
      </c>
      <c r="AZ118" s="252">
        <f t="shared" si="94"/>
        <v>0</v>
      </c>
      <c r="BA118" s="252">
        <f t="shared" si="94"/>
        <v>0</v>
      </c>
      <c r="BB118" s="252">
        <f t="shared" si="94"/>
        <v>0</v>
      </c>
    </row>
    <row r="119" ht="15.75" customHeight="1">
      <c r="A119" s="738">
        <v>1994.0</v>
      </c>
      <c r="B119" s="38"/>
      <c r="C119" s="38"/>
      <c r="D119" s="38"/>
      <c r="E119" s="38"/>
      <c r="F119" s="38"/>
      <c r="G119" s="38"/>
      <c r="H119" s="38"/>
      <c r="I119" s="38"/>
      <c r="J119" s="38"/>
      <c r="K119" s="38"/>
      <c r="L119" s="38"/>
      <c r="M119" s="38"/>
      <c r="N119" s="38"/>
      <c r="O119" s="38"/>
      <c r="P119" s="38"/>
      <c r="Q119" s="38"/>
      <c r="R119" s="24">
        <v>0.0</v>
      </c>
      <c r="S119" s="739">
        <v>2006.0</v>
      </c>
      <c r="T119" s="740">
        <v>524.0</v>
      </c>
      <c r="U119" s="38"/>
      <c r="V119" s="741">
        <v>34.6</v>
      </c>
      <c r="W119" s="252">
        <f t="shared" si="31"/>
        <v>0</v>
      </c>
      <c r="X119" s="252">
        <f t="shared" ref="X119:BB119" si="95">IF(AND(X$54-$A119&gt;$V$38,SUM($W119:W119)&lt;&gt;$V119),$V119,0)</f>
        <v>0</v>
      </c>
      <c r="Y119" s="252">
        <f t="shared" si="95"/>
        <v>0</v>
      </c>
      <c r="Z119" s="252">
        <f t="shared" si="95"/>
        <v>0</v>
      </c>
      <c r="AA119" s="252">
        <f t="shared" si="95"/>
        <v>0</v>
      </c>
      <c r="AB119" s="252">
        <f t="shared" si="95"/>
        <v>0</v>
      </c>
      <c r="AC119" s="252">
        <f t="shared" si="95"/>
        <v>0</v>
      </c>
      <c r="AD119" s="252">
        <f t="shared" si="95"/>
        <v>0</v>
      </c>
      <c r="AE119" s="252">
        <f t="shared" si="95"/>
        <v>0</v>
      </c>
      <c r="AF119" s="252">
        <f t="shared" si="95"/>
        <v>0</v>
      </c>
      <c r="AG119" s="252">
        <f t="shared" si="95"/>
        <v>0</v>
      </c>
      <c r="AH119" s="252">
        <f t="shared" si="95"/>
        <v>0</v>
      </c>
      <c r="AI119" s="252">
        <f t="shared" si="95"/>
        <v>0</v>
      </c>
      <c r="AJ119" s="252">
        <f t="shared" si="95"/>
        <v>0</v>
      </c>
      <c r="AK119" s="252">
        <f t="shared" si="95"/>
        <v>0</v>
      </c>
      <c r="AL119" s="252">
        <f t="shared" si="95"/>
        <v>0</v>
      </c>
      <c r="AM119" s="252">
        <f t="shared" si="95"/>
        <v>0</v>
      </c>
      <c r="AN119" s="252">
        <f t="shared" si="95"/>
        <v>0</v>
      </c>
      <c r="AO119" s="252">
        <f t="shared" si="95"/>
        <v>0</v>
      </c>
      <c r="AP119" s="252">
        <f t="shared" si="95"/>
        <v>0</v>
      </c>
      <c r="AQ119" s="252">
        <f t="shared" si="95"/>
        <v>0</v>
      </c>
      <c r="AR119" s="252">
        <f t="shared" si="95"/>
        <v>0</v>
      </c>
      <c r="AS119" s="252">
        <f t="shared" si="95"/>
        <v>0</v>
      </c>
      <c r="AT119" s="252">
        <f t="shared" si="95"/>
        <v>0</v>
      </c>
      <c r="AU119" s="252">
        <f t="shared" si="95"/>
        <v>0</v>
      </c>
      <c r="AV119" s="252">
        <f t="shared" si="95"/>
        <v>34.6</v>
      </c>
      <c r="AW119" s="252">
        <f t="shared" si="95"/>
        <v>0</v>
      </c>
      <c r="AX119" s="252">
        <f t="shared" si="95"/>
        <v>0</v>
      </c>
      <c r="AY119" s="252">
        <f t="shared" si="95"/>
        <v>0</v>
      </c>
      <c r="AZ119" s="252">
        <f t="shared" si="95"/>
        <v>0</v>
      </c>
      <c r="BA119" s="252">
        <f t="shared" si="95"/>
        <v>0</v>
      </c>
      <c r="BB119" s="252">
        <f t="shared" si="95"/>
        <v>0</v>
      </c>
    </row>
    <row r="120" ht="15.75" customHeight="1">
      <c r="A120" s="738">
        <v>1995.0</v>
      </c>
      <c r="B120" s="38"/>
      <c r="C120" s="38"/>
      <c r="D120" s="38"/>
      <c r="E120" s="38"/>
      <c r="F120" s="38"/>
      <c r="G120" s="38"/>
      <c r="H120" s="38"/>
      <c r="I120" s="38"/>
      <c r="J120" s="38"/>
      <c r="K120" s="38"/>
      <c r="L120" s="38"/>
      <c r="M120" s="38"/>
      <c r="N120" s="38"/>
      <c r="O120" s="38"/>
      <c r="P120" s="38"/>
      <c r="Q120" s="38"/>
      <c r="R120" s="24">
        <v>0.0</v>
      </c>
      <c r="S120" s="739">
        <v>2007.0</v>
      </c>
      <c r="T120" s="740">
        <v>1413.6</v>
      </c>
      <c r="U120" s="38"/>
      <c r="V120" s="741">
        <v>590.9</v>
      </c>
      <c r="W120" s="252">
        <f t="shared" si="31"/>
        <v>0</v>
      </c>
      <c r="X120" s="252">
        <f t="shared" ref="X120:BB120" si="96">IF(AND(X$54-$A120&gt;$V$38,SUM($W120:W120)&lt;&gt;$V120),$V120,0)</f>
        <v>0</v>
      </c>
      <c r="Y120" s="252">
        <f t="shared" si="96"/>
        <v>0</v>
      </c>
      <c r="Z120" s="252">
        <f t="shared" si="96"/>
        <v>0</v>
      </c>
      <c r="AA120" s="252">
        <f t="shared" si="96"/>
        <v>0</v>
      </c>
      <c r="AB120" s="252">
        <f t="shared" si="96"/>
        <v>0</v>
      </c>
      <c r="AC120" s="252">
        <f t="shared" si="96"/>
        <v>0</v>
      </c>
      <c r="AD120" s="252">
        <f t="shared" si="96"/>
        <v>0</v>
      </c>
      <c r="AE120" s="252">
        <f t="shared" si="96"/>
        <v>0</v>
      </c>
      <c r="AF120" s="252">
        <f t="shared" si="96"/>
        <v>0</v>
      </c>
      <c r="AG120" s="252">
        <f t="shared" si="96"/>
        <v>0</v>
      </c>
      <c r="AH120" s="252">
        <f t="shared" si="96"/>
        <v>0</v>
      </c>
      <c r="AI120" s="252">
        <f t="shared" si="96"/>
        <v>0</v>
      </c>
      <c r="AJ120" s="252">
        <f t="shared" si="96"/>
        <v>0</v>
      </c>
      <c r="AK120" s="252">
        <f t="shared" si="96"/>
        <v>0</v>
      </c>
      <c r="AL120" s="252">
        <f t="shared" si="96"/>
        <v>0</v>
      </c>
      <c r="AM120" s="252">
        <f t="shared" si="96"/>
        <v>0</v>
      </c>
      <c r="AN120" s="252">
        <f t="shared" si="96"/>
        <v>0</v>
      </c>
      <c r="AO120" s="252">
        <f t="shared" si="96"/>
        <v>0</v>
      </c>
      <c r="AP120" s="252">
        <f t="shared" si="96"/>
        <v>0</v>
      </c>
      <c r="AQ120" s="252">
        <f t="shared" si="96"/>
        <v>0</v>
      </c>
      <c r="AR120" s="252">
        <f t="shared" si="96"/>
        <v>0</v>
      </c>
      <c r="AS120" s="252">
        <f t="shared" si="96"/>
        <v>0</v>
      </c>
      <c r="AT120" s="252">
        <f t="shared" si="96"/>
        <v>0</v>
      </c>
      <c r="AU120" s="252">
        <f t="shared" si="96"/>
        <v>0</v>
      </c>
      <c r="AV120" s="252">
        <f t="shared" si="96"/>
        <v>0</v>
      </c>
      <c r="AW120" s="252">
        <f t="shared" si="96"/>
        <v>590.9</v>
      </c>
      <c r="AX120" s="252">
        <f t="shared" si="96"/>
        <v>0</v>
      </c>
      <c r="AY120" s="252">
        <f t="shared" si="96"/>
        <v>0</v>
      </c>
      <c r="AZ120" s="252">
        <f t="shared" si="96"/>
        <v>0</v>
      </c>
      <c r="BA120" s="252">
        <f t="shared" si="96"/>
        <v>0</v>
      </c>
      <c r="BB120" s="252">
        <f t="shared" si="96"/>
        <v>0</v>
      </c>
    </row>
    <row r="121" ht="15.75" customHeight="1">
      <c r="A121" s="738">
        <v>1996.0</v>
      </c>
      <c r="B121" s="38"/>
      <c r="C121" s="38"/>
      <c r="D121" s="38"/>
      <c r="E121" s="38"/>
      <c r="F121" s="38"/>
      <c r="G121" s="38"/>
      <c r="H121" s="38"/>
      <c r="I121" s="38"/>
      <c r="J121" s="38"/>
      <c r="K121" s="38"/>
      <c r="L121" s="38"/>
      <c r="M121" s="38"/>
      <c r="N121" s="38"/>
      <c r="O121" s="38"/>
      <c r="P121" s="38"/>
      <c r="Q121" s="38"/>
      <c r="R121" s="24">
        <v>0.0</v>
      </c>
      <c r="S121" s="739">
        <v>2008.0</v>
      </c>
      <c r="T121" s="740">
        <v>1456.8</v>
      </c>
      <c r="U121" s="38"/>
      <c r="V121" s="741">
        <v>417.3</v>
      </c>
      <c r="W121" s="252">
        <f t="shared" si="31"/>
        <v>0</v>
      </c>
      <c r="X121" s="252">
        <f t="shared" ref="X121:BB121" si="97">IF(AND(X$54-$A121&gt;$V$38,SUM($W121:W121)&lt;&gt;$V121),$V121,0)</f>
        <v>0</v>
      </c>
      <c r="Y121" s="252">
        <f t="shared" si="97"/>
        <v>0</v>
      </c>
      <c r="Z121" s="252">
        <f t="shared" si="97"/>
        <v>0</v>
      </c>
      <c r="AA121" s="252">
        <f t="shared" si="97"/>
        <v>0</v>
      </c>
      <c r="AB121" s="252">
        <f t="shared" si="97"/>
        <v>0</v>
      </c>
      <c r="AC121" s="252">
        <f t="shared" si="97"/>
        <v>0</v>
      </c>
      <c r="AD121" s="252">
        <f t="shared" si="97"/>
        <v>0</v>
      </c>
      <c r="AE121" s="252">
        <f t="shared" si="97"/>
        <v>0</v>
      </c>
      <c r="AF121" s="252">
        <f t="shared" si="97"/>
        <v>0</v>
      </c>
      <c r="AG121" s="252">
        <f t="shared" si="97"/>
        <v>0</v>
      </c>
      <c r="AH121" s="252">
        <f t="shared" si="97"/>
        <v>0</v>
      </c>
      <c r="AI121" s="252">
        <f t="shared" si="97"/>
        <v>0</v>
      </c>
      <c r="AJ121" s="252">
        <f t="shared" si="97"/>
        <v>0</v>
      </c>
      <c r="AK121" s="252">
        <f t="shared" si="97"/>
        <v>0</v>
      </c>
      <c r="AL121" s="252">
        <f t="shared" si="97"/>
        <v>0</v>
      </c>
      <c r="AM121" s="252">
        <f t="shared" si="97"/>
        <v>0</v>
      </c>
      <c r="AN121" s="252">
        <f t="shared" si="97"/>
        <v>0</v>
      </c>
      <c r="AO121" s="252">
        <f t="shared" si="97"/>
        <v>0</v>
      </c>
      <c r="AP121" s="252">
        <f t="shared" si="97"/>
        <v>0</v>
      </c>
      <c r="AQ121" s="252">
        <f t="shared" si="97"/>
        <v>0</v>
      </c>
      <c r="AR121" s="252">
        <f t="shared" si="97"/>
        <v>0</v>
      </c>
      <c r="AS121" s="252">
        <f t="shared" si="97"/>
        <v>0</v>
      </c>
      <c r="AT121" s="252">
        <f t="shared" si="97"/>
        <v>0</v>
      </c>
      <c r="AU121" s="252">
        <f t="shared" si="97"/>
        <v>0</v>
      </c>
      <c r="AV121" s="252">
        <f t="shared" si="97"/>
        <v>0</v>
      </c>
      <c r="AW121" s="252">
        <f t="shared" si="97"/>
        <v>0</v>
      </c>
      <c r="AX121" s="252">
        <f t="shared" si="97"/>
        <v>417.3</v>
      </c>
      <c r="AY121" s="252">
        <f t="shared" si="97"/>
        <v>0</v>
      </c>
      <c r="AZ121" s="252">
        <f t="shared" si="97"/>
        <v>0</v>
      </c>
      <c r="BA121" s="252">
        <f t="shared" si="97"/>
        <v>0</v>
      </c>
      <c r="BB121" s="252">
        <f t="shared" si="97"/>
        <v>0</v>
      </c>
    </row>
    <row r="122" ht="15.75" customHeight="1">
      <c r="A122" s="738">
        <v>1997.0</v>
      </c>
      <c r="B122" s="38"/>
      <c r="C122" s="38"/>
      <c r="D122" s="38"/>
      <c r="E122" s="38"/>
      <c r="F122" s="38"/>
      <c r="G122" s="38"/>
      <c r="H122" s="38"/>
      <c r="I122" s="38"/>
      <c r="J122" s="38"/>
      <c r="K122" s="38"/>
      <c r="L122" s="38"/>
      <c r="M122" s="38"/>
      <c r="N122" s="38"/>
      <c r="O122" s="38"/>
      <c r="P122" s="38"/>
      <c r="Q122" s="38"/>
      <c r="R122" s="24">
        <v>0.0</v>
      </c>
      <c r="S122" s="739">
        <v>2009.0</v>
      </c>
      <c r="T122" s="740">
        <v>1735.2</v>
      </c>
      <c r="U122" s="38"/>
      <c r="V122" s="741">
        <v>0.0</v>
      </c>
      <c r="W122" s="252">
        <f t="shared" si="31"/>
        <v>0</v>
      </c>
      <c r="X122" s="252">
        <f t="shared" ref="X122:BB122" si="98">IF(AND(X$54-$A122&gt;$V$38,SUM($W122:W122)&lt;&gt;$V122),$V122,0)</f>
        <v>0</v>
      </c>
      <c r="Y122" s="252">
        <f t="shared" si="98"/>
        <v>0</v>
      </c>
      <c r="Z122" s="252">
        <f t="shared" si="98"/>
        <v>0</v>
      </c>
      <c r="AA122" s="252">
        <f t="shared" si="98"/>
        <v>0</v>
      </c>
      <c r="AB122" s="252">
        <f t="shared" si="98"/>
        <v>0</v>
      </c>
      <c r="AC122" s="252">
        <f t="shared" si="98"/>
        <v>0</v>
      </c>
      <c r="AD122" s="252">
        <f t="shared" si="98"/>
        <v>0</v>
      </c>
      <c r="AE122" s="252">
        <f t="shared" si="98"/>
        <v>0</v>
      </c>
      <c r="AF122" s="252">
        <f t="shared" si="98"/>
        <v>0</v>
      </c>
      <c r="AG122" s="252">
        <f t="shared" si="98"/>
        <v>0</v>
      </c>
      <c r="AH122" s="252">
        <f t="shared" si="98"/>
        <v>0</v>
      </c>
      <c r="AI122" s="252">
        <f t="shared" si="98"/>
        <v>0</v>
      </c>
      <c r="AJ122" s="252">
        <f t="shared" si="98"/>
        <v>0</v>
      </c>
      <c r="AK122" s="252">
        <f t="shared" si="98"/>
        <v>0</v>
      </c>
      <c r="AL122" s="252">
        <f t="shared" si="98"/>
        <v>0</v>
      </c>
      <c r="AM122" s="252">
        <f t="shared" si="98"/>
        <v>0</v>
      </c>
      <c r="AN122" s="252">
        <f t="shared" si="98"/>
        <v>0</v>
      </c>
      <c r="AO122" s="252">
        <f t="shared" si="98"/>
        <v>0</v>
      </c>
      <c r="AP122" s="252">
        <f t="shared" si="98"/>
        <v>0</v>
      </c>
      <c r="AQ122" s="252">
        <f t="shared" si="98"/>
        <v>0</v>
      </c>
      <c r="AR122" s="252">
        <f t="shared" si="98"/>
        <v>0</v>
      </c>
      <c r="AS122" s="252">
        <f t="shared" si="98"/>
        <v>0</v>
      </c>
      <c r="AT122" s="252">
        <f t="shared" si="98"/>
        <v>0</v>
      </c>
      <c r="AU122" s="252">
        <f t="shared" si="98"/>
        <v>0</v>
      </c>
      <c r="AV122" s="252">
        <f t="shared" si="98"/>
        <v>0</v>
      </c>
      <c r="AW122" s="252">
        <f t="shared" si="98"/>
        <v>0</v>
      </c>
      <c r="AX122" s="252">
        <f t="shared" si="98"/>
        <v>0</v>
      </c>
      <c r="AY122" s="252">
        <f t="shared" si="98"/>
        <v>0</v>
      </c>
      <c r="AZ122" s="252">
        <f t="shared" si="98"/>
        <v>0</v>
      </c>
      <c r="BA122" s="252">
        <f t="shared" si="98"/>
        <v>0</v>
      </c>
      <c r="BB122" s="252">
        <f t="shared" si="98"/>
        <v>0</v>
      </c>
    </row>
    <row r="123" ht="15.75" customHeight="1">
      <c r="A123" s="738">
        <v>1998.0</v>
      </c>
      <c r="B123" s="38"/>
      <c r="C123" s="38"/>
      <c r="D123" s="38"/>
      <c r="E123" s="38"/>
      <c r="F123" s="38"/>
      <c r="G123" s="38"/>
      <c r="H123" s="38"/>
      <c r="I123" s="38"/>
      <c r="J123" s="38"/>
      <c r="K123" s="38"/>
      <c r="L123" s="38"/>
      <c r="M123" s="38"/>
      <c r="N123" s="38"/>
      <c r="O123" s="38"/>
      <c r="P123" s="38"/>
      <c r="Q123" s="38"/>
      <c r="R123" s="24">
        <v>0.0</v>
      </c>
      <c r="S123" s="739">
        <v>2010.0</v>
      </c>
      <c r="T123" s="740">
        <v>4721.5</v>
      </c>
      <c r="U123" s="38"/>
      <c r="V123" s="741">
        <v>0.0</v>
      </c>
      <c r="W123" s="252">
        <f t="shared" si="31"/>
        <v>0</v>
      </c>
      <c r="X123" s="252">
        <f t="shared" ref="X123:BB123" si="99">IF(AND(X$54-$A123&gt;$V$38,SUM($W123:W123)&lt;&gt;$V123),$V123,0)</f>
        <v>0</v>
      </c>
      <c r="Y123" s="252">
        <f t="shared" si="99"/>
        <v>0</v>
      </c>
      <c r="Z123" s="252">
        <f t="shared" si="99"/>
        <v>0</v>
      </c>
      <c r="AA123" s="252">
        <f t="shared" si="99"/>
        <v>0</v>
      </c>
      <c r="AB123" s="252">
        <f t="shared" si="99"/>
        <v>0</v>
      </c>
      <c r="AC123" s="252">
        <f t="shared" si="99"/>
        <v>0</v>
      </c>
      <c r="AD123" s="252">
        <f t="shared" si="99"/>
        <v>0</v>
      </c>
      <c r="AE123" s="252">
        <f t="shared" si="99"/>
        <v>0</v>
      </c>
      <c r="AF123" s="252">
        <f t="shared" si="99"/>
        <v>0</v>
      </c>
      <c r="AG123" s="252">
        <f t="shared" si="99"/>
        <v>0</v>
      </c>
      <c r="AH123" s="252">
        <f t="shared" si="99"/>
        <v>0</v>
      </c>
      <c r="AI123" s="252">
        <f t="shared" si="99"/>
        <v>0</v>
      </c>
      <c r="AJ123" s="252">
        <f t="shared" si="99"/>
        <v>0</v>
      </c>
      <c r="AK123" s="252">
        <f t="shared" si="99"/>
        <v>0</v>
      </c>
      <c r="AL123" s="252">
        <f t="shared" si="99"/>
        <v>0</v>
      </c>
      <c r="AM123" s="252">
        <f t="shared" si="99"/>
        <v>0</v>
      </c>
      <c r="AN123" s="252">
        <f t="shared" si="99"/>
        <v>0</v>
      </c>
      <c r="AO123" s="252">
        <f t="shared" si="99"/>
        <v>0</v>
      </c>
      <c r="AP123" s="252">
        <f t="shared" si="99"/>
        <v>0</v>
      </c>
      <c r="AQ123" s="252">
        <f t="shared" si="99"/>
        <v>0</v>
      </c>
      <c r="AR123" s="252">
        <f t="shared" si="99"/>
        <v>0</v>
      </c>
      <c r="AS123" s="252">
        <f t="shared" si="99"/>
        <v>0</v>
      </c>
      <c r="AT123" s="252">
        <f t="shared" si="99"/>
        <v>0</v>
      </c>
      <c r="AU123" s="252">
        <f t="shared" si="99"/>
        <v>0</v>
      </c>
      <c r="AV123" s="252">
        <f t="shared" si="99"/>
        <v>0</v>
      </c>
      <c r="AW123" s="252">
        <f t="shared" si="99"/>
        <v>0</v>
      </c>
      <c r="AX123" s="252">
        <f t="shared" si="99"/>
        <v>0</v>
      </c>
      <c r="AY123" s="252">
        <f t="shared" si="99"/>
        <v>0</v>
      </c>
      <c r="AZ123" s="252">
        <f t="shared" si="99"/>
        <v>0</v>
      </c>
      <c r="BA123" s="252">
        <f t="shared" si="99"/>
        <v>0</v>
      </c>
      <c r="BB123" s="252">
        <f t="shared" si="99"/>
        <v>0</v>
      </c>
    </row>
    <row r="124" ht="15.75" customHeight="1">
      <c r="A124" s="738">
        <v>1999.0</v>
      </c>
      <c r="B124" s="38"/>
      <c r="C124" s="38"/>
      <c r="D124" s="38"/>
      <c r="E124" s="38"/>
      <c r="F124" s="38"/>
      <c r="G124" s="38"/>
      <c r="H124" s="38"/>
      <c r="I124" s="38"/>
      <c r="J124" s="38"/>
      <c r="K124" s="38"/>
      <c r="L124" s="38"/>
      <c r="M124" s="38"/>
      <c r="N124" s="38"/>
      <c r="O124" s="38"/>
      <c r="P124" s="38"/>
      <c r="Q124" s="38"/>
      <c r="R124" s="24">
        <v>0.0</v>
      </c>
      <c r="S124" s="739">
        <v>2011.0</v>
      </c>
      <c r="T124" s="740">
        <v>3778.0</v>
      </c>
      <c r="U124" s="38"/>
      <c r="V124" s="741">
        <v>0.0</v>
      </c>
      <c r="W124" s="252">
        <f t="shared" si="31"/>
        <v>0</v>
      </c>
      <c r="X124" s="252">
        <f t="shared" ref="X124:BB124" si="100">IF(AND(X$54-$A124&gt;$V$38,SUM($W124:W124)&lt;&gt;$V124),$V124,0)</f>
        <v>0</v>
      </c>
      <c r="Y124" s="252">
        <f t="shared" si="100"/>
        <v>0</v>
      </c>
      <c r="Z124" s="252">
        <f t="shared" si="100"/>
        <v>0</v>
      </c>
      <c r="AA124" s="252">
        <f t="shared" si="100"/>
        <v>0</v>
      </c>
      <c r="AB124" s="252">
        <f t="shared" si="100"/>
        <v>0</v>
      </c>
      <c r="AC124" s="252">
        <f t="shared" si="100"/>
        <v>0</v>
      </c>
      <c r="AD124" s="252">
        <f t="shared" si="100"/>
        <v>0</v>
      </c>
      <c r="AE124" s="252">
        <f t="shared" si="100"/>
        <v>0</v>
      </c>
      <c r="AF124" s="252">
        <f t="shared" si="100"/>
        <v>0</v>
      </c>
      <c r="AG124" s="252">
        <f t="shared" si="100"/>
        <v>0</v>
      </c>
      <c r="AH124" s="252">
        <f t="shared" si="100"/>
        <v>0</v>
      </c>
      <c r="AI124" s="252">
        <f t="shared" si="100"/>
        <v>0</v>
      </c>
      <c r="AJ124" s="252">
        <f t="shared" si="100"/>
        <v>0</v>
      </c>
      <c r="AK124" s="252">
        <f t="shared" si="100"/>
        <v>0</v>
      </c>
      <c r="AL124" s="252">
        <f t="shared" si="100"/>
        <v>0</v>
      </c>
      <c r="AM124" s="252">
        <f t="shared" si="100"/>
        <v>0</v>
      </c>
      <c r="AN124" s="252">
        <f t="shared" si="100"/>
        <v>0</v>
      </c>
      <c r="AO124" s="252">
        <f t="shared" si="100"/>
        <v>0</v>
      </c>
      <c r="AP124" s="252">
        <f t="shared" si="100"/>
        <v>0</v>
      </c>
      <c r="AQ124" s="252">
        <f t="shared" si="100"/>
        <v>0</v>
      </c>
      <c r="AR124" s="252">
        <f t="shared" si="100"/>
        <v>0</v>
      </c>
      <c r="AS124" s="252">
        <f t="shared" si="100"/>
        <v>0</v>
      </c>
      <c r="AT124" s="252">
        <f t="shared" si="100"/>
        <v>0</v>
      </c>
      <c r="AU124" s="252">
        <f t="shared" si="100"/>
        <v>0</v>
      </c>
      <c r="AV124" s="252">
        <f t="shared" si="100"/>
        <v>0</v>
      </c>
      <c r="AW124" s="252">
        <f t="shared" si="100"/>
        <v>0</v>
      </c>
      <c r="AX124" s="252">
        <f t="shared" si="100"/>
        <v>0</v>
      </c>
      <c r="AY124" s="252">
        <f t="shared" si="100"/>
        <v>0</v>
      </c>
      <c r="AZ124" s="252">
        <f t="shared" si="100"/>
        <v>0</v>
      </c>
      <c r="BA124" s="252">
        <f t="shared" si="100"/>
        <v>0</v>
      </c>
      <c r="BB124" s="252">
        <f t="shared" si="100"/>
        <v>0</v>
      </c>
    </row>
    <row r="125" ht="15.75" customHeight="1">
      <c r="A125" s="738">
        <v>2000.0</v>
      </c>
      <c r="B125" s="38"/>
      <c r="C125" s="38"/>
      <c r="D125" s="38"/>
      <c r="E125" s="38"/>
      <c r="F125" s="38"/>
      <c r="G125" s="38"/>
      <c r="H125" s="38"/>
      <c r="I125" s="38"/>
      <c r="J125" s="38"/>
      <c r="K125" s="38"/>
      <c r="L125" s="38"/>
      <c r="M125" s="38"/>
      <c r="N125" s="38"/>
      <c r="O125" s="38"/>
      <c r="P125" s="38"/>
      <c r="Q125" s="38"/>
      <c r="R125" s="24">
        <v>0.0</v>
      </c>
      <c r="S125" s="739">
        <v>2012.0</v>
      </c>
      <c r="T125" s="740">
        <v>3690.0</v>
      </c>
      <c r="U125" s="38"/>
      <c r="V125" s="741">
        <v>0.0</v>
      </c>
      <c r="W125" s="252">
        <f t="shared" si="31"/>
        <v>0</v>
      </c>
      <c r="X125" s="252">
        <f t="shared" ref="X125:BB125" si="101">IF(AND(X$54-$A125&gt;$V$38,SUM($W125:W125)&lt;&gt;$V125),$V125,0)</f>
        <v>0</v>
      </c>
      <c r="Y125" s="252">
        <f t="shared" si="101"/>
        <v>0</v>
      </c>
      <c r="Z125" s="252">
        <f t="shared" si="101"/>
        <v>0</v>
      </c>
      <c r="AA125" s="252">
        <f t="shared" si="101"/>
        <v>0</v>
      </c>
      <c r="AB125" s="252">
        <f t="shared" si="101"/>
        <v>0</v>
      </c>
      <c r="AC125" s="252">
        <f t="shared" si="101"/>
        <v>0</v>
      </c>
      <c r="AD125" s="252">
        <f t="shared" si="101"/>
        <v>0</v>
      </c>
      <c r="AE125" s="252">
        <f t="shared" si="101"/>
        <v>0</v>
      </c>
      <c r="AF125" s="252">
        <f t="shared" si="101"/>
        <v>0</v>
      </c>
      <c r="AG125" s="252">
        <f t="shared" si="101"/>
        <v>0</v>
      </c>
      <c r="AH125" s="252">
        <f t="shared" si="101"/>
        <v>0</v>
      </c>
      <c r="AI125" s="252">
        <f t="shared" si="101"/>
        <v>0</v>
      </c>
      <c r="AJ125" s="252">
        <f t="shared" si="101"/>
        <v>0</v>
      </c>
      <c r="AK125" s="252">
        <f t="shared" si="101"/>
        <v>0</v>
      </c>
      <c r="AL125" s="252">
        <f t="shared" si="101"/>
        <v>0</v>
      </c>
      <c r="AM125" s="252">
        <f t="shared" si="101"/>
        <v>0</v>
      </c>
      <c r="AN125" s="252">
        <f t="shared" si="101"/>
        <v>0</v>
      </c>
      <c r="AO125" s="252">
        <f t="shared" si="101"/>
        <v>0</v>
      </c>
      <c r="AP125" s="252">
        <f t="shared" si="101"/>
        <v>0</v>
      </c>
      <c r="AQ125" s="252">
        <f t="shared" si="101"/>
        <v>0</v>
      </c>
      <c r="AR125" s="252">
        <f t="shared" si="101"/>
        <v>0</v>
      </c>
      <c r="AS125" s="252">
        <f t="shared" si="101"/>
        <v>0</v>
      </c>
      <c r="AT125" s="252">
        <f t="shared" si="101"/>
        <v>0</v>
      </c>
      <c r="AU125" s="252">
        <f t="shared" si="101"/>
        <v>0</v>
      </c>
      <c r="AV125" s="252">
        <f t="shared" si="101"/>
        <v>0</v>
      </c>
      <c r="AW125" s="252">
        <f t="shared" si="101"/>
        <v>0</v>
      </c>
      <c r="AX125" s="252">
        <f t="shared" si="101"/>
        <v>0</v>
      </c>
      <c r="AY125" s="252">
        <f t="shared" si="101"/>
        <v>0</v>
      </c>
      <c r="AZ125" s="252">
        <f t="shared" si="101"/>
        <v>0</v>
      </c>
      <c r="BA125" s="252">
        <f t="shared" si="101"/>
        <v>0</v>
      </c>
      <c r="BB125" s="252">
        <f t="shared" si="101"/>
        <v>0</v>
      </c>
    </row>
    <row r="126" ht="15.75" customHeight="1">
      <c r="A126" s="738">
        <v>2001.0</v>
      </c>
      <c r="B126" s="38"/>
      <c r="C126" s="38"/>
      <c r="D126" s="38"/>
      <c r="E126" s="38"/>
      <c r="F126" s="38"/>
      <c r="G126" s="38"/>
      <c r="H126" s="38"/>
      <c r="I126" s="38"/>
      <c r="J126" s="38"/>
      <c r="K126" s="38"/>
      <c r="L126" s="38"/>
      <c r="M126" s="38"/>
      <c r="N126" s="38"/>
      <c r="O126" s="38"/>
      <c r="P126" s="38"/>
      <c r="Q126" s="38"/>
      <c r="R126" s="24">
        <v>0.0</v>
      </c>
      <c r="S126" s="739">
        <v>2013.0</v>
      </c>
      <c r="T126" s="740">
        <v>1535.0</v>
      </c>
      <c r="U126" s="38"/>
      <c r="V126" s="741">
        <v>513.7</v>
      </c>
      <c r="W126" s="252">
        <f t="shared" si="31"/>
        <v>0</v>
      </c>
      <c r="X126" s="252">
        <f t="shared" ref="X126:BB126" si="102">IF(AND(X$54-$A126&gt;$V$38,SUM($W126:W126)&lt;&gt;$V126),$V126,0)</f>
        <v>0</v>
      </c>
      <c r="Y126" s="252">
        <f t="shared" si="102"/>
        <v>0</v>
      </c>
      <c r="Z126" s="252">
        <f t="shared" si="102"/>
        <v>0</v>
      </c>
      <c r="AA126" s="252">
        <f t="shared" si="102"/>
        <v>0</v>
      </c>
      <c r="AB126" s="252">
        <f t="shared" si="102"/>
        <v>0</v>
      </c>
      <c r="AC126" s="252">
        <f t="shared" si="102"/>
        <v>0</v>
      </c>
      <c r="AD126" s="252">
        <f t="shared" si="102"/>
        <v>0</v>
      </c>
      <c r="AE126" s="252">
        <f t="shared" si="102"/>
        <v>0</v>
      </c>
      <c r="AF126" s="252">
        <f t="shared" si="102"/>
        <v>0</v>
      </c>
      <c r="AG126" s="252">
        <f t="shared" si="102"/>
        <v>0</v>
      </c>
      <c r="AH126" s="252">
        <f t="shared" si="102"/>
        <v>0</v>
      </c>
      <c r="AI126" s="252">
        <f t="shared" si="102"/>
        <v>0</v>
      </c>
      <c r="AJ126" s="252">
        <f t="shared" si="102"/>
        <v>0</v>
      </c>
      <c r="AK126" s="252">
        <f t="shared" si="102"/>
        <v>0</v>
      </c>
      <c r="AL126" s="252">
        <f t="shared" si="102"/>
        <v>0</v>
      </c>
      <c r="AM126" s="252">
        <f t="shared" si="102"/>
        <v>0</v>
      </c>
      <c r="AN126" s="252">
        <f t="shared" si="102"/>
        <v>0</v>
      </c>
      <c r="AO126" s="252">
        <f t="shared" si="102"/>
        <v>0</v>
      </c>
      <c r="AP126" s="252">
        <f t="shared" si="102"/>
        <v>0</v>
      </c>
      <c r="AQ126" s="252">
        <f t="shared" si="102"/>
        <v>0</v>
      </c>
      <c r="AR126" s="252">
        <f t="shared" si="102"/>
        <v>0</v>
      </c>
      <c r="AS126" s="252">
        <f t="shared" si="102"/>
        <v>0</v>
      </c>
      <c r="AT126" s="252">
        <f t="shared" si="102"/>
        <v>0</v>
      </c>
      <c r="AU126" s="252">
        <f t="shared" si="102"/>
        <v>0</v>
      </c>
      <c r="AV126" s="252">
        <f t="shared" si="102"/>
        <v>0</v>
      </c>
      <c r="AW126" s="252">
        <f t="shared" si="102"/>
        <v>0</v>
      </c>
      <c r="AX126" s="252">
        <f t="shared" si="102"/>
        <v>0</v>
      </c>
      <c r="AY126" s="252">
        <f t="shared" si="102"/>
        <v>0</v>
      </c>
      <c r="AZ126" s="252">
        <f t="shared" si="102"/>
        <v>0</v>
      </c>
      <c r="BA126" s="252">
        <f t="shared" si="102"/>
        <v>0</v>
      </c>
      <c r="BB126" s="252">
        <f t="shared" si="102"/>
        <v>0</v>
      </c>
    </row>
    <row r="127" ht="15.75" customHeight="1">
      <c r="A127" s="738">
        <v>2002.0</v>
      </c>
      <c r="B127" s="38"/>
      <c r="C127" s="38"/>
      <c r="D127" s="38"/>
      <c r="E127" s="38"/>
      <c r="F127" s="38"/>
      <c r="G127" s="38"/>
      <c r="H127" s="38"/>
      <c r="I127" s="38"/>
      <c r="J127" s="38"/>
      <c r="K127" s="38"/>
      <c r="L127" s="38"/>
      <c r="M127" s="38"/>
      <c r="N127" s="38"/>
      <c r="O127" s="38"/>
      <c r="P127" s="38"/>
      <c r="Q127" s="38"/>
      <c r="R127" s="24">
        <v>0.0</v>
      </c>
      <c r="S127" s="739">
        <v>2014.0</v>
      </c>
      <c r="T127" s="740">
        <v>90.0</v>
      </c>
      <c r="U127" s="38"/>
      <c r="V127" s="741">
        <v>0.0</v>
      </c>
      <c r="W127" s="252">
        <f t="shared" si="31"/>
        <v>0</v>
      </c>
      <c r="X127" s="252">
        <f t="shared" ref="X127:BB127" si="103">IF(AND(X$54-$A127&gt;$V$38,SUM($W127:W127)&lt;&gt;$V127),$V127,0)</f>
        <v>0</v>
      </c>
      <c r="Y127" s="252">
        <f t="shared" si="103"/>
        <v>0</v>
      </c>
      <c r="Z127" s="252">
        <f t="shared" si="103"/>
        <v>0</v>
      </c>
      <c r="AA127" s="252">
        <f t="shared" si="103"/>
        <v>0</v>
      </c>
      <c r="AB127" s="252">
        <f t="shared" si="103"/>
        <v>0</v>
      </c>
      <c r="AC127" s="252">
        <f t="shared" si="103"/>
        <v>0</v>
      </c>
      <c r="AD127" s="252">
        <f t="shared" si="103"/>
        <v>0</v>
      </c>
      <c r="AE127" s="252">
        <f t="shared" si="103"/>
        <v>0</v>
      </c>
      <c r="AF127" s="252">
        <f t="shared" si="103"/>
        <v>0</v>
      </c>
      <c r="AG127" s="252">
        <f t="shared" si="103"/>
        <v>0</v>
      </c>
      <c r="AH127" s="252">
        <f t="shared" si="103"/>
        <v>0</v>
      </c>
      <c r="AI127" s="252">
        <f t="shared" si="103"/>
        <v>0</v>
      </c>
      <c r="AJ127" s="252">
        <f t="shared" si="103"/>
        <v>0</v>
      </c>
      <c r="AK127" s="252">
        <f t="shared" si="103"/>
        <v>0</v>
      </c>
      <c r="AL127" s="252">
        <f t="shared" si="103"/>
        <v>0</v>
      </c>
      <c r="AM127" s="252">
        <f t="shared" si="103"/>
        <v>0</v>
      </c>
      <c r="AN127" s="252">
        <f t="shared" si="103"/>
        <v>0</v>
      </c>
      <c r="AO127" s="252">
        <f t="shared" si="103"/>
        <v>0</v>
      </c>
      <c r="AP127" s="252">
        <f t="shared" si="103"/>
        <v>0</v>
      </c>
      <c r="AQ127" s="252">
        <f t="shared" si="103"/>
        <v>0</v>
      </c>
      <c r="AR127" s="252">
        <f t="shared" si="103"/>
        <v>0</v>
      </c>
      <c r="AS127" s="252">
        <f t="shared" si="103"/>
        <v>0</v>
      </c>
      <c r="AT127" s="252">
        <f t="shared" si="103"/>
        <v>0</v>
      </c>
      <c r="AU127" s="252">
        <f t="shared" si="103"/>
        <v>0</v>
      </c>
      <c r="AV127" s="252">
        <f t="shared" si="103"/>
        <v>0</v>
      </c>
      <c r="AW127" s="252">
        <f t="shared" si="103"/>
        <v>0</v>
      </c>
      <c r="AX127" s="252">
        <f t="shared" si="103"/>
        <v>0</v>
      </c>
      <c r="AY127" s="252">
        <f t="shared" si="103"/>
        <v>0</v>
      </c>
      <c r="AZ127" s="252">
        <f t="shared" si="103"/>
        <v>0</v>
      </c>
      <c r="BA127" s="252">
        <f t="shared" si="103"/>
        <v>0</v>
      </c>
      <c r="BB127" s="252">
        <f t="shared" si="103"/>
        <v>0</v>
      </c>
    </row>
    <row r="128" ht="15.75" customHeight="1">
      <c r="A128" s="738">
        <v>2003.0</v>
      </c>
      <c r="B128" s="38"/>
      <c r="C128" s="38"/>
      <c r="D128" s="38"/>
      <c r="E128" s="38"/>
      <c r="F128" s="38"/>
      <c r="G128" s="38"/>
      <c r="H128" s="38"/>
      <c r="I128" s="38"/>
      <c r="J128" s="38"/>
      <c r="K128" s="38"/>
      <c r="L128" s="38"/>
      <c r="M128" s="38"/>
      <c r="N128" s="38"/>
      <c r="O128" s="38"/>
      <c r="P128" s="38"/>
      <c r="Q128" s="38"/>
      <c r="R128" s="24">
        <v>0.0</v>
      </c>
      <c r="S128" s="739">
        <v>2015.0</v>
      </c>
      <c r="T128" s="740">
        <v>2.2</v>
      </c>
      <c r="U128" s="38"/>
      <c r="V128" s="741">
        <v>0.0</v>
      </c>
      <c r="W128" s="252">
        <f t="shared" si="31"/>
        <v>0</v>
      </c>
      <c r="X128" s="252">
        <f t="shared" ref="X128:BB128" si="104">IF(AND(X$54-$A128&gt;$V$38,SUM($W128:W128)&lt;&gt;$V128),$V128,0)</f>
        <v>0</v>
      </c>
      <c r="Y128" s="252">
        <f t="shared" si="104"/>
        <v>0</v>
      </c>
      <c r="Z128" s="252">
        <f t="shared" si="104"/>
        <v>0</v>
      </c>
      <c r="AA128" s="252">
        <f t="shared" si="104"/>
        <v>0</v>
      </c>
      <c r="AB128" s="252">
        <f t="shared" si="104"/>
        <v>0</v>
      </c>
      <c r="AC128" s="252">
        <f t="shared" si="104"/>
        <v>0</v>
      </c>
      <c r="AD128" s="252">
        <f t="shared" si="104"/>
        <v>0</v>
      </c>
      <c r="AE128" s="252">
        <f t="shared" si="104"/>
        <v>0</v>
      </c>
      <c r="AF128" s="252">
        <f t="shared" si="104"/>
        <v>0</v>
      </c>
      <c r="AG128" s="252">
        <f t="shared" si="104"/>
        <v>0</v>
      </c>
      <c r="AH128" s="252">
        <f t="shared" si="104"/>
        <v>0</v>
      </c>
      <c r="AI128" s="252">
        <f t="shared" si="104"/>
        <v>0</v>
      </c>
      <c r="AJ128" s="252">
        <f t="shared" si="104"/>
        <v>0</v>
      </c>
      <c r="AK128" s="252">
        <f t="shared" si="104"/>
        <v>0</v>
      </c>
      <c r="AL128" s="252">
        <f t="shared" si="104"/>
        <v>0</v>
      </c>
      <c r="AM128" s="252">
        <f t="shared" si="104"/>
        <v>0</v>
      </c>
      <c r="AN128" s="252">
        <f t="shared" si="104"/>
        <v>0</v>
      </c>
      <c r="AO128" s="252">
        <f t="shared" si="104"/>
        <v>0</v>
      </c>
      <c r="AP128" s="252">
        <f t="shared" si="104"/>
        <v>0</v>
      </c>
      <c r="AQ128" s="252">
        <f t="shared" si="104"/>
        <v>0</v>
      </c>
      <c r="AR128" s="252">
        <f t="shared" si="104"/>
        <v>0</v>
      </c>
      <c r="AS128" s="252">
        <f t="shared" si="104"/>
        <v>0</v>
      </c>
      <c r="AT128" s="252">
        <f t="shared" si="104"/>
        <v>0</v>
      </c>
      <c r="AU128" s="252">
        <f t="shared" si="104"/>
        <v>0</v>
      </c>
      <c r="AV128" s="252">
        <f t="shared" si="104"/>
        <v>0</v>
      </c>
      <c r="AW128" s="252">
        <f t="shared" si="104"/>
        <v>0</v>
      </c>
      <c r="AX128" s="252">
        <f t="shared" si="104"/>
        <v>0</v>
      </c>
      <c r="AY128" s="252">
        <f t="shared" si="104"/>
        <v>0</v>
      </c>
      <c r="AZ128" s="252">
        <f t="shared" si="104"/>
        <v>0</v>
      </c>
      <c r="BA128" s="252">
        <f t="shared" si="104"/>
        <v>0</v>
      </c>
      <c r="BB128" s="252">
        <f t="shared" si="104"/>
        <v>0</v>
      </c>
    </row>
    <row r="129" ht="15.75" customHeight="1">
      <c r="A129" s="252">
        <v>2004.0</v>
      </c>
      <c r="B129" s="32"/>
      <c r="C129" s="32"/>
      <c r="D129" s="32"/>
      <c r="E129" s="32"/>
      <c r="F129" s="32"/>
      <c r="G129" s="32"/>
      <c r="H129" s="32"/>
      <c r="I129" s="32"/>
      <c r="J129" s="32"/>
      <c r="K129" s="32"/>
      <c r="L129" s="32"/>
      <c r="M129" s="32"/>
      <c r="N129" s="32"/>
      <c r="O129" s="32"/>
      <c r="P129" s="32"/>
      <c r="Q129" s="32"/>
      <c r="R129" s="24">
        <v>0.0</v>
      </c>
      <c r="S129" s="32"/>
      <c r="T129" s="32"/>
      <c r="U129" s="32"/>
      <c r="V129" s="741">
        <v>0.0</v>
      </c>
      <c r="W129" s="252">
        <f t="shared" si="31"/>
        <v>0</v>
      </c>
      <c r="X129" s="252">
        <f t="shared" ref="X129:BB129" si="105">IF(AND(X$54-$A129&gt;$V$38,SUM($W129:W129)&lt;&gt;$V129),$V129,0)</f>
        <v>0</v>
      </c>
      <c r="Y129" s="252">
        <f t="shared" si="105"/>
        <v>0</v>
      </c>
      <c r="Z129" s="252">
        <f t="shared" si="105"/>
        <v>0</v>
      </c>
      <c r="AA129" s="252">
        <f t="shared" si="105"/>
        <v>0</v>
      </c>
      <c r="AB129" s="252">
        <f t="shared" si="105"/>
        <v>0</v>
      </c>
      <c r="AC129" s="252">
        <f t="shared" si="105"/>
        <v>0</v>
      </c>
      <c r="AD129" s="252">
        <f t="shared" si="105"/>
        <v>0</v>
      </c>
      <c r="AE129" s="252">
        <f t="shared" si="105"/>
        <v>0</v>
      </c>
      <c r="AF129" s="252">
        <f t="shared" si="105"/>
        <v>0</v>
      </c>
      <c r="AG129" s="252">
        <f t="shared" si="105"/>
        <v>0</v>
      </c>
      <c r="AH129" s="252">
        <f t="shared" si="105"/>
        <v>0</v>
      </c>
      <c r="AI129" s="252">
        <f t="shared" si="105"/>
        <v>0</v>
      </c>
      <c r="AJ129" s="252">
        <f t="shared" si="105"/>
        <v>0</v>
      </c>
      <c r="AK129" s="252">
        <f t="shared" si="105"/>
        <v>0</v>
      </c>
      <c r="AL129" s="252">
        <f t="shared" si="105"/>
        <v>0</v>
      </c>
      <c r="AM129" s="252">
        <f t="shared" si="105"/>
        <v>0</v>
      </c>
      <c r="AN129" s="252">
        <f t="shared" si="105"/>
        <v>0</v>
      </c>
      <c r="AO129" s="252">
        <f t="shared" si="105"/>
        <v>0</v>
      </c>
      <c r="AP129" s="252">
        <f t="shared" si="105"/>
        <v>0</v>
      </c>
      <c r="AQ129" s="252">
        <f t="shared" si="105"/>
        <v>0</v>
      </c>
      <c r="AR129" s="252">
        <f t="shared" si="105"/>
        <v>0</v>
      </c>
      <c r="AS129" s="252">
        <f t="shared" si="105"/>
        <v>0</v>
      </c>
      <c r="AT129" s="252">
        <f t="shared" si="105"/>
        <v>0</v>
      </c>
      <c r="AU129" s="252">
        <f t="shared" si="105"/>
        <v>0</v>
      </c>
      <c r="AV129" s="252">
        <f t="shared" si="105"/>
        <v>0</v>
      </c>
      <c r="AW129" s="252">
        <f t="shared" si="105"/>
        <v>0</v>
      </c>
      <c r="AX129" s="252">
        <f t="shared" si="105"/>
        <v>0</v>
      </c>
      <c r="AY129" s="252">
        <f t="shared" si="105"/>
        <v>0</v>
      </c>
      <c r="AZ129" s="252">
        <f t="shared" si="105"/>
        <v>0</v>
      </c>
      <c r="BA129" s="252">
        <f t="shared" si="105"/>
        <v>0</v>
      </c>
      <c r="BB129" s="252">
        <f t="shared" si="105"/>
        <v>0</v>
      </c>
    </row>
    <row r="130" ht="15.75" customHeight="1">
      <c r="A130" s="252">
        <v>2005.0</v>
      </c>
      <c r="B130" s="32"/>
      <c r="C130" s="32"/>
      <c r="D130" s="32"/>
      <c r="E130" s="32"/>
      <c r="F130" s="32"/>
      <c r="G130" s="32"/>
      <c r="H130" s="32"/>
      <c r="I130" s="32"/>
      <c r="J130" s="32"/>
      <c r="K130" s="32"/>
      <c r="L130" s="32"/>
      <c r="M130" s="32"/>
      <c r="N130" s="32"/>
      <c r="O130" s="32"/>
      <c r="P130" s="32"/>
      <c r="Q130" s="32"/>
      <c r="R130" s="24">
        <v>0.0</v>
      </c>
      <c r="S130" s="32"/>
      <c r="T130" s="32"/>
      <c r="U130" s="32"/>
      <c r="V130" s="741">
        <v>0.0</v>
      </c>
      <c r="W130" s="252">
        <f t="shared" si="31"/>
        <v>0</v>
      </c>
      <c r="X130" s="252">
        <f t="shared" ref="X130:BB130" si="106">IF(AND(X$54-$A130&gt;$V$38,SUM($W130:W130)&lt;&gt;$V130),$V130,0)</f>
        <v>0</v>
      </c>
      <c r="Y130" s="252">
        <f t="shared" si="106"/>
        <v>0</v>
      </c>
      <c r="Z130" s="252">
        <f t="shared" si="106"/>
        <v>0</v>
      </c>
      <c r="AA130" s="252">
        <f t="shared" si="106"/>
        <v>0</v>
      </c>
      <c r="AB130" s="252">
        <f t="shared" si="106"/>
        <v>0</v>
      </c>
      <c r="AC130" s="252">
        <f t="shared" si="106"/>
        <v>0</v>
      </c>
      <c r="AD130" s="252">
        <f t="shared" si="106"/>
        <v>0</v>
      </c>
      <c r="AE130" s="252">
        <f t="shared" si="106"/>
        <v>0</v>
      </c>
      <c r="AF130" s="252">
        <f t="shared" si="106"/>
        <v>0</v>
      </c>
      <c r="AG130" s="252">
        <f t="shared" si="106"/>
        <v>0</v>
      </c>
      <c r="AH130" s="252">
        <f t="shared" si="106"/>
        <v>0</v>
      </c>
      <c r="AI130" s="252">
        <f t="shared" si="106"/>
        <v>0</v>
      </c>
      <c r="AJ130" s="252">
        <f t="shared" si="106"/>
        <v>0</v>
      </c>
      <c r="AK130" s="252">
        <f t="shared" si="106"/>
        <v>0</v>
      </c>
      <c r="AL130" s="252">
        <f t="shared" si="106"/>
        <v>0</v>
      </c>
      <c r="AM130" s="252">
        <f t="shared" si="106"/>
        <v>0</v>
      </c>
      <c r="AN130" s="252">
        <f t="shared" si="106"/>
        <v>0</v>
      </c>
      <c r="AO130" s="252">
        <f t="shared" si="106"/>
        <v>0</v>
      </c>
      <c r="AP130" s="252">
        <f t="shared" si="106"/>
        <v>0</v>
      </c>
      <c r="AQ130" s="252">
        <f t="shared" si="106"/>
        <v>0</v>
      </c>
      <c r="AR130" s="252">
        <f t="shared" si="106"/>
        <v>0</v>
      </c>
      <c r="AS130" s="252">
        <f t="shared" si="106"/>
        <v>0</v>
      </c>
      <c r="AT130" s="252">
        <f t="shared" si="106"/>
        <v>0</v>
      </c>
      <c r="AU130" s="252">
        <f t="shared" si="106"/>
        <v>0</v>
      </c>
      <c r="AV130" s="252">
        <f t="shared" si="106"/>
        <v>0</v>
      </c>
      <c r="AW130" s="252">
        <f t="shared" si="106"/>
        <v>0</v>
      </c>
      <c r="AX130" s="252">
        <f t="shared" si="106"/>
        <v>0</v>
      </c>
      <c r="AY130" s="252">
        <f t="shared" si="106"/>
        <v>0</v>
      </c>
      <c r="AZ130" s="252">
        <f t="shared" si="106"/>
        <v>0</v>
      </c>
      <c r="BA130" s="252">
        <f t="shared" si="106"/>
        <v>0</v>
      </c>
      <c r="BB130" s="252">
        <f t="shared" si="106"/>
        <v>0</v>
      </c>
    </row>
    <row r="131" ht="15.75" customHeight="1">
      <c r="A131" s="742">
        <v>2006.0</v>
      </c>
      <c r="B131" s="733"/>
      <c r="C131" s="733"/>
      <c r="D131" s="733"/>
      <c r="E131" s="733"/>
      <c r="F131" s="733"/>
      <c r="G131" s="733"/>
      <c r="H131" s="733"/>
      <c r="I131" s="733"/>
      <c r="J131" s="733"/>
      <c r="K131" s="733"/>
      <c r="L131" s="733"/>
      <c r="M131" s="733"/>
      <c r="N131" s="733"/>
      <c r="O131" s="733"/>
      <c r="P131" s="733"/>
      <c r="Q131" s="733"/>
      <c r="R131" s="24">
        <v>0.0</v>
      </c>
      <c r="S131" s="733"/>
      <c r="T131" s="733"/>
      <c r="U131" s="733"/>
      <c r="V131" s="741">
        <v>0.0</v>
      </c>
      <c r="W131" s="252">
        <f t="shared" si="31"/>
        <v>0</v>
      </c>
      <c r="X131" s="252">
        <f t="shared" ref="X131:BB131" si="107">IF(AND(X$54-$A131&gt;$V$38,SUM($W131:W131)&lt;&gt;$V131),$V131,0)</f>
        <v>0</v>
      </c>
      <c r="Y131" s="252">
        <f t="shared" si="107"/>
        <v>0</v>
      </c>
      <c r="Z131" s="252">
        <f t="shared" si="107"/>
        <v>0</v>
      </c>
      <c r="AA131" s="252">
        <f t="shared" si="107"/>
        <v>0</v>
      </c>
      <c r="AB131" s="252">
        <f t="shared" si="107"/>
        <v>0</v>
      </c>
      <c r="AC131" s="252">
        <f t="shared" si="107"/>
        <v>0</v>
      </c>
      <c r="AD131" s="252">
        <f t="shared" si="107"/>
        <v>0</v>
      </c>
      <c r="AE131" s="252">
        <f t="shared" si="107"/>
        <v>0</v>
      </c>
      <c r="AF131" s="252">
        <f t="shared" si="107"/>
        <v>0</v>
      </c>
      <c r="AG131" s="252">
        <f t="shared" si="107"/>
        <v>0</v>
      </c>
      <c r="AH131" s="252">
        <f t="shared" si="107"/>
        <v>0</v>
      </c>
      <c r="AI131" s="252">
        <f t="shared" si="107"/>
        <v>0</v>
      </c>
      <c r="AJ131" s="252">
        <f t="shared" si="107"/>
        <v>0</v>
      </c>
      <c r="AK131" s="252">
        <f t="shared" si="107"/>
        <v>0</v>
      </c>
      <c r="AL131" s="252">
        <f t="shared" si="107"/>
        <v>0</v>
      </c>
      <c r="AM131" s="252">
        <f t="shared" si="107"/>
        <v>0</v>
      </c>
      <c r="AN131" s="252">
        <f t="shared" si="107"/>
        <v>0</v>
      </c>
      <c r="AO131" s="252">
        <f t="shared" si="107"/>
        <v>0</v>
      </c>
      <c r="AP131" s="252">
        <f t="shared" si="107"/>
        <v>0</v>
      </c>
      <c r="AQ131" s="252">
        <f t="shared" si="107"/>
        <v>0</v>
      </c>
      <c r="AR131" s="252">
        <f t="shared" si="107"/>
        <v>0</v>
      </c>
      <c r="AS131" s="252">
        <f t="shared" si="107"/>
        <v>0</v>
      </c>
      <c r="AT131" s="252">
        <f t="shared" si="107"/>
        <v>0</v>
      </c>
      <c r="AU131" s="252">
        <f t="shared" si="107"/>
        <v>0</v>
      </c>
      <c r="AV131" s="252">
        <f t="shared" si="107"/>
        <v>0</v>
      </c>
      <c r="AW131" s="252">
        <f t="shared" si="107"/>
        <v>0</v>
      </c>
      <c r="AX131" s="252">
        <f t="shared" si="107"/>
        <v>0</v>
      </c>
      <c r="AY131" s="252">
        <f t="shared" si="107"/>
        <v>0</v>
      </c>
      <c r="AZ131" s="252">
        <f t="shared" si="107"/>
        <v>0</v>
      </c>
      <c r="BA131" s="252">
        <f t="shared" si="107"/>
        <v>0</v>
      </c>
      <c r="BB131" s="252">
        <f t="shared" si="107"/>
        <v>0</v>
      </c>
    </row>
    <row r="132" ht="18.75" customHeight="1">
      <c r="A132" s="742">
        <v>2007.0</v>
      </c>
      <c r="B132" s="733"/>
      <c r="C132" s="733"/>
      <c r="D132" s="733"/>
      <c r="E132" s="733"/>
      <c r="F132" s="733"/>
      <c r="G132" s="733"/>
      <c r="H132" s="733"/>
      <c r="I132" s="733"/>
      <c r="J132" s="733"/>
      <c r="K132" s="733"/>
      <c r="L132" s="733"/>
      <c r="M132" s="733"/>
      <c r="N132" s="733"/>
      <c r="O132" s="733"/>
      <c r="P132" s="733"/>
      <c r="Q132" s="733"/>
      <c r="R132" s="24">
        <v>0.0</v>
      </c>
      <c r="S132" s="733"/>
      <c r="T132" s="733"/>
      <c r="U132" s="733"/>
      <c r="V132" s="741">
        <v>591.0</v>
      </c>
      <c r="W132" s="252">
        <f t="shared" si="31"/>
        <v>0</v>
      </c>
      <c r="X132" s="252">
        <f t="shared" ref="X132:BB132" si="108">IF(AND(X$54-$A132&gt;$V$38,SUM($W132:W132)&lt;&gt;$V132),$V132,0)</f>
        <v>0</v>
      </c>
      <c r="Y132" s="252">
        <f t="shared" si="108"/>
        <v>0</v>
      </c>
      <c r="Z132" s="252">
        <f t="shared" si="108"/>
        <v>0</v>
      </c>
      <c r="AA132" s="252">
        <f t="shared" si="108"/>
        <v>0</v>
      </c>
      <c r="AB132" s="252">
        <f t="shared" si="108"/>
        <v>0</v>
      </c>
      <c r="AC132" s="252">
        <f t="shared" si="108"/>
        <v>0</v>
      </c>
      <c r="AD132" s="252">
        <f t="shared" si="108"/>
        <v>0</v>
      </c>
      <c r="AE132" s="252">
        <f t="shared" si="108"/>
        <v>0</v>
      </c>
      <c r="AF132" s="252">
        <f t="shared" si="108"/>
        <v>0</v>
      </c>
      <c r="AG132" s="252">
        <f t="shared" si="108"/>
        <v>0</v>
      </c>
      <c r="AH132" s="252">
        <f t="shared" si="108"/>
        <v>0</v>
      </c>
      <c r="AI132" s="252">
        <f t="shared" si="108"/>
        <v>0</v>
      </c>
      <c r="AJ132" s="252">
        <f t="shared" si="108"/>
        <v>0</v>
      </c>
      <c r="AK132" s="252">
        <f t="shared" si="108"/>
        <v>0</v>
      </c>
      <c r="AL132" s="252">
        <f t="shared" si="108"/>
        <v>0</v>
      </c>
      <c r="AM132" s="252">
        <f t="shared" si="108"/>
        <v>0</v>
      </c>
      <c r="AN132" s="252">
        <f t="shared" si="108"/>
        <v>0</v>
      </c>
      <c r="AO132" s="252">
        <f t="shared" si="108"/>
        <v>0</v>
      </c>
      <c r="AP132" s="252">
        <f t="shared" si="108"/>
        <v>0</v>
      </c>
      <c r="AQ132" s="252">
        <f t="shared" si="108"/>
        <v>0</v>
      </c>
      <c r="AR132" s="252">
        <f t="shared" si="108"/>
        <v>0</v>
      </c>
      <c r="AS132" s="252">
        <f t="shared" si="108"/>
        <v>0</v>
      </c>
      <c r="AT132" s="252">
        <f t="shared" si="108"/>
        <v>0</v>
      </c>
      <c r="AU132" s="252">
        <f t="shared" si="108"/>
        <v>0</v>
      </c>
      <c r="AV132" s="252">
        <f t="shared" si="108"/>
        <v>0</v>
      </c>
      <c r="AW132" s="252">
        <f t="shared" si="108"/>
        <v>0</v>
      </c>
      <c r="AX132" s="252">
        <f t="shared" si="108"/>
        <v>0</v>
      </c>
      <c r="AY132" s="252">
        <f t="shared" si="108"/>
        <v>0</v>
      </c>
      <c r="AZ132" s="252">
        <f t="shared" si="108"/>
        <v>0</v>
      </c>
      <c r="BA132" s="252">
        <f t="shared" si="108"/>
        <v>0</v>
      </c>
      <c r="BB132" s="252">
        <f t="shared" si="108"/>
        <v>0</v>
      </c>
    </row>
    <row r="133" ht="15.75" customHeight="1">
      <c r="A133" s="742">
        <v>2008.0</v>
      </c>
      <c r="B133" s="733"/>
      <c r="C133" s="733"/>
      <c r="D133" s="733"/>
      <c r="E133" s="733"/>
      <c r="F133" s="733"/>
      <c r="G133" s="733"/>
      <c r="H133" s="733"/>
      <c r="I133" s="733"/>
      <c r="J133" s="733"/>
      <c r="K133" s="733"/>
      <c r="L133" s="733"/>
      <c r="M133" s="733"/>
      <c r="N133" s="733"/>
      <c r="O133" s="733"/>
      <c r="P133" s="733"/>
      <c r="Q133" s="733"/>
      <c r="R133" s="24">
        <v>0.0</v>
      </c>
      <c r="S133" s="733"/>
      <c r="T133" s="733"/>
      <c r="U133" s="733"/>
      <c r="V133" s="741">
        <v>652.0</v>
      </c>
      <c r="W133" s="252">
        <f t="shared" si="31"/>
        <v>0</v>
      </c>
      <c r="X133" s="252">
        <f t="shared" ref="X133:BB133" si="109">IF(AND(X$54-$A133&gt;$V$38,SUM($W133:W133)&lt;&gt;$V133),$V133,0)</f>
        <v>0</v>
      </c>
      <c r="Y133" s="252">
        <f t="shared" si="109"/>
        <v>0</v>
      </c>
      <c r="Z133" s="252">
        <f t="shared" si="109"/>
        <v>0</v>
      </c>
      <c r="AA133" s="252">
        <f t="shared" si="109"/>
        <v>0</v>
      </c>
      <c r="AB133" s="252">
        <f t="shared" si="109"/>
        <v>0</v>
      </c>
      <c r="AC133" s="252">
        <f t="shared" si="109"/>
        <v>0</v>
      </c>
      <c r="AD133" s="252">
        <f t="shared" si="109"/>
        <v>0</v>
      </c>
      <c r="AE133" s="252">
        <f t="shared" si="109"/>
        <v>0</v>
      </c>
      <c r="AF133" s="252">
        <f t="shared" si="109"/>
        <v>0</v>
      </c>
      <c r="AG133" s="252">
        <f t="shared" si="109"/>
        <v>0</v>
      </c>
      <c r="AH133" s="252">
        <f t="shared" si="109"/>
        <v>0</v>
      </c>
      <c r="AI133" s="252">
        <f t="shared" si="109"/>
        <v>0</v>
      </c>
      <c r="AJ133" s="252">
        <f t="shared" si="109"/>
        <v>0</v>
      </c>
      <c r="AK133" s="252">
        <f t="shared" si="109"/>
        <v>0</v>
      </c>
      <c r="AL133" s="252">
        <f t="shared" si="109"/>
        <v>0</v>
      </c>
      <c r="AM133" s="252">
        <f t="shared" si="109"/>
        <v>0</v>
      </c>
      <c r="AN133" s="252">
        <f t="shared" si="109"/>
        <v>0</v>
      </c>
      <c r="AO133" s="252">
        <f t="shared" si="109"/>
        <v>0</v>
      </c>
      <c r="AP133" s="252">
        <f t="shared" si="109"/>
        <v>0</v>
      </c>
      <c r="AQ133" s="252">
        <f t="shared" si="109"/>
        <v>0</v>
      </c>
      <c r="AR133" s="252">
        <f t="shared" si="109"/>
        <v>0</v>
      </c>
      <c r="AS133" s="252">
        <f t="shared" si="109"/>
        <v>0</v>
      </c>
      <c r="AT133" s="252">
        <f t="shared" si="109"/>
        <v>0</v>
      </c>
      <c r="AU133" s="252">
        <f t="shared" si="109"/>
        <v>0</v>
      </c>
      <c r="AV133" s="252">
        <f t="shared" si="109"/>
        <v>0</v>
      </c>
      <c r="AW133" s="252">
        <f t="shared" si="109"/>
        <v>0</v>
      </c>
      <c r="AX133" s="252">
        <f t="shared" si="109"/>
        <v>0</v>
      </c>
      <c r="AY133" s="252">
        <f t="shared" si="109"/>
        <v>0</v>
      </c>
      <c r="AZ133" s="252">
        <f t="shared" si="109"/>
        <v>0</v>
      </c>
      <c r="BA133" s="252">
        <f t="shared" si="109"/>
        <v>0</v>
      </c>
      <c r="BB133" s="252">
        <f t="shared" si="109"/>
        <v>0</v>
      </c>
    </row>
    <row r="134" ht="15.75" customHeight="1">
      <c r="A134" s="743">
        <v>2009.0</v>
      </c>
      <c r="B134" s="733"/>
      <c r="C134" s="733"/>
      <c r="D134" s="733"/>
      <c r="E134" s="733"/>
      <c r="F134" s="733"/>
      <c r="G134" s="733"/>
      <c r="H134" s="733"/>
      <c r="I134" s="733"/>
      <c r="J134" s="733"/>
      <c r="K134" s="733"/>
      <c r="L134" s="733"/>
      <c r="M134" s="733"/>
      <c r="N134" s="733"/>
      <c r="O134" s="733"/>
      <c r="P134" s="733"/>
      <c r="Q134" s="733"/>
      <c r="R134" s="24">
        <v>0.0</v>
      </c>
      <c r="S134" s="733"/>
      <c r="T134" s="733"/>
      <c r="U134" s="733"/>
      <c r="V134" s="741">
        <v>0.0</v>
      </c>
      <c r="W134" s="252">
        <f t="shared" si="31"/>
        <v>0</v>
      </c>
      <c r="X134" s="252">
        <f t="shared" ref="X134:BB134" si="110">IF(AND(X$54-$A134&gt;$V$38,SUM($W134:W134)&lt;&gt;$V134),$V134,0)</f>
        <v>0</v>
      </c>
      <c r="Y134" s="252">
        <f t="shared" si="110"/>
        <v>0</v>
      </c>
      <c r="Z134" s="252">
        <f t="shared" si="110"/>
        <v>0</v>
      </c>
      <c r="AA134" s="252">
        <f t="shared" si="110"/>
        <v>0</v>
      </c>
      <c r="AB134" s="252">
        <f t="shared" si="110"/>
        <v>0</v>
      </c>
      <c r="AC134" s="252">
        <f t="shared" si="110"/>
        <v>0</v>
      </c>
      <c r="AD134" s="252">
        <f t="shared" si="110"/>
        <v>0</v>
      </c>
      <c r="AE134" s="252">
        <f t="shared" si="110"/>
        <v>0</v>
      </c>
      <c r="AF134" s="252">
        <f t="shared" si="110"/>
        <v>0</v>
      </c>
      <c r="AG134" s="252">
        <f t="shared" si="110"/>
        <v>0</v>
      </c>
      <c r="AH134" s="252">
        <f t="shared" si="110"/>
        <v>0</v>
      </c>
      <c r="AI134" s="252">
        <f t="shared" si="110"/>
        <v>0</v>
      </c>
      <c r="AJ134" s="252">
        <f t="shared" si="110"/>
        <v>0</v>
      </c>
      <c r="AK134" s="252">
        <f t="shared" si="110"/>
        <v>0</v>
      </c>
      <c r="AL134" s="252">
        <f t="shared" si="110"/>
        <v>0</v>
      </c>
      <c r="AM134" s="252">
        <f t="shared" si="110"/>
        <v>0</v>
      </c>
      <c r="AN134" s="252">
        <f t="shared" si="110"/>
        <v>0</v>
      </c>
      <c r="AO134" s="252">
        <f t="shared" si="110"/>
        <v>0</v>
      </c>
      <c r="AP134" s="252">
        <f t="shared" si="110"/>
        <v>0</v>
      </c>
      <c r="AQ134" s="252">
        <f t="shared" si="110"/>
        <v>0</v>
      </c>
      <c r="AR134" s="252">
        <f t="shared" si="110"/>
        <v>0</v>
      </c>
      <c r="AS134" s="252">
        <f t="shared" si="110"/>
        <v>0</v>
      </c>
      <c r="AT134" s="252">
        <f t="shared" si="110"/>
        <v>0</v>
      </c>
      <c r="AU134" s="252">
        <f t="shared" si="110"/>
        <v>0</v>
      </c>
      <c r="AV134" s="252">
        <f t="shared" si="110"/>
        <v>0</v>
      </c>
      <c r="AW134" s="252">
        <f t="shared" si="110"/>
        <v>0</v>
      </c>
      <c r="AX134" s="252">
        <f t="shared" si="110"/>
        <v>0</v>
      </c>
      <c r="AY134" s="252">
        <f t="shared" si="110"/>
        <v>0</v>
      </c>
      <c r="AZ134" s="252">
        <f t="shared" si="110"/>
        <v>0</v>
      </c>
      <c r="BA134" s="252">
        <f t="shared" si="110"/>
        <v>0</v>
      </c>
      <c r="BB134" s="252">
        <f t="shared" si="110"/>
        <v>0</v>
      </c>
    </row>
    <row r="135" ht="15.75" customHeight="1">
      <c r="A135" s="252">
        <v>2010.0</v>
      </c>
      <c r="B135" s="32"/>
      <c r="C135" s="32"/>
      <c r="D135" s="32"/>
      <c r="E135" s="32"/>
      <c r="F135" s="32"/>
      <c r="G135" s="32"/>
      <c r="H135" s="32"/>
      <c r="I135" s="32"/>
      <c r="J135" s="32"/>
      <c r="K135" s="32"/>
      <c r="L135" s="32"/>
      <c r="M135" s="32"/>
      <c r="N135" s="32"/>
      <c r="O135" s="32"/>
      <c r="P135" s="32"/>
      <c r="Q135" s="32"/>
      <c r="R135" s="24">
        <v>1794.8</v>
      </c>
      <c r="S135" s="32"/>
      <c r="T135" s="32"/>
      <c r="U135" s="32"/>
      <c r="V135" s="741">
        <v>0.0</v>
      </c>
      <c r="W135" s="252">
        <f t="shared" si="31"/>
        <v>0</v>
      </c>
      <c r="X135" s="252">
        <f t="shared" ref="X135:BB135" si="111">IF(AND(X$54-$A135&gt;$V$38,SUM($W135:W135)&lt;&gt;$V135),$V135,0)</f>
        <v>0</v>
      </c>
      <c r="Y135" s="252">
        <f t="shared" si="111"/>
        <v>0</v>
      </c>
      <c r="Z135" s="252">
        <f t="shared" si="111"/>
        <v>0</v>
      </c>
      <c r="AA135" s="252">
        <f t="shared" si="111"/>
        <v>0</v>
      </c>
      <c r="AB135" s="252">
        <f t="shared" si="111"/>
        <v>0</v>
      </c>
      <c r="AC135" s="252">
        <f t="shared" si="111"/>
        <v>0</v>
      </c>
      <c r="AD135" s="252">
        <f t="shared" si="111"/>
        <v>0</v>
      </c>
      <c r="AE135" s="252">
        <f t="shared" si="111"/>
        <v>0</v>
      </c>
      <c r="AF135" s="252">
        <f t="shared" si="111"/>
        <v>0</v>
      </c>
      <c r="AG135" s="252">
        <f t="shared" si="111"/>
        <v>0</v>
      </c>
      <c r="AH135" s="252">
        <f t="shared" si="111"/>
        <v>0</v>
      </c>
      <c r="AI135" s="252">
        <f t="shared" si="111"/>
        <v>0</v>
      </c>
      <c r="AJ135" s="252">
        <f t="shared" si="111"/>
        <v>0</v>
      </c>
      <c r="AK135" s="252">
        <f t="shared" si="111"/>
        <v>0</v>
      </c>
      <c r="AL135" s="252">
        <f t="shared" si="111"/>
        <v>0</v>
      </c>
      <c r="AM135" s="252">
        <f t="shared" si="111"/>
        <v>0</v>
      </c>
      <c r="AN135" s="252">
        <f t="shared" si="111"/>
        <v>0</v>
      </c>
      <c r="AO135" s="252">
        <f t="shared" si="111"/>
        <v>0</v>
      </c>
      <c r="AP135" s="252">
        <f t="shared" si="111"/>
        <v>0</v>
      </c>
      <c r="AQ135" s="252">
        <f t="shared" si="111"/>
        <v>0</v>
      </c>
      <c r="AR135" s="252">
        <f t="shared" si="111"/>
        <v>0</v>
      </c>
      <c r="AS135" s="252">
        <f t="shared" si="111"/>
        <v>0</v>
      </c>
      <c r="AT135" s="252">
        <f t="shared" si="111"/>
        <v>0</v>
      </c>
      <c r="AU135" s="252">
        <f t="shared" si="111"/>
        <v>0</v>
      </c>
      <c r="AV135" s="252">
        <f t="shared" si="111"/>
        <v>0</v>
      </c>
      <c r="AW135" s="252">
        <f t="shared" si="111"/>
        <v>0</v>
      </c>
      <c r="AX135" s="252">
        <f t="shared" si="111"/>
        <v>0</v>
      </c>
      <c r="AY135" s="252">
        <f t="shared" si="111"/>
        <v>0</v>
      </c>
      <c r="AZ135" s="252">
        <f t="shared" si="111"/>
        <v>0</v>
      </c>
      <c r="BA135" s="252">
        <f t="shared" si="111"/>
        <v>0</v>
      </c>
      <c r="BB135" s="252">
        <f t="shared" si="111"/>
        <v>0</v>
      </c>
    </row>
    <row r="136" ht="15.75" customHeight="1">
      <c r="A136" s="252">
        <v>2011.0</v>
      </c>
      <c r="B136" s="32"/>
      <c r="C136" s="32"/>
      <c r="D136" s="32"/>
      <c r="E136" s="32"/>
      <c r="F136" s="32"/>
      <c r="G136" s="32"/>
      <c r="H136" s="32"/>
      <c r="I136" s="32"/>
      <c r="J136" s="32"/>
      <c r="K136" s="32"/>
      <c r="L136" s="32"/>
      <c r="M136" s="32"/>
      <c r="N136" s="32"/>
      <c r="O136" s="32"/>
      <c r="P136" s="32"/>
      <c r="Q136" s="32"/>
      <c r="R136" s="24">
        <v>878.6</v>
      </c>
      <c r="S136" s="32"/>
      <c r="T136" s="32"/>
      <c r="U136" s="32"/>
      <c r="V136" s="741">
        <v>0.0</v>
      </c>
      <c r="W136" s="252">
        <f t="shared" si="31"/>
        <v>0</v>
      </c>
      <c r="X136" s="252">
        <f t="shared" ref="X136:BB136" si="112">IF(AND(X$54-$A136&gt;$V$38,SUM($W136:W136)&lt;&gt;$V136),$V136,0)</f>
        <v>0</v>
      </c>
      <c r="Y136" s="252">
        <f t="shared" si="112"/>
        <v>0</v>
      </c>
      <c r="Z136" s="252">
        <f t="shared" si="112"/>
        <v>0</v>
      </c>
      <c r="AA136" s="252">
        <f t="shared" si="112"/>
        <v>0</v>
      </c>
      <c r="AB136" s="252">
        <f t="shared" si="112"/>
        <v>0</v>
      </c>
      <c r="AC136" s="252">
        <f t="shared" si="112"/>
        <v>0</v>
      </c>
      <c r="AD136" s="252">
        <f t="shared" si="112"/>
        <v>0</v>
      </c>
      <c r="AE136" s="252">
        <f t="shared" si="112"/>
        <v>0</v>
      </c>
      <c r="AF136" s="252">
        <f t="shared" si="112"/>
        <v>0</v>
      </c>
      <c r="AG136" s="252">
        <f t="shared" si="112"/>
        <v>0</v>
      </c>
      <c r="AH136" s="252">
        <f t="shared" si="112"/>
        <v>0</v>
      </c>
      <c r="AI136" s="252">
        <f t="shared" si="112"/>
        <v>0</v>
      </c>
      <c r="AJ136" s="252">
        <f t="shared" si="112"/>
        <v>0</v>
      </c>
      <c r="AK136" s="252">
        <f t="shared" si="112"/>
        <v>0</v>
      </c>
      <c r="AL136" s="252">
        <f t="shared" si="112"/>
        <v>0</v>
      </c>
      <c r="AM136" s="252">
        <f t="shared" si="112"/>
        <v>0</v>
      </c>
      <c r="AN136" s="252">
        <f t="shared" si="112"/>
        <v>0</v>
      </c>
      <c r="AO136" s="252">
        <f t="shared" si="112"/>
        <v>0</v>
      </c>
      <c r="AP136" s="252">
        <f t="shared" si="112"/>
        <v>0</v>
      </c>
      <c r="AQ136" s="252">
        <f t="shared" si="112"/>
        <v>0</v>
      </c>
      <c r="AR136" s="252">
        <f t="shared" si="112"/>
        <v>0</v>
      </c>
      <c r="AS136" s="252">
        <f t="shared" si="112"/>
        <v>0</v>
      </c>
      <c r="AT136" s="252">
        <f t="shared" si="112"/>
        <v>0</v>
      </c>
      <c r="AU136" s="252">
        <f t="shared" si="112"/>
        <v>0</v>
      </c>
      <c r="AV136" s="252">
        <f t="shared" si="112"/>
        <v>0</v>
      </c>
      <c r="AW136" s="252">
        <f t="shared" si="112"/>
        <v>0</v>
      </c>
      <c r="AX136" s="252">
        <f t="shared" si="112"/>
        <v>0</v>
      </c>
      <c r="AY136" s="252">
        <f t="shared" si="112"/>
        <v>0</v>
      </c>
      <c r="AZ136" s="252">
        <f t="shared" si="112"/>
        <v>0</v>
      </c>
      <c r="BA136" s="252">
        <f t="shared" si="112"/>
        <v>0</v>
      </c>
      <c r="BB136" s="252">
        <f t="shared" si="112"/>
        <v>0</v>
      </c>
    </row>
    <row r="137" ht="15.75" customHeight="1">
      <c r="A137" s="252">
        <v>2012.0</v>
      </c>
      <c r="B137" s="32"/>
      <c r="C137" s="32"/>
      <c r="D137" s="32"/>
      <c r="E137" s="32"/>
      <c r="F137" s="32"/>
      <c r="G137" s="32"/>
      <c r="H137" s="32"/>
      <c r="I137" s="32"/>
      <c r="J137" s="32"/>
      <c r="K137" s="32"/>
      <c r="L137" s="32"/>
      <c r="M137" s="32"/>
      <c r="N137" s="32"/>
      <c r="O137" s="32"/>
      <c r="P137" s="32"/>
      <c r="Q137" s="32"/>
      <c r="R137" s="24">
        <v>0.0</v>
      </c>
      <c r="S137" s="32"/>
      <c r="T137" s="32"/>
      <c r="U137" s="32"/>
      <c r="V137" s="741">
        <v>909.5</v>
      </c>
      <c r="W137" s="252">
        <f t="shared" si="31"/>
        <v>0</v>
      </c>
      <c r="X137" s="252">
        <f t="shared" ref="X137:BB137" si="113">IF(AND(X$54-$A137&gt;$V$38,SUM($W137:W137)&lt;&gt;$V137),$V137,0)</f>
        <v>0</v>
      </c>
      <c r="Y137" s="252">
        <f t="shared" si="113"/>
        <v>0</v>
      </c>
      <c r="Z137" s="252">
        <f t="shared" si="113"/>
        <v>0</v>
      </c>
      <c r="AA137" s="252">
        <f t="shared" si="113"/>
        <v>0</v>
      </c>
      <c r="AB137" s="252">
        <f t="shared" si="113"/>
        <v>0</v>
      </c>
      <c r="AC137" s="252">
        <f t="shared" si="113"/>
        <v>0</v>
      </c>
      <c r="AD137" s="252">
        <f t="shared" si="113"/>
        <v>0</v>
      </c>
      <c r="AE137" s="252">
        <f t="shared" si="113"/>
        <v>0</v>
      </c>
      <c r="AF137" s="252">
        <f t="shared" si="113"/>
        <v>0</v>
      </c>
      <c r="AG137" s="252">
        <f t="shared" si="113"/>
        <v>0</v>
      </c>
      <c r="AH137" s="252">
        <f t="shared" si="113"/>
        <v>0</v>
      </c>
      <c r="AI137" s="252">
        <f t="shared" si="113"/>
        <v>0</v>
      </c>
      <c r="AJ137" s="252">
        <f t="shared" si="113"/>
        <v>0</v>
      </c>
      <c r="AK137" s="252">
        <f t="shared" si="113"/>
        <v>0</v>
      </c>
      <c r="AL137" s="252">
        <f t="shared" si="113"/>
        <v>0</v>
      </c>
      <c r="AM137" s="252">
        <f t="shared" si="113"/>
        <v>0</v>
      </c>
      <c r="AN137" s="252">
        <f t="shared" si="113"/>
        <v>0</v>
      </c>
      <c r="AO137" s="252">
        <f t="shared" si="113"/>
        <v>0</v>
      </c>
      <c r="AP137" s="252">
        <f t="shared" si="113"/>
        <v>0</v>
      </c>
      <c r="AQ137" s="252">
        <f t="shared" si="113"/>
        <v>0</v>
      </c>
      <c r="AR137" s="252">
        <f t="shared" si="113"/>
        <v>0</v>
      </c>
      <c r="AS137" s="252">
        <f t="shared" si="113"/>
        <v>0</v>
      </c>
      <c r="AT137" s="252">
        <f t="shared" si="113"/>
        <v>0</v>
      </c>
      <c r="AU137" s="252">
        <f t="shared" si="113"/>
        <v>0</v>
      </c>
      <c r="AV137" s="252">
        <f t="shared" si="113"/>
        <v>0</v>
      </c>
      <c r="AW137" s="252">
        <f t="shared" si="113"/>
        <v>0</v>
      </c>
      <c r="AX137" s="252">
        <f t="shared" si="113"/>
        <v>0</v>
      </c>
      <c r="AY137" s="252">
        <f t="shared" si="113"/>
        <v>0</v>
      </c>
      <c r="AZ137" s="252">
        <f t="shared" si="113"/>
        <v>0</v>
      </c>
      <c r="BA137" s="252">
        <f t="shared" si="113"/>
        <v>0</v>
      </c>
      <c r="BB137" s="252">
        <f t="shared" si="113"/>
        <v>0</v>
      </c>
    </row>
    <row r="138" ht="15.75" customHeight="1">
      <c r="A138" s="252">
        <v>2013.0</v>
      </c>
      <c r="B138" s="32"/>
      <c r="C138" s="32"/>
      <c r="D138" s="32"/>
      <c r="E138" s="32"/>
      <c r="F138" s="32"/>
      <c r="G138" s="32"/>
      <c r="H138" s="32"/>
      <c r="I138" s="32"/>
      <c r="J138" s="32"/>
      <c r="K138" s="32"/>
      <c r="L138" s="32"/>
      <c r="M138" s="32"/>
      <c r="N138" s="32"/>
      <c r="O138" s="32"/>
      <c r="P138" s="32"/>
      <c r="Q138" s="32"/>
      <c r="R138" s="24">
        <v>1008.0</v>
      </c>
      <c r="S138" s="32"/>
      <c r="T138" s="32"/>
      <c r="U138" s="32"/>
      <c r="V138" s="741">
        <v>0.0</v>
      </c>
      <c r="W138" s="252">
        <f t="shared" si="31"/>
        <v>0</v>
      </c>
      <c r="X138" s="252">
        <f t="shared" ref="X138:BB138" si="114">IF(AND(X$54-$A138&gt;$V$38,SUM($W138:W138)&lt;&gt;$V138),$V138,0)</f>
        <v>0</v>
      </c>
      <c r="Y138" s="252">
        <f t="shared" si="114"/>
        <v>0</v>
      </c>
      <c r="Z138" s="252">
        <f t="shared" si="114"/>
        <v>0</v>
      </c>
      <c r="AA138" s="252">
        <f t="shared" si="114"/>
        <v>0</v>
      </c>
      <c r="AB138" s="252">
        <f t="shared" si="114"/>
        <v>0</v>
      </c>
      <c r="AC138" s="252">
        <f t="shared" si="114"/>
        <v>0</v>
      </c>
      <c r="AD138" s="252">
        <f t="shared" si="114"/>
        <v>0</v>
      </c>
      <c r="AE138" s="252">
        <f t="shared" si="114"/>
        <v>0</v>
      </c>
      <c r="AF138" s="252">
        <f t="shared" si="114"/>
        <v>0</v>
      </c>
      <c r="AG138" s="252">
        <f t="shared" si="114"/>
        <v>0</v>
      </c>
      <c r="AH138" s="252">
        <f t="shared" si="114"/>
        <v>0</v>
      </c>
      <c r="AI138" s="252">
        <f t="shared" si="114"/>
        <v>0</v>
      </c>
      <c r="AJ138" s="252">
        <f t="shared" si="114"/>
        <v>0</v>
      </c>
      <c r="AK138" s="252">
        <f t="shared" si="114"/>
        <v>0</v>
      </c>
      <c r="AL138" s="252">
        <f t="shared" si="114"/>
        <v>0</v>
      </c>
      <c r="AM138" s="252">
        <f t="shared" si="114"/>
        <v>0</v>
      </c>
      <c r="AN138" s="252">
        <f t="shared" si="114"/>
        <v>0</v>
      </c>
      <c r="AO138" s="252">
        <f t="shared" si="114"/>
        <v>0</v>
      </c>
      <c r="AP138" s="252">
        <f t="shared" si="114"/>
        <v>0</v>
      </c>
      <c r="AQ138" s="252">
        <f t="shared" si="114"/>
        <v>0</v>
      </c>
      <c r="AR138" s="252">
        <f t="shared" si="114"/>
        <v>0</v>
      </c>
      <c r="AS138" s="252">
        <f t="shared" si="114"/>
        <v>0</v>
      </c>
      <c r="AT138" s="252">
        <f t="shared" si="114"/>
        <v>0</v>
      </c>
      <c r="AU138" s="252">
        <f t="shared" si="114"/>
        <v>0</v>
      </c>
      <c r="AV138" s="252">
        <f t="shared" si="114"/>
        <v>0</v>
      </c>
      <c r="AW138" s="252">
        <f t="shared" si="114"/>
        <v>0</v>
      </c>
      <c r="AX138" s="252">
        <f t="shared" si="114"/>
        <v>0</v>
      </c>
      <c r="AY138" s="252">
        <f t="shared" si="114"/>
        <v>0</v>
      </c>
      <c r="AZ138" s="252">
        <f t="shared" si="114"/>
        <v>0</v>
      </c>
      <c r="BA138" s="252">
        <f t="shared" si="114"/>
        <v>0</v>
      </c>
      <c r="BB138" s="252">
        <f t="shared" si="114"/>
        <v>0</v>
      </c>
    </row>
    <row r="139" ht="15.75" customHeight="1">
      <c r="A139" s="252">
        <v>2014.0</v>
      </c>
      <c r="B139" s="32"/>
      <c r="C139" s="32"/>
      <c r="D139" s="32"/>
      <c r="E139" s="32"/>
      <c r="F139" s="32"/>
      <c r="G139" s="32"/>
      <c r="H139" s="32"/>
      <c r="I139" s="32"/>
      <c r="J139" s="32"/>
      <c r="K139" s="32"/>
      <c r="L139" s="32"/>
      <c r="M139" s="32"/>
      <c r="N139" s="32"/>
      <c r="O139" s="32"/>
      <c r="P139" s="32"/>
      <c r="Q139" s="32"/>
      <c r="R139" s="24">
        <v>0.0</v>
      </c>
      <c r="S139" s="32"/>
      <c r="T139" s="32"/>
      <c r="U139" s="32"/>
      <c r="V139" s="741">
        <v>0.0</v>
      </c>
      <c r="W139" s="252">
        <f t="shared" si="31"/>
        <v>0</v>
      </c>
      <c r="X139" s="252">
        <f t="shared" ref="X139:BB139" si="115">IF(AND(X$54-$A139&gt;$V$38,SUM($W139:W139)&lt;&gt;$V139),$V139,0)</f>
        <v>0</v>
      </c>
      <c r="Y139" s="252">
        <f t="shared" si="115"/>
        <v>0</v>
      </c>
      <c r="Z139" s="252">
        <f t="shared" si="115"/>
        <v>0</v>
      </c>
      <c r="AA139" s="252">
        <f t="shared" si="115"/>
        <v>0</v>
      </c>
      <c r="AB139" s="252">
        <f t="shared" si="115"/>
        <v>0</v>
      </c>
      <c r="AC139" s="252">
        <f t="shared" si="115"/>
        <v>0</v>
      </c>
      <c r="AD139" s="252">
        <f t="shared" si="115"/>
        <v>0</v>
      </c>
      <c r="AE139" s="252">
        <f t="shared" si="115"/>
        <v>0</v>
      </c>
      <c r="AF139" s="252">
        <f t="shared" si="115"/>
        <v>0</v>
      </c>
      <c r="AG139" s="252">
        <f t="shared" si="115"/>
        <v>0</v>
      </c>
      <c r="AH139" s="252">
        <f t="shared" si="115"/>
        <v>0</v>
      </c>
      <c r="AI139" s="252">
        <f t="shared" si="115"/>
        <v>0</v>
      </c>
      <c r="AJ139" s="252">
        <f t="shared" si="115"/>
        <v>0</v>
      </c>
      <c r="AK139" s="252">
        <f t="shared" si="115"/>
        <v>0</v>
      </c>
      <c r="AL139" s="252">
        <f t="shared" si="115"/>
        <v>0</v>
      </c>
      <c r="AM139" s="252">
        <f t="shared" si="115"/>
        <v>0</v>
      </c>
      <c r="AN139" s="252">
        <f t="shared" si="115"/>
        <v>0</v>
      </c>
      <c r="AO139" s="252">
        <f t="shared" si="115"/>
        <v>0</v>
      </c>
      <c r="AP139" s="252">
        <f t="shared" si="115"/>
        <v>0</v>
      </c>
      <c r="AQ139" s="252">
        <f t="shared" si="115"/>
        <v>0</v>
      </c>
      <c r="AR139" s="252">
        <f t="shared" si="115"/>
        <v>0</v>
      </c>
      <c r="AS139" s="252">
        <f t="shared" si="115"/>
        <v>0</v>
      </c>
      <c r="AT139" s="252">
        <f t="shared" si="115"/>
        <v>0</v>
      </c>
      <c r="AU139" s="252">
        <f t="shared" si="115"/>
        <v>0</v>
      </c>
      <c r="AV139" s="252">
        <f t="shared" si="115"/>
        <v>0</v>
      </c>
      <c r="AW139" s="252">
        <f t="shared" si="115"/>
        <v>0</v>
      </c>
      <c r="AX139" s="252">
        <f t="shared" si="115"/>
        <v>0</v>
      </c>
      <c r="AY139" s="252">
        <f t="shared" si="115"/>
        <v>0</v>
      </c>
      <c r="AZ139" s="252">
        <f t="shared" si="115"/>
        <v>0</v>
      </c>
      <c r="BA139" s="252">
        <f t="shared" si="115"/>
        <v>0</v>
      </c>
      <c r="BB139" s="252">
        <f t="shared" si="115"/>
        <v>0</v>
      </c>
    </row>
    <row r="140" ht="15.75" customHeight="1">
      <c r="A140" s="252">
        <v>2015.0</v>
      </c>
      <c r="B140" s="32"/>
      <c r="C140" s="32"/>
      <c r="D140" s="32"/>
      <c r="E140" s="32"/>
      <c r="F140" s="32"/>
      <c r="G140" s="32"/>
      <c r="H140" s="32"/>
      <c r="I140" s="32"/>
      <c r="J140" s="32"/>
      <c r="K140" s="32"/>
      <c r="L140" s="32"/>
      <c r="M140" s="32"/>
      <c r="N140" s="32"/>
      <c r="O140" s="32"/>
      <c r="P140" s="32"/>
      <c r="Q140" s="32"/>
      <c r="R140" s="24">
        <v>0.0</v>
      </c>
      <c r="S140" s="32"/>
      <c r="T140" s="32"/>
      <c r="U140" s="32"/>
      <c r="V140" s="741">
        <v>0.0</v>
      </c>
      <c r="W140" s="252">
        <f t="shared" si="31"/>
        <v>0</v>
      </c>
      <c r="X140" s="252">
        <f t="shared" ref="X140:BB140" si="116">IF(AND(X$54-$A140&gt;$V$38,SUM($W140:W140)&lt;&gt;$V140),$V140,0)</f>
        <v>0</v>
      </c>
      <c r="Y140" s="252">
        <f t="shared" si="116"/>
        <v>0</v>
      </c>
      <c r="Z140" s="252">
        <f t="shared" si="116"/>
        <v>0</v>
      </c>
      <c r="AA140" s="252">
        <f t="shared" si="116"/>
        <v>0</v>
      </c>
      <c r="AB140" s="252">
        <f t="shared" si="116"/>
        <v>0</v>
      </c>
      <c r="AC140" s="252">
        <f t="shared" si="116"/>
        <v>0</v>
      </c>
      <c r="AD140" s="252">
        <f t="shared" si="116"/>
        <v>0</v>
      </c>
      <c r="AE140" s="252">
        <f t="shared" si="116"/>
        <v>0</v>
      </c>
      <c r="AF140" s="252">
        <f t="shared" si="116"/>
        <v>0</v>
      </c>
      <c r="AG140" s="252">
        <f t="shared" si="116"/>
        <v>0</v>
      </c>
      <c r="AH140" s="252">
        <f t="shared" si="116"/>
        <v>0</v>
      </c>
      <c r="AI140" s="252">
        <f t="shared" si="116"/>
        <v>0</v>
      </c>
      <c r="AJ140" s="252">
        <f t="shared" si="116"/>
        <v>0</v>
      </c>
      <c r="AK140" s="252">
        <f t="shared" si="116"/>
        <v>0</v>
      </c>
      <c r="AL140" s="252">
        <f t="shared" si="116"/>
        <v>0</v>
      </c>
      <c r="AM140" s="252">
        <f t="shared" si="116"/>
        <v>0</v>
      </c>
      <c r="AN140" s="252">
        <f t="shared" si="116"/>
        <v>0</v>
      </c>
      <c r="AO140" s="252">
        <f t="shared" si="116"/>
        <v>0</v>
      </c>
      <c r="AP140" s="252">
        <f t="shared" si="116"/>
        <v>0</v>
      </c>
      <c r="AQ140" s="252">
        <f t="shared" si="116"/>
        <v>0</v>
      </c>
      <c r="AR140" s="252">
        <f t="shared" si="116"/>
        <v>0</v>
      </c>
      <c r="AS140" s="252">
        <f t="shared" si="116"/>
        <v>0</v>
      </c>
      <c r="AT140" s="252">
        <f t="shared" si="116"/>
        <v>0</v>
      </c>
      <c r="AU140" s="252">
        <f t="shared" si="116"/>
        <v>0</v>
      </c>
      <c r="AV140" s="252">
        <f t="shared" si="116"/>
        <v>0</v>
      </c>
      <c r="AW140" s="252">
        <f t="shared" si="116"/>
        <v>0</v>
      </c>
      <c r="AX140" s="252">
        <f t="shared" si="116"/>
        <v>0</v>
      </c>
      <c r="AY140" s="252">
        <f t="shared" si="116"/>
        <v>0</v>
      </c>
      <c r="AZ140" s="252">
        <f t="shared" si="116"/>
        <v>0</v>
      </c>
      <c r="BA140" s="252">
        <f t="shared" si="116"/>
        <v>0</v>
      </c>
      <c r="BB140" s="252">
        <f t="shared" si="116"/>
        <v>0</v>
      </c>
    </row>
    <row r="141" ht="15.75" customHeight="1">
      <c r="A141" s="252">
        <v>2016.0</v>
      </c>
      <c r="B141" s="32"/>
      <c r="C141" s="32"/>
      <c r="D141" s="32"/>
      <c r="E141" s="32"/>
      <c r="F141" s="32"/>
      <c r="G141" s="32"/>
      <c r="H141" s="32"/>
      <c r="I141" s="32"/>
      <c r="J141" s="32"/>
      <c r="K141" s="32"/>
      <c r="L141" s="32"/>
      <c r="M141" s="32"/>
      <c r="N141" s="32"/>
      <c r="O141" s="32"/>
      <c r="P141" s="32"/>
      <c r="Q141" s="32"/>
      <c r="R141" s="24">
        <v>0.0</v>
      </c>
      <c r="S141" s="32"/>
      <c r="T141" s="32"/>
      <c r="U141" s="32"/>
      <c r="V141" s="741">
        <v>0.0</v>
      </c>
      <c r="W141" s="252">
        <f t="shared" si="31"/>
        <v>0</v>
      </c>
      <c r="X141" s="252">
        <f t="shared" ref="X141:BB141" si="117">IF(AND(X$54-$A141&gt;$V$38,SUM($W141:W141)&lt;&gt;$V141),$V141,0)</f>
        <v>0</v>
      </c>
      <c r="Y141" s="252">
        <f t="shared" si="117"/>
        <v>0</v>
      </c>
      <c r="Z141" s="252">
        <f t="shared" si="117"/>
        <v>0</v>
      </c>
      <c r="AA141" s="252">
        <f t="shared" si="117"/>
        <v>0</v>
      </c>
      <c r="AB141" s="252">
        <f t="shared" si="117"/>
        <v>0</v>
      </c>
      <c r="AC141" s="252">
        <f t="shared" si="117"/>
        <v>0</v>
      </c>
      <c r="AD141" s="252">
        <f t="shared" si="117"/>
        <v>0</v>
      </c>
      <c r="AE141" s="252">
        <f t="shared" si="117"/>
        <v>0</v>
      </c>
      <c r="AF141" s="252">
        <f t="shared" si="117"/>
        <v>0</v>
      </c>
      <c r="AG141" s="252">
        <f t="shared" si="117"/>
        <v>0</v>
      </c>
      <c r="AH141" s="252">
        <f t="shared" si="117"/>
        <v>0</v>
      </c>
      <c r="AI141" s="252">
        <f t="shared" si="117"/>
        <v>0</v>
      </c>
      <c r="AJ141" s="252">
        <f t="shared" si="117"/>
        <v>0</v>
      </c>
      <c r="AK141" s="252">
        <f t="shared" si="117"/>
        <v>0</v>
      </c>
      <c r="AL141" s="252">
        <f t="shared" si="117"/>
        <v>0</v>
      </c>
      <c r="AM141" s="252">
        <f t="shared" si="117"/>
        <v>0</v>
      </c>
      <c r="AN141" s="252">
        <f t="shared" si="117"/>
        <v>0</v>
      </c>
      <c r="AO141" s="252">
        <f t="shared" si="117"/>
        <v>0</v>
      </c>
      <c r="AP141" s="252">
        <f t="shared" si="117"/>
        <v>0</v>
      </c>
      <c r="AQ141" s="252">
        <f t="shared" si="117"/>
        <v>0</v>
      </c>
      <c r="AR141" s="252">
        <f t="shared" si="117"/>
        <v>0</v>
      </c>
      <c r="AS141" s="252">
        <f t="shared" si="117"/>
        <v>0</v>
      </c>
      <c r="AT141" s="252">
        <f t="shared" si="117"/>
        <v>0</v>
      </c>
      <c r="AU141" s="252">
        <f t="shared" si="117"/>
        <v>0</v>
      </c>
      <c r="AV141" s="252">
        <f t="shared" si="117"/>
        <v>0</v>
      </c>
      <c r="AW141" s="252">
        <f t="shared" si="117"/>
        <v>0</v>
      </c>
      <c r="AX141" s="252">
        <f t="shared" si="117"/>
        <v>0</v>
      </c>
      <c r="AY141" s="252">
        <f t="shared" si="117"/>
        <v>0</v>
      </c>
      <c r="AZ141" s="252">
        <f t="shared" si="117"/>
        <v>0</v>
      </c>
      <c r="BA141" s="252">
        <f t="shared" si="117"/>
        <v>0</v>
      </c>
      <c r="BB141" s="252">
        <f t="shared" si="117"/>
        <v>0</v>
      </c>
    </row>
    <row r="142" ht="15.75" customHeight="1">
      <c r="A142" s="252">
        <v>2017.0</v>
      </c>
      <c r="B142" s="32"/>
      <c r="C142" s="32"/>
      <c r="D142" s="32"/>
      <c r="E142" s="32"/>
      <c r="F142" s="32"/>
      <c r="G142" s="32"/>
      <c r="H142" s="32"/>
      <c r="I142" s="32"/>
      <c r="J142" s="32"/>
      <c r="K142" s="32"/>
      <c r="L142" s="32"/>
      <c r="M142" s="32"/>
      <c r="N142" s="32"/>
      <c r="O142" s="32"/>
      <c r="P142" s="32"/>
      <c r="Q142" s="32"/>
      <c r="R142" s="24">
        <v>0.0</v>
      </c>
      <c r="S142" s="32"/>
      <c r="T142" s="32"/>
      <c r="U142" s="32"/>
      <c r="V142" s="741">
        <v>0.0</v>
      </c>
      <c r="W142" s="252">
        <f t="shared" si="31"/>
        <v>0</v>
      </c>
      <c r="X142" s="252">
        <f t="shared" ref="X142:BB142" si="118">IF(AND(X$54-$A142&gt;$V$38,SUM($W142:W142)&lt;&gt;$V142),$V142,0)</f>
        <v>0</v>
      </c>
      <c r="Y142" s="252">
        <f t="shared" si="118"/>
        <v>0</v>
      </c>
      <c r="Z142" s="252">
        <f t="shared" si="118"/>
        <v>0</v>
      </c>
      <c r="AA142" s="252">
        <f t="shared" si="118"/>
        <v>0</v>
      </c>
      <c r="AB142" s="252">
        <f t="shared" si="118"/>
        <v>0</v>
      </c>
      <c r="AC142" s="252">
        <f t="shared" si="118"/>
        <v>0</v>
      </c>
      <c r="AD142" s="252">
        <f t="shared" si="118"/>
        <v>0</v>
      </c>
      <c r="AE142" s="252">
        <f t="shared" si="118"/>
        <v>0</v>
      </c>
      <c r="AF142" s="252">
        <f t="shared" si="118"/>
        <v>0</v>
      </c>
      <c r="AG142" s="252">
        <f t="shared" si="118"/>
        <v>0</v>
      </c>
      <c r="AH142" s="252">
        <f t="shared" si="118"/>
        <v>0</v>
      </c>
      <c r="AI142" s="252">
        <f t="shared" si="118"/>
        <v>0</v>
      </c>
      <c r="AJ142" s="252">
        <f t="shared" si="118"/>
        <v>0</v>
      </c>
      <c r="AK142" s="252">
        <f t="shared" si="118"/>
        <v>0</v>
      </c>
      <c r="AL142" s="252">
        <f t="shared" si="118"/>
        <v>0</v>
      </c>
      <c r="AM142" s="252">
        <f t="shared" si="118"/>
        <v>0</v>
      </c>
      <c r="AN142" s="252">
        <f t="shared" si="118"/>
        <v>0</v>
      </c>
      <c r="AO142" s="252">
        <f t="shared" si="118"/>
        <v>0</v>
      </c>
      <c r="AP142" s="252">
        <f t="shared" si="118"/>
        <v>0</v>
      </c>
      <c r="AQ142" s="252">
        <f t="shared" si="118"/>
        <v>0</v>
      </c>
      <c r="AR142" s="252">
        <f t="shared" si="118"/>
        <v>0</v>
      </c>
      <c r="AS142" s="252">
        <f t="shared" si="118"/>
        <v>0</v>
      </c>
      <c r="AT142" s="252">
        <f t="shared" si="118"/>
        <v>0</v>
      </c>
      <c r="AU142" s="252">
        <f t="shared" si="118"/>
        <v>0</v>
      </c>
      <c r="AV142" s="252">
        <f t="shared" si="118"/>
        <v>0</v>
      </c>
      <c r="AW142" s="252">
        <f t="shared" si="118"/>
        <v>0</v>
      </c>
      <c r="AX142" s="252">
        <f t="shared" si="118"/>
        <v>0</v>
      </c>
      <c r="AY142" s="252">
        <f t="shared" si="118"/>
        <v>0</v>
      </c>
      <c r="AZ142" s="252">
        <f t="shared" si="118"/>
        <v>0</v>
      </c>
      <c r="BA142" s="252">
        <f t="shared" si="118"/>
        <v>0</v>
      </c>
      <c r="BB142" s="252">
        <f t="shared" si="118"/>
        <v>0</v>
      </c>
    </row>
    <row r="143" ht="15.75" customHeight="1">
      <c r="A143" s="252">
        <v>2018.0</v>
      </c>
      <c r="B143" s="32"/>
      <c r="C143" s="32"/>
      <c r="D143" s="32"/>
      <c r="E143" s="32"/>
      <c r="F143" s="32"/>
      <c r="G143" s="32"/>
      <c r="H143" s="32"/>
      <c r="I143" s="32"/>
      <c r="J143" s="32"/>
      <c r="K143" s="32"/>
      <c r="L143" s="32"/>
      <c r="M143" s="32"/>
      <c r="N143" s="32"/>
      <c r="O143" s="32"/>
      <c r="P143" s="32"/>
      <c r="Q143" s="32"/>
      <c r="R143" s="24">
        <v>0.0</v>
      </c>
      <c r="S143" s="32"/>
      <c r="T143" s="32"/>
      <c r="U143" s="32"/>
      <c r="V143" s="741">
        <v>0.0</v>
      </c>
      <c r="W143" s="252">
        <f t="shared" si="31"/>
        <v>0</v>
      </c>
      <c r="X143" s="252">
        <f t="shared" ref="X143:BB143" si="119">IF(AND(X$54-$A143&gt;$V$38,SUM($W143:W143)&lt;&gt;$V143),$V143,0)</f>
        <v>0</v>
      </c>
      <c r="Y143" s="252">
        <f t="shared" si="119"/>
        <v>0</v>
      </c>
      <c r="Z143" s="252">
        <f t="shared" si="119"/>
        <v>0</v>
      </c>
      <c r="AA143" s="252">
        <f t="shared" si="119"/>
        <v>0</v>
      </c>
      <c r="AB143" s="252">
        <f t="shared" si="119"/>
        <v>0</v>
      </c>
      <c r="AC143" s="252">
        <f t="shared" si="119"/>
        <v>0</v>
      </c>
      <c r="AD143" s="252">
        <f t="shared" si="119"/>
        <v>0</v>
      </c>
      <c r="AE143" s="252">
        <f t="shared" si="119"/>
        <v>0</v>
      </c>
      <c r="AF143" s="252">
        <f t="shared" si="119"/>
        <v>0</v>
      </c>
      <c r="AG143" s="252">
        <f t="shared" si="119"/>
        <v>0</v>
      </c>
      <c r="AH143" s="252">
        <f t="shared" si="119"/>
        <v>0</v>
      </c>
      <c r="AI143" s="252">
        <f t="shared" si="119"/>
        <v>0</v>
      </c>
      <c r="AJ143" s="252">
        <f t="shared" si="119"/>
        <v>0</v>
      </c>
      <c r="AK143" s="252">
        <f t="shared" si="119"/>
        <v>0</v>
      </c>
      <c r="AL143" s="252">
        <f t="shared" si="119"/>
        <v>0</v>
      </c>
      <c r="AM143" s="252">
        <f t="shared" si="119"/>
        <v>0</v>
      </c>
      <c r="AN143" s="252">
        <f t="shared" si="119"/>
        <v>0</v>
      </c>
      <c r="AO143" s="252">
        <f t="shared" si="119"/>
        <v>0</v>
      </c>
      <c r="AP143" s="252">
        <f t="shared" si="119"/>
        <v>0</v>
      </c>
      <c r="AQ143" s="252">
        <f t="shared" si="119"/>
        <v>0</v>
      </c>
      <c r="AR143" s="252">
        <f t="shared" si="119"/>
        <v>0</v>
      </c>
      <c r="AS143" s="252">
        <f t="shared" si="119"/>
        <v>0</v>
      </c>
      <c r="AT143" s="252">
        <f t="shared" si="119"/>
        <v>0</v>
      </c>
      <c r="AU143" s="252">
        <f t="shared" si="119"/>
        <v>0</v>
      </c>
      <c r="AV143" s="252">
        <f t="shared" si="119"/>
        <v>0</v>
      </c>
      <c r="AW143" s="252">
        <f t="shared" si="119"/>
        <v>0</v>
      </c>
      <c r="AX143" s="252">
        <f t="shared" si="119"/>
        <v>0</v>
      </c>
      <c r="AY143" s="252">
        <f t="shared" si="119"/>
        <v>0</v>
      </c>
      <c r="AZ143" s="252">
        <f t="shared" si="119"/>
        <v>0</v>
      </c>
      <c r="BA143" s="252">
        <f t="shared" si="119"/>
        <v>0</v>
      </c>
      <c r="BB143" s="252">
        <f t="shared" si="119"/>
        <v>0</v>
      </c>
    </row>
    <row r="144" ht="15.75" customHeight="1">
      <c r="A144" s="252">
        <v>2019.0</v>
      </c>
      <c r="B144" s="32"/>
      <c r="C144" s="32"/>
      <c r="D144" s="32"/>
      <c r="E144" s="32"/>
      <c r="F144" s="32"/>
      <c r="G144" s="32"/>
      <c r="H144" s="32"/>
      <c r="I144" s="32"/>
      <c r="J144" s="32"/>
      <c r="K144" s="32"/>
      <c r="L144" s="32"/>
      <c r="M144" s="32"/>
      <c r="N144" s="32"/>
      <c r="O144" s="32"/>
      <c r="P144" s="32"/>
      <c r="Q144" s="32"/>
      <c r="R144" s="24">
        <v>0.0</v>
      </c>
      <c r="S144" s="32"/>
      <c r="T144" s="32"/>
      <c r="U144" s="32"/>
      <c r="V144" s="741">
        <v>0.0</v>
      </c>
      <c r="W144" s="252">
        <f t="shared" si="31"/>
        <v>0</v>
      </c>
      <c r="X144" s="252">
        <f t="shared" ref="X144:BB144" si="120">IF(AND(X$54-$A144&gt;$V$38,SUM($W144:W144)&lt;&gt;$V144),$V144,0)</f>
        <v>0</v>
      </c>
      <c r="Y144" s="252">
        <f t="shared" si="120"/>
        <v>0</v>
      </c>
      <c r="Z144" s="252">
        <f t="shared" si="120"/>
        <v>0</v>
      </c>
      <c r="AA144" s="252">
        <f t="shared" si="120"/>
        <v>0</v>
      </c>
      <c r="AB144" s="252">
        <f t="shared" si="120"/>
        <v>0</v>
      </c>
      <c r="AC144" s="252">
        <f t="shared" si="120"/>
        <v>0</v>
      </c>
      <c r="AD144" s="252">
        <f t="shared" si="120"/>
        <v>0</v>
      </c>
      <c r="AE144" s="252">
        <f t="shared" si="120"/>
        <v>0</v>
      </c>
      <c r="AF144" s="252">
        <f t="shared" si="120"/>
        <v>0</v>
      </c>
      <c r="AG144" s="252">
        <f t="shared" si="120"/>
        <v>0</v>
      </c>
      <c r="AH144" s="252">
        <f t="shared" si="120"/>
        <v>0</v>
      </c>
      <c r="AI144" s="252">
        <f t="shared" si="120"/>
        <v>0</v>
      </c>
      <c r="AJ144" s="252">
        <f t="shared" si="120"/>
        <v>0</v>
      </c>
      <c r="AK144" s="252">
        <f t="shared" si="120"/>
        <v>0</v>
      </c>
      <c r="AL144" s="252">
        <f t="shared" si="120"/>
        <v>0</v>
      </c>
      <c r="AM144" s="252">
        <f t="shared" si="120"/>
        <v>0</v>
      </c>
      <c r="AN144" s="252">
        <f t="shared" si="120"/>
        <v>0</v>
      </c>
      <c r="AO144" s="252">
        <f t="shared" si="120"/>
        <v>0</v>
      </c>
      <c r="AP144" s="252">
        <f t="shared" si="120"/>
        <v>0</v>
      </c>
      <c r="AQ144" s="252">
        <f t="shared" si="120"/>
        <v>0</v>
      </c>
      <c r="AR144" s="252">
        <f t="shared" si="120"/>
        <v>0</v>
      </c>
      <c r="AS144" s="252">
        <f t="shared" si="120"/>
        <v>0</v>
      </c>
      <c r="AT144" s="252">
        <f t="shared" si="120"/>
        <v>0</v>
      </c>
      <c r="AU144" s="252">
        <f t="shared" si="120"/>
        <v>0</v>
      </c>
      <c r="AV144" s="252">
        <f t="shared" si="120"/>
        <v>0</v>
      </c>
      <c r="AW144" s="252">
        <f t="shared" si="120"/>
        <v>0</v>
      </c>
      <c r="AX144" s="252">
        <f t="shared" si="120"/>
        <v>0</v>
      </c>
      <c r="AY144" s="252">
        <f t="shared" si="120"/>
        <v>0</v>
      </c>
      <c r="AZ144" s="252">
        <f t="shared" si="120"/>
        <v>0</v>
      </c>
      <c r="BA144" s="252">
        <f t="shared" si="120"/>
        <v>0</v>
      </c>
      <c r="BB144" s="252">
        <f t="shared" si="120"/>
        <v>0</v>
      </c>
    </row>
    <row r="145" ht="15.75" customHeight="1">
      <c r="A145" s="744">
        <v>2020.0</v>
      </c>
      <c r="B145" s="32"/>
      <c r="C145" s="32"/>
      <c r="D145" s="32"/>
      <c r="E145" s="32"/>
      <c r="F145" s="32"/>
      <c r="G145" s="32"/>
      <c r="H145" s="32"/>
      <c r="I145" s="32"/>
      <c r="J145" s="32"/>
      <c r="K145" s="32"/>
      <c r="L145" s="32"/>
      <c r="M145" s="32"/>
      <c r="N145" s="32"/>
      <c r="O145" s="32"/>
      <c r="P145" s="32"/>
      <c r="Q145" s="32"/>
      <c r="R145" s="32"/>
      <c r="S145" s="32"/>
      <c r="T145" s="32"/>
      <c r="U145" s="745" t="s">
        <v>1016</v>
      </c>
      <c r="V145" s="589">
        <f t="array" ref="V145:V175">transpose(Model!W18:BA18)</f>
        <v>0</v>
      </c>
      <c r="W145" s="746">
        <f t="shared" si="31"/>
        <v>0</v>
      </c>
      <c r="X145" s="746">
        <f t="shared" ref="X145:BB145" si="121">IF(AND(X$54-$A145&gt;$V$38,SUM($W145:W145)&lt;&gt;$V145),$V145,0)</f>
        <v>0</v>
      </c>
      <c r="Y145" s="746">
        <f t="shared" si="121"/>
        <v>0</v>
      </c>
      <c r="Z145" s="746">
        <f t="shared" si="121"/>
        <v>0</v>
      </c>
      <c r="AA145" s="746">
        <f t="shared" si="121"/>
        <v>0</v>
      </c>
      <c r="AB145" s="746">
        <f t="shared" si="121"/>
        <v>0</v>
      </c>
      <c r="AC145" s="746">
        <f t="shared" si="121"/>
        <v>0</v>
      </c>
      <c r="AD145" s="746">
        <f t="shared" si="121"/>
        <v>0</v>
      </c>
      <c r="AE145" s="746">
        <f t="shared" si="121"/>
        <v>0</v>
      </c>
      <c r="AF145" s="746">
        <f t="shared" si="121"/>
        <v>0</v>
      </c>
      <c r="AG145" s="746">
        <f t="shared" si="121"/>
        <v>0</v>
      </c>
      <c r="AH145" s="746">
        <f t="shared" si="121"/>
        <v>0</v>
      </c>
      <c r="AI145" s="746">
        <f t="shared" si="121"/>
        <v>0</v>
      </c>
      <c r="AJ145" s="746">
        <f t="shared" si="121"/>
        <v>0</v>
      </c>
      <c r="AK145" s="746">
        <f t="shared" si="121"/>
        <v>0</v>
      </c>
      <c r="AL145" s="746">
        <f t="shared" si="121"/>
        <v>0</v>
      </c>
      <c r="AM145" s="746">
        <f t="shared" si="121"/>
        <v>0</v>
      </c>
      <c r="AN145" s="746">
        <f t="shared" si="121"/>
        <v>0</v>
      </c>
      <c r="AO145" s="746">
        <f t="shared" si="121"/>
        <v>0</v>
      </c>
      <c r="AP145" s="746">
        <f t="shared" si="121"/>
        <v>0</v>
      </c>
      <c r="AQ145" s="746">
        <f t="shared" si="121"/>
        <v>0</v>
      </c>
      <c r="AR145" s="746">
        <f t="shared" si="121"/>
        <v>0</v>
      </c>
      <c r="AS145" s="746">
        <f t="shared" si="121"/>
        <v>0</v>
      </c>
      <c r="AT145" s="746">
        <f t="shared" si="121"/>
        <v>0</v>
      </c>
      <c r="AU145" s="746">
        <f t="shared" si="121"/>
        <v>0</v>
      </c>
      <c r="AV145" s="746">
        <f t="shared" si="121"/>
        <v>0</v>
      </c>
      <c r="AW145" s="746">
        <f t="shared" si="121"/>
        <v>0</v>
      </c>
      <c r="AX145" s="746">
        <f t="shared" si="121"/>
        <v>0</v>
      </c>
      <c r="AY145" s="746">
        <f t="shared" si="121"/>
        <v>0</v>
      </c>
      <c r="AZ145" s="746">
        <f t="shared" si="121"/>
        <v>0</v>
      </c>
      <c r="BA145" s="746">
        <f t="shared" si="121"/>
        <v>0</v>
      </c>
      <c r="BB145" s="746">
        <f t="shared" si="121"/>
        <v>0</v>
      </c>
    </row>
    <row r="146" ht="15.75" customHeight="1">
      <c r="A146" s="744">
        <v>2021.0</v>
      </c>
      <c r="B146" s="32"/>
      <c r="C146" s="32"/>
      <c r="D146" s="32"/>
      <c r="E146" s="32"/>
      <c r="F146" s="32"/>
      <c r="G146" s="32"/>
      <c r="H146" s="32"/>
      <c r="I146" s="32"/>
      <c r="J146" s="32"/>
      <c r="K146" s="32"/>
      <c r="L146" s="32"/>
      <c r="M146" s="32"/>
      <c r="N146" s="32"/>
      <c r="O146" s="32"/>
      <c r="P146" s="32"/>
      <c r="Q146" s="32"/>
      <c r="R146" s="32"/>
      <c r="S146" s="32"/>
      <c r="T146" s="32"/>
      <c r="U146" s="745" t="s">
        <v>1017</v>
      </c>
      <c r="V146" s="589">
        <v>8326.946952154634</v>
      </c>
      <c r="W146" s="746">
        <f t="shared" si="31"/>
        <v>0</v>
      </c>
      <c r="X146" s="746">
        <f t="shared" ref="X146:BB146" si="122">IF(AND(X$54-$A146&gt;$V$38,SUM($W146:W146)&lt;&gt;$V146),$V146,0)</f>
        <v>0</v>
      </c>
      <c r="Y146" s="746">
        <f t="shared" si="122"/>
        <v>0</v>
      </c>
      <c r="Z146" s="746">
        <f t="shared" si="122"/>
        <v>0</v>
      </c>
      <c r="AA146" s="746">
        <f t="shared" si="122"/>
        <v>0</v>
      </c>
      <c r="AB146" s="746">
        <f t="shared" si="122"/>
        <v>0</v>
      </c>
      <c r="AC146" s="746">
        <f t="shared" si="122"/>
        <v>0</v>
      </c>
      <c r="AD146" s="746">
        <f t="shared" si="122"/>
        <v>0</v>
      </c>
      <c r="AE146" s="746">
        <f t="shared" si="122"/>
        <v>0</v>
      </c>
      <c r="AF146" s="746">
        <f t="shared" si="122"/>
        <v>0</v>
      </c>
      <c r="AG146" s="746">
        <f t="shared" si="122"/>
        <v>0</v>
      </c>
      <c r="AH146" s="746">
        <f t="shared" si="122"/>
        <v>0</v>
      </c>
      <c r="AI146" s="746">
        <f t="shared" si="122"/>
        <v>0</v>
      </c>
      <c r="AJ146" s="746">
        <f t="shared" si="122"/>
        <v>0</v>
      </c>
      <c r="AK146" s="746">
        <f t="shared" si="122"/>
        <v>0</v>
      </c>
      <c r="AL146" s="746">
        <f t="shared" si="122"/>
        <v>0</v>
      </c>
      <c r="AM146" s="746">
        <f t="shared" si="122"/>
        <v>0</v>
      </c>
      <c r="AN146" s="746">
        <f t="shared" si="122"/>
        <v>0</v>
      </c>
      <c r="AO146" s="746">
        <f t="shared" si="122"/>
        <v>0</v>
      </c>
      <c r="AP146" s="746">
        <f t="shared" si="122"/>
        <v>0</v>
      </c>
      <c r="AQ146" s="746">
        <f t="shared" si="122"/>
        <v>0</v>
      </c>
      <c r="AR146" s="746">
        <f t="shared" si="122"/>
        <v>0</v>
      </c>
      <c r="AS146" s="746">
        <f t="shared" si="122"/>
        <v>0</v>
      </c>
      <c r="AT146" s="746">
        <f t="shared" si="122"/>
        <v>0</v>
      </c>
      <c r="AU146" s="746">
        <f t="shared" si="122"/>
        <v>0</v>
      </c>
      <c r="AV146" s="746">
        <f t="shared" si="122"/>
        <v>0</v>
      </c>
      <c r="AW146" s="746">
        <f t="shared" si="122"/>
        <v>0</v>
      </c>
      <c r="AX146" s="746">
        <f t="shared" si="122"/>
        <v>0</v>
      </c>
      <c r="AY146" s="746">
        <f t="shared" si="122"/>
        <v>0</v>
      </c>
      <c r="AZ146" s="746">
        <f t="shared" si="122"/>
        <v>0</v>
      </c>
      <c r="BA146" s="746">
        <f t="shared" si="122"/>
        <v>0</v>
      </c>
      <c r="BB146" s="746">
        <f t="shared" si="122"/>
        <v>0</v>
      </c>
    </row>
    <row r="147" ht="15.75" customHeight="1">
      <c r="A147" s="744">
        <v>2022.0</v>
      </c>
      <c r="B147" s="32"/>
      <c r="C147" s="32"/>
      <c r="D147" s="32"/>
      <c r="E147" s="32"/>
      <c r="F147" s="32"/>
      <c r="G147" s="32"/>
      <c r="H147" s="32"/>
      <c r="I147" s="32"/>
      <c r="J147" s="32"/>
      <c r="K147" s="32"/>
      <c r="L147" s="32"/>
      <c r="M147" s="32"/>
      <c r="N147" s="32"/>
      <c r="O147" s="32"/>
      <c r="P147" s="32"/>
      <c r="Q147" s="32"/>
      <c r="R147" s="32"/>
      <c r="S147" s="32"/>
      <c r="T147" s="32"/>
      <c r="U147" s="745" t="s">
        <v>1018</v>
      </c>
      <c r="V147" s="589">
        <v>904.3469521546358</v>
      </c>
      <c r="W147" s="746">
        <f t="shared" si="31"/>
        <v>0</v>
      </c>
      <c r="X147" s="746">
        <f t="shared" ref="X147:BB147" si="123">IF(AND(X$54-$A147&gt;$V$38,SUM($W147:W147)&lt;&gt;$V147),$V147,0)</f>
        <v>0</v>
      </c>
      <c r="Y147" s="746">
        <f t="shared" si="123"/>
        <v>0</v>
      </c>
      <c r="Z147" s="746">
        <f t="shared" si="123"/>
        <v>0</v>
      </c>
      <c r="AA147" s="746">
        <f t="shared" si="123"/>
        <v>0</v>
      </c>
      <c r="AB147" s="746">
        <f t="shared" si="123"/>
        <v>0</v>
      </c>
      <c r="AC147" s="746">
        <f t="shared" si="123"/>
        <v>0</v>
      </c>
      <c r="AD147" s="746">
        <f t="shared" si="123"/>
        <v>0</v>
      </c>
      <c r="AE147" s="746">
        <f t="shared" si="123"/>
        <v>0</v>
      </c>
      <c r="AF147" s="746">
        <f t="shared" si="123"/>
        <v>0</v>
      </c>
      <c r="AG147" s="746">
        <f t="shared" si="123"/>
        <v>0</v>
      </c>
      <c r="AH147" s="746">
        <f t="shared" si="123"/>
        <v>0</v>
      </c>
      <c r="AI147" s="746">
        <f t="shared" si="123"/>
        <v>0</v>
      </c>
      <c r="AJ147" s="746">
        <f t="shared" si="123"/>
        <v>0</v>
      </c>
      <c r="AK147" s="746">
        <f t="shared" si="123"/>
        <v>0</v>
      </c>
      <c r="AL147" s="746">
        <f t="shared" si="123"/>
        <v>0</v>
      </c>
      <c r="AM147" s="746">
        <f t="shared" si="123"/>
        <v>0</v>
      </c>
      <c r="AN147" s="746">
        <f t="shared" si="123"/>
        <v>0</v>
      </c>
      <c r="AO147" s="746">
        <f t="shared" si="123"/>
        <v>0</v>
      </c>
      <c r="AP147" s="746">
        <f t="shared" si="123"/>
        <v>0</v>
      </c>
      <c r="AQ147" s="746">
        <f t="shared" si="123"/>
        <v>0</v>
      </c>
      <c r="AR147" s="746">
        <f t="shared" si="123"/>
        <v>0</v>
      </c>
      <c r="AS147" s="746">
        <f t="shared" si="123"/>
        <v>0</v>
      </c>
      <c r="AT147" s="746">
        <f t="shared" si="123"/>
        <v>0</v>
      </c>
      <c r="AU147" s="746">
        <f t="shared" si="123"/>
        <v>0</v>
      </c>
      <c r="AV147" s="746">
        <f t="shared" si="123"/>
        <v>0</v>
      </c>
      <c r="AW147" s="746">
        <f t="shared" si="123"/>
        <v>0</v>
      </c>
      <c r="AX147" s="746">
        <f t="shared" si="123"/>
        <v>0</v>
      </c>
      <c r="AY147" s="746">
        <f t="shared" si="123"/>
        <v>0</v>
      </c>
      <c r="AZ147" s="746">
        <f t="shared" si="123"/>
        <v>0</v>
      </c>
      <c r="BA147" s="746">
        <f t="shared" si="123"/>
        <v>0</v>
      </c>
      <c r="BB147" s="746">
        <f t="shared" si="123"/>
        <v>0</v>
      </c>
    </row>
    <row r="148" ht="15.75" customHeight="1">
      <c r="A148" s="744">
        <v>2023.0</v>
      </c>
      <c r="U148" s="745" t="s">
        <v>1019</v>
      </c>
      <c r="V148" s="747">
        <v>1416.9469521546343</v>
      </c>
      <c r="W148" s="746">
        <f t="shared" si="31"/>
        <v>0</v>
      </c>
      <c r="X148" s="746">
        <f t="shared" ref="X148:BB148" si="124">IF(AND(X$54-$A148&gt;$V$38,SUM($W148:W148)&lt;&gt;$V148),$V148,0)</f>
        <v>0</v>
      </c>
      <c r="Y148" s="746">
        <f t="shared" si="124"/>
        <v>0</v>
      </c>
      <c r="Z148" s="746">
        <f t="shared" si="124"/>
        <v>0</v>
      </c>
      <c r="AA148" s="746">
        <f t="shared" si="124"/>
        <v>0</v>
      </c>
      <c r="AB148" s="746">
        <f t="shared" si="124"/>
        <v>0</v>
      </c>
      <c r="AC148" s="746">
        <f t="shared" si="124"/>
        <v>0</v>
      </c>
      <c r="AD148" s="746">
        <f t="shared" si="124"/>
        <v>0</v>
      </c>
      <c r="AE148" s="746">
        <f t="shared" si="124"/>
        <v>0</v>
      </c>
      <c r="AF148" s="746">
        <f t="shared" si="124"/>
        <v>0</v>
      </c>
      <c r="AG148" s="746">
        <f t="shared" si="124"/>
        <v>0</v>
      </c>
      <c r="AH148" s="746">
        <f t="shared" si="124"/>
        <v>0</v>
      </c>
      <c r="AI148" s="746">
        <f t="shared" si="124"/>
        <v>0</v>
      </c>
      <c r="AJ148" s="746">
        <f t="shared" si="124"/>
        <v>0</v>
      </c>
      <c r="AK148" s="746">
        <f t="shared" si="124"/>
        <v>0</v>
      </c>
      <c r="AL148" s="746">
        <f t="shared" si="124"/>
        <v>0</v>
      </c>
      <c r="AM148" s="746">
        <f t="shared" si="124"/>
        <v>0</v>
      </c>
      <c r="AN148" s="746">
        <f t="shared" si="124"/>
        <v>0</v>
      </c>
      <c r="AO148" s="746">
        <f t="shared" si="124"/>
        <v>0</v>
      </c>
      <c r="AP148" s="746">
        <f t="shared" si="124"/>
        <v>0</v>
      </c>
      <c r="AQ148" s="746">
        <f t="shared" si="124"/>
        <v>0</v>
      </c>
      <c r="AR148" s="746">
        <f t="shared" si="124"/>
        <v>0</v>
      </c>
      <c r="AS148" s="746">
        <f t="shared" si="124"/>
        <v>0</v>
      </c>
      <c r="AT148" s="746">
        <f t="shared" si="124"/>
        <v>0</v>
      </c>
      <c r="AU148" s="746">
        <f t="shared" si="124"/>
        <v>0</v>
      </c>
      <c r="AV148" s="746">
        <f t="shared" si="124"/>
        <v>0</v>
      </c>
      <c r="AW148" s="746">
        <f t="shared" si="124"/>
        <v>0</v>
      </c>
      <c r="AX148" s="746">
        <f t="shared" si="124"/>
        <v>0</v>
      </c>
      <c r="AY148" s="746">
        <f t="shared" si="124"/>
        <v>0</v>
      </c>
      <c r="AZ148" s="746">
        <f t="shared" si="124"/>
        <v>0</v>
      </c>
      <c r="BA148" s="746">
        <f t="shared" si="124"/>
        <v>0</v>
      </c>
      <c r="BB148" s="746">
        <f t="shared" si="124"/>
        <v>0</v>
      </c>
    </row>
    <row r="149" ht="15.75" customHeight="1">
      <c r="A149" s="744">
        <v>2024.0</v>
      </c>
      <c r="V149" s="747">
        <v>1438.4469521546343</v>
      </c>
      <c r="W149" s="746">
        <f t="shared" si="31"/>
        <v>0</v>
      </c>
      <c r="X149" s="746">
        <f t="shared" ref="X149:BB149" si="125">IF(AND(X$54-$A149&gt;$V$38,SUM($W149:W149)&lt;&gt;$V149),$V149,0)</f>
        <v>0</v>
      </c>
      <c r="Y149" s="746">
        <f t="shared" si="125"/>
        <v>0</v>
      </c>
      <c r="Z149" s="746">
        <f t="shared" si="125"/>
        <v>0</v>
      </c>
      <c r="AA149" s="746">
        <f t="shared" si="125"/>
        <v>0</v>
      </c>
      <c r="AB149" s="746">
        <f t="shared" si="125"/>
        <v>0</v>
      </c>
      <c r="AC149" s="746">
        <f t="shared" si="125"/>
        <v>0</v>
      </c>
      <c r="AD149" s="746">
        <f t="shared" si="125"/>
        <v>0</v>
      </c>
      <c r="AE149" s="746">
        <f t="shared" si="125"/>
        <v>0</v>
      </c>
      <c r="AF149" s="746">
        <f t="shared" si="125"/>
        <v>0</v>
      </c>
      <c r="AG149" s="746">
        <f t="shared" si="125"/>
        <v>0</v>
      </c>
      <c r="AH149" s="746">
        <f t="shared" si="125"/>
        <v>0</v>
      </c>
      <c r="AI149" s="746">
        <f t="shared" si="125"/>
        <v>0</v>
      </c>
      <c r="AJ149" s="746">
        <f t="shared" si="125"/>
        <v>0</v>
      </c>
      <c r="AK149" s="746">
        <f t="shared" si="125"/>
        <v>0</v>
      </c>
      <c r="AL149" s="746">
        <f t="shared" si="125"/>
        <v>0</v>
      </c>
      <c r="AM149" s="746">
        <f t="shared" si="125"/>
        <v>0</v>
      </c>
      <c r="AN149" s="746">
        <f t="shared" si="125"/>
        <v>0</v>
      </c>
      <c r="AO149" s="746">
        <f t="shared" si="125"/>
        <v>0</v>
      </c>
      <c r="AP149" s="746">
        <f t="shared" si="125"/>
        <v>0</v>
      </c>
      <c r="AQ149" s="746">
        <f t="shared" si="125"/>
        <v>0</v>
      </c>
      <c r="AR149" s="746">
        <f t="shared" si="125"/>
        <v>0</v>
      </c>
      <c r="AS149" s="746">
        <f t="shared" si="125"/>
        <v>0</v>
      </c>
      <c r="AT149" s="746">
        <f t="shared" si="125"/>
        <v>0</v>
      </c>
      <c r="AU149" s="746">
        <f t="shared" si="125"/>
        <v>0</v>
      </c>
      <c r="AV149" s="746">
        <f t="shared" si="125"/>
        <v>0</v>
      </c>
      <c r="AW149" s="746">
        <f t="shared" si="125"/>
        <v>0</v>
      </c>
      <c r="AX149" s="746">
        <f t="shared" si="125"/>
        <v>0</v>
      </c>
      <c r="AY149" s="746">
        <f t="shared" si="125"/>
        <v>0</v>
      </c>
      <c r="AZ149" s="746">
        <f t="shared" si="125"/>
        <v>0</v>
      </c>
      <c r="BA149" s="746">
        <f t="shared" si="125"/>
        <v>0</v>
      </c>
      <c r="BB149" s="746">
        <f t="shared" si="125"/>
        <v>0</v>
      </c>
    </row>
    <row r="150" ht="15.75" customHeight="1">
      <c r="A150" s="744">
        <v>2025.0</v>
      </c>
      <c r="V150" s="747">
        <v>3234.346952154636</v>
      </c>
      <c r="W150" s="746">
        <f t="shared" si="31"/>
        <v>0</v>
      </c>
      <c r="X150" s="746">
        <f t="shared" ref="X150:BB150" si="126">IF(AND(X$54-$A150&gt;$V$38,SUM($W150:W150)&lt;&gt;$V150),$V150,0)</f>
        <v>0</v>
      </c>
      <c r="Y150" s="746">
        <f t="shared" si="126"/>
        <v>0</v>
      </c>
      <c r="Z150" s="746">
        <f t="shared" si="126"/>
        <v>0</v>
      </c>
      <c r="AA150" s="746">
        <f t="shared" si="126"/>
        <v>0</v>
      </c>
      <c r="AB150" s="746">
        <f t="shared" si="126"/>
        <v>0</v>
      </c>
      <c r="AC150" s="746">
        <f t="shared" si="126"/>
        <v>0</v>
      </c>
      <c r="AD150" s="746">
        <f t="shared" si="126"/>
        <v>0</v>
      </c>
      <c r="AE150" s="746">
        <f t="shared" si="126"/>
        <v>0</v>
      </c>
      <c r="AF150" s="746">
        <f t="shared" si="126"/>
        <v>0</v>
      </c>
      <c r="AG150" s="746">
        <f t="shared" si="126"/>
        <v>0</v>
      </c>
      <c r="AH150" s="746">
        <f t="shared" si="126"/>
        <v>0</v>
      </c>
      <c r="AI150" s="746">
        <f t="shared" si="126"/>
        <v>0</v>
      </c>
      <c r="AJ150" s="746">
        <f t="shared" si="126"/>
        <v>0</v>
      </c>
      <c r="AK150" s="746">
        <f t="shared" si="126"/>
        <v>0</v>
      </c>
      <c r="AL150" s="746">
        <f t="shared" si="126"/>
        <v>0</v>
      </c>
      <c r="AM150" s="746">
        <f t="shared" si="126"/>
        <v>0</v>
      </c>
      <c r="AN150" s="746">
        <f t="shared" si="126"/>
        <v>0</v>
      </c>
      <c r="AO150" s="746">
        <f t="shared" si="126"/>
        <v>0</v>
      </c>
      <c r="AP150" s="746">
        <f t="shared" si="126"/>
        <v>0</v>
      </c>
      <c r="AQ150" s="746">
        <f t="shared" si="126"/>
        <v>0</v>
      </c>
      <c r="AR150" s="746">
        <f t="shared" si="126"/>
        <v>0</v>
      </c>
      <c r="AS150" s="746">
        <f t="shared" si="126"/>
        <v>0</v>
      </c>
      <c r="AT150" s="746">
        <f t="shared" si="126"/>
        <v>0</v>
      </c>
      <c r="AU150" s="746">
        <f t="shared" si="126"/>
        <v>0</v>
      </c>
      <c r="AV150" s="746">
        <f t="shared" si="126"/>
        <v>0</v>
      </c>
      <c r="AW150" s="746">
        <f t="shared" si="126"/>
        <v>0</v>
      </c>
      <c r="AX150" s="746">
        <f t="shared" si="126"/>
        <v>0</v>
      </c>
      <c r="AY150" s="746">
        <f t="shared" si="126"/>
        <v>0</v>
      </c>
      <c r="AZ150" s="746">
        <f t="shared" si="126"/>
        <v>0</v>
      </c>
      <c r="BA150" s="746">
        <f t="shared" si="126"/>
        <v>0</v>
      </c>
      <c r="BB150" s="746">
        <f t="shared" si="126"/>
        <v>0</v>
      </c>
    </row>
    <row r="151" ht="15.75" customHeight="1">
      <c r="A151" s="744">
        <v>2026.0</v>
      </c>
      <c r="V151" s="747">
        <v>2379.046952154633</v>
      </c>
      <c r="W151" s="746">
        <f t="shared" si="31"/>
        <v>0</v>
      </c>
      <c r="X151" s="746">
        <f t="shared" ref="X151:BB151" si="127">IF(AND(X$54-$A151&gt;$V$38,SUM($W151:W151)&lt;&gt;$V151),$V151,0)</f>
        <v>0</v>
      </c>
      <c r="Y151" s="746">
        <f t="shared" si="127"/>
        <v>0</v>
      </c>
      <c r="Z151" s="746">
        <f t="shared" si="127"/>
        <v>0</v>
      </c>
      <c r="AA151" s="746">
        <f t="shared" si="127"/>
        <v>0</v>
      </c>
      <c r="AB151" s="746">
        <f t="shared" si="127"/>
        <v>0</v>
      </c>
      <c r="AC151" s="746">
        <f t="shared" si="127"/>
        <v>0</v>
      </c>
      <c r="AD151" s="746">
        <f t="shared" si="127"/>
        <v>0</v>
      </c>
      <c r="AE151" s="746">
        <f t="shared" si="127"/>
        <v>0</v>
      </c>
      <c r="AF151" s="746">
        <f t="shared" si="127"/>
        <v>0</v>
      </c>
      <c r="AG151" s="746">
        <f t="shared" si="127"/>
        <v>0</v>
      </c>
      <c r="AH151" s="746">
        <f t="shared" si="127"/>
        <v>0</v>
      </c>
      <c r="AI151" s="746">
        <f t="shared" si="127"/>
        <v>0</v>
      </c>
      <c r="AJ151" s="746">
        <f t="shared" si="127"/>
        <v>0</v>
      </c>
      <c r="AK151" s="746">
        <f t="shared" si="127"/>
        <v>0</v>
      </c>
      <c r="AL151" s="746">
        <f t="shared" si="127"/>
        <v>0</v>
      </c>
      <c r="AM151" s="746">
        <f t="shared" si="127"/>
        <v>0</v>
      </c>
      <c r="AN151" s="746">
        <f t="shared" si="127"/>
        <v>0</v>
      </c>
      <c r="AO151" s="746">
        <f t="shared" si="127"/>
        <v>0</v>
      </c>
      <c r="AP151" s="746">
        <f t="shared" si="127"/>
        <v>0</v>
      </c>
      <c r="AQ151" s="746">
        <f t="shared" si="127"/>
        <v>0</v>
      </c>
      <c r="AR151" s="746">
        <f t="shared" si="127"/>
        <v>0</v>
      </c>
      <c r="AS151" s="746">
        <f t="shared" si="127"/>
        <v>0</v>
      </c>
      <c r="AT151" s="746">
        <f t="shared" si="127"/>
        <v>0</v>
      </c>
      <c r="AU151" s="746">
        <f t="shared" si="127"/>
        <v>0</v>
      </c>
      <c r="AV151" s="746">
        <f t="shared" si="127"/>
        <v>0</v>
      </c>
      <c r="AW151" s="746">
        <f t="shared" si="127"/>
        <v>0</v>
      </c>
      <c r="AX151" s="746">
        <f t="shared" si="127"/>
        <v>0</v>
      </c>
      <c r="AY151" s="746">
        <f t="shared" si="127"/>
        <v>0</v>
      </c>
      <c r="AZ151" s="746">
        <f t="shared" si="127"/>
        <v>0</v>
      </c>
      <c r="BA151" s="746">
        <f t="shared" si="127"/>
        <v>0</v>
      </c>
      <c r="BB151" s="746">
        <f t="shared" si="127"/>
        <v>0</v>
      </c>
    </row>
    <row r="152" ht="15.75" customHeight="1">
      <c r="A152" s="744">
        <v>2027.0</v>
      </c>
      <c r="V152" s="747">
        <v>1742.046952154633</v>
      </c>
      <c r="W152" s="746">
        <f t="shared" si="31"/>
        <v>0</v>
      </c>
      <c r="X152" s="746">
        <f t="shared" ref="X152:BB152" si="128">IF(AND(X$54-$A152&gt;$V$38,SUM($W152:W152)&lt;&gt;$V152),$V152,0)</f>
        <v>0</v>
      </c>
      <c r="Y152" s="746">
        <f t="shared" si="128"/>
        <v>0</v>
      </c>
      <c r="Z152" s="746">
        <f t="shared" si="128"/>
        <v>0</v>
      </c>
      <c r="AA152" s="746">
        <f t="shared" si="128"/>
        <v>0</v>
      </c>
      <c r="AB152" s="746">
        <f t="shared" si="128"/>
        <v>0</v>
      </c>
      <c r="AC152" s="746">
        <f t="shared" si="128"/>
        <v>0</v>
      </c>
      <c r="AD152" s="746">
        <f t="shared" si="128"/>
        <v>0</v>
      </c>
      <c r="AE152" s="746">
        <f t="shared" si="128"/>
        <v>0</v>
      </c>
      <c r="AF152" s="746">
        <f t="shared" si="128"/>
        <v>0</v>
      </c>
      <c r="AG152" s="746">
        <f t="shared" si="128"/>
        <v>0</v>
      </c>
      <c r="AH152" s="746">
        <f t="shared" si="128"/>
        <v>0</v>
      </c>
      <c r="AI152" s="746">
        <f t="shared" si="128"/>
        <v>0</v>
      </c>
      <c r="AJ152" s="746">
        <f t="shared" si="128"/>
        <v>0</v>
      </c>
      <c r="AK152" s="746">
        <f t="shared" si="128"/>
        <v>0</v>
      </c>
      <c r="AL152" s="746">
        <f t="shared" si="128"/>
        <v>0</v>
      </c>
      <c r="AM152" s="746">
        <f t="shared" si="128"/>
        <v>0</v>
      </c>
      <c r="AN152" s="746">
        <f t="shared" si="128"/>
        <v>0</v>
      </c>
      <c r="AO152" s="746">
        <f t="shared" si="128"/>
        <v>0</v>
      </c>
      <c r="AP152" s="746">
        <f t="shared" si="128"/>
        <v>0</v>
      </c>
      <c r="AQ152" s="746">
        <f t="shared" si="128"/>
        <v>0</v>
      </c>
      <c r="AR152" s="746">
        <f t="shared" si="128"/>
        <v>0</v>
      </c>
      <c r="AS152" s="746">
        <f t="shared" si="128"/>
        <v>0</v>
      </c>
      <c r="AT152" s="746">
        <f t="shared" si="128"/>
        <v>0</v>
      </c>
      <c r="AU152" s="746">
        <f t="shared" si="128"/>
        <v>0</v>
      </c>
      <c r="AV152" s="746">
        <f t="shared" si="128"/>
        <v>0</v>
      </c>
      <c r="AW152" s="746">
        <f t="shared" si="128"/>
        <v>0</v>
      </c>
      <c r="AX152" s="746">
        <f t="shared" si="128"/>
        <v>0</v>
      </c>
      <c r="AY152" s="746">
        <f t="shared" si="128"/>
        <v>0</v>
      </c>
      <c r="AZ152" s="746">
        <f t="shared" si="128"/>
        <v>0</v>
      </c>
      <c r="BA152" s="746">
        <f t="shared" si="128"/>
        <v>0</v>
      </c>
      <c r="BB152" s="746">
        <f t="shared" si="128"/>
        <v>0</v>
      </c>
    </row>
    <row r="153" ht="15.75" customHeight="1">
      <c r="A153" s="744">
        <v>2028.0</v>
      </c>
      <c r="V153" s="747">
        <v>181.44695215463435</v>
      </c>
      <c r="W153" s="746">
        <f t="shared" si="31"/>
        <v>0</v>
      </c>
      <c r="X153" s="746">
        <f t="shared" ref="X153:BB153" si="129">IF(AND(X$54-$A153&gt;$V$38,SUM($W153:W153)&lt;&gt;$V153),$V153,0)</f>
        <v>0</v>
      </c>
      <c r="Y153" s="746">
        <f t="shared" si="129"/>
        <v>0</v>
      </c>
      <c r="Z153" s="746">
        <f t="shared" si="129"/>
        <v>0</v>
      </c>
      <c r="AA153" s="746">
        <f t="shared" si="129"/>
        <v>0</v>
      </c>
      <c r="AB153" s="746">
        <f t="shared" si="129"/>
        <v>0</v>
      </c>
      <c r="AC153" s="746">
        <f t="shared" si="129"/>
        <v>0</v>
      </c>
      <c r="AD153" s="746">
        <f t="shared" si="129"/>
        <v>0</v>
      </c>
      <c r="AE153" s="746">
        <f t="shared" si="129"/>
        <v>0</v>
      </c>
      <c r="AF153" s="746">
        <f t="shared" si="129"/>
        <v>0</v>
      </c>
      <c r="AG153" s="746">
        <f t="shared" si="129"/>
        <v>0</v>
      </c>
      <c r="AH153" s="746">
        <f t="shared" si="129"/>
        <v>0</v>
      </c>
      <c r="AI153" s="746">
        <f t="shared" si="129"/>
        <v>0</v>
      </c>
      <c r="AJ153" s="746">
        <f t="shared" si="129"/>
        <v>0</v>
      </c>
      <c r="AK153" s="746">
        <f t="shared" si="129"/>
        <v>0</v>
      </c>
      <c r="AL153" s="746">
        <f t="shared" si="129"/>
        <v>0</v>
      </c>
      <c r="AM153" s="746">
        <f t="shared" si="129"/>
        <v>0</v>
      </c>
      <c r="AN153" s="746">
        <f t="shared" si="129"/>
        <v>0</v>
      </c>
      <c r="AO153" s="746">
        <f t="shared" si="129"/>
        <v>0</v>
      </c>
      <c r="AP153" s="746">
        <f t="shared" si="129"/>
        <v>0</v>
      </c>
      <c r="AQ153" s="746">
        <f t="shared" si="129"/>
        <v>0</v>
      </c>
      <c r="AR153" s="746">
        <f t="shared" si="129"/>
        <v>0</v>
      </c>
      <c r="AS153" s="746">
        <f t="shared" si="129"/>
        <v>0</v>
      </c>
      <c r="AT153" s="746">
        <f t="shared" si="129"/>
        <v>0</v>
      </c>
      <c r="AU153" s="746">
        <f t="shared" si="129"/>
        <v>0</v>
      </c>
      <c r="AV153" s="746">
        <f t="shared" si="129"/>
        <v>0</v>
      </c>
      <c r="AW153" s="746">
        <f t="shared" si="129"/>
        <v>0</v>
      </c>
      <c r="AX153" s="746">
        <f t="shared" si="129"/>
        <v>0</v>
      </c>
      <c r="AY153" s="746">
        <f t="shared" si="129"/>
        <v>0</v>
      </c>
      <c r="AZ153" s="746">
        <f t="shared" si="129"/>
        <v>0</v>
      </c>
      <c r="BA153" s="746">
        <f t="shared" si="129"/>
        <v>0</v>
      </c>
      <c r="BB153" s="746">
        <f t="shared" si="129"/>
        <v>0</v>
      </c>
    </row>
    <row r="154" ht="15.75" customHeight="1">
      <c r="A154" s="744">
        <v>2029.0</v>
      </c>
      <c r="V154" s="747">
        <v>92.74695215463726</v>
      </c>
      <c r="W154" s="746">
        <f t="shared" si="31"/>
        <v>0</v>
      </c>
      <c r="X154" s="746">
        <f t="shared" ref="X154:BB154" si="130">IF(AND(X$54-$A154&gt;$V$38,SUM($W154:W154)&lt;&gt;$V154),$V154,0)</f>
        <v>0</v>
      </c>
      <c r="Y154" s="746">
        <f t="shared" si="130"/>
        <v>0</v>
      </c>
      <c r="Z154" s="746">
        <f t="shared" si="130"/>
        <v>0</v>
      </c>
      <c r="AA154" s="746">
        <f t="shared" si="130"/>
        <v>0</v>
      </c>
      <c r="AB154" s="746">
        <f t="shared" si="130"/>
        <v>0</v>
      </c>
      <c r="AC154" s="746">
        <f t="shared" si="130"/>
        <v>0</v>
      </c>
      <c r="AD154" s="746">
        <f t="shared" si="130"/>
        <v>0</v>
      </c>
      <c r="AE154" s="746">
        <f t="shared" si="130"/>
        <v>0</v>
      </c>
      <c r="AF154" s="746">
        <f t="shared" si="130"/>
        <v>0</v>
      </c>
      <c r="AG154" s="746">
        <f t="shared" si="130"/>
        <v>0</v>
      </c>
      <c r="AH154" s="746">
        <f t="shared" si="130"/>
        <v>0</v>
      </c>
      <c r="AI154" s="746">
        <f t="shared" si="130"/>
        <v>0</v>
      </c>
      <c r="AJ154" s="746">
        <f t="shared" si="130"/>
        <v>0</v>
      </c>
      <c r="AK154" s="746">
        <f t="shared" si="130"/>
        <v>0</v>
      </c>
      <c r="AL154" s="746">
        <f t="shared" si="130"/>
        <v>0</v>
      </c>
      <c r="AM154" s="746">
        <f t="shared" si="130"/>
        <v>0</v>
      </c>
      <c r="AN154" s="746">
        <f t="shared" si="130"/>
        <v>0</v>
      </c>
      <c r="AO154" s="746">
        <f t="shared" si="130"/>
        <v>0</v>
      </c>
      <c r="AP154" s="746">
        <f t="shared" si="130"/>
        <v>0</v>
      </c>
      <c r="AQ154" s="746">
        <f t="shared" si="130"/>
        <v>0</v>
      </c>
      <c r="AR154" s="746">
        <f t="shared" si="130"/>
        <v>0</v>
      </c>
      <c r="AS154" s="746">
        <f t="shared" si="130"/>
        <v>0</v>
      </c>
      <c r="AT154" s="746">
        <f t="shared" si="130"/>
        <v>0</v>
      </c>
      <c r="AU154" s="746">
        <f t="shared" si="130"/>
        <v>0</v>
      </c>
      <c r="AV154" s="746">
        <f t="shared" si="130"/>
        <v>0</v>
      </c>
      <c r="AW154" s="746">
        <f t="shared" si="130"/>
        <v>0</v>
      </c>
      <c r="AX154" s="746">
        <f t="shared" si="130"/>
        <v>0</v>
      </c>
      <c r="AY154" s="746">
        <f t="shared" si="130"/>
        <v>0</v>
      </c>
      <c r="AZ154" s="746">
        <f t="shared" si="130"/>
        <v>0</v>
      </c>
      <c r="BA154" s="746">
        <f t="shared" si="130"/>
        <v>0</v>
      </c>
      <c r="BB154" s="746">
        <f t="shared" si="130"/>
        <v>0</v>
      </c>
    </row>
    <row r="155" ht="15.75" customHeight="1">
      <c r="A155" s="744">
        <v>2030.0</v>
      </c>
      <c r="V155" s="747">
        <v>1122.9469521546343</v>
      </c>
      <c r="W155" s="746">
        <f t="shared" si="31"/>
        <v>0</v>
      </c>
      <c r="X155" s="746">
        <f t="shared" ref="X155:BB155" si="131">IF(AND(X$54-$A155&gt;$V$38,SUM($W155:W155)&lt;&gt;$V155),$V155,0)</f>
        <v>0</v>
      </c>
      <c r="Y155" s="746">
        <f t="shared" si="131"/>
        <v>0</v>
      </c>
      <c r="Z155" s="746">
        <f t="shared" si="131"/>
        <v>0</v>
      </c>
      <c r="AA155" s="746">
        <f t="shared" si="131"/>
        <v>0</v>
      </c>
      <c r="AB155" s="746">
        <f t="shared" si="131"/>
        <v>0</v>
      </c>
      <c r="AC155" s="746">
        <f t="shared" si="131"/>
        <v>0</v>
      </c>
      <c r="AD155" s="746">
        <f t="shared" si="131"/>
        <v>0</v>
      </c>
      <c r="AE155" s="746">
        <f t="shared" si="131"/>
        <v>0</v>
      </c>
      <c r="AF155" s="746">
        <f t="shared" si="131"/>
        <v>0</v>
      </c>
      <c r="AG155" s="746">
        <f t="shared" si="131"/>
        <v>0</v>
      </c>
      <c r="AH155" s="746">
        <f t="shared" si="131"/>
        <v>0</v>
      </c>
      <c r="AI155" s="746">
        <f t="shared" si="131"/>
        <v>0</v>
      </c>
      <c r="AJ155" s="746">
        <f t="shared" si="131"/>
        <v>0</v>
      </c>
      <c r="AK155" s="746">
        <f t="shared" si="131"/>
        <v>0</v>
      </c>
      <c r="AL155" s="746">
        <f t="shared" si="131"/>
        <v>0</v>
      </c>
      <c r="AM155" s="746">
        <f t="shared" si="131"/>
        <v>0</v>
      </c>
      <c r="AN155" s="746">
        <f t="shared" si="131"/>
        <v>0</v>
      </c>
      <c r="AO155" s="746">
        <f t="shared" si="131"/>
        <v>0</v>
      </c>
      <c r="AP155" s="746">
        <f t="shared" si="131"/>
        <v>0</v>
      </c>
      <c r="AQ155" s="746">
        <f t="shared" si="131"/>
        <v>0</v>
      </c>
      <c r="AR155" s="746">
        <f t="shared" si="131"/>
        <v>0</v>
      </c>
      <c r="AS155" s="746">
        <f t="shared" si="131"/>
        <v>0</v>
      </c>
      <c r="AT155" s="746">
        <f t="shared" si="131"/>
        <v>0</v>
      </c>
      <c r="AU155" s="746">
        <f t="shared" si="131"/>
        <v>0</v>
      </c>
      <c r="AV155" s="746">
        <f t="shared" si="131"/>
        <v>0</v>
      </c>
      <c r="AW155" s="746">
        <f t="shared" si="131"/>
        <v>0</v>
      </c>
      <c r="AX155" s="746">
        <f t="shared" si="131"/>
        <v>0</v>
      </c>
      <c r="AY155" s="746">
        <f t="shared" si="131"/>
        <v>0</v>
      </c>
      <c r="AZ155" s="746">
        <f t="shared" si="131"/>
        <v>0</v>
      </c>
      <c r="BA155" s="746">
        <f t="shared" si="131"/>
        <v>0</v>
      </c>
      <c r="BB155" s="746">
        <f t="shared" si="131"/>
        <v>0</v>
      </c>
    </row>
    <row r="156" ht="15.75" customHeight="1">
      <c r="A156" s="744">
        <v>2031.0</v>
      </c>
      <c r="V156" s="747">
        <v>0.0</v>
      </c>
      <c r="W156" s="746">
        <f t="shared" si="31"/>
        <v>0</v>
      </c>
      <c r="X156" s="746">
        <f t="shared" ref="X156:BB156" si="132">IF(AND(X$54-$A156&gt;$V$38,SUM($W156:W156)&lt;&gt;$V156),$V156,0)</f>
        <v>0</v>
      </c>
      <c r="Y156" s="746">
        <f t="shared" si="132"/>
        <v>0</v>
      </c>
      <c r="Z156" s="746">
        <f t="shared" si="132"/>
        <v>0</v>
      </c>
      <c r="AA156" s="746">
        <f t="shared" si="132"/>
        <v>0</v>
      </c>
      <c r="AB156" s="746">
        <f t="shared" si="132"/>
        <v>0</v>
      </c>
      <c r="AC156" s="746">
        <f t="shared" si="132"/>
        <v>0</v>
      </c>
      <c r="AD156" s="746">
        <f t="shared" si="132"/>
        <v>0</v>
      </c>
      <c r="AE156" s="746">
        <f t="shared" si="132"/>
        <v>0</v>
      </c>
      <c r="AF156" s="746">
        <f t="shared" si="132"/>
        <v>0</v>
      </c>
      <c r="AG156" s="746">
        <f t="shared" si="132"/>
        <v>0</v>
      </c>
      <c r="AH156" s="746">
        <f t="shared" si="132"/>
        <v>0</v>
      </c>
      <c r="AI156" s="746">
        <f t="shared" si="132"/>
        <v>0</v>
      </c>
      <c r="AJ156" s="746">
        <f t="shared" si="132"/>
        <v>0</v>
      </c>
      <c r="AK156" s="746">
        <f t="shared" si="132"/>
        <v>0</v>
      </c>
      <c r="AL156" s="746">
        <f t="shared" si="132"/>
        <v>0</v>
      </c>
      <c r="AM156" s="746">
        <f t="shared" si="132"/>
        <v>0</v>
      </c>
      <c r="AN156" s="746">
        <f t="shared" si="132"/>
        <v>0</v>
      </c>
      <c r="AO156" s="746">
        <f t="shared" si="132"/>
        <v>0</v>
      </c>
      <c r="AP156" s="746">
        <f t="shared" si="132"/>
        <v>0</v>
      </c>
      <c r="AQ156" s="746">
        <f t="shared" si="132"/>
        <v>0</v>
      </c>
      <c r="AR156" s="746">
        <f t="shared" si="132"/>
        <v>0</v>
      </c>
      <c r="AS156" s="746">
        <f t="shared" si="132"/>
        <v>0</v>
      </c>
      <c r="AT156" s="746">
        <f t="shared" si="132"/>
        <v>0</v>
      </c>
      <c r="AU156" s="746">
        <f t="shared" si="132"/>
        <v>0</v>
      </c>
      <c r="AV156" s="746">
        <f t="shared" si="132"/>
        <v>0</v>
      </c>
      <c r="AW156" s="746">
        <f t="shared" si="132"/>
        <v>0</v>
      </c>
      <c r="AX156" s="746">
        <f t="shared" si="132"/>
        <v>0</v>
      </c>
      <c r="AY156" s="746">
        <f t="shared" si="132"/>
        <v>0</v>
      </c>
      <c r="AZ156" s="746">
        <f t="shared" si="132"/>
        <v>0</v>
      </c>
      <c r="BA156" s="746">
        <f t="shared" si="132"/>
        <v>0</v>
      </c>
      <c r="BB156" s="746">
        <f t="shared" si="132"/>
        <v>0</v>
      </c>
    </row>
    <row r="157" ht="15.75" customHeight="1">
      <c r="A157" s="744">
        <v>2032.0</v>
      </c>
      <c r="V157" s="747">
        <v>0.0</v>
      </c>
      <c r="W157" s="746">
        <f t="shared" si="31"/>
        <v>0</v>
      </c>
      <c r="X157" s="746">
        <f t="shared" ref="X157:BB157" si="133">IF(AND(X$54-$A157&gt;$V$38,SUM($W157:W157)&lt;&gt;$V157),$V157,0)</f>
        <v>0</v>
      </c>
      <c r="Y157" s="746">
        <f t="shared" si="133"/>
        <v>0</v>
      </c>
      <c r="Z157" s="746">
        <f t="shared" si="133"/>
        <v>0</v>
      </c>
      <c r="AA157" s="746">
        <f t="shared" si="133"/>
        <v>0</v>
      </c>
      <c r="AB157" s="746">
        <f t="shared" si="133"/>
        <v>0</v>
      </c>
      <c r="AC157" s="746">
        <f t="shared" si="133"/>
        <v>0</v>
      </c>
      <c r="AD157" s="746">
        <f t="shared" si="133"/>
        <v>0</v>
      </c>
      <c r="AE157" s="746">
        <f t="shared" si="133"/>
        <v>0</v>
      </c>
      <c r="AF157" s="746">
        <f t="shared" si="133"/>
        <v>0</v>
      </c>
      <c r="AG157" s="746">
        <f t="shared" si="133"/>
        <v>0</v>
      </c>
      <c r="AH157" s="746">
        <f t="shared" si="133"/>
        <v>0</v>
      </c>
      <c r="AI157" s="746">
        <f t="shared" si="133"/>
        <v>0</v>
      </c>
      <c r="AJ157" s="746">
        <f t="shared" si="133"/>
        <v>0</v>
      </c>
      <c r="AK157" s="746">
        <f t="shared" si="133"/>
        <v>0</v>
      </c>
      <c r="AL157" s="746">
        <f t="shared" si="133"/>
        <v>0</v>
      </c>
      <c r="AM157" s="746">
        <f t="shared" si="133"/>
        <v>0</v>
      </c>
      <c r="AN157" s="746">
        <f t="shared" si="133"/>
        <v>0</v>
      </c>
      <c r="AO157" s="746">
        <f t="shared" si="133"/>
        <v>0</v>
      </c>
      <c r="AP157" s="746">
        <f t="shared" si="133"/>
        <v>0</v>
      </c>
      <c r="AQ157" s="746">
        <f t="shared" si="133"/>
        <v>0</v>
      </c>
      <c r="AR157" s="746">
        <f t="shared" si="133"/>
        <v>0</v>
      </c>
      <c r="AS157" s="746">
        <f t="shared" si="133"/>
        <v>0</v>
      </c>
      <c r="AT157" s="746">
        <f t="shared" si="133"/>
        <v>0</v>
      </c>
      <c r="AU157" s="746">
        <f t="shared" si="133"/>
        <v>0</v>
      </c>
      <c r="AV157" s="746">
        <f t="shared" si="133"/>
        <v>0</v>
      </c>
      <c r="AW157" s="746">
        <f t="shared" si="133"/>
        <v>0</v>
      </c>
      <c r="AX157" s="746">
        <f t="shared" si="133"/>
        <v>0</v>
      </c>
      <c r="AY157" s="746">
        <f t="shared" si="133"/>
        <v>0</v>
      </c>
      <c r="AZ157" s="746">
        <f t="shared" si="133"/>
        <v>0</v>
      </c>
      <c r="BA157" s="746">
        <f t="shared" si="133"/>
        <v>0</v>
      </c>
      <c r="BB157" s="746">
        <f t="shared" si="133"/>
        <v>0</v>
      </c>
    </row>
    <row r="158" ht="15.75" customHeight="1">
      <c r="A158" s="744">
        <v>2033.0</v>
      </c>
      <c r="V158" s="747">
        <v>37.94085646390158</v>
      </c>
      <c r="W158" s="746">
        <f t="shared" si="31"/>
        <v>0</v>
      </c>
      <c r="X158" s="746">
        <f t="shared" ref="X158:BB158" si="134">IF(AND(X$54-$A158&gt;$V$38,SUM($W158:W158)&lt;&gt;$V158),$V158,0)</f>
        <v>0</v>
      </c>
      <c r="Y158" s="746">
        <f t="shared" si="134"/>
        <v>0</v>
      </c>
      <c r="Z158" s="746">
        <f t="shared" si="134"/>
        <v>0</v>
      </c>
      <c r="AA158" s="746">
        <f t="shared" si="134"/>
        <v>0</v>
      </c>
      <c r="AB158" s="746">
        <f t="shared" si="134"/>
        <v>0</v>
      </c>
      <c r="AC158" s="746">
        <f t="shared" si="134"/>
        <v>0</v>
      </c>
      <c r="AD158" s="746">
        <f t="shared" si="134"/>
        <v>0</v>
      </c>
      <c r="AE158" s="746">
        <f t="shared" si="134"/>
        <v>0</v>
      </c>
      <c r="AF158" s="746">
        <f t="shared" si="134"/>
        <v>0</v>
      </c>
      <c r="AG158" s="746">
        <f t="shared" si="134"/>
        <v>0</v>
      </c>
      <c r="AH158" s="746">
        <f t="shared" si="134"/>
        <v>0</v>
      </c>
      <c r="AI158" s="746">
        <f t="shared" si="134"/>
        <v>0</v>
      </c>
      <c r="AJ158" s="746">
        <f t="shared" si="134"/>
        <v>0</v>
      </c>
      <c r="AK158" s="746">
        <f t="shared" si="134"/>
        <v>0</v>
      </c>
      <c r="AL158" s="746">
        <f t="shared" si="134"/>
        <v>0</v>
      </c>
      <c r="AM158" s="746">
        <f t="shared" si="134"/>
        <v>0</v>
      </c>
      <c r="AN158" s="746">
        <f t="shared" si="134"/>
        <v>0</v>
      </c>
      <c r="AO158" s="746">
        <f t="shared" si="134"/>
        <v>0</v>
      </c>
      <c r="AP158" s="746">
        <f t="shared" si="134"/>
        <v>0</v>
      </c>
      <c r="AQ158" s="746">
        <f t="shared" si="134"/>
        <v>0</v>
      </c>
      <c r="AR158" s="746">
        <f t="shared" si="134"/>
        <v>0</v>
      </c>
      <c r="AS158" s="746">
        <f t="shared" si="134"/>
        <v>0</v>
      </c>
      <c r="AT158" s="746">
        <f t="shared" si="134"/>
        <v>0</v>
      </c>
      <c r="AU158" s="746">
        <f t="shared" si="134"/>
        <v>0</v>
      </c>
      <c r="AV158" s="746">
        <f t="shared" si="134"/>
        <v>0</v>
      </c>
      <c r="AW158" s="746">
        <f t="shared" si="134"/>
        <v>0</v>
      </c>
      <c r="AX158" s="746">
        <f t="shared" si="134"/>
        <v>0</v>
      </c>
      <c r="AY158" s="746">
        <f t="shared" si="134"/>
        <v>0</v>
      </c>
      <c r="AZ158" s="746">
        <f t="shared" si="134"/>
        <v>0</v>
      </c>
      <c r="BA158" s="746">
        <f t="shared" si="134"/>
        <v>0</v>
      </c>
      <c r="BB158" s="746">
        <f t="shared" si="134"/>
        <v>0</v>
      </c>
    </row>
    <row r="159" ht="15.75" customHeight="1">
      <c r="A159" s="744">
        <v>2034.0</v>
      </c>
      <c r="V159" s="747">
        <v>135.8469521546358</v>
      </c>
      <c r="W159" s="746">
        <f t="shared" si="31"/>
        <v>0</v>
      </c>
      <c r="X159" s="746">
        <f t="shared" ref="X159:BB159" si="135">IF(AND(X$54-$A159&gt;$V$38,SUM($W159:W159)&lt;&gt;$V159),$V159,0)</f>
        <v>0</v>
      </c>
      <c r="Y159" s="746">
        <f t="shared" si="135"/>
        <v>0</v>
      </c>
      <c r="Z159" s="746">
        <f t="shared" si="135"/>
        <v>0</v>
      </c>
      <c r="AA159" s="746">
        <f t="shared" si="135"/>
        <v>0</v>
      </c>
      <c r="AB159" s="746">
        <f t="shared" si="135"/>
        <v>0</v>
      </c>
      <c r="AC159" s="746">
        <f t="shared" si="135"/>
        <v>0</v>
      </c>
      <c r="AD159" s="746">
        <f t="shared" si="135"/>
        <v>0</v>
      </c>
      <c r="AE159" s="746">
        <f t="shared" si="135"/>
        <v>0</v>
      </c>
      <c r="AF159" s="746">
        <f t="shared" si="135"/>
        <v>0</v>
      </c>
      <c r="AG159" s="746">
        <f t="shared" si="135"/>
        <v>0</v>
      </c>
      <c r="AH159" s="746">
        <f t="shared" si="135"/>
        <v>0</v>
      </c>
      <c r="AI159" s="746">
        <f t="shared" si="135"/>
        <v>0</v>
      </c>
      <c r="AJ159" s="746">
        <f t="shared" si="135"/>
        <v>0</v>
      </c>
      <c r="AK159" s="746">
        <f t="shared" si="135"/>
        <v>0</v>
      </c>
      <c r="AL159" s="746">
        <f t="shared" si="135"/>
        <v>0</v>
      </c>
      <c r="AM159" s="746">
        <f t="shared" si="135"/>
        <v>0</v>
      </c>
      <c r="AN159" s="746">
        <f t="shared" si="135"/>
        <v>0</v>
      </c>
      <c r="AO159" s="746">
        <f t="shared" si="135"/>
        <v>0</v>
      </c>
      <c r="AP159" s="746">
        <f t="shared" si="135"/>
        <v>0</v>
      </c>
      <c r="AQ159" s="746">
        <f t="shared" si="135"/>
        <v>0</v>
      </c>
      <c r="AR159" s="746">
        <f t="shared" si="135"/>
        <v>0</v>
      </c>
      <c r="AS159" s="746">
        <f t="shared" si="135"/>
        <v>0</v>
      </c>
      <c r="AT159" s="746">
        <f t="shared" si="135"/>
        <v>0</v>
      </c>
      <c r="AU159" s="746">
        <f t="shared" si="135"/>
        <v>0</v>
      </c>
      <c r="AV159" s="746">
        <f t="shared" si="135"/>
        <v>0</v>
      </c>
      <c r="AW159" s="746">
        <f t="shared" si="135"/>
        <v>0</v>
      </c>
      <c r="AX159" s="746">
        <f t="shared" si="135"/>
        <v>0</v>
      </c>
      <c r="AY159" s="746">
        <f t="shared" si="135"/>
        <v>0</v>
      </c>
      <c r="AZ159" s="746">
        <f t="shared" si="135"/>
        <v>0</v>
      </c>
      <c r="BA159" s="746">
        <f t="shared" si="135"/>
        <v>0</v>
      </c>
      <c r="BB159" s="746">
        <f t="shared" si="135"/>
        <v>0</v>
      </c>
    </row>
    <row r="160" ht="15.75" customHeight="1">
      <c r="A160" s="744">
        <v>2035.0</v>
      </c>
      <c r="V160" s="747">
        <v>0.0</v>
      </c>
      <c r="W160" s="746">
        <f t="shared" si="31"/>
        <v>0</v>
      </c>
      <c r="X160" s="746">
        <f t="shared" ref="X160:BB160" si="136">IF(AND(X$54-$A160&gt;$V$38,SUM($W160:W160)&lt;&gt;$V160),$V160,0)</f>
        <v>0</v>
      </c>
      <c r="Y160" s="746">
        <f t="shared" si="136"/>
        <v>0</v>
      </c>
      <c r="Z160" s="746">
        <f t="shared" si="136"/>
        <v>0</v>
      </c>
      <c r="AA160" s="746">
        <f t="shared" si="136"/>
        <v>0</v>
      </c>
      <c r="AB160" s="746">
        <f t="shared" si="136"/>
        <v>0</v>
      </c>
      <c r="AC160" s="746">
        <f t="shared" si="136"/>
        <v>0</v>
      </c>
      <c r="AD160" s="746">
        <f t="shared" si="136"/>
        <v>0</v>
      </c>
      <c r="AE160" s="746">
        <f t="shared" si="136"/>
        <v>0</v>
      </c>
      <c r="AF160" s="746">
        <f t="shared" si="136"/>
        <v>0</v>
      </c>
      <c r="AG160" s="746">
        <f t="shared" si="136"/>
        <v>0</v>
      </c>
      <c r="AH160" s="746">
        <f t="shared" si="136"/>
        <v>0</v>
      </c>
      <c r="AI160" s="746">
        <f t="shared" si="136"/>
        <v>0</v>
      </c>
      <c r="AJ160" s="746">
        <f t="shared" si="136"/>
        <v>0</v>
      </c>
      <c r="AK160" s="746">
        <f t="shared" si="136"/>
        <v>0</v>
      </c>
      <c r="AL160" s="746">
        <f t="shared" si="136"/>
        <v>0</v>
      </c>
      <c r="AM160" s="746">
        <f t="shared" si="136"/>
        <v>0</v>
      </c>
      <c r="AN160" s="746">
        <f t="shared" si="136"/>
        <v>0</v>
      </c>
      <c r="AO160" s="746">
        <f t="shared" si="136"/>
        <v>0</v>
      </c>
      <c r="AP160" s="746">
        <f t="shared" si="136"/>
        <v>0</v>
      </c>
      <c r="AQ160" s="746">
        <f t="shared" si="136"/>
        <v>0</v>
      </c>
      <c r="AR160" s="746">
        <f t="shared" si="136"/>
        <v>0</v>
      </c>
      <c r="AS160" s="746">
        <f t="shared" si="136"/>
        <v>0</v>
      </c>
      <c r="AT160" s="746">
        <f t="shared" si="136"/>
        <v>0</v>
      </c>
      <c r="AU160" s="746">
        <f t="shared" si="136"/>
        <v>0</v>
      </c>
      <c r="AV160" s="746">
        <f t="shared" si="136"/>
        <v>0</v>
      </c>
      <c r="AW160" s="746">
        <f t="shared" si="136"/>
        <v>0</v>
      </c>
      <c r="AX160" s="746">
        <f t="shared" si="136"/>
        <v>0</v>
      </c>
      <c r="AY160" s="746">
        <f t="shared" si="136"/>
        <v>0</v>
      </c>
      <c r="AZ160" s="746">
        <f t="shared" si="136"/>
        <v>0</v>
      </c>
      <c r="BA160" s="746">
        <f t="shared" si="136"/>
        <v>0</v>
      </c>
      <c r="BB160" s="746">
        <f t="shared" si="136"/>
        <v>0</v>
      </c>
    </row>
    <row r="161" ht="15.75" customHeight="1">
      <c r="A161" s="744">
        <v>2036.0</v>
      </c>
      <c r="V161" s="747">
        <v>669.2939043092701</v>
      </c>
      <c r="W161" s="746">
        <f t="shared" si="31"/>
        <v>0</v>
      </c>
      <c r="X161" s="746">
        <f t="shared" ref="X161:BB161" si="137">IF(AND(X$54-$A161&gt;$V$38,SUM($W161:W161)&lt;&gt;$V161),$V161,0)</f>
        <v>0</v>
      </c>
      <c r="Y161" s="746">
        <f t="shared" si="137"/>
        <v>0</v>
      </c>
      <c r="Z161" s="746">
        <f t="shared" si="137"/>
        <v>0</v>
      </c>
      <c r="AA161" s="746">
        <f t="shared" si="137"/>
        <v>0</v>
      </c>
      <c r="AB161" s="746">
        <f t="shared" si="137"/>
        <v>0</v>
      </c>
      <c r="AC161" s="746">
        <f t="shared" si="137"/>
        <v>0</v>
      </c>
      <c r="AD161" s="746">
        <f t="shared" si="137"/>
        <v>0</v>
      </c>
      <c r="AE161" s="746">
        <f t="shared" si="137"/>
        <v>0</v>
      </c>
      <c r="AF161" s="746">
        <f t="shared" si="137"/>
        <v>0</v>
      </c>
      <c r="AG161" s="746">
        <f t="shared" si="137"/>
        <v>0</v>
      </c>
      <c r="AH161" s="746">
        <f t="shared" si="137"/>
        <v>0</v>
      </c>
      <c r="AI161" s="746">
        <f t="shared" si="137"/>
        <v>0</v>
      </c>
      <c r="AJ161" s="746">
        <f t="shared" si="137"/>
        <v>0</v>
      </c>
      <c r="AK161" s="746">
        <f t="shared" si="137"/>
        <v>0</v>
      </c>
      <c r="AL161" s="746">
        <f t="shared" si="137"/>
        <v>0</v>
      </c>
      <c r="AM161" s="746">
        <f t="shared" si="137"/>
        <v>0</v>
      </c>
      <c r="AN161" s="746">
        <f t="shared" si="137"/>
        <v>0</v>
      </c>
      <c r="AO161" s="746">
        <f t="shared" si="137"/>
        <v>0</v>
      </c>
      <c r="AP161" s="746">
        <f t="shared" si="137"/>
        <v>0</v>
      </c>
      <c r="AQ161" s="746">
        <f t="shared" si="137"/>
        <v>0</v>
      </c>
      <c r="AR161" s="746">
        <f t="shared" si="137"/>
        <v>0</v>
      </c>
      <c r="AS161" s="746">
        <f t="shared" si="137"/>
        <v>0</v>
      </c>
      <c r="AT161" s="746">
        <f t="shared" si="137"/>
        <v>0</v>
      </c>
      <c r="AU161" s="746">
        <f t="shared" si="137"/>
        <v>0</v>
      </c>
      <c r="AV161" s="746">
        <f t="shared" si="137"/>
        <v>0</v>
      </c>
      <c r="AW161" s="746">
        <f t="shared" si="137"/>
        <v>0</v>
      </c>
      <c r="AX161" s="746">
        <f t="shared" si="137"/>
        <v>0</v>
      </c>
      <c r="AY161" s="746">
        <f t="shared" si="137"/>
        <v>0</v>
      </c>
      <c r="AZ161" s="746">
        <f t="shared" si="137"/>
        <v>0</v>
      </c>
      <c r="BA161" s="746">
        <f t="shared" si="137"/>
        <v>0</v>
      </c>
      <c r="BB161" s="746">
        <f t="shared" si="137"/>
        <v>0</v>
      </c>
    </row>
    <row r="162" ht="15.75" customHeight="1">
      <c r="A162" s="744">
        <v>2037.0</v>
      </c>
      <c r="V162" s="747">
        <v>0.0</v>
      </c>
      <c r="W162" s="746">
        <f t="shared" si="31"/>
        <v>0</v>
      </c>
      <c r="X162" s="746">
        <f t="shared" ref="X162:BB162" si="138">IF(AND(X$54-$A162&gt;$V$38,SUM($W162:W162)&lt;&gt;$V162),$V162,0)</f>
        <v>0</v>
      </c>
      <c r="Y162" s="746">
        <f t="shared" si="138"/>
        <v>0</v>
      </c>
      <c r="Z162" s="746">
        <f t="shared" si="138"/>
        <v>0</v>
      </c>
      <c r="AA162" s="746">
        <f t="shared" si="138"/>
        <v>0</v>
      </c>
      <c r="AB162" s="746">
        <f t="shared" si="138"/>
        <v>0</v>
      </c>
      <c r="AC162" s="746">
        <f t="shared" si="138"/>
        <v>0</v>
      </c>
      <c r="AD162" s="746">
        <f t="shared" si="138"/>
        <v>0</v>
      </c>
      <c r="AE162" s="746">
        <f t="shared" si="138"/>
        <v>0</v>
      </c>
      <c r="AF162" s="746">
        <f t="shared" si="138"/>
        <v>0</v>
      </c>
      <c r="AG162" s="746">
        <f t="shared" si="138"/>
        <v>0</v>
      </c>
      <c r="AH162" s="746">
        <f t="shared" si="138"/>
        <v>0</v>
      </c>
      <c r="AI162" s="746">
        <f t="shared" si="138"/>
        <v>0</v>
      </c>
      <c r="AJ162" s="746">
        <f t="shared" si="138"/>
        <v>0</v>
      </c>
      <c r="AK162" s="746">
        <f t="shared" si="138"/>
        <v>0</v>
      </c>
      <c r="AL162" s="746">
        <f t="shared" si="138"/>
        <v>0</v>
      </c>
      <c r="AM162" s="746">
        <f t="shared" si="138"/>
        <v>0</v>
      </c>
      <c r="AN162" s="746">
        <f t="shared" si="138"/>
        <v>0</v>
      </c>
      <c r="AO162" s="746">
        <f t="shared" si="138"/>
        <v>0</v>
      </c>
      <c r="AP162" s="746">
        <f t="shared" si="138"/>
        <v>0</v>
      </c>
      <c r="AQ162" s="746">
        <f t="shared" si="138"/>
        <v>0</v>
      </c>
      <c r="AR162" s="746">
        <f t="shared" si="138"/>
        <v>0</v>
      </c>
      <c r="AS162" s="746">
        <f t="shared" si="138"/>
        <v>0</v>
      </c>
      <c r="AT162" s="746">
        <f t="shared" si="138"/>
        <v>0</v>
      </c>
      <c r="AU162" s="746">
        <f t="shared" si="138"/>
        <v>0</v>
      </c>
      <c r="AV162" s="746">
        <f t="shared" si="138"/>
        <v>0</v>
      </c>
      <c r="AW162" s="746">
        <f t="shared" si="138"/>
        <v>0</v>
      </c>
      <c r="AX162" s="746">
        <f t="shared" si="138"/>
        <v>0</v>
      </c>
      <c r="AY162" s="746">
        <f t="shared" si="138"/>
        <v>0</v>
      </c>
      <c r="AZ162" s="746">
        <f t="shared" si="138"/>
        <v>0</v>
      </c>
      <c r="BA162" s="746">
        <f t="shared" si="138"/>
        <v>0</v>
      </c>
      <c r="BB162" s="746">
        <f t="shared" si="138"/>
        <v>0</v>
      </c>
    </row>
    <row r="163" ht="15.75" customHeight="1">
      <c r="A163" s="744">
        <v>2038.0</v>
      </c>
      <c r="V163" s="747">
        <v>0.0</v>
      </c>
      <c r="W163" s="746">
        <f t="shared" si="31"/>
        <v>0</v>
      </c>
      <c r="X163" s="746">
        <f t="shared" ref="X163:BB163" si="139">IF(AND(X$54-$A163&gt;$V$38,SUM($W163:W163)&lt;&gt;$V163),$V163,0)</f>
        <v>0</v>
      </c>
      <c r="Y163" s="746">
        <f t="shared" si="139"/>
        <v>0</v>
      </c>
      <c r="Z163" s="746">
        <f t="shared" si="139"/>
        <v>0</v>
      </c>
      <c r="AA163" s="746">
        <f t="shared" si="139"/>
        <v>0</v>
      </c>
      <c r="AB163" s="746">
        <f t="shared" si="139"/>
        <v>0</v>
      </c>
      <c r="AC163" s="746">
        <f t="shared" si="139"/>
        <v>0</v>
      </c>
      <c r="AD163" s="746">
        <f t="shared" si="139"/>
        <v>0</v>
      </c>
      <c r="AE163" s="746">
        <f t="shared" si="139"/>
        <v>0</v>
      </c>
      <c r="AF163" s="746">
        <f t="shared" si="139"/>
        <v>0</v>
      </c>
      <c r="AG163" s="746">
        <f t="shared" si="139"/>
        <v>0</v>
      </c>
      <c r="AH163" s="746">
        <f t="shared" si="139"/>
        <v>0</v>
      </c>
      <c r="AI163" s="746">
        <f t="shared" si="139"/>
        <v>0</v>
      </c>
      <c r="AJ163" s="746">
        <f t="shared" si="139"/>
        <v>0</v>
      </c>
      <c r="AK163" s="746">
        <f t="shared" si="139"/>
        <v>0</v>
      </c>
      <c r="AL163" s="746">
        <f t="shared" si="139"/>
        <v>0</v>
      </c>
      <c r="AM163" s="746">
        <f t="shared" si="139"/>
        <v>0</v>
      </c>
      <c r="AN163" s="746">
        <f t="shared" si="139"/>
        <v>0</v>
      </c>
      <c r="AO163" s="746">
        <f t="shared" si="139"/>
        <v>0</v>
      </c>
      <c r="AP163" s="746">
        <f t="shared" si="139"/>
        <v>0</v>
      </c>
      <c r="AQ163" s="746">
        <f t="shared" si="139"/>
        <v>0</v>
      </c>
      <c r="AR163" s="746">
        <f t="shared" si="139"/>
        <v>0</v>
      </c>
      <c r="AS163" s="746">
        <f t="shared" si="139"/>
        <v>0</v>
      </c>
      <c r="AT163" s="746">
        <f t="shared" si="139"/>
        <v>0</v>
      </c>
      <c r="AU163" s="746">
        <f t="shared" si="139"/>
        <v>0</v>
      </c>
      <c r="AV163" s="746">
        <f t="shared" si="139"/>
        <v>0</v>
      </c>
      <c r="AW163" s="746">
        <f t="shared" si="139"/>
        <v>0</v>
      </c>
      <c r="AX163" s="746">
        <f t="shared" si="139"/>
        <v>0</v>
      </c>
      <c r="AY163" s="746">
        <f t="shared" si="139"/>
        <v>0</v>
      </c>
      <c r="AZ163" s="746">
        <f t="shared" si="139"/>
        <v>0</v>
      </c>
      <c r="BA163" s="746">
        <f t="shared" si="139"/>
        <v>0</v>
      </c>
      <c r="BB163" s="746">
        <f t="shared" si="139"/>
        <v>0</v>
      </c>
    </row>
    <row r="164" ht="15.75" customHeight="1">
      <c r="A164" s="744">
        <v>2039.0</v>
      </c>
      <c r="V164" s="747">
        <v>0.0</v>
      </c>
      <c r="W164" s="746">
        <f t="shared" si="31"/>
        <v>0</v>
      </c>
      <c r="X164" s="746">
        <f t="shared" ref="X164:BB164" si="140">IF(AND(X$54-$A164&gt;$V$38,SUM($W164:W164)&lt;&gt;$V164),$V164,0)</f>
        <v>0</v>
      </c>
      <c r="Y164" s="746">
        <f t="shared" si="140"/>
        <v>0</v>
      </c>
      <c r="Z164" s="746">
        <f t="shared" si="140"/>
        <v>0</v>
      </c>
      <c r="AA164" s="746">
        <f t="shared" si="140"/>
        <v>0</v>
      </c>
      <c r="AB164" s="746">
        <f t="shared" si="140"/>
        <v>0</v>
      </c>
      <c r="AC164" s="746">
        <f t="shared" si="140"/>
        <v>0</v>
      </c>
      <c r="AD164" s="746">
        <f t="shared" si="140"/>
        <v>0</v>
      </c>
      <c r="AE164" s="746">
        <f t="shared" si="140"/>
        <v>0</v>
      </c>
      <c r="AF164" s="746">
        <f t="shared" si="140"/>
        <v>0</v>
      </c>
      <c r="AG164" s="746">
        <f t="shared" si="140"/>
        <v>0</v>
      </c>
      <c r="AH164" s="746">
        <f t="shared" si="140"/>
        <v>0</v>
      </c>
      <c r="AI164" s="746">
        <f t="shared" si="140"/>
        <v>0</v>
      </c>
      <c r="AJ164" s="746">
        <f t="shared" si="140"/>
        <v>0</v>
      </c>
      <c r="AK164" s="746">
        <f t="shared" si="140"/>
        <v>0</v>
      </c>
      <c r="AL164" s="746">
        <f t="shared" si="140"/>
        <v>0</v>
      </c>
      <c r="AM164" s="746">
        <f t="shared" si="140"/>
        <v>0</v>
      </c>
      <c r="AN164" s="746">
        <f t="shared" si="140"/>
        <v>0</v>
      </c>
      <c r="AO164" s="746">
        <f t="shared" si="140"/>
        <v>0</v>
      </c>
      <c r="AP164" s="746">
        <f t="shared" si="140"/>
        <v>0</v>
      </c>
      <c r="AQ164" s="746">
        <f t="shared" si="140"/>
        <v>0</v>
      </c>
      <c r="AR164" s="746">
        <f t="shared" si="140"/>
        <v>0</v>
      </c>
      <c r="AS164" s="746">
        <f t="shared" si="140"/>
        <v>0</v>
      </c>
      <c r="AT164" s="746">
        <f t="shared" si="140"/>
        <v>0</v>
      </c>
      <c r="AU164" s="746">
        <f t="shared" si="140"/>
        <v>0</v>
      </c>
      <c r="AV164" s="746">
        <f t="shared" si="140"/>
        <v>0</v>
      </c>
      <c r="AW164" s="746">
        <f t="shared" si="140"/>
        <v>0</v>
      </c>
      <c r="AX164" s="746">
        <f t="shared" si="140"/>
        <v>0</v>
      </c>
      <c r="AY164" s="746">
        <f t="shared" si="140"/>
        <v>0</v>
      </c>
      <c r="AZ164" s="746">
        <f t="shared" si="140"/>
        <v>0</v>
      </c>
      <c r="BA164" s="746">
        <f t="shared" si="140"/>
        <v>0</v>
      </c>
      <c r="BB164" s="746">
        <f t="shared" si="140"/>
        <v>0</v>
      </c>
    </row>
    <row r="165" ht="15.75" customHeight="1">
      <c r="A165" s="744">
        <v>2040.0</v>
      </c>
      <c r="V165" s="747">
        <v>0.0</v>
      </c>
      <c r="W165" s="746">
        <f t="shared" si="31"/>
        <v>0</v>
      </c>
      <c r="X165" s="746">
        <f t="shared" ref="X165:BB165" si="141">IF(AND(X$54-$A165&gt;$V$38,SUM($W165:W165)&lt;&gt;$V165),$V165,0)</f>
        <v>0</v>
      </c>
      <c r="Y165" s="746">
        <f t="shared" si="141"/>
        <v>0</v>
      </c>
      <c r="Z165" s="746">
        <f t="shared" si="141"/>
        <v>0</v>
      </c>
      <c r="AA165" s="746">
        <f t="shared" si="141"/>
        <v>0</v>
      </c>
      <c r="AB165" s="746">
        <f t="shared" si="141"/>
        <v>0</v>
      </c>
      <c r="AC165" s="746">
        <f t="shared" si="141"/>
        <v>0</v>
      </c>
      <c r="AD165" s="746">
        <f t="shared" si="141"/>
        <v>0</v>
      </c>
      <c r="AE165" s="746">
        <f t="shared" si="141"/>
        <v>0</v>
      </c>
      <c r="AF165" s="746">
        <f t="shared" si="141"/>
        <v>0</v>
      </c>
      <c r="AG165" s="746">
        <f t="shared" si="141"/>
        <v>0</v>
      </c>
      <c r="AH165" s="746">
        <f t="shared" si="141"/>
        <v>0</v>
      </c>
      <c r="AI165" s="746">
        <f t="shared" si="141"/>
        <v>0</v>
      </c>
      <c r="AJ165" s="746">
        <f t="shared" si="141"/>
        <v>0</v>
      </c>
      <c r="AK165" s="746">
        <f t="shared" si="141"/>
        <v>0</v>
      </c>
      <c r="AL165" s="746">
        <f t="shared" si="141"/>
        <v>0</v>
      </c>
      <c r="AM165" s="746">
        <f t="shared" si="141"/>
        <v>0</v>
      </c>
      <c r="AN165" s="746">
        <f t="shared" si="141"/>
        <v>0</v>
      </c>
      <c r="AO165" s="746">
        <f t="shared" si="141"/>
        <v>0</v>
      </c>
      <c r="AP165" s="746">
        <f t="shared" si="141"/>
        <v>0</v>
      </c>
      <c r="AQ165" s="746">
        <f t="shared" si="141"/>
        <v>0</v>
      </c>
      <c r="AR165" s="746">
        <f t="shared" si="141"/>
        <v>0</v>
      </c>
      <c r="AS165" s="746">
        <f t="shared" si="141"/>
        <v>0</v>
      </c>
      <c r="AT165" s="746">
        <f t="shared" si="141"/>
        <v>0</v>
      </c>
      <c r="AU165" s="746">
        <f t="shared" si="141"/>
        <v>0</v>
      </c>
      <c r="AV165" s="746">
        <f t="shared" si="141"/>
        <v>0</v>
      </c>
      <c r="AW165" s="746">
        <f t="shared" si="141"/>
        <v>0</v>
      </c>
      <c r="AX165" s="746">
        <f t="shared" si="141"/>
        <v>0</v>
      </c>
      <c r="AY165" s="746">
        <f t="shared" si="141"/>
        <v>0</v>
      </c>
      <c r="AZ165" s="746">
        <f t="shared" si="141"/>
        <v>0</v>
      </c>
      <c r="BA165" s="746">
        <f t="shared" si="141"/>
        <v>0</v>
      </c>
      <c r="BB165" s="746">
        <f t="shared" si="141"/>
        <v>0</v>
      </c>
    </row>
    <row r="166" ht="15.75" customHeight="1">
      <c r="A166" s="744">
        <v>2041.0</v>
      </c>
      <c r="V166" s="747">
        <v>0.0</v>
      </c>
      <c r="W166" s="746">
        <f t="shared" si="31"/>
        <v>0</v>
      </c>
      <c r="X166" s="746">
        <f t="shared" ref="X166:BB166" si="142">IF(AND(X$54-$A166&gt;$V$38,SUM($W166:W166)&lt;&gt;$V166),$V166,0)</f>
        <v>0</v>
      </c>
      <c r="Y166" s="746">
        <f t="shared" si="142"/>
        <v>0</v>
      </c>
      <c r="Z166" s="746">
        <f t="shared" si="142"/>
        <v>0</v>
      </c>
      <c r="AA166" s="746">
        <f t="shared" si="142"/>
        <v>0</v>
      </c>
      <c r="AB166" s="746">
        <f t="shared" si="142"/>
        <v>0</v>
      </c>
      <c r="AC166" s="746">
        <f t="shared" si="142"/>
        <v>0</v>
      </c>
      <c r="AD166" s="746">
        <f t="shared" si="142"/>
        <v>0</v>
      </c>
      <c r="AE166" s="746">
        <f t="shared" si="142"/>
        <v>0</v>
      </c>
      <c r="AF166" s="746">
        <f t="shared" si="142"/>
        <v>0</v>
      </c>
      <c r="AG166" s="746">
        <f t="shared" si="142"/>
        <v>0</v>
      </c>
      <c r="AH166" s="746">
        <f t="shared" si="142"/>
        <v>0</v>
      </c>
      <c r="AI166" s="746">
        <f t="shared" si="142"/>
        <v>0</v>
      </c>
      <c r="AJ166" s="746">
        <f t="shared" si="142"/>
        <v>0</v>
      </c>
      <c r="AK166" s="746">
        <f t="shared" si="142"/>
        <v>0</v>
      </c>
      <c r="AL166" s="746">
        <f t="shared" si="142"/>
        <v>0</v>
      </c>
      <c r="AM166" s="746">
        <f t="shared" si="142"/>
        <v>0</v>
      </c>
      <c r="AN166" s="746">
        <f t="shared" si="142"/>
        <v>0</v>
      </c>
      <c r="AO166" s="746">
        <f t="shared" si="142"/>
        <v>0</v>
      </c>
      <c r="AP166" s="746">
        <f t="shared" si="142"/>
        <v>0</v>
      </c>
      <c r="AQ166" s="746">
        <f t="shared" si="142"/>
        <v>0</v>
      </c>
      <c r="AR166" s="746">
        <f t="shared" si="142"/>
        <v>0</v>
      </c>
      <c r="AS166" s="746">
        <f t="shared" si="142"/>
        <v>0</v>
      </c>
      <c r="AT166" s="746">
        <f t="shared" si="142"/>
        <v>0</v>
      </c>
      <c r="AU166" s="746">
        <f t="shared" si="142"/>
        <v>0</v>
      </c>
      <c r="AV166" s="746">
        <f t="shared" si="142"/>
        <v>0</v>
      </c>
      <c r="AW166" s="746">
        <f t="shared" si="142"/>
        <v>0</v>
      </c>
      <c r="AX166" s="746">
        <f t="shared" si="142"/>
        <v>0</v>
      </c>
      <c r="AY166" s="746">
        <f t="shared" si="142"/>
        <v>0</v>
      </c>
      <c r="AZ166" s="746">
        <f t="shared" si="142"/>
        <v>0</v>
      </c>
      <c r="BA166" s="746">
        <f t="shared" si="142"/>
        <v>0</v>
      </c>
      <c r="BB166" s="746">
        <f t="shared" si="142"/>
        <v>0</v>
      </c>
    </row>
    <row r="167" ht="15.75" customHeight="1">
      <c r="A167" s="744">
        <v>2042.0</v>
      </c>
      <c r="V167" s="747">
        <v>0.0</v>
      </c>
      <c r="W167" s="746">
        <f t="shared" si="31"/>
        <v>0</v>
      </c>
      <c r="X167" s="746">
        <f t="shared" ref="X167:BB167" si="143">IF(AND(X$54-$A167&gt;$V$38,SUM($W167:W167)&lt;&gt;$V167),$V167,0)</f>
        <v>0</v>
      </c>
      <c r="Y167" s="746">
        <f t="shared" si="143"/>
        <v>0</v>
      </c>
      <c r="Z167" s="746">
        <f t="shared" si="143"/>
        <v>0</v>
      </c>
      <c r="AA167" s="746">
        <f t="shared" si="143"/>
        <v>0</v>
      </c>
      <c r="AB167" s="746">
        <f t="shared" si="143"/>
        <v>0</v>
      </c>
      <c r="AC167" s="746">
        <f t="shared" si="143"/>
        <v>0</v>
      </c>
      <c r="AD167" s="746">
        <f t="shared" si="143"/>
        <v>0</v>
      </c>
      <c r="AE167" s="746">
        <f t="shared" si="143"/>
        <v>0</v>
      </c>
      <c r="AF167" s="746">
        <f t="shared" si="143"/>
        <v>0</v>
      </c>
      <c r="AG167" s="746">
        <f t="shared" si="143"/>
        <v>0</v>
      </c>
      <c r="AH167" s="746">
        <f t="shared" si="143"/>
        <v>0</v>
      </c>
      <c r="AI167" s="746">
        <f t="shared" si="143"/>
        <v>0</v>
      </c>
      <c r="AJ167" s="746">
        <f t="shared" si="143"/>
        <v>0</v>
      </c>
      <c r="AK167" s="746">
        <f t="shared" si="143"/>
        <v>0</v>
      </c>
      <c r="AL167" s="746">
        <f t="shared" si="143"/>
        <v>0</v>
      </c>
      <c r="AM167" s="746">
        <f t="shared" si="143"/>
        <v>0</v>
      </c>
      <c r="AN167" s="746">
        <f t="shared" si="143"/>
        <v>0</v>
      </c>
      <c r="AO167" s="746">
        <f t="shared" si="143"/>
        <v>0</v>
      </c>
      <c r="AP167" s="746">
        <f t="shared" si="143"/>
        <v>0</v>
      </c>
      <c r="AQ167" s="746">
        <f t="shared" si="143"/>
        <v>0</v>
      </c>
      <c r="AR167" s="746">
        <f t="shared" si="143"/>
        <v>0</v>
      </c>
      <c r="AS167" s="746">
        <f t="shared" si="143"/>
        <v>0</v>
      </c>
      <c r="AT167" s="746">
        <f t="shared" si="143"/>
        <v>0</v>
      </c>
      <c r="AU167" s="746">
        <f t="shared" si="143"/>
        <v>0</v>
      </c>
      <c r="AV167" s="746">
        <f t="shared" si="143"/>
        <v>0</v>
      </c>
      <c r="AW167" s="746">
        <f t="shared" si="143"/>
        <v>0</v>
      </c>
      <c r="AX167" s="746">
        <f t="shared" si="143"/>
        <v>0</v>
      </c>
      <c r="AY167" s="746">
        <f t="shared" si="143"/>
        <v>0</v>
      </c>
      <c r="AZ167" s="746">
        <f t="shared" si="143"/>
        <v>0</v>
      </c>
      <c r="BA167" s="746">
        <f t="shared" si="143"/>
        <v>0</v>
      </c>
      <c r="BB167" s="746">
        <f t="shared" si="143"/>
        <v>0</v>
      </c>
    </row>
    <row r="168" ht="15.75" customHeight="1">
      <c r="A168" s="744">
        <v>2043.0</v>
      </c>
      <c r="V168" s="747">
        <v>0.0</v>
      </c>
      <c r="W168" s="746">
        <f t="shared" si="31"/>
        <v>0</v>
      </c>
      <c r="X168" s="746">
        <f t="shared" ref="X168:BB168" si="144">IF(AND(X$54-$A168&gt;$V$38,SUM($W168:W168)&lt;&gt;$V168),$V168,0)</f>
        <v>0</v>
      </c>
      <c r="Y168" s="746">
        <f t="shared" si="144"/>
        <v>0</v>
      </c>
      <c r="Z168" s="746">
        <f t="shared" si="144"/>
        <v>0</v>
      </c>
      <c r="AA168" s="746">
        <f t="shared" si="144"/>
        <v>0</v>
      </c>
      <c r="AB168" s="746">
        <f t="shared" si="144"/>
        <v>0</v>
      </c>
      <c r="AC168" s="746">
        <f t="shared" si="144"/>
        <v>0</v>
      </c>
      <c r="AD168" s="746">
        <f t="shared" si="144"/>
        <v>0</v>
      </c>
      <c r="AE168" s="746">
        <f t="shared" si="144"/>
        <v>0</v>
      </c>
      <c r="AF168" s="746">
        <f t="shared" si="144"/>
        <v>0</v>
      </c>
      <c r="AG168" s="746">
        <f t="shared" si="144"/>
        <v>0</v>
      </c>
      <c r="AH168" s="746">
        <f t="shared" si="144"/>
        <v>0</v>
      </c>
      <c r="AI168" s="746">
        <f t="shared" si="144"/>
        <v>0</v>
      </c>
      <c r="AJ168" s="746">
        <f t="shared" si="144"/>
        <v>0</v>
      </c>
      <c r="AK168" s="746">
        <f t="shared" si="144"/>
        <v>0</v>
      </c>
      <c r="AL168" s="746">
        <f t="shared" si="144"/>
        <v>0</v>
      </c>
      <c r="AM168" s="746">
        <f t="shared" si="144"/>
        <v>0</v>
      </c>
      <c r="AN168" s="746">
        <f t="shared" si="144"/>
        <v>0</v>
      </c>
      <c r="AO168" s="746">
        <f t="shared" si="144"/>
        <v>0</v>
      </c>
      <c r="AP168" s="746">
        <f t="shared" si="144"/>
        <v>0</v>
      </c>
      <c r="AQ168" s="746">
        <f t="shared" si="144"/>
        <v>0</v>
      </c>
      <c r="AR168" s="746">
        <f t="shared" si="144"/>
        <v>0</v>
      </c>
      <c r="AS168" s="746">
        <f t="shared" si="144"/>
        <v>0</v>
      </c>
      <c r="AT168" s="746">
        <f t="shared" si="144"/>
        <v>0</v>
      </c>
      <c r="AU168" s="746">
        <f t="shared" si="144"/>
        <v>0</v>
      </c>
      <c r="AV168" s="746">
        <f t="shared" si="144"/>
        <v>0</v>
      </c>
      <c r="AW168" s="746">
        <f t="shared" si="144"/>
        <v>0</v>
      </c>
      <c r="AX168" s="746">
        <f t="shared" si="144"/>
        <v>0</v>
      </c>
      <c r="AY168" s="746">
        <f t="shared" si="144"/>
        <v>0</v>
      </c>
      <c r="AZ168" s="746">
        <f t="shared" si="144"/>
        <v>0</v>
      </c>
      <c r="BA168" s="746">
        <f t="shared" si="144"/>
        <v>0</v>
      </c>
      <c r="BB168" s="746">
        <f t="shared" si="144"/>
        <v>0</v>
      </c>
    </row>
    <row r="169" ht="15.75" customHeight="1">
      <c r="A169" s="744">
        <v>2044.0</v>
      </c>
      <c r="V169" s="747">
        <v>0.0</v>
      </c>
      <c r="W169" s="746">
        <f t="shared" si="31"/>
        <v>0</v>
      </c>
      <c r="X169" s="746">
        <f t="shared" ref="X169:BB169" si="145">IF(AND(X$54-$A169&gt;$V$38,SUM($W169:W169)&lt;&gt;$V169),$V169,0)</f>
        <v>0</v>
      </c>
      <c r="Y169" s="746">
        <f t="shared" si="145"/>
        <v>0</v>
      </c>
      <c r="Z169" s="746">
        <f t="shared" si="145"/>
        <v>0</v>
      </c>
      <c r="AA169" s="746">
        <f t="shared" si="145"/>
        <v>0</v>
      </c>
      <c r="AB169" s="746">
        <f t="shared" si="145"/>
        <v>0</v>
      </c>
      <c r="AC169" s="746">
        <f t="shared" si="145"/>
        <v>0</v>
      </c>
      <c r="AD169" s="746">
        <f t="shared" si="145"/>
        <v>0</v>
      </c>
      <c r="AE169" s="746">
        <f t="shared" si="145"/>
        <v>0</v>
      </c>
      <c r="AF169" s="746">
        <f t="shared" si="145"/>
        <v>0</v>
      </c>
      <c r="AG169" s="746">
        <f t="shared" si="145"/>
        <v>0</v>
      </c>
      <c r="AH169" s="746">
        <f t="shared" si="145"/>
        <v>0</v>
      </c>
      <c r="AI169" s="746">
        <f t="shared" si="145"/>
        <v>0</v>
      </c>
      <c r="AJ169" s="746">
        <f t="shared" si="145"/>
        <v>0</v>
      </c>
      <c r="AK169" s="746">
        <f t="shared" si="145"/>
        <v>0</v>
      </c>
      <c r="AL169" s="746">
        <f t="shared" si="145"/>
        <v>0</v>
      </c>
      <c r="AM169" s="746">
        <f t="shared" si="145"/>
        <v>0</v>
      </c>
      <c r="AN169" s="746">
        <f t="shared" si="145"/>
        <v>0</v>
      </c>
      <c r="AO169" s="746">
        <f t="shared" si="145"/>
        <v>0</v>
      </c>
      <c r="AP169" s="746">
        <f t="shared" si="145"/>
        <v>0</v>
      </c>
      <c r="AQ169" s="746">
        <f t="shared" si="145"/>
        <v>0</v>
      </c>
      <c r="AR169" s="746">
        <f t="shared" si="145"/>
        <v>0</v>
      </c>
      <c r="AS169" s="746">
        <f t="shared" si="145"/>
        <v>0</v>
      </c>
      <c r="AT169" s="746">
        <f t="shared" si="145"/>
        <v>0</v>
      </c>
      <c r="AU169" s="746">
        <f t="shared" si="145"/>
        <v>0</v>
      </c>
      <c r="AV169" s="746">
        <f t="shared" si="145"/>
        <v>0</v>
      </c>
      <c r="AW169" s="746">
        <f t="shared" si="145"/>
        <v>0</v>
      </c>
      <c r="AX169" s="746">
        <f t="shared" si="145"/>
        <v>0</v>
      </c>
      <c r="AY169" s="746">
        <f t="shared" si="145"/>
        <v>0</v>
      </c>
      <c r="AZ169" s="746">
        <f t="shared" si="145"/>
        <v>0</v>
      </c>
      <c r="BA169" s="746">
        <f t="shared" si="145"/>
        <v>0</v>
      </c>
      <c r="BB169" s="746">
        <f t="shared" si="145"/>
        <v>0</v>
      </c>
    </row>
    <row r="170" ht="15.75" customHeight="1">
      <c r="A170" s="744">
        <v>2045.0</v>
      </c>
      <c r="V170" s="747">
        <v>0.0</v>
      </c>
      <c r="W170" s="746">
        <f t="shared" si="31"/>
        <v>0</v>
      </c>
      <c r="X170" s="746">
        <f t="shared" ref="X170:BB170" si="146">IF(AND(X$54-$A170&gt;$V$38,SUM($W170:W170)&lt;&gt;$V170),$V170,0)</f>
        <v>0</v>
      </c>
      <c r="Y170" s="746">
        <f t="shared" si="146"/>
        <v>0</v>
      </c>
      <c r="Z170" s="746">
        <f t="shared" si="146"/>
        <v>0</v>
      </c>
      <c r="AA170" s="746">
        <f t="shared" si="146"/>
        <v>0</v>
      </c>
      <c r="AB170" s="746">
        <f t="shared" si="146"/>
        <v>0</v>
      </c>
      <c r="AC170" s="746">
        <f t="shared" si="146"/>
        <v>0</v>
      </c>
      <c r="AD170" s="746">
        <f t="shared" si="146"/>
        <v>0</v>
      </c>
      <c r="AE170" s="746">
        <f t="shared" si="146"/>
        <v>0</v>
      </c>
      <c r="AF170" s="746">
        <f t="shared" si="146"/>
        <v>0</v>
      </c>
      <c r="AG170" s="746">
        <f t="shared" si="146"/>
        <v>0</v>
      </c>
      <c r="AH170" s="746">
        <f t="shared" si="146"/>
        <v>0</v>
      </c>
      <c r="AI170" s="746">
        <f t="shared" si="146"/>
        <v>0</v>
      </c>
      <c r="AJ170" s="746">
        <f t="shared" si="146"/>
        <v>0</v>
      </c>
      <c r="AK170" s="746">
        <f t="shared" si="146"/>
        <v>0</v>
      </c>
      <c r="AL170" s="746">
        <f t="shared" si="146"/>
        <v>0</v>
      </c>
      <c r="AM170" s="746">
        <f t="shared" si="146"/>
        <v>0</v>
      </c>
      <c r="AN170" s="746">
        <f t="shared" si="146"/>
        <v>0</v>
      </c>
      <c r="AO170" s="746">
        <f t="shared" si="146"/>
        <v>0</v>
      </c>
      <c r="AP170" s="746">
        <f t="shared" si="146"/>
        <v>0</v>
      </c>
      <c r="AQ170" s="746">
        <f t="shared" si="146"/>
        <v>0</v>
      </c>
      <c r="AR170" s="746">
        <f t="shared" si="146"/>
        <v>0</v>
      </c>
      <c r="AS170" s="746">
        <f t="shared" si="146"/>
        <v>0</v>
      </c>
      <c r="AT170" s="746">
        <f t="shared" si="146"/>
        <v>0</v>
      </c>
      <c r="AU170" s="746">
        <f t="shared" si="146"/>
        <v>0</v>
      </c>
      <c r="AV170" s="746">
        <f t="shared" si="146"/>
        <v>0</v>
      </c>
      <c r="AW170" s="746">
        <f t="shared" si="146"/>
        <v>0</v>
      </c>
      <c r="AX170" s="746">
        <f t="shared" si="146"/>
        <v>0</v>
      </c>
      <c r="AY170" s="746">
        <f t="shared" si="146"/>
        <v>0</v>
      </c>
      <c r="AZ170" s="746">
        <f t="shared" si="146"/>
        <v>0</v>
      </c>
      <c r="BA170" s="746">
        <f t="shared" si="146"/>
        <v>0</v>
      </c>
      <c r="BB170" s="746">
        <f t="shared" si="146"/>
        <v>0</v>
      </c>
    </row>
    <row r="171" ht="15.75" customHeight="1">
      <c r="A171" s="744">
        <v>2046.0</v>
      </c>
      <c r="V171" s="747">
        <v>0.0</v>
      </c>
      <c r="W171" s="746">
        <f t="shared" si="31"/>
        <v>0</v>
      </c>
      <c r="X171" s="746">
        <f t="shared" ref="X171:BB171" si="147">IF(AND(X$54-$A171&gt;$V$38,SUM($W171:W171)&lt;&gt;$V171),$V171,0)</f>
        <v>0</v>
      </c>
      <c r="Y171" s="746">
        <f t="shared" si="147"/>
        <v>0</v>
      </c>
      <c r="Z171" s="746">
        <f t="shared" si="147"/>
        <v>0</v>
      </c>
      <c r="AA171" s="746">
        <f t="shared" si="147"/>
        <v>0</v>
      </c>
      <c r="AB171" s="746">
        <f t="shared" si="147"/>
        <v>0</v>
      </c>
      <c r="AC171" s="746">
        <f t="shared" si="147"/>
        <v>0</v>
      </c>
      <c r="AD171" s="746">
        <f t="shared" si="147"/>
        <v>0</v>
      </c>
      <c r="AE171" s="746">
        <f t="shared" si="147"/>
        <v>0</v>
      </c>
      <c r="AF171" s="746">
        <f t="shared" si="147"/>
        <v>0</v>
      </c>
      <c r="AG171" s="746">
        <f t="shared" si="147"/>
        <v>0</v>
      </c>
      <c r="AH171" s="746">
        <f t="shared" si="147"/>
        <v>0</v>
      </c>
      <c r="AI171" s="746">
        <f t="shared" si="147"/>
        <v>0</v>
      </c>
      <c r="AJ171" s="746">
        <f t="shared" si="147"/>
        <v>0</v>
      </c>
      <c r="AK171" s="746">
        <f t="shared" si="147"/>
        <v>0</v>
      </c>
      <c r="AL171" s="746">
        <f t="shared" si="147"/>
        <v>0</v>
      </c>
      <c r="AM171" s="746">
        <f t="shared" si="147"/>
        <v>0</v>
      </c>
      <c r="AN171" s="746">
        <f t="shared" si="147"/>
        <v>0</v>
      </c>
      <c r="AO171" s="746">
        <f t="shared" si="147"/>
        <v>0</v>
      </c>
      <c r="AP171" s="746">
        <f t="shared" si="147"/>
        <v>0</v>
      </c>
      <c r="AQ171" s="746">
        <f t="shared" si="147"/>
        <v>0</v>
      </c>
      <c r="AR171" s="746">
        <f t="shared" si="147"/>
        <v>0</v>
      </c>
      <c r="AS171" s="746">
        <f t="shared" si="147"/>
        <v>0</v>
      </c>
      <c r="AT171" s="746">
        <f t="shared" si="147"/>
        <v>0</v>
      </c>
      <c r="AU171" s="746">
        <f t="shared" si="147"/>
        <v>0</v>
      </c>
      <c r="AV171" s="746">
        <f t="shared" si="147"/>
        <v>0</v>
      </c>
      <c r="AW171" s="746">
        <f t="shared" si="147"/>
        <v>0</v>
      </c>
      <c r="AX171" s="746">
        <f t="shared" si="147"/>
        <v>0</v>
      </c>
      <c r="AY171" s="746">
        <f t="shared" si="147"/>
        <v>0</v>
      </c>
      <c r="AZ171" s="746">
        <f t="shared" si="147"/>
        <v>0</v>
      </c>
      <c r="BA171" s="746">
        <f t="shared" si="147"/>
        <v>0</v>
      </c>
      <c r="BB171" s="746">
        <f t="shared" si="147"/>
        <v>0</v>
      </c>
    </row>
    <row r="172" ht="15.75" customHeight="1">
      <c r="A172" s="744">
        <v>2047.0</v>
      </c>
      <c r="V172" s="747">
        <v>0.0</v>
      </c>
      <c r="W172" s="746">
        <f t="shared" si="31"/>
        <v>0</v>
      </c>
      <c r="X172" s="746">
        <f t="shared" ref="X172:BB172" si="148">IF(AND(X$54-$A172&gt;$V$38,SUM($W172:W172)&lt;&gt;$V172),$V172,0)</f>
        <v>0</v>
      </c>
      <c r="Y172" s="746">
        <f t="shared" si="148"/>
        <v>0</v>
      </c>
      <c r="Z172" s="746">
        <f t="shared" si="148"/>
        <v>0</v>
      </c>
      <c r="AA172" s="746">
        <f t="shared" si="148"/>
        <v>0</v>
      </c>
      <c r="AB172" s="746">
        <f t="shared" si="148"/>
        <v>0</v>
      </c>
      <c r="AC172" s="746">
        <f t="shared" si="148"/>
        <v>0</v>
      </c>
      <c r="AD172" s="746">
        <f t="shared" si="148"/>
        <v>0</v>
      </c>
      <c r="AE172" s="746">
        <f t="shared" si="148"/>
        <v>0</v>
      </c>
      <c r="AF172" s="746">
        <f t="shared" si="148"/>
        <v>0</v>
      </c>
      <c r="AG172" s="746">
        <f t="shared" si="148"/>
        <v>0</v>
      </c>
      <c r="AH172" s="746">
        <f t="shared" si="148"/>
        <v>0</v>
      </c>
      <c r="AI172" s="746">
        <f t="shared" si="148"/>
        <v>0</v>
      </c>
      <c r="AJ172" s="746">
        <f t="shared" si="148"/>
        <v>0</v>
      </c>
      <c r="AK172" s="746">
        <f t="shared" si="148"/>
        <v>0</v>
      </c>
      <c r="AL172" s="746">
        <f t="shared" si="148"/>
        <v>0</v>
      </c>
      <c r="AM172" s="746">
        <f t="shared" si="148"/>
        <v>0</v>
      </c>
      <c r="AN172" s="746">
        <f t="shared" si="148"/>
        <v>0</v>
      </c>
      <c r="AO172" s="746">
        <f t="shared" si="148"/>
        <v>0</v>
      </c>
      <c r="AP172" s="746">
        <f t="shared" si="148"/>
        <v>0</v>
      </c>
      <c r="AQ172" s="746">
        <f t="shared" si="148"/>
        <v>0</v>
      </c>
      <c r="AR172" s="746">
        <f t="shared" si="148"/>
        <v>0</v>
      </c>
      <c r="AS172" s="746">
        <f t="shared" si="148"/>
        <v>0</v>
      </c>
      <c r="AT172" s="746">
        <f t="shared" si="148"/>
        <v>0</v>
      </c>
      <c r="AU172" s="746">
        <f t="shared" si="148"/>
        <v>0</v>
      </c>
      <c r="AV172" s="746">
        <f t="shared" si="148"/>
        <v>0</v>
      </c>
      <c r="AW172" s="746">
        <f t="shared" si="148"/>
        <v>0</v>
      </c>
      <c r="AX172" s="746">
        <f t="shared" si="148"/>
        <v>0</v>
      </c>
      <c r="AY172" s="746">
        <f t="shared" si="148"/>
        <v>0</v>
      </c>
      <c r="AZ172" s="746">
        <f t="shared" si="148"/>
        <v>0</v>
      </c>
      <c r="BA172" s="746">
        <f t="shared" si="148"/>
        <v>0</v>
      </c>
      <c r="BB172" s="746">
        <f t="shared" si="148"/>
        <v>0</v>
      </c>
    </row>
    <row r="173" ht="15.75" customHeight="1">
      <c r="A173" s="744">
        <v>2048.0</v>
      </c>
      <c r="V173" s="747">
        <v>0.0</v>
      </c>
      <c r="W173" s="746">
        <f t="shared" si="31"/>
        <v>0</v>
      </c>
      <c r="X173" s="746">
        <f t="shared" ref="X173:BB173" si="149">IF(AND(X$54-$A173&gt;$V$38,SUM($W173:W173)&lt;&gt;$V173),$V173,0)</f>
        <v>0</v>
      </c>
      <c r="Y173" s="746">
        <f t="shared" si="149"/>
        <v>0</v>
      </c>
      <c r="Z173" s="746">
        <f t="shared" si="149"/>
        <v>0</v>
      </c>
      <c r="AA173" s="746">
        <f t="shared" si="149"/>
        <v>0</v>
      </c>
      <c r="AB173" s="746">
        <f t="shared" si="149"/>
        <v>0</v>
      </c>
      <c r="AC173" s="746">
        <f t="shared" si="149"/>
        <v>0</v>
      </c>
      <c r="AD173" s="746">
        <f t="shared" si="149"/>
        <v>0</v>
      </c>
      <c r="AE173" s="746">
        <f t="shared" si="149"/>
        <v>0</v>
      </c>
      <c r="AF173" s="746">
        <f t="shared" si="149"/>
        <v>0</v>
      </c>
      <c r="AG173" s="746">
        <f t="shared" si="149"/>
        <v>0</v>
      </c>
      <c r="AH173" s="746">
        <f t="shared" si="149"/>
        <v>0</v>
      </c>
      <c r="AI173" s="746">
        <f t="shared" si="149"/>
        <v>0</v>
      </c>
      <c r="AJ173" s="746">
        <f t="shared" si="149"/>
        <v>0</v>
      </c>
      <c r="AK173" s="746">
        <f t="shared" si="149"/>
        <v>0</v>
      </c>
      <c r="AL173" s="746">
        <f t="shared" si="149"/>
        <v>0</v>
      </c>
      <c r="AM173" s="746">
        <f t="shared" si="149"/>
        <v>0</v>
      </c>
      <c r="AN173" s="746">
        <f t="shared" si="149"/>
        <v>0</v>
      </c>
      <c r="AO173" s="746">
        <f t="shared" si="149"/>
        <v>0</v>
      </c>
      <c r="AP173" s="746">
        <f t="shared" si="149"/>
        <v>0</v>
      </c>
      <c r="AQ173" s="746">
        <f t="shared" si="149"/>
        <v>0</v>
      </c>
      <c r="AR173" s="746">
        <f t="shared" si="149"/>
        <v>0</v>
      </c>
      <c r="AS173" s="746">
        <f t="shared" si="149"/>
        <v>0</v>
      </c>
      <c r="AT173" s="746">
        <f t="shared" si="149"/>
        <v>0</v>
      </c>
      <c r="AU173" s="746">
        <f t="shared" si="149"/>
        <v>0</v>
      </c>
      <c r="AV173" s="746">
        <f t="shared" si="149"/>
        <v>0</v>
      </c>
      <c r="AW173" s="746">
        <f t="shared" si="149"/>
        <v>0</v>
      </c>
      <c r="AX173" s="746">
        <f t="shared" si="149"/>
        <v>0</v>
      </c>
      <c r="AY173" s="746">
        <f t="shared" si="149"/>
        <v>0</v>
      </c>
      <c r="AZ173" s="746">
        <f t="shared" si="149"/>
        <v>0</v>
      </c>
      <c r="BA173" s="746">
        <f t="shared" si="149"/>
        <v>0</v>
      </c>
      <c r="BB173" s="746">
        <f t="shared" si="149"/>
        <v>0</v>
      </c>
    </row>
    <row r="174" ht="15.75" customHeight="1">
      <c r="A174" s="744">
        <v>2049.0</v>
      </c>
      <c r="V174" s="747">
        <v>0.0</v>
      </c>
      <c r="W174" s="746">
        <f t="shared" si="31"/>
        <v>0</v>
      </c>
      <c r="X174" s="746">
        <f t="shared" ref="X174:BB174" si="150">IF(AND(X$54-$A174&gt;$V$38,SUM($W174:W174)&lt;&gt;$V174),$V174,0)</f>
        <v>0</v>
      </c>
      <c r="Y174" s="746">
        <f t="shared" si="150"/>
        <v>0</v>
      </c>
      <c r="Z174" s="746">
        <f t="shared" si="150"/>
        <v>0</v>
      </c>
      <c r="AA174" s="746">
        <f t="shared" si="150"/>
        <v>0</v>
      </c>
      <c r="AB174" s="746">
        <f t="shared" si="150"/>
        <v>0</v>
      </c>
      <c r="AC174" s="746">
        <f t="shared" si="150"/>
        <v>0</v>
      </c>
      <c r="AD174" s="746">
        <f t="shared" si="150"/>
        <v>0</v>
      </c>
      <c r="AE174" s="746">
        <f t="shared" si="150"/>
        <v>0</v>
      </c>
      <c r="AF174" s="746">
        <f t="shared" si="150"/>
        <v>0</v>
      </c>
      <c r="AG174" s="746">
        <f t="shared" si="150"/>
        <v>0</v>
      </c>
      <c r="AH174" s="746">
        <f t="shared" si="150"/>
        <v>0</v>
      </c>
      <c r="AI174" s="746">
        <f t="shared" si="150"/>
        <v>0</v>
      </c>
      <c r="AJ174" s="746">
        <f t="shared" si="150"/>
        <v>0</v>
      </c>
      <c r="AK174" s="746">
        <f t="shared" si="150"/>
        <v>0</v>
      </c>
      <c r="AL174" s="746">
        <f t="shared" si="150"/>
        <v>0</v>
      </c>
      <c r="AM174" s="746">
        <f t="shared" si="150"/>
        <v>0</v>
      </c>
      <c r="AN174" s="746">
        <f t="shared" si="150"/>
        <v>0</v>
      </c>
      <c r="AO174" s="746">
        <f t="shared" si="150"/>
        <v>0</v>
      </c>
      <c r="AP174" s="746">
        <f t="shared" si="150"/>
        <v>0</v>
      </c>
      <c r="AQ174" s="746">
        <f t="shared" si="150"/>
        <v>0</v>
      </c>
      <c r="AR174" s="746">
        <f t="shared" si="150"/>
        <v>0</v>
      </c>
      <c r="AS174" s="746">
        <f t="shared" si="150"/>
        <v>0</v>
      </c>
      <c r="AT174" s="746">
        <f t="shared" si="150"/>
        <v>0</v>
      </c>
      <c r="AU174" s="746">
        <f t="shared" si="150"/>
        <v>0</v>
      </c>
      <c r="AV174" s="746">
        <f t="shared" si="150"/>
        <v>0</v>
      </c>
      <c r="AW174" s="746">
        <f t="shared" si="150"/>
        <v>0</v>
      </c>
      <c r="AX174" s="746">
        <f t="shared" si="150"/>
        <v>0</v>
      </c>
      <c r="AY174" s="746">
        <f t="shared" si="150"/>
        <v>0</v>
      </c>
      <c r="AZ174" s="746">
        <f t="shared" si="150"/>
        <v>0</v>
      </c>
      <c r="BA174" s="746">
        <f t="shared" si="150"/>
        <v>0</v>
      </c>
      <c r="BB174" s="746">
        <f t="shared" si="150"/>
        <v>0</v>
      </c>
    </row>
    <row r="175" ht="15.75" customHeight="1">
      <c r="A175" s="744">
        <v>2050.0</v>
      </c>
      <c r="V175" s="747">
        <v>0.0</v>
      </c>
      <c r="W175" s="746">
        <f t="shared" si="31"/>
        <v>0</v>
      </c>
      <c r="X175" s="746">
        <f t="shared" ref="X175:BB175" si="151">IF(AND(X$54-$A175&gt;$V$38,SUM($W175:W175)&lt;&gt;$V175),$V175,0)</f>
        <v>0</v>
      </c>
      <c r="Y175" s="746">
        <f t="shared" si="151"/>
        <v>0</v>
      </c>
      <c r="Z175" s="746">
        <f t="shared" si="151"/>
        <v>0</v>
      </c>
      <c r="AA175" s="746">
        <f t="shared" si="151"/>
        <v>0</v>
      </c>
      <c r="AB175" s="746">
        <f t="shared" si="151"/>
        <v>0</v>
      </c>
      <c r="AC175" s="746">
        <f t="shared" si="151"/>
        <v>0</v>
      </c>
      <c r="AD175" s="746">
        <f t="shared" si="151"/>
        <v>0</v>
      </c>
      <c r="AE175" s="746">
        <f t="shared" si="151"/>
        <v>0</v>
      </c>
      <c r="AF175" s="746">
        <f t="shared" si="151"/>
        <v>0</v>
      </c>
      <c r="AG175" s="746">
        <f t="shared" si="151"/>
        <v>0</v>
      </c>
      <c r="AH175" s="746">
        <f t="shared" si="151"/>
        <v>0</v>
      </c>
      <c r="AI175" s="746">
        <f t="shared" si="151"/>
        <v>0</v>
      </c>
      <c r="AJ175" s="746">
        <f t="shared" si="151"/>
        <v>0</v>
      </c>
      <c r="AK175" s="746">
        <f t="shared" si="151"/>
        <v>0</v>
      </c>
      <c r="AL175" s="746">
        <f t="shared" si="151"/>
        <v>0</v>
      </c>
      <c r="AM175" s="746">
        <f t="shared" si="151"/>
        <v>0</v>
      </c>
      <c r="AN175" s="746">
        <f t="shared" si="151"/>
        <v>0</v>
      </c>
      <c r="AO175" s="746">
        <f t="shared" si="151"/>
        <v>0</v>
      </c>
      <c r="AP175" s="746">
        <f t="shared" si="151"/>
        <v>0</v>
      </c>
      <c r="AQ175" s="746">
        <f t="shared" si="151"/>
        <v>0</v>
      </c>
      <c r="AR175" s="746">
        <f t="shared" si="151"/>
        <v>0</v>
      </c>
      <c r="AS175" s="746">
        <f t="shared" si="151"/>
        <v>0</v>
      </c>
      <c r="AT175" s="746">
        <f t="shared" si="151"/>
        <v>0</v>
      </c>
      <c r="AU175" s="746">
        <f t="shared" si="151"/>
        <v>0</v>
      </c>
      <c r="AV175" s="746">
        <f t="shared" si="151"/>
        <v>0</v>
      </c>
      <c r="AW175" s="746">
        <f t="shared" si="151"/>
        <v>0</v>
      </c>
      <c r="AX175" s="746">
        <f t="shared" si="151"/>
        <v>0</v>
      </c>
      <c r="AY175" s="746">
        <f t="shared" si="151"/>
        <v>0</v>
      </c>
      <c r="AZ175" s="746">
        <f t="shared" si="151"/>
        <v>0</v>
      </c>
      <c r="BA175" s="746">
        <f t="shared" si="151"/>
        <v>0</v>
      </c>
      <c r="BB175" s="746">
        <f t="shared" si="151"/>
        <v>0</v>
      </c>
    </row>
    <row r="176" ht="15.75" customHeight="1">
      <c r="A176" s="744"/>
    </row>
    <row r="177" ht="15.75" customHeight="1"/>
    <row r="178" ht="15.75" customHeight="1"/>
    <row r="179" ht="15.75" customHeight="1"/>
    <row r="180" ht="15.75" customHeight="1"/>
    <row r="181" ht="15.75" customHeight="1">
      <c r="A181" s="748" t="s">
        <v>1020</v>
      </c>
    </row>
    <row r="182" ht="15.75" customHeight="1">
      <c r="A182" s="748" t="s">
        <v>1021</v>
      </c>
    </row>
    <row r="183" ht="15.75" customHeight="1">
      <c r="A183" s="748" t="s">
        <v>1022</v>
      </c>
    </row>
  </sheetData>
  <printOptions/>
  <pageMargins bottom="0.75" footer="0.0" header="0.0" left="0.7" right="0.7" top="0.75"/>
  <pageSetup orientation="portrait"/>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61.57"/>
    <col customWidth="1" min="2" max="21" width="11.43"/>
    <col customWidth="1" min="22" max="22" width="12.14"/>
    <col customWidth="1" min="23" max="23" width="12.0"/>
    <col customWidth="1" min="24" max="28" width="11.43"/>
    <col customWidth="1" min="29" max="52" width="12.86"/>
    <col customWidth="1" min="53" max="57"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row>
    <row r="2" ht="15.0" customHeight="1">
      <c r="A2" s="535" t="s">
        <v>1023</v>
      </c>
      <c r="B2" s="749">
        <f t="shared" ref="B2:U2" si="1">C2/(1+B59-B6)</f>
        <v>775964.2927</v>
      </c>
      <c r="C2" s="749">
        <f t="shared" si="1"/>
        <v>775964.2927</v>
      </c>
      <c r="D2" s="749">
        <f t="shared" si="1"/>
        <v>775964.2927</v>
      </c>
      <c r="E2" s="749">
        <f t="shared" si="1"/>
        <v>775964.2927</v>
      </c>
      <c r="F2" s="749">
        <f t="shared" si="1"/>
        <v>775964.2927</v>
      </c>
      <c r="G2" s="749">
        <f t="shared" si="1"/>
        <v>789148.5731</v>
      </c>
      <c r="H2" s="749">
        <f t="shared" si="1"/>
        <v>813318.7843</v>
      </c>
      <c r="I2" s="749">
        <f t="shared" si="1"/>
        <v>857003.0762</v>
      </c>
      <c r="J2" s="749">
        <f t="shared" si="1"/>
        <v>878605.3782</v>
      </c>
      <c r="K2" s="749">
        <f t="shared" si="1"/>
        <v>913716.2013</v>
      </c>
      <c r="L2" s="749">
        <f t="shared" si="1"/>
        <v>931436.9436</v>
      </c>
      <c r="M2" s="749">
        <f t="shared" si="1"/>
        <v>949397.2468</v>
      </c>
      <c r="N2" s="749">
        <f t="shared" si="1"/>
        <v>970675.3765</v>
      </c>
      <c r="O2" s="749">
        <f t="shared" si="1"/>
        <v>979843.9512</v>
      </c>
      <c r="P2" s="749">
        <f t="shared" si="1"/>
        <v>992220.6968</v>
      </c>
      <c r="Q2" s="749">
        <f t="shared" si="1"/>
        <v>1026769.853</v>
      </c>
      <c r="R2" s="749">
        <f t="shared" si="1"/>
        <v>1043412.109</v>
      </c>
      <c r="S2" s="749">
        <f t="shared" si="1"/>
        <v>1032331.833</v>
      </c>
      <c r="T2" s="749">
        <f t="shared" si="1"/>
        <v>1072835.798</v>
      </c>
      <c r="U2" s="749">
        <f t="shared" si="1"/>
        <v>1086387.156</v>
      </c>
      <c r="V2" s="705">
        <v>1108000.0</v>
      </c>
      <c r="W2" s="160">
        <f t="shared" ref="W2:AZ2" si="2">V2*(1+V59-V6)</f>
        <v>1130042.815</v>
      </c>
      <c r="X2" s="160">
        <f t="shared" si="2"/>
        <v>1152524.155</v>
      </c>
      <c r="Y2" s="160">
        <f t="shared" si="2"/>
        <v>1175452.744</v>
      </c>
      <c r="Z2" s="160">
        <f t="shared" si="2"/>
        <v>1198837.48</v>
      </c>
      <c r="AA2" s="160">
        <f t="shared" si="2"/>
        <v>1222687.437</v>
      </c>
      <c r="AB2" s="160">
        <f t="shared" si="2"/>
        <v>1247011.872</v>
      </c>
      <c r="AC2" s="160">
        <f t="shared" si="2"/>
        <v>1271820.222</v>
      </c>
      <c r="AD2" s="160">
        <f t="shared" si="2"/>
        <v>1297122.115</v>
      </c>
      <c r="AE2" s="160">
        <f t="shared" si="2"/>
        <v>1322927.37</v>
      </c>
      <c r="AF2" s="160">
        <f t="shared" si="2"/>
        <v>1349246.002</v>
      </c>
      <c r="AG2" s="160">
        <f t="shared" si="2"/>
        <v>1376088.222</v>
      </c>
      <c r="AH2" s="160">
        <f t="shared" si="2"/>
        <v>1403464.448</v>
      </c>
      <c r="AI2" s="160">
        <f t="shared" si="2"/>
        <v>1431385.302</v>
      </c>
      <c r="AJ2" s="160">
        <f t="shared" si="2"/>
        <v>1459861.621</v>
      </c>
      <c r="AK2" s="160">
        <f t="shared" si="2"/>
        <v>1488904.455</v>
      </c>
      <c r="AL2" s="160">
        <f t="shared" si="2"/>
        <v>1518525.074</v>
      </c>
      <c r="AM2" s="160">
        <f t="shared" si="2"/>
        <v>1548734.972</v>
      </c>
      <c r="AN2" s="160">
        <f t="shared" si="2"/>
        <v>1579545.873</v>
      </c>
      <c r="AO2" s="160">
        <f t="shared" si="2"/>
        <v>1610969.734</v>
      </c>
      <c r="AP2" s="160">
        <f t="shared" si="2"/>
        <v>1643018.748</v>
      </c>
      <c r="AQ2" s="160">
        <f t="shared" si="2"/>
        <v>1675705.353</v>
      </c>
      <c r="AR2" s="160">
        <f t="shared" si="2"/>
        <v>1709042.233</v>
      </c>
      <c r="AS2" s="160">
        <f t="shared" si="2"/>
        <v>1743042.325</v>
      </c>
      <c r="AT2" s="160">
        <f t="shared" si="2"/>
        <v>1777718.823</v>
      </c>
      <c r="AU2" s="160">
        <f t="shared" si="2"/>
        <v>1813085.183</v>
      </c>
      <c r="AV2" s="160">
        <f t="shared" si="2"/>
        <v>1849155.13</v>
      </c>
      <c r="AW2" s="160">
        <f t="shared" si="2"/>
        <v>1885942.661</v>
      </c>
      <c r="AX2" s="160">
        <f t="shared" si="2"/>
        <v>1923462.052</v>
      </c>
      <c r="AY2" s="160">
        <f t="shared" si="2"/>
        <v>1961727.863</v>
      </c>
      <c r="AZ2" s="160">
        <f t="shared" si="2"/>
        <v>2000754.943</v>
      </c>
      <c r="BA2" s="537"/>
    </row>
    <row r="3" ht="15.0" customHeight="1">
      <c r="A3" s="535" t="s">
        <v>1024</v>
      </c>
      <c r="B3" s="749">
        <f t="shared" ref="B3:U3" si="3">C3/(1+B59-B6)</f>
        <v>476223.5731</v>
      </c>
      <c r="C3" s="749">
        <f t="shared" si="3"/>
        <v>476223.5731</v>
      </c>
      <c r="D3" s="749">
        <f t="shared" si="3"/>
        <v>476223.5731</v>
      </c>
      <c r="E3" s="749">
        <f t="shared" si="3"/>
        <v>476223.5731</v>
      </c>
      <c r="F3" s="749">
        <f t="shared" si="3"/>
        <v>476223.5731</v>
      </c>
      <c r="G3" s="749">
        <f t="shared" si="3"/>
        <v>484315.0088</v>
      </c>
      <c r="H3" s="749">
        <f t="shared" si="3"/>
        <v>499148.7124</v>
      </c>
      <c r="I3" s="749">
        <f t="shared" si="3"/>
        <v>525958.5666</v>
      </c>
      <c r="J3" s="749">
        <f t="shared" si="3"/>
        <v>539216.2971</v>
      </c>
      <c r="K3" s="749">
        <f t="shared" si="3"/>
        <v>560764.4556</v>
      </c>
      <c r="L3" s="749">
        <f t="shared" si="3"/>
        <v>571640.0015</v>
      </c>
      <c r="M3" s="749">
        <f t="shared" si="3"/>
        <v>582662.5703</v>
      </c>
      <c r="N3" s="749">
        <f t="shared" si="3"/>
        <v>595721.3502</v>
      </c>
      <c r="O3" s="749">
        <f t="shared" si="3"/>
        <v>601348.2733</v>
      </c>
      <c r="P3" s="749">
        <f t="shared" si="3"/>
        <v>608944.11</v>
      </c>
      <c r="Q3" s="749">
        <f t="shared" si="3"/>
        <v>630147.5629</v>
      </c>
      <c r="R3" s="749">
        <f t="shared" si="3"/>
        <v>640361.2223</v>
      </c>
      <c r="S3" s="749">
        <f t="shared" si="3"/>
        <v>633561.0528</v>
      </c>
      <c r="T3" s="749">
        <f t="shared" si="3"/>
        <v>658419.0821</v>
      </c>
      <c r="U3" s="749">
        <f t="shared" si="3"/>
        <v>666735.7997</v>
      </c>
      <c r="V3" s="705">
        <v>680000.0</v>
      </c>
      <c r="W3" s="160">
        <f t="shared" ref="W3:AZ3" si="4">V3*(1+V59-V6)</f>
        <v>693528.0814</v>
      </c>
      <c r="X3" s="160">
        <f t="shared" si="4"/>
        <v>707325.2937</v>
      </c>
      <c r="Y3" s="160">
        <f t="shared" si="4"/>
        <v>721396.991</v>
      </c>
      <c r="Z3" s="160">
        <f t="shared" si="4"/>
        <v>735748.634</v>
      </c>
      <c r="AA3" s="160">
        <f t="shared" si="4"/>
        <v>750385.792</v>
      </c>
      <c r="AB3" s="160">
        <f t="shared" si="4"/>
        <v>765314.145</v>
      </c>
      <c r="AC3" s="160">
        <f t="shared" si="4"/>
        <v>780539.4863</v>
      </c>
      <c r="AD3" s="160">
        <f t="shared" si="4"/>
        <v>796067.7241</v>
      </c>
      <c r="AE3" s="160">
        <f t="shared" si="4"/>
        <v>811904.8844</v>
      </c>
      <c r="AF3" s="160">
        <f t="shared" si="4"/>
        <v>828057.1129</v>
      </c>
      <c r="AG3" s="160">
        <f t="shared" si="4"/>
        <v>844530.6777</v>
      </c>
      <c r="AH3" s="160">
        <f t="shared" si="4"/>
        <v>861331.9715</v>
      </c>
      <c r="AI3" s="160">
        <f t="shared" si="4"/>
        <v>878467.5142</v>
      </c>
      <c r="AJ3" s="160">
        <f t="shared" si="4"/>
        <v>895943.9554</v>
      </c>
      <c r="AK3" s="160">
        <f t="shared" si="4"/>
        <v>913768.0772</v>
      </c>
      <c r="AL3" s="160">
        <f t="shared" si="4"/>
        <v>931946.7962</v>
      </c>
      <c r="AM3" s="160">
        <f t="shared" si="4"/>
        <v>950487.167</v>
      </c>
      <c r="AN3" s="160">
        <f t="shared" si="4"/>
        <v>969396.3843</v>
      </c>
      <c r="AO3" s="160">
        <f t="shared" si="4"/>
        <v>988681.7861</v>
      </c>
      <c r="AP3" s="160">
        <f t="shared" si="4"/>
        <v>1008350.856</v>
      </c>
      <c r="AQ3" s="160">
        <f t="shared" si="4"/>
        <v>1028411.228</v>
      </c>
      <c r="AR3" s="160">
        <f t="shared" si="4"/>
        <v>1048870.685</v>
      </c>
      <c r="AS3" s="160">
        <f t="shared" si="4"/>
        <v>1069737.167</v>
      </c>
      <c r="AT3" s="160">
        <f t="shared" si="4"/>
        <v>1091018.772</v>
      </c>
      <c r="AU3" s="160">
        <f t="shared" si="4"/>
        <v>1112723.759</v>
      </c>
      <c r="AV3" s="160">
        <f t="shared" si="4"/>
        <v>1134860.549</v>
      </c>
      <c r="AW3" s="160">
        <f t="shared" si="4"/>
        <v>1157437.734</v>
      </c>
      <c r="AX3" s="160">
        <f t="shared" si="4"/>
        <v>1180464.075</v>
      </c>
      <c r="AY3" s="160">
        <f t="shared" si="4"/>
        <v>1203948.508</v>
      </c>
      <c r="AZ3" s="160">
        <f t="shared" si="4"/>
        <v>1227900.145</v>
      </c>
      <c r="BA3" s="537"/>
    </row>
    <row r="4" ht="15.0" customHeight="1">
      <c r="A4" s="541" t="s">
        <v>1025</v>
      </c>
      <c r="B4" s="709"/>
      <c r="C4" s="709"/>
      <c r="D4" s="709"/>
      <c r="E4" s="709"/>
      <c r="F4" s="709"/>
      <c r="G4" s="709"/>
      <c r="H4" s="709"/>
      <c r="I4" s="709"/>
      <c r="J4" s="709"/>
      <c r="K4" s="709"/>
      <c r="L4" s="709"/>
      <c r="M4" s="709"/>
      <c r="N4" s="709"/>
      <c r="O4" s="709"/>
      <c r="P4" s="709"/>
      <c r="Q4" s="709"/>
      <c r="R4" s="709"/>
      <c r="S4" s="709"/>
      <c r="T4" s="750">
        <v>1088.0</v>
      </c>
      <c r="U4" s="750">
        <v>1077.0</v>
      </c>
      <c r="V4" s="707">
        <v>1066.0</v>
      </c>
      <c r="W4" s="751">
        <v>1055.0</v>
      </c>
      <c r="X4" s="751">
        <v>1044.0</v>
      </c>
      <c r="Y4" s="751">
        <v>1032.0</v>
      </c>
      <c r="Z4" s="751">
        <v>1018.0</v>
      </c>
      <c r="AA4" s="751">
        <v>1008.0</v>
      </c>
      <c r="AB4" s="751">
        <v>1002.0</v>
      </c>
      <c r="AC4" s="751">
        <v>995.0</v>
      </c>
      <c r="AD4" s="751">
        <v>991.0</v>
      </c>
      <c r="AE4" s="751">
        <v>988.0</v>
      </c>
      <c r="AF4" s="751">
        <v>983.0</v>
      </c>
      <c r="AG4" s="751">
        <v>979.0</v>
      </c>
      <c r="AH4" s="751">
        <v>975.0</v>
      </c>
      <c r="AI4" s="751">
        <v>970.0</v>
      </c>
      <c r="AJ4" s="751">
        <v>967.0</v>
      </c>
      <c r="AK4" s="751">
        <v>964.0</v>
      </c>
      <c r="AL4" s="751">
        <v>961.0</v>
      </c>
      <c r="AM4" s="751">
        <v>958.0</v>
      </c>
      <c r="AN4" s="751">
        <v>955.0</v>
      </c>
      <c r="AO4" s="751">
        <v>952.0</v>
      </c>
      <c r="AP4" s="751">
        <v>948.0</v>
      </c>
      <c r="AQ4" s="751">
        <v>946.0</v>
      </c>
      <c r="AR4" s="751">
        <v>943.0</v>
      </c>
      <c r="AS4" s="751">
        <v>940.0</v>
      </c>
      <c r="AT4" s="751">
        <v>938.0</v>
      </c>
      <c r="AU4" s="751">
        <v>936.0</v>
      </c>
      <c r="AV4" s="751">
        <v>932.0</v>
      </c>
      <c r="AW4" s="751">
        <v>929.0</v>
      </c>
      <c r="AX4" s="751">
        <v>926.0</v>
      </c>
      <c r="AY4" s="751">
        <v>924.0</v>
      </c>
      <c r="AZ4" s="751">
        <v>913.0</v>
      </c>
      <c r="BA4" s="537"/>
    </row>
    <row r="5" ht="15.0" customHeight="1">
      <c r="A5" s="541" t="s">
        <v>1026</v>
      </c>
      <c r="B5" s="709"/>
      <c r="C5" s="709"/>
      <c r="D5" s="709"/>
      <c r="E5" s="709"/>
      <c r="F5" s="709"/>
      <c r="G5" s="709"/>
      <c r="H5" s="709"/>
      <c r="I5" s="709"/>
      <c r="J5" s="709"/>
      <c r="K5" s="709"/>
      <c r="L5" s="709"/>
      <c r="M5" s="709"/>
      <c r="N5" s="709"/>
      <c r="O5" s="709"/>
      <c r="P5" s="709"/>
      <c r="Q5" s="709"/>
      <c r="R5" s="709"/>
      <c r="S5" s="709"/>
      <c r="T5" s="750">
        <v>983.0</v>
      </c>
      <c r="U5" s="750">
        <v>978.0</v>
      </c>
      <c r="V5" s="707">
        <v>974.0</v>
      </c>
      <c r="W5" s="751">
        <v>969.0</v>
      </c>
      <c r="X5" s="751">
        <v>964.0</v>
      </c>
      <c r="Y5" s="751">
        <v>953.0</v>
      </c>
      <c r="Z5" s="751">
        <v>936.0</v>
      </c>
      <c r="AA5" s="751">
        <v>925.0</v>
      </c>
      <c r="AB5" s="751">
        <v>918.0</v>
      </c>
      <c r="AC5" s="751">
        <v>911.0</v>
      </c>
      <c r="AD5" s="751">
        <v>906.0</v>
      </c>
      <c r="AE5" s="751">
        <v>902.0</v>
      </c>
      <c r="AF5" s="751">
        <v>898.0</v>
      </c>
      <c r="AG5" s="751">
        <v>894.0</v>
      </c>
      <c r="AH5" s="751">
        <v>890.0</v>
      </c>
      <c r="AI5" s="751">
        <v>885.0</v>
      </c>
      <c r="AJ5" s="751">
        <v>882.0</v>
      </c>
      <c r="AK5" s="751">
        <v>879.0</v>
      </c>
      <c r="AL5" s="751">
        <v>876.0</v>
      </c>
      <c r="AM5" s="751">
        <v>874.0</v>
      </c>
      <c r="AN5" s="751">
        <v>872.0</v>
      </c>
      <c r="AO5" s="751">
        <v>869.0</v>
      </c>
      <c r="AP5" s="751">
        <v>865.0</v>
      </c>
      <c r="AQ5" s="751">
        <v>864.0</v>
      </c>
      <c r="AR5" s="751">
        <v>861.0</v>
      </c>
      <c r="AS5" s="751">
        <v>859.0</v>
      </c>
      <c r="AT5" s="751">
        <v>856.0</v>
      </c>
      <c r="AU5" s="751">
        <v>854.0</v>
      </c>
      <c r="AV5" s="751">
        <v>851.0</v>
      </c>
      <c r="AW5" s="751">
        <v>849.0</v>
      </c>
      <c r="AX5" s="751">
        <v>846.0</v>
      </c>
      <c r="AY5" s="751">
        <v>844.0</v>
      </c>
      <c r="AZ5" s="751">
        <v>834.0</v>
      </c>
    </row>
    <row r="6" ht="15.0" customHeight="1">
      <c r="A6" s="535" t="s">
        <v>72</v>
      </c>
      <c r="B6" s="709">
        <f t="shared" ref="B6:U6" si="5">C6</f>
        <v>0</v>
      </c>
      <c r="C6" s="709">
        <f t="shared" si="5"/>
        <v>0</v>
      </c>
      <c r="D6" s="709">
        <f t="shared" si="5"/>
        <v>0</v>
      </c>
      <c r="E6" s="709">
        <f t="shared" si="5"/>
        <v>0</v>
      </c>
      <c r="F6" s="709">
        <f t="shared" si="5"/>
        <v>0</v>
      </c>
      <c r="G6" s="709">
        <f t="shared" si="5"/>
        <v>0</v>
      </c>
      <c r="H6" s="709">
        <f t="shared" si="5"/>
        <v>0</v>
      </c>
      <c r="I6" s="709">
        <f t="shared" si="5"/>
        <v>0</v>
      </c>
      <c r="J6" s="709">
        <f t="shared" si="5"/>
        <v>0</v>
      </c>
      <c r="K6" s="709">
        <f t="shared" si="5"/>
        <v>0</v>
      </c>
      <c r="L6" s="709">
        <f t="shared" si="5"/>
        <v>0</v>
      </c>
      <c r="M6" s="709">
        <f t="shared" si="5"/>
        <v>0</v>
      </c>
      <c r="N6" s="709">
        <f t="shared" si="5"/>
        <v>0</v>
      </c>
      <c r="O6" s="709">
        <f t="shared" si="5"/>
        <v>0</v>
      </c>
      <c r="P6" s="709">
        <f t="shared" si="5"/>
        <v>0</v>
      </c>
      <c r="Q6" s="709">
        <f t="shared" si="5"/>
        <v>0</v>
      </c>
      <c r="R6" s="709">
        <f t="shared" si="5"/>
        <v>0</v>
      </c>
      <c r="S6" s="709">
        <f t="shared" si="5"/>
        <v>0</v>
      </c>
      <c r="T6" s="709">
        <f t="shared" si="5"/>
        <v>0</v>
      </c>
      <c r="U6" s="709">
        <f t="shared" si="5"/>
        <v>0</v>
      </c>
      <c r="V6" s="536">
        <v>0.0</v>
      </c>
      <c r="W6" s="537">
        <f t="shared" ref="W6:AZ6" si="6">V6</f>
        <v>0</v>
      </c>
      <c r="X6" s="537">
        <f t="shared" si="6"/>
        <v>0</v>
      </c>
      <c r="Y6" s="537">
        <f t="shared" si="6"/>
        <v>0</v>
      </c>
      <c r="Z6" s="537">
        <f t="shared" si="6"/>
        <v>0</v>
      </c>
      <c r="AA6" s="537">
        <f t="shared" si="6"/>
        <v>0</v>
      </c>
      <c r="AB6" s="537">
        <f t="shared" si="6"/>
        <v>0</v>
      </c>
      <c r="AC6" s="537">
        <f t="shared" si="6"/>
        <v>0</v>
      </c>
      <c r="AD6" s="537">
        <f t="shared" si="6"/>
        <v>0</v>
      </c>
      <c r="AE6" s="537">
        <f t="shared" si="6"/>
        <v>0</v>
      </c>
      <c r="AF6" s="537">
        <f t="shared" si="6"/>
        <v>0</v>
      </c>
      <c r="AG6" s="537">
        <f t="shared" si="6"/>
        <v>0</v>
      </c>
      <c r="AH6" s="537">
        <f t="shared" si="6"/>
        <v>0</v>
      </c>
      <c r="AI6" s="537">
        <f t="shared" si="6"/>
        <v>0</v>
      </c>
      <c r="AJ6" s="537">
        <f t="shared" si="6"/>
        <v>0</v>
      </c>
      <c r="AK6" s="537">
        <f t="shared" si="6"/>
        <v>0</v>
      </c>
      <c r="AL6" s="537">
        <f t="shared" si="6"/>
        <v>0</v>
      </c>
      <c r="AM6" s="537">
        <f t="shared" si="6"/>
        <v>0</v>
      </c>
      <c r="AN6" s="537">
        <f t="shared" si="6"/>
        <v>0</v>
      </c>
      <c r="AO6" s="537">
        <f t="shared" si="6"/>
        <v>0</v>
      </c>
      <c r="AP6" s="537">
        <f t="shared" si="6"/>
        <v>0</v>
      </c>
      <c r="AQ6" s="537">
        <f t="shared" si="6"/>
        <v>0</v>
      </c>
      <c r="AR6" s="537">
        <f t="shared" si="6"/>
        <v>0</v>
      </c>
      <c r="AS6" s="537">
        <f t="shared" si="6"/>
        <v>0</v>
      </c>
      <c r="AT6" s="537">
        <f t="shared" si="6"/>
        <v>0</v>
      </c>
      <c r="AU6" s="537">
        <f t="shared" si="6"/>
        <v>0</v>
      </c>
      <c r="AV6" s="537">
        <f t="shared" si="6"/>
        <v>0</v>
      </c>
      <c r="AW6" s="537">
        <f t="shared" si="6"/>
        <v>0</v>
      </c>
      <c r="AX6" s="537">
        <f t="shared" si="6"/>
        <v>0</v>
      </c>
      <c r="AY6" s="537">
        <f t="shared" si="6"/>
        <v>0</v>
      </c>
      <c r="AZ6" s="537">
        <f t="shared" si="6"/>
        <v>0</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8">
        <v>0.65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0.35</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8">
        <v>0.075</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80</v>
      </c>
      <c r="B10" s="535"/>
      <c r="C10" s="535"/>
      <c r="D10" s="535"/>
      <c r="E10" s="535"/>
      <c r="F10" s="535"/>
      <c r="G10" s="535"/>
      <c r="H10" s="535"/>
      <c r="I10" s="535"/>
      <c r="J10" s="535"/>
      <c r="K10" s="535"/>
      <c r="L10" s="535"/>
      <c r="M10" s="535"/>
      <c r="N10" s="535"/>
      <c r="O10" s="535"/>
      <c r="P10" s="535"/>
      <c r="Q10" s="535"/>
      <c r="R10" s="535"/>
      <c r="S10" s="535"/>
      <c r="T10" s="535"/>
      <c r="U10" s="535"/>
      <c r="V10" s="538">
        <v>0.09</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0.08025</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668">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1027</v>
      </c>
      <c r="B13" s="535"/>
      <c r="C13" s="535"/>
      <c r="D13" s="535"/>
      <c r="E13" s="535"/>
      <c r="F13" s="535"/>
      <c r="G13" s="535"/>
      <c r="H13" s="535"/>
      <c r="I13" s="535"/>
      <c r="J13" s="535"/>
      <c r="K13" s="535"/>
      <c r="L13" s="535"/>
      <c r="M13" s="535"/>
      <c r="N13" s="535"/>
      <c r="O13" s="535"/>
      <c r="P13" s="535"/>
      <c r="Q13" s="535"/>
      <c r="R13" s="535"/>
      <c r="S13" s="535"/>
      <c r="T13" s="535"/>
      <c r="U13" s="535"/>
      <c r="V13" s="752">
        <v>0.05</v>
      </c>
      <c r="W13" s="710">
        <v>0.095</v>
      </c>
      <c r="X13" s="710">
        <v>0.0855</v>
      </c>
      <c r="Y13" s="710">
        <v>0.077</v>
      </c>
      <c r="Z13" s="710">
        <v>0.0693</v>
      </c>
      <c r="AA13" s="710">
        <v>0.0623</v>
      </c>
      <c r="AB13" s="710">
        <v>0.059</v>
      </c>
      <c r="AC13" s="710">
        <v>0.059</v>
      </c>
      <c r="AD13" s="710">
        <v>0.0591</v>
      </c>
      <c r="AE13" s="710">
        <v>0.059</v>
      </c>
      <c r="AF13" s="710">
        <v>0.0591</v>
      </c>
      <c r="AG13" s="710">
        <v>0.059</v>
      </c>
      <c r="AH13" s="710">
        <v>0.0591</v>
      </c>
      <c r="AI13" s="710">
        <v>0.059</v>
      </c>
      <c r="AJ13" s="710">
        <v>0.0591</v>
      </c>
      <c r="AK13" s="710">
        <v>0.0295</v>
      </c>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668">
        <f>MAX(V65:V130)+MAX(V134:V244)</f>
        <v>9296.02658</v>
      </c>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712">
        <v>3.0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0.3333333333</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535" t="s">
        <v>1028</v>
      </c>
      <c r="B17" s="753">
        <v>0.298065</v>
      </c>
      <c r="C17" s="753">
        <v>0.330231</v>
      </c>
      <c r="D17" s="753">
        <v>0.406251</v>
      </c>
      <c r="E17" s="753">
        <v>0.472142</v>
      </c>
      <c r="F17" s="753">
        <v>0.497755</v>
      </c>
      <c r="G17" s="753">
        <v>0.509997</v>
      </c>
      <c r="H17" s="753">
        <v>0.518751</v>
      </c>
      <c r="I17" s="753">
        <v>0.522141</v>
      </c>
      <c r="J17" s="753">
        <v>0.523621</v>
      </c>
      <c r="K17" s="753">
        <v>0.52817</v>
      </c>
      <c r="L17" s="753">
        <v>0.530624</v>
      </c>
      <c r="M17" s="753">
        <v>0.537705</v>
      </c>
      <c r="N17" s="753">
        <v>0.542049</v>
      </c>
      <c r="O17" s="753">
        <v>0.540988</v>
      </c>
      <c r="P17" s="753">
        <v>0.548622</v>
      </c>
      <c r="Q17" s="753">
        <v>0.55147</v>
      </c>
      <c r="R17" s="753">
        <v>0.551881</v>
      </c>
      <c r="S17" s="753">
        <v>0.558476</v>
      </c>
      <c r="T17" s="753">
        <v>0.57226</v>
      </c>
      <c r="U17" s="753">
        <v>0.573594</v>
      </c>
      <c r="V17" s="542">
        <v>0.57</v>
      </c>
      <c r="W17" s="754">
        <f t="shared" ref="W17:AY17" si="7">$V$17+(W$1-$V$1)/($AZ$1-$V$1)*($AZ$17-$V$17)</f>
        <v>0.5739114448</v>
      </c>
      <c r="X17" s="754">
        <f t="shared" si="7"/>
        <v>0.5778228896</v>
      </c>
      <c r="Y17" s="754">
        <f t="shared" si="7"/>
        <v>0.5817343344</v>
      </c>
      <c r="Z17" s="754">
        <f t="shared" si="7"/>
        <v>0.5856457792</v>
      </c>
      <c r="AA17" s="754">
        <f t="shared" si="7"/>
        <v>0.589557224</v>
      </c>
      <c r="AB17" s="754">
        <f t="shared" si="7"/>
        <v>0.5934686687</v>
      </c>
      <c r="AC17" s="754">
        <f t="shared" si="7"/>
        <v>0.5973801135</v>
      </c>
      <c r="AD17" s="754">
        <f t="shared" si="7"/>
        <v>0.6012915583</v>
      </c>
      <c r="AE17" s="754">
        <f t="shared" si="7"/>
        <v>0.6052030031</v>
      </c>
      <c r="AF17" s="754">
        <f t="shared" si="7"/>
        <v>0.6091144479</v>
      </c>
      <c r="AG17" s="754">
        <f t="shared" si="7"/>
        <v>0.6130258927</v>
      </c>
      <c r="AH17" s="754">
        <f t="shared" si="7"/>
        <v>0.6169373375</v>
      </c>
      <c r="AI17" s="754">
        <f t="shared" si="7"/>
        <v>0.6208487823</v>
      </c>
      <c r="AJ17" s="754">
        <f t="shared" si="7"/>
        <v>0.6247602271</v>
      </c>
      <c r="AK17" s="754">
        <f t="shared" si="7"/>
        <v>0.6286716719</v>
      </c>
      <c r="AL17" s="754">
        <f t="shared" si="7"/>
        <v>0.6325831167</v>
      </c>
      <c r="AM17" s="754">
        <f t="shared" si="7"/>
        <v>0.6364945614</v>
      </c>
      <c r="AN17" s="754">
        <f t="shared" si="7"/>
        <v>0.6404060062</v>
      </c>
      <c r="AO17" s="754">
        <f t="shared" si="7"/>
        <v>0.644317451</v>
      </c>
      <c r="AP17" s="754">
        <f t="shared" si="7"/>
        <v>0.6482288958</v>
      </c>
      <c r="AQ17" s="539">
        <f t="shared" si="7"/>
        <v>0.6521403406</v>
      </c>
      <c r="AR17" s="539">
        <f t="shared" si="7"/>
        <v>0.6560517854</v>
      </c>
      <c r="AS17" s="539">
        <f t="shared" si="7"/>
        <v>0.6599632302</v>
      </c>
      <c r="AT17" s="539">
        <f t="shared" si="7"/>
        <v>0.663874675</v>
      </c>
      <c r="AU17" s="539">
        <f t="shared" si="7"/>
        <v>0.6677861198</v>
      </c>
      <c r="AV17" s="539">
        <f t="shared" si="7"/>
        <v>0.6716975646</v>
      </c>
      <c r="AW17" s="539">
        <f t="shared" si="7"/>
        <v>0.6756090094</v>
      </c>
      <c r="AX17" s="539">
        <f t="shared" si="7"/>
        <v>0.6795204541</v>
      </c>
      <c r="AY17" s="539">
        <f t="shared" si="7"/>
        <v>0.6834318989</v>
      </c>
      <c r="AZ17" s="755">
        <f>if(Inputs!$H$5+Inputs!$H$6&gt;0,Inputs!$H$5/(Inputs!$H$5+Inputs!$H$6),0)</f>
        <v>0.6873433437</v>
      </c>
    </row>
    <row r="18" ht="15.0" customHeight="1">
      <c r="A18" s="535" t="s">
        <v>1029</v>
      </c>
      <c r="B18" s="731">
        <f t="shared" ref="B18:U18" si="8">1-B17</f>
        <v>0.701935</v>
      </c>
      <c r="C18" s="731">
        <f t="shared" si="8"/>
        <v>0.669769</v>
      </c>
      <c r="D18" s="731">
        <f t="shared" si="8"/>
        <v>0.593749</v>
      </c>
      <c r="E18" s="731">
        <f t="shared" si="8"/>
        <v>0.527858</v>
      </c>
      <c r="F18" s="731">
        <f t="shared" si="8"/>
        <v>0.502245</v>
      </c>
      <c r="G18" s="731">
        <f t="shared" si="8"/>
        <v>0.490003</v>
      </c>
      <c r="H18" s="731">
        <f t="shared" si="8"/>
        <v>0.481249</v>
      </c>
      <c r="I18" s="731">
        <f t="shared" si="8"/>
        <v>0.477859</v>
      </c>
      <c r="J18" s="731">
        <f t="shared" si="8"/>
        <v>0.476379</v>
      </c>
      <c r="K18" s="731">
        <f t="shared" si="8"/>
        <v>0.47183</v>
      </c>
      <c r="L18" s="731">
        <f t="shared" si="8"/>
        <v>0.469376</v>
      </c>
      <c r="M18" s="731">
        <f t="shared" si="8"/>
        <v>0.462295</v>
      </c>
      <c r="N18" s="731">
        <f t="shared" si="8"/>
        <v>0.457951</v>
      </c>
      <c r="O18" s="731">
        <f t="shared" si="8"/>
        <v>0.459012</v>
      </c>
      <c r="P18" s="731">
        <f t="shared" si="8"/>
        <v>0.451378</v>
      </c>
      <c r="Q18" s="731">
        <f t="shared" si="8"/>
        <v>0.44853</v>
      </c>
      <c r="R18" s="731">
        <f t="shared" si="8"/>
        <v>0.448119</v>
      </c>
      <c r="S18" s="731">
        <f t="shared" si="8"/>
        <v>0.441524</v>
      </c>
      <c r="T18" s="731">
        <f t="shared" si="8"/>
        <v>0.42774</v>
      </c>
      <c r="U18" s="731">
        <f t="shared" si="8"/>
        <v>0.426406</v>
      </c>
      <c r="V18" s="542">
        <f>1-V17</f>
        <v>0.43</v>
      </c>
      <c r="W18" s="754">
        <f t="shared" ref="W18:AY18" si="9">$V$18+(W$1-$V$1)/($AZ$1-$V$1)*($AZ$18-$V$18)</f>
        <v>0.4260885552</v>
      </c>
      <c r="X18" s="754">
        <f t="shared" si="9"/>
        <v>0.4221771104</v>
      </c>
      <c r="Y18" s="754">
        <f t="shared" si="9"/>
        <v>0.4182656656</v>
      </c>
      <c r="Z18" s="754">
        <f t="shared" si="9"/>
        <v>0.4143542208</v>
      </c>
      <c r="AA18" s="754">
        <f t="shared" si="9"/>
        <v>0.410442776</v>
      </c>
      <c r="AB18" s="754">
        <f t="shared" si="9"/>
        <v>0.4065313313</v>
      </c>
      <c r="AC18" s="754">
        <f t="shared" si="9"/>
        <v>0.4026198865</v>
      </c>
      <c r="AD18" s="754">
        <f t="shared" si="9"/>
        <v>0.3987084417</v>
      </c>
      <c r="AE18" s="754">
        <f t="shared" si="9"/>
        <v>0.3947969969</v>
      </c>
      <c r="AF18" s="754">
        <f t="shared" si="9"/>
        <v>0.3908855521</v>
      </c>
      <c r="AG18" s="754">
        <f t="shared" si="9"/>
        <v>0.3869741073</v>
      </c>
      <c r="AH18" s="754">
        <f t="shared" si="9"/>
        <v>0.3830626625</v>
      </c>
      <c r="AI18" s="754">
        <f t="shared" si="9"/>
        <v>0.3791512177</v>
      </c>
      <c r="AJ18" s="754">
        <f t="shared" si="9"/>
        <v>0.3752397729</v>
      </c>
      <c r="AK18" s="754">
        <f t="shared" si="9"/>
        <v>0.3713283281</v>
      </c>
      <c r="AL18" s="754">
        <f t="shared" si="9"/>
        <v>0.3674168833</v>
      </c>
      <c r="AM18" s="754">
        <f t="shared" si="9"/>
        <v>0.3635054386</v>
      </c>
      <c r="AN18" s="754">
        <f t="shared" si="9"/>
        <v>0.3595939938</v>
      </c>
      <c r="AO18" s="754">
        <f t="shared" si="9"/>
        <v>0.355682549</v>
      </c>
      <c r="AP18" s="754">
        <f t="shared" si="9"/>
        <v>0.3517711042</v>
      </c>
      <c r="AQ18" s="539">
        <f t="shared" si="9"/>
        <v>0.3478596594</v>
      </c>
      <c r="AR18" s="539">
        <f t="shared" si="9"/>
        <v>0.3439482146</v>
      </c>
      <c r="AS18" s="539">
        <f t="shared" si="9"/>
        <v>0.3400367698</v>
      </c>
      <c r="AT18" s="539">
        <f t="shared" si="9"/>
        <v>0.336125325</v>
      </c>
      <c r="AU18" s="539">
        <f t="shared" si="9"/>
        <v>0.3322138802</v>
      </c>
      <c r="AV18" s="539">
        <f t="shared" si="9"/>
        <v>0.3283024354</v>
      </c>
      <c r="AW18" s="539">
        <f t="shared" si="9"/>
        <v>0.3243909906</v>
      </c>
      <c r="AX18" s="539">
        <f t="shared" si="9"/>
        <v>0.3204795459</v>
      </c>
      <c r="AY18" s="539">
        <f t="shared" si="9"/>
        <v>0.3165681011</v>
      </c>
      <c r="AZ18" s="755">
        <f>if(Inputs!$H$5+Inputs!$H$6&gt;0,Inputs!$H$6/(Inputs!$H$5+Inputs!$H$6),0)</f>
        <v>0.3126566563</v>
      </c>
    </row>
    <row r="19" ht="15.0" customHeight="1">
      <c r="A19" s="535" t="s">
        <v>1030</v>
      </c>
      <c r="B19" s="535"/>
      <c r="C19" s="535"/>
      <c r="D19" s="535"/>
      <c r="E19" s="535"/>
      <c r="F19" s="535"/>
      <c r="G19" s="535"/>
      <c r="H19" s="535"/>
      <c r="I19" s="535"/>
      <c r="J19" s="535"/>
      <c r="K19" s="535"/>
      <c r="L19" s="535"/>
      <c r="M19" s="535"/>
      <c r="N19" s="535"/>
      <c r="O19" s="535"/>
      <c r="P19" s="535"/>
      <c r="Q19" s="535"/>
      <c r="R19" s="535"/>
      <c r="S19" s="535"/>
      <c r="T19" s="535"/>
      <c r="U19" s="535"/>
      <c r="V19" s="538"/>
      <c r="W19" s="756"/>
      <c r="X19" s="756"/>
      <c r="Y19" s="756"/>
      <c r="Z19" s="756"/>
      <c r="AA19" s="756"/>
      <c r="AB19" s="756"/>
      <c r="AC19" s="756"/>
      <c r="AD19" s="756"/>
      <c r="AE19" s="756"/>
      <c r="AF19" s="756"/>
      <c r="AG19" s="756"/>
      <c r="AH19" s="756"/>
      <c r="AI19" s="756"/>
      <c r="AJ19" s="756"/>
      <c r="AK19" s="756"/>
      <c r="AL19" s="756"/>
      <c r="AM19" s="756"/>
      <c r="AN19" s="756"/>
      <c r="AO19" s="756"/>
      <c r="AP19" s="756"/>
      <c r="AQ19" s="537"/>
      <c r="AR19" s="537"/>
      <c r="AS19" s="537"/>
      <c r="AT19" s="537"/>
      <c r="AU19" s="537"/>
      <c r="AV19" s="537"/>
      <c r="AW19" s="537"/>
      <c r="AX19" s="537"/>
      <c r="AY19" s="537"/>
      <c r="AZ19" s="537"/>
      <c r="BB19" s="537"/>
      <c r="BC19" s="537"/>
      <c r="BD19" s="537"/>
      <c r="BE19" s="537"/>
    </row>
    <row r="20" ht="15.0" customHeight="1">
      <c r="A20" s="535" t="s">
        <v>1031</v>
      </c>
      <c r="B20" s="208">
        <f t="shared" ref="B20:U20" si="10">C20/(1+B24)</f>
        <v>0.5204914537</v>
      </c>
      <c r="C20" s="208">
        <f t="shared" si="10"/>
        <v>0.5204914537</v>
      </c>
      <c r="D20" s="208">
        <f t="shared" si="10"/>
        <v>0.5204914537</v>
      </c>
      <c r="E20" s="208">
        <f t="shared" si="10"/>
        <v>0.5204914537</v>
      </c>
      <c r="F20" s="208">
        <f t="shared" si="10"/>
        <v>0.5204914537</v>
      </c>
      <c r="G20" s="208">
        <f t="shared" si="10"/>
        <v>0.5204914537</v>
      </c>
      <c r="H20" s="208">
        <f t="shared" si="10"/>
        <v>0.5204914537</v>
      </c>
      <c r="I20" s="208">
        <f t="shared" si="10"/>
        <v>0.5204914537</v>
      </c>
      <c r="J20" s="208">
        <f t="shared" si="10"/>
        <v>0.5204914537</v>
      </c>
      <c r="K20" s="208">
        <f t="shared" si="10"/>
        <v>0.5204914537</v>
      </c>
      <c r="L20" s="208">
        <f t="shared" si="10"/>
        <v>0.5204914537</v>
      </c>
      <c r="M20" s="208">
        <f t="shared" si="10"/>
        <v>0.5204914537</v>
      </c>
      <c r="N20" s="208">
        <f t="shared" si="10"/>
        <v>0.5204914537</v>
      </c>
      <c r="O20" s="208">
        <f t="shared" si="10"/>
        <v>0.5204914537</v>
      </c>
      <c r="P20" s="208">
        <f t="shared" si="10"/>
        <v>0.5204914537</v>
      </c>
      <c r="Q20" s="208">
        <f t="shared" si="10"/>
        <v>0.5204914537</v>
      </c>
      <c r="R20" s="208">
        <f t="shared" si="10"/>
        <v>0.5204914537</v>
      </c>
      <c r="S20" s="208">
        <f t="shared" si="10"/>
        <v>0.5204914537</v>
      </c>
      <c r="T20" s="208">
        <f t="shared" si="10"/>
        <v>0.5204914537</v>
      </c>
      <c r="U20" s="208">
        <f t="shared" si="10"/>
        <v>0.5204914537</v>
      </c>
      <c r="V20" s="752">
        <v>0.5204914536965273</v>
      </c>
      <c r="W20" s="754">
        <f t="shared" ref="W20:AY20" si="11">$V$20+(W$1-$V$1)/($AZ$1-$V$1)*($AZ$20-$V$20)</f>
        <v>0.521030667</v>
      </c>
      <c r="X20" s="754">
        <f t="shared" si="11"/>
        <v>0.5215698804</v>
      </c>
      <c r="Y20" s="754">
        <f t="shared" si="11"/>
        <v>0.5221090937</v>
      </c>
      <c r="Z20" s="754">
        <f t="shared" si="11"/>
        <v>0.522648307</v>
      </c>
      <c r="AA20" s="754">
        <f t="shared" si="11"/>
        <v>0.5231875204</v>
      </c>
      <c r="AB20" s="754">
        <f t="shared" si="11"/>
        <v>0.5237267337</v>
      </c>
      <c r="AC20" s="754">
        <f t="shared" si="11"/>
        <v>0.524265947</v>
      </c>
      <c r="AD20" s="754">
        <f t="shared" si="11"/>
        <v>0.5248051603</v>
      </c>
      <c r="AE20" s="754">
        <f t="shared" si="11"/>
        <v>0.5253443737</v>
      </c>
      <c r="AF20" s="754">
        <f t="shared" si="11"/>
        <v>0.525883587</v>
      </c>
      <c r="AG20" s="754">
        <f t="shared" si="11"/>
        <v>0.5264228003</v>
      </c>
      <c r="AH20" s="754">
        <f t="shared" si="11"/>
        <v>0.5269620137</v>
      </c>
      <c r="AI20" s="754">
        <f t="shared" si="11"/>
        <v>0.527501227</v>
      </c>
      <c r="AJ20" s="754">
        <f t="shared" si="11"/>
        <v>0.5280404403</v>
      </c>
      <c r="AK20" s="754">
        <f t="shared" si="11"/>
        <v>0.5285796537</v>
      </c>
      <c r="AL20" s="754">
        <f t="shared" si="11"/>
        <v>0.529118867</v>
      </c>
      <c r="AM20" s="754">
        <f t="shared" si="11"/>
        <v>0.5296580803</v>
      </c>
      <c r="AN20" s="754">
        <f t="shared" si="11"/>
        <v>0.5301972937</v>
      </c>
      <c r="AO20" s="754">
        <f t="shared" si="11"/>
        <v>0.530736507</v>
      </c>
      <c r="AP20" s="754">
        <f t="shared" si="11"/>
        <v>0.5312757203</v>
      </c>
      <c r="AQ20" s="539">
        <f t="shared" si="11"/>
        <v>0.5318149337</v>
      </c>
      <c r="AR20" s="539">
        <f t="shared" si="11"/>
        <v>0.532354147</v>
      </c>
      <c r="AS20" s="539">
        <f t="shared" si="11"/>
        <v>0.5328933603</v>
      </c>
      <c r="AT20" s="539">
        <f t="shared" si="11"/>
        <v>0.5334325737</v>
      </c>
      <c r="AU20" s="539">
        <f t="shared" si="11"/>
        <v>0.533971787</v>
      </c>
      <c r="AV20" s="539">
        <f t="shared" si="11"/>
        <v>0.5345110003</v>
      </c>
      <c r="AW20" s="539">
        <f t="shared" si="11"/>
        <v>0.5350502136</v>
      </c>
      <c r="AX20" s="539">
        <f t="shared" si="11"/>
        <v>0.535589427</v>
      </c>
      <c r="AY20" s="539">
        <f t="shared" si="11"/>
        <v>0.5361286403</v>
      </c>
      <c r="AZ20" s="755">
        <f>Inputs!$B$26</f>
        <v>0.5366678536</v>
      </c>
    </row>
    <row r="21" ht="15.0" customHeight="1">
      <c r="A21" s="535" t="s">
        <v>1032</v>
      </c>
      <c r="B21" s="546">
        <f t="shared" ref="B21:U21" si="12">C21</f>
        <v>0.55</v>
      </c>
      <c r="C21" s="546">
        <f t="shared" si="12"/>
        <v>0.55</v>
      </c>
      <c r="D21" s="546">
        <f t="shared" si="12"/>
        <v>0.55</v>
      </c>
      <c r="E21" s="546">
        <f t="shared" si="12"/>
        <v>0.55</v>
      </c>
      <c r="F21" s="546">
        <f t="shared" si="12"/>
        <v>0.55</v>
      </c>
      <c r="G21" s="546">
        <f t="shared" si="12"/>
        <v>0.55</v>
      </c>
      <c r="H21" s="546">
        <f t="shared" si="12"/>
        <v>0.55</v>
      </c>
      <c r="I21" s="546">
        <f t="shared" si="12"/>
        <v>0.55</v>
      </c>
      <c r="J21" s="546">
        <f t="shared" si="12"/>
        <v>0.55</v>
      </c>
      <c r="K21" s="546">
        <f t="shared" si="12"/>
        <v>0.55</v>
      </c>
      <c r="L21" s="546">
        <f t="shared" si="12"/>
        <v>0.55</v>
      </c>
      <c r="M21" s="546">
        <f t="shared" si="12"/>
        <v>0.55</v>
      </c>
      <c r="N21" s="546">
        <f t="shared" si="12"/>
        <v>0.55</v>
      </c>
      <c r="O21" s="546">
        <f t="shared" si="12"/>
        <v>0.55</v>
      </c>
      <c r="P21" s="546">
        <f t="shared" si="12"/>
        <v>0.55</v>
      </c>
      <c r="Q21" s="546">
        <f t="shared" si="12"/>
        <v>0.55</v>
      </c>
      <c r="R21" s="546">
        <f t="shared" si="12"/>
        <v>0.55</v>
      </c>
      <c r="S21" s="546">
        <f t="shared" si="12"/>
        <v>0.55</v>
      </c>
      <c r="T21" s="546">
        <f t="shared" si="12"/>
        <v>0.55</v>
      </c>
      <c r="U21" s="546">
        <f t="shared" si="12"/>
        <v>0.55</v>
      </c>
      <c r="V21" s="542">
        <v>0.55</v>
      </c>
      <c r="W21" s="757"/>
      <c r="X21" s="757"/>
      <c r="Y21" s="757"/>
      <c r="Z21" s="757"/>
      <c r="AA21" s="757"/>
      <c r="AB21" s="757"/>
      <c r="AC21" s="757"/>
      <c r="AD21" s="757"/>
      <c r="AE21" s="757"/>
      <c r="AF21" s="757"/>
      <c r="AG21" s="757"/>
      <c r="AH21" s="757"/>
      <c r="AI21" s="757"/>
      <c r="AJ21" s="757"/>
      <c r="AK21" s="757"/>
      <c r="AL21" s="757"/>
      <c r="AM21" s="757"/>
      <c r="AN21" s="757"/>
      <c r="AO21" s="757"/>
      <c r="AP21" s="757"/>
      <c r="AQ21" s="208"/>
      <c r="AR21" s="208"/>
      <c r="AS21" s="208"/>
      <c r="AT21" s="208"/>
      <c r="AU21" s="208"/>
      <c r="AV21" s="208"/>
      <c r="AW21" s="208"/>
      <c r="AX21" s="208"/>
      <c r="AY21" s="208"/>
      <c r="AZ21" s="208"/>
    </row>
    <row r="22" ht="15.0" customHeight="1">
      <c r="A22" s="535" t="s">
        <v>1033</v>
      </c>
      <c r="B22" s="208">
        <f t="shared" ref="B22:U22" si="13">C22/(1+B24)</f>
        <v>0.09</v>
      </c>
      <c r="C22" s="208">
        <f t="shared" si="13"/>
        <v>0.09</v>
      </c>
      <c r="D22" s="208">
        <f t="shared" si="13"/>
        <v>0.09</v>
      </c>
      <c r="E22" s="208">
        <f t="shared" si="13"/>
        <v>0.09</v>
      </c>
      <c r="F22" s="208">
        <f t="shared" si="13"/>
        <v>0.09</v>
      </c>
      <c r="G22" s="208">
        <f t="shared" si="13"/>
        <v>0.09</v>
      </c>
      <c r="H22" s="208">
        <f t="shared" si="13"/>
        <v>0.09</v>
      </c>
      <c r="I22" s="208">
        <f t="shared" si="13"/>
        <v>0.09</v>
      </c>
      <c r="J22" s="208">
        <f t="shared" si="13"/>
        <v>0.09</v>
      </c>
      <c r="K22" s="208">
        <f t="shared" si="13"/>
        <v>0.09</v>
      </c>
      <c r="L22" s="208">
        <f t="shared" si="13"/>
        <v>0.09</v>
      </c>
      <c r="M22" s="208">
        <f t="shared" si="13"/>
        <v>0.09</v>
      </c>
      <c r="N22" s="208">
        <f t="shared" si="13"/>
        <v>0.09</v>
      </c>
      <c r="O22" s="208">
        <f t="shared" si="13"/>
        <v>0.09</v>
      </c>
      <c r="P22" s="208">
        <f t="shared" si="13"/>
        <v>0.09</v>
      </c>
      <c r="Q22" s="208">
        <f t="shared" si="13"/>
        <v>0.09</v>
      </c>
      <c r="R22" s="208">
        <f t="shared" si="13"/>
        <v>0.09</v>
      </c>
      <c r="S22" s="208">
        <f t="shared" si="13"/>
        <v>0.09</v>
      </c>
      <c r="T22" s="208">
        <f t="shared" si="13"/>
        <v>0.09</v>
      </c>
      <c r="U22" s="208">
        <f t="shared" si="13"/>
        <v>0.09</v>
      </c>
      <c r="V22" s="547">
        <v>0.09</v>
      </c>
      <c r="W22" s="754">
        <f t="shared" ref="W22:AY22" si="14">$V$22+(W$1-$V$1)/($AZ$1-$V$1)*($AZ$22-$V$22)</f>
        <v>0.08897984789</v>
      </c>
      <c r="X22" s="754">
        <f t="shared" si="14"/>
        <v>0.08795969579</v>
      </c>
      <c r="Y22" s="754">
        <f t="shared" si="14"/>
        <v>0.08693954368</v>
      </c>
      <c r="Z22" s="754">
        <f t="shared" si="14"/>
        <v>0.08591939158</v>
      </c>
      <c r="AA22" s="754">
        <f t="shared" si="14"/>
        <v>0.08489923947</v>
      </c>
      <c r="AB22" s="754">
        <f t="shared" si="14"/>
        <v>0.08387908737</v>
      </c>
      <c r="AC22" s="754">
        <f t="shared" si="14"/>
        <v>0.08285893526</v>
      </c>
      <c r="AD22" s="754">
        <f t="shared" si="14"/>
        <v>0.08183878316</v>
      </c>
      <c r="AE22" s="754">
        <f t="shared" si="14"/>
        <v>0.08081863105</v>
      </c>
      <c r="AF22" s="754">
        <f t="shared" si="14"/>
        <v>0.07979847895</v>
      </c>
      <c r="AG22" s="754">
        <f t="shared" si="14"/>
        <v>0.07877832684</v>
      </c>
      <c r="AH22" s="754">
        <f t="shared" si="14"/>
        <v>0.07775817474</v>
      </c>
      <c r="AI22" s="754">
        <f t="shared" si="14"/>
        <v>0.07673802263</v>
      </c>
      <c r="AJ22" s="754">
        <f t="shared" si="14"/>
        <v>0.07571787053</v>
      </c>
      <c r="AK22" s="754">
        <f t="shared" si="14"/>
        <v>0.07469771842</v>
      </c>
      <c r="AL22" s="754">
        <f t="shared" si="14"/>
        <v>0.07367756632</v>
      </c>
      <c r="AM22" s="754">
        <f t="shared" si="14"/>
        <v>0.07265741421</v>
      </c>
      <c r="AN22" s="754">
        <f t="shared" si="14"/>
        <v>0.07163726211</v>
      </c>
      <c r="AO22" s="754">
        <f t="shared" si="14"/>
        <v>0.07061711</v>
      </c>
      <c r="AP22" s="754">
        <f t="shared" si="14"/>
        <v>0.0695969579</v>
      </c>
      <c r="AQ22" s="539">
        <f t="shared" si="14"/>
        <v>0.06857680579</v>
      </c>
      <c r="AR22" s="539">
        <f t="shared" si="14"/>
        <v>0.06755665369</v>
      </c>
      <c r="AS22" s="539">
        <f t="shared" si="14"/>
        <v>0.06653650158</v>
      </c>
      <c r="AT22" s="539">
        <f t="shared" si="14"/>
        <v>0.06551634948</v>
      </c>
      <c r="AU22" s="539">
        <f t="shared" si="14"/>
        <v>0.06449619737</v>
      </c>
      <c r="AV22" s="539">
        <f t="shared" si="14"/>
        <v>0.06347604527</v>
      </c>
      <c r="AW22" s="539">
        <f t="shared" si="14"/>
        <v>0.06245589316</v>
      </c>
      <c r="AX22" s="539">
        <f t="shared" si="14"/>
        <v>0.06143574106</v>
      </c>
      <c r="AY22" s="539">
        <f t="shared" si="14"/>
        <v>0.06041558895</v>
      </c>
      <c r="AZ22" s="755">
        <f>Inputs!$B$27</f>
        <v>0.05939543685</v>
      </c>
    </row>
    <row r="23" ht="15.0" customHeight="1">
      <c r="A23" s="535" t="s">
        <v>1034</v>
      </c>
      <c r="B23" s="546">
        <f t="shared" ref="B23:U23" si="15">C23</f>
        <v>0.11</v>
      </c>
      <c r="C23" s="546">
        <f t="shared" si="15"/>
        <v>0.11</v>
      </c>
      <c r="D23" s="546">
        <f t="shared" si="15"/>
        <v>0.11</v>
      </c>
      <c r="E23" s="546">
        <f t="shared" si="15"/>
        <v>0.11</v>
      </c>
      <c r="F23" s="546">
        <f t="shared" si="15"/>
        <v>0.11</v>
      </c>
      <c r="G23" s="546">
        <f t="shared" si="15"/>
        <v>0.11</v>
      </c>
      <c r="H23" s="546">
        <f t="shared" si="15"/>
        <v>0.11</v>
      </c>
      <c r="I23" s="546">
        <f t="shared" si="15"/>
        <v>0.11</v>
      </c>
      <c r="J23" s="546">
        <f t="shared" si="15"/>
        <v>0.11</v>
      </c>
      <c r="K23" s="546">
        <f t="shared" si="15"/>
        <v>0.11</v>
      </c>
      <c r="L23" s="546">
        <f t="shared" si="15"/>
        <v>0.11</v>
      </c>
      <c r="M23" s="546">
        <f t="shared" si="15"/>
        <v>0.11</v>
      </c>
      <c r="N23" s="546">
        <f t="shared" si="15"/>
        <v>0.11</v>
      </c>
      <c r="O23" s="546">
        <f t="shared" si="15"/>
        <v>0.11</v>
      </c>
      <c r="P23" s="546">
        <f t="shared" si="15"/>
        <v>0.11</v>
      </c>
      <c r="Q23" s="546">
        <f t="shared" si="15"/>
        <v>0.11</v>
      </c>
      <c r="R23" s="546">
        <f t="shared" si="15"/>
        <v>0.11</v>
      </c>
      <c r="S23" s="546">
        <f t="shared" si="15"/>
        <v>0.11</v>
      </c>
      <c r="T23" s="546">
        <f t="shared" si="15"/>
        <v>0.11</v>
      </c>
      <c r="U23" s="546">
        <f t="shared" si="15"/>
        <v>0.11</v>
      </c>
      <c r="V23" s="547">
        <v>0.11</v>
      </c>
      <c r="W23" s="208"/>
      <c r="X23" s="208"/>
      <c r="Y23" s="208"/>
      <c r="Z23" s="208"/>
      <c r="AA23" s="208"/>
      <c r="AB23" s="208"/>
      <c r="AC23" s="208"/>
      <c r="AD23" s="208"/>
      <c r="AE23" s="208"/>
      <c r="AF23" s="208"/>
      <c r="AG23" s="208"/>
      <c r="AH23" s="208"/>
      <c r="AI23" s="208"/>
      <c r="AJ23" s="208"/>
      <c r="AK23" s="208"/>
      <c r="AL23" s="208"/>
      <c r="AM23" s="208"/>
      <c r="AN23" s="208"/>
      <c r="AO23" s="208"/>
      <c r="AP23" s="208"/>
      <c r="AQ23" s="208"/>
      <c r="AR23" s="208"/>
      <c r="AS23" s="208"/>
      <c r="AT23" s="208"/>
      <c r="AU23" s="208"/>
      <c r="AV23" s="208"/>
      <c r="AW23" s="208"/>
      <c r="AX23" s="208"/>
      <c r="AY23" s="208"/>
      <c r="AZ23" s="208"/>
    </row>
    <row r="24" ht="15.0" customHeight="1">
      <c r="A24" s="535" t="s">
        <v>98</v>
      </c>
      <c r="B24" s="546">
        <f t="shared" ref="B24:U24" si="16">C24</f>
        <v>0</v>
      </c>
      <c r="C24" s="546">
        <f t="shared" si="16"/>
        <v>0</v>
      </c>
      <c r="D24" s="546">
        <f t="shared" si="16"/>
        <v>0</v>
      </c>
      <c r="E24" s="546">
        <f t="shared" si="16"/>
        <v>0</v>
      </c>
      <c r="F24" s="546">
        <f t="shared" si="16"/>
        <v>0</v>
      </c>
      <c r="G24" s="546">
        <f t="shared" si="16"/>
        <v>0</v>
      </c>
      <c r="H24" s="546">
        <f t="shared" si="16"/>
        <v>0</v>
      </c>
      <c r="I24" s="546">
        <f t="shared" si="16"/>
        <v>0</v>
      </c>
      <c r="J24" s="546">
        <f t="shared" si="16"/>
        <v>0</v>
      </c>
      <c r="K24" s="546">
        <f t="shared" si="16"/>
        <v>0</v>
      </c>
      <c r="L24" s="546">
        <f t="shared" si="16"/>
        <v>0</v>
      </c>
      <c r="M24" s="546">
        <f t="shared" si="16"/>
        <v>0</v>
      </c>
      <c r="N24" s="546">
        <f t="shared" si="16"/>
        <v>0</v>
      </c>
      <c r="O24" s="546">
        <f t="shared" si="16"/>
        <v>0</v>
      </c>
      <c r="P24" s="546">
        <f t="shared" si="16"/>
        <v>0</v>
      </c>
      <c r="Q24" s="546">
        <f t="shared" si="16"/>
        <v>0</v>
      </c>
      <c r="R24" s="546">
        <f t="shared" si="16"/>
        <v>0</v>
      </c>
      <c r="S24" s="546">
        <f t="shared" si="16"/>
        <v>0</v>
      </c>
      <c r="T24" s="546">
        <f t="shared" si="16"/>
        <v>0</v>
      </c>
      <c r="U24" s="546">
        <f t="shared" si="16"/>
        <v>0</v>
      </c>
      <c r="V24" s="547">
        <v>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1035</v>
      </c>
      <c r="B25" s="177">
        <f t="shared" ref="B25:U25" si="17">C25/(1+B$59-B$31)</f>
        <v>7429.909945</v>
      </c>
      <c r="C25" s="177">
        <f t="shared" si="17"/>
        <v>7411.33517</v>
      </c>
      <c r="D25" s="177">
        <f t="shared" si="17"/>
        <v>7392.806832</v>
      </c>
      <c r="E25" s="177">
        <f t="shared" si="17"/>
        <v>7374.324815</v>
      </c>
      <c r="F25" s="177">
        <f t="shared" si="17"/>
        <v>7355.889003</v>
      </c>
      <c r="G25" s="177">
        <f t="shared" si="17"/>
        <v>7462.481969</v>
      </c>
      <c r="H25" s="177">
        <f t="shared" si="17"/>
        <v>7672.388257</v>
      </c>
      <c r="I25" s="177">
        <f t="shared" si="17"/>
        <v>8065.300127</v>
      </c>
      <c r="J25" s="177">
        <f t="shared" si="17"/>
        <v>8248.437255</v>
      </c>
      <c r="K25" s="177">
        <f t="shared" si="17"/>
        <v>8557.440163</v>
      </c>
      <c r="L25" s="177">
        <f t="shared" si="17"/>
        <v>8702.010778</v>
      </c>
      <c r="M25" s="177">
        <f t="shared" si="17"/>
        <v>8848.051063</v>
      </c>
      <c r="N25" s="177">
        <f t="shared" si="17"/>
        <v>9024.235679</v>
      </c>
      <c r="O25" s="177">
        <f t="shared" si="17"/>
        <v>9086.914069</v>
      </c>
      <c r="P25" s="177">
        <f t="shared" si="17"/>
        <v>9178.976718</v>
      </c>
      <c r="Q25" s="177">
        <f t="shared" si="17"/>
        <v>9475.641533</v>
      </c>
      <c r="R25" s="177">
        <f t="shared" si="17"/>
        <v>9605.537051</v>
      </c>
      <c r="S25" s="177">
        <f t="shared" si="17"/>
        <v>9479.519405</v>
      </c>
      <c r="T25" s="177">
        <f t="shared" si="17"/>
        <v>9827.753461</v>
      </c>
      <c r="U25" s="177">
        <f t="shared" si="17"/>
        <v>9927.321808</v>
      </c>
      <c r="V25" s="705">
        <v>10100.0</v>
      </c>
      <c r="W25" s="177">
        <f t="shared" ref="W25:AZ25" si="18">V25*(1+V59-V31)</f>
        <v>10275.6818</v>
      </c>
      <c r="X25" s="177">
        <f t="shared" si="18"/>
        <v>10454.41945</v>
      </c>
      <c r="Y25" s="177">
        <f t="shared" si="18"/>
        <v>10636.2661</v>
      </c>
      <c r="Z25" s="177">
        <f t="shared" si="18"/>
        <v>10821.27584</v>
      </c>
      <c r="AA25" s="177">
        <f t="shared" si="18"/>
        <v>11009.50368</v>
      </c>
      <c r="AB25" s="177">
        <f t="shared" si="18"/>
        <v>11201.0056</v>
      </c>
      <c r="AC25" s="177">
        <f t="shared" si="18"/>
        <v>11395.83855</v>
      </c>
      <c r="AD25" s="177">
        <f t="shared" si="18"/>
        <v>11594.06047</v>
      </c>
      <c r="AE25" s="177">
        <f t="shared" si="18"/>
        <v>11795.73031</v>
      </c>
      <c r="AF25" s="177">
        <f t="shared" si="18"/>
        <v>12000.90804</v>
      </c>
      <c r="AG25" s="177">
        <f t="shared" si="18"/>
        <v>12209.65469</v>
      </c>
      <c r="AH25" s="177">
        <f t="shared" si="18"/>
        <v>12422.03232</v>
      </c>
      <c r="AI25" s="177">
        <f t="shared" si="18"/>
        <v>12638.1041</v>
      </c>
      <c r="AJ25" s="177">
        <f t="shared" si="18"/>
        <v>12857.93428</v>
      </c>
      <c r="AK25" s="177">
        <f t="shared" si="18"/>
        <v>13081.58824</v>
      </c>
      <c r="AL25" s="177">
        <f t="shared" si="18"/>
        <v>13309.13249</v>
      </c>
      <c r="AM25" s="177">
        <f t="shared" si="18"/>
        <v>13540.6347</v>
      </c>
      <c r="AN25" s="177">
        <f t="shared" si="18"/>
        <v>13776.16372</v>
      </c>
      <c r="AO25" s="177">
        <f t="shared" si="18"/>
        <v>14015.78958</v>
      </c>
      <c r="AP25" s="177">
        <f t="shared" si="18"/>
        <v>14259.58355</v>
      </c>
      <c r="AQ25" s="177">
        <f t="shared" si="18"/>
        <v>14507.61813</v>
      </c>
      <c r="AR25" s="177">
        <f t="shared" si="18"/>
        <v>14759.96708</v>
      </c>
      <c r="AS25" s="177">
        <f t="shared" si="18"/>
        <v>15016.70545</v>
      </c>
      <c r="AT25" s="177">
        <f t="shared" si="18"/>
        <v>15277.90959</v>
      </c>
      <c r="AU25" s="177">
        <f t="shared" si="18"/>
        <v>15543.65718</v>
      </c>
      <c r="AV25" s="177">
        <f t="shared" si="18"/>
        <v>15814.02724</v>
      </c>
      <c r="AW25" s="177">
        <f t="shared" si="18"/>
        <v>16089.10019</v>
      </c>
      <c r="AX25" s="177">
        <f t="shared" si="18"/>
        <v>16368.95781</v>
      </c>
      <c r="AY25" s="177">
        <f t="shared" si="18"/>
        <v>16653.68335</v>
      </c>
      <c r="AZ25" s="177">
        <f t="shared" si="18"/>
        <v>16943.36147</v>
      </c>
    </row>
    <row r="26" ht="15.0" customHeight="1">
      <c r="A26" s="535" t="s">
        <v>1036</v>
      </c>
      <c r="B26" s="177">
        <f t="shared" ref="B26:U26" si="19">C26/(1+B$59-B$31)</f>
        <v>1.485981989</v>
      </c>
      <c r="C26" s="177">
        <f t="shared" si="19"/>
        <v>1.482267034</v>
      </c>
      <c r="D26" s="177">
        <f t="shared" si="19"/>
        <v>1.478561366</v>
      </c>
      <c r="E26" s="177">
        <f t="shared" si="19"/>
        <v>1.474864963</v>
      </c>
      <c r="F26" s="177">
        <f t="shared" si="19"/>
        <v>1.471177801</v>
      </c>
      <c r="G26" s="177">
        <f t="shared" si="19"/>
        <v>1.492496394</v>
      </c>
      <c r="H26" s="177">
        <f t="shared" si="19"/>
        <v>1.534477651</v>
      </c>
      <c r="I26" s="177">
        <f t="shared" si="19"/>
        <v>1.613060025</v>
      </c>
      <c r="J26" s="177">
        <f t="shared" si="19"/>
        <v>1.649687451</v>
      </c>
      <c r="K26" s="177">
        <f t="shared" si="19"/>
        <v>1.711488033</v>
      </c>
      <c r="L26" s="177">
        <f t="shared" si="19"/>
        <v>1.740402156</v>
      </c>
      <c r="M26" s="177">
        <f t="shared" si="19"/>
        <v>1.769610213</v>
      </c>
      <c r="N26" s="177">
        <f t="shared" si="19"/>
        <v>1.804847136</v>
      </c>
      <c r="O26" s="177">
        <f t="shared" si="19"/>
        <v>1.817382814</v>
      </c>
      <c r="P26" s="177">
        <f t="shared" si="19"/>
        <v>1.835795344</v>
      </c>
      <c r="Q26" s="177">
        <f t="shared" si="19"/>
        <v>1.895128307</v>
      </c>
      <c r="R26" s="177">
        <f t="shared" si="19"/>
        <v>1.92110741</v>
      </c>
      <c r="S26" s="177">
        <f t="shared" si="19"/>
        <v>1.895903881</v>
      </c>
      <c r="T26" s="177">
        <f t="shared" si="19"/>
        <v>1.965550692</v>
      </c>
      <c r="U26" s="177">
        <f t="shared" si="19"/>
        <v>1.985464362</v>
      </c>
      <c r="V26" s="715">
        <v>2.02</v>
      </c>
      <c r="W26" s="177">
        <f t="shared" ref="W26:AZ26" si="20">V26*(1+V59-V31)</f>
        <v>2.05513636</v>
      </c>
      <c r="X26" s="177">
        <f t="shared" si="20"/>
        <v>2.090883889</v>
      </c>
      <c r="Y26" s="177">
        <f t="shared" si="20"/>
        <v>2.12725322</v>
      </c>
      <c r="Z26" s="177">
        <f t="shared" si="20"/>
        <v>2.164255167</v>
      </c>
      <c r="AA26" s="177">
        <f t="shared" si="20"/>
        <v>2.201900736</v>
      </c>
      <c r="AB26" s="177">
        <f t="shared" si="20"/>
        <v>2.24020112</v>
      </c>
      <c r="AC26" s="177">
        <f t="shared" si="20"/>
        <v>2.27916771</v>
      </c>
      <c r="AD26" s="177">
        <f t="shared" si="20"/>
        <v>2.318812094</v>
      </c>
      <c r="AE26" s="177">
        <f t="shared" si="20"/>
        <v>2.359146062</v>
      </c>
      <c r="AF26" s="177">
        <f t="shared" si="20"/>
        <v>2.400181608</v>
      </c>
      <c r="AG26" s="177">
        <f t="shared" si="20"/>
        <v>2.441930937</v>
      </c>
      <c r="AH26" s="177">
        <f t="shared" si="20"/>
        <v>2.484406463</v>
      </c>
      <c r="AI26" s="177">
        <f t="shared" si="20"/>
        <v>2.527620819</v>
      </c>
      <c r="AJ26" s="177">
        <f t="shared" si="20"/>
        <v>2.571586856</v>
      </c>
      <c r="AK26" s="177">
        <f t="shared" si="20"/>
        <v>2.616317648</v>
      </c>
      <c r="AL26" s="177">
        <f t="shared" si="20"/>
        <v>2.661826498</v>
      </c>
      <c r="AM26" s="177">
        <f t="shared" si="20"/>
        <v>2.70812694</v>
      </c>
      <c r="AN26" s="177">
        <f t="shared" si="20"/>
        <v>2.755232743</v>
      </c>
      <c r="AO26" s="177">
        <f t="shared" si="20"/>
        <v>2.803157915</v>
      </c>
      <c r="AP26" s="177">
        <f t="shared" si="20"/>
        <v>2.85191671</v>
      </c>
      <c r="AQ26" s="177">
        <f t="shared" si="20"/>
        <v>2.901523626</v>
      </c>
      <c r="AR26" s="177">
        <f t="shared" si="20"/>
        <v>2.951993417</v>
      </c>
      <c r="AS26" s="177">
        <f t="shared" si="20"/>
        <v>3.003341091</v>
      </c>
      <c r="AT26" s="177">
        <f t="shared" si="20"/>
        <v>3.055581919</v>
      </c>
      <c r="AU26" s="177">
        <f t="shared" si="20"/>
        <v>3.108731436</v>
      </c>
      <c r="AV26" s="177">
        <f t="shared" si="20"/>
        <v>3.162805449</v>
      </c>
      <c r="AW26" s="177">
        <f t="shared" si="20"/>
        <v>3.217820037</v>
      </c>
      <c r="AX26" s="177">
        <f t="shared" si="20"/>
        <v>3.273791563</v>
      </c>
      <c r="AY26" s="177">
        <f t="shared" si="20"/>
        <v>3.33073667</v>
      </c>
      <c r="AZ26" s="177">
        <f t="shared" si="20"/>
        <v>3.388672295</v>
      </c>
    </row>
    <row r="27" ht="15.0" customHeight="1">
      <c r="A27" s="535" t="s">
        <v>1037</v>
      </c>
      <c r="B27" s="177">
        <f t="shared" ref="B27:U27" si="21">C27/(1+B$59-B$31)</f>
        <v>3.115525048</v>
      </c>
      <c r="C27" s="177">
        <f t="shared" si="21"/>
        <v>3.107736236</v>
      </c>
      <c r="D27" s="177">
        <f t="shared" si="21"/>
        <v>3.099966895</v>
      </c>
      <c r="E27" s="177">
        <f t="shared" si="21"/>
        <v>3.092216978</v>
      </c>
      <c r="F27" s="177">
        <f t="shared" si="21"/>
        <v>3.084486435</v>
      </c>
      <c r="G27" s="177">
        <f t="shared" si="21"/>
        <v>3.129183216</v>
      </c>
      <c r="H27" s="177">
        <f t="shared" si="21"/>
        <v>3.21720155</v>
      </c>
      <c r="I27" s="177">
        <f t="shared" si="21"/>
        <v>3.38195816</v>
      </c>
      <c r="J27" s="177">
        <f t="shared" si="21"/>
        <v>3.458751595</v>
      </c>
      <c r="K27" s="177">
        <f t="shared" si="21"/>
        <v>3.588323327</v>
      </c>
      <c r="L27" s="177">
        <f t="shared" si="21"/>
        <v>3.648944974</v>
      </c>
      <c r="M27" s="177">
        <f t="shared" si="21"/>
        <v>3.710182885</v>
      </c>
      <c r="N27" s="177">
        <f t="shared" si="21"/>
        <v>3.784060979</v>
      </c>
      <c r="O27" s="177">
        <f t="shared" si="21"/>
        <v>3.81034341</v>
      </c>
      <c r="P27" s="177">
        <f t="shared" si="21"/>
        <v>3.848947308</v>
      </c>
      <c r="Q27" s="177">
        <f t="shared" si="21"/>
        <v>3.973345406</v>
      </c>
      <c r="R27" s="177">
        <f t="shared" si="21"/>
        <v>4.02781346</v>
      </c>
      <c r="S27" s="177">
        <f t="shared" si="21"/>
        <v>3.974971483</v>
      </c>
      <c r="T27" s="177">
        <f t="shared" si="21"/>
        <v>4.1209937</v>
      </c>
      <c r="U27" s="177">
        <f t="shared" si="21"/>
        <v>4.162744903</v>
      </c>
      <c r="V27" s="715">
        <f>V25*Model!W425*V17/(V20*Model!W425*V17*8760)+V26</f>
        <v>4.235152676</v>
      </c>
      <c r="W27" s="177">
        <f t="shared" ref="W27:AZ27" si="22">V27*(1+V59-V31)</f>
        <v>4.308819927</v>
      </c>
      <c r="X27" s="177">
        <f t="shared" si="22"/>
        <v>4.383768564</v>
      </c>
      <c r="Y27" s="177">
        <f t="shared" si="22"/>
        <v>4.460020875</v>
      </c>
      <c r="Z27" s="177">
        <f t="shared" si="22"/>
        <v>4.537599537</v>
      </c>
      <c r="AA27" s="177">
        <f t="shared" si="22"/>
        <v>4.61652762</v>
      </c>
      <c r="AB27" s="177">
        <f t="shared" si="22"/>
        <v>4.696828597</v>
      </c>
      <c r="AC27" s="177">
        <f t="shared" si="22"/>
        <v>4.778526349</v>
      </c>
      <c r="AD27" s="177">
        <f t="shared" si="22"/>
        <v>4.861645171</v>
      </c>
      <c r="AE27" s="177">
        <f t="shared" si="22"/>
        <v>4.946209781</v>
      </c>
      <c r="AF27" s="177">
        <f t="shared" si="22"/>
        <v>5.032245328</v>
      </c>
      <c r="AG27" s="177">
        <f t="shared" si="22"/>
        <v>5.119777398</v>
      </c>
      <c r="AH27" s="177">
        <f t="shared" si="22"/>
        <v>5.208832021</v>
      </c>
      <c r="AI27" s="177">
        <f t="shared" si="22"/>
        <v>5.299435682</v>
      </c>
      <c r="AJ27" s="177">
        <f t="shared" si="22"/>
        <v>5.391615324</v>
      </c>
      <c r="AK27" s="177">
        <f t="shared" si="22"/>
        <v>5.485398361</v>
      </c>
      <c r="AL27" s="177">
        <f t="shared" si="22"/>
        <v>5.580812682</v>
      </c>
      <c r="AM27" s="177">
        <f t="shared" si="22"/>
        <v>5.677886662</v>
      </c>
      <c r="AN27" s="177">
        <f t="shared" si="22"/>
        <v>5.776649171</v>
      </c>
      <c r="AO27" s="177">
        <f t="shared" si="22"/>
        <v>5.877129578</v>
      </c>
      <c r="AP27" s="177">
        <f t="shared" si="22"/>
        <v>5.979357765</v>
      </c>
      <c r="AQ27" s="177">
        <f t="shared" si="22"/>
        <v>6.083364133</v>
      </c>
      <c r="AR27" s="177">
        <f t="shared" si="22"/>
        <v>6.189179613</v>
      </c>
      <c r="AS27" s="177">
        <f t="shared" si="22"/>
        <v>6.296835672</v>
      </c>
      <c r="AT27" s="177">
        <f t="shared" si="22"/>
        <v>6.406364327</v>
      </c>
      <c r="AU27" s="177">
        <f t="shared" si="22"/>
        <v>6.517798149</v>
      </c>
      <c r="AV27" s="177">
        <f t="shared" si="22"/>
        <v>6.631170277</v>
      </c>
      <c r="AW27" s="177">
        <f t="shared" si="22"/>
        <v>6.746514427</v>
      </c>
      <c r="AX27" s="177">
        <f t="shared" si="22"/>
        <v>6.8638649</v>
      </c>
      <c r="AY27" s="177">
        <f t="shared" si="22"/>
        <v>6.983256596</v>
      </c>
      <c r="AZ27" s="177">
        <f t="shared" si="22"/>
        <v>7.104725019</v>
      </c>
    </row>
    <row r="28" ht="15.0" customHeight="1">
      <c r="A28" s="535" t="s">
        <v>1038</v>
      </c>
      <c r="B28" s="177">
        <f t="shared" ref="B28:U28" si="23">C28/(1+B$59-B$31)</f>
        <v>5053.810032</v>
      </c>
      <c r="C28" s="177">
        <f t="shared" si="23"/>
        <v>5041.175507</v>
      </c>
      <c r="D28" s="177">
        <f t="shared" si="23"/>
        <v>5028.572568</v>
      </c>
      <c r="E28" s="177">
        <f t="shared" si="23"/>
        <v>5016.001137</v>
      </c>
      <c r="F28" s="177">
        <f t="shared" si="23"/>
        <v>5003.461134</v>
      </c>
      <c r="G28" s="177">
        <f t="shared" si="23"/>
        <v>5075.965458</v>
      </c>
      <c r="H28" s="177">
        <f t="shared" si="23"/>
        <v>5218.743299</v>
      </c>
      <c r="I28" s="177">
        <f t="shared" si="23"/>
        <v>5486.001176</v>
      </c>
      <c r="J28" s="177">
        <f t="shared" si="23"/>
        <v>5610.570687</v>
      </c>
      <c r="K28" s="177">
        <f t="shared" si="23"/>
        <v>5820.753853</v>
      </c>
      <c r="L28" s="177">
        <f t="shared" si="23"/>
        <v>5919.090499</v>
      </c>
      <c r="M28" s="177">
        <f t="shared" si="23"/>
        <v>6018.426812</v>
      </c>
      <c r="N28" s="177">
        <f t="shared" si="23"/>
        <v>6138.267239</v>
      </c>
      <c r="O28" s="177">
        <f t="shared" si="23"/>
        <v>6180.900956</v>
      </c>
      <c r="P28" s="177">
        <f t="shared" si="23"/>
        <v>6243.521788</v>
      </c>
      <c r="Q28" s="177">
        <f t="shared" si="23"/>
        <v>6445.312607</v>
      </c>
      <c r="R28" s="177">
        <f t="shared" si="23"/>
        <v>6533.667281</v>
      </c>
      <c r="S28" s="177">
        <f t="shared" si="23"/>
        <v>6447.950328</v>
      </c>
      <c r="T28" s="177">
        <f t="shared" si="23"/>
        <v>6684.818443</v>
      </c>
      <c r="U28" s="177">
        <f t="shared" si="23"/>
        <v>6752.544636</v>
      </c>
      <c r="V28" s="705">
        <v>6870.0</v>
      </c>
      <c r="W28" s="177">
        <f t="shared" ref="W28:AZ28" si="24">V28*(1+V59-V31)</f>
        <v>6989.498411</v>
      </c>
      <c r="X28" s="177">
        <f t="shared" si="24"/>
        <v>7111.075405</v>
      </c>
      <c r="Y28" s="177">
        <f t="shared" si="24"/>
        <v>7234.767139</v>
      </c>
      <c r="Z28" s="177">
        <f t="shared" si="24"/>
        <v>7360.610396</v>
      </c>
      <c r="AA28" s="177">
        <f t="shared" si="24"/>
        <v>7488.6426</v>
      </c>
      <c r="AB28" s="177">
        <f t="shared" si="24"/>
        <v>7618.901828</v>
      </c>
      <c r="AC28" s="177">
        <f t="shared" si="24"/>
        <v>7751.426815</v>
      </c>
      <c r="AD28" s="177">
        <f t="shared" si="24"/>
        <v>7886.256973</v>
      </c>
      <c r="AE28" s="177">
        <f t="shared" si="24"/>
        <v>8023.432398</v>
      </c>
      <c r="AF28" s="177">
        <f t="shared" si="24"/>
        <v>8162.993886</v>
      </c>
      <c r="AG28" s="177">
        <f t="shared" si="24"/>
        <v>8304.98294</v>
      </c>
      <c r="AH28" s="177">
        <f t="shared" si="24"/>
        <v>8449.441784</v>
      </c>
      <c r="AI28" s="177">
        <f t="shared" si="24"/>
        <v>8596.41338</v>
      </c>
      <c r="AJ28" s="177">
        <f t="shared" si="24"/>
        <v>8745.941435</v>
      </c>
      <c r="AK28" s="177">
        <f t="shared" si="24"/>
        <v>8898.070417</v>
      </c>
      <c r="AL28" s="177">
        <f t="shared" si="24"/>
        <v>9052.845566</v>
      </c>
      <c r="AM28" s="177">
        <f t="shared" si="24"/>
        <v>9210.312911</v>
      </c>
      <c r="AN28" s="177">
        <f t="shared" si="24"/>
        <v>9370.51928</v>
      </c>
      <c r="AO28" s="177">
        <f t="shared" si="24"/>
        <v>9533.512316</v>
      </c>
      <c r="AP28" s="177">
        <f t="shared" si="24"/>
        <v>9699.340493</v>
      </c>
      <c r="AQ28" s="177">
        <f t="shared" si="24"/>
        <v>9868.053124</v>
      </c>
      <c r="AR28" s="177">
        <f t="shared" si="24"/>
        <v>10039.70038</v>
      </c>
      <c r="AS28" s="177">
        <f t="shared" si="24"/>
        <v>10214.33331</v>
      </c>
      <c r="AT28" s="177">
        <f t="shared" si="24"/>
        <v>10392.00385</v>
      </c>
      <c r="AU28" s="177">
        <f t="shared" si="24"/>
        <v>10572.76483</v>
      </c>
      <c r="AV28" s="177">
        <f t="shared" si="24"/>
        <v>10756.67002</v>
      </c>
      <c r="AW28" s="177">
        <f t="shared" si="24"/>
        <v>10943.77409</v>
      </c>
      <c r="AX28" s="177">
        <f t="shared" si="24"/>
        <v>11134.13269</v>
      </c>
      <c r="AY28" s="177">
        <f t="shared" si="24"/>
        <v>11327.80244</v>
      </c>
      <c r="AZ28" s="177">
        <f t="shared" si="24"/>
        <v>11524.84092</v>
      </c>
    </row>
    <row r="29" ht="15.0" customHeight="1">
      <c r="A29" s="535" t="s">
        <v>1039</v>
      </c>
      <c r="B29" s="177">
        <f t="shared" ref="B29:U29" si="25">C29/(1+B$59-B$31)</f>
        <v>7.952210545</v>
      </c>
      <c r="C29" s="177">
        <f t="shared" si="25"/>
        <v>7.932330019</v>
      </c>
      <c r="D29" s="177">
        <f t="shared" si="25"/>
        <v>7.912499194</v>
      </c>
      <c r="E29" s="177">
        <f t="shared" si="25"/>
        <v>7.892717946</v>
      </c>
      <c r="F29" s="177">
        <f t="shared" si="25"/>
        <v>7.872986151</v>
      </c>
      <c r="G29" s="177">
        <f t="shared" si="25"/>
        <v>7.987072285</v>
      </c>
      <c r="H29" s="177">
        <f t="shared" si="25"/>
        <v>8.211734362</v>
      </c>
      <c r="I29" s="177">
        <f t="shared" si="25"/>
        <v>8.63226677</v>
      </c>
      <c r="J29" s="177">
        <f t="shared" si="25"/>
        <v>8.828277893</v>
      </c>
      <c r="K29" s="177">
        <f t="shared" si="25"/>
        <v>9.159002788</v>
      </c>
      <c r="L29" s="177">
        <f t="shared" si="25"/>
        <v>9.313736288</v>
      </c>
      <c r="M29" s="177">
        <f t="shared" si="25"/>
        <v>9.470042771</v>
      </c>
      <c r="N29" s="177">
        <f t="shared" si="25"/>
        <v>9.658612642</v>
      </c>
      <c r="O29" s="177">
        <f t="shared" si="25"/>
        <v>9.725697138</v>
      </c>
      <c r="P29" s="177">
        <f t="shared" si="25"/>
        <v>9.824231517</v>
      </c>
      <c r="Q29" s="177">
        <f t="shared" si="25"/>
        <v>10.14175099</v>
      </c>
      <c r="R29" s="177">
        <f t="shared" si="25"/>
        <v>10.28077777</v>
      </c>
      <c r="S29" s="177">
        <f t="shared" si="25"/>
        <v>10.14590146</v>
      </c>
      <c r="T29" s="177">
        <f t="shared" si="25"/>
        <v>10.51861534</v>
      </c>
      <c r="U29" s="177">
        <f t="shared" si="25"/>
        <v>10.62518304</v>
      </c>
      <c r="V29" s="715">
        <v>10.81</v>
      </c>
      <c r="W29" s="177">
        <f t="shared" ref="W29:AZ29" si="26">V29*(1+V59-V31)</f>
        <v>10.99803171</v>
      </c>
      <c r="X29" s="177">
        <f t="shared" si="26"/>
        <v>11.18933408</v>
      </c>
      <c r="Y29" s="177">
        <f t="shared" si="26"/>
        <v>11.38396401</v>
      </c>
      <c r="Z29" s="177">
        <f t="shared" si="26"/>
        <v>11.58197939</v>
      </c>
      <c r="AA29" s="177">
        <f t="shared" si="26"/>
        <v>11.78343908</v>
      </c>
      <c r="AB29" s="177">
        <f t="shared" si="26"/>
        <v>11.98840302</v>
      </c>
      <c r="AC29" s="177">
        <f t="shared" si="26"/>
        <v>12.19693215</v>
      </c>
      <c r="AD29" s="177">
        <f t="shared" si="26"/>
        <v>12.40908848</v>
      </c>
      <c r="AE29" s="177">
        <f t="shared" si="26"/>
        <v>12.62493511</v>
      </c>
      <c r="AF29" s="177">
        <f t="shared" si="26"/>
        <v>12.84453623</v>
      </c>
      <c r="AG29" s="177">
        <f t="shared" si="26"/>
        <v>13.06795714</v>
      </c>
      <c r="AH29" s="177">
        <f t="shared" si="26"/>
        <v>13.29526429</v>
      </c>
      <c r="AI29" s="177">
        <f t="shared" si="26"/>
        <v>13.52652528</v>
      </c>
      <c r="AJ29" s="177">
        <f t="shared" si="26"/>
        <v>13.76180887</v>
      </c>
      <c r="AK29" s="177">
        <f t="shared" si="26"/>
        <v>14.00118504</v>
      </c>
      <c r="AL29" s="177">
        <f t="shared" si="26"/>
        <v>14.24472497</v>
      </c>
      <c r="AM29" s="177">
        <f t="shared" si="26"/>
        <v>14.4925011</v>
      </c>
      <c r="AN29" s="177">
        <f t="shared" si="26"/>
        <v>14.74458711</v>
      </c>
      <c r="AO29" s="177">
        <f t="shared" si="26"/>
        <v>15.00105795</v>
      </c>
      <c r="AP29" s="177">
        <f t="shared" si="26"/>
        <v>15.26198992</v>
      </c>
      <c r="AQ29" s="177">
        <f t="shared" si="26"/>
        <v>15.52746059</v>
      </c>
      <c r="AR29" s="177">
        <f t="shared" si="26"/>
        <v>15.79754893</v>
      </c>
      <c r="AS29" s="177">
        <f t="shared" si="26"/>
        <v>16.07233524</v>
      </c>
      <c r="AT29" s="177">
        <f t="shared" si="26"/>
        <v>16.35190126</v>
      </c>
      <c r="AU29" s="177">
        <f t="shared" si="26"/>
        <v>16.63633011</v>
      </c>
      <c r="AV29" s="177">
        <f t="shared" si="26"/>
        <v>16.92570639</v>
      </c>
      <c r="AW29" s="177">
        <f t="shared" si="26"/>
        <v>17.22011614</v>
      </c>
      <c r="AX29" s="177">
        <f t="shared" si="26"/>
        <v>17.51964693</v>
      </c>
      <c r="AY29" s="177">
        <f t="shared" si="26"/>
        <v>17.82438783</v>
      </c>
      <c r="AZ29" s="177">
        <f t="shared" si="26"/>
        <v>18.13442946</v>
      </c>
    </row>
    <row r="30" ht="15.0" customHeight="1">
      <c r="A30" s="535" t="s">
        <v>1040</v>
      </c>
      <c r="B30" s="177">
        <f t="shared" ref="B30:U30" si="27">C30/(1+B$59-B$31)</f>
        <v>14.36242114</v>
      </c>
      <c r="C30" s="177">
        <f t="shared" si="27"/>
        <v>14.32651509</v>
      </c>
      <c r="D30" s="177">
        <f t="shared" si="27"/>
        <v>14.2906988</v>
      </c>
      <c r="E30" s="177">
        <f t="shared" si="27"/>
        <v>14.25497205</v>
      </c>
      <c r="F30" s="177">
        <f t="shared" si="27"/>
        <v>14.21933462</v>
      </c>
      <c r="G30" s="177">
        <f t="shared" si="27"/>
        <v>14.42538464</v>
      </c>
      <c r="H30" s="177">
        <f t="shared" si="27"/>
        <v>14.83114494</v>
      </c>
      <c r="I30" s="177">
        <f t="shared" si="27"/>
        <v>15.59066501</v>
      </c>
      <c r="J30" s="177">
        <f t="shared" si="27"/>
        <v>15.94467907</v>
      </c>
      <c r="K30" s="177">
        <f t="shared" si="27"/>
        <v>16.54199854</v>
      </c>
      <c r="L30" s="177">
        <f t="shared" si="27"/>
        <v>16.82146143</v>
      </c>
      <c r="M30" s="177">
        <f t="shared" si="27"/>
        <v>17.10376526</v>
      </c>
      <c r="N30" s="177">
        <f t="shared" si="27"/>
        <v>17.44433973</v>
      </c>
      <c r="O30" s="177">
        <f t="shared" si="27"/>
        <v>17.56550048</v>
      </c>
      <c r="P30" s="177">
        <f t="shared" si="27"/>
        <v>17.7434626</v>
      </c>
      <c r="Q30" s="177">
        <f t="shared" si="27"/>
        <v>18.31693187</v>
      </c>
      <c r="R30" s="177">
        <f t="shared" si="27"/>
        <v>18.56802699</v>
      </c>
      <c r="S30" s="177">
        <f t="shared" si="27"/>
        <v>18.32442801</v>
      </c>
      <c r="T30" s="177">
        <f t="shared" si="27"/>
        <v>18.99758343</v>
      </c>
      <c r="U30" s="177">
        <f t="shared" si="27"/>
        <v>19.19005447</v>
      </c>
      <c r="V30" s="715">
        <f>V28*Model!W425*V18/(V22*Model!W425*V18*8760)+V29</f>
        <v>19.52385084</v>
      </c>
      <c r="W30" s="177">
        <f t="shared" ref="W30:AZ30" si="28">V30*(1+V59-V31)</f>
        <v>19.86345333</v>
      </c>
      <c r="X30" s="177">
        <f t="shared" si="28"/>
        <v>20.20896296</v>
      </c>
      <c r="Y30" s="177">
        <f t="shared" si="28"/>
        <v>20.56048245</v>
      </c>
      <c r="Z30" s="177">
        <f t="shared" si="28"/>
        <v>20.91811637</v>
      </c>
      <c r="AA30" s="177">
        <f t="shared" si="28"/>
        <v>21.28197105</v>
      </c>
      <c r="AB30" s="177">
        <f t="shared" si="28"/>
        <v>21.65215471</v>
      </c>
      <c r="AC30" s="177">
        <f t="shared" si="28"/>
        <v>22.02877742</v>
      </c>
      <c r="AD30" s="177">
        <f t="shared" si="28"/>
        <v>22.41195121</v>
      </c>
      <c r="AE30" s="177">
        <f t="shared" si="28"/>
        <v>22.80179001</v>
      </c>
      <c r="AF30" s="177">
        <f t="shared" si="28"/>
        <v>23.19840976</v>
      </c>
      <c r="AG30" s="177">
        <f t="shared" si="28"/>
        <v>23.6019284</v>
      </c>
      <c r="AH30" s="177">
        <f t="shared" si="28"/>
        <v>24.01246595</v>
      </c>
      <c r="AI30" s="177">
        <f t="shared" si="28"/>
        <v>24.43014448</v>
      </c>
      <c r="AJ30" s="177">
        <f t="shared" si="28"/>
        <v>24.85508821</v>
      </c>
      <c r="AK30" s="177">
        <f t="shared" si="28"/>
        <v>25.28742352</v>
      </c>
      <c r="AL30" s="177">
        <f t="shared" si="28"/>
        <v>25.72727896</v>
      </c>
      <c r="AM30" s="177">
        <f t="shared" si="28"/>
        <v>26.17478536</v>
      </c>
      <c r="AN30" s="177">
        <f t="shared" si="28"/>
        <v>26.63007579</v>
      </c>
      <c r="AO30" s="177">
        <f t="shared" si="28"/>
        <v>27.09328565</v>
      </c>
      <c r="AP30" s="177">
        <f t="shared" si="28"/>
        <v>27.56455269</v>
      </c>
      <c r="AQ30" s="177">
        <f t="shared" si="28"/>
        <v>28.04401707</v>
      </c>
      <c r="AR30" s="177">
        <f t="shared" si="28"/>
        <v>28.53182136</v>
      </c>
      <c r="AS30" s="177">
        <f t="shared" si="28"/>
        <v>29.02811063</v>
      </c>
      <c r="AT30" s="177">
        <f t="shared" si="28"/>
        <v>29.53303248</v>
      </c>
      <c r="AU30" s="177">
        <f t="shared" si="28"/>
        <v>30.04673705</v>
      </c>
      <c r="AV30" s="177">
        <f t="shared" si="28"/>
        <v>30.56937713</v>
      </c>
      <c r="AW30" s="177">
        <f t="shared" si="28"/>
        <v>31.10110813</v>
      </c>
      <c r="AX30" s="177">
        <f t="shared" si="28"/>
        <v>31.64208819</v>
      </c>
      <c r="AY30" s="177">
        <f t="shared" si="28"/>
        <v>32.19247818</v>
      </c>
      <c r="AZ30" s="177">
        <f t="shared" si="28"/>
        <v>32.75244179</v>
      </c>
    </row>
    <row r="31" ht="15.0" customHeight="1">
      <c r="A31" s="535" t="s">
        <v>106</v>
      </c>
      <c r="B31" s="709">
        <f t="shared" ref="B31:U31" si="29">C31</f>
        <v>0.0025</v>
      </c>
      <c r="C31" s="709">
        <f t="shared" si="29"/>
        <v>0.0025</v>
      </c>
      <c r="D31" s="709">
        <f t="shared" si="29"/>
        <v>0.0025</v>
      </c>
      <c r="E31" s="709">
        <f t="shared" si="29"/>
        <v>0.0025</v>
      </c>
      <c r="F31" s="709">
        <f t="shared" si="29"/>
        <v>0.0025</v>
      </c>
      <c r="G31" s="709">
        <f t="shared" si="29"/>
        <v>0.0025</v>
      </c>
      <c r="H31" s="709">
        <f t="shared" si="29"/>
        <v>0.0025</v>
      </c>
      <c r="I31" s="709">
        <f t="shared" si="29"/>
        <v>0.0025</v>
      </c>
      <c r="J31" s="709">
        <f t="shared" si="29"/>
        <v>0.0025</v>
      </c>
      <c r="K31" s="709">
        <f t="shared" si="29"/>
        <v>0.0025</v>
      </c>
      <c r="L31" s="709">
        <f t="shared" si="29"/>
        <v>0.0025</v>
      </c>
      <c r="M31" s="709">
        <f t="shared" si="29"/>
        <v>0.0025</v>
      </c>
      <c r="N31" s="709">
        <f t="shared" si="29"/>
        <v>0.0025</v>
      </c>
      <c r="O31" s="709">
        <f t="shared" si="29"/>
        <v>0.0025</v>
      </c>
      <c r="P31" s="709">
        <f t="shared" si="29"/>
        <v>0.0025</v>
      </c>
      <c r="Q31" s="709">
        <f t="shared" si="29"/>
        <v>0.0025</v>
      </c>
      <c r="R31" s="709">
        <f t="shared" si="29"/>
        <v>0.0025</v>
      </c>
      <c r="S31" s="709">
        <f t="shared" si="29"/>
        <v>0.0025</v>
      </c>
      <c r="T31" s="709">
        <f t="shared" si="29"/>
        <v>0.0025</v>
      </c>
      <c r="U31" s="709">
        <f t="shared" si="29"/>
        <v>0.0025</v>
      </c>
      <c r="V31" s="538">
        <v>0.0025</v>
      </c>
      <c r="W31" s="537">
        <f t="shared" ref="W31:AZ31" si="30">V31</f>
        <v>0.0025</v>
      </c>
      <c r="X31" s="537">
        <f t="shared" si="30"/>
        <v>0.0025</v>
      </c>
      <c r="Y31" s="537">
        <f t="shared" si="30"/>
        <v>0.0025</v>
      </c>
      <c r="Z31" s="537">
        <f t="shared" si="30"/>
        <v>0.0025</v>
      </c>
      <c r="AA31" s="537">
        <f t="shared" si="30"/>
        <v>0.0025</v>
      </c>
      <c r="AB31" s="537">
        <f t="shared" si="30"/>
        <v>0.0025</v>
      </c>
      <c r="AC31" s="537">
        <f t="shared" si="30"/>
        <v>0.0025</v>
      </c>
      <c r="AD31" s="537">
        <f t="shared" si="30"/>
        <v>0.0025</v>
      </c>
      <c r="AE31" s="537">
        <f t="shared" si="30"/>
        <v>0.0025</v>
      </c>
      <c r="AF31" s="537">
        <f t="shared" si="30"/>
        <v>0.0025</v>
      </c>
      <c r="AG31" s="537">
        <f t="shared" si="30"/>
        <v>0.0025</v>
      </c>
      <c r="AH31" s="537">
        <f t="shared" si="30"/>
        <v>0.0025</v>
      </c>
      <c r="AI31" s="537">
        <f t="shared" si="30"/>
        <v>0.0025</v>
      </c>
      <c r="AJ31" s="537">
        <f t="shared" si="30"/>
        <v>0.0025</v>
      </c>
      <c r="AK31" s="537">
        <f t="shared" si="30"/>
        <v>0.0025</v>
      </c>
      <c r="AL31" s="537">
        <f t="shared" si="30"/>
        <v>0.0025</v>
      </c>
      <c r="AM31" s="537">
        <f t="shared" si="30"/>
        <v>0.0025</v>
      </c>
      <c r="AN31" s="537">
        <f t="shared" si="30"/>
        <v>0.0025</v>
      </c>
      <c r="AO31" s="537">
        <f t="shared" si="30"/>
        <v>0.0025</v>
      </c>
      <c r="AP31" s="537">
        <f t="shared" si="30"/>
        <v>0.0025</v>
      </c>
      <c r="AQ31" s="537">
        <f t="shared" si="30"/>
        <v>0.0025</v>
      </c>
      <c r="AR31" s="537">
        <f t="shared" si="30"/>
        <v>0.0025</v>
      </c>
      <c r="AS31" s="537">
        <f t="shared" si="30"/>
        <v>0.0025</v>
      </c>
      <c r="AT31" s="537">
        <f t="shared" si="30"/>
        <v>0.0025</v>
      </c>
      <c r="AU31" s="537">
        <f t="shared" si="30"/>
        <v>0.0025</v>
      </c>
      <c r="AV31" s="537">
        <f t="shared" si="30"/>
        <v>0.0025</v>
      </c>
      <c r="AW31" s="537">
        <f t="shared" si="30"/>
        <v>0.0025</v>
      </c>
      <c r="AX31" s="537">
        <f t="shared" si="30"/>
        <v>0.0025</v>
      </c>
      <c r="AY31" s="537">
        <f t="shared" si="30"/>
        <v>0.0025</v>
      </c>
      <c r="AZ31" s="537">
        <f t="shared" si="30"/>
        <v>0.0025</v>
      </c>
    </row>
    <row r="32" ht="15.0" customHeight="1">
      <c r="A32" s="535" t="s">
        <v>1041</v>
      </c>
      <c r="B32" s="535">
        <v>7.577</v>
      </c>
      <c r="C32" s="535">
        <v>7.577</v>
      </c>
      <c r="D32" s="535">
        <v>7.577</v>
      </c>
      <c r="E32" s="535">
        <v>7.577</v>
      </c>
      <c r="F32" s="535">
        <v>7.577</v>
      </c>
      <c r="G32" s="535">
        <v>7.577</v>
      </c>
      <c r="H32" s="535">
        <v>7.577</v>
      </c>
      <c r="I32" s="535">
        <v>7.577</v>
      </c>
      <c r="J32" s="535">
        <v>7.642</v>
      </c>
      <c r="K32" s="535">
        <v>7.605</v>
      </c>
      <c r="L32" s="535">
        <v>7.619</v>
      </c>
      <c r="M32" s="535">
        <v>7.603</v>
      </c>
      <c r="N32" s="535">
        <v>7.615</v>
      </c>
      <c r="O32" s="535">
        <v>7.667</v>
      </c>
      <c r="P32" s="535">
        <v>7.658</v>
      </c>
      <c r="Q32" s="535">
        <v>7.655</v>
      </c>
      <c r="R32" s="535">
        <v>7.652</v>
      </c>
      <c r="S32" s="535">
        <v>7.655</v>
      </c>
      <c r="T32" s="191">
        <f t="shared" ref="T32:AB32" si="31">S32-($S$32-$AC$32)/10</f>
        <v>7.5095</v>
      </c>
      <c r="U32" s="191">
        <f t="shared" si="31"/>
        <v>7.364</v>
      </c>
      <c r="V32" s="191">
        <f t="shared" si="31"/>
        <v>7.2185</v>
      </c>
      <c r="W32" s="191">
        <f t="shared" si="31"/>
        <v>7.073</v>
      </c>
      <c r="X32" s="191">
        <f t="shared" si="31"/>
        <v>6.9275</v>
      </c>
      <c r="Y32" s="191">
        <f t="shared" si="31"/>
        <v>6.782</v>
      </c>
      <c r="Z32" s="191">
        <f t="shared" si="31"/>
        <v>6.6365</v>
      </c>
      <c r="AA32" s="191">
        <f t="shared" si="31"/>
        <v>6.491</v>
      </c>
      <c r="AB32" s="191">
        <f t="shared" si="31"/>
        <v>6.3455</v>
      </c>
      <c r="AC32" s="758">
        <v>6.2</v>
      </c>
      <c r="AD32" s="141">
        <f t="shared" ref="AD32:AZ32" si="32">AC32</f>
        <v>6.2</v>
      </c>
      <c r="AE32" s="141">
        <f t="shared" si="32"/>
        <v>6.2</v>
      </c>
      <c r="AF32" s="141">
        <f t="shared" si="32"/>
        <v>6.2</v>
      </c>
      <c r="AG32" s="141">
        <f t="shared" si="32"/>
        <v>6.2</v>
      </c>
      <c r="AH32" s="141">
        <f t="shared" si="32"/>
        <v>6.2</v>
      </c>
      <c r="AI32" s="141">
        <f t="shared" si="32"/>
        <v>6.2</v>
      </c>
      <c r="AJ32" s="141">
        <f t="shared" si="32"/>
        <v>6.2</v>
      </c>
      <c r="AK32" s="141">
        <f t="shared" si="32"/>
        <v>6.2</v>
      </c>
      <c r="AL32" s="141">
        <f t="shared" si="32"/>
        <v>6.2</v>
      </c>
      <c r="AM32" s="141">
        <f t="shared" si="32"/>
        <v>6.2</v>
      </c>
      <c r="AN32" s="141">
        <f t="shared" si="32"/>
        <v>6.2</v>
      </c>
      <c r="AO32" s="141">
        <f t="shared" si="32"/>
        <v>6.2</v>
      </c>
      <c r="AP32" s="141">
        <f t="shared" si="32"/>
        <v>6.2</v>
      </c>
      <c r="AQ32" s="141">
        <f t="shared" si="32"/>
        <v>6.2</v>
      </c>
      <c r="AR32" s="141">
        <f t="shared" si="32"/>
        <v>6.2</v>
      </c>
      <c r="AS32" s="141">
        <f t="shared" si="32"/>
        <v>6.2</v>
      </c>
      <c r="AT32" s="141">
        <f t="shared" si="32"/>
        <v>6.2</v>
      </c>
      <c r="AU32" s="141">
        <f t="shared" si="32"/>
        <v>6.2</v>
      </c>
      <c r="AV32" s="141">
        <f t="shared" si="32"/>
        <v>6.2</v>
      </c>
      <c r="AW32" s="141">
        <f t="shared" si="32"/>
        <v>6.2</v>
      </c>
      <c r="AX32" s="141">
        <f t="shared" si="32"/>
        <v>6.2</v>
      </c>
      <c r="AY32" s="141">
        <f t="shared" si="32"/>
        <v>6.2</v>
      </c>
      <c r="AZ32" s="141">
        <f t="shared" si="32"/>
        <v>6.2</v>
      </c>
    </row>
    <row r="33" ht="15.0" customHeight="1">
      <c r="A33" s="535" t="s">
        <v>1042</v>
      </c>
      <c r="B33" s="535">
        <v>11.632</v>
      </c>
      <c r="C33" s="535">
        <v>11.632</v>
      </c>
      <c r="D33" s="535">
        <v>11.632</v>
      </c>
      <c r="E33" s="535">
        <v>11.632</v>
      </c>
      <c r="F33" s="535">
        <v>11.632</v>
      </c>
      <c r="G33" s="535">
        <v>11.632</v>
      </c>
      <c r="H33" s="535">
        <v>11.632</v>
      </c>
      <c r="I33" s="535">
        <v>11.632</v>
      </c>
      <c r="J33" s="535">
        <v>11.576</v>
      </c>
      <c r="K33" s="535">
        <v>11.56</v>
      </c>
      <c r="L33" s="535">
        <v>11.59</v>
      </c>
      <c r="M33" s="535">
        <v>11.569</v>
      </c>
      <c r="N33" s="535">
        <v>11.499</v>
      </c>
      <c r="O33" s="535">
        <v>11.371</v>
      </c>
      <c r="P33" s="535">
        <v>11.378</v>
      </c>
      <c r="Q33" s="535">
        <v>11.302</v>
      </c>
      <c r="R33" s="535">
        <v>11.214</v>
      </c>
      <c r="S33" s="535">
        <v>11.15</v>
      </c>
      <c r="T33" s="191">
        <f t="shared" ref="T33:AB33" si="33">S33-($S$33-$AC$33)/10</f>
        <v>10.89</v>
      </c>
      <c r="U33" s="191">
        <f t="shared" si="33"/>
        <v>10.63</v>
      </c>
      <c r="V33" s="191">
        <f t="shared" si="33"/>
        <v>10.37</v>
      </c>
      <c r="W33" s="191">
        <f t="shared" si="33"/>
        <v>10.11</v>
      </c>
      <c r="X33" s="191">
        <f t="shared" si="33"/>
        <v>9.85</v>
      </c>
      <c r="Y33" s="191">
        <f t="shared" si="33"/>
        <v>9.59</v>
      </c>
      <c r="Z33" s="191">
        <f t="shared" si="33"/>
        <v>9.33</v>
      </c>
      <c r="AA33" s="191">
        <f t="shared" si="33"/>
        <v>9.07</v>
      </c>
      <c r="AB33" s="191">
        <f t="shared" si="33"/>
        <v>8.81</v>
      </c>
      <c r="AC33" s="758">
        <v>8.55</v>
      </c>
      <c r="AD33" s="141">
        <f t="shared" ref="AD33:AZ33" si="34">AC33</f>
        <v>8.55</v>
      </c>
      <c r="AE33" s="141">
        <f t="shared" si="34"/>
        <v>8.55</v>
      </c>
      <c r="AF33" s="141">
        <f t="shared" si="34"/>
        <v>8.55</v>
      </c>
      <c r="AG33" s="141">
        <f t="shared" si="34"/>
        <v>8.55</v>
      </c>
      <c r="AH33" s="141">
        <f t="shared" si="34"/>
        <v>8.55</v>
      </c>
      <c r="AI33" s="141">
        <f t="shared" si="34"/>
        <v>8.55</v>
      </c>
      <c r="AJ33" s="141">
        <f t="shared" si="34"/>
        <v>8.55</v>
      </c>
      <c r="AK33" s="141">
        <f t="shared" si="34"/>
        <v>8.55</v>
      </c>
      <c r="AL33" s="141">
        <f t="shared" si="34"/>
        <v>8.55</v>
      </c>
      <c r="AM33" s="141">
        <f t="shared" si="34"/>
        <v>8.55</v>
      </c>
      <c r="AN33" s="141">
        <f t="shared" si="34"/>
        <v>8.55</v>
      </c>
      <c r="AO33" s="141">
        <f t="shared" si="34"/>
        <v>8.55</v>
      </c>
      <c r="AP33" s="141">
        <f t="shared" si="34"/>
        <v>8.55</v>
      </c>
      <c r="AQ33" s="141">
        <f t="shared" si="34"/>
        <v>8.55</v>
      </c>
      <c r="AR33" s="141">
        <f t="shared" si="34"/>
        <v>8.55</v>
      </c>
      <c r="AS33" s="141">
        <f t="shared" si="34"/>
        <v>8.55</v>
      </c>
      <c r="AT33" s="141">
        <f t="shared" si="34"/>
        <v>8.55</v>
      </c>
      <c r="AU33" s="141">
        <f t="shared" si="34"/>
        <v>8.55</v>
      </c>
      <c r="AV33" s="141">
        <f t="shared" si="34"/>
        <v>8.55</v>
      </c>
      <c r="AW33" s="141">
        <f t="shared" si="34"/>
        <v>8.55</v>
      </c>
      <c r="AX33" s="141">
        <f t="shared" si="34"/>
        <v>8.55</v>
      </c>
      <c r="AY33" s="141">
        <f t="shared" si="34"/>
        <v>8.55</v>
      </c>
      <c r="AZ33" s="141">
        <f t="shared" si="34"/>
        <v>8.55</v>
      </c>
    </row>
    <row r="34" ht="15.0" customHeight="1">
      <c r="A34" s="541" t="s">
        <v>1043</v>
      </c>
      <c r="B34" s="721"/>
      <c r="C34" s="721"/>
      <c r="D34" s="721"/>
      <c r="E34" s="721"/>
      <c r="F34" s="721"/>
      <c r="G34" s="721"/>
      <c r="H34" s="721"/>
      <c r="I34" s="721"/>
      <c r="J34" s="721"/>
      <c r="K34" s="721"/>
      <c r="L34" s="721"/>
      <c r="M34" s="721"/>
      <c r="N34" s="721"/>
      <c r="O34" s="721"/>
      <c r="P34" s="721"/>
      <c r="Q34" s="721"/>
      <c r="R34" s="721"/>
      <c r="S34" s="721"/>
      <c r="T34" s="721"/>
      <c r="U34" s="721"/>
      <c r="V34" s="759">
        <v>1010.0</v>
      </c>
      <c r="W34" s="721"/>
      <c r="X34" s="721"/>
      <c r="Y34" s="721"/>
      <c r="Z34" s="721"/>
      <c r="AA34" s="721"/>
      <c r="AB34" s="721"/>
      <c r="AC34" s="721"/>
      <c r="AD34" s="721"/>
      <c r="AE34" s="721"/>
      <c r="AF34" s="721"/>
      <c r="AG34" s="721"/>
      <c r="AH34" s="721"/>
      <c r="AI34" s="721"/>
      <c r="AJ34" s="721"/>
      <c r="AK34" s="721"/>
      <c r="AL34" s="721"/>
      <c r="AM34" s="721"/>
      <c r="AN34" s="721"/>
      <c r="AO34" s="721"/>
      <c r="AP34" s="721"/>
      <c r="AQ34" s="721"/>
      <c r="AR34" s="721"/>
      <c r="AS34" s="721"/>
      <c r="AT34" s="721"/>
      <c r="AU34" s="721"/>
      <c r="AV34" s="721"/>
      <c r="AW34" s="721"/>
      <c r="AX34" s="721"/>
      <c r="AY34" s="721"/>
      <c r="AZ34" s="721"/>
    </row>
    <row r="35" ht="15.0" customHeight="1">
      <c r="A35" s="535" t="s">
        <v>1044</v>
      </c>
      <c r="B35" s="721">
        <f t="shared" ref="B35:AZ35" si="35">B58*B32</f>
        <v>33.18726</v>
      </c>
      <c r="C35" s="721">
        <f t="shared" si="35"/>
        <v>34.92997</v>
      </c>
      <c r="D35" s="721">
        <f t="shared" si="35"/>
        <v>27.88336</v>
      </c>
      <c r="E35" s="721">
        <f t="shared" si="35"/>
        <v>42.20389</v>
      </c>
      <c r="F35" s="721">
        <f t="shared" si="35"/>
        <v>46.29547</v>
      </c>
      <c r="G35" s="721">
        <f t="shared" si="35"/>
        <v>64.17719</v>
      </c>
      <c r="H35" s="721">
        <f t="shared" si="35"/>
        <v>53.87247</v>
      </c>
      <c r="I35" s="721">
        <f t="shared" si="35"/>
        <v>55.38787</v>
      </c>
      <c r="J35" s="721">
        <f t="shared" si="35"/>
        <v>70.76492</v>
      </c>
      <c r="K35" s="721">
        <f t="shared" si="35"/>
        <v>37.49265</v>
      </c>
      <c r="L35" s="721">
        <f t="shared" si="35"/>
        <v>40.15213</v>
      </c>
      <c r="M35" s="721">
        <f t="shared" si="35"/>
        <v>37.17867</v>
      </c>
      <c r="N35" s="721">
        <f t="shared" si="35"/>
        <v>26.9571</v>
      </c>
      <c r="O35" s="721">
        <f t="shared" si="35"/>
        <v>34.42483</v>
      </c>
      <c r="P35" s="721">
        <f t="shared" si="35"/>
        <v>39.74502</v>
      </c>
      <c r="Q35" s="721">
        <f t="shared" si="35"/>
        <v>25.8739</v>
      </c>
      <c r="R35" s="721">
        <f t="shared" si="35"/>
        <v>22.87948</v>
      </c>
      <c r="S35" s="721">
        <f t="shared" si="35"/>
        <v>26.9456</v>
      </c>
      <c r="T35" s="721">
        <f t="shared" si="35"/>
        <v>27.559865</v>
      </c>
      <c r="U35" s="721">
        <f t="shared" si="35"/>
        <v>24.96032218</v>
      </c>
      <c r="V35" s="715">
        <f t="shared" si="35"/>
        <v>25.41298912</v>
      </c>
      <c r="W35" s="721">
        <f t="shared" si="35"/>
        <v>24.50360218</v>
      </c>
      <c r="X35" s="721">
        <f t="shared" si="35"/>
        <v>24.39923691</v>
      </c>
      <c r="Y35" s="721">
        <f t="shared" si="35"/>
        <v>25.06649581</v>
      </c>
      <c r="Z35" s="721">
        <f t="shared" si="35"/>
        <v>26.06418346</v>
      </c>
      <c r="AA35" s="721">
        <f t="shared" si="35"/>
        <v>27.0045787</v>
      </c>
      <c r="AB35" s="721">
        <f t="shared" si="35"/>
        <v>26.83815899</v>
      </c>
      <c r="AC35" s="721">
        <f t="shared" si="35"/>
        <v>26.2739508</v>
      </c>
      <c r="AD35" s="721">
        <f t="shared" si="35"/>
        <v>26.7710854</v>
      </c>
      <c r="AE35" s="721">
        <f t="shared" si="35"/>
        <v>26.7322052</v>
      </c>
      <c r="AF35" s="721">
        <f t="shared" si="35"/>
        <v>26.9753134</v>
      </c>
      <c r="AG35" s="721">
        <f t="shared" si="35"/>
        <v>26.9135366</v>
      </c>
      <c r="AH35" s="721">
        <f t="shared" si="35"/>
        <v>27.8842582</v>
      </c>
      <c r="AI35" s="721">
        <f t="shared" si="35"/>
        <v>28.2385696</v>
      </c>
      <c r="AJ35" s="721">
        <f t="shared" si="35"/>
        <v>28.5008854</v>
      </c>
      <c r="AK35" s="721">
        <f t="shared" si="35"/>
        <v>28.7387608</v>
      </c>
      <c r="AL35" s="721">
        <f t="shared" si="35"/>
        <v>29.214431</v>
      </c>
      <c r="AM35" s="721">
        <f t="shared" si="35"/>
        <v>29.280244</v>
      </c>
      <c r="AN35" s="721">
        <f t="shared" si="35"/>
        <v>29.2763256</v>
      </c>
      <c r="AO35" s="721">
        <f t="shared" si="35"/>
        <v>29.3948386</v>
      </c>
      <c r="AP35" s="721">
        <f t="shared" si="35"/>
        <v>29.8421314</v>
      </c>
      <c r="AQ35" s="721">
        <f t="shared" si="35"/>
        <v>29.716352</v>
      </c>
      <c r="AR35" s="721">
        <f t="shared" si="35"/>
        <v>29.9931634</v>
      </c>
      <c r="AS35" s="721">
        <f t="shared" si="35"/>
        <v>30.3907694</v>
      </c>
      <c r="AT35" s="721">
        <f t="shared" si="35"/>
        <v>30.9687148</v>
      </c>
      <c r="AU35" s="721">
        <f t="shared" si="35"/>
        <v>31.430621</v>
      </c>
      <c r="AV35" s="721">
        <f t="shared" si="35"/>
        <v>31.7809644</v>
      </c>
      <c r="AW35" s="721">
        <f t="shared" si="35"/>
        <v>32.261452</v>
      </c>
      <c r="AX35" s="721">
        <f t="shared" si="35"/>
        <v>33.1845328</v>
      </c>
      <c r="AY35" s="721">
        <f t="shared" si="35"/>
        <v>33.7763042</v>
      </c>
      <c r="AZ35" s="721">
        <f t="shared" si="35"/>
        <v>34.342699</v>
      </c>
    </row>
    <row r="36" ht="15.0" customHeight="1">
      <c r="A36" s="535" t="s">
        <v>1045</v>
      </c>
      <c r="B36" s="721">
        <f t="shared" ref="B36:AZ36" si="36">B58*B33</f>
        <v>50.94816</v>
      </c>
      <c r="C36" s="721">
        <f t="shared" si="36"/>
        <v>53.62352</v>
      </c>
      <c r="D36" s="721">
        <f t="shared" si="36"/>
        <v>42.80576</v>
      </c>
      <c r="E36" s="721">
        <f t="shared" si="36"/>
        <v>64.79024</v>
      </c>
      <c r="F36" s="721">
        <f t="shared" si="36"/>
        <v>71.07152</v>
      </c>
      <c r="G36" s="721">
        <f t="shared" si="36"/>
        <v>98.52304</v>
      </c>
      <c r="H36" s="721">
        <f t="shared" si="36"/>
        <v>82.70352</v>
      </c>
      <c r="I36" s="721">
        <f t="shared" si="36"/>
        <v>85.02992</v>
      </c>
      <c r="J36" s="721">
        <f t="shared" si="36"/>
        <v>107.19376</v>
      </c>
      <c r="K36" s="721">
        <f t="shared" si="36"/>
        <v>56.9908</v>
      </c>
      <c r="L36" s="721">
        <f t="shared" si="36"/>
        <v>61.0793</v>
      </c>
      <c r="M36" s="721">
        <f t="shared" si="36"/>
        <v>56.57241</v>
      </c>
      <c r="N36" s="721">
        <f t="shared" si="36"/>
        <v>40.70646</v>
      </c>
      <c r="O36" s="721">
        <f t="shared" si="36"/>
        <v>51.05579</v>
      </c>
      <c r="P36" s="721">
        <f t="shared" si="36"/>
        <v>59.05182</v>
      </c>
      <c r="Q36" s="721">
        <f t="shared" si="36"/>
        <v>38.20076</v>
      </c>
      <c r="R36" s="721">
        <f t="shared" si="36"/>
        <v>33.52986</v>
      </c>
      <c r="S36" s="721">
        <f t="shared" si="36"/>
        <v>39.248</v>
      </c>
      <c r="T36" s="721">
        <f t="shared" si="36"/>
        <v>39.9663</v>
      </c>
      <c r="U36" s="721">
        <f t="shared" si="36"/>
        <v>36.03044878</v>
      </c>
      <c r="V36" s="715">
        <f t="shared" si="36"/>
        <v>36.50795832</v>
      </c>
      <c r="W36" s="721">
        <f t="shared" si="36"/>
        <v>35.02494246</v>
      </c>
      <c r="X36" s="721">
        <f t="shared" si="36"/>
        <v>34.6925274</v>
      </c>
      <c r="Y36" s="721">
        <f t="shared" si="36"/>
        <v>35.44495647</v>
      </c>
      <c r="Z36" s="721">
        <f t="shared" si="36"/>
        <v>36.64263267</v>
      </c>
      <c r="AA36" s="721">
        <f t="shared" si="36"/>
        <v>37.73402077</v>
      </c>
      <c r="AB36" s="721">
        <f t="shared" si="36"/>
        <v>37.26170999</v>
      </c>
      <c r="AC36" s="721">
        <f t="shared" si="36"/>
        <v>36.2326257</v>
      </c>
      <c r="AD36" s="721">
        <f t="shared" si="36"/>
        <v>36.91819035</v>
      </c>
      <c r="AE36" s="721">
        <f t="shared" si="36"/>
        <v>36.8645733</v>
      </c>
      <c r="AF36" s="721">
        <f t="shared" si="36"/>
        <v>37.19982735</v>
      </c>
      <c r="AG36" s="721">
        <f t="shared" si="36"/>
        <v>37.11463515</v>
      </c>
      <c r="AH36" s="721">
        <f t="shared" si="36"/>
        <v>38.45329155</v>
      </c>
      <c r="AI36" s="721">
        <f t="shared" si="36"/>
        <v>38.9418984</v>
      </c>
      <c r="AJ36" s="721">
        <f t="shared" si="36"/>
        <v>39.30364035</v>
      </c>
      <c r="AK36" s="721">
        <f t="shared" si="36"/>
        <v>39.6316782</v>
      </c>
      <c r="AL36" s="721">
        <f t="shared" si="36"/>
        <v>40.28764275</v>
      </c>
      <c r="AM36" s="721">
        <f t="shared" si="36"/>
        <v>40.378401</v>
      </c>
      <c r="AN36" s="721">
        <f t="shared" si="36"/>
        <v>40.3729974</v>
      </c>
      <c r="AO36" s="721">
        <f t="shared" si="36"/>
        <v>40.53643065</v>
      </c>
      <c r="AP36" s="721">
        <f t="shared" si="36"/>
        <v>41.15326185</v>
      </c>
      <c r="AQ36" s="721">
        <f t="shared" si="36"/>
        <v>40.979808</v>
      </c>
      <c r="AR36" s="721">
        <f t="shared" si="36"/>
        <v>41.36153985</v>
      </c>
      <c r="AS36" s="721">
        <f t="shared" si="36"/>
        <v>41.90985135</v>
      </c>
      <c r="AT36" s="721">
        <f t="shared" si="36"/>
        <v>42.7068567</v>
      </c>
      <c r="AU36" s="721">
        <f t="shared" si="36"/>
        <v>43.34384025</v>
      </c>
      <c r="AV36" s="721">
        <f t="shared" si="36"/>
        <v>43.8269751</v>
      </c>
      <c r="AW36" s="721">
        <f t="shared" si="36"/>
        <v>44.489583</v>
      </c>
      <c r="AX36" s="721">
        <f t="shared" si="36"/>
        <v>45.7625412</v>
      </c>
      <c r="AY36" s="721">
        <f t="shared" si="36"/>
        <v>46.57861305</v>
      </c>
      <c r="AZ36" s="721">
        <f t="shared" si="36"/>
        <v>47.35968975</v>
      </c>
    </row>
    <row r="37" ht="15.0" customHeight="1">
      <c r="A37" s="541" t="s">
        <v>1046</v>
      </c>
      <c r="B37" s="535"/>
      <c r="C37" s="535"/>
      <c r="D37" s="535"/>
      <c r="E37" s="535"/>
      <c r="F37" s="535"/>
      <c r="G37" s="535"/>
      <c r="H37" s="535"/>
      <c r="I37" s="535"/>
      <c r="J37" s="535"/>
      <c r="K37" s="535"/>
      <c r="L37" s="535"/>
      <c r="M37" s="535"/>
      <c r="N37" s="535"/>
      <c r="O37" s="535"/>
      <c r="P37" s="535"/>
      <c r="Q37" s="535"/>
      <c r="R37" s="535"/>
      <c r="S37" s="535"/>
      <c r="T37" s="535"/>
      <c r="U37" s="760">
        <f t="shared" ref="U37:V37" si="37">523/1246847</f>
        <v>0.000419458041</v>
      </c>
      <c r="V37" s="761">
        <f t="shared" si="37"/>
        <v>0.000419458041</v>
      </c>
      <c r="W37" s="351">
        <f t="shared" ref="W37:AZ37" si="38">V37</f>
        <v>0.000419458041</v>
      </c>
      <c r="X37" s="351">
        <f t="shared" si="38"/>
        <v>0.000419458041</v>
      </c>
      <c r="Y37" s="351">
        <f t="shared" si="38"/>
        <v>0.000419458041</v>
      </c>
      <c r="Z37" s="351">
        <f t="shared" si="38"/>
        <v>0.000419458041</v>
      </c>
      <c r="AA37" s="351">
        <f t="shared" si="38"/>
        <v>0.000419458041</v>
      </c>
      <c r="AB37" s="351">
        <f t="shared" si="38"/>
        <v>0.000419458041</v>
      </c>
      <c r="AC37" s="351">
        <f t="shared" si="38"/>
        <v>0.000419458041</v>
      </c>
      <c r="AD37" s="351">
        <f t="shared" si="38"/>
        <v>0.000419458041</v>
      </c>
      <c r="AE37" s="351">
        <f t="shared" si="38"/>
        <v>0.000419458041</v>
      </c>
      <c r="AF37" s="351">
        <f t="shared" si="38"/>
        <v>0.000419458041</v>
      </c>
      <c r="AG37" s="351">
        <f t="shared" si="38"/>
        <v>0.000419458041</v>
      </c>
      <c r="AH37" s="351">
        <f t="shared" si="38"/>
        <v>0.000419458041</v>
      </c>
      <c r="AI37" s="351">
        <f t="shared" si="38"/>
        <v>0.000419458041</v>
      </c>
      <c r="AJ37" s="351">
        <f t="shared" si="38"/>
        <v>0.000419458041</v>
      </c>
      <c r="AK37" s="351">
        <f t="shared" si="38"/>
        <v>0.000419458041</v>
      </c>
      <c r="AL37" s="351">
        <f t="shared" si="38"/>
        <v>0.000419458041</v>
      </c>
      <c r="AM37" s="351">
        <f t="shared" si="38"/>
        <v>0.000419458041</v>
      </c>
      <c r="AN37" s="351">
        <f t="shared" si="38"/>
        <v>0.000419458041</v>
      </c>
      <c r="AO37" s="351">
        <f t="shared" si="38"/>
        <v>0.000419458041</v>
      </c>
      <c r="AP37" s="351">
        <f t="shared" si="38"/>
        <v>0.000419458041</v>
      </c>
      <c r="AQ37" s="351">
        <f t="shared" si="38"/>
        <v>0.000419458041</v>
      </c>
      <c r="AR37" s="351">
        <f t="shared" si="38"/>
        <v>0.000419458041</v>
      </c>
      <c r="AS37" s="351">
        <f t="shared" si="38"/>
        <v>0.000419458041</v>
      </c>
      <c r="AT37" s="351">
        <f t="shared" si="38"/>
        <v>0.000419458041</v>
      </c>
      <c r="AU37" s="351">
        <f t="shared" si="38"/>
        <v>0.000419458041</v>
      </c>
      <c r="AV37" s="351">
        <f t="shared" si="38"/>
        <v>0.000419458041</v>
      </c>
      <c r="AW37" s="351">
        <f t="shared" si="38"/>
        <v>0.000419458041</v>
      </c>
      <c r="AX37" s="351">
        <f t="shared" si="38"/>
        <v>0.000419458041</v>
      </c>
      <c r="AY37" s="351">
        <f t="shared" si="38"/>
        <v>0.000419458041</v>
      </c>
      <c r="AZ37" s="351">
        <f t="shared" si="38"/>
        <v>0.000419458041</v>
      </c>
    </row>
    <row r="38" ht="15.0" customHeight="1">
      <c r="A38" s="541" t="s">
        <v>1047</v>
      </c>
      <c r="B38" s="410"/>
      <c r="C38" s="410"/>
      <c r="D38" s="410"/>
      <c r="E38" s="410"/>
      <c r="F38" s="410"/>
      <c r="G38" s="410"/>
      <c r="H38" s="410"/>
      <c r="I38" s="410"/>
      <c r="J38" s="410"/>
      <c r="K38" s="410"/>
      <c r="L38" s="410"/>
      <c r="M38" s="410"/>
      <c r="N38" s="410"/>
      <c r="O38" s="410"/>
      <c r="P38" s="410"/>
      <c r="Q38" s="410"/>
      <c r="R38" s="410"/>
      <c r="S38" s="410"/>
      <c r="T38" s="410"/>
      <c r="U38" s="410"/>
      <c r="V38" s="762">
        <f>523/(4662649+5551181)</f>
        <v>0.00005120508174</v>
      </c>
      <c r="W38" s="208"/>
      <c r="X38" s="208"/>
      <c r="Y38" s="208"/>
      <c r="Z38" s="208"/>
      <c r="AA38" s="208"/>
      <c r="AB38" s="208"/>
      <c r="AC38" s="208"/>
      <c r="AD38" s="208"/>
      <c r="AE38" s="208"/>
      <c r="AF38" s="208"/>
      <c r="AG38" s="208"/>
      <c r="AH38" s="208"/>
      <c r="AI38" s="208"/>
      <c r="AJ38" s="208"/>
      <c r="AK38" s="208"/>
      <c r="AL38" s="208"/>
      <c r="AM38" s="208"/>
      <c r="AN38" s="208"/>
      <c r="AO38" s="208"/>
      <c r="AP38" s="208"/>
      <c r="AQ38" s="208"/>
      <c r="AR38" s="208"/>
      <c r="AS38" s="208"/>
      <c r="AT38" s="208"/>
      <c r="AU38" s="208"/>
      <c r="AV38" s="208"/>
      <c r="AW38" s="208"/>
      <c r="AX38" s="208"/>
      <c r="AY38" s="208"/>
      <c r="AZ38" s="208"/>
    </row>
    <row r="39" ht="15.0" customHeight="1">
      <c r="A39" s="763" t="s">
        <v>1048</v>
      </c>
      <c r="B39" s="411"/>
      <c r="C39" s="410"/>
      <c r="D39" s="410"/>
      <c r="E39" s="410"/>
      <c r="F39" s="410"/>
      <c r="G39" s="410"/>
      <c r="H39" s="410"/>
      <c r="I39" s="410"/>
      <c r="J39" s="410"/>
      <c r="K39" s="410"/>
      <c r="L39" s="410"/>
      <c r="M39" s="410"/>
      <c r="N39" s="410"/>
      <c r="O39" s="410"/>
      <c r="P39" s="410"/>
      <c r="Q39" s="410"/>
      <c r="R39" s="410"/>
      <c r="S39" s="410"/>
      <c r="T39" s="410"/>
      <c r="U39" s="411"/>
      <c r="V39" s="729">
        <v>160000.0</v>
      </c>
      <c r="W39" s="208"/>
      <c r="X39" s="208"/>
      <c r="Y39" s="208"/>
      <c r="Z39" s="208"/>
      <c r="AA39" s="208"/>
      <c r="AB39" s="208"/>
      <c r="AC39" s="208"/>
      <c r="AD39" s="208"/>
      <c r="AE39" s="208"/>
      <c r="AF39" s="208"/>
      <c r="AG39" s="208"/>
      <c r="AH39" s="208"/>
      <c r="AI39" s="208"/>
      <c r="AJ39" s="208"/>
      <c r="AK39" s="208"/>
      <c r="AL39" s="208"/>
      <c r="AM39" s="208"/>
      <c r="AN39" s="208"/>
      <c r="AO39" s="208"/>
      <c r="AP39" s="208"/>
      <c r="AQ39" s="208"/>
      <c r="AR39" s="208"/>
      <c r="AS39" s="208"/>
      <c r="AT39" s="208"/>
      <c r="AU39" s="208"/>
      <c r="AV39" s="208"/>
      <c r="AW39" s="208"/>
      <c r="AX39" s="208"/>
      <c r="AY39" s="208"/>
      <c r="AZ39" s="208"/>
    </row>
    <row r="40" ht="15.0" customHeight="1">
      <c r="A40" s="764" t="s">
        <v>1049</v>
      </c>
      <c r="B40" s="411"/>
      <c r="C40" s="410"/>
      <c r="D40" s="410"/>
      <c r="E40" s="410"/>
      <c r="F40" s="410"/>
      <c r="G40" s="410"/>
      <c r="H40" s="410"/>
      <c r="I40" s="410"/>
      <c r="J40" s="410"/>
      <c r="K40" s="410"/>
      <c r="L40" s="410"/>
      <c r="M40" s="410"/>
      <c r="N40" s="410"/>
      <c r="O40" s="410"/>
      <c r="P40" s="410"/>
      <c r="Q40" s="410"/>
      <c r="R40" s="410"/>
      <c r="S40" s="410"/>
      <c r="T40" s="410"/>
      <c r="U40" s="411"/>
      <c r="V40" s="729">
        <v>6800.0</v>
      </c>
      <c r="W40" s="208"/>
      <c r="X40" s="208"/>
      <c r="Y40" s="208"/>
      <c r="Z40" s="208"/>
      <c r="AA40" s="208"/>
      <c r="AB40" s="208"/>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row>
    <row r="41" ht="15.0" customHeight="1">
      <c r="A41" s="535" t="s">
        <v>112</v>
      </c>
      <c r="B41" s="546">
        <v>0.35</v>
      </c>
      <c r="C41" s="546">
        <v>0.35</v>
      </c>
      <c r="D41" s="546">
        <v>0.35</v>
      </c>
      <c r="E41" s="546">
        <v>0.35</v>
      </c>
      <c r="F41" s="546">
        <v>0.35</v>
      </c>
      <c r="G41" s="546">
        <v>0.35</v>
      </c>
      <c r="H41" s="546">
        <v>0.35</v>
      </c>
      <c r="I41" s="546">
        <v>0.35</v>
      </c>
      <c r="J41" s="546">
        <v>0.35</v>
      </c>
      <c r="K41" s="546">
        <v>0.35</v>
      </c>
      <c r="L41" s="546">
        <v>0.35</v>
      </c>
      <c r="M41" s="546">
        <v>0.35</v>
      </c>
      <c r="N41" s="546">
        <v>0.35</v>
      </c>
      <c r="O41" s="546">
        <v>0.35</v>
      </c>
      <c r="P41" s="546">
        <v>0.35</v>
      </c>
      <c r="Q41" s="546">
        <v>0.35</v>
      </c>
      <c r="R41" s="546">
        <v>0.35</v>
      </c>
      <c r="S41" s="546">
        <v>0.35</v>
      </c>
      <c r="T41" s="546">
        <v>0.21</v>
      </c>
      <c r="U41" s="546">
        <v>0.21</v>
      </c>
      <c r="V41" s="547">
        <v>0.21</v>
      </c>
      <c r="W41" s="208">
        <f t="shared" ref="W41:AZ41" si="39">V41</f>
        <v>0.21</v>
      </c>
      <c r="X41" s="208">
        <f t="shared" si="39"/>
        <v>0.21</v>
      </c>
      <c r="Y41" s="208">
        <f t="shared" si="39"/>
        <v>0.21</v>
      </c>
      <c r="Z41" s="208">
        <f t="shared" si="39"/>
        <v>0.21</v>
      </c>
      <c r="AA41" s="208">
        <f t="shared" si="39"/>
        <v>0.21</v>
      </c>
      <c r="AB41" s="208">
        <f t="shared" si="39"/>
        <v>0.21</v>
      </c>
      <c r="AC41" s="208">
        <f t="shared" si="39"/>
        <v>0.21</v>
      </c>
      <c r="AD41" s="208">
        <f t="shared" si="39"/>
        <v>0.21</v>
      </c>
      <c r="AE41" s="208">
        <f t="shared" si="39"/>
        <v>0.21</v>
      </c>
      <c r="AF41" s="208">
        <f t="shared" si="39"/>
        <v>0.21</v>
      </c>
      <c r="AG41" s="208">
        <f t="shared" si="39"/>
        <v>0.21</v>
      </c>
      <c r="AH41" s="208">
        <f t="shared" si="39"/>
        <v>0.21</v>
      </c>
      <c r="AI41" s="208">
        <f t="shared" si="39"/>
        <v>0.21</v>
      </c>
      <c r="AJ41" s="208">
        <f t="shared" si="39"/>
        <v>0.21</v>
      </c>
      <c r="AK41" s="208">
        <f t="shared" si="39"/>
        <v>0.21</v>
      </c>
      <c r="AL41" s="208">
        <f t="shared" si="39"/>
        <v>0.21</v>
      </c>
      <c r="AM41" s="208">
        <f t="shared" si="39"/>
        <v>0.21</v>
      </c>
      <c r="AN41" s="208">
        <f t="shared" si="39"/>
        <v>0.21</v>
      </c>
      <c r="AO41" s="208">
        <f t="shared" si="39"/>
        <v>0.21</v>
      </c>
      <c r="AP41" s="208">
        <f t="shared" si="39"/>
        <v>0.21</v>
      </c>
      <c r="AQ41" s="208">
        <f t="shared" si="39"/>
        <v>0.21</v>
      </c>
      <c r="AR41" s="208">
        <f t="shared" si="39"/>
        <v>0.21</v>
      </c>
      <c r="AS41" s="208">
        <f t="shared" si="39"/>
        <v>0.21</v>
      </c>
      <c r="AT41" s="208">
        <f t="shared" si="39"/>
        <v>0.21</v>
      </c>
      <c r="AU41" s="208">
        <f t="shared" si="39"/>
        <v>0.21</v>
      </c>
      <c r="AV41" s="208">
        <f t="shared" si="39"/>
        <v>0.21</v>
      </c>
      <c r="AW41" s="208">
        <f t="shared" si="39"/>
        <v>0.21</v>
      </c>
      <c r="AX41" s="208">
        <f t="shared" si="39"/>
        <v>0.21</v>
      </c>
      <c r="AY41" s="208">
        <f t="shared" si="39"/>
        <v>0.21</v>
      </c>
      <c r="AZ41" s="208">
        <f t="shared" si="39"/>
        <v>0.21</v>
      </c>
    </row>
    <row r="42" ht="15.0" customHeight="1">
      <c r="A42" s="535" t="s">
        <v>114</v>
      </c>
      <c r="B42" s="730">
        <f t="shared" ref="B42:U42" si="40">C42</f>
        <v>0.89</v>
      </c>
      <c r="C42" s="730">
        <f t="shared" si="40"/>
        <v>0.89</v>
      </c>
      <c r="D42" s="730">
        <f t="shared" si="40"/>
        <v>0.89</v>
      </c>
      <c r="E42" s="730">
        <f t="shared" si="40"/>
        <v>0.89</v>
      </c>
      <c r="F42" s="730">
        <f t="shared" si="40"/>
        <v>0.89</v>
      </c>
      <c r="G42" s="730">
        <f t="shared" si="40"/>
        <v>0.89</v>
      </c>
      <c r="H42" s="730">
        <f t="shared" si="40"/>
        <v>0.89</v>
      </c>
      <c r="I42" s="730">
        <f t="shared" si="40"/>
        <v>0.89</v>
      </c>
      <c r="J42" s="730">
        <f t="shared" si="40"/>
        <v>0.89</v>
      </c>
      <c r="K42" s="730">
        <f t="shared" si="40"/>
        <v>0.89</v>
      </c>
      <c r="L42" s="730">
        <f t="shared" si="40"/>
        <v>0.89</v>
      </c>
      <c r="M42" s="730">
        <f t="shared" si="40"/>
        <v>0.89</v>
      </c>
      <c r="N42" s="730">
        <f t="shared" si="40"/>
        <v>0.89</v>
      </c>
      <c r="O42" s="730">
        <f t="shared" si="40"/>
        <v>0.89</v>
      </c>
      <c r="P42" s="730">
        <f t="shared" si="40"/>
        <v>0.89</v>
      </c>
      <c r="Q42" s="730">
        <f t="shared" si="40"/>
        <v>0.89</v>
      </c>
      <c r="R42" s="730">
        <f t="shared" si="40"/>
        <v>0.89</v>
      </c>
      <c r="S42" s="730">
        <f t="shared" si="40"/>
        <v>0.89</v>
      </c>
      <c r="T42" s="730">
        <f t="shared" si="40"/>
        <v>0.89</v>
      </c>
      <c r="U42" s="730">
        <f t="shared" si="40"/>
        <v>0.89</v>
      </c>
      <c r="V42" s="715">
        <v>0.89</v>
      </c>
      <c r="W42" s="177">
        <f t="shared" ref="W42:AZ42" si="41">V42*(1+V59)</f>
        <v>0.9077058713</v>
      </c>
      <c r="X42" s="177">
        <f t="shared" si="41"/>
        <v>0.9257639873</v>
      </c>
      <c r="Y42" s="177">
        <f t="shared" si="41"/>
        <v>0.9441813559</v>
      </c>
      <c r="Z42" s="177">
        <f t="shared" si="41"/>
        <v>0.9629651239</v>
      </c>
      <c r="AA42" s="177">
        <f t="shared" si="41"/>
        <v>0.9821225807</v>
      </c>
      <c r="AB42" s="177">
        <f t="shared" si="41"/>
        <v>1.00166116</v>
      </c>
      <c r="AC42" s="177">
        <f t="shared" si="41"/>
        <v>1.021588445</v>
      </c>
      <c r="AD42" s="177">
        <f t="shared" si="41"/>
        <v>1.041912168</v>
      </c>
      <c r="AE42" s="177">
        <f t="shared" si="41"/>
        <v>1.062640216</v>
      </c>
      <c r="AF42" s="177">
        <f t="shared" si="41"/>
        <v>1.083780633</v>
      </c>
      <c r="AG42" s="177">
        <f t="shared" si="41"/>
        <v>1.105341622</v>
      </c>
      <c r="AH42" s="177">
        <f t="shared" si="41"/>
        <v>1.127331551</v>
      </c>
      <c r="AI42" s="177">
        <f t="shared" si="41"/>
        <v>1.149758952</v>
      </c>
      <c r="AJ42" s="177">
        <f t="shared" si="41"/>
        <v>1.17263253</v>
      </c>
      <c r="AK42" s="177">
        <f t="shared" si="41"/>
        <v>1.19596116</v>
      </c>
      <c r="AL42" s="177">
        <f t="shared" si="41"/>
        <v>1.219753895</v>
      </c>
      <c r="AM42" s="177">
        <f t="shared" si="41"/>
        <v>1.244019969</v>
      </c>
      <c r="AN42" s="177">
        <f t="shared" si="41"/>
        <v>1.268768797</v>
      </c>
      <c r="AO42" s="177">
        <f t="shared" si="41"/>
        <v>1.294009985</v>
      </c>
      <c r="AP42" s="177">
        <f t="shared" si="41"/>
        <v>1.319753327</v>
      </c>
      <c r="AQ42" s="177">
        <f t="shared" si="41"/>
        <v>1.346008813</v>
      </c>
      <c r="AR42" s="177">
        <f t="shared" si="41"/>
        <v>1.372786631</v>
      </c>
      <c r="AS42" s="177">
        <f t="shared" si="41"/>
        <v>1.400097174</v>
      </c>
      <c r="AT42" s="177">
        <f t="shared" si="41"/>
        <v>1.42795104</v>
      </c>
      <c r="AU42" s="177">
        <f t="shared" si="41"/>
        <v>1.456359037</v>
      </c>
      <c r="AV42" s="177">
        <f t="shared" si="41"/>
        <v>1.485332189</v>
      </c>
      <c r="AW42" s="177">
        <f t="shared" si="41"/>
        <v>1.514881741</v>
      </c>
      <c r="AX42" s="177">
        <f t="shared" si="41"/>
        <v>1.545019157</v>
      </c>
      <c r="AY42" s="177">
        <f t="shared" si="41"/>
        <v>1.575756135</v>
      </c>
      <c r="AZ42" s="177">
        <f t="shared" si="41"/>
        <v>1.607104602</v>
      </c>
    </row>
    <row r="43" ht="15.0" customHeight="1">
      <c r="A43" s="535" t="s">
        <v>1050</v>
      </c>
      <c r="B43" s="535"/>
      <c r="C43" s="535"/>
      <c r="D43" s="535"/>
      <c r="E43" s="535"/>
      <c r="F43" s="535"/>
      <c r="G43" s="535"/>
      <c r="H43" s="535"/>
      <c r="I43" s="535"/>
      <c r="J43" s="535"/>
      <c r="K43" s="535"/>
      <c r="L43" s="535"/>
      <c r="M43" s="535"/>
      <c r="N43" s="535"/>
      <c r="O43" s="535"/>
      <c r="P43" s="535"/>
      <c r="Q43" s="535"/>
      <c r="R43" s="535"/>
      <c r="S43" s="535"/>
      <c r="T43" s="535"/>
      <c r="U43" s="535"/>
      <c r="V43" s="712">
        <v>27.0</v>
      </c>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1051</v>
      </c>
      <c r="B44" s="535"/>
      <c r="C44" s="535"/>
      <c r="D44" s="535"/>
      <c r="E44" s="535"/>
      <c r="F44" s="535"/>
      <c r="G44" s="535"/>
      <c r="H44" s="535"/>
      <c r="I44" s="535"/>
      <c r="J44" s="535"/>
      <c r="K44" s="535"/>
      <c r="L44" s="535"/>
      <c r="M44" s="535"/>
      <c r="N44" s="535"/>
      <c r="O44" s="535"/>
      <c r="P44" s="535"/>
      <c r="Q44" s="535"/>
      <c r="R44" s="535"/>
      <c r="S44" s="535"/>
      <c r="T44" s="535"/>
      <c r="U44" s="535"/>
      <c r="V44" s="712">
        <v>34.0</v>
      </c>
      <c r="W44" s="141"/>
      <c r="X44" s="141"/>
      <c r="Y44" s="141"/>
      <c r="Z44" s="141"/>
      <c r="AA44" s="141"/>
      <c r="AB44" s="141"/>
      <c r="AC44" s="141"/>
      <c r="AD44" s="141"/>
      <c r="AE44" s="141"/>
      <c r="AF44" s="141"/>
      <c r="AG44" s="141"/>
      <c r="AH44" s="141"/>
      <c r="AI44" s="141"/>
      <c r="AJ44" s="141"/>
      <c r="AK44" s="141"/>
      <c r="AL44" s="141"/>
      <c r="AM44" s="141"/>
      <c r="AN44" s="141"/>
      <c r="AO44" s="141"/>
      <c r="AP44" s="141"/>
      <c r="AQ44" s="141"/>
      <c r="AR44" s="141"/>
      <c r="AS44" s="141"/>
      <c r="AT44" s="141"/>
      <c r="AU44" s="141"/>
      <c r="AV44" s="141"/>
      <c r="AW44" s="141"/>
      <c r="AX44" s="141"/>
      <c r="AY44" s="141"/>
      <c r="AZ44" s="141"/>
    </row>
    <row r="45" ht="15.0" customHeight="1">
      <c r="A45" s="535" t="s">
        <v>1052</v>
      </c>
      <c r="B45" s="535"/>
      <c r="C45" s="535"/>
      <c r="D45" s="535"/>
      <c r="E45" s="535"/>
      <c r="F45" s="535"/>
      <c r="G45" s="535"/>
      <c r="H45" s="535"/>
      <c r="I45" s="535"/>
      <c r="J45" s="535"/>
      <c r="K45" s="535"/>
      <c r="L45" s="535"/>
      <c r="M45" s="535"/>
      <c r="N45" s="535"/>
      <c r="O45" s="535"/>
      <c r="P45" s="535"/>
      <c r="Q45" s="535"/>
      <c r="R45" s="535"/>
      <c r="S45" s="535"/>
      <c r="T45" s="535"/>
      <c r="U45" s="535"/>
      <c r="V45" s="712">
        <v>13.0</v>
      </c>
      <c r="W45" s="141"/>
      <c r="X45" s="141"/>
      <c r="Y45" s="141"/>
      <c r="Z45" s="141"/>
      <c r="AA45" s="141"/>
      <c r="AB45" s="141"/>
      <c r="AC45" s="141"/>
      <c r="AD45" s="141"/>
      <c r="AE45" s="141"/>
      <c r="AF45" s="141"/>
      <c r="AG45" s="141"/>
      <c r="AH45" s="141"/>
      <c r="AI45" s="141"/>
      <c r="AJ45" s="141"/>
      <c r="AK45" s="141"/>
      <c r="AL45" s="141"/>
      <c r="AM45" s="141"/>
      <c r="AN45" s="141"/>
      <c r="AO45" s="141"/>
      <c r="AP45" s="141"/>
      <c r="AQ45" s="141"/>
      <c r="AR45" s="141"/>
      <c r="AS45" s="141"/>
      <c r="AT45" s="141"/>
      <c r="AU45" s="141"/>
      <c r="AV45" s="141"/>
      <c r="AW45" s="141"/>
      <c r="AX45" s="141"/>
      <c r="AY45" s="141"/>
      <c r="AZ45" s="141"/>
    </row>
    <row r="46" ht="15.0" customHeight="1">
      <c r="A46" s="535" t="s">
        <v>1053</v>
      </c>
      <c r="B46" s="535"/>
      <c r="C46" s="535"/>
      <c r="D46" s="535"/>
      <c r="E46" s="535"/>
      <c r="F46" s="535"/>
      <c r="G46" s="535"/>
      <c r="H46" s="535"/>
      <c r="I46" s="535"/>
      <c r="J46" s="535"/>
      <c r="K46" s="765"/>
      <c r="L46" s="765"/>
      <c r="M46" s="765"/>
      <c r="N46" s="765"/>
      <c r="O46" s="765"/>
      <c r="P46" s="765"/>
      <c r="Q46" s="765"/>
      <c r="R46" s="765"/>
      <c r="S46" s="535"/>
      <c r="T46" s="535"/>
      <c r="U46" s="535"/>
      <c r="V46" s="712">
        <v>15.0</v>
      </c>
      <c r="W46" s="141"/>
      <c r="X46" s="141"/>
      <c r="Y46" s="141"/>
      <c r="Z46" s="141"/>
      <c r="AA46" s="141"/>
      <c r="AB46" s="141"/>
      <c r="AC46" s="141"/>
      <c r="AD46" s="141"/>
      <c r="AE46" s="141"/>
      <c r="AF46" s="141"/>
      <c r="AG46" s="141"/>
      <c r="AH46" s="141"/>
      <c r="AI46" s="141"/>
      <c r="AJ46" s="141"/>
      <c r="AK46" s="141"/>
      <c r="AL46" s="141"/>
      <c r="AM46" s="141"/>
      <c r="AN46" s="141"/>
      <c r="AO46" s="141"/>
      <c r="AP46" s="141"/>
      <c r="AQ46" s="141"/>
      <c r="AR46" s="141"/>
      <c r="AS46" s="141"/>
      <c r="AT46" s="141"/>
      <c r="AU46" s="141"/>
      <c r="AV46" s="141"/>
      <c r="AW46" s="141"/>
      <c r="AX46" s="141"/>
      <c r="AY46" s="141"/>
      <c r="AZ46" s="141"/>
    </row>
    <row r="47" ht="15.0" customHeight="1">
      <c r="A47" s="535" t="s">
        <v>1054</v>
      </c>
      <c r="B47" s="535"/>
      <c r="C47" s="535"/>
      <c r="D47" s="535"/>
      <c r="E47" s="535"/>
      <c r="F47" s="535"/>
      <c r="G47" s="535"/>
      <c r="H47" s="535"/>
      <c r="I47" s="535"/>
      <c r="J47" s="535"/>
      <c r="K47" s="535"/>
      <c r="L47" s="535"/>
      <c r="M47" s="535"/>
      <c r="N47" s="535"/>
      <c r="O47" s="535"/>
      <c r="P47" s="535"/>
      <c r="Q47" s="535"/>
      <c r="R47" s="535"/>
      <c r="S47" s="535"/>
      <c r="T47" s="535"/>
      <c r="U47" s="535"/>
      <c r="V47" s="712">
        <v>29.0</v>
      </c>
      <c r="W47" s="141"/>
      <c r="X47" s="141"/>
      <c r="Y47" s="141"/>
      <c r="Z47" s="141"/>
      <c r="AA47" s="141"/>
      <c r="AB47" s="141"/>
      <c r="AC47" s="141"/>
      <c r="AD47" s="141"/>
      <c r="AE47" s="141"/>
      <c r="AF47" s="141"/>
      <c r="AG47" s="141"/>
      <c r="AH47" s="141"/>
      <c r="AI47" s="141"/>
      <c r="AJ47" s="141"/>
      <c r="AK47" s="141"/>
      <c r="AL47" s="141"/>
      <c r="AM47" s="141"/>
      <c r="AN47" s="141"/>
      <c r="AO47" s="141"/>
      <c r="AP47" s="141"/>
      <c r="AQ47" s="141"/>
      <c r="AR47" s="141"/>
      <c r="AS47" s="141"/>
      <c r="AT47" s="141"/>
      <c r="AU47" s="141"/>
      <c r="AV47" s="141"/>
      <c r="AW47" s="141"/>
      <c r="AX47" s="141"/>
      <c r="AY47" s="141"/>
      <c r="AZ47" s="141"/>
    </row>
    <row r="48" ht="15.0" customHeight="1">
      <c r="A48" s="535" t="s">
        <v>1055</v>
      </c>
      <c r="B48" s="535"/>
      <c r="C48" s="535"/>
      <c r="D48" s="535"/>
      <c r="E48" s="535"/>
      <c r="F48" s="535"/>
      <c r="G48" s="535"/>
      <c r="H48" s="535"/>
      <c r="I48" s="535"/>
      <c r="J48" s="535"/>
      <c r="K48" s="535"/>
      <c r="L48" s="535"/>
      <c r="M48" s="535"/>
      <c r="N48" s="535"/>
      <c r="O48" s="535"/>
      <c r="P48" s="535"/>
      <c r="Q48" s="535"/>
      <c r="R48" s="535"/>
      <c r="S48" s="535"/>
      <c r="T48" s="535"/>
      <c r="U48" s="535"/>
      <c r="V48" s="712">
        <v>48.0</v>
      </c>
      <c r="W48" s="141"/>
      <c r="X48" s="141"/>
      <c r="Y48" s="141"/>
      <c r="Z48" s="141"/>
      <c r="AA48" s="141"/>
      <c r="AB48" s="141"/>
      <c r="AC48" s="141"/>
      <c r="AD48" s="141"/>
      <c r="AE48" s="141"/>
      <c r="AF48" s="141"/>
      <c r="AG48" s="141"/>
      <c r="AH48" s="141"/>
      <c r="AI48" s="141"/>
      <c r="AJ48" s="141"/>
      <c r="AK48" s="141"/>
      <c r="AL48" s="141"/>
      <c r="AM48" s="141"/>
      <c r="AN48" s="141"/>
      <c r="AO48" s="141"/>
      <c r="AP48" s="141"/>
      <c r="AQ48" s="141"/>
      <c r="AR48" s="141"/>
      <c r="AS48" s="141"/>
      <c r="AT48" s="141"/>
      <c r="AU48" s="141"/>
      <c r="AV48" s="141"/>
      <c r="AW48" s="141"/>
      <c r="AX48" s="141"/>
      <c r="AY48" s="141"/>
      <c r="AZ48" s="141"/>
    </row>
    <row r="49" ht="15.0" customHeight="1">
      <c r="A49" s="535" t="s">
        <v>1056</v>
      </c>
      <c r="B49" s="535"/>
      <c r="C49" s="535"/>
      <c r="D49" s="535"/>
      <c r="E49" s="535"/>
      <c r="F49" s="535"/>
      <c r="G49" s="535"/>
      <c r="H49" s="535"/>
      <c r="I49" s="535"/>
      <c r="J49" s="535"/>
      <c r="K49" s="535"/>
      <c r="L49" s="535"/>
      <c r="M49" s="535"/>
      <c r="N49" s="535"/>
      <c r="O49" s="535"/>
      <c r="P49" s="535"/>
      <c r="Q49" s="535"/>
      <c r="R49" s="535"/>
      <c r="S49" s="535"/>
      <c r="T49" s="535"/>
      <c r="U49" s="535"/>
      <c r="V49" s="712">
        <v>10.0</v>
      </c>
      <c r="W49" s="141"/>
      <c r="X49" s="141"/>
      <c r="Y49" s="141"/>
      <c r="Z49" s="141"/>
      <c r="AA49" s="141"/>
      <c r="AB49" s="141"/>
      <c r="AC49" s="141"/>
      <c r="AD49" s="141"/>
      <c r="AE49" s="141"/>
      <c r="AF49" s="141"/>
      <c r="AG49" s="141"/>
      <c r="AH49" s="141"/>
      <c r="AI49" s="141"/>
      <c r="AJ49" s="141"/>
      <c r="AK49" s="141"/>
      <c r="AL49" s="141"/>
      <c r="AM49" s="141"/>
      <c r="AN49" s="141"/>
      <c r="AO49" s="141"/>
      <c r="AP49" s="141"/>
      <c r="AQ49" s="141"/>
      <c r="AR49" s="141"/>
      <c r="AS49" s="141"/>
      <c r="AT49" s="141"/>
      <c r="AU49" s="141"/>
      <c r="AV49" s="141"/>
      <c r="AW49" s="141"/>
      <c r="AX49" s="141"/>
      <c r="AY49" s="141"/>
      <c r="AZ49" s="141"/>
    </row>
    <row r="50" ht="15.0" customHeight="1">
      <c r="A50" s="535" t="s">
        <v>1057</v>
      </c>
      <c r="B50" s="535"/>
      <c r="C50" s="535"/>
      <c r="D50" s="535"/>
      <c r="E50" s="535"/>
      <c r="F50" s="535"/>
      <c r="G50" s="535"/>
      <c r="H50" s="535"/>
      <c r="I50" s="535"/>
      <c r="J50" s="535"/>
      <c r="K50" s="535"/>
      <c r="L50" s="535"/>
      <c r="M50" s="535"/>
      <c r="N50" s="535"/>
      <c r="O50" s="535"/>
      <c r="P50" s="535"/>
      <c r="Q50" s="535"/>
      <c r="R50" s="535"/>
      <c r="S50" s="535"/>
      <c r="T50" s="535"/>
      <c r="U50" s="535"/>
      <c r="V50" s="712">
        <v>19.0</v>
      </c>
      <c r="W50" s="141"/>
      <c r="X50" s="141"/>
      <c r="Y50" s="141"/>
      <c r="Z50" s="141"/>
      <c r="AA50" s="141"/>
      <c r="AB50" s="141"/>
      <c r="AC50" s="141"/>
      <c r="AD50" s="141"/>
      <c r="AE50" s="141"/>
      <c r="AF50" s="141"/>
      <c r="AG50" s="141"/>
      <c r="AH50" s="141"/>
      <c r="AI50" s="141"/>
      <c r="AJ50" s="141"/>
      <c r="AK50" s="141"/>
      <c r="AL50" s="141"/>
      <c r="AM50" s="141"/>
      <c r="AN50" s="141"/>
      <c r="AO50" s="141"/>
      <c r="AP50" s="141"/>
      <c r="AQ50" s="141"/>
      <c r="AR50" s="141"/>
      <c r="AS50" s="141"/>
      <c r="AT50" s="141"/>
      <c r="AU50" s="141"/>
      <c r="AV50" s="141"/>
      <c r="AW50" s="141"/>
      <c r="AX50" s="141"/>
      <c r="AY50" s="141"/>
      <c r="AZ50" s="141"/>
    </row>
    <row r="51" ht="15.0" customHeight="1">
      <c r="A51" s="174" t="s">
        <v>123</v>
      </c>
      <c r="B51" s="174"/>
      <c r="C51" s="174"/>
      <c r="D51" s="174"/>
      <c r="E51" s="174"/>
      <c r="F51" s="174"/>
      <c r="G51" s="174"/>
      <c r="H51" s="174"/>
      <c r="I51" s="174"/>
      <c r="J51" s="174"/>
      <c r="K51" s="174"/>
      <c r="L51" s="174"/>
      <c r="M51" s="174"/>
      <c r="N51" s="174"/>
      <c r="O51" s="174"/>
      <c r="P51" s="174"/>
      <c r="Q51" s="174"/>
      <c r="R51" s="174"/>
      <c r="S51" s="174"/>
      <c r="T51" s="174"/>
      <c r="U51" s="174"/>
      <c r="V51" s="705"/>
      <c r="W51" s="141"/>
      <c r="X51" s="141"/>
      <c r="Y51" s="141"/>
      <c r="Z51" s="141"/>
      <c r="AA51" s="141"/>
      <c r="AB51" s="141"/>
      <c r="AC51" s="141"/>
      <c r="AD51" s="141"/>
      <c r="AE51" s="141"/>
      <c r="AF51" s="141"/>
      <c r="AG51" s="141"/>
      <c r="AH51" s="141"/>
      <c r="AI51" s="141"/>
      <c r="AJ51" s="141"/>
      <c r="AK51" s="141"/>
      <c r="AL51" s="141"/>
      <c r="AM51" s="141"/>
      <c r="AN51" s="141"/>
      <c r="AO51" s="141"/>
      <c r="AP51" s="141"/>
      <c r="AQ51" s="141"/>
      <c r="AR51" s="141"/>
      <c r="AS51" s="141"/>
      <c r="AT51" s="141"/>
      <c r="AU51" s="141"/>
      <c r="AV51" s="141"/>
      <c r="AW51" s="141"/>
      <c r="AX51" s="141"/>
      <c r="AY51" s="141"/>
      <c r="AZ51" s="141"/>
    </row>
    <row r="52" ht="15.0" customHeight="1">
      <c r="A52" s="535" t="s">
        <v>126</v>
      </c>
      <c r="B52" s="730">
        <f>'Inflation GDP Population'!B2</f>
        <v>96.994687</v>
      </c>
      <c r="C52" s="730">
        <f>'Inflation GDP Population'!C2</f>
        <v>82.56180237</v>
      </c>
      <c r="D52" s="730">
        <f>'Inflation GDP Population'!D2</f>
        <v>92.42298883</v>
      </c>
      <c r="E52" s="730">
        <f>'Inflation GDP Population'!E2</f>
        <v>85.643903</v>
      </c>
      <c r="F52" s="730">
        <f>'Inflation GDP Population'!F2</f>
        <v>81.32479157</v>
      </c>
      <c r="G52" s="730">
        <f>'Inflation GDP Population'!G2</f>
        <v>82.28505158</v>
      </c>
      <c r="H52" s="730">
        <f>'Inflation GDP Population'!H2</f>
        <v>73.13235237</v>
      </c>
      <c r="I52" s="730">
        <f>'Inflation GDP Population'!I2</f>
        <v>75.17834992</v>
      </c>
      <c r="J52" s="730">
        <f>'Inflation GDP Population'!J2</f>
        <v>77.56686895</v>
      </c>
      <c r="K52" s="730">
        <f>'Inflation GDP Population'!K2</f>
        <v>67.39705426</v>
      </c>
      <c r="L52" s="730">
        <f>'Inflation GDP Population'!L2</f>
        <v>69.35926131</v>
      </c>
      <c r="M52" s="730">
        <f>'Inflation GDP Population'!M2</f>
        <v>69.14964738</v>
      </c>
      <c r="N52" s="730">
        <f>'Inflation GDP Population'!N2</f>
        <v>66.07741069</v>
      </c>
      <c r="O52" s="730">
        <f>'Inflation GDP Population'!O2</f>
        <v>68.66764955</v>
      </c>
      <c r="P52" s="730">
        <f>'Inflation GDP Population'!P2</f>
        <v>67.61337449</v>
      </c>
      <c r="Q52" s="730">
        <f>'Inflation GDP Population'!Q2</f>
        <v>63.51929276</v>
      </c>
      <c r="R52" s="730">
        <f>'Inflation GDP Population'!R2</f>
        <v>65.2</v>
      </c>
      <c r="S52" s="730">
        <f>'Inflation GDP Population'!S2</f>
        <v>62.54</v>
      </c>
      <c r="T52" s="730">
        <f>'Inflation GDP Population'!T2</f>
        <v>62.8</v>
      </c>
      <c r="U52" s="730">
        <f>'Inflation GDP Population'!U2</f>
        <v>62.22</v>
      </c>
      <c r="V52" s="730">
        <f>'Inflation GDP Population'!V2</f>
        <v>63.24546</v>
      </c>
      <c r="W52" s="730">
        <f>'Inflation GDP Population'!W2</f>
        <v>62.18788</v>
      </c>
      <c r="X52" s="730">
        <f>'Inflation GDP Population'!X2</f>
        <v>61.28391</v>
      </c>
      <c r="Y52" s="730">
        <f>'Inflation GDP Population'!Y2</f>
        <v>60.78271</v>
      </c>
      <c r="Z52" s="730">
        <f>'Inflation GDP Population'!Z2</f>
        <v>60.47005</v>
      </c>
      <c r="AA52" s="730">
        <f>'Inflation GDP Population'!AA2</f>
        <v>60.72605</v>
      </c>
      <c r="AB52" s="730">
        <f>'Inflation GDP Population'!AB2</f>
        <v>60.32351</v>
      </c>
      <c r="AC52" s="730">
        <f>'Inflation GDP Population'!AC2</f>
        <v>60.15475</v>
      </c>
      <c r="AD52" s="730">
        <f>'Inflation GDP Population'!AD2</f>
        <v>59.91858</v>
      </c>
      <c r="AE52" s="730">
        <f>'Inflation GDP Population'!AE2</f>
        <v>59.74736</v>
      </c>
      <c r="AF52" s="730">
        <f>'Inflation GDP Population'!AF2</f>
        <v>59.57172</v>
      </c>
      <c r="AG52" s="730">
        <f>'Inflation GDP Population'!AG2</f>
        <v>59.4622</v>
      </c>
      <c r="AH52" s="730">
        <f>'Inflation GDP Population'!AH2</f>
        <v>59.09818</v>
      </c>
      <c r="AI52" s="730">
        <f>'Inflation GDP Population'!AI2</f>
        <v>58.69071</v>
      </c>
      <c r="AJ52" s="730">
        <f>'Inflation GDP Population'!AJ2</f>
        <v>58.27968</v>
      </c>
      <c r="AK52" s="730">
        <f>'Inflation GDP Population'!AK2</f>
        <v>57.94539</v>
      </c>
      <c r="AL52" s="730">
        <f>'Inflation GDP Population'!AL2</f>
        <v>57.82228</v>
      </c>
      <c r="AM52" s="730">
        <f>'Inflation GDP Population'!AM2</f>
        <v>57.6393</v>
      </c>
      <c r="AN52" s="730">
        <f>'Inflation GDP Population'!AN2</f>
        <v>57.61822</v>
      </c>
      <c r="AO52" s="730">
        <f>'Inflation GDP Population'!AO2</f>
        <v>57.58316</v>
      </c>
      <c r="AP52" s="730">
        <f>'Inflation GDP Population'!AP2</f>
        <v>57.42865</v>
      </c>
      <c r="AQ52" s="730">
        <f>'Inflation GDP Population'!AQ2</f>
        <v>57.21256</v>
      </c>
      <c r="AR52" s="730">
        <f>'Inflation GDP Population'!AR2</f>
        <v>56.95737</v>
      </c>
      <c r="AS52" s="730">
        <f>'Inflation GDP Population'!AS2</f>
        <v>56.72602</v>
      </c>
      <c r="AT52" s="730">
        <f>'Inflation GDP Population'!AT2</f>
        <v>56.5327</v>
      </c>
      <c r="AU52" s="730">
        <f>'Inflation GDP Population'!AU2</f>
        <v>56.32994</v>
      </c>
      <c r="AV52" s="730">
        <f>'Inflation GDP Population'!AV2</f>
        <v>56.00807</v>
      </c>
      <c r="AW52" s="730">
        <f>'Inflation GDP Population'!AW2</f>
        <v>55.85328</v>
      </c>
      <c r="AX52" s="730">
        <f>'Inflation GDP Population'!AX2</f>
        <v>56.44464</v>
      </c>
      <c r="AY52" s="730">
        <f>'Inflation GDP Population'!AY2</f>
        <v>56.52391</v>
      </c>
      <c r="AZ52" s="730">
        <f>'Inflation GDP Population'!AZ2</f>
        <v>56.24409</v>
      </c>
      <c r="BA52" s="730" t="str">
        <f>'Inflation GDP Population'!BA2</f>
        <v/>
      </c>
    </row>
    <row r="53" ht="15.0" customHeight="1">
      <c r="A53" s="535" t="s">
        <v>128</v>
      </c>
      <c r="B53" s="730">
        <f>'Inflation GDP Population'!B3</f>
        <v>66.9366</v>
      </c>
      <c r="C53" s="730">
        <f>'Inflation GDP Population'!C3</f>
        <v>68.5627</v>
      </c>
      <c r="D53" s="730">
        <f>'Inflation GDP Population'!D3</f>
        <v>61.9876</v>
      </c>
      <c r="E53" s="730">
        <f>'Inflation GDP Population'!E3</f>
        <v>75.3499</v>
      </c>
      <c r="F53" s="730">
        <f>'Inflation GDP Population'!F3</f>
        <v>79.1677</v>
      </c>
      <c r="G53" s="730">
        <f>'Inflation GDP Population'!G3</f>
        <v>95.8529</v>
      </c>
      <c r="H53" s="730">
        <f>'Inflation GDP Population'!H3</f>
        <v>86.2377</v>
      </c>
      <c r="I53" s="730">
        <f>'Inflation GDP Population'!I3</f>
        <v>87.6517</v>
      </c>
      <c r="J53" s="730">
        <f>'Inflation GDP Population'!J3</f>
        <v>101.4382</v>
      </c>
      <c r="K53" s="730">
        <f>'Inflation GDP Population'!K3</f>
        <v>70.8251</v>
      </c>
      <c r="L53" s="730">
        <f>'Inflation GDP Population'!L3</f>
        <v>73.2289</v>
      </c>
      <c r="M53" s="730">
        <f>'Inflation GDP Population'!M3</f>
        <v>70.5423</v>
      </c>
      <c r="N53" s="730">
        <f>'Inflation GDP Population'!N3</f>
        <v>60.9978</v>
      </c>
      <c r="O53" s="730">
        <f>'Inflation GDP Population'!O3</f>
        <v>67.7143</v>
      </c>
      <c r="P53" s="730">
        <f>'Inflation GDP Population'!P3</f>
        <v>72.6633</v>
      </c>
      <c r="Q53" s="730">
        <f>'Inflation GDP Population'!Q3</f>
        <v>59.8666</v>
      </c>
      <c r="R53" s="730">
        <f>'Inflation GDP Population'!R3</f>
        <v>64.07</v>
      </c>
      <c r="S53" s="730">
        <f>'Inflation GDP Population'!S3</f>
        <v>62.54</v>
      </c>
      <c r="T53" s="730">
        <f>'Inflation GDP Population'!T3</f>
        <v>64.2</v>
      </c>
      <c r="U53" s="730">
        <f>'Inflation GDP Population'!U3</f>
        <v>65.09</v>
      </c>
      <c r="V53" s="730">
        <f>'Inflation GDP Population'!V3</f>
        <v>67.89328</v>
      </c>
      <c r="W53" s="730">
        <f>'Inflation GDP Population'!W3</f>
        <v>68.40823</v>
      </c>
      <c r="X53" s="730">
        <f>'Inflation GDP Population'!X3</f>
        <v>69.03984</v>
      </c>
      <c r="Y53" s="730">
        <f>'Inflation GDP Population'!Y3</f>
        <v>70.16593</v>
      </c>
      <c r="Z53" s="730">
        <f>'Inflation GDP Population'!Z3</f>
        <v>71.49954</v>
      </c>
      <c r="AA53" s="730">
        <f>'Inflation GDP Population'!AA3</f>
        <v>73.51659</v>
      </c>
      <c r="AB53" s="730">
        <f>'Inflation GDP Population'!AB3</f>
        <v>74.70362</v>
      </c>
      <c r="AC53" s="730">
        <f>'Inflation GDP Population'!AC3</f>
        <v>76.17161</v>
      </c>
      <c r="AD53" s="730">
        <f>'Inflation GDP Population'!AD3</f>
        <v>77.50948</v>
      </c>
      <c r="AE53" s="730">
        <f>'Inflation GDP Population'!AE3</f>
        <v>78.93703</v>
      </c>
      <c r="AF53" s="730">
        <f>'Inflation GDP Population'!AF3</f>
        <v>80.39476</v>
      </c>
      <c r="AG53" s="730">
        <f>'Inflation GDP Population'!AG3</f>
        <v>81.99922</v>
      </c>
      <c r="AH53" s="730">
        <f>'Inflation GDP Population'!AH3</f>
        <v>83.28815</v>
      </c>
      <c r="AI53" s="730">
        <f>'Inflation GDP Population'!AI3</f>
        <v>84.55218</v>
      </c>
      <c r="AJ53" s="730">
        <f>'Inflation GDP Population'!AJ3</f>
        <v>85.84256</v>
      </c>
      <c r="AK53" s="730">
        <f>'Inflation GDP Population'!AK3</f>
        <v>87.2825</v>
      </c>
      <c r="AL53" s="730">
        <f>'Inflation GDP Population'!AL3</f>
        <v>89.09156</v>
      </c>
      <c r="AM53" s="730">
        <f>'Inflation GDP Population'!AM3</f>
        <v>90.84511</v>
      </c>
      <c r="AN53" s="730">
        <f>'Inflation GDP Population'!AN3</f>
        <v>92.88487</v>
      </c>
      <c r="AO53" s="730">
        <f>'Inflation GDP Population'!AO3</f>
        <v>94.96038</v>
      </c>
      <c r="AP53" s="730">
        <f>'Inflation GDP Population'!AP3</f>
        <v>96.89805</v>
      </c>
      <c r="AQ53" s="730">
        <f>'Inflation GDP Population'!AQ3</f>
        <v>98.79292</v>
      </c>
      <c r="AR53" s="730">
        <f>'Inflation GDP Population'!AR3</f>
        <v>100.67492</v>
      </c>
      <c r="AS53" s="730">
        <f>'Inflation GDP Population'!AS3</f>
        <v>102.66981</v>
      </c>
      <c r="AT53" s="730">
        <f>'Inflation GDP Population'!AT3</f>
        <v>104.79814</v>
      </c>
      <c r="AU53" s="730">
        <f>'Inflation GDP Population'!AU3</f>
        <v>106.98113</v>
      </c>
      <c r="AV53" s="730">
        <f>'Inflation GDP Population'!AV3</f>
        <v>108.97938</v>
      </c>
      <c r="AW53" s="730">
        <f>'Inflation GDP Population'!AW3</f>
        <v>111.37462</v>
      </c>
      <c r="AX53" s="730">
        <f>'Inflation GDP Population'!AX3</f>
        <v>115.38931</v>
      </c>
      <c r="AY53" s="730">
        <f>'Inflation GDP Population'!AY3</f>
        <v>118.463</v>
      </c>
      <c r="AZ53" s="730">
        <f>'Inflation GDP Population'!AZ3</f>
        <v>120.87941</v>
      </c>
      <c r="BA53" s="730" t="str">
        <f>'Inflation GDP Population'!BA3</f>
        <v/>
      </c>
    </row>
    <row r="54" ht="15.0" customHeight="1">
      <c r="A54" s="535" t="s">
        <v>465</v>
      </c>
      <c r="B54" s="730">
        <f>'Inflation GDP Population'!B6</f>
        <v>249.4238174</v>
      </c>
      <c r="C54" s="730">
        <f>'Inflation GDP Population'!C6</f>
        <v>249.4238174</v>
      </c>
      <c r="D54" s="730">
        <f>'Inflation GDP Population'!D6</f>
        <v>212.30936</v>
      </c>
      <c r="E54" s="730">
        <f>'Inflation GDP Population'!E6</f>
        <v>237.6676023</v>
      </c>
      <c r="F54" s="730">
        <f>'Inflation GDP Population'!F6</f>
        <v>220.2350447</v>
      </c>
      <c r="G54" s="730">
        <f>'Inflation GDP Population'!G6</f>
        <v>209.1283615</v>
      </c>
      <c r="H54" s="730">
        <f>'Inflation GDP Population'!H6</f>
        <v>211.5976897</v>
      </c>
      <c r="I54" s="730">
        <f>'Inflation GDP Population'!I6</f>
        <v>188.0613369</v>
      </c>
      <c r="J54" s="730">
        <f>'Inflation GDP Population'!J6</f>
        <v>193.3226613</v>
      </c>
      <c r="K54" s="730">
        <f>'Inflation GDP Population'!K6</f>
        <v>199.4647867</v>
      </c>
      <c r="L54" s="730">
        <f>'Inflation GDP Population'!L6</f>
        <v>173.3129007</v>
      </c>
      <c r="M54" s="730">
        <f>'Inflation GDP Population'!M6</f>
        <v>178.3587562</v>
      </c>
      <c r="N54" s="730">
        <f>'Inflation GDP Population'!N6</f>
        <v>177.8197297</v>
      </c>
      <c r="O54" s="730">
        <f>'Inflation GDP Population'!O6</f>
        <v>169.9194103</v>
      </c>
      <c r="P54" s="730">
        <f>'Inflation GDP Population'!P6</f>
        <v>176.5802624</v>
      </c>
      <c r="Q54" s="730">
        <f>'Inflation GDP Population'!Q6</f>
        <v>173.8691726</v>
      </c>
      <c r="R54" s="730">
        <f>'Inflation GDP Population'!R6</f>
        <v>163.3411578</v>
      </c>
      <c r="S54" s="730">
        <f>'Inflation GDP Population'!S6</f>
        <v>167.6631308</v>
      </c>
      <c r="T54" s="730">
        <f>'Inflation GDP Population'!T6</f>
        <v>160.8228865</v>
      </c>
      <c r="U54" s="730">
        <f>'Inflation GDP Population'!U6</f>
        <v>161.4914818</v>
      </c>
      <c r="V54" s="730">
        <f>'Inflation GDP Population'!V6</f>
        <v>160</v>
      </c>
      <c r="W54" s="730">
        <f>'Inflation GDP Population'!W6</f>
        <v>157.3245068</v>
      </c>
      <c r="X54" s="730">
        <f>'Inflation GDP Population'!X6</f>
        <v>155.0376201</v>
      </c>
      <c r="Y54" s="730">
        <f>'Inflation GDP Population'!Y6</f>
        <v>153.7696714</v>
      </c>
      <c r="Z54" s="730">
        <f>'Inflation GDP Population'!Z6</f>
        <v>152.978696</v>
      </c>
      <c r="AA54" s="730">
        <f>'Inflation GDP Population'!AA6</f>
        <v>153.6263314</v>
      </c>
      <c r="AB54" s="730">
        <f>'Inflation GDP Population'!AB6</f>
        <v>152.6079753</v>
      </c>
      <c r="AC54" s="730">
        <f>'Inflation GDP Population'!AC6</f>
        <v>152.1810419</v>
      </c>
      <c r="AD54" s="730">
        <f>'Inflation GDP Population'!AD6</f>
        <v>151.583573</v>
      </c>
      <c r="AE54" s="730">
        <f>'Inflation GDP Population'!AE6</f>
        <v>151.1504162</v>
      </c>
      <c r="AF54" s="730">
        <f>'Inflation GDP Population'!AF6</f>
        <v>150.7060776</v>
      </c>
      <c r="AG54" s="730">
        <f>'Inflation GDP Population'!AG6</f>
        <v>150.429011</v>
      </c>
      <c r="AH54" s="730">
        <f>'Inflation GDP Population'!AH6</f>
        <v>149.5081038</v>
      </c>
      <c r="AI54" s="730">
        <f>'Inflation GDP Population'!AI6</f>
        <v>148.4772757</v>
      </c>
      <c r="AJ54" s="730">
        <f>'Inflation GDP Population'!AJ6</f>
        <v>147.4374414</v>
      </c>
      <c r="AK54" s="730">
        <f>'Inflation GDP Population'!AK6</f>
        <v>146.5917459</v>
      </c>
      <c r="AL54" s="730">
        <f>'Inflation GDP Population'!AL6</f>
        <v>146.280299</v>
      </c>
      <c r="AM54" s="730">
        <f>'Inflation GDP Population'!AM6</f>
        <v>145.8173915</v>
      </c>
      <c r="AN54" s="730">
        <f>'Inflation GDP Population'!AN6</f>
        <v>145.7640627</v>
      </c>
      <c r="AO54" s="730">
        <f>'Inflation GDP Population'!AO6</f>
        <v>145.6753671</v>
      </c>
      <c r="AP54" s="730">
        <f>'Inflation GDP Population'!AP6</f>
        <v>145.2844837</v>
      </c>
      <c r="AQ54" s="730">
        <f>'Inflation GDP Population'!AQ6</f>
        <v>144.7378136</v>
      </c>
      <c r="AR54" s="730">
        <f>'Inflation GDP Population'!AR6</f>
        <v>144.0922273</v>
      </c>
      <c r="AS54" s="730">
        <f>'Inflation GDP Population'!AS6</f>
        <v>143.5069521</v>
      </c>
      <c r="AT54" s="730">
        <f>'Inflation GDP Population'!AT6</f>
        <v>143.0178862</v>
      </c>
      <c r="AU54" s="730">
        <f>'Inflation GDP Population'!AU6</f>
        <v>142.5049387</v>
      </c>
      <c r="AV54" s="730">
        <f>'Inflation GDP Population'!AV6</f>
        <v>141.6906636</v>
      </c>
      <c r="AW54" s="730">
        <f>'Inflation GDP Population'!AW6</f>
        <v>141.2990719</v>
      </c>
      <c r="AX54" s="730">
        <f>'Inflation GDP Population'!AX6</f>
        <v>142.7951097</v>
      </c>
      <c r="AY54" s="730">
        <f>'Inflation GDP Population'!AY6</f>
        <v>142.995649</v>
      </c>
      <c r="AZ54" s="730">
        <f>'Inflation GDP Population'!AZ6</f>
        <v>142.2877531</v>
      </c>
      <c r="BA54" s="730" t="str">
        <f>'Inflation GDP Population'!BA6</f>
        <v/>
      </c>
    </row>
    <row r="55" ht="15.0" customHeight="1">
      <c r="A55" s="535" t="s">
        <v>130</v>
      </c>
      <c r="B55" s="730">
        <f>'Inflation GDP Population'!B7</f>
        <v>164.5391919</v>
      </c>
      <c r="C55" s="730">
        <f>'Inflation GDP Population'!C7</f>
        <v>164.5391919</v>
      </c>
      <c r="D55" s="730">
        <f>'Inflation GDP Population'!D7</f>
        <v>168.536365</v>
      </c>
      <c r="E55" s="730">
        <f>'Inflation GDP Population'!E7</f>
        <v>152.3738823</v>
      </c>
      <c r="F55" s="730">
        <f>'Inflation GDP Population'!F7</f>
        <v>185.2202182</v>
      </c>
      <c r="G55" s="730">
        <f>'Inflation GDP Population'!G7</f>
        <v>194.6048855</v>
      </c>
      <c r="H55" s="730">
        <f>'Inflation GDP Population'!H7</f>
        <v>235.6193578</v>
      </c>
      <c r="I55" s="730">
        <f>'Inflation GDP Population'!I7</f>
        <v>211.9838992</v>
      </c>
      <c r="J55" s="730">
        <f>'Inflation GDP Population'!J7</f>
        <v>215.459702</v>
      </c>
      <c r="K55" s="730">
        <f>'Inflation GDP Population'!K7</f>
        <v>249.3487786</v>
      </c>
      <c r="L55" s="730">
        <f>'Inflation GDP Population'!L7</f>
        <v>174.0976494</v>
      </c>
      <c r="M55" s="730">
        <f>'Inflation GDP Population'!M7</f>
        <v>180.0065141</v>
      </c>
      <c r="N55" s="730">
        <f>'Inflation GDP Population'!N7</f>
        <v>173.4024889</v>
      </c>
      <c r="O55" s="730">
        <f>'Inflation GDP Population'!O7</f>
        <v>149.9408204</v>
      </c>
      <c r="P55" s="730">
        <f>'Inflation GDP Population'!P7</f>
        <v>166.4508834</v>
      </c>
      <c r="Q55" s="730">
        <f>'Inflation GDP Population'!Q7</f>
        <v>178.616193</v>
      </c>
      <c r="R55" s="730">
        <f>'Inflation GDP Population'!R7</f>
        <v>147.1601782</v>
      </c>
      <c r="S55" s="730">
        <f>'Inflation GDP Population'!S7</f>
        <v>157.4927024</v>
      </c>
      <c r="T55" s="730">
        <f>'Inflation GDP Population'!T7</f>
        <v>153.731756</v>
      </c>
      <c r="U55" s="730">
        <f>'Inflation GDP Population'!U7</f>
        <v>157.8122599</v>
      </c>
      <c r="V55" s="730">
        <f>'Inflation GDP Population'!V7</f>
        <v>160</v>
      </c>
      <c r="W55" s="730">
        <f>'Inflation GDP Population'!W7</f>
        <v>161.2135516</v>
      </c>
      <c r="X55" s="730">
        <f>'Inflation GDP Population'!X7</f>
        <v>162.7020288</v>
      </c>
      <c r="Y55" s="730">
        <f>'Inflation GDP Population'!Y7</f>
        <v>165.3558172</v>
      </c>
      <c r="Z55" s="730">
        <f>'Inflation GDP Population'!Z7</f>
        <v>168.4986555</v>
      </c>
      <c r="AA55" s="730">
        <f>'Inflation GDP Population'!AA7</f>
        <v>173.2521157</v>
      </c>
      <c r="AB55" s="730">
        <f>'Inflation GDP Population'!AB7</f>
        <v>176.0495177</v>
      </c>
      <c r="AC55" s="730">
        <f>'Inflation GDP Population'!AC7</f>
        <v>179.5090412</v>
      </c>
      <c r="AD55" s="730">
        <f>'Inflation GDP Population'!AD7</f>
        <v>182.6619188</v>
      </c>
      <c r="AE55" s="730">
        <f>'Inflation GDP Population'!AE7</f>
        <v>186.0261398</v>
      </c>
      <c r="AF55" s="730">
        <f>'Inflation GDP Population'!AF7</f>
        <v>189.4614843</v>
      </c>
      <c r="AG55" s="730">
        <f>'Inflation GDP Population'!AG7</f>
        <v>193.2426184</v>
      </c>
      <c r="AH55" s="730">
        <f>'Inflation GDP Population'!AH7</f>
        <v>196.280162</v>
      </c>
      <c r="AI55" s="730">
        <f>'Inflation GDP Population'!AI7</f>
        <v>199.2590253</v>
      </c>
      <c r="AJ55" s="730">
        <f>'Inflation GDP Population'!AJ7</f>
        <v>202.2999861</v>
      </c>
      <c r="AK55" s="730">
        <f>'Inflation GDP Population'!AK7</f>
        <v>205.6934059</v>
      </c>
      <c r="AL55" s="730">
        <f>'Inflation GDP Population'!AL7</f>
        <v>209.9567085</v>
      </c>
      <c r="AM55" s="730">
        <f>'Inflation GDP Population'!AM7</f>
        <v>214.0891941</v>
      </c>
      <c r="AN55" s="730">
        <f>'Inflation GDP Population'!AN7</f>
        <v>218.8961735</v>
      </c>
      <c r="AO55" s="730">
        <f>'Inflation GDP Population'!AO7</f>
        <v>223.7874028</v>
      </c>
      <c r="AP55" s="730">
        <f>'Inflation GDP Population'!AP7</f>
        <v>228.3537929</v>
      </c>
      <c r="AQ55" s="730">
        <f>'Inflation GDP Population'!AQ7</f>
        <v>232.8193188</v>
      </c>
      <c r="AR55" s="730">
        <f>'Inflation GDP Population'!AR7</f>
        <v>237.2545147</v>
      </c>
      <c r="AS55" s="730">
        <f>'Inflation GDP Population'!AS7</f>
        <v>241.9557517</v>
      </c>
      <c r="AT55" s="730">
        <f>'Inflation GDP Population'!AT7</f>
        <v>246.9714587</v>
      </c>
      <c r="AU55" s="730">
        <f>'Inflation GDP Population'!AU7</f>
        <v>252.1159797</v>
      </c>
      <c r="AV55" s="730">
        <f>'Inflation GDP Population'!AV7</f>
        <v>256.825135</v>
      </c>
      <c r="AW55" s="730">
        <f>'Inflation GDP Population'!AW7</f>
        <v>262.4698527</v>
      </c>
      <c r="AX55" s="730">
        <f>'Inflation GDP Population'!AX7</f>
        <v>271.9310306</v>
      </c>
      <c r="AY55" s="730">
        <f>'Inflation GDP Population'!AY7</f>
        <v>279.1746105</v>
      </c>
      <c r="AZ55" s="730">
        <f>'Inflation GDP Population'!AZ7</f>
        <v>284.8692183</v>
      </c>
      <c r="BA55" s="730" t="str">
        <f>'Inflation GDP Population'!BA7</f>
        <v/>
      </c>
    </row>
    <row r="56" ht="15.0" customHeight="1">
      <c r="A56" s="535" t="s">
        <v>1058</v>
      </c>
      <c r="B56" s="546">
        <v>0.0</v>
      </c>
      <c r="C56" s="546">
        <v>0.0</v>
      </c>
      <c r="D56" s="546">
        <v>0.0</v>
      </c>
      <c r="E56" s="546">
        <v>0.0</v>
      </c>
      <c r="F56" s="546">
        <v>0.0</v>
      </c>
      <c r="G56" s="546">
        <v>0.0</v>
      </c>
      <c r="H56" s="546">
        <v>0.0</v>
      </c>
      <c r="I56" s="546">
        <f t="shared" ref="I56:U56" si="42">J56</f>
        <v>0.44</v>
      </c>
      <c r="J56" s="546">
        <f t="shared" si="42"/>
        <v>0.44</v>
      </c>
      <c r="K56" s="546">
        <f t="shared" si="42"/>
        <v>0.44</v>
      </c>
      <c r="L56" s="546">
        <f t="shared" si="42"/>
        <v>0.44</v>
      </c>
      <c r="M56" s="546">
        <f t="shared" si="42"/>
        <v>0.44</v>
      </c>
      <c r="N56" s="546">
        <f t="shared" si="42"/>
        <v>0.44</v>
      </c>
      <c r="O56" s="546">
        <f t="shared" si="42"/>
        <v>0.44</v>
      </c>
      <c r="P56" s="546">
        <f t="shared" si="42"/>
        <v>0.44</v>
      </c>
      <c r="Q56" s="546">
        <f t="shared" si="42"/>
        <v>0.44</v>
      </c>
      <c r="R56" s="546">
        <f t="shared" si="42"/>
        <v>0.44</v>
      </c>
      <c r="S56" s="546">
        <f t="shared" si="42"/>
        <v>0.44</v>
      </c>
      <c r="T56" s="546">
        <f t="shared" si="42"/>
        <v>0.44</v>
      </c>
      <c r="U56" s="546">
        <f t="shared" si="42"/>
        <v>0.44</v>
      </c>
      <c r="V56" s="547">
        <v>0.44</v>
      </c>
      <c r="W56" s="208">
        <f t="shared" ref="W56:AZ56" si="43">V56</f>
        <v>0.44</v>
      </c>
      <c r="X56" s="208">
        <f t="shared" si="43"/>
        <v>0.44</v>
      </c>
      <c r="Y56" s="208">
        <f t="shared" si="43"/>
        <v>0.44</v>
      </c>
      <c r="Z56" s="208">
        <f t="shared" si="43"/>
        <v>0.44</v>
      </c>
      <c r="AA56" s="208">
        <f t="shared" si="43"/>
        <v>0.44</v>
      </c>
      <c r="AB56" s="208">
        <f t="shared" si="43"/>
        <v>0.44</v>
      </c>
      <c r="AC56" s="208">
        <f t="shared" si="43"/>
        <v>0.44</v>
      </c>
      <c r="AD56" s="208">
        <f t="shared" si="43"/>
        <v>0.44</v>
      </c>
      <c r="AE56" s="208">
        <f t="shared" si="43"/>
        <v>0.44</v>
      </c>
      <c r="AF56" s="208">
        <f t="shared" si="43"/>
        <v>0.44</v>
      </c>
      <c r="AG56" s="208">
        <f t="shared" si="43"/>
        <v>0.44</v>
      </c>
      <c r="AH56" s="208">
        <f t="shared" si="43"/>
        <v>0.44</v>
      </c>
      <c r="AI56" s="208">
        <f t="shared" si="43"/>
        <v>0.44</v>
      </c>
      <c r="AJ56" s="208">
        <f t="shared" si="43"/>
        <v>0.44</v>
      </c>
      <c r="AK56" s="208">
        <f t="shared" si="43"/>
        <v>0.44</v>
      </c>
      <c r="AL56" s="208">
        <f t="shared" si="43"/>
        <v>0.44</v>
      </c>
      <c r="AM56" s="208">
        <f t="shared" si="43"/>
        <v>0.44</v>
      </c>
      <c r="AN56" s="208">
        <f t="shared" si="43"/>
        <v>0.44</v>
      </c>
      <c r="AO56" s="208">
        <f t="shared" si="43"/>
        <v>0.44</v>
      </c>
      <c r="AP56" s="208">
        <f t="shared" si="43"/>
        <v>0.44</v>
      </c>
      <c r="AQ56" s="208">
        <f t="shared" si="43"/>
        <v>0.44</v>
      </c>
      <c r="AR56" s="208">
        <f t="shared" si="43"/>
        <v>0.44</v>
      </c>
      <c r="AS56" s="208">
        <f t="shared" si="43"/>
        <v>0.44</v>
      </c>
      <c r="AT56" s="208">
        <f t="shared" si="43"/>
        <v>0.44</v>
      </c>
      <c r="AU56" s="208">
        <f t="shared" si="43"/>
        <v>0.44</v>
      </c>
      <c r="AV56" s="208">
        <f t="shared" si="43"/>
        <v>0.44</v>
      </c>
      <c r="AW56" s="208">
        <f t="shared" si="43"/>
        <v>0.44</v>
      </c>
      <c r="AX56" s="208">
        <f t="shared" si="43"/>
        <v>0.44</v>
      </c>
      <c r="AY56" s="208">
        <f t="shared" si="43"/>
        <v>0.44</v>
      </c>
      <c r="AZ56" s="208">
        <f t="shared" si="43"/>
        <v>0.44</v>
      </c>
      <c r="BA56" s="730" t="str">
        <f>'Inflation GDP Population'!BA8</f>
        <v/>
      </c>
    </row>
    <row r="57" ht="15.0" customHeight="1">
      <c r="A57" s="535" t="s">
        <v>466</v>
      </c>
      <c r="B57" s="730">
        <f>'Inflation GDP Population'!B8</f>
        <v>6.34685253</v>
      </c>
      <c r="C57" s="730">
        <f>'Inflation GDP Population'!C8</f>
        <v>5.551267802</v>
      </c>
      <c r="D57" s="730">
        <f>'Inflation GDP Population'!D8</f>
        <v>5.486848965</v>
      </c>
      <c r="E57" s="730">
        <f>'Inflation GDP Population'!E8</f>
        <v>6.330951198</v>
      </c>
      <c r="F57" s="730">
        <f>'Inflation GDP Population'!F8</f>
        <v>6.276479884</v>
      </c>
      <c r="G57" s="730">
        <f>'Inflation GDP Population'!G8</f>
        <v>7.27108295</v>
      </c>
      <c r="H57" s="730">
        <f>'Inflation GDP Population'!H8</f>
        <v>6.02950943</v>
      </c>
      <c r="I57" s="730">
        <f>'Inflation GDP Population'!I8</f>
        <v>6.269744202</v>
      </c>
      <c r="J57" s="730">
        <f>'Inflation GDP Population'!J8</f>
        <v>7.080855205</v>
      </c>
      <c r="K57" s="730">
        <f>'Inflation GDP Population'!K8</f>
        <v>4.691380281</v>
      </c>
      <c r="L57" s="730">
        <f>'Inflation GDP Population'!L8</f>
        <v>4.991517107</v>
      </c>
      <c r="M57" s="730">
        <f>'Inflation GDP Population'!M8</f>
        <v>4.793461167</v>
      </c>
      <c r="N57" s="730">
        <f>'Inflation GDP Population'!N8</f>
        <v>3.834794597</v>
      </c>
      <c r="O57" s="730">
        <f>'Inflation GDP Population'!O8</f>
        <v>4.553214705</v>
      </c>
      <c r="P57" s="730">
        <f>'Inflation GDP Population'!P8</f>
        <v>4.829307416</v>
      </c>
      <c r="Q57" s="730">
        <f>'Inflation GDP Population'!Q8</f>
        <v>3.58622687</v>
      </c>
      <c r="R57" s="730">
        <f>'Inflation GDP Population'!R8</f>
        <v>3.231343429</v>
      </c>
      <c r="S57" s="730">
        <f>'Inflation GDP Population'!S8</f>
        <v>3.52</v>
      </c>
      <c r="T57" s="730">
        <f>'Inflation GDP Population'!T8</f>
        <v>3.702076093</v>
      </c>
      <c r="U57" s="730">
        <f>'Inflation GDP Population'!U8</f>
        <v>4.15</v>
      </c>
      <c r="V57" s="730">
        <f>'Inflation GDP Population'!V8</f>
        <v>4.298561</v>
      </c>
      <c r="W57" s="730">
        <f>'Inflation GDP Population'!W8</f>
        <v>4.236145</v>
      </c>
      <c r="X57" s="730">
        <f>'Inflation GDP Population'!X8</f>
        <v>4.276676</v>
      </c>
      <c r="Y57" s="730">
        <f>'Inflation GDP Population'!Y8</f>
        <v>4.397644</v>
      </c>
      <c r="Z57" s="730">
        <f>'Inflation GDP Population'!Z8</f>
        <v>4.502593</v>
      </c>
      <c r="AA57" s="730">
        <f>'Inflation GDP Population'!AA8</f>
        <v>4.629785</v>
      </c>
      <c r="AB57" s="730">
        <f>'Inflation GDP Population'!AB8</f>
        <v>4.666312</v>
      </c>
      <c r="AC57" s="730">
        <f>'Inflation GDP Population'!AC8</f>
        <v>4.712379</v>
      </c>
      <c r="AD57" s="730">
        <f>'Inflation GDP Population'!AD8</f>
        <v>4.718735</v>
      </c>
      <c r="AE57" s="730">
        <f>'Inflation GDP Population'!AE8</f>
        <v>4.783057</v>
      </c>
      <c r="AF57" s="730">
        <f>'Inflation GDP Population'!AF8</f>
        <v>4.779624</v>
      </c>
      <c r="AG57" s="730">
        <f>'Inflation GDP Population'!AG8</f>
        <v>4.7722</v>
      </c>
      <c r="AH57" s="730">
        <f>'Inflation GDP Population'!AH8</f>
        <v>4.78775</v>
      </c>
      <c r="AI57" s="730">
        <f>'Inflation GDP Population'!AI8</f>
        <v>4.772704</v>
      </c>
      <c r="AJ57" s="730">
        <f>'Inflation GDP Population'!AJ8</f>
        <v>4.780309</v>
      </c>
      <c r="AK57" s="730">
        <f>'Inflation GDP Population'!AK8</f>
        <v>4.771749</v>
      </c>
      <c r="AL57" s="730">
        <f>'Inflation GDP Population'!AL8</f>
        <v>4.880927</v>
      </c>
      <c r="AM57" s="730">
        <f>'Inflation GDP Population'!AM8</f>
        <v>4.883202</v>
      </c>
      <c r="AN57" s="730">
        <f>'Inflation GDP Population'!AN8</f>
        <v>4.950775</v>
      </c>
      <c r="AO57" s="730">
        <f>'Inflation GDP Population'!AO8</f>
        <v>5.000374</v>
      </c>
      <c r="AP57" s="730">
        <f>'Inflation GDP Population'!AP8</f>
        <v>5.028854</v>
      </c>
      <c r="AQ57" s="730">
        <f>'Inflation GDP Population'!AQ8</f>
        <v>5.058542</v>
      </c>
      <c r="AR57" s="730">
        <f>'Inflation GDP Population'!AR8</f>
        <v>5.116796</v>
      </c>
      <c r="AS57" s="730">
        <f>'Inflation GDP Population'!AS8</f>
        <v>5.158176</v>
      </c>
      <c r="AT57" s="730">
        <f>'Inflation GDP Population'!AT8</f>
        <v>5.213727</v>
      </c>
      <c r="AU57" s="730">
        <f>'Inflation GDP Population'!AU8</f>
        <v>5.250476</v>
      </c>
      <c r="AV57" s="730">
        <f>'Inflation GDP Population'!AV8</f>
        <v>5.296925</v>
      </c>
      <c r="AW57" s="730">
        <f>'Inflation GDP Population'!AW8</f>
        <v>5.348631</v>
      </c>
      <c r="AX57" s="730">
        <f>'Inflation GDP Population'!AX8</f>
        <v>5.442715</v>
      </c>
      <c r="AY57" s="730">
        <f>'Inflation GDP Population'!AY8</f>
        <v>5.506172</v>
      </c>
      <c r="AZ57" s="730">
        <f>'Inflation GDP Population'!AZ8</f>
        <v>5.601576</v>
      </c>
      <c r="BA57" s="730" t="str">
        <f>'Inflation GDP Population'!BA9</f>
        <v/>
      </c>
    </row>
    <row r="58" ht="15.0" customHeight="1">
      <c r="A58" s="535" t="s">
        <v>467</v>
      </c>
      <c r="B58" s="730">
        <f>'Inflation GDP Population'!B9</f>
        <v>4.38</v>
      </c>
      <c r="C58" s="730">
        <f>'Inflation GDP Population'!C9</f>
        <v>4.61</v>
      </c>
      <c r="D58" s="730">
        <f>'Inflation GDP Population'!D9</f>
        <v>3.68</v>
      </c>
      <c r="E58" s="730">
        <f>'Inflation GDP Population'!E9</f>
        <v>5.57</v>
      </c>
      <c r="F58" s="730">
        <f>'Inflation GDP Population'!F9</f>
        <v>6.11</v>
      </c>
      <c r="G58" s="730">
        <f>'Inflation GDP Population'!G9</f>
        <v>8.47</v>
      </c>
      <c r="H58" s="730">
        <f>'Inflation GDP Population'!H9</f>
        <v>7.11</v>
      </c>
      <c r="I58" s="730">
        <f>'Inflation GDP Population'!I9</f>
        <v>7.31</v>
      </c>
      <c r="J58" s="730">
        <f>'Inflation GDP Population'!J9</f>
        <v>9.26</v>
      </c>
      <c r="K58" s="730">
        <f>'Inflation GDP Population'!K9</f>
        <v>4.93</v>
      </c>
      <c r="L58" s="730">
        <f>'Inflation GDP Population'!L9</f>
        <v>5.27</v>
      </c>
      <c r="M58" s="730">
        <f>'Inflation GDP Population'!M9</f>
        <v>4.89</v>
      </c>
      <c r="N58" s="730">
        <f>'Inflation GDP Population'!N9</f>
        <v>3.54</v>
      </c>
      <c r="O58" s="730">
        <f>'Inflation GDP Population'!O9</f>
        <v>4.49</v>
      </c>
      <c r="P58" s="730">
        <f>'Inflation GDP Population'!P9</f>
        <v>5.19</v>
      </c>
      <c r="Q58" s="730">
        <f>'Inflation GDP Population'!Q9</f>
        <v>3.38</v>
      </c>
      <c r="R58" s="730">
        <f>'Inflation GDP Population'!R9</f>
        <v>2.99</v>
      </c>
      <c r="S58" s="730">
        <f>'Inflation GDP Population'!S9</f>
        <v>3.52</v>
      </c>
      <c r="T58" s="730">
        <f>'Inflation GDP Population'!T9</f>
        <v>3.67</v>
      </c>
      <c r="U58" s="730">
        <f>'Inflation GDP Population'!U9</f>
        <v>3.389506</v>
      </c>
      <c r="V58" s="730">
        <f>'Inflation GDP Population'!V9</f>
        <v>3.520536</v>
      </c>
      <c r="W58" s="730">
        <f>'Inflation GDP Population'!W9</f>
        <v>3.464386</v>
      </c>
      <c r="X58" s="730">
        <f>'Inflation GDP Population'!X9</f>
        <v>3.522084</v>
      </c>
      <c r="Y58" s="730">
        <f>'Inflation GDP Population'!Y9</f>
        <v>3.696033</v>
      </c>
      <c r="Z58" s="730">
        <f>'Inflation GDP Population'!Z9</f>
        <v>3.927399</v>
      </c>
      <c r="AA58" s="730">
        <f>'Inflation GDP Population'!AA9</f>
        <v>4.160311</v>
      </c>
      <c r="AB58" s="730">
        <f>'Inflation GDP Population'!AB9</f>
        <v>4.229479</v>
      </c>
      <c r="AC58" s="730">
        <f>'Inflation GDP Population'!AC9</f>
        <v>4.237734</v>
      </c>
      <c r="AD58" s="730">
        <f>'Inflation GDP Population'!AD9</f>
        <v>4.317917</v>
      </c>
      <c r="AE58" s="730">
        <f>'Inflation GDP Population'!AE9</f>
        <v>4.311646</v>
      </c>
      <c r="AF58" s="730">
        <f>'Inflation GDP Population'!AF9</f>
        <v>4.350857</v>
      </c>
      <c r="AG58" s="730">
        <f>'Inflation GDP Population'!AG9</f>
        <v>4.340893</v>
      </c>
      <c r="AH58" s="730">
        <f>'Inflation GDP Population'!AH9</f>
        <v>4.497461</v>
      </c>
      <c r="AI58" s="730">
        <f>'Inflation GDP Population'!AI9</f>
        <v>4.554608</v>
      </c>
      <c r="AJ58" s="730">
        <f>'Inflation GDP Population'!AJ9</f>
        <v>4.596917</v>
      </c>
      <c r="AK58" s="730">
        <f>'Inflation GDP Population'!AK9</f>
        <v>4.635284</v>
      </c>
      <c r="AL58" s="730">
        <f>'Inflation GDP Population'!AL9</f>
        <v>4.712005</v>
      </c>
      <c r="AM58" s="730">
        <f>'Inflation GDP Population'!AM9</f>
        <v>4.72262</v>
      </c>
      <c r="AN58" s="730">
        <f>'Inflation GDP Population'!AN9</f>
        <v>4.721988</v>
      </c>
      <c r="AO58" s="730">
        <f>'Inflation GDP Population'!AO9</f>
        <v>4.741103</v>
      </c>
      <c r="AP58" s="730">
        <f>'Inflation GDP Population'!AP9</f>
        <v>4.813247</v>
      </c>
      <c r="AQ58" s="730">
        <f>'Inflation GDP Population'!AQ9</f>
        <v>4.79296</v>
      </c>
      <c r="AR58" s="730">
        <f>'Inflation GDP Population'!AR9</f>
        <v>4.837607</v>
      </c>
      <c r="AS58" s="730">
        <f>'Inflation GDP Population'!AS9</f>
        <v>4.901737</v>
      </c>
      <c r="AT58" s="730">
        <f>'Inflation GDP Population'!AT9</f>
        <v>4.994954</v>
      </c>
      <c r="AU58" s="730">
        <f>'Inflation GDP Population'!AU9</f>
        <v>5.069455</v>
      </c>
      <c r="AV58" s="730">
        <f>'Inflation GDP Population'!AV9</f>
        <v>5.125962</v>
      </c>
      <c r="AW58" s="730">
        <f>'Inflation GDP Population'!AW9</f>
        <v>5.20346</v>
      </c>
      <c r="AX58" s="730">
        <f>'Inflation GDP Population'!AX9</f>
        <v>5.352344</v>
      </c>
      <c r="AY58" s="730">
        <f>'Inflation GDP Population'!AY9</f>
        <v>5.447791</v>
      </c>
      <c r="AZ58" s="730">
        <f>'Inflation GDP Population'!AZ9</f>
        <v>5.539145</v>
      </c>
      <c r="BA58" s="730" t="str">
        <f>'Inflation GDP Population'!BA10</f>
        <v/>
      </c>
    </row>
    <row r="59" ht="15.75" customHeight="1">
      <c r="A59" s="535" t="s">
        <v>137</v>
      </c>
      <c r="B59" s="720">
        <f>C59</f>
        <v>0</v>
      </c>
      <c r="C59" s="720">
        <f>'Inflation GDP Population'!C11-'Inflation GDP Population'!B11</f>
        <v>0</v>
      </c>
      <c r="D59" s="720">
        <f>'Inflation GDP Population'!D11-'Inflation GDP Population'!C11</f>
        <v>0</v>
      </c>
      <c r="E59" s="720">
        <f>'Inflation GDP Population'!E11-'Inflation GDP Population'!D11</f>
        <v>0</v>
      </c>
      <c r="F59" s="720">
        <f>'Inflation GDP Population'!F11-'Inflation GDP Population'!E11</f>
        <v>0.01699083389</v>
      </c>
      <c r="G59" s="720">
        <f>'Inflation GDP Population'!G11-'Inflation GDP Population'!F11</f>
        <v>0.03062821373</v>
      </c>
      <c r="H59" s="720">
        <f>'Inflation GDP Population'!H11-'Inflation GDP Population'!G11</f>
        <v>0.05371115582</v>
      </c>
      <c r="I59" s="720">
        <f>'Inflation GDP Population'!I11-'Inflation GDP Population'!H11</f>
        <v>0.02520679633</v>
      </c>
      <c r="J59" s="720">
        <f>'Inflation GDP Population'!J11-'Inflation GDP Population'!I11</f>
        <v>0.03996199419</v>
      </c>
      <c r="K59" s="720">
        <f>'Inflation GDP Population'!K11-'Inflation GDP Population'!J11</f>
        <v>0.01939414263</v>
      </c>
      <c r="L59" s="720">
        <f>'Inflation GDP Population'!L11-'Inflation GDP Population'!K11</f>
        <v>0.01928236083</v>
      </c>
      <c r="M59" s="720">
        <f>'Inflation GDP Population'!M11-'Inflation GDP Population'!L11</f>
        <v>0.02241225129</v>
      </c>
      <c r="N59" s="720">
        <f>'Inflation GDP Population'!N11-'Inflation GDP Population'!M11</f>
        <v>0.009445562262</v>
      </c>
      <c r="O59" s="720">
        <f>'Inflation GDP Population'!O11-'Inflation GDP Population'!N11</f>
        <v>0.01263134362</v>
      </c>
      <c r="P59" s="720">
        <f>'Inflation GDP Population'!P11-'Inflation GDP Population'!O11</f>
        <v>0.0348200313</v>
      </c>
      <c r="Q59" s="720">
        <f>'Inflation GDP Population'!Q11-'Inflation GDP Population'!P11</f>
        <v>0.01620836128</v>
      </c>
      <c r="R59" s="720">
        <f>'Inflation GDP Population'!R11-'Inflation GDP Population'!Q11</f>
        <v>-0.01061927118</v>
      </c>
      <c r="S59" s="720">
        <f>'Inflation GDP Population'!S11-'Inflation GDP Population'!R11</f>
        <v>0.03923541247</v>
      </c>
      <c r="T59" s="720">
        <f>'Inflation GDP Population'!T11-'Inflation GDP Population'!S11</f>
        <v>0.01263134362</v>
      </c>
      <c r="U59" s="720">
        <f>$V$59</f>
        <v>0.01989423738</v>
      </c>
      <c r="V59" s="669">
        <f>Inputs!B21</f>
        <v>0.01989423738</v>
      </c>
      <c r="W59" s="710">
        <f t="shared" ref="W59:AZ59" si="44">V59</f>
        <v>0.01989423738</v>
      </c>
      <c r="X59" s="710">
        <f t="shared" si="44"/>
        <v>0.01989423738</v>
      </c>
      <c r="Y59" s="710">
        <f t="shared" si="44"/>
        <v>0.01989423738</v>
      </c>
      <c r="Z59" s="710">
        <f t="shared" si="44"/>
        <v>0.01989423738</v>
      </c>
      <c r="AA59" s="710">
        <f t="shared" si="44"/>
        <v>0.01989423738</v>
      </c>
      <c r="AB59" s="710">
        <f t="shared" si="44"/>
        <v>0.01989423738</v>
      </c>
      <c r="AC59" s="710">
        <f t="shared" si="44"/>
        <v>0.01989423738</v>
      </c>
      <c r="AD59" s="710">
        <f t="shared" si="44"/>
        <v>0.01989423738</v>
      </c>
      <c r="AE59" s="710">
        <f t="shared" si="44"/>
        <v>0.01989423738</v>
      </c>
      <c r="AF59" s="710">
        <f t="shared" si="44"/>
        <v>0.01989423738</v>
      </c>
      <c r="AG59" s="710">
        <f t="shared" si="44"/>
        <v>0.01989423738</v>
      </c>
      <c r="AH59" s="710">
        <f t="shared" si="44"/>
        <v>0.01989423738</v>
      </c>
      <c r="AI59" s="710">
        <f t="shared" si="44"/>
        <v>0.01989423738</v>
      </c>
      <c r="AJ59" s="710">
        <f t="shared" si="44"/>
        <v>0.01989423738</v>
      </c>
      <c r="AK59" s="710">
        <f t="shared" si="44"/>
        <v>0.01989423738</v>
      </c>
      <c r="AL59" s="710">
        <f t="shared" si="44"/>
        <v>0.01989423738</v>
      </c>
      <c r="AM59" s="710">
        <f t="shared" si="44"/>
        <v>0.01989423738</v>
      </c>
      <c r="AN59" s="710">
        <f t="shared" si="44"/>
        <v>0.01989423738</v>
      </c>
      <c r="AO59" s="710">
        <f t="shared" si="44"/>
        <v>0.01989423738</v>
      </c>
      <c r="AP59" s="710">
        <f t="shared" si="44"/>
        <v>0.01989423738</v>
      </c>
      <c r="AQ59" s="710">
        <f t="shared" si="44"/>
        <v>0.01989423738</v>
      </c>
      <c r="AR59" s="710">
        <f t="shared" si="44"/>
        <v>0.01989423738</v>
      </c>
      <c r="AS59" s="710">
        <f t="shared" si="44"/>
        <v>0.01989423738</v>
      </c>
      <c r="AT59" s="710">
        <f t="shared" si="44"/>
        <v>0.01989423738</v>
      </c>
      <c r="AU59" s="710">
        <f t="shared" si="44"/>
        <v>0.01989423738</v>
      </c>
      <c r="AV59" s="710">
        <f t="shared" si="44"/>
        <v>0.01989423738</v>
      </c>
      <c r="AW59" s="710">
        <f t="shared" si="44"/>
        <v>0.01989423738</v>
      </c>
      <c r="AX59" s="710">
        <f t="shared" si="44"/>
        <v>0.01989423738</v>
      </c>
      <c r="AY59" s="710">
        <f t="shared" si="44"/>
        <v>0.01989423738</v>
      </c>
      <c r="AZ59" s="710">
        <f t="shared" si="44"/>
        <v>0.01989423738</v>
      </c>
      <c r="BA59" s="730" t="str">
        <f>'Inflation GDP Population'!BA11</f>
        <v/>
      </c>
    </row>
    <row r="60" ht="15.75" customHeight="1">
      <c r="A60" s="535"/>
      <c r="B60" s="535"/>
      <c r="C60" s="535"/>
      <c r="D60" s="535"/>
      <c r="E60" s="535"/>
      <c r="F60" s="535"/>
      <c r="G60" s="535"/>
      <c r="H60" s="535"/>
      <c r="I60" s="535"/>
      <c r="J60" s="535"/>
      <c r="K60" s="535"/>
      <c r="L60" s="535"/>
      <c r="M60" s="535"/>
      <c r="N60" s="535"/>
      <c r="O60" s="535"/>
      <c r="P60" s="535"/>
      <c r="Q60" s="535"/>
      <c r="R60" s="535"/>
      <c r="S60" s="535"/>
      <c r="T60" s="535"/>
      <c r="U60" s="535"/>
      <c r="V60" s="766"/>
      <c r="W60" s="710"/>
      <c r="X60" s="710"/>
      <c r="Y60" s="710"/>
      <c r="Z60" s="710"/>
      <c r="AA60" s="710"/>
      <c r="AB60" s="710"/>
      <c r="AC60" s="710"/>
      <c r="AD60" s="710"/>
      <c r="AE60" s="710"/>
      <c r="AF60" s="710"/>
      <c r="AG60" s="710"/>
      <c r="AH60" s="710"/>
      <c r="AI60" s="710"/>
      <c r="AJ60" s="710"/>
      <c r="AK60" s="710"/>
      <c r="AL60" s="710"/>
      <c r="AM60" s="710"/>
      <c r="AN60" s="710"/>
      <c r="AO60" s="710"/>
      <c r="AP60" s="710"/>
      <c r="AQ60" s="710"/>
      <c r="AR60" s="710"/>
      <c r="AS60" s="710"/>
      <c r="AT60" s="710"/>
      <c r="AU60" s="710"/>
      <c r="AV60" s="710"/>
      <c r="AW60" s="710"/>
      <c r="AX60" s="710"/>
      <c r="AY60" s="710"/>
      <c r="AZ60" s="710"/>
    </row>
    <row r="61" ht="15.75" customHeight="1">
      <c r="A61" s="535"/>
      <c r="B61" s="535"/>
      <c r="C61" s="535"/>
      <c r="D61" s="535"/>
      <c r="E61" s="535"/>
      <c r="F61" s="535"/>
      <c r="G61" s="535"/>
      <c r="H61" s="535"/>
      <c r="I61" s="535"/>
      <c r="J61" s="535"/>
      <c r="K61" s="535"/>
      <c r="L61" s="535"/>
      <c r="M61" s="535"/>
      <c r="N61" s="535"/>
      <c r="O61" s="535"/>
      <c r="P61" s="535"/>
      <c r="Q61" s="535"/>
      <c r="R61" s="535"/>
      <c r="S61" s="535"/>
      <c r="T61" s="535"/>
      <c r="U61" s="535"/>
      <c r="V61" s="141"/>
      <c r="W61" s="710"/>
      <c r="X61" s="710"/>
      <c r="Y61" s="710"/>
      <c r="Z61" s="710"/>
      <c r="AA61" s="710"/>
      <c r="AB61" s="710"/>
      <c r="AC61" s="710"/>
      <c r="AD61" s="710"/>
      <c r="AE61" s="710"/>
      <c r="AF61" s="710"/>
      <c r="AG61" s="710"/>
      <c r="AH61" s="710"/>
      <c r="AI61" s="710"/>
      <c r="AJ61" s="710"/>
      <c r="AK61" s="710"/>
      <c r="AL61" s="710"/>
      <c r="AM61" s="710"/>
      <c r="AN61" s="710"/>
      <c r="AO61" s="710"/>
      <c r="AP61" s="710"/>
      <c r="AQ61" s="710"/>
      <c r="AR61" s="710"/>
      <c r="AS61" s="710"/>
      <c r="AT61" s="710"/>
      <c r="AU61" s="710"/>
      <c r="AV61" s="710"/>
      <c r="AW61" s="710"/>
      <c r="AX61" s="710"/>
      <c r="AY61" s="710"/>
      <c r="AZ61" s="710"/>
    </row>
    <row r="62" ht="15.75" customHeight="1">
      <c r="A62" s="535"/>
      <c r="B62" s="535"/>
      <c r="C62" s="535"/>
      <c r="D62" s="535"/>
      <c r="E62" s="535"/>
      <c r="F62" s="535"/>
      <c r="G62" s="535"/>
      <c r="H62" s="535"/>
      <c r="I62" s="535"/>
      <c r="J62" s="535"/>
      <c r="K62" s="535"/>
      <c r="L62" s="535"/>
      <c r="M62" s="535"/>
      <c r="N62" s="535"/>
      <c r="O62" s="535"/>
      <c r="P62" s="535"/>
      <c r="Q62" s="535"/>
      <c r="R62" s="535"/>
      <c r="S62" s="535"/>
      <c r="T62" s="535"/>
      <c r="U62" s="535"/>
      <c r="V62" s="141"/>
    </row>
    <row r="63" ht="15.75" customHeight="1">
      <c r="A63" s="403" t="s">
        <v>1059</v>
      </c>
      <c r="B63" s="38"/>
      <c r="C63" s="38"/>
      <c r="D63" s="38"/>
      <c r="E63" s="38"/>
      <c r="F63" s="38"/>
      <c r="G63" s="38"/>
      <c r="H63" s="38"/>
      <c r="I63" s="38"/>
      <c r="J63" s="38"/>
      <c r="K63" s="38"/>
      <c r="L63" s="38"/>
      <c r="M63" s="38"/>
      <c r="N63" s="38"/>
      <c r="O63" s="38"/>
      <c r="P63" s="38"/>
      <c r="Q63" s="38"/>
      <c r="R63" s="38"/>
      <c r="S63" s="38"/>
      <c r="T63" s="38"/>
      <c r="U63" s="38"/>
      <c r="V63" s="32"/>
      <c r="W63" s="252">
        <f t="shared" ref="W63:AZ63" si="45">W64+W189</f>
        <v>5302.9</v>
      </c>
      <c r="X63" s="252">
        <f t="shared" si="45"/>
        <v>768.2</v>
      </c>
      <c r="Y63" s="252">
        <f t="shared" si="45"/>
        <v>578</v>
      </c>
      <c r="Z63" s="252">
        <f t="shared" si="45"/>
        <v>1014</v>
      </c>
      <c r="AA63" s="252">
        <f t="shared" si="45"/>
        <v>2261.4</v>
      </c>
      <c r="AB63" s="252">
        <f t="shared" si="45"/>
        <v>28.8</v>
      </c>
      <c r="AC63" s="252">
        <f t="shared" si="45"/>
        <v>28.8</v>
      </c>
      <c r="AD63" s="252">
        <f t="shared" si="45"/>
        <v>0</v>
      </c>
      <c r="AE63" s="252">
        <f t="shared" si="45"/>
        <v>12</v>
      </c>
      <c r="AF63" s="252">
        <f t="shared" si="45"/>
        <v>55.2</v>
      </c>
      <c r="AG63" s="252">
        <f t="shared" si="45"/>
        <v>71.2</v>
      </c>
      <c r="AH63" s="252">
        <f t="shared" si="45"/>
        <v>128.9</v>
      </c>
      <c r="AI63" s="252">
        <f t="shared" si="45"/>
        <v>233.3</v>
      </c>
      <c r="AJ63" s="252">
        <f t="shared" si="45"/>
        <v>232.7</v>
      </c>
      <c r="AK63" s="252">
        <f t="shared" si="45"/>
        <v>321.2</v>
      </c>
      <c r="AL63" s="252">
        <f t="shared" si="45"/>
        <v>2329.6</v>
      </c>
      <c r="AM63" s="252">
        <f t="shared" si="45"/>
        <v>3035</v>
      </c>
      <c r="AN63" s="252">
        <f t="shared" si="45"/>
        <v>6868.7</v>
      </c>
      <c r="AO63" s="252">
        <f t="shared" si="45"/>
        <v>8506.5</v>
      </c>
      <c r="AP63" s="252">
        <f t="shared" si="45"/>
        <v>2474.3</v>
      </c>
      <c r="AQ63" s="252">
        <f t="shared" si="45"/>
        <v>1502.8</v>
      </c>
      <c r="AR63" s="252">
        <f t="shared" si="45"/>
        <v>889.4</v>
      </c>
      <c r="AS63" s="252">
        <f t="shared" si="45"/>
        <v>23</v>
      </c>
      <c r="AT63" s="252">
        <f t="shared" si="45"/>
        <v>1766.8</v>
      </c>
      <c r="AU63" s="252">
        <f t="shared" si="45"/>
        <v>2127.9</v>
      </c>
      <c r="AV63" s="252">
        <f t="shared" si="45"/>
        <v>2208.6</v>
      </c>
      <c r="AW63" s="252">
        <f t="shared" si="45"/>
        <v>2599.2</v>
      </c>
      <c r="AX63" s="252">
        <f t="shared" si="45"/>
        <v>4712.8</v>
      </c>
      <c r="AY63" s="252">
        <f t="shared" si="45"/>
        <v>1905.2</v>
      </c>
      <c r="AZ63" s="252">
        <f t="shared" si="45"/>
        <v>7493.2</v>
      </c>
      <c r="BA63" s="252">
        <f t="shared" ref="BA63:BB63" si="46">BA64+BA133</f>
        <v>0</v>
      </c>
      <c r="BB63" s="252">
        <f t="shared" si="46"/>
        <v>0</v>
      </c>
    </row>
    <row r="64" ht="15.75" customHeight="1">
      <c r="A64" s="728" t="s">
        <v>1060</v>
      </c>
      <c r="B64" s="403"/>
      <c r="C64" s="403"/>
      <c r="D64" s="403"/>
      <c r="E64" s="403"/>
      <c r="F64" s="403"/>
      <c r="G64" s="403"/>
      <c r="H64" s="403"/>
      <c r="I64" s="403"/>
      <c r="J64" s="403"/>
      <c r="K64" s="403"/>
      <c r="L64" s="403"/>
      <c r="M64" s="403"/>
      <c r="N64" s="403"/>
      <c r="O64" s="403"/>
      <c r="P64" s="403"/>
      <c r="Q64" s="403"/>
      <c r="R64" s="403"/>
      <c r="S64" s="403"/>
      <c r="T64" s="403"/>
      <c r="U64" s="403"/>
      <c r="V64" s="32"/>
      <c r="W64" s="742">
        <f t="shared" ref="W64:BB64" si="47">SUM(W66:W154)</f>
        <v>564.1</v>
      </c>
      <c r="X64" s="742">
        <f t="shared" si="47"/>
        <v>0</v>
      </c>
      <c r="Y64" s="742">
        <f t="shared" si="47"/>
        <v>0</v>
      </c>
      <c r="Z64" s="742">
        <f t="shared" si="47"/>
        <v>73</v>
      </c>
      <c r="AA64" s="742">
        <f t="shared" si="47"/>
        <v>0</v>
      </c>
      <c r="AB64" s="742">
        <f t="shared" si="47"/>
        <v>0</v>
      </c>
      <c r="AC64" s="742">
        <f t="shared" si="47"/>
        <v>0</v>
      </c>
      <c r="AD64" s="742">
        <f t="shared" si="47"/>
        <v>0</v>
      </c>
      <c r="AE64" s="742">
        <f t="shared" si="47"/>
        <v>12</v>
      </c>
      <c r="AF64" s="742">
        <f t="shared" si="47"/>
        <v>55.2</v>
      </c>
      <c r="AG64" s="742">
        <f t="shared" si="47"/>
        <v>0</v>
      </c>
      <c r="AH64" s="742">
        <f t="shared" si="47"/>
        <v>113</v>
      </c>
      <c r="AI64" s="742">
        <f t="shared" si="47"/>
        <v>216.5</v>
      </c>
      <c r="AJ64" s="742">
        <f t="shared" si="47"/>
        <v>207.7</v>
      </c>
      <c r="AK64" s="742">
        <f t="shared" si="47"/>
        <v>219.5</v>
      </c>
      <c r="AL64" s="742">
        <f t="shared" si="47"/>
        <v>2279.2</v>
      </c>
      <c r="AM64" s="742">
        <f t="shared" si="47"/>
        <v>3035</v>
      </c>
      <c r="AN64" s="742">
        <f t="shared" si="47"/>
        <v>6868.7</v>
      </c>
      <c r="AO64" s="742">
        <f t="shared" si="47"/>
        <v>8469.4</v>
      </c>
      <c r="AP64" s="742">
        <f t="shared" si="47"/>
        <v>2474.3</v>
      </c>
      <c r="AQ64" s="742">
        <f t="shared" si="47"/>
        <v>1376.6</v>
      </c>
      <c r="AR64" s="742">
        <f t="shared" si="47"/>
        <v>850.5</v>
      </c>
      <c r="AS64" s="742">
        <f t="shared" si="47"/>
        <v>0</v>
      </c>
      <c r="AT64" s="742">
        <f t="shared" si="47"/>
        <v>688.1</v>
      </c>
      <c r="AU64" s="742">
        <f t="shared" si="47"/>
        <v>0</v>
      </c>
      <c r="AV64" s="742">
        <f t="shared" si="47"/>
        <v>1427.2</v>
      </c>
      <c r="AW64" s="742">
        <f t="shared" si="47"/>
        <v>2191.4</v>
      </c>
      <c r="AX64" s="742">
        <f t="shared" si="47"/>
        <v>4461.8</v>
      </c>
      <c r="AY64" s="742">
        <f t="shared" si="47"/>
        <v>730</v>
      </c>
      <c r="AZ64" s="742">
        <f t="shared" si="47"/>
        <v>840</v>
      </c>
      <c r="BA64" s="742">
        <f t="shared" si="47"/>
        <v>0</v>
      </c>
      <c r="BB64" s="742">
        <f t="shared" si="47"/>
        <v>0</v>
      </c>
    </row>
    <row r="65" ht="15.75" customHeight="1">
      <c r="A65" s="733" t="s">
        <v>1012</v>
      </c>
      <c r="B65" s="733"/>
      <c r="C65" s="733"/>
      <c r="D65" s="733"/>
      <c r="E65" s="733"/>
      <c r="F65" s="733"/>
      <c r="G65" s="733"/>
      <c r="H65" s="733"/>
      <c r="I65" s="733"/>
      <c r="J65" s="733"/>
      <c r="K65" s="733"/>
      <c r="L65" s="733"/>
      <c r="M65" s="733"/>
      <c r="N65" s="733"/>
      <c r="O65" s="733"/>
      <c r="P65" s="733"/>
      <c r="Q65" s="733"/>
      <c r="R65" s="733"/>
      <c r="S65" s="734" t="s">
        <v>1013</v>
      </c>
      <c r="T65" s="735" t="s">
        <v>1014</v>
      </c>
      <c r="U65" s="733"/>
      <c r="V65" s="767" t="s">
        <v>1061</v>
      </c>
      <c r="W65" s="557">
        <v>2020.0</v>
      </c>
      <c r="X65" s="557">
        <v>2021.0</v>
      </c>
      <c r="Y65" s="557">
        <v>2022.0</v>
      </c>
      <c r="Z65" s="557">
        <v>2023.0</v>
      </c>
      <c r="AA65" s="557">
        <v>2024.0</v>
      </c>
      <c r="AB65" s="557">
        <v>2025.0</v>
      </c>
      <c r="AC65" s="557">
        <v>2026.0</v>
      </c>
      <c r="AD65" s="557">
        <v>2027.0</v>
      </c>
      <c r="AE65" s="557">
        <v>2028.0</v>
      </c>
      <c r="AF65" s="557">
        <v>2029.0</v>
      </c>
      <c r="AG65" s="557">
        <v>2030.0</v>
      </c>
      <c r="AH65" s="557">
        <v>2031.0</v>
      </c>
      <c r="AI65" s="557">
        <v>2032.0</v>
      </c>
      <c r="AJ65" s="557">
        <v>2033.0</v>
      </c>
      <c r="AK65" s="557">
        <v>2034.0</v>
      </c>
      <c r="AL65" s="557">
        <v>2035.0</v>
      </c>
      <c r="AM65" s="557">
        <v>2036.0</v>
      </c>
      <c r="AN65" s="557">
        <v>2037.0</v>
      </c>
      <c r="AO65" s="557">
        <v>2038.0</v>
      </c>
      <c r="AP65" s="557">
        <v>2039.0</v>
      </c>
      <c r="AQ65" s="557">
        <v>2040.0</v>
      </c>
      <c r="AR65" s="557">
        <v>2041.0</v>
      </c>
      <c r="AS65" s="557">
        <v>2042.0</v>
      </c>
      <c r="AT65" s="557">
        <v>2043.0</v>
      </c>
      <c r="AU65" s="557">
        <v>2044.0</v>
      </c>
      <c r="AV65" s="557">
        <v>2045.0</v>
      </c>
      <c r="AW65" s="557">
        <v>2046.0</v>
      </c>
      <c r="AX65" s="557">
        <v>2047.0</v>
      </c>
      <c r="AY65" s="557">
        <v>2048.0</v>
      </c>
      <c r="AZ65" s="557">
        <v>2049.0</v>
      </c>
      <c r="BA65" s="557">
        <v>2050.0</v>
      </c>
    </row>
    <row r="66" ht="15.75" customHeight="1">
      <c r="A66" s="768">
        <v>1930.0</v>
      </c>
      <c r="B66" s="38"/>
      <c r="C66" s="38"/>
      <c r="D66" s="38"/>
      <c r="E66" s="38"/>
      <c r="F66" s="38"/>
      <c r="G66" s="38"/>
      <c r="H66" s="38"/>
      <c r="I66" s="38"/>
      <c r="J66" s="38"/>
      <c r="K66" s="38"/>
      <c r="L66" s="38"/>
      <c r="M66" s="38"/>
      <c r="N66" s="38"/>
      <c r="O66" s="38"/>
      <c r="P66" s="38"/>
      <c r="Q66" s="38"/>
      <c r="R66" s="38"/>
      <c r="S66" s="740">
        <v>1930.0</v>
      </c>
      <c r="T66" s="740">
        <v>5.8</v>
      </c>
      <c r="U66" s="38"/>
      <c r="V66" s="769">
        <v>0.0</v>
      </c>
      <c r="W66" s="252">
        <f t="shared" ref="W66:W186" si="49">IF(W$65-$A66&gt;$V$44,$V66,0)</f>
        <v>0</v>
      </c>
      <c r="X66" s="252">
        <f t="shared" ref="X66:BB66" si="48">IF(AND(X$190-$A66&gt;$V$44,SUM($W66:W66)&lt;&gt;$V66),$V66,0)</f>
        <v>0</v>
      </c>
      <c r="Y66" s="252">
        <f t="shared" si="48"/>
        <v>0</v>
      </c>
      <c r="Z66" s="252">
        <f t="shared" si="48"/>
        <v>0</v>
      </c>
      <c r="AA66" s="252">
        <f t="shared" si="48"/>
        <v>0</v>
      </c>
      <c r="AB66" s="252">
        <f t="shared" si="48"/>
        <v>0</v>
      </c>
      <c r="AC66" s="252">
        <f t="shared" si="48"/>
        <v>0</v>
      </c>
      <c r="AD66" s="252">
        <f t="shared" si="48"/>
        <v>0</v>
      </c>
      <c r="AE66" s="252">
        <f t="shared" si="48"/>
        <v>0</v>
      </c>
      <c r="AF66" s="252">
        <f t="shared" si="48"/>
        <v>0</v>
      </c>
      <c r="AG66" s="252">
        <f t="shared" si="48"/>
        <v>0</v>
      </c>
      <c r="AH66" s="252">
        <f t="shared" si="48"/>
        <v>0</v>
      </c>
      <c r="AI66" s="252">
        <f t="shared" si="48"/>
        <v>0</v>
      </c>
      <c r="AJ66" s="252">
        <f t="shared" si="48"/>
        <v>0</v>
      </c>
      <c r="AK66" s="252">
        <f t="shared" si="48"/>
        <v>0</v>
      </c>
      <c r="AL66" s="252">
        <f t="shared" si="48"/>
        <v>0</v>
      </c>
      <c r="AM66" s="252">
        <f t="shared" si="48"/>
        <v>0</v>
      </c>
      <c r="AN66" s="252">
        <f t="shared" si="48"/>
        <v>0</v>
      </c>
      <c r="AO66" s="252">
        <f t="shared" si="48"/>
        <v>0</v>
      </c>
      <c r="AP66" s="252">
        <f t="shared" si="48"/>
        <v>0</v>
      </c>
      <c r="AQ66" s="252">
        <f t="shared" si="48"/>
        <v>0</v>
      </c>
      <c r="AR66" s="252">
        <f t="shared" si="48"/>
        <v>0</v>
      </c>
      <c r="AS66" s="252">
        <f t="shared" si="48"/>
        <v>0</v>
      </c>
      <c r="AT66" s="252">
        <f t="shared" si="48"/>
        <v>0</v>
      </c>
      <c r="AU66" s="252">
        <f t="shared" si="48"/>
        <v>0</v>
      </c>
      <c r="AV66" s="252">
        <f t="shared" si="48"/>
        <v>0</v>
      </c>
      <c r="AW66" s="252">
        <f t="shared" si="48"/>
        <v>0</v>
      </c>
      <c r="AX66" s="252">
        <f t="shared" si="48"/>
        <v>0</v>
      </c>
      <c r="AY66" s="252">
        <f t="shared" si="48"/>
        <v>0</v>
      </c>
      <c r="AZ66" s="252">
        <f t="shared" si="48"/>
        <v>0</v>
      </c>
      <c r="BA66" s="252">
        <f t="shared" si="48"/>
        <v>0</v>
      </c>
      <c r="BB66" s="252">
        <f t="shared" si="48"/>
        <v>0</v>
      </c>
    </row>
    <row r="67" ht="15.75" customHeight="1">
      <c r="A67" s="768">
        <v>1931.0</v>
      </c>
      <c r="B67" s="38"/>
      <c r="C67" s="38"/>
      <c r="D67" s="38"/>
      <c r="E67" s="38"/>
      <c r="F67" s="38"/>
      <c r="G67" s="38"/>
      <c r="H67" s="38"/>
      <c r="I67" s="38"/>
      <c r="J67" s="38"/>
      <c r="K67" s="38"/>
      <c r="L67" s="38"/>
      <c r="M67" s="38"/>
      <c r="N67" s="38"/>
      <c r="O67" s="38"/>
      <c r="P67" s="38"/>
      <c r="Q67" s="38"/>
      <c r="R67" s="38"/>
      <c r="S67" s="740">
        <v>1936.0</v>
      </c>
      <c r="T67" s="740">
        <v>6.0</v>
      </c>
      <c r="U67" s="38"/>
      <c r="V67" s="769">
        <v>0.0</v>
      </c>
      <c r="W67" s="252">
        <f t="shared" si="49"/>
        <v>0</v>
      </c>
      <c r="X67" s="252">
        <f t="shared" ref="X67:BB67" si="50">IF(AND(X$190-$A67&gt;$V$44,SUM($W67:W67)&lt;&gt;$V67),$V67,0)</f>
        <v>0</v>
      </c>
      <c r="Y67" s="252">
        <f t="shared" si="50"/>
        <v>0</v>
      </c>
      <c r="Z67" s="252">
        <f t="shared" si="50"/>
        <v>0</v>
      </c>
      <c r="AA67" s="252">
        <f t="shared" si="50"/>
        <v>0</v>
      </c>
      <c r="AB67" s="252">
        <f t="shared" si="50"/>
        <v>0</v>
      </c>
      <c r="AC67" s="252">
        <f t="shared" si="50"/>
        <v>0</v>
      </c>
      <c r="AD67" s="252">
        <f t="shared" si="50"/>
        <v>0</v>
      </c>
      <c r="AE67" s="252">
        <f t="shared" si="50"/>
        <v>0</v>
      </c>
      <c r="AF67" s="252">
        <f t="shared" si="50"/>
        <v>0</v>
      </c>
      <c r="AG67" s="252">
        <f t="shared" si="50"/>
        <v>0</v>
      </c>
      <c r="AH67" s="252">
        <f t="shared" si="50"/>
        <v>0</v>
      </c>
      <c r="AI67" s="252">
        <f t="shared" si="50"/>
        <v>0</v>
      </c>
      <c r="AJ67" s="252">
        <f t="shared" si="50"/>
        <v>0</v>
      </c>
      <c r="AK67" s="252">
        <f t="shared" si="50"/>
        <v>0</v>
      </c>
      <c r="AL67" s="252">
        <f t="shared" si="50"/>
        <v>0</v>
      </c>
      <c r="AM67" s="252">
        <f t="shared" si="50"/>
        <v>0</v>
      </c>
      <c r="AN67" s="252">
        <f t="shared" si="50"/>
        <v>0</v>
      </c>
      <c r="AO67" s="252">
        <f t="shared" si="50"/>
        <v>0</v>
      </c>
      <c r="AP67" s="252">
        <f t="shared" si="50"/>
        <v>0</v>
      </c>
      <c r="AQ67" s="252">
        <f t="shared" si="50"/>
        <v>0</v>
      </c>
      <c r="AR67" s="252">
        <f t="shared" si="50"/>
        <v>0</v>
      </c>
      <c r="AS67" s="252">
        <f t="shared" si="50"/>
        <v>0</v>
      </c>
      <c r="AT67" s="252">
        <f t="shared" si="50"/>
        <v>0</v>
      </c>
      <c r="AU67" s="252">
        <f t="shared" si="50"/>
        <v>0</v>
      </c>
      <c r="AV67" s="252">
        <f t="shared" si="50"/>
        <v>0</v>
      </c>
      <c r="AW67" s="252">
        <f t="shared" si="50"/>
        <v>0</v>
      </c>
      <c r="AX67" s="252">
        <f t="shared" si="50"/>
        <v>0</v>
      </c>
      <c r="AY67" s="252">
        <f t="shared" si="50"/>
        <v>0</v>
      </c>
      <c r="AZ67" s="252">
        <f t="shared" si="50"/>
        <v>0</v>
      </c>
      <c r="BA67" s="252">
        <f t="shared" si="50"/>
        <v>0</v>
      </c>
      <c r="BB67" s="252">
        <f t="shared" si="50"/>
        <v>0</v>
      </c>
    </row>
    <row r="68" ht="15.75" customHeight="1">
      <c r="A68" s="768">
        <v>1932.0</v>
      </c>
      <c r="B68" s="38"/>
      <c r="C68" s="38"/>
      <c r="D68" s="38"/>
      <c r="E68" s="38"/>
      <c r="F68" s="38"/>
      <c r="G68" s="38"/>
      <c r="H68" s="38"/>
      <c r="I68" s="38"/>
      <c r="J68" s="38"/>
      <c r="K68" s="38"/>
      <c r="L68" s="38"/>
      <c r="M68" s="38"/>
      <c r="N68" s="38"/>
      <c r="O68" s="38"/>
      <c r="P68" s="38"/>
      <c r="Q68" s="38"/>
      <c r="R68" s="38"/>
      <c r="S68" s="740">
        <v>1937.0</v>
      </c>
      <c r="T68" s="740">
        <v>7.5</v>
      </c>
      <c r="U68" s="38"/>
      <c r="V68" s="769">
        <v>0.0</v>
      </c>
      <c r="W68" s="252">
        <f t="shared" si="49"/>
        <v>0</v>
      </c>
      <c r="X68" s="252">
        <f t="shared" ref="X68:BB68" si="51">IF(AND(X$190-$A68&gt;$V$44,SUM($W68:W68)&lt;&gt;$V68),$V68,0)</f>
        <v>0</v>
      </c>
      <c r="Y68" s="252">
        <f t="shared" si="51"/>
        <v>0</v>
      </c>
      <c r="Z68" s="252">
        <f t="shared" si="51"/>
        <v>0</v>
      </c>
      <c r="AA68" s="252">
        <f t="shared" si="51"/>
        <v>0</v>
      </c>
      <c r="AB68" s="252">
        <f t="shared" si="51"/>
        <v>0</v>
      </c>
      <c r="AC68" s="252">
        <f t="shared" si="51"/>
        <v>0</v>
      </c>
      <c r="AD68" s="252">
        <f t="shared" si="51"/>
        <v>0</v>
      </c>
      <c r="AE68" s="252">
        <f t="shared" si="51"/>
        <v>0</v>
      </c>
      <c r="AF68" s="252">
        <f t="shared" si="51"/>
        <v>0</v>
      </c>
      <c r="AG68" s="252">
        <f t="shared" si="51"/>
        <v>0</v>
      </c>
      <c r="AH68" s="252">
        <f t="shared" si="51"/>
        <v>0</v>
      </c>
      <c r="AI68" s="252">
        <f t="shared" si="51"/>
        <v>0</v>
      </c>
      <c r="AJ68" s="252">
        <f t="shared" si="51"/>
        <v>0</v>
      </c>
      <c r="AK68" s="252">
        <f t="shared" si="51"/>
        <v>0</v>
      </c>
      <c r="AL68" s="252">
        <f t="shared" si="51"/>
        <v>0</v>
      </c>
      <c r="AM68" s="252">
        <f t="shared" si="51"/>
        <v>0</v>
      </c>
      <c r="AN68" s="252">
        <f t="shared" si="51"/>
        <v>0</v>
      </c>
      <c r="AO68" s="252">
        <f t="shared" si="51"/>
        <v>0</v>
      </c>
      <c r="AP68" s="252">
        <f t="shared" si="51"/>
        <v>0</v>
      </c>
      <c r="AQ68" s="252">
        <f t="shared" si="51"/>
        <v>0</v>
      </c>
      <c r="AR68" s="252">
        <f t="shared" si="51"/>
        <v>0</v>
      </c>
      <c r="AS68" s="252">
        <f t="shared" si="51"/>
        <v>0</v>
      </c>
      <c r="AT68" s="252">
        <f t="shared" si="51"/>
        <v>0</v>
      </c>
      <c r="AU68" s="252">
        <f t="shared" si="51"/>
        <v>0</v>
      </c>
      <c r="AV68" s="252">
        <f t="shared" si="51"/>
        <v>0</v>
      </c>
      <c r="AW68" s="252">
        <f t="shared" si="51"/>
        <v>0</v>
      </c>
      <c r="AX68" s="252">
        <f t="shared" si="51"/>
        <v>0</v>
      </c>
      <c r="AY68" s="252">
        <f t="shared" si="51"/>
        <v>0</v>
      </c>
      <c r="AZ68" s="252">
        <f t="shared" si="51"/>
        <v>0</v>
      </c>
      <c r="BA68" s="252">
        <f t="shared" si="51"/>
        <v>0</v>
      </c>
      <c r="BB68" s="252">
        <f t="shared" si="51"/>
        <v>0</v>
      </c>
    </row>
    <row r="69" ht="15.75" customHeight="1">
      <c r="A69" s="768">
        <v>1933.0</v>
      </c>
      <c r="B69" s="38"/>
      <c r="C69" s="38"/>
      <c r="D69" s="38"/>
      <c r="E69" s="38"/>
      <c r="F69" s="38"/>
      <c r="G69" s="38"/>
      <c r="H69" s="38"/>
      <c r="I69" s="38"/>
      <c r="J69" s="38"/>
      <c r="K69" s="38"/>
      <c r="L69" s="38"/>
      <c r="M69" s="38"/>
      <c r="N69" s="38"/>
      <c r="O69" s="38"/>
      <c r="P69" s="38"/>
      <c r="Q69" s="38"/>
      <c r="R69" s="38"/>
      <c r="S69" s="740">
        <v>1939.0</v>
      </c>
      <c r="T69" s="740">
        <v>6.0</v>
      </c>
      <c r="U69" s="38"/>
      <c r="V69" s="769">
        <v>0.0</v>
      </c>
      <c r="W69" s="252">
        <f t="shared" si="49"/>
        <v>0</v>
      </c>
      <c r="X69" s="252">
        <f t="shared" ref="X69:BB69" si="52">IF(AND(X$190-$A69&gt;$V$44,SUM($W69:W69)&lt;&gt;$V69),$V69,0)</f>
        <v>0</v>
      </c>
      <c r="Y69" s="252">
        <f t="shared" si="52"/>
        <v>0</v>
      </c>
      <c r="Z69" s="252">
        <f t="shared" si="52"/>
        <v>0</v>
      </c>
      <c r="AA69" s="252">
        <f t="shared" si="52"/>
        <v>0</v>
      </c>
      <c r="AB69" s="252">
        <f t="shared" si="52"/>
        <v>0</v>
      </c>
      <c r="AC69" s="252">
        <f t="shared" si="52"/>
        <v>0</v>
      </c>
      <c r="AD69" s="252">
        <f t="shared" si="52"/>
        <v>0</v>
      </c>
      <c r="AE69" s="252">
        <f t="shared" si="52"/>
        <v>0</v>
      </c>
      <c r="AF69" s="252">
        <f t="shared" si="52"/>
        <v>0</v>
      </c>
      <c r="AG69" s="252">
        <f t="shared" si="52"/>
        <v>0</v>
      </c>
      <c r="AH69" s="252">
        <f t="shared" si="52"/>
        <v>0</v>
      </c>
      <c r="AI69" s="252">
        <f t="shared" si="52"/>
        <v>0</v>
      </c>
      <c r="AJ69" s="252">
        <f t="shared" si="52"/>
        <v>0</v>
      </c>
      <c r="AK69" s="252">
        <f t="shared" si="52"/>
        <v>0</v>
      </c>
      <c r="AL69" s="252">
        <f t="shared" si="52"/>
        <v>0</v>
      </c>
      <c r="AM69" s="252">
        <f t="shared" si="52"/>
        <v>0</v>
      </c>
      <c r="AN69" s="252">
        <f t="shared" si="52"/>
        <v>0</v>
      </c>
      <c r="AO69" s="252">
        <f t="shared" si="52"/>
        <v>0</v>
      </c>
      <c r="AP69" s="252">
        <f t="shared" si="52"/>
        <v>0</v>
      </c>
      <c r="AQ69" s="252">
        <f t="shared" si="52"/>
        <v>0</v>
      </c>
      <c r="AR69" s="252">
        <f t="shared" si="52"/>
        <v>0</v>
      </c>
      <c r="AS69" s="252">
        <f t="shared" si="52"/>
        <v>0</v>
      </c>
      <c r="AT69" s="252">
        <f t="shared" si="52"/>
        <v>0</v>
      </c>
      <c r="AU69" s="252">
        <f t="shared" si="52"/>
        <v>0</v>
      </c>
      <c r="AV69" s="252">
        <f t="shared" si="52"/>
        <v>0</v>
      </c>
      <c r="AW69" s="252">
        <f t="shared" si="52"/>
        <v>0</v>
      </c>
      <c r="AX69" s="252">
        <f t="shared" si="52"/>
        <v>0</v>
      </c>
      <c r="AY69" s="252">
        <f t="shared" si="52"/>
        <v>0</v>
      </c>
      <c r="AZ69" s="252">
        <f t="shared" si="52"/>
        <v>0</v>
      </c>
      <c r="BA69" s="252">
        <f t="shared" si="52"/>
        <v>0</v>
      </c>
      <c r="BB69" s="252">
        <f t="shared" si="52"/>
        <v>0</v>
      </c>
    </row>
    <row r="70" ht="15.75" customHeight="1">
      <c r="A70" s="768">
        <v>1934.0</v>
      </c>
      <c r="B70" s="38"/>
      <c r="C70" s="38"/>
      <c r="D70" s="38"/>
      <c r="E70" s="38"/>
      <c r="F70" s="38"/>
      <c r="G70" s="38"/>
      <c r="H70" s="38"/>
      <c r="I70" s="38"/>
      <c r="J70" s="38"/>
      <c r="K70" s="38"/>
      <c r="L70" s="38"/>
      <c r="M70" s="38"/>
      <c r="N70" s="38"/>
      <c r="O70" s="38"/>
      <c r="P70" s="38"/>
      <c r="Q70" s="38"/>
      <c r="R70" s="38"/>
      <c r="S70" s="740">
        <v>1941.0</v>
      </c>
      <c r="T70" s="740">
        <v>13.5</v>
      </c>
      <c r="U70" s="38"/>
      <c r="V70" s="769">
        <v>0.0</v>
      </c>
      <c r="W70" s="252">
        <f t="shared" si="49"/>
        <v>0</v>
      </c>
      <c r="X70" s="252">
        <f t="shared" ref="X70:BB70" si="53">IF(AND(X$190-$A70&gt;$V$44,SUM($W70:W70)&lt;&gt;$V70),$V70,0)</f>
        <v>0</v>
      </c>
      <c r="Y70" s="252">
        <f t="shared" si="53"/>
        <v>0</v>
      </c>
      <c r="Z70" s="252">
        <f t="shared" si="53"/>
        <v>0</v>
      </c>
      <c r="AA70" s="252">
        <f t="shared" si="53"/>
        <v>0</v>
      </c>
      <c r="AB70" s="252">
        <f t="shared" si="53"/>
        <v>0</v>
      </c>
      <c r="AC70" s="252">
        <f t="shared" si="53"/>
        <v>0</v>
      </c>
      <c r="AD70" s="252">
        <f t="shared" si="53"/>
        <v>0</v>
      </c>
      <c r="AE70" s="252">
        <f t="shared" si="53"/>
        <v>0</v>
      </c>
      <c r="AF70" s="252">
        <f t="shared" si="53"/>
        <v>0</v>
      </c>
      <c r="AG70" s="252">
        <f t="shared" si="53"/>
        <v>0</v>
      </c>
      <c r="AH70" s="252">
        <f t="shared" si="53"/>
        <v>0</v>
      </c>
      <c r="AI70" s="252">
        <f t="shared" si="53"/>
        <v>0</v>
      </c>
      <c r="AJ70" s="252">
        <f t="shared" si="53"/>
        <v>0</v>
      </c>
      <c r="AK70" s="252">
        <f t="shared" si="53"/>
        <v>0</v>
      </c>
      <c r="AL70" s="252">
        <f t="shared" si="53"/>
        <v>0</v>
      </c>
      <c r="AM70" s="252">
        <f t="shared" si="53"/>
        <v>0</v>
      </c>
      <c r="AN70" s="252">
        <f t="shared" si="53"/>
        <v>0</v>
      </c>
      <c r="AO70" s="252">
        <f t="shared" si="53"/>
        <v>0</v>
      </c>
      <c r="AP70" s="252">
        <f t="shared" si="53"/>
        <v>0</v>
      </c>
      <c r="AQ70" s="252">
        <f t="shared" si="53"/>
        <v>0</v>
      </c>
      <c r="AR70" s="252">
        <f t="shared" si="53"/>
        <v>0</v>
      </c>
      <c r="AS70" s="252">
        <f t="shared" si="53"/>
        <v>0</v>
      </c>
      <c r="AT70" s="252">
        <f t="shared" si="53"/>
        <v>0</v>
      </c>
      <c r="AU70" s="252">
        <f t="shared" si="53"/>
        <v>0</v>
      </c>
      <c r="AV70" s="252">
        <f t="shared" si="53"/>
        <v>0</v>
      </c>
      <c r="AW70" s="252">
        <f t="shared" si="53"/>
        <v>0</v>
      </c>
      <c r="AX70" s="252">
        <f t="shared" si="53"/>
        <v>0</v>
      </c>
      <c r="AY70" s="252">
        <f t="shared" si="53"/>
        <v>0</v>
      </c>
      <c r="AZ70" s="252">
        <f t="shared" si="53"/>
        <v>0</v>
      </c>
      <c r="BA70" s="252">
        <f t="shared" si="53"/>
        <v>0</v>
      </c>
      <c r="BB70" s="252">
        <f t="shared" si="53"/>
        <v>0</v>
      </c>
    </row>
    <row r="71" ht="15.75" customHeight="1">
      <c r="A71" s="768">
        <v>1935.0</v>
      </c>
      <c r="B71" s="38"/>
      <c r="C71" s="38"/>
      <c r="D71" s="38"/>
      <c r="E71" s="38"/>
      <c r="F71" s="38"/>
      <c r="G71" s="38"/>
      <c r="H71" s="38"/>
      <c r="I71" s="38"/>
      <c r="J71" s="38"/>
      <c r="K71" s="38"/>
      <c r="L71" s="38"/>
      <c r="M71" s="38"/>
      <c r="N71" s="38"/>
      <c r="O71" s="38"/>
      <c r="P71" s="38"/>
      <c r="Q71" s="38"/>
      <c r="R71" s="38"/>
      <c r="S71" s="740">
        <v>1946.0</v>
      </c>
      <c r="T71" s="740">
        <v>13.5</v>
      </c>
      <c r="U71" s="38"/>
      <c r="V71" s="769">
        <v>0.0</v>
      </c>
      <c r="W71" s="252">
        <f t="shared" si="49"/>
        <v>0</v>
      </c>
      <c r="X71" s="252">
        <f t="shared" ref="X71:BB71" si="54">IF(AND(X$190-$A71&gt;$V$44,SUM($W71:W71)&lt;&gt;$V71),$V71,0)</f>
        <v>0</v>
      </c>
      <c r="Y71" s="252">
        <f t="shared" si="54"/>
        <v>0</v>
      </c>
      <c r="Z71" s="252">
        <f t="shared" si="54"/>
        <v>0</v>
      </c>
      <c r="AA71" s="252">
        <f t="shared" si="54"/>
        <v>0</v>
      </c>
      <c r="AB71" s="252">
        <f t="shared" si="54"/>
        <v>0</v>
      </c>
      <c r="AC71" s="252">
        <f t="shared" si="54"/>
        <v>0</v>
      </c>
      <c r="AD71" s="252">
        <f t="shared" si="54"/>
        <v>0</v>
      </c>
      <c r="AE71" s="252">
        <f t="shared" si="54"/>
        <v>0</v>
      </c>
      <c r="AF71" s="252">
        <f t="shared" si="54"/>
        <v>0</v>
      </c>
      <c r="AG71" s="252">
        <f t="shared" si="54"/>
        <v>0</v>
      </c>
      <c r="AH71" s="252">
        <f t="shared" si="54"/>
        <v>0</v>
      </c>
      <c r="AI71" s="252">
        <f t="shared" si="54"/>
        <v>0</v>
      </c>
      <c r="AJ71" s="252">
        <f t="shared" si="54"/>
        <v>0</v>
      </c>
      <c r="AK71" s="252">
        <f t="shared" si="54"/>
        <v>0</v>
      </c>
      <c r="AL71" s="252">
        <f t="shared" si="54"/>
        <v>0</v>
      </c>
      <c r="AM71" s="252">
        <f t="shared" si="54"/>
        <v>0</v>
      </c>
      <c r="AN71" s="252">
        <f t="shared" si="54"/>
        <v>0</v>
      </c>
      <c r="AO71" s="252">
        <f t="shared" si="54"/>
        <v>0</v>
      </c>
      <c r="AP71" s="252">
        <f t="shared" si="54"/>
        <v>0</v>
      </c>
      <c r="AQ71" s="252">
        <f t="shared" si="54"/>
        <v>0</v>
      </c>
      <c r="AR71" s="252">
        <f t="shared" si="54"/>
        <v>0</v>
      </c>
      <c r="AS71" s="252">
        <f t="shared" si="54"/>
        <v>0</v>
      </c>
      <c r="AT71" s="252">
        <f t="shared" si="54"/>
        <v>0</v>
      </c>
      <c r="AU71" s="252">
        <f t="shared" si="54"/>
        <v>0</v>
      </c>
      <c r="AV71" s="252">
        <f t="shared" si="54"/>
        <v>0</v>
      </c>
      <c r="AW71" s="252">
        <f t="shared" si="54"/>
        <v>0</v>
      </c>
      <c r="AX71" s="252">
        <f t="shared" si="54"/>
        <v>0</v>
      </c>
      <c r="AY71" s="252">
        <f t="shared" si="54"/>
        <v>0</v>
      </c>
      <c r="AZ71" s="252">
        <f t="shared" si="54"/>
        <v>0</v>
      </c>
      <c r="BA71" s="252">
        <f t="shared" si="54"/>
        <v>0</v>
      </c>
      <c r="BB71" s="252">
        <f t="shared" si="54"/>
        <v>0</v>
      </c>
    </row>
    <row r="72" ht="15.75" customHeight="1">
      <c r="A72" s="768">
        <v>1936.0</v>
      </c>
      <c r="B72" s="38"/>
      <c r="C72" s="38"/>
      <c r="D72" s="38"/>
      <c r="E72" s="38"/>
      <c r="F72" s="38"/>
      <c r="G72" s="38"/>
      <c r="H72" s="38"/>
      <c r="I72" s="38"/>
      <c r="J72" s="38"/>
      <c r="K72" s="38"/>
      <c r="L72" s="38"/>
      <c r="M72" s="38"/>
      <c r="N72" s="38"/>
      <c r="O72" s="38"/>
      <c r="P72" s="38"/>
      <c r="Q72" s="38"/>
      <c r="R72" s="38"/>
      <c r="S72" s="740">
        <v>1947.0</v>
      </c>
      <c r="T72" s="740">
        <v>20.5</v>
      </c>
      <c r="U72" s="38"/>
      <c r="V72" s="769">
        <v>0.0</v>
      </c>
      <c r="W72" s="252">
        <f t="shared" si="49"/>
        <v>0</v>
      </c>
      <c r="X72" s="252">
        <f t="shared" ref="X72:BB72" si="55">IF(AND(X$190-$A72&gt;$V$44,SUM($W72:W72)&lt;&gt;$V72),$V72,0)</f>
        <v>0</v>
      </c>
      <c r="Y72" s="252">
        <f t="shared" si="55"/>
        <v>0</v>
      </c>
      <c r="Z72" s="252">
        <f t="shared" si="55"/>
        <v>0</v>
      </c>
      <c r="AA72" s="252">
        <f t="shared" si="55"/>
        <v>0</v>
      </c>
      <c r="AB72" s="252">
        <f t="shared" si="55"/>
        <v>0</v>
      </c>
      <c r="AC72" s="252">
        <f t="shared" si="55"/>
        <v>0</v>
      </c>
      <c r="AD72" s="252">
        <f t="shared" si="55"/>
        <v>0</v>
      </c>
      <c r="AE72" s="252">
        <f t="shared" si="55"/>
        <v>0</v>
      </c>
      <c r="AF72" s="252">
        <f t="shared" si="55"/>
        <v>0</v>
      </c>
      <c r="AG72" s="252">
        <f t="shared" si="55"/>
        <v>0</v>
      </c>
      <c r="AH72" s="252">
        <f t="shared" si="55"/>
        <v>0</v>
      </c>
      <c r="AI72" s="252">
        <f t="shared" si="55"/>
        <v>0</v>
      </c>
      <c r="AJ72" s="252">
        <f t="shared" si="55"/>
        <v>0</v>
      </c>
      <c r="AK72" s="252">
        <f t="shared" si="55"/>
        <v>0</v>
      </c>
      <c r="AL72" s="252">
        <f t="shared" si="55"/>
        <v>0</v>
      </c>
      <c r="AM72" s="252">
        <f t="shared" si="55"/>
        <v>0</v>
      </c>
      <c r="AN72" s="252">
        <f t="shared" si="55"/>
        <v>0</v>
      </c>
      <c r="AO72" s="252">
        <f t="shared" si="55"/>
        <v>0</v>
      </c>
      <c r="AP72" s="252">
        <f t="shared" si="55"/>
        <v>0</v>
      </c>
      <c r="AQ72" s="252">
        <f t="shared" si="55"/>
        <v>0</v>
      </c>
      <c r="AR72" s="252">
        <f t="shared" si="55"/>
        <v>0</v>
      </c>
      <c r="AS72" s="252">
        <f t="shared" si="55"/>
        <v>0</v>
      </c>
      <c r="AT72" s="252">
        <f t="shared" si="55"/>
        <v>0</v>
      </c>
      <c r="AU72" s="252">
        <f t="shared" si="55"/>
        <v>0</v>
      </c>
      <c r="AV72" s="252">
        <f t="shared" si="55"/>
        <v>0</v>
      </c>
      <c r="AW72" s="252">
        <f t="shared" si="55"/>
        <v>0</v>
      </c>
      <c r="AX72" s="252">
        <f t="shared" si="55"/>
        <v>0</v>
      </c>
      <c r="AY72" s="252">
        <f t="shared" si="55"/>
        <v>0</v>
      </c>
      <c r="AZ72" s="252">
        <f t="shared" si="55"/>
        <v>0</v>
      </c>
      <c r="BA72" s="252">
        <f t="shared" si="55"/>
        <v>0</v>
      </c>
      <c r="BB72" s="252">
        <f t="shared" si="55"/>
        <v>0</v>
      </c>
    </row>
    <row r="73" ht="15.75" customHeight="1">
      <c r="A73" s="768">
        <v>1937.0</v>
      </c>
      <c r="B73" s="38"/>
      <c r="C73" s="38"/>
      <c r="D73" s="38"/>
      <c r="E73" s="38"/>
      <c r="F73" s="38"/>
      <c r="G73" s="38"/>
      <c r="H73" s="38"/>
      <c r="I73" s="38"/>
      <c r="J73" s="38"/>
      <c r="K73" s="38"/>
      <c r="L73" s="38"/>
      <c r="M73" s="38"/>
      <c r="N73" s="38"/>
      <c r="O73" s="38"/>
      <c r="P73" s="38"/>
      <c r="Q73" s="38"/>
      <c r="R73" s="38"/>
      <c r="S73" s="740">
        <v>1948.0</v>
      </c>
      <c r="T73" s="740">
        <v>15.5</v>
      </c>
      <c r="U73" s="38"/>
      <c r="V73" s="769">
        <v>0.0</v>
      </c>
      <c r="W73" s="252">
        <f t="shared" si="49"/>
        <v>0</v>
      </c>
      <c r="X73" s="252">
        <f t="shared" ref="X73:BB73" si="56">IF(AND(X$190-$A73&gt;$V$44,SUM($W73:W73)&lt;&gt;$V73),$V73,0)</f>
        <v>0</v>
      </c>
      <c r="Y73" s="252">
        <f t="shared" si="56"/>
        <v>0</v>
      </c>
      <c r="Z73" s="252">
        <f t="shared" si="56"/>
        <v>0</v>
      </c>
      <c r="AA73" s="252">
        <f t="shared" si="56"/>
        <v>0</v>
      </c>
      <c r="AB73" s="252">
        <f t="shared" si="56"/>
        <v>0</v>
      </c>
      <c r="AC73" s="252">
        <f t="shared" si="56"/>
        <v>0</v>
      </c>
      <c r="AD73" s="252">
        <f t="shared" si="56"/>
        <v>0</v>
      </c>
      <c r="AE73" s="252">
        <f t="shared" si="56"/>
        <v>0</v>
      </c>
      <c r="AF73" s="252">
        <f t="shared" si="56"/>
        <v>0</v>
      </c>
      <c r="AG73" s="252">
        <f t="shared" si="56"/>
        <v>0</v>
      </c>
      <c r="AH73" s="252">
        <f t="shared" si="56"/>
        <v>0</v>
      </c>
      <c r="AI73" s="252">
        <f t="shared" si="56"/>
        <v>0</v>
      </c>
      <c r="AJ73" s="252">
        <f t="shared" si="56"/>
        <v>0</v>
      </c>
      <c r="AK73" s="252">
        <f t="shared" si="56"/>
        <v>0</v>
      </c>
      <c r="AL73" s="252">
        <f t="shared" si="56"/>
        <v>0</v>
      </c>
      <c r="AM73" s="252">
        <f t="shared" si="56"/>
        <v>0</v>
      </c>
      <c r="AN73" s="252">
        <f t="shared" si="56"/>
        <v>0</v>
      </c>
      <c r="AO73" s="252">
        <f t="shared" si="56"/>
        <v>0</v>
      </c>
      <c r="AP73" s="252">
        <f t="shared" si="56"/>
        <v>0</v>
      </c>
      <c r="AQ73" s="252">
        <f t="shared" si="56"/>
        <v>0</v>
      </c>
      <c r="AR73" s="252">
        <f t="shared" si="56"/>
        <v>0</v>
      </c>
      <c r="AS73" s="252">
        <f t="shared" si="56"/>
        <v>0</v>
      </c>
      <c r="AT73" s="252">
        <f t="shared" si="56"/>
        <v>0</v>
      </c>
      <c r="AU73" s="252">
        <f t="shared" si="56"/>
        <v>0</v>
      </c>
      <c r="AV73" s="252">
        <f t="shared" si="56"/>
        <v>0</v>
      </c>
      <c r="AW73" s="252">
        <f t="shared" si="56"/>
        <v>0</v>
      </c>
      <c r="AX73" s="252">
        <f t="shared" si="56"/>
        <v>0</v>
      </c>
      <c r="AY73" s="252">
        <f t="shared" si="56"/>
        <v>0</v>
      </c>
      <c r="AZ73" s="252">
        <f t="shared" si="56"/>
        <v>0</v>
      </c>
      <c r="BA73" s="252">
        <f t="shared" si="56"/>
        <v>0</v>
      </c>
      <c r="BB73" s="252">
        <f t="shared" si="56"/>
        <v>0</v>
      </c>
    </row>
    <row r="74" ht="15.75" customHeight="1">
      <c r="A74" s="768">
        <v>1938.0</v>
      </c>
      <c r="B74" s="38"/>
      <c r="C74" s="38"/>
      <c r="D74" s="38"/>
      <c r="E74" s="38"/>
      <c r="F74" s="38"/>
      <c r="G74" s="38"/>
      <c r="H74" s="38"/>
      <c r="I74" s="38"/>
      <c r="J74" s="38"/>
      <c r="K74" s="38"/>
      <c r="L74" s="38"/>
      <c r="M74" s="38"/>
      <c r="N74" s="38"/>
      <c r="O74" s="38"/>
      <c r="P74" s="38"/>
      <c r="Q74" s="38"/>
      <c r="R74" s="38"/>
      <c r="S74" s="740">
        <v>1949.0</v>
      </c>
      <c r="T74" s="740">
        <v>20.5</v>
      </c>
      <c r="U74" s="38"/>
      <c r="V74" s="769">
        <v>0.0</v>
      </c>
      <c r="W74" s="252">
        <f t="shared" si="49"/>
        <v>0</v>
      </c>
      <c r="X74" s="252">
        <f t="shared" ref="X74:BB74" si="57">IF(AND(X$190-$A74&gt;$V$44,SUM($W74:W74)&lt;&gt;$V74),$V74,0)</f>
        <v>0</v>
      </c>
      <c r="Y74" s="252">
        <f t="shared" si="57"/>
        <v>0</v>
      </c>
      <c r="Z74" s="252">
        <f t="shared" si="57"/>
        <v>0</v>
      </c>
      <c r="AA74" s="252">
        <f t="shared" si="57"/>
        <v>0</v>
      </c>
      <c r="AB74" s="252">
        <f t="shared" si="57"/>
        <v>0</v>
      </c>
      <c r="AC74" s="252">
        <f t="shared" si="57"/>
        <v>0</v>
      </c>
      <c r="AD74" s="252">
        <f t="shared" si="57"/>
        <v>0</v>
      </c>
      <c r="AE74" s="252">
        <f t="shared" si="57"/>
        <v>0</v>
      </c>
      <c r="AF74" s="252">
        <f t="shared" si="57"/>
        <v>0</v>
      </c>
      <c r="AG74" s="252">
        <f t="shared" si="57"/>
        <v>0</v>
      </c>
      <c r="AH74" s="252">
        <f t="shared" si="57"/>
        <v>0</v>
      </c>
      <c r="AI74" s="252">
        <f t="shared" si="57"/>
        <v>0</v>
      </c>
      <c r="AJ74" s="252">
        <f t="shared" si="57"/>
        <v>0</v>
      </c>
      <c r="AK74" s="252">
        <f t="shared" si="57"/>
        <v>0</v>
      </c>
      <c r="AL74" s="252">
        <f t="shared" si="57"/>
        <v>0</v>
      </c>
      <c r="AM74" s="252">
        <f t="shared" si="57"/>
        <v>0</v>
      </c>
      <c r="AN74" s="252">
        <f t="shared" si="57"/>
        <v>0</v>
      </c>
      <c r="AO74" s="252">
        <f t="shared" si="57"/>
        <v>0</v>
      </c>
      <c r="AP74" s="252">
        <f t="shared" si="57"/>
        <v>0</v>
      </c>
      <c r="AQ74" s="252">
        <f t="shared" si="57"/>
        <v>0</v>
      </c>
      <c r="AR74" s="252">
        <f t="shared" si="57"/>
        <v>0</v>
      </c>
      <c r="AS74" s="252">
        <f t="shared" si="57"/>
        <v>0</v>
      </c>
      <c r="AT74" s="252">
        <f t="shared" si="57"/>
        <v>0</v>
      </c>
      <c r="AU74" s="252">
        <f t="shared" si="57"/>
        <v>0</v>
      </c>
      <c r="AV74" s="252">
        <f t="shared" si="57"/>
        <v>0</v>
      </c>
      <c r="AW74" s="252">
        <f t="shared" si="57"/>
        <v>0</v>
      </c>
      <c r="AX74" s="252">
        <f t="shared" si="57"/>
        <v>0</v>
      </c>
      <c r="AY74" s="252">
        <f t="shared" si="57"/>
        <v>0</v>
      </c>
      <c r="AZ74" s="252">
        <f t="shared" si="57"/>
        <v>0</v>
      </c>
      <c r="BA74" s="252">
        <f t="shared" si="57"/>
        <v>0</v>
      </c>
      <c r="BB74" s="252">
        <f t="shared" si="57"/>
        <v>0</v>
      </c>
    </row>
    <row r="75" ht="15.75" customHeight="1">
      <c r="A75" s="768">
        <v>1939.0</v>
      </c>
      <c r="B75" s="38"/>
      <c r="C75" s="38"/>
      <c r="D75" s="38"/>
      <c r="E75" s="38"/>
      <c r="F75" s="38"/>
      <c r="G75" s="38"/>
      <c r="H75" s="38"/>
      <c r="I75" s="38"/>
      <c r="J75" s="38"/>
      <c r="K75" s="38"/>
      <c r="L75" s="38"/>
      <c r="M75" s="38"/>
      <c r="N75" s="38"/>
      <c r="O75" s="38"/>
      <c r="P75" s="38"/>
      <c r="Q75" s="38"/>
      <c r="R75" s="38"/>
      <c r="S75" s="740">
        <v>1950.0</v>
      </c>
      <c r="T75" s="740">
        <v>4.0</v>
      </c>
      <c r="U75" s="38"/>
      <c r="V75" s="769">
        <v>0.0</v>
      </c>
      <c r="W75" s="252">
        <f t="shared" si="49"/>
        <v>0</v>
      </c>
      <c r="X75" s="252">
        <f t="shared" ref="X75:BB75" si="58">IF(AND(X$190-$A75&gt;$V$44,SUM($W75:W75)&lt;&gt;$V75),$V75,0)</f>
        <v>0</v>
      </c>
      <c r="Y75" s="252">
        <f t="shared" si="58"/>
        <v>0</v>
      </c>
      <c r="Z75" s="252">
        <f t="shared" si="58"/>
        <v>0</v>
      </c>
      <c r="AA75" s="252">
        <f t="shared" si="58"/>
        <v>0</v>
      </c>
      <c r="AB75" s="252">
        <f t="shared" si="58"/>
        <v>0</v>
      </c>
      <c r="AC75" s="252">
        <f t="shared" si="58"/>
        <v>0</v>
      </c>
      <c r="AD75" s="252">
        <f t="shared" si="58"/>
        <v>0</v>
      </c>
      <c r="AE75" s="252">
        <f t="shared" si="58"/>
        <v>0</v>
      </c>
      <c r="AF75" s="252">
        <f t="shared" si="58"/>
        <v>0</v>
      </c>
      <c r="AG75" s="252">
        <f t="shared" si="58"/>
        <v>0</v>
      </c>
      <c r="AH75" s="252">
        <f t="shared" si="58"/>
        <v>0</v>
      </c>
      <c r="AI75" s="252">
        <f t="shared" si="58"/>
        <v>0</v>
      </c>
      <c r="AJ75" s="252">
        <f t="shared" si="58"/>
        <v>0</v>
      </c>
      <c r="AK75" s="252">
        <f t="shared" si="58"/>
        <v>0</v>
      </c>
      <c r="AL75" s="252">
        <f t="shared" si="58"/>
        <v>0</v>
      </c>
      <c r="AM75" s="252">
        <f t="shared" si="58"/>
        <v>0</v>
      </c>
      <c r="AN75" s="252">
        <f t="shared" si="58"/>
        <v>0</v>
      </c>
      <c r="AO75" s="252">
        <f t="shared" si="58"/>
        <v>0</v>
      </c>
      <c r="AP75" s="252">
        <f t="shared" si="58"/>
        <v>0</v>
      </c>
      <c r="AQ75" s="252">
        <f t="shared" si="58"/>
        <v>0</v>
      </c>
      <c r="AR75" s="252">
        <f t="shared" si="58"/>
        <v>0</v>
      </c>
      <c r="AS75" s="252">
        <f t="shared" si="58"/>
        <v>0</v>
      </c>
      <c r="AT75" s="252">
        <f t="shared" si="58"/>
        <v>0</v>
      </c>
      <c r="AU75" s="252">
        <f t="shared" si="58"/>
        <v>0</v>
      </c>
      <c r="AV75" s="252">
        <f t="shared" si="58"/>
        <v>0</v>
      </c>
      <c r="AW75" s="252">
        <f t="shared" si="58"/>
        <v>0</v>
      </c>
      <c r="AX75" s="252">
        <f t="shared" si="58"/>
        <v>0</v>
      </c>
      <c r="AY75" s="252">
        <f t="shared" si="58"/>
        <v>0</v>
      </c>
      <c r="AZ75" s="252">
        <f t="shared" si="58"/>
        <v>0</v>
      </c>
      <c r="BA75" s="252">
        <f t="shared" si="58"/>
        <v>0</v>
      </c>
      <c r="BB75" s="252">
        <f t="shared" si="58"/>
        <v>0</v>
      </c>
    </row>
    <row r="76" ht="15.75" customHeight="1">
      <c r="A76" s="768">
        <v>1940.0</v>
      </c>
      <c r="B76" s="38"/>
      <c r="C76" s="38"/>
      <c r="D76" s="38"/>
      <c r="E76" s="38"/>
      <c r="F76" s="38"/>
      <c r="G76" s="38"/>
      <c r="H76" s="38"/>
      <c r="I76" s="38"/>
      <c r="J76" s="38"/>
      <c r="K76" s="38"/>
      <c r="L76" s="38"/>
      <c r="M76" s="38"/>
      <c r="N76" s="38"/>
      <c r="O76" s="38"/>
      <c r="P76" s="38"/>
      <c r="Q76" s="38"/>
      <c r="R76" s="38"/>
      <c r="S76" s="740">
        <v>1951.0</v>
      </c>
      <c r="T76" s="740">
        <v>10.5</v>
      </c>
      <c r="U76" s="38"/>
      <c r="V76" s="769">
        <v>0.0</v>
      </c>
      <c r="W76" s="252">
        <f t="shared" si="49"/>
        <v>0</v>
      </c>
      <c r="X76" s="252">
        <f t="shared" ref="X76:BB76" si="59">IF(AND(X$190-$A76&gt;$V$44,SUM($W76:W76)&lt;&gt;$V76),$V76,0)</f>
        <v>0</v>
      </c>
      <c r="Y76" s="252">
        <f t="shared" si="59"/>
        <v>0</v>
      </c>
      <c r="Z76" s="252">
        <f t="shared" si="59"/>
        <v>0</v>
      </c>
      <c r="AA76" s="252">
        <f t="shared" si="59"/>
        <v>0</v>
      </c>
      <c r="AB76" s="252">
        <f t="shared" si="59"/>
        <v>0</v>
      </c>
      <c r="AC76" s="252">
        <f t="shared" si="59"/>
        <v>0</v>
      </c>
      <c r="AD76" s="252">
        <f t="shared" si="59"/>
        <v>0</v>
      </c>
      <c r="AE76" s="252">
        <f t="shared" si="59"/>
        <v>0</v>
      </c>
      <c r="AF76" s="252">
        <f t="shared" si="59"/>
        <v>0</v>
      </c>
      <c r="AG76" s="252">
        <f t="shared" si="59"/>
        <v>0</v>
      </c>
      <c r="AH76" s="252">
        <f t="shared" si="59"/>
        <v>0</v>
      </c>
      <c r="AI76" s="252">
        <f t="shared" si="59"/>
        <v>0</v>
      </c>
      <c r="AJ76" s="252">
        <f t="shared" si="59"/>
        <v>0</v>
      </c>
      <c r="AK76" s="252">
        <f t="shared" si="59"/>
        <v>0</v>
      </c>
      <c r="AL76" s="252">
        <f t="shared" si="59"/>
        <v>0</v>
      </c>
      <c r="AM76" s="252">
        <f t="shared" si="59"/>
        <v>0</v>
      </c>
      <c r="AN76" s="252">
        <f t="shared" si="59"/>
        <v>0</v>
      </c>
      <c r="AO76" s="252">
        <f t="shared" si="59"/>
        <v>0</v>
      </c>
      <c r="AP76" s="252">
        <f t="shared" si="59"/>
        <v>0</v>
      </c>
      <c r="AQ76" s="252">
        <f t="shared" si="59"/>
        <v>0</v>
      </c>
      <c r="AR76" s="252">
        <f t="shared" si="59"/>
        <v>0</v>
      </c>
      <c r="AS76" s="252">
        <f t="shared" si="59"/>
        <v>0</v>
      </c>
      <c r="AT76" s="252">
        <f t="shared" si="59"/>
        <v>0</v>
      </c>
      <c r="AU76" s="252">
        <f t="shared" si="59"/>
        <v>0</v>
      </c>
      <c r="AV76" s="252">
        <f t="shared" si="59"/>
        <v>0</v>
      </c>
      <c r="AW76" s="252">
        <f t="shared" si="59"/>
        <v>0</v>
      </c>
      <c r="AX76" s="252">
        <f t="shared" si="59"/>
        <v>0</v>
      </c>
      <c r="AY76" s="252">
        <f t="shared" si="59"/>
        <v>0</v>
      </c>
      <c r="AZ76" s="252">
        <f t="shared" si="59"/>
        <v>0</v>
      </c>
      <c r="BA76" s="252">
        <f t="shared" si="59"/>
        <v>0</v>
      </c>
      <c r="BB76" s="252">
        <f t="shared" si="59"/>
        <v>0</v>
      </c>
    </row>
    <row r="77" ht="15.75" customHeight="1">
      <c r="A77" s="768">
        <v>1941.0</v>
      </c>
      <c r="B77" s="38"/>
      <c r="C77" s="38"/>
      <c r="D77" s="38"/>
      <c r="E77" s="38"/>
      <c r="F77" s="38"/>
      <c r="G77" s="38"/>
      <c r="H77" s="38"/>
      <c r="I77" s="38"/>
      <c r="J77" s="38"/>
      <c r="K77" s="38"/>
      <c r="L77" s="38"/>
      <c r="M77" s="38"/>
      <c r="N77" s="38"/>
      <c r="O77" s="38"/>
      <c r="P77" s="38"/>
      <c r="Q77" s="38"/>
      <c r="R77" s="38"/>
      <c r="S77" s="740">
        <v>1952.0</v>
      </c>
      <c r="T77" s="740">
        <v>155.0</v>
      </c>
      <c r="U77" s="38"/>
      <c r="V77" s="769">
        <v>0.0</v>
      </c>
      <c r="W77" s="252">
        <f t="shared" si="49"/>
        <v>0</v>
      </c>
      <c r="X77" s="252">
        <f t="shared" ref="X77:BB77" si="60">IF(AND(X$190-$A77&gt;$V$44,SUM($W77:W77)&lt;&gt;$V77),$V77,0)</f>
        <v>0</v>
      </c>
      <c r="Y77" s="252">
        <f t="shared" si="60"/>
        <v>0</v>
      </c>
      <c r="Z77" s="252">
        <f t="shared" si="60"/>
        <v>0</v>
      </c>
      <c r="AA77" s="252">
        <f t="shared" si="60"/>
        <v>0</v>
      </c>
      <c r="AB77" s="252">
        <f t="shared" si="60"/>
        <v>0</v>
      </c>
      <c r="AC77" s="252">
        <f t="shared" si="60"/>
        <v>0</v>
      </c>
      <c r="AD77" s="252">
        <f t="shared" si="60"/>
        <v>0</v>
      </c>
      <c r="AE77" s="252">
        <f t="shared" si="60"/>
        <v>0</v>
      </c>
      <c r="AF77" s="252">
        <f t="shared" si="60"/>
        <v>0</v>
      </c>
      <c r="AG77" s="252">
        <f t="shared" si="60"/>
        <v>0</v>
      </c>
      <c r="AH77" s="252">
        <f t="shared" si="60"/>
        <v>0</v>
      </c>
      <c r="AI77" s="252">
        <f t="shared" si="60"/>
        <v>0</v>
      </c>
      <c r="AJ77" s="252">
        <f t="shared" si="60"/>
        <v>0</v>
      </c>
      <c r="AK77" s="252">
        <f t="shared" si="60"/>
        <v>0</v>
      </c>
      <c r="AL77" s="252">
        <f t="shared" si="60"/>
        <v>0</v>
      </c>
      <c r="AM77" s="252">
        <f t="shared" si="60"/>
        <v>0</v>
      </c>
      <c r="AN77" s="252">
        <f t="shared" si="60"/>
        <v>0</v>
      </c>
      <c r="AO77" s="252">
        <f t="shared" si="60"/>
        <v>0</v>
      </c>
      <c r="AP77" s="252">
        <f t="shared" si="60"/>
        <v>0</v>
      </c>
      <c r="AQ77" s="252">
        <f t="shared" si="60"/>
        <v>0</v>
      </c>
      <c r="AR77" s="252">
        <f t="shared" si="60"/>
        <v>0</v>
      </c>
      <c r="AS77" s="252">
        <f t="shared" si="60"/>
        <v>0</v>
      </c>
      <c r="AT77" s="252">
        <f t="shared" si="60"/>
        <v>0</v>
      </c>
      <c r="AU77" s="252">
        <f t="shared" si="60"/>
        <v>0</v>
      </c>
      <c r="AV77" s="252">
        <f t="shared" si="60"/>
        <v>0</v>
      </c>
      <c r="AW77" s="252">
        <f t="shared" si="60"/>
        <v>0</v>
      </c>
      <c r="AX77" s="252">
        <f t="shared" si="60"/>
        <v>0</v>
      </c>
      <c r="AY77" s="252">
        <f t="shared" si="60"/>
        <v>0</v>
      </c>
      <c r="AZ77" s="252">
        <f t="shared" si="60"/>
        <v>0</v>
      </c>
      <c r="BA77" s="252">
        <f t="shared" si="60"/>
        <v>0</v>
      </c>
      <c r="BB77" s="252">
        <f t="shared" si="60"/>
        <v>0</v>
      </c>
    </row>
    <row r="78" ht="15.75" customHeight="1">
      <c r="A78" s="768">
        <v>1942.0</v>
      </c>
      <c r="B78" s="38"/>
      <c r="C78" s="38"/>
      <c r="D78" s="38"/>
      <c r="E78" s="38"/>
      <c r="F78" s="38"/>
      <c r="G78" s="38"/>
      <c r="H78" s="38"/>
      <c r="I78" s="38"/>
      <c r="J78" s="38"/>
      <c r="K78" s="38"/>
      <c r="L78" s="38"/>
      <c r="M78" s="38"/>
      <c r="N78" s="38"/>
      <c r="O78" s="38"/>
      <c r="P78" s="38"/>
      <c r="Q78" s="38"/>
      <c r="R78" s="38"/>
      <c r="S78" s="740">
        <v>1953.0</v>
      </c>
      <c r="T78" s="740">
        <v>1230.0</v>
      </c>
      <c r="U78" s="38"/>
      <c r="V78" s="769">
        <v>0.0</v>
      </c>
      <c r="W78" s="252">
        <f t="shared" si="49"/>
        <v>0</v>
      </c>
      <c r="X78" s="252">
        <f t="shared" ref="X78:BB78" si="61">IF(AND(X$190-$A78&gt;$V$44,SUM($W78:W78)&lt;&gt;$V78),$V78,0)</f>
        <v>0</v>
      </c>
      <c r="Y78" s="252">
        <f t="shared" si="61"/>
        <v>0</v>
      </c>
      <c r="Z78" s="252">
        <f t="shared" si="61"/>
        <v>0</v>
      </c>
      <c r="AA78" s="252">
        <f t="shared" si="61"/>
        <v>0</v>
      </c>
      <c r="AB78" s="252">
        <f t="shared" si="61"/>
        <v>0</v>
      </c>
      <c r="AC78" s="252">
        <f t="shared" si="61"/>
        <v>0</v>
      </c>
      <c r="AD78" s="252">
        <f t="shared" si="61"/>
        <v>0</v>
      </c>
      <c r="AE78" s="252">
        <f t="shared" si="61"/>
        <v>0</v>
      </c>
      <c r="AF78" s="252">
        <f t="shared" si="61"/>
        <v>0</v>
      </c>
      <c r="AG78" s="252">
        <f t="shared" si="61"/>
        <v>0</v>
      </c>
      <c r="AH78" s="252">
        <f t="shared" si="61"/>
        <v>0</v>
      </c>
      <c r="AI78" s="252">
        <f t="shared" si="61"/>
        <v>0</v>
      </c>
      <c r="AJ78" s="252">
        <f t="shared" si="61"/>
        <v>0</v>
      </c>
      <c r="AK78" s="252">
        <f t="shared" si="61"/>
        <v>0</v>
      </c>
      <c r="AL78" s="252">
        <f t="shared" si="61"/>
        <v>0</v>
      </c>
      <c r="AM78" s="252">
        <f t="shared" si="61"/>
        <v>0</v>
      </c>
      <c r="AN78" s="252">
        <f t="shared" si="61"/>
        <v>0</v>
      </c>
      <c r="AO78" s="252">
        <f t="shared" si="61"/>
        <v>0</v>
      </c>
      <c r="AP78" s="252">
        <f t="shared" si="61"/>
        <v>0</v>
      </c>
      <c r="AQ78" s="252">
        <f t="shared" si="61"/>
        <v>0</v>
      </c>
      <c r="AR78" s="252">
        <f t="shared" si="61"/>
        <v>0</v>
      </c>
      <c r="AS78" s="252">
        <f t="shared" si="61"/>
        <v>0</v>
      </c>
      <c r="AT78" s="252">
        <f t="shared" si="61"/>
        <v>0</v>
      </c>
      <c r="AU78" s="252">
        <f t="shared" si="61"/>
        <v>0</v>
      </c>
      <c r="AV78" s="252">
        <f t="shared" si="61"/>
        <v>0</v>
      </c>
      <c r="AW78" s="252">
        <f t="shared" si="61"/>
        <v>0</v>
      </c>
      <c r="AX78" s="252">
        <f t="shared" si="61"/>
        <v>0</v>
      </c>
      <c r="AY78" s="252">
        <f t="shared" si="61"/>
        <v>0</v>
      </c>
      <c r="AZ78" s="252">
        <f t="shared" si="61"/>
        <v>0</v>
      </c>
      <c r="BA78" s="252">
        <f t="shared" si="61"/>
        <v>0</v>
      </c>
      <c r="BB78" s="252">
        <f t="shared" si="61"/>
        <v>0</v>
      </c>
    </row>
    <row r="79" ht="15.75" customHeight="1">
      <c r="A79" s="768">
        <v>1943.0</v>
      </c>
      <c r="B79" s="38"/>
      <c r="C79" s="38"/>
      <c r="D79" s="38"/>
      <c r="E79" s="38"/>
      <c r="F79" s="38"/>
      <c r="G79" s="38"/>
      <c r="H79" s="38"/>
      <c r="I79" s="38"/>
      <c r="J79" s="38"/>
      <c r="K79" s="38"/>
      <c r="L79" s="38"/>
      <c r="M79" s="38"/>
      <c r="N79" s="38"/>
      <c r="O79" s="38"/>
      <c r="P79" s="38"/>
      <c r="Q79" s="38"/>
      <c r="R79" s="38"/>
      <c r="S79" s="740">
        <v>1954.0</v>
      </c>
      <c r="T79" s="740">
        <v>1922.0</v>
      </c>
      <c r="U79" s="38"/>
      <c r="V79" s="769">
        <v>0.0</v>
      </c>
      <c r="W79" s="252">
        <f t="shared" si="49"/>
        <v>0</v>
      </c>
      <c r="X79" s="252">
        <f t="shared" ref="X79:BB79" si="62">IF(AND(X$190-$A79&gt;$V$44,SUM($W79:W79)&lt;&gt;$V79),$V79,0)</f>
        <v>0</v>
      </c>
      <c r="Y79" s="252">
        <f t="shared" si="62"/>
        <v>0</v>
      </c>
      <c r="Z79" s="252">
        <f t="shared" si="62"/>
        <v>0</v>
      </c>
      <c r="AA79" s="252">
        <f t="shared" si="62"/>
        <v>0</v>
      </c>
      <c r="AB79" s="252">
        <f t="shared" si="62"/>
        <v>0</v>
      </c>
      <c r="AC79" s="252">
        <f t="shared" si="62"/>
        <v>0</v>
      </c>
      <c r="AD79" s="252">
        <f t="shared" si="62"/>
        <v>0</v>
      </c>
      <c r="AE79" s="252">
        <f t="shared" si="62"/>
        <v>0</v>
      </c>
      <c r="AF79" s="252">
        <f t="shared" si="62"/>
        <v>0</v>
      </c>
      <c r="AG79" s="252">
        <f t="shared" si="62"/>
        <v>0</v>
      </c>
      <c r="AH79" s="252">
        <f t="shared" si="62"/>
        <v>0</v>
      </c>
      <c r="AI79" s="252">
        <f t="shared" si="62"/>
        <v>0</v>
      </c>
      <c r="AJ79" s="252">
        <f t="shared" si="62"/>
        <v>0</v>
      </c>
      <c r="AK79" s="252">
        <f t="shared" si="62"/>
        <v>0</v>
      </c>
      <c r="AL79" s="252">
        <f t="shared" si="62"/>
        <v>0</v>
      </c>
      <c r="AM79" s="252">
        <f t="shared" si="62"/>
        <v>0</v>
      </c>
      <c r="AN79" s="252">
        <f t="shared" si="62"/>
        <v>0</v>
      </c>
      <c r="AO79" s="252">
        <f t="shared" si="62"/>
        <v>0</v>
      </c>
      <c r="AP79" s="252">
        <f t="shared" si="62"/>
        <v>0</v>
      </c>
      <c r="AQ79" s="252">
        <f t="shared" si="62"/>
        <v>0</v>
      </c>
      <c r="AR79" s="252">
        <f t="shared" si="62"/>
        <v>0</v>
      </c>
      <c r="AS79" s="252">
        <f t="shared" si="62"/>
        <v>0</v>
      </c>
      <c r="AT79" s="252">
        <f t="shared" si="62"/>
        <v>0</v>
      </c>
      <c r="AU79" s="252">
        <f t="shared" si="62"/>
        <v>0</v>
      </c>
      <c r="AV79" s="252">
        <f t="shared" si="62"/>
        <v>0</v>
      </c>
      <c r="AW79" s="252">
        <f t="shared" si="62"/>
        <v>0</v>
      </c>
      <c r="AX79" s="252">
        <f t="shared" si="62"/>
        <v>0</v>
      </c>
      <c r="AY79" s="252">
        <f t="shared" si="62"/>
        <v>0</v>
      </c>
      <c r="AZ79" s="252">
        <f t="shared" si="62"/>
        <v>0</v>
      </c>
      <c r="BA79" s="252">
        <f t="shared" si="62"/>
        <v>0</v>
      </c>
      <c r="BB79" s="252">
        <f t="shared" si="62"/>
        <v>0</v>
      </c>
    </row>
    <row r="80" ht="15.75" customHeight="1">
      <c r="A80" s="768">
        <v>1944.0</v>
      </c>
      <c r="B80" s="38"/>
      <c r="C80" s="38"/>
      <c r="D80" s="38"/>
      <c r="E80" s="38"/>
      <c r="F80" s="38"/>
      <c r="G80" s="38"/>
      <c r="H80" s="38"/>
      <c r="I80" s="38"/>
      <c r="J80" s="38"/>
      <c r="K80" s="38"/>
      <c r="L80" s="38"/>
      <c r="M80" s="38"/>
      <c r="N80" s="38"/>
      <c r="O80" s="38"/>
      <c r="P80" s="38"/>
      <c r="Q80" s="38"/>
      <c r="R80" s="38"/>
      <c r="S80" s="740">
        <v>1955.0</v>
      </c>
      <c r="T80" s="740">
        <v>3734.6</v>
      </c>
      <c r="U80" s="38"/>
      <c r="V80" s="769">
        <v>0.0</v>
      </c>
      <c r="W80" s="252">
        <f t="shared" si="49"/>
        <v>0</v>
      </c>
      <c r="X80" s="252">
        <f t="shared" ref="X80:BB80" si="63">IF(AND(X$190-$A80&gt;$V$44,SUM($W80:W80)&lt;&gt;$V80),$V80,0)</f>
        <v>0</v>
      </c>
      <c r="Y80" s="252">
        <f t="shared" si="63"/>
        <v>0</v>
      </c>
      <c r="Z80" s="252">
        <f t="shared" si="63"/>
        <v>0</v>
      </c>
      <c r="AA80" s="252">
        <f t="shared" si="63"/>
        <v>0</v>
      </c>
      <c r="AB80" s="252">
        <f t="shared" si="63"/>
        <v>0</v>
      </c>
      <c r="AC80" s="252">
        <f t="shared" si="63"/>
        <v>0</v>
      </c>
      <c r="AD80" s="252">
        <f t="shared" si="63"/>
        <v>0</v>
      </c>
      <c r="AE80" s="252">
        <f t="shared" si="63"/>
        <v>0</v>
      </c>
      <c r="AF80" s="252">
        <f t="shared" si="63"/>
        <v>0</v>
      </c>
      <c r="AG80" s="252">
        <f t="shared" si="63"/>
        <v>0</v>
      </c>
      <c r="AH80" s="252">
        <f t="shared" si="63"/>
        <v>0</v>
      </c>
      <c r="AI80" s="252">
        <f t="shared" si="63"/>
        <v>0</v>
      </c>
      <c r="AJ80" s="252">
        <f t="shared" si="63"/>
        <v>0</v>
      </c>
      <c r="AK80" s="252">
        <f t="shared" si="63"/>
        <v>0</v>
      </c>
      <c r="AL80" s="252">
        <f t="shared" si="63"/>
        <v>0</v>
      </c>
      <c r="AM80" s="252">
        <f t="shared" si="63"/>
        <v>0</v>
      </c>
      <c r="AN80" s="252">
        <f t="shared" si="63"/>
        <v>0</v>
      </c>
      <c r="AO80" s="252">
        <f t="shared" si="63"/>
        <v>0</v>
      </c>
      <c r="AP80" s="252">
        <f t="shared" si="63"/>
        <v>0</v>
      </c>
      <c r="AQ80" s="252">
        <f t="shared" si="63"/>
        <v>0</v>
      </c>
      <c r="AR80" s="252">
        <f t="shared" si="63"/>
        <v>0</v>
      </c>
      <c r="AS80" s="252">
        <f t="shared" si="63"/>
        <v>0</v>
      </c>
      <c r="AT80" s="252">
        <f t="shared" si="63"/>
        <v>0</v>
      </c>
      <c r="AU80" s="252">
        <f t="shared" si="63"/>
        <v>0</v>
      </c>
      <c r="AV80" s="252">
        <f t="shared" si="63"/>
        <v>0</v>
      </c>
      <c r="AW80" s="252">
        <f t="shared" si="63"/>
        <v>0</v>
      </c>
      <c r="AX80" s="252">
        <f t="shared" si="63"/>
        <v>0</v>
      </c>
      <c r="AY80" s="252">
        <f t="shared" si="63"/>
        <v>0</v>
      </c>
      <c r="AZ80" s="252">
        <f t="shared" si="63"/>
        <v>0</v>
      </c>
      <c r="BA80" s="252">
        <f t="shared" si="63"/>
        <v>0</v>
      </c>
      <c r="BB80" s="252">
        <f t="shared" si="63"/>
        <v>0</v>
      </c>
    </row>
    <row r="81" ht="15.75" customHeight="1">
      <c r="A81" s="768">
        <v>1945.0</v>
      </c>
      <c r="B81" s="38"/>
      <c r="C81" s="38"/>
      <c r="D81" s="38"/>
      <c r="E81" s="38"/>
      <c r="F81" s="38"/>
      <c r="G81" s="38"/>
      <c r="H81" s="38"/>
      <c r="I81" s="38"/>
      <c r="J81" s="38"/>
      <c r="K81" s="38"/>
      <c r="L81" s="38"/>
      <c r="M81" s="38"/>
      <c r="N81" s="38"/>
      <c r="O81" s="38"/>
      <c r="P81" s="38"/>
      <c r="Q81" s="38"/>
      <c r="R81" s="38"/>
      <c r="S81" s="740">
        <v>1956.0</v>
      </c>
      <c r="T81" s="740">
        <v>586.5</v>
      </c>
      <c r="U81" s="38"/>
      <c r="V81" s="769">
        <v>5.0</v>
      </c>
      <c r="W81" s="252">
        <f t="shared" si="49"/>
        <v>5</v>
      </c>
      <c r="X81" s="252">
        <f t="shared" ref="X81:BB81" si="64">IF(AND(X$190-$A81&gt;$V$44,SUM($W81:W81)&lt;&gt;$V81),$V81,0)</f>
        <v>0</v>
      </c>
      <c r="Y81" s="252">
        <f t="shared" si="64"/>
        <v>0</v>
      </c>
      <c r="Z81" s="252">
        <f t="shared" si="64"/>
        <v>0</v>
      </c>
      <c r="AA81" s="252">
        <f t="shared" si="64"/>
        <v>0</v>
      </c>
      <c r="AB81" s="252">
        <f t="shared" si="64"/>
        <v>0</v>
      </c>
      <c r="AC81" s="252">
        <f t="shared" si="64"/>
        <v>0</v>
      </c>
      <c r="AD81" s="252">
        <f t="shared" si="64"/>
        <v>0</v>
      </c>
      <c r="AE81" s="252">
        <f t="shared" si="64"/>
        <v>0</v>
      </c>
      <c r="AF81" s="252">
        <f t="shared" si="64"/>
        <v>0</v>
      </c>
      <c r="AG81" s="252">
        <f t="shared" si="64"/>
        <v>0</v>
      </c>
      <c r="AH81" s="252">
        <f t="shared" si="64"/>
        <v>0</v>
      </c>
      <c r="AI81" s="252">
        <f t="shared" si="64"/>
        <v>0</v>
      </c>
      <c r="AJ81" s="252">
        <f t="shared" si="64"/>
        <v>0</v>
      </c>
      <c r="AK81" s="252">
        <f t="shared" si="64"/>
        <v>0</v>
      </c>
      <c r="AL81" s="252">
        <f t="shared" si="64"/>
        <v>0</v>
      </c>
      <c r="AM81" s="252">
        <f t="shared" si="64"/>
        <v>0</v>
      </c>
      <c r="AN81" s="252">
        <f t="shared" si="64"/>
        <v>0</v>
      </c>
      <c r="AO81" s="252">
        <f t="shared" si="64"/>
        <v>0</v>
      </c>
      <c r="AP81" s="252">
        <f t="shared" si="64"/>
        <v>0</v>
      </c>
      <c r="AQ81" s="252">
        <f t="shared" si="64"/>
        <v>0</v>
      </c>
      <c r="AR81" s="252">
        <f t="shared" si="64"/>
        <v>0</v>
      </c>
      <c r="AS81" s="252">
        <f t="shared" si="64"/>
        <v>0</v>
      </c>
      <c r="AT81" s="252">
        <f t="shared" si="64"/>
        <v>0</v>
      </c>
      <c r="AU81" s="252">
        <f t="shared" si="64"/>
        <v>0</v>
      </c>
      <c r="AV81" s="252">
        <f t="shared" si="64"/>
        <v>0</v>
      </c>
      <c r="AW81" s="252">
        <f t="shared" si="64"/>
        <v>0</v>
      </c>
      <c r="AX81" s="252">
        <f t="shared" si="64"/>
        <v>0</v>
      </c>
      <c r="AY81" s="252">
        <f t="shared" si="64"/>
        <v>0</v>
      </c>
      <c r="AZ81" s="252">
        <f t="shared" si="64"/>
        <v>0</v>
      </c>
      <c r="BA81" s="252">
        <f t="shared" si="64"/>
        <v>0</v>
      </c>
      <c r="BB81" s="252">
        <f t="shared" si="64"/>
        <v>0</v>
      </c>
    </row>
    <row r="82" ht="15.75" customHeight="1">
      <c r="A82" s="768">
        <v>1946.0</v>
      </c>
      <c r="B82" s="38"/>
      <c r="C82" s="38"/>
      <c r="D82" s="38"/>
      <c r="E82" s="38"/>
      <c r="F82" s="38"/>
      <c r="G82" s="38"/>
      <c r="H82" s="38"/>
      <c r="I82" s="38"/>
      <c r="J82" s="38"/>
      <c r="K82" s="38"/>
      <c r="L82" s="38"/>
      <c r="M82" s="38"/>
      <c r="N82" s="38"/>
      <c r="O82" s="38"/>
      <c r="P82" s="38"/>
      <c r="Q82" s="38"/>
      <c r="R82" s="38"/>
      <c r="S82" s="740">
        <v>1957.0</v>
      </c>
      <c r="T82" s="740">
        <v>1143.8</v>
      </c>
      <c r="U82" s="38"/>
      <c r="V82" s="769">
        <v>0.0</v>
      </c>
      <c r="W82" s="252">
        <f t="shared" si="49"/>
        <v>0</v>
      </c>
      <c r="X82" s="252">
        <f t="shared" ref="X82:BB82" si="65">IF(AND(X$190-$A82&gt;$V$44,SUM($W82:W82)&lt;&gt;$V82),$V82,0)</f>
        <v>0</v>
      </c>
      <c r="Y82" s="252">
        <f t="shared" si="65"/>
        <v>0</v>
      </c>
      <c r="Z82" s="252">
        <f t="shared" si="65"/>
        <v>0</v>
      </c>
      <c r="AA82" s="252">
        <f t="shared" si="65"/>
        <v>0</v>
      </c>
      <c r="AB82" s="252">
        <f t="shared" si="65"/>
        <v>0</v>
      </c>
      <c r="AC82" s="252">
        <f t="shared" si="65"/>
        <v>0</v>
      </c>
      <c r="AD82" s="252">
        <f t="shared" si="65"/>
        <v>0</v>
      </c>
      <c r="AE82" s="252">
        <f t="shared" si="65"/>
        <v>0</v>
      </c>
      <c r="AF82" s="252">
        <f t="shared" si="65"/>
        <v>0</v>
      </c>
      <c r="AG82" s="252">
        <f t="shared" si="65"/>
        <v>0</v>
      </c>
      <c r="AH82" s="252">
        <f t="shared" si="65"/>
        <v>0</v>
      </c>
      <c r="AI82" s="252">
        <f t="shared" si="65"/>
        <v>0</v>
      </c>
      <c r="AJ82" s="252">
        <f t="shared" si="65"/>
        <v>0</v>
      </c>
      <c r="AK82" s="252">
        <f t="shared" si="65"/>
        <v>0</v>
      </c>
      <c r="AL82" s="252">
        <f t="shared" si="65"/>
        <v>0</v>
      </c>
      <c r="AM82" s="252">
        <f t="shared" si="65"/>
        <v>0</v>
      </c>
      <c r="AN82" s="252">
        <f t="shared" si="65"/>
        <v>0</v>
      </c>
      <c r="AO82" s="252">
        <f t="shared" si="65"/>
        <v>0</v>
      </c>
      <c r="AP82" s="252">
        <f t="shared" si="65"/>
        <v>0</v>
      </c>
      <c r="AQ82" s="252">
        <f t="shared" si="65"/>
        <v>0</v>
      </c>
      <c r="AR82" s="252">
        <f t="shared" si="65"/>
        <v>0</v>
      </c>
      <c r="AS82" s="252">
        <f t="shared" si="65"/>
        <v>0</v>
      </c>
      <c r="AT82" s="252">
        <f t="shared" si="65"/>
        <v>0</v>
      </c>
      <c r="AU82" s="252">
        <f t="shared" si="65"/>
        <v>0</v>
      </c>
      <c r="AV82" s="252">
        <f t="shared" si="65"/>
        <v>0</v>
      </c>
      <c r="AW82" s="252">
        <f t="shared" si="65"/>
        <v>0</v>
      </c>
      <c r="AX82" s="252">
        <f t="shared" si="65"/>
        <v>0</v>
      </c>
      <c r="AY82" s="252">
        <f t="shared" si="65"/>
        <v>0</v>
      </c>
      <c r="AZ82" s="252">
        <f t="shared" si="65"/>
        <v>0</v>
      </c>
      <c r="BA82" s="252">
        <f t="shared" si="65"/>
        <v>0</v>
      </c>
      <c r="BB82" s="252">
        <f t="shared" si="65"/>
        <v>0</v>
      </c>
    </row>
    <row r="83" ht="15.75" customHeight="1">
      <c r="A83" s="768">
        <v>1947.0</v>
      </c>
      <c r="B83" s="38"/>
      <c r="C83" s="38"/>
      <c r="D83" s="38"/>
      <c r="E83" s="38"/>
      <c r="F83" s="38"/>
      <c r="G83" s="38"/>
      <c r="H83" s="38"/>
      <c r="I83" s="38"/>
      <c r="J83" s="38"/>
      <c r="K83" s="38"/>
      <c r="L83" s="38"/>
      <c r="M83" s="38"/>
      <c r="N83" s="38"/>
      <c r="O83" s="38"/>
      <c r="P83" s="38"/>
      <c r="Q83" s="38"/>
      <c r="R83" s="38"/>
      <c r="S83" s="740">
        <v>1958.0</v>
      </c>
      <c r="T83" s="740">
        <v>1937.6999999999998</v>
      </c>
      <c r="U83" s="38"/>
      <c r="V83" s="769">
        <v>0.0</v>
      </c>
      <c r="W83" s="252">
        <f t="shared" si="49"/>
        <v>0</v>
      </c>
      <c r="X83" s="252">
        <f t="shared" ref="X83:BB83" si="66">IF(AND(X$190-$A83&gt;$V$44,SUM($W83:W83)&lt;&gt;$V83),$V83,0)</f>
        <v>0</v>
      </c>
      <c r="Y83" s="252">
        <f t="shared" si="66"/>
        <v>0</v>
      </c>
      <c r="Z83" s="252">
        <f t="shared" si="66"/>
        <v>0</v>
      </c>
      <c r="AA83" s="252">
        <f t="shared" si="66"/>
        <v>0</v>
      </c>
      <c r="AB83" s="252">
        <f t="shared" si="66"/>
        <v>0</v>
      </c>
      <c r="AC83" s="252">
        <f t="shared" si="66"/>
        <v>0</v>
      </c>
      <c r="AD83" s="252">
        <f t="shared" si="66"/>
        <v>0</v>
      </c>
      <c r="AE83" s="252">
        <f t="shared" si="66"/>
        <v>0</v>
      </c>
      <c r="AF83" s="252">
        <f t="shared" si="66"/>
        <v>0</v>
      </c>
      <c r="AG83" s="252">
        <f t="shared" si="66"/>
        <v>0</v>
      </c>
      <c r="AH83" s="252">
        <f t="shared" si="66"/>
        <v>0</v>
      </c>
      <c r="AI83" s="252">
        <f t="shared" si="66"/>
        <v>0</v>
      </c>
      <c r="AJ83" s="252">
        <f t="shared" si="66"/>
        <v>0</v>
      </c>
      <c r="AK83" s="252">
        <f t="shared" si="66"/>
        <v>0</v>
      </c>
      <c r="AL83" s="252">
        <f t="shared" si="66"/>
        <v>0</v>
      </c>
      <c r="AM83" s="252">
        <f t="shared" si="66"/>
        <v>0</v>
      </c>
      <c r="AN83" s="252">
        <f t="shared" si="66"/>
        <v>0</v>
      </c>
      <c r="AO83" s="252">
        <f t="shared" si="66"/>
        <v>0</v>
      </c>
      <c r="AP83" s="252">
        <f t="shared" si="66"/>
        <v>0</v>
      </c>
      <c r="AQ83" s="252">
        <f t="shared" si="66"/>
        <v>0</v>
      </c>
      <c r="AR83" s="252">
        <f t="shared" si="66"/>
        <v>0</v>
      </c>
      <c r="AS83" s="252">
        <f t="shared" si="66"/>
        <v>0</v>
      </c>
      <c r="AT83" s="252">
        <f t="shared" si="66"/>
        <v>0</v>
      </c>
      <c r="AU83" s="252">
        <f t="shared" si="66"/>
        <v>0</v>
      </c>
      <c r="AV83" s="252">
        <f t="shared" si="66"/>
        <v>0</v>
      </c>
      <c r="AW83" s="252">
        <f t="shared" si="66"/>
        <v>0</v>
      </c>
      <c r="AX83" s="252">
        <f t="shared" si="66"/>
        <v>0</v>
      </c>
      <c r="AY83" s="252">
        <f t="shared" si="66"/>
        <v>0</v>
      </c>
      <c r="AZ83" s="252">
        <f t="shared" si="66"/>
        <v>0</v>
      </c>
      <c r="BA83" s="252">
        <f t="shared" si="66"/>
        <v>0</v>
      </c>
      <c r="BB83" s="252">
        <f t="shared" si="66"/>
        <v>0</v>
      </c>
    </row>
    <row r="84" ht="15.75" customHeight="1">
      <c r="A84" s="768">
        <v>1948.0</v>
      </c>
      <c r="B84" s="38"/>
      <c r="C84" s="38"/>
      <c r="D84" s="38"/>
      <c r="E84" s="38"/>
      <c r="F84" s="38"/>
      <c r="G84" s="38"/>
      <c r="H84" s="38"/>
      <c r="I84" s="38"/>
      <c r="J84" s="38"/>
      <c r="K84" s="38"/>
      <c r="L84" s="38"/>
      <c r="M84" s="38"/>
      <c r="N84" s="38"/>
      <c r="O84" s="38"/>
      <c r="P84" s="38"/>
      <c r="Q84" s="38"/>
      <c r="R84" s="38"/>
      <c r="S84" s="740">
        <v>1959.0</v>
      </c>
      <c r="T84" s="740">
        <v>3700.0</v>
      </c>
      <c r="U84" s="38"/>
      <c r="V84" s="770">
        <v>0.0</v>
      </c>
      <c r="W84" s="252">
        <f t="shared" si="49"/>
        <v>0</v>
      </c>
      <c r="X84" s="252">
        <f t="shared" ref="X84:BB84" si="67">IF(AND(X$190-$A84&gt;$V$44,SUM($W84:W84)&lt;&gt;$V84),$V84,0)</f>
        <v>0</v>
      </c>
      <c r="Y84" s="252">
        <f t="shared" si="67"/>
        <v>0</v>
      </c>
      <c r="Z84" s="252">
        <f t="shared" si="67"/>
        <v>0</v>
      </c>
      <c r="AA84" s="252">
        <f t="shared" si="67"/>
        <v>0</v>
      </c>
      <c r="AB84" s="252">
        <f t="shared" si="67"/>
        <v>0</v>
      </c>
      <c r="AC84" s="252">
        <f t="shared" si="67"/>
        <v>0</v>
      </c>
      <c r="AD84" s="252">
        <f t="shared" si="67"/>
        <v>0</v>
      </c>
      <c r="AE84" s="252">
        <f t="shared" si="67"/>
        <v>0</v>
      </c>
      <c r="AF84" s="252">
        <f t="shared" si="67"/>
        <v>0</v>
      </c>
      <c r="AG84" s="252">
        <f t="shared" si="67"/>
        <v>0</v>
      </c>
      <c r="AH84" s="252">
        <f t="shared" si="67"/>
        <v>0</v>
      </c>
      <c r="AI84" s="252">
        <f t="shared" si="67"/>
        <v>0</v>
      </c>
      <c r="AJ84" s="252">
        <f t="shared" si="67"/>
        <v>0</v>
      </c>
      <c r="AK84" s="252">
        <f t="shared" si="67"/>
        <v>0</v>
      </c>
      <c r="AL84" s="252">
        <f t="shared" si="67"/>
        <v>0</v>
      </c>
      <c r="AM84" s="252">
        <f t="shared" si="67"/>
        <v>0</v>
      </c>
      <c r="AN84" s="252">
        <f t="shared" si="67"/>
        <v>0</v>
      </c>
      <c r="AO84" s="252">
        <f t="shared" si="67"/>
        <v>0</v>
      </c>
      <c r="AP84" s="252">
        <f t="shared" si="67"/>
        <v>0</v>
      </c>
      <c r="AQ84" s="252">
        <f t="shared" si="67"/>
        <v>0</v>
      </c>
      <c r="AR84" s="252">
        <f t="shared" si="67"/>
        <v>0</v>
      </c>
      <c r="AS84" s="252">
        <f t="shared" si="67"/>
        <v>0</v>
      </c>
      <c r="AT84" s="252">
        <f t="shared" si="67"/>
        <v>0</v>
      </c>
      <c r="AU84" s="252">
        <f t="shared" si="67"/>
        <v>0</v>
      </c>
      <c r="AV84" s="252">
        <f t="shared" si="67"/>
        <v>0</v>
      </c>
      <c r="AW84" s="252">
        <f t="shared" si="67"/>
        <v>0</v>
      </c>
      <c r="AX84" s="252">
        <f t="shared" si="67"/>
        <v>0</v>
      </c>
      <c r="AY84" s="252">
        <f t="shared" si="67"/>
        <v>0</v>
      </c>
      <c r="AZ84" s="252">
        <f t="shared" si="67"/>
        <v>0</v>
      </c>
      <c r="BA84" s="252">
        <f t="shared" si="67"/>
        <v>0</v>
      </c>
      <c r="BB84" s="252">
        <f t="shared" si="67"/>
        <v>0</v>
      </c>
    </row>
    <row r="85" ht="15.75" customHeight="1">
      <c r="A85" s="768">
        <v>1949.0</v>
      </c>
      <c r="B85" s="38"/>
      <c r="C85" s="38"/>
      <c r="D85" s="38"/>
      <c r="E85" s="38"/>
      <c r="F85" s="38"/>
      <c r="G85" s="38"/>
      <c r="H85" s="38"/>
      <c r="I85" s="38"/>
      <c r="J85" s="38"/>
      <c r="K85" s="38"/>
      <c r="L85" s="38"/>
      <c r="M85" s="38"/>
      <c r="N85" s="38"/>
      <c r="O85" s="38"/>
      <c r="P85" s="38"/>
      <c r="Q85" s="38"/>
      <c r="R85" s="38"/>
      <c r="S85" s="740">
        <v>1960.0</v>
      </c>
      <c r="T85" s="740">
        <v>1381.1999999999998</v>
      </c>
      <c r="U85" s="38"/>
      <c r="V85" s="770">
        <v>0.0</v>
      </c>
      <c r="W85" s="252">
        <f t="shared" si="49"/>
        <v>0</v>
      </c>
      <c r="X85" s="252">
        <f t="shared" ref="X85:BB85" si="68">IF(AND(X$190-$A85&gt;$V$44,SUM($W85:W85)&lt;&gt;$V85),$V85,0)</f>
        <v>0</v>
      </c>
      <c r="Y85" s="252">
        <f t="shared" si="68"/>
        <v>0</v>
      </c>
      <c r="Z85" s="252">
        <f t="shared" si="68"/>
        <v>0</v>
      </c>
      <c r="AA85" s="252">
        <f t="shared" si="68"/>
        <v>0</v>
      </c>
      <c r="AB85" s="252">
        <f t="shared" si="68"/>
        <v>0</v>
      </c>
      <c r="AC85" s="252">
        <f t="shared" si="68"/>
        <v>0</v>
      </c>
      <c r="AD85" s="252">
        <f t="shared" si="68"/>
        <v>0</v>
      </c>
      <c r="AE85" s="252">
        <f t="shared" si="68"/>
        <v>0</v>
      </c>
      <c r="AF85" s="252">
        <f t="shared" si="68"/>
        <v>0</v>
      </c>
      <c r="AG85" s="252">
        <f t="shared" si="68"/>
        <v>0</v>
      </c>
      <c r="AH85" s="252">
        <f t="shared" si="68"/>
        <v>0</v>
      </c>
      <c r="AI85" s="252">
        <f t="shared" si="68"/>
        <v>0</v>
      </c>
      <c r="AJ85" s="252">
        <f t="shared" si="68"/>
        <v>0</v>
      </c>
      <c r="AK85" s="252">
        <f t="shared" si="68"/>
        <v>0</v>
      </c>
      <c r="AL85" s="252">
        <f t="shared" si="68"/>
        <v>0</v>
      </c>
      <c r="AM85" s="252">
        <f t="shared" si="68"/>
        <v>0</v>
      </c>
      <c r="AN85" s="252">
        <f t="shared" si="68"/>
        <v>0</v>
      </c>
      <c r="AO85" s="252">
        <f t="shared" si="68"/>
        <v>0</v>
      </c>
      <c r="AP85" s="252">
        <f t="shared" si="68"/>
        <v>0</v>
      </c>
      <c r="AQ85" s="252">
        <f t="shared" si="68"/>
        <v>0</v>
      </c>
      <c r="AR85" s="252">
        <f t="shared" si="68"/>
        <v>0</v>
      </c>
      <c r="AS85" s="252">
        <f t="shared" si="68"/>
        <v>0</v>
      </c>
      <c r="AT85" s="252">
        <f t="shared" si="68"/>
        <v>0</v>
      </c>
      <c r="AU85" s="252">
        <f t="shared" si="68"/>
        <v>0</v>
      </c>
      <c r="AV85" s="252">
        <f t="shared" si="68"/>
        <v>0</v>
      </c>
      <c r="AW85" s="252">
        <f t="shared" si="68"/>
        <v>0</v>
      </c>
      <c r="AX85" s="252">
        <f t="shared" si="68"/>
        <v>0</v>
      </c>
      <c r="AY85" s="252">
        <f t="shared" si="68"/>
        <v>0</v>
      </c>
      <c r="AZ85" s="252">
        <f t="shared" si="68"/>
        <v>0</v>
      </c>
      <c r="BA85" s="252">
        <f t="shared" si="68"/>
        <v>0</v>
      </c>
      <c r="BB85" s="252">
        <f t="shared" si="68"/>
        <v>0</v>
      </c>
    </row>
    <row r="86" ht="15.75" customHeight="1">
      <c r="A86" s="768">
        <v>1950.0</v>
      </c>
      <c r="B86" s="38"/>
      <c r="C86" s="38"/>
      <c r="D86" s="38"/>
      <c r="E86" s="38"/>
      <c r="F86" s="38"/>
      <c r="G86" s="38"/>
      <c r="H86" s="38"/>
      <c r="I86" s="38"/>
      <c r="J86" s="38"/>
      <c r="K86" s="38"/>
      <c r="L86" s="38"/>
      <c r="M86" s="38"/>
      <c r="N86" s="38"/>
      <c r="O86" s="38"/>
      <c r="P86" s="38"/>
      <c r="Q86" s="38"/>
      <c r="R86" s="38"/>
      <c r="S86" s="740">
        <v>1961.0</v>
      </c>
      <c r="T86" s="740">
        <v>2208.0</v>
      </c>
      <c r="U86" s="38"/>
      <c r="V86" s="770">
        <v>0.0</v>
      </c>
      <c r="W86" s="252">
        <f t="shared" si="49"/>
        <v>0</v>
      </c>
      <c r="X86" s="252">
        <f t="shared" ref="X86:BB86" si="69">IF(AND(X$190-$A86&gt;$V$44,SUM($W86:W86)&lt;&gt;$V86),$V86,0)</f>
        <v>0</v>
      </c>
      <c r="Y86" s="252">
        <f t="shared" si="69"/>
        <v>0</v>
      </c>
      <c r="Z86" s="252">
        <f t="shared" si="69"/>
        <v>0</v>
      </c>
      <c r="AA86" s="252">
        <f t="shared" si="69"/>
        <v>0</v>
      </c>
      <c r="AB86" s="252">
        <f t="shared" si="69"/>
        <v>0</v>
      </c>
      <c r="AC86" s="252">
        <f t="shared" si="69"/>
        <v>0</v>
      </c>
      <c r="AD86" s="252">
        <f t="shared" si="69"/>
        <v>0</v>
      </c>
      <c r="AE86" s="252">
        <f t="shared" si="69"/>
        <v>0</v>
      </c>
      <c r="AF86" s="252">
        <f t="shared" si="69"/>
        <v>0</v>
      </c>
      <c r="AG86" s="252">
        <f t="shared" si="69"/>
        <v>0</v>
      </c>
      <c r="AH86" s="252">
        <f t="shared" si="69"/>
        <v>0</v>
      </c>
      <c r="AI86" s="252">
        <f t="shared" si="69"/>
        <v>0</v>
      </c>
      <c r="AJ86" s="252">
        <f t="shared" si="69"/>
        <v>0</v>
      </c>
      <c r="AK86" s="252">
        <f t="shared" si="69"/>
        <v>0</v>
      </c>
      <c r="AL86" s="252">
        <f t="shared" si="69"/>
        <v>0</v>
      </c>
      <c r="AM86" s="252">
        <f t="shared" si="69"/>
        <v>0</v>
      </c>
      <c r="AN86" s="252">
        <f t="shared" si="69"/>
        <v>0</v>
      </c>
      <c r="AO86" s="252">
        <f t="shared" si="69"/>
        <v>0</v>
      </c>
      <c r="AP86" s="252">
        <f t="shared" si="69"/>
        <v>0</v>
      </c>
      <c r="AQ86" s="252">
        <f t="shared" si="69"/>
        <v>0</v>
      </c>
      <c r="AR86" s="252">
        <f t="shared" si="69"/>
        <v>0</v>
      </c>
      <c r="AS86" s="252">
        <f t="shared" si="69"/>
        <v>0</v>
      </c>
      <c r="AT86" s="252">
        <f t="shared" si="69"/>
        <v>0</v>
      </c>
      <c r="AU86" s="252">
        <f t="shared" si="69"/>
        <v>0</v>
      </c>
      <c r="AV86" s="252">
        <f t="shared" si="69"/>
        <v>0</v>
      </c>
      <c r="AW86" s="252">
        <f t="shared" si="69"/>
        <v>0</v>
      </c>
      <c r="AX86" s="252">
        <f t="shared" si="69"/>
        <v>0</v>
      </c>
      <c r="AY86" s="252">
        <f t="shared" si="69"/>
        <v>0</v>
      </c>
      <c r="AZ86" s="252">
        <f t="shared" si="69"/>
        <v>0</v>
      </c>
      <c r="BA86" s="252">
        <f t="shared" si="69"/>
        <v>0</v>
      </c>
      <c r="BB86" s="252">
        <f t="shared" si="69"/>
        <v>0</v>
      </c>
    </row>
    <row r="87" ht="15.75" customHeight="1">
      <c r="A87" s="768">
        <v>1951.0</v>
      </c>
      <c r="B87" s="38"/>
      <c r="C87" s="38"/>
      <c r="D87" s="38"/>
      <c r="E87" s="38"/>
      <c r="F87" s="38"/>
      <c r="G87" s="38"/>
      <c r="H87" s="38"/>
      <c r="I87" s="38"/>
      <c r="J87" s="38"/>
      <c r="K87" s="38"/>
      <c r="L87" s="38"/>
      <c r="M87" s="38"/>
      <c r="N87" s="38"/>
      <c r="O87" s="38"/>
      <c r="P87" s="38"/>
      <c r="Q87" s="38"/>
      <c r="R87" s="38"/>
      <c r="S87" s="740">
        <v>1962.0</v>
      </c>
      <c r="T87" s="740">
        <v>1400.3000000000002</v>
      </c>
      <c r="U87" s="38"/>
      <c r="V87" s="770">
        <v>0.0</v>
      </c>
      <c r="W87" s="252">
        <f t="shared" si="49"/>
        <v>0</v>
      </c>
      <c r="X87" s="252">
        <f t="shared" ref="X87:BB87" si="70">IF(AND(X$190-$A87&gt;$V$44,SUM($W87:W87)&lt;&gt;$V87),$V87,0)</f>
        <v>0</v>
      </c>
      <c r="Y87" s="252">
        <f t="shared" si="70"/>
        <v>0</v>
      </c>
      <c r="Z87" s="252">
        <f t="shared" si="70"/>
        <v>0</v>
      </c>
      <c r="AA87" s="252">
        <f t="shared" si="70"/>
        <v>0</v>
      </c>
      <c r="AB87" s="252">
        <f t="shared" si="70"/>
        <v>0</v>
      </c>
      <c r="AC87" s="252">
        <f t="shared" si="70"/>
        <v>0</v>
      </c>
      <c r="AD87" s="252">
        <f t="shared" si="70"/>
        <v>0</v>
      </c>
      <c r="AE87" s="252">
        <f t="shared" si="70"/>
        <v>0</v>
      </c>
      <c r="AF87" s="252">
        <f t="shared" si="70"/>
        <v>0</v>
      </c>
      <c r="AG87" s="252">
        <f t="shared" si="70"/>
        <v>0</v>
      </c>
      <c r="AH87" s="252">
        <f t="shared" si="70"/>
        <v>0</v>
      </c>
      <c r="AI87" s="252">
        <f t="shared" si="70"/>
        <v>0</v>
      </c>
      <c r="AJ87" s="252">
        <f t="shared" si="70"/>
        <v>0</v>
      </c>
      <c r="AK87" s="252">
        <f t="shared" si="70"/>
        <v>0</v>
      </c>
      <c r="AL87" s="252">
        <f t="shared" si="70"/>
        <v>0</v>
      </c>
      <c r="AM87" s="252">
        <f t="shared" si="70"/>
        <v>0</v>
      </c>
      <c r="AN87" s="252">
        <f t="shared" si="70"/>
        <v>0</v>
      </c>
      <c r="AO87" s="252">
        <f t="shared" si="70"/>
        <v>0</v>
      </c>
      <c r="AP87" s="252">
        <f t="shared" si="70"/>
        <v>0</v>
      </c>
      <c r="AQ87" s="252">
        <f t="shared" si="70"/>
        <v>0</v>
      </c>
      <c r="AR87" s="252">
        <f t="shared" si="70"/>
        <v>0</v>
      </c>
      <c r="AS87" s="252">
        <f t="shared" si="70"/>
        <v>0</v>
      </c>
      <c r="AT87" s="252">
        <f t="shared" si="70"/>
        <v>0</v>
      </c>
      <c r="AU87" s="252">
        <f t="shared" si="70"/>
        <v>0</v>
      </c>
      <c r="AV87" s="252">
        <f t="shared" si="70"/>
        <v>0</v>
      </c>
      <c r="AW87" s="252">
        <f t="shared" si="70"/>
        <v>0</v>
      </c>
      <c r="AX87" s="252">
        <f t="shared" si="70"/>
        <v>0</v>
      </c>
      <c r="AY87" s="252">
        <f t="shared" si="70"/>
        <v>0</v>
      </c>
      <c r="AZ87" s="252">
        <f t="shared" si="70"/>
        <v>0</v>
      </c>
      <c r="BA87" s="252">
        <f t="shared" si="70"/>
        <v>0</v>
      </c>
      <c r="BB87" s="252">
        <f t="shared" si="70"/>
        <v>0</v>
      </c>
    </row>
    <row r="88" ht="15.75" customHeight="1">
      <c r="A88" s="768">
        <v>1952.0</v>
      </c>
      <c r="B88" s="38"/>
      <c r="C88" s="38"/>
      <c r="D88" s="38"/>
      <c r="E88" s="38"/>
      <c r="F88" s="38"/>
      <c r="G88" s="38"/>
      <c r="H88" s="38"/>
      <c r="I88" s="38"/>
      <c r="J88" s="38"/>
      <c r="K88" s="38"/>
      <c r="L88" s="38"/>
      <c r="M88" s="38"/>
      <c r="N88" s="38"/>
      <c r="O88" s="38"/>
      <c r="P88" s="38"/>
      <c r="Q88" s="38"/>
      <c r="R88" s="38"/>
      <c r="S88" s="740">
        <v>1963.0</v>
      </c>
      <c r="T88" s="740">
        <v>1369.2</v>
      </c>
      <c r="U88" s="38"/>
      <c r="V88" s="770">
        <v>0.0</v>
      </c>
      <c r="W88" s="252">
        <f t="shared" si="49"/>
        <v>0</v>
      </c>
      <c r="X88" s="252">
        <f t="shared" ref="X88:BB88" si="71">IF(AND(X$190-$A88&gt;$V$44,SUM($W88:W88)&lt;&gt;$V88),$V88,0)</f>
        <v>0</v>
      </c>
      <c r="Y88" s="252">
        <f t="shared" si="71"/>
        <v>0</v>
      </c>
      <c r="Z88" s="252">
        <f t="shared" si="71"/>
        <v>0</v>
      </c>
      <c r="AA88" s="252">
        <f t="shared" si="71"/>
        <v>0</v>
      </c>
      <c r="AB88" s="252">
        <f t="shared" si="71"/>
        <v>0</v>
      </c>
      <c r="AC88" s="252">
        <f t="shared" si="71"/>
        <v>0</v>
      </c>
      <c r="AD88" s="252">
        <f t="shared" si="71"/>
        <v>0</v>
      </c>
      <c r="AE88" s="252">
        <f t="shared" si="71"/>
        <v>0</v>
      </c>
      <c r="AF88" s="252">
        <f t="shared" si="71"/>
        <v>0</v>
      </c>
      <c r="AG88" s="252">
        <f t="shared" si="71"/>
        <v>0</v>
      </c>
      <c r="AH88" s="252">
        <f t="shared" si="71"/>
        <v>0</v>
      </c>
      <c r="AI88" s="252">
        <f t="shared" si="71"/>
        <v>0</v>
      </c>
      <c r="AJ88" s="252">
        <f t="shared" si="71"/>
        <v>0</v>
      </c>
      <c r="AK88" s="252">
        <f t="shared" si="71"/>
        <v>0</v>
      </c>
      <c r="AL88" s="252">
        <f t="shared" si="71"/>
        <v>0</v>
      </c>
      <c r="AM88" s="252">
        <f t="shared" si="71"/>
        <v>0</v>
      </c>
      <c r="AN88" s="252">
        <f t="shared" si="71"/>
        <v>0</v>
      </c>
      <c r="AO88" s="252">
        <f t="shared" si="71"/>
        <v>0</v>
      </c>
      <c r="AP88" s="252">
        <f t="shared" si="71"/>
        <v>0</v>
      </c>
      <c r="AQ88" s="252">
        <f t="shared" si="71"/>
        <v>0</v>
      </c>
      <c r="AR88" s="252">
        <f t="shared" si="71"/>
        <v>0</v>
      </c>
      <c r="AS88" s="252">
        <f t="shared" si="71"/>
        <v>0</v>
      </c>
      <c r="AT88" s="252">
        <f t="shared" si="71"/>
        <v>0</v>
      </c>
      <c r="AU88" s="252">
        <f t="shared" si="71"/>
        <v>0</v>
      </c>
      <c r="AV88" s="252">
        <f t="shared" si="71"/>
        <v>0</v>
      </c>
      <c r="AW88" s="252">
        <f t="shared" si="71"/>
        <v>0</v>
      </c>
      <c r="AX88" s="252">
        <f t="shared" si="71"/>
        <v>0</v>
      </c>
      <c r="AY88" s="252">
        <f t="shared" si="71"/>
        <v>0</v>
      </c>
      <c r="AZ88" s="252">
        <f t="shared" si="71"/>
        <v>0</v>
      </c>
      <c r="BA88" s="252">
        <f t="shared" si="71"/>
        <v>0</v>
      </c>
      <c r="BB88" s="252">
        <f t="shared" si="71"/>
        <v>0</v>
      </c>
    </row>
    <row r="89" ht="15.75" customHeight="1">
      <c r="A89" s="768">
        <v>1953.0</v>
      </c>
      <c r="B89" s="38"/>
      <c r="C89" s="38"/>
      <c r="D89" s="38"/>
      <c r="E89" s="38"/>
      <c r="F89" s="38"/>
      <c r="G89" s="38"/>
      <c r="H89" s="38"/>
      <c r="I89" s="38"/>
      <c r="J89" s="38"/>
      <c r="K89" s="38"/>
      <c r="L89" s="38"/>
      <c r="M89" s="38"/>
      <c r="N89" s="38"/>
      <c r="O89" s="38"/>
      <c r="P89" s="38"/>
      <c r="Q89" s="38"/>
      <c r="R89" s="38"/>
      <c r="S89" s="740">
        <v>1964.0</v>
      </c>
      <c r="T89" s="740">
        <v>2006.7</v>
      </c>
      <c r="U89" s="38"/>
      <c r="V89" s="770">
        <v>75.0</v>
      </c>
      <c r="W89" s="252">
        <f t="shared" si="49"/>
        <v>75</v>
      </c>
      <c r="X89" s="252">
        <f t="shared" ref="X89:BB89" si="72">IF(AND(X$190-$A89&gt;$V$44,SUM($W89:W89)&lt;&gt;$V89),$V89,0)</f>
        <v>0</v>
      </c>
      <c r="Y89" s="252">
        <f t="shared" si="72"/>
        <v>0</v>
      </c>
      <c r="Z89" s="252">
        <f t="shared" si="72"/>
        <v>0</v>
      </c>
      <c r="AA89" s="252">
        <f t="shared" si="72"/>
        <v>0</v>
      </c>
      <c r="AB89" s="252">
        <f t="shared" si="72"/>
        <v>0</v>
      </c>
      <c r="AC89" s="252">
        <f t="shared" si="72"/>
        <v>0</v>
      </c>
      <c r="AD89" s="252">
        <f t="shared" si="72"/>
        <v>0</v>
      </c>
      <c r="AE89" s="252">
        <f t="shared" si="72"/>
        <v>0</v>
      </c>
      <c r="AF89" s="252">
        <f t="shared" si="72"/>
        <v>0</v>
      </c>
      <c r="AG89" s="252">
        <f t="shared" si="72"/>
        <v>0</v>
      </c>
      <c r="AH89" s="252">
        <f t="shared" si="72"/>
        <v>0</v>
      </c>
      <c r="AI89" s="252">
        <f t="shared" si="72"/>
        <v>0</v>
      </c>
      <c r="AJ89" s="252">
        <f t="shared" si="72"/>
        <v>0</v>
      </c>
      <c r="AK89" s="252">
        <f t="shared" si="72"/>
        <v>0</v>
      </c>
      <c r="AL89" s="252">
        <f t="shared" si="72"/>
        <v>0</v>
      </c>
      <c r="AM89" s="252">
        <f t="shared" si="72"/>
        <v>0</v>
      </c>
      <c r="AN89" s="252">
        <f t="shared" si="72"/>
        <v>0</v>
      </c>
      <c r="AO89" s="252">
        <f t="shared" si="72"/>
        <v>0</v>
      </c>
      <c r="AP89" s="252">
        <f t="shared" si="72"/>
        <v>0</v>
      </c>
      <c r="AQ89" s="252">
        <f t="shared" si="72"/>
        <v>0</v>
      </c>
      <c r="AR89" s="252">
        <f t="shared" si="72"/>
        <v>0</v>
      </c>
      <c r="AS89" s="252">
        <f t="shared" si="72"/>
        <v>0</v>
      </c>
      <c r="AT89" s="252">
        <f t="shared" si="72"/>
        <v>0</v>
      </c>
      <c r="AU89" s="252">
        <f t="shared" si="72"/>
        <v>0</v>
      </c>
      <c r="AV89" s="252">
        <f t="shared" si="72"/>
        <v>0</v>
      </c>
      <c r="AW89" s="252">
        <f t="shared" si="72"/>
        <v>0</v>
      </c>
      <c r="AX89" s="252">
        <f t="shared" si="72"/>
        <v>0</v>
      </c>
      <c r="AY89" s="252">
        <f t="shared" si="72"/>
        <v>0</v>
      </c>
      <c r="AZ89" s="252">
        <f t="shared" si="72"/>
        <v>0</v>
      </c>
      <c r="BA89" s="252">
        <f t="shared" si="72"/>
        <v>0</v>
      </c>
      <c r="BB89" s="252">
        <f t="shared" si="72"/>
        <v>0</v>
      </c>
    </row>
    <row r="90" ht="15.75" customHeight="1">
      <c r="A90" s="768">
        <v>1954.0</v>
      </c>
      <c r="B90" s="38"/>
      <c r="C90" s="38"/>
      <c r="D90" s="38"/>
      <c r="E90" s="38"/>
      <c r="F90" s="38"/>
      <c r="G90" s="38"/>
      <c r="H90" s="38"/>
      <c r="I90" s="38"/>
      <c r="J90" s="38"/>
      <c r="K90" s="38"/>
      <c r="L90" s="38"/>
      <c r="M90" s="38"/>
      <c r="N90" s="38"/>
      <c r="O90" s="38"/>
      <c r="P90" s="38"/>
      <c r="Q90" s="38"/>
      <c r="R90" s="38"/>
      <c r="S90" s="740">
        <v>1965.0</v>
      </c>
      <c r="T90" s="740">
        <v>3012.1</v>
      </c>
      <c r="U90" s="38"/>
      <c r="V90" s="770">
        <v>102.6</v>
      </c>
      <c r="W90" s="252">
        <f t="shared" si="49"/>
        <v>102.6</v>
      </c>
      <c r="X90" s="252">
        <f t="shared" ref="X90:BB90" si="73">IF(AND(X$190-$A90&gt;$V$44,SUM($W90:W90)&lt;&gt;$V90),$V90,0)</f>
        <v>0</v>
      </c>
      <c r="Y90" s="252">
        <f t="shared" si="73"/>
        <v>0</v>
      </c>
      <c r="Z90" s="252">
        <f t="shared" si="73"/>
        <v>0</v>
      </c>
      <c r="AA90" s="252">
        <f t="shared" si="73"/>
        <v>0</v>
      </c>
      <c r="AB90" s="252">
        <f t="shared" si="73"/>
        <v>0</v>
      </c>
      <c r="AC90" s="252">
        <f t="shared" si="73"/>
        <v>0</v>
      </c>
      <c r="AD90" s="252">
        <f t="shared" si="73"/>
        <v>0</v>
      </c>
      <c r="AE90" s="252">
        <f t="shared" si="73"/>
        <v>0</v>
      </c>
      <c r="AF90" s="252">
        <f t="shared" si="73"/>
        <v>0</v>
      </c>
      <c r="AG90" s="252">
        <f t="shared" si="73"/>
        <v>0</v>
      </c>
      <c r="AH90" s="252">
        <f t="shared" si="73"/>
        <v>0</v>
      </c>
      <c r="AI90" s="252">
        <f t="shared" si="73"/>
        <v>0</v>
      </c>
      <c r="AJ90" s="252">
        <f t="shared" si="73"/>
        <v>0</v>
      </c>
      <c r="AK90" s="252">
        <f t="shared" si="73"/>
        <v>0</v>
      </c>
      <c r="AL90" s="252">
        <f t="shared" si="73"/>
        <v>0</v>
      </c>
      <c r="AM90" s="252">
        <f t="shared" si="73"/>
        <v>0</v>
      </c>
      <c r="AN90" s="252">
        <f t="shared" si="73"/>
        <v>0</v>
      </c>
      <c r="AO90" s="252">
        <f t="shared" si="73"/>
        <v>0</v>
      </c>
      <c r="AP90" s="252">
        <f t="shared" si="73"/>
        <v>0</v>
      </c>
      <c r="AQ90" s="252">
        <f t="shared" si="73"/>
        <v>0</v>
      </c>
      <c r="AR90" s="252">
        <f t="shared" si="73"/>
        <v>0</v>
      </c>
      <c r="AS90" s="252">
        <f t="shared" si="73"/>
        <v>0</v>
      </c>
      <c r="AT90" s="252">
        <f t="shared" si="73"/>
        <v>0</v>
      </c>
      <c r="AU90" s="252">
        <f t="shared" si="73"/>
        <v>0</v>
      </c>
      <c r="AV90" s="252">
        <f t="shared" si="73"/>
        <v>0</v>
      </c>
      <c r="AW90" s="252">
        <f t="shared" si="73"/>
        <v>0</v>
      </c>
      <c r="AX90" s="252">
        <f t="shared" si="73"/>
        <v>0</v>
      </c>
      <c r="AY90" s="252">
        <f t="shared" si="73"/>
        <v>0</v>
      </c>
      <c r="AZ90" s="252">
        <f t="shared" si="73"/>
        <v>0</v>
      </c>
      <c r="BA90" s="252">
        <f t="shared" si="73"/>
        <v>0</v>
      </c>
      <c r="BB90" s="252">
        <f t="shared" si="73"/>
        <v>0</v>
      </c>
    </row>
    <row r="91" ht="15.75" customHeight="1">
      <c r="A91" s="768">
        <v>1955.0</v>
      </c>
      <c r="B91" s="38"/>
      <c r="C91" s="38"/>
      <c r="D91" s="38"/>
      <c r="E91" s="38"/>
      <c r="F91" s="38"/>
      <c r="G91" s="38"/>
      <c r="H91" s="38"/>
      <c r="I91" s="38"/>
      <c r="J91" s="38"/>
      <c r="K91" s="38"/>
      <c r="L91" s="38"/>
      <c r="M91" s="38"/>
      <c r="N91" s="38"/>
      <c r="O91" s="38"/>
      <c r="P91" s="38"/>
      <c r="Q91" s="38"/>
      <c r="R91" s="38"/>
      <c r="S91" s="740">
        <v>1966.0</v>
      </c>
      <c r="T91" s="740">
        <v>3232.4</v>
      </c>
      <c r="U91" s="38"/>
      <c r="V91" s="770">
        <v>0.0</v>
      </c>
      <c r="W91" s="252">
        <f t="shared" si="49"/>
        <v>0</v>
      </c>
      <c r="X91" s="252">
        <f t="shared" ref="X91:BB91" si="74">IF(AND(X$190-$A91&gt;$V$44,SUM($W91:W91)&lt;&gt;$V91),$V91,0)</f>
        <v>0</v>
      </c>
      <c r="Y91" s="252">
        <f t="shared" si="74"/>
        <v>0</v>
      </c>
      <c r="Z91" s="252">
        <f t="shared" si="74"/>
        <v>0</v>
      </c>
      <c r="AA91" s="252">
        <f t="shared" si="74"/>
        <v>0</v>
      </c>
      <c r="AB91" s="252">
        <f t="shared" si="74"/>
        <v>0</v>
      </c>
      <c r="AC91" s="252">
        <f t="shared" si="74"/>
        <v>0</v>
      </c>
      <c r="AD91" s="252">
        <f t="shared" si="74"/>
        <v>0</v>
      </c>
      <c r="AE91" s="252">
        <f t="shared" si="74"/>
        <v>0</v>
      </c>
      <c r="AF91" s="252">
        <f t="shared" si="74"/>
        <v>0</v>
      </c>
      <c r="AG91" s="252">
        <f t="shared" si="74"/>
        <v>0</v>
      </c>
      <c r="AH91" s="252">
        <f t="shared" si="74"/>
        <v>0</v>
      </c>
      <c r="AI91" s="252">
        <f t="shared" si="74"/>
        <v>0</v>
      </c>
      <c r="AJ91" s="252">
        <f t="shared" si="74"/>
        <v>0</v>
      </c>
      <c r="AK91" s="252">
        <f t="shared" si="74"/>
        <v>0</v>
      </c>
      <c r="AL91" s="252">
        <f t="shared" si="74"/>
        <v>0</v>
      </c>
      <c r="AM91" s="252">
        <f t="shared" si="74"/>
        <v>0</v>
      </c>
      <c r="AN91" s="252">
        <f t="shared" si="74"/>
        <v>0</v>
      </c>
      <c r="AO91" s="252">
        <f t="shared" si="74"/>
        <v>0</v>
      </c>
      <c r="AP91" s="252">
        <f t="shared" si="74"/>
        <v>0</v>
      </c>
      <c r="AQ91" s="252">
        <f t="shared" si="74"/>
        <v>0</v>
      </c>
      <c r="AR91" s="252">
        <f t="shared" si="74"/>
        <v>0</v>
      </c>
      <c r="AS91" s="252">
        <f t="shared" si="74"/>
        <v>0</v>
      </c>
      <c r="AT91" s="252">
        <f t="shared" si="74"/>
        <v>0</v>
      </c>
      <c r="AU91" s="252">
        <f t="shared" si="74"/>
        <v>0</v>
      </c>
      <c r="AV91" s="252">
        <f t="shared" si="74"/>
        <v>0</v>
      </c>
      <c r="AW91" s="252">
        <f t="shared" si="74"/>
        <v>0</v>
      </c>
      <c r="AX91" s="252">
        <f t="shared" si="74"/>
        <v>0</v>
      </c>
      <c r="AY91" s="252">
        <f t="shared" si="74"/>
        <v>0</v>
      </c>
      <c r="AZ91" s="252">
        <f t="shared" si="74"/>
        <v>0</v>
      </c>
      <c r="BA91" s="252">
        <f t="shared" si="74"/>
        <v>0</v>
      </c>
      <c r="BB91" s="252">
        <f t="shared" si="74"/>
        <v>0</v>
      </c>
    </row>
    <row r="92" ht="15.75" customHeight="1">
      <c r="A92" s="768">
        <v>1956.0</v>
      </c>
      <c r="B92" s="38"/>
      <c r="C92" s="38"/>
      <c r="D92" s="38"/>
      <c r="E92" s="38"/>
      <c r="F92" s="38"/>
      <c r="G92" s="38"/>
      <c r="H92" s="38"/>
      <c r="I92" s="38"/>
      <c r="J92" s="38"/>
      <c r="K92" s="38"/>
      <c r="L92" s="38"/>
      <c r="M92" s="38"/>
      <c r="N92" s="38"/>
      <c r="O92" s="38"/>
      <c r="P92" s="38"/>
      <c r="Q92" s="38"/>
      <c r="R92" s="38"/>
      <c r="S92" s="740">
        <v>1967.0</v>
      </c>
      <c r="T92" s="740">
        <v>5685.1</v>
      </c>
      <c r="U92" s="38"/>
      <c r="V92" s="770">
        <v>0.0</v>
      </c>
      <c r="W92" s="252">
        <f t="shared" si="49"/>
        <v>0</v>
      </c>
      <c r="X92" s="252">
        <f t="shared" ref="X92:BB92" si="75">IF(AND(X$190-$A92&gt;$V$44,SUM($W92:W92)&lt;&gt;$V92),$V92,0)</f>
        <v>0</v>
      </c>
      <c r="Y92" s="252">
        <f t="shared" si="75"/>
        <v>0</v>
      </c>
      <c r="Z92" s="252">
        <f t="shared" si="75"/>
        <v>0</v>
      </c>
      <c r="AA92" s="252">
        <f t="shared" si="75"/>
        <v>0</v>
      </c>
      <c r="AB92" s="252">
        <f t="shared" si="75"/>
        <v>0</v>
      </c>
      <c r="AC92" s="252">
        <f t="shared" si="75"/>
        <v>0</v>
      </c>
      <c r="AD92" s="252">
        <f t="shared" si="75"/>
        <v>0</v>
      </c>
      <c r="AE92" s="252">
        <f t="shared" si="75"/>
        <v>0</v>
      </c>
      <c r="AF92" s="252">
        <f t="shared" si="75"/>
        <v>0</v>
      </c>
      <c r="AG92" s="252">
        <f t="shared" si="75"/>
        <v>0</v>
      </c>
      <c r="AH92" s="252">
        <f t="shared" si="75"/>
        <v>0</v>
      </c>
      <c r="AI92" s="252">
        <f t="shared" si="75"/>
        <v>0</v>
      </c>
      <c r="AJ92" s="252">
        <f t="shared" si="75"/>
        <v>0</v>
      </c>
      <c r="AK92" s="252">
        <f t="shared" si="75"/>
        <v>0</v>
      </c>
      <c r="AL92" s="252">
        <f t="shared" si="75"/>
        <v>0</v>
      </c>
      <c r="AM92" s="252">
        <f t="shared" si="75"/>
        <v>0</v>
      </c>
      <c r="AN92" s="252">
        <f t="shared" si="75"/>
        <v>0</v>
      </c>
      <c r="AO92" s="252">
        <f t="shared" si="75"/>
        <v>0</v>
      </c>
      <c r="AP92" s="252">
        <f t="shared" si="75"/>
        <v>0</v>
      </c>
      <c r="AQ92" s="252">
        <f t="shared" si="75"/>
        <v>0</v>
      </c>
      <c r="AR92" s="252">
        <f t="shared" si="75"/>
        <v>0</v>
      </c>
      <c r="AS92" s="252">
        <f t="shared" si="75"/>
        <v>0</v>
      </c>
      <c r="AT92" s="252">
        <f t="shared" si="75"/>
        <v>0</v>
      </c>
      <c r="AU92" s="252">
        <f t="shared" si="75"/>
        <v>0</v>
      </c>
      <c r="AV92" s="252">
        <f t="shared" si="75"/>
        <v>0</v>
      </c>
      <c r="AW92" s="252">
        <f t="shared" si="75"/>
        <v>0</v>
      </c>
      <c r="AX92" s="252">
        <f t="shared" si="75"/>
        <v>0</v>
      </c>
      <c r="AY92" s="252">
        <f t="shared" si="75"/>
        <v>0</v>
      </c>
      <c r="AZ92" s="252">
        <f t="shared" si="75"/>
        <v>0</v>
      </c>
      <c r="BA92" s="252">
        <f t="shared" si="75"/>
        <v>0</v>
      </c>
      <c r="BB92" s="252">
        <f t="shared" si="75"/>
        <v>0</v>
      </c>
    </row>
    <row r="93" ht="15.75" customHeight="1">
      <c r="A93" s="768">
        <v>1957.0</v>
      </c>
      <c r="B93" s="38"/>
      <c r="C93" s="38"/>
      <c r="D93" s="38"/>
      <c r="E93" s="38"/>
      <c r="F93" s="38"/>
      <c r="G93" s="38"/>
      <c r="H93" s="38"/>
      <c r="I93" s="38"/>
      <c r="J93" s="38"/>
      <c r="K93" s="38"/>
      <c r="L93" s="38"/>
      <c r="M93" s="38"/>
      <c r="N93" s="38"/>
      <c r="O93" s="38"/>
      <c r="P93" s="38"/>
      <c r="Q93" s="38"/>
      <c r="R93" s="38"/>
      <c r="S93" s="740">
        <v>1968.0</v>
      </c>
      <c r="T93" s="740">
        <v>5819.6</v>
      </c>
      <c r="U93" s="38"/>
      <c r="V93" s="770">
        <v>0.0</v>
      </c>
      <c r="W93" s="252">
        <f t="shared" si="49"/>
        <v>0</v>
      </c>
      <c r="X93" s="252">
        <f t="shared" ref="X93:BB93" si="76">IF(AND(X$190-$A93&gt;$V$44,SUM($W93:W93)&lt;&gt;$V93),$V93,0)</f>
        <v>0</v>
      </c>
      <c r="Y93" s="252">
        <f t="shared" si="76"/>
        <v>0</v>
      </c>
      <c r="Z93" s="252">
        <f t="shared" si="76"/>
        <v>0</v>
      </c>
      <c r="AA93" s="252">
        <f t="shared" si="76"/>
        <v>0</v>
      </c>
      <c r="AB93" s="252">
        <f t="shared" si="76"/>
        <v>0</v>
      </c>
      <c r="AC93" s="252">
        <f t="shared" si="76"/>
        <v>0</v>
      </c>
      <c r="AD93" s="252">
        <f t="shared" si="76"/>
        <v>0</v>
      </c>
      <c r="AE93" s="252">
        <f t="shared" si="76"/>
        <v>0</v>
      </c>
      <c r="AF93" s="252">
        <f t="shared" si="76"/>
        <v>0</v>
      </c>
      <c r="AG93" s="252">
        <f t="shared" si="76"/>
        <v>0</v>
      </c>
      <c r="AH93" s="252">
        <f t="shared" si="76"/>
        <v>0</v>
      </c>
      <c r="AI93" s="252">
        <f t="shared" si="76"/>
        <v>0</v>
      </c>
      <c r="AJ93" s="252">
        <f t="shared" si="76"/>
        <v>0</v>
      </c>
      <c r="AK93" s="252">
        <f t="shared" si="76"/>
        <v>0</v>
      </c>
      <c r="AL93" s="252">
        <f t="shared" si="76"/>
        <v>0</v>
      </c>
      <c r="AM93" s="252">
        <f t="shared" si="76"/>
        <v>0</v>
      </c>
      <c r="AN93" s="252">
        <f t="shared" si="76"/>
        <v>0</v>
      </c>
      <c r="AO93" s="252">
        <f t="shared" si="76"/>
        <v>0</v>
      </c>
      <c r="AP93" s="252">
        <f t="shared" si="76"/>
        <v>0</v>
      </c>
      <c r="AQ93" s="252">
        <f t="shared" si="76"/>
        <v>0</v>
      </c>
      <c r="AR93" s="252">
        <f t="shared" si="76"/>
        <v>0</v>
      </c>
      <c r="AS93" s="252">
        <f t="shared" si="76"/>
        <v>0</v>
      </c>
      <c r="AT93" s="252">
        <f t="shared" si="76"/>
        <v>0</v>
      </c>
      <c r="AU93" s="252">
        <f t="shared" si="76"/>
        <v>0</v>
      </c>
      <c r="AV93" s="252">
        <f t="shared" si="76"/>
        <v>0</v>
      </c>
      <c r="AW93" s="252">
        <f t="shared" si="76"/>
        <v>0</v>
      </c>
      <c r="AX93" s="252">
        <f t="shared" si="76"/>
        <v>0</v>
      </c>
      <c r="AY93" s="252">
        <f t="shared" si="76"/>
        <v>0</v>
      </c>
      <c r="AZ93" s="252">
        <f t="shared" si="76"/>
        <v>0</v>
      </c>
      <c r="BA93" s="252">
        <f t="shared" si="76"/>
        <v>0</v>
      </c>
      <c r="BB93" s="252">
        <f t="shared" si="76"/>
        <v>0</v>
      </c>
    </row>
    <row r="94" ht="15.75" customHeight="1">
      <c r="A94" s="768">
        <v>1958.0</v>
      </c>
      <c r="B94" s="38"/>
      <c r="C94" s="38"/>
      <c r="D94" s="38"/>
      <c r="E94" s="38"/>
      <c r="F94" s="38"/>
      <c r="G94" s="38"/>
      <c r="H94" s="38"/>
      <c r="I94" s="38"/>
      <c r="J94" s="38"/>
      <c r="K94" s="38"/>
      <c r="L94" s="38"/>
      <c r="M94" s="38"/>
      <c r="N94" s="38"/>
      <c r="O94" s="38"/>
      <c r="P94" s="38"/>
      <c r="Q94" s="38"/>
      <c r="R94" s="38"/>
      <c r="S94" s="740">
        <v>1969.0</v>
      </c>
      <c r="T94" s="740">
        <v>7781.200000000001</v>
      </c>
      <c r="U94" s="38"/>
      <c r="V94" s="770">
        <v>0.0</v>
      </c>
      <c r="W94" s="252">
        <f t="shared" si="49"/>
        <v>0</v>
      </c>
      <c r="X94" s="252">
        <f t="shared" ref="X94:BB94" si="77">IF(AND(X$190-$A94&gt;$V$44,SUM($W94:W94)&lt;&gt;$V94),$V94,0)</f>
        <v>0</v>
      </c>
      <c r="Y94" s="252">
        <f t="shared" si="77"/>
        <v>0</v>
      </c>
      <c r="Z94" s="252">
        <f t="shared" si="77"/>
        <v>0</v>
      </c>
      <c r="AA94" s="252">
        <f t="shared" si="77"/>
        <v>0</v>
      </c>
      <c r="AB94" s="252">
        <f t="shared" si="77"/>
        <v>0</v>
      </c>
      <c r="AC94" s="252">
        <f t="shared" si="77"/>
        <v>0</v>
      </c>
      <c r="AD94" s="252">
        <f t="shared" si="77"/>
        <v>0</v>
      </c>
      <c r="AE94" s="252">
        <f t="shared" si="77"/>
        <v>0</v>
      </c>
      <c r="AF94" s="252">
        <f t="shared" si="77"/>
        <v>0</v>
      </c>
      <c r="AG94" s="252">
        <f t="shared" si="77"/>
        <v>0</v>
      </c>
      <c r="AH94" s="252">
        <f t="shared" si="77"/>
        <v>0</v>
      </c>
      <c r="AI94" s="252">
        <f t="shared" si="77"/>
        <v>0</v>
      </c>
      <c r="AJ94" s="252">
        <f t="shared" si="77"/>
        <v>0</v>
      </c>
      <c r="AK94" s="252">
        <f t="shared" si="77"/>
        <v>0</v>
      </c>
      <c r="AL94" s="252">
        <f t="shared" si="77"/>
        <v>0</v>
      </c>
      <c r="AM94" s="252">
        <f t="shared" si="77"/>
        <v>0</v>
      </c>
      <c r="AN94" s="252">
        <f t="shared" si="77"/>
        <v>0</v>
      </c>
      <c r="AO94" s="252">
        <f t="shared" si="77"/>
        <v>0</v>
      </c>
      <c r="AP94" s="252">
        <f t="shared" si="77"/>
        <v>0</v>
      </c>
      <c r="AQ94" s="252">
        <f t="shared" si="77"/>
        <v>0</v>
      </c>
      <c r="AR94" s="252">
        <f t="shared" si="77"/>
        <v>0</v>
      </c>
      <c r="AS94" s="252">
        <f t="shared" si="77"/>
        <v>0</v>
      </c>
      <c r="AT94" s="252">
        <f t="shared" si="77"/>
        <v>0</v>
      </c>
      <c r="AU94" s="252">
        <f t="shared" si="77"/>
        <v>0</v>
      </c>
      <c r="AV94" s="252">
        <f t="shared" si="77"/>
        <v>0</v>
      </c>
      <c r="AW94" s="252">
        <f t="shared" si="77"/>
        <v>0</v>
      </c>
      <c r="AX94" s="252">
        <f t="shared" si="77"/>
        <v>0</v>
      </c>
      <c r="AY94" s="252">
        <f t="shared" si="77"/>
        <v>0</v>
      </c>
      <c r="AZ94" s="252">
        <f t="shared" si="77"/>
        <v>0</v>
      </c>
      <c r="BA94" s="252">
        <f t="shared" si="77"/>
        <v>0</v>
      </c>
      <c r="BB94" s="252">
        <f t="shared" si="77"/>
        <v>0</v>
      </c>
    </row>
    <row r="95" ht="15.75" customHeight="1">
      <c r="A95" s="768">
        <v>1959.0</v>
      </c>
      <c r="B95" s="38"/>
      <c r="C95" s="38"/>
      <c r="D95" s="38"/>
      <c r="E95" s="38"/>
      <c r="F95" s="38"/>
      <c r="G95" s="38"/>
      <c r="H95" s="38"/>
      <c r="I95" s="38"/>
      <c r="J95" s="38"/>
      <c r="K95" s="38"/>
      <c r="L95" s="38"/>
      <c r="M95" s="38"/>
      <c r="N95" s="38"/>
      <c r="O95" s="38"/>
      <c r="P95" s="38"/>
      <c r="Q95" s="38"/>
      <c r="R95" s="38"/>
      <c r="S95" s="740">
        <v>1970.0</v>
      </c>
      <c r="T95" s="740">
        <v>9634.1</v>
      </c>
      <c r="U95" s="38"/>
      <c r="V95" s="770">
        <v>25.0</v>
      </c>
      <c r="W95" s="252">
        <f t="shared" si="49"/>
        <v>25</v>
      </c>
      <c r="X95" s="252">
        <f t="shared" ref="X95:BB95" si="78">IF(AND(X$190-$A95&gt;$V$44,SUM($W95:W95)&lt;&gt;$V95),$V95,0)</f>
        <v>0</v>
      </c>
      <c r="Y95" s="252">
        <f t="shared" si="78"/>
        <v>0</v>
      </c>
      <c r="Z95" s="252">
        <f t="shared" si="78"/>
        <v>0</v>
      </c>
      <c r="AA95" s="252">
        <f t="shared" si="78"/>
        <v>0</v>
      </c>
      <c r="AB95" s="252">
        <f t="shared" si="78"/>
        <v>0</v>
      </c>
      <c r="AC95" s="252">
        <f t="shared" si="78"/>
        <v>0</v>
      </c>
      <c r="AD95" s="252">
        <f t="shared" si="78"/>
        <v>0</v>
      </c>
      <c r="AE95" s="252">
        <f t="shared" si="78"/>
        <v>0</v>
      </c>
      <c r="AF95" s="252">
        <f t="shared" si="78"/>
        <v>0</v>
      </c>
      <c r="AG95" s="252">
        <f t="shared" si="78"/>
        <v>0</v>
      </c>
      <c r="AH95" s="252">
        <f t="shared" si="78"/>
        <v>0</v>
      </c>
      <c r="AI95" s="252">
        <f t="shared" si="78"/>
        <v>0</v>
      </c>
      <c r="AJ95" s="252">
        <f t="shared" si="78"/>
        <v>0</v>
      </c>
      <c r="AK95" s="252">
        <f t="shared" si="78"/>
        <v>0</v>
      </c>
      <c r="AL95" s="252">
        <f t="shared" si="78"/>
        <v>0</v>
      </c>
      <c r="AM95" s="252">
        <f t="shared" si="78"/>
        <v>0</v>
      </c>
      <c r="AN95" s="252">
        <f t="shared" si="78"/>
        <v>0</v>
      </c>
      <c r="AO95" s="252">
        <f t="shared" si="78"/>
        <v>0</v>
      </c>
      <c r="AP95" s="252">
        <f t="shared" si="78"/>
        <v>0</v>
      </c>
      <c r="AQ95" s="252">
        <f t="shared" si="78"/>
        <v>0</v>
      </c>
      <c r="AR95" s="252">
        <f t="shared" si="78"/>
        <v>0</v>
      </c>
      <c r="AS95" s="252">
        <f t="shared" si="78"/>
        <v>0</v>
      </c>
      <c r="AT95" s="252">
        <f t="shared" si="78"/>
        <v>0</v>
      </c>
      <c r="AU95" s="252">
        <f t="shared" si="78"/>
        <v>0</v>
      </c>
      <c r="AV95" s="252">
        <f t="shared" si="78"/>
        <v>0</v>
      </c>
      <c r="AW95" s="252">
        <f t="shared" si="78"/>
        <v>0</v>
      </c>
      <c r="AX95" s="252">
        <f t="shared" si="78"/>
        <v>0</v>
      </c>
      <c r="AY95" s="252">
        <f t="shared" si="78"/>
        <v>0</v>
      </c>
      <c r="AZ95" s="252">
        <f t="shared" si="78"/>
        <v>0</v>
      </c>
      <c r="BA95" s="252">
        <f t="shared" si="78"/>
        <v>0</v>
      </c>
      <c r="BB95" s="252">
        <f t="shared" si="78"/>
        <v>0</v>
      </c>
    </row>
    <row r="96" ht="15.75" customHeight="1">
      <c r="A96" s="768">
        <v>1960.0</v>
      </c>
      <c r="B96" s="38"/>
      <c r="C96" s="38"/>
      <c r="D96" s="38"/>
      <c r="E96" s="38"/>
      <c r="F96" s="38"/>
      <c r="G96" s="38"/>
      <c r="H96" s="38"/>
      <c r="I96" s="38"/>
      <c r="J96" s="38"/>
      <c r="K96" s="38"/>
      <c r="L96" s="38"/>
      <c r="M96" s="38"/>
      <c r="N96" s="38"/>
      <c r="O96" s="38"/>
      <c r="P96" s="38"/>
      <c r="Q96" s="38"/>
      <c r="R96" s="38"/>
      <c r="S96" s="740">
        <v>1971.0</v>
      </c>
      <c r="T96" s="740">
        <v>9647.5</v>
      </c>
      <c r="U96" s="38"/>
      <c r="V96" s="770">
        <v>0.0</v>
      </c>
      <c r="W96" s="252">
        <f t="shared" si="49"/>
        <v>0</v>
      </c>
      <c r="X96" s="252">
        <f t="shared" ref="X96:BB96" si="79">IF(AND(X$190-$A96&gt;$V$44,SUM($W96:W96)&lt;&gt;$V96),$V96,0)</f>
        <v>0</v>
      </c>
      <c r="Y96" s="252">
        <f t="shared" si="79"/>
        <v>0</v>
      </c>
      <c r="Z96" s="252">
        <f t="shared" si="79"/>
        <v>0</v>
      </c>
      <c r="AA96" s="252">
        <f t="shared" si="79"/>
        <v>0</v>
      </c>
      <c r="AB96" s="252">
        <f t="shared" si="79"/>
        <v>0</v>
      </c>
      <c r="AC96" s="252">
        <f t="shared" si="79"/>
        <v>0</v>
      </c>
      <c r="AD96" s="252">
        <f t="shared" si="79"/>
        <v>0</v>
      </c>
      <c r="AE96" s="252">
        <f t="shared" si="79"/>
        <v>0</v>
      </c>
      <c r="AF96" s="252">
        <f t="shared" si="79"/>
        <v>0</v>
      </c>
      <c r="AG96" s="252">
        <f t="shared" si="79"/>
        <v>0</v>
      </c>
      <c r="AH96" s="252">
        <f t="shared" si="79"/>
        <v>0</v>
      </c>
      <c r="AI96" s="252">
        <f t="shared" si="79"/>
        <v>0</v>
      </c>
      <c r="AJ96" s="252">
        <f t="shared" si="79"/>
        <v>0</v>
      </c>
      <c r="AK96" s="252">
        <f t="shared" si="79"/>
        <v>0</v>
      </c>
      <c r="AL96" s="252">
        <f t="shared" si="79"/>
        <v>0</v>
      </c>
      <c r="AM96" s="252">
        <f t="shared" si="79"/>
        <v>0</v>
      </c>
      <c r="AN96" s="252">
        <f t="shared" si="79"/>
        <v>0</v>
      </c>
      <c r="AO96" s="252">
        <f t="shared" si="79"/>
        <v>0</v>
      </c>
      <c r="AP96" s="252">
        <f t="shared" si="79"/>
        <v>0</v>
      </c>
      <c r="AQ96" s="252">
        <f t="shared" si="79"/>
        <v>0</v>
      </c>
      <c r="AR96" s="252">
        <f t="shared" si="79"/>
        <v>0</v>
      </c>
      <c r="AS96" s="252">
        <f t="shared" si="79"/>
        <v>0</v>
      </c>
      <c r="AT96" s="252">
        <f t="shared" si="79"/>
        <v>0</v>
      </c>
      <c r="AU96" s="252">
        <f t="shared" si="79"/>
        <v>0</v>
      </c>
      <c r="AV96" s="252">
        <f t="shared" si="79"/>
        <v>0</v>
      </c>
      <c r="AW96" s="252">
        <f t="shared" si="79"/>
        <v>0</v>
      </c>
      <c r="AX96" s="252">
        <f t="shared" si="79"/>
        <v>0</v>
      </c>
      <c r="AY96" s="252">
        <f t="shared" si="79"/>
        <v>0</v>
      </c>
      <c r="AZ96" s="252">
        <f t="shared" si="79"/>
        <v>0</v>
      </c>
      <c r="BA96" s="252">
        <f t="shared" si="79"/>
        <v>0</v>
      </c>
      <c r="BB96" s="252">
        <f t="shared" si="79"/>
        <v>0</v>
      </c>
    </row>
    <row r="97" ht="15.75" customHeight="1">
      <c r="A97" s="768">
        <v>1961.0</v>
      </c>
      <c r="B97" s="38"/>
      <c r="C97" s="38"/>
      <c r="D97" s="38"/>
      <c r="E97" s="38"/>
      <c r="F97" s="38"/>
      <c r="G97" s="38"/>
      <c r="H97" s="38"/>
      <c r="I97" s="38"/>
      <c r="J97" s="38"/>
      <c r="K97" s="38"/>
      <c r="L97" s="38"/>
      <c r="M97" s="38"/>
      <c r="N97" s="38"/>
      <c r="O97" s="38"/>
      <c r="P97" s="38"/>
      <c r="Q97" s="38"/>
      <c r="R97" s="38"/>
      <c r="S97" s="740">
        <v>1972.0</v>
      </c>
      <c r="T97" s="740">
        <v>9028.6</v>
      </c>
      <c r="U97" s="38"/>
      <c r="V97" s="770">
        <v>7.5</v>
      </c>
      <c r="W97" s="252">
        <f t="shared" si="49"/>
        <v>7.5</v>
      </c>
      <c r="X97" s="252">
        <f t="shared" ref="X97:BB97" si="80">IF(AND(X$190-$A97&gt;$V$44,SUM($W97:W97)&lt;&gt;$V97),$V97,0)</f>
        <v>0</v>
      </c>
      <c r="Y97" s="252">
        <f t="shared" si="80"/>
        <v>0</v>
      </c>
      <c r="Z97" s="252">
        <f t="shared" si="80"/>
        <v>0</v>
      </c>
      <c r="AA97" s="252">
        <f t="shared" si="80"/>
        <v>0</v>
      </c>
      <c r="AB97" s="252">
        <f t="shared" si="80"/>
        <v>0</v>
      </c>
      <c r="AC97" s="252">
        <f t="shared" si="80"/>
        <v>0</v>
      </c>
      <c r="AD97" s="252">
        <f t="shared" si="80"/>
        <v>0</v>
      </c>
      <c r="AE97" s="252">
        <f t="shared" si="80"/>
        <v>0</v>
      </c>
      <c r="AF97" s="252">
        <f t="shared" si="80"/>
        <v>0</v>
      </c>
      <c r="AG97" s="252">
        <f t="shared" si="80"/>
        <v>0</v>
      </c>
      <c r="AH97" s="252">
        <f t="shared" si="80"/>
        <v>0</v>
      </c>
      <c r="AI97" s="252">
        <f t="shared" si="80"/>
        <v>0</v>
      </c>
      <c r="AJ97" s="252">
        <f t="shared" si="80"/>
        <v>0</v>
      </c>
      <c r="AK97" s="252">
        <f t="shared" si="80"/>
        <v>0</v>
      </c>
      <c r="AL97" s="252">
        <f t="shared" si="80"/>
        <v>0</v>
      </c>
      <c r="AM97" s="252">
        <f t="shared" si="80"/>
        <v>0</v>
      </c>
      <c r="AN97" s="252">
        <f t="shared" si="80"/>
        <v>0</v>
      </c>
      <c r="AO97" s="252">
        <f t="shared" si="80"/>
        <v>0</v>
      </c>
      <c r="AP97" s="252">
        <f t="shared" si="80"/>
        <v>0</v>
      </c>
      <c r="AQ97" s="252">
        <f t="shared" si="80"/>
        <v>0</v>
      </c>
      <c r="AR97" s="252">
        <f t="shared" si="80"/>
        <v>0</v>
      </c>
      <c r="AS97" s="252">
        <f t="shared" si="80"/>
        <v>0</v>
      </c>
      <c r="AT97" s="252">
        <f t="shared" si="80"/>
        <v>0</v>
      </c>
      <c r="AU97" s="252">
        <f t="shared" si="80"/>
        <v>0</v>
      </c>
      <c r="AV97" s="252">
        <f t="shared" si="80"/>
        <v>0</v>
      </c>
      <c r="AW97" s="252">
        <f t="shared" si="80"/>
        <v>0</v>
      </c>
      <c r="AX97" s="252">
        <f t="shared" si="80"/>
        <v>0</v>
      </c>
      <c r="AY97" s="252">
        <f t="shared" si="80"/>
        <v>0</v>
      </c>
      <c r="AZ97" s="252">
        <f t="shared" si="80"/>
        <v>0</v>
      </c>
      <c r="BA97" s="252">
        <f t="shared" si="80"/>
        <v>0</v>
      </c>
      <c r="BB97" s="252">
        <f t="shared" si="80"/>
        <v>0</v>
      </c>
    </row>
    <row r="98" ht="15.75" customHeight="1">
      <c r="A98" s="768">
        <v>1962.0</v>
      </c>
      <c r="B98" s="38"/>
      <c r="C98" s="38"/>
      <c r="D98" s="38"/>
      <c r="E98" s="38"/>
      <c r="F98" s="38"/>
      <c r="G98" s="38"/>
      <c r="H98" s="38"/>
      <c r="I98" s="38"/>
      <c r="J98" s="38"/>
      <c r="K98" s="38"/>
      <c r="L98" s="38"/>
      <c r="M98" s="38"/>
      <c r="N98" s="38"/>
      <c r="O98" s="38"/>
      <c r="P98" s="38"/>
      <c r="Q98" s="38"/>
      <c r="R98" s="38"/>
      <c r="S98" s="740">
        <v>1973.0</v>
      </c>
      <c r="T98" s="740">
        <v>14100.1</v>
      </c>
      <c r="U98" s="38"/>
      <c r="V98" s="770">
        <v>0.0</v>
      </c>
      <c r="W98" s="252">
        <f t="shared" si="49"/>
        <v>0</v>
      </c>
      <c r="X98" s="252">
        <f t="shared" ref="X98:BB98" si="81">IF(AND(X$190-$A98&gt;$V$44,SUM($W98:W98)&lt;&gt;$V98),$V98,0)</f>
        <v>0</v>
      </c>
      <c r="Y98" s="252">
        <f t="shared" si="81"/>
        <v>0</v>
      </c>
      <c r="Z98" s="252">
        <f t="shared" si="81"/>
        <v>0</v>
      </c>
      <c r="AA98" s="252">
        <f t="shared" si="81"/>
        <v>0</v>
      </c>
      <c r="AB98" s="252">
        <f t="shared" si="81"/>
        <v>0</v>
      </c>
      <c r="AC98" s="252">
        <f t="shared" si="81"/>
        <v>0</v>
      </c>
      <c r="AD98" s="252">
        <f t="shared" si="81"/>
        <v>0</v>
      </c>
      <c r="AE98" s="252">
        <f t="shared" si="81"/>
        <v>0</v>
      </c>
      <c r="AF98" s="252">
        <f t="shared" si="81"/>
        <v>0</v>
      </c>
      <c r="AG98" s="252">
        <f t="shared" si="81"/>
        <v>0</v>
      </c>
      <c r="AH98" s="252">
        <f t="shared" si="81"/>
        <v>0</v>
      </c>
      <c r="AI98" s="252">
        <f t="shared" si="81"/>
        <v>0</v>
      </c>
      <c r="AJ98" s="252">
        <f t="shared" si="81"/>
        <v>0</v>
      </c>
      <c r="AK98" s="252">
        <f t="shared" si="81"/>
        <v>0</v>
      </c>
      <c r="AL98" s="252">
        <f t="shared" si="81"/>
        <v>0</v>
      </c>
      <c r="AM98" s="252">
        <f t="shared" si="81"/>
        <v>0</v>
      </c>
      <c r="AN98" s="252">
        <f t="shared" si="81"/>
        <v>0</v>
      </c>
      <c r="AO98" s="252">
        <f t="shared" si="81"/>
        <v>0</v>
      </c>
      <c r="AP98" s="252">
        <f t="shared" si="81"/>
        <v>0</v>
      </c>
      <c r="AQ98" s="252">
        <f t="shared" si="81"/>
        <v>0</v>
      </c>
      <c r="AR98" s="252">
        <f t="shared" si="81"/>
        <v>0</v>
      </c>
      <c r="AS98" s="252">
        <f t="shared" si="81"/>
        <v>0</v>
      </c>
      <c r="AT98" s="252">
        <f t="shared" si="81"/>
        <v>0</v>
      </c>
      <c r="AU98" s="252">
        <f t="shared" si="81"/>
        <v>0</v>
      </c>
      <c r="AV98" s="252">
        <f t="shared" si="81"/>
        <v>0</v>
      </c>
      <c r="AW98" s="252">
        <f t="shared" si="81"/>
        <v>0</v>
      </c>
      <c r="AX98" s="252">
        <f t="shared" si="81"/>
        <v>0</v>
      </c>
      <c r="AY98" s="252">
        <f t="shared" si="81"/>
        <v>0</v>
      </c>
      <c r="AZ98" s="252">
        <f t="shared" si="81"/>
        <v>0</v>
      </c>
      <c r="BA98" s="252">
        <f t="shared" si="81"/>
        <v>0</v>
      </c>
      <c r="BB98" s="252">
        <f t="shared" si="81"/>
        <v>0</v>
      </c>
    </row>
    <row r="99" ht="15.75" customHeight="1">
      <c r="A99" s="768">
        <v>1963.0</v>
      </c>
      <c r="B99" s="38"/>
      <c r="C99" s="38"/>
      <c r="D99" s="38"/>
      <c r="E99" s="38"/>
      <c r="F99" s="38"/>
      <c r="G99" s="38"/>
      <c r="H99" s="38"/>
      <c r="I99" s="38"/>
      <c r="J99" s="38"/>
      <c r="K99" s="38"/>
      <c r="L99" s="38"/>
      <c r="M99" s="38"/>
      <c r="N99" s="38"/>
      <c r="O99" s="38"/>
      <c r="P99" s="38"/>
      <c r="Q99" s="38"/>
      <c r="R99" s="38"/>
      <c r="S99" s="740">
        <v>1974.0</v>
      </c>
      <c r="T99" s="740">
        <v>9729.0</v>
      </c>
      <c r="U99" s="38"/>
      <c r="V99" s="770">
        <v>0.0</v>
      </c>
      <c r="W99" s="252">
        <f t="shared" si="49"/>
        <v>0</v>
      </c>
      <c r="X99" s="252">
        <f t="shared" ref="X99:BB99" si="82">IF(AND(X$190-$A99&gt;$V$44,SUM($W99:W99)&lt;&gt;$V99),$V99,0)</f>
        <v>0</v>
      </c>
      <c r="Y99" s="252">
        <f t="shared" si="82"/>
        <v>0</v>
      </c>
      <c r="Z99" s="252">
        <f t="shared" si="82"/>
        <v>0</v>
      </c>
      <c r="AA99" s="252">
        <f t="shared" si="82"/>
        <v>0</v>
      </c>
      <c r="AB99" s="252">
        <f t="shared" si="82"/>
        <v>0</v>
      </c>
      <c r="AC99" s="252">
        <f t="shared" si="82"/>
        <v>0</v>
      </c>
      <c r="AD99" s="252">
        <f t="shared" si="82"/>
        <v>0</v>
      </c>
      <c r="AE99" s="252">
        <f t="shared" si="82"/>
        <v>0</v>
      </c>
      <c r="AF99" s="252">
        <f t="shared" si="82"/>
        <v>0</v>
      </c>
      <c r="AG99" s="252">
        <f t="shared" si="82"/>
        <v>0</v>
      </c>
      <c r="AH99" s="252">
        <f t="shared" si="82"/>
        <v>0</v>
      </c>
      <c r="AI99" s="252">
        <f t="shared" si="82"/>
        <v>0</v>
      </c>
      <c r="AJ99" s="252">
        <f t="shared" si="82"/>
        <v>0</v>
      </c>
      <c r="AK99" s="252">
        <f t="shared" si="82"/>
        <v>0</v>
      </c>
      <c r="AL99" s="252">
        <f t="shared" si="82"/>
        <v>0</v>
      </c>
      <c r="AM99" s="252">
        <f t="shared" si="82"/>
        <v>0</v>
      </c>
      <c r="AN99" s="252">
        <f t="shared" si="82"/>
        <v>0</v>
      </c>
      <c r="AO99" s="252">
        <f t="shared" si="82"/>
        <v>0</v>
      </c>
      <c r="AP99" s="252">
        <f t="shared" si="82"/>
        <v>0</v>
      </c>
      <c r="AQ99" s="252">
        <f t="shared" si="82"/>
        <v>0</v>
      </c>
      <c r="AR99" s="252">
        <f t="shared" si="82"/>
        <v>0</v>
      </c>
      <c r="AS99" s="252">
        <f t="shared" si="82"/>
        <v>0</v>
      </c>
      <c r="AT99" s="252">
        <f t="shared" si="82"/>
        <v>0</v>
      </c>
      <c r="AU99" s="252">
        <f t="shared" si="82"/>
        <v>0</v>
      </c>
      <c r="AV99" s="252">
        <f t="shared" si="82"/>
        <v>0</v>
      </c>
      <c r="AW99" s="252">
        <f t="shared" si="82"/>
        <v>0</v>
      </c>
      <c r="AX99" s="252">
        <f t="shared" si="82"/>
        <v>0</v>
      </c>
      <c r="AY99" s="252">
        <f t="shared" si="82"/>
        <v>0</v>
      </c>
      <c r="AZ99" s="252">
        <f t="shared" si="82"/>
        <v>0</v>
      </c>
      <c r="BA99" s="252">
        <f t="shared" si="82"/>
        <v>0</v>
      </c>
      <c r="BB99" s="252">
        <f t="shared" si="82"/>
        <v>0</v>
      </c>
    </row>
    <row r="100" ht="15.75" customHeight="1">
      <c r="A100" s="768">
        <v>1964.0</v>
      </c>
      <c r="B100" s="38"/>
      <c r="C100" s="38"/>
      <c r="D100" s="38"/>
      <c r="E100" s="38"/>
      <c r="F100" s="38"/>
      <c r="G100" s="38"/>
      <c r="H100" s="38"/>
      <c r="I100" s="38"/>
      <c r="J100" s="38"/>
      <c r="K100" s="38"/>
      <c r="L100" s="38"/>
      <c r="M100" s="38"/>
      <c r="N100" s="38"/>
      <c r="O100" s="38"/>
      <c r="P100" s="38"/>
      <c r="Q100" s="38"/>
      <c r="R100" s="38"/>
      <c r="S100" s="740">
        <v>1975.0</v>
      </c>
      <c r="T100" s="740">
        <v>9482.1</v>
      </c>
      <c r="U100" s="38"/>
      <c r="V100" s="770">
        <v>0.0</v>
      </c>
      <c r="W100" s="252">
        <f t="shared" si="49"/>
        <v>0</v>
      </c>
      <c r="X100" s="252">
        <f t="shared" ref="X100:BB100" si="83">IF(AND(X$190-$A100&gt;$V$44,SUM($W100:W100)&lt;&gt;$V100),$V100,0)</f>
        <v>0</v>
      </c>
      <c r="Y100" s="252">
        <f t="shared" si="83"/>
        <v>0</v>
      </c>
      <c r="Z100" s="252">
        <f t="shared" si="83"/>
        <v>0</v>
      </c>
      <c r="AA100" s="252">
        <f t="shared" si="83"/>
        <v>0</v>
      </c>
      <c r="AB100" s="252">
        <f t="shared" si="83"/>
        <v>0</v>
      </c>
      <c r="AC100" s="252">
        <f t="shared" si="83"/>
        <v>0</v>
      </c>
      <c r="AD100" s="252">
        <f t="shared" si="83"/>
        <v>0</v>
      </c>
      <c r="AE100" s="252">
        <f t="shared" si="83"/>
        <v>0</v>
      </c>
      <c r="AF100" s="252">
        <f t="shared" si="83"/>
        <v>0</v>
      </c>
      <c r="AG100" s="252">
        <f t="shared" si="83"/>
        <v>0</v>
      </c>
      <c r="AH100" s="252">
        <f t="shared" si="83"/>
        <v>0</v>
      </c>
      <c r="AI100" s="252">
        <f t="shared" si="83"/>
        <v>0</v>
      </c>
      <c r="AJ100" s="252">
        <f t="shared" si="83"/>
        <v>0</v>
      </c>
      <c r="AK100" s="252">
        <f t="shared" si="83"/>
        <v>0</v>
      </c>
      <c r="AL100" s="252">
        <f t="shared" si="83"/>
        <v>0</v>
      </c>
      <c r="AM100" s="252">
        <f t="shared" si="83"/>
        <v>0</v>
      </c>
      <c r="AN100" s="252">
        <f t="shared" si="83"/>
        <v>0</v>
      </c>
      <c r="AO100" s="252">
        <f t="shared" si="83"/>
        <v>0</v>
      </c>
      <c r="AP100" s="252">
        <f t="shared" si="83"/>
        <v>0</v>
      </c>
      <c r="AQ100" s="252">
        <f t="shared" si="83"/>
        <v>0</v>
      </c>
      <c r="AR100" s="252">
        <f t="shared" si="83"/>
        <v>0</v>
      </c>
      <c r="AS100" s="252">
        <f t="shared" si="83"/>
        <v>0</v>
      </c>
      <c r="AT100" s="252">
        <f t="shared" si="83"/>
        <v>0</v>
      </c>
      <c r="AU100" s="252">
        <f t="shared" si="83"/>
        <v>0</v>
      </c>
      <c r="AV100" s="252">
        <f t="shared" si="83"/>
        <v>0</v>
      </c>
      <c r="AW100" s="252">
        <f t="shared" si="83"/>
        <v>0</v>
      </c>
      <c r="AX100" s="252">
        <f t="shared" si="83"/>
        <v>0</v>
      </c>
      <c r="AY100" s="252">
        <f t="shared" si="83"/>
        <v>0</v>
      </c>
      <c r="AZ100" s="252">
        <f t="shared" si="83"/>
        <v>0</v>
      </c>
      <c r="BA100" s="252">
        <f t="shared" si="83"/>
        <v>0</v>
      </c>
      <c r="BB100" s="252">
        <f t="shared" si="83"/>
        <v>0</v>
      </c>
    </row>
    <row r="101" ht="15.75" customHeight="1">
      <c r="A101" s="768">
        <v>1965.0</v>
      </c>
      <c r="B101" s="38"/>
      <c r="C101" s="38"/>
      <c r="D101" s="38"/>
      <c r="E101" s="38"/>
      <c r="F101" s="38"/>
      <c r="G101" s="38"/>
      <c r="H101" s="38"/>
      <c r="I101" s="38"/>
      <c r="J101" s="38"/>
      <c r="K101" s="38"/>
      <c r="L101" s="38"/>
      <c r="M101" s="38"/>
      <c r="N101" s="38"/>
      <c r="O101" s="38"/>
      <c r="P101" s="38"/>
      <c r="Q101" s="38"/>
      <c r="R101" s="38"/>
      <c r="S101" s="740">
        <v>1976.0</v>
      </c>
      <c r="T101" s="740">
        <v>8007.5</v>
      </c>
      <c r="U101" s="38"/>
      <c r="V101" s="770">
        <v>16.2</v>
      </c>
      <c r="W101" s="252">
        <f t="shared" si="49"/>
        <v>16.2</v>
      </c>
      <c r="X101" s="252">
        <f t="shared" ref="X101:BB101" si="84">IF(AND(X$190-$A101&gt;$V$44,SUM($W101:W101)&lt;&gt;$V101),$V101,0)</f>
        <v>0</v>
      </c>
      <c r="Y101" s="252">
        <f t="shared" si="84"/>
        <v>0</v>
      </c>
      <c r="Z101" s="252">
        <f t="shared" si="84"/>
        <v>0</v>
      </c>
      <c r="AA101" s="252">
        <f t="shared" si="84"/>
        <v>0</v>
      </c>
      <c r="AB101" s="252">
        <f t="shared" si="84"/>
        <v>0</v>
      </c>
      <c r="AC101" s="252">
        <f t="shared" si="84"/>
        <v>0</v>
      </c>
      <c r="AD101" s="252">
        <f t="shared" si="84"/>
        <v>0</v>
      </c>
      <c r="AE101" s="252">
        <f t="shared" si="84"/>
        <v>0</v>
      </c>
      <c r="AF101" s="252">
        <f t="shared" si="84"/>
        <v>0</v>
      </c>
      <c r="AG101" s="252">
        <f t="shared" si="84"/>
        <v>0</v>
      </c>
      <c r="AH101" s="252">
        <f t="shared" si="84"/>
        <v>0</v>
      </c>
      <c r="AI101" s="252">
        <f t="shared" si="84"/>
        <v>0</v>
      </c>
      <c r="AJ101" s="252">
        <f t="shared" si="84"/>
        <v>0</v>
      </c>
      <c r="AK101" s="252">
        <f t="shared" si="84"/>
        <v>0</v>
      </c>
      <c r="AL101" s="252">
        <f t="shared" si="84"/>
        <v>0</v>
      </c>
      <c r="AM101" s="252">
        <f t="shared" si="84"/>
        <v>0</v>
      </c>
      <c r="AN101" s="252">
        <f t="shared" si="84"/>
        <v>0</v>
      </c>
      <c r="AO101" s="252">
        <f t="shared" si="84"/>
        <v>0</v>
      </c>
      <c r="AP101" s="252">
        <f t="shared" si="84"/>
        <v>0</v>
      </c>
      <c r="AQ101" s="252">
        <f t="shared" si="84"/>
        <v>0</v>
      </c>
      <c r="AR101" s="252">
        <f t="shared" si="84"/>
        <v>0</v>
      </c>
      <c r="AS101" s="252">
        <f t="shared" si="84"/>
        <v>0</v>
      </c>
      <c r="AT101" s="252">
        <f t="shared" si="84"/>
        <v>0</v>
      </c>
      <c r="AU101" s="252">
        <f t="shared" si="84"/>
        <v>0</v>
      </c>
      <c r="AV101" s="252">
        <f t="shared" si="84"/>
        <v>0</v>
      </c>
      <c r="AW101" s="252">
        <f t="shared" si="84"/>
        <v>0</v>
      </c>
      <c r="AX101" s="252">
        <f t="shared" si="84"/>
        <v>0</v>
      </c>
      <c r="AY101" s="252">
        <f t="shared" si="84"/>
        <v>0</v>
      </c>
      <c r="AZ101" s="252">
        <f t="shared" si="84"/>
        <v>0</v>
      </c>
      <c r="BA101" s="252">
        <f t="shared" si="84"/>
        <v>0</v>
      </c>
      <c r="BB101" s="252">
        <f t="shared" si="84"/>
        <v>0</v>
      </c>
    </row>
    <row r="102" ht="15.75" customHeight="1">
      <c r="A102" s="768">
        <v>1966.0</v>
      </c>
      <c r="B102" s="38"/>
      <c r="C102" s="38"/>
      <c r="D102" s="38"/>
      <c r="E102" s="38"/>
      <c r="F102" s="38"/>
      <c r="G102" s="38"/>
      <c r="H102" s="38"/>
      <c r="I102" s="38"/>
      <c r="J102" s="38"/>
      <c r="K102" s="38"/>
      <c r="L102" s="38"/>
      <c r="M102" s="38"/>
      <c r="N102" s="38"/>
      <c r="O102" s="38"/>
      <c r="P102" s="38"/>
      <c r="Q102" s="38"/>
      <c r="R102" s="38"/>
      <c r="S102" s="740">
        <v>1977.0</v>
      </c>
      <c r="T102" s="740">
        <v>11379.2</v>
      </c>
      <c r="U102" s="38"/>
      <c r="V102" s="770">
        <v>0.0</v>
      </c>
      <c r="W102" s="252">
        <f t="shared" si="49"/>
        <v>0</v>
      </c>
      <c r="X102" s="252">
        <f t="shared" ref="X102:BB102" si="85">IF(AND(X$190-$A102&gt;$V$44,SUM($W102:W102)&lt;&gt;$V102),$V102,0)</f>
        <v>0</v>
      </c>
      <c r="Y102" s="252">
        <f t="shared" si="85"/>
        <v>0</v>
      </c>
      <c r="Z102" s="252">
        <f t="shared" si="85"/>
        <v>0</v>
      </c>
      <c r="AA102" s="252">
        <f t="shared" si="85"/>
        <v>0</v>
      </c>
      <c r="AB102" s="252">
        <f t="shared" si="85"/>
        <v>0</v>
      </c>
      <c r="AC102" s="252">
        <f t="shared" si="85"/>
        <v>0</v>
      </c>
      <c r="AD102" s="252">
        <f t="shared" si="85"/>
        <v>0</v>
      </c>
      <c r="AE102" s="252">
        <f t="shared" si="85"/>
        <v>0</v>
      </c>
      <c r="AF102" s="252">
        <f t="shared" si="85"/>
        <v>0</v>
      </c>
      <c r="AG102" s="252">
        <f t="shared" si="85"/>
        <v>0</v>
      </c>
      <c r="AH102" s="252">
        <f t="shared" si="85"/>
        <v>0</v>
      </c>
      <c r="AI102" s="252">
        <f t="shared" si="85"/>
        <v>0</v>
      </c>
      <c r="AJ102" s="252">
        <f t="shared" si="85"/>
        <v>0</v>
      </c>
      <c r="AK102" s="252">
        <f t="shared" si="85"/>
        <v>0</v>
      </c>
      <c r="AL102" s="252">
        <f t="shared" si="85"/>
        <v>0</v>
      </c>
      <c r="AM102" s="252">
        <f t="shared" si="85"/>
        <v>0</v>
      </c>
      <c r="AN102" s="252">
        <f t="shared" si="85"/>
        <v>0</v>
      </c>
      <c r="AO102" s="252">
        <f t="shared" si="85"/>
        <v>0</v>
      </c>
      <c r="AP102" s="252">
        <f t="shared" si="85"/>
        <v>0</v>
      </c>
      <c r="AQ102" s="252">
        <f t="shared" si="85"/>
        <v>0</v>
      </c>
      <c r="AR102" s="252">
        <f t="shared" si="85"/>
        <v>0</v>
      </c>
      <c r="AS102" s="252">
        <f t="shared" si="85"/>
        <v>0</v>
      </c>
      <c r="AT102" s="252">
        <f t="shared" si="85"/>
        <v>0</v>
      </c>
      <c r="AU102" s="252">
        <f t="shared" si="85"/>
        <v>0</v>
      </c>
      <c r="AV102" s="252">
        <f t="shared" si="85"/>
        <v>0</v>
      </c>
      <c r="AW102" s="252">
        <f t="shared" si="85"/>
        <v>0</v>
      </c>
      <c r="AX102" s="252">
        <f t="shared" si="85"/>
        <v>0</v>
      </c>
      <c r="AY102" s="252">
        <f t="shared" si="85"/>
        <v>0</v>
      </c>
      <c r="AZ102" s="252">
        <f t="shared" si="85"/>
        <v>0</v>
      </c>
      <c r="BA102" s="252">
        <f t="shared" si="85"/>
        <v>0</v>
      </c>
      <c r="BB102" s="252">
        <f t="shared" si="85"/>
        <v>0</v>
      </c>
    </row>
    <row r="103" ht="15.75" customHeight="1">
      <c r="A103" s="768">
        <v>1967.0</v>
      </c>
      <c r="B103" s="38"/>
      <c r="C103" s="38"/>
      <c r="D103" s="38"/>
      <c r="E103" s="38"/>
      <c r="F103" s="38"/>
      <c r="G103" s="38"/>
      <c r="H103" s="38"/>
      <c r="I103" s="38"/>
      <c r="J103" s="38"/>
      <c r="K103" s="38"/>
      <c r="L103" s="38"/>
      <c r="M103" s="38"/>
      <c r="N103" s="38"/>
      <c r="O103" s="38"/>
      <c r="P103" s="38"/>
      <c r="Q103" s="38"/>
      <c r="R103" s="38"/>
      <c r="S103" s="740">
        <v>1978.0</v>
      </c>
      <c r="T103" s="740">
        <v>11123.3</v>
      </c>
      <c r="U103" s="38"/>
      <c r="V103" s="770">
        <v>0.0</v>
      </c>
      <c r="W103" s="252">
        <f t="shared" si="49"/>
        <v>0</v>
      </c>
      <c r="X103" s="252">
        <f t="shared" ref="X103:BB103" si="86">IF(AND(X$190-$A103&gt;$V$44,SUM($W103:W103)&lt;&gt;$V103),$V103,0)</f>
        <v>0</v>
      </c>
      <c r="Y103" s="252">
        <f t="shared" si="86"/>
        <v>0</v>
      </c>
      <c r="Z103" s="252">
        <f t="shared" si="86"/>
        <v>0</v>
      </c>
      <c r="AA103" s="252">
        <f t="shared" si="86"/>
        <v>0</v>
      </c>
      <c r="AB103" s="252">
        <f t="shared" si="86"/>
        <v>0</v>
      </c>
      <c r="AC103" s="252">
        <f t="shared" si="86"/>
        <v>0</v>
      </c>
      <c r="AD103" s="252">
        <f t="shared" si="86"/>
        <v>0</v>
      </c>
      <c r="AE103" s="252">
        <f t="shared" si="86"/>
        <v>0</v>
      </c>
      <c r="AF103" s="252">
        <f t="shared" si="86"/>
        <v>0</v>
      </c>
      <c r="AG103" s="252">
        <f t="shared" si="86"/>
        <v>0</v>
      </c>
      <c r="AH103" s="252">
        <f t="shared" si="86"/>
        <v>0</v>
      </c>
      <c r="AI103" s="252">
        <f t="shared" si="86"/>
        <v>0</v>
      </c>
      <c r="AJ103" s="252">
        <f t="shared" si="86"/>
        <v>0</v>
      </c>
      <c r="AK103" s="252">
        <f t="shared" si="86"/>
        <v>0</v>
      </c>
      <c r="AL103" s="252">
        <f t="shared" si="86"/>
        <v>0</v>
      </c>
      <c r="AM103" s="252">
        <f t="shared" si="86"/>
        <v>0</v>
      </c>
      <c r="AN103" s="252">
        <f t="shared" si="86"/>
        <v>0</v>
      </c>
      <c r="AO103" s="252">
        <f t="shared" si="86"/>
        <v>0</v>
      </c>
      <c r="AP103" s="252">
        <f t="shared" si="86"/>
        <v>0</v>
      </c>
      <c r="AQ103" s="252">
        <f t="shared" si="86"/>
        <v>0</v>
      </c>
      <c r="AR103" s="252">
        <f t="shared" si="86"/>
        <v>0</v>
      </c>
      <c r="AS103" s="252">
        <f t="shared" si="86"/>
        <v>0</v>
      </c>
      <c r="AT103" s="252">
        <f t="shared" si="86"/>
        <v>0</v>
      </c>
      <c r="AU103" s="252">
        <f t="shared" si="86"/>
        <v>0</v>
      </c>
      <c r="AV103" s="252">
        <f t="shared" si="86"/>
        <v>0</v>
      </c>
      <c r="AW103" s="252">
        <f t="shared" si="86"/>
        <v>0</v>
      </c>
      <c r="AX103" s="252">
        <f t="shared" si="86"/>
        <v>0</v>
      </c>
      <c r="AY103" s="252">
        <f t="shared" si="86"/>
        <v>0</v>
      </c>
      <c r="AZ103" s="252">
        <f t="shared" si="86"/>
        <v>0</v>
      </c>
      <c r="BA103" s="252">
        <f t="shared" si="86"/>
        <v>0</v>
      </c>
      <c r="BB103" s="252">
        <f t="shared" si="86"/>
        <v>0</v>
      </c>
    </row>
    <row r="104" ht="15.75" customHeight="1">
      <c r="A104" s="768">
        <v>1968.0</v>
      </c>
      <c r="B104" s="38"/>
      <c r="C104" s="38"/>
      <c r="D104" s="38"/>
      <c r="E104" s="38"/>
      <c r="F104" s="38"/>
      <c r="G104" s="38"/>
      <c r="H104" s="38"/>
      <c r="I104" s="38"/>
      <c r="J104" s="38"/>
      <c r="K104" s="38"/>
      <c r="L104" s="38"/>
      <c r="M104" s="38"/>
      <c r="N104" s="38"/>
      <c r="O104" s="38"/>
      <c r="P104" s="38"/>
      <c r="Q104" s="38"/>
      <c r="R104" s="38"/>
      <c r="S104" s="740">
        <v>1979.0</v>
      </c>
      <c r="T104" s="740">
        <v>9478.6</v>
      </c>
      <c r="U104" s="38"/>
      <c r="V104" s="770">
        <v>16.5</v>
      </c>
      <c r="W104" s="252">
        <f t="shared" si="49"/>
        <v>16.5</v>
      </c>
      <c r="X104" s="252">
        <f t="shared" ref="X104:BB104" si="87">IF(AND(X$190-$A104&gt;$V$44,SUM($W104:W104)&lt;&gt;$V104),$V104,0)</f>
        <v>0</v>
      </c>
      <c r="Y104" s="252">
        <f t="shared" si="87"/>
        <v>0</v>
      </c>
      <c r="Z104" s="252">
        <f t="shared" si="87"/>
        <v>0</v>
      </c>
      <c r="AA104" s="252">
        <f t="shared" si="87"/>
        <v>0</v>
      </c>
      <c r="AB104" s="252">
        <f t="shared" si="87"/>
        <v>0</v>
      </c>
      <c r="AC104" s="252">
        <f t="shared" si="87"/>
        <v>0</v>
      </c>
      <c r="AD104" s="252">
        <f t="shared" si="87"/>
        <v>0</v>
      </c>
      <c r="AE104" s="252">
        <f t="shared" si="87"/>
        <v>0</v>
      </c>
      <c r="AF104" s="252">
        <f t="shared" si="87"/>
        <v>0</v>
      </c>
      <c r="AG104" s="252">
        <f t="shared" si="87"/>
        <v>0</v>
      </c>
      <c r="AH104" s="252">
        <f t="shared" si="87"/>
        <v>0</v>
      </c>
      <c r="AI104" s="252">
        <f t="shared" si="87"/>
        <v>0</v>
      </c>
      <c r="AJ104" s="252">
        <f t="shared" si="87"/>
        <v>0</v>
      </c>
      <c r="AK104" s="252">
        <f t="shared" si="87"/>
        <v>0</v>
      </c>
      <c r="AL104" s="252">
        <f t="shared" si="87"/>
        <v>0</v>
      </c>
      <c r="AM104" s="252">
        <f t="shared" si="87"/>
        <v>0</v>
      </c>
      <c r="AN104" s="252">
        <f t="shared" si="87"/>
        <v>0</v>
      </c>
      <c r="AO104" s="252">
        <f t="shared" si="87"/>
        <v>0</v>
      </c>
      <c r="AP104" s="252">
        <f t="shared" si="87"/>
        <v>0</v>
      </c>
      <c r="AQ104" s="252">
        <f t="shared" si="87"/>
        <v>0</v>
      </c>
      <c r="AR104" s="252">
        <f t="shared" si="87"/>
        <v>0</v>
      </c>
      <c r="AS104" s="252">
        <f t="shared" si="87"/>
        <v>0</v>
      </c>
      <c r="AT104" s="252">
        <f t="shared" si="87"/>
        <v>0</v>
      </c>
      <c r="AU104" s="252">
        <f t="shared" si="87"/>
        <v>0</v>
      </c>
      <c r="AV104" s="252">
        <f t="shared" si="87"/>
        <v>0</v>
      </c>
      <c r="AW104" s="252">
        <f t="shared" si="87"/>
        <v>0</v>
      </c>
      <c r="AX104" s="252">
        <f t="shared" si="87"/>
        <v>0</v>
      </c>
      <c r="AY104" s="252">
        <f t="shared" si="87"/>
        <v>0</v>
      </c>
      <c r="AZ104" s="252">
        <f t="shared" si="87"/>
        <v>0</v>
      </c>
      <c r="BA104" s="252">
        <f t="shared" si="87"/>
        <v>0</v>
      </c>
      <c r="BB104" s="252">
        <f t="shared" si="87"/>
        <v>0</v>
      </c>
    </row>
    <row r="105" ht="15.75" customHeight="1">
      <c r="A105" s="768">
        <v>1969.0</v>
      </c>
      <c r="B105" s="38"/>
      <c r="C105" s="38"/>
      <c r="D105" s="38"/>
      <c r="E105" s="38"/>
      <c r="F105" s="38"/>
      <c r="G105" s="38"/>
      <c r="H105" s="38"/>
      <c r="I105" s="38"/>
      <c r="J105" s="38"/>
      <c r="K105" s="38"/>
      <c r="L105" s="38"/>
      <c r="M105" s="38"/>
      <c r="N105" s="38"/>
      <c r="O105" s="38"/>
      <c r="P105" s="38"/>
      <c r="Q105" s="38"/>
      <c r="R105" s="38"/>
      <c r="S105" s="740">
        <v>1980.0</v>
      </c>
      <c r="T105" s="740">
        <v>14231.099999999999</v>
      </c>
      <c r="U105" s="38"/>
      <c r="V105" s="770">
        <v>0.0</v>
      </c>
      <c r="W105" s="252">
        <f t="shared" si="49"/>
        <v>0</v>
      </c>
      <c r="X105" s="252">
        <f t="shared" ref="X105:BB105" si="88">IF(AND(X$190-$A105&gt;$V$44,SUM($W105:W105)&lt;&gt;$V105),$V105,0)</f>
        <v>0</v>
      </c>
      <c r="Y105" s="252">
        <f t="shared" si="88"/>
        <v>0</v>
      </c>
      <c r="Z105" s="252">
        <f t="shared" si="88"/>
        <v>0</v>
      </c>
      <c r="AA105" s="252">
        <f t="shared" si="88"/>
        <v>0</v>
      </c>
      <c r="AB105" s="252">
        <f t="shared" si="88"/>
        <v>0</v>
      </c>
      <c r="AC105" s="252">
        <f t="shared" si="88"/>
        <v>0</v>
      </c>
      <c r="AD105" s="252">
        <f t="shared" si="88"/>
        <v>0</v>
      </c>
      <c r="AE105" s="252">
        <f t="shared" si="88"/>
        <v>0</v>
      </c>
      <c r="AF105" s="252">
        <f t="shared" si="88"/>
        <v>0</v>
      </c>
      <c r="AG105" s="252">
        <f t="shared" si="88"/>
        <v>0</v>
      </c>
      <c r="AH105" s="252">
        <f t="shared" si="88"/>
        <v>0</v>
      </c>
      <c r="AI105" s="252">
        <f t="shared" si="88"/>
        <v>0</v>
      </c>
      <c r="AJ105" s="252">
        <f t="shared" si="88"/>
        <v>0</v>
      </c>
      <c r="AK105" s="252">
        <f t="shared" si="88"/>
        <v>0</v>
      </c>
      <c r="AL105" s="252">
        <f t="shared" si="88"/>
        <v>0</v>
      </c>
      <c r="AM105" s="252">
        <f t="shared" si="88"/>
        <v>0</v>
      </c>
      <c r="AN105" s="252">
        <f t="shared" si="88"/>
        <v>0</v>
      </c>
      <c r="AO105" s="252">
        <f t="shared" si="88"/>
        <v>0</v>
      </c>
      <c r="AP105" s="252">
        <f t="shared" si="88"/>
        <v>0</v>
      </c>
      <c r="AQ105" s="252">
        <f t="shared" si="88"/>
        <v>0</v>
      </c>
      <c r="AR105" s="252">
        <f t="shared" si="88"/>
        <v>0</v>
      </c>
      <c r="AS105" s="252">
        <f t="shared" si="88"/>
        <v>0</v>
      </c>
      <c r="AT105" s="252">
        <f t="shared" si="88"/>
        <v>0</v>
      </c>
      <c r="AU105" s="252">
        <f t="shared" si="88"/>
        <v>0</v>
      </c>
      <c r="AV105" s="252">
        <f t="shared" si="88"/>
        <v>0</v>
      </c>
      <c r="AW105" s="252">
        <f t="shared" si="88"/>
        <v>0</v>
      </c>
      <c r="AX105" s="252">
        <f t="shared" si="88"/>
        <v>0</v>
      </c>
      <c r="AY105" s="252">
        <f t="shared" si="88"/>
        <v>0</v>
      </c>
      <c r="AZ105" s="252">
        <f t="shared" si="88"/>
        <v>0</v>
      </c>
      <c r="BA105" s="252">
        <f t="shared" si="88"/>
        <v>0</v>
      </c>
      <c r="BB105" s="252">
        <f t="shared" si="88"/>
        <v>0</v>
      </c>
    </row>
    <row r="106" ht="15.75" customHeight="1">
      <c r="A106" s="768">
        <v>1970.0</v>
      </c>
      <c r="B106" s="38"/>
      <c r="C106" s="38"/>
      <c r="D106" s="38"/>
      <c r="E106" s="38"/>
      <c r="F106" s="38"/>
      <c r="G106" s="38"/>
      <c r="H106" s="38"/>
      <c r="I106" s="38"/>
      <c r="J106" s="38"/>
      <c r="K106" s="38"/>
      <c r="L106" s="38"/>
      <c r="M106" s="38"/>
      <c r="N106" s="38"/>
      <c r="O106" s="38"/>
      <c r="P106" s="38"/>
      <c r="Q106" s="38"/>
      <c r="R106" s="38"/>
      <c r="S106" s="740">
        <v>1981.0</v>
      </c>
      <c r="T106" s="740">
        <v>9029.4</v>
      </c>
      <c r="U106" s="38"/>
      <c r="V106" s="770">
        <v>118.0</v>
      </c>
      <c r="W106" s="252">
        <f t="shared" si="49"/>
        <v>118</v>
      </c>
      <c r="X106" s="252">
        <f t="shared" ref="X106:BB106" si="89">IF(AND(X$190-$A106&gt;$V$44,SUM($W106:W106)&lt;&gt;$V106),$V106,0)</f>
        <v>0</v>
      </c>
      <c r="Y106" s="252">
        <f t="shared" si="89"/>
        <v>0</v>
      </c>
      <c r="Z106" s="252">
        <f t="shared" si="89"/>
        <v>0</v>
      </c>
      <c r="AA106" s="252">
        <f t="shared" si="89"/>
        <v>0</v>
      </c>
      <c r="AB106" s="252">
        <f t="shared" si="89"/>
        <v>0</v>
      </c>
      <c r="AC106" s="252">
        <f t="shared" si="89"/>
        <v>0</v>
      </c>
      <c r="AD106" s="252">
        <f t="shared" si="89"/>
        <v>0</v>
      </c>
      <c r="AE106" s="252">
        <f t="shared" si="89"/>
        <v>0</v>
      </c>
      <c r="AF106" s="252">
        <f t="shared" si="89"/>
        <v>0</v>
      </c>
      <c r="AG106" s="252">
        <f t="shared" si="89"/>
        <v>0</v>
      </c>
      <c r="AH106" s="252">
        <f t="shared" si="89"/>
        <v>0</v>
      </c>
      <c r="AI106" s="252">
        <f t="shared" si="89"/>
        <v>0</v>
      </c>
      <c r="AJ106" s="252">
        <f t="shared" si="89"/>
        <v>0</v>
      </c>
      <c r="AK106" s="252">
        <f t="shared" si="89"/>
        <v>0</v>
      </c>
      <c r="AL106" s="252">
        <f t="shared" si="89"/>
        <v>0</v>
      </c>
      <c r="AM106" s="252">
        <f t="shared" si="89"/>
        <v>0</v>
      </c>
      <c r="AN106" s="252">
        <f t="shared" si="89"/>
        <v>0</v>
      </c>
      <c r="AO106" s="252">
        <f t="shared" si="89"/>
        <v>0</v>
      </c>
      <c r="AP106" s="252">
        <f t="shared" si="89"/>
        <v>0</v>
      </c>
      <c r="AQ106" s="252">
        <f t="shared" si="89"/>
        <v>0</v>
      </c>
      <c r="AR106" s="252">
        <f t="shared" si="89"/>
        <v>0</v>
      </c>
      <c r="AS106" s="252">
        <f t="shared" si="89"/>
        <v>0</v>
      </c>
      <c r="AT106" s="252">
        <f t="shared" si="89"/>
        <v>0</v>
      </c>
      <c r="AU106" s="252">
        <f t="shared" si="89"/>
        <v>0</v>
      </c>
      <c r="AV106" s="252">
        <f t="shared" si="89"/>
        <v>0</v>
      </c>
      <c r="AW106" s="252">
        <f t="shared" si="89"/>
        <v>0</v>
      </c>
      <c r="AX106" s="252">
        <f t="shared" si="89"/>
        <v>0</v>
      </c>
      <c r="AY106" s="252">
        <f t="shared" si="89"/>
        <v>0</v>
      </c>
      <c r="AZ106" s="252">
        <f t="shared" si="89"/>
        <v>0</v>
      </c>
      <c r="BA106" s="252">
        <f t="shared" si="89"/>
        <v>0</v>
      </c>
      <c r="BB106" s="252">
        <f t="shared" si="89"/>
        <v>0</v>
      </c>
    </row>
    <row r="107" ht="15.75" customHeight="1">
      <c r="A107" s="768">
        <v>1971.0</v>
      </c>
      <c r="B107" s="38"/>
      <c r="C107" s="38"/>
      <c r="D107" s="38"/>
      <c r="E107" s="38"/>
      <c r="F107" s="38"/>
      <c r="G107" s="38"/>
      <c r="H107" s="38"/>
      <c r="I107" s="38"/>
      <c r="J107" s="38"/>
      <c r="K107" s="38"/>
      <c r="L107" s="38"/>
      <c r="M107" s="38"/>
      <c r="N107" s="38"/>
      <c r="O107" s="38"/>
      <c r="P107" s="38"/>
      <c r="Q107" s="38"/>
      <c r="R107" s="38"/>
      <c r="S107" s="740">
        <v>1982.0</v>
      </c>
      <c r="T107" s="740">
        <v>10244.2</v>
      </c>
      <c r="U107" s="38"/>
      <c r="V107" s="770">
        <v>25.5</v>
      </c>
      <c r="W107" s="252">
        <f t="shared" si="49"/>
        <v>25.5</v>
      </c>
      <c r="X107" s="252">
        <f t="shared" ref="X107:BB107" si="90">IF(AND(X$190-$A107&gt;$V$44,SUM($W107:W107)&lt;&gt;$V107),$V107,0)</f>
        <v>0</v>
      </c>
      <c r="Y107" s="252">
        <f t="shared" si="90"/>
        <v>0</v>
      </c>
      <c r="Z107" s="252">
        <f t="shared" si="90"/>
        <v>0</v>
      </c>
      <c r="AA107" s="252">
        <f t="shared" si="90"/>
        <v>0</v>
      </c>
      <c r="AB107" s="252">
        <f t="shared" si="90"/>
        <v>0</v>
      </c>
      <c r="AC107" s="252">
        <f t="shared" si="90"/>
        <v>0</v>
      </c>
      <c r="AD107" s="252">
        <f t="shared" si="90"/>
        <v>0</v>
      </c>
      <c r="AE107" s="252">
        <f t="shared" si="90"/>
        <v>0</v>
      </c>
      <c r="AF107" s="252">
        <f t="shared" si="90"/>
        <v>0</v>
      </c>
      <c r="AG107" s="252">
        <f t="shared" si="90"/>
        <v>0</v>
      </c>
      <c r="AH107" s="252">
        <f t="shared" si="90"/>
        <v>0</v>
      </c>
      <c r="AI107" s="252">
        <f t="shared" si="90"/>
        <v>0</v>
      </c>
      <c r="AJ107" s="252">
        <f t="shared" si="90"/>
        <v>0</v>
      </c>
      <c r="AK107" s="252">
        <f t="shared" si="90"/>
        <v>0</v>
      </c>
      <c r="AL107" s="252">
        <f t="shared" si="90"/>
        <v>0</v>
      </c>
      <c r="AM107" s="252">
        <f t="shared" si="90"/>
        <v>0</v>
      </c>
      <c r="AN107" s="252">
        <f t="shared" si="90"/>
        <v>0</v>
      </c>
      <c r="AO107" s="252">
        <f t="shared" si="90"/>
        <v>0</v>
      </c>
      <c r="AP107" s="252">
        <f t="shared" si="90"/>
        <v>0</v>
      </c>
      <c r="AQ107" s="252">
        <f t="shared" si="90"/>
        <v>0</v>
      </c>
      <c r="AR107" s="252">
        <f t="shared" si="90"/>
        <v>0</v>
      </c>
      <c r="AS107" s="252">
        <f t="shared" si="90"/>
        <v>0</v>
      </c>
      <c r="AT107" s="252">
        <f t="shared" si="90"/>
        <v>0</v>
      </c>
      <c r="AU107" s="252">
        <f t="shared" si="90"/>
        <v>0</v>
      </c>
      <c r="AV107" s="252">
        <f t="shared" si="90"/>
        <v>0</v>
      </c>
      <c r="AW107" s="252">
        <f t="shared" si="90"/>
        <v>0</v>
      </c>
      <c r="AX107" s="252">
        <f t="shared" si="90"/>
        <v>0</v>
      </c>
      <c r="AY107" s="252">
        <f t="shared" si="90"/>
        <v>0</v>
      </c>
      <c r="AZ107" s="252">
        <f t="shared" si="90"/>
        <v>0</v>
      </c>
      <c r="BA107" s="252">
        <f t="shared" si="90"/>
        <v>0</v>
      </c>
      <c r="BB107" s="252">
        <f t="shared" si="90"/>
        <v>0</v>
      </c>
    </row>
    <row r="108" ht="15.75" customHeight="1">
      <c r="A108" s="768">
        <v>1972.0</v>
      </c>
      <c r="B108" s="38"/>
      <c r="C108" s="38"/>
      <c r="D108" s="38"/>
      <c r="E108" s="38"/>
      <c r="F108" s="38"/>
      <c r="G108" s="38"/>
      <c r="H108" s="38"/>
      <c r="I108" s="38"/>
      <c r="J108" s="38"/>
      <c r="K108" s="38"/>
      <c r="L108" s="38"/>
      <c r="M108" s="38"/>
      <c r="N108" s="38"/>
      <c r="O108" s="38"/>
      <c r="P108" s="38"/>
      <c r="Q108" s="38"/>
      <c r="R108" s="38"/>
      <c r="S108" s="740">
        <v>1983.0</v>
      </c>
      <c r="T108" s="740">
        <v>6015.200000000001</v>
      </c>
      <c r="U108" s="38"/>
      <c r="V108" s="770">
        <v>0.0</v>
      </c>
      <c r="W108" s="252">
        <f t="shared" si="49"/>
        <v>0</v>
      </c>
      <c r="X108" s="252">
        <f t="shared" ref="X108:BB108" si="91">IF(AND(X$190-$A108&gt;$V$44,SUM($W108:W108)&lt;&gt;$V108),$V108,0)</f>
        <v>0</v>
      </c>
      <c r="Y108" s="252">
        <f t="shared" si="91"/>
        <v>0</v>
      </c>
      <c r="Z108" s="252">
        <f t="shared" si="91"/>
        <v>0</v>
      </c>
      <c r="AA108" s="252">
        <f t="shared" si="91"/>
        <v>0</v>
      </c>
      <c r="AB108" s="252">
        <f t="shared" si="91"/>
        <v>0</v>
      </c>
      <c r="AC108" s="252">
        <f t="shared" si="91"/>
        <v>0</v>
      </c>
      <c r="AD108" s="252">
        <f t="shared" si="91"/>
        <v>0</v>
      </c>
      <c r="AE108" s="252">
        <f t="shared" si="91"/>
        <v>0</v>
      </c>
      <c r="AF108" s="252">
        <f t="shared" si="91"/>
        <v>0</v>
      </c>
      <c r="AG108" s="252">
        <f t="shared" si="91"/>
        <v>0</v>
      </c>
      <c r="AH108" s="252">
        <f t="shared" si="91"/>
        <v>0</v>
      </c>
      <c r="AI108" s="252">
        <f t="shared" si="91"/>
        <v>0</v>
      </c>
      <c r="AJ108" s="252">
        <f t="shared" si="91"/>
        <v>0</v>
      </c>
      <c r="AK108" s="252">
        <f t="shared" si="91"/>
        <v>0</v>
      </c>
      <c r="AL108" s="252">
        <f t="shared" si="91"/>
        <v>0</v>
      </c>
      <c r="AM108" s="252">
        <f t="shared" si="91"/>
        <v>0</v>
      </c>
      <c r="AN108" s="252">
        <f t="shared" si="91"/>
        <v>0</v>
      </c>
      <c r="AO108" s="252">
        <f t="shared" si="91"/>
        <v>0</v>
      </c>
      <c r="AP108" s="252">
        <f t="shared" si="91"/>
        <v>0</v>
      </c>
      <c r="AQ108" s="252">
        <f t="shared" si="91"/>
        <v>0</v>
      </c>
      <c r="AR108" s="252">
        <f t="shared" si="91"/>
        <v>0</v>
      </c>
      <c r="AS108" s="252">
        <f t="shared" si="91"/>
        <v>0</v>
      </c>
      <c r="AT108" s="252">
        <f t="shared" si="91"/>
        <v>0</v>
      </c>
      <c r="AU108" s="252">
        <f t="shared" si="91"/>
        <v>0</v>
      </c>
      <c r="AV108" s="252">
        <f t="shared" si="91"/>
        <v>0</v>
      </c>
      <c r="AW108" s="252">
        <f t="shared" si="91"/>
        <v>0</v>
      </c>
      <c r="AX108" s="252">
        <f t="shared" si="91"/>
        <v>0</v>
      </c>
      <c r="AY108" s="252">
        <f t="shared" si="91"/>
        <v>0</v>
      </c>
      <c r="AZ108" s="252">
        <f t="shared" si="91"/>
        <v>0</v>
      </c>
      <c r="BA108" s="252">
        <f t="shared" si="91"/>
        <v>0</v>
      </c>
      <c r="BB108" s="252">
        <f t="shared" si="91"/>
        <v>0</v>
      </c>
    </row>
    <row r="109" ht="15.75" customHeight="1">
      <c r="A109" s="768">
        <v>1973.0</v>
      </c>
      <c r="B109" s="38"/>
      <c r="C109" s="38"/>
      <c r="D109" s="38"/>
      <c r="E109" s="38"/>
      <c r="F109" s="38"/>
      <c r="G109" s="38"/>
      <c r="H109" s="38"/>
      <c r="I109" s="38"/>
      <c r="J109" s="38"/>
      <c r="K109" s="38"/>
      <c r="L109" s="38"/>
      <c r="M109" s="38"/>
      <c r="N109" s="38"/>
      <c r="O109" s="38"/>
      <c r="P109" s="38"/>
      <c r="Q109" s="38"/>
      <c r="R109" s="38"/>
      <c r="S109" s="740">
        <v>1984.0</v>
      </c>
      <c r="T109" s="740">
        <v>11111.9</v>
      </c>
      <c r="U109" s="38"/>
      <c r="V109" s="770">
        <v>0.0</v>
      </c>
      <c r="W109" s="252">
        <f t="shared" si="49"/>
        <v>0</v>
      </c>
      <c r="X109" s="252">
        <f t="shared" ref="X109:BB109" si="92">IF(AND(X$190-$A109&gt;$V$44,SUM($W109:W109)&lt;&gt;$V109),$V109,0)</f>
        <v>0</v>
      </c>
      <c r="Y109" s="252">
        <f t="shared" si="92"/>
        <v>0</v>
      </c>
      <c r="Z109" s="252">
        <f t="shared" si="92"/>
        <v>0</v>
      </c>
      <c r="AA109" s="252">
        <f t="shared" si="92"/>
        <v>0</v>
      </c>
      <c r="AB109" s="252">
        <f t="shared" si="92"/>
        <v>0</v>
      </c>
      <c r="AC109" s="252">
        <f t="shared" si="92"/>
        <v>0</v>
      </c>
      <c r="AD109" s="252">
        <f t="shared" si="92"/>
        <v>0</v>
      </c>
      <c r="AE109" s="252">
        <f t="shared" si="92"/>
        <v>0</v>
      </c>
      <c r="AF109" s="252">
        <f t="shared" si="92"/>
        <v>0</v>
      </c>
      <c r="AG109" s="252">
        <f t="shared" si="92"/>
        <v>0</v>
      </c>
      <c r="AH109" s="252">
        <f t="shared" si="92"/>
        <v>0</v>
      </c>
      <c r="AI109" s="252">
        <f t="shared" si="92"/>
        <v>0</v>
      </c>
      <c r="AJ109" s="252">
        <f t="shared" si="92"/>
        <v>0</v>
      </c>
      <c r="AK109" s="252">
        <f t="shared" si="92"/>
        <v>0</v>
      </c>
      <c r="AL109" s="252">
        <f t="shared" si="92"/>
        <v>0</v>
      </c>
      <c r="AM109" s="252">
        <f t="shared" si="92"/>
        <v>0</v>
      </c>
      <c r="AN109" s="252">
        <f t="shared" si="92"/>
        <v>0</v>
      </c>
      <c r="AO109" s="252">
        <f t="shared" si="92"/>
        <v>0</v>
      </c>
      <c r="AP109" s="252">
        <f t="shared" si="92"/>
        <v>0</v>
      </c>
      <c r="AQ109" s="252">
        <f t="shared" si="92"/>
        <v>0</v>
      </c>
      <c r="AR109" s="252">
        <f t="shared" si="92"/>
        <v>0</v>
      </c>
      <c r="AS109" s="252">
        <f t="shared" si="92"/>
        <v>0</v>
      </c>
      <c r="AT109" s="252">
        <f t="shared" si="92"/>
        <v>0</v>
      </c>
      <c r="AU109" s="252">
        <f t="shared" si="92"/>
        <v>0</v>
      </c>
      <c r="AV109" s="252">
        <f t="shared" si="92"/>
        <v>0</v>
      </c>
      <c r="AW109" s="252">
        <f t="shared" si="92"/>
        <v>0</v>
      </c>
      <c r="AX109" s="252">
        <f t="shared" si="92"/>
        <v>0</v>
      </c>
      <c r="AY109" s="252">
        <f t="shared" si="92"/>
        <v>0</v>
      </c>
      <c r="AZ109" s="252">
        <f t="shared" si="92"/>
        <v>0</v>
      </c>
      <c r="BA109" s="252">
        <f t="shared" si="92"/>
        <v>0</v>
      </c>
      <c r="BB109" s="252">
        <f t="shared" si="92"/>
        <v>0</v>
      </c>
    </row>
    <row r="110" ht="15.75" customHeight="1">
      <c r="A110" s="768">
        <v>1974.0</v>
      </c>
      <c r="B110" s="38"/>
      <c r="C110" s="38"/>
      <c r="D110" s="38"/>
      <c r="E110" s="38"/>
      <c r="F110" s="38"/>
      <c r="G110" s="38"/>
      <c r="H110" s="38"/>
      <c r="I110" s="38"/>
      <c r="J110" s="38"/>
      <c r="K110" s="38"/>
      <c r="L110" s="38"/>
      <c r="M110" s="38"/>
      <c r="N110" s="38"/>
      <c r="O110" s="38"/>
      <c r="P110" s="38"/>
      <c r="Q110" s="38"/>
      <c r="R110" s="38"/>
      <c r="S110" s="740">
        <v>1985.0</v>
      </c>
      <c r="T110" s="740">
        <v>6033.8</v>
      </c>
      <c r="U110" s="38"/>
      <c r="V110" s="770">
        <v>0.0</v>
      </c>
      <c r="W110" s="252">
        <f t="shared" si="49"/>
        <v>0</v>
      </c>
      <c r="X110" s="252">
        <f t="shared" ref="X110:BB110" si="93">IF(AND(X$190-$A110&gt;$V$44,SUM($W110:W110)&lt;&gt;$V110),$V110,0)</f>
        <v>0</v>
      </c>
      <c r="Y110" s="252">
        <f t="shared" si="93"/>
        <v>0</v>
      </c>
      <c r="Z110" s="252">
        <f t="shared" si="93"/>
        <v>0</v>
      </c>
      <c r="AA110" s="252">
        <f t="shared" si="93"/>
        <v>0</v>
      </c>
      <c r="AB110" s="252">
        <f t="shared" si="93"/>
        <v>0</v>
      </c>
      <c r="AC110" s="252">
        <f t="shared" si="93"/>
        <v>0</v>
      </c>
      <c r="AD110" s="252">
        <f t="shared" si="93"/>
        <v>0</v>
      </c>
      <c r="AE110" s="252">
        <f t="shared" si="93"/>
        <v>0</v>
      </c>
      <c r="AF110" s="252">
        <f t="shared" si="93"/>
        <v>0</v>
      </c>
      <c r="AG110" s="252">
        <f t="shared" si="93"/>
        <v>0</v>
      </c>
      <c r="AH110" s="252">
        <f t="shared" si="93"/>
        <v>0</v>
      </c>
      <c r="AI110" s="252">
        <f t="shared" si="93"/>
        <v>0</v>
      </c>
      <c r="AJ110" s="252">
        <f t="shared" si="93"/>
        <v>0</v>
      </c>
      <c r="AK110" s="252">
        <f t="shared" si="93"/>
        <v>0</v>
      </c>
      <c r="AL110" s="252">
        <f t="shared" si="93"/>
        <v>0</v>
      </c>
      <c r="AM110" s="252">
        <f t="shared" si="93"/>
        <v>0</v>
      </c>
      <c r="AN110" s="252">
        <f t="shared" si="93"/>
        <v>0</v>
      </c>
      <c r="AO110" s="252">
        <f t="shared" si="93"/>
        <v>0</v>
      </c>
      <c r="AP110" s="252">
        <f t="shared" si="93"/>
        <v>0</v>
      </c>
      <c r="AQ110" s="252">
        <f t="shared" si="93"/>
        <v>0</v>
      </c>
      <c r="AR110" s="252">
        <f t="shared" si="93"/>
        <v>0</v>
      </c>
      <c r="AS110" s="252">
        <f t="shared" si="93"/>
        <v>0</v>
      </c>
      <c r="AT110" s="252">
        <f t="shared" si="93"/>
        <v>0</v>
      </c>
      <c r="AU110" s="252">
        <f t="shared" si="93"/>
        <v>0</v>
      </c>
      <c r="AV110" s="252">
        <f t="shared" si="93"/>
        <v>0</v>
      </c>
      <c r="AW110" s="252">
        <f t="shared" si="93"/>
        <v>0</v>
      </c>
      <c r="AX110" s="252">
        <f t="shared" si="93"/>
        <v>0</v>
      </c>
      <c r="AY110" s="252">
        <f t="shared" si="93"/>
        <v>0</v>
      </c>
      <c r="AZ110" s="252">
        <f t="shared" si="93"/>
        <v>0</v>
      </c>
      <c r="BA110" s="252">
        <f t="shared" si="93"/>
        <v>0</v>
      </c>
      <c r="BB110" s="252">
        <f t="shared" si="93"/>
        <v>0</v>
      </c>
    </row>
    <row r="111" ht="15.75" customHeight="1">
      <c r="A111" s="768">
        <v>1975.0</v>
      </c>
      <c r="B111" s="38"/>
      <c r="C111" s="38"/>
      <c r="D111" s="38"/>
      <c r="E111" s="38"/>
      <c r="F111" s="38"/>
      <c r="G111" s="38"/>
      <c r="H111" s="38"/>
      <c r="I111" s="38"/>
      <c r="J111" s="38"/>
      <c r="K111" s="38"/>
      <c r="L111" s="38"/>
      <c r="M111" s="38"/>
      <c r="N111" s="38"/>
      <c r="O111" s="38"/>
      <c r="P111" s="38"/>
      <c r="Q111" s="38"/>
      <c r="R111" s="38"/>
      <c r="S111" s="740">
        <v>1986.0</v>
      </c>
      <c r="T111" s="740">
        <v>5860.4</v>
      </c>
      <c r="U111" s="38"/>
      <c r="V111" s="770">
        <v>0.0</v>
      </c>
      <c r="W111" s="252">
        <f t="shared" si="49"/>
        <v>0</v>
      </c>
      <c r="X111" s="252">
        <f t="shared" ref="X111:BB111" si="94">IF(AND(X$190-$A111&gt;$V$44,SUM($W111:W111)&lt;&gt;$V111),$V111,0)</f>
        <v>0</v>
      </c>
      <c r="Y111" s="252">
        <f t="shared" si="94"/>
        <v>0</v>
      </c>
      <c r="Z111" s="252">
        <f t="shared" si="94"/>
        <v>0</v>
      </c>
      <c r="AA111" s="252">
        <f t="shared" si="94"/>
        <v>0</v>
      </c>
      <c r="AB111" s="252">
        <f t="shared" si="94"/>
        <v>0</v>
      </c>
      <c r="AC111" s="252">
        <f t="shared" si="94"/>
        <v>0</v>
      </c>
      <c r="AD111" s="252">
        <f t="shared" si="94"/>
        <v>0</v>
      </c>
      <c r="AE111" s="252">
        <f t="shared" si="94"/>
        <v>0</v>
      </c>
      <c r="AF111" s="252">
        <f t="shared" si="94"/>
        <v>0</v>
      </c>
      <c r="AG111" s="252">
        <f t="shared" si="94"/>
        <v>0</v>
      </c>
      <c r="AH111" s="252">
        <f t="shared" si="94"/>
        <v>0</v>
      </c>
      <c r="AI111" s="252">
        <f t="shared" si="94"/>
        <v>0</v>
      </c>
      <c r="AJ111" s="252">
        <f t="shared" si="94"/>
        <v>0</v>
      </c>
      <c r="AK111" s="252">
        <f t="shared" si="94"/>
        <v>0</v>
      </c>
      <c r="AL111" s="252">
        <f t="shared" si="94"/>
        <v>0</v>
      </c>
      <c r="AM111" s="252">
        <f t="shared" si="94"/>
        <v>0</v>
      </c>
      <c r="AN111" s="252">
        <f t="shared" si="94"/>
        <v>0</v>
      </c>
      <c r="AO111" s="252">
        <f t="shared" si="94"/>
        <v>0</v>
      </c>
      <c r="AP111" s="252">
        <f t="shared" si="94"/>
        <v>0</v>
      </c>
      <c r="AQ111" s="252">
        <f t="shared" si="94"/>
        <v>0</v>
      </c>
      <c r="AR111" s="252">
        <f t="shared" si="94"/>
        <v>0</v>
      </c>
      <c r="AS111" s="252">
        <f t="shared" si="94"/>
        <v>0</v>
      </c>
      <c r="AT111" s="252">
        <f t="shared" si="94"/>
        <v>0</v>
      </c>
      <c r="AU111" s="252">
        <f t="shared" si="94"/>
        <v>0</v>
      </c>
      <c r="AV111" s="252">
        <f t="shared" si="94"/>
        <v>0</v>
      </c>
      <c r="AW111" s="252">
        <f t="shared" si="94"/>
        <v>0</v>
      </c>
      <c r="AX111" s="252">
        <f t="shared" si="94"/>
        <v>0</v>
      </c>
      <c r="AY111" s="252">
        <f t="shared" si="94"/>
        <v>0</v>
      </c>
      <c r="AZ111" s="252">
        <f t="shared" si="94"/>
        <v>0</v>
      </c>
      <c r="BA111" s="252">
        <f t="shared" si="94"/>
        <v>0</v>
      </c>
      <c r="BB111" s="252">
        <f t="shared" si="94"/>
        <v>0</v>
      </c>
    </row>
    <row r="112" ht="15.75" customHeight="1">
      <c r="A112" s="768">
        <v>1976.0</v>
      </c>
      <c r="B112" s="38"/>
      <c r="C112" s="38"/>
      <c r="D112" s="38"/>
      <c r="E112" s="38"/>
      <c r="F112" s="38"/>
      <c r="G112" s="38"/>
      <c r="H112" s="38"/>
      <c r="I112" s="38"/>
      <c r="J112" s="38"/>
      <c r="K112" s="38"/>
      <c r="L112" s="38"/>
      <c r="M112" s="38"/>
      <c r="N112" s="38"/>
      <c r="O112" s="38"/>
      <c r="P112" s="38"/>
      <c r="Q112" s="38"/>
      <c r="R112" s="38"/>
      <c r="S112" s="740">
        <v>1987.0</v>
      </c>
      <c r="T112" s="740">
        <v>3283.8</v>
      </c>
      <c r="U112" s="38"/>
      <c r="V112" s="770">
        <v>86.4</v>
      </c>
      <c r="W112" s="252">
        <f t="shared" si="49"/>
        <v>86.4</v>
      </c>
      <c r="X112" s="252">
        <f t="shared" ref="X112:BB112" si="95">IF(AND(X$190-$A112&gt;$V$44,SUM($W112:W112)&lt;&gt;$V112),$V112,0)</f>
        <v>0</v>
      </c>
      <c r="Y112" s="252">
        <f t="shared" si="95"/>
        <v>0</v>
      </c>
      <c r="Z112" s="252">
        <f t="shared" si="95"/>
        <v>0</v>
      </c>
      <c r="AA112" s="252">
        <f t="shared" si="95"/>
        <v>0</v>
      </c>
      <c r="AB112" s="252">
        <f t="shared" si="95"/>
        <v>0</v>
      </c>
      <c r="AC112" s="252">
        <f t="shared" si="95"/>
        <v>0</v>
      </c>
      <c r="AD112" s="252">
        <f t="shared" si="95"/>
        <v>0</v>
      </c>
      <c r="AE112" s="252">
        <f t="shared" si="95"/>
        <v>0</v>
      </c>
      <c r="AF112" s="252">
        <f t="shared" si="95"/>
        <v>0</v>
      </c>
      <c r="AG112" s="252">
        <f t="shared" si="95"/>
        <v>0</v>
      </c>
      <c r="AH112" s="252">
        <f t="shared" si="95"/>
        <v>0</v>
      </c>
      <c r="AI112" s="252">
        <f t="shared" si="95"/>
        <v>0</v>
      </c>
      <c r="AJ112" s="252">
        <f t="shared" si="95"/>
        <v>0</v>
      </c>
      <c r="AK112" s="252">
        <f t="shared" si="95"/>
        <v>0</v>
      </c>
      <c r="AL112" s="252">
        <f t="shared" si="95"/>
        <v>0</v>
      </c>
      <c r="AM112" s="252">
        <f t="shared" si="95"/>
        <v>0</v>
      </c>
      <c r="AN112" s="252">
        <f t="shared" si="95"/>
        <v>0</v>
      </c>
      <c r="AO112" s="252">
        <f t="shared" si="95"/>
        <v>0</v>
      </c>
      <c r="AP112" s="252">
        <f t="shared" si="95"/>
        <v>0</v>
      </c>
      <c r="AQ112" s="252">
        <f t="shared" si="95"/>
        <v>0</v>
      </c>
      <c r="AR112" s="252">
        <f t="shared" si="95"/>
        <v>0</v>
      </c>
      <c r="AS112" s="252">
        <f t="shared" si="95"/>
        <v>0</v>
      </c>
      <c r="AT112" s="252">
        <f t="shared" si="95"/>
        <v>0</v>
      </c>
      <c r="AU112" s="252">
        <f t="shared" si="95"/>
        <v>0</v>
      </c>
      <c r="AV112" s="252">
        <f t="shared" si="95"/>
        <v>0</v>
      </c>
      <c r="AW112" s="252">
        <f t="shared" si="95"/>
        <v>0</v>
      </c>
      <c r="AX112" s="252">
        <f t="shared" si="95"/>
        <v>0</v>
      </c>
      <c r="AY112" s="252">
        <f t="shared" si="95"/>
        <v>0</v>
      </c>
      <c r="AZ112" s="252">
        <f t="shared" si="95"/>
        <v>0</v>
      </c>
      <c r="BA112" s="252">
        <f t="shared" si="95"/>
        <v>0</v>
      </c>
      <c r="BB112" s="252">
        <f t="shared" si="95"/>
        <v>0</v>
      </c>
    </row>
    <row r="113" ht="15.75" customHeight="1">
      <c r="A113" s="768">
        <v>1977.0</v>
      </c>
      <c r="B113" s="38"/>
      <c r="C113" s="38"/>
      <c r="D113" s="38"/>
      <c r="E113" s="38"/>
      <c r="F113" s="38"/>
      <c r="G113" s="38"/>
      <c r="H113" s="38"/>
      <c r="I113" s="38"/>
      <c r="J113" s="38"/>
      <c r="K113" s="38"/>
      <c r="L113" s="38"/>
      <c r="M113" s="38"/>
      <c r="N113" s="38"/>
      <c r="O113" s="38"/>
      <c r="P113" s="38"/>
      <c r="Q113" s="38"/>
      <c r="R113" s="38"/>
      <c r="S113" s="740">
        <v>1988.0</v>
      </c>
      <c r="T113" s="740">
        <v>803.1999999999999</v>
      </c>
      <c r="U113" s="38"/>
      <c r="V113" s="770">
        <v>0.0</v>
      </c>
      <c r="W113" s="252">
        <f t="shared" si="49"/>
        <v>0</v>
      </c>
      <c r="X113" s="252">
        <f t="shared" ref="X113:BB113" si="96">IF(AND(X$190-$A113&gt;$V$44,SUM($W113:W113)&lt;&gt;$V113),$V113,0)</f>
        <v>0</v>
      </c>
      <c r="Y113" s="252">
        <f t="shared" si="96"/>
        <v>0</v>
      </c>
      <c r="Z113" s="252">
        <f t="shared" si="96"/>
        <v>0</v>
      </c>
      <c r="AA113" s="252">
        <f t="shared" si="96"/>
        <v>0</v>
      </c>
      <c r="AB113" s="252">
        <f t="shared" si="96"/>
        <v>0</v>
      </c>
      <c r="AC113" s="252">
        <f t="shared" si="96"/>
        <v>0</v>
      </c>
      <c r="AD113" s="252">
        <f t="shared" si="96"/>
        <v>0</v>
      </c>
      <c r="AE113" s="252">
        <f t="shared" si="96"/>
        <v>0</v>
      </c>
      <c r="AF113" s="252">
        <f t="shared" si="96"/>
        <v>0</v>
      </c>
      <c r="AG113" s="252">
        <f t="shared" si="96"/>
        <v>0</v>
      </c>
      <c r="AH113" s="252">
        <f t="shared" si="96"/>
        <v>0</v>
      </c>
      <c r="AI113" s="252">
        <f t="shared" si="96"/>
        <v>0</v>
      </c>
      <c r="AJ113" s="252">
        <f t="shared" si="96"/>
        <v>0</v>
      </c>
      <c r="AK113" s="252">
        <f t="shared" si="96"/>
        <v>0</v>
      </c>
      <c r="AL113" s="252">
        <f t="shared" si="96"/>
        <v>0</v>
      </c>
      <c r="AM113" s="252">
        <f t="shared" si="96"/>
        <v>0</v>
      </c>
      <c r="AN113" s="252">
        <f t="shared" si="96"/>
        <v>0</v>
      </c>
      <c r="AO113" s="252">
        <f t="shared" si="96"/>
        <v>0</v>
      </c>
      <c r="AP113" s="252">
        <f t="shared" si="96"/>
        <v>0</v>
      </c>
      <c r="AQ113" s="252">
        <f t="shared" si="96"/>
        <v>0</v>
      </c>
      <c r="AR113" s="252">
        <f t="shared" si="96"/>
        <v>0</v>
      </c>
      <c r="AS113" s="252">
        <f t="shared" si="96"/>
        <v>0</v>
      </c>
      <c r="AT113" s="252">
        <f t="shared" si="96"/>
        <v>0</v>
      </c>
      <c r="AU113" s="252">
        <f t="shared" si="96"/>
        <v>0</v>
      </c>
      <c r="AV113" s="252">
        <f t="shared" si="96"/>
        <v>0</v>
      </c>
      <c r="AW113" s="252">
        <f t="shared" si="96"/>
        <v>0</v>
      </c>
      <c r="AX113" s="252">
        <f t="shared" si="96"/>
        <v>0</v>
      </c>
      <c r="AY113" s="252">
        <f t="shared" si="96"/>
        <v>0</v>
      </c>
      <c r="AZ113" s="252">
        <f t="shared" si="96"/>
        <v>0</v>
      </c>
      <c r="BA113" s="252">
        <f t="shared" si="96"/>
        <v>0</v>
      </c>
      <c r="BB113" s="252">
        <f t="shared" si="96"/>
        <v>0</v>
      </c>
    </row>
    <row r="114" ht="15.75" customHeight="1">
      <c r="A114" s="768">
        <v>1978.0</v>
      </c>
      <c r="B114" s="38"/>
      <c r="C114" s="38"/>
      <c r="D114" s="38"/>
      <c r="E114" s="38"/>
      <c r="F114" s="38"/>
      <c r="G114" s="38"/>
      <c r="H114" s="38"/>
      <c r="I114" s="38"/>
      <c r="J114" s="38"/>
      <c r="K114" s="38"/>
      <c r="L114" s="38"/>
      <c r="M114" s="38"/>
      <c r="N114" s="38"/>
      <c r="O114" s="38"/>
      <c r="P114" s="38"/>
      <c r="Q114" s="38"/>
      <c r="R114" s="38"/>
      <c r="S114" s="740">
        <v>1989.0</v>
      </c>
      <c r="T114" s="740">
        <v>3027.6</v>
      </c>
      <c r="U114" s="38"/>
      <c r="V114" s="770">
        <v>28.8</v>
      </c>
      <c r="W114" s="252">
        <f t="shared" si="49"/>
        <v>28.8</v>
      </c>
      <c r="X114" s="252">
        <f t="shared" ref="X114:BB114" si="97">IF(AND(X$190-$A114&gt;$V$44,SUM($W114:W114)&lt;&gt;$V114),$V114,0)</f>
        <v>0</v>
      </c>
      <c r="Y114" s="252">
        <f t="shared" si="97"/>
        <v>0</v>
      </c>
      <c r="Z114" s="252">
        <f t="shared" si="97"/>
        <v>0</v>
      </c>
      <c r="AA114" s="252">
        <f t="shared" si="97"/>
        <v>0</v>
      </c>
      <c r="AB114" s="252">
        <f t="shared" si="97"/>
        <v>0</v>
      </c>
      <c r="AC114" s="252">
        <f t="shared" si="97"/>
        <v>0</v>
      </c>
      <c r="AD114" s="252">
        <f t="shared" si="97"/>
        <v>0</v>
      </c>
      <c r="AE114" s="252">
        <f t="shared" si="97"/>
        <v>0</v>
      </c>
      <c r="AF114" s="252">
        <f t="shared" si="97"/>
        <v>0</v>
      </c>
      <c r="AG114" s="252">
        <f t="shared" si="97"/>
        <v>0</v>
      </c>
      <c r="AH114" s="252">
        <f t="shared" si="97"/>
        <v>0</v>
      </c>
      <c r="AI114" s="252">
        <f t="shared" si="97"/>
        <v>0</v>
      </c>
      <c r="AJ114" s="252">
        <f t="shared" si="97"/>
        <v>0</v>
      </c>
      <c r="AK114" s="252">
        <f t="shared" si="97"/>
        <v>0</v>
      </c>
      <c r="AL114" s="252">
        <f t="shared" si="97"/>
        <v>0</v>
      </c>
      <c r="AM114" s="252">
        <f t="shared" si="97"/>
        <v>0</v>
      </c>
      <c r="AN114" s="252">
        <f t="shared" si="97"/>
        <v>0</v>
      </c>
      <c r="AO114" s="252">
        <f t="shared" si="97"/>
        <v>0</v>
      </c>
      <c r="AP114" s="252">
        <f t="shared" si="97"/>
        <v>0</v>
      </c>
      <c r="AQ114" s="252">
        <f t="shared" si="97"/>
        <v>0</v>
      </c>
      <c r="AR114" s="252">
        <f t="shared" si="97"/>
        <v>0</v>
      </c>
      <c r="AS114" s="252">
        <f t="shared" si="97"/>
        <v>0</v>
      </c>
      <c r="AT114" s="252">
        <f t="shared" si="97"/>
        <v>0</v>
      </c>
      <c r="AU114" s="252">
        <f t="shared" si="97"/>
        <v>0</v>
      </c>
      <c r="AV114" s="252">
        <f t="shared" si="97"/>
        <v>0</v>
      </c>
      <c r="AW114" s="252">
        <f t="shared" si="97"/>
        <v>0</v>
      </c>
      <c r="AX114" s="252">
        <f t="shared" si="97"/>
        <v>0</v>
      </c>
      <c r="AY114" s="252">
        <f t="shared" si="97"/>
        <v>0</v>
      </c>
      <c r="AZ114" s="252">
        <f t="shared" si="97"/>
        <v>0</v>
      </c>
      <c r="BA114" s="252">
        <f t="shared" si="97"/>
        <v>0</v>
      </c>
      <c r="BB114" s="252">
        <f t="shared" si="97"/>
        <v>0</v>
      </c>
    </row>
    <row r="115" ht="15.75" customHeight="1">
      <c r="A115" s="768">
        <v>1979.0</v>
      </c>
      <c r="B115" s="38"/>
      <c r="C115" s="38"/>
      <c r="D115" s="38"/>
      <c r="E115" s="38"/>
      <c r="F115" s="38"/>
      <c r="G115" s="38"/>
      <c r="H115" s="38"/>
      <c r="I115" s="38"/>
      <c r="J115" s="38"/>
      <c r="K115" s="38"/>
      <c r="L115" s="38"/>
      <c r="M115" s="38"/>
      <c r="N115" s="38"/>
      <c r="O115" s="38"/>
      <c r="P115" s="38"/>
      <c r="Q115" s="38"/>
      <c r="R115" s="38"/>
      <c r="S115" s="740">
        <v>1990.0</v>
      </c>
      <c r="T115" s="740">
        <v>1816.8999999999999</v>
      </c>
      <c r="U115" s="38"/>
      <c r="V115" s="770">
        <v>28.8</v>
      </c>
      <c r="W115" s="252">
        <f t="shared" si="49"/>
        <v>28.8</v>
      </c>
      <c r="X115" s="252">
        <f t="shared" ref="X115:BB115" si="98">IF(AND(X$190-$A115&gt;$V$44,SUM($W115:W115)&lt;&gt;$V115),$V115,0)</f>
        <v>0</v>
      </c>
      <c r="Y115" s="252">
        <f t="shared" si="98"/>
        <v>0</v>
      </c>
      <c r="Z115" s="252">
        <f t="shared" si="98"/>
        <v>0</v>
      </c>
      <c r="AA115" s="252">
        <f t="shared" si="98"/>
        <v>0</v>
      </c>
      <c r="AB115" s="252">
        <f t="shared" si="98"/>
        <v>0</v>
      </c>
      <c r="AC115" s="252">
        <f t="shared" si="98"/>
        <v>0</v>
      </c>
      <c r="AD115" s="252">
        <f t="shared" si="98"/>
        <v>0</v>
      </c>
      <c r="AE115" s="252">
        <f t="shared" si="98"/>
        <v>0</v>
      </c>
      <c r="AF115" s="252">
        <f t="shared" si="98"/>
        <v>0</v>
      </c>
      <c r="AG115" s="252">
        <f t="shared" si="98"/>
        <v>0</v>
      </c>
      <c r="AH115" s="252">
        <f t="shared" si="98"/>
        <v>0</v>
      </c>
      <c r="AI115" s="252">
        <f t="shared" si="98"/>
        <v>0</v>
      </c>
      <c r="AJ115" s="252">
        <f t="shared" si="98"/>
        <v>0</v>
      </c>
      <c r="AK115" s="252">
        <f t="shared" si="98"/>
        <v>0</v>
      </c>
      <c r="AL115" s="252">
        <f t="shared" si="98"/>
        <v>0</v>
      </c>
      <c r="AM115" s="252">
        <f t="shared" si="98"/>
        <v>0</v>
      </c>
      <c r="AN115" s="252">
        <f t="shared" si="98"/>
        <v>0</v>
      </c>
      <c r="AO115" s="252">
        <f t="shared" si="98"/>
        <v>0</v>
      </c>
      <c r="AP115" s="252">
        <f t="shared" si="98"/>
        <v>0</v>
      </c>
      <c r="AQ115" s="252">
        <f t="shared" si="98"/>
        <v>0</v>
      </c>
      <c r="AR115" s="252">
        <f t="shared" si="98"/>
        <v>0</v>
      </c>
      <c r="AS115" s="252">
        <f t="shared" si="98"/>
        <v>0</v>
      </c>
      <c r="AT115" s="252">
        <f t="shared" si="98"/>
        <v>0</v>
      </c>
      <c r="AU115" s="252">
        <f t="shared" si="98"/>
        <v>0</v>
      </c>
      <c r="AV115" s="252">
        <f t="shared" si="98"/>
        <v>0</v>
      </c>
      <c r="AW115" s="252">
        <f t="shared" si="98"/>
        <v>0</v>
      </c>
      <c r="AX115" s="252">
        <f t="shared" si="98"/>
        <v>0</v>
      </c>
      <c r="AY115" s="252">
        <f t="shared" si="98"/>
        <v>0</v>
      </c>
      <c r="AZ115" s="252">
        <f t="shared" si="98"/>
        <v>0</v>
      </c>
      <c r="BA115" s="252">
        <f t="shared" si="98"/>
        <v>0</v>
      </c>
      <c r="BB115" s="252">
        <f t="shared" si="98"/>
        <v>0</v>
      </c>
    </row>
    <row r="116" ht="15.75" customHeight="1">
      <c r="A116" s="768">
        <v>1980.0</v>
      </c>
      <c r="B116" s="38"/>
      <c r="C116" s="38"/>
      <c r="D116" s="38"/>
      <c r="E116" s="38"/>
      <c r="F116" s="38"/>
      <c r="G116" s="38"/>
      <c r="H116" s="38"/>
      <c r="I116" s="38"/>
      <c r="J116" s="38"/>
      <c r="K116" s="38"/>
      <c r="L116" s="38"/>
      <c r="M116" s="38"/>
      <c r="N116" s="38"/>
      <c r="O116" s="38"/>
      <c r="P116" s="38"/>
      <c r="Q116" s="38"/>
      <c r="R116" s="38"/>
      <c r="S116" s="740">
        <v>1991.0</v>
      </c>
      <c r="T116" s="740">
        <v>3074.3</v>
      </c>
      <c r="U116" s="38"/>
      <c r="V116" s="770">
        <v>28.8</v>
      </c>
      <c r="W116" s="252">
        <f t="shared" si="49"/>
        <v>28.8</v>
      </c>
      <c r="X116" s="252">
        <f t="shared" ref="X116:BB116" si="99">IF(AND(X$190-$A116&gt;$V$44,SUM($W116:W116)&lt;&gt;$V116),$V116,0)</f>
        <v>0</v>
      </c>
      <c r="Y116" s="252">
        <f t="shared" si="99"/>
        <v>0</v>
      </c>
      <c r="Z116" s="252">
        <f t="shared" si="99"/>
        <v>0</v>
      </c>
      <c r="AA116" s="252">
        <f t="shared" si="99"/>
        <v>0</v>
      </c>
      <c r="AB116" s="252">
        <f t="shared" si="99"/>
        <v>0</v>
      </c>
      <c r="AC116" s="252">
        <f t="shared" si="99"/>
        <v>0</v>
      </c>
      <c r="AD116" s="252">
        <f t="shared" si="99"/>
        <v>0</v>
      </c>
      <c r="AE116" s="252">
        <f t="shared" si="99"/>
        <v>0</v>
      </c>
      <c r="AF116" s="252">
        <f t="shared" si="99"/>
        <v>0</v>
      </c>
      <c r="AG116" s="252">
        <f t="shared" si="99"/>
        <v>0</v>
      </c>
      <c r="AH116" s="252">
        <f t="shared" si="99"/>
        <v>0</v>
      </c>
      <c r="AI116" s="252">
        <f t="shared" si="99"/>
        <v>0</v>
      </c>
      <c r="AJ116" s="252">
        <f t="shared" si="99"/>
        <v>0</v>
      </c>
      <c r="AK116" s="252">
        <f t="shared" si="99"/>
        <v>0</v>
      </c>
      <c r="AL116" s="252">
        <f t="shared" si="99"/>
        <v>0</v>
      </c>
      <c r="AM116" s="252">
        <f t="shared" si="99"/>
        <v>0</v>
      </c>
      <c r="AN116" s="252">
        <f t="shared" si="99"/>
        <v>0</v>
      </c>
      <c r="AO116" s="252">
        <f t="shared" si="99"/>
        <v>0</v>
      </c>
      <c r="AP116" s="252">
        <f t="shared" si="99"/>
        <v>0</v>
      </c>
      <c r="AQ116" s="252">
        <f t="shared" si="99"/>
        <v>0</v>
      </c>
      <c r="AR116" s="252">
        <f t="shared" si="99"/>
        <v>0</v>
      </c>
      <c r="AS116" s="252">
        <f t="shared" si="99"/>
        <v>0</v>
      </c>
      <c r="AT116" s="252">
        <f t="shared" si="99"/>
        <v>0</v>
      </c>
      <c r="AU116" s="252">
        <f t="shared" si="99"/>
        <v>0</v>
      </c>
      <c r="AV116" s="252">
        <f t="shared" si="99"/>
        <v>0</v>
      </c>
      <c r="AW116" s="252">
        <f t="shared" si="99"/>
        <v>0</v>
      </c>
      <c r="AX116" s="252">
        <f t="shared" si="99"/>
        <v>0</v>
      </c>
      <c r="AY116" s="252">
        <f t="shared" si="99"/>
        <v>0</v>
      </c>
      <c r="AZ116" s="252">
        <f t="shared" si="99"/>
        <v>0</v>
      </c>
      <c r="BA116" s="252">
        <f t="shared" si="99"/>
        <v>0</v>
      </c>
      <c r="BB116" s="252">
        <f t="shared" si="99"/>
        <v>0</v>
      </c>
    </row>
    <row r="117" ht="15.75" customHeight="1">
      <c r="A117" s="768">
        <v>1981.0</v>
      </c>
      <c r="B117" s="38"/>
      <c r="C117" s="38"/>
      <c r="D117" s="38"/>
      <c r="E117" s="38"/>
      <c r="F117" s="38"/>
      <c r="G117" s="38"/>
      <c r="H117" s="38"/>
      <c r="I117" s="38"/>
      <c r="J117" s="38"/>
      <c r="K117" s="38"/>
      <c r="L117" s="38"/>
      <c r="M117" s="38"/>
      <c r="N117" s="38"/>
      <c r="O117" s="38"/>
      <c r="P117" s="38"/>
      <c r="Q117" s="38"/>
      <c r="R117" s="38"/>
      <c r="S117" s="740">
        <v>1992.0</v>
      </c>
      <c r="T117" s="740">
        <v>1051.0</v>
      </c>
      <c r="U117" s="38"/>
      <c r="V117" s="770">
        <v>0.0</v>
      </c>
      <c r="W117" s="252">
        <f t="shared" si="49"/>
        <v>0</v>
      </c>
      <c r="X117" s="252">
        <f t="shared" ref="X117:BB117" si="100">IF(AND(X$190-$A117&gt;$V$44,SUM($W117:W117)&lt;&gt;$V117),$V117,0)</f>
        <v>0</v>
      </c>
      <c r="Y117" s="252">
        <f t="shared" si="100"/>
        <v>0</v>
      </c>
      <c r="Z117" s="252">
        <f t="shared" si="100"/>
        <v>0</v>
      </c>
      <c r="AA117" s="252">
        <f t="shared" si="100"/>
        <v>0</v>
      </c>
      <c r="AB117" s="252">
        <f t="shared" si="100"/>
        <v>0</v>
      </c>
      <c r="AC117" s="252">
        <f t="shared" si="100"/>
        <v>0</v>
      </c>
      <c r="AD117" s="252">
        <f t="shared" si="100"/>
        <v>0</v>
      </c>
      <c r="AE117" s="252">
        <f t="shared" si="100"/>
        <v>0</v>
      </c>
      <c r="AF117" s="252">
        <f t="shared" si="100"/>
        <v>0</v>
      </c>
      <c r="AG117" s="252">
        <f t="shared" si="100"/>
        <v>0</v>
      </c>
      <c r="AH117" s="252">
        <f t="shared" si="100"/>
        <v>0</v>
      </c>
      <c r="AI117" s="252">
        <f t="shared" si="100"/>
        <v>0</v>
      </c>
      <c r="AJ117" s="252">
        <f t="shared" si="100"/>
        <v>0</v>
      </c>
      <c r="AK117" s="252">
        <f t="shared" si="100"/>
        <v>0</v>
      </c>
      <c r="AL117" s="252">
        <f t="shared" si="100"/>
        <v>0</v>
      </c>
      <c r="AM117" s="252">
        <f t="shared" si="100"/>
        <v>0</v>
      </c>
      <c r="AN117" s="252">
        <f t="shared" si="100"/>
        <v>0</v>
      </c>
      <c r="AO117" s="252">
        <f t="shared" si="100"/>
        <v>0</v>
      </c>
      <c r="AP117" s="252">
        <f t="shared" si="100"/>
        <v>0</v>
      </c>
      <c r="AQ117" s="252">
        <f t="shared" si="100"/>
        <v>0</v>
      </c>
      <c r="AR117" s="252">
        <f t="shared" si="100"/>
        <v>0</v>
      </c>
      <c r="AS117" s="252">
        <f t="shared" si="100"/>
        <v>0</v>
      </c>
      <c r="AT117" s="252">
        <f t="shared" si="100"/>
        <v>0</v>
      </c>
      <c r="AU117" s="252">
        <f t="shared" si="100"/>
        <v>0</v>
      </c>
      <c r="AV117" s="252">
        <f t="shared" si="100"/>
        <v>0</v>
      </c>
      <c r="AW117" s="252">
        <f t="shared" si="100"/>
        <v>0</v>
      </c>
      <c r="AX117" s="252">
        <f t="shared" si="100"/>
        <v>0</v>
      </c>
      <c r="AY117" s="252">
        <f t="shared" si="100"/>
        <v>0</v>
      </c>
      <c r="AZ117" s="252">
        <f t="shared" si="100"/>
        <v>0</v>
      </c>
      <c r="BA117" s="252">
        <f t="shared" si="100"/>
        <v>0</v>
      </c>
      <c r="BB117" s="252">
        <f t="shared" si="100"/>
        <v>0</v>
      </c>
    </row>
    <row r="118" ht="15.75" customHeight="1">
      <c r="A118" s="768">
        <v>1982.0</v>
      </c>
      <c r="B118" s="38"/>
      <c r="C118" s="38"/>
      <c r="D118" s="38"/>
      <c r="E118" s="38"/>
      <c r="F118" s="38"/>
      <c r="G118" s="38"/>
      <c r="H118" s="38"/>
      <c r="I118" s="38"/>
      <c r="J118" s="38"/>
      <c r="K118" s="38"/>
      <c r="L118" s="38"/>
      <c r="M118" s="38"/>
      <c r="N118" s="38"/>
      <c r="O118" s="38"/>
      <c r="P118" s="38"/>
      <c r="Q118" s="38"/>
      <c r="R118" s="38"/>
      <c r="S118" s="740">
        <v>1993.0</v>
      </c>
      <c r="T118" s="740">
        <v>137.2</v>
      </c>
      <c r="U118" s="38"/>
      <c r="V118" s="770">
        <v>0.0</v>
      </c>
      <c r="W118" s="252">
        <f t="shared" si="49"/>
        <v>0</v>
      </c>
      <c r="X118" s="252">
        <f t="shared" ref="X118:BB118" si="101">IF(AND(X$190-$A118&gt;$V$44,SUM($W118:W118)&lt;&gt;$V118),$V118,0)</f>
        <v>0</v>
      </c>
      <c r="Y118" s="252">
        <f t="shared" si="101"/>
        <v>0</v>
      </c>
      <c r="Z118" s="252">
        <f t="shared" si="101"/>
        <v>0</v>
      </c>
      <c r="AA118" s="252">
        <f t="shared" si="101"/>
        <v>0</v>
      </c>
      <c r="AB118" s="252">
        <f t="shared" si="101"/>
        <v>0</v>
      </c>
      <c r="AC118" s="252">
        <f t="shared" si="101"/>
        <v>0</v>
      </c>
      <c r="AD118" s="252">
        <f t="shared" si="101"/>
        <v>0</v>
      </c>
      <c r="AE118" s="252">
        <f t="shared" si="101"/>
        <v>0</v>
      </c>
      <c r="AF118" s="252">
        <f t="shared" si="101"/>
        <v>0</v>
      </c>
      <c r="AG118" s="252">
        <f t="shared" si="101"/>
        <v>0</v>
      </c>
      <c r="AH118" s="252">
        <f t="shared" si="101"/>
        <v>0</v>
      </c>
      <c r="AI118" s="252">
        <f t="shared" si="101"/>
        <v>0</v>
      </c>
      <c r="AJ118" s="252">
        <f t="shared" si="101"/>
        <v>0</v>
      </c>
      <c r="AK118" s="252">
        <f t="shared" si="101"/>
        <v>0</v>
      </c>
      <c r="AL118" s="252">
        <f t="shared" si="101"/>
        <v>0</v>
      </c>
      <c r="AM118" s="252">
        <f t="shared" si="101"/>
        <v>0</v>
      </c>
      <c r="AN118" s="252">
        <f t="shared" si="101"/>
        <v>0</v>
      </c>
      <c r="AO118" s="252">
        <f t="shared" si="101"/>
        <v>0</v>
      </c>
      <c r="AP118" s="252">
        <f t="shared" si="101"/>
        <v>0</v>
      </c>
      <c r="AQ118" s="252">
        <f t="shared" si="101"/>
        <v>0</v>
      </c>
      <c r="AR118" s="252">
        <f t="shared" si="101"/>
        <v>0</v>
      </c>
      <c r="AS118" s="252">
        <f t="shared" si="101"/>
        <v>0</v>
      </c>
      <c r="AT118" s="252">
        <f t="shared" si="101"/>
        <v>0</v>
      </c>
      <c r="AU118" s="252">
        <f t="shared" si="101"/>
        <v>0</v>
      </c>
      <c r="AV118" s="252">
        <f t="shared" si="101"/>
        <v>0</v>
      </c>
      <c r="AW118" s="252">
        <f t="shared" si="101"/>
        <v>0</v>
      </c>
      <c r="AX118" s="252">
        <f t="shared" si="101"/>
        <v>0</v>
      </c>
      <c r="AY118" s="252">
        <f t="shared" si="101"/>
        <v>0</v>
      </c>
      <c r="AZ118" s="252">
        <f t="shared" si="101"/>
        <v>0</v>
      </c>
      <c r="BA118" s="252">
        <f t="shared" si="101"/>
        <v>0</v>
      </c>
      <c r="BB118" s="252">
        <f t="shared" si="101"/>
        <v>0</v>
      </c>
    </row>
    <row r="119" ht="15.75" customHeight="1">
      <c r="A119" s="768">
        <v>1983.0</v>
      </c>
      <c r="B119" s="38"/>
      <c r="C119" s="38"/>
      <c r="D119" s="38"/>
      <c r="E119" s="38"/>
      <c r="F119" s="38"/>
      <c r="G119" s="38"/>
      <c r="H119" s="38"/>
      <c r="I119" s="38"/>
      <c r="J119" s="38"/>
      <c r="K119" s="38"/>
      <c r="L119" s="38"/>
      <c r="M119" s="38"/>
      <c r="N119" s="38"/>
      <c r="O119" s="38"/>
      <c r="P119" s="38"/>
      <c r="Q119" s="38"/>
      <c r="R119" s="38"/>
      <c r="S119" s="740">
        <v>1994.0</v>
      </c>
      <c r="T119" s="740">
        <v>533.6</v>
      </c>
      <c r="U119" s="38"/>
      <c r="V119" s="770">
        <v>0.0</v>
      </c>
      <c r="W119" s="252">
        <f t="shared" si="49"/>
        <v>0</v>
      </c>
      <c r="X119" s="252">
        <f t="shared" ref="X119:BB119" si="102">IF(AND(X$190-$A119&gt;$V$44,SUM($W119:W119)&lt;&gt;$V119),$V119,0)</f>
        <v>0</v>
      </c>
      <c r="Y119" s="252">
        <f t="shared" si="102"/>
        <v>0</v>
      </c>
      <c r="Z119" s="252">
        <f t="shared" si="102"/>
        <v>0</v>
      </c>
      <c r="AA119" s="252">
        <f t="shared" si="102"/>
        <v>0</v>
      </c>
      <c r="AB119" s="252">
        <f t="shared" si="102"/>
        <v>0</v>
      </c>
      <c r="AC119" s="252">
        <f t="shared" si="102"/>
        <v>0</v>
      </c>
      <c r="AD119" s="252">
        <f t="shared" si="102"/>
        <v>0</v>
      </c>
      <c r="AE119" s="252">
        <f t="shared" si="102"/>
        <v>0</v>
      </c>
      <c r="AF119" s="252">
        <f t="shared" si="102"/>
        <v>0</v>
      </c>
      <c r="AG119" s="252">
        <f t="shared" si="102"/>
        <v>0</v>
      </c>
      <c r="AH119" s="252">
        <f t="shared" si="102"/>
        <v>0</v>
      </c>
      <c r="AI119" s="252">
        <f t="shared" si="102"/>
        <v>0</v>
      </c>
      <c r="AJ119" s="252">
        <f t="shared" si="102"/>
        <v>0</v>
      </c>
      <c r="AK119" s="252">
        <f t="shared" si="102"/>
        <v>0</v>
      </c>
      <c r="AL119" s="252">
        <f t="shared" si="102"/>
        <v>0</v>
      </c>
      <c r="AM119" s="252">
        <f t="shared" si="102"/>
        <v>0</v>
      </c>
      <c r="AN119" s="252">
        <f t="shared" si="102"/>
        <v>0</v>
      </c>
      <c r="AO119" s="252">
        <f t="shared" si="102"/>
        <v>0</v>
      </c>
      <c r="AP119" s="252">
        <f t="shared" si="102"/>
        <v>0</v>
      </c>
      <c r="AQ119" s="252">
        <f t="shared" si="102"/>
        <v>0</v>
      </c>
      <c r="AR119" s="252">
        <f t="shared" si="102"/>
        <v>0</v>
      </c>
      <c r="AS119" s="252">
        <f t="shared" si="102"/>
        <v>0</v>
      </c>
      <c r="AT119" s="252">
        <f t="shared" si="102"/>
        <v>0</v>
      </c>
      <c r="AU119" s="252">
        <f t="shared" si="102"/>
        <v>0</v>
      </c>
      <c r="AV119" s="252">
        <f t="shared" si="102"/>
        <v>0</v>
      </c>
      <c r="AW119" s="252">
        <f t="shared" si="102"/>
        <v>0</v>
      </c>
      <c r="AX119" s="252">
        <f t="shared" si="102"/>
        <v>0</v>
      </c>
      <c r="AY119" s="252">
        <f t="shared" si="102"/>
        <v>0</v>
      </c>
      <c r="AZ119" s="252">
        <f t="shared" si="102"/>
        <v>0</v>
      </c>
      <c r="BA119" s="252">
        <f t="shared" si="102"/>
        <v>0</v>
      </c>
      <c r="BB119" s="252">
        <f t="shared" si="102"/>
        <v>0</v>
      </c>
    </row>
    <row r="120" ht="15.75" customHeight="1">
      <c r="A120" s="768">
        <v>1984.0</v>
      </c>
      <c r="B120" s="38"/>
      <c r="C120" s="38"/>
      <c r="D120" s="38"/>
      <c r="E120" s="38"/>
      <c r="F120" s="38"/>
      <c r="G120" s="38"/>
      <c r="H120" s="38"/>
      <c r="I120" s="38"/>
      <c r="J120" s="38"/>
      <c r="K120" s="38"/>
      <c r="L120" s="38"/>
      <c r="M120" s="38"/>
      <c r="N120" s="38"/>
      <c r="O120" s="38"/>
      <c r="P120" s="38"/>
      <c r="Q120" s="38"/>
      <c r="R120" s="38"/>
      <c r="S120" s="740">
        <v>1995.0</v>
      </c>
      <c r="T120" s="740">
        <v>1683.0</v>
      </c>
      <c r="U120" s="38"/>
      <c r="V120" s="770">
        <v>0.0</v>
      </c>
      <c r="W120" s="252">
        <f t="shared" si="49"/>
        <v>0</v>
      </c>
      <c r="X120" s="252">
        <f t="shared" ref="X120:BB120" si="103">IF(AND(X$190-$A120&gt;$V$44,SUM($W120:W120)&lt;&gt;$V120),$V120,0)</f>
        <v>0</v>
      </c>
      <c r="Y120" s="252">
        <f t="shared" si="103"/>
        <v>0</v>
      </c>
      <c r="Z120" s="252">
        <f t="shared" si="103"/>
        <v>0</v>
      </c>
      <c r="AA120" s="252">
        <f t="shared" si="103"/>
        <v>0</v>
      </c>
      <c r="AB120" s="252">
        <f t="shared" si="103"/>
        <v>0</v>
      </c>
      <c r="AC120" s="252">
        <f t="shared" si="103"/>
        <v>0</v>
      </c>
      <c r="AD120" s="252">
        <f t="shared" si="103"/>
        <v>0</v>
      </c>
      <c r="AE120" s="252">
        <f t="shared" si="103"/>
        <v>0</v>
      </c>
      <c r="AF120" s="252">
        <f t="shared" si="103"/>
        <v>0</v>
      </c>
      <c r="AG120" s="252">
        <f t="shared" si="103"/>
        <v>0</v>
      </c>
      <c r="AH120" s="252">
        <f t="shared" si="103"/>
        <v>0</v>
      </c>
      <c r="AI120" s="252">
        <f t="shared" si="103"/>
        <v>0</v>
      </c>
      <c r="AJ120" s="252">
        <f t="shared" si="103"/>
        <v>0</v>
      </c>
      <c r="AK120" s="252">
        <f t="shared" si="103"/>
        <v>0</v>
      </c>
      <c r="AL120" s="252">
        <f t="shared" si="103"/>
        <v>0</v>
      </c>
      <c r="AM120" s="252">
        <f t="shared" si="103"/>
        <v>0</v>
      </c>
      <c r="AN120" s="252">
        <f t="shared" si="103"/>
        <v>0</v>
      </c>
      <c r="AO120" s="252">
        <f t="shared" si="103"/>
        <v>0</v>
      </c>
      <c r="AP120" s="252">
        <f t="shared" si="103"/>
        <v>0</v>
      </c>
      <c r="AQ120" s="252">
        <f t="shared" si="103"/>
        <v>0</v>
      </c>
      <c r="AR120" s="252">
        <f t="shared" si="103"/>
        <v>0</v>
      </c>
      <c r="AS120" s="252">
        <f t="shared" si="103"/>
        <v>0</v>
      </c>
      <c r="AT120" s="252">
        <f t="shared" si="103"/>
        <v>0</v>
      </c>
      <c r="AU120" s="252">
        <f t="shared" si="103"/>
        <v>0</v>
      </c>
      <c r="AV120" s="252">
        <f t="shared" si="103"/>
        <v>0</v>
      </c>
      <c r="AW120" s="252">
        <f t="shared" si="103"/>
        <v>0</v>
      </c>
      <c r="AX120" s="252">
        <f t="shared" si="103"/>
        <v>0</v>
      </c>
      <c r="AY120" s="252">
        <f t="shared" si="103"/>
        <v>0</v>
      </c>
      <c r="AZ120" s="252">
        <f t="shared" si="103"/>
        <v>0</v>
      </c>
      <c r="BA120" s="252">
        <f t="shared" si="103"/>
        <v>0</v>
      </c>
      <c r="BB120" s="252">
        <f t="shared" si="103"/>
        <v>0</v>
      </c>
    </row>
    <row r="121" ht="15.75" customHeight="1">
      <c r="A121" s="768">
        <v>1985.0</v>
      </c>
      <c r="B121" s="38"/>
      <c r="C121" s="38"/>
      <c r="D121" s="38"/>
      <c r="E121" s="38"/>
      <c r="F121" s="38"/>
      <c r="G121" s="38"/>
      <c r="H121" s="38"/>
      <c r="I121" s="38"/>
      <c r="J121" s="38"/>
      <c r="K121" s="38"/>
      <c r="L121" s="38"/>
      <c r="M121" s="38"/>
      <c r="N121" s="38"/>
      <c r="O121" s="38"/>
      <c r="P121" s="38"/>
      <c r="Q121" s="38"/>
      <c r="R121" s="38"/>
      <c r="S121" s="740">
        <v>1996.0</v>
      </c>
      <c r="T121" s="740">
        <v>1767.4</v>
      </c>
      <c r="U121" s="38"/>
      <c r="V121" s="770">
        <v>0.0</v>
      </c>
      <c r="W121" s="252">
        <f t="shared" si="49"/>
        <v>0</v>
      </c>
      <c r="X121" s="252">
        <f t="shared" ref="X121:BB121" si="104">IF(AND(X$190-$A121&gt;$V$44,SUM($W121:W121)&lt;&gt;$V121),$V121,0)</f>
        <v>0</v>
      </c>
      <c r="Y121" s="252">
        <f t="shared" si="104"/>
        <v>0</v>
      </c>
      <c r="Z121" s="252">
        <f t="shared" si="104"/>
        <v>0</v>
      </c>
      <c r="AA121" s="252">
        <f t="shared" si="104"/>
        <v>0</v>
      </c>
      <c r="AB121" s="252">
        <f t="shared" si="104"/>
        <v>0</v>
      </c>
      <c r="AC121" s="252">
        <f t="shared" si="104"/>
        <v>0</v>
      </c>
      <c r="AD121" s="252">
        <f t="shared" si="104"/>
        <v>0</v>
      </c>
      <c r="AE121" s="252">
        <f t="shared" si="104"/>
        <v>0</v>
      </c>
      <c r="AF121" s="252">
        <f t="shared" si="104"/>
        <v>0</v>
      </c>
      <c r="AG121" s="252">
        <f t="shared" si="104"/>
        <v>0</v>
      </c>
      <c r="AH121" s="252">
        <f t="shared" si="104"/>
        <v>0</v>
      </c>
      <c r="AI121" s="252">
        <f t="shared" si="104"/>
        <v>0</v>
      </c>
      <c r="AJ121" s="252">
        <f t="shared" si="104"/>
        <v>0</v>
      </c>
      <c r="AK121" s="252">
        <f t="shared" si="104"/>
        <v>0</v>
      </c>
      <c r="AL121" s="252">
        <f t="shared" si="104"/>
        <v>0</v>
      </c>
      <c r="AM121" s="252">
        <f t="shared" si="104"/>
        <v>0</v>
      </c>
      <c r="AN121" s="252">
        <f t="shared" si="104"/>
        <v>0</v>
      </c>
      <c r="AO121" s="252">
        <f t="shared" si="104"/>
        <v>0</v>
      </c>
      <c r="AP121" s="252">
        <f t="shared" si="104"/>
        <v>0</v>
      </c>
      <c r="AQ121" s="252">
        <f t="shared" si="104"/>
        <v>0</v>
      </c>
      <c r="AR121" s="252">
        <f t="shared" si="104"/>
        <v>0</v>
      </c>
      <c r="AS121" s="252">
        <f t="shared" si="104"/>
        <v>0</v>
      </c>
      <c r="AT121" s="252">
        <f t="shared" si="104"/>
        <v>0</v>
      </c>
      <c r="AU121" s="252">
        <f t="shared" si="104"/>
        <v>0</v>
      </c>
      <c r="AV121" s="252">
        <f t="shared" si="104"/>
        <v>0</v>
      </c>
      <c r="AW121" s="252">
        <f t="shared" si="104"/>
        <v>0</v>
      </c>
      <c r="AX121" s="252">
        <f t="shared" si="104"/>
        <v>0</v>
      </c>
      <c r="AY121" s="252">
        <f t="shared" si="104"/>
        <v>0</v>
      </c>
      <c r="AZ121" s="252">
        <f t="shared" si="104"/>
        <v>0</v>
      </c>
      <c r="BA121" s="252">
        <f t="shared" si="104"/>
        <v>0</v>
      </c>
      <c r="BB121" s="252">
        <f t="shared" si="104"/>
        <v>0</v>
      </c>
    </row>
    <row r="122" ht="15.75" customHeight="1">
      <c r="A122" s="768">
        <v>1986.0</v>
      </c>
      <c r="B122" s="38"/>
      <c r="C122" s="38"/>
      <c r="D122" s="38"/>
      <c r="E122" s="38"/>
      <c r="F122" s="38"/>
      <c r="G122" s="38"/>
      <c r="H122" s="38"/>
      <c r="I122" s="38"/>
      <c r="J122" s="38"/>
      <c r="K122" s="38"/>
      <c r="L122" s="38"/>
      <c r="M122" s="38"/>
      <c r="N122" s="38"/>
      <c r="O122" s="38"/>
      <c r="P122" s="38"/>
      <c r="Q122" s="38"/>
      <c r="R122" s="38"/>
      <c r="S122" s="740">
        <v>1997.0</v>
      </c>
      <c r="T122" s="740">
        <v>78.7</v>
      </c>
      <c r="U122" s="38"/>
      <c r="V122" s="770">
        <v>0.0</v>
      </c>
      <c r="W122" s="252">
        <f t="shared" si="49"/>
        <v>0</v>
      </c>
      <c r="X122" s="252">
        <f t="shared" ref="X122:BB122" si="105">IF(AND(X$190-$A122&gt;$V$44,SUM($W122:W122)&lt;&gt;$V122),$V122,0)</f>
        <v>0</v>
      </c>
      <c r="Y122" s="252">
        <f t="shared" si="105"/>
        <v>0</v>
      </c>
      <c r="Z122" s="252">
        <f t="shared" si="105"/>
        <v>0</v>
      </c>
      <c r="AA122" s="252">
        <f t="shared" si="105"/>
        <v>0</v>
      </c>
      <c r="AB122" s="252">
        <f t="shared" si="105"/>
        <v>0</v>
      </c>
      <c r="AC122" s="252">
        <f t="shared" si="105"/>
        <v>0</v>
      </c>
      <c r="AD122" s="252">
        <f t="shared" si="105"/>
        <v>0</v>
      </c>
      <c r="AE122" s="252">
        <f t="shared" si="105"/>
        <v>0</v>
      </c>
      <c r="AF122" s="252">
        <f t="shared" si="105"/>
        <v>0</v>
      </c>
      <c r="AG122" s="252">
        <f t="shared" si="105"/>
        <v>0</v>
      </c>
      <c r="AH122" s="252">
        <f t="shared" si="105"/>
        <v>0</v>
      </c>
      <c r="AI122" s="252">
        <f t="shared" si="105"/>
        <v>0</v>
      </c>
      <c r="AJ122" s="252">
        <f t="shared" si="105"/>
        <v>0</v>
      </c>
      <c r="AK122" s="252">
        <f t="shared" si="105"/>
        <v>0</v>
      </c>
      <c r="AL122" s="252">
        <f t="shared" si="105"/>
        <v>0</v>
      </c>
      <c r="AM122" s="252">
        <f t="shared" si="105"/>
        <v>0</v>
      </c>
      <c r="AN122" s="252">
        <f t="shared" si="105"/>
        <v>0</v>
      </c>
      <c r="AO122" s="252">
        <f t="shared" si="105"/>
        <v>0</v>
      </c>
      <c r="AP122" s="252">
        <f t="shared" si="105"/>
        <v>0</v>
      </c>
      <c r="AQ122" s="252">
        <f t="shared" si="105"/>
        <v>0</v>
      </c>
      <c r="AR122" s="252">
        <f t="shared" si="105"/>
        <v>0</v>
      </c>
      <c r="AS122" s="252">
        <f t="shared" si="105"/>
        <v>0</v>
      </c>
      <c r="AT122" s="252">
        <f t="shared" si="105"/>
        <v>0</v>
      </c>
      <c r="AU122" s="252">
        <f t="shared" si="105"/>
        <v>0</v>
      </c>
      <c r="AV122" s="252">
        <f t="shared" si="105"/>
        <v>0</v>
      </c>
      <c r="AW122" s="252">
        <f t="shared" si="105"/>
        <v>0</v>
      </c>
      <c r="AX122" s="252">
        <f t="shared" si="105"/>
        <v>0</v>
      </c>
      <c r="AY122" s="252">
        <f t="shared" si="105"/>
        <v>0</v>
      </c>
      <c r="AZ122" s="252">
        <f t="shared" si="105"/>
        <v>0</v>
      </c>
      <c r="BA122" s="252">
        <f t="shared" si="105"/>
        <v>0</v>
      </c>
      <c r="BB122" s="252">
        <f t="shared" si="105"/>
        <v>0</v>
      </c>
    </row>
    <row r="123" ht="15.75" customHeight="1">
      <c r="A123" s="768">
        <v>1987.0</v>
      </c>
      <c r="B123" s="38"/>
      <c r="C123" s="38"/>
      <c r="D123" s="38"/>
      <c r="E123" s="38"/>
      <c r="F123" s="38"/>
      <c r="G123" s="38"/>
      <c r="H123" s="38"/>
      <c r="I123" s="38"/>
      <c r="J123" s="38"/>
      <c r="K123" s="38"/>
      <c r="L123" s="38"/>
      <c r="M123" s="38"/>
      <c r="N123" s="38"/>
      <c r="O123" s="38"/>
      <c r="P123" s="38"/>
      <c r="Q123" s="38"/>
      <c r="R123" s="38"/>
      <c r="S123" s="740">
        <v>1998.0</v>
      </c>
      <c r="T123" s="740">
        <v>2.8</v>
      </c>
      <c r="U123" s="38"/>
      <c r="V123" s="770">
        <v>0.0</v>
      </c>
      <c r="W123" s="252">
        <f t="shared" si="49"/>
        <v>0</v>
      </c>
      <c r="X123" s="252">
        <f t="shared" ref="X123:BB123" si="106">IF(AND(X$190-$A123&gt;$V$44,SUM($W123:W123)&lt;&gt;$V123),$V123,0)</f>
        <v>0</v>
      </c>
      <c r="Y123" s="252">
        <f t="shared" si="106"/>
        <v>0</v>
      </c>
      <c r="Z123" s="252">
        <f t="shared" si="106"/>
        <v>0</v>
      </c>
      <c r="AA123" s="252">
        <f t="shared" si="106"/>
        <v>0</v>
      </c>
      <c r="AB123" s="252">
        <f t="shared" si="106"/>
        <v>0</v>
      </c>
      <c r="AC123" s="252">
        <f t="shared" si="106"/>
        <v>0</v>
      </c>
      <c r="AD123" s="252">
        <f t="shared" si="106"/>
        <v>0</v>
      </c>
      <c r="AE123" s="252">
        <f t="shared" si="106"/>
        <v>0</v>
      </c>
      <c r="AF123" s="252">
        <f t="shared" si="106"/>
        <v>0</v>
      </c>
      <c r="AG123" s="252">
        <f t="shared" si="106"/>
        <v>0</v>
      </c>
      <c r="AH123" s="252">
        <f t="shared" si="106"/>
        <v>0</v>
      </c>
      <c r="AI123" s="252">
        <f t="shared" si="106"/>
        <v>0</v>
      </c>
      <c r="AJ123" s="252">
        <f t="shared" si="106"/>
        <v>0</v>
      </c>
      <c r="AK123" s="252">
        <f t="shared" si="106"/>
        <v>0</v>
      </c>
      <c r="AL123" s="252">
        <f t="shared" si="106"/>
        <v>0</v>
      </c>
      <c r="AM123" s="252">
        <f t="shared" si="106"/>
        <v>0</v>
      </c>
      <c r="AN123" s="252">
        <f t="shared" si="106"/>
        <v>0</v>
      </c>
      <c r="AO123" s="252">
        <f t="shared" si="106"/>
        <v>0</v>
      </c>
      <c r="AP123" s="252">
        <f t="shared" si="106"/>
        <v>0</v>
      </c>
      <c r="AQ123" s="252">
        <f t="shared" si="106"/>
        <v>0</v>
      </c>
      <c r="AR123" s="252">
        <f t="shared" si="106"/>
        <v>0</v>
      </c>
      <c r="AS123" s="252">
        <f t="shared" si="106"/>
        <v>0</v>
      </c>
      <c r="AT123" s="252">
        <f t="shared" si="106"/>
        <v>0</v>
      </c>
      <c r="AU123" s="252">
        <f t="shared" si="106"/>
        <v>0</v>
      </c>
      <c r="AV123" s="252">
        <f t="shared" si="106"/>
        <v>0</v>
      </c>
      <c r="AW123" s="252">
        <f t="shared" si="106"/>
        <v>0</v>
      </c>
      <c r="AX123" s="252">
        <f t="shared" si="106"/>
        <v>0</v>
      </c>
      <c r="AY123" s="252">
        <f t="shared" si="106"/>
        <v>0</v>
      </c>
      <c r="AZ123" s="252">
        <f t="shared" si="106"/>
        <v>0</v>
      </c>
      <c r="BA123" s="252">
        <f t="shared" si="106"/>
        <v>0</v>
      </c>
      <c r="BB123" s="252">
        <f t="shared" si="106"/>
        <v>0</v>
      </c>
    </row>
    <row r="124" ht="15.75" customHeight="1">
      <c r="A124" s="768">
        <v>1988.0</v>
      </c>
      <c r="B124" s="38"/>
      <c r="C124" s="38"/>
      <c r="D124" s="38"/>
      <c r="E124" s="38"/>
      <c r="F124" s="38"/>
      <c r="G124" s="38"/>
      <c r="H124" s="38"/>
      <c r="I124" s="38"/>
      <c r="J124" s="38"/>
      <c r="K124" s="38"/>
      <c r="L124" s="38"/>
      <c r="M124" s="38"/>
      <c r="N124" s="38"/>
      <c r="O124" s="38"/>
      <c r="P124" s="38"/>
      <c r="Q124" s="38"/>
      <c r="R124" s="38"/>
      <c r="S124" s="740">
        <v>1999.0</v>
      </c>
      <c r="T124" s="740">
        <v>180.0</v>
      </c>
      <c r="U124" s="38"/>
      <c r="V124" s="770">
        <v>73.0</v>
      </c>
      <c r="W124" s="252">
        <f t="shared" si="49"/>
        <v>0</v>
      </c>
      <c r="X124" s="252">
        <f t="shared" ref="X124:BB124" si="107">IF(AND(X$190-$A124&gt;$V$44,SUM($W124:W124)&lt;&gt;$V124),$V124,0)</f>
        <v>0</v>
      </c>
      <c r="Y124" s="252">
        <f t="shared" si="107"/>
        <v>0</v>
      </c>
      <c r="Z124" s="252">
        <f t="shared" si="107"/>
        <v>73</v>
      </c>
      <c r="AA124" s="252">
        <f t="shared" si="107"/>
        <v>0</v>
      </c>
      <c r="AB124" s="252">
        <f t="shared" si="107"/>
        <v>0</v>
      </c>
      <c r="AC124" s="252">
        <f t="shared" si="107"/>
        <v>0</v>
      </c>
      <c r="AD124" s="252">
        <f t="shared" si="107"/>
        <v>0</v>
      </c>
      <c r="AE124" s="252">
        <f t="shared" si="107"/>
        <v>0</v>
      </c>
      <c r="AF124" s="252">
        <f t="shared" si="107"/>
        <v>0</v>
      </c>
      <c r="AG124" s="252">
        <f t="shared" si="107"/>
        <v>0</v>
      </c>
      <c r="AH124" s="252">
        <f t="shared" si="107"/>
        <v>0</v>
      </c>
      <c r="AI124" s="252">
        <f t="shared" si="107"/>
        <v>0</v>
      </c>
      <c r="AJ124" s="252">
        <f t="shared" si="107"/>
        <v>0</v>
      </c>
      <c r="AK124" s="252">
        <f t="shared" si="107"/>
        <v>0</v>
      </c>
      <c r="AL124" s="252">
        <f t="shared" si="107"/>
        <v>0</v>
      </c>
      <c r="AM124" s="252">
        <f t="shared" si="107"/>
        <v>0</v>
      </c>
      <c r="AN124" s="252">
        <f t="shared" si="107"/>
        <v>0</v>
      </c>
      <c r="AO124" s="252">
        <f t="shared" si="107"/>
        <v>0</v>
      </c>
      <c r="AP124" s="252">
        <f t="shared" si="107"/>
        <v>0</v>
      </c>
      <c r="AQ124" s="252">
        <f t="shared" si="107"/>
        <v>0</v>
      </c>
      <c r="AR124" s="252">
        <f t="shared" si="107"/>
        <v>0</v>
      </c>
      <c r="AS124" s="252">
        <f t="shared" si="107"/>
        <v>0</v>
      </c>
      <c r="AT124" s="252">
        <f t="shared" si="107"/>
        <v>0</v>
      </c>
      <c r="AU124" s="252">
        <f t="shared" si="107"/>
        <v>0</v>
      </c>
      <c r="AV124" s="252">
        <f t="shared" si="107"/>
        <v>0</v>
      </c>
      <c r="AW124" s="252">
        <f t="shared" si="107"/>
        <v>0</v>
      </c>
      <c r="AX124" s="252">
        <f t="shared" si="107"/>
        <v>0</v>
      </c>
      <c r="AY124" s="252">
        <f t="shared" si="107"/>
        <v>0</v>
      </c>
      <c r="AZ124" s="252">
        <f t="shared" si="107"/>
        <v>0</v>
      </c>
      <c r="BA124" s="252">
        <f t="shared" si="107"/>
        <v>0</v>
      </c>
      <c r="BB124" s="252">
        <f t="shared" si="107"/>
        <v>0</v>
      </c>
    </row>
    <row r="125" ht="15.75" customHeight="1">
      <c r="A125" s="768">
        <v>1989.0</v>
      </c>
      <c r="B125" s="38"/>
      <c r="C125" s="38"/>
      <c r="D125" s="38"/>
      <c r="E125" s="38"/>
      <c r="F125" s="38"/>
      <c r="G125" s="38"/>
      <c r="H125" s="38"/>
      <c r="I125" s="38"/>
      <c r="J125" s="38"/>
      <c r="K125" s="38"/>
      <c r="L125" s="38"/>
      <c r="M125" s="38"/>
      <c r="N125" s="38"/>
      <c r="O125" s="38"/>
      <c r="P125" s="38"/>
      <c r="Q125" s="38"/>
      <c r="R125" s="38"/>
      <c r="S125" s="740">
        <v>2000.0</v>
      </c>
      <c r="T125" s="740">
        <v>133.2</v>
      </c>
      <c r="U125" s="38"/>
      <c r="V125" s="770">
        <v>0.0</v>
      </c>
      <c r="W125" s="252">
        <f t="shared" si="49"/>
        <v>0</v>
      </c>
      <c r="X125" s="252">
        <f t="shared" ref="X125:BB125" si="108">IF(AND(X$190-$A125&gt;$V$44,SUM($W125:W125)&lt;&gt;$V125),$V125,0)</f>
        <v>0</v>
      </c>
      <c r="Y125" s="252">
        <f t="shared" si="108"/>
        <v>0</v>
      </c>
      <c r="Z125" s="252">
        <f t="shared" si="108"/>
        <v>0</v>
      </c>
      <c r="AA125" s="252">
        <f t="shared" si="108"/>
        <v>0</v>
      </c>
      <c r="AB125" s="252">
        <f t="shared" si="108"/>
        <v>0</v>
      </c>
      <c r="AC125" s="252">
        <f t="shared" si="108"/>
        <v>0</v>
      </c>
      <c r="AD125" s="252">
        <f t="shared" si="108"/>
        <v>0</v>
      </c>
      <c r="AE125" s="252">
        <f t="shared" si="108"/>
        <v>0</v>
      </c>
      <c r="AF125" s="252">
        <f t="shared" si="108"/>
        <v>0</v>
      </c>
      <c r="AG125" s="252">
        <f t="shared" si="108"/>
        <v>0</v>
      </c>
      <c r="AH125" s="252">
        <f t="shared" si="108"/>
        <v>0</v>
      </c>
      <c r="AI125" s="252">
        <f t="shared" si="108"/>
        <v>0</v>
      </c>
      <c r="AJ125" s="252">
        <f t="shared" si="108"/>
        <v>0</v>
      </c>
      <c r="AK125" s="252">
        <f t="shared" si="108"/>
        <v>0</v>
      </c>
      <c r="AL125" s="252">
        <f t="shared" si="108"/>
        <v>0</v>
      </c>
      <c r="AM125" s="252">
        <f t="shared" si="108"/>
        <v>0</v>
      </c>
      <c r="AN125" s="252">
        <f t="shared" si="108"/>
        <v>0</v>
      </c>
      <c r="AO125" s="252">
        <f t="shared" si="108"/>
        <v>0</v>
      </c>
      <c r="AP125" s="252">
        <f t="shared" si="108"/>
        <v>0</v>
      </c>
      <c r="AQ125" s="252">
        <f t="shared" si="108"/>
        <v>0</v>
      </c>
      <c r="AR125" s="252">
        <f t="shared" si="108"/>
        <v>0</v>
      </c>
      <c r="AS125" s="252">
        <f t="shared" si="108"/>
        <v>0</v>
      </c>
      <c r="AT125" s="252">
        <f t="shared" si="108"/>
        <v>0</v>
      </c>
      <c r="AU125" s="252">
        <f t="shared" si="108"/>
        <v>0</v>
      </c>
      <c r="AV125" s="252">
        <f t="shared" si="108"/>
        <v>0</v>
      </c>
      <c r="AW125" s="252">
        <f t="shared" si="108"/>
        <v>0</v>
      </c>
      <c r="AX125" s="252">
        <f t="shared" si="108"/>
        <v>0</v>
      </c>
      <c r="AY125" s="252">
        <f t="shared" si="108"/>
        <v>0</v>
      </c>
      <c r="AZ125" s="252">
        <f t="shared" si="108"/>
        <v>0</v>
      </c>
      <c r="BA125" s="252">
        <f t="shared" si="108"/>
        <v>0</v>
      </c>
      <c r="BB125" s="252">
        <f t="shared" si="108"/>
        <v>0</v>
      </c>
    </row>
    <row r="126" ht="15.75" customHeight="1">
      <c r="A126" s="768">
        <v>1990.0</v>
      </c>
      <c r="B126" s="38"/>
      <c r="C126" s="38"/>
      <c r="D126" s="38"/>
      <c r="E126" s="38"/>
      <c r="F126" s="38"/>
      <c r="G126" s="38"/>
      <c r="H126" s="38"/>
      <c r="I126" s="38"/>
      <c r="J126" s="38"/>
      <c r="K126" s="38"/>
      <c r="L126" s="38"/>
      <c r="M126" s="38"/>
      <c r="N126" s="38"/>
      <c r="O126" s="38"/>
      <c r="P126" s="38"/>
      <c r="Q126" s="38"/>
      <c r="R126" s="38"/>
      <c r="S126" s="740">
        <v>2001.0</v>
      </c>
      <c r="T126" s="740">
        <v>440.0</v>
      </c>
      <c r="U126" s="38"/>
      <c r="V126" s="770">
        <v>0.0</v>
      </c>
      <c r="W126" s="252">
        <f t="shared" si="49"/>
        <v>0</v>
      </c>
      <c r="X126" s="252">
        <f t="shared" ref="X126:BB126" si="109">IF(AND(X$190-$A126&gt;$V$44,SUM($W126:W126)&lt;&gt;$V126),$V126,0)</f>
        <v>0</v>
      </c>
      <c r="Y126" s="252">
        <f t="shared" si="109"/>
        <v>0</v>
      </c>
      <c r="Z126" s="252">
        <f t="shared" si="109"/>
        <v>0</v>
      </c>
      <c r="AA126" s="252">
        <f t="shared" si="109"/>
        <v>0</v>
      </c>
      <c r="AB126" s="252">
        <f t="shared" si="109"/>
        <v>0</v>
      </c>
      <c r="AC126" s="252">
        <f t="shared" si="109"/>
        <v>0</v>
      </c>
      <c r="AD126" s="252">
        <f t="shared" si="109"/>
        <v>0</v>
      </c>
      <c r="AE126" s="252">
        <f t="shared" si="109"/>
        <v>0</v>
      </c>
      <c r="AF126" s="252">
        <f t="shared" si="109"/>
        <v>0</v>
      </c>
      <c r="AG126" s="252">
        <f t="shared" si="109"/>
        <v>0</v>
      </c>
      <c r="AH126" s="252">
        <f t="shared" si="109"/>
        <v>0</v>
      </c>
      <c r="AI126" s="252">
        <f t="shared" si="109"/>
        <v>0</v>
      </c>
      <c r="AJ126" s="252">
        <f t="shared" si="109"/>
        <v>0</v>
      </c>
      <c r="AK126" s="252">
        <f t="shared" si="109"/>
        <v>0</v>
      </c>
      <c r="AL126" s="252">
        <f t="shared" si="109"/>
        <v>0</v>
      </c>
      <c r="AM126" s="252">
        <f t="shared" si="109"/>
        <v>0</v>
      </c>
      <c r="AN126" s="252">
        <f t="shared" si="109"/>
        <v>0</v>
      </c>
      <c r="AO126" s="252">
        <f t="shared" si="109"/>
        <v>0</v>
      </c>
      <c r="AP126" s="252">
        <f t="shared" si="109"/>
        <v>0</v>
      </c>
      <c r="AQ126" s="252">
        <f t="shared" si="109"/>
        <v>0</v>
      </c>
      <c r="AR126" s="252">
        <f t="shared" si="109"/>
        <v>0</v>
      </c>
      <c r="AS126" s="252">
        <f t="shared" si="109"/>
        <v>0</v>
      </c>
      <c r="AT126" s="252">
        <f t="shared" si="109"/>
        <v>0</v>
      </c>
      <c r="AU126" s="252">
        <f t="shared" si="109"/>
        <v>0</v>
      </c>
      <c r="AV126" s="252">
        <f t="shared" si="109"/>
        <v>0</v>
      </c>
      <c r="AW126" s="252">
        <f t="shared" si="109"/>
        <v>0</v>
      </c>
      <c r="AX126" s="252">
        <f t="shared" si="109"/>
        <v>0</v>
      </c>
      <c r="AY126" s="252">
        <f t="shared" si="109"/>
        <v>0</v>
      </c>
      <c r="AZ126" s="252">
        <f t="shared" si="109"/>
        <v>0</v>
      </c>
      <c r="BA126" s="252">
        <f t="shared" si="109"/>
        <v>0</v>
      </c>
      <c r="BB126" s="252">
        <f t="shared" si="109"/>
        <v>0</v>
      </c>
    </row>
    <row r="127" ht="15.75" customHeight="1">
      <c r="A127" s="768">
        <v>1991.0</v>
      </c>
      <c r="B127" s="38"/>
      <c r="C127" s="38"/>
      <c r="D127" s="38"/>
      <c r="E127" s="38"/>
      <c r="F127" s="38"/>
      <c r="G127" s="38"/>
      <c r="H127" s="38"/>
      <c r="I127" s="38"/>
      <c r="J127" s="38"/>
      <c r="K127" s="38"/>
      <c r="L127" s="38"/>
      <c r="M127" s="38"/>
      <c r="N127" s="38"/>
      <c r="O127" s="38"/>
      <c r="P127" s="38"/>
      <c r="Q127" s="38"/>
      <c r="R127" s="38"/>
      <c r="S127" s="740">
        <v>2003.0</v>
      </c>
      <c r="T127" s="740">
        <v>85.0</v>
      </c>
      <c r="U127" s="38"/>
      <c r="V127" s="770">
        <v>0.0</v>
      </c>
      <c r="W127" s="252">
        <f t="shared" si="49"/>
        <v>0</v>
      </c>
      <c r="X127" s="252">
        <f t="shared" ref="X127:BB127" si="110">IF(AND(X$190-$A127&gt;$V$44,SUM($W127:W127)&lt;&gt;$V127),$V127,0)</f>
        <v>0</v>
      </c>
      <c r="Y127" s="252">
        <f t="shared" si="110"/>
        <v>0</v>
      </c>
      <c r="Z127" s="252">
        <f t="shared" si="110"/>
        <v>0</v>
      </c>
      <c r="AA127" s="252">
        <f t="shared" si="110"/>
        <v>0</v>
      </c>
      <c r="AB127" s="252">
        <f t="shared" si="110"/>
        <v>0</v>
      </c>
      <c r="AC127" s="252">
        <f t="shared" si="110"/>
        <v>0</v>
      </c>
      <c r="AD127" s="252">
        <f t="shared" si="110"/>
        <v>0</v>
      </c>
      <c r="AE127" s="252">
        <f t="shared" si="110"/>
        <v>0</v>
      </c>
      <c r="AF127" s="252">
        <f t="shared" si="110"/>
        <v>0</v>
      </c>
      <c r="AG127" s="252">
        <f t="shared" si="110"/>
        <v>0</v>
      </c>
      <c r="AH127" s="252">
        <f t="shared" si="110"/>
        <v>0</v>
      </c>
      <c r="AI127" s="252">
        <f t="shared" si="110"/>
        <v>0</v>
      </c>
      <c r="AJ127" s="252">
        <f t="shared" si="110"/>
        <v>0</v>
      </c>
      <c r="AK127" s="252">
        <f t="shared" si="110"/>
        <v>0</v>
      </c>
      <c r="AL127" s="252">
        <f t="shared" si="110"/>
        <v>0</v>
      </c>
      <c r="AM127" s="252">
        <f t="shared" si="110"/>
        <v>0</v>
      </c>
      <c r="AN127" s="252">
        <f t="shared" si="110"/>
        <v>0</v>
      </c>
      <c r="AO127" s="252">
        <f t="shared" si="110"/>
        <v>0</v>
      </c>
      <c r="AP127" s="252">
        <f t="shared" si="110"/>
        <v>0</v>
      </c>
      <c r="AQ127" s="252">
        <f t="shared" si="110"/>
        <v>0</v>
      </c>
      <c r="AR127" s="252">
        <f t="shared" si="110"/>
        <v>0</v>
      </c>
      <c r="AS127" s="252">
        <f t="shared" si="110"/>
        <v>0</v>
      </c>
      <c r="AT127" s="252">
        <f t="shared" si="110"/>
        <v>0</v>
      </c>
      <c r="AU127" s="252">
        <f t="shared" si="110"/>
        <v>0</v>
      </c>
      <c r="AV127" s="252">
        <f t="shared" si="110"/>
        <v>0</v>
      </c>
      <c r="AW127" s="252">
        <f t="shared" si="110"/>
        <v>0</v>
      </c>
      <c r="AX127" s="252">
        <f t="shared" si="110"/>
        <v>0</v>
      </c>
      <c r="AY127" s="252">
        <f t="shared" si="110"/>
        <v>0</v>
      </c>
      <c r="AZ127" s="252">
        <f t="shared" si="110"/>
        <v>0</v>
      </c>
      <c r="BA127" s="252">
        <f t="shared" si="110"/>
        <v>0</v>
      </c>
      <c r="BB127" s="252">
        <f t="shared" si="110"/>
        <v>0</v>
      </c>
    </row>
    <row r="128" ht="15.75" customHeight="1">
      <c r="A128" s="768">
        <v>1992.0</v>
      </c>
      <c r="B128" s="38"/>
      <c r="C128" s="38"/>
      <c r="D128" s="38"/>
      <c r="E128" s="38"/>
      <c r="F128" s="38"/>
      <c r="G128" s="38"/>
      <c r="H128" s="38"/>
      <c r="I128" s="38"/>
      <c r="J128" s="38"/>
      <c r="K128" s="38"/>
      <c r="L128" s="38"/>
      <c r="M128" s="38"/>
      <c r="N128" s="38"/>
      <c r="O128" s="38"/>
      <c r="P128" s="38"/>
      <c r="Q128" s="38"/>
      <c r="R128" s="38"/>
      <c r="S128" s="740">
        <v>2004.0</v>
      </c>
      <c r="T128" s="740">
        <v>521.0</v>
      </c>
      <c r="U128" s="38"/>
      <c r="V128" s="770">
        <v>0.0</v>
      </c>
      <c r="W128" s="252">
        <f t="shared" si="49"/>
        <v>0</v>
      </c>
      <c r="X128" s="252">
        <f t="shared" ref="X128:BB128" si="111">IF(AND(X$190-$A128&gt;$V$44,SUM($W128:W128)&lt;&gt;$V128),$V128,0)</f>
        <v>0</v>
      </c>
      <c r="Y128" s="252">
        <f t="shared" si="111"/>
        <v>0</v>
      </c>
      <c r="Z128" s="252">
        <f t="shared" si="111"/>
        <v>0</v>
      </c>
      <c r="AA128" s="252">
        <f t="shared" si="111"/>
        <v>0</v>
      </c>
      <c r="AB128" s="252">
        <f t="shared" si="111"/>
        <v>0</v>
      </c>
      <c r="AC128" s="252">
        <f t="shared" si="111"/>
        <v>0</v>
      </c>
      <c r="AD128" s="252">
        <f t="shared" si="111"/>
        <v>0</v>
      </c>
      <c r="AE128" s="252">
        <f t="shared" si="111"/>
        <v>0</v>
      </c>
      <c r="AF128" s="252">
        <f t="shared" si="111"/>
        <v>0</v>
      </c>
      <c r="AG128" s="252">
        <f t="shared" si="111"/>
        <v>0</v>
      </c>
      <c r="AH128" s="252">
        <f t="shared" si="111"/>
        <v>0</v>
      </c>
      <c r="AI128" s="252">
        <f t="shared" si="111"/>
        <v>0</v>
      </c>
      <c r="AJ128" s="252">
        <f t="shared" si="111"/>
        <v>0</v>
      </c>
      <c r="AK128" s="252">
        <f t="shared" si="111"/>
        <v>0</v>
      </c>
      <c r="AL128" s="252">
        <f t="shared" si="111"/>
        <v>0</v>
      </c>
      <c r="AM128" s="252">
        <f t="shared" si="111"/>
        <v>0</v>
      </c>
      <c r="AN128" s="252">
        <f t="shared" si="111"/>
        <v>0</v>
      </c>
      <c r="AO128" s="252">
        <f t="shared" si="111"/>
        <v>0</v>
      </c>
      <c r="AP128" s="252">
        <f t="shared" si="111"/>
        <v>0</v>
      </c>
      <c r="AQ128" s="252">
        <f t="shared" si="111"/>
        <v>0</v>
      </c>
      <c r="AR128" s="252">
        <f t="shared" si="111"/>
        <v>0</v>
      </c>
      <c r="AS128" s="252">
        <f t="shared" si="111"/>
        <v>0</v>
      </c>
      <c r="AT128" s="252">
        <f t="shared" si="111"/>
        <v>0</v>
      </c>
      <c r="AU128" s="252">
        <f t="shared" si="111"/>
        <v>0</v>
      </c>
      <c r="AV128" s="252">
        <f t="shared" si="111"/>
        <v>0</v>
      </c>
      <c r="AW128" s="252">
        <f t="shared" si="111"/>
        <v>0</v>
      </c>
      <c r="AX128" s="252">
        <f t="shared" si="111"/>
        <v>0</v>
      </c>
      <c r="AY128" s="252">
        <f t="shared" si="111"/>
        <v>0</v>
      </c>
      <c r="AZ128" s="252">
        <f t="shared" si="111"/>
        <v>0</v>
      </c>
      <c r="BA128" s="252">
        <f t="shared" si="111"/>
        <v>0</v>
      </c>
      <c r="BB128" s="252">
        <f t="shared" si="111"/>
        <v>0</v>
      </c>
    </row>
    <row r="129" ht="15.75" customHeight="1">
      <c r="A129" s="768">
        <v>1993.0</v>
      </c>
      <c r="B129" s="38"/>
      <c r="C129" s="38"/>
      <c r="D129" s="38"/>
      <c r="E129" s="38"/>
      <c r="F129" s="38"/>
      <c r="G129" s="38"/>
      <c r="H129" s="38"/>
      <c r="I129" s="38"/>
      <c r="J129" s="38"/>
      <c r="K129" s="38"/>
      <c r="L129" s="38"/>
      <c r="M129" s="38"/>
      <c r="N129" s="38"/>
      <c r="O129" s="38"/>
      <c r="P129" s="38"/>
      <c r="Q129" s="38"/>
      <c r="R129" s="38"/>
      <c r="S129" s="740">
        <v>2005.0</v>
      </c>
      <c r="T129" s="740">
        <v>388.1</v>
      </c>
      <c r="U129" s="38"/>
      <c r="V129" s="770">
        <v>12.0</v>
      </c>
      <c r="W129" s="252">
        <f t="shared" si="49"/>
        <v>0</v>
      </c>
      <c r="X129" s="252">
        <f t="shared" ref="X129:BB129" si="112">IF(AND(X$190-$A129&gt;$V$44,SUM($W129:W129)&lt;&gt;$V129),$V129,0)</f>
        <v>0</v>
      </c>
      <c r="Y129" s="252">
        <f t="shared" si="112"/>
        <v>0</v>
      </c>
      <c r="Z129" s="252">
        <f t="shared" si="112"/>
        <v>0</v>
      </c>
      <c r="AA129" s="252">
        <f t="shared" si="112"/>
        <v>0</v>
      </c>
      <c r="AB129" s="252">
        <f t="shared" si="112"/>
        <v>0</v>
      </c>
      <c r="AC129" s="252">
        <f t="shared" si="112"/>
        <v>0</v>
      </c>
      <c r="AD129" s="252">
        <f t="shared" si="112"/>
        <v>0</v>
      </c>
      <c r="AE129" s="252">
        <f t="shared" si="112"/>
        <v>12</v>
      </c>
      <c r="AF129" s="252">
        <f t="shared" si="112"/>
        <v>0</v>
      </c>
      <c r="AG129" s="252">
        <f t="shared" si="112"/>
        <v>0</v>
      </c>
      <c r="AH129" s="252">
        <f t="shared" si="112"/>
        <v>0</v>
      </c>
      <c r="AI129" s="252">
        <f t="shared" si="112"/>
        <v>0</v>
      </c>
      <c r="AJ129" s="252">
        <f t="shared" si="112"/>
        <v>0</v>
      </c>
      <c r="AK129" s="252">
        <f t="shared" si="112"/>
        <v>0</v>
      </c>
      <c r="AL129" s="252">
        <f t="shared" si="112"/>
        <v>0</v>
      </c>
      <c r="AM129" s="252">
        <f t="shared" si="112"/>
        <v>0</v>
      </c>
      <c r="AN129" s="252">
        <f t="shared" si="112"/>
        <v>0</v>
      </c>
      <c r="AO129" s="252">
        <f t="shared" si="112"/>
        <v>0</v>
      </c>
      <c r="AP129" s="252">
        <f t="shared" si="112"/>
        <v>0</v>
      </c>
      <c r="AQ129" s="252">
        <f t="shared" si="112"/>
        <v>0</v>
      </c>
      <c r="AR129" s="252">
        <f t="shared" si="112"/>
        <v>0</v>
      </c>
      <c r="AS129" s="252">
        <f t="shared" si="112"/>
        <v>0</v>
      </c>
      <c r="AT129" s="252">
        <f t="shared" si="112"/>
        <v>0</v>
      </c>
      <c r="AU129" s="252">
        <f t="shared" si="112"/>
        <v>0</v>
      </c>
      <c r="AV129" s="252">
        <f t="shared" si="112"/>
        <v>0</v>
      </c>
      <c r="AW129" s="252">
        <f t="shared" si="112"/>
        <v>0</v>
      </c>
      <c r="AX129" s="252">
        <f t="shared" si="112"/>
        <v>0</v>
      </c>
      <c r="AY129" s="252">
        <f t="shared" si="112"/>
        <v>0</v>
      </c>
      <c r="AZ129" s="252">
        <f t="shared" si="112"/>
        <v>0</v>
      </c>
      <c r="BA129" s="252">
        <f t="shared" si="112"/>
        <v>0</v>
      </c>
      <c r="BB129" s="252">
        <f t="shared" si="112"/>
        <v>0</v>
      </c>
    </row>
    <row r="130" ht="15.75" customHeight="1">
      <c r="A130" s="768">
        <v>1994.0</v>
      </c>
      <c r="B130" s="38"/>
      <c r="C130" s="38"/>
      <c r="D130" s="38"/>
      <c r="E130" s="38"/>
      <c r="F130" s="38"/>
      <c r="G130" s="38"/>
      <c r="H130" s="38"/>
      <c r="I130" s="38"/>
      <c r="J130" s="38"/>
      <c r="K130" s="38"/>
      <c r="L130" s="38"/>
      <c r="M130" s="38"/>
      <c r="N130" s="38"/>
      <c r="O130" s="38"/>
      <c r="P130" s="38"/>
      <c r="Q130" s="38"/>
      <c r="R130" s="38"/>
      <c r="S130" s="740">
        <v>2006.0</v>
      </c>
      <c r="T130" s="740">
        <v>524.0</v>
      </c>
      <c r="U130" s="38"/>
      <c r="V130" s="770">
        <v>55.2</v>
      </c>
      <c r="W130" s="252">
        <f t="shared" si="49"/>
        <v>0</v>
      </c>
      <c r="X130" s="252">
        <f t="shared" ref="X130:BB130" si="113">IF(AND(X$190-$A130&gt;$V$44,SUM($W130:W130)&lt;&gt;$V130),$V130,0)</f>
        <v>0</v>
      </c>
      <c r="Y130" s="252">
        <f t="shared" si="113"/>
        <v>0</v>
      </c>
      <c r="Z130" s="252">
        <f t="shared" si="113"/>
        <v>0</v>
      </c>
      <c r="AA130" s="252">
        <f t="shared" si="113"/>
        <v>0</v>
      </c>
      <c r="AB130" s="252">
        <f t="shared" si="113"/>
        <v>0</v>
      </c>
      <c r="AC130" s="252">
        <f t="shared" si="113"/>
        <v>0</v>
      </c>
      <c r="AD130" s="252">
        <f t="shared" si="113"/>
        <v>0</v>
      </c>
      <c r="AE130" s="252">
        <f t="shared" si="113"/>
        <v>0</v>
      </c>
      <c r="AF130" s="252">
        <f t="shared" si="113"/>
        <v>55.2</v>
      </c>
      <c r="AG130" s="252">
        <f t="shared" si="113"/>
        <v>0</v>
      </c>
      <c r="AH130" s="252">
        <f t="shared" si="113"/>
        <v>0</v>
      </c>
      <c r="AI130" s="252">
        <f t="shared" si="113"/>
        <v>0</v>
      </c>
      <c r="AJ130" s="252">
        <f t="shared" si="113"/>
        <v>0</v>
      </c>
      <c r="AK130" s="252">
        <f t="shared" si="113"/>
        <v>0</v>
      </c>
      <c r="AL130" s="252">
        <f t="shared" si="113"/>
        <v>0</v>
      </c>
      <c r="AM130" s="252">
        <f t="shared" si="113"/>
        <v>0</v>
      </c>
      <c r="AN130" s="252">
        <f t="shared" si="113"/>
        <v>0</v>
      </c>
      <c r="AO130" s="252">
        <f t="shared" si="113"/>
        <v>0</v>
      </c>
      <c r="AP130" s="252">
        <f t="shared" si="113"/>
        <v>0</v>
      </c>
      <c r="AQ130" s="252">
        <f t="shared" si="113"/>
        <v>0</v>
      </c>
      <c r="AR130" s="252">
        <f t="shared" si="113"/>
        <v>0</v>
      </c>
      <c r="AS130" s="252">
        <f t="shared" si="113"/>
        <v>0</v>
      </c>
      <c r="AT130" s="252">
        <f t="shared" si="113"/>
        <v>0</v>
      </c>
      <c r="AU130" s="252">
        <f t="shared" si="113"/>
        <v>0</v>
      </c>
      <c r="AV130" s="252">
        <f t="shared" si="113"/>
        <v>0</v>
      </c>
      <c r="AW130" s="252">
        <f t="shared" si="113"/>
        <v>0</v>
      </c>
      <c r="AX130" s="252">
        <f t="shared" si="113"/>
        <v>0</v>
      </c>
      <c r="AY130" s="252">
        <f t="shared" si="113"/>
        <v>0</v>
      </c>
      <c r="AZ130" s="252">
        <f t="shared" si="113"/>
        <v>0</v>
      </c>
      <c r="BA130" s="252">
        <f t="shared" si="113"/>
        <v>0</v>
      </c>
      <c r="BB130" s="252">
        <f t="shared" si="113"/>
        <v>0</v>
      </c>
    </row>
    <row r="131" ht="15.75" customHeight="1">
      <c r="A131" s="768">
        <v>1995.0</v>
      </c>
      <c r="B131" s="38"/>
      <c r="C131" s="38"/>
      <c r="D131" s="38"/>
      <c r="E131" s="38"/>
      <c r="F131" s="38"/>
      <c r="G131" s="38"/>
      <c r="H131" s="38"/>
      <c r="I131" s="38"/>
      <c r="J131" s="38"/>
      <c r="K131" s="38"/>
      <c r="L131" s="38"/>
      <c r="M131" s="38"/>
      <c r="N131" s="38"/>
      <c r="O131" s="38"/>
      <c r="P131" s="38"/>
      <c r="Q131" s="38"/>
      <c r="R131" s="38"/>
      <c r="S131" s="740">
        <v>2007.0</v>
      </c>
      <c r="T131" s="740">
        <v>1413.6</v>
      </c>
      <c r="U131" s="38"/>
      <c r="V131" s="770">
        <v>0.0</v>
      </c>
      <c r="W131" s="252">
        <f t="shared" si="49"/>
        <v>0</v>
      </c>
      <c r="X131" s="252">
        <f t="shared" ref="X131:BB131" si="114">IF(AND(X$190-$A131&gt;$V$44,SUM($W131:W131)&lt;&gt;$V131),$V131,0)</f>
        <v>0</v>
      </c>
      <c r="Y131" s="252">
        <f t="shared" si="114"/>
        <v>0</v>
      </c>
      <c r="Z131" s="252">
        <f t="shared" si="114"/>
        <v>0</v>
      </c>
      <c r="AA131" s="252">
        <f t="shared" si="114"/>
        <v>0</v>
      </c>
      <c r="AB131" s="252">
        <f t="shared" si="114"/>
        <v>0</v>
      </c>
      <c r="AC131" s="252">
        <f t="shared" si="114"/>
        <v>0</v>
      </c>
      <c r="AD131" s="252">
        <f t="shared" si="114"/>
        <v>0</v>
      </c>
      <c r="AE131" s="252">
        <f t="shared" si="114"/>
        <v>0</v>
      </c>
      <c r="AF131" s="252">
        <f t="shared" si="114"/>
        <v>0</v>
      </c>
      <c r="AG131" s="252">
        <f t="shared" si="114"/>
        <v>0</v>
      </c>
      <c r="AH131" s="252">
        <f t="shared" si="114"/>
        <v>0</v>
      </c>
      <c r="AI131" s="252">
        <f t="shared" si="114"/>
        <v>0</v>
      </c>
      <c r="AJ131" s="252">
        <f t="shared" si="114"/>
        <v>0</v>
      </c>
      <c r="AK131" s="252">
        <f t="shared" si="114"/>
        <v>0</v>
      </c>
      <c r="AL131" s="252">
        <f t="shared" si="114"/>
        <v>0</v>
      </c>
      <c r="AM131" s="252">
        <f t="shared" si="114"/>
        <v>0</v>
      </c>
      <c r="AN131" s="252">
        <f t="shared" si="114"/>
        <v>0</v>
      </c>
      <c r="AO131" s="252">
        <f t="shared" si="114"/>
        <v>0</v>
      </c>
      <c r="AP131" s="252">
        <f t="shared" si="114"/>
        <v>0</v>
      </c>
      <c r="AQ131" s="252">
        <f t="shared" si="114"/>
        <v>0</v>
      </c>
      <c r="AR131" s="252">
        <f t="shared" si="114"/>
        <v>0</v>
      </c>
      <c r="AS131" s="252">
        <f t="shared" si="114"/>
        <v>0</v>
      </c>
      <c r="AT131" s="252">
        <f t="shared" si="114"/>
        <v>0</v>
      </c>
      <c r="AU131" s="252">
        <f t="shared" si="114"/>
        <v>0</v>
      </c>
      <c r="AV131" s="252">
        <f t="shared" si="114"/>
        <v>0</v>
      </c>
      <c r="AW131" s="252">
        <f t="shared" si="114"/>
        <v>0</v>
      </c>
      <c r="AX131" s="252">
        <f t="shared" si="114"/>
        <v>0</v>
      </c>
      <c r="AY131" s="252">
        <f t="shared" si="114"/>
        <v>0</v>
      </c>
      <c r="AZ131" s="252">
        <f t="shared" si="114"/>
        <v>0</v>
      </c>
      <c r="BA131" s="252">
        <f t="shared" si="114"/>
        <v>0</v>
      </c>
      <c r="BB131" s="252">
        <f t="shared" si="114"/>
        <v>0</v>
      </c>
    </row>
    <row r="132" ht="15.75" customHeight="1">
      <c r="A132" s="768">
        <v>1996.0</v>
      </c>
      <c r="B132" s="38"/>
      <c r="C132" s="38"/>
      <c r="D132" s="38"/>
      <c r="E132" s="38"/>
      <c r="F132" s="38"/>
      <c r="G132" s="38"/>
      <c r="H132" s="38"/>
      <c r="I132" s="38"/>
      <c r="J132" s="38"/>
      <c r="K132" s="38"/>
      <c r="L132" s="38"/>
      <c r="M132" s="38"/>
      <c r="N132" s="38"/>
      <c r="O132" s="38"/>
      <c r="P132" s="38"/>
      <c r="Q132" s="38"/>
      <c r="R132" s="38"/>
      <c r="S132" s="740">
        <v>2008.0</v>
      </c>
      <c r="T132" s="740">
        <v>1456.8</v>
      </c>
      <c r="U132" s="38"/>
      <c r="V132" s="770">
        <v>113.0</v>
      </c>
      <c r="W132" s="252">
        <f t="shared" si="49"/>
        <v>0</v>
      </c>
      <c r="X132" s="252">
        <f t="shared" ref="X132:BB132" si="115">IF(AND(X$190-$A132&gt;$V$44,SUM($W132:W132)&lt;&gt;$V132),$V132,0)</f>
        <v>0</v>
      </c>
      <c r="Y132" s="252">
        <f t="shared" si="115"/>
        <v>0</v>
      </c>
      <c r="Z132" s="252">
        <f t="shared" si="115"/>
        <v>0</v>
      </c>
      <c r="AA132" s="252">
        <f t="shared" si="115"/>
        <v>0</v>
      </c>
      <c r="AB132" s="252">
        <f t="shared" si="115"/>
        <v>0</v>
      </c>
      <c r="AC132" s="252">
        <f t="shared" si="115"/>
        <v>0</v>
      </c>
      <c r="AD132" s="252">
        <f t="shared" si="115"/>
        <v>0</v>
      </c>
      <c r="AE132" s="252">
        <f t="shared" si="115"/>
        <v>0</v>
      </c>
      <c r="AF132" s="252">
        <f t="shared" si="115"/>
        <v>0</v>
      </c>
      <c r="AG132" s="252">
        <f t="shared" si="115"/>
        <v>0</v>
      </c>
      <c r="AH132" s="252">
        <f t="shared" si="115"/>
        <v>113</v>
      </c>
      <c r="AI132" s="252">
        <f t="shared" si="115"/>
        <v>0</v>
      </c>
      <c r="AJ132" s="252">
        <f t="shared" si="115"/>
        <v>0</v>
      </c>
      <c r="AK132" s="252">
        <f t="shared" si="115"/>
        <v>0</v>
      </c>
      <c r="AL132" s="252">
        <f t="shared" si="115"/>
        <v>0</v>
      </c>
      <c r="AM132" s="252">
        <f t="shared" si="115"/>
        <v>0</v>
      </c>
      <c r="AN132" s="252">
        <f t="shared" si="115"/>
        <v>0</v>
      </c>
      <c r="AO132" s="252">
        <f t="shared" si="115"/>
        <v>0</v>
      </c>
      <c r="AP132" s="252">
        <f t="shared" si="115"/>
        <v>0</v>
      </c>
      <c r="AQ132" s="252">
        <f t="shared" si="115"/>
        <v>0</v>
      </c>
      <c r="AR132" s="252">
        <f t="shared" si="115"/>
        <v>0</v>
      </c>
      <c r="AS132" s="252">
        <f t="shared" si="115"/>
        <v>0</v>
      </c>
      <c r="AT132" s="252">
        <f t="shared" si="115"/>
        <v>0</v>
      </c>
      <c r="AU132" s="252">
        <f t="shared" si="115"/>
        <v>0</v>
      </c>
      <c r="AV132" s="252">
        <f t="shared" si="115"/>
        <v>0</v>
      </c>
      <c r="AW132" s="252">
        <f t="shared" si="115"/>
        <v>0</v>
      </c>
      <c r="AX132" s="252">
        <f t="shared" si="115"/>
        <v>0</v>
      </c>
      <c r="AY132" s="252">
        <f t="shared" si="115"/>
        <v>0</v>
      </c>
      <c r="AZ132" s="252">
        <f t="shared" si="115"/>
        <v>0</v>
      </c>
      <c r="BA132" s="252">
        <f t="shared" si="115"/>
        <v>0</v>
      </c>
      <c r="BB132" s="252">
        <f t="shared" si="115"/>
        <v>0</v>
      </c>
    </row>
    <row r="133" ht="15.75" customHeight="1">
      <c r="A133" s="768">
        <v>1997.0</v>
      </c>
      <c r="B133" s="38"/>
      <c r="C133" s="38"/>
      <c r="D133" s="38"/>
      <c r="E133" s="38"/>
      <c r="F133" s="38"/>
      <c r="G133" s="38"/>
      <c r="H133" s="38"/>
      <c r="I133" s="38"/>
      <c r="J133" s="38"/>
      <c r="K133" s="38"/>
      <c r="L133" s="38"/>
      <c r="M133" s="38"/>
      <c r="N133" s="38"/>
      <c r="O133" s="38"/>
      <c r="P133" s="38"/>
      <c r="Q133" s="38"/>
      <c r="R133" s="38"/>
      <c r="S133" s="740">
        <v>2009.0</v>
      </c>
      <c r="T133" s="740">
        <v>1735.2</v>
      </c>
      <c r="U133" s="38"/>
      <c r="V133" s="770">
        <v>216.5</v>
      </c>
      <c r="W133" s="252">
        <f t="shared" si="49"/>
        <v>0</v>
      </c>
      <c r="X133" s="252">
        <f t="shared" ref="X133:BB133" si="116">IF(AND(X$190-$A133&gt;$V$44,SUM($W133:W133)&lt;&gt;$V133),$V133,0)</f>
        <v>0</v>
      </c>
      <c r="Y133" s="252">
        <f t="shared" si="116"/>
        <v>0</v>
      </c>
      <c r="Z133" s="252">
        <f t="shared" si="116"/>
        <v>0</v>
      </c>
      <c r="AA133" s="252">
        <f t="shared" si="116"/>
        <v>0</v>
      </c>
      <c r="AB133" s="252">
        <f t="shared" si="116"/>
        <v>0</v>
      </c>
      <c r="AC133" s="252">
        <f t="shared" si="116"/>
        <v>0</v>
      </c>
      <c r="AD133" s="252">
        <f t="shared" si="116"/>
        <v>0</v>
      </c>
      <c r="AE133" s="252">
        <f t="shared" si="116"/>
        <v>0</v>
      </c>
      <c r="AF133" s="252">
        <f t="shared" si="116"/>
        <v>0</v>
      </c>
      <c r="AG133" s="252">
        <f t="shared" si="116"/>
        <v>0</v>
      </c>
      <c r="AH133" s="252">
        <f t="shared" si="116"/>
        <v>0</v>
      </c>
      <c r="AI133" s="252">
        <f t="shared" si="116"/>
        <v>216.5</v>
      </c>
      <c r="AJ133" s="252">
        <f t="shared" si="116"/>
        <v>0</v>
      </c>
      <c r="AK133" s="252">
        <f t="shared" si="116"/>
        <v>0</v>
      </c>
      <c r="AL133" s="252">
        <f t="shared" si="116"/>
        <v>0</v>
      </c>
      <c r="AM133" s="252">
        <f t="shared" si="116"/>
        <v>0</v>
      </c>
      <c r="AN133" s="252">
        <f t="shared" si="116"/>
        <v>0</v>
      </c>
      <c r="AO133" s="252">
        <f t="shared" si="116"/>
        <v>0</v>
      </c>
      <c r="AP133" s="252">
        <f t="shared" si="116"/>
        <v>0</v>
      </c>
      <c r="AQ133" s="252">
        <f t="shared" si="116"/>
        <v>0</v>
      </c>
      <c r="AR133" s="252">
        <f t="shared" si="116"/>
        <v>0</v>
      </c>
      <c r="AS133" s="252">
        <f t="shared" si="116"/>
        <v>0</v>
      </c>
      <c r="AT133" s="252">
        <f t="shared" si="116"/>
        <v>0</v>
      </c>
      <c r="AU133" s="252">
        <f t="shared" si="116"/>
        <v>0</v>
      </c>
      <c r="AV133" s="252">
        <f t="shared" si="116"/>
        <v>0</v>
      </c>
      <c r="AW133" s="252">
        <f t="shared" si="116"/>
        <v>0</v>
      </c>
      <c r="AX133" s="252">
        <f t="shared" si="116"/>
        <v>0</v>
      </c>
      <c r="AY133" s="252">
        <f t="shared" si="116"/>
        <v>0</v>
      </c>
      <c r="AZ133" s="252">
        <f t="shared" si="116"/>
        <v>0</v>
      </c>
      <c r="BA133" s="252">
        <f t="shared" si="116"/>
        <v>0</v>
      </c>
      <c r="BB133" s="252">
        <f t="shared" si="116"/>
        <v>0</v>
      </c>
    </row>
    <row r="134" ht="15.75" customHeight="1">
      <c r="A134" s="768">
        <v>1998.0</v>
      </c>
      <c r="B134" s="38"/>
      <c r="C134" s="38"/>
      <c r="D134" s="38"/>
      <c r="E134" s="38"/>
      <c r="F134" s="38"/>
      <c r="G134" s="38"/>
      <c r="H134" s="38"/>
      <c r="I134" s="38"/>
      <c r="J134" s="38"/>
      <c r="K134" s="38"/>
      <c r="L134" s="38"/>
      <c r="M134" s="38"/>
      <c r="N134" s="38"/>
      <c r="O134" s="38"/>
      <c r="P134" s="38"/>
      <c r="Q134" s="38"/>
      <c r="R134" s="38"/>
      <c r="S134" s="740">
        <v>2010.0</v>
      </c>
      <c r="T134" s="740">
        <v>4721.5</v>
      </c>
      <c r="U134" s="38"/>
      <c r="V134" s="770">
        <v>207.7</v>
      </c>
      <c r="W134" s="252">
        <f t="shared" si="49"/>
        <v>0</v>
      </c>
      <c r="X134" s="252">
        <f t="shared" ref="X134:BB134" si="117">IF(AND(X$190-$A134&gt;$V$44,SUM($W134:W134)&lt;&gt;$V134),$V134,0)</f>
        <v>0</v>
      </c>
      <c r="Y134" s="252">
        <f t="shared" si="117"/>
        <v>0</v>
      </c>
      <c r="Z134" s="252">
        <f t="shared" si="117"/>
        <v>0</v>
      </c>
      <c r="AA134" s="252">
        <f t="shared" si="117"/>
        <v>0</v>
      </c>
      <c r="AB134" s="252">
        <f t="shared" si="117"/>
        <v>0</v>
      </c>
      <c r="AC134" s="252">
        <f t="shared" si="117"/>
        <v>0</v>
      </c>
      <c r="AD134" s="252">
        <f t="shared" si="117"/>
        <v>0</v>
      </c>
      <c r="AE134" s="252">
        <f t="shared" si="117"/>
        <v>0</v>
      </c>
      <c r="AF134" s="252">
        <f t="shared" si="117"/>
        <v>0</v>
      </c>
      <c r="AG134" s="252">
        <f t="shared" si="117"/>
        <v>0</v>
      </c>
      <c r="AH134" s="252">
        <f t="shared" si="117"/>
        <v>0</v>
      </c>
      <c r="AI134" s="252">
        <f t="shared" si="117"/>
        <v>0</v>
      </c>
      <c r="AJ134" s="252">
        <f t="shared" si="117"/>
        <v>207.7</v>
      </c>
      <c r="AK134" s="252">
        <f t="shared" si="117"/>
        <v>0</v>
      </c>
      <c r="AL134" s="252">
        <f t="shared" si="117"/>
        <v>0</v>
      </c>
      <c r="AM134" s="252">
        <f t="shared" si="117"/>
        <v>0</v>
      </c>
      <c r="AN134" s="252">
        <f t="shared" si="117"/>
        <v>0</v>
      </c>
      <c r="AO134" s="252">
        <f t="shared" si="117"/>
        <v>0</v>
      </c>
      <c r="AP134" s="252">
        <f t="shared" si="117"/>
        <v>0</v>
      </c>
      <c r="AQ134" s="252">
        <f t="shared" si="117"/>
        <v>0</v>
      </c>
      <c r="AR134" s="252">
        <f t="shared" si="117"/>
        <v>0</v>
      </c>
      <c r="AS134" s="252">
        <f t="shared" si="117"/>
        <v>0</v>
      </c>
      <c r="AT134" s="252">
        <f t="shared" si="117"/>
        <v>0</v>
      </c>
      <c r="AU134" s="252">
        <f t="shared" si="117"/>
        <v>0</v>
      </c>
      <c r="AV134" s="252">
        <f t="shared" si="117"/>
        <v>0</v>
      </c>
      <c r="AW134" s="252">
        <f t="shared" si="117"/>
        <v>0</v>
      </c>
      <c r="AX134" s="252">
        <f t="shared" si="117"/>
        <v>0</v>
      </c>
      <c r="AY134" s="252">
        <f t="shared" si="117"/>
        <v>0</v>
      </c>
      <c r="AZ134" s="252">
        <f t="shared" si="117"/>
        <v>0</v>
      </c>
      <c r="BA134" s="252">
        <f t="shared" si="117"/>
        <v>0</v>
      </c>
      <c r="BB134" s="252">
        <f t="shared" si="117"/>
        <v>0</v>
      </c>
    </row>
    <row r="135" ht="15.75" customHeight="1">
      <c r="A135" s="768">
        <v>1999.0</v>
      </c>
      <c r="B135" s="38"/>
      <c r="C135" s="38"/>
      <c r="D135" s="38"/>
      <c r="E135" s="38"/>
      <c r="F135" s="38"/>
      <c r="G135" s="38"/>
      <c r="H135" s="38"/>
      <c r="I135" s="38"/>
      <c r="J135" s="38"/>
      <c r="K135" s="38"/>
      <c r="L135" s="38"/>
      <c r="M135" s="38"/>
      <c r="N135" s="38"/>
      <c r="O135" s="38"/>
      <c r="P135" s="38"/>
      <c r="Q135" s="38"/>
      <c r="R135" s="38"/>
      <c r="S135" s="740">
        <v>2011.0</v>
      </c>
      <c r="T135" s="740">
        <v>3778.0</v>
      </c>
      <c r="U135" s="38"/>
      <c r="V135" s="770">
        <v>219.5</v>
      </c>
      <c r="W135" s="252">
        <f t="shared" si="49"/>
        <v>0</v>
      </c>
      <c r="X135" s="252">
        <f t="shared" ref="X135:BB135" si="118">IF(AND(X$190-$A135&gt;$V$44,SUM($W135:W135)&lt;&gt;$V135),$V135,0)</f>
        <v>0</v>
      </c>
      <c r="Y135" s="252">
        <f t="shared" si="118"/>
        <v>0</v>
      </c>
      <c r="Z135" s="252">
        <f t="shared" si="118"/>
        <v>0</v>
      </c>
      <c r="AA135" s="252">
        <f t="shared" si="118"/>
        <v>0</v>
      </c>
      <c r="AB135" s="252">
        <f t="shared" si="118"/>
        <v>0</v>
      </c>
      <c r="AC135" s="252">
        <f t="shared" si="118"/>
        <v>0</v>
      </c>
      <c r="AD135" s="252">
        <f t="shared" si="118"/>
        <v>0</v>
      </c>
      <c r="AE135" s="252">
        <f t="shared" si="118"/>
        <v>0</v>
      </c>
      <c r="AF135" s="252">
        <f t="shared" si="118"/>
        <v>0</v>
      </c>
      <c r="AG135" s="252">
        <f t="shared" si="118"/>
        <v>0</v>
      </c>
      <c r="AH135" s="252">
        <f t="shared" si="118"/>
        <v>0</v>
      </c>
      <c r="AI135" s="252">
        <f t="shared" si="118"/>
        <v>0</v>
      </c>
      <c r="AJ135" s="252">
        <f t="shared" si="118"/>
        <v>0</v>
      </c>
      <c r="AK135" s="252">
        <f t="shared" si="118"/>
        <v>219.5</v>
      </c>
      <c r="AL135" s="252">
        <f t="shared" si="118"/>
        <v>0</v>
      </c>
      <c r="AM135" s="252">
        <f t="shared" si="118"/>
        <v>0</v>
      </c>
      <c r="AN135" s="252">
        <f t="shared" si="118"/>
        <v>0</v>
      </c>
      <c r="AO135" s="252">
        <f t="shared" si="118"/>
        <v>0</v>
      </c>
      <c r="AP135" s="252">
        <f t="shared" si="118"/>
        <v>0</v>
      </c>
      <c r="AQ135" s="252">
        <f t="shared" si="118"/>
        <v>0</v>
      </c>
      <c r="AR135" s="252">
        <f t="shared" si="118"/>
        <v>0</v>
      </c>
      <c r="AS135" s="252">
        <f t="shared" si="118"/>
        <v>0</v>
      </c>
      <c r="AT135" s="252">
        <f t="shared" si="118"/>
        <v>0</v>
      </c>
      <c r="AU135" s="252">
        <f t="shared" si="118"/>
        <v>0</v>
      </c>
      <c r="AV135" s="252">
        <f t="shared" si="118"/>
        <v>0</v>
      </c>
      <c r="AW135" s="252">
        <f t="shared" si="118"/>
        <v>0</v>
      </c>
      <c r="AX135" s="252">
        <f t="shared" si="118"/>
        <v>0</v>
      </c>
      <c r="AY135" s="252">
        <f t="shared" si="118"/>
        <v>0</v>
      </c>
      <c r="AZ135" s="252">
        <f t="shared" si="118"/>
        <v>0</v>
      </c>
      <c r="BA135" s="252">
        <f t="shared" si="118"/>
        <v>0</v>
      </c>
      <c r="BB135" s="252">
        <f t="shared" si="118"/>
        <v>0</v>
      </c>
    </row>
    <row r="136" ht="15.75" customHeight="1">
      <c r="A136" s="768">
        <v>2000.0</v>
      </c>
      <c r="B136" s="38"/>
      <c r="C136" s="38"/>
      <c r="D136" s="38"/>
      <c r="E136" s="38"/>
      <c r="F136" s="38"/>
      <c r="G136" s="38"/>
      <c r="H136" s="38"/>
      <c r="I136" s="38"/>
      <c r="J136" s="38"/>
      <c r="K136" s="38"/>
      <c r="L136" s="38"/>
      <c r="M136" s="38"/>
      <c r="N136" s="38"/>
      <c r="O136" s="38"/>
      <c r="P136" s="38"/>
      <c r="Q136" s="38"/>
      <c r="R136" s="38"/>
      <c r="S136" s="740">
        <v>2012.0</v>
      </c>
      <c r="T136" s="740">
        <v>3690.0</v>
      </c>
      <c r="U136" s="38"/>
      <c r="V136" s="770">
        <v>2279.2</v>
      </c>
      <c r="W136" s="252">
        <f t="shared" si="49"/>
        <v>0</v>
      </c>
      <c r="X136" s="252">
        <f t="shared" ref="X136:BB136" si="119">IF(AND(X$190-$A136&gt;$V$44,SUM($W136:W136)&lt;&gt;$V136),$V136,0)</f>
        <v>0</v>
      </c>
      <c r="Y136" s="252">
        <f t="shared" si="119"/>
        <v>0</v>
      </c>
      <c r="Z136" s="252">
        <f t="shared" si="119"/>
        <v>0</v>
      </c>
      <c r="AA136" s="252">
        <f t="shared" si="119"/>
        <v>0</v>
      </c>
      <c r="AB136" s="252">
        <f t="shared" si="119"/>
        <v>0</v>
      </c>
      <c r="AC136" s="252">
        <f t="shared" si="119"/>
        <v>0</v>
      </c>
      <c r="AD136" s="252">
        <f t="shared" si="119"/>
        <v>0</v>
      </c>
      <c r="AE136" s="252">
        <f t="shared" si="119"/>
        <v>0</v>
      </c>
      <c r="AF136" s="252">
        <f t="shared" si="119"/>
        <v>0</v>
      </c>
      <c r="AG136" s="252">
        <f t="shared" si="119"/>
        <v>0</v>
      </c>
      <c r="AH136" s="252">
        <f t="shared" si="119"/>
        <v>0</v>
      </c>
      <c r="AI136" s="252">
        <f t="shared" si="119"/>
        <v>0</v>
      </c>
      <c r="AJ136" s="252">
        <f t="shared" si="119"/>
        <v>0</v>
      </c>
      <c r="AK136" s="252">
        <f t="shared" si="119"/>
        <v>0</v>
      </c>
      <c r="AL136" s="252">
        <f t="shared" si="119"/>
        <v>2279.2</v>
      </c>
      <c r="AM136" s="252">
        <f t="shared" si="119"/>
        <v>0</v>
      </c>
      <c r="AN136" s="252">
        <f t="shared" si="119"/>
        <v>0</v>
      </c>
      <c r="AO136" s="252">
        <f t="shared" si="119"/>
        <v>0</v>
      </c>
      <c r="AP136" s="252">
        <f t="shared" si="119"/>
        <v>0</v>
      </c>
      <c r="AQ136" s="252">
        <f t="shared" si="119"/>
        <v>0</v>
      </c>
      <c r="AR136" s="252">
        <f t="shared" si="119"/>
        <v>0</v>
      </c>
      <c r="AS136" s="252">
        <f t="shared" si="119"/>
        <v>0</v>
      </c>
      <c r="AT136" s="252">
        <f t="shared" si="119"/>
        <v>0</v>
      </c>
      <c r="AU136" s="252">
        <f t="shared" si="119"/>
        <v>0</v>
      </c>
      <c r="AV136" s="252">
        <f t="shared" si="119"/>
        <v>0</v>
      </c>
      <c r="AW136" s="252">
        <f t="shared" si="119"/>
        <v>0</v>
      </c>
      <c r="AX136" s="252">
        <f t="shared" si="119"/>
        <v>0</v>
      </c>
      <c r="AY136" s="252">
        <f t="shared" si="119"/>
        <v>0</v>
      </c>
      <c r="AZ136" s="252">
        <f t="shared" si="119"/>
        <v>0</v>
      </c>
      <c r="BA136" s="252">
        <f t="shared" si="119"/>
        <v>0</v>
      </c>
      <c r="BB136" s="252">
        <f t="shared" si="119"/>
        <v>0</v>
      </c>
    </row>
    <row r="137" ht="15.75" customHeight="1">
      <c r="A137" s="768">
        <v>2001.0</v>
      </c>
      <c r="B137" s="38"/>
      <c r="C137" s="38"/>
      <c r="D137" s="38"/>
      <c r="E137" s="38"/>
      <c r="F137" s="38"/>
      <c r="G137" s="38"/>
      <c r="H137" s="38"/>
      <c r="I137" s="38"/>
      <c r="J137" s="38"/>
      <c r="K137" s="38"/>
      <c r="L137" s="38"/>
      <c r="M137" s="38"/>
      <c r="N137" s="38"/>
      <c r="O137" s="38"/>
      <c r="P137" s="38"/>
      <c r="Q137" s="38"/>
      <c r="R137" s="38"/>
      <c r="S137" s="740">
        <v>2013.0</v>
      </c>
      <c r="T137" s="740">
        <v>1535.0</v>
      </c>
      <c r="U137" s="38"/>
      <c r="V137" s="770">
        <v>3035.0</v>
      </c>
      <c r="W137" s="252">
        <f t="shared" si="49"/>
        <v>0</v>
      </c>
      <c r="X137" s="252">
        <f t="shared" ref="X137:BB137" si="120">IF(AND(X$190-$A137&gt;$V$44,SUM($W137:W137)&lt;&gt;$V137),$V137,0)</f>
        <v>0</v>
      </c>
      <c r="Y137" s="252">
        <f t="shared" si="120"/>
        <v>0</v>
      </c>
      <c r="Z137" s="252">
        <f t="shared" si="120"/>
        <v>0</v>
      </c>
      <c r="AA137" s="252">
        <f t="shared" si="120"/>
        <v>0</v>
      </c>
      <c r="AB137" s="252">
        <f t="shared" si="120"/>
        <v>0</v>
      </c>
      <c r="AC137" s="252">
        <f t="shared" si="120"/>
        <v>0</v>
      </c>
      <c r="AD137" s="252">
        <f t="shared" si="120"/>
        <v>0</v>
      </c>
      <c r="AE137" s="252">
        <f t="shared" si="120"/>
        <v>0</v>
      </c>
      <c r="AF137" s="252">
        <f t="shared" si="120"/>
        <v>0</v>
      </c>
      <c r="AG137" s="252">
        <f t="shared" si="120"/>
        <v>0</v>
      </c>
      <c r="AH137" s="252">
        <f t="shared" si="120"/>
        <v>0</v>
      </c>
      <c r="AI137" s="252">
        <f t="shared" si="120"/>
        <v>0</v>
      </c>
      <c r="AJ137" s="252">
        <f t="shared" si="120"/>
        <v>0</v>
      </c>
      <c r="AK137" s="252">
        <f t="shared" si="120"/>
        <v>0</v>
      </c>
      <c r="AL137" s="252">
        <f t="shared" si="120"/>
        <v>0</v>
      </c>
      <c r="AM137" s="252">
        <f t="shared" si="120"/>
        <v>3035</v>
      </c>
      <c r="AN137" s="252">
        <f t="shared" si="120"/>
        <v>0</v>
      </c>
      <c r="AO137" s="252">
        <f t="shared" si="120"/>
        <v>0</v>
      </c>
      <c r="AP137" s="252">
        <f t="shared" si="120"/>
        <v>0</v>
      </c>
      <c r="AQ137" s="252">
        <f t="shared" si="120"/>
        <v>0</v>
      </c>
      <c r="AR137" s="252">
        <f t="shared" si="120"/>
        <v>0</v>
      </c>
      <c r="AS137" s="252">
        <f t="shared" si="120"/>
        <v>0</v>
      </c>
      <c r="AT137" s="252">
        <f t="shared" si="120"/>
        <v>0</v>
      </c>
      <c r="AU137" s="252">
        <f t="shared" si="120"/>
        <v>0</v>
      </c>
      <c r="AV137" s="252">
        <f t="shared" si="120"/>
        <v>0</v>
      </c>
      <c r="AW137" s="252">
        <f t="shared" si="120"/>
        <v>0</v>
      </c>
      <c r="AX137" s="252">
        <f t="shared" si="120"/>
        <v>0</v>
      </c>
      <c r="AY137" s="252">
        <f t="shared" si="120"/>
        <v>0</v>
      </c>
      <c r="AZ137" s="252">
        <f t="shared" si="120"/>
        <v>0</v>
      </c>
      <c r="BA137" s="252">
        <f t="shared" si="120"/>
        <v>0</v>
      </c>
      <c r="BB137" s="252">
        <f t="shared" si="120"/>
        <v>0</v>
      </c>
    </row>
    <row r="138" ht="15.75" customHeight="1">
      <c r="A138" s="768">
        <v>2002.0</v>
      </c>
      <c r="B138" s="38"/>
      <c r="C138" s="38"/>
      <c r="D138" s="38"/>
      <c r="E138" s="38"/>
      <c r="F138" s="38"/>
      <c r="G138" s="38"/>
      <c r="H138" s="38"/>
      <c r="I138" s="38"/>
      <c r="J138" s="38"/>
      <c r="K138" s="38"/>
      <c r="L138" s="38"/>
      <c r="M138" s="38"/>
      <c r="N138" s="38"/>
      <c r="O138" s="38"/>
      <c r="P138" s="38"/>
      <c r="Q138" s="38"/>
      <c r="R138" s="38"/>
      <c r="S138" s="740">
        <v>2014.0</v>
      </c>
      <c r="T138" s="740">
        <v>90.0</v>
      </c>
      <c r="U138" s="38"/>
      <c r="V138" s="770">
        <v>6868.7</v>
      </c>
      <c r="W138" s="252">
        <f t="shared" si="49"/>
        <v>0</v>
      </c>
      <c r="X138" s="252">
        <f t="shared" ref="X138:BB138" si="121">IF(AND(X$190-$A138&gt;$V$44,SUM($W138:W138)&lt;&gt;$V138),$V138,0)</f>
        <v>0</v>
      </c>
      <c r="Y138" s="252">
        <f t="shared" si="121"/>
        <v>0</v>
      </c>
      <c r="Z138" s="252">
        <f t="shared" si="121"/>
        <v>0</v>
      </c>
      <c r="AA138" s="252">
        <f t="shared" si="121"/>
        <v>0</v>
      </c>
      <c r="AB138" s="252">
        <f t="shared" si="121"/>
        <v>0</v>
      </c>
      <c r="AC138" s="252">
        <f t="shared" si="121"/>
        <v>0</v>
      </c>
      <c r="AD138" s="252">
        <f t="shared" si="121"/>
        <v>0</v>
      </c>
      <c r="AE138" s="252">
        <f t="shared" si="121"/>
        <v>0</v>
      </c>
      <c r="AF138" s="252">
        <f t="shared" si="121"/>
        <v>0</v>
      </c>
      <c r="AG138" s="252">
        <f t="shared" si="121"/>
        <v>0</v>
      </c>
      <c r="AH138" s="252">
        <f t="shared" si="121"/>
        <v>0</v>
      </c>
      <c r="AI138" s="252">
        <f t="shared" si="121"/>
        <v>0</v>
      </c>
      <c r="AJ138" s="252">
        <f t="shared" si="121"/>
        <v>0</v>
      </c>
      <c r="AK138" s="252">
        <f t="shared" si="121"/>
        <v>0</v>
      </c>
      <c r="AL138" s="252">
        <f t="shared" si="121"/>
        <v>0</v>
      </c>
      <c r="AM138" s="252">
        <f t="shared" si="121"/>
        <v>0</v>
      </c>
      <c r="AN138" s="252">
        <f t="shared" si="121"/>
        <v>6868.7</v>
      </c>
      <c r="AO138" s="252">
        <f t="shared" si="121"/>
        <v>0</v>
      </c>
      <c r="AP138" s="252">
        <f t="shared" si="121"/>
        <v>0</v>
      </c>
      <c r="AQ138" s="252">
        <f t="shared" si="121"/>
        <v>0</v>
      </c>
      <c r="AR138" s="252">
        <f t="shared" si="121"/>
        <v>0</v>
      </c>
      <c r="AS138" s="252">
        <f t="shared" si="121"/>
        <v>0</v>
      </c>
      <c r="AT138" s="252">
        <f t="shared" si="121"/>
        <v>0</v>
      </c>
      <c r="AU138" s="252">
        <f t="shared" si="121"/>
        <v>0</v>
      </c>
      <c r="AV138" s="252">
        <f t="shared" si="121"/>
        <v>0</v>
      </c>
      <c r="AW138" s="252">
        <f t="shared" si="121"/>
        <v>0</v>
      </c>
      <c r="AX138" s="252">
        <f t="shared" si="121"/>
        <v>0</v>
      </c>
      <c r="AY138" s="252">
        <f t="shared" si="121"/>
        <v>0</v>
      </c>
      <c r="AZ138" s="252">
        <f t="shared" si="121"/>
        <v>0</v>
      </c>
      <c r="BA138" s="252">
        <f t="shared" si="121"/>
        <v>0</v>
      </c>
      <c r="BB138" s="252">
        <f t="shared" si="121"/>
        <v>0</v>
      </c>
    </row>
    <row r="139" ht="15.75" customHeight="1">
      <c r="A139" s="768">
        <v>2003.0</v>
      </c>
      <c r="B139" s="38"/>
      <c r="C139" s="38"/>
      <c r="D139" s="38"/>
      <c r="E139" s="38"/>
      <c r="F139" s="38"/>
      <c r="G139" s="38"/>
      <c r="H139" s="38"/>
      <c r="I139" s="38"/>
      <c r="J139" s="38"/>
      <c r="K139" s="38"/>
      <c r="L139" s="38"/>
      <c r="M139" s="38"/>
      <c r="N139" s="38"/>
      <c r="O139" s="38"/>
      <c r="P139" s="38"/>
      <c r="Q139" s="38"/>
      <c r="R139" s="38"/>
      <c r="S139" s="740">
        <v>2015.0</v>
      </c>
      <c r="T139" s="740">
        <v>2.2</v>
      </c>
      <c r="U139" s="38"/>
      <c r="V139" s="770">
        <v>8469.4</v>
      </c>
      <c r="W139" s="252">
        <f t="shared" si="49"/>
        <v>0</v>
      </c>
      <c r="X139" s="252">
        <f t="shared" ref="X139:BB139" si="122">IF(AND(X$190-$A139&gt;$V$44,SUM($W139:W139)&lt;&gt;$V139),$V139,0)</f>
        <v>0</v>
      </c>
      <c r="Y139" s="252">
        <f t="shared" si="122"/>
        <v>0</v>
      </c>
      <c r="Z139" s="252">
        <f t="shared" si="122"/>
        <v>0</v>
      </c>
      <c r="AA139" s="252">
        <f t="shared" si="122"/>
        <v>0</v>
      </c>
      <c r="AB139" s="252">
        <f t="shared" si="122"/>
        <v>0</v>
      </c>
      <c r="AC139" s="252">
        <f t="shared" si="122"/>
        <v>0</v>
      </c>
      <c r="AD139" s="252">
        <f t="shared" si="122"/>
        <v>0</v>
      </c>
      <c r="AE139" s="252">
        <f t="shared" si="122"/>
        <v>0</v>
      </c>
      <c r="AF139" s="252">
        <f t="shared" si="122"/>
        <v>0</v>
      </c>
      <c r="AG139" s="252">
        <f t="shared" si="122"/>
        <v>0</v>
      </c>
      <c r="AH139" s="252">
        <f t="shared" si="122"/>
        <v>0</v>
      </c>
      <c r="AI139" s="252">
        <f t="shared" si="122"/>
        <v>0</v>
      </c>
      <c r="AJ139" s="252">
        <f t="shared" si="122"/>
        <v>0</v>
      </c>
      <c r="AK139" s="252">
        <f t="shared" si="122"/>
        <v>0</v>
      </c>
      <c r="AL139" s="252">
        <f t="shared" si="122"/>
        <v>0</v>
      </c>
      <c r="AM139" s="252">
        <f t="shared" si="122"/>
        <v>0</v>
      </c>
      <c r="AN139" s="252">
        <f t="shared" si="122"/>
        <v>0</v>
      </c>
      <c r="AO139" s="252">
        <f t="shared" si="122"/>
        <v>8469.4</v>
      </c>
      <c r="AP139" s="252">
        <f t="shared" si="122"/>
        <v>0</v>
      </c>
      <c r="AQ139" s="252">
        <f t="shared" si="122"/>
        <v>0</v>
      </c>
      <c r="AR139" s="252">
        <f t="shared" si="122"/>
        <v>0</v>
      </c>
      <c r="AS139" s="252">
        <f t="shared" si="122"/>
        <v>0</v>
      </c>
      <c r="AT139" s="252">
        <f t="shared" si="122"/>
        <v>0</v>
      </c>
      <c r="AU139" s="252">
        <f t="shared" si="122"/>
        <v>0</v>
      </c>
      <c r="AV139" s="252">
        <f t="shared" si="122"/>
        <v>0</v>
      </c>
      <c r="AW139" s="252">
        <f t="shared" si="122"/>
        <v>0</v>
      </c>
      <c r="AX139" s="252">
        <f t="shared" si="122"/>
        <v>0</v>
      </c>
      <c r="AY139" s="252">
        <f t="shared" si="122"/>
        <v>0</v>
      </c>
      <c r="AZ139" s="252">
        <f t="shared" si="122"/>
        <v>0</v>
      </c>
      <c r="BA139" s="252">
        <f t="shared" si="122"/>
        <v>0</v>
      </c>
      <c r="BB139" s="252">
        <f t="shared" si="122"/>
        <v>0</v>
      </c>
    </row>
    <row r="140" ht="15.75" customHeight="1">
      <c r="A140" s="742">
        <v>2004.0</v>
      </c>
      <c r="B140" s="38"/>
      <c r="C140" s="38"/>
      <c r="D140" s="38"/>
      <c r="E140" s="38"/>
      <c r="F140" s="38"/>
      <c r="G140" s="38"/>
      <c r="H140" s="38"/>
      <c r="I140" s="38"/>
      <c r="J140" s="38"/>
      <c r="K140" s="38"/>
      <c r="L140" s="38"/>
      <c r="M140" s="38"/>
      <c r="N140" s="38"/>
      <c r="O140" s="38"/>
      <c r="P140" s="38"/>
      <c r="Q140" s="38"/>
      <c r="R140" s="38"/>
      <c r="S140" s="38"/>
      <c r="T140" s="38"/>
      <c r="U140" s="38"/>
      <c r="V140" s="770">
        <v>2474.3</v>
      </c>
      <c r="W140" s="252">
        <f t="shared" si="49"/>
        <v>0</v>
      </c>
      <c r="X140" s="252">
        <f t="shared" ref="X140:BB140" si="123">IF(AND(X$190-$A140&gt;$V$44,SUM($W140:W140)&lt;&gt;$V140),$V140,0)</f>
        <v>0</v>
      </c>
      <c r="Y140" s="252">
        <f t="shared" si="123"/>
        <v>0</v>
      </c>
      <c r="Z140" s="252">
        <f t="shared" si="123"/>
        <v>0</v>
      </c>
      <c r="AA140" s="252">
        <f t="shared" si="123"/>
        <v>0</v>
      </c>
      <c r="AB140" s="252">
        <f t="shared" si="123"/>
        <v>0</v>
      </c>
      <c r="AC140" s="252">
        <f t="shared" si="123"/>
        <v>0</v>
      </c>
      <c r="AD140" s="252">
        <f t="shared" si="123"/>
        <v>0</v>
      </c>
      <c r="AE140" s="252">
        <f t="shared" si="123"/>
        <v>0</v>
      </c>
      <c r="AF140" s="252">
        <f t="shared" si="123"/>
        <v>0</v>
      </c>
      <c r="AG140" s="252">
        <f t="shared" si="123"/>
        <v>0</v>
      </c>
      <c r="AH140" s="252">
        <f t="shared" si="123"/>
        <v>0</v>
      </c>
      <c r="AI140" s="252">
        <f t="shared" si="123"/>
        <v>0</v>
      </c>
      <c r="AJ140" s="252">
        <f t="shared" si="123"/>
        <v>0</v>
      </c>
      <c r="AK140" s="252">
        <f t="shared" si="123"/>
        <v>0</v>
      </c>
      <c r="AL140" s="252">
        <f t="shared" si="123"/>
        <v>0</v>
      </c>
      <c r="AM140" s="252">
        <f t="shared" si="123"/>
        <v>0</v>
      </c>
      <c r="AN140" s="252">
        <f t="shared" si="123"/>
        <v>0</v>
      </c>
      <c r="AO140" s="252">
        <f t="shared" si="123"/>
        <v>0</v>
      </c>
      <c r="AP140" s="252">
        <f t="shared" si="123"/>
        <v>2474.3</v>
      </c>
      <c r="AQ140" s="252">
        <f t="shared" si="123"/>
        <v>0</v>
      </c>
      <c r="AR140" s="252">
        <f t="shared" si="123"/>
        <v>0</v>
      </c>
      <c r="AS140" s="252">
        <f t="shared" si="123"/>
        <v>0</v>
      </c>
      <c r="AT140" s="252">
        <f t="shared" si="123"/>
        <v>0</v>
      </c>
      <c r="AU140" s="252">
        <f t="shared" si="123"/>
        <v>0</v>
      </c>
      <c r="AV140" s="252">
        <f t="shared" si="123"/>
        <v>0</v>
      </c>
      <c r="AW140" s="252">
        <f t="shared" si="123"/>
        <v>0</v>
      </c>
      <c r="AX140" s="252">
        <f t="shared" si="123"/>
        <v>0</v>
      </c>
      <c r="AY140" s="252">
        <f t="shared" si="123"/>
        <v>0</v>
      </c>
      <c r="AZ140" s="252">
        <f t="shared" si="123"/>
        <v>0</v>
      </c>
      <c r="BA140" s="252">
        <f t="shared" si="123"/>
        <v>0</v>
      </c>
      <c r="BB140" s="252">
        <f t="shared" si="123"/>
        <v>0</v>
      </c>
    </row>
    <row r="141" ht="15.75" customHeight="1">
      <c r="A141" s="742">
        <v>2005.0</v>
      </c>
      <c r="B141" s="38"/>
      <c r="C141" s="38"/>
      <c r="D141" s="38"/>
      <c r="E141" s="38"/>
      <c r="F141" s="38"/>
      <c r="G141" s="38"/>
      <c r="H141" s="38"/>
      <c r="I141" s="38"/>
      <c r="J141" s="38"/>
      <c r="K141" s="38"/>
      <c r="L141" s="38"/>
      <c r="M141" s="38"/>
      <c r="N141" s="38"/>
      <c r="O141" s="38"/>
      <c r="P141" s="38"/>
      <c r="Q141" s="38"/>
      <c r="R141" s="38"/>
      <c r="S141" s="38"/>
      <c r="T141" s="38"/>
      <c r="U141" s="38"/>
      <c r="V141" s="770">
        <v>1376.6</v>
      </c>
      <c r="W141" s="252">
        <f t="shared" si="49"/>
        <v>0</v>
      </c>
      <c r="X141" s="252">
        <f t="shared" ref="X141:BB141" si="124">IF(AND(X$190-$A141&gt;$V$44,SUM($W141:W141)&lt;&gt;$V141),$V141,0)</f>
        <v>0</v>
      </c>
      <c r="Y141" s="252">
        <f t="shared" si="124"/>
        <v>0</v>
      </c>
      <c r="Z141" s="252">
        <f t="shared" si="124"/>
        <v>0</v>
      </c>
      <c r="AA141" s="252">
        <f t="shared" si="124"/>
        <v>0</v>
      </c>
      <c r="AB141" s="252">
        <f t="shared" si="124"/>
        <v>0</v>
      </c>
      <c r="AC141" s="252">
        <f t="shared" si="124"/>
        <v>0</v>
      </c>
      <c r="AD141" s="252">
        <f t="shared" si="124"/>
        <v>0</v>
      </c>
      <c r="AE141" s="252">
        <f t="shared" si="124"/>
        <v>0</v>
      </c>
      <c r="AF141" s="252">
        <f t="shared" si="124"/>
        <v>0</v>
      </c>
      <c r="AG141" s="252">
        <f t="shared" si="124"/>
        <v>0</v>
      </c>
      <c r="AH141" s="252">
        <f t="shared" si="124"/>
        <v>0</v>
      </c>
      <c r="AI141" s="252">
        <f t="shared" si="124"/>
        <v>0</v>
      </c>
      <c r="AJ141" s="252">
        <f t="shared" si="124"/>
        <v>0</v>
      </c>
      <c r="AK141" s="252">
        <f t="shared" si="124"/>
        <v>0</v>
      </c>
      <c r="AL141" s="252">
        <f t="shared" si="124"/>
        <v>0</v>
      </c>
      <c r="AM141" s="252">
        <f t="shared" si="124"/>
        <v>0</v>
      </c>
      <c r="AN141" s="252">
        <f t="shared" si="124"/>
        <v>0</v>
      </c>
      <c r="AO141" s="252">
        <f t="shared" si="124"/>
        <v>0</v>
      </c>
      <c r="AP141" s="252">
        <f t="shared" si="124"/>
        <v>0</v>
      </c>
      <c r="AQ141" s="252">
        <f t="shared" si="124"/>
        <v>1376.6</v>
      </c>
      <c r="AR141" s="252">
        <f t="shared" si="124"/>
        <v>0</v>
      </c>
      <c r="AS141" s="252">
        <f t="shared" si="124"/>
        <v>0</v>
      </c>
      <c r="AT141" s="252">
        <f t="shared" si="124"/>
        <v>0</v>
      </c>
      <c r="AU141" s="252">
        <f t="shared" si="124"/>
        <v>0</v>
      </c>
      <c r="AV141" s="252">
        <f t="shared" si="124"/>
        <v>0</v>
      </c>
      <c r="AW141" s="252">
        <f t="shared" si="124"/>
        <v>0</v>
      </c>
      <c r="AX141" s="252">
        <f t="shared" si="124"/>
        <v>0</v>
      </c>
      <c r="AY141" s="252">
        <f t="shared" si="124"/>
        <v>0</v>
      </c>
      <c r="AZ141" s="252">
        <f t="shared" si="124"/>
        <v>0</v>
      </c>
      <c r="BA141" s="252">
        <f t="shared" si="124"/>
        <v>0</v>
      </c>
      <c r="BB141" s="252">
        <f t="shared" si="124"/>
        <v>0</v>
      </c>
    </row>
    <row r="142" ht="13.5" customHeight="1">
      <c r="A142" s="742">
        <v>2006.0</v>
      </c>
      <c r="B142" s="733"/>
      <c r="C142" s="733"/>
      <c r="D142" s="733"/>
      <c r="E142" s="733"/>
      <c r="F142" s="733"/>
      <c r="G142" s="733"/>
      <c r="H142" s="733"/>
      <c r="I142" s="733"/>
      <c r="J142" s="733"/>
      <c r="K142" s="733"/>
      <c r="L142" s="733"/>
      <c r="M142" s="733"/>
      <c r="N142" s="733"/>
      <c r="O142" s="733"/>
      <c r="P142" s="733"/>
      <c r="Q142" s="733"/>
      <c r="R142" s="733"/>
      <c r="S142" s="733"/>
      <c r="T142" s="733"/>
      <c r="U142" s="733"/>
      <c r="V142" s="770">
        <v>850.5</v>
      </c>
      <c r="W142" s="252">
        <f t="shared" si="49"/>
        <v>0</v>
      </c>
      <c r="X142" s="252">
        <f t="shared" ref="X142:BB142" si="125">IF(AND(X$190-$A142&gt;$V$44,SUM($W142:W142)&lt;&gt;$V142),$V142,0)</f>
        <v>0</v>
      </c>
      <c r="Y142" s="252">
        <f t="shared" si="125"/>
        <v>0</v>
      </c>
      <c r="Z142" s="252">
        <f t="shared" si="125"/>
        <v>0</v>
      </c>
      <c r="AA142" s="252">
        <f t="shared" si="125"/>
        <v>0</v>
      </c>
      <c r="AB142" s="252">
        <f t="shared" si="125"/>
        <v>0</v>
      </c>
      <c r="AC142" s="252">
        <f t="shared" si="125"/>
        <v>0</v>
      </c>
      <c r="AD142" s="252">
        <f t="shared" si="125"/>
        <v>0</v>
      </c>
      <c r="AE142" s="252">
        <f t="shared" si="125"/>
        <v>0</v>
      </c>
      <c r="AF142" s="252">
        <f t="shared" si="125"/>
        <v>0</v>
      </c>
      <c r="AG142" s="252">
        <f t="shared" si="125"/>
        <v>0</v>
      </c>
      <c r="AH142" s="252">
        <f t="shared" si="125"/>
        <v>0</v>
      </c>
      <c r="AI142" s="252">
        <f t="shared" si="125"/>
        <v>0</v>
      </c>
      <c r="AJ142" s="252">
        <f t="shared" si="125"/>
        <v>0</v>
      </c>
      <c r="AK142" s="252">
        <f t="shared" si="125"/>
        <v>0</v>
      </c>
      <c r="AL142" s="252">
        <f t="shared" si="125"/>
        <v>0</v>
      </c>
      <c r="AM142" s="252">
        <f t="shared" si="125"/>
        <v>0</v>
      </c>
      <c r="AN142" s="252">
        <f t="shared" si="125"/>
        <v>0</v>
      </c>
      <c r="AO142" s="252">
        <f t="shared" si="125"/>
        <v>0</v>
      </c>
      <c r="AP142" s="252">
        <f t="shared" si="125"/>
        <v>0</v>
      </c>
      <c r="AQ142" s="252">
        <f t="shared" si="125"/>
        <v>0</v>
      </c>
      <c r="AR142" s="252">
        <f t="shared" si="125"/>
        <v>850.5</v>
      </c>
      <c r="AS142" s="252">
        <f t="shared" si="125"/>
        <v>0</v>
      </c>
      <c r="AT142" s="252">
        <f t="shared" si="125"/>
        <v>0</v>
      </c>
      <c r="AU142" s="252">
        <f t="shared" si="125"/>
        <v>0</v>
      </c>
      <c r="AV142" s="252">
        <f t="shared" si="125"/>
        <v>0</v>
      </c>
      <c r="AW142" s="252">
        <f t="shared" si="125"/>
        <v>0</v>
      </c>
      <c r="AX142" s="252">
        <f t="shared" si="125"/>
        <v>0</v>
      </c>
      <c r="AY142" s="252">
        <f t="shared" si="125"/>
        <v>0</v>
      </c>
      <c r="AZ142" s="252">
        <f t="shared" si="125"/>
        <v>0</v>
      </c>
      <c r="BA142" s="252">
        <f t="shared" si="125"/>
        <v>0</v>
      </c>
      <c r="BB142" s="252">
        <f t="shared" si="125"/>
        <v>0</v>
      </c>
    </row>
    <row r="143" ht="15.75" customHeight="1">
      <c r="A143" s="742">
        <v>2007.0</v>
      </c>
      <c r="B143" s="733"/>
      <c r="C143" s="733"/>
      <c r="D143" s="733"/>
      <c r="E143" s="733"/>
      <c r="F143" s="733"/>
      <c r="G143" s="733"/>
      <c r="H143" s="733"/>
      <c r="I143" s="733"/>
      <c r="J143" s="733"/>
      <c r="K143" s="733"/>
      <c r="L143" s="733"/>
      <c r="M143" s="733"/>
      <c r="N143" s="733"/>
      <c r="O143" s="733"/>
      <c r="P143" s="733"/>
      <c r="Q143" s="733"/>
      <c r="R143" s="733"/>
      <c r="S143" s="733"/>
      <c r="T143" s="733"/>
      <c r="U143" s="733"/>
      <c r="V143" s="770">
        <v>0.0</v>
      </c>
      <c r="W143" s="252">
        <f t="shared" si="49"/>
        <v>0</v>
      </c>
      <c r="X143" s="252">
        <f t="shared" ref="X143:BB143" si="126">IF(AND(X$190-$A143&gt;$V$44,SUM($W143:W143)&lt;&gt;$V143),$V143,0)</f>
        <v>0</v>
      </c>
      <c r="Y143" s="252">
        <f t="shared" si="126"/>
        <v>0</v>
      </c>
      <c r="Z143" s="252">
        <f t="shared" si="126"/>
        <v>0</v>
      </c>
      <c r="AA143" s="252">
        <f t="shared" si="126"/>
        <v>0</v>
      </c>
      <c r="AB143" s="252">
        <f t="shared" si="126"/>
        <v>0</v>
      </c>
      <c r="AC143" s="252">
        <f t="shared" si="126"/>
        <v>0</v>
      </c>
      <c r="AD143" s="252">
        <f t="shared" si="126"/>
        <v>0</v>
      </c>
      <c r="AE143" s="252">
        <f t="shared" si="126"/>
        <v>0</v>
      </c>
      <c r="AF143" s="252">
        <f t="shared" si="126"/>
        <v>0</v>
      </c>
      <c r="AG143" s="252">
        <f t="shared" si="126"/>
        <v>0</v>
      </c>
      <c r="AH143" s="252">
        <f t="shared" si="126"/>
        <v>0</v>
      </c>
      <c r="AI143" s="252">
        <f t="shared" si="126"/>
        <v>0</v>
      </c>
      <c r="AJ143" s="252">
        <f t="shared" si="126"/>
        <v>0</v>
      </c>
      <c r="AK143" s="252">
        <f t="shared" si="126"/>
        <v>0</v>
      </c>
      <c r="AL143" s="252">
        <f t="shared" si="126"/>
        <v>0</v>
      </c>
      <c r="AM143" s="252">
        <f t="shared" si="126"/>
        <v>0</v>
      </c>
      <c r="AN143" s="252">
        <f t="shared" si="126"/>
        <v>0</v>
      </c>
      <c r="AO143" s="252">
        <f t="shared" si="126"/>
        <v>0</v>
      </c>
      <c r="AP143" s="252">
        <f t="shared" si="126"/>
        <v>0</v>
      </c>
      <c r="AQ143" s="252">
        <f t="shared" si="126"/>
        <v>0</v>
      </c>
      <c r="AR143" s="252">
        <f t="shared" si="126"/>
        <v>0</v>
      </c>
      <c r="AS143" s="252">
        <f t="shared" si="126"/>
        <v>0</v>
      </c>
      <c r="AT143" s="252">
        <f t="shared" si="126"/>
        <v>0</v>
      </c>
      <c r="AU143" s="252">
        <f t="shared" si="126"/>
        <v>0</v>
      </c>
      <c r="AV143" s="252">
        <f t="shared" si="126"/>
        <v>0</v>
      </c>
      <c r="AW143" s="252">
        <f t="shared" si="126"/>
        <v>0</v>
      </c>
      <c r="AX143" s="252">
        <f t="shared" si="126"/>
        <v>0</v>
      </c>
      <c r="AY143" s="252">
        <f t="shared" si="126"/>
        <v>0</v>
      </c>
      <c r="AZ143" s="252">
        <f t="shared" si="126"/>
        <v>0</v>
      </c>
      <c r="BA143" s="252">
        <f t="shared" si="126"/>
        <v>0</v>
      </c>
      <c r="BB143" s="252">
        <f t="shared" si="126"/>
        <v>0</v>
      </c>
    </row>
    <row r="144" ht="15.75" customHeight="1">
      <c r="A144" s="742">
        <v>2008.0</v>
      </c>
      <c r="B144" s="733"/>
      <c r="C144" s="733"/>
      <c r="D144" s="733"/>
      <c r="E144" s="733"/>
      <c r="F144" s="733"/>
      <c r="G144" s="733"/>
      <c r="H144" s="733"/>
      <c r="I144" s="733"/>
      <c r="J144" s="733"/>
      <c r="K144" s="733"/>
      <c r="L144" s="733"/>
      <c r="M144" s="733"/>
      <c r="N144" s="733"/>
      <c r="O144" s="733"/>
      <c r="P144" s="733"/>
      <c r="Q144" s="733"/>
      <c r="R144" s="733"/>
      <c r="S144" s="733"/>
      <c r="T144" s="733"/>
      <c r="U144" s="733"/>
      <c r="V144" s="770">
        <v>688.1</v>
      </c>
      <c r="W144" s="252">
        <f t="shared" si="49"/>
        <v>0</v>
      </c>
      <c r="X144" s="252">
        <f t="shared" ref="X144:BB144" si="127">IF(AND(X$190-$A144&gt;$V$44,SUM($W144:W144)&lt;&gt;$V144),$V144,0)</f>
        <v>0</v>
      </c>
      <c r="Y144" s="252">
        <f t="shared" si="127"/>
        <v>0</v>
      </c>
      <c r="Z144" s="252">
        <f t="shared" si="127"/>
        <v>0</v>
      </c>
      <c r="AA144" s="252">
        <f t="shared" si="127"/>
        <v>0</v>
      </c>
      <c r="AB144" s="252">
        <f t="shared" si="127"/>
        <v>0</v>
      </c>
      <c r="AC144" s="252">
        <f t="shared" si="127"/>
        <v>0</v>
      </c>
      <c r="AD144" s="252">
        <f t="shared" si="127"/>
        <v>0</v>
      </c>
      <c r="AE144" s="252">
        <f t="shared" si="127"/>
        <v>0</v>
      </c>
      <c r="AF144" s="252">
        <f t="shared" si="127"/>
        <v>0</v>
      </c>
      <c r="AG144" s="252">
        <f t="shared" si="127"/>
        <v>0</v>
      </c>
      <c r="AH144" s="252">
        <f t="shared" si="127"/>
        <v>0</v>
      </c>
      <c r="AI144" s="252">
        <f t="shared" si="127"/>
        <v>0</v>
      </c>
      <c r="AJ144" s="252">
        <f t="shared" si="127"/>
        <v>0</v>
      </c>
      <c r="AK144" s="252">
        <f t="shared" si="127"/>
        <v>0</v>
      </c>
      <c r="AL144" s="252">
        <f t="shared" si="127"/>
        <v>0</v>
      </c>
      <c r="AM144" s="252">
        <f t="shared" si="127"/>
        <v>0</v>
      </c>
      <c r="AN144" s="252">
        <f t="shared" si="127"/>
        <v>0</v>
      </c>
      <c r="AO144" s="252">
        <f t="shared" si="127"/>
        <v>0</v>
      </c>
      <c r="AP144" s="252">
        <f t="shared" si="127"/>
        <v>0</v>
      </c>
      <c r="AQ144" s="252">
        <f t="shared" si="127"/>
        <v>0</v>
      </c>
      <c r="AR144" s="252">
        <f t="shared" si="127"/>
        <v>0</v>
      </c>
      <c r="AS144" s="252">
        <f t="shared" si="127"/>
        <v>0</v>
      </c>
      <c r="AT144" s="252">
        <f t="shared" si="127"/>
        <v>688.1</v>
      </c>
      <c r="AU144" s="252">
        <f t="shared" si="127"/>
        <v>0</v>
      </c>
      <c r="AV144" s="252">
        <f t="shared" si="127"/>
        <v>0</v>
      </c>
      <c r="AW144" s="252">
        <f t="shared" si="127"/>
        <v>0</v>
      </c>
      <c r="AX144" s="252">
        <f t="shared" si="127"/>
        <v>0</v>
      </c>
      <c r="AY144" s="252">
        <f t="shared" si="127"/>
        <v>0</v>
      </c>
      <c r="AZ144" s="252">
        <f t="shared" si="127"/>
        <v>0</v>
      </c>
      <c r="BA144" s="252">
        <f t="shared" si="127"/>
        <v>0</v>
      </c>
      <c r="BB144" s="252">
        <f t="shared" si="127"/>
        <v>0</v>
      </c>
    </row>
    <row r="145" ht="15.75" customHeight="1">
      <c r="A145" s="743">
        <v>2009.0</v>
      </c>
      <c r="B145" s="733"/>
      <c r="C145" s="733"/>
      <c r="D145" s="733"/>
      <c r="E145" s="733"/>
      <c r="F145" s="733"/>
      <c r="G145" s="733"/>
      <c r="H145" s="733"/>
      <c r="I145" s="733"/>
      <c r="J145" s="733"/>
      <c r="K145" s="733"/>
      <c r="L145" s="733"/>
      <c r="M145" s="733"/>
      <c r="N145" s="733"/>
      <c r="O145" s="733"/>
      <c r="P145" s="733"/>
      <c r="Q145" s="733"/>
      <c r="R145" s="733"/>
      <c r="S145" s="733"/>
      <c r="T145" s="733"/>
      <c r="U145" s="733"/>
      <c r="V145" s="770">
        <v>0.0</v>
      </c>
      <c r="W145" s="252">
        <f t="shared" si="49"/>
        <v>0</v>
      </c>
      <c r="X145" s="252">
        <f t="shared" ref="X145:BB145" si="128">IF(AND(X$190-$A145&gt;$V$44,SUM($W145:W145)&lt;&gt;$V145),$V145,0)</f>
        <v>0</v>
      </c>
      <c r="Y145" s="252">
        <f t="shared" si="128"/>
        <v>0</v>
      </c>
      <c r="Z145" s="252">
        <f t="shared" si="128"/>
        <v>0</v>
      </c>
      <c r="AA145" s="252">
        <f t="shared" si="128"/>
        <v>0</v>
      </c>
      <c r="AB145" s="252">
        <f t="shared" si="128"/>
        <v>0</v>
      </c>
      <c r="AC145" s="252">
        <f t="shared" si="128"/>
        <v>0</v>
      </c>
      <c r="AD145" s="252">
        <f t="shared" si="128"/>
        <v>0</v>
      </c>
      <c r="AE145" s="252">
        <f t="shared" si="128"/>
        <v>0</v>
      </c>
      <c r="AF145" s="252">
        <f t="shared" si="128"/>
        <v>0</v>
      </c>
      <c r="AG145" s="252">
        <f t="shared" si="128"/>
        <v>0</v>
      </c>
      <c r="AH145" s="252">
        <f t="shared" si="128"/>
        <v>0</v>
      </c>
      <c r="AI145" s="252">
        <f t="shared" si="128"/>
        <v>0</v>
      </c>
      <c r="AJ145" s="252">
        <f t="shared" si="128"/>
        <v>0</v>
      </c>
      <c r="AK145" s="252">
        <f t="shared" si="128"/>
        <v>0</v>
      </c>
      <c r="AL145" s="252">
        <f t="shared" si="128"/>
        <v>0</v>
      </c>
      <c r="AM145" s="252">
        <f t="shared" si="128"/>
        <v>0</v>
      </c>
      <c r="AN145" s="252">
        <f t="shared" si="128"/>
        <v>0</v>
      </c>
      <c r="AO145" s="252">
        <f t="shared" si="128"/>
        <v>0</v>
      </c>
      <c r="AP145" s="252">
        <f t="shared" si="128"/>
        <v>0</v>
      </c>
      <c r="AQ145" s="252">
        <f t="shared" si="128"/>
        <v>0</v>
      </c>
      <c r="AR145" s="252">
        <f t="shared" si="128"/>
        <v>0</v>
      </c>
      <c r="AS145" s="252">
        <f t="shared" si="128"/>
        <v>0</v>
      </c>
      <c r="AT145" s="252">
        <f t="shared" si="128"/>
        <v>0</v>
      </c>
      <c r="AU145" s="252">
        <f t="shared" si="128"/>
        <v>0</v>
      </c>
      <c r="AV145" s="252">
        <f t="shared" si="128"/>
        <v>0</v>
      </c>
      <c r="AW145" s="252">
        <f t="shared" si="128"/>
        <v>0</v>
      </c>
      <c r="AX145" s="252">
        <f t="shared" si="128"/>
        <v>0</v>
      </c>
      <c r="AY145" s="252">
        <f t="shared" si="128"/>
        <v>0</v>
      </c>
      <c r="AZ145" s="252">
        <f t="shared" si="128"/>
        <v>0</v>
      </c>
      <c r="BA145" s="252">
        <f t="shared" si="128"/>
        <v>0</v>
      </c>
      <c r="BB145" s="252">
        <f t="shared" si="128"/>
        <v>0</v>
      </c>
    </row>
    <row r="146" ht="15.75" customHeight="1">
      <c r="A146" s="742">
        <v>2010.0</v>
      </c>
      <c r="B146" s="38"/>
      <c r="C146" s="38"/>
      <c r="D146" s="38"/>
      <c r="E146" s="38"/>
      <c r="F146" s="38"/>
      <c r="G146" s="38"/>
      <c r="H146" s="38"/>
      <c r="I146" s="38"/>
      <c r="J146" s="38"/>
      <c r="K146" s="38"/>
      <c r="L146" s="38"/>
      <c r="M146" s="38"/>
      <c r="N146" s="38"/>
      <c r="O146" s="38"/>
      <c r="P146" s="38"/>
      <c r="Q146" s="38"/>
      <c r="R146" s="38"/>
      <c r="S146" s="38"/>
      <c r="T146" s="38"/>
      <c r="U146" s="38"/>
      <c r="V146" s="770">
        <v>1427.2</v>
      </c>
      <c r="W146" s="252">
        <f t="shared" si="49"/>
        <v>0</v>
      </c>
      <c r="X146" s="252">
        <f t="shared" ref="X146:BB146" si="129">IF(AND(X$190-$A146&gt;$V$44,SUM($W146:W146)&lt;&gt;$V146),$V146,0)</f>
        <v>0</v>
      </c>
      <c r="Y146" s="252">
        <f t="shared" si="129"/>
        <v>0</v>
      </c>
      <c r="Z146" s="252">
        <f t="shared" si="129"/>
        <v>0</v>
      </c>
      <c r="AA146" s="252">
        <f t="shared" si="129"/>
        <v>0</v>
      </c>
      <c r="AB146" s="252">
        <f t="shared" si="129"/>
        <v>0</v>
      </c>
      <c r="AC146" s="252">
        <f t="shared" si="129"/>
        <v>0</v>
      </c>
      <c r="AD146" s="252">
        <f t="shared" si="129"/>
        <v>0</v>
      </c>
      <c r="AE146" s="252">
        <f t="shared" si="129"/>
        <v>0</v>
      </c>
      <c r="AF146" s="252">
        <f t="shared" si="129"/>
        <v>0</v>
      </c>
      <c r="AG146" s="252">
        <f t="shared" si="129"/>
        <v>0</v>
      </c>
      <c r="AH146" s="252">
        <f t="shared" si="129"/>
        <v>0</v>
      </c>
      <c r="AI146" s="252">
        <f t="shared" si="129"/>
        <v>0</v>
      </c>
      <c r="AJ146" s="252">
        <f t="shared" si="129"/>
        <v>0</v>
      </c>
      <c r="AK146" s="252">
        <f t="shared" si="129"/>
        <v>0</v>
      </c>
      <c r="AL146" s="252">
        <f t="shared" si="129"/>
        <v>0</v>
      </c>
      <c r="AM146" s="252">
        <f t="shared" si="129"/>
        <v>0</v>
      </c>
      <c r="AN146" s="252">
        <f t="shared" si="129"/>
        <v>0</v>
      </c>
      <c r="AO146" s="252">
        <f t="shared" si="129"/>
        <v>0</v>
      </c>
      <c r="AP146" s="252">
        <f t="shared" si="129"/>
        <v>0</v>
      </c>
      <c r="AQ146" s="252">
        <f t="shared" si="129"/>
        <v>0</v>
      </c>
      <c r="AR146" s="252">
        <f t="shared" si="129"/>
        <v>0</v>
      </c>
      <c r="AS146" s="252">
        <f t="shared" si="129"/>
        <v>0</v>
      </c>
      <c r="AT146" s="252">
        <f t="shared" si="129"/>
        <v>0</v>
      </c>
      <c r="AU146" s="252">
        <f t="shared" si="129"/>
        <v>0</v>
      </c>
      <c r="AV146" s="252">
        <f t="shared" si="129"/>
        <v>1427.2</v>
      </c>
      <c r="AW146" s="252">
        <f t="shared" si="129"/>
        <v>0</v>
      </c>
      <c r="AX146" s="252">
        <f t="shared" si="129"/>
        <v>0</v>
      </c>
      <c r="AY146" s="252">
        <f t="shared" si="129"/>
        <v>0</v>
      </c>
      <c r="AZ146" s="252">
        <f t="shared" si="129"/>
        <v>0</v>
      </c>
      <c r="BA146" s="252">
        <f t="shared" si="129"/>
        <v>0</v>
      </c>
      <c r="BB146" s="252">
        <f t="shared" si="129"/>
        <v>0</v>
      </c>
    </row>
    <row r="147" ht="15.75" customHeight="1">
      <c r="A147" s="742">
        <v>2011.0</v>
      </c>
      <c r="B147" s="38"/>
      <c r="C147" s="38"/>
      <c r="D147" s="38"/>
      <c r="E147" s="38"/>
      <c r="F147" s="38"/>
      <c r="G147" s="38"/>
      <c r="H147" s="38"/>
      <c r="I147" s="38"/>
      <c r="J147" s="38"/>
      <c r="K147" s="38"/>
      <c r="L147" s="38"/>
      <c r="M147" s="38"/>
      <c r="N147" s="38"/>
      <c r="O147" s="38"/>
      <c r="P147" s="38"/>
      <c r="Q147" s="38"/>
      <c r="R147" s="38"/>
      <c r="S147" s="38"/>
      <c r="T147" s="38"/>
      <c r="U147" s="38"/>
      <c r="V147" s="770">
        <v>2191.4</v>
      </c>
      <c r="W147" s="252">
        <f t="shared" si="49"/>
        <v>0</v>
      </c>
      <c r="X147" s="252">
        <f t="shared" ref="X147:BB147" si="130">IF(AND(X$190-$A147&gt;$V$44,SUM($W147:W147)&lt;&gt;$V147),$V147,0)</f>
        <v>0</v>
      </c>
      <c r="Y147" s="252">
        <f t="shared" si="130"/>
        <v>0</v>
      </c>
      <c r="Z147" s="252">
        <f t="shared" si="130"/>
        <v>0</v>
      </c>
      <c r="AA147" s="252">
        <f t="shared" si="130"/>
        <v>0</v>
      </c>
      <c r="AB147" s="252">
        <f t="shared" si="130"/>
        <v>0</v>
      </c>
      <c r="AC147" s="252">
        <f t="shared" si="130"/>
        <v>0</v>
      </c>
      <c r="AD147" s="252">
        <f t="shared" si="130"/>
        <v>0</v>
      </c>
      <c r="AE147" s="252">
        <f t="shared" si="130"/>
        <v>0</v>
      </c>
      <c r="AF147" s="252">
        <f t="shared" si="130"/>
        <v>0</v>
      </c>
      <c r="AG147" s="252">
        <f t="shared" si="130"/>
        <v>0</v>
      </c>
      <c r="AH147" s="252">
        <f t="shared" si="130"/>
        <v>0</v>
      </c>
      <c r="AI147" s="252">
        <f t="shared" si="130"/>
        <v>0</v>
      </c>
      <c r="AJ147" s="252">
        <f t="shared" si="130"/>
        <v>0</v>
      </c>
      <c r="AK147" s="252">
        <f t="shared" si="130"/>
        <v>0</v>
      </c>
      <c r="AL147" s="252">
        <f t="shared" si="130"/>
        <v>0</v>
      </c>
      <c r="AM147" s="252">
        <f t="shared" si="130"/>
        <v>0</v>
      </c>
      <c r="AN147" s="252">
        <f t="shared" si="130"/>
        <v>0</v>
      </c>
      <c r="AO147" s="252">
        <f t="shared" si="130"/>
        <v>0</v>
      </c>
      <c r="AP147" s="252">
        <f t="shared" si="130"/>
        <v>0</v>
      </c>
      <c r="AQ147" s="252">
        <f t="shared" si="130"/>
        <v>0</v>
      </c>
      <c r="AR147" s="252">
        <f t="shared" si="130"/>
        <v>0</v>
      </c>
      <c r="AS147" s="252">
        <f t="shared" si="130"/>
        <v>0</v>
      </c>
      <c r="AT147" s="252">
        <f t="shared" si="130"/>
        <v>0</v>
      </c>
      <c r="AU147" s="252">
        <f t="shared" si="130"/>
        <v>0</v>
      </c>
      <c r="AV147" s="252">
        <f t="shared" si="130"/>
        <v>0</v>
      </c>
      <c r="AW147" s="252">
        <f t="shared" si="130"/>
        <v>2191.4</v>
      </c>
      <c r="AX147" s="252">
        <f t="shared" si="130"/>
        <v>0</v>
      </c>
      <c r="AY147" s="252">
        <f t="shared" si="130"/>
        <v>0</v>
      </c>
      <c r="AZ147" s="252">
        <f t="shared" si="130"/>
        <v>0</v>
      </c>
      <c r="BA147" s="252">
        <f t="shared" si="130"/>
        <v>0</v>
      </c>
      <c r="BB147" s="252">
        <f t="shared" si="130"/>
        <v>0</v>
      </c>
    </row>
    <row r="148" ht="15.75" customHeight="1">
      <c r="A148" s="742">
        <v>2012.0</v>
      </c>
      <c r="B148" s="38"/>
      <c r="C148" s="38"/>
      <c r="D148" s="38"/>
      <c r="E148" s="38"/>
      <c r="F148" s="38"/>
      <c r="G148" s="38"/>
      <c r="H148" s="38"/>
      <c r="I148" s="38"/>
      <c r="J148" s="38"/>
      <c r="K148" s="38"/>
      <c r="L148" s="38"/>
      <c r="M148" s="38"/>
      <c r="N148" s="38"/>
      <c r="O148" s="38"/>
      <c r="P148" s="38"/>
      <c r="Q148" s="38"/>
      <c r="R148" s="38"/>
      <c r="S148" s="38"/>
      <c r="T148" s="38"/>
      <c r="U148" s="38"/>
      <c r="V148" s="770">
        <v>4461.8</v>
      </c>
      <c r="W148" s="252">
        <f t="shared" si="49"/>
        <v>0</v>
      </c>
      <c r="X148" s="252">
        <f t="shared" ref="X148:BB148" si="131">IF(AND(X$190-$A148&gt;$V$44,SUM($W148:W148)&lt;&gt;$V148),$V148,0)</f>
        <v>0</v>
      </c>
      <c r="Y148" s="252">
        <f t="shared" si="131"/>
        <v>0</v>
      </c>
      <c r="Z148" s="252">
        <f t="shared" si="131"/>
        <v>0</v>
      </c>
      <c r="AA148" s="252">
        <f t="shared" si="131"/>
        <v>0</v>
      </c>
      <c r="AB148" s="252">
        <f t="shared" si="131"/>
        <v>0</v>
      </c>
      <c r="AC148" s="252">
        <f t="shared" si="131"/>
        <v>0</v>
      </c>
      <c r="AD148" s="252">
        <f t="shared" si="131"/>
        <v>0</v>
      </c>
      <c r="AE148" s="252">
        <f t="shared" si="131"/>
        <v>0</v>
      </c>
      <c r="AF148" s="252">
        <f t="shared" si="131"/>
        <v>0</v>
      </c>
      <c r="AG148" s="252">
        <f t="shared" si="131"/>
        <v>0</v>
      </c>
      <c r="AH148" s="252">
        <f t="shared" si="131"/>
        <v>0</v>
      </c>
      <c r="AI148" s="252">
        <f t="shared" si="131"/>
        <v>0</v>
      </c>
      <c r="AJ148" s="252">
        <f t="shared" si="131"/>
        <v>0</v>
      </c>
      <c r="AK148" s="252">
        <f t="shared" si="131"/>
        <v>0</v>
      </c>
      <c r="AL148" s="252">
        <f t="shared" si="131"/>
        <v>0</v>
      </c>
      <c r="AM148" s="252">
        <f t="shared" si="131"/>
        <v>0</v>
      </c>
      <c r="AN148" s="252">
        <f t="shared" si="131"/>
        <v>0</v>
      </c>
      <c r="AO148" s="252">
        <f t="shared" si="131"/>
        <v>0</v>
      </c>
      <c r="AP148" s="252">
        <f t="shared" si="131"/>
        <v>0</v>
      </c>
      <c r="AQ148" s="252">
        <f t="shared" si="131"/>
        <v>0</v>
      </c>
      <c r="AR148" s="252">
        <f t="shared" si="131"/>
        <v>0</v>
      </c>
      <c r="AS148" s="252">
        <f t="shared" si="131"/>
        <v>0</v>
      </c>
      <c r="AT148" s="252">
        <f t="shared" si="131"/>
        <v>0</v>
      </c>
      <c r="AU148" s="252">
        <f t="shared" si="131"/>
        <v>0</v>
      </c>
      <c r="AV148" s="252">
        <f t="shared" si="131"/>
        <v>0</v>
      </c>
      <c r="AW148" s="252">
        <f t="shared" si="131"/>
        <v>0</v>
      </c>
      <c r="AX148" s="252">
        <f t="shared" si="131"/>
        <v>4461.8</v>
      </c>
      <c r="AY148" s="252">
        <f t="shared" si="131"/>
        <v>0</v>
      </c>
      <c r="AZ148" s="252">
        <f t="shared" si="131"/>
        <v>0</v>
      </c>
      <c r="BA148" s="252">
        <f t="shared" si="131"/>
        <v>0</v>
      </c>
      <c r="BB148" s="252">
        <f t="shared" si="131"/>
        <v>0</v>
      </c>
    </row>
    <row r="149" ht="15.75" customHeight="1">
      <c r="A149" s="742">
        <v>2013.0</v>
      </c>
      <c r="B149" s="38"/>
      <c r="C149" s="38"/>
      <c r="D149" s="38"/>
      <c r="E149" s="38"/>
      <c r="F149" s="38"/>
      <c r="G149" s="38"/>
      <c r="H149" s="38"/>
      <c r="I149" s="38"/>
      <c r="J149" s="38"/>
      <c r="K149" s="38"/>
      <c r="L149" s="38"/>
      <c r="M149" s="38"/>
      <c r="N149" s="38"/>
      <c r="O149" s="38"/>
      <c r="P149" s="38"/>
      <c r="Q149" s="38"/>
      <c r="R149" s="38"/>
      <c r="S149" s="38"/>
      <c r="T149" s="38"/>
      <c r="U149" s="38"/>
      <c r="V149" s="770">
        <v>730.0</v>
      </c>
      <c r="W149" s="252">
        <f t="shared" si="49"/>
        <v>0</v>
      </c>
      <c r="X149" s="252">
        <f t="shared" ref="X149:BB149" si="132">IF(AND(X$190-$A149&gt;$V$44,SUM($W149:W149)&lt;&gt;$V149),$V149,0)</f>
        <v>0</v>
      </c>
      <c r="Y149" s="252">
        <f t="shared" si="132"/>
        <v>0</v>
      </c>
      <c r="Z149" s="252">
        <f t="shared" si="132"/>
        <v>0</v>
      </c>
      <c r="AA149" s="252">
        <f t="shared" si="132"/>
        <v>0</v>
      </c>
      <c r="AB149" s="252">
        <f t="shared" si="132"/>
        <v>0</v>
      </c>
      <c r="AC149" s="252">
        <f t="shared" si="132"/>
        <v>0</v>
      </c>
      <c r="AD149" s="252">
        <f t="shared" si="132"/>
        <v>0</v>
      </c>
      <c r="AE149" s="252">
        <f t="shared" si="132"/>
        <v>0</v>
      </c>
      <c r="AF149" s="252">
        <f t="shared" si="132"/>
        <v>0</v>
      </c>
      <c r="AG149" s="252">
        <f t="shared" si="132"/>
        <v>0</v>
      </c>
      <c r="AH149" s="252">
        <f t="shared" si="132"/>
        <v>0</v>
      </c>
      <c r="AI149" s="252">
        <f t="shared" si="132"/>
        <v>0</v>
      </c>
      <c r="AJ149" s="252">
        <f t="shared" si="132"/>
        <v>0</v>
      </c>
      <c r="AK149" s="252">
        <f t="shared" si="132"/>
        <v>0</v>
      </c>
      <c r="AL149" s="252">
        <f t="shared" si="132"/>
        <v>0</v>
      </c>
      <c r="AM149" s="252">
        <f t="shared" si="132"/>
        <v>0</v>
      </c>
      <c r="AN149" s="252">
        <f t="shared" si="132"/>
        <v>0</v>
      </c>
      <c r="AO149" s="252">
        <f t="shared" si="132"/>
        <v>0</v>
      </c>
      <c r="AP149" s="252">
        <f t="shared" si="132"/>
        <v>0</v>
      </c>
      <c r="AQ149" s="252">
        <f t="shared" si="132"/>
        <v>0</v>
      </c>
      <c r="AR149" s="252">
        <f t="shared" si="132"/>
        <v>0</v>
      </c>
      <c r="AS149" s="252">
        <f t="shared" si="132"/>
        <v>0</v>
      </c>
      <c r="AT149" s="252">
        <f t="shared" si="132"/>
        <v>0</v>
      </c>
      <c r="AU149" s="252">
        <f t="shared" si="132"/>
        <v>0</v>
      </c>
      <c r="AV149" s="252">
        <f t="shared" si="132"/>
        <v>0</v>
      </c>
      <c r="AW149" s="252">
        <f t="shared" si="132"/>
        <v>0</v>
      </c>
      <c r="AX149" s="252">
        <f t="shared" si="132"/>
        <v>0</v>
      </c>
      <c r="AY149" s="252">
        <f t="shared" si="132"/>
        <v>730</v>
      </c>
      <c r="AZ149" s="252">
        <f t="shared" si="132"/>
        <v>0</v>
      </c>
      <c r="BA149" s="252">
        <f t="shared" si="132"/>
        <v>0</v>
      </c>
      <c r="BB149" s="252">
        <f t="shared" si="132"/>
        <v>0</v>
      </c>
    </row>
    <row r="150" ht="15.75" customHeight="1">
      <c r="A150" s="742">
        <v>2014.0</v>
      </c>
      <c r="B150" s="38"/>
      <c r="C150" s="38"/>
      <c r="D150" s="38"/>
      <c r="E150" s="38"/>
      <c r="F150" s="38"/>
      <c r="G150" s="38"/>
      <c r="H150" s="38"/>
      <c r="I150" s="38"/>
      <c r="J150" s="38"/>
      <c r="K150" s="38"/>
      <c r="L150" s="38"/>
      <c r="M150" s="38"/>
      <c r="N150" s="38"/>
      <c r="O150" s="38"/>
      <c r="P150" s="38"/>
      <c r="Q150" s="38"/>
      <c r="R150" s="38"/>
      <c r="S150" s="38"/>
      <c r="T150" s="38"/>
      <c r="U150" s="38"/>
      <c r="V150" s="770">
        <v>840.0</v>
      </c>
      <c r="W150" s="252">
        <f t="shared" si="49"/>
        <v>0</v>
      </c>
      <c r="X150" s="252">
        <f t="shared" ref="X150:BB150" si="133">IF(AND(X$190-$A150&gt;$V$44,SUM($W150:W150)&lt;&gt;$V150),$V150,0)</f>
        <v>0</v>
      </c>
      <c r="Y150" s="252">
        <f t="shared" si="133"/>
        <v>0</v>
      </c>
      <c r="Z150" s="252">
        <f t="shared" si="133"/>
        <v>0</v>
      </c>
      <c r="AA150" s="252">
        <f t="shared" si="133"/>
        <v>0</v>
      </c>
      <c r="AB150" s="252">
        <f t="shared" si="133"/>
        <v>0</v>
      </c>
      <c r="AC150" s="252">
        <f t="shared" si="133"/>
        <v>0</v>
      </c>
      <c r="AD150" s="252">
        <f t="shared" si="133"/>
        <v>0</v>
      </c>
      <c r="AE150" s="252">
        <f t="shared" si="133"/>
        <v>0</v>
      </c>
      <c r="AF150" s="252">
        <f t="shared" si="133"/>
        <v>0</v>
      </c>
      <c r="AG150" s="252">
        <f t="shared" si="133"/>
        <v>0</v>
      </c>
      <c r="AH150" s="252">
        <f t="shared" si="133"/>
        <v>0</v>
      </c>
      <c r="AI150" s="252">
        <f t="shared" si="133"/>
        <v>0</v>
      </c>
      <c r="AJ150" s="252">
        <f t="shared" si="133"/>
        <v>0</v>
      </c>
      <c r="AK150" s="252">
        <f t="shared" si="133"/>
        <v>0</v>
      </c>
      <c r="AL150" s="252">
        <f t="shared" si="133"/>
        <v>0</v>
      </c>
      <c r="AM150" s="252">
        <f t="shared" si="133"/>
        <v>0</v>
      </c>
      <c r="AN150" s="252">
        <f t="shared" si="133"/>
        <v>0</v>
      </c>
      <c r="AO150" s="252">
        <f t="shared" si="133"/>
        <v>0</v>
      </c>
      <c r="AP150" s="252">
        <f t="shared" si="133"/>
        <v>0</v>
      </c>
      <c r="AQ150" s="252">
        <f t="shared" si="133"/>
        <v>0</v>
      </c>
      <c r="AR150" s="252">
        <f t="shared" si="133"/>
        <v>0</v>
      </c>
      <c r="AS150" s="252">
        <f t="shared" si="133"/>
        <v>0</v>
      </c>
      <c r="AT150" s="252">
        <f t="shared" si="133"/>
        <v>0</v>
      </c>
      <c r="AU150" s="252">
        <f t="shared" si="133"/>
        <v>0</v>
      </c>
      <c r="AV150" s="252">
        <f t="shared" si="133"/>
        <v>0</v>
      </c>
      <c r="AW150" s="252">
        <f t="shared" si="133"/>
        <v>0</v>
      </c>
      <c r="AX150" s="252">
        <f t="shared" si="133"/>
        <v>0</v>
      </c>
      <c r="AY150" s="252">
        <f t="shared" si="133"/>
        <v>0</v>
      </c>
      <c r="AZ150" s="252">
        <f t="shared" si="133"/>
        <v>840</v>
      </c>
      <c r="BA150" s="252">
        <f t="shared" si="133"/>
        <v>0</v>
      </c>
      <c r="BB150" s="252">
        <f t="shared" si="133"/>
        <v>0</v>
      </c>
    </row>
    <row r="151" ht="15.75" customHeight="1">
      <c r="A151" s="742">
        <v>2015.0</v>
      </c>
      <c r="B151" s="38"/>
      <c r="C151" s="38"/>
      <c r="D151" s="38"/>
      <c r="E151" s="38"/>
      <c r="F151" s="38"/>
      <c r="G151" s="38"/>
      <c r="H151" s="38"/>
      <c r="I151" s="38"/>
      <c r="J151" s="38"/>
      <c r="K151" s="38"/>
      <c r="L151" s="38"/>
      <c r="M151" s="38"/>
      <c r="N151" s="38"/>
      <c r="O151" s="38"/>
      <c r="P151" s="38"/>
      <c r="Q151" s="38"/>
      <c r="R151" s="38"/>
      <c r="S151" s="38"/>
      <c r="T151" s="38"/>
      <c r="U151" s="38"/>
      <c r="V151" s="770">
        <v>0.0</v>
      </c>
      <c r="W151" s="252">
        <f t="shared" si="49"/>
        <v>0</v>
      </c>
      <c r="X151" s="252">
        <f t="shared" ref="X151:BB151" si="134">IF(AND(X$190-$A151&gt;$V$44,SUM($W151:W151)&lt;&gt;$V151),$V151,0)</f>
        <v>0</v>
      </c>
      <c r="Y151" s="252">
        <f t="shared" si="134"/>
        <v>0</v>
      </c>
      <c r="Z151" s="252">
        <f t="shared" si="134"/>
        <v>0</v>
      </c>
      <c r="AA151" s="252">
        <f t="shared" si="134"/>
        <v>0</v>
      </c>
      <c r="AB151" s="252">
        <f t="shared" si="134"/>
        <v>0</v>
      </c>
      <c r="AC151" s="252">
        <f t="shared" si="134"/>
        <v>0</v>
      </c>
      <c r="AD151" s="252">
        <f t="shared" si="134"/>
        <v>0</v>
      </c>
      <c r="AE151" s="252">
        <f t="shared" si="134"/>
        <v>0</v>
      </c>
      <c r="AF151" s="252">
        <f t="shared" si="134"/>
        <v>0</v>
      </c>
      <c r="AG151" s="252">
        <f t="shared" si="134"/>
        <v>0</v>
      </c>
      <c r="AH151" s="252">
        <f t="shared" si="134"/>
        <v>0</v>
      </c>
      <c r="AI151" s="252">
        <f t="shared" si="134"/>
        <v>0</v>
      </c>
      <c r="AJ151" s="252">
        <f t="shared" si="134"/>
        <v>0</v>
      </c>
      <c r="AK151" s="252">
        <f t="shared" si="134"/>
        <v>0</v>
      </c>
      <c r="AL151" s="252">
        <f t="shared" si="134"/>
        <v>0</v>
      </c>
      <c r="AM151" s="252">
        <f t="shared" si="134"/>
        <v>0</v>
      </c>
      <c r="AN151" s="252">
        <f t="shared" si="134"/>
        <v>0</v>
      </c>
      <c r="AO151" s="252">
        <f t="shared" si="134"/>
        <v>0</v>
      </c>
      <c r="AP151" s="252">
        <f t="shared" si="134"/>
        <v>0</v>
      </c>
      <c r="AQ151" s="252">
        <f t="shared" si="134"/>
        <v>0</v>
      </c>
      <c r="AR151" s="252">
        <f t="shared" si="134"/>
        <v>0</v>
      </c>
      <c r="AS151" s="252">
        <f t="shared" si="134"/>
        <v>0</v>
      </c>
      <c r="AT151" s="252">
        <f t="shared" si="134"/>
        <v>0</v>
      </c>
      <c r="AU151" s="252">
        <f t="shared" si="134"/>
        <v>0</v>
      </c>
      <c r="AV151" s="252">
        <f t="shared" si="134"/>
        <v>0</v>
      </c>
      <c r="AW151" s="252">
        <f t="shared" si="134"/>
        <v>0</v>
      </c>
      <c r="AX151" s="252">
        <f t="shared" si="134"/>
        <v>0</v>
      </c>
      <c r="AY151" s="252">
        <f t="shared" si="134"/>
        <v>0</v>
      </c>
      <c r="AZ151" s="252">
        <f t="shared" si="134"/>
        <v>0</v>
      </c>
      <c r="BA151" s="252">
        <f t="shared" si="134"/>
        <v>0</v>
      </c>
      <c r="BB151" s="252">
        <f t="shared" si="134"/>
        <v>0</v>
      </c>
    </row>
    <row r="152" ht="15.75" customHeight="1">
      <c r="A152" s="742">
        <v>2016.0</v>
      </c>
      <c r="B152" s="38"/>
      <c r="C152" s="38"/>
      <c r="D152" s="38"/>
      <c r="E152" s="38"/>
      <c r="F152" s="38"/>
      <c r="G152" s="38"/>
      <c r="H152" s="38"/>
      <c r="I152" s="38"/>
      <c r="J152" s="38"/>
      <c r="K152" s="38"/>
      <c r="L152" s="38"/>
      <c r="M152" s="38"/>
      <c r="N152" s="38"/>
      <c r="O152" s="38"/>
      <c r="P152" s="38"/>
      <c r="Q152" s="38"/>
      <c r="R152" s="38"/>
      <c r="S152" s="38"/>
      <c r="T152" s="38"/>
      <c r="U152" s="38"/>
      <c r="V152" s="770">
        <v>0.0</v>
      </c>
      <c r="W152" s="252">
        <f t="shared" si="49"/>
        <v>0</v>
      </c>
      <c r="X152" s="252">
        <f t="shared" ref="X152:BB152" si="135">IF(AND(X$190-$A152&gt;$V$44,SUM($W152:W152)&lt;&gt;$V152),$V152,0)</f>
        <v>0</v>
      </c>
      <c r="Y152" s="252">
        <f t="shared" si="135"/>
        <v>0</v>
      </c>
      <c r="Z152" s="252">
        <f t="shared" si="135"/>
        <v>0</v>
      </c>
      <c r="AA152" s="252">
        <f t="shared" si="135"/>
        <v>0</v>
      </c>
      <c r="AB152" s="252">
        <f t="shared" si="135"/>
        <v>0</v>
      </c>
      <c r="AC152" s="252">
        <f t="shared" si="135"/>
        <v>0</v>
      </c>
      <c r="AD152" s="252">
        <f t="shared" si="135"/>
        <v>0</v>
      </c>
      <c r="AE152" s="252">
        <f t="shared" si="135"/>
        <v>0</v>
      </c>
      <c r="AF152" s="252">
        <f t="shared" si="135"/>
        <v>0</v>
      </c>
      <c r="AG152" s="252">
        <f t="shared" si="135"/>
        <v>0</v>
      </c>
      <c r="AH152" s="252">
        <f t="shared" si="135"/>
        <v>0</v>
      </c>
      <c r="AI152" s="252">
        <f t="shared" si="135"/>
        <v>0</v>
      </c>
      <c r="AJ152" s="252">
        <f t="shared" si="135"/>
        <v>0</v>
      </c>
      <c r="AK152" s="252">
        <f t="shared" si="135"/>
        <v>0</v>
      </c>
      <c r="AL152" s="252">
        <f t="shared" si="135"/>
        <v>0</v>
      </c>
      <c r="AM152" s="252">
        <f t="shared" si="135"/>
        <v>0</v>
      </c>
      <c r="AN152" s="252">
        <f t="shared" si="135"/>
        <v>0</v>
      </c>
      <c r="AO152" s="252">
        <f t="shared" si="135"/>
        <v>0</v>
      </c>
      <c r="AP152" s="252">
        <f t="shared" si="135"/>
        <v>0</v>
      </c>
      <c r="AQ152" s="252">
        <f t="shared" si="135"/>
        <v>0</v>
      </c>
      <c r="AR152" s="252">
        <f t="shared" si="135"/>
        <v>0</v>
      </c>
      <c r="AS152" s="252">
        <f t="shared" si="135"/>
        <v>0</v>
      </c>
      <c r="AT152" s="252">
        <f t="shared" si="135"/>
        <v>0</v>
      </c>
      <c r="AU152" s="252">
        <f t="shared" si="135"/>
        <v>0</v>
      </c>
      <c r="AV152" s="252">
        <f t="shared" si="135"/>
        <v>0</v>
      </c>
      <c r="AW152" s="252">
        <f t="shared" si="135"/>
        <v>0</v>
      </c>
      <c r="AX152" s="252">
        <f t="shared" si="135"/>
        <v>0</v>
      </c>
      <c r="AY152" s="252">
        <f t="shared" si="135"/>
        <v>0</v>
      </c>
      <c r="AZ152" s="252">
        <f t="shared" si="135"/>
        <v>0</v>
      </c>
      <c r="BA152" s="252">
        <f t="shared" si="135"/>
        <v>0</v>
      </c>
      <c r="BB152" s="252">
        <f t="shared" si="135"/>
        <v>0</v>
      </c>
    </row>
    <row r="153" ht="15.75" customHeight="1">
      <c r="A153" s="742">
        <v>2017.0</v>
      </c>
      <c r="B153" s="38"/>
      <c r="C153" s="38"/>
      <c r="D153" s="38"/>
      <c r="E153" s="38"/>
      <c r="F153" s="38"/>
      <c r="G153" s="38"/>
      <c r="H153" s="38"/>
      <c r="I153" s="38"/>
      <c r="J153" s="38"/>
      <c r="K153" s="38"/>
      <c r="L153" s="38"/>
      <c r="M153" s="38"/>
      <c r="N153" s="38"/>
      <c r="O153" s="38"/>
      <c r="P153" s="38"/>
      <c r="Q153" s="38"/>
      <c r="R153" s="38"/>
      <c r="S153" s="38"/>
      <c r="T153" s="38"/>
      <c r="U153" s="38"/>
      <c r="V153" s="770">
        <v>0.0</v>
      </c>
      <c r="W153" s="252">
        <f t="shared" si="49"/>
        <v>0</v>
      </c>
      <c r="X153" s="252">
        <f t="shared" ref="X153:BB153" si="136">IF(AND(X$190-$A153&gt;$V$44,SUM($W153:W153)&lt;&gt;$V153),$V153,0)</f>
        <v>0</v>
      </c>
      <c r="Y153" s="252">
        <f t="shared" si="136"/>
        <v>0</v>
      </c>
      <c r="Z153" s="252">
        <f t="shared" si="136"/>
        <v>0</v>
      </c>
      <c r="AA153" s="252">
        <f t="shared" si="136"/>
        <v>0</v>
      </c>
      <c r="AB153" s="252">
        <f t="shared" si="136"/>
        <v>0</v>
      </c>
      <c r="AC153" s="252">
        <f t="shared" si="136"/>
        <v>0</v>
      </c>
      <c r="AD153" s="252">
        <f t="shared" si="136"/>
        <v>0</v>
      </c>
      <c r="AE153" s="252">
        <f t="shared" si="136"/>
        <v>0</v>
      </c>
      <c r="AF153" s="252">
        <f t="shared" si="136"/>
        <v>0</v>
      </c>
      <c r="AG153" s="252">
        <f t="shared" si="136"/>
        <v>0</v>
      </c>
      <c r="AH153" s="252">
        <f t="shared" si="136"/>
        <v>0</v>
      </c>
      <c r="AI153" s="252">
        <f t="shared" si="136"/>
        <v>0</v>
      </c>
      <c r="AJ153" s="252">
        <f t="shared" si="136"/>
        <v>0</v>
      </c>
      <c r="AK153" s="252">
        <f t="shared" si="136"/>
        <v>0</v>
      </c>
      <c r="AL153" s="252">
        <f t="shared" si="136"/>
        <v>0</v>
      </c>
      <c r="AM153" s="252">
        <f t="shared" si="136"/>
        <v>0</v>
      </c>
      <c r="AN153" s="252">
        <f t="shared" si="136"/>
        <v>0</v>
      </c>
      <c r="AO153" s="252">
        <f t="shared" si="136"/>
        <v>0</v>
      </c>
      <c r="AP153" s="252">
        <f t="shared" si="136"/>
        <v>0</v>
      </c>
      <c r="AQ153" s="252">
        <f t="shared" si="136"/>
        <v>0</v>
      </c>
      <c r="AR153" s="252">
        <f t="shared" si="136"/>
        <v>0</v>
      </c>
      <c r="AS153" s="252">
        <f t="shared" si="136"/>
        <v>0</v>
      </c>
      <c r="AT153" s="252">
        <f t="shared" si="136"/>
        <v>0</v>
      </c>
      <c r="AU153" s="252">
        <f t="shared" si="136"/>
        <v>0</v>
      </c>
      <c r="AV153" s="252">
        <f t="shared" si="136"/>
        <v>0</v>
      </c>
      <c r="AW153" s="252">
        <f t="shared" si="136"/>
        <v>0</v>
      </c>
      <c r="AX153" s="252">
        <f t="shared" si="136"/>
        <v>0</v>
      </c>
      <c r="AY153" s="252">
        <f t="shared" si="136"/>
        <v>0</v>
      </c>
      <c r="AZ153" s="252">
        <f t="shared" si="136"/>
        <v>0</v>
      </c>
      <c r="BA153" s="252">
        <f t="shared" si="136"/>
        <v>0</v>
      </c>
      <c r="BB153" s="252">
        <f t="shared" si="136"/>
        <v>0</v>
      </c>
    </row>
    <row r="154" ht="15.75" customHeight="1">
      <c r="A154" s="742">
        <v>2018.0</v>
      </c>
      <c r="B154" s="38"/>
      <c r="C154" s="38"/>
      <c r="D154" s="38"/>
      <c r="E154" s="38"/>
      <c r="F154" s="38"/>
      <c r="G154" s="38"/>
      <c r="H154" s="38"/>
      <c r="I154" s="38"/>
      <c r="J154" s="38"/>
      <c r="K154" s="38"/>
      <c r="L154" s="38"/>
      <c r="M154" s="38"/>
      <c r="N154" s="38"/>
      <c r="O154" s="38"/>
      <c r="P154" s="38"/>
      <c r="Q154" s="38"/>
      <c r="R154" s="38"/>
      <c r="S154" s="38"/>
      <c r="T154" s="38"/>
      <c r="U154" s="38"/>
      <c r="V154" s="770">
        <v>2561.5</v>
      </c>
      <c r="W154" s="252">
        <f t="shared" si="49"/>
        <v>0</v>
      </c>
      <c r="X154" s="252">
        <f t="shared" ref="X154:BB154" si="137">IF(AND(X$190-$A154&gt;$V$44,SUM($W154:W154)&lt;&gt;$V154),$V154,0)</f>
        <v>0</v>
      </c>
      <c r="Y154" s="252">
        <f t="shared" si="137"/>
        <v>0</v>
      </c>
      <c r="Z154" s="252">
        <f t="shared" si="137"/>
        <v>0</v>
      </c>
      <c r="AA154" s="252">
        <f t="shared" si="137"/>
        <v>0</v>
      </c>
      <c r="AB154" s="252">
        <f t="shared" si="137"/>
        <v>0</v>
      </c>
      <c r="AC154" s="252">
        <f t="shared" si="137"/>
        <v>0</v>
      </c>
      <c r="AD154" s="252">
        <f t="shared" si="137"/>
        <v>0</v>
      </c>
      <c r="AE154" s="252">
        <f t="shared" si="137"/>
        <v>0</v>
      </c>
      <c r="AF154" s="252">
        <f t="shared" si="137"/>
        <v>0</v>
      </c>
      <c r="AG154" s="252">
        <f t="shared" si="137"/>
        <v>0</v>
      </c>
      <c r="AH154" s="252">
        <f t="shared" si="137"/>
        <v>0</v>
      </c>
      <c r="AI154" s="252">
        <f t="shared" si="137"/>
        <v>0</v>
      </c>
      <c r="AJ154" s="252">
        <f t="shared" si="137"/>
        <v>0</v>
      </c>
      <c r="AK154" s="252">
        <f t="shared" si="137"/>
        <v>0</v>
      </c>
      <c r="AL154" s="252">
        <f t="shared" si="137"/>
        <v>0</v>
      </c>
      <c r="AM154" s="252">
        <f t="shared" si="137"/>
        <v>0</v>
      </c>
      <c r="AN154" s="252">
        <f t="shared" si="137"/>
        <v>0</v>
      </c>
      <c r="AO154" s="252">
        <f t="shared" si="137"/>
        <v>0</v>
      </c>
      <c r="AP154" s="252">
        <f t="shared" si="137"/>
        <v>0</v>
      </c>
      <c r="AQ154" s="252">
        <f t="shared" si="137"/>
        <v>0</v>
      </c>
      <c r="AR154" s="252">
        <f t="shared" si="137"/>
        <v>0</v>
      </c>
      <c r="AS154" s="252">
        <f t="shared" si="137"/>
        <v>0</v>
      </c>
      <c r="AT154" s="252">
        <f t="shared" si="137"/>
        <v>0</v>
      </c>
      <c r="AU154" s="252">
        <f t="shared" si="137"/>
        <v>0</v>
      </c>
      <c r="AV154" s="252">
        <f t="shared" si="137"/>
        <v>0</v>
      </c>
      <c r="AW154" s="252">
        <f t="shared" si="137"/>
        <v>0</v>
      </c>
      <c r="AX154" s="252">
        <f t="shared" si="137"/>
        <v>0</v>
      </c>
      <c r="AY154" s="252">
        <f t="shared" si="137"/>
        <v>0</v>
      </c>
      <c r="AZ154" s="252">
        <f t="shared" si="137"/>
        <v>0</v>
      </c>
      <c r="BA154" s="252">
        <f t="shared" si="137"/>
        <v>0</v>
      </c>
      <c r="BB154" s="252">
        <f t="shared" si="137"/>
        <v>0</v>
      </c>
    </row>
    <row r="155" ht="15.75" customHeight="1">
      <c r="A155" s="742">
        <v>2019.0</v>
      </c>
      <c r="B155" s="38"/>
      <c r="C155" s="38"/>
      <c r="D155" s="38"/>
      <c r="E155" s="38"/>
      <c r="F155" s="38"/>
      <c r="G155" s="38"/>
      <c r="H155" s="38"/>
      <c r="I155" s="38"/>
      <c r="J155" s="38"/>
      <c r="K155" s="38"/>
      <c r="L155" s="38"/>
      <c r="M155" s="38"/>
      <c r="N155" s="38"/>
      <c r="O155" s="38"/>
      <c r="P155" s="38"/>
      <c r="Q155" s="38"/>
      <c r="R155" s="38"/>
      <c r="S155" s="38"/>
      <c r="T155" s="38"/>
      <c r="U155" s="38"/>
      <c r="V155" s="769">
        <v>0.0</v>
      </c>
      <c r="W155" s="746">
        <f t="shared" si="49"/>
        <v>0</v>
      </c>
      <c r="X155" s="746">
        <f t="shared" ref="X155:BB155" si="138">IF(AND(X$190-$A155&gt;$V$44,SUM($W155:W155)&lt;&gt;$V155),$V155,0)</f>
        <v>0</v>
      </c>
      <c r="Y155" s="746">
        <f t="shared" si="138"/>
        <v>0</v>
      </c>
      <c r="Z155" s="746">
        <f t="shared" si="138"/>
        <v>0</v>
      </c>
      <c r="AA155" s="746">
        <f t="shared" si="138"/>
        <v>0</v>
      </c>
      <c r="AB155" s="746">
        <f t="shared" si="138"/>
        <v>0</v>
      </c>
      <c r="AC155" s="746">
        <f t="shared" si="138"/>
        <v>0</v>
      </c>
      <c r="AD155" s="746">
        <f t="shared" si="138"/>
        <v>0</v>
      </c>
      <c r="AE155" s="746">
        <f t="shared" si="138"/>
        <v>0</v>
      </c>
      <c r="AF155" s="746">
        <f t="shared" si="138"/>
        <v>0</v>
      </c>
      <c r="AG155" s="746">
        <f t="shared" si="138"/>
        <v>0</v>
      </c>
      <c r="AH155" s="746">
        <f t="shared" si="138"/>
        <v>0</v>
      </c>
      <c r="AI155" s="746">
        <f t="shared" si="138"/>
        <v>0</v>
      </c>
      <c r="AJ155" s="746">
        <f t="shared" si="138"/>
        <v>0</v>
      </c>
      <c r="AK155" s="746">
        <f t="shared" si="138"/>
        <v>0</v>
      </c>
      <c r="AL155" s="746">
        <f t="shared" si="138"/>
        <v>0</v>
      </c>
      <c r="AM155" s="746">
        <f t="shared" si="138"/>
        <v>0</v>
      </c>
      <c r="AN155" s="746">
        <f t="shared" si="138"/>
        <v>0</v>
      </c>
      <c r="AO155" s="746">
        <f t="shared" si="138"/>
        <v>0</v>
      </c>
      <c r="AP155" s="746">
        <f t="shared" si="138"/>
        <v>0</v>
      </c>
      <c r="AQ155" s="746">
        <f t="shared" si="138"/>
        <v>0</v>
      </c>
      <c r="AR155" s="746">
        <f t="shared" si="138"/>
        <v>0</v>
      </c>
      <c r="AS155" s="746">
        <f t="shared" si="138"/>
        <v>0</v>
      </c>
      <c r="AT155" s="746">
        <f t="shared" si="138"/>
        <v>0</v>
      </c>
      <c r="AU155" s="746">
        <f t="shared" si="138"/>
        <v>0</v>
      </c>
      <c r="AV155" s="746">
        <f t="shared" si="138"/>
        <v>0</v>
      </c>
      <c r="AW155" s="746">
        <f t="shared" si="138"/>
        <v>0</v>
      </c>
      <c r="AX155" s="746">
        <f t="shared" si="138"/>
        <v>0</v>
      </c>
      <c r="AY155" s="746">
        <f t="shared" si="138"/>
        <v>0</v>
      </c>
      <c r="AZ155" s="746">
        <f t="shared" si="138"/>
        <v>0</v>
      </c>
      <c r="BA155" s="746">
        <f t="shared" si="138"/>
        <v>0</v>
      </c>
      <c r="BB155" s="746">
        <f t="shared" si="138"/>
        <v>0</v>
      </c>
    </row>
    <row r="156" ht="15.75" customHeight="1">
      <c r="A156" s="624">
        <v>2020.0</v>
      </c>
      <c r="B156" s="738"/>
      <c r="C156" s="738"/>
      <c r="D156" s="738"/>
      <c r="E156" s="738"/>
      <c r="F156" s="738"/>
      <c r="G156" s="738"/>
      <c r="H156" s="738"/>
      <c r="I156" s="738"/>
      <c r="J156" s="738"/>
      <c r="K156" s="738"/>
      <c r="L156" s="738"/>
      <c r="M156" s="738"/>
      <c r="N156" s="738"/>
      <c r="O156" s="738"/>
      <c r="P156" s="738"/>
      <c r="Q156" s="738"/>
      <c r="R156" s="738"/>
      <c r="S156" s="738"/>
      <c r="T156" s="738"/>
      <c r="U156" s="738"/>
      <c r="V156" s="252">
        <f t="array" ref="V156:V186">transpose(Model!W438:BA438)</f>
        <v>0</v>
      </c>
      <c r="W156" s="746">
        <f t="shared" si="49"/>
        <v>0</v>
      </c>
      <c r="X156" s="746">
        <f t="shared" ref="X156:BB156" si="139">IF(AND(X$190-$A156&gt;$V$44,SUM($W156:W156)&lt;&gt;$V156),$V156,0)</f>
        <v>0</v>
      </c>
      <c r="Y156" s="746">
        <f t="shared" si="139"/>
        <v>0</v>
      </c>
      <c r="Z156" s="746">
        <f t="shared" si="139"/>
        <v>0</v>
      </c>
      <c r="AA156" s="746">
        <f t="shared" si="139"/>
        <v>0</v>
      </c>
      <c r="AB156" s="746">
        <f t="shared" si="139"/>
        <v>0</v>
      </c>
      <c r="AC156" s="746">
        <f t="shared" si="139"/>
        <v>0</v>
      </c>
      <c r="AD156" s="746">
        <f t="shared" si="139"/>
        <v>0</v>
      </c>
      <c r="AE156" s="746">
        <f t="shared" si="139"/>
        <v>0</v>
      </c>
      <c r="AF156" s="746">
        <f t="shared" si="139"/>
        <v>0</v>
      </c>
      <c r="AG156" s="746">
        <f t="shared" si="139"/>
        <v>0</v>
      </c>
      <c r="AH156" s="746">
        <f t="shared" si="139"/>
        <v>0</v>
      </c>
      <c r="AI156" s="746">
        <f t="shared" si="139"/>
        <v>0</v>
      </c>
      <c r="AJ156" s="746">
        <f t="shared" si="139"/>
        <v>0</v>
      </c>
      <c r="AK156" s="746">
        <f t="shared" si="139"/>
        <v>0</v>
      </c>
      <c r="AL156" s="746">
        <f t="shared" si="139"/>
        <v>0</v>
      </c>
      <c r="AM156" s="746">
        <f t="shared" si="139"/>
        <v>0</v>
      </c>
      <c r="AN156" s="746">
        <f t="shared" si="139"/>
        <v>0</v>
      </c>
      <c r="AO156" s="746">
        <f t="shared" si="139"/>
        <v>0</v>
      </c>
      <c r="AP156" s="746">
        <f t="shared" si="139"/>
        <v>0</v>
      </c>
      <c r="AQ156" s="746">
        <f t="shared" si="139"/>
        <v>0</v>
      </c>
      <c r="AR156" s="746">
        <f t="shared" si="139"/>
        <v>0</v>
      </c>
      <c r="AS156" s="746">
        <f t="shared" si="139"/>
        <v>0</v>
      </c>
      <c r="AT156" s="746">
        <f t="shared" si="139"/>
        <v>0</v>
      </c>
      <c r="AU156" s="746">
        <f t="shared" si="139"/>
        <v>0</v>
      </c>
      <c r="AV156" s="746">
        <f t="shared" si="139"/>
        <v>0</v>
      </c>
      <c r="AW156" s="746">
        <f t="shared" si="139"/>
        <v>0</v>
      </c>
      <c r="AX156" s="746">
        <f t="shared" si="139"/>
        <v>0</v>
      </c>
      <c r="AY156" s="746">
        <f t="shared" si="139"/>
        <v>0</v>
      </c>
      <c r="AZ156" s="746">
        <f t="shared" si="139"/>
        <v>0</v>
      </c>
      <c r="BA156" s="746">
        <f t="shared" si="139"/>
        <v>0</v>
      </c>
      <c r="BB156" s="746">
        <f t="shared" si="139"/>
        <v>0</v>
      </c>
    </row>
    <row r="157" ht="15.75" customHeight="1">
      <c r="A157" s="624">
        <v>2021.0</v>
      </c>
      <c r="B157" s="738"/>
      <c r="C157" s="738"/>
      <c r="D157" s="738"/>
      <c r="E157" s="738"/>
      <c r="F157" s="738"/>
      <c r="G157" s="738"/>
      <c r="H157" s="738"/>
      <c r="I157" s="738"/>
      <c r="J157" s="738"/>
      <c r="K157" s="738"/>
      <c r="L157" s="738"/>
      <c r="M157" s="738"/>
      <c r="N157" s="738"/>
      <c r="O157" s="738"/>
      <c r="P157" s="738"/>
      <c r="Q157" s="738"/>
      <c r="R157" s="738"/>
      <c r="S157" s="738"/>
      <c r="T157" s="738"/>
      <c r="U157" s="738"/>
      <c r="V157" s="235">
        <v>1272.726580320239</v>
      </c>
      <c r="W157" s="746">
        <f t="shared" si="49"/>
        <v>0</v>
      </c>
      <c r="X157" s="746">
        <f t="shared" ref="X157:BB157" si="140">IF(AND(X$190-$A157&gt;$V$44,SUM($W157:W157)&lt;&gt;$V157),$V157,0)</f>
        <v>0</v>
      </c>
      <c r="Y157" s="746">
        <f t="shared" si="140"/>
        <v>0</v>
      </c>
      <c r="Z157" s="746">
        <f t="shared" si="140"/>
        <v>0</v>
      </c>
      <c r="AA157" s="746">
        <f t="shared" si="140"/>
        <v>0</v>
      </c>
      <c r="AB157" s="746">
        <f t="shared" si="140"/>
        <v>0</v>
      </c>
      <c r="AC157" s="746">
        <f t="shared" si="140"/>
        <v>0</v>
      </c>
      <c r="AD157" s="746">
        <f t="shared" si="140"/>
        <v>0</v>
      </c>
      <c r="AE157" s="746">
        <f t="shared" si="140"/>
        <v>0</v>
      </c>
      <c r="AF157" s="746">
        <f t="shared" si="140"/>
        <v>0</v>
      </c>
      <c r="AG157" s="746">
        <f t="shared" si="140"/>
        <v>0</v>
      </c>
      <c r="AH157" s="746">
        <f t="shared" si="140"/>
        <v>0</v>
      </c>
      <c r="AI157" s="746">
        <f t="shared" si="140"/>
        <v>0</v>
      </c>
      <c r="AJ157" s="746">
        <f t="shared" si="140"/>
        <v>0</v>
      </c>
      <c r="AK157" s="746">
        <f t="shared" si="140"/>
        <v>0</v>
      </c>
      <c r="AL157" s="746">
        <f t="shared" si="140"/>
        <v>0</v>
      </c>
      <c r="AM157" s="746">
        <f t="shared" si="140"/>
        <v>0</v>
      </c>
      <c r="AN157" s="746">
        <f t="shared" si="140"/>
        <v>0</v>
      </c>
      <c r="AO157" s="746">
        <f t="shared" si="140"/>
        <v>0</v>
      </c>
      <c r="AP157" s="746">
        <f t="shared" si="140"/>
        <v>0</v>
      </c>
      <c r="AQ157" s="746">
        <f t="shared" si="140"/>
        <v>0</v>
      </c>
      <c r="AR157" s="746">
        <f t="shared" si="140"/>
        <v>0</v>
      </c>
      <c r="AS157" s="746">
        <f t="shared" si="140"/>
        <v>0</v>
      </c>
      <c r="AT157" s="746">
        <f t="shared" si="140"/>
        <v>0</v>
      </c>
      <c r="AU157" s="746">
        <f t="shared" si="140"/>
        <v>0</v>
      </c>
      <c r="AV157" s="746">
        <f t="shared" si="140"/>
        <v>0</v>
      </c>
      <c r="AW157" s="746">
        <f t="shared" si="140"/>
        <v>0</v>
      </c>
      <c r="AX157" s="746">
        <f t="shared" si="140"/>
        <v>0</v>
      </c>
      <c r="AY157" s="746">
        <f t="shared" si="140"/>
        <v>0</v>
      </c>
      <c r="AZ157" s="746">
        <f t="shared" si="140"/>
        <v>0</v>
      </c>
      <c r="BA157" s="746">
        <f t="shared" si="140"/>
        <v>0</v>
      </c>
      <c r="BB157" s="746">
        <f t="shared" si="140"/>
        <v>0</v>
      </c>
    </row>
    <row r="158" ht="15.75" customHeight="1">
      <c r="A158" s="624">
        <v>2022.0</v>
      </c>
      <c r="B158" s="738"/>
      <c r="C158" s="738"/>
      <c r="D158" s="738"/>
      <c r="E158" s="738"/>
      <c r="F158" s="738"/>
      <c r="G158" s="738"/>
      <c r="H158" s="738"/>
      <c r="I158" s="738"/>
      <c r="J158" s="738"/>
      <c r="K158" s="738"/>
      <c r="L158" s="738"/>
      <c r="M158" s="738"/>
      <c r="N158" s="738"/>
      <c r="O158" s="738"/>
      <c r="P158" s="738"/>
      <c r="Q158" s="738"/>
      <c r="R158" s="738"/>
      <c r="S158" s="738"/>
      <c r="T158" s="738"/>
      <c r="U158" s="738"/>
      <c r="V158" s="235">
        <v>708.6265803202405</v>
      </c>
      <c r="W158" s="746">
        <f t="shared" si="49"/>
        <v>0</v>
      </c>
      <c r="X158" s="746">
        <f t="shared" ref="X158:BB158" si="141">IF(AND(X$190-$A158&gt;$V$44,SUM($W158:W158)&lt;&gt;$V158),$V158,0)</f>
        <v>0</v>
      </c>
      <c r="Y158" s="746">
        <f t="shared" si="141"/>
        <v>0</v>
      </c>
      <c r="Z158" s="746">
        <f t="shared" si="141"/>
        <v>0</v>
      </c>
      <c r="AA158" s="746">
        <f t="shared" si="141"/>
        <v>0</v>
      </c>
      <c r="AB158" s="746">
        <f t="shared" si="141"/>
        <v>0</v>
      </c>
      <c r="AC158" s="746">
        <f t="shared" si="141"/>
        <v>0</v>
      </c>
      <c r="AD158" s="746">
        <f t="shared" si="141"/>
        <v>0</v>
      </c>
      <c r="AE158" s="746">
        <f t="shared" si="141"/>
        <v>0</v>
      </c>
      <c r="AF158" s="746">
        <f t="shared" si="141"/>
        <v>0</v>
      </c>
      <c r="AG158" s="746">
        <f t="shared" si="141"/>
        <v>0</v>
      </c>
      <c r="AH158" s="746">
        <f t="shared" si="141"/>
        <v>0</v>
      </c>
      <c r="AI158" s="746">
        <f t="shared" si="141"/>
        <v>0</v>
      </c>
      <c r="AJ158" s="746">
        <f t="shared" si="141"/>
        <v>0</v>
      </c>
      <c r="AK158" s="746">
        <f t="shared" si="141"/>
        <v>0</v>
      </c>
      <c r="AL158" s="746">
        <f t="shared" si="141"/>
        <v>0</v>
      </c>
      <c r="AM158" s="746">
        <f t="shared" si="141"/>
        <v>0</v>
      </c>
      <c r="AN158" s="746">
        <f t="shared" si="141"/>
        <v>0</v>
      </c>
      <c r="AO158" s="746">
        <f t="shared" si="141"/>
        <v>0</v>
      </c>
      <c r="AP158" s="746">
        <f t="shared" si="141"/>
        <v>0</v>
      </c>
      <c r="AQ158" s="746">
        <f t="shared" si="141"/>
        <v>0</v>
      </c>
      <c r="AR158" s="746">
        <f t="shared" si="141"/>
        <v>0</v>
      </c>
      <c r="AS158" s="746">
        <f t="shared" si="141"/>
        <v>0</v>
      </c>
      <c r="AT158" s="746">
        <f t="shared" si="141"/>
        <v>0</v>
      </c>
      <c r="AU158" s="746">
        <f t="shared" si="141"/>
        <v>0</v>
      </c>
      <c r="AV158" s="746">
        <f t="shared" si="141"/>
        <v>0</v>
      </c>
      <c r="AW158" s="746">
        <f t="shared" si="141"/>
        <v>0</v>
      </c>
      <c r="AX158" s="746">
        <f t="shared" si="141"/>
        <v>0</v>
      </c>
      <c r="AY158" s="746">
        <f t="shared" si="141"/>
        <v>0</v>
      </c>
      <c r="AZ158" s="746">
        <f t="shared" si="141"/>
        <v>0</v>
      </c>
      <c r="BA158" s="746">
        <f t="shared" si="141"/>
        <v>0</v>
      </c>
      <c r="BB158" s="746">
        <f t="shared" si="141"/>
        <v>0</v>
      </c>
    </row>
    <row r="159" ht="15.75" customHeight="1">
      <c r="A159" s="624">
        <v>2023.0</v>
      </c>
      <c r="B159" s="738"/>
      <c r="C159" s="738"/>
      <c r="D159" s="738"/>
      <c r="E159" s="738"/>
      <c r="F159" s="738"/>
      <c r="G159" s="738"/>
      <c r="H159" s="738"/>
      <c r="I159" s="738"/>
      <c r="J159" s="738"/>
      <c r="K159" s="738"/>
      <c r="L159" s="738"/>
      <c r="M159" s="738"/>
      <c r="N159" s="738"/>
      <c r="O159" s="738"/>
      <c r="P159" s="738"/>
      <c r="Q159" s="738"/>
      <c r="R159" s="738"/>
      <c r="S159" s="738"/>
      <c r="T159" s="738"/>
      <c r="U159" s="738"/>
      <c r="V159" s="235">
        <v>708.6265803202405</v>
      </c>
      <c r="W159" s="746">
        <f t="shared" si="49"/>
        <v>0</v>
      </c>
      <c r="X159" s="746">
        <f t="shared" ref="X159:BB159" si="142">IF(AND(X$190-$A159&gt;$V$44,SUM($W159:W159)&lt;&gt;$V159),$V159,0)</f>
        <v>0</v>
      </c>
      <c r="Y159" s="746">
        <f t="shared" si="142"/>
        <v>0</v>
      </c>
      <c r="Z159" s="746">
        <f t="shared" si="142"/>
        <v>0</v>
      </c>
      <c r="AA159" s="746">
        <f t="shared" si="142"/>
        <v>0</v>
      </c>
      <c r="AB159" s="746">
        <f t="shared" si="142"/>
        <v>0</v>
      </c>
      <c r="AC159" s="746">
        <f t="shared" si="142"/>
        <v>0</v>
      </c>
      <c r="AD159" s="746">
        <f t="shared" si="142"/>
        <v>0</v>
      </c>
      <c r="AE159" s="746">
        <f t="shared" si="142"/>
        <v>0</v>
      </c>
      <c r="AF159" s="746">
        <f t="shared" si="142"/>
        <v>0</v>
      </c>
      <c r="AG159" s="746">
        <f t="shared" si="142"/>
        <v>0</v>
      </c>
      <c r="AH159" s="746">
        <f t="shared" si="142"/>
        <v>0</v>
      </c>
      <c r="AI159" s="746">
        <f t="shared" si="142"/>
        <v>0</v>
      </c>
      <c r="AJ159" s="746">
        <f t="shared" si="142"/>
        <v>0</v>
      </c>
      <c r="AK159" s="746">
        <f t="shared" si="142"/>
        <v>0</v>
      </c>
      <c r="AL159" s="746">
        <f t="shared" si="142"/>
        <v>0</v>
      </c>
      <c r="AM159" s="746">
        <f t="shared" si="142"/>
        <v>0</v>
      </c>
      <c r="AN159" s="746">
        <f t="shared" si="142"/>
        <v>0</v>
      </c>
      <c r="AO159" s="746">
        <f t="shared" si="142"/>
        <v>0</v>
      </c>
      <c r="AP159" s="746">
        <f t="shared" si="142"/>
        <v>0</v>
      </c>
      <c r="AQ159" s="746">
        <f t="shared" si="142"/>
        <v>0</v>
      </c>
      <c r="AR159" s="746">
        <f t="shared" si="142"/>
        <v>0</v>
      </c>
      <c r="AS159" s="746">
        <f t="shared" si="142"/>
        <v>0</v>
      </c>
      <c r="AT159" s="746">
        <f t="shared" si="142"/>
        <v>0</v>
      </c>
      <c r="AU159" s="746">
        <f t="shared" si="142"/>
        <v>0</v>
      </c>
      <c r="AV159" s="746">
        <f t="shared" si="142"/>
        <v>0</v>
      </c>
      <c r="AW159" s="746">
        <f t="shared" si="142"/>
        <v>0</v>
      </c>
      <c r="AX159" s="746">
        <f t="shared" si="142"/>
        <v>0</v>
      </c>
      <c r="AY159" s="746">
        <f t="shared" si="142"/>
        <v>0</v>
      </c>
      <c r="AZ159" s="746">
        <f t="shared" si="142"/>
        <v>0</v>
      </c>
      <c r="BA159" s="746">
        <f t="shared" si="142"/>
        <v>0</v>
      </c>
      <c r="BB159" s="746">
        <f t="shared" si="142"/>
        <v>0</v>
      </c>
    </row>
    <row r="160" ht="15.75" customHeight="1">
      <c r="A160" s="624">
        <v>2024.0</v>
      </c>
      <c r="B160" s="738"/>
      <c r="C160" s="738"/>
      <c r="D160" s="738"/>
      <c r="E160" s="738"/>
      <c r="F160" s="738"/>
      <c r="G160" s="738"/>
      <c r="H160" s="738"/>
      <c r="I160" s="738"/>
      <c r="J160" s="738"/>
      <c r="K160" s="738"/>
      <c r="L160" s="738"/>
      <c r="M160" s="738"/>
      <c r="N160" s="738"/>
      <c r="O160" s="738"/>
      <c r="P160" s="738"/>
      <c r="Q160" s="738"/>
      <c r="R160" s="738"/>
      <c r="S160" s="738"/>
      <c r="T160" s="738"/>
      <c r="U160" s="738"/>
      <c r="V160" s="235">
        <v>781.6265803202405</v>
      </c>
      <c r="W160" s="746">
        <f t="shared" si="49"/>
        <v>0</v>
      </c>
      <c r="X160" s="746">
        <f t="shared" ref="X160:BB160" si="143">IF(AND(X$190-$A160&gt;$V$44,SUM($W160:W160)&lt;&gt;$V160),$V160,0)</f>
        <v>0</v>
      </c>
      <c r="Y160" s="746">
        <f t="shared" si="143"/>
        <v>0</v>
      </c>
      <c r="Z160" s="746">
        <f t="shared" si="143"/>
        <v>0</v>
      </c>
      <c r="AA160" s="746">
        <f t="shared" si="143"/>
        <v>0</v>
      </c>
      <c r="AB160" s="746">
        <f t="shared" si="143"/>
        <v>0</v>
      </c>
      <c r="AC160" s="746">
        <f t="shared" si="143"/>
        <v>0</v>
      </c>
      <c r="AD160" s="746">
        <f t="shared" si="143"/>
        <v>0</v>
      </c>
      <c r="AE160" s="746">
        <f t="shared" si="143"/>
        <v>0</v>
      </c>
      <c r="AF160" s="746">
        <f t="shared" si="143"/>
        <v>0</v>
      </c>
      <c r="AG160" s="746">
        <f t="shared" si="143"/>
        <v>0</v>
      </c>
      <c r="AH160" s="746">
        <f t="shared" si="143"/>
        <v>0</v>
      </c>
      <c r="AI160" s="746">
        <f t="shared" si="143"/>
        <v>0</v>
      </c>
      <c r="AJ160" s="746">
        <f t="shared" si="143"/>
        <v>0</v>
      </c>
      <c r="AK160" s="746">
        <f t="shared" si="143"/>
        <v>0</v>
      </c>
      <c r="AL160" s="746">
        <f t="shared" si="143"/>
        <v>0</v>
      </c>
      <c r="AM160" s="746">
        <f t="shared" si="143"/>
        <v>0</v>
      </c>
      <c r="AN160" s="746">
        <f t="shared" si="143"/>
        <v>0</v>
      </c>
      <c r="AO160" s="746">
        <f t="shared" si="143"/>
        <v>0</v>
      </c>
      <c r="AP160" s="746">
        <f t="shared" si="143"/>
        <v>0</v>
      </c>
      <c r="AQ160" s="746">
        <f t="shared" si="143"/>
        <v>0</v>
      </c>
      <c r="AR160" s="746">
        <f t="shared" si="143"/>
        <v>0</v>
      </c>
      <c r="AS160" s="746">
        <f t="shared" si="143"/>
        <v>0</v>
      </c>
      <c r="AT160" s="746">
        <f t="shared" si="143"/>
        <v>0</v>
      </c>
      <c r="AU160" s="746">
        <f t="shared" si="143"/>
        <v>0</v>
      </c>
      <c r="AV160" s="746">
        <f t="shared" si="143"/>
        <v>0</v>
      </c>
      <c r="AW160" s="746">
        <f t="shared" si="143"/>
        <v>0</v>
      </c>
      <c r="AX160" s="746">
        <f t="shared" si="143"/>
        <v>0</v>
      </c>
      <c r="AY160" s="746">
        <f t="shared" si="143"/>
        <v>0</v>
      </c>
      <c r="AZ160" s="746">
        <f t="shared" si="143"/>
        <v>0</v>
      </c>
      <c r="BA160" s="746">
        <f t="shared" si="143"/>
        <v>0</v>
      </c>
      <c r="BB160" s="746">
        <f t="shared" si="143"/>
        <v>0</v>
      </c>
    </row>
    <row r="161" ht="15.75" customHeight="1">
      <c r="A161" s="624">
        <v>2025.0</v>
      </c>
      <c r="B161" s="738"/>
      <c r="C161" s="738"/>
      <c r="D161" s="738"/>
      <c r="E161" s="738"/>
      <c r="F161" s="738"/>
      <c r="G161" s="738"/>
      <c r="H161" s="738"/>
      <c r="I161" s="738"/>
      <c r="J161" s="738"/>
      <c r="K161" s="738"/>
      <c r="L161" s="738"/>
      <c r="M161" s="738"/>
      <c r="N161" s="738"/>
      <c r="O161" s="738"/>
      <c r="P161" s="738"/>
      <c r="Q161" s="738"/>
      <c r="R161" s="738"/>
      <c r="S161" s="738"/>
      <c r="T161" s="738"/>
      <c r="U161" s="738"/>
      <c r="V161" s="235">
        <v>708.6265803202405</v>
      </c>
      <c r="W161" s="746">
        <f t="shared" si="49"/>
        <v>0</v>
      </c>
      <c r="X161" s="746">
        <f t="shared" ref="X161:BB161" si="144">IF(AND(X$190-$A161&gt;$V$44,SUM($W161:W161)&lt;&gt;$V161),$V161,0)</f>
        <v>0</v>
      </c>
      <c r="Y161" s="746">
        <f t="shared" si="144"/>
        <v>0</v>
      </c>
      <c r="Z161" s="746">
        <f t="shared" si="144"/>
        <v>0</v>
      </c>
      <c r="AA161" s="746">
        <f t="shared" si="144"/>
        <v>0</v>
      </c>
      <c r="AB161" s="746">
        <f t="shared" si="144"/>
        <v>0</v>
      </c>
      <c r="AC161" s="746">
        <f t="shared" si="144"/>
        <v>0</v>
      </c>
      <c r="AD161" s="746">
        <f t="shared" si="144"/>
        <v>0</v>
      </c>
      <c r="AE161" s="746">
        <f t="shared" si="144"/>
        <v>0</v>
      </c>
      <c r="AF161" s="746">
        <f t="shared" si="144"/>
        <v>0</v>
      </c>
      <c r="AG161" s="746">
        <f t="shared" si="144"/>
        <v>0</v>
      </c>
      <c r="AH161" s="746">
        <f t="shared" si="144"/>
        <v>0</v>
      </c>
      <c r="AI161" s="746">
        <f t="shared" si="144"/>
        <v>0</v>
      </c>
      <c r="AJ161" s="746">
        <f t="shared" si="144"/>
        <v>0</v>
      </c>
      <c r="AK161" s="746">
        <f t="shared" si="144"/>
        <v>0</v>
      </c>
      <c r="AL161" s="746">
        <f t="shared" si="144"/>
        <v>0</v>
      </c>
      <c r="AM161" s="746">
        <f t="shared" si="144"/>
        <v>0</v>
      </c>
      <c r="AN161" s="746">
        <f t="shared" si="144"/>
        <v>0</v>
      </c>
      <c r="AO161" s="746">
        <f t="shared" si="144"/>
        <v>0</v>
      </c>
      <c r="AP161" s="746">
        <f t="shared" si="144"/>
        <v>0</v>
      </c>
      <c r="AQ161" s="746">
        <f t="shared" si="144"/>
        <v>0</v>
      </c>
      <c r="AR161" s="746">
        <f t="shared" si="144"/>
        <v>0</v>
      </c>
      <c r="AS161" s="746">
        <f t="shared" si="144"/>
        <v>0</v>
      </c>
      <c r="AT161" s="746">
        <f t="shared" si="144"/>
        <v>0</v>
      </c>
      <c r="AU161" s="746">
        <f t="shared" si="144"/>
        <v>0</v>
      </c>
      <c r="AV161" s="746">
        <f t="shared" si="144"/>
        <v>0</v>
      </c>
      <c r="AW161" s="746">
        <f t="shared" si="144"/>
        <v>0</v>
      </c>
      <c r="AX161" s="746">
        <f t="shared" si="144"/>
        <v>0</v>
      </c>
      <c r="AY161" s="746">
        <f t="shared" si="144"/>
        <v>0</v>
      </c>
      <c r="AZ161" s="746">
        <f t="shared" si="144"/>
        <v>0</v>
      </c>
      <c r="BA161" s="746">
        <f t="shared" si="144"/>
        <v>0</v>
      </c>
      <c r="BB161" s="746">
        <f t="shared" si="144"/>
        <v>0</v>
      </c>
    </row>
    <row r="162" ht="15.75" customHeight="1">
      <c r="A162" s="624">
        <v>2026.0</v>
      </c>
      <c r="B162" s="738"/>
      <c r="C162" s="738"/>
      <c r="D162" s="738"/>
      <c r="E162" s="738"/>
      <c r="F162" s="738"/>
      <c r="G162" s="738"/>
      <c r="H162" s="738"/>
      <c r="I162" s="738"/>
      <c r="J162" s="738"/>
      <c r="K162" s="738"/>
      <c r="L162" s="738"/>
      <c r="M162" s="738"/>
      <c r="N162" s="738"/>
      <c r="O162" s="738"/>
      <c r="P162" s="738"/>
      <c r="Q162" s="738"/>
      <c r="R162" s="738"/>
      <c r="S162" s="738"/>
      <c r="T162" s="738"/>
      <c r="U162" s="738"/>
      <c r="V162" s="235">
        <v>708.6265803202405</v>
      </c>
      <c r="W162" s="746">
        <f t="shared" si="49"/>
        <v>0</v>
      </c>
      <c r="X162" s="746">
        <f t="shared" ref="X162:BB162" si="145">IF(AND(X$190-$A162&gt;$V$44,SUM($W162:W162)&lt;&gt;$V162),$V162,0)</f>
        <v>0</v>
      </c>
      <c r="Y162" s="746">
        <f t="shared" si="145"/>
        <v>0</v>
      </c>
      <c r="Z162" s="746">
        <f t="shared" si="145"/>
        <v>0</v>
      </c>
      <c r="AA162" s="746">
        <f t="shared" si="145"/>
        <v>0</v>
      </c>
      <c r="AB162" s="746">
        <f t="shared" si="145"/>
        <v>0</v>
      </c>
      <c r="AC162" s="746">
        <f t="shared" si="145"/>
        <v>0</v>
      </c>
      <c r="AD162" s="746">
        <f t="shared" si="145"/>
        <v>0</v>
      </c>
      <c r="AE162" s="746">
        <f t="shared" si="145"/>
        <v>0</v>
      </c>
      <c r="AF162" s="746">
        <f t="shared" si="145"/>
        <v>0</v>
      </c>
      <c r="AG162" s="746">
        <f t="shared" si="145"/>
        <v>0</v>
      </c>
      <c r="AH162" s="746">
        <f t="shared" si="145"/>
        <v>0</v>
      </c>
      <c r="AI162" s="746">
        <f t="shared" si="145"/>
        <v>0</v>
      </c>
      <c r="AJ162" s="746">
        <f t="shared" si="145"/>
        <v>0</v>
      </c>
      <c r="AK162" s="746">
        <f t="shared" si="145"/>
        <v>0</v>
      </c>
      <c r="AL162" s="746">
        <f t="shared" si="145"/>
        <v>0</v>
      </c>
      <c r="AM162" s="746">
        <f t="shared" si="145"/>
        <v>0</v>
      </c>
      <c r="AN162" s="746">
        <f t="shared" si="145"/>
        <v>0</v>
      </c>
      <c r="AO162" s="746">
        <f t="shared" si="145"/>
        <v>0</v>
      </c>
      <c r="AP162" s="746">
        <f t="shared" si="145"/>
        <v>0</v>
      </c>
      <c r="AQ162" s="746">
        <f t="shared" si="145"/>
        <v>0</v>
      </c>
      <c r="AR162" s="746">
        <f t="shared" si="145"/>
        <v>0</v>
      </c>
      <c r="AS162" s="746">
        <f t="shared" si="145"/>
        <v>0</v>
      </c>
      <c r="AT162" s="746">
        <f t="shared" si="145"/>
        <v>0</v>
      </c>
      <c r="AU162" s="746">
        <f t="shared" si="145"/>
        <v>0</v>
      </c>
      <c r="AV162" s="746">
        <f t="shared" si="145"/>
        <v>0</v>
      </c>
      <c r="AW162" s="746">
        <f t="shared" si="145"/>
        <v>0</v>
      </c>
      <c r="AX162" s="746">
        <f t="shared" si="145"/>
        <v>0</v>
      </c>
      <c r="AY162" s="746">
        <f t="shared" si="145"/>
        <v>0</v>
      </c>
      <c r="AZ162" s="746">
        <f t="shared" si="145"/>
        <v>0</v>
      </c>
      <c r="BA162" s="746">
        <f t="shared" si="145"/>
        <v>0</v>
      </c>
      <c r="BB162" s="746">
        <f t="shared" si="145"/>
        <v>0</v>
      </c>
    </row>
    <row r="163" ht="15.75" customHeight="1">
      <c r="A163" s="624">
        <v>2027.0</v>
      </c>
      <c r="B163" s="738"/>
      <c r="C163" s="738"/>
      <c r="D163" s="738"/>
      <c r="E163" s="738"/>
      <c r="F163" s="738"/>
      <c r="G163" s="738"/>
      <c r="H163" s="738"/>
      <c r="I163" s="738"/>
      <c r="J163" s="738"/>
      <c r="K163" s="738"/>
      <c r="L163" s="738"/>
      <c r="M163" s="738"/>
      <c r="N163" s="738"/>
      <c r="O163" s="738"/>
      <c r="P163" s="738"/>
      <c r="Q163" s="738"/>
      <c r="R163" s="738"/>
      <c r="S163" s="738"/>
      <c r="T163" s="738"/>
      <c r="U163" s="738"/>
      <c r="V163" s="235">
        <v>708.6265803202405</v>
      </c>
      <c r="W163" s="746">
        <f t="shared" si="49"/>
        <v>0</v>
      </c>
      <c r="X163" s="746">
        <f t="shared" ref="X163:BB163" si="146">IF(AND(X$190-$A163&gt;$V$44,SUM($W163:W163)&lt;&gt;$V163),$V163,0)</f>
        <v>0</v>
      </c>
      <c r="Y163" s="746">
        <f t="shared" si="146"/>
        <v>0</v>
      </c>
      <c r="Z163" s="746">
        <f t="shared" si="146"/>
        <v>0</v>
      </c>
      <c r="AA163" s="746">
        <f t="shared" si="146"/>
        <v>0</v>
      </c>
      <c r="AB163" s="746">
        <f t="shared" si="146"/>
        <v>0</v>
      </c>
      <c r="AC163" s="746">
        <f t="shared" si="146"/>
        <v>0</v>
      </c>
      <c r="AD163" s="746">
        <f t="shared" si="146"/>
        <v>0</v>
      </c>
      <c r="AE163" s="746">
        <f t="shared" si="146"/>
        <v>0</v>
      </c>
      <c r="AF163" s="746">
        <f t="shared" si="146"/>
        <v>0</v>
      </c>
      <c r="AG163" s="746">
        <f t="shared" si="146"/>
        <v>0</v>
      </c>
      <c r="AH163" s="746">
        <f t="shared" si="146"/>
        <v>0</v>
      </c>
      <c r="AI163" s="746">
        <f t="shared" si="146"/>
        <v>0</v>
      </c>
      <c r="AJ163" s="746">
        <f t="shared" si="146"/>
        <v>0</v>
      </c>
      <c r="AK163" s="746">
        <f t="shared" si="146"/>
        <v>0</v>
      </c>
      <c r="AL163" s="746">
        <f t="shared" si="146"/>
        <v>0</v>
      </c>
      <c r="AM163" s="746">
        <f t="shared" si="146"/>
        <v>0</v>
      </c>
      <c r="AN163" s="746">
        <f t="shared" si="146"/>
        <v>0</v>
      </c>
      <c r="AO163" s="746">
        <f t="shared" si="146"/>
        <v>0</v>
      </c>
      <c r="AP163" s="746">
        <f t="shared" si="146"/>
        <v>0</v>
      </c>
      <c r="AQ163" s="746">
        <f t="shared" si="146"/>
        <v>0</v>
      </c>
      <c r="AR163" s="746">
        <f t="shared" si="146"/>
        <v>0</v>
      </c>
      <c r="AS163" s="746">
        <f t="shared" si="146"/>
        <v>0</v>
      </c>
      <c r="AT163" s="746">
        <f t="shared" si="146"/>
        <v>0</v>
      </c>
      <c r="AU163" s="746">
        <f t="shared" si="146"/>
        <v>0</v>
      </c>
      <c r="AV163" s="746">
        <f t="shared" si="146"/>
        <v>0</v>
      </c>
      <c r="AW163" s="746">
        <f t="shared" si="146"/>
        <v>0</v>
      </c>
      <c r="AX163" s="746">
        <f t="shared" si="146"/>
        <v>0</v>
      </c>
      <c r="AY163" s="746">
        <f t="shared" si="146"/>
        <v>0</v>
      </c>
      <c r="AZ163" s="746">
        <f t="shared" si="146"/>
        <v>0</v>
      </c>
      <c r="BA163" s="746">
        <f t="shared" si="146"/>
        <v>0</v>
      </c>
      <c r="BB163" s="746">
        <f t="shared" si="146"/>
        <v>0</v>
      </c>
    </row>
    <row r="164" ht="15.75" customHeight="1">
      <c r="A164" s="624">
        <v>2028.0</v>
      </c>
      <c r="B164" s="738"/>
      <c r="C164" s="738"/>
      <c r="D164" s="738"/>
      <c r="E164" s="738"/>
      <c r="F164" s="738"/>
      <c r="G164" s="738"/>
      <c r="H164" s="738"/>
      <c r="I164" s="738"/>
      <c r="J164" s="738"/>
      <c r="K164" s="738"/>
      <c r="L164" s="738"/>
      <c r="M164" s="738"/>
      <c r="N164" s="738"/>
      <c r="O164" s="738"/>
      <c r="P164" s="738"/>
      <c r="Q164" s="738"/>
      <c r="R164" s="738"/>
      <c r="S164" s="738"/>
      <c r="T164" s="738"/>
      <c r="U164" s="738"/>
      <c r="V164" s="235">
        <v>708.6265803202405</v>
      </c>
      <c r="W164" s="746">
        <f t="shared" si="49"/>
        <v>0</v>
      </c>
      <c r="X164" s="746">
        <f t="shared" ref="X164:BB164" si="147">IF(AND(X$190-$A164&gt;$V$44,SUM($W164:W164)&lt;&gt;$V164),$V164,0)</f>
        <v>0</v>
      </c>
      <c r="Y164" s="746">
        <f t="shared" si="147"/>
        <v>0</v>
      </c>
      <c r="Z164" s="746">
        <f t="shared" si="147"/>
        <v>0</v>
      </c>
      <c r="AA164" s="746">
        <f t="shared" si="147"/>
        <v>0</v>
      </c>
      <c r="AB164" s="746">
        <f t="shared" si="147"/>
        <v>0</v>
      </c>
      <c r="AC164" s="746">
        <f t="shared" si="147"/>
        <v>0</v>
      </c>
      <c r="AD164" s="746">
        <f t="shared" si="147"/>
        <v>0</v>
      </c>
      <c r="AE164" s="746">
        <f t="shared" si="147"/>
        <v>0</v>
      </c>
      <c r="AF164" s="746">
        <f t="shared" si="147"/>
        <v>0</v>
      </c>
      <c r="AG164" s="746">
        <f t="shared" si="147"/>
        <v>0</v>
      </c>
      <c r="AH164" s="746">
        <f t="shared" si="147"/>
        <v>0</v>
      </c>
      <c r="AI164" s="746">
        <f t="shared" si="147"/>
        <v>0</v>
      </c>
      <c r="AJ164" s="746">
        <f t="shared" si="147"/>
        <v>0</v>
      </c>
      <c r="AK164" s="746">
        <f t="shared" si="147"/>
        <v>0</v>
      </c>
      <c r="AL164" s="746">
        <f t="shared" si="147"/>
        <v>0</v>
      </c>
      <c r="AM164" s="746">
        <f t="shared" si="147"/>
        <v>0</v>
      </c>
      <c r="AN164" s="746">
        <f t="shared" si="147"/>
        <v>0</v>
      </c>
      <c r="AO164" s="746">
        <f t="shared" si="147"/>
        <v>0</v>
      </c>
      <c r="AP164" s="746">
        <f t="shared" si="147"/>
        <v>0</v>
      </c>
      <c r="AQ164" s="746">
        <f t="shared" si="147"/>
        <v>0</v>
      </c>
      <c r="AR164" s="746">
        <f t="shared" si="147"/>
        <v>0</v>
      </c>
      <c r="AS164" s="746">
        <f t="shared" si="147"/>
        <v>0</v>
      </c>
      <c r="AT164" s="746">
        <f t="shared" si="147"/>
        <v>0</v>
      </c>
      <c r="AU164" s="746">
        <f t="shared" si="147"/>
        <v>0</v>
      </c>
      <c r="AV164" s="746">
        <f t="shared" si="147"/>
        <v>0</v>
      </c>
      <c r="AW164" s="746">
        <f t="shared" si="147"/>
        <v>0</v>
      </c>
      <c r="AX164" s="746">
        <f t="shared" si="147"/>
        <v>0</v>
      </c>
      <c r="AY164" s="746">
        <f t="shared" si="147"/>
        <v>0</v>
      </c>
      <c r="AZ164" s="746">
        <f t="shared" si="147"/>
        <v>0</v>
      </c>
      <c r="BA164" s="746">
        <f t="shared" si="147"/>
        <v>0</v>
      </c>
      <c r="BB164" s="746">
        <f t="shared" si="147"/>
        <v>0</v>
      </c>
    </row>
    <row r="165" ht="15.75" customHeight="1">
      <c r="A165" s="624">
        <v>2029.0</v>
      </c>
      <c r="B165" s="738"/>
      <c r="C165" s="738"/>
      <c r="D165" s="738"/>
      <c r="E165" s="738"/>
      <c r="F165" s="738"/>
      <c r="G165" s="738"/>
      <c r="H165" s="738"/>
      <c r="I165" s="738"/>
      <c r="J165" s="738"/>
      <c r="K165" s="738"/>
      <c r="L165" s="738"/>
      <c r="M165" s="738"/>
      <c r="N165" s="738"/>
      <c r="O165" s="738"/>
      <c r="P165" s="738"/>
      <c r="Q165" s="738"/>
      <c r="R165" s="738"/>
      <c r="S165" s="738"/>
      <c r="T165" s="738"/>
      <c r="U165" s="738"/>
      <c r="V165" s="235">
        <v>720.6265803202405</v>
      </c>
      <c r="W165" s="746">
        <f t="shared" si="49"/>
        <v>0</v>
      </c>
      <c r="X165" s="746">
        <f t="shared" ref="X165:BB165" si="148">IF(AND(X$190-$A165&gt;$V$44,SUM($W165:W165)&lt;&gt;$V165),$V165,0)</f>
        <v>0</v>
      </c>
      <c r="Y165" s="746">
        <f t="shared" si="148"/>
        <v>0</v>
      </c>
      <c r="Z165" s="746">
        <f t="shared" si="148"/>
        <v>0</v>
      </c>
      <c r="AA165" s="746">
        <f t="shared" si="148"/>
        <v>0</v>
      </c>
      <c r="AB165" s="746">
        <f t="shared" si="148"/>
        <v>0</v>
      </c>
      <c r="AC165" s="746">
        <f t="shared" si="148"/>
        <v>0</v>
      </c>
      <c r="AD165" s="746">
        <f t="shared" si="148"/>
        <v>0</v>
      </c>
      <c r="AE165" s="746">
        <f t="shared" si="148"/>
        <v>0</v>
      </c>
      <c r="AF165" s="746">
        <f t="shared" si="148"/>
        <v>0</v>
      </c>
      <c r="AG165" s="746">
        <f t="shared" si="148"/>
        <v>0</v>
      </c>
      <c r="AH165" s="746">
        <f t="shared" si="148"/>
        <v>0</v>
      </c>
      <c r="AI165" s="746">
        <f t="shared" si="148"/>
        <v>0</v>
      </c>
      <c r="AJ165" s="746">
        <f t="shared" si="148"/>
        <v>0</v>
      </c>
      <c r="AK165" s="746">
        <f t="shared" si="148"/>
        <v>0</v>
      </c>
      <c r="AL165" s="746">
        <f t="shared" si="148"/>
        <v>0</v>
      </c>
      <c r="AM165" s="746">
        <f t="shared" si="148"/>
        <v>0</v>
      </c>
      <c r="AN165" s="746">
        <f t="shared" si="148"/>
        <v>0</v>
      </c>
      <c r="AO165" s="746">
        <f t="shared" si="148"/>
        <v>0</v>
      </c>
      <c r="AP165" s="746">
        <f t="shared" si="148"/>
        <v>0</v>
      </c>
      <c r="AQ165" s="746">
        <f t="shared" si="148"/>
        <v>0</v>
      </c>
      <c r="AR165" s="746">
        <f t="shared" si="148"/>
        <v>0</v>
      </c>
      <c r="AS165" s="746">
        <f t="shared" si="148"/>
        <v>0</v>
      </c>
      <c r="AT165" s="746">
        <f t="shared" si="148"/>
        <v>0</v>
      </c>
      <c r="AU165" s="746">
        <f t="shared" si="148"/>
        <v>0</v>
      </c>
      <c r="AV165" s="746">
        <f t="shared" si="148"/>
        <v>0</v>
      </c>
      <c r="AW165" s="746">
        <f t="shared" si="148"/>
        <v>0</v>
      </c>
      <c r="AX165" s="746">
        <f t="shared" si="148"/>
        <v>0</v>
      </c>
      <c r="AY165" s="746">
        <f t="shared" si="148"/>
        <v>0</v>
      </c>
      <c r="AZ165" s="746">
        <f t="shared" si="148"/>
        <v>0</v>
      </c>
      <c r="BA165" s="746">
        <f t="shared" si="148"/>
        <v>0</v>
      </c>
      <c r="BB165" s="746">
        <f t="shared" si="148"/>
        <v>0</v>
      </c>
    </row>
    <row r="166" ht="15.75" customHeight="1">
      <c r="A166" s="624">
        <v>2030.0</v>
      </c>
      <c r="B166" s="738"/>
      <c r="C166" s="738"/>
      <c r="D166" s="738"/>
      <c r="E166" s="738"/>
      <c r="F166" s="738"/>
      <c r="G166" s="738"/>
      <c r="H166" s="738"/>
      <c r="I166" s="738"/>
      <c r="J166" s="738"/>
      <c r="K166" s="738"/>
      <c r="L166" s="738"/>
      <c r="M166" s="738"/>
      <c r="N166" s="738"/>
      <c r="O166" s="738"/>
      <c r="P166" s="738"/>
      <c r="Q166" s="738"/>
      <c r="R166" s="738"/>
      <c r="S166" s="738"/>
      <c r="T166" s="738"/>
      <c r="U166" s="738"/>
      <c r="V166" s="235">
        <v>763.8265803202376</v>
      </c>
      <c r="W166" s="746">
        <f t="shared" si="49"/>
        <v>0</v>
      </c>
      <c r="X166" s="746">
        <f t="shared" ref="X166:BB166" si="149">IF(AND(X$190-$A166&gt;$V$44,SUM($W166:W166)&lt;&gt;$V166),$V166,0)</f>
        <v>0</v>
      </c>
      <c r="Y166" s="746">
        <f t="shared" si="149"/>
        <v>0</v>
      </c>
      <c r="Z166" s="746">
        <f t="shared" si="149"/>
        <v>0</v>
      </c>
      <c r="AA166" s="746">
        <f t="shared" si="149"/>
        <v>0</v>
      </c>
      <c r="AB166" s="746">
        <f t="shared" si="149"/>
        <v>0</v>
      </c>
      <c r="AC166" s="746">
        <f t="shared" si="149"/>
        <v>0</v>
      </c>
      <c r="AD166" s="746">
        <f t="shared" si="149"/>
        <v>0</v>
      </c>
      <c r="AE166" s="746">
        <f t="shared" si="149"/>
        <v>0</v>
      </c>
      <c r="AF166" s="746">
        <f t="shared" si="149"/>
        <v>0</v>
      </c>
      <c r="AG166" s="746">
        <f t="shared" si="149"/>
        <v>0</v>
      </c>
      <c r="AH166" s="746">
        <f t="shared" si="149"/>
        <v>0</v>
      </c>
      <c r="AI166" s="746">
        <f t="shared" si="149"/>
        <v>0</v>
      </c>
      <c r="AJ166" s="746">
        <f t="shared" si="149"/>
        <v>0</v>
      </c>
      <c r="AK166" s="746">
        <f t="shared" si="149"/>
        <v>0</v>
      </c>
      <c r="AL166" s="746">
        <f t="shared" si="149"/>
        <v>0</v>
      </c>
      <c r="AM166" s="746">
        <f t="shared" si="149"/>
        <v>0</v>
      </c>
      <c r="AN166" s="746">
        <f t="shared" si="149"/>
        <v>0</v>
      </c>
      <c r="AO166" s="746">
        <f t="shared" si="149"/>
        <v>0</v>
      </c>
      <c r="AP166" s="746">
        <f t="shared" si="149"/>
        <v>0</v>
      </c>
      <c r="AQ166" s="746">
        <f t="shared" si="149"/>
        <v>0</v>
      </c>
      <c r="AR166" s="746">
        <f t="shared" si="149"/>
        <v>0</v>
      </c>
      <c r="AS166" s="746">
        <f t="shared" si="149"/>
        <v>0</v>
      </c>
      <c r="AT166" s="746">
        <f t="shared" si="149"/>
        <v>0</v>
      </c>
      <c r="AU166" s="746">
        <f t="shared" si="149"/>
        <v>0</v>
      </c>
      <c r="AV166" s="746">
        <f t="shared" si="149"/>
        <v>0</v>
      </c>
      <c r="AW166" s="746">
        <f t="shared" si="149"/>
        <v>0</v>
      </c>
      <c r="AX166" s="746">
        <f t="shared" si="149"/>
        <v>0</v>
      </c>
      <c r="AY166" s="746">
        <f t="shared" si="149"/>
        <v>0</v>
      </c>
      <c r="AZ166" s="746">
        <f t="shared" si="149"/>
        <v>0</v>
      </c>
      <c r="BA166" s="746">
        <f t="shared" si="149"/>
        <v>0</v>
      </c>
      <c r="BB166" s="746">
        <f t="shared" si="149"/>
        <v>0</v>
      </c>
    </row>
    <row r="167" ht="15.75" customHeight="1">
      <c r="A167" s="624">
        <v>2031.0</v>
      </c>
      <c r="B167" s="738"/>
      <c r="C167" s="738"/>
      <c r="D167" s="738"/>
      <c r="E167" s="738"/>
      <c r="F167" s="738"/>
      <c r="G167" s="738"/>
      <c r="H167" s="738"/>
      <c r="I167" s="738"/>
      <c r="J167" s="738"/>
      <c r="K167" s="738"/>
      <c r="L167" s="738"/>
      <c r="M167" s="738"/>
      <c r="N167" s="738"/>
      <c r="O167" s="738"/>
      <c r="P167" s="738"/>
      <c r="Q167" s="738"/>
      <c r="R167" s="738"/>
      <c r="S167" s="738"/>
      <c r="T167" s="738"/>
      <c r="U167" s="738"/>
      <c r="V167" s="235">
        <v>708.6265803202405</v>
      </c>
      <c r="W167" s="746">
        <f t="shared" si="49"/>
        <v>0</v>
      </c>
      <c r="X167" s="746">
        <f t="shared" ref="X167:BB167" si="150">IF(AND(X$190-$A167&gt;$V$44,SUM($W167:W167)&lt;&gt;$V167),$V167,0)</f>
        <v>0</v>
      </c>
      <c r="Y167" s="746">
        <f t="shared" si="150"/>
        <v>0</v>
      </c>
      <c r="Z167" s="746">
        <f t="shared" si="150"/>
        <v>0</v>
      </c>
      <c r="AA167" s="746">
        <f t="shared" si="150"/>
        <v>0</v>
      </c>
      <c r="AB167" s="746">
        <f t="shared" si="150"/>
        <v>0</v>
      </c>
      <c r="AC167" s="746">
        <f t="shared" si="150"/>
        <v>0</v>
      </c>
      <c r="AD167" s="746">
        <f t="shared" si="150"/>
        <v>0</v>
      </c>
      <c r="AE167" s="746">
        <f t="shared" si="150"/>
        <v>0</v>
      </c>
      <c r="AF167" s="746">
        <f t="shared" si="150"/>
        <v>0</v>
      </c>
      <c r="AG167" s="746">
        <f t="shared" si="150"/>
        <v>0</v>
      </c>
      <c r="AH167" s="746">
        <f t="shared" si="150"/>
        <v>0</v>
      </c>
      <c r="AI167" s="746">
        <f t="shared" si="150"/>
        <v>0</v>
      </c>
      <c r="AJ167" s="746">
        <f t="shared" si="150"/>
        <v>0</v>
      </c>
      <c r="AK167" s="746">
        <f t="shared" si="150"/>
        <v>0</v>
      </c>
      <c r="AL167" s="746">
        <f t="shared" si="150"/>
        <v>0</v>
      </c>
      <c r="AM167" s="746">
        <f t="shared" si="150"/>
        <v>0</v>
      </c>
      <c r="AN167" s="746">
        <f t="shared" si="150"/>
        <v>0</v>
      </c>
      <c r="AO167" s="746">
        <f t="shared" si="150"/>
        <v>0</v>
      </c>
      <c r="AP167" s="746">
        <f t="shared" si="150"/>
        <v>0</v>
      </c>
      <c r="AQ167" s="746">
        <f t="shared" si="150"/>
        <v>0</v>
      </c>
      <c r="AR167" s="746">
        <f t="shared" si="150"/>
        <v>0</v>
      </c>
      <c r="AS167" s="746">
        <f t="shared" si="150"/>
        <v>0</v>
      </c>
      <c r="AT167" s="746">
        <f t="shared" si="150"/>
        <v>0</v>
      </c>
      <c r="AU167" s="746">
        <f t="shared" si="150"/>
        <v>0</v>
      </c>
      <c r="AV167" s="746">
        <f t="shared" si="150"/>
        <v>0</v>
      </c>
      <c r="AW167" s="746">
        <f t="shared" si="150"/>
        <v>0</v>
      </c>
      <c r="AX167" s="746">
        <f t="shared" si="150"/>
        <v>0</v>
      </c>
      <c r="AY167" s="746">
        <f t="shared" si="150"/>
        <v>0</v>
      </c>
      <c r="AZ167" s="746">
        <f t="shared" si="150"/>
        <v>0</v>
      </c>
      <c r="BA167" s="746">
        <f t="shared" si="150"/>
        <v>0</v>
      </c>
      <c r="BB167" s="746">
        <f t="shared" si="150"/>
        <v>0</v>
      </c>
    </row>
    <row r="168" ht="15.75" customHeight="1">
      <c r="A168" s="624">
        <v>2032.0</v>
      </c>
      <c r="B168" s="738"/>
      <c r="C168" s="738"/>
      <c r="D168" s="738"/>
      <c r="E168" s="738"/>
      <c r="F168" s="738"/>
      <c r="G168" s="738"/>
      <c r="H168" s="738"/>
      <c r="I168" s="738"/>
      <c r="J168" s="738"/>
      <c r="K168" s="738"/>
      <c r="L168" s="738"/>
      <c r="M168" s="738"/>
      <c r="N168" s="738"/>
      <c r="O168" s="738"/>
      <c r="P168" s="738"/>
      <c r="Q168" s="738"/>
      <c r="R168" s="738"/>
      <c r="S168" s="738"/>
      <c r="T168" s="738"/>
      <c r="U168" s="738"/>
      <c r="V168" s="235">
        <v>821.6265803202405</v>
      </c>
      <c r="W168" s="746">
        <f t="shared" si="49"/>
        <v>0</v>
      </c>
      <c r="X168" s="746">
        <f t="shared" ref="X168:BB168" si="151">IF(AND(X$190-$A168&gt;$V$44,SUM($W168:W168)&lt;&gt;$V168),$V168,0)</f>
        <v>0</v>
      </c>
      <c r="Y168" s="746">
        <f t="shared" si="151"/>
        <v>0</v>
      </c>
      <c r="Z168" s="746">
        <f t="shared" si="151"/>
        <v>0</v>
      </c>
      <c r="AA168" s="746">
        <f t="shared" si="151"/>
        <v>0</v>
      </c>
      <c r="AB168" s="746">
        <f t="shared" si="151"/>
        <v>0</v>
      </c>
      <c r="AC168" s="746">
        <f t="shared" si="151"/>
        <v>0</v>
      </c>
      <c r="AD168" s="746">
        <f t="shared" si="151"/>
        <v>0</v>
      </c>
      <c r="AE168" s="746">
        <f t="shared" si="151"/>
        <v>0</v>
      </c>
      <c r="AF168" s="746">
        <f t="shared" si="151"/>
        <v>0</v>
      </c>
      <c r="AG168" s="746">
        <f t="shared" si="151"/>
        <v>0</v>
      </c>
      <c r="AH168" s="746">
        <f t="shared" si="151"/>
        <v>0</v>
      </c>
      <c r="AI168" s="746">
        <f t="shared" si="151"/>
        <v>0</v>
      </c>
      <c r="AJ168" s="746">
        <f t="shared" si="151"/>
        <v>0</v>
      </c>
      <c r="AK168" s="746">
        <f t="shared" si="151"/>
        <v>0</v>
      </c>
      <c r="AL168" s="746">
        <f t="shared" si="151"/>
        <v>0</v>
      </c>
      <c r="AM168" s="746">
        <f t="shared" si="151"/>
        <v>0</v>
      </c>
      <c r="AN168" s="746">
        <f t="shared" si="151"/>
        <v>0</v>
      </c>
      <c r="AO168" s="746">
        <f t="shared" si="151"/>
        <v>0</v>
      </c>
      <c r="AP168" s="746">
        <f t="shared" si="151"/>
        <v>0</v>
      </c>
      <c r="AQ168" s="746">
        <f t="shared" si="151"/>
        <v>0</v>
      </c>
      <c r="AR168" s="746">
        <f t="shared" si="151"/>
        <v>0</v>
      </c>
      <c r="AS168" s="746">
        <f t="shared" si="151"/>
        <v>0</v>
      </c>
      <c r="AT168" s="746">
        <f t="shared" si="151"/>
        <v>0</v>
      </c>
      <c r="AU168" s="746">
        <f t="shared" si="151"/>
        <v>0</v>
      </c>
      <c r="AV168" s="746">
        <f t="shared" si="151"/>
        <v>0</v>
      </c>
      <c r="AW168" s="746">
        <f t="shared" si="151"/>
        <v>0</v>
      </c>
      <c r="AX168" s="746">
        <f t="shared" si="151"/>
        <v>0</v>
      </c>
      <c r="AY168" s="746">
        <f t="shared" si="151"/>
        <v>0</v>
      </c>
      <c r="AZ168" s="746">
        <f t="shared" si="151"/>
        <v>0</v>
      </c>
      <c r="BA168" s="746">
        <f t="shared" si="151"/>
        <v>0</v>
      </c>
      <c r="BB168" s="746">
        <f t="shared" si="151"/>
        <v>0</v>
      </c>
    </row>
    <row r="169" ht="15.75" customHeight="1">
      <c r="A169" s="624">
        <v>2033.0</v>
      </c>
      <c r="B169" s="738"/>
      <c r="C169" s="738"/>
      <c r="D169" s="738"/>
      <c r="E169" s="738"/>
      <c r="F169" s="738"/>
      <c r="G169" s="738"/>
      <c r="H169" s="738"/>
      <c r="I169" s="738"/>
      <c r="J169" s="738"/>
      <c r="K169" s="738"/>
      <c r="L169" s="738"/>
      <c r="M169" s="738"/>
      <c r="N169" s="738"/>
      <c r="O169" s="738"/>
      <c r="P169" s="738"/>
      <c r="Q169" s="738"/>
      <c r="R169" s="738"/>
      <c r="S169" s="738"/>
      <c r="T169" s="738"/>
      <c r="U169" s="738"/>
      <c r="V169" s="235">
        <v>925.1265803202405</v>
      </c>
      <c r="W169" s="746">
        <f t="shared" si="49"/>
        <v>0</v>
      </c>
      <c r="X169" s="746">
        <f t="shared" ref="X169:BB169" si="152">IF(AND(X$190-$A169&gt;$V$44,SUM($W169:W169)&lt;&gt;$V169),$V169,0)</f>
        <v>0</v>
      </c>
      <c r="Y169" s="746">
        <f t="shared" si="152"/>
        <v>0</v>
      </c>
      <c r="Z169" s="746">
        <f t="shared" si="152"/>
        <v>0</v>
      </c>
      <c r="AA169" s="746">
        <f t="shared" si="152"/>
        <v>0</v>
      </c>
      <c r="AB169" s="746">
        <f t="shared" si="152"/>
        <v>0</v>
      </c>
      <c r="AC169" s="746">
        <f t="shared" si="152"/>
        <v>0</v>
      </c>
      <c r="AD169" s="746">
        <f t="shared" si="152"/>
        <v>0</v>
      </c>
      <c r="AE169" s="746">
        <f t="shared" si="152"/>
        <v>0</v>
      </c>
      <c r="AF169" s="746">
        <f t="shared" si="152"/>
        <v>0</v>
      </c>
      <c r="AG169" s="746">
        <f t="shared" si="152"/>
        <v>0</v>
      </c>
      <c r="AH169" s="746">
        <f t="shared" si="152"/>
        <v>0</v>
      </c>
      <c r="AI169" s="746">
        <f t="shared" si="152"/>
        <v>0</v>
      </c>
      <c r="AJ169" s="746">
        <f t="shared" si="152"/>
        <v>0</v>
      </c>
      <c r="AK169" s="746">
        <f t="shared" si="152"/>
        <v>0</v>
      </c>
      <c r="AL169" s="746">
        <f t="shared" si="152"/>
        <v>0</v>
      </c>
      <c r="AM169" s="746">
        <f t="shared" si="152"/>
        <v>0</v>
      </c>
      <c r="AN169" s="746">
        <f t="shared" si="152"/>
        <v>0</v>
      </c>
      <c r="AO169" s="746">
        <f t="shared" si="152"/>
        <v>0</v>
      </c>
      <c r="AP169" s="746">
        <f t="shared" si="152"/>
        <v>0</v>
      </c>
      <c r="AQ169" s="746">
        <f t="shared" si="152"/>
        <v>0</v>
      </c>
      <c r="AR169" s="746">
        <f t="shared" si="152"/>
        <v>0</v>
      </c>
      <c r="AS169" s="746">
        <f t="shared" si="152"/>
        <v>0</v>
      </c>
      <c r="AT169" s="746">
        <f t="shared" si="152"/>
        <v>0</v>
      </c>
      <c r="AU169" s="746">
        <f t="shared" si="152"/>
        <v>0</v>
      </c>
      <c r="AV169" s="746">
        <f t="shared" si="152"/>
        <v>0</v>
      </c>
      <c r="AW169" s="746">
        <f t="shared" si="152"/>
        <v>0</v>
      </c>
      <c r="AX169" s="746">
        <f t="shared" si="152"/>
        <v>0</v>
      </c>
      <c r="AY169" s="746">
        <f t="shared" si="152"/>
        <v>0</v>
      </c>
      <c r="AZ169" s="746">
        <f t="shared" si="152"/>
        <v>0</v>
      </c>
      <c r="BA169" s="746">
        <f t="shared" si="152"/>
        <v>0</v>
      </c>
      <c r="BB169" s="746">
        <f t="shared" si="152"/>
        <v>0</v>
      </c>
    </row>
    <row r="170" ht="15.75" customHeight="1">
      <c r="A170" s="624">
        <v>2034.0</v>
      </c>
      <c r="B170" s="738"/>
      <c r="C170" s="738"/>
      <c r="D170" s="738"/>
      <c r="E170" s="738"/>
      <c r="F170" s="738"/>
      <c r="G170" s="738"/>
      <c r="H170" s="738"/>
      <c r="I170" s="738"/>
      <c r="J170" s="738"/>
      <c r="K170" s="738"/>
      <c r="L170" s="738"/>
      <c r="M170" s="738"/>
      <c r="N170" s="738"/>
      <c r="O170" s="738"/>
      <c r="P170" s="738"/>
      <c r="Q170" s="738"/>
      <c r="R170" s="738"/>
      <c r="S170" s="738"/>
      <c r="T170" s="738"/>
      <c r="U170" s="738"/>
      <c r="V170" s="235">
        <v>916.3265803202376</v>
      </c>
      <c r="W170" s="746">
        <f t="shared" si="49"/>
        <v>0</v>
      </c>
      <c r="X170" s="746">
        <f t="shared" ref="X170:BB170" si="153">IF(AND(X$190-$A170&gt;$V$44,SUM($W170:W170)&lt;&gt;$V170),$V170,0)</f>
        <v>0</v>
      </c>
      <c r="Y170" s="746">
        <f t="shared" si="153"/>
        <v>0</v>
      </c>
      <c r="Z170" s="746">
        <f t="shared" si="153"/>
        <v>0</v>
      </c>
      <c r="AA170" s="746">
        <f t="shared" si="153"/>
        <v>0</v>
      </c>
      <c r="AB170" s="746">
        <f t="shared" si="153"/>
        <v>0</v>
      </c>
      <c r="AC170" s="746">
        <f t="shared" si="153"/>
        <v>0</v>
      </c>
      <c r="AD170" s="746">
        <f t="shared" si="153"/>
        <v>0</v>
      </c>
      <c r="AE170" s="746">
        <f t="shared" si="153"/>
        <v>0</v>
      </c>
      <c r="AF170" s="746">
        <f t="shared" si="153"/>
        <v>0</v>
      </c>
      <c r="AG170" s="746">
        <f t="shared" si="153"/>
        <v>0</v>
      </c>
      <c r="AH170" s="746">
        <f t="shared" si="153"/>
        <v>0</v>
      </c>
      <c r="AI170" s="746">
        <f t="shared" si="153"/>
        <v>0</v>
      </c>
      <c r="AJ170" s="746">
        <f t="shared" si="153"/>
        <v>0</v>
      </c>
      <c r="AK170" s="746">
        <f t="shared" si="153"/>
        <v>0</v>
      </c>
      <c r="AL170" s="746">
        <f t="shared" si="153"/>
        <v>0</v>
      </c>
      <c r="AM170" s="746">
        <f t="shared" si="153"/>
        <v>0</v>
      </c>
      <c r="AN170" s="746">
        <f t="shared" si="153"/>
        <v>0</v>
      </c>
      <c r="AO170" s="746">
        <f t="shared" si="153"/>
        <v>0</v>
      </c>
      <c r="AP170" s="746">
        <f t="shared" si="153"/>
        <v>0</v>
      </c>
      <c r="AQ170" s="746">
        <f t="shared" si="153"/>
        <v>0</v>
      </c>
      <c r="AR170" s="746">
        <f t="shared" si="153"/>
        <v>0</v>
      </c>
      <c r="AS170" s="746">
        <f t="shared" si="153"/>
        <v>0</v>
      </c>
      <c r="AT170" s="746">
        <f t="shared" si="153"/>
        <v>0</v>
      </c>
      <c r="AU170" s="746">
        <f t="shared" si="153"/>
        <v>0</v>
      </c>
      <c r="AV170" s="746">
        <f t="shared" si="153"/>
        <v>0</v>
      </c>
      <c r="AW170" s="746">
        <f t="shared" si="153"/>
        <v>0</v>
      </c>
      <c r="AX170" s="746">
        <f t="shared" si="153"/>
        <v>0</v>
      </c>
      <c r="AY170" s="746">
        <f t="shared" si="153"/>
        <v>0</v>
      </c>
      <c r="AZ170" s="746">
        <f t="shared" si="153"/>
        <v>0</v>
      </c>
      <c r="BA170" s="746">
        <f t="shared" si="153"/>
        <v>0</v>
      </c>
      <c r="BB170" s="746">
        <f t="shared" si="153"/>
        <v>0</v>
      </c>
    </row>
    <row r="171" ht="15.75" customHeight="1">
      <c r="A171" s="624">
        <v>2035.0</v>
      </c>
      <c r="B171" s="738"/>
      <c r="C171" s="738"/>
      <c r="D171" s="738"/>
      <c r="E171" s="738"/>
      <c r="F171" s="738"/>
      <c r="G171" s="738"/>
      <c r="H171" s="738"/>
      <c r="I171" s="738"/>
      <c r="J171" s="738"/>
      <c r="K171" s="738"/>
      <c r="L171" s="738"/>
      <c r="M171" s="738"/>
      <c r="N171" s="738"/>
      <c r="O171" s="738"/>
      <c r="P171" s="738"/>
      <c r="Q171" s="738"/>
      <c r="R171" s="738"/>
      <c r="S171" s="738"/>
      <c r="T171" s="738"/>
      <c r="U171" s="738"/>
      <c r="V171" s="235">
        <v>928.1265803202405</v>
      </c>
      <c r="W171" s="746">
        <f t="shared" si="49"/>
        <v>0</v>
      </c>
      <c r="X171" s="746">
        <f t="shared" ref="X171:BB171" si="154">IF(AND(X$190-$A171&gt;$V$44,SUM($W171:W171)&lt;&gt;$V171),$V171,0)</f>
        <v>0</v>
      </c>
      <c r="Y171" s="746">
        <f t="shared" si="154"/>
        <v>0</v>
      </c>
      <c r="Z171" s="746">
        <f t="shared" si="154"/>
        <v>0</v>
      </c>
      <c r="AA171" s="746">
        <f t="shared" si="154"/>
        <v>0</v>
      </c>
      <c r="AB171" s="746">
        <f t="shared" si="154"/>
        <v>0</v>
      </c>
      <c r="AC171" s="746">
        <f t="shared" si="154"/>
        <v>0</v>
      </c>
      <c r="AD171" s="746">
        <f t="shared" si="154"/>
        <v>0</v>
      </c>
      <c r="AE171" s="746">
        <f t="shared" si="154"/>
        <v>0</v>
      </c>
      <c r="AF171" s="746">
        <f t="shared" si="154"/>
        <v>0</v>
      </c>
      <c r="AG171" s="746">
        <f t="shared" si="154"/>
        <v>0</v>
      </c>
      <c r="AH171" s="746">
        <f t="shared" si="154"/>
        <v>0</v>
      </c>
      <c r="AI171" s="746">
        <f t="shared" si="154"/>
        <v>0</v>
      </c>
      <c r="AJ171" s="746">
        <f t="shared" si="154"/>
        <v>0</v>
      </c>
      <c r="AK171" s="746">
        <f t="shared" si="154"/>
        <v>0</v>
      </c>
      <c r="AL171" s="746">
        <f t="shared" si="154"/>
        <v>0</v>
      </c>
      <c r="AM171" s="746">
        <f t="shared" si="154"/>
        <v>0</v>
      </c>
      <c r="AN171" s="746">
        <f t="shared" si="154"/>
        <v>0</v>
      </c>
      <c r="AO171" s="746">
        <f t="shared" si="154"/>
        <v>0</v>
      </c>
      <c r="AP171" s="746">
        <f t="shared" si="154"/>
        <v>0</v>
      </c>
      <c r="AQ171" s="746">
        <f t="shared" si="154"/>
        <v>0</v>
      </c>
      <c r="AR171" s="746">
        <f t="shared" si="154"/>
        <v>0</v>
      </c>
      <c r="AS171" s="746">
        <f t="shared" si="154"/>
        <v>0</v>
      </c>
      <c r="AT171" s="746">
        <f t="shared" si="154"/>
        <v>0</v>
      </c>
      <c r="AU171" s="746">
        <f t="shared" si="154"/>
        <v>0</v>
      </c>
      <c r="AV171" s="746">
        <f t="shared" si="154"/>
        <v>0</v>
      </c>
      <c r="AW171" s="746">
        <f t="shared" si="154"/>
        <v>0</v>
      </c>
      <c r="AX171" s="746">
        <f t="shared" si="154"/>
        <v>0</v>
      </c>
      <c r="AY171" s="746">
        <f t="shared" si="154"/>
        <v>0</v>
      </c>
      <c r="AZ171" s="746">
        <f t="shared" si="154"/>
        <v>0</v>
      </c>
      <c r="BA171" s="746">
        <f t="shared" si="154"/>
        <v>0</v>
      </c>
      <c r="BB171" s="746">
        <f t="shared" si="154"/>
        <v>0</v>
      </c>
    </row>
    <row r="172" ht="15.75" customHeight="1">
      <c r="A172" s="624">
        <v>2036.0</v>
      </c>
      <c r="B172" s="738"/>
      <c r="C172" s="738"/>
      <c r="D172" s="738"/>
      <c r="E172" s="738"/>
      <c r="F172" s="738"/>
      <c r="G172" s="738"/>
      <c r="H172" s="738"/>
      <c r="I172" s="738"/>
      <c r="J172" s="738"/>
      <c r="K172" s="738"/>
      <c r="L172" s="738"/>
      <c r="M172" s="738"/>
      <c r="N172" s="738"/>
      <c r="O172" s="738"/>
      <c r="P172" s="738"/>
      <c r="Q172" s="738"/>
      <c r="R172" s="738"/>
      <c r="S172" s="738"/>
      <c r="T172" s="738"/>
      <c r="U172" s="738"/>
      <c r="V172" s="235">
        <v>2987.8265803202376</v>
      </c>
      <c r="W172" s="746">
        <f t="shared" si="49"/>
        <v>0</v>
      </c>
      <c r="X172" s="746">
        <f t="shared" ref="X172:BB172" si="155">IF(AND(X$190-$A172&gt;$V$44,SUM($W172:W172)&lt;&gt;$V172),$V172,0)</f>
        <v>0</v>
      </c>
      <c r="Y172" s="746">
        <f t="shared" si="155"/>
        <v>0</v>
      </c>
      <c r="Z172" s="746">
        <f t="shared" si="155"/>
        <v>0</v>
      </c>
      <c r="AA172" s="746">
        <f t="shared" si="155"/>
        <v>0</v>
      </c>
      <c r="AB172" s="746">
        <f t="shared" si="155"/>
        <v>0</v>
      </c>
      <c r="AC172" s="746">
        <f t="shared" si="155"/>
        <v>0</v>
      </c>
      <c r="AD172" s="746">
        <f t="shared" si="155"/>
        <v>0</v>
      </c>
      <c r="AE172" s="746">
        <f t="shared" si="155"/>
        <v>0</v>
      </c>
      <c r="AF172" s="746">
        <f t="shared" si="155"/>
        <v>0</v>
      </c>
      <c r="AG172" s="746">
        <f t="shared" si="155"/>
        <v>0</v>
      </c>
      <c r="AH172" s="746">
        <f t="shared" si="155"/>
        <v>0</v>
      </c>
      <c r="AI172" s="746">
        <f t="shared" si="155"/>
        <v>0</v>
      </c>
      <c r="AJ172" s="746">
        <f t="shared" si="155"/>
        <v>0</v>
      </c>
      <c r="AK172" s="746">
        <f t="shared" si="155"/>
        <v>0</v>
      </c>
      <c r="AL172" s="746">
        <f t="shared" si="155"/>
        <v>0</v>
      </c>
      <c r="AM172" s="746">
        <f t="shared" si="155"/>
        <v>0</v>
      </c>
      <c r="AN172" s="746">
        <f t="shared" si="155"/>
        <v>0</v>
      </c>
      <c r="AO172" s="746">
        <f t="shared" si="155"/>
        <v>0</v>
      </c>
      <c r="AP172" s="746">
        <f t="shared" si="155"/>
        <v>0</v>
      </c>
      <c r="AQ172" s="746">
        <f t="shared" si="155"/>
        <v>0</v>
      </c>
      <c r="AR172" s="746">
        <f t="shared" si="155"/>
        <v>0</v>
      </c>
      <c r="AS172" s="746">
        <f t="shared" si="155"/>
        <v>0</v>
      </c>
      <c r="AT172" s="746">
        <f t="shared" si="155"/>
        <v>0</v>
      </c>
      <c r="AU172" s="746">
        <f t="shared" si="155"/>
        <v>0</v>
      </c>
      <c r="AV172" s="746">
        <f t="shared" si="155"/>
        <v>0</v>
      </c>
      <c r="AW172" s="746">
        <f t="shared" si="155"/>
        <v>0</v>
      </c>
      <c r="AX172" s="746">
        <f t="shared" si="155"/>
        <v>0</v>
      </c>
      <c r="AY172" s="746">
        <f t="shared" si="155"/>
        <v>0</v>
      </c>
      <c r="AZ172" s="746">
        <f t="shared" si="155"/>
        <v>0</v>
      </c>
      <c r="BA172" s="746">
        <f t="shared" si="155"/>
        <v>0</v>
      </c>
      <c r="BB172" s="746">
        <f t="shared" si="155"/>
        <v>0</v>
      </c>
    </row>
    <row r="173" ht="15.75" customHeight="1">
      <c r="A173" s="624">
        <v>2037.0</v>
      </c>
      <c r="B173" s="738"/>
      <c r="C173" s="738"/>
      <c r="D173" s="738"/>
      <c r="E173" s="738"/>
      <c r="F173" s="738"/>
      <c r="G173" s="738"/>
      <c r="H173" s="738"/>
      <c r="I173" s="738"/>
      <c r="J173" s="738"/>
      <c r="K173" s="738"/>
      <c r="L173" s="738"/>
      <c r="M173" s="738"/>
      <c r="N173" s="738"/>
      <c r="O173" s="738"/>
      <c r="P173" s="738"/>
      <c r="Q173" s="738"/>
      <c r="R173" s="738"/>
      <c r="S173" s="738"/>
      <c r="T173" s="738"/>
      <c r="U173" s="738"/>
      <c r="V173" s="235">
        <v>3743.6265803202405</v>
      </c>
      <c r="W173" s="746">
        <f t="shared" si="49"/>
        <v>0</v>
      </c>
      <c r="X173" s="746">
        <f t="shared" ref="X173:BB173" si="156">IF(AND(X$190-$A173&gt;$V$44,SUM($W173:W173)&lt;&gt;$V173),$V173,0)</f>
        <v>0</v>
      </c>
      <c r="Y173" s="746">
        <f t="shared" si="156"/>
        <v>0</v>
      </c>
      <c r="Z173" s="746">
        <f t="shared" si="156"/>
        <v>0</v>
      </c>
      <c r="AA173" s="746">
        <f t="shared" si="156"/>
        <v>0</v>
      </c>
      <c r="AB173" s="746">
        <f t="shared" si="156"/>
        <v>0</v>
      </c>
      <c r="AC173" s="746">
        <f t="shared" si="156"/>
        <v>0</v>
      </c>
      <c r="AD173" s="746">
        <f t="shared" si="156"/>
        <v>0</v>
      </c>
      <c r="AE173" s="746">
        <f t="shared" si="156"/>
        <v>0</v>
      </c>
      <c r="AF173" s="746">
        <f t="shared" si="156"/>
        <v>0</v>
      </c>
      <c r="AG173" s="746">
        <f t="shared" si="156"/>
        <v>0</v>
      </c>
      <c r="AH173" s="746">
        <f t="shared" si="156"/>
        <v>0</v>
      </c>
      <c r="AI173" s="746">
        <f t="shared" si="156"/>
        <v>0</v>
      </c>
      <c r="AJ173" s="746">
        <f t="shared" si="156"/>
        <v>0</v>
      </c>
      <c r="AK173" s="746">
        <f t="shared" si="156"/>
        <v>0</v>
      </c>
      <c r="AL173" s="746">
        <f t="shared" si="156"/>
        <v>0</v>
      </c>
      <c r="AM173" s="746">
        <f t="shared" si="156"/>
        <v>0</v>
      </c>
      <c r="AN173" s="746">
        <f t="shared" si="156"/>
        <v>0</v>
      </c>
      <c r="AO173" s="746">
        <f t="shared" si="156"/>
        <v>0</v>
      </c>
      <c r="AP173" s="746">
        <f t="shared" si="156"/>
        <v>0</v>
      </c>
      <c r="AQ173" s="746">
        <f t="shared" si="156"/>
        <v>0</v>
      </c>
      <c r="AR173" s="746">
        <f t="shared" si="156"/>
        <v>0</v>
      </c>
      <c r="AS173" s="746">
        <f t="shared" si="156"/>
        <v>0</v>
      </c>
      <c r="AT173" s="746">
        <f t="shared" si="156"/>
        <v>0</v>
      </c>
      <c r="AU173" s="746">
        <f t="shared" si="156"/>
        <v>0</v>
      </c>
      <c r="AV173" s="746">
        <f t="shared" si="156"/>
        <v>0</v>
      </c>
      <c r="AW173" s="746">
        <f t="shared" si="156"/>
        <v>0</v>
      </c>
      <c r="AX173" s="746">
        <f t="shared" si="156"/>
        <v>0</v>
      </c>
      <c r="AY173" s="746">
        <f t="shared" si="156"/>
        <v>0</v>
      </c>
      <c r="AZ173" s="746">
        <f t="shared" si="156"/>
        <v>0</v>
      </c>
      <c r="BA173" s="746">
        <f t="shared" si="156"/>
        <v>0</v>
      </c>
      <c r="BB173" s="746">
        <f t="shared" si="156"/>
        <v>0</v>
      </c>
    </row>
    <row r="174" ht="15.75" customHeight="1">
      <c r="A174" s="624">
        <v>2038.0</v>
      </c>
      <c r="B174" s="738"/>
      <c r="C174" s="738"/>
      <c r="D174" s="738"/>
      <c r="E174" s="738"/>
      <c r="F174" s="738"/>
      <c r="G174" s="738"/>
      <c r="H174" s="738"/>
      <c r="I174" s="738"/>
      <c r="J174" s="738"/>
      <c r="K174" s="738"/>
      <c r="L174" s="738"/>
      <c r="M174" s="738"/>
      <c r="N174" s="738"/>
      <c r="O174" s="738"/>
      <c r="P174" s="738"/>
      <c r="Q174" s="738"/>
      <c r="R174" s="738"/>
      <c r="S174" s="738"/>
      <c r="T174" s="738"/>
      <c r="U174" s="738"/>
      <c r="V174" s="235">
        <v>7577.326580320238</v>
      </c>
      <c r="W174" s="746">
        <f t="shared" si="49"/>
        <v>0</v>
      </c>
      <c r="X174" s="746">
        <f t="shared" ref="X174:BB174" si="157">IF(AND(X$190-$A174&gt;$V$44,SUM($W174:W174)&lt;&gt;$V174),$V174,0)</f>
        <v>0</v>
      </c>
      <c r="Y174" s="746">
        <f t="shared" si="157"/>
        <v>0</v>
      </c>
      <c r="Z174" s="746">
        <f t="shared" si="157"/>
        <v>0</v>
      </c>
      <c r="AA174" s="746">
        <f t="shared" si="157"/>
        <v>0</v>
      </c>
      <c r="AB174" s="746">
        <f t="shared" si="157"/>
        <v>0</v>
      </c>
      <c r="AC174" s="746">
        <f t="shared" si="157"/>
        <v>0</v>
      </c>
      <c r="AD174" s="746">
        <f t="shared" si="157"/>
        <v>0</v>
      </c>
      <c r="AE174" s="746">
        <f t="shared" si="157"/>
        <v>0</v>
      </c>
      <c r="AF174" s="746">
        <f t="shared" si="157"/>
        <v>0</v>
      </c>
      <c r="AG174" s="746">
        <f t="shared" si="157"/>
        <v>0</v>
      </c>
      <c r="AH174" s="746">
        <f t="shared" si="157"/>
        <v>0</v>
      </c>
      <c r="AI174" s="746">
        <f t="shared" si="157"/>
        <v>0</v>
      </c>
      <c r="AJ174" s="746">
        <f t="shared" si="157"/>
        <v>0</v>
      </c>
      <c r="AK174" s="746">
        <f t="shared" si="157"/>
        <v>0</v>
      </c>
      <c r="AL174" s="746">
        <f t="shared" si="157"/>
        <v>0</v>
      </c>
      <c r="AM174" s="746">
        <f t="shared" si="157"/>
        <v>0</v>
      </c>
      <c r="AN174" s="746">
        <f t="shared" si="157"/>
        <v>0</v>
      </c>
      <c r="AO174" s="746">
        <f t="shared" si="157"/>
        <v>0</v>
      </c>
      <c r="AP174" s="746">
        <f t="shared" si="157"/>
        <v>0</v>
      </c>
      <c r="AQ174" s="746">
        <f t="shared" si="157"/>
        <v>0</v>
      </c>
      <c r="AR174" s="746">
        <f t="shared" si="157"/>
        <v>0</v>
      </c>
      <c r="AS174" s="746">
        <f t="shared" si="157"/>
        <v>0</v>
      </c>
      <c r="AT174" s="746">
        <f t="shared" si="157"/>
        <v>0</v>
      </c>
      <c r="AU174" s="746">
        <f t="shared" si="157"/>
        <v>0</v>
      </c>
      <c r="AV174" s="746">
        <f t="shared" si="157"/>
        <v>0</v>
      </c>
      <c r="AW174" s="746">
        <f t="shared" si="157"/>
        <v>0</v>
      </c>
      <c r="AX174" s="746">
        <f t="shared" si="157"/>
        <v>0</v>
      </c>
      <c r="AY174" s="746">
        <f t="shared" si="157"/>
        <v>0</v>
      </c>
      <c r="AZ174" s="746">
        <f t="shared" si="157"/>
        <v>0</v>
      </c>
      <c r="BA174" s="746">
        <f t="shared" si="157"/>
        <v>0</v>
      </c>
      <c r="BB174" s="746">
        <f t="shared" si="157"/>
        <v>0</v>
      </c>
    </row>
    <row r="175" ht="15.75" customHeight="1">
      <c r="A175" s="624">
        <v>2039.0</v>
      </c>
      <c r="B175" s="738"/>
      <c r="C175" s="738"/>
      <c r="D175" s="738"/>
      <c r="E175" s="738"/>
      <c r="F175" s="738"/>
      <c r="G175" s="738"/>
      <c r="H175" s="738"/>
      <c r="I175" s="738"/>
      <c r="J175" s="738"/>
      <c r="K175" s="738"/>
      <c r="L175" s="738"/>
      <c r="M175" s="738"/>
      <c r="N175" s="738"/>
      <c r="O175" s="738"/>
      <c r="P175" s="738"/>
      <c r="Q175" s="738"/>
      <c r="R175" s="738"/>
      <c r="S175" s="738"/>
      <c r="T175" s="738"/>
      <c r="U175" s="738"/>
      <c r="V175" s="235">
        <v>9178.026580320242</v>
      </c>
      <c r="W175" s="746">
        <f t="shared" si="49"/>
        <v>0</v>
      </c>
      <c r="X175" s="746">
        <f t="shared" ref="X175:BB175" si="158">IF(AND(X$190-$A175&gt;$V$44,SUM($W175:W175)&lt;&gt;$V175),$V175,0)</f>
        <v>0</v>
      </c>
      <c r="Y175" s="746">
        <f t="shared" si="158"/>
        <v>0</v>
      </c>
      <c r="Z175" s="746">
        <f t="shared" si="158"/>
        <v>0</v>
      </c>
      <c r="AA175" s="746">
        <f t="shared" si="158"/>
        <v>0</v>
      </c>
      <c r="AB175" s="746">
        <f t="shared" si="158"/>
        <v>0</v>
      </c>
      <c r="AC175" s="746">
        <f t="shared" si="158"/>
        <v>0</v>
      </c>
      <c r="AD175" s="746">
        <f t="shared" si="158"/>
        <v>0</v>
      </c>
      <c r="AE175" s="746">
        <f t="shared" si="158"/>
        <v>0</v>
      </c>
      <c r="AF175" s="746">
        <f t="shared" si="158"/>
        <v>0</v>
      </c>
      <c r="AG175" s="746">
        <f t="shared" si="158"/>
        <v>0</v>
      </c>
      <c r="AH175" s="746">
        <f t="shared" si="158"/>
        <v>0</v>
      </c>
      <c r="AI175" s="746">
        <f t="shared" si="158"/>
        <v>0</v>
      </c>
      <c r="AJ175" s="746">
        <f t="shared" si="158"/>
        <v>0</v>
      </c>
      <c r="AK175" s="746">
        <f t="shared" si="158"/>
        <v>0</v>
      </c>
      <c r="AL175" s="746">
        <f t="shared" si="158"/>
        <v>0</v>
      </c>
      <c r="AM175" s="746">
        <f t="shared" si="158"/>
        <v>0</v>
      </c>
      <c r="AN175" s="746">
        <f t="shared" si="158"/>
        <v>0</v>
      </c>
      <c r="AO175" s="746">
        <f t="shared" si="158"/>
        <v>0</v>
      </c>
      <c r="AP175" s="746">
        <f t="shared" si="158"/>
        <v>0</v>
      </c>
      <c r="AQ175" s="746">
        <f t="shared" si="158"/>
        <v>0</v>
      </c>
      <c r="AR175" s="746">
        <f t="shared" si="158"/>
        <v>0</v>
      </c>
      <c r="AS175" s="746">
        <f t="shared" si="158"/>
        <v>0</v>
      </c>
      <c r="AT175" s="746">
        <f t="shared" si="158"/>
        <v>0</v>
      </c>
      <c r="AU175" s="746">
        <f t="shared" si="158"/>
        <v>0</v>
      </c>
      <c r="AV175" s="746">
        <f t="shared" si="158"/>
        <v>0</v>
      </c>
      <c r="AW175" s="746">
        <f t="shared" si="158"/>
        <v>0</v>
      </c>
      <c r="AX175" s="746">
        <f t="shared" si="158"/>
        <v>0</v>
      </c>
      <c r="AY175" s="746">
        <f t="shared" si="158"/>
        <v>0</v>
      </c>
      <c r="AZ175" s="746">
        <f t="shared" si="158"/>
        <v>0</v>
      </c>
      <c r="BA175" s="746">
        <f t="shared" si="158"/>
        <v>0</v>
      </c>
      <c r="BB175" s="746">
        <f t="shared" si="158"/>
        <v>0</v>
      </c>
    </row>
    <row r="176" ht="15.75" customHeight="1">
      <c r="A176" s="624">
        <v>2040.0</v>
      </c>
      <c r="B176" s="738"/>
      <c r="C176" s="738"/>
      <c r="D176" s="738"/>
      <c r="E176" s="738"/>
      <c r="F176" s="738"/>
      <c r="G176" s="738"/>
      <c r="H176" s="738"/>
      <c r="I176" s="738"/>
      <c r="J176" s="738"/>
      <c r="K176" s="738"/>
      <c r="L176" s="738"/>
      <c r="M176" s="738"/>
      <c r="N176" s="738"/>
      <c r="O176" s="738"/>
      <c r="P176" s="738"/>
      <c r="Q176" s="738"/>
      <c r="R176" s="738"/>
      <c r="S176" s="738"/>
      <c r="T176" s="738"/>
      <c r="U176" s="738"/>
      <c r="V176" s="235">
        <v>3182.9265803202434</v>
      </c>
      <c r="W176" s="746">
        <f t="shared" si="49"/>
        <v>0</v>
      </c>
      <c r="X176" s="746">
        <f t="shared" ref="X176:BB176" si="159">IF(AND(X$190-$A176&gt;$V$44,SUM($W176:W176)&lt;&gt;$V176),$V176,0)</f>
        <v>0</v>
      </c>
      <c r="Y176" s="746">
        <f t="shared" si="159"/>
        <v>0</v>
      </c>
      <c r="Z176" s="746">
        <f t="shared" si="159"/>
        <v>0</v>
      </c>
      <c r="AA176" s="746">
        <f t="shared" si="159"/>
        <v>0</v>
      </c>
      <c r="AB176" s="746">
        <f t="shared" si="159"/>
        <v>0</v>
      </c>
      <c r="AC176" s="746">
        <f t="shared" si="159"/>
        <v>0</v>
      </c>
      <c r="AD176" s="746">
        <f t="shared" si="159"/>
        <v>0</v>
      </c>
      <c r="AE176" s="746">
        <f t="shared" si="159"/>
        <v>0</v>
      </c>
      <c r="AF176" s="746">
        <f t="shared" si="159"/>
        <v>0</v>
      </c>
      <c r="AG176" s="746">
        <f t="shared" si="159"/>
        <v>0</v>
      </c>
      <c r="AH176" s="746">
        <f t="shared" si="159"/>
        <v>0</v>
      </c>
      <c r="AI176" s="746">
        <f t="shared" si="159"/>
        <v>0</v>
      </c>
      <c r="AJ176" s="746">
        <f t="shared" si="159"/>
        <v>0</v>
      </c>
      <c r="AK176" s="746">
        <f t="shared" si="159"/>
        <v>0</v>
      </c>
      <c r="AL176" s="746">
        <f t="shared" si="159"/>
        <v>0</v>
      </c>
      <c r="AM176" s="746">
        <f t="shared" si="159"/>
        <v>0</v>
      </c>
      <c r="AN176" s="746">
        <f t="shared" si="159"/>
        <v>0</v>
      </c>
      <c r="AO176" s="746">
        <f t="shared" si="159"/>
        <v>0</v>
      </c>
      <c r="AP176" s="746">
        <f t="shared" si="159"/>
        <v>0</v>
      </c>
      <c r="AQ176" s="746">
        <f t="shared" si="159"/>
        <v>0</v>
      </c>
      <c r="AR176" s="746">
        <f t="shared" si="159"/>
        <v>0</v>
      </c>
      <c r="AS176" s="746">
        <f t="shared" si="159"/>
        <v>0</v>
      </c>
      <c r="AT176" s="746">
        <f t="shared" si="159"/>
        <v>0</v>
      </c>
      <c r="AU176" s="746">
        <f t="shared" si="159"/>
        <v>0</v>
      </c>
      <c r="AV176" s="746">
        <f t="shared" si="159"/>
        <v>0</v>
      </c>
      <c r="AW176" s="746">
        <f t="shared" si="159"/>
        <v>0</v>
      </c>
      <c r="AX176" s="746">
        <f t="shared" si="159"/>
        <v>0</v>
      </c>
      <c r="AY176" s="746">
        <f t="shared" si="159"/>
        <v>0</v>
      </c>
      <c r="AZ176" s="746">
        <f t="shared" si="159"/>
        <v>0</v>
      </c>
      <c r="BA176" s="746">
        <f t="shared" si="159"/>
        <v>0</v>
      </c>
      <c r="BB176" s="746">
        <f t="shared" si="159"/>
        <v>0</v>
      </c>
    </row>
    <row r="177" ht="15.75" customHeight="1">
      <c r="A177" s="624">
        <v>2041.0</v>
      </c>
      <c r="B177" s="738"/>
      <c r="C177" s="738"/>
      <c r="D177" s="738"/>
      <c r="E177" s="738"/>
      <c r="F177" s="738"/>
      <c r="G177" s="738"/>
      <c r="H177" s="738"/>
      <c r="I177" s="738"/>
      <c r="J177" s="738"/>
      <c r="K177" s="738"/>
      <c r="L177" s="738"/>
      <c r="M177" s="738"/>
      <c r="N177" s="738"/>
      <c r="O177" s="738"/>
      <c r="P177" s="738"/>
      <c r="Q177" s="738"/>
      <c r="R177" s="738"/>
      <c r="S177" s="738"/>
      <c r="T177" s="738"/>
      <c r="U177" s="738"/>
      <c r="V177" s="235">
        <v>2085.226580320239</v>
      </c>
      <c r="W177" s="746">
        <f t="shared" si="49"/>
        <v>0</v>
      </c>
      <c r="X177" s="746">
        <f t="shared" ref="X177:BB177" si="160">IF(AND(X$190-$A177&gt;$V$44,SUM($W177:W177)&lt;&gt;$V177),$V177,0)</f>
        <v>0</v>
      </c>
      <c r="Y177" s="746">
        <f t="shared" si="160"/>
        <v>0</v>
      </c>
      <c r="Z177" s="746">
        <f t="shared" si="160"/>
        <v>0</v>
      </c>
      <c r="AA177" s="746">
        <f t="shared" si="160"/>
        <v>0</v>
      </c>
      <c r="AB177" s="746">
        <f t="shared" si="160"/>
        <v>0</v>
      </c>
      <c r="AC177" s="746">
        <f t="shared" si="160"/>
        <v>0</v>
      </c>
      <c r="AD177" s="746">
        <f t="shared" si="160"/>
        <v>0</v>
      </c>
      <c r="AE177" s="746">
        <f t="shared" si="160"/>
        <v>0</v>
      </c>
      <c r="AF177" s="746">
        <f t="shared" si="160"/>
        <v>0</v>
      </c>
      <c r="AG177" s="746">
        <f t="shared" si="160"/>
        <v>0</v>
      </c>
      <c r="AH177" s="746">
        <f t="shared" si="160"/>
        <v>0</v>
      </c>
      <c r="AI177" s="746">
        <f t="shared" si="160"/>
        <v>0</v>
      </c>
      <c r="AJ177" s="746">
        <f t="shared" si="160"/>
        <v>0</v>
      </c>
      <c r="AK177" s="746">
        <f t="shared" si="160"/>
        <v>0</v>
      </c>
      <c r="AL177" s="746">
        <f t="shared" si="160"/>
        <v>0</v>
      </c>
      <c r="AM177" s="746">
        <f t="shared" si="160"/>
        <v>0</v>
      </c>
      <c r="AN177" s="746">
        <f t="shared" si="160"/>
        <v>0</v>
      </c>
      <c r="AO177" s="746">
        <f t="shared" si="160"/>
        <v>0</v>
      </c>
      <c r="AP177" s="746">
        <f t="shared" si="160"/>
        <v>0</v>
      </c>
      <c r="AQ177" s="746">
        <f t="shared" si="160"/>
        <v>0</v>
      </c>
      <c r="AR177" s="746">
        <f t="shared" si="160"/>
        <v>0</v>
      </c>
      <c r="AS177" s="746">
        <f t="shared" si="160"/>
        <v>0</v>
      </c>
      <c r="AT177" s="746">
        <f t="shared" si="160"/>
        <v>0</v>
      </c>
      <c r="AU177" s="746">
        <f t="shared" si="160"/>
        <v>0</v>
      </c>
      <c r="AV177" s="746">
        <f t="shared" si="160"/>
        <v>0</v>
      </c>
      <c r="AW177" s="746">
        <f t="shared" si="160"/>
        <v>0</v>
      </c>
      <c r="AX177" s="746">
        <f t="shared" si="160"/>
        <v>0</v>
      </c>
      <c r="AY177" s="746">
        <f t="shared" si="160"/>
        <v>0</v>
      </c>
      <c r="AZ177" s="746">
        <f t="shared" si="160"/>
        <v>0</v>
      </c>
      <c r="BA177" s="746">
        <f t="shared" si="160"/>
        <v>0</v>
      </c>
      <c r="BB177" s="746">
        <f t="shared" si="160"/>
        <v>0</v>
      </c>
    </row>
    <row r="178" ht="15.75" customHeight="1">
      <c r="A178" s="624">
        <v>2042.0</v>
      </c>
      <c r="B178" s="738"/>
      <c r="C178" s="738"/>
      <c r="D178" s="738"/>
      <c r="E178" s="738"/>
      <c r="F178" s="738"/>
      <c r="G178" s="738"/>
      <c r="H178" s="738"/>
      <c r="I178" s="738"/>
      <c r="J178" s="738"/>
      <c r="K178" s="738"/>
      <c r="L178" s="738"/>
      <c r="M178" s="738"/>
      <c r="N178" s="738"/>
      <c r="O178" s="738"/>
      <c r="P178" s="738"/>
      <c r="Q178" s="738"/>
      <c r="R178" s="738"/>
      <c r="S178" s="738"/>
      <c r="T178" s="738"/>
      <c r="U178" s="738"/>
      <c r="V178" s="235">
        <v>1559.1265803202405</v>
      </c>
      <c r="W178" s="746">
        <f t="shared" si="49"/>
        <v>0</v>
      </c>
      <c r="X178" s="746">
        <f t="shared" ref="X178:BB178" si="161">IF(AND(X$190-$A178&gt;$V$44,SUM($W178:W178)&lt;&gt;$V178),$V178,0)</f>
        <v>0</v>
      </c>
      <c r="Y178" s="746">
        <f t="shared" si="161"/>
        <v>0</v>
      </c>
      <c r="Z178" s="746">
        <f t="shared" si="161"/>
        <v>0</v>
      </c>
      <c r="AA178" s="746">
        <f t="shared" si="161"/>
        <v>0</v>
      </c>
      <c r="AB178" s="746">
        <f t="shared" si="161"/>
        <v>0</v>
      </c>
      <c r="AC178" s="746">
        <f t="shared" si="161"/>
        <v>0</v>
      </c>
      <c r="AD178" s="746">
        <f t="shared" si="161"/>
        <v>0</v>
      </c>
      <c r="AE178" s="746">
        <f t="shared" si="161"/>
        <v>0</v>
      </c>
      <c r="AF178" s="746">
        <f t="shared" si="161"/>
        <v>0</v>
      </c>
      <c r="AG178" s="746">
        <f t="shared" si="161"/>
        <v>0</v>
      </c>
      <c r="AH178" s="746">
        <f t="shared" si="161"/>
        <v>0</v>
      </c>
      <c r="AI178" s="746">
        <f t="shared" si="161"/>
        <v>0</v>
      </c>
      <c r="AJ178" s="746">
        <f t="shared" si="161"/>
        <v>0</v>
      </c>
      <c r="AK178" s="746">
        <f t="shared" si="161"/>
        <v>0</v>
      </c>
      <c r="AL178" s="746">
        <f t="shared" si="161"/>
        <v>0</v>
      </c>
      <c r="AM178" s="746">
        <f t="shared" si="161"/>
        <v>0</v>
      </c>
      <c r="AN178" s="746">
        <f t="shared" si="161"/>
        <v>0</v>
      </c>
      <c r="AO178" s="746">
        <f t="shared" si="161"/>
        <v>0</v>
      </c>
      <c r="AP178" s="746">
        <f t="shared" si="161"/>
        <v>0</v>
      </c>
      <c r="AQ178" s="746">
        <f t="shared" si="161"/>
        <v>0</v>
      </c>
      <c r="AR178" s="746">
        <f t="shared" si="161"/>
        <v>0</v>
      </c>
      <c r="AS178" s="746">
        <f t="shared" si="161"/>
        <v>0</v>
      </c>
      <c r="AT178" s="746">
        <f t="shared" si="161"/>
        <v>0</v>
      </c>
      <c r="AU178" s="746">
        <f t="shared" si="161"/>
        <v>0</v>
      </c>
      <c r="AV178" s="746">
        <f t="shared" si="161"/>
        <v>0</v>
      </c>
      <c r="AW178" s="746">
        <f t="shared" si="161"/>
        <v>0</v>
      </c>
      <c r="AX178" s="746">
        <f t="shared" si="161"/>
        <v>0</v>
      </c>
      <c r="AY178" s="746">
        <f t="shared" si="161"/>
        <v>0</v>
      </c>
      <c r="AZ178" s="746">
        <f t="shared" si="161"/>
        <v>0</v>
      </c>
      <c r="BA178" s="746">
        <f t="shared" si="161"/>
        <v>0</v>
      </c>
      <c r="BB178" s="746">
        <f t="shared" si="161"/>
        <v>0</v>
      </c>
    </row>
    <row r="179" ht="15.75" customHeight="1">
      <c r="A179" s="624">
        <v>2043.0</v>
      </c>
      <c r="B179" s="738"/>
      <c r="C179" s="738"/>
      <c r="D179" s="738"/>
      <c r="E179" s="738"/>
      <c r="F179" s="738"/>
      <c r="G179" s="738"/>
      <c r="H179" s="738"/>
      <c r="I179" s="738"/>
      <c r="J179" s="738"/>
      <c r="K179" s="738"/>
      <c r="L179" s="738"/>
      <c r="M179" s="738"/>
      <c r="N179" s="738"/>
      <c r="O179" s="738"/>
      <c r="P179" s="738"/>
      <c r="Q179" s="738"/>
      <c r="R179" s="738"/>
      <c r="S179" s="738"/>
      <c r="T179" s="738"/>
      <c r="U179" s="738"/>
      <c r="V179" s="235">
        <v>708.6265803202405</v>
      </c>
      <c r="W179" s="746">
        <f t="shared" si="49"/>
        <v>0</v>
      </c>
      <c r="X179" s="746">
        <f t="shared" ref="X179:BB179" si="162">IF(AND(X$190-$A179&gt;$V$44,SUM($W179:W179)&lt;&gt;$V179),$V179,0)</f>
        <v>0</v>
      </c>
      <c r="Y179" s="746">
        <f t="shared" si="162"/>
        <v>0</v>
      </c>
      <c r="Z179" s="746">
        <f t="shared" si="162"/>
        <v>0</v>
      </c>
      <c r="AA179" s="746">
        <f t="shared" si="162"/>
        <v>0</v>
      </c>
      <c r="AB179" s="746">
        <f t="shared" si="162"/>
        <v>0</v>
      </c>
      <c r="AC179" s="746">
        <f t="shared" si="162"/>
        <v>0</v>
      </c>
      <c r="AD179" s="746">
        <f t="shared" si="162"/>
        <v>0</v>
      </c>
      <c r="AE179" s="746">
        <f t="shared" si="162"/>
        <v>0</v>
      </c>
      <c r="AF179" s="746">
        <f t="shared" si="162"/>
        <v>0</v>
      </c>
      <c r="AG179" s="746">
        <f t="shared" si="162"/>
        <v>0</v>
      </c>
      <c r="AH179" s="746">
        <f t="shared" si="162"/>
        <v>0</v>
      </c>
      <c r="AI179" s="746">
        <f t="shared" si="162"/>
        <v>0</v>
      </c>
      <c r="AJ179" s="746">
        <f t="shared" si="162"/>
        <v>0</v>
      </c>
      <c r="AK179" s="746">
        <f t="shared" si="162"/>
        <v>0</v>
      </c>
      <c r="AL179" s="746">
        <f t="shared" si="162"/>
        <v>0</v>
      </c>
      <c r="AM179" s="746">
        <f t="shared" si="162"/>
        <v>0</v>
      </c>
      <c r="AN179" s="746">
        <f t="shared" si="162"/>
        <v>0</v>
      </c>
      <c r="AO179" s="746">
        <f t="shared" si="162"/>
        <v>0</v>
      </c>
      <c r="AP179" s="746">
        <f t="shared" si="162"/>
        <v>0</v>
      </c>
      <c r="AQ179" s="746">
        <f t="shared" si="162"/>
        <v>0</v>
      </c>
      <c r="AR179" s="746">
        <f t="shared" si="162"/>
        <v>0</v>
      </c>
      <c r="AS179" s="746">
        <f t="shared" si="162"/>
        <v>0</v>
      </c>
      <c r="AT179" s="746">
        <f t="shared" si="162"/>
        <v>0</v>
      </c>
      <c r="AU179" s="746">
        <f t="shared" si="162"/>
        <v>0</v>
      </c>
      <c r="AV179" s="746">
        <f t="shared" si="162"/>
        <v>0</v>
      </c>
      <c r="AW179" s="746">
        <f t="shared" si="162"/>
        <v>0</v>
      </c>
      <c r="AX179" s="746">
        <f t="shared" si="162"/>
        <v>0</v>
      </c>
      <c r="AY179" s="746">
        <f t="shared" si="162"/>
        <v>0</v>
      </c>
      <c r="AZ179" s="746">
        <f t="shared" si="162"/>
        <v>0</v>
      </c>
      <c r="BA179" s="746">
        <f t="shared" si="162"/>
        <v>0</v>
      </c>
      <c r="BB179" s="746">
        <f t="shared" si="162"/>
        <v>0</v>
      </c>
    </row>
    <row r="180" ht="15.75" customHeight="1">
      <c r="A180" s="624">
        <v>2044.0</v>
      </c>
      <c r="B180" s="738"/>
      <c r="C180" s="738"/>
      <c r="D180" s="738"/>
      <c r="E180" s="738"/>
      <c r="F180" s="738"/>
      <c r="G180" s="738"/>
      <c r="H180" s="738"/>
      <c r="I180" s="738"/>
      <c r="J180" s="738"/>
      <c r="K180" s="738"/>
      <c r="L180" s="738"/>
      <c r="M180" s="738"/>
      <c r="N180" s="738"/>
      <c r="O180" s="738"/>
      <c r="P180" s="738"/>
      <c r="Q180" s="738"/>
      <c r="R180" s="738"/>
      <c r="S180" s="738"/>
      <c r="T180" s="738"/>
      <c r="U180" s="738"/>
      <c r="V180" s="235">
        <v>1396.726580320239</v>
      </c>
      <c r="W180" s="746">
        <f t="shared" si="49"/>
        <v>0</v>
      </c>
      <c r="X180" s="746">
        <f t="shared" ref="X180:BB180" si="163">IF(AND(X$190-$A180&gt;$V$44,SUM($W180:W180)&lt;&gt;$V180),$V180,0)</f>
        <v>0</v>
      </c>
      <c r="Y180" s="746">
        <f t="shared" si="163"/>
        <v>0</v>
      </c>
      <c r="Z180" s="746">
        <f t="shared" si="163"/>
        <v>0</v>
      </c>
      <c r="AA180" s="746">
        <f t="shared" si="163"/>
        <v>0</v>
      </c>
      <c r="AB180" s="746">
        <f t="shared" si="163"/>
        <v>0</v>
      </c>
      <c r="AC180" s="746">
        <f t="shared" si="163"/>
        <v>0</v>
      </c>
      <c r="AD180" s="746">
        <f t="shared" si="163"/>
        <v>0</v>
      </c>
      <c r="AE180" s="746">
        <f t="shared" si="163"/>
        <v>0</v>
      </c>
      <c r="AF180" s="746">
        <f t="shared" si="163"/>
        <v>0</v>
      </c>
      <c r="AG180" s="746">
        <f t="shared" si="163"/>
        <v>0</v>
      </c>
      <c r="AH180" s="746">
        <f t="shared" si="163"/>
        <v>0</v>
      </c>
      <c r="AI180" s="746">
        <f t="shared" si="163"/>
        <v>0</v>
      </c>
      <c r="AJ180" s="746">
        <f t="shared" si="163"/>
        <v>0</v>
      </c>
      <c r="AK180" s="746">
        <f t="shared" si="163"/>
        <v>0</v>
      </c>
      <c r="AL180" s="746">
        <f t="shared" si="163"/>
        <v>0</v>
      </c>
      <c r="AM180" s="746">
        <f t="shared" si="163"/>
        <v>0</v>
      </c>
      <c r="AN180" s="746">
        <f t="shared" si="163"/>
        <v>0</v>
      </c>
      <c r="AO180" s="746">
        <f t="shared" si="163"/>
        <v>0</v>
      </c>
      <c r="AP180" s="746">
        <f t="shared" si="163"/>
        <v>0</v>
      </c>
      <c r="AQ180" s="746">
        <f t="shared" si="163"/>
        <v>0</v>
      </c>
      <c r="AR180" s="746">
        <f t="shared" si="163"/>
        <v>0</v>
      </c>
      <c r="AS180" s="746">
        <f t="shared" si="163"/>
        <v>0</v>
      </c>
      <c r="AT180" s="746">
        <f t="shared" si="163"/>
        <v>0</v>
      </c>
      <c r="AU180" s="746">
        <f t="shared" si="163"/>
        <v>0</v>
      </c>
      <c r="AV180" s="746">
        <f t="shared" si="163"/>
        <v>0</v>
      </c>
      <c r="AW180" s="746">
        <f t="shared" si="163"/>
        <v>0</v>
      </c>
      <c r="AX180" s="746">
        <f t="shared" si="163"/>
        <v>0</v>
      </c>
      <c r="AY180" s="746">
        <f t="shared" si="163"/>
        <v>0</v>
      </c>
      <c r="AZ180" s="746">
        <f t="shared" si="163"/>
        <v>0</v>
      </c>
      <c r="BA180" s="746">
        <f t="shared" si="163"/>
        <v>0</v>
      </c>
      <c r="BB180" s="746">
        <f t="shared" si="163"/>
        <v>0</v>
      </c>
    </row>
    <row r="181" ht="15.75" customHeight="1">
      <c r="A181" s="624">
        <v>2045.0</v>
      </c>
      <c r="B181" s="738"/>
      <c r="C181" s="738"/>
      <c r="D181" s="738"/>
      <c r="E181" s="738"/>
      <c r="F181" s="738"/>
      <c r="G181" s="738"/>
      <c r="H181" s="738"/>
      <c r="I181" s="738"/>
      <c r="J181" s="738"/>
      <c r="K181" s="738"/>
      <c r="L181" s="738"/>
      <c r="M181" s="738"/>
      <c r="N181" s="738"/>
      <c r="O181" s="738"/>
      <c r="P181" s="738"/>
      <c r="Q181" s="738"/>
      <c r="R181" s="738"/>
      <c r="S181" s="738"/>
      <c r="T181" s="738"/>
      <c r="U181" s="738"/>
      <c r="V181" s="235">
        <v>708.6265803202405</v>
      </c>
      <c r="W181" s="746">
        <f t="shared" si="49"/>
        <v>0</v>
      </c>
      <c r="X181" s="746">
        <f t="shared" ref="X181:BB181" si="164">IF(AND(X$190-$A181&gt;$V$44,SUM($W181:W181)&lt;&gt;$V181),$V181,0)</f>
        <v>0</v>
      </c>
      <c r="Y181" s="746">
        <f t="shared" si="164"/>
        <v>0</v>
      </c>
      <c r="Z181" s="746">
        <f t="shared" si="164"/>
        <v>0</v>
      </c>
      <c r="AA181" s="746">
        <f t="shared" si="164"/>
        <v>0</v>
      </c>
      <c r="AB181" s="746">
        <f t="shared" si="164"/>
        <v>0</v>
      </c>
      <c r="AC181" s="746">
        <f t="shared" si="164"/>
        <v>0</v>
      </c>
      <c r="AD181" s="746">
        <f t="shared" si="164"/>
        <v>0</v>
      </c>
      <c r="AE181" s="746">
        <f t="shared" si="164"/>
        <v>0</v>
      </c>
      <c r="AF181" s="746">
        <f t="shared" si="164"/>
        <v>0</v>
      </c>
      <c r="AG181" s="746">
        <f t="shared" si="164"/>
        <v>0</v>
      </c>
      <c r="AH181" s="746">
        <f t="shared" si="164"/>
        <v>0</v>
      </c>
      <c r="AI181" s="746">
        <f t="shared" si="164"/>
        <v>0</v>
      </c>
      <c r="AJ181" s="746">
        <f t="shared" si="164"/>
        <v>0</v>
      </c>
      <c r="AK181" s="746">
        <f t="shared" si="164"/>
        <v>0</v>
      </c>
      <c r="AL181" s="746">
        <f t="shared" si="164"/>
        <v>0</v>
      </c>
      <c r="AM181" s="746">
        <f t="shared" si="164"/>
        <v>0</v>
      </c>
      <c r="AN181" s="746">
        <f t="shared" si="164"/>
        <v>0</v>
      </c>
      <c r="AO181" s="746">
        <f t="shared" si="164"/>
        <v>0</v>
      </c>
      <c r="AP181" s="746">
        <f t="shared" si="164"/>
        <v>0</v>
      </c>
      <c r="AQ181" s="746">
        <f t="shared" si="164"/>
        <v>0</v>
      </c>
      <c r="AR181" s="746">
        <f t="shared" si="164"/>
        <v>0</v>
      </c>
      <c r="AS181" s="746">
        <f t="shared" si="164"/>
        <v>0</v>
      </c>
      <c r="AT181" s="746">
        <f t="shared" si="164"/>
        <v>0</v>
      </c>
      <c r="AU181" s="746">
        <f t="shared" si="164"/>
        <v>0</v>
      </c>
      <c r="AV181" s="746">
        <f t="shared" si="164"/>
        <v>0</v>
      </c>
      <c r="AW181" s="746">
        <f t="shared" si="164"/>
        <v>0</v>
      </c>
      <c r="AX181" s="746">
        <f t="shared" si="164"/>
        <v>0</v>
      </c>
      <c r="AY181" s="746">
        <f t="shared" si="164"/>
        <v>0</v>
      </c>
      <c r="AZ181" s="746">
        <f t="shared" si="164"/>
        <v>0</v>
      </c>
      <c r="BA181" s="746">
        <f t="shared" si="164"/>
        <v>0</v>
      </c>
      <c r="BB181" s="746">
        <f t="shared" si="164"/>
        <v>0</v>
      </c>
    </row>
    <row r="182" ht="15.75" customHeight="1">
      <c r="A182" s="624">
        <v>2046.0</v>
      </c>
      <c r="B182" s="738"/>
      <c r="C182" s="738"/>
      <c r="D182" s="738"/>
      <c r="E182" s="738"/>
      <c r="F182" s="738"/>
      <c r="G182" s="738"/>
      <c r="H182" s="738"/>
      <c r="I182" s="738"/>
      <c r="J182" s="738"/>
      <c r="K182" s="738"/>
      <c r="L182" s="738"/>
      <c r="M182" s="738"/>
      <c r="N182" s="738"/>
      <c r="O182" s="738"/>
      <c r="P182" s="738"/>
      <c r="Q182" s="738"/>
      <c r="R182" s="738"/>
      <c r="S182" s="738"/>
      <c r="T182" s="738"/>
      <c r="U182" s="738"/>
      <c r="V182" s="235">
        <v>2135.8265803202376</v>
      </c>
      <c r="W182" s="746">
        <f t="shared" si="49"/>
        <v>0</v>
      </c>
      <c r="X182" s="746">
        <f t="shared" ref="X182:BB182" si="165">IF(AND(X$190-$A182&gt;$V$44,SUM($W182:W182)&lt;&gt;$V182),$V182,0)</f>
        <v>0</v>
      </c>
      <c r="Y182" s="746">
        <f t="shared" si="165"/>
        <v>0</v>
      </c>
      <c r="Z182" s="746">
        <f t="shared" si="165"/>
        <v>0</v>
      </c>
      <c r="AA182" s="746">
        <f t="shared" si="165"/>
        <v>0</v>
      </c>
      <c r="AB182" s="746">
        <f t="shared" si="165"/>
        <v>0</v>
      </c>
      <c r="AC182" s="746">
        <f t="shared" si="165"/>
        <v>0</v>
      </c>
      <c r="AD182" s="746">
        <f t="shared" si="165"/>
        <v>0</v>
      </c>
      <c r="AE182" s="746">
        <f t="shared" si="165"/>
        <v>0</v>
      </c>
      <c r="AF182" s="746">
        <f t="shared" si="165"/>
        <v>0</v>
      </c>
      <c r="AG182" s="746">
        <f t="shared" si="165"/>
        <v>0</v>
      </c>
      <c r="AH182" s="746">
        <f t="shared" si="165"/>
        <v>0</v>
      </c>
      <c r="AI182" s="746">
        <f t="shared" si="165"/>
        <v>0</v>
      </c>
      <c r="AJ182" s="746">
        <f t="shared" si="165"/>
        <v>0</v>
      </c>
      <c r="AK182" s="746">
        <f t="shared" si="165"/>
        <v>0</v>
      </c>
      <c r="AL182" s="746">
        <f t="shared" si="165"/>
        <v>0</v>
      </c>
      <c r="AM182" s="746">
        <f t="shared" si="165"/>
        <v>0</v>
      </c>
      <c r="AN182" s="746">
        <f t="shared" si="165"/>
        <v>0</v>
      </c>
      <c r="AO182" s="746">
        <f t="shared" si="165"/>
        <v>0</v>
      </c>
      <c r="AP182" s="746">
        <f t="shared" si="165"/>
        <v>0</v>
      </c>
      <c r="AQ182" s="746">
        <f t="shared" si="165"/>
        <v>0</v>
      </c>
      <c r="AR182" s="746">
        <f t="shared" si="165"/>
        <v>0</v>
      </c>
      <c r="AS182" s="746">
        <f t="shared" si="165"/>
        <v>0</v>
      </c>
      <c r="AT182" s="746">
        <f t="shared" si="165"/>
        <v>0</v>
      </c>
      <c r="AU182" s="746">
        <f t="shared" si="165"/>
        <v>0</v>
      </c>
      <c r="AV182" s="746">
        <f t="shared" si="165"/>
        <v>0</v>
      </c>
      <c r="AW182" s="746">
        <f t="shared" si="165"/>
        <v>0</v>
      </c>
      <c r="AX182" s="746">
        <f t="shared" si="165"/>
        <v>0</v>
      </c>
      <c r="AY182" s="746">
        <f t="shared" si="165"/>
        <v>0</v>
      </c>
      <c r="AZ182" s="746">
        <f t="shared" si="165"/>
        <v>0</v>
      </c>
      <c r="BA182" s="746">
        <f t="shared" si="165"/>
        <v>0</v>
      </c>
      <c r="BB182" s="746">
        <f t="shared" si="165"/>
        <v>0</v>
      </c>
    </row>
    <row r="183" ht="15.75" customHeight="1">
      <c r="A183" s="624">
        <v>2047.0</v>
      </c>
      <c r="B183" s="738"/>
      <c r="C183" s="738"/>
      <c r="D183" s="738"/>
      <c r="E183" s="738"/>
      <c r="F183" s="738"/>
      <c r="G183" s="738"/>
      <c r="H183" s="738"/>
      <c r="I183" s="738"/>
      <c r="J183" s="738"/>
      <c r="K183" s="738"/>
      <c r="L183" s="738"/>
      <c r="M183" s="738"/>
      <c r="N183" s="738"/>
      <c r="O183" s="738"/>
      <c r="P183" s="738"/>
      <c r="Q183" s="738"/>
      <c r="R183" s="738"/>
      <c r="S183" s="738"/>
      <c r="T183" s="738"/>
      <c r="U183" s="738"/>
      <c r="V183" s="235">
        <v>2900.026580320242</v>
      </c>
      <c r="W183" s="746">
        <f t="shared" si="49"/>
        <v>0</v>
      </c>
      <c r="X183" s="746">
        <f t="shared" ref="X183:BB183" si="166">IF(AND(X$190-$A183&gt;$V$44,SUM($W183:W183)&lt;&gt;$V183),$V183,0)</f>
        <v>0</v>
      </c>
      <c r="Y183" s="746">
        <f t="shared" si="166"/>
        <v>0</v>
      </c>
      <c r="Z183" s="746">
        <f t="shared" si="166"/>
        <v>0</v>
      </c>
      <c r="AA183" s="746">
        <f t="shared" si="166"/>
        <v>0</v>
      </c>
      <c r="AB183" s="746">
        <f t="shared" si="166"/>
        <v>0</v>
      </c>
      <c r="AC183" s="746">
        <f t="shared" si="166"/>
        <v>0</v>
      </c>
      <c r="AD183" s="746">
        <f t="shared" si="166"/>
        <v>0</v>
      </c>
      <c r="AE183" s="746">
        <f t="shared" si="166"/>
        <v>0</v>
      </c>
      <c r="AF183" s="746">
        <f t="shared" si="166"/>
        <v>0</v>
      </c>
      <c r="AG183" s="746">
        <f t="shared" si="166"/>
        <v>0</v>
      </c>
      <c r="AH183" s="746">
        <f t="shared" si="166"/>
        <v>0</v>
      </c>
      <c r="AI183" s="746">
        <f t="shared" si="166"/>
        <v>0</v>
      </c>
      <c r="AJ183" s="746">
        <f t="shared" si="166"/>
        <v>0</v>
      </c>
      <c r="AK183" s="746">
        <f t="shared" si="166"/>
        <v>0</v>
      </c>
      <c r="AL183" s="746">
        <f t="shared" si="166"/>
        <v>0</v>
      </c>
      <c r="AM183" s="746">
        <f t="shared" si="166"/>
        <v>0</v>
      </c>
      <c r="AN183" s="746">
        <f t="shared" si="166"/>
        <v>0</v>
      </c>
      <c r="AO183" s="746">
        <f t="shared" si="166"/>
        <v>0</v>
      </c>
      <c r="AP183" s="746">
        <f t="shared" si="166"/>
        <v>0</v>
      </c>
      <c r="AQ183" s="746">
        <f t="shared" si="166"/>
        <v>0</v>
      </c>
      <c r="AR183" s="746">
        <f t="shared" si="166"/>
        <v>0</v>
      </c>
      <c r="AS183" s="746">
        <f t="shared" si="166"/>
        <v>0</v>
      </c>
      <c r="AT183" s="746">
        <f t="shared" si="166"/>
        <v>0</v>
      </c>
      <c r="AU183" s="746">
        <f t="shared" si="166"/>
        <v>0</v>
      </c>
      <c r="AV183" s="746">
        <f t="shared" si="166"/>
        <v>0</v>
      </c>
      <c r="AW183" s="746">
        <f t="shared" si="166"/>
        <v>0</v>
      </c>
      <c r="AX183" s="746">
        <f t="shared" si="166"/>
        <v>0</v>
      </c>
      <c r="AY183" s="746">
        <f t="shared" si="166"/>
        <v>0</v>
      </c>
      <c r="AZ183" s="746">
        <f t="shared" si="166"/>
        <v>0</v>
      </c>
      <c r="BA183" s="746">
        <f t="shared" si="166"/>
        <v>0</v>
      </c>
      <c r="BB183" s="746">
        <f t="shared" si="166"/>
        <v>0</v>
      </c>
    </row>
    <row r="184" ht="15.75" customHeight="1">
      <c r="A184" s="624">
        <v>2048.0</v>
      </c>
      <c r="B184" s="738"/>
      <c r="C184" s="738"/>
      <c r="D184" s="738"/>
      <c r="E184" s="738"/>
      <c r="F184" s="738"/>
      <c r="G184" s="738"/>
      <c r="H184" s="738"/>
      <c r="I184" s="738"/>
      <c r="J184" s="738"/>
      <c r="K184" s="738"/>
      <c r="L184" s="738"/>
      <c r="M184" s="738"/>
      <c r="N184" s="738"/>
      <c r="O184" s="738"/>
      <c r="P184" s="738"/>
      <c r="Q184" s="738"/>
      <c r="R184" s="738"/>
      <c r="S184" s="738"/>
      <c r="T184" s="738"/>
      <c r="U184" s="738"/>
      <c r="V184" s="235">
        <v>5170.426580320243</v>
      </c>
      <c r="W184" s="746">
        <f t="shared" si="49"/>
        <v>0</v>
      </c>
      <c r="X184" s="746">
        <f t="shared" ref="X184:BB184" si="167">IF(AND(X$190-$A184&gt;$V$44,SUM($W184:W184)&lt;&gt;$V184),$V184,0)</f>
        <v>0</v>
      </c>
      <c r="Y184" s="746">
        <f t="shared" si="167"/>
        <v>0</v>
      </c>
      <c r="Z184" s="746">
        <f t="shared" si="167"/>
        <v>0</v>
      </c>
      <c r="AA184" s="746">
        <f t="shared" si="167"/>
        <v>0</v>
      </c>
      <c r="AB184" s="746">
        <f t="shared" si="167"/>
        <v>0</v>
      </c>
      <c r="AC184" s="746">
        <f t="shared" si="167"/>
        <v>0</v>
      </c>
      <c r="AD184" s="746">
        <f t="shared" si="167"/>
        <v>0</v>
      </c>
      <c r="AE184" s="746">
        <f t="shared" si="167"/>
        <v>0</v>
      </c>
      <c r="AF184" s="746">
        <f t="shared" si="167"/>
        <v>0</v>
      </c>
      <c r="AG184" s="746">
        <f t="shared" si="167"/>
        <v>0</v>
      </c>
      <c r="AH184" s="746">
        <f t="shared" si="167"/>
        <v>0</v>
      </c>
      <c r="AI184" s="746">
        <f t="shared" si="167"/>
        <v>0</v>
      </c>
      <c r="AJ184" s="746">
        <f t="shared" si="167"/>
        <v>0</v>
      </c>
      <c r="AK184" s="746">
        <f t="shared" si="167"/>
        <v>0</v>
      </c>
      <c r="AL184" s="746">
        <f t="shared" si="167"/>
        <v>0</v>
      </c>
      <c r="AM184" s="746">
        <f t="shared" si="167"/>
        <v>0</v>
      </c>
      <c r="AN184" s="746">
        <f t="shared" si="167"/>
        <v>0</v>
      </c>
      <c r="AO184" s="746">
        <f t="shared" si="167"/>
        <v>0</v>
      </c>
      <c r="AP184" s="746">
        <f t="shared" si="167"/>
        <v>0</v>
      </c>
      <c r="AQ184" s="746">
        <f t="shared" si="167"/>
        <v>0</v>
      </c>
      <c r="AR184" s="746">
        <f t="shared" si="167"/>
        <v>0</v>
      </c>
      <c r="AS184" s="746">
        <f t="shared" si="167"/>
        <v>0</v>
      </c>
      <c r="AT184" s="746">
        <f t="shared" si="167"/>
        <v>0</v>
      </c>
      <c r="AU184" s="746">
        <f t="shared" si="167"/>
        <v>0</v>
      </c>
      <c r="AV184" s="746">
        <f t="shared" si="167"/>
        <v>0</v>
      </c>
      <c r="AW184" s="746">
        <f t="shared" si="167"/>
        <v>0</v>
      </c>
      <c r="AX184" s="746">
        <f t="shared" si="167"/>
        <v>0</v>
      </c>
      <c r="AY184" s="746">
        <f t="shared" si="167"/>
        <v>0</v>
      </c>
      <c r="AZ184" s="746">
        <f t="shared" si="167"/>
        <v>0</v>
      </c>
      <c r="BA184" s="746">
        <f t="shared" si="167"/>
        <v>0</v>
      </c>
      <c r="BB184" s="746">
        <f t="shared" si="167"/>
        <v>0</v>
      </c>
    </row>
    <row r="185" ht="15.75" customHeight="1">
      <c r="A185" s="624">
        <v>2049.0</v>
      </c>
      <c r="B185" s="738"/>
      <c r="C185" s="738"/>
      <c r="D185" s="738"/>
      <c r="E185" s="738"/>
      <c r="F185" s="738"/>
      <c r="G185" s="738"/>
      <c r="H185" s="738"/>
      <c r="I185" s="738"/>
      <c r="J185" s="738"/>
      <c r="K185" s="738"/>
      <c r="L185" s="738"/>
      <c r="M185" s="738"/>
      <c r="N185" s="738"/>
      <c r="O185" s="738"/>
      <c r="P185" s="738"/>
      <c r="Q185" s="738"/>
      <c r="R185" s="738"/>
      <c r="S185" s="738"/>
      <c r="T185" s="738"/>
      <c r="U185" s="738"/>
      <c r="V185" s="235">
        <v>1438.6265803202405</v>
      </c>
      <c r="W185" s="746">
        <f t="shared" si="49"/>
        <v>0</v>
      </c>
      <c r="X185" s="746">
        <f t="shared" ref="X185:BB185" si="168">IF(AND(X$190-$A185&gt;$V$44,SUM($W185:W185)&lt;&gt;$V185),$V185,0)</f>
        <v>0</v>
      </c>
      <c r="Y185" s="746">
        <f t="shared" si="168"/>
        <v>0</v>
      </c>
      <c r="Z185" s="746">
        <f t="shared" si="168"/>
        <v>0</v>
      </c>
      <c r="AA185" s="746">
        <f t="shared" si="168"/>
        <v>0</v>
      </c>
      <c r="AB185" s="746">
        <f t="shared" si="168"/>
        <v>0</v>
      </c>
      <c r="AC185" s="746">
        <f t="shared" si="168"/>
        <v>0</v>
      </c>
      <c r="AD185" s="746">
        <f t="shared" si="168"/>
        <v>0</v>
      </c>
      <c r="AE185" s="746">
        <f t="shared" si="168"/>
        <v>0</v>
      </c>
      <c r="AF185" s="746">
        <f t="shared" si="168"/>
        <v>0</v>
      </c>
      <c r="AG185" s="746">
        <f t="shared" si="168"/>
        <v>0</v>
      </c>
      <c r="AH185" s="746">
        <f t="shared" si="168"/>
        <v>0</v>
      </c>
      <c r="AI185" s="746">
        <f t="shared" si="168"/>
        <v>0</v>
      </c>
      <c r="AJ185" s="746">
        <f t="shared" si="168"/>
        <v>0</v>
      </c>
      <c r="AK185" s="746">
        <f t="shared" si="168"/>
        <v>0</v>
      </c>
      <c r="AL185" s="746">
        <f t="shared" si="168"/>
        <v>0</v>
      </c>
      <c r="AM185" s="746">
        <f t="shared" si="168"/>
        <v>0</v>
      </c>
      <c r="AN185" s="746">
        <f t="shared" si="168"/>
        <v>0</v>
      </c>
      <c r="AO185" s="746">
        <f t="shared" si="168"/>
        <v>0</v>
      </c>
      <c r="AP185" s="746">
        <f t="shared" si="168"/>
        <v>0</v>
      </c>
      <c r="AQ185" s="746">
        <f t="shared" si="168"/>
        <v>0</v>
      </c>
      <c r="AR185" s="746">
        <f t="shared" si="168"/>
        <v>0</v>
      </c>
      <c r="AS185" s="746">
        <f t="shared" si="168"/>
        <v>0</v>
      </c>
      <c r="AT185" s="746">
        <f t="shared" si="168"/>
        <v>0</v>
      </c>
      <c r="AU185" s="746">
        <f t="shared" si="168"/>
        <v>0</v>
      </c>
      <c r="AV185" s="746">
        <f t="shared" si="168"/>
        <v>0</v>
      </c>
      <c r="AW185" s="746">
        <f t="shared" si="168"/>
        <v>0</v>
      </c>
      <c r="AX185" s="746">
        <f t="shared" si="168"/>
        <v>0</v>
      </c>
      <c r="AY185" s="746">
        <f t="shared" si="168"/>
        <v>0</v>
      </c>
      <c r="AZ185" s="746">
        <f t="shared" si="168"/>
        <v>0</v>
      </c>
      <c r="BA185" s="746">
        <f t="shared" si="168"/>
        <v>0</v>
      </c>
      <c r="BB185" s="746">
        <f t="shared" si="168"/>
        <v>0</v>
      </c>
    </row>
    <row r="186" ht="15.75" customHeight="1">
      <c r="A186" s="624">
        <v>2050.0</v>
      </c>
      <c r="B186" s="738"/>
      <c r="C186" s="738"/>
      <c r="D186" s="738"/>
      <c r="E186" s="738"/>
      <c r="F186" s="738"/>
      <c r="G186" s="738"/>
      <c r="H186" s="738"/>
      <c r="I186" s="738"/>
      <c r="J186" s="738"/>
      <c r="K186" s="738"/>
      <c r="L186" s="738"/>
      <c r="M186" s="738"/>
      <c r="N186" s="738"/>
      <c r="O186" s="738"/>
      <c r="P186" s="738"/>
      <c r="Q186" s="738"/>
      <c r="R186" s="738"/>
      <c r="S186" s="738"/>
      <c r="T186" s="738"/>
      <c r="U186" s="738"/>
      <c r="V186" s="235">
        <v>1548.6265803203278</v>
      </c>
      <c r="W186" s="746">
        <f t="shared" si="49"/>
        <v>0</v>
      </c>
      <c r="X186" s="746">
        <f t="shared" ref="X186:BB186" si="169">IF(AND(X$190-$A186&gt;$V$44,SUM($W186:W186)&lt;&gt;$V186),$V186,0)</f>
        <v>0</v>
      </c>
      <c r="Y186" s="746">
        <f t="shared" si="169"/>
        <v>0</v>
      </c>
      <c r="Z186" s="746">
        <f t="shared" si="169"/>
        <v>0</v>
      </c>
      <c r="AA186" s="746">
        <f t="shared" si="169"/>
        <v>0</v>
      </c>
      <c r="AB186" s="746">
        <f t="shared" si="169"/>
        <v>0</v>
      </c>
      <c r="AC186" s="746">
        <f t="shared" si="169"/>
        <v>0</v>
      </c>
      <c r="AD186" s="746">
        <f t="shared" si="169"/>
        <v>0</v>
      </c>
      <c r="AE186" s="746">
        <f t="shared" si="169"/>
        <v>0</v>
      </c>
      <c r="AF186" s="746">
        <f t="shared" si="169"/>
        <v>0</v>
      </c>
      <c r="AG186" s="746">
        <f t="shared" si="169"/>
        <v>0</v>
      </c>
      <c r="AH186" s="746">
        <f t="shared" si="169"/>
        <v>0</v>
      </c>
      <c r="AI186" s="746">
        <f t="shared" si="169"/>
        <v>0</v>
      </c>
      <c r="AJ186" s="746">
        <f t="shared" si="169"/>
        <v>0</v>
      </c>
      <c r="AK186" s="746">
        <f t="shared" si="169"/>
        <v>0</v>
      </c>
      <c r="AL186" s="746">
        <f t="shared" si="169"/>
        <v>0</v>
      </c>
      <c r="AM186" s="746">
        <f t="shared" si="169"/>
        <v>0</v>
      </c>
      <c r="AN186" s="746">
        <f t="shared" si="169"/>
        <v>0</v>
      </c>
      <c r="AO186" s="746">
        <f t="shared" si="169"/>
        <v>0</v>
      </c>
      <c r="AP186" s="746">
        <f t="shared" si="169"/>
        <v>0</v>
      </c>
      <c r="AQ186" s="746">
        <f t="shared" si="169"/>
        <v>0</v>
      </c>
      <c r="AR186" s="746">
        <f t="shared" si="169"/>
        <v>0</v>
      </c>
      <c r="AS186" s="746">
        <f t="shared" si="169"/>
        <v>0</v>
      </c>
      <c r="AT186" s="746">
        <f t="shared" si="169"/>
        <v>0</v>
      </c>
      <c r="AU186" s="746">
        <f t="shared" si="169"/>
        <v>0</v>
      </c>
      <c r="AV186" s="746">
        <f t="shared" si="169"/>
        <v>0</v>
      </c>
      <c r="AW186" s="746">
        <f t="shared" si="169"/>
        <v>0</v>
      </c>
      <c r="AX186" s="746">
        <f t="shared" si="169"/>
        <v>0</v>
      </c>
      <c r="AY186" s="746">
        <f t="shared" si="169"/>
        <v>0</v>
      </c>
      <c r="AZ186" s="746">
        <f t="shared" si="169"/>
        <v>0</v>
      </c>
      <c r="BA186" s="746">
        <f t="shared" si="169"/>
        <v>0</v>
      </c>
      <c r="BB186" s="746">
        <f t="shared" si="169"/>
        <v>0</v>
      </c>
    </row>
    <row r="187" ht="15.75" customHeight="1">
      <c r="A187" s="738"/>
      <c r="B187" s="738"/>
      <c r="C187" s="738"/>
      <c r="D187" s="738"/>
      <c r="E187" s="738"/>
      <c r="F187" s="738"/>
      <c r="G187" s="738"/>
      <c r="H187" s="738"/>
      <c r="I187" s="738"/>
      <c r="J187" s="738"/>
      <c r="K187" s="738"/>
      <c r="L187" s="738"/>
      <c r="M187" s="738"/>
      <c r="N187" s="738"/>
      <c r="O187" s="738"/>
      <c r="P187" s="738"/>
      <c r="Q187" s="738"/>
      <c r="R187" s="738"/>
      <c r="S187" s="738"/>
      <c r="T187" s="738"/>
      <c r="U187" s="738"/>
      <c r="V187" s="252"/>
      <c r="W187" s="252"/>
      <c r="X187" s="252"/>
      <c r="Y187" s="252"/>
      <c r="Z187" s="252"/>
      <c r="AA187" s="252"/>
      <c r="AB187" s="252"/>
      <c r="AC187" s="252"/>
      <c r="AD187" s="252"/>
      <c r="AE187" s="252"/>
      <c r="AF187" s="252"/>
      <c r="AG187" s="252"/>
      <c r="AH187" s="252"/>
      <c r="AI187" s="252"/>
      <c r="AJ187" s="252"/>
      <c r="AK187" s="252"/>
      <c r="AL187" s="252"/>
      <c r="AM187" s="252"/>
      <c r="AN187" s="252"/>
      <c r="AO187" s="252"/>
      <c r="AP187" s="252"/>
      <c r="AQ187" s="252"/>
      <c r="AR187" s="252"/>
      <c r="AS187" s="252"/>
      <c r="AT187" s="252"/>
      <c r="AU187" s="252"/>
      <c r="AV187" s="252"/>
      <c r="AW187" s="252"/>
      <c r="AX187" s="252"/>
      <c r="AY187" s="252"/>
      <c r="AZ187" s="252"/>
      <c r="BA187" s="252"/>
      <c r="BB187" s="252"/>
    </row>
    <row r="188" ht="15.75" customHeight="1">
      <c r="A188" s="738"/>
      <c r="B188" s="738"/>
      <c r="C188" s="738"/>
      <c r="D188" s="738"/>
      <c r="E188" s="738"/>
      <c r="F188" s="738"/>
      <c r="G188" s="738"/>
      <c r="H188" s="738"/>
      <c r="I188" s="738"/>
      <c r="J188" s="738"/>
      <c r="K188" s="738"/>
      <c r="L188" s="738"/>
      <c r="M188" s="738"/>
      <c r="N188" s="738"/>
      <c r="O188" s="738"/>
      <c r="P188" s="738"/>
      <c r="Q188" s="738"/>
      <c r="R188" s="738"/>
      <c r="S188" s="738"/>
      <c r="T188" s="738"/>
      <c r="U188" s="738"/>
      <c r="V188" s="252"/>
      <c r="W188" s="252"/>
      <c r="X188" s="252"/>
      <c r="Y188" s="252"/>
      <c r="Z188" s="252"/>
      <c r="AA188" s="252"/>
      <c r="AB188" s="252"/>
      <c r="AC188" s="252"/>
      <c r="AD188" s="252"/>
      <c r="AE188" s="252"/>
      <c r="AF188" s="252"/>
      <c r="AG188" s="252"/>
      <c r="AH188" s="252"/>
      <c r="AI188" s="252"/>
      <c r="AJ188" s="252"/>
      <c r="AK188" s="252"/>
      <c r="AL188" s="252"/>
      <c r="AM188" s="252"/>
      <c r="AN188" s="252"/>
      <c r="AO188" s="252"/>
      <c r="AP188" s="252"/>
      <c r="AQ188" s="252"/>
      <c r="AR188" s="252"/>
      <c r="AS188" s="252"/>
      <c r="AT188" s="252"/>
      <c r="AU188" s="252"/>
      <c r="AV188" s="252"/>
      <c r="AW188" s="252"/>
      <c r="AX188" s="252"/>
      <c r="AY188" s="252"/>
      <c r="AZ188" s="252"/>
      <c r="BA188" s="252"/>
      <c r="BB188" s="252"/>
    </row>
    <row r="189" ht="15.75" customHeight="1">
      <c r="A189" s="728" t="s">
        <v>1062</v>
      </c>
      <c r="B189" s="403"/>
      <c r="C189" s="403"/>
      <c r="D189" s="403"/>
      <c r="E189" s="403"/>
      <c r="F189" s="403"/>
      <c r="G189" s="403"/>
      <c r="H189" s="403"/>
      <c r="I189" s="403"/>
      <c r="J189" s="403"/>
      <c r="K189" s="403"/>
      <c r="L189" s="403"/>
      <c r="M189" s="403"/>
      <c r="N189" s="403"/>
      <c r="O189" s="403"/>
      <c r="P189" s="403"/>
      <c r="Q189" s="403"/>
      <c r="R189" s="403"/>
      <c r="S189" s="403"/>
      <c r="T189" s="403"/>
      <c r="U189" s="403"/>
      <c r="V189" s="32"/>
      <c r="W189" s="742">
        <f t="shared" ref="W189:BB189" si="170">SUM(W191:W280)</f>
        <v>4738.8</v>
      </c>
      <c r="X189" s="742">
        <f t="shared" si="170"/>
        <v>768.2</v>
      </c>
      <c r="Y189" s="742">
        <f t="shared" si="170"/>
        <v>578</v>
      </c>
      <c r="Z189" s="742">
        <f t="shared" si="170"/>
        <v>941</v>
      </c>
      <c r="AA189" s="742">
        <f t="shared" si="170"/>
        <v>2261.4</v>
      </c>
      <c r="AB189" s="742">
        <f t="shared" si="170"/>
        <v>28.8</v>
      </c>
      <c r="AC189" s="742">
        <f t="shared" si="170"/>
        <v>28.8</v>
      </c>
      <c r="AD189" s="742">
        <f t="shared" si="170"/>
        <v>0</v>
      </c>
      <c r="AE189" s="742">
        <f t="shared" si="170"/>
        <v>0</v>
      </c>
      <c r="AF189" s="742">
        <f t="shared" si="170"/>
        <v>0</v>
      </c>
      <c r="AG189" s="742">
        <f t="shared" si="170"/>
        <v>71.2</v>
      </c>
      <c r="AH189" s="742">
        <f t="shared" si="170"/>
        <v>15.9</v>
      </c>
      <c r="AI189" s="742">
        <f t="shared" si="170"/>
        <v>16.8</v>
      </c>
      <c r="AJ189" s="742">
        <f t="shared" si="170"/>
        <v>25</v>
      </c>
      <c r="AK189" s="742">
        <f t="shared" si="170"/>
        <v>101.7</v>
      </c>
      <c r="AL189" s="742">
        <f t="shared" si="170"/>
        <v>50.4</v>
      </c>
      <c r="AM189" s="742">
        <f t="shared" si="170"/>
        <v>0</v>
      </c>
      <c r="AN189" s="742">
        <f t="shared" si="170"/>
        <v>0</v>
      </c>
      <c r="AO189" s="742">
        <f t="shared" si="170"/>
        <v>37.1</v>
      </c>
      <c r="AP189" s="742">
        <f t="shared" si="170"/>
        <v>0</v>
      </c>
      <c r="AQ189" s="742">
        <f t="shared" si="170"/>
        <v>126.2</v>
      </c>
      <c r="AR189" s="742">
        <f t="shared" si="170"/>
        <v>38.9</v>
      </c>
      <c r="AS189" s="742">
        <f t="shared" si="170"/>
        <v>23</v>
      </c>
      <c r="AT189" s="742">
        <f t="shared" si="170"/>
        <v>1078.7</v>
      </c>
      <c r="AU189" s="742">
        <f t="shared" si="170"/>
        <v>2127.9</v>
      </c>
      <c r="AV189" s="742">
        <f t="shared" si="170"/>
        <v>781.4</v>
      </c>
      <c r="AW189" s="742">
        <f t="shared" si="170"/>
        <v>407.8</v>
      </c>
      <c r="AX189" s="742">
        <f t="shared" si="170"/>
        <v>251</v>
      </c>
      <c r="AY189" s="742">
        <f t="shared" si="170"/>
        <v>1175.2</v>
      </c>
      <c r="AZ189" s="742">
        <f t="shared" si="170"/>
        <v>6653.2</v>
      </c>
      <c r="BA189" s="742">
        <f t="shared" si="170"/>
        <v>4389</v>
      </c>
      <c r="BB189" s="742">
        <f t="shared" si="170"/>
        <v>3692.2</v>
      </c>
    </row>
    <row r="190" ht="15.75" customHeight="1">
      <c r="A190" s="733" t="s">
        <v>1012</v>
      </c>
      <c r="B190" s="733"/>
      <c r="C190" s="733"/>
      <c r="D190" s="733"/>
      <c r="E190" s="733"/>
      <c r="F190" s="733"/>
      <c r="G190" s="733"/>
      <c r="H190" s="733"/>
      <c r="I190" s="733"/>
      <c r="J190" s="733"/>
      <c r="K190" s="733"/>
      <c r="L190" s="733"/>
      <c r="M190" s="733"/>
      <c r="N190" s="733"/>
      <c r="O190" s="733"/>
      <c r="P190" s="733"/>
      <c r="Q190" s="733"/>
      <c r="R190" s="733"/>
      <c r="S190" s="734" t="s">
        <v>1013</v>
      </c>
      <c r="T190" s="735" t="s">
        <v>1014</v>
      </c>
      <c r="U190" s="733"/>
      <c r="V190" s="767" t="s">
        <v>1063</v>
      </c>
      <c r="W190" s="557">
        <v>2020.0</v>
      </c>
      <c r="X190" s="557">
        <v>2021.0</v>
      </c>
      <c r="Y190" s="557">
        <v>2022.0</v>
      </c>
      <c r="Z190" s="557">
        <v>2023.0</v>
      </c>
      <c r="AA190" s="557">
        <v>2024.0</v>
      </c>
      <c r="AB190" s="557">
        <v>2025.0</v>
      </c>
      <c r="AC190" s="557">
        <v>2026.0</v>
      </c>
      <c r="AD190" s="557">
        <v>2027.0</v>
      </c>
      <c r="AE190" s="557">
        <v>2028.0</v>
      </c>
      <c r="AF190" s="557">
        <v>2029.0</v>
      </c>
      <c r="AG190" s="557">
        <v>2030.0</v>
      </c>
      <c r="AH190" s="557">
        <v>2031.0</v>
      </c>
      <c r="AI190" s="557">
        <v>2032.0</v>
      </c>
      <c r="AJ190" s="557">
        <v>2033.0</v>
      </c>
      <c r="AK190" s="557">
        <v>2034.0</v>
      </c>
      <c r="AL190" s="557">
        <v>2035.0</v>
      </c>
      <c r="AM190" s="557">
        <v>2036.0</v>
      </c>
      <c r="AN190" s="557">
        <v>2037.0</v>
      </c>
      <c r="AO190" s="557">
        <v>2038.0</v>
      </c>
      <c r="AP190" s="557">
        <v>2039.0</v>
      </c>
      <c r="AQ190" s="557">
        <v>2040.0</v>
      </c>
      <c r="AR190" s="557">
        <v>2041.0</v>
      </c>
      <c r="AS190" s="557">
        <v>2042.0</v>
      </c>
      <c r="AT190" s="557">
        <v>2043.0</v>
      </c>
      <c r="AU190" s="557">
        <v>2044.0</v>
      </c>
      <c r="AV190" s="557">
        <v>2045.0</v>
      </c>
      <c r="AW190" s="557">
        <v>2046.0</v>
      </c>
      <c r="AX190" s="557">
        <v>2047.0</v>
      </c>
      <c r="AY190" s="557">
        <v>2048.0</v>
      </c>
      <c r="AZ190" s="557">
        <v>2049.0</v>
      </c>
      <c r="BA190" s="557">
        <v>2050.0</v>
      </c>
      <c r="BB190" s="557">
        <v>2051.0</v>
      </c>
    </row>
    <row r="191" ht="15.75" customHeight="1">
      <c r="A191" s="768">
        <v>1930.0</v>
      </c>
      <c r="B191" s="38"/>
      <c r="C191" s="38"/>
      <c r="D191" s="38"/>
      <c r="E191" s="38"/>
      <c r="F191" s="38"/>
      <c r="G191" s="38"/>
      <c r="H191" s="38"/>
      <c r="I191" s="38"/>
      <c r="J191" s="38"/>
      <c r="K191" s="38"/>
      <c r="L191" s="38"/>
      <c r="M191" s="38"/>
      <c r="N191" s="38"/>
      <c r="O191" s="38"/>
      <c r="P191" s="38"/>
      <c r="Q191" s="38"/>
      <c r="R191" s="38"/>
      <c r="S191" s="740">
        <v>1930.0</v>
      </c>
      <c r="T191" s="740">
        <v>5.8</v>
      </c>
      <c r="U191" s="38"/>
      <c r="V191" s="771">
        <v>0.0</v>
      </c>
      <c r="W191" s="252">
        <f t="shared" ref="W191:W311" si="172">IF(W$190-$A191&gt;$V$48,$V191,0)</f>
        <v>0</v>
      </c>
      <c r="X191" s="252">
        <f t="shared" ref="X191:BB191" si="171">IF(AND(X$190-$A191&gt;$V$48,SUM($W191:W191)&lt;&gt;$V191),$V191,0)</f>
        <v>0</v>
      </c>
      <c r="Y191" s="252">
        <f t="shared" si="171"/>
        <v>0</v>
      </c>
      <c r="Z191" s="252">
        <f t="shared" si="171"/>
        <v>0</v>
      </c>
      <c r="AA191" s="252">
        <f t="shared" si="171"/>
        <v>0</v>
      </c>
      <c r="AB191" s="252">
        <f t="shared" si="171"/>
        <v>0</v>
      </c>
      <c r="AC191" s="252">
        <f t="shared" si="171"/>
        <v>0</v>
      </c>
      <c r="AD191" s="252">
        <f t="shared" si="171"/>
        <v>0</v>
      </c>
      <c r="AE191" s="252">
        <f t="shared" si="171"/>
        <v>0</v>
      </c>
      <c r="AF191" s="252">
        <f t="shared" si="171"/>
        <v>0</v>
      </c>
      <c r="AG191" s="252">
        <f t="shared" si="171"/>
        <v>0</v>
      </c>
      <c r="AH191" s="252">
        <f t="shared" si="171"/>
        <v>0</v>
      </c>
      <c r="AI191" s="252">
        <f t="shared" si="171"/>
        <v>0</v>
      </c>
      <c r="AJ191" s="252">
        <f t="shared" si="171"/>
        <v>0</v>
      </c>
      <c r="AK191" s="252">
        <f t="shared" si="171"/>
        <v>0</v>
      </c>
      <c r="AL191" s="252">
        <f t="shared" si="171"/>
        <v>0</v>
      </c>
      <c r="AM191" s="252">
        <f t="shared" si="171"/>
        <v>0</v>
      </c>
      <c r="AN191" s="252">
        <f t="shared" si="171"/>
        <v>0</v>
      </c>
      <c r="AO191" s="252">
        <f t="shared" si="171"/>
        <v>0</v>
      </c>
      <c r="AP191" s="252">
        <f t="shared" si="171"/>
        <v>0</v>
      </c>
      <c r="AQ191" s="252">
        <f t="shared" si="171"/>
        <v>0</v>
      </c>
      <c r="AR191" s="252">
        <f t="shared" si="171"/>
        <v>0</v>
      </c>
      <c r="AS191" s="252">
        <f t="shared" si="171"/>
        <v>0</v>
      </c>
      <c r="AT191" s="252">
        <f t="shared" si="171"/>
        <v>0</v>
      </c>
      <c r="AU191" s="252">
        <f t="shared" si="171"/>
        <v>0</v>
      </c>
      <c r="AV191" s="252">
        <f t="shared" si="171"/>
        <v>0</v>
      </c>
      <c r="AW191" s="252">
        <f t="shared" si="171"/>
        <v>0</v>
      </c>
      <c r="AX191" s="252">
        <f t="shared" si="171"/>
        <v>0</v>
      </c>
      <c r="AY191" s="252">
        <f t="shared" si="171"/>
        <v>0</v>
      </c>
      <c r="AZ191" s="252">
        <f t="shared" si="171"/>
        <v>0</v>
      </c>
      <c r="BA191" s="252">
        <f t="shared" si="171"/>
        <v>0</v>
      </c>
      <c r="BB191" s="252">
        <f t="shared" si="171"/>
        <v>0</v>
      </c>
    </row>
    <row r="192" ht="15.75" customHeight="1">
      <c r="A192" s="768">
        <v>1931.0</v>
      </c>
      <c r="B192" s="38"/>
      <c r="C192" s="38"/>
      <c r="D192" s="38"/>
      <c r="E192" s="38"/>
      <c r="F192" s="38"/>
      <c r="G192" s="38"/>
      <c r="H192" s="38"/>
      <c r="I192" s="38"/>
      <c r="J192" s="38"/>
      <c r="K192" s="38"/>
      <c r="L192" s="38"/>
      <c r="M192" s="38"/>
      <c r="N192" s="38"/>
      <c r="O192" s="38"/>
      <c r="P192" s="38"/>
      <c r="Q192" s="38"/>
      <c r="R192" s="38"/>
      <c r="S192" s="740">
        <v>1936.0</v>
      </c>
      <c r="T192" s="740">
        <v>6.0</v>
      </c>
      <c r="U192" s="38"/>
      <c r="V192" s="771">
        <v>0.0</v>
      </c>
      <c r="W192" s="252">
        <f t="shared" si="172"/>
        <v>0</v>
      </c>
      <c r="X192" s="252">
        <f t="shared" ref="X192:BB192" si="173">IF(AND(X$190-$A192&gt;$V$48,SUM($W192:W192)&lt;&gt;$V192),$V192,0)</f>
        <v>0</v>
      </c>
      <c r="Y192" s="252">
        <f t="shared" si="173"/>
        <v>0</v>
      </c>
      <c r="Z192" s="252">
        <f t="shared" si="173"/>
        <v>0</v>
      </c>
      <c r="AA192" s="252">
        <f t="shared" si="173"/>
        <v>0</v>
      </c>
      <c r="AB192" s="252">
        <f t="shared" si="173"/>
        <v>0</v>
      </c>
      <c r="AC192" s="252">
        <f t="shared" si="173"/>
        <v>0</v>
      </c>
      <c r="AD192" s="252">
        <f t="shared" si="173"/>
        <v>0</v>
      </c>
      <c r="AE192" s="252">
        <f t="shared" si="173"/>
        <v>0</v>
      </c>
      <c r="AF192" s="252">
        <f t="shared" si="173"/>
        <v>0</v>
      </c>
      <c r="AG192" s="252">
        <f t="shared" si="173"/>
        <v>0</v>
      </c>
      <c r="AH192" s="252">
        <f t="shared" si="173"/>
        <v>0</v>
      </c>
      <c r="AI192" s="252">
        <f t="shared" si="173"/>
        <v>0</v>
      </c>
      <c r="AJ192" s="252">
        <f t="shared" si="173"/>
        <v>0</v>
      </c>
      <c r="AK192" s="252">
        <f t="shared" si="173"/>
        <v>0</v>
      </c>
      <c r="AL192" s="252">
        <f t="shared" si="173"/>
        <v>0</v>
      </c>
      <c r="AM192" s="252">
        <f t="shared" si="173"/>
        <v>0</v>
      </c>
      <c r="AN192" s="252">
        <f t="shared" si="173"/>
        <v>0</v>
      </c>
      <c r="AO192" s="252">
        <f t="shared" si="173"/>
        <v>0</v>
      </c>
      <c r="AP192" s="252">
        <f t="shared" si="173"/>
        <v>0</v>
      </c>
      <c r="AQ192" s="252">
        <f t="shared" si="173"/>
        <v>0</v>
      </c>
      <c r="AR192" s="252">
        <f t="shared" si="173"/>
        <v>0</v>
      </c>
      <c r="AS192" s="252">
        <f t="shared" si="173"/>
        <v>0</v>
      </c>
      <c r="AT192" s="252">
        <f t="shared" si="173"/>
        <v>0</v>
      </c>
      <c r="AU192" s="252">
        <f t="shared" si="173"/>
        <v>0</v>
      </c>
      <c r="AV192" s="252">
        <f t="shared" si="173"/>
        <v>0</v>
      </c>
      <c r="AW192" s="252">
        <f t="shared" si="173"/>
        <v>0</v>
      </c>
      <c r="AX192" s="252">
        <f t="shared" si="173"/>
        <v>0</v>
      </c>
      <c r="AY192" s="252">
        <f t="shared" si="173"/>
        <v>0</v>
      </c>
      <c r="AZ192" s="252">
        <f t="shared" si="173"/>
        <v>0</v>
      </c>
      <c r="BA192" s="252">
        <f t="shared" si="173"/>
        <v>0</v>
      </c>
      <c r="BB192" s="252">
        <f t="shared" si="173"/>
        <v>0</v>
      </c>
    </row>
    <row r="193" ht="15.75" customHeight="1">
      <c r="A193" s="768">
        <v>1932.0</v>
      </c>
      <c r="B193" s="38"/>
      <c r="C193" s="38"/>
      <c r="D193" s="38"/>
      <c r="E193" s="38"/>
      <c r="F193" s="38"/>
      <c r="G193" s="38"/>
      <c r="H193" s="38"/>
      <c r="I193" s="38"/>
      <c r="J193" s="38"/>
      <c r="K193" s="38"/>
      <c r="L193" s="38"/>
      <c r="M193" s="38"/>
      <c r="N193" s="38"/>
      <c r="O193" s="38"/>
      <c r="P193" s="38"/>
      <c r="Q193" s="38"/>
      <c r="R193" s="38"/>
      <c r="S193" s="740">
        <v>1937.0</v>
      </c>
      <c r="T193" s="740">
        <v>7.5</v>
      </c>
      <c r="U193" s="38"/>
      <c r="V193" s="771">
        <v>0.0</v>
      </c>
      <c r="W193" s="252">
        <f t="shared" si="172"/>
        <v>0</v>
      </c>
      <c r="X193" s="252">
        <f t="shared" ref="X193:BB193" si="174">IF(AND(X$190-$A193&gt;$V$48,SUM($W193:W193)&lt;&gt;$V193),$V193,0)</f>
        <v>0</v>
      </c>
      <c r="Y193" s="252">
        <f t="shared" si="174"/>
        <v>0</v>
      </c>
      <c r="Z193" s="252">
        <f t="shared" si="174"/>
        <v>0</v>
      </c>
      <c r="AA193" s="252">
        <f t="shared" si="174"/>
        <v>0</v>
      </c>
      <c r="AB193" s="252">
        <f t="shared" si="174"/>
        <v>0</v>
      </c>
      <c r="AC193" s="252">
        <f t="shared" si="174"/>
        <v>0</v>
      </c>
      <c r="AD193" s="252">
        <f t="shared" si="174"/>
        <v>0</v>
      </c>
      <c r="AE193" s="252">
        <f t="shared" si="174"/>
        <v>0</v>
      </c>
      <c r="AF193" s="252">
        <f t="shared" si="174"/>
        <v>0</v>
      </c>
      <c r="AG193" s="252">
        <f t="shared" si="174"/>
        <v>0</v>
      </c>
      <c r="AH193" s="252">
        <f t="shared" si="174"/>
        <v>0</v>
      </c>
      <c r="AI193" s="252">
        <f t="shared" si="174"/>
        <v>0</v>
      </c>
      <c r="AJ193" s="252">
        <f t="shared" si="174"/>
        <v>0</v>
      </c>
      <c r="AK193" s="252">
        <f t="shared" si="174"/>
        <v>0</v>
      </c>
      <c r="AL193" s="252">
        <f t="shared" si="174"/>
        <v>0</v>
      </c>
      <c r="AM193" s="252">
        <f t="shared" si="174"/>
        <v>0</v>
      </c>
      <c r="AN193" s="252">
        <f t="shared" si="174"/>
        <v>0</v>
      </c>
      <c r="AO193" s="252">
        <f t="shared" si="174"/>
        <v>0</v>
      </c>
      <c r="AP193" s="252">
        <f t="shared" si="174"/>
        <v>0</v>
      </c>
      <c r="AQ193" s="252">
        <f t="shared" si="174"/>
        <v>0</v>
      </c>
      <c r="AR193" s="252">
        <f t="shared" si="174"/>
        <v>0</v>
      </c>
      <c r="AS193" s="252">
        <f t="shared" si="174"/>
        <v>0</v>
      </c>
      <c r="AT193" s="252">
        <f t="shared" si="174"/>
        <v>0</v>
      </c>
      <c r="AU193" s="252">
        <f t="shared" si="174"/>
        <v>0</v>
      </c>
      <c r="AV193" s="252">
        <f t="shared" si="174"/>
        <v>0</v>
      </c>
      <c r="AW193" s="252">
        <f t="shared" si="174"/>
        <v>0</v>
      </c>
      <c r="AX193" s="252">
        <f t="shared" si="174"/>
        <v>0</v>
      </c>
      <c r="AY193" s="252">
        <f t="shared" si="174"/>
        <v>0</v>
      </c>
      <c r="AZ193" s="252">
        <f t="shared" si="174"/>
        <v>0</v>
      </c>
      <c r="BA193" s="252">
        <f t="shared" si="174"/>
        <v>0</v>
      </c>
      <c r="BB193" s="252">
        <f t="shared" si="174"/>
        <v>0</v>
      </c>
    </row>
    <row r="194" ht="15.75" customHeight="1">
      <c r="A194" s="768">
        <v>1933.0</v>
      </c>
      <c r="B194" s="38"/>
      <c r="C194" s="38"/>
      <c r="D194" s="38"/>
      <c r="E194" s="38"/>
      <c r="F194" s="38"/>
      <c r="G194" s="38"/>
      <c r="H194" s="38"/>
      <c r="I194" s="38"/>
      <c r="J194" s="38"/>
      <c r="K194" s="38"/>
      <c r="L194" s="38"/>
      <c r="M194" s="38"/>
      <c r="N194" s="38"/>
      <c r="O194" s="38"/>
      <c r="P194" s="38"/>
      <c r="Q194" s="38"/>
      <c r="R194" s="38"/>
      <c r="S194" s="740">
        <v>1939.0</v>
      </c>
      <c r="T194" s="740">
        <v>6.0</v>
      </c>
      <c r="U194" s="38"/>
      <c r="V194" s="771">
        <v>0.0</v>
      </c>
      <c r="W194" s="252">
        <f t="shared" si="172"/>
        <v>0</v>
      </c>
      <c r="X194" s="252">
        <f t="shared" ref="X194:BB194" si="175">IF(AND(X$190-$A194&gt;$V$48,SUM($W194:W194)&lt;&gt;$V194),$V194,0)</f>
        <v>0</v>
      </c>
      <c r="Y194" s="252">
        <f t="shared" si="175"/>
        <v>0</v>
      </c>
      <c r="Z194" s="252">
        <f t="shared" si="175"/>
        <v>0</v>
      </c>
      <c r="AA194" s="252">
        <f t="shared" si="175"/>
        <v>0</v>
      </c>
      <c r="AB194" s="252">
        <f t="shared" si="175"/>
        <v>0</v>
      </c>
      <c r="AC194" s="252">
        <f t="shared" si="175"/>
        <v>0</v>
      </c>
      <c r="AD194" s="252">
        <f t="shared" si="175"/>
        <v>0</v>
      </c>
      <c r="AE194" s="252">
        <f t="shared" si="175"/>
        <v>0</v>
      </c>
      <c r="AF194" s="252">
        <f t="shared" si="175"/>
        <v>0</v>
      </c>
      <c r="AG194" s="252">
        <f t="shared" si="175"/>
        <v>0</v>
      </c>
      <c r="AH194" s="252">
        <f t="shared" si="175"/>
        <v>0</v>
      </c>
      <c r="AI194" s="252">
        <f t="shared" si="175"/>
        <v>0</v>
      </c>
      <c r="AJ194" s="252">
        <f t="shared" si="175"/>
        <v>0</v>
      </c>
      <c r="AK194" s="252">
        <f t="shared" si="175"/>
        <v>0</v>
      </c>
      <c r="AL194" s="252">
        <f t="shared" si="175"/>
        <v>0</v>
      </c>
      <c r="AM194" s="252">
        <f t="shared" si="175"/>
        <v>0</v>
      </c>
      <c r="AN194" s="252">
        <f t="shared" si="175"/>
        <v>0</v>
      </c>
      <c r="AO194" s="252">
        <f t="shared" si="175"/>
        <v>0</v>
      </c>
      <c r="AP194" s="252">
        <f t="shared" si="175"/>
        <v>0</v>
      </c>
      <c r="AQ194" s="252">
        <f t="shared" si="175"/>
        <v>0</v>
      </c>
      <c r="AR194" s="252">
        <f t="shared" si="175"/>
        <v>0</v>
      </c>
      <c r="AS194" s="252">
        <f t="shared" si="175"/>
        <v>0</v>
      </c>
      <c r="AT194" s="252">
        <f t="shared" si="175"/>
        <v>0</v>
      </c>
      <c r="AU194" s="252">
        <f t="shared" si="175"/>
        <v>0</v>
      </c>
      <c r="AV194" s="252">
        <f t="shared" si="175"/>
        <v>0</v>
      </c>
      <c r="AW194" s="252">
        <f t="shared" si="175"/>
        <v>0</v>
      </c>
      <c r="AX194" s="252">
        <f t="shared" si="175"/>
        <v>0</v>
      </c>
      <c r="AY194" s="252">
        <f t="shared" si="175"/>
        <v>0</v>
      </c>
      <c r="AZ194" s="252">
        <f t="shared" si="175"/>
        <v>0</v>
      </c>
      <c r="BA194" s="252">
        <f t="shared" si="175"/>
        <v>0</v>
      </c>
      <c r="BB194" s="252">
        <f t="shared" si="175"/>
        <v>0</v>
      </c>
    </row>
    <row r="195" ht="15.75" customHeight="1">
      <c r="A195" s="768">
        <v>1934.0</v>
      </c>
      <c r="B195" s="38"/>
      <c r="C195" s="38"/>
      <c r="D195" s="38"/>
      <c r="E195" s="38"/>
      <c r="F195" s="38"/>
      <c r="G195" s="38"/>
      <c r="H195" s="38"/>
      <c r="I195" s="38"/>
      <c r="J195" s="38"/>
      <c r="K195" s="38"/>
      <c r="L195" s="38"/>
      <c r="M195" s="38"/>
      <c r="N195" s="38"/>
      <c r="O195" s="38"/>
      <c r="P195" s="38"/>
      <c r="Q195" s="38"/>
      <c r="R195" s="38"/>
      <c r="S195" s="740">
        <v>1941.0</v>
      </c>
      <c r="T195" s="740">
        <v>13.5</v>
      </c>
      <c r="U195" s="38"/>
      <c r="V195" s="771">
        <v>0.0</v>
      </c>
      <c r="W195" s="252">
        <f t="shared" si="172"/>
        <v>0</v>
      </c>
      <c r="X195" s="252">
        <f t="shared" ref="X195:BB195" si="176">IF(AND(X$190-$A195&gt;$V$48,SUM($W195:W195)&lt;&gt;$V195),$V195,0)</f>
        <v>0</v>
      </c>
      <c r="Y195" s="252">
        <f t="shared" si="176"/>
        <v>0</v>
      </c>
      <c r="Z195" s="252">
        <f t="shared" si="176"/>
        <v>0</v>
      </c>
      <c r="AA195" s="252">
        <f t="shared" si="176"/>
        <v>0</v>
      </c>
      <c r="AB195" s="252">
        <f t="shared" si="176"/>
        <v>0</v>
      </c>
      <c r="AC195" s="252">
        <f t="shared" si="176"/>
        <v>0</v>
      </c>
      <c r="AD195" s="252">
        <f t="shared" si="176"/>
        <v>0</v>
      </c>
      <c r="AE195" s="252">
        <f t="shared" si="176"/>
        <v>0</v>
      </c>
      <c r="AF195" s="252">
        <f t="shared" si="176"/>
        <v>0</v>
      </c>
      <c r="AG195" s="252">
        <f t="shared" si="176"/>
        <v>0</v>
      </c>
      <c r="AH195" s="252">
        <f t="shared" si="176"/>
        <v>0</v>
      </c>
      <c r="AI195" s="252">
        <f t="shared" si="176"/>
        <v>0</v>
      </c>
      <c r="AJ195" s="252">
        <f t="shared" si="176"/>
        <v>0</v>
      </c>
      <c r="AK195" s="252">
        <f t="shared" si="176"/>
        <v>0</v>
      </c>
      <c r="AL195" s="252">
        <f t="shared" si="176"/>
        <v>0</v>
      </c>
      <c r="AM195" s="252">
        <f t="shared" si="176"/>
        <v>0</v>
      </c>
      <c r="AN195" s="252">
        <f t="shared" si="176"/>
        <v>0</v>
      </c>
      <c r="AO195" s="252">
        <f t="shared" si="176"/>
        <v>0</v>
      </c>
      <c r="AP195" s="252">
        <f t="shared" si="176"/>
        <v>0</v>
      </c>
      <c r="AQ195" s="252">
        <f t="shared" si="176"/>
        <v>0</v>
      </c>
      <c r="AR195" s="252">
        <f t="shared" si="176"/>
        <v>0</v>
      </c>
      <c r="AS195" s="252">
        <f t="shared" si="176"/>
        <v>0</v>
      </c>
      <c r="AT195" s="252">
        <f t="shared" si="176"/>
        <v>0</v>
      </c>
      <c r="AU195" s="252">
        <f t="shared" si="176"/>
        <v>0</v>
      </c>
      <c r="AV195" s="252">
        <f t="shared" si="176"/>
        <v>0</v>
      </c>
      <c r="AW195" s="252">
        <f t="shared" si="176"/>
        <v>0</v>
      </c>
      <c r="AX195" s="252">
        <f t="shared" si="176"/>
        <v>0</v>
      </c>
      <c r="AY195" s="252">
        <f t="shared" si="176"/>
        <v>0</v>
      </c>
      <c r="AZ195" s="252">
        <f t="shared" si="176"/>
        <v>0</v>
      </c>
      <c r="BA195" s="252">
        <f t="shared" si="176"/>
        <v>0</v>
      </c>
      <c r="BB195" s="252">
        <f t="shared" si="176"/>
        <v>0</v>
      </c>
    </row>
    <row r="196" ht="15.75" customHeight="1">
      <c r="A196" s="768">
        <v>1935.0</v>
      </c>
      <c r="B196" s="38"/>
      <c r="C196" s="38"/>
      <c r="D196" s="38"/>
      <c r="E196" s="38"/>
      <c r="F196" s="38"/>
      <c r="G196" s="38"/>
      <c r="H196" s="38"/>
      <c r="I196" s="38"/>
      <c r="J196" s="38"/>
      <c r="K196" s="38"/>
      <c r="L196" s="38"/>
      <c r="M196" s="38"/>
      <c r="N196" s="38"/>
      <c r="O196" s="38"/>
      <c r="P196" s="38"/>
      <c r="Q196" s="38"/>
      <c r="R196" s="38"/>
      <c r="S196" s="740">
        <v>1946.0</v>
      </c>
      <c r="T196" s="740">
        <v>13.5</v>
      </c>
      <c r="U196" s="38"/>
      <c r="V196" s="771">
        <v>0.0</v>
      </c>
      <c r="W196" s="252">
        <f t="shared" si="172"/>
        <v>0</v>
      </c>
      <c r="X196" s="252">
        <f t="shared" ref="X196:BB196" si="177">IF(AND(X$190-$A196&gt;$V$48,SUM($W196:W196)&lt;&gt;$V196),$V196,0)</f>
        <v>0</v>
      </c>
      <c r="Y196" s="252">
        <f t="shared" si="177"/>
        <v>0</v>
      </c>
      <c r="Z196" s="252">
        <f t="shared" si="177"/>
        <v>0</v>
      </c>
      <c r="AA196" s="252">
        <f t="shared" si="177"/>
        <v>0</v>
      </c>
      <c r="AB196" s="252">
        <f t="shared" si="177"/>
        <v>0</v>
      </c>
      <c r="AC196" s="252">
        <f t="shared" si="177"/>
        <v>0</v>
      </c>
      <c r="AD196" s="252">
        <f t="shared" si="177"/>
        <v>0</v>
      </c>
      <c r="AE196" s="252">
        <f t="shared" si="177"/>
        <v>0</v>
      </c>
      <c r="AF196" s="252">
        <f t="shared" si="177"/>
        <v>0</v>
      </c>
      <c r="AG196" s="252">
        <f t="shared" si="177"/>
        <v>0</v>
      </c>
      <c r="AH196" s="252">
        <f t="shared" si="177"/>
        <v>0</v>
      </c>
      <c r="AI196" s="252">
        <f t="shared" si="177"/>
        <v>0</v>
      </c>
      <c r="AJ196" s="252">
        <f t="shared" si="177"/>
        <v>0</v>
      </c>
      <c r="AK196" s="252">
        <f t="shared" si="177"/>
        <v>0</v>
      </c>
      <c r="AL196" s="252">
        <f t="shared" si="177"/>
        <v>0</v>
      </c>
      <c r="AM196" s="252">
        <f t="shared" si="177"/>
        <v>0</v>
      </c>
      <c r="AN196" s="252">
        <f t="shared" si="177"/>
        <v>0</v>
      </c>
      <c r="AO196" s="252">
        <f t="shared" si="177"/>
        <v>0</v>
      </c>
      <c r="AP196" s="252">
        <f t="shared" si="177"/>
        <v>0</v>
      </c>
      <c r="AQ196" s="252">
        <f t="shared" si="177"/>
        <v>0</v>
      </c>
      <c r="AR196" s="252">
        <f t="shared" si="177"/>
        <v>0</v>
      </c>
      <c r="AS196" s="252">
        <f t="shared" si="177"/>
        <v>0</v>
      </c>
      <c r="AT196" s="252">
        <f t="shared" si="177"/>
        <v>0</v>
      </c>
      <c r="AU196" s="252">
        <f t="shared" si="177"/>
        <v>0</v>
      </c>
      <c r="AV196" s="252">
        <f t="shared" si="177"/>
        <v>0</v>
      </c>
      <c r="AW196" s="252">
        <f t="shared" si="177"/>
        <v>0</v>
      </c>
      <c r="AX196" s="252">
        <f t="shared" si="177"/>
        <v>0</v>
      </c>
      <c r="AY196" s="252">
        <f t="shared" si="177"/>
        <v>0</v>
      </c>
      <c r="AZ196" s="252">
        <f t="shared" si="177"/>
        <v>0</v>
      </c>
      <c r="BA196" s="252">
        <f t="shared" si="177"/>
        <v>0</v>
      </c>
      <c r="BB196" s="252">
        <f t="shared" si="177"/>
        <v>0</v>
      </c>
    </row>
    <row r="197" ht="15.75" customHeight="1">
      <c r="A197" s="768">
        <v>1936.0</v>
      </c>
      <c r="B197" s="38"/>
      <c r="C197" s="38"/>
      <c r="D197" s="38"/>
      <c r="E197" s="38"/>
      <c r="F197" s="38"/>
      <c r="G197" s="38"/>
      <c r="H197" s="38"/>
      <c r="I197" s="38"/>
      <c r="J197" s="38"/>
      <c r="K197" s="38"/>
      <c r="L197" s="38"/>
      <c r="M197" s="38"/>
      <c r="N197" s="38"/>
      <c r="O197" s="38"/>
      <c r="P197" s="38"/>
      <c r="Q197" s="38"/>
      <c r="R197" s="38"/>
      <c r="S197" s="740">
        <v>1947.0</v>
      </c>
      <c r="T197" s="740">
        <v>20.5</v>
      </c>
      <c r="U197" s="38"/>
      <c r="V197" s="771">
        <v>0.0</v>
      </c>
      <c r="W197" s="252">
        <f t="shared" si="172"/>
        <v>0</v>
      </c>
      <c r="X197" s="252">
        <f t="shared" ref="X197:BB197" si="178">IF(AND(X$190-$A197&gt;$V$48,SUM($W197:W197)&lt;&gt;$V197),$V197,0)</f>
        <v>0</v>
      </c>
      <c r="Y197" s="252">
        <f t="shared" si="178"/>
        <v>0</v>
      </c>
      <c r="Z197" s="252">
        <f t="shared" si="178"/>
        <v>0</v>
      </c>
      <c r="AA197" s="252">
        <f t="shared" si="178"/>
        <v>0</v>
      </c>
      <c r="AB197" s="252">
        <f t="shared" si="178"/>
        <v>0</v>
      </c>
      <c r="AC197" s="252">
        <f t="shared" si="178"/>
        <v>0</v>
      </c>
      <c r="AD197" s="252">
        <f t="shared" si="178"/>
        <v>0</v>
      </c>
      <c r="AE197" s="252">
        <f t="shared" si="178"/>
        <v>0</v>
      </c>
      <c r="AF197" s="252">
        <f t="shared" si="178"/>
        <v>0</v>
      </c>
      <c r="AG197" s="252">
        <f t="shared" si="178"/>
        <v>0</v>
      </c>
      <c r="AH197" s="252">
        <f t="shared" si="178"/>
        <v>0</v>
      </c>
      <c r="AI197" s="252">
        <f t="shared" si="178"/>
        <v>0</v>
      </c>
      <c r="AJ197" s="252">
        <f t="shared" si="178"/>
        <v>0</v>
      </c>
      <c r="AK197" s="252">
        <f t="shared" si="178"/>
        <v>0</v>
      </c>
      <c r="AL197" s="252">
        <f t="shared" si="178"/>
        <v>0</v>
      </c>
      <c r="AM197" s="252">
        <f t="shared" si="178"/>
        <v>0</v>
      </c>
      <c r="AN197" s="252">
        <f t="shared" si="178"/>
        <v>0</v>
      </c>
      <c r="AO197" s="252">
        <f t="shared" si="178"/>
        <v>0</v>
      </c>
      <c r="AP197" s="252">
        <f t="shared" si="178"/>
        <v>0</v>
      </c>
      <c r="AQ197" s="252">
        <f t="shared" si="178"/>
        <v>0</v>
      </c>
      <c r="AR197" s="252">
        <f t="shared" si="178"/>
        <v>0</v>
      </c>
      <c r="AS197" s="252">
        <f t="shared" si="178"/>
        <v>0</v>
      </c>
      <c r="AT197" s="252">
        <f t="shared" si="178"/>
        <v>0</v>
      </c>
      <c r="AU197" s="252">
        <f t="shared" si="178"/>
        <v>0</v>
      </c>
      <c r="AV197" s="252">
        <f t="shared" si="178"/>
        <v>0</v>
      </c>
      <c r="AW197" s="252">
        <f t="shared" si="178"/>
        <v>0</v>
      </c>
      <c r="AX197" s="252">
        <f t="shared" si="178"/>
        <v>0</v>
      </c>
      <c r="AY197" s="252">
        <f t="shared" si="178"/>
        <v>0</v>
      </c>
      <c r="AZ197" s="252">
        <f t="shared" si="178"/>
        <v>0</v>
      </c>
      <c r="BA197" s="252">
        <f t="shared" si="178"/>
        <v>0</v>
      </c>
      <c r="BB197" s="252">
        <f t="shared" si="178"/>
        <v>0</v>
      </c>
    </row>
    <row r="198" ht="15.75" customHeight="1">
      <c r="A198" s="768">
        <v>1937.0</v>
      </c>
      <c r="B198" s="38"/>
      <c r="C198" s="38"/>
      <c r="D198" s="38"/>
      <c r="E198" s="38"/>
      <c r="F198" s="38"/>
      <c r="G198" s="38"/>
      <c r="H198" s="38"/>
      <c r="I198" s="38"/>
      <c r="J198" s="38"/>
      <c r="K198" s="38"/>
      <c r="L198" s="38"/>
      <c r="M198" s="38"/>
      <c r="N198" s="38"/>
      <c r="O198" s="38"/>
      <c r="P198" s="38"/>
      <c r="Q198" s="38"/>
      <c r="R198" s="38"/>
      <c r="S198" s="740">
        <v>1948.0</v>
      </c>
      <c r="T198" s="740">
        <v>15.5</v>
      </c>
      <c r="U198" s="38"/>
      <c r="V198" s="771">
        <v>0.0</v>
      </c>
      <c r="W198" s="252">
        <f t="shared" si="172"/>
        <v>0</v>
      </c>
      <c r="X198" s="252">
        <f t="shared" ref="X198:BB198" si="179">IF(AND(X$190-$A198&gt;$V$48,SUM($W198:W198)&lt;&gt;$V198),$V198,0)</f>
        <v>0</v>
      </c>
      <c r="Y198" s="252">
        <f t="shared" si="179"/>
        <v>0</v>
      </c>
      <c r="Z198" s="252">
        <f t="shared" si="179"/>
        <v>0</v>
      </c>
      <c r="AA198" s="252">
        <f t="shared" si="179"/>
        <v>0</v>
      </c>
      <c r="AB198" s="252">
        <f t="shared" si="179"/>
        <v>0</v>
      </c>
      <c r="AC198" s="252">
        <f t="shared" si="179"/>
        <v>0</v>
      </c>
      <c r="AD198" s="252">
        <f t="shared" si="179"/>
        <v>0</v>
      </c>
      <c r="AE198" s="252">
        <f t="shared" si="179"/>
        <v>0</v>
      </c>
      <c r="AF198" s="252">
        <f t="shared" si="179"/>
        <v>0</v>
      </c>
      <c r="AG198" s="252">
        <f t="shared" si="179"/>
        <v>0</v>
      </c>
      <c r="AH198" s="252">
        <f t="shared" si="179"/>
        <v>0</v>
      </c>
      <c r="AI198" s="252">
        <f t="shared" si="179"/>
        <v>0</v>
      </c>
      <c r="AJ198" s="252">
        <f t="shared" si="179"/>
        <v>0</v>
      </c>
      <c r="AK198" s="252">
        <f t="shared" si="179"/>
        <v>0</v>
      </c>
      <c r="AL198" s="252">
        <f t="shared" si="179"/>
        <v>0</v>
      </c>
      <c r="AM198" s="252">
        <f t="shared" si="179"/>
        <v>0</v>
      </c>
      <c r="AN198" s="252">
        <f t="shared" si="179"/>
        <v>0</v>
      </c>
      <c r="AO198" s="252">
        <f t="shared" si="179"/>
        <v>0</v>
      </c>
      <c r="AP198" s="252">
        <f t="shared" si="179"/>
        <v>0</v>
      </c>
      <c r="AQ198" s="252">
        <f t="shared" si="179"/>
        <v>0</v>
      </c>
      <c r="AR198" s="252">
        <f t="shared" si="179"/>
        <v>0</v>
      </c>
      <c r="AS198" s="252">
        <f t="shared" si="179"/>
        <v>0</v>
      </c>
      <c r="AT198" s="252">
        <f t="shared" si="179"/>
        <v>0</v>
      </c>
      <c r="AU198" s="252">
        <f t="shared" si="179"/>
        <v>0</v>
      </c>
      <c r="AV198" s="252">
        <f t="shared" si="179"/>
        <v>0</v>
      </c>
      <c r="AW198" s="252">
        <f t="shared" si="179"/>
        <v>0</v>
      </c>
      <c r="AX198" s="252">
        <f t="shared" si="179"/>
        <v>0</v>
      </c>
      <c r="AY198" s="252">
        <f t="shared" si="179"/>
        <v>0</v>
      </c>
      <c r="AZ198" s="252">
        <f t="shared" si="179"/>
        <v>0</v>
      </c>
      <c r="BA198" s="252">
        <f t="shared" si="179"/>
        <v>0</v>
      </c>
      <c r="BB198" s="252">
        <f t="shared" si="179"/>
        <v>0</v>
      </c>
    </row>
    <row r="199" ht="15.75" customHeight="1">
      <c r="A199" s="768">
        <v>1938.0</v>
      </c>
      <c r="B199" s="38"/>
      <c r="C199" s="38"/>
      <c r="D199" s="38"/>
      <c r="E199" s="38"/>
      <c r="F199" s="38"/>
      <c r="G199" s="38"/>
      <c r="H199" s="38"/>
      <c r="I199" s="38"/>
      <c r="J199" s="38"/>
      <c r="K199" s="38"/>
      <c r="L199" s="38"/>
      <c r="M199" s="38"/>
      <c r="N199" s="38"/>
      <c r="O199" s="38"/>
      <c r="P199" s="38"/>
      <c r="Q199" s="38"/>
      <c r="R199" s="38"/>
      <c r="S199" s="740">
        <v>1949.0</v>
      </c>
      <c r="T199" s="740">
        <v>20.5</v>
      </c>
      <c r="U199" s="38"/>
      <c r="V199" s="771">
        <v>0.0</v>
      </c>
      <c r="W199" s="252">
        <f t="shared" si="172"/>
        <v>0</v>
      </c>
      <c r="X199" s="252">
        <f t="shared" ref="X199:BB199" si="180">IF(AND(X$190-$A199&gt;$V$48,SUM($W199:W199)&lt;&gt;$V199),$V199,0)</f>
        <v>0</v>
      </c>
      <c r="Y199" s="252">
        <f t="shared" si="180"/>
        <v>0</v>
      </c>
      <c r="Z199" s="252">
        <f t="shared" si="180"/>
        <v>0</v>
      </c>
      <c r="AA199" s="252">
        <f t="shared" si="180"/>
        <v>0</v>
      </c>
      <c r="AB199" s="252">
        <f t="shared" si="180"/>
        <v>0</v>
      </c>
      <c r="AC199" s="252">
        <f t="shared" si="180"/>
        <v>0</v>
      </c>
      <c r="AD199" s="252">
        <f t="shared" si="180"/>
        <v>0</v>
      </c>
      <c r="AE199" s="252">
        <f t="shared" si="180"/>
        <v>0</v>
      </c>
      <c r="AF199" s="252">
        <f t="shared" si="180"/>
        <v>0</v>
      </c>
      <c r="AG199" s="252">
        <f t="shared" si="180"/>
        <v>0</v>
      </c>
      <c r="AH199" s="252">
        <f t="shared" si="180"/>
        <v>0</v>
      </c>
      <c r="AI199" s="252">
        <f t="shared" si="180"/>
        <v>0</v>
      </c>
      <c r="AJ199" s="252">
        <f t="shared" si="180"/>
        <v>0</v>
      </c>
      <c r="AK199" s="252">
        <f t="shared" si="180"/>
        <v>0</v>
      </c>
      <c r="AL199" s="252">
        <f t="shared" si="180"/>
        <v>0</v>
      </c>
      <c r="AM199" s="252">
        <f t="shared" si="180"/>
        <v>0</v>
      </c>
      <c r="AN199" s="252">
        <f t="shared" si="180"/>
        <v>0</v>
      </c>
      <c r="AO199" s="252">
        <f t="shared" si="180"/>
        <v>0</v>
      </c>
      <c r="AP199" s="252">
        <f t="shared" si="180"/>
        <v>0</v>
      </c>
      <c r="AQ199" s="252">
        <f t="shared" si="180"/>
        <v>0</v>
      </c>
      <c r="AR199" s="252">
        <f t="shared" si="180"/>
        <v>0</v>
      </c>
      <c r="AS199" s="252">
        <f t="shared" si="180"/>
        <v>0</v>
      </c>
      <c r="AT199" s="252">
        <f t="shared" si="180"/>
        <v>0</v>
      </c>
      <c r="AU199" s="252">
        <f t="shared" si="180"/>
        <v>0</v>
      </c>
      <c r="AV199" s="252">
        <f t="shared" si="180"/>
        <v>0</v>
      </c>
      <c r="AW199" s="252">
        <f t="shared" si="180"/>
        <v>0</v>
      </c>
      <c r="AX199" s="252">
        <f t="shared" si="180"/>
        <v>0</v>
      </c>
      <c r="AY199" s="252">
        <f t="shared" si="180"/>
        <v>0</v>
      </c>
      <c r="AZ199" s="252">
        <f t="shared" si="180"/>
        <v>0</v>
      </c>
      <c r="BA199" s="252">
        <f t="shared" si="180"/>
        <v>0</v>
      </c>
      <c r="BB199" s="252">
        <f t="shared" si="180"/>
        <v>0</v>
      </c>
    </row>
    <row r="200" ht="15.75" customHeight="1">
      <c r="A200" s="768">
        <v>1939.0</v>
      </c>
      <c r="B200" s="38"/>
      <c r="C200" s="38"/>
      <c r="D200" s="38"/>
      <c r="E200" s="38"/>
      <c r="F200" s="38"/>
      <c r="G200" s="38"/>
      <c r="H200" s="38"/>
      <c r="I200" s="38"/>
      <c r="J200" s="38"/>
      <c r="K200" s="38"/>
      <c r="L200" s="38"/>
      <c r="M200" s="38"/>
      <c r="N200" s="38"/>
      <c r="O200" s="38"/>
      <c r="P200" s="38"/>
      <c r="Q200" s="38"/>
      <c r="R200" s="38"/>
      <c r="S200" s="740">
        <v>1950.0</v>
      </c>
      <c r="T200" s="740">
        <v>4.0</v>
      </c>
      <c r="U200" s="38"/>
      <c r="V200" s="771">
        <v>0.0</v>
      </c>
      <c r="W200" s="252">
        <f t="shared" si="172"/>
        <v>0</v>
      </c>
      <c r="X200" s="252">
        <f t="shared" ref="X200:BB200" si="181">IF(AND(X$190-$A200&gt;$V$48,SUM($W200:W200)&lt;&gt;$V200),$V200,0)</f>
        <v>0</v>
      </c>
      <c r="Y200" s="252">
        <f t="shared" si="181"/>
        <v>0</v>
      </c>
      <c r="Z200" s="252">
        <f t="shared" si="181"/>
        <v>0</v>
      </c>
      <c r="AA200" s="252">
        <f t="shared" si="181"/>
        <v>0</v>
      </c>
      <c r="AB200" s="252">
        <f t="shared" si="181"/>
        <v>0</v>
      </c>
      <c r="AC200" s="252">
        <f t="shared" si="181"/>
        <v>0</v>
      </c>
      <c r="AD200" s="252">
        <f t="shared" si="181"/>
        <v>0</v>
      </c>
      <c r="AE200" s="252">
        <f t="shared" si="181"/>
        <v>0</v>
      </c>
      <c r="AF200" s="252">
        <f t="shared" si="181"/>
        <v>0</v>
      </c>
      <c r="AG200" s="252">
        <f t="shared" si="181"/>
        <v>0</v>
      </c>
      <c r="AH200" s="252">
        <f t="shared" si="181"/>
        <v>0</v>
      </c>
      <c r="AI200" s="252">
        <f t="shared" si="181"/>
        <v>0</v>
      </c>
      <c r="AJ200" s="252">
        <f t="shared" si="181"/>
        <v>0</v>
      </c>
      <c r="AK200" s="252">
        <f t="shared" si="181"/>
        <v>0</v>
      </c>
      <c r="AL200" s="252">
        <f t="shared" si="181"/>
        <v>0</v>
      </c>
      <c r="AM200" s="252">
        <f t="shared" si="181"/>
        <v>0</v>
      </c>
      <c r="AN200" s="252">
        <f t="shared" si="181"/>
        <v>0</v>
      </c>
      <c r="AO200" s="252">
        <f t="shared" si="181"/>
        <v>0</v>
      </c>
      <c r="AP200" s="252">
        <f t="shared" si="181"/>
        <v>0</v>
      </c>
      <c r="AQ200" s="252">
        <f t="shared" si="181"/>
        <v>0</v>
      </c>
      <c r="AR200" s="252">
        <f t="shared" si="181"/>
        <v>0</v>
      </c>
      <c r="AS200" s="252">
        <f t="shared" si="181"/>
        <v>0</v>
      </c>
      <c r="AT200" s="252">
        <f t="shared" si="181"/>
        <v>0</v>
      </c>
      <c r="AU200" s="252">
        <f t="shared" si="181"/>
        <v>0</v>
      </c>
      <c r="AV200" s="252">
        <f t="shared" si="181"/>
        <v>0</v>
      </c>
      <c r="AW200" s="252">
        <f t="shared" si="181"/>
        <v>0</v>
      </c>
      <c r="AX200" s="252">
        <f t="shared" si="181"/>
        <v>0</v>
      </c>
      <c r="AY200" s="252">
        <f t="shared" si="181"/>
        <v>0</v>
      </c>
      <c r="AZ200" s="252">
        <f t="shared" si="181"/>
        <v>0</v>
      </c>
      <c r="BA200" s="252">
        <f t="shared" si="181"/>
        <v>0</v>
      </c>
      <c r="BB200" s="252">
        <f t="shared" si="181"/>
        <v>0</v>
      </c>
    </row>
    <row r="201" ht="15.75" customHeight="1">
      <c r="A201" s="768">
        <v>1940.0</v>
      </c>
      <c r="B201" s="38"/>
      <c r="C201" s="38"/>
      <c r="D201" s="38"/>
      <c r="E201" s="38"/>
      <c r="F201" s="38"/>
      <c r="G201" s="38"/>
      <c r="H201" s="38"/>
      <c r="I201" s="38"/>
      <c r="J201" s="38"/>
      <c r="K201" s="38"/>
      <c r="L201" s="38"/>
      <c r="M201" s="38"/>
      <c r="N201" s="38"/>
      <c r="O201" s="38"/>
      <c r="P201" s="38"/>
      <c r="Q201" s="38"/>
      <c r="R201" s="38"/>
      <c r="S201" s="740">
        <v>1951.0</v>
      </c>
      <c r="T201" s="740">
        <v>10.5</v>
      </c>
      <c r="U201" s="38"/>
      <c r="V201" s="771">
        <v>0.0</v>
      </c>
      <c r="W201" s="252">
        <f t="shared" si="172"/>
        <v>0</v>
      </c>
      <c r="X201" s="252">
        <f t="shared" ref="X201:BB201" si="182">IF(AND(X$190-$A201&gt;$V$48,SUM($W201:W201)&lt;&gt;$V201),$V201,0)</f>
        <v>0</v>
      </c>
      <c r="Y201" s="252">
        <f t="shared" si="182"/>
        <v>0</v>
      </c>
      <c r="Z201" s="252">
        <f t="shared" si="182"/>
        <v>0</v>
      </c>
      <c r="AA201" s="252">
        <f t="shared" si="182"/>
        <v>0</v>
      </c>
      <c r="AB201" s="252">
        <f t="shared" si="182"/>
        <v>0</v>
      </c>
      <c r="AC201" s="252">
        <f t="shared" si="182"/>
        <v>0</v>
      </c>
      <c r="AD201" s="252">
        <f t="shared" si="182"/>
        <v>0</v>
      </c>
      <c r="AE201" s="252">
        <f t="shared" si="182"/>
        <v>0</v>
      </c>
      <c r="AF201" s="252">
        <f t="shared" si="182"/>
        <v>0</v>
      </c>
      <c r="AG201" s="252">
        <f t="shared" si="182"/>
        <v>0</v>
      </c>
      <c r="AH201" s="252">
        <f t="shared" si="182"/>
        <v>0</v>
      </c>
      <c r="AI201" s="252">
        <f t="shared" si="182"/>
        <v>0</v>
      </c>
      <c r="AJ201" s="252">
        <f t="shared" si="182"/>
        <v>0</v>
      </c>
      <c r="AK201" s="252">
        <f t="shared" si="182"/>
        <v>0</v>
      </c>
      <c r="AL201" s="252">
        <f t="shared" si="182"/>
        <v>0</v>
      </c>
      <c r="AM201" s="252">
        <f t="shared" si="182"/>
        <v>0</v>
      </c>
      <c r="AN201" s="252">
        <f t="shared" si="182"/>
        <v>0</v>
      </c>
      <c r="AO201" s="252">
        <f t="shared" si="182"/>
        <v>0</v>
      </c>
      <c r="AP201" s="252">
        <f t="shared" si="182"/>
        <v>0</v>
      </c>
      <c r="AQ201" s="252">
        <f t="shared" si="182"/>
        <v>0</v>
      </c>
      <c r="AR201" s="252">
        <f t="shared" si="182"/>
        <v>0</v>
      </c>
      <c r="AS201" s="252">
        <f t="shared" si="182"/>
        <v>0</v>
      </c>
      <c r="AT201" s="252">
        <f t="shared" si="182"/>
        <v>0</v>
      </c>
      <c r="AU201" s="252">
        <f t="shared" si="182"/>
        <v>0</v>
      </c>
      <c r="AV201" s="252">
        <f t="shared" si="182"/>
        <v>0</v>
      </c>
      <c r="AW201" s="252">
        <f t="shared" si="182"/>
        <v>0</v>
      </c>
      <c r="AX201" s="252">
        <f t="shared" si="182"/>
        <v>0</v>
      </c>
      <c r="AY201" s="252">
        <f t="shared" si="182"/>
        <v>0</v>
      </c>
      <c r="AZ201" s="252">
        <f t="shared" si="182"/>
        <v>0</v>
      </c>
      <c r="BA201" s="252">
        <f t="shared" si="182"/>
        <v>0</v>
      </c>
      <c r="BB201" s="252">
        <f t="shared" si="182"/>
        <v>0</v>
      </c>
    </row>
    <row r="202" ht="15.75" customHeight="1">
      <c r="A202" s="768">
        <v>1941.0</v>
      </c>
      <c r="B202" s="38"/>
      <c r="C202" s="38"/>
      <c r="D202" s="38"/>
      <c r="E202" s="38"/>
      <c r="F202" s="38"/>
      <c r="G202" s="38"/>
      <c r="H202" s="38"/>
      <c r="I202" s="38"/>
      <c r="J202" s="38"/>
      <c r="K202" s="38"/>
      <c r="L202" s="38"/>
      <c r="M202" s="38"/>
      <c r="N202" s="38"/>
      <c r="O202" s="38"/>
      <c r="P202" s="38"/>
      <c r="Q202" s="38"/>
      <c r="R202" s="38"/>
      <c r="S202" s="740">
        <v>1952.0</v>
      </c>
      <c r="T202" s="740">
        <v>155.0</v>
      </c>
      <c r="U202" s="38"/>
      <c r="V202" s="771">
        <v>0.0</v>
      </c>
      <c r="W202" s="252">
        <f t="shared" si="172"/>
        <v>0</v>
      </c>
      <c r="X202" s="252">
        <f t="shared" ref="X202:BB202" si="183">IF(AND(X$190-$A202&gt;$V$48,SUM($W202:W202)&lt;&gt;$V202),$V202,0)</f>
        <v>0</v>
      </c>
      <c r="Y202" s="252">
        <f t="shared" si="183"/>
        <v>0</v>
      </c>
      <c r="Z202" s="252">
        <f t="shared" si="183"/>
        <v>0</v>
      </c>
      <c r="AA202" s="252">
        <f t="shared" si="183"/>
        <v>0</v>
      </c>
      <c r="AB202" s="252">
        <f t="shared" si="183"/>
        <v>0</v>
      </c>
      <c r="AC202" s="252">
        <f t="shared" si="183"/>
        <v>0</v>
      </c>
      <c r="AD202" s="252">
        <f t="shared" si="183"/>
        <v>0</v>
      </c>
      <c r="AE202" s="252">
        <f t="shared" si="183"/>
        <v>0</v>
      </c>
      <c r="AF202" s="252">
        <f t="shared" si="183"/>
        <v>0</v>
      </c>
      <c r="AG202" s="252">
        <f t="shared" si="183"/>
        <v>0</v>
      </c>
      <c r="AH202" s="252">
        <f t="shared" si="183"/>
        <v>0</v>
      </c>
      <c r="AI202" s="252">
        <f t="shared" si="183"/>
        <v>0</v>
      </c>
      <c r="AJ202" s="252">
        <f t="shared" si="183"/>
        <v>0</v>
      </c>
      <c r="AK202" s="252">
        <f t="shared" si="183"/>
        <v>0</v>
      </c>
      <c r="AL202" s="252">
        <f t="shared" si="183"/>
        <v>0</v>
      </c>
      <c r="AM202" s="252">
        <f t="shared" si="183"/>
        <v>0</v>
      </c>
      <c r="AN202" s="252">
        <f t="shared" si="183"/>
        <v>0</v>
      </c>
      <c r="AO202" s="252">
        <f t="shared" si="183"/>
        <v>0</v>
      </c>
      <c r="AP202" s="252">
        <f t="shared" si="183"/>
        <v>0</v>
      </c>
      <c r="AQ202" s="252">
        <f t="shared" si="183"/>
        <v>0</v>
      </c>
      <c r="AR202" s="252">
        <f t="shared" si="183"/>
        <v>0</v>
      </c>
      <c r="AS202" s="252">
        <f t="shared" si="183"/>
        <v>0</v>
      </c>
      <c r="AT202" s="252">
        <f t="shared" si="183"/>
        <v>0</v>
      </c>
      <c r="AU202" s="252">
        <f t="shared" si="183"/>
        <v>0</v>
      </c>
      <c r="AV202" s="252">
        <f t="shared" si="183"/>
        <v>0</v>
      </c>
      <c r="AW202" s="252">
        <f t="shared" si="183"/>
        <v>0</v>
      </c>
      <c r="AX202" s="252">
        <f t="shared" si="183"/>
        <v>0</v>
      </c>
      <c r="AY202" s="252">
        <f t="shared" si="183"/>
        <v>0</v>
      </c>
      <c r="AZ202" s="252">
        <f t="shared" si="183"/>
        <v>0</v>
      </c>
      <c r="BA202" s="252">
        <f t="shared" si="183"/>
        <v>0</v>
      </c>
      <c r="BB202" s="252">
        <f t="shared" si="183"/>
        <v>0</v>
      </c>
    </row>
    <row r="203" ht="15.75" customHeight="1">
      <c r="A203" s="768">
        <v>1942.0</v>
      </c>
      <c r="B203" s="38"/>
      <c r="C203" s="38"/>
      <c r="D203" s="38"/>
      <c r="E203" s="38"/>
      <c r="F203" s="38"/>
      <c r="G203" s="38"/>
      <c r="H203" s="38"/>
      <c r="I203" s="38"/>
      <c r="J203" s="38"/>
      <c r="K203" s="38"/>
      <c r="L203" s="38"/>
      <c r="M203" s="38"/>
      <c r="N203" s="38"/>
      <c r="O203" s="38"/>
      <c r="P203" s="38"/>
      <c r="Q203" s="38"/>
      <c r="R203" s="38"/>
      <c r="S203" s="740">
        <v>1953.0</v>
      </c>
      <c r="T203" s="740">
        <v>1230.0</v>
      </c>
      <c r="U203" s="38"/>
      <c r="V203" s="771">
        <v>0.0</v>
      </c>
      <c r="W203" s="252">
        <f t="shared" si="172"/>
        <v>0</v>
      </c>
      <c r="X203" s="252">
        <f t="shared" ref="X203:BB203" si="184">IF(AND(X$190-$A203&gt;$V$48,SUM($W203:W203)&lt;&gt;$V203),$V203,0)</f>
        <v>0</v>
      </c>
      <c r="Y203" s="252">
        <f t="shared" si="184"/>
        <v>0</v>
      </c>
      <c r="Z203" s="252">
        <f t="shared" si="184"/>
        <v>0</v>
      </c>
      <c r="AA203" s="252">
        <f t="shared" si="184"/>
        <v>0</v>
      </c>
      <c r="AB203" s="252">
        <f t="shared" si="184"/>
        <v>0</v>
      </c>
      <c r="AC203" s="252">
        <f t="shared" si="184"/>
        <v>0</v>
      </c>
      <c r="AD203" s="252">
        <f t="shared" si="184"/>
        <v>0</v>
      </c>
      <c r="AE203" s="252">
        <f t="shared" si="184"/>
        <v>0</v>
      </c>
      <c r="AF203" s="252">
        <f t="shared" si="184"/>
        <v>0</v>
      </c>
      <c r="AG203" s="252">
        <f t="shared" si="184"/>
        <v>0</v>
      </c>
      <c r="AH203" s="252">
        <f t="shared" si="184"/>
        <v>0</v>
      </c>
      <c r="AI203" s="252">
        <f t="shared" si="184"/>
        <v>0</v>
      </c>
      <c r="AJ203" s="252">
        <f t="shared" si="184"/>
        <v>0</v>
      </c>
      <c r="AK203" s="252">
        <f t="shared" si="184"/>
        <v>0</v>
      </c>
      <c r="AL203" s="252">
        <f t="shared" si="184"/>
        <v>0</v>
      </c>
      <c r="AM203" s="252">
        <f t="shared" si="184"/>
        <v>0</v>
      </c>
      <c r="AN203" s="252">
        <f t="shared" si="184"/>
        <v>0</v>
      </c>
      <c r="AO203" s="252">
        <f t="shared" si="184"/>
        <v>0</v>
      </c>
      <c r="AP203" s="252">
        <f t="shared" si="184"/>
        <v>0</v>
      </c>
      <c r="AQ203" s="252">
        <f t="shared" si="184"/>
        <v>0</v>
      </c>
      <c r="AR203" s="252">
        <f t="shared" si="184"/>
        <v>0</v>
      </c>
      <c r="AS203" s="252">
        <f t="shared" si="184"/>
        <v>0</v>
      </c>
      <c r="AT203" s="252">
        <f t="shared" si="184"/>
        <v>0</v>
      </c>
      <c r="AU203" s="252">
        <f t="shared" si="184"/>
        <v>0</v>
      </c>
      <c r="AV203" s="252">
        <f t="shared" si="184"/>
        <v>0</v>
      </c>
      <c r="AW203" s="252">
        <f t="shared" si="184"/>
        <v>0</v>
      </c>
      <c r="AX203" s="252">
        <f t="shared" si="184"/>
        <v>0</v>
      </c>
      <c r="AY203" s="252">
        <f t="shared" si="184"/>
        <v>0</v>
      </c>
      <c r="AZ203" s="252">
        <f t="shared" si="184"/>
        <v>0</v>
      </c>
      <c r="BA203" s="252">
        <f t="shared" si="184"/>
        <v>0</v>
      </c>
      <c r="BB203" s="252">
        <f t="shared" si="184"/>
        <v>0</v>
      </c>
    </row>
    <row r="204" ht="15.75" customHeight="1">
      <c r="A204" s="768">
        <v>1943.0</v>
      </c>
      <c r="B204" s="38"/>
      <c r="C204" s="38"/>
      <c r="D204" s="38"/>
      <c r="E204" s="38"/>
      <c r="F204" s="38"/>
      <c r="G204" s="38"/>
      <c r="H204" s="38"/>
      <c r="I204" s="38"/>
      <c r="J204" s="38"/>
      <c r="K204" s="38"/>
      <c r="L204" s="38"/>
      <c r="M204" s="38"/>
      <c r="N204" s="38"/>
      <c r="O204" s="38"/>
      <c r="P204" s="38"/>
      <c r="Q204" s="38"/>
      <c r="R204" s="38"/>
      <c r="S204" s="740">
        <v>1954.0</v>
      </c>
      <c r="T204" s="740">
        <v>1922.0</v>
      </c>
      <c r="U204" s="38"/>
      <c r="V204" s="771">
        <v>0.0</v>
      </c>
      <c r="W204" s="252">
        <f t="shared" si="172"/>
        <v>0</v>
      </c>
      <c r="X204" s="252">
        <f t="shared" ref="X204:BB204" si="185">IF(AND(X$190-$A204&gt;$V$48,SUM($W204:W204)&lt;&gt;$V204),$V204,0)</f>
        <v>0</v>
      </c>
      <c r="Y204" s="252">
        <f t="shared" si="185"/>
        <v>0</v>
      </c>
      <c r="Z204" s="252">
        <f t="shared" si="185"/>
        <v>0</v>
      </c>
      <c r="AA204" s="252">
        <f t="shared" si="185"/>
        <v>0</v>
      </c>
      <c r="AB204" s="252">
        <f t="shared" si="185"/>
        <v>0</v>
      </c>
      <c r="AC204" s="252">
        <f t="shared" si="185"/>
        <v>0</v>
      </c>
      <c r="AD204" s="252">
        <f t="shared" si="185"/>
        <v>0</v>
      </c>
      <c r="AE204" s="252">
        <f t="shared" si="185"/>
        <v>0</v>
      </c>
      <c r="AF204" s="252">
        <f t="shared" si="185"/>
        <v>0</v>
      </c>
      <c r="AG204" s="252">
        <f t="shared" si="185"/>
        <v>0</v>
      </c>
      <c r="AH204" s="252">
        <f t="shared" si="185"/>
        <v>0</v>
      </c>
      <c r="AI204" s="252">
        <f t="shared" si="185"/>
        <v>0</v>
      </c>
      <c r="AJ204" s="252">
        <f t="shared" si="185"/>
        <v>0</v>
      </c>
      <c r="AK204" s="252">
        <f t="shared" si="185"/>
        <v>0</v>
      </c>
      <c r="AL204" s="252">
        <f t="shared" si="185"/>
        <v>0</v>
      </c>
      <c r="AM204" s="252">
        <f t="shared" si="185"/>
        <v>0</v>
      </c>
      <c r="AN204" s="252">
        <f t="shared" si="185"/>
        <v>0</v>
      </c>
      <c r="AO204" s="252">
        <f t="shared" si="185"/>
        <v>0</v>
      </c>
      <c r="AP204" s="252">
        <f t="shared" si="185"/>
        <v>0</v>
      </c>
      <c r="AQ204" s="252">
        <f t="shared" si="185"/>
        <v>0</v>
      </c>
      <c r="AR204" s="252">
        <f t="shared" si="185"/>
        <v>0</v>
      </c>
      <c r="AS204" s="252">
        <f t="shared" si="185"/>
        <v>0</v>
      </c>
      <c r="AT204" s="252">
        <f t="shared" si="185"/>
        <v>0</v>
      </c>
      <c r="AU204" s="252">
        <f t="shared" si="185"/>
        <v>0</v>
      </c>
      <c r="AV204" s="252">
        <f t="shared" si="185"/>
        <v>0</v>
      </c>
      <c r="AW204" s="252">
        <f t="shared" si="185"/>
        <v>0</v>
      </c>
      <c r="AX204" s="252">
        <f t="shared" si="185"/>
        <v>0</v>
      </c>
      <c r="AY204" s="252">
        <f t="shared" si="185"/>
        <v>0</v>
      </c>
      <c r="AZ204" s="252">
        <f t="shared" si="185"/>
        <v>0</v>
      </c>
      <c r="BA204" s="252">
        <f t="shared" si="185"/>
        <v>0</v>
      </c>
      <c r="BB204" s="252">
        <f t="shared" si="185"/>
        <v>0</v>
      </c>
    </row>
    <row r="205" ht="15.75" customHeight="1">
      <c r="A205" s="768">
        <v>1944.0</v>
      </c>
      <c r="B205" s="38"/>
      <c r="C205" s="38"/>
      <c r="D205" s="38"/>
      <c r="E205" s="38"/>
      <c r="F205" s="38"/>
      <c r="G205" s="38"/>
      <c r="H205" s="38"/>
      <c r="I205" s="38"/>
      <c r="J205" s="38"/>
      <c r="K205" s="38"/>
      <c r="L205" s="38"/>
      <c r="M205" s="38"/>
      <c r="N205" s="38"/>
      <c r="O205" s="38"/>
      <c r="P205" s="38"/>
      <c r="Q205" s="38"/>
      <c r="R205" s="38"/>
      <c r="S205" s="740">
        <v>1955.0</v>
      </c>
      <c r="T205" s="740">
        <v>3734.6</v>
      </c>
      <c r="U205" s="38"/>
      <c r="V205" s="771">
        <v>0.0</v>
      </c>
      <c r="W205" s="252">
        <f t="shared" si="172"/>
        <v>0</v>
      </c>
      <c r="X205" s="252">
        <f t="shared" ref="X205:BB205" si="186">IF(AND(X$190-$A205&gt;$V$48,SUM($W205:W205)&lt;&gt;$V205),$V205,0)</f>
        <v>0</v>
      </c>
      <c r="Y205" s="252">
        <f t="shared" si="186"/>
        <v>0</v>
      </c>
      <c r="Z205" s="252">
        <f t="shared" si="186"/>
        <v>0</v>
      </c>
      <c r="AA205" s="252">
        <f t="shared" si="186"/>
        <v>0</v>
      </c>
      <c r="AB205" s="252">
        <f t="shared" si="186"/>
        <v>0</v>
      </c>
      <c r="AC205" s="252">
        <f t="shared" si="186"/>
        <v>0</v>
      </c>
      <c r="AD205" s="252">
        <f t="shared" si="186"/>
        <v>0</v>
      </c>
      <c r="AE205" s="252">
        <f t="shared" si="186"/>
        <v>0</v>
      </c>
      <c r="AF205" s="252">
        <f t="shared" si="186"/>
        <v>0</v>
      </c>
      <c r="AG205" s="252">
        <f t="shared" si="186"/>
        <v>0</v>
      </c>
      <c r="AH205" s="252">
        <f t="shared" si="186"/>
        <v>0</v>
      </c>
      <c r="AI205" s="252">
        <f t="shared" si="186"/>
        <v>0</v>
      </c>
      <c r="AJ205" s="252">
        <f t="shared" si="186"/>
        <v>0</v>
      </c>
      <c r="AK205" s="252">
        <f t="shared" si="186"/>
        <v>0</v>
      </c>
      <c r="AL205" s="252">
        <f t="shared" si="186"/>
        <v>0</v>
      </c>
      <c r="AM205" s="252">
        <f t="shared" si="186"/>
        <v>0</v>
      </c>
      <c r="AN205" s="252">
        <f t="shared" si="186"/>
        <v>0</v>
      </c>
      <c r="AO205" s="252">
        <f t="shared" si="186"/>
        <v>0</v>
      </c>
      <c r="AP205" s="252">
        <f t="shared" si="186"/>
        <v>0</v>
      </c>
      <c r="AQ205" s="252">
        <f t="shared" si="186"/>
        <v>0</v>
      </c>
      <c r="AR205" s="252">
        <f t="shared" si="186"/>
        <v>0</v>
      </c>
      <c r="AS205" s="252">
        <f t="shared" si="186"/>
        <v>0</v>
      </c>
      <c r="AT205" s="252">
        <f t="shared" si="186"/>
        <v>0</v>
      </c>
      <c r="AU205" s="252">
        <f t="shared" si="186"/>
        <v>0</v>
      </c>
      <c r="AV205" s="252">
        <f t="shared" si="186"/>
        <v>0</v>
      </c>
      <c r="AW205" s="252">
        <f t="shared" si="186"/>
        <v>0</v>
      </c>
      <c r="AX205" s="252">
        <f t="shared" si="186"/>
        <v>0</v>
      </c>
      <c r="AY205" s="252">
        <f t="shared" si="186"/>
        <v>0</v>
      </c>
      <c r="AZ205" s="252">
        <f t="shared" si="186"/>
        <v>0</v>
      </c>
      <c r="BA205" s="252">
        <f t="shared" si="186"/>
        <v>0</v>
      </c>
      <c r="BB205" s="252">
        <f t="shared" si="186"/>
        <v>0</v>
      </c>
    </row>
    <row r="206" ht="15.75" customHeight="1">
      <c r="A206" s="768">
        <v>1945.0</v>
      </c>
      <c r="B206" s="38"/>
      <c r="C206" s="38"/>
      <c r="D206" s="38"/>
      <c r="E206" s="38"/>
      <c r="F206" s="38"/>
      <c r="G206" s="38"/>
      <c r="H206" s="38"/>
      <c r="I206" s="38"/>
      <c r="J206" s="38"/>
      <c r="K206" s="38"/>
      <c r="L206" s="38"/>
      <c r="M206" s="38"/>
      <c r="N206" s="38"/>
      <c r="O206" s="38"/>
      <c r="P206" s="38"/>
      <c r="Q206" s="38"/>
      <c r="R206" s="38"/>
      <c r="S206" s="740">
        <v>1956.0</v>
      </c>
      <c r="T206" s="740">
        <v>586.5</v>
      </c>
      <c r="U206" s="38"/>
      <c r="V206" s="771">
        <v>0.0</v>
      </c>
      <c r="W206" s="252">
        <f t="shared" si="172"/>
        <v>0</v>
      </c>
      <c r="X206" s="252">
        <f t="shared" ref="X206:BB206" si="187">IF(AND(X$190-$A206&gt;$V$48,SUM($W206:W206)&lt;&gt;$V206),$V206,0)</f>
        <v>0</v>
      </c>
      <c r="Y206" s="252">
        <f t="shared" si="187"/>
        <v>0</v>
      </c>
      <c r="Z206" s="252">
        <f t="shared" si="187"/>
        <v>0</v>
      </c>
      <c r="AA206" s="252">
        <f t="shared" si="187"/>
        <v>0</v>
      </c>
      <c r="AB206" s="252">
        <f t="shared" si="187"/>
        <v>0</v>
      </c>
      <c r="AC206" s="252">
        <f t="shared" si="187"/>
        <v>0</v>
      </c>
      <c r="AD206" s="252">
        <f t="shared" si="187"/>
        <v>0</v>
      </c>
      <c r="AE206" s="252">
        <f t="shared" si="187"/>
        <v>0</v>
      </c>
      <c r="AF206" s="252">
        <f t="shared" si="187"/>
        <v>0</v>
      </c>
      <c r="AG206" s="252">
        <f t="shared" si="187"/>
        <v>0</v>
      </c>
      <c r="AH206" s="252">
        <f t="shared" si="187"/>
        <v>0</v>
      </c>
      <c r="AI206" s="252">
        <f t="shared" si="187"/>
        <v>0</v>
      </c>
      <c r="AJ206" s="252">
        <f t="shared" si="187"/>
        <v>0</v>
      </c>
      <c r="AK206" s="252">
        <f t="shared" si="187"/>
        <v>0</v>
      </c>
      <c r="AL206" s="252">
        <f t="shared" si="187"/>
        <v>0</v>
      </c>
      <c r="AM206" s="252">
        <f t="shared" si="187"/>
        <v>0</v>
      </c>
      <c r="AN206" s="252">
        <f t="shared" si="187"/>
        <v>0</v>
      </c>
      <c r="AO206" s="252">
        <f t="shared" si="187"/>
        <v>0</v>
      </c>
      <c r="AP206" s="252">
        <f t="shared" si="187"/>
        <v>0</v>
      </c>
      <c r="AQ206" s="252">
        <f t="shared" si="187"/>
        <v>0</v>
      </c>
      <c r="AR206" s="252">
        <f t="shared" si="187"/>
        <v>0</v>
      </c>
      <c r="AS206" s="252">
        <f t="shared" si="187"/>
        <v>0</v>
      </c>
      <c r="AT206" s="252">
        <f t="shared" si="187"/>
        <v>0</v>
      </c>
      <c r="AU206" s="252">
        <f t="shared" si="187"/>
        <v>0</v>
      </c>
      <c r="AV206" s="252">
        <f t="shared" si="187"/>
        <v>0</v>
      </c>
      <c r="AW206" s="252">
        <f t="shared" si="187"/>
        <v>0</v>
      </c>
      <c r="AX206" s="252">
        <f t="shared" si="187"/>
        <v>0</v>
      </c>
      <c r="AY206" s="252">
        <f t="shared" si="187"/>
        <v>0</v>
      </c>
      <c r="AZ206" s="252">
        <f t="shared" si="187"/>
        <v>0</v>
      </c>
      <c r="BA206" s="252">
        <f t="shared" si="187"/>
        <v>0</v>
      </c>
      <c r="BB206" s="252">
        <f t="shared" si="187"/>
        <v>0</v>
      </c>
    </row>
    <row r="207" ht="15.75" customHeight="1">
      <c r="A207" s="768">
        <v>1946.0</v>
      </c>
      <c r="B207" s="38"/>
      <c r="C207" s="38"/>
      <c r="D207" s="38"/>
      <c r="E207" s="38"/>
      <c r="F207" s="38"/>
      <c r="G207" s="38"/>
      <c r="H207" s="38"/>
      <c r="I207" s="38"/>
      <c r="J207" s="38"/>
      <c r="K207" s="38"/>
      <c r="L207" s="38"/>
      <c r="M207" s="38"/>
      <c r="N207" s="38"/>
      <c r="O207" s="38"/>
      <c r="P207" s="38"/>
      <c r="Q207" s="38"/>
      <c r="R207" s="38"/>
      <c r="S207" s="740">
        <v>1957.0</v>
      </c>
      <c r="T207" s="740">
        <v>1143.8</v>
      </c>
      <c r="U207" s="38"/>
      <c r="V207" s="771">
        <v>1.0</v>
      </c>
      <c r="W207" s="252">
        <f t="shared" si="172"/>
        <v>1</v>
      </c>
      <c r="X207" s="252">
        <f t="shared" ref="X207:BB207" si="188">IF(AND(X$190-$A207&gt;$V$48,SUM($W207:W207)&lt;&gt;$V207),$V207,0)</f>
        <v>0</v>
      </c>
      <c r="Y207" s="252">
        <f t="shared" si="188"/>
        <v>0</v>
      </c>
      <c r="Z207" s="252">
        <f t="shared" si="188"/>
        <v>0</v>
      </c>
      <c r="AA207" s="252">
        <f t="shared" si="188"/>
        <v>0</v>
      </c>
      <c r="AB207" s="252">
        <f t="shared" si="188"/>
        <v>0</v>
      </c>
      <c r="AC207" s="252">
        <f t="shared" si="188"/>
        <v>0</v>
      </c>
      <c r="AD207" s="252">
        <f t="shared" si="188"/>
        <v>0</v>
      </c>
      <c r="AE207" s="252">
        <f t="shared" si="188"/>
        <v>0</v>
      </c>
      <c r="AF207" s="252">
        <f t="shared" si="188"/>
        <v>0</v>
      </c>
      <c r="AG207" s="252">
        <f t="shared" si="188"/>
        <v>0</v>
      </c>
      <c r="AH207" s="252">
        <f t="shared" si="188"/>
        <v>0</v>
      </c>
      <c r="AI207" s="252">
        <f t="shared" si="188"/>
        <v>0</v>
      </c>
      <c r="AJ207" s="252">
        <f t="shared" si="188"/>
        <v>0</v>
      </c>
      <c r="AK207" s="252">
        <f t="shared" si="188"/>
        <v>0</v>
      </c>
      <c r="AL207" s="252">
        <f t="shared" si="188"/>
        <v>0</v>
      </c>
      <c r="AM207" s="252">
        <f t="shared" si="188"/>
        <v>0</v>
      </c>
      <c r="AN207" s="252">
        <f t="shared" si="188"/>
        <v>0</v>
      </c>
      <c r="AO207" s="252">
        <f t="shared" si="188"/>
        <v>0</v>
      </c>
      <c r="AP207" s="252">
        <f t="shared" si="188"/>
        <v>0</v>
      </c>
      <c r="AQ207" s="252">
        <f t="shared" si="188"/>
        <v>0</v>
      </c>
      <c r="AR207" s="252">
        <f t="shared" si="188"/>
        <v>0</v>
      </c>
      <c r="AS207" s="252">
        <f t="shared" si="188"/>
        <v>0</v>
      </c>
      <c r="AT207" s="252">
        <f t="shared" si="188"/>
        <v>0</v>
      </c>
      <c r="AU207" s="252">
        <f t="shared" si="188"/>
        <v>0</v>
      </c>
      <c r="AV207" s="252">
        <f t="shared" si="188"/>
        <v>0</v>
      </c>
      <c r="AW207" s="252">
        <f t="shared" si="188"/>
        <v>0</v>
      </c>
      <c r="AX207" s="252">
        <f t="shared" si="188"/>
        <v>0</v>
      </c>
      <c r="AY207" s="252">
        <f t="shared" si="188"/>
        <v>0</v>
      </c>
      <c r="AZ207" s="252">
        <f t="shared" si="188"/>
        <v>0</v>
      </c>
      <c r="BA207" s="252">
        <f t="shared" si="188"/>
        <v>0</v>
      </c>
      <c r="BB207" s="252">
        <f t="shared" si="188"/>
        <v>0</v>
      </c>
    </row>
    <row r="208" ht="15.75" customHeight="1">
      <c r="A208" s="768">
        <v>1947.0</v>
      </c>
      <c r="B208" s="38"/>
      <c r="C208" s="38"/>
      <c r="D208" s="38"/>
      <c r="E208" s="38"/>
      <c r="F208" s="38"/>
      <c r="G208" s="38"/>
      <c r="H208" s="38"/>
      <c r="I208" s="38"/>
      <c r="J208" s="38"/>
      <c r="K208" s="38"/>
      <c r="L208" s="38"/>
      <c r="M208" s="38"/>
      <c r="N208" s="38"/>
      <c r="O208" s="38"/>
      <c r="P208" s="38"/>
      <c r="Q208" s="38"/>
      <c r="R208" s="38"/>
      <c r="S208" s="740">
        <v>1958.0</v>
      </c>
      <c r="T208" s="740">
        <v>1937.6999999999998</v>
      </c>
      <c r="U208" s="38"/>
      <c r="V208" s="771">
        <v>0.0</v>
      </c>
      <c r="W208" s="252">
        <f t="shared" si="172"/>
        <v>0</v>
      </c>
      <c r="X208" s="252">
        <f t="shared" ref="X208:BB208" si="189">IF(AND(X$190-$A208&gt;$V$48,SUM($W208:W208)&lt;&gt;$V208),$V208,0)</f>
        <v>0</v>
      </c>
      <c r="Y208" s="252">
        <f t="shared" si="189"/>
        <v>0</v>
      </c>
      <c r="Z208" s="252">
        <f t="shared" si="189"/>
        <v>0</v>
      </c>
      <c r="AA208" s="252">
        <f t="shared" si="189"/>
        <v>0</v>
      </c>
      <c r="AB208" s="252">
        <f t="shared" si="189"/>
        <v>0</v>
      </c>
      <c r="AC208" s="252">
        <f t="shared" si="189"/>
        <v>0</v>
      </c>
      <c r="AD208" s="252">
        <f t="shared" si="189"/>
        <v>0</v>
      </c>
      <c r="AE208" s="252">
        <f t="shared" si="189"/>
        <v>0</v>
      </c>
      <c r="AF208" s="252">
        <f t="shared" si="189"/>
        <v>0</v>
      </c>
      <c r="AG208" s="252">
        <f t="shared" si="189"/>
        <v>0</v>
      </c>
      <c r="AH208" s="252">
        <f t="shared" si="189"/>
        <v>0</v>
      </c>
      <c r="AI208" s="252">
        <f t="shared" si="189"/>
        <v>0</v>
      </c>
      <c r="AJ208" s="252">
        <f t="shared" si="189"/>
        <v>0</v>
      </c>
      <c r="AK208" s="252">
        <f t="shared" si="189"/>
        <v>0</v>
      </c>
      <c r="AL208" s="252">
        <f t="shared" si="189"/>
        <v>0</v>
      </c>
      <c r="AM208" s="252">
        <f t="shared" si="189"/>
        <v>0</v>
      </c>
      <c r="AN208" s="252">
        <f t="shared" si="189"/>
        <v>0</v>
      </c>
      <c r="AO208" s="252">
        <f t="shared" si="189"/>
        <v>0</v>
      </c>
      <c r="AP208" s="252">
        <f t="shared" si="189"/>
        <v>0</v>
      </c>
      <c r="AQ208" s="252">
        <f t="shared" si="189"/>
        <v>0</v>
      </c>
      <c r="AR208" s="252">
        <f t="shared" si="189"/>
        <v>0</v>
      </c>
      <c r="AS208" s="252">
        <f t="shared" si="189"/>
        <v>0</v>
      </c>
      <c r="AT208" s="252">
        <f t="shared" si="189"/>
        <v>0</v>
      </c>
      <c r="AU208" s="252">
        <f t="shared" si="189"/>
        <v>0</v>
      </c>
      <c r="AV208" s="252">
        <f t="shared" si="189"/>
        <v>0</v>
      </c>
      <c r="AW208" s="252">
        <f t="shared" si="189"/>
        <v>0</v>
      </c>
      <c r="AX208" s="252">
        <f t="shared" si="189"/>
        <v>0</v>
      </c>
      <c r="AY208" s="252">
        <f t="shared" si="189"/>
        <v>0</v>
      </c>
      <c r="AZ208" s="252">
        <f t="shared" si="189"/>
        <v>0</v>
      </c>
      <c r="BA208" s="252">
        <f t="shared" si="189"/>
        <v>0</v>
      </c>
      <c r="BB208" s="252">
        <f t="shared" si="189"/>
        <v>0</v>
      </c>
    </row>
    <row r="209" ht="15.75" customHeight="1">
      <c r="A209" s="768">
        <v>1948.0</v>
      </c>
      <c r="B209" s="38"/>
      <c r="C209" s="38"/>
      <c r="D209" s="38"/>
      <c r="E209" s="38"/>
      <c r="F209" s="38"/>
      <c r="G209" s="38"/>
      <c r="H209" s="38"/>
      <c r="I209" s="38"/>
      <c r="J209" s="38"/>
      <c r="K209" s="38"/>
      <c r="L209" s="38"/>
      <c r="M209" s="38"/>
      <c r="N209" s="38"/>
      <c r="O209" s="38"/>
      <c r="P209" s="38"/>
      <c r="Q209" s="38"/>
      <c r="R209" s="38"/>
      <c r="S209" s="740">
        <v>1959.0</v>
      </c>
      <c r="T209" s="740">
        <v>3700.0</v>
      </c>
      <c r="U209" s="38"/>
      <c r="V209" s="771">
        <v>2.7</v>
      </c>
      <c r="W209" s="252">
        <f t="shared" si="172"/>
        <v>2.7</v>
      </c>
      <c r="X209" s="252">
        <f t="shared" ref="X209:BB209" si="190">IF(AND(X$190-$A209&gt;$V$48,SUM($W209:W209)&lt;&gt;$V209),$V209,0)</f>
        <v>0</v>
      </c>
      <c r="Y209" s="252">
        <f t="shared" si="190"/>
        <v>0</v>
      </c>
      <c r="Z209" s="252">
        <f t="shared" si="190"/>
        <v>0</v>
      </c>
      <c r="AA209" s="252">
        <f t="shared" si="190"/>
        <v>0</v>
      </c>
      <c r="AB209" s="252">
        <f t="shared" si="190"/>
        <v>0</v>
      </c>
      <c r="AC209" s="252">
        <f t="shared" si="190"/>
        <v>0</v>
      </c>
      <c r="AD209" s="252">
        <f t="shared" si="190"/>
        <v>0</v>
      </c>
      <c r="AE209" s="252">
        <f t="shared" si="190"/>
        <v>0</v>
      </c>
      <c r="AF209" s="252">
        <f t="shared" si="190"/>
        <v>0</v>
      </c>
      <c r="AG209" s="252">
        <f t="shared" si="190"/>
        <v>0</v>
      </c>
      <c r="AH209" s="252">
        <f t="shared" si="190"/>
        <v>0</v>
      </c>
      <c r="AI209" s="252">
        <f t="shared" si="190"/>
        <v>0</v>
      </c>
      <c r="AJ209" s="252">
        <f t="shared" si="190"/>
        <v>0</v>
      </c>
      <c r="AK209" s="252">
        <f t="shared" si="190"/>
        <v>0</v>
      </c>
      <c r="AL209" s="252">
        <f t="shared" si="190"/>
        <v>0</v>
      </c>
      <c r="AM209" s="252">
        <f t="shared" si="190"/>
        <v>0</v>
      </c>
      <c r="AN209" s="252">
        <f t="shared" si="190"/>
        <v>0</v>
      </c>
      <c r="AO209" s="252">
        <f t="shared" si="190"/>
        <v>0</v>
      </c>
      <c r="AP209" s="252">
        <f t="shared" si="190"/>
        <v>0</v>
      </c>
      <c r="AQ209" s="252">
        <f t="shared" si="190"/>
        <v>0</v>
      </c>
      <c r="AR209" s="252">
        <f t="shared" si="190"/>
        <v>0</v>
      </c>
      <c r="AS209" s="252">
        <f t="shared" si="190"/>
        <v>0</v>
      </c>
      <c r="AT209" s="252">
        <f t="shared" si="190"/>
        <v>0</v>
      </c>
      <c r="AU209" s="252">
        <f t="shared" si="190"/>
        <v>0</v>
      </c>
      <c r="AV209" s="252">
        <f t="shared" si="190"/>
        <v>0</v>
      </c>
      <c r="AW209" s="252">
        <f t="shared" si="190"/>
        <v>0</v>
      </c>
      <c r="AX209" s="252">
        <f t="shared" si="190"/>
        <v>0</v>
      </c>
      <c r="AY209" s="252">
        <f t="shared" si="190"/>
        <v>0</v>
      </c>
      <c r="AZ209" s="252">
        <f t="shared" si="190"/>
        <v>0</v>
      </c>
      <c r="BA209" s="252">
        <f t="shared" si="190"/>
        <v>0</v>
      </c>
      <c r="BB209" s="252">
        <f t="shared" si="190"/>
        <v>0</v>
      </c>
    </row>
    <row r="210" ht="15.75" customHeight="1">
      <c r="A210" s="768">
        <v>1949.0</v>
      </c>
      <c r="B210" s="38"/>
      <c r="C210" s="38"/>
      <c r="D210" s="38"/>
      <c r="E210" s="38"/>
      <c r="F210" s="38"/>
      <c r="G210" s="38"/>
      <c r="H210" s="38"/>
      <c r="I210" s="38"/>
      <c r="J210" s="38"/>
      <c r="K210" s="38"/>
      <c r="L210" s="38"/>
      <c r="M210" s="38"/>
      <c r="N210" s="38"/>
      <c r="O210" s="38"/>
      <c r="P210" s="38"/>
      <c r="Q210" s="38"/>
      <c r="R210" s="38"/>
      <c r="S210" s="740">
        <v>1960.0</v>
      </c>
      <c r="T210" s="740">
        <v>1381.1999999999998</v>
      </c>
      <c r="U210" s="38"/>
      <c r="V210" s="771">
        <v>138.0</v>
      </c>
      <c r="W210" s="252">
        <f t="shared" si="172"/>
        <v>138</v>
      </c>
      <c r="X210" s="252">
        <f t="shared" ref="X210:BB210" si="191">IF(AND(X$190-$A210&gt;$V$48,SUM($W210:W210)&lt;&gt;$V210),$V210,0)</f>
        <v>0</v>
      </c>
      <c r="Y210" s="252">
        <f t="shared" si="191"/>
        <v>0</v>
      </c>
      <c r="Z210" s="252">
        <f t="shared" si="191"/>
        <v>0</v>
      </c>
      <c r="AA210" s="252">
        <f t="shared" si="191"/>
        <v>0</v>
      </c>
      <c r="AB210" s="252">
        <f t="shared" si="191"/>
        <v>0</v>
      </c>
      <c r="AC210" s="252">
        <f t="shared" si="191"/>
        <v>0</v>
      </c>
      <c r="AD210" s="252">
        <f t="shared" si="191"/>
        <v>0</v>
      </c>
      <c r="AE210" s="252">
        <f t="shared" si="191"/>
        <v>0</v>
      </c>
      <c r="AF210" s="252">
        <f t="shared" si="191"/>
        <v>0</v>
      </c>
      <c r="AG210" s="252">
        <f t="shared" si="191"/>
        <v>0</v>
      </c>
      <c r="AH210" s="252">
        <f t="shared" si="191"/>
        <v>0</v>
      </c>
      <c r="AI210" s="252">
        <f t="shared" si="191"/>
        <v>0</v>
      </c>
      <c r="AJ210" s="252">
        <f t="shared" si="191"/>
        <v>0</v>
      </c>
      <c r="AK210" s="252">
        <f t="shared" si="191"/>
        <v>0</v>
      </c>
      <c r="AL210" s="252">
        <f t="shared" si="191"/>
        <v>0</v>
      </c>
      <c r="AM210" s="252">
        <f t="shared" si="191"/>
        <v>0</v>
      </c>
      <c r="AN210" s="252">
        <f t="shared" si="191"/>
        <v>0</v>
      </c>
      <c r="AO210" s="252">
        <f t="shared" si="191"/>
        <v>0</v>
      </c>
      <c r="AP210" s="252">
        <f t="shared" si="191"/>
        <v>0</v>
      </c>
      <c r="AQ210" s="252">
        <f t="shared" si="191"/>
        <v>0</v>
      </c>
      <c r="AR210" s="252">
        <f t="shared" si="191"/>
        <v>0</v>
      </c>
      <c r="AS210" s="252">
        <f t="shared" si="191"/>
        <v>0</v>
      </c>
      <c r="AT210" s="252">
        <f t="shared" si="191"/>
        <v>0</v>
      </c>
      <c r="AU210" s="252">
        <f t="shared" si="191"/>
        <v>0</v>
      </c>
      <c r="AV210" s="252">
        <f t="shared" si="191"/>
        <v>0</v>
      </c>
      <c r="AW210" s="252">
        <f t="shared" si="191"/>
        <v>0</v>
      </c>
      <c r="AX210" s="252">
        <f t="shared" si="191"/>
        <v>0</v>
      </c>
      <c r="AY210" s="252">
        <f t="shared" si="191"/>
        <v>0</v>
      </c>
      <c r="AZ210" s="252">
        <f t="shared" si="191"/>
        <v>0</v>
      </c>
      <c r="BA210" s="252">
        <f t="shared" si="191"/>
        <v>0</v>
      </c>
      <c r="BB210" s="252">
        <f t="shared" si="191"/>
        <v>0</v>
      </c>
    </row>
    <row r="211" ht="15.75" customHeight="1">
      <c r="A211" s="768">
        <v>1950.0</v>
      </c>
      <c r="B211" s="38"/>
      <c r="C211" s="38"/>
      <c r="D211" s="38"/>
      <c r="E211" s="38"/>
      <c r="F211" s="38"/>
      <c r="G211" s="38"/>
      <c r="H211" s="38"/>
      <c r="I211" s="38"/>
      <c r="J211" s="38"/>
      <c r="K211" s="38"/>
      <c r="L211" s="38"/>
      <c r="M211" s="38"/>
      <c r="N211" s="38"/>
      <c r="O211" s="38"/>
      <c r="P211" s="38"/>
      <c r="Q211" s="38"/>
      <c r="R211" s="38"/>
      <c r="S211" s="740">
        <v>1961.0</v>
      </c>
      <c r="T211" s="740">
        <v>2208.0</v>
      </c>
      <c r="U211" s="38"/>
      <c r="V211" s="771">
        <v>2.5</v>
      </c>
      <c r="W211" s="252">
        <f t="shared" si="172"/>
        <v>2.5</v>
      </c>
      <c r="X211" s="252">
        <f t="shared" ref="X211:BB211" si="192">IF(AND(X$190-$A211&gt;$V$48,SUM($W211:W211)&lt;&gt;$V211),$V211,0)</f>
        <v>0</v>
      </c>
      <c r="Y211" s="252">
        <f t="shared" si="192"/>
        <v>0</v>
      </c>
      <c r="Z211" s="252">
        <f t="shared" si="192"/>
        <v>0</v>
      </c>
      <c r="AA211" s="252">
        <f t="shared" si="192"/>
        <v>0</v>
      </c>
      <c r="AB211" s="252">
        <f t="shared" si="192"/>
        <v>0</v>
      </c>
      <c r="AC211" s="252">
        <f t="shared" si="192"/>
        <v>0</v>
      </c>
      <c r="AD211" s="252">
        <f t="shared" si="192"/>
        <v>0</v>
      </c>
      <c r="AE211" s="252">
        <f t="shared" si="192"/>
        <v>0</v>
      </c>
      <c r="AF211" s="252">
        <f t="shared" si="192"/>
        <v>0</v>
      </c>
      <c r="AG211" s="252">
        <f t="shared" si="192"/>
        <v>0</v>
      </c>
      <c r="AH211" s="252">
        <f t="shared" si="192"/>
        <v>0</v>
      </c>
      <c r="AI211" s="252">
        <f t="shared" si="192"/>
        <v>0</v>
      </c>
      <c r="AJ211" s="252">
        <f t="shared" si="192"/>
        <v>0</v>
      </c>
      <c r="AK211" s="252">
        <f t="shared" si="192"/>
        <v>0</v>
      </c>
      <c r="AL211" s="252">
        <f t="shared" si="192"/>
        <v>0</v>
      </c>
      <c r="AM211" s="252">
        <f t="shared" si="192"/>
        <v>0</v>
      </c>
      <c r="AN211" s="252">
        <f t="shared" si="192"/>
        <v>0</v>
      </c>
      <c r="AO211" s="252">
        <f t="shared" si="192"/>
        <v>0</v>
      </c>
      <c r="AP211" s="252">
        <f t="shared" si="192"/>
        <v>0</v>
      </c>
      <c r="AQ211" s="252">
        <f t="shared" si="192"/>
        <v>0</v>
      </c>
      <c r="AR211" s="252">
        <f t="shared" si="192"/>
        <v>0</v>
      </c>
      <c r="AS211" s="252">
        <f t="shared" si="192"/>
        <v>0</v>
      </c>
      <c r="AT211" s="252">
        <f t="shared" si="192"/>
        <v>0</v>
      </c>
      <c r="AU211" s="252">
        <f t="shared" si="192"/>
        <v>0</v>
      </c>
      <c r="AV211" s="252">
        <f t="shared" si="192"/>
        <v>0</v>
      </c>
      <c r="AW211" s="252">
        <f t="shared" si="192"/>
        <v>0</v>
      </c>
      <c r="AX211" s="252">
        <f t="shared" si="192"/>
        <v>0</v>
      </c>
      <c r="AY211" s="252">
        <f t="shared" si="192"/>
        <v>0</v>
      </c>
      <c r="AZ211" s="252">
        <f t="shared" si="192"/>
        <v>0</v>
      </c>
      <c r="BA211" s="252">
        <f t="shared" si="192"/>
        <v>0</v>
      </c>
      <c r="BB211" s="252">
        <f t="shared" si="192"/>
        <v>0</v>
      </c>
    </row>
    <row r="212" ht="15.75" customHeight="1">
      <c r="A212" s="768">
        <v>1951.0</v>
      </c>
      <c r="B212" s="38"/>
      <c r="C212" s="38"/>
      <c r="D212" s="38"/>
      <c r="E212" s="38"/>
      <c r="F212" s="38"/>
      <c r="G212" s="38"/>
      <c r="H212" s="38"/>
      <c r="I212" s="38"/>
      <c r="J212" s="38"/>
      <c r="K212" s="38"/>
      <c r="L212" s="38"/>
      <c r="M212" s="38"/>
      <c r="N212" s="38"/>
      <c r="O212" s="38"/>
      <c r="P212" s="38"/>
      <c r="Q212" s="38"/>
      <c r="R212" s="38"/>
      <c r="S212" s="740">
        <v>1962.0</v>
      </c>
      <c r="T212" s="740">
        <v>1400.3000000000002</v>
      </c>
      <c r="U212" s="38"/>
      <c r="V212" s="771">
        <v>0.0</v>
      </c>
      <c r="W212" s="252">
        <f t="shared" si="172"/>
        <v>0</v>
      </c>
      <c r="X212" s="252">
        <f t="shared" ref="X212:BB212" si="193">IF(AND(X$190-$A212&gt;$V$48,SUM($W212:W212)&lt;&gt;$V212),$V212,0)</f>
        <v>0</v>
      </c>
      <c r="Y212" s="252">
        <f t="shared" si="193"/>
        <v>0</v>
      </c>
      <c r="Z212" s="252">
        <f t="shared" si="193"/>
        <v>0</v>
      </c>
      <c r="AA212" s="252">
        <f t="shared" si="193"/>
        <v>0</v>
      </c>
      <c r="AB212" s="252">
        <f t="shared" si="193"/>
        <v>0</v>
      </c>
      <c r="AC212" s="252">
        <f t="shared" si="193"/>
        <v>0</v>
      </c>
      <c r="AD212" s="252">
        <f t="shared" si="193"/>
        <v>0</v>
      </c>
      <c r="AE212" s="252">
        <f t="shared" si="193"/>
        <v>0</v>
      </c>
      <c r="AF212" s="252">
        <f t="shared" si="193"/>
        <v>0</v>
      </c>
      <c r="AG212" s="252">
        <f t="shared" si="193"/>
        <v>0</v>
      </c>
      <c r="AH212" s="252">
        <f t="shared" si="193"/>
        <v>0</v>
      </c>
      <c r="AI212" s="252">
        <f t="shared" si="193"/>
        <v>0</v>
      </c>
      <c r="AJ212" s="252">
        <f t="shared" si="193"/>
        <v>0</v>
      </c>
      <c r="AK212" s="252">
        <f t="shared" si="193"/>
        <v>0</v>
      </c>
      <c r="AL212" s="252">
        <f t="shared" si="193"/>
        <v>0</v>
      </c>
      <c r="AM212" s="252">
        <f t="shared" si="193"/>
        <v>0</v>
      </c>
      <c r="AN212" s="252">
        <f t="shared" si="193"/>
        <v>0</v>
      </c>
      <c r="AO212" s="252">
        <f t="shared" si="193"/>
        <v>0</v>
      </c>
      <c r="AP212" s="252">
        <f t="shared" si="193"/>
        <v>0</v>
      </c>
      <c r="AQ212" s="252">
        <f t="shared" si="193"/>
        <v>0</v>
      </c>
      <c r="AR212" s="252">
        <f t="shared" si="193"/>
        <v>0</v>
      </c>
      <c r="AS212" s="252">
        <f t="shared" si="193"/>
        <v>0</v>
      </c>
      <c r="AT212" s="252">
        <f t="shared" si="193"/>
        <v>0</v>
      </c>
      <c r="AU212" s="252">
        <f t="shared" si="193"/>
        <v>0</v>
      </c>
      <c r="AV212" s="252">
        <f t="shared" si="193"/>
        <v>0</v>
      </c>
      <c r="AW212" s="252">
        <f t="shared" si="193"/>
        <v>0</v>
      </c>
      <c r="AX212" s="252">
        <f t="shared" si="193"/>
        <v>0</v>
      </c>
      <c r="AY212" s="252">
        <f t="shared" si="193"/>
        <v>0</v>
      </c>
      <c r="AZ212" s="252">
        <f t="shared" si="193"/>
        <v>0</v>
      </c>
      <c r="BA212" s="252">
        <f t="shared" si="193"/>
        <v>0</v>
      </c>
      <c r="BB212" s="252">
        <f t="shared" si="193"/>
        <v>0</v>
      </c>
    </row>
    <row r="213" ht="15.75" customHeight="1">
      <c r="A213" s="768">
        <v>1952.0</v>
      </c>
      <c r="B213" s="38"/>
      <c r="C213" s="38"/>
      <c r="D213" s="38"/>
      <c r="E213" s="38"/>
      <c r="F213" s="38"/>
      <c r="G213" s="38"/>
      <c r="H213" s="38"/>
      <c r="I213" s="38"/>
      <c r="J213" s="38"/>
      <c r="K213" s="38"/>
      <c r="L213" s="38"/>
      <c r="M213" s="38"/>
      <c r="N213" s="38"/>
      <c r="O213" s="38"/>
      <c r="P213" s="38"/>
      <c r="Q213" s="38"/>
      <c r="R213" s="38"/>
      <c r="S213" s="740">
        <v>1963.0</v>
      </c>
      <c r="T213" s="740">
        <v>1369.2</v>
      </c>
      <c r="U213" s="38"/>
      <c r="V213" s="771">
        <v>11.0</v>
      </c>
      <c r="W213" s="252">
        <f t="shared" si="172"/>
        <v>11</v>
      </c>
      <c r="X213" s="252">
        <f t="shared" ref="X213:BB213" si="194">IF(AND(X$190-$A213&gt;$V$48,SUM($W213:W213)&lt;&gt;$V213),$V213,0)</f>
        <v>0</v>
      </c>
      <c r="Y213" s="252">
        <f t="shared" si="194"/>
        <v>0</v>
      </c>
      <c r="Z213" s="252">
        <f t="shared" si="194"/>
        <v>0</v>
      </c>
      <c r="AA213" s="252">
        <f t="shared" si="194"/>
        <v>0</v>
      </c>
      <c r="AB213" s="252">
        <f t="shared" si="194"/>
        <v>0</v>
      </c>
      <c r="AC213" s="252">
        <f t="shared" si="194"/>
        <v>0</v>
      </c>
      <c r="AD213" s="252">
        <f t="shared" si="194"/>
        <v>0</v>
      </c>
      <c r="AE213" s="252">
        <f t="shared" si="194"/>
        <v>0</v>
      </c>
      <c r="AF213" s="252">
        <f t="shared" si="194"/>
        <v>0</v>
      </c>
      <c r="AG213" s="252">
        <f t="shared" si="194"/>
        <v>0</v>
      </c>
      <c r="AH213" s="252">
        <f t="shared" si="194"/>
        <v>0</v>
      </c>
      <c r="AI213" s="252">
        <f t="shared" si="194"/>
        <v>0</v>
      </c>
      <c r="AJ213" s="252">
        <f t="shared" si="194"/>
        <v>0</v>
      </c>
      <c r="AK213" s="252">
        <f t="shared" si="194"/>
        <v>0</v>
      </c>
      <c r="AL213" s="252">
        <f t="shared" si="194"/>
        <v>0</v>
      </c>
      <c r="AM213" s="252">
        <f t="shared" si="194"/>
        <v>0</v>
      </c>
      <c r="AN213" s="252">
        <f t="shared" si="194"/>
        <v>0</v>
      </c>
      <c r="AO213" s="252">
        <f t="shared" si="194"/>
        <v>0</v>
      </c>
      <c r="AP213" s="252">
        <f t="shared" si="194"/>
        <v>0</v>
      </c>
      <c r="AQ213" s="252">
        <f t="shared" si="194"/>
        <v>0</v>
      </c>
      <c r="AR213" s="252">
        <f t="shared" si="194"/>
        <v>0</v>
      </c>
      <c r="AS213" s="252">
        <f t="shared" si="194"/>
        <v>0</v>
      </c>
      <c r="AT213" s="252">
        <f t="shared" si="194"/>
        <v>0</v>
      </c>
      <c r="AU213" s="252">
        <f t="shared" si="194"/>
        <v>0</v>
      </c>
      <c r="AV213" s="252">
        <f t="shared" si="194"/>
        <v>0</v>
      </c>
      <c r="AW213" s="252">
        <f t="shared" si="194"/>
        <v>0</v>
      </c>
      <c r="AX213" s="252">
        <f t="shared" si="194"/>
        <v>0</v>
      </c>
      <c r="AY213" s="252">
        <f t="shared" si="194"/>
        <v>0</v>
      </c>
      <c r="AZ213" s="252">
        <f t="shared" si="194"/>
        <v>0</v>
      </c>
      <c r="BA213" s="252">
        <f t="shared" si="194"/>
        <v>0</v>
      </c>
      <c r="BB213" s="252">
        <f t="shared" si="194"/>
        <v>0</v>
      </c>
    </row>
    <row r="214" ht="15.75" customHeight="1">
      <c r="A214" s="768">
        <v>1953.0</v>
      </c>
      <c r="B214" s="38"/>
      <c r="C214" s="38"/>
      <c r="D214" s="38"/>
      <c r="E214" s="38"/>
      <c r="F214" s="38"/>
      <c r="G214" s="38"/>
      <c r="H214" s="38"/>
      <c r="I214" s="38"/>
      <c r="J214" s="38"/>
      <c r="K214" s="38"/>
      <c r="L214" s="38"/>
      <c r="M214" s="38"/>
      <c r="N214" s="38"/>
      <c r="O214" s="38"/>
      <c r="P214" s="38"/>
      <c r="Q214" s="38"/>
      <c r="R214" s="38"/>
      <c r="S214" s="740">
        <v>1964.0</v>
      </c>
      <c r="T214" s="740">
        <v>2006.7</v>
      </c>
      <c r="U214" s="38"/>
      <c r="V214" s="771">
        <v>0.0</v>
      </c>
      <c r="W214" s="252">
        <f t="shared" si="172"/>
        <v>0</v>
      </c>
      <c r="X214" s="252">
        <f t="shared" ref="X214:BB214" si="195">IF(AND(X$190-$A214&gt;$V$48,SUM($W214:W214)&lt;&gt;$V214),$V214,0)</f>
        <v>0</v>
      </c>
      <c r="Y214" s="252">
        <f t="shared" si="195"/>
        <v>0</v>
      </c>
      <c r="Z214" s="252">
        <f t="shared" si="195"/>
        <v>0</v>
      </c>
      <c r="AA214" s="252">
        <f t="shared" si="195"/>
        <v>0</v>
      </c>
      <c r="AB214" s="252">
        <f t="shared" si="195"/>
        <v>0</v>
      </c>
      <c r="AC214" s="252">
        <f t="shared" si="195"/>
        <v>0</v>
      </c>
      <c r="AD214" s="252">
        <f t="shared" si="195"/>
        <v>0</v>
      </c>
      <c r="AE214" s="252">
        <f t="shared" si="195"/>
        <v>0</v>
      </c>
      <c r="AF214" s="252">
        <f t="shared" si="195"/>
        <v>0</v>
      </c>
      <c r="AG214" s="252">
        <f t="shared" si="195"/>
        <v>0</v>
      </c>
      <c r="AH214" s="252">
        <f t="shared" si="195"/>
        <v>0</v>
      </c>
      <c r="AI214" s="252">
        <f t="shared" si="195"/>
        <v>0</v>
      </c>
      <c r="AJ214" s="252">
        <f t="shared" si="195"/>
        <v>0</v>
      </c>
      <c r="AK214" s="252">
        <f t="shared" si="195"/>
        <v>0</v>
      </c>
      <c r="AL214" s="252">
        <f t="shared" si="195"/>
        <v>0</v>
      </c>
      <c r="AM214" s="252">
        <f t="shared" si="195"/>
        <v>0</v>
      </c>
      <c r="AN214" s="252">
        <f t="shared" si="195"/>
        <v>0</v>
      </c>
      <c r="AO214" s="252">
        <f t="shared" si="195"/>
        <v>0</v>
      </c>
      <c r="AP214" s="252">
        <f t="shared" si="195"/>
        <v>0</v>
      </c>
      <c r="AQ214" s="252">
        <f t="shared" si="195"/>
        <v>0</v>
      </c>
      <c r="AR214" s="252">
        <f t="shared" si="195"/>
        <v>0</v>
      </c>
      <c r="AS214" s="252">
        <f t="shared" si="195"/>
        <v>0</v>
      </c>
      <c r="AT214" s="252">
        <f t="shared" si="195"/>
        <v>0</v>
      </c>
      <c r="AU214" s="252">
        <f t="shared" si="195"/>
        <v>0</v>
      </c>
      <c r="AV214" s="252">
        <f t="shared" si="195"/>
        <v>0</v>
      </c>
      <c r="AW214" s="252">
        <f t="shared" si="195"/>
        <v>0</v>
      </c>
      <c r="AX214" s="252">
        <f t="shared" si="195"/>
        <v>0</v>
      </c>
      <c r="AY214" s="252">
        <f t="shared" si="195"/>
        <v>0</v>
      </c>
      <c r="AZ214" s="252">
        <f t="shared" si="195"/>
        <v>0</v>
      </c>
      <c r="BA214" s="252">
        <f t="shared" si="195"/>
        <v>0</v>
      </c>
      <c r="BB214" s="252">
        <f t="shared" si="195"/>
        <v>0</v>
      </c>
    </row>
    <row r="215" ht="15.75" customHeight="1">
      <c r="A215" s="768">
        <v>1954.0</v>
      </c>
      <c r="B215" s="38"/>
      <c r="C215" s="38"/>
      <c r="D215" s="38"/>
      <c r="E215" s="38"/>
      <c r="F215" s="38"/>
      <c r="G215" s="38"/>
      <c r="H215" s="38"/>
      <c r="I215" s="38"/>
      <c r="J215" s="38"/>
      <c r="K215" s="38"/>
      <c r="L215" s="38"/>
      <c r="M215" s="38"/>
      <c r="N215" s="38"/>
      <c r="O215" s="38"/>
      <c r="P215" s="38"/>
      <c r="Q215" s="38"/>
      <c r="R215" s="38"/>
      <c r="S215" s="740">
        <v>1965.0</v>
      </c>
      <c r="T215" s="740">
        <v>3012.1</v>
      </c>
      <c r="U215" s="38"/>
      <c r="V215" s="771">
        <v>306.2</v>
      </c>
      <c r="W215" s="252">
        <f t="shared" si="172"/>
        <v>306.2</v>
      </c>
      <c r="X215" s="252">
        <f t="shared" ref="X215:BB215" si="196">IF(AND(X$190-$A215&gt;$V$48,SUM($W215:W215)&lt;&gt;$V215),$V215,0)</f>
        <v>0</v>
      </c>
      <c r="Y215" s="252">
        <f t="shared" si="196"/>
        <v>0</v>
      </c>
      <c r="Z215" s="252">
        <f t="shared" si="196"/>
        <v>0</v>
      </c>
      <c r="AA215" s="252">
        <f t="shared" si="196"/>
        <v>0</v>
      </c>
      <c r="AB215" s="252">
        <f t="shared" si="196"/>
        <v>0</v>
      </c>
      <c r="AC215" s="252">
        <f t="shared" si="196"/>
        <v>0</v>
      </c>
      <c r="AD215" s="252">
        <f t="shared" si="196"/>
        <v>0</v>
      </c>
      <c r="AE215" s="252">
        <f t="shared" si="196"/>
        <v>0</v>
      </c>
      <c r="AF215" s="252">
        <f t="shared" si="196"/>
        <v>0</v>
      </c>
      <c r="AG215" s="252">
        <f t="shared" si="196"/>
        <v>0</v>
      </c>
      <c r="AH215" s="252">
        <f t="shared" si="196"/>
        <v>0</v>
      </c>
      <c r="AI215" s="252">
        <f t="shared" si="196"/>
        <v>0</v>
      </c>
      <c r="AJ215" s="252">
        <f t="shared" si="196"/>
        <v>0</v>
      </c>
      <c r="AK215" s="252">
        <f t="shared" si="196"/>
        <v>0</v>
      </c>
      <c r="AL215" s="252">
        <f t="shared" si="196"/>
        <v>0</v>
      </c>
      <c r="AM215" s="252">
        <f t="shared" si="196"/>
        <v>0</v>
      </c>
      <c r="AN215" s="252">
        <f t="shared" si="196"/>
        <v>0</v>
      </c>
      <c r="AO215" s="252">
        <f t="shared" si="196"/>
        <v>0</v>
      </c>
      <c r="AP215" s="252">
        <f t="shared" si="196"/>
        <v>0</v>
      </c>
      <c r="AQ215" s="252">
        <f t="shared" si="196"/>
        <v>0</v>
      </c>
      <c r="AR215" s="252">
        <f t="shared" si="196"/>
        <v>0</v>
      </c>
      <c r="AS215" s="252">
        <f t="shared" si="196"/>
        <v>0</v>
      </c>
      <c r="AT215" s="252">
        <f t="shared" si="196"/>
        <v>0</v>
      </c>
      <c r="AU215" s="252">
        <f t="shared" si="196"/>
        <v>0</v>
      </c>
      <c r="AV215" s="252">
        <f t="shared" si="196"/>
        <v>0</v>
      </c>
      <c r="AW215" s="252">
        <f t="shared" si="196"/>
        <v>0</v>
      </c>
      <c r="AX215" s="252">
        <f t="shared" si="196"/>
        <v>0</v>
      </c>
      <c r="AY215" s="252">
        <f t="shared" si="196"/>
        <v>0</v>
      </c>
      <c r="AZ215" s="252">
        <f t="shared" si="196"/>
        <v>0</v>
      </c>
      <c r="BA215" s="252">
        <f t="shared" si="196"/>
        <v>0</v>
      </c>
      <c r="BB215" s="252">
        <f t="shared" si="196"/>
        <v>0</v>
      </c>
    </row>
    <row r="216" ht="15.75" customHeight="1">
      <c r="A216" s="768">
        <v>1955.0</v>
      </c>
      <c r="B216" s="38"/>
      <c r="C216" s="38"/>
      <c r="D216" s="38"/>
      <c r="E216" s="38"/>
      <c r="F216" s="38"/>
      <c r="G216" s="38"/>
      <c r="H216" s="38"/>
      <c r="I216" s="38"/>
      <c r="J216" s="38"/>
      <c r="K216" s="38"/>
      <c r="L216" s="38"/>
      <c r="M216" s="38"/>
      <c r="N216" s="38"/>
      <c r="O216" s="38"/>
      <c r="P216" s="38"/>
      <c r="Q216" s="38"/>
      <c r="R216" s="38"/>
      <c r="S216" s="740">
        <v>1966.0</v>
      </c>
      <c r="T216" s="740">
        <v>3232.4</v>
      </c>
      <c r="U216" s="38"/>
      <c r="V216" s="771">
        <v>100.0</v>
      </c>
      <c r="W216" s="252">
        <f t="shared" si="172"/>
        <v>100</v>
      </c>
      <c r="X216" s="252">
        <f t="shared" ref="X216:BB216" si="197">IF(AND(X$190-$A216&gt;$V$48,SUM($W216:W216)&lt;&gt;$V216),$V216,0)</f>
        <v>0</v>
      </c>
      <c r="Y216" s="252">
        <f t="shared" si="197"/>
        <v>0</v>
      </c>
      <c r="Z216" s="252">
        <f t="shared" si="197"/>
        <v>0</v>
      </c>
      <c r="AA216" s="252">
        <f t="shared" si="197"/>
        <v>0</v>
      </c>
      <c r="AB216" s="252">
        <f t="shared" si="197"/>
        <v>0</v>
      </c>
      <c r="AC216" s="252">
        <f t="shared" si="197"/>
        <v>0</v>
      </c>
      <c r="AD216" s="252">
        <f t="shared" si="197"/>
        <v>0</v>
      </c>
      <c r="AE216" s="252">
        <f t="shared" si="197"/>
        <v>0</v>
      </c>
      <c r="AF216" s="252">
        <f t="shared" si="197"/>
        <v>0</v>
      </c>
      <c r="AG216" s="252">
        <f t="shared" si="197"/>
        <v>0</v>
      </c>
      <c r="AH216" s="252">
        <f t="shared" si="197"/>
        <v>0</v>
      </c>
      <c r="AI216" s="252">
        <f t="shared" si="197"/>
        <v>0</v>
      </c>
      <c r="AJ216" s="252">
        <f t="shared" si="197"/>
        <v>0</v>
      </c>
      <c r="AK216" s="252">
        <f t="shared" si="197"/>
        <v>0</v>
      </c>
      <c r="AL216" s="252">
        <f t="shared" si="197"/>
        <v>0</v>
      </c>
      <c r="AM216" s="252">
        <f t="shared" si="197"/>
        <v>0</v>
      </c>
      <c r="AN216" s="252">
        <f t="shared" si="197"/>
        <v>0</v>
      </c>
      <c r="AO216" s="252">
        <f t="shared" si="197"/>
        <v>0</v>
      </c>
      <c r="AP216" s="252">
        <f t="shared" si="197"/>
        <v>0</v>
      </c>
      <c r="AQ216" s="252">
        <f t="shared" si="197"/>
        <v>0</v>
      </c>
      <c r="AR216" s="252">
        <f t="shared" si="197"/>
        <v>0</v>
      </c>
      <c r="AS216" s="252">
        <f t="shared" si="197"/>
        <v>0</v>
      </c>
      <c r="AT216" s="252">
        <f t="shared" si="197"/>
        <v>0</v>
      </c>
      <c r="AU216" s="252">
        <f t="shared" si="197"/>
        <v>0</v>
      </c>
      <c r="AV216" s="252">
        <f t="shared" si="197"/>
        <v>0</v>
      </c>
      <c r="AW216" s="252">
        <f t="shared" si="197"/>
        <v>0</v>
      </c>
      <c r="AX216" s="252">
        <f t="shared" si="197"/>
        <v>0</v>
      </c>
      <c r="AY216" s="252">
        <f t="shared" si="197"/>
        <v>0</v>
      </c>
      <c r="AZ216" s="252">
        <f t="shared" si="197"/>
        <v>0</v>
      </c>
      <c r="BA216" s="252">
        <f t="shared" si="197"/>
        <v>0</v>
      </c>
      <c r="BB216" s="252">
        <f t="shared" si="197"/>
        <v>0</v>
      </c>
    </row>
    <row r="217" ht="15.75" customHeight="1">
      <c r="A217" s="768">
        <v>1956.0</v>
      </c>
      <c r="B217" s="38"/>
      <c r="C217" s="38"/>
      <c r="D217" s="38"/>
      <c r="E217" s="38"/>
      <c r="F217" s="38"/>
      <c r="G217" s="38"/>
      <c r="H217" s="38"/>
      <c r="I217" s="38"/>
      <c r="J217" s="38"/>
      <c r="K217" s="38"/>
      <c r="L217" s="38"/>
      <c r="M217" s="38"/>
      <c r="N217" s="38"/>
      <c r="O217" s="38"/>
      <c r="P217" s="38"/>
      <c r="Q217" s="38"/>
      <c r="R217" s="38"/>
      <c r="S217" s="740">
        <v>1967.0</v>
      </c>
      <c r="T217" s="740">
        <v>5685.1</v>
      </c>
      <c r="U217" s="38"/>
      <c r="V217" s="771">
        <v>0.0</v>
      </c>
      <c r="W217" s="252">
        <f t="shared" si="172"/>
        <v>0</v>
      </c>
      <c r="X217" s="252">
        <f t="shared" ref="X217:BB217" si="198">IF(AND(X$190-$A217&gt;$V$48,SUM($W217:W217)&lt;&gt;$V217),$V217,0)</f>
        <v>0</v>
      </c>
      <c r="Y217" s="252">
        <f t="shared" si="198"/>
        <v>0</v>
      </c>
      <c r="Z217" s="252">
        <f t="shared" si="198"/>
        <v>0</v>
      </c>
      <c r="AA217" s="252">
        <f t="shared" si="198"/>
        <v>0</v>
      </c>
      <c r="AB217" s="252">
        <f t="shared" si="198"/>
        <v>0</v>
      </c>
      <c r="AC217" s="252">
        <f t="shared" si="198"/>
        <v>0</v>
      </c>
      <c r="AD217" s="252">
        <f t="shared" si="198"/>
        <v>0</v>
      </c>
      <c r="AE217" s="252">
        <f t="shared" si="198"/>
        <v>0</v>
      </c>
      <c r="AF217" s="252">
        <f t="shared" si="198"/>
        <v>0</v>
      </c>
      <c r="AG217" s="252">
        <f t="shared" si="198"/>
        <v>0</v>
      </c>
      <c r="AH217" s="252">
        <f t="shared" si="198"/>
        <v>0</v>
      </c>
      <c r="AI217" s="252">
        <f t="shared" si="198"/>
        <v>0</v>
      </c>
      <c r="AJ217" s="252">
        <f t="shared" si="198"/>
        <v>0</v>
      </c>
      <c r="AK217" s="252">
        <f t="shared" si="198"/>
        <v>0</v>
      </c>
      <c r="AL217" s="252">
        <f t="shared" si="198"/>
        <v>0</v>
      </c>
      <c r="AM217" s="252">
        <f t="shared" si="198"/>
        <v>0</v>
      </c>
      <c r="AN217" s="252">
        <f t="shared" si="198"/>
        <v>0</v>
      </c>
      <c r="AO217" s="252">
        <f t="shared" si="198"/>
        <v>0</v>
      </c>
      <c r="AP217" s="252">
        <f t="shared" si="198"/>
        <v>0</v>
      </c>
      <c r="AQ217" s="252">
        <f t="shared" si="198"/>
        <v>0</v>
      </c>
      <c r="AR217" s="252">
        <f t="shared" si="198"/>
        <v>0</v>
      </c>
      <c r="AS217" s="252">
        <f t="shared" si="198"/>
        <v>0</v>
      </c>
      <c r="AT217" s="252">
        <f t="shared" si="198"/>
        <v>0</v>
      </c>
      <c r="AU217" s="252">
        <f t="shared" si="198"/>
        <v>0</v>
      </c>
      <c r="AV217" s="252">
        <f t="shared" si="198"/>
        <v>0</v>
      </c>
      <c r="AW217" s="252">
        <f t="shared" si="198"/>
        <v>0</v>
      </c>
      <c r="AX217" s="252">
        <f t="shared" si="198"/>
        <v>0</v>
      </c>
      <c r="AY217" s="252">
        <f t="shared" si="198"/>
        <v>0</v>
      </c>
      <c r="AZ217" s="252">
        <f t="shared" si="198"/>
        <v>0</v>
      </c>
      <c r="BA217" s="252">
        <f t="shared" si="198"/>
        <v>0</v>
      </c>
      <c r="BB217" s="252">
        <f t="shared" si="198"/>
        <v>0</v>
      </c>
    </row>
    <row r="218" ht="15.75" customHeight="1">
      <c r="A218" s="768">
        <v>1957.0</v>
      </c>
      <c r="B218" s="38"/>
      <c r="C218" s="38"/>
      <c r="D218" s="38"/>
      <c r="E218" s="38"/>
      <c r="F218" s="38"/>
      <c r="G218" s="38"/>
      <c r="H218" s="38"/>
      <c r="I218" s="38"/>
      <c r="J218" s="38"/>
      <c r="K218" s="38"/>
      <c r="L218" s="38"/>
      <c r="M218" s="38"/>
      <c r="N218" s="38"/>
      <c r="O218" s="38"/>
      <c r="P218" s="38"/>
      <c r="Q218" s="38"/>
      <c r="R218" s="38"/>
      <c r="S218" s="740">
        <v>1968.0</v>
      </c>
      <c r="T218" s="740">
        <v>5819.6</v>
      </c>
      <c r="U218" s="38"/>
      <c r="V218" s="771">
        <v>17.5</v>
      </c>
      <c r="W218" s="252">
        <f t="shared" si="172"/>
        <v>17.5</v>
      </c>
      <c r="X218" s="252">
        <f t="shared" ref="X218:BB218" si="199">IF(AND(X$190-$A218&gt;$V$48,SUM($W218:W218)&lt;&gt;$V218),$V218,0)</f>
        <v>0</v>
      </c>
      <c r="Y218" s="252">
        <f t="shared" si="199"/>
        <v>0</v>
      </c>
      <c r="Z218" s="252">
        <f t="shared" si="199"/>
        <v>0</v>
      </c>
      <c r="AA218" s="252">
        <f t="shared" si="199"/>
        <v>0</v>
      </c>
      <c r="AB218" s="252">
        <f t="shared" si="199"/>
        <v>0</v>
      </c>
      <c r="AC218" s="252">
        <f t="shared" si="199"/>
        <v>0</v>
      </c>
      <c r="AD218" s="252">
        <f t="shared" si="199"/>
        <v>0</v>
      </c>
      <c r="AE218" s="252">
        <f t="shared" si="199"/>
        <v>0</v>
      </c>
      <c r="AF218" s="252">
        <f t="shared" si="199"/>
        <v>0</v>
      </c>
      <c r="AG218" s="252">
        <f t="shared" si="199"/>
        <v>0</v>
      </c>
      <c r="AH218" s="252">
        <f t="shared" si="199"/>
        <v>0</v>
      </c>
      <c r="AI218" s="252">
        <f t="shared" si="199"/>
        <v>0</v>
      </c>
      <c r="AJ218" s="252">
        <f t="shared" si="199"/>
        <v>0</v>
      </c>
      <c r="AK218" s="252">
        <f t="shared" si="199"/>
        <v>0</v>
      </c>
      <c r="AL218" s="252">
        <f t="shared" si="199"/>
        <v>0</v>
      </c>
      <c r="AM218" s="252">
        <f t="shared" si="199"/>
        <v>0</v>
      </c>
      <c r="AN218" s="252">
        <f t="shared" si="199"/>
        <v>0</v>
      </c>
      <c r="AO218" s="252">
        <f t="shared" si="199"/>
        <v>0</v>
      </c>
      <c r="AP218" s="252">
        <f t="shared" si="199"/>
        <v>0</v>
      </c>
      <c r="AQ218" s="252">
        <f t="shared" si="199"/>
        <v>0</v>
      </c>
      <c r="AR218" s="252">
        <f t="shared" si="199"/>
        <v>0</v>
      </c>
      <c r="AS218" s="252">
        <f t="shared" si="199"/>
        <v>0</v>
      </c>
      <c r="AT218" s="252">
        <f t="shared" si="199"/>
        <v>0</v>
      </c>
      <c r="AU218" s="252">
        <f t="shared" si="199"/>
        <v>0</v>
      </c>
      <c r="AV218" s="252">
        <f t="shared" si="199"/>
        <v>0</v>
      </c>
      <c r="AW218" s="252">
        <f t="shared" si="199"/>
        <v>0</v>
      </c>
      <c r="AX218" s="252">
        <f t="shared" si="199"/>
        <v>0</v>
      </c>
      <c r="AY218" s="252">
        <f t="shared" si="199"/>
        <v>0</v>
      </c>
      <c r="AZ218" s="252">
        <f t="shared" si="199"/>
        <v>0</v>
      </c>
      <c r="BA218" s="252">
        <f t="shared" si="199"/>
        <v>0</v>
      </c>
      <c r="BB218" s="252">
        <f t="shared" si="199"/>
        <v>0</v>
      </c>
    </row>
    <row r="219" ht="15.75" customHeight="1">
      <c r="A219" s="768">
        <v>1958.0</v>
      </c>
      <c r="B219" s="38"/>
      <c r="C219" s="38"/>
      <c r="D219" s="38"/>
      <c r="E219" s="38"/>
      <c r="F219" s="38"/>
      <c r="G219" s="38"/>
      <c r="H219" s="38"/>
      <c r="I219" s="38"/>
      <c r="J219" s="38"/>
      <c r="K219" s="38"/>
      <c r="L219" s="38"/>
      <c r="M219" s="38"/>
      <c r="N219" s="38"/>
      <c r="O219" s="38"/>
      <c r="P219" s="38"/>
      <c r="Q219" s="38"/>
      <c r="R219" s="38"/>
      <c r="S219" s="740">
        <v>1969.0</v>
      </c>
      <c r="T219" s="740">
        <v>7781.200000000001</v>
      </c>
      <c r="U219" s="38"/>
      <c r="V219" s="771">
        <v>481.8</v>
      </c>
      <c r="W219" s="252">
        <f t="shared" si="172"/>
        <v>481.8</v>
      </c>
      <c r="X219" s="252">
        <f t="shared" ref="X219:BB219" si="200">IF(AND(X$190-$A219&gt;$V$48,SUM($W219:W219)&lt;&gt;$V219),$V219,0)</f>
        <v>0</v>
      </c>
      <c r="Y219" s="252">
        <f t="shared" si="200"/>
        <v>0</v>
      </c>
      <c r="Z219" s="252">
        <f t="shared" si="200"/>
        <v>0</v>
      </c>
      <c r="AA219" s="252">
        <f t="shared" si="200"/>
        <v>0</v>
      </c>
      <c r="AB219" s="252">
        <f t="shared" si="200"/>
        <v>0</v>
      </c>
      <c r="AC219" s="252">
        <f t="shared" si="200"/>
        <v>0</v>
      </c>
      <c r="AD219" s="252">
        <f t="shared" si="200"/>
        <v>0</v>
      </c>
      <c r="AE219" s="252">
        <f t="shared" si="200"/>
        <v>0</v>
      </c>
      <c r="AF219" s="252">
        <f t="shared" si="200"/>
        <v>0</v>
      </c>
      <c r="AG219" s="252">
        <f t="shared" si="200"/>
        <v>0</v>
      </c>
      <c r="AH219" s="252">
        <f t="shared" si="200"/>
        <v>0</v>
      </c>
      <c r="AI219" s="252">
        <f t="shared" si="200"/>
        <v>0</v>
      </c>
      <c r="AJ219" s="252">
        <f t="shared" si="200"/>
        <v>0</v>
      </c>
      <c r="AK219" s="252">
        <f t="shared" si="200"/>
        <v>0</v>
      </c>
      <c r="AL219" s="252">
        <f t="shared" si="200"/>
        <v>0</v>
      </c>
      <c r="AM219" s="252">
        <f t="shared" si="200"/>
        <v>0</v>
      </c>
      <c r="AN219" s="252">
        <f t="shared" si="200"/>
        <v>0</v>
      </c>
      <c r="AO219" s="252">
        <f t="shared" si="200"/>
        <v>0</v>
      </c>
      <c r="AP219" s="252">
        <f t="shared" si="200"/>
        <v>0</v>
      </c>
      <c r="AQ219" s="252">
        <f t="shared" si="200"/>
        <v>0</v>
      </c>
      <c r="AR219" s="252">
        <f t="shared" si="200"/>
        <v>0</v>
      </c>
      <c r="AS219" s="252">
        <f t="shared" si="200"/>
        <v>0</v>
      </c>
      <c r="AT219" s="252">
        <f t="shared" si="200"/>
        <v>0</v>
      </c>
      <c r="AU219" s="252">
        <f t="shared" si="200"/>
        <v>0</v>
      </c>
      <c r="AV219" s="252">
        <f t="shared" si="200"/>
        <v>0</v>
      </c>
      <c r="AW219" s="252">
        <f t="shared" si="200"/>
        <v>0</v>
      </c>
      <c r="AX219" s="252">
        <f t="shared" si="200"/>
        <v>0</v>
      </c>
      <c r="AY219" s="252">
        <f t="shared" si="200"/>
        <v>0</v>
      </c>
      <c r="AZ219" s="252">
        <f t="shared" si="200"/>
        <v>0</v>
      </c>
      <c r="BA219" s="252">
        <f t="shared" si="200"/>
        <v>0</v>
      </c>
      <c r="BB219" s="252">
        <f t="shared" si="200"/>
        <v>0</v>
      </c>
    </row>
    <row r="220" ht="15.75" customHeight="1">
      <c r="A220" s="768">
        <v>1959.0</v>
      </c>
      <c r="B220" s="38"/>
      <c r="C220" s="38"/>
      <c r="D220" s="38"/>
      <c r="E220" s="38"/>
      <c r="F220" s="38"/>
      <c r="G220" s="38"/>
      <c r="H220" s="38"/>
      <c r="I220" s="38"/>
      <c r="J220" s="38"/>
      <c r="K220" s="38"/>
      <c r="L220" s="38"/>
      <c r="M220" s="38"/>
      <c r="N220" s="38"/>
      <c r="O220" s="38"/>
      <c r="P220" s="38"/>
      <c r="Q220" s="38"/>
      <c r="R220" s="38"/>
      <c r="S220" s="740">
        <v>1970.0</v>
      </c>
      <c r="T220" s="740">
        <v>9634.1</v>
      </c>
      <c r="U220" s="38"/>
      <c r="V220" s="771">
        <v>241.7</v>
      </c>
      <c r="W220" s="252">
        <f t="shared" si="172"/>
        <v>241.7</v>
      </c>
      <c r="X220" s="252">
        <f t="shared" ref="X220:BB220" si="201">IF(AND(X$190-$A220&gt;$V$48,SUM($W220:W220)&lt;&gt;$V220),$V220,0)</f>
        <v>0</v>
      </c>
      <c r="Y220" s="252">
        <f t="shared" si="201"/>
        <v>0</v>
      </c>
      <c r="Z220" s="252">
        <f t="shared" si="201"/>
        <v>0</v>
      </c>
      <c r="AA220" s="252">
        <f t="shared" si="201"/>
        <v>0</v>
      </c>
      <c r="AB220" s="252">
        <f t="shared" si="201"/>
        <v>0</v>
      </c>
      <c r="AC220" s="252">
        <f t="shared" si="201"/>
        <v>0</v>
      </c>
      <c r="AD220" s="252">
        <f t="shared" si="201"/>
        <v>0</v>
      </c>
      <c r="AE220" s="252">
        <f t="shared" si="201"/>
        <v>0</v>
      </c>
      <c r="AF220" s="252">
        <f t="shared" si="201"/>
        <v>0</v>
      </c>
      <c r="AG220" s="252">
        <f t="shared" si="201"/>
        <v>0</v>
      </c>
      <c r="AH220" s="252">
        <f t="shared" si="201"/>
        <v>0</v>
      </c>
      <c r="AI220" s="252">
        <f t="shared" si="201"/>
        <v>0</v>
      </c>
      <c r="AJ220" s="252">
        <f t="shared" si="201"/>
        <v>0</v>
      </c>
      <c r="AK220" s="252">
        <f t="shared" si="201"/>
        <v>0</v>
      </c>
      <c r="AL220" s="252">
        <f t="shared" si="201"/>
        <v>0</v>
      </c>
      <c r="AM220" s="252">
        <f t="shared" si="201"/>
        <v>0</v>
      </c>
      <c r="AN220" s="252">
        <f t="shared" si="201"/>
        <v>0</v>
      </c>
      <c r="AO220" s="252">
        <f t="shared" si="201"/>
        <v>0</v>
      </c>
      <c r="AP220" s="252">
        <f t="shared" si="201"/>
        <v>0</v>
      </c>
      <c r="AQ220" s="252">
        <f t="shared" si="201"/>
        <v>0</v>
      </c>
      <c r="AR220" s="252">
        <f t="shared" si="201"/>
        <v>0</v>
      </c>
      <c r="AS220" s="252">
        <f t="shared" si="201"/>
        <v>0</v>
      </c>
      <c r="AT220" s="252">
        <f t="shared" si="201"/>
        <v>0</v>
      </c>
      <c r="AU220" s="252">
        <f t="shared" si="201"/>
        <v>0</v>
      </c>
      <c r="AV220" s="252">
        <f t="shared" si="201"/>
        <v>0</v>
      </c>
      <c r="AW220" s="252">
        <f t="shared" si="201"/>
        <v>0</v>
      </c>
      <c r="AX220" s="252">
        <f t="shared" si="201"/>
        <v>0</v>
      </c>
      <c r="AY220" s="252">
        <f t="shared" si="201"/>
        <v>0</v>
      </c>
      <c r="AZ220" s="252">
        <f t="shared" si="201"/>
        <v>0</v>
      </c>
      <c r="BA220" s="252">
        <f t="shared" si="201"/>
        <v>0</v>
      </c>
      <c r="BB220" s="252">
        <f t="shared" si="201"/>
        <v>0</v>
      </c>
    </row>
    <row r="221" ht="15.75" customHeight="1">
      <c r="A221" s="768">
        <v>1960.0</v>
      </c>
      <c r="B221" s="38"/>
      <c r="C221" s="38"/>
      <c r="D221" s="38"/>
      <c r="E221" s="38"/>
      <c r="F221" s="38"/>
      <c r="G221" s="38"/>
      <c r="H221" s="38"/>
      <c r="I221" s="38"/>
      <c r="J221" s="38"/>
      <c r="K221" s="38"/>
      <c r="L221" s="38"/>
      <c r="M221" s="38"/>
      <c r="N221" s="38"/>
      <c r="O221" s="38"/>
      <c r="P221" s="38"/>
      <c r="Q221" s="38"/>
      <c r="R221" s="38"/>
      <c r="S221" s="740">
        <v>1971.0</v>
      </c>
      <c r="T221" s="740">
        <v>9647.5</v>
      </c>
      <c r="U221" s="38"/>
      <c r="V221" s="771">
        <v>544.0</v>
      </c>
      <c r="W221" s="252">
        <f t="shared" si="172"/>
        <v>544</v>
      </c>
      <c r="X221" s="252">
        <f t="shared" ref="X221:BB221" si="202">IF(AND(X$190-$A221&gt;$V$48,SUM($W221:W221)&lt;&gt;$V221),$V221,0)</f>
        <v>0</v>
      </c>
      <c r="Y221" s="252">
        <f t="shared" si="202"/>
        <v>0</v>
      </c>
      <c r="Z221" s="252">
        <f t="shared" si="202"/>
        <v>0</v>
      </c>
      <c r="AA221" s="252">
        <f t="shared" si="202"/>
        <v>0</v>
      </c>
      <c r="AB221" s="252">
        <f t="shared" si="202"/>
        <v>0</v>
      </c>
      <c r="AC221" s="252">
        <f t="shared" si="202"/>
        <v>0</v>
      </c>
      <c r="AD221" s="252">
        <f t="shared" si="202"/>
        <v>0</v>
      </c>
      <c r="AE221" s="252">
        <f t="shared" si="202"/>
        <v>0</v>
      </c>
      <c r="AF221" s="252">
        <f t="shared" si="202"/>
        <v>0</v>
      </c>
      <c r="AG221" s="252">
        <f t="shared" si="202"/>
        <v>0</v>
      </c>
      <c r="AH221" s="252">
        <f t="shared" si="202"/>
        <v>0</v>
      </c>
      <c r="AI221" s="252">
        <f t="shared" si="202"/>
        <v>0</v>
      </c>
      <c r="AJ221" s="252">
        <f t="shared" si="202"/>
        <v>0</v>
      </c>
      <c r="AK221" s="252">
        <f t="shared" si="202"/>
        <v>0</v>
      </c>
      <c r="AL221" s="252">
        <f t="shared" si="202"/>
        <v>0</v>
      </c>
      <c r="AM221" s="252">
        <f t="shared" si="202"/>
        <v>0</v>
      </c>
      <c r="AN221" s="252">
        <f t="shared" si="202"/>
        <v>0</v>
      </c>
      <c r="AO221" s="252">
        <f t="shared" si="202"/>
        <v>0</v>
      </c>
      <c r="AP221" s="252">
        <f t="shared" si="202"/>
        <v>0</v>
      </c>
      <c r="AQ221" s="252">
        <f t="shared" si="202"/>
        <v>0</v>
      </c>
      <c r="AR221" s="252">
        <f t="shared" si="202"/>
        <v>0</v>
      </c>
      <c r="AS221" s="252">
        <f t="shared" si="202"/>
        <v>0</v>
      </c>
      <c r="AT221" s="252">
        <f t="shared" si="202"/>
        <v>0</v>
      </c>
      <c r="AU221" s="252">
        <f t="shared" si="202"/>
        <v>0</v>
      </c>
      <c r="AV221" s="252">
        <f t="shared" si="202"/>
        <v>0</v>
      </c>
      <c r="AW221" s="252">
        <f t="shared" si="202"/>
        <v>0</v>
      </c>
      <c r="AX221" s="252">
        <f t="shared" si="202"/>
        <v>0</v>
      </c>
      <c r="AY221" s="252">
        <f t="shared" si="202"/>
        <v>0</v>
      </c>
      <c r="AZ221" s="252">
        <f t="shared" si="202"/>
        <v>0</v>
      </c>
      <c r="BA221" s="252">
        <f t="shared" si="202"/>
        <v>0</v>
      </c>
      <c r="BB221" s="252">
        <f t="shared" si="202"/>
        <v>0</v>
      </c>
    </row>
    <row r="222" ht="15.75" customHeight="1">
      <c r="A222" s="768">
        <v>1961.0</v>
      </c>
      <c r="B222" s="38"/>
      <c r="C222" s="38"/>
      <c r="D222" s="38"/>
      <c r="E222" s="38"/>
      <c r="F222" s="38"/>
      <c r="G222" s="38"/>
      <c r="H222" s="38"/>
      <c r="I222" s="38"/>
      <c r="J222" s="38"/>
      <c r="K222" s="38"/>
      <c r="L222" s="38"/>
      <c r="M222" s="38"/>
      <c r="N222" s="38"/>
      <c r="O222" s="38"/>
      <c r="P222" s="38"/>
      <c r="Q222" s="38"/>
      <c r="R222" s="38"/>
      <c r="S222" s="740">
        <v>1972.0</v>
      </c>
      <c r="T222" s="740">
        <v>9028.6</v>
      </c>
      <c r="U222" s="38"/>
      <c r="V222" s="771">
        <v>272.0</v>
      </c>
      <c r="W222" s="252">
        <f t="shared" si="172"/>
        <v>272</v>
      </c>
      <c r="X222" s="252">
        <f t="shared" ref="X222:BB222" si="203">IF(AND(X$190-$A222&gt;$V$48,SUM($W222:W222)&lt;&gt;$V222),$V222,0)</f>
        <v>0</v>
      </c>
      <c r="Y222" s="252">
        <f t="shared" si="203"/>
        <v>0</v>
      </c>
      <c r="Z222" s="252">
        <f t="shared" si="203"/>
        <v>0</v>
      </c>
      <c r="AA222" s="252">
        <f t="shared" si="203"/>
        <v>0</v>
      </c>
      <c r="AB222" s="252">
        <f t="shared" si="203"/>
        <v>0</v>
      </c>
      <c r="AC222" s="252">
        <f t="shared" si="203"/>
        <v>0</v>
      </c>
      <c r="AD222" s="252">
        <f t="shared" si="203"/>
        <v>0</v>
      </c>
      <c r="AE222" s="252">
        <f t="shared" si="203"/>
        <v>0</v>
      </c>
      <c r="AF222" s="252">
        <f t="shared" si="203"/>
        <v>0</v>
      </c>
      <c r="AG222" s="252">
        <f t="shared" si="203"/>
        <v>0</v>
      </c>
      <c r="AH222" s="252">
        <f t="shared" si="203"/>
        <v>0</v>
      </c>
      <c r="AI222" s="252">
        <f t="shared" si="203"/>
        <v>0</v>
      </c>
      <c r="AJ222" s="252">
        <f t="shared" si="203"/>
        <v>0</v>
      </c>
      <c r="AK222" s="252">
        <f t="shared" si="203"/>
        <v>0</v>
      </c>
      <c r="AL222" s="252">
        <f t="shared" si="203"/>
        <v>0</v>
      </c>
      <c r="AM222" s="252">
        <f t="shared" si="203"/>
        <v>0</v>
      </c>
      <c r="AN222" s="252">
        <f t="shared" si="203"/>
        <v>0</v>
      </c>
      <c r="AO222" s="252">
        <f t="shared" si="203"/>
        <v>0</v>
      </c>
      <c r="AP222" s="252">
        <f t="shared" si="203"/>
        <v>0</v>
      </c>
      <c r="AQ222" s="252">
        <f t="shared" si="203"/>
        <v>0</v>
      </c>
      <c r="AR222" s="252">
        <f t="shared" si="203"/>
        <v>0</v>
      </c>
      <c r="AS222" s="252">
        <f t="shared" si="203"/>
        <v>0</v>
      </c>
      <c r="AT222" s="252">
        <f t="shared" si="203"/>
        <v>0</v>
      </c>
      <c r="AU222" s="252">
        <f t="shared" si="203"/>
        <v>0</v>
      </c>
      <c r="AV222" s="252">
        <f t="shared" si="203"/>
        <v>0</v>
      </c>
      <c r="AW222" s="252">
        <f t="shared" si="203"/>
        <v>0</v>
      </c>
      <c r="AX222" s="252">
        <f t="shared" si="203"/>
        <v>0</v>
      </c>
      <c r="AY222" s="252">
        <f t="shared" si="203"/>
        <v>0</v>
      </c>
      <c r="AZ222" s="252">
        <f t="shared" si="203"/>
        <v>0</v>
      </c>
      <c r="BA222" s="252">
        <f t="shared" si="203"/>
        <v>0</v>
      </c>
      <c r="BB222" s="252">
        <f t="shared" si="203"/>
        <v>0</v>
      </c>
    </row>
    <row r="223" ht="15.75" customHeight="1">
      <c r="A223" s="768">
        <v>1962.0</v>
      </c>
      <c r="B223" s="38"/>
      <c r="C223" s="38"/>
      <c r="D223" s="38"/>
      <c r="E223" s="38"/>
      <c r="F223" s="38"/>
      <c r="G223" s="38"/>
      <c r="H223" s="38"/>
      <c r="I223" s="38"/>
      <c r="J223" s="38"/>
      <c r="K223" s="38"/>
      <c r="L223" s="38"/>
      <c r="M223" s="38"/>
      <c r="N223" s="38"/>
      <c r="O223" s="38"/>
      <c r="P223" s="38"/>
      <c r="Q223" s="38"/>
      <c r="R223" s="38"/>
      <c r="S223" s="740">
        <v>1973.0</v>
      </c>
      <c r="T223" s="740">
        <v>14100.1</v>
      </c>
      <c r="U223" s="38"/>
      <c r="V223" s="771">
        <v>244.8</v>
      </c>
      <c r="W223" s="252">
        <f t="shared" si="172"/>
        <v>244.8</v>
      </c>
      <c r="X223" s="252">
        <f t="shared" ref="X223:BB223" si="204">IF(AND(X$190-$A223&gt;$V$48,SUM($W223:W223)&lt;&gt;$V223),$V223,0)</f>
        <v>0</v>
      </c>
      <c r="Y223" s="252">
        <f t="shared" si="204"/>
        <v>0</v>
      </c>
      <c r="Z223" s="252">
        <f t="shared" si="204"/>
        <v>0</v>
      </c>
      <c r="AA223" s="252">
        <f t="shared" si="204"/>
        <v>0</v>
      </c>
      <c r="AB223" s="252">
        <f t="shared" si="204"/>
        <v>0</v>
      </c>
      <c r="AC223" s="252">
        <f t="shared" si="204"/>
        <v>0</v>
      </c>
      <c r="AD223" s="252">
        <f t="shared" si="204"/>
        <v>0</v>
      </c>
      <c r="AE223" s="252">
        <f t="shared" si="204"/>
        <v>0</v>
      </c>
      <c r="AF223" s="252">
        <f t="shared" si="204"/>
        <v>0</v>
      </c>
      <c r="AG223" s="252">
        <f t="shared" si="204"/>
        <v>0</v>
      </c>
      <c r="AH223" s="252">
        <f t="shared" si="204"/>
        <v>0</v>
      </c>
      <c r="AI223" s="252">
        <f t="shared" si="204"/>
        <v>0</v>
      </c>
      <c r="AJ223" s="252">
        <f t="shared" si="204"/>
        <v>0</v>
      </c>
      <c r="AK223" s="252">
        <f t="shared" si="204"/>
        <v>0</v>
      </c>
      <c r="AL223" s="252">
        <f t="shared" si="204"/>
        <v>0</v>
      </c>
      <c r="AM223" s="252">
        <f t="shared" si="204"/>
        <v>0</v>
      </c>
      <c r="AN223" s="252">
        <f t="shared" si="204"/>
        <v>0</v>
      </c>
      <c r="AO223" s="252">
        <f t="shared" si="204"/>
        <v>0</v>
      </c>
      <c r="AP223" s="252">
        <f t="shared" si="204"/>
        <v>0</v>
      </c>
      <c r="AQ223" s="252">
        <f t="shared" si="204"/>
        <v>0</v>
      </c>
      <c r="AR223" s="252">
        <f t="shared" si="204"/>
        <v>0</v>
      </c>
      <c r="AS223" s="252">
        <f t="shared" si="204"/>
        <v>0</v>
      </c>
      <c r="AT223" s="252">
        <f t="shared" si="204"/>
        <v>0</v>
      </c>
      <c r="AU223" s="252">
        <f t="shared" si="204"/>
        <v>0</v>
      </c>
      <c r="AV223" s="252">
        <f t="shared" si="204"/>
        <v>0</v>
      </c>
      <c r="AW223" s="252">
        <f t="shared" si="204"/>
        <v>0</v>
      </c>
      <c r="AX223" s="252">
        <f t="shared" si="204"/>
        <v>0</v>
      </c>
      <c r="AY223" s="252">
        <f t="shared" si="204"/>
        <v>0</v>
      </c>
      <c r="AZ223" s="252">
        <f t="shared" si="204"/>
        <v>0</v>
      </c>
      <c r="BA223" s="252">
        <f t="shared" si="204"/>
        <v>0</v>
      </c>
      <c r="BB223" s="252">
        <f t="shared" si="204"/>
        <v>0</v>
      </c>
    </row>
    <row r="224" ht="15.75" customHeight="1">
      <c r="A224" s="768">
        <v>1963.0</v>
      </c>
      <c r="B224" s="38"/>
      <c r="C224" s="38"/>
      <c r="D224" s="38"/>
      <c r="E224" s="38"/>
      <c r="F224" s="38"/>
      <c r="G224" s="38"/>
      <c r="H224" s="38"/>
      <c r="I224" s="38"/>
      <c r="J224" s="38"/>
      <c r="K224" s="38"/>
      <c r="L224" s="38"/>
      <c r="M224" s="38"/>
      <c r="N224" s="38"/>
      <c r="O224" s="38"/>
      <c r="P224" s="38"/>
      <c r="Q224" s="38"/>
      <c r="R224" s="38"/>
      <c r="S224" s="740">
        <v>1974.0</v>
      </c>
      <c r="T224" s="740">
        <v>9729.0</v>
      </c>
      <c r="U224" s="38"/>
      <c r="V224" s="771">
        <v>0.0</v>
      </c>
      <c r="W224" s="252">
        <f t="shared" si="172"/>
        <v>0</v>
      </c>
      <c r="X224" s="252">
        <f t="shared" ref="X224:BB224" si="205">IF(AND(X$190-$A224&gt;$V$48,SUM($W224:W224)&lt;&gt;$V224),$V224,0)</f>
        <v>0</v>
      </c>
      <c r="Y224" s="252">
        <f t="shared" si="205"/>
        <v>0</v>
      </c>
      <c r="Z224" s="252">
        <f t="shared" si="205"/>
        <v>0</v>
      </c>
      <c r="AA224" s="252">
        <f t="shared" si="205"/>
        <v>0</v>
      </c>
      <c r="AB224" s="252">
        <f t="shared" si="205"/>
        <v>0</v>
      </c>
      <c r="AC224" s="252">
        <f t="shared" si="205"/>
        <v>0</v>
      </c>
      <c r="AD224" s="252">
        <f t="shared" si="205"/>
        <v>0</v>
      </c>
      <c r="AE224" s="252">
        <f t="shared" si="205"/>
        <v>0</v>
      </c>
      <c r="AF224" s="252">
        <f t="shared" si="205"/>
        <v>0</v>
      </c>
      <c r="AG224" s="252">
        <f t="shared" si="205"/>
        <v>0</v>
      </c>
      <c r="AH224" s="252">
        <f t="shared" si="205"/>
        <v>0</v>
      </c>
      <c r="AI224" s="252">
        <f t="shared" si="205"/>
        <v>0</v>
      </c>
      <c r="AJ224" s="252">
        <f t="shared" si="205"/>
        <v>0</v>
      </c>
      <c r="AK224" s="252">
        <f t="shared" si="205"/>
        <v>0</v>
      </c>
      <c r="AL224" s="252">
        <f t="shared" si="205"/>
        <v>0</v>
      </c>
      <c r="AM224" s="252">
        <f t="shared" si="205"/>
        <v>0</v>
      </c>
      <c r="AN224" s="252">
        <f t="shared" si="205"/>
        <v>0</v>
      </c>
      <c r="AO224" s="252">
        <f t="shared" si="205"/>
        <v>0</v>
      </c>
      <c r="AP224" s="252">
        <f t="shared" si="205"/>
        <v>0</v>
      </c>
      <c r="AQ224" s="252">
        <f t="shared" si="205"/>
        <v>0</v>
      </c>
      <c r="AR224" s="252">
        <f t="shared" si="205"/>
        <v>0</v>
      </c>
      <c r="AS224" s="252">
        <f t="shared" si="205"/>
        <v>0</v>
      </c>
      <c r="AT224" s="252">
        <f t="shared" si="205"/>
        <v>0</v>
      </c>
      <c r="AU224" s="252">
        <f t="shared" si="205"/>
        <v>0</v>
      </c>
      <c r="AV224" s="252">
        <f t="shared" si="205"/>
        <v>0</v>
      </c>
      <c r="AW224" s="252">
        <f t="shared" si="205"/>
        <v>0</v>
      </c>
      <c r="AX224" s="252">
        <f t="shared" si="205"/>
        <v>0</v>
      </c>
      <c r="AY224" s="252">
        <f t="shared" si="205"/>
        <v>0</v>
      </c>
      <c r="AZ224" s="252">
        <f t="shared" si="205"/>
        <v>0</v>
      </c>
      <c r="BA224" s="252">
        <f t="shared" si="205"/>
        <v>0</v>
      </c>
      <c r="BB224" s="252">
        <f t="shared" si="205"/>
        <v>0</v>
      </c>
    </row>
    <row r="225" ht="15.75" customHeight="1">
      <c r="A225" s="768">
        <v>1964.0</v>
      </c>
      <c r="B225" s="38"/>
      <c r="C225" s="38"/>
      <c r="D225" s="38"/>
      <c r="E225" s="38"/>
      <c r="F225" s="38"/>
      <c r="G225" s="38"/>
      <c r="H225" s="38"/>
      <c r="I225" s="38"/>
      <c r="J225" s="38"/>
      <c r="K225" s="38"/>
      <c r="L225" s="38"/>
      <c r="M225" s="38"/>
      <c r="N225" s="38"/>
      <c r="O225" s="38"/>
      <c r="P225" s="38"/>
      <c r="Q225" s="38"/>
      <c r="R225" s="38"/>
      <c r="S225" s="740">
        <v>1975.0</v>
      </c>
      <c r="T225" s="740">
        <v>9482.1</v>
      </c>
      <c r="U225" s="38"/>
      <c r="V225" s="771">
        <v>12.5</v>
      </c>
      <c r="W225" s="252">
        <f t="shared" si="172"/>
        <v>12.5</v>
      </c>
      <c r="X225" s="252">
        <f t="shared" ref="X225:BB225" si="206">IF(AND(X$190-$A225&gt;$V$48,SUM($W225:W225)&lt;&gt;$V225),$V225,0)</f>
        <v>0</v>
      </c>
      <c r="Y225" s="252">
        <f t="shared" si="206"/>
        <v>0</v>
      </c>
      <c r="Z225" s="252">
        <f t="shared" si="206"/>
        <v>0</v>
      </c>
      <c r="AA225" s="252">
        <f t="shared" si="206"/>
        <v>0</v>
      </c>
      <c r="AB225" s="252">
        <f t="shared" si="206"/>
        <v>0</v>
      </c>
      <c r="AC225" s="252">
        <f t="shared" si="206"/>
        <v>0</v>
      </c>
      <c r="AD225" s="252">
        <f t="shared" si="206"/>
        <v>0</v>
      </c>
      <c r="AE225" s="252">
        <f t="shared" si="206"/>
        <v>0</v>
      </c>
      <c r="AF225" s="252">
        <f t="shared" si="206"/>
        <v>0</v>
      </c>
      <c r="AG225" s="252">
        <f t="shared" si="206"/>
        <v>0</v>
      </c>
      <c r="AH225" s="252">
        <f t="shared" si="206"/>
        <v>0</v>
      </c>
      <c r="AI225" s="252">
        <f t="shared" si="206"/>
        <v>0</v>
      </c>
      <c r="AJ225" s="252">
        <f t="shared" si="206"/>
        <v>0</v>
      </c>
      <c r="AK225" s="252">
        <f t="shared" si="206"/>
        <v>0</v>
      </c>
      <c r="AL225" s="252">
        <f t="shared" si="206"/>
        <v>0</v>
      </c>
      <c r="AM225" s="252">
        <f t="shared" si="206"/>
        <v>0</v>
      </c>
      <c r="AN225" s="252">
        <f t="shared" si="206"/>
        <v>0</v>
      </c>
      <c r="AO225" s="252">
        <f t="shared" si="206"/>
        <v>0</v>
      </c>
      <c r="AP225" s="252">
        <f t="shared" si="206"/>
        <v>0</v>
      </c>
      <c r="AQ225" s="252">
        <f t="shared" si="206"/>
        <v>0</v>
      </c>
      <c r="AR225" s="252">
        <f t="shared" si="206"/>
        <v>0</v>
      </c>
      <c r="AS225" s="252">
        <f t="shared" si="206"/>
        <v>0</v>
      </c>
      <c r="AT225" s="252">
        <f t="shared" si="206"/>
        <v>0</v>
      </c>
      <c r="AU225" s="252">
        <f t="shared" si="206"/>
        <v>0</v>
      </c>
      <c r="AV225" s="252">
        <f t="shared" si="206"/>
        <v>0</v>
      </c>
      <c r="AW225" s="252">
        <f t="shared" si="206"/>
        <v>0</v>
      </c>
      <c r="AX225" s="252">
        <f t="shared" si="206"/>
        <v>0</v>
      </c>
      <c r="AY225" s="252">
        <f t="shared" si="206"/>
        <v>0</v>
      </c>
      <c r="AZ225" s="252">
        <f t="shared" si="206"/>
        <v>0</v>
      </c>
      <c r="BA225" s="252">
        <f t="shared" si="206"/>
        <v>0</v>
      </c>
      <c r="BB225" s="252">
        <f t="shared" si="206"/>
        <v>0</v>
      </c>
    </row>
    <row r="226" ht="15.75" customHeight="1">
      <c r="A226" s="768">
        <v>1965.0</v>
      </c>
      <c r="B226" s="38"/>
      <c r="C226" s="38"/>
      <c r="D226" s="38"/>
      <c r="E226" s="38"/>
      <c r="F226" s="38"/>
      <c r="G226" s="38"/>
      <c r="H226" s="38"/>
      <c r="I226" s="38"/>
      <c r="J226" s="38"/>
      <c r="K226" s="38"/>
      <c r="L226" s="38"/>
      <c r="M226" s="38"/>
      <c r="N226" s="38"/>
      <c r="O226" s="38"/>
      <c r="P226" s="38"/>
      <c r="Q226" s="38"/>
      <c r="R226" s="38"/>
      <c r="S226" s="740">
        <v>1976.0</v>
      </c>
      <c r="T226" s="740">
        <v>8007.5</v>
      </c>
      <c r="U226" s="38"/>
      <c r="V226" s="771">
        <v>338.2</v>
      </c>
      <c r="W226" s="252">
        <f t="shared" si="172"/>
        <v>338.2</v>
      </c>
      <c r="X226" s="252">
        <f t="shared" ref="X226:BB226" si="207">IF(AND(X$190-$A226&gt;$V$48,SUM($W226:W226)&lt;&gt;$V226),$V226,0)</f>
        <v>0</v>
      </c>
      <c r="Y226" s="252">
        <f t="shared" si="207"/>
        <v>0</v>
      </c>
      <c r="Z226" s="252">
        <f t="shared" si="207"/>
        <v>0</v>
      </c>
      <c r="AA226" s="252">
        <f t="shared" si="207"/>
        <v>0</v>
      </c>
      <c r="AB226" s="252">
        <f t="shared" si="207"/>
        <v>0</v>
      </c>
      <c r="AC226" s="252">
        <f t="shared" si="207"/>
        <v>0</v>
      </c>
      <c r="AD226" s="252">
        <f t="shared" si="207"/>
        <v>0</v>
      </c>
      <c r="AE226" s="252">
        <f t="shared" si="207"/>
        <v>0</v>
      </c>
      <c r="AF226" s="252">
        <f t="shared" si="207"/>
        <v>0</v>
      </c>
      <c r="AG226" s="252">
        <f t="shared" si="207"/>
        <v>0</v>
      </c>
      <c r="AH226" s="252">
        <f t="shared" si="207"/>
        <v>0</v>
      </c>
      <c r="AI226" s="252">
        <f t="shared" si="207"/>
        <v>0</v>
      </c>
      <c r="AJ226" s="252">
        <f t="shared" si="207"/>
        <v>0</v>
      </c>
      <c r="AK226" s="252">
        <f t="shared" si="207"/>
        <v>0</v>
      </c>
      <c r="AL226" s="252">
        <f t="shared" si="207"/>
        <v>0</v>
      </c>
      <c r="AM226" s="252">
        <f t="shared" si="207"/>
        <v>0</v>
      </c>
      <c r="AN226" s="252">
        <f t="shared" si="207"/>
        <v>0</v>
      </c>
      <c r="AO226" s="252">
        <f t="shared" si="207"/>
        <v>0</v>
      </c>
      <c r="AP226" s="252">
        <f t="shared" si="207"/>
        <v>0</v>
      </c>
      <c r="AQ226" s="252">
        <f t="shared" si="207"/>
        <v>0</v>
      </c>
      <c r="AR226" s="252">
        <f t="shared" si="207"/>
        <v>0</v>
      </c>
      <c r="AS226" s="252">
        <f t="shared" si="207"/>
        <v>0</v>
      </c>
      <c r="AT226" s="252">
        <f t="shared" si="207"/>
        <v>0</v>
      </c>
      <c r="AU226" s="252">
        <f t="shared" si="207"/>
        <v>0</v>
      </c>
      <c r="AV226" s="252">
        <f t="shared" si="207"/>
        <v>0</v>
      </c>
      <c r="AW226" s="252">
        <f t="shared" si="207"/>
        <v>0</v>
      </c>
      <c r="AX226" s="252">
        <f t="shared" si="207"/>
        <v>0</v>
      </c>
      <c r="AY226" s="252">
        <f t="shared" si="207"/>
        <v>0</v>
      </c>
      <c r="AZ226" s="252">
        <f t="shared" si="207"/>
        <v>0</v>
      </c>
      <c r="BA226" s="252">
        <f t="shared" si="207"/>
        <v>0</v>
      </c>
      <c r="BB226" s="252">
        <f t="shared" si="207"/>
        <v>0</v>
      </c>
    </row>
    <row r="227" ht="15.75" customHeight="1">
      <c r="A227" s="768">
        <v>1966.0</v>
      </c>
      <c r="B227" s="38"/>
      <c r="C227" s="38"/>
      <c r="D227" s="38"/>
      <c r="E227" s="38"/>
      <c r="F227" s="38"/>
      <c r="G227" s="38"/>
      <c r="H227" s="38"/>
      <c r="I227" s="38"/>
      <c r="J227" s="38"/>
      <c r="K227" s="38"/>
      <c r="L227" s="38"/>
      <c r="M227" s="38"/>
      <c r="N227" s="38"/>
      <c r="O227" s="38"/>
      <c r="P227" s="38"/>
      <c r="Q227" s="38"/>
      <c r="R227" s="38"/>
      <c r="S227" s="740">
        <v>1977.0</v>
      </c>
      <c r="T227" s="740">
        <v>11379.2</v>
      </c>
      <c r="U227" s="38"/>
      <c r="V227" s="771">
        <v>279.6</v>
      </c>
      <c r="W227" s="252">
        <f t="shared" si="172"/>
        <v>279.6</v>
      </c>
      <c r="X227" s="252">
        <f t="shared" ref="X227:BB227" si="208">IF(AND(X$190-$A227&gt;$V$48,SUM($W227:W227)&lt;&gt;$V227),$V227,0)</f>
        <v>0</v>
      </c>
      <c r="Y227" s="252">
        <f t="shared" si="208"/>
        <v>0</v>
      </c>
      <c r="Z227" s="252">
        <f t="shared" si="208"/>
        <v>0</v>
      </c>
      <c r="AA227" s="252">
        <f t="shared" si="208"/>
        <v>0</v>
      </c>
      <c r="AB227" s="252">
        <f t="shared" si="208"/>
        <v>0</v>
      </c>
      <c r="AC227" s="252">
        <f t="shared" si="208"/>
        <v>0</v>
      </c>
      <c r="AD227" s="252">
        <f t="shared" si="208"/>
        <v>0</v>
      </c>
      <c r="AE227" s="252">
        <f t="shared" si="208"/>
        <v>0</v>
      </c>
      <c r="AF227" s="252">
        <f t="shared" si="208"/>
        <v>0</v>
      </c>
      <c r="AG227" s="252">
        <f t="shared" si="208"/>
        <v>0</v>
      </c>
      <c r="AH227" s="252">
        <f t="shared" si="208"/>
        <v>0</v>
      </c>
      <c r="AI227" s="252">
        <f t="shared" si="208"/>
        <v>0</v>
      </c>
      <c r="AJ227" s="252">
        <f t="shared" si="208"/>
        <v>0</v>
      </c>
      <c r="AK227" s="252">
        <f t="shared" si="208"/>
        <v>0</v>
      </c>
      <c r="AL227" s="252">
        <f t="shared" si="208"/>
        <v>0</v>
      </c>
      <c r="AM227" s="252">
        <f t="shared" si="208"/>
        <v>0</v>
      </c>
      <c r="AN227" s="252">
        <f t="shared" si="208"/>
        <v>0</v>
      </c>
      <c r="AO227" s="252">
        <f t="shared" si="208"/>
        <v>0</v>
      </c>
      <c r="AP227" s="252">
        <f t="shared" si="208"/>
        <v>0</v>
      </c>
      <c r="AQ227" s="252">
        <f t="shared" si="208"/>
        <v>0</v>
      </c>
      <c r="AR227" s="252">
        <f t="shared" si="208"/>
        <v>0</v>
      </c>
      <c r="AS227" s="252">
        <f t="shared" si="208"/>
        <v>0</v>
      </c>
      <c r="AT227" s="252">
        <f t="shared" si="208"/>
        <v>0</v>
      </c>
      <c r="AU227" s="252">
        <f t="shared" si="208"/>
        <v>0</v>
      </c>
      <c r="AV227" s="252">
        <f t="shared" si="208"/>
        <v>0</v>
      </c>
      <c r="AW227" s="252">
        <f t="shared" si="208"/>
        <v>0</v>
      </c>
      <c r="AX227" s="252">
        <f t="shared" si="208"/>
        <v>0</v>
      </c>
      <c r="AY227" s="252">
        <f t="shared" si="208"/>
        <v>0</v>
      </c>
      <c r="AZ227" s="252">
        <f t="shared" si="208"/>
        <v>0</v>
      </c>
      <c r="BA227" s="252">
        <f t="shared" si="208"/>
        <v>0</v>
      </c>
      <c r="BB227" s="252">
        <f t="shared" si="208"/>
        <v>0</v>
      </c>
    </row>
    <row r="228" ht="15.75" customHeight="1">
      <c r="A228" s="768">
        <v>1967.0</v>
      </c>
      <c r="B228" s="38"/>
      <c r="C228" s="38"/>
      <c r="D228" s="38"/>
      <c r="E228" s="38"/>
      <c r="F228" s="38"/>
      <c r="G228" s="38"/>
      <c r="H228" s="38"/>
      <c r="I228" s="38"/>
      <c r="J228" s="38"/>
      <c r="K228" s="38"/>
      <c r="L228" s="38"/>
      <c r="M228" s="38"/>
      <c r="N228" s="38"/>
      <c r="O228" s="38"/>
      <c r="P228" s="38"/>
      <c r="Q228" s="38"/>
      <c r="R228" s="38"/>
      <c r="S228" s="740">
        <v>1978.0</v>
      </c>
      <c r="T228" s="740">
        <v>11123.3</v>
      </c>
      <c r="U228" s="38"/>
      <c r="V228" s="771">
        <v>588.2</v>
      </c>
      <c r="W228" s="252">
        <f t="shared" si="172"/>
        <v>588.2</v>
      </c>
      <c r="X228" s="252">
        <f t="shared" ref="X228:BB228" si="209">IF(AND(X$190-$A228&gt;$V$48,SUM($W228:W228)&lt;&gt;$V228),$V228,0)</f>
        <v>0</v>
      </c>
      <c r="Y228" s="252">
        <f t="shared" si="209"/>
        <v>0</v>
      </c>
      <c r="Z228" s="252">
        <f t="shared" si="209"/>
        <v>0</v>
      </c>
      <c r="AA228" s="252">
        <f t="shared" si="209"/>
        <v>0</v>
      </c>
      <c r="AB228" s="252">
        <f t="shared" si="209"/>
        <v>0</v>
      </c>
      <c r="AC228" s="252">
        <f t="shared" si="209"/>
        <v>0</v>
      </c>
      <c r="AD228" s="252">
        <f t="shared" si="209"/>
        <v>0</v>
      </c>
      <c r="AE228" s="252">
        <f t="shared" si="209"/>
        <v>0</v>
      </c>
      <c r="AF228" s="252">
        <f t="shared" si="209"/>
        <v>0</v>
      </c>
      <c r="AG228" s="252">
        <f t="shared" si="209"/>
        <v>0</v>
      </c>
      <c r="AH228" s="252">
        <f t="shared" si="209"/>
        <v>0</v>
      </c>
      <c r="AI228" s="252">
        <f t="shared" si="209"/>
        <v>0</v>
      </c>
      <c r="AJ228" s="252">
        <f t="shared" si="209"/>
        <v>0</v>
      </c>
      <c r="AK228" s="252">
        <f t="shared" si="209"/>
        <v>0</v>
      </c>
      <c r="AL228" s="252">
        <f t="shared" si="209"/>
        <v>0</v>
      </c>
      <c r="AM228" s="252">
        <f t="shared" si="209"/>
        <v>0</v>
      </c>
      <c r="AN228" s="252">
        <f t="shared" si="209"/>
        <v>0</v>
      </c>
      <c r="AO228" s="252">
        <f t="shared" si="209"/>
        <v>0</v>
      </c>
      <c r="AP228" s="252">
        <f t="shared" si="209"/>
        <v>0</v>
      </c>
      <c r="AQ228" s="252">
        <f t="shared" si="209"/>
        <v>0</v>
      </c>
      <c r="AR228" s="252">
        <f t="shared" si="209"/>
        <v>0</v>
      </c>
      <c r="AS228" s="252">
        <f t="shared" si="209"/>
        <v>0</v>
      </c>
      <c r="AT228" s="252">
        <f t="shared" si="209"/>
        <v>0</v>
      </c>
      <c r="AU228" s="252">
        <f t="shared" si="209"/>
        <v>0</v>
      </c>
      <c r="AV228" s="252">
        <f t="shared" si="209"/>
        <v>0</v>
      </c>
      <c r="AW228" s="252">
        <f t="shared" si="209"/>
        <v>0</v>
      </c>
      <c r="AX228" s="252">
        <f t="shared" si="209"/>
        <v>0</v>
      </c>
      <c r="AY228" s="252">
        <f t="shared" si="209"/>
        <v>0</v>
      </c>
      <c r="AZ228" s="252">
        <f t="shared" si="209"/>
        <v>0</v>
      </c>
      <c r="BA228" s="252">
        <f t="shared" si="209"/>
        <v>0</v>
      </c>
      <c r="BB228" s="252">
        <f t="shared" si="209"/>
        <v>0</v>
      </c>
    </row>
    <row r="229" ht="15.75" customHeight="1">
      <c r="A229" s="768">
        <v>1968.0</v>
      </c>
      <c r="B229" s="38"/>
      <c r="C229" s="38"/>
      <c r="D229" s="38"/>
      <c r="E229" s="38"/>
      <c r="F229" s="38"/>
      <c r="G229" s="38"/>
      <c r="H229" s="38"/>
      <c r="I229" s="38"/>
      <c r="J229" s="38"/>
      <c r="K229" s="38"/>
      <c r="L229" s="38"/>
      <c r="M229" s="38"/>
      <c r="N229" s="38"/>
      <c r="O229" s="38"/>
      <c r="P229" s="38"/>
      <c r="Q229" s="38"/>
      <c r="R229" s="38"/>
      <c r="S229" s="740">
        <v>1979.0</v>
      </c>
      <c r="T229" s="740">
        <v>9478.6</v>
      </c>
      <c r="U229" s="38"/>
      <c r="V229" s="771">
        <v>311.7</v>
      </c>
      <c r="W229" s="252">
        <f t="shared" si="172"/>
        <v>311.7</v>
      </c>
      <c r="X229" s="252">
        <f t="shared" ref="X229:BB229" si="210">IF(AND(X$190-$A229&gt;$V$48,SUM($W229:W229)&lt;&gt;$V229),$V229,0)</f>
        <v>0</v>
      </c>
      <c r="Y229" s="252">
        <f t="shared" si="210"/>
        <v>0</v>
      </c>
      <c r="Z229" s="252">
        <f t="shared" si="210"/>
        <v>0</v>
      </c>
      <c r="AA229" s="252">
        <f t="shared" si="210"/>
        <v>0</v>
      </c>
      <c r="AB229" s="252">
        <f t="shared" si="210"/>
        <v>0</v>
      </c>
      <c r="AC229" s="252">
        <f t="shared" si="210"/>
        <v>0</v>
      </c>
      <c r="AD229" s="252">
        <f t="shared" si="210"/>
        <v>0</v>
      </c>
      <c r="AE229" s="252">
        <f t="shared" si="210"/>
        <v>0</v>
      </c>
      <c r="AF229" s="252">
        <f t="shared" si="210"/>
        <v>0</v>
      </c>
      <c r="AG229" s="252">
        <f t="shared" si="210"/>
        <v>0</v>
      </c>
      <c r="AH229" s="252">
        <f t="shared" si="210"/>
        <v>0</v>
      </c>
      <c r="AI229" s="252">
        <f t="shared" si="210"/>
        <v>0</v>
      </c>
      <c r="AJ229" s="252">
        <f t="shared" si="210"/>
        <v>0</v>
      </c>
      <c r="AK229" s="252">
        <f t="shared" si="210"/>
        <v>0</v>
      </c>
      <c r="AL229" s="252">
        <f t="shared" si="210"/>
        <v>0</v>
      </c>
      <c r="AM229" s="252">
        <f t="shared" si="210"/>
        <v>0</v>
      </c>
      <c r="AN229" s="252">
        <f t="shared" si="210"/>
        <v>0</v>
      </c>
      <c r="AO229" s="252">
        <f t="shared" si="210"/>
        <v>0</v>
      </c>
      <c r="AP229" s="252">
        <f t="shared" si="210"/>
        <v>0</v>
      </c>
      <c r="AQ229" s="252">
        <f t="shared" si="210"/>
        <v>0</v>
      </c>
      <c r="AR229" s="252">
        <f t="shared" si="210"/>
        <v>0</v>
      </c>
      <c r="AS229" s="252">
        <f t="shared" si="210"/>
        <v>0</v>
      </c>
      <c r="AT229" s="252">
        <f t="shared" si="210"/>
        <v>0</v>
      </c>
      <c r="AU229" s="252">
        <f t="shared" si="210"/>
        <v>0</v>
      </c>
      <c r="AV229" s="252">
        <f t="shared" si="210"/>
        <v>0</v>
      </c>
      <c r="AW229" s="252">
        <f t="shared" si="210"/>
        <v>0</v>
      </c>
      <c r="AX229" s="252">
        <f t="shared" si="210"/>
        <v>0</v>
      </c>
      <c r="AY229" s="252">
        <f t="shared" si="210"/>
        <v>0</v>
      </c>
      <c r="AZ229" s="252">
        <f t="shared" si="210"/>
        <v>0</v>
      </c>
      <c r="BA229" s="252">
        <f t="shared" si="210"/>
        <v>0</v>
      </c>
      <c r="BB229" s="252">
        <f t="shared" si="210"/>
        <v>0</v>
      </c>
    </row>
    <row r="230" ht="15.75" customHeight="1">
      <c r="A230" s="768">
        <v>1969.0</v>
      </c>
      <c r="B230" s="38"/>
      <c r="C230" s="38"/>
      <c r="D230" s="38"/>
      <c r="E230" s="38"/>
      <c r="F230" s="38"/>
      <c r="G230" s="38"/>
      <c r="H230" s="38"/>
      <c r="I230" s="38"/>
      <c r="J230" s="38"/>
      <c r="K230" s="38"/>
      <c r="L230" s="38"/>
      <c r="M230" s="38"/>
      <c r="N230" s="38"/>
      <c r="O230" s="38"/>
      <c r="P230" s="38"/>
      <c r="Q230" s="38"/>
      <c r="R230" s="38"/>
      <c r="S230" s="740">
        <v>1980.0</v>
      </c>
      <c r="T230" s="740">
        <v>14231.099999999999</v>
      </c>
      <c r="U230" s="38"/>
      <c r="V230" s="771">
        <v>106.4</v>
      </c>
      <c r="W230" s="252">
        <f t="shared" si="172"/>
        <v>106.4</v>
      </c>
      <c r="X230" s="252">
        <f t="shared" ref="X230:BB230" si="211">IF(AND(X$190-$A230&gt;$V$48,SUM($W230:W230)&lt;&gt;$V230),$V230,0)</f>
        <v>0</v>
      </c>
      <c r="Y230" s="252">
        <f t="shared" si="211"/>
        <v>0</v>
      </c>
      <c r="Z230" s="252">
        <f t="shared" si="211"/>
        <v>0</v>
      </c>
      <c r="AA230" s="252">
        <f t="shared" si="211"/>
        <v>0</v>
      </c>
      <c r="AB230" s="252">
        <f t="shared" si="211"/>
        <v>0</v>
      </c>
      <c r="AC230" s="252">
        <f t="shared" si="211"/>
        <v>0</v>
      </c>
      <c r="AD230" s="252">
        <f t="shared" si="211"/>
        <v>0</v>
      </c>
      <c r="AE230" s="252">
        <f t="shared" si="211"/>
        <v>0</v>
      </c>
      <c r="AF230" s="252">
        <f t="shared" si="211"/>
        <v>0</v>
      </c>
      <c r="AG230" s="252">
        <f t="shared" si="211"/>
        <v>0</v>
      </c>
      <c r="AH230" s="252">
        <f t="shared" si="211"/>
        <v>0</v>
      </c>
      <c r="AI230" s="252">
        <f t="shared" si="211"/>
        <v>0</v>
      </c>
      <c r="AJ230" s="252">
        <f t="shared" si="211"/>
        <v>0</v>
      </c>
      <c r="AK230" s="252">
        <f t="shared" si="211"/>
        <v>0</v>
      </c>
      <c r="AL230" s="252">
        <f t="shared" si="211"/>
        <v>0</v>
      </c>
      <c r="AM230" s="252">
        <f t="shared" si="211"/>
        <v>0</v>
      </c>
      <c r="AN230" s="252">
        <f t="shared" si="211"/>
        <v>0</v>
      </c>
      <c r="AO230" s="252">
        <f t="shared" si="211"/>
        <v>0</v>
      </c>
      <c r="AP230" s="252">
        <f t="shared" si="211"/>
        <v>0</v>
      </c>
      <c r="AQ230" s="252">
        <f t="shared" si="211"/>
        <v>0</v>
      </c>
      <c r="AR230" s="252">
        <f t="shared" si="211"/>
        <v>0</v>
      </c>
      <c r="AS230" s="252">
        <f t="shared" si="211"/>
        <v>0</v>
      </c>
      <c r="AT230" s="252">
        <f t="shared" si="211"/>
        <v>0</v>
      </c>
      <c r="AU230" s="252">
        <f t="shared" si="211"/>
        <v>0</v>
      </c>
      <c r="AV230" s="252">
        <f t="shared" si="211"/>
        <v>0</v>
      </c>
      <c r="AW230" s="252">
        <f t="shared" si="211"/>
        <v>0</v>
      </c>
      <c r="AX230" s="252">
        <f t="shared" si="211"/>
        <v>0</v>
      </c>
      <c r="AY230" s="252">
        <f t="shared" si="211"/>
        <v>0</v>
      </c>
      <c r="AZ230" s="252">
        <f t="shared" si="211"/>
        <v>0</v>
      </c>
      <c r="BA230" s="252">
        <f t="shared" si="211"/>
        <v>0</v>
      </c>
      <c r="BB230" s="252">
        <f t="shared" si="211"/>
        <v>0</v>
      </c>
    </row>
    <row r="231" ht="15.75" customHeight="1">
      <c r="A231" s="768">
        <v>1970.0</v>
      </c>
      <c r="B231" s="38"/>
      <c r="C231" s="38"/>
      <c r="D231" s="38"/>
      <c r="E231" s="38"/>
      <c r="F231" s="38"/>
      <c r="G231" s="38"/>
      <c r="H231" s="38"/>
      <c r="I231" s="38"/>
      <c r="J231" s="38"/>
      <c r="K231" s="38"/>
      <c r="L231" s="38"/>
      <c r="M231" s="38"/>
      <c r="N231" s="38"/>
      <c r="O231" s="38"/>
      <c r="P231" s="38"/>
      <c r="Q231" s="38"/>
      <c r="R231" s="38"/>
      <c r="S231" s="740">
        <v>1981.0</v>
      </c>
      <c r="T231" s="740">
        <v>9029.4</v>
      </c>
      <c r="U231" s="38"/>
      <c r="V231" s="771">
        <v>150.5</v>
      </c>
      <c r="W231" s="252">
        <f t="shared" si="172"/>
        <v>150.5</v>
      </c>
      <c r="X231" s="252">
        <f t="shared" ref="X231:BB231" si="212">IF(AND(X$190-$A231&gt;$V$48,SUM($W231:W231)&lt;&gt;$V231),$V231,0)</f>
        <v>0</v>
      </c>
      <c r="Y231" s="252">
        <f t="shared" si="212"/>
        <v>0</v>
      </c>
      <c r="Z231" s="252">
        <f t="shared" si="212"/>
        <v>0</v>
      </c>
      <c r="AA231" s="252">
        <f t="shared" si="212"/>
        <v>0</v>
      </c>
      <c r="AB231" s="252">
        <f t="shared" si="212"/>
        <v>0</v>
      </c>
      <c r="AC231" s="252">
        <f t="shared" si="212"/>
        <v>0</v>
      </c>
      <c r="AD231" s="252">
        <f t="shared" si="212"/>
        <v>0</v>
      </c>
      <c r="AE231" s="252">
        <f t="shared" si="212"/>
        <v>0</v>
      </c>
      <c r="AF231" s="252">
        <f t="shared" si="212"/>
        <v>0</v>
      </c>
      <c r="AG231" s="252">
        <f t="shared" si="212"/>
        <v>0</v>
      </c>
      <c r="AH231" s="252">
        <f t="shared" si="212"/>
        <v>0</v>
      </c>
      <c r="AI231" s="252">
        <f t="shared" si="212"/>
        <v>0</v>
      </c>
      <c r="AJ231" s="252">
        <f t="shared" si="212"/>
        <v>0</v>
      </c>
      <c r="AK231" s="252">
        <f t="shared" si="212"/>
        <v>0</v>
      </c>
      <c r="AL231" s="252">
        <f t="shared" si="212"/>
        <v>0</v>
      </c>
      <c r="AM231" s="252">
        <f t="shared" si="212"/>
        <v>0</v>
      </c>
      <c r="AN231" s="252">
        <f t="shared" si="212"/>
        <v>0</v>
      </c>
      <c r="AO231" s="252">
        <f t="shared" si="212"/>
        <v>0</v>
      </c>
      <c r="AP231" s="252">
        <f t="shared" si="212"/>
        <v>0</v>
      </c>
      <c r="AQ231" s="252">
        <f t="shared" si="212"/>
        <v>0</v>
      </c>
      <c r="AR231" s="252">
        <f t="shared" si="212"/>
        <v>0</v>
      </c>
      <c r="AS231" s="252">
        <f t="shared" si="212"/>
        <v>0</v>
      </c>
      <c r="AT231" s="252">
        <f t="shared" si="212"/>
        <v>0</v>
      </c>
      <c r="AU231" s="252">
        <f t="shared" si="212"/>
        <v>0</v>
      </c>
      <c r="AV231" s="252">
        <f t="shared" si="212"/>
        <v>0</v>
      </c>
      <c r="AW231" s="252">
        <f t="shared" si="212"/>
        <v>0</v>
      </c>
      <c r="AX231" s="252">
        <f t="shared" si="212"/>
        <v>0</v>
      </c>
      <c r="AY231" s="252">
        <f t="shared" si="212"/>
        <v>0</v>
      </c>
      <c r="AZ231" s="252">
        <f t="shared" si="212"/>
        <v>0</v>
      </c>
      <c r="BA231" s="252">
        <f t="shared" si="212"/>
        <v>0</v>
      </c>
      <c r="BB231" s="252">
        <f t="shared" si="212"/>
        <v>0</v>
      </c>
    </row>
    <row r="232" ht="15.75" customHeight="1">
      <c r="A232" s="768">
        <v>1971.0</v>
      </c>
      <c r="B232" s="38"/>
      <c r="C232" s="38"/>
      <c r="D232" s="38"/>
      <c r="E232" s="38"/>
      <c r="F232" s="38"/>
      <c r="G232" s="38"/>
      <c r="H232" s="38"/>
      <c r="I232" s="38"/>
      <c r="J232" s="38"/>
      <c r="K232" s="38"/>
      <c r="L232" s="38"/>
      <c r="M232" s="38"/>
      <c r="N232" s="38"/>
      <c r="O232" s="38"/>
      <c r="P232" s="38"/>
      <c r="Q232" s="38"/>
      <c r="R232" s="38"/>
      <c r="S232" s="740">
        <v>1982.0</v>
      </c>
      <c r="T232" s="740">
        <v>10244.2</v>
      </c>
      <c r="U232" s="38"/>
      <c r="V232" s="771">
        <v>588.5</v>
      </c>
      <c r="W232" s="252">
        <f t="shared" si="172"/>
        <v>588.5</v>
      </c>
      <c r="X232" s="252">
        <f t="shared" ref="X232:BB232" si="213">IF(AND(X$190-$A232&gt;$V$48,SUM($W232:W232)&lt;&gt;$V232),$V232,0)</f>
        <v>0</v>
      </c>
      <c r="Y232" s="252">
        <f t="shared" si="213"/>
        <v>0</v>
      </c>
      <c r="Z232" s="252">
        <f t="shared" si="213"/>
        <v>0</v>
      </c>
      <c r="AA232" s="252">
        <f t="shared" si="213"/>
        <v>0</v>
      </c>
      <c r="AB232" s="252">
        <f t="shared" si="213"/>
        <v>0</v>
      </c>
      <c r="AC232" s="252">
        <f t="shared" si="213"/>
        <v>0</v>
      </c>
      <c r="AD232" s="252">
        <f t="shared" si="213"/>
        <v>0</v>
      </c>
      <c r="AE232" s="252">
        <f t="shared" si="213"/>
        <v>0</v>
      </c>
      <c r="AF232" s="252">
        <f t="shared" si="213"/>
        <v>0</v>
      </c>
      <c r="AG232" s="252">
        <f t="shared" si="213"/>
        <v>0</v>
      </c>
      <c r="AH232" s="252">
        <f t="shared" si="213"/>
        <v>0</v>
      </c>
      <c r="AI232" s="252">
        <f t="shared" si="213"/>
        <v>0</v>
      </c>
      <c r="AJ232" s="252">
        <f t="shared" si="213"/>
        <v>0</v>
      </c>
      <c r="AK232" s="252">
        <f t="shared" si="213"/>
        <v>0</v>
      </c>
      <c r="AL232" s="252">
        <f t="shared" si="213"/>
        <v>0</v>
      </c>
      <c r="AM232" s="252">
        <f t="shared" si="213"/>
        <v>0</v>
      </c>
      <c r="AN232" s="252">
        <f t="shared" si="213"/>
        <v>0</v>
      </c>
      <c r="AO232" s="252">
        <f t="shared" si="213"/>
        <v>0</v>
      </c>
      <c r="AP232" s="252">
        <f t="shared" si="213"/>
        <v>0</v>
      </c>
      <c r="AQ232" s="252">
        <f t="shared" si="213"/>
        <v>0</v>
      </c>
      <c r="AR232" s="252">
        <f t="shared" si="213"/>
        <v>0</v>
      </c>
      <c r="AS232" s="252">
        <f t="shared" si="213"/>
        <v>0</v>
      </c>
      <c r="AT232" s="252">
        <f t="shared" si="213"/>
        <v>0</v>
      </c>
      <c r="AU232" s="252">
        <f t="shared" si="213"/>
        <v>0</v>
      </c>
      <c r="AV232" s="252">
        <f t="shared" si="213"/>
        <v>0</v>
      </c>
      <c r="AW232" s="252">
        <f t="shared" si="213"/>
        <v>0</v>
      </c>
      <c r="AX232" s="252">
        <f t="shared" si="213"/>
        <v>0</v>
      </c>
      <c r="AY232" s="252">
        <f t="shared" si="213"/>
        <v>0</v>
      </c>
      <c r="AZ232" s="252">
        <f t="shared" si="213"/>
        <v>0</v>
      </c>
      <c r="BA232" s="252">
        <f t="shared" si="213"/>
        <v>0</v>
      </c>
      <c r="BB232" s="252">
        <f t="shared" si="213"/>
        <v>0</v>
      </c>
    </row>
    <row r="233" ht="15.75" customHeight="1">
      <c r="A233" s="768">
        <v>1972.0</v>
      </c>
      <c r="B233" s="38"/>
      <c r="C233" s="38"/>
      <c r="D233" s="38"/>
      <c r="E233" s="38"/>
      <c r="F233" s="38"/>
      <c r="G233" s="38"/>
      <c r="H233" s="38"/>
      <c r="I233" s="38"/>
      <c r="J233" s="38"/>
      <c r="K233" s="38"/>
      <c r="L233" s="38"/>
      <c r="M233" s="38"/>
      <c r="N233" s="38"/>
      <c r="O233" s="38"/>
      <c r="P233" s="38"/>
      <c r="Q233" s="38"/>
      <c r="R233" s="38"/>
      <c r="S233" s="740">
        <v>1983.0</v>
      </c>
      <c r="T233" s="740">
        <v>6015.200000000001</v>
      </c>
      <c r="U233" s="38"/>
      <c r="V233" s="771">
        <v>768.2</v>
      </c>
      <c r="W233" s="252">
        <f t="shared" si="172"/>
        <v>0</v>
      </c>
      <c r="X233" s="252">
        <f t="shared" ref="X233:BB233" si="214">IF(AND(X$190-$A233&gt;$V$48,SUM($W233:W233)&lt;&gt;$V233),$V233,0)</f>
        <v>768.2</v>
      </c>
      <c r="Y233" s="252">
        <f t="shared" si="214"/>
        <v>0</v>
      </c>
      <c r="Z233" s="252">
        <f t="shared" si="214"/>
        <v>0</v>
      </c>
      <c r="AA233" s="252">
        <f t="shared" si="214"/>
        <v>0</v>
      </c>
      <c r="AB233" s="252">
        <f t="shared" si="214"/>
        <v>0</v>
      </c>
      <c r="AC233" s="252">
        <f t="shared" si="214"/>
        <v>0</v>
      </c>
      <c r="AD233" s="252">
        <f t="shared" si="214"/>
        <v>0</v>
      </c>
      <c r="AE233" s="252">
        <f t="shared" si="214"/>
        <v>0</v>
      </c>
      <c r="AF233" s="252">
        <f t="shared" si="214"/>
        <v>0</v>
      </c>
      <c r="AG233" s="252">
        <f t="shared" si="214"/>
        <v>0</v>
      </c>
      <c r="AH233" s="252">
        <f t="shared" si="214"/>
        <v>0</v>
      </c>
      <c r="AI233" s="252">
        <f t="shared" si="214"/>
        <v>0</v>
      </c>
      <c r="AJ233" s="252">
        <f t="shared" si="214"/>
        <v>0</v>
      </c>
      <c r="AK233" s="252">
        <f t="shared" si="214"/>
        <v>0</v>
      </c>
      <c r="AL233" s="252">
        <f t="shared" si="214"/>
        <v>0</v>
      </c>
      <c r="AM233" s="252">
        <f t="shared" si="214"/>
        <v>0</v>
      </c>
      <c r="AN233" s="252">
        <f t="shared" si="214"/>
        <v>0</v>
      </c>
      <c r="AO233" s="252">
        <f t="shared" si="214"/>
        <v>0</v>
      </c>
      <c r="AP233" s="252">
        <f t="shared" si="214"/>
        <v>0</v>
      </c>
      <c r="AQ233" s="252">
        <f t="shared" si="214"/>
        <v>0</v>
      </c>
      <c r="AR233" s="252">
        <f t="shared" si="214"/>
        <v>0</v>
      </c>
      <c r="AS233" s="252">
        <f t="shared" si="214"/>
        <v>0</v>
      </c>
      <c r="AT233" s="252">
        <f t="shared" si="214"/>
        <v>0</v>
      </c>
      <c r="AU233" s="252">
        <f t="shared" si="214"/>
        <v>0</v>
      </c>
      <c r="AV233" s="252">
        <f t="shared" si="214"/>
        <v>0</v>
      </c>
      <c r="AW233" s="252">
        <f t="shared" si="214"/>
        <v>0</v>
      </c>
      <c r="AX233" s="252">
        <f t="shared" si="214"/>
        <v>0</v>
      </c>
      <c r="AY233" s="252">
        <f t="shared" si="214"/>
        <v>0</v>
      </c>
      <c r="AZ233" s="252">
        <f t="shared" si="214"/>
        <v>0</v>
      </c>
      <c r="BA233" s="252">
        <f t="shared" si="214"/>
        <v>0</v>
      </c>
      <c r="BB233" s="252">
        <f t="shared" si="214"/>
        <v>0</v>
      </c>
    </row>
    <row r="234" ht="15.75" customHeight="1">
      <c r="A234" s="768">
        <v>1973.0</v>
      </c>
      <c r="B234" s="38"/>
      <c r="C234" s="38"/>
      <c r="D234" s="38"/>
      <c r="E234" s="38"/>
      <c r="F234" s="38"/>
      <c r="G234" s="38"/>
      <c r="H234" s="38"/>
      <c r="I234" s="38"/>
      <c r="J234" s="38"/>
      <c r="K234" s="38"/>
      <c r="L234" s="38"/>
      <c r="M234" s="38"/>
      <c r="N234" s="38"/>
      <c r="O234" s="38"/>
      <c r="P234" s="38"/>
      <c r="Q234" s="38"/>
      <c r="R234" s="38"/>
      <c r="S234" s="740">
        <v>1984.0</v>
      </c>
      <c r="T234" s="740">
        <v>11111.9</v>
      </c>
      <c r="U234" s="38"/>
      <c r="V234" s="771">
        <v>578.0</v>
      </c>
      <c r="W234" s="252">
        <f t="shared" si="172"/>
        <v>0</v>
      </c>
      <c r="X234" s="252">
        <f t="shared" ref="X234:BB234" si="215">IF(AND(X$190-$A234&gt;$V$48,SUM($W234:W234)&lt;&gt;$V234),$V234,0)</f>
        <v>0</v>
      </c>
      <c r="Y234" s="252">
        <f t="shared" si="215"/>
        <v>578</v>
      </c>
      <c r="Z234" s="252">
        <f t="shared" si="215"/>
        <v>0</v>
      </c>
      <c r="AA234" s="252">
        <f t="shared" si="215"/>
        <v>0</v>
      </c>
      <c r="AB234" s="252">
        <f t="shared" si="215"/>
        <v>0</v>
      </c>
      <c r="AC234" s="252">
        <f t="shared" si="215"/>
        <v>0</v>
      </c>
      <c r="AD234" s="252">
        <f t="shared" si="215"/>
        <v>0</v>
      </c>
      <c r="AE234" s="252">
        <f t="shared" si="215"/>
        <v>0</v>
      </c>
      <c r="AF234" s="252">
        <f t="shared" si="215"/>
        <v>0</v>
      </c>
      <c r="AG234" s="252">
        <f t="shared" si="215"/>
        <v>0</v>
      </c>
      <c r="AH234" s="252">
        <f t="shared" si="215"/>
        <v>0</v>
      </c>
      <c r="AI234" s="252">
        <f t="shared" si="215"/>
        <v>0</v>
      </c>
      <c r="AJ234" s="252">
        <f t="shared" si="215"/>
        <v>0</v>
      </c>
      <c r="AK234" s="252">
        <f t="shared" si="215"/>
        <v>0</v>
      </c>
      <c r="AL234" s="252">
        <f t="shared" si="215"/>
        <v>0</v>
      </c>
      <c r="AM234" s="252">
        <f t="shared" si="215"/>
        <v>0</v>
      </c>
      <c r="AN234" s="252">
        <f t="shared" si="215"/>
        <v>0</v>
      </c>
      <c r="AO234" s="252">
        <f t="shared" si="215"/>
        <v>0</v>
      </c>
      <c r="AP234" s="252">
        <f t="shared" si="215"/>
        <v>0</v>
      </c>
      <c r="AQ234" s="252">
        <f t="shared" si="215"/>
        <v>0</v>
      </c>
      <c r="AR234" s="252">
        <f t="shared" si="215"/>
        <v>0</v>
      </c>
      <c r="AS234" s="252">
        <f t="shared" si="215"/>
        <v>0</v>
      </c>
      <c r="AT234" s="252">
        <f t="shared" si="215"/>
        <v>0</v>
      </c>
      <c r="AU234" s="252">
        <f t="shared" si="215"/>
        <v>0</v>
      </c>
      <c r="AV234" s="252">
        <f t="shared" si="215"/>
        <v>0</v>
      </c>
      <c r="AW234" s="252">
        <f t="shared" si="215"/>
        <v>0</v>
      </c>
      <c r="AX234" s="252">
        <f t="shared" si="215"/>
        <v>0</v>
      </c>
      <c r="AY234" s="252">
        <f t="shared" si="215"/>
        <v>0</v>
      </c>
      <c r="AZ234" s="252">
        <f t="shared" si="215"/>
        <v>0</v>
      </c>
      <c r="BA234" s="252">
        <f t="shared" si="215"/>
        <v>0</v>
      </c>
      <c r="BB234" s="252">
        <f t="shared" si="215"/>
        <v>0</v>
      </c>
    </row>
    <row r="235" ht="15.75" customHeight="1">
      <c r="A235" s="768">
        <v>1974.0</v>
      </c>
      <c r="B235" s="38"/>
      <c r="C235" s="38"/>
      <c r="D235" s="38"/>
      <c r="E235" s="38"/>
      <c r="F235" s="38"/>
      <c r="G235" s="38"/>
      <c r="H235" s="38"/>
      <c r="I235" s="38"/>
      <c r="J235" s="38"/>
      <c r="K235" s="38"/>
      <c r="L235" s="38"/>
      <c r="M235" s="38"/>
      <c r="N235" s="38"/>
      <c r="O235" s="38"/>
      <c r="P235" s="38"/>
      <c r="Q235" s="38"/>
      <c r="R235" s="38"/>
      <c r="S235" s="740">
        <v>1985.0</v>
      </c>
      <c r="T235" s="740">
        <v>6033.8</v>
      </c>
      <c r="U235" s="38"/>
      <c r="V235" s="771">
        <v>941.0</v>
      </c>
      <c r="W235" s="252">
        <f t="shared" si="172"/>
        <v>0</v>
      </c>
      <c r="X235" s="252">
        <f t="shared" ref="X235:BB235" si="216">IF(AND(X$190-$A235&gt;$V$48,SUM($W235:W235)&lt;&gt;$V235),$V235,0)</f>
        <v>0</v>
      </c>
      <c r="Y235" s="252">
        <f t="shared" si="216"/>
        <v>0</v>
      </c>
      <c r="Z235" s="252">
        <f t="shared" si="216"/>
        <v>941</v>
      </c>
      <c r="AA235" s="252">
        <f t="shared" si="216"/>
        <v>0</v>
      </c>
      <c r="AB235" s="252">
        <f t="shared" si="216"/>
        <v>0</v>
      </c>
      <c r="AC235" s="252">
        <f t="shared" si="216"/>
        <v>0</v>
      </c>
      <c r="AD235" s="252">
        <f t="shared" si="216"/>
        <v>0</v>
      </c>
      <c r="AE235" s="252">
        <f t="shared" si="216"/>
        <v>0</v>
      </c>
      <c r="AF235" s="252">
        <f t="shared" si="216"/>
        <v>0</v>
      </c>
      <c r="AG235" s="252">
        <f t="shared" si="216"/>
        <v>0</v>
      </c>
      <c r="AH235" s="252">
        <f t="shared" si="216"/>
        <v>0</v>
      </c>
      <c r="AI235" s="252">
        <f t="shared" si="216"/>
        <v>0</v>
      </c>
      <c r="AJ235" s="252">
        <f t="shared" si="216"/>
        <v>0</v>
      </c>
      <c r="AK235" s="252">
        <f t="shared" si="216"/>
        <v>0</v>
      </c>
      <c r="AL235" s="252">
        <f t="shared" si="216"/>
        <v>0</v>
      </c>
      <c r="AM235" s="252">
        <f t="shared" si="216"/>
        <v>0</v>
      </c>
      <c r="AN235" s="252">
        <f t="shared" si="216"/>
        <v>0</v>
      </c>
      <c r="AO235" s="252">
        <f t="shared" si="216"/>
        <v>0</v>
      </c>
      <c r="AP235" s="252">
        <f t="shared" si="216"/>
        <v>0</v>
      </c>
      <c r="AQ235" s="252">
        <f t="shared" si="216"/>
        <v>0</v>
      </c>
      <c r="AR235" s="252">
        <f t="shared" si="216"/>
        <v>0</v>
      </c>
      <c r="AS235" s="252">
        <f t="shared" si="216"/>
        <v>0</v>
      </c>
      <c r="AT235" s="252">
        <f t="shared" si="216"/>
        <v>0</v>
      </c>
      <c r="AU235" s="252">
        <f t="shared" si="216"/>
        <v>0</v>
      </c>
      <c r="AV235" s="252">
        <f t="shared" si="216"/>
        <v>0</v>
      </c>
      <c r="AW235" s="252">
        <f t="shared" si="216"/>
        <v>0</v>
      </c>
      <c r="AX235" s="252">
        <f t="shared" si="216"/>
        <v>0</v>
      </c>
      <c r="AY235" s="252">
        <f t="shared" si="216"/>
        <v>0</v>
      </c>
      <c r="AZ235" s="252">
        <f t="shared" si="216"/>
        <v>0</v>
      </c>
      <c r="BA235" s="252">
        <f t="shared" si="216"/>
        <v>0</v>
      </c>
      <c r="BB235" s="252">
        <f t="shared" si="216"/>
        <v>0</v>
      </c>
    </row>
    <row r="236" ht="15.75" customHeight="1">
      <c r="A236" s="768">
        <v>1975.0</v>
      </c>
      <c r="B236" s="38"/>
      <c r="C236" s="38"/>
      <c r="D236" s="38"/>
      <c r="E236" s="38"/>
      <c r="F236" s="38"/>
      <c r="G236" s="38"/>
      <c r="H236" s="38"/>
      <c r="I236" s="38"/>
      <c r="J236" s="38"/>
      <c r="K236" s="38"/>
      <c r="L236" s="38"/>
      <c r="M236" s="38"/>
      <c r="N236" s="38"/>
      <c r="O236" s="38"/>
      <c r="P236" s="38"/>
      <c r="Q236" s="38"/>
      <c r="R236" s="38"/>
      <c r="S236" s="740">
        <v>1986.0</v>
      </c>
      <c r="T236" s="740">
        <v>5860.4</v>
      </c>
      <c r="U236" s="38"/>
      <c r="V236" s="771">
        <v>2261.4</v>
      </c>
      <c r="W236" s="252">
        <f t="shared" si="172"/>
        <v>0</v>
      </c>
      <c r="X236" s="252">
        <f t="shared" ref="X236:BB236" si="217">IF(AND(X$190-$A236&gt;$V$48,SUM($W236:W236)&lt;&gt;$V236),$V236,0)</f>
        <v>0</v>
      </c>
      <c r="Y236" s="252">
        <f t="shared" si="217"/>
        <v>0</v>
      </c>
      <c r="Z236" s="252">
        <f t="shared" si="217"/>
        <v>0</v>
      </c>
      <c r="AA236" s="252">
        <f t="shared" si="217"/>
        <v>2261.4</v>
      </c>
      <c r="AB236" s="252">
        <f t="shared" si="217"/>
        <v>0</v>
      </c>
      <c r="AC236" s="252">
        <f t="shared" si="217"/>
        <v>0</v>
      </c>
      <c r="AD236" s="252">
        <f t="shared" si="217"/>
        <v>0</v>
      </c>
      <c r="AE236" s="252">
        <f t="shared" si="217"/>
        <v>0</v>
      </c>
      <c r="AF236" s="252">
        <f t="shared" si="217"/>
        <v>0</v>
      </c>
      <c r="AG236" s="252">
        <f t="shared" si="217"/>
        <v>0</v>
      </c>
      <c r="AH236" s="252">
        <f t="shared" si="217"/>
        <v>0</v>
      </c>
      <c r="AI236" s="252">
        <f t="shared" si="217"/>
        <v>0</v>
      </c>
      <c r="AJ236" s="252">
        <f t="shared" si="217"/>
        <v>0</v>
      </c>
      <c r="AK236" s="252">
        <f t="shared" si="217"/>
        <v>0</v>
      </c>
      <c r="AL236" s="252">
        <f t="shared" si="217"/>
        <v>0</v>
      </c>
      <c r="AM236" s="252">
        <f t="shared" si="217"/>
        <v>0</v>
      </c>
      <c r="AN236" s="252">
        <f t="shared" si="217"/>
        <v>0</v>
      </c>
      <c r="AO236" s="252">
        <f t="shared" si="217"/>
        <v>0</v>
      </c>
      <c r="AP236" s="252">
        <f t="shared" si="217"/>
        <v>0</v>
      </c>
      <c r="AQ236" s="252">
        <f t="shared" si="217"/>
        <v>0</v>
      </c>
      <c r="AR236" s="252">
        <f t="shared" si="217"/>
        <v>0</v>
      </c>
      <c r="AS236" s="252">
        <f t="shared" si="217"/>
        <v>0</v>
      </c>
      <c r="AT236" s="252">
        <f t="shared" si="217"/>
        <v>0</v>
      </c>
      <c r="AU236" s="252">
        <f t="shared" si="217"/>
        <v>0</v>
      </c>
      <c r="AV236" s="252">
        <f t="shared" si="217"/>
        <v>0</v>
      </c>
      <c r="AW236" s="252">
        <f t="shared" si="217"/>
        <v>0</v>
      </c>
      <c r="AX236" s="252">
        <f t="shared" si="217"/>
        <v>0</v>
      </c>
      <c r="AY236" s="252">
        <f t="shared" si="217"/>
        <v>0</v>
      </c>
      <c r="AZ236" s="252">
        <f t="shared" si="217"/>
        <v>0</v>
      </c>
      <c r="BA236" s="252">
        <f t="shared" si="217"/>
        <v>0</v>
      </c>
      <c r="BB236" s="252">
        <f t="shared" si="217"/>
        <v>0</v>
      </c>
    </row>
    <row r="237" ht="15.75" customHeight="1">
      <c r="A237" s="768">
        <v>1976.0</v>
      </c>
      <c r="B237" s="38"/>
      <c r="C237" s="38"/>
      <c r="D237" s="38"/>
      <c r="E237" s="38"/>
      <c r="F237" s="38"/>
      <c r="G237" s="38"/>
      <c r="H237" s="38"/>
      <c r="I237" s="38"/>
      <c r="J237" s="38"/>
      <c r="K237" s="38"/>
      <c r="L237" s="38"/>
      <c r="M237" s="38"/>
      <c r="N237" s="38"/>
      <c r="O237" s="38"/>
      <c r="P237" s="38"/>
      <c r="Q237" s="38"/>
      <c r="R237" s="38"/>
      <c r="S237" s="740">
        <v>1987.0</v>
      </c>
      <c r="T237" s="740">
        <v>3283.8</v>
      </c>
      <c r="U237" s="38"/>
      <c r="V237" s="771">
        <v>28.8</v>
      </c>
      <c r="W237" s="252">
        <f t="shared" si="172"/>
        <v>0</v>
      </c>
      <c r="X237" s="252">
        <f t="shared" ref="X237:BB237" si="218">IF(AND(X$190-$A237&gt;$V$48,SUM($W237:W237)&lt;&gt;$V237),$V237,0)</f>
        <v>0</v>
      </c>
      <c r="Y237" s="252">
        <f t="shared" si="218"/>
        <v>0</v>
      </c>
      <c r="Z237" s="252">
        <f t="shared" si="218"/>
        <v>0</v>
      </c>
      <c r="AA237" s="252">
        <f t="shared" si="218"/>
        <v>0</v>
      </c>
      <c r="AB237" s="252">
        <f t="shared" si="218"/>
        <v>28.8</v>
      </c>
      <c r="AC237" s="252">
        <f t="shared" si="218"/>
        <v>0</v>
      </c>
      <c r="AD237" s="252">
        <f t="shared" si="218"/>
        <v>0</v>
      </c>
      <c r="AE237" s="252">
        <f t="shared" si="218"/>
        <v>0</v>
      </c>
      <c r="AF237" s="252">
        <f t="shared" si="218"/>
        <v>0</v>
      </c>
      <c r="AG237" s="252">
        <f t="shared" si="218"/>
        <v>0</v>
      </c>
      <c r="AH237" s="252">
        <f t="shared" si="218"/>
        <v>0</v>
      </c>
      <c r="AI237" s="252">
        <f t="shared" si="218"/>
        <v>0</v>
      </c>
      <c r="AJ237" s="252">
        <f t="shared" si="218"/>
        <v>0</v>
      </c>
      <c r="AK237" s="252">
        <f t="shared" si="218"/>
        <v>0</v>
      </c>
      <c r="AL237" s="252">
        <f t="shared" si="218"/>
        <v>0</v>
      </c>
      <c r="AM237" s="252">
        <f t="shared" si="218"/>
        <v>0</v>
      </c>
      <c r="AN237" s="252">
        <f t="shared" si="218"/>
        <v>0</v>
      </c>
      <c r="AO237" s="252">
        <f t="shared" si="218"/>
        <v>0</v>
      </c>
      <c r="AP237" s="252">
        <f t="shared" si="218"/>
        <v>0</v>
      </c>
      <c r="AQ237" s="252">
        <f t="shared" si="218"/>
        <v>0</v>
      </c>
      <c r="AR237" s="252">
        <f t="shared" si="218"/>
        <v>0</v>
      </c>
      <c r="AS237" s="252">
        <f t="shared" si="218"/>
        <v>0</v>
      </c>
      <c r="AT237" s="252">
        <f t="shared" si="218"/>
        <v>0</v>
      </c>
      <c r="AU237" s="252">
        <f t="shared" si="218"/>
        <v>0</v>
      </c>
      <c r="AV237" s="252">
        <f t="shared" si="218"/>
        <v>0</v>
      </c>
      <c r="AW237" s="252">
        <f t="shared" si="218"/>
        <v>0</v>
      </c>
      <c r="AX237" s="252">
        <f t="shared" si="218"/>
        <v>0</v>
      </c>
      <c r="AY237" s="252">
        <f t="shared" si="218"/>
        <v>0</v>
      </c>
      <c r="AZ237" s="252">
        <f t="shared" si="218"/>
        <v>0</v>
      </c>
      <c r="BA237" s="252">
        <f t="shared" si="218"/>
        <v>0</v>
      </c>
      <c r="BB237" s="252">
        <f t="shared" si="218"/>
        <v>0</v>
      </c>
    </row>
    <row r="238" ht="15.75" customHeight="1">
      <c r="A238" s="768">
        <v>1977.0</v>
      </c>
      <c r="B238" s="38"/>
      <c r="C238" s="38"/>
      <c r="D238" s="38"/>
      <c r="E238" s="38"/>
      <c r="F238" s="38"/>
      <c r="G238" s="38"/>
      <c r="H238" s="38"/>
      <c r="I238" s="38"/>
      <c r="J238" s="38"/>
      <c r="K238" s="38"/>
      <c r="L238" s="38"/>
      <c r="M238" s="38"/>
      <c r="N238" s="38"/>
      <c r="O238" s="38"/>
      <c r="P238" s="38"/>
      <c r="Q238" s="38"/>
      <c r="R238" s="38"/>
      <c r="S238" s="740">
        <v>1988.0</v>
      </c>
      <c r="T238" s="740">
        <v>803.1999999999999</v>
      </c>
      <c r="U238" s="38"/>
      <c r="V238" s="771">
        <v>28.8</v>
      </c>
      <c r="W238" s="252">
        <f t="shared" si="172"/>
        <v>0</v>
      </c>
      <c r="X238" s="252">
        <f t="shared" ref="X238:BB238" si="219">IF(AND(X$190-$A238&gt;$V$48,SUM($W238:W238)&lt;&gt;$V238),$V238,0)</f>
        <v>0</v>
      </c>
      <c r="Y238" s="252">
        <f t="shared" si="219"/>
        <v>0</v>
      </c>
      <c r="Z238" s="252">
        <f t="shared" si="219"/>
        <v>0</v>
      </c>
      <c r="AA238" s="252">
        <f t="shared" si="219"/>
        <v>0</v>
      </c>
      <c r="AB238" s="252">
        <f t="shared" si="219"/>
        <v>0</v>
      </c>
      <c r="AC238" s="252">
        <f t="shared" si="219"/>
        <v>28.8</v>
      </c>
      <c r="AD238" s="252">
        <f t="shared" si="219"/>
        <v>0</v>
      </c>
      <c r="AE238" s="252">
        <f t="shared" si="219"/>
        <v>0</v>
      </c>
      <c r="AF238" s="252">
        <f t="shared" si="219"/>
        <v>0</v>
      </c>
      <c r="AG238" s="252">
        <f t="shared" si="219"/>
        <v>0</v>
      </c>
      <c r="AH238" s="252">
        <f t="shared" si="219"/>
        <v>0</v>
      </c>
      <c r="AI238" s="252">
        <f t="shared" si="219"/>
        <v>0</v>
      </c>
      <c r="AJ238" s="252">
        <f t="shared" si="219"/>
        <v>0</v>
      </c>
      <c r="AK238" s="252">
        <f t="shared" si="219"/>
        <v>0</v>
      </c>
      <c r="AL238" s="252">
        <f t="shared" si="219"/>
        <v>0</v>
      </c>
      <c r="AM238" s="252">
        <f t="shared" si="219"/>
        <v>0</v>
      </c>
      <c r="AN238" s="252">
        <f t="shared" si="219"/>
        <v>0</v>
      </c>
      <c r="AO238" s="252">
        <f t="shared" si="219"/>
        <v>0</v>
      </c>
      <c r="AP238" s="252">
        <f t="shared" si="219"/>
        <v>0</v>
      </c>
      <c r="AQ238" s="252">
        <f t="shared" si="219"/>
        <v>0</v>
      </c>
      <c r="AR238" s="252">
        <f t="shared" si="219"/>
        <v>0</v>
      </c>
      <c r="AS238" s="252">
        <f t="shared" si="219"/>
        <v>0</v>
      </c>
      <c r="AT238" s="252">
        <f t="shared" si="219"/>
        <v>0</v>
      </c>
      <c r="AU238" s="252">
        <f t="shared" si="219"/>
        <v>0</v>
      </c>
      <c r="AV238" s="252">
        <f t="shared" si="219"/>
        <v>0</v>
      </c>
      <c r="AW238" s="252">
        <f t="shared" si="219"/>
        <v>0</v>
      </c>
      <c r="AX238" s="252">
        <f t="shared" si="219"/>
        <v>0</v>
      </c>
      <c r="AY238" s="252">
        <f t="shared" si="219"/>
        <v>0</v>
      </c>
      <c r="AZ238" s="252">
        <f t="shared" si="219"/>
        <v>0</v>
      </c>
      <c r="BA238" s="252">
        <f t="shared" si="219"/>
        <v>0</v>
      </c>
      <c r="BB238" s="252">
        <f t="shared" si="219"/>
        <v>0</v>
      </c>
    </row>
    <row r="239" ht="15.75" customHeight="1">
      <c r="A239" s="768">
        <v>1978.0</v>
      </c>
      <c r="B239" s="38"/>
      <c r="C239" s="38"/>
      <c r="D239" s="38"/>
      <c r="E239" s="38"/>
      <c r="F239" s="38"/>
      <c r="G239" s="38"/>
      <c r="H239" s="38"/>
      <c r="I239" s="38"/>
      <c r="J239" s="38"/>
      <c r="K239" s="38"/>
      <c r="L239" s="38"/>
      <c r="M239" s="38"/>
      <c r="N239" s="38"/>
      <c r="O239" s="38"/>
      <c r="P239" s="38"/>
      <c r="Q239" s="38"/>
      <c r="R239" s="38"/>
      <c r="S239" s="740">
        <v>1989.0</v>
      </c>
      <c r="T239" s="740">
        <v>3027.6</v>
      </c>
      <c r="U239" s="38"/>
      <c r="V239" s="771">
        <v>0.0</v>
      </c>
      <c r="W239" s="252">
        <f t="shared" si="172"/>
        <v>0</v>
      </c>
      <c r="X239" s="252">
        <f t="shared" ref="X239:BB239" si="220">IF(AND(X$190-$A239&gt;$V$48,SUM($W239:W239)&lt;&gt;$V239),$V239,0)</f>
        <v>0</v>
      </c>
      <c r="Y239" s="252">
        <f t="shared" si="220"/>
        <v>0</v>
      </c>
      <c r="Z239" s="252">
        <f t="shared" si="220"/>
        <v>0</v>
      </c>
      <c r="AA239" s="252">
        <f t="shared" si="220"/>
        <v>0</v>
      </c>
      <c r="AB239" s="252">
        <f t="shared" si="220"/>
        <v>0</v>
      </c>
      <c r="AC239" s="252">
        <f t="shared" si="220"/>
        <v>0</v>
      </c>
      <c r="AD239" s="252">
        <f t="shared" si="220"/>
        <v>0</v>
      </c>
      <c r="AE239" s="252">
        <f t="shared" si="220"/>
        <v>0</v>
      </c>
      <c r="AF239" s="252">
        <f t="shared" si="220"/>
        <v>0</v>
      </c>
      <c r="AG239" s="252">
        <f t="shared" si="220"/>
        <v>0</v>
      </c>
      <c r="AH239" s="252">
        <f t="shared" si="220"/>
        <v>0</v>
      </c>
      <c r="AI239" s="252">
        <f t="shared" si="220"/>
        <v>0</v>
      </c>
      <c r="AJ239" s="252">
        <f t="shared" si="220"/>
        <v>0</v>
      </c>
      <c r="AK239" s="252">
        <f t="shared" si="220"/>
        <v>0</v>
      </c>
      <c r="AL239" s="252">
        <f t="shared" si="220"/>
        <v>0</v>
      </c>
      <c r="AM239" s="252">
        <f t="shared" si="220"/>
        <v>0</v>
      </c>
      <c r="AN239" s="252">
        <f t="shared" si="220"/>
        <v>0</v>
      </c>
      <c r="AO239" s="252">
        <f t="shared" si="220"/>
        <v>0</v>
      </c>
      <c r="AP239" s="252">
        <f t="shared" si="220"/>
        <v>0</v>
      </c>
      <c r="AQ239" s="252">
        <f t="shared" si="220"/>
        <v>0</v>
      </c>
      <c r="AR239" s="252">
        <f t="shared" si="220"/>
        <v>0</v>
      </c>
      <c r="AS239" s="252">
        <f t="shared" si="220"/>
        <v>0</v>
      </c>
      <c r="AT239" s="252">
        <f t="shared" si="220"/>
        <v>0</v>
      </c>
      <c r="AU239" s="252">
        <f t="shared" si="220"/>
        <v>0</v>
      </c>
      <c r="AV239" s="252">
        <f t="shared" si="220"/>
        <v>0</v>
      </c>
      <c r="AW239" s="252">
        <f t="shared" si="220"/>
        <v>0</v>
      </c>
      <c r="AX239" s="252">
        <f t="shared" si="220"/>
        <v>0</v>
      </c>
      <c r="AY239" s="252">
        <f t="shared" si="220"/>
        <v>0</v>
      </c>
      <c r="AZ239" s="252">
        <f t="shared" si="220"/>
        <v>0</v>
      </c>
      <c r="BA239" s="252">
        <f t="shared" si="220"/>
        <v>0</v>
      </c>
      <c r="BB239" s="252">
        <f t="shared" si="220"/>
        <v>0</v>
      </c>
    </row>
    <row r="240" ht="15.75" customHeight="1">
      <c r="A240" s="768">
        <v>1979.0</v>
      </c>
      <c r="B240" s="38"/>
      <c r="C240" s="38"/>
      <c r="D240" s="38"/>
      <c r="E240" s="38"/>
      <c r="F240" s="38"/>
      <c r="G240" s="38"/>
      <c r="H240" s="38"/>
      <c r="I240" s="38"/>
      <c r="J240" s="38"/>
      <c r="K240" s="38"/>
      <c r="L240" s="38"/>
      <c r="M240" s="38"/>
      <c r="N240" s="38"/>
      <c r="O240" s="38"/>
      <c r="P240" s="38"/>
      <c r="Q240" s="38"/>
      <c r="R240" s="38"/>
      <c r="S240" s="740">
        <v>1990.0</v>
      </c>
      <c r="T240" s="740">
        <v>1816.8999999999999</v>
      </c>
      <c r="U240" s="38"/>
      <c r="V240" s="771">
        <v>0.0</v>
      </c>
      <c r="W240" s="252">
        <f t="shared" si="172"/>
        <v>0</v>
      </c>
      <c r="X240" s="252">
        <f t="shared" ref="X240:BB240" si="221">IF(AND(X$190-$A240&gt;$V$48,SUM($W240:W240)&lt;&gt;$V240),$V240,0)</f>
        <v>0</v>
      </c>
      <c r="Y240" s="252">
        <f t="shared" si="221"/>
        <v>0</v>
      </c>
      <c r="Z240" s="252">
        <f t="shared" si="221"/>
        <v>0</v>
      </c>
      <c r="AA240" s="252">
        <f t="shared" si="221"/>
        <v>0</v>
      </c>
      <c r="AB240" s="252">
        <f t="shared" si="221"/>
        <v>0</v>
      </c>
      <c r="AC240" s="252">
        <f t="shared" si="221"/>
        <v>0</v>
      </c>
      <c r="AD240" s="252">
        <f t="shared" si="221"/>
        <v>0</v>
      </c>
      <c r="AE240" s="252">
        <f t="shared" si="221"/>
        <v>0</v>
      </c>
      <c r="AF240" s="252">
        <f t="shared" si="221"/>
        <v>0</v>
      </c>
      <c r="AG240" s="252">
        <f t="shared" si="221"/>
        <v>0</v>
      </c>
      <c r="AH240" s="252">
        <f t="shared" si="221"/>
        <v>0</v>
      </c>
      <c r="AI240" s="252">
        <f t="shared" si="221"/>
        <v>0</v>
      </c>
      <c r="AJ240" s="252">
        <f t="shared" si="221"/>
        <v>0</v>
      </c>
      <c r="AK240" s="252">
        <f t="shared" si="221"/>
        <v>0</v>
      </c>
      <c r="AL240" s="252">
        <f t="shared" si="221"/>
        <v>0</v>
      </c>
      <c r="AM240" s="252">
        <f t="shared" si="221"/>
        <v>0</v>
      </c>
      <c r="AN240" s="252">
        <f t="shared" si="221"/>
        <v>0</v>
      </c>
      <c r="AO240" s="252">
        <f t="shared" si="221"/>
        <v>0</v>
      </c>
      <c r="AP240" s="252">
        <f t="shared" si="221"/>
        <v>0</v>
      </c>
      <c r="AQ240" s="252">
        <f t="shared" si="221"/>
        <v>0</v>
      </c>
      <c r="AR240" s="252">
        <f t="shared" si="221"/>
        <v>0</v>
      </c>
      <c r="AS240" s="252">
        <f t="shared" si="221"/>
        <v>0</v>
      </c>
      <c r="AT240" s="252">
        <f t="shared" si="221"/>
        <v>0</v>
      </c>
      <c r="AU240" s="252">
        <f t="shared" si="221"/>
        <v>0</v>
      </c>
      <c r="AV240" s="252">
        <f t="shared" si="221"/>
        <v>0</v>
      </c>
      <c r="AW240" s="252">
        <f t="shared" si="221"/>
        <v>0</v>
      </c>
      <c r="AX240" s="252">
        <f t="shared" si="221"/>
        <v>0</v>
      </c>
      <c r="AY240" s="252">
        <f t="shared" si="221"/>
        <v>0</v>
      </c>
      <c r="AZ240" s="252">
        <f t="shared" si="221"/>
        <v>0</v>
      </c>
      <c r="BA240" s="252">
        <f t="shared" si="221"/>
        <v>0</v>
      </c>
      <c r="BB240" s="252">
        <f t="shared" si="221"/>
        <v>0</v>
      </c>
    </row>
    <row r="241" ht="15.75" customHeight="1">
      <c r="A241" s="768">
        <v>1980.0</v>
      </c>
      <c r="B241" s="38"/>
      <c r="C241" s="38"/>
      <c r="D241" s="38"/>
      <c r="E241" s="38"/>
      <c r="F241" s="38"/>
      <c r="G241" s="38"/>
      <c r="H241" s="38"/>
      <c r="I241" s="38"/>
      <c r="J241" s="38"/>
      <c r="K241" s="38"/>
      <c r="L241" s="38"/>
      <c r="M241" s="38"/>
      <c r="N241" s="38"/>
      <c r="O241" s="38"/>
      <c r="P241" s="38"/>
      <c r="Q241" s="38"/>
      <c r="R241" s="38"/>
      <c r="S241" s="740">
        <v>1991.0</v>
      </c>
      <c r="T241" s="740">
        <v>3074.3</v>
      </c>
      <c r="U241" s="38"/>
      <c r="V241" s="771">
        <v>0.0</v>
      </c>
      <c r="W241" s="252">
        <f t="shared" si="172"/>
        <v>0</v>
      </c>
      <c r="X241" s="252">
        <f t="shared" ref="X241:BB241" si="222">IF(AND(X$190-$A241&gt;$V$48,SUM($W241:W241)&lt;&gt;$V241),$V241,0)</f>
        <v>0</v>
      </c>
      <c r="Y241" s="252">
        <f t="shared" si="222"/>
        <v>0</v>
      </c>
      <c r="Z241" s="252">
        <f t="shared" si="222"/>
        <v>0</v>
      </c>
      <c r="AA241" s="252">
        <f t="shared" si="222"/>
        <v>0</v>
      </c>
      <c r="AB241" s="252">
        <f t="shared" si="222"/>
        <v>0</v>
      </c>
      <c r="AC241" s="252">
        <f t="shared" si="222"/>
        <v>0</v>
      </c>
      <c r="AD241" s="252">
        <f t="shared" si="222"/>
        <v>0</v>
      </c>
      <c r="AE241" s="252">
        <f t="shared" si="222"/>
        <v>0</v>
      </c>
      <c r="AF241" s="252">
        <f t="shared" si="222"/>
        <v>0</v>
      </c>
      <c r="AG241" s="252">
        <f t="shared" si="222"/>
        <v>0</v>
      </c>
      <c r="AH241" s="252">
        <f t="shared" si="222"/>
        <v>0</v>
      </c>
      <c r="AI241" s="252">
        <f t="shared" si="222"/>
        <v>0</v>
      </c>
      <c r="AJ241" s="252">
        <f t="shared" si="222"/>
        <v>0</v>
      </c>
      <c r="AK241" s="252">
        <f t="shared" si="222"/>
        <v>0</v>
      </c>
      <c r="AL241" s="252">
        <f t="shared" si="222"/>
        <v>0</v>
      </c>
      <c r="AM241" s="252">
        <f t="shared" si="222"/>
        <v>0</v>
      </c>
      <c r="AN241" s="252">
        <f t="shared" si="222"/>
        <v>0</v>
      </c>
      <c r="AO241" s="252">
        <f t="shared" si="222"/>
        <v>0</v>
      </c>
      <c r="AP241" s="252">
        <f t="shared" si="222"/>
        <v>0</v>
      </c>
      <c r="AQ241" s="252">
        <f t="shared" si="222"/>
        <v>0</v>
      </c>
      <c r="AR241" s="252">
        <f t="shared" si="222"/>
        <v>0</v>
      </c>
      <c r="AS241" s="252">
        <f t="shared" si="222"/>
        <v>0</v>
      </c>
      <c r="AT241" s="252">
        <f t="shared" si="222"/>
        <v>0</v>
      </c>
      <c r="AU241" s="252">
        <f t="shared" si="222"/>
        <v>0</v>
      </c>
      <c r="AV241" s="252">
        <f t="shared" si="222"/>
        <v>0</v>
      </c>
      <c r="AW241" s="252">
        <f t="shared" si="222"/>
        <v>0</v>
      </c>
      <c r="AX241" s="252">
        <f t="shared" si="222"/>
        <v>0</v>
      </c>
      <c r="AY241" s="252">
        <f t="shared" si="222"/>
        <v>0</v>
      </c>
      <c r="AZ241" s="252">
        <f t="shared" si="222"/>
        <v>0</v>
      </c>
      <c r="BA241" s="252">
        <f t="shared" si="222"/>
        <v>0</v>
      </c>
      <c r="BB241" s="252">
        <f t="shared" si="222"/>
        <v>0</v>
      </c>
    </row>
    <row r="242" ht="15.75" customHeight="1">
      <c r="A242" s="768">
        <v>1981.0</v>
      </c>
      <c r="B242" s="38"/>
      <c r="C242" s="38"/>
      <c r="D242" s="38"/>
      <c r="E242" s="38"/>
      <c r="F242" s="38"/>
      <c r="G242" s="38"/>
      <c r="H242" s="38"/>
      <c r="I242" s="38"/>
      <c r="J242" s="38"/>
      <c r="K242" s="38"/>
      <c r="L242" s="38"/>
      <c r="M242" s="38"/>
      <c r="N242" s="38"/>
      <c r="O242" s="38"/>
      <c r="P242" s="38"/>
      <c r="Q242" s="38"/>
      <c r="R242" s="38"/>
      <c r="S242" s="740">
        <v>1992.0</v>
      </c>
      <c r="T242" s="740">
        <v>1051.0</v>
      </c>
      <c r="U242" s="38"/>
      <c r="V242" s="771">
        <v>71.2</v>
      </c>
      <c r="W242" s="252">
        <f t="shared" si="172"/>
        <v>0</v>
      </c>
      <c r="X242" s="252">
        <f t="shared" ref="X242:BB242" si="223">IF(AND(X$190-$A242&gt;$V$48,SUM($W242:W242)&lt;&gt;$V242),$V242,0)</f>
        <v>0</v>
      </c>
      <c r="Y242" s="252">
        <f t="shared" si="223"/>
        <v>0</v>
      </c>
      <c r="Z242" s="252">
        <f t="shared" si="223"/>
        <v>0</v>
      </c>
      <c r="AA242" s="252">
        <f t="shared" si="223"/>
        <v>0</v>
      </c>
      <c r="AB242" s="252">
        <f t="shared" si="223"/>
        <v>0</v>
      </c>
      <c r="AC242" s="252">
        <f t="shared" si="223"/>
        <v>0</v>
      </c>
      <c r="AD242" s="252">
        <f t="shared" si="223"/>
        <v>0</v>
      </c>
      <c r="AE242" s="252">
        <f t="shared" si="223"/>
        <v>0</v>
      </c>
      <c r="AF242" s="252">
        <f t="shared" si="223"/>
        <v>0</v>
      </c>
      <c r="AG242" s="252">
        <f t="shared" si="223"/>
        <v>71.2</v>
      </c>
      <c r="AH242" s="252">
        <f t="shared" si="223"/>
        <v>0</v>
      </c>
      <c r="AI242" s="252">
        <f t="shared" si="223"/>
        <v>0</v>
      </c>
      <c r="AJ242" s="252">
        <f t="shared" si="223"/>
        <v>0</v>
      </c>
      <c r="AK242" s="252">
        <f t="shared" si="223"/>
        <v>0</v>
      </c>
      <c r="AL242" s="252">
        <f t="shared" si="223"/>
        <v>0</v>
      </c>
      <c r="AM242" s="252">
        <f t="shared" si="223"/>
        <v>0</v>
      </c>
      <c r="AN242" s="252">
        <f t="shared" si="223"/>
        <v>0</v>
      </c>
      <c r="AO242" s="252">
        <f t="shared" si="223"/>
        <v>0</v>
      </c>
      <c r="AP242" s="252">
        <f t="shared" si="223"/>
        <v>0</v>
      </c>
      <c r="AQ242" s="252">
        <f t="shared" si="223"/>
        <v>0</v>
      </c>
      <c r="AR242" s="252">
        <f t="shared" si="223"/>
        <v>0</v>
      </c>
      <c r="AS242" s="252">
        <f t="shared" si="223"/>
        <v>0</v>
      </c>
      <c r="AT242" s="252">
        <f t="shared" si="223"/>
        <v>0</v>
      </c>
      <c r="AU242" s="252">
        <f t="shared" si="223"/>
        <v>0</v>
      </c>
      <c r="AV242" s="252">
        <f t="shared" si="223"/>
        <v>0</v>
      </c>
      <c r="AW242" s="252">
        <f t="shared" si="223"/>
        <v>0</v>
      </c>
      <c r="AX242" s="252">
        <f t="shared" si="223"/>
        <v>0</v>
      </c>
      <c r="AY242" s="252">
        <f t="shared" si="223"/>
        <v>0</v>
      </c>
      <c r="AZ242" s="252">
        <f t="shared" si="223"/>
        <v>0</v>
      </c>
      <c r="BA242" s="252">
        <f t="shared" si="223"/>
        <v>0</v>
      </c>
      <c r="BB242" s="252">
        <f t="shared" si="223"/>
        <v>0</v>
      </c>
    </row>
    <row r="243" ht="15.75" customHeight="1">
      <c r="A243" s="768">
        <v>1982.0</v>
      </c>
      <c r="B243" s="38"/>
      <c r="C243" s="38"/>
      <c r="D243" s="38"/>
      <c r="E243" s="38"/>
      <c r="F243" s="38"/>
      <c r="G243" s="38"/>
      <c r="H243" s="38"/>
      <c r="I243" s="38"/>
      <c r="J243" s="38"/>
      <c r="K243" s="38"/>
      <c r="L243" s="38"/>
      <c r="M243" s="38"/>
      <c r="N243" s="38"/>
      <c r="O243" s="38"/>
      <c r="P243" s="38"/>
      <c r="Q243" s="38"/>
      <c r="R243" s="38"/>
      <c r="S243" s="740">
        <v>1993.0</v>
      </c>
      <c r="T243" s="740">
        <v>137.2</v>
      </c>
      <c r="U243" s="38"/>
      <c r="V243" s="771">
        <v>15.9</v>
      </c>
      <c r="W243" s="252">
        <f t="shared" si="172"/>
        <v>0</v>
      </c>
      <c r="X243" s="252">
        <f t="shared" ref="X243:BB243" si="224">IF(AND(X$190-$A243&gt;$V$48,SUM($W243:W243)&lt;&gt;$V243),$V243,0)</f>
        <v>0</v>
      </c>
      <c r="Y243" s="252">
        <f t="shared" si="224"/>
        <v>0</v>
      </c>
      <c r="Z243" s="252">
        <f t="shared" si="224"/>
        <v>0</v>
      </c>
      <c r="AA243" s="252">
        <f t="shared" si="224"/>
        <v>0</v>
      </c>
      <c r="AB243" s="252">
        <f t="shared" si="224"/>
        <v>0</v>
      </c>
      <c r="AC243" s="252">
        <f t="shared" si="224"/>
        <v>0</v>
      </c>
      <c r="AD243" s="252">
        <f t="shared" si="224"/>
        <v>0</v>
      </c>
      <c r="AE243" s="252">
        <f t="shared" si="224"/>
        <v>0</v>
      </c>
      <c r="AF243" s="252">
        <f t="shared" si="224"/>
        <v>0</v>
      </c>
      <c r="AG243" s="252">
        <f t="shared" si="224"/>
        <v>0</v>
      </c>
      <c r="AH243" s="252">
        <f t="shared" si="224"/>
        <v>15.9</v>
      </c>
      <c r="AI243" s="252">
        <f t="shared" si="224"/>
        <v>0</v>
      </c>
      <c r="AJ243" s="252">
        <f t="shared" si="224"/>
        <v>0</v>
      </c>
      <c r="AK243" s="252">
        <f t="shared" si="224"/>
        <v>0</v>
      </c>
      <c r="AL243" s="252">
        <f t="shared" si="224"/>
        <v>0</v>
      </c>
      <c r="AM243" s="252">
        <f t="shared" si="224"/>
        <v>0</v>
      </c>
      <c r="AN243" s="252">
        <f t="shared" si="224"/>
        <v>0</v>
      </c>
      <c r="AO243" s="252">
        <f t="shared" si="224"/>
        <v>0</v>
      </c>
      <c r="AP243" s="252">
        <f t="shared" si="224"/>
        <v>0</v>
      </c>
      <c r="AQ243" s="252">
        <f t="shared" si="224"/>
        <v>0</v>
      </c>
      <c r="AR243" s="252">
        <f t="shared" si="224"/>
        <v>0</v>
      </c>
      <c r="AS243" s="252">
        <f t="shared" si="224"/>
        <v>0</v>
      </c>
      <c r="AT243" s="252">
        <f t="shared" si="224"/>
        <v>0</v>
      </c>
      <c r="AU243" s="252">
        <f t="shared" si="224"/>
        <v>0</v>
      </c>
      <c r="AV243" s="252">
        <f t="shared" si="224"/>
        <v>0</v>
      </c>
      <c r="AW243" s="252">
        <f t="shared" si="224"/>
        <v>0</v>
      </c>
      <c r="AX243" s="252">
        <f t="shared" si="224"/>
        <v>0</v>
      </c>
      <c r="AY243" s="252">
        <f t="shared" si="224"/>
        <v>0</v>
      </c>
      <c r="AZ243" s="252">
        <f t="shared" si="224"/>
        <v>0</v>
      </c>
      <c r="BA243" s="252">
        <f t="shared" si="224"/>
        <v>0</v>
      </c>
      <c r="BB243" s="252">
        <f t="shared" si="224"/>
        <v>0</v>
      </c>
    </row>
    <row r="244" ht="15.75" customHeight="1">
      <c r="A244" s="768">
        <v>1983.0</v>
      </c>
      <c r="B244" s="38"/>
      <c r="C244" s="38"/>
      <c r="D244" s="38"/>
      <c r="E244" s="38"/>
      <c r="F244" s="38"/>
      <c r="G244" s="38"/>
      <c r="H244" s="38"/>
      <c r="I244" s="38"/>
      <c r="J244" s="38"/>
      <c r="K244" s="38"/>
      <c r="L244" s="38"/>
      <c r="M244" s="38"/>
      <c r="N244" s="38"/>
      <c r="O244" s="38"/>
      <c r="P244" s="38"/>
      <c r="Q244" s="38"/>
      <c r="R244" s="38"/>
      <c r="S244" s="740">
        <v>1994.0</v>
      </c>
      <c r="T244" s="740">
        <v>533.6</v>
      </c>
      <c r="U244" s="38"/>
      <c r="V244" s="771">
        <v>16.8</v>
      </c>
      <c r="W244" s="252">
        <f t="shared" si="172"/>
        <v>0</v>
      </c>
      <c r="X244" s="252">
        <f t="shared" ref="X244:BB244" si="225">IF(AND(X$190-$A244&gt;$V$48,SUM($W244:W244)&lt;&gt;$V244),$V244,0)</f>
        <v>0</v>
      </c>
      <c r="Y244" s="252">
        <f t="shared" si="225"/>
        <v>0</v>
      </c>
      <c r="Z244" s="252">
        <f t="shared" si="225"/>
        <v>0</v>
      </c>
      <c r="AA244" s="252">
        <f t="shared" si="225"/>
        <v>0</v>
      </c>
      <c r="AB244" s="252">
        <f t="shared" si="225"/>
        <v>0</v>
      </c>
      <c r="AC244" s="252">
        <f t="shared" si="225"/>
        <v>0</v>
      </c>
      <c r="AD244" s="252">
        <f t="shared" si="225"/>
        <v>0</v>
      </c>
      <c r="AE244" s="252">
        <f t="shared" si="225"/>
        <v>0</v>
      </c>
      <c r="AF244" s="252">
        <f t="shared" si="225"/>
        <v>0</v>
      </c>
      <c r="AG244" s="252">
        <f t="shared" si="225"/>
        <v>0</v>
      </c>
      <c r="AH244" s="252">
        <f t="shared" si="225"/>
        <v>0</v>
      </c>
      <c r="AI244" s="252">
        <f t="shared" si="225"/>
        <v>16.8</v>
      </c>
      <c r="AJ244" s="252">
        <f t="shared" si="225"/>
        <v>0</v>
      </c>
      <c r="AK244" s="252">
        <f t="shared" si="225"/>
        <v>0</v>
      </c>
      <c r="AL244" s="252">
        <f t="shared" si="225"/>
        <v>0</v>
      </c>
      <c r="AM244" s="252">
        <f t="shared" si="225"/>
        <v>0</v>
      </c>
      <c r="AN244" s="252">
        <f t="shared" si="225"/>
        <v>0</v>
      </c>
      <c r="AO244" s="252">
        <f t="shared" si="225"/>
        <v>0</v>
      </c>
      <c r="AP244" s="252">
        <f t="shared" si="225"/>
        <v>0</v>
      </c>
      <c r="AQ244" s="252">
        <f t="shared" si="225"/>
        <v>0</v>
      </c>
      <c r="AR244" s="252">
        <f t="shared" si="225"/>
        <v>0</v>
      </c>
      <c r="AS244" s="252">
        <f t="shared" si="225"/>
        <v>0</v>
      </c>
      <c r="AT244" s="252">
        <f t="shared" si="225"/>
        <v>0</v>
      </c>
      <c r="AU244" s="252">
        <f t="shared" si="225"/>
        <v>0</v>
      </c>
      <c r="AV244" s="252">
        <f t="shared" si="225"/>
        <v>0</v>
      </c>
      <c r="AW244" s="252">
        <f t="shared" si="225"/>
        <v>0</v>
      </c>
      <c r="AX244" s="252">
        <f t="shared" si="225"/>
        <v>0</v>
      </c>
      <c r="AY244" s="252">
        <f t="shared" si="225"/>
        <v>0</v>
      </c>
      <c r="AZ244" s="252">
        <f t="shared" si="225"/>
        <v>0</v>
      </c>
      <c r="BA244" s="252">
        <f t="shared" si="225"/>
        <v>0</v>
      </c>
      <c r="BB244" s="252">
        <f t="shared" si="225"/>
        <v>0</v>
      </c>
    </row>
    <row r="245" ht="15.75" customHeight="1">
      <c r="A245" s="768">
        <v>1984.0</v>
      </c>
      <c r="B245" s="38"/>
      <c r="C245" s="38"/>
      <c r="D245" s="38"/>
      <c r="E245" s="38"/>
      <c r="F245" s="38"/>
      <c r="G245" s="38"/>
      <c r="H245" s="38"/>
      <c r="I245" s="38"/>
      <c r="J245" s="38"/>
      <c r="K245" s="38"/>
      <c r="L245" s="38"/>
      <c r="M245" s="38"/>
      <c r="N245" s="38"/>
      <c r="O245" s="38"/>
      <c r="P245" s="38"/>
      <c r="Q245" s="38"/>
      <c r="R245" s="38"/>
      <c r="S245" s="740">
        <v>1995.0</v>
      </c>
      <c r="T245" s="740">
        <v>1683.0</v>
      </c>
      <c r="U245" s="38"/>
      <c r="V245" s="771">
        <v>25.0</v>
      </c>
      <c r="W245" s="252">
        <f t="shared" si="172"/>
        <v>0</v>
      </c>
      <c r="X245" s="252">
        <f t="shared" ref="X245:BB245" si="226">IF(AND(X$190-$A245&gt;$V$48,SUM($W245:W245)&lt;&gt;$V245),$V245,0)</f>
        <v>0</v>
      </c>
      <c r="Y245" s="252">
        <f t="shared" si="226"/>
        <v>0</v>
      </c>
      <c r="Z245" s="252">
        <f t="shared" si="226"/>
        <v>0</v>
      </c>
      <c r="AA245" s="252">
        <f t="shared" si="226"/>
        <v>0</v>
      </c>
      <c r="AB245" s="252">
        <f t="shared" si="226"/>
        <v>0</v>
      </c>
      <c r="AC245" s="252">
        <f t="shared" si="226"/>
        <v>0</v>
      </c>
      <c r="AD245" s="252">
        <f t="shared" si="226"/>
        <v>0</v>
      </c>
      <c r="AE245" s="252">
        <f t="shared" si="226"/>
        <v>0</v>
      </c>
      <c r="AF245" s="252">
        <f t="shared" si="226"/>
        <v>0</v>
      </c>
      <c r="AG245" s="252">
        <f t="shared" si="226"/>
        <v>0</v>
      </c>
      <c r="AH245" s="252">
        <f t="shared" si="226"/>
        <v>0</v>
      </c>
      <c r="AI245" s="252">
        <f t="shared" si="226"/>
        <v>0</v>
      </c>
      <c r="AJ245" s="252">
        <f t="shared" si="226"/>
        <v>25</v>
      </c>
      <c r="AK245" s="252">
        <f t="shared" si="226"/>
        <v>0</v>
      </c>
      <c r="AL245" s="252">
        <f t="shared" si="226"/>
        <v>0</v>
      </c>
      <c r="AM245" s="252">
        <f t="shared" si="226"/>
        <v>0</v>
      </c>
      <c r="AN245" s="252">
        <f t="shared" si="226"/>
        <v>0</v>
      </c>
      <c r="AO245" s="252">
        <f t="shared" si="226"/>
        <v>0</v>
      </c>
      <c r="AP245" s="252">
        <f t="shared" si="226"/>
        <v>0</v>
      </c>
      <c r="AQ245" s="252">
        <f t="shared" si="226"/>
        <v>0</v>
      </c>
      <c r="AR245" s="252">
        <f t="shared" si="226"/>
        <v>0</v>
      </c>
      <c r="AS245" s="252">
        <f t="shared" si="226"/>
        <v>0</v>
      </c>
      <c r="AT245" s="252">
        <f t="shared" si="226"/>
        <v>0</v>
      </c>
      <c r="AU245" s="252">
        <f t="shared" si="226"/>
        <v>0</v>
      </c>
      <c r="AV245" s="252">
        <f t="shared" si="226"/>
        <v>0</v>
      </c>
      <c r="AW245" s="252">
        <f t="shared" si="226"/>
        <v>0</v>
      </c>
      <c r="AX245" s="252">
        <f t="shared" si="226"/>
        <v>0</v>
      </c>
      <c r="AY245" s="252">
        <f t="shared" si="226"/>
        <v>0</v>
      </c>
      <c r="AZ245" s="252">
        <f t="shared" si="226"/>
        <v>0</v>
      </c>
      <c r="BA245" s="252">
        <f t="shared" si="226"/>
        <v>0</v>
      </c>
      <c r="BB245" s="252">
        <f t="shared" si="226"/>
        <v>0</v>
      </c>
    </row>
    <row r="246" ht="15.75" customHeight="1">
      <c r="A246" s="768">
        <v>1985.0</v>
      </c>
      <c r="B246" s="38"/>
      <c r="C246" s="38"/>
      <c r="D246" s="38"/>
      <c r="E246" s="38"/>
      <c r="F246" s="38"/>
      <c r="G246" s="38"/>
      <c r="H246" s="38"/>
      <c r="I246" s="38"/>
      <c r="J246" s="38"/>
      <c r="K246" s="38"/>
      <c r="L246" s="38"/>
      <c r="M246" s="38"/>
      <c r="N246" s="38"/>
      <c r="O246" s="38"/>
      <c r="P246" s="38"/>
      <c r="Q246" s="38"/>
      <c r="R246" s="38"/>
      <c r="S246" s="740">
        <v>1996.0</v>
      </c>
      <c r="T246" s="740">
        <v>1767.4</v>
      </c>
      <c r="U246" s="38"/>
      <c r="V246" s="771">
        <v>101.7</v>
      </c>
      <c r="W246" s="252">
        <f t="shared" si="172"/>
        <v>0</v>
      </c>
      <c r="X246" s="252">
        <f t="shared" ref="X246:BB246" si="227">IF(AND(X$190-$A246&gt;$V$48,SUM($W246:W246)&lt;&gt;$V246),$V246,0)</f>
        <v>0</v>
      </c>
      <c r="Y246" s="252">
        <f t="shared" si="227"/>
        <v>0</v>
      </c>
      <c r="Z246" s="252">
        <f t="shared" si="227"/>
        <v>0</v>
      </c>
      <c r="AA246" s="252">
        <f t="shared" si="227"/>
        <v>0</v>
      </c>
      <c r="AB246" s="252">
        <f t="shared" si="227"/>
        <v>0</v>
      </c>
      <c r="AC246" s="252">
        <f t="shared" si="227"/>
        <v>0</v>
      </c>
      <c r="AD246" s="252">
        <f t="shared" si="227"/>
        <v>0</v>
      </c>
      <c r="AE246" s="252">
        <f t="shared" si="227"/>
        <v>0</v>
      </c>
      <c r="AF246" s="252">
        <f t="shared" si="227"/>
        <v>0</v>
      </c>
      <c r="AG246" s="252">
        <f t="shared" si="227"/>
        <v>0</v>
      </c>
      <c r="AH246" s="252">
        <f t="shared" si="227"/>
        <v>0</v>
      </c>
      <c r="AI246" s="252">
        <f t="shared" si="227"/>
        <v>0</v>
      </c>
      <c r="AJ246" s="252">
        <f t="shared" si="227"/>
        <v>0</v>
      </c>
      <c r="AK246" s="252">
        <f t="shared" si="227"/>
        <v>101.7</v>
      </c>
      <c r="AL246" s="252">
        <f t="shared" si="227"/>
        <v>0</v>
      </c>
      <c r="AM246" s="252">
        <f t="shared" si="227"/>
        <v>0</v>
      </c>
      <c r="AN246" s="252">
        <f t="shared" si="227"/>
        <v>0</v>
      </c>
      <c r="AO246" s="252">
        <f t="shared" si="227"/>
        <v>0</v>
      </c>
      <c r="AP246" s="252">
        <f t="shared" si="227"/>
        <v>0</v>
      </c>
      <c r="AQ246" s="252">
        <f t="shared" si="227"/>
        <v>0</v>
      </c>
      <c r="AR246" s="252">
        <f t="shared" si="227"/>
        <v>0</v>
      </c>
      <c r="AS246" s="252">
        <f t="shared" si="227"/>
        <v>0</v>
      </c>
      <c r="AT246" s="252">
        <f t="shared" si="227"/>
        <v>0</v>
      </c>
      <c r="AU246" s="252">
        <f t="shared" si="227"/>
        <v>0</v>
      </c>
      <c r="AV246" s="252">
        <f t="shared" si="227"/>
        <v>0</v>
      </c>
      <c r="AW246" s="252">
        <f t="shared" si="227"/>
        <v>0</v>
      </c>
      <c r="AX246" s="252">
        <f t="shared" si="227"/>
        <v>0</v>
      </c>
      <c r="AY246" s="252">
        <f t="shared" si="227"/>
        <v>0</v>
      </c>
      <c r="AZ246" s="252">
        <f t="shared" si="227"/>
        <v>0</v>
      </c>
      <c r="BA246" s="252">
        <f t="shared" si="227"/>
        <v>0</v>
      </c>
      <c r="BB246" s="252">
        <f t="shared" si="227"/>
        <v>0</v>
      </c>
    </row>
    <row r="247" ht="15.75" customHeight="1">
      <c r="A247" s="768">
        <v>1986.0</v>
      </c>
      <c r="B247" s="38"/>
      <c r="C247" s="38"/>
      <c r="D247" s="38"/>
      <c r="E247" s="38"/>
      <c r="F247" s="38"/>
      <c r="G247" s="38"/>
      <c r="H247" s="38"/>
      <c r="I247" s="38"/>
      <c r="J247" s="38"/>
      <c r="K247" s="38"/>
      <c r="L247" s="38"/>
      <c r="M247" s="38"/>
      <c r="N247" s="38"/>
      <c r="O247" s="38"/>
      <c r="P247" s="38"/>
      <c r="Q247" s="38"/>
      <c r="R247" s="38"/>
      <c r="S247" s="740">
        <v>1997.0</v>
      </c>
      <c r="T247" s="740">
        <v>78.7</v>
      </c>
      <c r="U247" s="38"/>
      <c r="V247" s="771">
        <v>50.4</v>
      </c>
      <c r="W247" s="252">
        <f t="shared" si="172"/>
        <v>0</v>
      </c>
      <c r="X247" s="252">
        <f t="shared" ref="X247:BB247" si="228">IF(AND(X$190-$A247&gt;$V$48,SUM($W247:W247)&lt;&gt;$V247),$V247,0)</f>
        <v>0</v>
      </c>
      <c r="Y247" s="252">
        <f t="shared" si="228"/>
        <v>0</v>
      </c>
      <c r="Z247" s="252">
        <f t="shared" si="228"/>
        <v>0</v>
      </c>
      <c r="AA247" s="252">
        <f t="shared" si="228"/>
        <v>0</v>
      </c>
      <c r="AB247" s="252">
        <f t="shared" si="228"/>
        <v>0</v>
      </c>
      <c r="AC247" s="252">
        <f t="shared" si="228"/>
        <v>0</v>
      </c>
      <c r="AD247" s="252">
        <f t="shared" si="228"/>
        <v>0</v>
      </c>
      <c r="AE247" s="252">
        <f t="shared" si="228"/>
        <v>0</v>
      </c>
      <c r="AF247" s="252">
        <f t="shared" si="228"/>
        <v>0</v>
      </c>
      <c r="AG247" s="252">
        <f t="shared" si="228"/>
        <v>0</v>
      </c>
      <c r="AH247" s="252">
        <f t="shared" si="228"/>
        <v>0</v>
      </c>
      <c r="AI247" s="252">
        <f t="shared" si="228"/>
        <v>0</v>
      </c>
      <c r="AJ247" s="252">
        <f t="shared" si="228"/>
        <v>0</v>
      </c>
      <c r="AK247" s="252">
        <f t="shared" si="228"/>
        <v>0</v>
      </c>
      <c r="AL247" s="252">
        <f t="shared" si="228"/>
        <v>50.4</v>
      </c>
      <c r="AM247" s="252">
        <f t="shared" si="228"/>
        <v>0</v>
      </c>
      <c r="AN247" s="252">
        <f t="shared" si="228"/>
        <v>0</v>
      </c>
      <c r="AO247" s="252">
        <f t="shared" si="228"/>
        <v>0</v>
      </c>
      <c r="AP247" s="252">
        <f t="shared" si="228"/>
        <v>0</v>
      </c>
      <c r="AQ247" s="252">
        <f t="shared" si="228"/>
        <v>0</v>
      </c>
      <c r="AR247" s="252">
        <f t="shared" si="228"/>
        <v>0</v>
      </c>
      <c r="AS247" s="252">
        <f t="shared" si="228"/>
        <v>0</v>
      </c>
      <c r="AT247" s="252">
        <f t="shared" si="228"/>
        <v>0</v>
      </c>
      <c r="AU247" s="252">
        <f t="shared" si="228"/>
        <v>0</v>
      </c>
      <c r="AV247" s="252">
        <f t="shared" si="228"/>
        <v>0</v>
      </c>
      <c r="AW247" s="252">
        <f t="shared" si="228"/>
        <v>0</v>
      </c>
      <c r="AX247" s="252">
        <f t="shared" si="228"/>
        <v>0</v>
      </c>
      <c r="AY247" s="252">
        <f t="shared" si="228"/>
        <v>0</v>
      </c>
      <c r="AZ247" s="252">
        <f t="shared" si="228"/>
        <v>0</v>
      </c>
      <c r="BA247" s="252">
        <f t="shared" si="228"/>
        <v>0</v>
      </c>
      <c r="BB247" s="252">
        <f t="shared" si="228"/>
        <v>0</v>
      </c>
    </row>
    <row r="248" ht="15.75" customHeight="1">
      <c r="A248" s="768">
        <v>1987.0</v>
      </c>
      <c r="B248" s="38"/>
      <c r="C248" s="38"/>
      <c r="D248" s="38"/>
      <c r="E248" s="38"/>
      <c r="F248" s="38"/>
      <c r="G248" s="38"/>
      <c r="H248" s="38"/>
      <c r="I248" s="38"/>
      <c r="J248" s="38"/>
      <c r="K248" s="38"/>
      <c r="L248" s="38"/>
      <c r="M248" s="38"/>
      <c r="N248" s="38"/>
      <c r="O248" s="38"/>
      <c r="P248" s="38"/>
      <c r="Q248" s="38"/>
      <c r="R248" s="38"/>
      <c r="S248" s="740">
        <v>1998.0</v>
      </c>
      <c r="T248" s="740">
        <v>2.8</v>
      </c>
      <c r="U248" s="38"/>
      <c r="V248" s="771">
        <v>0.0</v>
      </c>
      <c r="W248" s="252">
        <f t="shared" si="172"/>
        <v>0</v>
      </c>
      <c r="X248" s="252">
        <f t="shared" ref="X248:BB248" si="229">IF(AND(X$190-$A248&gt;$V$48,SUM($W248:W248)&lt;&gt;$V248),$V248,0)</f>
        <v>0</v>
      </c>
      <c r="Y248" s="252">
        <f t="shared" si="229"/>
        <v>0</v>
      </c>
      <c r="Z248" s="252">
        <f t="shared" si="229"/>
        <v>0</v>
      </c>
      <c r="AA248" s="252">
        <f t="shared" si="229"/>
        <v>0</v>
      </c>
      <c r="AB248" s="252">
        <f t="shared" si="229"/>
        <v>0</v>
      </c>
      <c r="AC248" s="252">
        <f t="shared" si="229"/>
        <v>0</v>
      </c>
      <c r="AD248" s="252">
        <f t="shared" si="229"/>
        <v>0</v>
      </c>
      <c r="AE248" s="252">
        <f t="shared" si="229"/>
        <v>0</v>
      </c>
      <c r="AF248" s="252">
        <f t="shared" si="229"/>
        <v>0</v>
      </c>
      <c r="AG248" s="252">
        <f t="shared" si="229"/>
        <v>0</v>
      </c>
      <c r="AH248" s="252">
        <f t="shared" si="229"/>
        <v>0</v>
      </c>
      <c r="AI248" s="252">
        <f t="shared" si="229"/>
        <v>0</v>
      </c>
      <c r="AJ248" s="252">
        <f t="shared" si="229"/>
        <v>0</v>
      </c>
      <c r="AK248" s="252">
        <f t="shared" si="229"/>
        <v>0</v>
      </c>
      <c r="AL248" s="252">
        <f t="shared" si="229"/>
        <v>0</v>
      </c>
      <c r="AM248" s="252">
        <f t="shared" si="229"/>
        <v>0</v>
      </c>
      <c r="AN248" s="252">
        <f t="shared" si="229"/>
        <v>0</v>
      </c>
      <c r="AO248" s="252">
        <f t="shared" si="229"/>
        <v>0</v>
      </c>
      <c r="AP248" s="252">
        <f t="shared" si="229"/>
        <v>0</v>
      </c>
      <c r="AQ248" s="252">
        <f t="shared" si="229"/>
        <v>0</v>
      </c>
      <c r="AR248" s="252">
        <f t="shared" si="229"/>
        <v>0</v>
      </c>
      <c r="AS248" s="252">
        <f t="shared" si="229"/>
        <v>0</v>
      </c>
      <c r="AT248" s="252">
        <f t="shared" si="229"/>
        <v>0</v>
      </c>
      <c r="AU248" s="252">
        <f t="shared" si="229"/>
        <v>0</v>
      </c>
      <c r="AV248" s="252">
        <f t="shared" si="229"/>
        <v>0</v>
      </c>
      <c r="AW248" s="252">
        <f t="shared" si="229"/>
        <v>0</v>
      </c>
      <c r="AX248" s="252">
        <f t="shared" si="229"/>
        <v>0</v>
      </c>
      <c r="AY248" s="252">
        <f t="shared" si="229"/>
        <v>0</v>
      </c>
      <c r="AZ248" s="252">
        <f t="shared" si="229"/>
        <v>0</v>
      </c>
      <c r="BA248" s="252">
        <f t="shared" si="229"/>
        <v>0</v>
      </c>
      <c r="BB248" s="252">
        <f t="shared" si="229"/>
        <v>0</v>
      </c>
    </row>
    <row r="249" ht="15.75" customHeight="1">
      <c r="A249" s="768">
        <v>1988.0</v>
      </c>
      <c r="B249" s="38"/>
      <c r="C249" s="38"/>
      <c r="D249" s="38"/>
      <c r="E249" s="38"/>
      <c r="F249" s="38"/>
      <c r="G249" s="38"/>
      <c r="H249" s="38"/>
      <c r="I249" s="38"/>
      <c r="J249" s="38"/>
      <c r="K249" s="38"/>
      <c r="L249" s="38"/>
      <c r="M249" s="38"/>
      <c r="N249" s="38"/>
      <c r="O249" s="38"/>
      <c r="P249" s="38"/>
      <c r="Q249" s="38"/>
      <c r="R249" s="38"/>
      <c r="S249" s="740">
        <v>1999.0</v>
      </c>
      <c r="T249" s="740">
        <v>180.0</v>
      </c>
      <c r="U249" s="38"/>
      <c r="V249" s="771">
        <v>0.0</v>
      </c>
      <c r="W249" s="252">
        <f t="shared" si="172"/>
        <v>0</v>
      </c>
      <c r="X249" s="252">
        <f t="shared" ref="X249:BB249" si="230">IF(AND(X$190-$A249&gt;$V$48,SUM($W249:W249)&lt;&gt;$V249),$V249,0)</f>
        <v>0</v>
      </c>
      <c r="Y249" s="252">
        <f t="shared" si="230"/>
        <v>0</v>
      </c>
      <c r="Z249" s="252">
        <f t="shared" si="230"/>
        <v>0</v>
      </c>
      <c r="AA249" s="252">
        <f t="shared" si="230"/>
        <v>0</v>
      </c>
      <c r="AB249" s="252">
        <f t="shared" si="230"/>
        <v>0</v>
      </c>
      <c r="AC249" s="252">
        <f t="shared" si="230"/>
        <v>0</v>
      </c>
      <c r="AD249" s="252">
        <f t="shared" si="230"/>
        <v>0</v>
      </c>
      <c r="AE249" s="252">
        <f t="shared" si="230"/>
        <v>0</v>
      </c>
      <c r="AF249" s="252">
        <f t="shared" si="230"/>
        <v>0</v>
      </c>
      <c r="AG249" s="252">
        <f t="shared" si="230"/>
        <v>0</v>
      </c>
      <c r="AH249" s="252">
        <f t="shared" si="230"/>
        <v>0</v>
      </c>
      <c r="AI249" s="252">
        <f t="shared" si="230"/>
        <v>0</v>
      </c>
      <c r="AJ249" s="252">
        <f t="shared" si="230"/>
        <v>0</v>
      </c>
      <c r="AK249" s="252">
        <f t="shared" si="230"/>
        <v>0</v>
      </c>
      <c r="AL249" s="252">
        <f t="shared" si="230"/>
        <v>0</v>
      </c>
      <c r="AM249" s="252">
        <f t="shared" si="230"/>
        <v>0</v>
      </c>
      <c r="AN249" s="252">
        <f t="shared" si="230"/>
        <v>0</v>
      </c>
      <c r="AO249" s="252">
        <f t="shared" si="230"/>
        <v>0</v>
      </c>
      <c r="AP249" s="252">
        <f t="shared" si="230"/>
        <v>0</v>
      </c>
      <c r="AQ249" s="252">
        <f t="shared" si="230"/>
        <v>0</v>
      </c>
      <c r="AR249" s="252">
        <f t="shared" si="230"/>
        <v>0</v>
      </c>
      <c r="AS249" s="252">
        <f t="shared" si="230"/>
        <v>0</v>
      </c>
      <c r="AT249" s="252">
        <f t="shared" si="230"/>
        <v>0</v>
      </c>
      <c r="AU249" s="252">
        <f t="shared" si="230"/>
        <v>0</v>
      </c>
      <c r="AV249" s="252">
        <f t="shared" si="230"/>
        <v>0</v>
      </c>
      <c r="AW249" s="252">
        <f t="shared" si="230"/>
        <v>0</v>
      </c>
      <c r="AX249" s="252">
        <f t="shared" si="230"/>
        <v>0</v>
      </c>
      <c r="AY249" s="252">
        <f t="shared" si="230"/>
        <v>0</v>
      </c>
      <c r="AZ249" s="252">
        <f t="shared" si="230"/>
        <v>0</v>
      </c>
      <c r="BA249" s="252">
        <f t="shared" si="230"/>
        <v>0</v>
      </c>
      <c r="BB249" s="252">
        <f t="shared" si="230"/>
        <v>0</v>
      </c>
    </row>
    <row r="250" ht="15.75" customHeight="1">
      <c r="A250" s="768">
        <v>1989.0</v>
      </c>
      <c r="B250" s="38"/>
      <c r="C250" s="38"/>
      <c r="D250" s="38"/>
      <c r="E250" s="38"/>
      <c r="F250" s="38"/>
      <c r="G250" s="38"/>
      <c r="H250" s="38"/>
      <c r="I250" s="38"/>
      <c r="J250" s="38"/>
      <c r="K250" s="38"/>
      <c r="L250" s="38"/>
      <c r="M250" s="38"/>
      <c r="N250" s="38"/>
      <c r="O250" s="38"/>
      <c r="P250" s="38"/>
      <c r="Q250" s="38"/>
      <c r="R250" s="38"/>
      <c r="S250" s="740">
        <v>2000.0</v>
      </c>
      <c r="T250" s="740">
        <v>133.2</v>
      </c>
      <c r="U250" s="38"/>
      <c r="V250" s="771">
        <v>37.1</v>
      </c>
      <c r="W250" s="252">
        <f t="shared" si="172"/>
        <v>0</v>
      </c>
      <c r="X250" s="252">
        <f t="shared" ref="X250:BB250" si="231">IF(AND(X$190-$A250&gt;$V$48,SUM($W250:W250)&lt;&gt;$V250),$V250,0)</f>
        <v>0</v>
      </c>
      <c r="Y250" s="252">
        <f t="shared" si="231"/>
        <v>0</v>
      </c>
      <c r="Z250" s="252">
        <f t="shared" si="231"/>
        <v>0</v>
      </c>
      <c r="AA250" s="252">
        <f t="shared" si="231"/>
        <v>0</v>
      </c>
      <c r="AB250" s="252">
        <f t="shared" si="231"/>
        <v>0</v>
      </c>
      <c r="AC250" s="252">
        <f t="shared" si="231"/>
        <v>0</v>
      </c>
      <c r="AD250" s="252">
        <f t="shared" si="231"/>
        <v>0</v>
      </c>
      <c r="AE250" s="252">
        <f t="shared" si="231"/>
        <v>0</v>
      </c>
      <c r="AF250" s="252">
        <f t="shared" si="231"/>
        <v>0</v>
      </c>
      <c r="AG250" s="252">
        <f t="shared" si="231"/>
        <v>0</v>
      </c>
      <c r="AH250" s="252">
        <f t="shared" si="231"/>
        <v>0</v>
      </c>
      <c r="AI250" s="252">
        <f t="shared" si="231"/>
        <v>0</v>
      </c>
      <c r="AJ250" s="252">
        <f t="shared" si="231"/>
        <v>0</v>
      </c>
      <c r="AK250" s="252">
        <f t="shared" si="231"/>
        <v>0</v>
      </c>
      <c r="AL250" s="252">
        <f t="shared" si="231"/>
        <v>0</v>
      </c>
      <c r="AM250" s="252">
        <f t="shared" si="231"/>
        <v>0</v>
      </c>
      <c r="AN250" s="252">
        <f t="shared" si="231"/>
        <v>0</v>
      </c>
      <c r="AO250" s="252">
        <f t="shared" si="231"/>
        <v>37.1</v>
      </c>
      <c r="AP250" s="252">
        <f t="shared" si="231"/>
        <v>0</v>
      </c>
      <c r="AQ250" s="252">
        <f t="shared" si="231"/>
        <v>0</v>
      </c>
      <c r="AR250" s="252">
        <f t="shared" si="231"/>
        <v>0</v>
      </c>
      <c r="AS250" s="252">
        <f t="shared" si="231"/>
        <v>0</v>
      </c>
      <c r="AT250" s="252">
        <f t="shared" si="231"/>
        <v>0</v>
      </c>
      <c r="AU250" s="252">
        <f t="shared" si="231"/>
        <v>0</v>
      </c>
      <c r="AV250" s="252">
        <f t="shared" si="231"/>
        <v>0</v>
      </c>
      <c r="AW250" s="252">
        <f t="shared" si="231"/>
        <v>0</v>
      </c>
      <c r="AX250" s="252">
        <f t="shared" si="231"/>
        <v>0</v>
      </c>
      <c r="AY250" s="252">
        <f t="shared" si="231"/>
        <v>0</v>
      </c>
      <c r="AZ250" s="252">
        <f t="shared" si="231"/>
        <v>0</v>
      </c>
      <c r="BA250" s="252">
        <f t="shared" si="231"/>
        <v>0</v>
      </c>
      <c r="BB250" s="252">
        <f t="shared" si="231"/>
        <v>0</v>
      </c>
    </row>
    <row r="251" ht="15.75" customHeight="1">
      <c r="A251" s="768">
        <v>1990.0</v>
      </c>
      <c r="B251" s="38"/>
      <c r="C251" s="38"/>
      <c r="D251" s="38"/>
      <c r="E251" s="38"/>
      <c r="F251" s="38"/>
      <c r="G251" s="38"/>
      <c r="H251" s="38"/>
      <c r="I251" s="38"/>
      <c r="J251" s="38"/>
      <c r="K251" s="38"/>
      <c r="L251" s="38"/>
      <c r="M251" s="38"/>
      <c r="N251" s="38"/>
      <c r="O251" s="38"/>
      <c r="P251" s="38"/>
      <c r="Q251" s="38"/>
      <c r="R251" s="38"/>
      <c r="S251" s="740">
        <v>2001.0</v>
      </c>
      <c r="T251" s="740">
        <v>440.0</v>
      </c>
      <c r="U251" s="38"/>
      <c r="V251" s="771">
        <v>0.0</v>
      </c>
      <c r="W251" s="252">
        <f t="shared" si="172"/>
        <v>0</v>
      </c>
      <c r="X251" s="252">
        <f t="shared" ref="X251:BB251" si="232">IF(AND(X$190-$A251&gt;$V$48,SUM($W251:W251)&lt;&gt;$V251),$V251,0)</f>
        <v>0</v>
      </c>
      <c r="Y251" s="252">
        <f t="shared" si="232"/>
        <v>0</v>
      </c>
      <c r="Z251" s="252">
        <f t="shared" si="232"/>
        <v>0</v>
      </c>
      <c r="AA251" s="252">
        <f t="shared" si="232"/>
        <v>0</v>
      </c>
      <c r="AB251" s="252">
        <f t="shared" si="232"/>
        <v>0</v>
      </c>
      <c r="AC251" s="252">
        <f t="shared" si="232"/>
        <v>0</v>
      </c>
      <c r="AD251" s="252">
        <f t="shared" si="232"/>
        <v>0</v>
      </c>
      <c r="AE251" s="252">
        <f t="shared" si="232"/>
        <v>0</v>
      </c>
      <c r="AF251" s="252">
        <f t="shared" si="232"/>
        <v>0</v>
      </c>
      <c r="AG251" s="252">
        <f t="shared" si="232"/>
        <v>0</v>
      </c>
      <c r="AH251" s="252">
        <f t="shared" si="232"/>
        <v>0</v>
      </c>
      <c r="AI251" s="252">
        <f t="shared" si="232"/>
        <v>0</v>
      </c>
      <c r="AJ251" s="252">
        <f t="shared" si="232"/>
        <v>0</v>
      </c>
      <c r="AK251" s="252">
        <f t="shared" si="232"/>
        <v>0</v>
      </c>
      <c r="AL251" s="252">
        <f t="shared" si="232"/>
        <v>0</v>
      </c>
      <c r="AM251" s="252">
        <f t="shared" si="232"/>
        <v>0</v>
      </c>
      <c r="AN251" s="252">
        <f t="shared" si="232"/>
        <v>0</v>
      </c>
      <c r="AO251" s="252">
        <f t="shared" si="232"/>
        <v>0</v>
      </c>
      <c r="AP251" s="252">
        <f t="shared" si="232"/>
        <v>0</v>
      </c>
      <c r="AQ251" s="252">
        <f t="shared" si="232"/>
        <v>0</v>
      </c>
      <c r="AR251" s="252">
        <f t="shared" si="232"/>
        <v>0</v>
      </c>
      <c r="AS251" s="252">
        <f t="shared" si="232"/>
        <v>0</v>
      </c>
      <c r="AT251" s="252">
        <f t="shared" si="232"/>
        <v>0</v>
      </c>
      <c r="AU251" s="252">
        <f t="shared" si="232"/>
        <v>0</v>
      </c>
      <c r="AV251" s="252">
        <f t="shared" si="232"/>
        <v>0</v>
      </c>
      <c r="AW251" s="252">
        <f t="shared" si="232"/>
        <v>0</v>
      </c>
      <c r="AX251" s="252">
        <f t="shared" si="232"/>
        <v>0</v>
      </c>
      <c r="AY251" s="252">
        <f t="shared" si="232"/>
        <v>0</v>
      </c>
      <c r="AZ251" s="252">
        <f t="shared" si="232"/>
        <v>0</v>
      </c>
      <c r="BA251" s="252">
        <f t="shared" si="232"/>
        <v>0</v>
      </c>
      <c r="BB251" s="252">
        <f t="shared" si="232"/>
        <v>0</v>
      </c>
    </row>
    <row r="252" ht="15.75" customHeight="1">
      <c r="A252" s="768">
        <v>1991.0</v>
      </c>
      <c r="B252" s="38"/>
      <c r="C252" s="38"/>
      <c r="D252" s="38"/>
      <c r="E252" s="38"/>
      <c r="F252" s="38"/>
      <c r="G252" s="38"/>
      <c r="H252" s="38"/>
      <c r="I252" s="38"/>
      <c r="J252" s="38"/>
      <c r="K252" s="38"/>
      <c r="L252" s="38"/>
      <c r="M252" s="38"/>
      <c r="N252" s="38"/>
      <c r="O252" s="38"/>
      <c r="P252" s="38"/>
      <c r="Q252" s="38"/>
      <c r="R252" s="38"/>
      <c r="S252" s="740">
        <v>2003.0</v>
      </c>
      <c r="T252" s="740">
        <v>85.0</v>
      </c>
      <c r="U252" s="38"/>
      <c r="V252" s="771">
        <v>126.2</v>
      </c>
      <c r="W252" s="252">
        <f t="shared" si="172"/>
        <v>0</v>
      </c>
      <c r="X252" s="252">
        <f t="shared" ref="X252:BB252" si="233">IF(AND(X$190-$A252&gt;$V$48,SUM($W252:W252)&lt;&gt;$V252),$V252,0)</f>
        <v>0</v>
      </c>
      <c r="Y252" s="252">
        <f t="shared" si="233"/>
        <v>0</v>
      </c>
      <c r="Z252" s="252">
        <f t="shared" si="233"/>
        <v>0</v>
      </c>
      <c r="AA252" s="252">
        <f t="shared" si="233"/>
        <v>0</v>
      </c>
      <c r="AB252" s="252">
        <f t="shared" si="233"/>
        <v>0</v>
      </c>
      <c r="AC252" s="252">
        <f t="shared" si="233"/>
        <v>0</v>
      </c>
      <c r="AD252" s="252">
        <f t="shared" si="233"/>
        <v>0</v>
      </c>
      <c r="AE252" s="252">
        <f t="shared" si="233"/>
        <v>0</v>
      </c>
      <c r="AF252" s="252">
        <f t="shared" si="233"/>
        <v>0</v>
      </c>
      <c r="AG252" s="252">
        <f t="shared" si="233"/>
        <v>0</v>
      </c>
      <c r="AH252" s="252">
        <f t="shared" si="233"/>
        <v>0</v>
      </c>
      <c r="AI252" s="252">
        <f t="shared" si="233"/>
        <v>0</v>
      </c>
      <c r="AJ252" s="252">
        <f t="shared" si="233"/>
        <v>0</v>
      </c>
      <c r="AK252" s="252">
        <f t="shared" si="233"/>
        <v>0</v>
      </c>
      <c r="AL252" s="252">
        <f t="shared" si="233"/>
        <v>0</v>
      </c>
      <c r="AM252" s="252">
        <f t="shared" si="233"/>
        <v>0</v>
      </c>
      <c r="AN252" s="252">
        <f t="shared" si="233"/>
        <v>0</v>
      </c>
      <c r="AO252" s="252">
        <f t="shared" si="233"/>
        <v>0</v>
      </c>
      <c r="AP252" s="252">
        <f t="shared" si="233"/>
        <v>0</v>
      </c>
      <c r="AQ252" s="252">
        <f t="shared" si="233"/>
        <v>126.2</v>
      </c>
      <c r="AR252" s="252">
        <f t="shared" si="233"/>
        <v>0</v>
      </c>
      <c r="AS252" s="252">
        <f t="shared" si="233"/>
        <v>0</v>
      </c>
      <c r="AT252" s="252">
        <f t="shared" si="233"/>
        <v>0</v>
      </c>
      <c r="AU252" s="252">
        <f t="shared" si="233"/>
        <v>0</v>
      </c>
      <c r="AV252" s="252">
        <f t="shared" si="233"/>
        <v>0</v>
      </c>
      <c r="AW252" s="252">
        <f t="shared" si="233"/>
        <v>0</v>
      </c>
      <c r="AX252" s="252">
        <f t="shared" si="233"/>
        <v>0</v>
      </c>
      <c r="AY252" s="252">
        <f t="shared" si="233"/>
        <v>0</v>
      </c>
      <c r="AZ252" s="252">
        <f t="shared" si="233"/>
        <v>0</v>
      </c>
      <c r="BA252" s="252">
        <f t="shared" si="233"/>
        <v>0</v>
      </c>
      <c r="BB252" s="252">
        <f t="shared" si="233"/>
        <v>0</v>
      </c>
    </row>
    <row r="253" ht="15.75" customHeight="1">
      <c r="A253" s="768">
        <v>1992.0</v>
      </c>
      <c r="B253" s="38"/>
      <c r="C253" s="38"/>
      <c r="D253" s="38"/>
      <c r="E253" s="38"/>
      <c r="F253" s="38"/>
      <c r="G253" s="38"/>
      <c r="H253" s="38"/>
      <c r="I253" s="38"/>
      <c r="J253" s="38"/>
      <c r="K253" s="38"/>
      <c r="L253" s="38"/>
      <c r="M253" s="38"/>
      <c r="N253" s="38"/>
      <c r="O253" s="38"/>
      <c r="P253" s="38"/>
      <c r="Q253" s="38"/>
      <c r="R253" s="38"/>
      <c r="S253" s="740">
        <v>2004.0</v>
      </c>
      <c r="T253" s="740">
        <v>521.0</v>
      </c>
      <c r="U253" s="38"/>
      <c r="V253" s="771">
        <v>38.9</v>
      </c>
      <c r="W253" s="252">
        <f t="shared" si="172"/>
        <v>0</v>
      </c>
      <c r="X253" s="252">
        <f t="shared" ref="X253:BB253" si="234">IF(AND(X$190-$A253&gt;$V$48,SUM($W253:W253)&lt;&gt;$V253),$V253,0)</f>
        <v>0</v>
      </c>
      <c r="Y253" s="252">
        <f t="shared" si="234"/>
        <v>0</v>
      </c>
      <c r="Z253" s="252">
        <f t="shared" si="234"/>
        <v>0</v>
      </c>
      <c r="AA253" s="252">
        <f t="shared" si="234"/>
        <v>0</v>
      </c>
      <c r="AB253" s="252">
        <f t="shared" si="234"/>
        <v>0</v>
      </c>
      <c r="AC253" s="252">
        <f t="shared" si="234"/>
        <v>0</v>
      </c>
      <c r="AD253" s="252">
        <f t="shared" si="234"/>
        <v>0</v>
      </c>
      <c r="AE253" s="252">
        <f t="shared" si="234"/>
        <v>0</v>
      </c>
      <c r="AF253" s="252">
        <f t="shared" si="234"/>
        <v>0</v>
      </c>
      <c r="AG253" s="252">
        <f t="shared" si="234"/>
        <v>0</v>
      </c>
      <c r="AH253" s="252">
        <f t="shared" si="234"/>
        <v>0</v>
      </c>
      <c r="AI253" s="252">
        <f t="shared" si="234"/>
        <v>0</v>
      </c>
      <c r="AJ253" s="252">
        <f t="shared" si="234"/>
        <v>0</v>
      </c>
      <c r="AK253" s="252">
        <f t="shared" si="234"/>
        <v>0</v>
      </c>
      <c r="AL253" s="252">
        <f t="shared" si="234"/>
        <v>0</v>
      </c>
      <c r="AM253" s="252">
        <f t="shared" si="234"/>
        <v>0</v>
      </c>
      <c r="AN253" s="252">
        <f t="shared" si="234"/>
        <v>0</v>
      </c>
      <c r="AO253" s="252">
        <f t="shared" si="234"/>
        <v>0</v>
      </c>
      <c r="AP253" s="252">
        <f t="shared" si="234"/>
        <v>0</v>
      </c>
      <c r="AQ253" s="252">
        <f t="shared" si="234"/>
        <v>0</v>
      </c>
      <c r="AR253" s="252">
        <f t="shared" si="234"/>
        <v>38.9</v>
      </c>
      <c r="AS253" s="252">
        <f t="shared" si="234"/>
        <v>0</v>
      </c>
      <c r="AT253" s="252">
        <f t="shared" si="234"/>
        <v>0</v>
      </c>
      <c r="AU253" s="252">
        <f t="shared" si="234"/>
        <v>0</v>
      </c>
      <c r="AV253" s="252">
        <f t="shared" si="234"/>
        <v>0</v>
      </c>
      <c r="AW253" s="252">
        <f t="shared" si="234"/>
        <v>0</v>
      </c>
      <c r="AX253" s="252">
        <f t="shared" si="234"/>
        <v>0</v>
      </c>
      <c r="AY253" s="252">
        <f t="shared" si="234"/>
        <v>0</v>
      </c>
      <c r="AZ253" s="252">
        <f t="shared" si="234"/>
        <v>0</v>
      </c>
      <c r="BA253" s="252">
        <f t="shared" si="234"/>
        <v>0</v>
      </c>
      <c r="BB253" s="252">
        <f t="shared" si="234"/>
        <v>0</v>
      </c>
    </row>
    <row r="254" ht="15.75" customHeight="1">
      <c r="A254" s="768">
        <v>1993.0</v>
      </c>
      <c r="B254" s="38"/>
      <c r="C254" s="38"/>
      <c r="D254" s="38"/>
      <c r="E254" s="38"/>
      <c r="F254" s="38"/>
      <c r="G254" s="38"/>
      <c r="H254" s="38"/>
      <c r="I254" s="38"/>
      <c r="J254" s="38"/>
      <c r="K254" s="38"/>
      <c r="L254" s="38"/>
      <c r="M254" s="38"/>
      <c r="N254" s="38"/>
      <c r="O254" s="38"/>
      <c r="P254" s="38"/>
      <c r="Q254" s="38"/>
      <c r="R254" s="38"/>
      <c r="S254" s="740">
        <v>2005.0</v>
      </c>
      <c r="T254" s="740">
        <v>388.1</v>
      </c>
      <c r="U254" s="38"/>
      <c r="V254" s="771">
        <v>23.0</v>
      </c>
      <c r="W254" s="252">
        <f t="shared" si="172"/>
        <v>0</v>
      </c>
      <c r="X254" s="252">
        <f t="shared" ref="X254:BB254" si="235">IF(AND(X$190-$A254&gt;$V$48,SUM($W254:W254)&lt;&gt;$V254),$V254,0)</f>
        <v>0</v>
      </c>
      <c r="Y254" s="252">
        <f t="shared" si="235"/>
        <v>0</v>
      </c>
      <c r="Z254" s="252">
        <f t="shared" si="235"/>
        <v>0</v>
      </c>
      <c r="AA254" s="252">
        <f t="shared" si="235"/>
        <v>0</v>
      </c>
      <c r="AB254" s="252">
        <f t="shared" si="235"/>
        <v>0</v>
      </c>
      <c r="AC254" s="252">
        <f t="shared" si="235"/>
        <v>0</v>
      </c>
      <c r="AD254" s="252">
        <f t="shared" si="235"/>
        <v>0</v>
      </c>
      <c r="AE254" s="252">
        <f t="shared" si="235"/>
        <v>0</v>
      </c>
      <c r="AF254" s="252">
        <f t="shared" si="235"/>
        <v>0</v>
      </c>
      <c r="AG254" s="252">
        <f t="shared" si="235"/>
        <v>0</v>
      </c>
      <c r="AH254" s="252">
        <f t="shared" si="235"/>
        <v>0</v>
      </c>
      <c r="AI254" s="252">
        <f t="shared" si="235"/>
        <v>0</v>
      </c>
      <c r="AJ254" s="252">
        <f t="shared" si="235"/>
        <v>0</v>
      </c>
      <c r="AK254" s="252">
        <f t="shared" si="235"/>
        <v>0</v>
      </c>
      <c r="AL254" s="252">
        <f t="shared" si="235"/>
        <v>0</v>
      </c>
      <c r="AM254" s="252">
        <f t="shared" si="235"/>
        <v>0</v>
      </c>
      <c r="AN254" s="252">
        <f t="shared" si="235"/>
        <v>0</v>
      </c>
      <c r="AO254" s="252">
        <f t="shared" si="235"/>
        <v>0</v>
      </c>
      <c r="AP254" s="252">
        <f t="shared" si="235"/>
        <v>0</v>
      </c>
      <c r="AQ254" s="252">
        <f t="shared" si="235"/>
        <v>0</v>
      </c>
      <c r="AR254" s="252">
        <f t="shared" si="235"/>
        <v>0</v>
      </c>
      <c r="AS254" s="252">
        <f t="shared" si="235"/>
        <v>23</v>
      </c>
      <c r="AT254" s="252">
        <f t="shared" si="235"/>
        <v>0</v>
      </c>
      <c r="AU254" s="252">
        <f t="shared" si="235"/>
        <v>0</v>
      </c>
      <c r="AV254" s="252">
        <f t="shared" si="235"/>
        <v>0</v>
      </c>
      <c r="AW254" s="252">
        <f t="shared" si="235"/>
        <v>0</v>
      </c>
      <c r="AX254" s="252">
        <f t="shared" si="235"/>
        <v>0</v>
      </c>
      <c r="AY254" s="252">
        <f t="shared" si="235"/>
        <v>0</v>
      </c>
      <c r="AZ254" s="252">
        <f t="shared" si="235"/>
        <v>0</v>
      </c>
      <c r="BA254" s="252">
        <f t="shared" si="235"/>
        <v>0</v>
      </c>
      <c r="BB254" s="252">
        <f t="shared" si="235"/>
        <v>0</v>
      </c>
    </row>
    <row r="255" ht="15.75" customHeight="1">
      <c r="A255" s="768">
        <v>1994.0</v>
      </c>
      <c r="B255" s="38"/>
      <c r="C255" s="38"/>
      <c r="D255" s="38"/>
      <c r="E255" s="38"/>
      <c r="F255" s="38"/>
      <c r="G255" s="38"/>
      <c r="H255" s="38"/>
      <c r="I255" s="38"/>
      <c r="J255" s="38"/>
      <c r="K255" s="38"/>
      <c r="L255" s="38"/>
      <c r="M255" s="38"/>
      <c r="N255" s="38"/>
      <c r="O255" s="38"/>
      <c r="P255" s="38"/>
      <c r="Q255" s="38"/>
      <c r="R255" s="38"/>
      <c r="S255" s="740">
        <v>2006.0</v>
      </c>
      <c r="T255" s="740">
        <v>524.0</v>
      </c>
      <c r="U255" s="38"/>
      <c r="V255" s="771">
        <v>1078.7</v>
      </c>
      <c r="W255" s="252">
        <f t="shared" si="172"/>
        <v>0</v>
      </c>
      <c r="X255" s="252">
        <f t="shared" ref="X255:BB255" si="236">IF(AND(X$190-$A255&gt;$V$48,SUM($W255:W255)&lt;&gt;$V255),$V255,0)</f>
        <v>0</v>
      </c>
      <c r="Y255" s="252">
        <f t="shared" si="236"/>
        <v>0</v>
      </c>
      <c r="Z255" s="252">
        <f t="shared" si="236"/>
        <v>0</v>
      </c>
      <c r="AA255" s="252">
        <f t="shared" si="236"/>
        <v>0</v>
      </c>
      <c r="AB255" s="252">
        <f t="shared" si="236"/>
        <v>0</v>
      </c>
      <c r="AC255" s="252">
        <f t="shared" si="236"/>
        <v>0</v>
      </c>
      <c r="AD255" s="252">
        <f t="shared" si="236"/>
        <v>0</v>
      </c>
      <c r="AE255" s="252">
        <f t="shared" si="236"/>
        <v>0</v>
      </c>
      <c r="AF255" s="252">
        <f t="shared" si="236"/>
        <v>0</v>
      </c>
      <c r="AG255" s="252">
        <f t="shared" si="236"/>
        <v>0</v>
      </c>
      <c r="AH255" s="252">
        <f t="shared" si="236"/>
        <v>0</v>
      </c>
      <c r="AI255" s="252">
        <f t="shared" si="236"/>
        <v>0</v>
      </c>
      <c r="AJ255" s="252">
        <f t="shared" si="236"/>
        <v>0</v>
      </c>
      <c r="AK255" s="252">
        <f t="shared" si="236"/>
        <v>0</v>
      </c>
      <c r="AL255" s="252">
        <f t="shared" si="236"/>
        <v>0</v>
      </c>
      <c r="AM255" s="252">
        <f t="shared" si="236"/>
        <v>0</v>
      </c>
      <c r="AN255" s="252">
        <f t="shared" si="236"/>
        <v>0</v>
      </c>
      <c r="AO255" s="252">
        <f t="shared" si="236"/>
        <v>0</v>
      </c>
      <c r="AP255" s="252">
        <f t="shared" si="236"/>
        <v>0</v>
      </c>
      <c r="AQ255" s="252">
        <f t="shared" si="236"/>
        <v>0</v>
      </c>
      <c r="AR255" s="252">
        <f t="shared" si="236"/>
        <v>0</v>
      </c>
      <c r="AS255" s="252">
        <f t="shared" si="236"/>
        <v>0</v>
      </c>
      <c r="AT255" s="252">
        <f t="shared" si="236"/>
        <v>1078.7</v>
      </c>
      <c r="AU255" s="252">
        <f t="shared" si="236"/>
        <v>0</v>
      </c>
      <c r="AV255" s="252">
        <f t="shared" si="236"/>
        <v>0</v>
      </c>
      <c r="AW255" s="252">
        <f t="shared" si="236"/>
        <v>0</v>
      </c>
      <c r="AX255" s="252">
        <f t="shared" si="236"/>
        <v>0</v>
      </c>
      <c r="AY255" s="252">
        <f t="shared" si="236"/>
        <v>0</v>
      </c>
      <c r="AZ255" s="252">
        <f t="shared" si="236"/>
        <v>0</v>
      </c>
      <c r="BA255" s="252">
        <f t="shared" si="236"/>
        <v>0</v>
      </c>
      <c r="BB255" s="252">
        <f t="shared" si="236"/>
        <v>0</v>
      </c>
    </row>
    <row r="256" ht="15.75" customHeight="1">
      <c r="A256" s="768">
        <v>1995.0</v>
      </c>
      <c r="B256" s="38"/>
      <c r="C256" s="38"/>
      <c r="D256" s="38"/>
      <c r="E256" s="38"/>
      <c r="F256" s="38"/>
      <c r="G256" s="38"/>
      <c r="H256" s="38"/>
      <c r="I256" s="38"/>
      <c r="J256" s="38"/>
      <c r="K256" s="38"/>
      <c r="L256" s="38"/>
      <c r="M256" s="38"/>
      <c r="N256" s="38"/>
      <c r="O256" s="38"/>
      <c r="P256" s="38"/>
      <c r="Q256" s="38"/>
      <c r="R256" s="38"/>
      <c r="S256" s="740">
        <v>2007.0</v>
      </c>
      <c r="T256" s="740">
        <v>1413.6</v>
      </c>
      <c r="U256" s="38"/>
      <c r="V256" s="771">
        <v>2127.9</v>
      </c>
      <c r="W256" s="252">
        <f t="shared" si="172"/>
        <v>0</v>
      </c>
      <c r="X256" s="252">
        <f t="shared" ref="X256:BB256" si="237">IF(AND(X$190-$A256&gt;$V$48,SUM($W256:W256)&lt;&gt;$V256),$V256,0)</f>
        <v>0</v>
      </c>
      <c r="Y256" s="252">
        <f t="shared" si="237"/>
        <v>0</v>
      </c>
      <c r="Z256" s="252">
        <f t="shared" si="237"/>
        <v>0</v>
      </c>
      <c r="AA256" s="252">
        <f t="shared" si="237"/>
        <v>0</v>
      </c>
      <c r="AB256" s="252">
        <f t="shared" si="237"/>
        <v>0</v>
      </c>
      <c r="AC256" s="252">
        <f t="shared" si="237"/>
        <v>0</v>
      </c>
      <c r="AD256" s="252">
        <f t="shared" si="237"/>
        <v>0</v>
      </c>
      <c r="AE256" s="252">
        <f t="shared" si="237"/>
        <v>0</v>
      </c>
      <c r="AF256" s="252">
        <f t="shared" si="237"/>
        <v>0</v>
      </c>
      <c r="AG256" s="252">
        <f t="shared" si="237"/>
        <v>0</v>
      </c>
      <c r="AH256" s="252">
        <f t="shared" si="237"/>
        <v>0</v>
      </c>
      <c r="AI256" s="252">
        <f t="shared" si="237"/>
        <v>0</v>
      </c>
      <c r="AJ256" s="252">
        <f t="shared" si="237"/>
        <v>0</v>
      </c>
      <c r="AK256" s="252">
        <f t="shared" si="237"/>
        <v>0</v>
      </c>
      <c r="AL256" s="252">
        <f t="shared" si="237"/>
        <v>0</v>
      </c>
      <c r="AM256" s="252">
        <f t="shared" si="237"/>
        <v>0</v>
      </c>
      <c r="AN256" s="252">
        <f t="shared" si="237"/>
        <v>0</v>
      </c>
      <c r="AO256" s="252">
        <f t="shared" si="237"/>
        <v>0</v>
      </c>
      <c r="AP256" s="252">
        <f t="shared" si="237"/>
        <v>0</v>
      </c>
      <c r="AQ256" s="252">
        <f t="shared" si="237"/>
        <v>0</v>
      </c>
      <c r="AR256" s="252">
        <f t="shared" si="237"/>
        <v>0</v>
      </c>
      <c r="AS256" s="252">
        <f t="shared" si="237"/>
        <v>0</v>
      </c>
      <c r="AT256" s="252">
        <f t="shared" si="237"/>
        <v>0</v>
      </c>
      <c r="AU256" s="252">
        <f t="shared" si="237"/>
        <v>2127.9</v>
      </c>
      <c r="AV256" s="252">
        <f t="shared" si="237"/>
        <v>0</v>
      </c>
      <c r="AW256" s="252">
        <f t="shared" si="237"/>
        <v>0</v>
      </c>
      <c r="AX256" s="252">
        <f t="shared" si="237"/>
        <v>0</v>
      </c>
      <c r="AY256" s="252">
        <f t="shared" si="237"/>
        <v>0</v>
      </c>
      <c r="AZ256" s="252">
        <f t="shared" si="237"/>
        <v>0</v>
      </c>
      <c r="BA256" s="252">
        <f t="shared" si="237"/>
        <v>0</v>
      </c>
      <c r="BB256" s="252">
        <f t="shared" si="237"/>
        <v>0</v>
      </c>
    </row>
    <row r="257" ht="15.75" customHeight="1">
      <c r="A257" s="768">
        <v>1996.0</v>
      </c>
      <c r="B257" s="38"/>
      <c r="C257" s="38"/>
      <c r="D257" s="38"/>
      <c r="E257" s="38"/>
      <c r="F257" s="38"/>
      <c r="G257" s="38"/>
      <c r="H257" s="38"/>
      <c r="I257" s="38"/>
      <c r="J257" s="38"/>
      <c r="K257" s="38"/>
      <c r="L257" s="38"/>
      <c r="M257" s="38"/>
      <c r="N257" s="38"/>
      <c r="O257" s="38"/>
      <c r="P257" s="38"/>
      <c r="Q257" s="38"/>
      <c r="R257" s="38"/>
      <c r="S257" s="740">
        <v>2008.0</v>
      </c>
      <c r="T257" s="740">
        <v>1456.8</v>
      </c>
      <c r="U257" s="38"/>
      <c r="V257" s="771">
        <v>781.4</v>
      </c>
      <c r="W257" s="252">
        <f t="shared" si="172"/>
        <v>0</v>
      </c>
      <c r="X257" s="252">
        <f t="shared" ref="X257:BB257" si="238">IF(AND(X$190-$A257&gt;$V$48,SUM($W257:W257)&lt;&gt;$V257),$V257,0)</f>
        <v>0</v>
      </c>
      <c r="Y257" s="252">
        <f t="shared" si="238"/>
        <v>0</v>
      </c>
      <c r="Z257" s="252">
        <f t="shared" si="238"/>
        <v>0</v>
      </c>
      <c r="AA257" s="252">
        <f t="shared" si="238"/>
        <v>0</v>
      </c>
      <c r="AB257" s="252">
        <f t="shared" si="238"/>
        <v>0</v>
      </c>
      <c r="AC257" s="252">
        <f t="shared" si="238"/>
        <v>0</v>
      </c>
      <c r="AD257" s="252">
        <f t="shared" si="238"/>
        <v>0</v>
      </c>
      <c r="AE257" s="252">
        <f t="shared" si="238"/>
        <v>0</v>
      </c>
      <c r="AF257" s="252">
        <f t="shared" si="238"/>
        <v>0</v>
      </c>
      <c r="AG257" s="252">
        <f t="shared" si="238"/>
        <v>0</v>
      </c>
      <c r="AH257" s="252">
        <f t="shared" si="238"/>
        <v>0</v>
      </c>
      <c r="AI257" s="252">
        <f t="shared" si="238"/>
        <v>0</v>
      </c>
      <c r="AJ257" s="252">
        <f t="shared" si="238"/>
        <v>0</v>
      </c>
      <c r="AK257" s="252">
        <f t="shared" si="238"/>
        <v>0</v>
      </c>
      <c r="AL257" s="252">
        <f t="shared" si="238"/>
        <v>0</v>
      </c>
      <c r="AM257" s="252">
        <f t="shared" si="238"/>
        <v>0</v>
      </c>
      <c r="AN257" s="252">
        <f t="shared" si="238"/>
        <v>0</v>
      </c>
      <c r="AO257" s="252">
        <f t="shared" si="238"/>
        <v>0</v>
      </c>
      <c r="AP257" s="252">
        <f t="shared" si="238"/>
        <v>0</v>
      </c>
      <c r="AQ257" s="252">
        <f t="shared" si="238"/>
        <v>0</v>
      </c>
      <c r="AR257" s="252">
        <f t="shared" si="238"/>
        <v>0</v>
      </c>
      <c r="AS257" s="252">
        <f t="shared" si="238"/>
        <v>0</v>
      </c>
      <c r="AT257" s="252">
        <f t="shared" si="238"/>
        <v>0</v>
      </c>
      <c r="AU257" s="252">
        <f t="shared" si="238"/>
        <v>0</v>
      </c>
      <c r="AV257" s="252">
        <f t="shared" si="238"/>
        <v>781.4</v>
      </c>
      <c r="AW257" s="252">
        <f t="shared" si="238"/>
        <v>0</v>
      </c>
      <c r="AX257" s="252">
        <f t="shared" si="238"/>
        <v>0</v>
      </c>
      <c r="AY257" s="252">
        <f t="shared" si="238"/>
        <v>0</v>
      </c>
      <c r="AZ257" s="252">
        <f t="shared" si="238"/>
        <v>0</v>
      </c>
      <c r="BA257" s="252">
        <f t="shared" si="238"/>
        <v>0</v>
      </c>
      <c r="BB257" s="252">
        <f t="shared" si="238"/>
        <v>0</v>
      </c>
    </row>
    <row r="258" ht="15.75" customHeight="1">
      <c r="A258" s="768">
        <v>1997.0</v>
      </c>
      <c r="B258" s="38"/>
      <c r="C258" s="38"/>
      <c r="D258" s="38"/>
      <c r="E258" s="38"/>
      <c r="F258" s="38"/>
      <c r="G258" s="38"/>
      <c r="H258" s="38"/>
      <c r="I258" s="38"/>
      <c r="J258" s="38"/>
      <c r="K258" s="38"/>
      <c r="L258" s="38"/>
      <c r="M258" s="38"/>
      <c r="N258" s="38"/>
      <c r="O258" s="38"/>
      <c r="P258" s="38"/>
      <c r="Q258" s="38"/>
      <c r="R258" s="38"/>
      <c r="S258" s="740">
        <v>2009.0</v>
      </c>
      <c r="T258" s="740">
        <v>1735.2</v>
      </c>
      <c r="U258" s="38"/>
      <c r="V258" s="771">
        <v>407.8</v>
      </c>
      <c r="W258" s="252">
        <f t="shared" si="172"/>
        <v>0</v>
      </c>
      <c r="X258" s="252">
        <f t="shared" ref="X258:BB258" si="239">IF(AND(X$190-$A258&gt;$V$48,SUM($W258:W258)&lt;&gt;$V258),$V258,0)</f>
        <v>0</v>
      </c>
      <c r="Y258" s="252">
        <f t="shared" si="239"/>
        <v>0</v>
      </c>
      <c r="Z258" s="252">
        <f t="shared" si="239"/>
        <v>0</v>
      </c>
      <c r="AA258" s="252">
        <f t="shared" si="239"/>
        <v>0</v>
      </c>
      <c r="AB258" s="252">
        <f t="shared" si="239"/>
        <v>0</v>
      </c>
      <c r="AC258" s="252">
        <f t="shared" si="239"/>
        <v>0</v>
      </c>
      <c r="AD258" s="252">
        <f t="shared" si="239"/>
        <v>0</v>
      </c>
      <c r="AE258" s="252">
        <f t="shared" si="239"/>
        <v>0</v>
      </c>
      <c r="AF258" s="252">
        <f t="shared" si="239"/>
        <v>0</v>
      </c>
      <c r="AG258" s="252">
        <f t="shared" si="239"/>
        <v>0</v>
      </c>
      <c r="AH258" s="252">
        <f t="shared" si="239"/>
        <v>0</v>
      </c>
      <c r="AI258" s="252">
        <f t="shared" si="239"/>
        <v>0</v>
      </c>
      <c r="AJ258" s="252">
        <f t="shared" si="239"/>
        <v>0</v>
      </c>
      <c r="AK258" s="252">
        <f t="shared" si="239"/>
        <v>0</v>
      </c>
      <c r="AL258" s="252">
        <f t="shared" si="239"/>
        <v>0</v>
      </c>
      <c r="AM258" s="252">
        <f t="shared" si="239"/>
        <v>0</v>
      </c>
      <c r="AN258" s="252">
        <f t="shared" si="239"/>
        <v>0</v>
      </c>
      <c r="AO258" s="252">
        <f t="shared" si="239"/>
        <v>0</v>
      </c>
      <c r="AP258" s="252">
        <f t="shared" si="239"/>
        <v>0</v>
      </c>
      <c r="AQ258" s="252">
        <f t="shared" si="239"/>
        <v>0</v>
      </c>
      <c r="AR258" s="252">
        <f t="shared" si="239"/>
        <v>0</v>
      </c>
      <c r="AS258" s="252">
        <f t="shared" si="239"/>
        <v>0</v>
      </c>
      <c r="AT258" s="252">
        <f t="shared" si="239"/>
        <v>0</v>
      </c>
      <c r="AU258" s="252">
        <f t="shared" si="239"/>
        <v>0</v>
      </c>
      <c r="AV258" s="252">
        <f t="shared" si="239"/>
        <v>0</v>
      </c>
      <c r="AW258" s="252">
        <f t="shared" si="239"/>
        <v>407.8</v>
      </c>
      <c r="AX258" s="252">
        <f t="shared" si="239"/>
        <v>0</v>
      </c>
      <c r="AY258" s="252">
        <f t="shared" si="239"/>
        <v>0</v>
      </c>
      <c r="AZ258" s="252">
        <f t="shared" si="239"/>
        <v>0</v>
      </c>
      <c r="BA258" s="252">
        <f t="shared" si="239"/>
        <v>0</v>
      </c>
      <c r="BB258" s="252">
        <f t="shared" si="239"/>
        <v>0</v>
      </c>
    </row>
    <row r="259" ht="15.75" customHeight="1">
      <c r="A259" s="768">
        <v>1998.0</v>
      </c>
      <c r="B259" s="38"/>
      <c r="C259" s="38"/>
      <c r="D259" s="38"/>
      <c r="E259" s="38"/>
      <c r="F259" s="38"/>
      <c r="G259" s="38"/>
      <c r="H259" s="38"/>
      <c r="I259" s="38"/>
      <c r="J259" s="38"/>
      <c r="K259" s="38"/>
      <c r="L259" s="38"/>
      <c r="M259" s="38"/>
      <c r="N259" s="38"/>
      <c r="O259" s="38"/>
      <c r="P259" s="38"/>
      <c r="Q259" s="38"/>
      <c r="R259" s="38"/>
      <c r="S259" s="740">
        <v>2010.0</v>
      </c>
      <c r="T259" s="740">
        <v>4721.5</v>
      </c>
      <c r="U259" s="38"/>
      <c r="V259" s="771">
        <v>251.0</v>
      </c>
      <c r="W259" s="252">
        <f t="shared" si="172"/>
        <v>0</v>
      </c>
      <c r="X259" s="252">
        <f t="shared" ref="X259:BB259" si="240">IF(AND(X$190-$A259&gt;$V$48,SUM($W259:W259)&lt;&gt;$V259),$V259,0)</f>
        <v>0</v>
      </c>
      <c r="Y259" s="252">
        <f t="shared" si="240"/>
        <v>0</v>
      </c>
      <c r="Z259" s="252">
        <f t="shared" si="240"/>
        <v>0</v>
      </c>
      <c r="AA259" s="252">
        <f t="shared" si="240"/>
        <v>0</v>
      </c>
      <c r="AB259" s="252">
        <f t="shared" si="240"/>
        <v>0</v>
      </c>
      <c r="AC259" s="252">
        <f t="shared" si="240"/>
        <v>0</v>
      </c>
      <c r="AD259" s="252">
        <f t="shared" si="240"/>
        <v>0</v>
      </c>
      <c r="AE259" s="252">
        <f t="shared" si="240"/>
        <v>0</v>
      </c>
      <c r="AF259" s="252">
        <f t="shared" si="240"/>
        <v>0</v>
      </c>
      <c r="AG259" s="252">
        <f t="shared" si="240"/>
        <v>0</v>
      </c>
      <c r="AH259" s="252">
        <f t="shared" si="240"/>
        <v>0</v>
      </c>
      <c r="AI259" s="252">
        <f t="shared" si="240"/>
        <v>0</v>
      </c>
      <c r="AJ259" s="252">
        <f t="shared" si="240"/>
        <v>0</v>
      </c>
      <c r="AK259" s="252">
        <f t="shared" si="240"/>
        <v>0</v>
      </c>
      <c r="AL259" s="252">
        <f t="shared" si="240"/>
        <v>0</v>
      </c>
      <c r="AM259" s="252">
        <f t="shared" si="240"/>
        <v>0</v>
      </c>
      <c r="AN259" s="252">
        <f t="shared" si="240"/>
        <v>0</v>
      </c>
      <c r="AO259" s="252">
        <f t="shared" si="240"/>
        <v>0</v>
      </c>
      <c r="AP259" s="252">
        <f t="shared" si="240"/>
        <v>0</v>
      </c>
      <c r="AQ259" s="252">
        <f t="shared" si="240"/>
        <v>0</v>
      </c>
      <c r="AR259" s="252">
        <f t="shared" si="240"/>
        <v>0</v>
      </c>
      <c r="AS259" s="252">
        <f t="shared" si="240"/>
        <v>0</v>
      </c>
      <c r="AT259" s="252">
        <f t="shared" si="240"/>
        <v>0</v>
      </c>
      <c r="AU259" s="252">
        <f t="shared" si="240"/>
        <v>0</v>
      </c>
      <c r="AV259" s="252">
        <f t="shared" si="240"/>
        <v>0</v>
      </c>
      <c r="AW259" s="252">
        <f t="shared" si="240"/>
        <v>0</v>
      </c>
      <c r="AX259" s="252">
        <f t="shared" si="240"/>
        <v>251</v>
      </c>
      <c r="AY259" s="252">
        <f t="shared" si="240"/>
        <v>0</v>
      </c>
      <c r="AZ259" s="252">
        <f t="shared" si="240"/>
        <v>0</v>
      </c>
      <c r="BA259" s="252">
        <f t="shared" si="240"/>
        <v>0</v>
      </c>
      <c r="BB259" s="252">
        <f t="shared" si="240"/>
        <v>0</v>
      </c>
    </row>
    <row r="260" ht="15.75" customHeight="1">
      <c r="A260" s="768">
        <v>1999.0</v>
      </c>
      <c r="B260" s="38"/>
      <c r="C260" s="38"/>
      <c r="D260" s="38"/>
      <c r="E260" s="38"/>
      <c r="F260" s="38"/>
      <c r="G260" s="38"/>
      <c r="H260" s="38"/>
      <c r="I260" s="38"/>
      <c r="J260" s="38"/>
      <c r="K260" s="38"/>
      <c r="L260" s="38"/>
      <c r="M260" s="38"/>
      <c r="N260" s="38"/>
      <c r="O260" s="38"/>
      <c r="P260" s="38"/>
      <c r="Q260" s="38"/>
      <c r="R260" s="38"/>
      <c r="S260" s="740">
        <v>2011.0</v>
      </c>
      <c r="T260" s="740">
        <v>3778.0</v>
      </c>
      <c r="U260" s="38"/>
      <c r="V260" s="771">
        <v>1175.2</v>
      </c>
      <c r="W260" s="252">
        <f t="shared" si="172"/>
        <v>0</v>
      </c>
      <c r="X260" s="252">
        <f t="shared" ref="X260:BB260" si="241">IF(AND(X$190-$A260&gt;$V$48,SUM($W260:W260)&lt;&gt;$V260),$V260,0)</f>
        <v>0</v>
      </c>
      <c r="Y260" s="252">
        <f t="shared" si="241"/>
        <v>0</v>
      </c>
      <c r="Z260" s="252">
        <f t="shared" si="241"/>
        <v>0</v>
      </c>
      <c r="AA260" s="252">
        <f t="shared" si="241"/>
        <v>0</v>
      </c>
      <c r="AB260" s="252">
        <f t="shared" si="241"/>
        <v>0</v>
      </c>
      <c r="AC260" s="252">
        <f t="shared" si="241"/>
        <v>0</v>
      </c>
      <c r="AD260" s="252">
        <f t="shared" si="241"/>
        <v>0</v>
      </c>
      <c r="AE260" s="252">
        <f t="shared" si="241"/>
        <v>0</v>
      </c>
      <c r="AF260" s="252">
        <f t="shared" si="241"/>
        <v>0</v>
      </c>
      <c r="AG260" s="252">
        <f t="shared" si="241"/>
        <v>0</v>
      </c>
      <c r="AH260" s="252">
        <f t="shared" si="241"/>
        <v>0</v>
      </c>
      <c r="AI260" s="252">
        <f t="shared" si="241"/>
        <v>0</v>
      </c>
      <c r="AJ260" s="252">
        <f t="shared" si="241"/>
        <v>0</v>
      </c>
      <c r="AK260" s="252">
        <f t="shared" si="241"/>
        <v>0</v>
      </c>
      <c r="AL260" s="252">
        <f t="shared" si="241"/>
        <v>0</v>
      </c>
      <c r="AM260" s="252">
        <f t="shared" si="241"/>
        <v>0</v>
      </c>
      <c r="AN260" s="252">
        <f t="shared" si="241"/>
        <v>0</v>
      </c>
      <c r="AO260" s="252">
        <f t="shared" si="241"/>
        <v>0</v>
      </c>
      <c r="AP260" s="252">
        <f t="shared" si="241"/>
        <v>0</v>
      </c>
      <c r="AQ260" s="252">
        <f t="shared" si="241"/>
        <v>0</v>
      </c>
      <c r="AR260" s="252">
        <f t="shared" si="241"/>
        <v>0</v>
      </c>
      <c r="AS260" s="252">
        <f t="shared" si="241"/>
        <v>0</v>
      </c>
      <c r="AT260" s="252">
        <f t="shared" si="241"/>
        <v>0</v>
      </c>
      <c r="AU260" s="252">
        <f t="shared" si="241"/>
        <v>0</v>
      </c>
      <c r="AV260" s="252">
        <f t="shared" si="241"/>
        <v>0</v>
      </c>
      <c r="AW260" s="252">
        <f t="shared" si="241"/>
        <v>0</v>
      </c>
      <c r="AX260" s="252">
        <f t="shared" si="241"/>
        <v>0</v>
      </c>
      <c r="AY260" s="252">
        <f t="shared" si="241"/>
        <v>1175.2</v>
      </c>
      <c r="AZ260" s="252">
        <f t="shared" si="241"/>
        <v>0</v>
      </c>
      <c r="BA260" s="252">
        <f t="shared" si="241"/>
        <v>0</v>
      </c>
      <c r="BB260" s="252">
        <f t="shared" si="241"/>
        <v>0</v>
      </c>
    </row>
    <row r="261" ht="15.75" customHeight="1">
      <c r="A261" s="768">
        <v>2000.0</v>
      </c>
      <c r="B261" s="38"/>
      <c r="C261" s="38"/>
      <c r="D261" s="38"/>
      <c r="E261" s="38"/>
      <c r="F261" s="38"/>
      <c r="G261" s="38"/>
      <c r="H261" s="38"/>
      <c r="I261" s="38"/>
      <c r="J261" s="38"/>
      <c r="K261" s="38"/>
      <c r="L261" s="38"/>
      <c r="M261" s="38"/>
      <c r="N261" s="38"/>
      <c r="O261" s="38"/>
      <c r="P261" s="38"/>
      <c r="Q261" s="38"/>
      <c r="R261" s="38"/>
      <c r="S261" s="740">
        <v>2012.0</v>
      </c>
      <c r="T261" s="740">
        <v>3690.0</v>
      </c>
      <c r="U261" s="38"/>
      <c r="V261" s="771">
        <v>6653.2</v>
      </c>
      <c r="W261" s="252">
        <f t="shared" si="172"/>
        <v>0</v>
      </c>
      <c r="X261" s="252">
        <f t="shared" ref="X261:BB261" si="242">IF(AND(X$190-$A261&gt;$V$48,SUM($W261:W261)&lt;&gt;$V261),$V261,0)</f>
        <v>0</v>
      </c>
      <c r="Y261" s="252">
        <f t="shared" si="242"/>
        <v>0</v>
      </c>
      <c r="Z261" s="252">
        <f t="shared" si="242"/>
        <v>0</v>
      </c>
      <c r="AA261" s="252">
        <f t="shared" si="242"/>
        <v>0</v>
      </c>
      <c r="AB261" s="252">
        <f t="shared" si="242"/>
        <v>0</v>
      </c>
      <c r="AC261" s="252">
        <f t="shared" si="242"/>
        <v>0</v>
      </c>
      <c r="AD261" s="252">
        <f t="shared" si="242"/>
        <v>0</v>
      </c>
      <c r="AE261" s="252">
        <f t="shared" si="242"/>
        <v>0</v>
      </c>
      <c r="AF261" s="252">
        <f t="shared" si="242"/>
        <v>0</v>
      </c>
      <c r="AG261" s="252">
        <f t="shared" si="242"/>
        <v>0</v>
      </c>
      <c r="AH261" s="252">
        <f t="shared" si="242"/>
        <v>0</v>
      </c>
      <c r="AI261" s="252">
        <f t="shared" si="242"/>
        <v>0</v>
      </c>
      <c r="AJ261" s="252">
        <f t="shared" si="242"/>
        <v>0</v>
      </c>
      <c r="AK261" s="252">
        <f t="shared" si="242"/>
        <v>0</v>
      </c>
      <c r="AL261" s="252">
        <f t="shared" si="242"/>
        <v>0</v>
      </c>
      <c r="AM261" s="252">
        <f t="shared" si="242"/>
        <v>0</v>
      </c>
      <c r="AN261" s="252">
        <f t="shared" si="242"/>
        <v>0</v>
      </c>
      <c r="AO261" s="252">
        <f t="shared" si="242"/>
        <v>0</v>
      </c>
      <c r="AP261" s="252">
        <f t="shared" si="242"/>
        <v>0</v>
      </c>
      <c r="AQ261" s="252">
        <f t="shared" si="242"/>
        <v>0</v>
      </c>
      <c r="AR261" s="252">
        <f t="shared" si="242"/>
        <v>0</v>
      </c>
      <c r="AS261" s="252">
        <f t="shared" si="242"/>
        <v>0</v>
      </c>
      <c r="AT261" s="252">
        <f t="shared" si="242"/>
        <v>0</v>
      </c>
      <c r="AU261" s="252">
        <f t="shared" si="242"/>
        <v>0</v>
      </c>
      <c r="AV261" s="252">
        <f t="shared" si="242"/>
        <v>0</v>
      </c>
      <c r="AW261" s="252">
        <f t="shared" si="242"/>
        <v>0</v>
      </c>
      <c r="AX261" s="252">
        <f t="shared" si="242"/>
        <v>0</v>
      </c>
      <c r="AY261" s="252">
        <f t="shared" si="242"/>
        <v>0</v>
      </c>
      <c r="AZ261" s="252">
        <f t="shared" si="242"/>
        <v>6653.2</v>
      </c>
      <c r="BA261" s="252">
        <f t="shared" si="242"/>
        <v>0</v>
      </c>
      <c r="BB261" s="252">
        <f t="shared" si="242"/>
        <v>0</v>
      </c>
    </row>
    <row r="262" ht="15.75" customHeight="1">
      <c r="A262" s="768">
        <v>2001.0</v>
      </c>
      <c r="B262" s="38"/>
      <c r="C262" s="38"/>
      <c r="D262" s="38"/>
      <c r="E262" s="38"/>
      <c r="F262" s="38"/>
      <c r="G262" s="38"/>
      <c r="H262" s="38"/>
      <c r="I262" s="38"/>
      <c r="J262" s="38"/>
      <c r="K262" s="38"/>
      <c r="L262" s="38"/>
      <c r="M262" s="38"/>
      <c r="N262" s="38"/>
      <c r="O262" s="38"/>
      <c r="P262" s="38"/>
      <c r="Q262" s="38"/>
      <c r="R262" s="38"/>
      <c r="S262" s="740">
        <v>2013.0</v>
      </c>
      <c r="T262" s="740">
        <v>1535.0</v>
      </c>
      <c r="U262" s="38"/>
      <c r="V262" s="771">
        <v>4389.0</v>
      </c>
      <c r="W262" s="252">
        <f t="shared" si="172"/>
        <v>0</v>
      </c>
      <c r="X262" s="252">
        <f t="shared" ref="X262:BB262" si="243">IF(AND(X$190-$A262&gt;$V$48,SUM($W262:W262)&lt;&gt;$V262),$V262,0)</f>
        <v>0</v>
      </c>
      <c r="Y262" s="252">
        <f t="shared" si="243"/>
        <v>0</v>
      </c>
      <c r="Z262" s="252">
        <f t="shared" si="243"/>
        <v>0</v>
      </c>
      <c r="AA262" s="252">
        <f t="shared" si="243"/>
        <v>0</v>
      </c>
      <c r="AB262" s="252">
        <f t="shared" si="243"/>
        <v>0</v>
      </c>
      <c r="AC262" s="252">
        <f t="shared" si="243"/>
        <v>0</v>
      </c>
      <c r="AD262" s="252">
        <f t="shared" si="243"/>
        <v>0</v>
      </c>
      <c r="AE262" s="252">
        <f t="shared" si="243"/>
        <v>0</v>
      </c>
      <c r="AF262" s="252">
        <f t="shared" si="243"/>
        <v>0</v>
      </c>
      <c r="AG262" s="252">
        <f t="shared" si="243"/>
        <v>0</v>
      </c>
      <c r="AH262" s="252">
        <f t="shared" si="243"/>
        <v>0</v>
      </c>
      <c r="AI262" s="252">
        <f t="shared" si="243"/>
        <v>0</v>
      </c>
      <c r="AJ262" s="252">
        <f t="shared" si="243"/>
        <v>0</v>
      </c>
      <c r="AK262" s="252">
        <f t="shared" si="243"/>
        <v>0</v>
      </c>
      <c r="AL262" s="252">
        <f t="shared" si="243"/>
        <v>0</v>
      </c>
      <c r="AM262" s="252">
        <f t="shared" si="243"/>
        <v>0</v>
      </c>
      <c r="AN262" s="252">
        <f t="shared" si="243"/>
        <v>0</v>
      </c>
      <c r="AO262" s="252">
        <f t="shared" si="243"/>
        <v>0</v>
      </c>
      <c r="AP262" s="252">
        <f t="shared" si="243"/>
        <v>0</v>
      </c>
      <c r="AQ262" s="252">
        <f t="shared" si="243"/>
        <v>0</v>
      </c>
      <c r="AR262" s="252">
        <f t="shared" si="243"/>
        <v>0</v>
      </c>
      <c r="AS262" s="252">
        <f t="shared" si="243"/>
        <v>0</v>
      </c>
      <c r="AT262" s="252">
        <f t="shared" si="243"/>
        <v>0</v>
      </c>
      <c r="AU262" s="252">
        <f t="shared" si="243"/>
        <v>0</v>
      </c>
      <c r="AV262" s="252">
        <f t="shared" si="243"/>
        <v>0</v>
      </c>
      <c r="AW262" s="252">
        <f t="shared" si="243"/>
        <v>0</v>
      </c>
      <c r="AX262" s="252">
        <f t="shared" si="243"/>
        <v>0</v>
      </c>
      <c r="AY262" s="252">
        <f t="shared" si="243"/>
        <v>0</v>
      </c>
      <c r="AZ262" s="252">
        <f t="shared" si="243"/>
        <v>0</v>
      </c>
      <c r="BA262" s="252">
        <f t="shared" si="243"/>
        <v>4389</v>
      </c>
      <c r="BB262" s="252">
        <f t="shared" si="243"/>
        <v>0</v>
      </c>
    </row>
    <row r="263" ht="15.75" customHeight="1">
      <c r="A263" s="768">
        <v>2002.0</v>
      </c>
      <c r="B263" s="38"/>
      <c r="C263" s="38"/>
      <c r="D263" s="38"/>
      <c r="E263" s="38"/>
      <c r="F263" s="38"/>
      <c r="G263" s="38"/>
      <c r="H263" s="38"/>
      <c r="I263" s="38"/>
      <c r="J263" s="38"/>
      <c r="K263" s="38"/>
      <c r="L263" s="38"/>
      <c r="M263" s="38"/>
      <c r="N263" s="38"/>
      <c r="O263" s="38"/>
      <c r="P263" s="38"/>
      <c r="Q263" s="38"/>
      <c r="R263" s="38"/>
      <c r="S263" s="740">
        <v>2014.0</v>
      </c>
      <c r="T263" s="740">
        <v>90.0</v>
      </c>
      <c r="U263" s="38"/>
      <c r="V263" s="771">
        <v>3692.2</v>
      </c>
      <c r="W263" s="252">
        <f t="shared" si="172"/>
        <v>0</v>
      </c>
      <c r="X263" s="252">
        <f t="shared" ref="X263:BB263" si="244">IF(AND(X$190-$A263&gt;$V$48,SUM($W263:W263)&lt;&gt;$V263),$V263,0)</f>
        <v>0</v>
      </c>
      <c r="Y263" s="252">
        <f t="shared" si="244"/>
        <v>0</v>
      </c>
      <c r="Z263" s="252">
        <f t="shared" si="244"/>
        <v>0</v>
      </c>
      <c r="AA263" s="252">
        <f t="shared" si="244"/>
        <v>0</v>
      </c>
      <c r="AB263" s="252">
        <f t="shared" si="244"/>
        <v>0</v>
      </c>
      <c r="AC263" s="252">
        <f t="shared" si="244"/>
        <v>0</v>
      </c>
      <c r="AD263" s="252">
        <f t="shared" si="244"/>
        <v>0</v>
      </c>
      <c r="AE263" s="252">
        <f t="shared" si="244"/>
        <v>0</v>
      </c>
      <c r="AF263" s="252">
        <f t="shared" si="244"/>
        <v>0</v>
      </c>
      <c r="AG263" s="252">
        <f t="shared" si="244"/>
        <v>0</v>
      </c>
      <c r="AH263" s="252">
        <f t="shared" si="244"/>
        <v>0</v>
      </c>
      <c r="AI263" s="252">
        <f t="shared" si="244"/>
        <v>0</v>
      </c>
      <c r="AJ263" s="252">
        <f t="shared" si="244"/>
        <v>0</v>
      </c>
      <c r="AK263" s="252">
        <f t="shared" si="244"/>
        <v>0</v>
      </c>
      <c r="AL263" s="252">
        <f t="shared" si="244"/>
        <v>0</v>
      </c>
      <c r="AM263" s="252">
        <f t="shared" si="244"/>
        <v>0</v>
      </c>
      <c r="AN263" s="252">
        <f t="shared" si="244"/>
        <v>0</v>
      </c>
      <c r="AO263" s="252">
        <f t="shared" si="244"/>
        <v>0</v>
      </c>
      <c r="AP263" s="252">
        <f t="shared" si="244"/>
        <v>0</v>
      </c>
      <c r="AQ263" s="252">
        <f t="shared" si="244"/>
        <v>0</v>
      </c>
      <c r="AR263" s="252">
        <f t="shared" si="244"/>
        <v>0</v>
      </c>
      <c r="AS263" s="252">
        <f t="shared" si="244"/>
        <v>0</v>
      </c>
      <c r="AT263" s="252">
        <f t="shared" si="244"/>
        <v>0</v>
      </c>
      <c r="AU263" s="252">
        <f t="shared" si="244"/>
        <v>0</v>
      </c>
      <c r="AV263" s="252">
        <f t="shared" si="244"/>
        <v>0</v>
      </c>
      <c r="AW263" s="252">
        <f t="shared" si="244"/>
        <v>0</v>
      </c>
      <c r="AX263" s="252">
        <f t="shared" si="244"/>
        <v>0</v>
      </c>
      <c r="AY263" s="252">
        <f t="shared" si="244"/>
        <v>0</v>
      </c>
      <c r="AZ263" s="252">
        <f t="shared" si="244"/>
        <v>0</v>
      </c>
      <c r="BA263" s="252">
        <f t="shared" si="244"/>
        <v>0</v>
      </c>
      <c r="BB263" s="252">
        <f t="shared" si="244"/>
        <v>3692.2</v>
      </c>
    </row>
    <row r="264" ht="15.75" customHeight="1">
      <c r="A264" s="768">
        <v>2003.0</v>
      </c>
      <c r="B264" s="38"/>
      <c r="C264" s="38"/>
      <c r="D264" s="38"/>
      <c r="E264" s="38"/>
      <c r="F264" s="38"/>
      <c r="G264" s="38"/>
      <c r="H264" s="38"/>
      <c r="I264" s="38"/>
      <c r="J264" s="38"/>
      <c r="K264" s="38"/>
      <c r="L264" s="38"/>
      <c r="M264" s="38"/>
      <c r="N264" s="38"/>
      <c r="O264" s="38"/>
      <c r="P264" s="38"/>
      <c r="Q264" s="38"/>
      <c r="R264" s="38"/>
      <c r="S264" s="740">
        <v>2015.0</v>
      </c>
      <c r="T264" s="740">
        <v>2.2</v>
      </c>
      <c r="U264" s="38"/>
      <c r="V264" s="771">
        <v>2409.7</v>
      </c>
      <c r="W264" s="252">
        <f t="shared" si="172"/>
        <v>0</v>
      </c>
      <c r="X264" s="252">
        <f t="shared" ref="X264:BB264" si="245">IF(AND(X$190-$A264&gt;$V$48,SUM($W264:W264)&lt;&gt;$V264),$V264,0)</f>
        <v>0</v>
      </c>
      <c r="Y264" s="252">
        <f t="shared" si="245"/>
        <v>0</v>
      </c>
      <c r="Z264" s="252">
        <f t="shared" si="245"/>
        <v>0</v>
      </c>
      <c r="AA264" s="252">
        <f t="shared" si="245"/>
        <v>0</v>
      </c>
      <c r="AB264" s="252">
        <f t="shared" si="245"/>
        <v>0</v>
      </c>
      <c r="AC264" s="252">
        <f t="shared" si="245"/>
        <v>0</v>
      </c>
      <c r="AD264" s="252">
        <f t="shared" si="245"/>
        <v>0</v>
      </c>
      <c r="AE264" s="252">
        <f t="shared" si="245"/>
        <v>0</v>
      </c>
      <c r="AF264" s="252">
        <f t="shared" si="245"/>
        <v>0</v>
      </c>
      <c r="AG264" s="252">
        <f t="shared" si="245"/>
        <v>0</v>
      </c>
      <c r="AH264" s="252">
        <f t="shared" si="245"/>
        <v>0</v>
      </c>
      <c r="AI264" s="252">
        <f t="shared" si="245"/>
        <v>0</v>
      </c>
      <c r="AJ264" s="252">
        <f t="shared" si="245"/>
        <v>0</v>
      </c>
      <c r="AK264" s="252">
        <f t="shared" si="245"/>
        <v>0</v>
      </c>
      <c r="AL264" s="252">
        <f t="shared" si="245"/>
        <v>0</v>
      </c>
      <c r="AM264" s="252">
        <f t="shared" si="245"/>
        <v>0</v>
      </c>
      <c r="AN264" s="252">
        <f t="shared" si="245"/>
        <v>0</v>
      </c>
      <c r="AO264" s="252">
        <f t="shared" si="245"/>
        <v>0</v>
      </c>
      <c r="AP264" s="252">
        <f t="shared" si="245"/>
        <v>0</v>
      </c>
      <c r="AQ264" s="252">
        <f t="shared" si="245"/>
        <v>0</v>
      </c>
      <c r="AR264" s="252">
        <f t="shared" si="245"/>
        <v>0</v>
      </c>
      <c r="AS264" s="252">
        <f t="shared" si="245"/>
        <v>0</v>
      </c>
      <c r="AT264" s="252">
        <f t="shared" si="245"/>
        <v>0</v>
      </c>
      <c r="AU264" s="252">
        <f t="shared" si="245"/>
        <v>0</v>
      </c>
      <c r="AV264" s="252">
        <f t="shared" si="245"/>
        <v>0</v>
      </c>
      <c r="AW264" s="252">
        <f t="shared" si="245"/>
        <v>0</v>
      </c>
      <c r="AX264" s="252">
        <f t="shared" si="245"/>
        <v>0</v>
      </c>
      <c r="AY264" s="252">
        <f t="shared" si="245"/>
        <v>0</v>
      </c>
      <c r="AZ264" s="252">
        <f t="shared" si="245"/>
        <v>0</v>
      </c>
      <c r="BA264" s="252">
        <f t="shared" si="245"/>
        <v>0</v>
      </c>
      <c r="BB264" s="252">
        <f t="shared" si="245"/>
        <v>0</v>
      </c>
    </row>
    <row r="265" ht="15.75" customHeight="1">
      <c r="A265" s="742">
        <v>2004.0</v>
      </c>
      <c r="B265" s="38"/>
      <c r="C265" s="38"/>
      <c r="D265" s="38"/>
      <c r="E265" s="38"/>
      <c r="F265" s="38"/>
      <c r="G265" s="38"/>
      <c r="H265" s="38"/>
      <c r="I265" s="38"/>
      <c r="J265" s="38"/>
      <c r="K265" s="38"/>
      <c r="L265" s="38"/>
      <c r="M265" s="38"/>
      <c r="N265" s="38"/>
      <c r="O265" s="38"/>
      <c r="P265" s="38"/>
      <c r="Q265" s="38"/>
      <c r="R265" s="38"/>
      <c r="S265" s="38"/>
      <c r="T265" s="38"/>
      <c r="U265" s="38"/>
      <c r="V265" s="771">
        <v>434.1</v>
      </c>
      <c r="W265" s="252">
        <f t="shared" si="172"/>
        <v>0</v>
      </c>
      <c r="X265" s="252">
        <f t="shared" ref="X265:BB265" si="246">IF(AND(X$190-$A265&gt;$V$48,SUM($W265:W265)&lt;&gt;$V265),$V265,0)</f>
        <v>0</v>
      </c>
      <c r="Y265" s="252">
        <f t="shared" si="246"/>
        <v>0</v>
      </c>
      <c r="Z265" s="252">
        <f t="shared" si="246"/>
        <v>0</v>
      </c>
      <c r="AA265" s="252">
        <f t="shared" si="246"/>
        <v>0</v>
      </c>
      <c r="AB265" s="252">
        <f t="shared" si="246"/>
        <v>0</v>
      </c>
      <c r="AC265" s="252">
        <f t="shared" si="246"/>
        <v>0</v>
      </c>
      <c r="AD265" s="252">
        <f t="shared" si="246"/>
        <v>0</v>
      </c>
      <c r="AE265" s="252">
        <f t="shared" si="246"/>
        <v>0</v>
      </c>
      <c r="AF265" s="252">
        <f t="shared" si="246"/>
        <v>0</v>
      </c>
      <c r="AG265" s="252">
        <f t="shared" si="246"/>
        <v>0</v>
      </c>
      <c r="AH265" s="252">
        <f t="shared" si="246"/>
        <v>0</v>
      </c>
      <c r="AI265" s="252">
        <f t="shared" si="246"/>
        <v>0</v>
      </c>
      <c r="AJ265" s="252">
        <f t="shared" si="246"/>
        <v>0</v>
      </c>
      <c r="AK265" s="252">
        <f t="shared" si="246"/>
        <v>0</v>
      </c>
      <c r="AL265" s="252">
        <f t="shared" si="246"/>
        <v>0</v>
      </c>
      <c r="AM265" s="252">
        <f t="shared" si="246"/>
        <v>0</v>
      </c>
      <c r="AN265" s="252">
        <f t="shared" si="246"/>
        <v>0</v>
      </c>
      <c r="AO265" s="252">
        <f t="shared" si="246"/>
        <v>0</v>
      </c>
      <c r="AP265" s="252">
        <f t="shared" si="246"/>
        <v>0</v>
      </c>
      <c r="AQ265" s="252">
        <f t="shared" si="246"/>
        <v>0</v>
      </c>
      <c r="AR265" s="252">
        <f t="shared" si="246"/>
        <v>0</v>
      </c>
      <c r="AS265" s="252">
        <f t="shared" si="246"/>
        <v>0</v>
      </c>
      <c r="AT265" s="252">
        <f t="shared" si="246"/>
        <v>0</v>
      </c>
      <c r="AU265" s="252">
        <f t="shared" si="246"/>
        <v>0</v>
      </c>
      <c r="AV265" s="252">
        <f t="shared" si="246"/>
        <v>0</v>
      </c>
      <c r="AW265" s="252">
        <f t="shared" si="246"/>
        <v>0</v>
      </c>
      <c r="AX265" s="252">
        <f t="shared" si="246"/>
        <v>0</v>
      </c>
      <c r="AY265" s="252">
        <f t="shared" si="246"/>
        <v>0</v>
      </c>
      <c r="AZ265" s="252">
        <f t="shared" si="246"/>
        <v>0</v>
      </c>
      <c r="BA265" s="252">
        <f t="shared" si="246"/>
        <v>0</v>
      </c>
      <c r="BB265" s="252">
        <f t="shared" si="246"/>
        <v>0</v>
      </c>
    </row>
    <row r="266" ht="15.75" customHeight="1">
      <c r="A266" s="742">
        <v>2005.0</v>
      </c>
      <c r="B266" s="38"/>
      <c r="C266" s="38"/>
      <c r="D266" s="38"/>
      <c r="E266" s="38"/>
      <c r="F266" s="38"/>
      <c r="G266" s="38"/>
      <c r="H266" s="38"/>
      <c r="I266" s="38"/>
      <c r="J266" s="38"/>
      <c r="K266" s="38"/>
      <c r="L266" s="38"/>
      <c r="M266" s="38"/>
      <c r="N266" s="38"/>
      <c r="O266" s="38"/>
      <c r="P266" s="38"/>
      <c r="Q266" s="38"/>
      <c r="R266" s="38"/>
      <c r="S266" s="38"/>
      <c r="T266" s="38"/>
      <c r="U266" s="38"/>
      <c r="V266" s="771">
        <v>85.5</v>
      </c>
      <c r="W266" s="252">
        <f t="shared" si="172"/>
        <v>0</v>
      </c>
      <c r="X266" s="252">
        <f t="shared" ref="X266:BB266" si="247">IF(AND(X$190-$A266&gt;$V$48,SUM($W266:W266)&lt;&gt;$V266),$V266,0)</f>
        <v>0</v>
      </c>
      <c r="Y266" s="252">
        <f t="shared" si="247"/>
        <v>0</v>
      </c>
      <c r="Z266" s="252">
        <f t="shared" si="247"/>
        <v>0</v>
      </c>
      <c r="AA266" s="252">
        <f t="shared" si="247"/>
        <v>0</v>
      </c>
      <c r="AB266" s="252">
        <f t="shared" si="247"/>
        <v>0</v>
      </c>
      <c r="AC266" s="252">
        <f t="shared" si="247"/>
        <v>0</v>
      </c>
      <c r="AD266" s="252">
        <f t="shared" si="247"/>
        <v>0</v>
      </c>
      <c r="AE266" s="252">
        <f t="shared" si="247"/>
        <v>0</v>
      </c>
      <c r="AF266" s="252">
        <f t="shared" si="247"/>
        <v>0</v>
      </c>
      <c r="AG266" s="252">
        <f t="shared" si="247"/>
        <v>0</v>
      </c>
      <c r="AH266" s="252">
        <f t="shared" si="247"/>
        <v>0</v>
      </c>
      <c r="AI266" s="252">
        <f t="shared" si="247"/>
        <v>0</v>
      </c>
      <c r="AJ266" s="252">
        <f t="shared" si="247"/>
        <v>0</v>
      </c>
      <c r="AK266" s="252">
        <f t="shared" si="247"/>
        <v>0</v>
      </c>
      <c r="AL266" s="252">
        <f t="shared" si="247"/>
        <v>0</v>
      </c>
      <c r="AM266" s="252">
        <f t="shared" si="247"/>
        <v>0</v>
      </c>
      <c r="AN266" s="252">
        <f t="shared" si="247"/>
        <v>0</v>
      </c>
      <c r="AO266" s="252">
        <f t="shared" si="247"/>
        <v>0</v>
      </c>
      <c r="AP266" s="252">
        <f t="shared" si="247"/>
        <v>0</v>
      </c>
      <c r="AQ266" s="252">
        <f t="shared" si="247"/>
        <v>0</v>
      </c>
      <c r="AR266" s="252">
        <f t="shared" si="247"/>
        <v>0</v>
      </c>
      <c r="AS266" s="252">
        <f t="shared" si="247"/>
        <v>0</v>
      </c>
      <c r="AT266" s="252">
        <f t="shared" si="247"/>
        <v>0</v>
      </c>
      <c r="AU266" s="252">
        <f t="shared" si="247"/>
        <v>0</v>
      </c>
      <c r="AV266" s="252">
        <f t="shared" si="247"/>
        <v>0</v>
      </c>
      <c r="AW266" s="252">
        <f t="shared" si="247"/>
        <v>0</v>
      </c>
      <c r="AX266" s="252">
        <f t="shared" si="247"/>
        <v>0</v>
      </c>
      <c r="AY266" s="252">
        <f t="shared" si="247"/>
        <v>0</v>
      </c>
      <c r="AZ266" s="252">
        <f t="shared" si="247"/>
        <v>0</v>
      </c>
      <c r="BA266" s="252">
        <f t="shared" si="247"/>
        <v>0</v>
      </c>
      <c r="BB266" s="252">
        <f t="shared" si="247"/>
        <v>0</v>
      </c>
    </row>
    <row r="267" ht="15.75" customHeight="1">
      <c r="A267" s="742">
        <v>2006.0</v>
      </c>
      <c r="B267" s="733"/>
      <c r="C267" s="733"/>
      <c r="D267" s="733"/>
      <c r="E267" s="733"/>
      <c r="F267" s="733"/>
      <c r="G267" s="733"/>
      <c r="H267" s="733"/>
      <c r="I267" s="733"/>
      <c r="J267" s="733"/>
      <c r="K267" s="733"/>
      <c r="L267" s="733"/>
      <c r="M267" s="733"/>
      <c r="N267" s="733"/>
      <c r="O267" s="733"/>
      <c r="P267" s="733"/>
      <c r="Q267" s="733"/>
      <c r="R267" s="733"/>
      <c r="S267" s="733"/>
      <c r="T267" s="733"/>
      <c r="U267" s="733"/>
      <c r="V267" s="771">
        <v>83.5</v>
      </c>
      <c r="W267" s="252">
        <f t="shared" si="172"/>
        <v>0</v>
      </c>
      <c r="X267" s="252">
        <f t="shared" ref="X267:BB267" si="248">IF(AND(X$190-$A267&gt;$V$48,SUM($W267:W267)&lt;&gt;$V267),$V267,0)</f>
        <v>0</v>
      </c>
      <c r="Y267" s="252">
        <f t="shared" si="248"/>
        <v>0</v>
      </c>
      <c r="Z267" s="252">
        <f t="shared" si="248"/>
        <v>0</v>
      </c>
      <c r="AA267" s="252">
        <f t="shared" si="248"/>
        <v>0</v>
      </c>
      <c r="AB267" s="252">
        <f t="shared" si="248"/>
        <v>0</v>
      </c>
      <c r="AC267" s="252">
        <f t="shared" si="248"/>
        <v>0</v>
      </c>
      <c r="AD267" s="252">
        <f t="shared" si="248"/>
        <v>0</v>
      </c>
      <c r="AE267" s="252">
        <f t="shared" si="248"/>
        <v>0</v>
      </c>
      <c r="AF267" s="252">
        <f t="shared" si="248"/>
        <v>0</v>
      </c>
      <c r="AG267" s="252">
        <f t="shared" si="248"/>
        <v>0</v>
      </c>
      <c r="AH267" s="252">
        <f t="shared" si="248"/>
        <v>0</v>
      </c>
      <c r="AI267" s="252">
        <f t="shared" si="248"/>
        <v>0</v>
      </c>
      <c r="AJ267" s="252">
        <f t="shared" si="248"/>
        <v>0</v>
      </c>
      <c r="AK267" s="252">
        <f t="shared" si="248"/>
        <v>0</v>
      </c>
      <c r="AL267" s="252">
        <f t="shared" si="248"/>
        <v>0</v>
      </c>
      <c r="AM267" s="252">
        <f t="shared" si="248"/>
        <v>0</v>
      </c>
      <c r="AN267" s="252">
        <f t="shared" si="248"/>
        <v>0</v>
      </c>
      <c r="AO267" s="252">
        <f t="shared" si="248"/>
        <v>0</v>
      </c>
      <c r="AP267" s="252">
        <f t="shared" si="248"/>
        <v>0</v>
      </c>
      <c r="AQ267" s="252">
        <f t="shared" si="248"/>
        <v>0</v>
      </c>
      <c r="AR267" s="252">
        <f t="shared" si="248"/>
        <v>0</v>
      </c>
      <c r="AS267" s="252">
        <f t="shared" si="248"/>
        <v>0</v>
      </c>
      <c r="AT267" s="252">
        <f t="shared" si="248"/>
        <v>0</v>
      </c>
      <c r="AU267" s="252">
        <f t="shared" si="248"/>
        <v>0</v>
      </c>
      <c r="AV267" s="252">
        <f t="shared" si="248"/>
        <v>0</v>
      </c>
      <c r="AW267" s="252">
        <f t="shared" si="248"/>
        <v>0</v>
      </c>
      <c r="AX267" s="252">
        <f t="shared" si="248"/>
        <v>0</v>
      </c>
      <c r="AY267" s="252">
        <f t="shared" si="248"/>
        <v>0</v>
      </c>
      <c r="AZ267" s="252">
        <f t="shared" si="248"/>
        <v>0</v>
      </c>
      <c r="BA267" s="252">
        <f t="shared" si="248"/>
        <v>0</v>
      </c>
      <c r="BB267" s="252">
        <f t="shared" si="248"/>
        <v>0</v>
      </c>
    </row>
    <row r="268" ht="15.75" customHeight="1">
      <c r="A268" s="742">
        <v>2007.0</v>
      </c>
      <c r="B268" s="733"/>
      <c r="C268" s="733"/>
      <c r="D268" s="733"/>
      <c r="E268" s="733"/>
      <c r="F268" s="733"/>
      <c r="G268" s="733"/>
      <c r="H268" s="733"/>
      <c r="I268" s="733"/>
      <c r="J268" s="733"/>
      <c r="K268" s="733"/>
      <c r="L268" s="733"/>
      <c r="M268" s="733"/>
      <c r="N268" s="733"/>
      <c r="O268" s="733"/>
      <c r="P268" s="733"/>
      <c r="Q268" s="733"/>
      <c r="R268" s="733"/>
      <c r="S268" s="733"/>
      <c r="T268" s="733"/>
      <c r="U268" s="733"/>
      <c r="V268" s="771">
        <v>738.3</v>
      </c>
      <c r="W268" s="252">
        <f t="shared" si="172"/>
        <v>0</v>
      </c>
      <c r="X268" s="252">
        <f t="shared" ref="X268:BB268" si="249">IF(AND(X$190-$A268&gt;$V$48,SUM($W268:W268)&lt;&gt;$V268),$V268,0)</f>
        <v>0</v>
      </c>
      <c r="Y268" s="252">
        <f t="shared" si="249"/>
        <v>0</v>
      </c>
      <c r="Z268" s="252">
        <f t="shared" si="249"/>
        <v>0</v>
      </c>
      <c r="AA268" s="252">
        <f t="shared" si="249"/>
        <v>0</v>
      </c>
      <c r="AB268" s="252">
        <f t="shared" si="249"/>
        <v>0</v>
      </c>
      <c r="AC268" s="252">
        <f t="shared" si="249"/>
        <v>0</v>
      </c>
      <c r="AD268" s="252">
        <f t="shared" si="249"/>
        <v>0</v>
      </c>
      <c r="AE268" s="252">
        <f t="shared" si="249"/>
        <v>0</v>
      </c>
      <c r="AF268" s="252">
        <f t="shared" si="249"/>
        <v>0</v>
      </c>
      <c r="AG268" s="252">
        <f t="shared" si="249"/>
        <v>0</v>
      </c>
      <c r="AH268" s="252">
        <f t="shared" si="249"/>
        <v>0</v>
      </c>
      <c r="AI268" s="252">
        <f t="shared" si="249"/>
        <v>0</v>
      </c>
      <c r="AJ268" s="252">
        <f t="shared" si="249"/>
        <v>0</v>
      </c>
      <c r="AK268" s="252">
        <f t="shared" si="249"/>
        <v>0</v>
      </c>
      <c r="AL268" s="252">
        <f t="shared" si="249"/>
        <v>0</v>
      </c>
      <c r="AM268" s="252">
        <f t="shared" si="249"/>
        <v>0</v>
      </c>
      <c r="AN268" s="252">
        <f t="shared" si="249"/>
        <v>0</v>
      </c>
      <c r="AO268" s="252">
        <f t="shared" si="249"/>
        <v>0</v>
      </c>
      <c r="AP268" s="252">
        <f t="shared" si="249"/>
        <v>0</v>
      </c>
      <c r="AQ268" s="252">
        <f t="shared" si="249"/>
        <v>0</v>
      </c>
      <c r="AR268" s="252">
        <f t="shared" si="249"/>
        <v>0</v>
      </c>
      <c r="AS268" s="252">
        <f t="shared" si="249"/>
        <v>0</v>
      </c>
      <c r="AT268" s="252">
        <f t="shared" si="249"/>
        <v>0</v>
      </c>
      <c r="AU268" s="252">
        <f t="shared" si="249"/>
        <v>0</v>
      </c>
      <c r="AV268" s="252">
        <f t="shared" si="249"/>
        <v>0</v>
      </c>
      <c r="AW268" s="252">
        <f t="shared" si="249"/>
        <v>0</v>
      </c>
      <c r="AX268" s="252">
        <f t="shared" si="249"/>
        <v>0</v>
      </c>
      <c r="AY268" s="252">
        <f t="shared" si="249"/>
        <v>0</v>
      </c>
      <c r="AZ268" s="252">
        <f t="shared" si="249"/>
        <v>0</v>
      </c>
      <c r="BA268" s="252">
        <f t="shared" si="249"/>
        <v>0</v>
      </c>
      <c r="BB268" s="252">
        <f t="shared" si="249"/>
        <v>0</v>
      </c>
    </row>
    <row r="269" ht="15.75" customHeight="1">
      <c r="A269" s="742">
        <v>2008.0</v>
      </c>
      <c r="B269" s="733"/>
      <c r="C269" s="733"/>
      <c r="D269" s="733"/>
      <c r="E269" s="733"/>
      <c r="F269" s="733"/>
      <c r="G269" s="733"/>
      <c r="H269" s="733"/>
      <c r="I269" s="733"/>
      <c r="J269" s="733"/>
      <c r="K269" s="733"/>
      <c r="L269" s="733"/>
      <c r="M269" s="733"/>
      <c r="N269" s="733"/>
      <c r="O269" s="733"/>
      <c r="P269" s="733"/>
      <c r="Q269" s="733"/>
      <c r="R269" s="733"/>
      <c r="S269" s="733"/>
      <c r="T269" s="733"/>
      <c r="U269" s="733"/>
      <c r="V269" s="771">
        <v>0.0</v>
      </c>
      <c r="W269" s="252">
        <f t="shared" si="172"/>
        <v>0</v>
      </c>
      <c r="X269" s="252">
        <f t="shared" ref="X269:BB269" si="250">IF(AND(X$190-$A269&gt;$V$48,SUM($W269:W269)&lt;&gt;$V269),$V269,0)</f>
        <v>0</v>
      </c>
      <c r="Y269" s="252">
        <f t="shared" si="250"/>
        <v>0</v>
      </c>
      <c r="Z269" s="252">
        <f t="shared" si="250"/>
        <v>0</v>
      </c>
      <c r="AA269" s="252">
        <f t="shared" si="250"/>
        <v>0</v>
      </c>
      <c r="AB269" s="252">
        <f t="shared" si="250"/>
        <v>0</v>
      </c>
      <c r="AC269" s="252">
        <f t="shared" si="250"/>
        <v>0</v>
      </c>
      <c r="AD269" s="252">
        <f t="shared" si="250"/>
        <v>0</v>
      </c>
      <c r="AE269" s="252">
        <f t="shared" si="250"/>
        <v>0</v>
      </c>
      <c r="AF269" s="252">
        <f t="shared" si="250"/>
        <v>0</v>
      </c>
      <c r="AG269" s="252">
        <f t="shared" si="250"/>
        <v>0</v>
      </c>
      <c r="AH269" s="252">
        <f t="shared" si="250"/>
        <v>0</v>
      </c>
      <c r="AI269" s="252">
        <f t="shared" si="250"/>
        <v>0</v>
      </c>
      <c r="AJ269" s="252">
        <f t="shared" si="250"/>
        <v>0</v>
      </c>
      <c r="AK269" s="252">
        <f t="shared" si="250"/>
        <v>0</v>
      </c>
      <c r="AL269" s="252">
        <f t="shared" si="250"/>
        <v>0</v>
      </c>
      <c r="AM269" s="252">
        <f t="shared" si="250"/>
        <v>0</v>
      </c>
      <c r="AN269" s="252">
        <f t="shared" si="250"/>
        <v>0</v>
      </c>
      <c r="AO269" s="252">
        <f t="shared" si="250"/>
        <v>0</v>
      </c>
      <c r="AP269" s="252">
        <f t="shared" si="250"/>
        <v>0</v>
      </c>
      <c r="AQ269" s="252">
        <f t="shared" si="250"/>
        <v>0</v>
      </c>
      <c r="AR269" s="252">
        <f t="shared" si="250"/>
        <v>0</v>
      </c>
      <c r="AS269" s="252">
        <f t="shared" si="250"/>
        <v>0</v>
      </c>
      <c r="AT269" s="252">
        <f t="shared" si="250"/>
        <v>0</v>
      </c>
      <c r="AU269" s="252">
        <f t="shared" si="250"/>
        <v>0</v>
      </c>
      <c r="AV269" s="252">
        <f t="shared" si="250"/>
        <v>0</v>
      </c>
      <c r="AW269" s="252">
        <f t="shared" si="250"/>
        <v>0</v>
      </c>
      <c r="AX269" s="252">
        <f t="shared" si="250"/>
        <v>0</v>
      </c>
      <c r="AY269" s="252">
        <f t="shared" si="250"/>
        <v>0</v>
      </c>
      <c r="AZ269" s="252">
        <f t="shared" si="250"/>
        <v>0</v>
      </c>
      <c r="BA269" s="252">
        <f t="shared" si="250"/>
        <v>0</v>
      </c>
      <c r="BB269" s="252">
        <f t="shared" si="250"/>
        <v>0</v>
      </c>
    </row>
    <row r="270" ht="15.75" customHeight="1">
      <c r="A270" s="743">
        <v>2009.0</v>
      </c>
      <c r="B270" s="733"/>
      <c r="C270" s="733"/>
      <c r="D270" s="733"/>
      <c r="E270" s="733"/>
      <c r="F270" s="733"/>
      <c r="G270" s="733"/>
      <c r="H270" s="733"/>
      <c r="I270" s="733"/>
      <c r="J270" s="733"/>
      <c r="K270" s="733"/>
      <c r="L270" s="733"/>
      <c r="M270" s="733"/>
      <c r="N270" s="733"/>
      <c r="O270" s="733"/>
      <c r="P270" s="733"/>
      <c r="Q270" s="733"/>
      <c r="R270" s="733"/>
      <c r="S270" s="733"/>
      <c r="T270" s="733"/>
      <c r="U270" s="733"/>
      <c r="V270" s="771">
        <v>226.3</v>
      </c>
      <c r="W270" s="252">
        <f t="shared" si="172"/>
        <v>0</v>
      </c>
      <c r="X270" s="252">
        <f t="shared" ref="X270:BB270" si="251">IF(AND(X$190-$A270&gt;$V$48,SUM($W270:W270)&lt;&gt;$V270),$V270,0)</f>
        <v>0</v>
      </c>
      <c r="Y270" s="252">
        <f t="shared" si="251"/>
        <v>0</v>
      </c>
      <c r="Z270" s="252">
        <f t="shared" si="251"/>
        <v>0</v>
      </c>
      <c r="AA270" s="252">
        <f t="shared" si="251"/>
        <v>0</v>
      </c>
      <c r="AB270" s="252">
        <f t="shared" si="251"/>
        <v>0</v>
      </c>
      <c r="AC270" s="252">
        <f t="shared" si="251"/>
        <v>0</v>
      </c>
      <c r="AD270" s="252">
        <f t="shared" si="251"/>
        <v>0</v>
      </c>
      <c r="AE270" s="252">
        <f t="shared" si="251"/>
        <v>0</v>
      </c>
      <c r="AF270" s="252">
        <f t="shared" si="251"/>
        <v>0</v>
      </c>
      <c r="AG270" s="252">
        <f t="shared" si="251"/>
        <v>0</v>
      </c>
      <c r="AH270" s="252">
        <f t="shared" si="251"/>
        <v>0</v>
      </c>
      <c r="AI270" s="252">
        <f t="shared" si="251"/>
        <v>0</v>
      </c>
      <c r="AJ270" s="252">
        <f t="shared" si="251"/>
        <v>0</v>
      </c>
      <c r="AK270" s="252">
        <f t="shared" si="251"/>
        <v>0</v>
      </c>
      <c r="AL270" s="252">
        <f t="shared" si="251"/>
        <v>0</v>
      </c>
      <c r="AM270" s="252">
        <f t="shared" si="251"/>
        <v>0</v>
      </c>
      <c r="AN270" s="252">
        <f t="shared" si="251"/>
        <v>0</v>
      </c>
      <c r="AO270" s="252">
        <f t="shared" si="251"/>
        <v>0</v>
      </c>
      <c r="AP270" s="252">
        <f t="shared" si="251"/>
        <v>0</v>
      </c>
      <c r="AQ270" s="252">
        <f t="shared" si="251"/>
        <v>0</v>
      </c>
      <c r="AR270" s="252">
        <f t="shared" si="251"/>
        <v>0</v>
      </c>
      <c r="AS270" s="252">
        <f t="shared" si="251"/>
        <v>0</v>
      </c>
      <c r="AT270" s="252">
        <f t="shared" si="251"/>
        <v>0</v>
      </c>
      <c r="AU270" s="252">
        <f t="shared" si="251"/>
        <v>0</v>
      </c>
      <c r="AV270" s="252">
        <f t="shared" si="251"/>
        <v>0</v>
      </c>
      <c r="AW270" s="252">
        <f t="shared" si="251"/>
        <v>0</v>
      </c>
      <c r="AX270" s="252">
        <f t="shared" si="251"/>
        <v>0</v>
      </c>
      <c r="AY270" s="252">
        <f t="shared" si="251"/>
        <v>0</v>
      </c>
      <c r="AZ270" s="252">
        <f t="shared" si="251"/>
        <v>0</v>
      </c>
      <c r="BA270" s="252">
        <f t="shared" si="251"/>
        <v>0</v>
      </c>
      <c r="BB270" s="252">
        <f t="shared" si="251"/>
        <v>0</v>
      </c>
    </row>
    <row r="271" ht="15.75" customHeight="1">
      <c r="A271" s="742">
        <v>2010.0</v>
      </c>
      <c r="B271" s="38"/>
      <c r="C271" s="38"/>
      <c r="D271" s="38"/>
      <c r="E271" s="38"/>
      <c r="F271" s="38"/>
      <c r="G271" s="38"/>
      <c r="H271" s="38"/>
      <c r="I271" s="38"/>
      <c r="J271" s="38"/>
      <c r="K271" s="38"/>
      <c r="L271" s="38"/>
      <c r="M271" s="38"/>
      <c r="N271" s="38"/>
      <c r="O271" s="38"/>
      <c r="P271" s="38"/>
      <c r="Q271" s="38"/>
      <c r="R271" s="38"/>
      <c r="S271" s="38"/>
      <c r="T271" s="38"/>
      <c r="U271" s="38"/>
      <c r="V271" s="771">
        <v>397.9</v>
      </c>
      <c r="W271" s="252">
        <f t="shared" si="172"/>
        <v>0</v>
      </c>
      <c r="X271" s="252">
        <f t="shared" ref="X271:BB271" si="252">IF(AND(X$190-$A271&gt;$V$48,SUM($W271:W271)&lt;&gt;$V271),$V271,0)</f>
        <v>0</v>
      </c>
      <c r="Y271" s="252">
        <f t="shared" si="252"/>
        <v>0</v>
      </c>
      <c r="Z271" s="252">
        <f t="shared" si="252"/>
        <v>0</v>
      </c>
      <c r="AA271" s="252">
        <f t="shared" si="252"/>
        <v>0</v>
      </c>
      <c r="AB271" s="252">
        <f t="shared" si="252"/>
        <v>0</v>
      </c>
      <c r="AC271" s="252">
        <f t="shared" si="252"/>
        <v>0</v>
      </c>
      <c r="AD271" s="252">
        <f t="shared" si="252"/>
        <v>0</v>
      </c>
      <c r="AE271" s="252">
        <f t="shared" si="252"/>
        <v>0</v>
      </c>
      <c r="AF271" s="252">
        <f t="shared" si="252"/>
        <v>0</v>
      </c>
      <c r="AG271" s="252">
        <f t="shared" si="252"/>
        <v>0</v>
      </c>
      <c r="AH271" s="252">
        <f t="shared" si="252"/>
        <v>0</v>
      </c>
      <c r="AI271" s="252">
        <f t="shared" si="252"/>
        <v>0</v>
      </c>
      <c r="AJ271" s="252">
        <f t="shared" si="252"/>
        <v>0</v>
      </c>
      <c r="AK271" s="252">
        <f t="shared" si="252"/>
        <v>0</v>
      </c>
      <c r="AL271" s="252">
        <f t="shared" si="252"/>
        <v>0</v>
      </c>
      <c r="AM271" s="252">
        <f t="shared" si="252"/>
        <v>0</v>
      </c>
      <c r="AN271" s="252">
        <f t="shared" si="252"/>
        <v>0</v>
      </c>
      <c r="AO271" s="252">
        <f t="shared" si="252"/>
        <v>0</v>
      </c>
      <c r="AP271" s="252">
        <f t="shared" si="252"/>
        <v>0</v>
      </c>
      <c r="AQ271" s="252">
        <f t="shared" si="252"/>
        <v>0</v>
      </c>
      <c r="AR271" s="252">
        <f t="shared" si="252"/>
        <v>0</v>
      </c>
      <c r="AS271" s="252">
        <f t="shared" si="252"/>
        <v>0</v>
      </c>
      <c r="AT271" s="252">
        <f t="shared" si="252"/>
        <v>0</v>
      </c>
      <c r="AU271" s="252">
        <f t="shared" si="252"/>
        <v>0</v>
      </c>
      <c r="AV271" s="252">
        <f t="shared" si="252"/>
        <v>0</v>
      </c>
      <c r="AW271" s="252">
        <f t="shared" si="252"/>
        <v>0</v>
      </c>
      <c r="AX271" s="252">
        <f t="shared" si="252"/>
        <v>0</v>
      </c>
      <c r="AY271" s="252">
        <f t="shared" si="252"/>
        <v>0</v>
      </c>
      <c r="AZ271" s="252">
        <f t="shared" si="252"/>
        <v>0</v>
      </c>
      <c r="BA271" s="252">
        <f t="shared" si="252"/>
        <v>0</v>
      </c>
      <c r="BB271" s="252">
        <f t="shared" si="252"/>
        <v>0</v>
      </c>
    </row>
    <row r="272" ht="15.75" customHeight="1">
      <c r="A272" s="742">
        <v>2011.0</v>
      </c>
      <c r="B272" s="38"/>
      <c r="C272" s="38"/>
      <c r="D272" s="38"/>
      <c r="E272" s="38"/>
      <c r="F272" s="38"/>
      <c r="G272" s="38"/>
      <c r="H272" s="38"/>
      <c r="I272" s="38"/>
      <c r="J272" s="38"/>
      <c r="K272" s="38"/>
      <c r="L272" s="38"/>
      <c r="M272" s="38"/>
      <c r="N272" s="38"/>
      <c r="O272" s="38"/>
      <c r="P272" s="38"/>
      <c r="Q272" s="38"/>
      <c r="R272" s="38"/>
      <c r="S272" s="38"/>
      <c r="T272" s="38"/>
      <c r="U272" s="38"/>
      <c r="V272" s="771">
        <v>0.0</v>
      </c>
      <c r="W272" s="252">
        <f t="shared" si="172"/>
        <v>0</v>
      </c>
      <c r="X272" s="252">
        <f t="shared" ref="X272:BB272" si="253">IF(AND(X$190-$A272&gt;$V$48,SUM($W272:W272)&lt;&gt;$V272),$V272,0)</f>
        <v>0</v>
      </c>
      <c r="Y272" s="252">
        <f t="shared" si="253"/>
        <v>0</v>
      </c>
      <c r="Z272" s="252">
        <f t="shared" si="253"/>
        <v>0</v>
      </c>
      <c r="AA272" s="252">
        <f t="shared" si="253"/>
        <v>0</v>
      </c>
      <c r="AB272" s="252">
        <f t="shared" si="253"/>
        <v>0</v>
      </c>
      <c r="AC272" s="252">
        <f t="shared" si="253"/>
        <v>0</v>
      </c>
      <c r="AD272" s="252">
        <f t="shared" si="253"/>
        <v>0</v>
      </c>
      <c r="AE272" s="252">
        <f t="shared" si="253"/>
        <v>0</v>
      </c>
      <c r="AF272" s="252">
        <f t="shared" si="253"/>
        <v>0</v>
      </c>
      <c r="AG272" s="252">
        <f t="shared" si="253"/>
        <v>0</v>
      </c>
      <c r="AH272" s="252">
        <f t="shared" si="253"/>
        <v>0</v>
      </c>
      <c r="AI272" s="252">
        <f t="shared" si="253"/>
        <v>0</v>
      </c>
      <c r="AJ272" s="252">
        <f t="shared" si="253"/>
        <v>0</v>
      </c>
      <c r="AK272" s="252">
        <f t="shared" si="253"/>
        <v>0</v>
      </c>
      <c r="AL272" s="252">
        <f t="shared" si="253"/>
        <v>0</v>
      </c>
      <c r="AM272" s="252">
        <f t="shared" si="253"/>
        <v>0</v>
      </c>
      <c r="AN272" s="252">
        <f t="shared" si="253"/>
        <v>0</v>
      </c>
      <c r="AO272" s="252">
        <f t="shared" si="253"/>
        <v>0</v>
      </c>
      <c r="AP272" s="252">
        <f t="shared" si="253"/>
        <v>0</v>
      </c>
      <c r="AQ272" s="252">
        <f t="shared" si="253"/>
        <v>0</v>
      </c>
      <c r="AR272" s="252">
        <f t="shared" si="253"/>
        <v>0</v>
      </c>
      <c r="AS272" s="252">
        <f t="shared" si="253"/>
        <v>0</v>
      </c>
      <c r="AT272" s="252">
        <f t="shared" si="253"/>
        <v>0</v>
      </c>
      <c r="AU272" s="252">
        <f t="shared" si="253"/>
        <v>0</v>
      </c>
      <c r="AV272" s="252">
        <f t="shared" si="253"/>
        <v>0</v>
      </c>
      <c r="AW272" s="252">
        <f t="shared" si="253"/>
        <v>0</v>
      </c>
      <c r="AX272" s="252">
        <f t="shared" si="253"/>
        <v>0</v>
      </c>
      <c r="AY272" s="252">
        <f t="shared" si="253"/>
        <v>0</v>
      </c>
      <c r="AZ272" s="252">
        <f t="shared" si="253"/>
        <v>0</v>
      </c>
      <c r="BA272" s="252">
        <f t="shared" si="253"/>
        <v>0</v>
      </c>
      <c r="BB272" s="252">
        <f t="shared" si="253"/>
        <v>0</v>
      </c>
    </row>
    <row r="273" ht="15.75" customHeight="1">
      <c r="A273" s="742">
        <v>2012.0</v>
      </c>
      <c r="B273" s="38"/>
      <c r="C273" s="38"/>
      <c r="D273" s="38"/>
      <c r="E273" s="38"/>
      <c r="F273" s="38"/>
      <c r="G273" s="38"/>
      <c r="H273" s="38"/>
      <c r="I273" s="38"/>
      <c r="J273" s="38"/>
      <c r="K273" s="38"/>
      <c r="L273" s="38"/>
      <c r="M273" s="38"/>
      <c r="N273" s="38"/>
      <c r="O273" s="38"/>
      <c r="P273" s="38"/>
      <c r="Q273" s="38"/>
      <c r="R273" s="38"/>
      <c r="S273" s="38"/>
      <c r="T273" s="38"/>
      <c r="U273" s="38"/>
      <c r="V273" s="771">
        <v>747.2</v>
      </c>
      <c r="W273" s="252">
        <f t="shared" si="172"/>
        <v>0</v>
      </c>
      <c r="X273" s="252">
        <f t="shared" ref="X273:BB273" si="254">IF(AND(X$190-$A273&gt;$V$48,SUM($W273:W273)&lt;&gt;$V273),$V273,0)</f>
        <v>0</v>
      </c>
      <c r="Y273" s="252">
        <f t="shared" si="254"/>
        <v>0</v>
      </c>
      <c r="Z273" s="252">
        <f t="shared" si="254"/>
        <v>0</v>
      </c>
      <c r="AA273" s="252">
        <f t="shared" si="254"/>
        <v>0</v>
      </c>
      <c r="AB273" s="252">
        <f t="shared" si="254"/>
        <v>0</v>
      </c>
      <c r="AC273" s="252">
        <f t="shared" si="254"/>
        <v>0</v>
      </c>
      <c r="AD273" s="252">
        <f t="shared" si="254"/>
        <v>0</v>
      </c>
      <c r="AE273" s="252">
        <f t="shared" si="254"/>
        <v>0</v>
      </c>
      <c r="AF273" s="252">
        <f t="shared" si="254"/>
        <v>0</v>
      </c>
      <c r="AG273" s="252">
        <f t="shared" si="254"/>
        <v>0</v>
      </c>
      <c r="AH273" s="252">
        <f t="shared" si="254"/>
        <v>0</v>
      </c>
      <c r="AI273" s="252">
        <f t="shared" si="254"/>
        <v>0</v>
      </c>
      <c r="AJ273" s="252">
        <f t="shared" si="254"/>
        <v>0</v>
      </c>
      <c r="AK273" s="252">
        <f t="shared" si="254"/>
        <v>0</v>
      </c>
      <c r="AL273" s="252">
        <f t="shared" si="254"/>
        <v>0</v>
      </c>
      <c r="AM273" s="252">
        <f t="shared" si="254"/>
        <v>0</v>
      </c>
      <c r="AN273" s="252">
        <f t="shared" si="254"/>
        <v>0</v>
      </c>
      <c r="AO273" s="252">
        <f t="shared" si="254"/>
        <v>0</v>
      </c>
      <c r="AP273" s="252">
        <f t="shared" si="254"/>
        <v>0</v>
      </c>
      <c r="AQ273" s="252">
        <f t="shared" si="254"/>
        <v>0</v>
      </c>
      <c r="AR273" s="252">
        <f t="shared" si="254"/>
        <v>0</v>
      </c>
      <c r="AS273" s="252">
        <f t="shared" si="254"/>
        <v>0</v>
      </c>
      <c r="AT273" s="252">
        <f t="shared" si="254"/>
        <v>0</v>
      </c>
      <c r="AU273" s="252">
        <f t="shared" si="254"/>
        <v>0</v>
      </c>
      <c r="AV273" s="252">
        <f t="shared" si="254"/>
        <v>0</v>
      </c>
      <c r="AW273" s="252">
        <f t="shared" si="254"/>
        <v>0</v>
      </c>
      <c r="AX273" s="252">
        <f t="shared" si="254"/>
        <v>0</v>
      </c>
      <c r="AY273" s="252">
        <f t="shared" si="254"/>
        <v>0</v>
      </c>
      <c r="AZ273" s="252">
        <f t="shared" si="254"/>
        <v>0</v>
      </c>
      <c r="BA273" s="252">
        <f t="shared" si="254"/>
        <v>0</v>
      </c>
      <c r="BB273" s="252">
        <f t="shared" si="254"/>
        <v>0</v>
      </c>
    </row>
    <row r="274" ht="15.75" customHeight="1">
      <c r="A274" s="742">
        <v>2013.0</v>
      </c>
      <c r="B274" s="38"/>
      <c r="C274" s="38"/>
      <c r="D274" s="38"/>
      <c r="E274" s="38"/>
      <c r="F274" s="38"/>
      <c r="G274" s="38"/>
      <c r="H274" s="38"/>
      <c r="I274" s="38"/>
      <c r="J274" s="38"/>
      <c r="K274" s="38"/>
      <c r="L274" s="38"/>
      <c r="M274" s="38"/>
      <c r="N274" s="38"/>
      <c r="O274" s="38"/>
      <c r="P274" s="38"/>
      <c r="Q274" s="38"/>
      <c r="R274" s="38"/>
      <c r="S274" s="38"/>
      <c r="T274" s="38"/>
      <c r="U274" s="38"/>
      <c r="V274" s="771">
        <v>57.3</v>
      </c>
      <c r="W274" s="252">
        <f t="shared" si="172"/>
        <v>0</v>
      </c>
      <c r="X274" s="252">
        <f t="shared" ref="X274:BB274" si="255">IF(AND(X$190-$A274&gt;$V$48,SUM($W274:W274)&lt;&gt;$V274),$V274,0)</f>
        <v>0</v>
      </c>
      <c r="Y274" s="252">
        <f t="shared" si="255"/>
        <v>0</v>
      </c>
      <c r="Z274" s="252">
        <f t="shared" si="255"/>
        <v>0</v>
      </c>
      <c r="AA274" s="252">
        <f t="shared" si="255"/>
        <v>0</v>
      </c>
      <c r="AB274" s="252">
        <f t="shared" si="255"/>
        <v>0</v>
      </c>
      <c r="AC274" s="252">
        <f t="shared" si="255"/>
        <v>0</v>
      </c>
      <c r="AD274" s="252">
        <f t="shared" si="255"/>
        <v>0</v>
      </c>
      <c r="AE274" s="252">
        <f t="shared" si="255"/>
        <v>0</v>
      </c>
      <c r="AF274" s="252">
        <f t="shared" si="255"/>
        <v>0</v>
      </c>
      <c r="AG274" s="252">
        <f t="shared" si="255"/>
        <v>0</v>
      </c>
      <c r="AH274" s="252">
        <f t="shared" si="255"/>
        <v>0</v>
      </c>
      <c r="AI274" s="252">
        <f t="shared" si="255"/>
        <v>0</v>
      </c>
      <c r="AJ274" s="252">
        <f t="shared" si="255"/>
        <v>0</v>
      </c>
      <c r="AK274" s="252">
        <f t="shared" si="255"/>
        <v>0</v>
      </c>
      <c r="AL274" s="252">
        <f t="shared" si="255"/>
        <v>0</v>
      </c>
      <c r="AM274" s="252">
        <f t="shared" si="255"/>
        <v>0</v>
      </c>
      <c r="AN274" s="252">
        <f t="shared" si="255"/>
        <v>0</v>
      </c>
      <c r="AO274" s="252">
        <f t="shared" si="255"/>
        <v>0</v>
      </c>
      <c r="AP274" s="252">
        <f t="shared" si="255"/>
        <v>0</v>
      </c>
      <c r="AQ274" s="252">
        <f t="shared" si="255"/>
        <v>0</v>
      </c>
      <c r="AR274" s="252">
        <f t="shared" si="255"/>
        <v>0</v>
      </c>
      <c r="AS274" s="252">
        <f t="shared" si="255"/>
        <v>0</v>
      </c>
      <c r="AT274" s="252">
        <f t="shared" si="255"/>
        <v>0</v>
      </c>
      <c r="AU274" s="252">
        <f t="shared" si="255"/>
        <v>0</v>
      </c>
      <c r="AV274" s="252">
        <f t="shared" si="255"/>
        <v>0</v>
      </c>
      <c r="AW274" s="252">
        <f t="shared" si="255"/>
        <v>0</v>
      </c>
      <c r="AX274" s="252">
        <f t="shared" si="255"/>
        <v>0</v>
      </c>
      <c r="AY274" s="252">
        <f t="shared" si="255"/>
        <v>0</v>
      </c>
      <c r="AZ274" s="252">
        <f t="shared" si="255"/>
        <v>0</v>
      </c>
      <c r="BA274" s="252">
        <f t="shared" si="255"/>
        <v>0</v>
      </c>
      <c r="BB274" s="252">
        <f t="shared" si="255"/>
        <v>0</v>
      </c>
    </row>
    <row r="275" ht="15.75" customHeight="1">
      <c r="A275" s="742">
        <v>2014.0</v>
      </c>
      <c r="B275" s="38"/>
      <c r="C275" s="38"/>
      <c r="D275" s="38"/>
      <c r="E275" s="38"/>
      <c r="F275" s="38"/>
      <c r="G275" s="38"/>
      <c r="H275" s="38"/>
      <c r="I275" s="38"/>
      <c r="J275" s="38"/>
      <c r="K275" s="38"/>
      <c r="L275" s="38"/>
      <c r="M275" s="38"/>
      <c r="N275" s="38"/>
      <c r="O275" s="38"/>
      <c r="P275" s="38"/>
      <c r="Q275" s="38"/>
      <c r="R275" s="38"/>
      <c r="S275" s="38"/>
      <c r="T275" s="38"/>
      <c r="U275" s="38"/>
      <c r="V275" s="771">
        <v>2.0</v>
      </c>
      <c r="W275" s="252">
        <f t="shared" si="172"/>
        <v>0</v>
      </c>
      <c r="X275" s="252">
        <f t="shared" ref="X275:BB275" si="256">IF(AND(X$190-$A275&gt;$V$48,SUM($W275:W275)&lt;&gt;$V275),$V275,0)</f>
        <v>0</v>
      </c>
      <c r="Y275" s="252">
        <f t="shared" si="256"/>
        <v>0</v>
      </c>
      <c r="Z275" s="252">
        <f t="shared" si="256"/>
        <v>0</v>
      </c>
      <c r="AA275" s="252">
        <f t="shared" si="256"/>
        <v>0</v>
      </c>
      <c r="AB275" s="252">
        <f t="shared" si="256"/>
        <v>0</v>
      </c>
      <c r="AC275" s="252">
        <f t="shared" si="256"/>
        <v>0</v>
      </c>
      <c r="AD275" s="252">
        <f t="shared" si="256"/>
        <v>0</v>
      </c>
      <c r="AE275" s="252">
        <f t="shared" si="256"/>
        <v>0</v>
      </c>
      <c r="AF275" s="252">
        <f t="shared" si="256"/>
        <v>0</v>
      </c>
      <c r="AG275" s="252">
        <f t="shared" si="256"/>
        <v>0</v>
      </c>
      <c r="AH275" s="252">
        <f t="shared" si="256"/>
        <v>0</v>
      </c>
      <c r="AI275" s="252">
        <f t="shared" si="256"/>
        <v>0</v>
      </c>
      <c r="AJ275" s="252">
        <f t="shared" si="256"/>
        <v>0</v>
      </c>
      <c r="AK275" s="252">
        <f t="shared" si="256"/>
        <v>0</v>
      </c>
      <c r="AL275" s="252">
        <f t="shared" si="256"/>
        <v>0</v>
      </c>
      <c r="AM275" s="252">
        <f t="shared" si="256"/>
        <v>0</v>
      </c>
      <c r="AN275" s="252">
        <f t="shared" si="256"/>
        <v>0</v>
      </c>
      <c r="AO275" s="252">
        <f t="shared" si="256"/>
        <v>0</v>
      </c>
      <c r="AP275" s="252">
        <f t="shared" si="256"/>
        <v>0</v>
      </c>
      <c r="AQ275" s="252">
        <f t="shared" si="256"/>
        <v>0</v>
      </c>
      <c r="AR275" s="252">
        <f t="shared" si="256"/>
        <v>0</v>
      </c>
      <c r="AS275" s="252">
        <f t="shared" si="256"/>
        <v>0</v>
      </c>
      <c r="AT275" s="252">
        <f t="shared" si="256"/>
        <v>0</v>
      </c>
      <c r="AU275" s="252">
        <f t="shared" si="256"/>
        <v>0</v>
      </c>
      <c r="AV275" s="252">
        <f t="shared" si="256"/>
        <v>0</v>
      </c>
      <c r="AW275" s="252">
        <f t="shared" si="256"/>
        <v>0</v>
      </c>
      <c r="AX275" s="252">
        <f t="shared" si="256"/>
        <v>0</v>
      </c>
      <c r="AY275" s="252">
        <f t="shared" si="256"/>
        <v>0</v>
      </c>
      <c r="AZ275" s="252">
        <f t="shared" si="256"/>
        <v>0</v>
      </c>
      <c r="BA275" s="252">
        <f t="shared" si="256"/>
        <v>0</v>
      </c>
      <c r="BB275" s="252">
        <f t="shared" si="256"/>
        <v>0</v>
      </c>
    </row>
    <row r="276" ht="15.75" customHeight="1">
      <c r="A276" s="742">
        <v>2015.0</v>
      </c>
      <c r="B276" s="38"/>
      <c r="C276" s="38"/>
      <c r="D276" s="38"/>
      <c r="E276" s="38"/>
      <c r="F276" s="38"/>
      <c r="G276" s="38"/>
      <c r="H276" s="38"/>
      <c r="I276" s="38"/>
      <c r="J276" s="38"/>
      <c r="K276" s="38"/>
      <c r="L276" s="38"/>
      <c r="M276" s="38"/>
      <c r="N276" s="38"/>
      <c r="O276" s="38"/>
      <c r="P276" s="38"/>
      <c r="Q276" s="38"/>
      <c r="R276" s="38"/>
      <c r="S276" s="38"/>
      <c r="T276" s="38"/>
      <c r="U276" s="38"/>
      <c r="V276" s="771">
        <v>7.2</v>
      </c>
      <c r="W276" s="252">
        <f t="shared" si="172"/>
        <v>0</v>
      </c>
      <c r="X276" s="252">
        <f t="shared" ref="X276:BB276" si="257">IF(AND(X$190-$A276&gt;$V$48,SUM($W276:W276)&lt;&gt;$V276),$V276,0)</f>
        <v>0</v>
      </c>
      <c r="Y276" s="252">
        <f t="shared" si="257"/>
        <v>0</v>
      </c>
      <c r="Z276" s="252">
        <f t="shared" si="257"/>
        <v>0</v>
      </c>
      <c r="AA276" s="252">
        <f t="shared" si="257"/>
        <v>0</v>
      </c>
      <c r="AB276" s="252">
        <f t="shared" si="257"/>
        <v>0</v>
      </c>
      <c r="AC276" s="252">
        <f t="shared" si="257"/>
        <v>0</v>
      </c>
      <c r="AD276" s="252">
        <f t="shared" si="257"/>
        <v>0</v>
      </c>
      <c r="AE276" s="252">
        <f t="shared" si="257"/>
        <v>0</v>
      </c>
      <c r="AF276" s="252">
        <f t="shared" si="257"/>
        <v>0</v>
      </c>
      <c r="AG276" s="252">
        <f t="shared" si="257"/>
        <v>0</v>
      </c>
      <c r="AH276" s="252">
        <f t="shared" si="257"/>
        <v>0</v>
      </c>
      <c r="AI276" s="252">
        <f t="shared" si="257"/>
        <v>0</v>
      </c>
      <c r="AJ276" s="252">
        <f t="shared" si="257"/>
        <v>0</v>
      </c>
      <c r="AK276" s="252">
        <f t="shared" si="257"/>
        <v>0</v>
      </c>
      <c r="AL276" s="252">
        <f t="shared" si="257"/>
        <v>0</v>
      </c>
      <c r="AM276" s="252">
        <f t="shared" si="257"/>
        <v>0</v>
      </c>
      <c r="AN276" s="252">
        <f t="shared" si="257"/>
        <v>0</v>
      </c>
      <c r="AO276" s="252">
        <f t="shared" si="257"/>
        <v>0</v>
      </c>
      <c r="AP276" s="252">
        <f t="shared" si="257"/>
        <v>0</v>
      </c>
      <c r="AQ276" s="252">
        <f t="shared" si="257"/>
        <v>0</v>
      </c>
      <c r="AR276" s="252">
        <f t="shared" si="257"/>
        <v>0</v>
      </c>
      <c r="AS276" s="252">
        <f t="shared" si="257"/>
        <v>0</v>
      </c>
      <c r="AT276" s="252">
        <f t="shared" si="257"/>
        <v>0</v>
      </c>
      <c r="AU276" s="252">
        <f t="shared" si="257"/>
        <v>0</v>
      </c>
      <c r="AV276" s="252">
        <f t="shared" si="257"/>
        <v>0</v>
      </c>
      <c r="AW276" s="252">
        <f t="shared" si="257"/>
        <v>0</v>
      </c>
      <c r="AX276" s="252">
        <f t="shared" si="257"/>
        <v>0</v>
      </c>
      <c r="AY276" s="252">
        <f t="shared" si="257"/>
        <v>0</v>
      </c>
      <c r="AZ276" s="252">
        <f t="shared" si="257"/>
        <v>0</v>
      </c>
      <c r="BA276" s="252">
        <f t="shared" si="257"/>
        <v>0</v>
      </c>
      <c r="BB276" s="252">
        <f t="shared" si="257"/>
        <v>0</v>
      </c>
    </row>
    <row r="277" ht="15.75" customHeight="1">
      <c r="A277" s="742">
        <v>2016.0</v>
      </c>
      <c r="B277" s="38"/>
      <c r="C277" s="38"/>
      <c r="D277" s="38"/>
      <c r="E277" s="38"/>
      <c r="F277" s="38"/>
      <c r="G277" s="38"/>
      <c r="H277" s="38"/>
      <c r="I277" s="38"/>
      <c r="J277" s="38"/>
      <c r="K277" s="38"/>
      <c r="L277" s="38"/>
      <c r="M277" s="38"/>
      <c r="N277" s="38"/>
      <c r="O277" s="38"/>
      <c r="P277" s="38"/>
      <c r="Q277" s="38"/>
      <c r="R277" s="38"/>
      <c r="S277" s="38"/>
      <c r="T277" s="38"/>
      <c r="U277" s="38"/>
      <c r="V277" s="771">
        <v>0.0</v>
      </c>
      <c r="W277" s="252">
        <f t="shared" si="172"/>
        <v>0</v>
      </c>
      <c r="X277" s="252">
        <f t="shared" ref="X277:BB277" si="258">IF(AND(X$190-$A277&gt;$V$48,SUM($W277:W277)&lt;&gt;$V277),$V277,0)</f>
        <v>0</v>
      </c>
      <c r="Y277" s="252">
        <f t="shared" si="258"/>
        <v>0</v>
      </c>
      <c r="Z277" s="252">
        <f t="shared" si="258"/>
        <v>0</v>
      </c>
      <c r="AA277" s="252">
        <f t="shared" si="258"/>
        <v>0</v>
      </c>
      <c r="AB277" s="252">
        <f t="shared" si="258"/>
        <v>0</v>
      </c>
      <c r="AC277" s="252">
        <f t="shared" si="258"/>
        <v>0</v>
      </c>
      <c r="AD277" s="252">
        <f t="shared" si="258"/>
        <v>0</v>
      </c>
      <c r="AE277" s="252">
        <f t="shared" si="258"/>
        <v>0</v>
      </c>
      <c r="AF277" s="252">
        <f t="shared" si="258"/>
        <v>0</v>
      </c>
      <c r="AG277" s="252">
        <f t="shared" si="258"/>
        <v>0</v>
      </c>
      <c r="AH277" s="252">
        <f t="shared" si="258"/>
        <v>0</v>
      </c>
      <c r="AI277" s="252">
        <f t="shared" si="258"/>
        <v>0</v>
      </c>
      <c r="AJ277" s="252">
        <f t="shared" si="258"/>
        <v>0</v>
      </c>
      <c r="AK277" s="252">
        <f t="shared" si="258"/>
        <v>0</v>
      </c>
      <c r="AL277" s="252">
        <f t="shared" si="258"/>
        <v>0</v>
      </c>
      <c r="AM277" s="252">
        <f t="shared" si="258"/>
        <v>0</v>
      </c>
      <c r="AN277" s="252">
        <f t="shared" si="258"/>
        <v>0</v>
      </c>
      <c r="AO277" s="252">
        <f t="shared" si="258"/>
        <v>0</v>
      </c>
      <c r="AP277" s="252">
        <f t="shared" si="258"/>
        <v>0</v>
      </c>
      <c r="AQ277" s="252">
        <f t="shared" si="258"/>
        <v>0</v>
      </c>
      <c r="AR277" s="252">
        <f t="shared" si="258"/>
        <v>0</v>
      </c>
      <c r="AS277" s="252">
        <f t="shared" si="258"/>
        <v>0</v>
      </c>
      <c r="AT277" s="252">
        <f t="shared" si="258"/>
        <v>0</v>
      </c>
      <c r="AU277" s="252">
        <f t="shared" si="258"/>
        <v>0</v>
      </c>
      <c r="AV277" s="252">
        <f t="shared" si="258"/>
        <v>0</v>
      </c>
      <c r="AW277" s="252">
        <f t="shared" si="258"/>
        <v>0</v>
      </c>
      <c r="AX277" s="252">
        <f t="shared" si="258"/>
        <v>0</v>
      </c>
      <c r="AY277" s="252">
        <f t="shared" si="258"/>
        <v>0</v>
      </c>
      <c r="AZ277" s="252">
        <f t="shared" si="258"/>
        <v>0</v>
      </c>
      <c r="BA277" s="252">
        <f t="shared" si="258"/>
        <v>0</v>
      </c>
      <c r="BB277" s="252">
        <f t="shared" si="258"/>
        <v>0</v>
      </c>
    </row>
    <row r="278" ht="15.75" customHeight="1">
      <c r="A278" s="742">
        <v>2017.0</v>
      </c>
      <c r="B278" s="38"/>
      <c r="C278" s="38"/>
      <c r="D278" s="38"/>
      <c r="E278" s="38"/>
      <c r="F278" s="38"/>
      <c r="G278" s="38"/>
      <c r="H278" s="38"/>
      <c r="I278" s="38"/>
      <c r="J278" s="38"/>
      <c r="K278" s="38"/>
      <c r="L278" s="38"/>
      <c r="M278" s="38"/>
      <c r="N278" s="38"/>
      <c r="O278" s="38"/>
      <c r="P278" s="38"/>
      <c r="Q278" s="38"/>
      <c r="R278" s="38"/>
      <c r="S278" s="38"/>
      <c r="T278" s="38"/>
      <c r="U278" s="38"/>
      <c r="V278" s="771">
        <v>127.3</v>
      </c>
      <c r="W278" s="252">
        <f t="shared" si="172"/>
        <v>0</v>
      </c>
      <c r="X278" s="252">
        <f t="shared" ref="X278:BB278" si="259">IF(AND(X$190-$A278&gt;$V$48,SUM($W278:W278)&lt;&gt;$V278),$V278,0)</f>
        <v>0</v>
      </c>
      <c r="Y278" s="252">
        <f t="shared" si="259"/>
        <v>0</v>
      </c>
      <c r="Z278" s="252">
        <f t="shared" si="259"/>
        <v>0</v>
      </c>
      <c r="AA278" s="252">
        <f t="shared" si="259"/>
        <v>0</v>
      </c>
      <c r="AB278" s="252">
        <f t="shared" si="259"/>
        <v>0</v>
      </c>
      <c r="AC278" s="252">
        <f t="shared" si="259"/>
        <v>0</v>
      </c>
      <c r="AD278" s="252">
        <f t="shared" si="259"/>
        <v>0</v>
      </c>
      <c r="AE278" s="252">
        <f t="shared" si="259"/>
        <v>0</v>
      </c>
      <c r="AF278" s="252">
        <f t="shared" si="259"/>
        <v>0</v>
      </c>
      <c r="AG278" s="252">
        <f t="shared" si="259"/>
        <v>0</v>
      </c>
      <c r="AH278" s="252">
        <f t="shared" si="259"/>
        <v>0</v>
      </c>
      <c r="AI278" s="252">
        <f t="shared" si="259"/>
        <v>0</v>
      </c>
      <c r="AJ278" s="252">
        <f t="shared" si="259"/>
        <v>0</v>
      </c>
      <c r="AK278" s="252">
        <f t="shared" si="259"/>
        <v>0</v>
      </c>
      <c r="AL278" s="252">
        <f t="shared" si="259"/>
        <v>0</v>
      </c>
      <c r="AM278" s="252">
        <f t="shared" si="259"/>
        <v>0</v>
      </c>
      <c r="AN278" s="252">
        <f t="shared" si="259"/>
        <v>0</v>
      </c>
      <c r="AO278" s="252">
        <f t="shared" si="259"/>
        <v>0</v>
      </c>
      <c r="AP278" s="252">
        <f t="shared" si="259"/>
        <v>0</v>
      </c>
      <c r="AQ278" s="252">
        <f t="shared" si="259"/>
        <v>0</v>
      </c>
      <c r="AR278" s="252">
        <f t="shared" si="259"/>
        <v>0</v>
      </c>
      <c r="AS278" s="252">
        <f t="shared" si="259"/>
        <v>0</v>
      </c>
      <c r="AT278" s="252">
        <f t="shared" si="259"/>
        <v>0</v>
      </c>
      <c r="AU278" s="252">
        <f t="shared" si="259"/>
        <v>0</v>
      </c>
      <c r="AV278" s="252">
        <f t="shared" si="259"/>
        <v>0</v>
      </c>
      <c r="AW278" s="252">
        <f t="shared" si="259"/>
        <v>0</v>
      </c>
      <c r="AX278" s="252">
        <f t="shared" si="259"/>
        <v>0</v>
      </c>
      <c r="AY278" s="252">
        <f t="shared" si="259"/>
        <v>0</v>
      </c>
      <c r="AZ278" s="252">
        <f t="shared" si="259"/>
        <v>0</v>
      </c>
      <c r="BA278" s="252">
        <f t="shared" si="259"/>
        <v>0</v>
      </c>
      <c r="BB278" s="252">
        <f t="shared" si="259"/>
        <v>0</v>
      </c>
    </row>
    <row r="279" ht="15.75" customHeight="1">
      <c r="A279" s="742">
        <v>2018.0</v>
      </c>
      <c r="B279" s="38"/>
      <c r="C279" s="38"/>
      <c r="D279" s="38"/>
      <c r="E279" s="38"/>
      <c r="F279" s="38"/>
      <c r="G279" s="38"/>
      <c r="H279" s="38"/>
      <c r="I279" s="38"/>
      <c r="J279" s="38"/>
      <c r="K279" s="38"/>
      <c r="L279" s="38"/>
      <c r="M279" s="38"/>
      <c r="N279" s="38"/>
      <c r="O279" s="38"/>
      <c r="P279" s="38"/>
      <c r="Q279" s="38"/>
      <c r="R279" s="38"/>
      <c r="S279" s="38"/>
      <c r="T279" s="38"/>
      <c r="U279" s="38"/>
      <c r="V279" s="771">
        <v>7.2</v>
      </c>
      <c r="W279" s="252">
        <f t="shared" si="172"/>
        <v>0</v>
      </c>
      <c r="X279" s="252">
        <f t="shared" ref="X279:BB279" si="260">IF(AND(X$190-$A279&gt;$V$48,SUM($W279:W279)&lt;&gt;$V279),$V279,0)</f>
        <v>0</v>
      </c>
      <c r="Y279" s="252">
        <f t="shared" si="260"/>
        <v>0</v>
      </c>
      <c r="Z279" s="252">
        <f t="shared" si="260"/>
        <v>0</v>
      </c>
      <c r="AA279" s="252">
        <f t="shared" si="260"/>
        <v>0</v>
      </c>
      <c r="AB279" s="252">
        <f t="shared" si="260"/>
        <v>0</v>
      </c>
      <c r="AC279" s="252">
        <f t="shared" si="260"/>
        <v>0</v>
      </c>
      <c r="AD279" s="252">
        <f t="shared" si="260"/>
        <v>0</v>
      </c>
      <c r="AE279" s="252">
        <f t="shared" si="260"/>
        <v>0</v>
      </c>
      <c r="AF279" s="252">
        <f t="shared" si="260"/>
        <v>0</v>
      </c>
      <c r="AG279" s="252">
        <f t="shared" si="260"/>
        <v>0</v>
      </c>
      <c r="AH279" s="252">
        <f t="shared" si="260"/>
        <v>0</v>
      </c>
      <c r="AI279" s="252">
        <f t="shared" si="260"/>
        <v>0</v>
      </c>
      <c r="AJ279" s="252">
        <f t="shared" si="260"/>
        <v>0</v>
      </c>
      <c r="AK279" s="252">
        <f t="shared" si="260"/>
        <v>0</v>
      </c>
      <c r="AL279" s="252">
        <f t="shared" si="260"/>
        <v>0</v>
      </c>
      <c r="AM279" s="252">
        <f t="shared" si="260"/>
        <v>0</v>
      </c>
      <c r="AN279" s="252">
        <f t="shared" si="260"/>
        <v>0</v>
      </c>
      <c r="AO279" s="252">
        <f t="shared" si="260"/>
        <v>0</v>
      </c>
      <c r="AP279" s="252">
        <f t="shared" si="260"/>
        <v>0</v>
      </c>
      <c r="AQ279" s="252">
        <f t="shared" si="260"/>
        <v>0</v>
      </c>
      <c r="AR279" s="252">
        <f t="shared" si="260"/>
        <v>0</v>
      </c>
      <c r="AS279" s="252">
        <f t="shared" si="260"/>
        <v>0</v>
      </c>
      <c r="AT279" s="252">
        <f t="shared" si="260"/>
        <v>0</v>
      </c>
      <c r="AU279" s="252">
        <f t="shared" si="260"/>
        <v>0</v>
      </c>
      <c r="AV279" s="252">
        <f t="shared" si="260"/>
        <v>0</v>
      </c>
      <c r="AW279" s="252">
        <f t="shared" si="260"/>
        <v>0</v>
      </c>
      <c r="AX279" s="252">
        <f t="shared" si="260"/>
        <v>0</v>
      </c>
      <c r="AY279" s="252">
        <f t="shared" si="260"/>
        <v>0</v>
      </c>
      <c r="AZ279" s="252">
        <f t="shared" si="260"/>
        <v>0</v>
      </c>
      <c r="BA279" s="252">
        <f t="shared" si="260"/>
        <v>0</v>
      </c>
      <c r="BB279" s="252">
        <f t="shared" si="260"/>
        <v>0</v>
      </c>
    </row>
    <row r="280" ht="15.75" customHeight="1">
      <c r="A280" s="742">
        <v>2019.0</v>
      </c>
      <c r="B280" s="38"/>
      <c r="C280" s="38"/>
      <c r="D280" s="38"/>
      <c r="E280" s="38"/>
      <c r="F280" s="38"/>
      <c r="G280" s="38"/>
      <c r="H280" s="38"/>
      <c r="I280" s="38"/>
      <c r="J280" s="38"/>
      <c r="K280" s="38"/>
      <c r="L280" s="38"/>
      <c r="M280" s="38"/>
      <c r="N280" s="38"/>
      <c r="O280" s="38"/>
      <c r="P280" s="38"/>
      <c r="Q280" s="38"/>
      <c r="R280" s="38"/>
      <c r="S280" s="38"/>
      <c r="T280" s="38"/>
      <c r="U280" s="38"/>
      <c r="V280" s="771">
        <v>0.0</v>
      </c>
      <c r="W280" s="746">
        <f t="shared" si="172"/>
        <v>0</v>
      </c>
      <c r="X280" s="746">
        <f t="shared" ref="X280:BB280" si="261">IF(AND(X$190-$A280&gt;$V$48,SUM($W280:W280)&lt;&gt;$V280),$V280,0)</f>
        <v>0</v>
      </c>
      <c r="Y280" s="746">
        <f t="shared" si="261"/>
        <v>0</v>
      </c>
      <c r="Z280" s="746">
        <f t="shared" si="261"/>
        <v>0</v>
      </c>
      <c r="AA280" s="746">
        <f t="shared" si="261"/>
        <v>0</v>
      </c>
      <c r="AB280" s="746">
        <f t="shared" si="261"/>
        <v>0</v>
      </c>
      <c r="AC280" s="746">
        <f t="shared" si="261"/>
        <v>0</v>
      </c>
      <c r="AD280" s="746">
        <f t="shared" si="261"/>
        <v>0</v>
      </c>
      <c r="AE280" s="746">
        <f t="shared" si="261"/>
        <v>0</v>
      </c>
      <c r="AF280" s="746">
        <f t="shared" si="261"/>
        <v>0</v>
      </c>
      <c r="AG280" s="746">
        <f t="shared" si="261"/>
        <v>0</v>
      </c>
      <c r="AH280" s="746">
        <f t="shared" si="261"/>
        <v>0</v>
      </c>
      <c r="AI280" s="746">
        <f t="shared" si="261"/>
        <v>0</v>
      </c>
      <c r="AJ280" s="746">
        <f t="shared" si="261"/>
        <v>0</v>
      </c>
      <c r="AK280" s="746">
        <f t="shared" si="261"/>
        <v>0</v>
      </c>
      <c r="AL280" s="746">
        <f t="shared" si="261"/>
        <v>0</v>
      </c>
      <c r="AM280" s="746">
        <f t="shared" si="261"/>
        <v>0</v>
      </c>
      <c r="AN280" s="746">
        <f t="shared" si="261"/>
        <v>0</v>
      </c>
      <c r="AO280" s="746">
        <f t="shared" si="261"/>
        <v>0</v>
      </c>
      <c r="AP280" s="746">
        <f t="shared" si="261"/>
        <v>0</v>
      </c>
      <c r="AQ280" s="746">
        <f t="shared" si="261"/>
        <v>0</v>
      </c>
      <c r="AR280" s="746">
        <f t="shared" si="261"/>
        <v>0</v>
      </c>
      <c r="AS280" s="746">
        <f t="shared" si="261"/>
        <v>0</v>
      </c>
      <c r="AT280" s="746">
        <f t="shared" si="261"/>
        <v>0</v>
      </c>
      <c r="AU280" s="746">
        <f t="shared" si="261"/>
        <v>0</v>
      </c>
      <c r="AV280" s="746">
        <f t="shared" si="261"/>
        <v>0</v>
      </c>
      <c r="AW280" s="746">
        <f t="shared" si="261"/>
        <v>0</v>
      </c>
      <c r="AX280" s="746">
        <f t="shared" si="261"/>
        <v>0</v>
      </c>
      <c r="AY280" s="746">
        <f t="shared" si="261"/>
        <v>0</v>
      </c>
      <c r="AZ280" s="746">
        <f t="shared" si="261"/>
        <v>0</v>
      </c>
      <c r="BA280" s="746">
        <f t="shared" si="261"/>
        <v>0</v>
      </c>
      <c r="BB280" s="746">
        <f t="shared" si="261"/>
        <v>0</v>
      </c>
    </row>
    <row r="281" ht="15.75" customHeight="1">
      <c r="A281" s="4">
        <v>2020.0</v>
      </c>
      <c r="V281">
        <f t="array" ref="V281:V311">transpose(Model!W439:BA439)</f>
        <v>0</v>
      </c>
      <c r="W281" s="746">
        <f t="shared" si="172"/>
        <v>0</v>
      </c>
      <c r="X281" s="746">
        <f t="shared" ref="X281:BB281" si="262">IF(AND(X$190-$A281&gt;$V$48,SUM($W281:W281)&lt;&gt;$V281),$V281,0)</f>
        <v>0</v>
      </c>
      <c r="Y281" s="746">
        <f t="shared" si="262"/>
        <v>0</v>
      </c>
      <c r="Z281" s="746">
        <f t="shared" si="262"/>
        <v>0</v>
      </c>
      <c r="AA281" s="746">
        <f t="shared" si="262"/>
        <v>0</v>
      </c>
      <c r="AB281" s="746">
        <f t="shared" si="262"/>
        <v>0</v>
      </c>
      <c r="AC281" s="746">
        <f t="shared" si="262"/>
        <v>0</v>
      </c>
      <c r="AD281" s="746">
        <f t="shared" si="262"/>
        <v>0</v>
      </c>
      <c r="AE281" s="746">
        <f t="shared" si="262"/>
        <v>0</v>
      </c>
      <c r="AF281" s="746">
        <f t="shared" si="262"/>
        <v>0</v>
      </c>
      <c r="AG281" s="746">
        <f t="shared" si="262"/>
        <v>0</v>
      </c>
      <c r="AH281" s="746">
        <f t="shared" si="262"/>
        <v>0</v>
      </c>
      <c r="AI281" s="746">
        <f t="shared" si="262"/>
        <v>0</v>
      </c>
      <c r="AJ281" s="746">
        <f t="shared" si="262"/>
        <v>0</v>
      </c>
      <c r="AK281" s="746">
        <f t="shared" si="262"/>
        <v>0</v>
      </c>
      <c r="AL281" s="746">
        <f t="shared" si="262"/>
        <v>0</v>
      </c>
      <c r="AM281" s="746">
        <f t="shared" si="262"/>
        <v>0</v>
      </c>
      <c r="AN281" s="746">
        <f t="shared" si="262"/>
        <v>0</v>
      </c>
      <c r="AO281" s="746">
        <f t="shared" si="262"/>
        <v>0</v>
      </c>
      <c r="AP281" s="746">
        <f t="shared" si="262"/>
        <v>0</v>
      </c>
      <c r="AQ281" s="746">
        <f t="shared" si="262"/>
        <v>0</v>
      </c>
      <c r="AR281" s="746">
        <f t="shared" si="262"/>
        <v>0</v>
      </c>
      <c r="AS281" s="746">
        <f t="shared" si="262"/>
        <v>0</v>
      </c>
      <c r="AT281" s="746">
        <f t="shared" si="262"/>
        <v>0</v>
      </c>
      <c r="AU281" s="746">
        <f t="shared" si="262"/>
        <v>0</v>
      </c>
      <c r="AV281" s="746">
        <f t="shared" si="262"/>
        <v>0</v>
      </c>
      <c r="AW281" s="746">
        <f t="shared" si="262"/>
        <v>0</v>
      </c>
      <c r="AX281" s="746">
        <f t="shared" si="262"/>
        <v>0</v>
      </c>
      <c r="AY281" s="746">
        <f t="shared" si="262"/>
        <v>0</v>
      </c>
      <c r="AZ281" s="746">
        <f t="shared" si="262"/>
        <v>0</v>
      </c>
      <c r="BA281" s="746">
        <f t="shared" si="262"/>
        <v>0</v>
      </c>
      <c r="BB281" s="746">
        <f t="shared" si="262"/>
        <v>0</v>
      </c>
    </row>
    <row r="282" ht="15.75" customHeight="1">
      <c r="A282" s="4">
        <v>2021.0</v>
      </c>
      <c r="V282" s="483">
        <v>4472.277987991194</v>
      </c>
      <c r="W282" s="746">
        <f t="shared" si="172"/>
        <v>0</v>
      </c>
      <c r="X282" s="746">
        <f t="shared" ref="X282:BB282" si="263">IF(AND(X$190-$A282&gt;$V$48,SUM($W282:W282)&lt;&gt;$V282),$V282,0)</f>
        <v>0</v>
      </c>
      <c r="Y282" s="746">
        <f t="shared" si="263"/>
        <v>0</v>
      </c>
      <c r="Z282" s="746">
        <f t="shared" si="263"/>
        <v>0</v>
      </c>
      <c r="AA282" s="746">
        <f t="shared" si="263"/>
        <v>0</v>
      </c>
      <c r="AB282" s="746">
        <f t="shared" si="263"/>
        <v>0</v>
      </c>
      <c r="AC282" s="746">
        <f t="shared" si="263"/>
        <v>0</v>
      </c>
      <c r="AD282" s="746">
        <f t="shared" si="263"/>
        <v>0</v>
      </c>
      <c r="AE282" s="746">
        <f t="shared" si="263"/>
        <v>0</v>
      </c>
      <c r="AF282" s="746">
        <f t="shared" si="263"/>
        <v>0</v>
      </c>
      <c r="AG282" s="746">
        <f t="shared" si="263"/>
        <v>0</v>
      </c>
      <c r="AH282" s="746">
        <f t="shared" si="263"/>
        <v>0</v>
      </c>
      <c r="AI282" s="746">
        <f t="shared" si="263"/>
        <v>0</v>
      </c>
      <c r="AJ282" s="746">
        <f t="shared" si="263"/>
        <v>0</v>
      </c>
      <c r="AK282" s="746">
        <f t="shared" si="263"/>
        <v>0</v>
      </c>
      <c r="AL282" s="746">
        <f t="shared" si="263"/>
        <v>0</v>
      </c>
      <c r="AM282" s="746">
        <f t="shared" si="263"/>
        <v>0</v>
      </c>
      <c r="AN282" s="746">
        <f t="shared" si="263"/>
        <v>0</v>
      </c>
      <c r="AO282" s="746">
        <f t="shared" si="263"/>
        <v>0</v>
      </c>
      <c r="AP282" s="746">
        <f t="shared" si="263"/>
        <v>0</v>
      </c>
      <c r="AQ282" s="746">
        <f t="shared" si="263"/>
        <v>0</v>
      </c>
      <c r="AR282" s="746">
        <f t="shared" si="263"/>
        <v>0</v>
      </c>
      <c r="AS282" s="746">
        <f t="shared" si="263"/>
        <v>0</v>
      </c>
      <c r="AT282" s="746">
        <f t="shared" si="263"/>
        <v>0</v>
      </c>
      <c r="AU282" s="746">
        <f t="shared" si="263"/>
        <v>0</v>
      </c>
      <c r="AV282" s="746">
        <f t="shared" si="263"/>
        <v>0</v>
      </c>
      <c r="AW282" s="746">
        <f t="shared" si="263"/>
        <v>0</v>
      </c>
      <c r="AX282" s="746">
        <f t="shared" si="263"/>
        <v>0</v>
      </c>
      <c r="AY282" s="746">
        <f t="shared" si="263"/>
        <v>0</v>
      </c>
      <c r="AZ282" s="746">
        <f t="shared" si="263"/>
        <v>0</v>
      </c>
      <c r="BA282" s="746">
        <f t="shared" si="263"/>
        <v>0</v>
      </c>
      <c r="BB282" s="746">
        <f t="shared" si="263"/>
        <v>0</v>
      </c>
    </row>
    <row r="283" ht="15.75" customHeight="1">
      <c r="A283" s="4">
        <v>2022.0</v>
      </c>
      <c r="V283" s="483">
        <v>501.6779879911992</v>
      </c>
      <c r="W283" s="746">
        <f t="shared" si="172"/>
        <v>0</v>
      </c>
      <c r="X283" s="746">
        <f t="shared" ref="X283:BB283" si="264">IF(AND(X$190-$A283&gt;$V$48,SUM($W283:W283)&lt;&gt;$V283),$V283,0)</f>
        <v>0</v>
      </c>
      <c r="Y283" s="746">
        <f t="shared" si="264"/>
        <v>0</v>
      </c>
      <c r="Z283" s="746">
        <f t="shared" si="264"/>
        <v>0</v>
      </c>
      <c r="AA283" s="746">
        <f t="shared" si="264"/>
        <v>0</v>
      </c>
      <c r="AB283" s="746">
        <f t="shared" si="264"/>
        <v>0</v>
      </c>
      <c r="AC283" s="746">
        <f t="shared" si="264"/>
        <v>0</v>
      </c>
      <c r="AD283" s="746">
        <f t="shared" si="264"/>
        <v>0</v>
      </c>
      <c r="AE283" s="746">
        <f t="shared" si="264"/>
        <v>0</v>
      </c>
      <c r="AF283" s="746">
        <f t="shared" si="264"/>
        <v>0</v>
      </c>
      <c r="AG283" s="746">
        <f t="shared" si="264"/>
        <v>0</v>
      </c>
      <c r="AH283" s="746">
        <f t="shared" si="264"/>
        <v>0</v>
      </c>
      <c r="AI283" s="746">
        <f t="shared" si="264"/>
        <v>0</v>
      </c>
      <c r="AJ283" s="746">
        <f t="shared" si="264"/>
        <v>0</v>
      </c>
      <c r="AK283" s="746">
        <f t="shared" si="264"/>
        <v>0</v>
      </c>
      <c r="AL283" s="746">
        <f t="shared" si="264"/>
        <v>0</v>
      </c>
      <c r="AM283" s="746">
        <f t="shared" si="264"/>
        <v>0</v>
      </c>
      <c r="AN283" s="746">
        <f t="shared" si="264"/>
        <v>0</v>
      </c>
      <c r="AO283" s="746">
        <f t="shared" si="264"/>
        <v>0</v>
      </c>
      <c r="AP283" s="746">
        <f t="shared" si="264"/>
        <v>0</v>
      </c>
      <c r="AQ283" s="746">
        <f t="shared" si="264"/>
        <v>0</v>
      </c>
      <c r="AR283" s="746">
        <f t="shared" si="264"/>
        <v>0</v>
      </c>
      <c r="AS283" s="746">
        <f t="shared" si="264"/>
        <v>0</v>
      </c>
      <c r="AT283" s="746">
        <f t="shared" si="264"/>
        <v>0</v>
      </c>
      <c r="AU283" s="746">
        <f t="shared" si="264"/>
        <v>0</v>
      </c>
      <c r="AV283" s="746">
        <f t="shared" si="264"/>
        <v>0</v>
      </c>
      <c r="AW283" s="746">
        <f t="shared" si="264"/>
        <v>0</v>
      </c>
      <c r="AX283" s="746">
        <f t="shared" si="264"/>
        <v>0</v>
      </c>
      <c r="AY283" s="746">
        <f t="shared" si="264"/>
        <v>0</v>
      </c>
      <c r="AZ283" s="746">
        <f t="shared" si="264"/>
        <v>0</v>
      </c>
      <c r="BA283" s="746">
        <f t="shared" si="264"/>
        <v>0</v>
      </c>
      <c r="BB283" s="746">
        <f t="shared" si="264"/>
        <v>0</v>
      </c>
    </row>
    <row r="284" ht="15.75" customHeight="1">
      <c r="A284" s="4">
        <v>2023.0</v>
      </c>
      <c r="V284" s="483">
        <v>311.4779879911948</v>
      </c>
      <c r="W284" s="746">
        <f t="shared" si="172"/>
        <v>0</v>
      </c>
      <c r="X284" s="746">
        <f t="shared" ref="X284:BB284" si="265">IF(AND(X$190-$A284&gt;$V$48,SUM($W284:W284)&lt;&gt;$V284),$V284,0)</f>
        <v>0</v>
      </c>
      <c r="Y284" s="746">
        <f t="shared" si="265"/>
        <v>0</v>
      </c>
      <c r="Z284" s="746">
        <f t="shared" si="265"/>
        <v>0</v>
      </c>
      <c r="AA284" s="746">
        <f t="shared" si="265"/>
        <v>0</v>
      </c>
      <c r="AB284" s="746">
        <f t="shared" si="265"/>
        <v>0</v>
      </c>
      <c r="AC284" s="746">
        <f t="shared" si="265"/>
        <v>0</v>
      </c>
      <c r="AD284" s="746">
        <f t="shared" si="265"/>
        <v>0</v>
      </c>
      <c r="AE284" s="746">
        <f t="shared" si="265"/>
        <v>0</v>
      </c>
      <c r="AF284" s="746">
        <f t="shared" si="265"/>
        <v>0</v>
      </c>
      <c r="AG284" s="746">
        <f t="shared" si="265"/>
        <v>0</v>
      </c>
      <c r="AH284" s="746">
        <f t="shared" si="265"/>
        <v>0</v>
      </c>
      <c r="AI284" s="746">
        <f t="shared" si="265"/>
        <v>0</v>
      </c>
      <c r="AJ284" s="746">
        <f t="shared" si="265"/>
        <v>0</v>
      </c>
      <c r="AK284" s="746">
        <f t="shared" si="265"/>
        <v>0</v>
      </c>
      <c r="AL284" s="746">
        <f t="shared" si="265"/>
        <v>0</v>
      </c>
      <c r="AM284" s="746">
        <f t="shared" si="265"/>
        <v>0</v>
      </c>
      <c r="AN284" s="746">
        <f t="shared" si="265"/>
        <v>0</v>
      </c>
      <c r="AO284" s="746">
        <f t="shared" si="265"/>
        <v>0</v>
      </c>
      <c r="AP284" s="746">
        <f t="shared" si="265"/>
        <v>0</v>
      </c>
      <c r="AQ284" s="746">
        <f t="shared" si="265"/>
        <v>0</v>
      </c>
      <c r="AR284" s="746">
        <f t="shared" si="265"/>
        <v>0</v>
      </c>
      <c r="AS284" s="746">
        <f t="shared" si="265"/>
        <v>0</v>
      </c>
      <c r="AT284" s="746">
        <f t="shared" si="265"/>
        <v>0</v>
      </c>
      <c r="AU284" s="746">
        <f t="shared" si="265"/>
        <v>0</v>
      </c>
      <c r="AV284" s="746">
        <f t="shared" si="265"/>
        <v>0</v>
      </c>
      <c r="AW284" s="746">
        <f t="shared" si="265"/>
        <v>0</v>
      </c>
      <c r="AX284" s="746">
        <f t="shared" si="265"/>
        <v>0</v>
      </c>
      <c r="AY284" s="746">
        <f t="shared" si="265"/>
        <v>0</v>
      </c>
      <c r="AZ284" s="746">
        <f t="shared" si="265"/>
        <v>0</v>
      </c>
      <c r="BA284" s="746">
        <f t="shared" si="265"/>
        <v>0</v>
      </c>
      <c r="BB284" s="746">
        <f t="shared" si="265"/>
        <v>0</v>
      </c>
    </row>
    <row r="285" ht="15.75" customHeight="1">
      <c r="A285" s="4">
        <v>2024.0</v>
      </c>
      <c r="V285" s="483">
        <v>674.4779879911948</v>
      </c>
      <c r="W285" s="746">
        <f t="shared" si="172"/>
        <v>0</v>
      </c>
      <c r="X285" s="746">
        <f t="shared" ref="X285:BB285" si="266">IF(AND(X$190-$A285&gt;$V$48,SUM($W285:W285)&lt;&gt;$V285),$V285,0)</f>
        <v>0</v>
      </c>
      <c r="Y285" s="746">
        <f t="shared" si="266"/>
        <v>0</v>
      </c>
      <c r="Z285" s="746">
        <f t="shared" si="266"/>
        <v>0</v>
      </c>
      <c r="AA285" s="746">
        <f t="shared" si="266"/>
        <v>0</v>
      </c>
      <c r="AB285" s="746">
        <f t="shared" si="266"/>
        <v>0</v>
      </c>
      <c r="AC285" s="746">
        <f t="shared" si="266"/>
        <v>0</v>
      </c>
      <c r="AD285" s="746">
        <f t="shared" si="266"/>
        <v>0</v>
      </c>
      <c r="AE285" s="746">
        <f t="shared" si="266"/>
        <v>0</v>
      </c>
      <c r="AF285" s="746">
        <f t="shared" si="266"/>
        <v>0</v>
      </c>
      <c r="AG285" s="746">
        <f t="shared" si="266"/>
        <v>0</v>
      </c>
      <c r="AH285" s="746">
        <f t="shared" si="266"/>
        <v>0</v>
      </c>
      <c r="AI285" s="746">
        <f t="shared" si="266"/>
        <v>0</v>
      </c>
      <c r="AJ285" s="746">
        <f t="shared" si="266"/>
        <v>0</v>
      </c>
      <c r="AK285" s="746">
        <f t="shared" si="266"/>
        <v>0</v>
      </c>
      <c r="AL285" s="746">
        <f t="shared" si="266"/>
        <v>0</v>
      </c>
      <c r="AM285" s="746">
        <f t="shared" si="266"/>
        <v>0</v>
      </c>
      <c r="AN285" s="746">
        <f t="shared" si="266"/>
        <v>0</v>
      </c>
      <c r="AO285" s="746">
        <f t="shared" si="266"/>
        <v>0</v>
      </c>
      <c r="AP285" s="746">
        <f t="shared" si="266"/>
        <v>0</v>
      </c>
      <c r="AQ285" s="746">
        <f t="shared" si="266"/>
        <v>0</v>
      </c>
      <c r="AR285" s="746">
        <f t="shared" si="266"/>
        <v>0</v>
      </c>
      <c r="AS285" s="746">
        <f t="shared" si="266"/>
        <v>0</v>
      </c>
      <c r="AT285" s="746">
        <f t="shared" si="266"/>
        <v>0</v>
      </c>
      <c r="AU285" s="746">
        <f t="shared" si="266"/>
        <v>0</v>
      </c>
      <c r="AV285" s="746">
        <f t="shared" si="266"/>
        <v>0</v>
      </c>
      <c r="AW285" s="746">
        <f t="shared" si="266"/>
        <v>0</v>
      </c>
      <c r="AX285" s="746">
        <f t="shared" si="266"/>
        <v>0</v>
      </c>
      <c r="AY285" s="746">
        <f t="shared" si="266"/>
        <v>0</v>
      </c>
      <c r="AZ285" s="746">
        <f t="shared" si="266"/>
        <v>0</v>
      </c>
      <c r="BA285" s="746">
        <f t="shared" si="266"/>
        <v>0</v>
      </c>
      <c r="BB285" s="746">
        <f t="shared" si="266"/>
        <v>0</v>
      </c>
    </row>
    <row r="286" ht="15.75" customHeight="1">
      <c r="A286" s="4">
        <v>2025.0</v>
      </c>
      <c r="V286" s="483">
        <v>1994.8779879911963</v>
      </c>
      <c r="W286" s="746">
        <f t="shared" si="172"/>
        <v>0</v>
      </c>
      <c r="X286" s="746">
        <f t="shared" ref="X286:BB286" si="267">IF(AND(X$190-$A286&gt;$V$48,SUM($W286:W286)&lt;&gt;$V286),$V286,0)</f>
        <v>0</v>
      </c>
      <c r="Y286" s="746">
        <f t="shared" si="267"/>
        <v>0</v>
      </c>
      <c r="Z286" s="746">
        <f t="shared" si="267"/>
        <v>0</v>
      </c>
      <c r="AA286" s="746">
        <f t="shared" si="267"/>
        <v>0</v>
      </c>
      <c r="AB286" s="746">
        <f t="shared" si="267"/>
        <v>0</v>
      </c>
      <c r="AC286" s="746">
        <f t="shared" si="267"/>
        <v>0</v>
      </c>
      <c r="AD286" s="746">
        <f t="shared" si="267"/>
        <v>0</v>
      </c>
      <c r="AE286" s="746">
        <f t="shared" si="267"/>
        <v>0</v>
      </c>
      <c r="AF286" s="746">
        <f t="shared" si="267"/>
        <v>0</v>
      </c>
      <c r="AG286" s="746">
        <f t="shared" si="267"/>
        <v>0</v>
      </c>
      <c r="AH286" s="746">
        <f t="shared" si="267"/>
        <v>0</v>
      </c>
      <c r="AI286" s="746">
        <f t="shared" si="267"/>
        <v>0</v>
      </c>
      <c r="AJ286" s="746">
        <f t="shared" si="267"/>
        <v>0</v>
      </c>
      <c r="AK286" s="746">
        <f t="shared" si="267"/>
        <v>0</v>
      </c>
      <c r="AL286" s="746">
        <f t="shared" si="267"/>
        <v>0</v>
      </c>
      <c r="AM286" s="746">
        <f t="shared" si="267"/>
        <v>0</v>
      </c>
      <c r="AN286" s="746">
        <f t="shared" si="267"/>
        <v>0</v>
      </c>
      <c r="AO286" s="746">
        <f t="shared" si="267"/>
        <v>0</v>
      </c>
      <c r="AP286" s="746">
        <f t="shared" si="267"/>
        <v>0</v>
      </c>
      <c r="AQ286" s="746">
        <f t="shared" si="267"/>
        <v>0</v>
      </c>
      <c r="AR286" s="746">
        <f t="shared" si="267"/>
        <v>0</v>
      </c>
      <c r="AS286" s="746">
        <f t="shared" si="267"/>
        <v>0</v>
      </c>
      <c r="AT286" s="746">
        <f t="shared" si="267"/>
        <v>0</v>
      </c>
      <c r="AU286" s="746">
        <f t="shared" si="267"/>
        <v>0</v>
      </c>
      <c r="AV286" s="746">
        <f t="shared" si="267"/>
        <v>0</v>
      </c>
      <c r="AW286" s="746">
        <f t="shared" si="267"/>
        <v>0</v>
      </c>
      <c r="AX286" s="746">
        <f t="shared" si="267"/>
        <v>0</v>
      </c>
      <c r="AY286" s="746">
        <f t="shared" si="267"/>
        <v>0</v>
      </c>
      <c r="AZ286" s="746">
        <f t="shared" si="267"/>
        <v>0</v>
      </c>
      <c r="BA286" s="746">
        <f t="shared" si="267"/>
        <v>0</v>
      </c>
      <c r="BB286" s="746">
        <f t="shared" si="267"/>
        <v>0</v>
      </c>
    </row>
    <row r="287" ht="15.75" customHeight="1">
      <c r="A287" s="4">
        <v>2026.0</v>
      </c>
      <c r="V287" s="483">
        <v>0.0</v>
      </c>
      <c r="W287" s="746">
        <f t="shared" si="172"/>
        <v>0</v>
      </c>
      <c r="X287" s="746">
        <f t="shared" ref="X287:BB287" si="268">IF(AND(X$190-$A287&gt;$V$48,SUM($W287:W287)&lt;&gt;$V287),$V287,0)</f>
        <v>0</v>
      </c>
      <c r="Y287" s="746">
        <f t="shared" si="268"/>
        <v>0</v>
      </c>
      <c r="Z287" s="746">
        <f t="shared" si="268"/>
        <v>0</v>
      </c>
      <c r="AA287" s="746">
        <f t="shared" si="268"/>
        <v>0</v>
      </c>
      <c r="AB287" s="746">
        <f t="shared" si="268"/>
        <v>0</v>
      </c>
      <c r="AC287" s="746">
        <f t="shared" si="268"/>
        <v>0</v>
      </c>
      <c r="AD287" s="746">
        <f t="shared" si="268"/>
        <v>0</v>
      </c>
      <c r="AE287" s="746">
        <f t="shared" si="268"/>
        <v>0</v>
      </c>
      <c r="AF287" s="746">
        <f t="shared" si="268"/>
        <v>0</v>
      </c>
      <c r="AG287" s="746">
        <f t="shared" si="268"/>
        <v>0</v>
      </c>
      <c r="AH287" s="746">
        <f t="shared" si="268"/>
        <v>0</v>
      </c>
      <c r="AI287" s="746">
        <f t="shared" si="268"/>
        <v>0</v>
      </c>
      <c r="AJ287" s="746">
        <f t="shared" si="268"/>
        <v>0</v>
      </c>
      <c r="AK287" s="746">
        <f t="shared" si="268"/>
        <v>0</v>
      </c>
      <c r="AL287" s="746">
        <f t="shared" si="268"/>
        <v>0</v>
      </c>
      <c r="AM287" s="746">
        <f t="shared" si="268"/>
        <v>0</v>
      </c>
      <c r="AN287" s="746">
        <f t="shared" si="268"/>
        <v>0</v>
      </c>
      <c r="AO287" s="746">
        <f t="shared" si="268"/>
        <v>0</v>
      </c>
      <c r="AP287" s="746">
        <f t="shared" si="268"/>
        <v>0</v>
      </c>
      <c r="AQ287" s="746">
        <f t="shared" si="268"/>
        <v>0</v>
      </c>
      <c r="AR287" s="746">
        <f t="shared" si="268"/>
        <v>0</v>
      </c>
      <c r="AS287" s="746">
        <f t="shared" si="268"/>
        <v>0</v>
      </c>
      <c r="AT287" s="746">
        <f t="shared" si="268"/>
        <v>0</v>
      </c>
      <c r="AU287" s="746">
        <f t="shared" si="268"/>
        <v>0</v>
      </c>
      <c r="AV287" s="746">
        <f t="shared" si="268"/>
        <v>0</v>
      </c>
      <c r="AW287" s="746">
        <f t="shared" si="268"/>
        <v>0</v>
      </c>
      <c r="AX287" s="746">
        <f t="shared" si="268"/>
        <v>0</v>
      </c>
      <c r="AY287" s="746">
        <f t="shared" si="268"/>
        <v>0</v>
      </c>
      <c r="AZ287" s="746">
        <f t="shared" si="268"/>
        <v>0</v>
      </c>
      <c r="BA287" s="746">
        <f t="shared" si="268"/>
        <v>0</v>
      </c>
      <c r="BB287" s="746">
        <f t="shared" si="268"/>
        <v>0</v>
      </c>
    </row>
    <row r="288" ht="15.75" customHeight="1">
      <c r="A288" s="4">
        <v>2027.0</v>
      </c>
      <c r="V288" s="483">
        <v>0.0</v>
      </c>
      <c r="W288" s="746">
        <f t="shared" si="172"/>
        <v>0</v>
      </c>
      <c r="X288" s="746">
        <f t="shared" ref="X288:BB288" si="269">IF(AND(X$190-$A288&gt;$V$48,SUM($W288:W288)&lt;&gt;$V288),$V288,0)</f>
        <v>0</v>
      </c>
      <c r="Y288" s="746">
        <f t="shared" si="269"/>
        <v>0</v>
      </c>
      <c r="Z288" s="746">
        <f t="shared" si="269"/>
        <v>0</v>
      </c>
      <c r="AA288" s="746">
        <f t="shared" si="269"/>
        <v>0</v>
      </c>
      <c r="AB288" s="746">
        <f t="shared" si="269"/>
        <v>0</v>
      </c>
      <c r="AC288" s="746">
        <f t="shared" si="269"/>
        <v>0</v>
      </c>
      <c r="AD288" s="746">
        <f t="shared" si="269"/>
        <v>0</v>
      </c>
      <c r="AE288" s="746">
        <f t="shared" si="269"/>
        <v>0</v>
      </c>
      <c r="AF288" s="746">
        <f t="shared" si="269"/>
        <v>0</v>
      </c>
      <c r="AG288" s="746">
        <f t="shared" si="269"/>
        <v>0</v>
      </c>
      <c r="AH288" s="746">
        <f t="shared" si="269"/>
        <v>0</v>
      </c>
      <c r="AI288" s="746">
        <f t="shared" si="269"/>
        <v>0</v>
      </c>
      <c r="AJ288" s="746">
        <f t="shared" si="269"/>
        <v>0</v>
      </c>
      <c r="AK288" s="746">
        <f t="shared" si="269"/>
        <v>0</v>
      </c>
      <c r="AL288" s="746">
        <f t="shared" si="269"/>
        <v>0</v>
      </c>
      <c r="AM288" s="746">
        <f t="shared" si="269"/>
        <v>0</v>
      </c>
      <c r="AN288" s="746">
        <f t="shared" si="269"/>
        <v>0</v>
      </c>
      <c r="AO288" s="746">
        <f t="shared" si="269"/>
        <v>0</v>
      </c>
      <c r="AP288" s="746">
        <f t="shared" si="269"/>
        <v>0</v>
      </c>
      <c r="AQ288" s="746">
        <f t="shared" si="269"/>
        <v>0</v>
      </c>
      <c r="AR288" s="746">
        <f t="shared" si="269"/>
        <v>0</v>
      </c>
      <c r="AS288" s="746">
        <f t="shared" si="269"/>
        <v>0</v>
      </c>
      <c r="AT288" s="746">
        <f t="shared" si="269"/>
        <v>0</v>
      </c>
      <c r="AU288" s="746">
        <f t="shared" si="269"/>
        <v>0</v>
      </c>
      <c r="AV288" s="746">
        <f t="shared" si="269"/>
        <v>0</v>
      </c>
      <c r="AW288" s="746">
        <f t="shared" si="269"/>
        <v>0</v>
      </c>
      <c r="AX288" s="746">
        <f t="shared" si="269"/>
        <v>0</v>
      </c>
      <c r="AY288" s="746">
        <f t="shared" si="269"/>
        <v>0</v>
      </c>
      <c r="AZ288" s="746">
        <f t="shared" si="269"/>
        <v>0</v>
      </c>
      <c r="BA288" s="746">
        <f t="shared" si="269"/>
        <v>0</v>
      </c>
      <c r="BB288" s="746">
        <f t="shared" si="269"/>
        <v>0</v>
      </c>
    </row>
    <row r="289" ht="15.75" customHeight="1">
      <c r="A289" s="4">
        <v>2028.0</v>
      </c>
      <c r="V289" s="483">
        <v>0.0</v>
      </c>
      <c r="W289" s="746">
        <f t="shared" si="172"/>
        <v>0</v>
      </c>
      <c r="X289" s="746">
        <f t="shared" ref="X289:BB289" si="270">IF(AND(X$190-$A289&gt;$V$48,SUM($W289:W289)&lt;&gt;$V289),$V289,0)</f>
        <v>0</v>
      </c>
      <c r="Y289" s="746">
        <f t="shared" si="270"/>
        <v>0</v>
      </c>
      <c r="Z289" s="746">
        <f t="shared" si="270"/>
        <v>0</v>
      </c>
      <c r="AA289" s="746">
        <f t="shared" si="270"/>
        <v>0</v>
      </c>
      <c r="AB289" s="746">
        <f t="shared" si="270"/>
        <v>0</v>
      </c>
      <c r="AC289" s="746">
        <f t="shared" si="270"/>
        <v>0</v>
      </c>
      <c r="AD289" s="746">
        <f t="shared" si="270"/>
        <v>0</v>
      </c>
      <c r="AE289" s="746">
        <f t="shared" si="270"/>
        <v>0</v>
      </c>
      <c r="AF289" s="746">
        <f t="shared" si="270"/>
        <v>0</v>
      </c>
      <c r="AG289" s="746">
        <f t="shared" si="270"/>
        <v>0</v>
      </c>
      <c r="AH289" s="746">
        <f t="shared" si="270"/>
        <v>0</v>
      </c>
      <c r="AI289" s="746">
        <f t="shared" si="270"/>
        <v>0</v>
      </c>
      <c r="AJ289" s="746">
        <f t="shared" si="270"/>
        <v>0</v>
      </c>
      <c r="AK289" s="746">
        <f t="shared" si="270"/>
        <v>0</v>
      </c>
      <c r="AL289" s="746">
        <f t="shared" si="270"/>
        <v>0</v>
      </c>
      <c r="AM289" s="746">
        <f t="shared" si="270"/>
        <v>0</v>
      </c>
      <c r="AN289" s="746">
        <f t="shared" si="270"/>
        <v>0</v>
      </c>
      <c r="AO289" s="746">
        <f t="shared" si="270"/>
        <v>0</v>
      </c>
      <c r="AP289" s="746">
        <f t="shared" si="270"/>
        <v>0</v>
      </c>
      <c r="AQ289" s="746">
        <f t="shared" si="270"/>
        <v>0</v>
      </c>
      <c r="AR289" s="746">
        <f t="shared" si="270"/>
        <v>0</v>
      </c>
      <c r="AS289" s="746">
        <f t="shared" si="270"/>
        <v>0</v>
      </c>
      <c r="AT289" s="746">
        <f t="shared" si="270"/>
        <v>0</v>
      </c>
      <c r="AU289" s="746">
        <f t="shared" si="270"/>
        <v>0</v>
      </c>
      <c r="AV289" s="746">
        <f t="shared" si="270"/>
        <v>0</v>
      </c>
      <c r="AW289" s="746">
        <f t="shared" si="270"/>
        <v>0</v>
      </c>
      <c r="AX289" s="746">
        <f t="shared" si="270"/>
        <v>0</v>
      </c>
      <c r="AY289" s="746">
        <f t="shared" si="270"/>
        <v>0</v>
      </c>
      <c r="AZ289" s="746">
        <f t="shared" si="270"/>
        <v>0</v>
      </c>
      <c r="BA289" s="746">
        <f t="shared" si="270"/>
        <v>0</v>
      </c>
      <c r="BB289" s="746">
        <f t="shared" si="270"/>
        <v>0</v>
      </c>
    </row>
    <row r="290" ht="15.75" customHeight="1">
      <c r="A290" s="4">
        <v>2029.0</v>
      </c>
      <c r="V290" s="483">
        <v>0.0</v>
      </c>
      <c r="W290" s="746">
        <f t="shared" si="172"/>
        <v>0</v>
      </c>
      <c r="X290" s="746">
        <f t="shared" ref="X290:BB290" si="271">IF(AND(X$190-$A290&gt;$V$48,SUM($W290:W290)&lt;&gt;$V290),$V290,0)</f>
        <v>0</v>
      </c>
      <c r="Y290" s="746">
        <f t="shared" si="271"/>
        <v>0</v>
      </c>
      <c r="Z290" s="746">
        <f t="shared" si="271"/>
        <v>0</v>
      </c>
      <c r="AA290" s="746">
        <f t="shared" si="271"/>
        <v>0</v>
      </c>
      <c r="AB290" s="746">
        <f t="shared" si="271"/>
        <v>0</v>
      </c>
      <c r="AC290" s="746">
        <f t="shared" si="271"/>
        <v>0</v>
      </c>
      <c r="AD290" s="746">
        <f t="shared" si="271"/>
        <v>0</v>
      </c>
      <c r="AE290" s="746">
        <f t="shared" si="271"/>
        <v>0</v>
      </c>
      <c r="AF290" s="746">
        <f t="shared" si="271"/>
        <v>0</v>
      </c>
      <c r="AG290" s="746">
        <f t="shared" si="271"/>
        <v>0</v>
      </c>
      <c r="AH290" s="746">
        <f t="shared" si="271"/>
        <v>0</v>
      </c>
      <c r="AI290" s="746">
        <f t="shared" si="271"/>
        <v>0</v>
      </c>
      <c r="AJ290" s="746">
        <f t="shared" si="271"/>
        <v>0</v>
      </c>
      <c r="AK290" s="746">
        <f t="shared" si="271"/>
        <v>0</v>
      </c>
      <c r="AL290" s="746">
        <f t="shared" si="271"/>
        <v>0</v>
      </c>
      <c r="AM290" s="746">
        <f t="shared" si="271"/>
        <v>0</v>
      </c>
      <c r="AN290" s="746">
        <f t="shared" si="271"/>
        <v>0</v>
      </c>
      <c r="AO290" s="746">
        <f t="shared" si="271"/>
        <v>0</v>
      </c>
      <c r="AP290" s="746">
        <f t="shared" si="271"/>
        <v>0</v>
      </c>
      <c r="AQ290" s="746">
        <f t="shared" si="271"/>
        <v>0</v>
      </c>
      <c r="AR290" s="746">
        <f t="shared" si="271"/>
        <v>0</v>
      </c>
      <c r="AS290" s="746">
        <f t="shared" si="271"/>
        <v>0</v>
      </c>
      <c r="AT290" s="746">
        <f t="shared" si="271"/>
        <v>0</v>
      </c>
      <c r="AU290" s="746">
        <f t="shared" si="271"/>
        <v>0</v>
      </c>
      <c r="AV290" s="746">
        <f t="shared" si="271"/>
        <v>0</v>
      </c>
      <c r="AW290" s="746">
        <f t="shared" si="271"/>
        <v>0</v>
      </c>
      <c r="AX290" s="746">
        <f t="shared" si="271"/>
        <v>0</v>
      </c>
      <c r="AY290" s="746">
        <f t="shared" si="271"/>
        <v>0</v>
      </c>
      <c r="AZ290" s="746">
        <f t="shared" si="271"/>
        <v>0</v>
      </c>
      <c r="BA290" s="746">
        <f t="shared" si="271"/>
        <v>0</v>
      </c>
      <c r="BB290" s="746">
        <f t="shared" si="271"/>
        <v>0</v>
      </c>
    </row>
    <row r="291" ht="15.75" customHeight="1">
      <c r="A291" s="4">
        <v>2030.0</v>
      </c>
      <c r="V291" s="483">
        <v>0.0</v>
      </c>
      <c r="W291" s="746">
        <f t="shared" si="172"/>
        <v>0</v>
      </c>
      <c r="X291" s="746">
        <f t="shared" ref="X291:BB291" si="272">IF(AND(X$190-$A291&gt;$V$48,SUM($W291:W291)&lt;&gt;$V291),$V291,0)</f>
        <v>0</v>
      </c>
      <c r="Y291" s="746">
        <f t="shared" si="272"/>
        <v>0</v>
      </c>
      <c r="Z291" s="746">
        <f t="shared" si="272"/>
        <v>0</v>
      </c>
      <c r="AA291" s="746">
        <f t="shared" si="272"/>
        <v>0</v>
      </c>
      <c r="AB291" s="746">
        <f t="shared" si="272"/>
        <v>0</v>
      </c>
      <c r="AC291" s="746">
        <f t="shared" si="272"/>
        <v>0</v>
      </c>
      <c r="AD291" s="746">
        <f t="shared" si="272"/>
        <v>0</v>
      </c>
      <c r="AE291" s="746">
        <f t="shared" si="272"/>
        <v>0</v>
      </c>
      <c r="AF291" s="746">
        <f t="shared" si="272"/>
        <v>0</v>
      </c>
      <c r="AG291" s="746">
        <f t="shared" si="272"/>
        <v>0</v>
      </c>
      <c r="AH291" s="746">
        <f t="shared" si="272"/>
        <v>0</v>
      </c>
      <c r="AI291" s="746">
        <f t="shared" si="272"/>
        <v>0</v>
      </c>
      <c r="AJ291" s="746">
        <f t="shared" si="272"/>
        <v>0</v>
      </c>
      <c r="AK291" s="746">
        <f t="shared" si="272"/>
        <v>0</v>
      </c>
      <c r="AL291" s="746">
        <f t="shared" si="272"/>
        <v>0</v>
      </c>
      <c r="AM291" s="746">
        <f t="shared" si="272"/>
        <v>0</v>
      </c>
      <c r="AN291" s="746">
        <f t="shared" si="272"/>
        <v>0</v>
      </c>
      <c r="AO291" s="746">
        <f t="shared" si="272"/>
        <v>0</v>
      </c>
      <c r="AP291" s="746">
        <f t="shared" si="272"/>
        <v>0</v>
      </c>
      <c r="AQ291" s="746">
        <f t="shared" si="272"/>
        <v>0</v>
      </c>
      <c r="AR291" s="746">
        <f t="shared" si="272"/>
        <v>0</v>
      </c>
      <c r="AS291" s="746">
        <f t="shared" si="272"/>
        <v>0</v>
      </c>
      <c r="AT291" s="746">
        <f t="shared" si="272"/>
        <v>0</v>
      </c>
      <c r="AU291" s="746">
        <f t="shared" si="272"/>
        <v>0</v>
      </c>
      <c r="AV291" s="746">
        <f t="shared" si="272"/>
        <v>0</v>
      </c>
      <c r="AW291" s="746">
        <f t="shared" si="272"/>
        <v>0</v>
      </c>
      <c r="AX291" s="746">
        <f t="shared" si="272"/>
        <v>0</v>
      </c>
      <c r="AY291" s="746">
        <f t="shared" si="272"/>
        <v>0</v>
      </c>
      <c r="AZ291" s="746">
        <f t="shared" si="272"/>
        <v>0</v>
      </c>
      <c r="BA291" s="746">
        <f t="shared" si="272"/>
        <v>0</v>
      </c>
      <c r="BB291" s="746">
        <f t="shared" si="272"/>
        <v>0</v>
      </c>
    </row>
    <row r="292" ht="15.75" customHeight="1">
      <c r="A292" s="4">
        <v>2031.0</v>
      </c>
      <c r="V292" s="483">
        <v>0.0</v>
      </c>
      <c r="W292" s="746">
        <f t="shared" si="172"/>
        <v>0</v>
      </c>
      <c r="X292" s="746">
        <f t="shared" ref="X292:BB292" si="273">IF(AND(X$190-$A292&gt;$V$48,SUM($W292:W292)&lt;&gt;$V292),$V292,0)</f>
        <v>0</v>
      </c>
      <c r="Y292" s="746">
        <f t="shared" si="273"/>
        <v>0</v>
      </c>
      <c r="Z292" s="746">
        <f t="shared" si="273"/>
        <v>0</v>
      </c>
      <c r="AA292" s="746">
        <f t="shared" si="273"/>
        <v>0</v>
      </c>
      <c r="AB292" s="746">
        <f t="shared" si="273"/>
        <v>0</v>
      </c>
      <c r="AC292" s="746">
        <f t="shared" si="273"/>
        <v>0</v>
      </c>
      <c r="AD292" s="746">
        <f t="shared" si="273"/>
        <v>0</v>
      </c>
      <c r="AE292" s="746">
        <f t="shared" si="273"/>
        <v>0</v>
      </c>
      <c r="AF292" s="746">
        <f t="shared" si="273"/>
        <v>0</v>
      </c>
      <c r="AG292" s="746">
        <f t="shared" si="273"/>
        <v>0</v>
      </c>
      <c r="AH292" s="746">
        <f t="shared" si="273"/>
        <v>0</v>
      </c>
      <c r="AI292" s="746">
        <f t="shared" si="273"/>
        <v>0</v>
      </c>
      <c r="AJ292" s="746">
        <f t="shared" si="273"/>
        <v>0</v>
      </c>
      <c r="AK292" s="746">
        <f t="shared" si="273"/>
        <v>0</v>
      </c>
      <c r="AL292" s="746">
        <f t="shared" si="273"/>
        <v>0</v>
      </c>
      <c r="AM292" s="746">
        <f t="shared" si="273"/>
        <v>0</v>
      </c>
      <c r="AN292" s="746">
        <f t="shared" si="273"/>
        <v>0</v>
      </c>
      <c r="AO292" s="746">
        <f t="shared" si="273"/>
        <v>0</v>
      </c>
      <c r="AP292" s="746">
        <f t="shared" si="273"/>
        <v>0</v>
      </c>
      <c r="AQ292" s="746">
        <f t="shared" si="273"/>
        <v>0</v>
      </c>
      <c r="AR292" s="746">
        <f t="shared" si="273"/>
        <v>0</v>
      </c>
      <c r="AS292" s="746">
        <f t="shared" si="273"/>
        <v>0</v>
      </c>
      <c r="AT292" s="746">
        <f t="shared" si="273"/>
        <v>0</v>
      </c>
      <c r="AU292" s="746">
        <f t="shared" si="273"/>
        <v>0</v>
      </c>
      <c r="AV292" s="746">
        <f t="shared" si="273"/>
        <v>0</v>
      </c>
      <c r="AW292" s="746">
        <f t="shared" si="273"/>
        <v>0</v>
      </c>
      <c r="AX292" s="746">
        <f t="shared" si="273"/>
        <v>0</v>
      </c>
      <c r="AY292" s="746">
        <f t="shared" si="273"/>
        <v>0</v>
      </c>
      <c r="AZ292" s="746">
        <f t="shared" si="273"/>
        <v>0</v>
      </c>
      <c r="BA292" s="746">
        <f t="shared" si="273"/>
        <v>0</v>
      </c>
      <c r="BB292" s="746">
        <f t="shared" si="273"/>
        <v>0</v>
      </c>
    </row>
    <row r="293" ht="15.75" customHeight="1">
      <c r="A293" s="4">
        <v>2032.0</v>
      </c>
      <c r="V293" s="483">
        <v>0.0</v>
      </c>
      <c r="W293" s="746">
        <f t="shared" si="172"/>
        <v>0</v>
      </c>
      <c r="X293" s="746">
        <f t="shared" ref="X293:BB293" si="274">IF(AND(X$190-$A293&gt;$V$48,SUM($W293:W293)&lt;&gt;$V293),$V293,0)</f>
        <v>0</v>
      </c>
      <c r="Y293" s="746">
        <f t="shared" si="274"/>
        <v>0</v>
      </c>
      <c r="Z293" s="746">
        <f t="shared" si="274"/>
        <v>0</v>
      </c>
      <c r="AA293" s="746">
        <f t="shared" si="274"/>
        <v>0</v>
      </c>
      <c r="AB293" s="746">
        <f t="shared" si="274"/>
        <v>0</v>
      </c>
      <c r="AC293" s="746">
        <f t="shared" si="274"/>
        <v>0</v>
      </c>
      <c r="AD293" s="746">
        <f t="shared" si="274"/>
        <v>0</v>
      </c>
      <c r="AE293" s="746">
        <f t="shared" si="274"/>
        <v>0</v>
      </c>
      <c r="AF293" s="746">
        <f t="shared" si="274"/>
        <v>0</v>
      </c>
      <c r="AG293" s="746">
        <f t="shared" si="274"/>
        <v>0</v>
      </c>
      <c r="AH293" s="746">
        <f t="shared" si="274"/>
        <v>0</v>
      </c>
      <c r="AI293" s="746">
        <f t="shared" si="274"/>
        <v>0</v>
      </c>
      <c r="AJ293" s="746">
        <f t="shared" si="274"/>
        <v>0</v>
      </c>
      <c r="AK293" s="746">
        <f t="shared" si="274"/>
        <v>0</v>
      </c>
      <c r="AL293" s="746">
        <f t="shared" si="274"/>
        <v>0</v>
      </c>
      <c r="AM293" s="746">
        <f t="shared" si="274"/>
        <v>0</v>
      </c>
      <c r="AN293" s="746">
        <f t="shared" si="274"/>
        <v>0</v>
      </c>
      <c r="AO293" s="746">
        <f t="shared" si="274"/>
        <v>0</v>
      </c>
      <c r="AP293" s="746">
        <f t="shared" si="274"/>
        <v>0</v>
      </c>
      <c r="AQ293" s="746">
        <f t="shared" si="274"/>
        <v>0</v>
      </c>
      <c r="AR293" s="746">
        <f t="shared" si="274"/>
        <v>0</v>
      </c>
      <c r="AS293" s="746">
        <f t="shared" si="274"/>
        <v>0</v>
      </c>
      <c r="AT293" s="746">
        <f t="shared" si="274"/>
        <v>0</v>
      </c>
      <c r="AU293" s="746">
        <f t="shared" si="274"/>
        <v>0</v>
      </c>
      <c r="AV293" s="746">
        <f t="shared" si="274"/>
        <v>0</v>
      </c>
      <c r="AW293" s="746">
        <f t="shared" si="274"/>
        <v>0</v>
      </c>
      <c r="AX293" s="746">
        <f t="shared" si="274"/>
        <v>0</v>
      </c>
      <c r="AY293" s="746">
        <f t="shared" si="274"/>
        <v>0</v>
      </c>
      <c r="AZ293" s="746">
        <f t="shared" si="274"/>
        <v>0</v>
      </c>
      <c r="BA293" s="746">
        <f t="shared" si="274"/>
        <v>0</v>
      </c>
      <c r="BB293" s="746">
        <f t="shared" si="274"/>
        <v>0</v>
      </c>
    </row>
    <row r="294" ht="15.75" customHeight="1">
      <c r="A294" s="4">
        <v>2033.0</v>
      </c>
      <c r="V294" s="483">
        <v>0.0</v>
      </c>
      <c r="W294" s="746">
        <f t="shared" si="172"/>
        <v>0</v>
      </c>
      <c r="X294" s="746">
        <f t="shared" ref="X294:BB294" si="275">IF(AND(X$190-$A294&gt;$V$48,SUM($W294:W294)&lt;&gt;$V294),$V294,0)</f>
        <v>0</v>
      </c>
      <c r="Y294" s="746">
        <f t="shared" si="275"/>
        <v>0</v>
      </c>
      <c r="Z294" s="746">
        <f t="shared" si="275"/>
        <v>0</v>
      </c>
      <c r="AA294" s="746">
        <f t="shared" si="275"/>
        <v>0</v>
      </c>
      <c r="AB294" s="746">
        <f t="shared" si="275"/>
        <v>0</v>
      </c>
      <c r="AC294" s="746">
        <f t="shared" si="275"/>
        <v>0</v>
      </c>
      <c r="AD294" s="746">
        <f t="shared" si="275"/>
        <v>0</v>
      </c>
      <c r="AE294" s="746">
        <f t="shared" si="275"/>
        <v>0</v>
      </c>
      <c r="AF294" s="746">
        <f t="shared" si="275"/>
        <v>0</v>
      </c>
      <c r="AG294" s="746">
        <f t="shared" si="275"/>
        <v>0</v>
      </c>
      <c r="AH294" s="746">
        <f t="shared" si="275"/>
        <v>0</v>
      </c>
      <c r="AI294" s="746">
        <f t="shared" si="275"/>
        <v>0</v>
      </c>
      <c r="AJ294" s="746">
        <f t="shared" si="275"/>
        <v>0</v>
      </c>
      <c r="AK294" s="746">
        <f t="shared" si="275"/>
        <v>0</v>
      </c>
      <c r="AL294" s="746">
        <f t="shared" si="275"/>
        <v>0</v>
      </c>
      <c r="AM294" s="746">
        <f t="shared" si="275"/>
        <v>0</v>
      </c>
      <c r="AN294" s="746">
        <f t="shared" si="275"/>
        <v>0</v>
      </c>
      <c r="AO294" s="746">
        <f t="shared" si="275"/>
        <v>0</v>
      </c>
      <c r="AP294" s="746">
        <f t="shared" si="275"/>
        <v>0</v>
      </c>
      <c r="AQ294" s="746">
        <f t="shared" si="275"/>
        <v>0</v>
      </c>
      <c r="AR294" s="746">
        <f t="shared" si="275"/>
        <v>0</v>
      </c>
      <c r="AS294" s="746">
        <f t="shared" si="275"/>
        <v>0</v>
      </c>
      <c r="AT294" s="746">
        <f t="shared" si="275"/>
        <v>0</v>
      </c>
      <c r="AU294" s="746">
        <f t="shared" si="275"/>
        <v>0</v>
      </c>
      <c r="AV294" s="746">
        <f t="shared" si="275"/>
        <v>0</v>
      </c>
      <c r="AW294" s="746">
        <f t="shared" si="275"/>
        <v>0</v>
      </c>
      <c r="AX294" s="746">
        <f t="shared" si="275"/>
        <v>0</v>
      </c>
      <c r="AY294" s="746">
        <f t="shared" si="275"/>
        <v>0</v>
      </c>
      <c r="AZ294" s="746">
        <f t="shared" si="275"/>
        <v>0</v>
      </c>
      <c r="BA294" s="746">
        <f t="shared" si="275"/>
        <v>0</v>
      </c>
      <c r="BB294" s="746">
        <f t="shared" si="275"/>
        <v>0</v>
      </c>
    </row>
    <row r="295" ht="16.5" customHeight="1">
      <c r="A295" s="4">
        <v>2034.0</v>
      </c>
      <c r="V295" s="483">
        <v>0.0</v>
      </c>
      <c r="W295" s="746">
        <f t="shared" si="172"/>
        <v>0</v>
      </c>
      <c r="X295" s="746">
        <f t="shared" ref="X295:BB295" si="276">IF(AND(X$190-$A295&gt;$V$48,SUM($W295:W295)&lt;&gt;$V295),$V295,0)</f>
        <v>0</v>
      </c>
      <c r="Y295" s="746">
        <f t="shared" si="276"/>
        <v>0</v>
      </c>
      <c r="Z295" s="746">
        <f t="shared" si="276"/>
        <v>0</v>
      </c>
      <c r="AA295" s="746">
        <f t="shared" si="276"/>
        <v>0</v>
      </c>
      <c r="AB295" s="746">
        <f t="shared" si="276"/>
        <v>0</v>
      </c>
      <c r="AC295" s="746">
        <f t="shared" si="276"/>
        <v>0</v>
      </c>
      <c r="AD295" s="746">
        <f t="shared" si="276"/>
        <v>0</v>
      </c>
      <c r="AE295" s="746">
        <f t="shared" si="276"/>
        <v>0</v>
      </c>
      <c r="AF295" s="746">
        <f t="shared" si="276"/>
        <v>0</v>
      </c>
      <c r="AG295" s="746">
        <f t="shared" si="276"/>
        <v>0</v>
      </c>
      <c r="AH295" s="746">
        <f t="shared" si="276"/>
        <v>0</v>
      </c>
      <c r="AI295" s="746">
        <f t="shared" si="276"/>
        <v>0</v>
      </c>
      <c r="AJ295" s="746">
        <f t="shared" si="276"/>
        <v>0</v>
      </c>
      <c r="AK295" s="746">
        <f t="shared" si="276"/>
        <v>0</v>
      </c>
      <c r="AL295" s="746">
        <f t="shared" si="276"/>
        <v>0</v>
      </c>
      <c r="AM295" s="746">
        <f t="shared" si="276"/>
        <v>0</v>
      </c>
      <c r="AN295" s="746">
        <f t="shared" si="276"/>
        <v>0</v>
      </c>
      <c r="AO295" s="746">
        <f t="shared" si="276"/>
        <v>0</v>
      </c>
      <c r="AP295" s="746">
        <f t="shared" si="276"/>
        <v>0</v>
      </c>
      <c r="AQ295" s="746">
        <f t="shared" si="276"/>
        <v>0</v>
      </c>
      <c r="AR295" s="746">
        <f t="shared" si="276"/>
        <v>0</v>
      </c>
      <c r="AS295" s="746">
        <f t="shared" si="276"/>
        <v>0</v>
      </c>
      <c r="AT295" s="746">
        <f t="shared" si="276"/>
        <v>0</v>
      </c>
      <c r="AU295" s="746">
        <f t="shared" si="276"/>
        <v>0</v>
      </c>
      <c r="AV295" s="746">
        <f t="shared" si="276"/>
        <v>0</v>
      </c>
      <c r="AW295" s="746">
        <f t="shared" si="276"/>
        <v>0</v>
      </c>
      <c r="AX295" s="746">
        <f t="shared" si="276"/>
        <v>0</v>
      </c>
      <c r="AY295" s="746">
        <f t="shared" si="276"/>
        <v>0</v>
      </c>
      <c r="AZ295" s="746">
        <f t="shared" si="276"/>
        <v>0</v>
      </c>
      <c r="BA295" s="746">
        <f t="shared" si="276"/>
        <v>0</v>
      </c>
      <c r="BB295" s="746">
        <f t="shared" si="276"/>
        <v>0</v>
      </c>
    </row>
    <row r="296" ht="16.5" customHeight="1">
      <c r="A296" s="4">
        <v>2035.0</v>
      </c>
      <c r="V296" s="483">
        <v>0.0</v>
      </c>
      <c r="W296" s="746">
        <f t="shared" si="172"/>
        <v>0</v>
      </c>
      <c r="X296" s="746">
        <f t="shared" ref="X296:BB296" si="277">IF(AND(X$190-$A296&gt;$V$48,SUM($W296:W296)&lt;&gt;$V296),$V296,0)</f>
        <v>0</v>
      </c>
      <c r="Y296" s="746">
        <f t="shared" si="277"/>
        <v>0</v>
      </c>
      <c r="Z296" s="746">
        <f t="shared" si="277"/>
        <v>0</v>
      </c>
      <c r="AA296" s="746">
        <f t="shared" si="277"/>
        <v>0</v>
      </c>
      <c r="AB296" s="746">
        <f t="shared" si="277"/>
        <v>0</v>
      </c>
      <c r="AC296" s="746">
        <f t="shared" si="277"/>
        <v>0</v>
      </c>
      <c r="AD296" s="746">
        <f t="shared" si="277"/>
        <v>0</v>
      </c>
      <c r="AE296" s="746">
        <f t="shared" si="277"/>
        <v>0</v>
      </c>
      <c r="AF296" s="746">
        <f t="shared" si="277"/>
        <v>0</v>
      </c>
      <c r="AG296" s="746">
        <f t="shared" si="277"/>
        <v>0</v>
      </c>
      <c r="AH296" s="746">
        <f t="shared" si="277"/>
        <v>0</v>
      </c>
      <c r="AI296" s="746">
        <f t="shared" si="277"/>
        <v>0</v>
      </c>
      <c r="AJ296" s="746">
        <f t="shared" si="277"/>
        <v>0</v>
      </c>
      <c r="AK296" s="746">
        <f t="shared" si="277"/>
        <v>0</v>
      </c>
      <c r="AL296" s="746">
        <f t="shared" si="277"/>
        <v>0</v>
      </c>
      <c r="AM296" s="746">
        <f t="shared" si="277"/>
        <v>0</v>
      </c>
      <c r="AN296" s="746">
        <f t="shared" si="277"/>
        <v>0</v>
      </c>
      <c r="AO296" s="746">
        <f t="shared" si="277"/>
        <v>0</v>
      </c>
      <c r="AP296" s="746">
        <f t="shared" si="277"/>
        <v>0</v>
      </c>
      <c r="AQ296" s="746">
        <f t="shared" si="277"/>
        <v>0</v>
      </c>
      <c r="AR296" s="746">
        <f t="shared" si="277"/>
        <v>0</v>
      </c>
      <c r="AS296" s="746">
        <f t="shared" si="277"/>
        <v>0</v>
      </c>
      <c r="AT296" s="746">
        <f t="shared" si="277"/>
        <v>0</v>
      </c>
      <c r="AU296" s="746">
        <f t="shared" si="277"/>
        <v>0</v>
      </c>
      <c r="AV296" s="746">
        <f t="shared" si="277"/>
        <v>0</v>
      </c>
      <c r="AW296" s="746">
        <f t="shared" si="277"/>
        <v>0</v>
      </c>
      <c r="AX296" s="746">
        <f t="shared" si="277"/>
        <v>0</v>
      </c>
      <c r="AY296" s="746">
        <f t="shared" si="277"/>
        <v>0</v>
      </c>
      <c r="AZ296" s="746">
        <f t="shared" si="277"/>
        <v>0</v>
      </c>
      <c r="BA296" s="746">
        <f t="shared" si="277"/>
        <v>0</v>
      </c>
      <c r="BB296" s="746">
        <f t="shared" si="277"/>
        <v>0</v>
      </c>
    </row>
    <row r="297" ht="16.5" customHeight="1">
      <c r="A297" s="4">
        <v>2036.0</v>
      </c>
      <c r="V297" s="483">
        <v>0.0</v>
      </c>
      <c r="W297" s="746">
        <f t="shared" si="172"/>
        <v>0</v>
      </c>
      <c r="X297" s="746">
        <f t="shared" ref="X297:BB297" si="278">IF(AND(X$190-$A297&gt;$V$48,SUM($W297:W297)&lt;&gt;$V297),$V297,0)</f>
        <v>0</v>
      </c>
      <c r="Y297" s="746">
        <f t="shared" si="278"/>
        <v>0</v>
      </c>
      <c r="Z297" s="746">
        <f t="shared" si="278"/>
        <v>0</v>
      </c>
      <c r="AA297" s="746">
        <f t="shared" si="278"/>
        <v>0</v>
      </c>
      <c r="AB297" s="746">
        <f t="shared" si="278"/>
        <v>0</v>
      </c>
      <c r="AC297" s="746">
        <f t="shared" si="278"/>
        <v>0</v>
      </c>
      <c r="AD297" s="746">
        <f t="shared" si="278"/>
        <v>0</v>
      </c>
      <c r="AE297" s="746">
        <f t="shared" si="278"/>
        <v>0</v>
      </c>
      <c r="AF297" s="746">
        <f t="shared" si="278"/>
        <v>0</v>
      </c>
      <c r="AG297" s="746">
        <f t="shared" si="278"/>
        <v>0</v>
      </c>
      <c r="AH297" s="746">
        <f t="shared" si="278"/>
        <v>0</v>
      </c>
      <c r="AI297" s="746">
        <f t="shared" si="278"/>
        <v>0</v>
      </c>
      <c r="AJ297" s="746">
        <f t="shared" si="278"/>
        <v>0</v>
      </c>
      <c r="AK297" s="746">
        <f t="shared" si="278"/>
        <v>0</v>
      </c>
      <c r="AL297" s="746">
        <f t="shared" si="278"/>
        <v>0</v>
      </c>
      <c r="AM297" s="746">
        <f t="shared" si="278"/>
        <v>0</v>
      </c>
      <c r="AN297" s="746">
        <f t="shared" si="278"/>
        <v>0</v>
      </c>
      <c r="AO297" s="746">
        <f t="shared" si="278"/>
        <v>0</v>
      </c>
      <c r="AP297" s="746">
        <f t="shared" si="278"/>
        <v>0</v>
      </c>
      <c r="AQ297" s="746">
        <f t="shared" si="278"/>
        <v>0</v>
      </c>
      <c r="AR297" s="746">
        <f t="shared" si="278"/>
        <v>0</v>
      </c>
      <c r="AS297" s="746">
        <f t="shared" si="278"/>
        <v>0</v>
      </c>
      <c r="AT297" s="746">
        <f t="shared" si="278"/>
        <v>0</v>
      </c>
      <c r="AU297" s="746">
        <f t="shared" si="278"/>
        <v>0</v>
      </c>
      <c r="AV297" s="746">
        <f t="shared" si="278"/>
        <v>0</v>
      </c>
      <c r="AW297" s="746">
        <f t="shared" si="278"/>
        <v>0</v>
      </c>
      <c r="AX297" s="746">
        <f t="shared" si="278"/>
        <v>0</v>
      </c>
      <c r="AY297" s="746">
        <f t="shared" si="278"/>
        <v>0</v>
      </c>
      <c r="AZ297" s="746">
        <f t="shared" si="278"/>
        <v>0</v>
      </c>
      <c r="BA297" s="746">
        <f t="shared" si="278"/>
        <v>0</v>
      </c>
      <c r="BB297" s="746">
        <f t="shared" si="278"/>
        <v>0</v>
      </c>
    </row>
    <row r="298" ht="16.5" customHeight="1">
      <c r="A298" s="4">
        <v>2037.0</v>
      </c>
      <c r="V298" s="483">
        <v>0.0</v>
      </c>
      <c r="W298" s="746">
        <f t="shared" si="172"/>
        <v>0</v>
      </c>
      <c r="X298" s="746">
        <f t="shared" ref="X298:BB298" si="279">IF(AND(X$190-$A298&gt;$V$48,SUM($W298:W298)&lt;&gt;$V298),$V298,0)</f>
        <v>0</v>
      </c>
      <c r="Y298" s="746">
        <f t="shared" si="279"/>
        <v>0</v>
      </c>
      <c r="Z298" s="746">
        <f t="shared" si="279"/>
        <v>0</v>
      </c>
      <c r="AA298" s="746">
        <f t="shared" si="279"/>
        <v>0</v>
      </c>
      <c r="AB298" s="746">
        <f t="shared" si="279"/>
        <v>0</v>
      </c>
      <c r="AC298" s="746">
        <f t="shared" si="279"/>
        <v>0</v>
      </c>
      <c r="AD298" s="746">
        <f t="shared" si="279"/>
        <v>0</v>
      </c>
      <c r="AE298" s="746">
        <f t="shared" si="279"/>
        <v>0</v>
      </c>
      <c r="AF298" s="746">
        <f t="shared" si="279"/>
        <v>0</v>
      </c>
      <c r="AG298" s="746">
        <f t="shared" si="279"/>
        <v>0</v>
      </c>
      <c r="AH298" s="746">
        <f t="shared" si="279"/>
        <v>0</v>
      </c>
      <c r="AI298" s="746">
        <f t="shared" si="279"/>
        <v>0</v>
      </c>
      <c r="AJ298" s="746">
        <f t="shared" si="279"/>
        <v>0</v>
      </c>
      <c r="AK298" s="746">
        <f t="shared" si="279"/>
        <v>0</v>
      </c>
      <c r="AL298" s="746">
        <f t="shared" si="279"/>
        <v>0</v>
      </c>
      <c r="AM298" s="746">
        <f t="shared" si="279"/>
        <v>0</v>
      </c>
      <c r="AN298" s="746">
        <f t="shared" si="279"/>
        <v>0</v>
      </c>
      <c r="AO298" s="746">
        <f t="shared" si="279"/>
        <v>0</v>
      </c>
      <c r="AP298" s="746">
        <f t="shared" si="279"/>
        <v>0</v>
      </c>
      <c r="AQ298" s="746">
        <f t="shared" si="279"/>
        <v>0</v>
      </c>
      <c r="AR298" s="746">
        <f t="shared" si="279"/>
        <v>0</v>
      </c>
      <c r="AS298" s="746">
        <f t="shared" si="279"/>
        <v>0</v>
      </c>
      <c r="AT298" s="746">
        <f t="shared" si="279"/>
        <v>0</v>
      </c>
      <c r="AU298" s="746">
        <f t="shared" si="279"/>
        <v>0</v>
      </c>
      <c r="AV298" s="746">
        <f t="shared" si="279"/>
        <v>0</v>
      </c>
      <c r="AW298" s="746">
        <f t="shared" si="279"/>
        <v>0</v>
      </c>
      <c r="AX298" s="746">
        <f t="shared" si="279"/>
        <v>0</v>
      </c>
      <c r="AY298" s="746">
        <f t="shared" si="279"/>
        <v>0</v>
      </c>
      <c r="AZ298" s="746">
        <f t="shared" si="279"/>
        <v>0</v>
      </c>
      <c r="BA298" s="746">
        <f t="shared" si="279"/>
        <v>0</v>
      </c>
      <c r="BB298" s="746">
        <f t="shared" si="279"/>
        <v>0</v>
      </c>
    </row>
    <row r="299" ht="16.5" customHeight="1">
      <c r="A299" s="4">
        <v>2038.0</v>
      </c>
      <c r="V299" s="483">
        <v>0.0</v>
      </c>
      <c r="W299" s="746">
        <f t="shared" si="172"/>
        <v>0</v>
      </c>
      <c r="X299" s="746">
        <f t="shared" ref="X299:BB299" si="280">IF(AND(X$190-$A299&gt;$V$48,SUM($W299:W299)&lt;&gt;$V299),$V299,0)</f>
        <v>0</v>
      </c>
      <c r="Y299" s="746">
        <f t="shared" si="280"/>
        <v>0</v>
      </c>
      <c r="Z299" s="746">
        <f t="shared" si="280"/>
        <v>0</v>
      </c>
      <c r="AA299" s="746">
        <f t="shared" si="280"/>
        <v>0</v>
      </c>
      <c r="AB299" s="746">
        <f t="shared" si="280"/>
        <v>0</v>
      </c>
      <c r="AC299" s="746">
        <f t="shared" si="280"/>
        <v>0</v>
      </c>
      <c r="AD299" s="746">
        <f t="shared" si="280"/>
        <v>0</v>
      </c>
      <c r="AE299" s="746">
        <f t="shared" si="280"/>
        <v>0</v>
      </c>
      <c r="AF299" s="746">
        <f t="shared" si="280"/>
        <v>0</v>
      </c>
      <c r="AG299" s="746">
        <f t="shared" si="280"/>
        <v>0</v>
      </c>
      <c r="AH299" s="746">
        <f t="shared" si="280"/>
        <v>0</v>
      </c>
      <c r="AI299" s="746">
        <f t="shared" si="280"/>
        <v>0</v>
      </c>
      <c r="AJ299" s="746">
        <f t="shared" si="280"/>
        <v>0</v>
      </c>
      <c r="AK299" s="746">
        <f t="shared" si="280"/>
        <v>0</v>
      </c>
      <c r="AL299" s="746">
        <f t="shared" si="280"/>
        <v>0</v>
      </c>
      <c r="AM299" s="746">
        <f t="shared" si="280"/>
        <v>0</v>
      </c>
      <c r="AN299" s="746">
        <f t="shared" si="280"/>
        <v>0</v>
      </c>
      <c r="AO299" s="746">
        <f t="shared" si="280"/>
        <v>0</v>
      </c>
      <c r="AP299" s="746">
        <f t="shared" si="280"/>
        <v>0</v>
      </c>
      <c r="AQ299" s="746">
        <f t="shared" si="280"/>
        <v>0</v>
      </c>
      <c r="AR299" s="746">
        <f t="shared" si="280"/>
        <v>0</v>
      </c>
      <c r="AS299" s="746">
        <f t="shared" si="280"/>
        <v>0</v>
      </c>
      <c r="AT299" s="746">
        <f t="shared" si="280"/>
        <v>0</v>
      </c>
      <c r="AU299" s="746">
        <f t="shared" si="280"/>
        <v>0</v>
      </c>
      <c r="AV299" s="746">
        <f t="shared" si="280"/>
        <v>0</v>
      </c>
      <c r="AW299" s="746">
        <f t="shared" si="280"/>
        <v>0</v>
      </c>
      <c r="AX299" s="746">
        <f t="shared" si="280"/>
        <v>0</v>
      </c>
      <c r="AY299" s="746">
        <f t="shared" si="280"/>
        <v>0</v>
      </c>
      <c r="AZ299" s="746">
        <f t="shared" si="280"/>
        <v>0</v>
      </c>
      <c r="BA299" s="746">
        <f t="shared" si="280"/>
        <v>0</v>
      </c>
      <c r="BB299" s="746">
        <f t="shared" si="280"/>
        <v>0</v>
      </c>
    </row>
    <row r="300" ht="16.5" customHeight="1">
      <c r="A300" s="4">
        <v>2039.0</v>
      </c>
      <c r="V300" s="483">
        <v>0.0</v>
      </c>
      <c r="W300" s="746">
        <f t="shared" si="172"/>
        <v>0</v>
      </c>
      <c r="X300" s="746">
        <f t="shared" ref="X300:BB300" si="281">IF(AND(X$190-$A300&gt;$V$48,SUM($W300:W300)&lt;&gt;$V300),$V300,0)</f>
        <v>0</v>
      </c>
      <c r="Y300" s="746">
        <f t="shared" si="281"/>
        <v>0</v>
      </c>
      <c r="Z300" s="746">
        <f t="shared" si="281"/>
        <v>0</v>
      </c>
      <c r="AA300" s="746">
        <f t="shared" si="281"/>
        <v>0</v>
      </c>
      <c r="AB300" s="746">
        <f t="shared" si="281"/>
        <v>0</v>
      </c>
      <c r="AC300" s="746">
        <f t="shared" si="281"/>
        <v>0</v>
      </c>
      <c r="AD300" s="746">
        <f t="shared" si="281"/>
        <v>0</v>
      </c>
      <c r="AE300" s="746">
        <f t="shared" si="281"/>
        <v>0</v>
      </c>
      <c r="AF300" s="746">
        <f t="shared" si="281"/>
        <v>0</v>
      </c>
      <c r="AG300" s="746">
        <f t="shared" si="281"/>
        <v>0</v>
      </c>
      <c r="AH300" s="746">
        <f t="shared" si="281"/>
        <v>0</v>
      </c>
      <c r="AI300" s="746">
        <f t="shared" si="281"/>
        <v>0</v>
      </c>
      <c r="AJ300" s="746">
        <f t="shared" si="281"/>
        <v>0</v>
      </c>
      <c r="AK300" s="746">
        <f t="shared" si="281"/>
        <v>0</v>
      </c>
      <c r="AL300" s="746">
        <f t="shared" si="281"/>
        <v>0</v>
      </c>
      <c r="AM300" s="746">
        <f t="shared" si="281"/>
        <v>0</v>
      </c>
      <c r="AN300" s="746">
        <f t="shared" si="281"/>
        <v>0</v>
      </c>
      <c r="AO300" s="746">
        <f t="shared" si="281"/>
        <v>0</v>
      </c>
      <c r="AP300" s="746">
        <f t="shared" si="281"/>
        <v>0</v>
      </c>
      <c r="AQ300" s="746">
        <f t="shared" si="281"/>
        <v>0</v>
      </c>
      <c r="AR300" s="746">
        <f t="shared" si="281"/>
        <v>0</v>
      </c>
      <c r="AS300" s="746">
        <f t="shared" si="281"/>
        <v>0</v>
      </c>
      <c r="AT300" s="746">
        <f t="shared" si="281"/>
        <v>0</v>
      </c>
      <c r="AU300" s="746">
        <f t="shared" si="281"/>
        <v>0</v>
      </c>
      <c r="AV300" s="746">
        <f t="shared" si="281"/>
        <v>0</v>
      </c>
      <c r="AW300" s="746">
        <f t="shared" si="281"/>
        <v>0</v>
      </c>
      <c r="AX300" s="746">
        <f t="shared" si="281"/>
        <v>0</v>
      </c>
      <c r="AY300" s="746">
        <f t="shared" si="281"/>
        <v>0</v>
      </c>
      <c r="AZ300" s="746">
        <f t="shared" si="281"/>
        <v>0</v>
      </c>
      <c r="BA300" s="746">
        <f t="shared" si="281"/>
        <v>0</v>
      </c>
      <c r="BB300" s="746">
        <f t="shared" si="281"/>
        <v>0</v>
      </c>
    </row>
    <row r="301" ht="16.5" customHeight="1">
      <c r="A301" s="4">
        <v>2040.0</v>
      </c>
      <c r="V301" s="483">
        <v>0.0</v>
      </c>
      <c r="W301" s="746">
        <f t="shared" si="172"/>
        <v>0</v>
      </c>
      <c r="X301" s="746">
        <f t="shared" ref="X301:BB301" si="282">IF(AND(X$190-$A301&gt;$V$48,SUM($W301:W301)&lt;&gt;$V301),$V301,0)</f>
        <v>0</v>
      </c>
      <c r="Y301" s="746">
        <f t="shared" si="282"/>
        <v>0</v>
      </c>
      <c r="Z301" s="746">
        <f t="shared" si="282"/>
        <v>0</v>
      </c>
      <c r="AA301" s="746">
        <f t="shared" si="282"/>
        <v>0</v>
      </c>
      <c r="AB301" s="746">
        <f t="shared" si="282"/>
        <v>0</v>
      </c>
      <c r="AC301" s="746">
        <f t="shared" si="282"/>
        <v>0</v>
      </c>
      <c r="AD301" s="746">
        <f t="shared" si="282"/>
        <v>0</v>
      </c>
      <c r="AE301" s="746">
        <f t="shared" si="282"/>
        <v>0</v>
      </c>
      <c r="AF301" s="746">
        <f t="shared" si="282"/>
        <v>0</v>
      </c>
      <c r="AG301" s="746">
        <f t="shared" si="282"/>
        <v>0</v>
      </c>
      <c r="AH301" s="746">
        <f t="shared" si="282"/>
        <v>0</v>
      </c>
      <c r="AI301" s="746">
        <f t="shared" si="282"/>
        <v>0</v>
      </c>
      <c r="AJ301" s="746">
        <f t="shared" si="282"/>
        <v>0</v>
      </c>
      <c r="AK301" s="746">
        <f t="shared" si="282"/>
        <v>0</v>
      </c>
      <c r="AL301" s="746">
        <f t="shared" si="282"/>
        <v>0</v>
      </c>
      <c r="AM301" s="746">
        <f t="shared" si="282"/>
        <v>0</v>
      </c>
      <c r="AN301" s="746">
        <f t="shared" si="282"/>
        <v>0</v>
      </c>
      <c r="AO301" s="746">
        <f t="shared" si="282"/>
        <v>0</v>
      </c>
      <c r="AP301" s="746">
        <f t="shared" si="282"/>
        <v>0</v>
      </c>
      <c r="AQ301" s="746">
        <f t="shared" si="282"/>
        <v>0</v>
      </c>
      <c r="AR301" s="746">
        <f t="shared" si="282"/>
        <v>0</v>
      </c>
      <c r="AS301" s="746">
        <f t="shared" si="282"/>
        <v>0</v>
      </c>
      <c r="AT301" s="746">
        <f t="shared" si="282"/>
        <v>0</v>
      </c>
      <c r="AU301" s="746">
        <f t="shared" si="282"/>
        <v>0</v>
      </c>
      <c r="AV301" s="746">
        <f t="shared" si="282"/>
        <v>0</v>
      </c>
      <c r="AW301" s="746">
        <f t="shared" si="282"/>
        <v>0</v>
      </c>
      <c r="AX301" s="746">
        <f t="shared" si="282"/>
        <v>0</v>
      </c>
      <c r="AY301" s="746">
        <f t="shared" si="282"/>
        <v>0</v>
      </c>
      <c r="AZ301" s="746">
        <f t="shared" si="282"/>
        <v>0</v>
      </c>
      <c r="BA301" s="746">
        <f t="shared" si="282"/>
        <v>0</v>
      </c>
      <c r="BB301" s="746">
        <f t="shared" si="282"/>
        <v>0</v>
      </c>
    </row>
    <row r="302" ht="16.5" customHeight="1">
      <c r="A302" s="4">
        <v>2041.0</v>
      </c>
      <c r="V302" s="483">
        <v>0.0</v>
      </c>
      <c r="W302" s="746">
        <f t="shared" si="172"/>
        <v>0</v>
      </c>
      <c r="X302" s="746">
        <f t="shared" ref="X302:BB302" si="283">IF(AND(X$190-$A302&gt;$V$48,SUM($W302:W302)&lt;&gt;$V302),$V302,0)</f>
        <v>0</v>
      </c>
      <c r="Y302" s="746">
        <f t="shared" si="283"/>
        <v>0</v>
      </c>
      <c r="Z302" s="746">
        <f t="shared" si="283"/>
        <v>0</v>
      </c>
      <c r="AA302" s="746">
        <f t="shared" si="283"/>
        <v>0</v>
      </c>
      <c r="AB302" s="746">
        <f t="shared" si="283"/>
        <v>0</v>
      </c>
      <c r="AC302" s="746">
        <f t="shared" si="283"/>
        <v>0</v>
      </c>
      <c r="AD302" s="746">
        <f t="shared" si="283"/>
        <v>0</v>
      </c>
      <c r="AE302" s="746">
        <f t="shared" si="283"/>
        <v>0</v>
      </c>
      <c r="AF302" s="746">
        <f t="shared" si="283"/>
        <v>0</v>
      </c>
      <c r="AG302" s="746">
        <f t="shared" si="283"/>
        <v>0</v>
      </c>
      <c r="AH302" s="746">
        <f t="shared" si="283"/>
        <v>0</v>
      </c>
      <c r="AI302" s="746">
        <f t="shared" si="283"/>
        <v>0</v>
      </c>
      <c r="AJ302" s="746">
        <f t="shared" si="283"/>
        <v>0</v>
      </c>
      <c r="AK302" s="746">
        <f t="shared" si="283"/>
        <v>0</v>
      </c>
      <c r="AL302" s="746">
        <f t="shared" si="283"/>
        <v>0</v>
      </c>
      <c r="AM302" s="746">
        <f t="shared" si="283"/>
        <v>0</v>
      </c>
      <c r="AN302" s="746">
        <f t="shared" si="283"/>
        <v>0</v>
      </c>
      <c r="AO302" s="746">
        <f t="shared" si="283"/>
        <v>0</v>
      </c>
      <c r="AP302" s="746">
        <f t="shared" si="283"/>
        <v>0</v>
      </c>
      <c r="AQ302" s="746">
        <f t="shared" si="283"/>
        <v>0</v>
      </c>
      <c r="AR302" s="746">
        <f t="shared" si="283"/>
        <v>0</v>
      </c>
      <c r="AS302" s="746">
        <f t="shared" si="283"/>
        <v>0</v>
      </c>
      <c r="AT302" s="746">
        <f t="shared" si="283"/>
        <v>0</v>
      </c>
      <c r="AU302" s="746">
        <f t="shared" si="283"/>
        <v>0</v>
      </c>
      <c r="AV302" s="746">
        <f t="shared" si="283"/>
        <v>0</v>
      </c>
      <c r="AW302" s="746">
        <f t="shared" si="283"/>
        <v>0</v>
      </c>
      <c r="AX302" s="746">
        <f t="shared" si="283"/>
        <v>0</v>
      </c>
      <c r="AY302" s="746">
        <f t="shared" si="283"/>
        <v>0</v>
      </c>
      <c r="AZ302" s="746">
        <f t="shared" si="283"/>
        <v>0</v>
      </c>
      <c r="BA302" s="746">
        <f t="shared" si="283"/>
        <v>0</v>
      </c>
      <c r="BB302" s="746">
        <f t="shared" si="283"/>
        <v>0</v>
      </c>
    </row>
    <row r="303" ht="16.5" customHeight="1">
      <c r="A303" s="4">
        <v>2042.0</v>
      </c>
      <c r="V303" s="483">
        <v>0.0</v>
      </c>
      <c r="W303" s="746">
        <f t="shared" si="172"/>
        <v>0</v>
      </c>
      <c r="X303" s="746">
        <f t="shared" ref="X303:BB303" si="284">IF(AND(X$190-$A303&gt;$V$48,SUM($W303:W303)&lt;&gt;$V303),$V303,0)</f>
        <v>0</v>
      </c>
      <c r="Y303" s="746">
        <f t="shared" si="284"/>
        <v>0</v>
      </c>
      <c r="Z303" s="746">
        <f t="shared" si="284"/>
        <v>0</v>
      </c>
      <c r="AA303" s="746">
        <f t="shared" si="284"/>
        <v>0</v>
      </c>
      <c r="AB303" s="746">
        <f t="shared" si="284"/>
        <v>0</v>
      </c>
      <c r="AC303" s="746">
        <f t="shared" si="284"/>
        <v>0</v>
      </c>
      <c r="AD303" s="746">
        <f t="shared" si="284"/>
        <v>0</v>
      </c>
      <c r="AE303" s="746">
        <f t="shared" si="284"/>
        <v>0</v>
      </c>
      <c r="AF303" s="746">
        <f t="shared" si="284"/>
        <v>0</v>
      </c>
      <c r="AG303" s="746">
        <f t="shared" si="284"/>
        <v>0</v>
      </c>
      <c r="AH303" s="746">
        <f t="shared" si="284"/>
        <v>0</v>
      </c>
      <c r="AI303" s="746">
        <f t="shared" si="284"/>
        <v>0</v>
      </c>
      <c r="AJ303" s="746">
        <f t="shared" si="284"/>
        <v>0</v>
      </c>
      <c r="AK303" s="746">
        <f t="shared" si="284"/>
        <v>0</v>
      </c>
      <c r="AL303" s="746">
        <f t="shared" si="284"/>
        <v>0</v>
      </c>
      <c r="AM303" s="746">
        <f t="shared" si="284"/>
        <v>0</v>
      </c>
      <c r="AN303" s="746">
        <f t="shared" si="284"/>
        <v>0</v>
      </c>
      <c r="AO303" s="746">
        <f t="shared" si="284"/>
        <v>0</v>
      </c>
      <c r="AP303" s="746">
        <f t="shared" si="284"/>
        <v>0</v>
      </c>
      <c r="AQ303" s="746">
        <f t="shared" si="284"/>
        <v>0</v>
      </c>
      <c r="AR303" s="746">
        <f t="shared" si="284"/>
        <v>0</v>
      </c>
      <c r="AS303" s="746">
        <f t="shared" si="284"/>
        <v>0</v>
      </c>
      <c r="AT303" s="746">
        <f t="shared" si="284"/>
        <v>0</v>
      </c>
      <c r="AU303" s="746">
        <f t="shared" si="284"/>
        <v>0</v>
      </c>
      <c r="AV303" s="746">
        <f t="shared" si="284"/>
        <v>0</v>
      </c>
      <c r="AW303" s="746">
        <f t="shared" si="284"/>
        <v>0</v>
      </c>
      <c r="AX303" s="746">
        <f t="shared" si="284"/>
        <v>0</v>
      </c>
      <c r="AY303" s="746">
        <f t="shared" si="284"/>
        <v>0</v>
      </c>
      <c r="AZ303" s="746">
        <f t="shared" si="284"/>
        <v>0</v>
      </c>
      <c r="BA303" s="746">
        <f t="shared" si="284"/>
        <v>0</v>
      </c>
      <c r="BB303" s="746">
        <f t="shared" si="284"/>
        <v>0</v>
      </c>
    </row>
    <row r="304" ht="16.5" customHeight="1">
      <c r="A304" s="4">
        <v>2043.0</v>
      </c>
      <c r="V304" s="483">
        <v>0.0</v>
      </c>
      <c r="W304" s="746">
        <f t="shared" si="172"/>
        <v>0</v>
      </c>
      <c r="X304" s="746">
        <f t="shared" ref="X304:BB304" si="285">IF(AND(X$190-$A304&gt;$V$48,SUM($W304:W304)&lt;&gt;$V304),$V304,0)</f>
        <v>0</v>
      </c>
      <c r="Y304" s="746">
        <f t="shared" si="285"/>
        <v>0</v>
      </c>
      <c r="Z304" s="746">
        <f t="shared" si="285"/>
        <v>0</v>
      </c>
      <c r="AA304" s="746">
        <f t="shared" si="285"/>
        <v>0</v>
      </c>
      <c r="AB304" s="746">
        <f t="shared" si="285"/>
        <v>0</v>
      </c>
      <c r="AC304" s="746">
        <f t="shared" si="285"/>
        <v>0</v>
      </c>
      <c r="AD304" s="746">
        <f t="shared" si="285"/>
        <v>0</v>
      </c>
      <c r="AE304" s="746">
        <f t="shared" si="285"/>
        <v>0</v>
      </c>
      <c r="AF304" s="746">
        <f t="shared" si="285"/>
        <v>0</v>
      </c>
      <c r="AG304" s="746">
        <f t="shared" si="285"/>
        <v>0</v>
      </c>
      <c r="AH304" s="746">
        <f t="shared" si="285"/>
        <v>0</v>
      </c>
      <c r="AI304" s="746">
        <f t="shared" si="285"/>
        <v>0</v>
      </c>
      <c r="AJ304" s="746">
        <f t="shared" si="285"/>
        <v>0</v>
      </c>
      <c r="AK304" s="746">
        <f t="shared" si="285"/>
        <v>0</v>
      </c>
      <c r="AL304" s="746">
        <f t="shared" si="285"/>
        <v>0</v>
      </c>
      <c r="AM304" s="746">
        <f t="shared" si="285"/>
        <v>0</v>
      </c>
      <c r="AN304" s="746">
        <f t="shared" si="285"/>
        <v>0</v>
      </c>
      <c r="AO304" s="746">
        <f t="shared" si="285"/>
        <v>0</v>
      </c>
      <c r="AP304" s="746">
        <f t="shared" si="285"/>
        <v>0</v>
      </c>
      <c r="AQ304" s="746">
        <f t="shared" si="285"/>
        <v>0</v>
      </c>
      <c r="AR304" s="746">
        <f t="shared" si="285"/>
        <v>0</v>
      </c>
      <c r="AS304" s="746">
        <f t="shared" si="285"/>
        <v>0</v>
      </c>
      <c r="AT304" s="746">
        <f t="shared" si="285"/>
        <v>0</v>
      </c>
      <c r="AU304" s="746">
        <f t="shared" si="285"/>
        <v>0</v>
      </c>
      <c r="AV304" s="746">
        <f t="shared" si="285"/>
        <v>0</v>
      </c>
      <c r="AW304" s="746">
        <f t="shared" si="285"/>
        <v>0</v>
      </c>
      <c r="AX304" s="746">
        <f t="shared" si="285"/>
        <v>0</v>
      </c>
      <c r="AY304" s="746">
        <f t="shared" si="285"/>
        <v>0</v>
      </c>
      <c r="AZ304" s="746">
        <f t="shared" si="285"/>
        <v>0</v>
      </c>
      <c r="BA304" s="746">
        <f t="shared" si="285"/>
        <v>0</v>
      </c>
      <c r="BB304" s="746">
        <f t="shared" si="285"/>
        <v>0</v>
      </c>
    </row>
    <row r="305" ht="16.5" customHeight="1">
      <c r="A305" s="4">
        <v>2044.0</v>
      </c>
      <c r="V305" s="483">
        <v>0.0</v>
      </c>
      <c r="W305" s="746">
        <f t="shared" si="172"/>
        <v>0</v>
      </c>
      <c r="X305" s="746">
        <f t="shared" ref="X305:BB305" si="286">IF(AND(X$190-$A305&gt;$V$48,SUM($W305:W305)&lt;&gt;$V305),$V305,0)</f>
        <v>0</v>
      </c>
      <c r="Y305" s="746">
        <f t="shared" si="286"/>
        <v>0</v>
      </c>
      <c r="Z305" s="746">
        <f t="shared" si="286"/>
        <v>0</v>
      </c>
      <c r="AA305" s="746">
        <f t="shared" si="286"/>
        <v>0</v>
      </c>
      <c r="AB305" s="746">
        <f t="shared" si="286"/>
        <v>0</v>
      </c>
      <c r="AC305" s="746">
        <f t="shared" si="286"/>
        <v>0</v>
      </c>
      <c r="AD305" s="746">
        <f t="shared" si="286"/>
        <v>0</v>
      </c>
      <c r="AE305" s="746">
        <f t="shared" si="286"/>
        <v>0</v>
      </c>
      <c r="AF305" s="746">
        <f t="shared" si="286"/>
        <v>0</v>
      </c>
      <c r="AG305" s="746">
        <f t="shared" si="286"/>
        <v>0</v>
      </c>
      <c r="AH305" s="746">
        <f t="shared" si="286"/>
        <v>0</v>
      </c>
      <c r="AI305" s="746">
        <f t="shared" si="286"/>
        <v>0</v>
      </c>
      <c r="AJ305" s="746">
        <f t="shared" si="286"/>
        <v>0</v>
      </c>
      <c r="AK305" s="746">
        <f t="shared" si="286"/>
        <v>0</v>
      </c>
      <c r="AL305" s="746">
        <f t="shared" si="286"/>
        <v>0</v>
      </c>
      <c r="AM305" s="746">
        <f t="shared" si="286"/>
        <v>0</v>
      </c>
      <c r="AN305" s="746">
        <f t="shared" si="286"/>
        <v>0</v>
      </c>
      <c r="AO305" s="746">
        <f t="shared" si="286"/>
        <v>0</v>
      </c>
      <c r="AP305" s="746">
        <f t="shared" si="286"/>
        <v>0</v>
      </c>
      <c r="AQ305" s="746">
        <f t="shared" si="286"/>
        <v>0</v>
      </c>
      <c r="AR305" s="746">
        <f t="shared" si="286"/>
        <v>0</v>
      </c>
      <c r="AS305" s="746">
        <f t="shared" si="286"/>
        <v>0</v>
      </c>
      <c r="AT305" s="746">
        <f t="shared" si="286"/>
        <v>0</v>
      </c>
      <c r="AU305" s="746">
        <f t="shared" si="286"/>
        <v>0</v>
      </c>
      <c r="AV305" s="746">
        <f t="shared" si="286"/>
        <v>0</v>
      </c>
      <c r="AW305" s="746">
        <f t="shared" si="286"/>
        <v>0</v>
      </c>
      <c r="AX305" s="746">
        <f t="shared" si="286"/>
        <v>0</v>
      </c>
      <c r="AY305" s="746">
        <f t="shared" si="286"/>
        <v>0</v>
      </c>
      <c r="AZ305" s="746">
        <f t="shared" si="286"/>
        <v>0</v>
      </c>
      <c r="BA305" s="746">
        <f t="shared" si="286"/>
        <v>0</v>
      </c>
      <c r="BB305" s="746">
        <f t="shared" si="286"/>
        <v>0</v>
      </c>
    </row>
    <row r="306" ht="16.5" customHeight="1">
      <c r="A306" s="4">
        <v>2045.0</v>
      </c>
      <c r="V306" s="483">
        <v>0.0</v>
      </c>
      <c r="W306" s="746">
        <f t="shared" si="172"/>
        <v>0</v>
      </c>
      <c r="X306" s="746">
        <f t="shared" ref="X306:BB306" si="287">IF(AND(X$190-$A306&gt;$V$48,SUM($W306:W306)&lt;&gt;$V306),$V306,0)</f>
        <v>0</v>
      </c>
      <c r="Y306" s="746">
        <f t="shared" si="287"/>
        <v>0</v>
      </c>
      <c r="Z306" s="746">
        <f t="shared" si="287"/>
        <v>0</v>
      </c>
      <c r="AA306" s="746">
        <f t="shared" si="287"/>
        <v>0</v>
      </c>
      <c r="AB306" s="746">
        <f t="shared" si="287"/>
        <v>0</v>
      </c>
      <c r="AC306" s="746">
        <f t="shared" si="287"/>
        <v>0</v>
      </c>
      <c r="AD306" s="746">
        <f t="shared" si="287"/>
        <v>0</v>
      </c>
      <c r="AE306" s="746">
        <f t="shared" si="287"/>
        <v>0</v>
      </c>
      <c r="AF306" s="746">
        <f t="shared" si="287"/>
        <v>0</v>
      </c>
      <c r="AG306" s="746">
        <f t="shared" si="287"/>
        <v>0</v>
      </c>
      <c r="AH306" s="746">
        <f t="shared" si="287"/>
        <v>0</v>
      </c>
      <c r="AI306" s="746">
        <f t="shared" si="287"/>
        <v>0</v>
      </c>
      <c r="AJ306" s="746">
        <f t="shared" si="287"/>
        <v>0</v>
      </c>
      <c r="AK306" s="746">
        <f t="shared" si="287"/>
        <v>0</v>
      </c>
      <c r="AL306" s="746">
        <f t="shared" si="287"/>
        <v>0</v>
      </c>
      <c r="AM306" s="746">
        <f t="shared" si="287"/>
        <v>0</v>
      </c>
      <c r="AN306" s="746">
        <f t="shared" si="287"/>
        <v>0</v>
      </c>
      <c r="AO306" s="746">
        <f t="shared" si="287"/>
        <v>0</v>
      </c>
      <c r="AP306" s="746">
        <f t="shared" si="287"/>
        <v>0</v>
      </c>
      <c r="AQ306" s="746">
        <f t="shared" si="287"/>
        <v>0</v>
      </c>
      <c r="AR306" s="746">
        <f t="shared" si="287"/>
        <v>0</v>
      </c>
      <c r="AS306" s="746">
        <f t="shared" si="287"/>
        <v>0</v>
      </c>
      <c r="AT306" s="746">
        <f t="shared" si="287"/>
        <v>0</v>
      </c>
      <c r="AU306" s="746">
        <f t="shared" si="287"/>
        <v>0</v>
      </c>
      <c r="AV306" s="746">
        <f t="shared" si="287"/>
        <v>0</v>
      </c>
      <c r="AW306" s="746">
        <f t="shared" si="287"/>
        <v>0</v>
      </c>
      <c r="AX306" s="746">
        <f t="shared" si="287"/>
        <v>0</v>
      </c>
      <c r="AY306" s="746">
        <f t="shared" si="287"/>
        <v>0</v>
      </c>
      <c r="AZ306" s="746">
        <f t="shared" si="287"/>
        <v>0</v>
      </c>
      <c r="BA306" s="746">
        <f t="shared" si="287"/>
        <v>0</v>
      </c>
      <c r="BB306" s="746">
        <f t="shared" si="287"/>
        <v>0</v>
      </c>
    </row>
    <row r="307" ht="16.5" customHeight="1">
      <c r="A307" s="4">
        <v>2046.0</v>
      </c>
      <c r="V307" s="483">
        <v>0.0</v>
      </c>
      <c r="W307" s="746">
        <f t="shared" si="172"/>
        <v>0</v>
      </c>
      <c r="X307" s="746">
        <f t="shared" ref="X307:BB307" si="288">IF(AND(X$190-$A307&gt;$V$48,SUM($W307:W307)&lt;&gt;$V307),$V307,0)</f>
        <v>0</v>
      </c>
      <c r="Y307" s="746">
        <f t="shared" si="288"/>
        <v>0</v>
      </c>
      <c r="Z307" s="746">
        <f t="shared" si="288"/>
        <v>0</v>
      </c>
      <c r="AA307" s="746">
        <f t="shared" si="288"/>
        <v>0</v>
      </c>
      <c r="AB307" s="746">
        <f t="shared" si="288"/>
        <v>0</v>
      </c>
      <c r="AC307" s="746">
        <f t="shared" si="288"/>
        <v>0</v>
      </c>
      <c r="AD307" s="746">
        <f t="shared" si="288"/>
        <v>0</v>
      </c>
      <c r="AE307" s="746">
        <f t="shared" si="288"/>
        <v>0</v>
      </c>
      <c r="AF307" s="746">
        <f t="shared" si="288"/>
        <v>0</v>
      </c>
      <c r="AG307" s="746">
        <f t="shared" si="288"/>
        <v>0</v>
      </c>
      <c r="AH307" s="746">
        <f t="shared" si="288"/>
        <v>0</v>
      </c>
      <c r="AI307" s="746">
        <f t="shared" si="288"/>
        <v>0</v>
      </c>
      <c r="AJ307" s="746">
        <f t="shared" si="288"/>
        <v>0</v>
      </c>
      <c r="AK307" s="746">
        <f t="shared" si="288"/>
        <v>0</v>
      </c>
      <c r="AL307" s="746">
        <f t="shared" si="288"/>
        <v>0</v>
      </c>
      <c r="AM307" s="746">
        <f t="shared" si="288"/>
        <v>0</v>
      </c>
      <c r="AN307" s="746">
        <f t="shared" si="288"/>
        <v>0</v>
      </c>
      <c r="AO307" s="746">
        <f t="shared" si="288"/>
        <v>0</v>
      </c>
      <c r="AP307" s="746">
        <f t="shared" si="288"/>
        <v>0</v>
      </c>
      <c r="AQ307" s="746">
        <f t="shared" si="288"/>
        <v>0</v>
      </c>
      <c r="AR307" s="746">
        <f t="shared" si="288"/>
        <v>0</v>
      </c>
      <c r="AS307" s="746">
        <f t="shared" si="288"/>
        <v>0</v>
      </c>
      <c r="AT307" s="746">
        <f t="shared" si="288"/>
        <v>0</v>
      </c>
      <c r="AU307" s="746">
        <f t="shared" si="288"/>
        <v>0</v>
      </c>
      <c r="AV307" s="746">
        <f t="shared" si="288"/>
        <v>0</v>
      </c>
      <c r="AW307" s="746">
        <f t="shared" si="288"/>
        <v>0</v>
      </c>
      <c r="AX307" s="746">
        <f t="shared" si="288"/>
        <v>0</v>
      </c>
      <c r="AY307" s="746">
        <f t="shared" si="288"/>
        <v>0</v>
      </c>
      <c r="AZ307" s="746">
        <f t="shared" si="288"/>
        <v>0</v>
      </c>
      <c r="BA307" s="746">
        <f t="shared" si="288"/>
        <v>0</v>
      </c>
      <c r="BB307" s="746">
        <f t="shared" si="288"/>
        <v>0</v>
      </c>
    </row>
    <row r="308" ht="16.5" customHeight="1">
      <c r="A308" s="4">
        <v>2047.0</v>
      </c>
      <c r="V308" s="483">
        <v>0.0</v>
      </c>
      <c r="W308" s="746">
        <f t="shared" si="172"/>
        <v>0</v>
      </c>
      <c r="X308" s="746">
        <f t="shared" ref="X308:BB308" si="289">IF(AND(X$190-$A308&gt;$V$48,SUM($W308:W308)&lt;&gt;$V308),$V308,0)</f>
        <v>0</v>
      </c>
      <c r="Y308" s="746">
        <f t="shared" si="289"/>
        <v>0</v>
      </c>
      <c r="Z308" s="746">
        <f t="shared" si="289"/>
        <v>0</v>
      </c>
      <c r="AA308" s="746">
        <f t="shared" si="289"/>
        <v>0</v>
      </c>
      <c r="AB308" s="746">
        <f t="shared" si="289"/>
        <v>0</v>
      </c>
      <c r="AC308" s="746">
        <f t="shared" si="289"/>
        <v>0</v>
      </c>
      <c r="AD308" s="746">
        <f t="shared" si="289"/>
        <v>0</v>
      </c>
      <c r="AE308" s="746">
        <f t="shared" si="289"/>
        <v>0</v>
      </c>
      <c r="AF308" s="746">
        <f t="shared" si="289"/>
        <v>0</v>
      </c>
      <c r="AG308" s="746">
        <f t="shared" si="289"/>
        <v>0</v>
      </c>
      <c r="AH308" s="746">
        <f t="shared" si="289"/>
        <v>0</v>
      </c>
      <c r="AI308" s="746">
        <f t="shared" si="289"/>
        <v>0</v>
      </c>
      <c r="AJ308" s="746">
        <f t="shared" si="289"/>
        <v>0</v>
      </c>
      <c r="AK308" s="746">
        <f t="shared" si="289"/>
        <v>0</v>
      </c>
      <c r="AL308" s="746">
        <f t="shared" si="289"/>
        <v>0</v>
      </c>
      <c r="AM308" s="746">
        <f t="shared" si="289"/>
        <v>0</v>
      </c>
      <c r="AN308" s="746">
        <f t="shared" si="289"/>
        <v>0</v>
      </c>
      <c r="AO308" s="746">
        <f t="shared" si="289"/>
        <v>0</v>
      </c>
      <c r="AP308" s="746">
        <f t="shared" si="289"/>
        <v>0</v>
      </c>
      <c r="AQ308" s="746">
        <f t="shared" si="289"/>
        <v>0</v>
      </c>
      <c r="AR308" s="746">
        <f t="shared" si="289"/>
        <v>0</v>
      </c>
      <c r="AS308" s="746">
        <f t="shared" si="289"/>
        <v>0</v>
      </c>
      <c r="AT308" s="746">
        <f t="shared" si="289"/>
        <v>0</v>
      </c>
      <c r="AU308" s="746">
        <f t="shared" si="289"/>
        <v>0</v>
      </c>
      <c r="AV308" s="746">
        <f t="shared" si="289"/>
        <v>0</v>
      </c>
      <c r="AW308" s="746">
        <f t="shared" si="289"/>
        <v>0</v>
      </c>
      <c r="AX308" s="746">
        <f t="shared" si="289"/>
        <v>0</v>
      </c>
      <c r="AY308" s="746">
        <f t="shared" si="289"/>
        <v>0</v>
      </c>
      <c r="AZ308" s="746">
        <f t="shared" si="289"/>
        <v>0</v>
      </c>
      <c r="BA308" s="746">
        <f t="shared" si="289"/>
        <v>0</v>
      </c>
      <c r="BB308" s="746">
        <f t="shared" si="289"/>
        <v>0</v>
      </c>
    </row>
    <row r="309" ht="16.5" customHeight="1">
      <c r="A309" s="4">
        <v>2048.0</v>
      </c>
      <c r="V309" s="483">
        <v>0.0</v>
      </c>
      <c r="W309" s="746">
        <f t="shared" si="172"/>
        <v>0</v>
      </c>
      <c r="X309" s="746">
        <f t="shared" ref="X309:BB309" si="290">IF(AND(X$190-$A309&gt;$V$48,SUM($W309:W309)&lt;&gt;$V309),$V309,0)</f>
        <v>0</v>
      </c>
      <c r="Y309" s="746">
        <f t="shared" si="290"/>
        <v>0</v>
      </c>
      <c r="Z309" s="746">
        <f t="shared" si="290"/>
        <v>0</v>
      </c>
      <c r="AA309" s="746">
        <f t="shared" si="290"/>
        <v>0</v>
      </c>
      <c r="AB309" s="746">
        <f t="shared" si="290"/>
        <v>0</v>
      </c>
      <c r="AC309" s="746">
        <f t="shared" si="290"/>
        <v>0</v>
      </c>
      <c r="AD309" s="746">
        <f t="shared" si="290"/>
        <v>0</v>
      </c>
      <c r="AE309" s="746">
        <f t="shared" si="290"/>
        <v>0</v>
      </c>
      <c r="AF309" s="746">
        <f t="shared" si="290"/>
        <v>0</v>
      </c>
      <c r="AG309" s="746">
        <f t="shared" si="290"/>
        <v>0</v>
      </c>
      <c r="AH309" s="746">
        <f t="shared" si="290"/>
        <v>0</v>
      </c>
      <c r="AI309" s="746">
        <f t="shared" si="290"/>
        <v>0</v>
      </c>
      <c r="AJ309" s="746">
        <f t="shared" si="290"/>
        <v>0</v>
      </c>
      <c r="AK309" s="746">
        <f t="shared" si="290"/>
        <v>0</v>
      </c>
      <c r="AL309" s="746">
        <f t="shared" si="290"/>
        <v>0</v>
      </c>
      <c r="AM309" s="746">
        <f t="shared" si="290"/>
        <v>0</v>
      </c>
      <c r="AN309" s="746">
        <f t="shared" si="290"/>
        <v>0</v>
      </c>
      <c r="AO309" s="746">
        <f t="shared" si="290"/>
        <v>0</v>
      </c>
      <c r="AP309" s="746">
        <f t="shared" si="290"/>
        <v>0</v>
      </c>
      <c r="AQ309" s="746">
        <f t="shared" si="290"/>
        <v>0</v>
      </c>
      <c r="AR309" s="746">
        <f t="shared" si="290"/>
        <v>0</v>
      </c>
      <c r="AS309" s="746">
        <f t="shared" si="290"/>
        <v>0</v>
      </c>
      <c r="AT309" s="746">
        <f t="shared" si="290"/>
        <v>0</v>
      </c>
      <c r="AU309" s="746">
        <f t="shared" si="290"/>
        <v>0</v>
      </c>
      <c r="AV309" s="746">
        <f t="shared" si="290"/>
        <v>0</v>
      </c>
      <c r="AW309" s="746">
        <f t="shared" si="290"/>
        <v>0</v>
      </c>
      <c r="AX309" s="746">
        <f t="shared" si="290"/>
        <v>0</v>
      </c>
      <c r="AY309" s="746">
        <f t="shared" si="290"/>
        <v>0</v>
      </c>
      <c r="AZ309" s="746">
        <f t="shared" si="290"/>
        <v>0</v>
      </c>
      <c r="BA309" s="746">
        <f t="shared" si="290"/>
        <v>0</v>
      </c>
      <c r="BB309" s="746">
        <f t="shared" si="290"/>
        <v>0</v>
      </c>
    </row>
    <row r="310" ht="16.5" customHeight="1">
      <c r="A310" s="4">
        <v>2049.0</v>
      </c>
      <c r="V310" s="483">
        <v>0.0</v>
      </c>
      <c r="W310" s="746">
        <f t="shared" si="172"/>
        <v>0</v>
      </c>
      <c r="X310" s="746">
        <f t="shared" ref="X310:BB310" si="291">IF(AND(X$190-$A310&gt;$V$48,SUM($W310:W310)&lt;&gt;$V310),$V310,0)</f>
        <v>0</v>
      </c>
      <c r="Y310" s="746">
        <f t="shared" si="291"/>
        <v>0</v>
      </c>
      <c r="Z310" s="746">
        <f t="shared" si="291"/>
        <v>0</v>
      </c>
      <c r="AA310" s="746">
        <f t="shared" si="291"/>
        <v>0</v>
      </c>
      <c r="AB310" s="746">
        <f t="shared" si="291"/>
        <v>0</v>
      </c>
      <c r="AC310" s="746">
        <f t="shared" si="291"/>
        <v>0</v>
      </c>
      <c r="AD310" s="746">
        <f t="shared" si="291"/>
        <v>0</v>
      </c>
      <c r="AE310" s="746">
        <f t="shared" si="291"/>
        <v>0</v>
      </c>
      <c r="AF310" s="746">
        <f t="shared" si="291"/>
        <v>0</v>
      </c>
      <c r="AG310" s="746">
        <f t="shared" si="291"/>
        <v>0</v>
      </c>
      <c r="AH310" s="746">
        <f t="shared" si="291"/>
        <v>0</v>
      </c>
      <c r="AI310" s="746">
        <f t="shared" si="291"/>
        <v>0</v>
      </c>
      <c r="AJ310" s="746">
        <f t="shared" si="291"/>
        <v>0</v>
      </c>
      <c r="AK310" s="746">
        <f t="shared" si="291"/>
        <v>0</v>
      </c>
      <c r="AL310" s="746">
        <f t="shared" si="291"/>
        <v>0</v>
      </c>
      <c r="AM310" s="746">
        <f t="shared" si="291"/>
        <v>0</v>
      </c>
      <c r="AN310" s="746">
        <f t="shared" si="291"/>
        <v>0</v>
      </c>
      <c r="AO310" s="746">
        <f t="shared" si="291"/>
        <v>0</v>
      </c>
      <c r="AP310" s="746">
        <f t="shared" si="291"/>
        <v>0</v>
      </c>
      <c r="AQ310" s="746">
        <f t="shared" si="291"/>
        <v>0</v>
      </c>
      <c r="AR310" s="746">
        <f t="shared" si="291"/>
        <v>0</v>
      </c>
      <c r="AS310" s="746">
        <f t="shared" si="291"/>
        <v>0</v>
      </c>
      <c r="AT310" s="746">
        <f t="shared" si="291"/>
        <v>0</v>
      </c>
      <c r="AU310" s="746">
        <f t="shared" si="291"/>
        <v>0</v>
      </c>
      <c r="AV310" s="746">
        <f t="shared" si="291"/>
        <v>0</v>
      </c>
      <c r="AW310" s="746">
        <f t="shared" si="291"/>
        <v>0</v>
      </c>
      <c r="AX310" s="746">
        <f t="shared" si="291"/>
        <v>0</v>
      </c>
      <c r="AY310" s="746">
        <f t="shared" si="291"/>
        <v>0</v>
      </c>
      <c r="AZ310" s="746">
        <f t="shared" si="291"/>
        <v>0</v>
      </c>
      <c r="BA310" s="746">
        <f t="shared" si="291"/>
        <v>0</v>
      </c>
      <c r="BB310" s="746">
        <f t="shared" si="291"/>
        <v>0</v>
      </c>
    </row>
    <row r="311" ht="16.5" customHeight="1">
      <c r="A311" s="4">
        <v>2050.0</v>
      </c>
      <c r="V311" s="483">
        <v>6375.949699779929</v>
      </c>
      <c r="W311" s="746">
        <f t="shared" si="172"/>
        <v>0</v>
      </c>
      <c r="X311" s="746">
        <f t="shared" ref="X311:BB311" si="292">IF(AND(X$190-$A311&gt;$V$48,SUM($W311:W311)&lt;&gt;$V311),$V311,0)</f>
        <v>0</v>
      </c>
      <c r="Y311" s="746">
        <f t="shared" si="292"/>
        <v>0</v>
      </c>
      <c r="Z311" s="746">
        <f t="shared" si="292"/>
        <v>0</v>
      </c>
      <c r="AA311" s="746">
        <f t="shared" si="292"/>
        <v>0</v>
      </c>
      <c r="AB311" s="746">
        <f t="shared" si="292"/>
        <v>0</v>
      </c>
      <c r="AC311" s="746">
        <f t="shared" si="292"/>
        <v>0</v>
      </c>
      <c r="AD311" s="746">
        <f t="shared" si="292"/>
        <v>0</v>
      </c>
      <c r="AE311" s="746">
        <f t="shared" si="292"/>
        <v>0</v>
      </c>
      <c r="AF311" s="746">
        <f t="shared" si="292"/>
        <v>0</v>
      </c>
      <c r="AG311" s="746">
        <f t="shared" si="292"/>
        <v>0</v>
      </c>
      <c r="AH311" s="746">
        <f t="shared" si="292"/>
        <v>0</v>
      </c>
      <c r="AI311" s="746">
        <f t="shared" si="292"/>
        <v>0</v>
      </c>
      <c r="AJ311" s="746">
        <f t="shared" si="292"/>
        <v>0</v>
      </c>
      <c r="AK311" s="746">
        <f t="shared" si="292"/>
        <v>0</v>
      </c>
      <c r="AL311" s="746">
        <f t="shared" si="292"/>
        <v>0</v>
      </c>
      <c r="AM311" s="746">
        <f t="shared" si="292"/>
        <v>0</v>
      </c>
      <c r="AN311" s="746">
        <f t="shared" si="292"/>
        <v>0</v>
      </c>
      <c r="AO311" s="746">
        <f t="shared" si="292"/>
        <v>0</v>
      </c>
      <c r="AP311" s="746">
        <f t="shared" si="292"/>
        <v>0</v>
      </c>
      <c r="AQ311" s="746">
        <f t="shared" si="292"/>
        <v>0</v>
      </c>
      <c r="AR311" s="746">
        <f t="shared" si="292"/>
        <v>0</v>
      </c>
      <c r="AS311" s="746">
        <f t="shared" si="292"/>
        <v>0</v>
      </c>
      <c r="AT311" s="746">
        <f t="shared" si="292"/>
        <v>0</v>
      </c>
      <c r="AU311" s="746">
        <f t="shared" si="292"/>
        <v>0</v>
      </c>
      <c r="AV311" s="746">
        <f t="shared" si="292"/>
        <v>0</v>
      </c>
      <c r="AW311" s="746">
        <f t="shared" si="292"/>
        <v>0</v>
      </c>
      <c r="AX311" s="746">
        <f t="shared" si="292"/>
        <v>0</v>
      </c>
      <c r="AY311" s="746">
        <f t="shared" si="292"/>
        <v>0</v>
      </c>
      <c r="AZ311" s="746">
        <f t="shared" si="292"/>
        <v>0</v>
      </c>
      <c r="BA311" s="746">
        <f t="shared" si="292"/>
        <v>0</v>
      </c>
      <c r="BB311" s="746">
        <f t="shared" si="292"/>
        <v>0</v>
      </c>
    </row>
    <row r="312" ht="16.5" customHeight="1">
      <c r="A312" s="4"/>
    </row>
    <row r="313" ht="16.5" customHeight="1">
      <c r="A313" s="4"/>
    </row>
    <row r="314" ht="16.5" customHeight="1"/>
    <row r="315" ht="16.5" customHeight="1"/>
  </sheetData>
  <printOptions/>
  <pageMargins bottom="0.75" footer="0.0" header="0.0" left="0.7" right="0.7" top="0.75"/>
  <pageSetup orientation="portrait"/>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3.57"/>
    <col customWidth="1" min="23" max="28" width="12.57"/>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1064</v>
      </c>
      <c r="B2" s="772">
        <f>B4*1000*'Inflation GDP Population'!B$18/'Inflation GDP Population'!$T$18</f>
        <v>1284088.103</v>
      </c>
      <c r="C2" s="772">
        <f>C4*1000*'Inflation GDP Population'!C$18/'Inflation GDP Population'!$T$18</f>
        <v>1031159.547</v>
      </c>
      <c r="D2" s="772">
        <f>D4*1000*'Inflation GDP Population'!D$18/'Inflation GDP Population'!$T$18</f>
        <v>1223638.613</v>
      </c>
      <c r="E2" s="772">
        <f>E4*1000*'Inflation GDP Population'!E$18/'Inflation GDP Population'!$T$18</f>
        <v>1133465.181</v>
      </c>
      <c r="F2" s="772">
        <f>F4*1000*'Inflation GDP Population'!F$18/'Inflation GDP Population'!$T$18</f>
        <v>1072612.484</v>
      </c>
      <c r="G2" s="772">
        <f>G4*1000*'Inflation GDP Population'!G$18/'Inflation GDP Population'!$T$18</f>
        <v>1299201.423</v>
      </c>
      <c r="H2" s="772">
        <f>H4*1000*'Inflation GDP Population'!H$18/'Inflation GDP Population'!$T$18</f>
        <v>1495127.07</v>
      </c>
      <c r="I2" s="772">
        <f>I4*1000*'Inflation GDP Population'!I$18/'Inflation GDP Population'!$T$18</f>
        <v>1689406.149</v>
      </c>
      <c r="J2" s="772">
        <f>J4*1000*'Inflation GDP Population'!J$18/'Inflation GDP Population'!$T$18</f>
        <v>1925489.685</v>
      </c>
      <c r="K2" s="772">
        <f>K4*1000*'Inflation GDP Population'!K$18/'Inflation GDP Population'!$T$18</f>
        <v>2120849.268</v>
      </c>
      <c r="L2" s="772">
        <f>L4*1000*'Inflation GDP Population'!L$18/'Inflation GDP Population'!$T$18</f>
        <v>2143821.702</v>
      </c>
      <c r="M2" s="772">
        <f>M4*1000*'Inflation GDP Population'!M$18/'Inflation GDP Population'!$T$18</f>
        <v>2097079.238</v>
      </c>
      <c r="N2" s="772">
        <f>N4*1000*'Inflation GDP Population'!N$18/'Inflation GDP Population'!$T$18</f>
        <v>1929907.537</v>
      </c>
      <c r="O2" s="772">
        <f>O4*1000*'Inflation GDP Population'!O$18/'Inflation GDP Population'!$T$18</f>
        <v>1847663.522</v>
      </c>
      <c r="P2" s="772">
        <f>P4*1000*'Inflation GDP Population'!P$18/'Inflation GDP Population'!$T$18</f>
        <v>1735433.583</v>
      </c>
      <c r="Q2" s="772">
        <f>Q4*1000*'Inflation GDP Population'!Q$18/'Inflation GDP Population'!$T$18</f>
        <v>1596078.715</v>
      </c>
      <c r="R2" s="772">
        <f>R4*1000*'Inflation GDP Population'!R$18/'Inflation GDP Population'!$T$18</f>
        <v>1648054.912</v>
      </c>
      <c r="S2" s="772">
        <f>S4*1000*'Inflation GDP Population'!S$18/'Inflation GDP Population'!$T$18</f>
        <v>1609786.398</v>
      </c>
      <c r="T2" s="772">
        <f>T4*1000*'Inflation GDP Population'!T$18/'Inflation GDP Population'!$T$18</f>
        <v>1468000</v>
      </c>
      <c r="U2" s="772">
        <f>U4*1000*'Inflation GDP Population'!U$18/'Inflation GDP Population'!$T$18</f>
        <v>1748457.892</v>
      </c>
      <c r="V2" s="773">
        <f>V4*1000*'Inflation GDP Population'!V$18/'Inflation GDP Population'!$T$18</f>
        <v>1745150.165</v>
      </c>
      <c r="W2" s="160">
        <f>W4*1000*'Inflation GDP Population'!W$18/'Inflation GDP Population'!$T$18</f>
        <v>1739988.238</v>
      </c>
      <c r="X2" s="160">
        <f>X4*1000*'Inflation GDP Population'!X$18/'Inflation GDP Population'!$T$18</f>
        <v>1733960.698</v>
      </c>
      <c r="Y2" s="160">
        <f>Y4*1000*'Inflation GDP Population'!Y$18/'Inflation GDP Population'!$T$18</f>
        <v>1727035.737</v>
      </c>
      <c r="Z2" s="160">
        <f>Z4*1000*'Inflation GDP Population'!Z$18/'Inflation GDP Population'!$T$18</f>
        <v>1718057.719</v>
      </c>
      <c r="AA2" s="160">
        <f>AA4*1000*'Inflation GDP Population'!AA$18/'Inflation GDP Population'!$T$18</f>
        <v>1708072.087</v>
      </c>
      <c r="AB2" s="160">
        <f>AB4*1000*'Inflation GDP Population'!AB$18/'Inflation GDP Population'!$T$18</f>
        <v>1697042.944</v>
      </c>
      <c r="AC2" s="160">
        <f>AC4*1000*'Inflation GDP Population'!AC$18/'Inflation GDP Population'!$T$18</f>
        <v>1684933.373</v>
      </c>
      <c r="AD2" s="160">
        <f>AD4*1000*'Inflation GDP Population'!AD$18/'Inflation GDP Population'!$T$18</f>
        <v>1670492.278</v>
      </c>
      <c r="AE2" s="160">
        <f>AE4*1000*'Inflation GDP Population'!AE$18/'Inflation GDP Population'!$T$18</f>
        <v>1654846.436</v>
      </c>
      <c r="AF2" s="160">
        <f>AF4*1000*'Inflation GDP Population'!AF$18/'Inflation GDP Population'!$T$18</f>
        <v>1636693.4</v>
      </c>
      <c r="AG2" s="160">
        <f>AG4*1000*'Inflation GDP Population'!AG$18/'Inflation GDP Population'!$T$18</f>
        <v>1651911.663</v>
      </c>
      <c r="AH2" s="160">
        <f>AH4*1000*'Inflation GDP Population'!AH$18/'Inflation GDP Population'!$T$18</f>
        <v>1665790.173</v>
      </c>
      <c r="AI2" s="160">
        <f>AI4*1000*'Inflation GDP Population'!AI$18/'Inflation GDP Population'!$T$18</f>
        <v>1680917.658</v>
      </c>
      <c r="AJ2" s="160">
        <f>AJ4*1000*'Inflation GDP Population'!AJ$18/'Inflation GDP Population'!$T$18</f>
        <v>1694639.136</v>
      </c>
      <c r="AK2" s="160">
        <f>AK4*1000*'Inflation GDP Population'!AK$18/'Inflation GDP Population'!$T$18</f>
        <v>1709645.068</v>
      </c>
      <c r="AL2" s="160">
        <f>AL4*1000*'Inflation GDP Population'!AL$18/'Inflation GDP Population'!$T$18</f>
        <v>1723175.599</v>
      </c>
      <c r="AM2" s="160">
        <f>AM4*1000*'Inflation GDP Population'!AM$18/'Inflation GDP Population'!$T$18</f>
        <v>1738026.917</v>
      </c>
      <c r="AN2" s="160">
        <f>AN4*1000*'Inflation GDP Population'!AN$18/'Inflation GDP Population'!$T$18</f>
        <v>1751330.156</v>
      </c>
      <c r="AO2" s="160">
        <f>AO4*1000*'Inflation GDP Population'!AO$18/'Inflation GDP Population'!$T$18</f>
        <v>1765991.384</v>
      </c>
      <c r="AP2" s="160">
        <f>AP4*1000*'Inflation GDP Population'!AP$18/'Inflation GDP Population'!$T$18</f>
        <v>1779028.418</v>
      </c>
      <c r="AQ2" s="160">
        <f>AQ4*1000*'Inflation GDP Population'!AQ$18/'Inflation GDP Population'!$T$18</f>
        <v>1793461.526</v>
      </c>
      <c r="AR2" s="160">
        <f>AR4*1000*'Inflation GDP Population'!AR$18/'Inflation GDP Population'!$T$18</f>
        <v>1806190.729</v>
      </c>
      <c r="AS2" s="160">
        <f>AS4*1000*'Inflation GDP Population'!AS$18/'Inflation GDP Population'!$T$18</f>
        <v>1818734.007</v>
      </c>
      <c r="AT2" s="160">
        <f>AT4*1000*'Inflation GDP Population'!AT$18/'Inflation GDP Population'!$T$18</f>
        <v>1832731.861</v>
      </c>
      <c r="AU2" s="160">
        <f>AU4*1000*'Inflation GDP Population'!AU$18/'Inflation GDP Population'!$T$18</f>
        <v>1844898.833</v>
      </c>
      <c r="AV2" s="160">
        <f>AV4*1000*'Inflation GDP Population'!AV$18/'Inflation GDP Population'!$T$18</f>
        <v>1858560.706</v>
      </c>
      <c r="AW2" s="160">
        <f>AW4*1000*'Inflation GDP Population'!AW$18/'Inflation GDP Population'!$T$18</f>
        <v>1870302.249</v>
      </c>
      <c r="AX2" s="160">
        <f>AX4*1000*'Inflation GDP Population'!AX$18/'Inflation GDP Population'!$T$18</f>
        <v>1881794.555</v>
      </c>
      <c r="AY2" s="160">
        <f>AY4*1000*'Inflation GDP Population'!AY$18/'Inflation GDP Population'!$T$18</f>
        <v>1893023.429</v>
      </c>
      <c r="AZ2" s="160">
        <f>AZ4*1000*'Inflation GDP Population'!AZ$18/'Inflation GDP Population'!$T$18</f>
        <v>1905829.946</v>
      </c>
    </row>
    <row r="3" ht="15.0" customHeight="1">
      <c r="A3" s="535" t="s">
        <v>1065</v>
      </c>
      <c r="B3" s="535"/>
      <c r="C3" s="535"/>
      <c r="D3" s="535"/>
      <c r="E3" s="535"/>
      <c r="F3" s="535"/>
      <c r="G3" s="535"/>
      <c r="H3" s="535"/>
      <c r="I3" s="535"/>
      <c r="J3" s="535"/>
      <c r="K3" s="535"/>
      <c r="L3" s="535"/>
      <c r="M3" s="535"/>
      <c r="N3" s="535"/>
      <c r="O3" s="535"/>
      <c r="P3" s="535"/>
      <c r="Q3" s="535"/>
      <c r="R3" s="535"/>
      <c r="S3" s="535"/>
      <c r="T3" s="535"/>
      <c r="U3" s="772"/>
      <c r="V3" s="705">
        <f>V5*1000</f>
        <v>3650000</v>
      </c>
      <c r="W3" s="160">
        <f>W5*1000*'Inflation GDP Population'!W$18/'Inflation GDP Population'!$T$18</f>
        <v>3692971.381</v>
      </c>
      <c r="X3" s="160">
        <f>X5*1000*'Inflation GDP Population'!X$18/'Inflation GDP Population'!$T$18</f>
        <v>3605125.764</v>
      </c>
      <c r="Y3" s="160">
        <f>Y5*1000*'Inflation GDP Population'!Y$18/'Inflation GDP Population'!$T$18</f>
        <v>3528968.433</v>
      </c>
      <c r="Z3" s="160">
        <f>Z5*1000*'Inflation GDP Population'!Z$18/'Inflation GDP Population'!$T$18</f>
        <v>3460819.536</v>
      </c>
      <c r="AA3" s="160">
        <f>AA5*1000*'Inflation GDP Population'!AA$18/'Inflation GDP Population'!$T$18</f>
        <v>3402406.33</v>
      </c>
      <c r="AB3" s="160">
        <f>AB5*1000*'Inflation GDP Population'!AB$18/'Inflation GDP Population'!$T$18</f>
        <v>3352068.318</v>
      </c>
      <c r="AC3" s="160">
        <f>AC5*1000*'Inflation GDP Population'!AC$18/'Inflation GDP Population'!$T$18</f>
        <v>3309180.587</v>
      </c>
      <c r="AD3" s="160">
        <f>AD5*1000*'Inflation GDP Population'!AD$18/'Inflation GDP Population'!$T$18</f>
        <v>3274261.916</v>
      </c>
      <c r="AE3" s="160">
        <f>AE5*1000*'Inflation GDP Population'!AE$18/'Inflation GDP Population'!$T$18</f>
        <v>3246615.765</v>
      </c>
      <c r="AF3" s="160">
        <f>AF5*1000*'Inflation GDP Population'!AF$18/'Inflation GDP Population'!$T$18</f>
        <v>3226732.212</v>
      </c>
      <c r="AG3" s="160">
        <f>AG5*1000*'Inflation GDP Population'!AG$18/'Inflation GDP Population'!$T$18</f>
        <v>3212550.387</v>
      </c>
      <c r="AH3" s="160">
        <f>AH5*1000*'Inflation GDP Population'!AH$18/'Inflation GDP Population'!$T$18</f>
        <v>3204450.804</v>
      </c>
      <c r="AI3" s="160">
        <f>AI5*1000*'Inflation GDP Population'!AI$18/'Inflation GDP Population'!$T$18</f>
        <v>3202829.591</v>
      </c>
      <c r="AJ3" s="160">
        <f>AJ5*1000*'Inflation GDP Population'!AJ$18/'Inflation GDP Population'!$T$18</f>
        <v>3206736.758</v>
      </c>
      <c r="AK3" s="160">
        <f>AK5*1000*'Inflation GDP Population'!AK$18/'Inflation GDP Population'!$T$18</f>
        <v>3215132.682</v>
      </c>
      <c r="AL3" s="160">
        <f>AL5*1000*'Inflation GDP Population'!AL$18/'Inflation GDP Population'!$T$18</f>
        <v>3229715.318</v>
      </c>
      <c r="AM3" s="160">
        <f>AM5*1000*'Inflation GDP Population'!AM$18/'Inflation GDP Population'!$T$18</f>
        <v>3247973.89</v>
      </c>
      <c r="AN3" s="160">
        <f>AN5*1000*'Inflation GDP Population'!AN$18/'Inflation GDP Population'!$T$18</f>
        <v>3270130.762</v>
      </c>
      <c r="AO3" s="160">
        <f>AO5*1000*'Inflation GDP Population'!AO$18/'Inflation GDP Population'!$T$18</f>
        <v>3296417.223</v>
      </c>
      <c r="AP3" s="160">
        <f>AP5*1000*'Inflation GDP Population'!AP$18/'Inflation GDP Population'!$T$18</f>
        <v>3325544.094</v>
      </c>
      <c r="AQ3" s="160">
        <f>AQ5*1000*'Inflation GDP Population'!AQ$18/'Inflation GDP Population'!$T$18</f>
        <v>3357671.883</v>
      </c>
      <c r="AR3" s="160">
        <f>AR5*1000*'Inflation GDP Population'!AR$18/'Inflation GDP Population'!$T$18</f>
        <v>3389787.53</v>
      </c>
      <c r="AS3" s="160">
        <f>AS5*1000*'Inflation GDP Population'!AS$18/'Inflation GDP Population'!$T$18</f>
        <v>3423499.308</v>
      </c>
      <c r="AT3" s="160">
        <f>AT5*1000*'Inflation GDP Population'!AT$18/'Inflation GDP Population'!$T$18</f>
        <v>3458888.896</v>
      </c>
      <c r="AU3" s="160">
        <f>AU5*1000*'Inflation GDP Population'!AU$18/'Inflation GDP Population'!$T$18</f>
        <v>3492671.489</v>
      </c>
      <c r="AV3" s="160">
        <f>AV5*1000*'Inflation GDP Population'!AV$18/'Inflation GDP Population'!$T$18</f>
        <v>3524738.048</v>
      </c>
      <c r="AW3" s="160">
        <f>AW5*1000*'Inflation GDP Population'!AW$18/'Inflation GDP Population'!$T$18</f>
        <v>3553224.029</v>
      </c>
      <c r="AX3" s="160">
        <f>AX5*1000*'Inflation GDP Population'!AX$18/'Inflation GDP Population'!$T$18</f>
        <v>3579694.575</v>
      </c>
      <c r="AY3" s="160">
        <f>AY5*1000*'Inflation GDP Population'!AY$18/'Inflation GDP Population'!$T$18</f>
        <v>3600384.946</v>
      </c>
      <c r="AZ3" s="160">
        <f>AZ5*1000*'Inflation GDP Population'!AZ$18/'Inflation GDP Population'!$T$18</f>
        <v>3616808.729</v>
      </c>
    </row>
    <row r="4" ht="15.0" customHeight="1">
      <c r="A4" s="541" t="s">
        <v>1066</v>
      </c>
      <c r="B4" s="774">
        <v>1816.0</v>
      </c>
      <c r="C4" s="774">
        <v>1427.0</v>
      </c>
      <c r="D4" s="774">
        <v>1667.0</v>
      </c>
      <c r="E4" s="774">
        <v>1516.0</v>
      </c>
      <c r="F4" s="774">
        <v>1397.0</v>
      </c>
      <c r="G4" s="774">
        <v>1641.0</v>
      </c>
      <c r="H4" s="774">
        <v>1833.0</v>
      </c>
      <c r="I4" s="774">
        <v>2017.0</v>
      </c>
      <c r="J4" s="774">
        <v>2255.0</v>
      </c>
      <c r="K4" s="774">
        <v>2465.0</v>
      </c>
      <c r="L4" s="774">
        <v>2463.0</v>
      </c>
      <c r="M4" s="775">
        <v>2360.0</v>
      </c>
      <c r="N4" s="775">
        <v>2131.0</v>
      </c>
      <c r="O4" s="775">
        <v>2005.0</v>
      </c>
      <c r="P4" s="775">
        <v>1849.0</v>
      </c>
      <c r="Q4" s="775">
        <v>1683.0</v>
      </c>
      <c r="R4" s="775">
        <v>1720.0</v>
      </c>
      <c r="S4" s="775">
        <v>1649.0</v>
      </c>
      <c r="T4" s="775">
        <v>1468.0</v>
      </c>
      <c r="U4" s="750">
        <v>1715.0</v>
      </c>
      <c r="V4" s="707">
        <v>1679.0</v>
      </c>
      <c r="W4" s="751">
        <v>1642.0</v>
      </c>
      <c r="X4" s="751">
        <v>1605.0</v>
      </c>
      <c r="Y4" s="751">
        <v>1568.0</v>
      </c>
      <c r="Z4" s="751">
        <v>1530.0</v>
      </c>
      <c r="AA4" s="751">
        <v>1492.0</v>
      </c>
      <c r="AB4" s="751">
        <v>1454.0</v>
      </c>
      <c r="AC4" s="751">
        <v>1416.0</v>
      </c>
      <c r="AD4" s="751">
        <v>1377.0</v>
      </c>
      <c r="AE4" s="751">
        <v>1338.0</v>
      </c>
      <c r="AF4" s="751">
        <v>1298.0</v>
      </c>
      <c r="AG4" s="751">
        <v>1285.0</v>
      </c>
      <c r="AH4" s="751">
        <v>1271.0</v>
      </c>
      <c r="AI4" s="751">
        <v>1258.0</v>
      </c>
      <c r="AJ4" s="751">
        <v>1244.0</v>
      </c>
      <c r="AK4" s="751">
        <v>1231.0</v>
      </c>
      <c r="AL4" s="751">
        <v>1217.0</v>
      </c>
      <c r="AM4" s="751">
        <v>1204.0</v>
      </c>
      <c r="AN4" s="751">
        <v>1190.0</v>
      </c>
      <c r="AO4" s="751">
        <v>1177.0</v>
      </c>
      <c r="AP4" s="751">
        <v>1163.0</v>
      </c>
      <c r="AQ4" s="751">
        <v>1150.0</v>
      </c>
      <c r="AR4" s="751">
        <v>1136.0</v>
      </c>
      <c r="AS4" s="751">
        <v>1122.0</v>
      </c>
      <c r="AT4" s="751">
        <v>1109.0</v>
      </c>
      <c r="AU4" s="751">
        <v>1095.0</v>
      </c>
      <c r="AV4" s="751">
        <v>1082.0</v>
      </c>
      <c r="AW4" s="751">
        <v>1068.0</v>
      </c>
      <c r="AX4" s="751">
        <v>1054.0</v>
      </c>
      <c r="AY4" s="751">
        <v>1040.0</v>
      </c>
      <c r="AZ4" s="751">
        <v>1027.0</v>
      </c>
    </row>
    <row r="5" ht="15.0" customHeight="1">
      <c r="A5" s="541" t="s">
        <v>1067</v>
      </c>
      <c r="B5" s="709"/>
      <c r="C5" s="709"/>
      <c r="D5" s="709"/>
      <c r="E5" s="709"/>
      <c r="F5" s="709"/>
      <c r="G5" s="709"/>
      <c r="H5" s="709"/>
      <c r="I5" s="709"/>
      <c r="J5" s="709"/>
      <c r="K5" s="709"/>
      <c r="L5" s="709"/>
      <c r="M5" s="709"/>
      <c r="N5" s="709"/>
      <c r="O5" s="709"/>
      <c r="P5" s="709"/>
      <c r="Q5" s="709"/>
      <c r="R5" s="709"/>
      <c r="S5" s="709"/>
      <c r="T5" s="709"/>
      <c r="U5" s="750">
        <v>3838.0</v>
      </c>
      <c r="V5" s="707">
        <v>3650.0</v>
      </c>
      <c r="W5" s="751">
        <v>3485.0</v>
      </c>
      <c r="X5" s="751">
        <v>3337.0</v>
      </c>
      <c r="Y5" s="751">
        <v>3204.0</v>
      </c>
      <c r="Z5" s="751">
        <v>3082.0</v>
      </c>
      <c r="AA5" s="751">
        <v>2972.0</v>
      </c>
      <c r="AB5" s="751">
        <v>2872.0</v>
      </c>
      <c r="AC5" s="751">
        <v>2781.0</v>
      </c>
      <c r="AD5" s="751">
        <v>2699.0</v>
      </c>
      <c r="AE5" s="751">
        <v>2625.0</v>
      </c>
      <c r="AF5" s="751">
        <v>2559.0</v>
      </c>
      <c r="AG5" s="751">
        <v>2499.0</v>
      </c>
      <c r="AH5" s="751">
        <v>2445.0</v>
      </c>
      <c r="AI5" s="751">
        <v>2397.0</v>
      </c>
      <c r="AJ5" s="751">
        <v>2354.0</v>
      </c>
      <c r="AK5" s="751">
        <v>2315.0</v>
      </c>
      <c r="AL5" s="751">
        <v>2281.0</v>
      </c>
      <c r="AM5" s="751">
        <v>2250.0</v>
      </c>
      <c r="AN5" s="751">
        <v>2222.0</v>
      </c>
      <c r="AO5" s="751">
        <v>2197.0</v>
      </c>
      <c r="AP5" s="751">
        <v>2174.0</v>
      </c>
      <c r="AQ5" s="751">
        <v>2153.0</v>
      </c>
      <c r="AR5" s="751">
        <v>2132.0</v>
      </c>
      <c r="AS5" s="751">
        <v>2112.0</v>
      </c>
      <c r="AT5" s="751">
        <v>2093.0</v>
      </c>
      <c r="AU5" s="751">
        <v>2073.0</v>
      </c>
      <c r="AV5" s="751">
        <v>2052.0</v>
      </c>
      <c r="AW5" s="751">
        <v>2029.0</v>
      </c>
      <c r="AX5" s="751">
        <v>2005.0</v>
      </c>
      <c r="AY5" s="751">
        <v>1978.0</v>
      </c>
      <c r="AZ5" s="751">
        <v>1949.0</v>
      </c>
    </row>
    <row r="6" ht="15.0" customHeight="1">
      <c r="A6" s="535" t="s">
        <v>1068</v>
      </c>
      <c r="B6" s="709">
        <v>0.025</v>
      </c>
      <c r="C6" s="709">
        <v>0.025</v>
      </c>
      <c r="D6" s="709">
        <v>0.025</v>
      </c>
      <c r="E6" s="709">
        <v>0.025</v>
      </c>
      <c r="F6" s="709">
        <v>0.025</v>
      </c>
      <c r="G6" s="709">
        <v>0.025</v>
      </c>
      <c r="H6" s="709">
        <v>0.025</v>
      </c>
      <c r="I6" s="709">
        <v>0.025</v>
      </c>
      <c r="J6" s="709">
        <v>0.025</v>
      </c>
      <c r="K6" s="709">
        <v>0.025</v>
      </c>
      <c r="L6" s="709">
        <v>0.025</v>
      </c>
      <c r="M6" s="709">
        <v>0.025</v>
      </c>
      <c r="N6" s="709">
        <v>0.025</v>
      </c>
      <c r="O6" s="709">
        <v>0.025</v>
      </c>
      <c r="P6" s="709">
        <v>0.025</v>
      </c>
      <c r="Q6" s="709">
        <v>0.025</v>
      </c>
      <c r="R6" s="709">
        <v>0.025</v>
      </c>
      <c r="S6" s="709">
        <v>0.025</v>
      </c>
      <c r="T6" s="709">
        <v>0.025</v>
      </c>
      <c r="U6" s="776">
        <v>0.0</v>
      </c>
      <c r="V6" s="536">
        <v>0.03</v>
      </c>
      <c r="W6" s="537">
        <f t="shared" ref="W6:AZ6" si="1">(V4-W4)/V4</f>
        <v>0.02203692674</v>
      </c>
      <c r="X6" s="537">
        <f t="shared" si="1"/>
        <v>0.02253349574</v>
      </c>
      <c r="Y6" s="537">
        <f t="shared" si="1"/>
        <v>0.0230529595</v>
      </c>
      <c r="Z6" s="537">
        <f t="shared" si="1"/>
        <v>0.02423469388</v>
      </c>
      <c r="AA6" s="537">
        <f t="shared" si="1"/>
        <v>0.02483660131</v>
      </c>
      <c r="AB6" s="537">
        <f t="shared" si="1"/>
        <v>0.0254691689</v>
      </c>
      <c r="AC6" s="537">
        <f t="shared" si="1"/>
        <v>0.02613480055</v>
      </c>
      <c r="AD6" s="537">
        <f t="shared" si="1"/>
        <v>0.02754237288</v>
      </c>
      <c r="AE6" s="537">
        <f t="shared" si="1"/>
        <v>0.02832244009</v>
      </c>
      <c r="AF6" s="537">
        <f t="shared" si="1"/>
        <v>0.02989536622</v>
      </c>
      <c r="AG6" s="537">
        <f t="shared" si="1"/>
        <v>0.01001540832</v>
      </c>
      <c r="AH6" s="537">
        <f t="shared" si="1"/>
        <v>0.01089494163</v>
      </c>
      <c r="AI6" s="537">
        <f t="shared" si="1"/>
        <v>0.0102281668</v>
      </c>
      <c r="AJ6" s="537">
        <f t="shared" si="1"/>
        <v>0.01112877583</v>
      </c>
      <c r="AK6" s="537">
        <f t="shared" si="1"/>
        <v>0.01045016077</v>
      </c>
      <c r="AL6" s="537">
        <f t="shared" si="1"/>
        <v>0.01137286759</v>
      </c>
      <c r="AM6" s="537">
        <f t="shared" si="1"/>
        <v>0.01068200493</v>
      </c>
      <c r="AN6" s="537">
        <f t="shared" si="1"/>
        <v>0.01162790698</v>
      </c>
      <c r="AO6" s="537">
        <f t="shared" si="1"/>
        <v>0.01092436975</v>
      </c>
      <c r="AP6" s="537">
        <f t="shared" si="1"/>
        <v>0.01189464741</v>
      </c>
      <c r="AQ6" s="537">
        <f t="shared" si="1"/>
        <v>0.01117798796</v>
      </c>
      <c r="AR6" s="537">
        <f t="shared" si="1"/>
        <v>0.01217391304</v>
      </c>
      <c r="AS6" s="537">
        <f t="shared" si="1"/>
        <v>0.01232394366</v>
      </c>
      <c r="AT6" s="537">
        <f t="shared" si="1"/>
        <v>0.01158645276</v>
      </c>
      <c r="AU6" s="537">
        <f t="shared" si="1"/>
        <v>0.01262398557</v>
      </c>
      <c r="AV6" s="537">
        <f t="shared" si="1"/>
        <v>0.01187214612</v>
      </c>
      <c r="AW6" s="537">
        <f t="shared" si="1"/>
        <v>0.01293900185</v>
      </c>
      <c r="AX6" s="537">
        <f t="shared" si="1"/>
        <v>0.01310861423</v>
      </c>
      <c r="AY6" s="537">
        <f t="shared" si="1"/>
        <v>0.01328273245</v>
      </c>
      <c r="AZ6" s="537">
        <f t="shared" si="1"/>
        <v>0.0125</v>
      </c>
    </row>
    <row r="7" ht="15.0" customHeight="1">
      <c r="A7" s="535" t="s">
        <v>1069</v>
      </c>
      <c r="B7" s="535"/>
      <c r="C7" s="535"/>
      <c r="D7" s="535"/>
      <c r="E7" s="535"/>
      <c r="F7" s="535"/>
      <c r="G7" s="535"/>
      <c r="H7" s="535"/>
      <c r="I7" s="535"/>
      <c r="J7" s="535"/>
      <c r="K7" s="535"/>
      <c r="L7" s="535"/>
      <c r="M7" s="535"/>
      <c r="N7" s="535"/>
      <c r="O7" s="535"/>
      <c r="P7" s="535"/>
      <c r="Q7" s="535"/>
      <c r="R7" s="535"/>
      <c r="S7" s="535"/>
      <c r="T7" s="535"/>
      <c r="U7" s="535"/>
      <c r="V7" s="536">
        <v>0.04</v>
      </c>
      <c r="W7" s="537">
        <f t="shared" ref="W7:AZ7" si="2">(V5-W5)/V5</f>
        <v>0.04520547945</v>
      </c>
      <c r="X7" s="537">
        <f t="shared" si="2"/>
        <v>0.04246771879</v>
      </c>
      <c r="Y7" s="537">
        <f t="shared" si="2"/>
        <v>0.03985615823</v>
      </c>
      <c r="Z7" s="537">
        <f t="shared" si="2"/>
        <v>0.03807740325</v>
      </c>
      <c r="AA7" s="537">
        <f t="shared" si="2"/>
        <v>0.03569110967</v>
      </c>
      <c r="AB7" s="537">
        <f t="shared" si="2"/>
        <v>0.0336473755</v>
      </c>
      <c r="AC7" s="537">
        <f t="shared" si="2"/>
        <v>0.03168523677</v>
      </c>
      <c r="AD7" s="537">
        <f t="shared" si="2"/>
        <v>0.02948579648</v>
      </c>
      <c r="AE7" s="537">
        <f t="shared" si="2"/>
        <v>0.02741756206</v>
      </c>
      <c r="AF7" s="537">
        <f t="shared" si="2"/>
        <v>0.02514285714</v>
      </c>
      <c r="AG7" s="537">
        <f t="shared" si="2"/>
        <v>0.02344665885</v>
      </c>
      <c r="AH7" s="537">
        <f t="shared" si="2"/>
        <v>0.02160864346</v>
      </c>
      <c r="AI7" s="537">
        <f t="shared" si="2"/>
        <v>0.01963190184</v>
      </c>
      <c r="AJ7" s="537">
        <f t="shared" si="2"/>
        <v>0.01793909053</v>
      </c>
      <c r="AK7" s="537">
        <f t="shared" si="2"/>
        <v>0.0165675446</v>
      </c>
      <c r="AL7" s="537">
        <f t="shared" si="2"/>
        <v>0.01468682505</v>
      </c>
      <c r="AM7" s="537">
        <f t="shared" si="2"/>
        <v>0.01359053047</v>
      </c>
      <c r="AN7" s="537">
        <f t="shared" si="2"/>
        <v>0.01244444444</v>
      </c>
      <c r="AO7" s="537">
        <f t="shared" si="2"/>
        <v>0.01125112511</v>
      </c>
      <c r="AP7" s="537">
        <f t="shared" si="2"/>
        <v>0.01046882112</v>
      </c>
      <c r="AQ7" s="537">
        <f t="shared" si="2"/>
        <v>0.009659613615</v>
      </c>
      <c r="AR7" s="537">
        <f t="shared" si="2"/>
        <v>0.009753831863</v>
      </c>
      <c r="AS7" s="537">
        <f t="shared" si="2"/>
        <v>0.009380863039</v>
      </c>
      <c r="AT7" s="537">
        <f t="shared" si="2"/>
        <v>0.008996212121</v>
      </c>
      <c r="AU7" s="537">
        <f t="shared" si="2"/>
        <v>0.00955566173</v>
      </c>
      <c r="AV7" s="537">
        <f t="shared" si="2"/>
        <v>0.01013024602</v>
      </c>
      <c r="AW7" s="537">
        <f t="shared" si="2"/>
        <v>0.011208577</v>
      </c>
      <c r="AX7" s="537">
        <f t="shared" si="2"/>
        <v>0.01182848694</v>
      </c>
      <c r="AY7" s="537">
        <f t="shared" si="2"/>
        <v>0.01346633416</v>
      </c>
      <c r="AZ7" s="537">
        <f t="shared" si="2"/>
        <v>0.01466127401</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6">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6">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8">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13100.0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1071</v>
      </c>
      <c r="B16" s="535"/>
      <c r="C16" s="535"/>
      <c r="D16" s="535"/>
      <c r="E16" s="535"/>
      <c r="F16" s="535"/>
      <c r="G16" s="535"/>
      <c r="H16" s="535"/>
      <c r="I16" s="535"/>
      <c r="J16" s="535"/>
      <c r="K16" s="535"/>
      <c r="L16" s="535"/>
      <c r="M16" s="535"/>
      <c r="N16" s="535"/>
      <c r="O16" s="535"/>
      <c r="P16" s="535"/>
      <c r="Q16" s="535"/>
      <c r="R16" s="535"/>
      <c r="S16" s="535"/>
      <c r="T16" s="535"/>
      <c r="U16" s="535"/>
      <c r="V16" s="668">
        <v>2.0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1072</v>
      </c>
      <c r="B17" s="535"/>
      <c r="C17" s="535"/>
      <c r="D17" s="535"/>
      <c r="E17" s="535"/>
      <c r="F17" s="535"/>
      <c r="G17" s="535"/>
      <c r="H17" s="535"/>
      <c r="I17" s="535"/>
      <c r="J17" s="535"/>
      <c r="K17" s="535"/>
      <c r="L17" s="535"/>
      <c r="M17" s="535"/>
      <c r="N17" s="535"/>
      <c r="O17" s="535"/>
      <c r="P17" s="535"/>
      <c r="Q17" s="535"/>
      <c r="R17" s="535"/>
      <c r="S17" s="535"/>
      <c r="T17" s="535"/>
      <c r="U17" s="535"/>
      <c r="V17" s="712">
        <v>3.0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1073</v>
      </c>
      <c r="B18" s="535"/>
      <c r="C18" s="535"/>
      <c r="D18" s="535"/>
      <c r="E18" s="535"/>
      <c r="F18" s="535"/>
      <c r="G18" s="535"/>
      <c r="H18" s="535"/>
      <c r="I18" s="535"/>
      <c r="J18" s="535"/>
      <c r="K18" s="535"/>
      <c r="L18" s="535"/>
      <c r="M18" s="535"/>
      <c r="N18" s="535"/>
      <c r="O18" s="535"/>
      <c r="P18" s="535"/>
      <c r="Q18" s="535"/>
      <c r="R18" s="535"/>
      <c r="S18" s="535"/>
      <c r="T18" s="535"/>
      <c r="U18" s="535"/>
      <c r="V18" s="547">
        <f t="shared" ref="V18:V19" si="3">1/V16</f>
        <v>0.5</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1074</v>
      </c>
      <c r="B19" s="535"/>
      <c r="C19" s="535"/>
      <c r="D19" s="535"/>
      <c r="E19" s="535"/>
      <c r="F19" s="535"/>
      <c r="G19" s="535"/>
      <c r="H19" s="535"/>
      <c r="I19" s="535"/>
      <c r="J19" s="535"/>
      <c r="K19" s="535"/>
      <c r="L19" s="535"/>
      <c r="M19" s="535"/>
      <c r="N19" s="535"/>
      <c r="O19" s="535"/>
      <c r="P19" s="535"/>
      <c r="Q19" s="535"/>
      <c r="R19" s="535"/>
      <c r="S19" s="535"/>
      <c r="T19" s="535"/>
      <c r="U19" s="535"/>
      <c r="V19" s="547">
        <f t="shared" si="3"/>
        <v>0.3333333333</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94</v>
      </c>
      <c r="B20" s="535"/>
      <c r="C20" s="535"/>
      <c r="D20" s="535"/>
      <c r="E20" s="535"/>
      <c r="F20" s="535"/>
      <c r="G20" s="535"/>
      <c r="H20" s="535"/>
      <c r="I20" s="535"/>
      <c r="J20" s="535"/>
      <c r="K20" s="535"/>
      <c r="L20" s="535"/>
      <c r="M20" s="535"/>
      <c r="N20" s="535"/>
      <c r="O20" s="535"/>
      <c r="P20" s="535"/>
      <c r="Q20" s="535"/>
      <c r="R20" s="535"/>
      <c r="S20" s="535"/>
      <c r="T20" s="535"/>
      <c r="U20" s="535"/>
      <c r="V20" s="752">
        <v>0.32833670184894076</v>
      </c>
      <c r="W20" s="777">
        <f t="shared" ref="W20:AZ20" si="4">V20*(1+V22)</f>
        <v>0.3283367018</v>
      </c>
      <c r="X20" s="777">
        <f t="shared" si="4"/>
        <v>0.3283367018</v>
      </c>
      <c r="Y20" s="777">
        <f t="shared" si="4"/>
        <v>0.3283367018</v>
      </c>
      <c r="Z20" s="777">
        <f t="shared" si="4"/>
        <v>0.3283367018</v>
      </c>
      <c r="AA20" s="777">
        <f t="shared" si="4"/>
        <v>0.3283367018</v>
      </c>
      <c r="AB20" s="777">
        <f t="shared" si="4"/>
        <v>0.3283367018</v>
      </c>
      <c r="AC20" s="777">
        <f t="shared" si="4"/>
        <v>0.3283367018</v>
      </c>
      <c r="AD20" s="777">
        <f t="shared" si="4"/>
        <v>0.3283367018</v>
      </c>
      <c r="AE20" s="777">
        <f t="shared" si="4"/>
        <v>0.3283367018</v>
      </c>
      <c r="AF20" s="777">
        <f t="shared" si="4"/>
        <v>0.3283367018</v>
      </c>
      <c r="AG20" s="777">
        <f t="shared" si="4"/>
        <v>0.3283367018</v>
      </c>
      <c r="AH20" s="777">
        <f t="shared" si="4"/>
        <v>0.3283367018</v>
      </c>
      <c r="AI20" s="777">
        <f t="shared" si="4"/>
        <v>0.3283367018</v>
      </c>
      <c r="AJ20" s="777">
        <f t="shared" si="4"/>
        <v>0.3283367018</v>
      </c>
      <c r="AK20" s="777">
        <f t="shared" si="4"/>
        <v>0.3283367018</v>
      </c>
      <c r="AL20" s="777">
        <f t="shared" si="4"/>
        <v>0.3283367018</v>
      </c>
      <c r="AM20" s="777">
        <f t="shared" si="4"/>
        <v>0.3283367018</v>
      </c>
      <c r="AN20" s="777">
        <f t="shared" si="4"/>
        <v>0.3283367018</v>
      </c>
      <c r="AO20" s="777">
        <f t="shared" si="4"/>
        <v>0.3283367018</v>
      </c>
      <c r="AP20" s="777">
        <f t="shared" si="4"/>
        <v>0.3283367018</v>
      </c>
      <c r="AQ20" s="777">
        <f t="shared" si="4"/>
        <v>0.3283367018</v>
      </c>
      <c r="AR20" s="777">
        <f t="shared" si="4"/>
        <v>0.3283367018</v>
      </c>
      <c r="AS20" s="777">
        <f t="shared" si="4"/>
        <v>0.3283367018</v>
      </c>
      <c r="AT20" s="777">
        <f t="shared" si="4"/>
        <v>0.3283367018</v>
      </c>
      <c r="AU20" s="777">
        <f t="shared" si="4"/>
        <v>0.3283367018</v>
      </c>
      <c r="AV20" s="777">
        <f t="shared" si="4"/>
        <v>0.3283367018</v>
      </c>
      <c r="AW20" s="777">
        <f t="shared" si="4"/>
        <v>0.3283367018</v>
      </c>
      <c r="AX20" s="777">
        <f t="shared" si="4"/>
        <v>0.3283367018</v>
      </c>
      <c r="AY20" s="777">
        <f t="shared" si="4"/>
        <v>0.3283367018</v>
      </c>
      <c r="AZ20" s="777">
        <f t="shared" si="4"/>
        <v>0.3283367018</v>
      </c>
    </row>
    <row r="21" ht="15.0" customHeight="1">
      <c r="A21" s="535" t="s">
        <v>96</v>
      </c>
      <c r="B21" s="535"/>
      <c r="C21" s="535"/>
      <c r="D21" s="535"/>
      <c r="E21" s="535"/>
      <c r="F21" s="535"/>
      <c r="G21" s="535"/>
      <c r="H21" s="535"/>
      <c r="I21" s="535"/>
      <c r="J21" s="535"/>
      <c r="K21" s="535"/>
      <c r="L21" s="535"/>
      <c r="M21" s="535"/>
      <c r="N21" s="535"/>
      <c r="O21" s="535"/>
      <c r="P21" s="535"/>
      <c r="Q21" s="535"/>
      <c r="R21" s="535"/>
      <c r="S21" s="535"/>
      <c r="T21" s="535"/>
      <c r="U21" s="535"/>
      <c r="V21" s="752">
        <v>0.368</v>
      </c>
      <c r="W21" s="777">
        <f t="shared" ref="W21:AZ21" si="5">V21</f>
        <v>0.368</v>
      </c>
      <c r="X21" s="777">
        <f t="shared" si="5"/>
        <v>0.368</v>
      </c>
      <c r="Y21" s="777">
        <f t="shared" si="5"/>
        <v>0.368</v>
      </c>
      <c r="Z21" s="777">
        <f t="shared" si="5"/>
        <v>0.368</v>
      </c>
      <c r="AA21" s="777">
        <f t="shared" si="5"/>
        <v>0.368</v>
      </c>
      <c r="AB21" s="777">
        <f t="shared" si="5"/>
        <v>0.368</v>
      </c>
      <c r="AC21" s="777">
        <f t="shared" si="5"/>
        <v>0.368</v>
      </c>
      <c r="AD21" s="777">
        <f t="shared" si="5"/>
        <v>0.368</v>
      </c>
      <c r="AE21" s="777">
        <f t="shared" si="5"/>
        <v>0.368</v>
      </c>
      <c r="AF21" s="777">
        <f t="shared" si="5"/>
        <v>0.368</v>
      </c>
      <c r="AG21" s="777">
        <f t="shared" si="5"/>
        <v>0.368</v>
      </c>
      <c r="AH21" s="777">
        <f t="shared" si="5"/>
        <v>0.368</v>
      </c>
      <c r="AI21" s="777">
        <f t="shared" si="5"/>
        <v>0.368</v>
      </c>
      <c r="AJ21" s="777">
        <f t="shared" si="5"/>
        <v>0.368</v>
      </c>
      <c r="AK21" s="777">
        <f t="shared" si="5"/>
        <v>0.368</v>
      </c>
      <c r="AL21" s="777">
        <f t="shared" si="5"/>
        <v>0.368</v>
      </c>
      <c r="AM21" s="777">
        <f t="shared" si="5"/>
        <v>0.368</v>
      </c>
      <c r="AN21" s="777">
        <f t="shared" si="5"/>
        <v>0.368</v>
      </c>
      <c r="AO21" s="777">
        <f t="shared" si="5"/>
        <v>0.368</v>
      </c>
      <c r="AP21" s="777">
        <f t="shared" si="5"/>
        <v>0.368</v>
      </c>
      <c r="AQ21" s="777">
        <f t="shared" si="5"/>
        <v>0.368</v>
      </c>
      <c r="AR21" s="777">
        <f t="shared" si="5"/>
        <v>0.368</v>
      </c>
      <c r="AS21" s="777">
        <f t="shared" si="5"/>
        <v>0.368</v>
      </c>
      <c r="AT21" s="777">
        <f t="shared" si="5"/>
        <v>0.368</v>
      </c>
      <c r="AU21" s="777">
        <f t="shared" si="5"/>
        <v>0.368</v>
      </c>
      <c r="AV21" s="777">
        <f t="shared" si="5"/>
        <v>0.368</v>
      </c>
      <c r="AW21" s="777">
        <f t="shared" si="5"/>
        <v>0.368</v>
      </c>
      <c r="AX21" s="777">
        <f t="shared" si="5"/>
        <v>0.368</v>
      </c>
      <c r="AY21" s="777">
        <f t="shared" si="5"/>
        <v>0.368</v>
      </c>
      <c r="AZ21" s="777">
        <f t="shared" si="5"/>
        <v>0.368</v>
      </c>
    </row>
    <row r="22" ht="15.0" customHeight="1">
      <c r="A22" s="535" t="s">
        <v>98</v>
      </c>
      <c r="B22" s="535"/>
      <c r="C22" s="535"/>
      <c r="D22" s="535"/>
      <c r="E22" s="535"/>
      <c r="F22" s="535"/>
      <c r="G22" s="535"/>
      <c r="H22" s="535"/>
      <c r="I22" s="535"/>
      <c r="J22" s="535"/>
      <c r="K22" s="535"/>
      <c r="L22" s="535"/>
      <c r="M22" s="535"/>
      <c r="N22" s="535"/>
      <c r="O22" s="535"/>
      <c r="P22" s="535"/>
      <c r="Q22" s="535"/>
      <c r="R22" s="535"/>
      <c r="S22" s="535"/>
      <c r="T22" s="535"/>
      <c r="U22" s="535"/>
      <c r="V22" s="547">
        <v>0.0</v>
      </c>
      <c r="W22" s="208">
        <f t="shared" ref="W22:AZ22" si="6">V22</f>
        <v>0</v>
      </c>
      <c r="X22" s="208">
        <f t="shared" si="6"/>
        <v>0</v>
      </c>
      <c r="Y22" s="208">
        <f t="shared" si="6"/>
        <v>0</v>
      </c>
      <c r="Z22" s="208">
        <f t="shared" si="6"/>
        <v>0</v>
      </c>
      <c r="AA22" s="208">
        <f t="shared" si="6"/>
        <v>0</v>
      </c>
      <c r="AB22" s="208">
        <f t="shared" si="6"/>
        <v>0</v>
      </c>
      <c r="AC22" s="208">
        <f t="shared" si="6"/>
        <v>0</v>
      </c>
      <c r="AD22" s="208">
        <f t="shared" si="6"/>
        <v>0</v>
      </c>
      <c r="AE22" s="208">
        <f t="shared" si="6"/>
        <v>0</v>
      </c>
      <c r="AF22" s="208">
        <f t="shared" si="6"/>
        <v>0</v>
      </c>
      <c r="AG22" s="208">
        <f t="shared" si="6"/>
        <v>0</v>
      </c>
      <c r="AH22" s="208">
        <f t="shared" si="6"/>
        <v>0</v>
      </c>
      <c r="AI22" s="208">
        <f t="shared" si="6"/>
        <v>0</v>
      </c>
      <c r="AJ22" s="208">
        <f t="shared" si="6"/>
        <v>0</v>
      </c>
      <c r="AK22" s="208">
        <f t="shared" si="6"/>
        <v>0</v>
      </c>
      <c r="AL22" s="208">
        <f t="shared" si="6"/>
        <v>0</v>
      </c>
      <c r="AM22" s="208">
        <f t="shared" si="6"/>
        <v>0</v>
      </c>
      <c r="AN22" s="208">
        <f t="shared" si="6"/>
        <v>0</v>
      </c>
      <c r="AO22" s="208">
        <f t="shared" si="6"/>
        <v>0</v>
      </c>
      <c r="AP22" s="208">
        <f t="shared" si="6"/>
        <v>0</v>
      </c>
      <c r="AQ22" s="208">
        <f t="shared" si="6"/>
        <v>0</v>
      </c>
      <c r="AR22" s="208">
        <f t="shared" si="6"/>
        <v>0</v>
      </c>
      <c r="AS22" s="208">
        <f t="shared" si="6"/>
        <v>0</v>
      </c>
      <c r="AT22" s="208">
        <f t="shared" si="6"/>
        <v>0</v>
      </c>
      <c r="AU22" s="208">
        <f t="shared" si="6"/>
        <v>0</v>
      </c>
      <c r="AV22" s="208">
        <f t="shared" si="6"/>
        <v>0</v>
      </c>
      <c r="AW22" s="208">
        <f t="shared" si="6"/>
        <v>0</v>
      </c>
      <c r="AX22" s="208">
        <f t="shared" si="6"/>
        <v>0</v>
      </c>
      <c r="AY22" s="208">
        <f t="shared" si="6"/>
        <v>0</v>
      </c>
      <c r="AZ22" s="208">
        <f t="shared" si="6"/>
        <v>0</v>
      </c>
    </row>
    <row r="23" ht="15.0" customHeight="1">
      <c r="A23" s="541" t="s">
        <v>1075</v>
      </c>
      <c r="B23" s="778">
        <f>$T$24*1000*'Inflation GDP Population'!B$18/'Inflation GDP Population'!$T$18</f>
        <v>30405.16983</v>
      </c>
      <c r="C23" s="778">
        <f>$T$24*1000*'Inflation GDP Population'!C$18/'Inflation GDP Population'!$T$18</f>
        <v>31072.08164</v>
      </c>
      <c r="D23" s="778">
        <f>$T$24*1000*'Inflation GDP Population'!D$18/'Inflation GDP Population'!$T$18</f>
        <v>31563.5635</v>
      </c>
      <c r="E23" s="778">
        <f>$T$24*1000*'Inflation GDP Population'!E$18/'Inflation GDP Population'!$T$18</f>
        <v>32149.73798</v>
      </c>
      <c r="F23" s="778">
        <f>$T$24*1000*'Inflation GDP Population'!F$18/'Inflation GDP Population'!$T$18</f>
        <v>33015.27331</v>
      </c>
      <c r="G23" s="778">
        <f>$T$24*1000*'Inflation GDP Population'!G$18/'Inflation GDP Population'!$T$18</f>
        <v>34043.66923</v>
      </c>
      <c r="H23" s="778">
        <f>$T$24*1000*'Inflation GDP Population'!H$18/'Inflation GDP Population'!$T$18</f>
        <v>35073.90289</v>
      </c>
      <c r="I23" s="778">
        <f>$T$24*1000*'Inflation GDP Population'!I$18/'Inflation GDP Population'!$T$18</f>
        <v>36016.09539</v>
      </c>
      <c r="J23" s="778">
        <f>$T$24*1000*'Inflation GDP Population'!J$18/'Inflation GDP Population'!$T$18</f>
        <v>36716.65475</v>
      </c>
      <c r="K23" s="778">
        <f>$T$24*1000*'Inflation GDP Population'!K$18/'Inflation GDP Population'!$T$18</f>
        <v>36996.55924</v>
      </c>
      <c r="L23" s="778">
        <f>$T$24*1000*'Inflation GDP Population'!L$18/'Inflation GDP Population'!$T$18</f>
        <v>37427.66268</v>
      </c>
      <c r="M23" s="778">
        <f>$T$24*1000*'Inflation GDP Population'!M$18/'Inflation GDP Population'!$T$18</f>
        <v>38209.4946</v>
      </c>
      <c r="N23" s="778">
        <f>$T$24*1000*'Inflation GDP Population'!N$18/'Inflation GDP Population'!$T$18</f>
        <v>38942.29193</v>
      </c>
      <c r="O23" s="778">
        <f>$T$24*1000*'Inflation GDP Population'!O$18/'Inflation GDP Population'!$T$18</f>
        <v>39625.70147</v>
      </c>
      <c r="P23" s="778">
        <f>$T$24*1000*'Inflation GDP Population'!P$18/'Inflation GDP Population'!$T$18</f>
        <v>40358.92053</v>
      </c>
      <c r="Q23" s="778">
        <f>$T$24*1000*'Inflation GDP Population'!Q$18/'Inflation GDP Population'!$T$18</f>
        <v>40779.19475</v>
      </c>
      <c r="R23" s="778">
        <f>$T$24*1000*'Inflation GDP Population'!R$18/'Inflation GDP Population'!$T$18</f>
        <v>41201.37279</v>
      </c>
      <c r="S23" s="778">
        <f>$T$24*1000*'Inflation GDP Population'!S$18/'Inflation GDP Population'!$T$18</f>
        <v>41977.45005</v>
      </c>
      <c r="T23" s="779">
        <f>T24*1000*'Inflation GDP Population'!T$18/'Inflation GDP Population'!$T$18</f>
        <v>43000</v>
      </c>
      <c r="U23" s="779">
        <f>U24*1000*'Inflation GDP Population'!U$18/'Inflation GDP Population'!$T$18</f>
        <v>43838.88591</v>
      </c>
      <c r="V23" s="780">
        <f>V24*1000*'Inflation GDP Population'!V$18/'Inflation GDP Population'!$T$18</f>
        <v>43654.73908</v>
      </c>
      <c r="W23" s="779">
        <f>W24*1000*'Inflation GDP Population'!W$18/'Inflation GDP Population'!$T$18</f>
        <v>44506.39828</v>
      </c>
      <c r="X23" s="779">
        <f>X24*1000*'Inflation GDP Population'!X$18/'Inflation GDP Population'!$T$18</f>
        <v>45374.67248</v>
      </c>
      <c r="Y23" s="779">
        <f>Y24*1000*'Inflation GDP Population'!Y$18/'Inflation GDP Population'!$T$18</f>
        <v>45158.45997</v>
      </c>
      <c r="Z23" s="779">
        <f>Z24*1000*'Inflation GDP Population'!Z$18/'Inflation GDP Population'!$T$18</f>
        <v>46039.45522</v>
      </c>
      <c r="AA23" s="779">
        <f>AA24*1000*'Inflation GDP Population'!AA$18/'Inflation GDP Population'!$T$18</f>
        <v>46937.63779</v>
      </c>
      <c r="AB23" s="779">
        <f>AB24*1000*'Inflation GDP Population'!AB$18/'Inflation GDP Population'!$T$18</f>
        <v>46686.18827</v>
      </c>
      <c r="AC23" s="779">
        <f>AC24*1000*'Inflation GDP Population'!AC$18/'Inflation GDP Population'!$T$18</f>
        <v>47596.98794</v>
      </c>
      <c r="AD23" s="779">
        <f>AD24*1000*'Inflation GDP Population'!AD$18/'Inflation GDP Population'!$T$18</f>
        <v>48525.55637</v>
      </c>
      <c r="AE23" s="779">
        <f>AE24*1000*'Inflation GDP Population'!AE$18/'Inflation GDP Population'!$T$18</f>
        <v>48235.43422</v>
      </c>
      <c r="AF23" s="779">
        <f>AF24*1000*'Inflation GDP Population'!AF$18/'Inflation GDP Population'!$T$18</f>
        <v>49176.45809</v>
      </c>
      <c r="AG23" s="779">
        <f>AG24*1000*'Inflation GDP Population'!AG$18/'Inflation GDP Population'!$T$18</f>
        <v>50135.84037</v>
      </c>
      <c r="AH23" s="779">
        <f>AH24*1000*'Inflation GDP Population'!AH$18/'Inflation GDP Population'!$T$18</f>
        <v>49803.32538</v>
      </c>
      <c r="AI23" s="779">
        <f>AI24*1000*'Inflation GDP Population'!AI$18/'Inflation GDP Population'!$T$18</f>
        <v>50774.9372</v>
      </c>
      <c r="AJ23" s="779">
        <f>AJ24*1000*'Inflation GDP Population'!AJ$18/'Inflation GDP Population'!$T$18</f>
        <v>51765.50417</v>
      </c>
      <c r="AK23" s="779">
        <f>AK24*1000*'Inflation GDP Population'!AK$18/'Inflation GDP Population'!$T$18</f>
        <v>51386.56987</v>
      </c>
      <c r="AL23" s="779">
        <f>AL24*1000*'Inflation GDP Population'!AL$18/'Inflation GDP Population'!$T$18</f>
        <v>52389.06916</v>
      </c>
      <c r="AM23" s="779">
        <f>AM24*1000*'Inflation GDP Population'!AM$18/'Inflation GDP Population'!$T$18</f>
        <v>53411.12619</v>
      </c>
      <c r="AN23" s="779">
        <f>AN24*1000*'Inflation GDP Population'!AN$18/'Inflation GDP Population'!$T$18</f>
        <v>54453.1225</v>
      </c>
      <c r="AO23" s="779">
        <f>AO24*1000*'Inflation GDP Population'!AO$18/'Inflation GDP Population'!$T$18</f>
        <v>54015.0296</v>
      </c>
      <c r="AP23" s="779">
        <f>AP24*1000*'Inflation GDP Population'!AP$18/'Inflation GDP Population'!$T$18</f>
        <v>55068.80745</v>
      </c>
      <c r="AQ23" s="779">
        <f>AQ24*1000*'Inflation GDP Population'!AQ$18/'Inflation GDP Population'!$T$18</f>
        <v>56143.14342</v>
      </c>
      <c r="AR23" s="779">
        <f>AR24*1000*'Inflation GDP Population'!AR$18/'Inflation GDP Population'!$T$18</f>
        <v>55648.48196</v>
      </c>
      <c r="AS23" s="779">
        <f>AS24*1000*'Inflation GDP Population'!AS$18/'Inflation GDP Population'!$T$18</f>
        <v>56734.12679</v>
      </c>
      <c r="AT23" s="779">
        <f>AT24*1000*'Inflation GDP Population'!AT$18/'Inflation GDP Population'!$T$18</f>
        <v>57840.95143</v>
      </c>
      <c r="AU23" s="779">
        <f>AU24*1000*'Inflation GDP Population'!AU$18/'Inflation GDP Population'!$T$18</f>
        <v>58969.36909</v>
      </c>
      <c r="AV23" s="779">
        <f>AV24*1000*'Inflation GDP Population'!AV$18/'Inflation GDP Population'!$T$18</f>
        <v>58402.09242</v>
      </c>
      <c r="AW23" s="779">
        <f>AW24*1000*'Inflation GDP Population'!AW$18/'Inflation GDP Population'!$T$18</f>
        <v>59541.45737</v>
      </c>
      <c r="AX23" s="779">
        <f>AX24*1000*'Inflation GDP Population'!AX$18/'Inflation GDP Population'!$T$18</f>
        <v>60703.05015</v>
      </c>
      <c r="AY23" s="779">
        <f>AY24*1000*'Inflation GDP Population'!AY$18/'Inflation GDP Population'!$T$18</f>
        <v>60067.08959</v>
      </c>
      <c r="AZ23" s="779">
        <f>AZ24*1000*'Inflation GDP Population'!AZ$18/'Inflation GDP Population'!$T$18</f>
        <v>61238.93692</v>
      </c>
    </row>
    <row r="24" ht="15.0" customHeight="1">
      <c r="A24" s="541" t="s">
        <v>1076</v>
      </c>
      <c r="B24" s="535"/>
      <c r="C24" s="535"/>
      <c r="D24" s="535"/>
      <c r="E24" s="535"/>
      <c r="F24" s="535"/>
      <c r="G24" s="535"/>
      <c r="H24" s="535"/>
      <c r="I24" s="535"/>
      <c r="J24" s="535"/>
      <c r="K24" s="535"/>
      <c r="L24" s="535"/>
      <c r="M24" s="535"/>
      <c r="N24" s="535"/>
      <c r="O24" s="535"/>
      <c r="P24" s="535"/>
      <c r="Q24" s="535"/>
      <c r="R24" s="535"/>
      <c r="S24" s="535"/>
      <c r="T24" s="781">
        <v>43.0</v>
      </c>
      <c r="U24" s="781">
        <v>43.0</v>
      </c>
      <c r="V24" s="773">
        <v>42.0</v>
      </c>
      <c r="W24" s="782">
        <v>42.0</v>
      </c>
      <c r="X24" s="782">
        <v>42.0</v>
      </c>
      <c r="Y24" s="782">
        <v>41.0</v>
      </c>
      <c r="Z24" s="782">
        <v>41.0</v>
      </c>
      <c r="AA24" s="782">
        <v>41.0</v>
      </c>
      <c r="AB24" s="782">
        <v>40.0</v>
      </c>
      <c r="AC24" s="782">
        <v>40.0</v>
      </c>
      <c r="AD24" s="782">
        <v>40.0</v>
      </c>
      <c r="AE24" s="782">
        <v>39.0</v>
      </c>
      <c r="AF24" s="782">
        <v>39.0</v>
      </c>
      <c r="AG24" s="782">
        <v>39.0</v>
      </c>
      <c r="AH24" s="782">
        <v>38.0</v>
      </c>
      <c r="AI24" s="782">
        <v>38.0</v>
      </c>
      <c r="AJ24" s="782">
        <v>38.0</v>
      </c>
      <c r="AK24" s="782">
        <v>37.0</v>
      </c>
      <c r="AL24" s="782">
        <v>37.0</v>
      </c>
      <c r="AM24" s="782">
        <v>37.0</v>
      </c>
      <c r="AN24" s="782">
        <v>37.0</v>
      </c>
      <c r="AO24" s="782">
        <v>36.0</v>
      </c>
      <c r="AP24" s="782">
        <v>36.0</v>
      </c>
      <c r="AQ24" s="782">
        <v>36.0</v>
      </c>
      <c r="AR24" s="782">
        <v>35.0</v>
      </c>
      <c r="AS24" s="782">
        <v>35.0</v>
      </c>
      <c r="AT24" s="782">
        <v>35.0</v>
      </c>
      <c r="AU24" s="782">
        <v>35.0</v>
      </c>
      <c r="AV24" s="782">
        <v>34.0</v>
      </c>
      <c r="AW24" s="782">
        <v>34.0</v>
      </c>
      <c r="AX24" s="782">
        <v>34.0</v>
      </c>
      <c r="AY24" s="782">
        <v>33.0</v>
      </c>
      <c r="AZ24" s="782">
        <v>33.0</v>
      </c>
    </row>
    <row r="25" ht="15.0" customHeight="1">
      <c r="A25" s="535" t="s">
        <v>1077</v>
      </c>
      <c r="B25" s="535"/>
      <c r="C25" s="535"/>
      <c r="D25" s="535"/>
      <c r="E25" s="535"/>
      <c r="F25" s="535"/>
      <c r="G25" s="535"/>
      <c r="H25" s="535"/>
      <c r="I25" s="535"/>
      <c r="J25" s="535"/>
      <c r="K25" s="535"/>
      <c r="L25" s="535"/>
      <c r="M25" s="535"/>
      <c r="N25" s="535"/>
      <c r="O25" s="535"/>
      <c r="P25" s="535"/>
      <c r="Q25" s="535"/>
      <c r="R25" s="535"/>
      <c r="S25" s="535"/>
      <c r="T25" s="535"/>
      <c r="U25" s="535"/>
      <c r="V25" s="705">
        <v>78560.0</v>
      </c>
      <c r="W25" s="177">
        <f t="shared" ref="W25:AZ25" si="7">V25*(1+V40-V26)</f>
        <v>77931.52</v>
      </c>
      <c r="X25" s="177">
        <f t="shared" si="7"/>
        <v>77308.06784</v>
      </c>
      <c r="Y25" s="177">
        <f t="shared" si="7"/>
        <v>76689.6033</v>
      </c>
      <c r="Z25" s="177">
        <f t="shared" si="7"/>
        <v>76076.08647</v>
      </c>
      <c r="AA25" s="177">
        <f t="shared" si="7"/>
        <v>75467.47778</v>
      </c>
      <c r="AB25" s="177">
        <f t="shared" si="7"/>
        <v>74863.73796</v>
      </c>
      <c r="AC25" s="177">
        <f t="shared" si="7"/>
        <v>74264.82805</v>
      </c>
      <c r="AD25" s="177">
        <f t="shared" si="7"/>
        <v>73670.70943</v>
      </c>
      <c r="AE25" s="177">
        <f t="shared" si="7"/>
        <v>73081.34375</v>
      </c>
      <c r="AF25" s="177">
        <f t="shared" si="7"/>
        <v>72496.693</v>
      </c>
      <c r="AG25" s="177">
        <f t="shared" si="7"/>
        <v>71916.71946</v>
      </c>
      <c r="AH25" s="177">
        <f t="shared" si="7"/>
        <v>71341.3857</v>
      </c>
      <c r="AI25" s="177">
        <f t="shared" si="7"/>
        <v>70770.65462</v>
      </c>
      <c r="AJ25" s="177">
        <f t="shared" si="7"/>
        <v>70204.48938</v>
      </c>
      <c r="AK25" s="177">
        <f t="shared" si="7"/>
        <v>69642.85347</v>
      </c>
      <c r="AL25" s="177">
        <f t="shared" si="7"/>
        <v>69085.71064</v>
      </c>
      <c r="AM25" s="177">
        <f t="shared" si="7"/>
        <v>68533.02495</v>
      </c>
      <c r="AN25" s="177">
        <f t="shared" si="7"/>
        <v>67984.76075</v>
      </c>
      <c r="AO25" s="177">
        <f t="shared" si="7"/>
        <v>67440.88267</v>
      </c>
      <c r="AP25" s="177">
        <f t="shared" si="7"/>
        <v>66901.35561</v>
      </c>
      <c r="AQ25" s="177">
        <f t="shared" si="7"/>
        <v>66366.14476</v>
      </c>
      <c r="AR25" s="177">
        <f t="shared" si="7"/>
        <v>65835.2156</v>
      </c>
      <c r="AS25" s="177">
        <f t="shared" si="7"/>
        <v>65308.53388</v>
      </c>
      <c r="AT25" s="177">
        <f t="shared" si="7"/>
        <v>64786.06561</v>
      </c>
      <c r="AU25" s="177">
        <f t="shared" si="7"/>
        <v>64267.77708</v>
      </c>
      <c r="AV25" s="177">
        <f t="shared" si="7"/>
        <v>63753.63487</v>
      </c>
      <c r="AW25" s="177">
        <f t="shared" si="7"/>
        <v>63243.60579</v>
      </c>
      <c r="AX25" s="177">
        <f t="shared" si="7"/>
        <v>62737.65694</v>
      </c>
      <c r="AY25" s="177">
        <f t="shared" si="7"/>
        <v>62235.75569</v>
      </c>
      <c r="AZ25" s="177">
        <f t="shared" si="7"/>
        <v>61737.86964</v>
      </c>
    </row>
    <row r="26" ht="15.0" customHeight="1">
      <c r="A26" s="535" t="s">
        <v>106</v>
      </c>
      <c r="B26" s="709">
        <f t="shared" ref="B26:T26" si="8">C26</f>
        <v>0.01989423738</v>
      </c>
      <c r="C26" s="709">
        <f t="shared" si="8"/>
        <v>0.01989423738</v>
      </c>
      <c r="D26" s="709">
        <f t="shared" si="8"/>
        <v>0.01989423738</v>
      </c>
      <c r="E26" s="709">
        <f t="shared" si="8"/>
        <v>0.01989423738</v>
      </c>
      <c r="F26" s="709">
        <f t="shared" si="8"/>
        <v>0.01989423738</v>
      </c>
      <c r="G26" s="709">
        <f t="shared" si="8"/>
        <v>0.01989423738</v>
      </c>
      <c r="H26" s="709">
        <f t="shared" si="8"/>
        <v>0.01989423738</v>
      </c>
      <c r="I26" s="709">
        <f t="shared" si="8"/>
        <v>0.01989423738</v>
      </c>
      <c r="J26" s="709">
        <f t="shared" si="8"/>
        <v>0.01989423738</v>
      </c>
      <c r="K26" s="709">
        <f t="shared" si="8"/>
        <v>0.01989423738</v>
      </c>
      <c r="L26" s="709">
        <f t="shared" si="8"/>
        <v>0.01989423738</v>
      </c>
      <c r="M26" s="709">
        <f t="shared" si="8"/>
        <v>0.01989423738</v>
      </c>
      <c r="N26" s="709">
        <f t="shared" si="8"/>
        <v>0.01989423738</v>
      </c>
      <c r="O26" s="709">
        <f t="shared" si="8"/>
        <v>0.01989423738</v>
      </c>
      <c r="P26" s="709">
        <f t="shared" si="8"/>
        <v>0.01989423738</v>
      </c>
      <c r="Q26" s="709">
        <f t="shared" si="8"/>
        <v>0.01989423738</v>
      </c>
      <c r="R26" s="709">
        <f t="shared" si="8"/>
        <v>0.01989423738</v>
      </c>
      <c r="S26" s="709">
        <f t="shared" si="8"/>
        <v>0.01989423738</v>
      </c>
      <c r="T26" s="709">
        <f t="shared" si="8"/>
        <v>0.01989423738</v>
      </c>
      <c r="U26" s="783">
        <f>V40</f>
        <v>0.01989423738</v>
      </c>
      <c r="V26" s="538">
        <f>V40+0.008</f>
        <v>0.02789423738</v>
      </c>
      <c r="W26" s="537">
        <f t="shared" ref="W26:AZ26" si="9">V26</f>
        <v>0.02789423738</v>
      </c>
      <c r="X26" s="537">
        <f t="shared" si="9"/>
        <v>0.02789423738</v>
      </c>
      <c r="Y26" s="537">
        <f t="shared" si="9"/>
        <v>0.02789423738</v>
      </c>
      <c r="Z26" s="537">
        <f t="shared" si="9"/>
        <v>0.02789423738</v>
      </c>
      <c r="AA26" s="537">
        <f t="shared" si="9"/>
        <v>0.02789423738</v>
      </c>
      <c r="AB26" s="537">
        <f t="shared" si="9"/>
        <v>0.02789423738</v>
      </c>
      <c r="AC26" s="537">
        <f t="shared" si="9"/>
        <v>0.02789423738</v>
      </c>
      <c r="AD26" s="537">
        <f t="shared" si="9"/>
        <v>0.02789423738</v>
      </c>
      <c r="AE26" s="537">
        <f t="shared" si="9"/>
        <v>0.02789423738</v>
      </c>
      <c r="AF26" s="537">
        <f t="shared" si="9"/>
        <v>0.02789423738</v>
      </c>
      <c r="AG26" s="537">
        <f t="shared" si="9"/>
        <v>0.02789423738</v>
      </c>
      <c r="AH26" s="537">
        <f t="shared" si="9"/>
        <v>0.02789423738</v>
      </c>
      <c r="AI26" s="537">
        <f t="shared" si="9"/>
        <v>0.02789423738</v>
      </c>
      <c r="AJ26" s="537">
        <f t="shared" si="9"/>
        <v>0.02789423738</v>
      </c>
      <c r="AK26" s="537">
        <f t="shared" si="9"/>
        <v>0.02789423738</v>
      </c>
      <c r="AL26" s="537">
        <f t="shared" si="9"/>
        <v>0.02789423738</v>
      </c>
      <c r="AM26" s="537">
        <f t="shared" si="9"/>
        <v>0.02789423738</v>
      </c>
      <c r="AN26" s="537">
        <f t="shared" si="9"/>
        <v>0.02789423738</v>
      </c>
      <c r="AO26" s="537">
        <f t="shared" si="9"/>
        <v>0.02789423738</v>
      </c>
      <c r="AP26" s="537">
        <f t="shared" si="9"/>
        <v>0.02789423738</v>
      </c>
      <c r="AQ26" s="537">
        <f t="shared" si="9"/>
        <v>0.02789423738</v>
      </c>
      <c r="AR26" s="537">
        <f t="shared" si="9"/>
        <v>0.02789423738</v>
      </c>
      <c r="AS26" s="537">
        <f t="shared" si="9"/>
        <v>0.02789423738</v>
      </c>
      <c r="AT26" s="537">
        <f t="shared" si="9"/>
        <v>0.02789423738</v>
      </c>
      <c r="AU26" s="537">
        <f t="shared" si="9"/>
        <v>0.02789423738</v>
      </c>
      <c r="AV26" s="537">
        <f t="shared" si="9"/>
        <v>0.02789423738</v>
      </c>
      <c r="AW26" s="537">
        <f t="shared" si="9"/>
        <v>0.02789423738</v>
      </c>
      <c r="AX26" s="537">
        <f t="shared" si="9"/>
        <v>0.02789423738</v>
      </c>
      <c r="AY26" s="537">
        <f t="shared" si="9"/>
        <v>0.02789423738</v>
      </c>
      <c r="AZ26" s="537">
        <f t="shared" si="9"/>
        <v>0.02789423738</v>
      </c>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410"/>
      <c r="V27" s="726">
        <v>619000.0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10">V28</f>
        <v>0.21</v>
      </c>
      <c r="X28" s="208">
        <f t="shared" si="10"/>
        <v>0.21</v>
      </c>
      <c r="Y28" s="208">
        <f t="shared" si="10"/>
        <v>0.21</v>
      </c>
      <c r="Z28" s="208">
        <f t="shared" si="10"/>
        <v>0.21</v>
      </c>
      <c r="AA28" s="208">
        <f t="shared" si="10"/>
        <v>0.21</v>
      </c>
      <c r="AB28" s="208">
        <f t="shared" si="10"/>
        <v>0.21</v>
      </c>
      <c r="AC28" s="208">
        <f t="shared" si="10"/>
        <v>0.21</v>
      </c>
      <c r="AD28" s="208">
        <f t="shared" si="10"/>
        <v>0.21</v>
      </c>
      <c r="AE28" s="208">
        <f t="shared" si="10"/>
        <v>0.21</v>
      </c>
      <c r="AF28" s="208">
        <f t="shared" si="10"/>
        <v>0.21</v>
      </c>
      <c r="AG28" s="208">
        <f t="shared" si="10"/>
        <v>0.21</v>
      </c>
      <c r="AH28" s="208">
        <f t="shared" si="10"/>
        <v>0.21</v>
      </c>
      <c r="AI28" s="208">
        <f t="shared" si="10"/>
        <v>0.21</v>
      </c>
      <c r="AJ28" s="208">
        <f t="shared" si="10"/>
        <v>0.21</v>
      </c>
      <c r="AK28" s="208">
        <f t="shared" si="10"/>
        <v>0.21</v>
      </c>
      <c r="AL28" s="208">
        <f t="shared" si="10"/>
        <v>0.21</v>
      </c>
      <c r="AM28" s="208">
        <f t="shared" si="10"/>
        <v>0.21</v>
      </c>
      <c r="AN28" s="208">
        <f t="shared" si="10"/>
        <v>0.21</v>
      </c>
      <c r="AO28" s="208">
        <f t="shared" si="10"/>
        <v>0.21</v>
      </c>
      <c r="AP28" s="208">
        <f t="shared" si="10"/>
        <v>0.21</v>
      </c>
      <c r="AQ28" s="208">
        <f t="shared" si="10"/>
        <v>0.21</v>
      </c>
      <c r="AR28" s="208">
        <f t="shared" si="10"/>
        <v>0.21</v>
      </c>
      <c r="AS28" s="208">
        <f t="shared" si="10"/>
        <v>0.21</v>
      </c>
      <c r="AT28" s="208">
        <f t="shared" si="10"/>
        <v>0.21</v>
      </c>
      <c r="AU28" s="208">
        <f t="shared" si="10"/>
        <v>0.21</v>
      </c>
      <c r="AV28" s="208">
        <f t="shared" si="10"/>
        <v>0.21</v>
      </c>
      <c r="AW28" s="208">
        <f t="shared" si="10"/>
        <v>0.21</v>
      </c>
      <c r="AX28" s="208">
        <f t="shared" si="10"/>
        <v>0.21</v>
      </c>
      <c r="AY28" s="208">
        <f t="shared" si="10"/>
        <v>0.21</v>
      </c>
      <c r="AZ28" s="208">
        <f t="shared" si="10"/>
        <v>0.21</v>
      </c>
    </row>
    <row r="29" ht="15.0" customHeight="1">
      <c r="A29" s="535" t="s">
        <v>114</v>
      </c>
      <c r="B29" s="177">
        <f t="shared" ref="B29:U29" si="11">C29/(1+B40)</f>
        <v>10.46991532</v>
      </c>
      <c r="C29" s="177">
        <f t="shared" si="11"/>
        <v>10.46991532</v>
      </c>
      <c r="D29" s="177">
        <f t="shared" si="11"/>
        <v>10.46991532</v>
      </c>
      <c r="E29" s="177">
        <f t="shared" si="11"/>
        <v>10.46991532</v>
      </c>
      <c r="F29" s="177">
        <f t="shared" si="11"/>
        <v>10.46991532</v>
      </c>
      <c r="G29" s="177">
        <f t="shared" si="11"/>
        <v>10.64780791</v>
      </c>
      <c r="H29" s="177">
        <f t="shared" si="11"/>
        <v>10.97393125</v>
      </c>
      <c r="I29" s="177">
        <f t="shared" si="11"/>
        <v>11.56335378</v>
      </c>
      <c r="J29" s="177">
        <f t="shared" si="11"/>
        <v>11.85482889</v>
      </c>
      <c r="K29" s="177">
        <f t="shared" si="11"/>
        <v>12.32857149</v>
      </c>
      <c r="L29" s="177">
        <f t="shared" si="11"/>
        <v>12.56767356</v>
      </c>
      <c r="M29" s="177">
        <f t="shared" si="11"/>
        <v>12.81000798</v>
      </c>
      <c r="N29" s="177">
        <f t="shared" si="11"/>
        <v>13.0971091</v>
      </c>
      <c r="O29" s="177">
        <f t="shared" si="11"/>
        <v>13.22081866</v>
      </c>
      <c r="P29" s="177">
        <f t="shared" si="11"/>
        <v>13.38781536</v>
      </c>
      <c r="Q29" s="177">
        <f t="shared" si="11"/>
        <v>13.85397951</v>
      </c>
      <c r="R29" s="177">
        <f t="shared" si="11"/>
        <v>14.07852981</v>
      </c>
      <c r="S29" s="177">
        <f t="shared" si="11"/>
        <v>13.92902609</v>
      </c>
      <c r="T29" s="177">
        <f t="shared" si="11"/>
        <v>14.47553717</v>
      </c>
      <c r="U29" s="177">
        <f t="shared" si="11"/>
        <v>14.65838266</v>
      </c>
      <c r="V29" s="715">
        <v>14.95</v>
      </c>
      <c r="W29" s="177">
        <f t="shared" ref="W29:AZ29" si="12">V29*(1+V40)</f>
        <v>15.24741885</v>
      </c>
      <c r="X29" s="177">
        <f t="shared" si="12"/>
        <v>15.55075462</v>
      </c>
      <c r="Y29" s="177">
        <f t="shared" si="12"/>
        <v>15.86012502</v>
      </c>
      <c r="Z29" s="177">
        <f t="shared" si="12"/>
        <v>16.17565011</v>
      </c>
      <c r="AA29" s="177">
        <f t="shared" si="12"/>
        <v>16.49745234</v>
      </c>
      <c r="AB29" s="177">
        <f t="shared" si="12"/>
        <v>16.82565657</v>
      </c>
      <c r="AC29" s="177">
        <f t="shared" si="12"/>
        <v>17.16039018</v>
      </c>
      <c r="AD29" s="177">
        <f t="shared" si="12"/>
        <v>17.50178305</v>
      </c>
      <c r="AE29" s="177">
        <f t="shared" si="12"/>
        <v>17.84996768</v>
      </c>
      <c r="AF29" s="177">
        <f t="shared" si="12"/>
        <v>18.20507917</v>
      </c>
      <c r="AG29" s="177">
        <f t="shared" si="12"/>
        <v>18.56725534</v>
      </c>
      <c r="AH29" s="177">
        <f t="shared" si="12"/>
        <v>18.93663673</v>
      </c>
      <c r="AI29" s="177">
        <f t="shared" si="12"/>
        <v>19.31336667</v>
      </c>
      <c r="AJ29" s="177">
        <f t="shared" si="12"/>
        <v>19.69759137</v>
      </c>
      <c r="AK29" s="177">
        <f t="shared" si="12"/>
        <v>20.08945993</v>
      </c>
      <c r="AL29" s="177">
        <f t="shared" si="12"/>
        <v>20.48912442</v>
      </c>
      <c r="AM29" s="177">
        <f t="shared" si="12"/>
        <v>20.89673992</v>
      </c>
      <c r="AN29" s="177">
        <f t="shared" si="12"/>
        <v>21.31246463</v>
      </c>
      <c r="AO29" s="177">
        <f t="shared" si="12"/>
        <v>21.73645986</v>
      </c>
      <c r="AP29" s="177">
        <f t="shared" si="12"/>
        <v>22.16889015</v>
      </c>
      <c r="AQ29" s="177">
        <f t="shared" si="12"/>
        <v>22.60992331</v>
      </c>
      <c r="AR29" s="177">
        <f t="shared" si="12"/>
        <v>23.05973049</v>
      </c>
      <c r="AS29" s="177">
        <f t="shared" si="12"/>
        <v>23.51848625</v>
      </c>
      <c r="AT29" s="177">
        <f t="shared" si="12"/>
        <v>23.98636859</v>
      </c>
      <c r="AU29" s="177">
        <f t="shared" si="12"/>
        <v>24.4635591</v>
      </c>
      <c r="AV29" s="177">
        <f t="shared" si="12"/>
        <v>24.95024296</v>
      </c>
      <c r="AW29" s="177">
        <f t="shared" si="12"/>
        <v>25.44660901</v>
      </c>
      <c r="AX29" s="177">
        <f t="shared" si="12"/>
        <v>25.95284989</v>
      </c>
      <c r="AY29" s="177">
        <f t="shared" si="12"/>
        <v>26.46916205</v>
      </c>
      <c r="AZ29" s="177">
        <f t="shared" si="12"/>
        <v>26.99574584</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712">
        <v>26.0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712">
        <v>30.0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712">
        <v>9.0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1078</v>
      </c>
      <c r="B33" s="535"/>
      <c r="C33" s="535"/>
      <c r="D33" s="535"/>
      <c r="E33" s="535"/>
      <c r="F33" s="535"/>
      <c r="G33" s="535"/>
      <c r="H33" s="535"/>
      <c r="I33" s="535"/>
      <c r="J33" s="535"/>
      <c r="K33" s="535"/>
      <c r="L33" s="535"/>
      <c r="M33" s="535"/>
      <c r="N33" s="535"/>
      <c r="O33" s="535"/>
      <c r="P33" s="535"/>
      <c r="Q33" s="535"/>
      <c r="R33" s="535"/>
      <c r="S33" s="535"/>
      <c r="T33" s="535"/>
      <c r="U33" s="535"/>
      <c r="V33" s="712">
        <v>7.0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35" t="s">
        <v>1079</v>
      </c>
      <c r="B39" s="546">
        <v>0.0</v>
      </c>
      <c r="C39" s="546">
        <v>0.0</v>
      </c>
      <c r="D39" s="546">
        <v>0.0</v>
      </c>
      <c r="E39" s="546">
        <v>0.0</v>
      </c>
      <c r="F39" s="546">
        <v>0.0</v>
      </c>
      <c r="G39" s="546">
        <v>0.0</v>
      </c>
      <c r="H39" s="546">
        <v>0.0</v>
      </c>
      <c r="I39" s="546">
        <f t="shared" ref="I39:U39" si="13">J39</f>
        <v>0.38</v>
      </c>
      <c r="J39" s="546">
        <f t="shared" si="13"/>
        <v>0.38</v>
      </c>
      <c r="K39" s="546">
        <f t="shared" si="13"/>
        <v>0.38</v>
      </c>
      <c r="L39" s="546">
        <f t="shared" si="13"/>
        <v>0.38</v>
      </c>
      <c r="M39" s="546">
        <f t="shared" si="13"/>
        <v>0.38</v>
      </c>
      <c r="N39" s="546">
        <f t="shared" si="13"/>
        <v>0.38</v>
      </c>
      <c r="O39" s="546">
        <f t="shared" si="13"/>
        <v>0.38</v>
      </c>
      <c r="P39" s="546">
        <f t="shared" si="13"/>
        <v>0.38</v>
      </c>
      <c r="Q39" s="546">
        <f t="shared" si="13"/>
        <v>0.38</v>
      </c>
      <c r="R39" s="546">
        <f t="shared" si="13"/>
        <v>0.38</v>
      </c>
      <c r="S39" s="546">
        <f t="shared" si="13"/>
        <v>0.38</v>
      </c>
      <c r="T39" s="546">
        <f t="shared" si="13"/>
        <v>0.38</v>
      </c>
      <c r="U39" s="546">
        <f t="shared" si="13"/>
        <v>0.38</v>
      </c>
      <c r="V39" s="547">
        <v>0.38</v>
      </c>
      <c r="W39" s="208">
        <f t="shared" ref="W39:AZ39" si="14">V39</f>
        <v>0.38</v>
      </c>
      <c r="X39" s="208">
        <f t="shared" si="14"/>
        <v>0.38</v>
      </c>
      <c r="Y39" s="208">
        <f t="shared" si="14"/>
        <v>0.38</v>
      </c>
      <c r="Z39" s="208">
        <f t="shared" si="14"/>
        <v>0.38</v>
      </c>
      <c r="AA39" s="208">
        <f t="shared" si="14"/>
        <v>0.38</v>
      </c>
      <c r="AB39" s="208">
        <f t="shared" si="14"/>
        <v>0.38</v>
      </c>
      <c r="AC39" s="208">
        <f t="shared" si="14"/>
        <v>0.38</v>
      </c>
      <c r="AD39" s="208">
        <f t="shared" si="14"/>
        <v>0.38</v>
      </c>
      <c r="AE39" s="208">
        <f t="shared" si="14"/>
        <v>0.38</v>
      </c>
      <c r="AF39" s="208">
        <f t="shared" si="14"/>
        <v>0.38</v>
      </c>
      <c r="AG39" s="208">
        <f t="shared" si="14"/>
        <v>0.38</v>
      </c>
      <c r="AH39" s="208">
        <f t="shared" si="14"/>
        <v>0.38</v>
      </c>
      <c r="AI39" s="208">
        <f t="shared" si="14"/>
        <v>0.38</v>
      </c>
      <c r="AJ39" s="208">
        <f t="shared" si="14"/>
        <v>0.38</v>
      </c>
      <c r="AK39" s="208">
        <f t="shared" si="14"/>
        <v>0.38</v>
      </c>
      <c r="AL39" s="208">
        <f t="shared" si="14"/>
        <v>0.38</v>
      </c>
      <c r="AM39" s="208">
        <f t="shared" si="14"/>
        <v>0.38</v>
      </c>
      <c r="AN39" s="208">
        <f t="shared" si="14"/>
        <v>0.38</v>
      </c>
      <c r="AO39" s="208">
        <f t="shared" si="14"/>
        <v>0.38</v>
      </c>
      <c r="AP39" s="208">
        <f t="shared" si="14"/>
        <v>0.38</v>
      </c>
      <c r="AQ39" s="208">
        <f t="shared" si="14"/>
        <v>0.38</v>
      </c>
      <c r="AR39" s="208">
        <f t="shared" si="14"/>
        <v>0.38</v>
      </c>
      <c r="AS39" s="208">
        <f t="shared" si="14"/>
        <v>0.38</v>
      </c>
      <c r="AT39" s="208">
        <f t="shared" si="14"/>
        <v>0.38</v>
      </c>
      <c r="AU39" s="208">
        <f t="shared" si="14"/>
        <v>0.38</v>
      </c>
      <c r="AV39" s="208">
        <f t="shared" si="14"/>
        <v>0.38</v>
      </c>
      <c r="AW39" s="208">
        <f t="shared" si="14"/>
        <v>0.38</v>
      </c>
      <c r="AX39" s="208">
        <f t="shared" si="14"/>
        <v>0.38</v>
      </c>
      <c r="AY39" s="208">
        <f t="shared" si="14"/>
        <v>0.38</v>
      </c>
      <c r="AZ39" s="208">
        <f t="shared" si="14"/>
        <v>0.38</v>
      </c>
    </row>
    <row r="40" ht="15.75" customHeight="1">
      <c r="A40" s="535" t="s">
        <v>137</v>
      </c>
      <c r="B40" s="709">
        <f>C40</f>
        <v>0</v>
      </c>
      <c r="C40" s="709">
        <f>'Inflation GDP Population'!C11-'Inflation GDP Population'!B11</f>
        <v>0</v>
      </c>
      <c r="D40" s="709">
        <f>'Inflation GDP Population'!D11-'Inflation GDP Population'!C11</f>
        <v>0</v>
      </c>
      <c r="E40" s="709">
        <f>'Inflation GDP Population'!E11-'Inflation GDP Population'!D11</f>
        <v>0</v>
      </c>
      <c r="F40" s="709">
        <f>'Inflation GDP Population'!F11-'Inflation GDP Population'!E11</f>
        <v>0.01699083389</v>
      </c>
      <c r="G40" s="709">
        <f>'Inflation GDP Population'!G11-'Inflation GDP Population'!F11</f>
        <v>0.03062821373</v>
      </c>
      <c r="H40" s="709">
        <f>'Inflation GDP Population'!H11-'Inflation GDP Population'!G11</f>
        <v>0.05371115582</v>
      </c>
      <c r="I40" s="709">
        <f>'Inflation GDP Population'!I11-'Inflation GDP Population'!H11</f>
        <v>0.02520679633</v>
      </c>
      <c r="J40" s="709">
        <f>'Inflation GDP Population'!J11-'Inflation GDP Population'!I11</f>
        <v>0.03996199419</v>
      </c>
      <c r="K40" s="709">
        <f>'Inflation GDP Population'!K11-'Inflation GDP Population'!J11</f>
        <v>0.01939414263</v>
      </c>
      <c r="L40" s="709">
        <f>'Inflation GDP Population'!L11-'Inflation GDP Population'!K11</f>
        <v>0.01928236083</v>
      </c>
      <c r="M40" s="709">
        <f>'Inflation GDP Population'!M11-'Inflation GDP Population'!L11</f>
        <v>0.02241225129</v>
      </c>
      <c r="N40" s="709">
        <f>'Inflation GDP Population'!N11-'Inflation GDP Population'!M11</f>
        <v>0.009445562262</v>
      </c>
      <c r="O40" s="709">
        <f>'Inflation GDP Population'!O11-'Inflation GDP Population'!N11</f>
        <v>0.01263134362</v>
      </c>
      <c r="P40" s="709">
        <f>'Inflation GDP Population'!P11-'Inflation GDP Population'!O11</f>
        <v>0.0348200313</v>
      </c>
      <c r="Q40" s="709">
        <f>'Inflation GDP Population'!Q11-'Inflation GDP Population'!P11</f>
        <v>0.01620836128</v>
      </c>
      <c r="R40" s="709">
        <f>'Inflation GDP Population'!R11-'Inflation GDP Population'!Q11</f>
        <v>-0.01061927118</v>
      </c>
      <c r="S40" s="709">
        <f>'Inflation GDP Population'!S11-'Inflation GDP Population'!R11</f>
        <v>0.03923541247</v>
      </c>
      <c r="T40" s="709">
        <f>'Inflation GDP Population'!T11-'Inflation GDP Population'!S11</f>
        <v>0.01263134362</v>
      </c>
      <c r="U40" s="709">
        <f>V40</f>
        <v>0.01989423738</v>
      </c>
      <c r="V40" s="669">
        <f>Inputs!B21</f>
        <v>0.01989423738</v>
      </c>
      <c r="W40" s="710">
        <f t="shared" ref="W40:AZ40" si="15">V40</f>
        <v>0.01989423738</v>
      </c>
      <c r="X40" s="710">
        <f t="shared" si="15"/>
        <v>0.01989423738</v>
      </c>
      <c r="Y40" s="710">
        <f t="shared" si="15"/>
        <v>0.01989423738</v>
      </c>
      <c r="Z40" s="710">
        <f t="shared" si="15"/>
        <v>0.01989423738</v>
      </c>
      <c r="AA40" s="710">
        <f t="shared" si="15"/>
        <v>0.01989423738</v>
      </c>
      <c r="AB40" s="710">
        <f t="shared" si="15"/>
        <v>0.01989423738</v>
      </c>
      <c r="AC40" s="710">
        <f t="shared" si="15"/>
        <v>0.01989423738</v>
      </c>
      <c r="AD40" s="710">
        <f t="shared" si="15"/>
        <v>0.01989423738</v>
      </c>
      <c r="AE40" s="710">
        <f t="shared" si="15"/>
        <v>0.01989423738</v>
      </c>
      <c r="AF40" s="710">
        <f t="shared" si="15"/>
        <v>0.01989423738</v>
      </c>
      <c r="AG40" s="710">
        <f t="shared" si="15"/>
        <v>0.01989423738</v>
      </c>
      <c r="AH40" s="710">
        <f t="shared" si="15"/>
        <v>0.01989423738</v>
      </c>
      <c r="AI40" s="710">
        <f t="shared" si="15"/>
        <v>0.01989423738</v>
      </c>
      <c r="AJ40" s="710">
        <f t="shared" si="15"/>
        <v>0.01989423738</v>
      </c>
      <c r="AK40" s="710">
        <f t="shared" si="15"/>
        <v>0.01989423738</v>
      </c>
      <c r="AL40" s="710">
        <f t="shared" si="15"/>
        <v>0.01989423738</v>
      </c>
      <c r="AM40" s="710">
        <f t="shared" si="15"/>
        <v>0.01989423738</v>
      </c>
      <c r="AN40" s="710">
        <f t="shared" si="15"/>
        <v>0.01989423738</v>
      </c>
      <c r="AO40" s="710">
        <f t="shared" si="15"/>
        <v>0.01989423738</v>
      </c>
      <c r="AP40" s="710">
        <f t="shared" si="15"/>
        <v>0.01989423738</v>
      </c>
      <c r="AQ40" s="710">
        <f t="shared" si="15"/>
        <v>0.01989423738</v>
      </c>
      <c r="AR40" s="710">
        <f t="shared" si="15"/>
        <v>0.01989423738</v>
      </c>
      <c r="AS40" s="710">
        <f t="shared" si="15"/>
        <v>0.01989423738</v>
      </c>
      <c r="AT40" s="710">
        <f t="shared" si="15"/>
        <v>0.01989423738</v>
      </c>
      <c r="AU40" s="710">
        <f t="shared" si="15"/>
        <v>0.01989423738</v>
      </c>
      <c r="AV40" s="710">
        <f t="shared" si="15"/>
        <v>0.01989423738</v>
      </c>
      <c r="AW40" s="710">
        <f t="shared" si="15"/>
        <v>0.01989423738</v>
      </c>
      <c r="AX40" s="710">
        <f t="shared" si="15"/>
        <v>0.01989423738</v>
      </c>
      <c r="AY40" s="710">
        <f t="shared" si="15"/>
        <v>0.01989423738</v>
      </c>
      <c r="AZ40" s="710">
        <f t="shared" si="15"/>
        <v>0.01989423738</v>
      </c>
    </row>
    <row r="41" ht="15.75" customHeight="1">
      <c r="A41" s="541" t="s">
        <v>1080</v>
      </c>
      <c r="B41" s="784">
        <v>1816.0</v>
      </c>
      <c r="C41" s="784">
        <v>1427.0</v>
      </c>
      <c r="D41" s="784">
        <v>1667.0</v>
      </c>
      <c r="E41" s="784">
        <v>1516.0</v>
      </c>
      <c r="F41" s="784">
        <v>1397.0</v>
      </c>
      <c r="G41" s="784">
        <v>1641.0</v>
      </c>
      <c r="H41" s="784">
        <v>1833.0</v>
      </c>
      <c r="I41" s="784">
        <v>2017.0</v>
      </c>
      <c r="J41" s="784">
        <v>2255.0</v>
      </c>
      <c r="K41" s="784">
        <v>2465.0</v>
      </c>
      <c r="L41" s="784">
        <v>2463.0</v>
      </c>
      <c r="M41" s="785">
        <v>2360.0</v>
      </c>
      <c r="N41" s="785">
        <v>2131.0</v>
      </c>
      <c r="O41" s="785">
        <v>2005.0</v>
      </c>
      <c r="P41" s="785">
        <v>1849.0</v>
      </c>
      <c r="Q41" s="785">
        <v>1683.0</v>
      </c>
      <c r="R41" s="785">
        <v>1720.0</v>
      </c>
      <c r="S41" s="785">
        <v>1649.0</v>
      </c>
      <c r="T41" s="785">
        <v>1468.0</v>
      </c>
      <c r="U41" s="535"/>
      <c r="V41" s="141"/>
      <c r="W41" s="183"/>
      <c r="X41" s="183"/>
      <c r="Y41" s="183"/>
      <c r="Z41" s="183"/>
      <c r="AA41" s="183"/>
      <c r="AB41" s="183"/>
      <c r="AC41" s="183"/>
      <c r="AD41" s="183"/>
      <c r="AE41" s="183"/>
      <c r="AF41" s="183"/>
      <c r="AG41" s="183"/>
      <c r="AH41" s="183"/>
      <c r="AI41" s="183"/>
      <c r="AJ41" s="183"/>
      <c r="AK41" s="183"/>
      <c r="AL41" s="183"/>
      <c r="AM41" s="183"/>
      <c r="AN41" s="183"/>
      <c r="AO41" s="183"/>
      <c r="AP41" s="183"/>
      <c r="AQ41" s="183"/>
      <c r="AR41" s="183"/>
      <c r="AS41" s="183"/>
      <c r="AT41" s="183"/>
      <c r="AU41" s="183"/>
      <c r="AV41" s="183"/>
      <c r="AW41" s="183"/>
      <c r="AX41" s="183"/>
      <c r="AY41" s="183"/>
      <c r="AZ41" s="183"/>
    </row>
    <row r="42" ht="15.75" customHeight="1">
      <c r="A42" s="403" t="s">
        <v>140</v>
      </c>
      <c r="B42" s="38"/>
      <c r="C42" s="38"/>
      <c r="D42" s="38"/>
      <c r="E42" s="38"/>
      <c r="F42" s="38"/>
      <c r="G42" s="38"/>
      <c r="H42" s="38"/>
      <c r="I42" s="38"/>
      <c r="J42" s="38"/>
      <c r="K42" s="38"/>
      <c r="L42" s="38"/>
      <c r="M42" s="38"/>
      <c r="N42" s="38"/>
      <c r="O42" s="38"/>
      <c r="P42" s="38"/>
      <c r="Q42" s="38"/>
      <c r="R42" s="38"/>
      <c r="S42" s="38"/>
      <c r="T42" s="38"/>
      <c r="U42" s="38"/>
      <c r="V42" s="32"/>
      <c r="W42" s="235">
        <f t="shared" ref="W42:BA42" si="16">SUM(W44:W164)</f>
        <v>0</v>
      </c>
      <c r="X42" s="235">
        <f t="shared" si="16"/>
        <v>0</v>
      </c>
      <c r="Y42" s="235">
        <f t="shared" si="16"/>
        <v>0</v>
      </c>
      <c r="Z42" s="235">
        <f t="shared" si="16"/>
        <v>0</v>
      </c>
      <c r="AA42" s="235">
        <f t="shared" si="16"/>
        <v>0</v>
      </c>
      <c r="AB42" s="235">
        <f t="shared" si="16"/>
        <v>0</v>
      </c>
      <c r="AC42" s="235">
        <f t="shared" si="16"/>
        <v>0</v>
      </c>
      <c r="AD42" s="235">
        <f t="shared" si="16"/>
        <v>1.8</v>
      </c>
      <c r="AE42" s="235">
        <f t="shared" si="16"/>
        <v>0</v>
      </c>
      <c r="AF42" s="235">
        <f t="shared" si="16"/>
        <v>0</v>
      </c>
      <c r="AG42" s="235">
        <f t="shared" si="16"/>
        <v>0</v>
      </c>
      <c r="AH42" s="235">
        <f t="shared" si="16"/>
        <v>27</v>
      </c>
      <c r="AI42" s="235">
        <f t="shared" si="16"/>
        <v>0</v>
      </c>
      <c r="AJ42" s="235">
        <f t="shared" si="16"/>
        <v>0</v>
      </c>
      <c r="AK42" s="235">
        <f t="shared" si="16"/>
        <v>0</v>
      </c>
      <c r="AL42" s="235">
        <f t="shared" si="16"/>
        <v>0</v>
      </c>
      <c r="AM42" s="235">
        <f t="shared" si="16"/>
        <v>0</v>
      </c>
      <c r="AN42" s="235">
        <f t="shared" si="16"/>
        <v>0</v>
      </c>
      <c r="AO42" s="235">
        <f t="shared" si="16"/>
        <v>0</v>
      </c>
      <c r="AP42" s="235">
        <f t="shared" si="16"/>
        <v>0</v>
      </c>
      <c r="AQ42" s="235">
        <f t="shared" si="16"/>
        <v>0</v>
      </c>
      <c r="AR42" s="235">
        <f t="shared" si="16"/>
        <v>0</v>
      </c>
      <c r="AS42" s="235">
        <f t="shared" si="16"/>
        <v>0</v>
      </c>
      <c r="AT42" s="235">
        <f t="shared" si="16"/>
        <v>208</v>
      </c>
      <c r="AU42" s="235">
        <f t="shared" si="16"/>
        <v>0</v>
      </c>
      <c r="AV42" s="235">
        <f t="shared" si="16"/>
        <v>0</v>
      </c>
      <c r="AW42" s="235">
        <f t="shared" si="16"/>
        <v>0</v>
      </c>
      <c r="AX42" s="235">
        <f t="shared" si="16"/>
        <v>0</v>
      </c>
      <c r="AY42" s="235">
        <f t="shared" si="16"/>
        <v>155.4467634</v>
      </c>
      <c r="AZ42" s="235">
        <f t="shared" si="16"/>
        <v>155.4467634</v>
      </c>
      <c r="BA42" s="235">
        <f t="shared" si="16"/>
        <v>155.4467634</v>
      </c>
    </row>
    <row r="43" ht="15.75" customHeight="1">
      <c r="A43" s="733" t="s">
        <v>1012</v>
      </c>
      <c r="B43" s="733"/>
      <c r="C43" s="733"/>
      <c r="D43" s="733"/>
      <c r="E43" s="733"/>
      <c r="F43" s="733"/>
      <c r="G43" s="733"/>
      <c r="H43" s="733"/>
      <c r="I43" s="733"/>
      <c r="J43" s="733"/>
      <c r="K43" s="733"/>
      <c r="L43" s="733"/>
      <c r="M43" s="733"/>
      <c r="N43" s="733"/>
      <c r="O43" s="733"/>
      <c r="P43" s="733"/>
      <c r="Q43" s="733"/>
      <c r="R43" s="733"/>
      <c r="S43" s="733"/>
      <c r="T43" s="733"/>
      <c r="U43" s="733"/>
      <c r="V43" s="78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78">
        <v>2050.0</v>
      </c>
    </row>
    <row r="44" ht="15.75" customHeight="1">
      <c r="A44" s="787">
        <v>1930.0</v>
      </c>
      <c r="B44" s="38"/>
      <c r="C44" s="38"/>
      <c r="D44" s="38"/>
      <c r="E44" s="38"/>
      <c r="F44" s="38"/>
      <c r="G44" s="38"/>
      <c r="H44" s="38"/>
      <c r="I44" s="38"/>
      <c r="J44" s="38"/>
      <c r="K44" s="38"/>
      <c r="L44" s="38"/>
      <c r="M44" s="38"/>
      <c r="N44" s="38"/>
      <c r="O44" s="38"/>
      <c r="P44" s="38"/>
      <c r="Q44" s="38"/>
      <c r="R44" s="38"/>
      <c r="S44" s="38"/>
      <c r="T44" s="38"/>
      <c r="U44" s="38"/>
      <c r="V44" s="769">
        <v>0.0</v>
      </c>
      <c r="W44" s="252">
        <f t="shared" ref="W44:W164" si="18">IF(W$43-$A44&gt;$V$30,$V44,0)</f>
        <v>0</v>
      </c>
      <c r="X44" s="252">
        <f t="shared" ref="X44:BA44" si="17">IF(AND(X$43-$A44&gt;$V$30,SUM($W44:W44)&lt;&gt;$V44),$V44,0)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ht="15.75" customHeight="1">
      <c r="A45" s="787">
        <v>1931.0</v>
      </c>
      <c r="B45" s="38"/>
      <c r="C45" s="38"/>
      <c r="D45" s="38"/>
      <c r="E45" s="38"/>
      <c r="F45" s="38"/>
      <c r="G45" s="38"/>
      <c r="H45" s="38"/>
      <c r="I45" s="38"/>
      <c r="J45" s="38"/>
      <c r="K45" s="38"/>
      <c r="L45" s="38"/>
      <c r="M45" s="38"/>
      <c r="N45" s="38"/>
      <c r="O45" s="38"/>
      <c r="P45" s="38"/>
      <c r="Q45" s="38"/>
      <c r="R45" s="38"/>
      <c r="S45" s="38"/>
      <c r="T45" s="38"/>
      <c r="U45" s="38"/>
      <c r="V45" s="769">
        <v>0.0</v>
      </c>
      <c r="W45" s="252">
        <f t="shared" si="18"/>
        <v>0</v>
      </c>
      <c r="X45" s="252">
        <f t="shared" ref="X45:BA45" si="19">IF(AND(X$43-$A45&gt;$V$30,SUM($W45:W45)&lt;&gt;$V45),$V45,0)</f>
        <v>0</v>
      </c>
      <c r="Y45" s="252">
        <f t="shared" si="19"/>
        <v>0</v>
      </c>
      <c r="Z45" s="252">
        <f t="shared" si="19"/>
        <v>0</v>
      </c>
      <c r="AA45" s="252">
        <f t="shared" si="19"/>
        <v>0</v>
      </c>
      <c r="AB45" s="252">
        <f t="shared" si="19"/>
        <v>0</v>
      </c>
      <c r="AC45" s="252">
        <f t="shared" si="19"/>
        <v>0</v>
      </c>
      <c r="AD45" s="252">
        <f t="shared" si="19"/>
        <v>0</v>
      </c>
      <c r="AE45" s="252">
        <f t="shared" si="19"/>
        <v>0</v>
      </c>
      <c r="AF45" s="252">
        <f t="shared" si="19"/>
        <v>0</v>
      </c>
      <c r="AG45" s="252">
        <f t="shared" si="19"/>
        <v>0</v>
      </c>
      <c r="AH45" s="252">
        <f t="shared" si="19"/>
        <v>0</v>
      </c>
      <c r="AI45" s="252">
        <f t="shared" si="19"/>
        <v>0</v>
      </c>
      <c r="AJ45" s="252">
        <f t="shared" si="19"/>
        <v>0</v>
      </c>
      <c r="AK45" s="252">
        <f t="shared" si="19"/>
        <v>0</v>
      </c>
      <c r="AL45" s="252">
        <f t="shared" si="19"/>
        <v>0</v>
      </c>
      <c r="AM45" s="252">
        <f t="shared" si="19"/>
        <v>0</v>
      </c>
      <c r="AN45" s="252">
        <f t="shared" si="19"/>
        <v>0</v>
      </c>
      <c r="AO45" s="252">
        <f t="shared" si="19"/>
        <v>0</v>
      </c>
      <c r="AP45" s="252">
        <f t="shared" si="19"/>
        <v>0</v>
      </c>
      <c r="AQ45" s="252">
        <f t="shared" si="19"/>
        <v>0</v>
      </c>
      <c r="AR45" s="252">
        <f t="shared" si="19"/>
        <v>0</v>
      </c>
      <c r="AS45" s="252">
        <f t="shared" si="19"/>
        <v>0</v>
      </c>
      <c r="AT45" s="252">
        <f t="shared" si="19"/>
        <v>0</v>
      </c>
      <c r="AU45" s="252">
        <f t="shared" si="19"/>
        <v>0</v>
      </c>
      <c r="AV45" s="252">
        <f t="shared" si="19"/>
        <v>0</v>
      </c>
      <c r="AW45" s="252">
        <f t="shared" si="19"/>
        <v>0</v>
      </c>
      <c r="AX45" s="252">
        <f t="shared" si="19"/>
        <v>0</v>
      </c>
      <c r="AY45" s="252">
        <f t="shared" si="19"/>
        <v>0</v>
      </c>
      <c r="AZ45" s="252">
        <f t="shared" si="19"/>
        <v>0</v>
      </c>
      <c r="BA45" s="252">
        <f t="shared" si="19"/>
        <v>0</v>
      </c>
    </row>
    <row r="46" ht="15.75" customHeight="1">
      <c r="A46" s="787">
        <v>1932.0</v>
      </c>
      <c r="B46" s="38"/>
      <c r="C46" s="38"/>
      <c r="D46" s="38"/>
      <c r="E46" s="38"/>
      <c r="F46" s="38"/>
      <c r="G46" s="38"/>
      <c r="H46" s="38"/>
      <c r="I46" s="38"/>
      <c r="J46" s="38"/>
      <c r="K46" s="38"/>
      <c r="L46" s="38"/>
      <c r="M46" s="38"/>
      <c r="N46" s="38"/>
      <c r="O46" s="38"/>
      <c r="P46" s="38"/>
      <c r="Q46" s="38"/>
      <c r="R46" s="38"/>
      <c r="S46" s="38"/>
      <c r="T46" s="38"/>
      <c r="U46" s="38"/>
      <c r="V46" s="769">
        <v>0.0</v>
      </c>
      <c r="W46" s="252">
        <f t="shared" si="18"/>
        <v>0</v>
      </c>
      <c r="X46" s="252">
        <f t="shared" ref="X46:BA46" si="20">IF(AND(X$43-$A46&gt;$V$30,SUM($W46:W46)&lt;&gt;$V46),$V46,0)</f>
        <v>0</v>
      </c>
      <c r="Y46" s="252">
        <f t="shared" si="20"/>
        <v>0</v>
      </c>
      <c r="Z46" s="252">
        <f t="shared" si="20"/>
        <v>0</v>
      </c>
      <c r="AA46" s="252">
        <f t="shared" si="20"/>
        <v>0</v>
      </c>
      <c r="AB46" s="252">
        <f t="shared" si="20"/>
        <v>0</v>
      </c>
      <c r="AC46" s="252">
        <f t="shared" si="20"/>
        <v>0</v>
      </c>
      <c r="AD46" s="252">
        <f t="shared" si="20"/>
        <v>0</v>
      </c>
      <c r="AE46" s="252">
        <f t="shared" si="20"/>
        <v>0</v>
      </c>
      <c r="AF46" s="252">
        <f t="shared" si="20"/>
        <v>0</v>
      </c>
      <c r="AG46" s="252">
        <f t="shared" si="20"/>
        <v>0</v>
      </c>
      <c r="AH46" s="252">
        <f t="shared" si="20"/>
        <v>0</v>
      </c>
      <c r="AI46" s="252">
        <f t="shared" si="20"/>
        <v>0</v>
      </c>
      <c r="AJ46" s="252">
        <f t="shared" si="20"/>
        <v>0</v>
      </c>
      <c r="AK46" s="252">
        <f t="shared" si="20"/>
        <v>0</v>
      </c>
      <c r="AL46" s="252">
        <f t="shared" si="20"/>
        <v>0</v>
      </c>
      <c r="AM46" s="252">
        <f t="shared" si="20"/>
        <v>0</v>
      </c>
      <c r="AN46" s="252">
        <f t="shared" si="20"/>
        <v>0</v>
      </c>
      <c r="AO46" s="252">
        <f t="shared" si="20"/>
        <v>0</v>
      </c>
      <c r="AP46" s="252">
        <f t="shared" si="20"/>
        <v>0</v>
      </c>
      <c r="AQ46" s="252">
        <f t="shared" si="20"/>
        <v>0</v>
      </c>
      <c r="AR46" s="252">
        <f t="shared" si="20"/>
        <v>0</v>
      </c>
      <c r="AS46" s="252">
        <f t="shared" si="20"/>
        <v>0</v>
      </c>
      <c r="AT46" s="252">
        <f t="shared" si="20"/>
        <v>0</v>
      </c>
      <c r="AU46" s="252">
        <f t="shared" si="20"/>
        <v>0</v>
      </c>
      <c r="AV46" s="252">
        <f t="shared" si="20"/>
        <v>0</v>
      </c>
      <c r="AW46" s="252">
        <f t="shared" si="20"/>
        <v>0</v>
      </c>
      <c r="AX46" s="252">
        <f t="shared" si="20"/>
        <v>0</v>
      </c>
      <c r="AY46" s="252">
        <f t="shared" si="20"/>
        <v>0</v>
      </c>
      <c r="AZ46" s="252">
        <f t="shared" si="20"/>
        <v>0</v>
      </c>
      <c r="BA46" s="252">
        <f t="shared" si="20"/>
        <v>0</v>
      </c>
    </row>
    <row r="47" ht="15.75" customHeight="1">
      <c r="A47" s="787">
        <v>1933.0</v>
      </c>
      <c r="B47" s="38"/>
      <c r="C47" s="38"/>
      <c r="D47" s="38"/>
      <c r="E47" s="38"/>
      <c r="F47" s="38"/>
      <c r="G47" s="38"/>
      <c r="H47" s="38"/>
      <c r="I47" s="38"/>
      <c r="J47" s="38"/>
      <c r="K47" s="38"/>
      <c r="L47" s="38"/>
      <c r="M47" s="38"/>
      <c r="N47" s="38"/>
      <c r="O47" s="38"/>
      <c r="P47" s="38"/>
      <c r="Q47" s="38"/>
      <c r="R47" s="38"/>
      <c r="S47" s="38"/>
      <c r="T47" s="38"/>
      <c r="U47" s="38"/>
      <c r="V47" s="769">
        <v>0.0</v>
      </c>
      <c r="W47" s="252">
        <f t="shared" si="18"/>
        <v>0</v>
      </c>
      <c r="X47" s="252">
        <f t="shared" ref="X47:BA47" si="21">IF(AND(X$43-$A47&gt;$V$30,SUM($W47:W47)&lt;&gt;$V47),$V47,0)</f>
        <v>0</v>
      </c>
      <c r="Y47" s="252">
        <f t="shared" si="21"/>
        <v>0</v>
      </c>
      <c r="Z47" s="252">
        <f t="shared" si="21"/>
        <v>0</v>
      </c>
      <c r="AA47" s="252">
        <f t="shared" si="21"/>
        <v>0</v>
      </c>
      <c r="AB47" s="252">
        <f t="shared" si="21"/>
        <v>0</v>
      </c>
      <c r="AC47" s="252">
        <f t="shared" si="21"/>
        <v>0</v>
      </c>
      <c r="AD47" s="252">
        <f t="shared" si="21"/>
        <v>0</v>
      </c>
      <c r="AE47" s="252">
        <f t="shared" si="21"/>
        <v>0</v>
      </c>
      <c r="AF47" s="252">
        <f t="shared" si="21"/>
        <v>0</v>
      </c>
      <c r="AG47" s="252">
        <f t="shared" si="21"/>
        <v>0</v>
      </c>
      <c r="AH47" s="252">
        <f t="shared" si="21"/>
        <v>0</v>
      </c>
      <c r="AI47" s="252">
        <f t="shared" si="21"/>
        <v>0</v>
      </c>
      <c r="AJ47" s="252">
        <f t="shared" si="21"/>
        <v>0</v>
      </c>
      <c r="AK47" s="252">
        <f t="shared" si="21"/>
        <v>0</v>
      </c>
      <c r="AL47" s="252">
        <f t="shared" si="21"/>
        <v>0</v>
      </c>
      <c r="AM47" s="252">
        <f t="shared" si="21"/>
        <v>0</v>
      </c>
      <c r="AN47" s="252">
        <f t="shared" si="21"/>
        <v>0</v>
      </c>
      <c r="AO47" s="252">
        <f t="shared" si="21"/>
        <v>0</v>
      </c>
      <c r="AP47" s="252">
        <f t="shared" si="21"/>
        <v>0</v>
      </c>
      <c r="AQ47" s="252">
        <f t="shared" si="21"/>
        <v>0</v>
      </c>
      <c r="AR47" s="252">
        <f t="shared" si="21"/>
        <v>0</v>
      </c>
      <c r="AS47" s="252">
        <f t="shared" si="21"/>
        <v>0</v>
      </c>
      <c r="AT47" s="252">
        <f t="shared" si="21"/>
        <v>0</v>
      </c>
      <c r="AU47" s="252">
        <f t="shared" si="21"/>
        <v>0</v>
      </c>
      <c r="AV47" s="252">
        <f t="shared" si="21"/>
        <v>0</v>
      </c>
      <c r="AW47" s="252">
        <f t="shared" si="21"/>
        <v>0</v>
      </c>
      <c r="AX47" s="252">
        <f t="shared" si="21"/>
        <v>0</v>
      </c>
      <c r="AY47" s="252">
        <f t="shared" si="21"/>
        <v>0</v>
      </c>
      <c r="AZ47" s="252">
        <f t="shared" si="21"/>
        <v>0</v>
      </c>
      <c r="BA47" s="252">
        <f t="shared" si="21"/>
        <v>0</v>
      </c>
    </row>
    <row r="48" ht="15.75" customHeight="1">
      <c r="A48" s="787">
        <v>1934.0</v>
      </c>
      <c r="B48" s="38"/>
      <c r="C48" s="38"/>
      <c r="D48" s="38"/>
      <c r="E48" s="38"/>
      <c r="F48" s="38"/>
      <c r="G48" s="38"/>
      <c r="H48" s="38"/>
      <c r="I48" s="38"/>
      <c r="J48" s="38"/>
      <c r="K48" s="38"/>
      <c r="L48" s="38"/>
      <c r="M48" s="38"/>
      <c r="N48" s="38"/>
      <c r="O48" s="38"/>
      <c r="P48" s="38"/>
      <c r="Q48" s="38"/>
      <c r="R48" s="38"/>
      <c r="S48" s="38"/>
      <c r="T48" s="38"/>
      <c r="U48" s="38"/>
      <c r="V48" s="769">
        <v>0.0</v>
      </c>
      <c r="W48" s="252">
        <f t="shared" si="18"/>
        <v>0</v>
      </c>
      <c r="X48" s="252">
        <f t="shared" ref="X48:BA48" si="22">IF(AND(X$43-$A48&gt;$V$30,SUM($W48:W48)&lt;&gt;$V48),$V48,0)</f>
        <v>0</v>
      </c>
      <c r="Y48" s="252">
        <f t="shared" si="22"/>
        <v>0</v>
      </c>
      <c r="Z48" s="252">
        <f t="shared" si="22"/>
        <v>0</v>
      </c>
      <c r="AA48" s="252">
        <f t="shared" si="22"/>
        <v>0</v>
      </c>
      <c r="AB48" s="252">
        <f t="shared" si="22"/>
        <v>0</v>
      </c>
      <c r="AC48" s="252">
        <f t="shared" si="22"/>
        <v>0</v>
      </c>
      <c r="AD48" s="252">
        <f t="shared" si="22"/>
        <v>0</v>
      </c>
      <c r="AE48" s="252">
        <f t="shared" si="22"/>
        <v>0</v>
      </c>
      <c r="AF48" s="252">
        <f t="shared" si="22"/>
        <v>0</v>
      </c>
      <c r="AG48" s="252">
        <f t="shared" si="22"/>
        <v>0</v>
      </c>
      <c r="AH48" s="252">
        <f t="shared" si="22"/>
        <v>0</v>
      </c>
      <c r="AI48" s="252">
        <f t="shared" si="22"/>
        <v>0</v>
      </c>
      <c r="AJ48" s="252">
        <f t="shared" si="22"/>
        <v>0</v>
      </c>
      <c r="AK48" s="252">
        <f t="shared" si="22"/>
        <v>0</v>
      </c>
      <c r="AL48" s="252">
        <f t="shared" si="22"/>
        <v>0</v>
      </c>
      <c r="AM48" s="252">
        <f t="shared" si="22"/>
        <v>0</v>
      </c>
      <c r="AN48" s="252">
        <f t="shared" si="22"/>
        <v>0</v>
      </c>
      <c r="AO48" s="252">
        <f t="shared" si="22"/>
        <v>0</v>
      </c>
      <c r="AP48" s="252">
        <f t="shared" si="22"/>
        <v>0</v>
      </c>
      <c r="AQ48" s="252">
        <f t="shared" si="22"/>
        <v>0</v>
      </c>
      <c r="AR48" s="252">
        <f t="shared" si="22"/>
        <v>0</v>
      </c>
      <c r="AS48" s="252">
        <f t="shared" si="22"/>
        <v>0</v>
      </c>
      <c r="AT48" s="252">
        <f t="shared" si="22"/>
        <v>0</v>
      </c>
      <c r="AU48" s="252">
        <f t="shared" si="22"/>
        <v>0</v>
      </c>
      <c r="AV48" s="252">
        <f t="shared" si="22"/>
        <v>0</v>
      </c>
      <c r="AW48" s="252">
        <f t="shared" si="22"/>
        <v>0</v>
      </c>
      <c r="AX48" s="252">
        <f t="shared" si="22"/>
        <v>0</v>
      </c>
      <c r="AY48" s="252">
        <f t="shared" si="22"/>
        <v>0</v>
      </c>
      <c r="AZ48" s="252">
        <f t="shared" si="22"/>
        <v>0</v>
      </c>
      <c r="BA48" s="252">
        <f t="shared" si="22"/>
        <v>0</v>
      </c>
    </row>
    <row r="49" ht="15.75" customHeight="1">
      <c r="A49" s="787">
        <v>1935.0</v>
      </c>
      <c r="B49" s="38"/>
      <c r="C49" s="38"/>
      <c r="D49" s="38"/>
      <c r="E49" s="38"/>
      <c r="F49" s="38"/>
      <c r="G49" s="38"/>
      <c r="H49" s="38"/>
      <c r="I49" s="38"/>
      <c r="J49" s="38"/>
      <c r="K49" s="38"/>
      <c r="L49" s="38"/>
      <c r="M49" s="38"/>
      <c r="N49" s="38"/>
      <c r="O49" s="38"/>
      <c r="P49" s="38"/>
      <c r="Q49" s="38"/>
      <c r="R49" s="38"/>
      <c r="S49" s="38"/>
      <c r="T49" s="38"/>
      <c r="U49" s="38"/>
      <c r="V49" s="769">
        <v>0.0</v>
      </c>
      <c r="W49" s="252">
        <f t="shared" si="18"/>
        <v>0</v>
      </c>
      <c r="X49" s="252">
        <f t="shared" ref="X49:BA49" si="23">IF(AND(X$43-$A49&gt;$V$30,SUM($W49:W49)&lt;&gt;$V49),$V49,0)</f>
        <v>0</v>
      </c>
      <c r="Y49" s="252">
        <f t="shared" si="23"/>
        <v>0</v>
      </c>
      <c r="Z49" s="252">
        <f t="shared" si="23"/>
        <v>0</v>
      </c>
      <c r="AA49" s="252">
        <f t="shared" si="23"/>
        <v>0</v>
      </c>
      <c r="AB49" s="252">
        <f t="shared" si="23"/>
        <v>0</v>
      </c>
      <c r="AC49" s="252">
        <f t="shared" si="23"/>
        <v>0</v>
      </c>
      <c r="AD49" s="252">
        <f t="shared" si="23"/>
        <v>0</v>
      </c>
      <c r="AE49" s="252">
        <f t="shared" si="23"/>
        <v>0</v>
      </c>
      <c r="AF49" s="252">
        <f t="shared" si="23"/>
        <v>0</v>
      </c>
      <c r="AG49" s="252">
        <f t="shared" si="23"/>
        <v>0</v>
      </c>
      <c r="AH49" s="252">
        <f t="shared" si="23"/>
        <v>0</v>
      </c>
      <c r="AI49" s="252">
        <f t="shared" si="23"/>
        <v>0</v>
      </c>
      <c r="AJ49" s="252">
        <f t="shared" si="23"/>
        <v>0</v>
      </c>
      <c r="AK49" s="252">
        <f t="shared" si="23"/>
        <v>0</v>
      </c>
      <c r="AL49" s="252">
        <f t="shared" si="23"/>
        <v>0</v>
      </c>
      <c r="AM49" s="252">
        <f t="shared" si="23"/>
        <v>0</v>
      </c>
      <c r="AN49" s="252">
        <f t="shared" si="23"/>
        <v>0</v>
      </c>
      <c r="AO49" s="252">
        <f t="shared" si="23"/>
        <v>0</v>
      </c>
      <c r="AP49" s="252">
        <f t="shared" si="23"/>
        <v>0</v>
      </c>
      <c r="AQ49" s="252">
        <f t="shared" si="23"/>
        <v>0</v>
      </c>
      <c r="AR49" s="252">
        <f t="shared" si="23"/>
        <v>0</v>
      </c>
      <c r="AS49" s="252">
        <f t="shared" si="23"/>
        <v>0</v>
      </c>
      <c r="AT49" s="252">
        <f t="shared" si="23"/>
        <v>0</v>
      </c>
      <c r="AU49" s="252">
        <f t="shared" si="23"/>
        <v>0</v>
      </c>
      <c r="AV49" s="252">
        <f t="shared" si="23"/>
        <v>0</v>
      </c>
      <c r="AW49" s="252">
        <f t="shared" si="23"/>
        <v>0</v>
      </c>
      <c r="AX49" s="252">
        <f t="shared" si="23"/>
        <v>0</v>
      </c>
      <c r="AY49" s="252">
        <f t="shared" si="23"/>
        <v>0</v>
      </c>
      <c r="AZ49" s="252">
        <f t="shared" si="23"/>
        <v>0</v>
      </c>
      <c r="BA49" s="252">
        <f t="shared" si="23"/>
        <v>0</v>
      </c>
    </row>
    <row r="50" ht="15.75" customHeight="1">
      <c r="A50" s="787">
        <v>1936.0</v>
      </c>
      <c r="B50" s="38"/>
      <c r="C50" s="38"/>
      <c r="D50" s="38"/>
      <c r="E50" s="38"/>
      <c r="F50" s="38"/>
      <c r="G50" s="38"/>
      <c r="H50" s="38"/>
      <c r="I50" s="38"/>
      <c r="J50" s="38"/>
      <c r="K50" s="38"/>
      <c r="L50" s="38"/>
      <c r="M50" s="38"/>
      <c r="N50" s="38"/>
      <c r="O50" s="38"/>
      <c r="P50" s="38"/>
      <c r="Q50" s="38"/>
      <c r="R50" s="38"/>
      <c r="S50" s="38"/>
      <c r="T50" s="38"/>
      <c r="U50" s="38"/>
      <c r="V50" s="769">
        <v>0.0</v>
      </c>
      <c r="W50" s="252">
        <f t="shared" si="18"/>
        <v>0</v>
      </c>
      <c r="X50" s="252">
        <f t="shared" ref="X50:BA50" si="24">IF(AND(X$43-$A50&gt;$V$30,SUM($W50:W50)&lt;&gt;$V50),$V50,0)</f>
        <v>0</v>
      </c>
      <c r="Y50" s="252">
        <f t="shared" si="24"/>
        <v>0</v>
      </c>
      <c r="Z50" s="252">
        <f t="shared" si="24"/>
        <v>0</v>
      </c>
      <c r="AA50" s="252">
        <f t="shared" si="24"/>
        <v>0</v>
      </c>
      <c r="AB50" s="252">
        <f t="shared" si="24"/>
        <v>0</v>
      </c>
      <c r="AC50" s="252">
        <f t="shared" si="24"/>
        <v>0</v>
      </c>
      <c r="AD50" s="252">
        <f t="shared" si="24"/>
        <v>0</v>
      </c>
      <c r="AE50" s="252">
        <f t="shared" si="24"/>
        <v>0</v>
      </c>
      <c r="AF50" s="252">
        <f t="shared" si="24"/>
        <v>0</v>
      </c>
      <c r="AG50" s="252">
        <f t="shared" si="24"/>
        <v>0</v>
      </c>
      <c r="AH50" s="252">
        <f t="shared" si="24"/>
        <v>0</v>
      </c>
      <c r="AI50" s="252">
        <f t="shared" si="24"/>
        <v>0</v>
      </c>
      <c r="AJ50" s="252">
        <f t="shared" si="24"/>
        <v>0</v>
      </c>
      <c r="AK50" s="252">
        <f t="shared" si="24"/>
        <v>0</v>
      </c>
      <c r="AL50" s="252">
        <f t="shared" si="24"/>
        <v>0</v>
      </c>
      <c r="AM50" s="252">
        <f t="shared" si="24"/>
        <v>0</v>
      </c>
      <c r="AN50" s="252">
        <f t="shared" si="24"/>
        <v>0</v>
      </c>
      <c r="AO50" s="252">
        <f t="shared" si="24"/>
        <v>0</v>
      </c>
      <c r="AP50" s="252">
        <f t="shared" si="24"/>
        <v>0</v>
      </c>
      <c r="AQ50" s="252">
        <f t="shared" si="24"/>
        <v>0</v>
      </c>
      <c r="AR50" s="252">
        <f t="shared" si="24"/>
        <v>0</v>
      </c>
      <c r="AS50" s="252">
        <f t="shared" si="24"/>
        <v>0</v>
      </c>
      <c r="AT50" s="252">
        <f t="shared" si="24"/>
        <v>0</v>
      </c>
      <c r="AU50" s="252">
        <f t="shared" si="24"/>
        <v>0</v>
      </c>
      <c r="AV50" s="252">
        <f t="shared" si="24"/>
        <v>0</v>
      </c>
      <c r="AW50" s="252">
        <f t="shared" si="24"/>
        <v>0</v>
      </c>
      <c r="AX50" s="252">
        <f t="shared" si="24"/>
        <v>0</v>
      </c>
      <c r="AY50" s="252">
        <f t="shared" si="24"/>
        <v>0</v>
      </c>
      <c r="AZ50" s="252">
        <f t="shared" si="24"/>
        <v>0</v>
      </c>
      <c r="BA50" s="252">
        <f t="shared" si="24"/>
        <v>0</v>
      </c>
    </row>
    <row r="51" ht="15.75" customHeight="1">
      <c r="A51" s="787">
        <v>1937.0</v>
      </c>
      <c r="B51" s="38"/>
      <c r="C51" s="38"/>
      <c r="D51" s="38"/>
      <c r="E51" s="38"/>
      <c r="F51" s="38"/>
      <c r="G51" s="38"/>
      <c r="H51" s="38"/>
      <c r="I51" s="38"/>
      <c r="J51" s="38"/>
      <c r="K51" s="38"/>
      <c r="L51" s="38"/>
      <c r="M51" s="38"/>
      <c r="N51" s="38"/>
      <c r="O51" s="38"/>
      <c r="P51" s="38"/>
      <c r="Q51" s="38"/>
      <c r="R51" s="38"/>
      <c r="S51" s="38"/>
      <c r="T51" s="38"/>
      <c r="U51" s="38"/>
      <c r="V51" s="769">
        <v>0.0</v>
      </c>
      <c r="W51" s="252">
        <f t="shared" si="18"/>
        <v>0</v>
      </c>
      <c r="X51" s="252">
        <f t="shared" ref="X51:BA51" si="25">IF(AND(X$43-$A51&gt;$V$30,SUM($W51:W51)&lt;&gt;$V51),$V51,0)</f>
        <v>0</v>
      </c>
      <c r="Y51" s="252">
        <f t="shared" si="25"/>
        <v>0</v>
      </c>
      <c r="Z51" s="252">
        <f t="shared" si="25"/>
        <v>0</v>
      </c>
      <c r="AA51" s="252">
        <f t="shared" si="25"/>
        <v>0</v>
      </c>
      <c r="AB51" s="252">
        <f t="shared" si="25"/>
        <v>0</v>
      </c>
      <c r="AC51" s="252">
        <f t="shared" si="25"/>
        <v>0</v>
      </c>
      <c r="AD51" s="252">
        <f t="shared" si="25"/>
        <v>0</v>
      </c>
      <c r="AE51" s="252">
        <f t="shared" si="25"/>
        <v>0</v>
      </c>
      <c r="AF51" s="252">
        <f t="shared" si="25"/>
        <v>0</v>
      </c>
      <c r="AG51" s="252">
        <f t="shared" si="25"/>
        <v>0</v>
      </c>
      <c r="AH51" s="252">
        <f t="shared" si="25"/>
        <v>0</v>
      </c>
      <c r="AI51" s="252">
        <f t="shared" si="25"/>
        <v>0</v>
      </c>
      <c r="AJ51" s="252">
        <f t="shared" si="25"/>
        <v>0</v>
      </c>
      <c r="AK51" s="252">
        <f t="shared" si="25"/>
        <v>0</v>
      </c>
      <c r="AL51" s="252">
        <f t="shared" si="25"/>
        <v>0</v>
      </c>
      <c r="AM51" s="252">
        <f t="shared" si="25"/>
        <v>0</v>
      </c>
      <c r="AN51" s="252">
        <f t="shared" si="25"/>
        <v>0</v>
      </c>
      <c r="AO51" s="252">
        <f t="shared" si="25"/>
        <v>0</v>
      </c>
      <c r="AP51" s="252">
        <f t="shared" si="25"/>
        <v>0</v>
      </c>
      <c r="AQ51" s="252">
        <f t="shared" si="25"/>
        <v>0</v>
      </c>
      <c r="AR51" s="252">
        <f t="shared" si="25"/>
        <v>0</v>
      </c>
      <c r="AS51" s="252">
        <f t="shared" si="25"/>
        <v>0</v>
      </c>
      <c r="AT51" s="252">
        <f t="shared" si="25"/>
        <v>0</v>
      </c>
      <c r="AU51" s="252">
        <f t="shared" si="25"/>
        <v>0</v>
      </c>
      <c r="AV51" s="252">
        <f t="shared" si="25"/>
        <v>0</v>
      </c>
      <c r="AW51" s="252">
        <f t="shared" si="25"/>
        <v>0</v>
      </c>
      <c r="AX51" s="252">
        <f t="shared" si="25"/>
        <v>0</v>
      </c>
      <c r="AY51" s="252">
        <f t="shared" si="25"/>
        <v>0</v>
      </c>
      <c r="AZ51" s="252">
        <f t="shared" si="25"/>
        <v>0</v>
      </c>
      <c r="BA51" s="252">
        <f t="shared" si="25"/>
        <v>0</v>
      </c>
    </row>
    <row r="52" ht="15.75" customHeight="1">
      <c r="A52" s="787">
        <v>1938.0</v>
      </c>
      <c r="B52" s="38"/>
      <c r="C52" s="38"/>
      <c r="D52" s="38"/>
      <c r="E52" s="38"/>
      <c r="F52" s="38"/>
      <c r="G52" s="38"/>
      <c r="H52" s="38"/>
      <c r="I52" s="38"/>
      <c r="J52" s="38"/>
      <c r="K52" s="38"/>
      <c r="L52" s="38"/>
      <c r="M52" s="38"/>
      <c r="N52" s="38"/>
      <c r="O52" s="38"/>
      <c r="P52" s="38"/>
      <c r="Q52" s="38"/>
      <c r="R52" s="38"/>
      <c r="S52" s="38"/>
      <c r="T52" s="38"/>
      <c r="U52" s="38"/>
      <c r="V52" s="769">
        <v>0.0</v>
      </c>
      <c r="W52" s="252">
        <f t="shared" si="18"/>
        <v>0</v>
      </c>
      <c r="X52" s="252">
        <f t="shared" ref="X52:BA52" si="26">IF(AND(X$43-$A52&gt;$V$30,SUM($W52:W52)&lt;&gt;$V52),$V52,0)</f>
        <v>0</v>
      </c>
      <c r="Y52" s="252">
        <f t="shared" si="26"/>
        <v>0</v>
      </c>
      <c r="Z52" s="252">
        <f t="shared" si="26"/>
        <v>0</v>
      </c>
      <c r="AA52" s="252">
        <f t="shared" si="26"/>
        <v>0</v>
      </c>
      <c r="AB52" s="252">
        <f t="shared" si="26"/>
        <v>0</v>
      </c>
      <c r="AC52" s="252">
        <f t="shared" si="26"/>
        <v>0</v>
      </c>
      <c r="AD52" s="252">
        <f t="shared" si="26"/>
        <v>0</v>
      </c>
      <c r="AE52" s="252">
        <f t="shared" si="26"/>
        <v>0</v>
      </c>
      <c r="AF52" s="252">
        <f t="shared" si="26"/>
        <v>0</v>
      </c>
      <c r="AG52" s="252">
        <f t="shared" si="26"/>
        <v>0</v>
      </c>
      <c r="AH52" s="252">
        <f t="shared" si="26"/>
        <v>0</v>
      </c>
      <c r="AI52" s="252">
        <f t="shared" si="26"/>
        <v>0</v>
      </c>
      <c r="AJ52" s="252">
        <f t="shared" si="26"/>
        <v>0</v>
      </c>
      <c r="AK52" s="252">
        <f t="shared" si="26"/>
        <v>0</v>
      </c>
      <c r="AL52" s="252">
        <f t="shared" si="26"/>
        <v>0</v>
      </c>
      <c r="AM52" s="252">
        <f t="shared" si="26"/>
        <v>0</v>
      </c>
      <c r="AN52" s="252">
        <f t="shared" si="26"/>
        <v>0</v>
      </c>
      <c r="AO52" s="252">
        <f t="shared" si="26"/>
        <v>0</v>
      </c>
      <c r="AP52" s="252">
        <f t="shared" si="26"/>
        <v>0</v>
      </c>
      <c r="AQ52" s="252">
        <f t="shared" si="26"/>
        <v>0</v>
      </c>
      <c r="AR52" s="252">
        <f t="shared" si="26"/>
        <v>0</v>
      </c>
      <c r="AS52" s="252">
        <f t="shared" si="26"/>
        <v>0</v>
      </c>
      <c r="AT52" s="252">
        <f t="shared" si="26"/>
        <v>0</v>
      </c>
      <c r="AU52" s="252">
        <f t="shared" si="26"/>
        <v>0</v>
      </c>
      <c r="AV52" s="252">
        <f t="shared" si="26"/>
        <v>0</v>
      </c>
      <c r="AW52" s="252">
        <f t="shared" si="26"/>
        <v>0</v>
      </c>
      <c r="AX52" s="252">
        <f t="shared" si="26"/>
        <v>0</v>
      </c>
      <c r="AY52" s="252">
        <f t="shared" si="26"/>
        <v>0</v>
      </c>
      <c r="AZ52" s="252">
        <f t="shared" si="26"/>
        <v>0</v>
      </c>
      <c r="BA52" s="252">
        <f t="shared" si="26"/>
        <v>0</v>
      </c>
    </row>
    <row r="53" ht="15.75" customHeight="1">
      <c r="A53" s="787">
        <v>1939.0</v>
      </c>
      <c r="B53" s="38"/>
      <c r="C53" s="38"/>
      <c r="D53" s="38"/>
      <c r="E53" s="38"/>
      <c r="F53" s="38"/>
      <c r="G53" s="38"/>
      <c r="H53" s="38"/>
      <c r="I53" s="38"/>
      <c r="J53" s="38"/>
      <c r="K53" s="38"/>
      <c r="L53" s="38"/>
      <c r="M53" s="38"/>
      <c r="N53" s="38"/>
      <c r="O53" s="38"/>
      <c r="P53" s="38"/>
      <c r="Q53" s="38"/>
      <c r="R53" s="38"/>
      <c r="S53" s="38"/>
      <c r="T53" s="38"/>
      <c r="U53" s="38"/>
      <c r="V53" s="769">
        <v>0.0</v>
      </c>
      <c r="W53" s="252">
        <f t="shared" si="18"/>
        <v>0</v>
      </c>
      <c r="X53" s="252">
        <f t="shared" ref="X53:BA53" si="27">IF(AND(X$43-$A53&gt;$V$30,SUM($W53:W53)&lt;&gt;$V53),$V53,0)</f>
        <v>0</v>
      </c>
      <c r="Y53" s="252">
        <f t="shared" si="27"/>
        <v>0</v>
      </c>
      <c r="Z53" s="252">
        <f t="shared" si="27"/>
        <v>0</v>
      </c>
      <c r="AA53" s="252">
        <f t="shared" si="27"/>
        <v>0</v>
      </c>
      <c r="AB53" s="252">
        <f t="shared" si="27"/>
        <v>0</v>
      </c>
      <c r="AC53" s="252">
        <f t="shared" si="27"/>
        <v>0</v>
      </c>
      <c r="AD53" s="252">
        <f t="shared" si="27"/>
        <v>0</v>
      </c>
      <c r="AE53" s="252">
        <f t="shared" si="27"/>
        <v>0</v>
      </c>
      <c r="AF53" s="252">
        <f t="shared" si="27"/>
        <v>0</v>
      </c>
      <c r="AG53" s="252">
        <f t="shared" si="27"/>
        <v>0</v>
      </c>
      <c r="AH53" s="252">
        <f t="shared" si="27"/>
        <v>0</v>
      </c>
      <c r="AI53" s="252">
        <f t="shared" si="27"/>
        <v>0</v>
      </c>
      <c r="AJ53" s="252">
        <f t="shared" si="27"/>
        <v>0</v>
      </c>
      <c r="AK53" s="252">
        <f t="shared" si="27"/>
        <v>0</v>
      </c>
      <c r="AL53" s="252">
        <f t="shared" si="27"/>
        <v>0</v>
      </c>
      <c r="AM53" s="252">
        <f t="shared" si="27"/>
        <v>0</v>
      </c>
      <c r="AN53" s="252">
        <f t="shared" si="27"/>
        <v>0</v>
      </c>
      <c r="AO53" s="252">
        <f t="shared" si="27"/>
        <v>0</v>
      </c>
      <c r="AP53" s="252">
        <f t="shared" si="27"/>
        <v>0</v>
      </c>
      <c r="AQ53" s="252">
        <f t="shared" si="27"/>
        <v>0</v>
      </c>
      <c r="AR53" s="252">
        <f t="shared" si="27"/>
        <v>0</v>
      </c>
      <c r="AS53" s="252">
        <f t="shared" si="27"/>
        <v>0</v>
      </c>
      <c r="AT53" s="252">
        <f t="shared" si="27"/>
        <v>0</v>
      </c>
      <c r="AU53" s="252">
        <f t="shared" si="27"/>
        <v>0</v>
      </c>
      <c r="AV53" s="252">
        <f t="shared" si="27"/>
        <v>0</v>
      </c>
      <c r="AW53" s="252">
        <f t="shared" si="27"/>
        <v>0</v>
      </c>
      <c r="AX53" s="252">
        <f t="shared" si="27"/>
        <v>0</v>
      </c>
      <c r="AY53" s="252">
        <f t="shared" si="27"/>
        <v>0</v>
      </c>
      <c r="AZ53" s="252">
        <f t="shared" si="27"/>
        <v>0</v>
      </c>
      <c r="BA53" s="252">
        <f t="shared" si="27"/>
        <v>0</v>
      </c>
    </row>
    <row r="54" ht="15.75" customHeight="1">
      <c r="A54" s="787">
        <v>1940.0</v>
      </c>
      <c r="B54" s="38"/>
      <c r="C54" s="38"/>
      <c r="D54" s="38"/>
      <c r="E54" s="38"/>
      <c r="F54" s="38"/>
      <c r="G54" s="38"/>
      <c r="H54" s="38"/>
      <c r="I54" s="38"/>
      <c r="J54" s="38"/>
      <c r="K54" s="38"/>
      <c r="L54" s="38"/>
      <c r="M54" s="38"/>
      <c r="N54" s="38"/>
      <c r="O54" s="38"/>
      <c r="P54" s="38"/>
      <c r="Q54" s="38"/>
      <c r="R54" s="38"/>
      <c r="S54" s="38"/>
      <c r="T54" s="38"/>
      <c r="U54" s="38"/>
      <c r="V54" s="769">
        <v>0.0</v>
      </c>
      <c r="W54" s="252">
        <f t="shared" si="18"/>
        <v>0</v>
      </c>
      <c r="X54" s="252">
        <f t="shared" ref="X54:BA54" si="28">IF(AND(X$43-$A54&gt;$V$30,SUM($W54:W54)&lt;&gt;$V54),$V54,0)</f>
        <v>0</v>
      </c>
      <c r="Y54" s="252">
        <f t="shared" si="28"/>
        <v>0</v>
      </c>
      <c r="Z54" s="252">
        <f t="shared" si="28"/>
        <v>0</v>
      </c>
      <c r="AA54" s="252">
        <f t="shared" si="28"/>
        <v>0</v>
      </c>
      <c r="AB54" s="252">
        <f t="shared" si="28"/>
        <v>0</v>
      </c>
      <c r="AC54" s="252">
        <f t="shared" si="28"/>
        <v>0</v>
      </c>
      <c r="AD54" s="252">
        <f t="shared" si="28"/>
        <v>0</v>
      </c>
      <c r="AE54" s="252">
        <f t="shared" si="28"/>
        <v>0</v>
      </c>
      <c r="AF54" s="252">
        <f t="shared" si="28"/>
        <v>0</v>
      </c>
      <c r="AG54" s="252">
        <f t="shared" si="28"/>
        <v>0</v>
      </c>
      <c r="AH54" s="252">
        <f t="shared" si="28"/>
        <v>0</v>
      </c>
      <c r="AI54" s="252">
        <f t="shared" si="28"/>
        <v>0</v>
      </c>
      <c r="AJ54" s="252">
        <f t="shared" si="28"/>
        <v>0</v>
      </c>
      <c r="AK54" s="252">
        <f t="shared" si="28"/>
        <v>0</v>
      </c>
      <c r="AL54" s="252">
        <f t="shared" si="28"/>
        <v>0</v>
      </c>
      <c r="AM54" s="252">
        <f t="shared" si="28"/>
        <v>0</v>
      </c>
      <c r="AN54" s="252">
        <f t="shared" si="28"/>
        <v>0</v>
      </c>
      <c r="AO54" s="252">
        <f t="shared" si="28"/>
        <v>0</v>
      </c>
      <c r="AP54" s="252">
        <f t="shared" si="28"/>
        <v>0</v>
      </c>
      <c r="AQ54" s="252">
        <f t="shared" si="28"/>
        <v>0</v>
      </c>
      <c r="AR54" s="252">
        <f t="shared" si="28"/>
        <v>0</v>
      </c>
      <c r="AS54" s="252">
        <f t="shared" si="28"/>
        <v>0</v>
      </c>
      <c r="AT54" s="252">
        <f t="shared" si="28"/>
        <v>0</v>
      </c>
      <c r="AU54" s="252">
        <f t="shared" si="28"/>
        <v>0</v>
      </c>
      <c r="AV54" s="252">
        <f t="shared" si="28"/>
        <v>0</v>
      </c>
      <c r="AW54" s="252">
        <f t="shared" si="28"/>
        <v>0</v>
      </c>
      <c r="AX54" s="252">
        <f t="shared" si="28"/>
        <v>0</v>
      </c>
      <c r="AY54" s="252">
        <f t="shared" si="28"/>
        <v>0</v>
      </c>
      <c r="AZ54" s="252">
        <f t="shared" si="28"/>
        <v>0</v>
      </c>
      <c r="BA54" s="252">
        <f t="shared" si="28"/>
        <v>0</v>
      </c>
    </row>
    <row r="55" ht="15.75" customHeight="1">
      <c r="A55" s="787">
        <v>1941.0</v>
      </c>
      <c r="B55" s="38"/>
      <c r="C55" s="38"/>
      <c r="D55" s="38"/>
      <c r="E55" s="38"/>
      <c r="F55" s="38"/>
      <c r="G55" s="38"/>
      <c r="H55" s="38"/>
      <c r="I55" s="38"/>
      <c r="J55" s="38"/>
      <c r="K55" s="38"/>
      <c r="L55" s="38"/>
      <c r="M55" s="38"/>
      <c r="N55" s="38"/>
      <c r="O55" s="38"/>
      <c r="P55" s="38"/>
      <c r="Q55" s="38"/>
      <c r="R55" s="38"/>
      <c r="S55" s="38"/>
      <c r="T55" s="38"/>
      <c r="U55" s="38"/>
      <c r="V55" s="769">
        <v>0.0</v>
      </c>
      <c r="W55" s="252">
        <f t="shared" si="18"/>
        <v>0</v>
      </c>
      <c r="X55" s="252">
        <f t="shared" ref="X55:BA55" si="29">IF(AND(X$43-$A55&gt;$V$30,SUM($W55:W55)&lt;&gt;$V55),$V55,0)</f>
        <v>0</v>
      </c>
      <c r="Y55" s="252">
        <f t="shared" si="29"/>
        <v>0</v>
      </c>
      <c r="Z55" s="252">
        <f t="shared" si="29"/>
        <v>0</v>
      </c>
      <c r="AA55" s="252">
        <f t="shared" si="29"/>
        <v>0</v>
      </c>
      <c r="AB55" s="252">
        <f t="shared" si="29"/>
        <v>0</v>
      </c>
      <c r="AC55" s="252">
        <f t="shared" si="29"/>
        <v>0</v>
      </c>
      <c r="AD55" s="252">
        <f t="shared" si="29"/>
        <v>0</v>
      </c>
      <c r="AE55" s="252">
        <f t="shared" si="29"/>
        <v>0</v>
      </c>
      <c r="AF55" s="252">
        <f t="shared" si="29"/>
        <v>0</v>
      </c>
      <c r="AG55" s="252">
        <f t="shared" si="29"/>
        <v>0</v>
      </c>
      <c r="AH55" s="252">
        <f t="shared" si="29"/>
        <v>0</v>
      </c>
      <c r="AI55" s="252">
        <f t="shared" si="29"/>
        <v>0</v>
      </c>
      <c r="AJ55" s="252">
        <f t="shared" si="29"/>
        <v>0</v>
      </c>
      <c r="AK55" s="252">
        <f t="shared" si="29"/>
        <v>0</v>
      </c>
      <c r="AL55" s="252">
        <f t="shared" si="29"/>
        <v>0</v>
      </c>
      <c r="AM55" s="252">
        <f t="shared" si="29"/>
        <v>0</v>
      </c>
      <c r="AN55" s="252">
        <f t="shared" si="29"/>
        <v>0</v>
      </c>
      <c r="AO55" s="252">
        <f t="shared" si="29"/>
        <v>0</v>
      </c>
      <c r="AP55" s="252">
        <f t="shared" si="29"/>
        <v>0</v>
      </c>
      <c r="AQ55" s="252">
        <f t="shared" si="29"/>
        <v>0</v>
      </c>
      <c r="AR55" s="252">
        <f t="shared" si="29"/>
        <v>0</v>
      </c>
      <c r="AS55" s="252">
        <f t="shared" si="29"/>
        <v>0</v>
      </c>
      <c r="AT55" s="252">
        <f t="shared" si="29"/>
        <v>0</v>
      </c>
      <c r="AU55" s="252">
        <f t="shared" si="29"/>
        <v>0</v>
      </c>
      <c r="AV55" s="252">
        <f t="shared" si="29"/>
        <v>0</v>
      </c>
      <c r="AW55" s="252">
        <f t="shared" si="29"/>
        <v>0</v>
      </c>
      <c r="AX55" s="252">
        <f t="shared" si="29"/>
        <v>0</v>
      </c>
      <c r="AY55" s="252">
        <f t="shared" si="29"/>
        <v>0</v>
      </c>
      <c r="AZ55" s="252">
        <f t="shared" si="29"/>
        <v>0</v>
      </c>
      <c r="BA55" s="252">
        <f t="shared" si="29"/>
        <v>0</v>
      </c>
    </row>
    <row r="56" ht="15.75" customHeight="1">
      <c r="A56" s="787">
        <v>1942.0</v>
      </c>
      <c r="B56" s="38"/>
      <c r="C56" s="38"/>
      <c r="D56" s="38"/>
      <c r="E56" s="38"/>
      <c r="F56" s="38"/>
      <c r="G56" s="38"/>
      <c r="H56" s="38"/>
      <c r="I56" s="38"/>
      <c r="J56" s="38"/>
      <c r="K56" s="38"/>
      <c r="L56" s="38"/>
      <c r="M56" s="38"/>
      <c r="N56" s="38"/>
      <c r="O56" s="38"/>
      <c r="P56" s="38"/>
      <c r="Q56" s="38"/>
      <c r="R56" s="38"/>
      <c r="S56" s="38"/>
      <c r="T56" s="38"/>
      <c r="U56" s="38"/>
      <c r="V56" s="769">
        <v>0.0</v>
      </c>
      <c r="W56" s="252">
        <f t="shared" si="18"/>
        <v>0</v>
      </c>
      <c r="X56" s="252">
        <f t="shared" ref="X56:BA56" si="30">IF(AND(X$43-$A56&gt;$V$30,SUM($W56:W56)&lt;&gt;$V56),$V56,0)</f>
        <v>0</v>
      </c>
      <c r="Y56" s="252">
        <f t="shared" si="30"/>
        <v>0</v>
      </c>
      <c r="Z56" s="252">
        <f t="shared" si="30"/>
        <v>0</v>
      </c>
      <c r="AA56" s="252">
        <f t="shared" si="30"/>
        <v>0</v>
      </c>
      <c r="AB56" s="252">
        <f t="shared" si="30"/>
        <v>0</v>
      </c>
      <c r="AC56" s="252">
        <f t="shared" si="30"/>
        <v>0</v>
      </c>
      <c r="AD56" s="252">
        <f t="shared" si="30"/>
        <v>0</v>
      </c>
      <c r="AE56" s="252">
        <f t="shared" si="30"/>
        <v>0</v>
      </c>
      <c r="AF56" s="252">
        <f t="shared" si="30"/>
        <v>0</v>
      </c>
      <c r="AG56" s="252">
        <f t="shared" si="30"/>
        <v>0</v>
      </c>
      <c r="AH56" s="252">
        <f t="shared" si="30"/>
        <v>0</v>
      </c>
      <c r="AI56" s="252">
        <f t="shared" si="30"/>
        <v>0</v>
      </c>
      <c r="AJ56" s="252">
        <f t="shared" si="30"/>
        <v>0</v>
      </c>
      <c r="AK56" s="252">
        <f t="shared" si="30"/>
        <v>0</v>
      </c>
      <c r="AL56" s="252">
        <f t="shared" si="30"/>
        <v>0</v>
      </c>
      <c r="AM56" s="252">
        <f t="shared" si="30"/>
        <v>0</v>
      </c>
      <c r="AN56" s="252">
        <f t="shared" si="30"/>
        <v>0</v>
      </c>
      <c r="AO56" s="252">
        <f t="shared" si="30"/>
        <v>0</v>
      </c>
      <c r="AP56" s="252">
        <f t="shared" si="30"/>
        <v>0</v>
      </c>
      <c r="AQ56" s="252">
        <f t="shared" si="30"/>
        <v>0</v>
      </c>
      <c r="AR56" s="252">
        <f t="shared" si="30"/>
        <v>0</v>
      </c>
      <c r="AS56" s="252">
        <f t="shared" si="30"/>
        <v>0</v>
      </c>
      <c r="AT56" s="252">
        <f t="shared" si="30"/>
        <v>0</v>
      </c>
      <c r="AU56" s="252">
        <f t="shared" si="30"/>
        <v>0</v>
      </c>
      <c r="AV56" s="252">
        <f t="shared" si="30"/>
        <v>0</v>
      </c>
      <c r="AW56" s="252">
        <f t="shared" si="30"/>
        <v>0</v>
      </c>
      <c r="AX56" s="252">
        <f t="shared" si="30"/>
        <v>0</v>
      </c>
      <c r="AY56" s="252">
        <f t="shared" si="30"/>
        <v>0</v>
      </c>
      <c r="AZ56" s="252">
        <f t="shared" si="30"/>
        <v>0</v>
      </c>
      <c r="BA56" s="252">
        <f t="shared" si="30"/>
        <v>0</v>
      </c>
    </row>
    <row r="57" ht="15.75" customHeight="1">
      <c r="A57" s="787">
        <v>1943.0</v>
      </c>
      <c r="B57" s="38"/>
      <c r="C57" s="38"/>
      <c r="D57" s="38"/>
      <c r="E57" s="38"/>
      <c r="F57" s="38"/>
      <c r="G57" s="38"/>
      <c r="H57" s="38"/>
      <c r="I57" s="38"/>
      <c r="J57" s="38"/>
      <c r="K57" s="38"/>
      <c r="L57" s="38"/>
      <c r="M57" s="38"/>
      <c r="N57" s="38"/>
      <c r="O57" s="38"/>
      <c r="P57" s="38"/>
      <c r="Q57" s="38"/>
      <c r="R57" s="38"/>
      <c r="S57" s="38"/>
      <c r="T57" s="38"/>
      <c r="U57" s="38"/>
      <c r="V57" s="769">
        <v>0.0</v>
      </c>
      <c r="W57" s="252">
        <f t="shared" si="18"/>
        <v>0</v>
      </c>
      <c r="X57" s="252">
        <f t="shared" ref="X57:BA57" si="31">IF(AND(X$43-$A57&gt;$V$30,SUM($W57:W57)&lt;&gt;$V57),$V57,0)</f>
        <v>0</v>
      </c>
      <c r="Y57" s="252">
        <f t="shared" si="31"/>
        <v>0</v>
      </c>
      <c r="Z57" s="252">
        <f t="shared" si="31"/>
        <v>0</v>
      </c>
      <c r="AA57" s="252">
        <f t="shared" si="31"/>
        <v>0</v>
      </c>
      <c r="AB57" s="252">
        <f t="shared" si="31"/>
        <v>0</v>
      </c>
      <c r="AC57" s="252">
        <f t="shared" si="31"/>
        <v>0</v>
      </c>
      <c r="AD57" s="252">
        <f t="shared" si="31"/>
        <v>0</v>
      </c>
      <c r="AE57" s="252">
        <f t="shared" si="31"/>
        <v>0</v>
      </c>
      <c r="AF57" s="252">
        <f t="shared" si="31"/>
        <v>0</v>
      </c>
      <c r="AG57" s="252">
        <f t="shared" si="31"/>
        <v>0</v>
      </c>
      <c r="AH57" s="252">
        <f t="shared" si="31"/>
        <v>0</v>
      </c>
      <c r="AI57" s="252">
        <f t="shared" si="31"/>
        <v>0</v>
      </c>
      <c r="AJ57" s="252">
        <f t="shared" si="31"/>
        <v>0</v>
      </c>
      <c r="AK57" s="252">
        <f t="shared" si="31"/>
        <v>0</v>
      </c>
      <c r="AL57" s="252">
        <f t="shared" si="31"/>
        <v>0</v>
      </c>
      <c r="AM57" s="252">
        <f t="shared" si="31"/>
        <v>0</v>
      </c>
      <c r="AN57" s="252">
        <f t="shared" si="31"/>
        <v>0</v>
      </c>
      <c r="AO57" s="252">
        <f t="shared" si="31"/>
        <v>0</v>
      </c>
      <c r="AP57" s="252">
        <f t="shared" si="31"/>
        <v>0</v>
      </c>
      <c r="AQ57" s="252">
        <f t="shared" si="31"/>
        <v>0</v>
      </c>
      <c r="AR57" s="252">
        <f t="shared" si="31"/>
        <v>0</v>
      </c>
      <c r="AS57" s="252">
        <f t="shared" si="31"/>
        <v>0</v>
      </c>
      <c r="AT57" s="252">
        <f t="shared" si="31"/>
        <v>0</v>
      </c>
      <c r="AU57" s="252">
        <f t="shared" si="31"/>
        <v>0</v>
      </c>
      <c r="AV57" s="252">
        <f t="shared" si="31"/>
        <v>0</v>
      </c>
      <c r="AW57" s="252">
        <f t="shared" si="31"/>
        <v>0</v>
      </c>
      <c r="AX57" s="252">
        <f t="shared" si="31"/>
        <v>0</v>
      </c>
      <c r="AY57" s="252">
        <f t="shared" si="31"/>
        <v>0</v>
      </c>
      <c r="AZ57" s="252">
        <f t="shared" si="31"/>
        <v>0</v>
      </c>
      <c r="BA57" s="252">
        <f t="shared" si="31"/>
        <v>0</v>
      </c>
    </row>
    <row r="58" ht="15.75" customHeight="1">
      <c r="A58" s="787">
        <v>1944.0</v>
      </c>
      <c r="B58" s="38"/>
      <c r="C58" s="38"/>
      <c r="D58" s="38"/>
      <c r="E58" s="38"/>
      <c r="F58" s="38"/>
      <c r="G58" s="38"/>
      <c r="H58" s="38"/>
      <c r="I58" s="38"/>
      <c r="J58" s="38"/>
      <c r="K58" s="38"/>
      <c r="L58" s="38"/>
      <c r="M58" s="38"/>
      <c r="N58" s="38"/>
      <c r="O58" s="38"/>
      <c r="P58" s="38"/>
      <c r="Q58" s="38"/>
      <c r="R58" s="38"/>
      <c r="S58" s="38"/>
      <c r="T58" s="38"/>
      <c r="U58" s="38"/>
      <c r="V58" s="769">
        <v>0.0</v>
      </c>
      <c r="W58" s="252">
        <f t="shared" si="18"/>
        <v>0</v>
      </c>
      <c r="X58" s="252">
        <f t="shared" ref="X58:BA58" si="32">IF(AND(X$43-$A58&gt;$V$30,SUM($W58:W58)&lt;&gt;$V58),$V58,0)</f>
        <v>0</v>
      </c>
      <c r="Y58" s="252">
        <f t="shared" si="32"/>
        <v>0</v>
      </c>
      <c r="Z58" s="252">
        <f t="shared" si="32"/>
        <v>0</v>
      </c>
      <c r="AA58" s="252">
        <f t="shared" si="32"/>
        <v>0</v>
      </c>
      <c r="AB58" s="252">
        <f t="shared" si="32"/>
        <v>0</v>
      </c>
      <c r="AC58" s="252">
        <f t="shared" si="32"/>
        <v>0</v>
      </c>
      <c r="AD58" s="252">
        <f t="shared" si="32"/>
        <v>0</v>
      </c>
      <c r="AE58" s="252">
        <f t="shared" si="32"/>
        <v>0</v>
      </c>
      <c r="AF58" s="252">
        <f t="shared" si="32"/>
        <v>0</v>
      </c>
      <c r="AG58" s="252">
        <f t="shared" si="32"/>
        <v>0</v>
      </c>
      <c r="AH58" s="252">
        <f t="shared" si="32"/>
        <v>0</v>
      </c>
      <c r="AI58" s="252">
        <f t="shared" si="32"/>
        <v>0</v>
      </c>
      <c r="AJ58" s="252">
        <f t="shared" si="32"/>
        <v>0</v>
      </c>
      <c r="AK58" s="252">
        <f t="shared" si="32"/>
        <v>0</v>
      </c>
      <c r="AL58" s="252">
        <f t="shared" si="32"/>
        <v>0</v>
      </c>
      <c r="AM58" s="252">
        <f t="shared" si="32"/>
        <v>0</v>
      </c>
      <c r="AN58" s="252">
        <f t="shared" si="32"/>
        <v>0</v>
      </c>
      <c r="AO58" s="252">
        <f t="shared" si="32"/>
        <v>0</v>
      </c>
      <c r="AP58" s="252">
        <f t="shared" si="32"/>
        <v>0</v>
      </c>
      <c r="AQ58" s="252">
        <f t="shared" si="32"/>
        <v>0</v>
      </c>
      <c r="AR58" s="252">
        <f t="shared" si="32"/>
        <v>0</v>
      </c>
      <c r="AS58" s="252">
        <f t="shared" si="32"/>
        <v>0</v>
      </c>
      <c r="AT58" s="252">
        <f t="shared" si="32"/>
        <v>0</v>
      </c>
      <c r="AU58" s="252">
        <f t="shared" si="32"/>
        <v>0</v>
      </c>
      <c r="AV58" s="252">
        <f t="shared" si="32"/>
        <v>0</v>
      </c>
      <c r="AW58" s="252">
        <f t="shared" si="32"/>
        <v>0</v>
      </c>
      <c r="AX58" s="252">
        <f t="shared" si="32"/>
        <v>0</v>
      </c>
      <c r="AY58" s="252">
        <f t="shared" si="32"/>
        <v>0</v>
      </c>
      <c r="AZ58" s="252">
        <f t="shared" si="32"/>
        <v>0</v>
      </c>
      <c r="BA58" s="252">
        <f t="shared" si="32"/>
        <v>0</v>
      </c>
    </row>
    <row r="59" ht="15.75" customHeight="1">
      <c r="A59" s="787">
        <v>1945.0</v>
      </c>
      <c r="B59" s="38"/>
      <c r="C59" s="38"/>
      <c r="D59" s="38"/>
      <c r="E59" s="38"/>
      <c r="F59" s="38"/>
      <c r="G59" s="38"/>
      <c r="H59" s="38"/>
      <c r="I59" s="38"/>
      <c r="J59" s="38"/>
      <c r="K59" s="38"/>
      <c r="L59" s="38"/>
      <c r="M59" s="38"/>
      <c r="N59" s="38"/>
      <c r="O59" s="38"/>
      <c r="P59" s="38"/>
      <c r="Q59" s="38"/>
      <c r="R59" s="38"/>
      <c r="S59" s="38"/>
      <c r="T59" s="38"/>
      <c r="U59" s="38"/>
      <c r="V59" s="769">
        <v>0.0</v>
      </c>
      <c r="W59" s="252">
        <f t="shared" si="18"/>
        <v>0</v>
      </c>
      <c r="X59" s="252">
        <f t="shared" ref="X59:BA59" si="33">IF(AND(X$43-$A59&gt;$V$30,SUM($W59:W59)&lt;&gt;$V59),$V59,0)</f>
        <v>0</v>
      </c>
      <c r="Y59" s="252">
        <f t="shared" si="33"/>
        <v>0</v>
      </c>
      <c r="Z59" s="252">
        <f t="shared" si="33"/>
        <v>0</v>
      </c>
      <c r="AA59" s="252">
        <f t="shared" si="33"/>
        <v>0</v>
      </c>
      <c r="AB59" s="252">
        <f t="shared" si="33"/>
        <v>0</v>
      </c>
      <c r="AC59" s="252">
        <f t="shared" si="33"/>
        <v>0</v>
      </c>
      <c r="AD59" s="252">
        <f t="shared" si="33"/>
        <v>0</v>
      </c>
      <c r="AE59" s="252">
        <f t="shared" si="33"/>
        <v>0</v>
      </c>
      <c r="AF59" s="252">
        <f t="shared" si="33"/>
        <v>0</v>
      </c>
      <c r="AG59" s="252">
        <f t="shared" si="33"/>
        <v>0</v>
      </c>
      <c r="AH59" s="252">
        <f t="shared" si="33"/>
        <v>0</v>
      </c>
      <c r="AI59" s="252">
        <f t="shared" si="33"/>
        <v>0</v>
      </c>
      <c r="AJ59" s="252">
        <f t="shared" si="33"/>
        <v>0</v>
      </c>
      <c r="AK59" s="252">
        <f t="shared" si="33"/>
        <v>0</v>
      </c>
      <c r="AL59" s="252">
        <f t="shared" si="33"/>
        <v>0</v>
      </c>
      <c r="AM59" s="252">
        <f t="shared" si="33"/>
        <v>0</v>
      </c>
      <c r="AN59" s="252">
        <f t="shared" si="33"/>
        <v>0</v>
      </c>
      <c r="AO59" s="252">
        <f t="shared" si="33"/>
        <v>0</v>
      </c>
      <c r="AP59" s="252">
        <f t="shared" si="33"/>
        <v>0</v>
      </c>
      <c r="AQ59" s="252">
        <f t="shared" si="33"/>
        <v>0</v>
      </c>
      <c r="AR59" s="252">
        <f t="shared" si="33"/>
        <v>0</v>
      </c>
      <c r="AS59" s="252">
        <f t="shared" si="33"/>
        <v>0</v>
      </c>
      <c r="AT59" s="252">
        <f t="shared" si="33"/>
        <v>0</v>
      </c>
      <c r="AU59" s="252">
        <f t="shared" si="33"/>
        <v>0</v>
      </c>
      <c r="AV59" s="252">
        <f t="shared" si="33"/>
        <v>0</v>
      </c>
      <c r="AW59" s="252">
        <f t="shared" si="33"/>
        <v>0</v>
      </c>
      <c r="AX59" s="252">
        <f t="shared" si="33"/>
        <v>0</v>
      </c>
      <c r="AY59" s="252">
        <f t="shared" si="33"/>
        <v>0</v>
      </c>
      <c r="AZ59" s="252">
        <f t="shared" si="33"/>
        <v>0</v>
      </c>
      <c r="BA59" s="252">
        <f t="shared" si="33"/>
        <v>0</v>
      </c>
    </row>
    <row r="60" ht="15.75" customHeight="1">
      <c r="A60" s="787">
        <v>1946.0</v>
      </c>
      <c r="B60" s="38"/>
      <c r="C60" s="38"/>
      <c r="D60" s="38"/>
      <c r="E60" s="38"/>
      <c r="F60" s="38"/>
      <c r="G60" s="38"/>
      <c r="H60" s="38"/>
      <c r="I60" s="38"/>
      <c r="J60" s="38"/>
      <c r="K60" s="38"/>
      <c r="L60" s="38"/>
      <c r="M60" s="38"/>
      <c r="N60" s="38"/>
      <c r="O60" s="38"/>
      <c r="P60" s="38"/>
      <c r="Q60" s="38"/>
      <c r="R60" s="38"/>
      <c r="S60" s="38"/>
      <c r="T60" s="38"/>
      <c r="U60" s="38"/>
      <c r="V60" s="769">
        <v>0.0</v>
      </c>
      <c r="W60" s="252">
        <f t="shared" si="18"/>
        <v>0</v>
      </c>
      <c r="X60" s="252">
        <f t="shared" ref="X60:BA60" si="34">IF(AND(X$43-$A60&gt;$V$30,SUM($W60:W60)&lt;&gt;$V60),$V60,0)</f>
        <v>0</v>
      </c>
      <c r="Y60" s="252">
        <f t="shared" si="34"/>
        <v>0</v>
      </c>
      <c r="Z60" s="252">
        <f t="shared" si="34"/>
        <v>0</v>
      </c>
      <c r="AA60" s="252">
        <f t="shared" si="34"/>
        <v>0</v>
      </c>
      <c r="AB60" s="252">
        <f t="shared" si="34"/>
        <v>0</v>
      </c>
      <c r="AC60" s="252">
        <f t="shared" si="34"/>
        <v>0</v>
      </c>
      <c r="AD60" s="252">
        <f t="shared" si="34"/>
        <v>0</v>
      </c>
      <c r="AE60" s="252">
        <f t="shared" si="34"/>
        <v>0</v>
      </c>
      <c r="AF60" s="252">
        <f t="shared" si="34"/>
        <v>0</v>
      </c>
      <c r="AG60" s="252">
        <f t="shared" si="34"/>
        <v>0</v>
      </c>
      <c r="AH60" s="252">
        <f t="shared" si="34"/>
        <v>0</v>
      </c>
      <c r="AI60" s="252">
        <f t="shared" si="34"/>
        <v>0</v>
      </c>
      <c r="AJ60" s="252">
        <f t="shared" si="34"/>
        <v>0</v>
      </c>
      <c r="AK60" s="252">
        <f t="shared" si="34"/>
        <v>0</v>
      </c>
      <c r="AL60" s="252">
        <f t="shared" si="34"/>
        <v>0</v>
      </c>
      <c r="AM60" s="252">
        <f t="shared" si="34"/>
        <v>0</v>
      </c>
      <c r="AN60" s="252">
        <f t="shared" si="34"/>
        <v>0</v>
      </c>
      <c r="AO60" s="252">
        <f t="shared" si="34"/>
        <v>0</v>
      </c>
      <c r="AP60" s="252">
        <f t="shared" si="34"/>
        <v>0</v>
      </c>
      <c r="AQ60" s="252">
        <f t="shared" si="34"/>
        <v>0</v>
      </c>
      <c r="AR60" s="252">
        <f t="shared" si="34"/>
        <v>0</v>
      </c>
      <c r="AS60" s="252">
        <f t="shared" si="34"/>
        <v>0</v>
      </c>
      <c r="AT60" s="252">
        <f t="shared" si="34"/>
        <v>0</v>
      </c>
      <c r="AU60" s="252">
        <f t="shared" si="34"/>
        <v>0</v>
      </c>
      <c r="AV60" s="252">
        <f t="shared" si="34"/>
        <v>0</v>
      </c>
      <c r="AW60" s="252">
        <f t="shared" si="34"/>
        <v>0</v>
      </c>
      <c r="AX60" s="252">
        <f t="shared" si="34"/>
        <v>0</v>
      </c>
      <c r="AY60" s="252">
        <f t="shared" si="34"/>
        <v>0</v>
      </c>
      <c r="AZ60" s="252">
        <f t="shared" si="34"/>
        <v>0</v>
      </c>
      <c r="BA60" s="252">
        <f t="shared" si="34"/>
        <v>0</v>
      </c>
    </row>
    <row r="61" ht="15.75" customHeight="1">
      <c r="A61" s="787">
        <v>1947.0</v>
      </c>
      <c r="B61" s="38"/>
      <c r="C61" s="38"/>
      <c r="D61" s="38"/>
      <c r="E61" s="38"/>
      <c r="F61" s="38"/>
      <c r="G61" s="38"/>
      <c r="H61" s="38"/>
      <c r="I61" s="38"/>
      <c r="J61" s="38"/>
      <c r="K61" s="38"/>
      <c r="L61" s="38"/>
      <c r="M61" s="38"/>
      <c r="N61" s="38"/>
      <c r="O61" s="38"/>
      <c r="P61" s="38"/>
      <c r="Q61" s="38"/>
      <c r="R61" s="38"/>
      <c r="S61" s="38"/>
      <c r="T61" s="38"/>
      <c r="U61" s="38"/>
      <c r="V61" s="769">
        <v>0.0</v>
      </c>
      <c r="W61" s="252">
        <f t="shared" si="18"/>
        <v>0</v>
      </c>
      <c r="X61" s="252">
        <f t="shared" ref="X61:BA61" si="35">IF(AND(X$43-$A61&gt;$V$30,SUM($W61:W61)&lt;&gt;$V61),$V61,0)</f>
        <v>0</v>
      </c>
      <c r="Y61" s="252">
        <f t="shared" si="35"/>
        <v>0</v>
      </c>
      <c r="Z61" s="252">
        <f t="shared" si="35"/>
        <v>0</v>
      </c>
      <c r="AA61" s="252">
        <f t="shared" si="35"/>
        <v>0</v>
      </c>
      <c r="AB61" s="252">
        <f t="shared" si="35"/>
        <v>0</v>
      </c>
      <c r="AC61" s="252">
        <f t="shared" si="35"/>
        <v>0</v>
      </c>
      <c r="AD61" s="252">
        <f t="shared" si="35"/>
        <v>0</v>
      </c>
      <c r="AE61" s="252">
        <f t="shared" si="35"/>
        <v>0</v>
      </c>
      <c r="AF61" s="252">
        <f t="shared" si="35"/>
        <v>0</v>
      </c>
      <c r="AG61" s="252">
        <f t="shared" si="35"/>
        <v>0</v>
      </c>
      <c r="AH61" s="252">
        <f t="shared" si="35"/>
        <v>0</v>
      </c>
      <c r="AI61" s="252">
        <f t="shared" si="35"/>
        <v>0</v>
      </c>
      <c r="AJ61" s="252">
        <f t="shared" si="35"/>
        <v>0</v>
      </c>
      <c r="AK61" s="252">
        <f t="shared" si="35"/>
        <v>0</v>
      </c>
      <c r="AL61" s="252">
        <f t="shared" si="35"/>
        <v>0</v>
      </c>
      <c r="AM61" s="252">
        <f t="shared" si="35"/>
        <v>0</v>
      </c>
      <c r="AN61" s="252">
        <f t="shared" si="35"/>
        <v>0</v>
      </c>
      <c r="AO61" s="252">
        <f t="shared" si="35"/>
        <v>0</v>
      </c>
      <c r="AP61" s="252">
        <f t="shared" si="35"/>
        <v>0</v>
      </c>
      <c r="AQ61" s="252">
        <f t="shared" si="35"/>
        <v>0</v>
      </c>
      <c r="AR61" s="252">
        <f t="shared" si="35"/>
        <v>0</v>
      </c>
      <c r="AS61" s="252">
        <f t="shared" si="35"/>
        <v>0</v>
      </c>
      <c r="AT61" s="252">
        <f t="shared" si="35"/>
        <v>0</v>
      </c>
      <c r="AU61" s="252">
        <f t="shared" si="35"/>
        <v>0</v>
      </c>
      <c r="AV61" s="252">
        <f t="shared" si="35"/>
        <v>0</v>
      </c>
      <c r="AW61" s="252">
        <f t="shared" si="35"/>
        <v>0</v>
      </c>
      <c r="AX61" s="252">
        <f t="shared" si="35"/>
        <v>0</v>
      </c>
      <c r="AY61" s="252">
        <f t="shared" si="35"/>
        <v>0</v>
      </c>
      <c r="AZ61" s="252">
        <f t="shared" si="35"/>
        <v>0</v>
      </c>
      <c r="BA61" s="252">
        <f t="shared" si="35"/>
        <v>0</v>
      </c>
    </row>
    <row r="62" ht="15.75" customHeight="1">
      <c r="A62" s="787">
        <v>1948.0</v>
      </c>
      <c r="B62" s="38"/>
      <c r="C62" s="38"/>
      <c r="D62" s="38"/>
      <c r="E62" s="38"/>
      <c r="F62" s="38"/>
      <c r="G62" s="38"/>
      <c r="H62" s="38"/>
      <c r="I62" s="38"/>
      <c r="J62" s="38"/>
      <c r="K62" s="38"/>
      <c r="L62" s="38"/>
      <c r="M62" s="38"/>
      <c r="N62" s="38"/>
      <c r="O62" s="38"/>
      <c r="P62" s="38"/>
      <c r="Q62" s="38"/>
      <c r="R62" s="38"/>
      <c r="S62" s="38"/>
      <c r="T62" s="38"/>
      <c r="U62" s="38"/>
      <c r="V62" s="769">
        <v>0.0</v>
      </c>
      <c r="W62" s="252">
        <f t="shared" si="18"/>
        <v>0</v>
      </c>
      <c r="X62" s="252">
        <f t="shared" ref="X62:BA62" si="36">IF(AND(X$43-$A62&gt;$V$30,SUM($W62:W62)&lt;&gt;$V62),$V62,0)</f>
        <v>0</v>
      </c>
      <c r="Y62" s="252">
        <f t="shared" si="36"/>
        <v>0</v>
      </c>
      <c r="Z62" s="252">
        <f t="shared" si="36"/>
        <v>0</v>
      </c>
      <c r="AA62" s="252">
        <f t="shared" si="36"/>
        <v>0</v>
      </c>
      <c r="AB62" s="252">
        <f t="shared" si="36"/>
        <v>0</v>
      </c>
      <c r="AC62" s="252">
        <f t="shared" si="36"/>
        <v>0</v>
      </c>
      <c r="AD62" s="252">
        <f t="shared" si="36"/>
        <v>0</v>
      </c>
      <c r="AE62" s="252">
        <f t="shared" si="36"/>
        <v>0</v>
      </c>
      <c r="AF62" s="252">
        <f t="shared" si="36"/>
        <v>0</v>
      </c>
      <c r="AG62" s="252">
        <f t="shared" si="36"/>
        <v>0</v>
      </c>
      <c r="AH62" s="252">
        <f t="shared" si="36"/>
        <v>0</v>
      </c>
      <c r="AI62" s="252">
        <f t="shared" si="36"/>
        <v>0</v>
      </c>
      <c r="AJ62" s="252">
        <f t="shared" si="36"/>
        <v>0</v>
      </c>
      <c r="AK62" s="252">
        <f t="shared" si="36"/>
        <v>0</v>
      </c>
      <c r="AL62" s="252">
        <f t="shared" si="36"/>
        <v>0</v>
      </c>
      <c r="AM62" s="252">
        <f t="shared" si="36"/>
        <v>0</v>
      </c>
      <c r="AN62" s="252">
        <f t="shared" si="36"/>
        <v>0</v>
      </c>
      <c r="AO62" s="252">
        <f t="shared" si="36"/>
        <v>0</v>
      </c>
      <c r="AP62" s="252">
        <f t="shared" si="36"/>
        <v>0</v>
      </c>
      <c r="AQ62" s="252">
        <f t="shared" si="36"/>
        <v>0</v>
      </c>
      <c r="AR62" s="252">
        <f t="shared" si="36"/>
        <v>0</v>
      </c>
      <c r="AS62" s="252">
        <f t="shared" si="36"/>
        <v>0</v>
      </c>
      <c r="AT62" s="252">
        <f t="shared" si="36"/>
        <v>0</v>
      </c>
      <c r="AU62" s="252">
        <f t="shared" si="36"/>
        <v>0</v>
      </c>
      <c r="AV62" s="252">
        <f t="shared" si="36"/>
        <v>0</v>
      </c>
      <c r="AW62" s="252">
        <f t="shared" si="36"/>
        <v>0</v>
      </c>
      <c r="AX62" s="252">
        <f t="shared" si="36"/>
        <v>0</v>
      </c>
      <c r="AY62" s="252">
        <f t="shared" si="36"/>
        <v>0</v>
      </c>
      <c r="AZ62" s="252">
        <f t="shared" si="36"/>
        <v>0</v>
      </c>
      <c r="BA62" s="252">
        <f t="shared" si="36"/>
        <v>0</v>
      </c>
    </row>
    <row r="63" ht="15.75" customHeight="1">
      <c r="A63" s="787">
        <v>1949.0</v>
      </c>
      <c r="B63" s="38"/>
      <c r="C63" s="38"/>
      <c r="D63" s="38"/>
      <c r="E63" s="38"/>
      <c r="F63" s="38"/>
      <c r="G63" s="38"/>
      <c r="H63" s="38"/>
      <c r="I63" s="38"/>
      <c r="J63" s="38"/>
      <c r="K63" s="38"/>
      <c r="L63" s="38"/>
      <c r="M63" s="38"/>
      <c r="N63" s="38"/>
      <c r="O63" s="38"/>
      <c r="P63" s="38"/>
      <c r="Q63" s="38"/>
      <c r="R63" s="38"/>
      <c r="S63" s="38"/>
      <c r="T63" s="38"/>
      <c r="U63" s="38"/>
      <c r="V63" s="769">
        <v>0.0</v>
      </c>
      <c r="W63" s="252">
        <f t="shared" si="18"/>
        <v>0</v>
      </c>
      <c r="X63" s="252">
        <f t="shared" ref="X63:BA63" si="37">IF(AND(X$43-$A63&gt;$V$30,SUM($W63:W63)&lt;&gt;$V63),$V63,0)</f>
        <v>0</v>
      </c>
      <c r="Y63" s="252">
        <f t="shared" si="37"/>
        <v>0</v>
      </c>
      <c r="Z63" s="252">
        <f t="shared" si="37"/>
        <v>0</v>
      </c>
      <c r="AA63" s="252">
        <f t="shared" si="37"/>
        <v>0</v>
      </c>
      <c r="AB63" s="252">
        <f t="shared" si="37"/>
        <v>0</v>
      </c>
      <c r="AC63" s="252">
        <f t="shared" si="37"/>
        <v>0</v>
      </c>
      <c r="AD63" s="252">
        <f t="shared" si="37"/>
        <v>0</v>
      </c>
      <c r="AE63" s="252">
        <f t="shared" si="37"/>
        <v>0</v>
      </c>
      <c r="AF63" s="252">
        <f t="shared" si="37"/>
        <v>0</v>
      </c>
      <c r="AG63" s="252">
        <f t="shared" si="37"/>
        <v>0</v>
      </c>
      <c r="AH63" s="252">
        <f t="shared" si="37"/>
        <v>0</v>
      </c>
      <c r="AI63" s="252">
        <f t="shared" si="37"/>
        <v>0</v>
      </c>
      <c r="AJ63" s="252">
        <f t="shared" si="37"/>
        <v>0</v>
      </c>
      <c r="AK63" s="252">
        <f t="shared" si="37"/>
        <v>0</v>
      </c>
      <c r="AL63" s="252">
        <f t="shared" si="37"/>
        <v>0</v>
      </c>
      <c r="AM63" s="252">
        <f t="shared" si="37"/>
        <v>0</v>
      </c>
      <c r="AN63" s="252">
        <f t="shared" si="37"/>
        <v>0</v>
      </c>
      <c r="AO63" s="252">
        <f t="shared" si="37"/>
        <v>0</v>
      </c>
      <c r="AP63" s="252">
        <f t="shared" si="37"/>
        <v>0</v>
      </c>
      <c r="AQ63" s="252">
        <f t="shared" si="37"/>
        <v>0</v>
      </c>
      <c r="AR63" s="252">
        <f t="shared" si="37"/>
        <v>0</v>
      </c>
      <c r="AS63" s="252">
        <f t="shared" si="37"/>
        <v>0</v>
      </c>
      <c r="AT63" s="252">
        <f t="shared" si="37"/>
        <v>0</v>
      </c>
      <c r="AU63" s="252">
        <f t="shared" si="37"/>
        <v>0</v>
      </c>
      <c r="AV63" s="252">
        <f t="shared" si="37"/>
        <v>0</v>
      </c>
      <c r="AW63" s="252">
        <f t="shared" si="37"/>
        <v>0</v>
      </c>
      <c r="AX63" s="252">
        <f t="shared" si="37"/>
        <v>0</v>
      </c>
      <c r="AY63" s="252">
        <f t="shared" si="37"/>
        <v>0</v>
      </c>
      <c r="AZ63" s="252">
        <f t="shared" si="37"/>
        <v>0</v>
      </c>
      <c r="BA63" s="252">
        <f t="shared" si="37"/>
        <v>0</v>
      </c>
    </row>
    <row r="64" ht="15.75" customHeight="1">
      <c r="A64" s="787">
        <v>1950.0</v>
      </c>
      <c r="B64" s="38"/>
      <c r="C64" s="38"/>
      <c r="D64" s="38"/>
      <c r="E64" s="38"/>
      <c r="F64" s="38"/>
      <c r="G64" s="38"/>
      <c r="H64" s="38"/>
      <c r="I64" s="38"/>
      <c r="J64" s="38"/>
      <c r="K64" s="38"/>
      <c r="L64" s="38"/>
      <c r="M64" s="38"/>
      <c r="N64" s="38"/>
      <c r="O64" s="38"/>
      <c r="P64" s="38"/>
      <c r="Q64" s="38"/>
      <c r="R64" s="38"/>
      <c r="S64" s="38"/>
      <c r="T64" s="38"/>
      <c r="U64" s="38"/>
      <c r="V64" s="769">
        <v>0.0</v>
      </c>
      <c r="W64" s="252">
        <f t="shared" si="18"/>
        <v>0</v>
      </c>
      <c r="X64" s="252">
        <f t="shared" ref="X64:BA64" si="38">IF(AND(X$43-$A64&gt;$V$30,SUM($W64:W64)&lt;&gt;$V64),$V64,0)</f>
        <v>0</v>
      </c>
      <c r="Y64" s="252">
        <f t="shared" si="38"/>
        <v>0</v>
      </c>
      <c r="Z64" s="252">
        <f t="shared" si="38"/>
        <v>0</v>
      </c>
      <c r="AA64" s="252">
        <f t="shared" si="38"/>
        <v>0</v>
      </c>
      <c r="AB64" s="252">
        <f t="shared" si="38"/>
        <v>0</v>
      </c>
      <c r="AC64" s="252">
        <f t="shared" si="38"/>
        <v>0</v>
      </c>
      <c r="AD64" s="252">
        <f t="shared" si="38"/>
        <v>0</v>
      </c>
      <c r="AE64" s="252">
        <f t="shared" si="38"/>
        <v>0</v>
      </c>
      <c r="AF64" s="252">
        <f t="shared" si="38"/>
        <v>0</v>
      </c>
      <c r="AG64" s="252">
        <f t="shared" si="38"/>
        <v>0</v>
      </c>
      <c r="AH64" s="252">
        <f t="shared" si="38"/>
        <v>0</v>
      </c>
      <c r="AI64" s="252">
        <f t="shared" si="38"/>
        <v>0</v>
      </c>
      <c r="AJ64" s="252">
        <f t="shared" si="38"/>
        <v>0</v>
      </c>
      <c r="AK64" s="252">
        <f t="shared" si="38"/>
        <v>0</v>
      </c>
      <c r="AL64" s="252">
        <f t="shared" si="38"/>
        <v>0</v>
      </c>
      <c r="AM64" s="252">
        <f t="shared" si="38"/>
        <v>0</v>
      </c>
      <c r="AN64" s="252">
        <f t="shared" si="38"/>
        <v>0</v>
      </c>
      <c r="AO64" s="252">
        <f t="shared" si="38"/>
        <v>0</v>
      </c>
      <c r="AP64" s="252">
        <f t="shared" si="38"/>
        <v>0</v>
      </c>
      <c r="AQ64" s="252">
        <f t="shared" si="38"/>
        <v>0</v>
      </c>
      <c r="AR64" s="252">
        <f t="shared" si="38"/>
        <v>0</v>
      </c>
      <c r="AS64" s="252">
        <f t="shared" si="38"/>
        <v>0</v>
      </c>
      <c r="AT64" s="252">
        <f t="shared" si="38"/>
        <v>0</v>
      </c>
      <c r="AU64" s="252">
        <f t="shared" si="38"/>
        <v>0</v>
      </c>
      <c r="AV64" s="252">
        <f t="shared" si="38"/>
        <v>0</v>
      </c>
      <c r="AW64" s="252">
        <f t="shared" si="38"/>
        <v>0</v>
      </c>
      <c r="AX64" s="252">
        <f t="shared" si="38"/>
        <v>0</v>
      </c>
      <c r="AY64" s="252">
        <f t="shared" si="38"/>
        <v>0</v>
      </c>
      <c r="AZ64" s="252">
        <f t="shared" si="38"/>
        <v>0</v>
      </c>
      <c r="BA64" s="252">
        <f t="shared" si="38"/>
        <v>0</v>
      </c>
    </row>
    <row r="65" ht="15.75" customHeight="1">
      <c r="A65" s="787">
        <v>1951.0</v>
      </c>
      <c r="B65" s="38"/>
      <c r="C65" s="38"/>
      <c r="D65" s="38"/>
      <c r="E65" s="38"/>
      <c r="F65" s="38"/>
      <c r="G65" s="38"/>
      <c r="H65" s="38"/>
      <c r="I65" s="38"/>
      <c r="J65" s="38"/>
      <c r="K65" s="38"/>
      <c r="L65" s="38"/>
      <c r="M65" s="38"/>
      <c r="N65" s="38"/>
      <c r="O65" s="38"/>
      <c r="P65" s="38"/>
      <c r="Q65" s="38"/>
      <c r="R65" s="38"/>
      <c r="S65" s="38"/>
      <c r="T65" s="38"/>
      <c r="U65" s="38"/>
      <c r="V65" s="769">
        <v>0.0</v>
      </c>
      <c r="W65" s="252">
        <f t="shared" si="18"/>
        <v>0</v>
      </c>
      <c r="X65" s="252">
        <f t="shared" ref="X65:BA65" si="39">IF(AND(X$43-$A65&gt;$V$30,SUM($W65:W65)&lt;&gt;$V65),$V65,0)</f>
        <v>0</v>
      </c>
      <c r="Y65" s="252">
        <f t="shared" si="39"/>
        <v>0</v>
      </c>
      <c r="Z65" s="252">
        <f t="shared" si="39"/>
        <v>0</v>
      </c>
      <c r="AA65" s="252">
        <f t="shared" si="39"/>
        <v>0</v>
      </c>
      <c r="AB65" s="252">
        <f t="shared" si="39"/>
        <v>0</v>
      </c>
      <c r="AC65" s="252">
        <f t="shared" si="39"/>
        <v>0</v>
      </c>
      <c r="AD65" s="252">
        <f t="shared" si="39"/>
        <v>0</v>
      </c>
      <c r="AE65" s="252">
        <f t="shared" si="39"/>
        <v>0</v>
      </c>
      <c r="AF65" s="252">
        <f t="shared" si="39"/>
        <v>0</v>
      </c>
      <c r="AG65" s="252">
        <f t="shared" si="39"/>
        <v>0</v>
      </c>
      <c r="AH65" s="252">
        <f t="shared" si="39"/>
        <v>0</v>
      </c>
      <c r="AI65" s="252">
        <f t="shared" si="39"/>
        <v>0</v>
      </c>
      <c r="AJ65" s="252">
        <f t="shared" si="39"/>
        <v>0</v>
      </c>
      <c r="AK65" s="252">
        <f t="shared" si="39"/>
        <v>0</v>
      </c>
      <c r="AL65" s="252">
        <f t="shared" si="39"/>
        <v>0</v>
      </c>
      <c r="AM65" s="252">
        <f t="shared" si="39"/>
        <v>0</v>
      </c>
      <c r="AN65" s="252">
        <f t="shared" si="39"/>
        <v>0</v>
      </c>
      <c r="AO65" s="252">
        <f t="shared" si="39"/>
        <v>0</v>
      </c>
      <c r="AP65" s="252">
        <f t="shared" si="39"/>
        <v>0</v>
      </c>
      <c r="AQ65" s="252">
        <f t="shared" si="39"/>
        <v>0</v>
      </c>
      <c r="AR65" s="252">
        <f t="shared" si="39"/>
        <v>0</v>
      </c>
      <c r="AS65" s="252">
        <f t="shared" si="39"/>
        <v>0</v>
      </c>
      <c r="AT65" s="252">
        <f t="shared" si="39"/>
        <v>0</v>
      </c>
      <c r="AU65" s="252">
        <f t="shared" si="39"/>
        <v>0</v>
      </c>
      <c r="AV65" s="252">
        <f t="shared" si="39"/>
        <v>0</v>
      </c>
      <c r="AW65" s="252">
        <f t="shared" si="39"/>
        <v>0</v>
      </c>
      <c r="AX65" s="252">
        <f t="shared" si="39"/>
        <v>0</v>
      </c>
      <c r="AY65" s="252">
        <f t="shared" si="39"/>
        <v>0</v>
      </c>
      <c r="AZ65" s="252">
        <f t="shared" si="39"/>
        <v>0</v>
      </c>
      <c r="BA65" s="252">
        <f t="shared" si="39"/>
        <v>0</v>
      </c>
    </row>
    <row r="66" ht="15.75" customHeight="1">
      <c r="A66" s="787">
        <v>1952.0</v>
      </c>
      <c r="B66" s="38"/>
      <c r="C66" s="38"/>
      <c r="D66" s="38"/>
      <c r="E66" s="38"/>
      <c r="F66" s="38"/>
      <c r="G66" s="38"/>
      <c r="H66" s="38"/>
      <c r="I66" s="38"/>
      <c r="J66" s="38"/>
      <c r="K66" s="38"/>
      <c r="L66" s="38"/>
      <c r="M66" s="38"/>
      <c r="N66" s="38"/>
      <c r="O66" s="38"/>
      <c r="P66" s="38"/>
      <c r="Q66" s="38"/>
      <c r="R66" s="38"/>
      <c r="S66" s="38"/>
      <c r="T66" s="38"/>
      <c r="U66" s="38"/>
      <c r="V66" s="769">
        <v>0.0</v>
      </c>
      <c r="W66" s="252">
        <f t="shared" si="18"/>
        <v>0</v>
      </c>
      <c r="X66" s="252">
        <f t="shared" ref="X66:BA66" si="40">IF(AND(X$43-$A66&gt;$V$30,SUM($W66:W66)&lt;&gt;$V66),$V66,0)</f>
        <v>0</v>
      </c>
      <c r="Y66" s="252">
        <f t="shared" si="40"/>
        <v>0</v>
      </c>
      <c r="Z66" s="252">
        <f t="shared" si="40"/>
        <v>0</v>
      </c>
      <c r="AA66" s="252">
        <f t="shared" si="40"/>
        <v>0</v>
      </c>
      <c r="AB66" s="252">
        <f t="shared" si="40"/>
        <v>0</v>
      </c>
      <c r="AC66" s="252">
        <f t="shared" si="40"/>
        <v>0</v>
      </c>
      <c r="AD66" s="252">
        <f t="shared" si="40"/>
        <v>0</v>
      </c>
      <c r="AE66" s="252">
        <f t="shared" si="40"/>
        <v>0</v>
      </c>
      <c r="AF66" s="252">
        <f t="shared" si="40"/>
        <v>0</v>
      </c>
      <c r="AG66" s="252">
        <f t="shared" si="40"/>
        <v>0</v>
      </c>
      <c r="AH66" s="252">
        <f t="shared" si="40"/>
        <v>0</v>
      </c>
      <c r="AI66" s="252">
        <f t="shared" si="40"/>
        <v>0</v>
      </c>
      <c r="AJ66" s="252">
        <f t="shared" si="40"/>
        <v>0</v>
      </c>
      <c r="AK66" s="252">
        <f t="shared" si="40"/>
        <v>0</v>
      </c>
      <c r="AL66" s="252">
        <f t="shared" si="40"/>
        <v>0</v>
      </c>
      <c r="AM66" s="252">
        <f t="shared" si="40"/>
        <v>0</v>
      </c>
      <c r="AN66" s="252">
        <f t="shared" si="40"/>
        <v>0</v>
      </c>
      <c r="AO66" s="252">
        <f t="shared" si="40"/>
        <v>0</v>
      </c>
      <c r="AP66" s="252">
        <f t="shared" si="40"/>
        <v>0</v>
      </c>
      <c r="AQ66" s="252">
        <f t="shared" si="40"/>
        <v>0</v>
      </c>
      <c r="AR66" s="252">
        <f t="shared" si="40"/>
        <v>0</v>
      </c>
      <c r="AS66" s="252">
        <f t="shared" si="40"/>
        <v>0</v>
      </c>
      <c r="AT66" s="252">
        <f t="shared" si="40"/>
        <v>0</v>
      </c>
      <c r="AU66" s="252">
        <f t="shared" si="40"/>
        <v>0</v>
      </c>
      <c r="AV66" s="252">
        <f t="shared" si="40"/>
        <v>0</v>
      </c>
      <c r="AW66" s="252">
        <f t="shared" si="40"/>
        <v>0</v>
      </c>
      <c r="AX66" s="252">
        <f t="shared" si="40"/>
        <v>0</v>
      </c>
      <c r="AY66" s="252">
        <f t="shared" si="40"/>
        <v>0</v>
      </c>
      <c r="AZ66" s="252">
        <f t="shared" si="40"/>
        <v>0</v>
      </c>
      <c r="BA66" s="252">
        <f t="shared" si="40"/>
        <v>0</v>
      </c>
    </row>
    <row r="67" ht="15.75" customHeight="1">
      <c r="A67" s="787">
        <v>1953.0</v>
      </c>
      <c r="B67" s="38"/>
      <c r="C67" s="38"/>
      <c r="D67" s="38"/>
      <c r="E67" s="38"/>
      <c r="F67" s="38"/>
      <c r="G67" s="38"/>
      <c r="H67" s="38"/>
      <c r="I67" s="38"/>
      <c r="J67" s="38"/>
      <c r="K67" s="38"/>
      <c r="L67" s="38"/>
      <c r="M67" s="38"/>
      <c r="N67" s="38"/>
      <c r="O67" s="38"/>
      <c r="P67" s="38"/>
      <c r="Q67" s="38"/>
      <c r="R67" s="38"/>
      <c r="S67" s="38"/>
      <c r="T67" s="38"/>
      <c r="U67" s="38"/>
      <c r="V67" s="769">
        <v>0.0</v>
      </c>
      <c r="W67" s="252">
        <f t="shared" si="18"/>
        <v>0</v>
      </c>
      <c r="X67" s="252">
        <f t="shared" ref="X67:BA67" si="41">IF(AND(X$43-$A67&gt;$V$30,SUM($W67:W67)&lt;&gt;$V67),$V67,0)</f>
        <v>0</v>
      </c>
      <c r="Y67" s="252">
        <f t="shared" si="41"/>
        <v>0</v>
      </c>
      <c r="Z67" s="252">
        <f t="shared" si="41"/>
        <v>0</v>
      </c>
      <c r="AA67" s="252">
        <f t="shared" si="41"/>
        <v>0</v>
      </c>
      <c r="AB67" s="252">
        <f t="shared" si="41"/>
        <v>0</v>
      </c>
      <c r="AC67" s="252">
        <f t="shared" si="41"/>
        <v>0</v>
      </c>
      <c r="AD67" s="252">
        <f t="shared" si="41"/>
        <v>0</v>
      </c>
      <c r="AE67" s="252">
        <f t="shared" si="41"/>
        <v>0</v>
      </c>
      <c r="AF67" s="252">
        <f t="shared" si="41"/>
        <v>0</v>
      </c>
      <c r="AG67" s="252">
        <f t="shared" si="41"/>
        <v>0</v>
      </c>
      <c r="AH67" s="252">
        <f t="shared" si="41"/>
        <v>0</v>
      </c>
      <c r="AI67" s="252">
        <f t="shared" si="41"/>
        <v>0</v>
      </c>
      <c r="AJ67" s="252">
        <f t="shared" si="41"/>
        <v>0</v>
      </c>
      <c r="AK67" s="252">
        <f t="shared" si="41"/>
        <v>0</v>
      </c>
      <c r="AL67" s="252">
        <f t="shared" si="41"/>
        <v>0</v>
      </c>
      <c r="AM67" s="252">
        <f t="shared" si="41"/>
        <v>0</v>
      </c>
      <c r="AN67" s="252">
        <f t="shared" si="41"/>
        <v>0</v>
      </c>
      <c r="AO67" s="252">
        <f t="shared" si="41"/>
        <v>0</v>
      </c>
      <c r="AP67" s="252">
        <f t="shared" si="41"/>
        <v>0</v>
      </c>
      <c r="AQ67" s="252">
        <f t="shared" si="41"/>
        <v>0</v>
      </c>
      <c r="AR67" s="252">
        <f t="shared" si="41"/>
        <v>0</v>
      </c>
      <c r="AS67" s="252">
        <f t="shared" si="41"/>
        <v>0</v>
      </c>
      <c r="AT67" s="252">
        <f t="shared" si="41"/>
        <v>0</v>
      </c>
      <c r="AU67" s="252">
        <f t="shared" si="41"/>
        <v>0</v>
      </c>
      <c r="AV67" s="252">
        <f t="shared" si="41"/>
        <v>0</v>
      </c>
      <c r="AW67" s="252">
        <f t="shared" si="41"/>
        <v>0</v>
      </c>
      <c r="AX67" s="252">
        <f t="shared" si="41"/>
        <v>0</v>
      </c>
      <c r="AY67" s="252">
        <f t="shared" si="41"/>
        <v>0</v>
      </c>
      <c r="AZ67" s="252">
        <f t="shared" si="41"/>
        <v>0</v>
      </c>
      <c r="BA67" s="252">
        <f t="shared" si="41"/>
        <v>0</v>
      </c>
    </row>
    <row r="68" ht="15.75" customHeight="1">
      <c r="A68" s="787">
        <v>1954.0</v>
      </c>
      <c r="B68" s="38"/>
      <c r="C68" s="38"/>
      <c r="D68" s="38"/>
      <c r="E68" s="38"/>
      <c r="F68" s="38"/>
      <c r="G68" s="38"/>
      <c r="H68" s="38"/>
      <c r="I68" s="38"/>
      <c r="J68" s="38"/>
      <c r="K68" s="38"/>
      <c r="L68" s="38"/>
      <c r="M68" s="38"/>
      <c r="N68" s="38"/>
      <c r="O68" s="38"/>
      <c r="P68" s="38"/>
      <c r="Q68" s="38"/>
      <c r="R68" s="38"/>
      <c r="S68" s="38"/>
      <c r="T68" s="38"/>
      <c r="U68" s="38"/>
      <c r="V68" s="769">
        <v>0.0</v>
      </c>
      <c r="W68" s="252">
        <f t="shared" si="18"/>
        <v>0</v>
      </c>
      <c r="X68" s="252">
        <f t="shared" ref="X68:BA68" si="42">IF(AND(X$43-$A68&gt;$V$30,SUM($W68:W68)&lt;&gt;$V68),$V68,0)</f>
        <v>0</v>
      </c>
      <c r="Y68" s="252">
        <f t="shared" si="42"/>
        <v>0</v>
      </c>
      <c r="Z68" s="252">
        <f t="shared" si="42"/>
        <v>0</v>
      </c>
      <c r="AA68" s="252">
        <f t="shared" si="42"/>
        <v>0</v>
      </c>
      <c r="AB68" s="252">
        <f t="shared" si="42"/>
        <v>0</v>
      </c>
      <c r="AC68" s="252">
        <f t="shared" si="42"/>
        <v>0</v>
      </c>
      <c r="AD68" s="252">
        <f t="shared" si="42"/>
        <v>0</v>
      </c>
      <c r="AE68" s="252">
        <f t="shared" si="42"/>
        <v>0</v>
      </c>
      <c r="AF68" s="252">
        <f t="shared" si="42"/>
        <v>0</v>
      </c>
      <c r="AG68" s="252">
        <f t="shared" si="42"/>
        <v>0</v>
      </c>
      <c r="AH68" s="252">
        <f t="shared" si="42"/>
        <v>0</v>
      </c>
      <c r="AI68" s="252">
        <f t="shared" si="42"/>
        <v>0</v>
      </c>
      <c r="AJ68" s="252">
        <f t="shared" si="42"/>
        <v>0</v>
      </c>
      <c r="AK68" s="252">
        <f t="shared" si="42"/>
        <v>0</v>
      </c>
      <c r="AL68" s="252">
        <f t="shared" si="42"/>
        <v>0</v>
      </c>
      <c r="AM68" s="252">
        <f t="shared" si="42"/>
        <v>0</v>
      </c>
      <c r="AN68" s="252">
        <f t="shared" si="42"/>
        <v>0</v>
      </c>
      <c r="AO68" s="252">
        <f t="shared" si="42"/>
        <v>0</v>
      </c>
      <c r="AP68" s="252">
        <f t="shared" si="42"/>
        <v>0</v>
      </c>
      <c r="AQ68" s="252">
        <f t="shared" si="42"/>
        <v>0</v>
      </c>
      <c r="AR68" s="252">
        <f t="shared" si="42"/>
        <v>0</v>
      </c>
      <c r="AS68" s="252">
        <f t="shared" si="42"/>
        <v>0</v>
      </c>
      <c r="AT68" s="252">
        <f t="shared" si="42"/>
        <v>0</v>
      </c>
      <c r="AU68" s="252">
        <f t="shared" si="42"/>
        <v>0</v>
      </c>
      <c r="AV68" s="252">
        <f t="shared" si="42"/>
        <v>0</v>
      </c>
      <c r="AW68" s="252">
        <f t="shared" si="42"/>
        <v>0</v>
      </c>
      <c r="AX68" s="252">
        <f t="shared" si="42"/>
        <v>0</v>
      </c>
      <c r="AY68" s="252">
        <f t="shared" si="42"/>
        <v>0</v>
      </c>
      <c r="AZ68" s="252">
        <f t="shared" si="42"/>
        <v>0</v>
      </c>
      <c r="BA68" s="252">
        <f t="shared" si="42"/>
        <v>0</v>
      </c>
    </row>
    <row r="69" ht="15.75" customHeight="1">
      <c r="A69" s="787">
        <v>1955.0</v>
      </c>
      <c r="B69" s="38"/>
      <c r="C69" s="38"/>
      <c r="D69" s="38"/>
      <c r="E69" s="38"/>
      <c r="F69" s="38"/>
      <c r="G69" s="38"/>
      <c r="H69" s="38"/>
      <c r="I69" s="38"/>
      <c r="J69" s="38"/>
      <c r="K69" s="38"/>
      <c r="L69" s="38"/>
      <c r="M69" s="38"/>
      <c r="N69" s="38"/>
      <c r="O69" s="38"/>
      <c r="P69" s="38"/>
      <c r="Q69" s="38"/>
      <c r="R69" s="38"/>
      <c r="S69" s="38"/>
      <c r="T69" s="38"/>
      <c r="U69" s="38"/>
      <c r="V69" s="769">
        <v>0.0</v>
      </c>
      <c r="W69" s="252">
        <f t="shared" si="18"/>
        <v>0</v>
      </c>
      <c r="X69" s="252">
        <f t="shared" ref="X69:BA69" si="43">IF(AND(X$43-$A69&gt;$V$30,SUM($W69:W69)&lt;&gt;$V69),$V69,0)</f>
        <v>0</v>
      </c>
      <c r="Y69" s="252">
        <f t="shared" si="43"/>
        <v>0</v>
      </c>
      <c r="Z69" s="252">
        <f t="shared" si="43"/>
        <v>0</v>
      </c>
      <c r="AA69" s="252">
        <f t="shared" si="43"/>
        <v>0</v>
      </c>
      <c r="AB69" s="252">
        <f t="shared" si="43"/>
        <v>0</v>
      </c>
      <c r="AC69" s="252">
        <f t="shared" si="43"/>
        <v>0</v>
      </c>
      <c r="AD69" s="252">
        <f t="shared" si="43"/>
        <v>0</v>
      </c>
      <c r="AE69" s="252">
        <f t="shared" si="43"/>
        <v>0</v>
      </c>
      <c r="AF69" s="252">
        <f t="shared" si="43"/>
        <v>0</v>
      </c>
      <c r="AG69" s="252">
        <f t="shared" si="43"/>
        <v>0</v>
      </c>
      <c r="AH69" s="252">
        <f t="shared" si="43"/>
        <v>0</v>
      </c>
      <c r="AI69" s="252">
        <f t="shared" si="43"/>
        <v>0</v>
      </c>
      <c r="AJ69" s="252">
        <f t="shared" si="43"/>
        <v>0</v>
      </c>
      <c r="AK69" s="252">
        <f t="shared" si="43"/>
        <v>0</v>
      </c>
      <c r="AL69" s="252">
        <f t="shared" si="43"/>
        <v>0</v>
      </c>
      <c r="AM69" s="252">
        <f t="shared" si="43"/>
        <v>0</v>
      </c>
      <c r="AN69" s="252">
        <f t="shared" si="43"/>
        <v>0</v>
      </c>
      <c r="AO69" s="252">
        <f t="shared" si="43"/>
        <v>0</v>
      </c>
      <c r="AP69" s="252">
        <f t="shared" si="43"/>
        <v>0</v>
      </c>
      <c r="AQ69" s="252">
        <f t="shared" si="43"/>
        <v>0</v>
      </c>
      <c r="AR69" s="252">
        <f t="shared" si="43"/>
        <v>0</v>
      </c>
      <c r="AS69" s="252">
        <f t="shared" si="43"/>
        <v>0</v>
      </c>
      <c r="AT69" s="252">
        <f t="shared" si="43"/>
        <v>0</v>
      </c>
      <c r="AU69" s="252">
        <f t="shared" si="43"/>
        <v>0</v>
      </c>
      <c r="AV69" s="252">
        <f t="shared" si="43"/>
        <v>0</v>
      </c>
      <c r="AW69" s="252">
        <f t="shared" si="43"/>
        <v>0</v>
      </c>
      <c r="AX69" s="252">
        <f t="shared" si="43"/>
        <v>0</v>
      </c>
      <c r="AY69" s="252">
        <f t="shared" si="43"/>
        <v>0</v>
      </c>
      <c r="AZ69" s="252">
        <f t="shared" si="43"/>
        <v>0</v>
      </c>
      <c r="BA69" s="252">
        <f t="shared" si="43"/>
        <v>0</v>
      </c>
    </row>
    <row r="70" ht="15.75" customHeight="1">
      <c r="A70" s="787">
        <v>1956.0</v>
      </c>
      <c r="B70" s="38"/>
      <c r="C70" s="38"/>
      <c r="D70" s="38"/>
      <c r="E70" s="38"/>
      <c r="F70" s="38"/>
      <c r="G70" s="38"/>
      <c r="H70" s="38"/>
      <c r="I70" s="38"/>
      <c r="J70" s="38"/>
      <c r="K70" s="38"/>
      <c r="L70" s="38"/>
      <c r="M70" s="38"/>
      <c r="N70" s="38"/>
      <c r="O70" s="38"/>
      <c r="P70" s="38"/>
      <c r="Q70" s="38"/>
      <c r="R70" s="38"/>
      <c r="S70" s="38"/>
      <c r="T70" s="38"/>
      <c r="U70" s="38"/>
      <c r="V70" s="769">
        <v>0.0</v>
      </c>
      <c r="W70" s="252">
        <f t="shared" si="18"/>
        <v>0</v>
      </c>
      <c r="X70" s="252">
        <f t="shared" ref="X70:BA70" si="44">IF(AND(X$43-$A70&gt;$V$30,SUM($W70:W70)&lt;&gt;$V70),$V70,0)</f>
        <v>0</v>
      </c>
      <c r="Y70" s="252">
        <f t="shared" si="44"/>
        <v>0</v>
      </c>
      <c r="Z70" s="252">
        <f t="shared" si="44"/>
        <v>0</v>
      </c>
      <c r="AA70" s="252">
        <f t="shared" si="44"/>
        <v>0</v>
      </c>
      <c r="AB70" s="252">
        <f t="shared" si="44"/>
        <v>0</v>
      </c>
      <c r="AC70" s="252">
        <f t="shared" si="44"/>
        <v>0</v>
      </c>
      <c r="AD70" s="252">
        <f t="shared" si="44"/>
        <v>0</v>
      </c>
      <c r="AE70" s="252">
        <f t="shared" si="44"/>
        <v>0</v>
      </c>
      <c r="AF70" s="252">
        <f t="shared" si="44"/>
        <v>0</v>
      </c>
      <c r="AG70" s="252">
        <f t="shared" si="44"/>
        <v>0</v>
      </c>
      <c r="AH70" s="252">
        <f t="shared" si="44"/>
        <v>0</v>
      </c>
      <c r="AI70" s="252">
        <f t="shared" si="44"/>
        <v>0</v>
      </c>
      <c r="AJ70" s="252">
        <f t="shared" si="44"/>
        <v>0</v>
      </c>
      <c r="AK70" s="252">
        <f t="shared" si="44"/>
        <v>0</v>
      </c>
      <c r="AL70" s="252">
        <f t="shared" si="44"/>
        <v>0</v>
      </c>
      <c r="AM70" s="252">
        <f t="shared" si="44"/>
        <v>0</v>
      </c>
      <c r="AN70" s="252">
        <f t="shared" si="44"/>
        <v>0</v>
      </c>
      <c r="AO70" s="252">
        <f t="shared" si="44"/>
        <v>0</v>
      </c>
      <c r="AP70" s="252">
        <f t="shared" si="44"/>
        <v>0</v>
      </c>
      <c r="AQ70" s="252">
        <f t="shared" si="44"/>
        <v>0</v>
      </c>
      <c r="AR70" s="252">
        <f t="shared" si="44"/>
        <v>0</v>
      </c>
      <c r="AS70" s="252">
        <f t="shared" si="44"/>
        <v>0</v>
      </c>
      <c r="AT70" s="252">
        <f t="shared" si="44"/>
        <v>0</v>
      </c>
      <c r="AU70" s="252">
        <f t="shared" si="44"/>
        <v>0</v>
      </c>
      <c r="AV70" s="252">
        <f t="shared" si="44"/>
        <v>0</v>
      </c>
      <c r="AW70" s="252">
        <f t="shared" si="44"/>
        <v>0</v>
      </c>
      <c r="AX70" s="252">
        <f t="shared" si="44"/>
        <v>0</v>
      </c>
      <c r="AY70" s="252">
        <f t="shared" si="44"/>
        <v>0</v>
      </c>
      <c r="AZ70" s="252">
        <f t="shared" si="44"/>
        <v>0</v>
      </c>
      <c r="BA70" s="252">
        <f t="shared" si="44"/>
        <v>0</v>
      </c>
    </row>
    <row r="71" ht="15.75" customHeight="1">
      <c r="A71" s="787">
        <v>1957.0</v>
      </c>
      <c r="B71" s="38"/>
      <c r="C71" s="38"/>
      <c r="D71" s="38"/>
      <c r="E71" s="38"/>
      <c r="F71" s="38"/>
      <c r="G71" s="38"/>
      <c r="H71" s="38"/>
      <c r="I71" s="38"/>
      <c r="J71" s="38"/>
      <c r="K71" s="38"/>
      <c r="L71" s="38"/>
      <c r="M71" s="38"/>
      <c r="N71" s="38"/>
      <c r="O71" s="38"/>
      <c r="P71" s="38"/>
      <c r="Q71" s="38"/>
      <c r="R71" s="38"/>
      <c r="S71" s="38"/>
      <c r="T71" s="38"/>
      <c r="U71" s="38"/>
      <c r="V71" s="769">
        <v>0.0</v>
      </c>
      <c r="W71" s="252">
        <f t="shared" si="18"/>
        <v>0</v>
      </c>
      <c r="X71" s="252">
        <f t="shared" ref="X71:BA71" si="45">IF(AND(X$43-$A71&gt;$V$30,SUM($W71:W71)&lt;&gt;$V71),$V71,0)</f>
        <v>0</v>
      </c>
      <c r="Y71" s="252">
        <f t="shared" si="45"/>
        <v>0</v>
      </c>
      <c r="Z71" s="252">
        <f t="shared" si="45"/>
        <v>0</v>
      </c>
      <c r="AA71" s="252">
        <f t="shared" si="45"/>
        <v>0</v>
      </c>
      <c r="AB71" s="252">
        <f t="shared" si="45"/>
        <v>0</v>
      </c>
      <c r="AC71" s="252">
        <f t="shared" si="45"/>
        <v>0</v>
      </c>
      <c r="AD71" s="252">
        <f t="shared" si="45"/>
        <v>0</v>
      </c>
      <c r="AE71" s="252">
        <f t="shared" si="45"/>
        <v>0</v>
      </c>
      <c r="AF71" s="252">
        <f t="shared" si="45"/>
        <v>0</v>
      </c>
      <c r="AG71" s="252">
        <f t="shared" si="45"/>
        <v>0</v>
      </c>
      <c r="AH71" s="252">
        <f t="shared" si="45"/>
        <v>0</v>
      </c>
      <c r="AI71" s="252">
        <f t="shared" si="45"/>
        <v>0</v>
      </c>
      <c r="AJ71" s="252">
        <f t="shared" si="45"/>
        <v>0</v>
      </c>
      <c r="AK71" s="252">
        <f t="shared" si="45"/>
        <v>0</v>
      </c>
      <c r="AL71" s="252">
        <f t="shared" si="45"/>
        <v>0</v>
      </c>
      <c r="AM71" s="252">
        <f t="shared" si="45"/>
        <v>0</v>
      </c>
      <c r="AN71" s="252">
        <f t="shared" si="45"/>
        <v>0</v>
      </c>
      <c r="AO71" s="252">
        <f t="shared" si="45"/>
        <v>0</v>
      </c>
      <c r="AP71" s="252">
        <f t="shared" si="45"/>
        <v>0</v>
      </c>
      <c r="AQ71" s="252">
        <f t="shared" si="45"/>
        <v>0</v>
      </c>
      <c r="AR71" s="252">
        <f t="shared" si="45"/>
        <v>0</v>
      </c>
      <c r="AS71" s="252">
        <f t="shared" si="45"/>
        <v>0</v>
      </c>
      <c r="AT71" s="252">
        <f t="shared" si="45"/>
        <v>0</v>
      </c>
      <c r="AU71" s="252">
        <f t="shared" si="45"/>
        <v>0</v>
      </c>
      <c r="AV71" s="252">
        <f t="shared" si="45"/>
        <v>0</v>
      </c>
      <c r="AW71" s="252">
        <f t="shared" si="45"/>
        <v>0</v>
      </c>
      <c r="AX71" s="252">
        <f t="shared" si="45"/>
        <v>0</v>
      </c>
      <c r="AY71" s="252">
        <f t="shared" si="45"/>
        <v>0</v>
      </c>
      <c r="AZ71" s="252">
        <f t="shared" si="45"/>
        <v>0</v>
      </c>
      <c r="BA71" s="252">
        <f t="shared" si="45"/>
        <v>0</v>
      </c>
    </row>
    <row r="72" ht="15.75" customHeight="1">
      <c r="A72" s="787">
        <v>1958.0</v>
      </c>
      <c r="B72" s="38"/>
      <c r="C72" s="38"/>
      <c r="D72" s="38"/>
      <c r="E72" s="38"/>
      <c r="F72" s="38"/>
      <c r="G72" s="38"/>
      <c r="H72" s="38"/>
      <c r="I72" s="38"/>
      <c r="J72" s="38"/>
      <c r="K72" s="38"/>
      <c r="L72" s="38"/>
      <c r="M72" s="38"/>
      <c r="N72" s="38"/>
      <c r="O72" s="38"/>
      <c r="P72" s="38"/>
      <c r="Q72" s="38"/>
      <c r="R72" s="38"/>
      <c r="S72" s="38"/>
      <c r="T72" s="38"/>
      <c r="U72" s="38"/>
      <c r="V72" s="769">
        <v>0.0</v>
      </c>
      <c r="W72" s="252">
        <f t="shared" si="18"/>
        <v>0</v>
      </c>
      <c r="X72" s="252">
        <f t="shared" ref="X72:BA72" si="46">IF(AND(X$43-$A72&gt;$V$30,SUM($W72:W72)&lt;&gt;$V72),$V72,0)</f>
        <v>0</v>
      </c>
      <c r="Y72" s="252">
        <f t="shared" si="46"/>
        <v>0</v>
      </c>
      <c r="Z72" s="252">
        <f t="shared" si="46"/>
        <v>0</v>
      </c>
      <c r="AA72" s="252">
        <f t="shared" si="46"/>
        <v>0</v>
      </c>
      <c r="AB72" s="252">
        <f t="shared" si="46"/>
        <v>0</v>
      </c>
      <c r="AC72" s="252">
        <f t="shared" si="46"/>
        <v>0</v>
      </c>
      <c r="AD72" s="252">
        <f t="shared" si="46"/>
        <v>0</v>
      </c>
      <c r="AE72" s="252">
        <f t="shared" si="46"/>
        <v>0</v>
      </c>
      <c r="AF72" s="252">
        <f t="shared" si="46"/>
        <v>0</v>
      </c>
      <c r="AG72" s="252">
        <f t="shared" si="46"/>
        <v>0</v>
      </c>
      <c r="AH72" s="252">
        <f t="shared" si="46"/>
        <v>0</v>
      </c>
      <c r="AI72" s="252">
        <f t="shared" si="46"/>
        <v>0</v>
      </c>
      <c r="AJ72" s="252">
        <f t="shared" si="46"/>
        <v>0</v>
      </c>
      <c r="AK72" s="252">
        <f t="shared" si="46"/>
        <v>0</v>
      </c>
      <c r="AL72" s="252">
        <f t="shared" si="46"/>
        <v>0</v>
      </c>
      <c r="AM72" s="252">
        <f t="shared" si="46"/>
        <v>0</v>
      </c>
      <c r="AN72" s="252">
        <f t="shared" si="46"/>
        <v>0</v>
      </c>
      <c r="AO72" s="252">
        <f t="shared" si="46"/>
        <v>0</v>
      </c>
      <c r="AP72" s="252">
        <f t="shared" si="46"/>
        <v>0</v>
      </c>
      <c r="AQ72" s="252">
        <f t="shared" si="46"/>
        <v>0</v>
      </c>
      <c r="AR72" s="252">
        <f t="shared" si="46"/>
        <v>0</v>
      </c>
      <c r="AS72" s="252">
        <f t="shared" si="46"/>
        <v>0</v>
      </c>
      <c r="AT72" s="252">
        <f t="shared" si="46"/>
        <v>0</v>
      </c>
      <c r="AU72" s="252">
        <f t="shared" si="46"/>
        <v>0</v>
      </c>
      <c r="AV72" s="252">
        <f t="shared" si="46"/>
        <v>0</v>
      </c>
      <c r="AW72" s="252">
        <f t="shared" si="46"/>
        <v>0</v>
      </c>
      <c r="AX72" s="252">
        <f t="shared" si="46"/>
        <v>0</v>
      </c>
      <c r="AY72" s="252">
        <f t="shared" si="46"/>
        <v>0</v>
      </c>
      <c r="AZ72" s="252">
        <f t="shared" si="46"/>
        <v>0</v>
      </c>
      <c r="BA72" s="252">
        <f t="shared" si="46"/>
        <v>0</v>
      </c>
    </row>
    <row r="73" ht="15.75" customHeight="1">
      <c r="A73" s="787">
        <v>1959.0</v>
      </c>
      <c r="B73" s="38"/>
      <c r="C73" s="38"/>
      <c r="D73" s="38"/>
      <c r="E73" s="38"/>
      <c r="F73" s="38"/>
      <c r="G73" s="38"/>
      <c r="H73" s="38"/>
      <c r="I73" s="38"/>
      <c r="J73" s="38"/>
      <c r="K73" s="38"/>
      <c r="L73" s="38"/>
      <c r="M73" s="38"/>
      <c r="N73" s="38"/>
      <c r="O73" s="38"/>
      <c r="P73" s="38"/>
      <c r="Q73" s="38"/>
      <c r="R73" s="38"/>
      <c r="S73" s="38"/>
      <c r="T73" s="38"/>
      <c r="U73" s="38"/>
      <c r="V73" s="769">
        <v>0.0</v>
      </c>
      <c r="W73" s="252">
        <f t="shared" si="18"/>
        <v>0</v>
      </c>
      <c r="X73" s="252">
        <f t="shared" ref="X73:BA73" si="47">IF(AND(X$43-$A73&gt;$V$30,SUM($W73:W73)&lt;&gt;$V73),$V73,0)</f>
        <v>0</v>
      </c>
      <c r="Y73" s="252">
        <f t="shared" si="47"/>
        <v>0</v>
      </c>
      <c r="Z73" s="252">
        <f t="shared" si="47"/>
        <v>0</v>
      </c>
      <c r="AA73" s="252">
        <f t="shared" si="47"/>
        <v>0</v>
      </c>
      <c r="AB73" s="252">
        <f t="shared" si="47"/>
        <v>0</v>
      </c>
      <c r="AC73" s="252">
        <f t="shared" si="47"/>
        <v>0</v>
      </c>
      <c r="AD73" s="252">
        <f t="shared" si="47"/>
        <v>0</v>
      </c>
      <c r="AE73" s="252">
        <f t="shared" si="47"/>
        <v>0</v>
      </c>
      <c r="AF73" s="252">
        <f t="shared" si="47"/>
        <v>0</v>
      </c>
      <c r="AG73" s="252">
        <f t="shared" si="47"/>
        <v>0</v>
      </c>
      <c r="AH73" s="252">
        <f t="shared" si="47"/>
        <v>0</v>
      </c>
      <c r="AI73" s="252">
        <f t="shared" si="47"/>
        <v>0</v>
      </c>
      <c r="AJ73" s="252">
        <f t="shared" si="47"/>
        <v>0</v>
      </c>
      <c r="AK73" s="252">
        <f t="shared" si="47"/>
        <v>0</v>
      </c>
      <c r="AL73" s="252">
        <f t="shared" si="47"/>
        <v>0</v>
      </c>
      <c r="AM73" s="252">
        <f t="shared" si="47"/>
        <v>0</v>
      </c>
      <c r="AN73" s="252">
        <f t="shared" si="47"/>
        <v>0</v>
      </c>
      <c r="AO73" s="252">
        <f t="shared" si="47"/>
        <v>0</v>
      </c>
      <c r="AP73" s="252">
        <f t="shared" si="47"/>
        <v>0</v>
      </c>
      <c r="AQ73" s="252">
        <f t="shared" si="47"/>
        <v>0</v>
      </c>
      <c r="AR73" s="252">
        <f t="shared" si="47"/>
        <v>0</v>
      </c>
      <c r="AS73" s="252">
        <f t="shared" si="47"/>
        <v>0</v>
      </c>
      <c r="AT73" s="252">
        <f t="shared" si="47"/>
        <v>0</v>
      </c>
      <c r="AU73" s="252">
        <f t="shared" si="47"/>
        <v>0</v>
      </c>
      <c r="AV73" s="252">
        <f t="shared" si="47"/>
        <v>0</v>
      </c>
      <c r="AW73" s="252">
        <f t="shared" si="47"/>
        <v>0</v>
      </c>
      <c r="AX73" s="252">
        <f t="shared" si="47"/>
        <v>0</v>
      </c>
      <c r="AY73" s="252">
        <f t="shared" si="47"/>
        <v>0</v>
      </c>
      <c r="AZ73" s="252">
        <f t="shared" si="47"/>
        <v>0</v>
      </c>
      <c r="BA73" s="252">
        <f t="shared" si="47"/>
        <v>0</v>
      </c>
    </row>
    <row r="74" ht="15.75" customHeight="1">
      <c r="A74" s="787">
        <v>1960.0</v>
      </c>
      <c r="B74" s="38"/>
      <c r="C74" s="38"/>
      <c r="D74" s="38"/>
      <c r="E74" s="38"/>
      <c r="F74" s="38"/>
      <c r="G74" s="38"/>
      <c r="H74" s="38"/>
      <c r="I74" s="38"/>
      <c r="J74" s="38"/>
      <c r="K74" s="38"/>
      <c r="L74" s="38"/>
      <c r="M74" s="38"/>
      <c r="N74" s="38"/>
      <c r="O74" s="38"/>
      <c r="P74" s="38"/>
      <c r="Q74" s="38"/>
      <c r="R74" s="38"/>
      <c r="S74" s="38"/>
      <c r="T74" s="38"/>
      <c r="U74" s="38"/>
      <c r="V74" s="769">
        <v>0.0</v>
      </c>
      <c r="W74" s="252">
        <f t="shared" si="18"/>
        <v>0</v>
      </c>
      <c r="X74" s="252">
        <f t="shared" ref="X74:BA74" si="48">IF(AND(X$43-$A74&gt;$V$30,SUM($W74:W74)&lt;&gt;$V74),$V74,0)</f>
        <v>0</v>
      </c>
      <c r="Y74" s="252">
        <f t="shared" si="48"/>
        <v>0</v>
      </c>
      <c r="Z74" s="252">
        <f t="shared" si="48"/>
        <v>0</v>
      </c>
      <c r="AA74" s="252">
        <f t="shared" si="48"/>
        <v>0</v>
      </c>
      <c r="AB74" s="252">
        <f t="shared" si="48"/>
        <v>0</v>
      </c>
      <c r="AC74" s="252">
        <f t="shared" si="48"/>
        <v>0</v>
      </c>
      <c r="AD74" s="252">
        <f t="shared" si="48"/>
        <v>0</v>
      </c>
      <c r="AE74" s="252">
        <f t="shared" si="48"/>
        <v>0</v>
      </c>
      <c r="AF74" s="252">
        <f t="shared" si="48"/>
        <v>0</v>
      </c>
      <c r="AG74" s="252">
        <f t="shared" si="48"/>
        <v>0</v>
      </c>
      <c r="AH74" s="252">
        <f t="shared" si="48"/>
        <v>0</v>
      </c>
      <c r="AI74" s="252">
        <f t="shared" si="48"/>
        <v>0</v>
      </c>
      <c r="AJ74" s="252">
        <f t="shared" si="48"/>
        <v>0</v>
      </c>
      <c r="AK74" s="252">
        <f t="shared" si="48"/>
        <v>0</v>
      </c>
      <c r="AL74" s="252">
        <f t="shared" si="48"/>
        <v>0</v>
      </c>
      <c r="AM74" s="252">
        <f t="shared" si="48"/>
        <v>0</v>
      </c>
      <c r="AN74" s="252">
        <f t="shared" si="48"/>
        <v>0</v>
      </c>
      <c r="AO74" s="252">
        <f t="shared" si="48"/>
        <v>0</v>
      </c>
      <c r="AP74" s="252">
        <f t="shared" si="48"/>
        <v>0</v>
      </c>
      <c r="AQ74" s="252">
        <f t="shared" si="48"/>
        <v>0</v>
      </c>
      <c r="AR74" s="252">
        <f t="shared" si="48"/>
        <v>0</v>
      </c>
      <c r="AS74" s="252">
        <f t="shared" si="48"/>
        <v>0</v>
      </c>
      <c r="AT74" s="252">
        <f t="shared" si="48"/>
        <v>0</v>
      </c>
      <c r="AU74" s="252">
        <f t="shared" si="48"/>
        <v>0</v>
      </c>
      <c r="AV74" s="252">
        <f t="shared" si="48"/>
        <v>0</v>
      </c>
      <c r="AW74" s="252">
        <f t="shared" si="48"/>
        <v>0</v>
      </c>
      <c r="AX74" s="252">
        <f t="shared" si="48"/>
        <v>0</v>
      </c>
      <c r="AY74" s="252">
        <f t="shared" si="48"/>
        <v>0</v>
      </c>
      <c r="AZ74" s="252">
        <f t="shared" si="48"/>
        <v>0</v>
      </c>
      <c r="BA74" s="252">
        <f t="shared" si="48"/>
        <v>0</v>
      </c>
    </row>
    <row r="75" ht="15.75" customHeight="1">
      <c r="A75" s="787">
        <v>1961.0</v>
      </c>
      <c r="B75" s="38"/>
      <c r="C75" s="38"/>
      <c r="D75" s="38"/>
      <c r="E75" s="38"/>
      <c r="F75" s="38"/>
      <c r="G75" s="38"/>
      <c r="H75" s="38"/>
      <c r="I75" s="38"/>
      <c r="J75" s="38"/>
      <c r="K75" s="38"/>
      <c r="L75" s="38"/>
      <c r="M75" s="38"/>
      <c r="N75" s="38"/>
      <c r="O75" s="38"/>
      <c r="P75" s="38"/>
      <c r="Q75" s="38"/>
      <c r="R75" s="38"/>
      <c r="S75" s="38"/>
      <c r="T75" s="38"/>
      <c r="U75" s="38"/>
      <c r="V75" s="769">
        <v>0.0</v>
      </c>
      <c r="W75" s="252">
        <f t="shared" si="18"/>
        <v>0</v>
      </c>
      <c r="X75" s="252">
        <f t="shared" ref="X75:BA75" si="49">IF(AND(X$43-$A75&gt;$V$30,SUM($W75:W75)&lt;&gt;$V75),$V75,0)</f>
        <v>0</v>
      </c>
      <c r="Y75" s="252">
        <f t="shared" si="49"/>
        <v>0</v>
      </c>
      <c r="Z75" s="252">
        <f t="shared" si="49"/>
        <v>0</v>
      </c>
      <c r="AA75" s="252">
        <f t="shared" si="49"/>
        <v>0</v>
      </c>
      <c r="AB75" s="252">
        <f t="shared" si="49"/>
        <v>0</v>
      </c>
      <c r="AC75" s="252">
        <f t="shared" si="49"/>
        <v>0</v>
      </c>
      <c r="AD75" s="252">
        <f t="shared" si="49"/>
        <v>0</v>
      </c>
      <c r="AE75" s="252">
        <f t="shared" si="49"/>
        <v>0</v>
      </c>
      <c r="AF75" s="252">
        <f t="shared" si="49"/>
        <v>0</v>
      </c>
      <c r="AG75" s="252">
        <f t="shared" si="49"/>
        <v>0</v>
      </c>
      <c r="AH75" s="252">
        <f t="shared" si="49"/>
        <v>0</v>
      </c>
      <c r="AI75" s="252">
        <f t="shared" si="49"/>
        <v>0</v>
      </c>
      <c r="AJ75" s="252">
        <f t="shared" si="49"/>
        <v>0</v>
      </c>
      <c r="AK75" s="252">
        <f t="shared" si="49"/>
        <v>0</v>
      </c>
      <c r="AL75" s="252">
        <f t="shared" si="49"/>
        <v>0</v>
      </c>
      <c r="AM75" s="252">
        <f t="shared" si="49"/>
        <v>0</v>
      </c>
      <c r="AN75" s="252">
        <f t="shared" si="49"/>
        <v>0</v>
      </c>
      <c r="AO75" s="252">
        <f t="shared" si="49"/>
        <v>0</v>
      </c>
      <c r="AP75" s="252">
        <f t="shared" si="49"/>
        <v>0</v>
      </c>
      <c r="AQ75" s="252">
        <f t="shared" si="49"/>
        <v>0</v>
      </c>
      <c r="AR75" s="252">
        <f t="shared" si="49"/>
        <v>0</v>
      </c>
      <c r="AS75" s="252">
        <f t="shared" si="49"/>
        <v>0</v>
      </c>
      <c r="AT75" s="252">
        <f t="shared" si="49"/>
        <v>0</v>
      </c>
      <c r="AU75" s="252">
        <f t="shared" si="49"/>
        <v>0</v>
      </c>
      <c r="AV75" s="252">
        <f t="shared" si="49"/>
        <v>0</v>
      </c>
      <c r="AW75" s="252">
        <f t="shared" si="49"/>
        <v>0</v>
      </c>
      <c r="AX75" s="252">
        <f t="shared" si="49"/>
        <v>0</v>
      </c>
      <c r="AY75" s="252">
        <f t="shared" si="49"/>
        <v>0</v>
      </c>
      <c r="AZ75" s="252">
        <f t="shared" si="49"/>
        <v>0</v>
      </c>
      <c r="BA75" s="252">
        <f t="shared" si="49"/>
        <v>0</v>
      </c>
    </row>
    <row r="76" ht="15.75" customHeight="1">
      <c r="A76" s="787">
        <v>1962.0</v>
      </c>
      <c r="B76" s="38"/>
      <c r="C76" s="38"/>
      <c r="D76" s="38"/>
      <c r="E76" s="38"/>
      <c r="F76" s="38"/>
      <c r="G76" s="38"/>
      <c r="H76" s="38"/>
      <c r="I76" s="38"/>
      <c r="J76" s="38"/>
      <c r="K76" s="38"/>
      <c r="L76" s="38"/>
      <c r="M76" s="38"/>
      <c r="N76" s="38"/>
      <c r="O76" s="38"/>
      <c r="P76" s="38"/>
      <c r="Q76" s="38"/>
      <c r="R76" s="38"/>
      <c r="S76" s="38"/>
      <c r="T76" s="38"/>
      <c r="U76" s="38"/>
      <c r="V76" s="769">
        <v>0.0</v>
      </c>
      <c r="W76" s="252">
        <f t="shared" si="18"/>
        <v>0</v>
      </c>
      <c r="X76" s="252">
        <f t="shared" ref="X76:BA76" si="50">IF(AND(X$43-$A76&gt;$V$30,SUM($W76:W76)&lt;&gt;$V76),$V76,0)</f>
        <v>0</v>
      </c>
      <c r="Y76" s="252">
        <f t="shared" si="50"/>
        <v>0</v>
      </c>
      <c r="Z76" s="252">
        <f t="shared" si="50"/>
        <v>0</v>
      </c>
      <c r="AA76" s="252">
        <f t="shared" si="50"/>
        <v>0</v>
      </c>
      <c r="AB76" s="252">
        <f t="shared" si="50"/>
        <v>0</v>
      </c>
      <c r="AC76" s="252">
        <f t="shared" si="50"/>
        <v>0</v>
      </c>
      <c r="AD76" s="252">
        <f t="shared" si="50"/>
        <v>0</v>
      </c>
      <c r="AE76" s="252">
        <f t="shared" si="50"/>
        <v>0</v>
      </c>
      <c r="AF76" s="252">
        <f t="shared" si="50"/>
        <v>0</v>
      </c>
      <c r="AG76" s="252">
        <f t="shared" si="50"/>
        <v>0</v>
      </c>
      <c r="AH76" s="252">
        <f t="shared" si="50"/>
        <v>0</v>
      </c>
      <c r="AI76" s="252">
        <f t="shared" si="50"/>
        <v>0</v>
      </c>
      <c r="AJ76" s="252">
        <f t="shared" si="50"/>
        <v>0</v>
      </c>
      <c r="AK76" s="252">
        <f t="shared" si="50"/>
        <v>0</v>
      </c>
      <c r="AL76" s="252">
        <f t="shared" si="50"/>
        <v>0</v>
      </c>
      <c r="AM76" s="252">
        <f t="shared" si="50"/>
        <v>0</v>
      </c>
      <c r="AN76" s="252">
        <f t="shared" si="50"/>
        <v>0</v>
      </c>
      <c r="AO76" s="252">
        <f t="shared" si="50"/>
        <v>0</v>
      </c>
      <c r="AP76" s="252">
        <f t="shared" si="50"/>
        <v>0</v>
      </c>
      <c r="AQ76" s="252">
        <f t="shared" si="50"/>
        <v>0</v>
      </c>
      <c r="AR76" s="252">
        <f t="shared" si="50"/>
        <v>0</v>
      </c>
      <c r="AS76" s="252">
        <f t="shared" si="50"/>
        <v>0</v>
      </c>
      <c r="AT76" s="252">
        <f t="shared" si="50"/>
        <v>0</v>
      </c>
      <c r="AU76" s="252">
        <f t="shared" si="50"/>
        <v>0</v>
      </c>
      <c r="AV76" s="252">
        <f t="shared" si="50"/>
        <v>0</v>
      </c>
      <c r="AW76" s="252">
        <f t="shared" si="50"/>
        <v>0</v>
      </c>
      <c r="AX76" s="252">
        <f t="shared" si="50"/>
        <v>0</v>
      </c>
      <c r="AY76" s="252">
        <f t="shared" si="50"/>
        <v>0</v>
      </c>
      <c r="AZ76" s="252">
        <f t="shared" si="50"/>
        <v>0</v>
      </c>
      <c r="BA76" s="252">
        <f t="shared" si="50"/>
        <v>0</v>
      </c>
    </row>
    <row r="77" ht="15.75" customHeight="1">
      <c r="A77" s="787">
        <v>1963.0</v>
      </c>
      <c r="B77" s="38"/>
      <c r="C77" s="38"/>
      <c r="D77" s="38"/>
      <c r="E77" s="38"/>
      <c r="F77" s="38"/>
      <c r="G77" s="38"/>
      <c r="H77" s="38"/>
      <c r="I77" s="38"/>
      <c r="J77" s="38"/>
      <c r="K77" s="38"/>
      <c r="L77" s="38"/>
      <c r="M77" s="38"/>
      <c r="N77" s="38"/>
      <c r="O77" s="38"/>
      <c r="P77" s="38"/>
      <c r="Q77" s="38"/>
      <c r="R77" s="38"/>
      <c r="S77" s="38"/>
      <c r="T77" s="38"/>
      <c r="U77" s="38"/>
      <c r="V77" s="769">
        <v>0.0</v>
      </c>
      <c r="W77" s="252">
        <f t="shared" si="18"/>
        <v>0</v>
      </c>
      <c r="X77" s="252">
        <f t="shared" ref="X77:BA77" si="51">IF(AND(X$43-$A77&gt;$V$30,SUM($W77:W77)&lt;&gt;$V77),$V77,0)</f>
        <v>0</v>
      </c>
      <c r="Y77" s="252">
        <f t="shared" si="51"/>
        <v>0</v>
      </c>
      <c r="Z77" s="252">
        <f t="shared" si="51"/>
        <v>0</v>
      </c>
      <c r="AA77" s="252">
        <f t="shared" si="51"/>
        <v>0</v>
      </c>
      <c r="AB77" s="252">
        <f t="shared" si="51"/>
        <v>0</v>
      </c>
      <c r="AC77" s="252">
        <f t="shared" si="51"/>
        <v>0</v>
      </c>
      <c r="AD77" s="252">
        <f t="shared" si="51"/>
        <v>0</v>
      </c>
      <c r="AE77" s="252">
        <f t="shared" si="51"/>
        <v>0</v>
      </c>
      <c r="AF77" s="252">
        <f t="shared" si="51"/>
        <v>0</v>
      </c>
      <c r="AG77" s="252">
        <f t="shared" si="51"/>
        <v>0</v>
      </c>
      <c r="AH77" s="252">
        <f t="shared" si="51"/>
        <v>0</v>
      </c>
      <c r="AI77" s="252">
        <f t="shared" si="51"/>
        <v>0</v>
      </c>
      <c r="AJ77" s="252">
        <f t="shared" si="51"/>
        <v>0</v>
      </c>
      <c r="AK77" s="252">
        <f t="shared" si="51"/>
        <v>0</v>
      </c>
      <c r="AL77" s="252">
        <f t="shared" si="51"/>
        <v>0</v>
      </c>
      <c r="AM77" s="252">
        <f t="shared" si="51"/>
        <v>0</v>
      </c>
      <c r="AN77" s="252">
        <f t="shared" si="51"/>
        <v>0</v>
      </c>
      <c r="AO77" s="252">
        <f t="shared" si="51"/>
        <v>0</v>
      </c>
      <c r="AP77" s="252">
        <f t="shared" si="51"/>
        <v>0</v>
      </c>
      <c r="AQ77" s="252">
        <f t="shared" si="51"/>
        <v>0</v>
      </c>
      <c r="AR77" s="252">
        <f t="shared" si="51"/>
        <v>0</v>
      </c>
      <c r="AS77" s="252">
        <f t="shared" si="51"/>
        <v>0</v>
      </c>
      <c r="AT77" s="252">
        <f t="shared" si="51"/>
        <v>0</v>
      </c>
      <c r="AU77" s="252">
        <f t="shared" si="51"/>
        <v>0</v>
      </c>
      <c r="AV77" s="252">
        <f t="shared" si="51"/>
        <v>0</v>
      </c>
      <c r="AW77" s="252">
        <f t="shared" si="51"/>
        <v>0</v>
      </c>
      <c r="AX77" s="252">
        <f t="shared" si="51"/>
        <v>0</v>
      </c>
      <c r="AY77" s="252">
        <f t="shared" si="51"/>
        <v>0</v>
      </c>
      <c r="AZ77" s="252">
        <f t="shared" si="51"/>
        <v>0</v>
      </c>
      <c r="BA77" s="252">
        <f t="shared" si="51"/>
        <v>0</v>
      </c>
    </row>
    <row r="78" ht="15.75" customHeight="1">
      <c r="A78" s="787">
        <v>1964.0</v>
      </c>
      <c r="B78" s="38"/>
      <c r="C78" s="38"/>
      <c r="D78" s="38"/>
      <c r="E78" s="38"/>
      <c r="F78" s="38"/>
      <c r="G78" s="38"/>
      <c r="H78" s="38"/>
      <c r="I78" s="38"/>
      <c r="J78" s="38"/>
      <c r="K78" s="38"/>
      <c r="L78" s="38"/>
      <c r="M78" s="38"/>
      <c r="N78" s="38"/>
      <c r="O78" s="38"/>
      <c r="P78" s="38"/>
      <c r="Q78" s="38"/>
      <c r="R78" s="38"/>
      <c r="S78" s="38"/>
      <c r="T78" s="38"/>
      <c r="U78" s="38"/>
      <c r="V78" s="769">
        <v>0.0</v>
      </c>
      <c r="W78" s="252">
        <f t="shared" si="18"/>
        <v>0</v>
      </c>
      <c r="X78" s="252">
        <f t="shared" ref="X78:BA78" si="52">IF(AND(X$43-$A78&gt;$V$30,SUM($W78:W78)&lt;&gt;$V78),$V78,0)</f>
        <v>0</v>
      </c>
      <c r="Y78" s="252">
        <f t="shared" si="52"/>
        <v>0</v>
      </c>
      <c r="Z78" s="252">
        <f t="shared" si="52"/>
        <v>0</v>
      </c>
      <c r="AA78" s="252">
        <f t="shared" si="52"/>
        <v>0</v>
      </c>
      <c r="AB78" s="252">
        <f t="shared" si="52"/>
        <v>0</v>
      </c>
      <c r="AC78" s="252">
        <f t="shared" si="52"/>
        <v>0</v>
      </c>
      <c r="AD78" s="252">
        <f t="shared" si="52"/>
        <v>0</v>
      </c>
      <c r="AE78" s="252">
        <f t="shared" si="52"/>
        <v>0</v>
      </c>
      <c r="AF78" s="252">
        <f t="shared" si="52"/>
        <v>0</v>
      </c>
      <c r="AG78" s="252">
        <f t="shared" si="52"/>
        <v>0</v>
      </c>
      <c r="AH78" s="252">
        <f t="shared" si="52"/>
        <v>0</v>
      </c>
      <c r="AI78" s="252">
        <f t="shared" si="52"/>
        <v>0</v>
      </c>
      <c r="AJ78" s="252">
        <f t="shared" si="52"/>
        <v>0</v>
      </c>
      <c r="AK78" s="252">
        <f t="shared" si="52"/>
        <v>0</v>
      </c>
      <c r="AL78" s="252">
        <f t="shared" si="52"/>
        <v>0</v>
      </c>
      <c r="AM78" s="252">
        <f t="shared" si="52"/>
        <v>0</v>
      </c>
      <c r="AN78" s="252">
        <f t="shared" si="52"/>
        <v>0</v>
      </c>
      <c r="AO78" s="252">
        <f t="shared" si="52"/>
        <v>0</v>
      </c>
      <c r="AP78" s="252">
        <f t="shared" si="52"/>
        <v>0</v>
      </c>
      <c r="AQ78" s="252">
        <f t="shared" si="52"/>
        <v>0</v>
      </c>
      <c r="AR78" s="252">
        <f t="shared" si="52"/>
        <v>0</v>
      </c>
      <c r="AS78" s="252">
        <f t="shared" si="52"/>
        <v>0</v>
      </c>
      <c r="AT78" s="252">
        <f t="shared" si="52"/>
        <v>0</v>
      </c>
      <c r="AU78" s="252">
        <f t="shared" si="52"/>
        <v>0</v>
      </c>
      <c r="AV78" s="252">
        <f t="shared" si="52"/>
        <v>0</v>
      </c>
      <c r="AW78" s="252">
        <f t="shared" si="52"/>
        <v>0</v>
      </c>
      <c r="AX78" s="252">
        <f t="shared" si="52"/>
        <v>0</v>
      </c>
      <c r="AY78" s="252">
        <f t="shared" si="52"/>
        <v>0</v>
      </c>
      <c r="AZ78" s="252">
        <f t="shared" si="52"/>
        <v>0</v>
      </c>
      <c r="BA78" s="252">
        <f t="shared" si="52"/>
        <v>0</v>
      </c>
    </row>
    <row r="79" ht="15.75" customHeight="1">
      <c r="A79" s="787">
        <v>1965.0</v>
      </c>
      <c r="B79" s="38"/>
      <c r="C79" s="38"/>
      <c r="D79" s="38"/>
      <c r="E79" s="38"/>
      <c r="F79" s="38"/>
      <c r="G79" s="38"/>
      <c r="H79" s="38"/>
      <c r="I79" s="38"/>
      <c r="J79" s="38"/>
      <c r="K79" s="38"/>
      <c r="L79" s="38"/>
      <c r="M79" s="38"/>
      <c r="N79" s="38"/>
      <c r="O79" s="38"/>
      <c r="P79" s="38"/>
      <c r="Q79" s="38"/>
      <c r="R79" s="38"/>
      <c r="S79" s="38"/>
      <c r="T79" s="38"/>
      <c r="U79" s="38"/>
      <c r="V79" s="769">
        <v>0.0</v>
      </c>
      <c r="W79" s="252">
        <f t="shared" si="18"/>
        <v>0</v>
      </c>
      <c r="X79" s="252">
        <f t="shared" ref="X79:BA79" si="53">IF(AND(X$43-$A79&gt;$V$30,SUM($W79:W79)&lt;&gt;$V79),$V79,0)</f>
        <v>0</v>
      </c>
      <c r="Y79" s="252">
        <f t="shared" si="53"/>
        <v>0</v>
      </c>
      <c r="Z79" s="252">
        <f t="shared" si="53"/>
        <v>0</v>
      </c>
      <c r="AA79" s="252">
        <f t="shared" si="53"/>
        <v>0</v>
      </c>
      <c r="AB79" s="252">
        <f t="shared" si="53"/>
        <v>0</v>
      </c>
      <c r="AC79" s="252">
        <f t="shared" si="53"/>
        <v>0</v>
      </c>
      <c r="AD79" s="252">
        <f t="shared" si="53"/>
        <v>0</v>
      </c>
      <c r="AE79" s="252">
        <f t="shared" si="53"/>
        <v>0</v>
      </c>
      <c r="AF79" s="252">
        <f t="shared" si="53"/>
        <v>0</v>
      </c>
      <c r="AG79" s="252">
        <f t="shared" si="53"/>
        <v>0</v>
      </c>
      <c r="AH79" s="252">
        <f t="shared" si="53"/>
        <v>0</v>
      </c>
      <c r="AI79" s="252">
        <f t="shared" si="53"/>
        <v>0</v>
      </c>
      <c r="AJ79" s="252">
        <f t="shared" si="53"/>
        <v>0</v>
      </c>
      <c r="AK79" s="252">
        <f t="shared" si="53"/>
        <v>0</v>
      </c>
      <c r="AL79" s="252">
        <f t="shared" si="53"/>
        <v>0</v>
      </c>
      <c r="AM79" s="252">
        <f t="shared" si="53"/>
        <v>0</v>
      </c>
      <c r="AN79" s="252">
        <f t="shared" si="53"/>
        <v>0</v>
      </c>
      <c r="AO79" s="252">
        <f t="shared" si="53"/>
        <v>0</v>
      </c>
      <c r="AP79" s="252">
        <f t="shared" si="53"/>
        <v>0</v>
      </c>
      <c r="AQ79" s="252">
        <f t="shared" si="53"/>
        <v>0</v>
      </c>
      <c r="AR79" s="252">
        <f t="shared" si="53"/>
        <v>0</v>
      </c>
      <c r="AS79" s="252">
        <f t="shared" si="53"/>
        <v>0</v>
      </c>
      <c r="AT79" s="252">
        <f t="shared" si="53"/>
        <v>0</v>
      </c>
      <c r="AU79" s="252">
        <f t="shared" si="53"/>
        <v>0</v>
      </c>
      <c r="AV79" s="252">
        <f t="shared" si="53"/>
        <v>0</v>
      </c>
      <c r="AW79" s="252">
        <f t="shared" si="53"/>
        <v>0</v>
      </c>
      <c r="AX79" s="252">
        <f t="shared" si="53"/>
        <v>0</v>
      </c>
      <c r="AY79" s="252">
        <f t="shared" si="53"/>
        <v>0</v>
      </c>
      <c r="AZ79" s="252">
        <f t="shared" si="53"/>
        <v>0</v>
      </c>
      <c r="BA79" s="252">
        <f t="shared" si="53"/>
        <v>0</v>
      </c>
    </row>
    <row r="80" ht="15.75" customHeight="1">
      <c r="A80" s="787">
        <v>1966.0</v>
      </c>
      <c r="B80" s="38"/>
      <c r="C80" s="38"/>
      <c r="D80" s="38"/>
      <c r="E80" s="38"/>
      <c r="F80" s="38"/>
      <c r="G80" s="38"/>
      <c r="H80" s="38"/>
      <c r="I80" s="38"/>
      <c r="J80" s="38"/>
      <c r="K80" s="38"/>
      <c r="L80" s="38"/>
      <c r="M80" s="38"/>
      <c r="N80" s="38"/>
      <c r="O80" s="38"/>
      <c r="P80" s="38"/>
      <c r="Q80" s="38"/>
      <c r="R80" s="38"/>
      <c r="S80" s="38"/>
      <c r="T80" s="38"/>
      <c r="U80" s="38"/>
      <c r="V80" s="769">
        <v>0.0</v>
      </c>
      <c r="W80" s="252">
        <f t="shared" si="18"/>
        <v>0</v>
      </c>
      <c r="X80" s="252">
        <f t="shared" ref="X80:BA80" si="54">IF(AND(X$43-$A80&gt;$V$30,SUM($W80:W80)&lt;&gt;$V80),$V80,0)</f>
        <v>0</v>
      </c>
      <c r="Y80" s="252">
        <f t="shared" si="54"/>
        <v>0</v>
      </c>
      <c r="Z80" s="252">
        <f t="shared" si="54"/>
        <v>0</v>
      </c>
      <c r="AA80" s="252">
        <f t="shared" si="54"/>
        <v>0</v>
      </c>
      <c r="AB80" s="252">
        <f t="shared" si="54"/>
        <v>0</v>
      </c>
      <c r="AC80" s="252">
        <f t="shared" si="54"/>
        <v>0</v>
      </c>
      <c r="AD80" s="252">
        <f t="shared" si="54"/>
        <v>0</v>
      </c>
      <c r="AE80" s="252">
        <f t="shared" si="54"/>
        <v>0</v>
      </c>
      <c r="AF80" s="252">
        <f t="shared" si="54"/>
        <v>0</v>
      </c>
      <c r="AG80" s="252">
        <f t="shared" si="54"/>
        <v>0</v>
      </c>
      <c r="AH80" s="252">
        <f t="shared" si="54"/>
        <v>0</v>
      </c>
      <c r="AI80" s="252">
        <f t="shared" si="54"/>
        <v>0</v>
      </c>
      <c r="AJ80" s="252">
        <f t="shared" si="54"/>
        <v>0</v>
      </c>
      <c r="AK80" s="252">
        <f t="shared" si="54"/>
        <v>0</v>
      </c>
      <c r="AL80" s="252">
        <f t="shared" si="54"/>
        <v>0</v>
      </c>
      <c r="AM80" s="252">
        <f t="shared" si="54"/>
        <v>0</v>
      </c>
      <c r="AN80" s="252">
        <f t="shared" si="54"/>
        <v>0</v>
      </c>
      <c r="AO80" s="252">
        <f t="shared" si="54"/>
        <v>0</v>
      </c>
      <c r="AP80" s="252">
        <f t="shared" si="54"/>
        <v>0</v>
      </c>
      <c r="AQ80" s="252">
        <f t="shared" si="54"/>
        <v>0</v>
      </c>
      <c r="AR80" s="252">
        <f t="shared" si="54"/>
        <v>0</v>
      </c>
      <c r="AS80" s="252">
        <f t="shared" si="54"/>
        <v>0</v>
      </c>
      <c r="AT80" s="252">
        <f t="shared" si="54"/>
        <v>0</v>
      </c>
      <c r="AU80" s="252">
        <f t="shared" si="54"/>
        <v>0</v>
      </c>
      <c r="AV80" s="252">
        <f t="shared" si="54"/>
        <v>0</v>
      </c>
      <c r="AW80" s="252">
        <f t="shared" si="54"/>
        <v>0</v>
      </c>
      <c r="AX80" s="252">
        <f t="shared" si="54"/>
        <v>0</v>
      </c>
      <c r="AY80" s="252">
        <f t="shared" si="54"/>
        <v>0</v>
      </c>
      <c r="AZ80" s="252">
        <f t="shared" si="54"/>
        <v>0</v>
      </c>
      <c r="BA80" s="252">
        <f t="shared" si="54"/>
        <v>0</v>
      </c>
    </row>
    <row r="81" ht="15.75" customHeight="1">
      <c r="A81" s="787">
        <v>1967.0</v>
      </c>
      <c r="B81" s="38"/>
      <c r="C81" s="38"/>
      <c r="D81" s="38"/>
      <c r="E81" s="38"/>
      <c r="F81" s="38"/>
      <c r="G81" s="38"/>
      <c r="H81" s="38"/>
      <c r="I81" s="38"/>
      <c r="J81" s="38"/>
      <c r="K81" s="38"/>
      <c r="L81" s="38"/>
      <c r="M81" s="38"/>
      <c r="N81" s="38"/>
      <c r="O81" s="38"/>
      <c r="P81" s="38"/>
      <c r="Q81" s="38"/>
      <c r="R81" s="38"/>
      <c r="S81" s="38"/>
      <c r="T81" s="38"/>
      <c r="U81" s="38"/>
      <c r="V81" s="769">
        <v>0.0</v>
      </c>
      <c r="W81" s="252">
        <f t="shared" si="18"/>
        <v>0</v>
      </c>
      <c r="X81" s="252">
        <f t="shared" ref="X81:BA81" si="55">IF(AND(X$43-$A81&gt;$V$30,SUM($W81:W81)&lt;&gt;$V81),$V81,0)</f>
        <v>0</v>
      </c>
      <c r="Y81" s="252">
        <f t="shared" si="55"/>
        <v>0</v>
      </c>
      <c r="Z81" s="252">
        <f t="shared" si="55"/>
        <v>0</v>
      </c>
      <c r="AA81" s="252">
        <f t="shared" si="55"/>
        <v>0</v>
      </c>
      <c r="AB81" s="252">
        <f t="shared" si="55"/>
        <v>0</v>
      </c>
      <c r="AC81" s="252">
        <f t="shared" si="55"/>
        <v>0</v>
      </c>
      <c r="AD81" s="252">
        <f t="shared" si="55"/>
        <v>0</v>
      </c>
      <c r="AE81" s="252">
        <f t="shared" si="55"/>
        <v>0</v>
      </c>
      <c r="AF81" s="252">
        <f t="shared" si="55"/>
        <v>0</v>
      </c>
      <c r="AG81" s="252">
        <f t="shared" si="55"/>
        <v>0</v>
      </c>
      <c r="AH81" s="252">
        <f t="shared" si="55"/>
        <v>0</v>
      </c>
      <c r="AI81" s="252">
        <f t="shared" si="55"/>
        <v>0</v>
      </c>
      <c r="AJ81" s="252">
        <f t="shared" si="55"/>
        <v>0</v>
      </c>
      <c r="AK81" s="252">
        <f t="shared" si="55"/>
        <v>0</v>
      </c>
      <c r="AL81" s="252">
        <f t="shared" si="55"/>
        <v>0</v>
      </c>
      <c r="AM81" s="252">
        <f t="shared" si="55"/>
        <v>0</v>
      </c>
      <c r="AN81" s="252">
        <f t="shared" si="55"/>
        <v>0</v>
      </c>
      <c r="AO81" s="252">
        <f t="shared" si="55"/>
        <v>0</v>
      </c>
      <c r="AP81" s="252">
        <f t="shared" si="55"/>
        <v>0</v>
      </c>
      <c r="AQ81" s="252">
        <f t="shared" si="55"/>
        <v>0</v>
      </c>
      <c r="AR81" s="252">
        <f t="shared" si="55"/>
        <v>0</v>
      </c>
      <c r="AS81" s="252">
        <f t="shared" si="55"/>
        <v>0</v>
      </c>
      <c r="AT81" s="252">
        <f t="shared" si="55"/>
        <v>0</v>
      </c>
      <c r="AU81" s="252">
        <f t="shared" si="55"/>
        <v>0</v>
      </c>
      <c r="AV81" s="252">
        <f t="shared" si="55"/>
        <v>0</v>
      </c>
      <c r="AW81" s="252">
        <f t="shared" si="55"/>
        <v>0</v>
      </c>
      <c r="AX81" s="252">
        <f t="shared" si="55"/>
        <v>0</v>
      </c>
      <c r="AY81" s="252">
        <f t="shared" si="55"/>
        <v>0</v>
      </c>
      <c r="AZ81" s="252">
        <f t="shared" si="55"/>
        <v>0</v>
      </c>
      <c r="BA81" s="252">
        <f t="shared" si="55"/>
        <v>0</v>
      </c>
    </row>
    <row r="82" ht="15.75" customHeight="1">
      <c r="A82" s="787">
        <v>1968.0</v>
      </c>
      <c r="B82" s="38"/>
      <c r="C82" s="38"/>
      <c r="D82" s="38"/>
      <c r="E82" s="38"/>
      <c r="F82" s="38"/>
      <c r="G82" s="38"/>
      <c r="H82" s="38"/>
      <c r="I82" s="38"/>
      <c r="J82" s="38"/>
      <c r="K82" s="38"/>
      <c r="L82" s="38"/>
      <c r="M82" s="38"/>
      <c r="N82" s="38"/>
      <c r="O82" s="38"/>
      <c r="P82" s="38"/>
      <c r="Q82" s="38"/>
      <c r="R82" s="38"/>
      <c r="S82" s="38"/>
      <c r="T82" s="38"/>
      <c r="U82" s="38"/>
      <c r="V82" s="769">
        <v>0.0</v>
      </c>
      <c r="W82" s="252">
        <f t="shared" si="18"/>
        <v>0</v>
      </c>
      <c r="X82" s="252">
        <f t="shared" ref="X82:BA82" si="56">IF(AND(X$43-$A82&gt;$V$30,SUM($W82:W82)&lt;&gt;$V82),$V82,0)</f>
        <v>0</v>
      </c>
      <c r="Y82" s="252">
        <f t="shared" si="56"/>
        <v>0</v>
      </c>
      <c r="Z82" s="252">
        <f t="shared" si="56"/>
        <v>0</v>
      </c>
      <c r="AA82" s="252">
        <f t="shared" si="56"/>
        <v>0</v>
      </c>
      <c r="AB82" s="252">
        <f t="shared" si="56"/>
        <v>0</v>
      </c>
      <c r="AC82" s="252">
        <f t="shared" si="56"/>
        <v>0</v>
      </c>
      <c r="AD82" s="252">
        <f t="shared" si="56"/>
        <v>0</v>
      </c>
      <c r="AE82" s="252">
        <f t="shared" si="56"/>
        <v>0</v>
      </c>
      <c r="AF82" s="252">
        <f t="shared" si="56"/>
        <v>0</v>
      </c>
      <c r="AG82" s="252">
        <f t="shared" si="56"/>
        <v>0</v>
      </c>
      <c r="AH82" s="252">
        <f t="shared" si="56"/>
        <v>0</v>
      </c>
      <c r="AI82" s="252">
        <f t="shared" si="56"/>
        <v>0</v>
      </c>
      <c r="AJ82" s="252">
        <f t="shared" si="56"/>
        <v>0</v>
      </c>
      <c r="AK82" s="252">
        <f t="shared" si="56"/>
        <v>0</v>
      </c>
      <c r="AL82" s="252">
        <f t="shared" si="56"/>
        <v>0</v>
      </c>
      <c r="AM82" s="252">
        <f t="shared" si="56"/>
        <v>0</v>
      </c>
      <c r="AN82" s="252">
        <f t="shared" si="56"/>
        <v>0</v>
      </c>
      <c r="AO82" s="252">
        <f t="shared" si="56"/>
        <v>0</v>
      </c>
      <c r="AP82" s="252">
        <f t="shared" si="56"/>
        <v>0</v>
      </c>
      <c r="AQ82" s="252">
        <f t="shared" si="56"/>
        <v>0</v>
      </c>
      <c r="AR82" s="252">
        <f t="shared" si="56"/>
        <v>0</v>
      </c>
      <c r="AS82" s="252">
        <f t="shared" si="56"/>
        <v>0</v>
      </c>
      <c r="AT82" s="252">
        <f t="shared" si="56"/>
        <v>0</v>
      </c>
      <c r="AU82" s="252">
        <f t="shared" si="56"/>
        <v>0</v>
      </c>
      <c r="AV82" s="252">
        <f t="shared" si="56"/>
        <v>0</v>
      </c>
      <c r="AW82" s="252">
        <f t="shared" si="56"/>
        <v>0</v>
      </c>
      <c r="AX82" s="252">
        <f t="shared" si="56"/>
        <v>0</v>
      </c>
      <c r="AY82" s="252">
        <f t="shared" si="56"/>
        <v>0</v>
      </c>
      <c r="AZ82" s="252">
        <f t="shared" si="56"/>
        <v>0</v>
      </c>
      <c r="BA82" s="252">
        <f t="shared" si="56"/>
        <v>0</v>
      </c>
    </row>
    <row r="83" ht="15.75" customHeight="1">
      <c r="A83" s="787">
        <v>1969.0</v>
      </c>
      <c r="B83" s="38"/>
      <c r="C83" s="38"/>
      <c r="D83" s="38"/>
      <c r="E83" s="38"/>
      <c r="F83" s="38"/>
      <c r="G83" s="38"/>
      <c r="H83" s="38"/>
      <c r="I83" s="38"/>
      <c r="J83" s="38"/>
      <c r="K83" s="38"/>
      <c r="L83" s="38"/>
      <c r="M83" s="38"/>
      <c r="N83" s="38"/>
      <c r="O83" s="38"/>
      <c r="P83" s="38"/>
      <c r="Q83" s="38"/>
      <c r="R83" s="38"/>
      <c r="S83" s="38"/>
      <c r="T83" s="38"/>
      <c r="U83" s="38"/>
      <c r="V83" s="769">
        <v>0.0</v>
      </c>
      <c r="W83" s="252">
        <f t="shared" si="18"/>
        <v>0</v>
      </c>
      <c r="X83" s="252">
        <f t="shared" ref="X83:BA83" si="57">IF(AND(X$43-$A83&gt;$V$30,SUM($W83:W83)&lt;&gt;$V83),$V83,0)</f>
        <v>0</v>
      </c>
      <c r="Y83" s="252">
        <f t="shared" si="57"/>
        <v>0</v>
      </c>
      <c r="Z83" s="252">
        <f t="shared" si="57"/>
        <v>0</v>
      </c>
      <c r="AA83" s="252">
        <f t="shared" si="57"/>
        <v>0</v>
      </c>
      <c r="AB83" s="252">
        <f t="shared" si="57"/>
        <v>0</v>
      </c>
      <c r="AC83" s="252">
        <f t="shared" si="57"/>
        <v>0</v>
      </c>
      <c r="AD83" s="252">
        <f t="shared" si="57"/>
        <v>0</v>
      </c>
      <c r="AE83" s="252">
        <f t="shared" si="57"/>
        <v>0</v>
      </c>
      <c r="AF83" s="252">
        <f t="shared" si="57"/>
        <v>0</v>
      </c>
      <c r="AG83" s="252">
        <f t="shared" si="57"/>
        <v>0</v>
      </c>
      <c r="AH83" s="252">
        <f t="shared" si="57"/>
        <v>0</v>
      </c>
      <c r="AI83" s="252">
        <f t="shared" si="57"/>
        <v>0</v>
      </c>
      <c r="AJ83" s="252">
        <f t="shared" si="57"/>
        <v>0</v>
      </c>
      <c r="AK83" s="252">
        <f t="shared" si="57"/>
        <v>0</v>
      </c>
      <c r="AL83" s="252">
        <f t="shared" si="57"/>
        <v>0</v>
      </c>
      <c r="AM83" s="252">
        <f t="shared" si="57"/>
        <v>0</v>
      </c>
      <c r="AN83" s="252">
        <f t="shared" si="57"/>
        <v>0</v>
      </c>
      <c r="AO83" s="252">
        <f t="shared" si="57"/>
        <v>0</v>
      </c>
      <c r="AP83" s="252">
        <f t="shared" si="57"/>
        <v>0</v>
      </c>
      <c r="AQ83" s="252">
        <f t="shared" si="57"/>
        <v>0</v>
      </c>
      <c r="AR83" s="252">
        <f t="shared" si="57"/>
        <v>0</v>
      </c>
      <c r="AS83" s="252">
        <f t="shared" si="57"/>
        <v>0</v>
      </c>
      <c r="AT83" s="252">
        <f t="shared" si="57"/>
        <v>0</v>
      </c>
      <c r="AU83" s="252">
        <f t="shared" si="57"/>
        <v>0</v>
      </c>
      <c r="AV83" s="252">
        <f t="shared" si="57"/>
        <v>0</v>
      </c>
      <c r="AW83" s="252">
        <f t="shared" si="57"/>
        <v>0</v>
      </c>
      <c r="AX83" s="252">
        <f t="shared" si="57"/>
        <v>0</v>
      </c>
      <c r="AY83" s="252">
        <f t="shared" si="57"/>
        <v>0</v>
      </c>
      <c r="AZ83" s="252">
        <f t="shared" si="57"/>
        <v>0</v>
      </c>
      <c r="BA83" s="252">
        <f t="shared" si="57"/>
        <v>0</v>
      </c>
    </row>
    <row r="84" ht="15.75" customHeight="1">
      <c r="A84" s="787">
        <v>1970.0</v>
      </c>
      <c r="B84" s="38"/>
      <c r="C84" s="38"/>
      <c r="D84" s="38"/>
      <c r="E84" s="38"/>
      <c r="F84" s="38"/>
      <c r="G84" s="38"/>
      <c r="H84" s="38"/>
      <c r="I84" s="38"/>
      <c r="J84" s="38"/>
      <c r="K84" s="38"/>
      <c r="L84" s="38"/>
      <c r="M84" s="38"/>
      <c r="N84" s="38"/>
      <c r="O84" s="38"/>
      <c r="P84" s="38"/>
      <c r="Q84" s="38"/>
      <c r="R84" s="38"/>
      <c r="S84" s="38"/>
      <c r="T84" s="38"/>
      <c r="U84" s="38"/>
      <c r="V84" s="769">
        <v>0.0</v>
      </c>
      <c r="W84" s="252">
        <f t="shared" si="18"/>
        <v>0</v>
      </c>
      <c r="X84" s="252">
        <f t="shared" ref="X84:BA84" si="58">IF(AND(X$43-$A84&gt;$V$30,SUM($W84:W84)&lt;&gt;$V84),$V84,0)</f>
        <v>0</v>
      </c>
      <c r="Y84" s="252">
        <f t="shared" si="58"/>
        <v>0</v>
      </c>
      <c r="Z84" s="252">
        <f t="shared" si="58"/>
        <v>0</v>
      </c>
      <c r="AA84" s="252">
        <f t="shared" si="58"/>
        <v>0</v>
      </c>
      <c r="AB84" s="252">
        <f t="shared" si="58"/>
        <v>0</v>
      </c>
      <c r="AC84" s="252">
        <f t="shared" si="58"/>
        <v>0</v>
      </c>
      <c r="AD84" s="252">
        <f t="shared" si="58"/>
        <v>0</v>
      </c>
      <c r="AE84" s="252">
        <f t="shared" si="58"/>
        <v>0</v>
      </c>
      <c r="AF84" s="252">
        <f t="shared" si="58"/>
        <v>0</v>
      </c>
      <c r="AG84" s="252">
        <f t="shared" si="58"/>
        <v>0</v>
      </c>
      <c r="AH84" s="252">
        <f t="shared" si="58"/>
        <v>0</v>
      </c>
      <c r="AI84" s="252">
        <f t="shared" si="58"/>
        <v>0</v>
      </c>
      <c r="AJ84" s="252">
        <f t="shared" si="58"/>
        <v>0</v>
      </c>
      <c r="AK84" s="252">
        <f t="shared" si="58"/>
        <v>0</v>
      </c>
      <c r="AL84" s="252">
        <f t="shared" si="58"/>
        <v>0</v>
      </c>
      <c r="AM84" s="252">
        <f t="shared" si="58"/>
        <v>0</v>
      </c>
      <c r="AN84" s="252">
        <f t="shared" si="58"/>
        <v>0</v>
      </c>
      <c r="AO84" s="252">
        <f t="shared" si="58"/>
        <v>0</v>
      </c>
      <c r="AP84" s="252">
        <f t="shared" si="58"/>
        <v>0</v>
      </c>
      <c r="AQ84" s="252">
        <f t="shared" si="58"/>
        <v>0</v>
      </c>
      <c r="AR84" s="252">
        <f t="shared" si="58"/>
        <v>0</v>
      </c>
      <c r="AS84" s="252">
        <f t="shared" si="58"/>
        <v>0</v>
      </c>
      <c r="AT84" s="252">
        <f t="shared" si="58"/>
        <v>0</v>
      </c>
      <c r="AU84" s="252">
        <f t="shared" si="58"/>
        <v>0</v>
      </c>
      <c r="AV84" s="252">
        <f t="shared" si="58"/>
        <v>0</v>
      </c>
      <c r="AW84" s="252">
        <f t="shared" si="58"/>
        <v>0</v>
      </c>
      <c r="AX84" s="252">
        <f t="shared" si="58"/>
        <v>0</v>
      </c>
      <c r="AY84" s="252">
        <f t="shared" si="58"/>
        <v>0</v>
      </c>
      <c r="AZ84" s="252">
        <f t="shared" si="58"/>
        <v>0</v>
      </c>
      <c r="BA84" s="252">
        <f t="shared" si="58"/>
        <v>0</v>
      </c>
    </row>
    <row r="85" ht="15.75" customHeight="1">
      <c r="A85" s="787">
        <v>1971.0</v>
      </c>
      <c r="B85" s="38"/>
      <c r="C85" s="38"/>
      <c r="D85" s="38"/>
      <c r="E85" s="38"/>
      <c r="F85" s="38"/>
      <c r="G85" s="38"/>
      <c r="H85" s="38"/>
      <c r="I85" s="38"/>
      <c r="J85" s="38"/>
      <c r="K85" s="38"/>
      <c r="L85" s="38"/>
      <c r="M85" s="38"/>
      <c r="N85" s="38"/>
      <c r="O85" s="38"/>
      <c r="P85" s="38"/>
      <c r="Q85" s="38"/>
      <c r="R85" s="38"/>
      <c r="S85" s="38"/>
      <c r="T85" s="38"/>
      <c r="U85" s="38"/>
      <c r="V85" s="769">
        <v>0.0</v>
      </c>
      <c r="W85" s="252">
        <f t="shared" si="18"/>
        <v>0</v>
      </c>
      <c r="X85" s="252">
        <f t="shared" ref="X85:BA85" si="59">IF(AND(X$43-$A85&gt;$V$30,SUM($W85:W85)&lt;&gt;$V85),$V85,0)</f>
        <v>0</v>
      </c>
      <c r="Y85" s="252">
        <f t="shared" si="59"/>
        <v>0</v>
      </c>
      <c r="Z85" s="252">
        <f t="shared" si="59"/>
        <v>0</v>
      </c>
      <c r="AA85" s="252">
        <f t="shared" si="59"/>
        <v>0</v>
      </c>
      <c r="AB85" s="252">
        <f t="shared" si="59"/>
        <v>0</v>
      </c>
      <c r="AC85" s="252">
        <f t="shared" si="59"/>
        <v>0</v>
      </c>
      <c r="AD85" s="252">
        <f t="shared" si="59"/>
        <v>0</v>
      </c>
      <c r="AE85" s="252">
        <f t="shared" si="59"/>
        <v>0</v>
      </c>
      <c r="AF85" s="252">
        <f t="shared" si="59"/>
        <v>0</v>
      </c>
      <c r="AG85" s="252">
        <f t="shared" si="59"/>
        <v>0</v>
      </c>
      <c r="AH85" s="252">
        <f t="shared" si="59"/>
        <v>0</v>
      </c>
      <c r="AI85" s="252">
        <f t="shared" si="59"/>
        <v>0</v>
      </c>
      <c r="AJ85" s="252">
        <f t="shared" si="59"/>
        <v>0</v>
      </c>
      <c r="AK85" s="252">
        <f t="shared" si="59"/>
        <v>0</v>
      </c>
      <c r="AL85" s="252">
        <f t="shared" si="59"/>
        <v>0</v>
      </c>
      <c r="AM85" s="252">
        <f t="shared" si="59"/>
        <v>0</v>
      </c>
      <c r="AN85" s="252">
        <f t="shared" si="59"/>
        <v>0</v>
      </c>
      <c r="AO85" s="252">
        <f t="shared" si="59"/>
        <v>0</v>
      </c>
      <c r="AP85" s="252">
        <f t="shared" si="59"/>
        <v>0</v>
      </c>
      <c r="AQ85" s="252">
        <f t="shared" si="59"/>
        <v>0</v>
      </c>
      <c r="AR85" s="252">
        <f t="shared" si="59"/>
        <v>0</v>
      </c>
      <c r="AS85" s="252">
        <f t="shared" si="59"/>
        <v>0</v>
      </c>
      <c r="AT85" s="252">
        <f t="shared" si="59"/>
        <v>0</v>
      </c>
      <c r="AU85" s="252">
        <f t="shared" si="59"/>
        <v>0</v>
      </c>
      <c r="AV85" s="252">
        <f t="shared" si="59"/>
        <v>0</v>
      </c>
      <c r="AW85" s="252">
        <f t="shared" si="59"/>
        <v>0</v>
      </c>
      <c r="AX85" s="252">
        <f t="shared" si="59"/>
        <v>0</v>
      </c>
      <c r="AY85" s="252">
        <f t="shared" si="59"/>
        <v>0</v>
      </c>
      <c r="AZ85" s="252">
        <f t="shared" si="59"/>
        <v>0</v>
      </c>
      <c r="BA85" s="252">
        <f t="shared" si="59"/>
        <v>0</v>
      </c>
    </row>
    <row r="86" ht="15.75" customHeight="1">
      <c r="A86" s="787">
        <v>1972.0</v>
      </c>
      <c r="B86" s="38"/>
      <c r="C86" s="38"/>
      <c r="D86" s="38"/>
      <c r="E86" s="38"/>
      <c r="F86" s="38"/>
      <c r="G86" s="38"/>
      <c r="H86" s="38"/>
      <c r="I86" s="38"/>
      <c r="J86" s="38"/>
      <c r="K86" s="38"/>
      <c r="L86" s="38"/>
      <c r="M86" s="38"/>
      <c r="N86" s="38"/>
      <c r="O86" s="38"/>
      <c r="P86" s="38"/>
      <c r="Q86" s="38"/>
      <c r="R86" s="38"/>
      <c r="S86" s="38"/>
      <c r="T86" s="38"/>
      <c r="U86" s="38"/>
      <c r="V86" s="769">
        <v>0.0</v>
      </c>
      <c r="W86" s="252">
        <f t="shared" si="18"/>
        <v>0</v>
      </c>
      <c r="X86" s="252">
        <f t="shared" ref="X86:BA86" si="60">IF(AND(X$43-$A86&gt;$V$30,SUM($W86:W86)&lt;&gt;$V86),$V86,0)</f>
        <v>0</v>
      </c>
      <c r="Y86" s="252">
        <f t="shared" si="60"/>
        <v>0</v>
      </c>
      <c r="Z86" s="252">
        <f t="shared" si="60"/>
        <v>0</v>
      </c>
      <c r="AA86" s="252">
        <f t="shared" si="60"/>
        <v>0</v>
      </c>
      <c r="AB86" s="252">
        <f t="shared" si="60"/>
        <v>0</v>
      </c>
      <c r="AC86" s="252">
        <f t="shared" si="60"/>
        <v>0</v>
      </c>
      <c r="AD86" s="252">
        <f t="shared" si="60"/>
        <v>0</v>
      </c>
      <c r="AE86" s="252">
        <f t="shared" si="60"/>
        <v>0</v>
      </c>
      <c r="AF86" s="252">
        <f t="shared" si="60"/>
        <v>0</v>
      </c>
      <c r="AG86" s="252">
        <f t="shared" si="60"/>
        <v>0</v>
      </c>
      <c r="AH86" s="252">
        <f t="shared" si="60"/>
        <v>0</v>
      </c>
      <c r="AI86" s="252">
        <f t="shared" si="60"/>
        <v>0</v>
      </c>
      <c r="AJ86" s="252">
        <f t="shared" si="60"/>
        <v>0</v>
      </c>
      <c r="AK86" s="252">
        <f t="shared" si="60"/>
        <v>0</v>
      </c>
      <c r="AL86" s="252">
        <f t="shared" si="60"/>
        <v>0</v>
      </c>
      <c r="AM86" s="252">
        <f t="shared" si="60"/>
        <v>0</v>
      </c>
      <c r="AN86" s="252">
        <f t="shared" si="60"/>
        <v>0</v>
      </c>
      <c r="AO86" s="252">
        <f t="shared" si="60"/>
        <v>0</v>
      </c>
      <c r="AP86" s="252">
        <f t="shared" si="60"/>
        <v>0</v>
      </c>
      <c r="AQ86" s="252">
        <f t="shared" si="60"/>
        <v>0</v>
      </c>
      <c r="AR86" s="252">
        <f t="shared" si="60"/>
        <v>0</v>
      </c>
      <c r="AS86" s="252">
        <f t="shared" si="60"/>
        <v>0</v>
      </c>
      <c r="AT86" s="252">
        <f t="shared" si="60"/>
        <v>0</v>
      </c>
      <c r="AU86" s="252">
        <f t="shared" si="60"/>
        <v>0</v>
      </c>
      <c r="AV86" s="252">
        <f t="shared" si="60"/>
        <v>0</v>
      </c>
      <c r="AW86" s="252">
        <f t="shared" si="60"/>
        <v>0</v>
      </c>
      <c r="AX86" s="252">
        <f t="shared" si="60"/>
        <v>0</v>
      </c>
      <c r="AY86" s="252">
        <f t="shared" si="60"/>
        <v>0</v>
      </c>
      <c r="AZ86" s="252">
        <f t="shared" si="60"/>
        <v>0</v>
      </c>
      <c r="BA86" s="252">
        <f t="shared" si="60"/>
        <v>0</v>
      </c>
    </row>
    <row r="87" ht="15.75" customHeight="1">
      <c r="A87" s="787">
        <v>1973.0</v>
      </c>
      <c r="B87" s="38"/>
      <c r="C87" s="38"/>
      <c r="D87" s="38"/>
      <c r="E87" s="38"/>
      <c r="F87" s="38"/>
      <c r="G87" s="38"/>
      <c r="H87" s="38"/>
      <c r="I87" s="38"/>
      <c r="J87" s="38"/>
      <c r="K87" s="38"/>
      <c r="L87" s="38"/>
      <c r="M87" s="38"/>
      <c r="N87" s="38"/>
      <c r="O87" s="38"/>
      <c r="P87" s="38"/>
      <c r="Q87" s="38"/>
      <c r="R87" s="38"/>
      <c r="S87" s="38"/>
      <c r="T87" s="38"/>
      <c r="U87" s="38"/>
      <c r="V87" s="769">
        <v>0.0</v>
      </c>
      <c r="W87" s="252">
        <f t="shared" si="18"/>
        <v>0</v>
      </c>
      <c r="X87" s="252">
        <f t="shared" ref="X87:BA87" si="61">IF(AND(X$43-$A87&gt;$V$30,SUM($W87:W87)&lt;&gt;$V87),$V87,0)</f>
        <v>0</v>
      </c>
      <c r="Y87" s="252">
        <f t="shared" si="61"/>
        <v>0</v>
      </c>
      <c r="Z87" s="252">
        <f t="shared" si="61"/>
        <v>0</v>
      </c>
      <c r="AA87" s="252">
        <f t="shared" si="61"/>
        <v>0</v>
      </c>
      <c r="AB87" s="252">
        <f t="shared" si="61"/>
        <v>0</v>
      </c>
      <c r="AC87" s="252">
        <f t="shared" si="61"/>
        <v>0</v>
      </c>
      <c r="AD87" s="252">
        <f t="shared" si="61"/>
        <v>0</v>
      </c>
      <c r="AE87" s="252">
        <f t="shared" si="61"/>
        <v>0</v>
      </c>
      <c r="AF87" s="252">
        <f t="shared" si="61"/>
        <v>0</v>
      </c>
      <c r="AG87" s="252">
        <f t="shared" si="61"/>
        <v>0</v>
      </c>
      <c r="AH87" s="252">
        <f t="shared" si="61"/>
        <v>0</v>
      </c>
      <c r="AI87" s="252">
        <f t="shared" si="61"/>
        <v>0</v>
      </c>
      <c r="AJ87" s="252">
        <f t="shared" si="61"/>
        <v>0</v>
      </c>
      <c r="AK87" s="252">
        <f t="shared" si="61"/>
        <v>0</v>
      </c>
      <c r="AL87" s="252">
        <f t="shared" si="61"/>
        <v>0</v>
      </c>
      <c r="AM87" s="252">
        <f t="shared" si="61"/>
        <v>0</v>
      </c>
      <c r="AN87" s="252">
        <f t="shared" si="61"/>
        <v>0</v>
      </c>
      <c r="AO87" s="252">
        <f t="shared" si="61"/>
        <v>0</v>
      </c>
      <c r="AP87" s="252">
        <f t="shared" si="61"/>
        <v>0</v>
      </c>
      <c r="AQ87" s="252">
        <f t="shared" si="61"/>
        <v>0</v>
      </c>
      <c r="AR87" s="252">
        <f t="shared" si="61"/>
        <v>0</v>
      </c>
      <c r="AS87" s="252">
        <f t="shared" si="61"/>
        <v>0</v>
      </c>
      <c r="AT87" s="252">
        <f t="shared" si="61"/>
        <v>0</v>
      </c>
      <c r="AU87" s="252">
        <f t="shared" si="61"/>
        <v>0</v>
      </c>
      <c r="AV87" s="252">
        <f t="shared" si="61"/>
        <v>0</v>
      </c>
      <c r="AW87" s="252">
        <f t="shared" si="61"/>
        <v>0</v>
      </c>
      <c r="AX87" s="252">
        <f t="shared" si="61"/>
        <v>0</v>
      </c>
      <c r="AY87" s="252">
        <f t="shared" si="61"/>
        <v>0</v>
      </c>
      <c r="AZ87" s="252">
        <f t="shared" si="61"/>
        <v>0</v>
      </c>
      <c r="BA87" s="252">
        <f t="shared" si="61"/>
        <v>0</v>
      </c>
    </row>
    <row r="88" ht="15.75" customHeight="1">
      <c r="A88" s="787">
        <v>1974.0</v>
      </c>
      <c r="B88" s="38"/>
      <c r="C88" s="38"/>
      <c r="D88" s="38"/>
      <c r="E88" s="38"/>
      <c r="F88" s="38"/>
      <c r="G88" s="38"/>
      <c r="H88" s="38"/>
      <c r="I88" s="38"/>
      <c r="J88" s="38"/>
      <c r="K88" s="38"/>
      <c r="L88" s="38"/>
      <c r="M88" s="38"/>
      <c r="N88" s="38"/>
      <c r="O88" s="38"/>
      <c r="P88" s="38"/>
      <c r="Q88" s="38"/>
      <c r="R88" s="38"/>
      <c r="S88" s="38"/>
      <c r="T88" s="38"/>
      <c r="U88" s="38"/>
      <c r="V88" s="769">
        <v>0.0</v>
      </c>
      <c r="W88" s="252">
        <f t="shared" si="18"/>
        <v>0</v>
      </c>
      <c r="X88" s="252">
        <f t="shared" ref="X88:BA88" si="62">IF(AND(X$43-$A88&gt;$V$30,SUM($W88:W88)&lt;&gt;$V88),$V88,0)</f>
        <v>0</v>
      </c>
      <c r="Y88" s="252">
        <f t="shared" si="62"/>
        <v>0</v>
      </c>
      <c r="Z88" s="252">
        <f t="shared" si="62"/>
        <v>0</v>
      </c>
      <c r="AA88" s="252">
        <f t="shared" si="62"/>
        <v>0</v>
      </c>
      <c r="AB88" s="252">
        <f t="shared" si="62"/>
        <v>0</v>
      </c>
      <c r="AC88" s="252">
        <f t="shared" si="62"/>
        <v>0</v>
      </c>
      <c r="AD88" s="252">
        <f t="shared" si="62"/>
        <v>0</v>
      </c>
      <c r="AE88" s="252">
        <f t="shared" si="62"/>
        <v>0</v>
      </c>
      <c r="AF88" s="252">
        <f t="shared" si="62"/>
        <v>0</v>
      </c>
      <c r="AG88" s="252">
        <f t="shared" si="62"/>
        <v>0</v>
      </c>
      <c r="AH88" s="252">
        <f t="shared" si="62"/>
        <v>0</v>
      </c>
      <c r="AI88" s="252">
        <f t="shared" si="62"/>
        <v>0</v>
      </c>
      <c r="AJ88" s="252">
        <f t="shared" si="62"/>
        <v>0</v>
      </c>
      <c r="AK88" s="252">
        <f t="shared" si="62"/>
        <v>0</v>
      </c>
      <c r="AL88" s="252">
        <f t="shared" si="62"/>
        <v>0</v>
      </c>
      <c r="AM88" s="252">
        <f t="shared" si="62"/>
        <v>0</v>
      </c>
      <c r="AN88" s="252">
        <f t="shared" si="62"/>
        <v>0</v>
      </c>
      <c r="AO88" s="252">
        <f t="shared" si="62"/>
        <v>0</v>
      </c>
      <c r="AP88" s="252">
        <f t="shared" si="62"/>
        <v>0</v>
      </c>
      <c r="AQ88" s="252">
        <f t="shared" si="62"/>
        <v>0</v>
      </c>
      <c r="AR88" s="252">
        <f t="shared" si="62"/>
        <v>0</v>
      </c>
      <c r="AS88" s="252">
        <f t="shared" si="62"/>
        <v>0</v>
      </c>
      <c r="AT88" s="252">
        <f t="shared" si="62"/>
        <v>0</v>
      </c>
      <c r="AU88" s="252">
        <f t="shared" si="62"/>
        <v>0</v>
      </c>
      <c r="AV88" s="252">
        <f t="shared" si="62"/>
        <v>0</v>
      </c>
      <c r="AW88" s="252">
        <f t="shared" si="62"/>
        <v>0</v>
      </c>
      <c r="AX88" s="252">
        <f t="shared" si="62"/>
        <v>0</v>
      </c>
      <c r="AY88" s="252">
        <f t="shared" si="62"/>
        <v>0</v>
      </c>
      <c r="AZ88" s="252">
        <f t="shared" si="62"/>
        <v>0</v>
      </c>
      <c r="BA88" s="252">
        <f t="shared" si="62"/>
        <v>0</v>
      </c>
    </row>
    <row r="89" ht="15.75" customHeight="1">
      <c r="A89" s="787">
        <v>1975.0</v>
      </c>
      <c r="B89" s="38"/>
      <c r="C89" s="38"/>
      <c r="D89" s="38"/>
      <c r="E89" s="38"/>
      <c r="F89" s="38"/>
      <c r="G89" s="38"/>
      <c r="H89" s="38"/>
      <c r="I89" s="38"/>
      <c r="J89" s="38"/>
      <c r="K89" s="38"/>
      <c r="L89" s="38"/>
      <c r="M89" s="38"/>
      <c r="N89" s="38"/>
      <c r="O89" s="38"/>
      <c r="P89" s="38"/>
      <c r="Q89" s="38"/>
      <c r="R89" s="38"/>
      <c r="S89" s="38"/>
      <c r="T89" s="38"/>
      <c r="U89" s="38"/>
      <c r="V89" s="769">
        <v>0.0</v>
      </c>
      <c r="W89" s="252">
        <f t="shared" si="18"/>
        <v>0</v>
      </c>
      <c r="X89" s="252">
        <f t="shared" ref="X89:BA89" si="63">IF(AND(X$43-$A89&gt;$V$30,SUM($W89:W89)&lt;&gt;$V89),$V89,0)</f>
        <v>0</v>
      </c>
      <c r="Y89" s="252">
        <f t="shared" si="63"/>
        <v>0</v>
      </c>
      <c r="Z89" s="252">
        <f t="shared" si="63"/>
        <v>0</v>
      </c>
      <c r="AA89" s="252">
        <f t="shared" si="63"/>
        <v>0</v>
      </c>
      <c r="AB89" s="252">
        <f t="shared" si="63"/>
        <v>0</v>
      </c>
      <c r="AC89" s="252">
        <f t="shared" si="63"/>
        <v>0</v>
      </c>
      <c r="AD89" s="252">
        <f t="shared" si="63"/>
        <v>0</v>
      </c>
      <c r="AE89" s="252">
        <f t="shared" si="63"/>
        <v>0</v>
      </c>
      <c r="AF89" s="252">
        <f t="shared" si="63"/>
        <v>0</v>
      </c>
      <c r="AG89" s="252">
        <f t="shared" si="63"/>
        <v>0</v>
      </c>
      <c r="AH89" s="252">
        <f t="shared" si="63"/>
        <v>0</v>
      </c>
      <c r="AI89" s="252">
        <f t="shared" si="63"/>
        <v>0</v>
      </c>
      <c r="AJ89" s="252">
        <f t="shared" si="63"/>
        <v>0</v>
      </c>
      <c r="AK89" s="252">
        <f t="shared" si="63"/>
        <v>0</v>
      </c>
      <c r="AL89" s="252">
        <f t="shared" si="63"/>
        <v>0</v>
      </c>
      <c r="AM89" s="252">
        <f t="shared" si="63"/>
        <v>0</v>
      </c>
      <c r="AN89" s="252">
        <f t="shared" si="63"/>
        <v>0</v>
      </c>
      <c r="AO89" s="252">
        <f t="shared" si="63"/>
        <v>0</v>
      </c>
      <c r="AP89" s="252">
        <f t="shared" si="63"/>
        <v>0</v>
      </c>
      <c r="AQ89" s="252">
        <f t="shared" si="63"/>
        <v>0</v>
      </c>
      <c r="AR89" s="252">
        <f t="shared" si="63"/>
        <v>0</v>
      </c>
      <c r="AS89" s="252">
        <f t="shared" si="63"/>
        <v>0</v>
      </c>
      <c r="AT89" s="252">
        <f t="shared" si="63"/>
        <v>0</v>
      </c>
      <c r="AU89" s="252">
        <f t="shared" si="63"/>
        <v>0</v>
      </c>
      <c r="AV89" s="252">
        <f t="shared" si="63"/>
        <v>0</v>
      </c>
      <c r="AW89" s="252">
        <f t="shared" si="63"/>
        <v>0</v>
      </c>
      <c r="AX89" s="252">
        <f t="shared" si="63"/>
        <v>0</v>
      </c>
      <c r="AY89" s="252">
        <f t="shared" si="63"/>
        <v>0</v>
      </c>
      <c r="AZ89" s="252">
        <f t="shared" si="63"/>
        <v>0</v>
      </c>
      <c r="BA89" s="252">
        <f t="shared" si="63"/>
        <v>0</v>
      </c>
    </row>
    <row r="90" ht="15.75" customHeight="1">
      <c r="A90" s="787">
        <v>1976.0</v>
      </c>
      <c r="B90" s="38"/>
      <c r="C90" s="38"/>
      <c r="D90" s="38"/>
      <c r="E90" s="38"/>
      <c r="F90" s="38"/>
      <c r="G90" s="38"/>
      <c r="H90" s="38"/>
      <c r="I90" s="38"/>
      <c r="J90" s="38"/>
      <c r="K90" s="38"/>
      <c r="L90" s="38"/>
      <c r="M90" s="38"/>
      <c r="N90" s="38"/>
      <c r="O90" s="38"/>
      <c r="P90" s="38"/>
      <c r="Q90" s="38"/>
      <c r="R90" s="38"/>
      <c r="S90" s="38"/>
      <c r="T90" s="38"/>
      <c r="U90" s="38"/>
      <c r="V90" s="769">
        <v>0.0</v>
      </c>
      <c r="W90" s="252">
        <f t="shared" si="18"/>
        <v>0</v>
      </c>
      <c r="X90" s="252">
        <f t="shared" ref="X90:BA90" si="64">IF(AND(X$43-$A90&gt;$V$30,SUM($W90:W90)&lt;&gt;$V90),$V90,0)</f>
        <v>0</v>
      </c>
      <c r="Y90" s="252">
        <f t="shared" si="64"/>
        <v>0</v>
      </c>
      <c r="Z90" s="252">
        <f t="shared" si="64"/>
        <v>0</v>
      </c>
      <c r="AA90" s="252">
        <f t="shared" si="64"/>
        <v>0</v>
      </c>
      <c r="AB90" s="252">
        <f t="shared" si="64"/>
        <v>0</v>
      </c>
      <c r="AC90" s="252">
        <f t="shared" si="64"/>
        <v>0</v>
      </c>
      <c r="AD90" s="252">
        <f t="shared" si="64"/>
        <v>0</v>
      </c>
      <c r="AE90" s="252">
        <f t="shared" si="64"/>
        <v>0</v>
      </c>
      <c r="AF90" s="252">
        <f t="shared" si="64"/>
        <v>0</v>
      </c>
      <c r="AG90" s="252">
        <f t="shared" si="64"/>
        <v>0</v>
      </c>
      <c r="AH90" s="252">
        <f t="shared" si="64"/>
        <v>0</v>
      </c>
      <c r="AI90" s="252">
        <f t="shared" si="64"/>
        <v>0</v>
      </c>
      <c r="AJ90" s="252">
        <f t="shared" si="64"/>
        <v>0</v>
      </c>
      <c r="AK90" s="252">
        <f t="shared" si="64"/>
        <v>0</v>
      </c>
      <c r="AL90" s="252">
        <f t="shared" si="64"/>
        <v>0</v>
      </c>
      <c r="AM90" s="252">
        <f t="shared" si="64"/>
        <v>0</v>
      </c>
      <c r="AN90" s="252">
        <f t="shared" si="64"/>
        <v>0</v>
      </c>
      <c r="AO90" s="252">
        <f t="shared" si="64"/>
        <v>0</v>
      </c>
      <c r="AP90" s="252">
        <f t="shared" si="64"/>
        <v>0</v>
      </c>
      <c r="AQ90" s="252">
        <f t="shared" si="64"/>
        <v>0</v>
      </c>
      <c r="AR90" s="252">
        <f t="shared" si="64"/>
        <v>0</v>
      </c>
      <c r="AS90" s="252">
        <f t="shared" si="64"/>
        <v>0</v>
      </c>
      <c r="AT90" s="252">
        <f t="shared" si="64"/>
        <v>0</v>
      </c>
      <c r="AU90" s="252">
        <f t="shared" si="64"/>
        <v>0</v>
      </c>
      <c r="AV90" s="252">
        <f t="shared" si="64"/>
        <v>0</v>
      </c>
      <c r="AW90" s="252">
        <f t="shared" si="64"/>
        <v>0</v>
      </c>
      <c r="AX90" s="252">
        <f t="shared" si="64"/>
        <v>0</v>
      </c>
      <c r="AY90" s="252">
        <f t="shared" si="64"/>
        <v>0</v>
      </c>
      <c r="AZ90" s="252">
        <f t="shared" si="64"/>
        <v>0</v>
      </c>
      <c r="BA90" s="252">
        <f t="shared" si="64"/>
        <v>0</v>
      </c>
    </row>
    <row r="91" ht="15.75" customHeight="1">
      <c r="A91" s="787">
        <v>1977.0</v>
      </c>
      <c r="B91" s="38"/>
      <c r="C91" s="38"/>
      <c r="D91" s="38"/>
      <c r="E91" s="38"/>
      <c r="F91" s="38"/>
      <c r="G91" s="38"/>
      <c r="H91" s="38"/>
      <c r="I91" s="38"/>
      <c r="J91" s="38"/>
      <c r="K91" s="38"/>
      <c r="L91" s="38"/>
      <c r="M91" s="38"/>
      <c r="N91" s="38"/>
      <c r="O91" s="38"/>
      <c r="P91" s="38"/>
      <c r="Q91" s="38"/>
      <c r="R91" s="38"/>
      <c r="S91" s="38"/>
      <c r="T91" s="38"/>
      <c r="U91" s="38"/>
      <c r="V91" s="769">
        <v>0.0</v>
      </c>
      <c r="W91" s="252">
        <f t="shared" si="18"/>
        <v>0</v>
      </c>
      <c r="X91" s="252">
        <f t="shared" ref="X91:BA91" si="65">IF(AND(X$43-$A91&gt;$V$30,SUM($W91:W91)&lt;&gt;$V91),$V91,0)</f>
        <v>0</v>
      </c>
      <c r="Y91" s="252">
        <f t="shared" si="65"/>
        <v>0</v>
      </c>
      <c r="Z91" s="252">
        <f t="shared" si="65"/>
        <v>0</v>
      </c>
      <c r="AA91" s="252">
        <f t="shared" si="65"/>
        <v>0</v>
      </c>
      <c r="AB91" s="252">
        <f t="shared" si="65"/>
        <v>0</v>
      </c>
      <c r="AC91" s="252">
        <f t="shared" si="65"/>
        <v>0</v>
      </c>
      <c r="AD91" s="252">
        <f t="shared" si="65"/>
        <v>0</v>
      </c>
      <c r="AE91" s="252">
        <f t="shared" si="65"/>
        <v>0</v>
      </c>
      <c r="AF91" s="252">
        <f t="shared" si="65"/>
        <v>0</v>
      </c>
      <c r="AG91" s="252">
        <f t="shared" si="65"/>
        <v>0</v>
      </c>
      <c r="AH91" s="252">
        <f t="shared" si="65"/>
        <v>0</v>
      </c>
      <c r="AI91" s="252">
        <f t="shared" si="65"/>
        <v>0</v>
      </c>
      <c r="AJ91" s="252">
        <f t="shared" si="65"/>
        <v>0</v>
      </c>
      <c r="AK91" s="252">
        <f t="shared" si="65"/>
        <v>0</v>
      </c>
      <c r="AL91" s="252">
        <f t="shared" si="65"/>
        <v>0</v>
      </c>
      <c r="AM91" s="252">
        <f t="shared" si="65"/>
        <v>0</v>
      </c>
      <c r="AN91" s="252">
        <f t="shared" si="65"/>
        <v>0</v>
      </c>
      <c r="AO91" s="252">
        <f t="shared" si="65"/>
        <v>0</v>
      </c>
      <c r="AP91" s="252">
        <f t="shared" si="65"/>
        <v>0</v>
      </c>
      <c r="AQ91" s="252">
        <f t="shared" si="65"/>
        <v>0</v>
      </c>
      <c r="AR91" s="252">
        <f t="shared" si="65"/>
        <v>0</v>
      </c>
      <c r="AS91" s="252">
        <f t="shared" si="65"/>
        <v>0</v>
      </c>
      <c r="AT91" s="252">
        <f t="shared" si="65"/>
        <v>0</v>
      </c>
      <c r="AU91" s="252">
        <f t="shared" si="65"/>
        <v>0</v>
      </c>
      <c r="AV91" s="252">
        <f t="shared" si="65"/>
        <v>0</v>
      </c>
      <c r="AW91" s="252">
        <f t="shared" si="65"/>
        <v>0</v>
      </c>
      <c r="AX91" s="252">
        <f t="shared" si="65"/>
        <v>0</v>
      </c>
      <c r="AY91" s="252">
        <f t="shared" si="65"/>
        <v>0</v>
      </c>
      <c r="AZ91" s="252">
        <f t="shared" si="65"/>
        <v>0</v>
      </c>
      <c r="BA91" s="252">
        <f t="shared" si="65"/>
        <v>0</v>
      </c>
    </row>
    <row r="92" ht="15.75" customHeight="1">
      <c r="A92" s="787">
        <v>1978.0</v>
      </c>
      <c r="B92" s="38"/>
      <c r="C92" s="38"/>
      <c r="D92" s="38"/>
      <c r="E92" s="38"/>
      <c r="F92" s="38"/>
      <c r="G92" s="38"/>
      <c r="H92" s="38"/>
      <c r="I92" s="38"/>
      <c r="J92" s="38"/>
      <c r="K92" s="38"/>
      <c r="L92" s="38"/>
      <c r="M92" s="38"/>
      <c r="N92" s="38"/>
      <c r="O92" s="38"/>
      <c r="P92" s="38"/>
      <c r="Q92" s="38"/>
      <c r="R92" s="38"/>
      <c r="S92" s="38"/>
      <c r="T92" s="38"/>
      <c r="U92" s="38"/>
      <c r="V92" s="769">
        <v>0.0</v>
      </c>
      <c r="W92" s="252">
        <f t="shared" si="18"/>
        <v>0</v>
      </c>
      <c r="X92" s="252">
        <f t="shared" ref="X92:BA92" si="66">IF(AND(X$43-$A92&gt;$V$30,SUM($W92:W92)&lt;&gt;$V92),$V92,0)</f>
        <v>0</v>
      </c>
      <c r="Y92" s="252">
        <f t="shared" si="66"/>
        <v>0</v>
      </c>
      <c r="Z92" s="252">
        <f t="shared" si="66"/>
        <v>0</v>
      </c>
      <c r="AA92" s="252">
        <f t="shared" si="66"/>
        <v>0</v>
      </c>
      <c r="AB92" s="252">
        <f t="shared" si="66"/>
        <v>0</v>
      </c>
      <c r="AC92" s="252">
        <f t="shared" si="66"/>
        <v>0</v>
      </c>
      <c r="AD92" s="252">
        <f t="shared" si="66"/>
        <v>0</v>
      </c>
      <c r="AE92" s="252">
        <f t="shared" si="66"/>
        <v>0</v>
      </c>
      <c r="AF92" s="252">
        <f t="shared" si="66"/>
        <v>0</v>
      </c>
      <c r="AG92" s="252">
        <f t="shared" si="66"/>
        <v>0</v>
      </c>
      <c r="AH92" s="252">
        <f t="shared" si="66"/>
        <v>0</v>
      </c>
      <c r="AI92" s="252">
        <f t="shared" si="66"/>
        <v>0</v>
      </c>
      <c r="AJ92" s="252">
        <f t="shared" si="66"/>
        <v>0</v>
      </c>
      <c r="AK92" s="252">
        <f t="shared" si="66"/>
        <v>0</v>
      </c>
      <c r="AL92" s="252">
        <f t="shared" si="66"/>
        <v>0</v>
      </c>
      <c r="AM92" s="252">
        <f t="shared" si="66"/>
        <v>0</v>
      </c>
      <c r="AN92" s="252">
        <f t="shared" si="66"/>
        <v>0</v>
      </c>
      <c r="AO92" s="252">
        <f t="shared" si="66"/>
        <v>0</v>
      </c>
      <c r="AP92" s="252">
        <f t="shared" si="66"/>
        <v>0</v>
      </c>
      <c r="AQ92" s="252">
        <f t="shared" si="66"/>
        <v>0</v>
      </c>
      <c r="AR92" s="252">
        <f t="shared" si="66"/>
        <v>0</v>
      </c>
      <c r="AS92" s="252">
        <f t="shared" si="66"/>
        <v>0</v>
      </c>
      <c r="AT92" s="252">
        <f t="shared" si="66"/>
        <v>0</v>
      </c>
      <c r="AU92" s="252">
        <f t="shared" si="66"/>
        <v>0</v>
      </c>
      <c r="AV92" s="252">
        <f t="shared" si="66"/>
        <v>0</v>
      </c>
      <c r="AW92" s="252">
        <f t="shared" si="66"/>
        <v>0</v>
      </c>
      <c r="AX92" s="252">
        <f t="shared" si="66"/>
        <v>0</v>
      </c>
      <c r="AY92" s="252">
        <f t="shared" si="66"/>
        <v>0</v>
      </c>
      <c r="AZ92" s="252">
        <f t="shared" si="66"/>
        <v>0</v>
      </c>
      <c r="BA92" s="252">
        <f t="shared" si="66"/>
        <v>0</v>
      </c>
    </row>
    <row r="93" ht="15.75" customHeight="1">
      <c r="A93" s="787">
        <v>1979.0</v>
      </c>
      <c r="B93" s="38"/>
      <c r="C93" s="38"/>
      <c r="D93" s="38"/>
      <c r="E93" s="38"/>
      <c r="F93" s="38"/>
      <c r="G93" s="38"/>
      <c r="H93" s="38"/>
      <c r="I93" s="38"/>
      <c r="J93" s="38"/>
      <c r="K93" s="38"/>
      <c r="L93" s="38"/>
      <c r="M93" s="38"/>
      <c r="N93" s="38"/>
      <c r="O93" s="38"/>
      <c r="P93" s="38"/>
      <c r="Q93" s="38"/>
      <c r="R93" s="38"/>
      <c r="S93" s="38"/>
      <c r="T93" s="38"/>
      <c r="U93" s="38"/>
      <c r="V93" s="769">
        <v>0.0</v>
      </c>
      <c r="W93" s="252">
        <f t="shared" si="18"/>
        <v>0</v>
      </c>
      <c r="X93" s="252">
        <f t="shared" ref="X93:BA93" si="67">IF(AND(X$43-$A93&gt;$V$30,SUM($W93:W93)&lt;&gt;$V93),$V93,0)</f>
        <v>0</v>
      </c>
      <c r="Y93" s="252">
        <f t="shared" si="67"/>
        <v>0</v>
      </c>
      <c r="Z93" s="252">
        <f t="shared" si="67"/>
        <v>0</v>
      </c>
      <c r="AA93" s="252">
        <f t="shared" si="67"/>
        <v>0</v>
      </c>
      <c r="AB93" s="252">
        <f t="shared" si="67"/>
        <v>0</v>
      </c>
      <c r="AC93" s="252">
        <f t="shared" si="67"/>
        <v>0</v>
      </c>
      <c r="AD93" s="252">
        <f t="shared" si="67"/>
        <v>0</v>
      </c>
      <c r="AE93" s="252">
        <f t="shared" si="67"/>
        <v>0</v>
      </c>
      <c r="AF93" s="252">
        <f t="shared" si="67"/>
        <v>0</v>
      </c>
      <c r="AG93" s="252">
        <f t="shared" si="67"/>
        <v>0</v>
      </c>
      <c r="AH93" s="252">
        <f t="shared" si="67"/>
        <v>0</v>
      </c>
      <c r="AI93" s="252">
        <f t="shared" si="67"/>
        <v>0</v>
      </c>
      <c r="AJ93" s="252">
        <f t="shared" si="67"/>
        <v>0</v>
      </c>
      <c r="AK93" s="252">
        <f t="shared" si="67"/>
        <v>0</v>
      </c>
      <c r="AL93" s="252">
        <f t="shared" si="67"/>
        <v>0</v>
      </c>
      <c r="AM93" s="252">
        <f t="shared" si="67"/>
        <v>0</v>
      </c>
      <c r="AN93" s="252">
        <f t="shared" si="67"/>
        <v>0</v>
      </c>
      <c r="AO93" s="252">
        <f t="shared" si="67"/>
        <v>0</v>
      </c>
      <c r="AP93" s="252">
        <f t="shared" si="67"/>
        <v>0</v>
      </c>
      <c r="AQ93" s="252">
        <f t="shared" si="67"/>
        <v>0</v>
      </c>
      <c r="AR93" s="252">
        <f t="shared" si="67"/>
        <v>0</v>
      </c>
      <c r="AS93" s="252">
        <f t="shared" si="67"/>
        <v>0</v>
      </c>
      <c r="AT93" s="252">
        <f t="shared" si="67"/>
        <v>0</v>
      </c>
      <c r="AU93" s="252">
        <f t="shared" si="67"/>
        <v>0</v>
      </c>
      <c r="AV93" s="252">
        <f t="shared" si="67"/>
        <v>0</v>
      </c>
      <c r="AW93" s="252">
        <f t="shared" si="67"/>
        <v>0</v>
      </c>
      <c r="AX93" s="252">
        <f t="shared" si="67"/>
        <v>0</v>
      </c>
      <c r="AY93" s="252">
        <f t="shared" si="67"/>
        <v>0</v>
      </c>
      <c r="AZ93" s="252">
        <f t="shared" si="67"/>
        <v>0</v>
      </c>
      <c r="BA93" s="252">
        <f t="shared" si="67"/>
        <v>0</v>
      </c>
    </row>
    <row r="94" ht="15.75" customHeight="1">
      <c r="A94" s="787">
        <v>1980.0</v>
      </c>
      <c r="B94" s="38"/>
      <c r="C94" s="38"/>
      <c r="D94" s="38"/>
      <c r="E94" s="38"/>
      <c r="F94" s="38"/>
      <c r="G94" s="38"/>
      <c r="H94" s="38"/>
      <c r="I94" s="38"/>
      <c r="J94" s="38"/>
      <c r="K94" s="38"/>
      <c r="L94" s="38"/>
      <c r="M94" s="38"/>
      <c r="N94" s="38"/>
      <c r="O94" s="38"/>
      <c r="P94" s="38"/>
      <c r="Q94" s="38"/>
      <c r="R94" s="38"/>
      <c r="S94" s="38"/>
      <c r="T94" s="38"/>
      <c r="U94" s="38"/>
      <c r="V94" s="769">
        <v>0.0</v>
      </c>
      <c r="W94" s="252">
        <f t="shared" si="18"/>
        <v>0</v>
      </c>
      <c r="X94" s="252">
        <f t="shared" ref="X94:BA94" si="68">IF(AND(X$43-$A94&gt;$V$30,SUM($W94:W94)&lt;&gt;$V94),$V94,0)</f>
        <v>0</v>
      </c>
      <c r="Y94" s="252">
        <f t="shared" si="68"/>
        <v>0</v>
      </c>
      <c r="Z94" s="252">
        <f t="shared" si="68"/>
        <v>0</v>
      </c>
      <c r="AA94" s="252">
        <f t="shared" si="68"/>
        <v>0</v>
      </c>
      <c r="AB94" s="252">
        <f t="shared" si="68"/>
        <v>0</v>
      </c>
      <c r="AC94" s="252">
        <f t="shared" si="68"/>
        <v>0</v>
      </c>
      <c r="AD94" s="252">
        <f t="shared" si="68"/>
        <v>0</v>
      </c>
      <c r="AE94" s="252">
        <f t="shared" si="68"/>
        <v>0</v>
      </c>
      <c r="AF94" s="252">
        <f t="shared" si="68"/>
        <v>0</v>
      </c>
      <c r="AG94" s="252">
        <f t="shared" si="68"/>
        <v>0</v>
      </c>
      <c r="AH94" s="252">
        <f t="shared" si="68"/>
        <v>0</v>
      </c>
      <c r="AI94" s="252">
        <f t="shared" si="68"/>
        <v>0</v>
      </c>
      <c r="AJ94" s="252">
        <f t="shared" si="68"/>
        <v>0</v>
      </c>
      <c r="AK94" s="252">
        <f t="shared" si="68"/>
        <v>0</v>
      </c>
      <c r="AL94" s="252">
        <f t="shared" si="68"/>
        <v>0</v>
      </c>
      <c r="AM94" s="252">
        <f t="shared" si="68"/>
        <v>0</v>
      </c>
      <c r="AN94" s="252">
        <f t="shared" si="68"/>
        <v>0</v>
      </c>
      <c r="AO94" s="252">
        <f t="shared" si="68"/>
        <v>0</v>
      </c>
      <c r="AP94" s="252">
        <f t="shared" si="68"/>
        <v>0</v>
      </c>
      <c r="AQ94" s="252">
        <f t="shared" si="68"/>
        <v>0</v>
      </c>
      <c r="AR94" s="252">
        <f t="shared" si="68"/>
        <v>0</v>
      </c>
      <c r="AS94" s="252">
        <f t="shared" si="68"/>
        <v>0</v>
      </c>
      <c r="AT94" s="252">
        <f t="shared" si="68"/>
        <v>0</v>
      </c>
      <c r="AU94" s="252">
        <f t="shared" si="68"/>
        <v>0</v>
      </c>
      <c r="AV94" s="252">
        <f t="shared" si="68"/>
        <v>0</v>
      </c>
      <c r="AW94" s="252">
        <f t="shared" si="68"/>
        <v>0</v>
      </c>
      <c r="AX94" s="252">
        <f t="shared" si="68"/>
        <v>0</v>
      </c>
      <c r="AY94" s="252">
        <f t="shared" si="68"/>
        <v>0</v>
      </c>
      <c r="AZ94" s="252">
        <f t="shared" si="68"/>
        <v>0</v>
      </c>
      <c r="BA94" s="252">
        <f t="shared" si="68"/>
        <v>0</v>
      </c>
    </row>
    <row r="95" ht="15.75" customHeight="1">
      <c r="A95" s="787">
        <v>1981.0</v>
      </c>
      <c r="B95" s="38"/>
      <c r="C95" s="38"/>
      <c r="D95" s="38"/>
      <c r="E95" s="38"/>
      <c r="F95" s="38"/>
      <c r="G95" s="38"/>
      <c r="H95" s="38"/>
      <c r="I95" s="38"/>
      <c r="J95" s="38"/>
      <c r="K95" s="38"/>
      <c r="L95" s="38"/>
      <c r="M95" s="38"/>
      <c r="N95" s="38"/>
      <c r="O95" s="38"/>
      <c r="P95" s="38"/>
      <c r="Q95" s="38"/>
      <c r="R95" s="38"/>
      <c r="S95" s="38"/>
      <c r="T95" s="38"/>
      <c r="U95" s="38"/>
      <c r="V95" s="769">
        <v>0.0</v>
      </c>
      <c r="W95" s="252">
        <f t="shared" si="18"/>
        <v>0</v>
      </c>
      <c r="X95" s="252">
        <f t="shared" ref="X95:BA95" si="69">IF(AND(X$43-$A95&gt;$V$30,SUM($W95:W95)&lt;&gt;$V95),$V95,0)</f>
        <v>0</v>
      </c>
      <c r="Y95" s="252">
        <f t="shared" si="69"/>
        <v>0</v>
      </c>
      <c r="Z95" s="252">
        <f t="shared" si="69"/>
        <v>0</v>
      </c>
      <c r="AA95" s="252">
        <f t="shared" si="69"/>
        <v>0</v>
      </c>
      <c r="AB95" s="252">
        <f t="shared" si="69"/>
        <v>0</v>
      </c>
      <c r="AC95" s="252">
        <f t="shared" si="69"/>
        <v>0</v>
      </c>
      <c r="AD95" s="252">
        <f t="shared" si="69"/>
        <v>0</v>
      </c>
      <c r="AE95" s="252">
        <f t="shared" si="69"/>
        <v>0</v>
      </c>
      <c r="AF95" s="252">
        <f t="shared" si="69"/>
        <v>0</v>
      </c>
      <c r="AG95" s="252">
        <f t="shared" si="69"/>
        <v>0</v>
      </c>
      <c r="AH95" s="252">
        <f t="shared" si="69"/>
        <v>0</v>
      </c>
      <c r="AI95" s="252">
        <f t="shared" si="69"/>
        <v>0</v>
      </c>
      <c r="AJ95" s="252">
        <f t="shared" si="69"/>
        <v>0</v>
      </c>
      <c r="AK95" s="252">
        <f t="shared" si="69"/>
        <v>0</v>
      </c>
      <c r="AL95" s="252">
        <f t="shared" si="69"/>
        <v>0</v>
      </c>
      <c r="AM95" s="252">
        <f t="shared" si="69"/>
        <v>0</v>
      </c>
      <c r="AN95" s="252">
        <f t="shared" si="69"/>
        <v>0</v>
      </c>
      <c r="AO95" s="252">
        <f t="shared" si="69"/>
        <v>0</v>
      </c>
      <c r="AP95" s="252">
        <f t="shared" si="69"/>
        <v>0</v>
      </c>
      <c r="AQ95" s="252">
        <f t="shared" si="69"/>
        <v>0</v>
      </c>
      <c r="AR95" s="252">
        <f t="shared" si="69"/>
        <v>0</v>
      </c>
      <c r="AS95" s="252">
        <f t="shared" si="69"/>
        <v>0</v>
      </c>
      <c r="AT95" s="252">
        <f t="shared" si="69"/>
        <v>0</v>
      </c>
      <c r="AU95" s="252">
        <f t="shared" si="69"/>
        <v>0</v>
      </c>
      <c r="AV95" s="252">
        <f t="shared" si="69"/>
        <v>0</v>
      </c>
      <c r="AW95" s="252">
        <f t="shared" si="69"/>
        <v>0</v>
      </c>
      <c r="AX95" s="252">
        <f t="shared" si="69"/>
        <v>0</v>
      </c>
      <c r="AY95" s="252">
        <f t="shared" si="69"/>
        <v>0</v>
      </c>
      <c r="AZ95" s="252">
        <f t="shared" si="69"/>
        <v>0</v>
      </c>
      <c r="BA95" s="252">
        <f t="shared" si="69"/>
        <v>0</v>
      </c>
    </row>
    <row r="96" ht="15.75" customHeight="1">
      <c r="A96" s="787">
        <v>1982.0</v>
      </c>
      <c r="B96" s="38"/>
      <c r="C96" s="38"/>
      <c r="D96" s="38"/>
      <c r="E96" s="38"/>
      <c r="F96" s="38"/>
      <c r="G96" s="38"/>
      <c r="H96" s="38"/>
      <c r="I96" s="38"/>
      <c r="J96" s="38"/>
      <c r="K96" s="38"/>
      <c r="L96" s="38"/>
      <c r="M96" s="38"/>
      <c r="N96" s="38"/>
      <c r="O96" s="38"/>
      <c r="P96" s="38"/>
      <c r="Q96" s="38"/>
      <c r="R96" s="38"/>
      <c r="S96" s="38"/>
      <c r="T96" s="38"/>
      <c r="U96" s="38"/>
      <c r="V96" s="769">
        <v>0.0</v>
      </c>
      <c r="W96" s="252">
        <f t="shared" si="18"/>
        <v>0</v>
      </c>
      <c r="X96" s="252">
        <f t="shared" ref="X96:BA96" si="70">IF(AND(X$43-$A96&gt;$V$30,SUM($W96:W96)&lt;&gt;$V96),$V96,0)</f>
        <v>0</v>
      </c>
      <c r="Y96" s="252">
        <f t="shared" si="70"/>
        <v>0</v>
      </c>
      <c r="Z96" s="252">
        <f t="shared" si="70"/>
        <v>0</v>
      </c>
      <c r="AA96" s="252">
        <f t="shared" si="70"/>
        <v>0</v>
      </c>
      <c r="AB96" s="252">
        <f t="shared" si="70"/>
        <v>0</v>
      </c>
      <c r="AC96" s="252">
        <f t="shared" si="70"/>
        <v>0</v>
      </c>
      <c r="AD96" s="252">
        <f t="shared" si="70"/>
        <v>0</v>
      </c>
      <c r="AE96" s="252">
        <f t="shared" si="70"/>
        <v>0</v>
      </c>
      <c r="AF96" s="252">
        <f t="shared" si="70"/>
        <v>0</v>
      </c>
      <c r="AG96" s="252">
        <f t="shared" si="70"/>
        <v>0</v>
      </c>
      <c r="AH96" s="252">
        <f t="shared" si="70"/>
        <v>0</v>
      </c>
      <c r="AI96" s="252">
        <f t="shared" si="70"/>
        <v>0</v>
      </c>
      <c r="AJ96" s="252">
        <f t="shared" si="70"/>
        <v>0</v>
      </c>
      <c r="AK96" s="252">
        <f t="shared" si="70"/>
        <v>0</v>
      </c>
      <c r="AL96" s="252">
        <f t="shared" si="70"/>
        <v>0</v>
      </c>
      <c r="AM96" s="252">
        <f t="shared" si="70"/>
        <v>0</v>
      </c>
      <c r="AN96" s="252">
        <f t="shared" si="70"/>
        <v>0</v>
      </c>
      <c r="AO96" s="252">
        <f t="shared" si="70"/>
        <v>0</v>
      </c>
      <c r="AP96" s="252">
        <f t="shared" si="70"/>
        <v>0</v>
      </c>
      <c r="AQ96" s="252">
        <f t="shared" si="70"/>
        <v>0</v>
      </c>
      <c r="AR96" s="252">
        <f t="shared" si="70"/>
        <v>0</v>
      </c>
      <c r="AS96" s="252">
        <f t="shared" si="70"/>
        <v>0</v>
      </c>
      <c r="AT96" s="252">
        <f t="shared" si="70"/>
        <v>0</v>
      </c>
      <c r="AU96" s="252">
        <f t="shared" si="70"/>
        <v>0</v>
      </c>
      <c r="AV96" s="252">
        <f t="shared" si="70"/>
        <v>0</v>
      </c>
      <c r="AW96" s="252">
        <f t="shared" si="70"/>
        <v>0</v>
      </c>
      <c r="AX96" s="252">
        <f t="shared" si="70"/>
        <v>0</v>
      </c>
      <c r="AY96" s="252">
        <f t="shared" si="70"/>
        <v>0</v>
      </c>
      <c r="AZ96" s="252">
        <f t="shared" si="70"/>
        <v>0</v>
      </c>
      <c r="BA96" s="252">
        <f t="shared" si="70"/>
        <v>0</v>
      </c>
    </row>
    <row r="97" ht="15.75" customHeight="1">
      <c r="A97" s="787">
        <v>1983.0</v>
      </c>
      <c r="B97" s="38"/>
      <c r="C97" s="38"/>
      <c r="D97" s="38"/>
      <c r="E97" s="38"/>
      <c r="F97" s="38"/>
      <c r="G97" s="38"/>
      <c r="H97" s="38"/>
      <c r="I97" s="38"/>
      <c r="J97" s="38"/>
      <c r="K97" s="38"/>
      <c r="L97" s="38"/>
      <c r="M97" s="38"/>
      <c r="N97" s="38"/>
      <c r="O97" s="38"/>
      <c r="P97" s="38"/>
      <c r="Q97" s="38"/>
      <c r="R97" s="38"/>
      <c r="S97" s="38"/>
      <c r="T97" s="38"/>
      <c r="U97" s="38"/>
      <c r="V97" s="769">
        <v>0.0</v>
      </c>
      <c r="W97" s="252">
        <f t="shared" si="18"/>
        <v>0</v>
      </c>
      <c r="X97" s="252">
        <f t="shared" ref="X97:BA97" si="71">IF(AND(X$43-$A97&gt;$V$30,SUM($W97:W97)&lt;&gt;$V97),$V97,0)</f>
        <v>0</v>
      </c>
      <c r="Y97" s="252">
        <f t="shared" si="71"/>
        <v>0</v>
      </c>
      <c r="Z97" s="252">
        <f t="shared" si="71"/>
        <v>0</v>
      </c>
      <c r="AA97" s="252">
        <f t="shared" si="71"/>
        <v>0</v>
      </c>
      <c r="AB97" s="252">
        <f t="shared" si="71"/>
        <v>0</v>
      </c>
      <c r="AC97" s="252">
        <f t="shared" si="71"/>
        <v>0</v>
      </c>
      <c r="AD97" s="252">
        <f t="shared" si="71"/>
        <v>0</v>
      </c>
      <c r="AE97" s="252">
        <f t="shared" si="71"/>
        <v>0</v>
      </c>
      <c r="AF97" s="252">
        <f t="shared" si="71"/>
        <v>0</v>
      </c>
      <c r="AG97" s="252">
        <f t="shared" si="71"/>
        <v>0</v>
      </c>
      <c r="AH97" s="252">
        <f t="shared" si="71"/>
        <v>0</v>
      </c>
      <c r="AI97" s="252">
        <f t="shared" si="71"/>
        <v>0</v>
      </c>
      <c r="AJ97" s="252">
        <f t="shared" si="71"/>
        <v>0</v>
      </c>
      <c r="AK97" s="252">
        <f t="shared" si="71"/>
        <v>0</v>
      </c>
      <c r="AL97" s="252">
        <f t="shared" si="71"/>
        <v>0</v>
      </c>
      <c r="AM97" s="252">
        <f t="shared" si="71"/>
        <v>0</v>
      </c>
      <c r="AN97" s="252">
        <f t="shared" si="71"/>
        <v>0</v>
      </c>
      <c r="AO97" s="252">
        <f t="shared" si="71"/>
        <v>0</v>
      </c>
      <c r="AP97" s="252">
        <f t="shared" si="71"/>
        <v>0</v>
      </c>
      <c r="AQ97" s="252">
        <f t="shared" si="71"/>
        <v>0</v>
      </c>
      <c r="AR97" s="252">
        <f t="shared" si="71"/>
        <v>0</v>
      </c>
      <c r="AS97" s="252">
        <f t="shared" si="71"/>
        <v>0</v>
      </c>
      <c r="AT97" s="252">
        <f t="shared" si="71"/>
        <v>0</v>
      </c>
      <c r="AU97" s="252">
        <f t="shared" si="71"/>
        <v>0</v>
      </c>
      <c r="AV97" s="252">
        <f t="shared" si="71"/>
        <v>0</v>
      </c>
      <c r="AW97" s="252">
        <f t="shared" si="71"/>
        <v>0</v>
      </c>
      <c r="AX97" s="252">
        <f t="shared" si="71"/>
        <v>0</v>
      </c>
      <c r="AY97" s="252">
        <f t="shared" si="71"/>
        <v>0</v>
      </c>
      <c r="AZ97" s="252">
        <f t="shared" si="71"/>
        <v>0</v>
      </c>
      <c r="BA97" s="252">
        <f t="shared" si="71"/>
        <v>0</v>
      </c>
    </row>
    <row r="98" ht="15.75" customHeight="1">
      <c r="A98" s="787">
        <v>1984.0</v>
      </c>
      <c r="B98" s="38"/>
      <c r="C98" s="38"/>
      <c r="D98" s="38"/>
      <c r="E98" s="38"/>
      <c r="F98" s="38"/>
      <c r="G98" s="38"/>
      <c r="H98" s="38"/>
      <c r="I98" s="38"/>
      <c r="J98" s="38"/>
      <c r="K98" s="38"/>
      <c r="L98" s="38"/>
      <c r="M98" s="38"/>
      <c r="N98" s="38"/>
      <c r="O98" s="38"/>
      <c r="P98" s="38"/>
      <c r="Q98" s="38"/>
      <c r="R98" s="38"/>
      <c r="S98" s="38"/>
      <c r="T98" s="38"/>
      <c r="U98" s="38"/>
      <c r="V98" s="769">
        <v>0.0</v>
      </c>
      <c r="W98" s="252">
        <f t="shared" si="18"/>
        <v>0</v>
      </c>
      <c r="X98" s="252">
        <f t="shared" ref="X98:BA98" si="72">IF(AND(X$43-$A98&gt;$V$30,SUM($W98:W98)&lt;&gt;$V98),$V98,0)</f>
        <v>0</v>
      </c>
      <c r="Y98" s="252">
        <f t="shared" si="72"/>
        <v>0</v>
      </c>
      <c r="Z98" s="252">
        <f t="shared" si="72"/>
        <v>0</v>
      </c>
      <c r="AA98" s="252">
        <f t="shared" si="72"/>
        <v>0</v>
      </c>
      <c r="AB98" s="252">
        <f t="shared" si="72"/>
        <v>0</v>
      </c>
      <c r="AC98" s="252">
        <f t="shared" si="72"/>
        <v>0</v>
      </c>
      <c r="AD98" s="252">
        <f t="shared" si="72"/>
        <v>0</v>
      </c>
      <c r="AE98" s="252">
        <f t="shared" si="72"/>
        <v>0</v>
      </c>
      <c r="AF98" s="252">
        <f t="shared" si="72"/>
        <v>0</v>
      </c>
      <c r="AG98" s="252">
        <f t="shared" si="72"/>
        <v>0</v>
      </c>
      <c r="AH98" s="252">
        <f t="shared" si="72"/>
        <v>0</v>
      </c>
      <c r="AI98" s="252">
        <f t="shared" si="72"/>
        <v>0</v>
      </c>
      <c r="AJ98" s="252">
        <f t="shared" si="72"/>
        <v>0</v>
      </c>
      <c r="AK98" s="252">
        <f t="shared" si="72"/>
        <v>0</v>
      </c>
      <c r="AL98" s="252">
        <f t="shared" si="72"/>
        <v>0</v>
      </c>
      <c r="AM98" s="252">
        <f t="shared" si="72"/>
        <v>0</v>
      </c>
      <c r="AN98" s="252">
        <f t="shared" si="72"/>
        <v>0</v>
      </c>
      <c r="AO98" s="252">
        <f t="shared" si="72"/>
        <v>0</v>
      </c>
      <c r="AP98" s="252">
        <f t="shared" si="72"/>
        <v>0</v>
      </c>
      <c r="AQ98" s="252">
        <f t="shared" si="72"/>
        <v>0</v>
      </c>
      <c r="AR98" s="252">
        <f t="shared" si="72"/>
        <v>0</v>
      </c>
      <c r="AS98" s="252">
        <f t="shared" si="72"/>
        <v>0</v>
      </c>
      <c r="AT98" s="252">
        <f t="shared" si="72"/>
        <v>0</v>
      </c>
      <c r="AU98" s="252">
        <f t="shared" si="72"/>
        <v>0</v>
      </c>
      <c r="AV98" s="252">
        <f t="shared" si="72"/>
        <v>0</v>
      </c>
      <c r="AW98" s="252">
        <f t="shared" si="72"/>
        <v>0</v>
      </c>
      <c r="AX98" s="252">
        <f t="shared" si="72"/>
        <v>0</v>
      </c>
      <c r="AY98" s="252">
        <f t="shared" si="72"/>
        <v>0</v>
      </c>
      <c r="AZ98" s="252">
        <f t="shared" si="72"/>
        <v>0</v>
      </c>
      <c r="BA98" s="252">
        <f t="shared" si="72"/>
        <v>0</v>
      </c>
    </row>
    <row r="99" ht="15.75" customHeight="1">
      <c r="A99" s="787">
        <v>1985.0</v>
      </c>
      <c r="B99" s="38"/>
      <c r="C99" s="38"/>
      <c r="D99" s="38"/>
      <c r="E99" s="38"/>
      <c r="F99" s="38"/>
      <c r="G99" s="38"/>
      <c r="H99" s="38"/>
      <c r="I99" s="38"/>
      <c r="J99" s="38"/>
      <c r="K99" s="38"/>
      <c r="L99" s="38"/>
      <c r="M99" s="38"/>
      <c r="N99" s="38"/>
      <c r="O99" s="38"/>
      <c r="P99" s="38"/>
      <c r="Q99" s="38"/>
      <c r="R99" s="38"/>
      <c r="S99" s="38"/>
      <c r="T99" s="38"/>
      <c r="U99" s="38"/>
      <c r="V99" s="769">
        <v>0.0</v>
      </c>
      <c r="W99" s="252">
        <f t="shared" si="18"/>
        <v>0</v>
      </c>
      <c r="X99" s="252">
        <f t="shared" ref="X99:BA99" si="73">IF(AND(X$43-$A99&gt;$V$30,SUM($W99:W99)&lt;&gt;$V99),$V99,0)</f>
        <v>0</v>
      </c>
      <c r="Y99" s="252">
        <f t="shared" si="73"/>
        <v>0</v>
      </c>
      <c r="Z99" s="252">
        <f t="shared" si="73"/>
        <v>0</v>
      </c>
      <c r="AA99" s="252">
        <f t="shared" si="73"/>
        <v>0</v>
      </c>
      <c r="AB99" s="252">
        <f t="shared" si="73"/>
        <v>0</v>
      </c>
      <c r="AC99" s="252">
        <f t="shared" si="73"/>
        <v>0</v>
      </c>
      <c r="AD99" s="252">
        <f t="shared" si="73"/>
        <v>0</v>
      </c>
      <c r="AE99" s="252">
        <f t="shared" si="73"/>
        <v>0</v>
      </c>
      <c r="AF99" s="252">
        <f t="shared" si="73"/>
        <v>0</v>
      </c>
      <c r="AG99" s="252">
        <f t="shared" si="73"/>
        <v>0</v>
      </c>
      <c r="AH99" s="252">
        <f t="shared" si="73"/>
        <v>0</v>
      </c>
      <c r="AI99" s="252">
        <f t="shared" si="73"/>
        <v>0</v>
      </c>
      <c r="AJ99" s="252">
        <f t="shared" si="73"/>
        <v>0</v>
      </c>
      <c r="AK99" s="252">
        <f t="shared" si="73"/>
        <v>0</v>
      </c>
      <c r="AL99" s="252">
        <f t="shared" si="73"/>
        <v>0</v>
      </c>
      <c r="AM99" s="252">
        <f t="shared" si="73"/>
        <v>0</v>
      </c>
      <c r="AN99" s="252">
        <f t="shared" si="73"/>
        <v>0</v>
      </c>
      <c r="AO99" s="252">
        <f t="shared" si="73"/>
        <v>0</v>
      </c>
      <c r="AP99" s="252">
        <f t="shared" si="73"/>
        <v>0</v>
      </c>
      <c r="AQ99" s="252">
        <f t="shared" si="73"/>
        <v>0</v>
      </c>
      <c r="AR99" s="252">
        <f t="shared" si="73"/>
        <v>0</v>
      </c>
      <c r="AS99" s="252">
        <f t="shared" si="73"/>
        <v>0</v>
      </c>
      <c r="AT99" s="252">
        <f t="shared" si="73"/>
        <v>0</v>
      </c>
      <c r="AU99" s="252">
        <f t="shared" si="73"/>
        <v>0</v>
      </c>
      <c r="AV99" s="252">
        <f t="shared" si="73"/>
        <v>0</v>
      </c>
      <c r="AW99" s="252">
        <f t="shared" si="73"/>
        <v>0</v>
      </c>
      <c r="AX99" s="252">
        <f t="shared" si="73"/>
        <v>0</v>
      </c>
      <c r="AY99" s="252">
        <f t="shared" si="73"/>
        <v>0</v>
      </c>
      <c r="AZ99" s="252">
        <f t="shared" si="73"/>
        <v>0</v>
      </c>
      <c r="BA99" s="252">
        <f t="shared" si="73"/>
        <v>0</v>
      </c>
    </row>
    <row r="100" ht="15.75" customHeight="1">
      <c r="A100" s="787">
        <v>1986.0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18"/>
        <v>0</v>
      </c>
      <c r="X100" s="252">
        <f t="shared" ref="X100:BA100" si="74">IF(AND(X$43-$A100&gt;$V$30,SUM($W100:W100)&lt;&gt;$V100),$V100,0)</f>
        <v>0</v>
      </c>
      <c r="Y100" s="252">
        <f t="shared" si="74"/>
        <v>0</v>
      </c>
      <c r="Z100" s="252">
        <f t="shared" si="74"/>
        <v>0</v>
      </c>
      <c r="AA100" s="252">
        <f t="shared" si="74"/>
        <v>0</v>
      </c>
      <c r="AB100" s="252">
        <f t="shared" si="74"/>
        <v>0</v>
      </c>
      <c r="AC100" s="252">
        <f t="shared" si="74"/>
        <v>0</v>
      </c>
      <c r="AD100" s="252">
        <f t="shared" si="74"/>
        <v>0</v>
      </c>
      <c r="AE100" s="252">
        <f t="shared" si="74"/>
        <v>0</v>
      </c>
      <c r="AF100" s="252">
        <f t="shared" si="74"/>
        <v>0</v>
      </c>
      <c r="AG100" s="252">
        <f t="shared" si="74"/>
        <v>0</v>
      </c>
      <c r="AH100" s="252">
        <f t="shared" si="74"/>
        <v>0</v>
      </c>
      <c r="AI100" s="252">
        <f t="shared" si="74"/>
        <v>0</v>
      </c>
      <c r="AJ100" s="252">
        <f t="shared" si="74"/>
        <v>0</v>
      </c>
      <c r="AK100" s="252">
        <f t="shared" si="74"/>
        <v>0</v>
      </c>
      <c r="AL100" s="252">
        <f t="shared" si="74"/>
        <v>0</v>
      </c>
      <c r="AM100" s="252">
        <f t="shared" si="74"/>
        <v>0</v>
      </c>
      <c r="AN100" s="252">
        <f t="shared" si="74"/>
        <v>0</v>
      </c>
      <c r="AO100" s="252">
        <f t="shared" si="74"/>
        <v>0</v>
      </c>
      <c r="AP100" s="252">
        <f t="shared" si="74"/>
        <v>0</v>
      </c>
      <c r="AQ100" s="252">
        <f t="shared" si="74"/>
        <v>0</v>
      </c>
      <c r="AR100" s="252">
        <f t="shared" si="74"/>
        <v>0</v>
      </c>
      <c r="AS100" s="252">
        <f t="shared" si="74"/>
        <v>0</v>
      </c>
      <c r="AT100" s="252">
        <f t="shared" si="74"/>
        <v>0</v>
      </c>
      <c r="AU100" s="252">
        <f t="shared" si="74"/>
        <v>0</v>
      </c>
      <c r="AV100" s="252">
        <f t="shared" si="74"/>
        <v>0</v>
      </c>
      <c r="AW100" s="252">
        <f t="shared" si="74"/>
        <v>0</v>
      </c>
      <c r="AX100" s="252">
        <f t="shared" si="74"/>
        <v>0</v>
      </c>
      <c r="AY100" s="252">
        <f t="shared" si="74"/>
        <v>0</v>
      </c>
      <c r="AZ100" s="252">
        <f t="shared" si="74"/>
        <v>0</v>
      </c>
      <c r="BA100" s="252">
        <f t="shared" si="74"/>
        <v>0</v>
      </c>
    </row>
    <row r="101" ht="15.75" customHeight="1">
      <c r="A101" s="787">
        <v>1987.0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18"/>
        <v>0</v>
      </c>
      <c r="X101" s="252">
        <f t="shared" ref="X101:BA101" si="75">IF(AND(X$43-$A101&gt;$V$30,SUM($W101:W101)&lt;&gt;$V101),$V101,0)</f>
        <v>0</v>
      </c>
      <c r="Y101" s="252">
        <f t="shared" si="75"/>
        <v>0</v>
      </c>
      <c r="Z101" s="252">
        <f t="shared" si="75"/>
        <v>0</v>
      </c>
      <c r="AA101" s="252">
        <f t="shared" si="75"/>
        <v>0</v>
      </c>
      <c r="AB101" s="252">
        <f t="shared" si="75"/>
        <v>0</v>
      </c>
      <c r="AC101" s="252">
        <f t="shared" si="75"/>
        <v>0</v>
      </c>
      <c r="AD101" s="252">
        <f t="shared" si="75"/>
        <v>0</v>
      </c>
      <c r="AE101" s="252">
        <f t="shared" si="75"/>
        <v>0</v>
      </c>
      <c r="AF101" s="252">
        <f t="shared" si="75"/>
        <v>0</v>
      </c>
      <c r="AG101" s="252">
        <f t="shared" si="75"/>
        <v>0</v>
      </c>
      <c r="AH101" s="252">
        <f t="shared" si="75"/>
        <v>0</v>
      </c>
      <c r="AI101" s="252">
        <f t="shared" si="75"/>
        <v>0</v>
      </c>
      <c r="AJ101" s="252">
        <f t="shared" si="75"/>
        <v>0</v>
      </c>
      <c r="AK101" s="252">
        <f t="shared" si="75"/>
        <v>0</v>
      </c>
      <c r="AL101" s="252">
        <f t="shared" si="75"/>
        <v>0</v>
      </c>
      <c r="AM101" s="252">
        <f t="shared" si="75"/>
        <v>0</v>
      </c>
      <c r="AN101" s="252">
        <f t="shared" si="75"/>
        <v>0</v>
      </c>
      <c r="AO101" s="252">
        <f t="shared" si="75"/>
        <v>0</v>
      </c>
      <c r="AP101" s="252">
        <f t="shared" si="75"/>
        <v>0</v>
      </c>
      <c r="AQ101" s="252">
        <f t="shared" si="75"/>
        <v>0</v>
      </c>
      <c r="AR101" s="252">
        <f t="shared" si="75"/>
        <v>0</v>
      </c>
      <c r="AS101" s="252">
        <f t="shared" si="75"/>
        <v>0</v>
      </c>
      <c r="AT101" s="252">
        <f t="shared" si="75"/>
        <v>0</v>
      </c>
      <c r="AU101" s="252">
        <f t="shared" si="75"/>
        <v>0</v>
      </c>
      <c r="AV101" s="252">
        <f t="shared" si="75"/>
        <v>0</v>
      </c>
      <c r="AW101" s="252">
        <f t="shared" si="75"/>
        <v>0</v>
      </c>
      <c r="AX101" s="252">
        <f t="shared" si="75"/>
        <v>0</v>
      </c>
      <c r="AY101" s="252">
        <f t="shared" si="75"/>
        <v>0</v>
      </c>
      <c r="AZ101" s="252">
        <f t="shared" si="75"/>
        <v>0</v>
      </c>
      <c r="BA101" s="252">
        <f t="shared" si="75"/>
        <v>0</v>
      </c>
    </row>
    <row r="102" ht="15.75" customHeight="1">
      <c r="A102" s="787">
        <v>1988.0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18"/>
        <v>0</v>
      </c>
      <c r="X102" s="252">
        <f t="shared" ref="X102:BA102" si="76">IF(AND(X$43-$A102&gt;$V$30,SUM($W102:W102)&lt;&gt;$V102),$V102,0)</f>
        <v>0</v>
      </c>
      <c r="Y102" s="252">
        <f t="shared" si="76"/>
        <v>0</v>
      </c>
      <c r="Z102" s="252">
        <f t="shared" si="76"/>
        <v>0</v>
      </c>
      <c r="AA102" s="252">
        <f t="shared" si="76"/>
        <v>0</v>
      </c>
      <c r="AB102" s="252">
        <f t="shared" si="76"/>
        <v>0</v>
      </c>
      <c r="AC102" s="252">
        <f t="shared" si="76"/>
        <v>0</v>
      </c>
      <c r="AD102" s="252">
        <f t="shared" si="76"/>
        <v>0</v>
      </c>
      <c r="AE102" s="252">
        <f t="shared" si="76"/>
        <v>0</v>
      </c>
      <c r="AF102" s="252">
        <f t="shared" si="76"/>
        <v>0</v>
      </c>
      <c r="AG102" s="252">
        <f t="shared" si="76"/>
        <v>0</v>
      </c>
      <c r="AH102" s="252">
        <f t="shared" si="76"/>
        <v>0</v>
      </c>
      <c r="AI102" s="252">
        <f t="shared" si="76"/>
        <v>0</v>
      </c>
      <c r="AJ102" s="252">
        <f t="shared" si="76"/>
        <v>0</v>
      </c>
      <c r="AK102" s="252">
        <f t="shared" si="76"/>
        <v>0</v>
      </c>
      <c r="AL102" s="252">
        <f t="shared" si="76"/>
        <v>0</v>
      </c>
      <c r="AM102" s="252">
        <f t="shared" si="76"/>
        <v>0</v>
      </c>
      <c r="AN102" s="252">
        <f t="shared" si="76"/>
        <v>0</v>
      </c>
      <c r="AO102" s="252">
        <f t="shared" si="76"/>
        <v>0</v>
      </c>
      <c r="AP102" s="252">
        <f t="shared" si="76"/>
        <v>0</v>
      </c>
      <c r="AQ102" s="252">
        <f t="shared" si="76"/>
        <v>0</v>
      </c>
      <c r="AR102" s="252">
        <f t="shared" si="76"/>
        <v>0</v>
      </c>
      <c r="AS102" s="252">
        <f t="shared" si="76"/>
        <v>0</v>
      </c>
      <c r="AT102" s="252">
        <f t="shared" si="76"/>
        <v>0</v>
      </c>
      <c r="AU102" s="252">
        <f t="shared" si="76"/>
        <v>0</v>
      </c>
      <c r="AV102" s="252">
        <f t="shared" si="76"/>
        <v>0</v>
      </c>
      <c r="AW102" s="252">
        <f t="shared" si="76"/>
        <v>0</v>
      </c>
      <c r="AX102" s="252">
        <f t="shared" si="76"/>
        <v>0</v>
      </c>
      <c r="AY102" s="252">
        <f t="shared" si="76"/>
        <v>0</v>
      </c>
      <c r="AZ102" s="252">
        <f t="shared" si="76"/>
        <v>0</v>
      </c>
      <c r="BA102" s="252">
        <f t="shared" si="76"/>
        <v>0</v>
      </c>
    </row>
    <row r="103" ht="15.75" customHeight="1">
      <c r="A103" s="787">
        <v>1989.0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18"/>
        <v>0</v>
      </c>
      <c r="X103" s="252">
        <f t="shared" ref="X103:BA103" si="77">IF(AND(X$43-$A103&gt;$V$30,SUM($W103:W103)&lt;&gt;$V103),$V103,0)</f>
        <v>0</v>
      </c>
      <c r="Y103" s="252">
        <f t="shared" si="77"/>
        <v>0</v>
      </c>
      <c r="Z103" s="252">
        <f t="shared" si="77"/>
        <v>0</v>
      </c>
      <c r="AA103" s="252">
        <f t="shared" si="77"/>
        <v>0</v>
      </c>
      <c r="AB103" s="252">
        <f t="shared" si="77"/>
        <v>0</v>
      </c>
      <c r="AC103" s="252">
        <f t="shared" si="77"/>
        <v>0</v>
      </c>
      <c r="AD103" s="252">
        <f t="shared" si="77"/>
        <v>0</v>
      </c>
      <c r="AE103" s="252">
        <f t="shared" si="77"/>
        <v>0</v>
      </c>
      <c r="AF103" s="252">
        <f t="shared" si="77"/>
        <v>0</v>
      </c>
      <c r="AG103" s="252">
        <f t="shared" si="77"/>
        <v>0</v>
      </c>
      <c r="AH103" s="252">
        <f t="shared" si="77"/>
        <v>0</v>
      </c>
      <c r="AI103" s="252">
        <f t="shared" si="77"/>
        <v>0</v>
      </c>
      <c r="AJ103" s="252">
        <f t="shared" si="77"/>
        <v>0</v>
      </c>
      <c r="AK103" s="252">
        <f t="shared" si="77"/>
        <v>0</v>
      </c>
      <c r="AL103" s="252">
        <f t="shared" si="77"/>
        <v>0</v>
      </c>
      <c r="AM103" s="252">
        <f t="shared" si="77"/>
        <v>0</v>
      </c>
      <c r="AN103" s="252">
        <f t="shared" si="77"/>
        <v>0</v>
      </c>
      <c r="AO103" s="252">
        <f t="shared" si="77"/>
        <v>0</v>
      </c>
      <c r="AP103" s="252">
        <f t="shared" si="77"/>
        <v>0</v>
      </c>
      <c r="AQ103" s="252">
        <f t="shared" si="77"/>
        <v>0</v>
      </c>
      <c r="AR103" s="252">
        <f t="shared" si="77"/>
        <v>0</v>
      </c>
      <c r="AS103" s="252">
        <f t="shared" si="77"/>
        <v>0</v>
      </c>
      <c r="AT103" s="252">
        <f t="shared" si="77"/>
        <v>0</v>
      </c>
      <c r="AU103" s="252">
        <f t="shared" si="77"/>
        <v>0</v>
      </c>
      <c r="AV103" s="252">
        <f t="shared" si="77"/>
        <v>0</v>
      </c>
      <c r="AW103" s="252">
        <f t="shared" si="77"/>
        <v>0</v>
      </c>
      <c r="AX103" s="252">
        <f t="shared" si="77"/>
        <v>0</v>
      </c>
      <c r="AY103" s="252">
        <f t="shared" si="77"/>
        <v>0</v>
      </c>
      <c r="AZ103" s="252">
        <f t="shared" si="77"/>
        <v>0</v>
      </c>
      <c r="BA103" s="252">
        <f t="shared" si="77"/>
        <v>0</v>
      </c>
    </row>
    <row r="104" ht="15.75" customHeight="1">
      <c r="A104" s="787">
        <v>1990.0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18"/>
        <v>0</v>
      </c>
      <c r="X104" s="252">
        <f t="shared" ref="X104:BA104" si="78">IF(AND(X$43-$A104&gt;$V$30,SUM($W104:W104)&lt;&gt;$V104),$V104,0)</f>
        <v>0</v>
      </c>
      <c r="Y104" s="252">
        <f t="shared" si="78"/>
        <v>0</v>
      </c>
      <c r="Z104" s="252">
        <f t="shared" si="78"/>
        <v>0</v>
      </c>
      <c r="AA104" s="252">
        <f t="shared" si="78"/>
        <v>0</v>
      </c>
      <c r="AB104" s="252">
        <f t="shared" si="78"/>
        <v>0</v>
      </c>
      <c r="AC104" s="252">
        <f t="shared" si="78"/>
        <v>0</v>
      </c>
      <c r="AD104" s="252">
        <f t="shared" si="78"/>
        <v>0</v>
      </c>
      <c r="AE104" s="252">
        <f t="shared" si="78"/>
        <v>0</v>
      </c>
      <c r="AF104" s="252">
        <f t="shared" si="78"/>
        <v>0</v>
      </c>
      <c r="AG104" s="252">
        <f t="shared" si="78"/>
        <v>0</v>
      </c>
      <c r="AH104" s="252">
        <f t="shared" si="78"/>
        <v>0</v>
      </c>
      <c r="AI104" s="252">
        <f t="shared" si="78"/>
        <v>0</v>
      </c>
      <c r="AJ104" s="252">
        <f t="shared" si="78"/>
        <v>0</v>
      </c>
      <c r="AK104" s="252">
        <f t="shared" si="78"/>
        <v>0</v>
      </c>
      <c r="AL104" s="252">
        <f t="shared" si="78"/>
        <v>0</v>
      </c>
      <c r="AM104" s="252">
        <f t="shared" si="78"/>
        <v>0</v>
      </c>
      <c r="AN104" s="252">
        <f t="shared" si="78"/>
        <v>0</v>
      </c>
      <c r="AO104" s="252">
        <f t="shared" si="78"/>
        <v>0</v>
      </c>
      <c r="AP104" s="252">
        <f t="shared" si="78"/>
        <v>0</v>
      </c>
      <c r="AQ104" s="252">
        <f t="shared" si="78"/>
        <v>0</v>
      </c>
      <c r="AR104" s="252">
        <f t="shared" si="78"/>
        <v>0</v>
      </c>
      <c r="AS104" s="252">
        <f t="shared" si="78"/>
        <v>0</v>
      </c>
      <c r="AT104" s="252">
        <f t="shared" si="78"/>
        <v>0</v>
      </c>
      <c r="AU104" s="252">
        <f t="shared" si="78"/>
        <v>0</v>
      </c>
      <c r="AV104" s="252">
        <f t="shared" si="78"/>
        <v>0</v>
      </c>
      <c r="AW104" s="252">
        <f t="shared" si="78"/>
        <v>0</v>
      </c>
      <c r="AX104" s="252">
        <f t="shared" si="78"/>
        <v>0</v>
      </c>
      <c r="AY104" s="252">
        <f t="shared" si="78"/>
        <v>0</v>
      </c>
      <c r="AZ104" s="252">
        <f t="shared" si="78"/>
        <v>0</v>
      </c>
      <c r="BA104" s="252">
        <f t="shared" si="78"/>
        <v>0</v>
      </c>
    </row>
    <row r="105" ht="15.75" customHeight="1">
      <c r="A105" s="787">
        <v>1991.0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18"/>
        <v>0</v>
      </c>
      <c r="X105" s="252">
        <f t="shared" ref="X105:BA105" si="79">IF(AND(X$43-$A105&gt;$V$30,SUM($W105:W105)&lt;&gt;$V105),$V105,0)</f>
        <v>0</v>
      </c>
      <c r="Y105" s="252">
        <f t="shared" si="79"/>
        <v>0</v>
      </c>
      <c r="Z105" s="252">
        <f t="shared" si="79"/>
        <v>0</v>
      </c>
      <c r="AA105" s="252">
        <f t="shared" si="79"/>
        <v>0</v>
      </c>
      <c r="AB105" s="252">
        <f t="shared" si="79"/>
        <v>0</v>
      </c>
      <c r="AC105" s="252">
        <f t="shared" si="79"/>
        <v>0</v>
      </c>
      <c r="AD105" s="252">
        <f t="shared" si="79"/>
        <v>0</v>
      </c>
      <c r="AE105" s="252">
        <f t="shared" si="79"/>
        <v>0</v>
      </c>
      <c r="AF105" s="252">
        <f t="shared" si="79"/>
        <v>0</v>
      </c>
      <c r="AG105" s="252">
        <f t="shared" si="79"/>
        <v>0</v>
      </c>
      <c r="AH105" s="252">
        <f t="shared" si="79"/>
        <v>0</v>
      </c>
      <c r="AI105" s="252">
        <f t="shared" si="79"/>
        <v>0</v>
      </c>
      <c r="AJ105" s="252">
        <f t="shared" si="79"/>
        <v>0</v>
      </c>
      <c r="AK105" s="252">
        <f t="shared" si="79"/>
        <v>0</v>
      </c>
      <c r="AL105" s="252">
        <f t="shared" si="79"/>
        <v>0</v>
      </c>
      <c r="AM105" s="252">
        <f t="shared" si="79"/>
        <v>0</v>
      </c>
      <c r="AN105" s="252">
        <f t="shared" si="79"/>
        <v>0</v>
      </c>
      <c r="AO105" s="252">
        <f t="shared" si="79"/>
        <v>0</v>
      </c>
      <c r="AP105" s="252">
        <f t="shared" si="79"/>
        <v>0</v>
      </c>
      <c r="AQ105" s="252">
        <f t="shared" si="79"/>
        <v>0</v>
      </c>
      <c r="AR105" s="252">
        <f t="shared" si="79"/>
        <v>0</v>
      </c>
      <c r="AS105" s="252">
        <f t="shared" si="79"/>
        <v>0</v>
      </c>
      <c r="AT105" s="252">
        <f t="shared" si="79"/>
        <v>0</v>
      </c>
      <c r="AU105" s="252">
        <f t="shared" si="79"/>
        <v>0</v>
      </c>
      <c r="AV105" s="252">
        <f t="shared" si="79"/>
        <v>0</v>
      </c>
      <c r="AW105" s="252">
        <f t="shared" si="79"/>
        <v>0</v>
      </c>
      <c r="AX105" s="252">
        <f t="shared" si="79"/>
        <v>0</v>
      </c>
      <c r="AY105" s="252">
        <f t="shared" si="79"/>
        <v>0</v>
      </c>
      <c r="AZ105" s="252">
        <f t="shared" si="79"/>
        <v>0</v>
      </c>
      <c r="BA105" s="252">
        <f t="shared" si="79"/>
        <v>0</v>
      </c>
    </row>
    <row r="106" ht="15.75" customHeight="1">
      <c r="A106" s="787">
        <v>1992.0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18"/>
        <v>0</v>
      </c>
      <c r="X106" s="252">
        <f t="shared" ref="X106:BA106" si="80">IF(AND(X$43-$A106&gt;$V$30,SUM($W106:W106)&lt;&gt;$V106),$V106,0)</f>
        <v>0</v>
      </c>
      <c r="Y106" s="252">
        <f t="shared" si="80"/>
        <v>0</v>
      </c>
      <c r="Z106" s="252">
        <f t="shared" si="80"/>
        <v>0</v>
      </c>
      <c r="AA106" s="252">
        <f t="shared" si="80"/>
        <v>0</v>
      </c>
      <c r="AB106" s="252">
        <f t="shared" si="80"/>
        <v>0</v>
      </c>
      <c r="AC106" s="252">
        <f t="shared" si="80"/>
        <v>0</v>
      </c>
      <c r="AD106" s="252">
        <f t="shared" si="80"/>
        <v>0</v>
      </c>
      <c r="AE106" s="252">
        <f t="shared" si="80"/>
        <v>0</v>
      </c>
      <c r="AF106" s="252">
        <f t="shared" si="80"/>
        <v>0</v>
      </c>
      <c r="AG106" s="252">
        <f t="shared" si="80"/>
        <v>0</v>
      </c>
      <c r="AH106" s="252">
        <f t="shared" si="80"/>
        <v>0</v>
      </c>
      <c r="AI106" s="252">
        <f t="shared" si="80"/>
        <v>0</v>
      </c>
      <c r="AJ106" s="252">
        <f t="shared" si="80"/>
        <v>0</v>
      </c>
      <c r="AK106" s="252">
        <f t="shared" si="80"/>
        <v>0</v>
      </c>
      <c r="AL106" s="252">
        <f t="shared" si="80"/>
        <v>0</v>
      </c>
      <c r="AM106" s="252">
        <f t="shared" si="80"/>
        <v>0</v>
      </c>
      <c r="AN106" s="252">
        <f t="shared" si="80"/>
        <v>0</v>
      </c>
      <c r="AO106" s="252">
        <f t="shared" si="80"/>
        <v>0</v>
      </c>
      <c r="AP106" s="252">
        <f t="shared" si="80"/>
        <v>0</v>
      </c>
      <c r="AQ106" s="252">
        <f t="shared" si="80"/>
        <v>0</v>
      </c>
      <c r="AR106" s="252">
        <f t="shared" si="80"/>
        <v>0</v>
      </c>
      <c r="AS106" s="252">
        <f t="shared" si="80"/>
        <v>0</v>
      </c>
      <c r="AT106" s="252">
        <f t="shared" si="80"/>
        <v>0</v>
      </c>
      <c r="AU106" s="252">
        <f t="shared" si="80"/>
        <v>0</v>
      </c>
      <c r="AV106" s="252">
        <f t="shared" si="80"/>
        <v>0</v>
      </c>
      <c r="AW106" s="252">
        <f t="shared" si="80"/>
        <v>0</v>
      </c>
      <c r="AX106" s="252">
        <f t="shared" si="80"/>
        <v>0</v>
      </c>
      <c r="AY106" s="252">
        <f t="shared" si="80"/>
        <v>0</v>
      </c>
      <c r="AZ106" s="252">
        <f t="shared" si="80"/>
        <v>0</v>
      </c>
      <c r="BA106" s="252">
        <f t="shared" si="80"/>
        <v>0</v>
      </c>
    </row>
    <row r="107" ht="15.75" customHeight="1">
      <c r="A107" s="787">
        <v>1993.0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18"/>
        <v>0</v>
      </c>
      <c r="X107" s="252">
        <f t="shared" ref="X107:BA107" si="81">IF(AND(X$43-$A107&gt;$V$30,SUM($W107:W107)&lt;&gt;$V107),$V107,0)</f>
        <v>0</v>
      </c>
      <c r="Y107" s="252">
        <f t="shared" si="81"/>
        <v>0</v>
      </c>
      <c r="Z107" s="252">
        <f t="shared" si="81"/>
        <v>0</v>
      </c>
      <c r="AA107" s="252">
        <f t="shared" si="81"/>
        <v>0</v>
      </c>
      <c r="AB107" s="252">
        <f t="shared" si="81"/>
        <v>0</v>
      </c>
      <c r="AC107" s="252">
        <f t="shared" si="81"/>
        <v>0</v>
      </c>
      <c r="AD107" s="252">
        <f t="shared" si="81"/>
        <v>0</v>
      </c>
      <c r="AE107" s="252">
        <f t="shared" si="81"/>
        <v>0</v>
      </c>
      <c r="AF107" s="252">
        <f t="shared" si="81"/>
        <v>0</v>
      </c>
      <c r="AG107" s="252">
        <f t="shared" si="81"/>
        <v>0</v>
      </c>
      <c r="AH107" s="252">
        <f t="shared" si="81"/>
        <v>0</v>
      </c>
      <c r="AI107" s="252">
        <f t="shared" si="81"/>
        <v>0</v>
      </c>
      <c r="AJ107" s="252">
        <f t="shared" si="81"/>
        <v>0</v>
      </c>
      <c r="AK107" s="252">
        <f t="shared" si="81"/>
        <v>0</v>
      </c>
      <c r="AL107" s="252">
        <f t="shared" si="81"/>
        <v>0</v>
      </c>
      <c r="AM107" s="252">
        <f t="shared" si="81"/>
        <v>0</v>
      </c>
      <c r="AN107" s="252">
        <f t="shared" si="81"/>
        <v>0</v>
      </c>
      <c r="AO107" s="252">
        <f t="shared" si="81"/>
        <v>0</v>
      </c>
      <c r="AP107" s="252">
        <f t="shared" si="81"/>
        <v>0</v>
      </c>
      <c r="AQ107" s="252">
        <f t="shared" si="81"/>
        <v>0</v>
      </c>
      <c r="AR107" s="252">
        <f t="shared" si="81"/>
        <v>0</v>
      </c>
      <c r="AS107" s="252">
        <f t="shared" si="81"/>
        <v>0</v>
      </c>
      <c r="AT107" s="252">
        <f t="shared" si="81"/>
        <v>0</v>
      </c>
      <c r="AU107" s="252">
        <f t="shared" si="81"/>
        <v>0</v>
      </c>
      <c r="AV107" s="252">
        <f t="shared" si="81"/>
        <v>0</v>
      </c>
      <c r="AW107" s="252">
        <f t="shared" si="81"/>
        <v>0</v>
      </c>
      <c r="AX107" s="252">
        <f t="shared" si="81"/>
        <v>0</v>
      </c>
      <c r="AY107" s="252">
        <f t="shared" si="81"/>
        <v>0</v>
      </c>
      <c r="AZ107" s="252">
        <f t="shared" si="81"/>
        <v>0</v>
      </c>
      <c r="BA107" s="252">
        <f t="shared" si="81"/>
        <v>0</v>
      </c>
    </row>
    <row r="108" ht="15.75" customHeight="1">
      <c r="A108" s="787">
        <v>1994.0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18"/>
        <v>0</v>
      </c>
      <c r="X108" s="252">
        <f t="shared" ref="X108:BA108" si="82">IF(AND(X$43-$A108&gt;$V$30,SUM($W108:W108)&lt;&gt;$V108),$V108,0)</f>
        <v>0</v>
      </c>
      <c r="Y108" s="252">
        <f t="shared" si="82"/>
        <v>0</v>
      </c>
      <c r="Z108" s="252">
        <f t="shared" si="82"/>
        <v>0</v>
      </c>
      <c r="AA108" s="252">
        <f t="shared" si="82"/>
        <v>0</v>
      </c>
      <c r="AB108" s="252">
        <f t="shared" si="82"/>
        <v>0</v>
      </c>
      <c r="AC108" s="252">
        <f t="shared" si="82"/>
        <v>0</v>
      </c>
      <c r="AD108" s="252">
        <f t="shared" si="82"/>
        <v>0</v>
      </c>
      <c r="AE108" s="252">
        <f t="shared" si="82"/>
        <v>0</v>
      </c>
      <c r="AF108" s="252">
        <f t="shared" si="82"/>
        <v>0</v>
      </c>
      <c r="AG108" s="252">
        <f t="shared" si="82"/>
        <v>0</v>
      </c>
      <c r="AH108" s="252">
        <f t="shared" si="82"/>
        <v>0</v>
      </c>
      <c r="AI108" s="252">
        <f t="shared" si="82"/>
        <v>0</v>
      </c>
      <c r="AJ108" s="252">
        <f t="shared" si="82"/>
        <v>0</v>
      </c>
      <c r="AK108" s="252">
        <f t="shared" si="82"/>
        <v>0</v>
      </c>
      <c r="AL108" s="252">
        <f t="shared" si="82"/>
        <v>0</v>
      </c>
      <c r="AM108" s="252">
        <f t="shared" si="82"/>
        <v>0</v>
      </c>
      <c r="AN108" s="252">
        <f t="shared" si="82"/>
        <v>0</v>
      </c>
      <c r="AO108" s="252">
        <f t="shared" si="82"/>
        <v>0</v>
      </c>
      <c r="AP108" s="252">
        <f t="shared" si="82"/>
        <v>0</v>
      </c>
      <c r="AQ108" s="252">
        <f t="shared" si="82"/>
        <v>0</v>
      </c>
      <c r="AR108" s="252">
        <f t="shared" si="82"/>
        <v>0</v>
      </c>
      <c r="AS108" s="252">
        <f t="shared" si="82"/>
        <v>0</v>
      </c>
      <c r="AT108" s="252">
        <f t="shared" si="82"/>
        <v>0</v>
      </c>
      <c r="AU108" s="252">
        <f t="shared" si="82"/>
        <v>0</v>
      </c>
      <c r="AV108" s="252">
        <f t="shared" si="82"/>
        <v>0</v>
      </c>
      <c r="AW108" s="252">
        <f t="shared" si="82"/>
        <v>0</v>
      </c>
      <c r="AX108" s="252">
        <f t="shared" si="82"/>
        <v>0</v>
      </c>
      <c r="AY108" s="252">
        <f t="shared" si="82"/>
        <v>0</v>
      </c>
      <c r="AZ108" s="252">
        <f t="shared" si="82"/>
        <v>0</v>
      </c>
      <c r="BA108" s="252">
        <f t="shared" si="82"/>
        <v>0</v>
      </c>
    </row>
    <row r="109" ht="15.75" customHeight="1">
      <c r="A109" s="787">
        <v>1995.0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18"/>
        <v>0</v>
      </c>
      <c r="X109" s="252">
        <f t="shared" ref="X109:BA109" si="83">IF(AND(X$43-$A109&gt;$V$30,SUM($W109:W109)&lt;&gt;$V109),$V109,0)</f>
        <v>0</v>
      </c>
      <c r="Y109" s="252">
        <f t="shared" si="83"/>
        <v>0</v>
      </c>
      <c r="Z109" s="252">
        <f t="shared" si="83"/>
        <v>0</v>
      </c>
      <c r="AA109" s="252">
        <f t="shared" si="83"/>
        <v>0</v>
      </c>
      <c r="AB109" s="252">
        <f t="shared" si="83"/>
        <v>0</v>
      </c>
      <c r="AC109" s="252">
        <f t="shared" si="83"/>
        <v>0</v>
      </c>
      <c r="AD109" s="252">
        <f t="shared" si="83"/>
        <v>0</v>
      </c>
      <c r="AE109" s="252">
        <f t="shared" si="83"/>
        <v>0</v>
      </c>
      <c r="AF109" s="252">
        <f t="shared" si="83"/>
        <v>0</v>
      </c>
      <c r="AG109" s="252">
        <f t="shared" si="83"/>
        <v>0</v>
      </c>
      <c r="AH109" s="252">
        <f t="shared" si="83"/>
        <v>0</v>
      </c>
      <c r="AI109" s="252">
        <f t="shared" si="83"/>
        <v>0</v>
      </c>
      <c r="AJ109" s="252">
        <f t="shared" si="83"/>
        <v>0</v>
      </c>
      <c r="AK109" s="252">
        <f t="shared" si="83"/>
        <v>0</v>
      </c>
      <c r="AL109" s="252">
        <f t="shared" si="83"/>
        <v>0</v>
      </c>
      <c r="AM109" s="252">
        <f t="shared" si="83"/>
        <v>0</v>
      </c>
      <c r="AN109" s="252">
        <f t="shared" si="83"/>
        <v>0</v>
      </c>
      <c r="AO109" s="252">
        <f t="shared" si="83"/>
        <v>0</v>
      </c>
      <c r="AP109" s="252">
        <f t="shared" si="83"/>
        <v>0</v>
      </c>
      <c r="AQ109" s="252">
        <f t="shared" si="83"/>
        <v>0</v>
      </c>
      <c r="AR109" s="252">
        <f t="shared" si="83"/>
        <v>0</v>
      </c>
      <c r="AS109" s="252">
        <f t="shared" si="83"/>
        <v>0</v>
      </c>
      <c r="AT109" s="252">
        <f t="shared" si="83"/>
        <v>0</v>
      </c>
      <c r="AU109" s="252">
        <f t="shared" si="83"/>
        <v>0</v>
      </c>
      <c r="AV109" s="252">
        <f t="shared" si="83"/>
        <v>0</v>
      </c>
      <c r="AW109" s="252">
        <f t="shared" si="83"/>
        <v>0</v>
      </c>
      <c r="AX109" s="252">
        <f t="shared" si="83"/>
        <v>0</v>
      </c>
      <c r="AY109" s="252">
        <f t="shared" si="83"/>
        <v>0</v>
      </c>
      <c r="AZ109" s="252">
        <f t="shared" si="83"/>
        <v>0</v>
      </c>
      <c r="BA109" s="252">
        <f t="shared" si="83"/>
        <v>0</v>
      </c>
    </row>
    <row r="110" ht="15.75" customHeight="1">
      <c r="A110" s="787">
        <v>1996.0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18"/>
        <v>0</v>
      </c>
      <c r="X110" s="252">
        <f t="shared" ref="X110:BA110" si="84">IF(AND(X$43-$A110&gt;$V$30,SUM($W110:W110)&lt;&gt;$V110),$V110,0)</f>
        <v>0</v>
      </c>
      <c r="Y110" s="252">
        <f t="shared" si="84"/>
        <v>0</v>
      </c>
      <c r="Z110" s="252">
        <f t="shared" si="84"/>
        <v>0</v>
      </c>
      <c r="AA110" s="252">
        <f t="shared" si="84"/>
        <v>0</v>
      </c>
      <c r="AB110" s="252">
        <f t="shared" si="84"/>
        <v>0</v>
      </c>
      <c r="AC110" s="252">
        <f t="shared" si="84"/>
        <v>0</v>
      </c>
      <c r="AD110" s="252">
        <f t="shared" si="84"/>
        <v>0</v>
      </c>
      <c r="AE110" s="252">
        <f t="shared" si="84"/>
        <v>0</v>
      </c>
      <c r="AF110" s="252">
        <f t="shared" si="84"/>
        <v>0</v>
      </c>
      <c r="AG110" s="252">
        <f t="shared" si="84"/>
        <v>0</v>
      </c>
      <c r="AH110" s="252">
        <f t="shared" si="84"/>
        <v>0</v>
      </c>
      <c r="AI110" s="252">
        <f t="shared" si="84"/>
        <v>0</v>
      </c>
      <c r="AJ110" s="252">
        <f t="shared" si="84"/>
        <v>0</v>
      </c>
      <c r="AK110" s="252">
        <f t="shared" si="84"/>
        <v>0</v>
      </c>
      <c r="AL110" s="252">
        <f t="shared" si="84"/>
        <v>0</v>
      </c>
      <c r="AM110" s="252">
        <f t="shared" si="84"/>
        <v>0</v>
      </c>
      <c r="AN110" s="252">
        <f t="shared" si="84"/>
        <v>0</v>
      </c>
      <c r="AO110" s="252">
        <f t="shared" si="84"/>
        <v>0</v>
      </c>
      <c r="AP110" s="252">
        <f t="shared" si="84"/>
        <v>0</v>
      </c>
      <c r="AQ110" s="252">
        <f t="shared" si="84"/>
        <v>0</v>
      </c>
      <c r="AR110" s="252">
        <f t="shared" si="84"/>
        <v>0</v>
      </c>
      <c r="AS110" s="252">
        <f t="shared" si="84"/>
        <v>0</v>
      </c>
      <c r="AT110" s="252">
        <f t="shared" si="84"/>
        <v>0</v>
      </c>
      <c r="AU110" s="252">
        <f t="shared" si="84"/>
        <v>0</v>
      </c>
      <c r="AV110" s="252">
        <f t="shared" si="84"/>
        <v>0</v>
      </c>
      <c r="AW110" s="252">
        <f t="shared" si="84"/>
        <v>0</v>
      </c>
      <c r="AX110" s="252">
        <f t="shared" si="84"/>
        <v>0</v>
      </c>
      <c r="AY110" s="252">
        <f t="shared" si="84"/>
        <v>0</v>
      </c>
      <c r="AZ110" s="252">
        <f t="shared" si="84"/>
        <v>0</v>
      </c>
      <c r="BA110" s="252">
        <f t="shared" si="84"/>
        <v>0</v>
      </c>
    </row>
    <row r="111" ht="15.75" customHeight="1">
      <c r="A111" s="787">
        <v>1997.0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18"/>
        <v>0</v>
      </c>
      <c r="X111" s="252">
        <f t="shared" ref="X111:BA111" si="85">IF(AND(X$43-$A111&gt;$V$30,SUM($W111:W111)&lt;&gt;$V111),$V111,0)</f>
        <v>0</v>
      </c>
      <c r="Y111" s="252">
        <f t="shared" si="85"/>
        <v>0</v>
      </c>
      <c r="Z111" s="252">
        <f t="shared" si="85"/>
        <v>0</v>
      </c>
      <c r="AA111" s="252">
        <f t="shared" si="85"/>
        <v>0</v>
      </c>
      <c r="AB111" s="252">
        <f t="shared" si="85"/>
        <v>0</v>
      </c>
      <c r="AC111" s="252">
        <f t="shared" si="85"/>
        <v>0</v>
      </c>
      <c r="AD111" s="252">
        <f t="shared" si="85"/>
        <v>0</v>
      </c>
      <c r="AE111" s="252">
        <f t="shared" si="85"/>
        <v>0</v>
      </c>
      <c r="AF111" s="252">
        <f t="shared" si="85"/>
        <v>0</v>
      </c>
      <c r="AG111" s="252">
        <f t="shared" si="85"/>
        <v>0</v>
      </c>
      <c r="AH111" s="252">
        <f t="shared" si="85"/>
        <v>0</v>
      </c>
      <c r="AI111" s="252">
        <f t="shared" si="85"/>
        <v>0</v>
      </c>
      <c r="AJ111" s="252">
        <f t="shared" si="85"/>
        <v>0</v>
      </c>
      <c r="AK111" s="252">
        <f t="shared" si="85"/>
        <v>0</v>
      </c>
      <c r="AL111" s="252">
        <f t="shared" si="85"/>
        <v>0</v>
      </c>
      <c r="AM111" s="252">
        <f t="shared" si="85"/>
        <v>0</v>
      </c>
      <c r="AN111" s="252">
        <f t="shared" si="85"/>
        <v>0</v>
      </c>
      <c r="AO111" s="252">
        <f t="shared" si="85"/>
        <v>0</v>
      </c>
      <c r="AP111" s="252">
        <f t="shared" si="85"/>
        <v>0</v>
      </c>
      <c r="AQ111" s="252">
        <f t="shared" si="85"/>
        <v>0</v>
      </c>
      <c r="AR111" s="252">
        <f t="shared" si="85"/>
        <v>0</v>
      </c>
      <c r="AS111" s="252">
        <f t="shared" si="85"/>
        <v>0</v>
      </c>
      <c r="AT111" s="252">
        <f t="shared" si="85"/>
        <v>0</v>
      </c>
      <c r="AU111" s="252">
        <f t="shared" si="85"/>
        <v>0</v>
      </c>
      <c r="AV111" s="252">
        <f t="shared" si="85"/>
        <v>0</v>
      </c>
      <c r="AW111" s="252">
        <f t="shared" si="85"/>
        <v>0</v>
      </c>
      <c r="AX111" s="252">
        <f t="shared" si="85"/>
        <v>0</v>
      </c>
      <c r="AY111" s="252">
        <f t="shared" si="85"/>
        <v>0</v>
      </c>
      <c r="AZ111" s="252">
        <f t="shared" si="85"/>
        <v>0</v>
      </c>
      <c r="BA111" s="252">
        <f t="shared" si="85"/>
        <v>0</v>
      </c>
    </row>
    <row r="112" ht="15.75" customHeight="1">
      <c r="A112" s="787">
        <v>1998.0</v>
      </c>
      <c r="B112" s="733"/>
      <c r="C112" s="733"/>
      <c r="D112" s="733"/>
      <c r="E112" s="733"/>
      <c r="F112" s="733"/>
      <c r="G112" s="733"/>
      <c r="H112" s="733"/>
      <c r="I112" s="733"/>
      <c r="J112" s="733"/>
      <c r="K112" s="733"/>
      <c r="L112" s="733"/>
      <c r="M112" s="733"/>
      <c r="N112" s="733"/>
      <c r="O112" s="733"/>
      <c r="P112" s="733"/>
      <c r="Q112" s="733"/>
      <c r="R112" s="733"/>
      <c r="S112" s="733"/>
      <c r="T112" s="733"/>
      <c r="U112" s="733"/>
      <c r="V112" s="769">
        <v>0.0</v>
      </c>
      <c r="W112" s="252">
        <f t="shared" si="18"/>
        <v>0</v>
      </c>
      <c r="X112" s="252">
        <f t="shared" ref="X112:BA112" si="86">IF(AND(X$43-$A112&gt;$V$30,SUM($W112:W112)&lt;&gt;$V112),$V112,0)</f>
        <v>0</v>
      </c>
      <c r="Y112" s="252">
        <f t="shared" si="86"/>
        <v>0</v>
      </c>
      <c r="Z112" s="252">
        <f t="shared" si="86"/>
        <v>0</v>
      </c>
      <c r="AA112" s="252">
        <f t="shared" si="86"/>
        <v>0</v>
      </c>
      <c r="AB112" s="252">
        <f t="shared" si="86"/>
        <v>0</v>
      </c>
      <c r="AC112" s="252">
        <f t="shared" si="86"/>
        <v>0</v>
      </c>
      <c r="AD112" s="252">
        <f t="shared" si="86"/>
        <v>0</v>
      </c>
      <c r="AE112" s="252">
        <f t="shared" si="86"/>
        <v>0</v>
      </c>
      <c r="AF112" s="252">
        <f t="shared" si="86"/>
        <v>0</v>
      </c>
      <c r="AG112" s="252">
        <f t="shared" si="86"/>
        <v>0</v>
      </c>
      <c r="AH112" s="252">
        <f t="shared" si="86"/>
        <v>0</v>
      </c>
      <c r="AI112" s="252">
        <f t="shared" si="86"/>
        <v>0</v>
      </c>
      <c r="AJ112" s="252">
        <f t="shared" si="86"/>
        <v>0</v>
      </c>
      <c r="AK112" s="252">
        <f t="shared" si="86"/>
        <v>0</v>
      </c>
      <c r="AL112" s="252">
        <f t="shared" si="86"/>
        <v>0</v>
      </c>
      <c r="AM112" s="252">
        <f t="shared" si="86"/>
        <v>0</v>
      </c>
      <c r="AN112" s="252">
        <f t="shared" si="86"/>
        <v>0</v>
      </c>
      <c r="AO112" s="252">
        <f t="shared" si="86"/>
        <v>0</v>
      </c>
      <c r="AP112" s="252">
        <f t="shared" si="86"/>
        <v>0</v>
      </c>
      <c r="AQ112" s="252">
        <f t="shared" si="86"/>
        <v>0</v>
      </c>
      <c r="AR112" s="252">
        <f t="shared" si="86"/>
        <v>0</v>
      </c>
      <c r="AS112" s="252">
        <f t="shared" si="86"/>
        <v>0</v>
      </c>
      <c r="AT112" s="252">
        <f t="shared" si="86"/>
        <v>0</v>
      </c>
      <c r="AU112" s="252">
        <f t="shared" si="86"/>
        <v>0</v>
      </c>
      <c r="AV112" s="252">
        <f t="shared" si="86"/>
        <v>0</v>
      </c>
      <c r="AW112" s="252">
        <f t="shared" si="86"/>
        <v>0</v>
      </c>
      <c r="AX112" s="252">
        <f t="shared" si="86"/>
        <v>0</v>
      </c>
      <c r="AY112" s="252">
        <f t="shared" si="86"/>
        <v>0</v>
      </c>
      <c r="AZ112" s="252">
        <f t="shared" si="86"/>
        <v>0</v>
      </c>
      <c r="BA112" s="252">
        <f t="shared" si="86"/>
        <v>0</v>
      </c>
    </row>
    <row r="113" ht="15.75" customHeight="1">
      <c r="A113" s="787">
        <v>1999.0</v>
      </c>
      <c r="B113" s="38"/>
      <c r="C113" s="38"/>
      <c r="D113" s="38"/>
      <c r="E113" s="38"/>
      <c r="F113" s="38"/>
      <c r="G113" s="38"/>
      <c r="H113" s="38"/>
      <c r="I113" s="38"/>
      <c r="J113" s="38"/>
      <c r="K113" s="38"/>
      <c r="L113" s="38"/>
      <c r="M113" s="38"/>
      <c r="N113" s="38"/>
      <c r="O113" s="38"/>
      <c r="P113" s="38"/>
      <c r="Q113" s="38"/>
      <c r="R113" s="38"/>
      <c r="S113" s="38"/>
      <c r="T113" s="38"/>
      <c r="U113" s="38"/>
      <c r="V113" s="769">
        <v>0.0</v>
      </c>
      <c r="W113" s="252">
        <f t="shared" si="18"/>
        <v>0</v>
      </c>
      <c r="X113" s="252">
        <f t="shared" ref="X113:BA113" si="87">IF(AND(X$43-$A113&gt;$V$30,SUM($W113:W113)&lt;&gt;$V113),$V113,0)</f>
        <v>0</v>
      </c>
      <c r="Y113" s="252">
        <f t="shared" si="87"/>
        <v>0</v>
      </c>
      <c r="Z113" s="252">
        <f t="shared" si="87"/>
        <v>0</v>
      </c>
      <c r="AA113" s="252">
        <f t="shared" si="87"/>
        <v>0</v>
      </c>
      <c r="AB113" s="252">
        <f t="shared" si="87"/>
        <v>0</v>
      </c>
      <c r="AC113" s="252">
        <f t="shared" si="87"/>
        <v>0</v>
      </c>
      <c r="AD113" s="252">
        <f t="shared" si="87"/>
        <v>0</v>
      </c>
      <c r="AE113" s="252">
        <f t="shared" si="87"/>
        <v>0</v>
      </c>
      <c r="AF113" s="252">
        <f t="shared" si="87"/>
        <v>0</v>
      </c>
      <c r="AG113" s="252">
        <f t="shared" si="87"/>
        <v>0</v>
      </c>
      <c r="AH113" s="252">
        <f t="shared" si="87"/>
        <v>0</v>
      </c>
      <c r="AI113" s="252">
        <f t="shared" si="87"/>
        <v>0</v>
      </c>
      <c r="AJ113" s="252">
        <f t="shared" si="87"/>
        <v>0</v>
      </c>
      <c r="AK113" s="252">
        <f t="shared" si="87"/>
        <v>0</v>
      </c>
      <c r="AL113" s="252">
        <f t="shared" si="87"/>
        <v>0</v>
      </c>
      <c r="AM113" s="252">
        <f t="shared" si="87"/>
        <v>0</v>
      </c>
      <c r="AN113" s="252">
        <f t="shared" si="87"/>
        <v>0</v>
      </c>
      <c r="AO113" s="252">
        <f t="shared" si="87"/>
        <v>0</v>
      </c>
      <c r="AP113" s="252">
        <f t="shared" si="87"/>
        <v>0</v>
      </c>
      <c r="AQ113" s="252">
        <f t="shared" si="87"/>
        <v>0</v>
      </c>
      <c r="AR113" s="252">
        <f t="shared" si="87"/>
        <v>0</v>
      </c>
      <c r="AS113" s="252">
        <f t="shared" si="87"/>
        <v>0</v>
      </c>
      <c r="AT113" s="252">
        <f t="shared" si="87"/>
        <v>0</v>
      </c>
      <c r="AU113" s="252">
        <f t="shared" si="87"/>
        <v>0</v>
      </c>
      <c r="AV113" s="252">
        <f t="shared" si="87"/>
        <v>0</v>
      </c>
      <c r="AW113" s="252">
        <f t="shared" si="87"/>
        <v>0</v>
      </c>
      <c r="AX113" s="252">
        <f t="shared" si="87"/>
        <v>0</v>
      </c>
      <c r="AY113" s="252">
        <f t="shared" si="87"/>
        <v>0</v>
      </c>
      <c r="AZ113" s="252">
        <f t="shared" si="87"/>
        <v>0</v>
      </c>
      <c r="BA113" s="252">
        <f t="shared" si="87"/>
        <v>0</v>
      </c>
    </row>
    <row r="114" ht="15.75" customHeight="1">
      <c r="A114" s="787">
        <v>2000.0</v>
      </c>
      <c r="B114" s="38"/>
      <c r="C114" s="38"/>
      <c r="D114" s="38"/>
      <c r="E114" s="38"/>
      <c r="F114" s="38"/>
      <c r="G114" s="38"/>
      <c r="H114" s="38"/>
      <c r="I114" s="38"/>
      <c r="J114" s="38"/>
      <c r="K114" s="38"/>
      <c r="L114" s="38"/>
      <c r="M114" s="38"/>
      <c r="N114" s="38"/>
      <c r="O114" s="38"/>
      <c r="P114" s="38"/>
      <c r="Q114" s="38"/>
      <c r="R114" s="38"/>
      <c r="S114" s="38"/>
      <c r="T114" s="38"/>
      <c r="U114" s="38"/>
      <c r="V114" s="769">
        <v>1.8</v>
      </c>
      <c r="W114" s="252">
        <f t="shared" si="18"/>
        <v>0</v>
      </c>
      <c r="X114" s="252">
        <f t="shared" ref="X114:BA114" si="88">IF(AND(X$43-$A114&gt;$V$30,SUM($W114:W114)&lt;&gt;$V114),$V114,0)</f>
        <v>0</v>
      </c>
      <c r="Y114" s="252">
        <f t="shared" si="88"/>
        <v>0</v>
      </c>
      <c r="Z114" s="252">
        <f t="shared" si="88"/>
        <v>0</v>
      </c>
      <c r="AA114" s="252">
        <f t="shared" si="88"/>
        <v>0</v>
      </c>
      <c r="AB114" s="252">
        <f t="shared" si="88"/>
        <v>0</v>
      </c>
      <c r="AC114" s="252">
        <f t="shared" si="88"/>
        <v>0</v>
      </c>
      <c r="AD114" s="252">
        <f t="shared" si="88"/>
        <v>1.8</v>
      </c>
      <c r="AE114" s="252">
        <f t="shared" si="88"/>
        <v>0</v>
      </c>
      <c r="AF114" s="252">
        <f t="shared" si="88"/>
        <v>0</v>
      </c>
      <c r="AG114" s="252">
        <f t="shared" si="88"/>
        <v>0</v>
      </c>
      <c r="AH114" s="252">
        <f t="shared" si="88"/>
        <v>0</v>
      </c>
      <c r="AI114" s="252">
        <f t="shared" si="88"/>
        <v>0</v>
      </c>
      <c r="AJ114" s="252">
        <f t="shared" si="88"/>
        <v>0</v>
      </c>
      <c r="AK114" s="252">
        <f t="shared" si="88"/>
        <v>0</v>
      </c>
      <c r="AL114" s="252">
        <f t="shared" si="88"/>
        <v>0</v>
      </c>
      <c r="AM114" s="252">
        <f t="shared" si="88"/>
        <v>0</v>
      </c>
      <c r="AN114" s="252">
        <f t="shared" si="88"/>
        <v>0</v>
      </c>
      <c r="AO114" s="252">
        <f t="shared" si="88"/>
        <v>0</v>
      </c>
      <c r="AP114" s="252">
        <f t="shared" si="88"/>
        <v>0</v>
      </c>
      <c r="AQ114" s="252">
        <f t="shared" si="88"/>
        <v>0</v>
      </c>
      <c r="AR114" s="252">
        <f t="shared" si="88"/>
        <v>0</v>
      </c>
      <c r="AS114" s="252">
        <f t="shared" si="88"/>
        <v>0</v>
      </c>
      <c r="AT114" s="252">
        <f t="shared" si="88"/>
        <v>0</v>
      </c>
      <c r="AU114" s="252">
        <f t="shared" si="88"/>
        <v>0</v>
      </c>
      <c r="AV114" s="252">
        <f t="shared" si="88"/>
        <v>0</v>
      </c>
      <c r="AW114" s="252">
        <f t="shared" si="88"/>
        <v>0</v>
      </c>
      <c r="AX114" s="252">
        <f t="shared" si="88"/>
        <v>0</v>
      </c>
      <c r="AY114" s="252">
        <f t="shared" si="88"/>
        <v>0</v>
      </c>
      <c r="AZ114" s="252">
        <f t="shared" si="88"/>
        <v>0</v>
      </c>
      <c r="BA114" s="252">
        <f t="shared" si="88"/>
        <v>0</v>
      </c>
    </row>
    <row r="115" ht="15.75" customHeight="1">
      <c r="A115" s="787">
        <v>2001.0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18"/>
        <v>0</v>
      </c>
      <c r="X115" s="252">
        <f t="shared" ref="X115:BA115" si="89">IF(AND(X$43-$A115&gt;$V$30,SUM($W115:W115)&lt;&gt;$V115),$V115,0)</f>
        <v>0</v>
      </c>
      <c r="Y115" s="252">
        <f t="shared" si="89"/>
        <v>0</v>
      </c>
      <c r="Z115" s="252">
        <f t="shared" si="89"/>
        <v>0</v>
      </c>
      <c r="AA115" s="252">
        <f t="shared" si="89"/>
        <v>0</v>
      </c>
      <c r="AB115" s="252">
        <f t="shared" si="89"/>
        <v>0</v>
      </c>
      <c r="AC115" s="252">
        <f t="shared" si="89"/>
        <v>0</v>
      </c>
      <c r="AD115" s="252">
        <f t="shared" si="89"/>
        <v>0</v>
      </c>
      <c r="AE115" s="252">
        <f t="shared" si="89"/>
        <v>0</v>
      </c>
      <c r="AF115" s="252">
        <f t="shared" si="89"/>
        <v>0</v>
      </c>
      <c r="AG115" s="252">
        <f t="shared" si="89"/>
        <v>0</v>
      </c>
      <c r="AH115" s="252">
        <f t="shared" si="89"/>
        <v>0</v>
      </c>
      <c r="AI115" s="252">
        <f t="shared" si="89"/>
        <v>0</v>
      </c>
      <c r="AJ115" s="252">
        <f t="shared" si="89"/>
        <v>0</v>
      </c>
      <c r="AK115" s="252">
        <f t="shared" si="89"/>
        <v>0</v>
      </c>
      <c r="AL115" s="252">
        <f t="shared" si="89"/>
        <v>0</v>
      </c>
      <c r="AM115" s="252">
        <f t="shared" si="89"/>
        <v>0</v>
      </c>
      <c r="AN115" s="252">
        <f t="shared" si="89"/>
        <v>0</v>
      </c>
      <c r="AO115" s="252">
        <f t="shared" si="89"/>
        <v>0</v>
      </c>
      <c r="AP115" s="252">
        <f t="shared" si="89"/>
        <v>0</v>
      </c>
      <c r="AQ115" s="252">
        <f t="shared" si="89"/>
        <v>0</v>
      </c>
      <c r="AR115" s="252">
        <f t="shared" si="89"/>
        <v>0</v>
      </c>
      <c r="AS115" s="252">
        <f t="shared" si="89"/>
        <v>0</v>
      </c>
      <c r="AT115" s="252">
        <f t="shared" si="89"/>
        <v>0</v>
      </c>
      <c r="AU115" s="252">
        <f t="shared" si="89"/>
        <v>0</v>
      </c>
      <c r="AV115" s="252">
        <f t="shared" si="89"/>
        <v>0</v>
      </c>
      <c r="AW115" s="252">
        <f t="shared" si="89"/>
        <v>0</v>
      </c>
      <c r="AX115" s="252">
        <f t="shared" si="89"/>
        <v>0</v>
      </c>
      <c r="AY115" s="252">
        <f t="shared" si="89"/>
        <v>0</v>
      </c>
      <c r="AZ115" s="252">
        <f t="shared" si="89"/>
        <v>0</v>
      </c>
      <c r="BA115" s="252">
        <f t="shared" si="89"/>
        <v>0</v>
      </c>
    </row>
    <row r="116" ht="15.75" customHeight="1">
      <c r="A116" s="787">
        <v>2002.0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18"/>
        <v>0</v>
      </c>
      <c r="X116" s="252">
        <f t="shared" ref="X116:BA116" si="90">IF(AND(X$43-$A116&gt;$V$30,SUM($W116:W116)&lt;&gt;$V116),$V116,0)</f>
        <v>0</v>
      </c>
      <c r="Y116" s="252">
        <f t="shared" si="90"/>
        <v>0</v>
      </c>
      <c r="Z116" s="252">
        <f t="shared" si="90"/>
        <v>0</v>
      </c>
      <c r="AA116" s="252">
        <f t="shared" si="90"/>
        <v>0</v>
      </c>
      <c r="AB116" s="252">
        <f t="shared" si="90"/>
        <v>0</v>
      </c>
      <c r="AC116" s="252">
        <f t="shared" si="90"/>
        <v>0</v>
      </c>
      <c r="AD116" s="252">
        <f t="shared" si="90"/>
        <v>0</v>
      </c>
      <c r="AE116" s="252">
        <f t="shared" si="90"/>
        <v>0</v>
      </c>
      <c r="AF116" s="252">
        <f t="shared" si="90"/>
        <v>0</v>
      </c>
      <c r="AG116" s="252">
        <f t="shared" si="90"/>
        <v>0</v>
      </c>
      <c r="AH116" s="252">
        <f t="shared" si="90"/>
        <v>0</v>
      </c>
      <c r="AI116" s="252">
        <f t="shared" si="90"/>
        <v>0</v>
      </c>
      <c r="AJ116" s="252">
        <f t="shared" si="90"/>
        <v>0</v>
      </c>
      <c r="AK116" s="252">
        <f t="shared" si="90"/>
        <v>0</v>
      </c>
      <c r="AL116" s="252">
        <f t="shared" si="90"/>
        <v>0</v>
      </c>
      <c r="AM116" s="252">
        <f t="shared" si="90"/>
        <v>0</v>
      </c>
      <c r="AN116" s="252">
        <f t="shared" si="90"/>
        <v>0</v>
      </c>
      <c r="AO116" s="252">
        <f t="shared" si="90"/>
        <v>0</v>
      </c>
      <c r="AP116" s="252">
        <f t="shared" si="90"/>
        <v>0</v>
      </c>
      <c r="AQ116" s="252">
        <f t="shared" si="90"/>
        <v>0</v>
      </c>
      <c r="AR116" s="252">
        <f t="shared" si="90"/>
        <v>0</v>
      </c>
      <c r="AS116" s="252">
        <f t="shared" si="90"/>
        <v>0</v>
      </c>
      <c r="AT116" s="252">
        <f t="shared" si="90"/>
        <v>0</v>
      </c>
      <c r="AU116" s="252">
        <f t="shared" si="90"/>
        <v>0</v>
      </c>
      <c r="AV116" s="252">
        <f t="shared" si="90"/>
        <v>0</v>
      </c>
      <c r="AW116" s="252">
        <f t="shared" si="90"/>
        <v>0</v>
      </c>
      <c r="AX116" s="252">
        <f t="shared" si="90"/>
        <v>0</v>
      </c>
      <c r="AY116" s="252">
        <f t="shared" si="90"/>
        <v>0</v>
      </c>
      <c r="AZ116" s="252">
        <f t="shared" si="90"/>
        <v>0</v>
      </c>
      <c r="BA116" s="252">
        <f t="shared" si="90"/>
        <v>0</v>
      </c>
    </row>
    <row r="117" ht="15.75" customHeight="1">
      <c r="A117" s="787">
        <v>2003.0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18"/>
        <v>0</v>
      </c>
      <c r="X117" s="252">
        <f t="shared" ref="X117:BA117" si="91">IF(AND(X$43-$A117&gt;$V$30,SUM($W117:W117)&lt;&gt;$V117),$V117,0)</f>
        <v>0</v>
      </c>
      <c r="Y117" s="252">
        <f t="shared" si="91"/>
        <v>0</v>
      </c>
      <c r="Z117" s="252">
        <f t="shared" si="91"/>
        <v>0</v>
      </c>
      <c r="AA117" s="252">
        <f t="shared" si="91"/>
        <v>0</v>
      </c>
      <c r="AB117" s="252">
        <f t="shared" si="91"/>
        <v>0</v>
      </c>
      <c r="AC117" s="252">
        <f t="shared" si="91"/>
        <v>0</v>
      </c>
      <c r="AD117" s="252">
        <f t="shared" si="91"/>
        <v>0</v>
      </c>
      <c r="AE117" s="252">
        <f t="shared" si="91"/>
        <v>0</v>
      </c>
      <c r="AF117" s="252">
        <f t="shared" si="91"/>
        <v>0</v>
      </c>
      <c r="AG117" s="252">
        <f t="shared" si="91"/>
        <v>0</v>
      </c>
      <c r="AH117" s="252">
        <f t="shared" si="91"/>
        <v>0</v>
      </c>
      <c r="AI117" s="252">
        <f t="shared" si="91"/>
        <v>0</v>
      </c>
      <c r="AJ117" s="252">
        <f t="shared" si="91"/>
        <v>0</v>
      </c>
      <c r="AK117" s="252">
        <f t="shared" si="91"/>
        <v>0</v>
      </c>
      <c r="AL117" s="252">
        <f t="shared" si="91"/>
        <v>0</v>
      </c>
      <c r="AM117" s="252">
        <f t="shared" si="91"/>
        <v>0</v>
      </c>
      <c r="AN117" s="252">
        <f t="shared" si="91"/>
        <v>0</v>
      </c>
      <c r="AO117" s="252">
        <f t="shared" si="91"/>
        <v>0</v>
      </c>
      <c r="AP117" s="252">
        <f t="shared" si="91"/>
        <v>0</v>
      </c>
      <c r="AQ117" s="252">
        <f t="shared" si="91"/>
        <v>0</v>
      </c>
      <c r="AR117" s="252">
        <f t="shared" si="91"/>
        <v>0</v>
      </c>
      <c r="AS117" s="252">
        <f t="shared" si="91"/>
        <v>0</v>
      </c>
      <c r="AT117" s="252">
        <f t="shared" si="91"/>
        <v>0</v>
      </c>
      <c r="AU117" s="252">
        <f t="shared" si="91"/>
        <v>0</v>
      </c>
      <c r="AV117" s="252">
        <f t="shared" si="91"/>
        <v>0</v>
      </c>
      <c r="AW117" s="252">
        <f t="shared" si="91"/>
        <v>0</v>
      </c>
      <c r="AX117" s="252">
        <f t="shared" si="91"/>
        <v>0</v>
      </c>
      <c r="AY117" s="252">
        <f t="shared" si="91"/>
        <v>0</v>
      </c>
      <c r="AZ117" s="252">
        <f t="shared" si="91"/>
        <v>0</v>
      </c>
      <c r="BA117" s="252">
        <f t="shared" si="91"/>
        <v>0</v>
      </c>
    </row>
    <row r="118" ht="15.75" customHeight="1">
      <c r="A118" s="787">
        <v>2004.0</v>
      </c>
      <c r="B118" s="38"/>
      <c r="C118" s="38"/>
      <c r="D118" s="38"/>
      <c r="E118" s="38"/>
      <c r="F118" s="38"/>
      <c r="G118" s="38"/>
      <c r="H118" s="38"/>
      <c r="I118" s="38"/>
      <c r="J118" s="38"/>
      <c r="K118" s="38"/>
      <c r="L118" s="38"/>
      <c r="M118" s="38"/>
      <c r="N118" s="38"/>
      <c r="O118" s="38"/>
      <c r="P118" s="38"/>
      <c r="Q118" s="38"/>
      <c r="R118" s="38"/>
      <c r="S118" s="38"/>
      <c r="T118" s="38"/>
      <c r="U118" s="38"/>
      <c r="V118" s="769">
        <v>27.0</v>
      </c>
      <c r="W118" s="252">
        <f t="shared" si="18"/>
        <v>0</v>
      </c>
      <c r="X118" s="252">
        <f t="shared" ref="X118:BA118" si="92">IF(AND(X$43-$A118&gt;$V$30,SUM($W118:W118)&lt;&gt;$V118),$V118,0)</f>
        <v>0</v>
      </c>
      <c r="Y118" s="252">
        <f t="shared" si="92"/>
        <v>0</v>
      </c>
      <c r="Z118" s="252">
        <f t="shared" si="92"/>
        <v>0</v>
      </c>
      <c r="AA118" s="252">
        <f t="shared" si="92"/>
        <v>0</v>
      </c>
      <c r="AB118" s="252">
        <f t="shared" si="92"/>
        <v>0</v>
      </c>
      <c r="AC118" s="252">
        <f t="shared" si="92"/>
        <v>0</v>
      </c>
      <c r="AD118" s="252">
        <f t="shared" si="92"/>
        <v>0</v>
      </c>
      <c r="AE118" s="252">
        <f t="shared" si="92"/>
        <v>0</v>
      </c>
      <c r="AF118" s="252">
        <f t="shared" si="92"/>
        <v>0</v>
      </c>
      <c r="AG118" s="252">
        <f t="shared" si="92"/>
        <v>0</v>
      </c>
      <c r="AH118" s="252">
        <f t="shared" si="92"/>
        <v>27</v>
      </c>
      <c r="AI118" s="252">
        <f t="shared" si="92"/>
        <v>0</v>
      </c>
      <c r="AJ118" s="252">
        <f t="shared" si="92"/>
        <v>0</v>
      </c>
      <c r="AK118" s="252">
        <f t="shared" si="92"/>
        <v>0</v>
      </c>
      <c r="AL118" s="252">
        <f t="shared" si="92"/>
        <v>0</v>
      </c>
      <c r="AM118" s="252">
        <f t="shared" si="92"/>
        <v>0</v>
      </c>
      <c r="AN118" s="252">
        <f t="shared" si="92"/>
        <v>0</v>
      </c>
      <c r="AO118" s="252">
        <f t="shared" si="92"/>
        <v>0</v>
      </c>
      <c r="AP118" s="252">
        <f t="shared" si="92"/>
        <v>0</v>
      </c>
      <c r="AQ118" s="252">
        <f t="shared" si="92"/>
        <v>0</v>
      </c>
      <c r="AR118" s="252">
        <f t="shared" si="92"/>
        <v>0</v>
      </c>
      <c r="AS118" s="252">
        <f t="shared" si="92"/>
        <v>0</v>
      </c>
      <c r="AT118" s="252">
        <f t="shared" si="92"/>
        <v>0</v>
      </c>
      <c r="AU118" s="252">
        <f t="shared" si="92"/>
        <v>0</v>
      </c>
      <c r="AV118" s="252">
        <f t="shared" si="92"/>
        <v>0</v>
      </c>
      <c r="AW118" s="252">
        <f t="shared" si="92"/>
        <v>0</v>
      </c>
      <c r="AX118" s="252">
        <f t="shared" si="92"/>
        <v>0</v>
      </c>
      <c r="AY118" s="252">
        <f t="shared" si="92"/>
        <v>0</v>
      </c>
      <c r="AZ118" s="252">
        <f t="shared" si="92"/>
        <v>0</v>
      </c>
      <c r="BA118" s="252">
        <f t="shared" si="92"/>
        <v>0</v>
      </c>
    </row>
    <row r="119" ht="15.75" customHeight="1">
      <c r="A119" s="787">
        <v>2005.0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18"/>
        <v>0</v>
      </c>
      <c r="X119" s="252">
        <f t="shared" ref="X119:BA119" si="93">IF(AND(X$43-$A119&gt;$V$30,SUM($W119:W119)&lt;&gt;$V119),$V119,0)</f>
        <v>0</v>
      </c>
      <c r="Y119" s="252">
        <f t="shared" si="93"/>
        <v>0</v>
      </c>
      <c r="Z119" s="252">
        <f t="shared" si="93"/>
        <v>0</v>
      </c>
      <c r="AA119" s="252">
        <f t="shared" si="93"/>
        <v>0</v>
      </c>
      <c r="AB119" s="252">
        <f t="shared" si="93"/>
        <v>0</v>
      </c>
      <c r="AC119" s="252">
        <f t="shared" si="93"/>
        <v>0</v>
      </c>
      <c r="AD119" s="252">
        <f t="shared" si="93"/>
        <v>0</v>
      </c>
      <c r="AE119" s="252">
        <f t="shared" si="93"/>
        <v>0</v>
      </c>
      <c r="AF119" s="252">
        <f t="shared" si="93"/>
        <v>0</v>
      </c>
      <c r="AG119" s="252">
        <f t="shared" si="93"/>
        <v>0</v>
      </c>
      <c r="AH119" s="252">
        <f t="shared" si="93"/>
        <v>0</v>
      </c>
      <c r="AI119" s="252">
        <f t="shared" si="93"/>
        <v>0</v>
      </c>
      <c r="AJ119" s="252">
        <f t="shared" si="93"/>
        <v>0</v>
      </c>
      <c r="AK119" s="252">
        <f t="shared" si="93"/>
        <v>0</v>
      </c>
      <c r="AL119" s="252">
        <f t="shared" si="93"/>
        <v>0</v>
      </c>
      <c r="AM119" s="252">
        <f t="shared" si="93"/>
        <v>0</v>
      </c>
      <c r="AN119" s="252">
        <f t="shared" si="93"/>
        <v>0</v>
      </c>
      <c r="AO119" s="252">
        <f t="shared" si="93"/>
        <v>0</v>
      </c>
      <c r="AP119" s="252">
        <f t="shared" si="93"/>
        <v>0</v>
      </c>
      <c r="AQ119" s="252">
        <f t="shared" si="93"/>
        <v>0</v>
      </c>
      <c r="AR119" s="252">
        <f t="shared" si="93"/>
        <v>0</v>
      </c>
      <c r="AS119" s="252">
        <f t="shared" si="93"/>
        <v>0</v>
      </c>
      <c r="AT119" s="252">
        <f t="shared" si="93"/>
        <v>0</v>
      </c>
      <c r="AU119" s="252">
        <f t="shared" si="93"/>
        <v>0</v>
      </c>
      <c r="AV119" s="252">
        <f t="shared" si="93"/>
        <v>0</v>
      </c>
      <c r="AW119" s="252">
        <f t="shared" si="93"/>
        <v>0</v>
      </c>
      <c r="AX119" s="252">
        <f t="shared" si="93"/>
        <v>0</v>
      </c>
      <c r="AY119" s="252">
        <f t="shared" si="93"/>
        <v>0</v>
      </c>
      <c r="AZ119" s="252">
        <f t="shared" si="93"/>
        <v>0</v>
      </c>
      <c r="BA119" s="252">
        <f t="shared" si="93"/>
        <v>0</v>
      </c>
    </row>
    <row r="120" ht="15.75" customHeight="1">
      <c r="A120" s="787">
        <v>2006.0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18"/>
        <v>0</v>
      </c>
      <c r="X120" s="252">
        <f t="shared" ref="X120:BA120" si="94">IF(AND(X$43-$A120&gt;$V$30,SUM($W120:W120)&lt;&gt;$V120),$V120,0)</f>
        <v>0</v>
      </c>
      <c r="Y120" s="252">
        <f t="shared" si="94"/>
        <v>0</v>
      </c>
      <c r="Z120" s="252">
        <f t="shared" si="94"/>
        <v>0</v>
      </c>
      <c r="AA120" s="252">
        <f t="shared" si="94"/>
        <v>0</v>
      </c>
      <c r="AB120" s="252">
        <f t="shared" si="94"/>
        <v>0</v>
      </c>
      <c r="AC120" s="252">
        <f t="shared" si="94"/>
        <v>0</v>
      </c>
      <c r="AD120" s="252">
        <f t="shared" si="94"/>
        <v>0</v>
      </c>
      <c r="AE120" s="252">
        <f t="shared" si="94"/>
        <v>0</v>
      </c>
      <c r="AF120" s="252">
        <f t="shared" si="94"/>
        <v>0</v>
      </c>
      <c r="AG120" s="252">
        <f t="shared" si="94"/>
        <v>0</v>
      </c>
      <c r="AH120" s="252">
        <f t="shared" si="94"/>
        <v>0</v>
      </c>
      <c r="AI120" s="252">
        <f t="shared" si="94"/>
        <v>0</v>
      </c>
      <c r="AJ120" s="252">
        <f t="shared" si="94"/>
        <v>0</v>
      </c>
      <c r="AK120" s="252">
        <f t="shared" si="94"/>
        <v>0</v>
      </c>
      <c r="AL120" s="252">
        <f t="shared" si="94"/>
        <v>0</v>
      </c>
      <c r="AM120" s="252">
        <f t="shared" si="94"/>
        <v>0</v>
      </c>
      <c r="AN120" s="252">
        <f t="shared" si="94"/>
        <v>0</v>
      </c>
      <c r="AO120" s="252">
        <f t="shared" si="94"/>
        <v>0</v>
      </c>
      <c r="AP120" s="252">
        <f t="shared" si="94"/>
        <v>0</v>
      </c>
      <c r="AQ120" s="252">
        <f t="shared" si="94"/>
        <v>0</v>
      </c>
      <c r="AR120" s="252">
        <f t="shared" si="94"/>
        <v>0</v>
      </c>
      <c r="AS120" s="252">
        <f t="shared" si="94"/>
        <v>0</v>
      </c>
      <c r="AT120" s="252">
        <f t="shared" si="94"/>
        <v>0</v>
      </c>
      <c r="AU120" s="252">
        <f t="shared" si="94"/>
        <v>0</v>
      </c>
      <c r="AV120" s="252">
        <f t="shared" si="94"/>
        <v>0</v>
      </c>
      <c r="AW120" s="252">
        <f t="shared" si="94"/>
        <v>0</v>
      </c>
      <c r="AX120" s="252">
        <f t="shared" si="94"/>
        <v>0</v>
      </c>
      <c r="AY120" s="252">
        <f t="shared" si="94"/>
        <v>0</v>
      </c>
      <c r="AZ120" s="252">
        <f t="shared" si="94"/>
        <v>0</v>
      </c>
      <c r="BA120" s="252">
        <f t="shared" si="94"/>
        <v>0</v>
      </c>
    </row>
    <row r="121" ht="13.5" customHeight="1">
      <c r="A121" s="787">
        <v>2007.0</v>
      </c>
      <c r="B121" s="38"/>
      <c r="C121" s="38"/>
      <c r="D121" s="38"/>
      <c r="E121" s="38"/>
      <c r="F121" s="38"/>
      <c r="G121" s="38"/>
      <c r="H121" s="38"/>
      <c r="I121" s="38"/>
      <c r="J121" s="38"/>
      <c r="K121" s="38"/>
      <c r="L121" s="38"/>
      <c r="M121" s="38"/>
      <c r="N121" s="38"/>
      <c r="O121" s="38"/>
      <c r="P121" s="38"/>
      <c r="Q121" s="38"/>
      <c r="R121" s="38"/>
      <c r="S121" s="38"/>
      <c r="T121" s="38"/>
      <c r="U121" s="38"/>
      <c r="V121" s="769">
        <v>0.0</v>
      </c>
      <c r="W121" s="252">
        <f t="shared" si="18"/>
        <v>0</v>
      </c>
      <c r="X121" s="252">
        <f t="shared" ref="X121:BA121" si="95">IF(AND(X$43-$A121&gt;$V$30,SUM($W121:W121)&lt;&gt;$V121),$V121,0)</f>
        <v>0</v>
      </c>
      <c r="Y121" s="252">
        <f t="shared" si="95"/>
        <v>0</v>
      </c>
      <c r="Z121" s="252">
        <f t="shared" si="95"/>
        <v>0</v>
      </c>
      <c r="AA121" s="252">
        <f t="shared" si="95"/>
        <v>0</v>
      </c>
      <c r="AB121" s="252">
        <f t="shared" si="95"/>
        <v>0</v>
      </c>
      <c r="AC121" s="252">
        <f t="shared" si="95"/>
        <v>0</v>
      </c>
      <c r="AD121" s="252">
        <f t="shared" si="95"/>
        <v>0</v>
      </c>
      <c r="AE121" s="252">
        <f t="shared" si="95"/>
        <v>0</v>
      </c>
      <c r="AF121" s="252">
        <f t="shared" si="95"/>
        <v>0</v>
      </c>
      <c r="AG121" s="252">
        <f t="shared" si="95"/>
        <v>0</v>
      </c>
      <c r="AH121" s="252">
        <f t="shared" si="95"/>
        <v>0</v>
      </c>
      <c r="AI121" s="252">
        <f t="shared" si="95"/>
        <v>0</v>
      </c>
      <c r="AJ121" s="252">
        <f t="shared" si="95"/>
        <v>0</v>
      </c>
      <c r="AK121" s="252">
        <f t="shared" si="95"/>
        <v>0</v>
      </c>
      <c r="AL121" s="252">
        <f t="shared" si="95"/>
        <v>0</v>
      </c>
      <c r="AM121" s="252">
        <f t="shared" si="95"/>
        <v>0</v>
      </c>
      <c r="AN121" s="252">
        <f t="shared" si="95"/>
        <v>0</v>
      </c>
      <c r="AO121" s="252">
        <f t="shared" si="95"/>
        <v>0</v>
      </c>
      <c r="AP121" s="252">
        <f t="shared" si="95"/>
        <v>0</v>
      </c>
      <c r="AQ121" s="252">
        <f t="shared" si="95"/>
        <v>0</v>
      </c>
      <c r="AR121" s="252">
        <f t="shared" si="95"/>
        <v>0</v>
      </c>
      <c r="AS121" s="252">
        <f t="shared" si="95"/>
        <v>0</v>
      </c>
      <c r="AT121" s="252">
        <f t="shared" si="95"/>
        <v>0</v>
      </c>
      <c r="AU121" s="252">
        <f t="shared" si="95"/>
        <v>0</v>
      </c>
      <c r="AV121" s="252">
        <f t="shared" si="95"/>
        <v>0</v>
      </c>
      <c r="AW121" s="252">
        <f t="shared" si="95"/>
        <v>0</v>
      </c>
      <c r="AX121" s="252">
        <f t="shared" si="95"/>
        <v>0</v>
      </c>
      <c r="AY121" s="252">
        <f t="shared" si="95"/>
        <v>0</v>
      </c>
      <c r="AZ121" s="252">
        <f t="shared" si="95"/>
        <v>0</v>
      </c>
      <c r="BA121" s="252">
        <f t="shared" si="95"/>
        <v>0</v>
      </c>
    </row>
    <row r="122" ht="15.75" customHeight="1">
      <c r="A122" s="787">
        <v>2008.0</v>
      </c>
      <c r="B122" s="38"/>
      <c r="C122" s="38"/>
      <c r="D122" s="38"/>
      <c r="E122" s="38"/>
      <c r="F122" s="38"/>
      <c r="G122" s="38"/>
      <c r="H122" s="38"/>
      <c r="I122" s="38"/>
      <c r="J122" s="38"/>
      <c r="K122" s="38"/>
      <c r="L122" s="38"/>
      <c r="M122" s="38"/>
      <c r="N122" s="38"/>
      <c r="O122" s="38"/>
      <c r="P122" s="38"/>
      <c r="Q122" s="38"/>
      <c r="R122" s="38"/>
      <c r="S122" s="38"/>
      <c r="T122" s="38"/>
      <c r="U122" s="38"/>
      <c r="V122" s="769">
        <v>0.0</v>
      </c>
      <c r="W122" s="252">
        <f t="shared" si="18"/>
        <v>0</v>
      </c>
      <c r="X122" s="252">
        <f t="shared" ref="X122:BA122" si="96">IF(AND(X$43-$A122&gt;$V$30,SUM($W122:W122)&lt;&gt;$V122),$V122,0)</f>
        <v>0</v>
      </c>
      <c r="Y122" s="252">
        <f t="shared" si="96"/>
        <v>0</v>
      </c>
      <c r="Z122" s="252">
        <f t="shared" si="96"/>
        <v>0</v>
      </c>
      <c r="AA122" s="252">
        <f t="shared" si="96"/>
        <v>0</v>
      </c>
      <c r="AB122" s="252">
        <f t="shared" si="96"/>
        <v>0</v>
      </c>
      <c r="AC122" s="252">
        <f t="shared" si="96"/>
        <v>0</v>
      </c>
      <c r="AD122" s="252">
        <f t="shared" si="96"/>
        <v>0</v>
      </c>
      <c r="AE122" s="252">
        <f t="shared" si="96"/>
        <v>0</v>
      </c>
      <c r="AF122" s="252">
        <f t="shared" si="96"/>
        <v>0</v>
      </c>
      <c r="AG122" s="252">
        <f t="shared" si="96"/>
        <v>0</v>
      </c>
      <c r="AH122" s="252">
        <f t="shared" si="96"/>
        <v>0</v>
      </c>
      <c r="AI122" s="252">
        <f t="shared" si="96"/>
        <v>0</v>
      </c>
      <c r="AJ122" s="252">
        <f t="shared" si="96"/>
        <v>0</v>
      </c>
      <c r="AK122" s="252">
        <f t="shared" si="96"/>
        <v>0</v>
      </c>
      <c r="AL122" s="252">
        <f t="shared" si="96"/>
        <v>0</v>
      </c>
      <c r="AM122" s="252">
        <f t="shared" si="96"/>
        <v>0</v>
      </c>
      <c r="AN122" s="252">
        <f t="shared" si="96"/>
        <v>0</v>
      </c>
      <c r="AO122" s="252">
        <f t="shared" si="96"/>
        <v>0</v>
      </c>
      <c r="AP122" s="252">
        <f t="shared" si="96"/>
        <v>0</v>
      </c>
      <c r="AQ122" s="252">
        <f t="shared" si="96"/>
        <v>0</v>
      </c>
      <c r="AR122" s="252">
        <f t="shared" si="96"/>
        <v>0</v>
      </c>
      <c r="AS122" s="252">
        <f t="shared" si="96"/>
        <v>0</v>
      </c>
      <c r="AT122" s="252">
        <f t="shared" si="96"/>
        <v>0</v>
      </c>
      <c r="AU122" s="252">
        <f t="shared" si="96"/>
        <v>0</v>
      </c>
      <c r="AV122" s="252">
        <f t="shared" si="96"/>
        <v>0</v>
      </c>
      <c r="AW122" s="252">
        <f t="shared" si="96"/>
        <v>0</v>
      </c>
      <c r="AX122" s="252">
        <f t="shared" si="96"/>
        <v>0</v>
      </c>
      <c r="AY122" s="252">
        <f t="shared" si="96"/>
        <v>0</v>
      </c>
      <c r="AZ122" s="252">
        <f t="shared" si="96"/>
        <v>0</v>
      </c>
      <c r="BA122" s="252">
        <f t="shared" si="96"/>
        <v>0</v>
      </c>
    </row>
    <row r="123" ht="15.75" customHeight="1">
      <c r="A123" s="787">
        <v>2009.0</v>
      </c>
      <c r="B123" s="38"/>
      <c r="C123" s="38"/>
      <c r="D123" s="38"/>
      <c r="E123" s="38"/>
      <c r="F123" s="38"/>
      <c r="G123" s="38"/>
      <c r="H123" s="38"/>
      <c r="I123" s="38"/>
      <c r="J123" s="38"/>
      <c r="K123" s="38"/>
      <c r="L123" s="38"/>
      <c r="M123" s="38"/>
      <c r="N123" s="38"/>
      <c r="O123" s="38"/>
      <c r="P123" s="38"/>
      <c r="Q123" s="38"/>
      <c r="R123" s="38"/>
      <c r="S123" s="38"/>
      <c r="T123" s="38"/>
      <c r="U123" s="38"/>
      <c r="V123" s="769">
        <v>0.0</v>
      </c>
      <c r="W123" s="252">
        <f t="shared" si="18"/>
        <v>0</v>
      </c>
      <c r="X123" s="252">
        <f t="shared" ref="X123:BA123" si="97">IF(AND(X$43-$A123&gt;$V$30,SUM($W123:W123)&lt;&gt;$V123),$V123,0)</f>
        <v>0</v>
      </c>
      <c r="Y123" s="252">
        <f t="shared" si="97"/>
        <v>0</v>
      </c>
      <c r="Z123" s="252">
        <f t="shared" si="97"/>
        <v>0</v>
      </c>
      <c r="AA123" s="252">
        <f t="shared" si="97"/>
        <v>0</v>
      </c>
      <c r="AB123" s="252">
        <f t="shared" si="97"/>
        <v>0</v>
      </c>
      <c r="AC123" s="252">
        <f t="shared" si="97"/>
        <v>0</v>
      </c>
      <c r="AD123" s="252">
        <f t="shared" si="97"/>
        <v>0</v>
      </c>
      <c r="AE123" s="252">
        <f t="shared" si="97"/>
        <v>0</v>
      </c>
      <c r="AF123" s="252">
        <f t="shared" si="97"/>
        <v>0</v>
      </c>
      <c r="AG123" s="252">
        <f t="shared" si="97"/>
        <v>0</v>
      </c>
      <c r="AH123" s="252">
        <f t="shared" si="97"/>
        <v>0</v>
      </c>
      <c r="AI123" s="252">
        <f t="shared" si="97"/>
        <v>0</v>
      </c>
      <c r="AJ123" s="252">
        <f t="shared" si="97"/>
        <v>0</v>
      </c>
      <c r="AK123" s="252">
        <f t="shared" si="97"/>
        <v>0</v>
      </c>
      <c r="AL123" s="252">
        <f t="shared" si="97"/>
        <v>0</v>
      </c>
      <c r="AM123" s="252">
        <f t="shared" si="97"/>
        <v>0</v>
      </c>
      <c r="AN123" s="252">
        <f t="shared" si="97"/>
        <v>0</v>
      </c>
      <c r="AO123" s="252">
        <f t="shared" si="97"/>
        <v>0</v>
      </c>
      <c r="AP123" s="252">
        <f t="shared" si="97"/>
        <v>0</v>
      </c>
      <c r="AQ123" s="252">
        <f t="shared" si="97"/>
        <v>0</v>
      </c>
      <c r="AR123" s="252">
        <f t="shared" si="97"/>
        <v>0</v>
      </c>
      <c r="AS123" s="252">
        <f t="shared" si="97"/>
        <v>0</v>
      </c>
      <c r="AT123" s="252">
        <f t="shared" si="97"/>
        <v>0</v>
      </c>
      <c r="AU123" s="252">
        <f t="shared" si="97"/>
        <v>0</v>
      </c>
      <c r="AV123" s="252">
        <f t="shared" si="97"/>
        <v>0</v>
      </c>
      <c r="AW123" s="252">
        <f t="shared" si="97"/>
        <v>0</v>
      </c>
      <c r="AX123" s="252">
        <f t="shared" si="97"/>
        <v>0</v>
      </c>
      <c r="AY123" s="252">
        <f t="shared" si="97"/>
        <v>0</v>
      </c>
      <c r="AZ123" s="252">
        <f t="shared" si="97"/>
        <v>0</v>
      </c>
      <c r="BA123" s="252">
        <f t="shared" si="97"/>
        <v>0</v>
      </c>
    </row>
    <row r="124" ht="15.75" customHeight="1">
      <c r="A124" s="787">
        <v>2010.0</v>
      </c>
      <c r="B124" s="38"/>
      <c r="C124" s="38"/>
      <c r="D124" s="38"/>
      <c r="E124" s="38"/>
      <c r="F124" s="38"/>
      <c r="G124" s="38"/>
      <c r="H124" s="38"/>
      <c r="I124" s="38"/>
      <c r="J124" s="38"/>
      <c r="K124" s="38"/>
      <c r="L124" s="38"/>
      <c r="M124" s="38"/>
      <c r="N124" s="38"/>
      <c r="O124" s="38"/>
      <c r="P124" s="38"/>
      <c r="Q124" s="38"/>
      <c r="R124" s="38"/>
      <c r="S124" s="38"/>
      <c r="T124" s="38"/>
      <c r="U124" s="38"/>
      <c r="V124" s="769">
        <v>0.0</v>
      </c>
      <c r="W124" s="252">
        <f t="shared" si="18"/>
        <v>0</v>
      </c>
      <c r="X124" s="252">
        <f t="shared" ref="X124:BA124" si="98">IF(AND(X$43-$A124&gt;$V$30,SUM($W124:W124)&lt;&gt;$V124),$V124,0)</f>
        <v>0</v>
      </c>
      <c r="Y124" s="252">
        <f t="shared" si="98"/>
        <v>0</v>
      </c>
      <c r="Z124" s="252">
        <f t="shared" si="98"/>
        <v>0</v>
      </c>
      <c r="AA124" s="252">
        <f t="shared" si="98"/>
        <v>0</v>
      </c>
      <c r="AB124" s="252">
        <f t="shared" si="98"/>
        <v>0</v>
      </c>
      <c r="AC124" s="252">
        <f t="shared" si="98"/>
        <v>0</v>
      </c>
      <c r="AD124" s="252">
        <f t="shared" si="98"/>
        <v>0</v>
      </c>
      <c r="AE124" s="252">
        <f t="shared" si="98"/>
        <v>0</v>
      </c>
      <c r="AF124" s="252">
        <f t="shared" si="98"/>
        <v>0</v>
      </c>
      <c r="AG124" s="252">
        <f t="shared" si="98"/>
        <v>0</v>
      </c>
      <c r="AH124" s="252">
        <f t="shared" si="98"/>
        <v>0</v>
      </c>
      <c r="AI124" s="252">
        <f t="shared" si="98"/>
        <v>0</v>
      </c>
      <c r="AJ124" s="252">
        <f t="shared" si="98"/>
        <v>0</v>
      </c>
      <c r="AK124" s="252">
        <f t="shared" si="98"/>
        <v>0</v>
      </c>
      <c r="AL124" s="252">
        <f t="shared" si="98"/>
        <v>0</v>
      </c>
      <c r="AM124" s="252">
        <f t="shared" si="98"/>
        <v>0</v>
      </c>
      <c r="AN124" s="252">
        <f t="shared" si="98"/>
        <v>0</v>
      </c>
      <c r="AO124" s="252">
        <f t="shared" si="98"/>
        <v>0</v>
      </c>
      <c r="AP124" s="252">
        <f t="shared" si="98"/>
        <v>0</v>
      </c>
      <c r="AQ124" s="252">
        <f t="shared" si="98"/>
        <v>0</v>
      </c>
      <c r="AR124" s="252">
        <f t="shared" si="98"/>
        <v>0</v>
      </c>
      <c r="AS124" s="252">
        <f t="shared" si="98"/>
        <v>0</v>
      </c>
      <c r="AT124" s="252">
        <f t="shared" si="98"/>
        <v>0</v>
      </c>
      <c r="AU124" s="252">
        <f t="shared" si="98"/>
        <v>0</v>
      </c>
      <c r="AV124" s="252">
        <f t="shared" si="98"/>
        <v>0</v>
      </c>
      <c r="AW124" s="252">
        <f t="shared" si="98"/>
        <v>0</v>
      </c>
      <c r="AX124" s="252">
        <f t="shared" si="98"/>
        <v>0</v>
      </c>
      <c r="AY124" s="252">
        <f t="shared" si="98"/>
        <v>0</v>
      </c>
      <c r="AZ124" s="252">
        <f t="shared" si="98"/>
        <v>0</v>
      </c>
      <c r="BA124" s="252">
        <f t="shared" si="98"/>
        <v>0</v>
      </c>
    </row>
    <row r="125" ht="15.75" customHeight="1">
      <c r="A125" s="787">
        <v>2011.0</v>
      </c>
      <c r="B125" s="38"/>
      <c r="C125" s="38"/>
      <c r="D125" s="38"/>
      <c r="E125" s="38"/>
      <c r="F125" s="38"/>
      <c r="G125" s="38"/>
      <c r="H125" s="38"/>
      <c r="I125" s="38"/>
      <c r="J125" s="38"/>
      <c r="K125" s="38"/>
      <c r="L125" s="38"/>
      <c r="M125" s="38"/>
      <c r="N125" s="38"/>
      <c r="O125" s="38"/>
      <c r="P125" s="38"/>
      <c r="Q125" s="38"/>
      <c r="R125" s="38"/>
      <c r="S125" s="38"/>
      <c r="T125" s="38"/>
      <c r="U125" s="38"/>
      <c r="V125" s="769">
        <v>0.0</v>
      </c>
      <c r="W125" s="252">
        <f t="shared" si="18"/>
        <v>0</v>
      </c>
      <c r="X125" s="252">
        <f t="shared" ref="X125:BA125" si="99">IF(AND(X$43-$A125&gt;$V$30,SUM($W125:W125)&lt;&gt;$V125),$V125,0)</f>
        <v>0</v>
      </c>
      <c r="Y125" s="252">
        <f t="shared" si="99"/>
        <v>0</v>
      </c>
      <c r="Z125" s="252">
        <f t="shared" si="99"/>
        <v>0</v>
      </c>
      <c r="AA125" s="252">
        <f t="shared" si="99"/>
        <v>0</v>
      </c>
      <c r="AB125" s="252">
        <f t="shared" si="99"/>
        <v>0</v>
      </c>
      <c r="AC125" s="252">
        <f t="shared" si="99"/>
        <v>0</v>
      </c>
      <c r="AD125" s="252">
        <f t="shared" si="99"/>
        <v>0</v>
      </c>
      <c r="AE125" s="252">
        <f t="shared" si="99"/>
        <v>0</v>
      </c>
      <c r="AF125" s="252">
        <f t="shared" si="99"/>
        <v>0</v>
      </c>
      <c r="AG125" s="252">
        <f t="shared" si="99"/>
        <v>0</v>
      </c>
      <c r="AH125" s="252">
        <f t="shared" si="99"/>
        <v>0</v>
      </c>
      <c r="AI125" s="252">
        <f t="shared" si="99"/>
        <v>0</v>
      </c>
      <c r="AJ125" s="252">
        <f t="shared" si="99"/>
        <v>0</v>
      </c>
      <c r="AK125" s="252">
        <f t="shared" si="99"/>
        <v>0</v>
      </c>
      <c r="AL125" s="252">
        <f t="shared" si="99"/>
        <v>0</v>
      </c>
      <c r="AM125" s="252">
        <f t="shared" si="99"/>
        <v>0</v>
      </c>
      <c r="AN125" s="252">
        <f t="shared" si="99"/>
        <v>0</v>
      </c>
      <c r="AO125" s="252">
        <f t="shared" si="99"/>
        <v>0</v>
      </c>
      <c r="AP125" s="252">
        <f t="shared" si="99"/>
        <v>0</v>
      </c>
      <c r="AQ125" s="252">
        <f t="shared" si="99"/>
        <v>0</v>
      </c>
      <c r="AR125" s="252">
        <f t="shared" si="99"/>
        <v>0</v>
      </c>
      <c r="AS125" s="252">
        <f t="shared" si="99"/>
        <v>0</v>
      </c>
      <c r="AT125" s="252">
        <f t="shared" si="99"/>
        <v>0</v>
      </c>
      <c r="AU125" s="252">
        <f t="shared" si="99"/>
        <v>0</v>
      </c>
      <c r="AV125" s="252">
        <f t="shared" si="99"/>
        <v>0</v>
      </c>
      <c r="AW125" s="252">
        <f t="shared" si="99"/>
        <v>0</v>
      </c>
      <c r="AX125" s="252">
        <f t="shared" si="99"/>
        <v>0</v>
      </c>
      <c r="AY125" s="252">
        <f t="shared" si="99"/>
        <v>0</v>
      </c>
      <c r="AZ125" s="252">
        <f t="shared" si="99"/>
        <v>0</v>
      </c>
      <c r="BA125" s="252">
        <f t="shared" si="99"/>
        <v>0</v>
      </c>
    </row>
    <row r="126" ht="15.75" customHeight="1">
      <c r="A126" s="787">
        <v>2012.0</v>
      </c>
      <c r="B126" s="38"/>
      <c r="C126" s="38"/>
      <c r="D126" s="38"/>
      <c r="E126" s="38"/>
      <c r="F126" s="38"/>
      <c r="G126" s="38"/>
      <c r="H126" s="38"/>
      <c r="I126" s="38"/>
      <c r="J126" s="38"/>
      <c r="K126" s="38"/>
      <c r="L126" s="38"/>
      <c r="M126" s="38"/>
      <c r="N126" s="38"/>
      <c r="O126" s="38"/>
      <c r="P126" s="38"/>
      <c r="Q126" s="38"/>
      <c r="R126" s="38"/>
      <c r="S126" s="38"/>
      <c r="T126" s="38"/>
      <c r="U126" s="38"/>
      <c r="V126" s="769">
        <v>0.0</v>
      </c>
      <c r="W126" s="252">
        <f t="shared" si="18"/>
        <v>0</v>
      </c>
      <c r="X126" s="252">
        <f t="shared" ref="X126:BA126" si="100">IF(AND(X$43-$A126&gt;$V$30,SUM($W126:W126)&lt;&gt;$V126),$V126,0)</f>
        <v>0</v>
      </c>
      <c r="Y126" s="252">
        <f t="shared" si="100"/>
        <v>0</v>
      </c>
      <c r="Z126" s="252">
        <f t="shared" si="100"/>
        <v>0</v>
      </c>
      <c r="AA126" s="252">
        <f t="shared" si="100"/>
        <v>0</v>
      </c>
      <c r="AB126" s="252">
        <f t="shared" si="100"/>
        <v>0</v>
      </c>
      <c r="AC126" s="252">
        <f t="shared" si="100"/>
        <v>0</v>
      </c>
      <c r="AD126" s="252">
        <f t="shared" si="100"/>
        <v>0</v>
      </c>
      <c r="AE126" s="252">
        <f t="shared" si="100"/>
        <v>0</v>
      </c>
      <c r="AF126" s="252">
        <f t="shared" si="100"/>
        <v>0</v>
      </c>
      <c r="AG126" s="252">
        <f t="shared" si="100"/>
        <v>0</v>
      </c>
      <c r="AH126" s="252">
        <f t="shared" si="100"/>
        <v>0</v>
      </c>
      <c r="AI126" s="252">
        <f t="shared" si="100"/>
        <v>0</v>
      </c>
      <c r="AJ126" s="252">
        <f t="shared" si="100"/>
        <v>0</v>
      </c>
      <c r="AK126" s="252">
        <f t="shared" si="100"/>
        <v>0</v>
      </c>
      <c r="AL126" s="252">
        <f t="shared" si="100"/>
        <v>0</v>
      </c>
      <c r="AM126" s="252">
        <f t="shared" si="100"/>
        <v>0</v>
      </c>
      <c r="AN126" s="252">
        <f t="shared" si="100"/>
        <v>0</v>
      </c>
      <c r="AO126" s="252">
        <f t="shared" si="100"/>
        <v>0</v>
      </c>
      <c r="AP126" s="252">
        <f t="shared" si="100"/>
        <v>0</v>
      </c>
      <c r="AQ126" s="252">
        <f t="shared" si="100"/>
        <v>0</v>
      </c>
      <c r="AR126" s="252">
        <f t="shared" si="100"/>
        <v>0</v>
      </c>
      <c r="AS126" s="252">
        <f t="shared" si="100"/>
        <v>0</v>
      </c>
      <c r="AT126" s="252">
        <f t="shared" si="100"/>
        <v>0</v>
      </c>
      <c r="AU126" s="252">
        <f t="shared" si="100"/>
        <v>0</v>
      </c>
      <c r="AV126" s="252">
        <f t="shared" si="100"/>
        <v>0</v>
      </c>
      <c r="AW126" s="252">
        <f t="shared" si="100"/>
        <v>0</v>
      </c>
      <c r="AX126" s="252">
        <f t="shared" si="100"/>
        <v>0</v>
      </c>
      <c r="AY126" s="252">
        <f t="shared" si="100"/>
        <v>0</v>
      </c>
      <c r="AZ126" s="252">
        <f t="shared" si="100"/>
        <v>0</v>
      </c>
      <c r="BA126" s="252">
        <f t="shared" si="100"/>
        <v>0</v>
      </c>
    </row>
    <row r="127" ht="15.75" customHeight="1">
      <c r="A127" s="787">
        <v>2013.0</v>
      </c>
      <c r="B127" s="38"/>
      <c r="C127" s="38"/>
      <c r="D127" s="38"/>
      <c r="E127" s="38"/>
      <c r="F127" s="38"/>
      <c r="G127" s="38"/>
      <c r="H127" s="38"/>
      <c r="I127" s="38"/>
      <c r="J127" s="38"/>
      <c r="K127" s="38"/>
      <c r="L127" s="38"/>
      <c r="M127" s="38"/>
      <c r="N127" s="38"/>
      <c r="O127" s="38"/>
      <c r="P127" s="38"/>
      <c r="Q127" s="38"/>
      <c r="R127" s="38"/>
      <c r="S127" s="38"/>
      <c r="T127" s="38"/>
      <c r="U127" s="38"/>
      <c r="V127" s="769">
        <v>0.0</v>
      </c>
      <c r="W127" s="252">
        <f t="shared" si="18"/>
        <v>0</v>
      </c>
      <c r="X127" s="252">
        <f t="shared" ref="X127:BA127" si="101">IF(AND(X$43-$A127&gt;$V$30,SUM($W127:W127)&lt;&gt;$V127),$V127,0)</f>
        <v>0</v>
      </c>
      <c r="Y127" s="252">
        <f t="shared" si="101"/>
        <v>0</v>
      </c>
      <c r="Z127" s="252">
        <f t="shared" si="101"/>
        <v>0</v>
      </c>
      <c r="AA127" s="252">
        <f t="shared" si="101"/>
        <v>0</v>
      </c>
      <c r="AB127" s="252">
        <f t="shared" si="101"/>
        <v>0</v>
      </c>
      <c r="AC127" s="252">
        <f t="shared" si="101"/>
        <v>0</v>
      </c>
      <c r="AD127" s="252">
        <f t="shared" si="101"/>
        <v>0</v>
      </c>
      <c r="AE127" s="252">
        <f t="shared" si="101"/>
        <v>0</v>
      </c>
      <c r="AF127" s="252">
        <f t="shared" si="101"/>
        <v>0</v>
      </c>
      <c r="AG127" s="252">
        <f t="shared" si="101"/>
        <v>0</v>
      </c>
      <c r="AH127" s="252">
        <f t="shared" si="101"/>
        <v>0</v>
      </c>
      <c r="AI127" s="252">
        <f t="shared" si="101"/>
        <v>0</v>
      </c>
      <c r="AJ127" s="252">
        <f t="shared" si="101"/>
        <v>0</v>
      </c>
      <c r="AK127" s="252">
        <f t="shared" si="101"/>
        <v>0</v>
      </c>
      <c r="AL127" s="252">
        <f t="shared" si="101"/>
        <v>0</v>
      </c>
      <c r="AM127" s="252">
        <f t="shared" si="101"/>
        <v>0</v>
      </c>
      <c r="AN127" s="252">
        <f t="shared" si="101"/>
        <v>0</v>
      </c>
      <c r="AO127" s="252">
        <f t="shared" si="101"/>
        <v>0</v>
      </c>
      <c r="AP127" s="252">
        <f t="shared" si="101"/>
        <v>0</v>
      </c>
      <c r="AQ127" s="252">
        <f t="shared" si="101"/>
        <v>0</v>
      </c>
      <c r="AR127" s="252">
        <f t="shared" si="101"/>
        <v>0</v>
      </c>
      <c r="AS127" s="252">
        <f t="shared" si="101"/>
        <v>0</v>
      </c>
      <c r="AT127" s="252">
        <f t="shared" si="101"/>
        <v>0</v>
      </c>
      <c r="AU127" s="252">
        <f t="shared" si="101"/>
        <v>0</v>
      </c>
      <c r="AV127" s="252">
        <f t="shared" si="101"/>
        <v>0</v>
      </c>
      <c r="AW127" s="252">
        <f t="shared" si="101"/>
        <v>0</v>
      </c>
      <c r="AX127" s="252">
        <f t="shared" si="101"/>
        <v>0</v>
      </c>
      <c r="AY127" s="252">
        <f t="shared" si="101"/>
        <v>0</v>
      </c>
      <c r="AZ127" s="252">
        <f t="shared" si="101"/>
        <v>0</v>
      </c>
      <c r="BA127" s="252">
        <f t="shared" si="101"/>
        <v>0</v>
      </c>
    </row>
    <row r="128" ht="15.75" customHeight="1">
      <c r="A128" s="787">
        <v>2014.0</v>
      </c>
      <c r="B128" s="38"/>
      <c r="C128" s="38"/>
      <c r="D128" s="38"/>
      <c r="E128" s="38"/>
      <c r="F128" s="38"/>
      <c r="G128" s="38"/>
      <c r="H128" s="38"/>
      <c r="I128" s="38"/>
      <c r="J128" s="38"/>
      <c r="K128" s="38"/>
      <c r="L128" s="38"/>
      <c r="M128" s="38"/>
      <c r="N128" s="38"/>
      <c r="O128" s="38"/>
      <c r="P128" s="38"/>
      <c r="Q128" s="38"/>
      <c r="R128" s="38"/>
      <c r="S128" s="38"/>
      <c r="T128" s="38"/>
      <c r="U128" s="38"/>
      <c r="V128" s="769">
        <v>0.0</v>
      </c>
      <c r="W128" s="252">
        <f t="shared" si="18"/>
        <v>0</v>
      </c>
      <c r="X128" s="252">
        <f t="shared" ref="X128:BA128" si="102">IF(AND(X$43-$A128&gt;$V$30,SUM($W128:W128)&lt;&gt;$V128),$V128,0)</f>
        <v>0</v>
      </c>
      <c r="Y128" s="252">
        <f t="shared" si="102"/>
        <v>0</v>
      </c>
      <c r="Z128" s="252">
        <f t="shared" si="102"/>
        <v>0</v>
      </c>
      <c r="AA128" s="252">
        <f t="shared" si="102"/>
        <v>0</v>
      </c>
      <c r="AB128" s="252">
        <f t="shared" si="102"/>
        <v>0</v>
      </c>
      <c r="AC128" s="252">
        <f t="shared" si="102"/>
        <v>0</v>
      </c>
      <c r="AD128" s="252">
        <f t="shared" si="102"/>
        <v>0</v>
      </c>
      <c r="AE128" s="252">
        <f t="shared" si="102"/>
        <v>0</v>
      </c>
      <c r="AF128" s="252">
        <f t="shared" si="102"/>
        <v>0</v>
      </c>
      <c r="AG128" s="252">
        <f t="shared" si="102"/>
        <v>0</v>
      </c>
      <c r="AH128" s="252">
        <f t="shared" si="102"/>
        <v>0</v>
      </c>
      <c r="AI128" s="252">
        <f t="shared" si="102"/>
        <v>0</v>
      </c>
      <c r="AJ128" s="252">
        <f t="shared" si="102"/>
        <v>0</v>
      </c>
      <c r="AK128" s="252">
        <f t="shared" si="102"/>
        <v>0</v>
      </c>
      <c r="AL128" s="252">
        <f t="shared" si="102"/>
        <v>0</v>
      </c>
      <c r="AM128" s="252">
        <f t="shared" si="102"/>
        <v>0</v>
      </c>
      <c r="AN128" s="252">
        <f t="shared" si="102"/>
        <v>0</v>
      </c>
      <c r="AO128" s="252">
        <f t="shared" si="102"/>
        <v>0</v>
      </c>
      <c r="AP128" s="252">
        <f t="shared" si="102"/>
        <v>0</v>
      </c>
      <c r="AQ128" s="252">
        <f t="shared" si="102"/>
        <v>0</v>
      </c>
      <c r="AR128" s="252">
        <f t="shared" si="102"/>
        <v>0</v>
      </c>
      <c r="AS128" s="252">
        <f t="shared" si="102"/>
        <v>0</v>
      </c>
      <c r="AT128" s="252">
        <f t="shared" si="102"/>
        <v>0</v>
      </c>
      <c r="AU128" s="252">
        <f t="shared" si="102"/>
        <v>0</v>
      </c>
      <c r="AV128" s="252">
        <f t="shared" si="102"/>
        <v>0</v>
      </c>
      <c r="AW128" s="252">
        <f t="shared" si="102"/>
        <v>0</v>
      </c>
      <c r="AX128" s="252">
        <f t="shared" si="102"/>
        <v>0</v>
      </c>
      <c r="AY128" s="252">
        <f t="shared" si="102"/>
        <v>0</v>
      </c>
      <c r="AZ128" s="252">
        <f t="shared" si="102"/>
        <v>0</v>
      </c>
      <c r="BA128" s="252">
        <f t="shared" si="102"/>
        <v>0</v>
      </c>
    </row>
    <row r="129" ht="15.75" customHeight="1">
      <c r="A129" s="787">
        <v>2015.0</v>
      </c>
      <c r="B129" s="38"/>
      <c r="C129" s="38"/>
      <c r="D129" s="38"/>
      <c r="E129" s="38"/>
      <c r="F129" s="38"/>
      <c r="G129" s="38"/>
      <c r="H129" s="38"/>
      <c r="I129" s="38"/>
      <c r="J129" s="38"/>
      <c r="K129" s="38"/>
      <c r="L129" s="38"/>
      <c r="M129" s="38"/>
      <c r="N129" s="38"/>
      <c r="O129" s="38"/>
      <c r="P129" s="38"/>
      <c r="Q129" s="38"/>
      <c r="R129" s="38"/>
      <c r="S129" s="38"/>
      <c r="T129" s="38"/>
      <c r="U129" s="38"/>
      <c r="V129" s="769">
        <v>0.0</v>
      </c>
      <c r="W129" s="252">
        <f t="shared" si="18"/>
        <v>0</v>
      </c>
      <c r="X129" s="252">
        <f t="shared" ref="X129:BA129" si="103">IF(AND(X$43-$A129&gt;$V$30,SUM($W129:W129)&lt;&gt;$V129),$V129,0)</f>
        <v>0</v>
      </c>
      <c r="Y129" s="252">
        <f t="shared" si="103"/>
        <v>0</v>
      </c>
      <c r="Z129" s="252">
        <f t="shared" si="103"/>
        <v>0</v>
      </c>
      <c r="AA129" s="252">
        <f t="shared" si="103"/>
        <v>0</v>
      </c>
      <c r="AB129" s="252">
        <f t="shared" si="103"/>
        <v>0</v>
      </c>
      <c r="AC129" s="252">
        <f t="shared" si="103"/>
        <v>0</v>
      </c>
      <c r="AD129" s="252">
        <f t="shared" si="103"/>
        <v>0</v>
      </c>
      <c r="AE129" s="252">
        <f t="shared" si="103"/>
        <v>0</v>
      </c>
      <c r="AF129" s="252">
        <f t="shared" si="103"/>
        <v>0</v>
      </c>
      <c r="AG129" s="252">
        <f t="shared" si="103"/>
        <v>0</v>
      </c>
      <c r="AH129" s="252">
        <f t="shared" si="103"/>
        <v>0</v>
      </c>
      <c r="AI129" s="252">
        <f t="shared" si="103"/>
        <v>0</v>
      </c>
      <c r="AJ129" s="252">
        <f t="shared" si="103"/>
        <v>0</v>
      </c>
      <c r="AK129" s="252">
        <f t="shared" si="103"/>
        <v>0</v>
      </c>
      <c r="AL129" s="252">
        <f t="shared" si="103"/>
        <v>0</v>
      </c>
      <c r="AM129" s="252">
        <f t="shared" si="103"/>
        <v>0</v>
      </c>
      <c r="AN129" s="252">
        <f t="shared" si="103"/>
        <v>0</v>
      </c>
      <c r="AO129" s="252">
        <f t="shared" si="103"/>
        <v>0</v>
      </c>
      <c r="AP129" s="252">
        <f t="shared" si="103"/>
        <v>0</v>
      </c>
      <c r="AQ129" s="252">
        <f t="shared" si="103"/>
        <v>0</v>
      </c>
      <c r="AR129" s="252">
        <f t="shared" si="103"/>
        <v>0</v>
      </c>
      <c r="AS129" s="252">
        <f t="shared" si="103"/>
        <v>0</v>
      </c>
      <c r="AT129" s="252">
        <f t="shared" si="103"/>
        <v>0</v>
      </c>
      <c r="AU129" s="252">
        <f t="shared" si="103"/>
        <v>0</v>
      </c>
      <c r="AV129" s="252">
        <f t="shared" si="103"/>
        <v>0</v>
      </c>
      <c r="AW129" s="252">
        <f t="shared" si="103"/>
        <v>0</v>
      </c>
      <c r="AX129" s="252">
        <f t="shared" si="103"/>
        <v>0</v>
      </c>
      <c r="AY129" s="252">
        <f t="shared" si="103"/>
        <v>0</v>
      </c>
      <c r="AZ129" s="252">
        <f t="shared" si="103"/>
        <v>0</v>
      </c>
      <c r="BA129" s="252">
        <f t="shared" si="103"/>
        <v>0</v>
      </c>
    </row>
    <row r="130" ht="15.75" customHeight="1">
      <c r="A130" s="787">
        <v>2016.0</v>
      </c>
      <c r="B130" s="38"/>
      <c r="C130" s="38"/>
      <c r="D130" s="38"/>
      <c r="E130" s="38"/>
      <c r="F130" s="38"/>
      <c r="G130" s="38"/>
      <c r="H130" s="38"/>
      <c r="I130" s="38"/>
      <c r="J130" s="38"/>
      <c r="K130" s="38"/>
      <c r="L130" s="38"/>
      <c r="M130" s="38"/>
      <c r="N130" s="38"/>
      <c r="O130" s="38"/>
      <c r="P130" s="38"/>
      <c r="Q130" s="38"/>
      <c r="R130" s="38"/>
      <c r="S130" s="38"/>
      <c r="T130" s="38"/>
      <c r="U130" s="38"/>
      <c r="V130" s="769">
        <v>208.0</v>
      </c>
      <c r="W130" s="252">
        <f t="shared" si="18"/>
        <v>0</v>
      </c>
      <c r="X130" s="252">
        <f t="shared" ref="X130:BA130" si="104">IF(AND(X$43-$A130&gt;$V$30,SUM($W130:W130)&lt;&gt;$V130),$V130,0)</f>
        <v>0</v>
      </c>
      <c r="Y130" s="252">
        <f t="shared" si="104"/>
        <v>0</v>
      </c>
      <c r="Z130" s="252">
        <f t="shared" si="104"/>
        <v>0</v>
      </c>
      <c r="AA130" s="252">
        <f t="shared" si="104"/>
        <v>0</v>
      </c>
      <c r="AB130" s="252">
        <f t="shared" si="104"/>
        <v>0</v>
      </c>
      <c r="AC130" s="252">
        <f t="shared" si="104"/>
        <v>0</v>
      </c>
      <c r="AD130" s="252">
        <f t="shared" si="104"/>
        <v>0</v>
      </c>
      <c r="AE130" s="252">
        <f t="shared" si="104"/>
        <v>0</v>
      </c>
      <c r="AF130" s="252">
        <f t="shared" si="104"/>
        <v>0</v>
      </c>
      <c r="AG130" s="252">
        <f t="shared" si="104"/>
        <v>0</v>
      </c>
      <c r="AH130" s="252">
        <f t="shared" si="104"/>
        <v>0</v>
      </c>
      <c r="AI130" s="252">
        <f t="shared" si="104"/>
        <v>0</v>
      </c>
      <c r="AJ130" s="252">
        <f t="shared" si="104"/>
        <v>0</v>
      </c>
      <c r="AK130" s="252">
        <f t="shared" si="104"/>
        <v>0</v>
      </c>
      <c r="AL130" s="252">
        <f t="shared" si="104"/>
        <v>0</v>
      </c>
      <c r="AM130" s="252">
        <f t="shared" si="104"/>
        <v>0</v>
      </c>
      <c r="AN130" s="252">
        <f t="shared" si="104"/>
        <v>0</v>
      </c>
      <c r="AO130" s="252">
        <f t="shared" si="104"/>
        <v>0</v>
      </c>
      <c r="AP130" s="252">
        <f t="shared" si="104"/>
        <v>0</v>
      </c>
      <c r="AQ130" s="252">
        <f t="shared" si="104"/>
        <v>0</v>
      </c>
      <c r="AR130" s="252">
        <f t="shared" si="104"/>
        <v>0</v>
      </c>
      <c r="AS130" s="252">
        <f t="shared" si="104"/>
        <v>0</v>
      </c>
      <c r="AT130" s="252">
        <f t="shared" si="104"/>
        <v>208</v>
      </c>
      <c r="AU130" s="252">
        <f t="shared" si="104"/>
        <v>0</v>
      </c>
      <c r="AV130" s="252">
        <f t="shared" si="104"/>
        <v>0</v>
      </c>
      <c r="AW130" s="252">
        <f t="shared" si="104"/>
        <v>0</v>
      </c>
      <c r="AX130" s="252">
        <f t="shared" si="104"/>
        <v>0</v>
      </c>
      <c r="AY130" s="252">
        <f t="shared" si="104"/>
        <v>0</v>
      </c>
      <c r="AZ130" s="252">
        <f t="shared" si="104"/>
        <v>0</v>
      </c>
      <c r="BA130" s="252">
        <f t="shared" si="104"/>
        <v>0</v>
      </c>
    </row>
    <row r="131" ht="15.75" customHeight="1">
      <c r="A131" s="787">
        <v>2017.0</v>
      </c>
      <c r="B131" s="38"/>
      <c r="C131" s="38"/>
      <c r="D131" s="38"/>
      <c r="E131" s="38"/>
      <c r="F131" s="38"/>
      <c r="G131" s="38"/>
      <c r="H131" s="38"/>
      <c r="I131" s="38"/>
      <c r="J131" s="38"/>
      <c r="K131" s="38"/>
      <c r="L131" s="38"/>
      <c r="M131" s="38"/>
      <c r="N131" s="38"/>
      <c r="O131" s="38"/>
      <c r="P131" s="38"/>
      <c r="Q131" s="38"/>
      <c r="R131" s="38"/>
      <c r="S131" s="38"/>
      <c r="T131" s="38"/>
      <c r="U131" s="38"/>
      <c r="V131" s="769">
        <v>0.0</v>
      </c>
      <c r="W131" s="252">
        <f t="shared" si="18"/>
        <v>0</v>
      </c>
      <c r="X131" s="252">
        <f t="shared" ref="X131:BA131" si="105">IF(AND(X$43-$A131&gt;$V$30,SUM($W131:W131)&lt;&gt;$V131),$V131,0)</f>
        <v>0</v>
      </c>
      <c r="Y131" s="252">
        <f t="shared" si="105"/>
        <v>0</v>
      </c>
      <c r="Z131" s="252">
        <f t="shared" si="105"/>
        <v>0</v>
      </c>
      <c r="AA131" s="252">
        <f t="shared" si="105"/>
        <v>0</v>
      </c>
      <c r="AB131" s="252">
        <f t="shared" si="105"/>
        <v>0</v>
      </c>
      <c r="AC131" s="252">
        <f t="shared" si="105"/>
        <v>0</v>
      </c>
      <c r="AD131" s="252">
        <f t="shared" si="105"/>
        <v>0</v>
      </c>
      <c r="AE131" s="252">
        <f t="shared" si="105"/>
        <v>0</v>
      </c>
      <c r="AF131" s="252">
        <f t="shared" si="105"/>
        <v>0</v>
      </c>
      <c r="AG131" s="252">
        <f t="shared" si="105"/>
        <v>0</v>
      </c>
      <c r="AH131" s="252">
        <f t="shared" si="105"/>
        <v>0</v>
      </c>
      <c r="AI131" s="252">
        <f t="shared" si="105"/>
        <v>0</v>
      </c>
      <c r="AJ131" s="252">
        <f t="shared" si="105"/>
        <v>0</v>
      </c>
      <c r="AK131" s="252">
        <f t="shared" si="105"/>
        <v>0</v>
      </c>
      <c r="AL131" s="252">
        <f t="shared" si="105"/>
        <v>0</v>
      </c>
      <c r="AM131" s="252">
        <f t="shared" si="105"/>
        <v>0</v>
      </c>
      <c r="AN131" s="252">
        <f t="shared" si="105"/>
        <v>0</v>
      </c>
      <c r="AO131" s="252">
        <f t="shared" si="105"/>
        <v>0</v>
      </c>
      <c r="AP131" s="252">
        <f t="shared" si="105"/>
        <v>0</v>
      </c>
      <c r="AQ131" s="252">
        <f t="shared" si="105"/>
        <v>0</v>
      </c>
      <c r="AR131" s="252">
        <f t="shared" si="105"/>
        <v>0</v>
      </c>
      <c r="AS131" s="252">
        <f t="shared" si="105"/>
        <v>0</v>
      </c>
      <c r="AT131" s="252">
        <f t="shared" si="105"/>
        <v>0</v>
      </c>
      <c r="AU131" s="252">
        <f t="shared" si="105"/>
        <v>0</v>
      </c>
      <c r="AV131" s="252">
        <f t="shared" si="105"/>
        <v>0</v>
      </c>
      <c r="AW131" s="252">
        <f t="shared" si="105"/>
        <v>0</v>
      </c>
      <c r="AX131" s="252">
        <f t="shared" si="105"/>
        <v>0</v>
      </c>
      <c r="AY131" s="252">
        <f t="shared" si="105"/>
        <v>0</v>
      </c>
      <c r="AZ131" s="252">
        <f t="shared" si="105"/>
        <v>0</v>
      </c>
      <c r="BA131" s="252">
        <f t="shared" si="105"/>
        <v>0</v>
      </c>
    </row>
    <row r="132" ht="15.75" customHeight="1">
      <c r="A132" s="787">
        <v>2018.0</v>
      </c>
      <c r="B132" s="38"/>
      <c r="C132" s="38"/>
      <c r="D132" s="38"/>
      <c r="E132" s="38"/>
      <c r="F132" s="38"/>
      <c r="G132" s="38"/>
      <c r="H132" s="38"/>
      <c r="I132" s="38"/>
      <c r="J132" s="38"/>
      <c r="K132" s="38"/>
      <c r="L132" s="38"/>
      <c r="M132" s="38"/>
      <c r="N132" s="38"/>
      <c r="O132" s="38"/>
      <c r="P132" s="38"/>
      <c r="Q132" s="38"/>
      <c r="R132" s="38"/>
      <c r="S132" s="38"/>
      <c r="T132" s="38"/>
      <c r="U132" s="38"/>
      <c r="V132" s="769">
        <v>0.0</v>
      </c>
      <c r="W132" s="252">
        <f t="shared" si="18"/>
        <v>0</v>
      </c>
      <c r="X132" s="252">
        <f t="shared" ref="X132:BA132" si="106">IF(AND(X$43-$A132&gt;$V$30,SUM($W132:W132)&lt;&gt;$V132),$V132,0)</f>
        <v>0</v>
      </c>
      <c r="Y132" s="252">
        <f t="shared" si="106"/>
        <v>0</v>
      </c>
      <c r="Z132" s="252">
        <f t="shared" si="106"/>
        <v>0</v>
      </c>
      <c r="AA132" s="252">
        <f t="shared" si="106"/>
        <v>0</v>
      </c>
      <c r="AB132" s="252">
        <f t="shared" si="106"/>
        <v>0</v>
      </c>
      <c r="AC132" s="252">
        <f t="shared" si="106"/>
        <v>0</v>
      </c>
      <c r="AD132" s="252">
        <f t="shared" si="106"/>
        <v>0</v>
      </c>
      <c r="AE132" s="252">
        <f t="shared" si="106"/>
        <v>0</v>
      </c>
      <c r="AF132" s="252">
        <f t="shared" si="106"/>
        <v>0</v>
      </c>
      <c r="AG132" s="252">
        <f t="shared" si="106"/>
        <v>0</v>
      </c>
      <c r="AH132" s="252">
        <f t="shared" si="106"/>
        <v>0</v>
      </c>
      <c r="AI132" s="252">
        <f t="shared" si="106"/>
        <v>0</v>
      </c>
      <c r="AJ132" s="252">
        <f t="shared" si="106"/>
        <v>0</v>
      </c>
      <c r="AK132" s="252">
        <f t="shared" si="106"/>
        <v>0</v>
      </c>
      <c r="AL132" s="252">
        <f t="shared" si="106"/>
        <v>0</v>
      </c>
      <c r="AM132" s="252">
        <f t="shared" si="106"/>
        <v>0</v>
      </c>
      <c r="AN132" s="252">
        <f t="shared" si="106"/>
        <v>0</v>
      </c>
      <c r="AO132" s="252">
        <f t="shared" si="106"/>
        <v>0</v>
      </c>
      <c r="AP132" s="252">
        <f t="shared" si="106"/>
        <v>0</v>
      </c>
      <c r="AQ132" s="252">
        <f t="shared" si="106"/>
        <v>0</v>
      </c>
      <c r="AR132" s="252">
        <f t="shared" si="106"/>
        <v>0</v>
      </c>
      <c r="AS132" s="252">
        <f t="shared" si="106"/>
        <v>0</v>
      </c>
      <c r="AT132" s="252">
        <f t="shared" si="106"/>
        <v>0</v>
      </c>
      <c r="AU132" s="252">
        <f t="shared" si="106"/>
        <v>0</v>
      </c>
      <c r="AV132" s="252">
        <f t="shared" si="106"/>
        <v>0</v>
      </c>
      <c r="AW132" s="252">
        <f t="shared" si="106"/>
        <v>0</v>
      </c>
      <c r="AX132" s="252">
        <f t="shared" si="106"/>
        <v>0</v>
      </c>
      <c r="AY132" s="252">
        <f t="shared" si="106"/>
        <v>0</v>
      </c>
      <c r="AZ132" s="252">
        <f t="shared" si="106"/>
        <v>0</v>
      </c>
      <c r="BA132" s="252">
        <f t="shared" si="106"/>
        <v>0</v>
      </c>
    </row>
    <row r="133" ht="15.75" customHeight="1">
      <c r="A133" s="787">
        <v>2019.0</v>
      </c>
      <c r="B133" s="38"/>
      <c r="C133" s="38"/>
      <c r="D133" s="38"/>
      <c r="E133" s="38"/>
      <c r="F133" s="38"/>
      <c r="G133" s="38"/>
      <c r="H133" s="38"/>
      <c r="I133" s="38"/>
      <c r="J133" s="38"/>
      <c r="K133" s="38"/>
      <c r="L133" s="38"/>
      <c r="M133" s="38"/>
      <c r="N133" s="38"/>
      <c r="O133" s="38"/>
      <c r="P133" s="38"/>
      <c r="Q133" s="38"/>
      <c r="R133" s="38"/>
      <c r="S133" s="38"/>
      <c r="T133" s="38"/>
      <c r="U133" s="38"/>
      <c r="V133" s="769">
        <v>0.0</v>
      </c>
      <c r="W133" s="252">
        <f t="shared" si="18"/>
        <v>0</v>
      </c>
      <c r="X133" s="252">
        <f t="shared" ref="X133:BA133" si="107">IF(AND(X$43-$A133&gt;$V$30,SUM($W133:W133)&lt;&gt;$V133),$V133,0)</f>
        <v>0</v>
      </c>
      <c r="Y133" s="252">
        <f t="shared" si="107"/>
        <v>0</v>
      </c>
      <c r="Z133" s="252">
        <f t="shared" si="107"/>
        <v>0</v>
      </c>
      <c r="AA133" s="252">
        <f t="shared" si="107"/>
        <v>0</v>
      </c>
      <c r="AB133" s="252">
        <f t="shared" si="107"/>
        <v>0</v>
      </c>
      <c r="AC133" s="252">
        <f t="shared" si="107"/>
        <v>0</v>
      </c>
      <c r="AD133" s="252">
        <f t="shared" si="107"/>
        <v>0</v>
      </c>
      <c r="AE133" s="252">
        <f t="shared" si="107"/>
        <v>0</v>
      </c>
      <c r="AF133" s="252">
        <f t="shared" si="107"/>
        <v>0</v>
      </c>
      <c r="AG133" s="252">
        <f t="shared" si="107"/>
        <v>0</v>
      </c>
      <c r="AH133" s="252">
        <f t="shared" si="107"/>
        <v>0</v>
      </c>
      <c r="AI133" s="252">
        <f t="shared" si="107"/>
        <v>0</v>
      </c>
      <c r="AJ133" s="252">
        <f t="shared" si="107"/>
        <v>0</v>
      </c>
      <c r="AK133" s="252">
        <f t="shared" si="107"/>
        <v>0</v>
      </c>
      <c r="AL133" s="252">
        <f t="shared" si="107"/>
        <v>0</v>
      </c>
      <c r="AM133" s="252">
        <f t="shared" si="107"/>
        <v>0</v>
      </c>
      <c r="AN133" s="252">
        <f t="shared" si="107"/>
        <v>0</v>
      </c>
      <c r="AO133" s="252">
        <f t="shared" si="107"/>
        <v>0</v>
      </c>
      <c r="AP133" s="252">
        <f t="shared" si="107"/>
        <v>0</v>
      </c>
      <c r="AQ133" s="252">
        <f t="shared" si="107"/>
        <v>0</v>
      </c>
      <c r="AR133" s="252">
        <f t="shared" si="107"/>
        <v>0</v>
      </c>
      <c r="AS133" s="252">
        <f t="shared" si="107"/>
        <v>0</v>
      </c>
      <c r="AT133" s="252">
        <f t="shared" si="107"/>
        <v>0</v>
      </c>
      <c r="AU133" s="252">
        <f t="shared" si="107"/>
        <v>0</v>
      </c>
      <c r="AV133" s="252">
        <f t="shared" si="107"/>
        <v>0</v>
      </c>
      <c r="AW133" s="252">
        <f t="shared" si="107"/>
        <v>0</v>
      </c>
      <c r="AX133" s="252">
        <f t="shared" si="107"/>
        <v>0</v>
      </c>
      <c r="AY133" s="252">
        <f t="shared" si="107"/>
        <v>0</v>
      </c>
      <c r="AZ133" s="252">
        <f t="shared" si="107"/>
        <v>0</v>
      </c>
      <c r="BA133" s="252">
        <f t="shared" si="107"/>
        <v>0</v>
      </c>
    </row>
    <row r="134" ht="15.75" customHeight="1">
      <c r="A134" s="788">
        <v>2020.0</v>
      </c>
      <c r="B134" s="789"/>
      <c r="C134" s="789"/>
      <c r="D134" s="789"/>
      <c r="E134" s="789"/>
      <c r="F134" s="789"/>
      <c r="G134" s="789"/>
      <c r="H134" s="789"/>
      <c r="I134" s="789"/>
      <c r="J134" s="789"/>
      <c r="K134" s="789"/>
      <c r="L134" s="789"/>
      <c r="M134" s="789"/>
      <c r="N134" s="789"/>
      <c r="O134" s="789"/>
      <c r="P134" s="789"/>
      <c r="Q134" s="789"/>
      <c r="R134" s="789"/>
      <c r="S134" s="789"/>
      <c r="T134" s="789"/>
      <c r="U134" s="745" t="s">
        <v>1016</v>
      </c>
      <c r="V134" s="483">
        <f t="array" ref="V134:V164">transpose(Model!W677:BA677)</f>
        <v>0</v>
      </c>
      <c r="W134" s="746">
        <f t="shared" si="18"/>
        <v>0</v>
      </c>
      <c r="X134" s="252">
        <f t="shared" ref="X134:BA134" si="108">IF(AND(X$43-$A134&gt;$V$30,SUM($W134:W134)&lt;&gt;$V134),$V134,0)</f>
        <v>0</v>
      </c>
      <c r="Y134" s="252">
        <f t="shared" si="108"/>
        <v>0</v>
      </c>
      <c r="Z134" s="252">
        <f t="shared" si="108"/>
        <v>0</v>
      </c>
      <c r="AA134" s="252">
        <f t="shared" si="108"/>
        <v>0</v>
      </c>
      <c r="AB134" s="252">
        <f t="shared" si="108"/>
        <v>0</v>
      </c>
      <c r="AC134" s="252">
        <f t="shared" si="108"/>
        <v>0</v>
      </c>
      <c r="AD134" s="252">
        <f t="shared" si="108"/>
        <v>0</v>
      </c>
      <c r="AE134" s="252">
        <f t="shared" si="108"/>
        <v>0</v>
      </c>
      <c r="AF134" s="252">
        <f t="shared" si="108"/>
        <v>0</v>
      </c>
      <c r="AG134" s="252">
        <f t="shared" si="108"/>
        <v>0</v>
      </c>
      <c r="AH134" s="252">
        <f t="shared" si="108"/>
        <v>0</v>
      </c>
      <c r="AI134" s="252">
        <f t="shared" si="108"/>
        <v>0</v>
      </c>
      <c r="AJ134" s="252">
        <f t="shared" si="108"/>
        <v>0</v>
      </c>
      <c r="AK134" s="252">
        <f t="shared" si="108"/>
        <v>0</v>
      </c>
      <c r="AL134" s="252">
        <f t="shared" si="108"/>
        <v>0</v>
      </c>
      <c r="AM134" s="252">
        <f t="shared" si="108"/>
        <v>0</v>
      </c>
      <c r="AN134" s="252">
        <f t="shared" si="108"/>
        <v>0</v>
      </c>
      <c r="AO134" s="252">
        <f t="shared" si="108"/>
        <v>0</v>
      </c>
      <c r="AP134" s="252">
        <f t="shared" si="108"/>
        <v>0</v>
      </c>
      <c r="AQ134" s="252">
        <f t="shared" si="108"/>
        <v>0</v>
      </c>
      <c r="AR134" s="252">
        <f t="shared" si="108"/>
        <v>0</v>
      </c>
      <c r="AS134" s="252">
        <f t="shared" si="108"/>
        <v>0</v>
      </c>
      <c r="AT134" s="252">
        <f t="shared" si="108"/>
        <v>0</v>
      </c>
      <c r="AU134" s="252">
        <f t="shared" si="108"/>
        <v>0</v>
      </c>
      <c r="AV134" s="252">
        <f t="shared" si="108"/>
        <v>0</v>
      </c>
      <c r="AW134" s="252">
        <f t="shared" si="108"/>
        <v>0</v>
      </c>
      <c r="AX134" s="252">
        <f t="shared" si="108"/>
        <v>0</v>
      </c>
      <c r="AY134" s="252">
        <f t="shared" si="108"/>
        <v>0</v>
      </c>
      <c r="AZ134" s="252">
        <f t="shared" si="108"/>
        <v>0</v>
      </c>
      <c r="BA134" s="252">
        <f t="shared" si="108"/>
        <v>0</v>
      </c>
    </row>
    <row r="135" ht="15.75" customHeight="1">
      <c r="A135" s="788">
        <v>2021.0</v>
      </c>
      <c r="B135" s="789"/>
      <c r="C135" s="789"/>
      <c r="D135" s="789"/>
      <c r="E135" s="789"/>
      <c r="F135" s="789"/>
      <c r="G135" s="789"/>
      <c r="H135" s="789"/>
      <c r="I135" s="789"/>
      <c r="J135" s="789"/>
      <c r="K135" s="789"/>
      <c r="L135" s="789"/>
      <c r="M135" s="789"/>
      <c r="N135" s="789"/>
      <c r="O135" s="789"/>
      <c r="P135" s="789"/>
      <c r="Q135" s="789"/>
      <c r="R135" s="789"/>
      <c r="S135" s="789"/>
      <c r="T135" s="789"/>
      <c r="U135" s="745" t="s">
        <v>1017</v>
      </c>
      <c r="V135" s="483">
        <v>155.446763351987</v>
      </c>
      <c r="W135" s="746">
        <f t="shared" si="18"/>
        <v>0</v>
      </c>
      <c r="X135" s="252">
        <f t="shared" ref="X135:BA135" si="109">IF(AND(X$43-$A135&gt;$V$30,SUM($W135:W135)&lt;&gt;$V135),$V135,0)</f>
        <v>0</v>
      </c>
      <c r="Y135" s="252">
        <f t="shared" si="109"/>
        <v>0</v>
      </c>
      <c r="Z135" s="252">
        <f t="shared" si="109"/>
        <v>0</v>
      </c>
      <c r="AA135" s="252">
        <f t="shared" si="109"/>
        <v>0</v>
      </c>
      <c r="AB135" s="252">
        <f t="shared" si="109"/>
        <v>0</v>
      </c>
      <c r="AC135" s="252">
        <f t="shared" si="109"/>
        <v>0</v>
      </c>
      <c r="AD135" s="252">
        <f t="shared" si="109"/>
        <v>0</v>
      </c>
      <c r="AE135" s="252">
        <f t="shared" si="109"/>
        <v>0</v>
      </c>
      <c r="AF135" s="252">
        <f t="shared" si="109"/>
        <v>0</v>
      </c>
      <c r="AG135" s="252">
        <f t="shared" si="109"/>
        <v>0</v>
      </c>
      <c r="AH135" s="252">
        <f t="shared" si="109"/>
        <v>0</v>
      </c>
      <c r="AI135" s="252">
        <f t="shared" si="109"/>
        <v>0</v>
      </c>
      <c r="AJ135" s="252">
        <f t="shared" si="109"/>
        <v>0</v>
      </c>
      <c r="AK135" s="252">
        <f t="shared" si="109"/>
        <v>0</v>
      </c>
      <c r="AL135" s="252">
        <f t="shared" si="109"/>
        <v>0</v>
      </c>
      <c r="AM135" s="252">
        <f t="shared" si="109"/>
        <v>0</v>
      </c>
      <c r="AN135" s="252">
        <f t="shared" si="109"/>
        <v>0</v>
      </c>
      <c r="AO135" s="252">
        <f t="shared" si="109"/>
        <v>0</v>
      </c>
      <c r="AP135" s="252">
        <f t="shared" si="109"/>
        <v>0</v>
      </c>
      <c r="AQ135" s="252">
        <f t="shared" si="109"/>
        <v>0</v>
      </c>
      <c r="AR135" s="252">
        <f t="shared" si="109"/>
        <v>0</v>
      </c>
      <c r="AS135" s="252">
        <f t="shared" si="109"/>
        <v>0</v>
      </c>
      <c r="AT135" s="252">
        <f t="shared" si="109"/>
        <v>0</v>
      </c>
      <c r="AU135" s="252">
        <f t="shared" si="109"/>
        <v>0</v>
      </c>
      <c r="AV135" s="252">
        <f t="shared" si="109"/>
        <v>0</v>
      </c>
      <c r="AW135" s="252">
        <f t="shared" si="109"/>
        <v>0</v>
      </c>
      <c r="AX135" s="252">
        <f t="shared" si="109"/>
        <v>0</v>
      </c>
      <c r="AY135" s="235">
        <f t="shared" si="109"/>
        <v>155.4467634</v>
      </c>
      <c r="AZ135" s="252">
        <f t="shared" si="109"/>
        <v>0</v>
      </c>
      <c r="BA135" s="252">
        <f t="shared" si="109"/>
        <v>0</v>
      </c>
    </row>
    <row r="136" ht="15.75" customHeight="1">
      <c r="A136" s="788">
        <v>2022.0</v>
      </c>
      <c r="B136" s="789"/>
      <c r="C136" s="789"/>
      <c r="D136" s="789"/>
      <c r="E136" s="789"/>
      <c r="F136" s="789"/>
      <c r="G136" s="789"/>
      <c r="H136" s="789"/>
      <c r="I136" s="789"/>
      <c r="J136" s="789"/>
      <c r="K136" s="789"/>
      <c r="L136" s="789"/>
      <c r="M136" s="789"/>
      <c r="N136" s="789"/>
      <c r="O136" s="789"/>
      <c r="P136" s="789"/>
      <c r="Q136" s="789"/>
      <c r="R136" s="789"/>
      <c r="S136" s="789"/>
      <c r="T136" s="789"/>
      <c r="U136" s="745" t="s">
        <v>1018</v>
      </c>
      <c r="V136" s="483">
        <v>155.44676335198693</v>
      </c>
      <c r="W136" s="746">
        <f t="shared" si="18"/>
        <v>0</v>
      </c>
      <c r="X136" s="252">
        <f t="shared" ref="X136:BA136" si="110">IF(AND(X$43-$A136&gt;$V$30,SUM($W136:W136)&lt;&gt;$V136),$V136,0)</f>
        <v>0</v>
      </c>
      <c r="Y136" s="252">
        <f t="shared" si="110"/>
        <v>0</v>
      </c>
      <c r="Z136" s="252">
        <f t="shared" si="110"/>
        <v>0</v>
      </c>
      <c r="AA136" s="252">
        <f t="shared" si="110"/>
        <v>0</v>
      </c>
      <c r="AB136" s="252">
        <f t="shared" si="110"/>
        <v>0</v>
      </c>
      <c r="AC136" s="252">
        <f t="shared" si="110"/>
        <v>0</v>
      </c>
      <c r="AD136" s="252">
        <f t="shared" si="110"/>
        <v>0</v>
      </c>
      <c r="AE136" s="252">
        <f t="shared" si="110"/>
        <v>0</v>
      </c>
      <c r="AF136" s="252">
        <f t="shared" si="110"/>
        <v>0</v>
      </c>
      <c r="AG136" s="252">
        <f t="shared" si="110"/>
        <v>0</v>
      </c>
      <c r="AH136" s="252">
        <f t="shared" si="110"/>
        <v>0</v>
      </c>
      <c r="AI136" s="252">
        <f t="shared" si="110"/>
        <v>0</v>
      </c>
      <c r="AJ136" s="252">
        <f t="shared" si="110"/>
        <v>0</v>
      </c>
      <c r="AK136" s="252">
        <f t="shared" si="110"/>
        <v>0</v>
      </c>
      <c r="AL136" s="252">
        <f t="shared" si="110"/>
        <v>0</v>
      </c>
      <c r="AM136" s="252">
        <f t="shared" si="110"/>
        <v>0</v>
      </c>
      <c r="AN136" s="252">
        <f t="shared" si="110"/>
        <v>0</v>
      </c>
      <c r="AO136" s="252">
        <f t="shared" si="110"/>
        <v>0</v>
      </c>
      <c r="AP136" s="252">
        <f t="shared" si="110"/>
        <v>0</v>
      </c>
      <c r="AQ136" s="252">
        <f t="shared" si="110"/>
        <v>0</v>
      </c>
      <c r="AR136" s="252">
        <f t="shared" si="110"/>
        <v>0</v>
      </c>
      <c r="AS136" s="252">
        <f t="shared" si="110"/>
        <v>0</v>
      </c>
      <c r="AT136" s="252">
        <f t="shared" si="110"/>
        <v>0</v>
      </c>
      <c r="AU136" s="252">
        <f t="shared" si="110"/>
        <v>0</v>
      </c>
      <c r="AV136" s="252">
        <f t="shared" si="110"/>
        <v>0</v>
      </c>
      <c r="AW136" s="252">
        <f t="shared" si="110"/>
        <v>0</v>
      </c>
      <c r="AX136" s="252">
        <f t="shared" si="110"/>
        <v>0</v>
      </c>
      <c r="AY136" s="252">
        <f t="shared" si="110"/>
        <v>0</v>
      </c>
      <c r="AZ136" s="235">
        <f t="shared" si="110"/>
        <v>155.4467634</v>
      </c>
      <c r="BA136" s="252">
        <f t="shared" si="110"/>
        <v>0</v>
      </c>
    </row>
    <row r="137" ht="15.75" customHeight="1">
      <c r="A137" s="788">
        <v>2023.0</v>
      </c>
      <c r="B137" s="789"/>
      <c r="C137" s="789"/>
      <c r="D137" s="789"/>
      <c r="E137" s="789"/>
      <c r="F137" s="789"/>
      <c r="G137" s="789"/>
      <c r="H137" s="789"/>
      <c r="I137" s="789"/>
      <c r="J137" s="789"/>
      <c r="K137" s="789"/>
      <c r="L137" s="789"/>
      <c r="M137" s="789"/>
      <c r="N137" s="789"/>
      <c r="O137" s="789"/>
      <c r="P137" s="789"/>
      <c r="Q137" s="789"/>
      <c r="R137" s="789"/>
      <c r="S137" s="789"/>
      <c r="T137" s="789"/>
      <c r="U137" s="745" t="s">
        <v>1019</v>
      </c>
      <c r="V137" s="483">
        <v>155.4467633519871</v>
      </c>
      <c r="W137" s="746">
        <f t="shared" si="18"/>
        <v>0</v>
      </c>
      <c r="X137" s="252">
        <f t="shared" ref="X137:BA137" si="111">IF(AND(X$43-$A137&gt;$V$30,SUM($W137:W137)&lt;&gt;$V137),$V137,0)</f>
        <v>0</v>
      </c>
      <c r="Y137" s="252">
        <f t="shared" si="111"/>
        <v>0</v>
      </c>
      <c r="Z137" s="252">
        <f t="shared" si="111"/>
        <v>0</v>
      </c>
      <c r="AA137" s="252">
        <f t="shared" si="111"/>
        <v>0</v>
      </c>
      <c r="AB137" s="252">
        <f t="shared" si="111"/>
        <v>0</v>
      </c>
      <c r="AC137" s="252">
        <f t="shared" si="111"/>
        <v>0</v>
      </c>
      <c r="AD137" s="252">
        <f t="shared" si="111"/>
        <v>0</v>
      </c>
      <c r="AE137" s="252">
        <f t="shared" si="111"/>
        <v>0</v>
      </c>
      <c r="AF137" s="252">
        <f t="shared" si="111"/>
        <v>0</v>
      </c>
      <c r="AG137" s="252">
        <f t="shared" si="111"/>
        <v>0</v>
      </c>
      <c r="AH137" s="252">
        <f t="shared" si="111"/>
        <v>0</v>
      </c>
      <c r="AI137" s="252">
        <f t="shared" si="111"/>
        <v>0</v>
      </c>
      <c r="AJ137" s="252">
        <f t="shared" si="111"/>
        <v>0</v>
      </c>
      <c r="AK137" s="252">
        <f t="shared" si="111"/>
        <v>0</v>
      </c>
      <c r="AL137" s="252">
        <f t="shared" si="111"/>
        <v>0</v>
      </c>
      <c r="AM137" s="252">
        <f t="shared" si="111"/>
        <v>0</v>
      </c>
      <c r="AN137" s="252">
        <f t="shared" si="111"/>
        <v>0</v>
      </c>
      <c r="AO137" s="252">
        <f t="shared" si="111"/>
        <v>0</v>
      </c>
      <c r="AP137" s="252">
        <f t="shared" si="111"/>
        <v>0</v>
      </c>
      <c r="AQ137" s="252">
        <f t="shared" si="111"/>
        <v>0</v>
      </c>
      <c r="AR137" s="252">
        <f t="shared" si="111"/>
        <v>0</v>
      </c>
      <c r="AS137" s="252">
        <f t="shared" si="111"/>
        <v>0</v>
      </c>
      <c r="AT137" s="252">
        <f t="shared" si="111"/>
        <v>0</v>
      </c>
      <c r="AU137" s="252">
        <f t="shared" si="111"/>
        <v>0</v>
      </c>
      <c r="AV137" s="252">
        <f t="shared" si="111"/>
        <v>0</v>
      </c>
      <c r="AW137" s="252">
        <f t="shared" si="111"/>
        <v>0</v>
      </c>
      <c r="AX137" s="252">
        <f t="shared" si="111"/>
        <v>0</v>
      </c>
      <c r="AY137" s="252">
        <f t="shared" si="111"/>
        <v>0</v>
      </c>
      <c r="AZ137" s="252">
        <f t="shared" si="111"/>
        <v>0</v>
      </c>
      <c r="BA137" s="235">
        <f t="shared" si="111"/>
        <v>155.4467634</v>
      </c>
    </row>
    <row r="138" ht="15.75" customHeight="1">
      <c r="A138" s="788">
        <v>2024.0</v>
      </c>
      <c r="B138" s="789"/>
      <c r="C138" s="789"/>
      <c r="D138" s="789"/>
      <c r="E138" s="789"/>
      <c r="F138" s="789"/>
      <c r="G138" s="789"/>
      <c r="H138" s="789"/>
      <c r="I138" s="789"/>
      <c r="J138" s="789"/>
      <c r="K138" s="789"/>
      <c r="L138" s="789"/>
      <c r="M138" s="789"/>
      <c r="N138" s="789"/>
      <c r="O138" s="789"/>
      <c r="P138" s="789"/>
      <c r="Q138" s="789"/>
      <c r="R138" s="789"/>
      <c r="S138" s="789"/>
      <c r="T138" s="789"/>
      <c r="U138" s="789"/>
      <c r="V138" s="483">
        <v>155.44676335198687</v>
      </c>
      <c r="W138" s="746">
        <f t="shared" si="18"/>
        <v>0</v>
      </c>
      <c r="X138" s="252">
        <f t="shared" ref="X138:BA138" si="112">IF(AND(X$43-$A138&gt;$V$30,SUM($W138:W138)&lt;&gt;$V138),$V138,0)</f>
        <v>0</v>
      </c>
      <c r="Y138" s="252">
        <f t="shared" si="112"/>
        <v>0</v>
      </c>
      <c r="Z138" s="252">
        <f t="shared" si="112"/>
        <v>0</v>
      </c>
      <c r="AA138" s="252">
        <f t="shared" si="112"/>
        <v>0</v>
      </c>
      <c r="AB138" s="252">
        <f t="shared" si="112"/>
        <v>0</v>
      </c>
      <c r="AC138" s="252">
        <f t="shared" si="112"/>
        <v>0</v>
      </c>
      <c r="AD138" s="252">
        <f t="shared" si="112"/>
        <v>0</v>
      </c>
      <c r="AE138" s="252">
        <f t="shared" si="112"/>
        <v>0</v>
      </c>
      <c r="AF138" s="252">
        <f t="shared" si="112"/>
        <v>0</v>
      </c>
      <c r="AG138" s="252">
        <f t="shared" si="112"/>
        <v>0</v>
      </c>
      <c r="AH138" s="252">
        <f t="shared" si="112"/>
        <v>0</v>
      </c>
      <c r="AI138" s="252">
        <f t="shared" si="112"/>
        <v>0</v>
      </c>
      <c r="AJ138" s="252">
        <f t="shared" si="112"/>
        <v>0</v>
      </c>
      <c r="AK138" s="252">
        <f t="shared" si="112"/>
        <v>0</v>
      </c>
      <c r="AL138" s="252">
        <f t="shared" si="112"/>
        <v>0</v>
      </c>
      <c r="AM138" s="252">
        <f t="shared" si="112"/>
        <v>0</v>
      </c>
      <c r="AN138" s="252">
        <f t="shared" si="112"/>
        <v>0</v>
      </c>
      <c r="AO138" s="252">
        <f t="shared" si="112"/>
        <v>0</v>
      </c>
      <c r="AP138" s="252">
        <f t="shared" si="112"/>
        <v>0</v>
      </c>
      <c r="AQ138" s="252">
        <f t="shared" si="112"/>
        <v>0</v>
      </c>
      <c r="AR138" s="252">
        <f t="shared" si="112"/>
        <v>0</v>
      </c>
      <c r="AS138" s="252">
        <f t="shared" si="112"/>
        <v>0</v>
      </c>
      <c r="AT138" s="252">
        <f t="shared" si="112"/>
        <v>0</v>
      </c>
      <c r="AU138" s="252">
        <f t="shared" si="112"/>
        <v>0</v>
      </c>
      <c r="AV138" s="252">
        <f t="shared" si="112"/>
        <v>0</v>
      </c>
      <c r="AW138" s="252">
        <f t="shared" si="112"/>
        <v>0</v>
      </c>
      <c r="AX138" s="252">
        <f t="shared" si="112"/>
        <v>0</v>
      </c>
      <c r="AY138" s="252">
        <f t="shared" si="112"/>
        <v>0</v>
      </c>
      <c r="AZ138" s="252">
        <f t="shared" si="112"/>
        <v>0</v>
      </c>
      <c r="BA138" s="252">
        <f t="shared" si="112"/>
        <v>0</v>
      </c>
    </row>
    <row r="139" ht="15.75" customHeight="1">
      <c r="A139" s="788">
        <v>2025.0</v>
      </c>
      <c r="B139" s="789"/>
      <c r="C139" s="789"/>
      <c r="D139" s="789"/>
      <c r="E139" s="789"/>
      <c r="F139" s="789"/>
      <c r="G139" s="789"/>
      <c r="H139" s="789"/>
      <c r="I139" s="789"/>
      <c r="J139" s="789"/>
      <c r="K139" s="789"/>
      <c r="L139" s="789"/>
      <c r="M139" s="789"/>
      <c r="N139" s="789"/>
      <c r="O139" s="789"/>
      <c r="P139" s="789"/>
      <c r="Q139" s="789"/>
      <c r="R139" s="789"/>
      <c r="S139" s="789"/>
      <c r="T139" s="789"/>
      <c r="U139" s="789"/>
      <c r="V139" s="483">
        <v>155.4467633519871</v>
      </c>
      <c r="W139" s="746">
        <f t="shared" si="18"/>
        <v>0</v>
      </c>
      <c r="X139" s="252">
        <f t="shared" ref="X139:BA139" si="113">IF(AND(X$43-$A139&gt;$V$30,SUM($W139:W139)&lt;&gt;$V139),$V139,0)</f>
        <v>0</v>
      </c>
      <c r="Y139" s="252">
        <f t="shared" si="113"/>
        <v>0</v>
      </c>
      <c r="Z139" s="252">
        <f t="shared" si="113"/>
        <v>0</v>
      </c>
      <c r="AA139" s="252">
        <f t="shared" si="113"/>
        <v>0</v>
      </c>
      <c r="AB139" s="252">
        <f t="shared" si="113"/>
        <v>0</v>
      </c>
      <c r="AC139" s="252">
        <f t="shared" si="113"/>
        <v>0</v>
      </c>
      <c r="AD139" s="252">
        <f t="shared" si="113"/>
        <v>0</v>
      </c>
      <c r="AE139" s="252">
        <f t="shared" si="113"/>
        <v>0</v>
      </c>
      <c r="AF139" s="252">
        <f t="shared" si="113"/>
        <v>0</v>
      </c>
      <c r="AG139" s="252">
        <f t="shared" si="113"/>
        <v>0</v>
      </c>
      <c r="AH139" s="252">
        <f t="shared" si="113"/>
        <v>0</v>
      </c>
      <c r="AI139" s="252">
        <f t="shared" si="113"/>
        <v>0</v>
      </c>
      <c r="AJ139" s="252">
        <f t="shared" si="113"/>
        <v>0</v>
      </c>
      <c r="AK139" s="252">
        <f t="shared" si="113"/>
        <v>0</v>
      </c>
      <c r="AL139" s="252">
        <f t="shared" si="113"/>
        <v>0</v>
      </c>
      <c r="AM139" s="252">
        <f t="shared" si="113"/>
        <v>0</v>
      </c>
      <c r="AN139" s="252">
        <f t="shared" si="113"/>
        <v>0</v>
      </c>
      <c r="AO139" s="252">
        <f t="shared" si="113"/>
        <v>0</v>
      </c>
      <c r="AP139" s="252">
        <f t="shared" si="113"/>
        <v>0</v>
      </c>
      <c r="AQ139" s="252">
        <f t="shared" si="113"/>
        <v>0</v>
      </c>
      <c r="AR139" s="252">
        <f t="shared" si="113"/>
        <v>0</v>
      </c>
      <c r="AS139" s="252">
        <f t="shared" si="113"/>
        <v>0</v>
      </c>
      <c r="AT139" s="252">
        <f t="shared" si="113"/>
        <v>0</v>
      </c>
      <c r="AU139" s="252">
        <f t="shared" si="113"/>
        <v>0</v>
      </c>
      <c r="AV139" s="252">
        <f t="shared" si="113"/>
        <v>0</v>
      </c>
      <c r="AW139" s="252">
        <f t="shared" si="113"/>
        <v>0</v>
      </c>
      <c r="AX139" s="252">
        <f t="shared" si="113"/>
        <v>0</v>
      </c>
      <c r="AY139" s="252">
        <f t="shared" si="113"/>
        <v>0</v>
      </c>
      <c r="AZ139" s="252">
        <f t="shared" si="113"/>
        <v>0</v>
      </c>
      <c r="BA139" s="252">
        <f t="shared" si="113"/>
        <v>0</v>
      </c>
    </row>
    <row r="140" ht="15.75" customHeight="1">
      <c r="A140" s="788">
        <v>2026.0</v>
      </c>
      <c r="B140" s="789"/>
      <c r="C140" s="789"/>
      <c r="D140" s="789"/>
      <c r="E140" s="789"/>
      <c r="F140" s="789"/>
      <c r="G140" s="789"/>
      <c r="H140" s="789"/>
      <c r="I140" s="789"/>
      <c r="J140" s="789"/>
      <c r="K140" s="789"/>
      <c r="L140" s="789"/>
      <c r="M140" s="789"/>
      <c r="N140" s="789"/>
      <c r="O140" s="789"/>
      <c r="P140" s="789"/>
      <c r="Q140" s="789"/>
      <c r="R140" s="789"/>
      <c r="S140" s="789"/>
      <c r="T140" s="789"/>
      <c r="U140" s="789"/>
      <c r="V140" s="483">
        <v>155.44676335198687</v>
      </c>
      <c r="W140" s="746">
        <f t="shared" si="18"/>
        <v>0</v>
      </c>
      <c r="X140" s="252">
        <f t="shared" ref="X140:BA140" si="114">IF(AND(X$43-$A140&gt;$V$30,SUM($W140:W140)&lt;&gt;$V140),$V140,0)</f>
        <v>0</v>
      </c>
      <c r="Y140" s="252">
        <f t="shared" si="114"/>
        <v>0</v>
      </c>
      <c r="Z140" s="252">
        <f t="shared" si="114"/>
        <v>0</v>
      </c>
      <c r="AA140" s="252">
        <f t="shared" si="114"/>
        <v>0</v>
      </c>
      <c r="AB140" s="252">
        <f t="shared" si="114"/>
        <v>0</v>
      </c>
      <c r="AC140" s="252">
        <f t="shared" si="114"/>
        <v>0</v>
      </c>
      <c r="AD140" s="252">
        <f t="shared" si="114"/>
        <v>0</v>
      </c>
      <c r="AE140" s="252">
        <f t="shared" si="114"/>
        <v>0</v>
      </c>
      <c r="AF140" s="252">
        <f t="shared" si="114"/>
        <v>0</v>
      </c>
      <c r="AG140" s="252">
        <f t="shared" si="114"/>
        <v>0</v>
      </c>
      <c r="AH140" s="252">
        <f t="shared" si="114"/>
        <v>0</v>
      </c>
      <c r="AI140" s="252">
        <f t="shared" si="114"/>
        <v>0</v>
      </c>
      <c r="AJ140" s="252">
        <f t="shared" si="114"/>
        <v>0</v>
      </c>
      <c r="AK140" s="252">
        <f t="shared" si="114"/>
        <v>0</v>
      </c>
      <c r="AL140" s="252">
        <f t="shared" si="114"/>
        <v>0</v>
      </c>
      <c r="AM140" s="252">
        <f t="shared" si="114"/>
        <v>0</v>
      </c>
      <c r="AN140" s="252">
        <f t="shared" si="114"/>
        <v>0</v>
      </c>
      <c r="AO140" s="252">
        <f t="shared" si="114"/>
        <v>0</v>
      </c>
      <c r="AP140" s="252">
        <f t="shared" si="114"/>
        <v>0</v>
      </c>
      <c r="AQ140" s="252">
        <f t="shared" si="114"/>
        <v>0</v>
      </c>
      <c r="AR140" s="252">
        <f t="shared" si="114"/>
        <v>0</v>
      </c>
      <c r="AS140" s="252">
        <f t="shared" si="114"/>
        <v>0</v>
      </c>
      <c r="AT140" s="252">
        <f t="shared" si="114"/>
        <v>0</v>
      </c>
      <c r="AU140" s="252">
        <f t="shared" si="114"/>
        <v>0</v>
      </c>
      <c r="AV140" s="252">
        <f t="shared" si="114"/>
        <v>0</v>
      </c>
      <c r="AW140" s="252">
        <f t="shared" si="114"/>
        <v>0</v>
      </c>
      <c r="AX140" s="252">
        <f t="shared" si="114"/>
        <v>0</v>
      </c>
      <c r="AY140" s="252">
        <f t="shared" si="114"/>
        <v>0</v>
      </c>
      <c r="AZ140" s="252">
        <f t="shared" si="114"/>
        <v>0</v>
      </c>
      <c r="BA140" s="252">
        <f t="shared" si="114"/>
        <v>0</v>
      </c>
    </row>
    <row r="141" ht="15.75" customHeight="1">
      <c r="A141" s="788">
        <v>2027.0</v>
      </c>
      <c r="B141" s="789"/>
      <c r="C141" s="789"/>
      <c r="D141" s="789"/>
      <c r="E141" s="789"/>
      <c r="F141" s="789"/>
      <c r="G141" s="789"/>
      <c r="H141" s="789"/>
      <c r="I141" s="789"/>
      <c r="J141" s="789"/>
      <c r="K141" s="789"/>
      <c r="L141" s="789"/>
      <c r="M141" s="789"/>
      <c r="N141" s="789"/>
      <c r="O141" s="789"/>
      <c r="P141" s="789"/>
      <c r="Q141" s="789"/>
      <c r="R141" s="789"/>
      <c r="S141" s="789"/>
      <c r="T141" s="789"/>
      <c r="U141" s="789"/>
      <c r="V141" s="483">
        <v>155.44676335198687</v>
      </c>
      <c r="W141" s="746">
        <f t="shared" si="18"/>
        <v>0</v>
      </c>
      <c r="X141" s="252">
        <f t="shared" ref="X141:BA141" si="115">IF(AND(X$43-$A141&gt;$V$30,SUM($W141:W141)&lt;&gt;$V141),$V141,0)</f>
        <v>0</v>
      </c>
      <c r="Y141" s="252">
        <f t="shared" si="115"/>
        <v>0</v>
      </c>
      <c r="Z141" s="252">
        <f t="shared" si="115"/>
        <v>0</v>
      </c>
      <c r="AA141" s="252">
        <f t="shared" si="115"/>
        <v>0</v>
      </c>
      <c r="AB141" s="252">
        <f t="shared" si="115"/>
        <v>0</v>
      </c>
      <c r="AC141" s="252">
        <f t="shared" si="115"/>
        <v>0</v>
      </c>
      <c r="AD141" s="252">
        <f t="shared" si="115"/>
        <v>0</v>
      </c>
      <c r="AE141" s="252">
        <f t="shared" si="115"/>
        <v>0</v>
      </c>
      <c r="AF141" s="252">
        <f t="shared" si="115"/>
        <v>0</v>
      </c>
      <c r="AG141" s="252">
        <f t="shared" si="115"/>
        <v>0</v>
      </c>
      <c r="AH141" s="252">
        <f t="shared" si="115"/>
        <v>0</v>
      </c>
      <c r="AI141" s="252">
        <f t="shared" si="115"/>
        <v>0</v>
      </c>
      <c r="AJ141" s="252">
        <f t="shared" si="115"/>
        <v>0</v>
      </c>
      <c r="AK141" s="252">
        <f t="shared" si="115"/>
        <v>0</v>
      </c>
      <c r="AL141" s="252">
        <f t="shared" si="115"/>
        <v>0</v>
      </c>
      <c r="AM141" s="252">
        <f t="shared" si="115"/>
        <v>0</v>
      </c>
      <c r="AN141" s="252">
        <f t="shared" si="115"/>
        <v>0</v>
      </c>
      <c r="AO141" s="252">
        <f t="shared" si="115"/>
        <v>0</v>
      </c>
      <c r="AP141" s="252">
        <f t="shared" si="115"/>
        <v>0</v>
      </c>
      <c r="AQ141" s="252">
        <f t="shared" si="115"/>
        <v>0</v>
      </c>
      <c r="AR141" s="252">
        <f t="shared" si="115"/>
        <v>0</v>
      </c>
      <c r="AS141" s="252">
        <f t="shared" si="115"/>
        <v>0</v>
      </c>
      <c r="AT141" s="252">
        <f t="shared" si="115"/>
        <v>0</v>
      </c>
      <c r="AU141" s="252">
        <f t="shared" si="115"/>
        <v>0</v>
      </c>
      <c r="AV141" s="252">
        <f t="shared" si="115"/>
        <v>0</v>
      </c>
      <c r="AW141" s="252">
        <f t="shared" si="115"/>
        <v>0</v>
      </c>
      <c r="AX141" s="252">
        <f t="shared" si="115"/>
        <v>0</v>
      </c>
      <c r="AY141" s="252">
        <f t="shared" si="115"/>
        <v>0</v>
      </c>
      <c r="AZ141" s="252">
        <f t="shared" si="115"/>
        <v>0</v>
      </c>
      <c r="BA141" s="252">
        <f t="shared" si="115"/>
        <v>0</v>
      </c>
    </row>
    <row r="142" ht="15.75" customHeight="1">
      <c r="A142" s="788">
        <v>2028.0</v>
      </c>
      <c r="B142" s="789"/>
      <c r="C142" s="789"/>
      <c r="D142" s="789"/>
      <c r="E142" s="789"/>
      <c r="F142" s="789"/>
      <c r="G142" s="789"/>
      <c r="H142" s="789"/>
      <c r="I142" s="789"/>
      <c r="J142" s="789"/>
      <c r="K142" s="789"/>
      <c r="L142" s="789"/>
      <c r="M142" s="789"/>
      <c r="N142" s="789"/>
      <c r="O142" s="789"/>
      <c r="P142" s="789"/>
      <c r="Q142" s="789"/>
      <c r="R142" s="789"/>
      <c r="S142" s="789"/>
      <c r="T142" s="789"/>
      <c r="U142" s="789"/>
      <c r="V142" s="483">
        <v>157.24676335198706</v>
      </c>
      <c r="W142" s="746">
        <f t="shared" si="18"/>
        <v>0</v>
      </c>
      <c r="X142" s="252">
        <f t="shared" ref="X142:BA142" si="116">IF(AND(X$43-$A142&gt;$V$30,SUM($W142:W142)&lt;&gt;$V142),$V142,0)</f>
        <v>0</v>
      </c>
      <c r="Y142" s="252">
        <f t="shared" si="116"/>
        <v>0</v>
      </c>
      <c r="Z142" s="252">
        <f t="shared" si="116"/>
        <v>0</v>
      </c>
      <c r="AA142" s="252">
        <f t="shared" si="116"/>
        <v>0</v>
      </c>
      <c r="AB142" s="252">
        <f t="shared" si="116"/>
        <v>0</v>
      </c>
      <c r="AC142" s="252">
        <f t="shared" si="116"/>
        <v>0</v>
      </c>
      <c r="AD142" s="252">
        <f t="shared" si="116"/>
        <v>0</v>
      </c>
      <c r="AE142" s="252">
        <f t="shared" si="116"/>
        <v>0</v>
      </c>
      <c r="AF142" s="252">
        <f t="shared" si="116"/>
        <v>0</v>
      </c>
      <c r="AG142" s="252">
        <f t="shared" si="116"/>
        <v>0</v>
      </c>
      <c r="AH142" s="252">
        <f t="shared" si="116"/>
        <v>0</v>
      </c>
      <c r="AI142" s="252">
        <f t="shared" si="116"/>
        <v>0</v>
      </c>
      <c r="AJ142" s="252">
        <f t="shared" si="116"/>
        <v>0</v>
      </c>
      <c r="AK142" s="252">
        <f t="shared" si="116"/>
        <v>0</v>
      </c>
      <c r="AL142" s="252">
        <f t="shared" si="116"/>
        <v>0</v>
      </c>
      <c r="AM142" s="252">
        <f t="shared" si="116"/>
        <v>0</v>
      </c>
      <c r="AN142" s="252">
        <f t="shared" si="116"/>
        <v>0</v>
      </c>
      <c r="AO142" s="252">
        <f t="shared" si="116"/>
        <v>0</v>
      </c>
      <c r="AP142" s="252">
        <f t="shared" si="116"/>
        <v>0</v>
      </c>
      <c r="AQ142" s="252">
        <f t="shared" si="116"/>
        <v>0</v>
      </c>
      <c r="AR142" s="252">
        <f t="shared" si="116"/>
        <v>0</v>
      </c>
      <c r="AS142" s="252">
        <f t="shared" si="116"/>
        <v>0</v>
      </c>
      <c r="AT142" s="252">
        <f t="shared" si="116"/>
        <v>0</v>
      </c>
      <c r="AU142" s="252">
        <f t="shared" si="116"/>
        <v>0</v>
      </c>
      <c r="AV142" s="252">
        <f t="shared" si="116"/>
        <v>0</v>
      </c>
      <c r="AW142" s="252">
        <f t="shared" si="116"/>
        <v>0</v>
      </c>
      <c r="AX142" s="252">
        <f t="shared" si="116"/>
        <v>0</v>
      </c>
      <c r="AY142" s="252">
        <f t="shared" si="116"/>
        <v>0</v>
      </c>
      <c r="AZ142" s="252">
        <f t="shared" si="116"/>
        <v>0</v>
      </c>
      <c r="BA142" s="252">
        <f t="shared" si="116"/>
        <v>0</v>
      </c>
    </row>
    <row r="143" ht="15.75" customHeight="1">
      <c r="A143" s="788">
        <v>2029.0</v>
      </c>
      <c r="B143" s="789"/>
      <c r="C143" s="789"/>
      <c r="D143" s="789"/>
      <c r="E143" s="789"/>
      <c r="F143" s="789"/>
      <c r="G143" s="789"/>
      <c r="H143" s="789"/>
      <c r="I143" s="789"/>
      <c r="J143" s="789"/>
      <c r="K143" s="789"/>
      <c r="L143" s="789"/>
      <c r="M143" s="789"/>
      <c r="N143" s="789"/>
      <c r="O143" s="789"/>
      <c r="P143" s="789"/>
      <c r="Q143" s="789"/>
      <c r="R143" s="789"/>
      <c r="S143" s="789"/>
      <c r="T143" s="789"/>
      <c r="U143" s="789"/>
      <c r="V143" s="483">
        <v>155.44676335198687</v>
      </c>
      <c r="W143" s="746">
        <f t="shared" si="18"/>
        <v>0</v>
      </c>
      <c r="X143" s="252">
        <f t="shared" ref="X143:BA143" si="117">IF(AND(X$43-$A143&gt;$V$30,SUM($W143:W143)&lt;&gt;$V143),$V143,0)</f>
        <v>0</v>
      </c>
      <c r="Y143" s="252">
        <f t="shared" si="117"/>
        <v>0</v>
      </c>
      <c r="Z143" s="252">
        <f t="shared" si="117"/>
        <v>0</v>
      </c>
      <c r="AA143" s="252">
        <f t="shared" si="117"/>
        <v>0</v>
      </c>
      <c r="AB143" s="252">
        <f t="shared" si="117"/>
        <v>0</v>
      </c>
      <c r="AC143" s="252">
        <f t="shared" si="117"/>
        <v>0</v>
      </c>
      <c r="AD143" s="252">
        <f t="shared" si="117"/>
        <v>0</v>
      </c>
      <c r="AE143" s="252">
        <f t="shared" si="117"/>
        <v>0</v>
      </c>
      <c r="AF143" s="252">
        <f t="shared" si="117"/>
        <v>0</v>
      </c>
      <c r="AG143" s="252">
        <f t="shared" si="117"/>
        <v>0</v>
      </c>
      <c r="AH143" s="252">
        <f t="shared" si="117"/>
        <v>0</v>
      </c>
      <c r="AI143" s="252">
        <f t="shared" si="117"/>
        <v>0</v>
      </c>
      <c r="AJ143" s="252">
        <f t="shared" si="117"/>
        <v>0</v>
      </c>
      <c r="AK143" s="252">
        <f t="shared" si="117"/>
        <v>0</v>
      </c>
      <c r="AL143" s="252">
        <f t="shared" si="117"/>
        <v>0</v>
      </c>
      <c r="AM143" s="252">
        <f t="shared" si="117"/>
        <v>0</v>
      </c>
      <c r="AN143" s="252">
        <f t="shared" si="117"/>
        <v>0</v>
      </c>
      <c r="AO143" s="252">
        <f t="shared" si="117"/>
        <v>0</v>
      </c>
      <c r="AP143" s="252">
        <f t="shared" si="117"/>
        <v>0</v>
      </c>
      <c r="AQ143" s="252">
        <f t="shared" si="117"/>
        <v>0</v>
      </c>
      <c r="AR143" s="252">
        <f t="shared" si="117"/>
        <v>0</v>
      </c>
      <c r="AS143" s="252">
        <f t="shared" si="117"/>
        <v>0</v>
      </c>
      <c r="AT143" s="252">
        <f t="shared" si="117"/>
        <v>0</v>
      </c>
      <c r="AU143" s="252">
        <f t="shared" si="117"/>
        <v>0</v>
      </c>
      <c r="AV143" s="252">
        <f t="shared" si="117"/>
        <v>0</v>
      </c>
      <c r="AW143" s="252">
        <f t="shared" si="117"/>
        <v>0</v>
      </c>
      <c r="AX143" s="252">
        <f t="shared" si="117"/>
        <v>0</v>
      </c>
      <c r="AY143" s="252">
        <f t="shared" si="117"/>
        <v>0</v>
      </c>
      <c r="AZ143" s="252">
        <f t="shared" si="117"/>
        <v>0</v>
      </c>
      <c r="BA143" s="252">
        <f t="shared" si="117"/>
        <v>0</v>
      </c>
    </row>
    <row r="144" ht="15.75" customHeight="1">
      <c r="A144" s="788">
        <v>2030.0</v>
      </c>
      <c r="B144" s="789"/>
      <c r="C144" s="789"/>
      <c r="D144" s="789"/>
      <c r="E144" s="789"/>
      <c r="F144" s="789"/>
      <c r="G144" s="789"/>
      <c r="H144" s="789"/>
      <c r="I144" s="789"/>
      <c r="J144" s="789"/>
      <c r="K144" s="789"/>
      <c r="L144" s="789"/>
      <c r="M144" s="789"/>
      <c r="N144" s="789"/>
      <c r="O144" s="789"/>
      <c r="P144" s="789"/>
      <c r="Q144" s="789"/>
      <c r="R144" s="789"/>
      <c r="S144" s="789"/>
      <c r="T144" s="789"/>
      <c r="U144" s="789"/>
      <c r="V144" s="483">
        <v>155.4467633519871</v>
      </c>
      <c r="W144" s="746">
        <f t="shared" si="18"/>
        <v>0</v>
      </c>
      <c r="X144" s="252">
        <f t="shared" ref="X144:BA144" si="118">IF(AND(X$43-$A144&gt;$V$30,SUM($W144:W144)&lt;&gt;$V144),$V144,0)</f>
        <v>0</v>
      </c>
      <c r="Y144" s="252">
        <f t="shared" si="118"/>
        <v>0</v>
      </c>
      <c r="Z144" s="252">
        <f t="shared" si="118"/>
        <v>0</v>
      </c>
      <c r="AA144" s="252">
        <f t="shared" si="118"/>
        <v>0</v>
      </c>
      <c r="AB144" s="252">
        <f t="shared" si="118"/>
        <v>0</v>
      </c>
      <c r="AC144" s="252">
        <f t="shared" si="118"/>
        <v>0</v>
      </c>
      <c r="AD144" s="252">
        <f t="shared" si="118"/>
        <v>0</v>
      </c>
      <c r="AE144" s="252">
        <f t="shared" si="118"/>
        <v>0</v>
      </c>
      <c r="AF144" s="252">
        <f t="shared" si="118"/>
        <v>0</v>
      </c>
      <c r="AG144" s="252">
        <f t="shared" si="118"/>
        <v>0</v>
      </c>
      <c r="AH144" s="252">
        <f t="shared" si="118"/>
        <v>0</v>
      </c>
      <c r="AI144" s="252">
        <f t="shared" si="118"/>
        <v>0</v>
      </c>
      <c r="AJ144" s="252">
        <f t="shared" si="118"/>
        <v>0</v>
      </c>
      <c r="AK144" s="252">
        <f t="shared" si="118"/>
        <v>0</v>
      </c>
      <c r="AL144" s="252">
        <f t="shared" si="118"/>
        <v>0</v>
      </c>
      <c r="AM144" s="252">
        <f t="shared" si="118"/>
        <v>0</v>
      </c>
      <c r="AN144" s="252">
        <f t="shared" si="118"/>
        <v>0</v>
      </c>
      <c r="AO144" s="252">
        <f t="shared" si="118"/>
        <v>0</v>
      </c>
      <c r="AP144" s="252">
        <f t="shared" si="118"/>
        <v>0</v>
      </c>
      <c r="AQ144" s="252">
        <f t="shared" si="118"/>
        <v>0</v>
      </c>
      <c r="AR144" s="252">
        <f t="shared" si="118"/>
        <v>0</v>
      </c>
      <c r="AS144" s="252">
        <f t="shared" si="118"/>
        <v>0</v>
      </c>
      <c r="AT144" s="252">
        <f t="shared" si="118"/>
        <v>0</v>
      </c>
      <c r="AU144" s="252">
        <f t="shared" si="118"/>
        <v>0</v>
      </c>
      <c r="AV144" s="252">
        <f t="shared" si="118"/>
        <v>0</v>
      </c>
      <c r="AW144" s="252">
        <f t="shared" si="118"/>
        <v>0</v>
      </c>
      <c r="AX144" s="252">
        <f t="shared" si="118"/>
        <v>0</v>
      </c>
      <c r="AY144" s="252">
        <f t="shared" si="118"/>
        <v>0</v>
      </c>
      <c r="AZ144" s="252">
        <f t="shared" si="118"/>
        <v>0</v>
      </c>
      <c r="BA144" s="252">
        <f t="shared" si="118"/>
        <v>0</v>
      </c>
    </row>
    <row r="145" ht="15.75" customHeight="1">
      <c r="A145" s="788">
        <v>2031.0</v>
      </c>
      <c r="B145" s="789"/>
      <c r="C145" s="789"/>
      <c r="D145" s="789"/>
      <c r="E145" s="789"/>
      <c r="F145" s="789"/>
      <c r="G145" s="789"/>
      <c r="H145" s="789"/>
      <c r="I145" s="789"/>
      <c r="J145" s="789"/>
      <c r="K145" s="789"/>
      <c r="L145" s="789"/>
      <c r="M145" s="789"/>
      <c r="N145" s="789"/>
      <c r="O145" s="789"/>
      <c r="P145" s="789"/>
      <c r="Q145" s="789"/>
      <c r="R145" s="789"/>
      <c r="S145" s="789"/>
      <c r="T145" s="789"/>
      <c r="U145" s="789"/>
      <c r="V145" s="483">
        <v>155.44676335198687</v>
      </c>
      <c r="W145" s="746">
        <f t="shared" si="18"/>
        <v>0</v>
      </c>
      <c r="X145" s="252">
        <f t="shared" ref="X145:BA145" si="119">IF(AND(X$43-$A145&gt;$V$30,SUM($W145:W145)&lt;&gt;$V145),$V145,0)</f>
        <v>0</v>
      </c>
      <c r="Y145" s="252">
        <f t="shared" si="119"/>
        <v>0</v>
      </c>
      <c r="Z145" s="252">
        <f t="shared" si="119"/>
        <v>0</v>
      </c>
      <c r="AA145" s="252">
        <f t="shared" si="119"/>
        <v>0</v>
      </c>
      <c r="AB145" s="252">
        <f t="shared" si="119"/>
        <v>0</v>
      </c>
      <c r="AC145" s="252">
        <f t="shared" si="119"/>
        <v>0</v>
      </c>
      <c r="AD145" s="252">
        <f t="shared" si="119"/>
        <v>0</v>
      </c>
      <c r="AE145" s="252">
        <f t="shared" si="119"/>
        <v>0</v>
      </c>
      <c r="AF145" s="252">
        <f t="shared" si="119"/>
        <v>0</v>
      </c>
      <c r="AG145" s="252">
        <f t="shared" si="119"/>
        <v>0</v>
      </c>
      <c r="AH145" s="252">
        <f t="shared" si="119"/>
        <v>0</v>
      </c>
      <c r="AI145" s="252">
        <f t="shared" si="119"/>
        <v>0</v>
      </c>
      <c r="AJ145" s="252">
        <f t="shared" si="119"/>
        <v>0</v>
      </c>
      <c r="AK145" s="252">
        <f t="shared" si="119"/>
        <v>0</v>
      </c>
      <c r="AL145" s="252">
        <f t="shared" si="119"/>
        <v>0</v>
      </c>
      <c r="AM145" s="252">
        <f t="shared" si="119"/>
        <v>0</v>
      </c>
      <c r="AN145" s="252">
        <f t="shared" si="119"/>
        <v>0</v>
      </c>
      <c r="AO145" s="252">
        <f t="shared" si="119"/>
        <v>0</v>
      </c>
      <c r="AP145" s="252">
        <f t="shared" si="119"/>
        <v>0</v>
      </c>
      <c r="AQ145" s="252">
        <f t="shared" si="119"/>
        <v>0</v>
      </c>
      <c r="AR145" s="252">
        <f t="shared" si="119"/>
        <v>0</v>
      </c>
      <c r="AS145" s="252">
        <f t="shared" si="119"/>
        <v>0</v>
      </c>
      <c r="AT145" s="252">
        <f t="shared" si="119"/>
        <v>0</v>
      </c>
      <c r="AU145" s="252">
        <f t="shared" si="119"/>
        <v>0</v>
      </c>
      <c r="AV145" s="252">
        <f t="shared" si="119"/>
        <v>0</v>
      </c>
      <c r="AW145" s="252">
        <f t="shared" si="119"/>
        <v>0</v>
      </c>
      <c r="AX145" s="252">
        <f t="shared" si="119"/>
        <v>0</v>
      </c>
      <c r="AY145" s="252">
        <f t="shared" si="119"/>
        <v>0</v>
      </c>
      <c r="AZ145" s="252">
        <f t="shared" si="119"/>
        <v>0</v>
      </c>
      <c r="BA145" s="252">
        <f t="shared" si="119"/>
        <v>0</v>
      </c>
    </row>
    <row r="146" ht="15.75" customHeight="1">
      <c r="A146" s="788">
        <v>2032.0</v>
      </c>
      <c r="B146" s="789"/>
      <c r="C146" s="789"/>
      <c r="D146" s="789"/>
      <c r="E146" s="789"/>
      <c r="F146" s="789"/>
      <c r="G146" s="789"/>
      <c r="H146" s="789"/>
      <c r="I146" s="789"/>
      <c r="J146" s="789"/>
      <c r="K146" s="789"/>
      <c r="L146" s="789"/>
      <c r="M146" s="789"/>
      <c r="N146" s="789"/>
      <c r="O146" s="789"/>
      <c r="P146" s="789"/>
      <c r="Q146" s="789"/>
      <c r="R146" s="789"/>
      <c r="S146" s="789"/>
      <c r="T146" s="789"/>
      <c r="U146" s="789"/>
      <c r="V146" s="483">
        <v>182.44676335198733</v>
      </c>
      <c r="W146" s="746">
        <f t="shared" si="18"/>
        <v>0</v>
      </c>
      <c r="X146" s="252">
        <f t="shared" ref="X146:BA146" si="120">IF(AND(X$43-$A146&gt;$V$30,SUM($W146:W146)&lt;&gt;$V146),$V146,0)</f>
        <v>0</v>
      </c>
      <c r="Y146" s="252">
        <f t="shared" si="120"/>
        <v>0</v>
      </c>
      <c r="Z146" s="252">
        <f t="shared" si="120"/>
        <v>0</v>
      </c>
      <c r="AA146" s="252">
        <f t="shared" si="120"/>
        <v>0</v>
      </c>
      <c r="AB146" s="252">
        <f t="shared" si="120"/>
        <v>0</v>
      </c>
      <c r="AC146" s="252">
        <f t="shared" si="120"/>
        <v>0</v>
      </c>
      <c r="AD146" s="252">
        <f t="shared" si="120"/>
        <v>0</v>
      </c>
      <c r="AE146" s="252">
        <f t="shared" si="120"/>
        <v>0</v>
      </c>
      <c r="AF146" s="252">
        <f t="shared" si="120"/>
        <v>0</v>
      </c>
      <c r="AG146" s="252">
        <f t="shared" si="120"/>
        <v>0</v>
      </c>
      <c r="AH146" s="252">
        <f t="shared" si="120"/>
        <v>0</v>
      </c>
      <c r="AI146" s="252">
        <f t="shared" si="120"/>
        <v>0</v>
      </c>
      <c r="AJ146" s="252">
        <f t="shared" si="120"/>
        <v>0</v>
      </c>
      <c r="AK146" s="252">
        <f t="shared" si="120"/>
        <v>0</v>
      </c>
      <c r="AL146" s="252">
        <f t="shared" si="120"/>
        <v>0</v>
      </c>
      <c r="AM146" s="252">
        <f t="shared" si="120"/>
        <v>0</v>
      </c>
      <c r="AN146" s="252">
        <f t="shared" si="120"/>
        <v>0</v>
      </c>
      <c r="AO146" s="252">
        <f t="shared" si="120"/>
        <v>0</v>
      </c>
      <c r="AP146" s="252">
        <f t="shared" si="120"/>
        <v>0</v>
      </c>
      <c r="AQ146" s="252">
        <f t="shared" si="120"/>
        <v>0</v>
      </c>
      <c r="AR146" s="252">
        <f t="shared" si="120"/>
        <v>0</v>
      </c>
      <c r="AS146" s="252">
        <f t="shared" si="120"/>
        <v>0</v>
      </c>
      <c r="AT146" s="252">
        <f t="shared" si="120"/>
        <v>0</v>
      </c>
      <c r="AU146" s="252">
        <f t="shared" si="120"/>
        <v>0</v>
      </c>
      <c r="AV146" s="252">
        <f t="shared" si="120"/>
        <v>0</v>
      </c>
      <c r="AW146" s="252">
        <f t="shared" si="120"/>
        <v>0</v>
      </c>
      <c r="AX146" s="252">
        <f t="shared" si="120"/>
        <v>0</v>
      </c>
      <c r="AY146" s="252">
        <f t="shared" si="120"/>
        <v>0</v>
      </c>
      <c r="AZ146" s="252">
        <f t="shared" si="120"/>
        <v>0</v>
      </c>
      <c r="BA146" s="252">
        <f t="shared" si="120"/>
        <v>0</v>
      </c>
    </row>
    <row r="147" ht="15.75" customHeight="1">
      <c r="A147" s="788">
        <v>2033.0</v>
      </c>
      <c r="B147" s="789"/>
      <c r="C147" s="789"/>
      <c r="D147" s="789"/>
      <c r="E147" s="789"/>
      <c r="F147" s="789"/>
      <c r="G147" s="789"/>
      <c r="H147" s="789"/>
      <c r="I147" s="789"/>
      <c r="J147" s="789"/>
      <c r="K147" s="789"/>
      <c r="L147" s="789"/>
      <c r="M147" s="789"/>
      <c r="N147" s="789"/>
      <c r="O147" s="789"/>
      <c r="P147" s="789"/>
      <c r="Q147" s="789"/>
      <c r="R147" s="789"/>
      <c r="S147" s="789"/>
      <c r="T147" s="789"/>
      <c r="U147" s="789"/>
      <c r="V147" s="483">
        <v>155.44676335198665</v>
      </c>
      <c r="W147" s="746">
        <f t="shared" si="18"/>
        <v>0</v>
      </c>
      <c r="X147" s="252">
        <f t="shared" ref="X147:BA147" si="121">IF(AND(X$43-$A147&gt;$V$30,SUM($W147:W147)&lt;&gt;$V147),$V147,0)</f>
        <v>0</v>
      </c>
      <c r="Y147" s="252">
        <f t="shared" si="121"/>
        <v>0</v>
      </c>
      <c r="Z147" s="252">
        <f t="shared" si="121"/>
        <v>0</v>
      </c>
      <c r="AA147" s="252">
        <f t="shared" si="121"/>
        <v>0</v>
      </c>
      <c r="AB147" s="252">
        <f t="shared" si="121"/>
        <v>0</v>
      </c>
      <c r="AC147" s="252">
        <f t="shared" si="121"/>
        <v>0</v>
      </c>
      <c r="AD147" s="252">
        <f t="shared" si="121"/>
        <v>0</v>
      </c>
      <c r="AE147" s="252">
        <f t="shared" si="121"/>
        <v>0</v>
      </c>
      <c r="AF147" s="252">
        <f t="shared" si="121"/>
        <v>0</v>
      </c>
      <c r="AG147" s="252">
        <f t="shared" si="121"/>
        <v>0</v>
      </c>
      <c r="AH147" s="252">
        <f t="shared" si="121"/>
        <v>0</v>
      </c>
      <c r="AI147" s="252">
        <f t="shared" si="121"/>
        <v>0</v>
      </c>
      <c r="AJ147" s="252">
        <f t="shared" si="121"/>
        <v>0</v>
      </c>
      <c r="AK147" s="252">
        <f t="shared" si="121"/>
        <v>0</v>
      </c>
      <c r="AL147" s="252">
        <f t="shared" si="121"/>
        <v>0</v>
      </c>
      <c r="AM147" s="252">
        <f t="shared" si="121"/>
        <v>0</v>
      </c>
      <c r="AN147" s="252">
        <f t="shared" si="121"/>
        <v>0</v>
      </c>
      <c r="AO147" s="252">
        <f t="shared" si="121"/>
        <v>0</v>
      </c>
      <c r="AP147" s="252">
        <f t="shared" si="121"/>
        <v>0</v>
      </c>
      <c r="AQ147" s="252">
        <f t="shared" si="121"/>
        <v>0</v>
      </c>
      <c r="AR147" s="252">
        <f t="shared" si="121"/>
        <v>0</v>
      </c>
      <c r="AS147" s="252">
        <f t="shared" si="121"/>
        <v>0</v>
      </c>
      <c r="AT147" s="252">
        <f t="shared" si="121"/>
        <v>0</v>
      </c>
      <c r="AU147" s="252">
        <f t="shared" si="121"/>
        <v>0</v>
      </c>
      <c r="AV147" s="252">
        <f t="shared" si="121"/>
        <v>0</v>
      </c>
      <c r="AW147" s="252">
        <f t="shared" si="121"/>
        <v>0</v>
      </c>
      <c r="AX147" s="252">
        <f t="shared" si="121"/>
        <v>0</v>
      </c>
      <c r="AY147" s="252">
        <f t="shared" si="121"/>
        <v>0</v>
      </c>
      <c r="AZ147" s="252">
        <f t="shared" si="121"/>
        <v>0</v>
      </c>
      <c r="BA147" s="252">
        <f t="shared" si="121"/>
        <v>0</v>
      </c>
    </row>
    <row r="148" ht="15.75" customHeight="1">
      <c r="A148" s="788">
        <v>2034.0</v>
      </c>
      <c r="B148" s="789"/>
      <c r="C148" s="789"/>
      <c r="D148" s="789"/>
      <c r="E148" s="789"/>
      <c r="F148" s="789"/>
      <c r="G148" s="789"/>
      <c r="H148" s="789"/>
      <c r="I148" s="789"/>
      <c r="J148" s="789"/>
      <c r="K148" s="789"/>
      <c r="L148" s="789"/>
      <c r="M148" s="789"/>
      <c r="N148" s="789"/>
      <c r="O148" s="789"/>
      <c r="P148" s="789"/>
      <c r="Q148" s="789"/>
      <c r="R148" s="789"/>
      <c r="S148" s="789"/>
      <c r="T148" s="789"/>
      <c r="U148" s="789"/>
      <c r="V148" s="483">
        <v>155.4467633519871</v>
      </c>
      <c r="W148" s="746">
        <f t="shared" si="18"/>
        <v>0</v>
      </c>
      <c r="X148" s="252">
        <f t="shared" ref="X148:BA148" si="122">IF(AND(X$43-$A148&gt;$V$30,SUM($W148:W148)&lt;&gt;$V148),$V148,0)</f>
        <v>0</v>
      </c>
      <c r="Y148" s="252">
        <f t="shared" si="122"/>
        <v>0</v>
      </c>
      <c r="Z148" s="252">
        <f t="shared" si="122"/>
        <v>0</v>
      </c>
      <c r="AA148" s="252">
        <f t="shared" si="122"/>
        <v>0</v>
      </c>
      <c r="AB148" s="252">
        <f t="shared" si="122"/>
        <v>0</v>
      </c>
      <c r="AC148" s="252">
        <f t="shared" si="122"/>
        <v>0</v>
      </c>
      <c r="AD148" s="252">
        <f t="shared" si="122"/>
        <v>0</v>
      </c>
      <c r="AE148" s="252">
        <f t="shared" si="122"/>
        <v>0</v>
      </c>
      <c r="AF148" s="252">
        <f t="shared" si="122"/>
        <v>0</v>
      </c>
      <c r="AG148" s="252">
        <f t="shared" si="122"/>
        <v>0</v>
      </c>
      <c r="AH148" s="252">
        <f t="shared" si="122"/>
        <v>0</v>
      </c>
      <c r="AI148" s="252">
        <f t="shared" si="122"/>
        <v>0</v>
      </c>
      <c r="AJ148" s="252">
        <f t="shared" si="122"/>
        <v>0</v>
      </c>
      <c r="AK148" s="252">
        <f t="shared" si="122"/>
        <v>0</v>
      </c>
      <c r="AL148" s="252">
        <f t="shared" si="122"/>
        <v>0</v>
      </c>
      <c r="AM148" s="252">
        <f t="shared" si="122"/>
        <v>0</v>
      </c>
      <c r="AN148" s="252">
        <f t="shared" si="122"/>
        <v>0</v>
      </c>
      <c r="AO148" s="252">
        <f t="shared" si="122"/>
        <v>0</v>
      </c>
      <c r="AP148" s="252">
        <f t="shared" si="122"/>
        <v>0</v>
      </c>
      <c r="AQ148" s="252">
        <f t="shared" si="122"/>
        <v>0</v>
      </c>
      <c r="AR148" s="252">
        <f t="shared" si="122"/>
        <v>0</v>
      </c>
      <c r="AS148" s="252">
        <f t="shared" si="122"/>
        <v>0</v>
      </c>
      <c r="AT148" s="252">
        <f t="shared" si="122"/>
        <v>0</v>
      </c>
      <c r="AU148" s="252">
        <f t="shared" si="122"/>
        <v>0</v>
      </c>
      <c r="AV148" s="252">
        <f t="shared" si="122"/>
        <v>0</v>
      </c>
      <c r="AW148" s="252">
        <f t="shared" si="122"/>
        <v>0</v>
      </c>
      <c r="AX148" s="252">
        <f t="shared" si="122"/>
        <v>0</v>
      </c>
      <c r="AY148" s="252">
        <f t="shared" si="122"/>
        <v>0</v>
      </c>
      <c r="AZ148" s="252">
        <f t="shared" si="122"/>
        <v>0</v>
      </c>
      <c r="BA148" s="252">
        <f t="shared" si="122"/>
        <v>0</v>
      </c>
    </row>
    <row r="149" ht="15.75" customHeight="1">
      <c r="A149" s="788">
        <v>2035.0</v>
      </c>
      <c r="B149" s="789"/>
      <c r="C149" s="789"/>
      <c r="D149" s="789"/>
      <c r="E149" s="789"/>
      <c r="F149" s="789"/>
      <c r="G149" s="789"/>
      <c r="H149" s="789"/>
      <c r="I149" s="789"/>
      <c r="J149" s="789"/>
      <c r="K149" s="789"/>
      <c r="L149" s="789"/>
      <c r="M149" s="789"/>
      <c r="N149" s="789"/>
      <c r="O149" s="789"/>
      <c r="P149" s="789"/>
      <c r="Q149" s="789"/>
      <c r="R149" s="789"/>
      <c r="S149" s="789"/>
      <c r="T149" s="789"/>
      <c r="U149" s="789"/>
      <c r="V149" s="483">
        <v>155.4467633519871</v>
      </c>
      <c r="W149" s="746">
        <f t="shared" si="18"/>
        <v>0</v>
      </c>
      <c r="X149" s="252">
        <f t="shared" ref="X149:BA149" si="123">IF(AND(X$43-$A149&gt;$V$30,SUM($W149:W149)&lt;&gt;$V149),$V149,0)</f>
        <v>0</v>
      </c>
      <c r="Y149" s="252">
        <f t="shared" si="123"/>
        <v>0</v>
      </c>
      <c r="Z149" s="252">
        <f t="shared" si="123"/>
        <v>0</v>
      </c>
      <c r="AA149" s="252">
        <f t="shared" si="123"/>
        <v>0</v>
      </c>
      <c r="AB149" s="252">
        <f t="shared" si="123"/>
        <v>0</v>
      </c>
      <c r="AC149" s="252">
        <f t="shared" si="123"/>
        <v>0</v>
      </c>
      <c r="AD149" s="252">
        <f t="shared" si="123"/>
        <v>0</v>
      </c>
      <c r="AE149" s="252">
        <f t="shared" si="123"/>
        <v>0</v>
      </c>
      <c r="AF149" s="252">
        <f t="shared" si="123"/>
        <v>0</v>
      </c>
      <c r="AG149" s="252">
        <f t="shared" si="123"/>
        <v>0</v>
      </c>
      <c r="AH149" s="252">
        <f t="shared" si="123"/>
        <v>0</v>
      </c>
      <c r="AI149" s="252">
        <f t="shared" si="123"/>
        <v>0</v>
      </c>
      <c r="AJ149" s="252">
        <f t="shared" si="123"/>
        <v>0</v>
      </c>
      <c r="AK149" s="252">
        <f t="shared" si="123"/>
        <v>0</v>
      </c>
      <c r="AL149" s="252">
        <f t="shared" si="123"/>
        <v>0</v>
      </c>
      <c r="AM149" s="252">
        <f t="shared" si="123"/>
        <v>0</v>
      </c>
      <c r="AN149" s="252">
        <f t="shared" si="123"/>
        <v>0</v>
      </c>
      <c r="AO149" s="252">
        <f t="shared" si="123"/>
        <v>0</v>
      </c>
      <c r="AP149" s="252">
        <f t="shared" si="123"/>
        <v>0</v>
      </c>
      <c r="AQ149" s="252">
        <f t="shared" si="123"/>
        <v>0</v>
      </c>
      <c r="AR149" s="252">
        <f t="shared" si="123"/>
        <v>0</v>
      </c>
      <c r="AS149" s="252">
        <f t="shared" si="123"/>
        <v>0</v>
      </c>
      <c r="AT149" s="252">
        <f t="shared" si="123"/>
        <v>0</v>
      </c>
      <c r="AU149" s="252">
        <f t="shared" si="123"/>
        <v>0</v>
      </c>
      <c r="AV149" s="252">
        <f t="shared" si="123"/>
        <v>0</v>
      </c>
      <c r="AW149" s="252">
        <f t="shared" si="123"/>
        <v>0</v>
      </c>
      <c r="AX149" s="252">
        <f t="shared" si="123"/>
        <v>0</v>
      </c>
      <c r="AY149" s="252">
        <f t="shared" si="123"/>
        <v>0</v>
      </c>
      <c r="AZ149" s="252">
        <f t="shared" si="123"/>
        <v>0</v>
      </c>
      <c r="BA149" s="252">
        <f t="shared" si="123"/>
        <v>0</v>
      </c>
    </row>
    <row r="150" ht="15.75" customHeight="1">
      <c r="A150" s="788">
        <v>2036.0</v>
      </c>
      <c r="B150" s="789"/>
      <c r="C150" s="789"/>
      <c r="D150" s="789"/>
      <c r="E150" s="789"/>
      <c r="F150" s="789"/>
      <c r="G150" s="789"/>
      <c r="H150" s="789"/>
      <c r="I150" s="789"/>
      <c r="J150" s="789"/>
      <c r="K150" s="789"/>
      <c r="L150" s="789"/>
      <c r="M150" s="789"/>
      <c r="N150" s="789"/>
      <c r="O150" s="789"/>
      <c r="P150" s="789"/>
      <c r="Q150" s="789"/>
      <c r="R150" s="789"/>
      <c r="S150" s="789"/>
      <c r="T150" s="789"/>
      <c r="U150" s="789"/>
      <c r="V150" s="483">
        <v>155.4467633519871</v>
      </c>
      <c r="W150" s="746">
        <f t="shared" si="18"/>
        <v>0</v>
      </c>
      <c r="X150" s="252">
        <f t="shared" ref="X150:BA150" si="124">IF(AND(X$43-$A150&gt;$V$30,SUM($W150:W150)&lt;&gt;$V150),$V150,0)</f>
        <v>0</v>
      </c>
      <c r="Y150" s="252">
        <f t="shared" si="124"/>
        <v>0</v>
      </c>
      <c r="Z150" s="252">
        <f t="shared" si="124"/>
        <v>0</v>
      </c>
      <c r="AA150" s="252">
        <f t="shared" si="124"/>
        <v>0</v>
      </c>
      <c r="AB150" s="252">
        <f t="shared" si="124"/>
        <v>0</v>
      </c>
      <c r="AC150" s="252">
        <f t="shared" si="124"/>
        <v>0</v>
      </c>
      <c r="AD150" s="252">
        <f t="shared" si="124"/>
        <v>0</v>
      </c>
      <c r="AE150" s="252">
        <f t="shared" si="124"/>
        <v>0</v>
      </c>
      <c r="AF150" s="252">
        <f t="shared" si="124"/>
        <v>0</v>
      </c>
      <c r="AG150" s="252">
        <f t="shared" si="124"/>
        <v>0</v>
      </c>
      <c r="AH150" s="252">
        <f t="shared" si="124"/>
        <v>0</v>
      </c>
      <c r="AI150" s="252">
        <f t="shared" si="124"/>
        <v>0</v>
      </c>
      <c r="AJ150" s="252">
        <f t="shared" si="124"/>
        <v>0</v>
      </c>
      <c r="AK150" s="252">
        <f t="shared" si="124"/>
        <v>0</v>
      </c>
      <c r="AL150" s="252">
        <f t="shared" si="124"/>
        <v>0</v>
      </c>
      <c r="AM150" s="252">
        <f t="shared" si="124"/>
        <v>0</v>
      </c>
      <c r="AN150" s="252">
        <f t="shared" si="124"/>
        <v>0</v>
      </c>
      <c r="AO150" s="252">
        <f t="shared" si="124"/>
        <v>0</v>
      </c>
      <c r="AP150" s="252">
        <f t="shared" si="124"/>
        <v>0</v>
      </c>
      <c r="AQ150" s="252">
        <f t="shared" si="124"/>
        <v>0</v>
      </c>
      <c r="AR150" s="252">
        <f t="shared" si="124"/>
        <v>0</v>
      </c>
      <c r="AS150" s="252">
        <f t="shared" si="124"/>
        <v>0</v>
      </c>
      <c r="AT150" s="252">
        <f t="shared" si="124"/>
        <v>0</v>
      </c>
      <c r="AU150" s="252">
        <f t="shared" si="124"/>
        <v>0</v>
      </c>
      <c r="AV150" s="252">
        <f t="shared" si="124"/>
        <v>0</v>
      </c>
      <c r="AW150" s="252">
        <f t="shared" si="124"/>
        <v>0</v>
      </c>
      <c r="AX150" s="252">
        <f t="shared" si="124"/>
        <v>0</v>
      </c>
      <c r="AY150" s="252">
        <f t="shared" si="124"/>
        <v>0</v>
      </c>
      <c r="AZ150" s="252">
        <f t="shared" si="124"/>
        <v>0</v>
      </c>
      <c r="BA150" s="252">
        <f t="shared" si="124"/>
        <v>0</v>
      </c>
    </row>
    <row r="151" ht="15.75" customHeight="1">
      <c r="A151" s="788">
        <v>2037.0</v>
      </c>
      <c r="B151" s="789"/>
      <c r="C151" s="789"/>
      <c r="D151" s="789"/>
      <c r="E151" s="789"/>
      <c r="F151" s="789"/>
      <c r="G151" s="789"/>
      <c r="H151" s="789"/>
      <c r="I151" s="789"/>
      <c r="J151" s="789"/>
      <c r="K151" s="789"/>
      <c r="L151" s="789"/>
      <c r="M151" s="789"/>
      <c r="N151" s="789"/>
      <c r="O151" s="789"/>
      <c r="P151" s="789"/>
      <c r="Q151" s="789"/>
      <c r="R151" s="789"/>
      <c r="S151" s="789"/>
      <c r="T151" s="789"/>
      <c r="U151" s="789"/>
      <c r="V151" s="483">
        <v>155.44676335198665</v>
      </c>
      <c r="W151" s="746">
        <f t="shared" si="18"/>
        <v>0</v>
      </c>
      <c r="X151" s="252">
        <f t="shared" ref="X151:BA151" si="125">IF(AND(X$43-$A151&gt;$V$30,SUM($W151:W151)&lt;&gt;$V151),$V151,0)</f>
        <v>0</v>
      </c>
      <c r="Y151" s="252">
        <f t="shared" si="125"/>
        <v>0</v>
      </c>
      <c r="Z151" s="252">
        <f t="shared" si="125"/>
        <v>0</v>
      </c>
      <c r="AA151" s="252">
        <f t="shared" si="125"/>
        <v>0</v>
      </c>
      <c r="AB151" s="252">
        <f t="shared" si="125"/>
        <v>0</v>
      </c>
      <c r="AC151" s="252">
        <f t="shared" si="125"/>
        <v>0</v>
      </c>
      <c r="AD151" s="252">
        <f t="shared" si="125"/>
        <v>0</v>
      </c>
      <c r="AE151" s="252">
        <f t="shared" si="125"/>
        <v>0</v>
      </c>
      <c r="AF151" s="252">
        <f t="shared" si="125"/>
        <v>0</v>
      </c>
      <c r="AG151" s="252">
        <f t="shared" si="125"/>
        <v>0</v>
      </c>
      <c r="AH151" s="252">
        <f t="shared" si="125"/>
        <v>0</v>
      </c>
      <c r="AI151" s="252">
        <f t="shared" si="125"/>
        <v>0</v>
      </c>
      <c r="AJ151" s="252">
        <f t="shared" si="125"/>
        <v>0</v>
      </c>
      <c r="AK151" s="252">
        <f t="shared" si="125"/>
        <v>0</v>
      </c>
      <c r="AL151" s="252">
        <f t="shared" si="125"/>
        <v>0</v>
      </c>
      <c r="AM151" s="252">
        <f t="shared" si="125"/>
        <v>0</v>
      </c>
      <c r="AN151" s="252">
        <f t="shared" si="125"/>
        <v>0</v>
      </c>
      <c r="AO151" s="252">
        <f t="shared" si="125"/>
        <v>0</v>
      </c>
      <c r="AP151" s="252">
        <f t="shared" si="125"/>
        <v>0</v>
      </c>
      <c r="AQ151" s="252">
        <f t="shared" si="125"/>
        <v>0</v>
      </c>
      <c r="AR151" s="252">
        <f t="shared" si="125"/>
        <v>0</v>
      </c>
      <c r="AS151" s="252">
        <f t="shared" si="125"/>
        <v>0</v>
      </c>
      <c r="AT151" s="252">
        <f t="shared" si="125"/>
        <v>0</v>
      </c>
      <c r="AU151" s="252">
        <f t="shared" si="125"/>
        <v>0</v>
      </c>
      <c r="AV151" s="252">
        <f t="shared" si="125"/>
        <v>0</v>
      </c>
      <c r="AW151" s="252">
        <f t="shared" si="125"/>
        <v>0</v>
      </c>
      <c r="AX151" s="252">
        <f t="shared" si="125"/>
        <v>0</v>
      </c>
      <c r="AY151" s="252">
        <f t="shared" si="125"/>
        <v>0</v>
      </c>
      <c r="AZ151" s="252">
        <f t="shared" si="125"/>
        <v>0</v>
      </c>
      <c r="BA151" s="252">
        <f t="shared" si="125"/>
        <v>0</v>
      </c>
    </row>
    <row r="152" ht="15.75" customHeight="1">
      <c r="A152" s="788">
        <v>2038.0</v>
      </c>
      <c r="B152" s="789"/>
      <c r="C152" s="789"/>
      <c r="D152" s="789"/>
      <c r="E152" s="789"/>
      <c r="F152" s="789"/>
      <c r="G152" s="789"/>
      <c r="H152" s="789"/>
      <c r="I152" s="789"/>
      <c r="J152" s="789"/>
      <c r="K152" s="789"/>
      <c r="L152" s="789"/>
      <c r="M152" s="789"/>
      <c r="N152" s="789"/>
      <c r="O152" s="789"/>
      <c r="P152" s="789"/>
      <c r="Q152" s="789"/>
      <c r="R152" s="789"/>
      <c r="S152" s="789"/>
      <c r="T152" s="789"/>
      <c r="U152" s="789"/>
      <c r="V152" s="483">
        <v>155.4467633519871</v>
      </c>
      <c r="W152" s="746">
        <f t="shared" si="18"/>
        <v>0</v>
      </c>
      <c r="X152" s="252">
        <f t="shared" ref="X152:BA152" si="126">IF(AND(X$43-$A152&gt;$V$30,SUM($W152:W152)&lt;&gt;$V152),$V152,0)</f>
        <v>0</v>
      </c>
      <c r="Y152" s="252">
        <f t="shared" si="126"/>
        <v>0</v>
      </c>
      <c r="Z152" s="252">
        <f t="shared" si="126"/>
        <v>0</v>
      </c>
      <c r="AA152" s="252">
        <f t="shared" si="126"/>
        <v>0</v>
      </c>
      <c r="AB152" s="252">
        <f t="shared" si="126"/>
        <v>0</v>
      </c>
      <c r="AC152" s="252">
        <f t="shared" si="126"/>
        <v>0</v>
      </c>
      <c r="AD152" s="252">
        <f t="shared" si="126"/>
        <v>0</v>
      </c>
      <c r="AE152" s="252">
        <f t="shared" si="126"/>
        <v>0</v>
      </c>
      <c r="AF152" s="252">
        <f t="shared" si="126"/>
        <v>0</v>
      </c>
      <c r="AG152" s="252">
        <f t="shared" si="126"/>
        <v>0</v>
      </c>
      <c r="AH152" s="252">
        <f t="shared" si="126"/>
        <v>0</v>
      </c>
      <c r="AI152" s="252">
        <f t="shared" si="126"/>
        <v>0</v>
      </c>
      <c r="AJ152" s="252">
        <f t="shared" si="126"/>
        <v>0</v>
      </c>
      <c r="AK152" s="252">
        <f t="shared" si="126"/>
        <v>0</v>
      </c>
      <c r="AL152" s="252">
        <f t="shared" si="126"/>
        <v>0</v>
      </c>
      <c r="AM152" s="252">
        <f t="shared" si="126"/>
        <v>0</v>
      </c>
      <c r="AN152" s="252">
        <f t="shared" si="126"/>
        <v>0</v>
      </c>
      <c r="AO152" s="252">
        <f t="shared" si="126"/>
        <v>0</v>
      </c>
      <c r="AP152" s="252">
        <f t="shared" si="126"/>
        <v>0</v>
      </c>
      <c r="AQ152" s="252">
        <f t="shared" si="126"/>
        <v>0</v>
      </c>
      <c r="AR152" s="252">
        <f t="shared" si="126"/>
        <v>0</v>
      </c>
      <c r="AS152" s="252">
        <f t="shared" si="126"/>
        <v>0</v>
      </c>
      <c r="AT152" s="252">
        <f t="shared" si="126"/>
        <v>0</v>
      </c>
      <c r="AU152" s="252">
        <f t="shared" si="126"/>
        <v>0</v>
      </c>
      <c r="AV152" s="252">
        <f t="shared" si="126"/>
        <v>0</v>
      </c>
      <c r="AW152" s="252">
        <f t="shared" si="126"/>
        <v>0</v>
      </c>
      <c r="AX152" s="252">
        <f t="shared" si="126"/>
        <v>0</v>
      </c>
      <c r="AY152" s="252">
        <f t="shared" si="126"/>
        <v>0</v>
      </c>
      <c r="AZ152" s="252">
        <f t="shared" si="126"/>
        <v>0</v>
      </c>
      <c r="BA152" s="252">
        <f t="shared" si="126"/>
        <v>0</v>
      </c>
    </row>
    <row r="153" ht="15.75" customHeight="1">
      <c r="A153" s="788">
        <v>2039.0</v>
      </c>
      <c r="B153" s="789"/>
      <c r="C153" s="789"/>
      <c r="D153" s="789"/>
      <c r="E153" s="789"/>
      <c r="F153" s="789"/>
      <c r="G153" s="789"/>
      <c r="H153" s="789"/>
      <c r="I153" s="789"/>
      <c r="J153" s="789"/>
      <c r="K153" s="789"/>
      <c r="L153" s="789"/>
      <c r="M153" s="789"/>
      <c r="N153" s="789"/>
      <c r="O153" s="789"/>
      <c r="P153" s="789"/>
      <c r="Q153" s="789"/>
      <c r="R153" s="789"/>
      <c r="S153" s="789"/>
      <c r="T153" s="789"/>
      <c r="U153" s="789"/>
      <c r="V153" s="483">
        <v>155.4467633519871</v>
      </c>
      <c r="W153" s="746">
        <f t="shared" si="18"/>
        <v>0</v>
      </c>
      <c r="X153" s="252">
        <f t="shared" ref="X153:BA153" si="127">IF(AND(X$43-$A153&gt;$V$30,SUM($W153:W153)&lt;&gt;$V153),$V153,0)</f>
        <v>0</v>
      </c>
      <c r="Y153" s="252">
        <f t="shared" si="127"/>
        <v>0</v>
      </c>
      <c r="Z153" s="252">
        <f t="shared" si="127"/>
        <v>0</v>
      </c>
      <c r="AA153" s="252">
        <f t="shared" si="127"/>
        <v>0</v>
      </c>
      <c r="AB153" s="252">
        <f t="shared" si="127"/>
        <v>0</v>
      </c>
      <c r="AC153" s="252">
        <f t="shared" si="127"/>
        <v>0</v>
      </c>
      <c r="AD153" s="252">
        <f t="shared" si="127"/>
        <v>0</v>
      </c>
      <c r="AE153" s="252">
        <f t="shared" si="127"/>
        <v>0</v>
      </c>
      <c r="AF153" s="252">
        <f t="shared" si="127"/>
        <v>0</v>
      </c>
      <c r="AG153" s="252">
        <f t="shared" si="127"/>
        <v>0</v>
      </c>
      <c r="AH153" s="252">
        <f t="shared" si="127"/>
        <v>0</v>
      </c>
      <c r="AI153" s="252">
        <f t="shared" si="127"/>
        <v>0</v>
      </c>
      <c r="AJ153" s="252">
        <f t="shared" si="127"/>
        <v>0</v>
      </c>
      <c r="AK153" s="252">
        <f t="shared" si="127"/>
        <v>0</v>
      </c>
      <c r="AL153" s="252">
        <f t="shared" si="127"/>
        <v>0</v>
      </c>
      <c r="AM153" s="252">
        <f t="shared" si="127"/>
        <v>0</v>
      </c>
      <c r="AN153" s="252">
        <f t="shared" si="127"/>
        <v>0</v>
      </c>
      <c r="AO153" s="252">
        <f t="shared" si="127"/>
        <v>0</v>
      </c>
      <c r="AP153" s="252">
        <f t="shared" si="127"/>
        <v>0</v>
      </c>
      <c r="AQ153" s="252">
        <f t="shared" si="127"/>
        <v>0</v>
      </c>
      <c r="AR153" s="252">
        <f t="shared" si="127"/>
        <v>0</v>
      </c>
      <c r="AS153" s="252">
        <f t="shared" si="127"/>
        <v>0</v>
      </c>
      <c r="AT153" s="252">
        <f t="shared" si="127"/>
        <v>0</v>
      </c>
      <c r="AU153" s="252">
        <f t="shared" si="127"/>
        <v>0</v>
      </c>
      <c r="AV153" s="252">
        <f t="shared" si="127"/>
        <v>0</v>
      </c>
      <c r="AW153" s="252">
        <f t="shared" si="127"/>
        <v>0</v>
      </c>
      <c r="AX153" s="252">
        <f t="shared" si="127"/>
        <v>0</v>
      </c>
      <c r="AY153" s="252">
        <f t="shared" si="127"/>
        <v>0</v>
      </c>
      <c r="AZ153" s="252">
        <f t="shared" si="127"/>
        <v>0</v>
      </c>
      <c r="BA153" s="252">
        <f t="shared" si="127"/>
        <v>0</v>
      </c>
    </row>
    <row r="154" ht="15.75" customHeight="1">
      <c r="A154" s="788">
        <v>2040.0</v>
      </c>
      <c r="B154" s="789"/>
      <c r="C154" s="789"/>
      <c r="D154" s="789"/>
      <c r="E154" s="789"/>
      <c r="F154" s="789"/>
      <c r="G154" s="789"/>
      <c r="H154" s="789"/>
      <c r="I154" s="789"/>
      <c r="J154" s="789"/>
      <c r="K154" s="789"/>
      <c r="L154" s="789"/>
      <c r="M154" s="789"/>
      <c r="N154" s="789"/>
      <c r="O154" s="789"/>
      <c r="P154" s="789"/>
      <c r="Q154" s="789"/>
      <c r="R154" s="789"/>
      <c r="S154" s="789"/>
      <c r="T154" s="789"/>
      <c r="U154" s="789"/>
      <c r="V154" s="483">
        <v>155.4467633519871</v>
      </c>
      <c r="W154" s="746">
        <f t="shared" si="18"/>
        <v>0</v>
      </c>
      <c r="X154" s="252">
        <f t="shared" ref="X154:BA154" si="128">IF(AND(X$43-$A154&gt;$V$30,SUM($W154:W154)&lt;&gt;$V154),$V154,0)</f>
        <v>0</v>
      </c>
      <c r="Y154" s="252">
        <f t="shared" si="128"/>
        <v>0</v>
      </c>
      <c r="Z154" s="252">
        <f t="shared" si="128"/>
        <v>0</v>
      </c>
      <c r="AA154" s="252">
        <f t="shared" si="128"/>
        <v>0</v>
      </c>
      <c r="AB154" s="252">
        <f t="shared" si="128"/>
        <v>0</v>
      </c>
      <c r="AC154" s="252">
        <f t="shared" si="128"/>
        <v>0</v>
      </c>
      <c r="AD154" s="252">
        <f t="shared" si="128"/>
        <v>0</v>
      </c>
      <c r="AE154" s="252">
        <f t="shared" si="128"/>
        <v>0</v>
      </c>
      <c r="AF154" s="252">
        <f t="shared" si="128"/>
        <v>0</v>
      </c>
      <c r="AG154" s="252">
        <f t="shared" si="128"/>
        <v>0</v>
      </c>
      <c r="AH154" s="252">
        <f t="shared" si="128"/>
        <v>0</v>
      </c>
      <c r="AI154" s="252">
        <f t="shared" si="128"/>
        <v>0</v>
      </c>
      <c r="AJ154" s="252">
        <f t="shared" si="128"/>
        <v>0</v>
      </c>
      <c r="AK154" s="252">
        <f t="shared" si="128"/>
        <v>0</v>
      </c>
      <c r="AL154" s="252">
        <f t="shared" si="128"/>
        <v>0</v>
      </c>
      <c r="AM154" s="252">
        <f t="shared" si="128"/>
        <v>0</v>
      </c>
      <c r="AN154" s="252">
        <f t="shared" si="128"/>
        <v>0</v>
      </c>
      <c r="AO154" s="252">
        <f t="shared" si="128"/>
        <v>0</v>
      </c>
      <c r="AP154" s="252">
        <f t="shared" si="128"/>
        <v>0</v>
      </c>
      <c r="AQ154" s="252">
        <f t="shared" si="128"/>
        <v>0</v>
      </c>
      <c r="AR154" s="252">
        <f t="shared" si="128"/>
        <v>0</v>
      </c>
      <c r="AS154" s="252">
        <f t="shared" si="128"/>
        <v>0</v>
      </c>
      <c r="AT154" s="252">
        <f t="shared" si="128"/>
        <v>0</v>
      </c>
      <c r="AU154" s="252">
        <f t="shared" si="128"/>
        <v>0</v>
      </c>
      <c r="AV154" s="252">
        <f t="shared" si="128"/>
        <v>0</v>
      </c>
      <c r="AW154" s="252">
        <f t="shared" si="128"/>
        <v>0</v>
      </c>
      <c r="AX154" s="252">
        <f t="shared" si="128"/>
        <v>0</v>
      </c>
      <c r="AY154" s="252">
        <f t="shared" si="128"/>
        <v>0</v>
      </c>
      <c r="AZ154" s="252">
        <f t="shared" si="128"/>
        <v>0</v>
      </c>
      <c r="BA154" s="252">
        <f t="shared" si="128"/>
        <v>0</v>
      </c>
    </row>
    <row r="155" ht="15.75" customHeight="1">
      <c r="A155" s="788">
        <v>2041.0</v>
      </c>
      <c r="B155" s="789"/>
      <c r="C155" s="789"/>
      <c r="D155" s="789"/>
      <c r="E155" s="789"/>
      <c r="F155" s="789"/>
      <c r="G155" s="789"/>
      <c r="H155" s="789"/>
      <c r="I155" s="789"/>
      <c r="J155" s="789"/>
      <c r="K155" s="789"/>
      <c r="L155" s="789"/>
      <c r="M155" s="789"/>
      <c r="N155" s="789"/>
      <c r="O155" s="789"/>
      <c r="P155" s="789"/>
      <c r="Q155" s="789"/>
      <c r="R155" s="789"/>
      <c r="S155" s="789"/>
      <c r="T155" s="789"/>
      <c r="U155" s="789"/>
      <c r="V155" s="483">
        <v>155.44676335198665</v>
      </c>
      <c r="W155" s="746">
        <f t="shared" si="18"/>
        <v>0</v>
      </c>
      <c r="X155" s="252">
        <f t="shared" ref="X155:BA155" si="129">IF(AND(X$43-$A155&gt;$V$30,SUM($W155:W155)&lt;&gt;$V155),$V155,0)</f>
        <v>0</v>
      </c>
      <c r="Y155" s="252">
        <f t="shared" si="129"/>
        <v>0</v>
      </c>
      <c r="Z155" s="252">
        <f t="shared" si="129"/>
        <v>0</v>
      </c>
      <c r="AA155" s="252">
        <f t="shared" si="129"/>
        <v>0</v>
      </c>
      <c r="AB155" s="252">
        <f t="shared" si="129"/>
        <v>0</v>
      </c>
      <c r="AC155" s="252">
        <f t="shared" si="129"/>
        <v>0</v>
      </c>
      <c r="AD155" s="252">
        <f t="shared" si="129"/>
        <v>0</v>
      </c>
      <c r="AE155" s="252">
        <f t="shared" si="129"/>
        <v>0</v>
      </c>
      <c r="AF155" s="252">
        <f t="shared" si="129"/>
        <v>0</v>
      </c>
      <c r="AG155" s="252">
        <f t="shared" si="129"/>
        <v>0</v>
      </c>
      <c r="AH155" s="252">
        <f t="shared" si="129"/>
        <v>0</v>
      </c>
      <c r="AI155" s="252">
        <f t="shared" si="129"/>
        <v>0</v>
      </c>
      <c r="AJ155" s="252">
        <f t="shared" si="129"/>
        <v>0</v>
      </c>
      <c r="AK155" s="252">
        <f t="shared" si="129"/>
        <v>0</v>
      </c>
      <c r="AL155" s="252">
        <f t="shared" si="129"/>
        <v>0</v>
      </c>
      <c r="AM155" s="252">
        <f t="shared" si="129"/>
        <v>0</v>
      </c>
      <c r="AN155" s="252">
        <f t="shared" si="129"/>
        <v>0</v>
      </c>
      <c r="AO155" s="252">
        <f t="shared" si="129"/>
        <v>0</v>
      </c>
      <c r="AP155" s="252">
        <f t="shared" si="129"/>
        <v>0</v>
      </c>
      <c r="AQ155" s="252">
        <f t="shared" si="129"/>
        <v>0</v>
      </c>
      <c r="AR155" s="252">
        <f t="shared" si="129"/>
        <v>0</v>
      </c>
      <c r="AS155" s="252">
        <f t="shared" si="129"/>
        <v>0</v>
      </c>
      <c r="AT155" s="252">
        <f t="shared" si="129"/>
        <v>0</v>
      </c>
      <c r="AU155" s="252">
        <f t="shared" si="129"/>
        <v>0</v>
      </c>
      <c r="AV155" s="252">
        <f t="shared" si="129"/>
        <v>0</v>
      </c>
      <c r="AW155" s="252">
        <f t="shared" si="129"/>
        <v>0</v>
      </c>
      <c r="AX155" s="252">
        <f t="shared" si="129"/>
        <v>0</v>
      </c>
      <c r="AY155" s="252">
        <f t="shared" si="129"/>
        <v>0</v>
      </c>
      <c r="AZ155" s="252">
        <f t="shared" si="129"/>
        <v>0</v>
      </c>
      <c r="BA155" s="252">
        <f t="shared" si="129"/>
        <v>0</v>
      </c>
    </row>
    <row r="156" ht="15.75" customHeight="1">
      <c r="A156" s="788">
        <v>2042.0</v>
      </c>
      <c r="B156" s="789"/>
      <c r="C156" s="789"/>
      <c r="D156" s="789"/>
      <c r="E156" s="789"/>
      <c r="F156" s="789"/>
      <c r="G156" s="789"/>
      <c r="H156" s="789"/>
      <c r="I156" s="789"/>
      <c r="J156" s="789"/>
      <c r="K156" s="789"/>
      <c r="L156" s="789"/>
      <c r="M156" s="789"/>
      <c r="N156" s="789"/>
      <c r="O156" s="789"/>
      <c r="P156" s="789"/>
      <c r="Q156" s="789"/>
      <c r="R156" s="789"/>
      <c r="S156" s="789"/>
      <c r="T156" s="789"/>
      <c r="U156" s="789"/>
      <c r="V156" s="483">
        <v>155.4467633519871</v>
      </c>
      <c r="W156" s="746">
        <f t="shared" si="18"/>
        <v>0</v>
      </c>
      <c r="X156" s="252">
        <f t="shared" ref="X156:BA156" si="130">IF(AND(X$43-$A156&gt;$V$30,SUM($W156:W156)&lt;&gt;$V156),$V156,0)</f>
        <v>0</v>
      </c>
      <c r="Y156" s="252">
        <f t="shared" si="130"/>
        <v>0</v>
      </c>
      <c r="Z156" s="252">
        <f t="shared" si="130"/>
        <v>0</v>
      </c>
      <c r="AA156" s="252">
        <f t="shared" si="130"/>
        <v>0</v>
      </c>
      <c r="AB156" s="252">
        <f t="shared" si="130"/>
        <v>0</v>
      </c>
      <c r="AC156" s="252">
        <f t="shared" si="130"/>
        <v>0</v>
      </c>
      <c r="AD156" s="252">
        <f t="shared" si="130"/>
        <v>0</v>
      </c>
      <c r="AE156" s="252">
        <f t="shared" si="130"/>
        <v>0</v>
      </c>
      <c r="AF156" s="252">
        <f t="shared" si="130"/>
        <v>0</v>
      </c>
      <c r="AG156" s="252">
        <f t="shared" si="130"/>
        <v>0</v>
      </c>
      <c r="AH156" s="252">
        <f t="shared" si="130"/>
        <v>0</v>
      </c>
      <c r="AI156" s="252">
        <f t="shared" si="130"/>
        <v>0</v>
      </c>
      <c r="AJ156" s="252">
        <f t="shared" si="130"/>
        <v>0</v>
      </c>
      <c r="AK156" s="252">
        <f t="shared" si="130"/>
        <v>0</v>
      </c>
      <c r="AL156" s="252">
        <f t="shared" si="130"/>
        <v>0</v>
      </c>
      <c r="AM156" s="252">
        <f t="shared" si="130"/>
        <v>0</v>
      </c>
      <c r="AN156" s="252">
        <f t="shared" si="130"/>
        <v>0</v>
      </c>
      <c r="AO156" s="252">
        <f t="shared" si="130"/>
        <v>0</v>
      </c>
      <c r="AP156" s="252">
        <f t="shared" si="130"/>
        <v>0</v>
      </c>
      <c r="AQ156" s="252">
        <f t="shared" si="130"/>
        <v>0</v>
      </c>
      <c r="AR156" s="252">
        <f t="shared" si="130"/>
        <v>0</v>
      </c>
      <c r="AS156" s="252">
        <f t="shared" si="130"/>
        <v>0</v>
      </c>
      <c r="AT156" s="252">
        <f t="shared" si="130"/>
        <v>0</v>
      </c>
      <c r="AU156" s="252">
        <f t="shared" si="130"/>
        <v>0</v>
      </c>
      <c r="AV156" s="252">
        <f t="shared" si="130"/>
        <v>0</v>
      </c>
      <c r="AW156" s="252">
        <f t="shared" si="130"/>
        <v>0</v>
      </c>
      <c r="AX156" s="252">
        <f t="shared" si="130"/>
        <v>0</v>
      </c>
      <c r="AY156" s="252">
        <f t="shared" si="130"/>
        <v>0</v>
      </c>
      <c r="AZ156" s="252">
        <f t="shared" si="130"/>
        <v>0</v>
      </c>
      <c r="BA156" s="252">
        <f t="shared" si="130"/>
        <v>0</v>
      </c>
    </row>
    <row r="157" ht="15.75" customHeight="1">
      <c r="A157" s="788">
        <v>2043.0</v>
      </c>
      <c r="B157" s="789"/>
      <c r="C157" s="789"/>
      <c r="D157" s="789"/>
      <c r="E157" s="789"/>
      <c r="F157" s="789"/>
      <c r="G157" s="789"/>
      <c r="H157" s="789"/>
      <c r="I157" s="789"/>
      <c r="J157" s="789"/>
      <c r="K157" s="789"/>
      <c r="L157" s="789"/>
      <c r="M157" s="789"/>
      <c r="N157" s="789"/>
      <c r="O157" s="789"/>
      <c r="P157" s="789"/>
      <c r="Q157" s="789"/>
      <c r="R157" s="789"/>
      <c r="S157" s="789"/>
      <c r="T157" s="789"/>
      <c r="U157" s="789"/>
      <c r="V157" s="483">
        <v>155.4467633519871</v>
      </c>
      <c r="W157" s="746">
        <f t="shared" si="18"/>
        <v>0</v>
      </c>
      <c r="X157" s="252">
        <f t="shared" ref="X157:BA157" si="131">IF(AND(X$43-$A157&gt;$V$30,SUM($W157:W157)&lt;&gt;$V157),$V157,0)</f>
        <v>0</v>
      </c>
      <c r="Y157" s="252">
        <f t="shared" si="131"/>
        <v>0</v>
      </c>
      <c r="Z157" s="252">
        <f t="shared" si="131"/>
        <v>0</v>
      </c>
      <c r="AA157" s="252">
        <f t="shared" si="131"/>
        <v>0</v>
      </c>
      <c r="AB157" s="252">
        <f t="shared" si="131"/>
        <v>0</v>
      </c>
      <c r="AC157" s="252">
        <f t="shared" si="131"/>
        <v>0</v>
      </c>
      <c r="AD157" s="252">
        <f t="shared" si="131"/>
        <v>0</v>
      </c>
      <c r="AE157" s="252">
        <f t="shared" si="131"/>
        <v>0</v>
      </c>
      <c r="AF157" s="252">
        <f t="shared" si="131"/>
        <v>0</v>
      </c>
      <c r="AG157" s="252">
        <f t="shared" si="131"/>
        <v>0</v>
      </c>
      <c r="AH157" s="252">
        <f t="shared" si="131"/>
        <v>0</v>
      </c>
      <c r="AI157" s="252">
        <f t="shared" si="131"/>
        <v>0</v>
      </c>
      <c r="AJ157" s="252">
        <f t="shared" si="131"/>
        <v>0</v>
      </c>
      <c r="AK157" s="252">
        <f t="shared" si="131"/>
        <v>0</v>
      </c>
      <c r="AL157" s="252">
        <f t="shared" si="131"/>
        <v>0</v>
      </c>
      <c r="AM157" s="252">
        <f t="shared" si="131"/>
        <v>0</v>
      </c>
      <c r="AN157" s="252">
        <f t="shared" si="131"/>
        <v>0</v>
      </c>
      <c r="AO157" s="252">
        <f t="shared" si="131"/>
        <v>0</v>
      </c>
      <c r="AP157" s="252">
        <f t="shared" si="131"/>
        <v>0</v>
      </c>
      <c r="AQ157" s="252">
        <f t="shared" si="131"/>
        <v>0</v>
      </c>
      <c r="AR157" s="252">
        <f t="shared" si="131"/>
        <v>0</v>
      </c>
      <c r="AS157" s="252">
        <f t="shared" si="131"/>
        <v>0</v>
      </c>
      <c r="AT157" s="252">
        <f t="shared" si="131"/>
        <v>0</v>
      </c>
      <c r="AU157" s="252">
        <f t="shared" si="131"/>
        <v>0</v>
      </c>
      <c r="AV157" s="252">
        <f t="shared" si="131"/>
        <v>0</v>
      </c>
      <c r="AW157" s="252">
        <f t="shared" si="131"/>
        <v>0</v>
      </c>
      <c r="AX157" s="252">
        <f t="shared" si="131"/>
        <v>0</v>
      </c>
      <c r="AY157" s="252">
        <f t="shared" si="131"/>
        <v>0</v>
      </c>
      <c r="AZ157" s="252">
        <f t="shared" si="131"/>
        <v>0</v>
      </c>
      <c r="BA157" s="252">
        <f t="shared" si="131"/>
        <v>0</v>
      </c>
    </row>
    <row r="158" ht="15.75" customHeight="1">
      <c r="A158" s="788">
        <v>2044.0</v>
      </c>
      <c r="B158" s="789"/>
      <c r="C158" s="789"/>
      <c r="D158" s="789"/>
      <c r="E158" s="789"/>
      <c r="F158" s="789"/>
      <c r="G158" s="789"/>
      <c r="H158" s="789"/>
      <c r="I158" s="789"/>
      <c r="J158" s="789"/>
      <c r="K158" s="789"/>
      <c r="L158" s="789"/>
      <c r="M158" s="789"/>
      <c r="N158" s="789"/>
      <c r="O158" s="789"/>
      <c r="P158" s="789"/>
      <c r="Q158" s="789"/>
      <c r="R158" s="789"/>
      <c r="S158" s="789"/>
      <c r="T158" s="789"/>
      <c r="U158" s="789"/>
      <c r="V158" s="483">
        <v>363.4467633519871</v>
      </c>
      <c r="W158" s="746">
        <f t="shared" si="18"/>
        <v>0</v>
      </c>
      <c r="X158" s="252">
        <f t="shared" ref="X158:BA158" si="132">IF(AND(X$43-$A158&gt;$V$30,SUM($W158:W158)&lt;&gt;$V158),$V158,0)</f>
        <v>0</v>
      </c>
      <c r="Y158" s="252">
        <f t="shared" si="132"/>
        <v>0</v>
      </c>
      <c r="Z158" s="252">
        <f t="shared" si="132"/>
        <v>0</v>
      </c>
      <c r="AA158" s="252">
        <f t="shared" si="132"/>
        <v>0</v>
      </c>
      <c r="AB158" s="252">
        <f t="shared" si="132"/>
        <v>0</v>
      </c>
      <c r="AC158" s="252">
        <f t="shared" si="132"/>
        <v>0</v>
      </c>
      <c r="AD158" s="252">
        <f t="shared" si="132"/>
        <v>0</v>
      </c>
      <c r="AE158" s="252">
        <f t="shared" si="132"/>
        <v>0</v>
      </c>
      <c r="AF158" s="252">
        <f t="shared" si="132"/>
        <v>0</v>
      </c>
      <c r="AG158" s="252">
        <f t="shared" si="132"/>
        <v>0</v>
      </c>
      <c r="AH158" s="252">
        <f t="shared" si="132"/>
        <v>0</v>
      </c>
      <c r="AI158" s="252">
        <f t="shared" si="132"/>
        <v>0</v>
      </c>
      <c r="AJ158" s="252">
        <f t="shared" si="132"/>
        <v>0</v>
      </c>
      <c r="AK158" s="252">
        <f t="shared" si="132"/>
        <v>0</v>
      </c>
      <c r="AL158" s="252">
        <f t="shared" si="132"/>
        <v>0</v>
      </c>
      <c r="AM158" s="252">
        <f t="shared" si="132"/>
        <v>0</v>
      </c>
      <c r="AN158" s="252">
        <f t="shared" si="132"/>
        <v>0</v>
      </c>
      <c r="AO158" s="252">
        <f t="shared" si="132"/>
        <v>0</v>
      </c>
      <c r="AP158" s="252">
        <f t="shared" si="132"/>
        <v>0</v>
      </c>
      <c r="AQ158" s="252">
        <f t="shared" si="132"/>
        <v>0</v>
      </c>
      <c r="AR158" s="252">
        <f t="shared" si="132"/>
        <v>0</v>
      </c>
      <c r="AS158" s="252">
        <f t="shared" si="132"/>
        <v>0</v>
      </c>
      <c r="AT158" s="252">
        <f t="shared" si="132"/>
        <v>0</v>
      </c>
      <c r="AU158" s="252">
        <f t="shared" si="132"/>
        <v>0</v>
      </c>
      <c r="AV158" s="252">
        <f t="shared" si="132"/>
        <v>0</v>
      </c>
      <c r="AW158" s="252">
        <f t="shared" si="132"/>
        <v>0</v>
      </c>
      <c r="AX158" s="252">
        <f t="shared" si="132"/>
        <v>0</v>
      </c>
      <c r="AY158" s="252">
        <f t="shared" si="132"/>
        <v>0</v>
      </c>
      <c r="AZ158" s="252">
        <f t="shared" si="132"/>
        <v>0</v>
      </c>
      <c r="BA158" s="252">
        <f t="shared" si="132"/>
        <v>0</v>
      </c>
    </row>
    <row r="159" ht="15.75" customHeight="1">
      <c r="A159" s="788">
        <v>2045.0</v>
      </c>
      <c r="B159" s="789"/>
      <c r="C159" s="789"/>
      <c r="D159" s="789"/>
      <c r="E159" s="789"/>
      <c r="F159" s="789"/>
      <c r="G159" s="789"/>
      <c r="H159" s="789"/>
      <c r="I159" s="789"/>
      <c r="J159" s="789"/>
      <c r="K159" s="789"/>
      <c r="L159" s="789"/>
      <c r="M159" s="789"/>
      <c r="N159" s="789"/>
      <c r="O159" s="789"/>
      <c r="P159" s="789"/>
      <c r="Q159" s="789"/>
      <c r="R159" s="789"/>
      <c r="S159" s="789"/>
      <c r="T159" s="789"/>
      <c r="U159" s="789"/>
      <c r="V159" s="483">
        <v>155.4467633519862</v>
      </c>
      <c r="W159" s="746">
        <f t="shared" si="18"/>
        <v>0</v>
      </c>
      <c r="X159" s="252">
        <f t="shared" ref="X159:BA159" si="133">IF(AND(X$43-$A159&gt;$V$30,SUM($W159:W159)&lt;&gt;$V159),$V159,0)</f>
        <v>0</v>
      </c>
      <c r="Y159" s="252">
        <f t="shared" si="133"/>
        <v>0</v>
      </c>
      <c r="Z159" s="252">
        <f t="shared" si="133"/>
        <v>0</v>
      </c>
      <c r="AA159" s="252">
        <f t="shared" si="133"/>
        <v>0</v>
      </c>
      <c r="AB159" s="252">
        <f t="shared" si="133"/>
        <v>0</v>
      </c>
      <c r="AC159" s="252">
        <f t="shared" si="133"/>
        <v>0</v>
      </c>
      <c r="AD159" s="252">
        <f t="shared" si="133"/>
        <v>0</v>
      </c>
      <c r="AE159" s="252">
        <f t="shared" si="133"/>
        <v>0</v>
      </c>
      <c r="AF159" s="252">
        <f t="shared" si="133"/>
        <v>0</v>
      </c>
      <c r="AG159" s="252">
        <f t="shared" si="133"/>
        <v>0</v>
      </c>
      <c r="AH159" s="252">
        <f t="shared" si="133"/>
        <v>0</v>
      </c>
      <c r="AI159" s="252">
        <f t="shared" si="133"/>
        <v>0</v>
      </c>
      <c r="AJ159" s="252">
        <f t="shared" si="133"/>
        <v>0</v>
      </c>
      <c r="AK159" s="252">
        <f t="shared" si="133"/>
        <v>0</v>
      </c>
      <c r="AL159" s="252">
        <f t="shared" si="133"/>
        <v>0</v>
      </c>
      <c r="AM159" s="252">
        <f t="shared" si="133"/>
        <v>0</v>
      </c>
      <c r="AN159" s="252">
        <f t="shared" si="133"/>
        <v>0</v>
      </c>
      <c r="AO159" s="252">
        <f t="shared" si="133"/>
        <v>0</v>
      </c>
      <c r="AP159" s="252">
        <f t="shared" si="133"/>
        <v>0</v>
      </c>
      <c r="AQ159" s="252">
        <f t="shared" si="133"/>
        <v>0</v>
      </c>
      <c r="AR159" s="252">
        <f t="shared" si="133"/>
        <v>0</v>
      </c>
      <c r="AS159" s="252">
        <f t="shared" si="133"/>
        <v>0</v>
      </c>
      <c r="AT159" s="252">
        <f t="shared" si="133"/>
        <v>0</v>
      </c>
      <c r="AU159" s="252">
        <f t="shared" si="133"/>
        <v>0</v>
      </c>
      <c r="AV159" s="252">
        <f t="shared" si="133"/>
        <v>0</v>
      </c>
      <c r="AW159" s="252">
        <f t="shared" si="133"/>
        <v>0</v>
      </c>
      <c r="AX159" s="252">
        <f t="shared" si="133"/>
        <v>0</v>
      </c>
      <c r="AY159" s="252">
        <f t="shared" si="133"/>
        <v>0</v>
      </c>
      <c r="AZ159" s="252">
        <f t="shared" si="133"/>
        <v>0</v>
      </c>
      <c r="BA159" s="252">
        <f t="shared" si="133"/>
        <v>0</v>
      </c>
    </row>
    <row r="160" ht="15.75" customHeight="1">
      <c r="A160" s="788">
        <v>2046.0</v>
      </c>
      <c r="B160" s="789"/>
      <c r="C160" s="789"/>
      <c r="D160" s="789"/>
      <c r="E160" s="789"/>
      <c r="F160" s="789"/>
      <c r="G160" s="789"/>
      <c r="H160" s="789"/>
      <c r="I160" s="789"/>
      <c r="J160" s="789"/>
      <c r="K160" s="789"/>
      <c r="L160" s="789"/>
      <c r="M160" s="789"/>
      <c r="N160" s="789"/>
      <c r="O160" s="789"/>
      <c r="P160" s="789"/>
      <c r="Q160" s="789"/>
      <c r="R160" s="789"/>
      <c r="S160" s="789"/>
      <c r="T160" s="789"/>
      <c r="U160" s="789"/>
      <c r="V160" s="483">
        <v>155.4467633519871</v>
      </c>
      <c r="W160" s="746">
        <f t="shared" si="18"/>
        <v>0</v>
      </c>
      <c r="X160" s="252">
        <f t="shared" ref="X160:BA160" si="134">IF(AND(X$43-$A160&gt;$V$30,SUM($W160:W160)&lt;&gt;$V160),$V160,0)</f>
        <v>0</v>
      </c>
      <c r="Y160" s="252">
        <f t="shared" si="134"/>
        <v>0</v>
      </c>
      <c r="Z160" s="252">
        <f t="shared" si="134"/>
        <v>0</v>
      </c>
      <c r="AA160" s="252">
        <f t="shared" si="134"/>
        <v>0</v>
      </c>
      <c r="AB160" s="252">
        <f t="shared" si="134"/>
        <v>0</v>
      </c>
      <c r="AC160" s="252">
        <f t="shared" si="134"/>
        <v>0</v>
      </c>
      <c r="AD160" s="252">
        <f t="shared" si="134"/>
        <v>0</v>
      </c>
      <c r="AE160" s="252">
        <f t="shared" si="134"/>
        <v>0</v>
      </c>
      <c r="AF160" s="252">
        <f t="shared" si="134"/>
        <v>0</v>
      </c>
      <c r="AG160" s="252">
        <f t="shared" si="134"/>
        <v>0</v>
      </c>
      <c r="AH160" s="252">
        <f t="shared" si="134"/>
        <v>0</v>
      </c>
      <c r="AI160" s="252">
        <f t="shared" si="134"/>
        <v>0</v>
      </c>
      <c r="AJ160" s="252">
        <f t="shared" si="134"/>
        <v>0</v>
      </c>
      <c r="AK160" s="252">
        <f t="shared" si="134"/>
        <v>0</v>
      </c>
      <c r="AL160" s="252">
        <f t="shared" si="134"/>
        <v>0</v>
      </c>
      <c r="AM160" s="252">
        <f t="shared" si="134"/>
        <v>0</v>
      </c>
      <c r="AN160" s="252">
        <f t="shared" si="134"/>
        <v>0</v>
      </c>
      <c r="AO160" s="252">
        <f t="shared" si="134"/>
        <v>0</v>
      </c>
      <c r="AP160" s="252">
        <f t="shared" si="134"/>
        <v>0</v>
      </c>
      <c r="AQ160" s="252">
        <f t="shared" si="134"/>
        <v>0</v>
      </c>
      <c r="AR160" s="252">
        <f t="shared" si="134"/>
        <v>0</v>
      </c>
      <c r="AS160" s="252">
        <f t="shared" si="134"/>
        <v>0</v>
      </c>
      <c r="AT160" s="252">
        <f t="shared" si="134"/>
        <v>0</v>
      </c>
      <c r="AU160" s="252">
        <f t="shared" si="134"/>
        <v>0</v>
      </c>
      <c r="AV160" s="252">
        <f t="shared" si="134"/>
        <v>0</v>
      </c>
      <c r="AW160" s="252">
        <f t="shared" si="134"/>
        <v>0</v>
      </c>
      <c r="AX160" s="252">
        <f t="shared" si="134"/>
        <v>0</v>
      </c>
      <c r="AY160" s="252">
        <f t="shared" si="134"/>
        <v>0</v>
      </c>
      <c r="AZ160" s="252">
        <f t="shared" si="134"/>
        <v>0</v>
      </c>
      <c r="BA160" s="252">
        <f t="shared" si="134"/>
        <v>0</v>
      </c>
    </row>
    <row r="161" ht="15.75" customHeight="1">
      <c r="A161" s="788">
        <v>2047.0</v>
      </c>
      <c r="B161" s="789"/>
      <c r="C161" s="789"/>
      <c r="D161" s="789"/>
      <c r="E161" s="789"/>
      <c r="F161" s="789"/>
      <c r="G161" s="789"/>
      <c r="H161" s="789"/>
      <c r="I161" s="789"/>
      <c r="J161" s="789"/>
      <c r="K161" s="789"/>
      <c r="L161" s="789"/>
      <c r="M161" s="789"/>
      <c r="N161" s="789"/>
      <c r="O161" s="789"/>
      <c r="P161" s="789"/>
      <c r="Q161" s="789"/>
      <c r="R161" s="789"/>
      <c r="S161" s="789"/>
      <c r="T161" s="789"/>
      <c r="U161" s="789"/>
      <c r="V161" s="483">
        <v>155.4467633519871</v>
      </c>
      <c r="W161" s="746">
        <f t="shared" si="18"/>
        <v>0</v>
      </c>
      <c r="X161" s="252">
        <f t="shared" ref="X161:BA161" si="135">IF(AND(X$43-$A161&gt;$V$30,SUM($W161:W161)&lt;&gt;$V161),$V161,0)</f>
        <v>0</v>
      </c>
      <c r="Y161" s="252">
        <f t="shared" si="135"/>
        <v>0</v>
      </c>
      <c r="Z161" s="252">
        <f t="shared" si="135"/>
        <v>0</v>
      </c>
      <c r="AA161" s="252">
        <f t="shared" si="135"/>
        <v>0</v>
      </c>
      <c r="AB161" s="252">
        <f t="shared" si="135"/>
        <v>0</v>
      </c>
      <c r="AC161" s="252">
        <f t="shared" si="135"/>
        <v>0</v>
      </c>
      <c r="AD161" s="252">
        <f t="shared" si="135"/>
        <v>0</v>
      </c>
      <c r="AE161" s="252">
        <f t="shared" si="135"/>
        <v>0</v>
      </c>
      <c r="AF161" s="252">
        <f t="shared" si="135"/>
        <v>0</v>
      </c>
      <c r="AG161" s="252">
        <f t="shared" si="135"/>
        <v>0</v>
      </c>
      <c r="AH161" s="252">
        <f t="shared" si="135"/>
        <v>0</v>
      </c>
      <c r="AI161" s="252">
        <f t="shared" si="135"/>
        <v>0</v>
      </c>
      <c r="AJ161" s="252">
        <f t="shared" si="135"/>
        <v>0</v>
      </c>
      <c r="AK161" s="252">
        <f t="shared" si="135"/>
        <v>0</v>
      </c>
      <c r="AL161" s="252">
        <f t="shared" si="135"/>
        <v>0</v>
      </c>
      <c r="AM161" s="252">
        <f t="shared" si="135"/>
        <v>0</v>
      </c>
      <c r="AN161" s="252">
        <f t="shared" si="135"/>
        <v>0</v>
      </c>
      <c r="AO161" s="252">
        <f t="shared" si="135"/>
        <v>0</v>
      </c>
      <c r="AP161" s="252">
        <f t="shared" si="135"/>
        <v>0</v>
      </c>
      <c r="AQ161" s="252">
        <f t="shared" si="135"/>
        <v>0</v>
      </c>
      <c r="AR161" s="252">
        <f t="shared" si="135"/>
        <v>0</v>
      </c>
      <c r="AS161" s="252">
        <f t="shared" si="135"/>
        <v>0</v>
      </c>
      <c r="AT161" s="252">
        <f t="shared" si="135"/>
        <v>0</v>
      </c>
      <c r="AU161" s="252">
        <f t="shared" si="135"/>
        <v>0</v>
      </c>
      <c r="AV161" s="252">
        <f t="shared" si="135"/>
        <v>0</v>
      </c>
      <c r="AW161" s="252">
        <f t="shared" si="135"/>
        <v>0</v>
      </c>
      <c r="AX161" s="252">
        <f t="shared" si="135"/>
        <v>0</v>
      </c>
      <c r="AY161" s="252">
        <f t="shared" si="135"/>
        <v>0</v>
      </c>
      <c r="AZ161" s="252">
        <f t="shared" si="135"/>
        <v>0</v>
      </c>
      <c r="BA161" s="252">
        <f t="shared" si="135"/>
        <v>0</v>
      </c>
    </row>
    <row r="162" ht="15.75" customHeight="1">
      <c r="A162" s="788">
        <v>2048.0</v>
      </c>
      <c r="B162" s="789"/>
      <c r="C162" s="789"/>
      <c r="D162" s="789"/>
      <c r="E162" s="789"/>
      <c r="F162" s="789"/>
      <c r="G162" s="789"/>
      <c r="H162" s="789"/>
      <c r="I162" s="789"/>
      <c r="J162" s="789"/>
      <c r="K162" s="789"/>
      <c r="L162" s="789"/>
      <c r="M162" s="789"/>
      <c r="N162" s="789"/>
      <c r="O162" s="789"/>
      <c r="P162" s="789"/>
      <c r="Q162" s="789"/>
      <c r="R162" s="789"/>
      <c r="S162" s="789"/>
      <c r="T162" s="789"/>
      <c r="U162" s="789"/>
      <c r="V162" s="483">
        <v>155.4467633519871</v>
      </c>
      <c r="W162" s="746">
        <f t="shared" si="18"/>
        <v>0</v>
      </c>
      <c r="X162" s="252">
        <f t="shared" ref="X162:BA162" si="136">IF(AND(X$43-$A162&gt;$V$30,SUM($W162:W162)&lt;&gt;$V162),$V162,0)</f>
        <v>0</v>
      </c>
      <c r="Y162" s="252">
        <f t="shared" si="136"/>
        <v>0</v>
      </c>
      <c r="Z162" s="252">
        <f t="shared" si="136"/>
        <v>0</v>
      </c>
      <c r="AA162" s="252">
        <f t="shared" si="136"/>
        <v>0</v>
      </c>
      <c r="AB162" s="252">
        <f t="shared" si="136"/>
        <v>0</v>
      </c>
      <c r="AC162" s="252">
        <f t="shared" si="136"/>
        <v>0</v>
      </c>
      <c r="AD162" s="252">
        <f t="shared" si="136"/>
        <v>0</v>
      </c>
      <c r="AE162" s="252">
        <f t="shared" si="136"/>
        <v>0</v>
      </c>
      <c r="AF162" s="252">
        <f t="shared" si="136"/>
        <v>0</v>
      </c>
      <c r="AG162" s="252">
        <f t="shared" si="136"/>
        <v>0</v>
      </c>
      <c r="AH162" s="252">
        <f t="shared" si="136"/>
        <v>0</v>
      </c>
      <c r="AI162" s="252">
        <f t="shared" si="136"/>
        <v>0</v>
      </c>
      <c r="AJ162" s="252">
        <f t="shared" si="136"/>
        <v>0</v>
      </c>
      <c r="AK162" s="252">
        <f t="shared" si="136"/>
        <v>0</v>
      </c>
      <c r="AL162" s="252">
        <f t="shared" si="136"/>
        <v>0</v>
      </c>
      <c r="AM162" s="252">
        <f t="shared" si="136"/>
        <v>0</v>
      </c>
      <c r="AN162" s="252">
        <f t="shared" si="136"/>
        <v>0</v>
      </c>
      <c r="AO162" s="252">
        <f t="shared" si="136"/>
        <v>0</v>
      </c>
      <c r="AP162" s="252">
        <f t="shared" si="136"/>
        <v>0</v>
      </c>
      <c r="AQ162" s="252">
        <f t="shared" si="136"/>
        <v>0</v>
      </c>
      <c r="AR162" s="252">
        <f t="shared" si="136"/>
        <v>0</v>
      </c>
      <c r="AS162" s="252">
        <f t="shared" si="136"/>
        <v>0</v>
      </c>
      <c r="AT162" s="252">
        <f t="shared" si="136"/>
        <v>0</v>
      </c>
      <c r="AU162" s="252">
        <f t="shared" si="136"/>
        <v>0</v>
      </c>
      <c r="AV162" s="252">
        <f t="shared" si="136"/>
        <v>0</v>
      </c>
      <c r="AW162" s="252">
        <f t="shared" si="136"/>
        <v>0</v>
      </c>
      <c r="AX162" s="252">
        <f t="shared" si="136"/>
        <v>0</v>
      </c>
      <c r="AY162" s="252">
        <f t="shared" si="136"/>
        <v>0</v>
      </c>
      <c r="AZ162" s="252">
        <f t="shared" si="136"/>
        <v>0</v>
      </c>
      <c r="BA162" s="252">
        <f t="shared" si="136"/>
        <v>0</v>
      </c>
    </row>
    <row r="163" ht="15.75" customHeight="1">
      <c r="A163" s="788">
        <v>2049.0</v>
      </c>
      <c r="B163" s="789"/>
      <c r="C163" s="789"/>
      <c r="D163" s="789"/>
      <c r="E163" s="789"/>
      <c r="F163" s="789"/>
      <c r="G163" s="789"/>
      <c r="H163" s="789"/>
      <c r="I163" s="789"/>
      <c r="J163" s="789"/>
      <c r="K163" s="789"/>
      <c r="L163" s="789"/>
      <c r="M163" s="789"/>
      <c r="N163" s="789"/>
      <c r="O163" s="789"/>
      <c r="P163" s="789"/>
      <c r="Q163" s="789"/>
      <c r="R163" s="789"/>
      <c r="S163" s="789"/>
      <c r="T163" s="789"/>
      <c r="U163" s="789"/>
      <c r="V163" s="483">
        <v>310.8935267039742</v>
      </c>
      <c r="W163" s="746">
        <f t="shared" si="18"/>
        <v>0</v>
      </c>
      <c r="X163" s="252">
        <f t="shared" ref="X163:BA163" si="137">IF(AND(X$43-$A163&gt;$V$30,SUM($W163:W163)&lt;&gt;$V163),$V163,0)</f>
        <v>0</v>
      </c>
      <c r="Y163" s="252">
        <f t="shared" si="137"/>
        <v>0</v>
      </c>
      <c r="Z163" s="252">
        <f t="shared" si="137"/>
        <v>0</v>
      </c>
      <c r="AA163" s="252">
        <f t="shared" si="137"/>
        <v>0</v>
      </c>
      <c r="AB163" s="252">
        <f t="shared" si="137"/>
        <v>0</v>
      </c>
      <c r="AC163" s="252">
        <f t="shared" si="137"/>
        <v>0</v>
      </c>
      <c r="AD163" s="252">
        <f t="shared" si="137"/>
        <v>0</v>
      </c>
      <c r="AE163" s="252">
        <f t="shared" si="137"/>
        <v>0</v>
      </c>
      <c r="AF163" s="252">
        <f t="shared" si="137"/>
        <v>0</v>
      </c>
      <c r="AG163" s="252">
        <f t="shared" si="137"/>
        <v>0</v>
      </c>
      <c r="AH163" s="252">
        <f t="shared" si="137"/>
        <v>0</v>
      </c>
      <c r="AI163" s="252">
        <f t="shared" si="137"/>
        <v>0</v>
      </c>
      <c r="AJ163" s="252">
        <f t="shared" si="137"/>
        <v>0</v>
      </c>
      <c r="AK163" s="252">
        <f t="shared" si="137"/>
        <v>0</v>
      </c>
      <c r="AL163" s="252">
        <f t="shared" si="137"/>
        <v>0</v>
      </c>
      <c r="AM163" s="252">
        <f t="shared" si="137"/>
        <v>0</v>
      </c>
      <c r="AN163" s="252">
        <f t="shared" si="137"/>
        <v>0</v>
      </c>
      <c r="AO163" s="252">
        <f t="shared" si="137"/>
        <v>0</v>
      </c>
      <c r="AP163" s="252">
        <f t="shared" si="137"/>
        <v>0</v>
      </c>
      <c r="AQ163" s="252">
        <f t="shared" si="137"/>
        <v>0</v>
      </c>
      <c r="AR163" s="252">
        <f t="shared" si="137"/>
        <v>0</v>
      </c>
      <c r="AS163" s="252">
        <f t="shared" si="137"/>
        <v>0</v>
      </c>
      <c r="AT163" s="252">
        <f t="shared" si="137"/>
        <v>0</v>
      </c>
      <c r="AU163" s="252">
        <f t="shared" si="137"/>
        <v>0</v>
      </c>
      <c r="AV163" s="252">
        <f t="shared" si="137"/>
        <v>0</v>
      </c>
      <c r="AW163" s="252">
        <f t="shared" si="137"/>
        <v>0</v>
      </c>
      <c r="AX163" s="252">
        <f t="shared" si="137"/>
        <v>0</v>
      </c>
      <c r="AY163" s="252">
        <f t="shared" si="137"/>
        <v>0</v>
      </c>
      <c r="AZ163" s="252">
        <f t="shared" si="137"/>
        <v>0</v>
      </c>
      <c r="BA163" s="252">
        <f t="shared" si="137"/>
        <v>0</v>
      </c>
    </row>
    <row r="164" ht="15.75" customHeight="1">
      <c r="A164" s="788">
        <v>2050.0</v>
      </c>
      <c r="B164" s="789"/>
      <c r="C164" s="789"/>
      <c r="D164" s="789"/>
      <c r="E164" s="789"/>
      <c r="F164" s="789"/>
      <c r="G164" s="789"/>
      <c r="H164" s="789"/>
      <c r="I164" s="789"/>
      <c r="J164" s="789"/>
      <c r="K164" s="789"/>
      <c r="L164" s="789"/>
      <c r="M164" s="789"/>
      <c r="N164" s="789"/>
      <c r="O164" s="789"/>
      <c r="P164" s="789"/>
      <c r="Q164" s="789"/>
      <c r="R164" s="789"/>
      <c r="S164" s="789"/>
      <c r="T164" s="789"/>
      <c r="U164" s="789"/>
      <c r="V164" s="483">
        <v>310.8935267039742</v>
      </c>
      <c r="W164" s="746">
        <f t="shared" si="18"/>
        <v>0</v>
      </c>
      <c r="X164" s="252">
        <f t="shared" ref="X164:BA164" si="138">IF(AND(X$43-$A164&gt;$V$30,SUM($W164:W164)&lt;&gt;$V164),$V164,0)</f>
        <v>0</v>
      </c>
      <c r="Y164" s="252">
        <f t="shared" si="138"/>
        <v>0</v>
      </c>
      <c r="Z164" s="252">
        <f t="shared" si="138"/>
        <v>0</v>
      </c>
      <c r="AA164" s="252">
        <f t="shared" si="138"/>
        <v>0</v>
      </c>
      <c r="AB164" s="252">
        <f t="shared" si="138"/>
        <v>0</v>
      </c>
      <c r="AC164" s="252">
        <f t="shared" si="138"/>
        <v>0</v>
      </c>
      <c r="AD164" s="252">
        <f t="shared" si="138"/>
        <v>0</v>
      </c>
      <c r="AE164" s="252">
        <f t="shared" si="138"/>
        <v>0</v>
      </c>
      <c r="AF164" s="252">
        <f t="shared" si="138"/>
        <v>0</v>
      </c>
      <c r="AG164" s="252">
        <f t="shared" si="138"/>
        <v>0</v>
      </c>
      <c r="AH164" s="252">
        <f t="shared" si="138"/>
        <v>0</v>
      </c>
      <c r="AI164" s="252">
        <f t="shared" si="138"/>
        <v>0</v>
      </c>
      <c r="AJ164" s="252">
        <f t="shared" si="138"/>
        <v>0</v>
      </c>
      <c r="AK164" s="252">
        <f t="shared" si="138"/>
        <v>0</v>
      </c>
      <c r="AL164" s="252">
        <f t="shared" si="138"/>
        <v>0</v>
      </c>
      <c r="AM164" s="252">
        <f t="shared" si="138"/>
        <v>0</v>
      </c>
      <c r="AN164" s="252">
        <f t="shared" si="138"/>
        <v>0</v>
      </c>
      <c r="AO164" s="252">
        <f t="shared" si="138"/>
        <v>0</v>
      </c>
      <c r="AP164" s="252">
        <f t="shared" si="138"/>
        <v>0</v>
      </c>
      <c r="AQ164" s="252">
        <f t="shared" si="138"/>
        <v>0</v>
      </c>
      <c r="AR164" s="252">
        <f t="shared" si="138"/>
        <v>0</v>
      </c>
      <c r="AS164" s="252">
        <f t="shared" si="138"/>
        <v>0</v>
      </c>
      <c r="AT164" s="252">
        <f t="shared" si="138"/>
        <v>0</v>
      </c>
      <c r="AU164" s="252">
        <f t="shared" si="138"/>
        <v>0</v>
      </c>
      <c r="AV164" s="252">
        <f t="shared" si="138"/>
        <v>0</v>
      </c>
      <c r="AW164" s="252">
        <f t="shared" si="138"/>
        <v>0</v>
      </c>
      <c r="AX164" s="252">
        <f t="shared" si="138"/>
        <v>0</v>
      </c>
      <c r="AY164" s="252">
        <f t="shared" si="138"/>
        <v>0</v>
      </c>
      <c r="AZ164" s="252">
        <f t="shared" si="138"/>
        <v>0</v>
      </c>
      <c r="BA164" s="252">
        <f t="shared" si="138"/>
        <v>0</v>
      </c>
    </row>
    <row r="165" ht="15.75" customHeight="1">
      <c r="A165" s="788"/>
      <c r="B165" s="789"/>
      <c r="C165" s="789"/>
      <c r="D165" s="789"/>
      <c r="E165" s="789"/>
      <c r="F165" s="789"/>
      <c r="G165" s="789"/>
      <c r="H165" s="789"/>
      <c r="I165" s="789"/>
      <c r="J165" s="789"/>
      <c r="K165" s="789"/>
      <c r="L165" s="789"/>
      <c r="M165" s="789"/>
      <c r="N165" s="789"/>
      <c r="O165" s="789"/>
      <c r="P165" s="789"/>
      <c r="Q165" s="789"/>
      <c r="R165" s="789"/>
      <c r="S165" s="789"/>
      <c r="T165" s="789"/>
      <c r="U165" s="789"/>
    </row>
  </sheetData>
  <printOptions/>
  <pageMargins bottom="0.75" footer="0.0" header="0.0" left="0.7" right="0.7" top="0.75"/>
  <pageSetup orientation="landscape"/>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2.14"/>
    <col customWidth="1" min="23"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1081</v>
      </c>
      <c r="B2" s="772">
        <f>B4*1000*'Inflation GDP Population'!C$18/'Inflation GDP Population'!$T$18</f>
        <v>4597945.477</v>
      </c>
      <c r="C2" s="772">
        <f>C4*1000*'Inflation GDP Population'!D$18/'Inflation GDP Population'!$T$18</f>
        <v>4670673.362</v>
      </c>
      <c r="D2" s="772">
        <f>D4*1000*'Inflation GDP Population'!E$18/'Inflation GDP Population'!$T$18</f>
        <v>4757413.552</v>
      </c>
      <c r="E2" s="772">
        <f>E4*1000*'Inflation GDP Population'!F$18/'Inflation GDP Population'!$T$18</f>
        <v>4885492.653</v>
      </c>
      <c r="F2" s="772">
        <f>F4*1000*'Inflation GDP Population'!G$18/'Inflation GDP Population'!$T$18</f>
        <v>5037671.333</v>
      </c>
      <c r="G2" s="772">
        <f>G4*1000*'Inflation GDP Population'!H$18/'Inflation GDP Population'!$T$18</f>
        <v>5190121.956</v>
      </c>
      <c r="H2" s="772">
        <f>H4*1000*'Inflation GDP Population'!I$18/'Inflation GDP Population'!$T$18</f>
        <v>5329544.534</v>
      </c>
      <c r="I2" s="772">
        <f>I4*1000*'Inflation GDP Population'!J$18/'Inflation GDP Population'!$T$18</f>
        <v>5433211.027</v>
      </c>
      <c r="J2" s="772">
        <f>J4*1000*'Inflation GDP Population'!K$18/'Inflation GDP Population'!$T$18</f>
        <v>5474630.382</v>
      </c>
      <c r="K2" s="772">
        <f>K4*1000*'Inflation GDP Population'!L$18/'Inflation GDP Population'!$T$18</f>
        <v>5538423.666</v>
      </c>
      <c r="L2" s="772">
        <f>L4*1000*'Inflation GDP Population'!M$18/'Inflation GDP Population'!$T$18</f>
        <v>4299012.439</v>
      </c>
      <c r="M2" s="772">
        <f>M4*1000*'Inflation GDP Population'!N$18/'Inflation GDP Population'!$T$18</f>
        <v>4137844.926</v>
      </c>
      <c r="N2" s="772">
        <f>N4*1000*'Inflation GDP Population'!O$18/'Inflation GDP Population'!$T$18</f>
        <v>3423476.301</v>
      </c>
      <c r="O2" s="772">
        <f>O4*1000*'Inflation GDP Population'!P$18/'Inflation GDP Population'!$T$18</f>
        <v>3790922.792</v>
      </c>
      <c r="P2" s="772">
        <f>P4*1000*'Inflation GDP Population'!Q$18/'Inflation GDP Population'!$T$18</f>
        <v>3683404.475</v>
      </c>
      <c r="Q2" s="772">
        <f>Q4*1000*'Inflation GDP Population'!R$18/'Inflation GDP Population'!$T$18</f>
        <v>3064232.33</v>
      </c>
      <c r="R2" s="772">
        <f>R4*1000*'Inflation GDP Population'!S$18/'Inflation GDP Population'!$T$18</f>
        <v>2380023.796</v>
      </c>
      <c r="S2" s="772">
        <f>S4*1000*'Inflation GDP Population'!T$18/'Inflation GDP Population'!$T$18</f>
        <v>2230000</v>
      </c>
      <c r="T2" s="772">
        <f>T4*1000*'Inflation GDP Population'!U$18/'Inflation GDP Population'!$T$18</f>
        <v>1631214.36</v>
      </c>
      <c r="U2" s="772">
        <f>U4*1000*'Inflation GDP Population'!V$18/'Inflation GDP Population'!$T$18</f>
        <v>1460354.962</v>
      </c>
      <c r="V2" s="705">
        <f>V4*1000*'Inflation GDP Population'!V$18/'Inflation GDP Population'!$T$18</f>
        <v>1407345.636</v>
      </c>
      <c r="W2" s="160">
        <f>W4*1000*'Inflation GDP Population'!W$18/'Inflation GDP Population'!$T$18</f>
        <v>1379698.347</v>
      </c>
      <c r="X2" s="160">
        <f>X4*1000*'Inflation GDP Population'!X$18/'Inflation GDP Population'!$T$18</f>
        <v>1350436.681</v>
      </c>
      <c r="Y2" s="160">
        <f>Y4*1000*'Inflation GDP Population'!Y$18/'Inflation GDP Population'!$T$18</f>
        <v>1319508.172</v>
      </c>
      <c r="Z2" s="160">
        <f>Z4*1000*'Inflation GDP Population'!Z$18/'Inflation GDP Population'!$T$18</f>
        <v>1287981.833</v>
      </c>
      <c r="AA2" s="160">
        <f>AA4*1000*'Inflation GDP Population'!AA$18/'Inflation GDP Population'!$T$18</f>
        <v>1253578.375</v>
      </c>
      <c r="AB2" s="160">
        <f>AB4*1000*'Inflation GDP Population'!AB$18/'Inflation GDP Population'!$T$18</f>
        <v>1217342.359</v>
      </c>
      <c r="AC2" s="160">
        <f>AC4*1000*'Inflation GDP Population'!AC$18/'Inflation GDP Population'!$T$18</f>
        <v>1180405.301</v>
      </c>
      <c r="AD2" s="160">
        <f>AD4*1000*'Inflation GDP Population'!AD$18/'Inflation GDP Population'!$T$18</f>
        <v>1140350.575</v>
      </c>
      <c r="AE2" s="160">
        <f>AE4*1000*'Inflation GDP Population'!AE$18/'Inflation GDP Population'!$T$18</f>
        <v>1098283.733</v>
      </c>
      <c r="AF2" s="160">
        <f>AF4*1000*'Inflation GDP Population'!AF$18/'Inflation GDP Population'!$T$18</f>
        <v>1054141.512</v>
      </c>
      <c r="AG2" s="160">
        <f>AG4*1000*'Inflation GDP Population'!AG$18/'Inflation GDP Population'!$T$18</f>
        <v>1065707.991</v>
      </c>
      <c r="AH2" s="160">
        <f>AH4*1000*'Inflation GDP Population'!AH$18/'Inflation GDP Population'!$T$18</f>
        <v>1077324.565</v>
      </c>
      <c r="AI2" s="160">
        <f>AI4*1000*'Inflation GDP Population'!AI$18/'Inflation GDP Population'!$T$18</f>
        <v>1087652.602</v>
      </c>
      <c r="AJ2" s="160">
        <f>AJ4*1000*'Inflation GDP Population'!AJ$18/'Inflation GDP Population'!$T$18</f>
        <v>1099335.838</v>
      </c>
      <c r="AK2" s="160">
        <f>AK4*1000*'Inflation GDP Population'!AK$18/'Inflation GDP Population'!$T$18</f>
        <v>1109672.144</v>
      </c>
      <c r="AL2" s="160">
        <f>AL4*1000*'Inflation GDP Population'!AL$18/'Inflation GDP Population'!$T$18</f>
        <v>1121409.264</v>
      </c>
      <c r="AM2" s="160">
        <f>AM4*1000*'Inflation GDP Population'!AM$18/'Inflation GDP Population'!$T$18</f>
        <v>1131738.458</v>
      </c>
      <c r="AN2" s="160">
        <f>AN4*1000*'Inflation GDP Population'!AN$18/'Inflation GDP Population'!$T$18</f>
        <v>1143515.572</v>
      </c>
      <c r="AO2" s="160">
        <f>AO4*1000*'Inflation GDP Population'!AO$18/'Inflation GDP Population'!$T$18</f>
        <v>1155321.466</v>
      </c>
      <c r="AP2" s="160">
        <f>AP4*1000*'Inflation GDP Population'!AP$18/'Inflation GDP Population'!$T$18</f>
        <v>1165623.091</v>
      </c>
      <c r="AQ2" s="160">
        <f>AQ4*1000*'Inflation GDP Population'!AQ$18/'Inflation GDP Population'!$T$18</f>
        <v>1177446.48</v>
      </c>
      <c r="AR2" s="160">
        <f>AR4*1000*'Inflation GDP Population'!AR$18/'Inflation GDP Population'!$T$18</f>
        <v>1187697.601</v>
      </c>
      <c r="AS2" s="160">
        <f>AS4*1000*'Inflation GDP Population'!AS$18/'Inflation GDP Population'!$T$18</f>
        <v>1199521.538</v>
      </c>
      <c r="AT2" s="160">
        <f>AT4*1000*'Inflation GDP Population'!AT$18/'Inflation GDP Population'!$T$18</f>
        <v>1209702.184</v>
      </c>
      <c r="AU2" s="160">
        <f>AU4*1000*'Inflation GDP Population'!AU$18/'Inflation GDP Population'!$T$18</f>
        <v>1221508.36</v>
      </c>
      <c r="AV2" s="160">
        <f>AV4*1000*'Inflation GDP Population'!AV$18/'Inflation GDP Population'!$T$18</f>
        <v>1233314.775</v>
      </c>
      <c r="AW2" s="160">
        <f>AW4*1000*'Inflation GDP Population'!AW$18/'Inflation GDP Population'!$T$18</f>
        <v>1243365.727</v>
      </c>
      <c r="AX2" s="160">
        <f>AX4*1000*'Inflation GDP Population'!AX$18/'Inflation GDP Population'!$T$18</f>
        <v>1255124.831</v>
      </c>
      <c r="AY2" s="160">
        <f>AY4*1000*'Inflation GDP Population'!AY$18/'Inflation GDP Population'!$T$18</f>
        <v>1265049.311</v>
      </c>
      <c r="AZ2" s="160">
        <f>AZ4*1000*'Inflation GDP Population'!AZ$18/'Inflation GDP Population'!$T$18</f>
        <v>1276739.049</v>
      </c>
    </row>
    <row r="3" ht="15.0" customHeight="1">
      <c r="A3" s="535" t="s">
        <v>1082</v>
      </c>
      <c r="B3" s="790">
        <v>1.2049435E7</v>
      </c>
      <c r="C3" s="790">
        <v>1.1811167E7</v>
      </c>
      <c r="D3" s="790">
        <v>1.2022747E7</v>
      </c>
      <c r="E3" s="790">
        <v>1.0696056E7</v>
      </c>
      <c r="F3" s="790">
        <v>9985036.0</v>
      </c>
      <c r="G3" s="790">
        <v>9569627.0</v>
      </c>
      <c r="H3" s="790">
        <v>9643581.0</v>
      </c>
      <c r="I3" s="790">
        <v>9776878.0</v>
      </c>
      <c r="J3" s="790">
        <v>9349794.0</v>
      </c>
      <c r="K3" s="790">
        <v>8882553.0</v>
      </c>
      <c r="L3" s="790">
        <v>7527058.0</v>
      </c>
      <c r="M3" s="790">
        <v>6712657.0</v>
      </c>
      <c r="N3" s="790">
        <v>5637344.0</v>
      </c>
      <c r="O3" s="790">
        <v>4854435.0</v>
      </c>
      <c r="P3" s="790">
        <v>4466753.0</v>
      </c>
      <c r="Q3" s="790">
        <v>4360440.0</v>
      </c>
      <c r="R3" s="790">
        <v>4174194.0</v>
      </c>
      <c r="S3" s="790">
        <v>3926465.0</v>
      </c>
      <c r="T3" s="791">
        <f>T5*1000*'Inflation GDP Population'!U$18/'Inflation GDP Population'!$T$18</f>
        <v>3113580.409</v>
      </c>
      <c r="U3" s="791">
        <f>U5*1000*'Inflation GDP Population'!V$18/'Inflation GDP Population'!$T$18</f>
        <v>2906158.345</v>
      </c>
      <c r="V3" s="705">
        <f>V5*1000*'Inflation GDP Population'!V$18/'Inflation GDP Population'!$T$18</f>
        <v>2748169.765</v>
      </c>
      <c r="W3" s="160">
        <f>W5*1000*'Inflation GDP Population'!W$18/'Inflation GDP Population'!$T$18</f>
        <v>2640712.965</v>
      </c>
      <c r="X3" s="160">
        <f>X5*1000*'Inflation GDP Population'!X$18/'Inflation GDP Population'!$T$18</f>
        <v>2528017.467</v>
      </c>
      <c r="Y3" s="160">
        <f>Y5*1000*'Inflation GDP Population'!Y$18/'Inflation GDP Population'!$T$18</f>
        <v>2409919.766</v>
      </c>
      <c r="Z3" s="160">
        <f>Z5*1000*'Inflation GDP Population'!Z$18/'Inflation GDP Population'!$T$18</f>
        <v>2286251.972</v>
      </c>
      <c r="AA3" s="160">
        <f>AA5*1000*'Inflation GDP Population'!AA$18/'Inflation GDP Population'!$T$18</f>
        <v>2156841.697</v>
      </c>
      <c r="AB3" s="160">
        <f>AB5*1000*'Inflation GDP Population'!AB$18/'Inflation GDP Population'!$T$18</f>
        <v>2021511.952</v>
      </c>
      <c r="AC3" s="160">
        <f>AC5*1000*'Inflation GDP Population'!AC$18/'Inflation GDP Population'!$T$18</f>
        <v>1881270.948</v>
      </c>
      <c r="AD3" s="160">
        <f>AD5*1000*'Inflation GDP Population'!AD$18/'Inflation GDP Population'!$T$18</f>
        <v>1733575.501</v>
      </c>
      <c r="AE3" s="160">
        <f>AE5*1000*'Inflation GDP Population'!AE$18/'Inflation GDP Population'!$T$18</f>
        <v>1579401.269</v>
      </c>
      <c r="AF3" s="160">
        <f>AF5*1000*'Inflation GDP Population'!AF$18/'Inflation GDP Population'!$T$18</f>
        <v>1418551.676</v>
      </c>
      <c r="AG3" s="160">
        <f>AG5*1000*'Inflation GDP Population'!AG$18/'Inflation GDP Population'!$T$18</f>
        <v>1428228.683</v>
      </c>
      <c r="AH3" s="160">
        <f>AH5*1000*'Inflation GDP Population'!AH$18/'Inflation GDP Population'!$T$18</f>
        <v>1439053.981</v>
      </c>
      <c r="AI3" s="160">
        <f>AI5*1000*'Inflation GDP Population'!AI$18/'Inflation GDP Population'!$T$18</f>
        <v>1449758.075</v>
      </c>
      <c r="AJ3" s="160">
        <f>AJ5*1000*'Inflation GDP Population'!AJ$18/'Inflation GDP Population'!$T$18</f>
        <v>1458969.867</v>
      </c>
      <c r="AK3" s="160">
        <f>AK5*1000*'Inflation GDP Population'!AK$18/'Inflation GDP Population'!$T$18</f>
        <v>1469378.133</v>
      </c>
      <c r="AL3" s="160">
        <f>AL5*1000*'Inflation GDP Population'!AL$18/'Inflation GDP Population'!$T$18</f>
        <v>1479637.224</v>
      </c>
      <c r="AM3" s="160">
        <f>AM5*1000*'Inflation GDP Population'!AM$18/'Inflation GDP Population'!$T$18</f>
        <v>1488293.813</v>
      </c>
      <c r="AN3" s="160">
        <f>AN5*1000*'Inflation GDP Population'!AN$18/'Inflation GDP Population'!$T$18</f>
        <v>1498196.722</v>
      </c>
      <c r="AO3" s="160">
        <f>AO5*1000*'Inflation GDP Population'!AO$18/'Inflation GDP Population'!$T$18</f>
        <v>1506419.159</v>
      </c>
      <c r="AP3" s="160">
        <f>AP5*1000*'Inflation GDP Population'!AP$18/'Inflation GDP Population'!$T$18</f>
        <v>1515921.894</v>
      </c>
      <c r="AQ3" s="160">
        <f>AQ5*1000*'Inflation GDP Population'!AQ$18/'Inflation GDP Population'!$T$18</f>
        <v>1525222.063</v>
      </c>
      <c r="AR3" s="160">
        <f>AR5*1000*'Inflation GDP Population'!AR$18/'Inflation GDP Population'!$T$18</f>
        <v>1532718.189</v>
      </c>
      <c r="AS3" s="160">
        <f>AS5*1000*'Inflation GDP Population'!AS$18/'Inflation GDP Population'!$T$18</f>
        <v>1541547.274</v>
      </c>
      <c r="AT3" s="160">
        <f>AT5*1000*'Inflation GDP Population'!AT$18/'Inflation GDP Population'!$T$18</f>
        <v>1550137.498</v>
      </c>
      <c r="AU3" s="160">
        <f>AU5*1000*'Inflation GDP Population'!AU$18/'Inflation GDP Population'!$T$18</f>
        <v>1556791.344</v>
      </c>
      <c r="AV3" s="160">
        <f>AV5*1000*'Inflation GDP Population'!AV$18/'Inflation GDP Population'!$T$18</f>
        <v>1564832.535</v>
      </c>
      <c r="AW3" s="160">
        <f>AW5*1000*'Inflation GDP Population'!AW$18/'Inflation GDP Population'!$T$18</f>
        <v>1572594.962</v>
      </c>
      <c r="AX3" s="160">
        <f>AX5*1000*'Inflation GDP Population'!AX$18/'Inflation GDP Population'!$T$18</f>
        <v>1578279.304</v>
      </c>
      <c r="AY3" s="160">
        <f>AY5*1000*'Inflation GDP Population'!AY$18/'Inflation GDP Population'!$T$18</f>
        <v>1585407.122</v>
      </c>
      <c r="AZ3" s="160">
        <f>AZ5*1000*'Inflation GDP Population'!AZ$18/'Inflation GDP Population'!$T$18</f>
        <v>1592212.36</v>
      </c>
    </row>
    <row r="4" ht="15.0" customHeight="1">
      <c r="A4" s="541" t="s">
        <v>1083</v>
      </c>
      <c r="B4" s="792">
        <f t="shared" ref="B4:J4" si="1">C4</f>
        <v>6363</v>
      </c>
      <c r="C4" s="792">
        <f t="shared" si="1"/>
        <v>6363</v>
      </c>
      <c r="D4" s="792">
        <f t="shared" si="1"/>
        <v>6363</v>
      </c>
      <c r="E4" s="792">
        <f t="shared" si="1"/>
        <v>6363</v>
      </c>
      <c r="F4" s="792">
        <f t="shared" si="1"/>
        <v>6363</v>
      </c>
      <c r="G4" s="792">
        <f t="shared" si="1"/>
        <v>6363</v>
      </c>
      <c r="H4" s="792">
        <f t="shared" si="1"/>
        <v>6363</v>
      </c>
      <c r="I4" s="792">
        <f t="shared" si="1"/>
        <v>6363</v>
      </c>
      <c r="J4" s="792">
        <f t="shared" si="1"/>
        <v>6363</v>
      </c>
      <c r="K4" s="706">
        <v>6363.0</v>
      </c>
      <c r="L4" s="706">
        <v>4838.0</v>
      </c>
      <c r="M4" s="706">
        <v>4569.0</v>
      </c>
      <c r="N4" s="706">
        <v>3715.0</v>
      </c>
      <c r="O4" s="706">
        <v>4039.0</v>
      </c>
      <c r="P4" s="706">
        <v>3884.0</v>
      </c>
      <c r="Q4" s="706">
        <v>3198.0</v>
      </c>
      <c r="R4" s="706">
        <v>2438.0</v>
      </c>
      <c r="S4" s="706">
        <v>2230.0</v>
      </c>
      <c r="T4" s="750">
        <v>1600.0</v>
      </c>
      <c r="U4" s="750">
        <v>1405.0</v>
      </c>
      <c r="V4" s="707">
        <v>1354.0</v>
      </c>
      <c r="W4" s="751">
        <v>1302.0</v>
      </c>
      <c r="X4" s="751">
        <v>1250.0</v>
      </c>
      <c r="Y4" s="751">
        <v>1198.0</v>
      </c>
      <c r="Z4" s="751">
        <v>1147.0</v>
      </c>
      <c r="AA4" s="751">
        <v>1095.0</v>
      </c>
      <c r="AB4" s="751">
        <v>1043.0</v>
      </c>
      <c r="AC4" s="751">
        <v>992.0</v>
      </c>
      <c r="AD4" s="751">
        <v>940.0</v>
      </c>
      <c r="AE4" s="751">
        <v>888.0</v>
      </c>
      <c r="AF4" s="751">
        <v>836.0</v>
      </c>
      <c r="AG4" s="751">
        <v>829.0</v>
      </c>
      <c r="AH4" s="751">
        <v>822.0</v>
      </c>
      <c r="AI4" s="751">
        <v>814.0</v>
      </c>
      <c r="AJ4" s="751">
        <v>807.0</v>
      </c>
      <c r="AK4" s="751">
        <v>799.0</v>
      </c>
      <c r="AL4" s="751">
        <v>792.0</v>
      </c>
      <c r="AM4" s="751">
        <v>784.0</v>
      </c>
      <c r="AN4" s="751">
        <v>777.0</v>
      </c>
      <c r="AO4" s="751">
        <v>770.0</v>
      </c>
      <c r="AP4" s="751">
        <v>762.0</v>
      </c>
      <c r="AQ4" s="751">
        <v>755.0</v>
      </c>
      <c r="AR4" s="751">
        <v>747.0</v>
      </c>
      <c r="AS4" s="751">
        <v>740.0</v>
      </c>
      <c r="AT4" s="751">
        <v>732.0</v>
      </c>
      <c r="AU4" s="751">
        <v>725.0</v>
      </c>
      <c r="AV4" s="751">
        <v>718.0</v>
      </c>
      <c r="AW4" s="751">
        <v>710.0</v>
      </c>
      <c r="AX4" s="751">
        <v>703.0</v>
      </c>
      <c r="AY4" s="751">
        <v>695.0</v>
      </c>
      <c r="AZ4" s="751">
        <v>688.0</v>
      </c>
      <c r="BA4" s="498"/>
    </row>
    <row r="5" ht="15.0" customHeight="1">
      <c r="A5" s="541" t="s">
        <v>1084</v>
      </c>
      <c r="B5" s="793"/>
      <c r="C5" s="793"/>
      <c r="D5" s="793"/>
      <c r="E5" s="793"/>
      <c r="F5" s="793"/>
      <c r="G5" s="793"/>
      <c r="H5" s="793"/>
      <c r="I5" s="793"/>
      <c r="J5" s="793"/>
      <c r="K5" s="793"/>
      <c r="L5" s="793"/>
      <c r="M5" s="793"/>
      <c r="N5" s="793"/>
      <c r="O5" s="793"/>
      <c r="P5" s="793"/>
      <c r="Q5" s="793"/>
      <c r="R5" s="793"/>
      <c r="S5" s="793"/>
      <c r="T5" s="750">
        <v>3054.0</v>
      </c>
      <c r="U5" s="750">
        <v>2796.0</v>
      </c>
      <c r="V5" s="707">
        <v>2644.0</v>
      </c>
      <c r="W5" s="751">
        <v>2492.0</v>
      </c>
      <c r="X5" s="751">
        <v>2340.0</v>
      </c>
      <c r="Y5" s="751">
        <v>2188.0</v>
      </c>
      <c r="Z5" s="751">
        <v>2036.0</v>
      </c>
      <c r="AA5" s="751">
        <v>1884.0</v>
      </c>
      <c r="AB5" s="751">
        <v>1732.0</v>
      </c>
      <c r="AC5" s="751">
        <v>1581.0</v>
      </c>
      <c r="AD5" s="751">
        <v>1429.0</v>
      </c>
      <c r="AE5" s="751">
        <v>1277.0</v>
      </c>
      <c r="AF5" s="751">
        <v>1125.0</v>
      </c>
      <c r="AG5" s="751">
        <v>1111.0</v>
      </c>
      <c r="AH5" s="751">
        <v>1098.0</v>
      </c>
      <c r="AI5" s="751">
        <v>1085.0</v>
      </c>
      <c r="AJ5" s="751">
        <v>1071.0</v>
      </c>
      <c r="AK5" s="751">
        <v>1058.0</v>
      </c>
      <c r="AL5" s="751">
        <v>1045.0</v>
      </c>
      <c r="AM5" s="751">
        <v>1031.0</v>
      </c>
      <c r="AN5" s="751">
        <v>1018.0</v>
      </c>
      <c r="AO5" s="751">
        <v>1004.0</v>
      </c>
      <c r="AP5" s="751">
        <v>991.0</v>
      </c>
      <c r="AQ5" s="751">
        <v>978.0</v>
      </c>
      <c r="AR5" s="751">
        <v>964.0</v>
      </c>
      <c r="AS5" s="751">
        <v>951.0</v>
      </c>
      <c r="AT5" s="751">
        <v>938.0</v>
      </c>
      <c r="AU5" s="751">
        <v>924.0</v>
      </c>
      <c r="AV5" s="751">
        <v>911.0</v>
      </c>
      <c r="AW5" s="751">
        <v>898.0</v>
      </c>
      <c r="AX5" s="751">
        <v>884.0</v>
      </c>
      <c r="AY5" s="751">
        <v>871.0</v>
      </c>
      <c r="AZ5" s="751">
        <v>858.0</v>
      </c>
    </row>
    <row r="6" ht="15.0" customHeight="1">
      <c r="A6" s="535" t="s">
        <v>1085</v>
      </c>
      <c r="B6" s="535"/>
      <c r="C6" s="535"/>
      <c r="D6" s="535"/>
      <c r="E6" s="535"/>
      <c r="F6" s="535"/>
      <c r="G6" s="535"/>
      <c r="H6" s="535"/>
      <c r="I6" s="535"/>
      <c r="J6" s="535"/>
      <c r="K6" s="535"/>
      <c r="L6" s="535"/>
      <c r="M6" s="535"/>
      <c r="N6" s="535"/>
      <c r="O6" s="535"/>
      <c r="P6" s="535"/>
      <c r="Q6" s="535"/>
      <c r="R6" s="535"/>
      <c r="S6" s="535"/>
      <c r="T6" s="535"/>
      <c r="U6" s="535"/>
      <c r="V6" s="536">
        <v>0.0</v>
      </c>
      <c r="W6" s="537">
        <f t="shared" ref="W6:AZ6" si="2">(V4-W4)/V4</f>
        <v>0.03840472674</v>
      </c>
      <c r="X6" s="537">
        <f t="shared" si="2"/>
        <v>0.03993855607</v>
      </c>
      <c r="Y6" s="537">
        <f t="shared" si="2"/>
        <v>0.0416</v>
      </c>
      <c r="Z6" s="537">
        <f t="shared" si="2"/>
        <v>0.04257095159</v>
      </c>
      <c r="AA6" s="537">
        <f t="shared" si="2"/>
        <v>0.04533565824</v>
      </c>
      <c r="AB6" s="537">
        <f t="shared" si="2"/>
        <v>0.04748858447</v>
      </c>
      <c r="AC6" s="537">
        <f t="shared" si="2"/>
        <v>0.04889741131</v>
      </c>
      <c r="AD6" s="537">
        <f t="shared" si="2"/>
        <v>0.05241935484</v>
      </c>
      <c r="AE6" s="537">
        <f t="shared" si="2"/>
        <v>0.05531914894</v>
      </c>
      <c r="AF6" s="537">
        <f t="shared" si="2"/>
        <v>0.05855855856</v>
      </c>
      <c r="AG6" s="537">
        <f t="shared" si="2"/>
        <v>0.008373205742</v>
      </c>
      <c r="AH6" s="537">
        <f t="shared" si="2"/>
        <v>0.008443908323</v>
      </c>
      <c r="AI6" s="537">
        <f t="shared" si="2"/>
        <v>0.009732360097</v>
      </c>
      <c r="AJ6" s="537">
        <f t="shared" si="2"/>
        <v>0.0085995086</v>
      </c>
      <c r="AK6" s="537">
        <f t="shared" si="2"/>
        <v>0.009913258984</v>
      </c>
      <c r="AL6" s="537">
        <f t="shared" si="2"/>
        <v>0.008760951189</v>
      </c>
      <c r="AM6" s="537">
        <f t="shared" si="2"/>
        <v>0.0101010101</v>
      </c>
      <c r="AN6" s="537">
        <f t="shared" si="2"/>
        <v>0.008928571429</v>
      </c>
      <c r="AO6" s="537">
        <f t="shared" si="2"/>
        <v>0.009009009009</v>
      </c>
      <c r="AP6" s="537">
        <f t="shared" si="2"/>
        <v>0.01038961039</v>
      </c>
      <c r="AQ6" s="537">
        <f t="shared" si="2"/>
        <v>0.009186351706</v>
      </c>
      <c r="AR6" s="537">
        <f t="shared" si="2"/>
        <v>0.01059602649</v>
      </c>
      <c r="AS6" s="537">
        <f t="shared" si="2"/>
        <v>0.0093708166</v>
      </c>
      <c r="AT6" s="537">
        <f t="shared" si="2"/>
        <v>0.01081081081</v>
      </c>
      <c r="AU6" s="537">
        <f t="shared" si="2"/>
        <v>0.00956284153</v>
      </c>
      <c r="AV6" s="537">
        <f t="shared" si="2"/>
        <v>0.009655172414</v>
      </c>
      <c r="AW6" s="537">
        <f t="shared" si="2"/>
        <v>0.01114206128</v>
      </c>
      <c r="AX6" s="537">
        <f t="shared" si="2"/>
        <v>0.00985915493</v>
      </c>
      <c r="AY6" s="537">
        <f t="shared" si="2"/>
        <v>0.01137980085</v>
      </c>
      <c r="AZ6" s="537">
        <f t="shared" si="2"/>
        <v>0.01007194245</v>
      </c>
    </row>
    <row r="7" ht="15.0" customHeight="1">
      <c r="A7" s="535" t="s">
        <v>1086</v>
      </c>
      <c r="B7" s="535"/>
      <c r="C7" s="535"/>
      <c r="D7" s="535"/>
      <c r="E7" s="535"/>
      <c r="F7" s="535"/>
      <c r="G7" s="535"/>
      <c r="H7" s="535"/>
      <c r="I7" s="535"/>
      <c r="J7" s="535"/>
      <c r="K7" s="535"/>
      <c r="L7" s="535"/>
      <c r="M7" s="535"/>
      <c r="N7" s="535"/>
      <c r="O7" s="535"/>
      <c r="P7" s="535"/>
      <c r="Q7" s="535"/>
      <c r="R7" s="535"/>
      <c r="S7" s="535"/>
      <c r="T7" s="535"/>
      <c r="U7" s="535"/>
      <c r="V7" s="536">
        <v>0.0</v>
      </c>
      <c r="W7" s="537">
        <f t="shared" ref="W7:AZ7" si="3">(V5-W5)/V5</f>
        <v>0.05748865356</v>
      </c>
      <c r="X7" s="537">
        <f t="shared" si="3"/>
        <v>0.06099518459</v>
      </c>
      <c r="Y7" s="537">
        <f t="shared" si="3"/>
        <v>0.06495726496</v>
      </c>
      <c r="Z7" s="537">
        <f t="shared" si="3"/>
        <v>0.06946983547</v>
      </c>
      <c r="AA7" s="537">
        <f t="shared" si="3"/>
        <v>0.07465618861</v>
      </c>
      <c r="AB7" s="537">
        <f t="shared" si="3"/>
        <v>0.08067940552</v>
      </c>
      <c r="AC7" s="537">
        <f t="shared" si="3"/>
        <v>0.08718244804</v>
      </c>
      <c r="AD7" s="537">
        <f t="shared" si="3"/>
        <v>0.09614168248</v>
      </c>
      <c r="AE7" s="537">
        <f t="shared" si="3"/>
        <v>0.1063680896</v>
      </c>
      <c r="AF7" s="537">
        <f t="shared" si="3"/>
        <v>0.1190289742</v>
      </c>
      <c r="AG7" s="537">
        <f t="shared" si="3"/>
        <v>0.01244444444</v>
      </c>
      <c r="AH7" s="537">
        <f t="shared" si="3"/>
        <v>0.01170117012</v>
      </c>
      <c r="AI7" s="537">
        <f t="shared" si="3"/>
        <v>0.01183970856</v>
      </c>
      <c r="AJ7" s="537">
        <f t="shared" si="3"/>
        <v>0.01290322581</v>
      </c>
      <c r="AK7" s="537">
        <f t="shared" si="3"/>
        <v>0.01213818861</v>
      </c>
      <c r="AL7" s="537">
        <f t="shared" si="3"/>
        <v>0.01228733459</v>
      </c>
      <c r="AM7" s="537">
        <f t="shared" si="3"/>
        <v>0.01339712919</v>
      </c>
      <c r="AN7" s="537">
        <f t="shared" si="3"/>
        <v>0.01260911736</v>
      </c>
      <c r="AO7" s="537">
        <f t="shared" si="3"/>
        <v>0.0137524558</v>
      </c>
      <c r="AP7" s="537">
        <f t="shared" si="3"/>
        <v>0.01294820717</v>
      </c>
      <c r="AQ7" s="537">
        <f t="shared" si="3"/>
        <v>0.01311806256</v>
      </c>
      <c r="AR7" s="537">
        <f t="shared" si="3"/>
        <v>0.01431492843</v>
      </c>
      <c r="AS7" s="537">
        <f t="shared" si="3"/>
        <v>0.01348547718</v>
      </c>
      <c r="AT7" s="537">
        <f t="shared" si="3"/>
        <v>0.01366982124</v>
      </c>
      <c r="AU7" s="537">
        <f t="shared" si="3"/>
        <v>0.01492537313</v>
      </c>
      <c r="AV7" s="537">
        <f t="shared" si="3"/>
        <v>0.01406926407</v>
      </c>
      <c r="AW7" s="537">
        <f t="shared" si="3"/>
        <v>0.01427003293</v>
      </c>
      <c r="AX7" s="537">
        <f t="shared" si="3"/>
        <v>0.01559020045</v>
      </c>
      <c r="AY7" s="537">
        <f t="shared" si="3"/>
        <v>0.01470588235</v>
      </c>
      <c r="AZ7" s="537">
        <f t="shared" si="3"/>
        <v>0.01492537313</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8">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8">
        <f>1-V8</f>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6">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20000.0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1087</v>
      </c>
      <c r="B16" s="535"/>
      <c r="C16" s="535"/>
      <c r="D16" s="535"/>
      <c r="E16" s="535"/>
      <c r="F16" s="535"/>
      <c r="G16" s="535"/>
      <c r="H16" s="535"/>
      <c r="I16" s="535"/>
      <c r="J16" s="535"/>
      <c r="K16" s="535"/>
      <c r="L16" s="535"/>
      <c r="M16" s="535"/>
      <c r="N16" s="535"/>
      <c r="O16" s="535"/>
      <c r="P16" s="535"/>
      <c r="Q16" s="535"/>
      <c r="R16" s="535"/>
      <c r="S16" s="535"/>
      <c r="T16" s="535"/>
      <c r="U16" s="535"/>
      <c r="V16" s="668">
        <v>1.0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1088</v>
      </c>
      <c r="B17" s="535"/>
      <c r="C17" s="535"/>
      <c r="D17" s="535"/>
      <c r="E17" s="535"/>
      <c r="F17" s="535"/>
      <c r="G17" s="535"/>
      <c r="H17" s="535"/>
      <c r="I17" s="535"/>
      <c r="J17" s="535"/>
      <c r="K17" s="535"/>
      <c r="L17" s="535"/>
      <c r="M17" s="535"/>
      <c r="N17" s="535"/>
      <c r="O17" s="535"/>
      <c r="P17" s="535"/>
      <c r="Q17" s="535"/>
      <c r="R17" s="535"/>
      <c r="S17" s="535"/>
      <c r="T17" s="535"/>
      <c r="U17" s="535"/>
      <c r="V17" s="712">
        <v>1.0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1089</v>
      </c>
      <c r="B18" s="535"/>
      <c r="C18" s="535"/>
      <c r="D18" s="535"/>
      <c r="E18" s="535"/>
      <c r="F18" s="535"/>
      <c r="G18" s="535"/>
      <c r="H18" s="535"/>
      <c r="I18" s="535"/>
      <c r="J18" s="535"/>
      <c r="K18" s="535"/>
      <c r="L18" s="535"/>
      <c r="M18" s="535"/>
      <c r="N18" s="535"/>
      <c r="O18" s="535"/>
      <c r="P18" s="535"/>
      <c r="Q18" s="535"/>
      <c r="R18" s="535"/>
      <c r="S18" s="535"/>
      <c r="T18" s="535"/>
      <c r="U18" s="535"/>
      <c r="V18" s="547">
        <f t="shared" ref="V18:V19" si="4">1/V16</f>
        <v>1</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1090</v>
      </c>
      <c r="B19" s="535"/>
      <c r="C19" s="535"/>
      <c r="D19" s="535"/>
      <c r="E19" s="535"/>
      <c r="F19" s="535"/>
      <c r="G19" s="535"/>
      <c r="H19" s="535"/>
      <c r="I19" s="535"/>
      <c r="J19" s="535"/>
      <c r="K19" s="535"/>
      <c r="L19" s="535"/>
      <c r="M19" s="535"/>
      <c r="N19" s="535"/>
      <c r="O19" s="535"/>
      <c r="P19" s="535"/>
      <c r="Q19" s="535"/>
      <c r="R19" s="535"/>
      <c r="S19" s="535"/>
      <c r="T19" s="535"/>
      <c r="U19" s="535"/>
      <c r="V19" s="547">
        <f t="shared" si="4"/>
        <v>1</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1091</v>
      </c>
      <c r="B20" s="546">
        <v>0.5806174456744222</v>
      </c>
      <c r="C20" s="546">
        <v>0.5806174456744222</v>
      </c>
      <c r="D20" s="546">
        <v>0.5806174456744222</v>
      </c>
      <c r="E20" s="546">
        <v>0.5806174456744222</v>
      </c>
      <c r="F20" s="546">
        <v>0.5806174456744222</v>
      </c>
      <c r="G20" s="546">
        <v>0.5806174456744222</v>
      </c>
      <c r="H20" s="546">
        <v>0.5806174456744222</v>
      </c>
      <c r="I20" s="546">
        <v>0.5806174456744222</v>
      </c>
      <c r="J20" s="546">
        <v>0.5806174456744222</v>
      </c>
      <c r="K20" s="546">
        <v>0.5806174456744222</v>
      </c>
      <c r="L20" s="546">
        <v>0.5806174456744222</v>
      </c>
      <c r="M20" s="546">
        <v>0.5806174456744222</v>
      </c>
      <c r="N20" s="546">
        <v>0.5806174456744222</v>
      </c>
      <c r="O20" s="546">
        <v>0.5806174456744222</v>
      </c>
      <c r="P20" s="546">
        <v>0.5806174456744222</v>
      </c>
      <c r="Q20" s="546">
        <v>0.5806174456744222</v>
      </c>
      <c r="R20" s="546">
        <v>0.5806174456744222</v>
      </c>
      <c r="S20" s="546">
        <v>0.5712803439148553</v>
      </c>
      <c r="T20" s="546">
        <v>0.5514831998661481</v>
      </c>
      <c r="U20" s="546">
        <v>0.5856833464852841</v>
      </c>
      <c r="V20" s="547">
        <v>0.5766693103096464</v>
      </c>
      <c r="W20" s="794">
        <v>1.0</v>
      </c>
      <c r="X20" s="794">
        <v>1.0</v>
      </c>
      <c r="Y20" s="794">
        <v>1.0</v>
      </c>
      <c r="Z20" s="794">
        <v>1.0</v>
      </c>
      <c r="AA20" s="794">
        <v>1.0</v>
      </c>
      <c r="AB20" s="794">
        <v>1.0</v>
      </c>
      <c r="AC20" s="794">
        <v>1.0</v>
      </c>
      <c r="AD20" s="794">
        <v>1.0</v>
      </c>
      <c r="AE20" s="794">
        <v>1.0</v>
      </c>
      <c r="AF20" s="794">
        <v>1.0</v>
      </c>
      <c r="AG20" s="794">
        <v>1.0</v>
      </c>
      <c r="AH20" s="794">
        <v>1.0</v>
      </c>
      <c r="AI20" s="794">
        <v>1.0</v>
      </c>
      <c r="AJ20" s="794">
        <v>1.0</v>
      </c>
      <c r="AK20" s="794">
        <v>1.0</v>
      </c>
      <c r="AL20" s="794">
        <v>1.0</v>
      </c>
      <c r="AM20" s="794">
        <v>1.0</v>
      </c>
      <c r="AN20" s="794">
        <v>1.0</v>
      </c>
      <c r="AO20" s="794">
        <v>1.0</v>
      </c>
      <c r="AP20" s="794">
        <v>1.0</v>
      </c>
      <c r="AQ20" s="794">
        <v>1.0</v>
      </c>
      <c r="AR20" s="794">
        <v>1.0</v>
      </c>
      <c r="AS20" s="794">
        <v>1.0</v>
      </c>
      <c r="AT20" s="794">
        <v>1.0</v>
      </c>
      <c r="AU20" s="794">
        <v>1.0</v>
      </c>
      <c r="AV20" s="794">
        <v>1.0</v>
      </c>
      <c r="AW20" s="794">
        <v>1.0</v>
      </c>
      <c r="AX20" s="794">
        <v>1.0</v>
      </c>
      <c r="AY20" s="794">
        <v>1.0</v>
      </c>
      <c r="AZ20" s="794">
        <v>1.0</v>
      </c>
    </row>
    <row r="21" ht="15.0" customHeight="1">
      <c r="A21" s="535" t="s">
        <v>1092</v>
      </c>
      <c r="B21" s="546">
        <v>0.4193825543255778</v>
      </c>
      <c r="C21" s="546">
        <v>0.4193825543255778</v>
      </c>
      <c r="D21" s="546">
        <v>0.4193825543255778</v>
      </c>
      <c r="E21" s="546">
        <v>0.4193825543255778</v>
      </c>
      <c r="F21" s="546">
        <v>0.4193825543255778</v>
      </c>
      <c r="G21" s="546">
        <v>0.4193825543255778</v>
      </c>
      <c r="H21" s="546">
        <v>0.4193825543255778</v>
      </c>
      <c r="I21" s="546">
        <v>0.4193825543255778</v>
      </c>
      <c r="J21" s="546">
        <v>0.4193825543255778</v>
      </c>
      <c r="K21" s="546">
        <v>0.4193825543255778</v>
      </c>
      <c r="L21" s="546">
        <v>0.4193825543255778</v>
      </c>
      <c r="M21" s="546">
        <v>0.4193825543255778</v>
      </c>
      <c r="N21" s="546">
        <v>0.4193825543255778</v>
      </c>
      <c r="O21" s="546">
        <v>0.4193825543255778</v>
      </c>
      <c r="P21" s="546">
        <v>0.4193825543255778</v>
      </c>
      <c r="Q21" s="546">
        <v>0.4193825543255778</v>
      </c>
      <c r="R21" s="546">
        <v>0.4193825543255778</v>
      </c>
      <c r="S21" s="546">
        <v>0.42871965608514473</v>
      </c>
      <c r="T21" s="546">
        <v>0.44851680013385187</v>
      </c>
      <c r="U21" s="546">
        <v>0.4143166535147159</v>
      </c>
      <c r="V21" s="547">
        <v>0.4233306896903536</v>
      </c>
      <c r="W21" s="539">
        <f t="shared" ref="W21:AZ21" si="5">1-W20</f>
        <v>0</v>
      </c>
      <c r="X21" s="539">
        <f t="shared" si="5"/>
        <v>0</v>
      </c>
      <c r="Y21" s="539">
        <f t="shared" si="5"/>
        <v>0</v>
      </c>
      <c r="Z21" s="539">
        <f t="shared" si="5"/>
        <v>0</v>
      </c>
      <c r="AA21" s="539">
        <f t="shared" si="5"/>
        <v>0</v>
      </c>
      <c r="AB21" s="539">
        <f t="shared" si="5"/>
        <v>0</v>
      </c>
      <c r="AC21" s="539">
        <f t="shared" si="5"/>
        <v>0</v>
      </c>
      <c r="AD21" s="539">
        <f t="shared" si="5"/>
        <v>0</v>
      </c>
      <c r="AE21" s="539">
        <f t="shared" si="5"/>
        <v>0</v>
      </c>
      <c r="AF21" s="539">
        <f t="shared" si="5"/>
        <v>0</v>
      </c>
      <c r="AG21" s="539">
        <f t="shared" si="5"/>
        <v>0</v>
      </c>
      <c r="AH21" s="539">
        <f t="shared" si="5"/>
        <v>0</v>
      </c>
      <c r="AI21" s="539">
        <f t="shared" si="5"/>
        <v>0</v>
      </c>
      <c r="AJ21" s="539">
        <f t="shared" si="5"/>
        <v>0</v>
      </c>
      <c r="AK21" s="539">
        <f t="shared" si="5"/>
        <v>0</v>
      </c>
      <c r="AL21" s="539">
        <f t="shared" si="5"/>
        <v>0</v>
      </c>
      <c r="AM21" s="539">
        <f t="shared" si="5"/>
        <v>0</v>
      </c>
      <c r="AN21" s="539">
        <f t="shared" si="5"/>
        <v>0</v>
      </c>
      <c r="AO21" s="539">
        <f t="shared" si="5"/>
        <v>0</v>
      </c>
      <c r="AP21" s="539">
        <f t="shared" si="5"/>
        <v>0</v>
      </c>
      <c r="AQ21" s="539">
        <f t="shared" si="5"/>
        <v>0</v>
      </c>
      <c r="AR21" s="539">
        <f t="shared" si="5"/>
        <v>0</v>
      </c>
      <c r="AS21" s="539">
        <f t="shared" si="5"/>
        <v>0</v>
      </c>
      <c r="AT21" s="539">
        <f t="shared" si="5"/>
        <v>0</v>
      </c>
      <c r="AU21" s="539">
        <f t="shared" si="5"/>
        <v>0</v>
      </c>
      <c r="AV21" s="539">
        <f t="shared" si="5"/>
        <v>0</v>
      </c>
      <c r="AW21" s="539">
        <f t="shared" si="5"/>
        <v>0</v>
      </c>
      <c r="AX21" s="539">
        <f t="shared" si="5"/>
        <v>0</v>
      </c>
      <c r="AY21" s="539">
        <f t="shared" si="5"/>
        <v>0</v>
      </c>
      <c r="AZ21" s="539">
        <f t="shared" si="5"/>
        <v>0</v>
      </c>
    </row>
    <row r="22" ht="15.0" customHeight="1">
      <c r="A22" s="535" t="s">
        <v>1093</v>
      </c>
      <c r="B22" s="546">
        <v>0.18717111631928426</v>
      </c>
      <c r="C22" s="546">
        <v>0.18717111631928426</v>
      </c>
      <c r="D22" s="546">
        <v>0.18717111631928426</v>
      </c>
      <c r="E22" s="546">
        <v>0.18717111631928426</v>
      </c>
      <c r="F22" s="546">
        <v>0.18717111631928426</v>
      </c>
      <c r="G22" s="546">
        <v>0.18717111631928426</v>
      </c>
      <c r="H22" s="546">
        <v>0.18717111631928426</v>
      </c>
      <c r="I22" s="546">
        <v>0.18717111631928426</v>
      </c>
      <c r="J22" s="546">
        <v>0.18717111631928426</v>
      </c>
      <c r="K22" s="546">
        <v>0.18717111631928426</v>
      </c>
      <c r="L22" s="546">
        <v>0.18717111631928426</v>
      </c>
      <c r="M22" s="546">
        <v>0.18717111631928426</v>
      </c>
      <c r="N22" s="546">
        <v>0.18717111631928426</v>
      </c>
      <c r="O22" s="546">
        <v>0.18717111631928426</v>
      </c>
      <c r="P22" s="546">
        <v>0.18717111631928426</v>
      </c>
      <c r="Q22" s="546">
        <v>0.18717111631928426</v>
      </c>
      <c r="R22" s="546">
        <v>0.18717111631928426</v>
      </c>
      <c r="S22" s="546">
        <v>0.19789734631468664</v>
      </c>
      <c r="T22" s="546">
        <v>0.1983417594270287</v>
      </c>
      <c r="U22" s="546">
        <v>0.20786108901731973</v>
      </c>
      <c r="V22" s="752">
        <v>0.2287251602030784</v>
      </c>
      <c r="W22" s="777">
        <v>0.23605005188775016</v>
      </c>
      <c r="X22" s="777">
        <v>0.23933718812328725</v>
      </c>
      <c r="Y22" s="777">
        <v>0.23927149977371392</v>
      </c>
      <c r="Z22" s="777">
        <v>0.2392330730400443</v>
      </c>
      <c r="AA22" s="777">
        <v>0.24017223311745806</v>
      </c>
      <c r="AB22" s="777">
        <v>0.24316422387110323</v>
      </c>
      <c r="AC22" s="777">
        <v>0.2452287774277321</v>
      </c>
      <c r="AD22" s="777">
        <v>0.2460976219614568</v>
      </c>
      <c r="AE22" s="777">
        <v>0.24787697650583465</v>
      </c>
      <c r="AF22" s="777">
        <v>0.24933991796709862</v>
      </c>
      <c r="AG22" s="777">
        <v>0.2532019295565135</v>
      </c>
      <c r="AH22" s="777">
        <v>0.2562230802014891</v>
      </c>
      <c r="AI22" s="777">
        <v>0.25892884396716254</v>
      </c>
      <c r="AJ22" s="777">
        <v>0.26086546057039967</v>
      </c>
      <c r="AK22" s="777">
        <v>0.2636470953798487</v>
      </c>
      <c r="AL22" s="777">
        <v>0.26887560295011886</v>
      </c>
      <c r="AM22" s="777">
        <v>0.2694243481324081</v>
      </c>
      <c r="AN22" s="777">
        <v>0.27073856555564385</v>
      </c>
      <c r="AO22" s="777">
        <v>0.27198263657958055</v>
      </c>
      <c r="AP22" s="777">
        <v>0.2718353192581169</v>
      </c>
      <c r="AQ22" s="777">
        <v>0.27025665533093957</v>
      </c>
      <c r="AR22" s="777">
        <v>0.27013294208630145</v>
      </c>
      <c r="AS22" s="777">
        <v>0.2704992593499199</v>
      </c>
      <c r="AT22" s="777">
        <v>0.2689846523515974</v>
      </c>
      <c r="AU22" s="777">
        <v>0.26877702158367356</v>
      </c>
      <c r="AV22" s="777">
        <v>0.2677376388204905</v>
      </c>
      <c r="AW22" s="777">
        <v>0.26678640733305636</v>
      </c>
      <c r="AX22" s="777">
        <v>0.26968102104061165</v>
      </c>
      <c r="AY22" s="777">
        <v>0.2699790581269635</v>
      </c>
      <c r="AZ22" s="777">
        <v>0.2699689665479468</v>
      </c>
    </row>
    <row r="23" ht="15.0" customHeight="1">
      <c r="A23" s="535" t="s">
        <v>1094</v>
      </c>
      <c r="B23" s="795">
        <f t="shared" ref="B23:U23" si="6">C23</f>
        <v>0.27</v>
      </c>
      <c r="C23" s="795">
        <f t="shared" si="6"/>
        <v>0.27</v>
      </c>
      <c r="D23" s="795">
        <f t="shared" si="6"/>
        <v>0.27</v>
      </c>
      <c r="E23" s="795">
        <f t="shared" si="6"/>
        <v>0.27</v>
      </c>
      <c r="F23" s="795">
        <f t="shared" si="6"/>
        <v>0.27</v>
      </c>
      <c r="G23" s="795">
        <f t="shared" si="6"/>
        <v>0.27</v>
      </c>
      <c r="H23" s="795">
        <f t="shared" si="6"/>
        <v>0.27</v>
      </c>
      <c r="I23" s="795">
        <f t="shared" si="6"/>
        <v>0.27</v>
      </c>
      <c r="J23" s="795">
        <f t="shared" si="6"/>
        <v>0.27</v>
      </c>
      <c r="K23" s="795">
        <f t="shared" si="6"/>
        <v>0.27</v>
      </c>
      <c r="L23" s="795">
        <f t="shared" si="6"/>
        <v>0.27</v>
      </c>
      <c r="M23" s="795">
        <f t="shared" si="6"/>
        <v>0.27</v>
      </c>
      <c r="N23" s="795">
        <f t="shared" si="6"/>
        <v>0.27</v>
      </c>
      <c r="O23" s="795">
        <f t="shared" si="6"/>
        <v>0.27</v>
      </c>
      <c r="P23" s="795">
        <f t="shared" si="6"/>
        <v>0.27</v>
      </c>
      <c r="Q23" s="795">
        <f t="shared" si="6"/>
        <v>0.27</v>
      </c>
      <c r="R23" s="795">
        <f t="shared" si="6"/>
        <v>0.27</v>
      </c>
      <c r="S23" s="795">
        <f t="shared" si="6"/>
        <v>0.27</v>
      </c>
      <c r="T23" s="795">
        <f t="shared" si="6"/>
        <v>0.27</v>
      </c>
      <c r="U23" s="795">
        <f t="shared" si="6"/>
        <v>0.27</v>
      </c>
      <c r="V23" s="752">
        <v>0.27</v>
      </c>
      <c r="W23" s="777">
        <f t="shared" ref="W23:AZ23" si="7">V23</f>
        <v>0.27</v>
      </c>
      <c r="X23" s="777">
        <f t="shared" si="7"/>
        <v>0.27</v>
      </c>
      <c r="Y23" s="777">
        <f t="shared" si="7"/>
        <v>0.27</v>
      </c>
      <c r="Z23" s="777">
        <f t="shared" si="7"/>
        <v>0.27</v>
      </c>
      <c r="AA23" s="777">
        <f t="shared" si="7"/>
        <v>0.27</v>
      </c>
      <c r="AB23" s="777">
        <f t="shared" si="7"/>
        <v>0.27</v>
      </c>
      <c r="AC23" s="777">
        <f t="shared" si="7"/>
        <v>0.27</v>
      </c>
      <c r="AD23" s="777">
        <f t="shared" si="7"/>
        <v>0.27</v>
      </c>
      <c r="AE23" s="777">
        <f t="shared" si="7"/>
        <v>0.27</v>
      </c>
      <c r="AF23" s="777">
        <f t="shared" si="7"/>
        <v>0.27</v>
      </c>
      <c r="AG23" s="777">
        <f t="shared" si="7"/>
        <v>0.27</v>
      </c>
      <c r="AH23" s="777">
        <f t="shared" si="7"/>
        <v>0.27</v>
      </c>
      <c r="AI23" s="777">
        <f t="shared" si="7"/>
        <v>0.27</v>
      </c>
      <c r="AJ23" s="777">
        <f t="shared" si="7"/>
        <v>0.27</v>
      </c>
      <c r="AK23" s="777">
        <f t="shared" si="7"/>
        <v>0.27</v>
      </c>
      <c r="AL23" s="777">
        <f t="shared" si="7"/>
        <v>0.27</v>
      </c>
      <c r="AM23" s="777">
        <f t="shared" si="7"/>
        <v>0.27</v>
      </c>
      <c r="AN23" s="777">
        <f t="shared" si="7"/>
        <v>0.27</v>
      </c>
      <c r="AO23" s="777">
        <f t="shared" si="7"/>
        <v>0.27</v>
      </c>
      <c r="AP23" s="777">
        <f t="shared" si="7"/>
        <v>0.27</v>
      </c>
      <c r="AQ23" s="777">
        <f t="shared" si="7"/>
        <v>0.27</v>
      </c>
      <c r="AR23" s="777">
        <f t="shared" si="7"/>
        <v>0.27</v>
      </c>
      <c r="AS23" s="777">
        <f t="shared" si="7"/>
        <v>0.27</v>
      </c>
      <c r="AT23" s="777">
        <f t="shared" si="7"/>
        <v>0.27</v>
      </c>
      <c r="AU23" s="777">
        <f t="shared" si="7"/>
        <v>0.27</v>
      </c>
      <c r="AV23" s="777">
        <f t="shared" si="7"/>
        <v>0.27</v>
      </c>
      <c r="AW23" s="777">
        <f t="shared" si="7"/>
        <v>0.27</v>
      </c>
      <c r="AX23" s="777">
        <f t="shared" si="7"/>
        <v>0.27</v>
      </c>
      <c r="AY23" s="777">
        <f t="shared" si="7"/>
        <v>0.27</v>
      </c>
      <c r="AZ23" s="777">
        <f t="shared" si="7"/>
        <v>0.27</v>
      </c>
    </row>
    <row r="24" ht="15.0" customHeight="1">
      <c r="A24" s="535" t="s">
        <v>1095</v>
      </c>
      <c r="B24" s="546">
        <v>0.157914539564998</v>
      </c>
      <c r="C24" s="546">
        <v>0.157914539564998</v>
      </c>
      <c r="D24" s="546">
        <v>0.157914539564998</v>
      </c>
      <c r="E24" s="546">
        <v>0.157914539564998</v>
      </c>
      <c r="F24" s="546">
        <v>0.157914539564998</v>
      </c>
      <c r="G24" s="546">
        <v>0.157914539564998</v>
      </c>
      <c r="H24" s="546">
        <v>0.157914539564998</v>
      </c>
      <c r="I24" s="546">
        <v>0.157914539564998</v>
      </c>
      <c r="J24" s="546">
        <v>0.157914539564998</v>
      </c>
      <c r="K24" s="546">
        <v>0.157914539564998</v>
      </c>
      <c r="L24" s="546">
        <v>0.157914539564998</v>
      </c>
      <c r="M24" s="546">
        <v>0.157914539564998</v>
      </c>
      <c r="N24" s="546">
        <v>0.157914539564998</v>
      </c>
      <c r="O24" s="546">
        <v>0.157914539564998</v>
      </c>
      <c r="P24" s="546">
        <v>0.157914539564998</v>
      </c>
      <c r="Q24" s="546">
        <v>0.157914539564998</v>
      </c>
      <c r="R24" s="546">
        <v>0.157914539564998</v>
      </c>
      <c r="S24" s="546">
        <v>0.1584291700890819</v>
      </c>
      <c r="T24" s="546">
        <v>0.1585459323747011</v>
      </c>
      <c r="U24" s="546">
        <v>0.15870943785720082</v>
      </c>
      <c r="V24" s="752">
        <v>0.15886581937348507</v>
      </c>
      <c r="W24" s="777">
        <v>0.15902097326613462</v>
      </c>
      <c r="X24" s="777">
        <v>0.15913396892555956</v>
      </c>
      <c r="Y24" s="777">
        <v>0.15932827326890395</v>
      </c>
      <c r="Z24" s="777">
        <v>0.1595434843442514</v>
      </c>
      <c r="AA24" s="777">
        <v>0.1597868383302151</v>
      </c>
      <c r="AB24" s="777">
        <v>0.1600681602752794</v>
      </c>
      <c r="AC24" s="777">
        <v>0.16037637062000304</v>
      </c>
      <c r="AD24" s="777">
        <v>0.16070065497091468</v>
      </c>
      <c r="AE24" s="777">
        <v>0.1610409127667849</v>
      </c>
      <c r="AF24" s="777">
        <v>0.16139545587644863</v>
      </c>
      <c r="AG24" s="777">
        <v>0.1617524045874206</v>
      </c>
      <c r="AH24" s="777">
        <v>0.16210376300991153</v>
      </c>
      <c r="AI24" s="777">
        <v>0.1624396728877959</v>
      </c>
      <c r="AJ24" s="777">
        <v>0.1627571808901108</v>
      </c>
      <c r="AK24" s="777">
        <v>0.16306336806438643</v>
      </c>
      <c r="AL24" s="777">
        <v>0.16336011297580674</v>
      </c>
      <c r="AM24" s="777">
        <v>0.16364352173301738</v>
      </c>
      <c r="AN24" s="777">
        <v>0.16391981549069143</v>
      </c>
      <c r="AO24" s="777">
        <v>0.16418430545794627</v>
      </c>
      <c r="AP24" s="777">
        <v>0.16444189515802649</v>
      </c>
      <c r="AQ24" s="777">
        <v>0.16469000896032981</v>
      </c>
      <c r="AR24" s="777">
        <v>0.1649313908711329</v>
      </c>
      <c r="AS24" s="777">
        <v>0.16517084697317647</v>
      </c>
      <c r="AT24" s="777">
        <v>0.16540351423671498</v>
      </c>
      <c r="AU24" s="777">
        <v>0.1656300766221404</v>
      </c>
      <c r="AV24" s="777">
        <v>0.1658559638682059</v>
      </c>
      <c r="AW24" s="777">
        <v>0.16607834845892372</v>
      </c>
      <c r="AX24" s="777">
        <v>0.1662985219395502</v>
      </c>
      <c r="AY24" s="777">
        <v>0.16651950602560478</v>
      </c>
      <c r="AZ24" s="777">
        <v>0.1667361592603825</v>
      </c>
    </row>
    <row r="25" ht="15.0" customHeight="1">
      <c r="A25" s="535" t="s">
        <v>1096</v>
      </c>
      <c r="B25" s="795">
        <f t="shared" ref="B25:U25" si="8">C25</f>
        <v>0.18</v>
      </c>
      <c r="C25" s="795">
        <f t="shared" si="8"/>
        <v>0.18</v>
      </c>
      <c r="D25" s="795">
        <f t="shared" si="8"/>
        <v>0.18</v>
      </c>
      <c r="E25" s="795">
        <f t="shared" si="8"/>
        <v>0.18</v>
      </c>
      <c r="F25" s="795">
        <f t="shared" si="8"/>
        <v>0.18</v>
      </c>
      <c r="G25" s="795">
        <f t="shared" si="8"/>
        <v>0.18</v>
      </c>
      <c r="H25" s="795">
        <f t="shared" si="8"/>
        <v>0.18</v>
      </c>
      <c r="I25" s="795">
        <f t="shared" si="8"/>
        <v>0.18</v>
      </c>
      <c r="J25" s="795">
        <f t="shared" si="8"/>
        <v>0.18</v>
      </c>
      <c r="K25" s="795">
        <f t="shared" si="8"/>
        <v>0.18</v>
      </c>
      <c r="L25" s="795">
        <f t="shared" si="8"/>
        <v>0.18</v>
      </c>
      <c r="M25" s="795">
        <f t="shared" si="8"/>
        <v>0.18</v>
      </c>
      <c r="N25" s="795">
        <f t="shared" si="8"/>
        <v>0.18</v>
      </c>
      <c r="O25" s="795">
        <f t="shared" si="8"/>
        <v>0.18</v>
      </c>
      <c r="P25" s="795">
        <f t="shared" si="8"/>
        <v>0.18</v>
      </c>
      <c r="Q25" s="795">
        <f t="shared" si="8"/>
        <v>0.18</v>
      </c>
      <c r="R25" s="795">
        <f t="shared" si="8"/>
        <v>0.18</v>
      </c>
      <c r="S25" s="795">
        <f t="shared" si="8"/>
        <v>0.18</v>
      </c>
      <c r="T25" s="795">
        <f t="shared" si="8"/>
        <v>0.18</v>
      </c>
      <c r="U25" s="795">
        <f t="shared" si="8"/>
        <v>0.18</v>
      </c>
      <c r="V25" s="752">
        <v>0.18</v>
      </c>
      <c r="W25" s="777">
        <f t="shared" ref="W25:AZ25" si="9">V25</f>
        <v>0.18</v>
      </c>
      <c r="X25" s="777">
        <f t="shared" si="9"/>
        <v>0.18</v>
      </c>
      <c r="Y25" s="777">
        <f t="shared" si="9"/>
        <v>0.18</v>
      </c>
      <c r="Z25" s="777">
        <f t="shared" si="9"/>
        <v>0.18</v>
      </c>
      <c r="AA25" s="777">
        <f t="shared" si="9"/>
        <v>0.18</v>
      </c>
      <c r="AB25" s="777">
        <f t="shared" si="9"/>
        <v>0.18</v>
      </c>
      <c r="AC25" s="777">
        <f t="shared" si="9"/>
        <v>0.18</v>
      </c>
      <c r="AD25" s="777">
        <f t="shared" si="9"/>
        <v>0.18</v>
      </c>
      <c r="AE25" s="777">
        <f t="shared" si="9"/>
        <v>0.18</v>
      </c>
      <c r="AF25" s="777">
        <f t="shared" si="9"/>
        <v>0.18</v>
      </c>
      <c r="AG25" s="777">
        <f t="shared" si="9"/>
        <v>0.18</v>
      </c>
      <c r="AH25" s="777">
        <f t="shared" si="9"/>
        <v>0.18</v>
      </c>
      <c r="AI25" s="777">
        <f t="shared" si="9"/>
        <v>0.18</v>
      </c>
      <c r="AJ25" s="777">
        <f t="shared" si="9"/>
        <v>0.18</v>
      </c>
      <c r="AK25" s="777">
        <f t="shared" si="9"/>
        <v>0.18</v>
      </c>
      <c r="AL25" s="777">
        <f t="shared" si="9"/>
        <v>0.18</v>
      </c>
      <c r="AM25" s="777">
        <f t="shared" si="9"/>
        <v>0.18</v>
      </c>
      <c r="AN25" s="777">
        <f t="shared" si="9"/>
        <v>0.18</v>
      </c>
      <c r="AO25" s="777">
        <f t="shared" si="9"/>
        <v>0.18</v>
      </c>
      <c r="AP25" s="777">
        <f t="shared" si="9"/>
        <v>0.18</v>
      </c>
      <c r="AQ25" s="777">
        <f t="shared" si="9"/>
        <v>0.18</v>
      </c>
      <c r="AR25" s="777">
        <f t="shared" si="9"/>
        <v>0.18</v>
      </c>
      <c r="AS25" s="777">
        <f t="shared" si="9"/>
        <v>0.18</v>
      </c>
      <c r="AT25" s="777">
        <f t="shared" si="9"/>
        <v>0.18</v>
      </c>
      <c r="AU25" s="777">
        <f t="shared" si="9"/>
        <v>0.18</v>
      </c>
      <c r="AV25" s="777">
        <f t="shared" si="9"/>
        <v>0.18</v>
      </c>
      <c r="AW25" s="777">
        <f t="shared" si="9"/>
        <v>0.18</v>
      </c>
      <c r="AX25" s="777">
        <f t="shared" si="9"/>
        <v>0.18</v>
      </c>
      <c r="AY25" s="777">
        <f t="shared" si="9"/>
        <v>0.18</v>
      </c>
      <c r="AZ25" s="777">
        <f t="shared" si="9"/>
        <v>0.18</v>
      </c>
    </row>
    <row r="26" ht="15.0" customHeight="1">
      <c r="A26" s="535" t="s">
        <v>98</v>
      </c>
      <c r="B26" s="535"/>
      <c r="C26" s="535"/>
      <c r="D26" s="535"/>
      <c r="E26" s="535"/>
      <c r="F26" s="535"/>
      <c r="G26" s="535"/>
      <c r="H26" s="535"/>
      <c r="I26" s="535"/>
      <c r="J26" s="535"/>
      <c r="K26" s="535"/>
      <c r="L26" s="535"/>
      <c r="M26" s="535"/>
      <c r="N26" s="535"/>
      <c r="O26" s="535"/>
      <c r="P26" s="535"/>
      <c r="Q26" s="535"/>
      <c r="R26" s="535"/>
      <c r="S26" s="535"/>
      <c r="T26" s="535"/>
      <c r="U26" s="535"/>
      <c r="V26" s="547">
        <v>0.0</v>
      </c>
      <c r="W26" s="208">
        <f t="shared" ref="W26:AZ26" si="10">V26</f>
        <v>0</v>
      </c>
      <c r="X26" s="208">
        <f t="shared" si="10"/>
        <v>0</v>
      </c>
      <c r="Y26" s="208">
        <f t="shared" si="10"/>
        <v>0</v>
      </c>
      <c r="Z26" s="208">
        <f t="shared" si="10"/>
        <v>0</v>
      </c>
      <c r="AA26" s="208">
        <f t="shared" si="10"/>
        <v>0</v>
      </c>
      <c r="AB26" s="208">
        <f t="shared" si="10"/>
        <v>0</v>
      </c>
      <c r="AC26" s="208">
        <f t="shared" si="10"/>
        <v>0</v>
      </c>
      <c r="AD26" s="208">
        <f t="shared" si="10"/>
        <v>0</v>
      </c>
      <c r="AE26" s="208">
        <f t="shared" si="10"/>
        <v>0</v>
      </c>
      <c r="AF26" s="208">
        <f t="shared" si="10"/>
        <v>0</v>
      </c>
      <c r="AG26" s="208">
        <f t="shared" si="10"/>
        <v>0</v>
      </c>
      <c r="AH26" s="208">
        <f t="shared" si="10"/>
        <v>0</v>
      </c>
      <c r="AI26" s="208">
        <f t="shared" si="10"/>
        <v>0</v>
      </c>
      <c r="AJ26" s="208">
        <f t="shared" si="10"/>
        <v>0</v>
      </c>
      <c r="AK26" s="208">
        <f t="shared" si="10"/>
        <v>0</v>
      </c>
      <c r="AL26" s="208">
        <f t="shared" si="10"/>
        <v>0</v>
      </c>
      <c r="AM26" s="208">
        <f t="shared" si="10"/>
        <v>0</v>
      </c>
      <c r="AN26" s="208">
        <f t="shared" si="10"/>
        <v>0</v>
      </c>
      <c r="AO26" s="208">
        <f t="shared" si="10"/>
        <v>0</v>
      </c>
      <c r="AP26" s="208">
        <f t="shared" si="10"/>
        <v>0</v>
      </c>
      <c r="AQ26" s="208">
        <f t="shared" si="10"/>
        <v>0</v>
      </c>
      <c r="AR26" s="208">
        <f t="shared" si="10"/>
        <v>0</v>
      </c>
      <c r="AS26" s="208">
        <f t="shared" si="10"/>
        <v>0</v>
      </c>
      <c r="AT26" s="208">
        <f t="shared" si="10"/>
        <v>0</v>
      </c>
      <c r="AU26" s="208">
        <f t="shared" si="10"/>
        <v>0</v>
      </c>
      <c r="AV26" s="208">
        <f t="shared" si="10"/>
        <v>0</v>
      </c>
      <c r="AW26" s="208">
        <f t="shared" si="10"/>
        <v>0</v>
      </c>
      <c r="AX26" s="208">
        <f t="shared" si="10"/>
        <v>0</v>
      </c>
      <c r="AY26" s="208">
        <f t="shared" si="10"/>
        <v>0</v>
      </c>
      <c r="AZ26" s="208">
        <f t="shared" si="10"/>
        <v>0</v>
      </c>
    </row>
    <row r="27" ht="15.0" customHeight="1">
      <c r="A27" s="535" t="s">
        <v>1097</v>
      </c>
      <c r="B27" s="160">
        <f>B29*1000*'Inflation GDP Population'!B$18/'Inflation GDP Population'!$T$18</f>
        <v>23950.72988</v>
      </c>
      <c r="C27" s="160">
        <f>C29*1000*'Inflation GDP Population'!C$18/'Inflation GDP Population'!$T$18</f>
        <v>23685.6729</v>
      </c>
      <c r="D27" s="160">
        <f>D29*1000*'Inflation GDP Population'!D$18/'Inflation GDP Population'!$T$18</f>
        <v>23283.34995</v>
      </c>
      <c r="E27" s="160">
        <f>E29*1000*'Inflation GDP Population'!E$18/'Inflation GDP Population'!$T$18</f>
        <v>22949.90718</v>
      </c>
      <c r="F27" s="160">
        <f>F29*1000*'Inflation GDP Population'!F$18/'Inflation GDP Population'!$T$18</f>
        <v>22806.70008</v>
      </c>
      <c r="G27" s="160">
        <f>G29*1000*'Inflation GDP Population'!G$18/'Inflation GDP Population'!$T$18</f>
        <v>22757.67943</v>
      </c>
      <c r="H27" s="160">
        <f>H29*1000*'Inflation GDP Population'!H$18/'Inflation GDP Population'!$T$18</f>
        <v>22689.23051</v>
      </c>
      <c r="I27" s="160">
        <f>I29*1000*'Inflation GDP Population'!I$18/'Inflation GDP Population'!$T$18</f>
        <v>22546.35594</v>
      </c>
      <c r="J27" s="160">
        <f>J29*1000*'Inflation GDP Population'!J$18/'Inflation GDP Population'!$T$18</f>
        <v>22242.66883</v>
      </c>
      <c r="K27" s="160">
        <f>K29*1000*'Inflation GDP Population'!K$18/'Inflation GDP Population'!$T$18</f>
        <v>21688.4834</v>
      </c>
      <c r="L27" s="160">
        <f>L29*1000*'Inflation GDP Population'!L$18/'Inflation GDP Population'!$T$18</f>
        <v>21232.67022</v>
      </c>
      <c r="M27" s="160">
        <f>M29*1000*'Inflation GDP Population'!M$18/'Inflation GDP Population'!$T$18</f>
        <v>20976.22147</v>
      </c>
      <c r="N27" s="160">
        <f>N29*1000*'Inflation GDP Population'!N$18/'Inflation GDP Population'!$T$18</f>
        <v>20688.14414</v>
      </c>
      <c r="O27" s="160">
        <f>O29*1000*'Inflation GDP Population'!O$18/'Inflation GDP Population'!$T$18</f>
        <v>20371.40803</v>
      </c>
      <c r="P27" s="160">
        <f>P29*1000*'Inflation GDP Population'!P$18/'Inflation GDP Population'!$T$18</f>
        <v>20078.33448</v>
      </c>
      <c r="Q27" s="160">
        <f>Q29*1000*'Inflation GDP Population'!Q$18/'Inflation GDP Population'!$T$18</f>
        <v>19632.28489</v>
      </c>
      <c r="R27" s="160">
        <f>R29*1000*'Inflation GDP Population'!R$18/'Inflation GDP Population'!$T$18</f>
        <v>19194.99252</v>
      </c>
      <c r="S27" s="160">
        <f>S29*1000*'Inflation GDP Population'!S$18/'Inflation GDP Population'!$T$18</f>
        <v>18925.02113</v>
      </c>
      <c r="T27" s="160">
        <f>T29*1000*'Inflation GDP Population'!T$18/'Inflation GDP Population'!$T$18</f>
        <v>18760</v>
      </c>
      <c r="U27" s="160">
        <f>U29*1000*'Inflation GDP Population'!U$18/'Inflation GDP Population'!$T$18</f>
        <v>16393.70431</v>
      </c>
      <c r="V27" s="161">
        <f>V29*1000*'Inflation GDP Population'!V$18/'Inflation GDP Population'!$T$18</f>
        <v>16476.54581</v>
      </c>
      <c r="W27" s="160">
        <f>W29*1000*'Inflation GDP Population'!W$18/'Inflation GDP Population'!$T$18</f>
        <v>16155.82258</v>
      </c>
      <c r="X27" s="160">
        <f>X29*1000*'Inflation GDP Population'!X$18/'Inflation GDP Population'!$T$18</f>
        <v>15817.39476</v>
      </c>
      <c r="Y27" s="160">
        <f>Y29*1000*'Inflation GDP Population'!Y$18/'Inflation GDP Population'!$T$18</f>
        <v>15458.51185</v>
      </c>
      <c r="Z27" s="160">
        <f>Z29*1000*'Inflation GDP Population'!Z$18/'Inflation GDP Population'!$T$18</f>
        <v>15079.60596</v>
      </c>
      <c r="AA27" s="160">
        <f>AA29*1000*'Inflation GDP Population'!AA$18/'Inflation GDP Population'!$T$18</f>
        <v>14681.17724</v>
      </c>
      <c r="AB27" s="160">
        <f>AB29*1000*'Inflation GDP Population'!AB$18/'Inflation GDP Population'!$T$18</f>
        <v>14260.29621</v>
      </c>
      <c r="AC27" s="160">
        <f>AC29*1000*'Inflation GDP Population'!AC$18/'Inflation GDP Population'!$T$18</f>
        <v>13817.4056</v>
      </c>
      <c r="AD27" s="160">
        <f>AD29*1000*'Inflation GDP Population'!AD$18/'Inflation GDP Population'!$T$18</f>
        <v>13353.01998</v>
      </c>
      <c r="AE27" s="160">
        <f>AE29*1000*'Inflation GDP Population'!AE$18/'Inflation GDP Population'!$T$18</f>
        <v>12864.01927</v>
      </c>
      <c r="AF27" s="160">
        <f>AF29*1000*'Inflation GDP Population'!AF$18/'Inflation GDP Population'!$T$18</f>
        <v>12350.85659</v>
      </c>
      <c r="AG27" s="160">
        <f>AG29*1000*'Inflation GDP Population'!AG$18/'Inflation GDP Population'!$T$18</f>
        <v>12479.96765</v>
      </c>
      <c r="AH27" s="160">
        <f>AH29*1000*'Inflation GDP Population'!AH$18/'Inflation GDP Population'!$T$18</f>
        <v>12609.41562</v>
      </c>
      <c r="AI27" s="160">
        <f>AI29*1000*'Inflation GDP Population'!AI$18/'Inflation GDP Population'!$T$18</f>
        <v>12739.16451</v>
      </c>
      <c r="AJ27" s="160">
        <f>AJ29*1000*'Inflation GDP Population'!AJ$18/'Inflation GDP Population'!$T$18</f>
        <v>12869.17679</v>
      </c>
      <c r="AK27" s="160">
        <f>AK29*1000*'Inflation GDP Population'!AK$18/'Inflation GDP Population'!$T$18</f>
        <v>12999.41335</v>
      </c>
      <c r="AL27" s="160">
        <f>AL29*1000*'Inflation GDP Population'!AL$18/'Inflation GDP Population'!$T$18</f>
        <v>13129.83347</v>
      </c>
      <c r="AM27" s="160">
        <f>AM29*1000*'Inflation GDP Population'!AM$18/'Inflation GDP Population'!$T$18</f>
        <v>13260.39473</v>
      </c>
      <c r="AN27" s="160">
        <f>AN29*1000*'Inflation GDP Population'!AN$18/'Inflation GDP Population'!$T$18</f>
        <v>13391.05302</v>
      </c>
      <c r="AO27" s="160">
        <f>AO29*1000*'Inflation GDP Population'!AO$18/'Inflation GDP Population'!$T$18</f>
        <v>13521.76241</v>
      </c>
      <c r="AP27" s="160">
        <f>AP29*1000*'Inflation GDP Population'!AP$18/'Inflation GDP Population'!$T$18</f>
        <v>13652.47518</v>
      </c>
      <c r="AQ27" s="160">
        <f>AQ29*1000*'Inflation GDP Population'!AQ$18/'Inflation GDP Population'!$T$18</f>
        <v>13783.14171</v>
      </c>
      <c r="AR27" s="160">
        <f>AR29*1000*'Inflation GDP Population'!AR$18/'Inflation GDP Population'!$T$18</f>
        <v>13913.71045</v>
      </c>
      <c r="AS27" s="160">
        <f>AS29*1000*'Inflation GDP Population'!AS$18/'Inflation GDP Population'!$T$18</f>
        <v>14044.12784</v>
      </c>
      <c r="AT27" s="160">
        <f>AT29*1000*'Inflation GDP Population'!AT$18/'Inflation GDP Population'!$T$18</f>
        <v>14174.3383</v>
      </c>
      <c r="AU27" s="160">
        <f>AU29*1000*'Inflation GDP Population'!AU$18/'Inflation GDP Population'!$T$18</f>
        <v>14304.2841</v>
      </c>
      <c r="AV27" s="160">
        <f>AV29*1000*'Inflation GDP Population'!AV$18/'Inflation GDP Population'!$T$18</f>
        <v>14433.90537</v>
      </c>
      <c r="AW27" s="160">
        <f>AW29*1000*'Inflation GDP Population'!AW$18/'Inflation GDP Population'!$T$18</f>
        <v>14563.13998</v>
      </c>
      <c r="AX27" s="160">
        <f>AX29*1000*'Inflation GDP Population'!AX$18/'Inflation GDP Population'!$T$18</f>
        <v>14691.92352</v>
      </c>
      <c r="AY27" s="160">
        <f>AY29*1000*'Inflation GDP Population'!AY$18/'Inflation GDP Population'!$T$18</f>
        <v>14820.18919</v>
      </c>
      <c r="AZ27" s="160">
        <f>AZ29*1000*'Inflation GDP Population'!AZ$18/'Inflation GDP Population'!$T$18</f>
        <v>14947.86778</v>
      </c>
    </row>
    <row r="28" ht="15.0" customHeight="1">
      <c r="A28" s="535" t="s">
        <v>1098</v>
      </c>
      <c r="B28" s="160">
        <f>B30*1000*'Inflation GDP Population'!B$18/'Inflation GDP Population'!$T$18</f>
        <v>28087.20988</v>
      </c>
      <c r="C28" s="160">
        <f>C30*1000*'Inflation GDP Population'!C$18/'Inflation GDP Population'!$T$18</f>
        <v>27776.37546</v>
      </c>
      <c r="D28" s="160">
        <f>D30*1000*'Inflation GDP Population'!D$18/'Inflation GDP Population'!$T$18</f>
        <v>27304.56817</v>
      </c>
      <c r="E28" s="160">
        <f>E30*1000*'Inflation GDP Population'!E$18/'Inflation GDP Population'!$T$18</f>
        <v>26913.5372</v>
      </c>
      <c r="F28" s="160">
        <f>F30*1000*'Inflation GDP Population'!F$18/'Inflation GDP Population'!$T$18</f>
        <v>26745.59711</v>
      </c>
      <c r="G28" s="160">
        <f>G30*1000*'Inflation GDP Population'!G$18/'Inflation GDP Population'!$T$18</f>
        <v>26688.11021</v>
      </c>
      <c r="H28" s="160">
        <f>H30*1000*'Inflation GDP Population'!H$18/'Inflation GDP Population'!$T$18</f>
        <v>26607.83962</v>
      </c>
      <c r="I28" s="160">
        <f>I30*1000*'Inflation GDP Population'!I$18/'Inflation GDP Population'!$T$18</f>
        <v>26440.28948</v>
      </c>
      <c r="J28" s="160">
        <f>J30*1000*'Inflation GDP Population'!J$18/'Inflation GDP Population'!$T$18</f>
        <v>26084.15321</v>
      </c>
      <c r="K28" s="160">
        <f>K30*1000*'Inflation GDP Population'!K$18/'Inflation GDP Population'!$T$18</f>
        <v>25434.25558</v>
      </c>
      <c r="L28" s="160">
        <f>L30*1000*'Inflation GDP Population'!L$18/'Inflation GDP Population'!$T$18</f>
        <v>24899.71987</v>
      </c>
      <c r="M28" s="160">
        <f>M30*1000*'Inflation GDP Population'!M$18/'Inflation GDP Population'!$T$18</f>
        <v>24598.9804</v>
      </c>
      <c r="N28" s="160">
        <f>N30*1000*'Inflation GDP Population'!N$18/'Inflation GDP Population'!$T$18</f>
        <v>24261.14985</v>
      </c>
      <c r="O28" s="160">
        <f>O30*1000*'Inflation GDP Population'!O$18/'Inflation GDP Population'!$T$18</f>
        <v>23889.71091</v>
      </c>
      <c r="P28" s="160">
        <f>P30*1000*'Inflation GDP Population'!P$18/'Inflation GDP Population'!$T$18</f>
        <v>23546.02125</v>
      </c>
      <c r="Q28" s="160">
        <f>Q30*1000*'Inflation GDP Population'!Q$18/'Inflation GDP Population'!$T$18</f>
        <v>23022.93537</v>
      </c>
      <c r="R28" s="160">
        <f>R30*1000*'Inflation GDP Population'!R$18/'Inflation GDP Population'!$T$18</f>
        <v>22510.11916</v>
      </c>
      <c r="S28" s="160">
        <f>S30*1000*'Inflation GDP Population'!S$18/'Inflation GDP Population'!$T$18</f>
        <v>22193.52158</v>
      </c>
      <c r="T28" s="160">
        <f>T30*1000*'Inflation GDP Population'!T$18/'Inflation GDP Population'!$T$18</f>
        <v>22000</v>
      </c>
      <c r="U28" s="160">
        <f>U30*1000*'Inflation GDP Population'!U$18/'Inflation GDP Population'!$T$18</f>
        <v>21409.68847</v>
      </c>
      <c r="V28" s="161">
        <f>V30*1000*'Inflation GDP Population'!V$18/'Inflation GDP Population'!$T$18</f>
        <v>20613.35203</v>
      </c>
      <c r="W28" s="160">
        <f>W30*1000*'Inflation GDP Population'!W$18/'Inflation GDP Population'!$T$18</f>
        <v>19807.46659</v>
      </c>
      <c r="X28" s="160">
        <f>X30*1000*'Inflation GDP Population'!X$18/'Inflation GDP Population'!$T$18</f>
        <v>18963.37205</v>
      </c>
      <c r="Y28" s="160">
        <f>Y30*1000*'Inflation GDP Population'!Y$18/'Inflation GDP Population'!$T$18</f>
        <v>18077.70252</v>
      </c>
      <c r="Z28" s="160">
        <f>Z30*1000*'Inflation GDP Population'!Z$18/'Inflation GDP Population'!$T$18</f>
        <v>17150.25853</v>
      </c>
      <c r="AA28" s="160">
        <f>AA30*1000*'Inflation GDP Population'!AA$18/'Inflation GDP Population'!$T$18</f>
        <v>16179.74719</v>
      </c>
      <c r="AB28" s="160">
        <f>AB30*1000*'Inflation GDP Population'!AB$18/'Inflation GDP Population'!$T$18</f>
        <v>15166.00826</v>
      </c>
      <c r="AC28" s="160">
        <f>AC30*1000*'Inflation GDP Population'!AC$18/'Inflation GDP Population'!$T$18</f>
        <v>14105.36738</v>
      </c>
      <c r="AD28" s="160">
        <f>AD30*1000*'Inflation GDP Population'!AD$18/'Inflation GDP Population'!$T$18</f>
        <v>12997.57027</v>
      </c>
      <c r="AE28" s="160">
        <f>AE30*1000*'Inflation GDP Population'!AE$18/'Inflation GDP Population'!$T$18</f>
        <v>11841.1807</v>
      </c>
      <c r="AF28" s="160">
        <f>AF30*1000*'Inflation GDP Population'!AF$18/'Inflation GDP Population'!$T$18</f>
        <v>10635.98523</v>
      </c>
      <c r="AG28" s="160">
        <f>AG30*1000*'Inflation GDP Population'!AG$18/'Inflation GDP Population'!$T$18</f>
        <v>10714.92896</v>
      </c>
      <c r="AH28" s="160">
        <f>AH30*1000*'Inflation GDP Population'!AH$18/'Inflation GDP Population'!$T$18</f>
        <v>10791.59424</v>
      </c>
      <c r="AI28" s="160">
        <f>AI30*1000*'Inflation GDP Population'!AI$18/'Inflation GDP Population'!$T$18</f>
        <v>10868.50893</v>
      </c>
      <c r="AJ28" s="160">
        <f>AJ30*1000*'Inflation GDP Population'!AJ$18/'Inflation GDP Population'!$T$18</f>
        <v>10944.31738</v>
      </c>
      <c r="AK28" s="160">
        <f>AK30*1000*'Inflation GDP Population'!AK$18/'Inflation GDP Population'!$T$18</f>
        <v>11018.94717</v>
      </c>
      <c r="AL28" s="160">
        <f>AL30*1000*'Inflation GDP Population'!AL$18/'Inflation GDP Population'!$T$18</f>
        <v>11092.32345</v>
      </c>
      <c r="AM28" s="160">
        <f>AM30*1000*'Inflation GDP Population'!AM$18/'Inflation GDP Population'!$T$18</f>
        <v>11164.36892</v>
      </c>
      <c r="AN28" s="160">
        <f>AN30*1000*'Inflation GDP Population'!AN$18/'Inflation GDP Population'!$T$18</f>
        <v>11235.00371</v>
      </c>
      <c r="AO28" s="160">
        <f>AO30*1000*'Inflation GDP Population'!AO$18/'Inflation GDP Population'!$T$18</f>
        <v>11304.14536</v>
      </c>
      <c r="AP28" s="160">
        <f>AP30*1000*'Inflation GDP Population'!AP$18/'Inflation GDP Population'!$T$18</f>
        <v>11371.70874</v>
      </c>
      <c r="AQ28" s="160">
        <f>AQ30*1000*'Inflation GDP Population'!AQ$18/'Inflation GDP Population'!$T$18</f>
        <v>11436.04641</v>
      </c>
      <c r="AR28" s="160">
        <f>AR30*1000*'Inflation GDP Population'!AR$18/'Inflation GDP Population'!$T$18</f>
        <v>11500.15629</v>
      </c>
      <c r="AS28" s="160">
        <f>AS30*1000*'Inflation GDP Population'!AS$18/'Inflation GDP Population'!$T$18</f>
        <v>11562.41504</v>
      </c>
      <c r="AT28" s="160">
        <f>AT30*1000*'Inflation GDP Population'!AT$18/'Inflation GDP Population'!$T$18</f>
        <v>11622.72604</v>
      </c>
      <c r="AU28" s="160">
        <f>AU30*1000*'Inflation GDP Population'!AU$18/'Inflation GDP Population'!$T$18</f>
        <v>11680.9896</v>
      </c>
      <c r="AV28" s="160">
        <f>AV30*1000*'Inflation GDP Population'!AV$18/'Inflation GDP Population'!$T$18</f>
        <v>11737.10287</v>
      </c>
      <c r="AW28" s="160">
        <f>AW30*1000*'Inflation GDP Population'!AW$18/'Inflation GDP Population'!$T$18</f>
        <v>11790.95978</v>
      </c>
      <c r="AX28" s="160">
        <f>AX30*1000*'Inflation GDP Population'!AX$18/'Inflation GDP Population'!$T$18</f>
        <v>11842.45093</v>
      </c>
      <c r="AY28" s="160">
        <f>AY30*1000*'Inflation GDP Population'!AY$18/'Inflation GDP Population'!$T$18</f>
        <v>11891.46352</v>
      </c>
      <c r="AZ28" s="160">
        <f>AZ30*1000*'Inflation GDP Population'!AZ$18/'Inflation GDP Population'!$T$18</f>
        <v>11936.02552</v>
      </c>
    </row>
    <row r="29" ht="15.0" customHeight="1">
      <c r="A29" s="541" t="s">
        <v>1099</v>
      </c>
      <c r="B29" s="796">
        <f t="shared" ref="B29:S29" si="11">C29*(1+C31)</f>
        <v>33.87191686</v>
      </c>
      <c r="C29" s="796">
        <f t="shared" si="11"/>
        <v>32.77810435</v>
      </c>
      <c r="D29" s="796">
        <f t="shared" si="11"/>
        <v>31.7196139</v>
      </c>
      <c r="E29" s="796">
        <f t="shared" si="11"/>
        <v>30.69530487</v>
      </c>
      <c r="F29" s="796">
        <f t="shared" si="11"/>
        <v>29.70407345</v>
      </c>
      <c r="G29" s="796">
        <f t="shared" si="11"/>
        <v>28.74485147</v>
      </c>
      <c r="H29" s="796">
        <f t="shared" si="11"/>
        <v>27.81660527</v>
      </c>
      <c r="I29" s="796">
        <f t="shared" si="11"/>
        <v>26.91833457</v>
      </c>
      <c r="J29" s="796">
        <f t="shared" si="11"/>
        <v>26.04907136</v>
      </c>
      <c r="K29" s="796">
        <f t="shared" si="11"/>
        <v>25.20787893</v>
      </c>
      <c r="L29" s="796">
        <f t="shared" si="11"/>
        <v>24.3938508</v>
      </c>
      <c r="M29" s="796">
        <f t="shared" si="11"/>
        <v>23.60610976</v>
      </c>
      <c r="N29" s="796">
        <f t="shared" si="11"/>
        <v>22.84380693</v>
      </c>
      <c r="O29" s="796">
        <f t="shared" si="11"/>
        <v>22.10612084</v>
      </c>
      <c r="P29" s="796">
        <f t="shared" si="11"/>
        <v>21.39225657</v>
      </c>
      <c r="Q29" s="796">
        <f t="shared" si="11"/>
        <v>20.70144483</v>
      </c>
      <c r="R29" s="796">
        <f t="shared" si="11"/>
        <v>20.0329412</v>
      </c>
      <c r="S29" s="796">
        <f t="shared" si="11"/>
        <v>19.3860253</v>
      </c>
      <c r="T29" s="797">
        <v>18.76</v>
      </c>
      <c r="U29" s="797">
        <v>16.08</v>
      </c>
      <c r="V29" s="798">
        <v>15.852</v>
      </c>
      <c r="W29" s="799">
        <v>15.246</v>
      </c>
      <c r="X29" s="799">
        <v>14.641</v>
      </c>
      <c r="Y29" s="799">
        <v>14.035</v>
      </c>
      <c r="Z29" s="799">
        <v>13.429</v>
      </c>
      <c r="AA29" s="799">
        <v>12.824</v>
      </c>
      <c r="AB29" s="799">
        <v>12.218</v>
      </c>
      <c r="AC29" s="799">
        <v>11.612</v>
      </c>
      <c r="AD29" s="799">
        <v>11.007</v>
      </c>
      <c r="AE29" s="799">
        <v>10.401</v>
      </c>
      <c r="AF29" s="799">
        <v>9.795</v>
      </c>
      <c r="AG29" s="799">
        <v>9.708</v>
      </c>
      <c r="AH29" s="799">
        <v>9.621</v>
      </c>
      <c r="AI29" s="799">
        <v>9.534</v>
      </c>
      <c r="AJ29" s="799">
        <v>9.447</v>
      </c>
      <c r="AK29" s="799">
        <v>9.36</v>
      </c>
      <c r="AL29" s="799">
        <v>9.273</v>
      </c>
      <c r="AM29" s="799">
        <v>9.186</v>
      </c>
      <c r="AN29" s="799">
        <v>9.099</v>
      </c>
      <c r="AO29" s="799">
        <v>9.012</v>
      </c>
      <c r="AP29" s="799">
        <v>8.925</v>
      </c>
      <c r="AQ29" s="799">
        <v>8.838</v>
      </c>
      <c r="AR29" s="799">
        <v>8.751</v>
      </c>
      <c r="AS29" s="799">
        <v>8.664</v>
      </c>
      <c r="AT29" s="799">
        <v>8.577</v>
      </c>
      <c r="AU29" s="799">
        <v>8.49</v>
      </c>
      <c r="AV29" s="799">
        <v>8.403</v>
      </c>
      <c r="AW29" s="799">
        <v>8.316</v>
      </c>
      <c r="AX29" s="799">
        <v>8.229</v>
      </c>
      <c r="AY29" s="799">
        <v>8.142</v>
      </c>
      <c r="AZ29" s="799">
        <v>8.055</v>
      </c>
    </row>
    <row r="30" ht="15.0" customHeight="1">
      <c r="A30" s="541" t="s">
        <v>1100</v>
      </c>
      <c r="B30" s="796">
        <f t="shared" ref="B30:S30" si="12">C30*(1+C31)</f>
        <v>39.72186412</v>
      </c>
      <c r="C30" s="796">
        <f t="shared" si="12"/>
        <v>38.43914156</v>
      </c>
      <c r="D30" s="796">
        <f t="shared" si="12"/>
        <v>37.19784146</v>
      </c>
      <c r="E30" s="796">
        <f t="shared" si="12"/>
        <v>35.99662618</v>
      </c>
      <c r="F30" s="796">
        <f t="shared" si="12"/>
        <v>34.83420127</v>
      </c>
      <c r="G30" s="796">
        <f t="shared" si="12"/>
        <v>33.70931409</v>
      </c>
      <c r="H30" s="796">
        <f t="shared" si="12"/>
        <v>32.62075245</v>
      </c>
      <c r="I30" s="796">
        <f t="shared" si="12"/>
        <v>31.56734331</v>
      </c>
      <c r="J30" s="796">
        <f t="shared" si="12"/>
        <v>30.54795149</v>
      </c>
      <c r="K30" s="796">
        <f t="shared" si="12"/>
        <v>29.56147849</v>
      </c>
      <c r="L30" s="796">
        <f t="shared" si="12"/>
        <v>28.60686128</v>
      </c>
      <c r="M30" s="796">
        <f t="shared" si="12"/>
        <v>27.68307114</v>
      </c>
      <c r="N30" s="796">
        <f t="shared" si="12"/>
        <v>26.7891126</v>
      </c>
      <c r="O30" s="796">
        <f t="shared" si="12"/>
        <v>25.92402231</v>
      </c>
      <c r="P30" s="796">
        <f t="shared" si="12"/>
        <v>25.08686804</v>
      </c>
      <c r="Q30" s="796">
        <f t="shared" si="12"/>
        <v>24.27674767</v>
      </c>
      <c r="R30" s="796">
        <f t="shared" si="12"/>
        <v>23.49278819</v>
      </c>
      <c r="S30" s="796">
        <f t="shared" si="12"/>
        <v>22.73414481</v>
      </c>
      <c r="T30" s="797">
        <v>22.0</v>
      </c>
      <c r="U30" s="797">
        <v>21.0</v>
      </c>
      <c r="V30" s="798">
        <v>19.832</v>
      </c>
      <c r="W30" s="799">
        <v>18.692</v>
      </c>
      <c r="X30" s="799">
        <v>17.553</v>
      </c>
      <c r="Y30" s="799">
        <v>16.413</v>
      </c>
      <c r="Z30" s="799">
        <v>15.273</v>
      </c>
      <c r="AA30" s="799">
        <v>14.133</v>
      </c>
      <c r="AB30" s="799">
        <v>12.994</v>
      </c>
      <c r="AC30" s="799">
        <v>11.854</v>
      </c>
      <c r="AD30" s="799">
        <v>10.714</v>
      </c>
      <c r="AE30" s="799">
        <v>9.574</v>
      </c>
      <c r="AF30" s="799">
        <v>8.435</v>
      </c>
      <c r="AG30" s="799">
        <v>8.335</v>
      </c>
      <c r="AH30" s="799">
        <v>8.234</v>
      </c>
      <c r="AI30" s="799">
        <v>8.134</v>
      </c>
      <c r="AJ30" s="799">
        <v>8.034</v>
      </c>
      <c r="AK30" s="799">
        <v>7.934</v>
      </c>
      <c r="AL30" s="799">
        <v>7.834</v>
      </c>
      <c r="AM30" s="799">
        <v>7.734</v>
      </c>
      <c r="AN30" s="799">
        <v>7.634</v>
      </c>
      <c r="AO30" s="799">
        <v>7.534</v>
      </c>
      <c r="AP30" s="799">
        <v>7.434</v>
      </c>
      <c r="AQ30" s="799">
        <v>7.333</v>
      </c>
      <c r="AR30" s="799">
        <v>7.233</v>
      </c>
      <c r="AS30" s="799">
        <v>7.133</v>
      </c>
      <c r="AT30" s="799">
        <v>7.033</v>
      </c>
      <c r="AU30" s="799">
        <v>6.933</v>
      </c>
      <c r="AV30" s="799">
        <v>6.833</v>
      </c>
      <c r="AW30" s="799">
        <v>6.733</v>
      </c>
      <c r="AX30" s="799">
        <v>6.633</v>
      </c>
      <c r="AY30" s="799">
        <v>6.533</v>
      </c>
      <c r="AZ30" s="799">
        <v>6.432</v>
      </c>
    </row>
    <row r="31" ht="15.0" customHeight="1">
      <c r="A31" s="535" t="s">
        <v>106</v>
      </c>
      <c r="B31" s="709">
        <f t="shared" ref="B31:T31" si="13">C31</f>
        <v>0.03337021856</v>
      </c>
      <c r="C31" s="709">
        <f t="shared" si="13"/>
        <v>0.03337021856</v>
      </c>
      <c r="D31" s="709">
        <f t="shared" si="13"/>
        <v>0.03337021856</v>
      </c>
      <c r="E31" s="709">
        <f t="shared" si="13"/>
        <v>0.03337021856</v>
      </c>
      <c r="F31" s="709">
        <f t="shared" si="13"/>
        <v>0.03337021856</v>
      </c>
      <c r="G31" s="709">
        <f t="shared" si="13"/>
        <v>0.03337021856</v>
      </c>
      <c r="H31" s="709">
        <f t="shared" si="13"/>
        <v>0.03337021856</v>
      </c>
      <c r="I31" s="709">
        <f t="shared" si="13"/>
        <v>0.03337021856</v>
      </c>
      <c r="J31" s="709">
        <f t="shared" si="13"/>
        <v>0.03337021856</v>
      </c>
      <c r="K31" s="709">
        <f t="shared" si="13"/>
        <v>0.03337021856</v>
      </c>
      <c r="L31" s="709">
        <f t="shared" si="13"/>
        <v>0.03337021856</v>
      </c>
      <c r="M31" s="709">
        <f t="shared" si="13"/>
        <v>0.03337021856</v>
      </c>
      <c r="N31" s="709">
        <f t="shared" si="13"/>
        <v>0.03337021856</v>
      </c>
      <c r="O31" s="709">
        <f t="shared" si="13"/>
        <v>0.03337021856</v>
      </c>
      <c r="P31" s="709">
        <f t="shared" si="13"/>
        <v>0.03337021856</v>
      </c>
      <c r="Q31" s="709">
        <f t="shared" si="13"/>
        <v>0.03337021856</v>
      </c>
      <c r="R31" s="709">
        <f t="shared" si="13"/>
        <v>0.03337021856</v>
      </c>
      <c r="S31" s="709">
        <f t="shared" si="13"/>
        <v>0.03337021856</v>
      </c>
      <c r="T31" s="709">
        <f t="shared" si="13"/>
        <v>0.03337021856</v>
      </c>
      <c r="U31" s="537">
        <f>average(V31:Y31)</f>
        <v>0.03337021856</v>
      </c>
      <c r="V31" s="537">
        <f t="shared" ref="V31:AZ31" si="14">(U29-V29)/U29</f>
        <v>0.01417910448</v>
      </c>
      <c r="W31" s="537">
        <f t="shared" si="14"/>
        <v>0.03822861469</v>
      </c>
      <c r="X31" s="537">
        <f t="shared" si="14"/>
        <v>0.03968253968</v>
      </c>
      <c r="Y31" s="537">
        <f t="shared" si="14"/>
        <v>0.0413906154</v>
      </c>
      <c r="Z31" s="537">
        <f t="shared" si="14"/>
        <v>0.04317776986</v>
      </c>
      <c r="AA31" s="537">
        <f t="shared" si="14"/>
        <v>0.04505175367</v>
      </c>
      <c r="AB31" s="537">
        <f t="shared" si="14"/>
        <v>0.0472551466</v>
      </c>
      <c r="AC31" s="537">
        <f t="shared" si="14"/>
        <v>0.04959895237</v>
      </c>
      <c r="AD31" s="537">
        <f t="shared" si="14"/>
        <v>0.05210127454</v>
      </c>
      <c r="AE31" s="537">
        <f t="shared" si="14"/>
        <v>0.05505587354</v>
      </c>
      <c r="AF31" s="537">
        <f t="shared" si="14"/>
        <v>0.0582636285</v>
      </c>
      <c r="AG31" s="537">
        <f t="shared" si="14"/>
        <v>0.008882082695</v>
      </c>
      <c r="AH31" s="537">
        <f t="shared" si="14"/>
        <v>0.008961681088</v>
      </c>
      <c r="AI31" s="537">
        <f t="shared" si="14"/>
        <v>0.009042719052</v>
      </c>
      <c r="AJ31" s="537">
        <f t="shared" si="14"/>
        <v>0.009125235997</v>
      </c>
      <c r="AK31" s="537">
        <f t="shared" si="14"/>
        <v>0.009209272785</v>
      </c>
      <c r="AL31" s="537">
        <f t="shared" si="14"/>
        <v>0.009294871795</v>
      </c>
      <c r="AM31" s="537">
        <f t="shared" si="14"/>
        <v>0.009382076998</v>
      </c>
      <c r="AN31" s="537">
        <f t="shared" si="14"/>
        <v>0.00947093403</v>
      </c>
      <c r="AO31" s="537">
        <f t="shared" si="14"/>
        <v>0.009561490274</v>
      </c>
      <c r="AP31" s="537">
        <f t="shared" si="14"/>
        <v>0.00965379494</v>
      </c>
      <c r="AQ31" s="537">
        <f t="shared" si="14"/>
        <v>0.00974789916</v>
      </c>
      <c r="AR31" s="537">
        <f t="shared" si="14"/>
        <v>0.009843856076</v>
      </c>
      <c r="AS31" s="537">
        <f t="shared" si="14"/>
        <v>0.009941720946</v>
      </c>
      <c r="AT31" s="537">
        <f t="shared" si="14"/>
        <v>0.01004155125</v>
      </c>
      <c r="AU31" s="537">
        <f t="shared" si="14"/>
        <v>0.01014340679</v>
      </c>
      <c r="AV31" s="537">
        <f t="shared" si="14"/>
        <v>0.01024734982</v>
      </c>
      <c r="AW31" s="537">
        <f t="shared" si="14"/>
        <v>0.0103534452</v>
      </c>
      <c r="AX31" s="537">
        <f t="shared" si="14"/>
        <v>0.01046176046</v>
      </c>
      <c r="AY31" s="537">
        <f t="shared" si="14"/>
        <v>0.01057236602</v>
      </c>
      <c r="AZ31" s="537">
        <f t="shared" si="14"/>
        <v>0.0106853353</v>
      </c>
    </row>
    <row r="32" ht="15.0" customHeight="1">
      <c r="A32" s="800" t="s">
        <v>1101</v>
      </c>
      <c r="B32" s="38"/>
      <c r="C32" s="38"/>
      <c r="D32" s="38"/>
      <c r="E32" s="38"/>
      <c r="F32" s="38"/>
      <c r="G32" s="38"/>
      <c r="H32" s="38"/>
      <c r="I32" s="38"/>
      <c r="J32" s="38"/>
      <c r="K32" s="38"/>
      <c r="L32" s="38"/>
      <c r="M32" s="38"/>
      <c r="N32" s="38"/>
      <c r="O32" s="38"/>
      <c r="P32" s="38"/>
      <c r="Q32" s="38"/>
      <c r="R32" s="38"/>
      <c r="S32" s="38"/>
      <c r="T32" s="38"/>
      <c r="U32" s="21"/>
      <c r="V32" s="726">
        <v>1630000.0</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535" t="s">
        <v>112</v>
      </c>
      <c r="B33" s="535"/>
      <c r="C33" s="535"/>
      <c r="D33" s="535"/>
      <c r="E33" s="535"/>
      <c r="F33" s="535"/>
      <c r="G33" s="535"/>
      <c r="H33" s="535"/>
      <c r="I33" s="535"/>
      <c r="J33" s="535"/>
      <c r="K33" s="535"/>
      <c r="L33" s="535"/>
      <c r="M33" s="535"/>
      <c r="N33" s="535"/>
      <c r="O33" s="535"/>
      <c r="P33" s="535"/>
      <c r="Q33" s="535"/>
      <c r="R33" s="535"/>
      <c r="S33" s="535"/>
      <c r="T33" s="535"/>
      <c r="U33" s="535"/>
      <c r="V33" s="547">
        <v>0.21</v>
      </c>
      <c r="W33" s="208">
        <f t="shared" ref="W33:AZ33" si="15">V33</f>
        <v>0.21</v>
      </c>
      <c r="X33" s="208">
        <f t="shared" si="15"/>
        <v>0.21</v>
      </c>
      <c r="Y33" s="208">
        <f t="shared" si="15"/>
        <v>0.21</v>
      </c>
      <c r="Z33" s="208">
        <f t="shared" si="15"/>
        <v>0.21</v>
      </c>
      <c r="AA33" s="208">
        <f t="shared" si="15"/>
        <v>0.21</v>
      </c>
      <c r="AB33" s="208">
        <f t="shared" si="15"/>
        <v>0.21</v>
      </c>
      <c r="AC33" s="208">
        <f t="shared" si="15"/>
        <v>0.21</v>
      </c>
      <c r="AD33" s="208">
        <f t="shared" si="15"/>
        <v>0.21</v>
      </c>
      <c r="AE33" s="208">
        <f t="shared" si="15"/>
        <v>0.21</v>
      </c>
      <c r="AF33" s="208">
        <f t="shared" si="15"/>
        <v>0.21</v>
      </c>
      <c r="AG33" s="208">
        <f t="shared" si="15"/>
        <v>0.21</v>
      </c>
      <c r="AH33" s="208">
        <f t="shared" si="15"/>
        <v>0.21</v>
      </c>
      <c r="AI33" s="208">
        <f t="shared" si="15"/>
        <v>0.21</v>
      </c>
      <c r="AJ33" s="208">
        <f t="shared" si="15"/>
        <v>0.21</v>
      </c>
      <c r="AK33" s="208">
        <f t="shared" si="15"/>
        <v>0.21</v>
      </c>
      <c r="AL33" s="208">
        <f t="shared" si="15"/>
        <v>0.21</v>
      </c>
      <c r="AM33" s="208">
        <f t="shared" si="15"/>
        <v>0.21</v>
      </c>
      <c r="AN33" s="208">
        <f t="shared" si="15"/>
        <v>0.21</v>
      </c>
      <c r="AO33" s="208">
        <f t="shared" si="15"/>
        <v>0.21</v>
      </c>
      <c r="AP33" s="208">
        <f t="shared" si="15"/>
        <v>0.21</v>
      </c>
      <c r="AQ33" s="208">
        <f t="shared" si="15"/>
        <v>0.21</v>
      </c>
      <c r="AR33" s="208">
        <f t="shared" si="15"/>
        <v>0.21</v>
      </c>
      <c r="AS33" s="208">
        <f t="shared" si="15"/>
        <v>0.21</v>
      </c>
      <c r="AT33" s="208">
        <f t="shared" si="15"/>
        <v>0.21</v>
      </c>
      <c r="AU33" s="208">
        <f t="shared" si="15"/>
        <v>0.21</v>
      </c>
      <c r="AV33" s="208">
        <f t="shared" si="15"/>
        <v>0.21</v>
      </c>
      <c r="AW33" s="208">
        <f t="shared" si="15"/>
        <v>0.21</v>
      </c>
      <c r="AX33" s="208">
        <f t="shared" si="15"/>
        <v>0.21</v>
      </c>
      <c r="AY33" s="208">
        <f t="shared" si="15"/>
        <v>0.21</v>
      </c>
      <c r="AZ33" s="208">
        <f t="shared" si="15"/>
        <v>0.21</v>
      </c>
    </row>
    <row r="34" ht="15.0" customHeight="1">
      <c r="A34" s="535" t="s">
        <v>114</v>
      </c>
      <c r="B34" s="535"/>
      <c r="C34" s="535"/>
      <c r="D34" s="535"/>
      <c r="E34" s="535"/>
      <c r="F34" s="535"/>
      <c r="G34" s="535"/>
      <c r="H34" s="535"/>
      <c r="I34" s="535"/>
      <c r="J34" s="535"/>
      <c r="K34" s="535"/>
      <c r="L34" s="535"/>
      <c r="M34" s="535"/>
      <c r="N34" s="535"/>
      <c r="O34" s="535"/>
      <c r="P34" s="535"/>
      <c r="Q34" s="535"/>
      <c r="R34" s="535"/>
      <c r="S34" s="535"/>
      <c r="T34" s="535"/>
      <c r="U34" s="535"/>
      <c r="V34" s="715">
        <v>38.59</v>
      </c>
      <c r="W34" s="177">
        <f t="shared" ref="W34:AZ34" si="16">V34*(1+V49)</f>
        <v>39.35771862</v>
      </c>
      <c r="X34" s="177">
        <f t="shared" si="16"/>
        <v>40.14071042</v>
      </c>
      <c r="Y34" s="177">
        <f t="shared" si="16"/>
        <v>40.93927924</v>
      </c>
      <c r="Z34" s="177">
        <f t="shared" si="16"/>
        <v>41.75373498</v>
      </c>
      <c r="AA34" s="177">
        <f t="shared" si="16"/>
        <v>42.58439369</v>
      </c>
      <c r="AB34" s="177">
        <f t="shared" si="16"/>
        <v>43.43157773</v>
      </c>
      <c r="AC34" s="177">
        <f t="shared" si="16"/>
        <v>44.29561585</v>
      </c>
      <c r="AD34" s="177">
        <f t="shared" si="16"/>
        <v>45.17684334</v>
      </c>
      <c r="AE34" s="177">
        <f t="shared" si="16"/>
        <v>46.07560219</v>
      </c>
      <c r="AF34" s="177">
        <f t="shared" si="16"/>
        <v>46.99224116</v>
      </c>
      <c r="AG34" s="177">
        <f t="shared" si="16"/>
        <v>47.92711596</v>
      </c>
      <c r="AH34" s="177">
        <f t="shared" si="16"/>
        <v>48.88058938</v>
      </c>
      <c r="AI34" s="177">
        <f t="shared" si="16"/>
        <v>49.85303143</v>
      </c>
      <c r="AJ34" s="177">
        <f t="shared" si="16"/>
        <v>50.84481947</v>
      </c>
      <c r="AK34" s="177">
        <f t="shared" si="16"/>
        <v>51.85633838</v>
      </c>
      <c r="AL34" s="177">
        <f t="shared" si="16"/>
        <v>52.88798068</v>
      </c>
      <c r="AM34" s="177">
        <f t="shared" si="16"/>
        <v>53.94014673</v>
      </c>
      <c r="AN34" s="177">
        <f t="shared" si="16"/>
        <v>55.01324481</v>
      </c>
      <c r="AO34" s="177">
        <f t="shared" si="16"/>
        <v>56.10769136</v>
      </c>
      <c r="AP34" s="177">
        <f t="shared" si="16"/>
        <v>57.22391109</v>
      </c>
      <c r="AQ34" s="177">
        <f t="shared" si="16"/>
        <v>58.36233716</v>
      </c>
      <c r="AR34" s="177">
        <f t="shared" si="16"/>
        <v>59.52341135</v>
      </c>
      <c r="AS34" s="177">
        <f t="shared" si="16"/>
        <v>60.70758423</v>
      </c>
      <c r="AT34" s="177">
        <f t="shared" si="16"/>
        <v>61.91531532</v>
      </c>
      <c r="AU34" s="177">
        <f t="shared" si="16"/>
        <v>63.1470733</v>
      </c>
      <c r="AV34" s="177">
        <f t="shared" si="16"/>
        <v>64.40333617</v>
      </c>
      <c r="AW34" s="177">
        <f t="shared" si="16"/>
        <v>65.68459142</v>
      </c>
      <c r="AX34" s="177">
        <f t="shared" si="16"/>
        <v>66.99133628</v>
      </c>
      <c r="AY34" s="177">
        <f t="shared" si="16"/>
        <v>68.32407782</v>
      </c>
      <c r="AZ34" s="177">
        <f t="shared" si="16"/>
        <v>69.68333325</v>
      </c>
    </row>
    <row r="35" ht="15.0" customHeight="1">
      <c r="A35" s="535" t="s">
        <v>1102</v>
      </c>
      <c r="B35" s="535"/>
      <c r="C35" s="535"/>
      <c r="D35" s="535"/>
      <c r="E35" s="535"/>
      <c r="F35" s="535"/>
      <c r="G35" s="535"/>
      <c r="H35" s="535"/>
      <c r="I35" s="535"/>
      <c r="J35" s="535"/>
      <c r="K35" s="535"/>
      <c r="L35" s="535"/>
      <c r="M35" s="535"/>
      <c r="N35" s="535"/>
      <c r="O35" s="535"/>
      <c r="P35" s="535"/>
      <c r="Q35" s="535"/>
      <c r="R35" s="535"/>
      <c r="S35" s="535"/>
      <c r="T35" s="535"/>
      <c r="U35" s="535"/>
      <c r="V35" s="712">
        <v>24.0</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1103</v>
      </c>
      <c r="B36" s="535"/>
      <c r="C36" s="535"/>
      <c r="D36" s="535"/>
      <c r="E36" s="535"/>
      <c r="F36" s="535"/>
      <c r="G36" s="535"/>
      <c r="H36" s="535"/>
      <c r="I36" s="535"/>
      <c r="J36" s="535"/>
      <c r="K36" s="535"/>
      <c r="L36" s="535"/>
      <c r="M36" s="535"/>
      <c r="N36" s="535"/>
      <c r="O36" s="535"/>
      <c r="P36" s="535"/>
      <c r="Q36" s="535"/>
      <c r="R36" s="535"/>
      <c r="S36" s="535"/>
      <c r="T36" s="535"/>
      <c r="U36" s="535"/>
      <c r="V36" s="712">
        <v>30.0</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1104</v>
      </c>
      <c r="B37" s="535"/>
      <c r="C37" s="535"/>
      <c r="D37" s="535"/>
      <c r="E37" s="535"/>
      <c r="F37" s="535"/>
      <c r="G37" s="535"/>
      <c r="H37" s="535"/>
      <c r="I37" s="535"/>
      <c r="J37" s="535"/>
      <c r="K37" s="535"/>
      <c r="L37" s="535"/>
      <c r="M37" s="535"/>
      <c r="N37" s="535"/>
      <c r="O37" s="535"/>
      <c r="P37" s="535"/>
      <c r="Q37" s="535"/>
      <c r="R37" s="535"/>
      <c r="S37" s="535"/>
      <c r="T37" s="535"/>
      <c r="U37" s="535"/>
      <c r="V37" s="712">
        <v>3.0</v>
      </c>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535" t="s">
        <v>1105</v>
      </c>
      <c r="B38" s="535"/>
      <c r="C38" s="535"/>
      <c r="D38" s="535"/>
      <c r="E38" s="535"/>
      <c r="F38" s="535"/>
      <c r="G38" s="535"/>
      <c r="H38" s="535"/>
      <c r="I38" s="535"/>
      <c r="J38" s="535"/>
      <c r="K38" s="535"/>
      <c r="L38" s="535"/>
      <c r="M38" s="535"/>
      <c r="N38" s="535"/>
      <c r="O38" s="535"/>
      <c r="P38" s="535"/>
      <c r="Q38" s="535"/>
      <c r="R38" s="535"/>
      <c r="S38" s="535"/>
      <c r="T38" s="535"/>
      <c r="U38" s="535"/>
      <c r="V38" s="712">
        <v>4.0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1106</v>
      </c>
      <c r="B39" s="535"/>
      <c r="C39" s="535"/>
      <c r="D39" s="535"/>
      <c r="E39" s="535"/>
      <c r="F39" s="535"/>
      <c r="G39" s="535"/>
      <c r="H39" s="535"/>
      <c r="I39" s="535"/>
      <c r="J39" s="535"/>
      <c r="K39" s="535"/>
      <c r="L39" s="535"/>
      <c r="M39" s="535"/>
      <c r="N39" s="535"/>
      <c r="O39" s="535"/>
      <c r="P39" s="535"/>
      <c r="Q39" s="535"/>
      <c r="R39" s="535"/>
      <c r="S39" s="535"/>
      <c r="T39" s="535"/>
      <c r="U39" s="535"/>
      <c r="V39" s="712">
        <v>20.0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1107</v>
      </c>
      <c r="B40" s="535"/>
      <c r="C40" s="535"/>
      <c r="D40" s="535"/>
      <c r="E40" s="535"/>
      <c r="F40" s="535"/>
      <c r="G40" s="535"/>
      <c r="H40" s="535"/>
      <c r="I40" s="535"/>
      <c r="J40" s="535"/>
      <c r="K40" s="535"/>
      <c r="L40" s="535"/>
      <c r="M40" s="535"/>
      <c r="N40" s="535"/>
      <c r="O40" s="535"/>
      <c r="P40" s="535"/>
      <c r="Q40" s="535"/>
      <c r="R40" s="535"/>
      <c r="S40" s="535"/>
      <c r="T40" s="535"/>
      <c r="U40" s="535"/>
      <c r="V40" s="712">
        <v>30.0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1108</v>
      </c>
      <c r="B41" s="535"/>
      <c r="C41" s="535"/>
      <c r="D41" s="535"/>
      <c r="E41" s="535"/>
      <c r="F41" s="535"/>
      <c r="G41" s="535"/>
      <c r="H41" s="535"/>
      <c r="I41" s="535"/>
      <c r="J41" s="535"/>
      <c r="K41" s="535"/>
      <c r="L41" s="535"/>
      <c r="M41" s="535"/>
      <c r="N41" s="535"/>
      <c r="O41" s="535"/>
      <c r="P41" s="535"/>
      <c r="Q41" s="535"/>
      <c r="R41" s="535"/>
      <c r="S41" s="535"/>
      <c r="T41" s="535"/>
      <c r="U41" s="535"/>
      <c r="V41" s="712">
        <v>10.0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535" t="s">
        <v>1109</v>
      </c>
      <c r="B42" s="535"/>
      <c r="C42" s="535"/>
      <c r="D42" s="535"/>
      <c r="E42" s="535"/>
      <c r="F42" s="535"/>
      <c r="G42" s="535"/>
      <c r="H42" s="535"/>
      <c r="I42" s="535"/>
      <c r="J42" s="535"/>
      <c r="K42" s="535"/>
      <c r="L42" s="535"/>
      <c r="M42" s="535"/>
      <c r="N42" s="535"/>
      <c r="O42" s="535"/>
      <c r="P42" s="535"/>
      <c r="Q42" s="535"/>
      <c r="R42" s="535"/>
      <c r="S42" s="535"/>
      <c r="T42" s="535"/>
      <c r="U42" s="535"/>
      <c r="V42" s="712">
        <v>5.0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174" t="s">
        <v>123</v>
      </c>
      <c r="B43" s="174"/>
      <c r="C43" s="174"/>
      <c r="D43" s="174"/>
      <c r="E43" s="174"/>
      <c r="F43" s="174"/>
      <c r="G43" s="174"/>
      <c r="H43" s="174"/>
      <c r="I43" s="174"/>
      <c r="J43" s="174"/>
      <c r="K43" s="174"/>
      <c r="L43" s="174"/>
      <c r="M43" s="174"/>
      <c r="N43" s="174"/>
      <c r="O43" s="174"/>
      <c r="P43" s="174"/>
      <c r="Q43" s="174"/>
      <c r="R43" s="174"/>
      <c r="S43" s="174"/>
      <c r="T43" s="174"/>
      <c r="U43" s="174"/>
      <c r="V43" s="705"/>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126</v>
      </c>
      <c r="B44" s="730">
        <f>'Inflation GDP Population'!B2</f>
        <v>96.994687</v>
      </c>
      <c r="C44" s="730">
        <f>'Inflation GDP Population'!C2</f>
        <v>82.56180237</v>
      </c>
      <c r="D44" s="730">
        <f>'Inflation GDP Population'!D2</f>
        <v>92.42298883</v>
      </c>
      <c r="E44" s="730">
        <f>'Inflation GDP Population'!E2</f>
        <v>85.643903</v>
      </c>
      <c r="F44" s="730">
        <f>'Inflation GDP Population'!F2</f>
        <v>81.32479157</v>
      </c>
      <c r="G44" s="730">
        <f>'Inflation GDP Population'!G2</f>
        <v>82.28505158</v>
      </c>
      <c r="H44" s="730">
        <f>'Inflation GDP Population'!H2</f>
        <v>73.13235237</v>
      </c>
      <c r="I44" s="730">
        <f>'Inflation GDP Population'!I2</f>
        <v>75.17834992</v>
      </c>
      <c r="J44" s="730">
        <f>'Inflation GDP Population'!J2</f>
        <v>77.56686895</v>
      </c>
      <c r="K44" s="730">
        <f>'Inflation GDP Population'!K2</f>
        <v>67.39705426</v>
      </c>
      <c r="L44" s="730">
        <f>'Inflation GDP Population'!L2</f>
        <v>69.35926131</v>
      </c>
      <c r="M44" s="730">
        <f>'Inflation GDP Population'!M2</f>
        <v>69.14964738</v>
      </c>
      <c r="N44" s="730">
        <f>'Inflation GDP Population'!N2</f>
        <v>66.07741069</v>
      </c>
      <c r="O44" s="730">
        <f>'Inflation GDP Population'!O2</f>
        <v>68.66764955</v>
      </c>
      <c r="P44" s="730">
        <f>'Inflation GDP Population'!P2</f>
        <v>67.61337449</v>
      </c>
      <c r="Q44" s="730">
        <f>'Inflation GDP Population'!Q2</f>
        <v>63.51929276</v>
      </c>
      <c r="R44" s="730">
        <f>'Inflation GDP Population'!R2</f>
        <v>65.2</v>
      </c>
      <c r="S44" s="730">
        <f>'Inflation GDP Population'!S2</f>
        <v>62.54</v>
      </c>
      <c r="T44" s="730">
        <f>'Inflation GDP Population'!T2</f>
        <v>62.8</v>
      </c>
      <c r="U44" s="730">
        <f>'Inflation GDP Population'!U2</f>
        <v>62.22</v>
      </c>
      <c r="V44" s="730">
        <f>'Inflation GDP Population'!V2</f>
        <v>63.24546</v>
      </c>
      <c r="W44" s="730">
        <f>'Inflation GDP Population'!W2</f>
        <v>62.18788</v>
      </c>
      <c r="X44" s="730">
        <f>'Inflation GDP Population'!X2</f>
        <v>61.28391</v>
      </c>
      <c r="Y44" s="730">
        <f>'Inflation GDP Population'!Y2</f>
        <v>60.78271</v>
      </c>
      <c r="Z44" s="730">
        <f>'Inflation GDP Population'!Z2</f>
        <v>60.47005</v>
      </c>
      <c r="AA44" s="730">
        <f>'Inflation GDP Population'!AA2</f>
        <v>60.72605</v>
      </c>
      <c r="AB44" s="730">
        <f>'Inflation GDP Population'!AB2</f>
        <v>60.32351</v>
      </c>
      <c r="AC44" s="730">
        <f>'Inflation GDP Population'!AC2</f>
        <v>60.15475</v>
      </c>
      <c r="AD44" s="730">
        <f>'Inflation GDP Population'!AD2</f>
        <v>59.91858</v>
      </c>
      <c r="AE44" s="730">
        <f>'Inflation GDP Population'!AE2</f>
        <v>59.74736</v>
      </c>
      <c r="AF44" s="730">
        <f>'Inflation GDP Population'!AF2</f>
        <v>59.57172</v>
      </c>
      <c r="AG44" s="730">
        <f>'Inflation GDP Population'!AG2</f>
        <v>59.4622</v>
      </c>
      <c r="AH44" s="730">
        <f>'Inflation GDP Population'!AH2</f>
        <v>59.09818</v>
      </c>
      <c r="AI44" s="730">
        <f>'Inflation GDP Population'!AI2</f>
        <v>58.69071</v>
      </c>
      <c r="AJ44" s="730">
        <f>'Inflation GDP Population'!AJ2</f>
        <v>58.27968</v>
      </c>
      <c r="AK44" s="730">
        <f>'Inflation GDP Population'!AK2</f>
        <v>57.94539</v>
      </c>
      <c r="AL44" s="730">
        <f>'Inflation GDP Population'!AL2</f>
        <v>57.82228</v>
      </c>
      <c r="AM44" s="730">
        <f>'Inflation GDP Population'!AM2</f>
        <v>57.6393</v>
      </c>
      <c r="AN44" s="730">
        <f>'Inflation GDP Population'!AN2</f>
        <v>57.61822</v>
      </c>
      <c r="AO44" s="730">
        <f>'Inflation GDP Population'!AO2</f>
        <v>57.58316</v>
      </c>
      <c r="AP44" s="730">
        <f>'Inflation GDP Population'!AP2</f>
        <v>57.42865</v>
      </c>
      <c r="AQ44" s="730">
        <f>'Inflation GDP Population'!AQ2</f>
        <v>57.21256</v>
      </c>
      <c r="AR44" s="730">
        <f>'Inflation GDP Population'!AR2</f>
        <v>56.95737</v>
      </c>
      <c r="AS44" s="730">
        <f>'Inflation GDP Population'!AS2</f>
        <v>56.72602</v>
      </c>
      <c r="AT44" s="730">
        <f>'Inflation GDP Population'!AT2</f>
        <v>56.5327</v>
      </c>
      <c r="AU44" s="730">
        <f>'Inflation GDP Population'!AU2</f>
        <v>56.32994</v>
      </c>
      <c r="AV44" s="730">
        <f>'Inflation GDP Population'!AV2</f>
        <v>56.00807</v>
      </c>
      <c r="AW44" s="730">
        <f>'Inflation GDP Population'!AW2</f>
        <v>55.85328</v>
      </c>
      <c r="AX44" s="730">
        <f>'Inflation GDP Population'!AX2</f>
        <v>56.44464</v>
      </c>
      <c r="AY44" s="730">
        <f>'Inflation GDP Population'!AY2</f>
        <v>56.52391</v>
      </c>
      <c r="AZ44" s="730">
        <f>'Inflation GDP Population'!AZ2</f>
        <v>56.24409</v>
      </c>
    </row>
    <row r="45" ht="15.0" customHeight="1">
      <c r="A45" s="535" t="s">
        <v>128</v>
      </c>
      <c r="B45" s="730">
        <f>'Inflation GDP Population'!B3</f>
        <v>66.9366</v>
      </c>
      <c r="C45" s="730">
        <f>'Inflation GDP Population'!C3</f>
        <v>68.5627</v>
      </c>
      <c r="D45" s="730">
        <f>'Inflation GDP Population'!D3</f>
        <v>61.9876</v>
      </c>
      <c r="E45" s="730">
        <f>'Inflation GDP Population'!E3</f>
        <v>75.3499</v>
      </c>
      <c r="F45" s="730">
        <f>'Inflation GDP Population'!F3</f>
        <v>79.1677</v>
      </c>
      <c r="G45" s="730">
        <f>'Inflation GDP Population'!G3</f>
        <v>95.8529</v>
      </c>
      <c r="H45" s="730">
        <f>'Inflation GDP Population'!H3</f>
        <v>86.2377</v>
      </c>
      <c r="I45" s="730">
        <f>'Inflation GDP Population'!I3</f>
        <v>87.6517</v>
      </c>
      <c r="J45" s="730">
        <f>'Inflation GDP Population'!J3</f>
        <v>101.4382</v>
      </c>
      <c r="K45" s="730">
        <f>'Inflation GDP Population'!K3</f>
        <v>70.8251</v>
      </c>
      <c r="L45" s="730">
        <f>'Inflation GDP Population'!L3</f>
        <v>73.2289</v>
      </c>
      <c r="M45" s="730">
        <f>'Inflation GDP Population'!M3</f>
        <v>70.5423</v>
      </c>
      <c r="N45" s="730">
        <f>'Inflation GDP Population'!N3</f>
        <v>60.9978</v>
      </c>
      <c r="O45" s="730">
        <f>'Inflation GDP Population'!O3</f>
        <v>67.7143</v>
      </c>
      <c r="P45" s="730">
        <f>'Inflation GDP Population'!P3</f>
        <v>72.6633</v>
      </c>
      <c r="Q45" s="730">
        <f>'Inflation GDP Population'!Q3</f>
        <v>59.8666</v>
      </c>
      <c r="R45" s="730">
        <f>'Inflation GDP Population'!R3</f>
        <v>64.07</v>
      </c>
      <c r="S45" s="730">
        <f>'Inflation GDP Population'!S3</f>
        <v>62.54</v>
      </c>
      <c r="T45" s="730">
        <f>'Inflation GDP Population'!T3</f>
        <v>64.2</v>
      </c>
      <c r="U45" s="730">
        <f>'Inflation GDP Population'!U3</f>
        <v>65.09</v>
      </c>
      <c r="V45" s="730">
        <f>'Inflation GDP Population'!V3</f>
        <v>67.89328</v>
      </c>
      <c r="W45" s="730">
        <f>'Inflation GDP Population'!W3</f>
        <v>68.40823</v>
      </c>
      <c r="X45" s="730">
        <f>'Inflation GDP Population'!X3</f>
        <v>69.03984</v>
      </c>
      <c r="Y45" s="730">
        <f>'Inflation GDP Population'!Y3</f>
        <v>70.16593</v>
      </c>
      <c r="Z45" s="730">
        <f>'Inflation GDP Population'!Z3</f>
        <v>71.49954</v>
      </c>
      <c r="AA45" s="730">
        <f>'Inflation GDP Population'!AA3</f>
        <v>73.51659</v>
      </c>
      <c r="AB45" s="730">
        <f>'Inflation GDP Population'!AB3</f>
        <v>74.70362</v>
      </c>
      <c r="AC45" s="730">
        <f>'Inflation GDP Population'!AC3</f>
        <v>76.17161</v>
      </c>
      <c r="AD45" s="730">
        <f>'Inflation GDP Population'!AD3</f>
        <v>77.50948</v>
      </c>
      <c r="AE45" s="730">
        <f>'Inflation GDP Population'!AE3</f>
        <v>78.93703</v>
      </c>
      <c r="AF45" s="730">
        <f>'Inflation GDP Population'!AF3</f>
        <v>80.39476</v>
      </c>
      <c r="AG45" s="730">
        <f>'Inflation GDP Population'!AG3</f>
        <v>81.99922</v>
      </c>
      <c r="AH45" s="730">
        <f>'Inflation GDP Population'!AH3</f>
        <v>83.28815</v>
      </c>
      <c r="AI45" s="730">
        <f>'Inflation GDP Population'!AI3</f>
        <v>84.55218</v>
      </c>
      <c r="AJ45" s="730">
        <f>'Inflation GDP Population'!AJ3</f>
        <v>85.84256</v>
      </c>
      <c r="AK45" s="730">
        <f>'Inflation GDP Population'!AK3</f>
        <v>87.2825</v>
      </c>
      <c r="AL45" s="730">
        <f>'Inflation GDP Population'!AL3</f>
        <v>89.09156</v>
      </c>
      <c r="AM45" s="730">
        <f>'Inflation GDP Population'!AM3</f>
        <v>90.84511</v>
      </c>
      <c r="AN45" s="730">
        <f>'Inflation GDP Population'!AN3</f>
        <v>92.88487</v>
      </c>
      <c r="AO45" s="730">
        <f>'Inflation GDP Population'!AO3</f>
        <v>94.96038</v>
      </c>
      <c r="AP45" s="730">
        <f>'Inflation GDP Population'!AP3</f>
        <v>96.89805</v>
      </c>
      <c r="AQ45" s="730">
        <f>'Inflation GDP Population'!AQ3</f>
        <v>98.79292</v>
      </c>
      <c r="AR45" s="730">
        <f>'Inflation GDP Population'!AR3</f>
        <v>100.67492</v>
      </c>
      <c r="AS45" s="730">
        <f>'Inflation GDP Population'!AS3</f>
        <v>102.66981</v>
      </c>
      <c r="AT45" s="730">
        <f>'Inflation GDP Population'!AT3</f>
        <v>104.79814</v>
      </c>
      <c r="AU45" s="730">
        <f>'Inflation GDP Population'!AU3</f>
        <v>106.98113</v>
      </c>
      <c r="AV45" s="730">
        <f>'Inflation GDP Population'!AV3</f>
        <v>108.97938</v>
      </c>
      <c r="AW45" s="730">
        <f>'Inflation GDP Population'!AW3</f>
        <v>111.37462</v>
      </c>
      <c r="AX45" s="730">
        <f>'Inflation GDP Population'!AX3</f>
        <v>115.38931</v>
      </c>
      <c r="AY45" s="730">
        <f>'Inflation GDP Population'!AY3</f>
        <v>118.463</v>
      </c>
      <c r="AZ45" s="730">
        <f>'Inflation GDP Population'!AZ3</f>
        <v>120.87941</v>
      </c>
    </row>
    <row r="46" ht="15.0" customHeight="1">
      <c r="A46" s="535" t="s">
        <v>465</v>
      </c>
      <c r="B46" s="730">
        <f>'Inflation GDP Population'!B6</f>
        <v>249.4238174</v>
      </c>
      <c r="C46" s="730">
        <f>'Inflation GDP Population'!C6</f>
        <v>249.4238174</v>
      </c>
      <c r="D46" s="730">
        <f>'Inflation GDP Population'!D6</f>
        <v>212.30936</v>
      </c>
      <c r="E46" s="730">
        <f>'Inflation GDP Population'!E6</f>
        <v>237.6676023</v>
      </c>
      <c r="F46" s="730">
        <f>'Inflation GDP Population'!F6</f>
        <v>220.2350447</v>
      </c>
      <c r="G46" s="730">
        <f>'Inflation GDP Population'!G6</f>
        <v>209.1283615</v>
      </c>
      <c r="H46" s="730">
        <f>'Inflation GDP Population'!H6</f>
        <v>211.5976897</v>
      </c>
      <c r="I46" s="730">
        <f>'Inflation GDP Population'!I6</f>
        <v>188.0613369</v>
      </c>
      <c r="J46" s="730">
        <f>'Inflation GDP Population'!J6</f>
        <v>193.3226613</v>
      </c>
      <c r="K46" s="730">
        <f>'Inflation GDP Population'!K6</f>
        <v>199.4647867</v>
      </c>
      <c r="L46" s="730">
        <f>'Inflation GDP Population'!L6</f>
        <v>173.3129007</v>
      </c>
      <c r="M46" s="730">
        <f>'Inflation GDP Population'!M6</f>
        <v>178.3587562</v>
      </c>
      <c r="N46" s="730">
        <f>'Inflation GDP Population'!N6</f>
        <v>177.8197297</v>
      </c>
      <c r="O46" s="730">
        <f>'Inflation GDP Population'!O6</f>
        <v>169.9194103</v>
      </c>
      <c r="P46" s="730">
        <f>'Inflation GDP Population'!P6</f>
        <v>176.5802624</v>
      </c>
      <c r="Q46" s="730">
        <f>'Inflation GDP Population'!Q6</f>
        <v>173.8691726</v>
      </c>
      <c r="R46" s="730">
        <f>'Inflation GDP Population'!R6</f>
        <v>163.3411578</v>
      </c>
      <c r="S46" s="730">
        <f>'Inflation GDP Population'!S6</f>
        <v>167.6631308</v>
      </c>
      <c r="T46" s="730">
        <f>'Inflation GDP Population'!T6</f>
        <v>160.8228865</v>
      </c>
      <c r="U46" s="730">
        <f>'Inflation GDP Population'!U6</f>
        <v>161.4914818</v>
      </c>
      <c r="V46" s="730">
        <f>'Inflation GDP Population'!V6</f>
        <v>160</v>
      </c>
      <c r="W46" s="730">
        <f>'Inflation GDP Population'!W6</f>
        <v>157.3245068</v>
      </c>
      <c r="X46" s="730">
        <f>'Inflation GDP Population'!X6</f>
        <v>155.0376201</v>
      </c>
      <c r="Y46" s="730">
        <f>'Inflation GDP Population'!Y6</f>
        <v>153.7696714</v>
      </c>
      <c r="Z46" s="730">
        <f>'Inflation GDP Population'!Z6</f>
        <v>152.978696</v>
      </c>
      <c r="AA46" s="730">
        <f>'Inflation GDP Population'!AA6</f>
        <v>153.6263314</v>
      </c>
      <c r="AB46" s="730">
        <f>'Inflation GDP Population'!AB6</f>
        <v>152.6079753</v>
      </c>
      <c r="AC46" s="730">
        <f>'Inflation GDP Population'!AC6</f>
        <v>152.1810419</v>
      </c>
      <c r="AD46" s="730">
        <f>'Inflation GDP Population'!AD6</f>
        <v>151.583573</v>
      </c>
      <c r="AE46" s="730">
        <f>'Inflation GDP Population'!AE6</f>
        <v>151.1504162</v>
      </c>
      <c r="AF46" s="730">
        <f>'Inflation GDP Population'!AF6</f>
        <v>150.7060776</v>
      </c>
      <c r="AG46" s="730">
        <f>'Inflation GDP Population'!AG6</f>
        <v>150.429011</v>
      </c>
      <c r="AH46" s="730">
        <f>'Inflation GDP Population'!AH6</f>
        <v>149.5081038</v>
      </c>
      <c r="AI46" s="730">
        <f>'Inflation GDP Population'!AI6</f>
        <v>148.4772757</v>
      </c>
      <c r="AJ46" s="730">
        <f>'Inflation GDP Population'!AJ6</f>
        <v>147.4374414</v>
      </c>
      <c r="AK46" s="730">
        <f>'Inflation GDP Population'!AK6</f>
        <v>146.5917459</v>
      </c>
      <c r="AL46" s="730">
        <f>'Inflation GDP Population'!AL6</f>
        <v>146.280299</v>
      </c>
      <c r="AM46" s="730">
        <f>'Inflation GDP Population'!AM6</f>
        <v>145.8173915</v>
      </c>
      <c r="AN46" s="730">
        <f>'Inflation GDP Population'!AN6</f>
        <v>145.7640627</v>
      </c>
      <c r="AO46" s="730">
        <f>'Inflation GDP Population'!AO6</f>
        <v>145.6753671</v>
      </c>
      <c r="AP46" s="730">
        <f>'Inflation GDP Population'!AP6</f>
        <v>145.2844837</v>
      </c>
      <c r="AQ46" s="730">
        <f>'Inflation GDP Population'!AQ6</f>
        <v>144.7378136</v>
      </c>
      <c r="AR46" s="730">
        <f>'Inflation GDP Population'!AR6</f>
        <v>144.0922273</v>
      </c>
      <c r="AS46" s="730">
        <f>'Inflation GDP Population'!AS6</f>
        <v>143.5069521</v>
      </c>
      <c r="AT46" s="730">
        <f>'Inflation GDP Population'!AT6</f>
        <v>143.0178862</v>
      </c>
      <c r="AU46" s="730">
        <f>'Inflation GDP Population'!AU6</f>
        <v>142.5049387</v>
      </c>
      <c r="AV46" s="730">
        <f>'Inflation GDP Population'!AV6</f>
        <v>141.6906636</v>
      </c>
      <c r="AW46" s="730">
        <f>'Inflation GDP Population'!AW6</f>
        <v>141.2990719</v>
      </c>
      <c r="AX46" s="730">
        <f>'Inflation GDP Population'!AX6</f>
        <v>142.7951097</v>
      </c>
      <c r="AY46" s="730">
        <f>'Inflation GDP Population'!AY6</f>
        <v>142.995649</v>
      </c>
      <c r="AZ46" s="730">
        <f>'Inflation GDP Population'!AZ6</f>
        <v>142.2877531</v>
      </c>
    </row>
    <row r="47" ht="15.0" customHeight="1">
      <c r="A47" s="535" t="s">
        <v>130</v>
      </c>
      <c r="B47" s="730">
        <f>'Inflation GDP Population'!B7</f>
        <v>164.5391919</v>
      </c>
      <c r="C47" s="730">
        <f>'Inflation GDP Population'!C7</f>
        <v>164.5391919</v>
      </c>
      <c r="D47" s="730">
        <f>'Inflation GDP Population'!D7</f>
        <v>168.536365</v>
      </c>
      <c r="E47" s="730">
        <f>'Inflation GDP Population'!E7</f>
        <v>152.3738823</v>
      </c>
      <c r="F47" s="730">
        <f>'Inflation GDP Population'!F7</f>
        <v>185.2202182</v>
      </c>
      <c r="G47" s="730">
        <f>'Inflation GDP Population'!G7</f>
        <v>194.6048855</v>
      </c>
      <c r="H47" s="730">
        <f>'Inflation GDP Population'!H7</f>
        <v>235.6193578</v>
      </c>
      <c r="I47" s="730">
        <f>'Inflation GDP Population'!I7</f>
        <v>211.9838992</v>
      </c>
      <c r="J47" s="730">
        <f>'Inflation GDP Population'!J7</f>
        <v>215.459702</v>
      </c>
      <c r="K47" s="730">
        <f>'Inflation GDP Population'!K7</f>
        <v>249.3487786</v>
      </c>
      <c r="L47" s="730">
        <f>'Inflation GDP Population'!L7</f>
        <v>174.0976494</v>
      </c>
      <c r="M47" s="730">
        <f>'Inflation GDP Population'!M7</f>
        <v>180.0065141</v>
      </c>
      <c r="N47" s="730">
        <f>'Inflation GDP Population'!N7</f>
        <v>173.4024889</v>
      </c>
      <c r="O47" s="730">
        <f>'Inflation GDP Population'!O7</f>
        <v>149.9408204</v>
      </c>
      <c r="P47" s="730">
        <f>'Inflation GDP Population'!P7</f>
        <v>166.4508834</v>
      </c>
      <c r="Q47" s="730">
        <f>'Inflation GDP Population'!Q7</f>
        <v>178.616193</v>
      </c>
      <c r="R47" s="730">
        <f>'Inflation GDP Population'!R7</f>
        <v>147.1601782</v>
      </c>
      <c r="S47" s="730">
        <f>'Inflation GDP Population'!S7</f>
        <v>157.4927024</v>
      </c>
      <c r="T47" s="730">
        <f>'Inflation GDP Population'!T7</f>
        <v>153.731756</v>
      </c>
      <c r="U47" s="730">
        <f>'Inflation GDP Population'!U7</f>
        <v>157.8122599</v>
      </c>
      <c r="V47" s="730">
        <f>'Inflation GDP Population'!V7</f>
        <v>160</v>
      </c>
      <c r="W47" s="730">
        <f>'Inflation GDP Population'!W7</f>
        <v>161.2135516</v>
      </c>
      <c r="X47" s="730">
        <f>'Inflation GDP Population'!X7</f>
        <v>162.7020288</v>
      </c>
      <c r="Y47" s="730">
        <f>'Inflation GDP Population'!Y7</f>
        <v>165.3558172</v>
      </c>
      <c r="Z47" s="730">
        <f>'Inflation GDP Population'!Z7</f>
        <v>168.4986555</v>
      </c>
      <c r="AA47" s="730">
        <f>'Inflation GDP Population'!AA7</f>
        <v>173.2521157</v>
      </c>
      <c r="AB47" s="730">
        <f>'Inflation GDP Population'!AB7</f>
        <v>176.0495177</v>
      </c>
      <c r="AC47" s="730">
        <f>'Inflation GDP Population'!AC7</f>
        <v>179.5090412</v>
      </c>
      <c r="AD47" s="730">
        <f>'Inflation GDP Population'!AD7</f>
        <v>182.6619188</v>
      </c>
      <c r="AE47" s="730">
        <f>'Inflation GDP Population'!AE7</f>
        <v>186.0261398</v>
      </c>
      <c r="AF47" s="730">
        <f>'Inflation GDP Population'!AF7</f>
        <v>189.4614843</v>
      </c>
      <c r="AG47" s="730">
        <f>'Inflation GDP Population'!AG7</f>
        <v>193.2426184</v>
      </c>
      <c r="AH47" s="730">
        <f>'Inflation GDP Population'!AH7</f>
        <v>196.280162</v>
      </c>
      <c r="AI47" s="730">
        <f>'Inflation GDP Population'!AI7</f>
        <v>199.2590253</v>
      </c>
      <c r="AJ47" s="730">
        <f>'Inflation GDP Population'!AJ7</f>
        <v>202.2999861</v>
      </c>
      <c r="AK47" s="730">
        <f>'Inflation GDP Population'!AK7</f>
        <v>205.6934059</v>
      </c>
      <c r="AL47" s="730">
        <f>'Inflation GDP Population'!AL7</f>
        <v>209.9567085</v>
      </c>
      <c r="AM47" s="730">
        <f>'Inflation GDP Population'!AM7</f>
        <v>214.0891941</v>
      </c>
      <c r="AN47" s="730">
        <f>'Inflation GDP Population'!AN7</f>
        <v>218.8961735</v>
      </c>
      <c r="AO47" s="730">
        <f>'Inflation GDP Population'!AO7</f>
        <v>223.7874028</v>
      </c>
      <c r="AP47" s="730">
        <f>'Inflation GDP Population'!AP7</f>
        <v>228.3537929</v>
      </c>
      <c r="AQ47" s="730">
        <f>'Inflation GDP Population'!AQ7</f>
        <v>232.8193188</v>
      </c>
      <c r="AR47" s="730">
        <f>'Inflation GDP Population'!AR7</f>
        <v>237.2545147</v>
      </c>
      <c r="AS47" s="730">
        <f>'Inflation GDP Population'!AS7</f>
        <v>241.9557517</v>
      </c>
      <c r="AT47" s="730">
        <f>'Inflation GDP Population'!AT7</f>
        <v>246.9714587</v>
      </c>
      <c r="AU47" s="730">
        <f>'Inflation GDP Population'!AU7</f>
        <v>252.1159797</v>
      </c>
      <c r="AV47" s="730">
        <f>'Inflation GDP Population'!AV7</f>
        <v>256.825135</v>
      </c>
      <c r="AW47" s="730">
        <f>'Inflation GDP Population'!AW7</f>
        <v>262.4698527</v>
      </c>
      <c r="AX47" s="730">
        <f>'Inflation GDP Population'!AX7</f>
        <v>271.9310306</v>
      </c>
      <c r="AY47" s="730">
        <f>'Inflation GDP Population'!AY7</f>
        <v>279.1746105</v>
      </c>
      <c r="AZ47" s="730">
        <f>'Inflation GDP Population'!AZ7</f>
        <v>284.8692183</v>
      </c>
    </row>
    <row r="48" ht="15.0" customHeight="1">
      <c r="A48" s="535" t="s">
        <v>1110</v>
      </c>
      <c r="B48" s="546">
        <v>0.0</v>
      </c>
      <c r="C48" s="546">
        <v>0.0</v>
      </c>
      <c r="D48" s="546">
        <v>0.0</v>
      </c>
      <c r="E48" s="546">
        <v>0.0</v>
      </c>
      <c r="F48" s="546">
        <v>0.0</v>
      </c>
      <c r="G48" s="546">
        <v>0.0</v>
      </c>
      <c r="H48" s="546">
        <v>0.0</v>
      </c>
      <c r="I48" s="546">
        <f t="shared" ref="I48:U48" si="17">J48</f>
        <v>0.55</v>
      </c>
      <c r="J48" s="546">
        <f t="shared" si="17"/>
        <v>0.55</v>
      </c>
      <c r="K48" s="546">
        <f t="shared" si="17"/>
        <v>0.55</v>
      </c>
      <c r="L48" s="546">
        <f t="shared" si="17"/>
        <v>0.55</v>
      </c>
      <c r="M48" s="546">
        <f t="shared" si="17"/>
        <v>0.55</v>
      </c>
      <c r="N48" s="546">
        <f t="shared" si="17"/>
        <v>0.55</v>
      </c>
      <c r="O48" s="546">
        <f t="shared" si="17"/>
        <v>0.55</v>
      </c>
      <c r="P48" s="546">
        <f t="shared" si="17"/>
        <v>0.55</v>
      </c>
      <c r="Q48" s="546">
        <f t="shared" si="17"/>
        <v>0.55</v>
      </c>
      <c r="R48" s="546">
        <f t="shared" si="17"/>
        <v>0.55</v>
      </c>
      <c r="S48" s="546">
        <f t="shared" si="17"/>
        <v>0.55</v>
      </c>
      <c r="T48" s="546">
        <f t="shared" si="17"/>
        <v>0.55</v>
      </c>
      <c r="U48" s="546">
        <f t="shared" si="17"/>
        <v>0.55</v>
      </c>
      <c r="V48" s="547">
        <v>0.55</v>
      </c>
      <c r="W48" s="208">
        <f t="shared" ref="W48:AZ48" si="18">V48</f>
        <v>0.55</v>
      </c>
      <c r="X48" s="208">
        <f t="shared" si="18"/>
        <v>0.55</v>
      </c>
      <c r="Y48" s="208">
        <f t="shared" si="18"/>
        <v>0.55</v>
      </c>
      <c r="Z48" s="208">
        <f t="shared" si="18"/>
        <v>0.55</v>
      </c>
      <c r="AA48" s="208">
        <f t="shared" si="18"/>
        <v>0.55</v>
      </c>
      <c r="AB48" s="208">
        <f t="shared" si="18"/>
        <v>0.55</v>
      </c>
      <c r="AC48" s="208">
        <f t="shared" si="18"/>
        <v>0.55</v>
      </c>
      <c r="AD48" s="208">
        <f t="shared" si="18"/>
        <v>0.55</v>
      </c>
      <c r="AE48" s="208">
        <f t="shared" si="18"/>
        <v>0.55</v>
      </c>
      <c r="AF48" s="208">
        <f t="shared" si="18"/>
        <v>0.55</v>
      </c>
      <c r="AG48" s="208">
        <f t="shared" si="18"/>
        <v>0.55</v>
      </c>
      <c r="AH48" s="208">
        <f t="shared" si="18"/>
        <v>0.55</v>
      </c>
      <c r="AI48" s="208">
        <f t="shared" si="18"/>
        <v>0.55</v>
      </c>
      <c r="AJ48" s="208">
        <f t="shared" si="18"/>
        <v>0.55</v>
      </c>
      <c r="AK48" s="208">
        <f t="shared" si="18"/>
        <v>0.55</v>
      </c>
      <c r="AL48" s="208">
        <f t="shared" si="18"/>
        <v>0.55</v>
      </c>
      <c r="AM48" s="208">
        <f t="shared" si="18"/>
        <v>0.55</v>
      </c>
      <c r="AN48" s="208">
        <f t="shared" si="18"/>
        <v>0.55</v>
      </c>
      <c r="AO48" s="208">
        <f t="shared" si="18"/>
        <v>0.55</v>
      </c>
      <c r="AP48" s="208">
        <f t="shared" si="18"/>
        <v>0.55</v>
      </c>
      <c r="AQ48" s="208">
        <f t="shared" si="18"/>
        <v>0.55</v>
      </c>
      <c r="AR48" s="208">
        <f t="shared" si="18"/>
        <v>0.55</v>
      </c>
      <c r="AS48" s="208">
        <f t="shared" si="18"/>
        <v>0.55</v>
      </c>
      <c r="AT48" s="208">
        <f t="shared" si="18"/>
        <v>0.55</v>
      </c>
      <c r="AU48" s="208">
        <f t="shared" si="18"/>
        <v>0.55</v>
      </c>
      <c r="AV48" s="208">
        <f t="shared" si="18"/>
        <v>0.55</v>
      </c>
      <c r="AW48" s="208">
        <f t="shared" si="18"/>
        <v>0.55</v>
      </c>
      <c r="AX48" s="208">
        <f t="shared" si="18"/>
        <v>0.55</v>
      </c>
      <c r="AY48" s="208">
        <f t="shared" si="18"/>
        <v>0.55</v>
      </c>
      <c r="AZ48" s="208">
        <f t="shared" si="18"/>
        <v>0.55</v>
      </c>
    </row>
    <row r="49" ht="15.75" customHeight="1">
      <c r="A49" s="535" t="s">
        <v>137</v>
      </c>
      <c r="B49" s="709">
        <f>C49</f>
        <v>0</v>
      </c>
      <c r="C49" s="709">
        <f>'Inflation GDP Population'!C11-'Inflation GDP Population'!B11</f>
        <v>0</v>
      </c>
      <c r="D49" s="709">
        <f>'Inflation GDP Population'!D11-'Inflation GDP Population'!C11</f>
        <v>0</v>
      </c>
      <c r="E49" s="709">
        <f>'Inflation GDP Population'!E11-'Inflation GDP Population'!D11</f>
        <v>0</v>
      </c>
      <c r="F49" s="709">
        <f>'Inflation GDP Population'!F11-'Inflation GDP Population'!E11</f>
        <v>0.01699083389</v>
      </c>
      <c r="G49" s="709">
        <f>'Inflation GDP Population'!G11-'Inflation GDP Population'!F11</f>
        <v>0.03062821373</v>
      </c>
      <c r="H49" s="709">
        <f>'Inflation GDP Population'!H11-'Inflation GDP Population'!G11</f>
        <v>0.05371115582</v>
      </c>
      <c r="I49" s="709">
        <f>'Inflation GDP Population'!I11-'Inflation GDP Population'!H11</f>
        <v>0.02520679633</v>
      </c>
      <c r="J49" s="709">
        <f>'Inflation GDP Population'!J11-'Inflation GDP Population'!I11</f>
        <v>0.03996199419</v>
      </c>
      <c r="K49" s="709">
        <f>'Inflation GDP Population'!K11-'Inflation GDP Population'!J11</f>
        <v>0.01939414263</v>
      </c>
      <c r="L49" s="709">
        <f>'Inflation GDP Population'!L11-'Inflation GDP Population'!K11</f>
        <v>0.01928236083</v>
      </c>
      <c r="M49" s="709">
        <f>'Inflation GDP Population'!M11-'Inflation GDP Population'!L11</f>
        <v>0.02241225129</v>
      </c>
      <c r="N49" s="709">
        <f>'Inflation GDP Population'!N11-'Inflation GDP Population'!M11</f>
        <v>0.009445562262</v>
      </c>
      <c r="O49" s="709">
        <f>'Inflation GDP Population'!O11-'Inflation GDP Population'!N11</f>
        <v>0.01263134362</v>
      </c>
      <c r="P49" s="709">
        <f>'Inflation GDP Population'!P11-'Inflation GDP Population'!O11</f>
        <v>0.0348200313</v>
      </c>
      <c r="Q49" s="709">
        <f>'Inflation GDP Population'!Q11-'Inflation GDP Population'!P11</f>
        <v>0.01620836128</v>
      </c>
      <c r="R49" s="709">
        <f>'Inflation GDP Population'!R11-'Inflation GDP Population'!Q11</f>
        <v>-0.01061927118</v>
      </c>
      <c r="S49" s="709">
        <f>'Inflation GDP Population'!S11-'Inflation GDP Population'!R11</f>
        <v>0.03923541247</v>
      </c>
      <c r="T49" s="709">
        <f>'Inflation GDP Population'!T11-'Inflation GDP Population'!S11</f>
        <v>0.01263134362</v>
      </c>
      <c r="U49" s="709">
        <f>V49</f>
        <v>0.01989423738</v>
      </c>
      <c r="V49" s="669">
        <f>Inputs!B21</f>
        <v>0.01989423738</v>
      </c>
      <c r="W49" s="710">
        <f t="shared" ref="W49:AZ49" si="19">V49</f>
        <v>0.01989423738</v>
      </c>
      <c r="X49" s="710">
        <f t="shared" si="19"/>
        <v>0.01989423738</v>
      </c>
      <c r="Y49" s="710">
        <f t="shared" si="19"/>
        <v>0.01989423738</v>
      </c>
      <c r="Z49" s="710">
        <f t="shared" si="19"/>
        <v>0.01989423738</v>
      </c>
      <c r="AA49" s="710">
        <f t="shared" si="19"/>
        <v>0.01989423738</v>
      </c>
      <c r="AB49" s="710">
        <f t="shared" si="19"/>
        <v>0.01989423738</v>
      </c>
      <c r="AC49" s="710">
        <f t="shared" si="19"/>
        <v>0.01989423738</v>
      </c>
      <c r="AD49" s="710">
        <f t="shared" si="19"/>
        <v>0.01989423738</v>
      </c>
      <c r="AE49" s="710">
        <f t="shared" si="19"/>
        <v>0.01989423738</v>
      </c>
      <c r="AF49" s="710">
        <f t="shared" si="19"/>
        <v>0.01989423738</v>
      </c>
      <c r="AG49" s="710">
        <f t="shared" si="19"/>
        <v>0.01989423738</v>
      </c>
      <c r="AH49" s="710">
        <f t="shared" si="19"/>
        <v>0.01989423738</v>
      </c>
      <c r="AI49" s="710">
        <f t="shared" si="19"/>
        <v>0.01989423738</v>
      </c>
      <c r="AJ49" s="710">
        <f t="shared" si="19"/>
        <v>0.01989423738</v>
      </c>
      <c r="AK49" s="710">
        <f t="shared" si="19"/>
        <v>0.01989423738</v>
      </c>
      <c r="AL49" s="710">
        <f t="shared" si="19"/>
        <v>0.01989423738</v>
      </c>
      <c r="AM49" s="710">
        <f t="shared" si="19"/>
        <v>0.01989423738</v>
      </c>
      <c r="AN49" s="710">
        <f t="shared" si="19"/>
        <v>0.01989423738</v>
      </c>
      <c r="AO49" s="710">
        <f t="shared" si="19"/>
        <v>0.01989423738</v>
      </c>
      <c r="AP49" s="710">
        <f t="shared" si="19"/>
        <v>0.01989423738</v>
      </c>
      <c r="AQ49" s="710">
        <f t="shared" si="19"/>
        <v>0.01989423738</v>
      </c>
      <c r="AR49" s="710">
        <f t="shared" si="19"/>
        <v>0.01989423738</v>
      </c>
      <c r="AS49" s="710">
        <f t="shared" si="19"/>
        <v>0.01989423738</v>
      </c>
      <c r="AT49" s="710">
        <f t="shared" si="19"/>
        <v>0.01989423738</v>
      </c>
      <c r="AU49" s="710">
        <f t="shared" si="19"/>
        <v>0.01989423738</v>
      </c>
      <c r="AV49" s="710">
        <f t="shared" si="19"/>
        <v>0.01989423738</v>
      </c>
      <c r="AW49" s="710">
        <f t="shared" si="19"/>
        <v>0.01989423738</v>
      </c>
      <c r="AX49" s="710">
        <f t="shared" si="19"/>
        <v>0.01989423738</v>
      </c>
      <c r="AY49" s="710">
        <f t="shared" si="19"/>
        <v>0.01989423738</v>
      </c>
      <c r="AZ49" s="710">
        <f t="shared" si="19"/>
        <v>0.01989423738</v>
      </c>
    </row>
    <row r="50" ht="15.75" customHeight="1">
      <c r="A50" s="535"/>
      <c r="B50" s="535"/>
      <c r="C50" s="535"/>
      <c r="D50" s="535"/>
      <c r="E50" s="535"/>
      <c r="F50" s="535"/>
      <c r="G50" s="535"/>
      <c r="H50" s="535"/>
      <c r="I50" s="535"/>
      <c r="J50" s="535"/>
      <c r="K50" s="535"/>
      <c r="L50" s="535"/>
      <c r="M50" s="535"/>
      <c r="N50" s="535"/>
      <c r="O50" s="535"/>
      <c r="P50" s="535"/>
      <c r="Q50" s="535"/>
      <c r="R50" s="535"/>
      <c r="S50" s="535"/>
      <c r="T50" s="535"/>
      <c r="U50" s="535"/>
      <c r="V50" s="141"/>
      <c r="W50" s="710"/>
      <c r="X50" s="710"/>
      <c r="Y50" s="710"/>
      <c r="Z50" s="710"/>
      <c r="AA50" s="710"/>
      <c r="AB50" s="710"/>
      <c r="AC50" s="710"/>
      <c r="AD50" s="710"/>
      <c r="AE50" s="710"/>
      <c r="AF50" s="710"/>
      <c r="AG50" s="710"/>
      <c r="AH50" s="710"/>
      <c r="AI50" s="710"/>
      <c r="AJ50" s="710"/>
      <c r="AK50" s="710"/>
      <c r="AL50" s="710"/>
      <c r="AM50" s="710"/>
      <c r="AN50" s="710"/>
      <c r="AO50" s="710"/>
      <c r="AP50" s="710"/>
      <c r="AQ50" s="710"/>
      <c r="AR50" s="710"/>
      <c r="AS50" s="710"/>
      <c r="AT50" s="710"/>
      <c r="AU50" s="710"/>
      <c r="AV50" s="710"/>
      <c r="AW50" s="710"/>
      <c r="AX50" s="710"/>
      <c r="AY50" s="710"/>
      <c r="AZ50" s="710"/>
    </row>
    <row r="51" ht="15.75" customHeight="1">
      <c r="A51" s="409" t="s">
        <v>140</v>
      </c>
      <c r="B51" s="38"/>
      <c r="C51" s="38"/>
      <c r="D51" s="38"/>
      <c r="E51" s="38"/>
      <c r="F51" s="38"/>
      <c r="G51" s="38"/>
      <c r="H51" s="38"/>
      <c r="I51" s="38"/>
      <c r="J51" s="38"/>
      <c r="K51" s="38"/>
      <c r="L51" s="38"/>
      <c r="M51" s="38"/>
      <c r="N51" s="38"/>
      <c r="O51" s="38"/>
      <c r="P51" s="38"/>
      <c r="Q51" s="38"/>
      <c r="R51" s="38"/>
      <c r="S51" s="38"/>
      <c r="T51" s="38"/>
      <c r="U51" s="38"/>
      <c r="V51" s="32"/>
      <c r="W51" s="252">
        <f t="shared" ref="W51:BA51" si="20">SUM(W53:W173)</f>
        <v>0</v>
      </c>
      <c r="X51" s="252">
        <f t="shared" si="20"/>
        <v>0</v>
      </c>
      <c r="Y51" s="252">
        <f t="shared" si="20"/>
        <v>0</v>
      </c>
      <c r="Z51" s="252">
        <f t="shared" si="20"/>
        <v>0</v>
      </c>
      <c r="AA51" s="252">
        <f t="shared" si="20"/>
        <v>0</v>
      </c>
      <c r="AB51" s="252">
        <f t="shared" si="20"/>
        <v>0</v>
      </c>
      <c r="AC51" s="252">
        <f t="shared" si="20"/>
        <v>0</v>
      </c>
      <c r="AD51" s="252">
        <f t="shared" si="20"/>
        <v>0</v>
      </c>
      <c r="AE51" s="252">
        <f t="shared" si="20"/>
        <v>0</v>
      </c>
      <c r="AF51" s="252">
        <f t="shared" si="20"/>
        <v>0</v>
      </c>
      <c r="AG51" s="252">
        <f t="shared" si="20"/>
        <v>0</v>
      </c>
      <c r="AH51" s="252">
        <f t="shared" si="20"/>
        <v>0</v>
      </c>
      <c r="AI51" s="252">
        <f t="shared" si="20"/>
        <v>0</v>
      </c>
      <c r="AJ51" s="252">
        <f t="shared" si="20"/>
        <v>3.2</v>
      </c>
      <c r="AK51" s="252">
        <f t="shared" si="20"/>
        <v>0</v>
      </c>
      <c r="AL51" s="252">
        <f t="shared" si="20"/>
        <v>7.4</v>
      </c>
      <c r="AM51" s="252">
        <f t="shared" si="20"/>
        <v>26.5</v>
      </c>
      <c r="AN51" s="252">
        <f t="shared" si="20"/>
        <v>111.6</v>
      </c>
      <c r="AO51" s="252">
        <f t="shared" si="20"/>
        <v>282.4</v>
      </c>
      <c r="AP51" s="252">
        <f t="shared" si="20"/>
        <v>408.4</v>
      </c>
      <c r="AQ51" s="252">
        <f t="shared" si="20"/>
        <v>1090.3</v>
      </c>
      <c r="AR51" s="252">
        <f t="shared" si="20"/>
        <v>1654.1</v>
      </c>
      <c r="AS51" s="252">
        <f t="shared" si="20"/>
        <v>1461.1</v>
      </c>
      <c r="AT51" s="252">
        <f t="shared" si="20"/>
        <v>880.2</v>
      </c>
      <c r="AU51" s="252">
        <f t="shared" si="20"/>
        <v>0</v>
      </c>
      <c r="AV51" s="252">
        <f t="shared" si="20"/>
        <v>0</v>
      </c>
      <c r="AW51" s="253">
        <f t="shared" si="20"/>
        <v>1415.968292</v>
      </c>
      <c r="AX51" s="253">
        <f t="shared" si="20"/>
        <v>1415.968292</v>
      </c>
      <c r="AY51" s="253">
        <f t="shared" si="20"/>
        <v>1415.968292</v>
      </c>
      <c r="AZ51" s="253">
        <f t="shared" si="20"/>
        <v>1415.968292</v>
      </c>
      <c r="BA51" s="253">
        <f t="shared" si="20"/>
        <v>1415.968292</v>
      </c>
    </row>
    <row r="52" ht="15.75" customHeight="1">
      <c r="A52" s="733" t="s">
        <v>1012</v>
      </c>
      <c r="B52" s="733"/>
      <c r="C52" s="733"/>
      <c r="D52" s="733"/>
      <c r="E52" s="733"/>
      <c r="F52" s="733"/>
      <c r="G52" s="733"/>
      <c r="H52" s="733"/>
      <c r="I52" s="733"/>
      <c r="J52" s="733"/>
      <c r="K52" s="733"/>
      <c r="L52" s="733"/>
      <c r="M52" s="733"/>
      <c r="N52" s="733"/>
      <c r="O52" s="733"/>
      <c r="P52" s="733"/>
      <c r="Q52" s="733"/>
      <c r="R52" s="733"/>
      <c r="S52" s="733"/>
      <c r="T52" s="733"/>
      <c r="U52" s="733"/>
      <c r="V52" s="786" t="s">
        <v>1015</v>
      </c>
      <c r="W52" s="159">
        <v>2020.0</v>
      </c>
      <c r="X52" s="159">
        <v>2021.0</v>
      </c>
      <c r="Y52" s="159">
        <v>2022.0</v>
      </c>
      <c r="Z52" s="159">
        <v>2023.0</v>
      </c>
      <c r="AA52" s="159">
        <v>2024.0</v>
      </c>
      <c r="AB52" s="159">
        <v>2025.0</v>
      </c>
      <c r="AC52" s="159">
        <v>2026.0</v>
      </c>
      <c r="AD52" s="159">
        <v>2027.0</v>
      </c>
      <c r="AE52" s="159">
        <v>2028.0</v>
      </c>
      <c r="AF52" s="159">
        <v>2029.0</v>
      </c>
      <c r="AG52" s="159">
        <v>2030.0</v>
      </c>
      <c r="AH52" s="159">
        <v>2031.0</v>
      </c>
      <c r="AI52" s="159">
        <v>2032.0</v>
      </c>
      <c r="AJ52" s="159">
        <v>2033.0</v>
      </c>
      <c r="AK52" s="159">
        <v>2034.0</v>
      </c>
      <c r="AL52" s="159">
        <v>2035.0</v>
      </c>
      <c r="AM52" s="159">
        <v>2036.0</v>
      </c>
      <c r="AN52" s="159">
        <v>2037.0</v>
      </c>
      <c r="AO52" s="159">
        <v>2038.0</v>
      </c>
      <c r="AP52" s="159">
        <v>2039.0</v>
      </c>
      <c r="AQ52" s="159">
        <v>2040.0</v>
      </c>
      <c r="AR52" s="159">
        <v>2041.0</v>
      </c>
      <c r="AS52" s="159">
        <v>2042.0</v>
      </c>
      <c r="AT52" s="159">
        <v>2043.0</v>
      </c>
      <c r="AU52" s="159">
        <v>2044.0</v>
      </c>
      <c r="AV52" s="159">
        <v>2045.0</v>
      </c>
      <c r="AW52" s="159">
        <v>2046.0</v>
      </c>
      <c r="AX52" s="159">
        <v>2047.0</v>
      </c>
      <c r="AY52" s="159">
        <v>2048.0</v>
      </c>
      <c r="AZ52" s="159">
        <v>2049.0</v>
      </c>
      <c r="BA52" s="159">
        <v>2050.0</v>
      </c>
    </row>
    <row r="53" ht="15.75" customHeight="1">
      <c r="A53" s="787">
        <v>1930.0</v>
      </c>
      <c r="B53" s="38"/>
      <c r="C53" s="38"/>
      <c r="D53" s="38"/>
      <c r="E53" s="38"/>
      <c r="F53" s="38"/>
      <c r="G53" s="38"/>
      <c r="H53" s="38"/>
      <c r="I53" s="38"/>
      <c r="J53" s="38"/>
      <c r="K53" s="38"/>
      <c r="L53" s="38"/>
      <c r="M53" s="38"/>
      <c r="N53" s="38"/>
      <c r="O53" s="38"/>
      <c r="P53" s="38"/>
      <c r="Q53" s="38"/>
      <c r="R53" s="38"/>
      <c r="S53" s="38"/>
      <c r="T53" s="38"/>
      <c r="U53" s="38"/>
      <c r="V53" s="801">
        <v>0.0</v>
      </c>
      <c r="W53" s="252">
        <f t="shared" ref="W53:W173" si="22">IF(W$52-$A53&gt;$V$35,$V53,0)</f>
        <v>0</v>
      </c>
      <c r="X53" s="252">
        <f t="shared" ref="X53:BA53" si="21">IF(AND(X$52-$A53&gt;$V$35,SUM($W53:W53)&lt;&gt;$V53),$V53,0)</f>
        <v>0</v>
      </c>
      <c r="Y53" s="252">
        <f t="shared" si="21"/>
        <v>0</v>
      </c>
      <c r="Z53" s="252">
        <f t="shared" si="21"/>
        <v>0</v>
      </c>
      <c r="AA53" s="252">
        <f t="shared" si="21"/>
        <v>0</v>
      </c>
      <c r="AB53" s="252">
        <f t="shared" si="21"/>
        <v>0</v>
      </c>
      <c r="AC53" s="252">
        <f t="shared" si="21"/>
        <v>0</v>
      </c>
      <c r="AD53" s="252">
        <f t="shared" si="21"/>
        <v>0</v>
      </c>
      <c r="AE53" s="252">
        <f t="shared" si="21"/>
        <v>0</v>
      </c>
      <c r="AF53" s="252">
        <f t="shared" si="21"/>
        <v>0</v>
      </c>
      <c r="AG53" s="252">
        <f t="shared" si="21"/>
        <v>0</v>
      </c>
      <c r="AH53" s="252">
        <f t="shared" si="21"/>
        <v>0</v>
      </c>
      <c r="AI53" s="252">
        <f t="shared" si="21"/>
        <v>0</v>
      </c>
      <c r="AJ53" s="252">
        <f t="shared" si="21"/>
        <v>0</v>
      </c>
      <c r="AK53" s="252">
        <f t="shared" si="21"/>
        <v>0</v>
      </c>
      <c r="AL53" s="252">
        <f t="shared" si="21"/>
        <v>0</v>
      </c>
      <c r="AM53" s="252">
        <f t="shared" si="21"/>
        <v>0</v>
      </c>
      <c r="AN53" s="252">
        <f t="shared" si="21"/>
        <v>0</v>
      </c>
      <c r="AO53" s="252">
        <f t="shared" si="21"/>
        <v>0</v>
      </c>
      <c r="AP53" s="252">
        <f t="shared" si="21"/>
        <v>0</v>
      </c>
      <c r="AQ53" s="252">
        <f t="shared" si="21"/>
        <v>0</v>
      </c>
      <c r="AR53" s="252">
        <f t="shared" si="21"/>
        <v>0</v>
      </c>
      <c r="AS53" s="252">
        <f t="shared" si="21"/>
        <v>0</v>
      </c>
      <c r="AT53" s="252">
        <f t="shared" si="21"/>
        <v>0</v>
      </c>
      <c r="AU53" s="252">
        <f t="shared" si="21"/>
        <v>0</v>
      </c>
      <c r="AV53" s="252">
        <f t="shared" si="21"/>
        <v>0</v>
      </c>
      <c r="AW53" s="252">
        <f t="shared" si="21"/>
        <v>0</v>
      </c>
      <c r="AX53" s="252">
        <f t="shared" si="21"/>
        <v>0</v>
      </c>
      <c r="AY53" s="252">
        <f t="shared" si="21"/>
        <v>0</v>
      </c>
      <c r="AZ53" s="252">
        <f t="shared" si="21"/>
        <v>0</v>
      </c>
      <c r="BA53" s="252">
        <f t="shared" si="21"/>
        <v>0</v>
      </c>
    </row>
    <row r="54" ht="15.75" customHeight="1">
      <c r="A54" s="787">
        <v>1931.0</v>
      </c>
      <c r="B54" s="38"/>
      <c r="C54" s="38"/>
      <c r="D54" s="38"/>
      <c r="E54" s="38"/>
      <c r="F54" s="38"/>
      <c r="G54" s="38"/>
      <c r="H54" s="38"/>
      <c r="I54" s="38"/>
      <c r="J54" s="38"/>
      <c r="K54" s="38"/>
      <c r="L54" s="38"/>
      <c r="M54" s="38"/>
      <c r="N54" s="38"/>
      <c r="O54" s="38"/>
      <c r="P54" s="38"/>
      <c r="Q54" s="38"/>
      <c r="R54" s="38"/>
      <c r="S54" s="38"/>
      <c r="T54" s="38"/>
      <c r="U54" s="38"/>
      <c r="V54" s="801">
        <v>0.0</v>
      </c>
      <c r="W54" s="252">
        <f t="shared" si="22"/>
        <v>0</v>
      </c>
      <c r="X54" s="252">
        <f t="shared" ref="X54:BA54" si="23">IF(AND(X$52-$A54&gt;$V$35,SUM($W54:W54)&lt;&gt;$V54),$V54,0)</f>
        <v>0</v>
      </c>
      <c r="Y54" s="252">
        <f t="shared" si="23"/>
        <v>0</v>
      </c>
      <c r="Z54" s="252">
        <f t="shared" si="23"/>
        <v>0</v>
      </c>
      <c r="AA54" s="252">
        <f t="shared" si="23"/>
        <v>0</v>
      </c>
      <c r="AB54" s="252">
        <f t="shared" si="23"/>
        <v>0</v>
      </c>
      <c r="AC54" s="252">
        <f t="shared" si="23"/>
        <v>0</v>
      </c>
      <c r="AD54" s="252">
        <f t="shared" si="23"/>
        <v>0</v>
      </c>
      <c r="AE54" s="252">
        <f t="shared" si="23"/>
        <v>0</v>
      </c>
      <c r="AF54" s="252">
        <f t="shared" si="23"/>
        <v>0</v>
      </c>
      <c r="AG54" s="252">
        <f t="shared" si="23"/>
        <v>0</v>
      </c>
      <c r="AH54" s="252">
        <f t="shared" si="23"/>
        <v>0</v>
      </c>
      <c r="AI54" s="252">
        <f t="shared" si="23"/>
        <v>0</v>
      </c>
      <c r="AJ54" s="252">
        <f t="shared" si="23"/>
        <v>0</v>
      </c>
      <c r="AK54" s="252">
        <f t="shared" si="23"/>
        <v>0</v>
      </c>
      <c r="AL54" s="252">
        <f t="shared" si="23"/>
        <v>0</v>
      </c>
      <c r="AM54" s="252">
        <f t="shared" si="23"/>
        <v>0</v>
      </c>
      <c r="AN54" s="252">
        <f t="shared" si="23"/>
        <v>0</v>
      </c>
      <c r="AO54" s="252">
        <f t="shared" si="23"/>
        <v>0</v>
      </c>
      <c r="AP54" s="252">
        <f t="shared" si="23"/>
        <v>0</v>
      </c>
      <c r="AQ54" s="252">
        <f t="shared" si="23"/>
        <v>0</v>
      </c>
      <c r="AR54" s="252">
        <f t="shared" si="23"/>
        <v>0</v>
      </c>
      <c r="AS54" s="252">
        <f t="shared" si="23"/>
        <v>0</v>
      </c>
      <c r="AT54" s="252">
        <f t="shared" si="23"/>
        <v>0</v>
      </c>
      <c r="AU54" s="252">
        <f t="shared" si="23"/>
        <v>0</v>
      </c>
      <c r="AV54" s="252">
        <f t="shared" si="23"/>
        <v>0</v>
      </c>
      <c r="AW54" s="252">
        <f t="shared" si="23"/>
        <v>0</v>
      </c>
      <c r="AX54" s="252">
        <f t="shared" si="23"/>
        <v>0</v>
      </c>
      <c r="AY54" s="252">
        <f t="shared" si="23"/>
        <v>0</v>
      </c>
      <c r="AZ54" s="252">
        <f t="shared" si="23"/>
        <v>0</v>
      </c>
      <c r="BA54" s="252">
        <f t="shared" si="23"/>
        <v>0</v>
      </c>
    </row>
    <row r="55" ht="15.75" customHeight="1">
      <c r="A55" s="787">
        <v>1932.0</v>
      </c>
      <c r="B55" s="38"/>
      <c r="C55" s="38"/>
      <c r="D55" s="38"/>
      <c r="E55" s="38"/>
      <c r="F55" s="38"/>
      <c r="G55" s="38"/>
      <c r="H55" s="38"/>
      <c r="I55" s="38"/>
      <c r="J55" s="38"/>
      <c r="K55" s="38"/>
      <c r="L55" s="38"/>
      <c r="M55" s="38"/>
      <c r="N55" s="38"/>
      <c r="O55" s="38"/>
      <c r="P55" s="38"/>
      <c r="Q55" s="38"/>
      <c r="R55" s="38"/>
      <c r="S55" s="38"/>
      <c r="T55" s="38"/>
      <c r="U55" s="38"/>
      <c r="V55" s="801">
        <v>0.0</v>
      </c>
      <c r="W55" s="252">
        <f t="shared" si="22"/>
        <v>0</v>
      </c>
      <c r="X55" s="252">
        <f t="shared" ref="X55:BA55" si="24">IF(AND(X$52-$A55&gt;$V$35,SUM($W55:W55)&lt;&gt;$V55),$V55,0)</f>
        <v>0</v>
      </c>
      <c r="Y55" s="252">
        <f t="shared" si="24"/>
        <v>0</v>
      </c>
      <c r="Z55" s="252">
        <f t="shared" si="24"/>
        <v>0</v>
      </c>
      <c r="AA55" s="252">
        <f t="shared" si="24"/>
        <v>0</v>
      </c>
      <c r="AB55" s="252">
        <f t="shared" si="24"/>
        <v>0</v>
      </c>
      <c r="AC55" s="252">
        <f t="shared" si="24"/>
        <v>0</v>
      </c>
      <c r="AD55" s="252">
        <f t="shared" si="24"/>
        <v>0</v>
      </c>
      <c r="AE55" s="252">
        <f t="shared" si="24"/>
        <v>0</v>
      </c>
      <c r="AF55" s="252">
        <f t="shared" si="24"/>
        <v>0</v>
      </c>
      <c r="AG55" s="252">
        <f t="shared" si="24"/>
        <v>0</v>
      </c>
      <c r="AH55" s="252">
        <f t="shared" si="24"/>
        <v>0</v>
      </c>
      <c r="AI55" s="252">
        <f t="shared" si="24"/>
        <v>0</v>
      </c>
      <c r="AJ55" s="252">
        <f t="shared" si="24"/>
        <v>0</v>
      </c>
      <c r="AK55" s="252">
        <f t="shared" si="24"/>
        <v>0</v>
      </c>
      <c r="AL55" s="252">
        <f t="shared" si="24"/>
        <v>0</v>
      </c>
      <c r="AM55" s="252">
        <f t="shared" si="24"/>
        <v>0</v>
      </c>
      <c r="AN55" s="252">
        <f t="shared" si="24"/>
        <v>0</v>
      </c>
      <c r="AO55" s="252">
        <f t="shared" si="24"/>
        <v>0</v>
      </c>
      <c r="AP55" s="252">
        <f t="shared" si="24"/>
        <v>0</v>
      </c>
      <c r="AQ55" s="252">
        <f t="shared" si="24"/>
        <v>0</v>
      </c>
      <c r="AR55" s="252">
        <f t="shared" si="24"/>
        <v>0</v>
      </c>
      <c r="AS55" s="252">
        <f t="shared" si="24"/>
        <v>0</v>
      </c>
      <c r="AT55" s="252">
        <f t="shared" si="24"/>
        <v>0</v>
      </c>
      <c r="AU55" s="252">
        <f t="shared" si="24"/>
        <v>0</v>
      </c>
      <c r="AV55" s="252">
        <f t="shared" si="24"/>
        <v>0</v>
      </c>
      <c r="AW55" s="252">
        <f t="shared" si="24"/>
        <v>0</v>
      </c>
      <c r="AX55" s="252">
        <f t="shared" si="24"/>
        <v>0</v>
      </c>
      <c r="AY55" s="252">
        <f t="shared" si="24"/>
        <v>0</v>
      </c>
      <c r="AZ55" s="252">
        <f t="shared" si="24"/>
        <v>0</v>
      </c>
      <c r="BA55" s="252">
        <f t="shared" si="24"/>
        <v>0</v>
      </c>
    </row>
    <row r="56" ht="15.75" customHeight="1">
      <c r="A56" s="787">
        <v>1933.0</v>
      </c>
      <c r="B56" s="38"/>
      <c r="C56" s="38"/>
      <c r="D56" s="38"/>
      <c r="E56" s="38"/>
      <c r="F56" s="38"/>
      <c r="G56" s="38"/>
      <c r="H56" s="38"/>
      <c r="I56" s="38"/>
      <c r="J56" s="38"/>
      <c r="K56" s="38"/>
      <c r="L56" s="38"/>
      <c r="M56" s="38"/>
      <c r="N56" s="38"/>
      <c r="O56" s="38"/>
      <c r="P56" s="38"/>
      <c r="Q56" s="38"/>
      <c r="R56" s="38"/>
      <c r="S56" s="38"/>
      <c r="T56" s="38"/>
      <c r="U56" s="38"/>
      <c r="V56" s="801">
        <v>0.0</v>
      </c>
      <c r="W56" s="252">
        <f t="shared" si="22"/>
        <v>0</v>
      </c>
      <c r="X56" s="252">
        <f t="shared" ref="X56:BA56" si="25">IF(AND(X$52-$A56&gt;$V$35,SUM($W56:W56)&lt;&gt;$V56),$V56,0)</f>
        <v>0</v>
      </c>
      <c r="Y56" s="252">
        <f t="shared" si="25"/>
        <v>0</v>
      </c>
      <c r="Z56" s="252">
        <f t="shared" si="25"/>
        <v>0</v>
      </c>
      <c r="AA56" s="252">
        <f t="shared" si="25"/>
        <v>0</v>
      </c>
      <c r="AB56" s="252">
        <f t="shared" si="25"/>
        <v>0</v>
      </c>
      <c r="AC56" s="252">
        <f t="shared" si="25"/>
        <v>0</v>
      </c>
      <c r="AD56" s="252">
        <f t="shared" si="25"/>
        <v>0</v>
      </c>
      <c r="AE56" s="252">
        <f t="shared" si="25"/>
        <v>0</v>
      </c>
      <c r="AF56" s="252">
        <f t="shared" si="25"/>
        <v>0</v>
      </c>
      <c r="AG56" s="252">
        <f t="shared" si="25"/>
        <v>0</v>
      </c>
      <c r="AH56" s="252">
        <f t="shared" si="25"/>
        <v>0</v>
      </c>
      <c r="AI56" s="252">
        <f t="shared" si="25"/>
        <v>0</v>
      </c>
      <c r="AJ56" s="252">
        <f t="shared" si="25"/>
        <v>0</v>
      </c>
      <c r="AK56" s="252">
        <f t="shared" si="25"/>
        <v>0</v>
      </c>
      <c r="AL56" s="252">
        <f t="shared" si="25"/>
        <v>0</v>
      </c>
      <c r="AM56" s="252">
        <f t="shared" si="25"/>
        <v>0</v>
      </c>
      <c r="AN56" s="252">
        <f t="shared" si="25"/>
        <v>0</v>
      </c>
      <c r="AO56" s="252">
        <f t="shared" si="25"/>
        <v>0</v>
      </c>
      <c r="AP56" s="252">
        <f t="shared" si="25"/>
        <v>0</v>
      </c>
      <c r="AQ56" s="252">
        <f t="shared" si="25"/>
        <v>0</v>
      </c>
      <c r="AR56" s="252">
        <f t="shared" si="25"/>
        <v>0</v>
      </c>
      <c r="AS56" s="252">
        <f t="shared" si="25"/>
        <v>0</v>
      </c>
      <c r="AT56" s="252">
        <f t="shared" si="25"/>
        <v>0</v>
      </c>
      <c r="AU56" s="252">
        <f t="shared" si="25"/>
        <v>0</v>
      </c>
      <c r="AV56" s="252">
        <f t="shared" si="25"/>
        <v>0</v>
      </c>
      <c r="AW56" s="252">
        <f t="shared" si="25"/>
        <v>0</v>
      </c>
      <c r="AX56" s="252">
        <f t="shared" si="25"/>
        <v>0</v>
      </c>
      <c r="AY56" s="252">
        <f t="shared" si="25"/>
        <v>0</v>
      </c>
      <c r="AZ56" s="252">
        <f t="shared" si="25"/>
        <v>0</v>
      </c>
      <c r="BA56" s="252">
        <f t="shared" si="25"/>
        <v>0</v>
      </c>
    </row>
    <row r="57" ht="15.75" customHeight="1">
      <c r="A57" s="787">
        <v>1934.0</v>
      </c>
      <c r="B57" s="38"/>
      <c r="C57" s="38"/>
      <c r="D57" s="38"/>
      <c r="E57" s="38"/>
      <c r="F57" s="38"/>
      <c r="G57" s="38"/>
      <c r="H57" s="38"/>
      <c r="I57" s="38"/>
      <c r="J57" s="38"/>
      <c r="K57" s="38"/>
      <c r="L57" s="38"/>
      <c r="M57" s="38"/>
      <c r="N57" s="38"/>
      <c r="O57" s="38"/>
      <c r="P57" s="38"/>
      <c r="Q57" s="38"/>
      <c r="R57" s="38"/>
      <c r="S57" s="38"/>
      <c r="T57" s="38"/>
      <c r="U57" s="38"/>
      <c r="V57" s="801">
        <v>0.0</v>
      </c>
      <c r="W57" s="252">
        <f t="shared" si="22"/>
        <v>0</v>
      </c>
      <c r="X57" s="252">
        <f t="shared" ref="X57:BA57" si="26">IF(AND(X$52-$A57&gt;$V$35,SUM($W57:W57)&lt;&gt;$V57),$V57,0)</f>
        <v>0</v>
      </c>
      <c r="Y57" s="252">
        <f t="shared" si="26"/>
        <v>0</v>
      </c>
      <c r="Z57" s="252">
        <f t="shared" si="26"/>
        <v>0</v>
      </c>
      <c r="AA57" s="252">
        <f t="shared" si="26"/>
        <v>0</v>
      </c>
      <c r="AB57" s="252">
        <f t="shared" si="26"/>
        <v>0</v>
      </c>
      <c r="AC57" s="252">
        <f t="shared" si="26"/>
        <v>0</v>
      </c>
      <c r="AD57" s="252">
        <f t="shared" si="26"/>
        <v>0</v>
      </c>
      <c r="AE57" s="252">
        <f t="shared" si="26"/>
        <v>0</v>
      </c>
      <c r="AF57" s="252">
        <f t="shared" si="26"/>
        <v>0</v>
      </c>
      <c r="AG57" s="252">
        <f t="shared" si="26"/>
        <v>0</v>
      </c>
      <c r="AH57" s="252">
        <f t="shared" si="26"/>
        <v>0</v>
      </c>
      <c r="AI57" s="252">
        <f t="shared" si="26"/>
        <v>0</v>
      </c>
      <c r="AJ57" s="252">
        <f t="shared" si="26"/>
        <v>0</v>
      </c>
      <c r="AK57" s="252">
        <f t="shared" si="26"/>
        <v>0</v>
      </c>
      <c r="AL57" s="252">
        <f t="shared" si="26"/>
        <v>0</v>
      </c>
      <c r="AM57" s="252">
        <f t="shared" si="26"/>
        <v>0</v>
      </c>
      <c r="AN57" s="252">
        <f t="shared" si="26"/>
        <v>0</v>
      </c>
      <c r="AO57" s="252">
        <f t="shared" si="26"/>
        <v>0</v>
      </c>
      <c r="AP57" s="252">
        <f t="shared" si="26"/>
        <v>0</v>
      </c>
      <c r="AQ57" s="252">
        <f t="shared" si="26"/>
        <v>0</v>
      </c>
      <c r="AR57" s="252">
        <f t="shared" si="26"/>
        <v>0</v>
      </c>
      <c r="AS57" s="252">
        <f t="shared" si="26"/>
        <v>0</v>
      </c>
      <c r="AT57" s="252">
        <f t="shared" si="26"/>
        <v>0</v>
      </c>
      <c r="AU57" s="252">
        <f t="shared" si="26"/>
        <v>0</v>
      </c>
      <c r="AV57" s="252">
        <f t="shared" si="26"/>
        <v>0</v>
      </c>
      <c r="AW57" s="252">
        <f t="shared" si="26"/>
        <v>0</v>
      </c>
      <c r="AX57" s="252">
        <f t="shared" si="26"/>
        <v>0</v>
      </c>
      <c r="AY57" s="252">
        <f t="shared" si="26"/>
        <v>0</v>
      </c>
      <c r="AZ57" s="252">
        <f t="shared" si="26"/>
        <v>0</v>
      </c>
      <c r="BA57" s="252">
        <f t="shared" si="26"/>
        <v>0</v>
      </c>
    </row>
    <row r="58" ht="15.75" customHeight="1">
      <c r="A58" s="787">
        <v>1935.0</v>
      </c>
      <c r="B58" s="38"/>
      <c r="C58" s="38"/>
      <c r="D58" s="38"/>
      <c r="E58" s="38"/>
      <c r="F58" s="38"/>
      <c r="G58" s="38"/>
      <c r="H58" s="38"/>
      <c r="I58" s="38"/>
      <c r="J58" s="38"/>
      <c r="K58" s="38"/>
      <c r="L58" s="38"/>
      <c r="M58" s="38"/>
      <c r="N58" s="38"/>
      <c r="O58" s="38"/>
      <c r="P58" s="38"/>
      <c r="Q58" s="38"/>
      <c r="R58" s="38"/>
      <c r="S58" s="38"/>
      <c r="T58" s="38"/>
      <c r="U58" s="38"/>
      <c r="V58" s="801">
        <v>0.0</v>
      </c>
      <c r="W58" s="252">
        <f t="shared" si="22"/>
        <v>0</v>
      </c>
      <c r="X58" s="252">
        <f t="shared" ref="X58:BA58" si="27">IF(AND(X$52-$A58&gt;$V$35,SUM($W58:W58)&lt;&gt;$V58),$V58,0)</f>
        <v>0</v>
      </c>
      <c r="Y58" s="252">
        <f t="shared" si="27"/>
        <v>0</v>
      </c>
      <c r="Z58" s="252">
        <f t="shared" si="27"/>
        <v>0</v>
      </c>
      <c r="AA58" s="252">
        <f t="shared" si="27"/>
        <v>0</v>
      </c>
      <c r="AB58" s="252">
        <f t="shared" si="27"/>
        <v>0</v>
      </c>
      <c r="AC58" s="252">
        <f t="shared" si="27"/>
        <v>0</v>
      </c>
      <c r="AD58" s="252">
        <f t="shared" si="27"/>
        <v>0</v>
      </c>
      <c r="AE58" s="252">
        <f t="shared" si="27"/>
        <v>0</v>
      </c>
      <c r="AF58" s="252">
        <f t="shared" si="27"/>
        <v>0</v>
      </c>
      <c r="AG58" s="252">
        <f t="shared" si="27"/>
        <v>0</v>
      </c>
      <c r="AH58" s="252">
        <f t="shared" si="27"/>
        <v>0</v>
      </c>
      <c r="AI58" s="252">
        <f t="shared" si="27"/>
        <v>0</v>
      </c>
      <c r="AJ58" s="252">
        <f t="shared" si="27"/>
        <v>0</v>
      </c>
      <c r="AK58" s="252">
        <f t="shared" si="27"/>
        <v>0</v>
      </c>
      <c r="AL58" s="252">
        <f t="shared" si="27"/>
        <v>0</v>
      </c>
      <c r="AM58" s="252">
        <f t="shared" si="27"/>
        <v>0</v>
      </c>
      <c r="AN58" s="252">
        <f t="shared" si="27"/>
        <v>0</v>
      </c>
      <c r="AO58" s="252">
        <f t="shared" si="27"/>
        <v>0</v>
      </c>
      <c r="AP58" s="252">
        <f t="shared" si="27"/>
        <v>0</v>
      </c>
      <c r="AQ58" s="252">
        <f t="shared" si="27"/>
        <v>0</v>
      </c>
      <c r="AR58" s="252">
        <f t="shared" si="27"/>
        <v>0</v>
      </c>
      <c r="AS58" s="252">
        <f t="shared" si="27"/>
        <v>0</v>
      </c>
      <c r="AT58" s="252">
        <f t="shared" si="27"/>
        <v>0</v>
      </c>
      <c r="AU58" s="252">
        <f t="shared" si="27"/>
        <v>0</v>
      </c>
      <c r="AV58" s="252">
        <f t="shared" si="27"/>
        <v>0</v>
      </c>
      <c r="AW58" s="252">
        <f t="shared" si="27"/>
        <v>0</v>
      </c>
      <c r="AX58" s="252">
        <f t="shared" si="27"/>
        <v>0</v>
      </c>
      <c r="AY58" s="252">
        <f t="shared" si="27"/>
        <v>0</v>
      </c>
      <c r="AZ58" s="252">
        <f t="shared" si="27"/>
        <v>0</v>
      </c>
      <c r="BA58" s="252">
        <f t="shared" si="27"/>
        <v>0</v>
      </c>
    </row>
    <row r="59" ht="15.75" customHeight="1">
      <c r="A59" s="787">
        <v>1936.0</v>
      </c>
      <c r="B59" s="38"/>
      <c r="C59" s="38"/>
      <c r="D59" s="38"/>
      <c r="E59" s="38"/>
      <c r="F59" s="38"/>
      <c r="G59" s="38"/>
      <c r="H59" s="38"/>
      <c r="I59" s="38"/>
      <c r="J59" s="38"/>
      <c r="K59" s="38"/>
      <c r="L59" s="38"/>
      <c r="M59" s="38"/>
      <c r="N59" s="38"/>
      <c r="O59" s="38"/>
      <c r="P59" s="38"/>
      <c r="Q59" s="38"/>
      <c r="R59" s="38"/>
      <c r="S59" s="38"/>
      <c r="T59" s="38"/>
      <c r="U59" s="38"/>
      <c r="V59" s="801">
        <v>0.0</v>
      </c>
      <c r="W59" s="252">
        <f t="shared" si="22"/>
        <v>0</v>
      </c>
      <c r="X59" s="252">
        <f t="shared" ref="X59:BA59" si="28">IF(AND(X$52-$A59&gt;$V$35,SUM($W59:W59)&lt;&gt;$V59),$V59,0)</f>
        <v>0</v>
      </c>
      <c r="Y59" s="252">
        <f t="shared" si="28"/>
        <v>0</v>
      </c>
      <c r="Z59" s="252">
        <f t="shared" si="28"/>
        <v>0</v>
      </c>
      <c r="AA59" s="252">
        <f t="shared" si="28"/>
        <v>0</v>
      </c>
      <c r="AB59" s="252">
        <f t="shared" si="28"/>
        <v>0</v>
      </c>
      <c r="AC59" s="252">
        <f t="shared" si="28"/>
        <v>0</v>
      </c>
      <c r="AD59" s="252">
        <f t="shared" si="28"/>
        <v>0</v>
      </c>
      <c r="AE59" s="252">
        <f t="shared" si="28"/>
        <v>0</v>
      </c>
      <c r="AF59" s="252">
        <f t="shared" si="28"/>
        <v>0</v>
      </c>
      <c r="AG59" s="252">
        <f t="shared" si="28"/>
        <v>0</v>
      </c>
      <c r="AH59" s="252">
        <f t="shared" si="28"/>
        <v>0</v>
      </c>
      <c r="AI59" s="252">
        <f t="shared" si="28"/>
        <v>0</v>
      </c>
      <c r="AJ59" s="252">
        <f t="shared" si="28"/>
        <v>0</v>
      </c>
      <c r="AK59" s="252">
        <f t="shared" si="28"/>
        <v>0</v>
      </c>
      <c r="AL59" s="252">
        <f t="shared" si="28"/>
        <v>0</v>
      </c>
      <c r="AM59" s="252">
        <f t="shared" si="28"/>
        <v>0</v>
      </c>
      <c r="AN59" s="252">
        <f t="shared" si="28"/>
        <v>0</v>
      </c>
      <c r="AO59" s="252">
        <f t="shared" si="28"/>
        <v>0</v>
      </c>
      <c r="AP59" s="252">
        <f t="shared" si="28"/>
        <v>0</v>
      </c>
      <c r="AQ59" s="252">
        <f t="shared" si="28"/>
        <v>0</v>
      </c>
      <c r="AR59" s="252">
        <f t="shared" si="28"/>
        <v>0</v>
      </c>
      <c r="AS59" s="252">
        <f t="shared" si="28"/>
        <v>0</v>
      </c>
      <c r="AT59" s="252">
        <f t="shared" si="28"/>
        <v>0</v>
      </c>
      <c r="AU59" s="252">
        <f t="shared" si="28"/>
        <v>0</v>
      </c>
      <c r="AV59" s="252">
        <f t="shared" si="28"/>
        <v>0</v>
      </c>
      <c r="AW59" s="252">
        <f t="shared" si="28"/>
        <v>0</v>
      </c>
      <c r="AX59" s="252">
        <f t="shared" si="28"/>
        <v>0</v>
      </c>
      <c r="AY59" s="252">
        <f t="shared" si="28"/>
        <v>0</v>
      </c>
      <c r="AZ59" s="252">
        <f t="shared" si="28"/>
        <v>0</v>
      </c>
      <c r="BA59" s="252">
        <f t="shared" si="28"/>
        <v>0</v>
      </c>
    </row>
    <row r="60" ht="15.75" customHeight="1">
      <c r="A60" s="787">
        <v>1937.0</v>
      </c>
      <c r="B60" s="38"/>
      <c r="C60" s="38"/>
      <c r="D60" s="38"/>
      <c r="E60" s="38"/>
      <c r="F60" s="38"/>
      <c r="G60" s="38"/>
      <c r="H60" s="38"/>
      <c r="I60" s="38"/>
      <c r="J60" s="38"/>
      <c r="K60" s="38"/>
      <c r="L60" s="38"/>
      <c r="M60" s="38"/>
      <c r="N60" s="38"/>
      <c r="O60" s="38"/>
      <c r="P60" s="38"/>
      <c r="Q60" s="38"/>
      <c r="R60" s="38"/>
      <c r="S60" s="38"/>
      <c r="T60" s="38"/>
      <c r="U60" s="38"/>
      <c r="V60" s="801">
        <v>0.0</v>
      </c>
      <c r="W60" s="252">
        <f t="shared" si="22"/>
        <v>0</v>
      </c>
      <c r="X60" s="252">
        <f t="shared" ref="X60:BA60" si="29">IF(AND(X$52-$A60&gt;$V$35,SUM($W60:W60)&lt;&gt;$V60),$V60,0)</f>
        <v>0</v>
      </c>
      <c r="Y60" s="252">
        <f t="shared" si="29"/>
        <v>0</v>
      </c>
      <c r="Z60" s="252">
        <f t="shared" si="29"/>
        <v>0</v>
      </c>
      <c r="AA60" s="252">
        <f t="shared" si="29"/>
        <v>0</v>
      </c>
      <c r="AB60" s="252">
        <f t="shared" si="29"/>
        <v>0</v>
      </c>
      <c r="AC60" s="252">
        <f t="shared" si="29"/>
        <v>0</v>
      </c>
      <c r="AD60" s="252">
        <f t="shared" si="29"/>
        <v>0</v>
      </c>
      <c r="AE60" s="252">
        <f t="shared" si="29"/>
        <v>0</v>
      </c>
      <c r="AF60" s="252">
        <f t="shared" si="29"/>
        <v>0</v>
      </c>
      <c r="AG60" s="252">
        <f t="shared" si="29"/>
        <v>0</v>
      </c>
      <c r="AH60" s="252">
        <f t="shared" si="29"/>
        <v>0</v>
      </c>
      <c r="AI60" s="252">
        <f t="shared" si="29"/>
        <v>0</v>
      </c>
      <c r="AJ60" s="252">
        <f t="shared" si="29"/>
        <v>0</v>
      </c>
      <c r="AK60" s="252">
        <f t="shared" si="29"/>
        <v>0</v>
      </c>
      <c r="AL60" s="252">
        <f t="shared" si="29"/>
        <v>0</v>
      </c>
      <c r="AM60" s="252">
        <f t="shared" si="29"/>
        <v>0</v>
      </c>
      <c r="AN60" s="252">
        <f t="shared" si="29"/>
        <v>0</v>
      </c>
      <c r="AO60" s="252">
        <f t="shared" si="29"/>
        <v>0</v>
      </c>
      <c r="AP60" s="252">
        <f t="shared" si="29"/>
        <v>0</v>
      </c>
      <c r="AQ60" s="252">
        <f t="shared" si="29"/>
        <v>0</v>
      </c>
      <c r="AR60" s="252">
        <f t="shared" si="29"/>
        <v>0</v>
      </c>
      <c r="AS60" s="252">
        <f t="shared" si="29"/>
        <v>0</v>
      </c>
      <c r="AT60" s="252">
        <f t="shared" si="29"/>
        <v>0</v>
      </c>
      <c r="AU60" s="252">
        <f t="shared" si="29"/>
        <v>0</v>
      </c>
      <c r="AV60" s="252">
        <f t="shared" si="29"/>
        <v>0</v>
      </c>
      <c r="AW60" s="252">
        <f t="shared" si="29"/>
        <v>0</v>
      </c>
      <c r="AX60" s="252">
        <f t="shared" si="29"/>
        <v>0</v>
      </c>
      <c r="AY60" s="252">
        <f t="shared" si="29"/>
        <v>0</v>
      </c>
      <c r="AZ60" s="252">
        <f t="shared" si="29"/>
        <v>0</v>
      </c>
      <c r="BA60" s="252">
        <f t="shared" si="29"/>
        <v>0</v>
      </c>
    </row>
    <row r="61" ht="15.75" customHeight="1">
      <c r="A61" s="787">
        <v>1938.0</v>
      </c>
      <c r="B61" s="38"/>
      <c r="C61" s="38"/>
      <c r="D61" s="38"/>
      <c r="E61" s="38"/>
      <c r="F61" s="38"/>
      <c r="G61" s="38"/>
      <c r="H61" s="38"/>
      <c r="I61" s="38"/>
      <c r="J61" s="38"/>
      <c r="K61" s="38"/>
      <c r="L61" s="38"/>
      <c r="M61" s="38"/>
      <c r="N61" s="38"/>
      <c r="O61" s="38"/>
      <c r="P61" s="38"/>
      <c r="Q61" s="38"/>
      <c r="R61" s="38"/>
      <c r="S61" s="38"/>
      <c r="T61" s="38"/>
      <c r="U61" s="38"/>
      <c r="V61" s="801">
        <v>0.0</v>
      </c>
      <c r="W61" s="252">
        <f t="shared" si="22"/>
        <v>0</v>
      </c>
      <c r="X61" s="252">
        <f t="shared" ref="X61:BA61" si="30">IF(AND(X$52-$A61&gt;$V$35,SUM($W61:W61)&lt;&gt;$V61),$V61,0)</f>
        <v>0</v>
      </c>
      <c r="Y61" s="252">
        <f t="shared" si="30"/>
        <v>0</v>
      </c>
      <c r="Z61" s="252">
        <f t="shared" si="30"/>
        <v>0</v>
      </c>
      <c r="AA61" s="252">
        <f t="shared" si="30"/>
        <v>0</v>
      </c>
      <c r="AB61" s="252">
        <f t="shared" si="30"/>
        <v>0</v>
      </c>
      <c r="AC61" s="252">
        <f t="shared" si="30"/>
        <v>0</v>
      </c>
      <c r="AD61" s="252">
        <f t="shared" si="30"/>
        <v>0</v>
      </c>
      <c r="AE61" s="252">
        <f t="shared" si="30"/>
        <v>0</v>
      </c>
      <c r="AF61" s="252">
        <f t="shared" si="30"/>
        <v>0</v>
      </c>
      <c r="AG61" s="252">
        <f t="shared" si="30"/>
        <v>0</v>
      </c>
      <c r="AH61" s="252">
        <f t="shared" si="30"/>
        <v>0</v>
      </c>
      <c r="AI61" s="252">
        <f t="shared" si="30"/>
        <v>0</v>
      </c>
      <c r="AJ61" s="252">
        <f t="shared" si="30"/>
        <v>0</v>
      </c>
      <c r="AK61" s="252">
        <f t="shared" si="30"/>
        <v>0</v>
      </c>
      <c r="AL61" s="252">
        <f t="shared" si="30"/>
        <v>0</v>
      </c>
      <c r="AM61" s="252">
        <f t="shared" si="30"/>
        <v>0</v>
      </c>
      <c r="AN61" s="252">
        <f t="shared" si="30"/>
        <v>0</v>
      </c>
      <c r="AO61" s="252">
        <f t="shared" si="30"/>
        <v>0</v>
      </c>
      <c r="AP61" s="252">
        <f t="shared" si="30"/>
        <v>0</v>
      </c>
      <c r="AQ61" s="252">
        <f t="shared" si="30"/>
        <v>0</v>
      </c>
      <c r="AR61" s="252">
        <f t="shared" si="30"/>
        <v>0</v>
      </c>
      <c r="AS61" s="252">
        <f t="shared" si="30"/>
        <v>0</v>
      </c>
      <c r="AT61" s="252">
        <f t="shared" si="30"/>
        <v>0</v>
      </c>
      <c r="AU61" s="252">
        <f t="shared" si="30"/>
        <v>0</v>
      </c>
      <c r="AV61" s="252">
        <f t="shared" si="30"/>
        <v>0</v>
      </c>
      <c r="AW61" s="252">
        <f t="shared" si="30"/>
        <v>0</v>
      </c>
      <c r="AX61" s="252">
        <f t="shared" si="30"/>
        <v>0</v>
      </c>
      <c r="AY61" s="252">
        <f t="shared" si="30"/>
        <v>0</v>
      </c>
      <c r="AZ61" s="252">
        <f t="shared" si="30"/>
        <v>0</v>
      </c>
      <c r="BA61" s="252">
        <f t="shared" si="30"/>
        <v>0</v>
      </c>
    </row>
    <row r="62" ht="15.75" customHeight="1">
      <c r="A62" s="787">
        <v>1939.0</v>
      </c>
      <c r="B62" s="38"/>
      <c r="C62" s="38"/>
      <c r="D62" s="38"/>
      <c r="E62" s="38"/>
      <c r="F62" s="38"/>
      <c r="G62" s="38"/>
      <c r="H62" s="38"/>
      <c r="I62" s="38"/>
      <c r="J62" s="38"/>
      <c r="K62" s="38"/>
      <c r="L62" s="38"/>
      <c r="M62" s="38"/>
      <c r="N62" s="38"/>
      <c r="O62" s="38"/>
      <c r="P62" s="38"/>
      <c r="Q62" s="38"/>
      <c r="R62" s="38"/>
      <c r="S62" s="38"/>
      <c r="T62" s="38"/>
      <c r="U62" s="38"/>
      <c r="V62" s="801">
        <v>0.0</v>
      </c>
      <c r="W62" s="252">
        <f t="shared" si="22"/>
        <v>0</v>
      </c>
      <c r="X62" s="252">
        <f t="shared" ref="X62:BA62" si="31">IF(AND(X$52-$A62&gt;$V$35,SUM($W62:W62)&lt;&gt;$V62),$V62,0)</f>
        <v>0</v>
      </c>
      <c r="Y62" s="252">
        <f t="shared" si="31"/>
        <v>0</v>
      </c>
      <c r="Z62" s="252">
        <f t="shared" si="31"/>
        <v>0</v>
      </c>
      <c r="AA62" s="252">
        <f t="shared" si="31"/>
        <v>0</v>
      </c>
      <c r="AB62" s="252">
        <f t="shared" si="31"/>
        <v>0</v>
      </c>
      <c r="AC62" s="252">
        <f t="shared" si="31"/>
        <v>0</v>
      </c>
      <c r="AD62" s="252">
        <f t="shared" si="31"/>
        <v>0</v>
      </c>
      <c r="AE62" s="252">
        <f t="shared" si="31"/>
        <v>0</v>
      </c>
      <c r="AF62" s="252">
        <f t="shared" si="31"/>
        <v>0</v>
      </c>
      <c r="AG62" s="252">
        <f t="shared" si="31"/>
        <v>0</v>
      </c>
      <c r="AH62" s="252">
        <f t="shared" si="31"/>
        <v>0</v>
      </c>
      <c r="AI62" s="252">
        <f t="shared" si="31"/>
        <v>0</v>
      </c>
      <c r="AJ62" s="252">
        <f t="shared" si="31"/>
        <v>0</v>
      </c>
      <c r="AK62" s="252">
        <f t="shared" si="31"/>
        <v>0</v>
      </c>
      <c r="AL62" s="252">
        <f t="shared" si="31"/>
        <v>0</v>
      </c>
      <c r="AM62" s="252">
        <f t="shared" si="31"/>
        <v>0</v>
      </c>
      <c r="AN62" s="252">
        <f t="shared" si="31"/>
        <v>0</v>
      </c>
      <c r="AO62" s="252">
        <f t="shared" si="31"/>
        <v>0</v>
      </c>
      <c r="AP62" s="252">
        <f t="shared" si="31"/>
        <v>0</v>
      </c>
      <c r="AQ62" s="252">
        <f t="shared" si="31"/>
        <v>0</v>
      </c>
      <c r="AR62" s="252">
        <f t="shared" si="31"/>
        <v>0</v>
      </c>
      <c r="AS62" s="252">
        <f t="shared" si="31"/>
        <v>0</v>
      </c>
      <c r="AT62" s="252">
        <f t="shared" si="31"/>
        <v>0</v>
      </c>
      <c r="AU62" s="252">
        <f t="shared" si="31"/>
        <v>0</v>
      </c>
      <c r="AV62" s="252">
        <f t="shared" si="31"/>
        <v>0</v>
      </c>
      <c r="AW62" s="252">
        <f t="shared" si="31"/>
        <v>0</v>
      </c>
      <c r="AX62" s="252">
        <f t="shared" si="31"/>
        <v>0</v>
      </c>
      <c r="AY62" s="252">
        <f t="shared" si="31"/>
        <v>0</v>
      </c>
      <c r="AZ62" s="252">
        <f t="shared" si="31"/>
        <v>0</v>
      </c>
      <c r="BA62" s="252">
        <f t="shared" si="31"/>
        <v>0</v>
      </c>
    </row>
    <row r="63" ht="15.75" customHeight="1">
      <c r="A63" s="787">
        <v>1940.0</v>
      </c>
      <c r="B63" s="38"/>
      <c r="C63" s="38"/>
      <c r="D63" s="38"/>
      <c r="E63" s="38"/>
      <c r="F63" s="38"/>
      <c r="G63" s="38"/>
      <c r="H63" s="38"/>
      <c r="I63" s="38"/>
      <c r="J63" s="38"/>
      <c r="K63" s="38"/>
      <c r="L63" s="38"/>
      <c r="M63" s="38"/>
      <c r="N63" s="38"/>
      <c r="O63" s="38"/>
      <c r="P63" s="38"/>
      <c r="Q63" s="38"/>
      <c r="R63" s="38"/>
      <c r="S63" s="38"/>
      <c r="T63" s="38"/>
      <c r="U63" s="38"/>
      <c r="V63" s="801">
        <v>0.0</v>
      </c>
      <c r="W63" s="252">
        <f t="shared" si="22"/>
        <v>0</v>
      </c>
      <c r="X63" s="252">
        <f t="shared" ref="X63:BA63" si="32">IF(AND(X$52-$A63&gt;$V$35,SUM($W63:W63)&lt;&gt;$V63),$V63,0)</f>
        <v>0</v>
      </c>
      <c r="Y63" s="252">
        <f t="shared" si="32"/>
        <v>0</v>
      </c>
      <c r="Z63" s="252">
        <f t="shared" si="32"/>
        <v>0</v>
      </c>
      <c r="AA63" s="252">
        <f t="shared" si="32"/>
        <v>0</v>
      </c>
      <c r="AB63" s="252">
        <f t="shared" si="32"/>
        <v>0</v>
      </c>
      <c r="AC63" s="252">
        <f t="shared" si="32"/>
        <v>0</v>
      </c>
      <c r="AD63" s="252">
        <f t="shared" si="32"/>
        <v>0</v>
      </c>
      <c r="AE63" s="252">
        <f t="shared" si="32"/>
        <v>0</v>
      </c>
      <c r="AF63" s="252">
        <f t="shared" si="32"/>
        <v>0</v>
      </c>
      <c r="AG63" s="252">
        <f t="shared" si="32"/>
        <v>0</v>
      </c>
      <c r="AH63" s="252">
        <f t="shared" si="32"/>
        <v>0</v>
      </c>
      <c r="AI63" s="252">
        <f t="shared" si="32"/>
        <v>0</v>
      </c>
      <c r="AJ63" s="252">
        <f t="shared" si="32"/>
        <v>0</v>
      </c>
      <c r="AK63" s="252">
        <f t="shared" si="32"/>
        <v>0</v>
      </c>
      <c r="AL63" s="252">
        <f t="shared" si="32"/>
        <v>0</v>
      </c>
      <c r="AM63" s="252">
        <f t="shared" si="32"/>
        <v>0</v>
      </c>
      <c r="AN63" s="252">
        <f t="shared" si="32"/>
        <v>0</v>
      </c>
      <c r="AO63" s="252">
        <f t="shared" si="32"/>
        <v>0</v>
      </c>
      <c r="AP63" s="252">
        <f t="shared" si="32"/>
        <v>0</v>
      </c>
      <c r="AQ63" s="252">
        <f t="shared" si="32"/>
        <v>0</v>
      </c>
      <c r="AR63" s="252">
        <f t="shared" si="32"/>
        <v>0</v>
      </c>
      <c r="AS63" s="252">
        <f t="shared" si="32"/>
        <v>0</v>
      </c>
      <c r="AT63" s="252">
        <f t="shared" si="32"/>
        <v>0</v>
      </c>
      <c r="AU63" s="252">
        <f t="shared" si="32"/>
        <v>0</v>
      </c>
      <c r="AV63" s="252">
        <f t="shared" si="32"/>
        <v>0</v>
      </c>
      <c r="AW63" s="252">
        <f t="shared" si="32"/>
        <v>0</v>
      </c>
      <c r="AX63" s="252">
        <f t="shared" si="32"/>
        <v>0</v>
      </c>
      <c r="AY63" s="252">
        <f t="shared" si="32"/>
        <v>0</v>
      </c>
      <c r="AZ63" s="252">
        <f t="shared" si="32"/>
        <v>0</v>
      </c>
      <c r="BA63" s="252">
        <f t="shared" si="32"/>
        <v>0</v>
      </c>
    </row>
    <row r="64" ht="15.75" customHeight="1">
      <c r="A64" s="787">
        <v>1941.0</v>
      </c>
      <c r="B64" s="38"/>
      <c r="C64" s="38"/>
      <c r="D64" s="38"/>
      <c r="E64" s="38"/>
      <c r="F64" s="38"/>
      <c r="G64" s="38"/>
      <c r="H64" s="38"/>
      <c r="I64" s="38"/>
      <c r="J64" s="38"/>
      <c r="K64" s="38"/>
      <c r="L64" s="38"/>
      <c r="M64" s="38"/>
      <c r="N64" s="38"/>
      <c r="O64" s="38"/>
      <c r="P64" s="38"/>
      <c r="Q64" s="38"/>
      <c r="R64" s="38"/>
      <c r="S64" s="38"/>
      <c r="T64" s="38"/>
      <c r="U64" s="38"/>
      <c r="V64" s="801">
        <v>0.0</v>
      </c>
      <c r="W64" s="252">
        <f t="shared" si="22"/>
        <v>0</v>
      </c>
      <c r="X64" s="252">
        <f t="shared" ref="X64:BA64" si="33">IF(AND(X$52-$A64&gt;$V$35,SUM($W64:W64)&lt;&gt;$V64),$V64,0)</f>
        <v>0</v>
      </c>
      <c r="Y64" s="252">
        <f t="shared" si="33"/>
        <v>0</v>
      </c>
      <c r="Z64" s="252">
        <f t="shared" si="33"/>
        <v>0</v>
      </c>
      <c r="AA64" s="252">
        <f t="shared" si="33"/>
        <v>0</v>
      </c>
      <c r="AB64" s="252">
        <f t="shared" si="33"/>
        <v>0</v>
      </c>
      <c r="AC64" s="252">
        <f t="shared" si="33"/>
        <v>0</v>
      </c>
      <c r="AD64" s="252">
        <f t="shared" si="33"/>
        <v>0</v>
      </c>
      <c r="AE64" s="252">
        <f t="shared" si="33"/>
        <v>0</v>
      </c>
      <c r="AF64" s="252">
        <f t="shared" si="33"/>
        <v>0</v>
      </c>
      <c r="AG64" s="252">
        <f t="shared" si="33"/>
        <v>0</v>
      </c>
      <c r="AH64" s="252">
        <f t="shared" si="33"/>
        <v>0</v>
      </c>
      <c r="AI64" s="252">
        <f t="shared" si="33"/>
        <v>0</v>
      </c>
      <c r="AJ64" s="252">
        <f t="shared" si="33"/>
        <v>0</v>
      </c>
      <c r="AK64" s="252">
        <f t="shared" si="33"/>
        <v>0</v>
      </c>
      <c r="AL64" s="252">
        <f t="shared" si="33"/>
        <v>0</v>
      </c>
      <c r="AM64" s="252">
        <f t="shared" si="33"/>
        <v>0</v>
      </c>
      <c r="AN64" s="252">
        <f t="shared" si="33"/>
        <v>0</v>
      </c>
      <c r="AO64" s="252">
        <f t="shared" si="33"/>
        <v>0</v>
      </c>
      <c r="AP64" s="252">
        <f t="shared" si="33"/>
        <v>0</v>
      </c>
      <c r="AQ64" s="252">
        <f t="shared" si="33"/>
        <v>0</v>
      </c>
      <c r="AR64" s="252">
        <f t="shared" si="33"/>
        <v>0</v>
      </c>
      <c r="AS64" s="252">
        <f t="shared" si="33"/>
        <v>0</v>
      </c>
      <c r="AT64" s="252">
        <f t="shared" si="33"/>
        <v>0</v>
      </c>
      <c r="AU64" s="252">
        <f t="shared" si="33"/>
        <v>0</v>
      </c>
      <c r="AV64" s="252">
        <f t="shared" si="33"/>
        <v>0</v>
      </c>
      <c r="AW64" s="252">
        <f t="shared" si="33"/>
        <v>0</v>
      </c>
      <c r="AX64" s="252">
        <f t="shared" si="33"/>
        <v>0</v>
      </c>
      <c r="AY64" s="252">
        <f t="shared" si="33"/>
        <v>0</v>
      </c>
      <c r="AZ64" s="252">
        <f t="shared" si="33"/>
        <v>0</v>
      </c>
      <c r="BA64" s="252">
        <f t="shared" si="33"/>
        <v>0</v>
      </c>
    </row>
    <row r="65" ht="15.75" customHeight="1">
      <c r="A65" s="787">
        <v>1942.0</v>
      </c>
      <c r="B65" s="38"/>
      <c r="C65" s="38"/>
      <c r="D65" s="38"/>
      <c r="E65" s="38"/>
      <c r="F65" s="38"/>
      <c r="G65" s="38"/>
      <c r="H65" s="38"/>
      <c r="I65" s="38"/>
      <c r="J65" s="38"/>
      <c r="K65" s="38"/>
      <c r="L65" s="38"/>
      <c r="M65" s="38"/>
      <c r="N65" s="38"/>
      <c r="O65" s="38"/>
      <c r="P65" s="38"/>
      <c r="Q65" s="38"/>
      <c r="R65" s="38"/>
      <c r="S65" s="38"/>
      <c r="T65" s="38"/>
      <c r="U65" s="38"/>
      <c r="V65" s="801">
        <v>0.0</v>
      </c>
      <c r="W65" s="252">
        <f t="shared" si="22"/>
        <v>0</v>
      </c>
      <c r="X65" s="252">
        <f t="shared" ref="X65:BA65" si="34">IF(AND(X$52-$A65&gt;$V$35,SUM($W65:W65)&lt;&gt;$V65),$V65,0)</f>
        <v>0</v>
      </c>
      <c r="Y65" s="252">
        <f t="shared" si="34"/>
        <v>0</v>
      </c>
      <c r="Z65" s="252">
        <f t="shared" si="34"/>
        <v>0</v>
      </c>
      <c r="AA65" s="252">
        <f t="shared" si="34"/>
        <v>0</v>
      </c>
      <c r="AB65" s="252">
        <f t="shared" si="34"/>
        <v>0</v>
      </c>
      <c r="AC65" s="252">
        <f t="shared" si="34"/>
        <v>0</v>
      </c>
      <c r="AD65" s="252">
        <f t="shared" si="34"/>
        <v>0</v>
      </c>
      <c r="AE65" s="252">
        <f t="shared" si="34"/>
        <v>0</v>
      </c>
      <c r="AF65" s="252">
        <f t="shared" si="34"/>
        <v>0</v>
      </c>
      <c r="AG65" s="252">
        <f t="shared" si="34"/>
        <v>0</v>
      </c>
      <c r="AH65" s="252">
        <f t="shared" si="34"/>
        <v>0</v>
      </c>
      <c r="AI65" s="252">
        <f t="shared" si="34"/>
        <v>0</v>
      </c>
      <c r="AJ65" s="252">
        <f t="shared" si="34"/>
        <v>0</v>
      </c>
      <c r="AK65" s="252">
        <f t="shared" si="34"/>
        <v>0</v>
      </c>
      <c r="AL65" s="252">
        <f t="shared" si="34"/>
        <v>0</v>
      </c>
      <c r="AM65" s="252">
        <f t="shared" si="34"/>
        <v>0</v>
      </c>
      <c r="AN65" s="252">
        <f t="shared" si="34"/>
        <v>0</v>
      </c>
      <c r="AO65" s="252">
        <f t="shared" si="34"/>
        <v>0</v>
      </c>
      <c r="AP65" s="252">
        <f t="shared" si="34"/>
        <v>0</v>
      </c>
      <c r="AQ65" s="252">
        <f t="shared" si="34"/>
        <v>0</v>
      </c>
      <c r="AR65" s="252">
        <f t="shared" si="34"/>
        <v>0</v>
      </c>
      <c r="AS65" s="252">
        <f t="shared" si="34"/>
        <v>0</v>
      </c>
      <c r="AT65" s="252">
        <f t="shared" si="34"/>
        <v>0</v>
      </c>
      <c r="AU65" s="252">
        <f t="shared" si="34"/>
        <v>0</v>
      </c>
      <c r="AV65" s="252">
        <f t="shared" si="34"/>
        <v>0</v>
      </c>
      <c r="AW65" s="252">
        <f t="shared" si="34"/>
        <v>0</v>
      </c>
      <c r="AX65" s="252">
        <f t="shared" si="34"/>
        <v>0</v>
      </c>
      <c r="AY65" s="252">
        <f t="shared" si="34"/>
        <v>0</v>
      </c>
      <c r="AZ65" s="252">
        <f t="shared" si="34"/>
        <v>0</v>
      </c>
      <c r="BA65" s="252">
        <f t="shared" si="34"/>
        <v>0</v>
      </c>
    </row>
    <row r="66" ht="15.75" customHeight="1">
      <c r="A66" s="787">
        <v>1943.0</v>
      </c>
      <c r="B66" s="38"/>
      <c r="C66" s="38"/>
      <c r="D66" s="38"/>
      <c r="E66" s="38"/>
      <c r="F66" s="38"/>
      <c r="G66" s="38"/>
      <c r="H66" s="38"/>
      <c r="I66" s="38"/>
      <c r="J66" s="38"/>
      <c r="K66" s="38"/>
      <c r="L66" s="38"/>
      <c r="M66" s="38"/>
      <c r="N66" s="38"/>
      <c r="O66" s="38"/>
      <c r="P66" s="38"/>
      <c r="Q66" s="38"/>
      <c r="R66" s="38"/>
      <c r="S66" s="38"/>
      <c r="T66" s="38"/>
      <c r="U66" s="38"/>
      <c r="V66" s="801">
        <v>0.0</v>
      </c>
      <c r="W66" s="252">
        <f t="shared" si="22"/>
        <v>0</v>
      </c>
      <c r="X66" s="252">
        <f t="shared" ref="X66:BA66" si="35">IF(AND(X$52-$A66&gt;$V$35,SUM($W66:W66)&lt;&gt;$V66),$V66,0)</f>
        <v>0</v>
      </c>
      <c r="Y66" s="252">
        <f t="shared" si="35"/>
        <v>0</v>
      </c>
      <c r="Z66" s="252">
        <f t="shared" si="35"/>
        <v>0</v>
      </c>
      <c r="AA66" s="252">
        <f t="shared" si="35"/>
        <v>0</v>
      </c>
      <c r="AB66" s="252">
        <f t="shared" si="35"/>
        <v>0</v>
      </c>
      <c r="AC66" s="252">
        <f t="shared" si="35"/>
        <v>0</v>
      </c>
      <c r="AD66" s="252">
        <f t="shared" si="35"/>
        <v>0</v>
      </c>
      <c r="AE66" s="252">
        <f t="shared" si="35"/>
        <v>0</v>
      </c>
      <c r="AF66" s="252">
        <f t="shared" si="35"/>
        <v>0</v>
      </c>
      <c r="AG66" s="252">
        <f t="shared" si="35"/>
        <v>0</v>
      </c>
      <c r="AH66" s="252">
        <f t="shared" si="35"/>
        <v>0</v>
      </c>
      <c r="AI66" s="252">
        <f t="shared" si="35"/>
        <v>0</v>
      </c>
      <c r="AJ66" s="252">
        <f t="shared" si="35"/>
        <v>0</v>
      </c>
      <c r="AK66" s="252">
        <f t="shared" si="35"/>
        <v>0</v>
      </c>
      <c r="AL66" s="252">
        <f t="shared" si="35"/>
        <v>0</v>
      </c>
      <c r="AM66" s="252">
        <f t="shared" si="35"/>
        <v>0</v>
      </c>
      <c r="AN66" s="252">
        <f t="shared" si="35"/>
        <v>0</v>
      </c>
      <c r="AO66" s="252">
        <f t="shared" si="35"/>
        <v>0</v>
      </c>
      <c r="AP66" s="252">
        <f t="shared" si="35"/>
        <v>0</v>
      </c>
      <c r="AQ66" s="252">
        <f t="shared" si="35"/>
        <v>0</v>
      </c>
      <c r="AR66" s="252">
        <f t="shared" si="35"/>
        <v>0</v>
      </c>
      <c r="AS66" s="252">
        <f t="shared" si="35"/>
        <v>0</v>
      </c>
      <c r="AT66" s="252">
        <f t="shared" si="35"/>
        <v>0</v>
      </c>
      <c r="AU66" s="252">
        <f t="shared" si="35"/>
        <v>0</v>
      </c>
      <c r="AV66" s="252">
        <f t="shared" si="35"/>
        <v>0</v>
      </c>
      <c r="AW66" s="252">
        <f t="shared" si="35"/>
        <v>0</v>
      </c>
      <c r="AX66" s="252">
        <f t="shared" si="35"/>
        <v>0</v>
      </c>
      <c r="AY66" s="252">
        <f t="shared" si="35"/>
        <v>0</v>
      </c>
      <c r="AZ66" s="252">
        <f t="shared" si="35"/>
        <v>0</v>
      </c>
      <c r="BA66" s="252">
        <f t="shared" si="35"/>
        <v>0</v>
      </c>
    </row>
    <row r="67" ht="15.75" customHeight="1">
      <c r="A67" s="787">
        <v>1944.0</v>
      </c>
      <c r="B67" s="38"/>
      <c r="C67" s="38"/>
      <c r="D67" s="38"/>
      <c r="E67" s="38"/>
      <c r="F67" s="38"/>
      <c r="G67" s="38"/>
      <c r="H67" s="38"/>
      <c r="I67" s="38"/>
      <c r="J67" s="38"/>
      <c r="K67" s="38"/>
      <c r="L67" s="38"/>
      <c r="M67" s="38"/>
      <c r="N67" s="38"/>
      <c r="O67" s="38"/>
      <c r="P67" s="38"/>
      <c r="Q67" s="38"/>
      <c r="R67" s="38"/>
      <c r="S67" s="38"/>
      <c r="T67" s="38"/>
      <c r="U67" s="38"/>
      <c r="V67" s="801">
        <v>0.0</v>
      </c>
      <c r="W67" s="252">
        <f t="shared" si="22"/>
        <v>0</v>
      </c>
      <c r="X67" s="252">
        <f t="shared" ref="X67:BA67" si="36">IF(AND(X$52-$A67&gt;$V$35,SUM($W67:W67)&lt;&gt;$V67),$V67,0)</f>
        <v>0</v>
      </c>
      <c r="Y67" s="252">
        <f t="shared" si="36"/>
        <v>0</v>
      </c>
      <c r="Z67" s="252">
        <f t="shared" si="36"/>
        <v>0</v>
      </c>
      <c r="AA67" s="252">
        <f t="shared" si="36"/>
        <v>0</v>
      </c>
      <c r="AB67" s="252">
        <f t="shared" si="36"/>
        <v>0</v>
      </c>
      <c r="AC67" s="252">
        <f t="shared" si="36"/>
        <v>0</v>
      </c>
      <c r="AD67" s="252">
        <f t="shared" si="36"/>
        <v>0</v>
      </c>
      <c r="AE67" s="252">
        <f t="shared" si="36"/>
        <v>0</v>
      </c>
      <c r="AF67" s="252">
        <f t="shared" si="36"/>
        <v>0</v>
      </c>
      <c r="AG67" s="252">
        <f t="shared" si="36"/>
        <v>0</v>
      </c>
      <c r="AH67" s="252">
        <f t="shared" si="36"/>
        <v>0</v>
      </c>
      <c r="AI67" s="252">
        <f t="shared" si="36"/>
        <v>0</v>
      </c>
      <c r="AJ67" s="252">
        <f t="shared" si="36"/>
        <v>0</v>
      </c>
      <c r="AK67" s="252">
        <f t="shared" si="36"/>
        <v>0</v>
      </c>
      <c r="AL67" s="252">
        <f t="shared" si="36"/>
        <v>0</v>
      </c>
      <c r="AM67" s="252">
        <f t="shared" si="36"/>
        <v>0</v>
      </c>
      <c r="AN67" s="252">
        <f t="shared" si="36"/>
        <v>0</v>
      </c>
      <c r="AO67" s="252">
        <f t="shared" si="36"/>
        <v>0</v>
      </c>
      <c r="AP67" s="252">
        <f t="shared" si="36"/>
        <v>0</v>
      </c>
      <c r="AQ67" s="252">
        <f t="shared" si="36"/>
        <v>0</v>
      </c>
      <c r="AR67" s="252">
        <f t="shared" si="36"/>
        <v>0</v>
      </c>
      <c r="AS67" s="252">
        <f t="shared" si="36"/>
        <v>0</v>
      </c>
      <c r="AT67" s="252">
        <f t="shared" si="36"/>
        <v>0</v>
      </c>
      <c r="AU67" s="252">
        <f t="shared" si="36"/>
        <v>0</v>
      </c>
      <c r="AV67" s="252">
        <f t="shared" si="36"/>
        <v>0</v>
      </c>
      <c r="AW67" s="252">
        <f t="shared" si="36"/>
        <v>0</v>
      </c>
      <c r="AX67" s="252">
        <f t="shared" si="36"/>
        <v>0</v>
      </c>
      <c r="AY67" s="252">
        <f t="shared" si="36"/>
        <v>0</v>
      </c>
      <c r="AZ67" s="252">
        <f t="shared" si="36"/>
        <v>0</v>
      </c>
      <c r="BA67" s="252">
        <f t="shared" si="36"/>
        <v>0</v>
      </c>
    </row>
    <row r="68" ht="15.75" customHeight="1">
      <c r="A68" s="787">
        <v>1945.0</v>
      </c>
      <c r="B68" s="38"/>
      <c r="C68" s="38"/>
      <c r="D68" s="38"/>
      <c r="E68" s="38"/>
      <c r="F68" s="38"/>
      <c r="G68" s="38"/>
      <c r="H68" s="38"/>
      <c r="I68" s="38"/>
      <c r="J68" s="38"/>
      <c r="K68" s="38"/>
      <c r="L68" s="38"/>
      <c r="M68" s="38"/>
      <c r="N68" s="38"/>
      <c r="O68" s="38"/>
      <c r="P68" s="38"/>
      <c r="Q68" s="38"/>
      <c r="R68" s="38"/>
      <c r="S68" s="38"/>
      <c r="T68" s="38"/>
      <c r="U68" s="38"/>
      <c r="V68" s="801">
        <v>0.0</v>
      </c>
      <c r="W68" s="252">
        <f t="shared" si="22"/>
        <v>0</v>
      </c>
      <c r="X68" s="252">
        <f t="shared" ref="X68:BA68" si="37">IF(AND(X$52-$A68&gt;$V$35,SUM($W68:W68)&lt;&gt;$V68),$V68,0)</f>
        <v>0</v>
      </c>
      <c r="Y68" s="252">
        <f t="shared" si="37"/>
        <v>0</v>
      </c>
      <c r="Z68" s="252">
        <f t="shared" si="37"/>
        <v>0</v>
      </c>
      <c r="AA68" s="252">
        <f t="shared" si="37"/>
        <v>0</v>
      </c>
      <c r="AB68" s="252">
        <f t="shared" si="37"/>
        <v>0</v>
      </c>
      <c r="AC68" s="252">
        <f t="shared" si="37"/>
        <v>0</v>
      </c>
      <c r="AD68" s="252">
        <f t="shared" si="37"/>
        <v>0</v>
      </c>
      <c r="AE68" s="252">
        <f t="shared" si="37"/>
        <v>0</v>
      </c>
      <c r="AF68" s="252">
        <f t="shared" si="37"/>
        <v>0</v>
      </c>
      <c r="AG68" s="252">
        <f t="shared" si="37"/>
        <v>0</v>
      </c>
      <c r="AH68" s="252">
        <f t="shared" si="37"/>
        <v>0</v>
      </c>
      <c r="AI68" s="252">
        <f t="shared" si="37"/>
        <v>0</v>
      </c>
      <c r="AJ68" s="252">
        <f t="shared" si="37"/>
        <v>0</v>
      </c>
      <c r="AK68" s="252">
        <f t="shared" si="37"/>
        <v>0</v>
      </c>
      <c r="AL68" s="252">
        <f t="shared" si="37"/>
        <v>0</v>
      </c>
      <c r="AM68" s="252">
        <f t="shared" si="37"/>
        <v>0</v>
      </c>
      <c r="AN68" s="252">
        <f t="shared" si="37"/>
        <v>0</v>
      </c>
      <c r="AO68" s="252">
        <f t="shared" si="37"/>
        <v>0</v>
      </c>
      <c r="AP68" s="252">
        <f t="shared" si="37"/>
        <v>0</v>
      </c>
      <c r="AQ68" s="252">
        <f t="shared" si="37"/>
        <v>0</v>
      </c>
      <c r="AR68" s="252">
        <f t="shared" si="37"/>
        <v>0</v>
      </c>
      <c r="AS68" s="252">
        <f t="shared" si="37"/>
        <v>0</v>
      </c>
      <c r="AT68" s="252">
        <f t="shared" si="37"/>
        <v>0</v>
      </c>
      <c r="AU68" s="252">
        <f t="shared" si="37"/>
        <v>0</v>
      </c>
      <c r="AV68" s="252">
        <f t="shared" si="37"/>
        <v>0</v>
      </c>
      <c r="AW68" s="252">
        <f t="shared" si="37"/>
        <v>0</v>
      </c>
      <c r="AX68" s="252">
        <f t="shared" si="37"/>
        <v>0</v>
      </c>
      <c r="AY68" s="252">
        <f t="shared" si="37"/>
        <v>0</v>
      </c>
      <c r="AZ68" s="252">
        <f t="shared" si="37"/>
        <v>0</v>
      </c>
      <c r="BA68" s="252">
        <f t="shared" si="37"/>
        <v>0</v>
      </c>
    </row>
    <row r="69" ht="15.75" customHeight="1">
      <c r="A69" s="787">
        <v>1946.0</v>
      </c>
      <c r="B69" s="38"/>
      <c r="C69" s="38"/>
      <c r="D69" s="38"/>
      <c r="E69" s="38"/>
      <c r="F69" s="38"/>
      <c r="G69" s="38"/>
      <c r="H69" s="38"/>
      <c r="I69" s="38"/>
      <c r="J69" s="38"/>
      <c r="K69" s="38"/>
      <c r="L69" s="38"/>
      <c r="M69" s="38"/>
      <c r="N69" s="38"/>
      <c r="O69" s="38"/>
      <c r="P69" s="38"/>
      <c r="Q69" s="38"/>
      <c r="R69" s="38"/>
      <c r="S69" s="38"/>
      <c r="T69" s="38"/>
      <c r="U69" s="38"/>
      <c r="V69" s="801">
        <v>0.0</v>
      </c>
      <c r="W69" s="252">
        <f t="shared" si="22"/>
        <v>0</v>
      </c>
      <c r="X69" s="252">
        <f t="shared" ref="X69:BA69" si="38">IF(AND(X$52-$A69&gt;$V$35,SUM($W69:W69)&lt;&gt;$V69),$V69,0)</f>
        <v>0</v>
      </c>
      <c r="Y69" s="252">
        <f t="shared" si="38"/>
        <v>0</v>
      </c>
      <c r="Z69" s="252">
        <f t="shared" si="38"/>
        <v>0</v>
      </c>
      <c r="AA69" s="252">
        <f t="shared" si="38"/>
        <v>0</v>
      </c>
      <c r="AB69" s="252">
        <f t="shared" si="38"/>
        <v>0</v>
      </c>
      <c r="AC69" s="252">
        <f t="shared" si="38"/>
        <v>0</v>
      </c>
      <c r="AD69" s="252">
        <f t="shared" si="38"/>
        <v>0</v>
      </c>
      <c r="AE69" s="252">
        <f t="shared" si="38"/>
        <v>0</v>
      </c>
      <c r="AF69" s="252">
        <f t="shared" si="38"/>
        <v>0</v>
      </c>
      <c r="AG69" s="252">
        <f t="shared" si="38"/>
        <v>0</v>
      </c>
      <c r="AH69" s="252">
        <f t="shared" si="38"/>
        <v>0</v>
      </c>
      <c r="AI69" s="252">
        <f t="shared" si="38"/>
        <v>0</v>
      </c>
      <c r="AJ69" s="252">
        <f t="shared" si="38"/>
        <v>0</v>
      </c>
      <c r="AK69" s="252">
        <f t="shared" si="38"/>
        <v>0</v>
      </c>
      <c r="AL69" s="252">
        <f t="shared" si="38"/>
        <v>0</v>
      </c>
      <c r="AM69" s="252">
        <f t="shared" si="38"/>
        <v>0</v>
      </c>
      <c r="AN69" s="252">
        <f t="shared" si="38"/>
        <v>0</v>
      </c>
      <c r="AO69" s="252">
        <f t="shared" si="38"/>
        <v>0</v>
      </c>
      <c r="AP69" s="252">
        <f t="shared" si="38"/>
        <v>0</v>
      </c>
      <c r="AQ69" s="252">
        <f t="shared" si="38"/>
        <v>0</v>
      </c>
      <c r="AR69" s="252">
        <f t="shared" si="38"/>
        <v>0</v>
      </c>
      <c r="AS69" s="252">
        <f t="shared" si="38"/>
        <v>0</v>
      </c>
      <c r="AT69" s="252">
        <f t="shared" si="38"/>
        <v>0</v>
      </c>
      <c r="AU69" s="252">
        <f t="shared" si="38"/>
        <v>0</v>
      </c>
      <c r="AV69" s="252">
        <f t="shared" si="38"/>
        <v>0</v>
      </c>
      <c r="AW69" s="252">
        <f t="shared" si="38"/>
        <v>0</v>
      </c>
      <c r="AX69" s="252">
        <f t="shared" si="38"/>
        <v>0</v>
      </c>
      <c r="AY69" s="252">
        <f t="shared" si="38"/>
        <v>0</v>
      </c>
      <c r="AZ69" s="252">
        <f t="shared" si="38"/>
        <v>0</v>
      </c>
      <c r="BA69" s="252">
        <f t="shared" si="38"/>
        <v>0</v>
      </c>
    </row>
    <row r="70" ht="15.75" customHeight="1">
      <c r="A70" s="787">
        <v>1947.0</v>
      </c>
      <c r="B70" s="38"/>
      <c r="C70" s="38"/>
      <c r="D70" s="38"/>
      <c r="E70" s="38"/>
      <c r="F70" s="38"/>
      <c r="G70" s="38"/>
      <c r="H70" s="38"/>
      <c r="I70" s="38"/>
      <c r="J70" s="38"/>
      <c r="K70" s="38"/>
      <c r="L70" s="38"/>
      <c r="M70" s="38"/>
      <c r="N70" s="38"/>
      <c r="O70" s="38"/>
      <c r="P70" s="38"/>
      <c r="Q70" s="38"/>
      <c r="R70" s="38"/>
      <c r="S70" s="38"/>
      <c r="T70" s="38"/>
      <c r="U70" s="38"/>
      <c r="V70" s="801">
        <v>0.0</v>
      </c>
      <c r="W70" s="252">
        <f t="shared" si="22"/>
        <v>0</v>
      </c>
      <c r="X70" s="252">
        <f t="shared" ref="X70:BA70" si="39">IF(AND(X$52-$A70&gt;$V$35,SUM($W70:W70)&lt;&gt;$V70),$V70,0)</f>
        <v>0</v>
      </c>
      <c r="Y70" s="252">
        <f t="shared" si="39"/>
        <v>0</v>
      </c>
      <c r="Z70" s="252">
        <f t="shared" si="39"/>
        <v>0</v>
      </c>
      <c r="AA70" s="252">
        <f t="shared" si="39"/>
        <v>0</v>
      </c>
      <c r="AB70" s="252">
        <f t="shared" si="39"/>
        <v>0</v>
      </c>
      <c r="AC70" s="252">
        <f t="shared" si="39"/>
        <v>0</v>
      </c>
      <c r="AD70" s="252">
        <f t="shared" si="39"/>
        <v>0</v>
      </c>
      <c r="AE70" s="252">
        <f t="shared" si="39"/>
        <v>0</v>
      </c>
      <c r="AF70" s="252">
        <f t="shared" si="39"/>
        <v>0</v>
      </c>
      <c r="AG70" s="252">
        <f t="shared" si="39"/>
        <v>0</v>
      </c>
      <c r="AH70" s="252">
        <f t="shared" si="39"/>
        <v>0</v>
      </c>
      <c r="AI70" s="252">
        <f t="shared" si="39"/>
        <v>0</v>
      </c>
      <c r="AJ70" s="252">
        <f t="shared" si="39"/>
        <v>0</v>
      </c>
      <c r="AK70" s="252">
        <f t="shared" si="39"/>
        <v>0</v>
      </c>
      <c r="AL70" s="252">
        <f t="shared" si="39"/>
        <v>0</v>
      </c>
      <c r="AM70" s="252">
        <f t="shared" si="39"/>
        <v>0</v>
      </c>
      <c r="AN70" s="252">
        <f t="shared" si="39"/>
        <v>0</v>
      </c>
      <c r="AO70" s="252">
        <f t="shared" si="39"/>
        <v>0</v>
      </c>
      <c r="AP70" s="252">
        <f t="shared" si="39"/>
        <v>0</v>
      </c>
      <c r="AQ70" s="252">
        <f t="shared" si="39"/>
        <v>0</v>
      </c>
      <c r="AR70" s="252">
        <f t="shared" si="39"/>
        <v>0</v>
      </c>
      <c r="AS70" s="252">
        <f t="shared" si="39"/>
        <v>0</v>
      </c>
      <c r="AT70" s="252">
        <f t="shared" si="39"/>
        <v>0</v>
      </c>
      <c r="AU70" s="252">
        <f t="shared" si="39"/>
        <v>0</v>
      </c>
      <c r="AV70" s="252">
        <f t="shared" si="39"/>
        <v>0</v>
      </c>
      <c r="AW70" s="252">
        <f t="shared" si="39"/>
        <v>0</v>
      </c>
      <c r="AX70" s="252">
        <f t="shared" si="39"/>
        <v>0</v>
      </c>
      <c r="AY70" s="252">
        <f t="shared" si="39"/>
        <v>0</v>
      </c>
      <c r="AZ70" s="252">
        <f t="shared" si="39"/>
        <v>0</v>
      </c>
      <c r="BA70" s="252">
        <f t="shared" si="39"/>
        <v>0</v>
      </c>
    </row>
    <row r="71" ht="15.75" customHeight="1">
      <c r="A71" s="787">
        <v>1948.0</v>
      </c>
      <c r="B71" s="38"/>
      <c r="C71" s="38"/>
      <c r="D71" s="38"/>
      <c r="E71" s="38"/>
      <c r="F71" s="38"/>
      <c r="G71" s="38"/>
      <c r="H71" s="38"/>
      <c r="I71" s="38"/>
      <c r="J71" s="38"/>
      <c r="K71" s="38"/>
      <c r="L71" s="38"/>
      <c r="M71" s="38"/>
      <c r="N71" s="38"/>
      <c r="O71" s="38"/>
      <c r="P71" s="38"/>
      <c r="Q71" s="38"/>
      <c r="R71" s="38"/>
      <c r="S71" s="38"/>
      <c r="T71" s="38"/>
      <c r="U71" s="38"/>
      <c r="V71" s="801">
        <v>0.0</v>
      </c>
      <c r="W71" s="252">
        <f t="shared" si="22"/>
        <v>0</v>
      </c>
      <c r="X71" s="252">
        <f t="shared" ref="X71:BA71" si="40">IF(AND(X$52-$A71&gt;$V$35,SUM($W71:W71)&lt;&gt;$V71),$V71,0)</f>
        <v>0</v>
      </c>
      <c r="Y71" s="252">
        <f t="shared" si="40"/>
        <v>0</v>
      </c>
      <c r="Z71" s="252">
        <f t="shared" si="40"/>
        <v>0</v>
      </c>
      <c r="AA71" s="252">
        <f t="shared" si="40"/>
        <v>0</v>
      </c>
      <c r="AB71" s="252">
        <f t="shared" si="40"/>
        <v>0</v>
      </c>
      <c r="AC71" s="252">
        <f t="shared" si="40"/>
        <v>0</v>
      </c>
      <c r="AD71" s="252">
        <f t="shared" si="40"/>
        <v>0</v>
      </c>
      <c r="AE71" s="252">
        <f t="shared" si="40"/>
        <v>0</v>
      </c>
      <c r="AF71" s="252">
        <f t="shared" si="40"/>
        <v>0</v>
      </c>
      <c r="AG71" s="252">
        <f t="shared" si="40"/>
        <v>0</v>
      </c>
      <c r="AH71" s="252">
        <f t="shared" si="40"/>
        <v>0</v>
      </c>
      <c r="AI71" s="252">
        <f t="shared" si="40"/>
        <v>0</v>
      </c>
      <c r="AJ71" s="252">
        <f t="shared" si="40"/>
        <v>0</v>
      </c>
      <c r="AK71" s="252">
        <f t="shared" si="40"/>
        <v>0</v>
      </c>
      <c r="AL71" s="252">
        <f t="shared" si="40"/>
        <v>0</v>
      </c>
      <c r="AM71" s="252">
        <f t="shared" si="40"/>
        <v>0</v>
      </c>
      <c r="AN71" s="252">
        <f t="shared" si="40"/>
        <v>0</v>
      </c>
      <c r="AO71" s="252">
        <f t="shared" si="40"/>
        <v>0</v>
      </c>
      <c r="AP71" s="252">
        <f t="shared" si="40"/>
        <v>0</v>
      </c>
      <c r="AQ71" s="252">
        <f t="shared" si="40"/>
        <v>0</v>
      </c>
      <c r="AR71" s="252">
        <f t="shared" si="40"/>
        <v>0</v>
      </c>
      <c r="AS71" s="252">
        <f t="shared" si="40"/>
        <v>0</v>
      </c>
      <c r="AT71" s="252">
        <f t="shared" si="40"/>
        <v>0</v>
      </c>
      <c r="AU71" s="252">
        <f t="shared" si="40"/>
        <v>0</v>
      </c>
      <c r="AV71" s="252">
        <f t="shared" si="40"/>
        <v>0</v>
      </c>
      <c r="AW71" s="252">
        <f t="shared" si="40"/>
        <v>0</v>
      </c>
      <c r="AX71" s="252">
        <f t="shared" si="40"/>
        <v>0</v>
      </c>
      <c r="AY71" s="252">
        <f t="shared" si="40"/>
        <v>0</v>
      </c>
      <c r="AZ71" s="252">
        <f t="shared" si="40"/>
        <v>0</v>
      </c>
      <c r="BA71" s="252">
        <f t="shared" si="40"/>
        <v>0</v>
      </c>
    </row>
    <row r="72" ht="15.75" customHeight="1">
      <c r="A72" s="787">
        <v>1949.0</v>
      </c>
      <c r="B72" s="38"/>
      <c r="C72" s="38"/>
      <c r="D72" s="38"/>
      <c r="E72" s="38"/>
      <c r="F72" s="38"/>
      <c r="G72" s="38"/>
      <c r="H72" s="38"/>
      <c r="I72" s="38"/>
      <c r="J72" s="38"/>
      <c r="K72" s="38"/>
      <c r="L72" s="38"/>
      <c r="M72" s="38"/>
      <c r="N72" s="38"/>
      <c r="O72" s="38"/>
      <c r="P72" s="38"/>
      <c r="Q72" s="38"/>
      <c r="R72" s="38"/>
      <c r="S72" s="38"/>
      <c r="T72" s="38"/>
      <c r="U72" s="38"/>
      <c r="V72" s="801">
        <v>0.0</v>
      </c>
      <c r="W72" s="252">
        <f t="shared" si="22"/>
        <v>0</v>
      </c>
      <c r="X72" s="252">
        <f t="shared" ref="X72:BA72" si="41">IF(AND(X$52-$A72&gt;$V$35,SUM($W72:W72)&lt;&gt;$V72),$V72,0)</f>
        <v>0</v>
      </c>
      <c r="Y72" s="252">
        <f t="shared" si="41"/>
        <v>0</v>
      </c>
      <c r="Z72" s="252">
        <f t="shared" si="41"/>
        <v>0</v>
      </c>
      <c r="AA72" s="252">
        <f t="shared" si="41"/>
        <v>0</v>
      </c>
      <c r="AB72" s="252">
        <f t="shared" si="41"/>
        <v>0</v>
      </c>
      <c r="AC72" s="252">
        <f t="shared" si="41"/>
        <v>0</v>
      </c>
      <c r="AD72" s="252">
        <f t="shared" si="41"/>
        <v>0</v>
      </c>
      <c r="AE72" s="252">
        <f t="shared" si="41"/>
        <v>0</v>
      </c>
      <c r="AF72" s="252">
        <f t="shared" si="41"/>
        <v>0</v>
      </c>
      <c r="AG72" s="252">
        <f t="shared" si="41"/>
        <v>0</v>
      </c>
      <c r="AH72" s="252">
        <f t="shared" si="41"/>
        <v>0</v>
      </c>
      <c r="AI72" s="252">
        <f t="shared" si="41"/>
        <v>0</v>
      </c>
      <c r="AJ72" s="252">
        <f t="shared" si="41"/>
        <v>0</v>
      </c>
      <c r="AK72" s="252">
        <f t="shared" si="41"/>
        <v>0</v>
      </c>
      <c r="AL72" s="252">
        <f t="shared" si="41"/>
        <v>0</v>
      </c>
      <c r="AM72" s="252">
        <f t="shared" si="41"/>
        <v>0</v>
      </c>
      <c r="AN72" s="252">
        <f t="shared" si="41"/>
        <v>0</v>
      </c>
      <c r="AO72" s="252">
        <f t="shared" si="41"/>
        <v>0</v>
      </c>
      <c r="AP72" s="252">
        <f t="shared" si="41"/>
        <v>0</v>
      </c>
      <c r="AQ72" s="252">
        <f t="shared" si="41"/>
        <v>0</v>
      </c>
      <c r="AR72" s="252">
        <f t="shared" si="41"/>
        <v>0</v>
      </c>
      <c r="AS72" s="252">
        <f t="shared" si="41"/>
        <v>0</v>
      </c>
      <c r="AT72" s="252">
        <f t="shared" si="41"/>
        <v>0</v>
      </c>
      <c r="AU72" s="252">
        <f t="shared" si="41"/>
        <v>0</v>
      </c>
      <c r="AV72" s="252">
        <f t="shared" si="41"/>
        <v>0</v>
      </c>
      <c r="AW72" s="252">
        <f t="shared" si="41"/>
        <v>0</v>
      </c>
      <c r="AX72" s="252">
        <f t="shared" si="41"/>
        <v>0</v>
      </c>
      <c r="AY72" s="252">
        <f t="shared" si="41"/>
        <v>0</v>
      </c>
      <c r="AZ72" s="252">
        <f t="shared" si="41"/>
        <v>0</v>
      </c>
      <c r="BA72" s="252">
        <f t="shared" si="41"/>
        <v>0</v>
      </c>
    </row>
    <row r="73" ht="15.75" customHeight="1">
      <c r="A73" s="787">
        <v>1950.0</v>
      </c>
      <c r="B73" s="38"/>
      <c r="C73" s="38"/>
      <c r="D73" s="38"/>
      <c r="E73" s="38"/>
      <c r="F73" s="38"/>
      <c r="G73" s="38"/>
      <c r="H73" s="38"/>
      <c r="I73" s="38"/>
      <c r="J73" s="38"/>
      <c r="K73" s="38"/>
      <c r="L73" s="38"/>
      <c r="M73" s="38"/>
      <c r="N73" s="38"/>
      <c r="O73" s="38"/>
      <c r="P73" s="38"/>
      <c r="Q73" s="38"/>
      <c r="R73" s="38"/>
      <c r="S73" s="38"/>
      <c r="T73" s="38"/>
      <c r="U73" s="38"/>
      <c r="V73" s="801">
        <v>0.0</v>
      </c>
      <c r="W73" s="252">
        <f t="shared" si="22"/>
        <v>0</v>
      </c>
      <c r="X73" s="252">
        <f t="shared" ref="X73:BA73" si="42">IF(AND(X$52-$A73&gt;$V$35,SUM($W73:W73)&lt;&gt;$V73),$V73,0)</f>
        <v>0</v>
      </c>
      <c r="Y73" s="252">
        <f t="shared" si="42"/>
        <v>0</v>
      </c>
      <c r="Z73" s="252">
        <f t="shared" si="42"/>
        <v>0</v>
      </c>
      <c r="AA73" s="252">
        <f t="shared" si="42"/>
        <v>0</v>
      </c>
      <c r="AB73" s="252">
        <f t="shared" si="42"/>
        <v>0</v>
      </c>
      <c r="AC73" s="252">
        <f t="shared" si="42"/>
        <v>0</v>
      </c>
      <c r="AD73" s="252">
        <f t="shared" si="42"/>
        <v>0</v>
      </c>
      <c r="AE73" s="252">
        <f t="shared" si="42"/>
        <v>0</v>
      </c>
      <c r="AF73" s="252">
        <f t="shared" si="42"/>
        <v>0</v>
      </c>
      <c r="AG73" s="252">
        <f t="shared" si="42"/>
        <v>0</v>
      </c>
      <c r="AH73" s="252">
        <f t="shared" si="42"/>
        <v>0</v>
      </c>
      <c r="AI73" s="252">
        <f t="shared" si="42"/>
        <v>0</v>
      </c>
      <c r="AJ73" s="252">
        <f t="shared" si="42"/>
        <v>0</v>
      </c>
      <c r="AK73" s="252">
        <f t="shared" si="42"/>
        <v>0</v>
      </c>
      <c r="AL73" s="252">
        <f t="shared" si="42"/>
        <v>0</v>
      </c>
      <c r="AM73" s="252">
        <f t="shared" si="42"/>
        <v>0</v>
      </c>
      <c r="AN73" s="252">
        <f t="shared" si="42"/>
        <v>0</v>
      </c>
      <c r="AO73" s="252">
        <f t="shared" si="42"/>
        <v>0</v>
      </c>
      <c r="AP73" s="252">
        <f t="shared" si="42"/>
        <v>0</v>
      </c>
      <c r="AQ73" s="252">
        <f t="shared" si="42"/>
        <v>0</v>
      </c>
      <c r="AR73" s="252">
        <f t="shared" si="42"/>
        <v>0</v>
      </c>
      <c r="AS73" s="252">
        <f t="shared" si="42"/>
        <v>0</v>
      </c>
      <c r="AT73" s="252">
        <f t="shared" si="42"/>
        <v>0</v>
      </c>
      <c r="AU73" s="252">
        <f t="shared" si="42"/>
        <v>0</v>
      </c>
      <c r="AV73" s="252">
        <f t="shared" si="42"/>
        <v>0</v>
      </c>
      <c r="AW73" s="252">
        <f t="shared" si="42"/>
        <v>0</v>
      </c>
      <c r="AX73" s="252">
        <f t="shared" si="42"/>
        <v>0</v>
      </c>
      <c r="AY73" s="252">
        <f t="shared" si="42"/>
        <v>0</v>
      </c>
      <c r="AZ73" s="252">
        <f t="shared" si="42"/>
        <v>0</v>
      </c>
      <c r="BA73" s="252">
        <f t="shared" si="42"/>
        <v>0</v>
      </c>
    </row>
    <row r="74" ht="15.75" customHeight="1">
      <c r="A74" s="787">
        <v>1951.0</v>
      </c>
      <c r="B74" s="38"/>
      <c r="C74" s="38"/>
      <c r="D74" s="38"/>
      <c r="E74" s="38"/>
      <c r="F74" s="38"/>
      <c r="G74" s="38"/>
      <c r="H74" s="38"/>
      <c r="I74" s="38"/>
      <c r="J74" s="38"/>
      <c r="K74" s="38"/>
      <c r="L74" s="38"/>
      <c r="M74" s="38"/>
      <c r="N74" s="38"/>
      <c r="O74" s="38"/>
      <c r="P74" s="38"/>
      <c r="Q74" s="38"/>
      <c r="R74" s="38"/>
      <c r="S74" s="38"/>
      <c r="T74" s="38"/>
      <c r="U74" s="38"/>
      <c r="V74" s="801">
        <v>0.0</v>
      </c>
      <c r="W74" s="252">
        <f t="shared" si="22"/>
        <v>0</v>
      </c>
      <c r="X74" s="252">
        <f t="shared" ref="X74:BA74" si="43">IF(AND(X$52-$A74&gt;$V$35,SUM($W74:W74)&lt;&gt;$V74),$V74,0)</f>
        <v>0</v>
      </c>
      <c r="Y74" s="252">
        <f t="shared" si="43"/>
        <v>0</v>
      </c>
      <c r="Z74" s="252">
        <f t="shared" si="43"/>
        <v>0</v>
      </c>
      <c r="AA74" s="252">
        <f t="shared" si="43"/>
        <v>0</v>
      </c>
      <c r="AB74" s="252">
        <f t="shared" si="43"/>
        <v>0</v>
      </c>
      <c r="AC74" s="252">
        <f t="shared" si="43"/>
        <v>0</v>
      </c>
      <c r="AD74" s="252">
        <f t="shared" si="43"/>
        <v>0</v>
      </c>
      <c r="AE74" s="252">
        <f t="shared" si="43"/>
        <v>0</v>
      </c>
      <c r="AF74" s="252">
        <f t="shared" si="43"/>
        <v>0</v>
      </c>
      <c r="AG74" s="252">
        <f t="shared" si="43"/>
        <v>0</v>
      </c>
      <c r="AH74" s="252">
        <f t="shared" si="43"/>
        <v>0</v>
      </c>
      <c r="AI74" s="252">
        <f t="shared" si="43"/>
        <v>0</v>
      </c>
      <c r="AJ74" s="252">
        <f t="shared" si="43"/>
        <v>0</v>
      </c>
      <c r="AK74" s="252">
        <f t="shared" si="43"/>
        <v>0</v>
      </c>
      <c r="AL74" s="252">
        <f t="shared" si="43"/>
        <v>0</v>
      </c>
      <c r="AM74" s="252">
        <f t="shared" si="43"/>
        <v>0</v>
      </c>
      <c r="AN74" s="252">
        <f t="shared" si="43"/>
        <v>0</v>
      </c>
      <c r="AO74" s="252">
        <f t="shared" si="43"/>
        <v>0</v>
      </c>
      <c r="AP74" s="252">
        <f t="shared" si="43"/>
        <v>0</v>
      </c>
      <c r="AQ74" s="252">
        <f t="shared" si="43"/>
        <v>0</v>
      </c>
      <c r="AR74" s="252">
        <f t="shared" si="43"/>
        <v>0</v>
      </c>
      <c r="AS74" s="252">
        <f t="shared" si="43"/>
        <v>0</v>
      </c>
      <c r="AT74" s="252">
        <f t="shared" si="43"/>
        <v>0</v>
      </c>
      <c r="AU74" s="252">
        <f t="shared" si="43"/>
        <v>0</v>
      </c>
      <c r="AV74" s="252">
        <f t="shared" si="43"/>
        <v>0</v>
      </c>
      <c r="AW74" s="252">
        <f t="shared" si="43"/>
        <v>0</v>
      </c>
      <c r="AX74" s="252">
        <f t="shared" si="43"/>
        <v>0</v>
      </c>
      <c r="AY74" s="252">
        <f t="shared" si="43"/>
        <v>0</v>
      </c>
      <c r="AZ74" s="252">
        <f t="shared" si="43"/>
        <v>0</v>
      </c>
      <c r="BA74" s="252">
        <f t="shared" si="43"/>
        <v>0</v>
      </c>
    </row>
    <row r="75" ht="15.75" customHeight="1">
      <c r="A75" s="787">
        <v>1952.0</v>
      </c>
      <c r="B75" s="38"/>
      <c r="C75" s="38"/>
      <c r="D75" s="38"/>
      <c r="E75" s="38"/>
      <c r="F75" s="38"/>
      <c r="G75" s="38"/>
      <c r="H75" s="38"/>
      <c r="I75" s="38"/>
      <c r="J75" s="38"/>
      <c r="K75" s="38"/>
      <c r="L75" s="38"/>
      <c r="M75" s="38"/>
      <c r="N75" s="38"/>
      <c r="O75" s="38"/>
      <c r="P75" s="38"/>
      <c r="Q75" s="38"/>
      <c r="R75" s="38"/>
      <c r="S75" s="38"/>
      <c r="T75" s="38"/>
      <c r="U75" s="38"/>
      <c r="V75" s="769">
        <v>0.0</v>
      </c>
      <c r="W75" s="252">
        <f t="shared" si="22"/>
        <v>0</v>
      </c>
      <c r="X75" s="252">
        <f t="shared" ref="X75:BA75" si="44">IF(AND(X$52-$A75&gt;$V$35,SUM($W75:W75)&lt;&gt;$V75),$V75,0)</f>
        <v>0</v>
      </c>
      <c r="Y75" s="252">
        <f t="shared" si="44"/>
        <v>0</v>
      </c>
      <c r="Z75" s="252">
        <f t="shared" si="44"/>
        <v>0</v>
      </c>
      <c r="AA75" s="252">
        <f t="shared" si="44"/>
        <v>0</v>
      </c>
      <c r="AB75" s="252">
        <f t="shared" si="44"/>
        <v>0</v>
      </c>
      <c r="AC75" s="252">
        <f t="shared" si="44"/>
        <v>0</v>
      </c>
      <c r="AD75" s="252">
        <f t="shared" si="44"/>
        <v>0</v>
      </c>
      <c r="AE75" s="252">
        <f t="shared" si="44"/>
        <v>0</v>
      </c>
      <c r="AF75" s="252">
        <f t="shared" si="44"/>
        <v>0</v>
      </c>
      <c r="AG75" s="252">
        <f t="shared" si="44"/>
        <v>0</v>
      </c>
      <c r="AH75" s="252">
        <f t="shared" si="44"/>
        <v>0</v>
      </c>
      <c r="AI75" s="252">
        <f t="shared" si="44"/>
        <v>0</v>
      </c>
      <c r="AJ75" s="252">
        <f t="shared" si="44"/>
        <v>0</v>
      </c>
      <c r="AK75" s="252">
        <f t="shared" si="44"/>
        <v>0</v>
      </c>
      <c r="AL75" s="252">
        <f t="shared" si="44"/>
        <v>0</v>
      </c>
      <c r="AM75" s="252">
        <f t="shared" si="44"/>
        <v>0</v>
      </c>
      <c r="AN75" s="252">
        <f t="shared" si="44"/>
        <v>0</v>
      </c>
      <c r="AO75" s="252">
        <f t="shared" si="44"/>
        <v>0</v>
      </c>
      <c r="AP75" s="252">
        <f t="shared" si="44"/>
        <v>0</v>
      </c>
      <c r="AQ75" s="252">
        <f t="shared" si="44"/>
        <v>0</v>
      </c>
      <c r="AR75" s="252">
        <f t="shared" si="44"/>
        <v>0</v>
      </c>
      <c r="AS75" s="252">
        <f t="shared" si="44"/>
        <v>0</v>
      </c>
      <c r="AT75" s="252">
        <f t="shared" si="44"/>
        <v>0</v>
      </c>
      <c r="AU75" s="252">
        <f t="shared" si="44"/>
        <v>0</v>
      </c>
      <c r="AV75" s="252">
        <f t="shared" si="44"/>
        <v>0</v>
      </c>
      <c r="AW75" s="252">
        <f t="shared" si="44"/>
        <v>0</v>
      </c>
      <c r="AX75" s="252">
        <f t="shared" si="44"/>
        <v>0</v>
      </c>
      <c r="AY75" s="252">
        <f t="shared" si="44"/>
        <v>0</v>
      </c>
      <c r="AZ75" s="252">
        <f t="shared" si="44"/>
        <v>0</v>
      </c>
      <c r="BA75" s="252">
        <f t="shared" si="44"/>
        <v>0</v>
      </c>
    </row>
    <row r="76" ht="15.75" customHeight="1">
      <c r="A76" s="787">
        <v>1953.0</v>
      </c>
      <c r="B76" s="38"/>
      <c r="C76" s="38"/>
      <c r="D76" s="38"/>
      <c r="E76" s="38"/>
      <c r="F76" s="38"/>
      <c r="G76" s="38"/>
      <c r="H76" s="38"/>
      <c r="I76" s="38"/>
      <c r="J76" s="38"/>
      <c r="K76" s="38"/>
      <c r="L76" s="38"/>
      <c r="M76" s="38"/>
      <c r="N76" s="38"/>
      <c r="O76" s="38"/>
      <c r="P76" s="38"/>
      <c r="Q76" s="38"/>
      <c r="R76" s="38"/>
      <c r="S76" s="38"/>
      <c r="T76" s="38"/>
      <c r="U76" s="38"/>
      <c r="V76" s="769">
        <v>0.0</v>
      </c>
      <c r="W76" s="252">
        <f t="shared" si="22"/>
        <v>0</v>
      </c>
      <c r="X76" s="252">
        <f t="shared" ref="X76:BA76" si="45">IF(AND(X$52-$A76&gt;$V$35,SUM($W76:W76)&lt;&gt;$V76),$V76,0)</f>
        <v>0</v>
      </c>
      <c r="Y76" s="252">
        <f t="shared" si="45"/>
        <v>0</v>
      </c>
      <c r="Z76" s="252">
        <f t="shared" si="45"/>
        <v>0</v>
      </c>
      <c r="AA76" s="252">
        <f t="shared" si="45"/>
        <v>0</v>
      </c>
      <c r="AB76" s="252">
        <f t="shared" si="45"/>
        <v>0</v>
      </c>
      <c r="AC76" s="252">
        <f t="shared" si="45"/>
        <v>0</v>
      </c>
      <c r="AD76" s="252">
        <f t="shared" si="45"/>
        <v>0</v>
      </c>
      <c r="AE76" s="252">
        <f t="shared" si="45"/>
        <v>0</v>
      </c>
      <c r="AF76" s="252">
        <f t="shared" si="45"/>
        <v>0</v>
      </c>
      <c r="AG76" s="252">
        <f t="shared" si="45"/>
        <v>0</v>
      </c>
      <c r="AH76" s="252">
        <f t="shared" si="45"/>
        <v>0</v>
      </c>
      <c r="AI76" s="252">
        <f t="shared" si="45"/>
        <v>0</v>
      </c>
      <c r="AJ76" s="252">
        <f t="shared" si="45"/>
        <v>0</v>
      </c>
      <c r="AK76" s="252">
        <f t="shared" si="45"/>
        <v>0</v>
      </c>
      <c r="AL76" s="252">
        <f t="shared" si="45"/>
        <v>0</v>
      </c>
      <c r="AM76" s="252">
        <f t="shared" si="45"/>
        <v>0</v>
      </c>
      <c r="AN76" s="252">
        <f t="shared" si="45"/>
        <v>0</v>
      </c>
      <c r="AO76" s="252">
        <f t="shared" si="45"/>
        <v>0</v>
      </c>
      <c r="AP76" s="252">
        <f t="shared" si="45"/>
        <v>0</v>
      </c>
      <c r="AQ76" s="252">
        <f t="shared" si="45"/>
        <v>0</v>
      </c>
      <c r="AR76" s="252">
        <f t="shared" si="45"/>
        <v>0</v>
      </c>
      <c r="AS76" s="252">
        <f t="shared" si="45"/>
        <v>0</v>
      </c>
      <c r="AT76" s="252">
        <f t="shared" si="45"/>
        <v>0</v>
      </c>
      <c r="AU76" s="252">
        <f t="shared" si="45"/>
        <v>0</v>
      </c>
      <c r="AV76" s="252">
        <f t="shared" si="45"/>
        <v>0</v>
      </c>
      <c r="AW76" s="252">
        <f t="shared" si="45"/>
        <v>0</v>
      </c>
      <c r="AX76" s="252">
        <f t="shared" si="45"/>
        <v>0</v>
      </c>
      <c r="AY76" s="252">
        <f t="shared" si="45"/>
        <v>0</v>
      </c>
      <c r="AZ76" s="252">
        <f t="shared" si="45"/>
        <v>0</v>
      </c>
      <c r="BA76" s="252">
        <f t="shared" si="45"/>
        <v>0</v>
      </c>
    </row>
    <row r="77" ht="15.75" customHeight="1">
      <c r="A77" s="787">
        <v>1954.0</v>
      </c>
      <c r="B77" s="38"/>
      <c r="C77" s="38"/>
      <c r="D77" s="38"/>
      <c r="E77" s="38"/>
      <c r="F77" s="38"/>
      <c r="G77" s="38"/>
      <c r="H77" s="38"/>
      <c r="I77" s="38"/>
      <c r="J77" s="38"/>
      <c r="K77" s="38"/>
      <c r="L77" s="38"/>
      <c r="M77" s="38"/>
      <c r="N77" s="38"/>
      <c r="O77" s="38"/>
      <c r="P77" s="38"/>
      <c r="Q77" s="38"/>
      <c r="R77" s="38"/>
      <c r="S77" s="38"/>
      <c r="T77" s="38"/>
      <c r="U77" s="38"/>
      <c r="V77" s="769">
        <v>0.0</v>
      </c>
      <c r="W77" s="252">
        <f t="shared" si="22"/>
        <v>0</v>
      </c>
      <c r="X77" s="252">
        <f t="shared" ref="X77:BA77" si="46">IF(AND(X$52-$A77&gt;$V$35,SUM($W77:W77)&lt;&gt;$V77),$V77,0)</f>
        <v>0</v>
      </c>
      <c r="Y77" s="252">
        <f t="shared" si="46"/>
        <v>0</v>
      </c>
      <c r="Z77" s="252">
        <f t="shared" si="46"/>
        <v>0</v>
      </c>
      <c r="AA77" s="252">
        <f t="shared" si="46"/>
        <v>0</v>
      </c>
      <c r="AB77" s="252">
        <f t="shared" si="46"/>
        <v>0</v>
      </c>
      <c r="AC77" s="252">
        <f t="shared" si="46"/>
        <v>0</v>
      </c>
      <c r="AD77" s="252">
        <f t="shared" si="46"/>
        <v>0</v>
      </c>
      <c r="AE77" s="252">
        <f t="shared" si="46"/>
        <v>0</v>
      </c>
      <c r="AF77" s="252">
        <f t="shared" si="46"/>
        <v>0</v>
      </c>
      <c r="AG77" s="252">
        <f t="shared" si="46"/>
        <v>0</v>
      </c>
      <c r="AH77" s="252">
        <f t="shared" si="46"/>
        <v>0</v>
      </c>
      <c r="AI77" s="252">
        <f t="shared" si="46"/>
        <v>0</v>
      </c>
      <c r="AJ77" s="252">
        <f t="shared" si="46"/>
        <v>0</v>
      </c>
      <c r="AK77" s="252">
        <f t="shared" si="46"/>
        <v>0</v>
      </c>
      <c r="AL77" s="252">
        <f t="shared" si="46"/>
        <v>0</v>
      </c>
      <c r="AM77" s="252">
        <f t="shared" si="46"/>
        <v>0</v>
      </c>
      <c r="AN77" s="252">
        <f t="shared" si="46"/>
        <v>0</v>
      </c>
      <c r="AO77" s="252">
        <f t="shared" si="46"/>
        <v>0</v>
      </c>
      <c r="AP77" s="252">
        <f t="shared" si="46"/>
        <v>0</v>
      </c>
      <c r="AQ77" s="252">
        <f t="shared" si="46"/>
        <v>0</v>
      </c>
      <c r="AR77" s="252">
        <f t="shared" si="46"/>
        <v>0</v>
      </c>
      <c r="AS77" s="252">
        <f t="shared" si="46"/>
        <v>0</v>
      </c>
      <c r="AT77" s="252">
        <f t="shared" si="46"/>
        <v>0</v>
      </c>
      <c r="AU77" s="252">
        <f t="shared" si="46"/>
        <v>0</v>
      </c>
      <c r="AV77" s="252">
        <f t="shared" si="46"/>
        <v>0</v>
      </c>
      <c r="AW77" s="252">
        <f t="shared" si="46"/>
        <v>0</v>
      </c>
      <c r="AX77" s="252">
        <f t="shared" si="46"/>
        <v>0</v>
      </c>
      <c r="AY77" s="252">
        <f t="shared" si="46"/>
        <v>0</v>
      </c>
      <c r="AZ77" s="252">
        <f t="shared" si="46"/>
        <v>0</v>
      </c>
      <c r="BA77" s="252">
        <f t="shared" si="46"/>
        <v>0</v>
      </c>
    </row>
    <row r="78" ht="15.75" customHeight="1">
      <c r="A78" s="787">
        <v>1955.0</v>
      </c>
      <c r="B78" s="38"/>
      <c r="C78" s="38"/>
      <c r="D78" s="38"/>
      <c r="E78" s="38"/>
      <c r="F78" s="38"/>
      <c r="G78" s="38"/>
      <c r="H78" s="38"/>
      <c r="I78" s="38"/>
      <c r="J78" s="38"/>
      <c r="K78" s="38"/>
      <c r="L78" s="38"/>
      <c r="M78" s="38"/>
      <c r="N78" s="38"/>
      <c r="O78" s="38"/>
      <c r="P78" s="38"/>
      <c r="Q78" s="38"/>
      <c r="R78" s="38"/>
      <c r="S78" s="38"/>
      <c r="T78" s="38"/>
      <c r="U78" s="38"/>
      <c r="V78" s="769">
        <v>0.0</v>
      </c>
      <c r="W78" s="252">
        <f t="shared" si="22"/>
        <v>0</v>
      </c>
      <c r="X78" s="252">
        <f t="shared" ref="X78:BA78" si="47">IF(AND(X$52-$A78&gt;$V$35,SUM($W78:W78)&lt;&gt;$V78),$V78,0)</f>
        <v>0</v>
      </c>
      <c r="Y78" s="252">
        <f t="shared" si="47"/>
        <v>0</v>
      </c>
      <c r="Z78" s="252">
        <f t="shared" si="47"/>
        <v>0</v>
      </c>
      <c r="AA78" s="252">
        <f t="shared" si="47"/>
        <v>0</v>
      </c>
      <c r="AB78" s="252">
        <f t="shared" si="47"/>
        <v>0</v>
      </c>
      <c r="AC78" s="252">
        <f t="shared" si="47"/>
        <v>0</v>
      </c>
      <c r="AD78" s="252">
        <f t="shared" si="47"/>
        <v>0</v>
      </c>
      <c r="AE78" s="252">
        <f t="shared" si="47"/>
        <v>0</v>
      </c>
      <c r="AF78" s="252">
        <f t="shared" si="47"/>
        <v>0</v>
      </c>
      <c r="AG78" s="252">
        <f t="shared" si="47"/>
        <v>0</v>
      </c>
      <c r="AH78" s="252">
        <f t="shared" si="47"/>
        <v>0</v>
      </c>
      <c r="AI78" s="252">
        <f t="shared" si="47"/>
        <v>0</v>
      </c>
      <c r="AJ78" s="252">
        <f t="shared" si="47"/>
        <v>0</v>
      </c>
      <c r="AK78" s="252">
        <f t="shared" si="47"/>
        <v>0</v>
      </c>
      <c r="AL78" s="252">
        <f t="shared" si="47"/>
        <v>0</v>
      </c>
      <c r="AM78" s="252">
        <f t="shared" si="47"/>
        <v>0</v>
      </c>
      <c r="AN78" s="252">
        <f t="shared" si="47"/>
        <v>0</v>
      </c>
      <c r="AO78" s="252">
        <f t="shared" si="47"/>
        <v>0</v>
      </c>
      <c r="AP78" s="252">
        <f t="shared" si="47"/>
        <v>0</v>
      </c>
      <c r="AQ78" s="252">
        <f t="shared" si="47"/>
        <v>0</v>
      </c>
      <c r="AR78" s="252">
        <f t="shared" si="47"/>
        <v>0</v>
      </c>
      <c r="AS78" s="252">
        <f t="shared" si="47"/>
        <v>0</v>
      </c>
      <c r="AT78" s="252">
        <f t="shared" si="47"/>
        <v>0</v>
      </c>
      <c r="AU78" s="252">
        <f t="shared" si="47"/>
        <v>0</v>
      </c>
      <c r="AV78" s="252">
        <f t="shared" si="47"/>
        <v>0</v>
      </c>
      <c r="AW78" s="252">
        <f t="shared" si="47"/>
        <v>0</v>
      </c>
      <c r="AX78" s="252">
        <f t="shared" si="47"/>
        <v>0</v>
      </c>
      <c r="AY78" s="252">
        <f t="shared" si="47"/>
        <v>0</v>
      </c>
      <c r="AZ78" s="252">
        <f t="shared" si="47"/>
        <v>0</v>
      </c>
      <c r="BA78" s="252">
        <f t="shared" si="47"/>
        <v>0</v>
      </c>
    </row>
    <row r="79" ht="15.75" customHeight="1">
      <c r="A79" s="787">
        <v>1956.0</v>
      </c>
      <c r="B79" s="38"/>
      <c r="C79" s="38"/>
      <c r="D79" s="38"/>
      <c r="E79" s="38"/>
      <c r="F79" s="38"/>
      <c r="G79" s="38"/>
      <c r="H79" s="38"/>
      <c r="I79" s="38"/>
      <c r="J79" s="38"/>
      <c r="K79" s="38"/>
      <c r="L79" s="38"/>
      <c r="M79" s="38"/>
      <c r="N79" s="38"/>
      <c r="O79" s="38"/>
      <c r="P79" s="38"/>
      <c r="Q79" s="38"/>
      <c r="R79" s="38"/>
      <c r="S79" s="38"/>
      <c r="T79" s="38"/>
      <c r="U79" s="38"/>
      <c r="V79" s="769">
        <v>0.0</v>
      </c>
      <c r="W79" s="252">
        <f t="shared" si="22"/>
        <v>0</v>
      </c>
      <c r="X79" s="252">
        <f t="shared" ref="X79:BA79" si="48">IF(AND(X$52-$A79&gt;$V$35,SUM($W79:W79)&lt;&gt;$V79),$V79,0)</f>
        <v>0</v>
      </c>
      <c r="Y79" s="252">
        <f t="shared" si="48"/>
        <v>0</v>
      </c>
      <c r="Z79" s="252">
        <f t="shared" si="48"/>
        <v>0</v>
      </c>
      <c r="AA79" s="252">
        <f t="shared" si="48"/>
        <v>0</v>
      </c>
      <c r="AB79" s="252">
        <f t="shared" si="48"/>
        <v>0</v>
      </c>
      <c r="AC79" s="252">
        <f t="shared" si="48"/>
        <v>0</v>
      </c>
      <c r="AD79" s="252">
        <f t="shared" si="48"/>
        <v>0</v>
      </c>
      <c r="AE79" s="252">
        <f t="shared" si="48"/>
        <v>0</v>
      </c>
      <c r="AF79" s="252">
        <f t="shared" si="48"/>
        <v>0</v>
      </c>
      <c r="AG79" s="252">
        <f t="shared" si="48"/>
        <v>0</v>
      </c>
      <c r="AH79" s="252">
        <f t="shared" si="48"/>
        <v>0</v>
      </c>
      <c r="AI79" s="252">
        <f t="shared" si="48"/>
        <v>0</v>
      </c>
      <c r="AJ79" s="252">
        <f t="shared" si="48"/>
        <v>0</v>
      </c>
      <c r="AK79" s="252">
        <f t="shared" si="48"/>
        <v>0</v>
      </c>
      <c r="AL79" s="252">
        <f t="shared" si="48"/>
        <v>0</v>
      </c>
      <c r="AM79" s="252">
        <f t="shared" si="48"/>
        <v>0</v>
      </c>
      <c r="AN79" s="252">
        <f t="shared" si="48"/>
        <v>0</v>
      </c>
      <c r="AO79" s="252">
        <f t="shared" si="48"/>
        <v>0</v>
      </c>
      <c r="AP79" s="252">
        <f t="shared" si="48"/>
        <v>0</v>
      </c>
      <c r="AQ79" s="252">
        <f t="shared" si="48"/>
        <v>0</v>
      </c>
      <c r="AR79" s="252">
        <f t="shared" si="48"/>
        <v>0</v>
      </c>
      <c r="AS79" s="252">
        <f t="shared" si="48"/>
        <v>0</v>
      </c>
      <c r="AT79" s="252">
        <f t="shared" si="48"/>
        <v>0</v>
      </c>
      <c r="AU79" s="252">
        <f t="shared" si="48"/>
        <v>0</v>
      </c>
      <c r="AV79" s="252">
        <f t="shared" si="48"/>
        <v>0</v>
      </c>
      <c r="AW79" s="252">
        <f t="shared" si="48"/>
        <v>0</v>
      </c>
      <c r="AX79" s="252">
        <f t="shared" si="48"/>
        <v>0</v>
      </c>
      <c r="AY79" s="252">
        <f t="shared" si="48"/>
        <v>0</v>
      </c>
      <c r="AZ79" s="252">
        <f t="shared" si="48"/>
        <v>0</v>
      </c>
      <c r="BA79" s="252">
        <f t="shared" si="48"/>
        <v>0</v>
      </c>
    </row>
    <row r="80" ht="15.75" customHeight="1">
      <c r="A80" s="787">
        <v>1957.0</v>
      </c>
      <c r="B80" s="38"/>
      <c r="C80" s="38"/>
      <c r="D80" s="38"/>
      <c r="E80" s="38"/>
      <c r="F80" s="38"/>
      <c r="G80" s="38"/>
      <c r="H80" s="38"/>
      <c r="I80" s="38"/>
      <c r="J80" s="38"/>
      <c r="K80" s="38"/>
      <c r="L80" s="38"/>
      <c r="M80" s="38"/>
      <c r="N80" s="38"/>
      <c r="O80" s="38"/>
      <c r="P80" s="38"/>
      <c r="Q80" s="38"/>
      <c r="R80" s="38"/>
      <c r="S80" s="38"/>
      <c r="T80" s="38"/>
      <c r="U80" s="38"/>
      <c r="V80" s="769">
        <v>0.0</v>
      </c>
      <c r="W80" s="252">
        <f t="shared" si="22"/>
        <v>0</v>
      </c>
      <c r="X80" s="252">
        <f t="shared" ref="X80:BA80" si="49">IF(AND(X$52-$A80&gt;$V$35,SUM($W80:W80)&lt;&gt;$V80),$V80,0)</f>
        <v>0</v>
      </c>
      <c r="Y80" s="252">
        <f t="shared" si="49"/>
        <v>0</v>
      </c>
      <c r="Z80" s="252">
        <f t="shared" si="49"/>
        <v>0</v>
      </c>
      <c r="AA80" s="252">
        <f t="shared" si="49"/>
        <v>0</v>
      </c>
      <c r="AB80" s="252">
        <f t="shared" si="49"/>
        <v>0</v>
      </c>
      <c r="AC80" s="252">
        <f t="shared" si="49"/>
        <v>0</v>
      </c>
      <c r="AD80" s="252">
        <f t="shared" si="49"/>
        <v>0</v>
      </c>
      <c r="AE80" s="252">
        <f t="shared" si="49"/>
        <v>0</v>
      </c>
      <c r="AF80" s="252">
        <f t="shared" si="49"/>
        <v>0</v>
      </c>
      <c r="AG80" s="252">
        <f t="shared" si="49"/>
        <v>0</v>
      </c>
      <c r="AH80" s="252">
        <f t="shared" si="49"/>
        <v>0</v>
      </c>
      <c r="AI80" s="252">
        <f t="shared" si="49"/>
        <v>0</v>
      </c>
      <c r="AJ80" s="252">
        <f t="shared" si="49"/>
        <v>0</v>
      </c>
      <c r="AK80" s="252">
        <f t="shared" si="49"/>
        <v>0</v>
      </c>
      <c r="AL80" s="252">
        <f t="shared" si="49"/>
        <v>0</v>
      </c>
      <c r="AM80" s="252">
        <f t="shared" si="49"/>
        <v>0</v>
      </c>
      <c r="AN80" s="252">
        <f t="shared" si="49"/>
        <v>0</v>
      </c>
      <c r="AO80" s="252">
        <f t="shared" si="49"/>
        <v>0</v>
      </c>
      <c r="AP80" s="252">
        <f t="shared" si="49"/>
        <v>0</v>
      </c>
      <c r="AQ80" s="252">
        <f t="shared" si="49"/>
        <v>0</v>
      </c>
      <c r="AR80" s="252">
        <f t="shared" si="49"/>
        <v>0</v>
      </c>
      <c r="AS80" s="252">
        <f t="shared" si="49"/>
        <v>0</v>
      </c>
      <c r="AT80" s="252">
        <f t="shared" si="49"/>
        <v>0</v>
      </c>
      <c r="AU80" s="252">
        <f t="shared" si="49"/>
        <v>0</v>
      </c>
      <c r="AV80" s="252">
        <f t="shared" si="49"/>
        <v>0</v>
      </c>
      <c r="AW80" s="252">
        <f t="shared" si="49"/>
        <v>0</v>
      </c>
      <c r="AX80" s="252">
        <f t="shared" si="49"/>
        <v>0</v>
      </c>
      <c r="AY80" s="252">
        <f t="shared" si="49"/>
        <v>0</v>
      </c>
      <c r="AZ80" s="252">
        <f t="shared" si="49"/>
        <v>0</v>
      </c>
      <c r="BA80" s="252">
        <f t="shared" si="49"/>
        <v>0</v>
      </c>
    </row>
    <row r="81" ht="15.75" customHeight="1">
      <c r="A81" s="787">
        <v>1958.0</v>
      </c>
      <c r="B81" s="38"/>
      <c r="C81" s="38"/>
      <c r="D81" s="38"/>
      <c r="E81" s="38"/>
      <c r="F81" s="38"/>
      <c r="G81" s="38"/>
      <c r="H81" s="38"/>
      <c r="I81" s="38"/>
      <c r="J81" s="38"/>
      <c r="K81" s="38"/>
      <c r="L81" s="38"/>
      <c r="M81" s="38"/>
      <c r="N81" s="38"/>
      <c r="O81" s="38"/>
      <c r="P81" s="38"/>
      <c r="Q81" s="38"/>
      <c r="R81" s="38"/>
      <c r="S81" s="38"/>
      <c r="T81" s="38"/>
      <c r="U81" s="38"/>
      <c r="V81" s="769">
        <v>0.0</v>
      </c>
      <c r="W81" s="252">
        <f t="shared" si="22"/>
        <v>0</v>
      </c>
      <c r="X81" s="252">
        <f t="shared" ref="X81:BA81" si="50">IF(AND(X$52-$A81&gt;$V$35,SUM($W81:W81)&lt;&gt;$V81),$V81,0)</f>
        <v>0</v>
      </c>
      <c r="Y81" s="252">
        <f t="shared" si="50"/>
        <v>0</v>
      </c>
      <c r="Z81" s="252">
        <f t="shared" si="50"/>
        <v>0</v>
      </c>
      <c r="AA81" s="252">
        <f t="shared" si="50"/>
        <v>0</v>
      </c>
      <c r="AB81" s="252">
        <f t="shared" si="50"/>
        <v>0</v>
      </c>
      <c r="AC81" s="252">
        <f t="shared" si="50"/>
        <v>0</v>
      </c>
      <c r="AD81" s="252">
        <f t="shared" si="50"/>
        <v>0</v>
      </c>
      <c r="AE81" s="252">
        <f t="shared" si="50"/>
        <v>0</v>
      </c>
      <c r="AF81" s="252">
        <f t="shared" si="50"/>
        <v>0</v>
      </c>
      <c r="AG81" s="252">
        <f t="shared" si="50"/>
        <v>0</v>
      </c>
      <c r="AH81" s="252">
        <f t="shared" si="50"/>
        <v>0</v>
      </c>
      <c r="AI81" s="252">
        <f t="shared" si="50"/>
        <v>0</v>
      </c>
      <c r="AJ81" s="252">
        <f t="shared" si="50"/>
        <v>0</v>
      </c>
      <c r="AK81" s="252">
        <f t="shared" si="50"/>
        <v>0</v>
      </c>
      <c r="AL81" s="252">
        <f t="shared" si="50"/>
        <v>0</v>
      </c>
      <c r="AM81" s="252">
        <f t="shared" si="50"/>
        <v>0</v>
      </c>
      <c r="AN81" s="252">
        <f t="shared" si="50"/>
        <v>0</v>
      </c>
      <c r="AO81" s="252">
        <f t="shared" si="50"/>
        <v>0</v>
      </c>
      <c r="AP81" s="252">
        <f t="shared" si="50"/>
        <v>0</v>
      </c>
      <c r="AQ81" s="252">
        <f t="shared" si="50"/>
        <v>0</v>
      </c>
      <c r="AR81" s="252">
        <f t="shared" si="50"/>
        <v>0</v>
      </c>
      <c r="AS81" s="252">
        <f t="shared" si="50"/>
        <v>0</v>
      </c>
      <c r="AT81" s="252">
        <f t="shared" si="50"/>
        <v>0</v>
      </c>
      <c r="AU81" s="252">
        <f t="shared" si="50"/>
        <v>0</v>
      </c>
      <c r="AV81" s="252">
        <f t="shared" si="50"/>
        <v>0</v>
      </c>
      <c r="AW81" s="252">
        <f t="shared" si="50"/>
        <v>0</v>
      </c>
      <c r="AX81" s="252">
        <f t="shared" si="50"/>
        <v>0</v>
      </c>
      <c r="AY81" s="252">
        <f t="shared" si="50"/>
        <v>0</v>
      </c>
      <c r="AZ81" s="252">
        <f t="shared" si="50"/>
        <v>0</v>
      </c>
      <c r="BA81" s="252">
        <f t="shared" si="50"/>
        <v>0</v>
      </c>
    </row>
    <row r="82" ht="15.75" customHeight="1">
      <c r="A82" s="787">
        <v>1959.0</v>
      </c>
      <c r="B82" s="38"/>
      <c r="C82" s="38"/>
      <c r="D82" s="38"/>
      <c r="E82" s="38"/>
      <c r="F82" s="38"/>
      <c r="G82" s="38"/>
      <c r="H82" s="38"/>
      <c r="I82" s="38"/>
      <c r="J82" s="38"/>
      <c r="K82" s="38"/>
      <c r="L82" s="38"/>
      <c r="M82" s="38"/>
      <c r="N82" s="38"/>
      <c r="O82" s="38"/>
      <c r="P82" s="38"/>
      <c r="Q82" s="38"/>
      <c r="R82" s="38"/>
      <c r="S82" s="38"/>
      <c r="T82" s="38"/>
      <c r="U82" s="38"/>
      <c r="V82" s="769">
        <v>0.0</v>
      </c>
      <c r="W82" s="252">
        <f t="shared" si="22"/>
        <v>0</v>
      </c>
      <c r="X82" s="252">
        <f t="shared" ref="X82:BA82" si="51">IF(AND(X$52-$A82&gt;$V$35,SUM($W82:W82)&lt;&gt;$V82),$V82,0)</f>
        <v>0</v>
      </c>
      <c r="Y82" s="252">
        <f t="shared" si="51"/>
        <v>0</v>
      </c>
      <c r="Z82" s="252">
        <f t="shared" si="51"/>
        <v>0</v>
      </c>
      <c r="AA82" s="252">
        <f t="shared" si="51"/>
        <v>0</v>
      </c>
      <c r="AB82" s="252">
        <f t="shared" si="51"/>
        <v>0</v>
      </c>
      <c r="AC82" s="252">
        <f t="shared" si="51"/>
        <v>0</v>
      </c>
      <c r="AD82" s="252">
        <f t="shared" si="51"/>
        <v>0</v>
      </c>
      <c r="AE82" s="252">
        <f t="shared" si="51"/>
        <v>0</v>
      </c>
      <c r="AF82" s="252">
        <f t="shared" si="51"/>
        <v>0</v>
      </c>
      <c r="AG82" s="252">
        <f t="shared" si="51"/>
        <v>0</v>
      </c>
      <c r="AH82" s="252">
        <f t="shared" si="51"/>
        <v>0</v>
      </c>
      <c r="AI82" s="252">
        <f t="shared" si="51"/>
        <v>0</v>
      </c>
      <c r="AJ82" s="252">
        <f t="shared" si="51"/>
        <v>0</v>
      </c>
      <c r="AK82" s="252">
        <f t="shared" si="51"/>
        <v>0</v>
      </c>
      <c r="AL82" s="252">
        <f t="shared" si="51"/>
        <v>0</v>
      </c>
      <c r="AM82" s="252">
        <f t="shared" si="51"/>
        <v>0</v>
      </c>
      <c r="AN82" s="252">
        <f t="shared" si="51"/>
        <v>0</v>
      </c>
      <c r="AO82" s="252">
        <f t="shared" si="51"/>
        <v>0</v>
      </c>
      <c r="AP82" s="252">
        <f t="shared" si="51"/>
        <v>0</v>
      </c>
      <c r="AQ82" s="252">
        <f t="shared" si="51"/>
        <v>0</v>
      </c>
      <c r="AR82" s="252">
        <f t="shared" si="51"/>
        <v>0</v>
      </c>
      <c r="AS82" s="252">
        <f t="shared" si="51"/>
        <v>0</v>
      </c>
      <c r="AT82" s="252">
        <f t="shared" si="51"/>
        <v>0</v>
      </c>
      <c r="AU82" s="252">
        <f t="shared" si="51"/>
        <v>0</v>
      </c>
      <c r="AV82" s="252">
        <f t="shared" si="51"/>
        <v>0</v>
      </c>
      <c r="AW82" s="252">
        <f t="shared" si="51"/>
        <v>0</v>
      </c>
      <c r="AX82" s="252">
        <f t="shared" si="51"/>
        <v>0</v>
      </c>
      <c r="AY82" s="252">
        <f t="shared" si="51"/>
        <v>0</v>
      </c>
      <c r="AZ82" s="252">
        <f t="shared" si="51"/>
        <v>0</v>
      </c>
      <c r="BA82" s="252">
        <f t="shared" si="51"/>
        <v>0</v>
      </c>
    </row>
    <row r="83" ht="15.75" customHeight="1">
      <c r="A83" s="787">
        <v>1960.0</v>
      </c>
      <c r="B83" s="38"/>
      <c r="C83" s="38"/>
      <c r="D83" s="38"/>
      <c r="E83" s="38"/>
      <c r="F83" s="38"/>
      <c r="G83" s="38"/>
      <c r="H83" s="38"/>
      <c r="I83" s="38"/>
      <c r="J83" s="38"/>
      <c r="K83" s="38"/>
      <c r="L83" s="38"/>
      <c r="M83" s="38"/>
      <c r="N83" s="38"/>
      <c r="O83" s="38"/>
      <c r="P83" s="38"/>
      <c r="Q83" s="38"/>
      <c r="R83" s="38"/>
      <c r="S83" s="38"/>
      <c r="T83" s="38"/>
      <c r="U83" s="38"/>
      <c r="V83" s="769">
        <v>0.0</v>
      </c>
      <c r="W83" s="252">
        <f t="shared" si="22"/>
        <v>0</v>
      </c>
      <c r="X83" s="252">
        <f t="shared" ref="X83:BA83" si="52">IF(AND(X$52-$A83&gt;$V$35,SUM($W83:W83)&lt;&gt;$V83),$V83,0)</f>
        <v>0</v>
      </c>
      <c r="Y83" s="252">
        <f t="shared" si="52"/>
        <v>0</v>
      </c>
      <c r="Z83" s="252">
        <f t="shared" si="52"/>
        <v>0</v>
      </c>
      <c r="AA83" s="252">
        <f t="shared" si="52"/>
        <v>0</v>
      </c>
      <c r="AB83" s="252">
        <f t="shared" si="52"/>
        <v>0</v>
      </c>
      <c r="AC83" s="252">
        <f t="shared" si="52"/>
        <v>0</v>
      </c>
      <c r="AD83" s="252">
        <f t="shared" si="52"/>
        <v>0</v>
      </c>
      <c r="AE83" s="252">
        <f t="shared" si="52"/>
        <v>0</v>
      </c>
      <c r="AF83" s="252">
        <f t="shared" si="52"/>
        <v>0</v>
      </c>
      <c r="AG83" s="252">
        <f t="shared" si="52"/>
        <v>0</v>
      </c>
      <c r="AH83" s="252">
        <f t="shared" si="52"/>
        <v>0</v>
      </c>
      <c r="AI83" s="252">
        <f t="shared" si="52"/>
        <v>0</v>
      </c>
      <c r="AJ83" s="252">
        <f t="shared" si="52"/>
        <v>0</v>
      </c>
      <c r="AK83" s="252">
        <f t="shared" si="52"/>
        <v>0</v>
      </c>
      <c r="AL83" s="252">
        <f t="shared" si="52"/>
        <v>0</v>
      </c>
      <c r="AM83" s="252">
        <f t="shared" si="52"/>
        <v>0</v>
      </c>
      <c r="AN83" s="252">
        <f t="shared" si="52"/>
        <v>0</v>
      </c>
      <c r="AO83" s="252">
        <f t="shared" si="52"/>
        <v>0</v>
      </c>
      <c r="AP83" s="252">
        <f t="shared" si="52"/>
        <v>0</v>
      </c>
      <c r="AQ83" s="252">
        <f t="shared" si="52"/>
        <v>0</v>
      </c>
      <c r="AR83" s="252">
        <f t="shared" si="52"/>
        <v>0</v>
      </c>
      <c r="AS83" s="252">
        <f t="shared" si="52"/>
        <v>0</v>
      </c>
      <c r="AT83" s="252">
        <f t="shared" si="52"/>
        <v>0</v>
      </c>
      <c r="AU83" s="252">
        <f t="shared" si="52"/>
        <v>0</v>
      </c>
      <c r="AV83" s="252">
        <f t="shared" si="52"/>
        <v>0</v>
      </c>
      <c r="AW83" s="252">
        <f t="shared" si="52"/>
        <v>0</v>
      </c>
      <c r="AX83" s="252">
        <f t="shared" si="52"/>
        <v>0</v>
      </c>
      <c r="AY83" s="252">
        <f t="shared" si="52"/>
        <v>0</v>
      </c>
      <c r="AZ83" s="252">
        <f t="shared" si="52"/>
        <v>0</v>
      </c>
      <c r="BA83" s="252">
        <f t="shared" si="52"/>
        <v>0</v>
      </c>
    </row>
    <row r="84" ht="15.75" customHeight="1">
      <c r="A84" s="787">
        <v>1961.0</v>
      </c>
      <c r="B84" s="38"/>
      <c r="C84" s="38"/>
      <c r="D84" s="38"/>
      <c r="E84" s="38"/>
      <c r="F84" s="38"/>
      <c r="G84" s="38"/>
      <c r="H84" s="38"/>
      <c r="I84" s="38"/>
      <c r="J84" s="38"/>
      <c r="K84" s="38"/>
      <c r="L84" s="38"/>
      <c r="M84" s="38"/>
      <c r="N84" s="38"/>
      <c r="O84" s="38"/>
      <c r="P84" s="38"/>
      <c r="Q84" s="38"/>
      <c r="R84" s="38"/>
      <c r="S84" s="38"/>
      <c r="T84" s="38"/>
      <c r="U84" s="38"/>
      <c r="V84" s="769">
        <v>0.0</v>
      </c>
      <c r="W84" s="252">
        <f t="shared" si="22"/>
        <v>0</v>
      </c>
      <c r="X84" s="252">
        <f t="shared" ref="X84:BA84" si="53">IF(AND(X$52-$A84&gt;$V$35,SUM($W84:W84)&lt;&gt;$V84),$V84,0)</f>
        <v>0</v>
      </c>
      <c r="Y84" s="252">
        <f t="shared" si="53"/>
        <v>0</v>
      </c>
      <c r="Z84" s="252">
        <f t="shared" si="53"/>
        <v>0</v>
      </c>
      <c r="AA84" s="252">
        <f t="shared" si="53"/>
        <v>0</v>
      </c>
      <c r="AB84" s="252">
        <f t="shared" si="53"/>
        <v>0</v>
      </c>
      <c r="AC84" s="252">
        <f t="shared" si="53"/>
        <v>0</v>
      </c>
      <c r="AD84" s="252">
        <f t="shared" si="53"/>
        <v>0</v>
      </c>
      <c r="AE84" s="252">
        <f t="shared" si="53"/>
        <v>0</v>
      </c>
      <c r="AF84" s="252">
        <f t="shared" si="53"/>
        <v>0</v>
      </c>
      <c r="AG84" s="252">
        <f t="shared" si="53"/>
        <v>0</v>
      </c>
      <c r="AH84" s="252">
        <f t="shared" si="53"/>
        <v>0</v>
      </c>
      <c r="AI84" s="252">
        <f t="shared" si="53"/>
        <v>0</v>
      </c>
      <c r="AJ84" s="252">
        <f t="shared" si="53"/>
        <v>0</v>
      </c>
      <c r="AK84" s="252">
        <f t="shared" si="53"/>
        <v>0</v>
      </c>
      <c r="AL84" s="252">
        <f t="shared" si="53"/>
        <v>0</v>
      </c>
      <c r="AM84" s="252">
        <f t="shared" si="53"/>
        <v>0</v>
      </c>
      <c r="AN84" s="252">
        <f t="shared" si="53"/>
        <v>0</v>
      </c>
      <c r="AO84" s="252">
        <f t="shared" si="53"/>
        <v>0</v>
      </c>
      <c r="AP84" s="252">
        <f t="shared" si="53"/>
        <v>0</v>
      </c>
      <c r="AQ84" s="252">
        <f t="shared" si="53"/>
        <v>0</v>
      </c>
      <c r="AR84" s="252">
        <f t="shared" si="53"/>
        <v>0</v>
      </c>
      <c r="AS84" s="252">
        <f t="shared" si="53"/>
        <v>0</v>
      </c>
      <c r="AT84" s="252">
        <f t="shared" si="53"/>
        <v>0</v>
      </c>
      <c r="AU84" s="252">
        <f t="shared" si="53"/>
        <v>0</v>
      </c>
      <c r="AV84" s="252">
        <f t="shared" si="53"/>
        <v>0</v>
      </c>
      <c r="AW84" s="252">
        <f t="shared" si="53"/>
        <v>0</v>
      </c>
      <c r="AX84" s="252">
        <f t="shared" si="53"/>
        <v>0</v>
      </c>
      <c r="AY84" s="252">
        <f t="shared" si="53"/>
        <v>0</v>
      </c>
      <c r="AZ84" s="252">
        <f t="shared" si="53"/>
        <v>0</v>
      </c>
      <c r="BA84" s="252">
        <f t="shared" si="53"/>
        <v>0</v>
      </c>
    </row>
    <row r="85" ht="15.75" customHeight="1">
      <c r="A85" s="787">
        <v>1962.0</v>
      </c>
      <c r="B85" s="38"/>
      <c r="C85" s="38"/>
      <c r="D85" s="38"/>
      <c r="E85" s="38"/>
      <c r="F85" s="38"/>
      <c r="G85" s="38"/>
      <c r="H85" s="38"/>
      <c r="I85" s="38"/>
      <c r="J85" s="38"/>
      <c r="K85" s="38"/>
      <c r="L85" s="38"/>
      <c r="M85" s="38"/>
      <c r="N85" s="38"/>
      <c r="O85" s="38"/>
      <c r="P85" s="38"/>
      <c r="Q85" s="38"/>
      <c r="R85" s="38"/>
      <c r="S85" s="38"/>
      <c r="T85" s="38"/>
      <c r="U85" s="38"/>
      <c r="V85" s="769">
        <v>0.0</v>
      </c>
      <c r="W85" s="252">
        <f t="shared" si="22"/>
        <v>0</v>
      </c>
      <c r="X85" s="252">
        <f t="shared" ref="X85:BA85" si="54">IF(AND(X$52-$A85&gt;$V$35,SUM($W85:W85)&lt;&gt;$V85),$V85,0)</f>
        <v>0</v>
      </c>
      <c r="Y85" s="252">
        <f t="shared" si="54"/>
        <v>0</v>
      </c>
      <c r="Z85" s="252">
        <f t="shared" si="54"/>
        <v>0</v>
      </c>
      <c r="AA85" s="252">
        <f t="shared" si="54"/>
        <v>0</v>
      </c>
      <c r="AB85" s="252">
        <f t="shared" si="54"/>
        <v>0</v>
      </c>
      <c r="AC85" s="252">
        <f t="shared" si="54"/>
        <v>0</v>
      </c>
      <c r="AD85" s="252">
        <f t="shared" si="54"/>
        <v>0</v>
      </c>
      <c r="AE85" s="252">
        <f t="shared" si="54"/>
        <v>0</v>
      </c>
      <c r="AF85" s="252">
        <f t="shared" si="54"/>
        <v>0</v>
      </c>
      <c r="AG85" s="252">
        <f t="shared" si="54"/>
        <v>0</v>
      </c>
      <c r="AH85" s="252">
        <f t="shared" si="54"/>
        <v>0</v>
      </c>
      <c r="AI85" s="252">
        <f t="shared" si="54"/>
        <v>0</v>
      </c>
      <c r="AJ85" s="252">
        <f t="shared" si="54"/>
        <v>0</v>
      </c>
      <c r="AK85" s="252">
        <f t="shared" si="54"/>
        <v>0</v>
      </c>
      <c r="AL85" s="252">
        <f t="shared" si="54"/>
        <v>0</v>
      </c>
      <c r="AM85" s="252">
        <f t="shared" si="54"/>
        <v>0</v>
      </c>
      <c r="AN85" s="252">
        <f t="shared" si="54"/>
        <v>0</v>
      </c>
      <c r="AO85" s="252">
        <f t="shared" si="54"/>
        <v>0</v>
      </c>
      <c r="AP85" s="252">
        <f t="shared" si="54"/>
        <v>0</v>
      </c>
      <c r="AQ85" s="252">
        <f t="shared" si="54"/>
        <v>0</v>
      </c>
      <c r="AR85" s="252">
        <f t="shared" si="54"/>
        <v>0</v>
      </c>
      <c r="AS85" s="252">
        <f t="shared" si="54"/>
        <v>0</v>
      </c>
      <c r="AT85" s="252">
        <f t="shared" si="54"/>
        <v>0</v>
      </c>
      <c r="AU85" s="252">
        <f t="shared" si="54"/>
        <v>0</v>
      </c>
      <c r="AV85" s="252">
        <f t="shared" si="54"/>
        <v>0</v>
      </c>
      <c r="AW85" s="252">
        <f t="shared" si="54"/>
        <v>0</v>
      </c>
      <c r="AX85" s="252">
        <f t="shared" si="54"/>
        <v>0</v>
      </c>
      <c r="AY85" s="252">
        <f t="shared" si="54"/>
        <v>0</v>
      </c>
      <c r="AZ85" s="252">
        <f t="shared" si="54"/>
        <v>0</v>
      </c>
      <c r="BA85" s="252">
        <f t="shared" si="54"/>
        <v>0</v>
      </c>
    </row>
    <row r="86" ht="15.75" customHeight="1">
      <c r="A86" s="787">
        <v>1963.0</v>
      </c>
      <c r="B86" s="38"/>
      <c r="C86" s="38"/>
      <c r="D86" s="38"/>
      <c r="E86" s="38"/>
      <c r="F86" s="38"/>
      <c r="G86" s="38"/>
      <c r="H86" s="38"/>
      <c r="I86" s="38"/>
      <c r="J86" s="38"/>
      <c r="K86" s="38"/>
      <c r="L86" s="38"/>
      <c r="M86" s="38"/>
      <c r="N86" s="38"/>
      <c r="O86" s="38"/>
      <c r="P86" s="38"/>
      <c r="Q86" s="38"/>
      <c r="R86" s="38"/>
      <c r="S86" s="38"/>
      <c r="T86" s="38"/>
      <c r="U86" s="38"/>
      <c r="V86" s="769">
        <v>0.0</v>
      </c>
      <c r="W86" s="252">
        <f t="shared" si="22"/>
        <v>0</v>
      </c>
      <c r="X86" s="252">
        <f t="shared" ref="X86:BA86" si="55">IF(AND(X$52-$A86&gt;$V$35,SUM($W86:W86)&lt;&gt;$V86),$V86,0)</f>
        <v>0</v>
      </c>
      <c r="Y86" s="252">
        <f t="shared" si="55"/>
        <v>0</v>
      </c>
      <c r="Z86" s="252">
        <f t="shared" si="55"/>
        <v>0</v>
      </c>
      <c r="AA86" s="252">
        <f t="shared" si="55"/>
        <v>0</v>
      </c>
      <c r="AB86" s="252">
        <f t="shared" si="55"/>
        <v>0</v>
      </c>
      <c r="AC86" s="252">
        <f t="shared" si="55"/>
        <v>0</v>
      </c>
      <c r="AD86" s="252">
        <f t="shared" si="55"/>
        <v>0</v>
      </c>
      <c r="AE86" s="252">
        <f t="shared" si="55"/>
        <v>0</v>
      </c>
      <c r="AF86" s="252">
        <f t="shared" si="55"/>
        <v>0</v>
      </c>
      <c r="AG86" s="252">
        <f t="shared" si="55"/>
        <v>0</v>
      </c>
      <c r="AH86" s="252">
        <f t="shared" si="55"/>
        <v>0</v>
      </c>
      <c r="AI86" s="252">
        <f t="shared" si="55"/>
        <v>0</v>
      </c>
      <c r="AJ86" s="252">
        <f t="shared" si="55"/>
        <v>0</v>
      </c>
      <c r="AK86" s="252">
        <f t="shared" si="55"/>
        <v>0</v>
      </c>
      <c r="AL86" s="252">
        <f t="shared" si="55"/>
        <v>0</v>
      </c>
      <c r="AM86" s="252">
        <f t="shared" si="55"/>
        <v>0</v>
      </c>
      <c r="AN86" s="252">
        <f t="shared" si="55"/>
        <v>0</v>
      </c>
      <c r="AO86" s="252">
        <f t="shared" si="55"/>
        <v>0</v>
      </c>
      <c r="AP86" s="252">
        <f t="shared" si="55"/>
        <v>0</v>
      </c>
      <c r="AQ86" s="252">
        <f t="shared" si="55"/>
        <v>0</v>
      </c>
      <c r="AR86" s="252">
        <f t="shared" si="55"/>
        <v>0</v>
      </c>
      <c r="AS86" s="252">
        <f t="shared" si="55"/>
        <v>0</v>
      </c>
      <c r="AT86" s="252">
        <f t="shared" si="55"/>
        <v>0</v>
      </c>
      <c r="AU86" s="252">
        <f t="shared" si="55"/>
        <v>0</v>
      </c>
      <c r="AV86" s="252">
        <f t="shared" si="55"/>
        <v>0</v>
      </c>
      <c r="AW86" s="252">
        <f t="shared" si="55"/>
        <v>0</v>
      </c>
      <c r="AX86" s="252">
        <f t="shared" si="55"/>
        <v>0</v>
      </c>
      <c r="AY86" s="252">
        <f t="shared" si="55"/>
        <v>0</v>
      </c>
      <c r="AZ86" s="252">
        <f t="shared" si="55"/>
        <v>0</v>
      </c>
      <c r="BA86" s="252">
        <f t="shared" si="55"/>
        <v>0</v>
      </c>
    </row>
    <row r="87" ht="15.75" customHeight="1">
      <c r="A87" s="787">
        <v>1964.0</v>
      </c>
      <c r="B87" s="38"/>
      <c r="C87" s="38"/>
      <c r="D87" s="38"/>
      <c r="E87" s="38"/>
      <c r="F87" s="38"/>
      <c r="G87" s="38"/>
      <c r="H87" s="38"/>
      <c r="I87" s="38"/>
      <c r="J87" s="38"/>
      <c r="K87" s="38"/>
      <c r="L87" s="38"/>
      <c r="M87" s="38"/>
      <c r="N87" s="38"/>
      <c r="O87" s="38"/>
      <c r="P87" s="38"/>
      <c r="Q87" s="38"/>
      <c r="R87" s="38"/>
      <c r="S87" s="38"/>
      <c r="T87" s="38"/>
      <c r="U87" s="38"/>
      <c r="V87" s="769">
        <v>0.0</v>
      </c>
      <c r="W87" s="252">
        <f t="shared" si="22"/>
        <v>0</v>
      </c>
      <c r="X87" s="252">
        <f t="shared" ref="X87:BA87" si="56">IF(AND(X$52-$A87&gt;$V$35,SUM($W87:W87)&lt;&gt;$V87),$V87,0)</f>
        <v>0</v>
      </c>
      <c r="Y87" s="252">
        <f t="shared" si="56"/>
        <v>0</v>
      </c>
      <c r="Z87" s="252">
        <f t="shared" si="56"/>
        <v>0</v>
      </c>
      <c r="AA87" s="252">
        <f t="shared" si="56"/>
        <v>0</v>
      </c>
      <c r="AB87" s="252">
        <f t="shared" si="56"/>
        <v>0</v>
      </c>
      <c r="AC87" s="252">
        <f t="shared" si="56"/>
        <v>0</v>
      </c>
      <c r="AD87" s="252">
        <f t="shared" si="56"/>
        <v>0</v>
      </c>
      <c r="AE87" s="252">
        <f t="shared" si="56"/>
        <v>0</v>
      </c>
      <c r="AF87" s="252">
        <f t="shared" si="56"/>
        <v>0</v>
      </c>
      <c r="AG87" s="252">
        <f t="shared" si="56"/>
        <v>0</v>
      </c>
      <c r="AH87" s="252">
        <f t="shared" si="56"/>
        <v>0</v>
      </c>
      <c r="AI87" s="252">
        <f t="shared" si="56"/>
        <v>0</v>
      </c>
      <c r="AJ87" s="252">
        <f t="shared" si="56"/>
        <v>0</v>
      </c>
      <c r="AK87" s="252">
        <f t="shared" si="56"/>
        <v>0</v>
      </c>
      <c r="AL87" s="252">
        <f t="shared" si="56"/>
        <v>0</v>
      </c>
      <c r="AM87" s="252">
        <f t="shared" si="56"/>
        <v>0</v>
      </c>
      <c r="AN87" s="252">
        <f t="shared" si="56"/>
        <v>0</v>
      </c>
      <c r="AO87" s="252">
        <f t="shared" si="56"/>
        <v>0</v>
      </c>
      <c r="AP87" s="252">
        <f t="shared" si="56"/>
        <v>0</v>
      </c>
      <c r="AQ87" s="252">
        <f t="shared" si="56"/>
        <v>0</v>
      </c>
      <c r="AR87" s="252">
        <f t="shared" si="56"/>
        <v>0</v>
      </c>
      <c r="AS87" s="252">
        <f t="shared" si="56"/>
        <v>0</v>
      </c>
      <c r="AT87" s="252">
        <f t="shared" si="56"/>
        <v>0</v>
      </c>
      <c r="AU87" s="252">
        <f t="shared" si="56"/>
        <v>0</v>
      </c>
      <c r="AV87" s="252">
        <f t="shared" si="56"/>
        <v>0</v>
      </c>
      <c r="AW87" s="252">
        <f t="shared" si="56"/>
        <v>0</v>
      </c>
      <c r="AX87" s="252">
        <f t="shared" si="56"/>
        <v>0</v>
      </c>
      <c r="AY87" s="252">
        <f t="shared" si="56"/>
        <v>0</v>
      </c>
      <c r="AZ87" s="252">
        <f t="shared" si="56"/>
        <v>0</v>
      </c>
      <c r="BA87" s="252">
        <f t="shared" si="56"/>
        <v>0</v>
      </c>
    </row>
    <row r="88" ht="15.75" customHeight="1">
      <c r="A88" s="787">
        <v>1965.0</v>
      </c>
      <c r="B88" s="38"/>
      <c r="C88" s="38"/>
      <c r="D88" s="38"/>
      <c r="E88" s="38"/>
      <c r="F88" s="38"/>
      <c r="G88" s="38"/>
      <c r="H88" s="38"/>
      <c r="I88" s="38"/>
      <c r="J88" s="38"/>
      <c r="K88" s="38"/>
      <c r="L88" s="38"/>
      <c r="M88" s="38"/>
      <c r="N88" s="38"/>
      <c r="O88" s="38"/>
      <c r="P88" s="38"/>
      <c r="Q88" s="38"/>
      <c r="R88" s="38"/>
      <c r="S88" s="38"/>
      <c r="T88" s="38"/>
      <c r="U88" s="38"/>
      <c r="V88" s="769">
        <v>0.0</v>
      </c>
      <c r="W88" s="252">
        <f t="shared" si="22"/>
        <v>0</v>
      </c>
      <c r="X88" s="252">
        <f t="shared" ref="X88:BA88" si="57">IF(AND(X$52-$A88&gt;$V$35,SUM($W88:W88)&lt;&gt;$V88),$V88,0)</f>
        <v>0</v>
      </c>
      <c r="Y88" s="252">
        <f t="shared" si="57"/>
        <v>0</v>
      </c>
      <c r="Z88" s="252">
        <f t="shared" si="57"/>
        <v>0</v>
      </c>
      <c r="AA88" s="252">
        <f t="shared" si="57"/>
        <v>0</v>
      </c>
      <c r="AB88" s="252">
        <f t="shared" si="57"/>
        <v>0</v>
      </c>
      <c r="AC88" s="252">
        <f t="shared" si="57"/>
        <v>0</v>
      </c>
      <c r="AD88" s="252">
        <f t="shared" si="57"/>
        <v>0</v>
      </c>
      <c r="AE88" s="252">
        <f t="shared" si="57"/>
        <v>0</v>
      </c>
      <c r="AF88" s="252">
        <f t="shared" si="57"/>
        <v>0</v>
      </c>
      <c r="AG88" s="252">
        <f t="shared" si="57"/>
        <v>0</v>
      </c>
      <c r="AH88" s="252">
        <f t="shared" si="57"/>
        <v>0</v>
      </c>
      <c r="AI88" s="252">
        <f t="shared" si="57"/>
        <v>0</v>
      </c>
      <c r="AJ88" s="252">
        <f t="shared" si="57"/>
        <v>0</v>
      </c>
      <c r="AK88" s="252">
        <f t="shared" si="57"/>
        <v>0</v>
      </c>
      <c r="AL88" s="252">
        <f t="shared" si="57"/>
        <v>0</v>
      </c>
      <c r="AM88" s="252">
        <f t="shared" si="57"/>
        <v>0</v>
      </c>
      <c r="AN88" s="252">
        <f t="shared" si="57"/>
        <v>0</v>
      </c>
      <c r="AO88" s="252">
        <f t="shared" si="57"/>
        <v>0</v>
      </c>
      <c r="AP88" s="252">
        <f t="shared" si="57"/>
        <v>0</v>
      </c>
      <c r="AQ88" s="252">
        <f t="shared" si="57"/>
        <v>0</v>
      </c>
      <c r="AR88" s="252">
        <f t="shared" si="57"/>
        <v>0</v>
      </c>
      <c r="AS88" s="252">
        <f t="shared" si="57"/>
        <v>0</v>
      </c>
      <c r="AT88" s="252">
        <f t="shared" si="57"/>
        <v>0</v>
      </c>
      <c r="AU88" s="252">
        <f t="shared" si="57"/>
        <v>0</v>
      </c>
      <c r="AV88" s="252">
        <f t="shared" si="57"/>
        <v>0</v>
      </c>
      <c r="AW88" s="252">
        <f t="shared" si="57"/>
        <v>0</v>
      </c>
      <c r="AX88" s="252">
        <f t="shared" si="57"/>
        <v>0</v>
      </c>
      <c r="AY88" s="252">
        <f t="shared" si="57"/>
        <v>0</v>
      </c>
      <c r="AZ88" s="252">
        <f t="shared" si="57"/>
        <v>0</v>
      </c>
      <c r="BA88" s="252">
        <f t="shared" si="57"/>
        <v>0</v>
      </c>
    </row>
    <row r="89" ht="15.75" customHeight="1">
      <c r="A89" s="787">
        <v>1966.0</v>
      </c>
      <c r="B89" s="38"/>
      <c r="C89" s="38"/>
      <c r="D89" s="38"/>
      <c r="E89" s="38"/>
      <c r="F89" s="38"/>
      <c r="G89" s="38"/>
      <c r="H89" s="38"/>
      <c r="I89" s="38"/>
      <c r="J89" s="38"/>
      <c r="K89" s="38"/>
      <c r="L89" s="38"/>
      <c r="M89" s="38"/>
      <c r="N89" s="38"/>
      <c r="O89" s="38"/>
      <c r="P89" s="38"/>
      <c r="Q89" s="38"/>
      <c r="R89" s="38"/>
      <c r="S89" s="38"/>
      <c r="T89" s="38"/>
      <c r="U89" s="38"/>
      <c r="V89" s="769">
        <v>0.0</v>
      </c>
      <c r="W89" s="252">
        <f t="shared" si="22"/>
        <v>0</v>
      </c>
      <c r="X89" s="252">
        <f t="shared" ref="X89:BA89" si="58">IF(AND(X$52-$A89&gt;$V$35,SUM($W89:W89)&lt;&gt;$V89),$V89,0)</f>
        <v>0</v>
      </c>
      <c r="Y89" s="252">
        <f t="shared" si="58"/>
        <v>0</v>
      </c>
      <c r="Z89" s="252">
        <f t="shared" si="58"/>
        <v>0</v>
      </c>
      <c r="AA89" s="252">
        <f t="shared" si="58"/>
        <v>0</v>
      </c>
      <c r="AB89" s="252">
        <f t="shared" si="58"/>
        <v>0</v>
      </c>
      <c r="AC89" s="252">
        <f t="shared" si="58"/>
        <v>0</v>
      </c>
      <c r="AD89" s="252">
        <f t="shared" si="58"/>
        <v>0</v>
      </c>
      <c r="AE89" s="252">
        <f t="shared" si="58"/>
        <v>0</v>
      </c>
      <c r="AF89" s="252">
        <f t="shared" si="58"/>
        <v>0</v>
      </c>
      <c r="AG89" s="252">
        <f t="shared" si="58"/>
        <v>0</v>
      </c>
      <c r="AH89" s="252">
        <f t="shared" si="58"/>
        <v>0</v>
      </c>
      <c r="AI89" s="252">
        <f t="shared" si="58"/>
        <v>0</v>
      </c>
      <c r="AJ89" s="252">
        <f t="shared" si="58"/>
        <v>0</v>
      </c>
      <c r="AK89" s="252">
        <f t="shared" si="58"/>
        <v>0</v>
      </c>
      <c r="AL89" s="252">
        <f t="shared" si="58"/>
        <v>0</v>
      </c>
      <c r="AM89" s="252">
        <f t="shared" si="58"/>
        <v>0</v>
      </c>
      <c r="AN89" s="252">
        <f t="shared" si="58"/>
        <v>0</v>
      </c>
      <c r="AO89" s="252">
        <f t="shared" si="58"/>
        <v>0</v>
      </c>
      <c r="AP89" s="252">
        <f t="shared" si="58"/>
        <v>0</v>
      </c>
      <c r="AQ89" s="252">
        <f t="shared" si="58"/>
        <v>0</v>
      </c>
      <c r="AR89" s="252">
        <f t="shared" si="58"/>
        <v>0</v>
      </c>
      <c r="AS89" s="252">
        <f t="shared" si="58"/>
        <v>0</v>
      </c>
      <c r="AT89" s="252">
        <f t="shared" si="58"/>
        <v>0</v>
      </c>
      <c r="AU89" s="252">
        <f t="shared" si="58"/>
        <v>0</v>
      </c>
      <c r="AV89" s="252">
        <f t="shared" si="58"/>
        <v>0</v>
      </c>
      <c r="AW89" s="252">
        <f t="shared" si="58"/>
        <v>0</v>
      </c>
      <c r="AX89" s="252">
        <f t="shared" si="58"/>
        <v>0</v>
      </c>
      <c r="AY89" s="252">
        <f t="shared" si="58"/>
        <v>0</v>
      </c>
      <c r="AZ89" s="252">
        <f t="shared" si="58"/>
        <v>0</v>
      </c>
      <c r="BA89" s="252">
        <f t="shared" si="58"/>
        <v>0</v>
      </c>
    </row>
    <row r="90" ht="15.75" customHeight="1">
      <c r="A90" s="787">
        <v>1967.0</v>
      </c>
      <c r="B90" s="38"/>
      <c r="C90" s="38"/>
      <c r="D90" s="38"/>
      <c r="E90" s="38"/>
      <c r="F90" s="38"/>
      <c r="G90" s="38"/>
      <c r="H90" s="38"/>
      <c r="I90" s="38"/>
      <c r="J90" s="38"/>
      <c r="K90" s="38"/>
      <c r="L90" s="38"/>
      <c r="M90" s="38"/>
      <c r="N90" s="38"/>
      <c r="O90" s="38"/>
      <c r="P90" s="38"/>
      <c r="Q90" s="38"/>
      <c r="R90" s="38"/>
      <c r="S90" s="38"/>
      <c r="T90" s="38"/>
      <c r="U90" s="38"/>
      <c r="V90" s="769">
        <v>0.0</v>
      </c>
      <c r="W90" s="252">
        <f t="shared" si="22"/>
        <v>0</v>
      </c>
      <c r="X90" s="252">
        <f t="shared" ref="X90:BA90" si="59">IF(AND(X$52-$A90&gt;$V$35,SUM($W90:W90)&lt;&gt;$V90),$V90,0)</f>
        <v>0</v>
      </c>
      <c r="Y90" s="252">
        <f t="shared" si="59"/>
        <v>0</v>
      </c>
      <c r="Z90" s="252">
        <f t="shared" si="59"/>
        <v>0</v>
      </c>
      <c r="AA90" s="252">
        <f t="shared" si="59"/>
        <v>0</v>
      </c>
      <c r="AB90" s="252">
        <f t="shared" si="59"/>
        <v>0</v>
      </c>
      <c r="AC90" s="252">
        <f t="shared" si="59"/>
        <v>0</v>
      </c>
      <c r="AD90" s="252">
        <f t="shared" si="59"/>
        <v>0</v>
      </c>
      <c r="AE90" s="252">
        <f t="shared" si="59"/>
        <v>0</v>
      </c>
      <c r="AF90" s="252">
        <f t="shared" si="59"/>
        <v>0</v>
      </c>
      <c r="AG90" s="252">
        <f t="shared" si="59"/>
        <v>0</v>
      </c>
      <c r="AH90" s="252">
        <f t="shared" si="59"/>
        <v>0</v>
      </c>
      <c r="AI90" s="252">
        <f t="shared" si="59"/>
        <v>0</v>
      </c>
      <c r="AJ90" s="252">
        <f t="shared" si="59"/>
        <v>0</v>
      </c>
      <c r="AK90" s="252">
        <f t="shared" si="59"/>
        <v>0</v>
      </c>
      <c r="AL90" s="252">
        <f t="shared" si="59"/>
        <v>0</v>
      </c>
      <c r="AM90" s="252">
        <f t="shared" si="59"/>
        <v>0</v>
      </c>
      <c r="AN90" s="252">
        <f t="shared" si="59"/>
        <v>0</v>
      </c>
      <c r="AO90" s="252">
        <f t="shared" si="59"/>
        <v>0</v>
      </c>
      <c r="AP90" s="252">
        <f t="shared" si="59"/>
        <v>0</v>
      </c>
      <c r="AQ90" s="252">
        <f t="shared" si="59"/>
        <v>0</v>
      </c>
      <c r="AR90" s="252">
        <f t="shared" si="59"/>
        <v>0</v>
      </c>
      <c r="AS90" s="252">
        <f t="shared" si="59"/>
        <v>0</v>
      </c>
      <c r="AT90" s="252">
        <f t="shared" si="59"/>
        <v>0</v>
      </c>
      <c r="AU90" s="252">
        <f t="shared" si="59"/>
        <v>0</v>
      </c>
      <c r="AV90" s="252">
        <f t="shared" si="59"/>
        <v>0</v>
      </c>
      <c r="AW90" s="252">
        <f t="shared" si="59"/>
        <v>0</v>
      </c>
      <c r="AX90" s="252">
        <f t="shared" si="59"/>
        <v>0</v>
      </c>
      <c r="AY90" s="252">
        <f t="shared" si="59"/>
        <v>0</v>
      </c>
      <c r="AZ90" s="252">
        <f t="shared" si="59"/>
        <v>0</v>
      </c>
      <c r="BA90" s="252">
        <f t="shared" si="59"/>
        <v>0</v>
      </c>
    </row>
    <row r="91" ht="15.75" customHeight="1">
      <c r="A91" s="787">
        <v>1968.0</v>
      </c>
      <c r="B91" s="38"/>
      <c r="C91" s="38"/>
      <c r="D91" s="38"/>
      <c r="E91" s="38"/>
      <c r="F91" s="38"/>
      <c r="G91" s="38"/>
      <c r="H91" s="38"/>
      <c r="I91" s="38"/>
      <c r="J91" s="38"/>
      <c r="K91" s="38"/>
      <c r="L91" s="38"/>
      <c r="M91" s="38"/>
      <c r="N91" s="38"/>
      <c r="O91" s="38"/>
      <c r="P91" s="38"/>
      <c r="Q91" s="38"/>
      <c r="R91" s="38"/>
      <c r="S91" s="38"/>
      <c r="T91" s="38"/>
      <c r="U91" s="38"/>
      <c r="V91" s="769">
        <v>0.0</v>
      </c>
      <c r="W91" s="252">
        <f t="shared" si="22"/>
        <v>0</v>
      </c>
      <c r="X91" s="252">
        <f t="shared" ref="X91:BA91" si="60">IF(AND(X$52-$A91&gt;$V$35,SUM($W91:W91)&lt;&gt;$V91),$V91,0)</f>
        <v>0</v>
      </c>
      <c r="Y91" s="252">
        <f t="shared" si="60"/>
        <v>0</v>
      </c>
      <c r="Z91" s="252">
        <f t="shared" si="60"/>
        <v>0</v>
      </c>
      <c r="AA91" s="252">
        <f t="shared" si="60"/>
        <v>0</v>
      </c>
      <c r="AB91" s="252">
        <f t="shared" si="60"/>
        <v>0</v>
      </c>
      <c r="AC91" s="252">
        <f t="shared" si="60"/>
        <v>0</v>
      </c>
      <c r="AD91" s="252">
        <f t="shared" si="60"/>
        <v>0</v>
      </c>
      <c r="AE91" s="252">
        <f t="shared" si="60"/>
        <v>0</v>
      </c>
      <c r="AF91" s="252">
        <f t="shared" si="60"/>
        <v>0</v>
      </c>
      <c r="AG91" s="252">
        <f t="shared" si="60"/>
        <v>0</v>
      </c>
      <c r="AH91" s="252">
        <f t="shared" si="60"/>
        <v>0</v>
      </c>
      <c r="AI91" s="252">
        <f t="shared" si="60"/>
        <v>0</v>
      </c>
      <c r="AJ91" s="252">
        <f t="shared" si="60"/>
        <v>0</v>
      </c>
      <c r="AK91" s="252">
        <f t="shared" si="60"/>
        <v>0</v>
      </c>
      <c r="AL91" s="252">
        <f t="shared" si="60"/>
        <v>0</v>
      </c>
      <c r="AM91" s="252">
        <f t="shared" si="60"/>
        <v>0</v>
      </c>
      <c r="AN91" s="252">
        <f t="shared" si="60"/>
        <v>0</v>
      </c>
      <c r="AO91" s="252">
        <f t="shared" si="60"/>
        <v>0</v>
      </c>
      <c r="AP91" s="252">
        <f t="shared" si="60"/>
        <v>0</v>
      </c>
      <c r="AQ91" s="252">
        <f t="shared" si="60"/>
        <v>0</v>
      </c>
      <c r="AR91" s="252">
        <f t="shared" si="60"/>
        <v>0</v>
      </c>
      <c r="AS91" s="252">
        <f t="shared" si="60"/>
        <v>0</v>
      </c>
      <c r="AT91" s="252">
        <f t="shared" si="60"/>
        <v>0</v>
      </c>
      <c r="AU91" s="252">
        <f t="shared" si="60"/>
        <v>0</v>
      </c>
      <c r="AV91" s="252">
        <f t="shared" si="60"/>
        <v>0</v>
      </c>
      <c r="AW91" s="252">
        <f t="shared" si="60"/>
        <v>0</v>
      </c>
      <c r="AX91" s="252">
        <f t="shared" si="60"/>
        <v>0</v>
      </c>
      <c r="AY91" s="252">
        <f t="shared" si="60"/>
        <v>0</v>
      </c>
      <c r="AZ91" s="252">
        <f t="shared" si="60"/>
        <v>0</v>
      </c>
      <c r="BA91" s="252">
        <f t="shared" si="60"/>
        <v>0</v>
      </c>
    </row>
    <row r="92" ht="15.75" customHeight="1">
      <c r="A92" s="787">
        <v>1969.0</v>
      </c>
      <c r="B92" s="38"/>
      <c r="C92" s="38"/>
      <c r="D92" s="38"/>
      <c r="E92" s="38"/>
      <c r="F92" s="38"/>
      <c r="G92" s="38"/>
      <c r="H92" s="38"/>
      <c r="I92" s="38"/>
      <c r="J92" s="38"/>
      <c r="K92" s="38"/>
      <c r="L92" s="38"/>
      <c r="M92" s="38"/>
      <c r="N92" s="38"/>
      <c r="O92" s="38"/>
      <c r="P92" s="38"/>
      <c r="Q92" s="38"/>
      <c r="R92" s="38"/>
      <c r="S92" s="38"/>
      <c r="T92" s="38"/>
      <c r="U92" s="38"/>
      <c r="V92" s="769">
        <v>0.0</v>
      </c>
      <c r="W92" s="252">
        <f t="shared" si="22"/>
        <v>0</v>
      </c>
      <c r="X92" s="252">
        <f t="shared" ref="X92:BA92" si="61">IF(AND(X$52-$A92&gt;$V$35,SUM($W92:W92)&lt;&gt;$V92),$V92,0)</f>
        <v>0</v>
      </c>
      <c r="Y92" s="252">
        <f t="shared" si="61"/>
        <v>0</v>
      </c>
      <c r="Z92" s="252">
        <f t="shared" si="61"/>
        <v>0</v>
      </c>
      <c r="AA92" s="252">
        <f t="shared" si="61"/>
        <v>0</v>
      </c>
      <c r="AB92" s="252">
        <f t="shared" si="61"/>
        <v>0</v>
      </c>
      <c r="AC92" s="252">
        <f t="shared" si="61"/>
        <v>0</v>
      </c>
      <c r="AD92" s="252">
        <f t="shared" si="61"/>
        <v>0</v>
      </c>
      <c r="AE92" s="252">
        <f t="shared" si="61"/>
        <v>0</v>
      </c>
      <c r="AF92" s="252">
        <f t="shared" si="61"/>
        <v>0</v>
      </c>
      <c r="AG92" s="252">
        <f t="shared" si="61"/>
        <v>0</v>
      </c>
      <c r="AH92" s="252">
        <f t="shared" si="61"/>
        <v>0</v>
      </c>
      <c r="AI92" s="252">
        <f t="shared" si="61"/>
        <v>0</v>
      </c>
      <c r="AJ92" s="252">
        <f t="shared" si="61"/>
        <v>0</v>
      </c>
      <c r="AK92" s="252">
        <f t="shared" si="61"/>
        <v>0</v>
      </c>
      <c r="AL92" s="252">
        <f t="shared" si="61"/>
        <v>0</v>
      </c>
      <c r="AM92" s="252">
        <f t="shared" si="61"/>
        <v>0</v>
      </c>
      <c r="AN92" s="252">
        <f t="shared" si="61"/>
        <v>0</v>
      </c>
      <c r="AO92" s="252">
        <f t="shared" si="61"/>
        <v>0</v>
      </c>
      <c r="AP92" s="252">
        <f t="shared" si="61"/>
        <v>0</v>
      </c>
      <c r="AQ92" s="252">
        <f t="shared" si="61"/>
        <v>0</v>
      </c>
      <c r="AR92" s="252">
        <f t="shared" si="61"/>
        <v>0</v>
      </c>
      <c r="AS92" s="252">
        <f t="shared" si="61"/>
        <v>0</v>
      </c>
      <c r="AT92" s="252">
        <f t="shared" si="61"/>
        <v>0</v>
      </c>
      <c r="AU92" s="252">
        <f t="shared" si="61"/>
        <v>0</v>
      </c>
      <c r="AV92" s="252">
        <f t="shared" si="61"/>
        <v>0</v>
      </c>
      <c r="AW92" s="252">
        <f t="shared" si="61"/>
        <v>0</v>
      </c>
      <c r="AX92" s="252">
        <f t="shared" si="61"/>
        <v>0</v>
      </c>
      <c r="AY92" s="252">
        <f t="shared" si="61"/>
        <v>0</v>
      </c>
      <c r="AZ92" s="252">
        <f t="shared" si="61"/>
        <v>0</v>
      </c>
      <c r="BA92" s="252">
        <f t="shared" si="61"/>
        <v>0</v>
      </c>
    </row>
    <row r="93" ht="15.75" customHeight="1">
      <c r="A93" s="787">
        <v>1970.0</v>
      </c>
      <c r="B93" s="38"/>
      <c r="C93" s="38"/>
      <c r="D93" s="38"/>
      <c r="E93" s="38"/>
      <c r="F93" s="38"/>
      <c r="G93" s="38"/>
      <c r="H93" s="38"/>
      <c r="I93" s="38"/>
      <c r="J93" s="38"/>
      <c r="K93" s="38"/>
      <c r="L93" s="38"/>
      <c r="M93" s="38"/>
      <c r="N93" s="38"/>
      <c r="O93" s="38"/>
      <c r="P93" s="38"/>
      <c r="Q93" s="38"/>
      <c r="R93" s="38"/>
      <c r="S93" s="38"/>
      <c r="T93" s="38"/>
      <c r="U93" s="38"/>
      <c r="V93" s="769">
        <v>0.0</v>
      </c>
      <c r="W93" s="252">
        <f t="shared" si="22"/>
        <v>0</v>
      </c>
      <c r="X93" s="252">
        <f t="shared" ref="X93:BA93" si="62">IF(AND(X$52-$A93&gt;$V$35,SUM($W93:W93)&lt;&gt;$V93),$V93,0)</f>
        <v>0</v>
      </c>
      <c r="Y93" s="252">
        <f t="shared" si="62"/>
        <v>0</v>
      </c>
      <c r="Z93" s="252">
        <f t="shared" si="62"/>
        <v>0</v>
      </c>
      <c r="AA93" s="252">
        <f t="shared" si="62"/>
        <v>0</v>
      </c>
      <c r="AB93" s="252">
        <f t="shared" si="62"/>
        <v>0</v>
      </c>
      <c r="AC93" s="252">
        <f t="shared" si="62"/>
        <v>0</v>
      </c>
      <c r="AD93" s="252">
        <f t="shared" si="62"/>
        <v>0</v>
      </c>
      <c r="AE93" s="252">
        <f t="shared" si="62"/>
        <v>0</v>
      </c>
      <c r="AF93" s="252">
        <f t="shared" si="62"/>
        <v>0</v>
      </c>
      <c r="AG93" s="252">
        <f t="shared" si="62"/>
        <v>0</v>
      </c>
      <c r="AH93" s="252">
        <f t="shared" si="62"/>
        <v>0</v>
      </c>
      <c r="AI93" s="252">
        <f t="shared" si="62"/>
        <v>0</v>
      </c>
      <c r="AJ93" s="252">
        <f t="shared" si="62"/>
        <v>0</v>
      </c>
      <c r="AK93" s="252">
        <f t="shared" si="62"/>
        <v>0</v>
      </c>
      <c r="AL93" s="252">
        <f t="shared" si="62"/>
        <v>0</v>
      </c>
      <c r="AM93" s="252">
        <f t="shared" si="62"/>
        <v>0</v>
      </c>
      <c r="AN93" s="252">
        <f t="shared" si="62"/>
        <v>0</v>
      </c>
      <c r="AO93" s="252">
        <f t="shared" si="62"/>
        <v>0</v>
      </c>
      <c r="AP93" s="252">
        <f t="shared" si="62"/>
        <v>0</v>
      </c>
      <c r="AQ93" s="252">
        <f t="shared" si="62"/>
        <v>0</v>
      </c>
      <c r="AR93" s="252">
        <f t="shared" si="62"/>
        <v>0</v>
      </c>
      <c r="AS93" s="252">
        <f t="shared" si="62"/>
        <v>0</v>
      </c>
      <c r="AT93" s="252">
        <f t="shared" si="62"/>
        <v>0</v>
      </c>
      <c r="AU93" s="252">
        <f t="shared" si="62"/>
        <v>0</v>
      </c>
      <c r="AV93" s="252">
        <f t="shared" si="62"/>
        <v>0</v>
      </c>
      <c r="AW93" s="252">
        <f t="shared" si="62"/>
        <v>0</v>
      </c>
      <c r="AX93" s="252">
        <f t="shared" si="62"/>
        <v>0</v>
      </c>
      <c r="AY93" s="252">
        <f t="shared" si="62"/>
        <v>0</v>
      </c>
      <c r="AZ93" s="252">
        <f t="shared" si="62"/>
        <v>0</v>
      </c>
      <c r="BA93" s="252">
        <f t="shared" si="62"/>
        <v>0</v>
      </c>
    </row>
    <row r="94" ht="15.75" customHeight="1">
      <c r="A94" s="787">
        <v>1971.0</v>
      </c>
      <c r="B94" s="38"/>
      <c r="C94" s="38"/>
      <c r="D94" s="38"/>
      <c r="E94" s="38"/>
      <c r="F94" s="38"/>
      <c r="G94" s="38"/>
      <c r="H94" s="38"/>
      <c r="I94" s="38"/>
      <c r="J94" s="38"/>
      <c r="K94" s="38"/>
      <c r="L94" s="38"/>
      <c r="M94" s="38"/>
      <c r="N94" s="38"/>
      <c r="O94" s="38"/>
      <c r="P94" s="38"/>
      <c r="Q94" s="38"/>
      <c r="R94" s="38"/>
      <c r="S94" s="38"/>
      <c r="T94" s="38"/>
      <c r="U94" s="38"/>
      <c r="V94" s="769">
        <v>0.0</v>
      </c>
      <c r="W94" s="252">
        <f t="shared" si="22"/>
        <v>0</v>
      </c>
      <c r="X94" s="252">
        <f t="shared" ref="X94:BA94" si="63">IF(AND(X$52-$A94&gt;$V$35,SUM($W94:W94)&lt;&gt;$V94),$V94,0)</f>
        <v>0</v>
      </c>
      <c r="Y94" s="252">
        <f t="shared" si="63"/>
        <v>0</v>
      </c>
      <c r="Z94" s="252">
        <f t="shared" si="63"/>
        <v>0</v>
      </c>
      <c r="AA94" s="252">
        <f t="shared" si="63"/>
        <v>0</v>
      </c>
      <c r="AB94" s="252">
        <f t="shared" si="63"/>
        <v>0</v>
      </c>
      <c r="AC94" s="252">
        <f t="shared" si="63"/>
        <v>0</v>
      </c>
      <c r="AD94" s="252">
        <f t="shared" si="63"/>
        <v>0</v>
      </c>
      <c r="AE94" s="252">
        <f t="shared" si="63"/>
        <v>0</v>
      </c>
      <c r="AF94" s="252">
        <f t="shared" si="63"/>
        <v>0</v>
      </c>
      <c r="AG94" s="252">
        <f t="shared" si="63"/>
        <v>0</v>
      </c>
      <c r="AH94" s="252">
        <f t="shared" si="63"/>
        <v>0</v>
      </c>
      <c r="AI94" s="252">
        <f t="shared" si="63"/>
        <v>0</v>
      </c>
      <c r="AJ94" s="252">
        <f t="shared" si="63"/>
        <v>0</v>
      </c>
      <c r="AK94" s="252">
        <f t="shared" si="63"/>
        <v>0</v>
      </c>
      <c r="AL94" s="252">
        <f t="shared" si="63"/>
        <v>0</v>
      </c>
      <c r="AM94" s="252">
        <f t="shared" si="63"/>
        <v>0</v>
      </c>
      <c r="AN94" s="252">
        <f t="shared" si="63"/>
        <v>0</v>
      </c>
      <c r="AO94" s="252">
        <f t="shared" si="63"/>
        <v>0</v>
      </c>
      <c r="AP94" s="252">
        <f t="shared" si="63"/>
        <v>0</v>
      </c>
      <c r="AQ94" s="252">
        <f t="shared" si="63"/>
        <v>0</v>
      </c>
      <c r="AR94" s="252">
        <f t="shared" si="63"/>
        <v>0</v>
      </c>
      <c r="AS94" s="252">
        <f t="shared" si="63"/>
        <v>0</v>
      </c>
      <c r="AT94" s="252">
        <f t="shared" si="63"/>
        <v>0</v>
      </c>
      <c r="AU94" s="252">
        <f t="shared" si="63"/>
        <v>0</v>
      </c>
      <c r="AV94" s="252">
        <f t="shared" si="63"/>
        <v>0</v>
      </c>
      <c r="AW94" s="252">
        <f t="shared" si="63"/>
        <v>0</v>
      </c>
      <c r="AX94" s="252">
        <f t="shared" si="63"/>
        <v>0</v>
      </c>
      <c r="AY94" s="252">
        <f t="shared" si="63"/>
        <v>0</v>
      </c>
      <c r="AZ94" s="252">
        <f t="shared" si="63"/>
        <v>0</v>
      </c>
      <c r="BA94" s="252">
        <f t="shared" si="63"/>
        <v>0</v>
      </c>
    </row>
    <row r="95" ht="15.75" customHeight="1">
      <c r="A95" s="787">
        <v>1972.0</v>
      </c>
      <c r="B95" s="38"/>
      <c r="C95" s="38"/>
      <c r="D95" s="38"/>
      <c r="E95" s="38"/>
      <c r="F95" s="38"/>
      <c r="G95" s="38"/>
      <c r="H95" s="38"/>
      <c r="I95" s="38"/>
      <c r="J95" s="38"/>
      <c r="K95" s="38"/>
      <c r="L95" s="38"/>
      <c r="M95" s="38"/>
      <c r="N95" s="38"/>
      <c r="O95" s="38"/>
      <c r="P95" s="38"/>
      <c r="Q95" s="38"/>
      <c r="R95" s="38"/>
      <c r="S95" s="38"/>
      <c r="T95" s="38"/>
      <c r="U95" s="38"/>
      <c r="V95" s="769">
        <v>0.0</v>
      </c>
      <c r="W95" s="252">
        <f t="shared" si="22"/>
        <v>0</v>
      </c>
      <c r="X95" s="252">
        <f t="shared" ref="X95:BA95" si="64">IF(AND(X$52-$A95&gt;$V$35,SUM($W95:W95)&lt;&gt;$V95),$V95,0)</f>
        <v>0</v>
      </c>
      <c r="Y95" s="252">
        <f t="shared" si="64"/>
        <v>0</v>
      </c>
      <c r="Z95" s="252">
        <f t="shared" si="64"/>
        <v>0</v>
      </c>
      <c r="AA95" s="252">
        <f t="shared" si="64"/>
        <v>0</v>
      </c>
      <c r="AB95" s="252">
        <f t="shared" si="64"/>
        <v>0</v>
      </c>
      <c r="AC95" s="252">
        <f t="shared" si="64"/>
        <v>0</v>
      </c>
      <c r="AD95" s="252">
        <f t="shared" si="64"/>
        <v>0</v>
      </c>
      <c r="AE95" s="252">
        <f t="shared" si="64"/>
        <v>0</v>
      </c>
      <c r="AF95" s="252">
        <f t="shared" si="64"/>
        <v>0</v>
      </c>
      <c r="AG95" s="252">
        <f t="shared" si="64"/>
        <v>0</v>
      </c>
      <c r="AH95" s="252">
        <f t="shared" si="64"/>
        <v>0</v>
      </c>
      <c r="AI95" s="252">
        <f t="shared" si="64"/>
        <v>0</v>
      </c>
      <c r="AJ95" s="252">
        <f t="shared" si="64"/>
        <v>0</v>
      </c>
      <c r="AK95" s="252">
        <f t="shared" si="64"/>
        <v>0</v>
      </c>
      <c r="AL95" s="252">
        <f t="shared" si="64"/>
        <v>0</v>
      </c>
      <c r="AM95" s="252">
        <f t="shared" si="64"/>
        <v>0</v>
      </c>
      <c r="AN95" s="252">
        <f t="shared" si="64"/>
        <v>0</v>
      </c>
      <c r="AO95" s="252">
        <f t="shared" si="64"/>
        <v>0</v>
      </c>
      <c r="AP95" s="252">
        <f t="shared" si="64"/>
        <v>0</v>
      </c>
      <c r="AQ95" s="252">
        <f t="shared" si="64"/>
        <v>0</v>
      </c>
      <c r="AR95" s="252">
        <f t="shared" si="64"/>
        <v>0</v>
      </c>
      <c r="AS95" s="252">
        <f t="shared" si="64"/>
        <v>0</v>
      </c>
      <c r="AT95" s="252">
        <f t="shared" si="64"/>
        <v>0</v>
      </c>
      <c r="AU95" s="252">
        <f t="shared" si="64"/>
        <v>0</v>
      </c>
      <c r="AV95" s="252">
        <f t="shared" si="64"/>
        <v>0</v>
      </c>
      <c r="AW95" s="252">
        <f t="shared" si="64"/>
        <v>0</v>
      </c>
      <c r="AX95" s="252">
        <f t="shared" si="64"/>
        <v>0</v>
      </c>
      <c r="AY95" s="252">
        <f t="shared" si="64"/>
        <v>0</v>
      </c>
      <c r="AZ95" s="252">
        <f t="shared" si="64"/>
        <v>0</v>
      </c>
      <c r="BA95" s="252">
        <f t="shared" si="64"/>
        <v>0</v>
      </c>
    </row>
    <row r="96" ht="15.75" customHeight="1">
      <c r="A96" s="787">
        <v>1973.0</v>
      </c>
      <c r="B96" s="38"/>
      <c r="C96" s="38"/>
      <c r="D96" s="38"/>
      <c r="E96" s="38"/>
      <c r="F96" s="38"/>
      <c r="G96" s="38"/>
      <c r="H96" s="38"/>
      <c r="I96" s="38"/>
      <c r="J96" s="38"/>
      <c r="K96" s="38"/>
      <c r="L96" s="38"/>
      <c r="M96" s="38"/>
      <c r="N96" s="38"/>
      <c r="O96" s="38"/>
      <c r="P96" s="38"/>
      <c r="Q96" s="38"/>
      <c r="R96" s="38"/>
      <c r="S96" s="38"/>
      <c r="T96" s="38"/>
      <c r="U96" s="38"/>
      <c r="V96" s="769">
        <v>0.0</v>
      </c>
      <c r="W96" s="252">
        <f t="shared" si="22"/>
        <v>0</v>
      </c>
      <c r="X96" s="252">
        <f t="shared" ref="X96:BA96" si="65">IF(AND(X$52-$A96&gt;$V$35,SUM($W96:W96)&lt;&gt;$V96),$V96,0)</f>
        <v>0</v>
      </c>
      <c r="Y96" s="252">
        <f t="shared" si="65"/>
        <v>0</v>
      </c>
      <c r="Z96" s="252">
        <f t="shared" si="65"/>
        <v>0</v>
      </c>
      <c r="AA96" s="252">
        <f t="shared" si="65"/>
        <v>0</v>
      </c>
      <c r="AB96" s="252">
        <f t="shared" si="65"/>
        <v>0</v>
      </c>
      <c r="AC96" s="252">
        <f t="shared" si="65"/>
        <v>0</v>
      </c>
      <c r="AD96" s="252">
        <f t="shared" si="65"/>
        <v>0</v>
      </c>
      <c r="AE96" s="252">
        <f t="shared" si="65"/>
        <v>0</v>
      </c>
      <c r="AF96" s="252">
        <f t="shared" si="65"/>
        <v>0</v>
      </c>
      <c r="AG96" s="252">
        <f t="shared" si="65"/>
        <v>0</v>
      </c>
      <c r="AH96" s="252">
        <f t="shared" si="65"/>
        <v>0</v>
      </c>
      <c r="AI96" s="252">
        <f t="shared" si="65"/>
        <v>0</v>
      </c>
      <c r="AJ96" s="252">
        <f t="shared" si="65"/>
        <v>0</v>
      </c>
      <c r="AK96" s="252">
        <f t="shared" si="65"/>
        <v>0</v>
      </c>
      <c r="AL96" s="252">
        <f t="shared" si="65"/>
        <v>0</v>
      </c>
      <c r="AM96" s="252">
        <f t="shared" si="65"/>
        <v>0</v>
      </c>
      <c r="AN96" s="252">
        <f t="shared" si="65"/>
        <v>0</v>
      </c>
      <c r="AO96" s="252">
        <f t="shared" si="65"/>
        <v>0</v>
      </c>
      <c r="AP96" s="252">
        <f t="shared" si="65"/>
        <v>0</v>
      </c>
      <c r="AQ96" s="252">
        <f t="shared" si="65"/>
        <v>0</v>
      </c>
      <c r="AR96" s="252">
        <f t="shared" si="65"/>
        <v>0</v>
      </c>
      <c r="AS96" s="252">
        <f t="shared" si="65"/>
        <v>0</v>
      </c>
      <c r="AT96" s="252">
        <f t="shared" si="65"/>
        <v>0</v>
      </c>
      <c r="AU96" s="252">
        <f t="shared" si="65"/>
        <v>0</v>
      </c>
      <c r="AV96" s="252">
        <f t="shared" si="65"/>
        <v>0</v>
      </c>
      <c r="AW96" s="252">
        <f t="shared" si="65"/>
        <v>0</v>
      </c>
      <c r="AX96" s="252">
        <f t="shared" si="65"/>
        <v>0</v>
      </c>
      <c r="AY96" s="252">
        <f t="shared" si="65"/>
        <v>0</v>
      </c>
      <c r="AZ96" s="252">
        <f t="shared" si="65"/>
        <v>0</v>
      </c>
      <c r="BA96" s="252">
        <f t="shared" si="65"/>
        <v>0</v>
      </c>
    </row>
    <row r="97" ht="15.75" customHeight="1">
      <c r="A97" s="787">
        <v>1974.0</v>
      </c>
      <c r="B97" s="38"/>
      <c r="C97" s="38"/>
      <c r="D97" s="38"/>
      <c r="E97" s="38"/>
      <c r="F97" s="38"/>
      <c r="G97" s="38"/>
      <c r="H97" s="38"/>
      <c r="I97" s="38"/>
      <c r="J97" s="38"/>
      <c r="K97" s="38"/>
      <c r="L97" s="38"/>
      <c r="M97" s="38"/>
      <c r="N97" s="38"/>
      <c r="O97" s="38"/>
      <c r="P97" s="38"/>
      <c r="Q97" s="38"/>
      <c r="R97" s="38"/>
      <c r="S97" s="38"/>
      <c r="T97" s="38"/>
      <c r="U97" s="38"/>
      <c r="V97" s="769">
        <v>0.0</v>
      </c>
      <c r="W97" s="252">
        <f t="shared" si="22"/>
        <v>0</v>
      </c>
      <c r="X97" s="252">
        <f t="shared" ref="X97:BA97" si="66">IF(AND(X$52-$A97&gt;$V$35,SUM($W97:W97)&lt;&gt;$V97),$V97,0)</f>
        <v>0</v>
      </c>
      <c r="Y97" s="252">
        <f t="shared" si="66"/>
        <v>0</v>
      </c>
      <c r="Z97" s="252">
        <f t="shared" si="66"/>
        <v>0</v>
      </c>
      <c r="AA97" s="252">
        <f t="shared" si="66"/>
        <v>0</v>
      </c>
      <c r="AB97" s="252">
        <f t="shared" si="66"/>
        <v>0</v>
      </c>
      <c r="AC97" s="252">
        <f t="shared" si="66"/>
        <v>0</v>
      </c>
      <c r="AD97" s="252">
        <f t="shared" si="66"/>
        <v>0</v>
      </c>
      <c r="AE97" s="252">
        <f t="shared" si="66"/>
        <v>0</v>
      </c>
      <c r="AF97" s="252">
        <f t="shared" si="66"/>
        <v>0</v>
      </c>
      <c r="AG97" s="252">
        <f t="shared" si="66"/>
        <v>0</v>
      </c>
      <c r="AH97" s="252">
        <f t="shared" si="66"/>
        <v>0</v>
      </c>
      <c r="AI97" s="252">
        <f t="shared" si="66"/>
        <v>0</v>
      </c>
      <c r="AJ97" s="252">
        <f t="shared" si="66"/>
        <v>0</v>
      </c>
      <c r="AK97" s="252">
        <f t="shared" si="66"/>
        <v>0</v>
      </c>
      <c r="AL97" s="252">
        <f t="shared" si="66"/>
        <v>0</v>
      </c>
      <c r="AM97" s="252">
        <f t="shared" si="66"/>
        <v>0</v>
      </c>
      <c r="AN97" s="252">
        <f t="shared" si="66"/>
        <v>0</v>
      </c>
      <c r="AO97" s="252">
        <f t="shared" si="66"/>
        <v>0</v>
      </c>
      <c r="AP97" s="252">
        <f t="shared" si="66"/>
        <v>0</v>
      </c>
      <c r="AQ97" s="252">
        <f t="shared" si="66"/>
        <v>0</v>
      </c>
      <c r="AR97" s="252">
        <f t="shared" si="66"/>
        <v>0</v>
      </c>
      <c r="AS97" s="252">
        <f t="shared" si="66"/>
        <v>0</v>
      </c>
      <c r="AT97" s="252">
        <f t="shared" si="66"/>
        <v>0</v>
      </c>
      <c r="AU97" s="252">
        <f t="shared" si="66"/>
        <v>0</v>
      </c>
      <c r="AV97" s="252">
        <f t="shared" si="66"/>
        <v>0</v>
      </c>
      <c r="AW97" s="252">
        <f t="shared" si="66"/>
        <v>0</v>
      </c>
      <c r="AX97" s="252">
        <f t="shared" si="66"/>
        <v>0</v>
      </c>
      <c r="AY97" s="252">
        <f t="shared" si="66"/>
        <v>0</v>
      </c>
      <c r="AZ97" s="252">
        <f t="shared" si="66"/>
        <v>0</v>
      </c>
      <c r="BA97" s="252">
        <f t="shared" si="66"/>
        <v>0</v>
      </c>
    </row>
    <row r="98" ht="15.75" customHeight="1">
      <c r="A98" s="787">
        <v>1975.0</v>
      </c>
      <c r="B98" s="38"/>
      <c r="C98" s="38"/>
      <c r="D98" s="38"/>
      <c r="E98" s="38"/>
      <c r="F98" s="38"/>
      <c r="G98" s="38"/>
      <c r="H98" s="38"/>
      <c r="I98" s="38"/>
      <c r="J98" s="38"/>
      <c r="K98" s="38"/>
      <c r="L98" s="38"/>
      <c r="M98" s="38"/>
      <c r="N98" s="38"/>
      <c r="O98" s="38"/>
      <c r="P98" s="38"/>
      <c r="Q98" s="38"/>
      <c r="R98" s="38"/>
      <c r="S98" s="38"/>
      <c r="T98" s="38"/>
      <c r="U98" s="38"/>
      <c r="V98" s="769">
        <v>0.0</v>
      </c>
      <c r="W98" s="252">
        <f t="shared" si="22"/>
        <v>0</v>
      </c>
      <c r="X98" s="252">
        <f t="shared" ref="X98:BA98" si="67">IF(AND(X$52-$A98&gt;$V$35,SUM($W98:W98)&lt;&gt;$V98),$V98,0)</f>
        <v>0</v>
      </c>
      <c r="Y98" s="252">
        <f t="shared" si="67"/>
        <v>0</v>
      </c>
      <c r="Z98" s="252">
        <f t="shared" si="67"/>
        <v>0</v>
      </c>
      <c r="AA98" s="252">
        <f t="shared" si="67"/>
        <v>0</v>
      </c>
      <c r="AB98" s="252">
        <f t="shared" si="67"/>
        <v>0</v>
      </c>
      <c r="AC98" s="252">
        <f t="shared" si="67"/>
        <v>0</v>
      </c>
      <c r="AD98" s="252">
        <f t="shared" si="67"/>
        <v>0</v>
      </c>
      <c r="AE98" s="252">
        <f t="shared" si="67"/>
        <v>0</v>
      </c>
      <c r="AF98" s="252">
        <f t="shared" si="67"/>
        <v>0</v>
      </c>
      <c r="AG98" s="252">
        <f t="shared" si="67"/>
        <v>0</v>
      </c>
      <c r="AH98" s="252">
        <f t="shared" si="67"/>
        <v>0</v>
      </c>
      <c r="AI98" s="252">
        <f t="shared" si="67"/>
        <v>0</v>
      </c>
      <c r="AJ98" s="252">
        <f t="shared" si="67"/>
        <v>0</v>
      </c>
      <c r="AK98" s="252">
        <f t="shared" si="67"/>
        <v>0</v>
      </c>
      <c r="AL98" s="252">
        <f t="shared" si="67"/>
        <v>0</v>
      </c>
      <c r="AM98" s="252">
        <f t="shared" si="67"/>
        <v>0</v>
      </c>
      <c r="AN98" s="252">
        <f t="shared" si="67"/>
        <v>0</v>
      </c>
      <c r="AO98" s="252">
        <f t="shared" si="67"/>
        <v>0</v>
      </c>
      <c r="AP98" s="252">
        <f t="shared" si="67"/>
        <v>0</v>
      </c>
      <c r="AQ98" s="252">
        <f t="shared" si="67"/>
        <v>0</v>
      </c>
      <c r="AR98" s="252">
        <f t="shared" si="67"/>
        <v>0</v>
      </c>
      <c r="AS98" s="252">
        <f t="shared" si="67"/>
        <v>0</v>
      </c>
      <c r="AT98" s="252">
        <f t="shared" si="67"/>
        <v>0</v>
      </c>
      <c r="AU98" s="252">
        <f t="shared" si="67"/>
        <v>0</v>
      </c>
      <c r="AV98" s="252">
        <f t="shared" si="67"/>
        <v>0</v>
      </c>
      <c r="AW98" s="252">
        <f t="shared" si="67"/>
        <v>0</v>
      </c>
      <c r="AX98" s="252">
        <f t="shared" si="67"/>
        <v>0</v>
      </c>
      <c r="AY98" s="252">
        <f t="shared" si="67"/>
        <v>0</v>
      </c>
      <c r="AZ98" s="252">
        <f t="shared" si="67"/>
        <v>0</v>
      </c>
      <c r="BA98" s="252">
        <f t="shared" si="67"/>
        <v>0</v>
      </c>
    </row>
    <row r="99" ht="15.75" customHeight="1">
      <c r="A99" s="787">
        <v>1976.0</v>
      </c>
      <c r="B99" s="38"/>
      <c r="C99" s="38"/>
      <c r="D99" s="38"/>
      <c r="E99" s="38"/>
      <c r="F99" s="38"/>
      <c r="G99" s="38"/>
      <c r="H99" s="38"/>
      <c r="I99" s="38"/>
      <c r="J99" s="38"/>
      <c r="K99" s="38"/>
      <c r="L99" s="38"/>
      <c r="M99" s="38"/>
      <c r="N99" s="38"/>
      <c r="O99" s="38"/>
      <c r="P99" s="38"/>
      <c r="Q99" s="38"/>
      <c r="R99" s="38"/>
      <c r="S99" s="38"/>
      <c r="T99" s="38"/>
      <c r="U99" s="38"/>
      <c r="V99" s="769">
        <v>0.0</v>
      </c>
      <c r="W99" s="252">
        <f t="shared" si="22"/>
        <v>0</v>
      </c>
      <c r="X99" s="252">
        <f t="shared" ref="X99:BA99" si="68">IF(AND(X$52-$A99&gt;$V$35,SUM($W99:W99)&lt;&gt;$V99),$V99,0)</f>
        <v>0</v>
      </c>
      <c r="Y99" s="252">
        <f t="shared" si="68"/>
        <v>0</v>
      </c>
      <c r="Z99" s="252">
        <f t="shared" si="68"/>
        <v>0</v>
      </c>
      <c r="AA99" s="252">
        <f t="shared" si="68"/>
        <v>0</v>
      </c>
      <c r="AB99" s="252">
        <f t="shared" si="68"/>
        <v>0</v>
      </c>
      <c r="AC99" s="252">
        <f t="shared" si="68"/>
        <v>0</v>
      </c>
      <c r="AD99" s="252">
        <f t="shared" si="68"/>
        <v>0</v>
      </c>
      <c r="AE99" s="252">
        <f t="shared" si="68"/>
        <v>0</v>
      </c>
      <c r="AF99" s="252">
        <f t="shared" si="68"/>
        <v>0</v>
      </c>
      <c r="AG99" s="252">
        <f t="shared" si="68"/>
        <v>0</v>
      </c>
      <c r="AH99" s="252">
        <f t="shared" si="68"/>
        <v>0</v>
      </c>
      <c r="AI99" s="252">
        <f t="shared" si="68"/>
        <v>0</v>
      </c>
      <c r="AJ99" s="252">
        <f t="shared" si="68"/>
        <v>0</v>
      </c>
      <c r="AK99" s="252">
        <f t="shared" si="68"/>
        <v>0</v>
      </c>
      <c r="AL99" s="252">
        <f t="shared" si="68"/>
        <v>0</v>
      </c>
      <c r="AM99" s="252">
        <f t="shared" si="68"/>
        <v>0</v>
      </c>
      <c r="AN99" s="252">
        <f t="shared" si="68"/>
        <v>0</v>
      </c>
      <c r="AO99" s="252">
        <f t="shared" si="68"/>
        <v>0</v>
      </c>
      <c r="AP99" s="252">
        <f t="shared" si="68"/>
        <v>0</v>
      </c>
      <c r="AQ99" s="252">
        <f t="shared" si="68"/>
        <v>0</v>
      </c>
      <c r="AR99" s="252">
        <f t="shared" si="68"/>
        <v>0</v>
      </c>
      <c r="AS99" s="252">
        <f t="shared" si="68"/>
        <v>0</v>
      </c>
      <c r="AT99" s="252">
        <f t="shared" si="68"/>
        <v>0</v>
      </c>
      <c r="AU99" s="252">
        <f t="shared" si="68"/>
        <v>0</v>
      </c>
      <c r="AV99" s="252">
        <f t="shared" si="68"/>
        <v>0</v>
      </c>
      <c r="AW99" s="252">
        <f t="shared" si="68"/>
        <v>0</v>
      </c>
      <c r="AX99" s="252">
        <f t="shared" si="68"/>
        <v>0</v>
      </c>
      <c r="AY99" s="252">
        <f t="shared" si="68"/>
        <v>0</v>
      </c>
      <c r="AZ99" s="252">
        <f t="shared" si="68"/>
        <v>0</v>
      </c>
      <c r="BA99" s="252">
        <f t="shared" si="68"/>
        <v>0</v>
      </c>
    </row>
    <row r="100" ht="15.75" customHeight="1">
      <c r="A100" s="787">
        <v>1977.0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22"/>
        <v>0</v>
      </c>
      <c r="X100" s="252">
        <f t="shared" ref="X100:BA100" si="69">IF(AND(X$52-$A100&gt;$V$35,SUM($W100:W100)&lt;&gt;$V100),$V100,0)</f>
        <v>0</v>
      </c>
      <c r="Y100" s="252">
        <f t="shared" si="69"/>
        <v>0</v>
      </c>
      <c r="Z100" s="252">
        <f t="shared" si="69"/>
        <v>0</v>
      </c>
      <c r="AA100" s="252">
        <f t="shared" si="69"/>
        <v>0</v>
      </c>
      <c r="AB100" s="252">
        <f t="shared" si="69"/>
        <v>0</v>
      </c>
      <c r="AC100" s="252">
        <f t="shared" si="69"/>
        <v>0</v>
      </c>
      <c r="AD100" s="252">
        <f t="shared" si="69"/>
        <v>0</v>
      </c>
      <c r="AE100" s="252">
        <f t="shared" si="69"/>
        <v>0</v>
      </c>
      <c r="AF100" s="252">
        <f t="shared" si="69"/>
        <v>0</v>
      </c>
      <c r="AG100" s="252">
        <f t="shared" si="69"/>
        <v>0</v>
      </c>
      <c r="AH100" s="252">
        <f t="shared" si="69"/>
        <v>0</v>
      </c>
      <c r="AI100" s="252">
        <f t="shared" si="69"/>
        <v>0</v>
      </c>
      <c r="AJ100" s="252">
        <f t="shared" si="69"/>
        <v>0</v>
      </c>
      <c r="AK100" s="252">
        <f t="shared" si="69"/>
        <v>0</v>
      </c>
      <c r="AL100" s="252">
        <f t="shared" si="69"/>
        <v>0</v>
      </c>
      <c r="AM100" s="252">
        <f t="shared" si="69"/>
        <v>0</v>
      </c>
      <c r="AN100" s="252">
        <f t="shared" si="69"/>
        <v>0</v>
      </c>
      <c r="AO100" s="252">
        <f t="shared" si="69"/>
        <v>0</v>
      </c>
      <c r="AP100" s="252">
        <f t="shared" si="69"/>
        <v>0</v>
      </c>
      <c r="AQ100" s="252">
        <f t="shared" si="69"/>
        <v>0</v>
      </c>
      <c r="AR100" s="252">
        <f t="shared" si="69"/>
        <v>0</v>
      </c>
      <c r="AS100" s="252">
        <f t="shared" si="69"/>
        <v>0</v>
      </c>
      <c r="AT100" s="252">
        <f t="shared" si="69"/>
        <v>0</v>
      </c>
      <c r="AU100" s="252">
        <f t="shared" si="69"/>
        <v>0</v>
      </c>
      <c r="AV100" s="252">
        <f t="shared" si="69"/>
        <v>0</v>
      </c>
      <c r="AW100" s="252">
        <f t="shared" si="69"/>
        <v>0</v>
      </c>
      <c r="AX100" s="252">
        <f t="shared" si="69"/>
        <v>0</v>
      </c>
      <c r="AY100" s="252">
        <f t="shared" si="69"/>
        <v>0</v>
      </c>
      <c r="AZ100" s="252">
        <f t="shared" si="69"/>
        <v>0</v>
      </c>
      <c r="BA100" s="252">
        <f t="shared" si="69"/>
        <v>0</v>
      </c>
    </row>
    <row r="101" ht="15.75" customHeight="1">
      <c r="A101" s="787">
        <v>1978.0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22"/>
        <v>0</v>
      </c>
      <c r="X101" s="252">
        <f t="shared" ref="X101:BA101" si="70">IF(AND(X$52-$A101&gt;$V$35,SUM($W101:W101)&lt;&gt;$V101),$V101,0)</f>
        <v>0</v>
      </c>
      <c r="Y101" s="252">
        <f t="shared" si="70"/>
        <v>0</v>
      </c>
      <c r="Z101" s="252">
        <f t="shared" si="70"/>
        <v>0</v>
      </c>
      <c r="AA101" s="252">
        <f t="shared" si="70"/>
        <v>0</v>
      </c>
      <c r="AB101" s="252">
        <f t="shared" si="70"/>
        <v>0</v>
      </c>
      <c r="AC101" s="252">
        <f t="shared" si="70"/>
        <v>0</v>
      </c>
      <c r="AD101" s="252">
        <f t="shared" si="70"/>
        <v>0</v>
      </c>
      <c r="AE101" s="252">
        <f t="shared" si="70"/>
        <v>0</v>
      </c>
      <c r="AF101" s="252">
        <f t="shared" si="70"/>
        <v>0</v>
      </c>
      <c r="AG101" s="252">
        <f t="shared" si="70"/>
        <v>0</v>
      </c>
      <c r="AH101" s="252">
        <f t="shared" si="70"/>
        <v>0</v>
      </c>
      <c r="AI101" s="252">
        <f t="shared" si="70"/>
        <v>0</v>
      </c>
      <c r="AJ101" s="252">
        <f t="shared" si="70"/>
        <v>0</v>
      </c>
      <c r="AK101" s="252">
        <f t="shared" si="70"/>
        <v>0</v>
      </c>
      <c r="AL101" s="252">
        <f t="shared" si="70"/>
        <v>0</v>
      </c>
      <c r="AM101" s="252">
        <f t="shared" si="70"/>
        <v>0</v>
      </c>
      <c r="AN101" s="252">
        <f t="shared" si="70"/>
        <v>0</v>
      </c>
      <c r="AO101" s="252">
        <f t="shared" si="70"/>
        <v>0</v>
      </c>
      <c r="AP101" s="252">
        <f t="shared" si="70"/>
        <v>0</v>
      </c>
      <c r="AQ101" s="252">
        <f t="shared" si="70"/>
        <v>0</v>
      </c>
      <c r="AR101" s="252">
        <f t="shared" si="70"/>
        <v>0</v>
      </c>
      <c r="AS101" s="252">
        <f t="shared" si="70"/>
        <v>0</v>
      </c>
      <c r="AT101" s="252">
        <f t="shared" si="70"/>
        <v>0</v>
      </c>
      <c r="AU101" s="252">
        <f t="shared" si="70"/>
        <v>0</v>
      </c>
      <c r="AV101" s="252">
        <f t="shared" si="70"/>
        <v>0</v>
      </c>
      <c r="AW101" s="252">
        <f t="shared" si="70"/>
        <v>0</v>
      </c>
      <c r="AX101" s="252">
        <f t="shared" si="70"/>
        <v>0</v>
      </c>
      <c r="AY101" s="252">
        <f t="shared" si="70"/>
        <v>0</v>
      </c>
      <c r="AZ101" s="252">
        <f t="shared" si="70"/>
        <v>0</v>
      </c>
      <c r="BA101" s="252">
        <f t="shared" si="70"/>
        <v>0</v>
      </c>
    </row>
    <row r="102" ht="15.75" customHeight="1">
      <c r="A102" s="787">
        <v>1979.0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22"/>
        <v>0</v>
      </c>
      <c r="X102" s="252">
        <f t="shared" ref="X102:BA102" si="71">IF(AND(X$52-$A102&gt;$V$35,SUM($W102:W102)&lt;&gt;$V102),$V102,0)</f>
        <v>0</v>
      </c>
      <c r="Y102" s="252">
        <f t="shared" si="71"/>
        <v>0</v>
      </c>
      <c r="Z102" s="252">
        <f t="shared" si="71"/>
        <v>0</v>
      </c>
      <c r="AA102" s="252">
        <f t="shared" si="71"/>
        <v>0</v>
      </c>
      <c r="AB102" s="252">
        <f t="shared" si="71"/>
        <v>0</v>
      </c>
      <c r="AC102" s="252">
        <f t="shared" si="71"/>
        <v>0</v>
      </c>
      <c r="AD102" s="252">
        <f t="shared" si="71"/>
        <v>0</v>
      </c>
      <c r="AE102" s="252">
        <f t="shared" si="71"/>
        <v>0</v>
      </c>
      <c r="AF102" s="252">
        <f t="shared" si="71"/>
        <v>0</v>
      </c>
      <c r="AG102" s="252">
        <f t="shared" si="71"/>
        <v>0</v>
      </c>
      <c r="AH102" s="252">
        <f t="shared" si="71"/>
        <v>0</v>
      </c>
      <c r="AI102" s="252">
        <f t="shared" si="71"/>
        <v>0</v>
      </c>
      <c r="AJ102" s="252">
        <f t="shared" si="71"/>
        <v>0</v>
      </c>
      <c r="AK102" s="252">
        <f t="shared" si="71"/>
        <v>0</v>
      </c>
      <c r="AL102" s="252">
        <f t="shared" si="71"/>
        <v>0</v>
      </c>
      <c r="AM102" s="252">
        <f t="shared" si="71"/>
        <v>0</v>
      </c>
      <c r="AN102" s="252">
        <f t="shared" si="71"/>
        <v>0</v>
      </c>
      <c r="AO102" s="252">
        <f t="shared" si="71"/>
        <v>0</v>
      </c>
      <c r="AP102" s="252">
        <f t="shared" si="71"/>
        <v>0</v>
      </c>
      <c r="AQ102" s="252">
        <f t="shared" si="71"/>
        <v>0</v>
      </c>
      <c r="AR102" s="252">
        <f t="shared" si="71"/>
        <v>0</v>
      </c>
      <c r="AS102" s="252">
        <f t="shared" si="71"/>
        <v>0</v>
      </c>
      <c r="AT102" s="252">
        <f t="shared" si="71"/>
        <v>0</v>
      </c>
      <c r="AU102" s="252">
        <f t="shared" si="71"/>
        <v>0</v>
      </c>
      <c r="AV102" s="252">
        <f t="shared" si="71"/>
        <v>0</v>
      </c>
      <c r="AW102" s="252">
        <f t="shared" si="71"/>
        <v>0</v>
      </c>
      <c r="AX102" s="252">
        <f t="shared" si="71"/>
        <v>0</v>
      </c>
      <c r="AY102" s="252">
        <f t="shared" si="71"/>
        <v>0</v>
      </c>
      <c r="AZ102" s="252">
        <f t="shared" si="71"/>
        <v>0</v>
      </c>
      <c r="BA102" s="252">
        <f t="shared" si="71"/>
        <v>0</v>
      </c>
    </row>
    <row r="103" ht="15.75" customHeight="1">
      <c r="A103" s="787">
        <v>1980.0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22"/>
        <v>0</v>
      </c>
      <c r="X103" s="252">
        <f t="shared" ref="X103:BA103" si="72">IF(AND(X$52-$A103&gt;$V$35,SUM($W103:W103)&lt;&gt;$V103),$V103,0)</f>
        <v>0</v>
      </c>
      <c r="Y103" s="252">
        <f t="shared" si="72"/>
        <v>0</v>
      </c>
      <c r="Z103" s="252">
        <f t="shared" si="72"/>
        <v>0</v>
      </c>
      <c r="AA103" s="252">
        <f t="shared" si="72"/>
        <v>0</v>
      </c>
      <c r="AB103" s="252">
        <f t="shared" si="72"/>
        <v>0</v>
      </c>
      <c r="AC103" s="252">
        <f t="shared" si="72"/>
        <v>0</v>
      </c>
      <c r="AD103" s="252">
        <f t="shared" si="72"/>
        <v>0</v>
      </c>
      <c r="AE103" s="252">
        <f t="shared" si="72"/>
        <v>0</v>
      </c>
      <c r="AF103" s="252">
        <f t="shared" si="72"/>
        <v>0</v>
      </c>
      <c r="AG103" s="252">
        <f t="shared" si="72"/>
        <v>0</v>
      </c>
      <c r="AH103" s="252">
        <f t="shared" si="72"/>
        <v>0</v>
      </c>
      <c r="AI103" s="252">
        <f t="shared" si="72"/>
        <v>0</v>
      </c>
      <c r="AJ103" s="252">
        <f t="shared" si="72"/>
        <v>0</v>
      </c>
      <c r="AK103" s="252">
        <f t="shared" si="72"/>
        <v>0</v>
      </c>
      <c r="AL103" s="252">
        <f t="shared" si="72"/>
        <v>0</v>
      </c>
      <c r="AM103" s="252">
        <f t="shared" si="72"/>
        <v>0</v>
      </c>
      <c r="AN103" s="252">
        <f t="shared" si="72"/>
        <v>0</v>
      </c>
      <c r="AO103" s="252">
        <f t="shared" si="72"/>
        <v>0</v>
      </c>
      <c r="AP103" s="252">
        <f t="shared" si="72"/>
        <v>0</v>
      </c>
      <c r="AQ103" s="252">
        <f t="shared" si="72"/>
        <v>0</v>
      </c>
      <c r="AR103" s="252">
        <f t="shared" si="72"/>
        <v>0</v>
      </c>
      <c r="AS103" s="252">
        <f t="shared" si="72"/>
        <v>0</v>
      </c>
      <c r="AT103" s="252">
        <f t="shared" si="72"/>
        <v>0</v>
      </c>
      <c r="AU103" s="252">
        <f t="shared" si="72"/>
        <v>0</v>
      </c>
      <c r="AV103" s="252">
        <f t="shared" si="72"/>
        <v>0</v>
      </c>
      <c r="AW103" s="252">
        <f t="shared" si="72"/>
        <v>0</v>
      </c>
      <c r="AX103" s="252">
        <f t="shared" si="72"/>
        <v>0</v>
      </c>
      <c r="AY103" s="252">
        <f t="shared" si="72"/>
        <v>0</v>
      </c>
      <c r="AZ103" s="252">
        <f t="shared" si="72"/>
        <v>0</v>
      </c>
      <c r="BA103" s="252">
        <f t="shared" si="72"/>
        <v>0</v>
      </c>
    </row>
    <row r="104" ht="15.75" customHeight="1">
      <c r="A104" s="787">
        <v>1981.0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22"/>
        <v>0</v>
      </c>
      <c r="X104" s="252">
        <f t="shared" ref="X104:BA104" si="73">IF(AND(X$52-$A104&gt;$V$35,SUM($W104:W104)&lt;&gt;$V104),$V104,0)</f>
        <v>0</v>
      </c>
      <c r="Y104" s="252">
        <f t="shared" si="73"/>
        <v>0</v>
      </c>
      <c r="Z104" s="252">
        <f t="shared" si="73"/>
        <v>0</v>
      </c>
      <c r="AA104" s="252">
        <f t="shared" si="73"/>
        <v>0</v>
      </c>
      <c r="AB104" s="252">
        <f t="shared" si="73"/>
        <v>0</v>
      </c>
      <c r="AC104" s="252">
        <f t="shared" si="73"/>
        <v>0</v>
      </c>
      <c r="AD104" s="252">
        <f t="shared" si="73"/>
        <v>0</v>
      </c>
      <c r="AE104" s="252">
        <f t="shared" si="73"/>
        <v>0</v>
      </c>
      <c r="AF104" s="252">
        <f t="shared" si="73"/>
        <v>0</v>
      </c>
      <c r="AG104" s="252">
        <f t="shared" si="73"/>
        <v>0</v>
      </c>
      <c r="AH104" s="252">
        <f t="shared" si="73"/>
        <v>0</v>
      </c>
      <c r="AI104" s="252">
        <f t="shared" si="73"/>
        <v>0</v>
      </c>
      <c r="AJ104" s="252">
        <f t="shared" si="73"/>
        <v>0</v>
      </c>
      <c r="AK104" s="252">
        <f t="shared" si="73"/>
        <v>0</v>
      </c>
      <c r="AL104" s="252">
        <f t="shared" si="73"/>
        <v>0</v>
      </c>
      <c r="AM104" s="252">
        <f t="shared" si="73"/>
        <v>0</v>
      </c>
      <c r="AN104" s="252">
        <f t="shared" si="73"/>
        <v>0</v>
      </c>
      <c r="AO104" s="252">
        <f t="shared" si="73"/>
        <v>0</v>
      </c>
      <c r="AP104" s="252">
        <f t="shared" si="73"/>
        <v>0</v>
      </c>
      <c r="AQ104" s="252">
        <f t="shared" si="73"/>
        <v>0</v>
      </c>
      <c r="AR104" s="252">
        <f t="shared" si="73"/>
        <v>0</v>
      </c>
      <c r="AS104" s="252">
        <f t="shared" si="73"/>
        <v>0</v>
      </c>
      <c r="AT104" s="252">
        <f t="shared" si="73"/>
        <v>0</v>
      </c>
      <c r="AU104" s="252">
        <f t="shared" si="73"/>
        <v>0</v>
      </c>
      <c r="AV104" s="252">
        <f t="shared" si="73"/>
        <v>0</v>
      </c>
      <c r="AW104" s="252">
        <f t="shared" si="73"/>
        <v>0</v>
      </c>
      <c r="AX104" s="252">
        <f t="shared" si="73"/>
        <v>0</v>
      </c>
      <c r="AY104" s="252">
        <f t="shared" si="73"/>
        <v>0</v>
      </c>
      <c r="AZ104" s="252">
        <f t="shared" si="73"/>
        <v>0</v>
      </c>
      <c r="BA104" s="252">
        <f t="shared" si="73"/>
        <v>0</v>
      </c>
    </row>
    <row r="105" ht="15.75" customHeight="1">
      <c r="A105" s="787">
        <v>1982.0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22"/>
        <v>0</v>
      </c>
      <c r="X105" s="252">
        <f t="shared" ref="X105:BA105" si="74">IF(AND(X$52-$A105&gt;$V$35,SUM($W105:W105)&lt;&gt;$V105),$V105,0)</f>
        <v>0</v>
      </c>
      <c r="Y105" s="252">
        <f t="shared" si="74"/>
        <v>0</v>
      </c>
      <c r="Z105" s="252">
        <f t="shared" si="74"/>
        <v>0</v>
      </c>
      <c r="AA105" s="252">
        <f t="shared" si="74"/>
        <v>0</v>
      </c>
      <c r="AB105" s="252">
        <f t="shared" si="74"/>
        <v>0</v>
      </c>
      <c r="AC105" s="252">
        <f t="shared" si="74"/>
        <v>0</v>
      </c>
      <c r="AD105" s="252">
        <f t="shared" si="74"/>
        <v>0</v>
      </c>
      <c r="AE105" s="252">
        <f t="shared" si="74"/>
        <v>0</v>
      </c>
      <c r="AF105" s="252">
        <f t="shared" si="74"/>
        <v>0</v>
      </c>
      <c r="AG105" s="252">
        <f t="shared" si="74"/>
        <v>0</v>
      </c>
      <c r="AH105" s="252">
        <f t="shared" si="74"/>
        <v>0</v>
      </c>
      <c r="AI105" s="252">
        <f t="shared" si="74"/>
        <v>0</v>
      </c>
      <c r="AJ105" s="252">
        <f t="shared" si="74"/>
        <v>0</v>
      </c>
      <c r="AK105" s="252">
        <f t="shared" si="74"/>
        <v>0</v>
      </c>
      <c r="AL105" s="252">
        <f t="shared" si="74"/>
        <v>0</v>
      </c>
      <c r="AM105" s="252">
        <f t="shared" si="74"/>
        <v>0</v>
      </c>
      <c r="AN105" s="252">
        <f t="shared" si="74"/>
        <v>0</v>
      </c>
      <c r="AO105" s="252">
        <f t="shared" si="74"/>
        <v>0</v>
      </c>
      <c r="AP105" s="252">
        <f t="shared" si="74"/>
        <v>0</v>
      </c>
      <c r="AQ105" s="252">
        <f t="shared" si="74"/>
        <v>0</v>
      </c>
      <c r="AR105" s="252">
        <f t="shared" si="74"/>
        <v>0</v>
      </c>
      <c r="AS105" s="252">
        <f t="shared" si="74"/>
        <v>0</v>
      </c>
      <c r="AT105" s="252">
        <f t="shared" si="74"/>
        <v>0</v>
      </c>
      <c r="AU105" s="252">
        <f t="shared" si="74"/>
        <v>0</v>
      </c>
      <c r="AV105" s="252">
        <f t="shared" si="74"/>
        <v>0</v>
      </c>
      <c r="AW105" s="252">
        <f t="shared" si="74"/>
        <v>0</v>
      </c>
      <c r="AX105" s="252">
        <f t="shared" si="74"/>
        <v>0</v>
      </c>
      <c r="AY105" s="252">
        <f t="shared" si="74"/>
        <v>0</v>
      </c>
      <c r="AZ105" s="252">
        <f t="shared" si="74"/>
        <v>0</v>
      </c>
      <c r="BA105" s="252">
        <f t="shared" si="74"/>
        <v>0</v>
      </c>
    </row>
    <row r="106" ht="15.75" customHeight="1">
      <c r="A106" s="787">
        <v>1983.0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22"/>
        <v>0</v>
      </c>
      <c r="X106" s="252">
        <f t="shared" ref="X106:BA106" si="75">IF(AND(X$52-$A106&gt;$V$35,SUM($W106:W106)&lt;&gt;$V106),$V106,0)</f>
        <v>0</v>
      </c>
      <c r="Y106" s="252">
        <f t="shared" si="75"/>
        <v>0</v>
      </c>
      <c r="Z106" s="252">
        <f t="shared" si="75"/>
        <v>0</v>
      </c>
      <c r="AA106" s="252">
        <f t="shared" si="75"/>
        <v>0</v>
      </c>
      <c r="AB106" s="252">
        <f t="shared" si="75"/>
        <v>0</v>
      </c>
      <c r="AC106" s="252">
        <f t="shared" si="75"/>
        <v>0</v>
      </c>
      <c r="AD106" s="252">
        <f t="shared" si="75"/>
        <v>0</v>
      </c>
      <c r="AE106" s="252">
        <f t="shared" si="75"/>
        <v>0</v>
      </c>
      <c r="AF106" s="252">
        <f t="shared" si="75"/>
        <v>0</v>
      </c>
      <c r="AG106" s="252">
        <f t="shared" si="75"/>
        <v>0</v>
      </c>
      <c r="AH106" s="252">
        <f t="shared" si="75"/>
        <v>0</v>
      </c>
      <c r="AI106" s="252">
        <f t="shared" si="75"/>
        <v>0</v>
      </c>
      <c r="AJ106" s="252">
        <f t="shared" si="75"/>
        <v>0</v>
      </c>
      <c r="AK106" s="252">
        <f t="shared" si="75"/>
        <v>0</v>
      </c>
      <c r="AL106" s="252">
        <f t="shared" si="75"/>
        <v>0</v>
      </c>
      <c r="AM106" s="252">
        <f t="shared" si="75"/>
        <v>0</v>
      </c>
      <c r="AN106" s="252">
        <f t="shared" si="75"/>
        <v>0</v>
      </c>
      <c r="AO106" s="252">
        <f t="shared" si="75"/>
        <v>0</v>
      </c>
      <c r="AP106" s="252">
        <f t="shared" si="75"/>
        <v>0</v>
      </c>
      <c r="AQ106" s="252">
        <f t="shared" si="75"/>
        <v>0</v>
      </c>
      <c r="AR106" s="252">
        <f t="shared" si="75"/>
        <v>0</v>
      </c>
      <c r="AS106" s="252">
        <f t="shared" si="75"/>
        <v>0</v>
      </c>
      <c r="AT106" s="252">
        <f t="shared" si="75"/>
        <v>0</v>
      </c>
      <c r="AU106" s="252">
        <f t="shared" si="75"/>
        <v>0</v>
      </c>
      <c r="AV106" s="252">
        <f t="shared" si="75"/>
        <v>0</v>
      </c>
      <c r="AW106" s="252">
        <f t="shared" si="75"/>
        <v>0</v>
      </c>
      <c r="AX106" s="252">
        <f t="shared" si="75"/>
        <v>0</v>
      </c>
      <c r="AY106" s="252">
        <f t="shared" si="75"/>
        <v>0</v>
      </c>
      <c r="AZ106" s="252">
        <f t="shared" si="75"/>
        <v>0</v>
      </c>
      <c r="BA106" s="252">
        <f t="shared" si="75"/>
        <v>0</v>
      </c>
    </row>
    <row r="107" ht="15.75" customHeight="1">
      <c r="A107" s="787">
        <v>1984.0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22"/>
        <v>0</v>
      </c>
      <c r="X107" s="252">
        <f t="shared" ref="X107:BA107" si="76">IF(AND(X$52-$A107&gt;$V$35,SUM($W107:W107)&lt;&gt;$V107),$V107,0)</f>
        <v>0</v>
      </c>
      <c r="Y107" s="252">
        <f t="shared" si="76"/>
        <v>0</v>
      </c>
      <c r="Z107" s="252">
        <f t="shared" si="76"/>
        <v>0</v>
      </c>
      <c r="AA107" s="252">
        <f t="shared" si="76"/>
        <v>0</v>
      </c>
      <c r="AB107" s="252">
        <f t="shared" si="76"/>
        <v>0</v>
      </c>
      <c r="AC107" s="252">
        <f t="shared" si="76"/>
        <v>0</v>
      </c>
      <c r="AD107" s="252">
        <f t="shared" si="76"/>
        <v>0</v>
      </c>
      <c r="AE107" s="252">
        <f t="shared" si="76"/>
        <v>0</v>
      </c>
      <c r="AF107" s="252">
        <f t="shared" si="76"/>
        <v>0</v>
      </c>
      <c r="AG107" s="252">
        <f t="shared" si="76"/>
        <v>0</v>
      </c>
      <c r="AH107" s="252">
        <f t="shared" si="76"/>
        <v>0</v>
      </c>
      <c r="AI107" s="252">
        <f t="shared" si="76"/>
        <v>0</v>
      </c>
      <c r="AJ107" s="252">
        <f t="shared" si="76"/>
        <v>0</v>
      </c>
      <c r="AK107" s="252">
        <f t="shared" si="76"/>
        <v>0</v>
      </c>
      <c r="AL107" s="252">
        <f t="shared" si="76"/>
        <v>0</v>
      </c>
      <c r="AM107" s="252">
        <f t="shared" si="76"/>
        <v>0</v>
      </c>
      <c r="AN107" s="252">
        <f t="shared" si="76"/>
        <v>0</v>
      </c>
      <c r="AO107" s="252">
        <f t="shared" si="76"/>
        <v>0</v>
      </c>
      <c r="AP107" s="252">
        <f t="shared" si="76"/>
        <v>0</v>
      </c>
      <c r="AQ107" s="252">
        <f t="shared" si="76"/>
        <v>0</v>
      </c>
      <c r="AR107" s="252">
        <f t="shared" si="76"/>
        <v>0</v>
      </c>
      <c r="AS107" s="252">
        <f t="shared" si="76"/>
        <v>0</v>
      </c>
      <c r="AT107" s="252">
        <f t="shared" si="76"/>
        <v>0</v>
      </c>
      <c r="AU107" s="252">
        <f t="shared" si="76"/>
        <v>0</v>
      </c>
      <c r="AV107" s="252">
        <f t="shared" si="76"/>
        <v>0</v>
      </c>
      <c r="AW107" s="252">
        <f t="shared" si="76"/>
        <v>0</v>
      </c>
      <c r="AX107" s="252">
        <f t="shared" si="76"/>
        <v>0</v>
      </c>
      <c r="AY107" s="252">
        <f t="shared" si="76"/>
        <v>0</v>
      </c>
      <c r="AZ107" s="252">
        <f t="shared" si="76"/>
        <v>0</v>
      </c>
      <c r="BA107" s="252">
        <f t="shared" si="76"/>
        <v>0</v>
      </c>
    </row>
    <row r="108" ht="15.75" customHeight="1">
      <c r="A108" s="787">
        <v>1985.0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22"/>
        <v>0</v>
      </c>
      <c r="X108" s="252">
        <f t="shared" ref="X108:BA108" si="77">IF(AND(X$52-$A108&gt;$V$35,SUM($W108:W108)&lt;&gt;$V108),$V108,0)</f>
        <v>0</v>
      </c>
      <c r="Y108" s="252">
        <f t="shared" si="77"/>
        <v>0</v>
      </c>
      <c r="Z108" s="252">
        <f t="shared" si="77"/>
        <v>0</v>
      </c>
      <c r="AA108" s="252">
        <f t="shared" si="77"/>
        <v>0</v>
      </c>
      <c r="AB108" s="252">
        <f t="shared" si="77"/>
        <v>0</v>
      </c>
      <c r="AC108" s="252">
        <f t="shared" si="77"/>
        <v>0</v>
      </c>
      <c r="AD108" s="252">
        <f t="shared" si="77"/>
        <v>0</v>
      </c>
      <c r="AE108" s="252">
        <f t="shared" si="77"/>
        <v>0</v>
      </c>
      <c r="AF108" s="252">
        <f t="shared" si="77"/>
        <v>0</v>
      </c>
      <c r="AG108" s="252">
        <f t="shared" si="77"/>
        <v>0</v>
      </c>
      <c r="AH108" s="252">
        <f t="shared" si="77"/>
        <v>0</v>
      </c>
      <c r="AI108" s="252">
        <f t="shared" si="77"/>
        <v>0</v>
      </c>
      <c r="AJ108" s="252">
        <f t="shared" si="77"/>
        <v>0</v>
      </c>
      <c r="AK108" s="252">
        <f t="shared" si="77"/>
        <v>0</v>
      </c>
      <c r="AL108" s="252">
        <f t="shared" si="77"/>
        <v>0</v>
      </c>
      <c r="AM108" s="252">
        <f t="shared" si="77"/>
        <v>0</v>
      </c>
      <c r="AN108" s="252">
        <f t="shared" si="77"/>
        <v>0</v>
      </c>
      <c r="AO108" s="252">
        <f t="shared" si="77"/>
        <v>0</v>
      </c>
      <c r="AP108" s="252">
        <f t="shared" si="77"/>
        <v>0</v>
      </c>
      <c r="AQ108" s="252">
        <f t="shared" si="77"/>
        <v>0</v>
      </c>
      <c r="AR108" s="252">
        <f t="shared" si="77"/>
        <v>0</v>
      </c>
      <c r="AS108" s="252">
        <f t="shared" si="77"/>
        <v>0</v>
      </c>
      <c r="AT108" s="252">
        <f t="shared" si="77"/>
        <v>0</v>
      </c>
      <c r="AU108" s="252">
        <f t="shared" si="77"/>
        <v>0</v>
      </c>
      <c r="AV108" s="252">
        <f t="shared" si="77"/>
        <v>0</v>
      </c>
      <c r="AW108" s="252">
        <f t="shared" si="77"/>
        <v>0</v>
      </c>
      <c r="AX108" s="252">
        <f t="shared" si="77"/>
        <v>0</v>
      </c>
      <c r="AY108" s="252">
        <f t="shared" si="77"/>
        <v>0</v>
      </c>
      <c r="AZ108" s="252">
        <f t="shared" si="77"/>
        <v>0</v>
      </c>
      <c r="BA108" s="252">
        <f t="shared" si="77"/>
        <v>0</v>
      </c>
    </row>
    <row r="109" ht="15.75" customHeight="1">
      <c r="A109" s="787">
        <v>1986.0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22"/>
        <v>0</v>
      </c>
      <c r="X109" s="252">
        <f t="shared" ref="X109:BA109" si="78">IF(AND(X$52-$A109&gt;$V$35,SUM($W109:W109)&lt;&gt;$V109),$V109,0)</f>
        <v>0</v>
      </c>
      <c r="Y109" s="252">
        <f t="shared" si="78"/>
        <v>0</v>
      </c>
      <c r="Z109" s="252">
        <f t="shared" si="78"/>
        <v>0</v>
      </c>
      <c r="AA109" s="252">
        <f t="shared" si="78"/>
        <v>0</v>
      </c>
      <c r="AB109" s="252">
        <f t="shared" si="78"/>
        <v>0</v>
      </c>
      <c r="AC109" s="252">
        <f t="shared" si="78"/>
        <v>0</v>
      </c>
      <c r="AD109" s="252">
        <f t="shared" si="78"/>
        <v>0</v>
      </c>
      <c r="AE109" s="252">
        <f t="shared" si="78"/>
        <v>0</v>
      </c>
      <c r="AF109" s="252">
        <f t="shared" si="78"/>
        <v>0</v>
      </c>
      <c r="AG109" s="252">
        <f t="shared" si="78"/>
        <v>0</v>
      </c>
      <c r="AH109" s="252">
        <f t="shared" si="78"/>
        <v>0</v>
      </c>
      <c r="AI109" s="252">
        <f t="shared" si="78"/>
        <v>0</v>
      </c>
      <c r="AJ109" s="252">
        <f t="shared" si="78"/>
        <v>0</v>
      </c>
      <c r="AK109" s="252">
        <f t="shared" si="78"/>
        <v>0</v>
      </c>
      <c r="AL109" s="252">
        <f t="shared" si="78"/>
        <v>0</v>
      </c>
      <c r="AM109" s="252">
        <f t="shared" si="78"/>
        <v>0</v>
      </c>
      <c r="AN109" s="252">
        <f t="shared" si="78"/>
        <v>0</v>
      </c>
      <c r="AO109" s="252">
        <f t="shared" si="78"/>
        <v>0</v>
      </c>
      <c r="AP109" s="252">
        <f t="shared" si="78"/>
        <v>0</v>
      </c>
      <c r="AQ109" s="252">
        <f t="shared" si="78"/>
        <v>0</v>
      </c>
      <c r="AR109" s="252">
        <f t="shared" si="78"/>
        <v>0</v>
      </c>
      <c r="AS109" s="252">
        <f t="shared" si="78"/>
        <v>0</v>
      </c>
      <c r="AT109" s="252">
        <f t="shared" si="78"/>
        <v>0</v>
      </c>
      <c r="AU109" s="252">
        <f t="shared" si="78"/>
        <v>0</v>
      </c>
      <c r="AV109" s="252">
        <f t="shared" si="78"/>
        <v>0</v>
      </c>
      <c r="AW109" s="252">
        <f t="shared" si="78"/>
        <v>0</v>
      </c>
      <c r="AX109" s="252">
        <f t="shared" si="78"/>
        <v>0</v>
      </c>
      <c r="AY109" s="252">
        <f t="shared" si="78"/>
        <v>0</v>
      </c>
      <c r="AZ109" s="252">
        <f t="shared" si="78"/>
        <v>0</v>
      </c>
      <c r="BA109" s="252">
        <f t="shared" si="78"/>
        <v>0</v>
      </c>
    </row>
    <row r="110" ht="15.75" customHeight="1">
      <c r="A110" s="787">
        <v>1987.0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22"/>
        <v>0</v>
      </c>
      <c r="X110" s="252">
        <f t="shared" ref="X110:BA110" si="79">IF(AND(X$52-$A110&gt;$V$35,SUM($W110:W110)&lt;&gt;$V110),$V110,0)</f>
        <v>0</v>
      </c>
      <c r="Y110" s="252">
        <f t="shared" si="79"/>
        <v>0</v>
      </c>
      <c r="Z110" s="252">
        <f t="shared" si="79"/>
        <v>0</v>
      </c>
      <c r="AA110" s="252">
        <f t="shared" si="79"/>
        <v>0</v>
      </c>
      <c r="AB110" s="252">
        <f t="shared" si="79"/>
        <v>0</v>
      </c>
      <c r="AC110" s="252">
        <f t="shared" si="79"/>
        <v>0</v>
      </c>
      <c r="AD110" s="252">
        <f t="shared" si="79"/>
        <v>0</v>
      </c>
      <c r="AE110" s="252">
        <f t="shared" si="79"/>
        <v>0</v>
      </c>
      <c r="AF110" s="252">
        <f t="shared" si="79"/>
        <v>0</v>
      </c>
      <c r="AG110" s="252">
        <f t="shared" si="79"/>
        <v>0</v>
      </c>
      <c r="AH110" s="252">
        <f t="shared" si="79"/>
        <v>0</v>
      </c>
      <c r="AI110" s="252">
        <f t="shared" si="79"/>
        <v>0</v>
      </c>
      <c r="AJ110" s="252">
        <f t="shared" si="79"/>
        <v>0</v>
      </c>
      <c r="AK110" s="252">
        <f t="shared" si="79"/>
        <v>0</v>
      </c>
      <c r="AL110" s="252">
        <f t="shared" si="79"/>
        <v>0</v>
      </c>
      <c r="AM110" s="252">
        <f t="shared" si="79"/>
        <v>0</v>
      </c>
      <c r="AN110" s="252">
        <f t="shared" si="79"/>
        <v>0</v>
      </c>
      <c r="AO110" s="252">
        <f t="shared" si="79"/>
        <v>0</v>
      </c>
      <c r="AP110" s="252">
        <f t="shared" si="79"/>
        <v>0</v>
      </c>
      <c r="AQ110" s="252">
        <f t="shared" si="79"/>
        <v>0</v>
      </c>
      <c r="AR110" s="252">
        <f t="shared" si="79"/>
        <v>0</v>
      </c>
      <c r="AS110" s="252">
        <f t="shared" si="79"/>
        <v>0</v>
      </c>
      <c r="AT110" s="252">
        <f t="shared" si="79"/>
        <v>0</v>
      </c>
      <c r="AU110" s="252">
        <f t="shared" si="79"/>
        <v>0</v>
      </c>
      <c r="AV110" s="252">
        <f t="shared" si="79"/>
        <v>0</v>
      </c>
      <c r="AW110" s="252">
        <f t="shared" si="79"/>
        <v>0</v>
      </c>
      <c r="AX110" s="252">
        <f t="shared" si="79"/>
        <v>0</v>
      </c>
      <c r="AY110" s="252">
        <f t="shared" si="79"/>
        <v>0</v>
      </c>
      <c r="AZ110" s="252">
        <f t="shared" si="79"/>
        <v>0</v>
      </c>
      <c r="BA110" s="252">
        <f t="shared" si="79"/>
        <v>0</v>
      </c>
    </row>
    <row r="111" ht="15.75" customHeight="1">
      <c r="A111" s="787">
        <v>1988.0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22"/>
        <v>0</v>
      </c>
      <c r="X111" s="252">
        <f t="shared" ref="X111:BA111" si="80">IF(AND(X$52-$A111&gt;$V$35,SUM($W111:W111)&lt;&gt;$V111),$V111,0)</f>
        <v>0</v>
      </c>
      <c r="Y111" s="252">
        <f t="shared" si="80"/>
        <v>0</v>
      </c>
      <c r="Z111" s="252">
        <f t="shared" si="80"/>
        <v>0</v>
      </c>
      <c r="AA111" s="252">
        <f t="shared" si="80"/>
        <v>0</v>
      </c>
      <c r="AB111" s="252">
        <f t="shared" si="80"/>
        <v>0</v>
      </c>
      <c r="AC111" s="252">
        <f t="shared" si="80"/>
        <v>0</v>
      </c>
      <c r="AD111" s="252">
        <f t="shared" si="80"/>
        <v>0</v>
      </c>
      <c r="AE111" s="252">
        <f t="shared" si="80"/>
        <v>0</v>
      </c>
      <c r="AF111" s="252">
        <f t="shared" si="80"/>
        <v>0</v>
      </c>
      <c r="AG111" s="252">
        <f t="shared" si="80"/>
        <v>0</v>
      </c>
      <c r="AH111" s="252">
        <f t="shared" si="80"/>
        <v>0</v>
      </c>
      <c r="AI111" s="252">
        <f t="shared" si="80"/>
        <v>0</v>
      </c>
      <c r="AJ111" s="252">
        <f t="shared" si="80"/>
        <v>0</v>
      </c>
      <c r="AK111" s="252">
        <f t="shared" si="80"/>
        <v>0</v>
      </c>
      <c r="AL111" s="252">
        <f t="shared" si="80"/>
        <v>0</v>
      </c>
      <c r="AM111" s="252">
        <f t="shared" si="80"/>
        <v>0</v>
      </c>
      <c r="AN111" s="252">
        <f t="shared" si="80"/>
        <v>0</v>
      </c>
      <c r="AO111" s="252">
        <f t="shared" si="80"/>
        <v>0</v>
      </c>
      <c r="AP111" s="252">
        <f t="shared" si="80"/>
        <v>0</v>
      </c>
      <c r="AQ111" s="252">
        <f t="shared" si="80"/>
        <v>0</v>
      </c>
      <c r="AR111" s="252">
        <f t="shared" si="80"/>
        <v>0</v>
      </c>
      <c r="AS111" s="252">
        <f t="shared" si="80"/>
        <v>0</v>
      </c>
      <c r="AT111" s="252">
        <f t="shared" si="80"/>
        <v>0</v>
      </c>
      <c r="AU111" s="252">
        <f t="shared" si="80"/>
        <v>0</v>
      </c>
      <c r="AV111" s="252">
        <f t="shared" si="80"/>
        <v>0</v>
      </c>
      <c r="AW111" s="252">
        <f t="shared" si="80"/>
        <v>0</v>
      </c>
      <c r="AX111" s="252">
        <f t="shared" si="80"/>
        <v>0</v>
      </c>
      <c r="AY111" s="252">
        <f t="shared" si="80"/>
        <v>0</v>
      </c>
      <c r="AZ111" s="252">
        <f t="shared" si="80"/>
        <v>0</v>
      </c>
      <c r="BA111" s="252">
        <f t="shared" si="80"/>
        <v>0</v>
      </c>
    </row>
    <row r="112" ht="15.75" customHeight="1">
      <c r="A112" s="787">
        <v>1989.0</v>
      </c>
      <c r="B112" s="38"/>
      <c r="C112" s="38"/>
      <c r="D112" s="38"/>
      <c r="E112" s="38"/>
      <c r="F112" s="38"/>
      <c r="G112" s="38"/>
      <c r="H112" s="38"/>
      <c r="I112" s="38"/>
      <c r="J112" s="38"/>
      <c r="K112" s="38"/>
      <c r="L112" s="38"/>
      <c r="M112" s="38"/>
      <c r="N112" s="38"/>
      <c r="O112" s="38"/>
      <c r="P112" s="38"/>
      <c r="Q112" s="38"/>
      <c r="R112" s="38"/>
      <c r="S112" s="38"/>
      <c r="T112" s="38"/>
      <c r="U112" s="38"/>
      <c r="V112" s="769">
        <v>0.0</v>
      </c>
      <c r="W112" s="252">
        <f t="shared" si="22"/>
        <v>0</v>
      </c>
      <c r="X112" s="252">
        <f t="shared" ref="X112:BA112" si="81">IF(AND(X$52-$A112&gt;$V$35,SUM($W112:W112)&lt;&gt;$V112),$V112,0)</f>
        <v>0</v>
      </c>
      <c r="Y112" s="252">
        <f t="shared" si="81"/>
        <v>0</v>
      </c>
      <c r="Z112" s="252">
        <f t="shared" si="81"/>
        <v>0</v>
      </c>
      <c r="AA112" s="252">
        <f t="shared" si="81"/>
        <v>0</v>
      </c>
      <c r="AB112" s="252">
        <f t="shared" si="81"/>
        <v>0</v>
      </c>
      <c r="AC112" s="252">
        <f t="shared" si="81"/>
        <v>0</v>
      </c>
      <c r="AD112" s="252">
        <f t="shared" si="81"/>
        <v>0</v>
      </c>
      <c r="AE112" s="252">
        <f t="shared" si="81"/>
        <v>0</v>
      </c>
      <c r="AF112" s="252">
        <f t="shared" si="81"/>
        <v>0</v>
      </c>
      <c r="AG112" s="252">
        <f t="shared" si="81"/>
        <v>0</v>
      </c>
      <c r="AH112" s="252">
        <f t="shared" si="81"/>
        <v>0</v>
      </c>
      <c r="AI112" s="252">
        <f t="shared" si="81"/>
        <v>0</v>
      </c>
      <c r="AJ112" s="252">
        <f t="shared" si="81"/>
        <v>0</v>
      </c>
      <c r="AK112" s="252">
        <f t="shared" si="81"/>
        <v>0</v>
      </c>
      <c r="AL112" s="252">
        <f t="shared" si="81"/>
        <v>0</v>
      </c>
      <c r="AM112" s="252">
        <f t="shared" si="81"/>
        <v>0</v>
      </c>
      <c r="AN112" s="252">
        <f t="shared" si="81"/>
        <v>0</v>
      </c>
      <c r="AO112" s="252">
        <f t="shared" si="81"/>
        <v>0</v>
      </c>
      <c r="AP112" s="252">
        <f t="shared" si="81"/>
        <v>0</v>
      </c>
      <c r="AQ112" s="252">
        <f t="shared" si="81"/>
        <v>0</v>
      </c>
      <c r="AR112" s="252">
        <f t="shared" si="81"/>
        <v>0</v>
      </c>
      <c r="AS112" s="252">
        <f t="shared" si="81"/>
        <v>0</v>
      </c>
      <c r="AT112" s="252">
        <f t="shared" si="81"/>
        <v>0</v>
      </c>
      <c r="AU112" s="252">
        <f t="shared" si="81"/>
        <v>0</v>
      </c>
      <c r="AV112" s="252">
        <f t="shared" si="81"/>
        <v>0</v>
      </c>
      <c r="AW112" s="252">
        <f t="shared" si="81"/>
        <v>0</v>
      </c>
      <c r="AX112" s="252">
        <f t="shared" si="81"/>
        <v>0</v>
      </c>
      <c r="AY112" s="252">
        <f t="shared" si="81"/>
        <v>0</v>
      </c>
      <c r="AZ112" s="252">
        <f t="shared" si="81"/>
        <v>0</v>
      </c>
      <c r="BA112" s="252">
        <f t="shared" si="81"/>
        <v>0</v>
      </c>
    </row>
    <row r="113" ht="15.75" customHeight="1">
      <c r="A113" s="787">
        <v>1990.0</v>
      </c>
      <c r="B113" s="38"/>
      <c r="C113" s="38"/>
      <c r="D113" s="38"/>
      <c r="E113" s="38"/>
      <c r="F113" s="38"/>
      <c r="G113" s="38"/>
      <c r="H113" s="38"/>
      <c r="I113" s="38"/>
      <c r="J113" s="38"/>
      <c r="K113" s="38"/>
      <c r="L113" s="38"/>
      <c r="M113" s="38"/>
      <c r="N113" s="38"/>
      <c r="O113" s="38"/>
      <c r="P113" s="38"/>
      <c r="Q113" s="38"/>
      <c r="R113" s="38"/>
      <c r="S113" s="38"/>
      <c r="T113" s="38"/>
      <c r="U113" s="38"/>
      <c r="V113" s="769">
        <v>0.0</v>
      </c>
      <c r="W113" s="252">
        <f t="shared" si="22"/>
        <v>0</v>
      </c>
      <c r="X113" s="252">
        <f t="shared" ref="X113:BA113" si="82">IF(AND(X$52-$A113&gt;$V$35,SUM($W113:W113)&lt;&gt;$V113),$V113,0)</f>
        <v>0</v>
      </c>
      <c r="Y113" s="252">
        <f t="shared" si="82"/>
        <v>0</v>
      </c>
      <c r="Z113" s="252">
        <f t="shared" si="82"/>
        <v>0</v>
      </c>
      <c r="AA113" s="252">
        <f t="shared" si="82"/>
        <v>0</v>
      </c>
      <c r="AB113" s="252">
        <f t="shared" si="82"/>
        <v>0</v>
      </c>
      <c r="AC113" s="252">
        <f t="shared" si="82"/>
        <v>0</v>
      </c>
      <c r="AD113" s="252">
        <f t="shared" si="82"/>
        <v>0</v>
      </c>
      <c r="AE113" s="252">
        <f t="shared" si="82"/>
        <v>0</v>
      </c>
      <c r="AF113" s="252">
        <f t="shared" si="82"/>
        <v>0</v>
      </c>
      <c r="AG113" s="252">
        <f t="shared" si="82"/>
        <v>0</v>
      </c>
      <c r="AH113" s="252">
        <f t="shared" si="82"/>
        <v>0</v>
      </c>
      <c r="AI113" s="252">
        <f t="shared" si="82"/>
        <v>0</v>
      </c>
      <c r="AJ113" s="252">
        <f t="shared" si="82"/>
        <v>0</v>
      </c>
      <c r="AK113" s="252">
        <f t="shared" si="82"/>
        <v>0</v>
      </c>
      <c r="AL113" s="252">
        <f t="shared" si="82"/>
        <v>0</v>
      </c>
      <c r="AM113" s="252">
        <f t="shared" si="82"/>
        <v>0</v>
      </c>
      <c r="AN113" s="252">
        <f t="shared" si="82"/>
        <v>0</v>
      </c>
      <c r="AO113" s="252">
        <f t="shared" si="82"/>
        <v>0</v>
      </c>
      <c r="AP113" s="252">
        <f t="shared" si="82"/>
        <v>0</v>
      </c>
      <c r="AQ113" s="252">
        <f t="shared" si="82"/>
        <v>0</v>
      </c>
      <c r="AR113" s="252">
        <f t="shared" si="82"/>
        <v>0</v>
      </c>
      <c r="AS113" s="252">
        <f t="shared" si="82"/>
        <v>0</v>
      </c>
      <c r="AT113" s="252">
        <f t="shared" si="82"/>
        <v>0</v>
      </c>
      <c r="AU113" s="252">
        <f t="shared" si="82"/>
        <v>0</v>
      </c>
      <c r="AV113" s="252">
        <f t="shared" si="82"/>
        <v>0</v>
      </c>
      <c r="AW113" s="252">
        <f t="shared" si="82"/>
        <v>0</v>
      </c>
      <c r="AX113" s="252">
        <f t="shared" si="82"/>
        <v>0</v>
      </c>
      <c r="AY113" s="252">
        <f t="shared" si="82"/>
        <v>0</v>
      </c>
      <c r="AZ113" s="252">
        <f t="shared" si="82"/>
        <v>0</v>
      </c>
      <c r="BA113" s="252">
        <f t="shared" si="82"/>
        <v>0</v>
      </c>
    </row>
    <row r="114" ht="15.75" customHeight="1">
      <c r="A114" s="787">
        <v>1991.0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22"/>
        <v>0</v>
      </c>
      <c r="X114" s="252">
        <f t="shared" ref="X114:BA114" si="83">IF(AND(X$52-$A114&gt;$V$35,SUM($W114:W114)&lt;&gt;$V114),$V114,0)</f>
        <v>0</v>
      </c>
      <c r="Y114" s="252">
        <f t="shared" si="83"/>
        <v>0</v>
      </c>
      <c r="Z114" s="252">
        <f t="shared" si="83"/>
        <v>0</v>
      </c>
      <c r="AA114" s="252">
        <f t="shared" si="83"/>
        <v>0</v>
      </c>
      <c r="AB114" s="252">
        <f t="shared" si="83"/>
        <v>0</v>
      </c>
      <c r="AC114" s="252">
        <f t="shared" si="83"/>
        <v>0</v>
      </c>
      <c r="AD114" s="252">
        <f t="shared" si="83"/>
        <v>0</v>
      </c>
      <c r="AE114" s="252">
        <f t="shared" si="83"/>
        <v>0</v>
      </c>
      <c r="AF114" s="252">
        <f t="shared" si="83"/>
        <v>0</v>
      </c>
      <c r="AG114" s="252">
        <f t="shared" si="83"/>
        <v>0</v>
      </c>
      <c r="AH114" s="252">
        <f t="shared" si="83"/>
        <v>0</v>
      </c>
      <c r="AI114" s="252">
        <f t="shared" si="83"/>
        <v>0</v>
      </c>
      <c r="AJ114" s="252">
        <f t="shared" si="83"/>
        <v>0</v>
      </c>
      <c r="AK114" s="252">
        <f t="shared" si="83"/>
        <v>0</v>
      </c>
      <c r="AL114" s="252">
        <f t="shared" si="83"/>
        <v>0</v>
      </c>
      <c r="AM114" s="252">
        <f t="shared" si="83"/>
        <v>0</v>
      </c>
      <c r="AN114" s="252">
        <f t="shared" si="83"/>
        <v>0</v>
      </c>
      <c r="AO114" s="252">
        <f t="shared" si="83"/>
        <v>0</v>
      </c>
      <c r="AP114" s="252">
        <f t="shared" si="83"/>
        <v>0</v>
      </c>
      <c r="AQ114" s="252">
        <f t="shared" si="83"/>
        <v>0</v>
      </c>
      <c r="AR114" s="252">
        <f t="shared" si="83"/>
        <v>0</v>
      </c>
      <c r="AS114" s="252">
        <f t="shared" si="83"/>
        <v>0</v>
      </c>
      <c r="AT114" s="252">
        <f t="shared" si="83"/>
        <v>0</v>
      </c>
      <c r="AU114" s="252">
        <f t="shared" si="83"/>
        <v>0</v>
      </c>
      <c r="AV114" s="252">
        <f t="shared" si="83"/>
        <v>0</v>
      </c>
      <c r="AW114" s="252">
        <f t="shared" si="83"/>
        <v>0</v>
      </c>
      <c r="AX114" s="252">
        <f t="shared" si="83"/>
        <v>0</v>
      </c>
      <c r="AY114" s="252">
        <f t="shared" si="83"/>
        <v>0</v>
      </c>
      <c r="AZ114" s="252">
        <f t="shared" si="83"/>
        <v>0</v>
      </c>
      <c r="BA114" s="252">
        <f t="shared" si="83"/>
        <v>0</v>
      </c>
    </row>
    <row r="115" ht="15.75" customHeight="1">
      <c r="A115" s="787">
        <v>1992.0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22"/>
        <v>0</v>
      </c>
      <c r="X115" s="252">
        <f t="shared" ref="X115:BA115" si="84">IF(AND(X$52-$A115&gt;$V$35,SUM($W115:W115)&lt;&gt;$V115),$V115,0)</f>
        <v>0</v>
      </c>
      <c r="Y115" s="252">
        <f t="shared" si="84"/>
        <v>0</v>
      </c>
      <c r="Z115" s="252">
        <f t="shared" si="84"/>
        <v>0</v>
      </c>
      <c r="AA115" s="252">
        <f t="shared" si="84"/>
        <v>0</v>
      </c>
      <c r="AB115" s="252">
        <f t="shared" si="84"/>
        <v>0</v>
      </c>
      <c r="AC115" s="252">
        <f t="shared" si="84"/>
        <v>0</v>
      </c>
      <c r="AD115" s="252">
        <f t="shared" si="84"/>
        <v>0</v>
      </c>
      <c r="AE115" s="252">
        <f t="shared" si="84"/>
        <v>0</v>
      </c>
      <c r="AF115" s="252">
        <f t="shared" si="84"/>
        <v>0</v>
      </c>
      <c r="AG115" s="252">
        <f t="shared" si="84"/>
        <v>0</v>
      </c>
      <c r="AH115" s="252">
        <f t="shared" si="84"/>
        <v>0</v>
      </c>
      <c r="AI115" s="252">
        <f t="shared" si="84"/>
        <v>0</v>
      </c>
      <c r="AJ115" s="252">
        <f t="shared" si="84"/>
        <v>0</v>
      </c>
      <c r="AK115" s="252">
        <f t="shared" si="84"/>
        <v>0</v>
      </c>
      <c r="AL115" s="252">
        <f t="shared" si="84"/>
        <v>0</v>
      </c>
      <c r="AM115" s="252">
        <f t="shared" si="84"/>
        <v>0</v>
      </c>
      <c r="AN115" s="252">
        <f t="shared" si="84"/>
        <v>0</v>
      </c>
      <c r="AO115" s="252">
        <f t="shared" si="84"/>
        <v>0</v>
      </c>
      <c r="AP115" s="252">
        <f t="shared" si="84"/>
        <v>0</v>
      </c>
      <c r="AQ115" s="252">
        <f t="shared" si="84"/>
        <v>0</v>
      </c>
      <c r="AR115" s="252">
        <f t="shared" si="84"/>
        <v>0</v>
      </c>
      <c r="AS115" s="252">
        <f t="shared" si="84"/>
        <v>0</v>
      </c>
      <c r="AT115" s="252">
        <f t="shared" si="84"/>
        <v>0</v>
      </c>
      <c r="AU115" s="252">
        <f t="shared" si="84"/>
        <v>0</v>
      </c>
      <c r="AV115" s="252">
        <f t="shared" si="84"/>
        <v>0</v>
      </c>
      <c r="AW115" s="252">
        <f t="shared" si="84"/>
        <v>0</v>
      </c>
      <c r="AX115" s="252">
        <f t="shared" si="84"/>
        <v>0</v>
      </c>
      <c r="AY115" s="252">
        <f t="shared" si="84"/>
        <v>0</v>
      </c>
      <c r="AZ115" s="252">
        <f t="shared" si="84"/>
        <v>0</v>
      </c>
      <c r="BA115" s="252">
        <f t="shared" si="84"/>
        <v>0</v>
      </c>
    </row>
    <row r="116" ht="15.75" customHeight="1">
      <c r="A116" s="787">
        <v>1993.0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22"/>
        <v>0</v>
      </c>
      <c r="X116" s="252">
        <f t="shared" ref="X116:BA116" si="85">IF(AND(X$52-$A116&gt;$V$35,SUM($W116:W116)&lt;&gt;$V116),$V116,0)</f>
        <v>0</v>
      </c>
      <c r="Y116" s="252">
        <f t="shared" si="85"/>
        <v>0</v>
      </c>
      <c r="Z116" s="252">
        <f t="shared" si="85"/>
        <v>0</v>
      </c>
      <c r="AA116" s="252">
        <f t="shared" si="85"/>
        <v>0</v>
      </c>
      <c r="AB116" s="252">
        <f t="shared" si="85"/>
        <v>0</v>
      </c>
      <c r="AC116" s="252">
        <f t="shared" si="85"/>
        <v>0</v>
      </c>
      <c r="AD116" s="252">
        <f t="shared" si="85"/>
        <v>0</v>
      </c>
      <c r="AE116" s="252">
        <f t="shared" si="85"/>
        <v>0</v>
      </c>
      <c r="AF116" s="252">
        <f t="shared" si="85"/>
        <v>0</v>
      </c>
      <c r="AG116" s="252">
        <f t="shared" si="85"/>
        <v>0</v>
      </c>
      <c r="AH116" s="252">
        <f t="shared" si="85"/>
        <v>0</v>
      </c>
      <c r="AI116" s="252">
        <f t="shared" si="85"/>
        <v>0</v>
      </c>
      <c r="AJ116" s="252">
        <f t="shared" si="85"/>
        <v>0</v>
      </c>
      <c r="AK116" s="252">
        <f t="shared" si="85"/>
        <v>0</v>
      </c>
      <c r="AL116" s="252">
        <f t="shared" si="85"/>
        <v>0</v>
      </c>
      <c r="AM116" s="252">
        <f t="shared" si="85"/>
        <v>0</v>
      </c>
      <c r="AN116" s="252">
        <f t="shared" si="85"/>
        <v>0</v>
      </c>
      <c r="AO116" s="252">
        <f t="shared" si="85"/>
        <v>0</v>
      </c>
      <c r="AP116" s="252">
        <f t="shared" si="85"/>
        <v>0</v>
      </c>
      <c r="AQ116" s="252">
        <f t="shared" si="85"/>
        <v>0</v>
      </c>
      <c r="AR116" s="252">
        <f t="shared" si="85"/>
        <v>0</v>
      </c>
      <c r="AS116" s="252">
        <f t="shared" si="85"/>
        <v>0</v>
      </c>
      <c r="AT116" s="252">
        <f t="shared" si="85"/>
        <v>0</v>
      </c>
      <c r="AU116" s="252">
        <f t="shared" si="85"/>
        <v>0</v>
      </c>
      <c r="AV116" s="252">
        <f t="shared" si="85"/>
        <v>0</v>
      </c>
      <c r="AW116" s="252">
        <f t="shared" si="85"/>
        <v>0</v>
      </c>
      <c r="AX116" s="252">
        <f t="shared" si="85"/>
        <v>0</v>
      </c>
      <c r="AY116" s="252">
        <f t="shared" si="85"/>
        <v>0</v>
      </c>
      <c r="AZ116" s="252">
        <f t="shared" si="85"/>
        <v>0</v>
      </c>
      <c r="BA116" s="252">
        <f t="shared" si="85"/>
        <v>0</v>
      </c>
    </row>
    <row r="117" ht="15.75" customHeight="1">
      <c r="A117" s="787">
        <v>1994.0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22"/>
        <v>0</v>
      </c>
      <c r="X117" s="252">
        <f t="shared" ref="X117:BA117" si="86">IF(AND(X$52-$A117&gt;$V$35,SUM($W117:W117)&lt;&gt;$V117),$V117,0)</f>
        <v>0</v>
      </c>
      <c r="Y117" s="252">
        <f t="shared" si="86"/>
        <v>0</v>
      </c>
      <c r="Z117" s="252">
        <f t="shared" si="86"/>
        <v>0</v>
      </c>
      <c r="AA117" s="252">
        <f t="shared" si="86"/>
        <v>0</v>
      </c>
      <c r="AB117" s="252">
        <f t="shared" si="86"/>
        <v>0</v>
      </c>
      <c r="AC117" s="252">
        <f t="shared" si="86"/>
        <v>0</v>
      </c>
      <c r="AD117" s="252">
        <f t="shared" si="86"/>
        <v>0</v>
      </c>
      <c r="AE117" s="252">
        <f t="shared" si="86"/>
        <v>0</v>
      </c>
      <c r="AF117" s="252">
        <f t="shared" si="86"/>
        <v>0</v>
      </c>
      <c r="AG117" s="252">
        <f t="shared" si="86"/>
        <v>0</v>
      </c>
      <c r="AH117" s="252">
        <f t="shared" si="86"/>
        <v>0</v>
      </c>
      <c r="AI117" s="252">
        <f t="shared" si="86"/>
        <v>0</v>
      </c>
      <c r="AJ117" s="252">
        <f t="shared" si="86"/>
        <v>0</v>
      </c>
      <c r="AK117" s="252">
        <f t="shared" si="86"/>
        <v>0</v>
      </c>
      <c r="AL117" s="252">
        <f t="shared" si="86"/>
        <v>0</v>
      </c>
      <c r="AM117" s="252">
        <f t="shared" si="86"/>
        <v>0</v>
      </c>
      <c r="AN117" s="252">
        <f t="shared" si="86"/>
        <v>0</v>
      </c>
      <c r="AO117" s="252">
        <f t="shared" si="86"/>
        <v>0</v>
      </c>
      <c r="AP117" s="252">
        <f t="shared" si="86"/>
        <v>0</v>
      </c>
      <c r="AQ117" s="252">
        <f t="shared" si="86"/>
        <v>0</v>
      </c>
      <c r="AR117" s="252">
        <f t="shared" si="86"/>
        <v>0</v>
      </c>
      <c r="AS117" s="252">
        <f t="shared" si="86"/>
        <v>0</v>
      </c>
      <c r="AT117" s="252">
        <f t="shared" si="86"/>
        <v>0</v>
      </c>
      <c r="AU117" s="252">
        <f t="shared" si="86"/>
        <v>0</v>
      </c>
      <c r="AV117" s="252">
        <f t="shared" si="86"/>
        <v>0</v>
      </c>
      <c r="AW117" s="252">
        <f t="shared" si="86"/>
        <v>0</v>
      </c>
      <c r="AX117" s="252">
        <f t="shared" si="86"/>
        <v>0</v>
      </c>
      <c r="AY117" s="252">
        <f t="shared" si="86"/>
        <v>0</v>
      </c>
      <c r="AZ117" s="252">
        <f t="shared" si="86"/>
        <v>0</v>
      </c>
      <c r="BA117" s="252">
        <f t="shared" si="86"/>
        <v>0</v>
      </c>
    </row>
    <row r="118" ht="15.75" customHeight="1">
      <c r="A118" s="787">
        <v>1995.0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22"/>
        <v>0</v>
      </c>
      <c r="X118" s="252">
        <f t="shared" ref="X118:BA118" si="87">IF(AND(X$52-$A118&gt;$V$35,SUM($W118:W118)&lt;&gt;$V118),$V118,0)</f>
        <v>0</v>
      </c>
      <c r="Y118" s="252">
        <f t="shared" si="87"/>
        <v>0</v>
      </c>
      <c r="Z118" s="252">
        <f t="shared" si="87"/>
        <v>0</v>
      </c>
      <c r="AA118" s="252">
        <f t="shared" si="87"/>
        <v>0</v>
      </c>
      <c r="AB118" s="252">
        <f t="shared" si="87"/>
        <v>0</v>
      </c>
      <c r="AC118" s="252">
        <f t="shared" si="87"/>
        <v>0</v>
      </c>
      <c r="AD118" s="252">
        <f t="shared" si="87"/>
        <v>0</v>
      </c>
      <c r="AE118" s="252">
        <f t="shared" si="87"/>
        <v>0</v>
      </c>
      <c r="AF118" s="252">
        <f t="shared" si="87"/>
        <v>0</v>
      </c>
      <c r="AG118" s="252">
        <f t="shared" si="87"/>
        <v>0</v>
      </c>
      <c r="AH118" s="252">
        <f t="shared" si="87"/>
        <v>0</v>
      </c>
      <c r="AI118" s="252">
        <f t="shared" si="87"/>
        <v>0</v>
      </c>
      <c r="AJ118" s="252">
        <f t="shared" si="87"/>
        <v>0</v>
      </c>
      <c r="AK118" s="252">
        <f t="shared" si="87"/>
        <v>0</v>
      </c>
      <c r="AL118" s="252">
        <f t="shared" si="87"/>
        <v>0</v>
      </c>
      <c r="AM118" s="252">
        <f t="shared" si="87"/>
        <v>0</v>
      </c>
      <c r="AN118" s="252">
        <f t="shared" si="87"/>
        <v>0</v>
      </c>
      <c r="AO118" s="252">
        <f t="shared" si="87"/>
        <v>0</v>
      </c>
      <c r="AP118" s="252">
        <f t="shared" si="87"/>
        <v>0</v>
      </c>
      <c r="AQ118" s="252">
        <f t="shared" si="87"/>
        <v>0</v>
      </c>
      <c r="AR118" s="252">
        <f t="shared" si="87"/>
        <v>0</v>
      </c>
      <c r="AS118" s="252">
        <f t="shared" si="87"/>
        <v>0</v>
      </c>
      <c r="AT118" s="252">
        <f t="shared" si="87"/>
        <v>0</v>
      </c>
      <c r="AU118" s="252">
        <f t="shared" si="87"/>
        <v>0</v>
      </c>
      <c r="AV118" s="252">
        <f t="shared" si="87"/>
        <v>0</v>
      </c>
      <c r="AW118" s="252">
        <f t="shared" si="87"/>
        <v>0</v>
      </c>
      <c r="AX118" s="252">
        <f t="shared" si="87"/>
        <v>0</v>
      </c>
      <c r="AY118" s="252">
        <f t="shared" si="87"/>
        <v>0</v>
      </c>
      <c r="AZ118" s="252">
        <f t="shared" si="87"/>
        <v>0</v>
      </c>
      <c r="BA118" s="252">
        <f t="shared" si="87"/>
        <v>0</v>
      </c>
    </row>
    <row r="119" ht="15.75" customHeight="1">
      <c r="A119" s="787">
        <v>1996.0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22"/>
        <v>0</v>
      </c>
      <c r="X119" s="252">
        <f t="shared" ref="X119:BA119" si="88">IF(AND(X$52-$A119&gt;$V$35,SUM($W119:W119)&lt;&gt;$V119),$V119,0)</f>
        <v>0</v>
      </c>
      <c r="Y119" s="252">
        <f t="shared" si="88"/>
        <v>0</v>
      </c>
      <c r="Z119" s="252">
        <f t="shared" si="88"/>
        <v>0</v>
      </c>
      <c r="AA119" s="252">
        <f t="shared" si="88"/>
        <v>0</v>
      </c>
      <c r="AB119" s="252">
        <f t="shared" si="88"/>
        <v>0</v>
      </c>
      <c r="AC119" s="252">
        <f t="shared" si="88"/>
        <v>0</v>
      </c>
      <c r="AD119" s="252">
        <f t="shared" si="88"/>
        <v>0</v>
      </c>
      <c r="AE119" s="252">
        <f t="shared" si="88"/>
        <v>0</v>
      </c>
      <c r="AF119" s="252">
        <f t="shared" si="88"/>
        <v>0</v>
      </c>
      <c r="AG119" s="252">
        <f t="shared" si="88"/>
        <v>0</v>
      </c>
      <c r="AH119" s="252">
        <f t="shared" si="88"/>
        <v>0</v>
      </c>
      <c r="AI119" s="252">
        <f t="shared" si="88"/>
        <v>0</v>
      </c>
      <c r="AJ119" s="252">
        <f t="shared" si="88"/>
        <v>0</v>
      </c>
      <c r="AK119" s="252">
        <f t="shared" si="88"/>
        <v>0</v>
      </c>
      <c r="AL119" s="252">
        <f t="shared" si="88"/>
        <v>0</v>
      </c>
      <c r="AM119" s="252">
        <f t="shared" si="88"/>
        <v>0</v>
      </c>
      <c r="AN119" s="252">
        <f t="shared" si="88"/>
        <v>0</v>
      </c>
      <c r="AO119" s="252">
        <f t="shared" si="88"/>
        <v>0</v>
      </c>
      <c r="AP119" s="252">
        <f t="shared" si="88"/>
        <v>0</v>
      </c>
      <c r="AQ119" s="252">
        <f t="shared" si="88"/>
        <v>0</v>
      </c>
      <c r="AR119" s="252">
        <f t="shared" si="88"/>
        <v>0</v>
      </c>
      <c r="AS119" s="252">
        <f t="shared" si="88"/>
        <v>0</v>
      </c>
      <c r="AT119" s="252">
        <f t="shared" si="88"/>
        <v>0</v>
      </c>
      <c r="AU119" s="252">
        <f t="shared" si="88"/>
        <v>0</v>
      </c>
      <c r="AV119" s="252">
        <f t="shared" si="88"/>
        <v>0</v>
      </c>
      <c r="AW119" s="252">
        <f t="shared" si="88"/>
        <v>0</v>
      </c>
      <c r="AX119" s="252">
        <f t="shared" si="88"/>
        <v>0</v>
      </c>
      <c r="AY119" s="252">
        <f t="shared" si="88"/>
        <v>0</v>
      </c>
      <c r="AZ119" s="252">
        <f t="shared" si="88"/>
        <v>0</v>
      </c>
      <c r="BA119" s="252">
        <f t="shared" si="88"/>
        <v>0</v>
      </c>
    </row>
    <row r="120" ht="15.75" customHeight="1">
      <c r="A120" s="787">
        <v>1997.0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22"/>
        <v>0</v>
      </c>
      <c r="X120" s="252">
        <f t="shared" ref="X120:BA120" si="89">IF(AND(X$52-$A120&gt;$V$35,SUM($W120:W120)&lt;&gt;$V120),$V120,0)</f>
        <v>0</v>
      </c>
      <c r="Y120" s="252">
        <f t="shared" si="89"/>
        <v>0</v>
      </c>
      <c r="Z120" s="252">
        <f t="shared" si="89"/>
        <v>0</v>
      </c>
      <c r="AA120" s="252">
        <f t="shared" si="89"/>
        <v>0</v>
      </c>
      <c r="AB120" s="252">
        <f t="shared" si="89"/>
        <v>0</v>
      </c>
      <c r="AC120" s="252">
        <f t="shared" si="89"/>
        <v>0</v>
      </c>
      <c r="AD120" s="252">
        <f t="shared" si="89"/>
        <v>0</v>
      </c>
      <c r="AE120" s="252">
        <f t="shared" si="89"/>
        <v>0</v>
      </c>
      <c r="AF120" s="252">
        <f t="shared" si="89"/>
        <v>0</v>
      </c>
      <c r="AG120" s="252">
        <f t="shared" si="89"/>
        <v>0</v>
      </c>
      <c r="AH120" s="252">
        <f t="shared" si="89"/>
        <v>0</v>
      </c>
      <c r="AI120" s="252">
        <f t="shared" si="89"/>
        <v>0</v>
      </c>
      <c r="AJ120" s="252">
        <f t="shared" si="89"/>
        <v>0</v>
      </c>
      <c r="AK120" s="252">
        <f t="shared" si="89"/>
        <v>0</v>
      </c>
      <c r="AL120" s="252">
        <f t="shared" si="89"/>
        <v>0</v>
      </c>
      <c r="AM120" s="252">
        <f t="shared" si="89"/>
        <v>0</v>
      </c>
      <c r="AN120" s="252">
        <f t="shared" si="89"/>
        <v>0</v>
      </c>
      <c r="AO120" s="252">
        <f t="shared" si="89"/>
        <v>0</v>
      </c>
      <c r="AP120" s="252">
        <f t="shared" si="89"/>
        <v>0</v>
      </c>
      <c r="AQ120" s="252">
        <f t="shared" si="89"/>
        <v>0</v>
      </c>
      <c r="AR120" s="252">
        <f t="shared" si="89"/>
        <v>0</v>
      </c>
      <c r="AS120" s="252">
        <f t="shared" si="89"/>
        <v>0</v>
      </c>
      <c r="AT120" s="252">
        <f t="shared" si="89"/>
        <v>0</v>
      </c>
      <c r="AU120" s="252">
        <f t="shared" si="89"/>
        <v>0</v>
      </c>
      <c r="AV120" s="252">
        <f t="shared" si="89"/>
        <v>0</v>
      </c>
      <c r="AW120" s="252">
        <f t="shared" si="89"/>
        <v>0</v>
      </c>
      <c r="AX120" s="252">
        <f t="shared" si="89"/>
        <v>0</v>
      </c>
      <c r="AY120" s="252">
        <f t="shared" si="89"/>
        <v>0</v>
      </c>
      <c r="AZ120" s="252">
        <f t="shared" si="89"/>
        <v>0</v>
      </c>
      <c r="BA120" s="252">
        <f t="shared" si="89"/>
        <v>0</v>
      </c>
    </row>
    <row r="121" ht="15.75" customHeight="1">
      <c r="A121" s="787">
        <v>1998.0</v>
      </c>
      <c r="B121" s="733"/>
      <c r="C121" s="733"/>
      <c r="D121" s="733"/>
      <c r="E121" s="733"/>
      <c r="F121" s="733"/>
      <c r="G121" s="733"/>
      <c r="H121" s="733"/>
      <c r="I121" s="733"/>
      <c r="J121" s="733"/>
      <c r="K121" s="733"/>
      <c r="L121" s="733"/>
      <c r="M121" s="733"/>
      <c r="N121" s="733"/>
      <c r="O121" s="733"/>
      <c r="P121" s="733"/>
      <c r="Q121" s="733"/>
      <c r="R121" s="733"/>
      <c r="S121" s="733"/>
      <c r="T121" s="733"/>
      <c r="U121" s="733"/>
      <c r="V121" s="769">
        <v>0.0</v>
      </c>
      <c r="W121" s="252">
        <f t="shared" si="22"/>
        <v>0</v>
      </c>
      <c r="X121" s="252">
        <f t="shared" ref="X121:BA121" si="90">IF(AND(X$52-$A121&gt;$V$35,SUM($W121:W121)&lt;&gt;$V121),$V121,0)</f>
        <v>0</v>
      </c>
      <c r="Y121" s="252">
        <f t="shared" si="90"/>
        <v>0</v>
      </c>
      <c r="Z121" s="252">
        <f t="shared" si="90"/>
        <v>0</v>
      </c>
      <c r="AA121" s="252">
        <f t="shared" si="90"/>
        <v>0</v>
      </c>
      <c r="AB121" s="252">
        <f t="shared" si="90"/>
        <v>0</v>
      </c>
      <c r="AC121" s="252">
        <f t="shared" si="90"/>
        <v>0</v>
      </c>
      <c r="AD121" s="252">
        <f t="shared" si="90"/>
        <v>0</v>
      </c>
      <c r="AE121" s="252">
        <f t="shared" si="90"/>
        <v>0</v>
      </c>
      <c r="AF121" s="252">
        <f t="shared" si="90"/>
        <v>0</v>
      </c>
      <c r="AG121" s="252">
        <f t="shared" si="90"/>
        <v>0</v>
      </c>
      <c r="AH121" s="252">
        <f t="shared" si="90"/>
        <v>0</v>
      </c>
      <c r="AI121" s="252">
        <f t="shared" si="90"/>
        <v>0</v>
      </c>
      <c r="AJ121" s="252">
        <f t="shared" si="90"/>
        <v>0</v>
      </c>
      <c r="AK121" s="252">
        <f t="shared" si="90"/>
        <v>0</v>
      </c>
      <c r="AL121" s="252">
        <f t="shared" si="90"/>
        <v>0</v>
      </c>
      <c r="AM121" s="252">
        <f t="shared" si="90"/>
        <v>0</v>
      </c>
      <c r="AN121" s="252">
        <f t="shared" si="90"/>
        <v>0</v>
      </c>
      <c r="AO121" s="252">
        <f t="shared" si="90"/>
        <v>0</v>
      </c>
      <c r="AP121" s="252">
        <f t="shared" si="90"/>
        <v>0</v>
      </c>
      <c r="AQ121" s="252">
        <f t="shared" si="90"/>
        <v>0</v>
      </c>
      <c r="AR121" s="252">
        <f t="shared" si="90"/>
        <v>0</v>
      </c>
      <c r="AS121" s="252">
        <f t="shared" si="90"/>
        <v>0</v>
      </c>
      <c r="AT121" s="252">
        <f t="shared" si="90"/>
        <v>0</v>
      </c>
      <c r="AU121" s="252">
        <f t="shared" si="90"/>
        <v>0</v>
      </c>
      <c r="AV121" s="252">
        <f t="shared" si="90"/>
        <v>0</v>
      </c>
      <c r="AW121" s="252">
        <f t="shared" si="90"/>
        <v>0</v>
      </c>
      <c r="AX121" s="252">
        <f t="shared" si="90"/>
        <v>0</v>
      </c>
      <c r="AY121" s="252">
        <f t="shared" si="90"/>
        <v>0</v>
      </c>
      <c r="AZ121" s="252">
        <f t="shared" si="90"/>
        <v>0</v>
      </c>
      <c r="BA121" s="252">
        <f t="shared" si="90"/>
        <v>0</v>
      </c>
    </row>
    <row r="122" ht="15.75" customHeight="1">
      <c r="A122" s="787">
        <v>1999.0</v>
      </c>
      <c r="B122" s="38"/>
      <c r="C122" s="38"/>
      <c r="D122" s="38"/>
      <c r="E122" s="38"/>
      <c r="F122" s="38"/>
      <c r="G122" s="38"/>
      <c r="H122" s="38"/>
      <c r="I122" s="38"/>
      <c r="J122" s="38"/>
      <c r="K122" s="38"/>
      <c r="L122" s="38"/>
      <c r="M122" s="38"/>
      <c r="N122" s="38"/>
      <c r="O122" s="38"/>
      <c r="P122" s="38"/>
      <c r="Q122" s="38"/>
      <c r="R122" s="38"/>
      <c r="S122" s="38"/>
      <c r="T122" s="38"/>
      <c r="U122" s="38"/>
      <c r="V122" s="769">
        <v>0.0</v>
      </c>
      <c r="W122" s="252">
        <f t="shared" si="22"/>
        <v>0</v>
      </c>
      <c r="X122" s="252">
        <f t="shared" ref="X122:BA122" si="91">IF(AND(X$52-$A122&gt;$V$35,SUM($W122:W122)&lt;&gt;$V122),$V122,0)</f>
        <v>0</v>
      </c>
      <c r="Y122" s="252">
        <f t="shared" si="91"/>
        <v>0</v>
      </c>
      <c r="Z122" s="252">
        <f t="shared" si="91"/>
        <v>0</v>
      </c>
      <c r="AA122" s="252">
        <f t="shared" si="91"/>
        <v>0</v>
      </c>
      <c r="AB122" s="252">
        <f t="shared" si="91"/>
        <v>0</v>
      </c>
      <c r="AC122" s="252">
        <f t="shared" si="91"/>
        <v>0</v>
      </c>
      <c r="AD122" s="252">
        <f t="shared" si="91"/>
        <v>0</v>
      </c>
      <c r="AE122" s="252">
        <f t="shared" si="91"/>
        <v>0</v>
      </c>
      <c r="AF122" s="252">
        <f t="shared" si="91"/>
        <v>0</v>
      </c>
      <c r="AG122" s="252">
        <f t="shared" si="91"/>
        <v>0</v>
      </c>
      <c r="AH122" s="252">
        <f t="shared" si="91"/>
        <v>0</v>
      </c>
      <c r="AI122" s="252">
        <f t="shared" si="91"/>
        <v>0</v>
      </c>
      <c r="AJ122" s="252">
        <f t="shared" si="91"/>
        <v>0</v>
      </c>
      <c r="AK122" s="252">
        <f t="shared" si="91"/>
        <v>0</v>
      </c>
      <c r="AL122" s="252">
        <f t="shared" si="91"/>
        <v>0</v>
      </c>
      <c r="AM122" s="252">
        <f t="shared" si="91"/>
        <v>0</v>
      </c>
      <c r="AN122" s="252">
        <f t="shared" si="91"/>
        <v>0</v>
      </c>
      <c r="AO122" s="252">
        <f t="shared" si="91"/>
        <v>0</v>
      </c>
      <c r="AP122" s="252">
        <f t="shared" si="91"/>
        <v>0</v>
      </c>
      <c r="AQ122" s="252">
        <f t="shared" si="91"/>
        <v>0</v>
      </c>
      <c r="AR122" s="252">
        <f t="shared" si="91"/>
        <v>0</v>
      </c>
      <c r="AS122" s="252">
        <f t="shared" si="91"/>
        <v>0</v>
      </c>
      <c r="AT122" s="252">
        <f t="shared" si="91"/>
        <v>0</v>
      </c>
      <c r="AU122" s="252">
        <f t="shared" si="91"/>
        <v>0</v>
      </c>
      <c r="AV122" s="252">
        <f t="shared" si="91"/>
        <v>0</v>
      </c>
      <c r="AW122" s="252">
        <f t="shared" si="91"/>
        <v>0</v>
      </c>
      <c r="AX122" s="252">
        <f t="shared" si="91"/>
        <v>0</v>
      </c>
      <c r="AY122" s="252">
        <f t="shared" si="91"/>
        <v>0</v>
      </c>
      <c r="AZ122" s="252">
        <f t="shared" si="91"/>
        <v>0</v>
      </c>
      <c r="BA122" s="252">
        <f t="shared" si="91"/>
        <v>0</v>
      </c>
    </row>
    <row r="123" ht="15.75" customHeight="1">
      <c r="A123" s="787">
        <v>2000.0</v>
      </c>
      <c r="B123" s="38"/>
      <c r="C123" s="38"/>
      <c r="D123" s="38"/>
      <c r="E123" s="38"/>
      <c r="F123" s="38"/>
      <c r="G123" s="38"/>
      <c r="H123" s="38"/>
      <c r="I123" s="38"/>
      <c r="J123" s="38"/>
      <c r="K123" s="38"/>
      <c r="L123" s="38"/>
      <c r="M123" s="38"/>
      <c r="N123" s="38"/>
      <c r="O123" s="38"/>
      <c r="P123" s="38"/>
      <c r="Q123" s="38"/>
      <c r="R123" s="38"/>
      <c r="S123" s="38"/>
      <c r="T123" s="38"/>
      <c r="U123" s="38"/>
      <c r="V123" s="769">
        <v>0.0</v>
      </c>
      <c r="W123" s="252">
        <f t="shared" si="22"/>
        <v>0</v>
      </c>
      <c r="X123" s="252">
        <f t="shared" ref="X123:BA123" si="92">IF(AND(X$52-$A123&gt;$V$35,SUM($W123:W123)&lt;&gt;$V123),$V123,0)</f>
        <v>0</v>
      </c>
      <c r="Y123" s="252">
        <f t="shared" si="92"/>
        <v>0</v>
      </c>
      <c r="Z123" s="252">
        <f t="shared" si="92"/>
        <v>0</v>
      </c>
      <c r="AA123" s="252">
        <f t="shared" si="92"/>
        <v>0</v>
      </c>
      <c r="AB123" s="252">
        <f t="shared" si="92"/>
        <v>0</v>
      </c>
      <c r="AC123" s="252">
        <f t="shared" si="92"/>
        <v>0</v>
      </c>
      <c r="AD123" s="252">
        <f t="shared" si="92"/>
        <v>0</v>
      </c>
      <c r="AE123" s="252">
        <f t="shared" si="92"/>
        <v>0</v>
      </c>
      <c r="AF123" s="252">
        <f t="shared" si="92"/>
        <v>0</v>
      </c>
      <c r="AG123" s="252">
        <f t="shared" si="92"/>
        <v>0</v>
      </c>
      <c r="AH123" s="252">
        <f t="shared" si="92"/>
        <v>0</v>
      </c>
      <c r="AI123" s="252">
        <f t="shared" si="92"/>
        <v>0</v>
      </c>
      <c r="AJ123" s="252">
        <f t="shared" si="92"/>
        <v>0</v>
      </c>
      <c r="AK123" s="252">
        <f t="shared" si="92"/>
        <v>0</v>
      </c>
      <c r="AL123" s="252">
        <f t="shared" si="92"/>
        <v>0</v>
      </c>
      <c r="AM123" s="252">
        <f t="shared" si="92"/>
        <v>0</v>
      </c>
      <c r="AN123" s="252">
        <f t="shared" si="92"/>
        <v>0</v>
      </c>
      <c r="AO123" s="252">
        <f t="shared" si="92"/>
        <v>0</v>
      </c>
      <c r="AP123" s="252">
        <f t="shared" si="92"/>
        <v>0</v>
      </c>
      <c r="AQ123" s="252">
        <f t="shared" si="92"/>
        <v>0</v>
      </c>
      <c r="AR123" s="252">
        <f t="shared" si="92"/>
        <v>0</v>
      </c>
      <c r="AS123" s="252">
        <f t="shared" si="92"/>
        <v>0</v>
      </c>
      <c r="AT123" s="252">
        <f t="shared" si="92"/>
        <v>0</v>
      </c>
      <c r="AU123" s="252">
        <f t="shared" si="92"/>
        <v>0</v>
      </c>
      <c r="AV123" s="252">
        <f t="shared" si="92"/>
        <v>0</v>
      </c>
      <c r="AW123" s="252">
        <f t="shared" si="92"/>
        <v>0</v>
      </c>
      <c r="AX123" s="252">
        <f t="shared" si="92"/>
        <v>0</v>
      </c>
      <c r="AY123" s="252">
        <f t="shared" si="92"/>
        <v>0</v>
      </c>
      <c r="AZ123" s="252">
        <f t="shared" si="92"/>
        <v>0</v>
      </c>
      <c r="BA123" s="252">
        <f t="shared" si="92"/>
        <v>0</v>
      </c>
    </row>
    <row r="124" ht="15.75" customHeight="1">
      <c r="A124" s="787">
        <v>2001.0</v>
      </c>
      <c r="B124" s="38"/>
      <c r="C124" s="38"/>
      <c r="D124" s="38"/>
      <c r="E124" s="38"/>
      <c r="F124" s="38"/>
      <c r="G124" s="38"/>
      <c r="H124" s="38"/>
      <c r="I124" s="38"/>
      <c r="J124" s="38"/>
      <c r="K124" s="38"/>
      <c r="L124" s="38"/>
      <c r="M124" s="38"/>
      <c r="N124" s="38"/>
      <c r="O124" s="38"/>
      <c r="P124" s="38"/>
      <c r="Q124" s="38"/>
      <c r="R124" s="38"/>
      <c r="S124" s="38"/>
      <c r="T124" s="38"/>
      <c r="U124" s="38"/>
      <c r="V124" s="769">
        <v>0.0</v>
      </c>
      <c r="W124" s="252">
        <f t="shared" si="22"/>
        <v>0</v>
      </c>
      <c r="X124" s="252">
        <f t="shared" ref="X124:BA124" si="93">IF(AND(X$52-$A124&gt;$V$35,SUM($W124:W124)&lt;&gt;$V124),$V124,0)</f>
        <v>0</v>
      </c>
      <c r="Y124" s="252">
        <f t="shared" si="93"/>
        <v>0</v>
      </c>
      <c r="Z124" s="252">
        <f t="shared" si="93"/>
        <v>0</v>
      </c>
      <c r="AA124" s="252">
        <f t="shared" si="93"/>
        <v>0</v>
      </c>
      <c r="AB124" s="252">
        <f t="shared" si="93"/>
        <v>0</v>
      </c>
      <c r="AC124" s="252">
        <f t="shared" si="93"/>
        <v>0</v>
      </c>
      <c r="AD124" s="252">
        <f t="shared" si="93"/>
        <v>0</v>
      </c>
      <c r="AE124" s="252">
        <f t="shared" si="93"/>
        <v>0</v>
      </c>
      <c r="AF124" s="252">
        <f t="shared" si="93"/>
        <v>0</v>
      </c>
      <c r="AG124" s="252">
        <f t="shared" si="93"/>
        <v>0</v>
      </c>
      <c r="AH124" s="252">
        <f t="shared" si="93"/>
        <v>0</v>
      </c>
      <c r="AI124" s="252">
        <f t="shared" si="93"/>
        <v>0</v>
      </c>
      <c r="AJ124" s="252">
        <f t="shared" si="93"/>
        <v>0</v>
      </c>
      <c r="AK124" s="252">
        <f t="shared" si="93"/>
        <v>0</v>
      </c>
      <c r="AL124" s="252">
        <f t="shared" si="93"/>
        <v>0</v>
      </c>
      <c r="AM124" s="252">
        <f t="shared" si="93"/>
        <v>0</v>
      </c>
      <c r="AN124" s="252">
        <f t="shared" si="93"/>
        <v>0</v>
      </c>
      <c r="AO124" s="252">
        <f t="shared" si="93"/>
        <v>0</v>
      </c>
      <c r="AP124" s="252">
        <f t="shared" si="93"/>
        <v>0</v>
      </c>
      <c r="AQ124" s="252">
        <f t="shared" si="93"/>
        <v>0</v>
      </c>
      <c r="AR124" s="252">
        <f t="shared" si="93"/>
        <v>0</v>
      </c>
      <c r="AS124" s="252">
        <f t="shared" si="93"/>
        <v>0</v>
      </c>
      <c r="AT124" s="252">
        <f t="shared" si="93"/>
        <v>0</v>
      </c>
      <c r="AU124" s="252">
        <f t="shared" si="93"/>
        <v>0</v>
      </c>
      <c r="AV124" s="252">
        <f t="shared" si="93"/>
        <v>0</v>
      </c>
      <c r="AW124" s="252">
        <f t="shared" si="93"/>
        <v>0</v>
      </c>
      <c r="AX124" s="252">
        <f t="shared" si="93"/>
        <v>0</v>
      </c>
      <c r="AY124" s="252">
        <f t="shared" si="93"/>
        <v>0</v>
      </c>
      <c r="AZ124" s="252">
        <f t="shared" si="93"/>
        <v>0</v>
      </c>
      <c r="BA124" s="252">
        <f t="shared" si="93"/>
        <v>0</v>
      </c>
    </row>
    <row r="125" ht="15.75" customHeight="1">
      <c r="A125" s="787">
        <v>2002.0</v>
      </c>
      <c r="B125" s="38"/>
      <c r="C125" s="38"/>
      <c r="D125" s="38"/>
      <c r="E125" s="38"/>
      <c r="F125" s="38"/>
      <c r="G125" s="38"/>
      <c r="H125" s="38"/>
      <c r="I125" s="38"/>
      <c r="J125" s="38"/>
      <c r="K125" s="38"/>
      <c r="L125" s="38"/>
      <c r="M125" s="38"/>
      <c r="N125" s="38"/>
      <c r="O125" s="38"/>
      <c r="P125" s="38"/>
      <c r="Q125" s="38"/>
      <c r="R125" s="38"/>
      <c r="S125" s="38"/>
      <c r="T125" s="38"/>
      <c r="U125" s="38"/>
      <c r="V125" s="769">
        <v>0.0</v>
      </c>
      <c r="W125" s="252">
        <f t="shared" si="22"/>
        <v>0</v>
      </c>
      <c r="X125" s="252">
        <f t="shared" ref="X125:BA125" si="94">IF(AND(X$52-$A125&gt;$V$35,SUM($W125:W125)&lt;&gt;$V125),$V125,0)</f>
        <v>0</v>
      </c>
      <c r="Y125" s="252">
        <f t="shared" si="94"/>
        <v>0</v>
      </c>
      <c r="Z125" s="252">
        <f t="shared" si="94"/>
        <v>0</v>
      </c>
      <c r="AA125" s="252">
        <f t="shared" si="94"/>
        <v>0</v>
      </c>
      <c r="AB125" s="252">
        <f t="shared" si="94"/>
        <v>0</v>
      </c>
      <c r="AC125" s="252">
        <f t="shared" si="94"/>
        <v>0</v>
      </c>
      <c r="AD125" s="252">
        <f t="shared" si="94"/>
        <v>0</v>
      </c>
      <c r="AE125" s="252">
        <f t="shared" si="94"/>
        <v>0</v>
      </c>
      <c r="AF125" s="252">
        <f t="shared" si="94"/>
        <v>0</v>
      </c>
      <c r="AG125" s="252">
        <f t="shared" si="94"/>
        <v>0</v>
      </c>
      <c r="AH125" s="252">
        <f t="shared" si="94"/>
        <v>0</v>
      </c>
      <c r="AI125" s="252">
        <f t="shared" si="94"/>
        <v>0</v>
      </c>
      <c r="AJ125" s="252">
        <f t="shared" si="94"/>
        <v>0</v>
      </c>
      <c r="AK125" s="252">
        <f t="shared" si="94"/>
        <v>0</v>
      </c>
      <c r="AL125" s="252">
        <f t="shared" si="94"/>
        <v>0</v>
      </c>
      <c r="AM125" s="252">
        <f t="shared" si="94"/>
        <v>0</v>
      </c>
      <c r="AN125" s="252">
        <f t="shared" si="94"/>
        <v>0</v>
      </c>
      <c r="AO125" s="252">
        <f t="shared" si="94"/>
        <v>0</v>
      </c>
      <c r="AP125" s="252">
        <f t="shared" si="94"/>
        <v>0</v>
      </c>
      <c r="AQ125" s="252">
        <f t="shared" si="94"/>
        <v>0</v>
      </c>
      <c r="AR125" s="252">
        <f t="shared" si="94"/>
        <v>0</v>
      </c>
      <c r="AS125" s="252">
        <f t="shared" si="94"/>
        <v>0</v>
      </c>
      <c r="AT125" s="252">
        <f t="shared" si="94"/>
        <v>0</v>
      </c>
      <c r="AU125" s="252">
        <f t="shared" si="94"/>
        <v>0</v>
      </c>
      <c r="AV125" s="252">
        <f t="shared" si="94"/>
        <v>0</v>
      </c>
      <c r="AW125" s="252">
        <f t="shared" si="94"/>
        <v>0</v>
      </c>
      <c r="AX125" s="252">
        <f t="shared" si="94"/>
        <v>0</v>
      </c>
      <c r="AY125" s="252">
        <f t="shared" si="94"/>
        <v>0</v>
      </c>
      <c r="AZ125" s="252">
        <f t="shared" si="94"/>
        <v>0</v>
      </c>
      <c r="BA125" s="252">
        <f t="shared" si="94"/>
        <v>0</v>
      </c>
    </row>
    <row r="126" ht="15.75" customHeight="1">
      <c r="A126" s="787">
        <v>2003.0</v>
      </c>
      <c r="B126" s="38"/>
      <c r="C126" s="38"/>
      <c r="D126" s="38"/>
      <c r="E126" s="38"/>
      <c r="F126" s="38"/>
      <c r="G126" s="38"/>
      <c r="H126" s="38"/>
      <c r="I126" s="38"/>
      <c r="J126" s="38"/>
      <c r="K126" s="38"/>
      <c r="L126" s="38"/>
      <c r="M126" s="38"/>
      <c r="N126" s="38"/>
      <c r="O126" s="38"/>
      <c r="P126" s="38"/>
      <c r="Q126" s="38"/>
      <c r="R126" s="38"/>
      <c r="S126" s="38"/>
      <c r="T126" s="38"/>
      <c r="U126" s="38"/>
      <c r="V126" s="769">
        <v>0.0</v>
      </c>
      <c r="W126" s="252">
        <f t="shared" si="22"/>
        <v>0</v>
      </c>
      <c r="X126" s="252">
        <f t="shared" ref="X126:BA126" si="95">IF(AND(X$52-$A126&gt;$V$35,SUM($W126:W126)&lt;&gt;$V126),$V126,0)</f>
        <v>0</v>
      </c>
      <c r="Y126" s="252">
        <f t="shared" si="95"/>
        <v>0</v>
      </c>
      <c r="Z126" s="252">
        <f t="shared" si="95"/>
        <v>0</v>
      </c>
      <c r="AA126" s="252">
        <f t="shared" si="95"/>
        <v>0</v>
      </c>
      <c r="AB126" s="252">
        <f t="shared" si="95"/>
        <v>0</v>
      </c>
      <c r="AC126" s="252">
        <f t="shared" si="95"/>
        <v>0</v>
      </c>
      <c r="AD126" s="252">
        <f t="shared" si="95"/>
        <v>0</v>
      </c>
      <c r="AE126" s="252">
        <f t="shared" si="95"/>
        <v>0</v>
      </c>
      <c r="AF126" s="252">
        <f t="shared" si="95"/>
        <v>0</v>
      </c>
      <c r="AG126" s="252">
        <f t="shared" si="95"/>
        <v>0</v>
      </c>
      <c r="AH126" s="252">
        <f t="shared" si="95"/>
        <v>0</v>
      </c>
      <c r="AI126" s="252">
        <f t="shared" si="95"/>
        <v>0</v>
      </c>
      <c r="AJ126" s="252">
        <f t="shared" si="95"/>
        <v>0</v>
      </c>
      <c r="AK126" s="252">
        <f t="shared" si="95"/>
        <v>0</v>
      </c>
      <c r="AL126" s="252">
        <f t="shared" si="95"/>
        <v>0</v>
      </c>
      <c r="AM126" s="252">
        <f t="shared" si="95"/>
        <v>0</v>
      </c>
      <c r="AN126" s="252">
        <f t="shared" si="95"/>
        <v>0</v>
      </c>
      <c r="AO126" s="252">
        <f t="shared" si="95"/>
        <v>0</v>
      </c>
      <c r="AP126" s="252">
        <f t="shared" si="95"/>
        <v>0</v>
      </c>
      <c r="AQ126" s="252">
        <f t="shared" si="95"/>
        <v>0</v>
      </c>
      <c r="AR126" s="252">
        <f t="shared" si="95"/>
        <v>0</v>
      </c>
      <c r="AS126" s="252">
        <f t="shared" si="95"/>
        <v>0</v>
      </c>
      <c r="AT126" s="252">
        <f t="shared" si="95"/>
        <v>0</v>
      </c>
      <c r="AU126" s="252">
        <f t="shared" si="95"/>
        <v>0</v>
      </c>
      <c r="AV126" s="252">
        <f t="shared" si="95"/>
        <v>0</v>
      </c>
      <c r="AW126" s="252">
        <f t="shared" si="95"/>
        <v>0</v>
      </c>
      <c r="AX126" s="252">
        <f t="shared" si="95"/>
        <v>0</v>
      </c>
      <c r="AY126" s="252">
        <f t="shared" si="95"/>
        <v>0</v>
      </c>
      <c r="AZ126" s="252">
        <f t="shared" si="95"/>
        <v>0</v>
      </c>
      <c r="BA126" s="252">
        <f t="shared" si="95"/>
        <v>0</v>
      </c>
    </row>
    <row r="127" ht="15.75" customHeight="1">
      <c r="A127" s="787">
        <v>2004.0</v>
      </c>
      <c r="B127" s="38"/>
      <c r="C127" s="38"/>
      <c r="D127" s="38"/>
      <c r="E127" s="38"/>
      <c r="F127" s="38"/>
      <c r="G127" s="38"/>
      <c r="H127" s="38"/>
      <c r="I127" s="38"/>
      <c r="J127" s="38"/>
      <c r="K127" s="38"/>
      <c r="L127" s="38"/>
      <c r="M127" s="38"/>
      <c r="N127" s="38"/>
      <c r="O127" s="38"/>
      <c r="P127" s="38"/>
      <c r="Q127" s="38"/>
      <c r="R127" s="38"/>
      <c r="S127" s="38"/>
      <c r="T127" s="38"/>
      <c r="U127" s="38"/>
      <c r="V127" s="769">
        <v>0.0</v>
      </c>
      <c r="W127" s="252">
        <f t="shared" si="22"/>
        <v>0</v>
      </c>
      <c r="X127" s="252">
        <f t="shared" ref="X127:BA127" si="96">IF(AND(X$52-$A127&gt;$V$35,SUM($W127:W127)&lt;&gt;$V127),$V127,0)</f>
        <v>0</v>
      </c>
      <c r="Y127" s="252">
        <f t="shared" si="96"/>
        <v>0</v>
      </c>
      <c r="Z127" s="252">
        <f t="shared" si="96"/>
        <v>0</v>
      </c>
      <c r="AA127" s="252">
        <f t="shared" si="96"/>
        <v>0</v>
      </c>
      <c r="AB127" s="252">
        <f t="shared" si="96"/>
        <v>0</v>
      </c>
      <c r="AC127" s="252">
        <f t="shared" si="96"/>
        <v>0</v>
      </c>
      <c r="AD127" s="252">
        <f t="shared" si="96"/>
        <v>0</v>
      </c>
      <c r="AE127" s="252">
        <f t="shared" si="96"/>
        <v>0</v>
      </c>
      <c r="AF127" s="252">
        <f t="shared" si="96"/>
        <v>0</v>
      </c>
      <c r="AG127" s="252">
        <f t="shared" si="96"/>
        <v>0</v>
      </c>
      <c r="AH127" s="252">
        <f t="shared" si="96"/>
        <v>0</v>
      </c>
      <c r="AI127" s="252">
        <f t="shared" si="96"/>
        <v>0</v>
      </c>
      <c r="AJ127" s="252">
        <f t="shared" si="96"/>
        <v>0</v>
      </c>
      <c r="AK127" s="252">
        <f t="shared" si="96"/>
        <v>0</v>
      </c>
      <c r="AL127" s="252">
        <f t="shared" si="96"/>
        <v>0</v>
      </c>
      <c r="AM127" s="252">
        <f t="shared" si="96"/>
        <v>0</v>
      </c>
      <c r="AN127" s="252">
        <f t="shared" si="96"/>
        <v>0</v>
      </c>
      <c r="AO127" s="252">
        <f t="shared" si="96"/>
        <v>0</v>
      </c>
      <c r="AP127" s="252">
        <f t="shared" si="96"/>
        <v>0</v>
      </c>
      <c r="AQ127" s="252">
        <f t="shared" si="96"/>
        <v>0</v>
      </c>
      <c r="AR127" s="252">
        <f t="shared" si="96"/>
        <v>0</v>
      </c>
      <c r="AS127" s="252">
        <f t="shared" si="96"/>
        <v>0</v>
      </c>
      <c r="AT127" s="252">
        <f t="shared" si="96"/>
        <v>0</v>
      </c>
      <c r="AU127" s="252">
        <f t="shared" si="96"/>
        <v>0</v>
      </c>
      <c r="AV127" s="252">
        <f t="shared" si="96"/>
        <v>0</v>
      </c>
      <c r="AW127" s="252">
        <f t="shared" si="96"/>
        <v>0</v>
      </c>
      <c r="AX127" s="252">
        <f t="shared" si="96"/>
        <v>0</v>
      </c>
      <c r="AY127" s="252">
        <f t="shared" si="96"/>
        <v>0</v>
      </c>
      <c r="AZ127" s="252">
        <f t="shared" si="96"/>
        <v>0</v>
      </c>
      <c r="BA127" s="252">
        <f t="shared" si="96"/>
        <v>0</v>
      </c>
    </row>
    <row r="128" ht="15.75" customHeight="1">
      <c r="A128" s="787">
        <v>2005.0</v>
      </c>
      <c r="B128" s="38"/>
      <c r="C128" s="38"/>
      <c r="D128" s="38"/>
      <c r="E128" s="38"/>
      <c r="F128" s="38"/>
      <c r="G128" s="38"/>
      <c r="H128" s="38"/>
      <c r="I128" s="38"/>
      <c r="J128" s="38"/>
      <c r="K128" s="38"/>
      <c r="L128" s="38"/>
      <c r="M128" s="38"/>
      <c r="N128" s="38"/>
      <c r="O128" s="38"/>
      <c r="P128" s="38"/>
      <c r="Q128" s="38"/>
      <c r="R128" s="38"/>
      <c r="S128" s="38"/>
      <c r="T128" s="38"/>
      <c r="U128" s="38"/>
      <c r="V128" s="769">
        <v>0.0</v>
      </c>
      <c r="W128" s="252">
        <f t="shared" si="22"/>
        <v>0</v>
      </c>
      <c r="X128" s="252">
        <f t="shared" ref="X128:BA128" si="97">IF(AND(X$52-$A128&gt;$V$35,SUM($W128:W128)&lt;&gt;$V128),$V128,0)</f>
        <v>0</v>
      </c>
      <c r="Y128" s="252">
        <f t="shared" si="97"/>
        <v>0</v>
      </c>
      <c r="Z128" s="252">
        <f t="shared" si="97"/>
        <v>0</v>
      </c>
      <c r="AA128" s="252">
        <f t="shared" si="97"/>
        <v>0</v>
      </c>
      <c r="AB128" s="252">
        <f t="shared" si="97"/>
        <v>0</v>
      </c>
      <c r="AC128" s="252">
        <f t="shared" si="97"/>
        <v>0</v>
      </c>
      <c r="AD128" s="252">
        <f t="shared" si="97"/>
        <v>0</v>
      </c>
      <c r="AE128" s="252">
        <f t="shared" si="97"/>
        <v>0</v>
      </c>
      <c r="AF128" s="252">
        <f t="shared" si="97"/>
        <v>0</v>
      </c>
      <c r="AG128" s="252">
        <f t="shared" si="97"/>
        <v>0</v>
      </c>
      <c r="AH128" s="252">
        <f t="shared" si="97"/>
        <v>0</v>
      </c>
      <c r="AI128" s="252">
        <f t="shared" si="97"/>
        <v>0</v>
      </c>
      <c r="AJ128" s="252">
        <f t="shared" si="97"/>
        <v>0</v>
      </c>
      <c r="AK128" s="252">
        <f t="shared" si="97"/>
        <v>0</v>
      </c>
      <c r="AL128" s="252">
        <f t="shared" si="97"/>
        <v>0</v>
      </c>
      <c r="AM128" s="252">
        <f t="shared" si="97"/>
        <v>0</v>
      </c>
      <c r="AN128" s="252">
        <f t="shared" si="97"/>
        <v>0</v>
      </c>
      <c r="AO128" s="252">
        <f t="shared" si="97"/>
        <v>0</v>
      </c>
      <c r="AP128" s="252">
        <f t="shared" si="97"/>
        <v>0</v>
      </c>
      <c r="AQ128" s="252">
        <f t="shared" si="97"/>
        <v>0</v>
      </c>
      <c r="AR128" s="252">
        <f t="shared" si="97"/>
        <v>0</v>
      </c>
      <c r="AS128" s="252">
        <f t="shared" si="97"/>
        <v>0</v>
      </c>
      <c r="AT128" s="252">
        <f t="shared" si="97"/>
        <v>0</v>
      </c>
      <c r="AU128" s="252">
        <f t="shared" si="97"/>
        <v>0</v>
      </c>
      <c r="AV128" s="252">
        <f t="shared" si="97"/>
        <v>0</v>
      </c>
      <c r="AW128" s="252">
        <f t="shared" si="97"/>
        <v>0</v>
      </c>
      <c r="AX128" s="252">
        <f t="shared" si="97"/>
        <v>0</v>
      </c>
      <c r="AY128" s="252">
        <f t="shared" si="97"/>
        <v>0</v>
      </c>
      <c r="AZ128" s="252">
        <f t="shared" si="97"/>
        <v>0</v>
      </c>
      <c r="BA128" s="252">
        <f t="shared" si="97"/>
        <v>0</v>
      </c>
    </row>
    <row r="129" ht="15.75" customHeight="1">
      <c r="A129" s="787">
        <v>2006.0</v>
      </c>
      <c r="B129" s="38"/>
      <c r="C129" s="38"/>
      <c r="D129" s="38"/>
      <c r="E129" s="38"/>
      <c r="F129" s="38"/>
      <c r="G129" s="38"/>
      <c r="H129" s="38"/>
      <c r="I129" s="38"/>
      <c r="J129" s="38"/>
      <c r="K129" s="38"/>
      <c r="L129" s="38"/>
      <c r="M129" s="38"/>
      <c r="N129" s="38"/>
      <c r="O129" s="38"/>
      <c r="P129" s="38"/>
      <c r="Q129" s="38"/>
      <c r="R129" s="38"/>
      <c r="S129" s="38"/>
      <c r="T129" s="38"/>
      <c r="U129" s="38"/>
      <c r="V129" s="769">
        <v>0.0</v>
      </c>
      <c r="W129" s="252">
        <f t="shared" si="22"/>
        <v>0</v>
      </c>
      <c r="X129" s="252">
        <f t="shared" ref="X129:BA129" si="98">IF(AND(X$52-$A129&gt;$V$35,SUM($W129:W129)&lt;&gt;$V129),$V129,0)</f>
        <v>0</v>
      </c>
      <c r="Y129" s="252">
        <f t="shared" si="98"/>
        <v>0</v>
      </c>
      <c r="Z129" s="252">
        <f t="shared" si="98"/>
        <v>0</v>
      </c>
      <c r="AA129" s="252">
        <f t="shared" si="98"/>
        <v>0</v>
      </c>
      <c r="AB129" s="252">
        <f t="shared" si="98"/>
        <v>0</v>
      </c>
      <c r="AC129" s="252">
        <f t="shared" si="98"/>
        <v>0</v>
      </c>
      <c r="AD129" s="252">
        <f t="shared" si="98"/>
        <v>0</v>
      </c>
      <c r="AE129" s="252">
        <f t="shared" si="98"/>
        <v>0</v>
      </c>
      <c r="AF129" s="252">
        <f t="shared" si="98"/>
        <v>0</v>
      </c>
      <c r="AG129" s="252">
        <f t="shared" si="98"/>
        <v>0</v>
      </c>
      <c r="AH129" s="252">
        <f t="shared" si="98"/>
        <v>0</v>
      </c>
      <c r="AI129" s="252">
        <f t="shared" si="98"/>
        <v>0</v>
      </c>
      <c r="AJ129" s="252">
        <f t="shared" si="98"/>
        <v>0</v>
      </c>
      <c r="AK129" s="252">
        <f t="shared" si="98"/>
        <v>0</v>
      </c>
      <c r="AL129" s="252">
        <f t="shared" si="98"/>
        <v>0</v>
      </c>
      <c r="AM129" s="252">
        <f t="shared" si="98"/>
        <v>0</v>
      </c>
      <c r="AN129" s="252">
        <f t="shared" si="98"/>
        <v>0</v>
      </c>
      <c r="AO129" s="252">
        <f t="shared" si="98"/>
        <v>0</v>
      </c>
      <c r="AP129" s="252">
        <f t="shared" si="98"/>
        <v>0</v>
      </c>
      <c r="AQ129" s="252">
        <f t="shared" si="98"/>
        <v>0</v>
      </c>
      <c r="AR129" s="252">
        <f t="shared" si="98"/>
        <v>0</v>
      </c>
      <c r="AS129" s="252">
        <f t="shared" si="98"/>
        <v>0</v>
      </c>
      <c r="AT129" s="252">
        <f t="shared" si="98"/>
        <v>0</v>
      </c>
      <c r="AU129" s="252">
        <f t="shared" si="98"/>
        <v>0</v>
      </c>
      <c r="AV129" s="252">
        <f t="shared" si="98"/>
        <v>0</v>
      </c>
      <c r="AW129" s="252">
        <f t="shared" si="98"/>
        <v>0</v>
      </c>
      <c r="AX129" s="252">
        <f t="shared" si="98"/>
        <v>0</v>
      </c>
      <c r="AY129" s="252">
        <f t="shared" si="98"/>
        <v>0</v>
      </c>
      <c r="AZ129" s="252">
        <f t="shared" si="98"/>
        <v>0</v>
      </c>
      <c r="BA129" s="252">
        <f t="shared" si="98"/>
        <v>0</v>
      </c>
    </row>
    <row r="130" ht="13.5" customHeight="1">
      <c r="A130" s="787">
        <v>2007.0</v>
      </c>
      <c r="B130" s="38"/>
      <c r="C130" s="38"/>
      <c r="D130" s="38"/>
      <c r="E130" s="38"/>
      <c r="F130" s="38"/>
      <c r="G130" s="38"/>
      <c r="H130" s="38"/>
      <c r="I130" s="38"/>
      <c r="J130" s="38"/>
      <c r="K130" s="38"/>
      <c r="L130" s="38"/>
      <c r="M130" s="38"/>
      <c r="N130" s="38"/>
      <c r="O130" s="38"/>
      <c r="P130" s="38"/>
      <c r="Q130" s="38"/>
      <c r="R130" s="38"/>
      <c r="S130" s="38"/>
      <c r="T130" s="38"/>
      <c r="U130" s="38"/>
      <c r="V130" s="769">
        <v>0.0</v>
      </c>
      <c r="W130" s="252">
        <f t="shared" si="22"/>
        <v>0</v>
      </c>
      <c r="X130" s="252">
        <f t="shared" ref="X130:BA130" si="99">IF(AND(X$52-$A130&gt;$V$35,SUM($W130:W130)&lt;&gt;$V130),$V130,0)</f>
        <v>0</v>
      </c>
      <c r="Y130" s="252">
        <f t="shared" si="99"/>
        <v>0</v>
      </c>
      <c r="Z130" s="252">
        <f t="shared" si="99"/>
        <v>0</v>
      </c>
      <c r="AA130" s="252">
        <f t="shared" si="99"/>
        <v>0</v>
      </c>
      <c r="AB130" s="252">
        <f t="shared" si="99"/>
        <v>0</v>
      </c>
      <c r="AC130" s="252">
        <f t="shared" si="99"/>
        <v>0</v>
      </c>
      <c r="AD130" s="252">
        <f t="shared" si="99"/>
        <v>0</v>
      </c>
      <c r="AE130" s="252">
        <f t="shared" si="99"/>
        <v>0</v>
      </c>
      <c r="AF130" s="252">
        <f t="shared" si="99"/>
        <v>0</v>
      </c>
      <c r="AG130" s="252">
        <f t="shared" si="99"/>
        <v>0</v>
      </c>
      <c r="AH130" s="252">
        <f t="shared" si="99"/>
        <v>0</v>
      </c>
      <c r="AI130" s="252">
        <f t="shared" si="99"/>
        <v>0</v>
      </c>
      <c r="AJ130" s="252">
        <f t="shared" si="99"/>
        <v>0</v>
      </c>
      <c r="AK130" s="252">
        <f t="shared" si="99"/>
        <v>0</v>
      </c>
      <c r="AL130" s="252">
        <f t="shared" si="99"/>
        <v>0</v>
      </c>
      <c r="AM130" s="252">
        <f t="shared" si="99"/>
        <v>0</v>
      </c>
      <c r="AN130" s="252">
        <f t="shared" si="99"/>
        <v>0</v>
      </c>
      <c r="AO130" s="252">
        <f t="shared" si="99"/>
        <v>0</v>
      </c>
      <c r="AP130" s="252">
        <f t="shared" si="99"/>
        <v>0</v>
      </c>
      <c r="AQ130" s="252">
        <f t="shared" si="99"/>
        <v>0</v>
      </c>
      <c r="AR130" s="252">
        <f t="shared" si="99"/>
        <v>0</v>
      </c>
      <c r="AS130" s="252">
        <f t="shared" si="99"/>
        <v>0</v>
      </c>
      <c r="AT130" s="252">
        <f t="shared" si="99"/>
        <v>0</v>
      </c>
      <c r="AU130" s="252">
        <f t="shared" si="99"/>
        <v>0</v>
      </c>
      <c r="AV130" s="252">
        <f t="shared" si="99"/>
        <v>0</v>
      </c>
      <c r="AW130" s="252">
        <f t="shared" si="99"/>
        <v>0</v>
      </c>
      <c r="AX130" s="252">
        <f t="shared" si="99"/>
        <v>0</v>
      </c>
      <c r="AY130" s="252">
        <f t="shared" si="99"/>
        <v>0</v>
      </c>
      <c r="AZ130" s="252">
        <f t="shared" si="99"/>
        <v>0</v>
      </c>
      <c r="BA130" s="252">
        <f t="shared" si="99"/>
        <v>0</v>
      </c>
    </row>
    <row r="131" ht="15.75" customHeight="1">
      <c r="A131" s="787">
        <v>2008.0</v>
      </c>
      <c r="B131" s="38"/>
      <c r="C131" s="38"/>
      <c r="D131" s="38"/>
      <c r="E131" s="38"/>
      <c r="F131" s="38"/>
      <c r="G131" s="38"/>
      <c r="H131" s="38"/>
      <c r="I131" s="38"/>
      <c r="J131" s="38"/>
      <c r="K131" s="38"/>
      <c r="L131" s="38"/>
      <c r="M131" s="38"/>
      <c r="N131" s="38"/>
      <c r="O131" s="38"/>
      <c r="P131" s="38"/>
      <c r="Q131" s="38"/>
      <c r="R131" s="38"/>
      <c r="S131" s="38"/>
      <c r="T131" s="38"/>
      <c r="U131" s="38"/>
      <c r="V131" s="769">
        <v>3.2</v>
      </c>
      <c r="W131" s="252">
        <f t="shared" si="22"/>
        <v>0</v>
      </c>
      <c r="X131" s="252">
        <f t="shared" ref="X131:BA131" si="100">IF(AND(X$52-$A131&gt;$V$35,SUM($W131:W131)&lt;&gt;$V131),$V131,0)</f>
        <v>0</v>
      </c>
      <c r="Y131" s="252">
        <f t="shared" si="100"/>
        <v>0</v>
      </c>
      <c r="Z131" s="252">
        <f t="shared" si="100"/>
        <v>0</v>
      </c>
      <c r="AA131" s="252">
        <f t="shared" si="100"/>
        <v>0</v>
      </c>
      <c r="AB131" s="252">
        <f t="shared" si="100"/>
        <v>0</v>
      </c>
      <c r="AC131" s="252">
        <f t="shared" si="100"/>
        <v>0</v>
      </c>
      <c r="AD131" s="252">
        <f t="shared" si="100"/>
        <v>0</v>
      </c>
      <c r="AE131" s="252">
        <f t="shared" si="100"/>
        <v>0</v>
      </c>
      <c r="AF131" s="252">
        <f t="shared" si="100"/>
        <v>0</v>
      </c>
      <c r="AG131" s="252">
        <f t="shared" si="100"/>
        <v>0</v>
      </c>
      <c r="AH131" s="252">
        <f t="shared" si="100"/>
        <v>0</v>
      </c>
      <c r="AI131" s="252">
        <f t="shared" si="100"/>
        <v>0</v>
      </c>
      <c r="AJ131" s="252">
        <f t="shared" si="100"/>
        <v>3.2</v>
      </c>
      <c r="AK131" s="252">
        <f t="shared" si="100"/>
        <v>0</v>
      </c>
      <c r="AL131" s="252">
        <f t="shared" si="100"/>
        <v>0</v>
      </c>
      <c r="AM131" s="252">
        <f t="shared" si="100"/>
        <v>0</v>
      </c>
      <c r="AN131" s="252">
        <f t="shared" si="100"/>
        <v>0</v>
      </c>
      <c r="AO131" s="252">
        <f t="shared" si="100"/>
        <v>0</v>
      </c>
      <c r="AP131" s="252">
        <f t="shared" si="100"/>
        <v>0</v>
      </c>
      <c r="AQ131" s="252">
        <f t="shared" si="100"/>
        <v>0</v>
      </c>
      <c r="AR131" s="252">
        <f t="shared" si="100"/>
        <v>0</v>
      </c>
      <c r="AS131" s="252">
        <f t="shared" si="100"/>
        <v>0</v>
      </c>
      <c r="AT131" s="252">
        <f t="shared" si="100"/>
        <v>0</v>
      </c>
      <c r="AU131" s="252">
        <f t="shared" si="100"/>
        <v>0</v>
      </c>
      <c r="AV131" s="252">
        <f t="shared" si="100"/>
        <v>0</v>
      </c>
      <c r="AW131" s="252">
        <f t="shared" si="100"/>
        <v>0</v>
      </c>
      <c r="AX131" s="252">
        <f t="shared" si="100"/>
        <v>0</v>
      </c>
      <c r="AY131" s="252">
        <f t="shared" si="100"/>
        <v>0</v>
      </c>
      <c r="AZ131" s="252">
        <f t="shared" si="100"/>
        <v>0</v>
      </c>
      <c r="BA131" s="252">
        <f t="shared" si="100"/>
        <v>0</v>
      </c>
    </row>
    <row r="132" ht="15.75" customHeight="1">
      <c r="A132" s="787">
        <v>2009.0</v>
      </c>
      <c r="B132" s="38"/>
      <c r="C132" s="38"/>
      <c r="D132" s="38"/>
      <c r="E132" s="38"/>
      <c r="F132" s="38"/>
      <c r="G132" s="38"/>
      <c r="H132" s="38"/>
      <c r="I132" s="38"/>
      <c r="J132" s="38"/>
      <c r="K132" s="38"/>
      <c r="L132" s="38"/>
      <c r="M132" s="38"/>
      <c r="N132" s="38"/>
      <c r="O132" s="38"/>
      <c r="P132" s="38"/>
      <c r="Q132" s="38"/>
      <c r="R132" s="38"/>
      <c r="S132" s="38"/>
      <c r="T132" s="38"/>
      <c r="U132" s="38"/>
      <c r="V132" s="769">
        <v>0.0</v>
      </c>
      <c r="W132" s="252">
        <f t="shared" si="22"/>
        <v>0</v>
      </c>
      <c r="X132" s="252">
        <f t="shared" ref="X132:BA132" si="101">IF(AND(X$52-$A132&gt;$V$35,SUM($W132:W132)&lt;&gt;$V132),$V132,0)</f>
        <v>0</v>
      </c>
      <c r="Y132" s="252">
        <f t="shared" si="101"/>
        <v>0</v>
      </c>
      <c r="Z132" s="252">
        <f t="shared" si="101"/>
        <v>0</v>
      </c>
      <c r="AA132" s="252">
        <f t="shared" si="101"/>
        <v>0</v>
      </c>
      <c r="AB132" s="252">
        <f t="shared" si="101"/>
        <v>0</v>
      </c>
      <c r="AC132" s="252">
        <f t="shared" si="101"/>
        <v>0</v>
      </c>
      <c r="AD132" s="252">
        <f t="shared" si="101"/>
        <v>0</v>
      </c>
      <c r="AE132" s="252">
        <f t="shared" si="101"/>
        <v>0</v>
      </c>
      <c r="AF132" s="252">
        <f t="shared" si="101"/>
        <v>0</v>
      </c>
      <c r="AG132" s="252">
        <f t="shared" si="101"/>
        <v>0</v>
      </c>
      <c r="AH132" s="252">
        <f t="shared" si="101"/>
        <v>0</v>
      </c>
      <c r="AI132" s="252">
        <f t="shared" si="101"/>
        <v>0</v>
      </c>
      <c r="AJ132" s="252">
        <f t="shared" si="101"/>
        <v>0</v>
      </c>
      <c r="AK132" s="252">
        <f t="shared" si="101"/>
        <v>0</v>
      </c>
      <c r="AL132" s="252">
        <f t="shared" si="101"/>
        <v>0</v>
      </c>
      <c r="AM132" s="252">
        <f t="shared" si="101"/>
        <v>0</v>
      </c>
      <c r="AN132" s="252">
        <f t="shared" si="101"/>
        <v>0</v>
      </c>
      <c r="AO132" s="252">
        <f t="shared" si="101"/>
        <v>0</v>
      </c>
      <c r="AP132" s="252">
        <f t="shared" si="101"/>
        <v>0</v>
      </c>
      <c r="AQ132" s="252">
        <f t="shared" si="101"/>
        <v>0</v>
      </c>
      <c r="AR132" s="252">
        <f t="shared" si="101"/>
        <v>0</v>
      </c>
      <c r="AS132" s="252">
        <f t="shared" si="101"/>
        <v>0</v>
      </c>
      <c r="AT132" s="252">
        <f t="shared" si="101"/>
        <v>0</v>
      </c>
      <c r="AU132" s="252">
        <f t="shared" si="101"/>
        <v>0</v>
      </c>
      <c r="AV132" s="252">
        <f t="shared" si="101"/>
        <v>0</v>
      </c>
      <c r="AW132" s="252">
        <f t="shared" si="101"/>
        <v>0</v>
      </c>
      <c r="AX132" s="252">
        <f t="shared" si="101"/>
        <v>0</v>
      </c>
      <c r="AY132" s="252">
        <f t="shared" si="101"/>
        <v>0</v>
      </c>
      <c r="AZ132" s="252">
        <f t="shared" si="101"/>
        <v>0</v>
      </c>
      <c r="BA132" s="252">
        <f t="shared" si="101"/>
        <v>0</v>
      </c>
    </row>
    <row r="133" ht="15.75" customHeight="1">
      <c r="A133" s="787">
        <v>2010.0</v>
      </c>
      <c r="B133" s="38"/>
      <c r="C133" s="38"/>
      <c r="D133" s="38"/>
      <c r="E133" s="38"/>
      <c r="F133" s="38"/>
      <c r="G133" s="38"/>
      <c r="H133" s="38"/>
      <c r="I133" s="38"/>
      <c r="J133" s="38"/>
      <c r="K133" s="38"/>
      <c r="L133" s="38"/>
      <c r="M133" s="38"/>
      <c r="N133" s="38"/>
      <c r="O133" s="38"/>
      <c r="P133" s="38"/>
      <c r="Q133" s="38"/>
      <c r="R133" s="38"/>
      <c r="S133" s="38"/>
      <c r="T133" s="38"/>
      <c r="U133" s="38"/>
      <c r="V133" s="769">
        <v>7.4</v>
      </c>
      <c r="W133" s="252">
        <f t="shared" si="22"/>
        <v>0</v>
      </c>
      <c r="X133" s="252">
        <f t="shared" ref="X133:BA133" si="102">IF(AND(X$52-$A133&gt;$V$35,SUM($W133:W133)&lt;&gt;$V133),$V133,0)</f>
        <v>0</v>
      </c>
      <c r="Y133" s="252">
        <f t="shared" si="102"/>
        <v>0</v>
      </c>
      <c r="Z133" s="252">
        <f t="shared" si="102"/>
        <v>0</v>
      </c>
      <c r="AA133" s="252">
        <f t="shared" si="102"/>
        <v>0</v>
      </c>
      <c r="AB133" s="252">
        <f t="shared" si="102"/>
        <v>0</v>
      </c>
      <c r="AC133" s="252">
        <f t="shared" si="102"/>
        <v>0</v>
      </c>
      <c r="AD133" s="252">
        <f t="shared" si="102"/>
        <v>0</v>
      </c>
      <c r="AE133" s="252">
        <f t="shared" si="102"/>
        <v>0</v>
      </c>
      <c r="AF133" s="252">
        <f t="shared" si="102"/>
        <v>0</v>
      </c>
      <c r="AG133" s="252">
        <f t="shared" si="102"/>
        <v>0</v>
      </c>
      <c r="AH133" s="252">
        <f t="shared" si="102"/>
        <v>0</v>
      </c>
      <c r="AI133" s="252">
        <f t="shared" si="102"/>
        <v>0</v>
      </c>
      <c r="AJ133" s="252">
        <f t="shared" si="102"/>
        <v>0</v>
      </c>
      <c r="AK133" s="252">
        <f t="shared" si="102"/>
        <v>0</v>
      </c>
      <c r="AL133" s="252">
        <f t="shared" si="102"/>
        <v>7.4</v>
      </c>
      <c r="AM133" s="252">
        <f t="shared" si="102"/>
        <v>0</v>
      </c>
      <c r="AN133" s="252">
        <f t="shared" si="102"/>
        <v>0</v>
      </c>
      <c r="AO133" s="252">
        <f t="shared" si="102"/>
        <v>0</v>
      </c>
      <c r="AP133" s="252">
        <f t="shared" si="102"/>
        <v>0</v>
      </c>
      <c r="AQ133" s="252">
        <f t="shared" si="102"/>
        <v>0</v>
      </c>
      <c r="AR133" s="252">
        <f t="shared" si="102"/>
        <v>0</v>
      </c>
      <c r="AS133" s="252">
        <f t="shared" si="102"/>
        <v>0</v>
      </c>
      <c r="AT133" s="252">
        <f t="shared" si="102"/>
        <v>0</v>
      </c>
      <c r="AU133" s="252">
        <f t="shared" si="102"/>
        <v>0</v>
      </c>
      <c r="AV133" s="252">
        <f t="shared" si="102"/>
        <v>0</v>
      </c>
      <c r="AW133" s="252">
        <f t="shared" si="102"/>
        <v>0</v>
      </c>
      <c r="AX133" s="252">
        <f t="shared" si="102"/>
        <v>0</v>
      </c>
      <c r="AY133" s="252">
        <f t="shared" si="102"/>
        <v>0</v>
      </c>
      <c r="AZ133" s="252">
        <f t="shared" si="102"/>
        <v>0</v>
      </c>
      <c r="BA133" s="252">
        <f t="shared" si="102"/>
        <v>0</v>
      </c>
    </row>
    <row r="134" ht="15.75" customHeight="1">
      <c r="A134" s="787">
        <v>2011.0</v>
      </c>
      <c r="B134" s="38"/>
      <c r="C134" s="38"/>
      <c r="D134" s="38"/>
      <c r="E134" s="38"/>
      <c r="F134" s="38"/>
      <c r="G134" s="38"/>
      <c r="H134" s="38"/>
      <c r="I134" s="38"/>
      <c r="J134" s="38"/>
      <c r="K134" s="38"/>
      <c r="L134" s="38"/>
      <c r="M134" s="38"/>
      <c r="N134" s="38"/>
      <c r="O134" s="38"/>
      <c r="P134" s="38"/>
      <c r="Q134" s="38"/>
      <c r="R134" s="38"/>
      <c r="S134" s="38"/>
      <c r="T134" s="38"/>
      <c r="U134" s="38"/>
      <c r="V134" s="769">
        <v>26.5</v>
      </c>
      <c r="W134" s="252">
        <f t="shared" si="22"/>
        <v>0</v>
      </c>
      <c r="X134" s="252">
        <f t="shared" ref="X134:BA134" si="103">IF(AND(X$52-$A134&gt;$V$35,SUM($W134:W134)&lt;&gt;$V134),$V134,0)</f>
        <v>0</v>
      </c>
      <c r="Y134" s="252">
        <f t="shared" si="103"/>
        <v>0</v>
      </c>
      <c r="Z134" s="252">
        <f t="shared" si="103"/>
        <v>0</v>
      </c>
      <c r="AA134" s="252">
        <f t="shared" si="103"/>
        <v>0</v>
      </c>
      <c r="AB134" s="252">
        <f t="shared" si="103"/>
        <v>0</v>
      </c>
      <c r="AC134" s="252">
        <f t="shared" si="103"/>
        <v>0</v>
      </c>
      <c r="AD134" s="252">
        <f t="shared" si="103"/>
        <v>0</v>
      </c>
      <c r="AE134" s="252">
        <f t="shared" si="103"/>
        <v>0</v>
      </c>
      <c r="AF134" s="252">
        <f t="shared" si="103"/>
        <v>0</v>
      </c>
      <c r="AG134" s="252">
        <f t="shared" si="103"/>
        <v>0</v>
      </c>
      <c r="AH134" s="252">
        <f t="shared" si="103"/>
        <v>0</v>
      </c>
      <c r="AI134" s="252">
        <f t="shared" si="103"/>
        <v>0</v>
      </c>
      <c r="AJ134" s="252">
        <f t="shared" si="103"/>
        <v>0</v>
      </c>
      <c r="AK134" s="252">
        <f t="shared" si="103"/>
        <v>0</v>
      </c>
      <c r="AL134" s="252">
        <f t="shared" si="103"/>
        <v>0</v>
      </c>
      <c r="AM134" s="252">
        <f t="shared" si="103"/>
        <v>26.5</v>
      </c>
      <c r="AN134" s="252">
        <f t="shared" si="103"/>
        <v>0</v>
      </c>
      <c r="AO134" s="252">
        <f t="shared" si="103"/>
        <v>0</v>
      </c>
      <c r="AP134" s="252">
        <f t="shared" si="103"/>
        <v>0</v>
      </c>
      <c r="AQ134" s="252">
        <f t="shared" si="103"/>
        <v>0</v>
      </c>
      <c r="AR134" s="252">
        <f t="shared" si="103"/>
        <v>0</v>
      </c>
      <c r="AS134" s="252">
        <f t="shared" si="103"/>
        <v>0</v>
      </c>
      <c r="AT134" s="252">
        <f t="shared" si="103"/>
        <v>0</v>
      </c>
      <c r="AU134" s="252">
        <f t="shared" si="103"/>
        <v>0</v>
      </c>
      <c r="AV134" s="252">
        <f t="shared" si="103"/>
        <v>0</v>
      </c>
      <c r="AW134" s="252">
        <f t="shared" si="103"/>
        <v>0</v>
      </c>
      <c r="AX134" s="252">
        <f t="shared" si="103"/>
        <v>0</v>
      </c>
      <c r="AY134" s="252">
        <f t="shared" si="103"/>
        <v>0</v>
      </c>
      <c r="AZ134" s="252">
        <f t="shared" si="103"/>
        <v>0</v>
      </c>
      <c r="BA134" s="252">
        <f t="shared" si="103"/>
        <v>0</v>
      </c>
    </row>
    <row r="135" ht="15.75" customHeight="1">
      <c r="A135" s="787">
        <v>2012.0</v>
      </c>
      <c r="B135" s="38"/>
      <c r="C135" s="38"/>
      <c r="D135" s="38"/>
      <c r="E135" s="38"/>
      <c r="F135" s="38"/>
      <c r="G135" s="38"/>
      <c r="H135" s="38"/>
      <c r="I135" s="38"/>
      <c r="J135" s="38"/>
      <c r="K135" s="38"/>
      <c r="L135" s="38"/>
      <c r="M135" s="38"/>
      <c r="N135" s="38"/>
      <c r="O135" s="38"/>
      <c r="P135" s="38"/>
      <c r="Q135" s="38"/>
      <c r="R135" s="38"/>
      <c r="S135" s="38"/>
      <c r="T135" s="38"/>
      <c r="U135" s="38"/>
      <c r="V135" s="769">
        <v>111.6</v>
      </c>
      <c r="W135" s="252">
        <f t="shared" si="22"/>
        <v>0</v>
      </c>
      <c r="X135" s="252">
        <f t="shared" ref="X135:BA135" si="104">IF(AND(X$52-$A135&gt;$V$35,SUM($W135:W135)&lt;&gt;$V135),$V135,0)</f>
        <v>0</v>
      </c>
      <c r="Y135" s="252">
        <f t="shared" si="104"/>
        <v>0</v>
      </c>
      <c r="Z135" s="252">
        <f t="shared" si="104"/>
        <v>0</v>
      </c>
      <c r="AA135" s="252">
        <f t="shared" si="104"/>
        <v>0</v>
      </c>
      <c r="AB135" s="252">
        <f t="shared" si="104"/>
        <v>0</v>
      </c>
      <c r="AC135" s="252">
        <f t="shared" si="104"/>
        <v>0</v>
      </c>
      <c r="AD135" s="252">
        <f t="shared" si="104"/>
        <v>0</v>
      </c>
      <c r="AE135" s="252">
        <f t="shared" si="104"/>
        <v>0</v>
      </c>
      <c r="AF135" s="252">
        <f t="shared" si="104"/>
        <v>0</v>
      </c>
      <c r="AG135" s="252">
        <f t="shared" si="104"/>
        <v>0</v>
      </c>
      <c r="AH135" s="252">
        <f t="shared" si="104"/>
        <v>0</v>
      </c>
      <c r="AI135" s="252">
        <f t="shared" si="104"/>
        <v>0</v>
      </c>
      <c r="AJ135" s="252">
        <f t="shared" si="104"/>
        <v>0</v>
      </c>
      <c r="AK135" s="252">
        <f t="shared" si="104"/>
        <v>0</v>
      </c>
      <c r="AL135" s="252">
        <f t="shared" si="104"/>
        <v>0</v>
      </c>
      <c r="AM135" s="252">
        <f t="shared" si="104"/>
        <v>0</v>
      </c>
      <c r="AN135" s="252">
        <f t="shared" si="104"/>
        <v>111.6</v>
      </c>
      <c r="AO135" s="252">
        <f t="shared" si="104"/>
        <v>0</v>
      </c>
      <c r="AP135" s="252">
        <f t="shared" si="104"/>
        <v>0</v>
      </c>
      <c r="AQ135" s="252">
        <f t="shared" si="104"/>
        <v>0</v>
      </c>
      <c r="AR135" s="252">
        <f t="shared" si="104"/>
        <v>0</v>
      </c>
      <c r="AS135" s="252">
        <f t="shared" si="104"/>
        <v>0</v>
      </c>
      <c r="AT135" s="252">
        <f t="shared" si="104"/>
        <v>0</v>
      </c>
      <c r="AU135" s="252">
        <f t="shared" si="104"/>
        <v>0</v>
      </c>
      <c r="AV135" s="252">
        <f t="shared" si="104"/>
        <v>0</v>
      </c>
      <c r="AW135" s="252">
        <f t="shared" si="104"/>
        <v>0</v>
      </c>
      <c r="AX135" s="252">
        <f t="shared" si="104"/>
        <v>0</v>
      </c>
      <c r="AY135" s="252">
        <f t="shared" si="104"/>
        <v>0</v>
      </c>
      <c r="AZ135" s="252">
        <f t="shared" si="104"/>
        <v>0</v>
      </c>
      <c r="BA135" s="252">
        <f t="shared" si="104"/>
        <v>0</v>
      </c>
    </row>
    <row r="136" ht="15.75" customHeight="1">
      <c r="A136" s="787">
        <v>2013.0</v>
      </c>
      <c r="B136" s="38"/>
      <c r="C136" s="38"/>
      <c r="D136" s="38"/>
      <c r="E136" s="38"/>
      <c r="F136" s="38"/>
      <c r="G136" s="38"/>
      <c r="H136" s="38"/>
      <c r="I136" s="38"/>
      <c r="J136" s="38"/>
      <c r="K136" s="38"/>
      <c r="L136" s="38"/>
      <c r="M136" s="38"/>
      <c r="N136" s="38"/>
      <c r="O136" s="38"/>
      <c r="P136" s="38"/>
      <c r="Q136" s="38"/>
      <c r="R136" s="38"/>
      <c r="S136" s="38"/>
      <c r="T136" s="38"/>
      <c r="U136" s="38"/>
      <c r="V136" s="769">
        <v>282.4</v>
      </c>
      <c r="W136" s="252">
        <f t="shared" si="22"/>
        <v>0</v>
      </c>
      <c r="X136" s="252">
        <f t="shared" ref="X136:BA136" si="105">IF(AND(X$52-$A136&gt;$V$35,SUM($W136:W136)&lt;&gt;$V136),$V136,0)</f>
        <v>0</v>
      </c>
      <c r="Y136" s="252">
        <f t="shared" si="105"/>
        <v>0</v>
      </c>
      <c r="Z136" s="252">
        <f t="shared" si="105"/>
        <v>0</v>
      </c>
      <c r="AA136" s="252">
        <f t="shared" si="105"/>
        <v>0</v>
      </c>
      <c r="AB136" s="252">
        <f t="shared" si="105"/>
        <v>0</v>
      </c>
      <c r="AC136" s="252">
        <f t="shared" si="105"/>
        <v>0</v>
      </c>
      <c r="AD136" s="252">
        <f t="shared" si="105"/>
        <v>0</v>
      </c>
      <c r="AE136" s="252">
        <f t="shared" si="105"/>
        <v>0</v>
      </c>
      <c r="AF136" s="252">
        <f t="shared" si="105"/>
        <v>0</v>
      </c>
      <c r="AG136" s="252">
        <f t="shared" si="105"/>
        <v>0</v>
      </c>
      <c r="AH136" s="252">
        <f t="shared" si="105"/>
        <v>0</v>
      </c>
      <c r="AI136" s="252">
        <f t="shared" si="105"/>
        <v>0</v>
      </c>
      <c r="AJ136" s="252">
        <f t="shared" si="105"/>
        <v>0</v>
      </c>
      <c r="AK136" s="252">
        <f t="shared" si="105"/>
        <v>0</v>
      </c>
      <c r="AL136" s="252">
        <f t="shared" si="105"/>
        <v>0</v>
      </c>
      <c r="AM136" s="252">
        <f t="shared" si="105"/>
        <v>0</v>
      </c>
      <c r="AN136" s="252">
        <f t="shared" si="105"/>
        <v>0</v>
      </c>
      <c r="AO136" s="252">
        <f t="shared" si="105"/>
        <v>282.4</v>
      </c>
      <c r="AP136" s="252">
        <f t="shared" si="105"/>
        <v>0</v>
      </c>
      <c r="AQ136" s="252">
        <f t="shared" si="105"/>
        <v>0</v>
      </c>
      <c r="AR136" s="252">
        <f t="shared" si="105"/>
        <v>0</v>
      </c>
      <c r="AS136" s="252">
        <f t="shared" si="105"/>
        <v>0</v>
      </c>
      <c r="AT136" s="252">
        <f t="shared" si="105"/>
        <v>0</v>
      </c>
      <c r="AU136" s="252">
        <f t="shared" si="105"/>
        <v>0</v>
      </c>
      <c r="AV136" s="252">
        <f t="shared" si="105"/>
        <v>0</v>
      </c>
      <c r="AW136" s="252">
        <f t="shared" si="105"/>
        <v>0</v>
      </c>
      <c r="AX136" s="252">
        <f t="shared" si="105"/>
        <v>0</v>
      </c>
      <c r="AY136" s="252">
        <f t="shared" si="105"/>
        <v>0</v>
      </c>
      <c r="AZ136" s="252">
        <f t="shared" si="105"/>
        <v>0</v>
      </c>
      <c r="BA136" s="252">
        <f t="shared" si="105"/>
        <v>0</v>
      </c>
    </row>
    <row r="137" ht="15.75" customHeight="1">
      <c r="A137" s="787">
        <v>2014.0</v>
      </c>
      <c r="B137" s="38"/>
      <c r="C137" s="38"/>
      <c r="D137" s="38"/>
      <c r="E137" s="38"/>
      <c r="F137" s="38"/>
      <c r="G137" s="38"/>
      <c r="H137" s="38"/>
      <c r="I137" s="38"/>
      <c r="J137" s="38"/>
      <c r="K137" s="38"/>
      <c r="L137" s="38"/>
      <c r="M137" s="38"/>
      <c r="N137" s="38"/>
      <c r="O137" s="38"/>
      <c r="P137" s="38"/>
      <c r="Q137" s="38"/>
      <c r="R137" s="38"/>
      <c r="S137" s="38"/>
      <c r="T137" s="38"/>
      <c r="U137" s="38"/>
      <c r="V137" s="769">
        <v>408.4</v>
      </c>
      <c r="W137" s="252">
        <f t="shared" si="22"/>
        <v>0</v>
      </c>
      <c r="X137" s="252">
        <f t="shared" ref="X137:BA137" si="106">IF(AND(X$52-$A137&gt;$V$35,SUM($W137:W137)&lt;&gt;$V137),$V137,0)</f>
        <v>0</v>
      </c>
      <c r="Y137" s="252">
        <f t="shared" si="106"/>
        <v>0</v>
      </c>
      <c r="Z137" s="252">
        <f t="shared" si="106"/>
        <v>0</v>
      </c>
      <c r="AA137" s="252">
        <f t="shared" si="106"/>
        <v>0</v>
      </c>
      <c r="AB137" s="252">
        <f t="shared" si="106"/>
        <v>0</v>
      </c>
      <c r="AC137" s="252">
        <f t="shared" si="106"/>
        <v>0</v>
      </c>
      <c r="AD137" s="252">
        <f t="shared" si="106"/>
        <v>0</v>
      </c>
      <c r="AE137" s="252">
        <f t="shared" si="106"/>
        <v>0</v>
      </c>
      <c r="AF137" s="252">
        <f t="shared" si="106"/>
        <v>0</v>
      </c>
      <c r="AG137" s="252">
        <f t="shared" si="106"/>
        <v>0</v>
      </c>
      <c r="AH137" s="252">
        <f t="shared" si="106"/>
        <v>0</v>
      </c>
      <c r="AI137" s="252">
        <f t="shared" si="106"/>
        <v>0</v>
      </c>
      <c r="AJ137" s="252">
        <f t="shared" si="106"/>
        <v>0</v>
      </c>
      <c r="AK137" s="252">
        <f t="shared" si="106"/>
        <v>0</v>
      </c>
      <c r="AL137" s="252">
        <f t="shared" si="106"/>
        <v>0</v>
      </c>
      <c r="AM137" s="252">
        <f t="shared" si="106"/>
        <v>0</v>
      </c>
      <c r="AN137" s="252">
        <f t="shared" si="106"/>
        <v>0</v>
      </c>
      <c r="AO137" s="252">
        <f t="shared" si="106"/>
        <v>0</v>
      </c>
      <c r="AP137" s="252">
        <f t="shared" si="106"/>
        <v>408.4</v>
      </c>
      <c r="AQ137" s="252">
        <f t="shared" si="106"/>
        <v>0</v>
      </c>
      <c r="AR137" s="252">
        <f t="shared" si="106"/>
        <v>0</v>
      </c>
      <c r="AS137" s="252">
        <f t="shared" si="106"/>
        <v>0</v>
      </c>
      <c r="AT137" s="252">
        <f t="shared" si="106"/>
        <v>0</v>
      </c>
      <c r="AU137" s="252">
        <f t="shared" si="106"/>
        <v>0</v>
      </c>
      <c r="AV137" s="252">
        <f t="shared" si="106"/>
        <v>0</v>
      </c>
      <c r="AW137" s="252">
        <f t="shared" si="106"/>
        <v>0</v>
      </c>
      <c r="AX137" s="252">
        <f t="shared" si="106"/>
        <v>0</v>
      </c>
      <c r="AY137" s="252">
        <f t="shared" si="106"/>
        <v>0</v>
      </c>
      <c r="AZ137" s="252">
        <f t="shared" si="106"/>
        <v>0</v>
      </c>
      <c r="BA137" s="252">
        <f t="shared" si="106"/>
        <v>0</v>
      </c>
    </row>
    <row r="138" ht="15.75" customHeight="1">
      <c r="A138" s="787">
        <v>2015.0</v>
      </c>
      <c r="B138" s="38"/>
      <c r="C138" s="38"/>
      <c r="D138" s="38"/>
      <c r="E138" s="38"/>
      <c r="F138" s="38"/>
      <c r="G138" s="38"/>
      <c r="H138" s="38"/>
      <c r="I138" s="38"/>
      <c r="J138" s="38"/>
      <c r="K138" s="38"/>
      <c r="L138" s="38"/>
      <c r="M138" s="38"/>
      <c r="N138" s="38"/>
      <c r="O138" s="38"/>
      <c r="P138" s="38"/>
      <c r="Q138" s="38"/>
      <c r="R138" s="38"/>
      <c r="S138" s="38"/>
      <c r="T138" s="38"/>
      <c r="U138" s="38"/>
      <c r="V138" s="769">
        <v>1090.3</v>
      </c>
      <c r="W138" s="252">
        <f t="shared" si="22"/>
        <v>0</v>
      </c>
      <c r="X138" s="252">
        <f t="shared" ref="X138:BA138" si="107">IF(AND(X$52-$A138&gt;$V$35,SUM($W138:W138)&lt;&gt;$V138),$V138,0)</f>
        <v>0</v>
      </c>
      <c r="Y138" s="252">
        <f t="shared" si="107"/>
        <v>0</v>
      </c>
      <c r="Z138" s="252">
        <f t="shared" si="107"/>
        <v>0</v>
      </c>
      <c r="AA138" s="252">
        <f t="shared" si="107"/>
        <v>0</v>
      </c>
      <c r="AB138" s="252">
        <f t="shared" si="107"/>
        <v>0</v>
      </c>
      <c r="AC138" s="252">
        <f t="shared" si="107"/>
        <v>0</v>
      </c>
      <c r="AD138" s="252">
        <f t="shared" si="107"/>
        <v>0</v>
      </c>
      <c r="AE138" s="252">
        <f t="shared" si="107"/>
        <v>0</v>
      </c>
      <c r="AF138" s="252">
        <f t="shared" si="107"/>
        <v>0</v>
      </c>
      <c r="AG138" s="252">
        <f t="shared" si="107"/>
        <v>0</v>
      </c>
      <c r="AH138" s="252">
        <f t="shared" si="107"/>
        <v>0</v>
      </c>
      <c r="AI138" s="252">
        <f t="shared" si="107"/>
        <v>0</v>
      </c>
      <c r="AJ138" s="252">
        <f t="shared" si="107"/>
        <v>0</v>
      </c>
      <c r="AK138" s="252">
        <f t="shared" si="107"/>
        <v>0</v>
      </c>
      <c r="AL138" s="252">
        <f t="shared" si="107"/>
        <v>0</v>
      </c>
      <c r="AM138" s="252">
        <f t="shared" si="107"/>
        <v>0</v>
      </c>
      <c r="AN138" s="252">
        <f t="shared" si="107"/>
        <v>0</v>
      </c>
      <c r="AO138" s="252">
        <f t="shared" si="107"/>
        <v>0</v>
      </c>
      <c r="AP138" s="252">
        <f t="shared" si="107"/>
        <v>0</v>
      </c>
      <c r="AQ138" s="252">
        <f t="shared" si="107"/>
        <v>1090.3</v>
      </c>
      <c r="AR138" s="252">
        <f t="shared" si="107"/>
        <v>0</v>
      </c>
      <c r="AS138" s="252">
        <f t="shared" si="107"/>
        <v>0</v>
      </c>
      <c r="AT138" s="252">
        <f t="shared" si="107"/>
        <v>0</v>
      </c>
      <c r="AU138" s="252">
        <f t="shared" si="107"/>
        <v>0</v>
      </c>
      <c r="AV138" s="252">
        <f t="shared" si="107"/>
        <v>0</v>
      </c>
      <c r="AW138" s="252">
        <f t="shared" si="107"/>
        <v>0</v>
      </c>
      <c r="AX138" s="252">
        <f t="shared" si="107"/>
        <v>0</v>
      </c>
      <c r="AY138" s="252">
        <f t="shared" si="107"/>
        <v>0</v>
      </c>
      <c r="AZ138" s="252">
        <f t="shared" si="107"/>
        <v>0</v>
      </c>
      <c r="BA138" s="252">
        <f t="shared" si="107"/>
        <v>0</v>
      </c>
    </row>
    <row r="139" ht="15.75" customHeight="1">
      <c r="A139" s="787">
        <v>2016.0</v>
      </c>
      <c r="B139" s="38"/>
      <c r="C139" s="38"/>
      <c r="D139" s="38"/>
      <c r="E139" s="38"/>
      <c r="F139" s="38"/>
      <c r="G139" s="38"/>
      <c r="H139" s="38"/>
      <c r="I139" s="38"/>
      <c r="J139" s="38"/>
      <c r="K139" s="38"/>
      <c r="L139" s="38"/>
      <c r="M139" s="38"/>
      <c r="N139" s="38"/>
      <c r="O139" s="38"/>
      <c r="P139" s="38"/>
      <c r="Q139" s="38"/>
      <c r="R139" s="38"/>
      <c r="S139" s="38"/>
      <c r="T139" s="38"/>
      <c r="U139" s="38"/>
      <c r="V139" s="769">
        <v>1654.1</v>
      </c>
      <c r="W139" s="252">
        <f t="shared" si="22"/>
        <v>0</v>
      </c>
      <c r="X139" s="252">
        <f t="shared" ref="X139:BA139" si="108">IF(AND(X$52-$A139&gt;$V$35,SUM($W139:W139)&lt;&gt;$V139),$V139,0)</f>
        <v>0</v>
      </c>
      <c r="Y139" s="252">
        <f t="shared" si="108"/>
        <v>0</v>
      </c>
      <c r="Z139" s="252">
        <f t="shared" si="108"/>
        <v>0</v>
      </c>
      <c r="AA139" s="252">
        <f t="shared" si="108"/>
        <v>0</v>
      </c>
      <c r="AB139" s="252">
        <f t="shared" si="108"/>
        <v>0</v>
      </c>
      <c r="AC139" s="252">
        <f t="shared" si="108"/>
        <v>0</v>
      </c>
      <c r="AD139" s="252">
        <f t="shared" si="108"/>
        <v>0</v>
      </c>
      <c r="AE139" s="252">
        <f t="shared" si="108"/>
        <v>0</v>
      </c>
      <c r="AF139" s="252">
        <f t="shared" si="108"/>
        <v>0</v>
      </c>
      <c r="AG139" s="252">
        <f t="shared" si="108"/>
        <v>0</v>
      </c>
      <c r="AH139" s="252">
        <f t="shared" si="108"/>
        <v>0</v>
      </c>
      <c r="AI139" s="252">
        <f t="shared" si="108"/>
        <v>0</v>
      </c>
      <c r="AJ139" s="252">
        <f t="shared" si="108"/>
        <v>0</v>
      </c>
      <c r="AK139" s="252">
        <f t="shared" si="108"/>
        <v>0</v>
      </c>
      <c r="AL139" s="252">
        <f t="shared" si="108"/>
        <v>0</v>
      </c>
      <c r="AM139" s="252">
        <f t="shared" si="108"/>
        <v>0</v>
      </c>
      <c r="AN139" s="252">
        <f t="shared" si="108"/>
        <v>0</v>
      </c>
      <c r="AO139" s="252">
        <f t="shared" si="108"/>
        <v>0</v>
      </c>
      <c r="AP139" s="252">
        <f t="shared" si="108"/>
        <v>0</v>
      </c>
      <c r="AQ139" s="252">
        <f t="shared" si="108"/>
        <v>0</v>
      </c>
      <c r="AR139" s="252">
        <f t="shared" si="108"/>
        <v>1654.1</v>
      </c>
      <c r="AS139" s="252">
        <f t="shared" si="108"/>
        <v>0</v>
      </c>
      <c r="AT139" s="252">
        <f t="shared" si="108"/>
        <v>0</v>
      </c>
      <c r="AU139" s="252">
        <f t="shared" si="108"/>
        <v>0</v>
      </c>
      <c r="AV139" s="252">
        <f t="shared" si="108"/>
        <v>0</v>
      </c>
      <c r="AW139" s="252">
        <f t="shared" si="108"/>
        <v>0</v>
      </c>
      <c r="AX139" s="252">
        <f t="shared" si="108"/>
        <v>0</v>
      </c>
      <c r="AY139" s="252">
        <f t="shared" si="108"/>
        <v>0</v>
      </c>
      <c r="AZ139" s="252">
        <f t="shared" si="108"/>
        <v>0</v>
      </c>
      <c r="BA139" s="252">
        <f t="shared" si="108"/>
        <v>0</v>
      </c>
    </row>
    <row r="140" ht="15.75" customHeight="1">
      <c r="A140" s="787">
        <v>2017.0</v>
      </c>
      <c r="B140" s="38"/>
      <c r="C140" s="38"/>
      <c r="D140" s="38"/>
      <c r="E140" s="38"/>
      <c r="F140" s="38"/>
      <c r="G140" s="38"/>
      <c r="H140" s="38"/>
      <c r="I140" s="38"/>
      <c r="J140" s="38"/>
      <c r="K140" s="38"/>
      <c r="L140" s="38"/>
      <c r="M140" s="38"/>
      <c r="N140" s="38"/>
      <c r="O140" s="38"/>
      <c r="P140" s="38"/>
      <c r="Q140" s="38"/>
      <c r="R140" s="38"/>
      <c r="S140" s="38"/>
      <c r="T140" s="38"/>
      <c r="U140" s="38"/>
      <c r="V140" s="769">
        <v>1461.1</v>
      </c>
      <c r="W140" s="252">
        <f t="shared" si="22"/>
        <v>0</v>
      </c>
      <c r="X140" s="252">
        <f t="shared" ref="X140:BA140" si="109">IF(AND(X$52-$A140&gt;$V$35,SUM($W140:W140)&lt;&gt;$V140),$V140,0)</f>
        <v>0</v>
      </c>
      <c r="Y140" s="252">
        <f t="shared" si="109"/>
        <v>0</v>
      </c>
      <c r="Z140" s="252">
        <f t="shared" si="109"/>
        <v>0</v>
      </c>
      <c r="AA140" s="252">
        <f t="shared" si="109"/>
        <v>0</v>
      </c>
      <c r="AB140" s="252">
        <f t="shared" si="109"/>
        <v>0</v>
      </c>
      <c r="AC140" s="252">
        <f t="shared" si="109"/>
        <v>0</v>
      </c>
      <c r="AD140" s="252">
        <f t="shared" si="109"/>
        <v>0</v>
      </c>
      <c r="AE140" s="252">
        <f t="shared" si="109"/>
        <v>0</v>
      </c>
      <c r="AF140" s="252">
        <f t="shared" si="109"/>
        <v>0</v>
      </c>
      <c r="AG140" s="252">
        <f t="shared" si="109"/>
        <v>0</v>
      </c>
      <c r="AH140" s="252">
        <f t="shared" si="109"/>
        <v>0</v>
      </c>
      <c r="AI140" s="252">
        <f t="shared" si="109"/>
        <v>0</v>
      </c>
      <c r="AJ140" s="252">
        <f t="shared" si="109"/>
        <v>0</v>
      </c>
      <c r="AK140" s="252">
        <f t="shared" si="109"/>
        <v>0</v>
      </c>
      <c r="AL140" s="252">
        <f t="shared" si="109"/>
        <v>0</v>
      </c>
      <c r="AM140" s="252">
        <f t="shared" si="109"/>
        <v>0</v>
      </c>
      <c r="AN140" s="252">
        <f t="shared" si="109"/>
        <v>0</v>
      </c>
      <c r="AO140" s="252">
        <f t="shared" si="109"/>
        <v>0</v>
      </c>
      <c r="AP140" s="252">
        <f t="shared" si="109"/>
        <v>0</v>
      </c>
      <c r="AQ140" s="252">
        <f t="shared" si="109"/>
        <v>0</v>
      </c>
      <c r="AR140" s="252">
        <f t="shared" si="109"/>
        <v>0</v>
      </c>
      <c r="AS140" s="252">
        <f t="shared" si="109"/>
        <v>1461.1</v>
      </c>
      <c r="AT140" s="252">
        <f t="shared" si="109"/>
        <v>0</v>
      </c>
      <c r="AU140" s="252">
        <f t="shared" si="109"/>
        <v>0</v>
      </c>
      <c r="AV140" s="252">
        <f t="shared" si="109"/>
        <v>0</v>
      </c>
      <c r="AW140" s="252">
        <f t="shared" si="109"/>
        <v>0</v>
      </c>
      <c r="AX140" s="252">
        <f t="shared" si="109"/>
        <v>0</v>
      </c>
      <c r="AY140" s="252">
        <f t="shared" si="109"/>
        <v>0</v>
      </c>
      <c r="AZ140" s="252">
        <f t="shared" si="109"/>
        <v>0</v>
      </c>
      <c r="BA140" s="252">
        <f t="shared" si="109"/>
        <v>0</v>
      </c>
    </row>
    <row r="141" ht="15.75" customHeight="1">
      <c r="A141" s="787">
        <v>2018.0</v>
      </c>
      <c r="B141" s="38"/>
      <c r="C141" s="38"/>
      <c r="D141" s="38"/>
      <c r="E141" s="38"/>
      <c r="F141" s="38"/>
      <c r="G141" s="38"/>
      <c r="H141" s="38"/>
      <c r="I141" s="38"/>
      <c r="J141" s="38"/>
      <c r="K141" s="38"/>
      <c r="L141" s="38"/>
      <c r="M141" s="38"/>
      <c r="N141" s="38"/>
      <c r="O141" s="38"/>
      <c r="P141" s="38"/>
      <c r="Q141" s="38"/>
      <c r="R141" s="38"/>
      <c r="S141" s="38"/>
      <c r="T141" s="38"/>
      <c r="U141" s="38"/>
      <c r="V141" s="769">
        <v>880.2</v>
      </c>
      <c r="W141" s="252">
        <f t="shared" si="22"/>
        <v>0</v>
      </c>
      <c r="X141" s="252">
        <f t="shared" ref="X141:BA141" si="110">IF(AND(X$52-$A141&gt;$V$35,SUM($W141:W141)&lt;&gt;$V141),$V141,0)</f>
        <v>0</v>
      </c>
      <c r="Y141" s="252">
        <f t="shared" si="110"/>
        <v>0</v>
      </c>
      <c r="Z141" s="252">
        <f t="shared" si="110"/>
        <v>0</v>
      </c>
      <c r="AA141" s="252">
        <f t="shared" si="110"/>
        <v>0</v>
      </c>
      <c r="AB141" s="252">
        <f t="shared" si="110"/>
        <v>0</v>
      </c>
      <c r="AC141" s="252">
        <f t="shared" si="110"/>
        <v>0</v>
      </c>
      <c r="AD141" s="252">
        <f t="shared" si="110"/>
        <v>0</v>
      </c>
      <c r="AE141" s="252">
        <f t="shared" si="110"/>
        <v>0</v>
      </c>
      <c r="AF141" s="252">
        <f t="shared" si="110"/>
        <v>0</v>
      </c>
      <c r="AG141" s="252">
        <f t="shared" si="110"/>
        <v>0</v>
      </c>
      <c r="AH141" s="252">
        <f t="shared" si="110"/>
        <v>0</v>
      </c>
      <c r="AI141" s="252">
        <f t="shared" si="110"/>
        <v>0</v>
      </c>
      <c r="AJ141" s="252">
        <f t="shared" si="110"/>
        <v>0</v>
      </c>
      <c r="AK141" s="252">
        <f t="shared" si="110"/>
        <v>0</v>
      </c>
      <c r="AL141" s="252">
        <f t="shared" si="110"/>
        <v>0</v>
      </c>
      <c r="AM141" s="252">
        <f t="shared" si="110"/>
        <v>0</v>
      </c>
      <c r="AN141" s="252">
        <f t="shared" si="110"/>
        <v>0</v>
      </c>
      <c r="AO141" s="252">
        <f t="shared" si="110"/>
        <v>0</v>
      </c>
      <c r="AP141" s="252">
        <f t="shared" si="110"/>
        <v>0</v>
      </c>
      <c r="AQ141" s="252">
        <f t="shared" si="110"/>
        <v>0</v>
      </c>
      <c r="AR141" s="252">
        <f t="shared" si="110"/>
        <v>0</v>
      </c>
      <c r="AS141" s="252">
        <f t="shared" si="110"/>
        <v>0</v>
      </c>
      <c r="AT141" s="252">
        <f t="shared" si="110"/>
        <v>880.2</v>
      </c>
      <c r="AU141" s="252">
        <f t="shared" si="110"/>
        <v>0</v>
      </c>
      <c r="AV141" s="252">
        <f t="shared" si="110"/>
        <v>0</v>
      </c>
      <c r="AW141" s="252">
        <f t="shared" si="110"/>
        <v>0</v>
      </c>
      <c r="AX141" s="252">
        <f t="shared" si="110"/>
        <v>0</v>
      </c>
      <c r="AY141" s="252">
        <f t="shared" si="110"/>
        <v>0</v>
      </c>
      <c r="AZ141" s="252">
        <f t="shared" si="110"/>
        <v>0</v>
      </c>
      <c r="BA141" s="252">
        <f t="shared" si="110"/>
        <v>0</v>
      </c>
    </row>
    <row r="142" ht="15.75" customHeight="1">
      <c r="A142" s="787">
        <v>2019.0</v>
      </c>
      <c r="B142" s="38"/>
      <c r="C142" s="38"/>
      <c r="D142" s="38"/>
      <c r="E142" s="38"/>
      <c r="F142" s="38"/>
      <c r="G142" s="38"/>
      <c r="H142" s="38"/>
      <c r="I142" s="38"/>
      <c r="J142" s="38"/>
      <c r="K142" s="38"/>
      <c r="L142" s="38"/>
      <c r="M142" s="38"/>
      <c r="N142" s="38"/>
      <c r="O142" s="38"/>
      <c r="P142" s="38"/>
      <c r="Q142" s="38"/>
      <c r="R142" s="38"/>
      <c r="S142" s="38"/>
      <c r="T142" s="38"/>
      <c r="U142" s="38"/>
      <c r="V142" s="770">
        <v>0.0</v>
      </c>
      <c r="W142" s="252">
        <f t="shared" si="22"/>
        <v>0</v>
      </c>
      <c r="X142" s="252">
        <f t="shared" ref="X142:BA142" si="111">IF(AND(X$52-$A142&gt;$V$35,SUM($W142:W142)&lt;&gt;$V142),$V142,0)</f>
        <v>0</v>
      </c>
      <c r="Y142" s="252">
        <f t="shared" si="111"/>
        <v>0</v>
      </c>
      <c r="Z142" s="252">
        <f t="shared" si="111"/>
        <v>0</v>
      </c>
      <c r="AA142" s="252">
        <f t="shared" si="111"/>
        <v>0</v>
      </c>
      <c r="AB142" s="252">
        <f t="shared" si="111"/>
        <v>0</v>
      </c>
      <c r="AC142" s="252">
        <f t="shared" si="111"/>
        <v>0</v>
      </c>
      <c r="AD142" s="252">
        <f t="shared" si="111"/>
        <v>0</v>
      </c>
      <c r="AE142" s="252">
        <f t="shared" si="111"/>
        <v>0</v>
      </c>
      <c r="AF142" s="252">
        <f t="shared" si="111"/>
        <v>0</v>
      </c>
      <c r="AG142" s="252">
        <f t="shared" si="111"/>
        <v>0</v>
      </c>
      <c r="AH142" s="252">
        <f t="shared" si="111"/>
        <v>0</v>
      </c>
      <c r="AI142" s="252">
        <f t="shared" si="111"/>
        <v>0</v>
      </c>
      <c r="AJ142" s="252">
        <f t="shared" si="111"/>
        <v>0</v>
      </c>
      <c r="AK142" s="252">
        <f t="shared" si="111"/>
        <v>0</v>
      </c>
      <c r="AL142" s="252">
        <f t="shared" si="111"/>
        <v>0</v>
      </c>
      <c r="AM142" s="252">
        <f t="shared" si="111"/>
        <v>0</v>
      </c>
      <c r="AN142" s="252">
        <f t="shared" si="111"/>
        <v>0</v>
      </c>
      <c r="AO142" s="252">
        <f t="shared" si="111"/>
        <v>0</v>
      </c>
      <c r="AP142" s="252">
        <f t="shared" si="111"/>
        <v>0</v>
      </c>
      <c r="AQ142" s="252">
        <f t="shared" si="111"/>
        <v>0</v>
      </c>
      <c r="AR142" s="252">
        <f t="shared" si="111"/>
        <v>0</v>
      </c>
      <c r="AS142" s="252">
        <f t="shared" si="111"/>
        <v>0</v>
      </c>
      <c r="AT142" s="252">
        <f t="shared" si="111"/>
        <v>0</v>
      </c>
      <c r="AU142" s="252">
        <f t="shared" si="111"/>
        <v>0</v>
      </c>
      <c r="AV142" s="252">
        <f t="shared" si="111"/>
        <v>0</v>
      </c>
      <c r="AW142" s="252">
        <f t="shared" si="111"/>
        <v>0</v>
      </c>
      <c r="AX142" s="252">
        <f t="shared" si="111"/>
        <v>0</v>
      </c>
      <c r="AY142" s="252">
        <f t="shared" si="111"/>
        <v>0</v>
      </c>
      <c r="AZ142" s="252">
        <f t="shared" si="111"/>
        <v>0</v>
      </c>
      <c r="BA142" s="252">
        <f t="shared" si="111"/>
        <v>0</v>
      </c>
    </row>
    <row r="143" ht="15.75" customHeight="1">
      <c r="A143" s="788">
        <v>2020.0</v>
      </c>
      <c r="B143" s="789"/>
      <c r="C143" s="789"/>
      <c r="D143" s="789"/>
      <c r="E143" s="789"/>
      <c r="F143" s="789"/>
      <c r="G143" s="789"/>
      <c r="H143" s="789"/>
      <c r="I143" s="789"/>
      <c r="J143" s="789"/>
      <c r="K143" s="789"/>
      <c r="L143" s="789"/>
      <c r="M143" s="789"/>
      <c r="N143" s="789"/>
      <c r="O143" s="789"/>
      <c r="P143" s="789"/>
      <c r="Q143" s="789"/>
      <c r="R143" s="789"/>
      <c r="S143" s="789"/>
      <c r="T143" s="789"/>
      <c r="U143" s="745" t="s">
        <v>1016</v>
      </c>
      <c r="V143" s="747">
        <f t="array" ref="V143:V173">transpose(Model!W902:BA902)</f>
        <v>0</v>
      </c>
      <c r="W143" s="746">
        <f t="shared" si="22"/>
        <v>0</v>
      </c>
      <c r="X143" s="252">
        <f t="shared" ref="X143:BA143" si="112">IF(AND(X$52-$A143&gt;$V$35,SUM($W143:W143)&lt;&gt;$V143),$V143,0)</f>
        <v>0</v>
      </c>
      <c r="Y143" s="252">
        <f t="shared" si="112"/>
        <v>0</v>
      </c>
      <c r="Z143" s="252">
        <f t="shared" si="112"/>
        <v>0</v>
      </c>
      <c r="AA143" s="252">
        <f t="shared" si="112"/>
        <v>0</v>
      </c>
      <c r="AB143" s="252">
        <f t="shared" si="112"/>
        <v>0</v>
      </c>
      <c r="AC143" s="252">
        <f t="shared" si="112"/>
        <v>0</v>
      </c>
      <c r="AD143" s="252">
        <f t="shared" si="112"/>
        <v>0</v>
      </c>
      <c r="AE143" s="252">
        <f t="shared" si="112"/>
        <v>0</v>
      </c>
      <c r="AF143" s="252">
        <f t="shared" si="112"/>
        <v>0</v>
      </c>
      <c r="AG143" s="252">
        <f t="shared" si="112"/>
        <v>0</v>
      </c>
      <c r="AH143" s="252">
        <f t="shared" si="112"/>
        <v>0</v>
      </c>
      <c r="AI143" s="252">
        <f t="shared" si="112"/>
        <v>0</v>
      </c>
      <c r="AJ143" s="252">
        <f t="shared" si="112"/>
        <v>0</v>
      </c>
      <c r="AK143" s="252">
        <f t="shared" si="112"/>
        <v>0</v>
      </c>
      <c r="AL143" s="252">
        <f t="shared" si="112"/>
        <v>0</v>
      </c>
      <c r="AM143" s="252">
        <f t="shared" si="112"/>
        <v>0</v>
      </c>
      <c r="AN143" s="252">
        <f t="shared" si="112"/>
        <v>0</v>
      </c>
      <c r="AO143" s="252">
        <f t="shared" si="112"/>
        <v>0</v>
      </c>
      <c r="AP143" s="252">
        <f t="shared" si="112"/>
        <v>0</v>
      </c>
      <c r="AQ143" s="252">
        <f t="shared" si="112"/>
        <v>0</v>
      </c>
      <c r="AR143" s="252">
        <f t="shared" si="112"/>
        <v>0</v>
      </c>
      <c r="AS143" s="252">
        <f t="shared" si="112"/>
        <v>0</v>
      </c>
      <c r="AT143" s="252">
        <f t="shared" si="112"/>
        <v>0</v>
      </c>
      <c r="AU143" s="252">
        <f t="shared" si="112"/>
        <v>0</v>
      </c>
      <c r="AV143" s="252">
        <f t="shared" si="112"/>
        <v>0</v>
      </c>
      <c r="AW143" s="252">
        <f t="shared" si="112"/>
        <v>0</v>
      </c>
      <c r="AX143" s="252">
        <f t="shared" si="112"/>
        <v>0</v>
      </c>
      <c r="AY143" s="252">
        <f t="shared" si="112"/>
        <v>0</v>
      </c>
      <c r="AZ143" s="252">
        <f t="shared" si="112"/>
        <v>0</v>
      </c>
      <c r="BA143" s="252">
        <f t="shared" si="112"/>
        <v>0</v>
      </c>
    </row>
    <row r="144" ht="15.75" customHeight="1">
      <c r="A144" s="788">
        <v>2021.0</v>
      </c>
      <c r="B144" s="789"/>
      <c r="C144" s="789"/>
      <c r="D144" s="789"/>
      <c r="E144" s="789"/>
      <c r="F144" s="789"/>
      <c r="G144" s="789"/>
      <c r="H144" s="789"/>
      <c r="I144" s="789"/>
      <c r="J144" s="789"/>
      <c r="K144" s="789"/>
      <c r="L144" s="789"/>
      <c r="M144" s="789"/>
      <c r="N144" s="789"/>
      <c r="O144" s="789"/>
      <c r="P144" s="789"/>
      <c r="Q144" s="789"/>
      <c r="R144" s="789"/>
      <c r="S144" s="789"/>
      <c r="T144" s="789"/>
      <c r="U144" s="745" t="s">
        <v>1017</v>
      </c>
      <c r="V144" s="747">
        <v>1415.9682919150637</v>
      </c>
      <c r="W144" s="746">
        <f t="shared" si="22"/>
        <v>0</v>
      </c>
      <c r="X144" s="252">
        <f t="shared" ref="X144:BA144" si="113">IF(AND(X$52-$A144&gt;$V$35,SUM($W144:W144)&lt;&gt;$V144),$V144,0)</f>
        <v>0</v>
      </c>
      <c r="Y144" s="252">
        <f t="shared" si="113"/>
        <v>0</v>
      </c>
      <c r="Z144" s="252">
        <f t="shared" si="113"/>
        <v>0</v>
      </c>
      <c r="AA144" s="252">
        <f t="shared" si="113"/>
        <v>0</v>
      </c>
      <c r="AB144" s="252">
        <f t="shared" si="113"/>
        <v>0</v>
      </c>
      <c r="AC144" s="252">
        <f t="shared" si="113"/>
        <v>0</v>
      </c>
      <c r="AD144" s="252">
        <f t="shared" si="113"/>
        <v>0</v>
      </c>
      <c r="AE144" s="252">
        <f t="shared" si="113"/>
        <v>0</v>
      </c>
      <c r="AF144" s="252">
        <f t="shared" si="113"/>
        <v>0</v>
      </c>
      <c r="AG144" s="252">
        <f t="shared" si="113"/>
        <v>0</v>
      </c>
      <c r="AH144" s="252">
        <f t="shared" si="113"/>
        <v>0</v>
      </c>
      <c r="AI144" s="252">
        <f t="shared" si="113"/>
        <v>0</v>
      </c>
      <c r="AJ144" s="252">
        <f t="shared" si="113"/>
        <v>0</v>
      </c>
      <c r="AK144" s="252">
        <f t="shared" si="113"/>
        <v>0</v>
      </c>
      <c r="AL144" s="252">
        <f t="shared" si="113"/>
        <v>0</v>
      </c>
      <c r="AM144" s="252">
        <f t="shared" si="113"/>
        <v>0</v>
      </c>
      <c r="AN144" s="252">
        <f t="shared" si="113"/>
        <v>0</v>
      </c>
      <c r="AO144" s="252">
        <f t="shared" si="113"/>
        <v>0</v>
      </c>
      <c r="AP144" s="252">
        <f t="shared" si="113"/>
        <v>0</v>
      </c>
      <c r="AQ144" s="252">
        <f t="shared" si="113"/>
        <v>0</v>
      </c>
      <c r="AR144" s="252">
        <f t="shared" si="113"/>
        <v>0</v>
      </c>
      <c r="AS144" s="252">
        <f t="shared" si="113"/>
        <v>0</v>
      </c>
      <c r="AT144" s="252">
        <f t="shared" si="113"/>
        <v>0</v>
      </c>
      <c r="AU144" s="252">
        <f t="shared" si="113"/>
        <v>0</v>
      </c>
      <c r="AV144" s="252">
        <f t="shared" si="113"/>
        <v>0</v>
      </c>
      <c r="AW144" s="235">
        <f t="shared" si="113"/>
        <v>1415.968292</v>
      </c>
      <c r="AX144" s="252">
        <f t="shared" si="113"/>
        <v>0</v>
      </c>
      <c r="AY144" s="252">
        <f t="shared" si="113"/>
        <v>0</v>
      </c>
      <c r="AZ144" s="252">
        <f t="shared" si="113"/>
        <v>0</v>
      </c>
      <c r="BA144" s="252">
        <f t="shared" si="113"/>
        <v>0</v>
      </c>
    </row>
    <row r="145" ht="15.75" customHeight="1">
      <c r="A145" s="788">
        <v>2022.0</v>
      </c>
      <c r="B145" s="789"/>
      <c r="C145" s="789"/>
      <c r="D145" s="789"/>
      <c r="E145" s="789"/>
      <c r="F145" s="789"/>
      <c r="G145" s="789"/>
      <c r="H145" s="789"/>
      <c r="I145" s="789"/>
      <c r="J145" s="789"/>
      <c r="K145" s="789"/>
      <c r="L145" s="789"/>
      <c r="M145" s="789"/>
      <c r="N145" s="789"/>
      <c r="O145" s="789"/>
      <c r="P145" s="789"/>
      <c r="Q145" s="789"/>
      <c r="R145" s="789"/>
      <c r="S145" s="789"/>
      <c r="T145" s="789"/>
      <c r="U145" s="745" t="s">
        <v>1018</v>
      </c>
      <c r="V145" s="747">
        <v>1415.9682919150637</v>
      </c>
      <c r="W145" s="746">
        <f t="shared" si="22"/>
        <v>0</v>
      </c>
      <c r="X145" s="252">
        <f t="shared" ref="X145:BA145" si="114">IF(AND(X$52-$A145&gt;$V$35,SUM($W145:W145)&lt;&gt;$V145),$V145,0)</f>
        <v>0</v>
      </c>
      <c r="Y145" s="252">
        <f t="shared" si="114"/>
        <v>0</v>
      </c>
      <c r="Z145" s="252">
        <f t="shared" si="114"/>
        <v>0</v>
      </c>
      <c r="AA145" s="252">
        <f t="shared" si="114"/>
        <v>0</v>
      </c>
      <c r="AB145" s="252">
        <f t="shared" si="114"/>
        <v>0</v>
      </c>
      <c r="AC145" s="252">
        <f t="shared" si="114"/>
        <v>0</v>
      </c>
      <c r="AD145" s="252">
        <f t="shared" si="114"/>
        <v>0</v>
      </c>
      <c r="AE145" s="252">
        <f t="shared" si="114"/>
        <v>0</v>
      </c>
      <c r="AF145" s="252">
        <f t="shared" si="114"/>
        <v>0</v>
      </c>
      <c r="AG145" s="252">
        <f t="shared" si="114"/>
        <v>0</v>
      </c>
      <c r="AH145" s="252">
        <f t="shared" si="114"/>
        <v>0</v>
      </c>
      <c r="AI145" s="252">
        <f t="shared" si="114"/>
        <v>0</v>
      </c>
      <c r="AJ145" s="252">
        <f t="shared" si="114"/>
        <v>0</v>
      </c>
      <c r="AK145" s="252">
        <f t="shared" si="114"/>
        <v>0</v>
      </c>
      <c r="AL145" s="252">
        <f t="shared" si="114"/>
        <v>0</v>
      </c>
      <c r="AM145" s="252">
        <f t="shared" si="114"/>
        <v>0</v>
      </c>
      <c r="AN145" s="252">
        <f t="shared" si="114"/>
        <v>0</v>
      </c>
      <c r="AO145" s="252">
        <f t="shared" si="114"/>
        <v>0</v>
      </c>
      <c r="AP145" s="252">
        <f t="shared" si="114"/>
        <v>0</v>
      </c>
      <c r="AQ145" s="252">
        <f t="shared" si="114"/>
        <v>0</v>
      </c>
      <c r="AR145" s="252">
        <f t="shared" si="114"/>
        <v>0</v>
      </c>
      <c r="AS145" s="252">
        <f t="shared" si="114"/>
        <v>0</v>
      </c>
      <c r="AT145" s="252">
        <f t="shared" si="114"/>
        <v>0</v>
      </c>
      <c r="AU145" s="252">
        <f t="shared" si="114"/>
        <v>0</v>
      </c>
      <c r="AV145" s="252">
        <f t="shared" si="114"/>
        <v>0</v>
      </c>
      <c r="AW145" s="252">
        <f t="shared" si="114"/>
        <v>0</v>
      </c>
      <c r="AX145" s="235">
        <f t="shared" si="114"/>
        <v>1415.968292</v>
      </c>
      <c r="AY145" s="252">
        <f t="shared" si="114"/>
        <v>0</v>
      </c>
      <c r="AZ145" s="252">
        <f t="shared" si="114"/>
        <v>0</v>
      </c>
      <c r="BA145" s="252">
        <f t="shared" si="114"/>
        <v>0</v>
      </c>
    </row>
    <row r="146" ht="15.75" customHeight="1">
      <c r="A146" s="788">
        <v>2023.0</v>
      </c>
      <c r="B146" s="789"/>
      <c r="C146" s="789"/>
      <c r="D146" s="789"/>
      <c r="E146" s="789"/>
      <c r="F146" s="789"/>
      <c r="G146" s="789"/>
      <c r="H146" s="789"/>
      <c r="I146" s="789"/>
      <c r="J146" s="789"/>
      <c r="K146" s="789"/>
      <c r="L146" s="789"/>
      <c r="M146" s="789"/>
      <c r="N146" s="789"/>
      <c r="O146" s="789"/>
      <c r="P146" s="789"/>
      <c r="Q146" s="789"/>
      <c r="R146" s="789"/>
      <c r="S146" s="789"/>
      <c r="T146" s="789"/>
      <c r="U146" s="745" t="s">
        <v>1019</v>
      </c>
      <c r="V146" s="747">
        <v>1415.9682919150637</v>
      </c>
      <c r="W146" s="746">
        <f t="shared" si="22"/>
        <v>0</v>
      </c>
      <c r="X146" s="252">
        <f t="shared" ref="X146:BA146" si="115">IF(AND(X$52-$A146&gt;$V$35,SUM($W146:W146)&lt;&gt;$V146),$V146,0)</f>
        <v>0</v>
      </c>
      <c r="Y146" s="252">
        <f t="shared" si="115"/>
        <v>0</v>
      </c>
      <c r="Z146" s="252">
        <f t="shared" si="115"/>
        <v>0</v>
      </c>
      <c r="AA146" s="252">
        <f t="shared" si="115"/>
        <v>0</v>
      </c>
      <c r="AB146" s="252">
        <f t="shared" si="115"/>
        <v>0</v>
      </c>
      <c r="AC146" s="252">
        <f t="shared" si="115"/>
        <v>0</v>
      </c>
      <c r="AD146" s="252">
        <f t="shared" si="115"/>
        <v>0</v>
      </c>
      <c r="AE146" s="252">
        <f t="shared" si="115"/>
        <v>0</v>
      </c>
      <c r="AF146" s="252">
        <f t="shared" si="115"/>
        <v>0</v>
      </c>
      <c r="AG146" s="252">
        <f t="shared" si="115"/>
        <v>0</v>
      </c>
      <c r="AH146" s="252">
        <f t="shared" si="115"/>
        <v>0</v>
      </c>
      <c r="AI146" s="252">
        <f t="shared" si="115"/>
        <v>0</v>
      </c>
      <c r="AJ146" s="252">
        <f t="shared" si="115"/>
        <v>0</v>
      </c>
      <c r="AK146" s="252">
        <f t="shared" si="115"/>
        <v>0</v>
      </c>
      <c r="AL146" s="252">
        <f t="shared" si="115"/>
        <v>0</v>
      </c>
      <c r="AM146" s="252">
        <f t="shared" si="115"/>
        <v>0</v>
      </c>
      <c r="AN146" s="252">
        <f t="shared" si="115"/>
        <v>0</v>
      </c>
      <c r="AO146" s="252">
        <f t="shared" si="115"/>
        <v>0</v>
      </c>
      <c r="AP146" s="252">
        <f t="shared" si="115"/>
        <v>0</v>
      </c>
      <c r="AQ146" s="252">
        <f t="shared" si="115"/>
        <v>0</v>
      </c>
      <c r="AR146" s="252">
        <f t="shared" si="115"/>
        <v>0</v>
      </c>
      <c r="AS146" s="252">
        <f t="shared" si="115"/>
        <v>0</v>
      </c>
      <c r="AT146" s="252">
        <f t="shared" si="115"/>
        <v>0</v>
      </c>
      <c r="AU146" s="252">
        <f t="shared" si="115"/>
        <v>0</v>
      </c>
      <c r="AV146" s="252">
        <f t="shared" si="115"/>
        <v>0</v>
      </c>
      <c r="AW146" s="252">
        <f t="shared" si="115"/>
        <v>0</v>
      </c>
      <c r="AX146" s="252">
        <f t="shared" si="115"/>
        <v>0</v>
      </c>
      <c r="AY146" s="235">
        <f t="shared" si="115"/>
        <v>1415.968292</v>
      </c>
      <c r="AZ146" s="252">
        <f t="shared" si="115"/>
        <v>0</v>
      </c>
      <c r="BA146" s="252">
        <f t="shared" si="115"/>
        <v>0</v>
      </c>
    </row>
    <row r="147" ht="15.75" customHeight="1">
      <c r="A147" s="788">
        <v>2024.0</v>
      </c>
      <c r="B147" s="789"/>
      <c r="C147" s="789"/>
      <c r="D147" s="789"/>
      <c r="E147" s="789"/>
      <c r="F147" s="789"/>
      <c r="G147" s="789"/>
      <c r="H147" s="789"/>
      <c r="I147" s="789"/>
      <c r="J147" s="789"/>
      <c r="K147" s="789"/>
      <c r="L147" s="789"/>
      <c r="M147" s="789"/>
      <c r="N147" s="789"/>
      <c r="O147" s="789"/>
      <c r="P147" s="789"/>
      <c r="Q147" s="789"/>
      <c r="R147" s="789"/>
      <c r="S147" s="789"/>
      <c r="T147" s="789"/>
      <c r="U147" s="789"/>
      <c r="V147" s="747">
        <v>1415.9682919150637</v>
      </c>
      <c r="W147" s="746">
        <f t="shared" si="22"/>
        <v>0</v>
      </c>
      <c r="X147" s="252">
        <f t="shared" ref="X147:BA147" si="116">IF(AND(X$52-$A147&gt;$V$35,SUM($W147:W147)&lt;&gt;$V147),$V147,0)</f>
        <v>0</v>
      </c>
      <c r="Y147" s="252">
        <f t="shared" si="116"/>
        <v>0</v>
      </c>
      <c r="Z147" s="252">
        <f t="shared" si="116"/>
        <v>0</v>
      </c>
      <c r="AA147" s="252">
        <f t="shared" si="116"/>
        <v>0</v>
      </c>
      <c r="AB147" s="252">
        <f t="shared" si="116"/>
        <v>0</v>
      </c>
      <c r="AC147" s="252">
        <f t="shared" si="116"/>
        <v>0</v>
      </c>
      <c r="AD147" s="252">
        <f t="shared" si="116"/>
        <v>0</v>
      </c>
      <c r="AE147" s="252">
        <f t="shared" si="116"/>
        <v>0</v>
      </c>
      <c r="AF147" s="252">
        <f t="shared" si="116"/>
        <v>0</v>
      </c>
      <c r="AG147" s="252">
        <f t="shared" si="116"/>
        <v>0</v>
      </c>
      <c r="AH147" s="252">
        <f t="shared" si="116"/>
        <v>0</v>
      </c>
      <c r="AI147" s="252">
        <f t="shared" si="116"/>
        <v>0</v>
      </c>
      <c r="AJ147" s="252">
        <f t="shared" si="116"/>
        <v>0</v>
      </c>
      <c r="AK147" s="252">
        <f t="shared" si="116"/>
        <v>0</v>
      </c>
      <c r="AL147" s="252">
        <f t="shared" si="116"/>
        <v>0</v>
      </c>
      <c r="AM147" s="252">
        <f t="shared" si="116"/>
        <v>0</v>
      </c>
      <c r="AN147" s="252">
        <f t="shared" si="116"/>
        <v>0</v>
      </c>
      <c r="AO147" s="252">
        <f t="shared" si="116"/>
        <v>0</v>
      </c>
      <c r="AP147" s="252">
        <f t="shared" si="116"/>
        <v>0</v>
      </c>
      <c r="AQ147" s="252">
        <f t="shared" si="116"/>
        <v>0</v>
      </c>
      <c r="AR147" s="252">
        <f t="shared" si="116"/>
        <v>0</v>
      </c>
      <c r="AS147" s="252">
        <f t="shared" si="116"/>
        <v>0</v>
      </c>
      <c r="AT147" s="252">
        <f t="shared" si="116"/>
        <v>0</v>
      </c>
      <c r="AU147" s="252">
        <f t="shared" si="116"/>
        <v>0</v>
      </c>
      <c r="AV147" s="252">
        <f t="shared" si="116"/>
        <v>0</v>
      </c>
      <c r="AW147" s="252">
        <f t="shared" si="116"/>
        <v>0</v>
      </c>
      <c r="AX147" s="252">
        <f t="shared" si="116"/>
        <v>0</v>
      </c>
      <c r="AY147" s="252">
        <f t="shared" si="116"/>
        <v>0</v>
      </c>
      <c r="AZ147" s="235">
        <f t="shared" si="116"/>
        <v>1415.968292</v>
      </c>
      <c r="BA147" s="252">
        <f t="shared" si="116"/>
        <v>0</v>
      </c>
    </row>
    <row r="148" ht="15.75" customHeight="1">
      <c r="A148" s="788">
        <v>2025.0</v>
      </c>
      <c r="B148" s="789"/>
      <c r="C148" s="789"/>
      <c r="D148" s="789"/>
      <c r="E148" s="789"/>
      <c r="F148" s="789"/>
      <c r="G148" s="789"/>
      <c r="H148" s="789"/>
      <c r="I148" s="789"/>
      <c r="J148" s="789"/>
      <c r="K148" s="789"/>
      <c r="L148" s="789"/>
      <c r="M148" s="789"/>
      <c r="N148" s="789"/>
      <c r="O148" s="789"/>
      <c r="P148" s="789"/>
      <c r="Q148" s="789"/>
      <c r="R148" s="789"/>
      <c r="S148" s="789"/>
      <c r="T148" s="789"/>
      <c r="U148" s="789"/>
      <c r="V148" s="747">
        <v>1415.9682919150637</v>
      </c>
      <c r="W148" s="746">
        <f t="shared" si="22"/>
        <v>0</v>
      </c>
      <c r="X148" s="252">
        <f t="shared" ref="X148:BA148" si="117">IF(AND(X$52-$A148&gt;$V$35,SUM($W148:W148)&lt;&gt;$V148),$V148,0)</f>
        <v>0</v>
      </c>
      <c r="Y148" s="252">
        <f t="shared" si="117"/>
        <v>0</v>
      </c>
      <c r="Z148" s="252">
        <f t="shared" si="117"/>
        <v>0</v>
      </c>
      <c r="AA148" s="252">
        <f t="shared" si="117"/>
        <v>0</v>
      </c>
      <c r="AB148" s="252">
        <f t="shared" si="117"/>
        <v>0</v>
      </c>
      <c r="AC148" s="252">
        <f t="shared" si="117"/>
        <v>0</v>
      </c>
      <c r="AD148" s="252">
        <f t="shared" si="117"/>
        <v>0</v>
      </c>
      <c r="AE148" s="252">
        <f t="shared" si="117"/>
        <v>0</v>
      </c>
      <c r="AF148" s="252">
        <f t="shared" si="117"/>
        <v>0</v>
      </c>
      <c r="AG148" s="252">
        <f t="shared" si="117"/>
        <v>0</v>
      </c>
      <c r="AH148" s="252">
        <f t="shared" si="117"/>
        <v>0</v>
      </c>
      <c r="AI148" s="252">
        <f t="shared" si="117"/>
        <v>0</v>
      </c>
      <c r="AJ148" s="252">
        <f t="shared" si="117"/>
        <v>0</v>
      </c>
      <c r="AK148" s="252">
        <f t="shared" si="117"/>
        <v>0</v>
      </c>
      <c r="AL148" s="252">
        <f t="shared" si="117"/>
        <v>0</v>
      </c>
      <c r="AM148" s="252">
        <f t="shared" si="117"/>
        <v>0</v>
      </c>
      <c r="AN148" s="252">
        <f t="shared" si="117"/>
        <v>0</v>
      </c>
      <c r="AO148" s="252">
        <f t="shared" si="117"/>
        <v>0</v>
      </c>
      <c r="AP148" s="252">
        <f t="shared" si="117"/>
        <v>0</v>
      </c>
      <c r="AQ148" s="252">
        <f t="shared" si="117"/>
        <v>0</v>
      </c>
      <c r="AR148" s="252">
        <f t="shared" si="117"/>
        <v>0</v>
      </c>
      <c r="AS148" s="252">
        <f t="shared" si="117"/>
        <v>0</v>
      </c>
      <c r="AT148" s="252">
        <f t="shared" si="117"/>
        <v>0</v>
      </c>
      <c r="AU148" s="252">
        <f t="shared" si="117"/>
        <v>0</v>
      </c>
      <c r="AV148" s="252">
        <f t="shared" si="117"/>
        <v>0</v>
      </c>
      <c r="AW148" s="252">
        <f t="shared" si="117"/>
        <v>0</v>
      </c>
      <c r="AX148" s="252">
        <f t="shared" si="117"/>
        <v>0</v>
      </c>
      <c r="AY148" s="252">
        <f t="shared" si="117"/>
        <v>0</v>
      </c>
      <c r="AZ148" s="252">
        <f t="shared" si="117"/>
        <v>0</v>
      </c>
      <c r="BA148" s="235">
        <f t="shared" si="117"/>
        <v>1415.968292</v>
      </c>
    </row>
    <row r="149" ht="15.75" customHeight="1">
      <c r="A149" s="788">
        <v>2026.0</v>
      </c>
      <c r="B149" s="789"/>
      <c r="C149" s="789"/>
      <c r="D149" s="789"/>
      <c r="E149" s="789"/>
      <c r="F149" s="789"/>
      <c r="G149" s="789"/>
      <c r="H149" s="789"/>
      <c r="I149" s="789"/>
      <c r="J149" s="789"/>
      <c r="K149" s="789"/>
      <c r="L149" s="789"/>
      <c r="M149" s="789"/>
      <c r="N149" s="789"/>
      <c r="O149" s="789"/>
      <c r="P149" s="789"/>
      <c r="Q149" s="789"/>
      <c r="R149" s="789"/>
      <c r="S149" s="789"/>
      <c r="T149" s="789"/>
      <c r="U149" s="789"/>
      <c r="V149" s="747">
        <v>1415.9682919150637</v>
      </c>
      <c r="W149" s="746">
        <f t="shared" si="22"/>
        <v>0</v>
      </c>
      <c r="X149" s="252">
        <f t="shared" ref="X149:BA149" si="118">IF(AND(X$52-$A149&gt;$V$35,SUM($W149:W149)&lt;&gt;$V149),$V149,0)</f>
        <v>0</v>
      </c>
      <c r="Y149" s="252">
        <f t="shared" si="118"/>
        <v>0</v>
      </c>
      <c r="Z149" s="252">
        <f t="shared" si="118"/>
        <v>0</v>
      </c>
      <c r="AA149" s="252">
        <f t="shared" si="118"/>
        <v>0</v>
      </c>
      <c r="AB149" s="252">
        <f t="shared" si="118"/>
        <v>0</v>
      </c>
      <c r="AC149" s="252">
        <f t="shared" si="118"/>
        <v>0</v>
      </c>
      <c r="AD149" s="252">
        <f t="shared" si="118"/>
        <v>0</v>
      </c>
      <c r="AE149" s="252">
        <f t="shared" si="118"/>
        <v>0</v>
      </c>
      <c r="AF149" s="252">
        <f t="shared" si="118"/>
        <v>0</v>
      </c>
      <c r="AG149" s="252">
        <f t="shared" si="118"/>
        <v>0</v>
      </c>
      <c r="AH149" s="252">
        <f t="shared" si="118"/>
        <v>0</v>
      </c>
      <c r="AI149" s="252">
        <f t="shared" si="118"/>
        <v>0</v>
      </c>
      <c r="AJ149" s="252">
        <f t="shared" si="118"/>
        <v>0</v>
      </c>
      <c r="AK149" s="252">
        <f t="shared" si="118"/>
        <v>0</v>
      </c>
      <c r="AL149" s="252">
        <f t="shared" si="118"/>
        <v>0</v>
      </c>
      <c r="AM149" s="252">
        <f t="shared" si="118"/>
        <v>0</v>
      </c>
      <c r="AN149" s="252">
        <f t="shared" si="118"/>
        <v>0</v>
      </c>
      <c r="AO149" s="252">
        <f t="shared" si="118"/>
        <v>0</v>
      </c>
      <c r="AP149" s="252">
        <f t="shared" si="118"/>
        <v>0</v>
      </c>
      <c r="AQ149" s="252">
        <f t="shared" si="118"/>
        <v>0</v>
      </c>
      <c r="AR149" s="252">
        <f t="shared" si="118"/>
        <v>0</v>
      </c>
      <c r="AS149" s="252">
        <f t="shared" si="118"/>
        <v>0</v>
      </c>
      <c r="AT149" s="252">
        <f t="shared" si="118"/>
        <v>0</v>
      </c>
      <c r="AU149" s="252">
        <f t="shared" si="118"/>
        <v>0</v>
      </c>
      <c r="AV149" s="252">
        <f t="shared" si="118"/>
        <v>0</v>
      </c>
      <c r="AW149" s="252">
        <f t="shared" si="118"/>
        <v>0</v>
      </c>
      <c r="AX149" s="252">
        <f t="shared" si="118"/>
        <v>0</v>
      </c>
      <c r="AY149" s="252">
        <f t="shared" si="118"/>
        <v>0</v>
      </c>
      <c r="AZ149" s="252">
        <f t="shared" si="118"/>
        <v>0</v>
      </c>
      <c r="BA149" s="252">
        <f t="shared" si="118"/>
        <v>0</v>
      </c>
    </row>
    <row r="150" ht="15.75" customHeight="1">
      <c r="A150" s="788">
        <v>2027.0</v>
      </c>
      <c r="B150" s="789"/>
      <c r="C150" s="789"/>
      <c r="D150" s="789"/>
      <c r="E150" s="789"/>
      <c r="F150" s="789"/>
      <c r="G150" s="789"/>
      <c r="H150" s="789"/>
      <c r="I150" s="789"/>
      <c r="J150" s="789"/>
      <c r="K150" s="789"/>
      <c r="L150" s="789"/>
      <c r="M150" s="789"/>
      <c r="N150" s="789"/>
      <c r="O150" s="789"/>
      <c r="P150" s="789"/>
      <c r="Q150" s="789"/>
      <c r="R150" s="789"/>
      <c r="S150" s="789"/>
      <c r="T150" s="789"/>
      <c r="U150" s="789"/>
      <c r="V150" s="747">
        <v>1415.9682919150637</v>
      </c>
      <c r="W150" s="746">
        <f t="shared" si="22"/>
        <v>0</v>
      </c>
      <c r="X150" s="252">
        <f t="shared" ref="X150:BA150" si="119">IF(AND(X$52-$A150&gt;$V$35,SUM($W150:W150)&lt;&gt;$V150),$V150,0)</f>
        <v>0</v>
      </c>
      <c r="Y150" s="252">
        <f t="shared" si="119"/>
        <v>0</v>
      </c>
      <c r="Z150" s="252">
        <f t="shared" si="119"/>
        <v>0</v>
      </c>
      <c r="AA150" s="252">
        <f t="shared" si="119"/>
        <v>0</v>
      </c>
      <c r="AB150" s="252">
        <f t="shared" si="119"/>
        <v>0</v>
      </c>
      <c r="AC150" s="252">
        <f t="shared" si="119"/>
        <v>0</v>
      </c>
      <c r="AD150" s="252">
        <f t="shared" si="119"/>
        <v>0</v>
      </c>
      <c r="AE150" s="252">
        <f t="shared" si="119"/>
        <v>0</v>
      </c>
      <c r="AF150" s="252">
        <f t="shared" si="119"/>
        <v>0</v>
      </c>
      <c r="AG150" s="252">
        <f t="shared" si="119"/>
        <v>0</v>
      </c>
      <c r="AH150" s="252">
        <f t="shared" si="119"/>
        <v>0</v>
      </c>
      <c r="AI150" s="252">
        <f t="shared" si="119"/>
        <v>0</v>
      </c>
      <c r="AJ150" s="252">
        <f t="shared" si="119"/>
        <v>0</v>
      </c>
      <c r="AK150" s="252">
        <f t="shared" si="119"/>
        <v>0</v>
      </c>
      <c r="AL150" s="252">
        <f t="shared" si="119"/>
        <v>0</v>
      </c>
      <c r="AM150" s="252">
        <f t="shared" si="119"/>
        <v>0</v>
      </c>
      <c r="AN150" s="252">
        <f t="shared" si="119"/>
        <v>0</v>
      </c>
      <c r="AO150" s="252">
        <f t="shared" si="119"/>
        <v>0</v>
      </c>
      <c r="AP150" s="252">
        <f t="shared" si="119"/>
        <v>0</v>
      </c>
      <c r="AQ150" s="252">
        <f t="shared" si="119"/>
        <v>0</v>
      </c>
      <c r="AR150" s="252">
        <f t="shared" si="119"/>
        <v>0</v>
      </c>
      <c r="AS150" s="252">
        <f t="shared" si="119"/>
        <v>0</v>
      </c>
      <c r="AT150" s="252">
        <f t="shared" si="119"/>
        <v>0</v>
      </c>
      <c r="AU150" s="252">
        <f t="shared" si="119"/>
        <v>0</v>
      </c>
      <c r="AV150" s="252">
        <f t="shared" si="119"/>
        <v>0</v>
      </c>
      <c r="AW150" s="252">
        <f t="shared" si="119"/>
        <v>0</v>
      </c>
      <c r="AX150" s="252">
        <f t="shared" si="119"/>
        <v>0</v>
      </c>
      <c r="AY150" s="252">
        <f t="shared" si="119"/>
        <v>0</v>
      </c>
      <c r="AZ150" s="252">
        <f t="shared" si="119"/>
        <v>0</v>
      </c>
      <c r="BA150" s="252">
        <f t="shared" si="119"/>
        <v>0</v>
      </c>
    </row>
    <row r="151" ht="15.75" customHeight="1">
      <c r="A151" s="788">
        <v>2028.0</v>
      </c>
      <c r="B151" s="789"/>
      <c r="C151" s="789"/>
      <c r="D151" s="789"/>
      <c r="E151" s="789"/>
      <c r="F151" s="789"/>
      <c r="G151" s="789"/>
      <c r="H151" s="789"/>
      <c r="I151" s="789"/>
      <c r="J151" s="789"/>
      <c r="K151" s="789"/>
      <c r="L151" s="789"/>
      <c r="M151" s="789"/>
      <c r="N151" s="789"/>
      <c r="O151" s="789"/>
      <c r="P151" s="789"/>
      <c r="Q151" s="789"/>
      <c r="R151" s="789"/>
      <c r="S151" s="789"/>
      <c r="T151" s="789"/>
      <c r="U151" s="789"/>
      <c r="V151" s="747">
        <v>1415.9682919150619</v>
      </c>
      <c r="W151" s="746">
        <f t="shared" si="22"/>
        <v>0</v>
      </c>
      <c r="X151" s="252">
        <f t="shared" ref="X151:BA151" si="120">IF(AND(X$52-$A151&gt;$V$35,SUM($W151:W151)&lt;&gt;$V151),$V151,0)</f>
        <v>0</v>
      </c>
      <c r="Y151" s="252">
        <f t="shared" si="120"/>
        <v>0</v>
      </c>
      <c r="Z151" s="252">
        <f t="shared" si="120"/>
        <v>0</v>
      </c>
      <c r="AA151" s="252">
        <f t="shared" si="120"/>
        <v>0</v>
      </c>
      <c r="AB151" s="252">
        <f t="shared" si="120"/>
        <v>0</v>
      </c>
      <c r="AC151" s="252">
        <f t="shared" si="120"/>
        <v>0</v>
      </c>
      <c r="AD151" s="252">
        <f t="shared" si="120"/>
        <v>0</v>
      </c>
      <c r="AE151" s="252">
        <f t="shared" si="120"/>
        <v>0</v>
      </c>
      <c r="AF151" s="252">
        <f t="shared" si="120"/>
        <v>0</v>
      </c>
      <c r="AG151" s="252">
        <f t="shared" si="120"/>
        <v>0</v>
      </c>
      <c r="AH151" s="252">
        <f t="shared" si="120"/>
        <v>0</v>
      </c>
      <c r="AI151" s="252">
        <f t="shared" si="120"/>
        <v>0</v>
      </c>
      <c r="AJ151" s="252">
        <f t="shared" si="120"/>
        <v>0</v>
      </c>
      <c r="AK151" s="252">
        <f t="shared" si="120"/>
        <v>0</v>
      </c>
      <c r="AL151" s="252">
        <f t="shared" si="120"/>
        <v>0</v>
      </c>
      <c r="AM151" s="252">
        <f t="shared" si="120"/>
        <v>0</v>
      </c>
      <c r="AN151" s="252">
        <f t="shared" si="120"/>
        <v>0</v>
      </c>
      <c r="AO151" s="252">
        <f t="shared" si="120"/>
        <v>0</v>
      </c>
      <c r="AP151" s="252">
        <f t="shared" si="120"/>
        <v>0</v>
      </c>
      <c r="AQ151" s="252">
        <f t="shared" si="120"/>
        <v>0</v>
      </c>
      <c r="AR151" s="252">
        <f t="shared" si="120"/>
        <v>0</v>
      </c>
      <c r="AS151" s="252">
        <f t="shared" si="120"/>
        <v>0</v>
      </c>
      <c r="AT151" s="252">
        <f t="shared" si="120"/>
        <v>0</v>
      </c>
      <c r="AU151" s="252">
        <f t="shared" si="120"/>
        <v>0</v>
      </c>
      <c r="AV151" s="252">
        <f t="shared" si="120"/>
        <v>0</v>
      </c>
      <c r="AW151" s="252">
        <f t="shared" si="120"/>
        <v>0</v>
      </c>
      <c r="AX151" s="252">
        <f t="shared" si="120"/>
        <v>0</v>
      </c>
      <c r="AY151" s="252">
        <f t="shared" si="120"/>
        <v>0</v>
      </c>
      <c r="AZ151" s="252">
        <f t="shared" si="120"/>
        <v>0</v>
      </c>
      <c r="BA151" s="252">
        <f t="shared" si="120"/>
        <v>0</v>
      </c>
    </row>
    <row r="152" ht="15.75" customHeight="1">
      <c r="A152" s="788">
        <v>2029.0</v>
      </c>
      <c r="B152" s="789"/>
      <c r="C152" s="789"/>
      <c r="D152" s="789"/>
      <c r="E152" s="789"/>
      <c r="F152" s="789"/>
      <c r="G152" s="789"/>
      <c r="H152" s="789"/>
      <c r="I152" s="789"/>
      <c r="J152" s="789"/>
      <c r="K152" s="789"/>
      <c r="L152" s="789"/>
      <c r="M152" s="789"/>
      <c r="N152" s="789"/>
      <c r="O152" s="789"/>
      <c r="P152" s="789"/>
      <c r="Q152" s="789"/>
      <c r="R152" s="789"/>
      <c r="S152" s="789"/>
      <c r="T152" s="789"/>
      <c r="U152" s="789"/>
      <c r="V152" s="747">
        <v>1415.9682919150619</v>
      </c>
      <c r="W152" s="746">
        <f t="shared" si="22"/>
        <v>0</v>
      </c>
      <c r="X152" s="252">
        <f t="shared" ref="X152:BA152" si="121">IF(AND(X$52-$A152&gt;$V$35,SUM($W152:W152)&lt;&gt;$V152),$V152,0)</f>
        <v>0</v>
      </c>
      <c r="Y152" s="252">
        <f t="shared" si="121"/>
        <v>0</v>
      </c>
      <c r="Z152" s="252">
        <f t="shared" si="121"/>
        <v>0</v>
      </c>
      <c r="AA152" s="252">
        <f t="shared" si="121"/>
        <v>0</v>
      </c>
      <c r="AB152" s="252">
        <f t="shared" si="121"/>
        <v>0</v>
      </c>
      <c r="AC152" s="252">
        <f t="shared" si="121"/>
        <v>0</v>
      </c>
      <c r="AD152" s="252">
        <f t="shared" si="121"/>
        <v>0</v>
      </c>
      <c r="AE152" s="252">
        <f t="shared" si="121"/>
        <v>0</v>
      </c>
      <c r="AF152" s="252">
        <f t="shared" si="121"/>
        <v>0</v>
      </c>
      <c r="AG152" s="252">
        <f t="shared" si="121"/>
        <v>0</v>
      </c>
      <c r="AH152" s="252">
        <f t="shared" si="121"/>
        <v>0</v>
      </c>
      <c r="AI152" s="252">
        <f t="shared" si="121"/>
        <v>0</v>
      </c>
      <c r="AJ152" s="252">
        <f t="shared" si="121"/>
        <v>0</v>
      </c>
      <c r="AK152" s="252">
        <f t="shared" si="121"/>
        <v>0</v>
      </c>
      <c r="AL152" s="252">
        <f t="shared" si="121"/>
        <v>0</v>
      </c>
      <c r="AM152" s="252">
        <f t="shared" si="121"/>
        <v>0</v>
      </c>
      <c r="AN152" s="252">
        <f t="shared" si="121"/>
        <v>0</v>
      </c>
      <c r="AO152" s="252">
        <f t="shared" si="121"/>
        <v>0</v>
      </c>
      <c r="AP152" s="252">
        <f t="shared" si="121"/>
        <v>0</v>
      </c>
      <c r="AQ152" s="252">
        <f t="shared" si="121"/>
        <v>0</v>
      </c>
      <c r="AR152" s="252">
        <f t="shared" si="121"/>
        <v>0</v>
      </c>
      <c r="AS152" s="252">
        <f t="shared" si="121"/>
        <v>0</v>
      </c>
      <c r="AT152" s="252">
        <f t="shared" si="121"/>
        <v>0</v>
      </c>
      <c r="AU152" s="252">
        <f t="shared" si="121"/>
        <v>0</v>
      </c>
      <c r="AV152" s="252">
        <f t="shared" si="121"/>
        <v>0</v>
      </c>
      <c r="AW152" s="252">
        <f t="shared" si="121"/>
        <v>0</v>
      </c>
      <c r="AX152" s="252">
        <f t="shared" si="121"/>
        <v>0</v>
      </c>
      <c r="AY152" s="252">
        <f t="shared" si="121"/>
        <v>0</v>
      </c>
      <c r="AZ152" s="252">
        <f t="shared" si="121"/>
        <v>0</v>
      </c>
      <c r="BA152" s="252">
        <f t="shared" si="121"/>
        <v>0</v>
      </c>
    </row>
    <row r="153" ht="15.75" customHeight="1">
      <c r="A153" s="788">
        <v>2030.0</v>
      </c>
      <c r="B153" s="789"/>
      <c r="C153" s="789"/>
      <c r="D153" s="789"/>
      <c r="E153" s="789"/>
      <c r="F153" s="789"/>
      <c r="G153" s="789"/>
      <c r="H153" s="789"/>
      <c r="I153" s="789"/>
      <c r="J153" s="789"/>
      <c r="K153" s="789"/>
      <c r="L153" s="789"/>
      <c r="M153" s="789"/>
      <c r="N153" s="789"/>
      <c r="O153" s="789"/>
      <c r="P153" s="789"/>
      <c r="Q153" s="789"/>
      <c r="R153" s="789"/>
      <c r="S153" s="789"/>
      <c r="T153" s="789"/>
      <c r="U153" s="789"/>
      <c r="V153" s="747">
        <v>1415.9682919150619</v>
      </c>
      <c r="W153" s="746">
        <f t="shared" si="22"/>
        <v>0</v>
      </c>
      <c r="X153" s="252">
        <f t="shared" ref="X153:BA153" si="122">IF(AND(X$52-$A153&gt;$V$35,SUM($W153:W153)&lt;&gt;$V153),$V153,0)</f>
        <v>0</v>
      </c>
      <c r="Y153" s="252">
        <f t="shared" si="122"/>
        <v>0</v>
      </c>
      <c r="Z153" s="252">
        <f t="shared" si="122"/>
        <v>0</v>
      </c>
      <c r="AA153" s="252">
        <f t="shared" si="122"/>
        <v>0</v>
      </c>
      <c r="AB153" s="252">
        <f t="shared" si="122"/>
        <v>0</v>
      </c>
      <c r="AC153" s="252">
        <f t="shared" si="122"/>
        <v>0</v>
      </c>
      <c r="AD153" s="252">
        <f t="shared" si="122"/>
        <v>0</v>
      </c>
      <c r="AE153" s="252">
        <f t="shared" si="122"/>
        <v>0</v>
      </c>
      <c r="AF153" s="252">
        <f t="shared" si="122"/>
        <v>0</v>
      </c>
      <c r="AG153" s="252">
        <f t="shared" si="122"/>
        <v>0</v>
      </c>
      <c r="AH153" s="252">
        <f t="shared" si="122"/>
        <v>0</v>
      </c>
      <c r="AI153" s="252">
        <f t="shared" si="122"/>
        <v>0</v>
      </c>
      <c r="AJ153" s="252">
        <f t="shared" si="122"/>
        <v>0</v>
      </c>
      <c r="AK153" s="252">
        <f t="shared" si="122"/>
        <v>0</v>
      </c>
      <c r="AL153" s="252">
        <f t="shared" si="122"/>
        <v>0</v>
      </c>
      <c r="AM153" s="252">
        <f t="shared" si="122"/>
        <v>0</v>
      </c>
      <c r="AN153" s="252">
        <f t="shared" si="122"/>
        <v>0</v>
      </c>
      <c r="AO153" s="252">
        <f t="shared" si="122"/>
        <v>0</v>
      </c>
      <c r="AP153" s="252">
        <f t="shared" si="122"/>
        <v>0</v>
      </c>
      <c r="AQ153" s="252">
        <f t="shared" si="122"/>
        <v>0</v>
      </c>
      <c r="AR153" s="252">
        <f t="shared" si="122"/>
        <v>0</v>
      </c>
      <c r="AS153" s="252">
        <f t="shared" si="122"/>
        <v>0</v>
      </c>
      <c r="AT153" s="252">
        <f t="shared" si="122"/>
        <v>0</v>
      </c>
      <c r="AU153" s="252">
        <f t="shared" si="122"/>
        <v>0</v>
      </c>
      <c r="AV153" s="252">
        <f t="shared" si="122"/>
        <v>0</v>
      </c>
      <c r="AW153" s="252">
        <f t="shared" si="122"/>
        <v>0</v>
      </c>
      <c r="AX153" s="252">
        <f t="shared" si="122"/>
        <v>0</v>
      </c>
      <c r="AY153" s="252">
        <f t="shared" si="122"/>
        <v>0</v>
      </c>
      <c r="AZ153" s="252">
        <f t="shared" si="122"/>
        <v>0</v>
      </c>
      <c r="BA153" s="252">
        <f t="shared" si="122"/>
        <v>0</v>
      </c>
    </row>
    <row r="154" ht="15.75" customHeight="1">
      <c r="A154" s="788">
        <v>2031.0</v>
      </c>
      <c r="B154" s="789"/>
      <c r="C154" s="789"/>
      <c r="D154" s="789"/>
      <c r="E154" s="789"/>
      <c r="F154" s="789"/>
      <c r="G154" s="789"/>
      <c r="H154" s="789"/>
      <c r="I154" s="789"/>
      <c r="J154" s="789"/>
      <c r="K154" s="789"/>
      <c r="L154" s="789"/>
      <c r="M154" s="789"/>
      <c r="N154" s="789"/>
      <c r="O154" s="789"/>
      <c r="P154" s="789"/>
      <c r="Q154" s="789"/>
      <c r="R154" s="789"/>
      <c r="S154" s="789"/>
      <c r="T154" s="789"/>
      <c r="U154" s="789"/>
      <c r="V154" s="747">
        <v>1415.9682919150619</v>
      </c>
      <c r="W154" s="746">
        <f t="shared" si="22"/>
        <v>0</v>
      </c>
      <c r="X154" s="252">
        <f t="shared" ref="X154:BA154" si="123">IF(AND(X$52-$A154&gt;$V$35,SUM($W154:W154)&lt;&gt;$V154),$V154,0)</f>
        <v>0</v>
      </c>
      <c r="Y154" s="252">
        <f t="shared" si="123"/>
        <v>0</v>
      </c>
      <c r="Z154" s="252">
        <f t="shared" si="123"/>
        <v>0</v>
      </c>
      <c r="AA154" s="252">
        <f t="shared" si="123"/>
        <v>0</v>
      </c>
      <c r="AB154" s="252">
        <f t="shared" si="123"/>
        <v>0</v>
      </c>
      <c r="AC154" s="252">
        <f t="shared" si="123"/>
        <v>0</v>
      </c>
      <c r="AD154" s="252">
        <f t="shared" si="123"/>
        <v>0</v>
      </c>
      <c r="AE154" s="252">
        <f t="shared" si="123"/>
        <v>0</v>
      </c>
      <c r="AF154" s="252">
        <f t="shared" si="123"/>
        <v>0</v>
      </c>
      <c r="AG154" s="252">
        <f t="shared" si="123"/>
        <v>0</v>
      </c>
      <c r="AH154" s="252">
        <f t="shared" si="123"/>
        <v>0</v>
      </c>
      <c r="AI154" s="252">
        <f t="shared" si="123"/>
        <v>0</v>
      </c>
      <c r="AJ154" s="252">
        <f t="shared" si="123"/>
        <v>0</v>
      </c>
      <c r="AK154" s="252">
        <f t="shared" si="123"/>
        <v>0</v>
      </c>
      <c r="AL154" s="252">
        <f t="shared" si="123"/>
        <v>0</v>
      </c>
      <c r="AM154" s="252">
        <f t="shared" si="123"/>
        <v>0</v>
      </c>
      <c r="AN154" s="252">
        <f t="shared" si="123"/>
        <v>0</v>
      </c>
      <c r="AO154" s="252">
        <f t="shared" si="123"/>
        <v>0</v>
      </c>
      <c r="AP154" s="252">
        <f t="shared" si="123"/>
        <v>0</v>
      </c>
      <c r="AQ154" s="252">
        <f t="shared" si="123"/>
        <v>0</v>
      </c>
      <c r="AR154" s="252">
        <f t="shared" si="123"/>
        <v>0</v>
      </c>
      <c r="AS154" s="252">
        <f t="shared" si="123"/>
        <v>0</v>
      </c>
      <c r="AT154" s="252">
        <f t="shared" si="123"/>
        <v>0</v>
      </c>
      <c r="AU154" s="252">
        <f t="shared" si="123"/>
        <v>0</v>
      </c>
      <c r="AV154" s="252">
        <f t="shared" si="123"/>
        <v>0</v>
      </c>
      <c r="AW154" s="252">
        <f t="shared" si="123"/>
        <v>0</v>
      </c>
      <c r="AX154" s="252">
        <f t="shared" si="123"/>
        <v>0</v>
      </c>
      <c r="AY154" s="252">
        <f t="shared" si="123"/>
        <v>0</v>
      </c>
      <c r="AZ154" s="252">
        <f t="shared" si="123"/>
        <v>0</v>
      </c>
      <c r="BA154" s="252">
        <f t="shared" si="123"/>
        <v>0</v>
      </c>
    </row>
    <row r="155" ht="15.75" customHeight="1">
      <c r="A155" s="788">
        <v>2032.0</v>
      </c>
      <c r="B155" s="789"/>
      <c r="C155" s="789"/>
      <c r="D155" s="789"/>
      <c r="E155" s="789"/>
      <c r="F155" s="789"/>
      <c r="G155" s="789"/>
      <c r="H155" s="789"/>
      <c r="I155" s="789"/>
      <c r="J155" s="789"/>
      <c r="K155" s="789"/>
      <c r="L155" s="789"/>
      <c r="M155" s="789"/>
      <c r="N155" s="789"/>
      <c r="O155" s="789"/>
      <c r="P155" s="789"/>
      <c r="Q155" s="789"/>
      <c r="R155" s="789"/>
      <c r="S155" s="789"/>
      <c r="T155" s="789"/>
      <c r="U155" s="789"/>
      <c r="V155" s="747">
        <v>1415.9682919150619</v>
      </c>
      <c r="W155" s="746">
        <f t="shared" si="22"/>
        <v>0</v>
      </c>
      <c r="X155" s="252">
        <f t="shared" ref="X155:BA155" si="124">IF(AND(X$52-$A155&gt;$V$35,SUM($W155:W155)&lt;&gt;$V155),$V155,0)</f>
        <v>0</v>
      </c>
      <c r="Y155" s="252">
        <f t="shared" si="124"/>
        <v>0</v>
      </c>
      <c r="Z155" s="252">
        <f t="shared" si="124"/>
        <v>0</v>
      </c>
      <c r="AA155" s="252">
        <f t="shared" si="124"/>
        <v>0</v>
      </c>
      <c r="AB155" s="252">
        <f t="shared" si="124"/>
        <v>0</v>
      </c>
      <c r="AC155" s="252">
        <f t="shared" si="124"/>
        <v>0</v>
      </c>
      <c r="AD155" s="252">
        <f t="shared" si="124"/>
        <v>0</v>
      </c>
      <c r="AE155" s="252">
        <f t="shared" si="124"/>
        <v>0</v>
      </c>
      <c r="AF155" s="252">
        <f t="shared" si="124"/>
        <v>0</v>
      </c>
      <c r="AG155" s="252">
        <f t="shared" si="124"/>
        <v>0</v>
      </c>
      <c r="AH155" s="252">
        <f t="shared" si="124"/>
        <v>0</v>
      </c>
      <c r="AI155" s="252">
        <f t="shared" si="124"/>
        <v>0</v>
      </c>
      <c r="AJ155" s="252">
        <f t="shared" si="124"/>
        <v>0</v>
      </c>
      <c r="AK155" s="252">
        <f t="shared" si="124"/>
        <v>0</v>
      </c>
      <c r="AL155" s="252">
        <f t="shared" si="124"/>
        <v>0</v>
      </c>
      <c r="AM155" s="252">
        <f t="shared" si="124"/>
        <v>0</v>
      </c>
      <c r="AN155" s="252">
        <f t="shared" si="124"/>
        <v>0</v>
      </c>
      <c r="AO155" s="252">
        <f t="shared" si="124"/>
        <v>0</v>
      </c>
      <c r="AP155" s="252">
        <f t="shared" si="124"/>
        <v>0</v>
      </c>
      <c r="AQ155" s="252">
        <f t="shared" si="124"/>
        <v>0</v>
      </c>
      <c r="AR155" s="252">
        <f t="shared" si="124"/>
        <v>0</v>
      </c>
      <c r="AS155" s="252">
        <f t="shared" si="124"/>
        <v>0</v>
      </c>
      <c r="AT155" s="252">
        <f t="shared" si="124"/>
        <v>0</v>
      </c>
      <c r="AU155" s="252">
        <f t="shared" si="124"/>
        <v>0</v>
      </c>
      <c r="AV155" s="252">
        <f t="shared" si="124"/>
        <v>0</v>
      </c>
      <c r="AW155" s="252">
        <f t="shared" si="124"/>
        <v>0</v>
      </c>
      <c r="AX155" s="252">
        <f t="shared" si="124"/>
        <v>0</v>
      </c>
      <c r="AY155" s="252">
        <f t="shared" si="124"/>
        <v>0</v>
      </c>
      <c r="AZ155" s="252">
        <f t="shared" si="124"/>
        <v>0</v>
      </c>
      <c r="BA155" s="252">
        <f t="shared" si="124"/>
        <v>0</v>
      </c>
    </row>
    <row r="156" ht="15.75" customHeight="1">
      <c r="A156" s="788">
        <v>2033.0</v>
      </c>
      <c r="B156" s="789"/>
      <c r="C156" s="789"/>
      <c r="D156" s="789"/>
      <c r="E156" s="789"/>
      <c r="F156" s="789"/>
      <c r="G156" s="789"/>
      <c r="H156" s="789"/>
      <c r="I156" s="789"/>
      <c r="J156" s="789"/>
      <c r="K156" s="789"/>
      <c r="L156" s="789"/>
      <c r="M156" s="789"/>
      <c r="N156" s="789"/>
      <c r="O156" s="789"/>
      <c r="P156" s="789"/>
      <c r="Q156" s="789"/>
      <c r="R156" s="789"/>
      <c r="S156" s="789"/>
      <c r="T156" s="789"/>
      <c r="U156" s="789"/>
      <c r="V156" s="747">
        <v>1415.9682919150619</v>
      </c>
      <c r="W156" s="746">
        <f t="shared" si="22"/>
        <v>0</v>
      </c>
      <c r="X156" s="252">
        <f t="shared" ref="X156:BA156" si="125">IF(AND(X$52-$A156&gt;$V$35,SUM($W156:W156)&lt;&gt;$V156),$V156,0)</f>
        <v>0</v>
      </c>
      <c r="Y156" s="252">
        <f t="shared" si="125"/>
        <v>0</v>
      </c>
      <c r="Z156" s="252">
        <f t="shared" si="125"/>
        <v>0</v>
      </c>
      <c r="AA156" s="252">
        <f t="shared" si="125"/>
        <v>0</v>
      </c>
      <c r="AB156" s="252">
        <f t="shared" si="125"/>
        <v>0</v>
      </c>
      <c r="AC156" s="252">
        <f t="shared" si="125"/>
        <v>0</v>
      </c>
      <c r="AD156" s="252">
        <f t="shared" si="125"/>
        <v>0</v>
      </c>
      <c r="AE156" s="252">
        <f t="shared" si="125"/>
        <v>0</v>
      </c>
      <c r="AF156" s="252">
        <f t="shared" si="125"/>
        <v>0</v>
      </c>
      <c r="AG156" s="252">
        <f t="shared" si="125"/>
        <v>0</v>
      </c>
      <c r="AH156" s="252">
        <f t="shared" si="125"/>
        <v>0</v>
      </c>
      <c r="AI156" s="252">
        <f t="shared" si="125"/>
        <v>0</v>
      </c>
      <c r="AJ156" s="252">
        <f t="shared" si="125"/>
        <v>0</v>
      </c>
      <c r="AK156" s="252">
        <f t="shared" si="125"/>
        <v>0</v>
      </c>
      <c r="AL156" s="252">
        <f t="shared" si="125"/>
        <v>0</v>
      </c>
      <c r="AM156" s="252">
        <f t="shared" si="125"/>
        <v>0</v>
      </c>
      <c r="AN156" s="252">
        <f t="shared" si="125"/>
        <v>0</v>
      </c>
      <c r="AO156" s="252">
        <f t="shared" si="125"/>
        <v>0</v>
      </c>
      <c r="AP156" s="252">
        <f t="shared" si="125"/>
        <v>0</v>
      </c>
      <c r="AQ156" s="252">
        <f t="shared" si="125"/>
        <v>0</v>
      </c>
      <c r="AR156" s="252">
        <f t="shared" si="125"/>
        <v>0</v>
      </c>
      <c r="AS156" s="252">
        <f t="shared" si="125"/>
        <v>0</v>
      </c>
      <c r="AT156" s="252">
        <f t="shared" si="125"/>
        <v>0</v>
      </c>
      <c r="AU156" s="252">
        <f t="shared" si="125"/>
        <v>0</v>
      </c>
      <c r="AV156" s="252">
        <f t="shared" si="125"/>
        <v>0</v>
      </c>
      <c r="AW156" s="252">
        <f t="shared" si="125"/>
        <v>0</v>
      </c>
      <c r="AX156" s="252">
        <f t="shared" si="125"/>
        <v>0</v>
      </c>
      <c r="AY156" s="252">
        <f t="shared" si="125"/>
        <v>0</v>
      </c>
      <c r="AZ156" s="252">
        <f t="shared" si="125"/>
        <v>0</v>
      </c>
      <c r="BA156" s="252">
        <f t="shared" si="125"/>
        <v>0</v>
      </c>
    </row>
    <row r="157" ht="15.75" customHeight="1">
      <c r="A157" s="788">
        <v>2034.0</v>
      </c>
      <c r="B157" s="789"/>
      <c r="C157" s="789"/>
      <c r="D157" s="789"/>
      <c r="E157" s="789"/>
      <c r="F157" s="789"/>
      <c r="G157" s="789"/>
      <c r="H157" s="789"/>
      <c r="I157" s="789"/>
      <c r="J157" s="789"/>
      <c r="K157" s="789"/>
      <c r="L157" s="789"/>
      <c r="M157" s="789"/>
      <c r="N157" s="789"/>
      <c r="O157" s="789"/>
      <c r="P157" s="789"/>
      <c r="Q157" s="789"/>
      <c r="R157" s="789"/>
      <c r="S157" s="789"/>
      <c r="T157" s="789"/>
      <c r="U157" s="789"/>
      <c r="V157" s="747">
        <v>1419.1682919150626</v>
      </c>
      <c r="W157" s="746">
        <f t="shared" si="22"/>
        <v>0</v>
      </c>
      <c r="X157" s="252">
        <f t="shared" ref="X157:BA157" si="126">IF(AND(X$52-$A157&gt;$V$35,SUM($W157:W157)&lt;&gt;$V157),$V157,0)</f>
        <v>0</v>
      </c>
      <c r="Y157" s="252">
        <f t="shared" si="126"/>
        <v>0</v>
      </c>
      <c r="Z157" s="252">
        <f t="shared" si="126"/>
        <v>0</v>
      </c>
      <c r="AA157" s="252">
        <f t="shared" si="126"/>
        <v>0</v>
      </c>
      <c r="AB157" s="252">
        <f t="shared" si="126"/>
        <v>0</v>
      </c>
      <c r="AC157" s="252">
        <f t="shared" si="126"/>
        <v>0</v>
      </c>
      <c r="AD157" s="252">
        <f t="shared" si="126"/>
        <v>0</v>
      </c>
      <c r="AE157" s="252">
        <f t="shared" si="126"/>
        <v>0</v>
      </c>
      <c r="AF157" s="252">
        <f t="shared" si="126"/>
        <v>0</v>
      </c>
      <c r="AG157" s="252">
        <f t="shared" si="126"/>
        <v>0</v>
      </c>
      <c r="AH157" s="252">
        <f t="shared" si="126"/>
        <v>0</v>
      </c>
      <c r="AI157" s="252">
        <f t="shared" si="126"/>
        <v>0</v>
      </c>
      <c r="AJ157" s="252">
        <f t="shared" si="126"/>
        <v>0</v>
      </c>
      <c r="AK157" s="252">
        <f t="shared" si="126"/>
        <v>0</v>
      </c>
      <c r="AL157" s="252">
        <f t="shared" si="126"/>
        <v>0</v>
      </c>
      <c r="AM157" s="252">
        <f t="shared" si="126"/>
        <v>0</v>
      </c>
      <c r="AN157" s="252">
        <f t="shared" si="126"/>
        <v>0</v>
      </c>
      <c r="AO157" s="252">
        <f t="shared" si="126"/>
        <v>0</v>
      </c>
      <c r="AP157" s="252">
        <f t="shared" si="126"/>
        <v>0</v>
      </c>
      <c r="AQ157" s="252">
        <f t="shared" si="126"/>
        <v>0</v>
      </c>
      <c r="AR157" s="252">
        <f t="shared" si="126"/>
        <v>0</v>
      </c>
      <c r="AS157" s="252">
        <f t="shared" si="126"/>
        <v>0</v>
      </c>
      <c r="AT157" s="252">
        <f t="shared" si="126"/>
        <v>0</v>
      </c>
      <c r="AU157" s="252">
        <f t="shared" si="126"/>
        <v>0</v>
      </c>
      <c r="AV157" s="252">
        <f t="shared" si="126"/>
        <v>0</v>
      </c>
      <c r="AW157" s="252">
        <f t="shared" si="126"/>
        <v>0</v>
      </c>
      <c r="AX157" s="252">
        <f t="shared" si="126"/>
        <v>0</v>
      </c>
      <c r="AY157" s="252">
        <f t="shared" si="126"/>
        <v>0</v>
      </c>
      <c r="AZ157" s="252">
        <f t="shared" si="126"/>
        <v>0</v>
      </c>
      <c r="BA157" s="252">
        <f t="shared" si="126"/>
        <v>0</v>
      </c>
    </row>
    <row r="158" ht="15.75" customHeight="1">
      <c r="A158" s="788">
        <v>2035.0</v>
      </c>
      <c r="B158" s="789"/>
      <c r="C158" s="789"/>
      <c r="D158" s="789"/>
      <c r="E158" s="789"/>
      <c r="F158" s="789"/>
      <c r="G158" s="789"/>
      <c r="H158" s="789"/>
      <c r="I158" s="789"/>
      <c r="J158" s="789"/>
      <c r="K158" s="789"/>
      <c r="L158" s="789"/>
      <c r="M158" s="789"/>
      <c r="N158" s="789"/>
      <c r="O158" s="789"/>
      <c r="P158" s="789"/>
      <c r="Q158" s="789"/>
      <c r="R158" s="789"/>
      <c r="S158" s="789"/>
      <c r="T158" s="789"/>
      <c r="U158" s="789"/>
      <c r="V158" s="747">
        <v>1415.9682919150619</v>
      </c>
      <c r="W158" s="746">
        <f t="shared" si="22"/>
        <v>0</v>
      </c>
      <c r="X158" s="252">
        <f t="shared" ref="X158:BA158" si="127">IF(AND(X$52-$A158&gt;$V$35,SUM($W158:W158)&lt;&gt;$V158),$V158,0)</f>
        <v>0</v>
      </c>
      <c r="Y158" s="252">
        <f t="shared" si="127"/>
        <v>0</v>
      </c>
      <c r="Z158" s="252">
        <f t="shared" si="127"/>
        <v>0</v>
      </c>
      <c r="AA158" s="252">
        <f t="shared" si="127"/>
        <v>0</v>
      </c>
      <c r="AB158" s="252">
        <f t="shared" si="127"/>
        <v>0</v>
      </c>
      <c r="AC158" s="252">
        <f t="shared" si="127"/>
        <v>0</v>
      </c>
      <c r="AD158" s="252">
        <f t="shared" si="127"/>
        <v>0</v>
      </c>
      <c r="AE158" s="252">
        <f t="shared" si="127"/>
        <v>0</v>
      </c>
      <c r="AF158" s="252">
        <f t="shared" si="127"/>
        <v>0</v>
      </c>
      <c r="AG158" s="252">
        <f t="shared" si="127"/>
        <v>0</v>
      </c>
      <c r="AH158" s="252">
        <f t="shared" si="127"/>
        <v>0</v>
      </c>
      <c r="AI158" s="252">
        <f t="shared" si="127"/>
        <v>0</v>
      </c>
      <c r="AJ158" s="252">
        <f t="shared" si="127"/>
        <v>0</v>
      </c>
      <c r="AK158" s="252">
        <f t="shared" si="127"/>
        <v>0</v>
      </c>
      <c r="AL158" s="252">
        <f t="shared" si="127"/>
        <v>0</v>
      </c>
      <c r="AM158" s="252">
        <f t="shared" si="127"/>
        <v>0</v>
      </c>
      <c r="AN158" s="252">
        <f t="shared" si="127"/>
        <v>0</v>
      </c>
      <c r="AO158" s="252">
        <f t="shared" si="127"/>
        <v>0</v>
      </c>
      <c r="AP158" s="252">
        <f t="shared" si="127"/>
        <v>0</v>
      </c>
      <c r="AQ158" s="252">
        <f t="shared" si="127"/>
        <v>0</v>
      </c>
      <c r="AR158" s="252">
        <f t="shared" si="127"/>
        <v>0</v>
      </c>
      <c r="AS158" s="252">
        <f t="shared" si="127"/>
        <v>0</v>
      </c>
      <c r="AT158" s="252">
        <f t="shared" si="127"/>
        <v>0</v>
      </c>
      <c r="AU158" s="252">
        <f t="shared" si="127"/>
        <v>0</v>
      </c>
      <c r="AV158" s="252">
        <f t="shared" si="127"/>
        <v>0</v>
      </c>
      <c r="AW158" s="252">
        <f t="shared" si="127"/>
        <v>0</v>
      </c>
      <c r="AX158" s="252">
        <f t="shared" si="127"/>
        <v>0</v>
      </c>
      <c r="AY158" s="252">
        <f t="shared" si="127"/>
        <v>0</v>
      </c>
      <c r="AZ158" s="252">
        <f t="shared" si="127"/>
        <v>0</v>
      </c>
      <c r="BA158" s="252">
        <f t="shared" si="127"/>
        <v>0</v>
      </c>
    </row>
    <row r="159" ht="15.75" customHeight="1">
      <c r="A159" s="788">
        <v>2036.0</v>
      </c>
      <c r="B159" s="789"/>
      <c r="C159" s="789"/>
      <c r="D159" s="789"/>
      <c r="E159" s="789"/>
      <c r="F159" s="789"/>
      <c r="G159" s="789"/>
      <c r="H159" s="789"/>
      <c r="I159" s="789"/>
      <c r="J159" s="789"/>
      <c r="K159" s="789"/>
      <c r="L159" s="789"/>
      <c r="M159" s="789"/>
      <c r="N159" s="789"/>
      <c r="O159" s="789"/>
      <c r="P159" s="789"/>
      <c r="Q159" s="789"/>
      <c r="R159" s="789"/>
      <c r="S159" s="789"/>
      <c r="T159" s="789"/>
      <c r="U159" s="789"/>
      <c r="V159" s="747">
        <v>1423.3682919150633</v>
      </c>
      <c r="W159" s="746">
        <f t="shared" si="22"/>
        <v>0</v>
      </c>
      <c r="X159" s="252">
        <f t="shared" ref="X159:BA159" si="128">IF(AND(X$52-$A159&gt;$V$35,SUM($W159:W159)&lt;&gt;$V159),$V159,0)</f>
        <v>0</v>
      </c>
      <c r="Y159" s="252">
        <f t="shared" si="128"/>
        <v>0</v>
      </c>
      <c r="Z159" s="252">
        <f t="shared" si="128"/>
        <v>0</v>
      </c>
      <c r="AA159" s="252">
        <f t="shared" si="128"/>
        <v>0</v>
      </c>
      <c r="AB159" s="252">
        <f t="shared" si="128"/>
        <v>0</v>
      </c>
      <c r="AC159" s="252">
        <f t="shared" si="128"/>
        <v>0</v>
      </c>
      <c r="AD159" s="252">
        <f t="shared" si="128"/>
        <v>0</v>
      </c>
      <c r="AE159" s="252">
        <f t="shared" si="128"/>
        <v>0</v>
      </c>
      <c r="AF159" s="252">
        <f t="shared" si="128"/>
        <v>0</v>
      </c>
      <c r="AG159" s="252">
        <f t="shared" si="128"/>
        <v>0</v>
      </c>
      <c r="AH159" s="252">
        <f t="shared" si="128"/>
        <v>0</v>
      </c>
      <c r="AI159" s="252">
        <f t="shared" si="128"/>
        <v>0</v>
      </c>
      <c r="AJ159" s="252">
        <f t="shared" si="128"/>
        <v>0</v>
      </c>
      <c r="AK159" s="252">
        <f t="shared" si="128"/>
        <v>0</v>
      </c>
      <c r="AL159" s="252">
        <f t="shared" si="128"/>
        <v>0</v>
      </c>
      <c r="AM159" s="252">
        <f t="shared" si="128"/>
        <v>0</v>
      </c>
      <c r="AN159" s="252">
        <f t="shared" si="128"/>
        <v>0</v>
      </c>
      <c r="AO159" s="252">
        <f t="shared" si="128"/>
        <v>0</v>
      </c>
      <c r="AP159" s="252">
        <f t="shared" si="128"/>
        <v>0</v>
      </c>
      <c r="AQ159" s="252">
        <f t="shared" si="128"/>
        <v>0</v>
      </c>
      <c r="AR159" s="252">
        <f t="shared" si="128"/>
        <v>0</v>
      </c>
      <c r="AS159" s="252">
        <f t="shared" si="128"/>
        <v>0</v>
      </c>
      <c r="AT159" s="252">
        <f t="shared" si="128"/>
        <v>0</v>
      </c>
      <c r="AU159" s="252">
        <f t="shared" si="128"/>
        <v>0</v>
      </c>
      <c r="AV159" s="252">
        <f t="shared" si="128"/>
        <v>0</v>
      </c>
      <c r="AW159" s="252">
        <f t="shared" si="128"/>
        <v>0</v>
      </c>
      <c r="AX159" s="252">
        <f t="shared" si="128"/>
        <v>0</v>
      </c>
      <c r="AY159" s="252">
        <f t="shared" si="128"/>
        <v>0</v>
      </c>
      <c r="AZ159" s="252">
        <f t="shared" si="128"/>
        <v>0</v>
      </c>
      <c r="BA159" s="252">
        <f t="shared" si="128"/>
        <v>0</v>
      </c>
    </row>
    <row r="160" ht="15.75" customHeight="1">
      <c r="A160" s="788">
        <v>2037.0</v>
      </c>
      <c r="B160" s="789"/>
      <c r="C160" s="789"/>
      <c r="D160" s="789"/>
      <c r="E160" s="789"/>
      <c r="F160" s="789"/>
      <c r="G160" s="789"/>
      <c r="H160" s="789"/>
      <c r="I160" s="789"/>
      <c r="J160" s="789"/>
      <c r="K160" s="789"/>
      <c r="L160" s="789"/>
      <c r="M160" s="789"/>
      <c r="N160" s="789"/>
      <c r="O160" s="789"/>
      <c r="P160" s="789"/>
      <c r="Q160" s="789"/>
      <c r="R160" s="789"/>
      <c r="S160" s="789"/>
      <c r="T160" s="789"/>
      <c r="U160" s="789"/>
      <c r="V160" s="747">
        <v>1442.4682919150619</v>
      </c>
      <c r="W160" s="746">
        <f t="shared" si="22"/>
        <v>0</v>
      </c>
      <c r="X160" s="252">
        <f t="shared" ref="X160:BA160" si="129">IF(AND(X$52-$A160&gt;$V$35,SUM($W160:W160)&lt;&gt;$V160),$V160,0)</f>
        <v>0</v>
      </c>
      <c r="Y160" s="252">
        <f t="shared" si="129"/>
        <v>0</v>
      </c>
      <c r="Z160" s="252">
        <f t="shared" si="129"/>
        <v>0</v>
      </c>
      <c r="AA160" s="252">
        <f t="shared" si="129"/>
        <v>0</v>
      </c>
      <c r="AB160" s="252">
        <f t="shared" si="129"/>
        <v>0</v>
      </c>
      <c r="AC160" s="252">
        <f t="shared" si="129"/>
        <v>0</v>
      </c>
      <c r="AD160" s="252">
        <f t="shared" si="129"/>
        <v>0</v>
      </c>
      <c r="AE160" s="252">
        <f t="shared" si="129"/>
        <v>0</v>
      </c>
      <c r="AF160" s="252">
        <f t="shared" si="129"/>
        <v>0</v>
      </c>
      <c r="AG160" s="252">
        <f t="shared" si="129"/>
        <v>0</v>
      </c>
      <c r="AH160" s="252">
        <f t="shared" si="129"/>
        <v>0</v>
      </c>
      <c r="AI160" s="252">
        <f t="shared" si="129"/>
        <v>0</v>
      </c>
      <c r="AJ160" s="252">
        <f t="shared" si="129"/>
        <v>0</v>
      </c>
      <c r="AK160" s="252">
        <f t="shared" si="129"/>
        <v>0</v>
      </c>
      <c r="AL160" s="252">
        <f t="shared" si="129"/>
        <v>0</v>
      </c>
      <c r="AM160" s="252">
        <f t="shared" si="129"/>
        <v>0</v>
      </c>
      <c r="AN160" s="252">
        <f t="shared" si="129"/>
        <v>0</v>
      </c>
      <c r="AO160" s="252">
        <f t="shared" si="129"/>
        <v>0</v>
      </c>
      <c r="AP160" s="252">
        <f t="shared" si="129"/>
        <v>0</v>
      </c>
      <c r="AQ160" s="252">
        <f t="shared" si="129"/>
        <v>0</v>
      </c>
      <c r="AR160" s="252">
        <f t="shared" si="129"/>
        <v>0</v>
      </c>
      <c r="AS160" s="252">
        <f t="shared" si="129"/>
        <v>0</v>
      </c>
      <c r="AT160" s="252">
        <f t="shared" si="129"/>
        <v>0</v>
      </c>
      <c r="AU160" s="252">
        <f t="shared" si="129"/>
        <v>0</v>
      </c>
      <c r="AV160" s="252">
        <f t="shared" si="129"/>
        <v>0</v>
      </c>
      <c r="AW160" s="252">
        <f t="shared" si="129"/>
        <v>0</v>
      </c>
      <c r="AX160" s="252">
        <f t="shared" si="129"/>
        <v>0</v>
      </c>
      <c r="AY160" s="252">
        <f t="shared" si="129"/>
        <v>0</v>
      </c>
      <c r="AZ160" s="252">
        <f t="shared" si="129"/>
        <v>0</v>
      </c>
      <c r="BA160" s="252">
        <f t="shared" si="129"/>
        <v>0</v>
      </c>
    </row>
    <row r="161" ht="15.75" customHeight="1">
      <c r="A161" s="788">
        <v>2038.0</v>
      </c>
      <c r="B161" s="789"/>
      <c r="C161" s="789"/>
      <c r="D161" s="789"/>
      <c r="E161" s="789"/>
      <c r="F161" s="789"/>
      <c r="G161" s="789"/>
      <c r="H161" s="789"/>
      <c r="I161" s="789"/>
      <c r="J161" s="789"/>
      <c r="K161" s="789"/>
      <c r="L161" s="789"/>
      <c r="M161" s="789"/>
      <c r="N161" s="789"/>
      <c r="O161" s="789"/>
      <c r="P161" s="789"/>
      <c r="Q161" s="789"/>
      <c r="R161" s="789"/>
      <c r="S161" s="789"/>
      <c r="T161" s="789"/>
      <c r="U161" s="789"/>
      <c r="V161" s="747">
        <v>1527.5682919150604</v>
      </c>
      <c r="W161" s="746">
        <f t="shared" si="22"/>
        <v>0</v>
      </c>
      <c r="X161" s="252">
        <f t="shared" ref="X161:BA161" si="130">IF(AND(X$52-$A161&gt;$V$35,SUM($W161:W161)&lt;&gt;$V161),$V161,0)</f>
        <v>0</v>
      </c>
      <c r="Y161" s="252">
        <f t="shared" si="130"/>
        <v>0</v>
      </c>
      <c r="Z161" s="252">
        <f t="shared" si="130"/>
        <v>0</v>
      </c>
      <c r="AA161" s="252">
        <f t="shared" si="130"/>
        <v>0</v>
      </c>
      <c r="AB161" s="252">
        <f t="shared" si="130"/>
        <v>0</v>
      </c>
      <c r="AC161" s="252">
        <f t="shared" si="130"/>
        <v>0</v>
      </c>
      <c r="AD161" s="252">
        <f t="shared" si="130"/>
        <v>0</v>
      </c>
      <c r="AE161" s="252">
        <f t="shared" si="130"/>
        <v>0</v>
      </c>
      <c r="AF161" s="252">
        <f t="shared" si="130"/>
        <v>0</v>
      </c>
      <c r="AG161" s="252">
        <f t="shared" si="130"/>
        <v>0</v>
      </c>
      <c r="AH161" s="252">
        <f t="shared" si="130"/>
        <v>0</v>
      </c>
      <c r="AI161" s="252">
        <f t="shared" si="130"/>
        <v>0</v>
      </c>
      <c r="AJ161" s="252">
        <f t="shared" si="130"/>
        <v>0</v>
      </c>
      <c r="AK161" s="252">
        <f t="shared" si="130"/>
        <v>0</v>
      </c>
      <c r="AL161" s="252">
        <f t="shared" si="130"/>
        <v>0</v>
      </c>
      <c r="AM161" s="252">
        <f t="shared" si="130"/>
        <v>0</v>
      </c>
      <c r="AN161" s="252">
        <f t="shared" si="130"/>
        <v>0</v>
      </c>
      <c r="AO161" s="252">
        <f t="shared" si="130"/>
        <v>0</v>
      </c>
      <c r="AP161" s="252">
        <f t="shared" si="130"/>
        <v>0</v>
      </c>
      <c r="AQ161" s="252">
        <f t="shared" si="130"/>
        <v>0</v>
      </c>
      <c r="AR161" s="252">
        <f t="shared" si="130"/>
        <v>0</v>
      </c>
      <c r="AS161" s="252">
        <f t="shared" si="130"/>
        <v>0</v>
      </c>
      <c r="AT161" s="252">
        <f t="shared" si="130"/>
        <v>0</v>
      </c>
      <c r="AU161" s="252">
        <f t="shared" si="130"/>
        <v>0</v>
      </c>
      <c r="AV161" s="252">
        <f t="shared" si="130"/>
        <v>0</v>
      </c>
      <c r="AW161" s="252">
        <f t="shared" si="130"/>
        <v>0</v>
      </c>
      <c r="AX161" s="252">
        <f t="shared" si="130"/>
        <v>0</v>
      </c>
      <c r="AY161" s="252">
        <f t="shared" si="130"/>
        <v>0</v>
      </c>
      <c r="AZ161" s="252">
        <f t="shared" si="130"/>
        <v>0</v>
      </c>
      <c r="BA161" s="252">
        <f t="shared" si="130"/>
        <v>0</v>
      </c>
    </row>
    <row r="162" ht="15.75" customHeight="1">
      <c r="A162" s="788">
        <v>2039.0</v>
      </c>
      <c r="B162" s="789"/>
      <c r="C162" s="789"/>
      <c r="D162" s="789"/>
      <c r="E162" s="789"/>
      <c r="F162" s="789"/>
      <c r="G162" s="789"/>
      <c r="H162" s="789"/>
      <c r="I162" s="789"/>
      <c r="J162" s="789"/>
      <c r="K162" s="789"/>
      <c r="L162" s="789"/>
      <c r="M162" s="789"/>
      <c r="N162" s="789"/>
      <c r="O162" s="789"/>
      <c r="P162" s="789"/>
      <c r="Q162" s="789"/>
      <c r="R162" s="789"/>
      <c r="S162" s="789"/>
      <c r="T162" s="789"/>
      <c r="U162" s="789"/>
      <c r="V162" s="747">
        <v>1698.3682919150633</v>
      </c>
      <c r="W162" s="746">
        <f t="shared" si="22"/>
        <v>0</v>
      </c>
      <c r="X162" s="252">
        <f t="shared" ref="X162:BA162" si="131">IF(AND(X$52-$A162&gt;$V$35,SUM($W162:W162)&lt;&gt;$V162),$V162,0)</f>
        <v>0</v>
      </c>
      <c r="Y162" s="252">
        <f t="shared" si="131"/>
        <v>0</v>
      </c>
      <c r="Z162" s="252">
        <f t="shared" si="131"/>
        <v>0</v>
      </c>
      <c r="AA162" s="252">
        <f t="shared" si="131"/>
        <v>0</v>
      </c>
      <c r="AB162" s="252">
        <f t="shared" si="131"/>
        <v>0</v>
      </c>
      <c r="AC162" s="252">
        <f t="shared" si="131"/>
        <v>0</v>
      </c>
      <c r="AD162" s="252">
        <f t="shared" si="131"/>
        <v>0</v>
      </c>
      <c r="AE162" s="252">
        <f t="shared" si="131"/>
        <v>0</v>
      </c>
      <c r="AF162" s="252">
        <f t="shared" si="131"/>
        <v>0</v>
      </c>
      <c r="AG162" s="252">
        <f t="shared" si="131"/>
        <v>0</v>
      </c>
      <c r="AH162" s="252">
        <f t="shared" si="131"/>
        <v>0</v>
      </c>
      <c r="AI162" s="252">
        <f t="shared" si="131"/>
        <v>0</v>
      </c>
      <c r="AJ162" s="252">
        <f t="shared" si="131"/>
        <v>0</v>
      </c>
      <c r="AK162" s="252">
        <f t="shared" si="131"/>
        <v>0</v>
      </c>
      <c r="AL162" s="252">
        <f t="shared" si="131"/>
        <v>0</v>
      </c>
      <c r="AM162" s="252">
        <f t="shared" si="131"/>
        <v>0</v>
      </c>
      <c r="AN162" s="252">
        <f t="shared" si="131"/>
        <v>0</v>
      </c>
      <c r="AO162" s="252">
        <f t="shared" si="131"/>
        <v>0</v>
      </c>
      <c r="AP162" s="252">
        <f t="shared" si="131"/>
        <v>0</v>
      </c>
      <c r="AQ162" s="252">
        <f t="shared" si="131"/>
        <v>0</v>
      </c>
      <c r="AR162" s="252">
        <f t="shared" si="131"/>
        <v>0</v>
      </c>
      <c r="AS162" s="252">
        <f t="shared" si="131"/>
        <v>0</v>
      </c>
      <c r="AT162" s="252">
        <f t="shared" si="131"/>
        <v>0</v>
      </c>
      <c r="AU162" s="252">
        <f t="shared" si="131"/>
        <v>0</v>
      </c>
      <c r="AV162" s="252">
        <f t="shared" si="131"/>
        <v>0</v>
      </c>
      <c r="AW162" s="252">
        <f t="shared" si="131"/>
        <v>0</v>
      </c>
      <c r="AX162" s="252">
        <f t="shared" si="131"/>
        <v>0</v>
      </c>
      <c r="AY162" s="252">
        <f t="shared" si="131"/>
        <v>0</v>
      </c>
      <c r="AZ162" s="252">
        <f t="shared" si="131"/>
        <v>0</v>
      </c>
      <c r="BA162" s="252">
        <f t="shared" si="131"/>
        <v>0</v>
      </c>
    </row>
    <row r="163" ht="15.75" customHeight="1">
      <c r="A163" s="788">
        <v>2040.0</v>
      </c>
      <c r="B163" s="789"/>
      <c r="C163" s="789"/>
      <c r="D163" s="789"/>
      <c r="E163" s="789"/>
      <c r="F163" s="789"/>
      <c r="G163" s="789"/>
      <c r="H163" s="789"/>
      <c r="I163" s="789"/>
      <c r="J163" s="789"/>
      <c r="K163" s="789"/>
      <c r="L163" s="789"/>
      <c r="M163" s="789"/>
      <c r="N163" s="789"/>
      <c r="O163" s="789"/>
      <c r="P163" s="789"/>
      <c r="Q163" s="789"/>
      <c r="R163" s="789"/>
      <c r="S163" s="789"/>
      <c r="T163" s="789"/>
      <c r="U163" s="789"/>
      <c r="V163" s="747">
        <v>1824.368291915067</v>
      </c>
      <c r="W163" s="746">
        <f t="shared" si="22"/>
        <v>0</v>
      </c>
      <c r="X163" s="252">
        <f t="shared" ref="X163:BA163" si="132">IF(AND(X$52-$A163&gt;$V$35,SUM($W163:W163)&lt;&gt;$V163),$V163,0)</f>
        <v>0</v>
      </c>
      <c r="Y163" s="252">
        <f t="shared" si="132"/>
        <v>0</v>
      </c>
      <c r="Z163" s="252">
        <f t="shared" si="132"/>
        <v>0</v>
      </c>
      <c r="AA163" s="252">
        <f t="shared" si="132"/>
        <v>0</v>
      </c>
      <c r="AB163" s="252">
        <f t="shared" si="132"/>
        <v>0</v>
      </c>
      <c r="AC163" s="252">
        <f t="shared" si="132"/>
        <v>0</v>
      </c>
      <c r="AD163" s="252">
        <f t="shared" si="132"/>
        <v>0</v>
      </c>
      <c r="AE163" s="252">
        <f t="shared" si="132"/>
        <v>0</v>
      </c>
      <c r="AF163" s="252">
        <f t="shared" si="132"/>
        <v>0</v>
      </c>
      <c r="AG163" s="252">
        <f t="shared" si="132"/>
        <v>0</v>
      </c>
      <c r="AH163" s="252">
        <f t="shared" si="132"/>
        <v>0</v>
      </c>
      <c r="AI163" s="252">
        <f t="shared" si="132"/>
        <v>0</v>
      </c>
      <c r="AJ163" s="252">
        <f t="shared" si="132"/>
        <v>0</v>
      </c>
      <c r="AK163" s="252">
        <f t="shared" si="132"/>
        <v>0</v>
      </c>
      <c r="AL163" s="252">
        <f t="shared" si="132"/>
        <v>0</v>
      </c>
      <c r="AM163" s="252">
        <f t="shared" si="132"/>
        <v>0</v>
      </c>
      <c r="AN163" s="252">
        <f t="shared" si="132"/>
        <v>0</v>
      </c>
      <c r="AO163" s="252">
        <f t="shared" si="132"/>
        <v>0</v>
      </c>
      <c r="AP163" s="252">
        <f t="shared" si="132"/>
        <v>0</v>
      </c>
      <c r="AQ163" s="252">
        <f t="shared" si="132"/>
        <v>0</v>
      </c>
      <c r="AR163" s="252">
        <f t="shared" si="132"/>
        <v>0</v>
      </c>
      <c r="AS163" s="252">
        <f t="shared" si="132"/>
        <v>0</v>
      </c>
      <c r="AT163" s="252">
        <f t="shared" si="132"/>
        <v>0</v>
      </c>
      <c r="AU163" s="252">
        <f t="shared" si="132"/>
        <v>0</v>
      </c>
      <c r="AV163" s="252">
        <f t="shared" si="132"/>
        <v>0</v>
      </c>
      <c r="AW163" s="252">
        <f t="shared" si="132"/>
        <v>0</v>
      </c>
      <c r="AX163" s="252">
        <f t="shared" si="132"/>
        <v>0</v>
      </c>
      <c r="AY163" s="252">
        <f t="shared" si="132"/>
        <v>0</v>
      </c>
      <c r="AZ163" s="252">
        <f t="shared" si="132"/>
        <v>0</v>
      </c>
      <c r="BA163" s="252">
        <f t="shared" si="132"/>
        <v>0</v>
      </c>
    </row>
    <row r="164" ht="15.75" customHeight="1">
      <c r="A164" s="788">
        <v>2041.0</v>
      </c>
      <c r="B164" s="789"/>
      <c r="C164" s="789"/>
      <c r="D164" s="789"/>
      <c r="E164" s="789"/>
      <c r="F164" s="789"/>
      <c r="G164" s="789"/>
      <c r="H164" s="789"/>
      <c r="I164" s="789"/>
      <c r="J164" s="789"/>
      <c r="K164" s="789"/>
      <c r="L164" s="789"/>
      <c r="M164" s="789"/>
      <c r="N164" s="789"/>
      <c r="O164" s="789"/>
      <c r="P164" s="789"/>
      <c r="Q164" s="789"/>
      <c r="R164" s="789"/>
      <c r="S164" s="789"/>
      <c r="T164" s="789"/>
      <c r="U164" s="789"/>
      <c r="V164" s="747">
        <v>2506.268291915061</v>
      </c>
      <c r="W164" s="746">
        <f t="shared" si="22"/>
        <v>0</v>
      </c>
      <c r="X164" s="252">
        <f t="shared" ref="X164:BA164" si="133">IF(AND(X$52-$A164&gt;$V$35,SUM($W164:W164)&lt;&gt;$V164),$V164,0)</f>
        <v>0</v>
      </c>
      <c r="Y164" s="252">
        <f t="shared" si="133"/>
        <v>0</v>
      </c>
      <c r="Z164" s="252">
        <f t="shared" si="133"/>
        <v>0</v>
      </c>
      <c r="AA164" s="252">
        <f t="shared" si="133"/>
        <v>0</v>
      </c>
      <c r="AB164" s="252">
        <f t="shared" si="133"/>
        <v>0</v>
      </c>
      <c r="AC164" s="252">
        <f t="shared" si="133"/>
        <v>0</v>
      </c>
      <c r="AD164" s="252">
        <f t="shared" si="133"/>
        <v>0</v>
      </c>
      <c r="AE164" s="252">
        <f t="shared" si="133"/>
        <v>0</v>
      </c>
      <c r="AF164" s="252">
        <f t="shared" si="133"/>
        <v>0</v>
      </c>
      <c r="AG164" s="252">
        <f t="shared" si="133"/>
        <v>0</v>
      </c>
      <c r="AH164" s="252">
        <f t="shared" si="133"/>
        <v>0</v>
      </c>
      <c r="AI164" s="252">
        <f t="shared" si="133"/>
        <v>0</v>
      </c>
      <c r="AJ164" s="252">
        <f t="shared" si="133"/>
        <v>0</v>
      </c>
      <c r="AK164" s="252">
        <f t="shared" si="133"/>
        <v>0</v>
      </c>
      <c r="AL164" s="252">
        <f t="shared" si="133"/>
        <v>0</v>
      </c>
      <c r="AM164" s="252">
        <f t="shared" si="133"/>
        <v>0</v>
      </c>
      <c r="AN164" s="252">
        <f t="shared" si="133"/>
        <v>0</v>
      </c>
      <c r="AO164" s="252">
        <f t="shared" si="133"/>
        <v>0</v>
      </c>
      <c r="AP164" s="252">
        <f t="shared" si="133"/>
        <v>0</v>
      </c>
      <c r="AQ164" s="252">
        <f t="shared" si="133"/>
        <v>0</v>
      </c>
      <c r="AR164" s="252">
        <f t="shared" si="133"/>
        <v>0</v>
      </c>
      <c r="AS164" s="252">
        <f t="shared" si="133"/>
        <v>0</v>
      </c>
      <c r="AT164" s="252">
        <f t="shared" si="133"/>
        <v>0</v>
      </c>
      <c r="AU164" s="252">
        <f t="shared" si="133"/>
        <v>0</v>
      </c>
      <c r="AV164" s="252">
        <f t="shared" si="133"/>
        <v>0</v>
      </c>
      <c r="AW164" s="252">
        <f t="shared" si="133"/>
        <v>0</v>
      </c>
      <c r="AX164" s="252">
        <f t="shared" si="133"/>
        <v>0</v>
      </c>
      <c r="AY164" s="252">
        <f t="shared" si="133"/>
        <v>0</v>
      </c>
      <c r="AZ164" s="252">
        <f t="shared" si="133"/>
        <v>0</v>
      </c>
      <c r="BA164" s="252">
        <f t="shared" si="133"/>
        <v>0</v>
      </c>
    </row>
    <row r="165" ht="15.75" customHeight="1">
      <c r="A165" s="788">
        <v>2042.0</v>
      </c>
      <c r="B165" s="789"/>
      <c r="C165" s="789"/>
      <c r="D165" s="789"/>
      <c r="E165" s="789"/>
      <c r="F165" s="789"/>
      <c r="G165" s="789"/>
      <c r="H165" s="789"/>
      <c r="I165" s="789"/>
      <c r="J165" s="789"/>
      <c r="K165" s="789"/>
      <c r="L165" s="789"/>
      <c r="M165" s="789"/>
      <c r="N165" s="789"/>
      <c r="O165" s="789"/>
      <c r="P165" s="789"/>
      <c r="Q165" s="789"/>
      <c r="R165" s="789"/>
      <c r="S165" s="789"/>
      <c r="T165" s="789"/>
      <c r="U165" s="789"/>
      <c r="V165" s="747">
        <v>3070.068291915064</v>
      </c>
      <c r="W165" s="746">
        <f t="shared" si="22"/>
        <v>0</v>
      </c>
      <c r="X165" s="252">
        <f t="shared" ref="X165:BA165" si="134">IF(AND(X$52-$A165&gt;$V$35,SUM($W165:W165)&lt;&gt;$V165),$V165,0)</f>
        <v>0</v>
      </c>
      <c r="Y165" s="252">
        <f t="shared" si="134"/>
        <v>0</v>
      </c>
      <c r="Z165" s="252">
        <f t="shared" si="134"/>
        <v>0</v>
      </c>
      <c r="AA165" s="252">
        <f t="shared" si="134"/>
        <v>0</v>
      </c>
      <c r="AB165" s="252">
        <f t="shared" si="134"/>
        <v>0</v>
      </c>
      <c r="AC165" s="252">
        <f t="shared" si="134"/>
        <v>0</v>
      </c>
      <c r="AD165" s="252">
        <f t="shared" si="134"/>
        <v>0</v>
      </c>
      <c r="AE165" s="252">
        <f t="shared" si="134"/>
        <v>0</v>
      </c>
      <c r="AF165" s="252">
        <f t="shared" si="134"/>
        <v>0</v>
      </c>
      <c r="AG165" s="252">
        <f t="shared" si="134"/>
        <v>0</v>
      </c>
      <c r="AH165" s="252">
        <f t="shared" si="134"/>
        <v>0</v>
      </c>
      <c r="AI165" s="252">
        <f t="shared" si="134"/>
        <v>0</v>
      </c>
      <c r="AJ165" s="252">
        <f t="shared" si="134"/>
        <v>0</v>
      </c>
      <c r="AK165" s="252">
        <f t="shared" si="134"/>
        <v>0</v>
      </c>
      <c r="AL165" s="252">
        <f t="shared" si="134"/>
        <v>0</v>
      </c>
      <c r="AM165" s="252">
        <f t="shared" si="134"/>
        <v>0</v>
      </c>
      <c r="AN165" s="252">
        <f t="shared" si="134"/>
        <v>0</v>
      </c>
      <c r="AO165" s="252">
        <f t="shared" si="134"/>
        <v>0</v>
      </c>
      <c r="AP165" s="252">
        <f t="shared" si="134"/>
        <v>0</v>
      </c>
      <c r="AQ165" s="252">
        <f t="shared" si="134"/>
        <v>0</v>
      </c>
      <c r="AR165" s="252">
        <f t="shared" si="134"/>
        <v>0</v>
      </c>
      <c r="AS165" s="252">
        <f t="shared" si="134"/>
        <v>0</v>
      </c>
      <c r="AT165" s="252">
        <f t="shared" si="134"/>
        <v>0</v>
      </c>
      <c r="AU165" s="252">
        <f t="shared" si="134"/>
        <v>0</v>
      </c>
      <c r="AV165" s="252">
        <f t="shared" si="134"/>
        <v>0</v>
      </c>
      <c r="AW165" s="252">
        <f t="shared" si="134"/>
        <v>0</v>
      </c>
      <c r="AX165" s="252">
        <f t="shared" si="134"/>
        <v>0</v>
      </c>
      <c r="AY165" s="252">
        <f t="shared" si="134"/>
        <v>0</v>
      </c>
      <c r="AZ165" s="252">
        <f t="shared" si="134"/>
        <v>0</v>
      </c>
      <c r="BA165" s="252">
        <f t="shared" si="134"/>
        <v>0</v>
      </c>
    </row>
    <row r="166" ht="15.75" customHeight="1">
      <c r="A166" s="788">
        <v>2043.0</v>
      </c>
      <c r="B166" s="789"/>
      <c r="C166" s="789"/>
      <c r="D166" s="789"/>
      <c r="E166" s="789"/>
      <c r="F166" s="789"/>
      <c r="G166" s="789"/>
      <c r="H166" s="789"/>
      <c r="I166" s="789"/>
      <c r="J166" s="789"/>
      <c r="K166" s="789"/>
      <c r="L166" s="789"/>
      <c r="M166" s="789"/>
      <c r="N166" s="789"/>
      <c r="O166" s="789"/>
      <c r="P166" s="789"/>
      <c r="Q166" s="789"/>
      <c r="R166" s="789"/>
      <c r="S166" s="789"/>
      <c r="T166" s="789"/>
      <c r="U166" s="789"/>
      <c r="V166" s="747">
        <v>2877.068291915064</v>
      </c>
      <c r="W166" s="746">
        <f t="shared" si="22"/>
        <v>0</v>
      </c>
      <c r="X166" s="252">
        <f t="shared" ref="X166:BA166" si="135">IF(AND(X$52-$A166&gt;$V$35,SUM($W166:W166)&lt;&gt;$V166),$V166,0)</f>
        <v>0</v>
      </c>
      <c r="Y166" s="252">
        <f t="shared" si="135"/>
        <v>0</v>
      </c>
      <c r="Z166" s="252">
        <f t="shared" si="135"/>
        <v>0</v>
      </c>
      <c r="AA166" s="252">
        <f t="shared" si="135"/>
        <v>0</v>
      </c>
      <c r="AB166" s="252">
        <f t="shared" si="135"/>
        <v>0</v>
      </c>
      <c r="AC166" s="252">
        <f t="shared" si="135"/>
        <v>0</v>
      </c>
      <c r="AD166" s="252">
        <f t="shared" si="135"/>
        <v>0</v>
      </c>
      <c r="AE166" s="252">
        <f t="shared" si="135"/>
        <v>0</v>
      </c>
      <c r="AF166" s="252">
        <f t="shared" si="135"/>
        <v>0</v>
      </c>
      <c r="AG166" s="252">
        <f t="shared" si="135"/>
        <v>0</v>
      </c>
      <c r="AH166" s="252">
        <f t="shared" si="135"/>
        <v>0</v>
      </c>
      <c r="AI166" s="252">
        <f t="shared" si="135"/>
        <v>0</v>
      </c>
      <c r="AJ166" s="252">
        <f t="shared" si="135"/>
        <v>0</v>
      </c>
      <c r="AK166" s="252">
        <f t="shared" si="135"/>
        <v>0</v>
      </c>
      <c r="AL166" s="252">
        <f t="shared" si="135"/>
        <v>0</v>
      </c>
      <c r="AM166" s="252">
        <f t="shared" si="135"/>
        <v>0</v>
      </c>
      <c r="AN166" s="252">
        <f t="shared" si="135"/>
        <v>0</v>
      </c>
      <c r="AO166" s="252">
        <f t="shared" si="135"/>
        <v>0</v>
      </c>
      <c r="AP166" s="252">
        <f t="shared" si="135"/>
        <v>0</v>
      </c>
      <c r="AQ166" s="252">
        <f t="shared" si="135"/>
        <v>0</v>
      </c>
      <c r="AR166" s="252">
        <f t="shared" si="135"/>
        <v>0</v>
      </c>
      <c r="AS166" s="252">
        <f t="shared" si="135"/>
        <v>0</v>
      </c>
      <c r="AT166" s="252">
        <f t="shared" si="135"/>
        <v>0</v>
      </c>
      <c r="AU166" s="252">
        <f t="shared" si="135"/>
        <v>0</v>
      </c>
      <c r="AV166" s="252">
        <f t="shared" si="135"/>
        <v>0</v>
      </c>
      <c r="AW166" s="252">
        <f t="shared" si="135"/>
        <v>0</v>
      </c>
      <c r="AX166" s="252">
        <f t="shared" si="135"/>
        <v>0</v>
      </c>
      <c r="AY166" s="252">
        <f t="shared" si="135"/>
        <v>0</v>
      </c>
      <c r="AZ166" s="252">
        <f t="shared" si="135"/>
        <v>0</v>
      </c>
      <c r="BA166" s="252">
        <f t="shared" si="135"/>
        <v>0</v>
      </c>
    </row>
    <row r="167" ht="15.75" customHeight="1">
      <c r="A167" s="788">
        <v>2044.0</v>
      </c>
      <c r="B167" s="789"/>
      <c r="C167" s="789"/>
      <c r="D167" s="789"/>
      <c r="E167" s="789"/>
      <c r="F167" s="789"/>
      <c r="G167" s="789"/>
      <c r="H167" s="789"/>
      <c r="I167" s="789"/>
      <c r="J167" s="789"/>
      <c r="K167" s="789"/>
      <c r="L167" s="789"/>
      <c r="M167" s="789"/>
      <c r="N167" s="789"/>
      <c r="O167" s="789"/>
      <c r="P167" s="789"/>
      <c r="Q167" s="789"/>
      <c r="R167" s="789"/>
      <c r="S167" s="789"/>
      <c r="T167" s="789"/>
      <c r="U167" s="789"/>
      <c r="V167" s="747">
        <v>2296.1682919150626</v>
      </c>
      <c r="W167" s="746">
        <f t="shared" si="22"/>
        <v>0</v>
      </c>
      <c r="X167" s="252">
        <f t="shared" ref="X167:BA167" si="136">IF(AND(X$52-$A167&gt;$V$35,SUM($W167:W167)&lt;&gt;$V167),$V167,0)</f>
        <v>0</v>
      </c>
      <c r="Y167" s="252">
        <f t="shared" si="136"/>
        <v>0</v>
      </c>
      <c r="Z167" s="252">
        <f t="shared" si="136"/>
        <v>0</v>
      </c>
      <c r="AA167" s="252">
        <f t="shared" si="136"/>
        <v>0</v>
      </c>
      <c r="AB167" s="252">
        <f t="shared" si="136"/>
        <v>0</v>
      </c>
      <c r="AC167" s="252">
        <f t="shared" si="136"/>
        <v>0</v>
      </c>
      <c r="AD167" s="252">
        <f t="shared" si="136"/>
        <v>0</v>
      </c>
      <c r="AE167" s="252">
        <f t="shared" si="136"/>
        <v>0</v>
      </c>
      <c r="AF167" s="252">
        <f t="shared" si="136"/>
        <v>0</v>
      </c>
      <c r="AG167" s="252">
        <f t="shared" si="136"/>
        <v>0</v>
      </c>
      <c r="AH167" s="252">
        <f t="shared" si="136"/>
        <v>0</v>
      </c>
      <c r="AI167" s="252">
        <f t="shared" si="136"/>
        <v>0</v>
      </c>
      <c r="AJ167" s="252">
        <f t="shared" si="136"/>
        <v>0</v>
      </c>
      <c r="AK167" s="252">
        <f t="shared" si="136"/>
        <v>0</v>
      </c>
      <c r="AL167" s="252">
        <f t="shared" si="136"/>
        <v>0</v>
      </c>
      <c r="AM167" s="252">
        <f t="shared" si="136"/>
        <v>0</v>
      </c>
      <c r="AN167" s="252">
        <f t="shared" si="136"/>
        <v>0</v>
      </c>
      <c r="AO167" s="252">
        <f t="shared" si="136"/>
        <v>0</v>
      </c>
      <c r="AP167" s="252">
        <f t="shared" si="136"/>
        <v>0</v>
      </c>
      <c r="AQ167" s="252">
        <f t="shared" si="136"/>
        <v>0</v>
      </c>
      <c r="AR167" s="252">
        <f t="shared" si="136"/>
        <v>0</v>
      </c>
      <c r="AS167" s="252">
        <f t="shared" si="136"/>
        <v>0</v>
      </c>
      <c r="AT167" s="252">
        <f t="shared" si="136"/>
        <v>0</v>
      </c>
      <c r="AU167" s="252">
        <f t="shared" si="136"/>
        <v>0</v>
      </c>
      <c r="AV167" s="252">
        <f t="shared" si="136"/>
        <v>0</v>
      </c>
      <c r="AW167" s="252">
        <f t="shared" si="136"/>
        <v>0</v>
      </c>
      <c r="AX167" s="252">
        <f t="shared" si="136"/>
        <v>0</v>
      </c>
      <c r="AY167" s="252">
        <f t="shared" si="136"/>
        <v>0</v>
      </c>
      <c r="AZ167" s="252">
        <f t="shared" si="136"/>
        <v>0</v>
      </c>
      <c r="BA167" s="252">
        <f t="shared" si="136"/>
        <v>0</v>
      </c>
    </row>
    <row r="168" ht="15.75" customHeight="1">
      <c r="A168" s="788">
        <v>2045.0</v>
      </c>
      <c r="B168" s="789"/>
      <c r="C168" s="789"/>
      <c r="D168" s="789"/>
      <c r="E168" s="789"/>
      <c r="F168" s="789"/>
      <c r="G168" s="789"/>
      <c r="H168" s="789"/>
      <c r="I168" s="789"/>
      <c r="J168" s="789"/>
      <c r="K168" s="789"/>
      <c r="L168" s="789"/>
      <c r="M168" s="789"/>
      <c r="N168" s="789"/>
      <c r="O168" s="789"/>
      <c r="P168" s="789"/>
      <c r="Q168" s="789"/>
      <c r="R168" s="789"/>
      <c r="S168" s="789"/>
      <c r="T168" s="789"/>
      <c r="U168" s="789"/>
      <c r="V168" s="747">
        <v>1415.9682919150655</v>
      </c>
      <c r="W168" s="746">
        <f t="shared" si="22"/>
        <v>0</v>
      </c>
      <c r="X168" s="252">
        <f t="shared" ref="X168:BA168" si="137">IF(AND(X$52-$A168&gt;$V$35,SUM($W168:W168)&lt;&gt;$V168),$V168,0)</f>
        <v>0</v>
      </c>
      <c r="Y168" s="252">
        <f t="shared" si="137"/>
        <v>0</v>
      </c>
      <c r="Z168" s="252">
        <f t="shared" si="137"/>
        <v>0</v>
      </c>
      <c r="AA168" s="252">
        <f t="shared" si="137"/>
        <v>0</v>
      </c>
      <c r="AB168" s="252">
        <f t="shared" si="137"/>
        <v>0</v>
      </c>
      <c r="AC168" s="252">
        <f t="shared" si="137"/>
        <v>0</v>
      </c>
      <c r="AD168" s="252">
        <f t="shared" si="137"/>
        <v>0</v>
      </c>
      <c r="AE168" s="252">
        <f t="shared" si="137"/>
        <v>0</v>
      </c>
      <c r="AF168" s="252">
        <f t="shared" si="137"/>
        <v>0</v>
      </c>
      <c r="AG168" s="252">
        <f t="shared" si="137"/>
        <v>0</v>
      </c>
      <c r="AH168" s="252">
        <f t="shared" si="137"/>
        <v>0</v>
      </c>
      <c r="AI168" s="252">
        <f t="shared" si="137"/>
        <v>0</v>
      </c>
      <c r="AJ168" s="252">
        <f t="shared" si="137"/>
        <v>0</v>
      </c>
      <c r="AK168" s="252">
        <f t="shared" si="137"/>
        <v>0</v>
      </c>
      <c r="AL168" s="252">
        <f t="shared" si="137"/>
        <v>0</v>
      </c>
      <c r="AM168" s="252">
        <f t="shared" si="137"/>
        <v>0</v>
      </c>
      <c r="AN168" s="252">
        <f t="shared" si="137"/>
        <v>0</v>
      </c>
      <c r="AO168" s="252">
        <f t="shared" si="137"/>
        <v>0</v>
      </c>
      <c r="AP168" s="252">
        <f t="shared" si="137"/>
        <v>0</v>
      </c>
      <c r="AQ168" s="252">
        <f t="shared" si="137"/>
        <v>0</v>
      </c>
      <c r="AR168" s="252">
        <f t="shared" si="137"/>
        <v>0</v>
      </c>
      <c r="AS168" s="252">
        <f t="shared" si="137"/>
        <v>0</v>
      </c>
      <c r="AT168" s="252">
        <f t="shared" si="137"/>
        <v>0</v>
      </c>
      <c r="AU168" s="252">
        <f t="shared" si="137"/>
        <v>0</v>
      </c>
      <c r="AV168" s="252">
        <f t="shared" si="137"/>
        <v>0</v>
      </c>
      <c r="AW168" s="252">
        <f t="shared" si="137"/>
        <v>0</v>
      </c>
      <c r="AX168" s="252">
        <f t="shared" si="137"/>
        <v>0</v>
      </c>
      <c r="AY168" s="252">
        <f t="shared" si="137"/>
        <v>0</v>
      </c>
      <c r="AZ168" s="252">
        <f t="shared" si="137"/>
        <v>0</v>
      </c>
      <c r="BA168" s="252">
        <f t="shared" si="137"/>
        <v>0</v>
      </c>
    </row>
    <row r="169" ht="15.75" customHeight="1">
      <c r="A169" s="788">
        <v>2046.0</v>
      </c>
      <c r="B169" s="789"/>
      <c r="C169" s="789"/>
      <c r="D169" s="789"/>
      <c r="E169" s="789"/>
      <c r="F169" s="789"/>
      <c r="G169" s="789"/>
      <c r="H169" s="789"/>
      <c r="I169" s="789"/>
      <c r="J169" s="789"/>
      <c r="K169" s="789"/>
      <c r="L169" s="789"/>
      <c r="M169" s="789"/>
      <c r="N169" s="789"/>
      <c r="O169" s="789"/>
      <c r="P169" s="789"/>
      <c r="Q169" s="789"/>
      <c r="R169" s="789"/>
      <c r="S169" s="789"/>
      <c r="T169" s="789"/>
      <c r="U169" s="789"/>
      <c r="V169" s="747">
        <v>1415.9682919150655</v>
      </c>
      <c r="W169" s="746">
        <f t="shared" si="22"/>
        <v>0</v>
      </c>
      <c r="X169" s="252">
        <f t="shared" ref="X169:BA169" si="138">IF(AND(X$52-$A169&gt;$V$35,SUM($W169:W169)&lt;&gt;$V169),$V169,0)</f>
        <v>0</v>
      </c>
      <c r="Y169" s="252">
        <f t="shared" si="138"/>
        <v>0</v>
      </c>
      <c r="Z169" s="252">
        <f t="shared" si="138"/>
        <v>0</v>
      </c>
      <c r="AA169" s="252">
        <f t="shared" si="138"/>
        <v>0</v>
      </c>
      <c r="AB169" s="252">
        <f t="shared" si="138"/>
        <v>0</v>
      </c>
      <c r="AC169" s="252">
        <f t="shared" si="138"/>
        <v>0</v>
      </c>
      <c r="AD169" s="252">
        <f t="shared" si="138"/>
        <v>0</v>
      </c>
      <c r="AE169" s="252">
        <f t="shared" si="138"/>
        <v>0</v>
      </c>
      <c r="AF169" s="252">
        <f t="shared" si="138"/>
        <v>0</v>
      </c>
      <c r="AG169" s="252">
        <f t="shared" si="138"/>
        <v>0</v>
      </c>
      <c r="AH169" s="252">
        <f t="shared" si="138"/>
        <v>0</v>
      </c>
      <c r="AI169" s="252">
        <f t="shared" si="138"/>
        <v>0</v>
      </c>
      <c r="AJ169" s="252">
        <f t="shared" si="138"/>
        <v>0</v>
      </c>
      <c r="AK169" s="252">
        <f t="shared" si="138"/>
        <v>0</v>
      </c>
      <c r="AL169" s="252">
        <f t="shared" si="138"/>
        <v>0</v>
      </c>
      <c r="AM169" s="252">
        <f t="shared" si="138"/>
        <v>0</v>
      </c>
      <c r="AN169" s="252">
        <f t="shared" si="138"/>
        <v>0</v>
      </c>
      <c r="AO169" s="252">
        <f t="shared" si="138"/>
        <v>0</v>
      </c>
      <c r="AP169" s="252">
        <f t="shared" si="138"/>
        <v>0</v>
      </c>
      <c r="AQ169" s="252">
        <f t="shared" si="138"/>
        <v>0</v>
      </c>
      <c r="AR169" s="252">
        <f t="shared" si="138"/>
        <v>0</v>
      </c>
      <c r="AS169" s="252">
        <f t="shared" si="138"/>
        <v>0</v>
      </c>
      <c r="AT169" s="252">
        <f t="shared" si="138"/>
        <v>0</v>
      </c>
      <c r="AU169" s="252">
        <f t="shared" si="138"/>
        <v>0</v>
      </c>
      <c r="AV169" s="252">
        <f t="shared" si="138"/>
        <v>0</v>
      </c>
      <c r="AW169" s="252">
        <f t="shared" si="138"/>
        <v>0</v>
      </c>
      <c r="AX169" s="252">
        <f t="shared" si="138"/>
        <v>0</v>
      </c>
      <c r="AY169" s="252">
        <f t="shared" si="138"/>
        <v>0</v>
      </c>
      <c r="AZ169" s="252">
        <f t="shared" si="138"/>
        <v>0</v>
      </c>
      <c r="BA169" s="252">
        <f t="shared" si="138"/>
        <v>0</v>
      </c>
    </row>
    <row r="170" ht="15.75" customHeight="1">
      <c r="A170" s="788">
        <v>2047.0</v>
      </c>
      <c r="B170" s="789"/>
      <c r="C170" s="789"/>
      <c r="D170" s="789"/>
      <c r="E170" s="789"/>
      <c r="F170" s="789"/>
      <c r="G170" s="789"/>
      <c r="H170" s="789"/>
      <c r="I170" s="789"/>
      <c r="J170" s="789"/>
      <c r="K170" s="789"/>
      <c r="L170" s="789"/>
      <c r="M170" s="789"/>
      <c r="N170" s="789"/>
      <c r="O170" s="789"/>
      <c r="P170" s="789"/>
      <c r="Q170" s="789"/>
      <c r="R170" s="789"/>
      <c r="S170" s="789"/>
      <c r="T170" s="789"/>
      <c r="U170" s="789"/>
      <c r="V170" s="747">
        <v>2831.936583830131</v>
      </c>
      <c r="W170" s="746">
        <f t="shared" si="22"/>
        <v>0</v>
      </c>
      <c r="X170" s="252">
        <f t="shared" ref="X170:BA170" si="139">IF(AND(X$52-$A170&gt;$V$35,SUM($W170:W170)&lt;&gt;$V170),$V170,0)</f>
        <v>0</v>
      </c>
      <c r="Y170" s="252">
        <f t="shared" si="139"/>
        <v>0</v>
      </c>
      <c r="Z170" s="252">
        <f t="shared" si="139"/>
        <v>0</v>
      </c>
      <c r="AA170" s="252">
        <f t="shared" si="139"/>
        <v>0</v>
      </c>
      <c r="AB170" s="252">
        <f t="shared" si="139"/>
        <v>0</v>
      </c>
      <c r="AC170" s="252">
        <f t="shared" si="139"/>
        <v>0</v>
      </c>
      <c r="AD170" s="252">
        <f t="shared" si="139"/>
        <v>0</v>
      </c>
      <c r="AE170" s="252">
        <f t="shared" si="139"/>
        <v>0</v>
      </c>
      <c r="AF170" s="252">
        <f t="shared" si="139"/>
        <v>0</v>
      </c>
      <c r="AG170" s="252">
        <f t="shared" si="139"/>
        <v>0</v>
      </c>
      <c r="AH170" s="252">
        <f t="shared" si="139"/>
        <v>0</v>
      </c>
      <c r="AI170" s="252">
        <f t="shared" si="139"/>
        <v>0</v>
      </c>
      <c r="AJ170" s="252">
        <f t="shared" si="139"/>
        <v>0</v>
      </c>
      <c r="AK170" s="252">
        <f t="shared" si="139"/>
        <v>0</v>
      </c>
      <c r="AL170" s="252">
        <f t="shared" si="139"/>
        <v>0</v>
      </c>
      <c r="AM170" s="252">
        <f t="shared" si="139"/>
        <v>0</v>
      </c>
      <c r="AN170" s="252">
        <f t="shared" si="139"/>
        <v>0</v>
      </c>
      <c r="AO170" s="252">
        <f t="shared" si="139"/>
        <v>0</v>
      </c>
      <c r="AP170" s="252">
        <f t="shared" si="139"/>
        <v>0</v>
      </c>
      <c r="AQ170" s="252">
        <f t="shared" si="139"/>
        <v>0</v>
      </c>
      <c r="AR170" s="252">
        <f t="shared" si="139"/>
        <v>0</v>
      </c>
      <c r="AS170" s="252">
        <f t="shared" si="139"/>
        <v>0</v>
      </c>
      <c r="AT170" s="252">
        <f t="shared" si="139"/>
        <v>0</v>
      </c>
      <c r="AU170" s="252">
        <f t="shared" si="139"/>
        <v>0</v>
      </c>
      <c r="AV170" s="252">
        <f t="shared" si="139"/>
        <v>0</v>
      </c>
      <c r="AW170" s="252">
        <f t="shared" si="139"/>
        <v>0</v>
      </c>
      <c r="AX170" s="252">
        <f t="shared" si="139"/>
        <v>0</v>
      </c>
      <c r="AY170" s="252">
        <f t="shared" si="139"/>
        <v>0</v>
      </c>
      <c r="AZ170" s="252">
        <f t="shared" si="139"/>
        <v>0</v>
      </c>
      <c r="BA170" s="252">
        <f t="shared" si="139"/>
        <v>0</v>
      </c>
    </row>
    <row r="171" ht="15.75" customHeight="1">
      <c r="A171" s="788">
        <v>2048.0</v>
      </c>
      <c r="B171" s="789"/>
      <c r="C171" s="789"/>
      <c r="D171" s="789"/>
      <c r="E171" s="789"/>
      <c r="F171" s="789"/>
      <c r="G171" s="789"/>
      <c r="H171" s="789"/>
      <c r="I171" s="789"/>
      <c r="J171" s="789"/>
      <c r="K171" s="789"/>
      <c r="L171" s="789"/>
      <c r="M171" s="789"/>
      <c r="N171" s="789"/>
      <c r="O171" s="789"/>
      <c r="P171" s="789"/>
      <c r="Q171" s="789"/>
      <c r="R171" s="789"/>
      <c r="S171" s="789"/>
      <c r="T171" s="789"/>
      <c r="U171" s="789"/>
      <c r="V171" s="747">
        <v>2831.936583830131</v>
      </c>
      <c r="W171" s="746">
        <f t="shared" si="22"/>
        <v>0</v>
      </c>
      <c r="X171" s="252">
        <f t="shared" ref="X171:BA171" si="140">IF(AND(X$52-$A171&gt;$V$35,SUM($W171:W171)&lt;&gt;$V171),$V171,0)</f>
        <v>0</v>
      </c>
      <c r="Y171" s="252">
        <f t="shared" si="140"/>
        <v>0</v>
      </c>
      <c r="Z171" s="252">
        <f t="shared" si="140"/>
        <v>0</v>
      </c>
      <c r="AA171" s="252">
        <f t="shared" si="140"/>
        <v>0</v>
      </c>
      <c r="AB171" s="252">
        <f t="shared" si="140"/>
        <v>0</v>
      </c>
      <c r="AC171" s="252">
        <f t="shared" si="140"/>
        <v>0</v>
      </c>
      <c r="AD171" s="252">
        <f t="shared" si="140"/>
        <v>0</v>
      </c>
      <c r="AE171" s="252">
        <f t="shared" si="140"/>
        <v>0</v>
      </c>
      <c r="AF171" s="252">
        <f t="shared" si="140"/>
        <v>0</v>
      </c>
      <c r="AG171" s="252">
        <f t="shared" si="140"/>
        <v>0</v>
      </c>
      <c r="AH171" s="252">
        <f t="shared" si="140"/>
        <v>0</v>
      </c>
      <c r="AI171" s="252">
        <f t="shared" si="140"/>
        <v>0</v>
      </c>
      <c r="AJ171" s="252">
        <f t="shared" si="140"/>
        <v>0</v>
      </c>
      <c r="AK171" s="252">
        <f t="shared" si="140"/>
        <v>0</v>
      </c>
      <c r="AL171" s="252">
        <f t="shared" si="140"/>
        <v>0</v>
      </c>
      <c r="AM171" s="252">
        <f t="shared" si="140"/>
        <v>0</v>
      </c>
      <c r="AN171" s="252">
        <f t="shared" si="140"/>
        <v>0</v>
      </c>
      <c r="AO171" s="252">
        <f t="shared" si="140"/>
        <v>0</v>
      </c>
      <c r="AP171" s="252">
        <f t="shared" si="140"/>
        <v>0</v>
      </c>
      <c r="AQ171" s="252">
        <f t="shared" si="140"/>
        <v>0</v>
      </c>
      <c r="AR171" s="252">
        <f t="shared" si="140"/>
        <v>0</v>
      </c>
      <c r="AS171" s="252">
        <f t="shared" si="140"/>
        <v>0</v>
      </c>
      <c r="AT171" s="252">
        <f t="shared" si="140"/>
        <v>0</v>
      </c>
      <c r="AU171" s="252">
        <f t="shared" si="140"/>
        <v>0</v>
      </c>
      <c r="AV171" s="252">
        <f t="shared" si="140"/>
        <v>0</v>
      </c>
      <c r="AW171" s="252">
        <f t="shared" si="140"/>
        <v>0</v>
      </c>
      <c r="AX171" s="252">
        <f t="shared" si="140"/>
        <v>0</v>
      </c>
      <c r="AY171" s="252">
        <f t="shared" si="140"/>
        <v>0</v>
      </c>
      <c r="AZ171" s="252">
        <f t="shared" si="140"/>
        <v>0</v>
      </c>
      <c r="BA171" s="252">
        <f t="shared" si="140"/>
        <v>0</v>
      </c>
    </row>
    <row r="172" ht="15.75" customHeight="1">
      <c r="A172" s="788">
        <v>2049.0</v>
      </c>
      <c r="B172" s="789"/>
      <c r="C172" s="789"/>
      <c r="D172" s="789"/>
      <c r="E172" s="789"/>
      <c r="F172" s="789"/>
      <c r="G172" s="789"/>
      <c r="H172" s="789"/>
      <c r="I172" s="789"/>
      <c r="J172" s="789"/>
      <c r="K172" s="789"/>
      <c r="L172" s="789"/>
      <c r="M172" s="789"/>
      <c r="N172" s="789"/>
      <c r="O172" s="789"/>
      <c r="P172" s="789"/>
      <c r="Q172" s="789"/>
      <c r="R172" s="789"/>
      <c r="S172" s="789"/>
      <c r="T172" s="789"/>
      <c r="U172" s="789"/>
      <c r="V172" s="747">
        <v>2831.936583830131</v>
      </c>
      <c r="W172" s="746">
        <f t="shared" si="22"/>
        <v>0</v>
      </c>
      <c r="X172" s="252">
        <f t="shared" ref="X172:BA172" si="141">IF(AND(X$52-$A172&gt;$V$35,SUM($W172:W172)&lt;&gt;$V172),$V172,0)</f>
        <v>0</v>
      </c>
      <c r="Y172" s="252">
        <f t="shared" si="141"/>
        <v>0</v>
      </c>
      <c r="Z172" s="252">
        <f t="shared" si="141"/>
        <v>0</v>
      </c>
      <c r="AA172" s="252">
        <f t="shared" si="141"/>
        <v>0</v>
      </c>
      <c r="AB172" s="252">
        <f t="shared" si="141"/>
        <v>0</v>
      </c>
      <c r="AC172" s="252">
        <f t="shared" si="141"/>
        <v>0</v>
      </c>
      <c r="AD172" s="252">
        <f t="shared" si="141"/>
        <v>0</v>
      </c>
      <c r="AE172" s="252">
        <f t="shared" si="141"/>
        <v>0</v>
      </c>
      <c r="AF172" s="252">
        <f t="shared" si="141"/>
        <v>0</v>
      </c>
      <c r="AG172" s="252">
        <f t="shared" si="141"/>
        <v>0</v>
      </c>
      <c r="AH172" s="252">
        <f t="shared" si="141"/>
        <v>0</v>
      </c>
      <c r="AI172" s="252">
        <f t="shared" si="141"/>
        <v>0</v>
      </c>
      <c r="AJ172" s="252">
        <f t="shared" si="141"/>
        <v>0</v>
      </c>
      <c r="AK172" s="252">
        <f t="shared" si="141"/>
        <v>0</v>
      </c>
      <c r="AL172" s="252">
        <f t="shared" si="141"/>
        <v>0</v>
      </c>
      <c r="AM172" s="252">
        <f t="shared" si="141"/>
        <v>0</v>
      </c>
      <c r="AN172" s="252">
        <f t="shared" si="141"/>
        <v>0</v>
      </c>
      <c r="AO172" s="252">
        <f t="shared" si="141"/>
        <v>0</v>
      </c>
      <c r="AP172" s="252">
        <f t="shared" si="141"/>
        <v>0</v>
      </c>
      <c r="AQ172" s="252">
        <f t="shared" si="141"/>
        <v>0</v>
      </c>
      <c r="AR172" s="252">
        <f t="shared" si="141"/>
        <v>0</v>
      </c>
      <c r="AS172" s="252">
        <f t="shared" si="141"/>
        <v>0</v>
      </c>
      <c r="AT172" s="252">
        <f t="shared" si="141"/>
        <v>0</v>
      </c>
      <c r="AU172" s="252">
        <f t="shared" si="141"/>
        <v>0</v>
      </c>
      <c r="AV172" s="252">
        <f t="shared" si="141"/>
        <v>0</v>
      </c>
      <c r="AW172" s="252">
        <f t="shared" si="141"/>
        <v>0</v>
      </c>
      <c r="AX172" s="252">
        <f t="shared" si="141"/>
        <v>0</v>
      </c>
      <c r="AY172" s="252">
        <f t="shared" si="141"/>
        <v>0</v>
      </c>
      <c r="AZ172" s="252">
        <f t="shared" si="141"/>
        <v>0</v>
      </c>
      <c r="BA172" s="252">
        <f t="shared" si="141"/>
        <v>0</v>
      </c>
    </row>
    <row r="173" ht="15.75" customHeight="1">
      <c r="A173" s="788">
        <v>2050.0</v>
      </c>
      <c r="B173" s="789"/>
      <c r="C173" s="789"/>
      <c r="D173" s="789"/>
      <c r="E173" s="789"/>
      <c r="F173" s="789"/>
      <c r="G173" s="789"/>
      <c r="H173" s="789"/>
      <c r="I173" s="789"/>
      <c r="J173" s="789"/>
      <c r="K173" s="789"/>
      <c r="L173" s="789"/>
      <c r="M173" s="789"/>
      <c r="N173" s="789"/>
      <c r="O173" s="789"/>
      <c r="P173" s="789"/>
      <c r="Q173" s="789"/>
      <c r="R173" s="789"/>
      <c r="S173" s="789"/>
      <c r="T173" s="789"/>
      <c r="U173" s="789"/>
      <c r="V173" s="747">
        <v>2831.9365838301237</v>
      </c>
      <c r="W173" s="746">
        <f t="shared" si="22"/>
        <v>0</v>
      </c>
      <c r="X173" s="252">
        <f t="shared" ref="X173:BA173" si="142">IF(AND(X$52-$A173&gt;$V$35,SUM($W173:W173)&lt;&gt;$V173),$V173,0)</f>
        <v>0</v>
      </c>
      <c r="Y173" s="252">
        <f t="shared" si="142"/>
        <v>0</v>
      </c>
      <c r="Z173" s="252">
        <f t="shared" si="142"/>
        <v>0</v>
      </c>
      <c r="AA173" s="252">
        <f t="shared" si="142"/>
        <v>0</v>
      </c>
      <c r="AB173" s="252">
        <f t="shared" si="142"/>
        <v>0</v>
      </c>
      <c r="AC173" s="252">
        <f t="shared" si="142"/>
        <v>0</v>
      </c>
      <c r="AD173" s="252">
        <f t="shared" si="142"/>
        <v>0</v>
      </c>
      <c r="AE173" s="252">
        <f t="shared" si="142"/>
        <v>0</v>
      </c>
      <c r="AF173" s="252">
        <f t="shared" si="142"/>
        <v>0</v>
      </c>
      <c r="AG173" s="252">
        <f t="shared" si="142"/>
        <v>0</v>
      </c>
      <c r="AH173" s="252">
        <f t="shared" si="142"/>
        <v>0</v>
      </c>
      <c r="AI173" s="252">
        <f t="shared" si="142"/>
        <v>0</v>
      </c>
      <c r="AJ173" s="252">
        <f t="shared" si="142"/>
        <v>0</v>
      </c>
      <c r="AK173" s="252">
        <f t="shared" si="142"/>
        <v>0</v>
      </c>
      <c r="AL173" s="252">
        <f t="shared" si="142"/>
        <v>0</v>
      </c>
      <c r="AM173" s="252">
        <f t="shared" si="142"/>
        <v>0</v>
      </c>
      <c r="AN173" s="252">
        <f t="shared" si="142"/>
        <v>0</v>
      </c>
      <c r="AO173" s="252">
        <f t="shared" si="142"/>
        <v>0</v>
      </c>
      <c r="AP173" s="252">
        <f t="shared" si="142"/>
        <v>0</v>
      </c>
      <c r="AQ173" s="252">
        <f t="shared" si="142"/>
        <v>0</v>
      </c>
      <c r="AR173" s="252">
        <f t="shared" si="142"/>
        <v>0</v>
      </c>
      <c r="AS173" s="252">
        <f t="shared" si="142"/>
        <v>0</v>
      </c>
      <c r="AT173" s="252">
        <f t="shared" si="142"/>
        <v>0</v>
      </c>
      <c r="AU173" s="252">
        <f t="shared" si="142"/>
        <v>0</v>
      </c>
      <c r="AV173" s="252">
        <f t="shared" si="142"/>
        <v>0</v>
      </c>
      <c r="AW173" s="252">
        <f t="shared" si="142"/>
        <v>0</v>
      </c>
      <c r="AX173" s="252">
        <f t="shared" si="142"/>
        <v>0</v>
      </c>
      <c r="AY173" s="252">
        <f t="shared" si="142"/>
        <v>0</v>
      </c>
      <c r="AZ173" s="252">
        <f t="shared" si="142"/>
        <v>0</v>
      </c>
      <c r="BA173" s="252">
        <f t="shared" si="142"/>
        <v>0</v>
      </c>
    </row>
    <row r="174" ht="15.75" customHeight="1">
      <c r="A174" s="789"/>
      <c r="B174" s="789"/>
      <c r="C174" s="789"/>
      <c r="D174" s="789"/>
      <c r="E174" s="789"/>
      <c r="F174" s="789"/>
      <c r="G174" s="789"/>
      <c r="H174" s="789"/>
      <c r="I174" s="789"/>
      <c r="J174" s="789"/>
      <c r="K174" s="789"/>
      <c r="L174" s="789"/>
      <c r="M174" s="789"/>
      <c r="N174" s="789"/>
      <c r="O174" s="789"/>
      <c r="P174" s="789"/>
      <c r="Q174" s="789"/>
      <c r="R174" s="789"/>
      <c r="S174" s="789"/>
      <c r="T174" s="789"/>
      <c r="U174" s="789"/>
    </row>
    <row r="175" ht="15.75" customHeight="1">
      <c r="A175" s="789"/>
      <c r="B175" s="789"/>
      <c r="C175" s="789"/>
      <c r="D175" s="789"/>
      <c r="E175" s="789"/>
      <c r="F175" s="789"/>
      <c r="G175" s="789"/>
      <c r="H175" s="789"/>
      <c r="I175" s="789"/>
      <c r="J175" s="789"/>
      <c r="K175" s="789"/>
      <c r="L175" s="789"/>
      <c r="M175" s="789"/>
      <c r="N175" s="789"/>
      <c r="O175" s="789"/>
      <c r="P175" s="789"/>
      <c r="Q175" s="789"/>
      <c r="R175" s="789"/>
      <c r="S175" s="789"/>
      <c r="T175" s="789"/>
      <c r="U175" s="789"/>
    </row>
    <row r="176" ht="15.75" customHeight="1">
      <c r="A176" s="789"/>
      <c r="B176" s="789"/>
      <c r="C176" s="789"/>
      <c r="D176" s="789"/>
      <c r="E176" s="789"/>
      <c r="F176" s="789"/>
      <c r="G176" s="789"/>
      <c r="H176" s="789"/>
      <c r="I176" s="789"/>
      <c r="J176" s="789"/>
      <c r="K176" s="789"/>
      <c r="L176" s="789"/>
      <c r="M176" s="789"/>
      <c r="N176" s="789"/>
      <c r="O176" s="789"/>
      <c r="P176" s="789"/>
      <c r="Q176" s="789"/>
      <c r="R176" s="789"/>
      <c r="S176" s="789"/>
      <c r="T176" s="789"/>
      <c r="U176" s="789"/>
    </row>
    <row r="177" ht="15.75" customHeight="1">
      <c r="A177" s="789"/>
      <c r="B177" s="789"/>
      <c r="C177" s="789"/>
      <c r="D177" s="789"/>
      <c r="E177" s="789"/>
      <c r="F177" s="789"/>
      <c r="G177" s="789"/>
      <c r="H177" s="789"/>
      <c r="I177" s="789"/>
      <c r="J177" s="789"/>
      <c r="K177" s="789"/>
      <c r="L177" s="789"/>
      <c r="M177" s="789"/>
      <c r="N177" s="789"/>
      <c r="O177" s="789"/>
      <c r="P177" s="789"/>
      <c r="Q177" s="789"/>
      <c r="R177" s="789"/>
      <c r="S177" s="789"/>
      <c r="T177" s="789"/>
      <c r="U177" s="789"/>
    </row>
    <row r="178" ht="15.75" customHeight="1">
      <c r="A178" s="789"/>
      <c r="B178" s="789"/>
      <c r="C178" s="789"/>
      <c r="D178" s="789"/>
      <c r="E178" s="789"/>
      <c r="F178" s="789"/>
      <c r="G178" s="789"/>
      <c r="H178" s="789"/>
      <c r="I178" s="789"/>
      <c r="J178" s="789"/>
      <c r="K178" s="789"/>
      <c r="L178" s="789"/>
      <c r="M178" s="789"/>
      <c r="N178" s="789"/>
      <c r="O178" s="789"/>
      <c r="P178" s="789"/>
      <c r="Q178" s="789"/>
      <c r="R178" s="789"/>
      <c r="S178" s="789"/>
      <c r="T178" s="789"/>
      <c r="U178" s="789"/>
    </row>
    <row r="179" ht="15.75" customHeight="1">
      <c r="A179" s="789"/>
      <c r="B179" s="789"/>
      <c r="C179" s="789"/>
      <c r="D179" s="789"/>
      <c r="E179" s="789"/>
      <c r="F179" s="789"/>
      <c r="G179" s="789"/>
      <c r="H179" s="789"/>
      <c r="I179" s="789"/>
      <c r="J179" s="789"/>
      <c r="K179" s="789"/>
      <c r="L179" s="789"/>
      <c r="M179" s="789"/>
      <c r="N179" s="789"/>
      <c r="O179" s="789"/>
      <c r="P179" s="789"/>
      <c r="Q179" s="789"/>
      <c r="R179" s="789"/>
      <c r="S179" s="789"/>
      <c r="T179" s="789"/>
      <c r="U179" s="789"/>
    </row>
    <row r="180" ht="15.75" customHeight="1">
      <c r="A180" s="789"/>
      <c r="B180" s="789"/>
      <c r="C180" s="789"/>
      <c r="D180" s="789"/>
      <c r="E180" s="789"/>
      <c r="F180" s="789"/>
      <c r="G180" s="789"/>
      <c r="H180" s="789"/>
      <c r="I180" s="789"/>
      <c r="J180" s="789"/>
      <c r="K180" s="789"/>
      <c r="L180" s="789"/>
      <c r="M180" s="789"/>
      <c r="N180" s="789"/>
      <c r="O180" s="789"/>
      <c r="P180" s="789"/>
      <c r="Q180" s="789"/>
      <c r="R180" s="789"/>
      <c r="S180" s="789"/>
      <c r="T180" s="789"/>
      <c r="U180" s="789"/>
    </row>
    <row r="181" ht="15.75" customHeight="1">
      <c r="A181" s="789"/>
      <c r="B181" s="789"/>
      <c r="C181" s="789"/>
      <c r="D181" s="789"/>
      <c r="E181" s="789"/>
      <c r="F181" s="789"/>
      <c r="G181" s="789"/>
      <c r="H181" s="789"/>
      <c r="I181" s="789"/>
      <c r="J181" s="789"/>
      <c r="K181" s="789"/>
      <c r="L181" s="789"/>
      <c r="M181" s="789"/>
      <c r="N181" s="789"/>
      <c r="O181" s="789"/>
      <c r="P181" s="789"/>
      <c r="Q181" s="789"/>
      <c r="R181" s="789"/>
      <c r="S181" s="789"/>
      <c r="T181" s="789"/>
      <c r="U181" s="789"/>
    </row>
  </sheetData>
  <printOptions/>
  <pageMargins bottom="0.75" footer="0.0" header="0.0" left="0.7" right="0.7" top="0.75"/>
  <pageSetup orientation="landscape"/>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29"/>
  </cols>
  <sheetData>
    <row r="1">
      <c r="A1" s="535"/>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259">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c r="BI1" s="78"/>
      <c r="BJ1" s="78"/>
      <c r="BK1" s="78"/>
      <c r="BL1" s="78"/>
      <c r="BM1" s="78"/>
      <c r="BN1" s="78"/>
      <c r="BO1" s="78"/>
      <c r="BP1" s="78"/>
      <c r="BQ1" s="78"/>
      <c r="BR1" s="78"/>
      <c r="BS1" s="78"/>
      <c r="BT1" s="78"/>
      <c r="BU1" s="78"/>
    </row>
    <row r="2">
      <c r="A2" s="541" t="s">
        <v>70</v>
      </c>
      <c r="B2" s="504">
        <f t="shared" ref="B2:S2" si="1">C2/(1+B37-B3)</f>
        <v>6477328.292</v>
      </c>
      <c r="C2" s="504">
        <f t="shared" si="1"/>
        <v>6201697.301</v>
      </c>
      <c r="D2" s="504">
        <f t="shared" si="1"/>
        <v>5937795.288</v>
      </c>
      <c r="E2" s="504">
        <f t="shared" si="1"/>
        <v>5685123.149</v>
      </c>
      <c r="F2" s="504">
        <f t="shared" si="1"/>
        <v>5443203.015</v>
      </c>
      <c r="G2" s="504">
        <f t="shared" si="1"/>
        <v>5304061.913</v>
      </c>
      <c r="H2" s="504">
        <f t="shared" si="1"/>
        <v>5240811.092</v>
      </c>
      <c r="I2" s="504">
        <f t="shared" si="1"/>
        <v>5299287.875</v>
      </c>
      <c r="J2" s="504">
        <f t="shared" si="1"/>
        <v>5207364.334</v>
      </c>
      <c r="K2" s="504">
        <f t="shared" si="1"/>
        <v>5193871.026</v>
      </c>
      <c r="L2" s="504">
        <f t="shared" si="1"/>
        <v>5073585.913</v>
      </c>
      <c r="M2" s="504">
        <f t="shared" si="1"/>
        <v>4955519.354</v>
      </c>
      <c r="N2" s="504">
        <f t="shared" si="1"/>
        <v>4855710.535</v>
      </c>
      <c r="O2" s="504">
        <f t="shared" si="1"/>
        <v>4694949.471</v>
      </c>
      <c r="P2" s="504">
        <f t="shared" si="1"/>
        <v>4554467.907</v>
      </c>
      <c r="Q2" s="504">
        <f t="shared" si="1"/>
        <v>4519247.477</v>
      </c>
      <c r="R2" s="504">
        <f t="shared" si="1"/>
        <v>4400188.67</v>
      </c>
      <c r="S2" s="504">
        <f t="shared" si="1"/>
        <v>4166219.802</v>
      </c>
      <c r="T2" s="504">
        <f>T4*1000*'Inflation GDP Population'!V$18/'Inflation GDP Population'!$T$18</f>
        <v>4152397.205</v>
      </c>
      <c r="U2" s="504">
        <f>U4*1000*'Inflation GDP Population'!W$18/'Inflation GDP Population'!$T$18</f>
        <v>4053261.272</v>
      </c>
      <c r="V2" s="802">
        <f>V4*1000*'Inflation GDP Population'!W$18/'Inflation GDP Population'!$T$18</f>
        <v>3874176.003</v>
      </c>
      <c r="W2" s="504">
        <f>W4*1000*'Inflation GDP Population'!W$18/'Inflation GDP Population'!$T$18</f>
        <v>3694031.057</v>
      </c>
      <c r="X2" s="504">
        <f>X4*1000*'Inflation GDP Population'!X$18/'Inflation GDP Population'!$T$18</f>
        <v>3628893.449</v>
      </c>
      <c r="Y2" s="504">
        <f>Y4*1000*'Inflation GDP Population'!Y$18/'Inflation GDP Population'!$T$18</f>
        <v>3542185.543</v>
      </c>
      <c r="Z2" s="504">
        <f>Z4*1000*'Inflation GDP Population'!Z$18/'Inflation GDP Population'!$T$18</f>
        <v>3449590.401</v>
      </c>
      <c r="AA2" s="504">
        <f>AA4*1000*'Inflation GDP Population'!AA$18/'Inflation GDP Population'!$T$18</f>
        <v>3395537.407</v>
      </c>
      <c r="AB2" s="504">
        <f>AB4*1000*'Inflation GDP Population'!AB$18/'Inflation GDP Population'!$T$18</f>
        <v>3334560.997</v>
      </c>
      <c r="AC2" s="504">
        <f>AC4*1000*'Inflation GDP Population'!AC$18/'Inflation GDP Population'!$T$18</f>
        <v>3275862.695</v>
      </c>
      <c r="AD2" s="504">
        <f>AD4*1000*'Inflation GDP Population'!AD$18/'Inflation GDP Population'!$T$18</f>
        <v>3231802.055</v>
      </c>
      <c r="AE2" s="504">
        <f>AE4*1000*'Inflation GDP Population'!AE$18/'Inflation GDP Population'!$T$18</f>
        <v>3172407.405</v>
      </c>
      <c r="AF2" s="504">
        <f>AF4*1000*'Inflation GDP Population'!AF$18/'Inflation GDP Population'!$T$18</f>
        <v>3132162.1</v>
      </c>
      <c r="AG2" s="504">
        <f>AG4*1000*'Inflation GDP Population'!AG$18/'Inflation GDP Population'!$T$18</f>
        <v>3119991.912</v>
      </c>
      <c r="AH2" s="504">
        <f>AH4*1000*'Inflation GDP Population'!AH$18/'Inflation GDP Population'!$T$18</f>
        <v>3121882.133</v>
      </c>
      <c r="AI2" s="504">
        <f>AI4*1000*'Inflation GDP Population'!AI$18/'Inflation GDP Population'!$T$18</f>
        <v>3132011.916</v>
      </c>
      <c r="AJ2" s="504">
        <f>AJ4*1000*'Inflation GDP Population'!AJ$18/'Inflation GDP Population'!$T$18</f>
        <v>3131813.002</v>
      </c>
      <c r="AK2" s="504">
        <f>AK4*1000*'Inflation GDP Population'!AK$18/'Inflation GDP Population'!$T$18</f>
        <v>3148469.024</v>
      </c>
      <c r="AL2" s="504">
        <f>AL4*1000*'Inflation GDP Population'!AL$18/'Inflation GDP Population'!$T$18</f>
        <v>3167414.803</v>
      </c>
      <c r="AM2" s="504">
        <f>AM4*1000*'Inflation GDP Population'!AM$18/'Inflation GDP Population'!$T$18</f>
        <v>3196006.307</v>
      </c>
      <c r="AN2" s="504">
        <f>AN4*1000*'Inflation GDP Population'!AN$18/'Inflation GDP Population'!$T$18</f>
        <v>3233338.111</v>
      </c>
      <c r="AO2" s="504">
        <f>AO4*1000*'Inflation GDP Population'!AO$18/'Inflation GDP Population'!$T$18</f>
        <v>3278412.213</v>
      </c>
      <c r="AP2" s="504">
        <f>AP4*1000*'Inflation GDP Population'!AP$18/'Inflation GDP Population'!$T$18</f>
        <v>3319425.338</v>
      </c>
      <c r="AQ2" s="504">
        <f>AQ4*1000*'Inflation GDP Population'!AQ$18/'Inflation GDP Population'!$T$18</f>
        <v>3363910.01</v>
      </c>
      <c r="AR2" s="504">
        <f>AR4*1000*'Inflation GDP Population'!AR$18/'Inflation GDP Population'!$T$18</f>
        <v>3413636.879</v>
      </c>
      <c r="AS2" s="504">
        <f>AS4*1000*'Inflation GDP Population'!AS$18/'Inflation GDP Population'!$T$18</f>
        <v>3470507.584</v>
      </c>
      <c r="AT2" s="504">
        <f>AT4*1000*'Inflation GDP Population'!AT$18/'Inflation GDP Population'!$T$18</f>
        <v>3526645.439</v>
      </c>
      <c r="AU2" s="504">
        <f>AU4*1000*'Inflation GDP Population'!AU$18/'Inflation GDP Population'!$T$18</f>
        <v>3585337.641</v>
      </c>
      <c r="AV2" s="504">
        <f>AV4*1000*'Inflation GDP Population'!AV$18/'Inflation GDP Population'!$T$18</f>
        <v>3646695.359</v>
      </c>
      <c r="AW2" s="504">
        <f>AW4*1000*'Inflation GDP Population'!AW$18/'Inflation GDP Population'!$T$18</f>
        <v>3709082.55</v>
      </c>
      <c r="AX2" s="504">
        <f>AX4*1000*'Inflation GDP Population'!AX$18/'Inflation GDP Population'!$T$18</f>
        <v>3770730.645</v>
      </c>
      <c r="AY2" s="504">
        <f>AY4*1000*'Inflation GDP Population'!AY$18/'Inflation GDP Population'!$T$18</f>
        <v>3831552.23</v>
      </c>
      <c r="AZ2" s="504">
        <f>AZ4*1000*'Inflation GDP Population'!AZ$18/'Inflation GDP Population'!$T$18</f>
        <v>3887744.632</v>
      </c>
    </row>
    <row r="3">
      <c r="A3" s="535" t="s">
        <v>72</v>
      </c>
      <c r="B3" s="508">
        <f t="shared" ref="B3:T3" si="2">C3</f>
        <v>0.04255319149</v>
      </c>
      <c r="C3" s="508">
        <f t="shared" si="2"/>
        <v>0.04255319149</v>
      </c>
      <c r="D3" s="508">
        <f t="shared" si="2"/>
        <v>0.04255319149</v>
      </c>
      <c r="E3" s="508">
        <f t="shared" si="2"/>
        <v>0.04255319149</v>
      </c>
      <c r="F3" s="508">
        <f t="shared" si="2"/>
        <v>0.04255319149</v>
      </c>
      <c r="G3" s="508">
        <f t="shared" si="2"/>
        <v>0.04255319149</v>
      </c>
      <c r="H3" s="508">
        <f t="shared" si="2"/>
        <v>0.04255319149</v>
      </c>
      <c r="I3" s="508">
        <f t="shared" si="2"/>
        <v>0.04255319149</v>
      </c>
      <c r="J3" s="508">
        <f t="shared" si="2"/>
        <v>0.04255319149</v>
      </c>
      <c r="K3" s="508">
        <f t="shared" si="2"/>
        <v>0.04255319149</v>
      </c>
      <c r="L3" s="508">
        <f t="shared" si="2"/>
        <v>0.04255319149</v>
      </c>
      <c r="M3" s="508">
        <f t="shared" si="2"/>
        <v>0.04255319149</v>
      </c>
      <c r="N3" s="508">
        <f t="shared" si="2"/>
        <v>0.04255319149</v>
      </c>
      <c r="O3" s="508">
        <f t="shared" si="2"/>
        <v>0.04255319149</v>
      </c>
      <c r="P3" s="508">
        <f t="shared" si="2"/>
        <v>0.04255319149</v>
      </c>
      <c r="Q3" s="508">
        <f t="shared" si="2"/>
        <v>0.04255319149</v>
      </c>
      <c r="R3" s="508">
        <f t="shared" si="2"/>
        <v>0.04255319149</v>
      </c>
      <c r="S3" s="508">
        <f t="shared" si="2"/>
        <v>0.04255319149</v>
      </c>
      <c r="T3" s="508">
        <f t="shared" si="2"/>
        <v>0.04255319149</v>
      </c>
      <c r="U3" s="508">
        <f t="shared" ref="U3:AZ3" si="3">(T4-U4)/T4</f>
        <v>0.04255319149</v>
      </c>
      <c r="V3" s="508">
        <f t="shared" si="3"/>
        <v>0.04418300654</v>
      </c>
      <c r="W3" s="508">
        <f t="shared" si="3"/>
        <v>0.04649890591</v>
      </c>
      <c r="X3" s="508">
        <f t="shared" si="3"/>
        <v>0.03643144005</v>
      </c>
      <c r="Y3" s="508">
        <f t="shared" si="3"/>
        <v>0.04257219411</v>
      </c>
      <c r="Z3" s="508">
        <f t="shared" si="3"/>
        <v>0.0447761194</v>
      </c>
      <c r="AA3" s="508">
        <f t="shared" si="3"/>
        <v>0.03450520833</v>
      </c>
      <c r="AB3" s="508">
        <f t="shared" si="3"/>
        <v>0.03674983142</v>
      </c>
      <c r="AC3" s="508">
        <f t="shared" si="3"/>
        <v>0.03640182009</v>
      </c>
      <c r="AD3" s="508">
        <f t="shared" si="3"/>
        <v>0.03232836905</v>
      </c>
      <c r="AE3" s="508">
        <f t="shared" si="3"/>
        <v>0.03716216216</v>
      </c>
      <c r="AF3" s="508">
        <f t="shared" si="3"/>
        <v>0.03157894737</v>
      </c>
      <c r="AG3" s="508">
        <f t="shared" si="3"/>
        <v>0.0229468599</v>
      </c>
      <c r="AH3" s="508">
        <f t="shared" si="3"/>
        <v>0.01854140915</v>
      </c>
      <c r="AI3" s="508">
        <f t="shared" si="3"/>
        <v>0.01595298069</v>
      </c>
      <c r="AJ3" s="508">
        <f t="shared" si="3"/>
        <v>0.01919795222</v>
      </c>
      <c r="AK3" s="508">
        <f t="shared" si="3"/>
        <v>0.01391909526</v>
      </c>
      <c r="AL3" s="508">
        <f t="shared" si="3"/>
        <v>0.01323334804</v>
      </c>
      <c r="AM3" s="508">
        <f t="shared" si="3"/>
        <v>0.01028162718</v>
      </c>
      <c r="AN3" s="508">
        <f t="shared" si="3"/>
        <v>0.007678410117</v>
      </c>
      <c r="AO3" s="508">
        <f t="shared" si="3"/>
        <v>0.005461993628</v>
      </c>
      <c r="AP3" s="508">
        <f t="shared" si="3"/>
        <v>0.006864988558</v>
      </c>
      <c r="AQ3" s="508">
        <f t="shared" si="3"/>
        <v>0.00599078341</v>
      </c>
      <c r="AR3" s="508">
        <f t="shared" si="3"/>
        <v>0.004636068614</v>
      </c>
      <c r="AS3" s="508">
        <f t="shared" si="3"/>
        <v>0.002794597112</v>
      </c>
      <c r="AT3" s="508">
        <f t="shared" si="3"/>
        <v>0.003269500234</v>
      </c>
      <c r="AU3" s="508">
        <f t="shared" si="3"/>
        <v>0.002811621368</v>
      </c>
      <c r="AV3" s="508">
        <f t="shared" si="3"/>
        <v>0.00234962406</v>
      </c>
      <c r="AW3" s="508">
        <f t="shared" si="3"/>
        <v>0.002355157796</v>
      </c>
      <c r="AX3" s="508">
        <f t="shared" si="3"/>
        <v>0.00283286119</v>
      </c>
      <c r="AY3" s="508">
        <f t="shared" si="3"/>
        <v>0.003314393939</v>
      </c>
      <c r="AZ3" s="508">
        <f t="shared" si="3"/>
        <v>0.004750593824</v>
      </c>
    </row>
    <row r="4">
      <c r="A4" s="541" t="s">
        <v>989</v>
      </c>
      <c r="T4" s="803">
        <v>3995.0</v>
      </c>
      <c r="U4" s="804">
        <v>3825.0</v>
      </c>
      <c r="V4" s="751">
        <v>3656.0</v>
      </c>
      <c r="W4" s="803">
        <v>3486.0</v>
      </c>
      <c r="X4" s="803">
        <v>3359.0</v>
      </c>
      <c r="Y4" s="803">
        <v>3216.0</v>
      </c>
      <c r="Z4" s="803">
        <v>3072.0</v>
      </c>
      <c r="AA4" s="803">
        <v>2966.0</v>
      </c>
      <c r="AB4" s="803">
        <v>2857.0</v>
      </c>
      <c r="AC4" s="803">
        <v>2753.0</v>
      </c>
      <c r="AD4" s="803">
        <v>2664.0</v>
      </c>
      <c r="AE4" s="803">
        <v>2565.0</v>
      </c>
      <c r="AF4" s="803">
        <v>2484.0</v>
      </c>
      <c r="AG4" s="803">
        <v>2427.0</v>
      </c>
      <c r="AH4" s="803">
        <v>2382.0</v>
      </c>
      <c r="AI4" s="803">
        <v>2344.0</v>
      </c>
      <c r="AJ4" s="803">
        <v>2299.0</v>
      </c>
      <c r="AK4" s="803">
        <v>2267.0</v>
      </c>
      <c r="AL4" s="803">
        <v>2237.0</v>
      </c>
      <c r="AM4" s="803">
        <v>2214.0</v>
      </c>
      <c r="AN4" s="803">
        <v>2197.0</v>
      </c>
      <c r="AO4" s="803">
        <v>2185.0</v>
      </c>
      <c r="AP4" s="803">
        <v>2170.0</v>
      </c>
      <c r="AQ4" s="803">
        <v>2157.0</v>
      </c>
      <c r="AR4" s="803">
        <v>2147.0</v>
      </c>
      <c r="AS4" s="803">
        <v>2141.0</v>
      </c>
      <c r="AT4" s="803">
        <v>2134.0</v>
      </c>
      <c r="AU4" s="803">
        <v>2128.0</v>
      </c>
      <c r="AV4" s="803">
        <v>2123.0</v>
      </c>
      <c r="AW4" s="803">
        <v>2118.0</v>
      </c>
      <c r="AX4" s="803">
        <v>2112.0</v>
      </c>
      <c r="AY4" s="803">
        <v>2105.0</v>
      </c>
      <c r="AZ4" s="803">
        <v>2095.0</v>
      </c>
    </row>
    <row r="5">
      <c r="A5" s="805" t="s">
        <v>74</v>
      </c>
      <c r="U5" s="458" t="s">
        <v>1111</v>
      </c>
      <c r="V5" s="538">
        <v>0.6</v>
      </c>
    </row>
    <row r="6">
      <c r="A6" s="805" t="s">
        <v>76</v>
      </c>
      <c r="V6" s="538">
        <f>1-V5</f>
        <v>0.4</v>
      </c>
    </row>
    <row r="7">
      <c r="A7" s="805" t="s">
        <v>78</v>
      </c>
      <c r="V7" s="538">
        <v>0.0475</v>
      </c>
    </row>
    <row r="8">
      <c r="A8" s="805" t="s">
        <v>80</v>
      </c>
      <c r="V8" s="538">
        <v>0.08</v>
      </c>
    </row>
    <row r="9">
      <c r="A9" s="535" t="s">
        <v>82</v>
      </c>
      <c r="V9" s="538">
        <f>V5*V7+V6*V8</f>
        <v>0.0605</v>
      </c>
    </row>
    <row r="10">
      <c r="A10" s="805" t="s">
        <v>84</v>
      </c>
      <c r="V10" s="668">
        <v>15.0</v>
      </c>
    </row>
    <row r="11">
      <c r="A11" s="806" t="s">
        <v>1070</v>
      </c>
      <c r="V11" s="752">
        <v>0.2</v>
      </c>
      <c r="W11" s="710">
        <v>0.32</v>
      </c>
      <c r="X11" s="710">
        <v>0.192</v>
      </c>
      <c r="Y11" s="710">
        <v>0.1152</v>
      </c>
      <c r="Z11" s="710">
        <v>0.1152</v>
      </c>
      <c r="AA11" s="710">
        <v>0.0576</v>
      </c>
      <c r="AB11" s="710"/>
      <c r="AC11" s="710"/>
      <c r="AD11" s="710"/>
      <c r="AE11" s="710"/>
      <c r="AF11" s="710"/>
      <c r="AG11" s="710"/>
      <c r="AH11" s="710"/>
    </row>
    <row r="12">
      <c r="A12" s="807" t="s">
        <v>88</v>
      </c>
      <c r="V12" s="477"/>
    </row>
    <row r="13">
      <c r="A13" s="535" t="s">
        <v>90</v>
      </c>
      <c r="V13" s="808">
        <v>3.0</v>
      </c>
    </row>
    <row r="14">
      <c r="A14" s="535" t="s">
        <v>92</v>
      </c>
      <c r="V14" s="809">
        <f>1/V13</f>
        <v>0.3333333333</v>
      </c>
    </row>
    <row r="15">
      <c r="A15" s="810" t="s">
        <v>94</v>
      </c>
      <c r="V15" s="811">
        <v>0.4241704012760717</v>
      </c>
      <c r="W15" s="616">
        <f t="shared" ref="W15:AZ15" si="4">V15*(1+V17)</f>
        <v>0.4241704013</v>
      </c>
      <c r="X15" s="616">
        <f t="shared" si="4"/>
        <v>0.4241704013</v>
      </c>
      <c r="Y15" s="616">
        <f t="shared" si="4"/>
        <v>0.4241704013</v>
      </c>
      <c r="Z15" s="616">
        <f t="shared" si="4"/>
        <v>0.4241704013</v>
      </c>
      <c r="AA15" s="616">
        <f t="shared" si="4"/>
        <v>0.4241704013</v>
      </c>
      <c r="AB15" s="616">
        <f t="shared" si="4"/>
        <v>0.4241704013</v>
      </c>
      <c r="AC15" s="616">
        <f t="shared" si="4"/>
        <v>0.4241704013</v>
      </c>
      <c r="AD15" s="616">
        <f t="shared" si="4"/>
        <v>0.4241704013</v>
      </c>
      <c r="AE15" s="616">
        <f t="shared" si="4"/>
        <v>0.4241704013</v>
      </c>
      <c r="AF15" s="616">
        <f t="shared" si="4"/>
        <v>0.4241704013</v>
      </c>
      <c r="AG15" s="616">
        <f t="shared" si="4"/>
        <v>0.4241704013</v>
      </c>
      <c r="AH15" s="616">
        <f t="shared" si="4"/>
        <v>0.4241704013</v>
      </c>
      <c r="AI15" s="616">
        <f t="shared" si="4"/>
        <v>0.4241704013</v>
      </c>
      <c r="AJ15" s="616">
        <f t="shared" si="4"/>
        <v>0.4241704013</v>
      </c>
      <c r="AK15" s="616">
        <f t="shared" si="4"/>
        <v>0.4241704013</v>
      </c>
      <c r="AL15" s="616">
        <f t="shared" si="4"/>
        <v>0.4241704013</v>
      </c>
      <c r="AM15" s="616">
        <f t="shared" si="4"/>
        <v>0.4241704013</v>
      </c>
      <c r="AN15" s="616">
        <f t="shared" si="4"/>
        <v>0.4241704013</v>
      </c>
      <c r="AO15" s="616">
        <f t="shared" si="4"/>
        <v>0.4241704013</v>
      </c>
      <c r="AP15" s="616">
        <f t="shared" si="4"/>
        <v>0.4241704013</v>
      </c>
      <c r="AQ15" s="616">
        <f t="shared" si="4"/>
        <v>0.4241704013</v>
      </c>
      <c r="AR15" s="616">
        <f t="shared" si="4"/>
        <v>0.4241704013</v>
      </c>
      <c r="AS15" s="616">
        <f t="shared" si="4"/>
        <v>0.4241704013</v>
      </c>
      <c r="AT15" s="616">
        <f t="shared" si="4"/>
        <v>0.4241704013</v>
      </c>
      <c r="AU15" s="616">
        <f t="shared" si="4"/>
        <v>0.4241704013</v>
      </c>
      <c r="AV15" s="616">
        <f t="shared" si="4"/>
        <v>0.4241704013</v>
      </c>
      <c r="AW15" s="616">
        <f t="shared" si="4"/>
        <v>0.4241704013</v>
      </c>
      <c r="AX15" s="616">
        <f t="shared" si="4"/>
        <v>0.4241704013</v>
      </c>
      <c r="AY15" s="616">
        <f t="shared" si="4"/>
        <v>0.4241704013</v>
      </c>
      <c r="AZ15" s="616">
        <f t="shared" si="4"/>
        <v>0.4241704013</v>
      </c>
    </row>
    <row r="16">
      <c r="A16" s="810" t="s">
        <v>96</v>
      </c>
      <c r="V16" s="812">
        <v>0.46</v>
      </c>
      <c r="W16" s="616">
        <f t="shared" ref="W16:AZ16" si="5">V16</f>
        <v>0.46</v>
      </c>
      <c r="X16" s="616">
        <f t="shared" si="5"/>
        <v>0.46</v>
      </c>
      <c r="Y16" s="616">
        <f t="shared" si="5"/>
        <v>0.46</v>
      </c>
      <c r="Z16" s="616">
        <f t="shared" si="5"/>
        <v>0.46</v>
      </c>
      <c r="AA16" s="616">
        <f t="shared" si="5"/>
        <v>0.46</v>
      </c>
      <c r="AB16" s="616">
        <f t="shared" si="5"/>
        <v>0.46</v>
      </c>
      <c r="AC16" s="616">
        <f t="shared" si="5"/>
        <v>0.46</v>
      </c>
      <c r="AD16" s="616">
        <f t="shared" si="5"/>
        <v>0.46</v>
      </c>
      <c r="AE16" s="616">
        <f t="shared" si="5"/>
        <v>0.46</v>
      </c>
      <c r="AF16" s="616">
        <f t="shared" si="5"/>
        <v>0.46</v>
      </c>
      <c r="AG16" s="616">
        <f t="shared" si="5"/>
        <v>0.46</v>
      </c>
      <c r="AH16" s="616">
        <f t="shared" si="5"/>
        <v>0.46</v>
      </c>
      <c r="AI16" s="616">
        <f t="shared" si="5"/>
        <v>0.46</v>
      </c>
      <c r="AJ16" s="616">
        <f t="shared" si="5"/>
        <v>0.46</v>
      </c>
      <c r="AK16" s="616">
        <f t="shared" si="5"/>
        <v>0.46</v>
      </c>
      <c r="AL16" s="616">
        <f t="shared" si="5"/>
        <v>0.46</v>
      </c>
      <c r="AM16" s="616">
        <f t="shared" si="5"/>
        <v>0.46</v>
      </c>
      <c r="AN16" s="616">
        <f t="shared" si="5"/>
        <v>0.46</v>
      </c>
      <c r="AO16" s="616">
        <f t="shared" si="5"/>
        <v>0.46</v>
      </c>
      <c r="AP16" s="616">
        <f t="shared" si="5"/>
        <v>0.46</v>
      </c>
      <c r="AQ16" s="616">
        <f t="shared" si="5"/>
        <v>0.46</v>
      </c>
      <c r="AR16" s="616">
        <f t="shared" si="5"/>
        <v>0.46</v>
      </c>
      <c r="AS16" s="616">
        <f t="shared" si="5"/>
        <v>0.46</v>
      </c>
      <c r="AT16" s="616">
        <f t="shared" si="5"/>
        <v>0.46</v>
      </c>
      <c r="AU16" s="616">
        <f t="shared" si="5"/>
        <v>0.46</v>
      </c>
      <c r="AV16" s="616">
        <f t="shared" si="5"/>
        <v>0.46</v>
      </c>
      <c r="AW16" s="616">
        <f t="shared" si="5"/>
        <v>0.46</v>
      </c>
      <c r="AX16" s="616">
        <f t="shared" si="5"/>
        <v>0.46</v>
      </c>
      <c r="AY16" s="616">
        <f t="shared" si="5"/>
        <v>0.46</v>
      </c>
      <c r="AZ16" s="616">
        <f t="shared" si="5"/>
        <v>0.46</v>
      </c>
    </row>
    <row r="17">
      <c r="A17" s="810" t="s">
        <v>98</v>
      </c>
      <c r="V17" s="456">
        <v>0.0</v>
      </c>
      <c r="W17" s="447">
        <f t="shared" ref="W17:AZ17" si="6">V17</f>
        <v>0</v>
      </c>
      <c r="X17" s="447">
        <f t="shared" si="6"/>
        <v>0</v>
      </c>
      <c r="Y17" s="447">
        <f t="shared" si="6"/>
        <v>0</v>
      </c>
      <c r="Z17" s="447">
        <f t="shared" si="6"/>
        <v>0</v>
      </c>
      <c r="AA17" s="447">
        <f t="shared" si="6"/>
        <v>0</v>
      </c>
      <c r="AB17" s="447">
        <f t="shared" si="6"/>
        <v>0</v>
      </c>
      <c r="AC17" s="447">
        <f t="shared" si="6"/>
        <v>0</v>
      </c>
      <c r="AD17" s="447">
        <f t="shared" si="6"/>
        <v>0</v>
      </c>
      <c r="AE17" s="447">
        <f t="shared" si="6"/>
        <v>0</v>
      </c>
      <c r="AF17" s="447">
        <f t="shared" si="6"/>
        <v>0</v>
      </c>
      <c r="AG17" s="447">
        <f t="shared" si="6"/>
        <v>0</v>
      </c>
      <c r="AH17" s="447">
        <f t="shared" si="6"/>
        <v>0</v>
      </c>
      <c r="AI17" s="447">
        <f t="shared" si="6"/>
        <v>0</v>
      </c>
      <c r="AJ17" s="447">
        <f t="shared" si="6"/>
        <v>0</v>
      </c>
      <c r="AK17" s="447">
        <f t="shared" si="6"/>
        <v>0</v>
      </c>
      <c r="AL17" s="447">
        <f t="shared" si="6"/>
        <v>0</v>
      </c>
      <c r="AM17" s="447">
        <f t="shared" si="6"/>
        <v>0</v>
      </c>
      <c r="AN17" s="447">
        <f t="shared" si="6"/>
        <v>0</v>
      </c>
      <c r="AO17" s="447">
        <f t="shared" si="6"/>
        <v>0</v>
      </c>
      <c r="AP17" s="447">
        <f t="shared" si="6"/>
        <v>0</v>
      </c>
      <c r="AQ17" s="447">
        <f t="shared" si="6"/>
        <v>0</v>
      </c>
      <c r="AR17" s="447">
        <f t="shared" si="6"/>
        <v>0</v>
      </c>
      <c r="AS17" s="447">
        <f t="shared" si="6"/>
        <v>0</v>
      </c>
      <c r="AT17" s="447">
        <f t="shared" si="6"/>
        <v>0</v>
      </c>
      <c r="AU17" s="447">
        <f t="shared" si="6"/>
        <v>0</v>
      </c>
      <c r="AV17" s="447">
        <f t="shared" si="6"/>
        <v>0</v>
      </c>
      <c r="AW17" s="447">
        <f t="shared" si="6"/>
        <v>0</v>
      </c>
      <c r="AX17" s="447">
        <f t="shared" si="6"/>
        <v>0</v>
      </c>
      <c r="AY17" s="447">
        <f t="shared" si="6"/>
        <v>0</v>
      </c>
      <c r="AZ17" s="447">
        <f t="shared" si="6"/>
        <v>0</v>
      </c>
    </row>
    <row r="18">
      <c r="A18" s="535" t="s">
        <v>100</v>
      </c>
      <c r="B18" s="498">
        <f>B20*1000*'Inflation GDP Population'!B$18/'Inflation GDP Population'!$T$18</f>
        <v>47806.82634</v>
      </c>
      <c r="C18" s="498">
        <f>C20*1000*'Inflation GDP Population'!C$18/'Inflation GDP Population'!$T$18</f>
        <v>48855.42884</v>
      </c>
      <c r="D18" s="498">
        <f>D20*1000*'Inflation GDP Population'!D$18/'Inflation GDP Population'!$T$18</f>
        <v>49628.19833</v>
      </c>
      <c r="E18" s="498">
        <f>E20*1000*'Inflation GDP Population'!E$18/'Inflation GDP Population'!$T$18</f>
        <v>50549.85546</v>
      </c>
      <c r="F18" s="498">
        <f>F20*1000*'Inflation GDP Population'!F$18/'Inflation GDP Population'!$T$18</f>
        <v>51910.75881</v>
      </c>
      <c r="G18" s="498">
        <f>G20*1000*'Inflation GDP Population'!G$18/'Inflation GDP Population'!$T$18</f>
        <v>53527.73202</v>
      </c>
      <c r="H18" s="498">
        <f>H20*1000*'Inflation GDP Population'!H$18/'Inflation GDP Population'!$T$18</f>
        <v>55147.59476</v>
      </c>
      <c r="I18" s="498">
        <f>I20*1000*'Inflation GDP Population'!I$18/'Inflation GDP Population'!$T$18</f>
        <v>56629.02812</v>
      </c>
      <c r="J18" s="498">
        <f>J20*1000*'Inflation GDP Population'!J$18/'Inflation GDP Population'!$T$18</f>
        <v>57730.53553</v>
      </c>
      <c r="K18" s="498">
        <f>K20*1000*'Inflation GDP Population'!K$18/'Inflation GDP Population'!$T$18</f>
        <v>58170.63651</v>
      </c>
      <c r="L18" s="498">
        <f>L20*1000*'Inflation GDP Population'!L$18/'Inflation GDP Population'!$T$18</f>
        <v>58848.47149</v>
      </c>
      <c r="M18" s="498">
        <f>M20*1000*'Inflation GDP Population'!M$18/'Inflation GDP Population'!$T$18</f>
        <v>60077.76581</v>
      </c>
      <c r="N18" s="498">
        <f>N20*1000*'Inflation GDP Population'!N$18/'Inflation GDP Population'!$T$18</f>
        <v>61229.9618</v>
      </c>
      <c r="O18" s="498">
        <f>O20*1000*'Inflation GDP Population'!O$18/'Inflation GDP Population'!$T$18</f>
        <v>62304.5041</v>
      </c>
      <c r="P18" s="498">
        <f>P20*1000*'Inflation GDP Population'!P$18/'Inflation GDP Population'!$T$18</f>
        <v>63457.36319</v>
      </c>
      <c r="Q18" s="498">
        <f>Q20*1000*'Inflation GDP Population'!Q$18/'Inflation GDP Population'!$T$18</f>
        <v>64118.17109</v>
      </c>
      <c r="R18" s="498">
        <f>R20*1000*'Inflation GDP Population'!R$18/'Inflation GDP Population'!$T$18</f>
        <v>64781.97242</v>
      </c>
      <c r="S18" s="498">
        <f>S20*1000*'Inflation GDP Population'!S$18/'Inflation GDP Population'!$T$18</f>
        <v>66002.21856</v>
      </c>
      <c r="T18" s="498">
        <f>T20*1000*'Inflation GDP Population'!T$18/'Inflation GDP Population'!$T$18</f>
        <v>67610</v>
      </c>
      <c r="U18" s="498">
        <f>U20*1000*'Inflation GDP Population'!U$18/'Inflation GDP Population'!$T$18</f>
        <v>68929.00178</v>
      </c>
      <c r="V18" s="505">
        <f>V20*1000*'Inflation GDP Population'!V$18/'Inflation GDP Population'!$T$18</f>
        <v>70273.73594</v>
      </c>
      <c r="W18" s="498">
        <f>W20*1000*'Inflation GDP Population'!W$18/'Inflation GDP Population'!$T$18</f>
        <v>71644.70447</v>
      </c>
      <c r="X18" s="498">
        <f>X20*1000*'Inflation GDP Population'!X$18/'Inflation GDP Population'!$T$18</f>
        <v>71227.4323</v>
      </c>
      <c r="Y18" s="498">
        <f>Y20*1000*'Inflation GDP Population'!Y$18/'Inflation GDP Population'!$T$18</f>
        <v>70755.59679</v>
      </c>
      <c r="Z18" s="498">
        <f>Z20*1000*'Inflation GDP Population'!Z$18/'Inflation GDP Population'!$T$18</f>
        <v>70249.47119</v>
      </c>
      <c r="AA18" s="498">
        <f>AA20*1000*'Inflation GDP Population'!AA$18/'Inflation GDP Population'!$T$18</f>
        <v>69685.21981</v>
      </c>
      <c r="AB18" s="498">
        <f>AB20*1000*'Inflation GDP Population'!AB$18/'Inflation GDP Population'!$T$18</f>
        <v>69083.8871</v>
      </c>
      <c r="AC18" s="498">
        <f>AC20*1000*'Inflation GDP Population'!AC$18/'Inflation GDP Population'!$T$18</f>
        <v>68420.67016</v>
      </c>
      <c r="AD18" s="498">
        <f>AD20*1000*'Inflation GDP Population'!AD$18/'Inflation GDP Population'!$T$18</f>
        <v>67717.41392</v>
      </c>
      <c r="AE18" s="498">
        <f>AE20*1000*'Inflation GDP Population'!AE$18/'Inflation GDP Population'!$T$18</f>
        <v>66948.30909</v>
      </c>
      <c r="AF18" s="498">
        <f>AF20*1000*'Inflation GDP Population'!AF$18/'Inflation GDP Population'!$T$18</f>
        <v>66136.03146</v>
      </c>
      <c r="AG18" s="498">
        <f>AG20*1000*'Inflation GDP Population'!AG$18/'Inflation GDP Population'!$T$18</f>
        <v>67426.27762</v>
      </c>
      <c r="AH18" s="498">
        <f>AH20*1000*'Inflation GDP Population'!AH$18/'Inflation GDP Population'!$T$18</f>
        <v>68741.69517</v>
      </c>
      <c r="AI18" s="498">
        <f>AI20*1000*'Inflation GDP Population'!AI$18/'Inflation GDP Population'!$T$18</f>
        <v>70082.77516</v>
      </c>
      <c r="AJ18" s="498">
        <f>AJ20*1000*'Inflation GDP Population'!AJ$18/'Inflation GDP Population'!$T$18</f>
        <v>71450.01825</v>
      </c>
      <c r="AK18" s="498">
        <f>AK20*1000*'Inflation GDP Population'!AK$18/'Inflation GDP Population'!$T$18</f>
        <v>72843.93485</v>
      </c>
      <c r="AL18" s="498">
        <f>AL20*1000*'Inflation GDP Population'!AL$18/'Inflation GDP Population'!$T$18</f>
        <v>74265.04534</v>
      </c>
      <c r="AM18" s="498">
        <f>AM20*1000*'Inflation GDP Population'!AM$18/'Inflation GDP Population'!$T$18</f>
        <v>75713.88023</v>
      </c>
      <c r="AN18" s="498">
        <f>AN20*1000*'Inflation GDP Population'!AN$18/'Inflation GDP Population'!$T$18</f>
        <v>77190.9804</v>
      </c>
      <c r="AO18" s="498">
        <f>AO20*1000*'Inflation GDP Population'!AO$18/'Inflation GDP Population'!$T$18</f>
        <v>78696.89729</v>
      </c>
      <c r="AP18" s="498">
        <f>AP20*1000*'Inflation GDP Population'!AP$18/'Inflation GDP Population'!$T$18</f>
        <v>80232.19307</v>
      </c>
      <c r="AQ18" s="498">
        <f>AQ20*1000*'Inflation GDP Population'!AQ$18/'Inflation GDP Population'!$T$18</f>
        <v>81797.4409</v>
      </c>
      <c r="AR18" s="498">
        <f>AR20*1000*'Inflation GDP Population'!AR$18/'Inflation GDP Population'!$T$18</f>
        <v>83393.2251</v>
      </c>
      <c r="AS18" s="498">
        <f>AS20*1000*'Inflation GDP Population'!AS$18/'Inflation GDP Population'!$T$18</f>
        <v>85020.14143</v>
      </c>
      <c r="AT18" s="498">
        <f>AT20*1000*'Inflation GDP Population'!AT$18/'Inflation GDP Population'!$T$18</f>
        <v>86678.79722</v>
      </c>
      <c r="AU18" s="498">
        <f>AU20*1000*'Inflation GDP Population'!AU$18/'Inflation GDP Population'!$T$18</f>
        <v>88369.81168</v>
      </c>
      <c r="AV18" s="498">
        <f>AV20*1000*'Inflation GDP Population'!AV$18/'Inflation GDP Population'!$T$18</f>
        <v>90093.8161</v>
      </c>
      <c r="AW18" s="498">
        <f>AW20*1000*'Inflation GDP Population'!AW$18/'Inflation GDP Population'!$T$18</f>
        <v>91851.45408</v>
      </c>
      <c r="AX18" s="498">
        <f>AX20*1000*'Inflation GDP Population'!AX$18/'Inflation GDP Population'!$T$18</f>
        <v>93643.38178</v>
      </c>
      <c r="AY18" s="498">
        <f>AY20*1000*'Inflation GDP Population'!AY$18/'Inflation GDP Population'!$T$18</f>
        <v>95470.26815</v>
      </c>
      <c r="AZ18" s="498">
        <f>AZ20*1000*'Inflation GDP Population'!AZ$18/'Inflation GDP Population'!$T$18</f>
        <v>97332.7952</v>
      </c>
    </row>
    <row r="19">
      <c r="A19" s="535" t="s">
        <v>1112</v>
      </c>
      <c r="B19" s="657">
        <f>B21*'Inflation GDP Population'!B$18/'Inflation GDP Population'!$T$18</f>
        <v>2.969807286</v>
      </c>
      <c r="C19" s="657">
        <f>C21*'Inflation GDP Population'!C$18/'Inflation GDP Population'!$T$18</f>
        <v>3.034947509</v>
      </c>
      <c r="D19" s="657">
        <f>D21*'Inflation GDP Population'!D$18/'Inflation GDP Population'!$T$18</f>
        <v>3.082952714</v>
      </c>
      <c r="E19" s="657">
        <f>E21*'Inflation GDP Population'!E$18/'Inflation GDP Population'!$T$18</f>
        <v>3.140206965</v>
      </c>
      <c r="F19" s="657">
        <f>F21*'Inflation GDP Population'!F$18/'Inflation GDP Population'!$T$18</f>
        <v>3.224747626</v>
      </c>
      <c r="G19" s="657">
        <f>G21*'Inflation GDP Population'!G$18/'Inflation GDP Population'!$T$18</f>
        <v>3.325195599</v>
      </c>
      <c r="H19" s="657">
        <f>H21*'Inflation GDP Population'!H$18/'Inflation GDP Population'!$T$18</f>
        <v>3.425823073</v>
      </c>
      <c r="I19" s="657">
        <f>I21*'Inflation GDP Population'!I$18/'Inflation GDP Population'!$T$18</f>
        <v>3.517851178</v>
      </c>
      <c r="J19" s="657">
        <f>J21*'Inflation GDP Population'!J$18/'Inflation GDP Population'!$T$18</f>
        <v>3.586277906</v>
      </c>
      <c r="K19" s="657">
        <f>K21*'Inflation GDP Population'!K$18/'Inflation GDP Population'!$T$18</f>
        <v>3.613617414</v>
      </c>
      <c r="L19" s="657">
        <f>L21*'Inflation GDP Population'!L$18/'Inflation GDP Population'!$T$18</f>
        <v>3.655725192</v>
      </c>
      <c r="M19" s="657">
        <f>M21*'Inflation GDP Population'!M$18/'Inflation GDP Population'!$T$18</f>
        <v>3.73209017</v>
      </c>
      <c r="N19" s="657">
        <f>N21*'Inflation GDP Population'!N$18/'Inflation GDP Population'!$T$18</f>
        <v>3.803665723</v>
      </c>
      <c r="O19" s="657">
        <f>O21*'Inflation GDP Population'!O$18/'Inflation GDP Population'!$T$18</f>
        <v>3.870417353</v>
      </c>
      <c r="P19" s="657">
        <f>P21*'Inflation GDP Population'!P$18/'Inflation GDP Population'!$T$18</f>
        <v>3.942034099</v>
      </c>
      <c r="Q19" s="657">
        <f>Q21*'Inflation GDP Population'!Q$18/'Inflation GDP Population'!$T$18</f>
        <v>3.983084138</v>
      </c>
      <c r="R19" s="657">
        <f>R21*'Inflation GDP Population'!R$18/'Inflation GDP Population'!$T$18</f>
        <v>4.024320133</v>
      </c>
      <c r="S19" s="657">
        <f>S21*'Inflation GDP Population'!S$18/'Inflation GDP Population'!$T$18</f>
        <v>4.100123028</v>
      </c>
      <c r="T19" s="657">
        <f>T21*'Inflation GDP Population'!T$18/'Inflation GDP Population'!$T$18</f>
        <v>4.2</v>
      </c>
      <c r="U19" s="657">
        <f>U21*'Inflation GDP Population'!U$18/'Inflation GDP Population'!$T$18</f>
        <v>4.281937694</v>
      </c>
      <c r="V19" s="813">
        <f>V21*'Inflation GDP Population'!V$18/'Inflation GDP Population'!$T$18</f>
        <v>4.365473908</v>
      </c>
      <c r="W19" s="657">
        <f>W21*'Inflation GDP Population'!W$18/'Inflation GDP Population'!$T$18</f>
        <v>4.450639828</v>
      </c>
      <c r="X19" s="657">
        <f>X21*'Inflation GDP Population'!X$18/'Inflation GDP Population'!$T$18</f>
        <v>3.878454148</v>
      </c>
      <c r="Y19" s="657">
        <f>Y21*'Inflation GDP Population'!Y$18/'Inflation GDP Population'!$T$18</f>
        <v>3.954118812</v>
      </c>
      <c r="Z19" s="657">
        <f>Z21*'Inflation GDP Population'!Z$18/'Inflation GDP Population'!$T$18</f>
        <v>4.031259616</v>
      </c>
      <c r="AA19" s="657">
        <f>AA21*'Inflation GDP Population'!AA$18/'Inflation GDP Population'!$T$18</f>
        <v>4.109905358</v>
      </c>
      <c r="AB19" s="657">
        <f>AB21*'Inflation GDP Population'!AB$18/'Inflation GDP Population'!$T$18</f>
        <v>4.190085397</v>
      </c>
      <c r="AC19" s="657">
        <f>AC21*'Inflation GDP Population'!AC$18/'Inflation GDP Population'!$T$18</f>
        <v>4.271829668</v>
      </c>
      <c r="AD19" s="657">
        <f>AD21*'Inflation GDP Population'!AD$18/'Inflation GDP Population'!$T$18</f>
        <v>4.355168685</v>
      </c>
      <c r="AE19" s="657">
        <f>AE21*'Inflation GDP Population'!AE$18/'Inflation GDP Population'!$T$18</f>
        <v>4.44013356</v>
      </c>
      <c r="AF19" s="657">
        <f>AF21*'Inflation GDP Population'!AF$18/'Inflation GDP Population'!$T$18</f>
        <v>4.526756014</v>
      </c>
      <c r="AG19" s="657">
        <f>AG21*'Inflation GDP Population'!AG$18/'Inflation GDP Population'!$T$18</f>
        <v>4.615068383</v>
      </c>
      <c r="AH19" s="657">
        <f>AH21*'Inflation GDP Population'!AH$18/'Inflation GDP Population'!$T$18</f>
        <v>4.705103635</v>
      </c>
      <c r="AI19" s="657">
        <f>AI21*'Inflation GDP Population'!AI$18/'Inflation GDP Population'!$T$18</f>
        <v>4.796895383</v>
      </c>
      <c r="AJ19" s="657">
        <f>AJ21*'Inflation GDP Population'!AJ$18/'Inflation GDP Population'!$T$18</f>
        <v>4.890477894</v>
      </c>
      <c r="AK19" s="657">
        <f>AK21*'Inflation GDP Population'!AK$18/'Inflation GDP Population'!$T$18</f>
        <v>4.985886103</v>
      </c>
      <c r="AL19" s="657">
        <f>AL21*'Inflation GDP Population'!AL$18/'Inflation GDP Population'!$T$18</f>
        <v>5.083155629</v>
      </c>
      <c r="AM19" s="657">
        <f>AM21*'Inflation GDP Population'!AM$18/'Inflation GDP Population'!$T$18</f>
        <v>5.182322784</v>
      </c>
      <c r="AN19" s="657">
        <f>AN21*'Inflation GDP Population'!AN$18/'Inflation GDP Population'!$T$18</f>
        <v>5.283424588</v>
      </c>
      <c r="AO19" s="657">
        <f>AO21*'Inflation GDP Population'!AO$18/'Inflation GDP Population'!$T$18</f>
        <v>5.386498785</v>
      </c>
      <c r="AP19" s="657">
        <f>AP21*'Inflation GDP Population'!AP$18/'Inflation GDP Population'!$T$18</f>
        <v>5.491583854</v>
      </c>
      <c r="AQ19" s="657">
        <f>AQ21*'Inflation GDP Population'!AQ$18/'Inflation GDP Population'!$T$18</f>
        <v>5.598719024</v>
      </c>
      <c r="AR19" s="657">
        <f>AR21*'Inflation GDP Population'!AR$18/'Inflation GDP Population'!$T$18</f>
        <v>5.707944292</v>
      </c>
      <c r="AS19" s="657">
        <f>AS21*'Inflation GDP Population'!AS$18/'Inflation GDP Population'!$T$18</f>
        <v>5.819300433</v>
      </c>
      <c r="AT19" s="657">
        <f>AT21*'Inflation GDP Population'!AT$18/'Inflation GDP Population'!$T$18</f>
        <v>5.932829018</v>
      </c>
      <c r="AU19" s="657">
        <f>AU21*'Inflation GDP Population'!AU$18/'Inflation GDP Population'!$T$18</f>
        <v>6.04857243</v>
      </c>
      <c r="AV19" s="657">
        <f>AV21*'Inflation GDP Population'!AV$18/'Inflation GDP Population'!$T$18</f>
        <v>6.166573876</v>
      </c>
      <c r="AW19" s="657">
        <f>AW21*'Inflation GDP Population'!AW$18/'Inflation GDP Population'!$T$18</f>
        <v>6.28687741</v>
      </c>
      <c r="AX19" s="657">
        <f>AX21*'Inflation GDP Population'!AX$18/'Inflation GDP Population'!$T$18</f>
        <v>6.409527943</v>
      </c>
      <c r="AY19" s="657">
        <f>AY21*'Inflation GDP Population'!AY$18/'Inflation GDP Population'!$T$18</f>
        <v>6.534571261</v>
      </c>
      <c r="AZ19" s="657">
        <f>AZ21*'Inflation GDP Population'!AZ$18/'Inflation GDP Population'!$T$18</f>
        <v>6.662054047</v>
      </c>
    </row>
    <row r="20">
      <c r="A20" s="541" t="s">
        <v>1113</v>
      </c>
      <c r="B20" s="814">
        <f t="shared" ref="B20:S20" si="7">C20</f>
        <v>67.61</v>
      </c>
      <c r="C20" s="814">
        <f t="shared" si="7"/>
        <v>67.61</v>
      </c>
      <c r="D20" s="814">
        <f t="shared" si="7"/>
        <v>67.61</v>
      </c>
      <c r="E20" s="814">
        <f t="shared" si="7"/>
        <v>67.61</v>
      </c>
      <c r="F20" s="814">
        <f t="shared" si="7"/>
        <v>67.61</v>
      </c>
      <c r="G20" s="814">
        <f t="shared" si="7"/>
        <v>67.61</v>
      </c>
      <c r="H20" s="814">
        <f t="shared" si="7"/>
        <v>67.61</v>
      </c>
      <c r="I20" s="814">
        <f t="shared" si="7"/>
        <v>67.61</v>
      </c>
      <c r="J20" s="814">
        <f t="shared" si="7"/>
        <v>67.61</v>
      </c>
      <c r="K20" s="814">
        <f t="shared" si="7"/>
        <v>67.61</v>
      </c>
      <c r="L20" s="814">
        <f t="shared" si="7"/>
        <v>67.61</v>
      </c>
      <c r="M20" s="814">
        <f t="shared" si="7"/>
        <v>67.61</v>
      </c>
      <c r="N20" s="814">
        <f t="shared" si="7"/>
        <v>67.61</v>
      </c>
      <c r="O20" s="814">
        <f t="shared" si="7"/>
        <v>67.61</v>
      </c>
      <c r="P20" s="814">
        <f t="shared" si="7"/>
        <v>67.61</v>
      </c>
      <c r="Q20" s="814">
        <f t="shared" si="7"/>
        <v>67.61</v>
      </c>
      <c r="R20" s="814">
        <f t="shared" si="7"/>
        <v>67.61</v>
      </c>
      <c r="S20" s="814">
        <f t="shared" si="7"/>
        <v>67.61</v>
      </c>
      <c r="T20" s="704">
        <v>67.61</v>
      </c>
      <c r="U20" s="704">
        <v>67.61</v>
      </c>
      <c r="V20" s="522">
        <v>67.61</v>
      </c>
      <c r="W20" s="704">
        <v>67.61</v>
      </c>
      <c r="X20" s="704">
        <v>65.93</v>
      </c>
      <c r="Y20" s="704">
        <v>64.24</v>
      </c>
      <c r="Z20" s="704">
        <v>62.56</v>
      </c>
      <c r="AA20" s="704">
        <v>60.87</v>
      </c>
      <c r="AB20" s="704">
        <v>59.19</v>
      </c>
      <c r="AC20" s="704">
        <v>57.5</v>
      </c>
      <c r="AD20" s="704">
        <v>55.82</v>
      </c>
      <c r="AE20" s="704">
        <v>54.13</v>
      </c>
      <c r="AF20" s="704">
        <v>52.45</v>
      </c>
      <c r="AG20" s="704">
        <v>52.45</v>
      </c>
      <c r="AH20" s="704">
        <v>52.45</v>
      </c>
      <c r="AI20" s="704">
        <v>52.45</v>
      </c>
      <c r="AJ20" s="704">
        <v>52.45</v>
      </c>
      <c r="AK20" s="704">
        <v>52.45</v>
      </c>
      <c r="AL20" s="704">
        <v>52.45</v>
      </c>
      <c r="AM20" s="704">
        <v>52.45</v>
      </c>
      <c r="AN20" s="704">
        <v>52.45</v>
      </c>
      <c r="AO20" s="704">
        <v>52.45</v>
      </c>
      <c r="AP20" s="704">
        <v>52.45</v>
      </c>
      <c r="AQ20" s="704">
        <v>52.45</v>
      </c>
      <c r="AR20" s="704">
        <v>52.45</v>
      </c>
      <c r="AS20" s="704">
        <v>52.45</v>
      </c>
      <c r="AT20" s="704">
        <v>52.45</v>
      </c>
      <c r="AU20" s="704">
        <v>52.45</v>
      </c>
      <c r="AV20" s="704">
        <v>52.45</v>
      </c>
      <c r="AW20" s="704">
        <v>52.45</v>
      </c>
      <c r="AX20" s="704">
        <v>52.45</v>
      </c>
      <c r="AY20" s="704">
        <v>52.45</v>
      </c>
      <c r="AZ20" s="704">
        <v>52.45</v>
      </c>
    </row>
    <row r="21">
      <c r="A21" s="541" t="s">
        <v>1114</v>
      </c>
      <c r="B21" s="814">
        <f t="shared" ref="B21:S21" si="8">C21</f>
        <v>4.2</v>
      </c>
      <c r="C21" s="814">
        <f t="shared" si="8"/>
        <v>4.2</v>
      </c>
      <c r="D21" s="814">
        <f t="shared" si="8"/>
        <v>4.2</v>
      </c>
      <c r="E21" s="814">
        <f t="shared" si="8"/>
        <v>4.2</v>
      </c>
      <c r="F21" s="814">
        <f t="shared" si="8"/>
        <v>4.2</v>
      </c>
      <c r="G21" s="814">
        <f t="shared" si="8"/>
        <v>4.2</v>
      </c>
      <c r="H21" s="814">
        <f t="shared" si="8"/>
        <v>4.2</v>
      </c>
      <c r="I21" s="814">
        <f t="shared" si="8"/>
        <v>4.2</v>
      </c>
      <c r="J21" s="814">
        <f t="shared" si="8"/>
        <v>4.2</v>
      </c>
      <c r="K21" s="814">
        <f t="shared" si="8"/>
        <v>4.2</v>
      </c>
      <c r="L21" s="814">
        <f t="shared" si="8"/>
        <v>4.2</v>
      </c>
      <c r="M21" s="814">
        <f t="shared" si="8"/>
        <v>4.2</v>
      </c>
      <c r="N21" s="814">
        <f t="shared" si="8"/>
        <v>4.2</v>
      </c>
      <c r="O21" s="814">
        <f t="shared" si="8"/>
        <v>4.2</v>
      </c>
      <c r="P21" s="814">
        <f t="shared" si="8"/>
        <v>4.2</v>
      </c>
      <c r="Q21" s="814">
        <f t="shared" si="8"/>
        <v>4.2</v>
      </c>
      <c r="R21" s="814">
        <f t="shared" si="8"/>
        <v>4.2</v>
      </c>
      <c r="S21" s="814">
        <f t="shared" si="8"/>
        <v>4.2</v>
      </c>
      <c r="T21" s="704">
        <v>4.2</v>
      </c>
      <c r="U21" s="704">
        <v>4.2</v>
      </c>
      <c r="V21" s="522">
        <v>4.2</v>
      </c>
      <c r="W21" s="704">
        <v>4.2</v>
      </c>
      <c r="X21" s="704">
        <v>3.59</v>
      </c>
      <c r="Y21" s="704">
        <v>3.59</v>
      </c>
      <c r="Z21" s="704">
        <v>3.59</v>
      </c>
      <c r="AA21" s="704">
        <v>3.59</v>
      </c>
      <c r="AB21" s="704">
        <v>3.59</v>
      </c>
      <c r="AC21" s="704">
        <v>3.59</v>
      </c>
      <c r="AD21" s="704">
        <v>3.59</v>
      </c>
      <c r="AE21" s="704">
        <v>3.59</v>
      </c>
      <c r="AF21" s="704">
        <v>3.59</v>
      </c>
      <c r="AG21" s="704">
        <v>3.59</v>
      </c>
      <c r="AH21" s="704">
        <v>3.59</v>
      </c>
      <c r="AI21" s="704">
        <v>3.59</v>
      </c>
      <c r="AJ21" s="704">
        <v>3.59</v>
      </c>
      <c r="AK21" s="704">
        <v>3.59</v>
      </c>
      <c r="AL21" s="704">
        <v>3.59</v>
      </c>
      <c r="AM21" s="704">
        <v>3.59</v>
      </c>
      <c r="AN21" s="704">
        <v>3.59</v>
      </c>
      <c r="AO21" s="704">
        <v>3.59</v>
      </c>
      <c r="AP21" s="704">
        <v>3.59</v>
      </c>
      <c r="AQ21" s="704">
        <v>3.59</v>
      </c>
      <c r="AR21" s="704">
        <v>3.59</v>
      </c>
      <c r="AS21" s="704">
        <v>3.59</v>
      </c>
      <c r="AT21" s="704">
        <v>3.59</v>
      </c>
      <c r="AU21" s="704">
        <v>3.59</v>
      </c>
      <c r="AV21" s="704">
        <v>3.59</v>
      </c>
      <c r="AW21" s="704">
        <v>3.59</v>
      </c>
      <c r="AX21" s="704">
        <v>3.59</v>
      </c>
      <c r="AY21" s="704">
        <v>3.59</v>
      </c>
      <c r="AZ21" s="704">
        <v>3.59</v>
      </c>
    </row>
    <row r="22">
      <c r="A22" s="535" t="s">
        <v>1115</v>
      </c>
      <c r="V22" s="815">
        <f>if(Model!W3534&gt;0,V18*Model!W3534/(V15*Model!W3534*8760),0)+V19</f>
        <v>4.365473908</v>
      </c>
      <c r="W22" s="532">
        <f>if(Model!X3534&gt;0,W18*Model!X3534/(W15*Model!X3534*8760),0)+W19</f>
        <v>4.450639828</v>
      </c>
      <c r="X22" s="532">
        <f>if(Model!Y3534&gt;0,X18*Model!Y3534/(X15*Model!Y3534*8760),0)+X19</f>
        <v>3.878454148</v>
      </c>
      <c r="Y22" s="532">
        <f>if(Model!Z3534&gt;0,Y18*Model!Z3534/(Y15*Model!Z3534*8760),0)+Y19</f>
        <v>3.954118812</v>
      </c>
      <c r="Z22" s="532">
        <f>if(Model!AA3534&gt;0,Z18*Model!AA3534/(Z15*Model!AA3534*8760),0)+Z19</f>
        <v>4.031259616</v>
      </c>
      <c r="AA22" s="532">
        <f>if(Model!AB3534&gt;0,AA18*Model!AB3534/(AA15*Model!AB3534*8760),0)+AA19</f>
        <v>4.109905358</v>
      </c>
      <c r="AB22" s="532">
        <f>if(Model!AC3534&gt;0,AB18*Model!AC3534/(AB15*Model!AC3534*8760),0)+AB19</f>
        <v>4.190085397</v>
      </c>
      <c r="AC22" s="532">
        <f>if(Model!AD3534&gt;0,AC18*Model!AD3534/(AC15*Model!AD3534*8760),0)+AC19</f>
        <v>4.271829668</v>
      </c>
      <c r="AD22" s="532">
        <f>if(Model!AE3534&gt;0,AD18*Model!AE3534/(AD15*Model!AE3534*8760),0)+AD19</f>
        <v>4.355168685</v>
      </c>
      <c r="AE22" s="532">
        <f>if(Model!AF3534&gt;0,AE18*Model!AF3534/(AE15*Model!AF3534*8760),0)+AE19</f>
        <v>4.44013356</v>
      </c>
      <c r="AF22" s="532">
        <f>if(Model!AG3534&gt;0,AF18*Model!AG3534/(AF15*Model!AG3534*8760),0)+AF19</f>
        <v>4.526756014</v>
      </c>
      <c r="AG22" s="532">
        <f>if(Model!AH3534&gt;0,AG18*Model!AH3534/(AG15*Model!AH3534*8760),0)+AG19</f>
        <v>4.615068383</v>
      </c>
      <c r="AH22" s="532">
        <f>if(Model!AI3534&gt;0,AH18*Model!AI3534/(AH15*Model!AI3534*8760),0)+AH19</f>
        <v>4.705103635</v>
      </c>
      <c r="AI22" s="532">
        <f>if(Model!AJ3534&gt;0,AI18*Model!AJ3534/(AI15*Model!AJ3534*8760),0)+AI19</f>
        <v>4.796895383</v>
      </c>
      <c r="AJ22" s="532">
        <f>if(Model!AK3534&gt;0,AJ18*Model!AK3534/(AJ15*Model!AK3534*8760),0)+AJ19</f>
        <v>4.890477894</v>
      </c>
      <c r="AK22" s="532">
        <f>if(Model!AL3534&gt;0,AK18*Model!AL3534/(AK15*Model!AL3534*8760),0)+AK19</f>
        <v>4.985886103</v>
      </c>
      <c r="AL22" s="532">
        <f>if(Model!AM3534&gt;0,AL18*Model!AM3534/(AL15*Model!AM3534*8760),0)+AL19</f>
        <v>5.083155629</v>
      </c>
      <c r="AM22" s="532">
        <f>if(Model!AN3534&gt;0,AM18*Model!AN3534/(AM15*Model!AN3534*8760),0)+AM19</f>
        <v>5.182322784</v>
      </c>
      <c r="AN22" s="532">
        <f>if(Model!AO3534&gt;0,AN18*Model!AO3534/(AN15*Model!AO3534*8760),0)+AN19</f>
        <v>5.283424588</v>
      </c>
      <c r="AO22" s="532">
        <f>if(Model!AP3534&gt;0,AO18*Model!AP3534/(AO15*Model!AP3534*8760),0)+AO19</f>
        <v>5.386498785</v>
      </c>
      <c r="AP22" s="532">
        <f>if(Model!AQ3534&gt;0,AP18*Model!AQ3534/(AP15*Model!AQ3534*8760),0)+AP19</f>
        <v>5.491583854</v>
      </c>
      <c r="AQ22" s="532">
        <f>if(Model!AR3534&gt;0,AQ18*Model!AR3534/(AQ15*Model!AR3534*8760),0)+AQ19</f>
        <v>5.598719024</v>
      </c>
      <c r="AR22" s="532">
        <f>if(Model!AS3534&gt;0,AR18*Model!AS3534/(AR15*Model!AS3534*8760),0)+AR19</f>
        <v>5.707944292</v>
      </c>
      <c r="AS22" s="532">
        <f>if(Model!AT3534&gt;0,AS18*Model!AT3534/(AS15*Model!AT3534*8760),0)+AS19</f>
        <v>5.819300433</v>
      </c>
      <c r="AT22" s="532">
        <f>if(Model!AU3534&gt;0,AT18*Model!AU3534/(AT15*Model!AU3534*8760),0)+AT19</f>
        <v>5.932829018</v>
      </c>
      <c r="AU22" s="532">
        <f>if(Model!AV3534&gt;0,AU18*Model!AV3534/(AU15*Model!AV3534*8760),0)+AU19</f>
        <v>6.04857243</v>
      </c>
      <c r="AV22" s="532">
        <f>if(Model!AW3534&gt;0,AV18*Model!AW3534/(AV15*Model!AW3534*8760),0)+AV19</f>
        <v>6.166573876</v>
      </c>
      <c r="AW22" s="532">
        <f>if(Model!AX3534&gt;0,AW18*Model!AX3534/(AW15*Model!AX3534*8760),0)+AW19</f>
        <v>6.28687741</v>
      </c>
      <c r="AX22" s="532">
        <f>if(Model!AY3534&gt;0,AX18*Model!AY3534/(AX15*Model!AY3534*8760),0)+AX19</f>
        <v>6.409527943</v>
      </c>
      <c r="AY22" s="532">
        <f>if(Model!AZ3534&gt;0,AY18*Model!AZ3534/(AY15*Model!AZ3534*8760),0)+AY19</f>
        <v>6.534571261</v>
      </c>
      <c r="AZ22" s="532">
        <f>if(Model!BA3534&gt;0,AZ18*Model!BA3534/(AZ15*Model!BA3534*8760),0)+AZ19</f>
        <v>6.662054047</v>
      </c>
    </row>
    <row r="23">
      <c r="A23" s="535" t="s">
        <v>106</v>
      </c>
      <c r="V23" s="816">
        <v>0.0025</v>
      </c>
      <c r="W23" s="508">
        <v>0.0025</v>
      </c>
      <c r="X23" s="508">
        <v>0.0025</v>
      </c>
      <c r="Y23" s="508">
        <v>0.0025</v>
      </c>
      <c r="Z23" s="508">
        <v>0.0025</v>
      </c>
      <c r="AA23" s="508">
        <v>0.0025</v>
      </c>
      <c r="AB23" s="508">
        <v>0.0025</v>
      </c>
      <c r="AC23" s="508">
        <v>0.0025</v>
      </c>
      <c r="AD23" s="508">
        <v>0.0025</v>
      </c>
      <c r="AE23" s="508">
        <v>0.0025</v>
      </c>
      <c r="AF23" s="508">
        <v>0.0025</v>
      </c>
      <c r="AG23" s="508">
        <v>0.0025</v>
      </c>
      <c r="AH23" s="508">
        <v>0.0025</v>
      </c>
      <c r="AI23" s="508">
        <v>0.0025</v>
      </c>
      <c r="AJ23" s="508">
        <v>0.0025</v>
      </c>
      <c r="AK23" s="508">
        <v>0.0025</v>
      </c>
      <c r="AL23" s="508">
        <v>0.0025</v>
      </c>
      <c r="AM23" s="508">
        <v>0.0025</v>
      </c>
      <c r="AN23" s="508">
        <v>0.0025</v>
      </c>
      <c r="AO23" s="508">
        <v>0.0025</v>
      </c>
      <c r="AP23" s="508">
        <v>0.0025</v>
      </c>
      <c r="AQ23" s="508">
        <v>0.0025</v>
      </c>
      <c r="AR23" s="508">
        <v>0.0025</v>
      </c>
      <c r="AS23" s="508">
        <v>0.0025</v>
      </c>
      <c r="AT23" s="508">
        <v>0.0025</v>
      </c>
      <c r="AU23" s="508">
        <v>0.0025</v>
      </c>
      <c r="AV23" s="508">
        <v>0.0025</v>
      </c>
      <c r="AW23" s="508">
        <v>0.0025</v>
      </c>
      <c r="AX23" s="508">
        <v>0.0025</v>
      </c>
      <c r="AY23" s="508">
        <v>0.0025</v>
      </c>
      <c r="AZ23" s="508">
        <v>0.0025</v>
      </c>
    </row>
    <row r="24">
      <c r="A24" s="817" t="s">
        <v>1101</v>
      </c>
      <c r="B24" s="31"/>
      <c r="C24" s="32"/>
      <c r="D24" s="32"/>
      <c r="E24" s="32"/>
      <c r="F24" s="32"/>
      <c r="G24" s="32"/>
      <c r="H24" s="32"/>
      <c r="I24" s="32"/>
      <c r="J24" s="32"/>
      <c r="K24" s="32"/>
      <c r="L24" s="32"/>
      <c r="M24" s="32"/>
      <c r="N24" s="32"/>
      <c r="O24" s="32"/>
      <c r="P24" s="32"/>
      <c r="Q24" s="32"/>
      <c r="R24" s="32"/>
      <c r="S24" s="32"/>
      <c r="T24" s="32"/>
      <c r="U24" s="32"/>
      <c r="V24" s="818">
        <v>2970000.0</v>
      </c>
    </row>
    <row r="25">
      <c r="A25" s="535" t="s">
        <v>112</v>
      </c>
      <c r="V25" s="819">
        <v>0.21</v>
      </c>
      <c r="W25" s="820">
        <f t="shared" ref="W25:AZ25" si="9">V25</f>
        <v>0.21</v>
      </c>
      <c r="X25" s="820">
        <f t="shared" si="9"/>
        <v>0.21</v>
      </c>
      <c r="Y25" s="820">
        <f t="shared" si="9"/>
        <v>0.21</v>
      </c>
      <c r="Z25" s="820">
        <f t="shared" si="9"/>
        <v>0.21</v>
      </c>
      <c r="AA25" s="820">
        <f t="shared" si="9"/>
        <v>0.21</v>
      </c>
      <c r="AB25" s="820">
        <f t="shared" si="9"/>
        <v>0.21</v>
      </c>
      <c r="AC25" s="820">
        <f t="shared" si="9"/>
        <v>0.21</v>
      </c>
      <c r="AD25" s="820">
        <f t="shared" si="9"/>
        <v>0.21</v>
      </c>
      <c r="AE25" s="820">
        <f t="shared" si="9"/>
        <v>0.21</v>
      </c>
      <c r="AF25" s="820">
        <f t="shared" si="9"/>
        <v>0.21</v>
      </c>
      <c r="AG25" s="820">
        <f t="shared" si="9"/>
        <v>0.21</v>
      </c>
      <c r="AH25" s="820">
        <f t="shared" si="9"/>
        <v>0.21</v>
      </c>
      <c r="AI25" s="820">
        <f t="shared" si="9"/>
        <v>0.21</v>
      </c>
      <c r="AJ25" s="820">
        <f t="shared" si="9"/>
        <v>0.21</v>
      </c>
      <c r="AK25" s="820">
        <f t="shared" si="9"/>
        <v>0.21</v>
      </c>
      <c r="AL25" s="820">
        <f t="shared" si="9"/>
        <v>0.21</v>
      </c>
      <c r="AM25" s="820">
        <f t="shared" si="9"/>
        <v>0.21</v>
      </c>
      <c r="AN25" s="820">
        <f t="shared" si="9"/>
        <v>0.21</v>
      </c>
      <c r="AO25" s="820">
        <f t="shared" si="9"/>
        <v>0.21</v>
      </c>
      <c r="AP25" s="820">
        <f t="shared" si="9"/>
        <v>0.21</v>
      </c>
      <c r="AQ25" s="820">
        <f t="shared" si="9"/>
        <v>0.21</v>
      </c>
      <c r="AR25" s="820">
        <f t="shared" si="9"/>
        <v>0.21</v>
      </c>
      <c r="AS25" s="820">
        <f t="shared" si="9"/>
        <v>0.21</v>
      </c>
      <c r="AT25" s="820">
        <f t="shared" si="9"/>
        <v>0.21</v>
      </c>
      <c r="AU25" s="820">
        <f t="shared" si="9"/>
        <v>0.21</v>
      </c>
      <c r="AV25" s="820">
        <f t="shared" si="9"/>
        <v>0.21</v>
      </c>
      <c r="AW25" s="820">
        <f t="shared" si="9"/>
        <v>0.21</v>
      </c>
      <c r="AX25" s="820">
        <f t="shared" si="9"/>
        <v>0.21</v>
      </c>
      <c r="AY25" s="820">
        <f t="shared" si="9"/>
        <v>0.21</v>
      </c>
      <c r="AZ25" s="820">
        <f t="shared" si="9"/>
        <v>0.21</v>
      </c>
    </row>
    <row r="26">
      <c r="A26" s="810" t="s">
        <v>114</v>
      </c>
      <c r="V26" s="456">
        <v>0.0</v>
      </c>
      <c r="W26" s="821">
        <f t="shared" ref="W26:AZ26" si="10">V26*(1+V37)</f>
        <v>0</v>
      </c>
      <c r="X26" s="821">
        <f t="shared" si="10"/>
        <v>0</v>
      </c>
      <c r="Y26" s="821">
        <f t="shared" si="10"/>
        <v>0</v>
      </c>
      <c r="Z26" s="821">
        <f t="shared" si="10"/>
        <v>0</v>
      </c>
      <c r="AA26" s="821">
        <f t="shared" si="10"/>
        <v>0</v>
      </c>
      <c r="AB26" s="821">
        <f t="shared" si="10"/>
        <v>0</v>
      </c>
      <c r="AC26" s="821">
        <f t="shared" si="10"/>
        <v>0</v>
      </c>
      <c r="AD26" s="821">
        <f t="shared" si="10"/>
        <v>0</v>
      </c>
      <c r="AE26" s="821">
        <f t="shared" si="10"/>
        <v>0</v>
      </c>
      <c r="AF26" s="821">
        <f t="shared" si="10"/>
        <v>0</v>
      </c>
      <c r="AG26" s="821">
        <f t="shared" si="10"/>
        <v>0</v>
      </c>
      <c r="AH26" s="821">
        <f t="shared" si="10"/>
        <v>0</v>
      </c>
      <c r="AI26" s="821">
        <f t="shared" si="10"/>
        <v>0</v>
      </c>
      <c r="AJ26" s="821">
        <f t="shared" si="10"/>
        <v>0</v>
      </c>
      <c r="AK26" s="821">
        <f t="shared" si="10"/>
        <v>0</v>
      </c>
      <c r="AL26" s="821">
        <f t="shared" si="10"/>
        <v>0</v>
      </c>
      <c r="AM26" s="821">
        <f t="shared" si="10"/>
        <v>0</v>
      </c>
      <c r="AN26" s="821">
        <f t="shared" si="10"/>
        <v>0</v>
      </c>
      <c r="AO26" s="821">
        <f t="shared" si="10"/>
        <v>0</v>
      </c>
      <c r="AP26" s="821">
        <f t="shared" si="10"/>
        <v>0</v>
      </c>
      <c r="AQ26" s="821">
        <f t="shared" si="10"/>
        <v>0</v>
      </c>
      <c r="AR26" s="821">
        <f t="shared" si="10"/>
        <v>0</v>
      </c>
      <c r="AS26" s="821">
        <f t="shared" si="10"/>
        <v>0</v>
      </c>
      <c r="AT26" s="821">
        <f t="shared" si="10"/>
        <v>0</v>
      </c>
      <c r="AU26" s="821">
        <f t="shared" si="10"/>
        <v>0</v>
      </c>
      <c r="AV26" s="821">
        <f t="shared" si="10"/>
        <v>0</v>
      </c>
      <c r="AW26" s="821">
        <f t="shared" si="10"/>
        <v>0</v>
      </c>
      <c r="AX26" s="821">
        <f t="shared" si="10"/>
        <v>0</v>
      </c>
      <c r="AY26" s="821">
        <f t="shared" si="10"/>
        <v>0</v>
      </c>
      <c r="AZ26" s="821">
        <f t="shared" si="10"/>
        <v>0</v>
      </c>
    </row>
    <row r="27">
      <c r="A27" s="535" t="s">
        <v>116</v>
      </c>
      <c r="V27" s="456">
        <v>30.0</v>
      </c>
    </row>
    <row r="28">
      <c r="A28" s="535" t="s">
        <v>119</v>
      </c>
      <c r="V28" s="477"/>
    </row>
    <row r="29">
      <c r="A29" s="535" t="s">
        <v>121</v>
      </c>
      <c r="V29" s="477"/>
    </row>
    <row r="30">
      <c r="A30" s="535" t="s">
        <v>122</v>
      </c>
      <c r="V30" s="477"/>
    </row>
    <row r="31">
      <c r="A31" s="174" t="s">
        <v>123</v>
      </c>
      <c r="V31" s="477"/>
    </row>
    <row r="32">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c r="A36" s="541" t="s">
        <v>1116</v>
      </c>
      <c r="V36" s="819">
        <v>0.55</v>
      </c>
      <c r="W36" s="820">
        <f t="shared" ref="W36:AZ36" si="11">V36</f>
        <v>0.55</v>
      </c>
      <c r="X36" s="820">
        <f t="shared" si="11"/>
        <v>0.55</v>
      </c>
      <c r="Y36" s="820">
        <f t="shared" si="11"/>
        <v>0.55</v>
      </c>
      <c r="Z36" s="820">
        <f t="shared" si="11"/>
        <v>0.55</v>
      </c>
      <c r="AA36" s="820">
        <f t="shared" si="11"/>
        <v>0.55</v>
      </c>
      <c r="AB36" s="820">
        <f t="shared" si="11"/>
        <v>0.55</v>
      </c>
      <c r="AC36" s="820">
        <f t="shared" si="11"/>
        <v>0.55</v>
      </c>
      <c r="AD36" s="820">
        <f t="shared" si="11"/>
        <v>0.55</v>
      </c>
      <c r="AE36" s="820">
        <f t="shared" si="11"/>
        <v>0.55</v>
      </c>
      <c r="AF36" s="820">
        <f t="shared" si="11"/>
        <v>0.55</v>
      </c>
      <c r="AG36" s="820">
        <f t="shared" si="11"/>
        <v>0.55</v>
      </c>
      <c r="AH36" s="820">
        <f t="shared" si="11"/>
        <v>0.55</v>
      </c>
      <c r="AI36" s="820">
        <f t="shared" si="11"/>
        <v>0.55</v>
      </c>
      <c r="AJ36" s="820">
        <f t="shared" si="11"/>
        <v>0.55</v>
      </c>
      <c r="AK36" s="820">
        <f t="shared" si="11"/>
        <v>0.55</v>
      </c>
      <c r="AL36" s="820">
        <f t="shared" si="11"/>
        <v>0.55</v>
      </c>
      <c r="AM36" s="820">
        <f t="shared" si="11"/>
        <v>0.55</v>
      </c>
      <c r="AN36" s="820">
        <f t="shared" si="11"/>
        <v>0.55</v>
      </c>
      <c r="AO36" s="820">
        <f t="shared" si="11"/>
        <v>0.55</v>
      </c>
      <c r="AP36" s="820">
        <f t="shared" si="11"/>
        <v>0.55</v>
      </c>
      <c r="AQ36" s="820">
        <f t="shared" si="11"/>
        <v>0.55</v>
      </c>
      <c r="AR36" s="820">
        <f t="shared" si="11"/>
        <v>0.55</v>
      </c>
      <c r="AS36" s="820">
        <f t="shared" si="11"/>
        <v>0.55</v>
      </c>
      <c r="AT36" s="820">
        <f t="shared" si="11"/>
        <v>0.55</v>
      </c>
      <c r="AU36" s="820">
        <f t="shared" si="11"/>
        <v>0.55</v>
      </c>
      <c r="AV36" s="820">
        <f t="shared" si="11"/>
        <v>0.55</v>
      </c>
      <c r="AW36" s="820">
        <f t="shared" si="11"/>
        <v>0.55</v>
      </c>
      <c r="AX36" s="820">
        <f t="shared" si="11"/>
        <v>0.55</v>
      </c>
      <c r="AY36" s="820">
        <f t="shared" si="11"/>
        <v>0.55</v>
      </c>
      <c r="AZ36" s="820">
        <f t="shared" si="11"/>
        <v>0.55</v>
      </c>
    </row>
    <row r="37">
      <c r="A37" s="535" t="s">
        <v>137</v>
      </c>
      <c r="B37" s="495">
        <f>C37</f>
        <v>0</v>
      </c>
      <c r="C37" s="495">
        <f>'Inflation GDP Population'!C11-'Inflation GDP Population'!B11</f>
        <v>0</v>
      </c>
      <c r="D37" s="495">
        <f>'Inflation GDP Population'!D11-'Inflation GDP Population'!C11</f>
        <v>0</v>
      </c>
      <c r="E37" s="495">
        <f>'Inflation GDP Population'!E11-'Inflation GDP Population'!D11</f>
        <v>0</v>
      </c>
      <c r="F37" s="495">
        <f>'Inflation GDP Population'!F11-'Inflation GDP Population'!E11</f>
        <v>0.01699083389</v>
      </c>
      <c r="G37" s="495">
        <f>'Inflation GDP Population'!G11-'Inflation GDP Population'!F11</f>
        <v>0.03062821373</v>
      </c>
      <c r="H37" s="495">
        <f>'Inflation GDP Population'!H11-'Inflation GDP Population'!G11</f>
        <v>0.05371115582</v>
      </c>
      <c r="I37" s="495">
        <f>'Inflation GDP Population'!I11-'Inflation GDP Population'!H11</f>
        <v>0.02520679633</v>
      </c>
      <c r="J37" s="495">
        <f>'Inflation GDP Population'!J11-'Inflation GDP Population'!I11</f>
        <v>0.03996199419</v>
      </c>
      <c r="K37" s="495">
        <f>'Inflation GDP Population'!K11-'Inflation GDP Population'!J11</f>
        <v>0.01939414263</v>
      </c>
      <c r="L37" s="495">
        <f>'Inflation GDP Population'!L11-'Inflation GDP Population'!K11</f>
        <v>0.01928236083</v>
      </c>
      <c r="M37" s="495">
        <f>'Inflation GDP Population'!M11-'Inflation GDP Population'!L11</f>
        <v>0.02241225129</v>
      </c>
      <c r="N37" s="495">
        <f>'Inflation GDP Population'!N11-'Inflation GDP Population'!M11</f>
        <v>0.009445562262</v>
      </c>
      <c r="O37" s="495">
        <f>'Inflation GDP Population'!O11-'Inflation GDP Population'!N11</f>
        <v>0.01263134362</v>
      </c>
      <c r="P37" s="495">
        <f>'Inflation GDP Population'!P11-'Inflation GDP Population'!O11</f>
        <v>0.0348200313</v>
      </c>
      <c r="Q37" s="495">
        <f>'Inflation GDP Population'!Q11-'Inflation GDP Population'!P11</f>
        <v>0.01620836128</v>
      </c>
      <c r="R37" s="495">
        <f>'Inflation GDP Population'!R11-'Inflation GDP Population'!Q11</f>
        <v>-0.01061927118</v>
      </c>
      <c r="S37" s="495">
        <f>'Inflation GDP Population'!S11-'Inflation GDP Population'!R11</f>
        <v>0.03923541247</v>
      </c>
      <c r="T37" s="495">
        <f>'Inflation GDP Population'!T11-'Inflation GDP Population'!S11</f>
        <v>0.01263134362</v>
      </c>
      <c r="U37" s="495">
        <f>Inputs!$B$21</f>
        <v>0.01989423738</v>
      </c>
      <c r="V37" s="822">
        <f>Inputs!$B$21</f>
        <v>0.01989423738</v>
      </c>
      <c r="W37" s="495">
        <f>Inputs!$B$21</f>
        <v>0.01989423738</v>
      </c>
      <c r="X37" s="495">
        <f>Inputs!$B$21</f>
        <v>0.01989423738</v>
      </c>
      <c r="Y37" s="495">
        <f>Inputs!$B$21</f>
        <v>0.01989423738</v>
      </c>
      <c r="Z37" s="495">
        <f>Inputs!$B$21</f>
        <v>0.01989423738</v>
      </c>
      <c r="AA37" s="495">
        <f>Inputs!$B$21</f>
        <v>0.01989423738</v>
      </c>
      <c r="AB37" s="495">
        <f>Inputs!$B$21</f>
        <v>0.01989423738</v>
      </c>
      <c r="AC37" s="495">
        <f>Inputs!$B$21</f>
        <v>0.01989423738</v>
      </c>
      <c r="AD37" s="495">
        <f>Inputs!$B$21</f>
        <v>0.01989423738</v>
      </c>
      <c r="AE37" s="495">
        <f>Inputs!$B$21</f>
        <v>0.01989423738</v>
      </c>
      <c r="AF37" s="495">
        <f>Inputs!$B$21</f>
        <v>0.01989423738</v>
      </c>
      <c r="AG37" s="495">
        <f>Inputs!$B$21</f>
        <v>0.01989423738</v>
      </c>
      <c r="AH37" s="495">
        <f>Inputs!$B$21</f>
        <v>0.01989423738</v>
      </c>
      <c r="AI37" s="495">
        <f>Inputs!$B$21</f>
        <v>0.01989423738</v>
      </c>
      <c r="AJ37" s="495">
        <f>Inputs!$B$21</f>
        <v>0.01989423738</v>
      </c>
      <c r="AK37" s="495">
        <f>Inputs!$B$21</f>
        <v>0.01989423738</v>
      </c>
      <c r="AL37" s="495">
        <f>Inputs!$B$21</f>
        <v>0.01989423738</v>
      </c>
      <c r="AM37" s="495">
        <f>Inputs!$B$21</f>
        <v>0.01989423738</v>
      </c>
      <c r="AN37" s="495">
        <f>Inputs!$B$21</f>
        <v>0.01989423738</v>
      </c>
      <c r="AO37" s="495">
        <f>Inputs!$B$21</f>
        <v>0.01989423738</v>
      </c>
      <c r="AP37" s="495">
        <f>Inputs!$B$21</f>
        <v>0.01989423738</v>
      </c>
      <c r="AQ37" s="495">
        <f>Inputs!$B$21</f>
        <v>0.01989423738</v>
      </c>
      <c r="AR37" s="495">
        <f>Inputs!$B$21</f>
        <v>0.01989423738</v>
      </c>
      <c r="AS37" s="495">
        <f>Inputs!$B$21</f>
        <v>0.01989423738</v>
      </c>
      <c r="AT37" s="495">
        <f>Inputs!$B$21</f>
        <v>0.01989423738</v>
      </c>
      <c r="AU37" s="495">
        <f>Inputs!$B$21</f>
        <v>0.01989423738</v>
      </c>
      <c r="AV37" s="495">
        <f>Inputs!$B$21</f>
        <v>0.01989423738</v>
      </c>
      <c r="AW37" s="495">
        <f>Inputs!$B$21</f>
        <v>0.01989423738</v>
      </c>
      <c r="AX37" s="495">
        <f>Inputs!$B$21</f>
        <v>0.01989423738</v>
      </c>
      <c r="AY37" s="495">
        <f>Inputs!$B$21</f>
        <v>0.01989423738</v>
      </c>
      <c r="AZ37" s="495">
        <f>Inputs!$B$21</f>
        <v>0.01989423738</v>
      </c>
    </row>
    <row r="38">
      <c r="A38" s="535"/>
    </row>
    <row r="39">
      <c r="A39" s="403" t="s">
        <v>1117</v>
      </c>
      <c r="B39" s="32"/>
      <c r="C39" s="32"/>
      <c r="D39" s="32"/>
      <c r="E39" s="32"/>
      <c r="F39" s="32"/>
      <c r="G39" s="32"/>
      <c r="H39" s="32"/>
      <c r="I39" s="32"/>
      <c r="J39" s="32"/>
      <c r="K39" s="32"/>
      <c r="L39" s="32"/>
      <c r="M39" s="32"/>
      <c r="N39" s="32"/>
      <c r="O39" s="32"/>
      <c r="P39" s="32"/>
      <c r="Q39" s="32"/>
      <c r="R39" s="32"/>
      <c r="S39" s="32"/>
      <c r="T39" s="32"/>
      <c r="U39" s="32"/>
      <c r="V39" s="32"/>
      <c r="W39" s="252">
        <f t="shared" ref="W39:BA39" si="12">SUM(W41:W161)</f>
        <v>0</v>
      </c>
      <c r="X39" s="252">
        <f t="shared" si="12"/>
        <v>0</v>
      </c>
      <c r="Y39" s="252">
        <f t="shared" si="12"/>
        <v>0</v>
      </c>
      <c r="Z39" s="252">
        <f t="shared" si="12"/>
        <v>0</v>
      </c>
      <c r="AA39" s="252">
        <f t="shared" si="12"/>
        <v>0</v>
      </c>
      <c r="AB39" s="252">
        <f t="shared" si="12"/>
        <v>0</v>
      </c>
      <c r="AC39" s="252">
        <f t="shared" si="12"/>
        <v>0</v>
      </c>
      <c r="AD39" s="252">
        <f t="shared" si="12"/>
        <v>0</v>
      </c>
      <c r="AE39" s="252">
        <f t="shared" si="12"/>
        <v>0</v>
      </c>
      <c r="AF39" s="252">
        <f t="shared" si="12"/>
        <v>0</v>
      </c>
      <c r="AG39" s="252">
        <f t="shared" si="12"/>
        <v>0</v>
      </c>
      <c r="AH39" s="252">
        <f t="shared" si="12"/>
        <v>0</v>
      </c>
      <c r="AI39" s="252">
        <f t="shared" si="12"/>
        <v>0</v>
      </c>
      <c r="AJ39" s="252">
        <f t="shared" si="12"/>
        <v>0</v>
      </c>
      <c r="AK39" s="252">
        <f t="shared" si="12"/>
        <v>0</v>
      </c>
      <c r="AL39" s="252">
        <f t="shared" si="12"/>
        <v>0</v>
      </c>
      <c r="AM39" s="252">
        <f t="shared" si="12"/>
        <v>0</v>
      </c>
      <c r="AN39" s="252">
        <f t="shared" si="12"/>
        <v>0</v>
      </c>
      <c r="AO39" s="252">
        <f t="shared" si="12"/>
        <v>0</v>
      </c>
      <c r="AP39" s="252">
        <f t="shared" si="12"/>
        <v>0</v>
      </c>
      <c r="AQ39" s="252">
        <f t="shared" si="12"/>
        <v>0</v>
      </c>
      <c r="AR39" s="252">
        <f t="shared" si="12"/>
        <v>0</v>
      </c>
      <c r="AS39" s="252">
        <f t="shared" si="12"/>
        <v>0</v>
      </c>
      <c r="AT39" s="252">
        <f t="shared" si="12"/>
        <v>0</v>
      </c>
      <c r="AU39" s="252">
        <f t="shared" si="12"/>
        <v>0</v>
      </c>
      <c r="AV39" s="252">
        <f t="shared" si="12"/>
        <v>0</v>
      </c>
      <c r="AW39" s="252">
        <f t="shared" si="12"/>
        <v>0</v>
      </c>
      <c r="AX39" s="252">
        <f t="shared" si="12"/>
        <v>0</v>
      </c>
      <c r="AY39" s="252">
        <f t="shared" si="12"/>
        <v>0</v>
      </c>
      <c r="AZ39" s="252">
        <f t="shared" si="12"/>
        <v>0</v>
      </c>
      <c r="BA39" s="252">
        <f t="shared" si="12"/>
        <v>0</v>
      </c>
    </row>
    <row r="40">
      <c r="A40" s="733" t="s">
        <v>1012</v>
      </c>
      <c r="B40" s="748"/>
      <c r="C40" s="748"/>
      <c r="D40" s="748"/>
      <c r="E40" s="748"/>
      <c r="F40" s="748"/>
      <c r="G40" s="748"/>
      <c r="H40" s="748"/>
      <c r="I40" s="748"/>
      <c r="J40" s="748"/>
      <c r="K40" s="748"/>
      <c r="L40" s="748"/>
      <c r="M40" s="748"/>
      <c r="N40" s="748"/>
      <c r="O40" s="748"/>
      <c r="P40" s="748"/>
      <c r="Q40" s="748"/>
      <c r="R40" s="748"/>
      <c r="S40" s="32"/>
      <c r="T40" s="32"/>
      <c r="U40" s="748"/>
      <c r="V40" s="786" t="s">
        <v>1015</v>
      </c>
      <c r="W40" s="150">
        <v>2020.0</v>
      </c>
      <c r="X40" s="150">
        <v>2021.0</v>
      </c>
      <c r="Y40" s="150">
        <v>2022.0</v>
      </c>
      <c r="Z40" s="150">
        <v>2023.0</v>
      </c>
      <c r="AA40" s="150">
        <v>2024.0</v>
      </c>
      <c r="AB40" s="150">
        <v>2025.0</v>
      </c>
      <c r="AC40" s="150">
        <v>2026.0</v>
      </c>
      <c r="AD40" s="150">
        <v>2027.0</v>
      </c>
      <c r="AE40" s="150">
        <v>2028.0</v>
      </c>
      <c r="AF40" s="150">
        <v>2029.0</v>
      </c>
      <c r="AG40" s="150">
        <v>2030.0</v>
      </c>
      <c r="AH40" s="150">
        <v>2031.0</v>
      </c>
      <c r="AI40" s="150">
        <v>2032.0</v>
      </c>
      <c r="AJ40" s="150">
        <v>2033.0</v>
      </c>
      <c r="AK40" s="150">
        <v>2034.0</v>
      </c>
      <c r="AL40" s="150">
        <v>2035.0</v>
      </c>
      <c r="AM40" s="150">
        <v>2036.0</v>
      </c>
      <c r="AN40" s="150">
        <v>2037.0</v>
      </c>
      <c r="AO40" s="150">
        <v>2038.0</v>
      </c>
      <c r="AP40" s="150">
        <v>2039.0</v>
      </c>
      <c r="AQ40" s="150">
        <v>2040.0</v>
      </c>
      <c r="AR40" s="150">
        <v>2041.0</v>
      </c>
      <c r="AS40" s="150">
        <v>2042.0</v>
      </c>
      <c r="AT40" s="150">
        <v>2043.0</v>
      </c>
      <c r="AU40" s="150">
        <v>2044.0</v>
      </c>
      <c r="AV40" s="150">
        <v>2045.0</v>
      </c>
      <c r="AW40" s="150">
        <v>2046.0</v>
      </c>
      <c r="AX40" s="150">
        <v>2047.0</v>
      </c>
      <c r="AY40" s="150">
        <v>2048.0</v>
      </c>
      <c r="AZ40" s="150">
        <v>2049.0</v>
      </c>
      <c r="BA40" s="150">
        <v>2050.0</v>
      </c>
    </row>
    <row r="41">
      <c r="A41" s="44">
        <v>1930.0</v>
      </c>
      <c r="B41" s="32"/>
      <c r="C41" s="32"/>
      <c r="D41" s="32"/>
      <c r="E41" s="32"/>
      <c r="F41" s="32"/>
      <c r="G41" s="32"/>
      <c r="H41" s="32"/>
      <c r="I41" s="32"/>
      <c r="J41" s="32"/>
      <c r="K41" s="32"/>
      <c r="L41" s="32"/>
      <c r="M41" s="32"/>
      <c r="N41" s="32"/>
      <c r="O41" s="32"/>
      <c r="P41" s="32"/>
      <c r="Q41" s="32"/>
      <c r="R41" s="32"/>
      <c r="S41" s="32"/>
      <c r="T41" s="32"/>
      <c r="U41" s="32"/>
      <c r="V41" s="770">
        <v>0.0</v>
      </c>
      <c r="W41" s="252">
        <f t="shared" ref="W41:W161" si="14">IF(W$41-$A41&gt;$V$27,$V41,0)</f>
        <v>0</v>
      </c>
      <c r="X41" s="252">
        <f t="shared" ref="X41:BA41" si="13">IF(AND(X$41-$A41&gt;$V$27,SUM($W41:W41)&lt;&gt;$V41),$V41,0)</f>
        <v>0</v>
      </c>
      <c r="Y41" s="252">
        <f t="shared" si="13"/>
        <v>0</v>
      </c>
      <c r="Z41" s="252">
        <f t="shared" si="13"/>
        <v>0</v>
      </c>
      <c r="AA41" s="252">
        <f t="shared" si="13"/>
        <v>0</v>
      </c>
      <c r="AB41" s="252">
        <f t="shared" si="13"/>
        <v>0</v>
      </c>
      <c r="AC41" s="252">
        <f t="shared" si="13"/>
        <v>0</v>
      </c>
      <c r="AD41" s="252">
        <f t="shared" si="13"/>
        <v>0</v>
      </c>
      <c r="AE41" s="252">
        <f t="shared" si="13"/>
        <v>0</v>
      </c>
      <c r="AF41" s="252">
        <f t="shared" si="13"/>
        <v>0</v>
      </c>
      <c r="AG41" s="252">
        <f t="shared" si="13"/>
        <v>0</v>
      </c>
      <c r="AH41" s="252">
        <f t="shared" si="13"/>
        <v>0</v>
      </c>
      <c r="AI41" s="252">
        <f t="shared" si="13"/>
        <v>0</v>
      </c>
      <c r="AJ41" s="252">
        <f t="shared" si="13"/>
        <v>0</v>
      </c>
      <c r="AK41" s="252">
        <f t="shared" si="13"/>
        <v>0</v>
      </c>
      <c r="AL41" s="252">
        <f t="shared" si="13"/>
        <v>0</v>
      </c>
      <c r="AM41" s="252">
        <f t="shared" si="13"/>
        <v>0</v>
      </c>
      <c r="AN41" s="252">
        <f t="shared" si="13"/>
        <v>0</v>
      </c>
      <c r="AO41" s="252">
        <f t="shared" si="13"/>
        <v>0</v>
      </c>
      <c r="AP41" s="252">
        <f t="shared" si="13"/>
        <v>0</v>
      </c>
      <c r="AQ41" s="252">
        <f t="shared" si="13"/>
        <v>0</v>
      </c>
      <c r="AR41" s="252">
        <f t="shared" si="13"/>
        <v>0</v>
      </c>
      <c r="AS41" s="252">
        <f t="shared" si="13"/>
        <v>0</v>
      </c>
      <c r="AT41" s="252">
        <f t="shared" si="13"/>
        <v>0</v>
      </c>
      <c r="AU41" s="252">
        <f t="shared" si="13"/>
        <v>0</v>
      </c>
      <c r="AV41" s="252">
        <f t="shared" si="13"/>
        <v>0</v>
      </c>
      <c r="AW41" s="252">
        <f t="shared" si="13"/>
        <v>0</v>
      </c>
      <c r="AX41" s="252">
        <f t="shared" si="13"/>
        <v>0</v>
      </c>
      <c r="AY41" s="252">
        <f t="shared" si="13"/>
        <v>0</v>
      </c>
      <c r="AZ41" s="252">
        <f t="shared" si="13"/>
        <v>0</v>
      </c>
      <c r="BA41" s="252">
        <f t="shared" si="13"/>
        <v>0</v>
      </c>
    </row>
    <row r="42">
      <c r="A42" s="44">
        <v>1931.0</v>
      </c>
      <c r="B42" s="32"/>
      <c r="C42" s="32"/>
      <c r="D42" s="32"/>
      <c r="E42" s="32"/>
      <c r="F42" s="32"/>
      <c r="G42" s="32"/>
      <c r="H42" s="32"/>
      <c r="I42" s="32"/>
      <c r="J42" s="32"/>
      <c r="K42" s="32"/>
      <c r="L42" s="32"/>
      <c r="M42" s="32"/>
      <c r="N42" s="32"/>
      <c r="O42" s="32"/>
      <c r="P42" s="32"/>
      <c r="Q42" s="32"/>
      <c r="R42" s="32"/>
      <c r="S42" s="32"/>
      <c r="T42" s="32"/>
      <c r="U42" s="32"/>
      <c r="V42" s="770">
        <v>0.0</v>
      </c>
      <c r="W42" s="252">
        <f t="shared" si="14"/>
        <v>0</v>
      </c>
      <c r="X42" s="252">
        <f t="shared" ref="X42:BA42" si="15">IF(AND(X$41-$A42&gt;$V$27,SUM($W42:W42)&lt;&gt;$V42),$V42,0)</f>
        <v>0</v>
      </c>
      <c r="Y42" s="252">
        <f t="shared" si="15"/>
        <v>0</v>
      </c>
      <c r="Z42" s="252">
        <f t="shared" si="15"/>
        <v>0</v>
      </c>
      <c r="AA42" s="252">
        <f t="shared" si="15"/>
        <v>0</v>
      </c>
      <c r="AB42" s="252">
        <f t="shared" si="15"/>
        <v>0</v>
      </c>
      <c r="AC42" s="252">
        <f t="shared" si="15"/>
        <v>0</v>
      </c>
      <c r="AD42" s="252">
        <f t="shared" si="15"/>
        <v>0</v>
      </c>
      <c r="AE42" s="252">
        <f t="shared" si="15"/>
        <v>0</v>
      </c>
      <c r="AF42" s="252">
        <f t="shared" si="15"/>
        <v>0</v>
      </c>
      <c r="AG42" s="252">
        <f t="shared" si="15"/>
        <v>0</v>
      </c>
      <c r="AH42" s="252">
        <f t="shared" si="15"/>
        <v>0</v>
      </c>
      <c r="AI42" s="252">
        <f t="shared" si="15"/>
        <v>0</v>
      </c>
      <c r="AJ42" s="252">
        <f t="shared" si="15"/>
        <v>0</v>
      </c>
      <c r="AK42" s="252">
        <f t="shared" si="15"/>
        <v>0</v>
      </c>
      <c r="AL42" s="252">
        <f t="shared" si="15"/>
        <v>0</v>
      </c>
      <c r="AM42" s="252">
        <f t="shared" si="15"/>
        <v>0</v>
      </c>
      <c r="AN42" s="252">
        <f t="shared" si="15"/>
        <v>0</v>
      </c>
      <c r="AO42" s="252">
        <f t="shared" si="15"/>
        <v>0</v>
      </c>
      <c r="AP42" s="252">
        <f t="shared" si="15"/>
        <v>0</v>
      </c>
      <c r="AQ42" s="252">
        <f t="shared" si="15"/>
        <v>0</v>
      </c>
      <c r="AR42" s="252">
        <f t="shared" si="15"/>
        <v>0</v>
      </c>
      <c r="AS42" s="252">
        <f t="shared" si="15"/>
        <v>0</v>
      </c>
      <c r="AT42" s="252">
        <f t="shared" si="15"/>
        <v>0</v>
      </c>
      <c r="AU42" s="252">
        <f t="shared" si="15"/>
        <v>0</v>
      </c>
      <c r="AV42" s="252">
        <f t="shared" si="15"/>
        <v>0</v>
      </c>
      <c r="AW42" s="252">
        <f t="shared" si="15"/>
        <v>0</v>
      </c>
      <c r="AX42" s="252">
        <f t="shared" si="15"/>
        <v>0</v>
      </c>
      <c r="AY42" s="252">
        <f t="shared" si="15"/>
        <v>0</v>
      </c>
      <c r="AZ42" s="252">
        <f t="shared" si="15"/>
        <v>0</v>
      </c>
      <c r="BA42" s="252">
        <f t="shared" si="15"/>
        <v>0</v>
      </c>
    </row>
    <row r="43">
      <c r="A43" s="44">
        <v>1932.0</v>
      </c>
      <c r="B43" s="32"/>
      <c r="C43" s="32"/>
      <c r="D43" s="32"/>
      <c r="E43" s="32"/>
      <c r="F43" s="32"/>
      <c r="G43" s="32"/>
      <c r="H43" s="32"/>
      <c r="I43" s="32"/>
      <c r="J43" s="32"/>
      <c r="K43" s="32"/>
      <c r="L43" s="32"/>
      <c r="M43" s="32"/>
      <c r="N43" s="32"/>
      <c r="O43" s="32"/>
      <c r="P43" s="32"/>
      <c r="Q43" s="32"/>
      <c r="R43" s="32"/>
      <c r="S43" s="32"/>
      <c r="T43" s="32"/>
      <c r="U43" s="32"/>
      <c r="V43" s="770">
        <v>0.0</v>
      </c>
      <c r="W43" s="252">
        <f t="shared" si="14"/>
        <v>0</v>
      </c>
      <c r="X43" s="252">
        <f t="shared" ref="X43:BA43" si="16">IF(AND(X$41-$A43&gt;$V$27,SUM($W43:W43)&lt;&gt;$V43),$V43,0)</f>
        <v>0</v>
      </c>
      <c r="Y43" s="252">
        <f t="shared" si="16"/>
        <v>0</v>
      </c>
      <c r="Z43" s="252">
        <f t="shared" si="16"/>
        <v>0</v>
      </c>
      <c r="AA43" s="252">
        <f t="shared" si="16"/>
        <v>0</v>
      </c>
      <c r="AB43" s="252">
        <f t="shared" si="16"/>
        <v>0</v>
      </c>
      <c r="AC43" s="252">
        <f t="shared" si="16"/>
        <v>0</v>
      </c>
      <c r="AD43" s="252">
        <f t="shared" si="16"/>
        <v>0</v>
      </c>
      <c r="AE43" s="252">
        <f t="shared" si="16"/>
        <v>0</v>
      </c>
      <c r="AF43" s="252">
        <f t="shared" si="16"/>
        <v>0</v>
      </c>
      <c r="AG43" s="252">
        <f t="shared" si="16"/>
        <v>0</v>
      </c>
      <c r="AH43" s="252">
        <f t="shared" si="16"/>
        <v>0</v>
      </c>
      <c r="AI43" s="252">
        <f t="shared" si="16"/>
        <v>0</v>
      </c>
      <c r="AJ43" s="252">
        <f t="shared" si="16"/>
        <v>0</v>
      </c>
      <c r="AK43" s="252">
        <f t="shared" si="16"/>
        <v>0</v>
      </c>
      <c r="AL43" s="252">
        <f t="shared" si="16"/>
        <v>0</v>
      </c>
      <c r="AM43" s="252">
        <f t="shared" si="16"/>
        <v>0</v>
      </c>
      <c r="AN43" s="252">
        <f t="shared" si="16"/>
        <v>0</v>
      </c>
      <c r="AO43" s="252">
        <f t="shared" si="16"/>
        <v>0</v>
      </c>
      <c r="AP43" s="252">
        <f t="shared" si="16"/>
        <v>0</v>
      </c>
      <c r="AQ43" s="252">
        <f t="shared" si="16"/>
        <v>0</v>
      </c>
      <c r="AR43" s="252">
        <f t="shared" si="16"/>
        <v>0</v>
      </c>
      <c r="AS43" s="252">
        <f t="shared" si="16"/>
        <v>0</v>
      </c>
      <c r="AT43" s="252">
        <f t="shared" si="16"/>
        <v>0</v>
      </c>
      <c r="AU43" s="252">
        <f t="shared" si="16"/>
        <v>0</v>
      </c>
      <c r="AV43" s="252">
        <f t="shared" si="16"/>
        <v>0</v>
      </c>
      <c r="AW43" s="252">
        <f t="shared" si="16"/>
        <v>0</v>
      </c>
      <c r="AX43" s="252">
        <f t="shared" si="16"/>
        <v>0</v>
      </c>
      <c r="AY43" s="252">
        <f t="shared" si="16"/>
        <v>0</v>
      </c>
      <c r="AZ43" s="252">
        <f t="shared" si="16"/>
        <v>0</v>
      </c>
      <c r="BA43" s="252">
        <f t="shared" si="16"/>
        <v>0</v>
      </c>
    </row>
    <row r="44">
      <c r="A44" s="44">
        <v>1933.0</v>
      </c>
      <c r="B44" s="32"/>
      <c r="C44" s="32"/>
      <c r="D44" s="32"/>
      <c r="E44" s="32"/>
      <c r="F44" s="32"/>
      <c r="G44" s="32"/>
      <c r="H44" s="32"/>
      <c r="I44" s="32"/>
      <c r="J44" s="32"/>
      <c r="K44" s="32"/>
      <c r="L44" s="32"/>
      <c r="M44" s="32"/>
      <c r="N44" s="32"/>
      <c r="O44" s="32"/>
      <c r="P44" s="32"/>
      <c r="Q44" s="32"/>
      <c r="R44" s="32"/>
      <c r="S44" s="32"/>
      <c r="T44" s="32"/>
      <c r="U44" s="32"/>
      <c r="V44" s="770">
        <v>0.0</v>
      </c>
      <c r="W44" s="252">
        <f t="shared" si="14"/>
        <v>0</v>
      </c>
      <c r="X44" s="252">
        <f t="shared" ref="X44:BA44" si="17">IF(AND(X$41-$A44&gt;$V$27,SUM($W44:W44)&lt;&gt;$V44),$V44,0)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c r="A45" s="44">
        <v>1934.0</v>
      </c>
      <c r="B45" s="32"/>
      <c r="C45" s="32"/>
      <c r="D45" s="32"/>
      <c r="E45" s="32"/>
      <c r="F45" s="32"/>
      <c r="G45" s="32"/>
      <c r="H45" s="32"/>
      <c r="I45" s="32"/>
      <c r="J45" s="32"/>
      <c r="K45" s="32"/>
      <c r="L45" s="32"/>
      <c r="M45" s="32"/>
      <c r="N45" s="32"/>
      <c r="O45" s="32"/>
      <c r="P45" s="32"/>
      <c r="Q45" s="32"/>
      <c r="R45" s="32"/>
      <c r="S45" s="32"/>
      <c r="T45" s="32"/>
      <c r="U45" s="32"/>
      <c r="V45" s="770">
        <v>0.0</v>
      </c>
      <c r="W45" s="252">
        <f t="shared" si="14"/>
        <v>0</v>
      </c>
      <c r="X45" s="252">
        <f t="shared" ref="X45:BA45" si="18">IF(AND(X$41-$A45&gt;$V$27,SUM($W45:W45)&lt;&gt;$V45),$V45,0)</f>
        <v>0</v>
      </c>
      <c r="Y45" s="252">
        <f t="shared" si="18"/>
        <v>0</v>
      </c>
      <c r="Z45" s="252">
        <f t="shared" si="18"/>
        <v>0</v>
      </c>
      <c r="AA45" s="252">
        <f t="shared" si="18"/>
        <v>0</v>
      </c>
      <c r="AB45" s="252">
        <f t="shared" si="18"/>
        <v>0</v>
      </c>
      <c r="AC45" s="252">
        <f t="shared" si="18"/>
        <v>0</v>
      </c>
      <c r="AD45" s="252">
        <f t="shared" si="18"/>
        <v>0</v>
      </c>
      <c r="AE45" s="252">
        <f t="shared" si="18"/>
        <v>0</v>
      </c>
      <c r="AF45" s="252">
        <f t="shared" si="18"/>
        <v>0</v>
      </c>
      <c r="AG45" s="252">
        <f t="shared" si="18"/>
        <v>0</v>
      </c>
      <c r="AH45" s="252">
        <f t="shared" si="18"/>
        <v>0</v>
      </c>
      <c r="AI45" s="252">
        <f t="shared" si="18"/>
        <v>0</v>
      </c>
      <c r="AJ45" s="252">
        <f t="shared" si="18"/>
        <v>0</v>
      </c>
      <c r="AK45" s="252">
        <f t="shared" si="18"/>
        <v>0</v>
      </c>
      <c r="AL45" s="252">
        <f t="shared" si="18"/>
        <v>0</v>
      </c>
      <c r="AM45" s="252">
        <f t="shared" si="18"/>
        <v>0</v>
      </c>
      <c r="AN45" s="252">
        <f t="shared" si="18"/>
        <v>0</v>
      </c>
      <c r="AO45" s="252">
        <f t="shared" si="18"/>
        <v>0</v>
      </c>
      <c r="AP45" s="252">
        <f t="shared" si="18"/>
        <v>0</v>
      </c>
      <c r="AQ45" s="252">
        <f t="shared" si="18"/>
        <v>0</v>
      </c>
      <c r="AR45" s="252">
        <f t="shared" si="18"/>
        <v>0</v>
      </c>
      <c r="AS45" s="252">
        <f t="shared" si="18"/>
        <v>0</v>
      </c>
      <c r="AT45" s="252">
        <f t="shared" si="18"/>
        <v>0</v>
      </c>
      <c r="AU45" s="252">
        <f t="shared" si="18"/>
        <v>0</v>
      </c>
      <c r="AV45" s="252">
        <f t="shared" si="18"/>
        <v>0</v>
      </c>
      <c r="AW45" s="252">
        <f t="shared" si="18"/>
        <v>0</v>
      </c>
      <c r="AX45" s="252">
        <f t="shared" si="18"/>
        <v>0</v>
      </c>
      <c r="AY45" s="252">
        <f t="shared" si="18"/>
        <v>0</v>
      </c>
      <c r="AZ45" s="252">
        <f t="shared" si="18"/>
        <v>0</v>
      </c>
      <c r="BA45" s="252">
        <f t="shared" si="18"/>
        <v>0</v>
      </c>
    </row>
    <row r="46">
      <c r="A46" s="44">
        <v>1935.0</v>
      </c>
      <c r="B46" s="32"/>
      <c r="C46" s="32"/>
      <c r="D46" s="32"/>
      <c r="E46" s="32"/>
      <c r="F46" s="32"/>
      <c r="G46" s="32"/>
      <c r="H46" s="32"/>
      <c r="I46" s="32"/>
      <c r="J46" s="32"/>
      <c r="K46" s="32"/>
      <c r="L46" s="32"/>
      <c r="M46" s="32"/>
      <c r="N46" s="32"/>
      <c r="O46" s="32"/>
      <c r="P46" s="32"/>
      <c r="Q46" s="32"/>
      <c r="R46" s="32"/>
      <c r="S46" s="32"/>
      <c r="T46" s="32"/>
      <c r="U46" s="32"/>
      <c r="V46" s="770">
        <v>0.0</v>
      </c>
      <c r="W46" s="252">
        <f t="shared" si="14"/>
        <v>0</v>
      </c>
      <c r="X46" s="252">
        <f t="shared" ref="X46:BA46" si="19">IF(AND(X$41-$A46&gt;$V$27,SUM($W46:W46)&lt;&gt;$V46),$V46,0)</f>
        <v>0</v>
      </c>
      <c r="Y46" s="252">
        <f t="shared" si="19"/>
        <v>0</v>
      </c>
      <c r="Z46" s="252">
        <f t="shared" si="19"/>
        <v>0</v>
      </c>
      <c r="AA46" s="252">
        <f t="shared" si="19"/>
        <v>0</v>
      </c>
      <c r="AB46" s="252">
        <f t="shared" si="19"/>
        <v>0</v>
      </c>
      <c r="AC46" s="252">
        <f t="shared" si="19"/>
        <v>0</v>
      </c>
      <c r="AD46" s="252">
        <f t="shared" si="19"/>
        <v>0</v>
      </c>
      <c r="AE46" s="252">
        <f t="shared" si="19"/>
        <v>0</v>
      </c>
      <c r="AF46" s="252">
        <f t="shared" si="19"/>
        <v>0</v>
      </c>
      <c r="AG46" s="252">
        <f t="shared" si="19"/>
        <v>0</v>
      </c>
      <c r="AH46" s="252">
        <f t="shared" si="19"/>
        <v>0</v>
      </c>
      <c r="AI46" s="252">
        <f t="shared" si="19"/>
        <v>0</v>
      </c>
      <c r="AJ46" s="252">
        <f t="shared" si="19"/>
        <v>0</v>
      </c>
      <c r="AK46" s="252">
        <f t="shared" si="19"/>
        <v>0</v>
      </c>
      <c r="AL46" s="252">
        <f t="shared" si="19"/>
        <v>0</v>
      </c>
      <c r="AM46" s="252">
        <f t="shared" si="19"/>
        <v>0</v>
      </c>
      <c r="AN46" s="252">
        <f t="shared" si="19"/>
        <v>0</v>
      </c>
      <c r="AO46" s="252">
        <f t="shared" si="19"/>
        <v>0</v>
      </c>
      <c r="AP46" s="252">
        <f t="shared" si="19"/>
        <v>0</v>
      </c>
      <c r="AQ46" s="252">
        <f t="shared" si="19"/>
        <v>0</v>
      </c>
      <c r="AR46" s="252">
        <f t="shared" si="19"/>
        <v>0</v>
      </c>
      <c r="AS46" s="252">
        <f t="shared" si="19"/>
        <v>0</v>
      </c>
      <c r="AT46" s="252">
        <f t="shared" si="19"/>
        <v>0</v>
      </c>
      <c r="AU46" s="252">
        <f t="shared" si="19"/>
        <v>0</v>
      </c>
      <c r="AV46" s="252">
        <f t="shared" si="19"/>
        <v>0</v>
      </c>
      <c r="AW46" s="252">
        <f t="shared" si="19"/>
        <v>0</v>
      </c>
      <c r="AX46" s="252">
        <f t="shared" si="19"/>
        <v>0</v>
      </c>
      <c r="AY46" s="252">
        <f t="shared" si="19"/>
        <v>0</v>
      </c>
      <c r="AZ46" s="252">
        <f t="shared" si="19"/>
        <v>0</v>
      </c>
      <c r="BA46" s="252">
        <f t="shared" si="19"/>
        <v>0</v>
      </c>
    </row>
    <row r="47">
      <c r="A47" s="44">
        <v>1936.0</v>
      </c>
      <c r="B47" s="32"/>
      <c r="C47" s="32"/>
      <c r="D47" s="32"/>
      <c r="E47" s="32"/>
      <c r="F47" s="32"/>
      <c r="G47" s="32"/>
      <c r="H47" s="32"/>
      <c r="I47" s="32"/>
      <c r="J47" s="32"/>
      <c r="K47" s="32"/>
      <c r="L47" s="32"/>
      <c r="M47" s="32"/>
      <c r="N47" s="32"/>
      <c r="O47" s="32"/>
      <c r="P47" s="32"/>
      <c r="Q47" s="32"/>
      <c r="R47" s="32"/>
      <c r="S47" s="32"/>
      <c r="T47" s="32"/>
      <c r="U47" s="32"/>
      <c r="V47" s="770">
        <v>0.0</v>
      </c>
      <c r="W47" s="252">
        <f t="shared" si="14"/>
        <v>0</v>
      </c>
      <c r="X47" s="252">
        <f t="shared" ref="X47:BA47" si="20">IF(AND(X$41-$A47&gt;$V$27,SUM($W47:W47)&lt;&gt;$V47),$V47,0)</f>
        <v>0</v>
      </c>
      <c r="Y47" s="252">
        <f t="shared" si="20"/>
        <v>0</v>
      </c>
      <c r="Z47" s="252">
        <f t="shared" si="20"/>
        <v>0</v>
      </c>
      <c r="AA47" s="252">
        <f t="shared" si="20"/>
        <v>0</v>
      </c>
      <c r="AB47" s="252">
        <f t="shared" si="20"/>
        <v>0</v>
      </c>
      <c r="AC47" s="252">
        <f t="shared" si="20"/>
        <v>0</v>
      </c>
      <c r="AD47" s="252">
        <f t="shared" si="20"/>
        <v>0</v>
      </c>
      <c r="AE47" s="252">
        <f t="shared" si="20"/>
        <v>0</v>
      </c>
      <c r="AF47" s="252">
        <f t="shared" si="20"/>
        <v>0</v>
      </c>
      <c r="AG47" s="252">
        <f t="shared" si="20"/>
        <v>0</v>
      </c>
      <c r="AH47" s="252">
        <f t="shared" si="20"/>
        <v>0</v>
      </c>
      <c r="AI47" s="252">
        <f t="shared" si="20"/>
        <v>0</v>
      </c>
      <c r="AJ47" s="252">
        <f t="shared" si="20"/>
        <v>0</v>
      </c>
      <c r="AK47" s="252">
        <f t="shared" si="20"/>
        <v>0</v>
      </c>
      <c r="AL47" s="252">
        <f t="shared" si="20"/>
        <v>0</v>
      </c>
      <c r="AM47" s="252">
        <f t="shared" si="20"/>
        <v>0</v>
      </c>
      <c r="AN47" s="252">
        <f t="shared" si="20"/>
        <v>0</v>
      </c>
      <c r="AO47" s="252">
        <f t="shared" si="20"/>
        <v>0</v>
      </c>
      <c r="AP47" s="252">
        <f t="shared" si="20"/>
        <v>0</v>
      </c>
      <c r="AQ47" s="252">
        <f t="shared" si="20"/>
        <v>0</v>
      </c>
      <c r="AR47" s="252">
        <f t="shared" si="20"/>
        <v>0</v>
      </c>
      <c r="AS47" s="252">
        <f t="shared" si="20"/>
        <v>0</v>
      </c>
      <c r="AT47" s="252">
        <f t="shared" si="20"/>
        <v>0</v>
      </c>
      <c r="AU47" s="252">
        <f t="shared" si="20"/>
        <v>0</v>
      </c>
      <c r="AV47" s="252">
        <f t="shared" si="20"/>
        <v>0</v>
      </c>
      <c r="AW47" s="252">
        <f t="shared" si="20"/>
        <v>0</v>
      </c>
      <c r="AX47" s="252">
        <f t="shared" si="20"/>
        <v>0</v>
      </c>
      <c r="AY47" s="252">
        <f t="shared" si="20"/>
        <v>0</v>
      </c>
      <c r="AZ47" s="252">
        <f t="shared" si="20"/>
        <v>0</v>
      </c>
      <c r="BA47" s="252">
        <f t="shared" si="20"/>
        <v>0</v>
      </c>
    </row>
    <row r="48">
      <c r="A48" s="44">
        <v>1937.0</v>
      </c>
      <c r="B48" s="32"/>
      <c r="C48" s="32"/>
      <c r="D48" s="32"/>
      <c r="E48" s="32"/>
      <c r="F48" s="32"/>
      <c r="G48" s="32"/>
      <c r="H48" s="32"/>
      <c r="I48" s="32"/>
      <c r="J48" s="32"/>
      <c r="K48" s="32"/>
      <c r="L48" s="32"/>
      <c r="M48" s="32"/>
      <c r="N48" s="32"/>
      <c r="O48" s="32"/>
      <c r="P48" s="32"/>
      <c r="Q48" s="32"/>
      <c r="R48" s="32"/>
      <c r="S48" s="32"/>
      <c r="T48" s="32"/>
      <c r="U48" s="32"/>
      <c r="V48" s="770">
        <v>0.0</v>
      </c>
      <c r="W48" s="252">
        <f t="shared" si="14"/>
        <v>0</v>
      </c>
      <c r="X48" s="252">
        <f t="shared" ref="X48:BA48" si="21">IF(AND(X$41-$A48&gt;$V$27,SUM($W48:W48)&lt;&gt;$V48),$V48,0)</f>
        <v>0</v>
      </c>
      <c r="Y48" s="252">
        <f t="shared" si="21"/>
        <v>0</v>
      </c>
      <c r="Z48" s="252">
        <f t="shared" si="21"/>
        <v>0</v>
      </c>
      <c r="AA48" s="252">
        <f t="shared" si="21"/>
        <v>0</v>
      </c>
      <c r="AB48" s="252">
        <f t="shared" si="21"/>
        <v>0</v>
      </c>
      <c r="AC48" s="252">
        <f t="shared" si="21"/>
        <v>0</v>
      </c>
      <c r="AD48" s="252">
        <f t="shared" si="21"/>
        <v>0</v>
      </c>
      <c r="AE48" s="252">
        <f t="shared" si="21"/>
        <v>0</v>
      </c>
      <c r="AF48" s="252">
        <f t="shared" si="21"/>
        <v>0</v>
      </c>
      <c r="AG48" s="252">
        <f t="shared" si="21"/>
        <v>0</v>
      </c>
      <c r="AH48" s="252">
        <f t="shared" si="21"/>
        <v>0</v>
      </c>
      <c r="AI48" s="252">
        <f t="shared" si="21"/>
        <v>0</v>
      </c>
      <c r="AJ48" s="252">
        <f t="shared" si="21"/>
        <v>0</v>
      </c>
      <c r="AK48" s="252">
        <f t="shared" si="21"/>
        <v>0</v>
      </c>
      <c r="AL48" s="252">
        <f t="shared" si="21"/>
        <v>0</v>
      </c>
      <c r="AM48" s="252">
        <f t="shared" si="21"/>
        <v>0</v>
      </c>
      <c r="AN48" s="252">
        <f t="shared" si="21"/>
        <v>0</v>
      </c>
      <c r="AO48" s="252">
        <f t="shared" si="21"/>
        <v>0</v>
      </c>
      <c r="AP48" s="252">
        <f t="shared" si="21"/>
        <v>0</v>
      </c>
      <c r="AQ48" s="252">
        <f t="shared" si="21"/>
        <v>0</v>
      </c>
      <c r="AR48" s="252">
        <f t="shared" si="21"/>
        <v>0</v>
      </c>
      <c r="AS48" s="252">
        <f t="shared" si="21"/>
        <v>0</v>
      </c>
      <c r="AT48" s="252">
        <f t="shared" si="21"/>
        <v>0</v>
      </c>
      <c r="AU48" s="252">
        <f t="shared" si="21"/>
        <v>0</v>
      </c>
      <c r="AV48" s="252">
        <f t="shared" si="21"/>
        <v>0</v>
      </c>
      <c r="AW48" s="252">
        <f t="shared" si="21"/>
        <v>0</v>
      </c>
      <c r="AX48" s="252">
        <f t="shared" si="21"/>
        <v>0</v>
      </c>
      <c r="AY48" s="252">
        <f t="shared" si="21"/>
        <v>0</v>
      </c>
      <c r="AZ48" s="252">
        <f t="shared" si="21"/>
        <v>0</v>
      </c>
      <c r="BA48" s="252">
        <f t="shared" si="21"/>
        <v>0</v>
      </c>
    </row>
    <row r="49">
      <c r="A49" s="44">
        <v>1938.0</v>
      </c>
      <c r="B49" s="32"/>
      <c r="C49" s="32"/>
      <c r="D49" s="32"/>
      <c r="E49" s="32"/>
      <c r="F49" s="32"/>
      <c r="G49" s="32"/>
      <c r="H49" s="32"/>
      <c r="I49" s="32"/>
      <c r="J49" s="32"/>
      <c r="K49" s="32"/>
      <c r="L49" s="32"/>
      <c r="M49" s="32"/>
      <c r="N49" s="32"/>
      <c r="O49" s="32"/>
      <c r="P49" s="32"/>
      <c r="Q49" s="32"/>
      <c r="R49" s="32"/>
      <c r="S49" s="32"/>
      <c r="T49" s="32"/>
      <c r="U49" s="32"/>
      <c r="V49" s="770">
        <v>0.0</v>
      </c>
      <c r="W49" s="252">
        <f t="shared" si="14"/>
        <v>0</v>
      </c>
      <c r="X49" s="252">
        <f t="shared" ref="X49:BA49" si="22">IF(AND(X$41-$A49&gt;$V$27,SUM($W49:W49)&lt;&gt;$V49),$V49,0)</f>
        <v>0</v>
      </c>
      <c r="Y49" s="252">
        <f t="shared" si="22"/>
        <v>0</v>
      </c>
      <c r="Z49" s="252">
        <f t="shared" si="22"/>
        <v>0</v>
      </c>
      <c r="AA49" s="252">
        <f t="shared" si="22"/>
        <v>0</v>
      </c>
      <c r="AB49" s="252">
        <f t="shared" si="22"/>
        <v>0</v>
      </c>
      <c r="AC49" s="252">
        <f t="shared" si="22"/>
        <v>0</v>
      </c>
      <c r="AD49" s="252">
        <f t="shared" si="22"/>
        <v>0</v>
      </c>
      <c r="AE49" s="252">
        <f t="shared" si="22"/>
        <v>0</v>
      </c>
      <c r="AF49" s="252">
        <f t="shared" si="22"/>
        <v>0</v>
      </c>
      <c r="AG49" s="252">
        <f t="shared" si="22"/>
        <v>0</v>
      </c>
      <c r="AH49" s="252">
        <f t="shared" si="22"/>
        <v>0</v>
      </c>
      <c r="AI49" s="252">
        <f t="shared" si="22"/>
        <v>0</v>
      </c>
      <c r="AJ49" s="252">
        <f t="shared" si="22"/>
        <v>0</v>
      </c>
      <c r="AK49" s="252">
        <f t="shared" si="22"/>
        <v>0</v>
      </c>
      <c r="AL49" s="252">
        <f t="shared" si="22"/>
        <v>0</v>
      </c>
      <c r="AM49" s="252">
        <f t="shared" si="22"/>
        <v>0</v>
      </c>
      <c r="AN49" s="252">
        <f t="shared" si="22"/>
        <v>0</v>
      </c>
      <c r="AO49" s="252">
        <f t="shared" si="22"/>
        <v>0</v>
      </c>
      <c r="AP49" s="252">
        <f t="shared" si="22"/>
        <v>0</v>
      </c>
      <c r="AQ49" s="252">
        <f t="shared" si="22"/>
        <v>0</v>
      </c>
      <c r="AR49" s="252">
        <f t="shared" si="22"/>
        <v>0</v>
      </c>
      <c r="AS49" s="252">
        <f t="shared" si="22"/>
        <v>0</v>
      </c>
      <c r="AT49" s="252">
        <f t="shared" si="22"/>
        <v>0</v>
      </c>
      <c r="AU49" s="252">
        <f t="shared" si="22"/>
        <v>0</v>
      </c>
      <c r="AV49" s="252">
        <f t="shared" si="22"/>
        <v>0</v>
      </c>
      <c r="AW49" s="252">
        <f t="shared" si="22"/>
        <v>0</v>
      </c>
      <c r="AX49" s="252">
        <f t="shared" si="22"/>
        <v>0</v>
      </c>
      <c r="AY49" s="252">
        <f t="shared" si="22"/>
        <v>0</v>
      </c>
      <c r="AZ49" s="252">
        <f t="shared" si="22"/>
        <v>0</v>
      </c>
      <c r="BA49" s="252">
        <f t="shared" si="22"/>
        <v>0</v>
      </c>
    </row>
    <row r="50">
      <c r="A50" s="44">
        <v>1939.0</v>
      </c>
      <c r="B50" s="32"/>
      <c r="C50" s="32"/>
      <c r="D50" s="32"/>
      <c r="E50" s="32"/>
      <c r="F50" s="32"/>
      <c r="G50" s="32"/>
      <c r="H50" s="32"/>
      <c r="I50" s="32"/>
      <c r="J50" s="32"/>
      <c r="K50" s="32"/>
      <c r="L50" s="32"/>
      <c r="M50" s="32"/>
      <c r="N50" s="32"/>
      <c r="O50" s="32"/>
      <c r="P50" s="32"/>
      <c r="Q50" s="32"/>
      <c r="R50" s="32"/>
      <c r="S50" s="32"/>
      <c r="T50" s="32"/>
      <c r="U50" s="32"/>
      <c r="V50" s="769">
        <v>0.0</v>
      </c>
      <c r="W50" s="252">
        <f t="shared" si="14"/>
        <v>0</v>
      </c>
      <c r="X50" s="252">
        <f t="shared" ref="X50:BA50" si="23">IF(AND(X$41-$A50&gt;$V$27,SUM($W50:W50)&lt;&gt;$V50),$V50,0)</f>
        <v>0</v>
      </c>
      <c r="Y50" s="252">
        <f t="shared" si="23"/>
        <v>0</v>
      </c>
      <c r="Z50" s="252">
        <f t="shared" si="23"/>
        <v>0</v>
      </c>
      <c r="AA50" s="252">
        <f t="shared" si="23"/>
        <v>0</v>
      </c>
      <c r="AB50" s="252">
        <f t="shared" si="23"/>
        <v>0</v>
      </c>
      <c r="AC50" s="252">
        <f t="shared" si="23"/>
        <v>0</v>
      </c>
      <c r="AD50" s="252">
        <f t="shared" si="23"/>
        <v>0</v>
      </c>
      <c r="AE50" s="252">
        <f t="shared" si="23"/>
        <v>0</v>
      </c>
      <c r="AF50" s="252">
        <f t="shared" si="23"/>
        <v>0</v>
      </c>
      <c r="AG50" s="252">
        <f t="shared" si="23"/>
        <v>0</v>
      </c>
      <c r="AH50" s="252">
        <f t="shared" si="23"/>
        <v>0</v>
      </c>
      <c r="AI50" s="252">
        <f t="shared" si="23"/>
        <v>0</v>
      </c>
      <c r="AJ50" s="252">
        <f t="shared" si="23"/>
        <v>0</v>
      </c>
      <c r="AK50" s="252">
        <f t="shared" si="23"/>
        <v>0</v>
      </c>
      <c r="AL50" s="252">
        <f t="shared" si="23"/>
        <v>0</v>
      </c>
      <c r="AM50" s="252">
        <f t="shared" si="23"/>
        <v>0</v>
      </c>
      <c r="AN50" s="252">
        <f t="shared" si="23"/>
        <v>0</v>
      </c>
      <c r="AO50" s="252">
        <f t="shared" si="23"/>
        <v>0</v>
      </c>
      <c r="AP50" s="252">
        <f t="shared" si="23"/>
        <v>0</v>
      </c>
      <c r="AQ50" s="252">
        <f t="shared" si="23"/>
        <v>0</v>
      </c>
      <c r="AR50" s="252">
        <f t="shared" si="23"/>
        <v>0</v>
      </c>
      <c r="AS50" s="252">
        <f t="shared" si="23"/>
        <v>0</v>
      </c>
      <c r="AT50" s="252">
        <f t="shared" si="23"/>
        <v>0</v>
      </c>
      <c r="AU50" s="252">
        <f t="shared" si="23"/>
        <v>0</v>
      </c>
      <c r="AV50" s="252">
        <f t="shared" si="23"/>
        <v>0</v>
      </c>
      <c r="AW50" s="252">
        <f t="shared" si="23"/>
        <v>0</v>
      </c>
      <c r="AX50" s="252">
        <f t="shared" si="23"/>
        <v>0</v>
      </c>
      <c r="AY50" s="252">
        <f t="shared" si="23"/>
        <v>0</v>
      </c>
      <c r="AZ50" s="252">
        <f t="shared" si="23"/>
        <v>0</v>
      </c>
      <c r="BA50" s="252">
        <f t="shared" si="23"/>
        <v>0</v>
      </c>
      <c r="BB50" s="32"/>
    </row>
    <row r="51">
      <c r="A51" s="44">
        <v>1940.0</v>
      </c>
      <c r="B51" s="32"/>
      <c r="C51" s="32"/>
      <c r="D51" s="32"/>
      <c r="E51" s="32"/>
      <c r="F51" s="32"/>
      <c r="G51" s="32"/>
      <c r="H51" s="32"/>
      <c r="I51" s="32"/>
      <c r="J51" s="32"/>
      <c r="K51" s="32"/>
      <c r="L51" s="32"/>
      <c r="M51" s="32"/>
      <c r="N51" s="32"/>
      <c r="O51" s="32"/>
      <c r="P51" s="32"/>
      <c r="Q51" s="32"/>
      <c r="R51" s="32"/>
      <c r="S51" s="32"/>
      <c r="T51" s="32"/>
      <c r="U51" s="32"/>
      <c r="V51" s="769">
        <v>0.0</v>
      </c>
      <c r="W51" s="252">
        <f t="shared" si="14"/>
        <v>0</v>
      </c>
      <c r="X51" s="252">
        <f t="shared" ref="X51:BA51" si="24">IF(AND(X$41-$A51&gt;$V$27,SUM($W51:W51)&lt;&gt;$V51),$V51,0)</f>
        <v>0</v>
      </c>
      <c r="Y51" s="252">
        <f t="shared" si="24"/>
        <v>0</v>
      </c>
      <c r="Z51" s="252">
        <f t="shared" si="24"/>
        <v>0</v>
      </c>
      <c r="AA51" s="252">
        <f t="shared" si="24"/>
        <v>0</v>
      </c>
      <c r="AB51" s="252">
        <f t="shared" si="24"/>
        <v>0</v>
      </c>
      <c r="AC51" s="252">
        <f t="shared" si="24"/>
        <v>0</v>
      </c>
      <c r="AD51" s="252">
        <f t="shared" si="24"/>
        <v>0</v>
      </c>
      <c r="AE51" s="252">
        <f t="shared" si="24"/>
        <v>0</v>
      </c>
      <c r="AF51" s="252">
        <f t="shared" si="24"/>
        <v>0</v>
      </c>
      <c r="AG51" s="252">
        <f t="shared" si="24"/>
        <v>0</v>
      </c>
      <c r="AH51" s="252">
        <f t="shared" si="24"/>
        <v>0</v>
      </c>
      <c r="AI51" s="252">
        <f t="shared" si="24"/>
        <v>0</v>
      </c>
      <c r="AJ51" s="252">
        <f t="shared" si="24"/>
        <v>0</v>
      </c>
      <c r="AK51" s="252">
        <f t="shared" si="24"/>
        <v>0</v>
      </c>
      <c r="AL51" s="252">
        <f t="shared" si="24"/>
        <v>0</v>
      </c>
      <c r="AM51" s="252">
        <f t="shared" si="24"/>
        <v>0</v>
      </c>
      <c r="AN51" s="252">
        <f t="shared" si="24"/>
        <v>0</v>
      </c>
      <c r="AO51" s="252">
        <f t="shared" si="24"/>
        <v>0</v>
      </c>
      <c r="AP51" s="252">
        <f t="shared" si="24"/>
        <v>0</v>
      </c>
      <c r="AQ51" s="252">
        <f t="shared" si="24"/>
        <v>0</v>
      </c>
      <c r="AR51" s="252">
        <f t="shared" si="24"/>
        <v>0</v>
      </c>
      <c r="AS51" s="252">
        <f t="shared" si="24"/>
        <v>0</v>
      </c>
      <c r="AT51" s="252">
        <f t="shared" si="24"/>
        <v>0</v>
      </c>
      <c r="AU51" s="252">
        <f t="shared" si="24"/>
        <v>0</v>
      </c>
      <c r="AV51" s="252">
        <f t="shared" si="24"/>
        <v>0</v>
      </c>
      <c r="AW51" s="252">
        <f t="shared" si="24"/>
        <v>0</v>
      </c>
      <c r="AX51" s="252">
        <f t="shared" si="24"/>
        <v>0</v>
      </c>
      <c r="AY51" s="252">
        <f t="shared" si="24"/>
        <v>0</v>
      </c>
      <c r="AZ51" s="252">
        <f t="shared" si="24"/>
        <v>0</v>
      </c>
      <c r="BA51" s="252">
        <f t="shared" si="24"/>
        <v>0</v>
      </c>
      <c r="BB51" s="32"/>
    </row>
    <row r="52">
      <c r="A52" s="44">
        <v>1941.0</v>
      </c>
      <c r="B52" s="32"/>
      <c r="C52" s="32"/>
      <c r="D52" s="32"/>
      <c r="E52" s="32"/>
      <c r="F52" s="32"/>
      <c r="G52" s="32"/>
      <c r="H52" s="32"/>
      <c r="I52" s="32"/>
      <c r="J52" s="32"/>
      <c r="K52" s="32"/>
      <c r="L52" s="32"/>
      <c r="M52" s="32"/>
      <c r="N52" s="32"/>
      <c r="O52" s="32"/>
      <c r="P52" s="32"/>
      <c r="Q52" s="32"/>
      <c r="R52" s="32"/>
      <c r="S52" s="32"/>
      <c r="T52" s="32"/>
      <c r="U52" s="32"/>
      <c r="V52" s="769">
        <v>0.0</v>
      </c>
      <c r="W52" s="252">
        <f t="shared" si="14"/>
        <v>0</v>
      </c>
      <c r="X52" s="252">
        <f t="shared" ref="X52:BA52" si="25">IF(AND(X$41-$A52&gt;$V$27,SUM($W52:W52)&lt;&gt;$V52),$V52,0)</f>
        <v>0</v>
      </c>
      <c r="Y52" s="252">
        <f t="shared" si="25"/>
        <v>0</v>
      </c>
      <c r="Z52" s="252">
        <f t="shared" si="25"/>
        <v>0</v>
      </c>
      <c r="AA52" s="252">
        <f t="shared" si="25"/>
        <v>0</v>
      </c>
      <c r="AB52" s="252">
        <f t="shared" si="25"/>
        <v>0</v>
      </c>
      <c r="AC52" s="252">
        <f t="shared" si="25"/>
        <v>0</v>
      </c>
      <c r="AD52" s="252">
        <f t="shared" si="25"/>
        <v>0</v>
      </c>
      <c r="AE52" s="252">
        <f t="shared" si="25"/>
        <v>0</v>
      </c>
      <c r="AF52" s="252">
        <f t="shared" si="25"/>
        <v>0</v>
      </c>
      <c r="AG52" s="252">
        <f t="shared" si="25"/>
        <v>0</v>
      </c>
      <c r="AH52" s="252">
        <f t="shared" si="25"/>
        <v>0</v>
      </c>
      <c r="AI52" s="252">
        <f t="shared" si="25"/>
        <v>0</v>
      </c>
      <c r="AJ52" s="252">
        <f t="shared" si="25"/>
        <v>0</v>
      </c>
      <c r="AK52" s="252">
        <f t="shared" si="25"/>
        <v>0</v>
      </c>
      <c r="AL52" s="252">
        <f t="shared" si="25"/>
        <v>0</v>
      </c>
      <c r="AM52" s="252">
        <f t="shared" si="25"/>
        <v>0</v>
      </c>
      <c r="AN52" s="252">
        <f t="shared" si="25"/>
        <v>0</v>
      </c>
      <c r="AO52" s="252">
        <f t="shared" si="25"/>
        <v>0</v>
      </c>
      <c r="AP52" s="252">
        <f t="shared" si="25"/>
        <v>0</v>
      </c>
      <c r="AQ52" s="252">
        <f t="shared" si="25"/>
        <v>0</v>
      </c>
      <c r="AR52" s="252">
        <f t="shared" si="25"/>
        <v>0</v>
      </c>
      <c r="AS52" s="252">
        <f t="shared" si="25"/>
        <v>0</v>
      </c>
      <c r="AT52" s="252">
        <f t="shared" si="25"/>
        <v>0</v>
      </c>
      <c r="AU52" s="252">
        <f t="shared" si="25"/>
        <v>0</v>
      </c>
      <c r="AV52" s="252">
        <f t="shared" si="25"/>
        <v>0</v>
      </c>
      <c r="AW52" s="252">
        <f t="shared" si="25"/>
        <v>0</v>
      </c>
      <c r="AX52" s="252">
        <f t="shared" si="25"/>
        <v>0</v>
      </c>
      <c r="AY52" s="252">
        <f t="shared" si="25"/>
        <v>0</v>
      </c>
      <c r="AZ52" s="252">
        <f t="shared" si="25"/>
        <v>0</v>
      </c>
      <c r="BA52" s="252">
        <f t="shared" si="25"/>
        <v>0</v>
      </c>
      <c r="BB52" s="32"/>
    </row>
    <row r="53">
      <c r="A53" s="44">
        <v>1942.0</v>
      </c>
      <c r="B53" s="32"/>
      <c r="C53" s="32"/>
      <c r="D53" s="32"/>
      <c r="E53" s="32"/>
      <c r="F53" s="32"/>
      <c r="G53" s="32"/>
      <c r="H53" s="32"/>
      <c r="I53" s="32"/>
      <c r="J53" s="32"/>
      <c r="K53" s="32"/>
      <c r="L53" s="32"/>
      <c r="M53" s="32"/>
      <c r="N53" s="32"/>
      <c r="O53" s="32"/>
      <c r="P53" s="32"/>
      <c r="Q53" s="32"/>
      <c r="R53" s="32"/>
      <c r="S53" s="32"/>
      <c r="T53" s="32"/>
      <c r="U53" s="32"/>
      <c r="V53" s="769">
        <v>0.0</v>
      </c>
      <c r="W53" s="252">
        <f t="shared" si="14"/>
        <v>0</v>
      </c>
      <c r="X53" s="252">
        <f t="shared" ref="X53:BA53" si="26">IF(AND(X$41-$A53&gt;$V$27,SUM($W53:W53)&lt;&gt;$V53),$V53,0)</f>
        <v>0</v>
      </c>
      <c r="Y53" s="252">
        <f t="shared" si="26"/>
        <v>0</v>
      </c>
      <c r="Z53" s="252">
        <f t="shared" si="26"/>
        <v>0</v>
      </c>
      <c r="AA53" s="252">
        <f t="shared" si="26"/>
        <v>0</v>
      </c>
      <c r="AB53" s="252">
        <f t="shared" si="26"/>
        <v>0</v>
      </c>
      <c r="AC53" s="252">
        <f t="shared" si="26"/>
        <v>0</v>
      </c>
      <c r="AD53" s="252">
        <f t="shared" si="26"/>
        <v>0</v>
      </c>
      <c r="AE53" s="252">
        <f t="shared" si="26"/>
        <v>0</v>
      </c>
      <c r="AF53" s="252">
        <f t="shared" si="26"/>
        <v>0</v>
      </c>
      <c r="AG53" s="252">
        <f t="shared" si="26"/>
        <v>0</v>
      </c>
      <c r="AH53" s="252">
        <f t="shared" si="26"/>
        <v>0</v>
      </c>
      <c r="AI53" s="252">
        <f t="shared" si="26"/>
        <v>0</v>
      </c>
      <c r="AJ53" s="252">
        <f t="shared" si="26"/>
        <v>0</v>
      </c>
      <c r="AK53" s="252">
        <f t="shared" si="26"/>
        <v>0</v>
      </c>
      <c r="AL53" s="252">
        <f t="shared" si="26"/>
        <v>0</v>
      </c>
      <c r="AM53" s="252">
        <f t="shared" si="26"/>
        <v>0</v>
      </c>
      <c r="AN53" s="252">
        <f t="shared" si="26"/>
        <v>0</v>
      </c>
      <c r="AO53" s="252">
        <f t="shared" si="26"/>
        <v>0</v>
      </c>
      <c r="AP53" s="252">
        <f t="shared" si="26"/>
        <v>0</v>
      </c>
      <c r="AQ53" s="252">
        <f t="shared" si="26"/>
        <v>0</v>
      </c>
      <c r="AR53" s="252">
        <f t="shared" si="26"/>
        <v>0</v>
      </c>
      <c r="AS53" s="252">
        <f t="shared" si="26"/>
        <v>0</v>
      </c>
      <c r="AT53" s="252">
        <f t="shared" si="26"/>
        <v>0</v>
      </c>
      <c r="AU53" s="252">
        <f t="shared" si="26"/>
        <v>0</v>
      </c>
      <c r="AV53" s="252">
        <f t="shared" si="26"/>
        <v>0</v>
      </c>
      <c r="AW53" s="252">
        <f t="shared" si="26"/>
        <v>0</v>
      </c>
      <c r="AX53" s="252">
        <f t="shared" si="26"/>
        <v>0</v>
      </c>
      <c r="AY53" s="252">
        <f t="shared" si="26"/>
        <v>0</v>
      </c>
      <c r="AZ53" s="252">
        <f t="shared" si="26"/>
        <v>0</v>
      </c>
      <c r="BA53" s="252">
        <f t="shared" si="26"/>
        <v>0</v>
      </c>
      <c r="BB53" s="32"/>
    </row>
    <row r="54">
      <c r="A54" s="44">
        <v>1943.0</v>
      </c>
      <c r="B54" s="32"/>
      <c r="C54" s="32"/>
      <c r="D54" s="32"/>
      <c r="E54" s="32"/>
      <c r="F54" s="32"/>
      <c r="G54" s="32"/>
      <c r="H54" s="32"/>
      <c r="I54" s="32"/>
      <c r="J54" s="32"/>
      <c r="K54" s="32"/>
      <c r="L54" s="32"/>
      <c r="M54" s="32"/>
      <c r="N54" s="32"/>
      <c r="O54" s="32"/>
      <c r="P54" s="32"/>
      <c r="Q54" s="32"/>
      <c r="R54" s="32"/>
      <c r="S54" s="32"/>
      <c r="T54" s="32"/>
      <c r="U54" s="32"/>
      <c r="V54" s="769">
        <v>0.0</v>
      </c>
      <c r="W54" s="252">
        <f t="shared" si="14"/>
        <v>0</v>
      </c>
      <c r="X54" s="252">
        <f t="shared" ref="X54:BA54" si="27">IF(AND(X$41-$A54&gt;$V$27,SUM($W54:W54)&lt;&gt;$V54),$V54,0)</f>
        <v>0</v>
      </c>
      <c r="Y54" s="252">
        <f t="shared" si="27"/>
        <v>0</v>
      </c>
      <c r="Z54" s="252">
        <f t="shared" si="27"/>
        <v>0</v>
      </c>
      <c r="AA54" s="252">
        <f t="shared" si="27"/>
        <v>0</v>
      </c>
      <c r="AB54" s="252">
        <f t="shared" si="27"/>
        <v>0</v>
      </c>
      <c r="AC54" s="252">
        <f t="shared" si="27"/>
        <v>0</v>
      </c>
      <c r="AD54" s="252">
        <f t="shared" si="27"/>
        <v>0</v>
      </c>
      <c r="AE54" s="252">
        <f t="shared" si="27"/>
        <v>0</v>
      </c>
      <c r="AF54" s="252">
        <f t="shared" si="27"/>
        <v>0</v>
      </c>
      <c r="AG54" s="252">
        <f t="shared" si="27"/>
        <v>0</v>
      </c>
      <c r="AH54" s="252">
        <f t="shared" si="27"/>
        <v>0</v>
      </c>
      <c r="AI54" s="252">
        <f t="shared" si="27"/>
        <v>0</v>
      </c>
      <c r="AJ54" s="252">
        <f t="shared" si="27"/>
        <v>0</v>
      </c>
      <c r="AK54" s="252">
        <f t="shared" si="27"/>
        <v>0</v>
      </c>
      <c r="AL54" s="252">
        <f t="shared" si="27"/>
        <v>0</v>
      </c>
      <c r="AM54" s="252">
        <f t="shared" si="27"/>
        <v>0</v>
      </c>
      <c r="AN54" s="252">
        <f t="shared" si="27"/>
        <v>0</v>
      </c>
      <c r="AO54" s="252">
        <f t="shared" si="27"/>
        <v>0</v>
      </c>
      <c r="AP54" s="252">
        <f t="shared" si="27"/>
        <v>0</v>
      </c>
      <c r="AQ54" s="252">
        <f t="shared" si="27"/>
        <v>0</v>
      </c>
      <c r="AR54" s="252">
        <f t="shared" si="27"/>
        <v>0</v>
      </c>
      <c r="AS54" s="252">
        <f t="shared" si="27"/>
        <v>0</v>
      </c>
      <c r="AT54" s="252">
        <f t="shared" si="27"/>
        <v>0</v>
      </c>
      <c r="AU54" s="252">
        <f t="shared" si="27"/>
        <v>0</v>
      </c>
      <c r="AV54" s="252">
        <f t="shared" si="27"/>
        <v>0</v>
      </c>
      <c r="AW54" s="252">
        <f t="shared" si="27"/>
        <v>0</v>
      </c>
      <c r="AX54" s="252">
        <f t="shared" si="27"/>
        <v>0</v>
      </c>
      <c r="AY54" s="252">
        <f t="shared" si="27"/>
        <v>0</v>
      </c>
      <c r="AZ54" s="252">
        <f t="shared" si="27"/>
        <v>0</v>
      </c>
      <c r="BA54" s="252">
        <f t="shared" si="27"/>
        <v>0</v>
      </c>
      <c r="BB54" s="32"/>
    </row>
    <row r="55">
      <c r="A55" s="44">
        <v>1944.0</v>
      </c>
      <c r="B55" s="32"/>
      <c r="C55" s="32"/>
      <c r="D55" s="32"/>
      <c r="E55" s="32"/>
      <c r="F55" s="32"/>
      <c r="G55" s="32"/>
      <c r="H55" s="32"/>
      <c r="I55" s="32"/>
      <c r="J55" s="32"/>
      <c r="K55" s="32"/>
      <c r="L55" s="32"/>
      <c r="M55" s="32"/>
      <c r="N55" s="32"/>
      <c r="O55" s="32"/>
      <c r="P55" s="32"/>
      <c r="Q55" s="32"/>
      <c r="R55" s="32"/>
      <c r="S55" s="32"/>
      <c r="T55" s="32"/>
      <c r="U55" s="32"/>
      <c r="V55" s="769">
        <v>0.0</v>
      </c>
      <c r="W55" s="252">
        <f t="shared" si="14"/>
        <v>0</v>
      </c>
      <c r="X55" s="252">
        <f t="shared" ref="X55:BA55" si="28">IF(AND(X$41-$A55&gt;$V$27,SUM($W55:W55)&lt;&gt;$V55),$V55,0)</f>
        <v>0</v>
      </c>
      <c r="Y55" s="252">
        <f t="shared" si="28"/>
        <v>0</v>
      </c>
      <c r="Z55" s="252">
        <f t="shared" si="28"/>
        <v>0</v>
      </c>
      <c r="AA55" s="252">
        <f t="shared" si="28"/>
        <v>0</v>
      </c>
      <c r="AB55" s="252">
        <f t="shared" si="28"/>
        <v>0</v>
      </c>
      <c r="AC55" s="252">
        <f t="shared" si="28"/>
        <v>0</v>
      </c>
      <c r="AD55" s="252">
        <f t="shared" si="28"/>
        <v>0</v>
      </c>
      <c r="AE55" s="252">
        <f t="shared" si="28"/>
        <v>0</v>
      </c>
      <c r="AF55" s="252">
        <f t="shared" si="28"/>
        <v>0</v>
      </c>
      <c r="AG55" s="252">
        <f t="shared" si="28"/>
        <v>0</v>
      </c>
      <c r="AH55" s="252">
        <f t="shared" si="28"/>
        <v>0</v>
      </c>
      <c r="AI55" s="252">
        <f t="shared" si="28"/>
        <v>0</v>
      </c>
      <c r="AJ55" s="252">
        <f t="shared" si="28"/>
        <v>0</v>
      </c>
      <c r="AK55" s="252">
        <f t="shared" si="28"/>
        <v>0</v>
      </c>
      <c r="AL55" s="252">
        <f t="shared" si="28"/>
        <v>0</v>
      </c>
      <c r="AM55" s="252">
        <f t="shared" si="28"/>
        <v>0</v>
      </c>
      <c r="AN55" s="252">
        <f t="shared" si="28"/>
        <v>0</v>
      </c>
      <c r="AO55" s="252">
        <f t="shared" si="28"/>
        <v>0</v>
      </c>
      <c r="AP55" s="252">
        <f t="shared" si="28"/>
        <v>0</v>
      </c>
      <c r="AQ55" s="252">
        <f t="shared" si="28"/>
        <v>0</v>
      </c>
      <c r="AR55" s="252">
        <f t="shared" si="28"/>
        <v>0</v>
      </c>
      <c r="AS55" s="252">
        <f t="shared" si="28"/>
        <v>0</v>
      </c>
      <c r="AT55" s="252">
        <f t="shared" si="28"/>
        <v>0</v>
      </c>
      <c r="AU55" s="252">
        <f t="shared" si="28"/>
        <v>0</v>
      </c>
      <c r="AV55" s="252">
        <f t="shared" si="28"/>
        <v>0</v>
      </c>
      <c r="AW55" s="252">
        <f t="shared" si="28"/>
        <v>0</v>
      </c>
      <c r="AX55" s="252">
        <f t="shared" si="28"/>
        <v>0</v>
      </c>
      <c r="AY55" s="252">
        <f t="shared" si="28"/>
        <v>0</v>
      </c>
      <c r="AZ55" s="252">
        <f t="shared" si="28"/>
        <v>0</v>
      </c>
      <c r="BA55" s="252">
        <f t="shared" si="28"/>
        <v>0</v>
      </c>
      <c r="BB55" s="32"/>
    </row>
    <row r="56">
      <c r="A56" s="44">
        <v>1945.0</v>
      </c>
      <c r="B56" s="32"/>
      <c r="C56" s="32"/>
      <c r="D56" s="32"/>
      <c r="E56" s="32"/>
      <c r="F56" s="32"/>
      <c r="G56" s="32"/>
      <c r="H56" s="32"/>
      <c r="I56" s="32"/>
      <c r="J56" s="32"/>
      <c r="K56" s="32"/>
      <c r="L56" s="32"/>
      <c r="M56" s="32"/>
      <c r="N56" s="32"/>
      <c r="O56" s="32"/>
      <c r="P56" s="32"/>
      <c r="Q56" s="32"/>
      <c r="R56" s="32"/>
      <c r="S56" s="32"/>
      <c r="T56" s="32"/>
      <c r="U56" s="32"/>
      <c r="V56" s="769">
        <v>0.0</v>
      </c>
      <c r="W56" s="252">
        <f t="shared" si="14"/>
        <v>0</v>
      </c>
      <c r="X56" s="252">
        <f t="shared" ref="X56:BA56" si="29">IF(AND(X$41-$A56&gt;$V$27,SUM($W56:W56)&lt;&gt;$V56),$V56,0)</f>
        <v>0</v>
      </c>
      <c r="Y56" s="252">
        <f t="shared" si="29"/>
        <v>0</v>
      </c>
      <c r="Z56" s="252">
        <f t="shared" si="29"/>
        <v>0</v>
      </c>
      <c r="AA56" s="252">
        <f t="shared" si="29"/>
        <v>0</v>
      </c>
      <c r="AB56" s="252">
        <f t="shared" si="29"/>
        <v>0</v>
      </c>
      <c r="AC56" s="252">
        <f t="shared" si="29"/>
        <v>0</v>
      </c>
      <c r="AD56" s="252">
        <f t="shared" si="29"/>
        <v>0</v>
      </c>
      <c r="AE56" s="252">
        <f t="shared" si="29"/>
        <v>0</v>
      </c>
      <c r="AF56" s="252">
        <f t="shared" si="29"/>
        <v>0</v>
      </c>
      <c r="AG56" s="252">
        <f t="shared" si="29"/>
        <v>0</v>
      </c>
      <c r="AH56" s="252">
        <f t="shared" si="29"/>
        <v>0</v>
      </c>
      <c r="AI56" s="252">
        <f t="shared" si="29"/>
        <v>0</v>
      </c>
      <c r="AJ56" s="252">
        <f t="shared" si="29"/>
        <v>0</v>
      </c>
      <c r="AK56" s="252">
        <f t="shared" si="29"/>
        <v>0</v>
      </c>
      <c r="AL56" s="252">
        <f t="shared" si="29"/>
        <v>0</v>
      </c>
      <c r="AM56" s="252">
        <f t="shared" si="29"/>
        <v>0</v>
      </c>
      <c r="AN56" s="252">
        <f t="shared" si="29"/>
        <v>0</v>
      </c>
      <c r="AO56" s="252">
        <f t="shared" si="29"/>
        <v>0</v>
      </c>
      <c r="AP56" s="252">
        <f t="shared" si="29"/>
        <v>0</v>
      </c>
      <c r="AQ56" s="252">
        <f t="shared" si="29"/>
        <v>0</v>
      </c>
      <c r="AR56" s="252">
        <f t="shared" si="29"/>
        <v>0</v>
      </c>
      <c r="AS56" s="252">
        <f t="shared" si="29"/>
        <v>0</v>
      </c>
      <c r="AT56" s="252">
        <f t="shared" si="29"/>
        <v>0</v>
      </c>
      <c r="AU56" s="252">
        <f t="shared" si="29"/>
        <v>0</v>
      </c>
      <c r="AV56" s="252">
        <f t="shared" si="29"/>
        <v>0</v>
      </c>
      <c r="AW56" s="252">
        <f t="shared" si="29"/>
        <v>0</v>
      </c>
      <c r="AX56" s="252">
        <f t="shared" si="29"/>
        <v>0</v>
      </c>
      <c r="AY56" s="252">
        <f t="shared" si="29"/>
        <v>0</v>
      </c>
      <c r="AZ56" s="252">
        <f t="shared" si="29"/>
        <v>0</v>
      </c>
      <c r="BA56" s="252">
        <f t="shared" si="29"/>
        <v>0</v>
      </c>
      <c r="BB56" s="32"/>
    </row>
    <row r="57">
      <c r="A57" s="44">
        <v>1946.0</v>
      </c>
      <c r="B57" s="32"/>
      <c r="C57" s="32"/>
      <c r="D57" s="32"/>
      <c r="E57" s="32"/>
      <c r="F57" s="32"/>
      <c r="G57" s="32"/>
      <c r="H57" s="32"/>
      <c r="I57" s="32"/>
      <c r="J57" s="32"/>
      <c r="K57" s="32"/>
      <c r="L57" s="32"/>
      <c r="M57" s="32"/>
      <c r="N57" s="32"/>
      <c r="O57" s="32"/>
      <c r="P57" s="32"/>
      <c r="Q57" s="32"/>
      <c r="R57" s="32"/>
      <c r="S57" s="32"/>
      <c r="T57" s="32"/>
      <c r="U57" s="32"/>
      <c r="V57" s="769">
        <v>0.0</v>
      </c>
      <c r="W57" s="252">
        <f t="shared" si="14"/>
        <v>0</v>
      </c>
      <c r="X57" s="252">
        <f t="shared" ref="X57:BA57" si="30">IF(AND(X$41-$A57&gt;$V$27,SUM($W57:W57)&lt;&gt;$V57),$V57,0)</f>
        <v>0</v>
      </c>
      <c r="Y57" s="252">
        <f t="shared" si="30"/>
        <v>0</v>
      </c>
      <c r="Z57" s="252">
        <f t="shared" si="30"/>
        <v>0</v>
      </c>
      <c r="AA57" s="252">
        <f t="shared" si="30"/>
        <v>0</v>
      </c>
      <c r="AB57" s="252">
        <f t="shared" si="30"/>
        <v>0</v>
      </c>
      <c r="AC57" s="252">
        <f t="shared" si="30"/>
        <v>0</v>
      </c>
      <c r="AD57" s="252">
        <f t="shared" si="30"/>
        <v>0</v>
      </c>
      <c r="AE57" s="252">
        <f t="shared" si="30"/>
        <v>0</v>
      </c>
      <c r="AF57" s="252">
        <f t="shared" si="30"/>
        <v>0</v>
      </c>
      <c r="AG57" s="252">
        <f t="shared" si="30"/>
        <v>0</v>
      </c>
      <c r="AH57" s="252">
        <f t="shared" si="30"/>
        <v>0</v>
      </c>
      <c r="AI57" s="252">
        <f t="shared" si="30"/>
        <v>0</v>
      </c>
      <c r="AJ57" s="252">
        <f t="shared" si="30"/>
        <v>0</v>
      </c>
      <c r="AK57" s="252">
        <f t="shared" si="30"/>
        <v>0</v>
      </c>
      <c r="AL57" s="252">
        <f t="shared" si="30"/>
        <v>0</v>
      </c>
      <c r="AM57" s="252">
        <f t="shared" si="30"/>
        <v>0</v>
      </c>
      <c r="AN57" s="252">
        <f t="shared" si="30"/>
        <v>0</v>
      </c>
      <c r="AO57" s="252">
        <f t="shared" si="30"/>
        <v>0</v>
      </c>
      <c r="AP57" s="252">
        <f t="shared" si="30"/>
        <v>0</v>
      </c>
      <c r="AQ57" s="252">
        <f t="shared" si="30"/>
        <v>0</v>
      </c>
      <c r="AR57" s="252">
        <f t="shared" si="30"/>
        <v>0</v>
      </c>
      <c r="AS57" s="252">
        <f t="shared" si="30"/>
        <v>0</v>
      </c>
      <c r="AT57" s="252">
        <f t="shared" si="30"/>
        <v>0</v>
      </c>
      <c r="AU57" s="252">
        <f t="shared" si="30"/>
        <v>0</v>
      </c>
      <c r="AV57" s="252">
        <f t="shared" si="30"/>
        <v>0</v>
      </c>
      <c r="AW57" s="252">
        <f t="shared" si="30"/>
        <v>0</v>
      </c>
      <c r="AX57" s="252">
        <f t="shared" si="30"/>
        <v>0</v>
      </c>
      <c r="AY57" s="252">
        <f t="shared" si="30"/>
        <v>0</v>
      </c>
      <c r="AZ57" s="252">
        <f t="shared" si="30"/>
        <v>0</v>
      </c>
      <c r="BA57" s="252">
        <f t="shared" si="30"/>
        <v>0</v>
      </c>
      <c r="BB57" s="32"/>
    </row>
    <row r="58">
      <c r="A58" s="44">
        <v>1947.0</v>
      </c>
      <c r="B58" s="32"/>
      <c r="C58" s="32"/>
      <c r="D58" s="32"/>
      <c r="E58" s="32"/>
      <c r="F58" s="32"/>
      <c r="G58" s="32"/>
      <c r="H58" s="32"/>
      <c r="I58" s="32"/>
      <c r="J58" s="32"/>
      <c r="K58" s="32"/>
      <c r="L58" s="32"/>
      <c r="M58" s="32"/>
      <c r="N58" s="32"/>
      <c r="O58" s="32"/>
      <c r="P58" s="32"/>
      <c r="Q58" s="32"/>
      <c r="R58" s="32"/>
      <c r="S58" s="32"/>
      <c r="T58" s="32"/>
      <c r="U58" s="32"/>
      <c r="V58" s="769">
        <v>0.0</v>
      </c>
      <c r="W58" s="252">
        <f t="shared" si="14"/>
        <v>0</v>
      </c>
      <c r="X58" s="252">
        <f t="shared" ref="X58:BA58" si="31">IF(AND(X$41-$A58&gt;$V$27,SUM($W58:W58)&lt;&gt;$V58),$V58,0)</f>
        <v>0</v>
      </c>
      <c r="Y58" s="252">
        <f t="shared" si="31"/>
        <v>0</v>
      </c>
      <c r="Z58" s="252">
        <f t="shared" si="31"/>
        <v>0</v>
      </c>
      <c r="AA58" s="252">
        <f t="shared" si="31"/>
        <v>0</v>
      </c>
      <c r="AB58" s="252">
        <f t="shared" si="31"/>
        <v>0</v>
      </c>
      <c r="AC58" s="252">
        <f t="shared" si="31"/>
        <v>0</v>
      </c>
      <c r="AD58" s="252">
        <f t="shared" si="31"/>
        <v>0</v>
      </c>
      <c r="AE58" s="252">
        <f t="shared" si="31"/>
        <v>0</v>
      </c>
      <c r="AF58" s="252">
        <f t="shared" si="31"/>
        <v>0</v>
      </c>
      <c r="AG58" s="252">
        <f t="shared" si="31"/>
        <v>0</v>
      </c>
      <c r="AH58" s="252">
        <f t="shared" si="31"/>
        <v>0</v>
      </c>
      <c r="AI58" s="252">
        <f t="shared" si="31"/>
        <v>0</v>
      </c>
      <c r="AJ58" s="252">
        <f t="shared" si="31"/>
        <v>0</v>
      </c>
      <c r="AK58" s="252">
        <f t="shared" si="31"/>
        <v>0</v>
      </c>
      <c r="AL58" s="252">
        <f t="shared" si="31"/>
        <v>0</v>
      </c>
      <c r="AM58" s="252">
        <f t="shared" si="31"/>
        <v>0</v>
      </c>
      <c r="AN58" s="252">
        <f t="shared" si="31"/>
        <v>0</v>
      </c>
      <c r="AO58" s="252">
        <f t="shared" si="31"/>
        <v>0</v>
      </c>
      <c r="AP58" s="252">
        <f t="shared" si="31"/>
        <v>0</v>
      </c>
      <c r="AQ58" s="252">
        <f t="shared" si="31"/>
        <v>0</v>
      </c>
      <c r="AR58" s="252">
        <f t="shared" si="31"/>
        <v>0</v>
      </c>
      <c r="AS58" s="252">
        <f t="shared" si="31"/>
        <v>0</v>
      </c>
      <c r="AT58" s="252">
        <f t="shared" si="31"/>
        <v>0</v>
      </c>
      <c r="AU58" s="252">
        <f t="shared" si="31"/>
        <v>0</v>
      </c>
      <c r="AV58" s="252">
        <f t="shared" si="31"/>
        <v>0</v>
      </c>
      <c r="AW58" s="252">
        <f t="shared" si="31"/>
        <v>0</v>
      </c>
      <c r="AX58" s="252">
        <f t="shared" si="31"/>
        <v>0</v>
      </c>
      <c r="AY58" s="252">
        <f t="shared" si="31"/>
        <v>0</v>
      </c>
      <c r="AZ58" s="252">
        <f t="shared" si="31"/>
        <v>0</v>
      </c>
      <c r="BA58" s="252">
        <f t="shared" si="31"/>
        <v>0</v>
      </c>
      <c r="BB58" s="32"/>
    </row>
    <row r="59">
      <c r="A59" s="44">
        <v>1948.0</v>
      </c>
      <c r="B59" s="32"/>
      <c r="C59" s="32"/>
      <c r="D59" s="32"/>
      <c r="E59" s="32"/>
      <c r="F59" s="32"/>
      <c r="G59" s="32"/>
      <c r="H59" s="32"/>
      <c r="I59" s="32"/>
      <c r="J59" s="32"/>
      <c r="K59" s="32"/>
      <c r="L59" s="32"/>
      <c r="M59" s="32"/>
      <c r="N59" s="32"/>
      <c r="O59" s="32"/>
      <c r="P59" s="32"/>
      <c r="Q59" s="32"/>
      <c r="R59" s="32"/>
      <c r="S59" s="32"/>
      <c r="T59" s="32"/>
      <c r="U59" s="32"/>
      <c r="V59" s="769">
        <v>0.0</v>
      </c>
      <c r="W59" s="252">
        <f t="shared" si="14"/>
        <v>0</v>
      </c>
      <c r="X59" s="252">
        <f t="shared" ref="X59:BA59" si="32">IF(AND(X$41-$A59&gt;$V$27,SUM($W59:W59)&lt;&gt;$V59),$V59,0)</f>
        <v>0</v>
      </c>
      <c r="Y59" s="252">
        <f t="shared" si="32"/>
        <v>0</v>
      </c>
      <c r="Z59" s="252">
        <f t="shared" si="32"/>
        <v>0</v>
      </c>
      <c r="AA59" s="252">
        <f t="shared" si="32"/>
        <v>0</v>
      </c>
      <c r="AB59" s="252">
        <f t="shared" si="32"/>
        <v>0</v>
      </c>
      <c r="AC59" s="252">
        <f t="shared" si="32"/>
        <v>0</v>
      </c>
      <c r="AD59" s="252">
        <f t="shared" si="32"/>
        <v>0</v>
      </c>
      <c r="AE59" s="252">
        <f t="shared" si="32"/>
        <v>0</v>
      </c>
      <c r="AF59" s="252">
        <f t="shared" si="32"/>
        <v>0</v>
      </c>
      <c r="AG59" s="252">
        <f t="shared" si="32"/>
        <v>0</v>
      </c>
      <c r="AH59" s="252">
        <f t="shared" si="32"/>
        <v>0</v>
      </c>
      <c r="AI59" s="252">
        <f t="shared" si="32"/>
        <v>0</v>
      </c>
      <c r="AJ59" s="252">
        <f t="shared" si="32"/>
        <v>0</v>
      </c>
      <c r="AK59" s="252">
        <f t="shared" si="32"/>
        <v>0</v>
      </c>
      <c r="AL59" s="252">
        <f t="shared" si="32"/>
        <v>0</v>
      </c>
      <c r="AM59" s="252">
        <f t="shared" si="32"/>
        <v>0</v>
      </c>
      <c r="AN59" s="252">
        <f t="shared" si="32"/>
        <v>0</v>
      </c>
      <c r="AO59" s="252">
        <f t="shared" si="32"/>
        <v>0</v>
      </c>
      <c r="AP59" s="252">
        <f t="shared" si="32"/>
        <v>0</v>
      </c>
      <c r="AQ59" s="252">
        <f t="shared" si="32"/>
        <v>0</v>
      </c>
      <c r="AR59" s="252">
        <f t="shared" si="32"/>
        <v>0</v>
      </c>
      <c r="AS59" s="252">
        <f t="shared" si="32"/>
        <v>0</v>
      </c>
      <c r="AT59" s="252">
        <f t="shared" si="32"/>
        <v>0</v>
      </c>
      <c r="AU59" s="252">
        <f t="shared" si="32"/>
        <v>0</v>
      </c>
      <c r="AV59" s="252">
        <f t="shared" si="32"/>
        <v>0</v>
      </c>
      <c r="AW59" s="252">
        <f t="shared" si="32"/>
        <v>0</v>
      </c>
      <c r="AX59" s="252">
        <f t="shared" si="32"/>
        <v>0</v>
      </c>
      <c r="AY59" s="252">
        <f t="shared" si="32"/>
        <v>0</v>
      </c>
      <c r="AZ59" s="252">
        <f t="shared" si="32"/>
        <v>0</v>
      </c>
      <c r="BA59" s="252">
        <f t="shared" si="32"/>
        <v>0</v>
      </c>
      <c r="BB59" s="32"/>
    </row>
    <row r="60">
      <c r="A60" s="44">
        <v>1949.0</v>
      </c>
      <c r="B60" s="32"/>
      <c r="C60" s="32"/>
      <c r="D60" s="32"/>
      <c r="E60" s="32"/>
      <c r="F60" s="32"/>
      <c r="G60" s="32"/>
      <c r="H60" s="32"/>
      <c r="I60" s="32"/>
      <c r="J60" s="32"/>
      <c r="K60" s="32"/>
      <c r="L60" s="32"/>
      <c r="M60" s="32"/>
      <c r="N60" s="32"/>
      <c r="O60" s="32"/>
      <c r="P60" s="32"/>
      <c r="Q60" s="32"/>
      <c r="R60" s="32"/>
      <c r="S60" s="32"/>
      <c r="T60" s="32"/>
      <c r="U60" s="32"/>
      <c r="V60" s="769">
        <v>0.0</v>
      </c>
      <c r="W60" s="252">
        <f t="shared" si="14"/>
        <v>0</v>
      </c>
      <c r="X60" s="252">
        <f t="shared" ref="X60:BA60" si="33">IF(AND(X$41-$A60&gt;$V$27,SUM($W60:W60)&lt;&gt;$V60),$V60,0)</f>
        <v>0</v>
      </c>
      <c r="Y60" s="252">
        <f t="shared" si="33"/>
        <v>0</v>
      </c>
      <c r="Z60" s="252">
        <f t="shared" si="33"/>
        <v>0</v>
      </c>
      <c r="AA60" s="252">
        <f t="shared" si="33"/>
        <v>0</v>
      </c>
      <c r="AB60" s="252">
        <f t="shared" si="33"/>
        <v>0</v>
      </c>
      <c r="AC60" s="252">
        <f t="shared" si="33"/>
        <v>0</v>
      </c>
      <c r="AD60" s="252">
        <f t="shared" si="33"/>
        <v>0</v>
      </c>
      <c r="AE60" s="252">
        <f t="shared" si="33"/>
        <v>0</v>
      </c>
      <c r="AF60" s="252">
        <f t="shared" si="33"/>
        <v>0</v>
      </c>
      <c r="AG60" s="252">
        <f t="shared" si="33"/>
        <v>0</v>
      </c>
      <c r="AH60" s="252">
        <f t="shared" si="33"/>
        <v>0</v>
      </c>
      <c r="AI60" s="252">
        <f t="shared" si="33"/>
        <v>0</v>
      </c>
      <c r="AJ60" s="252">
        <f t="shared" si="33"/>
        <v>0</v>
      </c>
      <c r="AK60" s="252">
        <f t="shared" si="33"/>
        <v>0</v>
      </c>
      <c r="AL60" s="252">
        <f t="shared" si="33"/>
        <v>0</v>
      </c>
      <c r="AM60" s="252">
        <f t="shared" si="33"/>
        <v>0</v>
      </c>
      <c r="AN60" s="252">
        <f t="shared" si="33"/>
        <v>0</v>
      </c>
      <c r="AO60" s="252">
        <f t="shared" si="33"/>
        <v>0</v>
      </c>
      <c r="AP60" s="252">
        <f t="shared" si="33"/>
        <v>0</v>
      </c>
      <c r="AQ60" s="252">
        <f t="shared" si="33"/>
        <v>0</v>
      </c>
      <c r="AR60" s="252">
        <f t="shared" si="33"/>
        <v>0</v>
      </c>
      <c r="AS60" s="252">
        <f t="shared" si="33"/>
        <v>0</v>
      </c>
      <c r="AT60" s="252">
        <f t="shared" si="33"/>
        <v>0</v>
      </c>
      <c r="AU60" s="252">
        <f t="shared" si="33"/>
        <v>0</v>
      </c>
      <c r="AV60" s="252">
        <f t="shared" si="33"/>
        <v>0</v>
      </c>
      <c r="AW60" s="252">
        <f t="shared" si="33"/>
        <v>0</v>
      </c>
      <c r="AX60" s="252">
        <f t="shared" si="33"/>
        <v>0</v>
      </c>
      <c r="AY60" s="252">
        <f t="shared" si="33"/>
        <v>0</v>
      </c>
      <c r="AZ60" s="252">
        <f t="shared" si="33"/>
        <v>0</v>
      </c>
      <c r="BA60" s="252">
        <f t="shared" si="33"/>
        <v>0</v>
      </c>
      <c r="BB60" s="32"/>
    </row>
    <row r="61">
      <c r="A61" s="44">
        <v>1950.0</v>
      </c>
      <c r="B61" s="32"/>
      <c r="C61" s="32"/>
      <c r="D61" s="32"/>
      <c r="E61" s="32"/>
      <c r="F61" s="32"/>
      <c r="G61" s="32"/>
      <c r="H61" s="32"/>
      <c r="I61" s="32"/>
      <c r="J61" s="32"/>
      <c r="K61" s="32"/>
      <c r="L61" s="32"/>
      <c r="M61" s="32"/>
      <c r="N61" s="32"/>
      <c r="O61" s="32"/>
      <c r="P61" s="32"/>
      <c r="Q61" s="32"/>
      <c r="R61" s="32"/>
      <c r="S61" s="32"/>
      <c r="T61" s="32"/>
      <c r="U61" s="32"/>
      <c r="V61" s="769">
        <v>0.0</v>
      </c>
      <c r="W61" s="252">
        <f t="shared" si="14"/>
        <v>0</v>
      </c>
      <c r="X61" s="252">
        <f t="shared" ref="X61:BA61" si="34">IF(AND(X$41-$A61&gt;$V$27,SUM($W61:W61)&lt;&gt;$V61),$V61,0)</f>
        <v>0</v>
      </c>
      <c r="Y61" s="252">
        <f t="shared" si="34"/>
        <v>0</v>
      </c>
      <c r="Z61" s="252">
        <f t="shared" si="34"/>
        <v>0</v>
      </c>
      <c r="AA61" s="252">
        <f t="shared" si="34"/>
        <v>0</v>
      </c>
      <c r="AB61" s="252">
        <f t="shared" si="34"/>
        <v>0</v>
      </c>
      <c r="AC61" s="252">
        <f t="shared" si="34"/>
        <v>0</v>
      </c>
      <c r="AD61" s="252">
        <f t="shared" si="34"/>
        <v>0</v>
      </c>
      <c r="AE61" s="252">
        <f t="shared" si="34"/>
        <v>0</v>
      </c>
      <c r="AF61" s="252">
        <f t="shared" si="34"/>
        <v>0</v>
      </c>
      <c r="AG61" s="252">
        <f t="shared" si="34"/>
        <v>0</v>
      </c>
      <c r="AH61" s="252">
        <f t="shared" si="34"/>
        <v>0</v>
      </c>
      <c r="AI61" s="252">
        <f t="shared" si="34"/>
        <v>0</v>
      </c>
      <c r="AJ61" s="252">
        <f t="shared" si="34"/>
        <v>0</v>
      </c>
      <c r="AK61" s="252">
        <f t="shared" si="34"/>
        <v>0</v>
      </c>
      <c r="AL61" s="252">
        <f t="shared" si="34"/>
        <v>0</v>
      </c>
      <c r="AM61" s="252">
        <f t="shared" si="34"/>
        <v>0</v>
      </c>
      <c r="AN61" s="252">
        <f t="shared" si="34"/>
        <v>0</v>
      </c>
      <c r="AO61" s="252">
        <f t="shared" si="34"/>
        <v>0</v>
      </c>
      <c r="AP61" s="252">
        <f t="shared" si="34"/>
        <v>0</v>
      </c>
      <c r="AQ61" s="252">
        <f t="shared" si="34"/>
        <v>0</v>
      </c>
      <c r="AR61" s="252">
        <f t="shared" si="34"/>
        <v>0</v>
      </c>
      <c r="AS61" s="252">
        <f t="shared" si="34"/>
        <v>0</v>
      </c>
      <c r="AT61" s="252">
        <f t="shared" si="34"/>
        <v>0</v>
      </c>
      <c r="AU61" s="252">
        <f t="shared" si="34"/>
        <v>0</v>
      </c>
      <c r="AV61" s="252">
        <f t="shared" si="34"/>
        <v>0</v>
      </c>
      <c r="AW61" s="252">
        <f t="shared" si="34"/>
        <v>0</v>
      </c>
      <c r="AX61" s="252">
        <f t="shared" si="34"/>
        <v>0</v>
      </c>
      <c r="AY61" s="252">
        <f t="shared" si="34"/>
        <v>0</v>
      </c>
      <c r="AZ61" s="252">
        <f t="shared" si="34"/>
        <v>0</v>
      </c>
      <c r="BA61" s="252">
        <f t="shared" si="34"/>
        <v>0</v>
      </c>
      <c r="BB61" s="32"/>
    </row>
    <row r="62">
      <c r="A62" s="44">
        <v>1951.0</v>
      </c>
      <c r="B62" s="32"/>
      <c r="C62" s="32"/>
      <c r="D62" s="32"/>
      <c r="E62" s="32"/>
      <c r="F62" s="32"/>
      <c r="G62" s="32"/>
      <c r="H62" s="32"/>
      <c r="I62" s="32"/>
      <c r="J62" s="32"/>
      <c r="K62" s="32"/>
      <c r="L62" s="32"/>
      <c r="M62" s="32"/>
      <c r="N62" s="32"/>
      <c r="O62" s="32"/>
      <c r="P62" s="32"/>
      <c r="Q62" s="32"/>
      <c r="R62" s="32"/>
      <c r="S62" s="32"/>
      <c r="T62" s="32"/>
      <c r="U62" s="32"/>
      <c r="V62" s="769">
        <v>0.0</v>
      </c>
      <c r="W62" s="252">
        <f t="shared" si="14"/>
        <v>0</v>
      </c>
      <c r="X62" s="252">
        <f t="shared" ref="X62:BA62" si="35">IF(AND(X$41-$A62&gt;$V$27,SUM($W62:W62)&lt;&gt;$V62),$V62,0)</f>
        <v>0</v>
      </c>
      <c r="Y62" s="252">
        <f t="shared" si="35"/>
        <v>0</v>
      </c>
      <c r="Z62" s="252">
        <f t="shared" si="35"/>
        <v>0</v>
      </c>
      <c r="AA62" s="252">
        <f t="shared" si="35"/>
        <v>0</v>
      </c>
      <c r="AB62" s="252">
        <f t="shared" si="35"/>
        <v>0</v>
      </c>
      <c r="AC62" s="252">
        <f t="shared" si="35"/>
        <v>0</v>
      </c>
      <c r="AD62" s="252">
        <f t="shared" si="35"/>
        <v>0</v>
      </c>
      <c r="AE62" s="252">
        <f t="shared" si="35"/>
        <v>0</v>
      </c>
      <c r="AF62" s="252">
        <f t="shared" si="35"/>
        <v>0</v>
      </c>
      <c r="AG62" s="252">
        <f t="shared" si="35"/>
        <v>0</v>
      </c>
      <c r="AH62" s="252">
        <f t="shared" si="35"/>
        <v>0</v>
      </c>
      <c r="AI62" s="252">
        <f t="shared" si="35"/>
        <v>0</v>
      </c>
      <c r="AJ62" s="252">
        <f t="shared" si="35"/>
        <v>0</v>
      </c>
      <c r="AK62" s="252">
        <f t="shared" si="35"/>
        <v>0</v>
      </c>
      <c r="AL62" s="252">
        <f t="shared" si="35"/>
        <v>0</v>
      </c>
      <c r="AM62" s="252">
        <f t="shared" si="35"/>
        <v>0</v>
      </c>
      <c r="AN62" s="252">
        <f t="shared" si="35"/>
        <v>0</v>
      </c>
      <c r="AO62" s="252">
        <f t="shared" si="35"/>
        <v>0</v>
      </c>
      <c r="AP62" s="252">
        <f t="shared" si="35"/>
        <v>0</v>
      </c>
      <c r="AQ62" s="252">
        <f t="shared" si="35"/>
        <v>0</v>
      </c>
      <c r="AR62" s="252">
        <f t="shared" si="35"/>
        <v>0</v>
      </c>
      <c r="AS62" s="252">
        <f t="shared" si="35"/>
        <v>0</v>
      </c>
      <c r="AT62" s="252">
        <f t="shared" si="35"/>
        <v>0</v>
      </c>
      <c r="AU62" s="252">
        <f t="shared" si="35"/>
        <v>0</v>
      </c>
      <c r="AV62" s="252">
        <f t="shared" si="35"/>
        <v>0</v>
      </c>
      <c r="AW62" s="252">
        <f t="shared" si="35"/>
        <v>0</v>
      </c>
      <c r="AX62" s="252">
        <f t="shared" si="35"/>
        <v>0</v>
      </c>
      <c r="AY62" s="252">
        <f t="shared" si="35"/>
        <v>0</v>
      </c>
      <c r="AZ62" s="252">
        <f t="shared" si="35"/>
        <v>0</v>
      </c>
      <c r="BA62" s="252">
        <f t="shared" si="35"/>
        <v>0</v>
      </c>
      <c r="BB62" s="32"/>
    </row>
    <row r="63">
      <c r="A63" s="44">
        <v>1952.0</v>
      </c>
      <c r="B63" s="32"/>
      <c r="C63" s="32"/>
      <c r="D63" s="32"/>
      <c r="E63" s="32"/>
      <c r="F63" s="32"/>
      <c r="G63" s="32"/>
      <c r="H63" s="32"/>
      <c r="I63" s="32"/>
      <c r="J63" s="32"/>
      <c r="K63" s="32"/>
      <c r="L63" s="32"/>
      <c r="M63" s="32"/>
      <c r="N63" s="32"/>
      <c r="O63" s="32"/>
      <c r="P63" s="32"/>
      <c r="Q63" s="32"/>
      <c r="R63" s="32"/>
      <c r="S63" s="32"/>
      <c r="T63" s="32"/>
      <c r="U63" s="32"/>
      <c r="V63" s="769">
        <v>0.0</v>
      </c>
      <c r="W63" s="252">
        <f t="shared" si="14"/>
        <v>0</v>
      </c>
      <c r="X63" s="252">
        <f t="shared" ref="X63:BA63" si="36">IF(AND(X$41-$A63&gt;$V$27,SUM($W63:W63)&lt;&gt;$V63),$V63,0)</f>
        <v>0</v>
      </c>
      <c r="Y63" s="252">
        <f t="shared" si="36"/>
        <v>0</v>
      </c>
      <c r="Z63" s="252">
        <f t="shared" si="36"/>
        <v>0</v>
      </c>
      <c r="AA63" s="252">
        <f t="shared" si="36"/>
        <v>0</v>
      </c>
      <c r="AB63" s="252">
        <f t="shared" si="36"/>
        <v>0</v>
      </c>
      <c r="AC63" s="252">
        <f t="shared" si="36"/>
        <v>0</v>
      </c>
      <c r="AD63" s="252">
        <f t="shared" si="36"/>
        <v>0</v>
      </c>
      <c r="AE63" s="252">
        <f t="shared" si="36"/>
        <v>0</v>
      </c>
      <c r="AF63" s="252">
        <f t="shared" si="36"/>
        <v>0</v>
      </c>
      <c r="AG63" s="252">
        <f t="shared" si="36"/>
        <v>0</v>
      </c>
      <c r="AH63" s="252">
        <f t="shared" si="36"/>
        <v>0</v>
      </c>
      <c r="AI63" s="252">
        <f t="shared" si="36"/>
        <v>0</v>
      </c>
      <c r="AJ63" s="252">
        <f t="shared" si="36"/>
        <v>0</v>
      </c>
      <c r="AK63" s="252">
        <f t="shared" si="36"/>
        <v>0</v>
      </c>
      <c r="AL63" s="252">
        <f t="shared" si="36"/>
        <v>0</v>
      </c>
      <c r="AM63" s="252">
        <f t="shared" si="36"/>
        <v>0</v>
      </c>
      <c r="AN63" s="252">
        <f t="shared" si="36"/>
        <v>0</v>
      </c>
      <c r="AO63" s="252">
        <f t="shared" si="36"/>
        <v>0</v>
      </c>
      <c r="AP63" s="252">
        <f t="shared" si="36"/>
        <v>0</v>
      </c>
      <c r="AQ63" s="252">
        <f t="shared" si="36"/>
        <v>0</v>
      </c>
      <c r="AR63" s="252">
        <f t="shared" si="36"/>
        <v>0</v>
      </c>
      <c r="AS63" s="252">
        <f t="shared" si="36"/>
        <v>0</v>
      </c>
      <c r="AT63" s="252">
        <f t="shared" si="36"/>
        <v>0</v>
      </c>
      <c r="AU63" s="252">
        <f t="shared" si="36"/>
        <v>0</v>
      </c>
      <c r="AV63" s="252">
        <f t="shared" si="36"/>
        <v>0</v>
      </c>
      <c r="AW63" s="252">
        <f t="shared" si="36"/>
        <v>0</v>
      </c>
      <c r="AX63" s="252">
        <f t="shared" si="36"/>
        <v>0</v>
      </c>
      <c r="AY63" s="252">
        <f t="shared" si="36"/>
        <v>0</v>
      </c>
      <c r="AZ63" s="252">
        <f t="shared" si="36"/>
        <v>0</v>
      </c>
      <c r="BA63" s="252">
        <f t="shared" si="36"/>
        <v>0</v>
      </c>
      <c r="BB63" s="32"/>
    </row>
    <row r="64">
      <c r="A64" s="44">
        <v>1953.0</v>
      </c>
      <c r="B64" s="32"/>
      <c r="C64" s="32"/>
      <c r="D64" s="32"/>
      <c r="E64" s="32"/>
      <c r="F64" s="32"/>
      <c r="G64" s="32"/>
      <c r="H64" s="32"/>
      <c r="I64" s="32"/>
      <c r="J64" s="32"/>
      <c r="K64" s="32"/>
      <c r="L64" s="32"/>
      <c r="M64" s="32"/>
      <c r="N64" s="32"/>
      <c r="O64" s="32"/>
      <c r="P64" s="32"/>
      <c r="Q64" s="32"/>
      <c r="R64" s="32"/>
      <c r="S64" s="32"/>
      <c r="T64" s="32"/>
      <c r="U64" s="32"/>
      <c r="V64" s="769">
        <v>0.0</v>
      </c>
      <c r="W64" s="252">
        <f t="shared" si="14"/>
        <v>0</v>
      </c>
      <c r="X64" s="252">
        <f t="shared" ref="X64:BA64" si="37">IF(AND(X$41-$A64&gt;$V$27,SUM($W64:W64)&lt;&gt;$V64),$V64,0)</f>
        <v>0</v>
      </c>
      <c r="Y64" s="252">
        <f t="shared" si="37"/>
        <v>0</v>
      </c>
      <c r="Z64" s="252">
        <f t="shared" si="37"/>
        <v>0</v>
      </c>
      <c r="AA64" s="252">
        <f t="shared" si="37"/>
        <v>0</v>
      </c>
      <c r="AB64" s="252">
        <f t="shared" si="37"/>
        <v>0</v>
      </c>
      <c r="AC64" s="252">
        <f t="shared" si="37"/>
        <v>0</v>
      </c>
      <c r="AD64" s="252">
        <f t="shared" si="37"/>
        <v>0</v>
      </c>
      <c r="AE64" s="252">
        <f t="shared" si="37"/>
        <v>0</v>
      </c>
      <c r="AF64" s="252">
        <f t="shared" si="37"/>
        <v>0</v>
      </c>
      <c r="AG64" s="252">
        <f t="shared" si="37"/>
        <v>0</v>
      </c>
      <c r="AH64" s="252">
        <f t="shared" si="37"/>
        <v>0</v>
      </c>
      <c r="AI64" s="252">
        <f t="shared" si="37"/>
        <v>0</v>
      </c>
      <c r="AJ64" s="252">
        <f t="shared" si="37"/>
        <v>0</v>
      </c>
      <c r="AK64" s="252">
        <f t="shared" si="37"/>
        <v>0</v>
      </c>
      <c r="AL64" s="252">
        <f t="shared" si="37"/>
        <v>0</v>
      </c>
      <c r="AM64" s="252">
        <f t="shared" si="37"/>
        <v>0</v>
      </c>
      <c r="AN64" s="252">
        <f t="shared" si="37"/>
        <v>0</v>
      </c>
      <c r="AO64" s="252">
        <f t="shared" si="37"/>
        <v>0</v>
      </c>
      <c r="AP64" s="252">
        <f t="shared" si="37"/>
        <v>0</v>
      </c>
      <c r="AQ64" s="252">
        <f t="shared" si="37"/>
        <v>0</v>
      </c>
      <c r="AR64" s="252">
        <f t="shared" si="37"/>
        <v>0</v>
      </c>
      <c r="AS64" s="252">
        <f t="shared" si="37"/>
        <v>0</v>
      </c>
      <c r="AT64" s="252">
        <f t="shared" si="37"/>
        <v>0</v>
      </c>
      <c r="AU64" s="252">
        <f t="shared" si="37"/>
        <v>0</v>
      </c>
      <c r="AV64" s="252">
        <f t="shared" si="37"/>
        <v>0</v>
      </c>
      <c r="AW64" s="252">
        <f t="shared" si="37"/>
        <v>0</v>
      </c>
      <c r="AX64" s="252">
        <f t="shared" si="37"/>
        <v>0</v>
      </c>
      <c r="AY64" s="252">
        <f t="shared" si="37"/>
        <v>0</v>
      </c>
      <c r="AZ64" s="252">
        <f t="shared" si="37"/>
        <v>0</v>
      </c>
      <c r="BA64" s="252">
        <f t="shared" si="37"/>
        <v>0</v>
      </c>
      <c r="BB64" s="32"/>
    </row>
    <row r="65">
      <c r="A65" s="44">
        <v>1954.0</v>
      </c>
      <c r="B65" s="32"/>
      <c r="C65" s="32"/>
      <c r="D65" s="32"/>
      <c r="E65" s="32"/>
      <c r="F65" s="32"/>
      <c r="G65" s="32"/>
      <c r="H65" s="32"/>
      <c r="I65" s="32"/>
      <c r="J65" s="32"/>
      <c r="K65" s="32"/>
      <c r="L65" s="32"/>
      <c r="M65" s="32"/>
      <c r="N65" s="32"/>
      <c r="O65" s="32"/>
      <c r="P65" s="32"/>
      <c r="Q65" s="32"/>
      <c r="R65" s="32"/>
      <c r="S65" s="32"/>
      <c r="T65" s="32"/>
      <c r="U65" s="32"/>
      <c r="V65" s="769">
        <v>0.0</v>
      </c>
      <c r="W65" s="252">
        <f t="shared" si="14"/>
        <v>0</v>
      </c>
      <c r="X65" s="252">
        <f t="shared" ref="X65:BA65" si="38">IF(AND(X$41-$A65&gt;$V$27,SUM($W65:W65)&lt;&gt;$V65),$V65,0)</f>
        <v>0</v>
      </c>
      <c r="Y65" s="252">
        <f t="shared" si="38"/>
        <v>0</v>
      </c>
      <c r="Z65" s="252">
        <f t="shared" si="38"/>
        <v>0</v>
      </c>
      <c r="AA65" s="252">
        <f t="shared" si="38"/>
        <v>0</v>
      </c>
      <c r="AB65" s="252">
        <f t="shared" si="38"/>
        <v>0</v>
      </c>
      <c r="AC65" s="252">
        <f t="shared" si="38"/>
        <v>0</v>
      </c>
      <c r="AD65" s="252">
        <f t="shared" si="38"/>
        <v>0</v>
      </c>
      <c r="AE65" s="252">
        <f t="shared" si="38"/>
        <v>0</v>
      </c>
      <c r="AF65" s="252">
        <f t="shared" si="38"/>
        <v>0</v>
      </c>
      <c r="AG65" s="252">
        <f t="shared" si="38"/>
        <v>0</v>
      </c>
      <c r="AH65" s="252">
        <f t="shared" si="38"/>
        <v>0</v>
      </c>
      <c r="AI65" s="252">
        <f t="shared" si="38"/>
        <v>0</v>
      </c>
      <c r="AJ65" s="252">
        <f t="shared" si="38"/>
        <v>0</v>
      </c>
      <c r="AK65" s="252">
        <f t="shared" si="38"/>
        <v>0</v>
      </c>
      <c r="AL65" s="252">
        <f t="shared" si="38"/>
        <v>0</v>
      </c>
      <c r="AM65" s="252">
        <f t="shared" si="38"/>
        <v>0</v>
      </c>
      <c r="AN65" s="252">
        <f t="shared" si="38"/>
        <v>0</v>
      </c>
      <c r="AO65" s="252">
        <f t="shared" si="38"/>
        <v>0</v>
      </c>
      <c r="AP65" s="252">
        <f t="shared" si="38"/>
        <v>0</v>
      </c>
      <c r="AQ65" s="252">
        <f t="shared" si="38"/>
        <v>0</v>
      </c>
      <c r="AR65" s="252">
        <f t="shared" si="38"/>
        <v>0</v>
      </c>
      <c r="AS65" s="252">
        <f t="shared" si="38"/>
        <v>0</v>
      </c>
      <c r="AT65" s="252">
        <f t="shared" si="38"/>
        <v>0</v>
      </c>
      <c r="AU65" s="252">
        <f t="shared" si="38"/>
        <v>0</v>
      </c>
      <c r="AV65" s="252">
        <f t="shared" si="38"/>
        <v>0</v>
      </c>
      <c r="AW65" s="252">
        <f t="shared" si="38"/>
        <v>0</v>
      </c>
      <c r="AX65" s="252">
        <f t="shared" si="38"/>
        <v>0</v>
      </c>
      <c r="AY65" s="252">
        <f t="shared" si="38"/>
        <v>0</v>
      </c>
      <c r="AZ65" s="252">
        <f t="shared" si="38"/>
        <v>0</v>
      </c>
      <c r="BA65" s="252">
        <f t="shared" si="38"/>
        <v>0</v>
      </c>
      <c r="BB65" s="32"/>
    </row>
    <row r="66">
      <c r="A66" s="44">
        <v>1955.0</v>
      </c>
      <c r="B66" s="32"/>
      <c r="C66" s="32"/>
      <c r="D66" s="32"/>
      <c r="E66" s="32"/>
      <c r="F66" s="32"/>
      <c r="G66" s="32"/>
      <c r="H66" s="32"/>
      <c r="I66" s="32"/>
      <c r="J66" s="32"/>
      <c r="K66" s="32"/>
      <c r="L66" s="32"/>
      <c r="M66" s="32"/>
      <c r="N66" s="32"/>
      <c r="O66" s="32"/>
      <c r="P66" s="32"/>
      <c r="Q66" s="32"/>
      <c r="R66" s="32"/>
      <c r="S66" s="32"/>
      <c r="T66" s="32"/>
      <c r="U66" s="32"/>
      <c r="V66" s="769">
        <v>0.0</v>
      </c>
      <c r="W66" s="252">
        <f t="shared" si="14"/>
        <v>0</v>
      </c>
      <c r="X66" s="252">
        <f t="shared" ref="X66:BA66" si="39">IF(AND(X$41-$A66&gt;$V$27,SUM($W66:W66)&lt;&gt;$V66),$V66,0)</f>
        <v>0</v>
      </c>
      <c r="Y66" s="252">
        <f t="shared" si="39"/>
        <v>0</v>
      </c>
      <c r="Z66" s="252">
        <f t="shared" si="39"/>
        <v>0</v>
      </c>
      <c r="AA66" s="252">
        <f t="shared" si="39"/>
        <v>0</v>
      </c>
      <c r="AB66" s="252">
        <f t="shared" si="39"/>
        <v>0</v>
      </c>
      <c r="AC66" s="252">
        <f t="shared" si="39"/>
        <v>0</v>
      </c>
      <c r="AD66" s="252">
        <f t="shared" si="39"/>
        <v>0</v>
      </c>
      <c r="AE66" s="252">
        <f t="shared" si="39"/>
        <v>0</v>
      </c>
      <c r="AF66" s="252">
        <f t="shared" si="39"/>
        <v>0</v>
      </c>
      <c r="AG66" s="252">
        <f t="shared" si="39"/>
        <v>0</v>
      </c>
      <c r="AH66" s="252">
        <f t="shared" si="39"/>
        <v>0</v>
      </c>
      <c r="AI66" s="252">
        <f t="shared" si="39"/>
        <v>0</v>
      </c>
      <c r="AJ66" s="252">
        <f t="shared" si="39"/>
        <v>0</v>
      </c>
      <c r="AK66" s="252">
        <f t="shared" si="39"/>
        <v>0</v>
      </c>
      <c r="AL66" s="252">
        <f t="shared" si="39"/>
        <v>0</v>
      </c>
      <c r="AM66" s="252">
        <f t="shared" si="39"/>
        <v>0</v>
      </c>
      <c r="AN66" s="252">
        <f t="shared" si="39"/>
        <v>0</v>
      </c>
      <c r="AO66" s="252">
        <f t="shared" si="39"/>
        <v>0</v>
      </c>
      <c r="AP66" s="252">
        <f t="shared" si="39"/>
        <v>0</v>
      </c>
      <c r="AQ66" s="252">
        <f t="shared" si="39"/>
        <v>0</v>
      </c>
      <c r="AR66" s="252">
        <f t="shared" si="39"/>
        <v>0</v>
      </c>
      <c r="AS66" s="252">
        <f t="shared" si="39"/>
        <v>0</v>
      </c>
      <c r="AT66" s="252">
        <f t="shared" si="39"/>
        <v>0</v>
      </c>
      <c r="AU66" s="252">
        <f t="shared" si="39"/>
        <v>0</v>
      </c>
      <c r="AV66" s="252">
        <f t="shared" si="39"/>
        <v>0</v>
      </c>
      <c r="AW66" s="252">
        <f t="shared" si="39"/>
        <v>0</v>
      </c>
      <c r="AX66" s="252">
        <f t="shared" si="39"/>
        <v>0</v>
      </c>
      <c r="AY66" s="252">
        <f t="shared" si="39"/>
        <v>0</v>
      </c>
      <c r="AZ66" s="252">
        <f t="shared" si="39"/>
        <v>0</v>
      </c>
      <c r="BA66" s="252">
        <f t="shared" si="39"/>
        <v>0</v>
      </c>
      <c r="BB66" s="32"/>
    </row>
    <row r="67">
      <c r="A67" s="44">
        <v>1956.0</v>
      </c>
      <c r="B67" s="32"/>
      <c r="C67" s="32"/>
      <c r="D67" s="32"/>
      <c r="E67" s="32"/>
      <c r="F67" s="32"/>
      <c r="G67" s="32"/>
      <c r="H67" s="32"/>
      <c r="I67" s="32"/>
      <c r="J67" s="32"/>
      <c r="K67" s="32"/>
      <c r="L67" s="32"/>
      <c r="M67" s="32"/>
      <c r="N67" s="32"/>
      <c r="O67" s="32"/>
      <c r="P67" s="32"/>
      <c r="Q67" s="32"/>
      <c r="R67" s="32"/>
      <c r="S67" s="32"/>
      <c r="T67" s="32"/>
      <c r="U67" s="32"/>
      <c r="V67" s="769">
        <v>0.0</v>
      </c>
      <c r="W67" s="252">
        <f t="shared" si="14"/>
        <v>0</v>
      </c>
      <c r="X67" s="252">
        <f t="shared" ref="X67:BA67" si="40">IF(AND(X$41-$A67&gt;$V$27,SUM($W67:W67)&lt;&gt;$V67),$V67,0)</f>
        <v>0</v>
      </c>
      <c r="Y67" s="252">
        <f t="shared" si="40"/>
        <v>0</v>
      </c>
      <c r="Z67" s="252">
        <f t="shared" si="40"/>
        <v>0</v>
      </c>
      <c r="AA67" s="252">
        <f t="shared" si="40"/>
        <v>0</v>
      </c>
      <c r="AB67" s="252">
        <f t="shared" si="40"/>
        <v>0</v>
      </c>
      <c r="AC67" s="252">
        <f t="shared" si="40"/>
        <v>0</v>
      </c>
      <c r="AD67" s="252">
        <f t="shared" si="40"/>
        <v>0</v>
      </c>
      <c r="AE67" s="252">
        <f t="shared" si="40"/>
        <v>0</v>
      </c>
      <c r="AF67" s="252">
        <f t="shared" si="40"/>
        <v>0</v>
      </c>
      <c r="AG67" s="252">
        <f t="shared" si="40"/>
        <v>0</v>
      </c>
      <c r="AH67" s="252">
        <f t="shared" si="40"/>
        <v>0</v>
      </c>
      <c r="AI67" s="252">
        <f t="shared" si="40"/>
        <v>0</v>
      </c>
      <c r="AJ67" s="252">
        <f t="shared" si="40"/>
        <v>0</v>
      </c>
      <c r="AK67" s="252">
        <f t="shared" si="40"/>
        <v>0</v>
      </c>
      <c r="AL67" s="252">
        <f t="shared" si="40"/>
        <v>0</v>
      </c>
      <c r="AM67" s="252">
        <f t="shared" si="40"/>
        <v>0</v>
      </c>
      <c r="AN67" s="252">
        <f t="shared" si="40"/>
        <v>0</v>
      </c>
      <c r="AO67" s="252">
        <f t="shared" si="40"/>
        <v>0</v>
      </c>
      <c r="AP67" s="252">
        <f t="shared" si="40"/>
        <v>0</v>
      </c>
      <c r="AQ67" s="252">
        <f t="shared" si="40"/>
        <v>0</v>
      </c>
      <c r="AR67" s="252">
        <f t="shared" si="40"/>
        <v>0</v>
      </c>
      <c r="AS67" s="252">
        <f t="shared" si="40"/>
        <v>0</v>
      </c>
      <c r="AT67" s="252">
        <f t="shared" si="40"/>
        <v>0</v>
      </c>
      <c r="AU67" s="252">
        <f t="shared" si="40"/>
        <v>0</v>
      </c>
      <c r="AV67" s="252">
        <f t="shared" si="40"/>
        <v>0</v>
      </c>
      <c r="AW67" s="252">
        <f t="shared" si="40"/>
        <v>0</v>
      </c>
      <c r="AX67" s="252">
        <f t="shared" si="40"/>
        <v>0</v>
      </c>
      <c r="AY67" s="252">
        <f t="shared" si="40"/>
        <v>0</v>
      </c>
      <c r="AZ67" s="252">
        <f t="shared" si="40"/>
        <v>0</v>
      </c>
      <c r="BA67" s="252">
        <f t="shared" si="40"/>
        <v>0</v>
      </c>
      <c r="BB67" s="32"/>
    </row>
    <row r="68">
      <c r="A68" s="44">
        <v>1957.0</v>
      </c>
      <c r="B68" s="32"/>
      <c r="C68" s="32"/>
      <c r="D68" s="32"/>
      <c r="E68" s="32"/>
      <c r="F68" s="32"/>
      <c r="G68" s="32"/>
      <c r="H68" s="32"/>
      <c r="I68" s="32"/>
      <c r="J68" s="32"/>
      <c r="K68" s="32"/>
      <c r="L68" s="32"/>
      <c r="M68" s="32"/>
      <c r="N68" s="32"/>
      <c r="O68" s="32"/>
      <c r="P68" s="32"/>
      <c r="Q68" s="32"/>
      <c r="R68" s="32"/>
      <c r="S68" s="32"/>
      <c r="T68" s="32"/>
      <c r="U68" s="32"/>
      <c r="V68" s="769">
        <v>0.0</v>
      </c>
      <c r="W68" s="252">
        <f t="shared" si="14"/>
        <v>0</v>
      </c>
      <c r="X68" s="252">
        <f t="shared" ref="X68:BA68" si="41">IF(AND(X$41-$A68&gt;$V$27,SUM($W68:W68)&lt;&gt;$V68),$V68,0)</f>
        <v>0</v>
      </c>
      <c r="Y68" s="252">
        <f t="shared" si="41"/>
        <v>0</v>
      </c>
      <c r="Z68" s="252">
        <f t="shared" si="41"/>
        <v>0</v>
      </c>
      <c r="AA68" s="252">
        <f t="shared" si="41"/>
        <v>0</v>
      </c>
      <c r="AB68" s="252">
        <f t="shared" si="41"/>
        <v>0</v>
      </c>
      <c r="AC68" s="252">
        <f t="shared" si="41"/>
        <v>0</v>
      </c>
      <c r="AD68" s="252">
        <f t="shared" si="41"/>
        <v>0</v>
      </c>
      <c r="AE68" s="252">
        <f t="shared" si="41"/>
        <v>0</v>
      </c>
      <c r="AF68" s="252">
        <f t="shared" si="41"/>
        <v>0</v>
      </c>
      <c r="AG68" s="252">
        <f t="shared" si="41"/>
        <v>0</v>
      </c>
      <c r="AH68" s="252">
        <f t="shared" si="41"/>
        <v>0</v>
      </c>
      <c r="AI68" s="252">
        <f t="shared" si="41"/>
        <v>0</v>
      </c>
      <c r="AJ68" s="252">
        <f t="shared" si="41"/>
        <v>0</v>
      </c>
      <c r="AK68" s="252">
        <f t="shared" si="41"/>
        <v>0</v>
      </c>
      <c r="AL68" s="252">
        <f t="shared" si="41"/>
        <v>0</v>
      </c>
      <c r="AM68" s="252">
        <f t="shared" si="41"/>
        <v>0</v>
      </c>
      <c r="AN68" s="252">
        <f t="shared" si="41"/>
        <v>0</v>
      </c>
      <c r="AO68" s="252">
        <f t="shared" si="41"/>
        <v>0</v>
      </c>
      <c r="AP68" s="252">
        <f t="shared" si="41"/>
        <v>0</v>
      </c>
      <c r="AQ68" s="252">
        <f t="shared" si="41"/>
        <v>0</v>
      </c>
      <c r="AR68" s="252">
        <f t="shared" si="41"/>
        <v>0</v>
      </c>
      <c r="AS68" s="252">
        <f t="shared" si="41"/>
        <v>0</v>
      </c>
      <c r="AT68" s="252">
        <f t="shared" si="41"/>
        <v>0</v>
      </c>
      <c r="AU68" s="252">
        <f t="shared" si="41"/>
        <v>0</v>
      </c>
      <c r="AV68" s="252">
        <f t="shared" si="41"/>
        <v>0</v>
      </c>
      <c r="AW68" s="252">
        <f t="shared" si="41"/>
        <v>0</v>
      </c>
      <c r="AX68" s="252">
        <f t="shared" si="41"/>
        <v>0</v>
      </c>
      <c r="AY68" s="252">
        <f t="shared" si="41"/>
        <v>0</v>
      </c>
      <c r="AZ68" s="252">
        <f t="shared" si="41"/>
        <v>0</v>
      </c>
      <c r="BA68" s="252">
        <f t="shared" si="41"/>
        <v>0</v>
      </c>
      <c r="BB68" s="32"/>
    </row>
    <row r="69">
      <c r="A69" s="44">
        <v>1958.0</v>
      </c>
      <c r="B69" s="32"/>
      <c r="C69" s="32"/>
      <c r="D69" s="32"/>
      <c r="E69" s="32"/>
      <c r="F69" s="32"/>
      <c r="G69" s="32"/>
      <c r="H69" s="32"/>
      <c r="I69" s="32"/>
      <c r="J69" s="32"/>
      <c r="K69" s="32"/>
      <c r="L69" s="32"/>
      <c r="M69" s="32"/>
      <c r="N69" s="32"/>
      <c r="O69" s="32"/>
      <c r="P69" s="32"/>
      <c r="Q69" s="32"/>
      <c r="R69" s="32"/>
      <c r="S69" s="32"/>
      <c r="T69" s="32"/>
      <c r="U69" s="32"/>
      <c r="V69" s="769">
        <v>0.0</v>
      </c>
      <c r="W69" s="252">
        <f t="shared" si="14"/>
        <v>0</v>
      </c>
      <c r="X69" s="252">
        <f t="shared" ref="X69:BA69" si="42">IF(AND(X$41-$A69&gt;$V$27,SUM($W69:W69)&lt;&gt;$V69),$V69,0)</f>
        <v>0</v>
      </c>
      <c r="Y69" s="252">
        <f t="shared" si="42"/>
        <v>0</v>
      </c>
      <c r="Z69" s="252">
        <f t="shared" si="42"/>
        <v>0</v>
      </c>
      <c r="AA69" s="252">
        <f t="shared" si="42"/>
        <v>0</v>
      </c>
      <c r="AB69" s="252">
        <f t="shared" si="42"/>
        <v>0</v>
      </c>
      <c r="AC69" s="252">
        <f t="shared" si="42"/>
        <v>0</v>
      </c>
      <c r="AD69" s="252">
        <f t="shared" si="42"/>
        <v>0</v>
      </c>
      <c r="AE69" s="252">
        <f t="shared" si="42"/>
        <v>0</v>
      </c>
      <c r="AF69" s="252">
        <f t="shared" si="42"/>
        <v>0</v>
      </c>
      <c r="AG69" s="252">
        <f t="shared" si="42"/>
        <v>0</v>
      </c>
      <c r="AH69" s="252">
        <f t="shared" si="42"/>
        <v>0</v>
      </c>
      <c r="AI69" s="252">
        <f t="shared" si="42"/>
        <v>0</v>
      </c>
      <c r="AJ69" s="252">
        <f t="shared" si="42"/>
        <v>0</v>
      </c>
      <c r="AK69" s="252">
        <f t="shared" si="42"/>
        <v>0</v>
      </c>
      <c r="AL69" s="252">
        <f t="shared" si="42"/>
        <v>0</v>
      </c>
      <c r="AM69" s="252">
        <f t="shared" si="42"/>
        <v>0</v>
      </c>
      <c r="AN69" s="252">
        <f t="shared" si="42"/>
        <v>0</v>
      </c>
      <c r="AO69" s="252">
        <f t="shared" si="42"/>
        <v>0</v>
      </c>
      <c r="AP69" s="252">
        <f t="shared" si="42"/>
        <v>0</v>
      </c>
      <c r="AQ69" s="252">
        <f t="shared" si="42"/>
        <v>0</v>
      </c>
      <c r="AR69" s="252">
        <f t="shared" si="42"/>
        <v>0</v>
      </c>
      <c r="AS69" s="252">
        <f t="shared" si="42"/>
        <v>0</v>
      </c>
      <c r="AT69" s="252">
        <f t="shared" si="42"/>
        <v>0</v>
      </c>
      <c r="AU69" s="252">
        <f t="shared" si="42"/>
        <v>0</v>
      </c>
      <c r="AV69" s="252">
        <f t="shared" si="42"/>
        <v>0</v>
      </c>
      <c r="AW69" s="252">
        <f t="shared" si="42"/>
        <v>0</v>
      </c>
      <c r="AX69" s="252">
        <f t="shared" si="42"/>
        <v>0</v>
      </c>
      <c r="AY69" s="252">
        <f t="shared" si="42"/>
        <v>0</v>
      </c>
      <c r="AZ69" s="252">
        <f t="shared" si="42"/>
        <v>0</v>
      </c>
      <c r="BA69" s="252">
        <f t="shared" si="42"/>
        <v>0</v>
      </c>
      <c r="BB69" s="32"/>
    </row>
    <row r="70">
      <c r="A70" s="44">
        <v>1959.0</v>
      </c>
      <c r="B70" s="32"/>
      <c r="C70" s="32"/>
      <c r="D70" s="32"/>
      <c r="E70" s="32"/>
      <c r="F70" s="32"/>
      <c r="G70" s="32"/>
      <c r="H70" s="32"/>
      <c r="I70" s="32"/>
      <c r="J70" s="32"/>
      <c r="K70" s="32"/>
      <c r="L70" s="32"/>
      <c r="M70" s="32"/>
      <c r="N70" s="32"/>
      <c r="O70" s="32"/>
      <c r="P70" s="32"/>
      <c r="Q70" s="32"/>
      <c r="R70" s="32"/>
      <c r="S70" s="32"/>
      <c r="T70" s="32"/>
      <c r="U70" s="32"/>
      <c r="V70" s="769">
        <v>0.0</v>
      </c>
      <c r="W70" s="252">
        <f t="shared" si="14"/>
        <v>0</v>
      </c>
      <c r="X70" s="252">
        <f t="shared" ref="X70:BA70" si="43">IF(AND(X$41-$A70&gt;$V$27,SUM($W70:W70)&lt;&gt;$V70),$V70,0)</f>
        <v>0</v>
      </c>
      <c r="Y70" s="252">
        <f t="shared" si="43"/>
        <v>0</v>
      </c>
      <c r="Z70" s="252">
        <f t="shared" si="43"/>
        <v>0</v>
      </c>
      <c r="AA70" s="252">
        <f t="shared" si="43"/>
        <v>0</v>
      </c>
      <c r="AB70" s="252">
        <f t="shared" si="43"/>
        <v>0</v>
      </c>
      <c r="AC70" s="252">
        <f t="shared" si="43"/>
        <v>0</v>
      </c>
      <c r="AD70" s="252">
        <f t="shared" si="43"/>
        <v>0</v>
      </c>
      <c r="AE70" s="252">
        <f t="shared" si="43"/>
        <v>0</v>
      </c>
      <c r="AF70" s="252">
        <f t="shared" si="43"/>
        <v>0</v>
      </c>
      <c r="AG70" s="252">
        <f t="shared" si="43"/>
        <v>0</v>
      </c>
      <c r="AH70" s="252">
        <f t="shared" si="43"/>
        <v>0</v>
      </c>
      <c r="AI70" s="252">
        <f t="shared" si="43"/>
        <v>0</v>
      </c>
      <c r="AJ70" s="252">
        <f t="shared" si="43"/>
        <v>0</v>
      </c>
      <c r="AK70" s="252">
        <f t="shared" si="43"/>
        <v>0</v>
      </c>
      <c r="AL70" s="252">
        <f t="shared" si="43"/>
        <v>0</v>
      </c>
      <c r="AM70" s="252">
        <f t="shared" si="43"/>
        <v>0</v>
      </c>
      <c r="AN70" s="252">
        <f t="shared" si="43"/>
        <v>0</v>
      </c>
      <c r="AO70" s="252">
        <f t="shared" si="43"/>
        <v>0</v>
      </c>
      <c r="AP70" s="252">
        <f t="shared" si="43"/>
        <v>0</v>
      </c>
      <c r="AQ70" s="252">
        <f t="shared" si="43"/>
        <v>0</v>
      </c>
      <c r="AR70" s="252">
        <f t="shared" si="43"/>
        <v>0</v>
      </c>
      <c r="AS70" s="252">
        <f t="shared" si="43"/>
        <v>0</v>
      </c>
      <c r="AT70" s="252">
        <f t="shared" si="43"/>
        <v>0</v>
      </c>
      <c r="AU70" s="252">
        <f t="shared" si="43"/>
        <v>0</v>
      </c>
      <c r="AV70" s="252">
        <f t="shared" si="43"/>
        <v>0</v>
      </c>
      <c r="AW70" s="252">
        <f t="shared" si="43"/>
        <v>0</v>
      </c>
      <c r="AX70" s="252">
        <f t="shared" si="43"/>
        <v>0</v>
      </c>
      <c r="AY70" s="252">
        <f t="shared" si="43"/>
        <v>0</v>
      </c>
      <c r="AZ70" s="252">
        <f t="shared" si="43"/>
        <v>0</v>
      </c>
      <c r="BA70" s="252">
        <f t="shared" si="43"/>
        <v>0</v>
      </c>
      <c r="BB70" s="32"/>
    </row>
    <row r="71">
      <c r="A71" s="44">
        <v>1960.0</v>
      </c>
      <c r="B71" s="32"/>
      <c r="C71" s="32"/>
      <c r="D71" s="32"/>
      <c r="E71" s="32"/>
      <c r="F71" s="32"/>
      <c r="G71" s="32"/>
      <c r="H71" s="32"/>
      <c r="I71" s="32"/>
      <c r="J71" s="32"/>
      <c r="K71" s="32"/>
      <c r="L71" s="32"/>
      <c r="M71" s="32"/>
      <c r="N71" s="32"/>
      <c r="O71" s="32"/>
      <c r="P71" s="32"/>
      <c r="Q71" s="32"/>
      <c r="R71" s="32"/>
      <c r="S71" s="32"/>
      <c r="T71" s="32"/>
      <c r="U71" s="32"/>
      <c r="V71" s="769">
        <v>0.0</v>
      </c>
      <c r="W71" s="252">
        <f t="shared" si="14"/>
        <v>0</v>
      </c>
      <c r="X71" s="252">
        <f t="shared" ref="X71:BA71" si="44">IF(AND(X$41-$A71&gt;$V$27,SUM($W71:W71)&lt;&gt;$V71),$V71,0)</f>
        <v>0</v>
      </c>
      <c r="Y71" s="252">
        <f t="shared" si="44"/>
        <v>0</v>
      </c>
      <c r="Z71" s="252">
        <f t="shared" si="44"/>
        <v>0</v>
      </c>
      <c r="AA71" s="252">
        <f t="shared" si="44"/>
        <v>0</v>
      </c>
      <c r="AB71" s="252">
        <f t="shared" si="44"/>
        <v>0</v>
      </c>
      <c r="AC71" s="252">
        <f t="shared" si="44"/>
        <v>0</v>
      </c>
      <c r="AD71" s="252">
        <f t="shared" si="44"/>
        <v>0</v>
      </c>
      <c r="AE71" s="252">
        <f t="shared" si="44"/>
        <v>0</v>
      </c>
      <c r="AF71" s="252">
        <f t="shared" si="44"/>
        <v>0</v>
      </c>
      <c r="AG71" s="252">
        <f t="shared" si="44"/>
        <v>0</v>
      </c>
      <c r="AH71" s="252">
        <f t="shared" si="44"/>
        <v>0</v>
      </c>
      <c r="AI71" s="252">
        <f t="shared" si="44"/>
        <v>0</v>
      </c>
      <c r="AJ71" s="252">
        <f t="shared" si="44"/>
        <v>0</v>
      </c>
      <c r="AK71" s="252">
        <f t="shared" si="44"/>
        <v>0</v>
      </c>
      <c r="AL71" s="252">
        <f t="shared" si="44"/>
        <v>0</v>
      </c>
      <c r="AM71" s="252">
        <f t="shared" si="44"/>
        <v>0</v>
      </c>
      <c r="AN71" s="252">
        <f t="shared" si="44"/>
        <v>0</v>
      </c>
      <c r="AO71" s="252">
        <f t="shared" si="44"/>
        <v>0</v>
      </c>
      <c r="AP71" s="252">
        <f t="shared" si="44"/>
        <v>0</v>
      </c>
      <c r="AQ71" s="252">
        <f t="shared" si="44"/>
        <v>0</v>
      </c>
      <c r="AR71" s="252">
        <f t="shared" si="44"/>
        <v>0</v>
      </c>
      <c r="AS71" s="252">
        <f t="shared" si="44"/>
        <v>0</v>
      </c>
      <c r="AT71" s="252">
        <f t="shared" si="44"/>
        <v>0</v>
      </c>
      <c r="AU71" s="252">
        <f t="shared" si="44"/>
        <v>0</v>
      </c>
      <c r="AV71" s="252">
        <f t="shared" si="44"/>
        <v>0</v>
      </c>
      <c r="AW71" s="252">
        <f t="shared" si="44"/>
        <v>0</v>
      </c>
      <c r="AX71" s="252">
        <f t="shared" si="44"/>
        <v>0</v>
      </c>
      <c r="AY71" s="252">
        <f t="shared" si="44"/>
        <v>0</v>
      </c>
      <c r="AZ71" s="252">
        <f t="shared" si="44"/>
        <v>0</v>
      </c>
      <c r="BA71" s="252">
        <f t="shared" si="44"/>
        <v>0</v>
      </c>
      <c r="BB71" s="32"/>
    </row>
    <row r="72">
      <c r="A72" s="44">
        <v>1961.0</v>
      </c>
      <c r="B72" s="32"/>
      <c r="C72" s="32"/>
      <c r="D72" s="32"/>
      <c r="E72" s="32"/>
      <c r="F72" s="32"/>
      <c r="G72" s="32"/>
      <c r="H72" s="32"/>
      <c r="I72" s="32"/>
      <c r="J72" s="32"/>
      <c r="K72" s="32"/>
      <c r="L72" s="32"/>
      <c r="M72" s="32"/>
      <c r="N72" s="32"/>
      <c r="O72" s="32"/>
      <c r="P72" s="32"/>
      <c r="Q72" s="32"/>
      <c r="R72" s="32"/>
      <c r="S72" s="32"/>
      <c r="T72" s="32"/>
      <c r="U72" s="32"/>
      <c r="V72" s="769">
        <v>0.0</v>
      </c>
      <c r="W72" s="252">
        <f t="shared" si="14"/>
        <v>0</v>
      </c>
      <c r="X72" s="252">
        <f t="shared" ref="X72:BA72" si="45">IF(AND(X$41-$A72&gt;$V$27,SUM($W72:W72)&lt;&gt;$V72),$V72,0)</f>
        <v>0</v>
      </c>
      <c r="Y72" s="252">
        <f t="shared" si="45"/>
        <v>0</v>
      </c>
      <c r="Z72" s="252">
        <f t="shared" si="45"/>
        <v>0</v>
      </c>
      <c r="AA72" s="252">
        <f t="shared" si="45"/>
        <v>0</v>
      </c>
      <c r="AB72" s="252">
        <f t="shared" si="45"/>
        <v>0</v>
      </c>
      <c r="AC72" s="252">
        <f t="shared" si="45"/>
        <v>0</v>
      </c>
      <c r="AD72" s="252">
        <f t="shared" si="45"/>
        <v>0</v>
      </c>
      <c r="AE72" s="252">
        <f t="shared" si="45"/>
        <v>0</v>
      </c>
      <c r="AF72" s="252">
        <f t="shared" si="45"/>
        <v>0</v>
      </c>
      <c r="AG72" s="252">
        <f t="shared" si="45"/>
        <v>0</v>
      </c>
      <c r="AH72" s="252">
        <f t="shared" si="45"/>
        <v>0</v>
      </c>
      <c r="AI72" s="252">
        <f t="shared" si="45"/>
        <v>0</v>
      </c>
      <c r="AJ72" s="252">
        <f t="shared" si="45"/>
        <v>0</v>
      </c>
      <c r="AK72" s="252">
        <f t="shared" si="45"/>
        <v>0</v>
      </c>
      <c r="AL72" s="252">
        <f t="shared" si="45"/>
        <v>0</v>
      </c>
      <c r="AM72" s="252">
        <f t="shared" si="45"/>
        <v>0</v>
      </c>
      <c r="AN72" s="252">
        <f t="shared" si="45"/>
        <v>0</v>
      </c>
      <c r="AO72" s="252">
        <f t="shared" si="45"/>
        <v>0</v>
      </c>
      <c r="AP72" s="252">
        <f t="shared" si="45"/>
        <v>0</v>
      </c>
      <c r="AQ72" s="252">
        <f t="shared" si="45"/>
        <v>0</v>
      </c>
      <c r="AR72" s="252">
        <f t="shared" si="45"/>
        <v>0</v>
      </c>
      <c r="AS72" s="252">
        <f t="shared" si="45"/>
        <v>0</v>
      </c>
      <c r="AT72" s="252">
        <f t="shared" si="45"/>
        <v>0</v>
      </c>
      <c r="AU72" s="252">
        <f t="shared" si="45"/>
        <v>0</v>
      </c>
      <c r="AV72" s="252">
        <f t="shared" si="45"/>
        <v>0</v>
      </c>
      <c r="AW72" s="252">
        <f t="shared" si="45"/>
        <v>0</v>
      </c>
      <c r="AX72" s="252">
        <f t="shared" si="45"/>
        <v>0</v>
      </c>
      <c r="AY72" s="252">
        <f t="shared" si="45"/>
        <v>0</v>
      </c>
      <c r="AZ72" s="252">
        <f t="shared" si="45"/>
        <v>0</v>
      </c>
      <c r="BA72" s="252">
        <f t="shared" si="45"/>
        <v>0</v>
      </c>
      <c r="BB72" s="32"/>
    </row>
    <row r="73">
      <c r="A73" s="44">
        <v>1962.0</v>
      </c>
      <c r="B73" s="32"/>
      <c r="C73" s="32"/>
      <c r="D73" s="32"/>
      <c r="E73" s="32"/>
      <c r="F73" s="32"/>
      <c r="G73" s="32"/>
      <c r="H73" s="32"/>
      <c r="I73" s="32"/>
      <c r="J73" s="32"/>
      <c r="K73" s="32"/>
      <c r="L73" s="32"/>
      <c r="M73" s="32"/>
      <c r="N73" s="32"/>
      <c r="O73" s="32"/>
      <c r="P73" s="32"/>
      <c r="Q73" s="32"/>
      <c r="R73" s="32"/>
      <c r="S73" s="32"/>
      <c r="T73" s="32"/>
      <c r="U73" s="32"/>
      <c r="V73" s="769">
        <v>0.0</v>
      </c>
      <c r="W73" s="252">
        <f t="shared" si="14"/>
        <v>0</v>
      </c>
      <c r="X73" s="252">
        <f t="shared" ref="X73:BA73" si="46">IF(AND(X$41-$A73&gt;$V$27,SUM($W73:W73)&lt;&gt;$V73),$V73,0)</f>
        <v>0</v>
      </c>
      <c r="Y73" s="252">
        <f t="shared" si="46"/>
        <v>0</v>
      </c>
      <c r="Z73" s="252">
        <f t="shared" si="46"/>
        <v>0</v>
      </c>
      <c r="AA73" s="252">
        <f t="shared" si="46"/>
        <v>0</v>
      </c>
      <c r="AB73" s="252">
        <f t="shared" si="46"/>
        <v>0</v>
      </c>
      <c r="AC73" s="252">
        <f t="shared" si="46"/>
        <v>0</v>
      </c>
      <c r="AD73" s="252">
        <f t="shared" si="46"/>
        <v>0</v>
      </c>
      <c r="AE73" s="252">
        <f t="shared" si="46"/>
        <v>0</v>
      </c>
      <c r="AF73" s="252">
        <f t="shared" si="46"/>
        <v>0</v>
      </c>
      <c r="AG73" s="252">
        <f t="shared" si="46"/>
        <v>0</v>
      </c>
      <c r="AH73" s="252">
        <f t="shared" si="46"/>
        <v>0</v>
      </c>
      <c r="AI73" s="252">
        <f t="shared" si="46"/>
        <v>0</v>
      </c>
      <c r="AJ73" s="252">
        <f t="shared" si="46"/>
        <v>0</v>
      </c>
      <c r="AK73" s="252">
        <f t="shared" si="46"/>
        <v>0</v>
      </c>
      <c r="AL73" s="252">
        <f t="shared" si="46"/>
        <v>0</v>
      </c>
      <c r="AM73" s="252">
        <f t="shared" si="46"/>
        <v>0</v>
      </c>
      <c r="AN73" s="252">
        <f t="shared" si="46"/>
        <v>0</v>
      </c>
      <c r="AO73" s="252">
        <f t="shared" si="46"/>
        <v>0</v>
      </c>
      <c r="AP73" s="252">
        <f t="shared" si="46"/>
        <v>0</v>
      </c>
      <c r="AQ73" s="252">
        <f t="shared" si="46"/>
        <v>0</v>
      </c>
      <c r="AR73" s="252">
        <f t="shared" si="46"/>
        <v>0</v>
      </c>
      <c r="AS73" s="252">
        <f t="shared" si="46"/>
        <v>0</v>
      </c>
      <c r="AT73" s="252">
        <f t="shared" si="46"/>
        <v>0</v>
      </c>
      <c r="AU73" s="252">
        <f t="shared" si="46"/>
        <v>0</v>
      </c>
      <c r="AV73" s="252">
        <f t="shared" si="46"/>
        <v>0</v>
      </c>
      <c r="AW73" s="252">
        <f t="shared" si="46"/>
        <v>0</v>
      </c>
      <c r="AX73" s="252">
        <f t="shared" si="46"/>
        <v>0</v>
      </c>
      <c r="AY73" s="252">
        <f t="shared" si="46"/>
        <v>0</v>
      </c>
      <c r="AZ73" s="252">
        <f t="shared" si="46"/>
        <v>0</v>
      </c>
      <c r="BA73" s="252">
        <f t="shared" si="46"/>
        <v>0</v>
      </c>
      <c r="BB73" s="32"/>
    </row>
    <row r="74">
      <c r="A74" s="44">
        <v>1963.0</v>
      </c>
      <c r="B74" s="32"/>
      <c r="C74" s="32"/>
      <c r="D74" s="32"/>
      <c r="E74" s="32"/>
      <c r="F74" s="32"/>
      <c r="G74" s="32"/>
      <c r="H74" s="32"/>
      <c r="I74" s="32"/>
      <c r="J74" s="32"/>
      <c r="K74" s="32"/>
      <c r="L74" s="32"/>
      <c r="M74" s="32"/>
      <c r="N74" s="32"/>
      <c r="O74" s="32"/>
      <c r="P74" s="32"/>
      <c r="Q74" s="32"/>
      <c r="R74" s="32"/>
      <c r="S74" s="32"/>
      <c r="T74" s="32"/>
      <c r="U74" s="32"/>
      <c r="V74" s="769">
        <v>0.0</v>
      </c>
      <c r="W74" s="252">
        <f t="shared" si="14"/>
        <v>0</v>
      </c>
      <c r="X74" s="252">
        <f t="shared" ref="X74:BA74" si="47">IF(AND(X$41-$A74&gt;$V$27,SUM($W74:W74)&lt;&gt;$V74),$V74,0)</f>
        <v>0</v>
      </c>
      <c r="Y74" s="252">
        <f t="shared" si="47"/>
        <v>0</v>
      </c>
      <c r="Z74" s="252">
        <f t="shared" si="47"/>
        <v>0</v>
      </c>
      <c r="AA74" s="252">
        <f t="shared" si="47"/>
        <v>0</v>
      </c>
      <c r="AB74" s="252">
        <f t="shared" si="47"/>
        <v>0</v>
      </c>
      <c r="AC74" s="252">
        <f t="shared" si="47"/>
        <v>0</v>
      </c>
      <c r="AD74" s="252">
        <f t="shared" si="47"/>
        <v>0</v>
      </c>
      <c r="AE74" s="252">
        <f t="shared" si="47"/>
        <v>0</v>
      </c>
      <c r="AF74" s="252">
        <f t="shared" si="47"/>
        <v>0</v>
      </c>
      <c r="AG74" s="252">
        <f t="shared" si="47"/>
        <v>0</v>
      </c>
      <c r="AH74" s="252">
        <f t="shared" si="47"/>
        <v>0</v>
      </c>
      <c r="AI74" s="252">
        <f t="shared" si="47"/>
        <v>0</v>
      </c>
      <c r="AJ74" s="252">
        <f t="shared" si="47"/>
        <v>0</v>
      </c>
      <c r="AK74" s="252">
        <f t="shared" si="47"/>
        <v>0</v>
      </c>
      <c r="AL74" s="252">
        <f t="shared" si="47"/>
        <v>0</v>
      </c>
      <c r="AM74" s="252">
        <f t="shared" si="47"/>
        <v>0</v>
      </c>
      <c r="AN74" s="252">
        <f t="shared" si="47"/>
        <v>0</v>
      </c>
      <c r="AO74" s="252">
        <f t="shared" si="47"/>
        <v>0</v>
      </c>
      <c r="AP74" s="252">
        <f t="shared" si="47"/>
        <v>0</v>
      </c>
      <c r="AQ74" s="252">
        <f t="shared" si="47"/>
        <v>0</v>
      </c>
      <c r="AR74" s="252">
        <f t="shared" si="47"/>
        <v>0</v>
      </c>
      <c r="AS74" s="252">
        <f t="shared" si="47"/>
        <v>0</v>
      </c>
      <c r="AT74" s="252">
        <f t="shared" si="47"/>
        <v>0</v>
      </c>
      <c r="AU74" s="252">
        <f t="shared" si="47"/>
        <v>0</v>
      </c>
      <c r="AV74" s="252">
        <f t="shared" si="47"/>
        <v>0</v>
      </c>
      <c r="AW74" s="252">
        <f t="shared" si="47"/>
        <v>0</v>
      </c>
      <c r="AX74" s="252">
        <f t="shared" si="47"/>
        <v>0</v>
      </c>
      <c r="AY74" s="252">
        <f t="shared" si="47"/>
        <v>0</v>
      </c>
      <c r="AZ74" s="252">
        <f t="shared" si="47"/>
        <v>0</v>
      </c>
      <c r="BA74" s="252">
        <f t="shared" si="47"/>
        <v>0</v>
      </c>
      <c r="BB74" s="32"/>
    </row>
    <row r="75">
      <c r="A75" s="44">
        <v>1964.0</v>
      </c>
      <c r="B75" s="32"/>
      <c r="C75" s="32"/>
      <c r="D75" s="32"/>
      <c r="E75" s="32"/>
      <c r="F75" s="32"/>
      <c r="G75" s="32"/>
      <c r="H75" s="32"/>
      <c r="I75" s="32"/>
      <c r="J75" s="32"/>
      <c r="K75" s="32"/>
      <c r="L75" s="32"/>
      <c r="M75" s="32"/>
      <c r="N75" s="32"/>
      <c r="O75" s="32"/>
      <c r="P75" s="32"/>
      <c r="Q75" s="32"/>
      <c r="R75" s="32"/>
      <c r="S75" s="32"/>
      <c r="T75" s="32"/>
      <c r="U75" s="32"/>
      <c r="V75" s="769">
        <v>0.0</v>
      </c>
      <c r="W75" s="252">
        <f t="shared" si="14"/>
        <v>0</v>
      </c>
      <c r="X75" s="252">
        <f t="shared" ref="X75:BA75" si="48">IF(AND(X$41-$A75&gt;$V$27,SUM($W75:W75)&lt;&gt;$V75),$V75,0)</f>
        <v>0</v>
      </c>
      <c r="Y75" s="252">
        <f t="shared" si="48"/>
        <v>0</v>
      </c>
      <c r="Z75" s="252">
        <f t="shared" si="48"/>
        <v>0</v>
      </c>
      <c r="AA75" s="252">
        <f t="shared" si="48"/>
        <v>0</v>
      </c>
      <c r="AB75" s="252">
        <f t="shared" si="48"/>
        <v>0</v>
      </c>
      <c r="AC75" s="252">
        <f t="shared" si="48"/>
        <v>0</v>
      </c>
      <c r="AD75" s="252">
        <f t="shared" si="48"/>
        <v>0</v>
      </c>
      <c r="AE75" s="252">
        <f t="shared" si="48"/>
        <v>0</v>
      </c>
      <c r="AF75" s="252">
        <f t="shared" si="48"/>
        <v>0</v>
      </c>
      <c r="AG75" s="252">
        <f t="shared" si="48"/>
        <v>0</v>
      </c>
      <c r="AH75" s="252">
        <f t="shared" si="48"/>
        <v>0</v>
      </c>
      <c r="AI75" s="252">
        <f t="shared" si="48"/>
        <v>0</v>
      </c>
      <c r="AJ75" s="252">
        <f t="shared" si="48"/>
        <v>0</v>
      </c>
      <c r="AK75" s="252">
        <f t="shared" si="48"/>
        <v>0</v>
      </c>
      <c r="AL75" s="252">
        <f t="shared" si="48"/>
        <v>0</v>
      </c>
      <c r="AM75" s="252">
        <f t="shared" si="48"/>
        <v>0</v>
      </c>
      <c r="AN75" s="252">
        <f t="shared" si="48"/>
        <v>0</v>
      </c>
      <c r="AO75" s="252">
        <f t="shared" si="48"/>
        <v>0</v>
      </c>
      <c r="AP75" s="252">
        <f t="shared" si="48"/>
        <v>0</v>
      </c>
      <c r="AQ75" s="252">
        <f t="shared" si="48"/>
        <v>0</v>
      </c>
      <c r="AR75" s="252">
        <f t="shared" si="48"/>
        <v>0</v>
      </c>
      <c r="AS75" s="252">
        <f t="shared" si="48"/>
        <v>0</v>
      </c>
      <c r="AT75" s="252">
        <f t="shared" si="48"/>
        <v>0</v>
      </c>
      <c r="AU75" s="252">
        <f t="shared" si="48"/>
        <v>0</v>
      </c>
      <c r="AV75" s="252">
        <f t="shared" si="48"/>
        <v>0</v>
      </c>
      <c r="AW75" s="252">
        <f t="shared" si="48"/>
        <v>0</v>
      </c>
      <c r="AX75" s="252">
        <f t="shared" si="48"/>
        <v>0</v>
      </c>
      <c r="AY75" s="252">
        <f t="shared" si="48"/>
        <v>0</v>
      </c>
      <c r="AZ75" s="252">
        <f t="shared" si="48"/>
        <v>0</v>
      </c>
      <c r="BA75" s="252">
        <f t="shared" si="48"/>
        <v>0</v>
      </c>
      <c r="BB75" s="32"/>
    </row>
    <row r="76">
      <c r="A76" s="44">
        <v>1965.0</v>
      </c>
      <c r="B76" s="32"/>
      <c r="C76" s="32"/>
      <c r="D76" s="32"/>
      <c r="E76" s="32"/>
      <c r="F76" s="32"/>
      <c r="G76" s="32"/>
      <c r="H76" s="32"/>
      <c r="I76" s="32"/>
      <c r="J76" s="32"/>
      <c r="K76" s="32"/>
      <c r="L76" s="32"/>
      <c r="M76" s="32"/>
      <c r="N76" s="32"/>
      <c r="O76" s="32"/>
      <c r="P76" s="32"/>
      <c r="Q76" s="32"/>
      <c r="R76" s="32"/>
      <c r="S76" s="32"/>
      <c r="T76" s="32"/>
      <c r="U76" s="32"/>
      <c r="V76" s="769">
        <v>0.0</v>
      </c>
      <c r="W76" s="252">
        <f t="shared" si="14"/>
        <v>0</v>
      </c>
      <c r="X76" s="252">
        <f t="shared" ref="X76:BA76" si="49">IF(AND(X$41-$A76&gt;$V$27,SUM($W76:W76)&lt;&gt;$V76),$V76,0)</f>
        <v>0</v>
      </c>
      <c r="Y76" s="252">
        <f t="shared" si="49"/>
        <v>0</v>
      </c>
      <c r="Z76" s="252">
        <f t="shared" si="49"/>
        <v>0</v>
      </c>
      <c r="AA76" s="252">
        <f t="shared" si="49"/>
        <v>0</v>
      </c>
      <c r="AB76" s="252">
        <f t="shared" si="49"/>
        <v>0</v>
      </c>
      <c r="AC76" s="252">
        <f t="shared" si="49"/>
        <v>0</v>
      </c>
      <c r="AD76" s="252">
        <f t="shared" si="49"/>
        <v>0</v>
      </c>
      <c r="AE76" s="252">
        <f t="shared" si="49"/>
        <v>0</v>
      </c>
      <c r="AF76" s="252">
        <f t="shared" si="49"/>
        <v>0</v>
      </c>
      <c r="AG76" s="252">
        <f t="shared" si="49"/>
        <v>0</v>
      </c>
      <c r="AH76" s="252">
        <f t="shared" si="49"/>
        <v>0</v>
      </c>
      <c r="AI76" s="252">
        <f t="shared" si="49"/>
        <v>0</v>
      </c>
      <c r="AJ76" s="252">
        <f t="shared" si="49"/>
        <v>0</v>
      </c>
      <c r="AK76" s="252">
        <f t="shared" si="49"/>
        <v>0</v>
      </c>
      <c r="AL76" s="252">
        <f t="shared" si="49"/>
        <v>0</v>
      </c>
      <c r="AM76" s="252">
        <f t="shared" si="49"/>
        <v>0</v>
      </c>
      <c r="AN76" s="252">
        <f t="shared" si="49"/>
        <v>0</v>
      </c>
      <c r="AO76" s="252">
        <f t="shared" si="49"/>
        <v>0</v>
      </c>
      <c r="AP76" s="252">
        <f t="shared" si="49"/>
        <v>0</v>
      </c>
      <c r="AQ76" s="252">
        <f t="shared" si="49"/>
        <v>0</v>
      </c>
      <c r="AR76" s="252">
        <f t="shared" si="49"/>
        <v>0</v>
      </c>
      <c r="AS76" s="252">
        <f t="shared" si="49"/>
        <v>0</v>
      </c>
      <c r="AT76" s="252">
        <f t="shared" si="49"/>
        <v>0</v>
      </c>
      <c r="AU76" s="252">
        <f t="shared" si="49"/>
        <v>0</v>
      </c>
      <c r="AV76" s="252">
        <f t="shared" si="49"/>
        <v>0</v>
      </c>
      <c r="AW76" s="252">
        <f t="shared" si="49"/>
        <v>0</v>
      </c>
      <c r="AX76" s="252">
        <f t="shared" si="49"/>
        <v>0</v>
      </c>
      <c r="AY76" s="252">
        <f t="shared" si="49"/>
        <v>0</v>
      </c>
      <c r="AZ76" s="252">
        <f t="shared" si="49"/>
        <v>0</v>
      </c>
      <c r="BA76" s="252">
        <f t="shared" si="49"/>
        <v>0</v>
      </c>
      <c r="BB76" s="32"/>
    </row>
    <row r="77">
      <c r="A77" s="44">
        <v>1966.0</v>
      </c>
      <c r="B77" s="32"/>
      <c r="C77" s="32"/>
      <c r="D77" s="32"/>
      <c r="E77" s="32"/>
      <c r="F77" s="32"/>
      <c r="G77" s="32"/>
      <c r="H77" s="32"/>
      <c r="I77" s="32"/>
      <c r="J77" s="32"/>
      <c r="K77" s="32"/>
      <c r="L77" s="32"/>
      <c r="M77" s="32"/>
      <c r="N77" s="32"/>
      <c r="O77" s="32"/>
      <c r="P77" s="32"/>
      <c r="Q77" s="32"/>
      <c r="R77" s="32"/>
      <c r="S77" s="32"/>
      <c r="T77" s="32"/>
      <c r="U77" s="32"/>
      <c r="V77" s="769">
        <v>0.0</v>
      </c>
      <c r="W77" s="252">
        <f t="shared" si="14"/>
        <v>0</v>
      </c>
      <c r="X77" s="252">
        <f t="shared" ref="X77:BA77" si="50">IF(AND(X$41-$A77&gt;$V$27,SUM($W77:W77)&lt;&gt;$V77),$V77,0)</f>
        <v>0</v>
      </c>
      <c r="Y77" s="252">
        <f t="shared" si="50"/>
        <v>0</v>
      </c>
      <c r="Z77" s="252">
        <f t="shared" si="50"/>
        <v>0</v>
      </c>
      <c r="AA77" s="252">
        <f t="shared" si="50"/>
        <v>0</v>
      </c>
      <c r="AB77" s="252">
        <f t="shared" si="50"/>
        <v>0</v>
      </c>
      <c r="AC77" s="252">
        <f t="shared" si="50"/>
        <v>0</v>
      </c>
      <c r="AD77" s="252">
        <f t="shared" si="50"/>
        <v>0</v>
      </c>
      <c r="AE77" s="252">
        <f t="shared" si="50"/>
        <v>0</v>
      </c>
      <c r="AF77" s="252">
        <f t="shared" si="50"/>
        <v>0</v>
      </c>
      <c r="AG77" s="252">
        <f t="shared" si="50"/>
        <v>0</v>
      </c>
      <c r="AH77" s="252">
        <f t="shared" si="50"/>
        <v>0</v>
      </c>
      <c r="AI77" s="252">
        <f t="shared" si="50"/>
        <v>0</v>
      </c>
      <c r="AJ77" s="252">
        <f t="shared" si="50"/>
        <v>0</v>
      </c>
      <c r="AK77" s="252">
        <f t="shared" si="50"/>
        <v>0</v>
      </c>
      <c r="AL77" s="252">
        <f t="shared" si="50"/>
        <v>0</v>
      </c>
      <c r="AM77" s="252">
        <f t="shared" si="50"/>
        <v>0</v>
      </c>
      <c r="AN77" s="252">
        <f t="shared" si="50"/>
        <v>0</v>
      </c>
      <c r="AO77" s="252">
        <f t="shared" si="50"/>
        <v>0</v>
      </c>
      <c r="AP77" s="252">
        <f t="shared" si="50"/>
        <v>0</v>
      </c>
      <c r="AQ77" s="252">
        <f t="shared" si="50"/>
        <v>0</v>
      </c>
      <c r="AR77" s="252">
        <f t="shared" si="50"/>
        <v>0</v>
      </c>
      <c r="AS77" s="252">
        <f t="shared" si="50"/>
        <v>0</v>
      </c>
      <c r="AT77" s="252">
        <f t="shared" si="50"/>
        <v>0</v>
      </c>
      <c r="AU77" s="252">
        <f t="shared" si="50"/>
        <v>0</v>
      </c>
      <c r="AV77" s="252">
        <f t="shared" si="50"/>
        <v>0</v>
      </c>
      <c r="AW77" s="252">
        <f t="shared" si="50"/>
        <v>0</v>
      </c>
      <c r="AX77" s="252">
        <f t="shared" si="50"/>
        <v>0</v>
      </c>
      <c r="AY77" s="252">
        <f t="shared" si="50"/>
        <v>0</v>
      </c>
      <c r="AZ77" s="252">
        <f t="shared" si="50"/>
        <v>0</v>
      </c>
      <c r="BA77" s="252">
        <f t="shared" si="50"/>
        <v>0</v>
      </c>
      <c r="BB77" s="32"/>
    </row>
    <row r="78">
      <c r="A78" s="44">
        <v>1967.0</v>
      </c>
      <c r="B78" s="32"/>
      <c r="C78" s="32"/>
      <c r="D78" s="32"/>
      <c r="E78" s="32"/>
      <c r="F78" s="32"/>
      <c r="G78" s="32"/>
      <c r="H78" s="32"/>
      <c r="I78" s="32"/>
      <c r="J78" s="32"/>
      <c r="K78" s="32"/>
      <c r="L78" s="32"/>
      <c r="M78" s="32"/>
      <c r="N78" s="32"/>
      <c r="O78" s="32"/>
      <c r="P78" s="32"/>
      <c r="Q78" s="32"/>
      <c r="R78" s="32"/>
      <c r="S78" s="32"/>
      <c r="T78" s="32"/>
      <c r="U78" s="32"/>
      <c r="V78" s="769">
        <v>0.0</v>
      </c>
      <c r="W78" s="252">
        <f t="shared" si="14"/>
        <v>0</v>
      </c>
      <c r="X78" s="252">
        <f t="shared" ref="X78:BA78" si="51">IF(AND(X$41-$A78&gt;$V$27,SUM($W78:W78)&lt;&gt;$V78),$V78,0)</f>
        <v>0</v>
      </c>
      <c r="Y78" s="252">
        <f t="shared" si="51"/>
        <v>0</v>
      </c>
      <c r="Z78" s="252">
        <f t="shared" si="51"/>
        <v>0</v>
      </c>
      <c r="AA78" s="252">
        <f t="shared" si="51"/>
        <v>0</v>
      </c>
      <c r="AB78" s="252">
        <f t="shared" si="51"/>
        <v>0</v>
      </c>
      <c r="AC78" s="252">
        <f t="shared" si="51"/>
        <v>0</v>
      </c>
      <c r="AD78" s="252">
        <f t="shared" si="51"/>
        <v>0</v>
      </c>
      <c r="AE78" s="252">
        <f t="shared" si="51"/>
        <v>0</v>
      </c>
      <c r="AF78" s="252">
        <f t="shared" si="51"/>
        <v>0</v>
      </c>
      <c r="AG78" s="252">
        <f t="shared" si="51"/>
        <v>0</v>
      </c>
      <c r="AH78" s="252">
        <f t="shared" si="51"/>
        <v>0</v>
      </c>
      <c r="AI78" s="252">
        <f t="shared" si="51"/>
        <v>0</v>
      </c>
      <c r="AJ78" s="252">
        <f t="shared" si="51"/>
        <v>0</v>
      </c>
      <c r="AK78" s="252">
        <f t="shared" si="51"/>
        <v>0</v>
      </c>
      <c r="AL78" s="252">
        <f t="shared" si="51"/>
        <v>0</v>
      </c>
      <c r="AM78" s="252">
        <f t="shared" si="51"/>
        <v>0</v>
      </c>
      <c r="AN78" s="252">
        <f t="shared" si="51"/>
        <v>0</v>
      </c>
      <c r="AO78" s="252">
        <f t="shared" si="51"/>
        <v>0</v>
      </c>
      <c r="AP78" s="252">
        <f t="shared" si="51"/>
        <v>0</v>
      </c>
      <c r="AQ78" s="252">
        <f t="shared" si="51"/>
        <v>0</v>
      </c>
      <c r="AR78" s="252">
        <f t="shared" si="51"/>
        <v>0</v>
      </c>
      <c r="AS78" s="252">
        <f t="shared" si="51"/>
        <v>0</v>
      </c>
      <c r="AT78" s="252">
        <f t="shared" si="51"/>
        <v>0</v>
      </c>
      <c r="AU78" s="252">
        <f t="shared" si="51"/>
        <v>0</v>
      </c>
      <c r="AV78" s="252">
        <f t="shared" si="51"/>
        <v>0</v>
      </c>
      <c r="AW78" s="252">
        <f t="shared" si="51"/>
        <v>0</v>
      </c>
      <c r="AX78" s="252">
        <f t="shared" si="51"/>
        <v>0</v>
      </c>
      <c r="AY78" s="252">
        <f t="shared" si="51"/>
        <v>0</v>
      </c>
      <c r="AZ78" s="252">
        <f t="shared" si="51"/>
        <v>0</v>
      </c>
      <c r="BA78" s="252">
        <f t="shared" si="51"/>
        <v>0</v>
      </c>
      <c r="BB78" s="32"/>
    </row>
    <row r="79">
      <c r="A79" s="44">
        <v>1968.0</v>
      </c>
      <c r="B79" s="32"/>
      <c r="C79" s="32"/>
      <c r="D79" s="32"/>
      <c r="E79" s="32"/>
      <c r="F79" s="32"/>
      <c r="G79" s="32"/>
      <c r="H79" s="32"/>
      <c r="I79" s="32"/>
      <c r="J79" s="32"/>
      <c r="K79" s="32"/>
      <c r="L79" s="32"/>
      <c r="M79" s="32"/>
      <c r="N79" s="32"/>
      <c r="O79" s="32"/>
      <c r="P79" s="32"/>
      <c r="Q79" s="32"/>
      <c r="R79" s="32"/>
      <c r="S79" s="32"/>
      <c r="T79" s="32"/>
      <c r="U79" s="32"/>
      <c r="V79" s="769">
        <v>0.0</v>
      </c>
      <c r="W79" s="252">
        <f t="shared" si="14"/>
        <v>0</v>
      </c>
      <c r="X79" s="252">
        <f t="shared" ref="X79:BA79" si="52">IF(AND(X$41-$A79&gt;$V$27,SUM($W79:W79)&lt;&gt;$V79),$V79,0)</f>
        <v>0</v>
      </c>
      <c r="Y79" s="252">
        <f t="shared" si="52"/>
        <v>0</v>
      </c>
      <c r="Z79" s="252">
        <f t="shared" si="52"/>
        <v>0</v>
      </c>
      <c r="AA79" s="252">
        <f t="shared" si="52"/>
        <v>0</v>
      </c>
      <c r="AB79" s="252">
        <f t="shared" si="52"/>
        <v>0</v>
      </c>
      <c r="AC79" s="252">
        <f t="shared" si="52"/>
        <v>0</v>
      </c>
      <c r="AD79" s="252">
        <f t="shared" si="52"/>
        <v>0</v>
      </c>
      <c r="AE79" s="252">
        <f t="shared" si="52"/>
        <v>0</v>
      </c>
      <c r="AF79" s="252">
        <f t="shared" si="52"/>
        <v>0</v>
      </c>
      <c r="AG79" s="252">
        <f t="shared" si="52"/>
        <v>0</v>
      </c>
      <c r="AH79" s="252">
        <f t="shared" si="52"/>
        <v>0</v>
      </c>
      <c r="AI79" s="252">
        <f t="shared" si="52"/>
        <v>0</v>
      </c>
      <c r="AJ79" s="252">
        <f t="shared" si="52"/>
        <v>0</v>
      </c>
      <c r="AK79" s="252">
        <f t="shared" si="52"/>
        <v>0</v>
      </c>
      <c r="AL79" s="252">
        <f t="shared" si="52"/>
        <v>0</v>
      </c>
      <c r="AM79" s="252">
        <f t="shared" si="52"/>
        <v>0</v>
      </c>
      <c r="AN79" s="252">
        <f t="shared" si="52"/>
        <v>0</v>
      </c>
      <c r="AO79" s="252">
        <f t="shared" si="52"/>
        <v>0</v>
      </c>
      <c r="AP79" s="252">
        <f t="shared" si="52"/>
        <v>0</v>
      </c>
      <c r="AQ79" s="252">
        <f t="shared" si="52"/>
        <v>0</v>
      </c>
      <c r="AR79" s="252">
        <f t="shared" si="52"/>
        <v>0</v>
      </c>
      <c r="AS79" s="252">
        <f t="shared" si="52"/>
        <v>0</v>
      </c>
      <c r="AT79" s="252">
        <f t="shared" si="52"/>
        <v>0</v>
      </c>
      <c r="AU79" s="252">
        <f t="shared" si="52"/>
        <v>0</v>
      </c>
      <c r="AV79" s="252">
        <f t="shared" si="52"/>
        <v>0</v>
      </c>
      <c r="AW79" s="252">
        <f t="shared" si="52"/>
        <v>0</v>
      </c>
      <c r="AX79" s="252">
        <f t="shared" si="52"/>
        <v>0</v>
      </c>
      <c r="AY79" s="252">
        <f t="shared" si="52"/>
        <v>0</v>
      </c>
      <c r="AZ79" s="252">
        <f t="shared" si="52"/>
        <v>0</v>
      </c>
      <c r="BA79" s="252">
        <f t="shared" si="52"/>
        <v>0</v>
      </c>
      <c r="BB79" s="32"/>
    </row>
    <row r="80">
      <c r="A80" s="44">
        <v>1969.0</v>
      </c>
      <c r="B80" s="32"/>
      <c r="C80" s="32"/>
      <c r="D80" s="32"/>
      <c r="E80" s="32"/>
      <c r="F80" s="32"/>
      <c r="G80" s="32"/>
      <c r="H80" s="32"/>
      <c r="I80" s="32"/>
      <c r="J80" s="32"/>
      <c r="K80" s="32"/>
      <c r="L80" s="32"/>
      <c r="M80" s="32"/>
      <c r="N80" s="32"/>
      <c r="O80" s="32"/>
      <c r="P80" s="32"/>
      <c r="Q80" s="32"/>
      <c r="R80" s="32"/>
      <c r="S80" s="32"/>
      <c r="T80" s="32"/>
      <c r="U80" s="32"/>
      <c r="V80" s="769">
        <v>0.0</v>
      </c>
      <c r="W80" s="252">
        <f t="shared" si="14"/>
        <v>0</v>
      </c>
      <c r="X80" s="252">
        <f t="shared" ref="X80:BA80" si="53">IF(AND(X$41-$A80&gt;$V$27,SUM($W80:W80)&lt;&gt;$V80),$V80,0)</f>
        <v>0</v>
      </c>
      <c r="Y80" s="252">
        <f t="shared" si="53"/>
        <v>0</v>
      </c>
      <c r="Z80" s="252">
        <f t="shared" si="53"/>
        <v>0</v>
      </c>
      <c r="AA80" s="252">
        <f t="shared" si="53"/>
        <v>0</v>
      </c>
      <c r="AB80" s="252">
        <f t="shared" si="53"/>
        <v>0</v>
      </c>
      <c r="AC80" s="252">
        <f t="shared" si="53"/>
        <v>0</v>
      </c>
      <c r="AD80" s="252">
        <f t="shared" si="53"/>
        <v>0</v>
      </c>
      <c r="AE80" s="252">
        <f t="shared" si="53"/>
        <v>0</v>
      </c>
      <c r="AF80" s="252">
        <f t="shared" si="53"/>
        <v>0</v>
      </c>
      <c r="AG80" s="252">
        <f t="shared" si="53"/>
        <v>0</v>
      </c>
      <c r="AH80" s="252">
        <f t="shared" si="53"/>
        <v>0</v>
      </c>
      <c r="AI80" s="252">
        <f t="shared" si="53"/>
        <v>0</v>
      </c>
      <c r="AJ80" s="252">
        <f t="shared" si="53"/>
        <v>0</v>
      </c>
      <c r="AK80" s="252">
        <f t="shared" si="53"/>
        <v>0</v>
      </c>
      <c r="AL80" s="252">
        <f t="shared" si="53"/>
        <v>0</v>
      </c>
      <c r="AM80" s="252">
        <f t="shared" si="53"/>
        <v>0</v>
      </c>
      <c r="AN80" s="252">
        <f t="shared" si="53"/>
        <v>0</v>
      </c>
      <c r="AO80" s="252">
        <f t="shared" si="53"/>
        <v>0</v>
      </c>
      <c r="AP80" s="252">
        <f t="shared" si="53"/>
        <v>0</v>
      </c>
      <c r="AQ80" s="252">
        <f t="shared" si="53"/>
        <v>0</v>
      </c>
      <c r="AR80" s="252">
        <f t="shared" si="53"/>
        <v>0</v>
      </c>
      <c r="AS80" s="252">
        <f t="shared" si="53"/>
        <v>0</v>
      </c>
      <c r="AT80" s="252">
        <f t="shared" si="53"/>
        <v>0</v>
      </c>
      <c r="AU80" s="252">
        <f t="shared" si="53"/>
        <v>0</v>
      </c>
      <c r="AV80" s="252">
        <f t="shared" si="53"/>
        <v>0</v>
      </c>
      <c r="AW80" s="252">
        <f t="shared" si="53"/>
        <v>0</v>
      </c>
      <c r="AX80" s="252">
        <f t="shared" si="53"/>
        <v>0</v>
      </c>
      <c r="AY80" s="252">
        <f t="shared" si="53"/>
        <v>0</v>
      </c>
      <c r="AZ80" s="252">
        <f t="shared" si="53"/>
        <v>0</v>
      </c>
      <c r="BA80" s="252">
        <f t="shared" si="53"/>
        <v>0</v>
      </c>
      <c r="BB80" s="32"/>
    </row>
    <row r="81">
      <c r="A81" s="44">
        <v>1970.0</v>
      </c>
      <c r="B81" s="32"/>
      <c r="C81" s="32"/>
      <c r="D81" s="32"/>
      <c r="E81" s="32"/>
      <c r="F81" s="32"/>
      <c r="G81" s="32"/>
      <c r="H81" s="32"/>
      <c r="I81" s="32"/>
      <c r="J81" s="32"/>
      <c r="K81" s="32"/>
      <c r="L81" s="32"/>
      <c r="M81" s="32"/>
      <c r="N81" s="32"/>
      <c r="O81" s="32"/>
      <c r="P81" s="32"/>
      <c r="Q81" s="32"/>
      <c r="R81" s="32"/>
      <c r="S81" s="32"/>
      <c r="T81" s="32"/>
      <c r="U81" s="32"/>
      <c r="V81" s="769">
        <v>0.0</v>
      </c>
      <c r="W81" s="252">
        <f t="shared" si="14"/>
        <v>0</v>
      </c>
      <c r="X81" s="252">
        <f t="shared" ref="X81:BA81" si="54">IF(AND(X$41-$A81&gt;$V$27,SUM($W81:W81)&lt;&gt;$V81),$V81,0)</f>
        <v>0</v>
      </c>
      <c r="Y81" s="252">
        <f t="shared" si="54"/>
        <v>0</v>
      </c>
      <c r="Z81" s="252">
        <f t="shared" si="54"/>
        <v>0</v>
      </c>
      <c r="AA81" s="252">
        <f t="shared" si="54"/>
        <v>0</v>
      </c>
      <c r="AB81" s="252">
        <f t="shared" si="54"/>
        <v>0</v>
      </c>
      <c r="AC81" s="252">
        <f t="shared" si="54"/>
        <v>0</v>
      </c>
      <c r="AD81" s="252">
        <f t="shared" si="54"/>
        <v>0</v>
      </c>
      <c r="AE81" s="252">
        <f t="shared" si="54"/>
        <v>0</v>
      </c>
      <c r="AF81" s="252">
        <f t="shared" si="54"/>
        <v>0</v>
      </c>
      <c r="AG81" s="252">
        <f t="shared" si="54"/>
        <v>0</v>
      </c>
      <c r="AH81" s="252">
        <f t="shared" si="54"/>
        <v>0</v>
      </c>
      <c r="AI81" s="252">
        <f t="shared" si="54"/>
        <v>0</v>
      </c>
      <c r="AJ81" s="252">
        <f t="shared" si="54"/>
        <v>0</v>
      </c>
      <c r="AK81" s="252">
        <f t="shared" si="54"/>
        <v>0</v>
      </c>
      <c r="AL81" s="252">
        <f t="shared" si="54"/>
        <v>0</v>
      </c>
      <c r="AM81" s="252">
        <f t="shared" si="54"/>
        <v>0</v>
      </c>
      <c r="AN81" s="252">
        <f t="shared" si="54"/>
        <v>0</v>
      </c>
      <c r="AO81" s="252">
        <f t="shared" si="54"/>
        <v>0</v>
      </c>
      <c r="AP81" s="252">
        <f t="shared" si="54"/>
        <v>0</v>
      </c>
      <c r="AQ81" s="252">
        <f t="shared" si="54"/>
        <v>0</v>
      </c>
      <c r="AR81" s="252">
        <f t="shared" si="54"/>
        <v>0</v>
      </c>
      <c r="AS81" s="252">
        <f t="shared" si="54"/>
        <v>0</v>
      </c>
      <c r="AT81" s="252">
        <f t="shared" si="54"/>
        <v>0</v>
      </c>
      <c r="AU81" s="252">
        <f t="shared" si="54"/>
        <v>0</v>
      </c>
      <c r="AV81" s="252">
        <f t="shared" si="54"/>
        <v>0</v>
      </c>
      <c r="AW81" s="252">
        <f t="shared" si="54"/>
        <v>0</v>
      </c>
      <c r="AX81" s="252">
        <f t="shared" si="54"/>
        <v>0</v>
      </c>
      <c r="AY81" s="252">
        <f t="shared" si="54"/>
        <v>0</v>
      </c>
      <c r="AZ81" s="252">
        <f t="shared" si="54"/>
        <v>0</v>
      </c>
      <c r="BA81" s="252">
        <f t="shared" si="54"/>
        <v>0</v>
      </c>
      <c r="BB81" s="32"/>
    </row>
    <row r="82">
      <c r="A82" s="44">
        <v>1971.0</v>
      </c>
      <c r="B82" s="32"/>
      <c r="C82" s="32"/>
      <c r="D82" s="32"/>
      <c r="E82" s="32"/>
      <c r="F82" s="32"/>
      <c r="G82" s="32"/>
      <c r="H82" s="32"/>
      <c r="I82" s="32"/>
      <c r="J82" s="32"/>
      <c r="K82" s="32"/>
      <c r="L82" s="32"/>
      <c r="M82" s="32"/>
      <c r="N82" s="32"/>
      <c r="O82" s="32"/>
      <c r="P82" s="32"/>
      <c r="Q82" s="32"/>
      <c r="R82" s="32"/>
      <c r="S82" s="32"/>
      <c r="T82" s="32"/>
      <c r="U82" s="32"/>
      <c r="V82" s="769">
        <v>0.0</v>
      </c>
      <c r="W82" s="252">
        <f t="shared" si="14"/>
        <v>0</v>
      </c>
      <c r="X82" s="252">
        <f t="shared" ref="X82:BA82" si="55">IF(AND(X$41-$A82&gt;$V$27,SUM($W82:W82)&lt;&gt;$V82),$V82,0)</f>
        <v>0</v>
      </c>
      <c r="Y82" s="252">
        <f t="shared" si="55"/>
        <v>0</v>
      </c>
      <c r="Z82" s="252">
        <f t="shared" si="55"/>
        <v>0</v>
      </c>
      <c r="AA82" s="252">
        <f t="shared" si="55"/>
        <v>0</v>
      </c>
      <c r="AB82" s="252">
        <f t="shared" si="55"/>
        <v>0</v>
      </c>
      <c r="AC82" s="252">
        <f t="shared" si="55"/>
        <v>0</v>
      </c>
      <c r="AD82" s="252">
        <f t="shared" si="55"/>
        <v>0</v>
      </c>
      <c r="AE82" s="252">
        <f t="shared" si="55"/>
        <v>0</v>
      </c>
      <c r="AF82" s="252">
        <f t="shared" si="55"/>
        <v>0</v>
      </c>
      <c r="AG82" s="252">
        <f t="shared" si="55"/>
        <v>0</v>
      </c>
      <c r="AH82" s="252">
        <f t="shared" si="55"/>
        <v>0</v>
      </c>
      <c r="AI82" s="252">
        <f t="shared" si="55"/>
        <v>0</v>
      </c>
      <c r="AJ82" s="252">
        <f t="shared" si="55"/>
        <v>0</v>
      </c>
      <c r="AK82" s="252">
        <f t="shared" si="55"/>
        <v>0</v>
      </c>
      <c r="AL82" s="252">
        <f t="shared" si="55"/>
        <v>0</v>
      </c>
      <c r="AM82" s="252">
        <f t="shared" si="55"/>
        <v>0</v>
      </c>
      <c r="AN82" s="252">
        <f t="shared" si="55"/>
        <v>0</v>
      </c>
      <c r="AO82" s="252">
        <f t="shared" si="55"/>
        <v>0</v>
      </c>
      <c r="AP82" s="252">
        <f t="shared" si="55"/>
        <v>0</v>
      </c>
      <c r="AQ82" s="252">
        <f t="shared" si="55"/>
        <v>0</v>
      </c>
      <c r="AR82" s="252">
        <f t="shared" si="55"/>
        <v>0</v>
      </c>
      <c r="AS82" s="252">
        <f t="shared" si="55"/>
        <v>0</v>
      </c>
      <c r="AT82" s="252">
        <f t="shared" si="55"/>
        <v>0</v>
      </c>
      <c r="AU82" s="252">
        <f t="shared" si="55"/>
        <v>0</v>
      </c>
      <c r="AV82" s="252">
        <f t="shared" si="55"/>
        <v>0</v>
      </c>
      <c r="AW82" s="252">
        <f t="shared" si="55"/>
        <v>0</v>
      </c>
      <c r="AX82" s="252">
        <f t="shared" si="55"/>
        <v>0</v>
      </c>
      <c r="AY82" s="252">
        <f t="shared" si="55"/>
        <v>0</v>
      </c>
      <c r="AZ82" s="252">
        <f t="shared" si="55"/>
        <v>0</v>
      </c>
      <c r="BA82" s="252">
        <f t="shared" si="55"/>
        <v>0</v>
      </c>
      <c r="BB82" s="32"/>
    </row>
    <row r="83">
      <c r="A83" s="44">
        <v>1972.0</v>
      </c>
      <c r="B83" s="32"/>
      <c r="C83" s="32"/>
      <c r="D83" s="32"/>
      <c r="E83" s="32"/>
      <c r="F83" s="32"/>
      <c r="G83" s="32"/>
      <c r="H83" s="32"/>
      <c r="I83" s="32"/>
      <c r="J83" s="32"/>
      <c r="K83" s="32"/>
      <c r="L83" s="32"/>
      <c r="M83" s="32"/>
      <c r="N83" s="32"/>
      <c r="O83" s="32"/>
      <c r="P83" s="32"/>
      <c r="Q83" s="32"/>
      <c r="R83" s="32"/>
      <c r="S83" s="32"/>
      <c r="T83" s="32"/>
      <c r="U83" s="32"/>
      <c r="V83" s="769">
        <v>0.0</v>
      </c>
      <c r="W83" s="252">
        <f t="shared" si="14"/>
        <v>0</v>
      </c>
      <c r="X83" s="252">
        <f t="shared" ref="X83:BA83" si="56">IF(AND(X$41-$A83&gt;$V$27,SUM($W83:W83)&lt;&gt;$V83),$V83,0)</f>
        <v>0</v>
      </c>
      <c r="Y83" s="252">
        <f t="shared" si="56"/>
        <v>0</v>
      </c>
      <c r="Z83" s="252">
        <f t="shared" si="56"/>
        <v>0</v>
      </c>
      <c r="AA83" s="252">
        <f t="shared" si="56"/>
        <v>0</v>
      </c>
      <c r="AB83" s="252">
        <f t="shared" si="56"/>
        <v>0</v>
      </c>
      <c r="AC83" s="252">
        <f t="shared" si="56"/>
        <v>0</v>
      </c>
      <c r="AD83" s="252">
        <f t="shared" si="56"/>
        <v>0</v>
      </c>
      <c r="AE83" s="252">
        <f t="shared" si="56"/>
        <v>0</v>
      </c>
      <c r="AF83" s="252">
        <f t="shared" si="56"/>
        <v>0</v>
      </c>
      <c r="AG83" s="252">
        <f t="shared" si="56"/>
        <v>0</v>
      </c>
      <c r="AH83" s="252">
        <f t="shared" si="56"/>
        <v>0</v>
      </c>
      <c r="AI83" s="252">
        <f t="shared" si="56"/>
        <v>0</v>
      </c>
      <c r="AJ83" s="252">
        <f t="shared" si="56"/>
        <v>0</v>
      </c>
      <c r="AK83" s="252">
        <f t="shared" si="56"/>
        <v>0</v>
      </c>
      <c r="AL83" s="252">
        <f t="shared" si="56"/>
        <v>0</v>
      </c>
      <c r="AM83" s="252">
        <f t="shared" si="56"/>
        <v>0</v>
      </c>
      <c r="AN83" s="252">
        <f t="shared" si="56"/>
        <v>0</v>
      </c>
      <c r="AO83" s="252">
        <f t="shared" si="56"/>
        <v>0</v>
      </c>
      <c r="AP83" s="252">
        <f t="shared" si="56"/>
        <v>0</v>
      </c>
      <c r="AQ83" s="252">
        <f t="shared" si="56"/>
        <v>0</v>
      </c>
      <c r="AR83" s="252">
        <f t="shared" si="56"/>
        <v>0</v>
      </c>
      <c r="AS83" s="252">
        <f t="shared" si="56"/>
        <v>0</v>
      </c>
      <c r="AT83" s="252">
        <f t="shared" si="56"/>
        <v>0</v>
      </c>
      <c r="AU83" s="252">
        <f t="shared" si="56"/>
        <v>0</v>
      </c>
      <c r="AV83" s="252">
        <f t="shared" si="56"/>
        <v>0</v>
      </c>
      <c r="AW83" s="252">
        <f t="shared" si="56"/>
        <v>0</v>
      </c>
      <c r="AX83" s="252">
        <f t="shared" si="56"/>
        <v>0</v>
      </c>
      <c r="AY83" s="252">
        <f t="shared" si="56"/>
        <v>0</v>
      </c>
      <c r="AZ83" s="252">
        <f t="shared" si="56"/>
        <v>0</v>
      </c>
      <c r="BA83" s="252">
        <f t="shared" si="56"/>
        <v>0</v>
      </c>
      <c r="BB83" s="32"/>
    </row>
    <row r="84">
      <c r="A84" s="44">
        <v>1973.0</v>
      </c>
      <c r="B84" s="32"/>
      <c r="C84" s="32"/>
      <c r="D84" s="32"/>
      <c r="E84" s="32"/>
      <c r="F84" s="32"/>
      <c r="G84" s="32"/>
      <c r="H84" s="32"/>
      <c r="I84" s="32"/>
      <c r="J84" s="32"/>
      <c r="K84" s="32"/>
      <c r="L84" s="32"/>
      <c r="M84" s="32"/>
      <c r="N84" s="32"/>
      <c r="O84" s="32"/>
      <c r="P84" s="32"/>
      <c r="Q84" s="32"/>
      <c r="R84" s="32"/>
      <c r="S84" s="32"/>
      <c r="T84" s="32"/>
      <c r="U84" s="32"/>
      <c r="V84" s="769">
        <v>0.0</v>
      </c>
      <c r="W84" s="252">
        <f t="shared" si="14"/>
        <v>0</v>
      </c>
      <c r="X84" s="252">
        <f t="shared" ref="X84:BA84" si="57">IF(AND(X$41-$A84&gt;$V$27,SUM($W84:W84)&lt;&gt;$V84),$V84,0)</f>
        <v>0</v>
      </c>
      <c r="Y84" s="252">
        <f t="shared" si="57"/>
        <v>0</v>
      </c>
      <c r="Z84" s="252">
        <f t="shared" si="57"/>
        <v>0</v>
      </c>
      <c r="AA84" s="252">
        <f t="shared" si="57"/>
        <v>0</v>
      </c>
      <c r="AB84" s="252">
        <f t="shared" si="57"/>
        <v>0</v>
      </c>
      <c r="AC84" s="252">
        <f t="shared" si="57"/>
        <v>0</v>
      </c>
      <c r="AD84" s="252">
        <f t="shared" si="57"/>
        <v>0</v>
      </c>
      <c r="AE84" s="252">
        <f t="shared" si="57"/>
        <v>0</v>
      </c>
      <c r="AF84" s="252">
        <f t="shared" si="57"/>
        <v>0</v>
      </c>
      <c r="AG84" s="252">
        <f t="shared" si="57"/>
        <v>0</v>
      </c>
      <c r="AH84" s="252">
        <f t="shared" si="57"/>
        <v>0</v>
      </c>
      <c r="AI84" s="252">
        <f t="shared" si="57"/>
        <v>0</v>
      </c>
      <c r="AJ84" s="252">
        <f t="shared" si="57"/>
        <v>0</v>
      </c>
      <c r="AK84" s="252">
        <f t="shared" si="57"/>
        <v>0</v>
      </c>
      <c r="AL84" s="252">
        <f t="shared" si="57"/>
        <v>0</v>
      </c>
      <c r="AM84" s="252">
        <f t="shared" si="57"/>
        <v>0</v>
      </c>
      <c r="AN84" s="252">
        <f t="shared" si="57"/>
        <v>0</v>
      </c>
      <c r="AO84" s="252">
        <f t="shared" si="57"/>
        <v>0</v>
      </c>
      <c r="AP84" s="252">
        <f t="shared" si="57"/>
        <v>0</v>
      </c>
      <c r="AQ84" s="252">
        <f t="shared" si="57"/>
        <v>0</v>
      </c>
      <c r="AR84" s="252">
        <f t="shared" si="57"/>
        <v>0</v>
      </c>
      <c r="AS84" s="252">
        <f t="shared" si="57"/>
        <v>0</v>
      </c>
      <c r="AT84" s="252">
        <f t="shared" si="57"/>
        <v>0</v>
      </c>
      <c r="AU84" s="252">
        <f t="shared" si="57"/>
        <v>0</v>
      </c>
      <c r="AV84" s="252">
        <f t="shared" si="57"/>
        <v>0</v>
      </c>
      <c r="AW84" s="252">
        <f t="shared" si="57"/>
        <v>0</v>
      </c>
      <c r="AX84" s="252">
        <f t="shared" si="57"/>
        <v>0</v>
      </c>
      <c r="AY84" s="252">
        <f t="shared" si="57"/>
        <v>0</v>
      </c>
      <c r="AZ84" s="252">
        <f t="shared" si="57"/>
        <v>0</v>
      </c>
      <c r="BA84" s="252">
        <f t="shared" si="57"/>
        <v>0</v>
      </c>
      <c r="BB84" s="32"/>
    </row>
    <row r="85">
      <c r="A85" s="44">
        <v>1974.0</v>
      </c>
      <c r="B85" s="32"/>
      <c r="C85" s="32"/>
      <c r="D85" s="32"/>
      <c r="E85" s="32"/>
      <c r="F85" s="32"/>
      <c r="G85" s="32"/>
      <c r="H85" s="32"/>
      <c r="I85" s="32"/>
      <c r="J85" s="32"/>
      <c r="K85" s="32"/>
      <c r="L85" s="32"/>
      <c r="M85" s="32"/>
      <c r="N85" s="32"/>
      <c r="O85" s="32"/>
      <c r="P85" s="32"/>
      <c r="Q85" s="32"/>
      <c r="R85" s="32"/>
      <c r="S85" s="32"/>
      <c r="T85" s="32"/>
      <c r="U85" s="32"/>
      <c r="V85" s="769">
        <v>0.0</v>
      </c>
      <c r="W85" s="252">
        <f t="shared" si="14"/>
        <v>0</v>
      </c>
      <c r="X85" s="252">
        <f t="shared" ref="X85:BA85" si="58">IF(AND(X$41-$A85&gt;$V$27,SUM($W85:W85)&lt;&gt;$V85),$V85,0)</f>
        <v>0</v>
      </c>
      <c r="Y85" s="252">
        <f t="shared" si="58"/>
        <v>0</v>
      </c>
      <c r="Z85" s="252">
        <f t="shared" si="58"/>
        <v>0</v>
      </c>
      <c r="AA85" s="252">
        <f t="shared" si="58"/>
        <v>0</v>
      </c>
      <c r="AB85" s="252">
        <f t="shared" si="58"/>
        <v>0</v>
      </c>
      <c r="AC85" s="252">
        <f t="shared" si="58"/>
        <v>0</v>
      </c>
      <c r="AD85" s="252">
        <f t="shared" si="58"/>
        <v>0</v>
      </c>
      <c r="AE85" s="252">
        <f t="shared" si="58"/>
        <v>0</v>
      </c>
      <c r="AF85" s="252">
        <f t="shared" si="58"/>
        <v>0</v>
      </c>
      <c r="AG85" s="252">
        <f t="shared" si="58"/>
        <v>0</v>
      </c>
      <c r="AH85" s="252">
        <f t="shared" si="58"/>
        <v>0</v>
      </c>
      <c r="AI85" s="252">
        <f t="shared" si="58"/>
        <v>0</v>
      </c>
      <c r="AJ85" s="252">
        <f t="shared" si="58"/>
        <v>0</v>
      </c>
      <c r="AK85" s="252">
        <f t="shared" si="58"/>
        <v>0</v>
      </c>
      <c r="AL85" s="252">
        <f t="shared" si="58"/>
        <v>0</v>
      </c>
      <c r="AM85" s="252">
        <f t="shared" si="58"/>
        <v>0</v>
      </c>
      <c r="AN85" s="252">
        <f t="shared" si="58"/>
        <v>0</v>
      </c>
      <c r="AO85" s="252">
        <f t="shared" si="58"/>
        <v>0</v>
      </c>
      <c r="AP85" s="252">
        <f t="shared" si="58"/>
        <v>0</v>
      </c>
      <c r="AQ85" s="252">
        <f t="shared" si="58"/>
        <v>0</v>
      </c>
      <c r="AR85" s="252">
        <f t="shared" si="58"/>
        <v>0</v>
      </c>
      <c r="AS85" s="252">
        <f t="shared" si="58"/>
        <v>0</v>
      </c>
      <c r="AT85" s="252">
        <f t="shared" si="58"/>
        <v>0</v>
      </c>
      <c r="AU85" s="252">
        <f t="shared" si="58"/>
        <v>0</v>
      </c>
      <c r="AV85" s="252">
        <f t="shared" si="58"/>
        <v>0</v>
      </c>
      <c r="AW85" s="252">
        <f t="shared" si="58"/>
        <v>0</v>
      </c>
      <c r="AX85" s="252">
        <f t="shared" si="58"/>
        <v>0</v>
      </c>
      <c r="AY85" s="252">
        <f t="shared" si="58"/>
        <v>0</v>
      </c>
      <c r="AZ85" s="252">
        <f t="shared" si="58"/>
        <v>0</v>
      </c>
      <c r="BA85" s="252">
        <f t="shared" si="58"/>
        <v>0</v>
      </c>
      <c r="BB85" s="32"/>
    </row>
    <row r="86">
      <c r="A86" s="44">
        <v>1975.0</v>
      </c>
      <c r="B86" s="32"/>
      <c r="C86" s="32"/>
      <c r="D86" s="32"/>
      <c r="E86" s="32"/>
      <c r="F86" s="32"/>
      <c r="G86" s="32"/>
      <c r="H86" s="32"/>
      <c r="I86" s="32"/>
      <c r="J86" s="32"/>
      <c r="K86" s="32"/>
      <c r="L86" s="32"/>
      <c r="M86" s="32"/>
      <c r="N86" s="32"/>
      <c r="O86" s="32"/>
      <c r="P86" s="32"/>
      <c r="Q86" s="32"/>
      <c r="R86" s="32"/>
      <c r="S86" s="32"/>
      <c r="T86" s="32"/>
      <c r="U86" s="32"/>
      <c r="V86" s="769">
        <v>0.0</v>
      </c>
      <c r="W86" s="252">
        <f t="shared" si="14"/>
        <v>0</v>
      </c>
      <c r="X86" s="252">
        <f t="shared" ref="X86:BA86" si="59">IF(AND(X$41-$A86&gt;$V$27,SUM($W86:W86)&lt;&gt;$V86),$V86,0)</f>
        <v>0</v>
      </c>
      <c r="Y86" s="252">
        <f t="shared" si="59"/>
        <v>0</v>
      </c>
      <c r="Z86" s="252">
        <f t="shared" si="59"/>
        <v>0</v>
      </c>
      <c r="AA86" s="252">
        <f t="shared" si="59"/>
        <v>0</v>
      </c>
      <c r="AB86" s="252">
        <f t="shared" si="59"/>
        <v>0</v>
      </c>
      <c r="AC86" s="252">
        <f t="shared" si="59"/>
        <v>0</v>
      </c>
      <c r="AD86" s="252">
        <f t="shared" si="59"/>
        <v>0</v>
      </c>
      <c r="AE86" s="252">
        <f t="shared" si="59"/>
        <v>0</v>
      </c>
      <c r="AF86" s="252">
        <f t="shared" si="59"/>
        <v>0</v>
      </c>
      <c r="AG86" s="252">
        <f t="shared" si="59"/>
        <v>0</v>
      </c>
      <c r="AH86" s="252">
        <f t="shared" si="59"/>
        <v>0</v>
      </c>
      <c r="AI86" s="252">
        <f t="shared" si="59"/>
        <v>0</v>
      </c>
      <c r="AJ86" s="252">
        <f t="shared" si="59"/>
        <v>0</v>
      </c>
      <c r="AK86" s="252">
        <f t="shared" si="59"/>
        <v>0</v>
      </c>
      <c r="AL86" s="252">
        <f t="shared" si="59"/>
        <v>0</v>
      </c>
      <c r="AM86" s="252">
        <f t="shared" si="59"/>
        <v>0</v>
      </c>
      <c r="AN86" s="252">
        <f t="shared" si="59"/>
        <v>0</v>
      </c>
      <c r="AO86" s="252">
        <f t="shared" si="59"/>
        <v>0</v>
      </c>
      <c r="AP86" s="252">
        <f t="shared" si="59"/>
        <v>0</v>
      </c>
      <c r="AQ86" s="252">
        <f t="shared" si="59"/>
        <v>0</v>
      </c>
      <c r="AR86" s="252">
        <f t="shared" si="59"/>
        <v>0</v>
      </c>
      <c r="AS86" s="252">
        <f t="shared" si="59"/>
        <v>0</v>
      </c>
      <c r="AT86" s="252">
        <f t="shared" si="59"/>
        <v>0</v>
      </c>
      <c r="AU86" s="252">
        <f t="shared" si="59"/>
        <v>0</v>
      </c>
      <c r="AV86" s="252">
        <f t="shared" si="59"/>
        <v>0</v>
      </c>
      <c r="AW86" s="252">
        <f t="shared" si="59"/>
        <v>0</v>
      </c>
      <c r="AX86" s="252">
        <f t="shared" si="59"/>
        <v>0</v>
      </c>
      <c r="AY86" s="252">
        <f t="shared" si="59"/>
        <v>0</v>
      </c>
      <c r="AZ86" s="252">
        <f t="shared" si="59"/>
        <v>0</v>
      </c>
      <c r="BA86" s="252">
        <f t="shared" si="59"/>
        <v>0</v>
      </c>
      <c r="BB86" s="32"/>
    </row>
    <row r="87">
      <c r="A87" s="44">
        <v>1976.0</v>
      </c>
      <c r="B87" s="32"/>
      <c r="C87" s="32"/>
      <c r="D87" s="32"/>
      <c r="E87" s="32"/>
      <c r="F87" s="32"/>
      <c r="G87" s="32"/>
      <c r="H87" s="32"/>
      <c r="I87" s="32"/>
      <c r="J87" s="32"/>
      <c r="K87" s="32"/>
      <c r="L87" s="32"/>
      <c r="M87" s="32"/>
      <c r="N87" s="32"/>
      <c r="O87" s="32"/>
      <c r="P87" s="32"/>
      <c r="Q87" s="32"/>
      <c r="R87" s="32"/>
      <c r="S87" s="32"/>
      <c r="T87" s="32"/>
      <c r="U87" s="32"/>
      <c r="V87" s="769">
        <v>0.0</v>
      </c>
      <c r="W87" s="252">
        <f t="shared" si="14"/>
        <v>0</v>
      </c>
      <c r="X87" s="252">
        <f t="shared" ref="X87:BA87" si="60">IF(AND(X$41-$A87&gt;$V$27,SUM($W87:W87)&lt;&gt;$V87),$V87,0)</f>
        <v>0</v>
      </c>
      <c r="Y87" s="252">
        <f t="shared" si="60"/>
        <v>0</v>
      </c>
      <c r="Z87" s="252">
        <f t="shared" si="60"/>
        <v>0</v>
      </c>
      <c r="AA87" s="252">
        <f t="shared" si="60"/>
        <v>0</v>
      </c>
      <c r="AB87" s="252">
        <f t="shared" si="60"/>
        <v>0</v>
      </c>
      <c r="AC87" s="252">
        <f t="shared" si="60"/>
        <v>0</v>
      </c>
      <c r="AD87" s="252">
        <f t="shared" si="60"/>
        <v>0</v>
      </c>
      <c r="AE87" s="252">
        <f t="shared" si="60"/>
        <v>0</v>
      </c>
      <c r="AF87" s="252">
        <f t="shared" si="60"/>
        <v>0</v>
      </c>
      <c r="AG87" s="252">
        <f t="shared" si="60"/>
        <v>0</v>
      </c>
      <c r="AH87" s="252">
        <f t="shared" si="60"/>
        <v>0</v>
      </c>
      <c r="AI87" s="252">
        <f t="shared" si="60"/>
        <v>0</v>
      </c>
      <c r="AJ87" s="252">
        <f t="shared" si="60"/>
        <v>0</v>
      </c>
      <c r="AK87" s="252">
        <f t="shared" si="60"/>
        <v>0</v>
      </c>
      <c r="AL87" s="252">
        <f t="shared" si="60"/>
        <v>0</v>
      </c>
      <c r="AM87" s="252">
        <f t="shared" si="60"/>
        <v>0</v>
      </c>
      <c r="AN87" s="252">
        <f t="shared" si="60"/>
        <v>0</v>
      </c>
      <c r="AO87" s="252">
        <f t="shared" si="60"/>
        <v>0</v>
      </c>
      <c r="AP87" s="252">
        <f t="shared" si="60"/>
        <v>0</v>
      </c>
      <c r="AQ87" s="252">
        <f t="shared" si="60"/>
        <v>0</v>
      </c>
      <c r="AR87" s="252">
        <f t="shared" si="60"/>
        <v>0</v>
      </c>
      <c r="AS87" s="252">
        <f t="shared" si="60"/>
        <v>0</v>
      </c>
      <c r="AT87" s="252">
        <f t="shared" si="60"/>
        <v>0</v>
      </c>
      <c r="AU87" s="252">
        <f t="shared" si="60"/>
        <v>0</v>
      </c>
      <c r="AV87" s="252">
        <f t="shared" si="60"/>
        <v>0</v>
      </c>
      <c r="AW87" s="252">
        <f t="shared" si="60"/>
        <v>0</v>
      </c>
      <c r="AX87" s="252">
        <f t="shared" si="60"/>
        <v>0</v>
      </c>
      <c r="AY87" s="252">
        <f t="shared" si="60"/>
        <v>0</v>
      </c>
      <c r="AZ87" s="252">
        <f t="shared" si="60"/>
        <v>0</v>
      </c>
      <c r="BA87" s="252">
        <f t="shared" si="60"/>
        <v>0</v>
      </c>
      <c r="BB87" s="32"/>
    </row>
    <row r="88">
      <c r="A88" s="44">
        <v>1977.0</v>
      </c>
      <c r="B88" s="32"/>
      <c r="C88" s="32"/>
      <c r="D88" s="32"/>
      <c r="E88" s="32"/>
      <c r="F88" s="32"/>
      <c r="G88" s="32"/>
      <c r="H88" s="32"/>
      <c r="I88" s="32"/>
      <c r="J88" s="32"/>
      <c r="K88" s="32"/>
      <c r="L88" s="32"/>
      <c r="M88" s="32"/>
      <c r="N88" s="32"/>
      <c r="O88" s="32"/>
      <c r="P88" s="32"/>
      <c r="Q88" s="32"/>
      <c r="R88" s="32"/>
      <c r="S88" s="32"/>
      <c r="T88" s="32"/>
      <c r="U88" s="32"/>
      <c r="V88" s="769">
        <v>0.0</v>
      </c>
      <c r="W88" s="252">
        <f t="shared" si="14"/>
        <v>0</v>
      </c>
      <c r="X88" s="252">
        <f t="shared" ref="X88:BA88" si="61">IF(AND(X$41-$A88&gt;$V$27,SUM($W88:W88)&lt;&gt;$V88),$V88,0)</f>
        <v>0</v>
      </c>
      <c r="Y88" s="252">
        <f t="shared" si="61"/>
        <v>0</v>
      </c>
      <c r="Z88" s="252">
        <f t="shared" si="61"/>
        <v>0</v>
      </c>
      <c r="AA88" s="252">
        <f t="shared" si="61"/>
        <v>0</v>
      </c>
      <c r="AB88" s="252">
        <f t="shared" si="61"/>
        <v>0</v>
      </c>
      <c r="AC88" s="252">
        <f t="shared" si="61"/>
        <v>0</v>
      </c>
      <c r="AD88" s="252">
        <f t="shared" si="61"/>
        <v>0</v>
      </c>
      <c r="AE88" s="252">
        <f t="shared" si="61"/>
        <v>0</v>
      </c>
      <c r="AF88" s="252">
        <f t="shared" si="61"/>
        <v>0</v>
      </c>
      <c r="AG88" s="252">
        <f t="shared" si="61"/>
        <v>0</v>
      </c>
      <c r="AH88" s="252">
        <f t="shared" si="61"/>
        <v>0</v>
      </c>
      <c r="AI88" s="252">
        <f t="shared" si="61"/>
        <v>0</v>
      </c>
      <c r="AJ88" s="252">
        <f t="shared" si="61"/>
        <v>0</v>
      </c>
      <c r="AK88" s="252">
        <f t="shared" si="61"/>
        <v>0</v>
      </c>
      <c r="AL88" s="252">
        <f t="shared" si="61"/>
        <v>0</v>
      </c>
      <c r="AM88" s="252">
        <f t="shared" si="61"/>
        <v>0</v>
      </c>
      <c r="AN88" s="252">
        <f t="shared" si="61"/>
        <v>0</v>
      </c>
      <c r="AO88" s="252">
        <f t="shared" si="61"/>
        <v>0</v>
      </c>
      <c r="AP88" s="252">
        <f t="shared" si="61"/>
        <v>0</v>
      </c>
      <c r="AQ88" s="252">
        <f t="shared" si="61"/>
        <v>0</v>
      </c>
      <c r="AR88" s="252">
        <f t="shared" si="61"/>
        <v>0</v>
      </c>
      <c r="AS88" s="252">
        <f t="shared" si="61"/>
        <v>0</v>
      </c>
      <c r="AT88" s="252">
        <f t="shared" si="61"/>
        <v>0</v>
      </c>
      <c r="AU88" s="252">
        <f t="shared" si="61"/>
        <v>0</v>
      </c>
      <c r="AV88" s="252">
        <f t="shared" si="61"/>
        <v>0</v>
      </c>
      <c r="AW88" s="252">
        <f t="shared" si="61"/>
        <v>0</v>
      </c>
      <c r="AX88" s="252">
        <f t="shared" si="61"/>
        <v>0</v>
      </c>
      <c r="AY88" s="252">
        <f t="shared" si="61"/>
        <v>0</v>
      </c>
      <c r="AZ88" s="252">
        <f t="shared" si="61"/>
        <v>0</v>
      </c>
      <c r="BA88" s="252">
        <f t="shared" si="61"/>
        <v>0</v>
      </c>
      <c r="BB88" s="32"/>
    </row>
    <row r="89">
      <c r="A89" s="823">
        <v>1978.0</v>
      </c>
      <c r="B89" s="32"/>
      <c r="C89" s="32"/>
      <c r="D89" s="32"/>
      <c r="E89" s="32"/>
      <c r="F89" s="32"/>
      <c r="G89" s="32"/>
      <c r="H89" s="32"/>
      <c r="I89" s="32"/>
      <c r="J89" s="32"/>
      <c r="K89" s="32"/>
      <c r="L89" s="32"/>
      <c r="M89" s="32"/>
      <c r="N89" s="32"/>
      <c r="O89" s="32"/>
      <c r="P89" s="32"/>
      <c r="Q89" s="32"/>
      <c r="R89" s="32"/>
      <c r="S89" s="32"/>
      <c r="T89" s="32"/>
      <c r="U89" s="32"/>
      <c r="V89" s="769">
        <v>0.0</v>
      </c>
      <c r="W89" s="252">
        <f t="shared" si="14"/>
        <v>0</v>
      </c>
      <c r="X89" s="252">
        <f t="shared" ref="X89:BA89" si="62">IF(AND(X$41-$A89&gt;$V$27,SUM($W89:W89)&lt;&gt;$V89),$V89,0)</f>
        <v>0</v>
      </c>
      <c r="Y89" s="252">
        <f t="shared" si="62"/>
        <v>0</v>
      </c>
      <c r="Z89" s="252">
        <f t="shared" si="62"/>
        <v>0</v>
      </c>
      <c r="AA89" s="252">
        <f t="shared" si="62"/>
        <v>0</v>
      </c>
      <c r="AB89" s="252">
        <f t="shared" si="62"/>
        <v>0</v>
      </c>
      <c r="AC89" s="252">
        <f t="shared" si="62"/>
        <v>0</v>
      </c>
      <c r="AD89" s="252">
        <f t="shared" si="62"/>
        <v>0</v>
      </c>
      <c r="AE89" s="252">
        <f t="shared" si="62"/>
        <v>0</v>
      </c>
      <c r="AF89" s="252">
        <f t="shared" si="62"/>
        <v>0</v>
      </c>
      <c r="AG89" s="252">
        <f t="shared" si="62"/>
        <v>0</v>
      </c>
      <c r="AH89" s="252">
        <f t="shared" si="62"/>
        <v>0</v>
      </c>
      <c r="AI89" s="252">
        <f t="shared" si="62"/>
        <v>0</v>
      </c>
      <c r="AJ89" s="252">
        <f t="shared" si="62"/>
        <v>0</v>
      </c>
      <c r="AK89" s="252">
        <f t="shared" si="62"/>
        <v>0</v>
      </c>
      <c r="AL89" s="252">
        <f t="shared" si="62"/>
        <v>0</v>
      </c>
      <c r="AM89" s="252">
        <f t="shared" si="62"/>
        <v>0</v>
      </c>
      <c r="AN89" s="252">
        <f t="shared" si="62"/>
        <v>0</v>
      </c>
      <c r="AO89" s="252">
        <f t="shared" si="62"/>
        <v>0</v>
      </c>
      <c r="AP89" s="252">
        <f t="shared" si="62"/>
        <v>0</v>
      </c>
      <c r="AQ89" s="252">
        <f t="shared" si="62"/>
        <v>0</v>
      </c>
      <c r="AR89" s="252">
        <f t="shared" si="62"/>
        <v>0</v>
      </c>
      <c r="AS89" s="252">
        <f t="shared" si="62"/>
        <v>0</v>
      </c>
      <c r="AT89" s="252">
        <f t="shared" si="62"/>
        <v>0</v>
      </c>
      <c r="AU89" s="252">
        <f t="shared" si="62"/>
        <v>0</v>
      </c>
      <c r="AV89" s="252">
        <f t="shared" si="62"/>
        <v>0</v>
      </c>
      <c r="AW89" s="252">
        <f t="shared" si="62"/>
        <v>0</v>
      </c>
      <c r="AX89" s="252">
        <f t="shared" si="62"/>
        <v>0</v>
      </c>
      <c r="AY89" s="252">
        <f t="shared" si="62"/>
        <v>0</v>
      </c>
      <c r="AZ89" s="252">
        <f t="shared" si="62"/>
        <v>0</v>
      </c>
      <c r="BA89" s="252">
        <f t="shared" si="62"/>
        <v>0</v>
      </c>
      <c r="BB89" s="32"/>
    </row>
    <row r="90">
      <c r="A90" s="823">
        <v>1979.0</v>
      </c>
      <c r="B90" s="32"/>
      <c r="C90" s="32"/>
      <c r="D90" s="32"/>
      <c r="E90" s="32"/>
      <c r="F90" s="32"/>
      <c r="G90" s="32"/>
      <c r="H90" s="32"/>
      <c r="I90" s="32"/>
      <c r="J90" s="32"/>
      <c r="K90" s="32"/>
      <c r="L90" s="32"/>
      <c r="M90" s="32"/>
      <c r="N90" s="32"/>
      <c r="O90" s="32"/>
      <c r="P90" s="32"/>
      <c r="Q90" s="32"/>
      <c r="R90" s="32"/>
      <c r="S90" s="32"/>
      <c r="T90" s="32"/>
      <c r="U90" s="32"/>
      <c r="V90" s="769">
        <v>0.0</v>
      </c>
      <c r="W90" s="252">
        <f t="shared" si="14"/>
        <v>0</v>
      </c>
      <c r="X90" s="252">
        <f t="shared" ref="X90:BA90" si="63">IF(AND(X$41-$A90&gt;$V$27,SUM($W90:W90)&lt;&gt;$V90),$V90,0)</f>
        <v>0</v>
      </c>
      <c r="Y90" s="252">
        <f t="shared" si="63"/>
        <v>0</v>
      </c>
      <c r="Z90" s="252">
        <f t="shared" si="63"/>
        <v>0</v>
      </c>
      <c r="AA90" s="252">
        <f t="shared" si="63"/>
        <v>0</v>
      </c>
      <c r="AB90" s="252">
        <f t="shared" si="63"/>
        <v>0</v>
      </c>
      <c r="AC90" s="252">
        <f t="shared" si="63"/>
        <v>0</v>
      </c>
      <c r="AD90" s="252">
        <f t="shared" si="63"/>
        <v>0</v>
      </c>
      <c r="AE90" s="252">
        <f t="shared" si="63"/>
        <v>0</v>
      </c>
      <c r="AF90" s="252">
        <f t="shared" si="63"/>
        <v>0</v>
      </c>
      <c r="AG90" s="252">
        <f t="shared" si="63"/>
        <v>0</v>
      </c>
      <c r="AH90" s="252">
        <f t="shared" si="63"/>
        <v>0</v>
      </c>
      <c r="AI90" s="252">
        <f t="shared" si="63"/>
        <v>0</v>
      </c>
      <c r="AJ90" s="252">
        <f t="shared" si="63"/>
        <v>0</v>
      </c>
      <c r="AK90" s="252">
        <f t="shared" si="63"/>
        <v>0</v>
      </c>
      <c r="AL90" s="252">
        <f t="shared" si="63"/>
        <v>0</v>
      </c>
      <c r="AM90" s="252">
        <f t="shared" si="63"/>
        <v>0</v>
      </c>
      <c r="AN90" s="252">
        <f t="shared" si="63"/>
        <v>0</v>
      </c>
      <c r="AO90" s="252">
        <f t="shared" si="63"/>
        <v>0</v>
      </c>
      <c r="AP90" s="252">
        <f t="shared" si="63"/>
        <v>0</v>
      </c>
      <c r="AQ90" s="252">
        <f t="shared" si="63"/>
        <v>0</v>
      </c>
      <c r="AR90" s="252">
        <f t="shared" si="63"/>
        <v>0</v>
      </c>
      <c r="AS90" s="252">
        <f t="shared" si="63"/>
        <v>0</v>
      </c>
      <c r="AT90" s="252">
        <f t="shared" si="63"/>
        <v>0</v>
      </c>
      <c r="AU90" s="252">
        <f t="shared" si="63"/>
        <v>0</v>
      </c>
      <c r="AV90" s="252">
        <f t="shared" si="63"/>
        <v>0</v>
      </c>
      <c r="AW90" s="252">
        <f t="shared" si="63"/>
        <v>0</v>
      </c>
      <c r="AX90" s="252">
        <f t="shared" si="63"/>
        <v>0</v>
      </c>
      <c r="AY90" s="252">
        <f t="shared" si="63"/>
        <v>0</v>
      </c>
      <c r="AZ90" s="252">
        <f t="shared" si="63"/>
        <v>0</v>
      </c>
      <c r="BA90" s="252">
        <f t="shared" si="63"/>
        <v>0</v>
      </c>
      <c r="BB90" s="32"/>
    </row>
    <row r="91">
      <c r="A91" s="823">
        <v>1980.0</v>
      </c>
      <c r="B91" s="32"/>
      <c r="C91" s="32"/>
      <c r="D91" s="32"/>
      <c r="E91" s="32"/>
      <c r="F91" s="32"/>
      <c r="G91" s="32"/>
      <c r="H91" s="32"/>
      <c r="I91" s="32"/>
      <c r="J91" s="32"/>
      <c r="K91" s="32"/>
      <c r="L91" s="32"/>
      <c r="M91" s="32"/>
      <c r="N91" s="32"/>
      <c r="O91" s="32"/>
      <c r="P91" s="32"/>
      <c r="Q91" s="32"/>
      <c r="R91" s="32"/>
      <c r="S91" s="32"/>
      <c r="T91" s="32"/>
      <c r="U91" s="32"/>
      <c r="V91" s="769">
        <v>0.0</v>
      </c>
      <c r="W91" s="252">
        <f t="shared" si="14"/>
        <v>0</v>
      </c>
      <c r="X91" s="252">
        <f t="shared" ref="X91:BA91" si="64">IF(AND(X$41-$A91&gt;$V$27,SUM($W91:W91)&lt;&gt;$V91),$V91,0)</f>
        <v>0</v>
      </c>
      <c r="Y91" s="252">
        <f t="shared" si="64"/>
        <v>0</v>
      </c>
      <c r="Z91" s="252">
        <f t="shared" si="64"/>
        <v>0</v>
      </c>
      <c r="AA91" s="252">
        <f t="shared" si="64"/>
        <v>0</v>
      </c>
      <c r="AB91" s="252">
        <f t="shared" si="64"/>
        <v>0</v>
      </c>
      <c r="AC91" s="252">
        <f t="shared" si="64"/>
        <v>0</v>
      </c>
      <c r="AD91" s="252">
        <f t="shared" si="64"/>
        <v>0</v>
      </c>
      <c r="AE91" s="252">
        <f t="shared" si="64"/>
        <v>0</v>
      </c>
      <c r="AF91" s="252">
        <f t="shared" si="64"/>
        <v>0</v>
      </c>
      <c r="AG91" s="252">
        <f t="shared" si="64"/>
        <v>0</v>
      </c>
      <c r="AH91" s="252">
        <f t="shared" si="64"/>
        <v>0</v>
      </c>
      <c r="AI91" s="252">
        <f t="shared" si="64"/>
        <v>0</v>
      </c>
      <c r="AJ91" s="252">
        <f t="shared" si="64"/>
        <v>0</v>
      </c>
      <c r="AK91" s="252">
        <f t="shared" si="64"/>
        <v>0</v>
      </c>
      <c r="AL91" s="252">
        <f t="shared" si="64"/>
        <v>0</v>
      </c>
      <c r="AM91" s="252">
        <f t="shared" si="64"/>
        <v>0</v>
      </c>
      <c r="AN91" s="252">
        <f t="shared" si="64"/>
        <v>0</v>
      </c>
      <c r="AO91" s="252">
        <f t="shared" si="64"/>
        <v>0</v>
      </c>
      <c r="AP91" s="252">
        <f t="shared" si="64"/>
        <v>0</v>
      </c>
      <c r="AQ91" s="252">
        <f t="shared" si="64"/>
        <v>0</v>
      </c>
      <c r="AR91" s="252">
        <f t="shared" si="64"/>
        <v>0</v>
      </c>
      <c r="AS91" s="252">
        <f t="shared" si="64"/>
        <v>0</v>
      </c>
      <c r="AT91" s="252">
        <f t="shared" si="64"/>
        <v>0</v>
      </c>
      <c r="AU91" s="252">
        <f t="shared" si="64"/>
        <v>0</v>
      </c>
      <c r="AV91" s="252">
        <f t="shared" si="64"/>
        <v>0</v>
      </c>
      <c r="AW91" s="252">
        <f t="shared" si="64"/>
        <v>0</v>
      </c>
      <c r="AX91" s="252">
        <f t="shared" si="64"/>
        <v>0</v>
      </c>
      <c r="AY91" s="252">
        <f t="shared" si="64"/>
        <v>0</v>
      </c>
      <c r="AZ91" s="252">
        <f t="shared" si="64"/>
        <v>0</v>
      </c>
      <c r="BA91" s="252">
        <f t="shared" si="64"/>
        <v>0</v>
      </c>
      <c r="BB91" s="32"/>
    </row>
    <row r="92">
      <c r="A92" s="823">
        <v>1981.0</v>
      </c>
      <c r="B92" s="32"/>
      <c r="C92" s="32"/>
      <c r="D92" s="32"/>
      <c r="E92" s="32"/>
      <c r="F92" s="32"/>
      <c r="G92" s="32"/>
      <c r="H92" s="32"/>
      <c r="I92" s="32"/>
      <c r="J92" s="32"/>
      <c r="K92" s="32"/>
      <c r="L92" s="32"/>
      <c r="M92" s="32"/>
      <c r="N92" s="32"/>
      <c r="O92" s="32"/>
      <c r="P92" s="32"/>
      <c r="Q92" s="32"/>
      <c r="R92" s="32"/>
      <c r="S92" s="32"/>
      <c r="T92" s="32"/>
      <c r="U92" s="32"/>
      <c r="V92" s="770">
        <v>0.0</v>
      </c>
      <c r="W92" s="252">
        <f t="shared" si="14"/>
        <v>0</v>
      </c>
      <c r="X92" s="252">
        <f t="shared" ref="X92:BA92" si="65">IF(AND(X$41-$A92&gt;$V$27,SUM($W92:W92)&lt;&gt;$V92),$V92,0)</f>
        <v>0</v>
      </c>
      <c r="Y92" s="252">
        <f t="shared" si="65"/>
        <v>0</v>
      </c>
      <c r="Z92" s="252">
        <f t="shared" si="65"/>
        <v>0</v>
      </c>
      <c r="AA92" s="252">
        <f t="shared" si="65"/>
        <v>0</v>
      </c>
      <c r="AB92" s="252">
        <f t="shared" si="65"/>
        <v>0</v>
      </c>
      <c r="AC92" s="252">
        <f t="shared" si="65"/>
        <v>0</v>
      </c>
      <c r="AD92" s="252">
        <f t="shared" si="65"/>
        <v>0</v>
      </c>
      <c r="AE92" s="252">
        <f t="shared" si="65"/>
        <v>0</v>
      </c>
      <c r="AF92" s="252">
        <f t="shared" si="65"/>
        <v>0</v>
      </c>
      <c r="AG92" s="252">
        <f t="shared" si="65"/>
        <v>0</v>
      </c>
      <c r="AH92" s="252">
        <f t="shared" si="65"/>
        <v>0</v>
      </c>
      <c r="AI92" s="252">
        <f t="shared" si="65"/>
        <v>0</v>
      </c>
      <c r="AJ92" s="252">
        <f t="shared" si="65"/>
        <v>0</v>
      </c>
      <c r="AK92" s="252">
        <f t="shared" si="65"/>
        <v>0</v>
      </c>
      <c r="AL92" s="252">
        <f t="shared" si="65"/>
        <v>0</v>
      </c>
      <c r="AM92" s="252">
        <f t="shared" si="65"/>
        <v>0</v>
      </c>
      <c r="AN92" s="252">
        <f t="shared" si="65"/>
        <v>0</v>
      </c>
      <c r="AO92" s="252">
        <f t="shared" si="65"/>
        <v>0</v>
      </c>
      <c r="AP92" s="252">
        <f t="shared" si="65"/>
        <v>0</v>
      </c>
      <c r="AQ92" s="252">
        <f t="shared" si="65"/>
        <v>0</v>
      </c>
      <c r="AR92" s="252">
        <f t="shared" si="65"/>
        <v>0</v>
      </c>
      <c r="AS92" s="252">
        <f t="shared" si="65"/>
        <v>0</v>
      </c>
      <c r="AT92" s="252">
        <f t="shared" si="65"/>
        <v>0</v>
      </c>
      <c r="AU92" s="252">
        <f t="shared" si="65"/>
        <v>0</v>
      </c>
      <c r="AV92" s="252">
        <f t="shared" si="65"/>
        <v>0</v>
      </c>
      <c r="AW92" s="252">
        <f t="shared" si="65"/>
        <v>0</v>
      </c>
      <c r="AX92" s="252">
        <f t="shared" si="65"/>
        <v>0</v>
      </c>
      <c r="AY92" s="252">
        <f t="shared" si="65"/>
        <v>0</v>
      </c>
      <c r="AZ92" s="252">
        <f t="shared" si="65"/>
        <v>0</v>
      </c>
      <c r="BA92" s="252">
        <f t="shared" si="65"/>
        <v>0</v>
      </c>
      <c r="BB92" s="824">
        <f>sum(BA92+1)</f>
        <v>1</v>
      </c>
    </row>
    <row r="93">
      <c r="A93" s="768">
        <v>1982.0</v>
      </c>
      <c r="B93" s="32"/>
      <c r="C93" s="32"/>
      <c r="D93" s="32"/>
      <c r="E93" s="32"/>
      <c r="F93" s="32"/>
      <c r="G93" s="32"/>
      <c r="H93" s="32"/>
      <c r="I93" s="32"/>
      <c r="J93" s="32"/>
      <c r="K93" s="32"/>
      <c r="L93" s="32"/>
      <c r="M93" s="32"/>
      <c r="N93" s="32"/>
      <c r="O93" s="32"/>
      <c r="P93" s="32"/>
      <c r="Q93" s="32"/>
      <c r="R93" s="32"/>
      <c r="S93" s="32"/>
      <c r="T93" s="32"/>
      <c r="U93" s="32"/>
      <c r="V93" s="770">
        <v>0.0</v>
      </c>
      <c r="W93" s="252">
        <f t="shared" si="14"/>
        <v>0</v>
      </c>
      <c r="X93" s="252">
        <f t="shared" ref="X93:BA93" si="66">IF(AND(X$41-$A93&gt;$V$27,SUM($W93:W93)&lt;&gt;$V93),$V93,0)</f>
        <v>0</v>
      </c>
      <c r="Y93" s="252">
        <f t="shared" si="66"/>
        <v>0</v>
      </c>
      <c r="Z93" s="252">
        <f t="shared" si="66"/>
        <v>0</v>
      </c>
      <c r="AA93" s="252">
        <f t="shared" si="66"/>
        <v>0</v>
      </c>
      <c r="AB93" s="252">
        <f t="shared" si="66"/>
        <v>0</v>
      </c>
      <c r="AC93" s="252">
        <f t="shared" si="66"/>
        <v>0</v>
      </c>
      <c r="AD93" s="252">
        <f t="shared" si="66"/>
        <v>0</v>
      </c>
      <c r="AE93" s="252">
        <f t="shared" si="66"/>
        <v>0</v>
      </c>
      <c r="AF93" s="252">
        <f t="shared" si="66"/>
        <v>0</v>
      </c>
      <c r="AG93" s="252">
        <f t="shared" si="66"/>
        <v>0</v>
      </c>
      <c r="AH93" s="252">
        <f t="shared" si="66"/>
        <v>0</v>
      </c>
      <c r="AI93" s="252">
        <f t="shared" si="66"/>
        <v>0</v>
      </c>
      <c r="AJ93" s="252">
        <f t="shared" si="66"/>
        <v>0</v>
      </c>
      <c r="AK93" s="252">
        <f t="shared" si="66"/>
        <v>0</v>
      </c>
      <c r="AL93" s="252">
        <f t="shared" si="66"/>
        <v>0</v>
      </c>
      <c r="AM93" s="252">
        <f t="shared" si="66"/>
        <v>0</v>
      </c>
      <c r="AN93" s="252">
        <f t="shared" si="66"/>
        <v>0</v>
      </c>
      <c r="AO93" s="252">
        <f t="shared" si="66"/>
        <v>0</v>
      </c>
      <c r="AP93" s="252">
        <f t="shared" si="66"/>
        <v>0</v>
      </c>
      <c r="AQ93" s="252">
        <f t="shared" si="66"/>
        <v>0</v>
      </c>
      <c r="AR93" s="252">
        <f t="shared" si="66"/>
        <v>0</v>
      </c>
      <c r="AS93" s="252">
        <f t="shared" si="66"/>
        <v>0</v>
      </c>
      <c r="AT93" s="252">
        <f t="shared" si="66"/>
        <v>0</v>
      </c>
      <c r="AU93" s="252">
        <f t="shared" si="66"/>
        <v>0</v>
      </c>
      <c r="AV93" s="252">
        <f t="shared" si="66"/>
        <v>0</v>
      </c>
      <c r="AW93" s="252">
        <f t="shared" si="66"/>
        <v>0</v>
      </c>
      <c r="AX93" s="252">
        <f t="shared" si="66"/>
        <v>0</v>
      </c>
      <c r="AY93" s="252">
        <f t="shared" si="66"/>
        <v>0</v>
      </c>
      <c r="AZ93" s="252">
        <f t="shared" si="66"/>
        <v>0</v>
      </c>
      <c r="BA93" s="252">
        <f t="shared" si="66"/>
        <v>0</v>
      </c>
      <c r="BB93" s="252">
        <f>IF(AND(BB$93-$A93&gt;$V$28,SUM($W93:BA114)&lt;&gt;$V93),$V93,0)</f>
        <v>0</v>
      </c>
    </row>
    <row r="94">
      <c r="A94" s="768">
        <v>1983.0</v>
      </c>
      <c r="B94" s="32"/>
      <c r="C94" s="32"/>
      <c r="D94" s="32"/>
      <c r="E94" s="32"/>
      <c r="F94" s="32"/>
      <c r="G94" s="32"/>
      <c r="H94" s="32"/>
      <c r="I94" s="32"/>
      <c r="J94" s="32"/>
      <c r="K94" s="32"/>
      <c r="L94" s="32"/>
      <c r="M94" s="32"/>
      <c r="N94" s="32"/>
      <c r="O94" s="32"/>
      <c r="P94" s="32"/>
      <c r="Q94" s="32"/>
      <c r="R94" s="32"/>
      <c r="S94" s="32"/>
      <c r="T94" s="32"/>
      <c r="U94" s="32"/>
      <c r="V94" s="770">
        <v>0.0</v>
      </c>
      <c r="W94" s="252">
        <f t="shared" si="14"/>
        <v>0</v>
      </c>
      <c r="X94" s="252">
        <f t="shared" ref="X94:BA94" si="67">IF(AND(X$41-$A94&gt;$V$27,SUM($W94:W94)&lt;&gt;$V94),$V94,0)</f>
        <v>0</v>
      </c>
      <c r="Y94" s="252">
        <f t="shared" si="67"/>
        <v>0</v>
      </c>
      <c r="Z94" s="252">
        <f t="shared" si="67"/>
        <v>0</v>
      </c>
      <c r="AA94" s="252">
        <f t="shared" si="67"/>
        <v>0</v>
      </c>
      <c r="AB94" s="252">
        <f t="shared" si="67"/>
        <v>0</v>
      </c>
      <c r="AC94" s="252">
        <f t="shared" si="67"/>
        <v>0</v>
      </c>
      <c r="AD94" s="252">
        <f t="shared" si="67"/>
        <v>0</v>
      </c>
      <c r="AE94" s="252">
        <f t="shared" si="67"/>
        <v>0</v>
      </c>
      <c r="AF94" s="252">
        <f t="shared" si="67"/>
        <v>0</v>
      </c>
      <c r="AG94" s="252">
        <f t="shared" si="67"/>
        <v>0</v>
      </c>
      <c r="AH94" s="252">
        <f t="shared" si="67"/>
        <v>0</v>
      </c>
      <c r="AI94" s="252">
        <f t="shared" si="67"/>
        <v>0</v>
      </c>
      <c r="AJ94" s="252">
        <f t="shared" si="67"/>
        <v>0</v>
      </c>
      <c r="AK94" s="252">
        <f t="shared" si="67"/>
        <v>0</v>
      </c>
      <c r="AL94" s="252">
        <f t="shared" si="67"/>
        <v>0</v>
      </c>
      <c r="AM94" s="252">
        <f t="shared" si="67"/>
        <v>0</v>
      </c>
      <c r="AN94" s="252">
        <f t="shared" si="67"/>
        <v>0</v>
      </c>
      <c r="AO94" s="252">
        <f t="shared" si="67"/>
        <v>0</v>
      </c>
      <c r="AP94" s="252">
        <f t="shared" si="67"/>
        <v>0</v>
      </c>
      <c r="AQ94" s="252">
        <f t="shared" si="67"/>
        <v>0</v>
      </c>
      <c r="AR94" s="252">
        <f t="shared" si="67"/>
        <v>0</v>
      </c>
      <c r="AS94" s="252">
        <f t="shared" si="67"/>
        <v>0</v>
      </c>
      <c r="AT94" s="252">
        <f t="shared" si="67"/>
        <v>0</v>
      </c>
      <c r="AU94" s="252">
        <f t="shared" si="67"/>
        <v>0</v>
      </c>
      <c r="AV94" s="252">
        <f t="shared" si="67"/>
        <v>0</v>
      </c>
      <c r="AW94" s="252">
        <f t="shared" si="67"/>
        <v>0</v>
      </c>
      <c r="AX94" s="252">
        <f t="shared" si="67"/>
        <v>0</v>
      </c>
      <c r="AY94" s="252">
        <f t="shared" si="67"/>
        <v>0</v>
      </c>
      <c r="AZ94" s="252">
        <f t="shared" si="67"/>
        <v>0</v>
      </c>
      <c r="BA94" s="252">
        <f t="shared" si="67"/>
        <v>0</v>
      </c>
      <c r="BB94" s="32"/>
    </row>
    <row r="95">
      <c r="A95" s="768">
        <v>1984.0</v>
      </c>
      <c r="B95" s="32"/>
      <c r="C95" s="32"/>
      <c r="D95" s="32"/>
      <c r="E95" s="32"/>
      <c r="F95" s="32"/>
      <c r="G95" s="32"/>
      <c r="H95" s="32"/>
      <c r="I95" s="32"/>
      <c r="J95" s="32"/>
      <c r="K95" s="32"/>
      <c r="L95" s="32"/>
      <c r="M95" s="32"/>
      <c r="N95" s="32"/>
      <c r="O95" s="32"/>
      <c r="P95" s="32"/>
      <c r="Q95" s="32"/>
      <c r="R95" s="32"/>
      <c r="S95" s="32"/>
      <c r="T95" s="32"/>
      <c r="U95" s="32"/>
      <c r="V95" s="770">
        <v>0.0</v>
      </c>
      <c r="W95" s="252">
        <f t="shared" si="14"/>
        <v>0</v>
      </c>
      <c r="X95" s="252">
        <f t="shared" ref="X95:BA95" si="68">IF(AND(X$41-$A95&gt;$V$27,SUM($W95:W95)&lt;&gt;$V95),$V95,0)</f>
        <v>0</v>
      </c>
      <c r="Y95" s="252">
        <f t="shared" si="68"/>
        <v>0</v>
      </c>
      <c r="Z95" s="252">
        <f t="shared" si="68"/>
        <v>0</v>
      </c>
      <c r="AA95" s="252">
        <f t="shared" si="68"/>
        <v>0</v>
      </c>
      <c r="AB95" s="252">
        <f t="shared" si="68"/>
        <v>0</v>
      </c>
      <c r="AC95" s="252">
        <f t="shared" si="68"/>
        <v>0</v>
      </c>
      <c r="AD95" s="252">
        <f t="shared" si="68"/>
        <v>0</v>
      </c>
      <c r="AE95" s="252">
        <f t="shared" si="68"/>
        <v>0</v>
      </c>
      <c r="AF95" s="252">
        <f t="shared" si="68"/>
        <v>0</v>
      </c>
      <c r="AG95" s="252">
        <f t="shared" si="68"/>
        <v>0</v>
      </c>
      <c r="AH95" s="252">
        <f t="shared" si="68"/>
        <v>0</v>
      </c>
      <c r="AI95" s="252">
        <f t="shared" si="68"/>
        <v>0</v>
      </c>
      <c r="AJ95" s="252">
        <f t="shared" si="68"/>
        <v>0</v>
      </c>
      <c r="AK95" s="252">
        <f t="shared" si="68"/>
        <v>0</v>
      </c>
      <c r="AL95" s="252">
        <f t="shared" si="68"/>
        <v>0</v>
      </c>
      <c r="AM95" s="252">
        <f t="shared" si="68"/>
        <v>0</v>
      </c>
      <c r="AN95" s="252">
        <f t="shared" si="68"/>
        <v>0</v>
      </c>
      <c r="AO95" s="252">
        <f t="shared" si="68"/>
        <v>0</v>
      </c>
      <c r="AP95" s="252">
        <f t="shared" si="68"/>
        <v>0</v>
      </c>
      <c r="AQ95" s="252">
        <f t="shared" si="68"/>
        <v>0</v>
      </c>
      <c r="AR95" s="252">
        <f t="shared" si="68"/>
        <v>0</v>
      </c>
      <c r="AS95" s="252">
        <f t="shared" si="68"/>
        <v>0</v>
      </c>
      <c r="AT95" s="252">
        <f t="shared" si="68"/>
        <v>0</v>
      </c>
      <c r="AU95" s="252">
        <f t="shared" si="68"/>
        <v>0</v>
      </c>
      <c r="AV95" s="252">
        <f t="shared" si="68"/>
        <v>0</v>
      </c>
      <c r="AW95" s="252">
        <f t="shared" si="68"/>
        <v>0</v>
      </c>
      <c r="AX95" s="252">
        <f t="shared" si="68"/>
        <v>0</v>
      </c>
      <c r="AY95" s="252">
        <f t="shared" si="68"/>
        <v>0</v>
      </c>
      <c r="AZ95" s="252">
        <f t="shared" si="68"/>
        <v>0</v>
      </c>
      <c r="BA95" s="252">
        <f t="shared" si="68"/>
        <v>0</v>
      </c>
      <c r="BB95" s="32"/>
    </row>
    <row r="96">
      <c r="A96" s="768">
        <v>1985.0</v>
      </c>
      <c r="B96" s="32"/>
      <c r="C96" s="32"/>
      <c r="D96" s="32"/>
      <c r="E96" s="32"/>
      <c r="F96" s="32"/>
      <c r="G96" s="32"/>
      <c r="H96" s="32"/>
      <c r="I96" s="32"/>
      <c r="J96" s="32"/>
      <c r="K96" s="32"/>
      <c r="L96" s="32"/>
      <c r="M96" s="32"/>
      <c r="N96" s="32"/>
      <c r="O96" s="32"/>
      <c r="P96" s="32"/>
      <c r="Q96" s="32"/>
      <c r="R96" s="32"/>
      <c r="S96" s="32"/>
      <c r="T96" s="32"/>
      <c r="U96" s="32"/>
      <c r="V96" s="770">
        <v>0.0</v>
      </c>
      <c r="W96" s="252">
        <f t="shared" si="14"/>
        <v>0</v>
      </c>
      <c r="X96" s="252">
        <f t="shared" ref="X96:BA96" si="69">IF(AND(X$41-$A96&gt;$V$27,SUM($W96:W96)&lt;&gt;$V96),$V96,0)</f>
        <v>0</v>
      </c>
      <c r="Y96" s="252">
        <f t="shared" si="69"/>
        <v>0</v>
      </c>
      <c r="Z96" s="252">
        <f t="shared" si="69"/>
        <v>0</v>
      </c>
      <c r="AA96" s="252">
        <f t="shared" si="69"/>
        <v>0</v>
      </c>
      <c r="AB96" s="252">
        <f t="shared" si="69"/>
        <v>0</v>
      </c>
      <c r="AC96" s="252">
        <f t="shared" si="69"/>
        <v>0</v>
      </c>
      <c r="AD96" s="252">
        <f t="shared" si="69"/>
        <v>0</v>
      </c>
      <c r="AE96" s="252">
        <f t="shared" si="69"/>
        <v>0</v>
      </c>
      <c r="AF96" s="252">
        <f t="shared" si="69"/>
        <v>0</v>
      </c>
      <c r="AG96" s="252">
        <f t="shared" si="69"/>
        <v>0</v>
      </c>
      <c r="AH96" s="252">
        <f t="shared" si="69"/>
        <v>0</v>
      </c>
      <c r="AI96" s="252">
        <f t="shared" si="69"/>
        <v>0</v>
      </c>
      <c r="AJ96" s="252">
        <f t="shared" si="69"/>
        <v>0</v>
      </c>
      <c r="AK96" s="252">
        <f t="shared" si="69"/>
        <v>0</v>
      </c>
      <c r="AL96" s="252">
        <f t="shared" si="69"/>
        <v>0</v>
      </c>
      <c r="AM96" s="252">
        <f t="shared" si="69"/>
        <v>0</v>
      </c>
      <c r="AN96" s="252">
        <f t="shared" si="69"/>
        <v>0</v>
      </c>
      <c r="AO96" s="252">
        <f t="shared" si="69"/>
        <v>0</v>
      </c>
      <c r="AP96" s="252">
        <f t="shared" si="69"/>
        <v>0</v>
      </c>
      <c r="AQ96" s="252">
        <f t="shared" si="69"/>
        <v>0</v>
      </c>
      <c r="AR96" s="252">
        <f t="shared" si="69"/>
        <v>0</v>
      </c>
      <c r="AS96" s="252">
        <f t="shared" si="69"/>
        <v>0</v>
      </c>
      <c r="AT96" s="252">
        <f t="shared" si="69"/>
        <v>0</v>
      </c>
      <c r="AU96" s="252">
        <f t="shared" si="69"/>
        <v>0</v>
      </c>
      <c r="AV96" s="252">
        <f t="shared" si="69"/>
        <v>0</v>
      </c>
      <c r="AW96" s="252">
        <f t="shared" si="69"/>
        <v>0</v>
      </c>
      <c r="AX96" s="252">
        <f t="shared" si="69"/>
        <v>0</v>
      </c>
      <c r="AY96" s="252">
        <f t="shared" si="69"/>
        <v>0</v>
      </c>
      <c r="AZ96" s="252">
        <f t="shared" si="69"/>
        <v>0</v>
      </c>
      <c r="BA96" s="252">
        <f t="shared" si="69"/>
        <v>0</v>
      </c>
      <c r="BB96" s="32"/>
    </row>
    <row r="97">
      <c r="A97" s="768">
        <v>1986.0</v>
      </c>
      <c r="B97" s="32"/>
      <c r="C97" s="32"/>
      <c r="D97" s="32"/>
      <c r="E97" s="32"/>
      <c r="F97" s="32"/>
      <c r="G97" s="32"/>
      <c r="H97" s="32"/>
      <c r="I97" s="32"/>
      <c r="J97" s="32"/>
      <c r="K97" s="32"/>
      <c r="L97" s="32"/>
      <c r="M97" s="32"/>
      <c r="N97" s="32"/>
      <c r="O97" s="32"/>
      <c r="P97" s="32"/>
      <c r="Q97" s="32"/>
      <c r="R97" s="32"/>
      <c r="S97" s="32"/>
      <c r="T97" s="32"/>
      <c r="U97" s="32"/>
      <c r="V97" s="770">
        <v>0.0</v>
      </c>
      <c r="W97" s="252">
        <f t="shared" si="14"/>
        <v>0</v>
      </c>
      <c r="X97" s="252">
        <f t="shared" ref="X97:BA97" si="70">IF(AND(X$41-$A97&gt;$V$27,SUM($W97:W97)&lt;&gt;$V97),$V97,0)</f>
        <v>0</v>
      </c>
      <c r="Y97" s="252">
        <f t="shared" si="70"/>
        <v>0</v>
      </c>
      <c r="Z97" s="252">
        <f t="shared" si="70"/>
        <v>0</v>
      </c>
      <c r="AA97" s="252">
        <f t="shared" si="70"/>
        <v>0</v>
      </c>
      <c r="AB97" s="252">
        <f t="shared" si="70"/>
        <v>0</v>
      </c>
      <c r="AC97" s="252">
        <f t="shared" si="70"/>
        <v>0</v>
      </c>
      <c r="AD97" s="252">
        <f t="shared" si="70"/>
        <v>0</v>
      </c>
      <c r="AE97" s="252">
        <f t="shared" si="70"/>
        <v>0</v>
      </c>
      <c r="AF97" s="252">
        <f t="shared" si="70"/>
        <v>0</v>
      </c>
      <c r="AG97" s="252">
        <f t="shared" si="70"/>
        <v>0</v>
      </c>
      <c r="AH97" s="252">
        <f t="shared" si="70"/>
        <v>0</v>
      </c>
      <c r="AI97" s="252">
        <f t="shared" si="70"/>
        <v>0</v>
      </c>
      <c r="AJ97" s="252">
        <f t="shared" si="70"/>
        <v>0</v>
      </c>
      <c r="AK97" s="252">
        <f t="shared" si="70"/>
        <v>0</v>
      </c>
      <c r="AL97" s="252">
        <f t="shared" si="70"/>
        <v>0</v>
      </c>
      <c r="AM97" s="252">
        <f t="shared" si="70"/>
        <v>0</v>
      </c>
      <c r="AN97" s="252">
        <f t="shared" si="70"/>
        <v>0</v>
      </c>
      <c r="AO97" s="252">
        <f t="shared" si="70"/>
        <v>0</v>
      </c>
      <c r="AP97" s="252">
        <f t="shared" si="70"/>
        <v>0</v>
      </c>
      <c r="AQ97" s="252">
        <f t="shared" si="70"/>
        <v>0</v>
      </c>
      <c r="AR97" s="252">
        <f t="shared" si="70"/>
        <v>0</v>
      </c>
      <c r="AS97" s="252">
        <f t="shared" si="70"/>
        <v>0</v>
      </c>
      <c r="AT97" s="252">
        <f t="shared" si="70"/>
        <v>0</v>
      </c>
      <c r="AU97" s="252">
        <f t="shared" si="70"/>
        <v>0</v>
      </c>
      <c r="AV97" s="252">
        <f t="shared" si="70"/>
        <v>0</v>
      </c>
      <c r="AW97" s="252">
        <f t="shared" si="70"/>
        <v>0</v>
      </c>
      <c r="AX97" s="252">
        <f t="shared" si="70"/>
        <v>0</v>
      </c>
      <c r="AY97" s="252">
        <f t="shared" si="70"/>
        <v>0</v>
      </c>
      <c r="AZ97" s="252">
        <f t="shared" si="70"/>
        <v>0</v>
      </c>
      <c r="BA97" s="252">
        <f t="shared" si="70"/>
        <v>0</v>
      </c>
      <c r="BB97" s="32"/>
    </row>
    <row r="98">
      <c r="A98" s="768">
        <v>1987.0</v>
      </c>
      <c r="B98" s="32"/>
      <c r="C98" s="32"/>
      <c r="D98" s="32"/>
      <c r="E98" s="32"/>
      <c r="F98" s="32"/>
      <c r="G98" s="32"/>
      <c r="H98" s="32"/>
      <c r="I98" s="32"/>
      <c r="J98" s="32"/>
      <c r="K98" s="32"/>
      <c r="L98" s="32"/>
      <c r="M98" s="32"/>
      <c r="N98" s="32"/>
      <c r="O98" s="32"/>
      <c r="P98" s="32"/>
      <c r="Q98" s="32"/>
      <c r="R98" s="32"/>
      <c r="S98" s="32"/>
      <c r="T98" s="32"/>
      <c r="U98" s="32"/>
      <c r="V98" s="770">
        <v>0.0</v>
      </c>
      <c r="W98" s="252">
        <f t="shared" si="14"/>
        <v>0</v>
      </c>
      <c r="X98" s="252">
        <f t="shared" ref="X98:BA98" si="71">IF(AND(X$41-$A98&gt;$V$27,SUM($W98:W98)&lt;&gt;$V98),$V98,0)</f>
        <v>0</v>
      </c>
      <c r="Y98" s="252">
        <f t="shared" si="71"/>
        <v>0</v>
      </c>
      <c r="Z98" s="252">
        <f t="shared" si="71"/>
        <v>0</v>
      </c>
      <c r="AA98" s="252">
        <f t="shared" si="71"/>
        <v>0</v>
      </c>
      <c r="AB98" s="252">
        <f t="shared" si="71"/>
        <v>0</v>
      </c>
      <c r="AC98" s="252">
        <f t="shared" si="71"/>
        <v>0</v>
      </c>
      <c r="AD98" s="252">
        <f t="shared" si="71"/>
        <v>0</v>
      </c>
      <c r="AE98" s="252">
        <f t="shared" si="71"/>
        <v>0</v>
      </c>
      <c r="AF98" s="252">
        <f t="shared" si="71"/>
        <v>0</v>
      </c>
      <c r="AG98" s="252">
        <f t="shared" si="71"/>
        <v>0</v>
      </c>
      <c r="AH98" s="252">
        <f t="shared" si="71"/>
        <v>0</v>
      </c>
      <c r="AI98" s="252">
        <f t="shared" si="71"/>
        <v>0</v>
      </c>
      <c r="AJ98" s="252">
        <f t="shared" si="71"/>
        <v>0</v>
      </c>
      <c r="AK98" s="252">
        <f t="shared" si="71"/>
        <v>0</v>
      </c>
      <c r="AL98" s="252">
        <f t="shared" si="71"/>
        <v>0</v>
      </c>
      <c r="AM98" s="252">
        <f t="shared" si="71"/>
        <v>0</v>
      </c>
      <c r="AN98" s="252">
        <f t="shared" si="71"/>
        <v>0</v>
      </c>
      <c r="AO98" s="252">
        <f t="shared" si="71"/>
        <v>0</v>
      </c>
      <c r="AP98" s="252">
        <f t="shared" si="71"/>
        <v>0</v>
      </c>
      <c r="AQ98" s="252">
        <f t="shared" si="71"/>
        <v>0</v>
      </c>
      <c r="AR98" s="252">
        <f t="shared" si="71"/>
        <v>0</v>
      </c>
      <c r="AS98" s="252">
        <f t="shared" si="71"/>
        <v>0</v>
      </c>
      <c r="AT98" s="252">
        <f t="shared" si="71"/>
        <v>0</v>
      </c>
      <c r="AU98" s="252">
        <f t="shared" si="71"/>
        <v>0</v>
      </c>
      <c r="AV98" s="252">
        <f t="shared" si="71"/>
        <v>0</v>
      </c>
      <c r="AW98" s="252">
        <f t="shared" si="71"/>
        <v>0</v>
      </c>
      <c r="AX98" s="252">
        <f t="shared" si="71"/>
        <v>0</v>
      </c>
      <c r="AY98" s="252">
        <f t="shared" si="71"/>
        <v>0</v>
      </c>
      <c r="AZ98" s="252">
        <f t="shared" si="71"/>
        <v>0</v>
      </c>
      <c r="BA98" s="252">
        <f t="shared" si="71"/>
        <v>0</v>
      </c>
      <c r="BB98" s="32"/>
    </row>
    <row r="99">
      <c r="A99" s="768">
        <v>1988.0</v>
      </c>
      <c r="B99" s="32"/>
      <c r="C99" s="32"/>
      <c r="D99" s="32"/>
      <c r="E99" s="32"/>
      <c r="F99" s="32"/>
      <c r="G99" s="32"/>
      <c r="H99" s="32"/>
      <c r="I99" s="32"/>
      <c r="J99" s="32"/>
      <c r="K99" s="32"/>
      <c r="L99" s="32"/>
      <c r="M99" s="32"/>
      <c r="N99" s="32"/>
      <c r="O99" s="32"/>
      <c r="P99" s="32"/>
      <c r="Q99" s="32"/>
      <c r="R99" s="32"/>
      <c r="S99" s="32"/>
      <c r="T99" s="32"/>
      <c r="U99" s="32"/>
      <c r="V99" s="770">
        <v>0.0</v>
      </c>
      <c r="W99" s="252">
        <f t="shared" si="14"/>
        <v>0</v>
      </c>
      <c r="X99" s="252">
        <f t="shared" ref="X99:BA99" si="72">IF(AND(X$41-$A99&gt;$V$27,SUM($W99:W99)&lt;&gt;$V99),$V99,0)</f>
        <v>0</v>
      </c>
      <c r="Y99" s="252">
        <f t="shared" si="72"/>
        <v>0</v>
      </c>
      <c r="Z99" s="252">
        <f t="shared" si="72"/>
        <v>0</v>
      </c>
      <c r="AA99" s="252">
        <f t="shared" si="72"/>
        <v>0</v>
      </c>
      <c r="AB99" s="252">
        <f t="shared" si="72"/>
        <v>0</v>
      </c>
      <c r="AC99" s="252">
        <f t="shared" si="72"/>
        <v>0</v>
      </c>
      <c r="AD99" s="252">
        <f t="shared" si="72"/>
        <v>0</v>
      </c>
      <c r="AE99" s="252">
        <f t="shared" si="72"/>
        <v>0</v>
      </c>
      <c r="AF99" s="252">
        <f t="shared" si="72"/>
        <v>0</v>
      </c>
      <c r="AG99" s="252">
        <f t="shared" si="72"/>
        <v>0</v>
      </c>
      <c r="AH99" s="252">
        <f t="shared" si="72"/>
        <v>0</v>
      </c>
      <c r="AI99" s="252">
        <f t="shared" si="72"/>
        <v>0</v>
      </c>
      <c r="AJ99" s="252">
        <f t="shared" si="72"/>
        <v>0</v>
      </c>
      <c r="AK99" s="252">
        <f t="shared" si="72"/>
        <v>0</v>
      </c>
      <c r="AL99" s="252">
        <f t="shared" si="72"/>
        <v>0</v>
      </c>
      <c r="AM99" s="252">
        <f t="shared" si="72"/>
        <v>0</v>
      </c>
      <c r="AN99" s="252">
        <f t="shared" si="72"/>
        <v>0</v>
      </c>
      <c r="AO99" s="252">
        <f t="shared" si="72"/>
        <v>0</v>
      </c>
      <c r="AP99" s="252">
        <f t="shared" si="72"/>
        <v>0</v>
      </c>
      <c r="AQ99" s="252">
        <f t="shared" si="72"/>
        <v>0</v>
      </c>
      <c r="AR99" s="252">
        <f t="shared" si="72"/>
        <v>0</v>
      </c>
      <c r="AS99" s="252">
        <f t="shared" si="72"/>
        <v>0</v>
      </c>
      <c r="AT99" s="252">
        <f t="shared" si="72"/>
        <v>0</v>
      </c>
      <c r="AU99" s="252">
        <f t="shared" si="72"/>
        <v>0</v>
      </c>
      <c r="AV99" s="252">
        <f t="shared" si="72"/>
        <v>0</v>
      </c>
      <c r="AW99" s="252">
        <f t="shared" si="72"/>
        <v>0</v>
      </c>
      <c r="AX99" s="252">
        <f t="shared" si="72"/>
        <v>0</v>
      </c>
      <c r="AY99" s="252">
        <f t="shared" si="72"/>
        <v>0</v>
      </c>
      <c r="AZ99" s="252">
        <f t="shared" si="72"/>
        <v>0</v>
      </c>
      <c r="BA99" s="252">
        <f t="shared" si="72"/>
        <v>0</v>
      </c>
      <c r="BB99" s="32"/>
    </row>
    <row r="100">
      <c r="A100" s="768">
        <v>1989.0</v>
      </c>
      <c r="B100" s="32"/>
      <c r="C100" s="32"/>
      <c r="D100" s="32"/>
      <c r="E100" s="32"/>
      <c r="F100" s="32"/>
      <c r="G100" s="32"/>
      <c r="H100" s="32"/>
      <c r="I100" s="32"/>
      <c r="J100" s="32"/>
      <c r="K100" s="32"/>
      <c r="L100" s="32"/>
      <c r="M100" s="32"/>
      <c r="N100" s="32"/>
      <c r="O100" s="32"/>
      <c r="P100" s="32"/>
      <c r="Q100" s="32"/>
      <c r="R100" s="32"/>
      <c r="S100" s="32"/>
      <c r="T100" s="32"/>
      <c r="U100" s="32"/>
      <c r="V100" s="770">
        <v>0.0</v>
      </c>
      <c r="W100" s="252">
        <f t="shared" si="14"/>
        <v>0</v>
      </c>
      <c r="X100" s="252">
        <f t="shared" ref="X100:BA100" si="73">IF(AND(X$41-$A100&gt;$V$27,SUM($W100:W100)&lt;&gt;$V100),$V100,0)</f>
        <v>0</v>
      </c>
      <c r="Y100" s="252">
        <f t="shared" si="73"/>
        <v>0</v>
      </c>
      <c r="Z100" s="252">
        <f t="shared" si="73"/>
        <v>0</v>
      </c>
      <c r="AA100" s="252">
        <f t="shared" si="73"/>
        <v>0</v>
      </c>
      <c r="AB100" s="252">
        <f t="shared" si="73"/>
        <v>0</v>
      </c>
      <c r="AC100" s="252">
        <f t="shared" si="73"/>
        <v>0</v>
      </c>
      <c r="AD100" s="252">
        <f t="shared" si="73"/>
        <v>0</v>
      </c>
      <c r="AE100" s="252">
        <f t="shared" si="73"/>
        <v>0</v>
      </c>
      <c r="AF100" s="252">
        <f t="shared" si="73"/>
        <v>0</v>
      </c>
      <c r="AG100" s="252">
        <f t="shared" si="73"/>
        <v>0</v>
      </c>
      <c r="AH100" s="252">
        <f t="shared" si="73"/>
        <v>0</v>
      </c>
      <c r="AI100" s="252">
        <f t="shared" si="73"/>
        <v>0</v>
      </c>
      <c r="AJ100" s="252">
        <f t="shared" si="73"/>
        <v>0</v>
      </c>
      <c r="AK100" s="252">
        <f t="shared" si="73"/>
        <v>0</v>
      </c>
      <c r="AL100" s="252">
        <f t="shared" si="73"/>
        <v>0</v>
      </c>
      <c r="AM100" s="252">
        <f t="shared" si="73"/>
        <v>0</v>
      </c>
      <c r="AN100" s="252">
        <f t="shared" si="73"/>
        <v>0</v>
      </c>
      <c r="AO100" s="252">
        <f t="shared" si="73"/>
        <v>0</v>
      </c>
      <c r="AP100" s="252">
        <f t="shared" si="73"/>
        <v>0</v>
      </c>
      <c r="AQ100" s="252">
        <f t="shared" si="73"/>
        <v>0</v>
      </c>
      <c r="AR100" s="252">
        <f t="shared" si="73"/>
        <v>0</v>
      </c>
      <c r="AS100" s="252">
        <f t="shared" si="73"/>
        <v>0</v>
      </c>
      <c r="AT100" s="252">
        <f t="shared" si="73"/>
        <v>0</v>
      </c>
      <c r="AU100" s="252">
        <f t="shared" si="73"/>
        <v>0</v>
      </c>
      <c r="AV100" s="252">
        <f t="shared" si="73"/>
        <v>0</v>
      </c>
      <c r="AW100" s="252">
        <f t="shared" si="73"/>
        <v>0</v>
      </c>
      <c r="AX100" s="252">
        <f t="shared" si="73"/>
        <v>0</v>
      </c>
      <c r="AY100" s="252">
        <f t="shared" si="73"/>
        <v>0</v>
      </c>
      <c r="AZ100" s="252">
        <f t="shared" si="73"/>
        <v>0</v>
      </c>
      <c r="BA100" s="252">
        <f t="shared" si="73"/>
        <v>0</v>
      </c>
      <c r="BB100" s="32"/>
    </row>
    <row r="101">
      <c r="A101" s="768">
        <v>1990.0</v>
      </c>
      <c r="B101" s="32"/>
      <c r="C101" s="32"/>
      <c r="D101" s="32"/>
      <c r="E101" s="32"/>
      <c r="F101" s="32"/>
      <c r="G101" s="32"/>
      <c r="H101" s="32"/>
      <c r="I101" s="32"/>
      <c r="J101" s="32"/>
      <c r="K101" s="32"/>
      <c r="L101" s="32"/>
      <c r="M101" s="32"/>
      <c r="N101" s="32"/>
      <c r="O101" s="32"/>
      <c r="P101" s="32"/>
      <c r="Q101" s="32"/>
      <c r="R101" s="32"/>
      <c r="S101" s="32"/>
      <c r="T101" s="32"/>
      <c r="U101" s="32"/>
      <c r="V101" s="770">
        <v>0.0</v>
      </c>
      <c r="W101" s="252">
        <f t="shared" si="14"/>
        <v>0</v>
      </c>
      <c r="X101" s="252">
        <f t="shared" ref="X101:BA101" si="74">IF(AND(X$41-$A101&gt;$V$27,SUM($W101:W101)&lt;&gt;$V101),$V101,0)</f>
        <v>0</v>
      </c>
      <c r="Y101" s="252">
        <f t="shared" si="74"/>
        <v>0</v>
      </c>
      <c r="Z101" s="252">
        <f t="shared" si="74"/>
        <v>0</v>
      </c>
      <c r="AA101" s="252">
        <f t="shared" si="74"/>
        <v>0</v>
      </c>
      <c r="AB101" s="252">
        <f t="shared" si="74"/>
        <v>0</v>
      </c>
      <c r="AC101" s="252">
        <f t="shared" si="74"/>
        <v>0</v>
      </c>
      <c r="AD101" s="252">
        <f t="shared" si="74"/>
        <v>0</v>
      </c>
      <c r="AE101" s="252">
        <f t="shared" si="74"/>
        <v>0</v>
      </c>
      <c r="AF101" s="252">
        <f t="shared" si="74"/>
        <v>0</v>
      </c>
      <c r="AG101" s="252">
        <f t="shared" si="74"/>
        <v>0</v>
      </c>
      <c r="AH101" s="252">
        <f t="shared" si="74"/>
        <v>0</v>
      </c>
      <c r="AI101" s="252">
        <f t="shared" si="74"/>
        <v>0</v>
      </c>
      <c r="AJ101" s="252">
        <f t="shared" si="74"/>
        <v>0</v>
      </c>
      <c r="AK101" s="252">
        <f t="shared" si="74"/>
        <v>0</v>
      </c>
      <c r="AL101" s="252">
        <f t="shared" si="74"/>
        <v>0</v>
      </c>
      <c r="AM101" s="252">
        <f t="shared" si="74"/>
        <v>0</v>
      </c>
      <c r="AN101" s="252">
        <f t="shared" si="74"/>
        <v>0</v>
      </c>
      <c r="AO101" s="252">
        <f t="shared" si="74"/>
        <v>0</v>
      </c>
      <c r="AP101" s="252">
        <f t="shared" si="74"/>
        <v>0</v>
      </c>
      <c r="AQ101" s="252">
        <f t="shared" si="74"/>
        <v>0</v>
      </c>
      <c r="AR101" s="252">
        <f t="shared" si="74"/>
        <v>0</v>
      </c>
      <c r="AS101" s="252">
        <f t="shared" si="74"/>
        <v>0</v>
      </c>
      <c r="AT101" s="252">
        <f t="shared" si="74"/>
        <v>0</v>
      </c>
      <c r="AU101" s="252">
        <f t="shared" si="74"/>
        <v>0</v>
      </c>
      <c r="AV101" s="252">
        <f t="shared" si="74"/>
        <v>0</v>
      </c>
      <c r="AW101" s="252">
        <f t="shared" si="74"/>
        <v>0</v>
      </c>
      <c r="AX101" s="252">
        <f t="shared" si="74"/>
        <v>0</v>
      </c>
      <c r="AY101" s="252">
        <f t="shared" si="74"/>
        <v>0</v>
      </c>
      <c r="AZ101" s="252">
        <f t="shared" si="74"/>
        <v>0</v>
      </c>
      <c r="BA101" s="252">
        <f t="shared" si="74"/>
        <v>0</v>
      </c>
      <c r="BB101" s="32"/>
    </row>
    <row r="102">
      <c r="A102" s="768">
        <v>1991.0</v>
      </c>
      <c r="B102" s="32"/>
      <c r="C102" s="32"/>
      <c r="D102" s="32"/>
      <c r="E102" s="32"/>
      <c r="F102" s="32"/>
      <c r="G102" s="32"/>
      <c r="H102" s="32"/>
      <c r="I102" s="32"/>
      <c r="J102" s="32"/>
      <c r="K102" s="32"/>
      <c r="L102" s="32"/>
      <c r="M102" s="32"/>
      <c r="N102" s="32"/>
      <c r="O102" s="32"/>
      <c r="P102" s="32"/>
      <c r="Q102" s="32"/>
      <c r="R102" s="32"/>
      <c r="S102" s="32"/>
      <c r="T102" s="32"/>
      <c r="U102" s="32"/>
      <c r="V102" s="770">
        <v>0.0</v>
      </c>
      <c r="W102" s="252">
        <f t="shared" si="14"/>
        <v>0</v>
      </c>
      <c r="X102" s="252">
        <f t="shared" ref="X102:BA102" si="75">IF(AND(X$41-$A102&gt;$V$27,SUM($W102:W102)&lt;&gt;$V102),$V102,0)</f>
        <v>0</v>
      </c>
      <c r="Y102" s="252">
        <f t="shared" si="75"/>
        <v>0</v>
      </c>
      <c r="Z102" s="252">
        <f t="shared" si="75"/>
        <v>0</v>
      </c>
      <c r="AA102" s="252">
        <f t="shared" si="75"/>
        <v>0</v>
      </c>
      <c r="AB102" s="252">
        <f t="shared" si="75"/>
        <v>0</v>
      </c>
      <c r="AC102" s="252">
        <f t="shared" si="75"/>
        <v>0</v>
      </c>
      <c r="AD102" s="252">
        <f t="shared" si="75"/>
        <v>0</v>
      </c>
      <c r="AE102" s="252">
        <f t="shared" si="75"/>
        <v>0</v>
      </c>
      <c r="AF102" s="252">
        <f t="shared" si="75"/>
        <v>0</v>
      </c>
      <c r="AG102" s="252">
        <f t="shared" si="75"/>
        <v>0</v>
      </c>
      <c r="AH102" s="252">
        <f t="shared" si="75"/>
        <v>0</v>
      </c>
      <c r="AI102" s="252">
        <f t="shared" si="75"/>
        <v>0</v>
      </c>
      <c r="AJ102" s="252">
        <f t="shared" si="75"/>
        <v>0</v>
      </c>
      <c r="AK102" s="252">
        <f t="shared" si="75"/>
        <v>0</v>
      </c>
      <c r="AL102" s="252">
        <f t="shared" si="75"/>
        <v>0</v>
      </c>
      <c r="AM102" s="252">
        <f t="shared" si="75"/>
        <v>0</v>
      </c>
      <c r="AN102" s="252">
        <f t="shared" si="75"/>
        <v>0</v>
      </c>
      <c r="AO102" s="252">
        <f t="shared" si="75"/>
        <v>0</v>
      </c>
      <c r="AP102" s="252">
        <f t="shared" si="75"/>
        <v>0</v>
      </c>
      <c r="AQ102" s="252">
        <f t="shared" si="75"/>
        <v>0</v>
      </c>
      <c r="AR102" s="252">
        <f t="shared" si="75"/>
        <v>0</v>
      </c>
      <c r="AS102" s="252">
        <f t="shared" si="75"/>
        <v>0</v>
      </c>
      <c r="AT102" s="252">
        <f t="shared" si="75"/>
        <v>0</v>
      </c>
      <c r="AU102" s="252">
        <f t="shared" si="75"/>
        <v>0</v>
      </c>
      <c r="AV102" s="252">
        <f t="shared" si="75"/>
        <v>0</v>
      </c>
      <c r="AW102" s="252">
        <f t="shared" si="75"/>
        <v>0</v>
      </c>
      <c r="AX102" s="252">
        <f t="shared" si="75"/>
        <v>0</v>
      </c>
      <c r="AY102" s="252">
        <f t="shared" si="75"/>
        <v>0</v>
      </c>
      <c r="AZ102" s="252">
        <f t="shared" si="75"/>
        <v>0</v>
      </c>
      <c r="BA102" s="252">
        <f t="shared" si="75"/>
        <v>0</v>
      </c>
      <c r="BB102" s="32"/>
    </row>
    <row r="103">
      <c r="A103" s="768">
        <v>1992.0</v>
      </c>
      <c r="B103" s="32"/>
      <c r="C103" s="32"/>
      <c r="D103" s="32"/>
      <c r="E103" s="32"/>
      <c r="F103" s="32"/>
      <c r="G103" s="32"/>
      <c r="H103" s="32"/>
      <c r="I103" s="32"/>
      <c r="J103" s="32"/>
      <c r="K103" s="32"/>
      <c r="L103" s="32"/>
      <c r="M103" s="32"/>
      <c r="N103" s="32"/>
      <c r="O103" s="32"/>
      <c r="P103" s="32"/>
      <c r="Q103" s="32"/>
      <c r="R103" s="32"/>
      <c r="S103" s="32"/>
      <c r="T103" s="32"/>
      <c r="U103" s="32"/>
      <c r="V103" s="770">
        <v>0.0</v>
      </c>
      <c r="W103" s="252">
        <f t="shared" si="14"/>
        <v>0</v>
      </c>
      <c r="X103" s="252">
        <f t="shared" ref="X103:BA103" si="76">IF(AND(X$41-$A103&gt;$V$27,SUM($W103:W103)&lt;&gt;$V103),$V103,0)</f>
        <v>0</v>
      </c>
      <c r="Y103" s="252">
        <f t="shared" si="76"/>
        <v>0</v>
      </c>
      <c r="Z103" s="252">
        <f t="shared" si="76"/>
        <v>0</v>
      </c>
      <c r="AA103" s="252">
        <f t="shared" si="76"/>
        <v>0</v>
      </c>
      <c r="AB103" s="252">
        <f t="shared" si="76"/>
        <v>0</v>
      </c>
      <c r="AC103" s="252">
        <f t="shared" si="76"/>
        <v>0</v>
      </c>
      <c r="AD103" s="252">
        <f t="shared" si="76"/>
        <v>0</v>
      </c>
      <c r="AE103" s="252">
        <f t="shared" si="76"/>
        <v>0</v>
      </c>
      <c r="AF103" s="252">
        <f t="shared" si="76"/>
        <v>0</v>
      </c>
      <c r="AG103" s="252">
        <f t="shared" si="76"/>
        <v>0</v>
      </c>
      <c r="AH103" s="252">
        <f t="shared" si="76"/>
        <v>0</v>
      </c>
      <c r="AI103" s="252">
        <f t="shared" si="76"/>
        <v>0</v>
      </c>
      <c r="AJ103" s="252">
        <f t="shared" si="76"/>
        <v>0</v>
      </c>
      <c r="AK103" s="252">
        <f t="shared" si="76"/>
        <v>0</v>
      </c>
      <c r="AL103" s="252">
        <f t="shared" si="76"/>
        <v>0</v>
      </c>
      <c r="AM103" s="252">
        <f t="shared" si="76"/>
        <v>0</v>
      </c>
      <c r="AN103" s="252">
        <f t="shared" si="76"/>
        <v>0</v>
      </c>
      <c r="AO103" s="252">
        <f t="shared" si="76"/>
        <v>0</v>
      </c>
      <c r="AP103" s="252">
        <f t="shared" si="76"/>
        <v>0</v>
      </c>
      <c r="AQ103" s="252">
        <f t="shared" si="76"/>
        <v>0</v>
      </c>
      <c r="AR103" s="252">
        <f t="shared" si="76"/>
        <v>0</v>
      </c>
      <c r="AS103" s="252">
        <f t="shared" si="76"/>
        <v>0</v>
      </c>
      <c r="AT103" s="252">
        <f t="shared" si="76"/>
        <v>0</v>
      </c>
      <c r="AU103" s="252">
        <f t="shared" si="76"/>
        <v>0</v>
      </c>
      <c r="AV103" s="252">
        <f t="shared" si="76"/>
        <v>0</v>
      </c>
      <c r="AW103" s="252">
        <f t="shared" si="76"/>
        <v>0</v>
      </c>
      <c r="AX103" s="252">
        <f t="shared" si="76"/>
        <v>0</v>
      </c>
      <c r="AY103" s="252">
        <f t="shared" si="76"/>
        <v>0</v>
      </c>
      <c r="AZ103" s="252">
        <f t="shared" si="76"/>
        <v>0</v>
      </c>
      <c r="BA103" s="252">
        <f t="shared" si="76"/>
        <v>0</v>
      </c>
      <c r="BB103" s="32"/>
    </row>
    <row r="104">
      <c r="A104" s="768">
        <v>1993.0</v>
      </c>
      <c r="B104" s="32"/>
      <c r="C104" s="32"/>
      <c r="D104" s="32"/>
      <c r="E104" s="32"/>
      <c r="F104" s="32"/>
      <c r="G104" s="32"/>
      <c r="H104" s="32"/>
      <c r="I104" s="32"/>
      <c r="J104" s="32"/>
      <c r="K104" s="32"/>
      <c r="L104" s="32"/>
      <c r="M104" s="32"/>
      <c r="N104" s="32"/>
      <c r="O104" s="32"/>
      <c r="P104" s="32"/>
      <c r="Q104" s="32"/>
      <c r="R104" s="32"/>
      <c r="S104" s="32"/>
      <c r="T104" s="32"/>
      <c r="U104" s="32"/>
      <c r="V104" s="770">
        <v>0.0</v>
      </c>
      <c r="W104" s="252">
        <f t="shared" si="14"/>
        <v>0</v>
      </c>
      <c r="X104" s="252">
        <f t="shared" ref="X104:BA104" si="77">IF(AND(X$41-$A104&gt;$V$27,SUM($W104:W104)&lt;&gt;$V104),$V104,0)</f>
        <v>0</v>
      </c>
      <c r="Y104" s="252">
        <f t="shared" si="77"/>
        <v>0</v>
      </c>
      <c r="Z104" s="252">
        <f t="shared" si="77"/>
        <v>0</v>
      </c>
      <c r="AA104" s="252">
        <f t="shared" si="77"/>
        <v>0</v>
      </c>
      <c r="AB104" s="252">
        <f t="shared" si="77"/>
        <v>0</v>
      </c>
      <c r="AC104" s="252">
        <f t="shared" si="77"/>
        <v>0</v>
      </c>
      <c r="AD104" s="252">
        <f t="shared" si="77"/>
        <v>0</v>
      </c>
      <c r="AE104" s="252">
        <f t="shared" si="77"/>
        <v>0</v>
      </c>
      <c r="AF104" s="252">
        <f t="shared" si="77"/>
        <v>0</v>
      </c>
      <c r="AG104" s="252">
        <f t="shared" si="77"/>
        <v>0</v>
      </c>
      <c r="AH104" s="252">
        <f t="shared" si="77"/>
        <v>0</v>
      </c>
      <c r="AI104" s="252">
        <f t="shared" si="77"/>
        <v>0</v>
      </c>
      <c r="AJ104" s="252">
        <f t="shared" si="77"/>
        <v>0</v>
      </c>
      <c r="AK104" s="252">
        <f t="shared" si="77"/>
        <v>0</v>
      </c>
      <c r="AL104" s="252">
        <f t="shared" si="77"/>
        <v>0</v>
      </c>
      <c r="AM104" s="252">
        <f t="shared" si="77"/>
        <v>0</v>
      </c>
      <c r="AN104" s="252">
        <f t="shared" si="77"/>
        <v>0</v>
      </c>
      <c r="AO104" s="252">
        <f t="shared" si="77"/>
        <v>0</v>
      </c>
      <c r="AP104" s="252">
        <f t="shared" si="77"/>
        <v>0</v>
      </c>
      <c r="AQ104" s="252">
        <f t="shared" si="77"/>
        <v>0</v>
      </c>
      <c r="AR104" s="252">
        <f t="shared" si="77"/>
        <v>0</v>
      </c>
      <c r="AS104" s="252">
        <f t="shared" si="77"/>
        <v>0</v>
      </c>
      <c r="AT104" s="252">
        <f t="shared" si="77"/>
        <v>0</v>
      </c>
      <c r="AU104" s="252">
        <f t="shared" si="77"/>
        <v>0</v>
      </c>
      <c r="AV104" s="252">
        <f t="shared" si="77"/>
        <v>0</v>
      </c>
      <c r="AW104" s="252">
        <f t="shared" si="77"/>
        <v>0</v>
      </c>
      <c r="AX104" s="252">
        <f t="shared" si="77"/>
        <v>0</v>
      </c>
      <c r="AY104" s="252">
        <f t="shared" si="77"/>
        <v>0</v>
      </c>
      <c r="AZ104" s="252">
        <f t="shared" si="77"/>
        <v>0</v>
      </c>
      <c r="BA104" s="252">
        <f t="shared" si="77"/>
        <v>0</v>
      </c>
      <c r="BB104" s="32"/>
    </row>
    <row r="105">
      <c r="A105" s="768">
        <v>1994.0</v>
      </c>
      <c r="B105" s="32"/>
      <c r="C105" s="32"/>
      <c r="D105" s="32"/>
      <c r="E105" s="32"/>
      <c r="F105" s="32"/>
      <c r="G105" s="32"/>
      <c r="H105" s="32"/>
      <c r="I105" s="32"/>
      <c r="J105" s="32"/>
      <c r="K105" s="32"/>
      <c r="L105" s="32"/>
      <c r="M105" s="32"/>
      <c r="N105" s="32"/>
      <c r="O105" s="32"/>
      <c r="P105" s="32"/>
      <c r="Q105" s="32"/>
      <c r="R105" s="32"/>
      <c r="S105" s="32"/>
      <c r="T105" s="32"/>
      <c r="U105" s="32"/>
      <c r="V105" s="770">
        <v>0.0</v>
      </c>
      <c r="W105" s="252">
        <f t="shared" si="14"/>
        <v>0</v>
      </c>
      <c r="X105" s="252">
        <f t="shared" ref="X105:BA105" si="78">IF(AND(X$41-$A105&gt;$V$27,SUM($W105:W105)&lt;&gt;$V105),$V105,0)</f>
        <v>0</v>
      </c>
      <c r="Y105" s="252">
        <f t="shared" si="78"/>
        <v>0</v>
      </c>
      <c r="Z105" s="252">
        <f t="shared" si="78"/>
        <v>0</v>
      </c>
      <c r="AA105" s="252">
        <f t="shared" si="78"/>
        <v>0</v>
      </c>
      <c r="AB105" s="252">
        <f t="shared" si="78"/>
        <v>0</v>
      </c>
      <c r="AC105" s="252">
        <f t="shared" si="78"/>
        <v>0</v>
      </c>
      <c r="AD105" s="252">
        <f t="shared" si="78"/>
        <v>0</v>
      </c>
      <c r="AE105" s="252">
        <f t="shared" si="78"/>
        <v>0</v>
      </c>
      <c r="AF105" s="252">
        <f t="shared" si="78"/>
        <v>0</v>
      </c>
      <c r="AG105" s="252">
        <f t="shared" si="78"/>
        <v>0</v>
      </c>
      <c r="AH105" s="252">
        <f t="shared" si="78"/>
        <v>0</v>
      </c>
      <c r="AI105" s="252">
        <f t="shared" si="78"/>
        <v>0</v>
      </c>
      <c r="AJ105" s="252">
        <f t="shared" si="78"/>
        <v>0</v>
      </c>
      <c r="AK105" s="252">
        <f t="shared" si="78"/>
        <v>0</v>
      </c>
      <c r="AL105" s="252">
        <f t="shared" si="78"/>
        <v>0</v>
      </c>
      <c r="AM105" s="252">
        <f t="shared" si="78"/>
        <v>0</v>
      </c>
      <c r="AN105" s="252">
        <f t="shared" si="78"/>
        <v>0</v>
      </c>
      <c r="AO105" s="252">
        <f t="shared" si="78"/>
        <v>0</v>
      </c>
      <c r="AP105" s="252">
        <f t="shared" si="78"/>
        <v>0</v>
      </c>
      <c r="AQ105" s="252">
        <f t="shared" si="78"/>
        <v>0</v>
      </c>
      <c r="AR105" s="252">
        <f t="shared" si="78"/>
        <v>0</v>
      </c>
      <c r="AS105" s="252">
        <f t="shared" si="78"/>
        <v>0</v>
      </c>
      <c r="AT105" s="252">
        <f t="shared" si="78"/>
        <v>0</v>
      </c>
      <c r="AU105" s="252">
        <f t="shared" si="78"/>
        <v>0</v>
      </c>
      <c r="AV105" s="252">
        <f t="shared" si="78"/>
        <v>0</v>
      </c>
      <c r="AW105" s="252">
        <f t="shared" si="78"/>
        <v>0</v>
      </c>
      <c r="AX105" s="252">
        <f t="shared" si="78"/>
        <v>0</v>
      </c>
      <c r="AY105" s="252">
        <f t="shared" si="78"/>
        <v>0</v>
      </c>
      <c r="AZ105" s="252">
        <f t="shared" si="78"/>
        <v>0</v>
      </c>
      <c r="BA105" s="252">
        <f t="shared" si="78"/>
        <v>0</v>
      </c>
      <c r="BB105" s="32"/>
    </row>
    <row r="106">
      <c r="A106" s="768">
        <v>1995.0</v>
      </c>
      <c r="B106" s="32"/>
      <c r="C106" s="32"/>
      <c r="D106" s="32"/>
      <c r="E106" s="32"/>
      <c r="F106" s="32"/>
      <c r="G106" s="32"/>
      <c r="H106" s="32"/>
      <c r="I106" s="32"/>
      <c r="J106" s="32"/>
      <c r="K106" s="32"/>
      <c r="L106" s="32"/>
      <c r="M106" s="32"/>
      <c r="N106" s="32"/>
      <c r="O106" s="32"/>
      <c r="P106" s="32"/>
      <c r="Q106" s="32"/>
      <c r="R106" s="32"/>
      <c r="S106" s="32"/>
      <c r="T106" s="32"/>
      <c r="U106" s="32"/>
      <c r="V106" s="770">
        <v>0.0</v>
      </c>
      <c r="W106" s="252">
        <f t="shared" si="14"/>
        <v>0</v>
      </c>
      <c r="X106" s="252">
        <f t="shared" ref="X106:BA106" si="79">IF(AND(X$41-$A106&gt;$V$27,SUM($W106:W106)&lt;&gt;$V106),$V106,0)</f>
        <v>0</v>
      </c>
      <c r="Y106" s="252">
        <f t="shared" si="79"/>
        <v>0</v>
      </c>
      <c r="Z106" s="252">
        <f t="shared" si="79"/>
        <v>0</v>
      </c>
      <c r="AA106" s="252">
        <f t="shared" si="79"/>
        <v>0</v>
      </c>
      <c r="AB106" s="252">
        <f t="shared" si="79"/>
        <v>0</v>
      </c>
      <c r="AC106" s="252">
        <f t="shared" si="79"/>
        <v>0</v>
      </c>
      <c r="AD106" s="252">
        <f t="shared" si="79"/>
        <v>0</v>
      </c>
      <c r="AE106" s="252">
        <f t="shared" si="79"/>
        <v>0</v>
      </c>
      <c r="AF106" s="252">
        <f t="shared" si="79"/>
        <v>0</v>
      </c>
      <c r="AG106" s="252">
        <f t="shared" si="79"/>
        <v>0</v>
      </c>
      <c r="AH106" s="252">
        <f t="shared" si="79"/>
        <v>0</v>
      </c>
      <c r="AI106" s="252">
        <f t="shared" si="79"/>
        <v>0</v>
      </c>
      <c r="AJ106" s="252">
        <f t="shared" si="79"/>
        <v>0</v>
      </c>
      <c r="AK106" s="252">
        <f t="shared" si="79"/>
        <v>0</v>
      </c>
      <c r="AL106" s="252">
        <f t="shared" si="79"/>
        <v>0</v>
      </c>
      <c r="AM106" s="252">
        <f t="shared" si="79"/>
        <v>0</v>
      </c>
      <c r="AN106" s="252">
        <f t="shared" si="79"/>
        <v>0</v>
      </c>
      <c r="AO106" s="252">
        <f t="shared" si="79"/>
        <v>0</v>
      </c>
      <c r="AP106" s="252">
        <f t="shared" si="79"/>
        <v>0</v>
      </c>
      <c r="AQ106" s="252">
        <f t="shared" si="79"/>
        <v>0</v>
      </c>
      <c r="AR106" s="252">
        <f t="shared" si="79"/>
        <v>0</v>
      </c>
      <c r="AS106" s="252">
        <f t="shared" si="79"/>
        <v>0</v>
      </c>
      <c r="AT106" s="252">
        <f t="shared" si="79"/>
        <v>0</v>
      </c>
      <c r="AU106" s="252">
        <f t="shared" si="79"/>
        <v>0</v>
      </c>
      <c r="AV106" s="252">
        <f t="shared" si="79"/>
        <v>0</v>
      </c>
      <c r="AW106" s="252">
        <f t="shared" si="79"/>
        <v>0</v>
      </c>
      <c r="AX106" s="252">
        <f t="shared" si="79"/>
        <v>0</v>
      </c>
      <c r="AY106" s="252">
        <f t="shared" si="79"/>
        <v>0</v>
      </c>
      <c r="AZ106" s="252">
        <f t="shared" si="79"/>
        <v>0</v>
      </c>
      <c r="BA106" s="252">
        <f t="shared" si="79"/>
        <v>0</v>
      </c>
      <c r="BB106" s="32"/>
    </row>
    <row r="107">
      <c r="A107" s="768">
        <v>1996.0</v>
      </c>
      <c r="B107" s="32"/>
      <c r="C107" s="32"/>
      <c r="D107" s="32"/>
      <c r="E107" s="32"/>
      <c r="F107" s="32"/>
      <c r="G107" s="32"/>
      <c r="H107" s="32"/>
      <c r="I107" s="32"/>
      <c r="J107" s="32"/>
      <c r="K107" s="32"/>
      <c r="L107" s="32"/>
      <c r="M107" s="32"/>
      <c r="N107" s="32"/>
      <c r="O107" s="32"/>
      <c r="P107" s="32"/>
      <c r="Q107" s="32"/>
      <c r="R107" s="32"/>
      <c r="S107" s="32"/>
      <c r="T107" s="32"/>
      <c r="U107" s="32"/>
      <c r="V107" s="770">
        <v>0.0</v>
      </c>
      <c r="W107" s="252">
        <f t="shared" si="14"/>
        <v>0</v>
      </c>
      <c r="X107" s="252">
        <f t="shared" ref="X107:BA107" si="80">IF(AND(X$41-$A107&gt;$V$27,SUM($W107:W107)&lt;&gt;$V107),$V107,0)</f>
        <v>0</v>
      </c>
      <c r="Y107" s="252">
        <f t="shared" si="80"/>
        <v>0</v>
      </c>
      <c r="Z107" s="252">
        <f t="shared" si="80"/>
        <v>0</v>
      </c>
      <c r="AA107" s="252">
        <f t="shared" si="80"/>
        <v>0</v>
      </c>
      <c r="AB107" s="252">
        <f t="shared" si="80"/>
        <v>0</v>
      </c>
      <c r="AC107" s="252">
        <f t="shared" si="80"/>
        <v>0</v>
      </c>
      <c r="AD107" s="252">
        <f t="shared" si="80"/>
        <v>0</v>
      </c>
      <c r="AE107" s="252">
        <f t="shared" si="80"/>
        <v>0</v>
      </c>
      <c r="AF107" s="252">
        <f t="shared" si="80"/>
        <v>0</v>
      </c>
      <c r="AG107" s="252">
        <f t="shared" si="80"/>
        <v>0</v>
      </c>
      <c r="AH107" s="252">
        <f t="shared" si="80"/>
        <v>0</v>
      </c>
      <c r="AI107" s="252">
        <f t="shared" si="80"/>
        <v>0</v>
      </c>
      <c r="AJ107" s="252">
        <f t="shared" si="80"/>
        <v>0</v>
      </c>
      <c r="AK107" s="252">
        <f t="shared" si="80"/>
        <v>0</v>
      </c>
      <c r="AL107" s="252">
        <f t="shared" si="80"/>
        <v>0</v>
      </c>
      <c r="AM107" s="252">
        <f t="shared" si="80"/>
        <v>0</v>
      </c>
      <c r="AN107" s="252">
        <f t="shared" si="80"/>
        <v>0</v>
      </c>
      <c r="AO107" s="252">
        <f t="shared" si="80"/>
        <v>0</v>
      </c>
      <c r="AP107" s="252">
        <f t="shared" si="80"/>
        <v>0</v>
      </c>
      <c r="AQ107" s="252">
        <f t="shared" si="80"/>
        <v>0</v>
      </c>
      <c r="AR107" s="252">
        <f t="shared" si="80"/>
        <v>0</v>
      </c>
      <c r="AS107" s="252">
        <f t="shared" si="80"/>
        <v>0</v>
      </c>
      <c r="AT107" s="252">
        <f t="shared" si="80"/>
        <v>0</v>
      </c>
      <c r="AU107" s="252">
        <f t="shared" si="80"/>
        <v>0</v>
      </c>
      <c r="AV107" s="252">
        <f t="shared" si="80"/>
        <v>0</v>
      </c>
      <c r="AW107" s="252">
        <f t="shared" si="80"/>
        <v>0</v>
      </c>
      <c r="AX107" s="252">
        <f t="shared" si="80"/>
        <v>0</v>
      </c>
      <c r="AY107" s="252">
        <f t="shared" si="80"/>
        <v>0</v>
      </c>
      <c r="AZ107" s="252">
        <f t="shared" si="80"/>
        <v>0</v>
      </c>
      <c r="BA107" s="252">
        <f t="shared" si="80"/>
        <v>0</v>
      </c>
      <c r="BB107" s="32"/>
    </row>
    <row r="108">
      <c r="A108" s="768">
        <v>1997.0</v>
      </c>
      <c r="B108" s="32"/>
      <c r="C108" s="32"/>
      <c r="D108" s="32"/>
      <c r="E108" s="32"/>
      <c r="F108" s="32"/>
      <c r="G108" s="32"/>
      <c r="H108" s="32"/>
      <c r="I108" s="32"/>
      <c r="J108" s="32"/>
      <c r="K108" s="32"/>
      <c r="L108" s="32"/>
      <c r="M108" s="32"/>
      <c r="N108" s="32"/>
      <c r="O108" s="32"/>
      <c r="P108" s="32"/>
      <c r="Q108" s="32"/>
      <c r="R108" s="32"/>
      <c r="S108" s="32"/>
      <c r="T108" s="32"/>
      <c r="U108" s="32"/>
      <c r="V108" s="770">
        <v>0.0</v>
      </c>
      <c r="W108" s="252">
        <f t="shared" si="14"/>
        <v>0</v>
      </c>
      <c r="X108" s="252">
        <f t="shared" ref="X108:BA108" si="81">IF(AND(X$41-$A108&gt;$V$27,SUM($W108:W108)&lt;&gt;$V108),$V108,0)</f>
        <v>0</v>
      </c>
      <c r="Y108" s="252">
        <f t="shared" si="81"/>
        <v>0</v>
      </c>
      <c r="Z108" s="252">
        <f t="shared" si="81"/>
        <v>0</v>
      </c>
      <c r="AA108" s="252">
        <f t="shared" si="81"/>
        <v>0</v>
      </c>
      <c r="AB108" s="252">
        <f t="shared" si="81"/>
        <v>0</v>
      </c>
      <c r="AC108" s="252">
        <f t="shared" si="81"/>
        <v>0</v>
      </c>
      <c r="AD108" s="252">
        <f t="shared" si="81"/>
        <v>0</v>
      </c>
      <c r="AE108" s="252">
        <f t="shared" si="81"/>
        <v>0</v>
      </c>
      <c r="AF108" s="252">
        <f t="shared" si="81"/>
        <v>0</v>
      </c>
      <c r="AG108" s="252">
        <f t="shared" si="81"/>
        <v>0</v>
      </c>
      <c r="AH108" s="252">
        <f t="shared" si="81"/>
        <v>0</v>
      </c>
      <c r="AI108" s="252">
        <f t="shared" si="81"/>
        <v>0</v>
      </c>
      <c r="AJ108" s="252">
        <f t="shared" si="81"/>
        <v>0</v>
      </c>
      <c r="AK108" s="252">
        <f t="shared" si="81"/>
        <v>0</v>
      </c>
      <c r="AL108" s="252">
        <f t="shared" si="81"/>
        <v>0</v>
      </c>
      <c r="AM108" s="252">
        <f t="shared" si="81"/>
        <v>0</v>
      </c>
      <c r="AN108" s="252">
        <f t="shared" si="81"/>
        <v>0</v>
      </c>
      <c r="AO108" s="252">
        <f t="shared" si="81"/>
        <v>0</v>
      </c>
      <c r="AP108" s="252">
        <f t="shared" si="81"/>
        <v>0</v>
      </c>
      <c r="AQ108" s="252">
        <f t="shared" si="81"/>
        <v>0</v>
      </c>
      <c r="AR108" s="252">
        <f t="shared" si="81"/>
        <v>0</v>
      </c>
      <c r="AS108" s="252">
        <f t="shared" si="81"/>
        <v>0</v>
      </c>
      <c r="AT108" s="252">
        <f t="shared" si="81"/>
        <v>0</v>
      </c>
      <c r="AU108" s="252">
        <f t="shared" si="81"/>
        <v>0</v>
      </c>
      <c r="AV108" s="252">
        <f t="shared" si="81"/>
        <v>0</v>
      </c>
      <c r="AW108" s="252">
        <f t="shared" si="81"/>
        <v>0</v>
      </c>
      <c r="AX108" s="252">
        <f t="shared" si="81"/>
        <v>0</v>
      </c>
      <c r="AY108" s="252">
        <f t="shared" si="81"/>
        <v>0</v>
      </c>
      <c r="AZ108" s="252">
        <f t="shared" si="81"/>
        <v>0</v>
      </c>
      <c r="BA108" s="252">
        <f t="shared" si="81"/>
        <v>0</v>
      </c>
      <c r="BB108" s="32"/>
    </row>
    <row r="109">
      <c r="A109" s="768">
        <v>1998.0</v>
      </c>
      <c r="B109" s="32"/>
      <c r="C109" s="32"/>
      <c r="D109" s="32"/>
      <c r="E109" s="32"/>
      <c r="F109" s="32"/>
      <c r="G109" s="32"/>
      <c r="H109" s="32"/>
      <c r="I109" s="32"/>
      <c r="J109" s="32"/>
      <c r="K109" s="32"/>
      <c r="L109" s="32"/>
      <c r="M109" s="32"/>
      <c r="N109" s="32"/>
      <c r="O109" s="32"/>
      <c r="P109" s="32"/>
      <c r="Q109" s="32"/>
      <c r="R109" s="32"/>
      <c r="S109" s="32"/>
      <c r="T109" s="32"/>
      <c r="U109" s="32"/>
      <c r="V109" s="770">
        <v>0.0</v>
      </c>
      <c r="W109" s="252">
        <f t="shared" si="14"/>
        <v>0</v>
      </c>
      <c r="X109" s="252">
        <f t="shared" ref="X109:BA109" si="82">IF(AND(X$41-$A109&gt;$V$27,SUM($W109:W109)&lt;&gt;$V109),$V109,0)</f>
        <v>0</v>
      </c>
      <c r="Y109" s="252">
        <f t="shared" si="82"/>
        <v>0</v>
      </c>
      <c r="Z109" s="252">
        <f t="shared" si="82"/>
        <v>0</v>
      </c>
      <c r="AA109" s="252">
        <f t="shared" si="82"/>
        <v>0</v>
      </c>
      <c r="AB109" s="252">
        <f t="shared" si="82"/>
        <v>0</v>
      </c>
      <c r="AC109" s="252">
        <f t="shared" si="82"/>
        <v>0</v>
      </c>
      <c r="AD109" s="252">
        <f t="shared" si="82"/>
        <v>0</v>
      </c>
      <c r="AE109" s="252">
        <f t="shared" si="82"/>
        <v>0</v>
      </c>
      <c r="AF109" s="252">
        <f t="shared" si="82"/>
        <v>0</v>
      </c>
      <c r="AG109" s="252">
        <f t="shared" si="82"/>
        <v>0</v>
      </c>
      <c r="AH109" s="252">
        <f t="shared" si="82"/>
        <v>0</v>
      </c>
      <c r="AI109" s="252">
        <f t="shared" si="82"/>
        <v>0</v>
      </c>
      <c r="AJ109" s="252">
        <f t="shared" si="82"/>
        <v>0</v>
      </c>
      <c r="AK109" s="252">
        <f t="shared" si="82"/>
        <v>0</v>
      </c>
      <c r="AL109" s="252">
        <f t="shared" si="82"/>
        <v>0</v>
      </c>
      <c r="AM109" s="252">
        <f t="shared" si="82"/>
        <v>0</v>
      </c>
      <c r="AN109" s="252">
        <f t="shared" si="82"/>
        <v>0</v>
      </c>
      <c r="AO109" s="252">
        <f t="shared" si="82"/>
        <v>0</v>
      </c>
      <c r="AP109" s="252">
        <f t="shared" si="82"/>
        <v>0</v>
      </c>
      <c r="AQ109" s="252">
        <f t="shared" si="82"/>
        <v>0</v>
      </c>
      <c r="AR109" s="252">
        <f t="shared" si="82"/>
        <v>0</v>
      </c>
      <c r="AS109" s="252">
        <f t="shared" si="82"/>
        <v>0</v>
      </c>
      <c r="AT109" s="252">
        <f t="shared" si="82"/>
        <v>0</v>
      </c>
      <c r="AU109" s="252">
        <f t="shared" si="82"/>
        <v>0</v>
      </c>
      <c r="AV109" s="252">
        <f t="shared" si="82"/>
        <v>0</v>
      </c>
      <c r="AW109" s="252">
        <f t="shared" si="82"/>
        <v>0</v>
      </c>
      <c r="AX109" s="252">
        <f t="shared" si="82"/>
        <v>0</v>
      </c>
      <c r="AY109" s="252">
        <f t="shared" si="82"/>
        <v>0</v>
      </c>
      <c r="AZ109" s="252">
        <f t="shared" si="82"/>
        <v>0</v>
      </c>
      <c r="BA109" s="252">
        <f t="shared" si="82"/>
        <v>0</v>
      </c>
      <c r="BB109" s="32"/>
    </row>
    <row r="110">
      <c r="A110" s="768">
        <v>1999.0</v>
      </c>
      <c r="B110" s="32"/>
      <c r="C110" s="32"/>
      <c r="D110" s="32"/>
      <c r="E110" s="32"/>
      <c r="F110" s="32"/>
      <c r="G110" s="32"/>
      <c r="H110" s="32"/>
      <c r="I110" s="32"/>
      <c r="J110" s="32"/>
      <c r="K110" s="32"/>
      <c r="L110" s="32"/>
      <c r="M110" s="32"/>
      <c r="N110" s="32"/>
      <c r="O110" s="32"/>
      <c r="P110" s="32"/>
      <c r="Q110" s="32"/>
      <c r="R110" s="32"/>
      <c r="S110" s="32"/>
      <c r="T110" s="32"/>
      <c r="U110" s="32"/>
      <c r="V110" s="770">
        <v>0.0</v>
      </c>
      <c r="W110" s="252">
        <f t="shared" si="14"/>
        <v>0</v>
      </c>
      <c r="X110" s="252">
        <f t="shared" ref="X110:BA110" si="83">IF(AND(X$41-$A110&gt;$V$27,SUM($W110:W110)&lt;&gt;$V110),$V110,0)</f>
        <v>0</v>
      </c>
      <c r="Y110" s="252">
        <f t="shared" si="83"/>
        <v>0</v>
      </c>
      <c r="Z110" s="252">
        <f t="shared" si="83"/>
        <v>0</v>
      </c>
      <c r="AA110" s="252">
        <f t="shared" si="83"/>
        <v>0</v>
      </c>
      <c r="AB110" s="252">
        <f t="shared" si="83"/>
        <v>0</v>
      </c>
      <c r="AC110" s="252">
        <f t="shared" si="83"/>
        <v>0</v>
      </c>
      <c r="AD110" s="252">
        <f t="shared" si="83"/>
        <v>0</v>
      </c>
      <c r="AE110" s="252">
        <f t="shared" si="83"/>
        <v>0</v>
      </c>
      <c r="AF110" s="252">
        <f t="shared" si="83"/>
        <v>0</v>
      </c>
      <c r="AG110" s="252">
        <f t="shared" si="83"/>
        <v>0</v>
      </c>
      <c r="AH110" s="252">
        <f t="shared" si="83"/>
        <v>0</v>
      </c>
      <c r="AI110" s="252">
        <f t="shared" si="83"/>
        <v>0</v>
      </c>
      <c r="AJ110" s="252">
        <f t="shared" si="83"/>
        <v>0</v>
      </c>
      <c r="AK110" s="252">
        <f t="shared" si="83"/>
        <v>0</v>
      </c>
      <c r="AL110" s="252">
        <f t="shared" si="83"/>
        <v>0</v>
      </c>
      <c r="AM110" s="252">
        <f t="shared" si="83"/>
        <v>0</v>
      </c>
      <c r="AN110" s="252">
        <f t="shared" si="83"/>
        <v>0</v>
      </c>
      <c r="AO110" s="252">
        <f t="shared" si="83"/>
        <v>0</v>
      </c>
      <c r="AP110" s="252">
        <f t="shared" si="83"/>
        <v>0</v>
      </c>
      <c r="AQ110" s="252">
        <f t="shared" si="83"/>
        <v>0</v>
      </c>
      <c r="AR110" s="252">
        <f t="shared" si="83"/>
        <v>0</v>
      </c>
      <c r="AS110" s="252">
        <f t="shared" si="83"/>
        <v>0</v>
      </c>
      <c r="AT110" s="252">
        <f t="shared" si="83"/>
        <v>0</v>
      </c>
      <c r="AU110" s="252">
        <f t="shared" si="83"/>
        <v>0</v>
      </c>
      <c r="AV110" s="252">
        <f t="shared" si="83"/>
        <v>0</v>
      </c>
      <c r="AW110" s="252">
        <f t="shared" si="83"/>
        <v>0</v>
      </c>
      <c r="AX110" s="252">
        <f t="shared" si="83"/>
        <v>0</v>
      </c>
      <c r="AY110" s="252">
        <f t="shared" si="83"/>
        <v>0</v>
      </c>
      <c r="AZ110" s="252">
        <f t="shared" si="83"/>
        <v>0</v>
      </c>
      <c r="BA110" s="252">
        <f t="shared" si="83"/>
        <v>0</v>
      </c>
      <c r="BB110" s="32"/>
    </row>
    <row r="111">
      <c r="A111" s="768">
        <v>2000.0</v>
      </c>
      <c r="B111" s="32"/>
      <c r="C111" s="32"/>
      <c r="D111" s="32"/>
      <c r="E111" s="32"/>
      <c r="F111" s="32"/>
      <c r="G111" s="32"/>
      <c r="H111" s="32"/>
      <c r="I111" s="32"/>
      <c r="J111" s="32"/>
      <c r="K111" s="32"/>
      <c r="L111" s="32"/>
      <c r="M111" s="32"/>
      <c r="N111" s="32"/>
      <c r="O111" s="32"/>
      <c r="P111" s="32"/>
      <c r="Q111" s="32"/>
      <c r="R111" s="32"/>
      <c r="S111" s="32"/>
      <c r="T111" s="32"/>
      <c r="U111" s="32"/>
      <c r="V111" s="770">
        <v>0.0</v>
      </c>
      <c r="W111" s="252">
        <f t="shared" si="14"/>
        <v>0</v>
      </c>
      <c r="X111" s="252">
        <f t="shared" ref="X111:BA111" si="84">IF(AND(X$41-$A111&gt;$V$27,SUM($W111:W111)&lt;&gt;$V111),$V111,0)</f>
        <v>0</v>
      </c>
      <c r="Y111" s="252">
        <f t="shared" si="84"/>
        <v>0</v>
      </c>
      <c r="Z111" s="252">
        <f t="shared" si="84"/>
        <v>0</v>
      </c>
      <c r="AA111" s="252">
        <f t="shared" si="84"/>
        <v>0</v>
      </c>
      <c r="AB111" s="252">
        <f t="shared" si="84"/>
        <v>0</v>
      </c>
      <c r="AC111" s="252">
        <f t="shared" si="84"/>
        <v>0</v>
      </c>
      <c r="AD111" s="252">
        <f t="shared" si="84"/>
        <v>0</v>
      </c>
      <c r="AE111" s="252">
        <f t="shared" si="84"/>
        <v>0</v>
      </c>
      <c r="AF111" s="252">
        <f t="shared" si="84"/>
        <v>0</v>
      </c>
      <c r="AG111" s="252">
        <f t="shared" si="84"/>
        <v>0</v>
      </c>
      <c r="AH111" s="252">
        <f t="shared" si="84"/>
        <v>0</v>
      </c>
      <c r="AI111" s="252">
        <f t="shared" si="84"/>
        <v>0</v>
      </c>
      <c r="AJ111" s="252">
        <f t="shared" si="84"/>
        <v>0</v>
      </c>
      <c r="AK111" s="252">
        <f t="shared" si="84"/>
        <v>0</v>
      </c>
      <c r="AL111" s="252">
        <f t="shared" si="84"/>
        <v>0</v>
      </c>
      <c r="AM111" s="252">
        <f t="shared" si="84"/>
        <v>0</v>
      </c>
      <c r="AN111" s="252">
        <f t="shared" si="84"/>
        <v>0</v>
      </c>
      <c r="AO111" s="252">
        <f t="shared" si="84"/>
        <v>0</v>
      </c>
      <c r="AP111" s="252">
        <f t="shared" si="84"/>
        <v>0</v>
      </c>
      <c r="AQ111" s="252">
        <f t="shared" si="84"/>
        <v>0</v>
      </c>
      <c r="AR111" s="252">
        <f t="shared" si="84"/>
        <v>0</v>
      </c>
      <c r="AS111" s="252">
        <f t="shared" si="84"/>
        <v>0</v>
      </c>
      <c r="AT111" s="252">
        <f t="shared" si="84"/>
        <v>0</v>
      </c>
      <c r="AU111" s="252">
        <f t="shared" si="84"/>
        <v>0</v>
      </c>
      <c r="AV111" s="252">
        <f t="shared" si="84"/>
        <v>0</v>
      </c>
      <c r="AW111" s="252">
        <f t="shared" si="84"/>
        <v>0</v>
      </c>
      <c r="AX111" s="252">
        <f t="shared" si="84"/>
        <v>0</v>
      </c>
      <c r="AY111" s="252">
        <f t="shared" si="84"/>
        <v>0</v>
      </c>
      <c r="AZ111" s="252">
        <f t="shared" si="84"/>
        <v>0</v>
      </c>
      <c r="BA111" s="252">
        <f t="shared" si="84"/>
        <v>0</v>
      </c>
      <c r="BB111" s="32"/>
    </row>
    <row r="112">
      <c r="A112" s="768">
        <v>2001.0</v>
      </c>
      <c r="B112" s="32"/>
      <c r="C112" s="32"/>
      <c r="D112" s="32"/>
      <c r="E112" s="32"/>
      <c r="F112" s="32"/>
      <c r="G112" s="32"/>
      <c r="H112" s="32"/>
      <c r="I112" s="32"/>
      <c r="J112" s="32"/>
      <c r="K112" s="32"/>
      <c r="L112" s="32"/>
      <c r="M112" s="32"/>
      <c r="N112" s="32"/>
      <c r="O112" s="32"/>
      <c r="P112" s="32"/>
      <c r="Q112" s="32"/>
      <c r="R112" s="32"/>
      <c r="S112" s="32"/>
      <c r="T112" s="32"/>
      <c r="U112" s="32"/>
      <c r="V112" s="770">
        <v>0.0</v>
      </c>
      <c r="W112" s="252">
        <f t="shared" si="14"/>
        <v>0</v>
      </c>
      <c r="X112" s="252">
        <f t="shared" ref="X112:BA112" si="85">IF(AND(X$41-$A112&gt;$V$27,SUM($W112:W112)&lt;&gt;$V112),$V112,0)</f>
        <v>0</v>
      </c>
      <c r="Y112" s="252">
        <f t="shared" si="85"/>
        <v>0</v>
      </c>
      <c r="Z112" s="252">
        <f t="shared" si="85"/>
        <v>0</v>
      </c>
      <c r="AA112" s="252">
        <f t="shared" si="85"/>
        <v>0</v>
      </c>
      <c r="AB112" s="252">
        <f t="shared" si="85"/>
        <v>0</v>
      </c>
      <c r="AC112" s="252">
        <f t="shared" si="85"/>
        <v>0</v>
      </c>
      <c r="AD112" s="252">
        <f t="shared" si="85"/>
        <v>0</v>
      </c>
      <c r="AE112" s="252">
        <f t="shared" si="85"/>
        <v>0</v>
      </c>
      <c r="AF112" s="252">
        <f t="shared" si="85"/>
        <v>0</v>
      </c>
      <c r="AG112" s="252">
        <f t="shared" si="85"/>
        <v>0</v>
      </c>
      <c r="AH112" s="252">
        <f t="shared" si="85"/>
        <v>0</v>
      </c>
      <c r="AI112" s="252">
        <f t="shared" si="85"/>
        <v>0</v>
      </c>
      <c r="AJ112" s="252">
        <f t="shared" si="85"/>
        <v>0</v>
      </c>
      <c r="AK112" s="252">
        <f t="shared" si="85"/>
        <v>0</v>
      </c>
      <c r="AL112" s="252">
        <f t="shared" si="85"/>
        <v>0</v>
      </c>
      <c r="AM112" s="252">
        <f t="shared" si="85"/>
        <v>0</v>
      </c>
      <c r="AN112" s="252">
        <f t="shared" si="85"/>
        <v>0</v>
      </c>
      <c r="AO112" s="252">
        <f t="shared" si="85"/>
        <v>0</v>
      </c>
      <c r="AP112" s="252">
        <f t="shared" si="85"/>
        <v>0</v>
      </c>
      <c r="AQ112" s="252">
        <f t="shared" si="85"/>
        <v>0</v>
      </c>
      <c r="AR112" s="252">
        <f t="shared" si="85"/>
        <v>0</v>
      </c>
      <c r="AS112" s="252">
        <f t="shared" si="85"/>
        <v>0</v>
      </c>
      <c r="AT112" s="252">
        <f t="shared" si="85"/>
        <v>0</v>
      </c>
      <c r="AU112" s="252">
        <f t="shared" si="85"/>
        <v>0</v>
      </c>
      <c r="AV112" s="252">
        <f t="shared" si="85"/>
        <v>0</v>
      </c>
      <c r="AW112" s="252">
        <f t="shared" si="85"/>
        <v>0</v>
      </c>
      <c r="AX112" s="252">
        <f t="shared" si="85"/>
        <v>0</v>
      </c>
      <c r="AY112" s="252">
        <f t="shared" si="85"/>
        <v>0</v>
      </c>
      <c r="AZ112" s="252">
        <f t="shared" si="85"/>
        <v>0</v>
      </c>
      <c r="BA112" s="252">
        <f t="shared" si="85"/>
        <v>0</v>
      </c>
      <c r="BB112" s="32"/>
    </row>
    <row r="113">
      <c r="A113" s="768">
        <v>2002.0</v>
      </c>
      <c r="B113" s="32"/>
      <c r="C113" s="32"/>
      <c r="D113" s="32"/>
      <c r="E113" s="32"/>
      <c r="F113" s="32"/>
      <c r="G113" s="32"/>
      <c r="H113" s="32"/>
      <c r="I113" s="32"/>
      <c r="J113" s="32"/>
      <c r="K113" s="32"/>
      <c r="L113" s="32"/>
      <c r="M113" s="32"/>
      <c r="N113" s="32"/>
      <c r="O113" s="32"/>
      <c r="P113" s="32"/>
      <c r="Q113" s="32"/>
      <c r="R113" s="32"/>
      <c r="S113" s="32"/>
      <c r="T113" s="32"/>
      <c r="U113" s="32"/>
      <c r="V113" s="770">
        <v>0.0</v>
      </c>
      <c r="W113" s="252">
        <f t="shared" si="14"/>
        <v>0</v>
      </c>
      <c r="X113" s="252">
        <f t="shared" ref="X113:BA113" si="86">IF(AND(X$41-$A113&gt;$V$27,SUM($W113:W113)&lt;&gt;$V113),$V113,0)</f>
        <v>0</v>
      </c>
      <c r="Y113" s="252">
        <f t="shared" si="86"/>
        <v>0</v>
      </c>
      <c r="Z113" s="252">
        <f t="shared" si="86"/>
        <v>0</v>
      </c>
      <c r="AA113" s="252">
        <f t="shared" si="86"/>
        <v>0</v>
      </c>
      <c r="AB113" s="252">
        <f t="shared" si="86"/>
        <v>0</v>
      </c>
      <c r="AC113" s="252">
        <f t="shared" si="86"/>
        <v>0</v>
      </c>
      <c r="AD113" s="252">
        <f t="shared" si="86"/>
        <v>0</v>
      </c>
      <c r="AE113" s="252">
        <f t="shared" si="86"/>
        <v>0</v>
      </c>
      <c r="AF113" s="252">
        <f t="shared" si="86"/>
        <v>0</v>
      </c>
      <c r="AG113" s="252">
        <f t="shared" si="86"/>
        <v>0</v>
      </c>
      <c r="AH113" s="252">
        <f t="shared" si="86"/>
        <v>0</v>
      </c>
      <c r="AI113" s="252">
        <f t="shared" si="86"/>
        <v>0</v>
      </c>
      <c r="AJ113" s="252">
        <f t="shared" si="86"/>
        <v>0</v>
      </c>
      <c r="AK113" s="252">
        <f t="shared" si="86"/>
        <v>0</v>
      </c>
      <c r="AL113" s="252">
        <f t="shared" si="86"/>
        <v>0</v>
      </c>
      <c r="AM113" s="252">
        <f t="shared" si="86"/>
        <v>0</v>
      </c>
      <c r="AN113" s="252">
        <f t="shared" si="86"/>
        <v>0</v>
      </c>
      <c r="AO113" s="252">
        <f t="shared" si="86"/>
        <v>0</v>
      </c>
      <c r="AP113" s="252">
        <f t="shared" si="86"/>
        <v>0</v>
      </c>
      <c r="AQ113" s="252">
        <f t="shared" si="86"/>
        <v>0</v>
      </c>
      <c r="AR113" s="252">
        <f t="shared" si="86"/>
        <v>0</v>
      </c>
      <c r="AS113" s="252">
        <f t="shared" si="86"/>
        <v>0</v>
      </c>
      <c r="AT113" s="252">
        <f t="shared" si="86"/>
        <v>0</v>
      </c>
      <c r="AU113" s="252">
        <f t="shared" si="86"/>
        <v>0</v>
      </c>
      <c r="AV113" s="252">
        <f t="shared" si="86"/>
        <v>0</v>
      </c>
      <c r="AW113" s="252">
        <f t="shared" si="86"/>
        <v>0</v>
      </c>
      <c r="AX113" s="252">
        <f t="shared" si="86"/>
        <v>0</v>
      </c>
      <c r="AY113" s="252">
        <f t="shared" si="86"/>
        <v>0</v>
      </c>
      <c r="AZ113" s="252">
        <f t="shared" si="86"/>
        <v>0</v>
      </c>
      <c r="BA113" s="252">
        <f t="shared" si="86"/>
        <v>0</v>
      </c>
      <c r="BB113" s="32"/>
    </row>
    <row r="114">
      <c r="A114" s="768">
        <v>2003.0</v>
      </c>
      <c r="B114" s="32"/>
      <c r="C114" s="32"/>
      <c r="D114" s="32"/>
      <c r="E114" s="32"/>
      <c r="F114" s="32"/>
      <c r="G114" s="32"/>
      <c r="H114" s="32"/>
      <c r="I114" s="32"/>
      <c r="J114" s="32"/>
      <c r="K114" s="32"/>
      <c r="L114" s="32"/>
      <c r="M114" s="32"/>
      <c r="N114" s="32"/>
      <c r="O114" s="32"/>
      <c r="P114" s="32"/>
      <c r="Q114" s="32"/>
      <c r="R114" s="32"/>
      <c r="S114" s="32"/>
      <c r="T114" s="32"/>
      <c r="U114" s="32"/>
      <c r="V114" s="770">
        <v>0.0</v>
      </c>
      <c r="W114" s="252">
        <f t="shared" si="14"/>
        <v>0</v>
      </c>
      <c r="X114" s="252">
        <f t="shared" ref="X114:BA114" si="87">IF(AND(X$41-$A114&gt;$V$27,SUM($W114:W114)&lt;&gt;$V114),$V114,0)</f>
        <v>0</v>
      </c>
      <c r="Y114" s="252">
        <f t="shared" si="87"/>
        <v>0</v>
      </c>
      <c r="Z114" s="252">
        <f t="shared" si="87"/>
        <v>0</v>
      </c>
      <c r="AA114" s="252">
        <f t="shared" si="87"/>
        <v>0</v>
      </c>
      <c r="AB114" s="252">
        <f t="shared" si="87"/>
        <v>0</v>
      </c>
      <c r="AC114" s="252">
        <f t="shared" si="87"/>
        <v>0</v>
      </c>
      <c r="AD114" s="252">
        <f t="shared" si="87"/>
        <v>0</v>
      </c>
      <c r="AE114" s="252">
        <f t="shared" si="87"/>
        <v>0</v>
      </c>
      <c r="AF114" s="252">
        <f t="shared" si="87"/>
        <v>0</v>
      </c>
      <c r="AG114" s="252">
        <f t="shared" si="87"/>
        <v>0</v>
      </c>
      <c r="AH114" s="252">
        <f t="shared" si="87"/>
        <v>0</v>
      </c>
      <c r="AI114" s="252">
        <f t="shared" si="87"/>
        <v>0</v>
      </c>
      <c r="AJ114" s="252">
        <f t="shared" si="87"/>
        <v>0</v>
      </c>
      <c r="AK114" s="252">
        <f t="shared" si="87"/>
        <v>0</v>
      </c>
      <c r="AL114" s="252">
        <f t="shared" si="87"/>
        <v>0</v>
      </c>
      <c r="AM114" s="252">
        <f t="shared" si="87"/>
        <v>0</v>
      </c>
      <c r="AN114" s="252">
        <f t="shared" si="87"/>
        <v>0</v>
      </c>
      <c r="AO114" s="252">
        <f t="shared" si="87"/>
        <v>0</v>
      </c>
      <c r="AP114" s="252">
        <f t="shared" si="87"/>
        <v>0</v>
      </c>
      <c r="AQ114" s="252">
        <f t="shared" si="87"/>
        <v>0</v>
      </c>
      <c r="AR114" s="252">
        <f t="shared" si="87"/>
        <v>0</v>
      </c>
      <c r="AS114" s="252">
        <f t="shared" si="87"/>
        <v>0</v>
      </c>
      <c r="AT114" s="252">
        <f t="shared" si="87"/>
        <v>0</v>
      </c>
      <c r="AU114" s="252">
        <f t="shared" si="87"/>
        <v>0</v>
      </c>
      <c r="AV114" s="252">
        <f t="shared" si="87"/>
        <v>0</v>
      </c>
      <c r="AW114" s="252">
        <f t="shared" si="87"/>
        <v>0</v>
      </c>
      <c r="AX114" s="252">
        <f t="shared" si="87"/>
        <v>0</v>
      </c>
      <c r="AY114" s="252">
        <f t="shared" si="87"/>
        <v>0</v>
      </c>
      <c r="AZ114" s="252">
        <f t="shared" si="87"/>
        <v>0</v>
      </c>
      <c r="BA114" s="252">
        <f t="shared" si="87"/>
        <v>0</v>
      </c>
      <c r="BB114" s="32"/>
    </row>
    <row r="115">
      <c r="A115" s="252">
        <v>2004.0</v>
      </c>
      <c r="B115" s="32"/>
      <c r="C115" s="32"/>
      <c r="D115" s="32"/>
      <c r="E115" s="32"/>
      <c r="F115" s="32"/>
      <c r="G115" s="32"/>
      <c r="H115" s="32"/>
      <c r="I115" s="32"/>
      <c r="J115" s="32"/>
      <c r="K115" s="32"/>
      <c r="L115" s="32"/>
      <c r="M115" s="32"/>
      <c r="N115" s="32"/>
      <c r="O115" s="32"/>
      <c r="P115" s="32"/>
      <c r="Q115" s="32"/>
      <c r="R115" s="32"/>
      <c r="S115" s="32"/>
      <c r="T115" s="32"/>
      <c r="U115" s="32"/>
      <c r="V115" s="770">
        <v>0.0</v>
      </c>
      <c r="W115" s="252">
        <f t="shared" si="14"/>
        <v>0</v>
      </c>
      <c r="X115" s="252">
        <f t="shared" ref="X115:BA115" si="88">IF(AND(X$41-$A115&gt;$V$27,SUM($W115:W115)&lt;&gt;$V115),$V115,0)</f>
        <v>0</v>
      </c>
      <c r="Y115" s="252">
        <f t="shared" si="88"/>
        <v>0</v>
      </c>
      <c r="Z115" s="252">
        <f t="shared" si="88"/>
        <v>0</v>
      </c>
      <c r="AA115" s="252">
        <f t="shared" si="88"/>
        <v>0</v>
      </c>
      <c r="AB115" s="252">
        <f t="shared" si="88"/>
        <v>0</v>
      </c>
      <c r="AC115" s="252">
        <f t="shared" si="88"/>
        <v>0</v>
      </c>
      <c r="AD115" s="252">
        <f t="shared" si="88"/>
        <v>0</v>
      </c>
      <c r="AE115" s="252">
        <f t="shared" si="88"/>
        <v>0</v>
      </c>
      <c r="AF115" s="252">
        <f t="shared" si="88"/>
        <v>0</v>
      </c>
      <c r="AG115" s="252">
        <f t="shared" si="88"/>
        <v>0</v>
      </c>
      <c r="AH115" s="252">
        <f t="shared" si="88"/>
        <v>0</v>
      </c>
      <c r="AI115" s="252">
        <f t="shared" si="88"/>
        <v>0</v>
      </c>
      <c r="AJ115" s="252">
        <f t="shared" si="88"/>
        <v>0</v>
      </c>
      <c r="AK115" s="252">
        <f t="shared" si="88"/>
        <v>0</v>
      </c>
      <c r="AL115" s="252">
        <f t="shared" si="88"/>
        <v>0</v>
      </c>
      <c r="AM115" s="252">
        <f t="shared" si="88"/>
        <v>0</v>
      </c>
      <c r="AN115" s="252">
        <f t="shared" si="88"/>
        <v>0</v>
      </c>
      <c r="AO115" s="252">
        <f t="shared" si="88"/>
        <v>0</v>
      </c>
      <c r="AP115" s="252">
        <f t="shared" si="88"/>
        <v>0</v>
      </c>
      <c r="AQ115" s="252">
        <f t="shared" si="88"/>
        <v>0</v>
      </c>
      <c r="AR115" s="252">
        <f t="shared" si="88"/>
        <v>0</v>
      </c>
      <c r="AS115" s="252">
        <f t="shared" si="88"/>
        <v>0</v>
      </c>
      <c r="AT115" s="252">
        <f t="shared" si="88"/>
        <v>0</v>
      </c>
      <c r="AU115" s="252">
        <f t="shared" si="88"/>
        <v>0</v>
      </c>
      <c r="AV115" s="252">
        <f t="shared" si="88"/>
        <v>0</v>
      </c>
      <c r="AW115" s="252">
        <f t="shared" si="88"/>
        <v>0</v>
      </c>
      <c r="AX115" s="252">
        <f t="shared" si="88"/>
        <v>0</v>
      </c>
      <c r="AY115" s="252">
        <f t="shared" si="88"/>
        <v>0</v>
      </c>
      <c r="AZ115" s="252">
        <f t="shared" si="88"/>
        <v>0</v>
      </c>
      <c r="BA115" s="252">
        <f t="shared" si="88"/>
        <v>0</v>
      </c>
      <c r="BB115" s="32"/>
    </row>
    <row r="116">
      <c r="A116" s="252">
        <v>2005.0</v>
      </c>
      <c r="B116" s="32"/>
      <c r="C116" s="32"/>
      <c r="D116" s="32"/>
      <c r="E116" s="32"/>
      <c r="F116" s="32"/>
      <c r="G116" s="32"/>
      <c r="H116" s="32"/>
      <c r="I116" s="32"/>
      <c r="J116" s="32"/>
      <c r="K116" s="32"/>
      <c r="L116" s="32"/>
      <c r="M116" s="32"/>
      <c r="N116" s="32"/>
      <c r="O116" s="32"/>
      <c r="P116" s="32"/>
      <c r="Q116" s="32"/>
      <c r="R116" s="32"/>
      <c r="S116" s="32"/>
      <c r="T116" s="32"/>
      <c r="U116" s="32"/>
      <c r="V116" s="769">
        <v>0.0</v>
      </c>
      <c r="W116" s="252">
        <f t="shared" si="14"/>
        <v>0</v>
      </c>
      <c r="X116" s="252">
        <f t="shared" ref="X116:BA116" si="89">IF(AND(X$41-$A116&gt;$V$27,SUM($W116:W116)&lt;&gt;$V116),$V116,0)</f>
        <v>0</v>
      </c>
      <c r="Y116" s="252">
        <f t="shared" si="89"/>
        <v>0</v>
      </c>
      <c r="Z116" s="252">
        <f t="shared" si="89"/>
        <v>0</v>
      </c>
      <c r="AA116" s="252">
        <f t="shared" si="89"/>
        <v>0</v>
      </c>
      <c r="AB116" s="252">
        <f t="shared" si="89"/>
        <v>0</v>
      </c>
      <c r="AC116" s="252">
        <f t="shared" si="89"/>
        <v>0</v>
      </c>
      <c r="AD116" s="252">
        <f t="shared" si="89"/>
        <v>0</v>
      </c>
      <c r="AE116" s="252">
        <f t="shared" si="89"/>
        <v>0</v>
      </c>
      <c r="AF116" s="252">
        <f t="shared" si="89"/>
        <v>0</v>
      </c>
      <c r="AG116" s="252">
        <f t="shared" si="89"/>
        <v>0</v>
      </c>
      <c r="AH116" s="252">
        <f t="shared" si="89"/>
        <v>0</v>
      </c>
      <c r="AI116" s="252">
        <f t="shared" si="89"/>
        <v>0</v>
      </c>
      <c r="AJ116" s="252">
        <f t="shared" si="89"/>
        <v>0</v>
      </c>
      <c r="AK116" s="252">
        <f t="shared" si="89"/>
        <v>0</v>
      </c>
      <c r="AL116" s="252">
        <f t="shared" si="89"/>
        <v>0</v>
      </c>
      <c r="AM116" s="252">
        <f t="shared" si="89"/>
        <v>0</v>
      </c>
      <c r="AN116" s="252">
        <f t="shared" si="89"/>
        <v>0</v>
      </c>
      <c r="AO116" s="252">
        <f t="shared" si="89"/>
        <v>0</v>
      </c>
      <c r="AP116" s="252">
        <f t="shared" si="89"/>
        <v>0</v>
      </c>
      <c r="AQ116" s="252">
        <f t="shared" si="89"/>
        <v>0</v>
      </c>
      <c r="AR116" s="252">
        <f t="shared" si="89"/>
        <v>0</v>
      </c>
      <c r="AS116" s="252">
        <f t="shared" si="89"/>
        <v>0</v>
      </c>
      <c r="AT116" s="252">
        <f t="shared" si="89"/>
        <v>0</v>
      </c>
      <c r="AU116" s="252">
        <f t="shared" si="89"/>
        <v>0</v>
      </c>
      <c r="AV116" s="252">
        <f t="shared" si="89"/>
        <v>0</v>
      </c>
      <c r="AW116" s="252">
        <f t="shared" si="89"/>
        <v>0</v>
      </c>
      <c r="AX116" s="252">
        <f t="shared" si="89"/>
        <v>0</v>
      </c>
      <c r="AY116" s="252">
        <f t="shared" si="89"/>
        <v>0</v>
      </c>
      <c r="AZ116" s="252">
        <f t="shared" si="89"/>
        <v>0</v>
      </c>
      <c r="BA116" s="252">
        <f t="shared" si="89"/>
        <v>0</v>
      </c>
      <c r="BB116" s="32"/>
    </row>
    <row r="117">
      <c r="A117" s="252">
        <v>2006.0</v>
      </c>
      <c r="B117" s="748"/>
      <c r="C117" s="748"/>
      <c r="D117" s="748"/>
      <c r="E117" s="748"/>
      <c r="F117" s="748"/>
      <c r="G117" s="748"/>
      <c r="H117" s="748"/>
      <c r="I117" s="748"/>
      <c r="J117" s="748"/>
      <c r="K117" s="748"/>
      <c r="L117" s="748"/>
      <c r="M117" s="748"/>
      <c r="N117" s="748"/>
      <c r="O117" s="748"/>
      <c r="P117" s="748"/>
      <c r="Q117" s="748"/>
      <c r="R117" s="748"/>
      <c r="S117" s="748"/>
      <c r="T117" s="748"/>
      <c r="U117" s="748"/>
      <c r="V117" s="769">
        <v>0.0</v>
      </c>
      <c r="W117" s="252">
        <f t="shared" si="14"/>
        <v>0</v>
      </c>
      <c r="X117" s="252">
        <f t="shared" ref="X117:BA117" si="90">IF(AND(X$41-$A117&gt;$V$27,SUM($W117:W117)&lt;&gt;$V117),$V117,0)</f>
        <v>0</v>
      </c>
      <c r="Y117" s="252">
        <f t="shared" si="90"/>
        <v>0</v>
      </c>
      <c r="Z117" s="252">
        <f t="shared" si="90"/>
        <v>0</v>
      </c>
      <c r="AA117" s="252">
        <f t="shared" si="90"/>
        <v>0</v>
      </c>
      <c r="AB117" s="252">
        <f t="shared" si="90"/>
        <v>0</v>
      </c>
      <c r="AC117" s="252">
        <f t="shared" si="90"/>
        <v>0</v>
      </c>
      <c r="AD117" s="252">
        <f t="shared" si="90"/>
        <v>0</v>
      </c>
      <c r="AE117" s="252">
        <f t="shared" si="90"/>
        <v>0</v>
      </c>
      <c r="AF117" s="252">
        <f t="shared" si="90"/>
        <v>0</v>
      </c>
      <c r="AG117" s="252">
        <f t="shared" si="90"/>
        <v>0</v>
      </c>
      <c r="AH117" s="252">
        <f t="shared" si="90"/>
        <v>0</v>
      </c>
      <c r="AI117" s="252">
        <f t="shared" si="90"/>
        <v>0</v>
      </c>
      <c r="AJ117" s="252">
        <f t="shared" si="90"/>
        <v>0</v>
      </c>
      <c r="AK117" s="252">
        <f t="shared" si="90"/>
        <v>0</v>
      </c>
      <c r="AL117" s="252">
        <f t="shared" si="90"/>
        <v>0</v>
      </c>
      <c r="AM117" s="252">
        <f t="shared" si="90"/>
        <v>0</v>
      </c>
      <c r="AN117" s="252">
        <f t="shared" si="90"/>
        <v>0</v>
      </c>
      <c r="AO117" s="252">
        <f t="shared" si="90"/>
        <v>0</v>
      </c>
      <c r="AP117" s="252">
        <f t="shared" si="90"/>
        <v>0</v>
      </c>
      <c r="AQ117" s="252">
        <f t="shared" si="90"/>
        <v>0</v>
      </c>
      <c r="AR117" s="252">
        <f t="shared" si="90"/>
        <v>0</v>
      </c>
      <c r="AS117" s="252">
        <f t="shared" si="90"/>
        <v>0</v>
      </c>
      <c r="AT117" s="252">
        <f t="shared" si="90"/>
        <v>0</v>
      </c>
      <c r="AU117" s="252">
        <f t="shared" si="90"/>
        <v>0</v>
      </c>
      <c r="AV117" s="252">
        <f t="shared" si="90"/>
        <v>0</v>
      </c>
      <c r="AW117" s="252">
        <f t="shared" si="90"/>
        <v>0</v>
      </c>
      <c r="AX117" s="252">
        <f t="shared" si="90"/>
        <v>0</v>
      </c>
      <c r="AY117" s="252">
        <f t="shared" si="90"/>
        <v>0</v>
      </c>
      <c r="AZ117" s="252">
        <f t="shared" si="90"/>
        <v>0</v>
      </c>
      <c r="BA117" s="252">
        <f t="shared" si="90"/>
        <v>0</v>
      </c>
      <c r="BB117" s="32"/>
    </row>
    <row r="118">
      <c r="A118" s="252">
        <v>2007.0</v>
      </c>
      <c r="B118" s="748"/>
      <c r="C118" s="748"/>
      <c r="D118" s="748"/>
      <c r="E118" s="748"/>
      <c r="F118" s="748"/>
      <c r="G118" s="748"/>
      <c r="H118" s="748"/>
      <c r="I118" s="748"/>
      <c r="J118" s="748"/>
      <c r="K118" s="748"/>
      <c r="L118" s="748"/>
      <c r="M118" s="748"/>
      <c r="N118" s="748"/>
      <c r="O118" s="748"/>
      <c r="P118" s="748"/>
      <c r="Q118" s="748"/>
      <c r="R118" s="748"/>
      <c r="S118" s="748"/>
      <c r="T118" s="748"/>
      <c r="U118" s="748"/>
      <c r="V118" s="769">
        <v>0.0</v>
      </c>
      <c r="W118" s="252">
        <f t="shared" si="14"/>
        <v>0</v>
      </c>
      <c r="X118" s="252">
        <f t="shared" ref="X118:BA118" si="91">IF(AND(X$41-$A118&gt;$V$27,SUM($W118:W118)&lt;&gt;$V118),$V118,0)</f>
        <v>0</v>
      </c>
      <c r="Y118" s="252">
        <f t="shared" si="91"/>
        <v>0</v>
      </c>
      <c r="Z118" s="252">
        <f t="shared" si="91"/>
        <v>0</v>
      </c>
      <c r="AA118" s="252">
        <f t="shared" si="91"/>
        <v>0</v>
      </c>
      <c r="AB118" s="252">
        <f t="shared" si="91"/>
        <v>0</v>
      </c>
      <c r="AC118" s="252">
        <f t="shared" si="91"/>
        <v>0</v>
      </c>
      <c r="AD118" s="252">
        <f t="shared" si="91"/>
        <v>0</v>
      </c>
      <c r="AE118" s="252">
        <f t="shared" si="91"/>
        <v>0</v>
      </c>
      <c r="AF118" s="252">
        <f t="shared" si="91"/>
        <v>0</v>
      </c>
      <c r="AG118" s="252">
        <f t="shared" si="91"/>
        <v>0</v>
      </c>
      <c r="AH118" s="252">
        <f t="shared" si="91"/>
        <v>0</v>
      </c>
      <c r="AI118" s="252">
        <f t="shared" si="91"/>
        <v>0</v>
      </c>
      <c r="AJ118" s="252">
        <f t="shared" si="91"/>
        <v>0</v>
      </c>
      <c r="AK118" s="252">
        <f t="shared" si="91"/>
        <v>0</v>
      </c>
      <c r="AL118" s="252">
        <f t="shared" si="91"/>
        <v>0</v>
      </c>
      <c r="AM118" s="252">
        <f t="shared" si="91"/>
        <v>0</v>
      </c>
      <c r="AN118" s="252">
        <f t="shared" si="91"/>
        <v>0</v>
      </c>
      <c r="AO118" s="252">
        <f t="shared" si="91"/>
        <v>0</v>
      </c>
      <c r="AP118" s="252">
        <f t="shared" si="91"/>
        <v>0</v>
      </c>
      <c r="AQ118" s="252">
        <f t="shared" si="91"/>
        <v>0</v>
      </c>
      <c r="AR118" s="252">
        <f t="shared" si="91"/>
        <v>0</v>
      </c>
      <c r="AS118" s="252">
        <f t="shared" si="91"/>
        <v>0</v>
      </c>
      <c r="AT118" s="252">
        <f t="shared" si="91"/>
        <v>0</v>
      </c>
      <c r="AU118" s="252">
        <f t="shared" si="91"/>
        <v>0</v>
      </c>
      <c r="AV118" s="252">
        <f t="shared" si="91"/>
        <v>0</v>
      </c>
      <c r="AW118" s="252">
        <f t="shared" si="91"/>
        <v>0</v>
      </c>
      <c r="AX118" s="252">
        <f t="shared" si="91"/>
        <v>0</v>
      </c>
      <c r="AY118" s="252">
        <f t="shared" si="91"/>
        <v>0</v>
      </c>
      <c r="AZ118" s="252">
        <f t="shared" si="91"/>
        <v>0</v>
      </c>
      <c r="BA118" s="252">
        <f t="shared" si="91"/>
        <v>0</v>
      </c>
      <c r="BB118" s="32"/>
    </row>
    <row r="119">
      <c r="A119" s="252">
        <v>2008.0</v>
      </c>
      <c r="B119" s="748"/>
      <c r="C119" s="748"/>
      <c r="D119" s="748"/>
      <c r="E119" s="748"/>
      <c r="F119" s="748"/>
      <c r="G119" s="748"/>
      <c r="H119" s="748"/>
      <c r="I119" s="748"/>
      <c r="J119" s="748"/>
      <c r="K119" s="748"/>
      <c r="L119" s="748"/>
      <c r="M119" s="748"/>
      <c r="N119" s="748"/>
      <c r="O119" s="748"/>
      <c r="P119" s="748"/>
      <c r="Q119" s="748"/>
      <c r="R119" s="748"/>
      <c r="S119" s="748"/>
      <c r="T119" s="748"/>
      <c r="U119" s="748"/>
      <c r="V119" s="769">
        <v>0.0</v>
      </c>
      <c r="W119" s="252">
        <f t="shared" si="14"/>
        <v>0</v>
      </c>
      <c r="X119" s="252">
        <f t="shared" ref="X119:BA119" si="92">IF(AND(X$41-$A119&gt;$V$27,SUM($W119:W119)&lt;&gt;$V119),$V119,0)</f>
        <v>0</v>
      </c>
      <c r="Y119" s="252">
        <f t="shared" si="92"/>
        <v>0</v>
      </c>
      <c r="Z119" s="252">
        <f t="shared" si="92"/>
        <v>0</v>
      </c>
      <c r="AA119" s="252">
        <f t="shared" si="92"/>
        <v>0</v>
      </c>
      <c r="AB119" s="252">
        <f t="shared" si="92"/>
        <v>0</v>
      </c>
      <c r="AC119" s="252">
        <f t="shared" si="92"/>
        <v>0</v>
      </c>
      <c r="AD119" s="252">
        <f t="shared" si="92"/>
        <v>0</v>
      </c>
      <c r="AE119" s="252">
        <f t="shared" si="92"/>
        <v>0</v>
      </c>
      <c r="AF119" s="252">
        <f t="shared" si="92"/>
        <v>0</v>
      </c>
      <c r="AG119" s="252">
        <f t="shared" si="92"/>
        <v>0</v>
      </c>
      <c r="AH119" s="252">
        <f t="shared" si="92"/>
        <v>0</v>
      </c>
      <c r="AI119" s="252">
        <f t="shared" si="92"/>
        <v>0</v>
      </c>
      <c r="AJ119" s="252">
        <f t="shared" si="92"/>
        <v>0</v>
      </c>
      <c r="AK119" s="252">
        <f t="shared" si="92"/>
        <v>0</v>
      </c>
      <c r="AL119" s="252">
        <f t="shared" si="92"/>
        <v>0</v>
      </c>
      <c r="AM119" s="252">
        <f t="shared" si="92"/>
        <v>0</v>
      </c>
      <c r="AN119" s="252">
        <f t="shared" si="92"/>
        <v>0</v>
      </c>
      <c r="AO119" s="252">
        <f t="shared" si="92"/>
        <v>0</v>
      </c>
      <c r="AP119" s="252">
        <f t="shared" si="92"/>
        <v>0</v>
      </c>
      <c r="AQ119" s="252">
        <f t="shared" si="92"/>
        <v>0</v>
      </c>
      <c r="AR119" s="252">
        <f t="shared" si="92"/>
        <v>0</v>
      </c>
      <c r="AS119" s="252">
        <f t="shared" si="92"/>
        <v>0</v>
      </c>
      <c r="AT119" s="252">
        <f t="shared" si="92"/>
        <v>0</v>
      </c>
      <c r="AU119" s="252">
        <f t="shared" si="92"/>
        <v>0</v>
      </c>
      <c r="AV119" s="252">
        <f t="shared" si="92"/>
        <v>0</v>
      </c>
      <c r="AW119" s="252">
        <f t="shared" si="92"/>
        <v>0</v>
      </c>
      <c r="AX119" s="252">
        <f t="shared" si="92"/>
        <v>0</v>
      </c>
      <c r="AY119" s="252">
        <f t="shared" si="92"/>
        <v>0</v>
      </c>
      <c r="AZ119" s="252">
        <f t="shared" si="92"/>
        <v>0</v>
      </c>
      <c r="BA119" s="252">
        <f t="shared" si="92"/>
        <v>0</v>
      </c>
      <c r="BB119" s="32"/>
    </row>
    <row r="120">
      <c r="A120" s="825">
        <v>2009.0</v>
      </c>
      <c r="B120" s="748"/>
      <c r="C120" s="748"/>
      <c r="D120" s="748"/>
      <c r="E120" s="748"/>
      <c r="F120" s="748"/>
      <c r="G120" s="748"/>
      <c r="H120" s="748"/>
      <c r="I120" s="748"/>
      <c r="J120" s="748"/>
      <c r="K120" s="748"/>
      <c r="L120" s="748"/>
      <c r="M120" s="748"/>
      <c r="N120" s="748"/>
      <c r="O120" s="748"/>
      <c r="P120" s="748"/>
      <c r="Q120" s="748"/>
      <c r="R120" s="748"/>
      <c r="S120" s="748"/>
      <c r="T120" s="748"/>
      <c r="U120" s="748"/>
      <c r="V120" s="769">
        <v>0.0</v>
      </c>
      <c r="W120" s="252">
        <f t="shared" si="14"/>
        <v>0</v>
      </c>
      <c r="X120" s="252">
        <f t="shared" ref="X120:BA120" si="93">IF(AND(X$41-$A120&gt;$V$27,SUM($W120:W120)&lt;&gt;$V120),$V120,0)</f>
        <v>0</v>
      </c>
      <c r="Y120" s="252">
        <f t="shared" si="93"/>
        <v>0</v>
      </c>
      <c r="Z120" s="252">
        <f t="shared" si="93"/>
        <v>0</v>
      </c>
      <c r="AA120" s="252">
        <f t="shared" si="93"/>
        <v>0</v>
      </c>
      <c r="AB120" s="252">
        <f t="shared" si="93"/>
        <v>0</v>
      </c>
      <c r="AC120" s="252">
        <f t="shared" si="93"/>
        <v>0</v>
      </c>
      <c r="AD120" s="252">
        <f t="shared" si="93"/>
        <v>0</v>
      </c>
      <c r="AE120" s="252">
        <f t="shared" si="93"/>
        <v>0</v>
      </c>
      <c r="AF120" s="252">
        <f t="shared" si="93"/>
        <v>0</v>
      </c>
      <c r="AG120" s="252">
        <f t="shared" si="93"/>
        <v>0</v>
      </c>
      <c r="AH120" s="252">
        <f t="shared" si="93"/>
        <v>0</v>
      </c>
      <c r="AI120" s="252">
        <f t="shared" si="93"/>
        <v>0</v>
      </c>
      <c r="AJ120" s="252">
        <f t="shared" si="93"/>
        <v>0</v>
      </c>
      <c r="AK120" s="252">
        <f t="shared" si="93"/>
        <v>0</v>
      </c>
      <c r="AL120" s="252">
        <f t="shared" si="93"/>
        <v>0</v>
      </c>
      <c r="AM120" s="252">
        <f t="shared" si="93"/>
        <v>0</v>
      </c>
      <c r="AN120" s="252">
        <f t="shared" si="93"/>
        <v>0</v>
      </c>
      <c r="AO120" s="252">
        <f t="shared" si="93"/>
        <v>0</v>
      </c>
      <c r="AP120" s="252">
        <f t="shared" si="93"/>
        <v>0</v>
      </c>
      <c r="AQ120" s="252">
        <f t="shared" si="93"/>
        <v>0</v>
      </c>
      <c r="AR120" s="252">
        <f t="shared" si="93"/>
        <v>0</v>
      </c>
      <c r="AS120" s="252">
        <f t="shared" si="93"/>
        <v>0</v>
      </c>
      <c r="AT120" s="252">
        <f t="shared" si="93"/>
        <v>0</v>
      </c>
      <c r="AU120" s="252">
        <f t="shared" si="93"/>
        <v>0</v>
      </c>
      <c r="AV120" s="252">
        <f t="shared" si="93"/>
        <v>0</v>
      </c>
      <c r="AW120" s="252">
        <f t="shared" si="93"/>
        <v>0</v>
      </c>
      <c r="AX120" s="252">
        <f t="shared" si="93"/>
        <v>0</v>
      </c>
      <c r="AY120" s="252">
        <f t="shared" si="93"/>
        <v>0</v>
      </c>
      <c r="AZ120" s="252">
        <f t="shared" si="93"/>
        <v>0</v>
      </c>
      <c r="BA120" s="252">
        <f t="shared" si="93"/>
        <v>0</v>
      </c>
      <c r="BB120" s="32"/>
    </row>
    <row r="121">
      <c r="A121" s="252">
        <v>2010.0</v>
      </c>
      <c r="B121" s="32"/>
      <c r="C121" s="32"/>
      <c r="D121" s="32"/>
      <c r="E121" s="32"/>
      <c r="F121" s="32"/>
      <c r="G121" s="32"/>
      <c r="H121" s="32"/>
      <c r="I121" s="32"/>
      <c r="J121" s="32"/>
      <c r="K121" s="32"/>
      <c r="L121" s="32"/>
      <c r="M121" s="32"/>
      <c r="N121" s="32"/>
      <c r="O121" s="32"/>
      <c r="P121" s="32"/>
      <c r="Q121" s="32"/>
      <c r="R121" s="32"/>
      <c r="S121" s="32"/>
      <c r="T121" s="32"/>
      <c r="U121" s="32"/>
      <c r="V121" s="769">
        <v>0.0</v>
      </c>
      <c r="W121" s="252">
        <f t="shared" si="14"/>
        <v>0</v>
      </c>
      <c r="X121" s="252">
        <f t="shared" ref="X121:BA121" si="94">IF(AND(X$41-$A121&gt;$V$27,SUM($W121:W121)&lt;&gt;$V121),$V121,0)</f>
        <v>0</v>
      </c>
      <c r="Y121" s="252">
        <f t="shared" si="94"/>
        <v>0</v>
      </c>
      <c r="Z121" s="252">
        <f t="shared" si="94"/>
        <v>0</v>
      </c>
      <c r="AA121" s="252">
        <f t="shared" si="94"/>
        <v>0</v>
      </c>
      <c r="AB121" s="252">
        <f t="shared" si="94"/>
        <v>0</v>
      </c>
      <c r="AC121" s="252">
        <f t="shared" si="94"/>
        <v>0</v>
      </c>
      <c r="AD121" s="252">
        <f t="shared" si="94"/>
        <v>0</v>
      </c>
      <c r="AE121" s="252">
        <f t="shared" si="94"/>
        <v>0</v>
      </c>
      <c r="AF121" s="252">
        <f t="shared" si="94"/>
        <v>0</v>
      </c>
      <c r="AG121" s="252">
        <f t="shared" si="94"/>
        <v>0</v>
      </c>
      <c r="AH121" s="252">
        <f t="shared" si="94"/>
        <v>0</v>
      </c>
      <c r="AI121" s="252">
        <f t="shared" si="94"/>
        <v>0</v>
      </c>
      <c r="AJ121" s="252">
        <f t="shared" si="94"/>
        <v>0</v>
      </c>
      <c r="AK121" s="252">
        <f t="shared" si="94"/>
        <v>0</v>
      </c>
      <c r="AL121" s="252">
        <f t="shared" si="94"/>
        <v>0</v>
      </c>
      <c r="AM121" s="252">
        <f t="shared" si="94"/>
        <v>0</v>
      </c>
      <c r="AN121" s="252">
        <f t="shared" si="94"/>
        <v>0</v>
      </c>
      <c r="AO121" s="252">
        <f t="shared" si="94"/>
        <v>0</v>
      </c>
      <c r="AP121" s="252">
        <f t="shared" si="94"/>
        <v>0</v>
      </c>
      <c r="AQ121" s="252">
        <f t="shared" si="94"/>
        <v>0</v>
      </c>
      <c r="AR121" s="252">
        <f t="shared" si="94"/>
        <v>0</v>
      </c>
      <c r="AS121" s="252">
        <f t="shared" si="94"/>
        <v>0</v>
      </c>
      <c r="AT121" s="252">
        <f t="shared" si="94"/>
        <v>0</v>
      </c>
      <c r="AU121" s="252">
        <f t="shared" si="94"/>
        <v>0</v>
      </c>
      <c r="AV121" s="252">
        <f t="shared" si="94"/>
        <v>0</v>
      </c>
      <c r="AW121" s="252">
        <f t="shared" si="94"/>
        <v>0</v>
      </c>
      <c r="AX121" s="252">
        <f t="shared" si="94"/>
        <v>0</v>
      </c>
      <c r="AY121" s="252">
        <f t="shared" si="94"/>
        <v>0</v>
      </c>
      <c r="AZ121" s="252">
        <f t="shared" si="94"/>
        <v>0</v>
      </c>
      <c r="BA121" s="252">
        <f t="shared" si="94"/>
        <v>0</v>
      </c>
      <c r="BB121" s="32"/>
    </row>
    <row r="122">
      <c r="A122" s="252">
        <v>2011.0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14"/>
        <v>0</v>
      </c>
      <c r="X122" s="252">
        <f t="shared" ref="X122:BA122" si="95">IF(AND(X$41-$A122&gt;$V$27,SUM($W122:W122)&lt;&gt;$V122),$V122,0)</f>
        <v>0</v>
      </c>
      <c r="Y122" s="252">
        <f t="shared" si="95"/>
        <v>0</v>
      </c>
      <c r="Z122" s="252">
        <f t="shared" si="95"/>
        <v>0</v>
      </c>
      <c r="AA122" s="252">
        <f t="shared" si="95"/>
        <v>0</v>
      </c>
      <c r="AB122" s="252">
        <f t="shared" si="95"/>
        <v>0</v>
      </c>
      <c r="AC122" s="252">
        <f t="shared" si="95"/>
        <v>0</v>
      </c>
      <c r="AD122" s="252">
        <f t="shared" si="95"/>
        <v>0</v>
      </c>
      <c r="AE122" s="252">
        <f t="shared" si="95"/>
        <v>0</v>
      </c>
      <c r="AF122" s="252">
        <f t="shared" si="95"/>
        <v>0</v>
      </c>
      <c r="AG122" s="252">
        <f t="shared" si="95"/>
        <v>0</v>
      </c>
      <c r="AH122" s="252">
        <f t="shared" si="95"/>
        <v>0</v>
      </c>
      <c r="AI122" s="252">
        <f t="shared" si="95"/>
        <v>0</v>
      </c>
      <c r="AJ122" s="252">
        <f t="shared" si="95"/>
        <v>0</v>
      </c>
      <c r="AK122" s="252">
        <f t="shared" si="95"/>
        <v>0</v>
      </c>
      <c r="AL122" s="252">
        <f t="shared" si="95"/>
        <v>0</v>
      </c>
      <c r="AM122" s="252">
        <f t="shared" si="95"/>
        <v>0</v>
      </c>
      <c r="AN122" s="252">
        <f t="shared" si="95"/>
        <v>0</v>
      </c>
      <c r="AO122" s="252">
        <f t="shared" si="95"/>
        <v>0</v>
      </c>
      <c r="AP122" s="252">
        <f t="shared" si="95"/>
        <v>0</v>
      </c>
      <c r="AQ122" s="252">
        <f t="shared" si="95"/>
        <v>0</v>
      </c>
      <c r="AR122" s="252">
        <f t="shared" si="95"/>
        <v>0</v>
      </c>
      <c r="AS122" s="252">
        <f t="shared" si="95"/>
        <v>0</v>
      </c>
      <c r="AT122" s="252">
        <f t="shared" si="95"/>
        <v>0</v>
      </c>
      <c r="AU122" s="252">
        <f t="shared" si="95"/>
        <v>0</v>
      </c>
      <c r="AV122" s="252">
        <f t="shared" si="95"/>
        <v>0</v>
      </c>
      <c r="AW122" s="252">
        <f t="shared" si="95"/>
        <v>0</v>
      </c>
      <c r="AX122" s="252">
        <f t="shared" si="95"/>
        <v>0</v>
      </c>
      <c r="AY122" s="252">
        <f t="shared" si="95"/>
        <v>0</v>
      </c>
      <c r="AZ122" s="252">
        <f t="shared" si="95"/>
        <v>0</v>
      </c>
      <c r="BA122" s="252">
        <f t="shared" si="95"/>
        <v>0</v>
      </c>
      <c r="BB122" s="32"/>
    </row>
    <row r="123">
      <c r="A123" s="252">
        <v>2012.0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14"/>
        <v>0</v>
      </c>
      <c r="X123" s="252">
        <f t="shared" ref="X123:BA123" si="96">IF(AND(X$41-$A123&gt;$V$27,SUM($W123:W123)&lt;&gt;$V123),$V123,0)</f>
        <v>0</v>
      </c>
      <c r="Y123" s="252">
        <f t="shared" si="96"/>
        <v>0</v>
      </c>
      <c r="Z123" s="252">
        <f t="shared" si="96"/>
        <v>0</v>
      </c>
      <c r="AA123" s="252">
        <f t="shared" si="96"/>
        <v>0</v>
      </c>
      <c r="AB123" s="252">
        <f t="shared" si="96"/>
        <v>0</v>
      </c>
      <c r="AC123" s="252">
        <f t="shared" si="96"/>
        <v>0</v>
      </c>
      <c r="AD123" s="252">
        <f t="shared" si="96"/>
        <v>0</v>
      </c>
      <c r="AE123" s="252">
        <f t="shared" si="96"/>
        <v>0</v>
      </c>
      <c r="AF123" s="252">
        <f t="shared" si="96"/>
        <v>0</v>
      </c>
      <c r="AG123" s="252">
        <f t="shared" si="96"/>
        <v>0</v>
      </c>
      <c r="AH123" s="252">
        <f t="shared" si="96"/>
        <v>0</v>
      </c>
      <c r="AI123" s="252">
        <f t="shared" si="96"/>
        <v>0</v>
      </c>
      <c r="AJ123" s="252">
        <f t="shared" si="96"/>
        <v>0</v>
      </c>
      <c r="AK123" s="252">
        <f t="shared" si="96"/>
        <v>0</v>
      </c>
      <c r="AL123" s="252">
        <f t="shared" si="96"/>
        <v>0</v>
      </c>
      <c r="AM123" s="252">
        <f t="shared" si="96"/>
        <v>0</v>
      </c>
      <c r="AN123" s="252">
        <f t="shared" si="96"/>
        <v>0</v>
      </c>
      <c r="AO123" s="252">
        <f t="shared" si="96"/>
        <v>0</v>
      </c>
      <c r="AP123" s="252">
        <f t="shared" si="96"/>
        <v>0</v>
      </c>
      <c r="AQ123" s="252">
        <f t="shared" si="96"/>
        <v>0</v>
      </c>
      <c r="AR123" s="252">
        <f t="shared" si="96"/>
        <v>0</v>
      </c>
      <c r="AS123" s="252">
        <f t="shared" si="96"/>
        <v>0</v>
      </c>
      <c r="AT123" s="252">
        <f t="shared" si="96"/>
        <v>0</v>
      </c>
      <c r="AU123" s="252">
        <f t="shared" si="96"/>
        <v>0</v>
      </c>
      <c r="AV123" s="252">
        <f t="shared" si="96"/>
        <v>0</v>
      </c>
      <c r="AW123" s="252">
        <f t="shared" si="96"/>
        <v>0</v>
      </c>
      <c r="AX123" s="252">
        <f t="shared" si="96"/>
        <v>0</v>
      </c>
      <c r="AY123" s="252">
        <f t="shared" si="96"/>
        <v>0</v>
      </c>
      <c r="AZ123" s="252">
        <f t="shared" si="96"/>
        <v>0</v>
      </c>
      <c r="BA123" s="252">
        <f t="shared" si="96"/>
        <v>0</v>
      </c>
      <c r="BB123" s="32"/>
    </row>
    <row r="124">
      <c r="A124" s="252">
        <v>2013.0</v>
      </c>
      <c r="B124" s="32"/>
      <c r="C124" s="32"/>
      <c r="D124" s="32"/>
      <c r="E124" s="32"/>
      <c r="F124" s="32"/>
      <c r="G124" s="32"/>
      <c r="H124" s="32"/>
      <c r="I124" s="32"/>
      <c r="J124" s="32"/>
      <c r="K124" s="32"/>
      <c r="L124" s="32"/>
      <c r="M124" s="32"/>
      <c r="N124" s="32"/>
      <c r="O124" s="32"/>
      <c r="P124" s="32"/>
      <c r="Q124" s="32"/>
      <c r="R124" s="32"/>
      <c r="S124" s="32"/>
      <c r="T124" s="32"/>
      <c r="U124" s="32"/>
      <c r="V124" s="769">
        <v>0.0</v>
      </c>
      <c r="W124" s="252">
        <f t="shared" si="14"/>
        <v>0</v>
      </c>
      <c r="X124" s="252">
        <f t="shared" ref="X124:BA124" si="97">IF(AND(X$41-$A124&gt;$V$27,SUM($W124:W124)&lt;&gt;$V124),$V124,0)</f>
        <v>0</v>
      </c>
      <c r="Y124" s="252">
        <f t="shared" si="97"/>
        <v>0</v>
      </c>
      <c r="Z124" s="252">
        <f t="shared" si="97"/>
        <v>0</v>
      </c>
      <c r="AA124" s="252">
        <f t="shared" si="97"/>
        <v>0</v>
      </c>
      <c r="AB124" s="252">
        <f t="shared" si="97"/>
        <v>0</v>
      </c>
      <c r="AC124" s="252">
        <f t="shared" si="97"/>
        <v>0</v>
      </c>
      <c r="AD124" s="252">
        <f t="shared" si="97"/>
        <v>0</v>
      </c>
      <c r="AE124" s="252">
        <f t="shared" si="97"/>
        <v>0</v>
      </c>
      <c r="AF124" s="252">
        <f t="shared" si="97"/>
        <v>0</v>
      </c>
      <c r="AG124" s="252">
        <f t="shared" si="97"/>
        <v>0</v>
      </c>
      <c r="AH124" s="252">
        <f t="shared" si="97"/>
        <v>0</v>
      </c>
      <c r="AI124" s="252">
        <f t="shared" si="97"/>
        <v>0</v>
      </c>
      <c r="AJ124" s="252">
        <f t="shared" si="97"/>
        <v>0</v>
      </c>
      <c r="AK124" s="252">
        <f t="shared" si="97"/>
        <v>0</v>
      </c>
      <c r="AL124" s="252">
        <f t="shared" si="97"/>
        <v>0</v>
      </c>
      <c r="AM124" s="252">
        <f t="shared" si="97"/>
        <v>0</v>
      </c>
      <c r="AN124" s="252">
        <f t="shared" si="97"/>
        <v>0</v>
      </c>
      <c r="AO124" s="252">
        <f t="shared" si="97"/>
        <v>0</v>
      </c>
      <c r="AP124" s="252">
        <f t="shared" si="97"/>
        <v>0</v>
      </c>
      <c r="AQ124" s="252">
        <f t="shared" si="97"/>
        <v>0</v>
      </c>
      <c r="AR124" s="252">
        <f t="shared" si="97"/>
        <v>0</v>
      </c>
      <c r="AS124" s="252">
        <f t="shared" si="97"/>
        <v>0</v>
      </c>
      <c r="AT124" s="252">
        <f t="shared" si="97"/>
        <v>0</v>
      </c>
      <c r="AU124" s="252">
        <f t="shared" si="97"/>
        <v>0</v>
      </c>
      <c r="AV124" s="252">
        <f t="shared" si="97"/>
        <v>0</v>
      </c>
      <c r="AW124" s="252">
        <f t="shared" si="97"/>
        <v>0</v>
      </c>
      <c r="AX124" s="252">
        <f t="shared" si="97"/>
        <v>0</v>
      </c>
      <c r="AY124" s="252">
        <f t="shared" si="97"/>
        <v>0</v>
      </c>
      <c r="AZ124" s="252">
        <f t="shared" si="97"/>
        <v>0</v>
      </c>
      <c r="BA124" s="252">
        <f t="shared" si="97"/>
        <v>0</v>
      </c>
      <c r="BB124" s="32"/>
    </row>
    <row r="125">
      <c r="A125" s="252">
        <v>2014.0</v>
      </c>
      <c r="B125" s="32"/>
      <c r="C125" s="32"/>
      <c r="D125" s="32"/>
      <c r="E125" s="32"/>
      <c r="F125" s="32"/>
      <c r="G125" s="32"/>
      <c r="H125" s="32"/>
      <c r="I125" s="32"/>
      <c r="J125" s="32"/>
      <c r="K125" s="32"/>
      <c r="L125" s="32"/>
      <c r="M125" s="32"/>
      <c r="N125" s="32"/>
      <c r="O125" s="32"/>
      <c r="P125" s="32"/>
      <c r="Q125" s="32"/>
      <c r="R125" s="32"/>
      <c r="S125" s="32"/>
      <c r="T125" s="32"/>
      <c r="U125" s="32"/>
      <c r="V125" s="769">
        <v>0.0</v>
      </c>
      <c r="W125" s="252">
        <f t="shared" si="14"/>
        <v>0</v>
      </c>
      <c r="X125" s="252">
        <f t="shared" ref="X125:BA125" si="98">IF(AND(X$41-$A125&gt;$V$27,SUM($W125:W125)&lt;&gt;$V125),$V125,0)</f>
        <v>0</v>
      </c>
      <c r="Y125" s="252">
        <f t="shared" si="98"/>
        <v>0</v>
      </c>
      <c r="Z125" s="252">
        <f t="shared" si="98"/>
        <v>0</v>
      </c>
      <c r="AA125" s="252">
        <f t="shared" si="98"/>
        <v>0</v>
      </c>
      <c r="AB125" s="252">
        <f t="shared" si="98"/>
        <v>0</v>
      </c>
      <c r="AC125" s="252">
        <f t="shared" si="98"/>
        <v>0</v>
      </c>
      <c r="AD125" s="252">
        <f t="shared" si="98"/>
        <v>0</v>
      </c>
      <c r="AE125" s="252">
        <f t="shared" si="98"/>
        <v>0</v>
      </c>
      <c r="AF125" s="252">
        <f t="shared" si="98"/>
        <v>0</v>
      </c>
      <c r="AG125" s="252">
        <f t="shared" si="98"/>
        <v>0</v>
      </c>
      <c r="AH125" s="252">
        <f t="shared" si="98"/>
        <v>0</v>
      </c>
      <c r="AI125" s="252">
        <f t="shared" si="98"/>
        <v>0</v>
      </c>
      <c r="AJ125" s="252">
        <f t="shared" si="98"/>
        <v>0</v>
      </c>
      <c r="AK125" s="252">
        <f t="shared" si="98"/>
        <v>0</v>
      </c>
      <c r="AL125" s="252">
        <f t="shared" si="98"/>
        <v>0</v>
      </c>
      <c r="AM125" s="252">
        <f t="shared" si="98"/>
        <v>0</v>
      </c>
      <c r="AN125" s="252">
        <f t="shared" si="98"/>
        <v>0</v>
      </c>
      <c r="AO125" s="252">
        <f t="shared" si="98"/>
        <v>0</v>
      </c>
      <c r="AP125" s="252">
        <f t="shared" si="98"/>
        <v>0</v>
      </c>
      <c r="AQ125" s="252">
        <f t="shared" si="98"/>
        <v>0</v>
      </c>
      <c r="AR125" s="252">
        <f t="shared" si="98"/>
        <v>0</v>
      </c>
      <c r="AS125" s="252">
        <f t="shared" si="98"/>
        <v>0</v>
      </c>
      <c r="AT125" s="252">
        <f t="shared" si="98"/>
        <v>0</v>
      </c>
      <c r="AU125" s="252">
        <f t="shared" si="98"/>
        <v>0</v>
      </c>
      <c r="AV125" s="252">
        <f t="shared" si="98"/>
        <v>0</v>
      </c>
      <c r="AW125" s="252">
        <f t="shared" si="98"/>
        <v>0</v>
      </c>
      <c r="AX125" s="252">
        <f t="shared" si="98"/>
        <v>0</v>
      </c>
      <c r="AY125" s="252">
        <f t="shared" si="98"/>
        <v>0</v>
      </c>
      <c r="AZ125" s="252">
        <f t="shared" si="98"/>
        <v>0</v>
      </c>
      <c r="BA125" s="252">
        <f t="shared" si="98"/>
        <v>0</v>
      </c>
      <c r="BB125" s="32"/>
    </row>
    <row r="126">
      <c r="A126" s="252">
        <v>2015.0</v>
      </c>
      <c r="B126" s="32"/>
      <c r="C126" s="32"/>
      <c r="D126" s="32"/>
      <c r="E126" s="32"/>
      <c r="F126" s="32"/>
      <c r="G126" s="32"/>
      <c r="H126" s="32"/>
      <c r="I126" s="32"/>
      <c r="J126" s="32"/>
      <c r="K126" s="32"/>
      <c r="L126" s="32"/>
      <c r="M126" s="32"/>
      <c r="N126" s="32"/>
      <c r="O126" s="32"/>
      <c r="P126" s="32"/>
      <c r="Q126" s="32"/>
      <c r="R126" s="32"/>
      <c r="S126" s="32"/>
      <c r="T126" s="32"/>
      <c r="U126" s="32"/>
      <c r="V126" s="769">
        <v>0.0</v>
      </c>
      <c r="W126" s="252">
        <f t="shared" si="14"/>
        <v>0</v>
      </c>
      <c r="X126" s="252">
        <f t="shared" ref="X126:BA126" si="99">IF(AND(X$41-$A126&gt;$V$27,SUM($W126:W126)&lt;&gt;$V126),$V126,0)</f>
        <v>0</v>
      </c>
      <c r="Y126" s="252">
        <f t="shared" si="99"/>
        <v>0</v>
      </c>
      <c r="Z126" s="252">
        <f t="shared" si="99"/>
        <v>0</v>
      </c>
      <c r="AA126" s="252">
        <f t="shared" si="99"/>
        <v>0</v>
      </c>
      <c r="AB126" s="252">
        <f t="shared" si="99"/>
        <v>0</v>
      </c>
      <c r="AC126" s="252">
        <f t="shared" si="99"/>
        <v>0</v>
      </c>
      <c r="AD126" s="252">
        <f t="shared" si="99"/>
        <v>0</v>
      </c>
      <c r="AE126" s="252">
        <f t="shared" si="99"/>
        <v>0</v>
      </c>
      <c r="AF126" s="252">
        <f t="shared" si="99"/>
        <v>0</v>
      </c>
      <c r="AG126" s="252">
        <f t="shared" si="99"/>
        <v>0</v>
      </c>
      <c r="AH126" s="252">
        <f t="shared" si="99"/>
        <v>0</v>
      </c>
      <c r="AI126" s="252">
        <f t="shared" si="99"/>
        <v>0</v>
      </c>
      <c r="AJ126" s="252">
        <f t="shared" si="99"/>
        <v>0</v>
      </c>
      <c r="AK126" s="252">
        <f t="shared" si="99"/>
        <v>0</v>
      </c>
      <c r="AL126" s="252">
        <f t="shared" si="99"/>
        <v>0</v>
      </c>
      <c r="AM126" s="252">
        <f t="shared" si="99"/>
        <v>0</v>
      </c>
      <c r="AN126" s="252">
        <f t="shared" si="99"/>
        <v>0</v>
      </c>
      <c r="AO126" s="252">
        <f t="shared" si="99"/>
        <v>0</v>
      </c>
      <c r="AP126" s="252">
        <f t="shared" si="99"/>
        <v>0</v>
      </c>
      <c r="AQ126" s="252">
        <f t="shared" si="99"/>
        <v>0</v>
      </c>
      <c r="AR126" s="252">
        <f t="shared" si="99"/>
        <v>0</v>
      </c>
      <c r="AS126" s="252">
        <f t="shared" si="99"/>
        <v>0</v>
      </c>
      <c r="AT126" s="252">
        <f t="shared" si="99"/>
        <v>0</v>
      </c>
      <c r="AU126" s="252">
        <f t="shared" si="99"/>
        <v>0</v>
      </c>
      <c r="AV126" s="252">
        <f t="shared" si="99"/>
        <v>0</v>
      </c>
      <c r="AW126" s="252">
        <f t="shared" si="99"/>
        <v>0</v>
      </c>
      <c r="AX126" s="252">
        <f t="shared" si="99"/>
        <v>0</v>
      </c>
      <c r="AY126" s="252">
        <f t="shared" si="99"/>
        <v>0</v>
      </c>
      <c r="AZ126" s="252">
        <f t="shared" si="99"/>
        <v>0</v>
      </c>
      <c r="BA126" s="252">
        <f t="shared" si="99"/>
        <v>0</v>
      </c>
      <c r="BB126" s="32"/>
    </row>
    <row r="127">
      <c r="A127" s="252">
        <v>2016.0</v>
      </c>
      <c r="B127" s="32"/>
      <c r="C127" s="32"/>
      <c r="D127" s="32"/>
      <c r="E127" s="32"/>
      <c r="F127" s="32"/>
      <c r="G127" s="32"/>
      <c r="H127" s="32"/>
      <c r="I127" s="32"/>
      <c r="J127" s="32"/>
      <c r="K127" s="32"/>
      <c r="L127" s="32"/>
      <c r="M127" s="32"/>
      <c r="N127" s="32"/>
      <c r="O127" s="32"/>
      <c r="P127" s="32"/>
      <c r="Q127" s="32"/>
      <c r="R127" s="32"/>
      <c r="S127" s="32"/>
      <c r="T127" s="32"/>
      <c r="U127" s="32"/>
      <c r="V127" s="769">
        <v>0.0</v>
      </c>
      <c r="W127" s="252">
        <f t="shared" si="14"/>
        <v>0</v>
      </c>
      <c r="X127" s="252">
        <f t="shared" ref="X127:BA127" si="100">IF(AND(X$41-$A127&gt;$V$27,SUM($W127:W127)&lt;&gt;$V127),$V127,0)</f>
        <v>0</v>
      </c>
      <c r="Y127" s="252">
        <f t="shared" si="100"/>
        <v>0</v>
      </c>
      <c r="Z127" s="252">
        <f t="shared" si="100"/>
        <v>0</v>
      </c>
      <c r="AA127" s="252">
        <f t="shared" si="100"/>
        <v>0</v>
      </c>
      <c r="AB127" s="252">
        <f t="shared" si="100"/>
        <v>0</v>
      </c>
      <c r="AC127" s="252">
        <f t="shared" si="100"/>
        <v>0</v>
      </c>
      <c r="AD127" s="252">
        <f t="shared" si="100"/>
        <v>0</v>
      </c>
      <c r="AE127" s="252">
        <f t="shared" si="100"/>
        <v>0</v>
      </c>
      <c r="AF127" s="252">
        <f t="shared" si="100"/>
        <v>0</v>
      </c>
      <c r="AG127" s="252">
        <f t="shared" si="100"/>
        <v>0</v>
      </c>
      <c r="AH127" s="252">
        <f t="shared" si="100"/>
        <v>0</v>
      </c>
      <c r="AI127" s="252">
        <f t="shared" si="100"/>
        <v>0</v>
      </c>
      <c r="AJ127" s="252">
        <f t="shared" si="100"/>
        <v>0</v>
      </c>
      <c r="AK127" s="252">
        <f t="shared" si="100"/>
        <v>0</v>
      </c>
      <c r="AL127" s="252">
        <f t="shared" si="100"/>
        <v>0</v>
      </c>
      <c r="AM127" s="252">
        <f t="shared" si="100"/>
        <v>0</v>
      </c>
      <c r="AN127" s="252">
        <f t="shared" si="100"/>
        <v>0</v>
      </c>
      <c r="AO127" s="252">
        <f t="shared" si="100"/>
        <v>0</v>
      </c>
      <c r="AP127" s="252">
        <f t="shared" si="100"/>
        <v>0</v>
      </c>
      <c r="AQ127" s="252">
        <f t="shared" si="100"/>
        <v>0</v>
      </c>
      <c r="AR127" s="252">
        <f t="shared" si="100"/>
        <v>0</v>
      </c>
      <c r="AS127" s="252">
        <f t="shared" si="100"/>
        <v>0</v>
      </c>
      <c r="AT127" s="252">
        <f t="shared" si="100"/>
        <v>0</v>
      </c>
      <c r="AU127" s="252">
        <f t="shared" si="100"/>
        <v>0</v>
      </c>
      <c r="AV127" s="252">
        <f t="shared" si="100"/>
        <v>0</v>
      </c>
      <c r="AW127" s="252">
        <f t="shared" si="100"/>
        <v>0</v>
      </c>
      <c r="AX127" s="252">
        <f t="shared" si="100"/>
        <v>0</v>
      </c>
      <c r="AY127" s="252">
        <f t="shared" si="100"/>
        <v>0</v>
      </c>
      <c r="AZ127" s="252">
        <f t="shared" si="100"/>
        <v>0</v>
      </c>
      <c r="BA127" s="252">
        <f t="shared" si="100"/>
        <v>0</v>
      </c>
      <c r="BB127" s="32"/>
    </row>
    <row r="128">
      <c r="A128" s="252">
        <v>2017.0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14"/>
        <v>0</v>
      </c>
      <c r="X128" s="252">
        <f t="shared" ref="X128:BA128" si="101">IF(AND(X$41-$A128&gt;$V$27,SUM($W128:W128)&lt;&gt;$V128),$V128,0)</f>
        <v>0</v>
      </c>
      <c r="Y128" s="252">
        <f t="shared" si="101"/>
        <v>0</v>
      </c>
      <c r="Z128" s="252">
        <f t="shared" si="101"/>
        <v>0</v>
      </c>
      <c r="AA128" s="252">
        <f t="shared" si="101"/>
        <v>0</v>
      </c>
      <c r="AB128" s="252">
        <f t="shared" si="101"/>
        <v>0</v>
      </c>
      <c r="AC128" s="252">
        <f t="shared" si="101"/>
        <v>0</v>
      </c>
      <c r="AD128" s="252">
        <f t="shared" si="101"/>
        <v>0</v>
      </c>
      <c r="AE128" s="252">
        <f t="shared" si="101"/>
        <v>0</v>
      </c>
      <c r="AF128" s="252">
        <f t="shared" si="101"/>
        <v>0</v>
      </c>
      <c r="AG128" s="252">
        <f t="shared" si="101"/>
        <v>0</v>
      </c>
      <c r="AH128" s="252">
        <f t="shared" si="101"/>
        <v>0</v>
      </c>
      <c r="AI128" s="252">
        <f t="shared" si="101"/>
        <v>0</v>
      </c>
      <c r="AJ128" s="252">
        <f t="shared" si="101"/>
        <v>0</v>
      </c>
      <c r="AK128" s="252">
        <f t="shared" si="101"/>
        <v>0</v>
      </c>
      <c r="AL128" s="252">
        <f t="shared" si="101"/>
        <v>0</v>
      </c>
      <c r="AM128" s="252">
        <f t="shared" si="101"/>
        <v>0</v>
      </c>
      <c r="AN128" s="252">
        <f t="shared" si="101"/>
        <v>0</v>
      </c>
      <c r="AO128" s="252">
        <f t="shared" si="101"/>
        <v>0</v>
      </c>
      <c r="AP128" s="252">
        <f t="shared" si="101"/>
        <v>0</v>
      </c>
      <c r="AQ128" s="252">
        <f t="shared" si="101"/>
        <v>0</v>
      </c>
      <c r="AR128" s="252">
        <f t="shared" si="101"/>
        <v>0</v>
      </c>
      <c r="AS128" s="252">
        <f t="shared" si="101"/>
        <v>0</v>
      </c>
      <c r="AT128" s="252">
        <f t="shared" si="101"/>
        <v>0</v>
      </c>
      <c r="AU128" s="252">
        <f t="shared" si="101"/>
        <v>0</v>
      </c>
      <c r="AV128" s="252">
        <f t="shared" si="101"/>
        <v>0</v>
      </c>
      <c r="AW128" s="252">
        <f t="shared" si="101"/>
        <v>0</v>
      </c>
      <c r="AX128" s="252">
        <f t="shared" si="101"/>
        <v>0</v>
      </c>
      <c r="AY128" s="252">
        <f t="shared" si="101"/>
        <v>0</v>
      </c>
      <c r="AZ128" s="252">
        <f t="shared" si="101"/>
        <v>0</v>
      </c>
      <c r="BA128" s="252">
        <f t="shared" si="101"/>
        <v>0</v>
      </c>
      <c r="BB128" s="32"/>
    </row>
    <row r="129">
      <c r="A129" s="252">
        <v>2018.0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14"/>
        <v>0</v>
      </c>
      <c r="X129" s="252">
        <f t="shared" ref="X129:BA129" si="102">IF(AND(X$41-$A129&gt;$V$27,SUM($W129:W129)&lt;&gt;$V129),$V129,0)</f>
        <v>0</v>
      </c>
      <c r="Y129" s="252">
        <f t="shared" si="102"/>
        <v>0</v>
      </c>
      <c r="Z129" s="252">
        <f t="shared" si="102"/>
        <v>0</v>
      </c>
      <c r="AA129" s="252">
        <f t="shared" si="102"/>
        <v>0</v>
      </c>
      <c r="AB129" s="252">
        <f t="shared" si="102"/>
        <v>0</v>
      </c>
      <c r="AC129" s="252">
        <f t="shared" si="102"/>
        <v>0</v>
      </c>
      <c r="AD129" s="252">
        <f t="shared" si="102"/>
        <v>0</v>
      </c>
      <c r="AE129" s="252">
        <f t="shared" si="102"/>
        <v>0</v>
      </c>
      <c r="AF129" s="252">
        <f t="shared" si="102"/>
        <v>0</v>
      </c>
      <c r="AG129" s="252">
        <f t="shared" si="102"/>
        <v>0</v>
      </c>
      <c r="AH129" s="252">
        <f t="shared" si="102"/>
        <v>0</v>
      </c>
      <c r="AI129" s="252">
        <f t="shared" si="102"/>
        <v>0</v>
      </c>
      <c r="AJ129" s="252">
        <f t="shared" si="102"/>
        <v>0</v>
      </c>
      <c r="AK129" s="252">
        <f t="shared" si="102"/>
        <v>0</v>
      </c>
      <c r="AL129" s="252">
        <f t="shared" si="102"/>
        <v>0</v>
      </c>
      <c r="AM129" s="252">
        <f t="shared" si="102"/>
        <v>0</v>
      </c>
      <c r="AN129" s="252">
        <f t="shared" si="102"/>
        <v>0</v>
      </c>
      <c r="AO129" s="252">
        <f t="shared" si="102"/>
        <v>0</v>
      </c>
      <c r="AP129" s="252">
        <f t="shared" si="102"/>
        <v>0</v>
      </c>
      <c r="AQ129" s="252">
        <f t="shared" si="102"/>
        <v>0</v>
      </c>
      <c r="AR129" s="252">
        <f t="shared" si="102"/>
        <v>0</v>
      </c>
      <c r="AS129" s="252">
        <f t="shared" si="102"/>
        <v>0</v>
      </c>
      <c r="AT129" s="252">
        <f t="shared" si="102"/>
        <v>0</v>
      </c>
      <c r="AU129" s="252">
        <f t="shared" si="102"/>
        <v>0</v>
      </c>
      <c r="AV129" s="252">
        <f t="shared" si="102"/>
        <v>0</v>
      </c>
      <c r="AW129" s="252">
        <f t="shared" si="102"/>
        <v>0</v>
      </c>
      <c r="AX129" s="252">
        <f t="shared" si="102"/>
        <v>0</v>
      </c>
      <c r="AY129" s="252">
        <f t="shared" si="102"/>
        <v>0</v>
      </c>
      <c r="AZ129" s="252">
        <f t="shared" si="102"/>
        <v>0</v>
      </c>
      <c r="BA129" s="252">
        <f t="shared" si="102"/>
        <v>0</v>
      </c>
      <c r="BB129" s="32"/>
    </row>
    <row r="130">
      <c r="A130" s="252">
        <v>2019.0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14"/>
        <v>0</v>
      </c>
      <c r="X130" s="252">
        <f t="shared" ref="X130:BA130" si="103">IF(AND(X$41-$A130&gt;$V$27,SUM($W130:W130)&lt;&gt;$V130),$V130,0)</f>
        <v>0</v>
      </c>
      <c r="Y130" s="252">
        <f t="shared" si="103"/>
        <v>0</v>
      </c>
      <c r="Z130" s="252">
        <f t="shared" si="103"/>
        <v>0</v>
      </c>
      <c r="AA130" s="252">
        <f t="shared" si="103"/>
        <v>0</v>
      </c>
      <c r="AB130" s="252">
        <f t="shared" si="103"/>
        <v>0</v>
      </c>
      <c r="AC130" s="252">
        <f t="shared" si="103"/>
        <v>0</v>
      </c>
      <c r="AD130" s="252">
        <f t="shared" si="103"/>
        <v>0</v>
      </c>
      <c r="AE130" s="252">
        <f t="shared" si="103"/>
        <v>0</v>
      </c>
      <c r="AF130" s="252">
        <f t="shared" si="103"/>
        <v>0</v>
      </c>
      <c r="AG130" s="252">
        <f t="shared" si="103"/>
        <v>0</v>
      </c>
      <c r="AH130" s="252">
        <f t="shared" si="103"/>
        <v>0</v>
      </c>
      <c r="AI130" s="252">
        <f t="shared" si="103"/>
        <v>0</v>
      </c>
      <c r="AJ130" s="252">
        <f t="shared" si="103"/>
        <v>0</v>
      </c>
      <c r="AK130" s="252">
        <f t="shared" si="103"/>
        <v>0</v>
      </c>
      <c r="AL130" s="252">
        <f t="shared" si="103"/>
        <v>0</v>
      </c>
      <c r="AM130" s="252">
        <f t="shared" si="103"/>
        <v>0</v>
      </c>
      <c r="AN130" s="252">
        <f t="shared" si="103"/>
        <v>0</v>
      </c>
      <c r="AO130" s="252">
        <f t="shared" si="103"/>
        <v>0</v>
      </c>
      <c r="AP130" s="252">
        <f t="shared" si="103"/>
        <v>0</v>
      </c>
      <c r="AQ130" s="252">
        <f t="shared" si="103"/>
        <v>0</v>
      </c>
      <c r="AR130" s="252">
        <f t="shared" si="103"/>
        <v>0</v>
      </c>
      <c r="AS130" s="252">
        <f t="shared" si="103"/>
        <v>0</v>
      </c>
      <c r="AT130" s="252">
        <f t="shared" si="103"/>
        <v>0</v>
      </c>
      <c r="AU130" s="252">
        <f t="shared" si="103"/>
        <v>0</v>
      </c>
      <c r="AV130" s="252">
        <f t="shared" si="103"/>
        <v>0</v>
      </c>
      <c r="AW130" s="252">
        <f t="shared" si="103"/>
        <v>0</v>
      </c>
      <c r="AX130" s="252">
        <f t="shared" si="103"/>
        <v>0</v>
      </c>
      <c r="AY130" s="252">
        <f t="shared" si="103"/>
        <v>0</v>
      </c>
      <c r="AZ130" s="252">
        <f t="shared" si="103"/>
        <v>0</v>
      </c>
      <c r="BA130" s="252">
        <f t="shared" si="103"/>
        <v>0</v>
      </c>
      <c r="BB130" s="32"/>
    </row>
    <row r="131">
      <c r="A131" s="788">
        <v>2020.0</v>
      </c>
      <c r="U131" s="745" t="s">
        <v>1016</v>
      </c>
      <c r="V131" s="747">
        <f t="array" ref="V131:V161">transpose(Model!W3539:BA3539)</f>
        <v>0</v>
      </c>
      <c r="W131" s="252">
        <f t="shared" si="14"/>
        <v>0</v>
      </c>
      <c r="X131" s="252">
        <f t="shared" ref="X131:BA131" si="104">IF(AND(X$41-$A131&gt;$V$27,SUM($W131:W131)&lt;&gt;$V131),$V131,0)</f>
        <v>0</v>
      </c>
      <c r="Y131" s="252">
        <f t="shared" si="104"/>
        <v>0</v>
      </c>
      <c r="Z131" s="252">
        <f t="shared" si="104"/>
        <v>0</v>
      </c>
      <c r="AA131" s="252">
        <f t="shared" si="104"/>
        <v>0</v>
      </c>
      <c r="AB131" s="252">
        <f t="shared" si="104"/>
        <v>0</v>
      </c>
      <c r="AC131" s="252">
        <f t="shared" si="104"/>
        <v>0</v>
      </c>
      <c r="AD131" s="252">
        <f t="shared" si="104"/>
        <v>0</v>
      </c>
      <c r="AE131" s="252">
        <f t="shared" si="104"/>
        <v>0</v>
      </c>
      <c r="AF131" s="252">
        <f t="shared" si="104"/>
        <v>0</v>
      </c>
      <c r="AG131" s="252">
        <f t="shared" si="104"/>
        <v>0</v>
      </c>
      <c r="AH131" s="252">
        <f t="shared" si="104"/>
        <v>0</v>
      </c>
      <c r="AI131" s="252">
        <f t="shared" si="104"/>
        <v>0</v>
      </c>
      <c r="AJ131" s="252">
        <f t="shared" si="104"/>
        <v>0</v>
      </c>
      <c r="AK131" s="252">
        <f t="shared" si="104"/>
        <v>0</v>
      </c>
      <c r="AL131" s="252">
        <f t="shared" si="104"/>
        <v>0</v>
      </c>
      <c r="AM131" s="252">
        <f t="shared" si="104"/>
        <v>0</v>
      </c>
      <c r="AN131" s="252">
        <f t="shared" si="104"/>
        <v>0</v>
      </c>
      <c r="AO131" s="252">
        <f t="shared" si="104"/>
        <v>0</v>
      </c>
      <c r="AP131" s="252">
        <f t="shared" si="104"/>
        <v>0</v>
      </c>
      <c r="AQ131" s="252">
        <f t="shared" si="104"/>
        <v>0</v>
      </c>
      <c r="AR131" s="252">
        <f t="shared" si="104"/>
        <v>0</v>
      </c>
      <c r="AS131" s="252">
        <f t="shared" si="104"/>
        <v>0</v>
      </c>
      <c r="AT131" s="252">
        <f t="shared" si="104"/>
        <v>0</v>
      </c>
      <c r="AU131" s="252">
        <f t="shared" si="104"/>
        <v>0</v>
      </c>
      <c r="AV131" s="252">
        <f t="shared" si="104"/>
        <v>0</v>
      </c>
      <c r="AW131" s="252">
        <f t="shared" si="104"/>
        <v>0</v>
      </c>
      <c r="AX131" s="252">
        <f t="shared" si="104"/>
        <v>0</v>
      </c>
      <c r="AY131" s="252">
        <f t="shared" si="104"/>
        <v>0</v>
      </c>
      <c r="AZ131" s="252">
        <f t="shared" si="104"/>
        <v>0</v>
      </c>
      <c r="BA131" s="252">
        <f t="shared" si="104"/>
        <v>0</v>
      </c>
    </row>
    <row r="132">
      <c r="A132" s="788">
        <v>2021.0</v>
      </c>
      <c r="U132" s="745" t="s">
        <v>1017</v>
      </c>
      <c r="V132" s="826">
        <v>0.0</v>
      </c>
      <c r="W132" s="252">
        <f t="shared" si="14"/>
        <v>0</v>
      </c>
      <c r="X132" s="252">
        <f t="shared" ref="X132:BA132" si="105">IF(AND(X$41-$A132&gt;$V$27,SUM($W132:W132)&lt;&gt;$V132),$V132,0)</f>
        <v>0</v>
      </c>
      <c r="Y132" s="252">
        <f t="shared" si="105"/>
        <v>0</v>
      </c>
      <c r="Z132" s="252">
        <f t="shared" si="105"/>
        <v>0</v>
      </c>
      <c r="AA132" s="252">
        <f t="shared" si="105"/>
        <v>0</v>
      </c>
      <c r="AB132" s="252">
        <f t="shared" si="105"/>
        <v>0</v>
      </c>
      <c r="AC132" s="252">
        <f t="shared" si="105"/>
        <v>0</v>
      </c>
      <c r="AD132" s="252">
        <f t="shared" si="105"/>
        <v>0</v>
      </c>
      <c r="AE132" s="252">
        <f t="shared" si="105"/>
        <v>0</v>
      </c>
      <c r="AF132" s="252">
        <f t="shared" si="105"/>
        <v>0</v>
      </c>
      <c r="AG132" s="252">
        <f t="shared" si="105"/>
        <v>0</v>
      </c>
      <c r="AH132" s="252">
        <f t="shared" si="105"/>
        <v>0</v>
      </c>
      <c r="AI132" s="252">
        <f t="shared" si="105"/>
        <v>0</v>
      </c>
      <c r="AJ132" s="252">
        <f t="shared" si="105"/>
        <v>0</v>
      </c>
      <c r="AK132" s="252">
        <f t="shared" si="105"/>
        <v>0</v>
      </c>
      <c r="AL132" s="252">
        <f t="shared" si="105"/>
        <v>0</v>
      </c>
      <c r="AM132" s="252">
        <f t="shared" si="105"/>
        <v>0</v>
      </c>
      <c r="AN132" s="252">
        <f t="shared" si="105"/>
        <v>0</v>
      </c>
      <c r="AO132" s="252">
        <f t="shared" si="105"/>
        <v>0</v>
      </c>
      <c r="AP132" s="252">
        <f t="shared" si="105"/>
        <v>0</v>
      </c>
      <c r="AQ132" s="252">
        <f t="shared" si="105"/>
        <v>0</v>
      </c>
      <c r="AR132" s="252">
        <f t="shared" si="105"/>
        <v>0</v>
      </c>
      <c r="AS132" s="252">
        <f t="shared" si="105"/>
        <v>0</v>
      </c>
      <c r="AT132" s="252">
        <f t="shared" si="105"/>
        <v>0</v>
      </c>
      <c r="AU132" s="252">
        <f t="shared" si="105"/>
        <v>0</v>
      </c>
      <c r="AV132" s="252">
        <f t="shared" si="105"/>
        <v>0</v>
      </c>
      <c r="AW132" s="252">
        <f t="shared" si="105"/>
        <v>0</v>
      </c>
      <c r="AX132" s="252">
        <f t="shared" si="105"/>
        <v>0</v>
      </c>
      <c r="AY132" s="252">
        <f t="shared" si="105"/>
        <v>0</v>
      </c>
      <c r="AZ132" s="252">
        <f t="shared" si="105"/>
        <v>0</v>
      </c>
      <c r="BA132" s="252">
        <f t="shared" si="105"/>
        <v>0</v>
      </c>
    </row>
    <row r="133">
      <c r="A133" s="788">
        <v>2022.0</v>
      </c>
      <c r="U133" s="745" t="s">
        <v>1018</v>
      </c>
      <c r="V133" s="826">
        <v>0.0</v>
      </c>
      <c r="W133" s="252">
        <f t="shared" si="14"/>
        <v>0</v>
      </c>
      <c r="X133" s="252">
        <f t="shared" ref="X133:BA133" si="106">IF(AND(X$41-$A133&gt;$V$27,SUM($W133:W133)&lt;&gt;$V133),$V133,0)</f>
        <v>0</v>
      </c>
      <c r="Y133" s="252">
        <f t="shared" si="106"/>
        <v>0</v>
      </c>
      <c r="Z133" s="252">
        <f t="shared" si="106"/>
        <v>0</v>
      </c>
      <c r="AA133" s="252">
        <f t="shared" si="106"/>
        <v>0</v>
      </c>
      <c r="AB133" s="252">
        <f t="shared" si="106"/>
        <v>0</v>
      </c>
      <c r="AC133" s="252">
        <f t="shared" si="106"/>
        <v>0</v>
      </c>
      <c r="AD133" s="252">
        <f t="shared" si="106"/>
        <v>0</v>
      </c>
      <c r="AE133" s="252">
        <f t="shared" si="106"/>
        <v>0</v>
      </c>
      <c r="AF133" s="252">
        <f t="shared" si="106"/>
        <v>0</v>
      </c>
      <c r="AG133" s="252">
        <f t="shared" si="106"/>
        <v>0</v>
      </c>
      <c r="AH133" s="252">
        <f t="shared" si="106"/>
        <v>0</v>
      </c>
      <c r="AI133" s="252">
        <f t="shared" si="106"/>
        <v>0</v>
      </c>
      <c r="AJ133" s="252">
        <f t="shared" si="106"/>
        <v>0</v>
      </c>
      <c r="AK133" s="252">
        <f t="shared" si="106"/>
        <v>0</v>
      </c>
      <c r="AL133" s="252">
        <f t="shared" si="106"/>
        <v>0</v>
      </c>
      <c r="AM133" s="252">
        <f t="shared" si="106"/>
        <v>0</v>
      </c>
      <c r="AN133" s="252">
        <f t="shared" si="106"/>
        <v>0</v>
      </c>
      <c r="AO133" s="252">
        <f t="shared" si="106"/>
        <v>0</v>
      </c>
      <c r="AP133" s="252">
        <f t="shared" si="106"/>
        <v>0</v>
      </c>
      <c r="AQ133" s="252">
        <f t="shared" si="106"/>
        <v>0</v>
      </c>
      <c r="AR133" s="252">
        <f t="shared" si="106"/>
        <v>0</v>
      </c>
      <c r="AS133" s="252">
        <f t="shared" si="106"/>
        <v>0</v>
      </c>
      <c r="AT133" s="252">
        <f t="shared" si="106"/>
        <v>0</v>
      </c>
      <c r="AU133" s="252">
        <f t="shared" si="106"/>
        <v>0</v>
      </c>
      <c r="AV133" s="252">
        <f t="shared" si="106"/>
        <v>0</v>
      </c>
      <c r="AW133" s="252">
        <f t="shared" si="106"/>
        <v>0</v>
      </c>
      <c r="AX133" s="252">
        <f t="shared" si="106"/>
        <v>0</v>
      </c>
      <c r="AY133" s="252">
        <f t="shared" si="106"/>
        <v>0</v>
      </c>
      <c r="AZ133" s="252">
        <f t="shared" si="106"/>
        <v>0</v>
      </c>
      <c r="BA133" s="252">
        <f t="shared" si="106"/>
        <v>0</v>
      </c>
    </row>
    <row r="134">
      <c r="A134" s="788">
        <v>2023.0</v>
      </c>
      <c r="U134" s="745" t="s">
        <v>1019</v>
      </c>
      <c r="V134" s="826">
        <v>0.0</v>
      </c>
      <c r="W134" s="252">
        <f t="shared" si="14"/>
        <v>0</v>
      </c>
      <c r="X134" s="252">
        <f t="shared" ref="X134:BA134" si="107">IF(AND(X$41-$A134&gt;$V$27,SUM($W134:W134)&lt;&gt;$V134),$V134,0)</f>
        <v>0</v>
      </c>
      <c r="Y134" s="252">
        <f t="shared" si="107"/>
        <v>0</v>
      </c>
      <c r="Z134" s="252">
        <f t="shared" si="107"/>
        <v>0</v>
      </c>
      <c r="AA134" s="252">
        <f t="shared" si="107"/>
        <v>0</v>
      </c>
      <c r="AB134" s="252">
        <f t="shared" si="107"/>
        <v>0</v>
      </c>
      <c r="AC134" s="252">
        <f t="shared" si="107"/>
        <v>0</v>
      </c>
      <c r="AD134" s="252">
        <f t="shared" si="107"/>
        <v>0</v>
      </c>
      <c r="AE134" s="252">
        <f t="shared" si="107"/>
        <v>0</v>
      </c>
      <c r="AF134" s="252">
        <f t="shared" si="107"/>
        <v>0</v>
      </c>
      <c r="AG134" s="252">
        <f t="shared" si="107"/>
        <v>0</v>
      </c>
      <c r="AH134" s="252">
        <f t="shared" si="107"/>
        <v>0</v>
      </c>
      <c r="AI134" s="252">
        <f t="shared" si="107"/>
        <v>0</v>
      </c>
      <c r="AJ134" s="252">
        <f t="shared" si="107"/>
        <v>0</v>
      </c>
      <c r="AK134" s="252">
        <f t="shared" si="107"/>
        <v>0</v>
      </c>
      <c r="AL134" s="252">
        <f t="shared" si="107"/>
        <v>0</v>
      </c>
      <c r="AM134" s="252">
        <f t="shared" si="107"/>
        <v>0</v>
      </c>
      <c r="AN134" s="252">
        <f t="shared" si="107"/>
        <v>0</v>
      </c>
      <c r="AO134" s="252">
        <f t="shared" si="107"/>
        <v>0</v>
      </c>
      <c r="AP134" s="252">
        <f t="shared" si="107"/>
        <v>0</v>
      </c>
      <c r="AQ134" s="252">
        <f t="shared" si="107"/>
        <v>0</v>
      </c>
      <c r="AR134" s="252">
        <f t="shared" si="107"/>
        <v>0</v>
      </c>
      <c r="AS134" s="252">
        <f t="shared" si="107"/>
        <v>0</v>
      </c>
      <c r="AT134" s="252">
        <f t="shared" si="107"/>
        <v>0</v>
      </c>
      <c r="AU134" s="252">
        <f t="shared" si="107"/>
        <v>0</v>
      </c>
      <c r="AV134" s="252">
        <f t="shared" si="107"/>
        <v>0</v>
      </c>
      <c r="AW134" s="252">
        <f t="shared" si="107"/>
        <v>0</v>
      </c>
      <c r="AX134" s="252">
        <f t="shared" si="107"/>
        <v>0</v>
      </c>
      <c r="AY134" s="252">
        <f t="shared" si="107"/>
        <v>0</v>
      </c>
      <c r="AZ134" s="252">
        <f t="shared" si="107"/>
        <v>0</v>
      </c>
      <c r="BA134" s="252">
        <f t="shared" si="107"/>
        <v>0</v>
      </c>
    </row>
    <row r="135">
      <c r="A135" s="788">
        <v>2024.0</v>
      </c>
      <c r="V135" s="826">
        <v>0.0</v>
      </c>
      <c r="W135" s="252">
        <f t="shared" si="14"/>
        <v>0</v>
      </c>
      <c r="X135" s="252">
        <f t="shared" ref="X135:BA135" si="108">IF(AND(X$41-$A135&gt;$V$27,SUM($W135:W135)&lt;&gt;$V135),$V135,0)</f>
        <v>0</v>
      </c>
      <c r="Y135" s="252">
        <f t="shared" si="108"/>
        <v>0</v>
      </c>
      <c r="Z135" s="252">
        <f t="shared" si="108"/>
        <v>0</v>
      </c>
      <c r="AA135" s="252">
        <f t="shared" si="108"/>
        <v>0</v>
      </c>
      <c r="AB135" s="252">
        <f t="shared" si="108"/>
        <v>0</v>
      </c>
      <c r="AC135" s="252">
        <f t="shared" si="108"/>
        <v>0</v>
      </c>
      <c r="AD135" s="252">
        <f t="shared" si="108"/>
        <v>0</v>
      </c>
      <c r="AE135" s="252">
        <f t="shared" si="108"/>
        <v>0</v>
      </c>
      <c r="AF135" s="252">
        <f t="shared" si="108"/>
        <v>0</v>
      </c>
      <c r="AG135" s="252">
        <f t="shared" si="108"/>
        <v>0</v>
      </c>
      <c r="AH135" s="252">
        <f t="shared" si="108"/>
        <v>0</v>
      </c>
      <c r="AI135" s="252">
        <f t="shared" si="108"/>
        <v>0</v>
      </c>
      <c r="AJ135" s="252">
        <f t="shared" si="108"/>
        <v>0</v>
      </c>
      <c r="AK135" s="252">
        <f t="shared" si="108"/>
        <v>0</v>
      </c>
      <c r="AL135" s="252">
        <f t="shared" si="108"/>
        <v>0</v>
      </c>
      <c r="AM135" s="252">
        <f t="shared" si="108"/>
        <v>0</v>
      </c>
      <c r="AN135" s="252">
        <f t="shared" si="108"/>
        <v>0</v>
      </c>
      <c r="AO135" s="252">
        <f t="shared" si="108"/>
        <v>0</v>
      </c>
      <c r="AP135" s="252">
        <f t="shared" si="108"/>
        <v>0</v>
      </c>
      <c r="AQ135" s="252">
        <f t="shared" si="108"/>
        <v>0</v>
      </c>
      <c r="AR135" s="252">
        <f t="shared" si="108"/>
        <v>0</v>
      </c>
      <c r="AS135" s="252">
        <f t="shared" si="108"/>
        <v>0</v>
      </c>
      <c r="AT135" s="252">
        <f t="shared" si="108"/>
        <v>0</v>
      </c>
      <c r="AU135" s="252">
        <f t="shared" si="108"/>
        <v>0</v>
      </c>
      <c r="AV135" s="252">
        <f t="shared" si="108"/>
        <v>0</v>
      </c>
      <c r="AW135" s="252">
        <f t="shared" si="108"/>
        <v>0</v>
      </c>
      <c r="AX135" s="252">
        <f t="shared" si="108"/>
        <v>0</v>
      </c>
      <c r="AY135" s="252">
        <f t="shared" si="108"/>
        <v>0</v>
      </c>
      <c r="AZ135" s="252">
        <f t="shared" si="108"/>
        <v>0</v>
      </c>
      <c r="BA135" s="252">
        <f t="shared" si="108"/>
        <v>0</v>
      </c>
    </row>
    <row r="136">
      <c r="A136" s="788">
        <v>2025.0</v>
      </c>
      <c r="V136" s="826">
        <v>0.0</v>
      </c>
      <c r="W136" s="252">
        <f t="shared" si="14"/>
        <v>0</v>
      </c>
      <c r="X136" s="252">
        <f t="shared" ref="X136:BA136" si="109">IF(AND(X$41-$A136&gt;$V$27,SUM($W136:W136)&lt;&gt;$V136),$V136,0)</f>
        <v>0</v>
      </c>
      <c r="Y136" s="252">
        <f t="shared" si="109"/>
        <v>0</v>
      </c>
      <c r="Z136" s="252">
        <f t="shared" si="109"/>
        <v>0</v>
      </c>
      <c r="AA136" s="252">
        <f t="shared" si="109"/>
        <v>0</v>
      </c>
      <c r="AB136" s="252">
        <f t="shared" si="109"/>
        <v>0</v>
      </c>
      <c r="AC136" s="252">
        <f t="shared" si="109"/>
        <v>0</v>
      </c>
      <c r="AD136" s="252">
        <f t="shared" si="109"/>
        <v>0</v>
      </c>
      <c r="AE136" s="252">
        <f t="shared" si="109"/>
        <v>0</v>
      </c>
      <c r="AF136" s="252">
        <f t="shared" si="109"/>
        <v>0</v>
      </c>
      <c r="AG136" s="252">
        <f t="shared" si="109"/>
        <v>0</v>
      </c>
      <c r="AH136" s="252">
        <f t="shared" si="109"/>
        <v>0</v>
      </c>
      <c r="AI136" s="252">
        <f t="shared" si="109"/>
        <v>0</v>
      </c>
      <c r="AJ136" s="252">
        <f t="shared" si="109"/>
        <v>0</v>
      </c>
      <c r="AK136" s="252">
        <f t="shared" si="109"/>
        <v>0</v>
      </c>
      <c r="AL136" s="252">
        <f t="shared" si="109"/>
        <v>0</v>
      </c>
      <c r="AM136" s="252">
        <f t="shared" si="109"/>
        <v>0</v>
      </c>
      <c r="AN136" s="252">
        <f t="shared" si="109"/>
        <v>0</v>
      </c>
      <c r="AO136" s="252">
        <f t="shared" si="109"/>
        <v>0</v>
      </c>
      <c r="AP136" s="252">
        <f t="shared" si="109"/>
        <v>0</v>
      </c>
      <c r="AQ136" s="252">
        <f t="shared" si="109"/>
        <v>0</v>
      </c>
      <c r="AR136" s="252">
        <f t="shared" si="109"/>
        <v>0</v>
      </c>
      <c r="AS136" s="252">
        <f t="shared" si="109"/>
        <v>0</v>
      </c>
      <c r="AT136" s="252">
        <f t="shared" si="109"/>
        <v>0</v>
      </c>
      <c r="AU136" s="252">
        <f t="shared" si="109"/>
        <v>0</v>
      </c>
      <c r="AV136" s="252">
        <f t="shared" si="109"/>
        <v>0</v>
      </c>
      <c r="AW136" s="252">
        <f t="shared" si="109"/>
        <v>0</v>
      </c>
      <c r="AX136" s="252">
        <f t="shared" si="109"/>
        <v>0</v>
      </c>
      <c r="AY136" s="252">
        <f t="shared" si="109"/>
        <v>0</v>
      </c>
      <c r="AZ136" s="252">
        <f t="shared" si="109"/>
        <v>0</v>
      </c>
      <c r="BA136" s="252">
        <f t="shared" si="109"/>
        <v>0</v>
      </c>
    </row>
    <row r="137">
      <c r="A137" s="788">
        <v>2026.0</v>
      </c>
      <c r="V137" s="826">
        <v>0.0</v>
      </c>
      <c r="W137" s="252">
        <f t="shared" si="14"/>
        <v>0</v>
      </c>
      <c r="X137" s="252">
        <f t="shared" ref="X137:BA137" si="110">IF(AND(X$41-$A137&gt;$V$27,SUM($W137:W137)&lt;&gt;$V137),$V137,0)</f>
        <v>0</v>
      </c>
      <c r="Y137" s="252">
        <f t="shared" si="110"/>
        <v>0</v>
      </c>
      <c r="Z137" s="252">
        <f t="shared" si="110"/>
        <v>0</v>
      </c>
      <c r="AA137" s="252">
        <f t="shared" si="110"/>
        <v>0</v>
      </c>
      <c r="AB137" s="252">
        <f t="shared" si="110"/>
        <v>0</v>
      </c>
      <c r="AC137" s="252">
        <f t="shared" si="110"/>
        <v>0</v>
      </c>
      <c r="AD137" s="252">
        <f t="shared" si="110"/>
        <v>0</v>
      </c>
      <c r="AE137" s="252">
        <f t="shared" si="110"/>
        <v>0</v>
      </c>
      <c r="AF137" s="252">
        <f t="shared" si="110"/>
        <v>0</v>
      </c>
      <c r="AG137" s="252">
        <f t="shared" si="110"/>
        <v>0</v>
      </c>
      <c r="AH137" s="252">
        <f t="shared" si="110"/>
        <v>0</v>
      </c>
      <c r="AI137" s="252">
        <f t="shared" si="110"/>
        <v>0</v>
      </c>
      <c r="AJ137" s="252">
        <f t="shared" si="110"/>
        <v>0</v>
      </c>
      <c r="AK137" s="252">
        <f t="shared" si="110"/>
        <v>0</v>
      </c>
      <c r="AL137" s="252">
        <f t="shared" si="110"/>
        <v>0</v>
      </c>
      <c r="AM137" s="252">
        <f t="shared" si="110"/>
        <v>0</v>
      </c>
      <c r="AN137" s="252">
        <f t="shared" si="110"/>
        <v>0</v>
      </c>
      <c r="AO137" s="252">
        <f t="shared" si="110"/>
        <v>0</v>
      </c>
      <c r="AP137" s="252">
        <f t="shared" si="110"/>
        <v>0</v>
      </c>
      <c r="AQ137" s="252">
        <f t="shared" si="110"/>
        <v>0</v>
      </c>
      <c r="AR137" s="252">
        <f t="shared" si="110"/>
        <v>0</v>
      </c>
      <c r="AS137" s="252">
        <f t="shared" si="110"/>
        <v>0</v>
      </c>
      <c r="AT137" s="252">
        <f t="shared" si="110"/>
        <v>0</v>
      </c>
      <c r="AU137" s="252">
        <f t="shared" si="110"/>
        <v>0</v>
      </c>
      <c r="AV137" s="252">
        <f t="shared" si="110"/>
        <v>0</v>
      </c>
      <c r="AW137" s="252">
        <f t="shared" si="110"/>
        <v>0</v>
      </c>
      <c r="AX137" s="252">
        <f t="shared" si="110"/>
        <v>0</v>
      </c>
      <c r="AY137" s="252">
        <f t="shared" si="110"/>
        <v>0</v>
      </c>
      <c r="AZ137" s="252">
        <f t="shared" si="110"/>
        <v>0</v>
      </c>
      <c r="BA137" s="252">
        <f t="shared" si="110"/>
        <v>0</v>
      </c>
    </row>
    <row r="138">
      <c r="A138" s="788">
        <v>2027.0</v>
      </c>
      <c r="V138" s="826">
        <v>0.0</v>
      </c>
      <c r="W138" s="252">
        <f t="shared" si="14"/>
        <v>0</v>
      </c>
      <c r="X138" s="252">
        <f t="shared" ref="X138:BA138" si="111">IF(AND(X$41-$A138&gt;$V$27,SUM($W138:W138)&lt;&gt;$V138),$V138,0)</f>
        <v>0</v>
      </c>
      <c r="Y138" s="252">
        <f t="shared" si="111"/>
        <v>0</v>
      </c>
      <c r="Z138" s="252">
        <f t="shared" si="111"/>
        <v>0</v>
      </c>
      <c r="AA138" s="252">
        <f t="shared" si="111"/>
        <v>0</v>
      </c>
      <c r="AB138" s="252">
        <f t="shared" si="111"/>
        <v>0</v>
      </c>
      <c r="AC138" s="252">
        <f t="shared" si="111"/>
        <v>0</v>
      </c>
      <c r="AD138" s="252">
        <f t="shared" si="111"/>
        <v>0</v>
      </c>
      <c r="AE138" s="252">
        <f t="shared" si="111"/>
        <v>0</v>
      </c>
      <c r="AF138" s="252">
        <f t="shared" si="111"/>
        <v>0</v>
      </c>
      <c r="AG138" s="252">
        <f t="shared" si="111"/>
        <v>0</v>
      </c>
      <c r="AH138" s="252">
        <f t="shared" si="111"/>
        <v>0</v>
      </c>
      <c r="AI138" s="252">
        <f t="shared" si="111"/>
        <v>0</v>
      </c>
      <c r="AJ138" s="252">
        <f t="shared" si="111"/>
        <v>0</v>
      </c>
      <c r="AK138" s="252">
        <f t="shared" si="111"/>
        <v>0</v>
      </c>
      <c r="AL138" s="252">
        <f t="shared" si="111"/>
        <v>0</v>
      </c>
      <c r="AM138" s="252">
        <f t="shared" si="111"/>
        <v>0</v>
      </c>
      <c r="AN138" s="252">
        <f t="shared" si="111"/>
        <v>0</v>
      </c>
      <c r="AO138" s="252">
        <f t="shared" si="111"/>
        <v>0</v>
      </c>
      <c r="AP138" s="252">
        <f t="shared" si="111"/>
        <v>0</v>
      </c>
      <c r="AQ138" s="252">
        <f t="shared" si="111"/>
        <v>0</v>
      </c>
      <c r="AR138" s="252">
        <f t="shared" si="111"/>
        <v>0</v>
      </c>
      <c r="AS138" s="252">
        <f t="shared" si="111"/>
        <v>0</v>
      </c>
      <c r="AT138" s="252">
        <f t="shared" si="111"/>
        <v>0</v>
      </c>
      <c r="AU138" s="252">
        <f t="shared" si="111"/>
        <v>0</v>
      </c>
      <c r="AV138" s="252">
        <f t="shared" si="111"/>
        <v>0</v>
      </c>
      <c r="AW138" s="252">
        <f t="shared" si="111"/>
        <v>0</v>
      </c>
      <c r="AX138" s="252">
        <f t="shared" si="111"/>
        <v>0</v>
      </c>
      <c r="AY138" s="252">
        <f t="shared" si="111"/>
        <v>0</v>
      </c>
      <c r="AZ138" s="252">
        <f t="shared" si="111"/>
        <v>0</v>
      </c>
      <c r="BA138" s="252">
        <f t="shared" si="111"/>
        <v>0</v>
      </c>
    </row>
    <row r="139">
      <c r="A139" s="788">
        <v>2028.0</v>
      </c>
      <c r="V139" s="826">
        <v>0.0</v>
      </c>
      <c r="W139" s="252">
        <f t="shared" si="14"/>
        <v>0</v>
      </c>
      <c r="X139" s="252">
        <f t="shared" ref="X139:BA139" si="112">IF(AND(X$41-$A139&gt;$V$27,SUM($W139:W139)&lt;&gt;$V139),$V139,0)</f>
        <v>0</v>
      </c>
      <c r="Y139" s="252">
        <f t="shared" si="112"/>
        <v>0</v>
      </c>
      <c r="Z139" s="252">
        <f t="shared" si="112"/>
        <v>0</v>
      </c>
      <c r="AA139" s="252">
        <f t="shared" si="112"/>
        <v>0</v>
      </c>
      <c r="AB139" s="252">
        <f t="shared" si="112"/>
        <v>0</v>
      </c>
      <c r="AC139" s="252">
        <f t="shared" si="112"/>
        <v>0</v>
      </c>
      <c r="AD139" s="252">
        <f t="shared" si="112"/>
        <v>0</v>
      </c>
      <c r="AE139" s="252">
        <f t="shared" si="112"/>
        <v>0</v>
      </c>
      <c r="AF139" s="252">
        <f t="shared" si="112"/>
        <v>0</v>
      </c>
      <c r="AG139" s="252">
        <f t="shared" si="112"/>
        <v>0</v>
      </c>
      <c r="AH139" s="252">
        <f t="shared" si="112"/>
        <v>0</v>
      </c>
      <c r="AI139" s="252">
        <f t="shared" si="112"/>
        <v>0</v>
      </c>
      <c r="AJ139" s="252">
        <f t="shared" si="112"/>
        <v>0</v>
      </c>
      <c r="AK139" s="252">
        <f t="shared" si="112"/>
        <v>0</v>
      </c>
      <c r="AL139" s="252">
        <f t="shared" si="112"/>
        <v>0</v>
      </c>
      <c r="AM139" s="252">
        <f t="shared" si="112"/>
        <v>0</v>
      </c>
      <c r="AN139" s="252">
        <f t="shared" si="112"/>
        <v>0</v>
      </c>
      <c r="AO139" s="252">
        <f t="shared" si="112"/>
        <v>0</v>
      </c>
      <c r="AP139" s="252">
        <f t="shared" si="112"/>
        <v>0</v>
      </c>
      <c r="AQ139" s="252">
        <f t="shared" si="112"/>
        <v>0</v>
      </c>
      <c r="AR139" s="252">
        <f t="shared" si="112"/>
        <v>0</v>
      </c>
      <c r="AS139" s="252">
        <f t="shared" si="112"/>
        <v>0</v>
      </c>
      <c r="AT139" s="252">
        <f t="shared" si="112"/>
        <v>0</v>
      </c>
      <c r="AU139" s="252">
        <f t="shared" si="112"/>
        <v>0</v>
      </c>
      <c r="AV139" s="252">
        <f t="shared" si="112"/>
        <v>0</v>
      </c>
      <c r="AW139" s="252">
        <f t="shared" si="112"/>
        <v>0</v>
      </c>
      <c r="AX139" s="252">
        <f t="shared" si="112"/>
        <v>0</v>
      </c>
      <c r="AY139" s="252">
        <f t="shared" si="112"/>
        <v>0</v>
      </c>
      <c r="AZ139" s="252">
        <f t="shared" si="112"/>
        <v>0</v>
      </c>
      <c r="BA139" s="252">
        <f t="shared" si="112"/>
        <v>0</v>
      </c>
    </row>
    <row r="140">
      <c r="A140" s="788">
        <v>2029.0</v>
      </c>
      <c r="V140" s="826">
        <v>0.0</v>
      </c>
      <c r="W140" s="252">
        <f t="shared" si="14"/>
        <v>0</v>
      </c>
      <c r="X140" s="252">
        <f t="shared" ref="X140:BA140" si="113">IF(AND(X$41-$A140&gt;$V$27,SUM($W140:W140)&lt;&gt;$V140),$V140,0)</f>
        <v>0</v>
      </c>
      <c r="Y140" s="252">
        <f t="shared" si="113"/>
        <v>0</v>
      </c>
      <c r="Z140" s="252">
        <f t="shared" si="113"/>
        <v>0</v>
      </c>
      <c r="AA140" s="252">
        <f t="shared" si="113"/>
        <v>0</v>
      </c>
      <c r="AB140" s="252">
        <f t="shared" si="113"/>
        <v>0</v>
      </c>
      <c r="AC140" s="252">
        <f t="shared" si="113"/>
        <v>0</v>
      </c>
      <c r="AD140" s="252">
        <f t="shared" si="113"/>
        <v>0</v>
      </c>
      <c r="AE140" s="252">
        <f t="shared" si="113"/>
        <v>0</v>
      </c>
      <c r="AF140" s="252">
        <f t="shared" si="113"/>
        <v>0</v>
      </c>
      <c r="AG140" s="252">
        <f t="shared" si="113"/>
        <v>0</v>
      </c>
      <c r="AH140" s="252">
        <f t="shared" si="113"/>
        <v>0</v>
      </c>
      <c r="AI140" s="252">
        <f t="shared" si="113"/>
        <v>0</v>
      </c>
      <c r="AJ140" s="252">
        <f t="shared" si="113"/>
        <v>0</v>
      </c>
      <c r="AK140" s="252">
        <f t="shared" si="113"/>
        <v>0</v>
      </c>
      <c r="AL140" s="252">
        <f t="shared" si="113"/>
        <v>0</v>
      </c>
      <c r="AM140" s="252">
        <f t="shared" si="113"/>
        <v>0</v>
      </c>
      <c r="AN140" s="252">
        <f t="shared" si="113"/>
        <v>0</v>
      </c>
      <c r="AO140" s="252">
        <f t="shared" si="113"/>
        <v>0</v>
      </c>
      <c r="AP140" s="252">
        <f t="shared" si="113"/>
        <v>0</v>
      </c>
      <c r="AQ140" s="252">
        <f t="shared" si="113"/>
        <v>0</v>
      </c>
      <c r="AR140" s="252">
        <f t="shared" si="113"/>
        <v>0</v>
      </c>
      <c r="AS140" s="252">
        <f t="shared" si="113"/>
        <v>0</v>
      </c>
      <c r="AT140" s="252">
        <f t="shared" si="113"/>
        <v>0</v>
      </c>
      <c r="AU140" s="252">
        <f t="shared" si="113"/>
        <v>0</v>
      </c>
      <c r="AV140" s="252">
        <f t="shared" si="113"/>
        <v>0</v>
      </c>
      <c r="AW140" s="252">
        <f t="shared" si="113"/>
        <v>0</v>
      </c>
      <c r="AX140" s="252">
        <f t="shared" si="113"/>
        <v>0</v>
      </c>
      <c r="AY140" s="252">
        <f t="shared" si="113"/>
        <v>0</v>
      </c>
      <c r="AZ140" s="252">
        <f t="shared" si="113"/>
        <v>0</v>
      </c>
      <c r="BA140" s="252">
        <f t="shared" si="113"/>
        <v>0</v>
      </c>
    </row>
    <row r="141">
      <c r="A141" s="788">
        <v>2030.0</v>
      </c>
      <c r="V141" s="826">
        <v>0.0</v>
      </c>
      <c r="W141" s="252">
        <f t="shared" si="14"/>
        <v>0</v>
      </c>
      <c r="X141" s="252">
        <f t="shared" ref="X141:BA141" si="114">IF(AND(X$41-$A141&gt;$V$27,SUM($W141:W141)&lt;&gt;$V141),$V141,0)</f>
        <v>0</v>
      </c>
      <c r="Y141" s="252">
        <f t="shared" si="114"/>
        <v>0</v>
      </c>
      <c r="Z141" s="252">
        <f t="shared" si="114"/>
        <v>0</v>
      </c>
      <c r="AA141" s="252">
        <f t="shared" si="114"/>
        <v>0</v>
      </c>
      <c r="AB141" s="252">
        <f t="shared" si="114"/>
        <v>0</v>
      </c>
      <c r="AC141" s="252">
        <f t="shared" si="114"/>
        <v>0</v>
      </c>
      <c r="AD141" s="252">
        <f t="shared" si="114"/>
        <v>0</v>
      </c>
      <c r="AE141" s="252">
        <f t="shared" si="114"/>
        <v>0</v>
      </c>
      <c r="AF141" s="252">
        <f t="shared" si="114"/>
        <v>0</v>
      </c>
      <c r="AG141" s="252">
        <f t="shared" si="114"/>
        <v>0</v>
      </c>
      <c r="AH141" s="252">
        <f t="shared" si="114"/>
        <v>0</v>
      </c>
      <c r="AI141" s="252">
        <f t="shared" si="114"/>
        <v>0</v>
      </c>
      <c r="AJ141" s="252">
        <f t="shared" si="114"/>
        <v>0</v>
      </c>
      <c r="AK141" s="252">
        <f t="shared" si="114"/>
        <v>0</v>
      </c>
      <c r="AL141" s="252">
        <f t="shared" si="114"/>
        <v>0</v>
      </c>
      <c r="AM141" s="252">
        <f t="shared" si="114"/>
        <v>0</v>
      </c>
      <c r="AN141" s="252">
        <f t="shared" si="114"/>
        <v>0</v>
      </c>
      <c r="AO141" s="252">
        <f t="shared" si="114"/>
        <v>0</v>
      </c>
      <c r="AP141" s="252">
        <f t="shared" si="114"/>
        <v>0</v>
      </c>
      <c r="AQ141" s="252">
        <f t="shared" si="114"/>
        <v>0</v>
      </c>
      <c r="AR141" s="252">
        <f t="shared" si="114"/>
        <v>0</v>
      </c>
      <c r="AS141" s="252">
        <f t="shared" si="114"/>
        <v>0</v>
      </c>
      <c r="AT141" s="252">
        <f t="shared" si="114"/>
        <v>0</v>
      </c>
      <c r="AU141" s="252">
        <f t="shared" si="114"/>
        <v>0</v>
      </c>
      <c r="AV141" s="252">
        <f t="shared" si="114"/>
        <v>0</v>
      </c>
      <c r="AW141" s="252">
        <f t="shared" si="114"/>
        <v>0</v>
      </c>
      <c r="AX141" s="252">
        <f t="shared" si="114"/>
        <v>0</v>
      </c>
      <c r="AY141" s="252">
        <f t="shared" si="114"/>
        <v>0</v>
      </c>
      <c r="AZ141" s="252">
        <f t="shared" si="114"/>
        <v>0</v>
      </c>
      <c r="BA141" s="252">
        <f t="shared" si="114"/>
        <v>0</v>
      </c>
    </row>
    <row r="142">
      <c r="A142" s="788">
        <v>2031.0</v>
      </c>
      <c r="V142" s="826">
        <v>0.0</v>
      </c>
      <c r="W142" s="252">
        <f t="shared" si="14"/>
        <v>0</v>
      </c>
      <c r="X142" s="252">
        <f t="shared" ref="X142:BA142" si="115">IF(AND(X$41-$A142&gt;$V$27,SUM($W142:W142)&lt;&gt;$V142),$V142,0)</f>
        <v>0</v>
      </c>
      <c r="Y142" s="252">
        <f t="shared" si="115"/>
        <v>0</v>
      </c>
      <c r="Z142" s="252">
        <f t="shared" si="115"/>
        <v>0</v>
      </c>
      <c r="AA142" s="252">
        <f t="shared" si="115"/>
        <v>0</v>
      </c>
      <c r="AB142" s="252">
        <f t="shared" si="115"/>
        <v>0</v>
      </c>
      <c r="AC142" s="252">
        <f t="shared" si="115"/>
        <v>0</v>
      </c>
      <c r="AD142" s="252">
        <f t="shared" si="115"/>
        <v>0</v>
      </c>
      <c r="AE142" s="252">
        <f t="shared" si="115"/>
        <v>0</v>
      </c>
      <c r="AF142" s="252">
        <f t="shared" si="115"/>
        <v>0</v>
      </c>
      <c r="AG142" s="252">
        <f t="shared" si="115"/>
        <v>0</v>
      </c>
      <c r="AH142" s="252">
        <f t="shared" si="115"/>
        <v>0</v>
      </c>
      <c r="AI142" s="252">
        <f t="shared" si="115"/>
        <v>0</v>
      </c>
      <c r="AJ142" s="252">
        <f t="shared" si="115"/>
        <v>0</v>
      </c>
      <c r="AK142" s="252">
        <f t="shared" si="115"/>
        <v>0</v>
      </c>
      <c r="AL142" s="252">
        <f t="shared" si="115"/>
        <v>0</v>
      </c>
      <c r="AM142" s="252">
        <f t="shared" si="115"/>
        <v>0</v>
      </c>
      <c r="AN142" s="252">
        <f t="shared" si="115"/>
        <v>0</v>
      </c>
      <c r="AO142" s="252">
        <f t="shared" si="115"/>
        <v>0</v>
      </c>
      <c r="AP142" s="252">
        <f t="shared" si="115"/>
        <v>0</v>
      </c>
      <c r="AQ142" s="252">
        <f t="shared" si="115"/>
        <v>0</v>
      </c>
      <c r="AR142" s="252">
        <f t="shared" si="115"/>
        <v>0</v>
      </c>
      <c r="AS142" s="252">
        <f t="shared" si="115"/>
        <v>0</v>
      </c>
      <c r="AT142" s="252">
        <f t="shared" si="115"/>
        <v>0</v>
      </c>
      <c r="AU142" s="252">
        <f t="shared" si="115"/>
        <v>0</v>
      </c>
      <c r="AV142" s="252">
        <f t="shared" si="115"/>
        <v>0</v>
      </c>
      <c r="AW142" s="252">
        <f t="shared" si="115"/>
        <v>0</v>
      </c>
      <c r="AX142" s="252">
        <f t="shared" si="115"/>
        <v>0</v>
      </c>
      <c r="AY142" s="252">
        <f t="shared" si="115"/>
        <v>0</v>
      </c>
      <c r="AZ142" s="252">
        <f t="shared" si="115"/>
        <v>0</v>
      </c>
      <c r="BA142" s="252">
        <f t="shared" si="115"/>
        <v>0</v>
      </c>
    </row>
    <row r="143">
      <c r="A143" s="788">
        <v>2032.0</v>
      </c>
      <c r="V143" s="826">
        <v>0.0</v>
      </c>
      <c r="W143" s="252">
        <f t="shared" si="14"/>
        <v>0</v>
      </c>
      <c r="X143" s="252">
        <f t="shared" ref="X143:BA143" si="116">IF(AND(X$41-$A143&gt;$V$27,SUM($W143:W143)&lt;&gt;$V143),$V143,0)</f>
        <v>0</v>
      </c>
      <c r="Y143" s="252">
        <f t="shared" si="116"/>
        <v>0</v>
      </c>
      <c r="Z143" s="252">
        <f t="shared" si="116"/>
        <v>0</v>
      </c>
      <c r="AA143" s="252">
        <f t="shared" si="116"/>
        <v>0</v>
      </c>
      <c r="AB143" s="252">
        <f t="shared" si="116"/>
        <v>0</v>
      </c>
      <c r="AC143" s="252">
        <f t="shared" si="116"/>
        <v>0</v>
      </c>
      <c r="AD143" s="252">
        <f t="shared" si="116"/>
        <v>0</v>
      </c>
      <c r="AE143" s="252">
        <f t="shared" si="116"/>
        <v>0</v>
      </c>
      <c r="AF143" s="252">
        <f t="shared" si="116"/>
        <v>0</v>
      </c>
      <c r="AG143" s="252">
        <f t="shared" si="116"/>
        <v>0</v>
      </c>
      <c r="AH143" s="252">
        <f t="shared" si="116"/>
        <v>0</v>
      </c>
      <c r="AI143" s="252">
        <f t="shared" si="116"/>
        <v>0</v>
      </c>
      <c r="AJ143" s="252">
        <f t="shared" si="116"/>
        <v>0</v>
      </c>
      <c r="AK143" s="252">
        <f t="shared" si="116"/>
        <v>0</v>
      </c>
      <c r="AL143" s="252">
        <f t="shared" si="116"/>
        <v>0</v>
      </c>
      <c r="AM143" s="252">
        <f t="shared" si="116"/>
        <v>0</v>
      </c>
      <c r="AN143" s="252">
        <f t="shared" si="116"/>
        <v>0</v>
      </c>
      <c r="AO143" s="252">
        <f t="shared" si="116"/>
        <v>0</v>
      </c>
      <c r="AP143" s="252">
        <f t="shared" si="116"/>
        <v>0</v>
      </c>
      <c r="AQ143" s="252">
        <f t="shared" si="116"/>
        <v>0</v>
      </c>
      <c r="AR143" s="252">
        <f t="shared" si="116"/>
        <v>0</v>
      </c>
      <c r="AS143" s="252">
        <f t="shared" si="116"/>
        <v>0</v>
      </c>
      <c r="AT143" s="252">
        <f t="shared" si="116"/>
        <v>0</v>
      </c>
      <c r="AU143" s="252">
        <f t="shared" si="116"/>
        <v>0</v>
      </c>
      <c r="AV143" s="252">
        <f t="shared" si="116"/>
        <v>0</v>
      </c>
      <c r="AW143" s="252">
        <f t="shared" si="116"/>
        <v>0</v>
      </c>
      <c r="AX143" s="252">
        <f t="shared" si="116"/>
        <v>0</v>
      </c>
      <c r="AY143" s="252">
        <f t="shared" si="116"/>
        <v>0</v>
      </c>
      <c r="AZ143" s="252">
        <f t="shared" si="116"/>
        <v>0</v>
      </c>
      <c r="BA143" s="252">
        <f t="shared" si="116"/>
        <v>0</v>
      </c>
    </row>
    <row r="144">
      <c r="A144" s="788">
        <v>2033.0</v>
      </c>
      <c r="V144" s="826">
        <v>0.0</v>
      </c>
      <c r="W144" s="252">
        <f t="shared" si="14"/>
        <v>0</v>
      </c>
      <c r="X144" s="252">
        <f t="shared" ref="X144:BA144" si="117">IF(AND(X$41-$A144&gt;$V$27,SUM($W144:W144)&lt;&gt;$V144),$V144,0)</f>
        <v>0</v>
      </c>
      <c r="Y144" s="252">
        <f t="shared" si="117"/>
        <v>0</v>
      </c>
      <c r="Z144" s="252">
        <f t="shared" si="117"/>
        <v>0</v>
      </c>
      <c r="AA144" s="252">
        <f t="shared" si="117"/>
        <v>0</v>
      </c>
      <c r="AB144" s="252">
        <f t="shared" si="117"/>
        <v>0</v>
      </c>
      <c r="AC144" s="252">
        <f t="shared" si="117"/>
        <v>0</v>
      </c>
      <c r="AD144" s="252">
        <f t="shared" si="117"/>
        <v>0</v>
      </c>
      <c r="AE144" s="252">
        <f t="shared" si="117"/>
        <v>0</v>
      </c>
      <c r="AF144" s="252">
        <f t="shared" si="117"/>
        <v>0</v>
      </c>
      <c r="AG144" s="252">
        <f t="shared" si="117"/>
        <v>0</v>
      </c>
      <c r="AH144" s="252">
        <f t="shared" si="117"/>
        <v>0</v>
      </c>
      <c r="AI144" s="252">
        <f t="shared" si="117"/>
        <v>0</v>
      </c>
      <c r="AJ144" s="252">
        <f t="shared" si="117"/>
        <v>0</v>
      </c>
      <c r="AK144" s="252">
        <f t="shared" si="117"/>
        <v>0</v>
      </c>
      <c r="AL144" s="252">
        <f t="shared" si="117"/>
        <v>0</v>
      </c>
      <c r="AM144" s="252">
        <f t="shared" si="117"/>
        <v>0</v>
      </c>
      <c r="AN144" s="252">
        <f t="shared" si="117"/>
        <v>0</v>
      </c>
      <c r="AO144" s="252">
        <f t="shared" si="117"/>
        <v>0</v>
      </c>
      <c r="AP144" s="252">
        <f t="shared" si="117"/>
        <v>0</v>
      </c>
      <c r="AQ144" s="252">
        <f t="shared" si="117"/>
        <v>0</v>
      </c>
      <c r="AR144" s="252">
        <f t="shared" si="117"/>
        <v>0</v>
      </c>
      <c r="AS144" s="252">
        <f t="shared" si="117"/>
        <v>0</v>
      </c>
      <c r="AT144" s="252">
        <f t="shared" si="117"/>
        <v>0</v>
      </c>
      <c r="AU144" s="252">
        <f t="shared" si="117"/>
        <v>0</v>
      </c>
      <c r="AV144" s="252">
        <f t="shared" si="117"/>
        <v>0</v>
      </c>
      <c r="AW144" s="252">
        <f t="shared" si="117"/>
        <v>0</v>
      </c>
      <c r="AX144" s="252">
        <f t="shared" si="117"/>
        <v>0</v>
      </c>
      <c r="AY144" s="252">
        <f t="shared" si="117"/>
        <v>0</v>
      </c>
      <c r="AZ144" s="252">
        <f t="shared" si="117"/>
        <v>0</v>
      </c>
      <c r="BA144" s="252">
        <f t="shared" si="117"/>
        <v>0</v>
      </c>
    </row>
    <row r="145">
      <c r="A145" s="788">
        <v>2034.0</v>
      </c>
      <c r="V145" s="826">
        <v>0.0</v>
      </c>
      <c r="W145" s="252">
        <f t="shared" si="14"/>
        <v>0</v>
      </c>
      <c r="X145" s="252">
        <f t="shared" ref="X145:BA145" si="118">IF(AND(X$41-$A145&gt;$V$27,SUM($W145:W145)&lt;&gt;$V145),$V145,0)</f>
        <v>0</v>
      </c>
      <c r="Y145" s="252">
        <f t="shared" si="118"/>
        <v>0</v>
      </c>
      <c r="Z145" s="252">
        <f t="shared" si="118"/>
        <v>0</v>
      </c>
      <c r="AA145" s="252">
        <f t="shared" si="118"/>
        <v>0</v>
      </c>
      <c r="AB145" s="252">
        <f t="shared" si="118"/>
        <v>0</v>
      </c>
      <c r="AC145" s="252">
        <f t="shared" si="118"/>
        <v>0</v>
      </c>
      <c r="AD145" s="252">
        <f t="shared" si="118"/>
        <v>0</v>
      </c>
      <c r="AE145" s="252">
        <f t="shared" si="118"/>
        <v>0</v>
      </c>
      <c r="AF145" s="252">
        <f t="shared" si="118"/>
        <v>0</v>
      </c>
      <c r="AG145" s="252">
        <f t="shared" si="118"/>
        <v>0</v>
      </c>
      <c r="AH145" s="252">
        <f t="shared" si="118"/>
        <v>0</v>
      </c>
      <c r="AI145" s="252">
        <f t="shared" si="118"/>
        <v>0</v>
      </c>
      <c r="AJ145" s="252">
        <f t="shared" si="118"/>
        <v>0</v>
      </c>
      <c r="AK145" s="252">
        <f t="shared" si="118"/>
        <v>0</v>
      </c>
      <c r="AL145" s="252">
        <f t="shared" si="118"/>
        <v>0</v>
      </c>
      <c r="AM145" s="252">
        <f t="shared" si="118"/>
        <v>0</v>
      </c>
      <c r="AN145" s="252">
        <f t="shared" si="118"/>
        <v>0</v>
      </c>
      <c r="AO145" s="252">
        <f t="shared" si="118"/>
        <v>0</v>
      </c>
      <c r="AP145" s="252">
        <f t="shared" si="118"/>
        <v>0</v>
      </c>
      <c r="AQ145" s="252">
        <f t="shared" si="118"/>
        <v>0</v>
      </c>
      <c r="AR145" s="252">
        <f t="shared" si="118"/>
        <v>0</v>
      </c>
      <c r="AS145" s="252">
        <f t="shared" si="118"/>
        <v>0</v>
      </c>
      <c r="AT145" s="252">
        <f t="shared" si="118"/>
        <v>0</v>
      </c>
      <c r="AU145" s="252">
        <f t="shared" si="118"/>
        <v>0</v>
      </c>
      <c r="AV145" s="252">
        <f t="shared" si="118"/>
        <v>0</v>
      </c>
      <c r="AW145" s="252">
        <f t="shared" si="118"/>
        <v>0</v>
      </c>
      <c r="AX145" s="252">
        <f t="shared" si="118"/>
        <v>0</v>
      </c>
      <c r="AY145" s="252">
        <f t="shared" si="118"/>
        <v>0</v>
      </c>
      <c r="AZ145" s="252">
        <f t="shared" si="118"/>
        <v>0</v>
      </c>
      <c r="BA145" s="252">
        <f t="shared" si="118"/>
        <v>0</v>
      </c>
    </row>
    <row r="146">
      <c r="A146" s="788">
        <v>2035.0</v>
      </c>
      <c r="V146" s="826">
        <v>0.0</v>
      </c>
      <c r="W146" s="252">
        <f t="shared" si="14"/>
        <v>0</v>
      </c>
      <c r="X146" s="252">
        <f t="shared" ref="X146:BA146" si="119">IF(AND(X$41-$A146&gt;$V$27,SUM($W146:W146)&lt;&gt;$V146),$V146,0)</f>
        <v>0</v>
      </c>
      <c r="Y146" s="252">
        <f t="shared" si="119"/>
        <v>0</v>
      </c>
      <c r="Z146" s="252">
        <f t="shared" si="119"/>
        <v>0</v>
      </c>
      <c r="AA146" s="252">
        <f t="shared" si="119"/>
        <v>0</v>
      </c>
      <c r="AB146" s="252">
        <f t="shared" si="119"/>
        <v>0</v>
      </c>
      <c r="AC146" s="252">
        <f t="shared" si="119"/>
        <v>0</v>
      </c>
      <c r="AD146" s="252">
        <f t="shared" si="119"/>
        <v>0</v>
      </c>
      <c r="AE146" s="252">
        <f t="shared" si="119"/>
        <v>0</v>
      </c>
      <c r="AF146" s="252">
        <f t="shared" si="119"/>
        <v>0</v>
      </c>
      <c r="AG146" s="252">
        <f t="shared" si="119"/>
        <v>0</v>
      </c>
      <c r="AH146" s="252">
        <f t="shared" si="119"/>
        <v>0</v>
      </c>
      <c r="AI146" s="252">
        <f t="shared" si="119"/>
        <v>0</v>
      </c>
      <c r="AJ146" s="252">
        <f t="shared" si="119"/>
        <v>0</v>
      </c>
      <c r="AK146" s="252">
        <f t="shared" si="119"/>
        <v>0</v>
      </c>
      <c r="AL146" s="252">
        <f t="shared" si="119"/>
        <v>0</v>
      </c>
      <c r="AM146" s="252">
        <f t="shared" si="119"/>
        <v>0</v>
      </c>
      <c r="AN146" s="252">
        <f t="shared" si="119"/>
        <v>0</v>
      </c>
      <c r="AO146" s="252">
        <f t="shared" si="119"/>
        <v>0</v>
      </c>
      <c r="AP146" s="252">
        <f t="shared" si="119"/>
        <v>0</v>
      </c>
      <c r="AQ146" s="252">
        <f t="shared" si="119"/>
        <v>0</v>
      </c>
      <c r="AR146" s="252">
        <f t="shared" si="119"/>
        <v>0</v>
      </c>
      <c r="AS146" s="252">
        <f t="shared" si="119"/>
        <v>0</v>
      </c>
      <c r="AT146" s="252">
        <f t="shared" si="119"/>
        <v>0</v>
      </c>
      <c r="AU146" s="252">
        <f t="shared" si="119"/>
        <v>0</v>
      </c>
      <c r="AV146" s="252">
        <f t="shared" si="119"/>
        <v>0</v>
      </c>
      <c r="AW146" s="252">
        <f t="shared" si="119"/>
        <v>0</v>
      </c>
      <c r="AX146" s="252">
        <f t="shared" si="119"/>
        <v>0</v>
      </c>
      <c r="AY146" s="252">
        <f t="shared" si="119"/>
        <v>0</v>
      </c>
      <c r="AZ146" s="252">
        <f t="shared" si="119"/>
        <v>0</v>
      </c>
      <c r="BA146" s="252">
        <f t="shared" si="119"/>
        <v>0</v>
      </c>
    </row>
    <row r="147">
      <c r="A147" s="788">
        <v>2036.0</v>
      </c>
      <c r="V147" s="826">
        <v>0.0</v>
      </c>
      <c r="W147" s="252">
        <f t="shared" si="14"/>
        <v>0</v>
      </c>
      <c r="X147" s="252">
        <f t="shared" ref="X147:BA147" si="120">IF(AND(X$41-$A147&gt;$V$27,SUM($W147:W147)&lt;&gt;$V147),$V147,0)</f>
        <v>0</v>
      </c>
      <c r="Y147" s="252">
        <f t="shared" si="120"/>
        <v>0</v>
      </c>
      <c r="Z147" s="252">
        <f t="shared" si="120"/>
        <v>0</v>
      </c>
      <c r="AA147" s="252">
        <f t="shared" si="120"/>
        <v>0</v>
      </c>
      <c r="AB147" s="252">
        <f t="shared" si="120"/>
        <v>0</v>
      </c>
      <c r="AC147" s="252">
        <f t="shared" si="120"/>
        <v>0</v>
      </c>
      <c r="AD147" s="252">
        <f t="shared" si="120"/>
        <v>0</v>
      </c>
      <c r="AE147" s="252">
        <f t="shared" si="120"/>
        <v>0</v>
      </c>
      <c r="AF147" s="252">
        <f t="shared" si="120"/>
        <v>0</v>
      </c>
      <c r="AG147" s="252">
        <f t="shared" si="120"/>
        <v>0</v>
      </c>
      <c r="AH147" s="252">
        <f t="shared" si="120"/>
        <v>0</v>
      </c>
      <c r="AI147" s="252">
        <f t="shared" si="120"/>
        <v>0</v>
      </c>
      <c r="AJ147" s="252">
        <f t="shared" si="120"/>
        <v>0</v>
      </c>
      <c r="AK147" s="252">
        <f t="shared" si="120"/>
        <v>0</v>
      </c>
      <c r="AL147" s="252">
        <f t="shared" si="120"/>
        <v>0</v>
      </c>
      <c r="AM147" s="252">
        <f t="shared" si="120"/>
        <v>0</v>
      </c>
      <c r="AN147" s="252">
        <f t="shared" si="120"/>
        <v>0</v>
      </c>
      <c r="AO147" s="252">
        <f t="shared" si="120"/>
        <v>0</v>
      </c>
      <c r="AP147" s="252">
        <f t="shared" si="120"/>
        <v>0</v>
      </c>
      <c r="AQ147" s="252">
        <f t="shared" si="120"/>
        <v>0</v>
      </c>
      <c r="AR147" s="252">
        <f t="shared" si="120"/>
        <v>0</v>
      </c>
      <c r="AS147" s="252">
        <f t="shared" si="120"/>
        <v>0</v>
      </c>
      <c r="AT147" s="252">
        <f t="shared" si="120"/>
        <v>0</v>
      </c>
      <c r="AU147" s="252">
        <f t="shared" si="120"/>
        <v>0</v>
      </c>
      <c r="AV147" s="252">
        <f t="shared" si="120"/>
        <v>0</v>
      </c>
      <c r="AW147" s="252">
        <f t="shared" si="120"/>
        <v>0</v>
      </c>
      <c r="AX147" s="252">
        <f t="shared" si="120"/>
        <v>0</v>
      </c>
      <c r="AY147" s="252">
        <f t="shared" si="120"/>
        <v>0</v>
      </c>
      <c r="AZ147" s="252">
        <f t="shared" si="120"/>
        <v>0</v>
      </c>
      <c r="BA147" s="252">
        <f t="shared" si="120"/>
        <v>0</v>
      </c>
    </row>
    <row r="148">
      <c r="A148" s="788">
        <v>2037.0</v>
      </c>
      <c r="V148" s="826">
        <v>0.0</v>
      </c>
      <c r="W148" s="252">
        <f t="shared" si="14"/>
        <v>0</v>
      </c>
      <c r="X148" s="252">
        <f t="shared" ref="X148:BA148" si="121">IF(AND(X$41-$A148&gt;$V$27,SUM($W148:W148)&lt;&gt;$V148),$V148,0)</f>
        <v>0</v>
      </c>
      <c r="Y148" s="252">
        <f t="shared" si="121"/>
        <v>0</v>
      </c>
      <c r="Z148" s="252">
        <f t="shared" si="121"/>
        <v>0</v>
      </c>
      <c r="AA148" s="252">
        <f t="shared" si="121"/>
        <v>0</v>
      </c>
      <c r="AB148" s="252">
        <f t="shared" si="121"/>
        <v>0</v>
      </c>
      <c r="AC148" s="252">
        <f t="shared" si="121"/>
        <v>0</v>
      </c>
      <c r="AD148" s="252">
        <f t="shared" si="121"/>
        <v>0</v>
      </c>
      <c r="AE148" s="252">
        <f t="shared" si="121"/>
        <v>0</v>
      </c>
      <c r="AF148" s="252">
        <f t="shared" si="121"/>
        <v>0</v>
      </c>
      <c r="AG148" s="252">
        <f t="shared" si="121"/>
        <v>0</v>
      </c>
      <c r="AH148" s="252">
        <f t="shared" si="121"/>
        <v>0</v>
      </c>
      <c r="AI148" s="252">
        <f t="shared" si="121"/>
        <v>0</v>
      </c>
      <c r="AJ148" s="252">
        <f t="shared" si="121"/>
        <v>0</v>
      </c>
      <c r="AK148" s="252">
        <f t="shared" si="121"/>
        <v>0</v>
      </c>
      <c r="AL148" s="252">
        <f t="shared" si="121"/>
        <v>0</v>
      </c>
      <c r="AM148" s="252">
        <f t="shared" si="121"/>
        <v>0</v>
      </c>
      <c r="AN148" s="252">
        <f t="shared" si="121"/>
        <v>0</v>
      </c>
      <c r="AO148" s="252">
        <f t="shared" si="121"/>
        <v>0</v>
      </c>
      <c r="AP148" s="252">
        <f t="shared" si="121"/>
        <v>0</v>
      </c>
      <c r="AQ148" s="252">
        <f t="shared" si="121"/>
        <v>0</v>
      </c>
      <c r="AR148" s="252">
        <f t="shared" si="121"/>
        <v>0</v>
      </c>
      <c r="AS148" s="252">
        <f t="shared" si="121"/>
        <v>0</v>
      </c>
      <c r="AT148" s="252">
        <f t="shared" si="121"/>
        <v>0</v>
      </c>
      <c r="AU148" s="252">
        <f t="shared" si="121"/>
        <v>0</v>
      </c>
      <c r="AV148" s="252">
        <f t="shared" si="121"/>
        <v>0</v>
      </c>
      <c r="AW148" s="252">
        <f t="shared" si="121"/>
        <v>0</v>
      </c>
      <c r="AX148" s="252">
        <f t="shared" si="121"/>
        <v>0</v>
      </c>
      <c r="AY148" s="252">
        <f t="shared" si="121"/>
        <v>0</v>
      </c>
      <c r="AZ148" s="252">
        <f t="shared" si="121"/>
        <v>0</v>
      </c>
      <c r="BA148" s="252">
        <f t="shared" si="121"/>
        <v>0</v>
      </c>
    </row>
    <row r="149">
      <c r="A149" s="788">
        <v>2038.0</v>
      </c>
      <c r="V149" s="826">
        <v>0.0</v>
      </c>
      <c r="W149" s="252">
        <f t="shared" si="14"/>
        <v>0</v>
      </c>
      <c r="X149" s="252">
        <f t="shared" ref="X149:BA149" si="122">IF(AND(X$41-$A149&gt;$V$27,SUM($W149:W149)&lt;&gt;$V149),$V149,0)</f>
        <v>0</v>
      </c>
      <c r="Y149" s="252">
        <f t="shared" si="122"/>
        <v>0</v>
      </c>
      <c r="Z149" s="252">
        <f t="shared" si="122"/>
        <v>0</v>
      </c>
      <c r="AA149" s="252">
        <f t="shared" si="122"/>
        <v>0</v>
      </c>
      <c r="AB149" s="252">
        <f t="shared" si="122"/>
        <v>0</v>
      </c>
      <c r="AC149" s="252">
        <f t="shared" si="122"/>
        <v>0</v>
      </c>
      <c r="AD149" s="252">
        <f t="shared" si="122"/>
        <v>0</v>
      </c>
      <c r="AE149" s="252">
        <f t="shared" si="122"/>
        <v>0</v>
      </c>
      <c r="AF149" s="252">
        <f t="shared" si="122"/>
        <v>0</v>
      </c>
      <c r="AG149" s="252">
        <f t="shared" si="122"/>
        <v>0</v>
      </c>
      <c r="AH149" s="252">
        <f t="shared" si="122"/>
        <v>0</v>
      </c>
      <c r="AI149" s="252">
        <f t="shared" si="122"/>
        <v>0</v>
      </c>
      <c r="AJ149" s="252">
        <f t="shared" si="122"/>
        <v>0</v>
      </c>
      <c r="AK149" s="252">
        <f t="shared" si="122"/>
        <v>0</v>
      </c>
      <c r="AL149" s="252">
        <f t="shared" si="122"/>
        <v>0</v>
      </c>
      <c r="AM149" s="252">
        <f t="shared" si="122"/>
        <v>0</v>
      </c>
      <c r="AN149" s="252">
        <f t="shared" si="122"/>
        <v>0</v>
      </c>
      <c r="AO149" s="252">
        <f t="shared" si="122"/>
        <v>0</v>
      </c>
      <c r="AP149" s="252">
        <f t="shared" si="122"/>
        <v>0</v>
      </c>
      <c r="AQ149" s="252">
        <f t="shared" si="122"/>
        <v>0</v>
      </c>
      <c r="AR149" s="252">
        <f t="shared" si="122"/>
        <v>0</v>
      </c>
      <c r="AS149" s="252">
        <f t="shared" si="122"/>
        <v>0</v>
      </c>
      <c r="AT149" s="252">
        <f t="shared" si="122"/>
        <v>0</v>
      </c>
      <c r="AU149" s="252">
        <f t="shared" si="122"/>
        <v>0</v>
      </c>
      <c r="AV149" s="252">
        <f t="shared" si="122"/>
        <v>0</v>
      </c>
      <c r="AW149" s="252">
        <f t="shared" si="122"/>
        <v>0</v>
      </c>
      <c r="AX149" s="252">
        <f t="shared" si="122"/>
        <v>0</v>
      </c>
      <c r="AY149" s="252">
        <f t="shared" si="122"/>
        <v>0</v>
      </c>
      <c r="AZ149" s="252">
        <f t="shared" si="122"/>
        <v>0</v>
      </c>
      <c r="BA149" s="252">
        <f t="shared" si="122"/>
        <v>0</v>
      </c>
    </row>
    <row r="150">
      <c r="A150" s="788">
        <v>2039.0</v>
      </c>
      <c r="V150" s="826">
        <v>0.0</v>
      </c>
      <c r="W150" s="252">
        <f t="shared" si="14"/>
        <v>0</v>
      </c>
      <c r="X150" s="252">
        <f t="shared" ref="X150:BA150" si="123">IF(AND(X$41-$A150&gt;$V$27,SUM($W150:W150)&lt;&gt;$V150),$V150,0)</f>
        <v>0</v>
      </c>
      <c r="Y150" s="252">
        <f t="shared" si="123"/>
        <v>0</v>
      </c>
      <c r="Z150" s="252">
        <f t="shared" si="123"/>
        <v>0</v>
      </c>
      <c r="AA150" s="252">
        <f t="shared" si="123"/>
        <v>0</v>
      </c>
      <c r="AB150" s="252">
        <f t="shared" si="123"/>
        <v>0</v>
      </c>
      <c r="AC150" s="252">
        <f t="shared" si="123"/>
        <v>0</v>
      </c>
      <c r="AD150" s="252">
        <f t="shared" si="123"/>
        <v>0</v>
      </c>
      <c r="AE150" s="252">
        <f t="shared" si="123"/>
        <v>0</v>
      </c>
      <c r="AF150" s="252">
        <f t="shared" si="123"/>
        <v>0</v>
      </c>
      <c r="AG150" s="252">
        <f t="shared" si="123"/>
        <v>0</v>
      </c>
      <c r="AH150" s="252">
        <f t="shared" si="123"/>
        <v>0</v>
      </c>
      <c r="AI150" s="252">
        <f t="shared" si="123"/>
        <v>0</v>
      </c>
      <c r="AJ150" s="252">
        <f t="shared" si="123"/>
        <v>0</v>
      </c>
      <c r="AK150" s="252">
        <f t="shared" si="123"/>
        <v>0</v>
      </c>
      <c r="AL150" s="252">
        <f t="shared" si="123"/>
        <v>0</v>
      </c>
      <c r="AM150" s="252">
        <f t="shared" si="123"/>
        <v>0</v>
      </c>
      <c r="AN150" s="252">
        <f t="shared" si="123"/>
        <v>0</v>
      </c>
      <c r="AO150" s="252">
        <f t="shared" si="123"/>
        <v>0</v>
      </c>
      <c r="AP150" s="252">
        <f t="shared" si="123"/>
        <v>0</v>
      </c>
      <c r="AQ150" s="252">
        <f t="shared" si="123"/>
        <v>0</v>
      </c>
      <c r="AR150" s="252">
        <f t="shared" si="123"/>
        <v>0</v>
      </c>
      <c r="AS150" s="252">
        <f t="shared" si="123"/>
        <v>0</v>
      </c>
      <c r="AT150" s="252">
        <f t="shared" si="123"/>
        <v>0</v>
      </c>
      <c r="AU150" s="252">
        <f t="shared" si="123"/>
        <v>0</v>
      </c>
      <c r="AV150" s="252">
        <f t="shared" si="123"/>
        <v>0</v>
      </c>
      <c r="AW150" s="252">
        <f t="shared" si="123"/>
        <v>0</v>
      </c>
      <c r="AX150" s="252">
        <f t="shared" si="123"/>
        <v>0</v>
      </c>
      <c r="AY150" s="252">
        <f t="shared" si="123"/>
        <v>0</v>
      </c>
      <c r="AZ150" s="252">
        <f t="shared" si="123"/>
        <v>0</v>
      </c>
      <c r="BA150" s="252">
        <f t="shared" si="123"/>
        <v>0</v>
      </c>
    </row>
    <row r="151">
      <c r="A151" s="788">
        <v>2040.0</v>
      </c>
      <c r="V151" s="826">
        <v>0.0</v>
      </c>
      <c r="W151" s="252">
        <f t="shared" si="14"/>
        <v>0</v>
      </c>
      <c r="X151" s="252">
        <f t="shared" ref="X151:BA151" si="124">IF(AND(X$41-$A151&gt;$V$27,SUM($W151:W151)&lt;&gt;$V151),$V151,0)</f>
        <v>0</v>
      </c>
      <c r="Y151" s="252">
        <f t="shared" si="124"/>
        <v>0</v>
      </c>
      <c r="Z151" s="252">
        <f t="shared" si="124"/>
        <v>0</v>
      </c>
      <c r="AA151" s="252">
        <f t="shared" si="124"/>
        <v>0</v>
      </c>
      <c r="AB151" s="252">
        <f t="shared" si="124"/>
        <v>0</v>
      </c>
      <c r="AC151" s="252">
        <f t="shared" si="124"/>
        <v>0</v>
      </c>
      <c r="AD151" s="252">
        <f t="shared" si="124"/>
        <v>0</v>
      </c>
      <c r="AE151" s="252">
        <f t="shared" si="124"/>
        <v>0</v>
      </c>
      <c r="AF151" s="252">
        <f t="shared" si="124"/>
        <v>0</v>
      </c>
      <c r="AG151" s="252">
        <f t="shared" si="124"/>
        <v>0</v>
      </c>
      <c r="AH151" s="252">
        <f t="shared" si="124"/>
        <v>0</v>
      </c>
      <c r="AI151" s="252">
        <f t="shared" si="124"/>
        <v>0</v>
      </c>
      <c r="AJ151" s="252">
        <f t="shared" si="124"/>
        <v>0</v>
      </c>
      <c r="AK151" s="252">
        <f t="shared" si="124"/>
        <v>0</v>
      </c>
      <c r="AL151" s="252">
        <f t="shared" si="124"/>
        <v>0</v>
      </c>
      <c r="AM151" s="252">
        <f t="shared" si="124"/>
        <v>0</v>
      </c>
      <c r="AN151" s="252">
        <f t="shared" si="124"/>
        <v>0</v>
      </c>
      <c r="AO151" s="252">
        <f t="shared" si="124"/>
        <v>0</v>
      </c>
      <c r="AP151" s="252">
        <f t="shared" si="124"/>
        <v>0</v>
      </c>
      <c r="AQ151" s="252">
        <f t="shared" si="124"/>
        <v>0</v>
      </c>
      <c r="AR151" s="252">
        <f t="shared" si="124"/>
        <v>0</v>
      </c>
      <c r="AS151" s="252">
        <f t="shared" si="124"/>
        <v>0</v>
      </c>
      <c r="AT151" s="252">
        <f t="shared" si="124"/>
        <v>0</v>
      </c>
      <c r="AU151" s="252">
        <f t="shared" si="124"/>
        <v>0</v>
      </c>
      <c r="AV151" s="252">
        <f t="shared" si="124"/>
        <v>0</v>
      </c>
      <c r="AW151" s="252">
        <f t="shared" si="124"/>
        <v>0</v>
      </c>
      <c r="AX151" s="252">
        <f t="shared" si="124"/>
        <v>0</v>
      </c>
      <c r="AY151" s="252">
        <f t="shared" si="124"/>
        <v>0</v>
      </c>
      <c r="AZ151" s="252">
        <f t="shared" si="124"/>
        <v>0</v>
      </c>
      <c r="BA151" s="252">
        <f t="shared" si="124"/>
        <v>0</v>
      </c>
    </row>
    <row r="152">
      <c r="A152" s="788">
        <v>2041.0</v>
      </c>
      <c r="V152" s="826">
        <v>0.0</v>
      </c>
      <c r="W152" s="252">
        <f t="shared" si="14"/>
        <v>0</v>
      </c>
      <c r="X152" s="252">
        <f t="shared" ref="X152:BA152" si="125">IF(AND(X$41-$A152&gt;$V$27,SUM($W152:W152)&lt;&gt;$V152),$V152,0)</f>
        <v>0</v>
      </c>
      <c r="Y152" s="252">
        <f t="shared" si="125"/>
        <v>0</v>
      </c>
      <c r="Z152" s="252">
        <f t="shared" si="125"/>
        <v>0</v>
      </c>
      <c r="AA152" s="252">
        <f t="shared" si="125"/>
        <v>0</v>
      </c>
      <c r="AB152" s="252">
        <f t="shared" si="125"/>
        <v>0</v>
      </c>
      <c r="AC152" s="252">
        <f t="shared" si="125"/>
        <v>0</v>
      </c>
      <c r="AD152" s="252">
        <f t="shared" si="125"/>
        <v>0</v>
      </c>
      <c r="AE152" s="252">
        <f t="shared" si="125"/>
        <v>0</v>
      </c>
      <c r="AF152" s="252">
        <f t="shared" si="125"/>
        <v>0</v>
      </c>
      <c r="AG152" s="252">
        <f t="shared" si="125"/>
        <v>0</v>
      </c>
      <c r="AH152" s="252">
        <f t="shared" si="125"/>
        <v>0</v>
      </c>
      <c r="AI152" s="252">
        <f t="shared" si="125"/>
        <v>0</v>
      </c>
      <c r="AJ152" s="252">
        <f t="shared" si="125"/>
        <v>0</v>
      </c>
      <c r="AK152" s="252">
        <f t="shared" si="125"/>
        <v>0</v>
      </c>
      <c r="AL152" s="252">
        <f t="shared" si="125"/>
        <v>0</v>
      </c>
      <c r="AM152" s="252">
        <f t="shared" si="125"/>
        <v>0</v>
      </c>
      <c r="AN152" s="252">
        <f t="shared" si="125"/>
        <v>0</v>
      </c>
      <c r="AO152" s="252">
        <f t="shared" si="125"/>
        <v>0</v>
      </c>
      <c r="AP152" s="252">
        <f t="shared" si="125"/>
        <v>0</v>
      </c>
      <c r="AQ152" s="252">
        <f t="shared" si="125"/>
        <v>0</v>
      </c>
      <c r="AR152" s="252">
        <f t="shared" si="125"/>
        <v>0</v>
      </c>
      <c r="AS152" s="252">
        <f t="shared" si="125"/>
        <v>0</v>
      </c>
      <c r="AT152" s="252">
        <f t="shared" si="125"/>
        <v>0</v>
      </c>
      <c r="AU152" s="252">
        <f t="shared" si="125"/>
        <v>0</v>
      </c>
      <c r="AV152" s="252">
        <f t="shared" si="125"/>
        <v>0</v>
      </c>
      <c r="AW152" s="252">
        <f t="shared" si="125"/>
        <v>0</v>
      </c>
      <c r="AX152" s="252">
        <f t="shared" si="125"/>
        <v>0</v>
      </c>
      <c r="AY152" s="252">
        <f t="shared" si="125"/>
        <v>0</v>
      </c>
      <c r="AZ152" s="252">
        <f t="shared" si="125"/>
        <v>0</v>
      </c>
      <c r="BA152" s="252">
        <f t="shared" si="125"/>
        <v>0</v>
      </c>
    </row>
    <row r="153">
      <c r="A153" s="788">
        <v>2042.0</v>
      </c>
      <c r="V153" s="826">
        <v>0.0</v>
      </c>
      <c r="W153" s="252">
        <f t="shared" si="14"/>
        <v>0</v>
      </c>
      <c r="X153" s="252">
        <f t="shared" ref="X153:BA153" si="126">IF(AND(X$41-$A153&gt;$V$27,SUM($W153:W153)&lt;&gt;$V153),$V153,0)</f>
        <v>0</v>
      </c>
      <c r="Y153" s="252">
        <f t="shared" si="126"/>
        <v>0</v>
      </c>
      <c r="Z153" s="252">
        <f t="shared" si="126"/>
        <v>0</v>
      </c>
      <c r="AA153" s="252">
        <f t="shared" si="126"/>
        <v>0</v>
      </c>
      <c r="AB153" s="252">
        <f t="shared" si="126"/>
        <v>0</v>
      </c>
      <c r="AC153" s="252">
        <f t="shared" si="126"/>
        <v>0</v>
      </c>
      <c r="AD153" s="252">
        <f t="shared" si="126"/>
        <v>0</v>
      </c>
      <c r="AE153" s="252">
        <f t="shared" si="126"/>
        <v>0</v>
      </c>
      <c r="AF153" s="252">
        <f t="shared" si="126"/>
        <v>0</v>
      </c>
      <c r="AG153" s="252">
        <f t="shared" si="126"/>
        <v>0</v>
      </c>
      <c r="AH153" s="252">
        <f t="shared" si="126"/>
        <v>0</v>
      </c>
      <c r="AI153" s="252">
        <f t="shared" si="126"/>
        <v>0</v>
      </c>
      <c r="AJ153" s="252">
        <f t="shared" si="126"/>
        <v>0</v>
      </c>
      <c r="AK153" s="252">
        <f t="shared" si="126"/>
        <v>0</v>
      </c>
      <c r="AL153" s="252">
        <f t="shared" si="126"/>
        <v>0</v>
      </c>
      <c r="AM153" s="252">
        <f t="shared" si="126"/>
        <v>0</v>
      </c>
      <c r="AN153" s="252">
        <f t="shared" si="126"/>
        <v>0</v>
      </c>
      <c r="AO153" s="252">
        <f t="shared" si="126"/>
        <v>0</v>
      </c>
      <c r="AP153" s="252">
        <f t="shared" si="126"/>
        <v>0</v>
      </c>
      <c r="AQ153" s="252">
        <f t="shared" si="126"/>
        <v>0</v>
      </c>
      <c r="AR153" s="252">
        <f t="shared" si="126"/>
        <v>0</v>
      </c>
      <c r="AS153" s="252">
        <f t="shared" si="126"/>
        <v>0</v>
      </c>
      <c r="AT153" s="252">
        <f t="shared" si="126"/>
        <v>0</v>
      </c>
      <c r="AU153" s="252">
        <f t="shared" si="126"/>
        <v>0</v>
      </c>
      <c r="AV153" s="252">
        <f t="shared" si="126"/>
        <v>0</v>
      </c>
      <c r="AW153" s="252">
        <f t="shared" si="126"/>
        <v>0</v>
      </c>
      <c r="AX153" s="252">
        <f t="shared" si="126"/>
        <v>0</v>
      </c>
      <c r="AY153" s="252">
        <f t="shared" si="126"/>
        <v>0</v>
      </c>
      <c r="AZ153" s="252">
        <f t="shared" si="126"/>
        <v>0</v>
      </c>
      <c r="BA153" s="252">
        <f t="shared" si="126"/>
        <v>0</v>
      </c>
    </row>
    <row r="154">
      <c r="A154" s="788">
        <v>2043.0</v>
      </c>
      <c r="V154" s="826">
        <v>0.0</v>
      </c>
      <c r="W154" s="252">
        <f t="shared" si="14"/>
        <v>0</v>
      </c>
      <c r="X154" s="252">
        <f t="shared" ref="X154:BA154" si="127">IF(AND(X$41-$A154&gt;$V$27,SUM($W154:W154)&lt;&gt;$V154),$V154,0)</f>
        <v>0</v>
      </c>
      <c r="Y154" s="252">
        <f t="shared" si="127"/>
        <v>0</v>
      </c>
      <c r="Z154" s="252">
        <f t="shared" si="127"/>
        <v>0</v>
      </c>
      <c r="AA154" s="252">
        <f t="shared" si="127"/>
        <v>0</v>
      </c>
      <c r="AB154" s="252">
        <f t="shared" si="127"/>
        <v>0</v>
      </c>
      <c r="AC154" s="252">
        <f t="shared" si="127"/>
        <v>0</v>
      </c>
      <c r="AD154" s="252">
        <f t="shared" si="127"/>
        <v>0</v>
      </c>
      <c r="AE154" s="252">
        <f t="shared" si="127"/>
        <v>0</v>
      </c>
      <c r="AF154" s="252">
        <f t="shared" si="127"/>
        <v>0</v>
      </c>
      <c r="AG154" s="252">
        <f t="shared" si="127"/>
        <v>0</v>
      </c>
      <c r="AH154" s="252">
        <f t="shared" si="127"/>
        <v>0</v>
      </c>
      <c r="AI154" s="252">
        <f t="shared" si="127"/>
        <v>0</v>
      </c>
      <c r="AJ154" s="252">
        <f t="shared" si="127"/>
        <v>0</v>
      </c>
      <c r="AK154" s="252">
        <f t="shared" si="127"/>
        <v>0</v>
      </c>
      <c r="AL154" s="252">
        <f t="shared" si="127"/>
        <v>0</v>
      </c>
      <c r="AM154" s="252">
        <f t="shared" si="127"/>
        <v>0</v>
      </c>
      <c r="AN154" s="252">
        <f t="shared" si="127"/>
        <v>0</v>
      </c>
      <c r="AO154" s="252">
        <f t="shared" si="127"/>
        <v>0</v>
      </c>
      <c r="AP154" s="252">
        <f t="shared" si="127"/>
        <v>0</v>
      </c>
      <c r="AQ154" s="252">
        <f t="shared" si="127"/>
        <v>0</v>
      </c>
      <c r="AR154" s="252">
        <f t="shared" si="127"/>
        <v>0</v>
      </c>
      <c r="AS154" s="252">
        <f t="shared" si="127"/>
        <v>0</v>
      </c>
      <c r="AT154" s="252">
        <f t="shared" si="127"/>
        <v>0</v>
      </c>
      <c r="AU154" s="252">
        <f t="shared" si="127"/>
        <v>0</v>
      </c>
      <c r="AV154" s="252">
        <f t="shared" si="127"/>
        <v>0</v>
      </c>
      <c r="AW154" s="252">
        <f t="shared" si="127"/>
        <v>0</v>
      </c>
      <c r="AX154" s="252">
        <f t="shared" si="127"/>
        <v>0</v>
      </c>
      <c r="AY154" s="252">
        <f t="shared" si="127"/>
        <v>0</v>
      </c>
      <c r="AZ154" s="252">
        <f t="shared" si="127"/>
        <v>0</v>
      </c>
      <c r="BA154" s="252">
        <f t="shared" si="127"/>
        <v>0</v>
      </c>
    </row>
    <row r="155">
      <c r="A155" s="788">
        <v>2044.0</v>
      </c>
      <c r="V155" s="826">
        <v>0.0</v>
      </c>
      <c r="W155" s="252">
        <f t="shared" si="14"/>
        <v>0</v>
      </c>
      <c r="X155" s="252">
        <f t="shared" ref="X155:BA155" si="128">IF(AND(X$41-$A155&gt;$V$27,SUM($W155:W155)&lt;&gt;$V155),$V155,0)</f>
        <v>0</v>
      </c>
      <c r="Y155" s="252">
        <f t="shared" si="128"/>
        <v>0</v>
      </c>
      <c r="Z155" s="252">
        <f t="shared" si="128"/>
        <v>0</v>
      </c>
      <c r="AA155" s="252">
        <f t="shared" si="128"/>
        <v>0</v>
      </c>
      <c r="AB155" s="252">
        <f t="shared" si="128"/>
        <v>0</v>
      </c>
      <c r="AC155" s="252">
        <f t="shared" si="128"/>
        <v>0</v>
      </c>
      <c r="AD155" s="252">
        <f t="shared" si="128"/>
        <v>0</v>
      </c>
      <c r="AE155" s="252">
        <f t="shared" si="128"/>
        <v>0</v>
      </c>
      <c r="AF155" s="252">
        <f t="shared" si="128"/>
        <v>0</v>
      </c>
      <c r="AG155" s="252">
        <f t="shared" si="128"/>
        <v>0</v>
      </c>
      <c r="AH155" s="252">
        <f t="shared" si="128"/>
        <v>0</v>
      </c>
      <c r="AI155" s="252">
        <f t="shared" si="128"/>
        <v>0</v>
      </c>
      <c r="AJ155" s="252">
        <f t="shared" si="128"/>
        <v>0</v>
      </c>
      <c r="AK155" s="252">
        <f t="shared" si="128"/>
        <v>0</v>
      </c>
      <c r="AL155" s="252">
        <f t="shared" si="128"/>
        <v>0</v>
      </c>
      <c r="AM155" s="252">
        <f t="shared" si="128"/>
        <v>0</v>
      </c>
      <c r="AN155" s="252">
        <f t="shared" si="128"/>
        <v>0</v>
      </c>
      <c r="AO155" s="252">
        <f t="shared" si="128"/>
        <v>0</v>
      </c>
      <c r="AP155" s="252">
        <f t="shared" si="128"/>
        <v>0</v>
      </c>
      <c r="AQ155" s="252">
        <f t="shared" si="128"/>
        <v>0</v>
      </c>
      <c r="AR155" s="252">
        <f t="shared" si="128"/>
        <v>0</v>
      </c>
      <c r="AS155" s="252">
        <f t="shared" si="128"/>
        <v>0</v>
      </c>
      <c r="AT155" s="252">
        <f t="shared" si="128"/>
        <v>0</v>
      </c>
      <c r="AU155" s="252">
        <f t="shared" si="128"/>
        <v>0</v>
      </c>
      <c r="AV155" s="252">
        <f t="shared" si="128"/>
        <v>0</v>
      </c>
      <c r="AW155" s="252">
        <f t="shared" si="128"/>
        <v>0</v>
      </c>
      <c r="AX155" s="252">
        <f t="shared" si="128"/>
        <v>0</v>
      </c>
      <c r="AY155" s="252">
        <f t="shared" si="128"/>
        <v>0</v>
      </c>
      <c r="AZ155" s="252">
        <f t="shared" si="128"/>
        <v>0</v>
      </c>
      <c r="BA155" s="252">
        <f t="shared" si="128"/>
        <v>0</v>
      </c>
    </row>
    <row r="156">
      <c r="A156" s="788">
        <v>2045.0</v>
      </c>
      <c r="V156" s="826">
        <v>0.0</v>
      </c>
      <c r="W156" s="252">
        <f t="shared" si="14"/>
        <v>0</v>
      </c>
      <c r="X156" s="252">
        <f t="shared" ref="X156:BA156" si="129">IF(AND(X$41-$A156&gt;$V$27,SUM($W156:W156)&lt;&gt;$V156),$V156,0)</f>
        <v>0</v>
      </c>
      <c r="Y156" s="252">
        <f t="shared" si="129"/>
        <v>0</v>
      </c>
      <c r="Z156" s="252">
        <f t="shared" si="129"/>
        <v>0</v>
      </c>
      <c r="AA156" s="252">
        <f t="shared" si="129"/>
        <v>0</v>
      </c>
      <c r="AB156" s="252">
        <f t="shared" si="129"/>
        <v>0</v>
      </c>
      <c r="AC156" s="252">
        <f t="shared" si="129"/>
        <v>0</v>
      </c>
      <c r="AD156" s="252">
        <f t="shared" si="129"/>
        <v>0</v>
      </c>
      <c r="AE156" s="252">
        <f t="shared" si="129"/>
        <v>0</v>
      </c>
      <c r="AF156" s="252">
        <f t="shared" si="129"/>
        <v>0</v>
      </c>
      <c r="AG156" s="252">
        <f t="shared" si="129"/>
        <v>0</v>
      </c>
      <c r="AH156" s="252">
        <f t="shared" si="129"/>
        <v>0</v>
      </c>
      <c r="AI156" s="252">
        <f t="shared" si="129"/>
        <v>0</v>
      </c>
      <c r="AJ156" s="252">
        <f t="shared" si="129"/>
        <v>0</v>
      </c>
      <c r="AK156" s="252">
        <f t="shared" si="129"/>
        <v>0</v>
      </c>
      <c r="AL156" s="252">
        <f t="shared" si="129"/>
        <v>0</v>
      </c>
      <c r="AM156" s="252">
        <f t="shared" si="129"/>
        <v>0</v>
      </c>
      <c r="AN156" s="252">
        <f t="shared" si="129"/>
        <v>0</v>
      </c>
      <c r="AO156" s="252">
        <f t="shared" si="129"/>
        <v>0</v>
      </c>
      <c r="AP156" s="252">
        <f t="shared" si="129"/>
        <v>0</v>
      </c>
      <c r="AQ156" s="252">
        <f t="shared" si="129"/>
        <v>0</v>
      </c>
      <c r="AR156" s="252">
        <f t="shared" si="129"/>
        <v>0</v>
      </c>
      <c r="AS156" s="252">
        <f t="shared" si="129"/>
        <v>0</v>
      </c>
      <c r="AT156" s="252">
        <f t="shared" si="129"/>
        <v>0</v>
      </c>
      <c r="AU156" s="252">
        <f t="shared" si="129"/>
        <v>0</v>
      </c>
      <c r="AV156" s="252">
        <f t="shared" si="129"/>
        <v>0</v>
      </c>
      <c r="AW156" s="252">
        <f t="shared" si="129"/>
        <v>0</v>
      </c>
      <c r="AX156" s="252">
        <f t="shared" si="129"/>
        <v>0</v>
      </c>
      <c r="AY156" s="252">
        <f t="shared" si="129"/>
        <v>0</v>
      </c>
      <c r="AZ156" s="252">
        <f t="shared" si="129"/>
        <v>0</v>
      </c>
      <c r="BA156" s="252">
        <f t="shared" si="129"/>
        <v>0</v>
      </c>
    </row>
    <row r="157">
      <c r="A157" s="788">
        <v>2046.0</v>
      </c>
      <c r="V157" s="826">
        <v>0.0</v>
      </c>
      <c r="W157" s="252">
        <f t="shared" si="14"/>
        <v>0</v>
      </c>
      <c r="X157" s="252">
        <f t="shared" ref="X157:BA157" si="130">IF(AND(X$41-$A157&gt;$V$27,SUM($W157:W157)&lt;&gt;$V157),$V157,0)</f>
        <v>0</v>
      </c>
      <c r="Y157" s="252">
        <f t="shared" si="130"/>
        <v>0</v>
      </c>
      <c r="Z157" s="252">
        <f t="shared" si="130"/>
        <v>0</v>
      </c>
      <c r="AA157" s="252">
        <f t="shared" si="130"/>
        <v>0</v>
      </c>
      <c r="AB157" s="252">
        <f t="shared" si="130"/>
        <v>0</v>
      </c>
      <c r="AC157" s="252">
        <f t="shared" si="130"/>
        <v>0</v>
      </c>
      <c r="AD157" s="252">
        <f t="shared" si="130"/>
        <v>0</v>
      </c>
      <c r="AE157" s="252">
        <f t="shared" si="130"/>
        <v>0</v>
      </c>
      <c r="AF157" s="252">
        <f t="shared" si="130"/>
        <v>0</v>
      </c>
      <c r="AG157" s="252">
        <f t="shared" si="130"/>
        <v>0</v>
      </c>
      <c r="AH157" s="252">
        <f t="shared" si="130"/>
        <v>0</v>
      </c>
      <c r="AI157" s="252">
        <f t="shared" si="130"/>
        <v>0</v>
      </c>
      <c r="AJ157" s="252">
        <f t="shared" si="130"/>
        <v>0</v>
      </c>
      <c r="AK157" s="252">
        <f t="shared" si="130"/>
        <v>0</v>
      </c>
      <c r="AL157" s="252">
        <f t="shared" si="130"/>
        <v>0</v>
      </c>
      <c r="AM157" s="252">
        <f t="shared" si="130"/>
        <v>0</v>
      </c>
      <c r="AN157" s="252">
        <f t="shared" si="130"/>
        <v>0</v>
      </c>
      <c r="AO157" s="252">
        <f t="shared" si="130"/>
        <v>0</v>
      </c>
      <c r="AP157" s="252">
        <f t="shared" si="130"/>
        <v>0</v>
      </c>
      <c r="AQ157" s="252">
        <f t="shared" si="130"/>
        <v>0</v>
      </c>
      <c r="AR157" s="252">
        <f t="shared" si="130"/>
        <v>0</v>
      </c>
      <c r="AS157" s="252">
        <f t="shared" si="130"/>
        <v>0</v>
      </c>
      <c r="AT157" s="252">
        <f t="shared" si="130"/>
        <v>0</v>
      </c>
      <c r="AU157" s="252">
        <f t="shared" si="130"/>
        <v>0</v>
      </c>
      <c r="AV157" s="252">
        <f t="shared" si="130"/>
        <v>0</v>
      </c>
      <c r="AW157" s="252">
        <f t="shared" si="130"/>
        <v>0</v>
      </c>
      <c r="AX157" s="252">
        <f t="shared" si="130"/>
        <v>0</v>
      </c>
      <c r="AY157" s="252">
        <f t="shared" si="130"/>
        <v>0</v>
      </c>
      <c r="AZ157" s="252">
        <f t="shared" si="130"/>
        <v>0</v>
      </c>
      <c r="BA157" s="252">
        <f t="shared" si="130"/>
        <v>0</v>
      </c>
    </row>
    <row r="158">
      <c r="A158" s="788">
        <v>2047.0</v>
      </c>
      <c r="V158" s="826">
        <v>0.0</v>
      </c>
      <c r="W158" s="252">
        <f t="shared" si="14"/>
        <v>0</v>
      </c>
      <c r="X158" s="252">
        <f t="shared" ref="X158:BA158" si="131">IF(AND(X$41-$A158&gt;$V$27,SUM($W158:W158)&lt;&gt;$V158),$V158,0)</f>
        <v>0</v>
      </c>
      <c r="Y158" s="252">
        <f t="shared" si="131"/>
        <v>0</v>
      </c>
      <c r="Z158" s="252">
        <f t="shared" si="131"/>
        <v>0</v>
      </c>
      <c r="AA158" s="252">
        <f t="shared" si="131"/>
        <v>0</v>
      </c>
      <c r="AB158" s="252">
        <f t="shared" si="131"/>
        <v>0</v>
      </c>
      <c r="AC158" s="252">
        <f t="shared" si="131"/>
        <v>0</v>
      </c>
      <c r="AD158" s="252">
        <f t="shared" si="131"/>
        <v>0</v>
      </c>
      <c r="AE158" s="252">
        <f t="shared" si="131"/>
        <v>0</v>
      </c>
      <c r="AF158" s="252">
        <f t="shared" si="131"/>
        <v>0</v>
      </c>
      <c r="AG158" s="252">
        <f t="shared" si="131"/>
        <v>0</v>
      </c>
      <c r="AH158" s="252">
        <f t="shared" si="131"/>
        <v>0</v>
      </c>
      <c r="AI158" s="252">
        <f t="shared" si="131"/>
        <v>0</v>
      </c>
      <c r="AJ158" s="252">
        <f t="shared" si="131"/>
        <v>0</v>
      </c>
      <c r="AK158" s="252">
        <f t="shared" si="131"/>
        <v>0</v>
      </c>
      <c r="AL158" s="252">
        <f t="shared" si="131"/>
        <v>0</v>
      </c>
      <c r="AM158" s="252">
        <f t="shared" si="131"/>
        <v>0</v>
      </c>
      <c r="AN158" s="252">
        <f t="shared" si="131"/>
        <v>0</v>
      </c>
      <c r="AO158" s="252">
        <f t="shared" si="131"/>
        <v>0</v>
      </c>
      <c r="AP158" s="252">
        <f t="shared" si="131"/>
        <v>0</v>
      </c>
      <c r="AQ158" s="252">
        <f t="shared" si="131"/>
        <v>0</v>
      </c>
      <c r="AR158" s="252">
        <f t="shared" si="131"/>
        <v>0</v>
      </c>
      <c r="AS158" s="252">
        <f t="shared" si="131"/>
        <v>0</v>
      </c>
      <c r="AT158" s="252">
        <f t="shared" si="131"/>
        <v>0</v>
      </c>
      <c r="AU158" s="252">
        <f t="shared" si="131"/>
        <v>0</v>
      </c>
      <c r="AV158" s="252">
        <f t="shared" si="131"/>
        <v>0</v>
      </c>
      <c r="AW158" s="252">
        <f t="shared" si="131"/>
        <v>0</v>
      </c>
      <c r="AX158" s="252">
        <f t="shared" si="131"/>
        <v>0</v>
      </c>
      <c r="AY158" s="252">
        <f t="shared" si="131"/>
        <v>0</v>
      </c>
      <c r="AZ158" s="252">
        <f t="shared" si="131"/>
        <v>0</v>
      </c>
      <c r="BA158" s="252">
        <f t="shared" si="131"/>
        <v>0</v>
      </c>
    </row>
    <row r="159">
      <c r="A159" s="788">
        <v>2048.0</v>
      </c>
      <c r="V159" s="826">
        <v>0.0</v>
      </c>
      <c r="W159" s="252">
        <f t="shared" si="14"/>
        <v>0</v>
      </c>
      <c r="X159" s="252">
        <f t="shared" ref="X159:BA159" si="132">IF(AND(X$41-$A159&gt;$V$27,SUM($W159:W159)&lt;&gt;$V159),$V159,0)</f>
        <v>0</v>
      </c>
      <c r="Y159" s="252">
        <f t="shared" si="132"/>
        <v>0</v>
      </c>
      <c r="Z159" s="252">
        <f t="shared" si="132"/>
        <v>0</v>
      </c>
      <c r="AA159" s="252">
        <f t="shared" si="132"/>
        <v>0</v>
      </c>
      <c r="AB159" s="252">
        <f t="shared" si="132"/>
        <v>0</v>
      </c>
      <c r="AC159" s="252">
        <f t="shared" si="132"/>
        <v>0</v>
      </c>
      <c r="AD159" s="252">
        <f t="shared" si="132"/>
        <v>0</v>
      </c>
      <c r="AE159" s="252">
        <f t="shared" si="132"/>
        <v>0</v>
      </c>
      <c r="AF159" s="252">
        <f t="shared" si="132"/>
        <v>0</v>
      </c>
      <c r="AG159" s="252">
        <f t="shared" si="132"/>
        <v>0</v>
      </c>
      <c r="AH159" s="252">
        <f t="shared" si="132"/>
        <v>0</v>
      </c>
      <c r="AI159" s="252">
        <f t="shared" si="132"/>
        <v>0</v>
      </c>
      <c r="AJ159" s="252">
        <f t="shared" si="132"/>
        <v>0</v>
      </c>
      <c r="AK159" s="252">
        <f t="shared" si="132"/>
        <v>0</v>
      </c>
      <c r="AL159" s="252">
        <f t="shared" si="132"/>
        <v>0</v>
      </c>
      <c r="AM159" s="252">
        <f t="shared" si="132"/>
        <v>0</v>
      </c>
      <c r="AN159" s="252">
        <f t="shared" si="132"/>
        <v>0</v>
      </c>
      <c r="AO159" s="252">
        <f t="shared" si="132"/>
        <v>0</v>
      </c>
      <c r="AP159" s="252">
        <f t="shared" si="132"/>
        <v>0</v>
      </c>
      <c r="AQ159" s="252">
        <f t="shared" si="132"/>
        <v>0</v>
      </c>
      <c r="AR159" s="252">
        <f t="shared" si="132"/>
        <v>0</v>
      </c>
      <c r="AS159" s="252">
        <f t="shared" si="132"/>
        <v>0</v>
      </c>
      <c r="AT159" s="252">
        <f t="shared" si="132"/>
        <v>0</v>
      </c>
      <c r="AU159" s="252">
        <f t="shared" si="132"/>
        <v>0</v>
      </c>
      <c r="AV159" s="252">
        <f t="shared" si="132"/>
        <v>0</v>
      </c>
      <c r="AW159" s="252">
        <f t="shared" si="132"/>
        <v>0</v>
      </c>
      <c r="AX159" s="252">
        <f t="shared" si="132"/>
        <v>0</v>
      </c>
      <c r="AY159" s="252">
        <f t="shared" si="132"/>
        <v>0</v>
      </c>
      <c r="AZ159" s="252">
        <f t="shared" si="132"/>
        <v>0</v>
      </c>
      <c r="BA159" s="252">
        <f t="shared" si="132"/>
        <v>0</v>
      </c>
    </row>
    <row r="160">
      <c r="A160" s="788">
        <v>2049.0</v>
      </c>
      <c r="V160" s="826">
        <v>0.0</v>
      </c>
      <c r="W160" s="252">
        <f t="shared" si="14"/>
        <v>0</v>
      </c>
      <c r="X160" s="252">
        <f t="shared" ref="X160:BA160" si="133">IF(AND(X$41-$A160&gt;$V$27,SUM($W160:W160)&lt;&gt;$V160),$V160,0)</f>
        <v>0</v>
      </c>
      <c r="Y160" s="252">
        <f t="shared" si="133"/>
        <v>0</v>
      </c>
      <c r="Z160" s="252">
        <f t="shared" si="133"/>
        <v>0</v>
      </c>
      <c r="AA160" s="252">
        <f t="shared" si="133"/>
        <v>0</v>
      </c>
      <c r="AB160" s="252">
        <f t="shared" si="133"/>
        <v>0</v>
      </c>
      <c r="AC160" s="252">
        <f t="shared" si="133"/>
        <v>0</v>
      </c>
      <c r="AD160" s="252">
        <f t="shared" si="133"/>
        <v>0</v>
      </c>
      <c r="AE160" s="252">
        <f t="shared" si="133"/>
        <v>0</v>
      </c>
      <c r="AF160" s="252">
        <f t="shared" si="133"/>
        <v>0</v>
      </c>
      <c r="AG160" s="252">
        <f t="shared" si="133"/>
        <v>0</v>
      </c>
      <c r="AH160" s="252">
        <f t="shared" si="133"/>
        <v>0</v>
      </c>
      <c r="AI160" s="252">
        <f t="shared" si="133"/>
        <v>0</v>
      </c>
      <c r="AJ160" s="252">
        <f t="shared" si="133"/>
        <v>0</v>
      </c>
      <c r="AK160" s="252">
        <f t="shared" si="133"/>
        <v>0</v>
      </c>
      <c r="AL160" s="252">
        <f t="shared" si="133"/>
        <v>0</v>
      </c>
      <c r="AM160" s="252">
        <f t="shared" si="133"/>
        <v>0</v>
      </c>
      <c r="AN160" s="252">
        <f t="shared" si="133"/>
        <v>0</v>
      </c>
      <c r="AO160" s="252">
        <f t="shared" si="133"/>
        <v>0</v>
      </c>
      <c r="AP160" s="252">
        <f t="shared" si="133"/>
        <v>0</v>
      </c>
      <c r="AQ160" s="252">
        <f t="shared" si="133"/>
        <v>0</v>
      </c>
      <c r="AR160" s="252">
        <f t="shared" si="133"/>
        <v>0</v>
      </c>
      <c r="AS160" s="252">
        <f t="shared" si="133"/>
        <v>0</v>
      </c>
      <c r="AT160" s="252">
        <f t="shared" si="133"/>
        <v>0</v>
      </c>
      <c r="AU160" s="252">
        <f t="shared" si="133"/>
        <v>0</v>
      </c>
      <c r="AV160" s="252">
        <f t="shared" si="133"/>
        <v>0</v>
      </c>
      <c r="AW160" s="252">
        <f t="shared" si="133"/>
        <v>0</v>
      </c>
      <c r="AX160" s="252">
        <f t="shared" si="133"/>
        <v>0</v>
      </c>
      <c r="AY160" s="252">
        <f t="shared" si="133"/>
        <v>0</v>
      </c>
      <c r="AZ160" s="252">
        <f t="shared" si="133"/>
        <v>0</v>
      </c>
      <c r="BA160" s="252">
        <f t="shared" si="133"/>
        <v>0</v>
      </c>
    </row>
    <row r="161">
      <c r="A161" s="788">
        <v>2050.0</v>
      </c>
      <c r="V161" s="826">
        <v>0.0</v>
      </c>
      <c r="W161" s="252">
        <f t="shared" si="14"/>
        <v>0</v>
      </c>
      <c r="X161" s="252">
        <f t="shared" ref="X161:BA161" si="134">IF(AND(X$41-$A161&gt;$V$27,SUM($W161:W161)&lt;&gt;$V161),$V161,0)</f>
        <v>0</v>
      </c>
      <c r="Y161" s="252">
        <f t="shared" si="134"/>
        <v>0</v>
      </c>
      <c r="Z161" s="252">
        <f t="shared" si="134"/>
        <v>0</v>
      </c>
      <c r="AA161" s="252">
        <f t="shared" si="134"/>
        <v>0</v>
      </c>
      <c r="AB161" s="252">
        <f t="shared" si="134"/>
        <v>0</v>
      </c>
      <c r="AC161" s="252">
        <f t="shared" si="134"/>
        <v>0</v>
      </c>
      <c r="AD161" s="252">
        <f t="shared" si="134"/>
        <v>0</v>
      </c>
      <c r="AE161" s="252">
        <f t="shared" si="134"/>
        <v>0</v>
      </c>
      <c r="AF161" s="252">
        <f t="shared" si="134"/>
        <v>0</v>
      </c>
      <c r="AG161" s="252">
        <f t="shared" si="134"/>
        <v>0</v>
      </c>
      <c r="AH161" s="252">
        <f t="shared" si="134"/>
        <v>0</v>
      </c>
      <c r="AI161" s="252">
        <f t="shared" si="134"/>
        <v>0</v>
      </c>
      <c r="AJ161" s="252">
        <f t="shared" si="134"/>
        <v>0</v>
      </c>
      <c r="AK161" s="252">
        <f t="shared" si="134"/>
        <v>0</v>
      </c>
      <c r="AL161" s="252">
        <f t="shared" si="134"/>
        <v>0</v>
      </c>
      <c r="AM161" s="252">
        <f t="shared" si="134"/>
        <v>0</v>
      </c>
      <c r="AN161" s="252">
        <f t="shared" si="134"/>
        <v>0</v>
      </c>
      <c r="AO161" s="252">
        <f t="shared" si="134"/>
        <v>0</v>
      </c>
      <c r="AP161" s="252">
        <f t="shared" si="134"/>
        <v>0</v>
      </c>
      <c r="AQ161" s="252">
        <f t="shared" si="134"/>
        <v>0</v>
      </c>
      <c r="AR161" s="252">
        <f t="shared" si="134"/>
        <v>0</v>
      </c>
      <c r="AS161" s="252">
        <f t="shared" si="134"/>
        <v>0</v>
      </c>
      <c r="AT161" s="252">
        <f t="shared" si="134"/>
        <v>0</v>
      </c>
      <c r="AU161" s="252">
        <f t="shared" si="134"/>
        <v>0</v>
      </c>
      <c r="AV161" s="252">
        <f t="shared" si="134"/>
        <v>0</v>
      </c>
      <c r="AW161" s="252">
        <f t="shared" si="134"/>
        <v>0</v>
      </c>
      <c r="AX161" s="252">
        <f t="shared" si="134"/>
        <v>0</v>
      </c>
      <c r="AY161" s="252">
        <f t="shared" si="134"/>
        <v>0</v>
      </c>
      <c r="AZ161" s="252">
        <f t="shared" si="134"/>
        <v>0</v>
      </c>
      <c r="BA161" s="252">
        <f t="shared" si="134"/>
        <v>0</v>
      </c>
    </row>
  </sheetData>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B4*1000*'Inflation GDP Population'!B$18/'Inflation GDP Population'!$T$18</f>
        <v>5081198.847</v>
      </c>
      <c r="C2" s="160">
        <f>C4*1000*'Inflation GDP Population'!C$18/'Inflation GDP Population'!$T$18</f>
        <v>5192650.667</v>
      </c>
      <c r="D2" s="160">
        <f>D4*1000*'Inflation GDP Population'!D$18/'Inflation GDP Population'!$T$18</f>
        <v>5274785.287</v>
      </c>
      <c r="E2" s="160">
        <f>E4*1000*'Inflation GDP Population'!E$18/'Inflation GDP Population'!$T$18</f>
        <v>5372744.584</v>
      </c>
      <c r="F2" s="160">
        <f>F4*1000*'Inflation GDP Population'!F$18/'Inflation GDP Population'!$T$18</f>
        <v>5517389.629</v>
      </c>
      <c r="G2" s="160">
        <f>G4*1000*'Inflation GDP Population'!G$18/'Inflation GDP Population'!$T$18</f>
        <v>5689251.328</v>
      </c>
      <c r="H2" s="160">
        <f>H4*1000*'Inflation GDP Population'!H$18/'Inflation GDP Population'!$T$18</f>
        <v>5861420.144</v>
      </c>
      <c r="I2" s="160">
        <f>I4*1000*'Inflation GDP Population'!I$18/'Inflation GDP Population'!$T$18</f>
        <v>6018875.848</v>
      </c>
      <c r="J2" s="160">
        <f>J4*1000*'Inflation GDP Population'!J$18/'Inflation GDP Population'!$T$18</f>
        <v>6135950.722</v>
      </c>
      <c r="K2" s="160">
        <f>K4*1000*'Inflation GDP Population'!K$18/'Inflation GDP Population'!$T$18</f>
        <v>6182727.318</v>
      </c>
      <c r="L2" s="160">
        <f>L4*1000*'Inflation GDP Population'!L$18/'Inflation GDP Population'!$T$18</f>
        <v>6254771.722</v>
      </c>
      <c r="M2" s="160">
        <f>M4*1000*'Inflation GDP Population'!M$18/'Inflation GDP Population'!$T$18</f>
        <v>6385428.563</v>
      </c>
      <c r="N2" s="160">
        <f>N4*1000*'Inflation GDP Population'!N$18/'Inflation GDP Population'!$T$18</f>
        <v>6507890.925</v>
      </c>
      <c r="O2" s="160">
        <f>O4*1000*'Inflation GDP Population'!O$18/'Inflation GDP Population'!$T$18</f>
        <v>6622099.785</v>
      </c>
      <c r="P2" s="160">
        <f>P4*1000*'Inflation GDP Population'!P$18/'Inflation GDP Population'!$T$18</f>
        <v>6744632.627</v>
      </c>
      <c r="Q2" s="160">
        <f>Q4*1000*'Inflation GDP Population'!Q$18/'Inflation GDP Population'!$T$18</f>
        <v>6814867.29</v>
      </c>
      <c r="R2" s="160">
        <f>R4*1000*'Inflation GDP Population'!R$18/'Inflation GDP Population'!$T$18</f>
        <v>6885420.113</v>
      </c>
      <c r="S2" s="160">
        <f>S4*1000*'Inflation GDP Population'!S$18/'Inflation GDP Population'!$T$18</f>
        <v>7015115.257</v>
      </c>
      <c r="T2" s="160">
        <f>T4*1000*'Inflation GDP Population'!T$18/'Inflation GDP Population'!$T$18</f>
        <v>7186000</v>
      </c>
      <c r="U2" s="160">
        <f>U4*1000*'Inflation GDP Population'!U$18/'Inflation GDP Population'!$T$18</f>
        <v>7288469.66</v>
      </c>
      <c r="V2" s="160">
        <f>V4*1000*'Inflation GDP Population'!V$18/'Inflation GDP Population'!$T$18</f>
        <v>7392202.484</v>
      </c>
      <c r="W2" s="160">
        <f>W4*1000*'Inflation GDP Population'!W$18/'Inflation GDP Population'!$T$18</f>
        <v>7498268.434</v>
      </c>
      <c r="X2" s="160">
        <f>X4*1000*'Inflation GDP Population'!X$18/'Inflation GDP Population'!$T$18</f>
        <v>7604579.038</v>
      </c>
      <c r="Y2" s="160">
        <f>Y4*1000*'Inflation GDP Population'!Y$18/'Inflation GDP Population'!$T$18</f>
        <v>7712183.822</v>
      </c>
      <c r="Z2" s="160">
        <f>Z4*1000*'Inflation GDP Population'!Z$18/'Inflation GDP Population'!$T$18</f>
        <v>7822215.734</v>
      </c>
      <c r="AA2" s="160">
        <f>AA4*1000*'Inflation GDP Population'!AA$18/'Inflation GDP Population'!$T$18</f>
        <v>7932460.787</v>
      </c>
      <c r="AB2" s="160">
        <f>AB4*1000*'Inflation GDP Population'!AB$18/'Inflation GDP Population'!$T$18</f>
        <v>8044030.239</v>
      </c>
      <c r="AC2" s="160">
        <f>AC4*1000*'Inflation GDP Population'!AC$18/'Inflation GDP Population'!$T$18</f>
        <v>8152174.109</v>
      </c>
      <c r="AD2" s="160">
        <f>AD4*1000*'Inflation GDP Population'!AD$18/'Inflation GDP Population'!$T$18</f>
        <v>8266328.528</v>
      </c>
      <c r="AE2" s="160">
        <f>AE4*1000*'Inflation GDP Population'!AE$18/'Inflation GDP Population'!$T$18</f>
        <v>8378123.883</v>
      </c>
      <c r="AF2" s="160">
        <f>AF4*1000*'Inflation GDP Population'!AF$18/'Inflation GDP Population'!$T$18</f>
        <v>8483569.488</v>
      </c>
      <c r="AG2" s="160">
        <f>AG4*1000*'Inflation GDP Population'!AG$18/'Inflation GDP Population'!$T$18</f>
        <v>8591226.184</v>
      </c>
      <c r="AH2" s="160">
        <f>AH4*1000*'Inflation GDP Population'!AH$18/'Inflation GDP Population'!$T$18</f>
        <v>8697233.349</v>
      </c>
      <c r="AI2" s="160">
        <f>AI4*1000*'Inflation GDP Population'!AI$18/'Inflation GDP Population'!$T$18</f>
        <v>8804106.874</v>
      </c>
      <c r="AJ2" s="160">
        <f>AJ4*1000*'Inflation GDP Population'!AJ$18/'Inflation GDP Population'!$T$18</f>
        <v>8920013.718</v>
      </c>
      <c r="AK2" s="160">
        <f>AK4*1000*'Inflation GDP Population'!AK$18/'Inflation GDP Population'!$T$18</f>
        <v>9034314.513</v>
      </c>
      <c r="AL2" s="160">
        <f>AL4*1000*'Inflation GDP Population'!AL$18/'Inflation GDP Population'!$T$18</f>
        <v>9136936.846</v>
      </c>
      <c r="AM2" s="160">
        <f>AM4*1000*'Inflation GDP Population'!AM$18/'Inflation GDP Population'!$T$18</f>
        <v>9254560.27</v>
      </c>
      <c r="AN2" s="160">
        <f>AN4*1000*'Inflation GDP Population'!AN$18/'Inflation GDP Population'!$T$18</f>
        <v>9368880.481</v>
      </c>
      <c r="AO2" s="160">
        <f>AO4*1000*'Inflation GDP Population'!AO$18/'Inflation GDP Population'!$T$18</f>
        <v>9478137.277</v>
      </c>
      <c r="AP2" s="160">
        <f>AP4*1000*'Inflation GDP Population'!AP$18/'Inflation GDP Population'!$T$18</f>
        <v>9585031.874</v>
      </c>
      <c r="AQ2" s="160">
        <f>AQ4*1000*'Inflation GDP Population'!AQ$18/'Inflation GDP Population'!$T$18</f>
        <v>9709644.748</v>
      </c>
      <c r="AR2" s="160">
        <f>AR4*1000*'Inflation GDP Population'!AR$18/'Inflation GDP Population'!$T$18</f>
        <v>9822752.044</v>
      </c>
      <c r="AS2" s="160">
        <f>AS4*1000*'Inflation GDP Population'!AS$18/'Inflation GDP Population'!$T$18</f>
        <v>9943060.963</v>
      </c>
      <c r="AT2" s="160">
        <f>AT4*1000*'Inflation GDP Population'!AT$18/'Inflation GDP Population'!$T$18</f>
        <v>10062672.95</v>
      </c>
      <c r="AU2" s="160">
        <f>AU4*1000*'Inflation GDP Population'!AU$18/'Inflation GDP Population'!$T$18</f>
        <v>10189906.98</v>
      </c>
      <c r="AV2" s="160">
        <f>AV4*1000*'Inflation GDP Population'!AV$18/'Inflation GDP Population'!$T$18</f>
        <v>10299380.77</v>
      </c>
      <c r="AW2" s="160">
        <f>AW4*1000*'Inflation GDP Population'!AW$18/'Inflation GDP Population'!$T$18</f>
        <v>10423257.48</v>
      </c>
      <c r="AX2" s="160">
        <f>AX4*1000*'Inflation GDP Population'!AX$18/'Inflation GDP Population'!$T$18</f>
        <v>10546262.27</v>
      </c>
      <c r="AY2" s="160">
        <f>AY4*1000*'Inflation GDP Population'!AY$18/'Inflation GDP Population'!$T$18</f>
        <v>10671919.58</v>
      </c>
      <c r="AZ2" s="160">
        <f>AZ4*1000*'Inflation GDP Population'!AZ$18/'Inflation GDP Population'!$T$18</f>
        <v>10703823.88</v>
      </c>
    </row>
    <row r="3" ht="15.0" customHeight="1">
      <c r="A3" s="535" t="s">
        <v>72</v>
      </c>
      <c r="B3" s="709">
        <f t="shared" ref="B3:S3" si="1">C3</f>
        <v>0</v>
      </c>
      <c r="C3" s="709">
        <f t="shared" si="1"/>
        <v>0</v>
      </c>
      <c r="D3" s="709">
        <f t="shared" si="1"/>
        <v>0</v>
      </c>
      <c r="E3" s="709">
        <f t="shared" si="1"/>
        <v>0</v>
      </c>
      <c r="F3" s="709">
        <f t="shared" si="1"/>
        <v>0</v>
      </c>
      <c r="G3" s="709">
        <f t="shared" si="1"/>
        <v>0</v>
      </c>
      <c r="H3" s="709">
        <f t="shared" si="1"/>
        <v>0</v>
      </c>
      <c r="I3" s="709">
        <f t="shared" si="1"/>
        <v>0</v>
      </c>
      <c r="J3" s="709">
        <f t="shared" si="1"/>
        <v>0</v>
      </c>
      <c r="K3" s="709">
        <f t="shared" si="1"/>
        <v>0</v>
      </c>
      <c r="L3" s="709">
        <f t="shared" si="1"/>
        <v>0</v>
      </c>
      <c r="M3" s="709">
        <f t="shared" si="1"/>
        <v>0</v>
      </c>
      <c r="N3" s="709">
        <f t="shared" si="1"/>
        <v>0</v>
      </c>
      <c r="O3" s="709">
        <f t="shared" si="1"/>
        <v>0</v>
      </c>
      <c r="P3" s="709">
        <f t="shared" si="1"/>
        <v>0</v>
      </c>
      <c r="Q3" s="709">
        <f t="shared" si="1"/>
        <v>0</v>
      </c>
      <c r="R3" s="709">
        <f t="shared" si="1"/>
        <v>0</v>
      </c>
      <c r="S3" s="709">
        <f t="shared" si="1"/>
        <v>0</v>
      </c>
      <c r="T3" s="537">
        <f t="shared" ref="T3:AZ3" si="2">(S4-T4)/S4</f>
        <v>0</v>
      </c>
      <c r="U3" s="537">
        <f t="shared" si="2"/>
        <v>0.00514890064</v>
      </c>
      <c r="V3" s="537">
        <f t="shared" si="2"/>
        <v>0.005175549028</v>
      </c>
      <c r="W3" s="537">
        <f t="shared" si="2"/>
        <v>0.005061867267</v>
      </c>
      <c r="X3" s="537">
        <f t="shared" si="2"/>
        <v>0.005228942906</v>
      </c>
      <c r="Y3" s="537">
        <f t="shared" si="2"/>
        <v>0.00525642847</v>
      </c>
      <c r="Z3" s="537">
        <f t="shared" si="2"/>
        <v>0.005141388175</v>
      </c>
      <c r="AA3" s="537">
        <f t="shared" si="2"/>
        <v>0.005311513063</v>
      </c>
      <c r="AB3" s="537">
        <f t="shared" si="2"/>
        <v>0.005339875884</v>
      </c>
      <c r="AC3" s="537">
        <f t="shared" si="2"/>
        <v>0.005948926291</v>
      </c>
      <c r="AD3" s="537">
        <f t="shared" si="2"/>
        <v>0.005400671435</v>
      </c>
      <c r="AE3" s="537">
        <f t="shared" si="2"/>
        <v>0.005870267097</v>
      </c>
      <c r="AF3" s="537">
        <f t="shared" si="2"/>
        <v>0.00679067021</v>
      </c>
      <c r="AG3" s="537">
        <f t="shared" si="2"/>
        <v>0.006688466112</v>
      </c>
      <c r="AH3" s="537">
        <f t="shared" si="2"/>
        <v>0.007032769714</v>
      </c>
      <c r="AI3" s="537">
        <f t="shared" si="2"/>
        <v>0.007082579867</v>
      </c>
      <c r="AJ3" s="537">
        <f t="shared" si="2"/>
        <v>0.006222492032</v>
      </c>
      <c r="AK3" s="537">
        <f t="shared" si="2"/>
        <v>0.006566890654</v>
      </c>
      <c r="AL3" s="537">
        <f t="shared" si="2"/>
        <v>0.007993850884</v>
      </c>
      <c r="AM3" s="537">
        <f t="shared" si="2"/>
        <v>0.006508600651</v>
      </c>
      <c r="AN3" s="537">
        <f t="shared" si="2"/>
        <v>0.007019185774</v>
      </c>
      <c r="AO3" s="537">
        <f t="shared" si="2"/>
        <v>0.007697141062</v>
      </c>
      <c r="AP3" s="537">
        <f t="shared" si="2"/>
        <v>0.008073452588</v>
      </c>
      <c r="AQ3" s="537">
        <f t="shared" si="2"/>
        <v>0.006383657836</v>
      </c>
      <c r="AR3" s="537">
        <f t="shared" si="2"/>
        <v>0.007709604883</v>
      </c>
      <c r="AS3" s="537">
        <f t="shared" si="2"/>
        <v>0.00712204597</v>
      </c>
      <c r="AT3" s="537">
        <f t="shared" si="2"/>
        <v>0.007336159113</v>
      </c>
      <c r="AU3" s="537">
        <f t="shared" si="2"/>
        <v>0.006733453769</v>
      </c>
      <c r="AV3" s="537">
        <f t="shared" si="2"/>
        <v>0.008597883598</v>
      </c>
      <c r="AW3" s="537">
        <f t="shared" si="2"/>
        <v>0.007338225484</v>
      </c>
      <c r="AX3" s="537">
        <f t="shared" si="2"/>
        <v>0.007560483871</v>
      </c>
      <c r="AY3" s="537">
        <f t="shared" si="2"/>
        <v>0.007448789572</v>
      </c>
      <c r="AZ3" s="537">
        <f t="shared" si="2"/>
        <v>0.01620330889</v>
      </c>
    </row>
    <row r="4" ht="15.0" customHeight="1">
      <c r="A4" s="541" t="s">
        <v>989</v>
      </c>
      <c r="B4" s="827">
        <f t="shared" ref="B4:S4" si="3">C4*(1+B3)</f>
        <v>7186</v>
      </c>
      <c r="C4" s="827">
        <f t="shared" si="3"/>
        <v>7186</v>
      </c>
      <c r="D4" s="827">
        <f t="shared" si="3"/>
        <v>7186</v>
      </c>
      <c r="E4" s="827">
        <f t="shared" si="3"/>
        <v>7186</v>
      </c>
      <c r="F4" s="827">
        <f t="shared" si="3"/>
        <v>7186</v>
      </c>
      <c r="G4" s="827">
        <f t="shared" si="3"/>
        <v>7186</v>
      </c>
      <c r="H4" s="827">
        <f t="shared" si="3"/>
        <v>7186</v>
      </c>
      <c r="I4" s="827">
        <f t="shared" si="3"/>
        <v>7186</v>
      </c>
      <c r="J4" s="827">
        <f t="shared" si="3"/>
        <v>7186</v>
      </c>
      <c r="K4" s="827">
        <f t="shared" si="3"/>
        <v>7186</v>
      </c>
      <c r="L4" s="827">
        <f t="shared" si="3"/>
        <v>7186</v>
      </c>
      <c r="M4" s="827">
        <f t="shared" si="3"/>
        <v>7186</v>
      </c>
      <c r="N4" s="827">
        <f t="shared" si="3"/>
        <v>7186</v>
      </c>
      <c r="O4" s="827">
        <f t="shared" si="3"/>
        <v>7186</v>
      </c>
      <c r="P4" s="827">
        <f t="shared" si="3"/>
        <v>7186</v>
      </c>
      <c r="Q4" s="827">
        <f t="shared" si="3"/>
        <v>7186</v>
      </c>
      <c r="R4" s="827">
        <f t="shared" si="3"/>
        <v>7186</v>
      </c>
      <c r="S4" s="827">
        <f t="shared" si="3"/>
        <v>7186</v>
      </c>
      <c r="T4" s="828">
        <v>7186.0</v>
      </c>
      <c r="U4" s="828">
        <v>7149.0</v>
      </c>
      <c r="V4" s="829">
        <v>7112.0</v>
      </c>
      <c r="W4" s="828">
        <v>7076.0</v>
      </c>
      <c r="X4" s="828">
        <v>7039.0</v>
      </c>
      <c r="Y4" s="828">
        <v>7002.0</v>
      </c>
      <c r="Z4" s="828">
        <v>6966.0</v>
      </c>
      <c r="AA4" s="828">
        <v>6929.0</v>
      </c>
      <c r="AB4" s="828">
        <v>6892.0</v>
      </c>
      <c r="AC4" s="828">
        <v>6851.0</v>
      </c>
      <c r="AD4" s="828">
        <v>6814.0</v>
      </c>
      <c r="AE4" s="828">
        <v>6774.0</v>
      </c>
      <c r="AF4" s="828">
        <v>6728.0</v>
      </c>
      <c r="AG4" s="828">
        <v>6683.0</v>
      </c>
      <c r="AH4" s="828">
        <v>6636.0</v>
      </c>
      <c r="AI4" s="828">
        <v>6589.0</v>
      </c>
      <c r="AJ4" s="828">
        <v>6548.0</v>
      </c>
      <c r="AK4" s="828">
        <v>6505.0</v>
      </c>
      <c r="AL4" s="828">
        <v>6453.0</v>
      </c>
      <c r="AM4" s="828">
        <v>6411.0</v>
      </c>
      <c r="AN4" s="828">
        <v>6366.0</v>
      </c>
      <c r="AO4" s="828">
        <v>6317.0</v>
      </c>
      <c r="AP4" s="828">
        <v>6266.0</v>
      </c>
      <c r="AQ4" s="828">
        <v>6226.0</v>
      </c>
      <c r="AR4" s="828">
        <v>6178.0</v>
      </c>
      <c r="AS4" s="828">
        <v>6134.0</v>
      </c>
      <c r="AT4" s="828">
        <v>6089.0</v>
      </c>
      <c r="AU4" s="828">
        <v>6048.0</v>
      </c>
      <c r="AV4" s="828">
        <v>5996.0</v>
      </c>
      <c r="AW4" s="828">
        <v>5952.0</v>
      </c>
      <c r="AX4" s="828">
        <v>5907.0</v>
      </c>
      <c r="AY4" s="828">
        <v>5863.0</v>
      </c>
      <c r="AZ4" s="828">
        <v>5768.0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v>5000.0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7">
        <v>0.9203917580967896</v>
      </c>
      <c r="W15" s="208">
        <f t="shared" ref="W15:AZ15" si="4">V15*(1+V17)</f>
        <v>0.9203917581</v>
      </c>
      <c r="X15" s="208">
        <f t="shared" si="4"/>
        <v>0.9203917581</v>
      </c>
      <c r="Y15" s="208">
        <f t="shared" si="4"/>
        <v>0.9203917581</v>
      </c>
      <c r="Z15" s="208">
        <f t="shared" si="4"/>
        <v>0.9203917581</v>
      </c>
      <c r="AA15" s="208">
        <f t="shared" si="4"/>
        <v>0.9203917581</v>
      </c>
      <c r="AB15" s="208">
        <f t="shared" si="4"/>
        <v>0.9203917581</v>
      </c>
      <c r="AC15" s="208">
        <f t="shared" si="4"/>
        <v>0.9203917581</v>
      </c>
      <c r="AD15" s="208">
        <f t="shared" si="4"/>
        <v>0.9203917581</v>
      </c>
      <c r="AE15" s="208">
        <f t="shared" si="4"/>
        <v>0.9203917581</v>
      </c>
      <c r="AF15" s="208">
        <f t="shared" si="4"/>
        <v>0.9203917581</v>
      </c>
      <c r="AG15" s="208">
        <f t="shared" si="4"/>
        <v>0.9203917581</v>
      </c>
      <c r="AH15" s="208">
        <f t="shared" si="4"/>
        <v>0.9203917581</v>
      </c>
      <c r="AI15" s="208">
        <f t="shared" si="4"/>
        <v>0.9203917581</v>
      </c>
      <c r="AJ15" s="208">
        <f t="shared" si="4"/>
        <v>0.9203917581</v>
      </c>
      <c r="AK15" s="208">
        <f t="shared" si="4"/>
        <v>0.9203917581</v>
      </c>
      <c r="AL15" s="208">
        <f t="shared" si="4"/>
        <v>0.9203917581</v>
      </c>
      <c r="AM15" s="208">
        <f t="shared" si="4"/>
        <v>0.9203917581</v>
      </c>
      <c r="AN15" s="208">
        <f t="shared" si="4"/>
        <v>0.9203917581</v>
      </c>
      <c r="AO15" s="208">
        <f t="shared" si="4"/>
        <v>0.9203917581</v>
      </c>
      <c r="AP15" s="208">
        <f t="shared" si="4"/>
        <v>0.9203917581</v>
      </c>
      <c r="AQ15" s="208">
        <f t="shared" si="4"/>
        <v>0.9203917581</v>
      </c>
      <c r="AR15" s="208">
        <f t="shared" si="4"/>
        <v>0.9203917581</v>
      </c>
      <c r="AS15" s="208">
        <f t="shared" si="4"/>
        <v>0.9203917581</v>
      </c>
      <c r="AT15" s="208">
        <f t="shared" si="4"/>
        <v>0.9203917581</v>
      </c>
      <c r="AU15" s="208">
        <f t="shared" si="4"/>
        <v>0.9203917581</v>
      </c>
      <c r="AV15" s="208">
        <f t="shared" si="4"/>
        <v>0.9203917581</v>
      </c>
      <c r="AW15" s="208">
        <f t="shared" si="4"/>
        <v>0.9203917581</v>
      </c>
      <c r="AX15" s="208">
        <f t="shared" si="4"/>
        <v>0.9203917581</v>
      </c>
      <c r="AY15" s="208">
        <f t="shared" si="4"/>
        <v>0.9203917581</v>
      </c>
      <c r="AZ15" s="208">
        <f t="shared" si="4"/>
        <v>0.9203917581</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0.96</v>
      </c>
      <c r="W16" s="208">
        <f t="shared" ref="W16:AZ16" si="5">V16</f>
        <v>0.96</v>
      </c>
      <c r="X16" s="208">
        <f t="shared" si="5"/>
        <v>0.96</v>
      </c>
      <c r="Y16" s="208">
        <f t="shared" si="5"/>
        <v>0.96</v>
      </c>
      <c r="Z16" s="208">
        <f t="shared" si="5"/>
        <v>0.96</v>
      </c>
      <c r="AA16" s="208">
        <f t="shared" si="5"/>
        <v>0.96</v>
      </c>
      <c r="AB16" s="208">
        <f t="shared" si="5"/>
        <v>0.96</v>
      </c>
      <c r="AC16" s="208">
        <f t="shared" si="5"/>
        <v>0.96</v>
      </c>
      <c r="AD16" s="208">
        <f t="shared" si="5"/>
        <v>0.96</v>
      </c>
      <c r="AE16" s="208">
        <f t="shared" si="5"/>
        <v>0.96</v>
      </c>
      <c r="AF16" s="208">
        <f t="shared" si="5"/>
        <v>0.96</v>
      </c>
      <c r="AG16" s="208">
        <f t="shared" si="5"/>
        <v>0.96</v>
      </c>
      <c r="AH16" s="208">
        <f t="shared" si="5"/>
        <v>0.96</v>
      </c>
      <c r="AI16" s="208">
        <f t="shared" si="5"/>
        <v>0.96</v>
      </c>
      <c r="AJ16" s="208">
        <f t="shared" si="5"/>
        <v>0.96</v>
      </c>
      <c r="AK16" s="208">
        <f t="shared" si="5"/>
        <v>0.96</v>
      </c>
      <c r="AL16" s="208">
        <f t="shared" si="5"/>
        <v>0.96</v>
      </c>
      <c r="AM16" s="208">
        <f t="shared" si="5"/>
        <v>0.96</v>
      </c>
      <c r="AN16" s="208">
        <f t="shared" si="5"/>
        <v>0.96</v>
      </c>
      <c r="AO16" s="208">
        <f t="shared" si="5"/>
        <v>0.96</v>
      </c>
      <c r="AP16" s="208">
        <f t="shared" si="5"/>
        <v>0.96</v>
      </c>
      <c r="AQ16" s="208">
        <f t="shared" si="5"/>
        <v>0.96</v>
      </c>
      <c r="AR16" s="208">
        <f t="shared" si="5"/>
        <v>0.96</v>
      </c>
      <c r="AS16" s="208">
        <f t="shared" si="5"/>
        <v>0.96</v>
      </c>
      <c r="AT16" s="208">
        <f t="shared" si="5"/>
        <v>0.96</v>
      </c>
      <c r="AU16" s="208">
        <f t="shared" si="5"/>
        <v>0.96</v>
      </c>
      <c r="AV16" s="208">
        <f t="shared" si="5"/>
        <v>0.96</v>
      </c>
      <c r="AW16" s="208">
        <f t="shared" si="5"/>
        <v>0.96</v>
      </c>
      <c r="AX16" s="208">
        <f t="shared" si="5"/>
        <v>0.96</v>
      </c>
      <c r="AY16" s="208">
        <f t="shared" si="5"/>
        <v>0.96</v>
      </c>
      <c r="AZ16" s="208">
        <f t="shared" si="5"/>
        <v>0.96</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535"/>
      <c r="C18" s="535"/>
      <c r="D18" s="535"/>
      <c r="E18" s="535"/>
      <c r="F18" s="535"/>
      <c r="G18" s="535"/>
      <c r="H18" s="535"/>
      <c r="I18" s="535"/>
      <c r="J18" s="535"/>
      <c r="K18" s="535"/>
      <c r="L18" s="535"/>
      <c r="M18" s="535"/>
      <c r="N18" s="535"/>
      <c r="O18" s="535"/>
      <c r="P18" s="535"/>
      <c r="Q18" s="535"/>
      <c r="R18" s="535"/>
      <c r="S18" s="535"/>
      <c r="T18" s="535"/>
      <c r="U18" s="535"/>
      <c r="V18" s="705">
        <v>101280.0</v>
      </c>
      <c r="W18" s="160">
        <f t="shared" ref="W18:AZ18" si="7">V18*(1+V43-V23)</f>
        <v>98960.10436</v>
      </c>
      <c r="X18" s="160">
        <f t="shared" si="7"/>
        <v>96693.3477</v>
      </c>
      <c r="Y18" s="160">
        <f t="shared" si="7"/>
        <v>94478.51283</v>
      </c>
      <c r="Z18" s="160">
        <f t="shared" si="7"/>
        <v>92314.41045</v>
      </c>
      <c r="AA18" s="160">
        <f t="shared" si="7"/>
        <v>90199.87847</v>
      </c>
      <c r="AB18" s="160">
        <f t="shared" si="7"/>
        <v>88133.78147</v>
      </c>
      <c r="AC18" s="160">
        <f t="shared" si="7"/>
        <v>87948.19265</v>
      </c>
      <c r="AD18" s="160">
        <f t="shared" si="7"/>
        <v>87762.99463</v>
      </c>
      <c r="AE18" s="160">
        <f t="shared" si="7"/>
        <v>87578.1866</v>
      </c>
      <c r="AF18" s="160">
        <f t="shared" si="7"/>
        <v>87393.76773</v>
      </c>
      <c r="AG18" s="160">
        <f t="shared" si="7"/>
        <v>87209.7372</v>
      </c>
      <c r="AH18" s="160">
        <f t="shared" si="7"/>
        <v>87026.09419</v>
      </c>
      <c r="AI18" s="160">
        <f t="shared" si="7"/>
        <v>86842.8379</v>
      </c>
      <c r="AJ18" s="160">
        <f t="shared" si="7"/>
        <v>86659.96749</v>
      </c>
      <c r="AK18" s="160">
        <f t="shared" si="7"/>
        <v>86477.48217</v>
      </c>
      <c r="AL18" s="160">
        <f t="shared" si="7"/>
        <v>86295.38112</v>
      </c>
      <c r="AM18" s="160">
        <f t="shared" si="7"/>
        <v>86113.66354</v>
      </c>
      <c r="AN18" s="160">
        <f t="shared" si="7"/>
        <v>85932.3286</v>
      </c>
      <c r="AO18" s="160">
        <f t="shared" si="7"/>
        <v>85751.37552</v>
      </c>
      <c r="AP18" s="160">
        <f t="shared" si="7"/>
        <v>85570.80348</v>
      </c>
      <c r="AQ18" s="160">
        <f t="shared" si="7"/>
        <v>85390.61168</v>
      </c>
      <c r="AR18" s="160">
        <f t="shared" si="7"/>
        <v>85210.79932</v>
      </c>
      <c r="AS18" s="160">
        <f t="shared" si="7"/>
        <v>85031.3656</v>
      </c>
      <c r="AT18" s="160">
        <f t="shared" si="7"/>
        <v>84852.30973</v>
      </c>
      <c r="AU18" s="160">
        <f t="shared" si="7"/>
        <v>84673.63091</v>
      </c>
      <c r="AV18" s="160">
        <f t="shared" si="7"/>
        <v>84495.32834</v>
      </c>
      <c r="AW18" s="160">
        <f t="shared" si="7"/>
        <v>84317.40124</v>
      </c>
      <c r="AX18" s="160">
        <f t="shared" si="7"/>
        <v>84139.84881</v>
      </c>
      <c r="AY18" s="160">
        <f t="shared" si="7"/>
        <v>83962.67026</v>
      </c>
      <c r="AZ18" s="160">
        <f t="shared" si="7"/>
        <v>83785.86481</v>
      </c>
    </row>
    <row r="19" ht="15.0" customHeight="1">
      <c r="A19" s="535" t="s">
        <v>1112</v>
      </c>
      <c r="B19" s="535"/>
      <c r="C19" s="535"/>
      <c r="D19" s="535"/>
      <c r="E19" s="535"/>
      <c r="F19" s="535"/>
      <c r="G19" s="535"/>
      <c r="H19" s="535"/>
      <c r="I19" s="535"/>
      <c r="J19" s="535"/>
      <c r="K19" s="535"/>
      <c r="L19" s="535"/>
      <c r="M19" s="535"/>
      <c r="N19" s="535"/>
      <c r="O19" s="535"/>
      <c r="P19" s="535"/>
      <c r="Q19" s="535"/>
      <c r="R19" s="535"/>
      <c r="S19" s="535"/>
      <c r="T19" s="535"/>
      <c r="U19" s="535"/>
      <c r="V19" s="715">
        <v>2.32</v>
      </c>
      <c r="W19" s="177">
        <f t="shared" ref="W19:AZ19" si="8">V19*(1+V43-V23)</f>
        <v>2.266858631</v>
      </c>
      <c r="X19" s="177">
        <f t="shared" si="8"/>
        <v>2.214934505</v>
      </c>
      <c r="Y19" s="177">
        <f t="shared" si="8"/>
        <v>2.164199741</v>
      </c>
      <c r="Z19" s="177">
        <f t="shared" si="8"/>
        <v>2.114627096</v>
      </c>
      <c r="AA19" s="177">
        <f t="shared" si="8"/>
        <v>2.066189949</v>
      </c>
      <c r="AB19" s="177">
        <f t="shared" si="8"/>
        <v>2.018862293</v>
      </c>
      <c r="AC19" s="177">
        <f t="shared" si="8"/>
        <v>2.014611048</v>
      </c>
      <c r="AD19" s="177">
        <f t="shared" si="8"/>
        <v>2.010368755</v>
      </c>
      <c r="AE19" s="177">
        <f t="shared" si="8"/>
        <v>2.006135396</v>
      </c>
      <c r="AF19" s="177">
        <f t="shared" si="8"/>
        <v>2.001910951</v>
      </c>
      <c r="AG19" s="177">
        <f t="shared" si="8"/>
        <v>1.997695402</v>
      </c>
      <c r="AH19" s="177">
        <f t="shared" si="8"/>
        <v>1.99348873</v>
      </c>
      <c r="AI19" s="177">
        <f t="shared" si="8"/>
        <v>1.989290915</v>
      </c>
      <c r="AJ19" s="177">
        <f t="shared" si="8"/>
        <v>1.985101941</v>
      </c>
      <c r="AK19" s="177">
        <f t="shared" si="8"/>
        <v>1.980921788</v>
      </c>
      <c r="AL19" s="177">
        <f t="shared" si="8"/>
        <v>1.976750437</v>
      </c>
      <c r="AM19" s="177">
        <f t="shared" si="8"/>
        <v>1.972587869</v>
      </c>
      <c r="AN19" s="177">
        <f t="shared" si="8"/>
        <v>1.968434068</v>
      </c>
      <c r="AO19" s="177">
        <f t="shared" si="8"/>
        <v>1.964289013</v>
      </c>
      <c r="AP19" s="177">
        <f t="shared" si="8"/>
        <v>1.960152686</v>
      </c>
      <c r="AQ19" s="177">
        <f t="shared" si="8"/>
        <v>1.95602507</v>
      </c>
      <c r="AR19" s="177">
        <f t="shared" si="8"/>
        <v>1.951906146</v>
      </c>
      <c r="AS19" s="177">
        <f t="shared" si="8"/>
        <v>1.947795895</v>
      </c>
      <c r="AT19" s="177">
        <f t="shared" si="8"/>
        <v>1.943694299</v>
      </c>
      <c r="AU19" s="177">
        <f t="shared" si="8"/>
        <v>1.93960134</v>
      </c>
      <c r="AV19" s="177">
        <f t="shared" si="8"/>
        <v>1.935517</v>
      </c>
      <c r="AW19" s="177">
        <f t="shared" si="8"/>
        <v>1.931441261</v>
      </c>
      <c r="AX19" s="177">
        <f t="shared" si="8"/>
        <v>1.927374104</v>
      </c>
      <c r="AY19" s="177">
        <f t="shared" si="8"/>
        <v>1.923315511</v>
      </c>
      <c r="AZ19" s="177">
        <f t="shared" si="8"/>
        <v>1.919265466</v>
      </c>
    </row>
    <row r="20" ht="15.0" customHeight="1">
      <c r="A20" s="830" t="s">
        <v>1115</v>
      </c>
      <c r="B20" s="177">
        <f t="shared" ref="B20:R20" si="9">C20/(1+B43-B21)</f>
        <v>17.06779063</v>
      </c>
      <c r="C20" s="177">
        <f t="shared" si="9"/>
        <v>16.96026355</v>
      </c>
      <c r="D20" s="177">
        <f t="shared" si="9"/>
        <v>16.85341389</v>
      </c>
      <c r="E20" s="177">
        <f t="shared" si="9"/>
        <v>16.74723738</v>
      </c>
      <c r="F20" s="177">
        <f t="shared" si="9"/>
        <v>16.64172979</v>
      </c>
      <c r="G20" s="177">
        <f t="shared" si="9"/>
        <v>16.81964375</v>
      </c>
      <c r="H20" s="177">
        <f t="shared" si="9"/>
        <v>17.22883564</v>
      </c>
      <c r="I20" s="177">
        <f t="shared" si="9"/>
        <v>18.04567465</v>
      </c>
      <c r="J20" s="177">
        <f t="shared" si="9"/>
        <v>18.38686055</v>
      </c>
      <c r="K20" s="177">
        <f t="shared" si="9"/>
        <v>19.00579894</v>
      </c>
      <c r="L20" s="177">
        <f t="shared" si="9"/>
        <v>19.25466358</v>
      </c>
      <c r="M20" s="177">
        <f t="shared" si="9"/>
        <v>19.50463457</v>
      </c>
      <c r="N20" s="177">
        <f t="shared" si="9"/>
        <v>19.81889815</v>
      </c>
      <c r="O20" s="177">
        <f t="shared" si="9"/>
        <v>19.88123973</v>
      </c>
      <c r="P20" s="177">
        <f t="shared" si="9"/>
        <v>20.00711469</v>
      </c>
      <c r="Q20" s="177">
        <f t="shared" si="9"/>
        <v>20.57771822</v>
      </c>
      <c r="R20" s="177">
        <f t="shared" si="9"/>
        <v>20.78160969</v>
      </c>
      <c r="S20" s="732">
        <v>20.43</v>
      </c>
      <c r="T20" s="177">
        <f t="shared" ref="T20:AZ20" si="10">S20*(1+S43-S21)</f>
        <v>21.10287048</v>
      </c>
      <c r="U20" s="177">
        <f t="shared" si="10"/>
        <v>21.23648</v>
      </c>
      <c r="V20" s="831">
        <f t="shared" si="10"/>
        <v>21.52517375</v>
      </c>
      <c r="W20" s="177">
        <f t="shared" si="10"/>
        <v>21.81779207</v>
      </c>
      <c r="X20" s="177">
        <f t="shared" si="10"/>
        <v>22.11438832</v>
      </c>
      <c r="Y20" s="177">
        <f t="shared" si="10"/>
        <v>22.41501656</v>
      </c>
      <c r="Z20" s="177">
        <f t="shared" si="10"/>
        <v>22.71973162</v>
      </c>
      <c r="AA20" s="177">
        <f t="shared" si="10"/>
        <v>23.02858904</v>
      </c>
      <c r="AB20" s="177">
        <f t="shared" si="10"/>
        <v>23.34164515</v>
      </c>
      <c r="AC20" s="177">
        <f t="shared" si="10"/>
        <v>23.65895701</v>
      </c>
      <c r="AD20" s="177">
        <f t="shared" si="10"/>
        <v>23.98058249</v>
      </c>
      <c r="AE20" s="177">
        <f t="shared" si="10"/>
        <v>24.30658022</v>
      </c>
      <c r="AF20" s="177">
        <f t="shared" si="10"/>
        <v>24.63700964</v>
      </c>
      <c r="AG20" s="177">
        <f t="shared" si="10"/>
        <v>24.971931</v>
      </c>
      <c r="AH20" s="177">
        <f t="shared" si="10"/>
        <v>25.31140536</v>
      </c>
      <c r="AI20" s="177">
        <f t="shared" si="10"/>
        <v>25.65549461</v>
      </c>
      <c r="AJ20" s="177">
        <f t="shared" si="10"/>
        <v>26.0042615</v>
      </c>
      <c r="AK20" s="177">
        <f t="shared" si="10"/>
        <v>26.3577696</v>
      </c>
      <c r="AL20" s="177">
        <f t="shared" si="10"/>
        <v>26.71608338</v>
      </c>
      <c r="AM20" s="177">
        <f t="shared" si="10"/>
        <v>27.07926816</v>
      </c>
      <c r="AN20" s="177">
        <f t="shared" si="10"/>
        <v>27.44739016</v>
      </c>
      <c r="AO20" s="177">
        <f t="shared" si="10"/>
        <v>27.82051649</v>
      </c>
      <c r="AP20" s="177">
        <f t="shared" si="10"/>
        <v>28.1987152</v>
      </c>
      <c r="AQ20" s="177">
        <f t="shared" si="10"/>
        <v>28.58205523</v>
      </c>
      <c r="AR20" s="177">
        <f t="shared" si="10"/>
        <v>28.97060647</v>
      </c>
      <c r="AS20" s="177">
        <f t="shared" si="10"/>
        <v>29.36443977</v>
      </c>
      <c r="AT20" s="177">
        <f t="shared" si="10"/>
        <v>29.76362694</v>
      </c>
      <c r="AU20" s="177">
        <f t="shared" si="10"/>
        <v>30.16824075</v>
      </c>
      <c r="AV20" s="177">
        <f t="shared" si="10"/>
        <v>30.57835497</v>
      </c>
      <c r="AW20" s="177">
        <f t="shared" si="10"/>
        <v>30.99404439</v>
      </c>
      <c r="AX20" s="177">
        <f t="shared" si="10"/>
        <v>31.41538479</v>
      </c>
      <c r="AY20" s="177">
        <f t="shared" si="10"/>
        <v>31.84245298</v>
      </c>
      <c r="AZ20" s="177">
        <f t="shared" si="10"/>
        <v>32.27532685</v>
      </c>
    </row>
    <row r="21" ht="15.0" customHeight="1">
      <c r="A21" s="830" t="s">
        <v>106</v>
      </c>
      <c r="B21" s="832">
        <f t="shared" ref="B21:U21" si="11">C21</f>
        <v>0.0063</v>
      </c>
      <c r="C21" s="832">
        <f t="shared" si="11"/>
        <v>0.0063</v>
      </c>
      <c r="D21" s="832">
        <f t="shared" si="11"/>
        <v>0.0063</v>
      </c>
      <c r="E21" s="832">
        <f t="shared" si="11"/>
        <v>0.0063</v>
      </c>
      <c r="F21" s="832">
        <f t="shared" si="11"/>
        <v>0.0063</v>
      </c>
      <c r="G21" s="832">
        <f t="shared" si="11"/>
        <v>0.0063</v>
      </c>
      <c r="H21" s="832">
        <f t="shared" si="11"/>
        <v>0.0063</v>
      </c>
      <c r="I21" s="832">
        <f t="shared" si="11"/>
        <v>0.0063</v>
      </c>
      <c r="J21" s="832">
        <f t="shared" si="11"/>
        <v>0.0063</v>
      </c>
      <c r="K21" s="832">
        <f t="shared" si="11"/>
        <v>0.0063</v>
      </c>
      <c r="L21" s="832">
        <f t="shared" si="11"/>
        <v>0.0063</v>
      </c>
      <c r="M21" s="832">
        <f t="shared" si="11"/>
        <v>0.0063</v>
      </c>
      <c r="N21" s="832">
        <f t="shared" si="11"/>
        <v>0.0063</v>
      </c>
      <c r="O21" s="832">
        <f t="shared" si="11"/>
        <v>0.0063</v>
      </c>
      <c r="P21" s="832">
        <f t="shared" si="11"/>
        <v>0.0063</v>
      </c>
      <c r="Q21" s="832">
        <f t="shared" si="11"/>
        <v>0.0063</v>
      </c>
      <c r="R21" s="832">
        <f t="shared" si="11"/>
        <v>0.0063</v>
      </c>
      <c r="S21" s="832">
        <f t="shared" si="11"/>
        <v>0.0063</v>
      </c>
      <c r="T21" s="832">
        <f t="shared" si="11"/>
        <v>0.0063</v>
      </c>
      <c r="U21" s="832">
        <f t="shared" si="11"/>
        <v>0.0063</v>
      </c>
      <c r="V21" s="833">
        <v>0.0063</v>
      </c>
      <c r="W21" s="537">
        <f t="shared" ref="W21:AZ21" si="12">V21</f>
        <v>0.0063</v>
      </c>
      <c r="X21" s="537">
        <f t="shared" si="12"/>
        <v>0.0063</v>
      </c>
      <c r="Y21" s="537">
        <f t="shared" si="12"/>
        <v>0.0063</v>
      </c>
      <c r="Z21" s="537">
        <f t="shared" si="12"/>
        <v>0.0063</v>
      </c>
      <c r="AA21" s="537">
        <f t="shared" si="12"/>
        <v>0.0063</v>
      </c>
      <c r="AB21" s="537">
        <f t="shared" si="12"/>
        <v>0.0063</v>
      </c>
      <c r="AC21" s="537">
        <f t="shared" si="12"/>
        <v>0.0063</v>
      </c>
      <c r="AD21" s="537">
        <f t="shared" si="12"/>
        <v>0.0063</v>
      </c>
      <c r="AE21" s="537">
        <f t="shared" si="12"/>
        <v>0.0063</v>
      </c>
      <c r="AF21" s="537">
        <f t="shared" si="12"/>
        <v>0.0063</v>
      </c>
      <c r="AG21" s="537">
        <f t="shared" si="12"/>
        <v>0.0063</v>
      </c>
      <c r="AH21" s="537">
        <f t="shared" si="12"/>
        <v>0.0063</v>
      </c>
      <c r="AI21" s="537">
        <f t="shared" si="12"/>
        <v>0.0063</v>
      </c>
      <c r="AJ21" s="537">
        <f t="shared" si="12"/>
        <v>0.0063</v>
      </c>
      <c r="AK21" s="537">
        <f t="shared" si="12"/>
        <v>0.0063</v>
      </c>
      <c r="AL21" s="537">
        <f t="shared" si="12"/>
        <v>0.0063</v>
      </c>
      <c r="AM21" s="537">
        <f t="shared" si="12"/>
        <v>0.0063</v>
      </c>
      <c r="AN21" s="537">
        <f t="shared" si="12"/>
        <v>0.0063</v>
      </c>
      <c r="AO21" s="537">
        <f t="shared" si="12"/>
        <v>0.0063</v>
      </c>
      <c r="AP21" s="537">
        <f t="shared" si="12"/>
        <v>0.0063</v>
      </c>
      <c r="AQ21" s="537">
        <f t="shared" si="12"/>
        <v>0.0063</v>
      </c>
      <c r="AR21" s="537">
        <f t="shared" si="12"/>
        <v>0.0063</v>
      </c>
      <c r="AS21" s="537">
        <f t="shared" si="12"/>
        <v>0.0063</v>
      </c>
      <c r="AT21" s="537">
        <f t="shared" si="12"/>
        <v>0.0063</v>
      </c>
      <c r="AU21" s="537">
        <f t="shared" si="12"/>
        <v>0.0063</v>
      </c>
      <c r="AV21" s="537">
        <f t="shared" si="12"/>
        <v>0.0063</v>
      </c>
      <c r="AW21" s="537">
        <f t="shared" si="12"/>
        <v>0.0063</v>
      </c>
      <c r="AX21" s="537">
        <f t="shared" si="12"/>
        <v>0.0063</v>
      </c>
      <c r="AY21" s="537">
        <f t="shared" si="12"/>
        <v>0.0063</v>
      </c>
      <c r="AZ21" s="537">
        <f t="shared" si="12"/>
        <v>0.0063</v>
      </c>
    </row>
    <row r="22" ht="15.0" customHeight="1">
      <c r="A22" s="834" t="s">
        <v>1118</v>
      </c>
      <c r="B22" s="177">
        <f t="shared" ref="B22:R22" si="13">C22/(1+B43-B23)</f>
        <v>4.991033637</v>
      </c>
      <c r="C22" s="177">
        <f t="shared" si="13"/>
        <v>4.991033637</v>
      </c>
      <c r="D22" s="177">
        <f t="shared" si="13"/>
        <v>4.991033637</v>
      </c>
      <c r="E22" s="177">
        <f t="shared" si="13"/>
        <v>4.991033637</v>
      </c>
      <c r="F22" s="177">
        <f t="shared" si="13"/>
        <v>4.991033637</v>
      </c>
      <c r="G22" s="177">
        <f t="shared" si="13"/>
        <v>5.07583546</v>
      </c>
      <c r="H22" s="177">
        <f t="shared" si="13"/>
        <v>5.231299234</v>
      </c>
      <c r="I22" s="177">
        <f t="shared" si="13"/>
        <v>5.512278362</v>
      </c>
      <c r="J22" s="177">
        <f t="shared" si="13"/>
        <v>5.65122524</v>
      </c>
      <c r="K22" s="177">
        <f t="shared" si="13"/>
        <v>5.87705947</v>
      </c>
      <c r="L22" s="177">
        <f t="shared" si="13"/>
        <v>5.99104</v>
      </c>
      <c r="M22" s="177">
        <f t="shared" si="13"/>
        <v>6.106561395</v>
      </c>
      <c r="N22" s="177">
        <f t="shared" si="13"/>
        <v>6.243423183</v>
      </c>
      <c r="O22" s="177">
        <f t="shared" si="13"/>
        <v>6.302395826</v>
      </c>
      <c r="P22" s="177">
        <f t="shared" si="13"/>
        <v>6.382003553</v>
      </c>
      <c r="Q22" s="177">
        <f t="shared" si="13"/>
        <v>6.604225117</v>
      </c>
      <c r="R22" s="177">
        <f t="shared" si="13"/>
        <v>6.711268783</v>
      </c>
      <c r="S22" s="732">
        <v>6.64</v>
      </c>
      <c r="T22" s="177">
        <f t="shared" ref="T22:AZ22" si="14">S22*(1+S43-S23)</f>
        <v>6.900523139</v>
      </c>
      <c r="U22" s="177">
        <f t="shared" si="14"/>
        <v>6.692343627</v>
      </c>
      <c r="V22" s="831">
        <f t="shared" si="14"/>
        <v>6.539050393</v>
      </c>
      <c r="W22" s="177">
        <f t="shared" si="14"/>
        <v>6.389268457</v>
      </c>
      <c r="X22" s="177">
        <f t="shared" si="14"/>
        <v>6.24291739</v>
      </c>
      <c r="Y22" s="177">
        <f t="shared" si="14"/>
        <v>6.099918606</v>
      </c>
      <c r="Z22" s="177">
        <f t="shared" si="14"/>
        <v>5.960195319</v>
      </c>
      <c r="AA22" s="177">
        <f t="shared" si="14"/>
        <v>5.8236725</v>
      </c>
      <c r="AB22" s="177">
        <f t="shared" si="14"/>
        <v>5.69027684</v>
      </c>
      <c r="AC22" s="177">
        <f t="shared" si="14"/>
        <v>5.678294468</v>
      </c>
      <c r="AD22" s="177">
        <f t="shared" si="14"/>
        <v>5.666337327</v>
      </c>
      <c r="AE22" s="177">
        <f t="shared" si="14"/>
        <v>5.654405366</v>
      </c>
      <c r="AF22" s="177">
        <f t="shared" si="14"/>
        <v>5.642498531</v>
      </c>
      <c r="AG22" s="177">
        <f t="shared" si="14"/>
        <v>5.630616768</v>
      </c>
      <c r="AH22" s="177">
        <f t="shared" si="14"/>
        <v>5.618760026</v>
      </c>
      <c r="AI22" s="177">
        <f t="shared" si="14"/>
        <v>5.606928251</v>
      </c>
      <c r="AJ22" s="177">
        <f t="shared" si="14"/>
        <v>5.595121391</v>
      </c>
      <c r="AK22" s="177">
        <f t="shared" si="14"/>
        <v>5.583339394</v>
      </c>
      <c r="AL22" s="177">
        <f t="shared" si="14"/>
        <v>5.571582206</v>
      </c>
      <c r="AM22" s="177">
        <f t="shared" si="14"/>
        <v>5.559849777</v>
      </c>
      <c r="AN22" s="177">
        <f t="shared" si="14"/>
        <v>5.548142053</v>
      </c>
      <c r="AO22" s="177">
        <f t="shared" si="14"/>
        <v>5.536458983</v>
      </c>
      <c r="AP22" s="177">
        <f t="shared" si="14"/>
        <v>5.524800514</v>
      </c>
      <c r="AQ22" s="177">
        <f t="shared" si="14"/>
        <v>5.513166596</v>
      </c>
      <c r="AR22" s="177">
        <f t="shared" si="14"/>
        <v>5.501557176</v>
      </c>
      <c r="AS22" s="177">
        <f t="shared" si="14"/>
        <v>5.489972202</v>
      </c>
      <c r="AT22" s="177">
        <f t="shared" si="14"/>
        <v>5.478411624</v>
      </c>
      <c r="AU22" s="177">
        <f t="shared" si="14"/>
        <v>5.46687539</v>
      </c>
      <c r="AV22" s="177">
        <f t="shared" si="14"/>
        <v>5.455363448</v>
      </c>
      <c r="AW22" s="177">
        <f t="shared" si="14"/>
        <v>5.443875748</v>
      </c>
      <c r="AX22" s="177">
        <f t="shared" si="14"/>
        <v>5.432412237</v>
      </c>
      <c r="AY22" s="177">
        <f t="shared" si="14"/>
        <v>5.420972867</v>
      </c>
      <c r="AZ22" s="177">
        <f t="shared" si="14"/>
        <v>5.409557585</v>
      </c>
    </row>
    <row r="23" ht="15.0" customHeight="1">
      <c r="A23" s="830" t="s">
        <v>72</v>
      </c>
      <c r="B23" s="832"/>
      <c r="C23" s="832"/>
      <c r="D23" s="832"/>
      <c r="E23" s="832"/>
      <c r="F23" s="832"/>
      <c r="G23" s="832"/>
      <c r="H23" s="832"/>
      <c r="I23" s="832"/>
      <c r="J23" s="832"/>
      <c r="K23" s="832"/>
      <c r="L23" s="832"/>
      <c r="M23" s="832"/>
      <c r="N23" s="832"/>
      <c r="O23" s="832"/>
      <c r="P23" s="832"/>
      <c r="Q23" s="832"/>
      <c r="R23" s="832"/>
      <c r="S23" s="832"/>
      <c r="T23" s="832">
        <f t="shared" ref="T23:U23" si="15">U23</f>
        <v>0.0428</v>
      </c>
      <c r="U23" s="832">
        <f t="shared" si="15"/>
        <v>0.0428</v>
      </c>
      <c r="V23" s="833">
        <v>0.0428</v>
      </c>
      <c r="W23" s="537">
        <f t="shared" ref="W23:AA23" si="16">V23</f>
        <v>0.0428</v>
      </c>
      <c r="X23" s="537">
        <f t="shared" si="16"/>
        <v>0.0428</v>
      </c>
      <c r="Y23" s="537">
        <f t="shared" si="16"/>
        <v>0.0428</v>
      </c>
      <c r="Z23" s="537">
        <f t="shared" si="16"/>
        <v>0.0428</v>
      </c>
      <c r="AA23" s="537">
        <f t="shared" si="16"/>
        <v>0.0428</v>
      </c>
      <c r="AB23" s="835">
        <v>0.022</v>
      </c>
      <c r="AC23" s="835">
        <f t="shared" ref="AC23:AZ23" si="17">AB23</f>
        <v>0.022</v>
      </c>
      <c r="AD23" s="835">
        <f t="shared" si="17"/>
        <v>0.022</v>
      </c>
      <c r="AE23" s="835">
        <f t="shared" si="17"/>
        <v>0.022</v>
      </c>
      <c r="AF23" s="835">
        <f t="shared" si="17"/>
        <v>0.022</v>
      </c>
      <c r="AG23" s="835">
        <f t="shared" si="17"/>
        <v>0.022</v>
      </c>
      <c r="AH23" s="835">
        <f t="shared" si="17"/>
        <v>0.022</v>
      </c>
      <c r="AI23" s="835">
        <f t="shared" si="17"/>
        <v>0.022</v>
      </c>
      <c r="AJ23" s="835">
        <f t="shared" si="17"/>
        <v>0.022</v>
      </c>
      <c r="AK23" s="835">
        <f t="shared" si="17"/>
        <v>0.022</v>
      </c>
      <c r="AL23" s="835">
        <f t="shared" si="17"/>
        <v>0.022</v>
      </c>
      <c r="AM23" s="835">
        <f t="shared" si="17"/>
        <v>0.022</v>
      </c>
      <c r="AN23" s="835">
        <f t="shared" si="17"/>
        <v>0.022</v>
      </c>
      <c r="AO23" s="835">
        <f t="shared" si="17"/>
        <v>0.022</v>
      </c>
      <c r="AP23" s="835">
        <f t="shared" si="17"/>
        <v>0.022</v>
      </c>
      <c r="AQ23" s="835">
        <f t="shared" si="17"/>
        <v>0.022</v>
      </c>
      <c r="AR23" s="835">
        <f t="shared" si="17"/>
        <v>0.022</v>
      </c>
      <c r="AS23" s="835">
        <f t="shared" si="17"/>
        <v>0.022</v>
      </c>
      <c r="AT23" s="835">
        <f t="shared" si="17"/>
        <v>0.022</v>
      </c>
      <c r="AU23" s="835">
        <f t="shared" si="17"/>
        <v>0.022</v>
      </c>
      <c r="AV23" s="835">
        <f t="shared" si="17"/>
        <v>0.022</v>
      </c>
      <c r="AW23" s="835">
        <f t="shared" si="17"/>
        <v>0.022</v>
      </c>
      <c r="AX23" s="835">
        <f t="shared" si="17"/>
        <v>0.022</v>
      </c>
      <c r="AY23" s="835">
        <f t="shared" si="17"/>
        <v>0.022</v>
      </c>
      <c r="AZ23" s="835">
        <f t="shared" si="17"/>
        <v>0.022</v>
      </c>
    </row>
    <row r="24" ht="15.0" customHeight="1">
      <c r="A24" s="830" t="s">
        <v>107</v>
      </c>
      <c r="B24" s="830"/>
      <c r="C24" s="830"/>
      <c r="D24" s="830"/>
      <c r="E24" s="830"/>
      <c r="F24" s="830"/>
      <c r="G24" s="830"/>
      <c r="H24" s="830"/>
      <c r="I24" s="830"/>
      <c r="J24" s="830"/>
      <c r="K24" s="830"/>
      <c r="L24" s="830"/>
      <c r="M24" s="830"/>
      <c r="N24" s="830"/>
      <c r="O24" s="830"/>
      <c r="P24" s="830"/>
      <c r="Q24" s="830"/>
      <c r="R24" s="830"/>
      <c r="S24" s="830"/>
      <c r="T24" s="830"/>
      <c r="U24" s="830"/>
      <c r="V24" s="716">
        <v>10.46</v>
      </c>
      <c r="W24" s="191">
        <f t="shared" ref="W24:AE24" si="18">V24-($V$24-$AF$24)/10</f>
        <v>10.46</v>
      </c>
      <c r="X24" s="191">
        <f t="shared" si="18"/>
        <v>10.46</v>
      </c>
      <c r="Y24" s="191">
        <f t="shared" si="18"/>
        <v>10.46</v>
      </c>
      <c r="Z24" s="191">
        <f t="shared" si="18"/>
        <v>10.46</v>
      </c>
      <c r="AA24" s="191">
        <f t="shared" si="18"/>
        <v>10.46</v>
      </c>
      <c r="AB24" s="191">
        <f t="shared" si="18"/>
        <v>10.46</v>
      </c>
      <c r="AC24" s="191">
        <f t="shared" si="18"/>
        <v>10.46</v>
      </c>
      <c r="AD24" s="191">
        <f t="shared" si="18"/>
        <v>10.46</v>
      </c>
      <c r="AE24" s="191">
        <f t="shared" si="18"/>
        <v>10.46</v>
      </c>
      <c r="AF24" s="836">
        <v>10.46</v>
      </c>
      <c r="AG24" s="141">
        <f t="shared" ref="AG24:AZ24" si="19">AF24</f>
        <v>10.46</v>
      </c>
      <c r="AH24" s="141">
        <f t="shared" si="19"/>
        <v>10.46</v>
      </c>
      <c r="AI24" s="141">
        <f t="shared" si="19"/>
        <v>10.46</v>
      </c>
      <c r="AJ24" s="141">
        <f t="shared" si="19"/>
        <v>10.46</v>
      </c>
      <c r="AK24" s="141">
        <f t="shared" si="19"/>
        <v>10.46</v>
      </c>
      <c r="AL24" s="141">
        <f t="shared" si="19"/>
        <v>10.46</v>
      </c>
      <c r="AM24" s="141">
        <f t="shared" si="19"/>
        <v>10.46</v>
      </c>
      <c r="AN24" s="141">
        <f t="shared" si="19"/>
        <v>10.46</v>
      </c>
      <c r="AO24" s="141">
        <f t="shared" si="19"/>
        <v>10.46</v>
      </c>
      <c r="AP24" s="141">
        <f t="shared" si="19"/>
        <v>10.46</v>
      </c>
      <c r="AQ24" s="141">
        <f t="shared" si="19"/>
        <v>10.46</v>
      </c>
      <c r="AR24" s="141">
        <f t="shared" si="19"/>
        <v>10.46</v>
      </c>
      <c r="AS24" s="141">
        <f t="shared" si="19"/>
        <v>10.46</v>
      </c>
      <c r="AT24" s="141">
        <f t="shared" si="19"/>
        <v>10.46</v>
      </c>
      <c r="AU24" s="141">
        <f t="shared" si="19"/>
        <v>10.46</v>
      </c>
      <c r="AV24" s="141">
        <f t="shared" si="19"/>
        <v>10.46</v>
      </c>
      <c r="AW24" s="141">
        <f t="shared" si="19"/>
        <v>10.46</v>
      </c>
      <c r="AX24" s="141">
        <f t="shared" si="19"/>
        <v>10.46</v>
      </c>
      <c r="AY24" s="141">
        <f t="shared" si="19"/>
        <v>10.46</v>
      </c>
      <c r="AZ24" s="141">
        <f t="shared" si="19"/>
        <v>10.46</v>
      </c>
    </row>
    <row r="25" ht="15.0" customHeight="1">
      <c r="A25" s="830" t="s">
        <v>109</v>
      </c>
      <c r="B25" s="177">
        <f t="shared" ref="B25:R25" si="20">C25/(1+B43-B26)</f>
        <v>5.863421511</v>
      </c>
      <c r="C25" s="177">
        <f t="shared" si="20"/>
        <v>5.796578505</v>
      </c>
      <c r="D25" s="177">
        <f t="shared" si="20"/>
        <v>5.73049751</v>
      </c>
      <c r="E25" s="177">
        <f t="shared" si="20"/>
        <v>5.665169839</v>
      </c>
      <c r="F25" s="177">
        <f t="shared" si="20"/>
        <v>5.600586903</v>
      </c>
      <c r="G25" s="177">
        <f t="shared" si="20"/>
        <v>5.631898854</v>
      </c>
      <c r="H25" s="177">
        <f t="shared" si="20"/>
        <v>5.740190209</v>
      </c>
      <c r="I25" s="177">
        <f t="shared" si="20"/>
        <v>5.983064291</v>
      </c>
      <c r="J25" s="177">
        <f t="shared" si="20"/>
        <v>6.065671241</v>
      </c>
      <c r="K25" s="177">
        <f t="shared" si="20"/>
        <v>6.238918908</v>
      </c>
      <c r="L25" s="177">
        <f t="shared" si="20"/>
        <v>6.288793715</v>
      </c>
      <c r="M25" s="177">
        <f t="shared" si="20"/>
        <v>6.338364257</v>
      </c>
      <c r="N25" s="177">
        <f t="shared" si="20"/>
        <v>6.408163917</v>
      </c>
      <c r="O25" s="177">
        <f t="shared" si="20"/>
        <v>6.395639559</v>
      </c>
      <c r="P25" s="177">
        <f t="shared" si="20"/>
        <v>6.403514789</v>
      </c>
      <c r="Q25" s="177">
        <f t="shared" si="20"/>
        <v>6.553485306</v>
      </c>
      <c r="R25" s="177">
        <f t="shared" si="20"/>
        <v>6.584996831</v>
      </c>
      <c r="S25" s="732">
        <v>6.44</v>
      </c>
      <c r="T25" s="177">
        <f t="shared" ref="T25:AZ25" si="21">S25*(1+S43-S26)</f>
        <v>6.619260056</v>
      </c>
      <c r="U25" s="177">
        <f t="shared" si="21"/>
        <v>6.62741064</v>
      </c>
      <c r="V25" s="831">
        <f t="shared" si="21"/>
        <v>6.683705439</v>
      </c>
      <c r="W25" s="177">
        <f t="shared" si="21"/>
        <v>6.74047842</v>
      </c>
      <c r="X25" s="177">
        <f t="shared" si="21"/>
        <v>6.797733644</v>
      </c>
      <c r="Y25" s="177">
        <f t="shared" si="21"/>
        <v>6.855475207</v>
      </c>
      <c r="Z25" s="177">
        <f t="shared" si="21"/>
        <v>6.91370724</v>
      </c>
      <c r="AA25" s="177">
        <f t="shared" si="21"/>
        <v>6.972433911</v>
      </c>
      <c r="AB25" s="177">
        <f t="shared" si="21"/>
        <v>7.03165942</v>
      </c>
      <c r="AC25" s="177">
        <f t="shared" si="21"/>
        <v>7.091388004</v>
      </c>
      <c r="AD25" s="177">
        <f t="shared" si="21"/>
        <v>7.151623937</v>
      </c>
      <c r="AE25" s="177">
        <f t="shared" si="21"/>
        <v>7.212371528</v>
      </c>
      <c r="AF25" s="177">
        <f t="shared" si="21"/>
        <v>7.273635124</v>
      </c>
      <c r="AG25" s="177">
        <f t="shared" si="21"/>
        <v>7.335419108</v>
      </c>
      <c r="AH25" s="177">
        <f t="shared" si="21"/>
        <v>7.397727899</v>
      </c>
      <c r="AI25" s="177">
        <f t="shared" si="21"/>
        <v>7.460565956</v>
      </c>
      <c r="AJ25" s="177">
        <f t="shared" si="21"/>
        <v>7.523937774</v>
      </c>
      <c r="AK25" s="177">
        <f t="shared" si="21"/>
        <v>7.587847887</v>
      </c>
      <c r="AL25" s="177">
        <f t="shared" si="21"/>
        <v>7.652300869</v>
      </c>
      <c r="AM25" s="177">
        <f t="shared" si="21"/>
        <v>7.717301329</v>
      </c>
      <c r="AN25" s="177">
        <f t="shared" si="21"/>
        <v>7.782853918</v>
      </c>
      <c r="AO25" s="177">
        <f t="shared" si="21"/>
        <v>7.848963327</v>
      </c>
      <c r="AP25" s="177">
        <f t="shared" si="21"/>
        <v>7.915634285</v>
      </c>
      <c r="AQ25" s="177">
        <f t="shared" si="21"/>
        <v>7.982871561</v>
      </c>
      <c r="AR25" s="177">
        <f t="shared" si="21"/>
        <v>8.050679967</v>
      </c>
      <c r="AS25" s="177">
        <f t="shared" si="21"/>
        <v>8.119064354</v>
      </c>
      <c r="AT25" s="177">
        <f t="shared" si="21"/>
        <v>8.188029614</v>
      </c>
      <c r="AU25" s="177">
        <f t="shared" si="21"/>
        <v>8.257580681</v>
      </c>
      <c r="AV25" s="177">
        <f t="shared" si="21"/>
        <v>8.327722532</v>
      </c>
      <c r="AW25" s="177">
        <f t="shared" si="21"/>
        <v>8.398460184</v>
      </c>
      <c r="AX25" s="177">
        <f t="shared" si="21"/>
        <v>8.469798698</v>
      </c>
      <c r="AY25" s="177">
        <f t="shared" si="21"/>
        <v>8.541743179</v>
      </c>
      <c r="AZ25" s="177">
        <f t="shared" si="21"/>
        <v>8.614298773</v>
      </c>
    </row>
    <row r="26" ht="15.0" customHeight="1">
      <c r="A26" s="830" t="s">
        <v>1119</v>
      </c>
      <c r="B26" s="832">
        <f t="shared" ref="B26:U26" si="22">C26</f>
        <v>0.0114</v>
      </c>
      <c r="C26" s="832">
        <f t="shared" si="22"/>
        <v>0.0114</v>
      </c>
      <c r="D26" s="832">
        <f t="shared" si="22"/>
        <v>0.0114</v>
      </c>
      <c r="E26" s="832">
        <f t="shared" si="22"/>
        <v>0.0114</v>
      </c>
      <c r="F26" s="832">
        <f t="shared" si="22"/>
        <v>0.0114</v>
      </c>
      <c r="G26" s="832">
        <f t="shared" si="22"/>
        <v>0.0114</v>
      </c>
      <c r="H26" s="832">
        <f t="shared" si="22"/>
        <v>0.0114</v>
      </c>
      <c r="I26" s="832">
        <f t="shared" si="22"/>
        <v>0.0114</v>
      </c>
      <c r="J26" s="832">
        <f t="shared" si="22"/>
        <v>0.0114</v>
      </c>
      <c r="K26" s="832">
        <f t="shared" si="22"/>
        <v>0.0114</v>
      </c>
      <c r="L26" s="832">
        <f t="shared" si="22"/>
        <v>0.0114</v>
      </c>
      <c r="M26" s="832">
        <f t="shared" si="22"/>
        <v>0.0114</v>
      </c>
      <c r="N26" s="832">
        <f t="shared" si="22"/>
        <v>0.0114</v>
      </c>
      <c r="O26" s="832">
        <f t="shared" si="22"/>
        <v>0.0114</v>
      </c>
      <c r="P26" s="832">
        <f t="shared" si="22"/>
        <v>0.0114</v>
      </c>
      <c r="Q26" s="832">
        <f t="shared" si="22"/>
        <v>0.0114</v>
      </c>
      <c r="R26" s="832">
        <f t="shared" si="22"/>
        <v>0.0114</v>
      </c>
      <c r="S26" s="832">
        <f t="shared" si="22"/>
        <v>0.0114</v>
      </c>
      <c r="T26" s="832">
        <f t="shared" si="22"/>
        <v>0.0114</v>
      </c>
      <c r="U26" s="832">
        <f t="shared" si="22"/>
        <v>0.0114</v>
      </c>
      <c r="V26" s="833">
        <v>0.0114</v>
      </c>
      <c r="W26" s="710">
        <f t="shared" ref="W26:AZ26" si="23">V26</f>
        <v>0.0114</v>
      </c>
      <c r="X26" s="710">
        <f t="shared" si="23"/>
        <v>0.0114</v>
      </c>
      <c r="Y26" s="710">
        <f t="shared" si="23"/>
        <v>0.0114</v>
      </c>
      <c r="Z26" s="710">
        <f t="shared" si="23"/>
        <v>0.0114</v>
      </c>
      <c r="AA26" s="710">
        <f t="shared" si="23"/>
        <v>0.0114</v>
      </c>
      <c r="AB26" s="710">
        <f t="shared" si="23"/>
        <v>0.0114</v>
      </c>
      <c r="AC26" s="710">
        <f t="shared" si="23"/>
        <v>0.0114</v>
      </c>
      <c r="AD26" s="710">
        <f t="shared" si="23"/>
        <v>0.0114</v>
      </c>
      <c r="AE26" s="710">
        <f t="shared" si="23"/>
        <v>0.0114</v>
      </c>
      <c r="AF26" s="710">
        <f t="shared" si="23"/>
        <v>0.0114</v>
      </c>
      <c r="AG26" s="710">
        <f t="shared" si="23"/>
        <v>0.0114</v>
      </c>
      <c r="AH26" s="710">
        <f t="shared" si="23"/>
        <v>0.0114</v>
      </c>
      <c r="AI26" s="710">
        <f t="shared" si="23"/>
        <v>0.0114</v>
      </c>
      <c r="AJ26" s="710">
        <f t="shared" si="23"/>
        <v>0.0114</v>
      </c>
      <c r="AK26" s="710">
        <f t="shared" si="23"/>
        <v>0.0114</v>
      </c>
      <c r="AL26" s="710">
        <f t="shared" si="23"/>
        <v>0.0114</v>
      </c>
      <c r="AM26" s="710">
        <f t="shared" si="23"/>
        <v>0.0114</v>
      </c>
      <c r="AN26" s="710">
        <f t="shared" si="23"/>
        <v>0.0114</v>
      </c>
      <c r="AO26" s="710">
        <f t="shared" si="23"/>
        <v>0.0114</v>
      </c>
      <c r="AP26" s="710">
        <f t="shared" si="23"/>
        <v>0.0114</v>
      </c>
      <c r="AQ26" s="710">
        <f t="shared" si="23"/>
        <v>0.0114</v>
      </c>
      <c r="AR26" s="710">
        <f t="shared" si="23"/>
        <v>0.0114</v>
      </c>
      <c r="AS26" s="710">
        <f t="shared" si="23"/>
        <v>0.0114</v>
      </c>
      <c r="AT26" s="710">
        <f t="shared" si="23"/>
        <v>0.0114</v>
      </c>
      <c r="AU26" s="710">
        <f t="shared" si="23"/>
        <v>0.0114</v>
      </c>
      <c r="AV26" s="710">
        <f t="shared" si="23"/>
        <v>0.0114</v>
      </c>
      <c r="AW26" s="710">
        <f t="shared" si="23"/>
        <v>0.0114</v>
      </c>
      <c r="AX26" s="710">
        <f t="shared" si="23"/>
        <v>0.0114</v>
      </c>
      <c r="AY26" s="710">
        <f t="shared" si="23"/>
        <v>0.0114</v>
      </c>
      <c r="AZ26" s="710">
        <f t="shared" si="23"/>
        <v>0.0114</v>
      </c>
    </row>
    <row r="27" ht="15.0" customHeight="1">
      <c r="A27" s="535" t="s">
        <v>111</v>
      </c>
      <c r="B27" s="535"/>
      <c r="C27" s="535"/>
      <c r="D27" s="535"/>
      <c r="E27" s="535"/>
      <c r="F27" s="535"/>
      <c r="G27" s="535"/>
      <c r="H27" s="535"/>
      <c r="I27" s="535"/>
      <c r="J27" s="535"/>
      <c r="K27" s="535"/>
      <c r="L27" s="535"/>
      <c r="M27" s="535"/>
      <c r="N27" s="535"/>
      <c r="O27" s="535"/>
      <c r="P27" s="535"/>
      <c r="Q27" s="535"/>
      <c r="R27" s="535"/>
      <c r="S27" s="535"/>
      <c r="T27" s="535"/>
      <c r="U27" s="535"/>
      <c r="V27" s="715"/>
      <c r="W27" s="177"/>
      <c r="X27" s="177"/>
      <c r="Y27" s="177"/>
      <c r="Z27" s="177"/>
      <c r="AA27" s="177"/>
      <c r="AB27" s="177"/>
      <c r="AC27" s="177"/>
      <c r="AD27" s="177"/>
      <c r="AE27" s="177"/>
      <c r="AF27" s="177"/>
      <c r="AG27" s="177"/>
      <c r="AH27" s="177"/>
      <c r="AI27" s="177"/>
      <c r="AJ27" s="177"/>
      <c r="AK27" s="177"/>
      <c r="AL27" s="177"/>
      <c r="AM27" s="177"/>
      <c r="AN27" s="177"/>
      <c r="AO27" s="177"/>
      <c r="AP27" s="177"/>
      <c r="AQ27" s="177"/>
      <c r="AR27" s="177"/>
      <c r="AS27" s="177"/>
      <c r="AT27" s="177"/>
      <c r="AU27" s="177"/>
      <c r="AV27" s="177"/>
      <c r="AW27" s="177"/>
      <c r="AX27" s="177"/>
      <c r="AY27" s="177"/>
      <c r="AZ27" s="177"/>
    </row>
    <row r="28" ht="15.0" customHeight="1">
      <c r="A28" s="728" t="s">
        <v>1007</v>
      </c>
      <c r="B28" s="410"/>
      <c r="C28" s="410"/>
      <c r="D28" s="410"/>
      <c r="E28" s="410"/>
      <c r="F28" s="410"/>
      <c r="G28" s="410"/>
      <c r="H28" s="410"/>
      <c r="I28" s="410"/>
      <c r="J28" s="410"/>
      <c r="K28" s="410"/>
      <c r="L28" s="410"/>
      <c r="M28" s="410"/>
      <c r="N28" s="410"/>
      <c r="O28" s="410"/>
      <c r="P28" s="410"/>
      <c r="Q28" s="410"/>
      <c r="R28" s="410"/>
      <c r="S28" s="410"/>
      <c r="T28" s="410"/>
      <c r="U28" s="535"/>
      <c r="V28" s="837">
        <v>350000.0</v>
      </c>
      <c r="W28" s="208"/>
      <c r="X28" s="208"/>
      <c r="Y28" s="208"/>
      <c r="Z28" s="208"/>
      <c r="AA28" s="208"/>
      <c r="AB28" s="208"/>
      <c r="AC28" s="208"/>
      <c r="AD28" s="208"/>
      <c r="AE28" s="208"/>
      <c r="AF28" s="208"/>
      <c r="AG28" s="208"/>
      <c r="AH28" s="208"/>
      <c r="AI28" s="208"/>
      <c r="AJ28" s="208"/>
      <c r="AK28" s="208"/>
      <c r="AL28" s="208"/>
      <c r="AM28" s="208"/>
      <c r="AN28" s="208"/>
      <c r="AO28" s="208"/>
      <c r="AP28" s="208"/>
      <c r="AQ28" s="208"/>
      <c r="AR28" s="208"/>
      <c r="AS28" s="208"/>
      <c r="AT28" s="208"/>
      <c r="AU28" s="208"/>
      <c r="AV28" s="208"/>
      <c r="AW28" s="208"/>
      <c r="AX28" s="208"/>
      <c r="AY28" s="208"/>
      <c r="AZ28" s="208"/>
    </row>
    <row r="29" ht="15.0" customHeight="1">
      <c r="A29" s="535" t="s">
        <v>112</v>
      </c>
      <c r="B29" s="546">
        <v>0.35</v>
      </c>
      <c r="C29" s="546">
        <v>0.35</v>
      </c>
      <c r="D29" s="546">
        <v>0.35</v>
      </c>
      <c r="E29" s="546">
        <v>0.35</v>
      </c>
      <c r="F29" s="546">
        <v>0.35</v>
      </c>
      <c r="G29" s="546">
        <v>0.35</v>
      </c>
      <c r="H29" s="546">
        <v>0.35</v>
      </c>
      <c r="I29" s="546">
        <v>0.35</v>
      </c>
      <c r="J29" s="546">
        <v>0.35</v>
      </c>
      <c r="K29" s="546">
        <v>0.35</v>
      </c>
      <c r="L29" s="546">
        <v>0.35</v>
      </c>
      <c r="M29" s="546">
        <v>0.35</v>
      </c>
      <c r="N29" s="546">
        <v>0.35</v>
      </c>
      <c r="O29" s="546">
        <v>0.35</v>
      </c>
      <c r="P29" s="546">
        <v>0.35</v>
      </c>
      <c r="Q29" s="546">
        <v>0.35</v>
      </c>
      <c r="R29" s="546">
        <v>0.35</v>
      </c>
      <c r="S29" s="546">
        <v>0.35</v>
      </c>
      <c r="T29" s="546">
        <v>0.21</v>
      </c>
      <c r="U29" s="546">
        <v>0.21</v>
      </c>
      <c r="V29" s="547">
        <v>0.21</v>
      </c>
      <c r="W29" s="208">
        <f t="shared" ref="W29:AZ29" si="24">V29</f>
        <v>0.21</v>
      </c>
      <c r="X29" s="208">
        <f t="shared" si="24"/>
        <v>0.21</v>
      </c>
      <c r="Y29" s="208">
        <f t="shared" si="24"/>
        <v>0.21</v>
      </c>
      <c r="Z29" s="208">
        <f t="shared" si="24"/>
        <v>0.21</v>
      </c>
      <c r="AA29" s="208">
        <f t="shared" si="24"/>
        <v>0.21</v>
      </c>
      <c r="AB29" s="208">
        <f t="shared" si="24"/>
        <v>0.21</v>
      </c>
      <c r="AC29" s="208">
        <f t="shared" si="24"/>
        <v>0.21</v>
      </c>
      <c r="AD29" s="208">
        <f t="shared" si="24"/>
        <v>0.21</v>
      </c>
      <c r="AE29" s="208">
        <f t="shared" si="24"/>
        <v>0.21</v>
      </c>
      <c r="AF29" s="208">
        <f t="shared" si="24"/>
        <v>0.21</v>
      </c>
      <c r="AG29" s="208">
        <f t="shared" si="24"/>
        <v>0.21</v>
      </c>
      <c r="AH29" s="208">
        <f t="shared" si="24"/>
        <v>0.21</v>
      </c>
      <c r="AI29" s="208">
        <f t="shared" si="24"/>
        <v>0.21</v>
      </c>
      <c r="AJ29" s="208">
        <f t="shared" si="24"/>
        <v>0.21</v>
      </c>
      <c r="AK29" s="208">
        <f t="shared" si="24"/>
        <v>0.21</v>
      </c>
      <c r="AL29" s="208">
        <f t="shared" si="24"/>
        <v>0.21</v>
      </c>
      <c r="AM29" s="208">
        <f t="shared" si="24"/>
        <v>0.21</v>
      </c>
      <c r="AN29" s="208">
        <f t="shared" si="24"/>
        <v>0.21</v>
      </c>
      <c r="AO29" s="208">
        <f t="shared" si="24"/>
        <v>0.21</v>
      </c>
      <c r="AP29" s="208">
        <f t="shared" si="24"/>
        <v>0.21</v>
      </c>
      <c r="AQ29" s="208">
        <f t="shared" si="24"/>
        <v>0.21</v>
      </c>
      <c r="AR29" s="208">
        <f t="shared" si="24"/>
        <v>0.21</v>
      </c>
      <c r="AS29" s="208">
        <f t="shared" si="24"/>
        <v>0.21</v>
      </c>
      <c r="AT29" s="208">
        <f t="shared" si="24"/>
        <v>0.21</v>
      </c>
      <c r="AU29" s="208">
        <f t="shared" si="24"/>
        <v>0.21</v>
      </c>
      <c r="AV29" s="208">
        <f t="shared" si="24"/>
        <v>0.21</v>
      </c>
      <c r="AW29" s="208">
        <f t="shared" si="24"/>
        <v>0.21</v>
      </c>
      <c r="AX29" s="208">
        <f t="shared" si="24"/>
        <v>0.21</v>
      </c>
      <c r="AY29" s="208">
        <f t="shared" si="24"/>
        <v>0.21</v>
      </c>
      <c r="AZ29" s="208">
        <f t="shared" si="24"/>
        <v>0.21</v>
      </c>
    </row>
    <row r="30" ht="15.0" customHeight="1">
      <c r="A30" s="535" t="s">
        <v>114</v>
      </c>
      <c r="B30" s="535"/>
      <c r="C30" s="535"/>
      <c r="D30" s="535"/>
      <c r="E30" s="535"/>
      <c r="F30" s="535"/>
      <c r="G30" s="535"/>
      <c r="H30" s="535"/>
      <c r="I30" s="535"/>
      <c r="J30" s="535"/>
      <c r="K30" s="535"/>
      <c r="L30" s="535"/>
      <c r="M30" s="535"/>
      <c r="N30" s="535"/>
      <c r="O30" s="535"/>
      <c r="P30" s="535"/>
      <c r="Q30" s="535"/>
      <c r="R30" s="535"/>
      <c r="S30" s="535"/>
      <c r="T30" s="535"/>
      <c r="U30" s="535"/>
      <c r="V30" s="715">
        <v>1.07</v>
      </c>
      <c r="W30" s="177">
        <f t="shared" ref="W30:AZ30" si="25">V30*(1+V43)</f>
        <v>1.091286834</v>
      </c>
      <c r="X30" s="177">
        <f t="shared" si="25"/>
        <v>1.112997153</v>
      </c>
      <c r="Y30" s="177">
        <f t="shared" si="25"/>
        <v>1.135139383</v>
      </c>
      <c r="Z30" s="177">
        <f t="shared" si="25"/>
        <v>1.157722115</v>
      </c>
      <c r="AA30" s="177">
        <f t="shared" si="25"/>
        <v>1.180754114</v>
      </c>
      <c r="AB30" s="177">
        <f t="shared" si="25"/>
        <v>1.204244316</v>
      </c>
      <c r="AC30" s="177">
        <f t="shared" si="25"/>
        <v>1.228201839</v>
      </c>
      <c r="AD30" s="177">
        <f t="shared" si="25"/>
        <v>1.252635978</v>
      </c>
      <c r="AE30" s="177">
        <f t="shared" si="25"/>
        <v>1.277556215</v>
      </c>
      <c r="AF30" s="177">
        <f t="shared" si="25"/>
        <v>1.302972222</v>
      </c>
      <c r="AG30" s="177">
        <f t="shared" si="25"/>
        <v>1.32889386</v>
      </c>
      <c r="AH30" s="177">
        <f t="shared" si="25"/>
        <v>1.35533119</v>
      </c>
      <c r="AI30" s="177">
        <f t="shared" si="25"/>
        <v>1.382294471</v>
      </c>
      <c r="AJ30" s="177">
        <f t="shared" si="25"/>
        <v>1.409794165</v>
      </c>
      <c r="AK30" s="177">
        <f t="shared" si="25"/>
        <v>1.437840945</v>
      </c>
      <c r="AL30" s="177">
        <f t="shared" si="25"/>
        <v>1.466445694</v>
      </c>
      <c r="AM30" s="177">
        <f t="shared" si="25"/>
        <v>1.495619513</v>
      </c>
      <c r="AN30" s="177">
        <f t="shared" si="25"/>
        <v>1.525373722</v>
      </c>
      <c r="AO30" s="177">
        <f t="shared" si="25"/>
        <v>1.555719869</v>
      </c>
      <c r="AP30" s="177">
        <f t="shared" si="25"/>
        <v>1.58666973</v>
      </c>
      <c r="AQ30" s="177">
        <f t="shared" si="25"/>
        <v>1.618235314</v>
      </c>
      <c r="AR30" s="177">
        <f t="shared" si="25"/>
        <v>1.650428871</v>
      </c>
      <c r="AS30" s="177">
        <f t="shared" si="25"/>
        <v>1.683262895</v>
      </c>
      <c r="AT30" s="177">
        <f t="shared" si="25"/>
        <v>1.716750127</v>
      </c>
      <c r="AU30" s="177">
        <f t="shared" si="25"/>
        <v>1.750903561</v>
      </c>
      <c r="AV30" s="177">
        <f t="shared" si="25"/>
        <v>1.785736452</v>
      </c>
      <c r="AW30" s="177">
        <f t="shared" si="25"/>
        <v>1.821262317</v>
      </c>
      <c r="AX30" s="177">
        <f t="shared" si="25"/>
        <v>1.857494942</v>
      </c>
      <c r="AY30" s="177">
        <f t="shared" si="25"/>
        <v>1.894448387</v>
      </c>
      <c r="AZ30" s="177">
        <f t="shared" si="25"/>
        <v>1.932136993</v>
      </c>
    </row>
    <row r="31" ht="15.0" customHeight="1">
      <c r="A31" s="535" t="s">
        <v>116</v>
      </c>
      <c r="B31" s="535"/>
      <c r="C31" s="535"/>
      <c r="D31" s="535"/>
      <c r="E31" s="535"/>
      <c r="F31" s="535"/>
      <c r="G31" s="535"/>
      <c r="H31" s="535"/>
      <c r="I31" s="535"/>
      <c r="J31" s="535"/>
      <c r="K31" s="535"/>
      <c r="L31" s="535"/>
      <c r="M31" s="535"/>
      <c r="N31" s="535"/>
      <c r="O31" s="535"/>
      <c r="P31" s="535"/>
      <c r="Q31" s="535"/>
      <c r="R31" s="535"/>
      <c r="S31" s="535"/>
      <c r="T31" s="535"/>
      <c r="U31" s="535"/>
      <c r="V31" s="712">
        <v>35.0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119</v>
      </c>
      <c r="B32" s="535"/>
      <c r="C32" s="535"/>
      <c r="D32" s="535"/>
      <c r="E32" s="535"/>
      <c r="F32" s="535"/>
      <c r="G32" s="535"/>
      <c r="H32" s="535"/>
      <c r="I32" s="535"/>
      <c r="J32" s="535"/>
      <c r="K32" s="535"/>
      <c r="L32" s="535"/>
      <c r="M32" s="535"/>
      <c r="N32" s="535"/>
      <c r="O32" s="535"/>
      <c r="P32" s="535"/>
      <c r="Q32" s="535"/>
      <c r="R32" s="535"/>
      <c r="S32" s="535"/>
      <c r="T32" s="535"/>
      <c r="U32" s="535"/>
      <c r="V32" s="712">
        <v>60.0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121</v>
      </c>
      <c r="B33" s="535"/>
      <c r="C33" s="535"/>
      <c r="D33" s="535"/>
      <c r="E33" s="535"/>
      <c r="F33" s="535"/>
      <c r="G33" s="535"/>
      <c r="H33" s="535"/>
      <c r="I33" s="535"/>
      <c r="J33" s="535"/>
      <c r="K33" s="535"/>
      <c r="L33" s="535"/>
      <c r="M33" s="535"/>
      <c r="N33" s="535"/>
      <c r="O33" s="535"/>
      <c r="P33" s="535"/>
      <c r="Q33" s="535"/>
      <c r="R33" s="535"/>
      <c r="S33" s="535"/>
      <c r="T33" s="535"/>
      <c r="U33" s="535"/>
      <c r="V33" s="712">
        <v>33.0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535" t="s">
        <v>122</v>
      </c>
      <c r="B34" s="535"/>
      <c r="C34" s="535"/>
      <c r="D34" s="535"/>
      <c r="E34" s="535"/>
      <c r="F34" s="535"/>
      <c r="G34" s="535"/>
      <c r="H34" s="535"/>
      <c r="I34" s="535"/>
      <c r="J34" s="535"/>
      <c r="K34" s="535"/>
      <c r="L34" s="535"/>
      <c r="M34" s="535"/>
      <c r="N34" s="535"/>
      <c r="O34" s="535"/>
      <c r="P34" s="535"/>
      <c r="Q34" s="535"/>
      <c r="R34" s="535"/>
      <c r="S34" s="535"/>
      <c r="T34" s="535"/>
      <c r="U34" s="535"/>
      <c r="V34" s="712">
        <v>37.0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174" t="s">
        <v>123</v>
      </c>
      <c r="B35" s="174"/>
      <c r="C35" s="174"/>
      <c r="D35" s="174"/>
      <c r="E35" s="174"/>
      <c r="F35" s="174"/>
      <c r="G35" s="174"/>
      <c r="H35" s="174"/>
      <c r="I35" s="174"/>
      <c r="J35" s="174"/>
      <c r="K35" s="174"/>
      <c r="L35" s="174"/>
      <c r="M35" s="174"/>
      <c r="N35" s="174"/>
      <c r="O35" s="174"/>
      <c r="P35" s="174"/>
      <c r="Q35" s="174"/>
      <c r="R35" s="174"/>
      <c r="S35" s="174"/>
      <c r="T35" s="174"/>
      <c r="U35" s="174"/>
      <c r="V35" s="705"/>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126</v>
      </c>
      <c r="B36" s="730">
        <f>'Inflation GDP Population'!B2</f>
        <v>96.994687</v>
      </c>
      <c r="C36" s="730">
        <f>'Inflation GDP Population'!C2</f>
        <v>82.56180237</v>
      </c>
      <c r="D36" s="730">
        <f>'Inflation GDP Population'!D2</f>
        <v>92.42298883</v>
      </c>
      <c r="E36" s="730">
        <f>'Inflation GDP Population'!E2</f>
        <v>85.643903</v>
      </c>
      <c r="F36" s="730">
        <f>'Inflation GDP Population'!F2</f>
        <v>81.32479157</v>
      </c>
      <c r="G36" s="730">
        <f>'Inflation GDP Population'!G2</f>
        <v>82.28505158</v>
      </c>
      <c r="H36" s="730">
        <f>'Inflation GDP Population'!H2</f>
        <v>73.13235237</v>
      </c>
      <c r="I36" s="730">
        <f>'Inflation GDP Population'!I2</f>
        <v>75.17834992</v>
      </c>
      <c r="J36" s="730">
        <f>'Inflation GDP Population'!J2</f>
        <v>77.56686895</v>
      </c>
      <c r="K36" s="730">
        <f>'Inflation GDP Population'!K2</f>
        <v>67.39705426</v>
      </c>
      <c r="L36" s="730">
        <f>'Inflation GDP Population'!L2</f>
        <v>69.35926131</v>
      </c>
      <c r="M36" s="730">
        <f>'Inflation GDP Population'!M2</f>
        <v>69.14964738</v>
      </c>
      <c r="N36" s="730">
        <f>'Inflation GDP Population'!N2</f>
        <v>66.07741069</v>
      </c>
      <c r="O36" s="730">
        <f>'Inflation GDP Population'!O2</f>
        <v>68.66764955</v>
      </c>
      <c r="P36" s="730">
        <f>'Inflation GDP Population'!P2</f>
        <v>67.61337449</v>
      </c>
      <c r="Q36" s="730">
        <f>'Inflation GDP Population'!Q2</f>
        <v>63.51929276</v>
      </c>
      <c r="R36" s="730">
        <f>'Inflation GDP Population'!R2</f>
        <v>65.2</v>
      </c>
      <c r="S36" s="730">
        <f>'Inflation GDP Population'!S2</f>
        <v>62.54</v>
      </c>
      <c r="T36" s="730">
        <f>'Inflation GDP Population'!T2</f>
        <v>62.8</v>
      </c>
      <c r="U36" s="730">
        <f>'Inflation GDP Population'!U2</f>
        <v>62.22</v>
      </c>
      <c r="V36" s="730">
        <f>'Inflation GDP Population'!V2</f>
        <v>63.24546</v>
      </c>
      <c r="W36" s="730">
        <f>'Inflation GDP Population'!W2</f>
        <v>62.18788</v>
      </c>
      <c r="X36" s="730">
        <f>'Inflation GDP Population'!X2</f>
        <v>61.28391</v>
      </c>
      <c r="Y36" s="730">
        <f>'Inflation GDP Population'!Y2</f>
        <v>60.78271</v>
      </c>
      <c r="Z36" s="730">
        <f>'Inflation GDP Population'!Z2</f>
        <v>60.47005</v>
      </c>
      <c r="AA36" s="730">
        <f>'Inflation GDP Population'!AA2</f>
        <v>60.72605</v>
      </c>
      <c r="AB36" s="730">
        <f>'Inflation GDP Population'!AB2</f>
        <v>60.32351</v>
      </c>
      <c r="AC36" s="730">
        <f>'Inflation GDP Population'!AC2</f>
        <v>60.15475</v>
      </c>
      <c r="AD36" s="730">
        <f>'Inflation GDP Population'!AD2</f>
        <v>59.91858</v>
      </c>
      <c r="AE36" s="730">
        <f>'Inflation GDP Population'!AE2</f>
        <v>59.74736</v>
      </c>
      <c r="AF36" s="730">
        <f>'Inflation GDP Population'!AF2</f>
        <v>59.57172</v>
      </c>
      <c r="AG36" s="730">
        <f>'Inflation GDP Population'!AG2</f>
        <v>59.4622</v>
      </c>
      <c r="AH36" s="730">
        <f>'Inflation GDP Population'!AH2</f>
        <v>59.09818</v>
      </c>
      <c r="AI36" s="730">
        <f>'Inflation GDP Population'!AI2</f>
        <v>58.69071</v>
      </c>
      <c r="AJ36" s="730">
        <f>'Inflation GDP Population'!AJ2</f>
        <v>58.27968</v>
      </c>
      <c r="AK36" s="730">
        <f>'Inflation GDP Population'!AK2</f>
        <v>57.94539</v>
      </c>
      <c r="AL36" s="730">
        <f>'Inflation GDP Population'!AL2</f>
        <v>57.82228</v>
      </c>
      <c r="AM36" s="730">
        <f>'Inflation GDP Population'!AM2</f>
        <v>57.6393</v>
      </c>
      <c r="AN36" s="730">
        <f>'Inflation GDP Population'!AN2</f>
        <v>57.61822</v>
      </c>
      <c r="AO36" s="730">
        <f>'Inflation GDP Population'!AO2</f>
        <v>57.58316</v>
      </c>
      <c r="AP36" s="730">
        <f>'Inflation GDP Population'!AP2</f>
        <v>57.42865</v>
      </c>
      <c r="AQ36" s="730">
        <f>'Inflation GDP Population'!AQ2</f>
        <v>57.21256</v>
      </c>
      <c r="AR36" s="730">
        <f>'Inflation GDP Population'!AR2</f>
        <v>56.95737</v>
      </c>
      <c r="AS36" s="730">
        <f>'Inflation GDP Population'!AS2</f>
        <v>56.72602</v>
      </c>
      <c r="AT36" s="730">
        <f>'Inflation GDP Population'!AT2</f>
        <v>56.5327</v>
      </c>
      <c r="AU36" s="730">
        <f>'Inflation GDP Population'!AU2</f>
        <v>56.32994</v>
      </c>
      <c r="AV36" s="730">
        <f>'Inflation GDP Population'!AV2</f>
        <v>56.00807</v>
      </c>
      <c r="AW36" s="730">
        <f>'Inflation GDP Population'!AW2</f>
        <v>55.85328</v>
      </c>
      <c r="AX36" s="730">
        <f>'Inflation GDP Population'!AX2</f>
        <v>56.44464</v>
      </c>
      <c r="AY36" s="730">
        <f>'Inflation GDP Population'!AY2</f>
        <v>56.52391</v>
      </c>
      <c r="AZ36" s="730">
        <f>'Inflation GDP Population'!AZ2</f>
        <v>56.24409</v>
      </c>
    </row>
    <row r="37" ht="15.0" customHeight="1">
      <c r="A37" s="535" t="s">
        <v>128</v>
      </c>
      <c r="B37" s="730">
        <f>'Inflation GDP Population'!B3</f>
        <v>66.9366</v>
      </c>
      <c r="C37" s="730">
        <f>'Inflation GDP Population'!C3</f>
        <v>68.5627</v>
      </c>
      <c r="D37" s="730">
        <f>'Inflation GDP Population'!D3</f>
        <v>61.9876</v>
      </c>
      <c r="E37" s="730">
        <f>'Inflation GDP Population'!E3</f>
        <v>75.3499</v>
      </c>
      <c r="F37" s="730">
        <f>'Inflation GDP Population'!F3</f>
        <v>79.1677</v>
      </c>
      <c r="G37" s="730">
        <f>'Inflation GDP Population'!G3</f>
        <v>95.8529</v>
      </c>
      <c r="H37" s="730">
        <f>'Inflation GDP Population'!H3</f>
        <v>86.2377</v>
      </c>
      <c r="I37" s="730">
        <f>'Inflation GDP Population'!I3</f>
        <v>87.6517</v>
      </c>
      <c r="J37" s="730">
        <f>'Inflation GDP Population'!J3</f>
        <v>101.4382</v>
      </c>
      <c r="K37" s="730">
        <f>'Inflation GDP Population'!K3</f>
        <v>70.8251</v>
      </c>
      <c r="L37" s="730">
        <f>'Inflation GDP Population'!L3</f>
        <v>73.2289</v>
      </c>
      <c r="M37" s="730">
        <f>'Inflation GDP Population'!M3</f>
        <v>70.5423</v>
      </c>
      <c r="N37" s="730">
        <f>'Inflation GDP Population'!N3</f>
        <v>60.9978</v>
      </c>
      <c r="O37" s="730">
        <f>'Inflation GDP Population'!O3</f>
        <v>67.7143</v>
      </c>
      <c r="P37" s="730">
        <f>'Inflation GDP Population'!P3</f>
        <v>72.6633</v>
      </c>
      <c r="Q37" s="730">
        <f>'Inflation GDP Population'!Q3</f>
        <v>59.8666</v>
      </c>
      <c r="R37" s="730">
        <f>'Inflation GDP Population'!R3</f>
        <v>64.07</v>
      </c>
      <c r="S37" s="730">
        <f>'Inflation GDP Population'!S3</f>
        <v>62.54</v>
      </c>
      <c r="T37" s="730">
        <f>'Inflation GDP Population'!T3</f>
        <v>64.2</v>
      </c>
      <c r="U37" s="730">
        <f>'Inflation GDP Population'!U3</f>
        <v>65.09</v>
      </c>
      <c r="V37" s="730">
        <f>'Inflation GDP Population'!V3</f>
        <v>67.89328</v>
      </c>
      <c r="W37" s="730">
        <f>'Inflation GDP Population'!W3</f>
        <v>68.40823</v>
      </c>
      <c r="X37" s="730">
        <f>'Inflation GDP Population'!X3</f>
        <v>69.03984</v>
      </c>
      <c r="Y37" s="730">
        <f>'Inflation GDP Population'!Y3</f>
        <v>70.16593</v>
      </c>
      <c r="Z37" s="730">
        <f>'Inflation GDP Population'!Z3</f>
        <v>71.49954</v>
      </c>
      <c r="AA37" s="730">
        <f>'Inflation GDP Population'!AA3</f>
        <v>73.51659</v>
      </c>
      <c r="AB37" s="730">
        <f>'Inflation GDP Population'!AB3</f>
        <v>74.70362</v>
      </c>
      <c r="AC37" s="730">
        <f>'Inflation GDP Population'!AC3</f>
        <v>76.17161</v>
      </c>
      <c r="AD37" s="730">
        <f>'Inflation GDP Population'!AD3</f>
        <v>77.50948</v>
      </c>
      <c r="AE37" s="730">
        <f>'Inflation GDP Population'!AE3</f>
        <v>78.93703</v>
      </c>
      <c r="AF37" s="730">
        <f>'Inflation GDP Population'!AF3</f>
        <v>80.39476</v>
      </c>
      <c r="AG37" s="730">
        <f>'Inflation GDP Population'!AG3</f>
        <v>81.99922</v>
      </c>
      <c r="AH37" s="730">
        <f>'Inflation GDP Population'!AH3</f>
        <v>83.28815</v>
      </c>
      <c r="AI37" s="730">
        <f>'Inflation GDP Population'!AI3</f>
        <v>84.55218</v>
      </c>
      <c r="AJ37" s="730">
        <f>'Inflation GDP Population'!AJ3</f>
        <v>85.84256</v>
      </c>
      <c r="AK37" s="730">
        <f>'Inflation GDP Population'!AK3</f>
        <v>87.2825</v>
      </c>
      <c r="AL37" s="730">
        <f>'Inflation GDP Population'!AL3</f>
        <v>89.09156</v>
      </c>
      <c r="AM37" s="730">
        <f>'Inflation GDP Population'!AM3</f>
        <v>90.84511</v>
      </c>
      <c r="AN37" s="730">
        <f>'Inflation GDP Population'!AN3</f>
        <v>92.88487</v>
      </c>
      <c r="AO37" s="730">
        <f>'Inflation GDP Population'!AO3</f>
        <v>94.96038</v>
      </c>
      <c r="AP37" s="730">
        <f>'Inflation GDP Population'!AP3</f>
        <v>96.89805</v>
      </c>
      <c r="AQ37" s="730">
        <f>'Inflation GDP Population'!AQ3</f>
        <v>98.79292</v>
      </c>
      <c r="AR37" s="730">
        <f>'Inflation GDP Population'!AR3</f>
        <v>100.67492</v>
      </c>
      <c r="AS37" s="730">
        <f>'Inflation GDP Population'!AS3</f>
        <v>102.66981</v>
      </c>
      <c r="AT37" s="730">
        <f>'Inflation GDP Population'!AT3</f>
        <v>104.79814</v>
      </c>
      <c r="AU37" s="730">
        <f>'Inflation GDP Population'!AU3</f>
        <v>106.98113</v>
      </c>
      <c r="AV37" s="730">
        <f>'Inflation GDP Population'!AV3</f>
        <v>108.97938</v>
      </c>
      <c r="AW37" s="730">
        <f>'Inflation GDP Population'!AW3</f>
        <v>111.37462</v>
      </c>
      <c r="AX37" s="730">
        <f>'Inflation GDP Population'!AX3</f>
        <v>115.38931</v>
      </c>
      <c r="AY37" s="730">
        <f>'Inflation GDP Population'!AY3</f>
        <v>118.463</v>
      </c>
      <c r="AZ37" s="730">
        <f>'Inflation GDP Population'!AZ3</f>
        <v>120.87941</v>
      </c>
    </row>
    <row r="38" ht="15.0" customHeight="1">
      <c r="A38" s="535" t="s">
        <v>465</v>
      </c>
      <c r="B38" s="730">
        <f>'Inflation GDP Population'!B6</f>
        <v>249.4238174</v>
      </c>
      <c r="C38" s="730">
        <f>'Inflation GDP Population'!C6</f>
        <v>249.4238174</v>
      </c>
      <c r="D38" s="730">
        <f>'Inflation GDP Population'!D6</f>
        <v>212.30936</v>
      </c>
      <c r="E38" s="730">
        <f>'Inflation GDP Population'!E6</f>
        <v>237.6676023</v>
      </c>
      <c r="F38" s="730">
        <f>'Inflation GDP Population'!F6</f>
        <v>220.2350447</v>
      </c>
      <c r="G38" s="730">
        <f>'Inflation GDP Population'!G6</f>
        <v>209.1283615</v>
      </c>
      <c r="H38" s="730">
        <f>'Inflation GDP Population'!H6</f>
        <v>211.5976897</v>
      </c>
      <c r="I38" s="730">
        <f>'Inflation GDP Population'!I6</f>
        <v>188.0613369</v>
      </c>
      <c r="J38" s="730">
        <f>'Inflation GDP Population'!J6</f>
        <v>193.3226613</v>
      </c>
      <c r="K38" s="730">
        <f>'Inflation GDP Population'!K6</f>
        <v>199.4647867</v>
      </c>
      <c r="L38" s="730">
        <f>'Inflation GDP Population'!L6</f>
        <v>173.3129007</v>
      </c>
      <c r="M38" s="730">
        <f>'Inflation GDP Population'!M6</f>
        <v>178.3587562</v>
      </c>
      <c r="N38" s="730">
        <f>'Inflation GDP Population'!N6</f>
        <v>177.8197297</v>
      </c>
      <c r="O38" s="730">
        <f>'Inflation GDP Population'!O6</f>
        <v>169.9194103</v>
      </c>
      <c r="P38" s="730">
        <f>'Inflation GDP Population'!P6</f>
        <v>176.5802624</v>
      </c>
      <c r="Q38" s="730">
        <f>'Inflation GDP Population'!Q6</f>
        <v>173.8691726</v>
      </c>
      <c r="R38" s="730">
        <f>'Inflation GDP Population'!R6</f>
        <v>163.3411578</v>
      </c>
      <c r="S38" s="730">
        <f>'Inflation GDP Population'!S6</f>
        <v>167.6631308</v>
      </c>
      <c r="T38" s="730">
        <f>'Inflation GDP Population'!T6</f>
        <v>160.8228865</v>
      </c>
      <c r="U38" s="730">
        <f>'Inflation GDP Population'!U6</f>
        <v>161.4914818</v>
      </c>
      <c r="V38" s="730">
        <f>'Inflation GDP Population'!V6</f>
        <v>160</v>
      </c>
      <c r="W38" s="730">
        <f>'Inflation GDP Population'!W6</f>
        <v>157.3245068</v>
      </c>
      <c r="X38" s="730">
        <f>'Inflation GDP Population'!X6</f>
        <v>155.0376201</v>
      </c>
      <c r="Y38" s="730">
        <f>'Inflation GDP Population'!Y6</f>
        <v>153.7696714</v>
      </c>
      <c r="Z38" s="730">
        <f>'Inflation GDP Population'!Z6</f>
        <v>152.978696</v>
      </c>
      <c r="AA38" s="730">
        <f>'Inflation GDP Population'!AA6</f>
        <v>153.6263314</v>
      </c>
      <c r="AB38" s="730">
        <f>'Inflation GDP Population'!AB6</f>
        <v>152.6079753</v>
      </c>
      <c r="AC38" s="730">
        <f>'Inflation GDP Population'!AC6</f>
        <v>152.1810419</v>
      </c>
      <c r="AD38" s="730">
        <f>'Inflation GDP Population'!AD6</f>
        <v>151.583573</v>
      </c>
      <c r="AE38" s="730">
        <f>'Inflation GDP Population'!AE6</f>
        <v>151.1504162</v>
      </c>
      <c r="AF38" s="730">
        <f>'Inflation GDP Population'!AF6</f>
        <v>150.7060776</v>
      </c>
      <c r="AG38" s="730">
        <f>'Inflation GDP Population'!AG6</f>
        <v>150.429011</v>
      </c>
      <c r="AH38" s="730">
        <f>'Inflation GDP Population'!AH6</f>
        <v>149.5081038</v>
      </c>
      <c r="AI38" s="730">
        <f>'Inflation GDP Population'!AI6</f>
        <v>148.4772757</v>
      </c>
      <c r="AJ38" s="730">
        <f>'Inflation GDP Population'!AJ6</f>
        <v>147.4374414</v>
      </c>
      <c r="AK38" s="730">
        <f>'Inflation GDP Population'!AK6</f>
        <v>146.5917459</v>
      </c>
      <c r="AL38" s="730">
        <f>'Inflation GDP Population'!AL6</f>
        <v>146.280299</v>
      </c>
      <c r="AM38" s="730">
        <f>'Inflation GDP Population'!AM6</f>
        <v>145.8173915</v>
      </c>
      <c r="AN38" s="730">
        <f>'Inflation GDP Population'!AN6</f>
        <v>145.7640627</v>
      </c>
      <c r="AO38" s="730">
        <f>'Inflation GDP Population'!AO6</f>
        <v>145.6753671</v>
      </c>
      <c r="AP38" s="730">
        <f>'Inflation GDP Population'!AP6</f>
        <v>145.2844837</v>
      </c>
      <c r="AQ38" s="730">
        <f>'Inflation GDP Population'!AQ6</f>
        <v>144.7378136</v>
      </c>
      <c r="AR38" s="730">
        <f>'Inflation GDP Population'!AR6</f>
        <v>144.0922273</v>
      </c>
      <c r="AS38" s="730">
        <f>'Inflation GDP Population'!AS6</f>
        <v>143.5069521</v>
      </c>
      <c r="AT38" s="730">
        <f>'Inflation GDP Population'!AT6</f>
        <v>143.0178862</v>
      </c>
      <c r="AU38" s="730">
        <f>'Inflation GDP Population'!AU6</f>
        <v>142.5049387</v>
      </c>
      <c r="AV38" s="730">
        <f>'Inflation GDP Population'!AV6</f>
        <v>141.6906636</v>
      </c>
      <c r="AW38" s="730">
        <f>'Inflation GDP Population'!AW6</f>
        <v>141.2990719</v>
      </c>
      <c r="AX38" s="730">
        <f>'Inflation GDP Population'!AX6</f>
        <v>142.7951097</v>
      </c>
      <c r="AY38" s="730">
        <f>'Inflation GDP Population'!AY6</f>
        <v>142.995649</v>
      </c>
      <c r="AZ38" s="730">
        <f>'Inflation GDP Population'!AZ6</f>
        <v>142.2877531</v>
      </c>
    </row>
    <row r="39" ht="15.0" customHeight="1">
      <c r="A39" s="535" t="s">
        <v>130</v>
      </c>
      <c r="B39" s="730">
        <f>'Inflation GDP Population'!B7</f>
        <v>164.5391919</v>
      </c>
      <c r="C39" s="730">
        <f>'Inflation GDP Population'!C7</f>
        <v>164.5391919</v>
      </c>
      <c r="D39" s="730">
        <f>'Inflation GDP Population'!D7</f>
        <v>168.536365</v>
      </c>
      <c r="E39" s="730">
        <f>'Inflation GDP Population'!E7</f>
        <v>152.3738823</v>
      </c>
      <c r="F39" s="730">
        <f>'Inflation GDP Population'!F7</f>
        <v>185.2202182</v>
      </c>
      <c r="G39" s="730">
        <f>'Inflation GDP Population'!G7</f>
        <v>194.6048855</v>
      </c>
      <c r="H39" s="730">
        <f>'Inflation GDP Population'!H7</f>
        <v>235.6193578</v>
      </c>
      <c r="I39" s="730">
        <f>'Inflation GDP Population'!I7</f>
        <v>211.9838992</v>
      </c>
      <c r="J39" s="730">
        <f>'Inflation GDP Population'!J7</f>
        <v>215.459702</v>
      </c>
      <c r="K39" s="730">
        <f>'Inflation GDP Population'!K7</f>
        <v>249.3487786</v>
      </c>
      <c r="L39" s="730">
        <f>'Inflation GDP Population'!L7</f>
        <v>174.0976494</v>
      </c>
      <c r="M39" s="730">
        <f>'Inflation GDP Population'!M7</f>
        <v>180.0065141</v>
      </c>
      <c r="N39" s="730">
        <f>'Inflation GDP Population'!N7</f>
        <v>173.4024889</v>
      </c>
      <c r="O39" s="730">
        <f>'Inflation GDP Population'!O7</f>
        <v>149.9408204</v>
      </c>
      <c r="P39" s="730">
        <f>'Inflation GDP Population'!P7</f>
        <v>166.4508834</v>
      </c>
      <c r="Q39" s="730">
        <f>'Inflation GDP Population'!Q7</f>
        <v>178.616193</v>
      </c>
      <c r="R39" s="730">
        <f>'Inflation GDP Population'!R7</f>
        <v>147.1601782</v>
      </c>
      <c r="S39" s="730">
        <f>'Inflation GDP Population'!S7</f>
        <v>157.4927024</v>
      </c>
      <c r="T39" s="730">
        <f>'Inflation GDP Population'!T7</f>
        <v>153.731756</v>
      </c>
      <c r="U39" s="730">
        <f>'Inflation GDP Population'!U7</f>
        <v>157.8122599</v>
      </c>
      <c r="V39" s="730">
        <f>'Inflation GDP Population'!V7</f>
        <v>160</v>
      </c>
      <c r="W39" s="730">
        <f>'Inflation GDP Population'!W7</f>
        <v>161.2135516</v>
      </c>
      <c r="X39" s="730">
        <f>'Inflation GDP Population'!X7</f>
        <v>162.7020288</v>
      </c>
      <c r="Y39" s="730">
        <f>'Inflation GDP Population'!Y7</f>
        <v>165.3558172</v>
      </c>
      <c r="Z39" s="730">
        <f>'Inflation GDP Population'!Z7</f>
        <v>168.4986555</v>
      </c>
      <c r="AA39" s="730">
        <f>'Inflation GDP Population'!AA7</f>
        <v>173.2521157</v>
      </c>
      <c r="AB39" s="730">
        <f>'Inflation GDP Population'!AB7</f>
        <v>176.0495177</v>
      </c>
      <c r="AC39" s="730">
        <f>'Inflation GDP Population'!AC7</f>
        <v>179.5090412</v>
      </c>
      <c r="AD39" s="730">
        <f>'Inflation GDP Population'!AD7</f>
        <v>182.6619188</v>
      </c>
      <c r="AE39" s="730">
        <f>'Inflation GDP Population'!AE7</f>
        <v>186.0261398</v>
      </c>
      <c r="AF39" s="730">
        <f>'Inflation GDP Population'!AF7</f>
        <v>189.4614843</v>
      </c>
      <c r="AG39" s="730">
        <f>'Inflation GDP Population'!AG7</f>
        <v>193.2426184</v>
      </c>
      <c r="AH39" s="730">
        <f>'Inflation GDP Population'!AH7</f>
        <v>196.280162</v>
      </c>
      <c r="AI39" s="730">
        <f>'Inflation GDP Population'!AI7</f>
        <v>199.2590253</v>
      </c>
      <c r="AJ39" s="730">
        <f>'Inflation GDP Population'!AJ7</f>
        <v>202.2999861</v>
      </c>
      <c r="AK39" s="730">
        <f>'Inflation GDP Population'!AK7</f>
        <v>205.6934059</v>
      </c>
      <c r="AL39" s="730">
        <f>'Inflation GDP Population'!AL7</f>
        <v>209.9567085</v>
      </c>
      <c r="AM39" s="730">
        <f>'Inflation GDP Population'!AM7</f>
        <v>214.0891941</v>
      </c>
      <c r="AN39" s="730">
        <f>'Inflation GDP Population'!AN7</f>
        <v>218.8961735</v>
      </c>
      <c r="AO39" s="730">
        <f>'Inflation GDP Population'!AO7</f>
        <v>223.7874028</v>
      </c>
      <c r="AP39" s="730">
        <f>'Inflation GDP Population'!AP7</f>
        <v>228.3537929</v>
      </c>
      <c r="AQ39" s="730">
        <f>'Inflation GDP Population'!AQ7</f>
        <v>232.8193188</v>
      </c>
      <c r="AR39" s="730">
        <f>'Inflation GDP Population'!AR7</f>
        <v>237.2545147</v>
      </c>
      <c r="AS39" s="730">
        <f>'Inflation GDP Population'!AS7</f>
        <v>241.9557517</v>
      </c>
      <c r="AT39" s="730">
        <f>'Inflation GDP Population'!AT7</f>
        <v>246.9714587</v>
      </c>
      <c r="AU39" s="730">
        <f>'Inflation GDP Population'!AU7</f>
        <v>252.1159797</v>
      </c>
      <c r="AV39" s="730">
        <f>'Inflation GDP Population'!AV7</f>
        <v>256.825135</v>
      </c>
      <c r="AW39" s="730">
        <f>'Inflation GDP Population'!AW7</f>
        <v>262.4698527</v>
      </c>
      <c r="AX39" s="730">
        <f>'Inflation GDP Population'!AX7</f>
        <v>271.9310306</v>
      </c>
      <c r="AY39" s="730">
        <f>'Inflation GDP Population'!AY7</f>
        <v>279.1746105</v>
      </c>
      <c r="AZ39" s="730">
        <f>'Inflation GDP Population'!AZ7</f>
        <v>284.8692183</v>
      </c>
    </row>
    <row r="40" ht="15.0" customHeight="1">
      <c r="A40" s="535" t="s">
        <v>1120</v>
      </c>
      <c r="B40" s="546">
        <v>0.0</v>
      </c>
      <c r="C40" s="546">
        <v>0.0</v>
      </c>
      <c r="D40" s="546">
        <v>0.0</v>
      </c>
      <c r="E40" s="546">
        <v>0.0</v>
      </c>
      <c r="F40" s="546">
        <v>0.0</v>
      </c>
      <c r="G40" s="546">
        <v>0.0</v>
      </c>
      <c r="H40" s="546">
        <v>0.0</v>
      </c>
      <c r="I40" s="546">
        <f t="shared" ref="I40:U40" si="26">J40</f>
        <v>0.56</v>
      </c>
      <c r="J40" s="546">
        <f t="shared" si="26"/>
        <v>0.56</v>
      </c>
      <c r="K40" s="546">
        <f t="shared" si="26"/>
        <v>0.56</v>
      </c>
      <c r="L40" s="546">
        <f t="shared" si="26"/>
        <v>0.56</v>
      </c>
      <c r="M40" s="546">
        <f t="shared" si="26"/>
        <v>0.56</v>
      </c>
      <c r="N40" s="546">
        <f t="shared" si="26"/>
        <v>0.56</v>
      </c>
      <c r="O40" s="546">
        <f t="shared" si="26"/>
        <v>0.56</v>
      </c>
      <c r="P40" s="546">
        <f t="shared" si="26"/>
        <v>0.56</v>
      </c>
      <c r="Q40" s="546">
        <f t="shared" si="26"/>
        <v>0.56</v>
      </c>
      <c r="R40" s="546">
        <f t="shared" si="26"/>
        <v>0.56</v>
      </c>
      <c r="S40" s="546">
        <f t="shared" si="26"/>
        <v>0.56</v>
      </c>
      <c r="T40" s="546">
        <f t="shared" si="26"/>
        <v>0.56</v>
      </c>
      <c r="U40" s="546">
        <f t="shared" si="26"/>
        <v>0.56</v>
      </c>
      <c r="V40" s="547">
        <v>0.56</v>
      </c>
      <c r="W40" s="208">
        <f t="shared" ref="W40:AZ40" si="27">V40</f>
        <v>0.56</v>
      </c>
      <c r="X40" s="208">
        <f t="shared" si="27"/>
        <v>0.56</v>
      </c>
      <c r="Y40" s="208">
        <f t="shared" si="27"/>
        <v>0.56</v>
      </c>
      <c r="Z40" s="208">
        <f t="shared" si="27"/>
        <v>0.56</v>
      </c>
      <c r="AA40" s="208">
        <f t="shared" si="27"/>
        <v>0.56</v>
      </c>
      <c r="AB40" s="208">
        <f t="shared" si="27"/>
        <v>0.56</v>
      </c>
      <c r="AC40" s="208">
        <f t="shared" si="27"/>
        <v>0.56</v>
      </c>
      <c r="AD40" s="208">
        <f t="shared" si="27"/>
        <v>0.56</v>
      </c>
      <c r="AE40" s="208">
        <f t="shared" si="27"/>
        <v>0.56</v>
      </c>
      <c r="AF40" s="208">
        <f t="shared" si="27"/>
        <v>0.56</v>
      </c>
      <c r="AG40" s="208">
        <f t="shared" si="27"/>
        <v>0.56</v>
      </c>
      <c r="AH40" s="208">
        <f t="shared" si="27"/>
        <v>0.56</v>
      </c>
      <c r="AI40" s="208">
        <f t="shared" si="27"/>
        <v>0.56</v>
      </c>
      <c r="AJ40" s="208">
        <f t="shared" si="27"/>
        <v>0.56</v>
      </c>
      <c r="AK40" s="208">
        <f t="shared" si="27"/>
        <v>0.56</v>
      </c>
      <c r="AL40" s="208">
        <f t="shared" si="27"/>
        <v>0.56</v>
      </c>
      <c r="AM40" s="208">
        <f t="shared" si="27"/>
        <v>0.56</v>
      </c>
      <c r="AN40" s="208">
        <f t="shared" si="27"/>
        <v>0.56</v>
      </c>
      <c r="AO40" s="208">
        <f t="shared" si="27"/>
        <v>0.56</v>
      </c>
      <c r="AP40" s="208">
        <f t="shared" si="27"/>
        <v>0.56</v>
      </c>
      <c r="AQ40" s="208">
        <f t="shared" si="27"/>
        <v>0.56</v>
      </c>
      <c r="AR40" s="208">
        <f t="shared" si="27"/>
        <v>0.56</v>
      </c>
      <c r="AS40" s="208">
        <f t="shared" si="27"/>
        <v>0.56</v>
      </c>
      <c r="AT40" s="208">
        <f t="shared" si="27"/>
        <v>0.56</v>
      </c>
      <c r="AU40" s="208">
        <f t="shared" si="27"/>
        <v>0.56</v>
      </c>
      <c r="AV40" s="208">
        <f t="shared" si="27"/>
        <v>0.56</v>
      </c>
      <c r="AW40" s="208">
        <f t="shared" si="27"/>
        <v>0.56</v>
      </c>
      <c r="AX40" s="208">
        <f t="shared" si="27"/>
        <v>0.56</v>
      </c>
      <c r="AY40" s="208">
        <f t="shared" si="27"/>
        <v>0.56</v>
      </c>
      <c r="AZ40" s="208">
        <f t="shared" si="27"/>
        <v>0.56</v>
      </c>
    </row>
    <row r="41" ht="15.0" customHeight="1">
      <c r="A41" s="535" t="s">
        <v>1121</v>
      </c>
      <c r="B41" s="535"/>
      <c r="C41" s="535"/>
      <c r="D41" s="535"/>
      <c r="E41" s="535"/>
      <c r="F41" s="535"/>
      <c r="G41" s="535"/>
      <c r="H41" s="535"/>
      <c r="I41" s="535"/>
      <c r="J41" s="535"/>
      <c r="K41" s="535"/>
      <c r="L41" s="535"/>
      <c r="M41" s="535"/>
      <c r="N41" s="535"/>
      <c r="O41" s="535"/>
      <c r="P41" s="535"/>
      <c r="Q41" s="535"/>
      <c r="R41" s="535"/>
      <c r="S41" s="535"/>
      <c r="T41" s="535"/>
      <c r="U41" s="535"/>
      <c r="V41" s="715"/>
      <c r="W41" s="177"/>
      <c r="X41" s="177"/>
      <c r="Y41" s="177"/>
      <c r="Z41" s="177"/>
      <c r="AA41" s="177"/>
      <c r="AB41" s="177"/>
      <c r="AC41" s="177"/>
      <c r="AD41" s="177"/>
      <c r="AE41" s="177"/>
      <c r="AF41" s="177"/>
      <c r="AG41" s="177"/>
      <c r="AH41" s="177"/>
      <c r="AI41" s="177"/>
      <c r="AJ41" s="177"/>
      <c r="AK41" s="177"/>
      <c r="AL41" s="177"/>
      <c r="AM41" s="177"/>
      <c r="AN41" s="177"/>
      <c r="AO41" s="177"/>
      <c r="AP41" s="177"/>
      <c r="AQ41" s="177"/>
      <c r="AR41" s="177"/>
      <c r="AS41" s="177"/>
      <c r="AT41" s="177"/>
      <c r="AU41" s="177"/>
      <c r="AV41" s="177"/>
      <c r="AW41" s="177"/>
      <c r="AX41" s="177"/>
      <c r="AY41" s="177"/>
      <c r="AZ41" s="177"/>
    </row>
    <row r="42" ht="15.0" customHeight="1">
      <c r="A42" s="535" t="s">
        <v>1122</v>
      </c>
      <c r="B42" s="535"/>
      <c r="C42" s="535"/>
      <c r="D42" s="535"/>
      <c r="E42" s="535"/>
      <c r="F42" s="535"/>
      <c r="G42" s="535"/>
      <c r="H42" s="535"/>
      <c r="I42" s="535"/>
      <c r="J42" s="535"/>
      <c r="K42" s="535"/>
      <c r="L42" s="535"/>
      <c r="M42" s="535"/>
      <c r="N42" s="535"/>
      <c r="O42" s="535"/>
      <c r="P42" s="535"/>
      <c r="Q42" s="535"/>
      <c r="R42" s="535"/>
      <c r="S42" s="535"/>
      <c r="T42" s="535"/>
      <c r="U42" s="535"/>
      <c r="V42" s="715"/>
      <c r="W42" s="177"/>
      <c r="X42" s="177"/>
      <c r="Y42" s="177"/>
      <c r="Z42" s="177"/>
      <c r="AA42" s="177"/>
      <c r="AB42" s="177"/>
      <c r="AC42" s="177"/>
      <c r="AD42" s="177"/>
      <c r="AE42" s="177"/>
      <c r="AF42" s="177"/>
      <c r="AG42" s="177"/>
      <c r="AH42" s="177"/>
      <c r="AI42" s="177"/>
      <c r="AJ42" s="177"/>
      <c r="AK42" s="177"/>
      <c r="AL42" s="177"/>
      <c r="AM42" s="177"/>
      <c r="AN42" s="177"/>
      <c r="AO42" s="177"/>
      <c r="AP42" s="177"/>
      <c r="AQ42" s="177"/>
      <c r="AR42" s="177"/>
      <c r="AS42" s="177"/>
      <c r="AT42" s="177"/>
      <c r="AU42" s="177"/>
      <c r="AV42" s="177"/>
      <c r="AW42" s="177"/>
      <c r="AX42" s="177"/>
      <c r="AY42" s="177"/>
      <c r="AZ42" s="177"/>
    </row>
    <row r="43" ht="15.75" customHeight="1">
      <c r="A43" s="535" t="s">
        <v>137</v>
      </c>
      <c r="B43" s="709">
        <f>C43</f>
        <v>0</v>
      </c>
      <c r="C43" s="709">
        <f>'Inflation GDP Population'!C11-'Inflation GDP Population'!B11</f>
        <v>0</v>
      </c>
      <c r="D43" s="709">
        <f>'Inflation GDP Population'!D11-'Inflation GDP Population'!C11</f>
        <v>0</v>
      </c>
      <c r="E43" s="709">
        <f>'Inflation GDP Population'!E11-'Inflation GDP Population'!D11</f>
        <v>0</v>
      </c>
      <c r="F43" s="709">
        <f>'Inflation GDP Population'!F11-'Inflation GDP Population'!E11</f>
        <v>0.01699083389</v>
      </c>
      <c r="G43" s="709">
        <f>'Inflation GDP Population'!G11-'Inflation GDP Population'!F11</f>
        <v>0.03062821373</v>
      </c>
      <c r="H43" s="709">
        <f>'Inflation GDP Population'!H11-'Inflation GDP Population'!G11</f>
        <v>0.05371115582</v>
      </c>
      <c r="I43" s="709">
        <f>'Inflation GDP Population'!I11-'Inflation GDP Population'!H11</f>
        <v>0.02520679633</v>
      </c>
      <c r="J43" s="709">
        <f>'Inflation GDP Population'!J11-'Inflation GDP Population'!I11</f>
        <v>0.03996199419</v>
      </c>
      <c r="K43" s="709">
        <f>'Inflation GDP Population'!K11-'Inflation GDP Population'!J11</f>
        <v>0.01939414263</v>
      </c>
      <c r="L43" s="709">
        <f>'Inflation GDP Population'!L11-'Inflation GDP Population'!K11</f>
        <v>0.01928236083</v>
      </c>
      <c r="M43" s="709">
        <f>'Inflation GDP Population'!M11-'Inflation GDP Population'!L11</f>
        <v>0.02241225129</v>
      </c>
      <c r="N43" s="709">
        <f>'Inflation GDP Population'!N11-'Inflation GDP Population'!M11</f>
        <v>0.009445562262</v>
      </c>
      <c r="O43" s="709">
        <f>'Inflation GDP Population'!O11-'Inflation GDP Population'!N11</f>
        <v>0.01263134362</v>
      </c>
      <c r="P43" s="709">
        <f>'Inflation GDP Population'!P11-'Inflation GDP Population'!O11</f>
        <v>0.0348200313</v>
      </c>
      <c r="Q43" s="709">
        <f>'Inflation GDP Population'!Q11-'Inflation GDP Population'!P11</f>
        <v>0.01620836128</v>
      </c>
      <c r="R43" s="709">
        <f>'Inflation GDP Population'!R11-'Inflation GDP Population'!Q11</f>
        <v>-0.01061927118</v>
      </c>
      <c r="S43" s="709">
        <f>'Inflation GDP Population'!S11-'Inflation GDP Population'!R11</f>
        <v>0.03923541247</v>
      </c>
      <c r="T43" s="709">
        <f>'Inflation GDP Population'!T11-'Inflation GDP Population'!S11</f>
        <v>0.01263134362</v>
      </c>
      <c r="U43" s="709">
        <f>V43</f>
        <v>0.01989423738</v>
      </c>
      <c r="V43" s="669">
        <f>Inputs!B21</f>
        <v>0.01989423738</v>
      </c>
      <c r="W43" s="710">
        <f t="shared" ref="W43:AZ43" si="28">V43</f>
        <v>0.01989423738</v>
      </c>
      <c r="X43" s="710">
        <f t="shared" si="28"/>
        <v>0.01989423738</v>
      </c>
      <c r="Y43" s="710">
        <f t="shared" si="28"/>
        <v>0.01989423738</v>
      </c>
      <c r="Z43" s="710">
        <f t="shared" si="28"/>
        <v>0.01989423738</v>
      </c>
      <c r="AA43" s="710">
        <f t="shared" si="28"/>
        <v>0.01989423738</v>
      </c>
      <c r="AB43" s="710">
        <f t="shared" si="28"/>
        <v>0.01989423738</v>
      </c>
      <c r="AC43" s="710">
        <f t="shared" si="28"/>
        <v>0.01989423738</v>
      </c>
      <c r="AD43" s="710">
        <f t="shared" si="28"/>
        <v>0.01989423738</v>
      </c>
      <c r="AE43" s="710">
        <f t="shared" si="28"/>
        <v>0.01989423738</v>
      </c>
      <c r="AF43" s="710">
        <f t="shared" si="28"/>
        <v>0.01989423738</v>
      </c>
      <c r="AG43" s="710">
        <f t="shared" si="28"/>
        <v>0.01989423738</v>
      </c>
      <c r="AH43" s="710">
        <f t="shared" si="28"/>
        <v>0.01989423738</v>
      </c>
      <c r="AI43" s="710">
        <f t="shared" si="28"/>
        <v>0.01989423738</v>
      </c>
      <c r="AJ43" s="710">
        <f t="shared" si="28"/>
        <v>0.01989423738</v>
      </c>
      <c r="AK43" s="710">
        <f t="shared" si="28"/>
        <v>0.01989423738</v>
      </c>
      <c r="AL43" s="710">
        <f t="shared" si="28"/>
        <v>0.01989423738</v>
      </c>
      <c r="AM43" s="710">
        <f t="shared" si="28"/>
        <v>0.01989423738</v>
      </c>
      <c r="AN43" s="710">
        <f t="shared" si="28"/>
        <v>0.01989423738</v>
      </c>
      <c r="AO43" s="710">
        <f t="shared" si="28"/>
        <v>0.01989423738</v>
      </c>
      <c r="AP43" s="710">
        <f t="shared" si="28"/>
        <v>0.01989423738</v>
      </c>
      <c r="AQ43" s="710">
        <f t="shared" si="28"/>
        <v>0.01989423738</v>
      </c>
      <c r="AR43" s="710">
        <f t="shared" si="28"/>
        <v>0.01989423738</v>
      </c>
      <c r="AS43" s="710">
        <f t="shared" si="28"/>
        <v>0.01989423738</v>
      </c>
      <c r="AT43" s="710">
        <f t="shared" si="28"/>
        <v>0.01989423738</v>
      </c>
      <c r="AU43" s="710">
        <f t="shared" si="28"/>
        <v>0.01989423738</v>
      </c>
      <c r="AV43" s="710">
        <f t="shared" si="28"/>
        <v>0.01989423738</v>
      </c>
      <c r="AW43" s="710">
        <f t="shared" si="28"/>
        <v>0.01989423738</v>
      </c>
      <c r="AX43" s="710">
        <f t="shared" si="28"/>
        <v>0.01989423738</v>
      </c>
      <c r="AY43" s="710">
        <f t="shared" si="28"/>
        <v>0.01989423738</v>
      </c>
      <c r="AZ43" s="710">
        <f t="shared" si="28"/>
        <v>0.01989423738</v>
      </c>
    </row>
    <row r="44" ht="15.75" customHeight="1">
      <c r="A44" s="535" t="s">
        <v>1123</v>
      </c>
      <c r="B44" s="535"/>
      <c r="C44" s="535"/>
      <c r="D44" s="535"/>
      <c r="E44" s="535"/>
      <c r="F44" s="535"/>
      <c r="G44" s="535"/>
      <c r="H44" s="535"/>
      <c r="I44" s="535"/>
      <c r="J44" s="535"/>
      <c r="K44" s="535"/>
      <c r="L44" s="535"/>
      <c r="M44" s="535"/>
      <c r="N44" s="535"/>
      <c r="O44" s="535"/>
      <c r="P44" s="535"/>
      <c r="Q44" s="535"/>
      <c r="R44" s="535"/>
      <c r="S44" s="535"/>
      <c r="T44" s="535"/>
      <c r="U44" s="535"/>
      <c r="V44" s="710"/>
      <c r="W44" s="710">
        <v>0.02</v>
      </c>
      <c r="X44" s="710">
        <f t="shared" ref="X44:AZ44" si="29">W44</f>
        <v>0.02</v>
      </c>
      <c r="Y44" s="710">
        <f t="shared" si="29"/>
        <v>0.02</v>
      </c>
      <c r="Z44" s="710">
        <f t="shared" si="29"/>
        <v>0.02</v>
      </c>
      <c r="AA44" s="710">
        <f t="shared" si="29"/>
        <v>0.02</v>
      </c>
      <c r="AB44" s="710">
        <f t="shared" si="29"/>
        <v>0.02</v>
      </c>
      <c r="AC44" s="710">
        <f t="shared" si="29"/>
        <v>0.02</v>
      </c>
      <c r="AD44" s="710">
        <f t="shared" si="29"/>
        <v>0.02</v>
      </c>
      <c r="AE44" s="710">
        <f t="shared" si="29"/>
        <v>0.02</v>
      </c>
      <c r="AF44" s="710">
        <f t="shared" si="29"/>
        <v>0.02</v>
      </c>
      <c r="AG44" s="710">
        <f t="shared" si="29"/>
        <v>0.02</v>
      </c>
      <c r="AH44" s="710">
        <f t="shared" si="29"/>
        <v>0.02</v>
      </c>
      <c r="AI44" s="710">
        <f t="shared" si="29"/>
        <v>0.02</v>
      </c>
      <c r="AJ44" s="710">
        <f t="shared" si="29"/>
        <v>0.02</v>
      </c>
      <c r="AK44" s="710">
        <f t="shared" si="29"/>
        <v>0.02</v>
      </c>
      <c r="AL44" s="710">
        <f t="shared" si="29"/>
        <v>0.02</v>
      </c>
      <c r="AM44" s="710">
        <f t="shared" si="29"/>
        <v>0.02</v>
      </c>
      <c r="AN44" s="710">
        <f t="shared" si="29"/>
        <v>0.02</v>
      </c>
      <c r="AO44" s="710">
        <f t="shared" si="29"/>
        <v>0.02</v>
      </c>
      <c r="AP44" s="710">
        <f t="shared" si="29"/>
        <v>0.02</v>
      </c>
      <c r="AQ44" s="710">
        <f t="shared" si="29"/>
        <v>0.02</v>
      </c>
      <c r="AR44" s="710">
        <f t="shared" si="29"/>
        <v>0.02</v>
      </c>
      <c r="AS44" s="710">
        <f t="shared" si="29"/>
        <v>0.02</v>
      </c>
      <c r="AT44" s="710">
        <f t="shared" si="29"/>
        <v>0.02</v>
      </c>
      <c r="AU44" s="710">
        <f t="shared" si="29"/>
        <v>0.02</v>
      </c>
      <c r="AV44" s="710">
        <f t="shared" si="29"/>
        <v>0.02</v>
      </c>
      <c r="AW44" s="710">
        <f t="shared" si="29"/>
        <v>0.02</v>
      </c>
      <c r="AX44" s="710">
        <f t="shared" si="29"/>
        <v>0.02</v>
      </c>
      <c r="AY44" s="710">
        <f t="shared" si="29"/>
        <v>0.02</v>
      </c>
      <c r="AZ44" s="710">
        <f t="shared" si="29"/>
        <v>0.02</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403" t="s">
        <v>140</v>
      </c>
      <c r="B46" s="38"/>
      <c r="C46" s="38"/>
      <c r="D46" s="38"/>
      <c r="E46" s="38"/>
      <c r="F46" s="38"/>
      <c r="G46" s="38"/>
      <c r="H46" s="38"/>
      <c r="I46" s="38"/>
      <c r="J46" s="38"/>
      <c r="K46" s="38"/>
      <c r="L46" s="38"/>
      <c r="M46" s="38"/>
      <c r="N46" s="38"/>
      <c r="O46" s="38"/>
      <c r="P46" s="38"/>
      <c r="Q46" s="38"/>
      <c r="R46" s="38"/>
      <c r="S46" s="38"/>
      <c r="T46" s="38"/>
      <c r="U46" s="38"/>
      <c r="V46" s="32"/>
      <c r="W46" s="252">
        <f t="shared" ref="W46:BA46" si="30">SUM(W48:W137)</f>
        <v>0</v>
      </c>
      <c r="X46" s="252">
        <f t="shared" si="30"/>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768.6</v>
      </c>
      <c r="AJ46" s="252">
        <f t="shared" si="30"/>
        <v>0</v>
      </c>
      <c r="AK46" s="252">
        <f t="shared" si="30"/>
        <v>886.7</v>
      </c>
      <c r="AL46" s="252">
        <f t="shared" si="30"/>
        <v>2932</v>
      </c>
      <c r="AM46" s="252">
        <f t="shared" si="30"/>
        <v>3010.7</v>
      </c>
      <c r="AN46" s="252">
        <f t="shared" si="30"/>
        <v>0</v>
      </c>
      <c r="AO46" s="252">
        <f t="shared" si="30"/>
        <v>3079.8</v>
      </c>
      <c r="AP46" s="252">
        <f t="shared" si="30"/>
        <v>0</v>
      </c>
      <c r="AQ46" s="252">
        <f t="shared" si="30"/>
        <v>864.7</v>
      </c>
      <c r="AR46" s="252">
        <f t="shared" si="30"/>
        <v>0</v>
      </c>
      <c r="AS46" s="252">
        <f t="shared" si="30"/>
        <v>3329</v>
      </c>
      <c r="AT46" s="252">
        <f t="shared" si="30"/>
        <v>1220.5</v>
      </c>
      <c r="AU46" s="252">
        <f t="shared" si="30"/>
        <v>0</v>
      </c>
      <c r="AV46" s="252">
        <f t="shared" si="30"/>
        <v>2249.9</v>
      </c>
      <c r="AW46" s="252">
        <f t="shared" si="30"/>
        <v>2645.1</v>
      </c>
      <c r="AX46" s="252">
        <f t="shared" si="30"/>
        <v>1205.1</v>
      </c>
      <c r="AY46" s="252">
        <f t="shared" si="30"/>
        <v>2110.9</v>
      </c>
      <c r="AZ46" s="252">
        <f t="shared" si="30"/>
        <v>0</v>
      </c>
      <c r="BA46" s="252">
        <f t="shared" si="30"/>
        <v>1160</v>
      </c>
    </row>
    <row r="47" ht="15.75" customHeight="1">
      <c r="A47" s="733" t="s">
        <v>1012</v>
      </c>
      <c r="B47" s="733"/>
      <c r="C47" s="733"/>
      <c r="D47" s="733"/>
      <c r="E47" s="733"/>
      <c r="F47" s="733"/>
      <c r="G47" s="733"/>
      <c r="H47" s="733"/>
      <c r="I47" s="733"/>
      <c r="J47" s="733"/>
      <c r="K47" s="733"/>
      <c r="L47" s="733"/>
      <c r="M47" s="733"/>
      <c r="N47" s="733"/>
      <c r="O47" s="733"/>
      <c r="P47" s="733"/>
      <c r="Q47" s="733"/>
      <c r="R47" s="733"/>
      <c r="S47" s="733"/>
      <c r="T47" s="733"/>
      <c r="U47" s="733"/>
      <c r="V47" s="736" t="s">
        <v>1015</v>
      </c>
      <c r="W47" s="159">
        <v>2020.0</v>
      </c>
      <c r="X47" s="159">
        <v>2021.0</v>
      </c>
      <c r="Y47" s="159">
        <v>2022.0</v>
      </c>
      <c r="Z47" s="159">
        <v>2023.0</v>
      </c>
      <c r="AA47" s="159">
        <v>2024.0</v>
      </c>
      <c r="AB47" s="159">
        <v>2025.0</v>
      </c>
      <c r="AC47" s="159">
        <v>2026.0</v>
      </c>
      <c r="AD47" s="159">
        <v>2027.0</v>
      </c>
      <c r="AE47" s="159">
        <v>2028.0</v>
      </c>
      <c r="AF47" s="159">
        <v>2029.0</v>
      </c>
      <c r="AG47" s="159">
        <v>2030.0</v>
      </c>
      <c r="AH47" s="159">
        <v>2031.0</v>
      </c>
      <c r="AI47" s="159">
        <v>2032.0</v>
      </c>
      <c r="AJ47" s="159">
        <v>2033.0</v>
      </c>
      <c r="AK47" s="159">
        <v>2034.0</v>
      </c>
      <c r="AL47" s="159">
        <v>2035.0</v>
      </c>
      <c r="AM47" s="159">
        <v>2036.0</v>
      </c>
      <c r="AN47" s="159">
        <v>2037.0</v>
      </c>
      <c r="AO47" s="159">
        <v>2038.0</v>
      </c>
      <c r="AP47" s="159">
        <v>2039.0</v>
      </c>
      <c r="AQ47" s="159">
        <v>2040.0</v>
      </c>
      <c r="AR47" s="159">
        <v>2041.0</v>
      </c>
      <c r="AS47" s="159">
        <v>2042.0</v>
      </c>
      <c r="AT47" s="159">
        <v>2043.0</v>
      </c>
      <c r="AU47" s="159">
        <v>2044.0</v>
      </c>
      <c r="AV47" s="159">
        <v>2045.0</v>
      </c>
      <c r="AW47" s="159">
        <v>2046.0</v>
      </c>
      <c r="AX47" s="159">
        <v>2047.0</v>
      </c>
      <c r="AY47" s="159">
        <v>2048.0</v>
      </c>
      <c r="AZ47" s="159">
        <v>2049.0</v>
      </c>
      <c r="BA47" s="159">
        <v>2050.0</v>
      </c>
    </row>
    <row r="48" ht="15.75" customHeight="1">
      <c r="A48" s="787">
        <v>1930.0</v>
      </c>
      <c r="B48" s="38"/>
      <c r="C48" s="38"/>
      <c r="D48" s="38"/>
      <c r="E48" s="38"/>
      <c r="F48" s="38"/>
      <c r="G48" s="38"/>
      <c r="H48" s="38"/>
      <c r="I48" s="38"/>
      <c r="J48" s="38"/>
      <c r="K48" s="38"/>
      <c r="L48" s="38"/>
      <c r="M48" s="38"/>
      <c r="N48" s="38"/>
      <c r="O48" s="38"/>
      <c r="P48" s="38"/>
      <c r="Q48" s="38"/>
      <c r="R48" s="38"/>
      <c r="S48" s="38"/>
      <c r="T48" s="38"/>
      <c r="U48" s="38"/>
      <c r="V48" s="801">
        <v>0.0</v>
      </c>
      <c r="W48" s="252">
        <f t="shared" ref="W48:W137" si="32">IF(W$47-$A48&gt;$V$32,$V48,0)</f>
        <v>0</v>
      </c>
      <c r="X48" s="252">
        <f t="shared" ref="X48:BA48" si="31">IF(AND(X$47-$A48&gt;$V$32,SUM($W48:W48)&lt;&gt;$V48),$V48,0)</f>
        <v>0</v>
      </c>
      <c r="Y48" s="252">
        <f t="shared" si="31"/>
        <v>0</v>
      </c>
      <c r="Z48" s="252">
        <f t="shared" si="31"/>
        <v>0</v>
      </c>
      <c r="AA48" s="252">
        <f t="shared" si="31"/>
        <v>0</v>
      </c>
      <c r="AB48" s="252">
        <f t="shared" si="31"/>
        <v>0</v>
      </c>
      <c r="AC48" s="252">
        <f t="shared" si="31"/>
        <v>0</v>
      </c>
      <c r="AD48" s="252">
        <f t="shared" si="31"/>
        <v>0</v>
      </c>
      <c r="AE48" s="252">
        <f t="shared" si="31"/>
        <v>0</v>
      </c>
      <c r="AF48" s="252">
        <f t="shared" si="31"/>
        <v>0</v>
      </c>
      <c r="AG48" s="252">
        <f t="shared" si="31"/>
        <v>0</v>
      </c>
      <c r="AH48" s="252">
        <f t="shared" si="31"/>
        <v>0</v>
      </c>
      <c r="AI48" s="252">
        <f t="shared" si="31"/>
        <v>0</v>
      </c>
      <c r="AJ48" s="252">
        <f t="shared" si="31"/>
        <v>0</v>
      </c>
      <c r="AK48" s="252">
        <f t="shared" si="31"/>
        <v>0</v>
      </c>
      <c r="AL48" s="252">
        <f t="shared" si="31"/>
        <v>0</v>
      </c>
      <c r="AM48" s="252">
        <f t="shared" si="31"/>
        <v>0</v>
      </c>
      <c r="AN48" s="252">
        <f t="shared" si="31"/>
        <v>0</v>
      </c>
      <c r="AO48" s="252">
        <f t="shared" si="31"/>
        <v>0</v>
      </c>
      <c r="AP48" s="252">
        <f t="shared" si="31"/>
        <v>0</v>
      </c>
      <c r="AQ48" s="252">
        <f t="shared" si="31"/>
        <v>0</v>
      </c>
      <c r="AR48" s="252">
        <f t="shared" si="31"/>
        <v>0</v>
      </c>
      <c r="AS48" s="252">
        <f t="shared" si="31"/>
        <v>0</v>
      </c>
      <c r="AT48" s="252">
        <f t="shared" si="31"/>
        <v>0</v>
      </c>
      <c r="AU48" s="252">
        <f t="shared" si="31"/>
        <v>0</v>
      </c>
      <c r="AV48" s="252">
        <f t="shared" si="31"/>
        <v>0</v>
      </c>
      <c r="AW48" s="252">
        <f t="shared" si="31"/>
        <v>0</v>
      </c>
      <c r="AX48" s="252">
        <f t="shared" si="31"/>
        <v>0</v>
      </c>
      <c r="AY48" s="252">
        <f t="shared" si="31"/>
        <v>0</v>
      </c>
      <c r="AZ48" s="252">
        <f t="shared" si="31"/>
        <v>0</v>
      </c>
      <c r="BA48" s="252">
        <f t="shared" si="31"/>
        <v>0</v>
      </c>
    </row>
    <row r="49" ht="15.75" customHeight="1">
      <c r="A49" s="787">
        <v>1931.0</v>
      </c>
      <c r="B49" s="38"/>
      <c r="C49" s="38"/>
      <c r="D49" s="38"/>
      <c r="E49" s="38"/>
      <c r="F49" s="38"/>
      <c r="G49" s="38"/>
      <c r="H49" s="38"/>
      <c r="I49" s="38"/>
      <c r="J49" s="38"/>
      <c r="K49" s="38"/>
      <c r="L49" s="38"/>
      <c r="M49" s="38"/>
      <c r="N49" s="38"/>
      <c r="O49" s="38"/>
      <c r="P49" s="38"/>
      <c r="Q49" s="38"/>
      <c r="R49" s="38"/>
      <c r="S49" s="38"/>
      <c r="T49" s="38"/>
      <c r="U49" s="38"/>
      <c r="V49" s="801">
        <v>0.0</v>
      </c>
      <c r="W49" s="252">
        <f t="shared" si="32"/>
        <v>0</v>
      </c>
      <c r="X49" s="252">
        <f t="shared" ref="X49:BA49" si="33">IF(AND(X$47-$A49&gt;$V$32,SUM($W49:W49)&lt;&gt;$V49),$V49,0)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787">
        <v>1932.0</v>
      </c>
      <c r="B50" s="38"/>
      <c r="C50" s="38"/>
      <c r="D50" s="38"/>
      <c r="E50" s="38"/>
      <c r="F50" s="38"/>
      <c r="G50" s="38"/>
      <c r="H50" s="38"/>
      <c r="I50" s="38"/>
      <c r="J50" s="38"/>
      <c r="K50" s="38"/>
      <c r="L50" s="38"/>
      <c r="M50" s="38"/>
      <c r="N50" s="38"/>
      <c r="O50" s="38"/>
      <c r="P50" s="38"/>
      <c r="Q50" s="38"/>
      <c r="R50" s="38"/>
      <c r="S50" s="38"/>
      <c r="T50" s="38"/>
      <c r="U50" s="38"/>
      <c r="V50" s="801">
        <v>0.0</v>
      </c>
      <c r="W50" s="252">
        <f t="shared" si="32"/>
        <v>0</v>
      </c>
      <c r="X50" s="252">
        <f t="shared" ref="X50:BA50" si="34">IF(AND(X$47-$A50&gt;$V$32,SUM($W50:W50)&lt;&gt;$V50),$V50,0)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787">
        <v>1933.0</v>
      </c>
      <c r="B51" s="38"/>
      <c r="C51" s="38"/>
      <c r="D51" s="38"/>
      <c r="E51" s="38"/>
      <c r="F51" s="38"/>
      <c r="G51" s="38"/>
      <c r="H51" s="38"/>
      <c r="I51" s="38"/>
      <c r="J51" s="38"/>
      <c r="K51" s="38"/>
      <c r="L51" s="38"/>
      <c r="M51" s="38"/>
      <c r="N51" s="38"/>
      <c r="O51" s="38"/>
      <c r="P51" s="38"/>
      <c r="Q51" s="38"/>
      <c r="R51" s="38"/>
      <c r="S51" s="38"/>
      <c r="T51" s="38"/>
      <c r="U51" s="38"/>
      <c r="V51" s="801">
        <v>0.0</v>
      </c>
      <c r="W51" s="252">
        <f t="shared" si="32"/>
        <v>0</v>
      </c>
      <c r="X51" s="252">
        <f t="shared" ref="X51:BA51" si="35">IF(AND(X$47-$A51&gt;$V$32,SUM($W51:W51)&lt;&gt;$V51),$V51,0)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787">
        <v>1934.0</v>
      </c>
      <c r="B52" s="38"/>
      <c r="C52" s="38"/>
      <c r="D52" s="38"/>
      <c r="E52" s="38"/>
      <c r="F52" s="38"/>
      <c r="G52" s="38"/>
      <c r="H52" s="38"/>
      <c r="I52" s="38"/>
      <c r="J52" s="38"/>
      <c r="K52" s="38"/>
      <c r="L52" s="38"/>
      <c r="M52" s="38"/>
      <c r="N52" s="38"/>
      <c r="O52" s="38"/>
      <c r="P52" s="38"/>
      <c r="Q52" s="38"/>
      <c r="R52" s="38"/>
      <c r="S52" s="38"/>
      <c r="T52" s="38"/>
      <c r="U52" s="38"/>
      <c r="V52" s="801">
        <v>0.0</v>
      </c>
      <c r="W52" s="252">
        <f t="shared" si="32"/>
        <v>0</v>
      </c>
      <c r="X52" s="252">
        <f t="shared" ref="X52:BA52" si="36">IF(AND(X$47-$A52&gt;$V$32,SUM($W52:W52)&lt;&gt;$V52),$V52,0)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787">
        <v>1935.0</v>
      </c>
      <c r="B53" s="38"/>
      <c r="C53" s="38"/>
      <c r="D53" s="38"/>
      <c r="E53" s="38"/>
      <c r="F53" s="38"/>
      <c r="G53" s="38"/>
      <c r="H53" s="38"/>
      <c r="I53" s="38"/>
      <c r="J53" s="38"/>
      <c r="K53" s="38"/>
      <c r="L53" s="38"/>
      <c r="M53" s="38"/>
      <c r="N53" s="38"/>
      <c r="O53" s="38"/>
      <c r="P53" s="38"/>
      <c r="Q53" s="38"/>
      <c r="R53" s="38"/>
      <c r="S53" s="38"/>
      <c r="T53" s="38"/>
      <c r="U53" s="38"/>
      <c r="V53" s="801">
        <v>0.0</v>
      </c>
      <c r="W53" s="252">
        <f t="shared" si="32"/>
        <v>0</v>
      </c>
      <c r="X53" s="252">
        <f t="shared" ref="X53:BA53" si="37">IF(AND(X$47-$A53&gt;$V$32,SUM($W53:W53)&lt;&gt;$V53),$V53,0)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787">
        <v>1936.0</v>
      </c>
      <c r="B54" s="38"/>
      <c r="C54" s="38"/>
      <c r="D54" s="38"/>
      <c r="E54" s="38"/>
      <c r="F54" s="38"/>
      <c r="G54" s="38"/>
      <c r="H54" s="38"/>
      <c r="I54" s="38"/>
      <c r="J54" s="38"/>
      <c r="K54" s="38"/>
      <c r="L54" s="38"/>
      <c r="M54" s="38"/>
      <c r="N54" s="38"/>
      <c r="O54" s="38"/>
      <c r="P54" s="38"/>
      <c r="Q54" s="38"/>
      <c r="R54" s="38"/>
      <c r="S54" s="38"/>
      <c r="T54" s="38"/>
      <c r="U54" s="38"/>
      <c r="V54" s="801">
        <v>0.0</v>
      </c>
      <c r="W54" s="252">
        <f t="shared" si="32"/>
        <v>0</v>
      </c>
      <c r="X54" s="252">
        <f t="shared" ref="X54:BA54" si="38">IF(AND(X$47-$A54&gt;$V$32,SUM($W54:W54)&lt;&gt;$V54),$V54,0)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787">
        <v>1937.0</v>
      </c>
      <c r="B55" s="38"/>
      <c r="C55" s="38"/>
      <c r="D55" s="38"/>
      <c r="E55" s="38"/>
      <c r="F55" s="38"/>
      <c r="G55" s="38"/>
      <c r="H55" s="38"/>
      <c r="I55" s="38"/>
      <c r="J55" s="38"/>
      <c r="K55" s="38"/>
      <c r="L55" s="38"/>
      <c r="M55" s="38"/>
      <c r="N55" s="38"/>
      <c r="O55" s="38"/>
      <c r="P55" s="38"/>
      <c r="Q55" s="38"/>
      <c r="R55" s="38"/>
      <c r="S55" s="38"/>
      <c r="T55" s="38"/>
      <c r="U55" s="38"/>
      <c r="V55" s="801">
        <v>0.0</v>
      </c>
      <c r="W55" s="252">
        <f t="shared" si="32"/>
        <v>0</v>
      </c>
      <c r="X55" s="252">
        <f t="shared" ref="X55:BA55" si="39">IF(AND(X$47-$A55&gt;$V$32,SUM($W55:W55)&lt;&gt;$V55),$V55,0)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787">
        <v>1938.0</v>
      </c>
      <c r="B56" s="38"/>
      <c r="C56" s="38"/>
      <c r="D56" s="38"/>
      <c r="E56" s="38"/>
      <c r="F56" s="38"/>
      <c r="G56" s="38"/>
      <c r="H56" s="38"/>
      <c r="I56" s="38"/>
      <c r="J56" s="38"/>
      <c r="K56" s="38"/>
      <c r="L56" s="38"/>
      <c r="M56" s="38"/>
      <c r="N56" s="38"/>
      <c r="O56" s="38"/>
      <c r="P56" s="38"/>
      <c r="Q56" s="38"/>
      <c r="R56" s="38"/>
      <c r="S56" s="38"/>
      <c r="T56" s="38"/>
      <c r="U56" s="38"/>
      <c r="V56" s="801">
        <v>0.0</v>
      </c>
      <c r="W56" s="252">
        <f t="shared" si="32"/>
        <v>0</v>
      </c>
      <c r="X56" s="252">
        <f t="shared" ref="X56:BA56" si="40">IF(AND(X$47-$A56&gt;$V$32,SUM($W56:W56)&lt;&gt;$V56),$V56,0)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787">
        <v>1939.0</v>
      </c>
      <c r="B57" s="38"/>
      <c r="C57" s="38"/>
      <c r="D57" s="38"/>
      <c r="E57" s="38"/>
      <c r="F57" s="38"/>
      <c r="G57" s="38"/>
      <c r="H57" s="38"/>
      <c r="I57" s="38"/>
      <c r="J57" s="38"/>
      <c r="K57" s="38"/>
      <c r="L57" s="38"/>
      <c r="M57" s="38"/>
      <c r="N57" s="38"/>
      <c r="O57" s="38"/>
      <c r="P57" s="38"/>
      <c r="Q57" s="38"/>
      <c r="R57" s="38"/>
      <c r="S57" s="38"/>
      <c r="T57" s="38"/>
      <c r="U57" s="38"/>
      <c r="V57" s="801">
        <v>0.0</v>
      </c>
      <c r="W57" s="252">
        <f t="shared" si="32"/>
        <v>0</v>
      </c>
      <c r="X57" s="252">
        <f t="shared" ref="X57:BA57" si="41">IF(AND(X$47-$A57&gt;$V$32,SUM($W57:W57)&lt;&gt;$V57),$V57,0)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787">
        <v>1940.0</v>
      </c>
      <c r="B58" s="38"/>
      <c r="C58" s="38"/>
      <c r="D58" s="38"/>
      <c r="E58" s="38"/>
      <c r="F58" s="38"/>
      <c r="G58" s="38"/>
      <c r="H58" s="38"/>
      <c r="I58" s="38"/>
      <c r="J58" s="38"/>
      <c r="K58" s="38"/>
      <c r="L58" s="38"/>
      <c r="M58" s="38"/>
      <c r="N58" s="38"/>
      <c r="O58" s="38"/>
      <c r="P58" s="38"/>
      <c r="Q58" s="38"/>
      <c r="R58" s="38"/>
      <c r="S58" s="38"/>
      <c r="T58" s="38"/>
      <c r="U58" s="38"/>
      <c r="V58" s="801">
        <v>0.0</v>
      </c>
      <c r="W58" s="252">
        <f t="shared" si="32"/>
        <v>0</v>
      </c>
      <c r="X58" s="252">
        <f t="shared" ref="X58:BA58" si="42">IF(AND(X$47-$A58&gt;$V$32,SUM($W58:W58)&lt;&gt;$V58),$V58,0)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787">
        <v>1941.0</v>
      </c>
      <c r="B59" s="38"/>
      <c r="C59" s="38"/>
      <c r="D59" s="38"/>
      <c r="E59" s="38"/>
      <c r="F59" s="38"/>
      <c r="G59" s="38"/>
      <c r="H59" s="38"/>
      <c r="I59" s="38"/>
      <c r="J59" s="38"/>
      <c r="K59" s="38"/>
      <c r="L59" s="38"/>
      <c r="M59" s="38"/>
      <c r="N59" s="38"/>
      <c r="O59" s="38"/>
      <c r="P59" s="38"/>
      <c r="Q59" s="38"/>
      <c r="R59" s="38"/>
      <c r="S59" s="38"/>
      <c r="T59" s="38"/>
      <c r="U59" s="38"/>
      <c r="V59" s="801">
        <v>0.0</v>
      </c>
      <c r="W59" s="252">
        <f t="shared" si="32"/>
        <v>0</v>
      </c>
      <c r="X59" s="252">
        <f t="shared" ref="X59:BA59" si="43">IF(AND(X$47-$A59&gt;$V$32,SUM($W59:W59)&lt;&gt;$V59),$V59,0)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787">
        <v>1942.0</v>
      </c>
      <c r="B60" s="38"/>
      <c r="C60" s="38"/>
      <c r="D60" s="38"/>
      <c r="E60" s="38"/>
      <c r="F60" s="38"/>
      <c r="G60" s="38"/>
      <c r="H60" s="38"/>
      <c r="I60" s="38"/>
      <c r="J60" s="38"/>
      <c r="K60" s="38"/>
      <c r="L60" s="38"/>
      <c r="M60" s="38"/>
      <c r="N60" s="38"/>
      <c r="O60" s="38"/>
      <c r="P60" s="38"/>
      <c r="Q60" s="38"/>
      <c r="R60" s="38"/>
      <c r="S60" s="38"/>
      <c r="T60" s="38"/>
      <c r="U60" s="38"/>
      <c r="V60" s="801">
        <v>0.0</v>
      </c>
      <c r="W60" s="252">
        <f t="shared" si="32"/>
        <v>0</v>
      </c>
      <c r="X60" s="252">
        <f t="shared" ref="X60:BA60" si="44">IF(AND(X$47-$A60&gt;$V$32,SUM($W60:W60)&lt;&gt;$V60),$V60,0)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787">
        <v>1943.0</v>
      </c>
      <c r="B61" s="38"/>
      <c r="C61" s="38"/>
      <c r="D61" s="38"/>
      <c r="E61" s="38"/>
      <c r="F61" s="38"/>
      <c r="G61" s="38"/>
      <c r="H61" s="38"/>
      <c r="I61" s="38"/>
      <c r="J61" s="38"/>
      <c r="K61" s="38"/>
      <c r="L61" s="38"/>
      <c r="M61" s="38"/>
      <c r="N61" s="38"/>
      <c r="O61" s="38"/>
      <c r="P61" s="38"/>
      <c r="Q61" s="38"/>
      <c r="R61" s="38"/>
      <c r="S61" s="38"/>
      <c r="T61" s="38"/>
      <c r="U61" s="38"/>
      <c r="V61" s="801">
        <v>0.0</v>
      </c>
      <c r="W61" s="252">
        <f t="shared" si="32"/>
        <v>0</v>
      </c>
      <c r="X61" s="252">
        <f t="shared" ref="X61:BA61" si="45">IF(AND(X$47-$A61&gt;$V$32,SUM($W61:W61)&lt;&gt;$V61),$V61,0)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787">
        <v>1944.0</v>
      </c>
      <c r="B62" s="38"/>
      <c r="C62" s="38"/>
      <c r="D62" s="38"/>
      <c r="E62" s="38"/>
      <c r="F62" s="38"/>
      <c r="G62" s="38"/>
      <c r="H62" s="38"/>
      <c r="I62" s="38"/>
      <c r="J62" s="38"/>
      <c r="K62" s="38"/>
      <c r="L62" s="38"/>
      <c r="M62" s="38"/>
      <c r="N62" s="38"/>
      <c r="O62" s="38"/>
      <c r="P62" s="38"/>
      <c r="Q62" s="38"/>
      <c r="R62" s="38"/>
      <c r="S62" s="38"/>
      <c r="T62" s="38"/>
      <c r="U62" s="38"/>
      <c r="V62" s="801">
        <v>0.0</v>
      </c>
      <c r="W62" s="252">
        <f t="shared" si="32"/>
        <v>0</v>
      </c>
      <c r="X62" s="252">
        <f t="shared" ref="X62:BA62" si="46">IF(AND(X$47-$A62&gt;$V$32,SUM($W62:W62)&lt;&gt;$V62),$V62,0)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787">
        <v>1945.0</v>
      </c>
      <c r="B63" s="38"/>
      <c r="C63" s="38"/>
      <c r="D63" s="38"/>
      <c r="E63" s="38"/>
      <c r="F63" s="38"/>
      <c r="G63" s="38"/>
      <c r="H63" s="38"/>
      <c r="I63" s="38"/>
      <c r="J63" s="38"/>
      <c r="K63" s="38"/>
      <c r="L63" s="38"/>
      <c r="M63" s="38"/>
      <c r="N63" s="38"/>
      <c r="O63" s="38"/>
      <c r="P63" s="38"/>
      <c r="Q63" s="38"/>
      <c r="R63" s="38"/>
      <c r="S63" s="38"/>
      <c r="T63" s="38"/>
      <c r="U63" s="38"/>
      <c r="V63" s="801">
        <v>0.0</v>
      </c>
      <c r="W63" s="252">
        <f t="shared" si="32"/>
        <v>0</v>
      </c>
      <c r="X63" s="252">
        <f t="shared" ref="X63:BA63" si="47">IF(AND(X$47-$A63&gt;$V$32,SUM($W63:W63)&lt;&gt;$V63),$V63,0)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787">
        <v>1946.0</v>
      </c>
      <c r="B64" s="38"/>
      <c r="C64" s="38"/>
      <c r="D64" s="38"/>
      <c r="E64" s="38"/>
      <c r="F64" s="38"/>
      <c r="G64" s="38"/>
      <c r="H64" s="38"/>
      <c r="I64" s="38"/>
      <c r="J64" s="38"/>
      <c r="K64" s="38"/>
      <c r="L64" s="38"/>
      <c r="M64" s="38"/>
      <c r="N64" s="38"/>
      <c r="O64" s="38"/>
      <c r="P64" s="38"/>
      <c r="Q64" s="38"/>
      <c r="R64" s="38"/>
      <c r="S64" s="38"/>
      <c r="T64" s="38"/>
      <c r="U64" s="38"/>
      <c r="V64" s="801">
        <v>0.0</v>
      </c>
      <c r="W64" s="252">
        <f t="shared" si="32"/>
        <v>0</v>
      </c>
      <c r="X64" s="252">
        <f t="shared" ref="X64:BA64" si="48">IF(AND(X$47-$A64&gt;$V$32,SUM($W64:W64)&lt;&gt;$V64),$V64,0)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787">
        <v>1947.0</v>
      </c>
      <c r="B65" s="38"/>
      <c r="C65" s="38"/>
      <c r="D65" s="38"/>
      <c r="E65" s="38"/>
      <c r="F65" s="38"/>
      <c r="G65" s="38"/>
      <c r="H65" s="38"/>
      <c r="I65" s="38"/>
      <c r="J65" s="38"/>
      <c r="K65" s="38"/>
      <c r="L65" s="38"/>
      <c r="M65" s="38"/>
      <c r="N65" s="38"/>
      <c r="O65" s="38"/>
      <c r="P65" s="38"/>
      <c r="Q65" s="38"/>
      <c r="R65" s="38"/>
      <c r="S65" s="38"/>
      <c r="T65" s="38"/>
      <c r="U65" s="38"/>
      <c r="V65" s="801">
        <v>0.0</v>
      </c>
      <c r="W65" s="252">
        <f t="shared" si="32"/>
        <v>0</v>
      </c>
      <c r="X65" s="252">
        <f t="shared" ref="X65:BA65" si="49">IF(AND(X$47-$A65&gt;$V$32,SUM($W65:W65)&lt;&gt;$V65),$V65,0)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787">
        <v>1948.0</v>
      </c>
      <c r="B66" s="38"/>
      <c r="C66" s="38"/>
      <c r="D66" s="38"/>
      <c r="E66" s="38"/>
      <c r="F66" s="38"/>
      <c r="G66" s="38"/>
      <c r="H66" s="38"/>
      <c r="I66" s="38"/>
      <c r="J66" s="38"/>
      <c r="K66" s="38"/>
      <c r="L66" s="38"/>
      <c r="M66" s="38"/>
      <c r="N66" s="38"/>
      <c r="O66" s="38"/>
      <c r="P66" s="38"/>
      <c r="Q66" s="38"/>
      <c r="R66" s="38"/>
      <c r="S66" s="38"/>
      <c r="T66" s="38"/>
      <c r="U66" s="38"/>
      <c r="V66" s="801">
        <v>0.0</v>
      </c>
      <c r="W66" s="252">
        <f t="shared" si="32"/>
        <v>0</v>
      </c>
      <c r="X66" s="252">
        <f t="shared" ref="X66:BA66" si="50">IF(AND(X$47-$A66&gt;$V$32,SUM($W66:W66)&lt;&gt;$V66),$V66,0)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787">
        <v>1949.0</v>
      </c>
      <c r="B67" s="38"/>
      <c r="C67" s="38"/>
      <c r="D67" s="38"/>
      <c r="E67" s="38"/>
      <c r="F67" s="38"/>
      <c r="G67" s="38"/>
      <c r="H67" s="38"/>
      <c r="I67" s="38"/>
      <c r="J67" s="38"/>
      <c r="K67" s="38"/>
      <c r="L67" s="38"/>
      <c r="M67" s="38"/>
      <c r="N67" s="38"/>
      <c r="O67" s="38"/>
      <c r="P67" s="38"/>
      <c r="Q67" s="38"/>
      <c r="R67" s="38"/>
      <c r="S67" s="38"/>
      <c r="T67" s="38"/>
      <c r="U67" s="38"/>
      <c r="V67" s="801">
        <v>0.0</v>
      </c>
      <c r="W67" s="252">
        <f t="shared" si="32"/>
        <v>0</v>
      </c>
      <c r="X67" s="252">
        <f t="shared" ref="X67:BA67" si="51">IF(AND(X$47-$A67&gt;$V$32,SUM($W67:W67)&lt;&gt;$V67),$V67,0)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787">
        <v>1950.0</v>
      </c>
      <c r="B68" s="38"/>
      <c r="C68" s="38"/>
      <c r="D68" s="38"/>
      <c r="E68" s="38"/>
      <c r="F68" s="38"/>
      <c r="G68" s="38"/>
      <c r="H68" s="38"/>
      <c r="I68" s="38"/>
      <c r="J68" s="38"/>
      <c r="K68" s="38"/>
      <c r="L68" s="38"/>
      <c r="M68" s="38"/>
      <c r="N68" s="38"/>
      <c r="O68" s="38"/>
      <c r="P68" s="38"/>
      <c r="Q68" s="38"/>
      <c r="R68" s="38"/>
      <c r="S68" s="38"/>
      <c r="T68" s="38"/>
      <c r="U68" s="38"/>
      <c r="V68" s="801">
        <v>0.0</v>
      </c>
      <c r="W68" s="252">
        <f t="shared" si="32"/>
        <v>0</v>
      </c>
      <c r="X68" s="252">
        <f t="shared" ref="X68:BA68" si="52">IF(AND(X$47-$A68&gt;$V$32,SUM($W68:W68)&lt;&gt;$V68),$V68,0)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787">
        <v>1951.0</v>
      </c>
      <c r="B69" s="38"/>
      <c r="C69" s="38"/>
      <c r="D69" s="38"/>
      <c r="E69" s="38"/>
      <c r="F69" s="38"/>
      <c r="G69" s="38"/>
      <c r="H69" s="38"/>
      <c r="I69" s="38"/>
      <c r="J69" s="38"/>
      <c r="K69" s="38"/>
      <c r="L69" s="38"/>
      <c r="M69" s="38"/>
      <c r="N69" s="38"/>
      <c r="O69" s="38"/>
      <c r="P69" s="38"/>
      <c r="Q69" s="38"/>
      <c r="R69" s="38"/>
      <c r="S69" s="38"/>
      <c r="T69" s="38"/>
      <c r="U69" s="38"/>
      <c r="V69" s="801">
        <v>0.0</v>
      </c>
      <c r="W69" s="252">
        <f t="shared" si="32"/>
        <v>0</v>
      </c>
      <c r="X69" s="252">
        <f t="shared" ref="X69:BA69" si="53">IF(AND(X$47-$A69&gt;$V$32,SUM($W69:W69)&lt;&gt;$V69),$V69,0)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787">
        <v>1952.0</v>
      </c>
      <c r="B70" s="38"/>
      <c r="C70" s="38"/>
      <c r="D70" s="38"/>
      <c r="E70" s="38"/>
      <c r="F70" s="38"/>
      <c r="G70" s="38"/>
      <c r="H70" s="38"/>
      <c r="I70" s="38"/>
      <c r="J70" s="38"/>
      <c r="K70" s="38"/>
      <c r="L70" s="38"/>
      <c r="M70" s="38"/>
      <c r="N70" s="38"/>
      <c r="O70" s="38"/>
      <c r="P70" s="38"/>
      <c r="Q70" s="38"/>
      <c r="R70" s="38"/>
      <c r="S70" s="38"/>
      <c r="T70" s="38"/>
      <c r="U70" s="38"/>
      <c r="V70" s="801">
        <v>0.0</v>
      </c>
      <c r="W70" s="252">
        <f t="shared" si="32"/>
        <v>0</v>
      </c>
      <c r="X70" s="252">
        <f t="shared" ref="X70:BA70" si="54">IF(AND(X$47-$A70&gt;$V$32,SUM($W70:W70)&lt;&gt;$V70),$V70,0)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787">
        <v>1953.0</v>
      </c>
      <c r="B71" s="38"/>
      <c r="C71" s="38"/>
      <c r="D71" s="38"/>
      <c r="E71" s="38"/>
      <c r="F71" s="38"/>
      <c r="G71" s="38"/>
      <c r="H71" s="38"/>
      <c r="I71" s="38"/>
      <c r="J71" s="38"/>
      <c r="K71" s="38"/>
      <c r="L71" s="38"/>
      <c r="M71" s="38"/>
      <c r="N71" s="38"/>
      <c r="O71" s="38"/>
      <c r="P71" s="38"/>
      <c r="Q71" s="38"/>
      <c r="R71" s="38"/>
      <c r="S71" s="38"/>
      <c r="T71" s="38"/>
      <c r="U71" s="38"/>
      <c r="V71" s="801">
        <v>0.0</v>
      </c>
      <c r="W71" s="252">
        <f t="shared" si="32"/>
        <v>0</v>
      </c>
      <c r="X71" s="252">
        <f t="shared" ref="X71:BA71" si="55">IF(AND(X$47-$A71&gt;$V$32,SUM($W71:W71)&lt;&gt;$V71),$V71,0)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787">
        <v>1954.0</v>
      </c>
      <c r="B72" s="38"/>
      <c r="C72" s="38"/>
      <c r="D72" s="38"/>
      <c r="E72" s="38"/>
      <c r="F72" s="38"/>
      <c r="G72" s="38"/>
      <c r="H72" s="38"/>
      <c r="I72" s="38"/>
      <c r="J72" s="38"/>
      <c r="K72" s="38"/>
      <c r="L72" s="38"/>
      <c r="M72" s="38"/>
      <c r="N72" s="38"/>
      <c r="O72" s="38"/>
      <c r="P72" s="38"/>
      <c r="Q72" s="38"/>
      <c r="R72" s="38"/>
      <c r="S72" s="38"/>
      <c r="T72" s="38"/>
      <c r="U72" s="38"/>
      <c r="V72" s="801">
        <v>0.0</v>
      </c>
      <c r="W72" s="252">
        <f t="shared" si="32"/>
        <v>0</v>
      </c>
      <c r="X72" s="252">
        <f t="shared" ref="X72:BA72" si="56">IF(AND(X$47-$A72&gt;$V$32,SUM($W72:W72)&lt;&gt;$V72),$V72,0)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787">
        <v>1955.0</v>
      </c>
      <c r="B73" s="38"/>
      <c r="C73" s="38"/>
      <c r="D73" s="38"/>
      <c r="E73" s="38"/>
      <c r="F73" s="38"/>
      <c r="G73" s="38"/>
      <c r="H73" s="38"/>
      <c r="I73" s="38"/>
      <c r="J73" s="38"/>
      <c r="K73" s="38"/>
      <c r="L73" s="38"/>
      <c r="M73" s="38"/>
      <c r="N73" s="38"/>
      <c r="O73" s="38"/>
      <c r="P73" s="38"/>
      <c r="Q73" s="38"/>
      <c r="R73" s="38"/>
      <c r="S73" s="38"/>
      <c r="T73" s="38"/>
      <c r="U73" s="38"/>
      <c r="V73" s="769">
        <v>0.0</v>
      </c>
      <c r="W73" s="252">
        <f t="shared" si="32"/>
        <v>0</v>
      </c>
      <c r="X73" s="252">
        <f t="shared" ref="X73:BA73" si="57">IF(AND(X$47-$A73&gt;$V$32,SUM($W73:W73)&lt;&gt;$V73),$V73,0)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787">
        <v>1956.0</v>
      </c>
      <c r="B74" s="38"/>
      <c r="C74" s="38"/>
      <c r="D74" s="38"/>
      <c r="E74" s="38"/>
      <c r="F74" s="38"/>
      <c r="G74" s="38"/>
      <c r="H74" s="38"/>
      <c r="I74" s="38"/>
      <c r="J74" s="38"/>
      <c r="K74" s="38"/>
      <c r="L74" s="38"/>
      <c r="M74" s="38"/>
      <c r="N74" s="38"/>
      <c r="O74" s="38"/>
      <c r="P74" s="38"/>
      <c r="Q74" s="38"/>
      <c r="R74" s="38"/>
      <c r="S74" s="38"/>
      <c r="T74" s="38"/>
      <c r="U74" s="38"/>
      <c r="V74" s="769">
        <v>0.0</v>
      </c>
      <c r="W74" s="252">
        <f t="shared" si="32"/>
        <v>0</v>
      </c>
      <c r="X74" s="252">
        <f t="shared" ref="X74:BA74" si="58">IF(AND(X$47-$A74&gt;$V$32,SUM($W74:W74)&lt;&gt;$V74),$V74,0)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787">
        <v>1957.0</v>
      </c>
      <c r="B75" s="38"/>
      <c r="C75" s="38"/>
      <c r="D75" s="38"/>
      <c r="E75" s="38"/>
      <c r="F75" s="38"/>
      <c r="G75" s="38"/>
      <c r="H75" s="38"/>
      <c r="I75" s="38"/>
      <c r="J75" s="38"/>
      <c r="K75" s="38"/>
      <c r="L75" s="38"/>
      <c r="M75" s="38"/>
      <c r="N75" s="38"/>
      <c r="O75" s="38"/>
      <c r="P75" s="38"/>
      <c r="Q75" s="38"/>
      <c r="R75" s="38"/>
      <c r="S75" s="38"/>
      <c r="T75" s="38"/>
      <c r="U75" s="38"/>
      <c r="V75" s="769">
        <v>0.0</v>
      </c>
      <c r="W75" s="252">
        <f t="shared" si="32"/>
        <v>0</v>
      </c>
      <c r="X75" s="252">
        <f t="shared" ref="X75:BA75" si="59">IF(AND(X$47-$A75&gt;$V$32,SUM($W75:W75)&lt;&gt;$V75),$V75,0)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787">
        <v>1958.0</v>
      </c>
      <c r="B76" s="38"/>
      <c r="C76" s="38"/>
      <c r="D76" s="38"/>
      <c r="E76" s="38"/>
      <c r="F76" s="38"/>
      <c r="G76" s="38"/>
      <c r="H76" s="38"/>
      <c r="I76" s="38"/>
      <c r="J76" s="38"/>
      <c r="K76" s="38"/>
      <c r="L76" s="38"/>
      <c r="M76" s="38"/>
      <c r="N76" s="38"/>
      <c r="O76" s="38"/>
      <c r="P76" s="38"/>
      <c r="Q76" s="38"/>
      <c r="R76" s="38"/>
      <c r="S76" s="38"/>
      <c r="T76" s="38"/>
      <c r="U76" s="38"/>
      <c r="V76" s="769">
        <v>0.0</v>
      </c>
      <c r="W76" s="252">
        <f t="shared" si="32"/>
        <v>0</v>
      </c>
      <c r="X76" s="252">
        <f t="shared" ref="X76:BA76" si="60">IF(AND(X$47-$A76&gt;$V$32,SUM($W76:W76)&lt;&gt;$V76),$V76,0)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787">
        <v>1959.0</v>
      </c>
      <c r="B77" s="38"/>
      <c r="C77" s="38"/>
      <c r="D77" s="38"/>
      <c r="E77" s="38"/>
      <c r="F77" s="38"/>
      <c r="G77" s="38"/>
      <c r="H77" s="38"/>
      <c r="I77" s="38"/>
      <c r="J77" s="38"/>
      <c r="K77" s="38"/>
      <c r="L77" s="38"/>
      <c r="M77" s="38"/>
      <c r="N77" s="38"/>
      <c r="O77" s="38"/>
      <c r="P77" s="38"/>
      <c r="Q77" s="38"/>
      <c r="R77" s="38"/>
      <c r="S77" s="38"/>
      <c r="T77" s="38"/>
      <c r="U77" s="38"/>
      <c r="V77" s="769">
        <v>0.0</v>
      </c>
      <c r="W77" s="252">
        <f t="shared" si="32"/>
        <v>0</v>
      </c>
      <c r="X77" s="252">
        <f t="shared" ref="X77:BA77" si="61">IF(AND(X$47-$A77&gt;$V$32,SUM($W77:W77)&lt;&gt;$V77),$V77,0)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787">
        <v>1960.0</v>
      </c>
      <c r="B78" s="38"/>
      <c r="C78" s="38"/>
      <c r="D78" s="38"/>
      <c r="E78" s="38"/>
      <c r="F78" s="38"/>
      <c r="G78" s="38"/>
      <c r="H78" s="38"/>
      <c r="I78" s="38"/>
      <c r="J78" s="38"/>
      <c r="K78" s="38"/>
      <c r="L78" s="38"/>
      <c r="M78" s="38"/>
      <c r="N78" s="38"/>
      <c r="O78" s="38"/>
      <c r="P78" s="38"/>
      <c r="Q78" s="38"/>
      <c r="R78" s="38"/>
      <c r="S78" s="38"/>
      <c r="T78" s="38"/>
      <c r="U78" s="38"/>
      <c r="V78" s="769">
        <v>0.0</v>
      </c>
      <c r="W78" s="252">
        <f t="shared" si="32"/>
        <v>0</v>
      </c>
      <c r="X78" s="252">
        <f t="shared" ref="X78:BA78" si="62">IF(AND(X$47-$A78&gt;$V$32,SUM($W78:W78)&lt;&gt;$V78),$V78,0)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787">
        <v>1961.0</v>
      </c>
      <c r="B79" s="38"/>
      <c r="C79" s="38"/>
      <c r="D79" s="38"/>
      <c r="E79" s="38"/>
      <c r="F79" s="38"/>
      <c r="G79" s="38"/>
      <c r="H79" s="38"/>
      <c r="I79" s="38"/>
      <c r="J79" s="38"/>
      <c r="K79" s="38"/>
      <c r="L79" s="38"/>
      <c r="M79" s="38"/>
      <c r="N79" s="38"/>
      <c r="O79" s="38"/>
      <c r="P79" s="38"/>
      <c r="Q79" s="38"/>
      <c r="R79" s="38"/>
      <c r="S79" s="38"/>
      <c r="T79" s="38"/>
      <c r="U79" s="38"/>
      <c r="V79" s="769">
        <v>0.0</v>
      </c>
      <c r="W79" s="252">
        <f t="shared" si="32"/>
        <v>0</v>
      </c>
      <c r="X79" s="252">
        <f t="shared" ref="X79:BA79" si="63">IF(AND(X$47-$A79&gt;$V$32,SUM($W79:W79)&lt;&gt;$V79),$V79,0)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787">
        <v>1962.0</v>
      </c>
      <c r="B80" s="38"/>
      <c r="C80" s="38"/>
      <c r="D80" s="38"/>
      <c r="E80" s="38"/>
      <c r="F80" s="38"/>
      <c r="G80" s="38"/>
      <c r="H80" s="38"/>
      <c r="I80" s="38"/>
      <c r="J80" s="38"/>
      <c r="K80" s="38"/>
      <c r="L80" s="38"/>
      <c r="M80" s="38"/>
      <c r="N80" s="38"/>
      <c r="O80" s="38"/>
      <c r="P80" s="38"/>
      <c r="Q80" s="38"/>
      <c r="R80" s="38"/>
      <c r="S80" s="38"/>
      <c r="T80" s="38"/>
      <c r="U80" s="38"/>
      <c r="V80" s="769">
        <v>0.0</v>
      </c>
      <c r="W80" s="252">
        <f t="shared" si="32"/>
        <v>0</v>
      </c>
      <c r="X80" s="252">
        <f t="shared" ref="X80:BA80" si="64">IF(AND(X$47-$A80&gt;$V$32,SUM($W80:W80)&lt;&gt;$V80),$V80,0)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787">
        <v>1963.0</v>
      </c>
      <c r="B81" s="38"/>
      <c r="C81" s="38"/>
      <c r="D81" s="38"/>
      <c r="E81" s="38"/>
      <c r="F81" s="38"/>
      <c r="G81" s="38"/>
      <c r="H81" s="38"/>
      <c r="I81" s="38"/>
      <c r="J81" s="38"/>
      <c r="K81" s="38"/>
      <c r="L81" s="38"/>
      <c r="M81" s="38"/>
      <c r="N81" s="38"/>
      <c r="O81" s="38"/>
      <c r="P81" s="38"/>
      <c r="Q81" s="38"/>
      <c r="R81" s="38"/>
      <c r="S81" s="38"/>
      <c r="T81" s="38"/>
      <c r="U81" s="38"/>
      <c r="V81" s="769">
        <v>0.0</v>
      </c>
      <c r="W81" s="252">
        <f t="shared" si="32"/>
        <v>0</v>
      </c>
      <c r="X81" s="252">
        <f t="shared" ref="X81:BA81" si="65">IF(AND(X$47-$A81&gt;$V$32,SUM($W81:W81)&lt;&gt;$V81),$V81,0)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787">
        <v>1964.0</v>
      </c>
      <c r="B82" s="38"/>
      <c r="C82" s="38"/>
      <c r="D82" s="38"/>
      <c r="E82" s="38"/>
      <c r="F82" s="38"/>
      <c r="G82" s="38"/>
      <c r="H82" s="38"/>
      <c r="I82" s="38"/>
      <c r="J82" s="38"/>
      <c r="K82" s="38"/>
      <c r="L82" s="38"/>
      <c r="M82" s="38"/>
      <c r="N82" s="38"/>
      <c r="O82" s="38"/>
      <c r="P82" s="38"/>
      <c r="Q82" s="38"/>
      <c r="R82" s="38"/>
      <c r="S82" s="38"/>
      <c r="T82" s="38"/>
      <c r="U82" s="38"/>
      <c r="V82" s="769">
        <v>0.0</v>
      </c>
      <c r="W82" s="252">
        <f t="shared" si="32"/>
        <v>0</v>
      </c>
      <c r="X82" s="252">
        <f t="shared" ref="X82:BA82" si="66">IF(AND(X$47-$A82&gt;$V$32,SUM($W82:W82)&lt;&gt;$V82),$V82,0)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787">
        <v>1965.0</v>
      </c>
      <c r="B83" s="38"/>
      <c r="C83" s="38"/>
      <c r="D83" s="38"/>
      <c r="E83" s="38"/>
      <c r="F83" s="38"/>
      <c r="G83" s="38"/>
      <c r="H83" s="38"/>
      <c r="I83" s="38"/>
      <c r="J83" s="38"/>
      <c r="K83" s="38"/>
      <c r="L83" s="38"/>
      <c r="M83" s="38"/>
      <c r="N83" s="38"/>
      <c r="O83" s="38"/>
      <c r="P83" s="38"/>
      <c r="Q83" s="38"/>
      <c r="R83" s="38"/>
      <c r="S83" s="38"/>
      <c r="T83" s="38"/>
      <c r="U83" s="38"/>
      <c r="V83" s="769">
        <v>0.0</v>
      </c>
      <c r="W83" s="252">
        <f t="shared" si="32"/>
        <v>0</v>
      </c>
      <c r="X83" s="252">
        <f t="shared" ref="X83:BA83" si="67">IF(AND(X$47-$A83&gt;$V$32,SUM($W83:W83)&lt;&gt;$V83),$V83,0)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787">
        <v>1966.0</v>
      </c>
      <c r="B84" s="38"/>
      <c r="C84" s="38"/>
      <c r="D84" s="38"/>
      <c r="E84" s="38"/>
      <c r="F84" s="38"/>
      <c r="G84" s="38"/>
      <c r="H84" s="38"/>
      <c r="I84" s="38"/>
      <c r="J84" s="38"/>
      <c r="K84" s="38"/>
      <c r="L84" s="38"/>
      <c r="M84" s="38"/>
      <c r="N84" s="38"/>
      <c r="O84" s="38"/>
      <c r="P84" s="38"/>
      <c r="Q84" s="38"/>
      <c r="R84" s="38"/>
      <c r="S84" s="38"/>
      <c r="T84" s="38"/>
      <c r="U84" s="38"/>
      <c r="V84" s="769">
        <v>0.0</v>
      </c>
      <c r="W84" s="252">
        <f t="shared" si="32"/>
        <v>0</v>
      </c>
      <c r="X84" s="252">
        <f t="shared" ref="X84:BA84" si="68">IF(AND(X$47-$A84&gt;$V$32,SUM($W84:W84)&lt;&gt;$V84),$V84,0)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787">
        <v>1967.0</v>
      </c>
      <c r="B85" s="38"/>
      <c r="C85" s="38"/>
      <c r="D85" s="38"/>
      <c r="E85" s="38"/>
      <c r="F85" s="38"/>
      <c r="G85" s="38"/>
      <c r="H85" s="38"/>
      <c r="I85" s="38"/>
      <c r="J85" s="38"/>
      <c r="K85" s="38"/>
      <c r="L85" s="38"/>
      <c r="M85" s="38"/>
      <c r="N85" s="38"/>
      <c r="O85" s="38"/>
      <c r="P85" s="38"/>
      <c r="Q85" s="38"/>
      <c r="R85" s="38"/>
      <c r="S85" s="38"/>
      <c r="T85" s="38"/>
      <c r="U85" s="38"/>
      <c r="V85" s="769">
        <v>0.0</v>
      </c>
      <c r="W85" s="252">
        <f t="shared" si="32"/>
        <v>0</v>
      </c>
      <c r="X85" s="252">
        <f t="shared" ref="X85:BA85" si="69">IF(AND(X$47-$A85&gt;$V$32,SUM($W85:W85)&lt;&gt;$V85),$V85,0)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787">
        <v>1968.0</v>
      </c>
      <c r="B86" s="38"/>
      <c r="C86" s="38"/>
      <c r="D86" s="38"/>
      <c r="E86" s="38"/>
      <c r="F86" s="38"/>
      <c r="G86" s="38"/>
      <c r="H86" s="38"/>
      <c r="I86" s="38"/>
      <c r="J86" s="38"/>
      <c r="K86" s="38"/>
      <c r="L86" s="38"/>
      <c r="M86" s="38"/>
      <c r="N86" s="38"/>
      <c r="O86" s="38"/>
      <c r="P86" s="38"/>
      <c r="Q86" s="38"/>
      <c r="R86" s="38"/>
      <c r="S86" s="38"/>
      <c r="T86" s="38"/>
      <c r="U86" s="38"/>
      <c r="V86" s="769">
        <v>0.0</v>
      </c>
      <c r="W86" s="252">
        <f t="shared" si="32"/>
        <v>0</v>
      </c>
      <c r="X86" s="252">
        <f t="shared" ref="X86:BA86" si="70">IF(AND(X$47-$A86&gt;$V$32,SUM($W86:W86)&lt;&gt;$V86),$V86,0)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787">
        <v>1969.0</v>
      </c>
      <c r="B87" s="38"/>
      <c r="C87" s="38"/>
      <c r="D87" s="38"/>
      <c r="E87" s="38"/>
      <c r="F87" s="38"/>
      <c r="G87" s="38"/>
      <c r="H87" s="38"/>
      <c r="I87" s="38"/>
      <c r="J87" s="38"/>
      <c r="K87" s="38"/>
      <c r="L87" s="38"/>
      <c r="M87" s="38"/>
      <c r="N87" s="38"/>
      <c r="O87" s="38"/>
      <c r="P87" s="38"/>
      <c r="Q87" s="38"/>
      <c r="R87" s="38"/>
      <c r="S87" s="38"/>
      <c r="T87" s="38"/>
      <c r="U87" s="38"/>
      <c r="V87" s="769">
        <v>0.0</v>
      </c>
      <c r="W87" s="252">
        <f t="shared" si="32"/>
        <v>0</v>
      </c>
      <c r="X87" s="252">
        <f t="shared" ref="X87:BA87" si="71">IF(AND(X$47-$A87&gt;$V$32,SUM($W87:W87)&lt;&gt;$V87),$V87,0)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787">
        <v>1970.0</v>
      </c>
      <c r="B88" s="38"/>
      <c r="C88" s="38"/>
      <c r="D88" s="38"/>
      <c r="E88" s="38"/>
      <c r="F88" s="38"/>
      <c r="G88" s="38"/>
      <c r="H88" s="38"/>
      <c r="I88" s="38"/>
      <c r="J88" s="38"/>
      <c r="K88" s="38"/>
      <c r="L88" s="38"/>
      <c r="M88" s="38"/>
      <c r="N88" s="38"/>
      <c r="O88" s="38"/>
      <c r="P88" s="38"/>
      <c r="Q88" s="38"/>
      <c r="R88" s="38"/>
      <c r="S88" s="38"/>
      <c r="T88" s="38"/>
      <c r="U88" s="38"/>
      <c r="V88" s="769">
        <v>0.0</v>
      </c>
      <c r="W88" s="252">
        <f t="shared" si="32"/>
        <v>0</v>
      </c>
      <c r="X88" s="252">
        <f t="shared" ref="X88:BA88" si="72">IF(AND(X$47-$A88&gt;$V$32,SUM($W88:W88)&lt;&gt;$V88),$V88,0)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787">
        <v>1971.0</v>
      </c>
      <c r="B89" s="38"/>
      <c r="C89" s="38"/>
      <c r="D89" s="38"/>
      <c r="E89" s="38"/>
      <c r="F89" s="38"/>
      <c r="G89" s="38"/>
      <c r="H89" s="38"/>
      <c r="I89" s="38"/>
      <c r="J89" s="38"/>
      <c r="K89" s="38"/>
      <c r="L89" s="38"/>
      <c r="M89" s="38"/>
      <c r="N89" s="38"/>
      <c r="O89" s="38"/>
      <c r="P89" s="38"/>
      <c r="Q89" s="38"/>
      <c r="R89" s="38"/>
      <c r="S89" s="38"/>
      <c r="T89" s="38"/>
      <c r="U89" s="38"/>
      <c r="V89" s="769">
        <v>768.6</v>
      </c>
      <c r="W89" s="252">
        <f t="shared" si="32"/>
        <v>0</v>
      </c>
      <c r="X89" s="252">
        <f t="shared" ref="X89:BA89" si="73">IF(AND(X$47-$A89&gt;$V$32,SUM($W89:W89)&lt;&gt;$V89),$V89,0)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768.6</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787">
        <v>1972.0</v>
      </c>
      <c r="B90" s="38"/>
      <c r="C90" s="38"/>
      <c r="D90" s="38"/>
      <c r="E90" s="38"/>
      <c r="F90" s="38"/>
      <c r="G90" s="38"/>
      <c r="H90" s="38"/>
      <c r="I90" s="38"/>
      <c r="J90" s="38"/>
      <c r="K90" s="38"/>
      <c r="L90" s="38"/>
      <c r="M90" s="38"/>
      <c r="N90" s="38"/>
      <c r="O90" s="38"/>
      <c r="P90" s="38"/>
      <c r="Q90" s="38"/>
      <c r="R90" s="38"/>
      <c r="S90" s="38"/>
      <c r="T90" s="38"/>
      <c r="U90" s="38"/>
      <c r="V90" s="769">
        <v>0.0</v>
      </c>
      <c r="W90" s="252">
        <f t="shared" si="32"/>
        <v>0</v>
      </c>
      <c r="X90" s="252">
        <f t="shared" ref="X90:BA90" si="74">IF(AND(X$47-$A90&gt;$V$32,SUM($W90:W90)&lt;&gt;$V90),$V90,0)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787">
        <v>1973.0</v>
      </c>
      <c r="B91" s="38"/>
      <c r="C91" s="38"/>
      <c r="D91" s="38"/>
      <c r="E91" s="38"/>
      <c r="F91" s="38"/>
      <c r="G91" s="38"/>
      <c r="H91" s="38"/>
      <c r="I91" s="38"/>
      <c r="J91" s="38"/>
      <c r="K91" s="38"/>
      <c r="L91" s="38"/>
      <c r="M91" s="38"/>
      <c r="N91" s="38"/>
      <c r="O91" s="38"/>
      <c r="P91" s="38"/>
      <c r="Q91" s="38"/>
      <c r="R91" s="38"/>
      <c r="S91" s="38"/>
      <c r="T91" s="38"/>
      <c r="U91" s="38"/>
      <c r="V91" s="769">
        <v>886.7</v>
      </c>
      <c r="W91" s="252">
        <f t="shared" si="32"/>
        <v>0</v>
      </c>
      <c r="X91" s="252">
        <f t="shared" ref="X91:BA91" si="75">IF(AND(X$47-$A91&gt;$V$32,SUM($W91:W91)&lt;&gt;$V91),$V91,0)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886.7</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787">
        <v>1974.0</v>
      </c>
      <c r="B92" s="38"/>
      <c r="C92" s="38"/>
      <c r="D92" s="38"/>
      <c r="E92" s="38"/>
      <c r="F92" s="38"/>
      <c r="G92" s="38"/>
      <c r="H92" s="38"/>
      <c r="I92" s="38"/>
      <c r="J92" s="38"/>
      <c r="K92" s="38"/>
      <c r="L92" s="38"/>
      <c r="M92" s="38"/>
      <c r="N92" s="38"/>
      <c r="O92" s="38"/>
      <c r="P92" s="38"/>
      <c r="Q92" s="38"/>
      <c r="R92" s="38"/>
      <c r="S92" s="38"/>
      <c r="T92" s="38"/>
      <c r="U92" s="38"/>
      <c r="V92" s="769">
        <v>2932.0</v>
      </c>
      <c r="W92" s="252">
        <f t="shared" si="32"/>
        <v>0</v>
      </c>
      <c r="X92" s="252">
        <f t="shared" ref="X92:BA92" si="76">IF(AND(X$47-$A92&gt;$V$32,SUM($W92:W92)&lt;&gt;$V92),$V92,0)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2932</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787">
        <v>1975.0</v>
      </c>
      <c r="B93" s="38"/>
      <c r="C93" s="38"/>
      <c r="D93" s="38"/>
      <c r="E93" s="38"/>
      <c r="F93" s="38"/>
      <c r="G93" s="38"/>
      <c r="H93" s="38"/>
      <c r="I93" s="38"/>
      <c r="J93" s="38"/>
      <c r="K93" s="38"/>
      <c r="L93" s="38"/>
      <c r="M93" s="38"/>
      <c r="N93" s="38"/>
      <c r="O93" s="38"/>
      <c r="P93" s="38"/>
      <c r="Q93" s="38"/>
      <c r="R93" s="38"/>
      <c r="S93" s="38"/>
      <c r="T93" s="38"/>
      <c r="U93" s="38"/>
      <c r="V93" s="769">
        <v>3010.7</v>
      </c>
      <c r="W93" s="252">
        <f t="shared" si="32"/>
        <v>0</v>
      </c>
      <c r="X93" s="252">
        <f t="shared" ref="X93:BA93" si="77">IF(AND(X$47-$A93&gt;$V$32,SUM($W93:W93)&lt;&gt;$V93),$V93,0)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3010.7</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787">
        <v>1976.0</v>
      </c>
      <c r="B94" s="38"/>
      <c r="C94" s="38"/>
      <c r="D94" s="38"/>
      <c r="E94" s="38"/>
      <c r="F94" s="38"/>
      <c r="G94" s="38"/>
      <c r="H94" s="38"/>
      <c r="I94" s="38"/>
      <c r="J94" s="38"/>
      <c r="K94" s="38"/>
      <c r="L94" s="38"/>
      <c r="M94" s="38"/>
      <c r="N94" s="38"/>
      <c r="O94" s="38"/>
      <c r="P94" s="38"/>
      <c r="Q94" s="38"/>
      <c r="R94" s="38"/>
      <c r="S94" s="38"/>
      <c r="T94" s="38"/>
      <c r="U94" s="38"/>
      <c r="V94" s="769">
        <v>0.0</v>
      </c>
      <c r="W94" s="252">
        <f t="shared" si="32"/>
        <v>0</v>
      </c>
      <c r="X94" s="252">
        <f t="shared" ref="X94:BA94" si="78">IF(AND(X$47-$A94&gt;$V$32,SUM($W94:W94)&lt;&gt;$V94),$V94,0)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787">
        <v>1977.0</v>
      </c>
      <c r="B95" s="38"/>
      <c r="C95" s="38"/>
      <c r="D95" s="38"/>
      <c r="E95" s="38"/>
      <c r="F95" s="38"/>
      <c r="G95" s="38"/>
      <c r="H95" s="38"/>
      <c r="I95" s="38"/>
      <c r="J95" s="38"/>
      <c r="K95" s="38"/>
      <c r="L95" s="38"/>
      <c r="M95" s="38"/>
      <c r="N95" s="38"/>
      <c r="O95" s="38"/>
      <c r="P95" s="38"/>
      <c r="Q95" s="38"/>
      <c r="R95" s="38"/>
      <c r="S95" s="38"/>
      <c r="T95" s="38"/>
      <c r="U95" s="38"/>
      <c r="V95" s="769">
        <v>3079.8</v>
      </c>
      <c r="W95" s="252">
        <f t="shared" si="32"/>
        <v>0</v>
      </c>
      <c r="X95" s="252">
        <f t="shared" ref="X95:BA95" si="79">IF(AND(X$47-$A95&gt;$V$32,SUM($W95:W95)&lt;&gt;$V95),$V95,0)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3079.8</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787">
        <v>1978.0</v>
      </c>
      <c r="B96" s="38"/>
      <c r="C96" s="38"/>
      <c r="D96" s="38"/>
      <c r="E96" s="38"/>
      <c r="F96" s="38"/>
      <c r="G96" s="38"/>
      <c r="H96" s="38"/>
      <c r="I96" s="38"/>
      <c r="J96" s="38"/>
      <c r="K96" s="38"/>
      <c r="L96" s="38"/>
      <c r="M96" s="38"/>
      <c r="N96" s="38"/>
      <c r="O96" s="38"/>
      <c r="P96" s="38"/>
      <c r="Q96" s="38"/>
      <c r="R96" s="38"/>
      <c r="S96" s="38"/>
      <c r="T96" s="38"/>
      <c r="U96" s="38"/>
      <c r="V96" s="769">
        <v>0.0</v>
      </c>
      <c r="W96" s="252">
        <f t="shared" si="32"/>
        <v>0</v>
      </c>
      <c r="X96" s="252">
        <f t="shared" ref="X96:BA96" si="80">IF(AND(X$47-$A96&gt;$V$32,SUM($W96:W96)&lt;&gt;$V96),$V96,0)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787">
        <v>1979.0</v>
      </c>
      <c r="B97" s="38"/>
      <c r="C97" s="38"/>
      <c r="D97" s="38"/>
      <c r="E97" s="38"/>
      <c r="F97" s="38"/>
      <c r="G97" s="38"/>
      <c r="H97" s="38"/>
      <c r="I97" s="38"/>
      <c r="J97" s="38"/>
      <c r="K97" s="38"/>
      <c r="L97" s="38"/>
      <c r="M97" s="38"/>
      <c r="N97" s="38"/>
      <c r="O97" s="38"/>
      <c r="P97" s="38"/>
      <c r="Q97" s="38"/>
      <c r="R97" s="38"/>
      <c r="S97" s="38"/>
      <c r="T97" s="38"/>
      <c r="U97" s="38"/>
      <c r="V97" s="769">
        <v>864.7</v>
      </c>
      <c r="W97" s="252">
        <f t="shared" si="32"/>
        <v>0</v>
      </c>
      <c r="X97" s="252">
        <f t="shared" ref="X97:BA97" si="81">IF(AND(X$47-$A97&gt;$V$32,SUM($W97:W97)&lt;&gt;$V97),$V97,0)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864.7</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787">
        <v>1980.0</v>
      </c>
      <c r="B98" s="38"/>
      <c r="C98" s="38"/>
      <c r="D98" s="38"/>
      <c r="E98" s="38"/>
      <c r="F98" s="38"/>
      <c r="G98" s="38"/>
      <c r="H98" s="38"/>
      <c r="I98" s="38"/>
      <c r="J98" s="38"/>
      <c r="K98" s="38"/>
      <c r="L98" s="38"/>
      <c r="M98" s="38"/>
      <c r="N98" s="38"/>
      <c r="O98" s="38"/>
      <c r="P98" s="38"/>
      <c r="Q98" s="38"/>
      <c r="R98" s="38"/>
      <c r="S98" s="38"/>
      <c r="T98" s="38"/>
      <c r="U98" s="38"/>
      <c r="V98" s="769">
        <v>0.0</v>
      </c>
      <c r="W98" s="252">
        <f t="shared" si="32"/>
        <v>0</v>
      </c>
      <c r="X98" s="252">
        <f t="shared" ref="X98:BA98" si="82">IF(AND(X$47-$A98&gt;$V$32,SUM($W98:W98)&lt;&gt;$V98),$V98,0)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787">
        <v>1981.0</v>
      </c>
      <c r="B99" s="38"/>
      <c r="C99" s="38"/>
      <c r="D99" s="38"/>
      <c r="E99" s="38"/>
      <c r="F99" s="38"/>
      <c r="G99" s="38"/>
      <c r="H99" s="38"/>
      <c r="I99" s="38"/>
      <c r="J99" s="38"/>
      <c r="K99" s="38"/>
      <c r="L99" s="38"/>
      <c r="M99" s="38"/>
      <c r="N99" s="38"/>
      <c r="O99" s="38"/>
      <c r="P99" s="38"/>
      <c r="Q99" s="38"/>
      <c r="R99" s="38"/>
      <c r="S99" s="38"/>
      <c r="T99" s="38"/>
      <c r="U99" s="38"/>
      <c r="V99" s="769">
        <v>3329.0</v>
      </c>
      <c r="W99" s="252">
        <f t="shared" si="32"/>
        <v>0</v>
      </c>
      <c r="X99" s="252">
        <f t="shared" ref="X99:BA99" si="83">IF(AND(X$47-$A99&gt;$V$32,SUM($W99:W99)&lt;&gt;$V99),$V99,0)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3329</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787">
        <v>1982.0</v>
      </c>
      <c r="B100" s="38"/>
      <c r="C100" s="38"/>
      <c r="D100" s="38"/>
      <c r="E100" s="38"/>
      <c r="F100" s="38"/>
      <c r="G100" s="38"/>
      <c r="H100" s="38"/>
      <c r="I100" s="38"/>
      <c r="J100" s="38"/>
      <c r="K100" s="38"/>
      <c r="L100" s="38"/>
      <c r="M100" s="38"/>
      <c r="N100" s="38"/>
      <c r="O100" s="38"/>
      <c r="P100" s="38"/>
      <c r="Q100" s="38"/>
      <c r="R100" s="38"/>
      <c r="S100" s="38"/>
      <c r="T100" s="38"/>
      <c r="U100" s="38"/>
      <c r="V100" s="769">
        <v>1220.5</v>
      </c>
      <c r="W100" s="252">
        <f t="shared" si="32"/>
        <v>0</v>
      </c>
      <c r="X100" s="252">
        <f t="shared" ref="X100:BA100" si="84">IF(AND(X$47-$A100&gt;$V$32,SUM($W100:W100)&lt;&gt;$V100),$V100,0)</f>
        <v>0</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1220.5</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787">
        <v>1983.0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32"/>
        <v>0</v>
      </c>
      <c r="X101" s="252">
        <f t="shared" ref="X101:BA101" si="85">IF(AND(X$47-$A101&gt;$V$32,SUM($W101:W101)&lt;&gt;$V101),$V101,0)</f>
        <v>0</v>
      </c>
      <c r="Y101" s="252">
        <f t="shared" si="85"/>
        <v>0</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787">
        <v>1984.0</v>
      </c>
      <c r="B102" s="38"/>
      <c r="C102" s="38"/>
      <c r="D102" s="38"/>
      <c r="E102" s="38"/>
      <c r="F102" s="38"/>
      <c r="G102" s="38"/>
      <c r="H102" s="38"/>
      <c r="I102" s="38"/>
      <c r="J102" s="38"/>
      <c r="K102" s="38"/>
      <c r="L102" s="38"/>
      <c r="M102" s="38"/>
      <c r="N102" s="38"/>
      <c r="O102" s="38"/>
      <c r="P102" s="38"/>
      <c r="Q102" s="38"/>
      <c r="R102" s="38"/>
      <c r="S102" s="38"/>
      <c r="T102" s="38"/>
      <c r="U102" s="38"/>
      <c r="V102" s="769">
        <v>2249.9</v>
      </c>
      <c r="W102" s="252">
        <f t="shared" si="32"/>
        <v>0</v>
      </c>
      <c r="X102" s="252">
        <f t="shared" ref="X102:BA102" si="86">IF(AND(X$47-$A102&gt;$V$32,SUM($W102:W102)&lt;&gt;$V102),$V102,0)</f>
        <v>0</v>
      </c>
      <c r="Y102" s="252">
        <f t="shared" si="86"/>
        <v>0</v>
      </c>
      <c r="Z102" s="252">
        <f t="shared" si="86"/>
        <v>0</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2249.9</v>
      </c>
      <c r="AW102" s="252">
        <f t="shared" si="86"/>
        <v>0</v>
      </c>
      <c r="AX102" s="252">
        <f t="shared" si="86"/>
        <v>0</v>
      </c>
      <c r="AY102" s="252">
        <f t="shared" si="86"/>
        <v>0</v>
      </c>
      <c r="AZ102" s="252">
        <f t="shared" si="86"/>
        <v>0</v>
      </c>
      <c r="BA102" s="252">
        <f t="shared" si="86"/>
        <v>0</v>
      </c>
    </row>
    <row r="103" ht="15.75" customHeight="1">
      <c r="A103" s="787">
        <v>1985.0</v>
      </c>
      <c r="B103" s="38"/>
      <c r="C103" s="38"/>
      <c r="D103" s="38"/>
      <c r="E103" s="38"/>
      <c r="F103" s="38"/>
      <c r="G103" s="38"/>
      <c r="H103" s="38"/>
      <c r="I103" s="38"/>
      <c r="J103" s="38"/>
      <c r="K103" s="38"/>
      <c r="L103" s="38"/>
      <c r="M103" s="38"/>
      <c r="N103" s="38"/>
      <c r="O103" s="38"/>
      <c r="P103" s="38"/>
      <c r="Q103" s="38"/>
      <c r="R103" s="38"/>
      <c r="S103" s="38"/>
      <c r="T103" s="38"/>
      <c r="U103" s="38"/>
      <c r="V103" s="769">
        <v>2645.1</v>
      </c>
      <c r="W103" s="252">
        <f t="shared" si="32"/>
        <v>0</v>
      </c>
      <c r="X103" s="252">
        <f t="shared" ref="X103:BA103" si="87">IF(AND(X$47-$A103&gt;$V$32,SUM($W103:W103)&lt;&gt;$V103),$V103,0)</f>
        <v>0</v>
      </c>
      <c r="Y103" s="252">
        <f t="shared" si="87"/>
        <v>0</v>
      </c>
      <c r="Z103" s="252">
        <f t="shared" si="87"/>
        <v>0</v>
      </c>
      <c r="AA103" s="252">
        <f t="shared" si="87"/>
        <v>0</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2645.1</v>
      </c>
      <c r="AX103" s="252">
        <f t="shared" si="87"/>
        <v>0</v>
      </c>
      <c r="AY103" s="252">
        <f t="shared" si="87"/>
        <v>0</v>
      </c>
      <c r="AZ103" s="252">
        <f t="shared" si="87"/>
        <v>0</v>
      </c>
      <c r="BA103" s="252">
        <f t="shared" si="87"/>
        <v>0</v>
      </c>
    </row>
    <row r="104" ht="15.75" customHeight="1">
      <c r="A104" s="787">
        <v>1986.0</v>
      </c>
      <c r="B104" s="38"/>
      <c r="C104" s="38"/>
      <c r="D104" s="38"/>
      <c r="E104" s="38"/>
      <c r="F104" s="38"/>
      <c r="G104" s="38"/>
      <c r="H104" s="38"/>
      <c r="I104" s="38"/>
      <c r="J104" s="38"/>
      <c r="K104" s="38"/>
      <c r="L104" s="38"/>
      <c r="M104" s="38"/>
      <c r="N104" s="38"/>
      <c r="O104" s="38"/>
      <c r="P104" s="38"/>
      <c r="Q104" s="38"/>
      <c r="R104" s="38"/>
      <c r="S104" s="38"/>
      <c r="T104" s="38"/>
      <c r="U104" s="38"/>
      <c r="V104" s="769">
        <v>1205.1</v>
      </c>
      <c r="W104" s="252">
        <f t="shared" si="32"/>
        <v>0</v>
      </c>
      <c r="X104" s="252">
        <f t="shared" ref="X104:BA104" si="88">IF(AND(X$47-$A104&gt;$V$32,SUM($W104:W104)&lt;&gt;$V104),$V104,0)</f>
        <v>0</v>
      </c>
      <c r="Y104" s="252">
        <f t="shared" si="88"/>
        <v>0</v>
      </c>
      <c r="Z104" s="252">
        <f t="shared" si="88"/>
        <v>0</v>
      </c>
      <c r="AA104" s="252">
        <f t="shared" si="88"/>
        <v>0</v>
      </c>
      <c r="AB104" s="252">
        <f t="shared" si="88"/>
        <v>0</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1205.1</v>
      </c>
      <c r="AY104" s="252">
        <f t="shared" si="88"/>
        <v>0</v>
      </c>
      <c r="AZ104" s="252">
        <f t="shared" si="88"/>
        <v>0</v>
      </c>
      <c r="BA104" s="252">
        <f t="shared" si="88"/>
        <v>0</v>
      </c>
    </row>
    <row r="105" ht="15.75" customHeight="1">
      <c r="A105" s="787">
        <v>1987.0</v>
      </c>
      <c r="B105" s="38"/>
      <c r="C105" s="38"/>
      <c r="D105" s="38"/>
      <c r="E105" s="38"/>
      <c r="F105" s="38"/>
      <c r="G105" s="38"/>
      <c r="H105" s="38"/>
      <c r="I105" s="38"/>
      <c r="J105" s="38"/>
      <c r="K105" s="38"/>
      <c r="L105" s="38"/>
      <c r="M105" s="38"/>
      <c r="N105" s="38"/>
      <c r="O105" s="38"/>
      <c r="P105" s="38"/>
      <c r="Q105" s="38"/>
      <c r="R105" s="38"/>
      <c r="S105" s="38"/>
      <c r="T105" s="38"/>
      <c r="U105" s="38"/>
      <c r="V105" s="769">
        <v>2110.9</v>
      </c>
      <c r="W105" s="252">
        <f t="shared" si="32"/>
        <v>0</v>
      </c>
      <c r="X105" s="252">
        <f t="shared" ref="X105:BA105" si="89">IF(AND(X$47-$A105&gt;$V$32,SUM($W105:W105)&lt;&gt;$V105),$V105,0)</f>
        <v>0</v>
      </c>
      <c r="Y105" s="252">
        <f t="shared" si="89"/>
        <v>0</v>
      </c>
      <c r="Z105" s="252">
        <f t="shared" si="89"/>
        <v>0</v>
      </c>
      <c r="AA105" s="252">
        <f t="shared" si="89"/>
        <v>0</v>
      </c>
      <c r="AB105" s="252">
        <f t="shared" si="89"/>
        <v>0</v>
      </c>
      <c r="AC105" s="252">
        <f t="shared" si="89"/>
        <v>0</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2110.9</v>
      </c>
      <c r="AZ105" s="252">
        <f t="shared" si="89"/>
        <v>0</v>
      </c>
      <c r="BA105" s="252">
        <f t="shared" si="89"/>
        <v>0</v>
      </c>
    </row>
    <row r="106" ht="15.75" customHeight="1">
      <c r="A106" s="787">
        <v>1988.0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32"/>
        <v>0</v>
      </c>
      <c r="X106" s="252">
        <f t="shared" ref="X106:BA106" si="90">IF(AND(X$47-$A106&gt;$V$32,SUM($W106:W106)&lt;&gt;$V106),$V106,0)</f>
        <v>0</v>
      </c>
      <c r="Y106" s="252">
        <f t="shared" si="90"/>
        <v>0</v>
      </c>
      <c r="Z106" s="252">
        <f t="shared" si="90"/>
        <v>0</v>
      </c>
      <c r="AA106" s="252">
        <f t="shared" si="90"/>
        <v>0</v>
      </c>
      <c r="AB106" s="252">
        <f t="shared" si="90"/>
        <v>0</v>
      </c>
      <c r="AC106" s="252">
        <f t="shared" si="90"/>
        <v>0</v>
      </c>
      <c r="AD106" s="252">
        <f t="shared" si="90"/>
        <v>0</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787">
        <v>1989.0</v>
      </c>
      <c r="B107" s="38"/>
      <c r="C107" s="38"/>
      <c r="D107" s="38"/>
      <c r="E107" s="38"/>
      <c r="F107" s="38"/>
      <c r="G107" s="38"/>
      <c r="H107" s="38"/>
      <c r="I107" s="38"/>
      <c r="J107" s="38"/>
      <c r="K107" s="38"/>
      <c r="L107" s="38"/>
      <c r="M107" s="38"/>
      <c r="N107" s="38"/>
      <c r="O107" s="38"/>
      <c r="P107" s="38"/>
      <c r="Q107" s="38"/>
      <c r="R107" s="38"/>
      <c r="S107" s="38"/>
      <c r="T107" s="38"/>
      <c r="U107" s="38"/>
      <c r="V107" s="769">
        <v>1160.0</v>
      </c>
      <c r="W107" s="252">
        <f t="shared" si="32"/>
        <v>0</v>
      </c>
      <c r="X107" s="252">
        <f t="shared" ref="X107:BA107" si="91">IF(AND(X$47-$A107&gt;$V$32,SUM($W107:W107)&lt;&gt;$V107),$V107,0)</f>
        <v>0</v>
      </c>
      <c r="Y107" s="252">
        <f t="shared" si="91"/>
        <v>0</v>
      </c>
      <c r="Z107" s="252">
        <f t="shared" si="91"/>
        <v>0</v>
      </c>
      <c r="AA107" s="252">
        <f t="shared" si="91"/>
        <v>0</v>
      </c>
      <c r="AB107" s="252">
        <f t="shared" si="91"/>
        <v>0</v>
      </c>
      <c r="AC107" s="252">
        <f t="shared" si="91"/>
        <v>0</v>
      </c>
      <c r="AD107" s="252">
        <f t="shared" si="91"/>
        <v>0</v>
      </c>
      <c r="AE107" s="252">
        <f t="shared" si="91"/>
        <v>0</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1160</v>
      </c>
    </row>
    <row r="108" ht="15.75" customHeight="1">
      <c r="A108" s="787">
        <v>1990.0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32"/>
        <v>0</v>
      </c>
      <c r="X108" s="252">
        <f t="shared" ref="X108:BA108" si="92">IF(AND(X$47-$A108&gt;$V$32,SUM($W108:W108)&lt;&gt;$V108),$V108,0)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0</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787">
        <v>1991.0</v>
      </c>
      <c r="B109" s="38"/>
      <c r="C109" s="38"/>
      <c r="D109" s="38"/>
      <c r="E109" s="38"/>
      <c r="F109" s="38"/>
      <c r="G109" s="38"/>
      <c r="H109" s="38"/>
      <c r="I109" s="38"/>
      <c r="J109" s="38"/>
      <c r="K109" s="38"/>
      <c r="L109" s="38"/>
      <c r="M109" s="38"/>
      <c r="N109" s="38"/>
      <c r="O109" s="38"/>
      <c r="P109" s="38"/>
      <c r="Q109" s="38"/>
      <c r="R109" s="38"/>
      <c r="S109" s="38"/>
      <c r="T109" s="38"/>
      <c r="U109" s="38"/>
      <c r="V109" s="770">
        <v>0.0</v>
      </c>
      <c r="W109" s="252">
        <f t="shared" si="32"/>
        <v>0</v>
      </c>
      <c r="X109" s="252">
        <f t="shared" ref="X109:BA109" si="93">IF(AND(X$47-$A109&gt;$V$32,SUM($W109:W109)&lt;&gt;$V109),$V109,0)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0</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787">
        <v>1992.0</v>
      </c>
      <c r="B110" s="38"/>
      <c r="C110" s="38"/>
      <c r="D110" s="38"/>
      <c r="E110" s="38"/>
      <c r="F110" s="38"/>
      <c r="G110" s="38"/>
      <c r="H110" s="38"/>
      <c r="I110" s="38"/>
      <c r="J110" s="38"/>
      <c r="K110" s="38"/>
      <c r="L110" s="38"/>
      <c r="M110" s="38"/>
      <c r="N110" s="38"/>
      <c r="O110" s="38"/>
      <c r="P110" s="38"/>
      <c r="Q110" s="38"/>
      <c r="R110" s="38"/>
      <c r="S110" s="38"/>
      <c r="T110" s="38"/>
      <c r="U110" s="38"/>
      <c r="V110" s="770">
        <v>0.0</v>
      </c>
      <c r="W110" s="252">
        <f t="shared" si="32"/>
        <v>0</v>
      </c>
      <c r="X110" s="252">
        <f t="shared" ref="X110:BA110" si="94">IF(AND(X$47-$A110&gt;$V$32,SUM($W110:W110)&lt;&gt;$V110),$V110,0)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0</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787">
        <v>1993.0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32"/>
        <v>0</v>
      </c>
      <c r="X111" s="252">
        <f t="shared" ref="X111:BA111" si="95">IF(AND(X$47-$A111&gt;$V$32,SUM($W111:W111)&lt;&gt;$V111),$V111,0)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0</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787">
        <v>1994.0</v>
      </c>
      <c r="B112" s="38"/>
      <c r="C112" s="38"/>
      <c r="D112" s="38"/>
      <c r="E112" s="38"/>
      <c r="F112" s="38"/>
      <c r="G112" s="38"/>
      <c r="H112" s="38"/>
      <c r="I112" s="38"/>
      <c r="J112" s="38"/>
      <c r="K112" s="38"/>
      <c r="L112" s="38"/>
      <c r="M112" s="38"/>
      <c r="N112" s="38"/>
      <c r="O112" s="38"/>
      <c r="P112" s="38"/>
      <c r="Q112" s="38"/>
      <c r="R112" s="38"/>
      <c r="S112" s="38"/>
      <c r="T112" s="38"/>
      <c r="U112" s="38"/>
      <c r="V112" s="770">
        <v>0.0</v>
      </c>
      <c r="W112" s="252">
        <f t="shared" si="32"/>
        <v>0</v>
      </c>
      <c r="X112" s="252">
        <f t="shared" ref="X112:BA112" si="96">IF(AND(X$47-$A112&gt;$V$32,SUM($W112:W112)&lt;&gt;$V112),$V112,0)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0</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787">
        <v>1995.0</v>
      </c>
      <c r="B113" s="38"/>
      <c r="C113" s="38"/>
      <c r="D113" s="38"/>
      <c r="E113" s="38"/>
      <c r="F113" s="38"/>
      <c r="G113" s="38"/>
      <c r="H113" s="38"/>
      <c r="I113" s="38"/>
      <c r="J113" s="38"/>
      <c r="K113" s="38"/>
      <c r="L113" s="38"/>
      <c r="M113" s="38"/>
      <c r="N113" s="38"/>
      <c r="O113" s="38"/>
      <c r="P113" s="38"/>
      <c r="Q113" s="38"/>
      <c r="R113" s="38"/>
      <c r="S113" s="38"/>
      <c r="T113" s="38"/>
      <c r="U113" s="38"/>
      <c r="V113" s="770">
        <v>0.0</v>
      </c>
      <c r="W113" s="252">
        <f t="shared" si="32"/>
        <v>0</v>
      </c>
      <c r="X113" s="252">
        <f t="shared" ref="X113:BA113" si="97">IF(AND(X$47-$A113&gt;$V$32,SUM($W113:W113)&lt;&gt;$V113),$V113,0)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0</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787">
        <v>1996.0</v>
      </c>
      <c r="B114" s="38"/>
      <c r="C114" s="38"/>
      <c r="D114" s="38"/>
      <c r="E114" s="38"/>
      <c r="F114" s="38"/>
      <c r="G114" s="38"/>
      <c r="H114" s="38"/>
      <c r="I114" s="38"/>
      <c r="J114" s="38"/>
      <c r="K114" s="38"/>
      <c r="L114" s="38"/>
      <c r="M114" s="38"/>
      <c r="N114" s="38"/>
      <c r="O114" s="38"/>
      <c r="P114" s="38"/>
      <c r="Q114" s="38"/>
      <c r="R114" s="38"/>
      <c r="S114" s="38"/>
      <c r="T114" s="38"/>
      <c r="U114" s="38"/>
      <c r="V114" s="769">
        <v>1269.9</v>
      </c>
      <c r="W114" s="252">
        <f t="shared" si="32"/>
        <v>0</v>
      </c>
      <c r="X114" s="252">
        <f t="shared" ref="X114:BA114" si="98">IF(AND(X$47-$A114&gt;$V$32,SUM($W114:W114)&lt;&gt;$V114),$V114,0)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0</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787">
        <v>1997.0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32"/>
        <v>0</v>
      </c>
      <c r="X115" s="252">
        <f t="shared" ref="X115:BA115" si="99">IF(AND(X$47-$A115&gt;$V$32,SUM($W115:W115)&lt;&gt;$V115),$V115,0)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0</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787">
        <v>1998.0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32"/>
        <v>0</v>
      </c>
      <c r="X116" s="252">
        <f t="shared" ref="X116:BA116" si="100">IF(AND(X$47-$A116&gt;$V$32,SUM($W116:W116)&lt;&gt;$V116),$V116,0)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0</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787">
        <v>1999.0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32"/>
        <v>0</v>
      </c>
      <c r="X117" s="252">
        <f t="shared" ref="X117:BA117" si="101">IF(AND(X$47-$A117&gt;$V$32,SUM($W117:W117)&lt;&gt;$V117),$V117,0)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0</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787">
        <v>2000.0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32"/>
        <v>0</v>
      </c>
      <c r="X118" s="252">
        <f t="shared" ref="X118:BA118" si="102">IF(AND(X$47-$A118&gt;$V$32,SUM($W118:W118)&lt;&gt;$V118),$V118,0)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0</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787">
        <v>2001.0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32"/>
        <v>0</v>
      </c>
      <c r="X119" s="252">
        <f t="shared" ref="X119:BA119" si="103">IF(AND(X$47-$A119&gt;$V$32,SUM($W119:W119)&lt;&gt;$V119),$V119,0)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0</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787">
        <v>2002.0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32"/>
        <v>0</v>
      </c>
      <c r="X120" s="252">
        <f t="shared" ref="X120:BA120" si="104">IF(AND(X$47-$A120&gt;$V$32,SUM($W120:W120)&lt;&gt;$V120),$V120,0)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0</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787">
        <v>2003.0</v>
      </c>
      <c r="B121" s="38"/>
      <c r="C121" s="38"/>
      <c r="D121" s="38"/>
      <c r="E121" s="38"/>
      <c r="F121" s="38"/>
      <c r="G121" s="38"/>
      <c r="H121" s="38"/>
      <c r="I121" s="38"/>
      <c r="J121" s="38"/>
      <c r="K121" s="38"/>
      <c r="L121" s="38"/>
      <c r="M121" s="38"/>
      <c r="N121" s="38"/>
      <c r="O121" s="38"/>
      <c r="P121" s="38"/>
      <c r="Q121" s="38"/>
      <c r="R121" s="38"/>
      <c r="S121" s="38"/>
      <c r="T121" s="38"/>
      <c r="U121" s="38"/>
      <c r="V121" s="769">
        <v>0.0</v>
      </c>
      <c r="W121" s="252">
        <f t="shared" si="32"/>
        <v>0</v>
      </c>
      <c r="X121" s="252">
        <f t="shared" ref="X121:BA121" si="105">IF(AND(X$47-$A121&gt;$V$32,SUM($W121:W121)&lt;&gt;$V121),$V121,0)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0</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38">
        <v>2004.0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32"/>
        <v>0</v>
      </c>
      <c r="X122" s="252">
        <f t="shared" ref="X122:BA122" si="106">IF(AND(X$47-$A122&gt;$V$32,SUM($W122:W122)&lt;&gt;$V122),$V122,0)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0</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38">
        <v>2005.0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32"/>
        <v>0</v>
      </c>
      <c r="X123" s="252">
        <f t="shared" ref="X123:BA123" si="107">IF(AND(X$47-$A123&gt;$V$32,SUM($W123:W123)&lt;&gt;$V123),$V123,0)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0</v>
      </c>
      <c r="AV123" s="252">
        <f t="shared" si="107"/>
        <v>0</v>
      </c>
      <c r="AW123" s="252">
        <f t="shared" si="107"/>
        <v>0</v>
      </c>
      <c r="AX123" s="252">
        <f t="shared" si="107"/>
        <v>0</v>
      </c>
      <c r="AY123" s="252">
        <f t="shared" si="107"/>
        <v>0</v>
      </c>
      <c r="AZ123" s="252">
        <f t="shared" si="107"/>
        <v>0</v>
      </c>
      <c r="BA123" s="252">
        <f t="shared" si="107"/>
        <v>0</v>
      </c>
    </row>
    <row r="124" ht="15.75" customHeight="1">
      <c r="A124" s="787">
        <v>2006.0</v>
      </c>
      <c r="B124" s="733"/>
      <c r="C124" s="733"/>
      <c r="D124" s="733"/>
      <c r="E124" s="733"/>
      <c r="F124" s="733"/>
      <c r="G124" s="733"/>
      <c r="H124" s="733"/>
      <c r="I124" s="733"/>
      <c r="J124" s="733"/>
      <c r="K124" s="733"/>
      <c r="L124" s="733"/>
      <c r="M124" s="733"/>
      <c r="N124" s="733"/>
      <c r="O124" s="733"/>
      <c r="P124" s="733"/>
      <c r="Q124" s="733"/>
      <c r="R124" s="733"/>
      <c r="S124" s="733"/>
      <c r="T124" s="733"/>
      <c r="U124" s="733"/>
      <c r="V124" s="769">
        <v>0.0</v>
      </c>
      <c r="W124" s="252">
        <f t="shared" si="32"/>
        <v>0</v>
      </c>
      <c r="X124" s="252">
        <f t="shared" ref="X124:BA124" si="108">IF(AND(X$47-$A124&gt;$V$32,SUM($W124:W124)&lt;&gt;$V124),$V124,0)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0</v>
      </c>
      <c r="AW124" s="252">
        <f t="shared" si="108"/>
        <v>0</v>
      </c>
      <c r="AX124" s="252">
        <f t="shared" si="108"/>
        <v>0</v>
      </c>
      <c r="AY124" s="252">
        <f t="shared" si="108"/>
        <v>0</v>
      </c>
      <c r="AZ124" s="252">
        <f t="shared" si="108"/>
        <v>0</v>
      </c>
      <c r="BA124" s="252">
        <f t="shared" si="108"/>
        <v>0</v>
      </c>
    </row>
    <row r="125" ht="18.75" customHeight="1">
      <c r="A125" s="787">
        <v>2007.0</v>
      </c>
      <c r="B125" s="733"/>
      <c r="C125" s="733"/>
      <c r="D125" s="733"/>
      <c r="E125" s="733"/>
      <c r="F125" s="733"/>
      <c r="G125" s="733"/>
      <c r="H125" s="733"/>
      <c r="I125" s="733"/>
      <c r="J125" s="733"/>
      <c r="K125" s="733"/>
      <c r="L125" s="733"/>
      <c r="M125" s="733"/>
      <c r="N125" s="733"/>
      <c r="O125" s="733"/>
      <c r="P125" s="733"/>
      <c r="Q125" s="733"/>
      <c r="R125" s="733"/>
      <c r="S125" s="733"/>
      <c r="T125" s="733"/>
      <c r="U125" s="733"/>
      <c r="V125" s="769">
        <v>0.0</v>
      </c>
      <c r="W125" s="252">
        <f t="shared" si="32"/>
        <v>0</v>
      </c>
      <c r="X125" s="252">
        <f t="shared" ref="X125:BA125" si="109">IF(AND(X$47-$A125&gt;$V$32,SUM($W125:W125)&lt;&gt;$V125),$V125,0)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0</v>
      </c>
      <c r="AX125" s="252">
        <f t="shared" si="109"/>
        <v>0</v>
      </c>
      <c r="AY125" s="252">
        <f t="shared" si="109"/>
        <v>0</v>
      </c>
      <c r="AZ125" s="252">
        <f t="shared" si="109"/>
        <v>0</v>
      </c>
      <c r="BA125" s="252">
        <f t="shared" si="109"/>
        <v>0</v>
      </c>
    </row>
    <row r="126" ht="15.75" customHeight="1">
      <c r="A126" s="787">
        <v>2008.0</v>
      </c>
      <c r="B126" s="733"/>
      <c r="C126" s="733"/>
      <c r="D126" s="733"/>
      <c r="E126" s="733"/>
      <c r="F126" s="733"/>
      <c r="G126" s="733"/>
      <c r="H126" s="733"/>
      <c r="I126" s="733"/>
      <c r="J126" s="733"/>
      <c r="K126" s="733"/>
      <c r="L126" s="733"/>
      <c r="M126" s="733"/>
      <c r="N126" s="733"/>
      <c r="O126" s="733"/>
      <c r="P126" s="733"/>
      <c r="Q126" s="733"/>
      <c r="R126" s="733"/>
      <c r="S126" s="733"/>
      <c r="T126" s="733"/>
      <c r="U126" s="733"/>
      <c r="V126" s="769">
        <v>0.0</v>
      </c>
      <c r="W126" s="252">
        <f t="shared" si="32"/>
        <v>0</v>
      </c>
      <c r="X126" s="252">
        <f t="shared" ref="X126:BA126" si="110">IF(AND(X$47-$A126&gt;$V$32,SUM($W126:W126)&lt;&gt;$V126),$V126,0)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0</v>
      </c>
      <c r="AY126" s="252">
        <f t="shared" si="110"/>
        <v>0</v>
      </c>
      <c r="AZ126" s="252">
        <f t="shared" si="110"/>
        <v>0</v>
      </c>
      <c r="BA126" s="252">
        <f t="shared" si="110"/>
        <v>0</v>
      </c>
    </row>
    <row r="127" ht="15.75" customHeight="1">
      <c r="A127" s="787">
        <v>2009.0</v>
      </c>
      <c r="B127" s="733"/>
      <c r="C127" s="733"/>
      <c r="D127" s="733"/>
      <c r="E127" s="733"/>
      <c r="F127" s="733"/>
      <c r="G127" s="733"/>
      <c r="H127" s="733"/>
      <c r="I127" s="733"/>
      <c r="J127" s="733"/>
      <c r="K127" s="733"/>
      <c r="L127" s="733"/>
      <c r="M127" s="733"/>
      <c r="N127" s="733"/>
      <c r="O127" s="733"/>
      <c r="P127" s="733"/>
      <c r="Q127" s="733"/>
      <c r="R127" s="733"/>
      <c r="S127" s="733"/>
      <c r="T127" s="733"/>
      <c r="U127" s="733"/>
      <c r="V127" s="769">
        <v>0.0</v>
      </c>
      <c r="W127" s="252">
        <f t="shared" si="32"/>
        <v>0</v>
      </c>
      <c r="X127" s="252">
        <f t="shared" ref="X127:BA127" si="111">IF(AND(X$47-$A127&gt;$V$32,SUM($W127:W127)&lt;&gt;$V127),$V127,0)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0</v>
      </c>
      <c r="AZ127" s="252">
        <f t="shared" si="111"/>
        <v>0</v>
      </c>
      <c r="BA127" s="252">
        <f t="shared" si="111"/>
        <v>0</v>
      </c>
    </row>
    <row r="128" ht="15.75" customHeight="1">
      <c r="A128" s="838">
        <v>2010.0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32"/>
        <v>0</v>
      </c>
      <c r="X128" s="252">
        <f t="shared" ref="X128:BA128" si="112">IF(AND(X$47-$A128&gt;$V$32,SUM($W128:W128)&lt;&gt;$V128),$V128,0)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0</v>
      </c>
      <c r="BA128" s="252">
        <f t="shared" si="112"/>
        <v>0</v>
      </c>
    </row>
    <row r="129" ht="15.75" customHeight="1">
      <c r="A129" s="838">
        <v>2011.0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32"/>
        <v>0</v>
      </c>
      <c r="X129" s="252">
        <f t="shared" ref="X129:BA129" si="113">IF(AND(X$47-$A129&gt;$V$32,SUM($W129:W129)&lt;&gt;$V129),$V129,0)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38">
        <v>2012.0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32"/>
        <v>0</v>
      </c>
      <c r="X130" s="252">
        <f t="shared" ref="X130:BA130" si="114">IF(AND(X$47-$A130&gt;$V$32,SUM($W130:W130)&lt;&gt;$V130),$V130,0)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38">
        <v>2013.0</v>
      </c>
      <c r="B131" s="32"/>
      <c r="C131" s="32"/>
      <c r="D131" s="32"/>
      <c r="E131" s="32"/>
      <c r="F131" s="32"/>
      <c r="G131" s="32"/>
      <c r="H131" s="32"/>
      <c r="I131" s="32"/>
      <c r="J131" s="32"/>
      <c r="K131" s="32"/>
      <c r="L131" s="32"/>
      <c r="M131" s="32"/>
      <c r="N131" s="32"/>
      <c r="O131" s="32"/>
      <c r="P131" s="32"/>
      <c r="Q131" s="32"/>
      <c r="R131" s="32"/>
      <c r="S131" s="32"/>
      <c r="T131" s="32"/>
      <c r="U131" s="32"/>
      <c r="V131" s="769">
        <v>0.0</v>
      </c>
      <c r="W131" s="252">
        <f t="shared" si="32"/>
        <v>0</v>
      </c>
      <c r="X131" s="252">
        <f t="shared" ref="X131:BA131" si="115">IF(AND(X$47-$A131&gt;$V$32,SUM($W131:W131)&lt;&gt;$V131),$V131,0)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38">
        <v>2014.0</v>
      </c>
      <c r="B132" s="32"/>
      <c r="C132" s="32"/>
      <c r="D132" s="32"/>
      <c r="E132" s="32"/>
      <c r="F132" s="32"/>
      <c r="G132" s="32"/>
      <c r="H132" s="32"/>
      <c r="I132" s="32"/>
      <c r="J132" s="32"/>
      <c r="K132" s="32"/>
      <c r="L132" s="32"/>
      <c r="M132" s="32"/>
      <c r="N132" s="32"/>
      <c r="O132" s="32"/>
      <c r="P132" s="32"/>
      <c r="Q132" s="32"/>
      <c r="R132" s="32"/>
      <c r="S132" s="32"/>
      <c r="T132" s="32"/>
      <c r="U132" s="32"/>
      <c r="V132" s="769">
        <v>0.0</v>
      </c>
      <c r="W132" s="252">
        <f t="shared" si="32"/>
        <v>0</v>
      </c>
      <c r="X132" s="252">
        <f t="shared" ref="X132:BA132" si="116">IF(AND(X$47-$A132&gt;$V$32,SUM($W132:W132)&lt;&gt;$V132),$V132,0)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38">
        <v>2015.0</v>
      </c>
      <c r="B133" s="32"/>
      <c r="C133" s="32"/>
      <c r="D133" s="32"/>
      <c r="E133" s="32"/>
      <c r="F133" s="32"/>
      <c r="G133" s="32"/>
      <c r="H133" s="32"/>
      <c r="I133" s="32"/>
      <c r="J133" s="32"/>
      <c r="K133" s="32"/>
      <c r="L133" s="32"/>
      <c r="M133" s="32"/>
      <c r="N133" s="32"/>
      <c r="O133" s="32"/>
      <c r="P133" s="32"/>
      <c r="Q133" s="32"/>
      <c r="R133" s="32"/>
      <c r="S133" s="32"/>
      <c r="T133" s="32"/>
      <c r="U133" s="32"/>
      <c r="V133" s="769">
        <v>0.0</v>
      </c>
      <c r="W133" s="252">
        <f t="shared" si="32"/>
        <v>0</v>
      </c>
      <c r="X133" s="252">
        <f t="shared" ref="X133:BA133" si="117">IF(AND(X$47-$A133&gt;$V$32,SUM($W133:W133)&lt;&gt;$V133),$V133,0)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38">
        <v>2016.0</v>
      </c>
      <c r="B134" s="32"/>
      <c r="C134" s="32"/>
      <c r="D134" s="32"/>
      <c r="E134" s="32"/>
      <c r="F134" s="32"/>
      <c r="G134" s="32"/>
      <c r="H134" s="32"/>
      <c r="I134" s="32"/>
      <c r="J134" s="32"/>
      <c r="K134" s="32"/>
      <c r="L134" s="32"/>
      <c r="M134" s="32"/>
      <c r="N134" s="32"/>
      <c r="O134" s="32"/>
      <c r="P134" s="32"/>
      <c r="Q134" s="32"/>
      <c r="R134" s="32"/>
      <c r="S134" s="32"/>
      <c r="T134" s="32"/>
      <c r="U134" s="32"/>
      <c r="V134" s="769">
        <v>1269.9</v>
      </c>
      <c r="W134" s="252">
        <f t="shared" si="32"/>
        <v>0</v>
      </c>
      <c r="X134" s="252">
        <f t="shared" ref="X134:BA134" si="118">IF(AND(X$47-$A134&gt;$V$32,SUM($W134:W134)&lt;&gt;$V134),$V134,0)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38">
        <v>2017.0</v>
      </c>
      <c r="B135" s="32"/>
      <c r="C135" s="32"/>
      <c r="D135" s="32"/>
      <c r="E135" s="32"/>
      <c r="F135" s="32"/>
      <c r="G135" s="32"/>
      <c r="H135" s="32"/>
      <c r="I135" s="32"/>
      <c r="J135" s="32"/>
      <c r="K135" s="32"/>
      <c r="L135" s="32"/>
      <c r="M135" s="32"/>
      <c r="N135" s="32"/>
      <c r="O135" s="32"/>
      <c r="P135" s="32"/>
      <c r="Q135" s="32"/>
      <c r="R135" s="32"/>
      <c r="S135" s="32"/>
      <c r="T135" s="32"/>
      <c r="U135" s="32"/>
      <c r="V135" s="769">
        <v>0.0</v>
      </c>
      <c r="W135" s="252">
        <f t="shared" si="32"/>
        <v>0</v>
      </c>
      <c r="X135" s="252">
        <f t="shared" ref="X135:BA135" si="119">IF(AND(X$47-$A135&gt;$V$32,SUM($W135:W135)&lt;&gt;$V135),$V135,0)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38">
        <v>2018.0</v>
      </c>
      <c r="B136" s="32"/>
      <c r="C136" s="32"/>
      <c r="D136" s="32"/>
      <c r="E136" s="32"/>
      <c r="F136" s="32"/>
      <c r="G136" s="32"/>
      <c r="H136" s="32"/>
      <c r="I136" s="32"/>
      <c r="J136" s="32"/>
      <c r="K136" s="32"/>
      <c r="L136" s="32"/>
      <c r="M136" s="32"/>
      <c r="N136" s="32"/>
      <c r="O136" s="32"/>
      <c r="P136" s="32"/>
      <c r="Q136" s="32"/>
      <c r="R136" s="32"/>
      <c r="S136" s="32"/>
      <c r="T136" s="32"/>
      <c r="U136" s="32"/>
      <c r="V136" s="769">
        <v>0.0</v>
      </c>
      <c r="W136" s="252">
        <f t="shared" si="32"/>
        <v>0</v>
      </c>
      <c r="X136" s="252">
        <f t="shared" ref="X136:BA136" si="120">IF(AND(X$47-$A136&gt;$V$32,SUM($W136:W136)&lt;&gt;$V136),$V136,0)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38">
        <v>2019.0</v>
      </c>
      <c r="B137" s="32"/>
      <c r="C137" s="32"/>
      <c r="D137" s="32"/>
      <c r="E137" s="32"/>
      <c r="F137" s="32"/>
      <c r="G137" s="32"/>
      <c r="H137" s="32"/>
      <c r="I137" s="32"/>
      <c r="J137" s="32"/>
      <c r="K137" s="32"/>
      <c r="L137" s="32"/>
      <c r="M137" s="32"/>
      <c r="N137" s="32"/>
      <c r="O137" s="32"/>
      <c r="P137" s="32"/>
      <c r="Q137" s="32"/>
      <c r="R137" s="32"/>
      <c r="S137" s="32"/>
      <c r="T137" s="32"/>
      <c r="U137" s="32"/>
      <c r="V137" s="769">
        <v>0.0</v>
      </c>
      <c r="W137" s="252">
        <f t="shared" si="32"/>
        <v>0</v>
      </c>
      <c r="X137" s="252">
        <f t="shared" ref="X137:BA137" si="121">IF(AND(X$47-$A137&gt;$V$32,SUM($W137:W137)&lt;&gt;$V137),$V137,0)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sheetData>
  <printOptions/>
  <pageMargins bottom="0.75" footer="0.0" header="0.0" left="0.7" right="0.7" top="0.75"/>
  <pageSetup orientation="landscape"/>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2029552.816</v>
      </c>
      <c r="C2" s="160">
        <f t="shared" si="1"/>
        <v>2029552.816</v>
      </c>
      <c r="D2" s="160">
        <f t="shared" si="1"/>
        <v>2029552.816</v>
      </c>
      <c r="E2" s="160">
        <f t="shared" si="1"/>
        <v>2029552.816</v>
      </c>
      <c r="F2" s="160">
        <f t="shared" si="1"/>
        <v>2029552.816</v>
      </c>
      <c r="G2" s="160">
        <f t="shared" si="1"/>
        <v>2064036.611</v>
      </c>
      <c r="H2" s="160">
        <f t="shared" si="1"/>
        <v>2127254.365</v>
      </c>
      <c r="I2" s="160">
        <f t="shared" si="1"/>
        <v>2241511.656</v>
      </c>
      <c r="J2" s="160">
        <f t="shared" si="1"/>
        <v>2298012.984</v>
      </c>
      <c r="K2" s="160">
        <f t="shared" si="1"/>
        <v>2389846.165</v>
      </c>
      <c r="L2" s="160">
        <f t="shared" si="1"/>
        <v>2436195.183</v>
      </c>
      <c r="M2" s="160">
        <f t="shared" si="1"/>
        <v>2483170.777</v>
      </c>
      <c r="N2" s="160">
        <f t="shared" si="1"/>
        <v>2538824.225</v>
      </c>
      <c r="O2" s="160">
        <f t="shared" si="1"/>
        <v>2562804.847</v>
      </c>
      <c r="P2" s="160">
        <f t="shared" si="1"/>
        <v>2595176.516</v>
      </c>
      <c r="Q2" s="160">
        <f t="shared" si="1"/>
        <v>2685540.643</v>
      </c>
      <c r="R2" s="160">
        <f t="shared" si="1"/>
        <v>2729068.856</v>
      </c>
      <c r="S2" s="160">
        <f t="shared" si="1"/>
        <v>2700088.134</v>
      </c>
      <c r="T2" s="160">
        <f t="shared" si="1"/>
        <v>2806027.206</v>
      </c>
      <c r="U2" s="160">
        <f t="shared" si="1"/>
        <v>2841471.099</v>
      </c>
      <c r="V2" s="705">
        <v>2898000.0</v>
      </c>
      <c r="W2" s="160">
        <f t="shared" ref="W2:AZ2" si="2">V2*(1+V34-V3)</f>
        <v>2955653.5</v>
      </c>
      <c r="X2" s="160">
        <f t="shared" si="2"/>
        <v>3014453.972</v>
      </c>
      <c r="Y2" s="160">
        <f t="shared" si="2"/>
        <v>3074424.235</v>
      </c>
      <c r="Z2" s="160">
        <f t="shared" si="2"/>
        <v>3135587.561</v>
      </c>
      <c r="AA2" s="160">
        <f t="shared" si="2"/>
        <v>3197967.684</v>
      </c>
      <c r="AB2" s="160">
        <f t="shared" si="2"/>
        <v>3261588.812</v>
      </c>
      <c r="AC2" s="160">
        <f t="shared" si="2"/>
        <v>3326475.634</v>
      </c>
      <c r="AD2" s="160">
        <f t="shared" si="2"/>
        <v>3392653.33</v>
      </c>
      <c r="AE2" s="160">
        <f t="shared" si="2"/>
        <v>3460147.581</v>
      </c>
      <c r="AF2" s="160">
        <f t="shared" si="2"/>
        <v>3528984.578</v>
      </c>
      <c r="AG2" s="160">
        <f t="shared" si="2"/>
        <v>3599191.035</v>
      </c>
      <c r="AH2" s="160">
        <f t="shared" si="2"/>
        <v>3670794.196</v>
      </c>
      <c r="AI2" s="160">
        <f t="shared" si="2"/>
        <v>3743821.847</v>
      </c>
      <c r="AJ2" s="160">
        <f t="shared" si="2"/>
        <v>3818302.328</v>
      </c>
      <c r="AK2" s="160">
        <f t="shared" si="2"/>
        <v>3894264.541</v>
      </c>
      <c r="AL2" s="160">
        <f t="shared" si="2"/>
        <v>3971737.964</v>
      </c>
      <c r="AM2" s="160">
        <f t="shared" si="2"/>
        <v>4050752.662</v>
      </c>
      <c r="AN2" s="160">
        <f t="shared" si="2"/>
        <v>4131339.297</v>
      </c>
      <c r="AO2" s="160">
        <f t="shared" si="2"/>
        <v>4213529.141</v>
      </c>
      <c r="AP2" s="160">
        <f t="shared" si="2"/>
        <v>4297354.09</v>
      </c>
      <c r="AQ2" s="160">
        <f t="shared" si="2"/>
        <v>4382846.673</v>
      </c>
      <c r="AR2" s="160">
        <f t="shared" si="2"/>
        <v>4470040.065</v>
      </c>
      <c r="AS2" s="160">
        <f t="shared" si="2"/>
        <v>4558968.103</v>
      </c>
      <c r="AT2" s="160">
        <f t="shared" si="2"/>
        <v>4649665.297</v>
      </c>
      <c r="AU2" s="160">
        <f t="shared" si="2"/>
        <v>4742166.842</v>
      </c>
      <c r="AV2" s="160">
        <f t="shared" si="2"/>
        <v>4836508.635</v>
      </c>
      <c r="AW2" s="160">
        <f t="shared" si="2"/>
        <v>4932727.285</v>
      </c>
      <c r="AX2" s="160">
        <f t="shared" si="2"/>
        <v>5030860.133</v>
      </c>
      <c r="AY2" s="160">
        <f t="shared" si="2"/>
        <v>5130945.259</v>
      </c>
      <c r="AZ2" s="160">
        <f t="shared" si="2"/>
        <v>5233021.502</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668">
        <v>1500.0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7">
        <v>0.4241704012760717</v>
      </c>
      <c r="W14" s="208">
        <f t="shared" ref="W14:AZ14" si="5">V14*(1+V16)</f>
        <v>0.4241704013</v>
      </c>
      <c r="X14" s="208">
        <f t="shared" si="5"/>
        <v>0.4241704013</v>
      </c>
      <c r="Y14" s="208">
        <f t="shared" si="5"/>
        <v>0.4241704013</v>
      </c>
      <c r="Z14" s="208">
        <f t="shared" si="5"/>
        <v>0.4241704013</v>
      </c>
      <c r="AA14" s="208">
        <f t="shared" si="5"/>
        <v>0.4241704013</v>
      </c>
      <c r="AB14" s="208">
        <f t="shared" si="5"/>
        <v>0.4241704013</v>
      </c>
      <c r="AC14" s="208">
        <f t="shared" si="5"/>
        <v>0.4241704013</v>
      </c>
      <c r="AD14" s="208">
        <f t="shared" si="5"/>
        <v>0.4241704013</v>
      </c>
      <c r="AE14" s="208">
        <f t="shared" si="5"/>
        <v>0.4241704013</v>
      </c>
      <c r="AF14" s="208">
        <f t="shared" si="5"/>
        <v>0.4241704013</v>
      </c>
      <c r="AG14" s="208">
        <f t="shared" si="5"/>
        <v>0.4241704013</v>
      </c>
      <c r="AH14" s="208">
        <f t="shared" si="5"/>
        <v>0.4241704013</v>
      </c>
      <c r="AI14" s="208">
        <f t="shared" si="5"/>
        <v>0.4241704013</v>
      </c>
      <c r="AJ14" s="208">
        <f t="shared" si="5"/>
        <v>0.4241704013</v>
      </c>
      <c r="AK14" s="208">
        <f t="shared" si="5"/>
        <v>0.4241704013</v>
      </c>
      <c r="AL14" s="208">
        <f t="shared" si="5"/>
        <v>0.4241704013</v>
      </c>
      <c r="AM14" s="208">
        <f t="shared" si="5"/>
        <v>0.4241704013</v>
      </c>
      <c r="AN14" s="208">
        <f t="shared" si="5"/>
        <v>0.4241704013</v>
      </c>
      <c r="AO14" s="208">
        <f t="shared" si="5"/>
        <v>0.4241704013</v>
      </c>
      <c r="AP14" s="208">
        <f t="shared" si="5"/>
        <v>0.4241704013</v>
      </c>
      <c r="AQ14" s="208">
        <f t="shared" si="5"/>
        <v>0.4241704013</v>
      </c>
      <c r="AR14" s="208">
        <f t="shared" si="5"/>
        <v>0.4241704013</v>
      </c>
      <c r="AS14" s="208">
        <f t="shared" si="5"/>
        <v>0.4241704013</v>
      </c>
      <c r="AT14" s="208">
        <f t="shared" si="5"/>
        <v>0.4241704013</v>
      </c>
      <c r="AU14" s="208">
        <f t="shared" si="5"/>
        <v>0.4241704013</v>
      </c>
      <c r="AV14" s="208">
        <f t="shared" si="5"/>
        <v>0.4241704013</v>
      </c>
      <c r="AW14" s="208">
        <f t="shared" si="5"/>
        <v>0.4241704013</v>
      </c>
      <c r="AX14" s="208">
        <f t="shared" si="5"/>
        <v>0.4241704013</v>
      </c>
      <c r="AY14" s="208">
        <f t="shared" si="5"/>
        <v>0.4241704013</v>
      </c>
      <c r="AZ14" s="208">
        <f t="shared" si="5"/>
        <v>0.4241704013</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7">
        <v>0.46</v>
      </c>
      <c r="W15" s="208">
        <f t="shared" ref="W15:AZ15" si="6">V15</f>
        <v>0.46</v>
      </c>
      <c r="X15" s="208">
        <f t="shared" si="6"/>
        <v>0.46</v>
      </c>
      <c r="Y15" s="208">
        <f t="shared" si="6"/>
        <v>0.46</v>
      </c>
      <c r="Z15" s="208">
        <f t="shared" si="6"/>
        <v>0.46</v>
      </c>
      <c r="AA15" s="208">
        <f t="shared" si="6"/>
        <v>0.46</v>
      </c>
      <c r="AB15" s="208">
        <f t="shared" si="6"/>
        <v>0.46</v>
      </c>
      <c r="AC15" s="208">
        <f t="shared" si="6"/>
        <v>0.46</v>
      </c>
      <c r="AD15" s="208">
        <f t="shared" si="6"/>
        <v>0.46</v>
      </c>
      <c r="AE15" s="208">
        <f t="shared" si="6"/>
        <v>0.46</v>
      </c>
      <c r="AF15" s="208">
        <f t="shared" si="6"/>
        <v>0.46</v>
      </c>
      <c r="AG15" s="208">
        <f t="shared" si="6"/>
        <v>0.46</v>
      </c>
      <c r="AH15" s="208">
        <f t="shared" si="6"/>
        <v>0.46</v>
      </c>
      <c r="AI15" s="208">
        <f t="shared" si="6"/>
        <v>0.46</v>
      </c>
      <c r="AJ15" s="208">
        <f t="shared" si="6"/>
        <v>0.46</v>
      </c>
      <c r="AK15" s="208">
        <f t="shared" si="6"/>
        <v>0.46</v>
      </c>
      <c r="AL15" s="208">
        <f t="shared" si="6"/>
        <v>0.46</v>
      </c>
      <c r="AM15" s="208">
        <f t="shared" si="6"/>
        <v>0.46</v>
      </c>
      <c r="AN15" s="208">
        <f t="shared" si="6"/>
        <v>0.46</v>
      </c>
      <c r="AO15" s="208">
        <f t="shared" si="6"/>
        <v>0.46</v>
      </c>
      <c r="AP15" s="208">
        <f t="shared" si="6"/>
        <v>0.46</v>
      </c>
      <c r="AQ15" s="208">
        <f t="shared" si="6"/>
        <v>0.46</v>
      </c>
      <c r="AR15" s="208">
        <f t="shared" si="6"/>
        <v>0.46</v>
      </c>
      <c r="AS15" s="208">
        <f t="shared" si="6"/>
        <v>0.46</v>
      </c>
      <c r="AT15" s="208">
        <f t="shared" si="6"/>
        <v>0.46</v>
      </c>
      <c r="AU15" s="208">
        <f t="shared" si="6"/>
        <v>0.46</v>
      </c>
      <c r="AV15" s="208">
        <f t="shared" si="6"/>
        <v>0.46</v>
      </c>
      <c r="AW15" s="208">
        <f t="shared" si="6"/>
        <v>0.46</v>
      </c>
      <c r="AX15" s="208">
        <f t="shared" si="6"/>
        <v>0.46</v>
      </c>
      <c r="AY15" s="208">
        <f t="shared" si="6"/>
        <v>0.46</v>
      </c>
      <c r="AZ15" s="208">
        <f t="shared" si="6"/>
        <v>0.46</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28048.1678</v>
      </c>
      <c r="C17" s="160">
        <f t="shared" si="8"/>
        <v>28048.1678</v>
      </c>
      <c r="D17" s="160">
        <f t="shared" si="8"/>
        <v>28048.1678</v>
      </c>
      <c r="E17" s="160">
        <f t="shared" si="8"/>
        <v>28048.1678</v>
      </c>
      <c r="F17" s="160">
        <f t="shared" si="8"/>
        <v>28048.1678</v>
      </c>
      <c r="G17" s="160">
        <f t="shared" si="8"/>
        <v>28524.72956</v>
      </c>
      <c r="H17" s="160">
        <f t="shared" si="8"/>
        <v>29398.39107</v>
      </c>
      <c r="I17" s="160">
        <f t="shared" si="8"/>
        <v>30977.41264</v>
      </c>
      <c r="J17" s="160">
        <f t="shared" si="8"/>
        <v>31758.25397</v>
      </c>
      <c r="K17" s="160">
        <f t="shared" si="8"/>
        <v>33027.37713</v>
      </c>
      <c r="L17" s="160">
        <f t="shared" si="8"/>
        <v>33667.91479</v>
      </c>
      <c r="M17" s="160">
        <f t="shared" si="8"/>
        <v>34317.11167</v>
      </c>
      <c r="N17" s="160">
        <f t="shared" si="8"/>
        <v>35086.2354</v>
      </c>
      <c r="O17" s="160">
        <f t="shared" si="8"/>
        <v>35417.64463</v>
      </c>
      <c r="P17" s="160">
        <f t="shared" si="8"/>
        <v>35865.01707</v>
      </c>
      <c r="Q17" s="160">
        <f t="shared" si="8"/>
        <v>37113.83808</v>
      </c>
      <c r="R17" s="160">
        <f t="shared" si="8"/>
        <v>37715.39258</v>
      </c>
      <c r="S17" s="160">
        <f t="shared" si="8"/>
        <v>37314.8826</v>
      </c>
      <c r="T17" s="160">
        <f t="shared" si="8"/>
        <v>38778.94741</v>
      </c>
      <c r="U17" s="160">
        <f t="shared" si="8"/>
        <v>39268.77762</v>
      </c>
      <c r="V17" s="705">
        <v>40050.0</v>
      </c>
      <c r="W17" s="160">
        <f t="shared" ref="W17:AZ17" si="9">V17*(1+V34-V20)</f>
        <v>40846.76421</v>
      </c>
      <c r="X17" s="160">
        <f t="shared" si="9"/>
        <v>41659.37943</v>
      </c>
      <c r="Y17" s="160">
        <f t="shared" si="9"/>
        <v>42488.16101</v>
      </c>
      <c r="Z17" s="160">
        <f t="shared" si="9"/>
        <v>43333.43058</v>
      </c>
      <c r="AA17" s="160">
        <f t="shared" si="9"/>
        <v>44195.51613</v>
      </c>
      <c r="AB17" s="160">
        <f t="shared" si="9"/>
        <v>45074.75222</v>
      </c>
      <c r="AC17" s="160">
        <f t="shared" si="9"/>
        <v>45971.48004</v>
      </c>
      <c r="AD17" s="160">
        <f t="shared" si="9"/>
        <v>46886.04758</v>
      </c>
      <c r="AE17" s="160">
        <f t="shared" si="9"/>
        <v>47818.80974</v>
      </c>
      <c r="AF17" s="160">
        <f t="shared" si="9"/>
        <v>48770.12849</v>
      </c>
      <c r="AG17" s="160">
        <f t="shared" si="9"/>
        <v>49740.373</v>
      </c>
      <c r="AH17" s="160">
        <f t="shared" si="9"/>
        <v>50729.91979</v>
      </c>
      <c r="AI17" s="160">
        <f t="shared" si="9"/>
        <v>51739.15286</v>
      </c>
      <c r="AJ17" s="160">
        <f t="shared" si="9"/>
        <v>52768.46385</v>
      </c>
      <c r="AK17" s="160">
        <f t="shared" si="9"/>
        <v>53818.25219</v>
      </c>
      <c r="AL17" s="160">
        <f t="shared" si="9"/>
        <v>54888.92528</v>
      </c>
      <c r="AM17" s="160">
        <f t="shared" si="9"/>
        <v>55980.89858</v>
      </c>
      <c r="AN17" s="160">
        <f t="shared" si="9"/>
        <v>57094.59587</v>
      </c>
      <c r="AO17" s="160">
        <f t="shared" si="9"/>
        <v>58230.44931</v>
      </c>
      <c r="AP17" s="160">
        <f t="shared" si="9"/>
        <v>59388.89969</v>
      </c>
      <c r="AQ17" s="160">
        <f t="shared" si="9"/>
        <v>60570.39656</v>
      </c>
      <c r="AR17" s="160">
        <f t="shared" si="9"/>
        <v>61775.39841</v>
      </c>
      <c r="AS17" s="160">
        <f t="shared" si="9"/>
        <v>63004.37285</v>
      </c>
      <c r="AT17" s="160">
        <f t="shared" si="9"/>
        <v>64257.7968</v>
      </c>
      <c r="AU17" s="160">
        <f t="shared" si="9"/>
        <v>65536.15666</v>
      </c>
      <c r="AV17" s="160">
        <f t="shared" si="9"/>
        <v>66839.94852</v>
      </c>
      <c r="AW17" s="160">
        <f t="shared" si="9"/>
        <v>68169.67832</v>
      </c>
      <c r="AX17" s="160">
        <f t="shared" si="9"/>
        <v>69525.86209</v>
      </c>
      <c r="AY17" s="160">
        <f t="shared" si="9"/>
        <v>70909.02609</v>
      </c>
      <c r="AZ17" s="160">
        <f t="shared" si="9"/>
        <v>72319.70709</v>
      </c>
    </row>
    <row r="18" ht="15.0" customHeight="1">
      <c r="A18" s="535" t="s">
        <v>1112</v>
      </c>
      <c r="B18" s="177">
        <f t="shared" ref="B18:U18" si="10">C18/(1+B34-B20)</f>
        <v>0.9314372828</v>
      </c>
      <c r="C18" s="177">
        <f t="shared" si="10"/>
        <v>0.9314372828</v>
      </c>
      <c r="D18" s="177">
        <f t="shared" si="10"/>
        <v>0.9314372828</v>
      </c>
      <c r="E18" s="177">
        <f t="shared" si="10"/>
        <v>0.9314372828</v>
      </c>
      <c r="F18" s="177">
        <f t="shared" si="10"/>
        <v>0.9314372828</v>
      </c>
      <c r="G18" s="177">
        <f t="shared" si="10"/>
        <v>0.9472631789</v>
      </c>
      <c r="H18" s="177">
        <f t="shared" si="10"/>
        <v>0.976276158</v>
      </c>
      <c r="I18" s="177">
        <f t="shared" si="10"/>
        <v>1.028713079</v>
      </c>
      <c r="J18" s="177">
        <f t="shared" si="10"/>
        <v>1.05464364</v>
      </c>
      <c r="K18" s="177">
        <f t="shared" si="10"/>
        <v>1.096789303</v>
      </c>
      <c r="L18" s="177">
        <f t="shared" si="10"/>
        <v>1.118060591</v>
      </c>
      <c r="M18" s="177">
        <f t="shared" si="10"/>
        <v>1.139619439</v>
      </c>
      <c r="N18" s="177">
        <f t="shared" si="10"/>
        <v>1.165160876</v>
      </c>
      <c r="O18" s="177">
        <f t="shared" si="10"/>
        <v>1.176166476</v>
      </c>
      <c r="P18" s="177">
        <f t="shared" si="10"/>
        <v>1.191023039</v>
      </c>
      <c r="Q18" s="177">
        <f t="shared" si="10"/>
        <v>1.232494498</v>
      </c>
      <c r="R18" s="177">
        <f t="shared" si="10"/>
        <v>1.252471214</v>
      </c>
      <c r="S18" s="177">
        <f t="shared" si="10"/>
        <v>1.239170883</v>
      </c>
      <c r="T18" s="177">
        <f t="shared" si="10"/>
        <v>1.287790263</v>
      </c>
      <c r="U18" s="177">
        <f t="shared" si="10"/>
        <v>1.304056785</v>
      </c>
      <c r="V18" s="715">
        <v>1.33</v>
      </c>
      <c r="W18" s="177">
        <f t="shared" ref="W18:AZ18" si="11">V18*(1+V34-V20)</f>
        <v>1.356459336</v>
      </c>
      <c r="X18" s="177">
        <f t="shared" si="11"/>
        <v>1.38344506</v>
      </c>
      <c r="Y18" s="177">
        <f t="shared" si="11"/>
        <v>1.410967644</v>
      </c>
      <c r="Z18" s="177">
        <f t="shared" si="11"/>
        <v>1.439037769</v>
      </c>
      <c r="AA18" s="177">
        <f t="shared" si="11"/>
        <v>1.467666328</v>
      </c>
      <c r="AB18" s="177">
        <f t="shared" si="11"/>
        <v>1.496864431</v>
      </c>
      <c r="AC18" s="177">
        <f t="shared" si="11"/>
        <v>1.526643407</v>
      </c>
      <c r="AD18" s="177">
        <f t="shared" si="11"/>
        <v>1.557014813</v>
      </c>
      <c r="AE18" s="177">
        <f t="shared" si="11"/>
        <v>1.587990436</v>
      </c>
      <c r="AF18" s="177">
        <f t="shared" si="11"/>
        <v>1.619582294</v>
      </c>
      <c r="AG18" s="177">
        <f t="shared" si="11"/>
        <v>1.651802649</v>
      </c>
      <c r="AH18" s="177">
        <f t="shared" si="11"/>
        <v>1.684664003</v>
      </c>
      <c r="AI18" s="177">
        <f t="shared" si="11"/>
        <v>1.718179109</v>
      </c>
      <c r="AJ18" s="177">
        <f t="shared" si="11"/>
        <v>1.752360972</v>
      </c>
      <c r="AK18" s="177">
        <f t="shared" si="11"/>
        <v>1.787222857</v>
      </c>
      <c r="AL18" s="177">
        <f t="shared" si="11"/>
        <v>1.822778293</v>
      </c>
      <c r="AM18" s="177">
        <f t="shared" si="11"/>
        <v>1.859041077</v>
      </c>
      <c r="AN18" s="177">
        <f t="shared" si="11"/>
        <v>1.896025281</v>
      </c>
      <c r="AO18" s="177">
        <f t="shared" si="11"/>
        <v>1.933745258</v>
      </c>
      <c r="AP18" s="177">
        <f t="shared" si="11"/>
        <v>1.972215645</v>
      </c>
      <c r="AQ18" s="177">
        <f t="shared" si="11"/>
        <v>2.011451372</v>
      </c>
      <c r="AR18" s="177">
        <f t="shared" si="11"/>
        <v>2.051467663</v>
      </c>
      <c r="AS18" s="177">
        <f t="shared" si="11"/>
        <v>2.092280047</v>
      </c>
      <c r="AT18" s="177">
        <f t="shared" si="11"/>
        <v>2.133904363</v>
      </c>
      <c r="AU18" s="177">
        <f t="shared" si="11"/>
        <v>2.176356763</v>
      </c>
      <c r="AV18" s="177">
        <f t="shared" si="11"/>
        <v>2.219653721</v>
      </c>
      <c r="AW18" s="177">
        <f t="shared" si="11"/>
        <v>2.263812039</v>
      </c>
      <c r="AX18" s="177">
        <f t="shared" si="11"/>
        <v>2.308848853</v>
      </c>
      <c r="AY18" s="177">
        <f t="shared" si="11"/>
        <v>2.35478164</v>
      </c>
      <c r="AZ18" s="177">
        <f t="shared" si="11"/>
        <v>2.401628225</v>
      </c>
    </row>
    <row r="19" ht="15.0" customHeight="1">
      <c r="A19" s="535" t="s">
        <v>1115</v>
      </c>
      <c r="B19" s="177">
        <f t="shared" ref="B19:U19" si="12">C19/(1+B34-B20)</f>
        <v>8.479926356</v>
      </c>
      <c r="C19" s="177">
        <f t="shared" si="12"/>
        <v>8.479926356</v>
      </c>
      <c r="D19" s="177">
        <f t="shared" si="12"/>
        <v>8.479926356</v>
      </c>
      <c r="E19" s="177">
        <f t="shared" si="12"/>
        <v>8.479926356</v>
      </c>
      <c r="F19" s="177">
        <f t="shared" si="12"/>
        <v>8.479926356</v>
      </c>
      <c r="G19" s="177">
        <f t="shared" si="12"/>
        <v>8.624007376</v>
      </c>
      <c r="H19" s="177">
        <f t="shared" si="12"/>
        <v>8.888145318</v>
      </c>
      <c r="I19" s="177">
        <f t="shared" si="12"/>
        <v>9.365537876</v>
      </c>
      <c r="J19" s="177">
        <f t="shared" si="12"/>
        <v>9.601613081</v>
      </c>
      <c r="K19" s="177">
        <f t="shared" si="12"/>
        <v>9.985312688</v>
      </c>
      <c r="L19" s="177">
        <f t="shared" si="12"/>
        <v>10.17896927</v>
      </c>
      <c r="M19" s="177">
        <f t="shared" si="12"/>
        <v>10.37524382</v>
      </c>
      <c r="N19" s="177">
        <f t="shared" si="12"/>
        <v>10.6077764</v>
      </c>
      <c r="O19" s="177">
        <f t="shared" si="12"/>
        <v>10.70797281</v>
      </c>
      <c r="P19" s="177">
        <f t="shared" si="12"/>
        <v>10.84322889</v>
      </c>
      <c r="Q19" s="177">
        <f t="shared" si="12"/>
        <v>11.22079046</v>
      </c>
      <c r="R19" s="177">
        <f t="shared" si="12"/>
        <v>11.40266109</v>
      </c>
      <c r="S19" s="177">
        <f t="shared" si="12"/>
        <v>11.28157314</v>
      </c>
      <c r="T19" s="177">
        <f t="shared" si="12"/>
        <v>11.72421031</v>
      </c>
      <c r="U19" s="177">
        <f t="shared" si="12"/>
        <v>11.87230284</v>
      </c>
      <c r="V19" s="715">
        <f>V17*Model!W1349/(V14*Model!W1349*8760)+V18</f>
        <v>12.10849325</v>
      </c>
      <c r="W19" s="177">
        <f t="shared" ref="W19:AZ19" si="13">V19*(1+V34-V20)</f>
        <v>12.34938249</v>
      </c>
      <c r="X19" s="177">
        <f t="shared" si="13"/>
        <v>12.59506404</v>
      </c>
      <c r="Y19" s="177">
        <f t="shared" si="13"/>
        <v>12.84563323</v>
      </c>
      <c r="Z19" s="177">
        <f t="shared" si="13"/>
        <v>13.10118731</v>
      </c>
      <c r="AA19" s="177">
        <f t="shared" si="13"/>
        <v>13.36182544</v>
      </c>
      <c r="AB19" s="177">
        <f t="shared" si="13"/>
        <v>13.62764877</v>
      </c>
      <c r="AC19" s="177">
        <f t="shared" si="13"/>
        <v>13.89876045</v>
      </c>
      <c r="AD19" s="177">
        <f t="shared" si="13"/>
        <v>14.17526569</v>
      </c>
      <c r="AE19" s="177">
        <f t="shared" si="13"/>
        <v>14.45727179</v>
      </c>
      <c r="AF19" s="177">
        <f t="shared" si="13"/>
        <v>14.74488818</v>
      </c>
      <c r="AG19" s="177">
        <f t="shared" si="13"/>
        <v>15.03822649</v>
      </c>
      <c r="AH19" s="177">
        <f t="shared" si="13"/>
        <v>15.33740054</v>
      </c>
      <c r="AI19" s="177">
        <f t="shared" si="13"/>
        <v>15.64252642</v>
      </c>
      <c r="AJ19" s="177">
        <f t="shared" si="13"/>
        <v>15.95372256</v>
      </c>
      <c r="AK19" s="177">
        <f t="shared" si="13"/>
        <v>16.2711097</v>
      </c>
      <c r="AL19" s="177">
        <f t="shared" si="13"/>
        <v>16.59481102</v>
      </c>
      <c r="AM19" s="177">
        <f t="shared" si="13"/>
        <v>16.92495213</v>
      </c>
      <c r="AN19" s="177">
        <f t="shared" si="13"/>
        <v>17.26166115</v>
      </c>
      <c r="AO19" s="177">
        <f t="shared" si="13"/>
        <v>17.60506873</v>
      </c>
      <c r="AP19" s="177">
        <f t="shared" si="13"/>
        <v>17.95530815</v>
      </c>
      <c r="AQ19" s="177">
        <f t="shared" si="13"/>
        <v>18.31251531</v>
      </c>
      <c r="AR19" s="177">
        <f t="shared" si="13"/>
        <v>18.67682884</v>
      </c>
      <c r="AS19" s="177">
        <f t="shared" si="13"/>
        <v>19.0483901</v>
      </c>
      <c r="AT19" s="177">
        <f t="shared" si="13"/>
        <v>19.4273433</v>
      </c>
      <c r="AU19" s="177">
        <f t="shared" si="13"/>
        <v>19.81383548</v>
      </c>
      <c r="AV19" s="177">
        <f t="shared" si="13"/>
        <v>20.20801662</v>
      </c>
      <c r="AW19" s="177">
        <f t="shared" si="13"/>
        <v>20.6100397</v>
      </c>
      <c r="AX19" s="177">
        <f t="shared" si="13"/>
        <v>21.02006072</v>
      </c>
      <c r="AY19" s="177">
        <f t="shared" si="13"/>
        <v>21.4382388</v>
      </c>
      <c r="AZ19" s="177">
        <f t="shared" si="13"/>
        <v>21.86473621</v>
      </c>
    </row>
    <row r="20" ht="15.0" customHeight="1">
      <c r="A20" s="535" t="s">
        <v>106</v>
      </c>
      <c r="B20" s="709">
        <f t="shared" ref="B20:U20" si="14">C20</f>
        <v>0</v>
      </c>
      <c r="C20" s="709">
        <f t="shared" si="14"/>
        <v>0</v>
      </c>
      <c r="D20" s="709">
        <f t="shared" si="14"/>
        <v>0</v>
      </c>
      <c r="E20" s="709">
        <f t="shared" si="14"/>
        <v>0</v>
      </c>
      <c r="F20" s="709">
        <f t="shared" si="14"/>
        <v>0</v>
      </c>
      <c r="G20" s="709">
        <f t="shared" si="14"/>
        <v>0</v>
      </c>
      <c r="H20" s="709">
        <f t="shared" si="14"/>
        <v>0</v>
      </c>
      <c r="I20" s="709">
        <f t="shared" si="14"/>
        <v>0</v>
      </c>
      <c r="J20" s="709">
        <f t="shared" si="14"/>
        <v>0</v>
      </c>
      <c r="K20" s="709">
        <f t="shared" si="14"/>
        <v>0</v>
      </c>
      <c r="L20" s="709">
        <f t="shared" si="14"/>
        <v>0</v>
      </c>
      <c r="M20" s="709">
        <f t="shared" si="14"/>
        <v>0</v>
      </c>
      <c r="N20" s="709">
        <f t="shared" si="14"/>
        <v>0</v>
      </c>
      <c r="O20" s="709">
        <f t="shared" si="14"/>
        <v>0</v>
      </c>
      <c r="P20" s="709">
        <f t="shared" si="14"/>
        <v>0</v>
      </c>
      <c r="Q20" s="709">
        <f t="shared" si="14"/>
        <v>0</v>
      </c>
      <c r="R20" s="709">
        <f t="shared" si="14"/>
        <v>0</v>
      </c>
      <c r="S20" s="709">
        <f t="shared" si="14"/>
        <v>0</v>
      </c>
      <c r="T20" s="709">
        <f t="shared" si="14"/>
        <v>0</v>
      </c>
      <c r="U20" s="709">
        <f t="shared" si="14"/>
        <v>0</v>
      </c>
      <c r="V20" s="536">
        <v>0.0</v>
      </c>
      <c r="W20" s="537">
        <f t="shared" ref="W20:AZ20" si="15">V20</f>
        <v>0</v>
      </c>
      <c r="X20" s="537">
        <f t="shared" si="15"/>
        <v>0</v>
      </c>
      <c r="Y20" s="537">
        <f t="shared" si="15"/>
        <v>0</v>
      </c>
      <c r="Z20" s="537">
        <f t="shared" si="15"/>
        <v>0</v>
      </c>
      <c r="AA20" s="537">
        <f t="shared" si="15"/>
        <v>0</v>
      </c>
      <c r="AB20" s="537">
        <f t="shared" si="15"/>
        <v>0</v>
      </c>
      <c r="AC20" s="537">
        <f t="shared" si="15"/>
        <v>0</v>
      </c>
      <c r="AD20" s="537">
        <f t="shared" si="15"/>
        <v>0</v>
      </c>
      <c r="AE20" s="537">
        <f t="shared" si="15"/>
        <v>0</v>
      </c>
      <c r="AF20" s="537">
        <f t="shared" si="15"/>
        <v>0</v>
      </c>
      <c r="AG20" s="537">
        <f t="shared" si="15"/>
        <v>0</v>
      </c>
      <c r="AH20" s="537">
        <f t="shared" si="15"/>
        <v>0</v>
      </c>
      <c r="AI20" s="537">
        <f t="shared" si="15"/>
        <v>0</v>
      </c>
      <c r="AJ20" s="537">
        <f t="shared" si="15"/>
        <v>0</v>
      </c>
      <c r="AK20" s="537">
        <f t="shared" si="15"/>
        <v>0</v>
      </c>
      <c r="AL20" s="537">
        <f t="shared" si="15"/>
        <v>0</v>
      </c>
      <c r="AM20" s="537">
        <f t="shared" si="15"/>
        <v>0</v>
      </c>
      <c r="AN20" s="537">
        <f t="shared" si="15"/>
        <v>0</v>
      </c>
      <c r="AO20" s="537">
        <f t="shared" si="15"/>
        <v>0</v>
      </c>
      <c r="AP20" s="537">
        <f t="shared" si="15"/>
        <v>0</v>
      </c>
      <c r="AQ20" s="537">
        <f t="shared" si="15"/>
        <v>0</v>
      </c>
      <c r="AR20" s="537">
        <f t="shared" si="15"/>
        <v>0</v>
      </c>
      <c r="AS20" s="537">
        <f t="shared" si="15"/>
        <v>0</v>
      </c>
      <c r="AT20" s="537">
        <f t="shared" si="15"/>
        <v>0</v>
      </c>
      <c r="AU20" s="537">
        <f t="shared" si="15"/>
        <v>0</v>
      </c>
      <c r="AV20" s="537">
        <f t="shared" si="15"/>
        <v>0</v>
      </c>
      <c r="AW20" s="537">
        <f t="shared" si="15"/>
        <v>0</v>
      </c>
      <c r="AX20" s="537">
        <f t="shared" si="15"/>
        <v>0</v>
      </c>
      <c r="AY20" s="537">
        <f t="shared" si="15"/>
        <v>0</v>
      </c>
      <c r="AZ20" s="537">
        <f t="shared" si="15"/>
        <v>0</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712">
        <v>61.0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712">
        <v>90.0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712">
        <v>52.0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712">
        <v>37.0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35" t="s">
        <v>1124</v>
      </c>
      <c r="B33" s="546">
        <v>0.0</v>
      </c>
      <c r="C33" s="546">
        <v>0.0</v>
      </c>
      <c r="D33" s="546">
        <v>0.0</v>
      </c>
      <c r="E33" s="546">
        <v>0.0</v>
      </c>
      <c r="F33" s="546">
        <v>0.0</v>
      </c>
      <c r="G33" s="546">
        <v>0.0</v>
      </c>
      <c r="H33" s="546">
        <v>0.0</v>
      </c>
      <c r="I33" s="546">
        <f t="shared" ref="I33:U33" si="18">J33</f>
        <v>0.19</v>
      </c>
      <c r="J33" s="546">
        <f t="shared" si="18"/>
        <v>0.19</v>
      </c>
      <c r="K33" s="546">
        <f t="shared" si="18"/>
        <v>0.19</v>
      </c>
      <c r="L33" s="546">
        <f t="shared" si="18"/>
        <v>0.19</v>
      </c>
      <c r="M33" s="546">
        <f t="shared" si="18"/>
        <v>0.19</v>
      </c>
      <c r="N33" s="546">
        <f t="shared" si="18"/>
        <v>0.19</v>
      </c>
      <c r="O33" s="546">
        <f t="shared" si="18"/>
        <v>0.19</v>
      </c>
      <c r="P33" s="546">
        <f t="shared" si="18"/>
        <v>0.19</v>
      </c>
      <c r="Q33" s="546">
        <f t="shared" si="18"/>
        <v>0.19</v>
      </c>
      <c r="R33" s="546">
        <f t="shared" si="18"/>
        <v>0.19</v>
      </c>
      <c r="S33" s="546">
        <f t="shared" si="18"/>
        <v>0.19</v>
      </c>
      <c r="T33" s="546">
        <f t="shared" si="18"/>
        <v>0.19</v>
      </c>
      <c r="U33" s="546">
        <f t="shared" si="18"/>
        <v>0.19</v>
      </c>
      <c r="V33" s="547">
        <v>0.19</v>
      </c>
      <c r="W33" s="208">
        <f t="shared" ref="W33:AZ33" si="19">V33</f>
        <v>0.19</v>
      </c>
      <c r="X33" s="208">
        <f t="shared" si="19"/>
        <v>0.19</v>
      </c>
      <c r="Y33" s="208">
        <f t="shared" si="19"/>
        <v>0.19</v>
      </c>
      <c r="Z33" s="208">
        <f t="shared" si="19"/>
        <v>0.19</v>
      </c>
      <c r="AA33" s="208">
        <f t="shared" si="19"/>
        <v>0.19</v>
      </c>
      <c r="AB33" s="208">
        <f t="shared" si="19"/>
        <v>0.19</v>
      </c>
      <c r="AC33" s="208">
        <f t="shared" si="19"/>
        <v>0.19</v>
      </c>
      <c r="AD33" s="208">
        <f t="shared" si="19"/>
        <v>0.19</v>
      </c>
      <c r="AE33" s="208">
        <f t="shared" si="19"/>
        <v>0.19</v>
      </c>
      <c r="AF33" s="208">
        <f t="shared" si="19"/>
        <v>0.19</v>
      </c>
      <c r="AG33" s="208">
        <f t="shared" si="19"/>
        <v>0.19</v>
      </c>
      <c r="AH33" s="208">
        <f t="shared" si="19"/>
        <v>0.19</v>
      </c>
      <c r="AI33" s="208">
        <f t="shared" si="19"/>
        <v>0.19</v>
      </c>
      <c r="AJ33" s="208">
        <f t="shared" si="19"/>
        <v>0.19</v>
      </c>
      <c r="AK33" s="208">
        <f t="shared" si="19"/>
        <v>0.19</v>
      </c>
      <c r="AL33" s="208">
        <f t="shared" si="19"/>
        <v>0.19</v>
      </c>
      <c r="AM33" s="208">
        <f t="shared" si="19"/>
        <v>0.19</v>
      </c>
      <c r="AN33" s="208">
        <f t="shared" si="19"/>
        <v>0.19</v>
      </c>
      <c r="AO33" s="208">
        <f t="shared" si="19"/>
        <v>0.19</v>
      </c>
      <c r="AP33" s="208">
        <f t="shared" si="19"/>
        <v>0.19</v>
      </c>
      <c r="AQ33" s="208">
        <f t="shared" si="19"/>
        <v>0.19</v>
      </c>
      <c r="AR33" s="208">
        <f t="shared" si="19"/>
        <v>0.19</v>
      </c>
      <c r="AS33" s="208">
        <f t="shared" si="19"/>
        <v>0.19</v>
      </c>
      <c r="AT33" s="208">
        <f t="shared" si="19"/>
        <v>0.19</v>
      </c>
      <c r="AU33" s="208">
        <f t="shared" si="19"/>
        <v>0.19</v>
      </c>
      <c r="AV33" s="208">
        <f t="shared" si="19"/>
        <v>0.19</v>
      </c>
      <c r="AW33" s="208">
        <f t="shared" si="19"/>
        <v>0.19</v>
      </c>
      <c r="AX33" s="208">
        <f t="shared" si="19"/>
        <v>0.19</v>
      </c>
      <c r="AY33" s="208">
        <f t="shared" si="19"/>
        <v>0.19</v>
      </c>
      <c r="AZ33" s="208">
        <f t="shared" si="19"/>
        <v>0.19</v>
      </c>
    </row>
    <row r="34" ht="15.75" customHeight="1">
      <c r="A34" s="535" t="s">
        <v>137</v>
      </c>
      <c r="B34" s="709">
        <f>C34</f>
        <v>0</v>
      </c>
      <c r="C34" s="709">
        <f>'Inflation GDP Population'!C11-'Inflation GDP Population'!B11</f>
        <v>0</v>
      </c>
      <c r="D34" s="709">
        <f>'Inflation GDP Population'!D11-'Inflation GDP Population'!C11</f>
        <v>0</v>
      </c>
      <c r="E34" s="709">
        <f>'Inflation GDP Population'!E11-'Inflation GDP Population'!D11</f>
        <v>0</v>
      </c>
      <c r="F34" s="709">
        <f>'Inflation GDP Population'!F11-'Inflation GDP Population'!E11</f>
        <v>0.01699083389</v>
      </c>
      <c r="G34" s="709">
        <f>'Inflation GDP Population'!G11-'Inflation GDP Population'!F11</f>
        <v>0.03062821373</v>
      </c>
      <c r="H34" s="709">
        <f>'Inflation GDP Population'!H11-'Inflation GDP Population'!G11</f>
        <v>0.05371115582</v>
      </c>
      <c r="I34" s="709">
        <f>'Inflation GDP Population'!I11-'Inflation GDP Population'!H11</f>
        <v>0.02520679633</v>
      </c>
      <c r="J34" s="709">
        <f>'Inflation GDP Population'!J11-'Inflation GDP Population'!I11</f>
        <v>0.03996199419</v>
      </c>
      <c r="K34" s="709">
        <f>'Inflation GDP Population'!K11-'Inflation GDP Population'!J11</f>
        <v>0.01939414263</v>
      </c>
      <c r="L34" s="709">
        <f>'Inflation GDP Population'!L11-'Inflation GDP Population'!K11</f>
        <v>0.01928236083</v>
      </c>
      <c r="M34" s="709">
        <f>'Inflation GDP Population'!M11-'Inflation GDP Population'!L11</f>
        <v>0.02241225129</v>
      </c>
      <c r="N34" s="709">
        <f>'Inflation GDP Population'!N11-'Inflation GDP Population'!M11</f>
        <v>0.009445562262</v>
      </c>
      <c r="O34" s="709">
        <f>'Inflation GDP Population'!O11-'Inflation GDP Population'!N11</f>
        <v>0.01263134362</v>
      </c>
      <c r="P34" s="709">
        <f>'Inflation GDP Population'!P11-'Inflation GDP Population'!O11</f>
        <v>0.0348200313</v>
      </c>
      <c r="Q34" s="709">
        <f>'Inflation GDP Population'!Q11-'Inflation GDP Population'!P11</f>
        <v>0.01620836128</v>
      </c>
      <c r="R34" s="709">
        <f>'Inflation GDP Population'!R11-'Inflation GDP Population'!Q11</f>
        <v>-0.01061927118</v>
      </c>
      <c r="S34" s="709">
        <f>'Inflation GDP Population'!S11-'Inflation GDP Population'!R11</f>
        <v>0.03923541247</v>
      </c>
      <c r="T34" s="709">
        <f>'Inflation GDP Population'!T11-'Inflation GDP Population'!S11</f>
        <v>0.01263134362</v>
      </c>
      <c r="U34" s="709">
        <f>V34</f>
        <v>0.01989423738</v>
      </c>
      <c r="V34" s="669">
        <f>Inputs!B21</f>
        <v>0.01989423738</v>
      </c>
      <c r="W34" s="710">
        <f t="shared" ref="W34:AZ34" si="20">V34</f>
        <v>0.01989423738</v>
      </c>
      <c r="X34" s="710">
        <f t="shared" si="20"/>
        <v>0.01989423738</v>
      </c>
      <c r="Y34" s="710">
        <f t="shared" si="20"/>
        <v>0.01989423738</v>
      </c>
      <c r="Z34" s="710">
        <f t="shared" si="20"/>
        <v>0.01989423738</v>
      </c>
      <c r="AA34" s="710">
        <f t="shared" si="20"/>
        <v>0.01989423738</v>
      </c>
      <c r="AB34" s="710">
        <f t="shared" si="20"/>
        <v>0.01989423738</v>
      </c>
      <c r="AC34" s="710">
        <f t="shared" si="20"/>
        <v>0.01989423738</v>
      </c>
      <c r="AD34" s="710">
        <f t="shared" si="20"/>
        <v>0.01989423738</v>
      </c>
      <c r="AE34" s="710">
        <f t="shared" si="20"/>
        <v>0.01989423738</v>
      </c>
      <c r="AF34" s="710">
        <f t="shared" si="20"/>
        <v>0.01989423738</v>
      </c>
      <c r="AG34" s="710">
        <f t="shared" si="20"/>
        <v>0.01989423738</v>
      </c>
      <c r="AH34" s="710">
        <f t="shared" si="20"/>
        <v>0.01989423738</v>
      </c>
      <c r="AI34" s="710">
        <f t="shared" si="20"/>
        <v>0.01989423738</v>
      </c>
      <c r="AJ34" s="710">
        <f t="shared" si="20"/>
        <v>0.01989423738</v>
      </c>
      <c r="AK34" s="710">
        <f t="shared" si="20"/>
        <v>0.01989423738</v>
      </c>
      <c r="AL34" s="710">
        <f t="shared" si="20"/>
        <v>0.01989423738</v>
      </c>
      <c r="AM34" s="710">
        <f t="shared" si="20"/>
        <v>0.01989423738</v>
      </c>
      <c r="AN34" s="710">
        <f t="shared" si="20"/>
        <v>0.01989423738</v>
      </c>
      <c r="AO34" s="710">
        <f t="shared" si="20"/>
        <v>0.01989423738</v>
      </c>
      <c r="AP34" s="710">
        <f t="shared" si="20"/>
        <v>0.01989423738</v>
      </c>
      <c r="AQ34" s="710">
        <f t="shared" si="20"/>
        <v>0.01989423738</v>
      </c>
      <c r="AR34" s="710">
        <f t="shared" si="20"/>
        <v>0.01989423738</v>
      </c>
      <c r="AS34" s="710">
        <f t="shared" si="20"/>
        <v>0.01989423738</v>
      </c>
      <c r="AT34" s="710">
        <f t="shared" si="20"/>
        <v>0.01989423738</v>
      </c>
      <c r="AU34" s="710">
        <f t="shared" si="20"/>
        <v>0.01989423738</v>
      </c>
      <c r="AV34" s="710">
        <f t="shared" si="20"/>
        <v>0.01989423738</v>
      </c>
      <c r="AW34" s="710">
        <f t="shared" si="20"/>
        <v>0.01989423738</v>
      </c>
      <c r="AX34" s="710">
        <f t="shared" si="20"/>
        <v>0.01989423738</v>
      </c>
      <c r="AY34" s="710">
        <f t="shared" si="20"/>
        <v>0.01989423738</v>
      </c>
      <c r="AZ34" s="710">
        <f t="shared" si="20"/>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839" t="s">
        <v>140</v>
      </c>
      <c r="B36" s="38"/>
      <c r="C36" s="38"/>
      <c r="D36" s="38"/>
      <c r="E36" s="38"/>
      <c r="F36" s="38"/>
      <c r="G36" s="38"/>
      <c r="H36" s="38"/>
      <c r="I36" s="38"/>
      <c r="J36" s="38"/>
      <c r="K36" s="38"/>
      <c r="L36" s="38"/>
      <c r="M36" s="38"/>
      <c r="N36" s="38"/>
      <c r="O36" s="38"/>
      <c r="P36" s="38"/>
      <c r="Q36" s="38"/>
      <c r="R36" s="38"/>
      <c r="S36" s="38"/>
      <c r="T36" s="38"/>
      <c r="U36" s="38"/>
      <c r="V36" s="32"/>
      <c r="W36" s="252">
        <f t="shared" ref="W36:BA36" si="21">0*SUM(W38:W158)</f>
        <v>0</v>
      </c>
      <c r="X36" s="252">
        <f t="shared" si="21"/>
        <v>0</v>
      </c>
      <c r="Y36" s="252">
        <f t="shared" si="21"/>
        <v>0</v>
      </c>
      <c r="Z36" s="252">
        <f t="shared" si="21"/>
        <v>0</v>
      </c>
      <c r="AA36" s="252">
        <f t="shared" si="21"/>
        <v>0</v>
      </c>
      <c r="AB36" s="252">
        <f t="shared" si="21"/>
        <v>0</v>
      </c>
      <c r="AC36" s="252">
        <f t="shared" si="21"/>
        <v>0</v>
      </c>
      <c r="AD36" s="252">
        <f t="shared" si="21"/>
        <v>0</v>
      </c>
      <c r="AE36" s="252">
        <f t="shared" si="21"/>
        <v>0</v>
      </c>
      <c r="AF36" s="252">
        <f t="shared" si="21"/>
        <v>0</v>
      </c>
      <c r="AG36" s="252">
        <f t="shared" si="21"/>
        <v>0</v>
      </c>
      <c r="AH36" s="252">
        <f t="shared" si="21"/>
        <v>0</v>
      </c>
      <c r="AI36" s="252">
        <f t="shared" si="21"/>
        <v>0</v>
      </c>
      <c r="AJ36" s="252">
        <f t="shared" si="21"/>
        <v>0</v>
      </c>
      <c r="AK36" s="252">
        <f t="shared" si="21"/>
        <v>0</v>
      </c>
      <c r="AL36" s="252">
        <f t="shared" si="21"/>
        <v>0</v>
      </c>
      <c r="AM36" s="252">
        <f t="shared" si="21"/>
        <v>0</v>
      </c>
      <c r="AN36" s="252">
        <f t="shared" si="21"/>
        <v>0</v>
      </c>
      <c r="AO36" s="252">
        <f t="shared" si="21"/>
        <v>0</v>
      </c>
      <c r="AP36" s="252">
        <f t="shared" si="21"/>
        <v>0</v>
      </c>
      <c r="AQ36" s="252">
        <f t="shared" si="21"/>
        <v>0</v>
      </c>
      <c r="AR36" s="252">
        <f t="shared" si="21"/>
        <v>0</v>
      </c>
      <c r="AS36" s="252">
        <f t="shared" si="21"/>
        <v>0</v>
      </c>
      <c r="AT36" s="252">
        <f t="shared" si="21"/>
        <v>0</v>
      </c>
      <c r="AU36" s="252">
        <f t="shared" si="21"/>
        <v>0</v>
      </c>
      <c r="AV36" s="252">
        <f t="shared" si="21"/>
        <v>0</v>
      </c>
      <c r="AW36" s="252">
        <f t="shared" si="21"/>
        <v>0</v>
      </c>
      <c r="AX36" s="252">
        <f t="shared" si="21"/>
        <v>0</v>
      </c>
      <c r="AY36" s="252">
        <f t="shared" si="21"/>
        <v>0</v>
      </c>
      <c r="AZ36" s="252">
        <f t="shared" si="21"/>
        <v>0</v>
      </c>
      <c r="BA36" s="252">
        <f t="shared" si="21"/>
        <v>0</v>
      </c>
    </row>
    <row r="37" ht="15.75" customHeight="1">
      <c r="A37" s="733" t="s">
        <v>1012</v>
      </c>
      <c r="B37" s="733"/>
      <c r="C37" s="733"/>
      <c r="D37" s="733"/>
      <c r="E37" s="733"/>
      <c r="F37" s="733"/>
      <c r="G37" s="733"/>
      <c r="H37" s="733"/>
      <c r="I37" s="733"/>
      <c r="J37" s="733"/>
      <c r="K37" s="733"/>
      <c r="L37" s="733"/>
      <c r="M37" s="733"/>
      <c r="N37" s="733"/>
      <c r="O37" s="733"/>
      <c r="P37" s="733"/>
      <c r="Q37" s="733"/>
      <c r="R37" s="733"/>
      <c r="S37" s="733"/>
      <c r="T37" s="733"/>
      <c r="U37" s="733"/>
      <c r="V37" s="736" t="s">
        <v>1015</v>
      </c>
      <c r="W37" s="159">
        <v>2020.0</v>
      </c>
      <c r="X37" s="159">
        <v>2021.0</v>
      </c>
      <c r="Y37" s="159">
        <v>2022.0</v>
      </c>
      <c r="Z37" s="159">
        <v>2023.0</v>
      </c>
      <c r="AA37" s="159">
        <v>2024.0</v>
      </c>
      <c r="AB37" s="159">
        <v>2025.0</v>
      </c>
      <c r="AC37" s="159">
        <v>2026.0</v>
      </c>
      <c r="AD37" s="159">
        <v>2027.0</v>
      </c>
      <c r="AE37" s="159">
        <v>2028.0</v>
      </c>
      <c r="AF37" s="159">
        <v>2029.0</v>
      </c>
      <c r="AG37" s="159">
        <v>2030.0</v>
      </c>
      <c r="AH37" s="159">
        <v>2031.0</v>
      </c>
      <c r="AI37" s="159">
        <v>2032.0</v>
      </c>
      <c r="AJ37" s="159">
        <v>2033.0</v>
      </c>
      <c r="AK37" s="159">
        <v>2034.0</v>
      </c>
      <c r="AL37" s="159">
        <v>2035.0</v>
      </c>
      <c r="AM37" s="159">
        <v>2036.0</v>
      </c>
      <c r="AN37" s="159">
        <v>2037.0</v>
      </c>
      <c r="AO37" s="159">
        <v>2038.0</v>
      </c>
      <c r="AP37" s="159">
        <v>2039.0</v>
      </c>
      <c r="AQ37" s="159">
        <v>2040.0</v>
      </c>
      <c r="AR37" s="159">
        <v>2041.0</v>
      </c>
      <c r="AS37" s="159">
        <v>2042.0</v>
      </c>
      <c r="AT37" s="159">
        <v>2043.0</v>
      </c>
      <c r="AU37" s="159">
        <v>2044.0</v>
      </c>
      <c r="AV37" s="159">
        <v>2045.0</v>
      </c>
      <c r="AW37" s="159">
        <v>2046.0</v>
      </c>
      <c r="AX37" s="159">
        <v>2047.0</v>
      </c>
      <c r="AY37" s="159">
        <v>2048.0</v>
      </c>
      <c r="AZ37" s="159">
        <v>2049.0</v>
      </c>
      <c r="BA37" s="159">
        <v>2050.0</v>
      </c>
    </row>
    <row r="38" ht="15.75" customHeight="1">
      <c r="A38" s="787">
        <v>1930.0</v>
      </c>
      <c r="B38" s="38"/>
      <c r="C38" s="38"/>
      <c r="D38" s="38"/>
      <c r="E38" s="38"/>
      <c r="F38" s="38"/>
      <c r="G38" s="38"/>
      <c r="H38" s="38"/>
      <c r="I38" s="38"/>
      <c r="J38" s="38"/>
      <c r="K38" s="38"/>
      <c r="L38" s="38"/>
      <c r="M38" s="38"/>
      <c r="N38" s="38"/>
      <c r="O38" s="38"/>
      <c r="P38" s="38"/>
      <c r="Q38" s="38"/>
      <c r="R38" s="38"/>
      <c r="S38" s="38"/>
      <c r="T38" s="38"/>
      <c r="U38" s="38"/>
      <c r="V38" s="801">
        <v>369.4</v>
      </c>
      <c r="W38" s="252">
        <f t="shared" ref="W38:W158" si="23">IF(W$37-$A38&gt;$V$25,$V38,0)</f>
        <v>0</v>
      </c>
      <c r="X38" s="252">
        <f t="shared" ref="X38:BA38" si="22">IF(AND(X$37-$A38&gt;$V$25,SUM($W38:W38)&lt;&gt;$V38),$V38,0)</f>
        <v>369.4</v>
      </c>
      <c r="Y38" s="252">
        <f t="shared" si="22"/>
        <v>0</v>
      </c>
      <c r="Z38" s="252">
        <f t="shared" si="22"/>
        <v>0</v>
      </c>
      <c r="AA38" s="252">
        <f t="shared" si="22"/>
        <v>0</v>
      </c>
      <c r="AB38" s="252">
        <f t="shared" si="22"/>
        <v>0</v>
      </c>
      <c r="AC38" s="252">
        <f t="shared" si="22"/>
        <v>0</v>
      </c>
      <c r="AD38" s="252">
        <f t="shared" si="22"/>
        <v>0</v>
      </c>
      <c r="AE38" s="252">
        <f t="shared" si="22"/>
        <v>0</v>
      </c>
      <c r="AF38" s="252">
        <f t="shared" si="22"/>
        <v>0</v>
      </c>
      <c r="AG38" s="252">
        <f t="shared" si="22"/>
        <v>0</v>
      </c>
      <c r="AH38" s="252">
        <f t="shared" si="22"/>
        <v>0</v>
      </c>
      <c r="AI38" s="252">
        <f t="shared" si="22"/>
        <v>0</v>
      </c>
      <c r="AJ38" s="252">
        <f t="shared" si="22"/>
        <v>0</v>
      </c>
      <c r="AK38" s="252">
        <f t="shared" si="22"/>
        <v>0</v>
      </c>
      <c r="AL38" s="252">
        <f t="shared" si="22"/>
        <v>0</v>
      </c>
      <c r="AM38" s="252">
        <f t="shared" si="22"/>
        <v>0</v>
      </c>
      <c r="AN38" s="252">
        <f t="shared" si="22"/>
        <v>0</v>
      </c>
      <c r="AO38" s="252">
        <f t="shared" si="22"/>
        <v>0</v>
      </c>
      <c r="AP38" s="252">
        <f t="shared" si="22"/>
        <v>0</v>
      </c>
      <c r="AQ38" s="252">
        <f t="shared" si="22"/>
        <v>0</v>
      </c>
      <c r="AR38" s="252">
        <f t="shared" si="22"/>
        <v>0</v>
      </c>
      <c r="AS38" s="252">
        <f t="shared" si="22"/>
        <v>0</v>
      </c>
      <c r="AT38" s="252">
        <f t="shared" si="22"/>
        <v>0</v>
      </c>
      <c r="AU38" s="252">
        <f t="shared" si="22"/>
        <v>0</v>
      </c>
      <c r="AV38" s="252">
        <f t="shared" si="22"/>
        <v>0</v>
      </c>
      <c r="AW38" s="252">
        <f t="shared" si="22"/>
        <v>0</v>
      </c>
      <c r="AX38" s="252">
        <f t="shared" si="22"/>
        <v>0</v>
      </c>
      <c r="AY38" s="252">
        <f t="shared" si="22"/>
        <v>0</v>
      </c>
      <c r="AZ38" s="252">
        <f t="shared" si="22"/>
        <v>0</v>
      </c>
      <c r="BA38" s="252">
        <f t="shared" si="22"/>
        <v>0</v>
      </c>
    </row>
    <row r="39" ht="15.75" customHeight="1">
      <c r="A39" s="787">
        <v>1931.0</v>
      </c>
      <c r="B39" s="38"/>
      <c r="C39" s="38"/>
      <c r="D39" s="38"/>
      <c r="E39" s="38"/>
      <c r="F39" s="38"/>
      <c r="G39" s="38"/>
      <c r="H39" s="38"/>
      <c r="I39" s="38"/>
      <c r="J39" s="38"/>
      <c r="K39" s="38"/>
      <c r="L39" s="38"/>
      <c r="M39" s="38"/>
      <c r="N39" s="38"/>
      <c r="O39" s="38"/>
      <c r="P39" s="38"/>
      <c r="Q39" s="38"/>
      <c r="R39" s="38"/>
      <c r="S39" s="38"/>
      <c r="T39" s="38"/>
      <c r="U39" s="38"/>
      <c r="V39" s="801">
        <v>113.0</v>
      </c>
      <c r="W39" s="252">
        <f t="shared" si="23"/>
        <v>0</v>
      </c>
      <c r="X39" s="252">
        <f t="shared" ref="X39:BA39" si="24">IF(AND(X$37-$A39&gt;$V$25,SUM($W39:W39)&lt;&gt;$V39),$V39,0)</f>
        <v>0</v>
      </c>
      <c r="Y39" s="252">
        <f t="shared" si="24"/>
        <v>113</v>
      </c>
      <c r="Z39" s="252">
        <f t="shared" si="24"/>
        <v>0</v>
      </c>
      <c r="AA39" s="252">
        <f t="shared" si="24"/>
        <v>0</v>
      </c>
      <c r="AB39" s="252">
        <f t="shared" si="24"/>
        <v>0</v>
      </c>
      <c r="AC39" s="252">
        <f t="shared" si="24"/>
        <v>0</v>
      </c>
      <c r="AD39" s="252">
        <f t="shared" si="24"/>
        <v>0</v>
      </c>
      <c r="AE39" s="252">
        <f t="shared" si="24"/>
        <v>0</v>
      </c>
      <c r="AF39" s="252">
        <f t="shared" si="24"/>
        <v>0</v>
      </c>
      <c r="AG39" s="252">
        <f t="shared" si="24"/>
        <v>0</v>
      </c>
      <c r="AH39" s="252">
        <f t="shared" si="24"/>
        <v>0</v>
      </c>
      <c r="AI39" s="252">
        <f t="shared" si="24"/>
        <v>0</v>
      </c>
      <c r="AJ39" s="252">
        <f t="shared" si="24"/>
        <v>0</v>
      </c>
      <c r="AK39" s="252">
        <f t="shared" si="24"/>
        <v>0</v>
      </c>
      <c r="AL39" s="252">
        <f t="shared" si="24"/>
        <v>0</v>
      </c>
      <c r="AM39" s="252">
        <f t="shared" si="24"/>
        <v>0</v>
      </c>
      <c r="AN39" s="252">
        <f t="shared" si="24"/>
        <v>0</v>
      </c>
      <c r="AO39" s="252">
        <f t="shared" si="24"/>
        <v>0</v>
      </c>
      <c r="AP39" s="252">
        <f t="shared" si="24"/>
        <v>0</v>
      </c>
      <c r="AQ39" s="252">
        <f t="shared" si="24"/>
        <v>0</v>
      </c>
      <c r="AR39" s="252">
        <f t="shared" si="24"/>
        <v>0</v>
      </c>
      <c r="AS39" s="252">
        <f t="shared" si="24"/>
        <v>0</v>
      </c>
      <c r="AT39" s="252">
        <f t="shared" si="24"/>
        <v>0</v>
      </c>
      <c r="AU39" s="252">
        <f t="shared" si="24"/>
        <v>0</v>
      </c>
      <c r="AV39" s="252">
        <f t="shared" si="24"/>
        <v>0</v>
      </c>
      <c r="AW39" s="252">
        <f t="shared" si="24"/>
        <v>0</v>
      </c>
      <c r="AX39" s="252">
        <f t="shared" si="24"/>
        <v>0</v>
      </c>
      <c r="AY39" s="252">
        <f t="shared" si="24"/>
        <v>0</v>
      </c>
      <c r="AZ39" s="252">
        <f t="shared" si="24"/>
        <v>0</v>
      </c>
      <c r="BA39" s="252">
        <f t="shared" si="24"/>
        <v>0</v>
      </c>
    </row>
    <row r="40" ht="15.75" customHeight="1">
      <c r="A40" s="787">
        <v>1932.0</v>
      </c>
      <c r="B40" s="38"/>
      <c r="C40" s="38"/>
      <c r="D40" s="38"/>
      <c r="E40" s="38"/>
      <c r="F40" s="38"/>
      <c r="G40" s="38"/>
      <c r="H40" s="38"/>
      <c r="I40" s="38"/>
      <c r="J40" s="38"/>
      <c r="K40" s="38"/>
      <c r="L40" s="38"/>
      <c r="M40" s="38"/>
      <c r="N40" s="38"/>
      <c r="O40" s="38"/>
      <c r="P40" s="38"/>
      <c r="Q40" s="38"/>
      <c r="R40" s="38"/>
      <c r="S40" s="38"/>
      <c r="T40" s="38"/>
      <c r="U40" s="38"/>
      <c r="V40" s="801">
        <v>0.0</v>
      </c>
      <c r="W40" s="252">
        <f t="shared" si="23"/>
        <v>0</v>
      </c>
      <c r="X40" s="252">
        <f t="shared" ref="X40:BA40" si="25">IF(AND(X$37-$A40&gt;$V$25,SUM($W40:W40)&lt;&gt;$V40),$V40,0)</f>
        <v>0</v>
      </c>
      <c r="Y40" s="252">
        <f t="shared" si="25"/>
        <v>0</v>
      </c>
      <c r="Z40" s="252">
        <f t="shared" si="25"/>
        <v>0</v>
      </c>
      <c r="AA40" s="252">
        <f t="shared" si="25"/>
        <v>0</v>
      </c>
      <c r="AB40" s="252">
        <f t="shared" si="25"/>
        <v>0</v>
      </c>
      <c r="AC40" s="252">
        <f t="shared" si="25"/>
        <v>0</v>
      </c>
      <c r="AD40" s="252">
        <f t="shared" si="25"/>
        <v>0</v>
      </c>
      <c r="AE40" s="252">
        <f t="shared" si="25"/>
        <v>0</v>
      </c>
      <c r="AF40" s="252">
        <f t="shared" si="25"/>
        <v>0</v>
      </c>
      <c r="AG40" s="252">
        <f t="shared" si="25"/>
        <v>0</v>
      </c>
      <c r="AH40" s="252">
        <f t="shared" si="25"/>
        <v>0</v>
      </c>
      <c r="AI40" s="252">
        <f t="shared" si="25"/>
        <v>0</v>
      </c>
      <c r="AJ40" s="252">
        <f t="shared" si="25"/>
        <v>0</v>
      </c>
      <c r="AK40" s="252">
        <f t="shared" si="25"/>
        <v>0</v>
      </c>
      <c r="AL40" s="252">
        <f t="shared" si="25"/>
        <v>0</v>
      </c>
      <c r="AM40" s="252">
        <f t="shared" si="25"/>
        <v>0</v>
      </c>
      <c r="AN40" s="252">
        <f t="shared" si="25"/>
        <v>0</v>
      </c>
      <c r="AO40" s="252">
        <f t="shared" si="25"/>
        <v>0</v>
      </c>
      <c r="AP40" s="252">
        <f t="shared" si="25"/>
        <v>0</v>
      </c>
      <c r="AQ40" s="252">
        <f t="shared" si="25"/>
        <v>0</v>
      </c>
      <c r="AR40" s="252">
        <f t="shared" si="25"/>
        <v>0</v>
      </c>
      <c r="AS40" s="252">
        <f t="shared" si="25"/>
        <v>0</v>
      </c>
      <c r="AT40" s="252">
        <f t="shared" si="25"/>
        <v>0</v>
      </c>
      <c r="AU40" s="252">
        <f t="shared" si="25"/>
        <v>0</v>
      </c>
      <c r="AV40" s="252">
        <f t="shared" si="25"/>
        <v>0</v>
      </c>
      <c r="AW40" s="252">
        <f t="shared" si="25"/>
        <v>0</v>
      </c>
      <c r="AX40" s="252">
        <f t="shared" si="25"/>
        <v>0</v>
      </c>
      <c r="AY40" s="252">
        <f t="shared" si="25"/>
        <v>0</v>
      </c>
      <c r="AZ40" s="252">
        <f t="shared" si="25"/>
        <v>0</v>
      </c>
      <c r="BA40" s="252">
        <f t="shared" si="25"/>
        <v>0</v>
      </c>
    </row>
    <row r="41" ht="15.75" customHeight="1">
      <c r="A41" s="787">
        <v>1933.0</v>
      </c>
      <c r="B41" s="38"/>
      <c r="C41" s="38"/>
      <c r="D41" s="38"/>
      <c r="E41" s="38"/>
      <c r="F41" s="38"/>
      <c r="G41" s="38"/>
      <c r="H41" s="38"/>
      <c r="I41" s="38"/>
      <c r="J41" s="38"/>
      <c r="K41" s="38"/>
      <c r="L41" s="38"/>
      <c r="M41" s="38"/>
      <c r="N41" s="38"/>
      <c r="O41" s="38"/>
      <c r="P41" s="38"/>
      <c r="Q41" s="38"/>
      <c r="R41" s="38"/>
      <c r="S41" s="38"/>
      <c r="T41" s="38"/>
      <c r="U41" s="38"/>
      <c r="V41" s="801">
        <v>0.0</v>
      </c>
      <c r="W41" s="252">
        <f t="shared" si="23"/>
        <v>0</v>
      </c>
      <c r="X41" s="252">
        <f t="shared" ref="X41:BA41" si="26">IF(AND(X$37-$A41&gt;$V$25,SUM($W41:W41)&lt;&gt;$V41),$V41,0)</f>
        <v>0</v>
      </c>
      <c r="Y41" s="252">
        <f t="shared" si="26"/>
        <v>0</v>
      </c>
      <c r="Z41" s="252">
        <f t="shared" si="26"/>
        <v>0</v>
      </c>
      <c r="AA41" s="252">
        <f t="shared" si="26"/>
        <v>0</v>
      </c>
      <c r="AB41" s="252">
        <f t="shared" si="26"/>
        <v>0</v>
      </c>
      <c r="AC41" s="252">
        <f t="shared" si="26"/>
        <v>0</v>
      </c>
      <c r="AD41" s="252">
        <f t="shared" si="26"/>
        <v>0</v>
      </c>
      <c r="AE41" s="252">
        <f t="shared" si="26"/>
        <v>0</v>
      </c>
      <c r="AF41" s="252">
        <f t="shared" si="26"/>
        <v>0</v>
      </c>
      <c r="AG41" s="252">
        <f t="shared" si="26"/>
        <v>0</v>
      </c>
      <c r="AH41" s="252">
        <f t="shared" si="26"/>
        <v>0</v>
      </c>
      <c r="AI41" s="252">
        <f t="shared" si="26"/>
        <v>0</v>
      </c>
      <c r="AJ41" s="252">
        <f t="shared" si="26"/>
        <v>0</v>
      </c>
      <c r="AK41" s="252">
        <f t="shared" si="26"/>
        <v>0</v>
      </c>
      <c r="AL41" s="252">
        <f t="shared" si="26"/>
        <v>0</v>
      </c>
      <c r="AM41" s="252">
        <f t="shared" si="26"/>
        <v>0</v>
      </c>
      <c r="AN41" s="252">
        <f t="shared" si="26"/>
        <v>0</v>
      </c>
      <c r="AO41" s="252">
        <f t="shared" si="26"/>
        <v>0</v>
      </c>
      <c r="AP41" s="252">
        <f t="shared" si="26"/>
        <v>0</v>
      </c>
      <c r="AQ41" s="252">
        <f t="shared" si="26"/>
        <v>0</v>
      </c>
      <c r="AR41" s="252">
        <f t="shared" si="26"/>
        <v>0</v>
      </c>
      <c r="AS41" s="252">
        <f t="shared" si="26"/>
        <v>0</v>
      </c>
      <c r="AT41" s="252">
        <f t="shared" si="26"/>
        <v>0</v>
      </c>
      <c r="AU41" s="252">
        <f t="shared" si="26"/>
        <v>0</v>
      </c>
      <c r="AV41" s="252">
        <f t="shared" si="26"/>
        <v>0</v>
      </c>
      <c r="AW41" s="252">
        <f t="shared" si="26"/>
        <v>0</v>
      </c>
      <c r="AX41" s="252">
        <f t="shared" si="26"/>
        <v>0</v>
      </c>
      <c r="AY41" s="252">
        <f t="shared" si="26"/>
        <v>0</v>
      </c>
      <c r="AZ41" s="252">
        <f t="shared" si="26"/>
        <v>0</v>
      </c>
      <c r="BA41" s="252">
        <f t="shared" si="26"/>
        <v>0</v>
      </c>
    </row>
    <row r="42" ht="15.75" customHeight="1">
      <c r="A42" s="787">
        <v>1934.0</v>
      </c>
      <c r="B42" s="38"/>
      <c r="C42" s="38"/>
      <c r="D42" s="38"/>
      <c r="E42" s="38"/>
      <c r="F42" s="38"/>
      <c r="G42" s="38"/>
      <c r="H42" s="38"/>
      <c r="I42" s="38"/>
      <c r="J42" s="38"/>
      <c r="K42" s="38"/>
      <c r="L42" s="38"/>
      <c r="M42" s="38"/>
      <c r="N42" s="38"/>
      <c r="O42" s="38"/>
      <c r="P42" s="38"/>
      <c r="Q42" s="38"/>
      <c r="R42" s="38"/>
      <c r="S42" s="38"/>
      <c r="T42" s="38"/>
      <c r="U42" s="38"/>
      <c r="V42" s="801">
        <v>1.8</v>
      </c>
      <c r="W42" s="252">
        <f t="shared" si="23"/>
        <v>0</v>
      </c>
      <c r="X42" s="252">
        <f t="shared" ref="X42:BA42" si="27">IF(AND(X$37-$A42&gt;$V$25,SUM($W42:W42)&lt;&gt;$V42),$V42,0)</f>
        <v>0</v>
      </c>
      <c r="Y42" s="252">
        <f t="shared" si="27"/>
        <v>0</v>
      </c>
      <c r="Z42" s="252">
        <f t="shared" si="27"/>
        <v>0</v>
      </c>
      <c r="AA42" s="252">
        <f t="shared" si="27"/>
        <v>0</v>
      </c>
      <c r="AB42" s="252">
        <f t="shared" si="27"/>
        <v>1.8</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row>
    <row r="43" ht="15.75" customHeight="1">
      <c r="A43" s="787">
        <v>1935.0</v>
      </c>
      <c r="B43" s="38"/>
      <c r="C43" s="38"/>
      <c r="D43" s="38"/>
      <c r="E43" s="38"/>
      <c r="F43" s="38"/>
      <c r="G43" s="38"/>
      <c r="H43" s="38"/>
      <c r="I43" s="38"/>
      <c r="J43" s="38"/>
      <c r="K43" s="38"/>
      <c r="L43" s="38"/>
      <c r="M43" s="38"/>
      <c r="N43" s="38"/>
      <c r="O43" s="38"/>
      <c r="P43" s="38"/>
      <c r="Q43" s="38"/>
      <c r="R43" s="38"/>
      <c r="S43" s="38"/>
      <c r="T43" s="38"/>
      <c r="U43" s="38"/>
      <c r="V43" s="801">
        <v>0.0</v>
      </c>
      <c r="W43" s="252">
        <f t="shared" si="23"/>
        <v>0</v>
      </c>
      <c r="X43" s="252">
        <f t="shared" ref="X43:BA43" si="28">IF(AND(X$37-$A43&gt;$V$25,SUM($W43:W43)&lt;&gt;$V43),$V43,0)</f>
        <v>0</v>
      </c>
      <c r="Y43" s="252">
        <f t="shared" si="28"/>
        <v>0</v>
      </c>
      <c r="Z43" s="252">
        <f t="shared" si="28"/>
        <v>0</v>
      </c>
      <c r="AA43" s="252">
        <f t="shared" si="28"/>
        <v>0</v>
      </c>
      <c r="AB43" s="252">
        <f t="shared" si="28"/>
        <v>0</v>
      </c>
      <c r="AC43" s="252">
        <f t="shared" si="28"/>
        <v>0</v>
      </c>
      <c r="AD43" s="252">
        <f t="shared" si="28"/>
        <v>0</v>
      </c>
      <c r="AE43" s="252">
        <f t="shared" si="28"/>
        <v>0</v>
      </c>
      <c r="AF43" s="252">
        <f t="shared" si="28"/>
        <v>0</v>
      </c>
      <c r="AG43" s="252">
        <f t="shared" si="28"/>
        <v>0</v>
      </c>
      <c r="AH43" s="252">
        <f t="shared" si="28"/>
        <v>0</v>
      </c>
      <c r="AI43" s="252">
        <f t="shared" si="28"/>
        <v>0</v>
      </c>
      <c r="AJ43" s="252">
        <f t="shared" si="28"/>
        <v>0</v>
      </c>
      <c r="AK43" s="252">
        <f t="shared" si="28"/>
        <v>0</v>
      </c>
      <c r="AL43" s="252">
        <f t="shared" si="28"/>
        <v>0</v>
      </c>
      <c r="AM43" s="252">
        <f t="shared" si="28"/>
        <v>0</v>
      </c>
      <c r="AN43" s="252">
        <f t="shared" si="28"/>
        <v>0</v>
      </c>
      <c r="AO43" s="252">
        <f t="shared" si="28"/>
        <v>0</v>
      </c>
      <c r="AP43" s="252">
        <f t="shared" si="28"/>
        <v>0</v>
      </c>
      <c r="AQ43" s="252">
        <f t="shared" si="28"/>
        <v>0</v>
      </c>
      <c r="AR43" s="252">
        <f t="shared" si="28"/>
        <v>0</v>
      </c>
      <c r="AS43" s="252">
        <f t="shared" si="28"/>
        <v>0</v>
      </c>
      <c r="AT43" s="252">
        <f t="shared" si="28"/>
        <v>0</v>
      </c>
      <c r="AU43" s="252">
        <f t="shared" si="28"/>
        <v>0</v>
      </c>
      <c r="AV43" s="252">
        <f t="shared" si="28"/>
        <v>0</v>
      </c>
      <c r="AW43" s="252">
        <f t="shared" si="28"/>
        <v>0</v>
      </c>
      <c r="AX43" s="252">
        <f t="shared" si="28"/>
        <v>0</v>
      </c>
      <c r="AY43" s="252">
        <f t="shared" si="28"/>
        <v>0</v>
      </c>
      <c r="AZ43" s="252">
        <f t="shared" si="28"/>
        <v>0</v>
      </c>
      <c r="BA43" s="252">
        <f t="shared" si="28"/>
        <v>0</v>
      </c>
    </row>
    <row r="44" ht="15.75" customHeight="1">
      <c r="A44" s="787">
        <v>1936.0</v>
      </c>
      <c r="B44" s="38"/>
      <c r="C44" s="38"/>
      <c r="D44" s="38"/>
      <c r="E44" s="38"/>
      <c r="F44" s="38"/>
      <c r="G44" s="38"/>
      <c r="H44" s="38"/>
      <c r="I44" s="38"/>
      <c r="J44" s="38"/>
      <c r="K44" s="38"/>
      <c r="L44" s="38"/>
      <c r="M44" s="38"/>
      <c r="N44" s="38"/>
      <c r="O44" s="38"/>
      <c r="P44" s="38"/>
      <c r="Q44" s="38"/>
      <c r="R44" s="38"/>
      <c r="S44" s="38"/>
      <c r="T44" s="38"/>
      <c r="U44" s="38"/>
      <c r="V44" s="801">
        <v>166.5</v>
      </c>
      <c r="W44" s="252">
        <f t="shared" si="23"/>
        <v>0</v>
      </c>
      <c r="X44" s="252">
        <f t="shared" ref="X44:BA44" si="29">IF(AND(X$37-$A44&gt;$V$25,SUM($W44:W44)&lt;&gt;$V44),$V44,0)</f>
        <v>0</v>
      </c>
      <c r="Y44" s="252">
        <f t="shared" si="29"/>
        <v>0</v>
      </c>
      <c r="Z44" s="252">
        <f t="shared" si="29"/>
        <v>0</v>
      </c>
      <c r="AA44" s="252">
        <f t="shared" si="29"/>
        <v>0</v>
      </c>
      <c r="AB44" s="252">
        <f t="shared" si="29"/>
        <v>0</v>
      </c>
      <c r="AC44" s="252">
        <f t="shared" si="29"/>
        <v>0</v>
      </c>
      <c r="AD44" s="252">
        <f t="shared" si="29"/>
        <v>166.5</v>
      </c>
      <c r="AE44" s="252">
        <f t="shared" si="29"/>
        <v>0</v>
      </c>
      <c r="AF44" s="252">
        <f t="shared" si="29"/>
        <v>0</v>
      </c>
      <c r="AG44" s="252">
        <f t="shared" si="29"/>
        <v>0</v>
      </c>
      <c r="AH44" s="252">
        <f t="shared" si="29"/>
        <v>0</v>
      </c>
      <c r="AI44" s="252">
        <f t="shared" si="29"/>
        <v>0</v>
      </c>
      <c r="AJ44" s="252">
        <f t="shared" si="29"/>
        <v>0</v>
      </c>
      <c r="AK44" s="252">
        <f t="shared" si="29"/>
        <v>0</v>
      </c>
      <c r="AL44" s="252">
        <f t="shared" si="29"/>
        <v>0</v>
      </c>
      <c r="AM44" s="252">
        <f t="shared" si="29"/>
        <v>0</v>
      </c>
      <c r="AN44" s="252">
        <f t="shared" si="29"/>
        <v>0</v>
      </c>
      <c r="AO44" s="252">
        <f t="shared" si="29"/>
        <v>0</v>
      </c>
      <c r="AP44" s="252">
        <f t="shared" si="29"/>
        <v>0</v>
      </c>
      <c r="AQ44" s="252">
        <f t="shared" si="29"/>
        <v>0</v>
      </c>
      <c r="AR44" s="252">
        <f t="shared" si="29"/>
        <v>0</v>
      </c>
      <c r="AS44" s="252">
        <f t="shared" si="29"/>
        <v>0</v>
      </c>
      <c r="AT44" s="252">
        <f t="shared" si="29"/>
        <v>0</v>
      </c>
      <c r="AU44" s="252">
        <f t="shared" si="29"/>
        <v>0</v>
      </c>
      <c r="AV44" s="252">
        <f t="shared" si="29"/>
        <v>0</v>
      </c>
      <c r="AW44" s="252">
        <f t="shared" si="29"/>
        <v>0</v>
      </c>
      <c r="AX44" s="252">
        <f t="shared" si="29"/>
        <v>0</v>
      </c>
      <c r="AY44" s="252">
        <f t="shared" si="29"/>
        <v>0</v>
      </c>
      <c r="AZ44" s="252">
        <f t="shared" si="29"/>
        <v>0</v>
      </c>
      <c r="BA44" s="252">
        <f t="shared" si="29"/>
        <v>0</v>
      </c>
    </row>
    <row r="45" ht="15.75" customHeight="1">
      <c r="A45" s="787">
        <v>1937.0</v>
      </c>
      <c r="B45" s="38"/>
      <c r="C45" s="38"/>
      <c r="D45" s="38"/>
      <c r="E45" s="38"/>
      <c r="F45" s="38"/>
      <c r="G45" s="38"/>
      <c r="H45" s="38"/>
      <c r="I45" s="38"/>
      <c r="J45" s="38"/>
      <c r="K45" s="38"/>
      <c r="L45" s="38"/>
      <c r="M45" s="38"/>
      <c r="N45" s="38"/>
      <c r="O45" s="38"/>
      <c r="P45" s="38"/>
      <c r="Q45" s="38"/>
      <c r="R45" s="38"/>
      <c r="S45" s="38"/>
      <c r="T45" s="38"/>
      <c r="U45" s="38"/>
      <c r="V45" s="801">
        <v>35.1</v>
      </c>
      <c r="W45" s="252">
        <f t="shared" si="23"/>
        <v>0</v>
      </c>
      <c r="X45" s="252">
        <f t="shared" ref="X45:BA45" si="30">IF(AND(X$37-$A45&gt;$V$25,SUM($W45:W45)&lt;&gt;$V45),$V45,0)</f>
        <v>0</v>
      </c>
      <c r="Y45" s="252">
        <f t="shared" si="30"/>
        <v>0</v>
      </c>
      <c r="Z45" s="252">
        <f t="shared" si="30"/>
        <v>0</v>
      </c>
      <c r="AA45" s="252">
        <f t="shared" si="30"/>
        <v>0</v>
      </c>
      <c r="AB45" s="252">
        <f t="shared" si="30"/>
        <v>0</v>
      </c>
      <c r="AC45" s="252">
        <f t="shared" si="30"/>
        <v>0</v>
      </c>
      <c r="AD45" s="252">
        <f t="shared" si="30"/>
        <v>0</v>
      </c>
      <c r="AE45" s="252">
        <f t="shared" si="30"/>
        <v>35.1</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row>
    <row r="46" ht="15.75" customHeight="1">
      <c r="A46" s="787">
        <v>1938.0</v>
      </c>
      <c r="B46" s="38"/>
      <c r="C46" s="38"/>
      <c r="D46" s="38"/>
      <c r="E46" s="38"/>
      <c r="F46" s="38"/>
      <c r="G46" s="38"/>
      <c r="H46" s="38"/>
      <c r="I46" s="38"/>
      <c r="J46" s="38"/>
      <c r="K46" s="38"/>
      <c r="L46" s="38"/>
      <c r="M46" s="38"/>
      <c r="N46" s="38"/>
      <c r="O46" s="38"/>
      <c r="P46" s="38"/>
      <c r="Q46" s="38"/>
      <c r="R46" s="38"/>
      <c r="S46" s="38"/>
      <c r="T46" s="38"/>
      <c r="U46" s="38"/>
      <c r="V46" s="801">
        <v>132.2</v>
      </c>
      <c r="W46" s="252">
        <f t="shared" si="23"/>
        <v>0</v>
      </c>
      <c r="X46" s="252">
        <f t="shared" ref="X46:BA46" si="31">IF(AND(X$37-$A46&gt;$V$25,SUM($W46:W46)&lt;&gt;$V46),$V46,0)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132.2</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row>
    <row r="47" ht="15.75" customHeight="1">
      <c r="A47" s="787">
        <v>1939.0</v>
      </c>
      <c r="B47" s="38"/>
      <c r="C47" s="38"/>
      <c r="D47" s="38"/>
      <c r="E47" s="38"/>
      <c r="F47" s="38"/>
      <c r="G47" s="38"/>
      <c r="H47" s="38"/>
      <c r="I47" s="38"/>
      <c r="J47" s="38"/>
      <c r="K47" s="38"/>
      <c r="L47" s="38"/>
      <c r="M47" s="38"/>
      <c r="N47" s="38"/>
      <c r="O47" s="38"/>
      <c r="P47" s="38"/>
      <c r="Q47" s="38"/>
      <c r="R47" s="38"/>
      <c r="S47" s="38"/>
      <c r="T47" s="38"/>
      <c r="U47" s="38"/>
      <c r="V47" s="801">
        <v>89.4</v>
      </c>
      <c r="W47" s="252">
        <f t="shared" si="23"/>
        <v>0</v>
      </c>
      <c r="X47" s="252">
        <f t="shared" ref="X47:BA47" si="32">IF(AND(X$37-$A47&gt;$V$25,SUM($W47:W47)&lt;&gt;$V47),$V47,0)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89.4</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row>
    <row r="48" ht="15.75" customHeight="1">
      <c r="A48" s="787">
        <v>1940.0</v>
      </c>
      <c r="B48" s="38"/>
      <c r="C48" s="38"/>
      <c r="D48" s="38"/>
      <c r="E48" s="38"/>
      <c r="F48" s="38"/>
      <c r="G48" s="38"/>
      <c r="H48" s="38"/>
      <c r="I48" s="38"/>
      <c r="J48" s="38"/>
      <c r="K48" s="38"/>
      <c r="L48" s="38"/>
      <c r="M48" s="38"/>
      <c r="N48" s="38"/>
      <c r="O48" s="38"/>
      <c r="P48" s="38"/>
      <c r="Q48" s="38"/>
      <c r="R48" s="38"/>
      <c r="S48" s="38"/>
      <c r="T48" s="38"/>
      <c r="U48" s="38"/>
      <c r="V48" s="801">
        <v>205.3</v>
      </c>
      <c r="W48" s="252">
        <f t="shared" si="23"/>
        <v>0</v>
      </c>
      <c r="X48" s="252">
        <f t="shared" ref="X48:BA48" si="33">IF(AND(X$37-$A48&gt;$V$25,SUM($W48:W48)&lt;&gt;$V48),$V48,0)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205.3</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row>
    <row r="49" ht="15.75" customHeight="1">
      <c r="A49" s="787">
        <v>1941.0</v>
      </c>
      <c r="B49" s="38"/>
      <c r="C49" s="38"/>
      <c r="D49" s="38"/>
      <c r="E49" s="38"/>
      <c r="F49" s="38"/>
      <c r="G49" s="38"/>
      <c r="H49" s="38"/>
      <c r="I49" s="38"/>
      <c r="J49" s="38"/>
      <c r="K49" s="38"/>
      <c r="L49" s="38"/>
      <c r="M49" s="38"/>
      <c r="N49" s="38"/>
      <c r="O49" s="38"/>
      <c r="P49" s="38"/>
      <c r="Q49" s="38"/>
      <c r="R49" s="38"/>
      <c r="S49" s="38"/>
      <c r="T49" s="38"/>
      <c r="U49" s="38"/>
      <c r="V49" s="801">
        <v>94.9</v>
      </c>
      <c r="W49" s="252">
        <f t="shared" si="23"/>
        <v>0</v>
      </c>
      <c r="X49" s="252">
        <f t="shared" ref="X49:BA49" si="34">IF(AND(X$37-$A49&gt;$V$25,SUM($W49:W49)&lt;&gt;$V49),$V49,0)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94.9</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row>
    <row r="50" ht="15.75" customHeight="1">
      <c r="A50" s="787">
        <v>1942.0</v>
      </c>
      <c r="B50" s="38"/>
      <c r="C50" s="38"/>
      <c r="D50" s="38"/>
      <c r="E50" s="38"/>
      <c r="F50" s="38"/>
      <c r="G50" s="38"/>
      <c r="H50" s="38"/>
      <c r="I50" s="38"/>
      <c r="J50" s="38"/>
      <c r="K50" s="38"/>
      <c r="L50" s="38"/>
      <c r="M50" s="38"/>
      <c r="N50" s="38"/>
      <c r="O50" s="38"/>
      <c r="P50" s="38"/>
      <c r="Q50" s="38"/>
      <c r="R50" s="38"/>
      <c r="S50" s="38"/>
      <c r="T50" s="38"/>
      <c r="U50" s="38"/>
      <c r="V50" s="801">
        <v>561.0</v>
      </c>
      <c r="W50" s="252">
        <f t="shared" si="23"/>
        <v>0</v>
      </c>
      <c r="X50" s="252">
        <f t="shared" ref="X50:BA50" si="35">IF(AND(X$37-$A50&gt;$V$25,SUM($W50:W50)&lt;&gt;$V50),$V50,0)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561</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row>
    <row r="51" ht="15.75" customHeight="1">
      <c r="A51" s="787">
        <v>1943.0</v>
      </c>
      <c r="B51" s="38"/>
      <c r="C51" s="38"/>
      <c r="D51" s="38"/>
      <c r="E51" s="38"/>
      <c r="F51" s="38"/>
      <c r="G51" s="38"/>
      <c r="H51" s="38"/>
      <c r="I51" s="38"/>
      <c r="J51" s="38"/>
      <c r="K51" s="38"/>
      <c r="L51" s="38"/>
      <c r="M51" s="38"/>
      <c r="N51" s="38"/>
      <c r="O51" s="38"/>
      <c r="P51" s="38"/>
      <c r="Q51" s="38"/>
      <c r="R51" s="38"/>
      <c r="S51" s="38"/>
      <c r="T51" s="38"/>
      <c r="U51" s="38"/>
      <c r="V51" s="801">
        <v>243.1</v>
      </c>
      <c r="W51" s="252">
        <f t="shared" si="23"/>
        <v>0</v>
      </c>
      <c r="X51" s="252">
        <f t="shared" ref="X51:BA51" si="36">IF(AND(X$37-$A51&gt;$V$25,SUM($W51:W51)&lt;&gt;$V51),$V51,0)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243.1</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row>
    <row r="52" ht="15.75" customHeight="1">
      <c r="A52" s="787">
        <v>1944.0</v>
      </c>
      <c r="B52" s="38"/>
      <c r="C52" s="38"/>
      <c r="D52" s="38"/>
      <c r="E52" s="38"/>
      <c r="F52" s="38"/>
      <c r="G52" s="38"/>
      <c r="H52" s="38"/>
      <c r="I52" s="38"/>
      <c r="J52" s="38"/>
      <c r="K52" s="38"/>
      <c r="L52" s="38"/>
      <c r="M52" s="38"/>
      <c r="N52" s="38"/>
      <c r="O52" s="38"/>
      <c r="P52" s="38"/>
      <c r="Q52" s="38"/>
      <c r="R52" s="38"/>
      <c r="S52" s="38"/>
      <c r="T52" s="38"/>
      <c r="U52" s="38"/>
      <c r="V52" s="801">
        <v>141.0</v>
      </c>
      <c r="W52" s="252">
        <f t="shared" si="23"/>
        <v>0</v>
      </c>
      <c r="X52" s="252">
        <f t="shared" ref="X52:BA52" si="37">IF(AND(X$37-$A52&gt;$V$25,SUM($W52:W52)&lt;&gt;$V52),$V52,0)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141</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row>
    <row r="53" ht="15.75" customHeight="1">
      <c r="A53" s="787">
        <v>1945.0</v>
      </c>
      <c r="B53" s="38"/>
      <c r="C53" s="38"/>
      <c r="D53" s="38"/>
      <c r="E53" s="38"/>
      <c r="F53" s="38"/>
      <c r="G53" s="38"/>
      <c r="H53" s="38"/>
      <c r="I53" s="38"/>
      <c r="J53" s="38"/>
      <c r="K53" s="38"/>
      <c r="L53" s="38"/>
      <c r="M53" s="38"/>
      <c r="N53" s="38"/>
      <c r="O53" s="38"/>
      <c r="P53" s="38"/>
      <c r="Q53" s="38"/>
      <c r="R53" s="38"/>
      <c r="S53" s="38"/>
      <c r="T53" s="38"/>
      <c r="U53" s="38"/>
      <c r="V53" s="801">
        <v>173.7</v>
      </c>
      <c r="W53" s="252">
        <f t="shared" si="23"/>
        <v>0</v>
      </c>
      <c r="X53" s="252">
        <f t="shared" ref="X53:BA53" si="38">IF(AND(X$37-$A53&gt;$V$25,SUM($W53:W53)&lt;&gt;$V53),$V53,0)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173.7</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row>
    <row r="54" ht="15.75" customHeight="1">
      <c r="A54" s="787">
        <v>1946.0</v>
      </c>
      <c r="B54" s="38"/>
      <c r="C54" s="38"/>
      <c r="D54" s="38"/>
      <c r="E54" s="38"/>
      <c r="F54" s="38"/>
      <c r="G54" s="38"/>
      <c r="H54" s="38"/>
      <c r="I54" s="38"/>
      <c r="J54" s="38"/>
      <c r="K54" s="38"/>
      <c r="L54" s="38"/>
      <c r="M54" s="38"/>
      <c r="N54" s="38"/>
      <c r="O54" s="38"/>
      <c r="P54" s="38"/>
      <c r="Q54" s="38"/>
      <c r="R54" s="38"/>
      <c r="S54" s="38"/>
      <c r="T54" s="38"/>
      <c r="U54" s="38"/>
      <c r="V54" s="801">
        <v>2.1</v>
      </c>
      <c r="W54" s="252">
        <f t="shared" si="23"/>
        <v>0</v>
      </c>
      <c r="X54" s="252">
        <f t="shared" ref="X54:BA54" si="39">IF(AND(X$37-$A54&gt;$V$25,SUM($W54:W54)&lt;&gt;$V54),$V54,0)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2.1</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row>
    <row r="55" ht="15.75" customHeight="1">
      <c r="A55" s="787">
        <v>1947.0</v>
      </c>
      <c r="B55" s="38"/>
      <c r="C55" s="38"/>
      <c r="D55" s="38"/>
      <c r="E55" s="38"/>
      <c r="F55" s="38"/>
      <c r="G55" s="38"/>
      <c r="H55" s="38"/>
      <c r="I55" s="38"/>
      <c r="J55" s="38"/>
      <c r="K55" s="38"/>
      <c r="L55" s="38"/>
      <c r="M55" s="38"/>
      <c r="N55" s="38"/>
      <c r="O55" s="38"/>
      <c r="P55" s="38"/>
      <c r="Q55" s="38"/>
      <c r="R55" s="38"/>
      <c r="S55" s="38"/>
      <c r="T55" s="38"/>
      <c r="U55" s="38"/>
      <c r="V55" s="801">
        <v>0.0</v>
      </c>
      <c r="W55" s="252">
        <f t="shared" si="23"/>
        <v>0</v>
      </c>
      <c r="X55" s="252">
        <f t="shared" ref="X55:BA55" si="40">IF(AND(X$37-$A55&gt;$V$25,SUM($W55:W55)&lt;&gt;$V55),$V55,0)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row>
    <row r="56" ht="15.75" customHeight="1">
      <c r="A56" s="787">
        <v>1948.0</v>
      </c>
      <c r="B56" s="38"/>
      <c r="C56" s="38"/>
      <c r="D56" s="38"/>
      <c r="E56" s="38"/>
      <c r="F56" s="38"/>
      <c r="G56" s="38"/>
      <c r="H56" s="38"/>
      <c r="I56" s="38"/>
      <c r="J56" s="38"/>
      <c r="K56" s="38"/>
      <c r="L56" s="38"/>
      <c r="M56" s="38"/>
      <c r="N56" s="38"/>
      <c r="O56" s="38"/>
      <c r="P56" s="38"/>
      <c r="Q56" s="38"/>
      <c r="R56" s="38"/>
      <c r="S56" s="38"/>
      <c r="T56" s="38"/>
      <c r="U56" s="38"/>
      <c r="V56" s="801">
        <v>96.1</v>
      </c>
      <c r="W56" s="252">
        <f t="shared" si="23"/>
        <v>0</v>
      </c>
      <c r="X56" s="252">
        <f t="shared" ref="X56:BA56" si="41">IF(AND(X$37-$A56&gt;$V$25,SUM($W56:W56)&lt;&gt;$V56),$V56,0)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96.1</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row>
    <row r="57" ht="15.75" customHeight="1">
      <c r="A57" s="787">
        <v>1949.0</v>
      </c>
      <c r="B57" s="38"/>
      <c r="C57" s="38"/>
      <c r="D57" s="38"/>
      <c r="E57" s="38"/>
      <c r="F57" s="38"/>
      <c r="G57" s="38"/>
      <c r="H57" s="38"/>
      <c r="I57" s="38"/>
      <c r="J57" s="38"/>
      <c r="K57" s="38"/>
      <c r="L57" s="38"/>
      <c r="M57" s="38"/>
      <c r="N57" s="38"/>
      <c r="O57" s="38"/>
      <c r="P57" s="38"/>
      <c r="Q57" s="38"/>
      <c r="R57" s="38"/>
      <c r="S57" s="38"/>
      <c r="T57" s="38"/>
      <c r="U57" s="38"/>
      <c r="V57" s="801">
        <v>311.5</v>
      </c>
      <c r="W57" s="252">
        <f t="shared" si="23"/>
        <v>0</v>
      </c>
      <c r="X57" s="252">
        <f t="shared" ref="X57:BA57" si="42">IF(AND(X$37-$A57&gt;$V$25,SUM($W57:W57)&lt;&gt;$V57),$V57,0)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311.5</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row>
    <row r="58" ht="15.75" customHeight="1">
      <c r="A58" s="787">
        <v>1950.0</v>
      </c>
      <c r="B58" s="38"/>
      <c r="C58" s="38"/>
      <c r="D58" s="38"/>
      <c r="E58" s="38"/>
      <c r="F58" s="38"/>
      <c r="G58" s="38"/>
      <c r="H58" s="38"/>
      <c r="I58" s="38"/>
      <c r="J58" s="38"/>
      <c r="K58" s="38"/>
      <c r="L58" s="38"/>
      <c r="M58" s="38"/>
      <c r="N58" s="38"/>
      <c r="O58" s="38"/>
      <c r="P58" s="38"/>
      <c r="Q58" s="38"/>
      <c r="R58" s="38"/>
      <c r="S58" s="38"/>
      <c r="T58" s="38"/>
      <c r="U58" s="38"/>
      <c r="V58" s="801">
        <v>262.3</v>
      </c>
      <c r="W58" s="252">
        <f t="shared" si="23"/>
        <v>0</v>
      </c>
      <c r="X58" s="252">
        <f t="shared" ref="X58:BA58" si="43">IF(AND(X$37-$A58&gt;$V$25,SUM($W58:W58)&lt;&gt;$V58),$V58,0)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262.3</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row>
    <row r="59" ht="15.75" customHeight="1">
      <c r="A59" s="787">
        <v>1951.0</v>
      </c>
      <c r="B59" s="38"/>
      <c r="C59" s="38"/>
      <c r="D59" s="38"/>
      <c r="E59" s="38"/>
      <c r="F59" s="38"/>
      <c r="G59" s="38"/>
      <c r="H59" s="38"/>
      <c r="I59" s="38"/>
      <c r="J59" s="38"/>
      <c r="K59" s="38"/>
      <c r="L59" s="38"/>
      <c r="M59" s="38"/>
      <c r="N59" s="38"/>
      <c r="O59" s="38"/>
      <c r="P59" s="38"/>
      <c r="Q59" s="38"/>
      <c r="R59" s="38"/>
      <c r="S59" s="38"/>
      <c r="T59" s="38"/>
      <c r="U59" s="38"/>
      <c r="V59" s="801">
        <v>171.0</v>
      </c>
      <c r="W59" s="252">
        <f t="shared" si="23"/>
        <v>0</v>
      </c>
      <c r="X59" s="252">
        <f t="shared" ref="X59:BA59" si="44">IF(AND(X$37-$A59&gt;$V$25,SUM($W59:W59)&lt;&gt;$V59),$V59,0)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171</v>
      </c>
      <c r="AT59" s="252">
        <f t="shared" si="44"/>
        <v>0</v>
      </c>
      <c r="AU59" s="252">
        <f t="shared" si="44"/>
        <v>0</v>
      </c>
      <c r="AV59" s="252">
        <f t="shared" si="44"/>
        <v>0</v>
      </c>
      <c r="AW59" s="252">
        <f t="shared" si="44"/>
        <v>0</v>
      </c>
      <c r="AX59" s="252">
        <f t="shared" si="44"/>
        <v>0</v>
      </c>
      <c r="AY59" s="252">
        <f t="shared" si="44"/>
        <v>0</v>
      </c>
      <c r="AZ59" s="252">
        <f t="shared" si="44"/>
        <v>0</v>
      </c>
      <c r="BA59" s="252">
        <f t="shared" si="44"/>
        <v>0</v>
      </c>
    </row>
    <row r="60" ht="15.75" customHeight="1">
      <c r="A60" s="787">
        <v>1952.0</v>
      </c>
      <c r="B60" s="38"/>
      <c r="C60" s="38"/>
      <c r="D60" s="38"/>
      <c r="E60" s="38"/>
      <c r="F60" s="38"/>
      <c r="G60" s="38"/>
      <c r="H60" s="38"/>
      <c r="I60" s="38"/>
      <c r="J60" s="38"/>
      <c r="K60" s="38"/>
      <c r="L60" s="38"/>
      <c r="M60" s="38"/>
      <c r="N60" s="38"/>
      <c r="O60" s="38"/>
      <c r="P60" s="38"/>
      <c r="Q60" s="38"/>
      <c r="R60" s="38"/>
      <c r="S60" s="38"/>
      <c r="T60" s="38"/>
      <c r="U60" s="38"/>
      <c r="V60" s="801">
        <v>215.1</v>
      </c>
      <c r="W60" s="252">
        <f t="shared" si="23"/>
        <v>0</v>
      </c>
      <c r="X60" s="252">
        <f t="shared" ref="X60:BA60" si="45">IF(AND(X$37-$A60&gt;$V$25,SUM($W60:W60)&lt;&gt;$V60),$V60,0)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215.1</v>
      </c>
      <c r="AU60" s="252">
        <f t="shared" si="45"/>
        <v>0</v>
      </c>
      <c r="AV60" s="252">
        <f t="shared" si="45"/>
        <v>0</v>
      </c>
      <c r="AW60" s="252">
        <f t="shared" si="45"/>
        <v>0</v>
      </c>
      <c r="AX60" s="252">
        <f t="shared" si="45"/>
        <v>0</v>
      </c>
      <c r="AY60" s="252">
        <f t="shared" si="45"/>
        <v>0</v>
      </c>
      <c r="AZ60" s="252">
        <f t="shared" si="45"/>
        <v>0</v>
      </c>
      <c r="BA60" s="252">
        <f t="shared" si="45"/>
        <v>0</v>
      </c>
    </row>
    <row r="61" ht="15.75" customHeight="1">
      <c r="A61" s="787">
        <v>1953.0</v>
      </c>
      <c r="B61" s="38"/>
      <c r="C61" s="38"/>
      <c r="D61" s="38"/>
      <c r="E61" s="38"/>
      <c r="F61" s="38"/>
      <c r="G61" s="38"/>
      <c r="H61" s="38"/>
      <c r="I61" s="38"/>
      <c r="J61" s="38"/>
      <c r="K61" s="38"/>
      <c r="L61" s="38"/>
      <c r="M61" s="38"/>
      <c r="N61" s="38"/>
      <c r="O61" s="38"/>
      <c r="P61" s="38"/>
      <c r="Q61" s="38"/>
      <c r="R61" s="38"/>
      <c r="S61" s="38"/>
      <c r="T61" s="38"/>
      <c r="U61" s="38"/>
      <c r="V61" s="801">
        <v>475.0</v>
      </c>
      <c r="W61" s="252">
        <f t="shared" si="23"/>
        <v>0</v>
      </c>
      <c r="X61" s="252">
        <f t="shared" ref="X61:BA61" si="46">IF(AND(X$37-$A61&gt;$V$25,SUM($W61:W61)&lt;&gt;$V61),$V61,0)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475</v>
      </c>
      <c r="AV61" s="252">
        <f t="shared" si="46"/>
        <v>0</v>
      </c>
      <c r="AW61" s="252">
        <f t="shared" si="46"/>
        <v>0</v>
      </c>
      <c r="AX61" s="252">
        <f t="shared" si="46"/>
        <v>0</v>
      </c>
      <c r="AY61" s="252">
        <f t="shared" si="46"/>
        <v>0</v>
      </c>
      <c r="AZ61" s="252">
        <f t="shared" si="46"/>
        <v>0</v>
      </c>
      <c r="BA61" s="252">
        <f t="shared" si="46"/>
        <v>0</v>
      </c>
    </row>
    <row r="62" ht="15.75" customHeight="1">
      <c r="A62" s="787">
        <v>1954.0</v>
      </c>
      <c r="B62" s="38"/>
      <c r="C62" s="38"/>
      <c r="D62" s="38"/>
      <c r="E62" s="38"/>
      <c r="F62" s="38"/>
      <c r="G62" s="38"/>
      <c r="H62" s="38"/>
      <c r="I62" s="38"/>
      <c r="J62" s="38"/>
      <c r="K62" s="38"/>
      <c r="L62" s="38"/>
      <c r="M62" s="38"/>
      <c r="N62" s="38"/>
      <c r="O62" s="38"/>
      <c r="P62" s="38"/>
      <c r="Q62" s="38"/>
      <c r="R62" s="38"/>
      <c r="S62" s="38"/>
      <c r="T62" s="38"/>
      <c r="U62" s="38"/>
      <c r="V62" s="801">
        <v>329.4</v>
      </c>
      <c r="W62" s="252">
        <f t="shared" si="23"/>
        <v>0</v>
      </c>
      <c r="X62" s="252">
        <f t="shared" ref="X62:BA62" si="47">IF(AND(X$37-$A62&gt;$V$25,SUM($W62:W62)&lt;&gt;$V62),$V62,0)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329.4</v>
      </c>
      <c r="AW62" s="252">
        <f t="shared" si="47"/>
        <v>0</v>
      </c>
      <c r="AX62" s="252">
        <f t="shared" si="47"/>
        <v>0</v>
      </c>
      <c r="AY62" s="252">
        <f t="shared" si="47"/>
        <v>0</v>
      </c>
      <c r="AZ62" s="252">
        <f t="shared" si="47"/>
        <v>0</v>
      </c>
      <c r="BA62" s="252">
        <f t="shared" si="47"/>
        <v>0</v>
      </c>
    </row>
    <row r="63" ht="15.75" customHeight="1">
      <c r="A63" s="787">
        <v>1955.0</v>
      </c>
      <c r="B63" s="38"/>
      <c r="C63" s="38"/>
      <c r="D63" s="38"/>
      <c r="E63" s="38"/>
      <c r="F63" s="38"/>
      <c r="G63" s="38"/>
      <c r="H63" s="38"/>
      <c r="I63" s="38"/>
      <c r="J63" s="38"/>
      <c r="K63" s="38"/>
      <c r="L63" s="38"/>
      <c r="M63" s="38"/>
      <c r="N63" s="38"/>
      <c r="O63" s="38"/>
      <c r="P63" s="38"/>
      <c r="Q63" s="38"/>
      <c r="R63" s="38"/>
      <c r="S63" s="38"/>
      <c r="T63" s="38"/>
      <c r="U63" s="38"/>
      <c r="V63" s="801">
        <v>115.8</v>
      </c>
      <c r="W63" s="252">
        <f t="shared" si="23"/>
        <v>0</v>
      </c>
      <c r="X63" s="252">
        <f t="shared" ref="X63:BA63" si="48">IF(AND(X$37-$A63&gt;$V$25,SUM($W63:W63)&lt;&gt;$V63),$V63,0)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115.8</v>
      </c>
      <c r="AX63" s="252">
        <f t="shared" si="48"/>
        <v>0</v>
      </c>
      <c r="AY63" s="252">
        <f t="shared" si="48"/>
        <v>0</v>
      </c>
      <c r="AZ63" s="252">
        <f t="shared" si="48"/>
        <v>0</v>
      </c>
      <c r="BA63" s="252">
        <f t="shared" si="48"/>
        <v>0</v>
      </c>
    </row>
    <row r="64" ht="15.75" customHeight="1">
      <c r="A64" s="787">
        <v>1956.0</v>
      </c>
      <c r="B64" s="38"/>
      <c r="C64" s="38"/>
      <c r="D64" s="38"/>
      <c r="E64" s="38"/>
      <c r="F64" s="38"/>
      <c r="G64" s="38"/>
      <c r="H64" s="38"/>
      <c r="I64" s="38"/>
      <c r="J64" s="38"/>
      <c r="K64" s="38"/>
      <c r="L64" s="38"/>
      <c r="M64" s="38"/>
      <c r="N64" s="38"/>
      <c r="O64" s="38"/>
      <c r="P64" s="38"/>
      <c r="Q64" s="38"/>
      <c r="R64" s="38"/>
      <c r="S64" s="38"/>
      <c r="T64" s="38"/>
      <c r="U64" s="38"/>
      <c r="V64" s="801">
        <v>20.0</v>
      </c>
      <c r="W64" s="252">
        <f t="shared" si="23"/>
        <v>0</v>
      </c>
      <c r="X64" s="252">
        <f t="shared" ref="X64:BA64" si="49">IF(AND(X$37-$A64&gt;$V$25,SUM($W64:W64)&lt;&gt;$V64),$V64,0)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20</v>
      </c>
      <c r="AY64" s="252">
        <f t="shared" si="49"/>
        <v>0</v>
      </c>
      <c r="AZ64" s="252">
        <f t="shared" si="49"/>
        <v>0</v>
      </c>
      <c r="BA64" s="252">
        <f t="shared" si="49"/>
        <v>0</v>
      </c>
    </row>
    <row r="65" ht="15.75" customHeight="1">
      <c r="A65" s="787">
        <v>1957.0</v>
      </c>
      <c r="B65" s="38"/>
      <c r="C65" s="38"/>
      <c r="D65" s="38"/>
      <c r="E65" s="38"/>
      <c r="F65" s="38"/>
      <c r="G65" s="38"/>
      <c r="H65" s="38"/>
      <c r="I65" s="38"/>
      <c r="J65" s="38"/>
      <c r="K65" s="38"/>
      <c r="L65" s="38"/>
      <c r="M65" s="38"/>
      <c r="N65" s="38"/>
      <c r="O65" s="38"/>
      <c r="P65" s="38"/>
      <c r="Q65" s="38"/>
      <c r="R65" s="38"/>
      <c r="S65" s="38"/>
      <c r="T65" s="38"/>
      <c r="U65" s="38"/>
      <c r="V65" s="801">
        <v>153.5</v>
      </c>
      <c r="W65" s="252">
        <f t="shared" si="23"/>
        <v>0</v>
      </c>
      <c r="X65" s="252">
        <f t="shared" ref="X65:BA65" si="50">IF(AND(X$37-$A65&gt;$V$25,SUM($W65:W65)&lt;&gt;$V65),$V65,0)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153.5</v>
      </c>
      <c r="AZ65" s="252">
        <f t="shared" si="50"/>
        <v>0</v>
      </c>
      <c r="BA65" s="252">
        <f t="shared" si="50"/>
        <v>0</v>
      </c>
    </row>
    <row r="66" ht="15.75" customHeight="1">
      <c r="A66" s="787">
        <v>1958.0</v>
      </c>
      <c r="B66" s="38"/>
      <c r="C66" s="38"/>
      <c r="D66" s="38"/>
      <c r="E66" s="38"/>
      <c r="F66" s="38"/>
      <c r="G66" s="38"/>
      <c r="H66" s="38"/>
      <c r="I66" s="38"/>
      <c r="J66" s="38"/>
      <c r="K66" s="38"/>
      <c r="L66" s="38"/>
      <c r="M66" s="38"/>
      <c r="N66" s="38"/>
      <c r="O66" s="38"/>
      <c r="P66" s="38"/>
      <c r="Q66" s="38"/>
      <c r="R66" s="38"/>
      <c r="S66" s="38"/>
      <c r="T66" s="38"/>
      <c r="U66" s="38"/>
      <c r="V66" s="801">
        <v>36.0</v>
      </c>
      <c r="W66" s="252">
        <f t="shared" si="23"/>
        <v>0</v>
      </c>
      <c r="X66" s="252">
        <f t="shared" ref="X66:BA66" si="51">IF(AND(X$37-$A66&gt;$V$25,SUM($W66:W66)&lt;&gt;$V66),$V66,0)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36</v>
      </c>
      <c r="BA66" s="252">
        <f t="shared" si="51"/>
        <v>0</v>
      </c>
    </row>
    <row r="67" ht="15.75" customHeight="1">
      <c r="A67" s="787">
        <v>1959.0</v>
      </c>
      <c r="B67" s="38"/>
      <c r="C67" s="38"/>
      <c r="D67" s="38"/>
      <c r="E67" s="38"/>
      <c r="F67" s="38"/>
      <c r="G67" s="38"/>
      <c r="H67" s="38"/>
      <c r="I67" s="38"/>
      <c r="J67" s="38"/>
      <c r="K67" s="38"/>
      <c r="L67" s="38"/>
      <c r="M67" s="38"/>
      <c r="N67" s="38"/>
      <c r="O67" s="38"/>
      <c r="P67" s="38"/>
      <c r="Q67" s="38"/>
      <c r="R67" s="38"/>
      <c r="S67" s="38"/>
      <c r="T67" s="38"/>
      <c r="U67" s="38"/>
      <c r="V67" s="801">
        <v>60.0</v>
      </c>
      <c r="W67" s="252">
        <f t="shared" si="23"/>
        <v>0</v>
      </c>
      <c r="X67" s="252">
        <f t="shared" ref="X67:BA67" si="52">IF(AND(X$37-$A67&gt;$V$25,SUM($W67:W67)&lt;&gt;$V67),$V67,0)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60</v>
      </c>
    </row>
    <row r="68" ht="15.75" customHeight="1">
      <c r="A68" s="787">
        <v>1960.0</v>
      </c>
      <c r="B68" s="38"/>
      <c r="C68" s="38"/>
      <c r="D68" s="38"/>
      <c r="E68" s="38"/>
      <c r="F68" s="38"/>
      <c r="G68" s="38"/>
      <c r="H68" s="38"/>
      <c r="I68" s="38"/>
      <c r="J68" s="38"/>
      <c r="K68" s="38"/>
      <c r="L68" s="38"/>
      <c r="M68" s="38"/>
      <c r="N68" s="38"/>
      <c r="O68" s="38"/>
      <c r="P68" s="38"/>
      <c r="Q68" s="38"/>
      <c r="R68" s="38"/>
      <c r="S68" s="38"/>
      <c r="T68" s="38"/>
      <c r="U68" s="38"/>
      <c r="V68" s="801">
        <v>22.0</v>
      </c>
      <c r="W68" s="252">
        <f t="shared" si="23"/>
        <v>0</v>
      </c>
      <c r="X68" s="252">
        <f t="shared" ref="X68:BA68" si="53">IF(AND(X$37-$A68&gt;$V$25,SUM($W68:W68)&lt;&gt;$V68),$V68,0)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row>
    <row r="69" ht="15.75" customHeight="1">
      <c r="A69" s="787">
        <v>1961.0</v>
      </c>
      <c r="B69" s="38"/>
      <c r="C69" s="38"/>
      <c r="D69" s="38"/>
      <c r="E69" s="38"/>
      <c r="F69" s="38"/>
      <c r="G69" s="38"/>
      <c r="H69" s="38"/>
      <c r="I69" s="38"/>
      <c r="J69" s="38"/>
      <c r="K69" s="38"/>
      <c r="L69" s="38"/>
      <c r="M69" s="38"/>
      <c r="N69" s="38"/>
      <c r="O69" s="38"/>
      <c r="P69" s="38"/>
      <c r="Q69" s="38"/>
      <c r="R69" s="38"/>
      <c r="S69" s="38"/>
      <c r="T69" s="38"/>
      <c r="U69" s="38"/>
      <c r="V69" s="801">
        <v>202.9</v>
      </c>
      <c r="W69" s="252">
        <f t="shared" si="23"/>
        <v>0</v>
      </c>
      <c r="X69" s="252">
        <f t="shared" ref="X69:BA69" si="54">IF(AND(X$37-$A69&gt;$V$25,SUM($W69:W69)&lt;&gt;$V69),$V69,0)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row>
    <row r="70" ht="15.75" customHeight="1">
      <c r="A70" s="787">
        <v>1962.0</v>
      </c>
      <c r="B70" s="38"/>
      <c r="C70" s="38"/>
      <c r="D70" s="38"/>
      <c r="E70" s="38"/>
      <c r="F70" s="38"/>
      <c r="G70" s="38"/>
      <c r="H70" s="38"/>
      <c r="I70" s="38"/>
      <c r="J70" s="38"/>
      <c r="K70" s="38"/>
      <c r="L70" s="38"/>
      <c r="M70" s="38"/>
      <c r="N70" s="38"/>
      <c r="O70" s="38"/>
      <c r="P70" s="38"/>
      <c r="Q70" s="38"/>
      <c r="R70" s="38"/>
      <c r="S70" s="38"/>
      <c r="T70" s="38"/>
      <c r="U70" s="38"/>
      <c r="V70" s="801">
        <v>653.3</v>
      </c>
      <c r="W70" s="252">
        <f t="shared" si="23"/>
        <v>0</v>
      </c>
      <c r="X70" s="252">
        <f t="shared" ref="X70:BA70" si="55">IF(AND(X$37-$A70&gt;$V$25,SUM($W70:W70)&lt;&gt;$V70),$V70,0)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row>
    <row r="71" ht="15.75" customHeight="1">
      <c r="A71" s="787">
        <v>1963.0</v>
      </c>
      <c r="B71" s="38"/>
      <c r="C71" s="38"/>
      <c r="D71" s="38"/>
      <c r="E71" s="38"/>
      <c r="F71" s="38"/>
      <c r="G71" s="38"/>
      <c r="H71" s="38"/>
      <c r="I71" s="38"/>
      <c r="J71" s="38"/>
      <c r="K71" s="38"/>
      <c r="L71" s="38"/>
      <c r="M71" s="38"/>
      <c r="N71" s="38"/>
      <c r="O71" s="38"/>
      <c r="P71" s="38"/>
      <c r="Q71" s="38"/>
      <c r="R71" s="38"/>
      <c r="S71" s="38"/>
      <c r="T71" s="38"/>
      <c r="U71" s="38"/>
      <c r="V71" s="801">
        <v>771.2</v>
      </c>
      <c r="W71" s="252">
        <f t="shared" si="23"/>
        <v>0</v>
      </c>
      <c r="X71" s="252">
        <f t="shared" ref="X71:BA71" si="56">IF(AND(X$37-$A71&gt;$V$25,SUM($W71:W71)&lt;&gt;$V71),$V71,0)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row>
    <row r="72" ht="15.75" customHeight="1">
      <c r="A72" s="787">
        <v>1964.0</v>
      </c>
      <c r="B72" s="38"/>
      <c r="C72" s="38"/>
      <c r="D72" s="38"/>
      <c r="E72" s="38"/>
      <c r="F72" s="38"/>
      <c r="G72" s="38"/>
      <c r="H72" s="38"/>
      <c r="I72" s="38"/>
      <c r="J72" s="38"/>
      <c r="K72" s="38"/>
      <c r="L72" s="38"/>
      <c r="M72" s="38"/>
      <c r="N72" s="38"/>
      <c r="O72" s="38"/>
      <c r="P72" s="38"/>
      <c r="Q72" s="38"/>
      <c r="R72" s="38"/>
      <c r="S72" s="38"/>
      <c r="T72" s="38"/>
      <c r="U72" s="38"/>
      <c r="V72" s="801">
        <v>200.1</v>
      </c>
      <c r="W72" s="252">
        <f t="shared" si="23"/>
        <v>0</v>
      </c>
      <c r="X72" s="252">
        <f t="shared" ref="X72:BA72" si="57">IF(AND(X$37-$A72&gt;$V$25,SUM($W72:W72)&lt;&gt;$V72),$V72,0)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row>
    <row r="73" ht="15.75" customHeight="1">
      <c r="A73" s="787">
        <v>1965.0</v>
      </c>
      <c r="B73" s="38"/>
      <c r="C73" s="38"/>
      <c r="D73" s="38"/>
      <c r="E73" s="38"/>
      <c r="F73" s="38"/>
      <c r="G73" s="38"/>
      <c r="H73" s="38"/>
      <c r="I73" s="38"/>
      <c r="J73" s="38"/>
      <c r="K73" s="38"/>
      <c r="L73" s="38"/>
      <c r="M73" s="38"/>
      <c r="N73" s="38"/>
      <c r="O73" s="38"/>
      <c r="P73" s="38"/>
      <c r="Q73" s="38"/>
      <c r="R73" s="38"/>
      <c r="S73" s="38"/>
      <c r="T73" s="38"/>
      <c r="U73" s="38"/>
      <c r="V73" s="801">
        <v>0.0</v>
      </c>
      <c r="W73" s="252">
        <f t="shared" si="23"/>
        <v>0</v>
      </c>
      <c r="X73" s="252">
        <f t="shared" ref="X73:BA73" si="58">IF(AND(X$37-$A73&gt;$V$25,SUM($W73:W73)&lt;&gt;$V73),$V73,0)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row>
    <row r="74" ht="15.75" customHeight="1">
      <c r="A74" s="787">
        <v>1966.0</v>
      </c>
      <c r="B74" s="38"/>
      <c r="C74" s="38"/>
      <c r="D74" s="38"/>
      <c r="E74" s="38"/>
      <c r="F74" s="38"/>
      <c r="G74" s="38"/>
      <c r="H74" s="38"/>
      <c r="I74" s="38"/>
      <c r="J74" s="38"/>
      <c r="K74" s="38"/>
      <c r="L74" s="38"/>
      <c r="M74" s="38"/>
      <c r="N74" s="38"/>
      <c r="O74" s="38"/>
      <c r="P74" s="38"/>
      <c r="Q74" s="38"/>
      <c r="R74" s="38"/>
      <c r="S74" s="38"/>
      <c r="T74" s="38"/>
      <c r="U74" s="38"/>
      <c r="V74" s="801">
        <v>72.9</v>
      </c>
      <c r="W74" s="252">
        <f t="shared" si="23"/>
        <v>0</v>
      </c>
      <c r="X74" s="252">
        <f t="shared" ref="X74:BA74" si="59">IF(AND(X$37-$A74&gt;$V$25,SUM($W74:W74)&lt;&gt;$V74),$V74,0)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row>
    <row r="75" ht="15.75" customHeight="1">
      <c r="A75" s="787">
        <v>1967.0</v>
      </c>
      <c r="B75" s="38"/>
      <c r="C75" s="38"/>
      <c r="D75" s="38"/>
      <c r="E75" s="38"/>
      <c r="F75" s="38"/>
      <c r="G75" s="38"/>
      <c r="H75" s="38"/>
      <c r="I75" s="38"/>
      <c r="J75" s="38"/>
      <c r="K75" s="38"/>
      <c r="L75" s="38"/>
      <c r="M75" s="38"/>
      <c r="N75" s="38"/>
      <c r="O75" s="38"/>
      <c r="P75" s="38"/>
      <c r="Q75" s="38"/>
      <c r="R75" s="38"/>
      <c r="S75" s="38"/>
      <c r="T75" s="38"/>
      <c r="U75" s="38"/>
      <c r="V75" s="801">
        <v>430.5</v>
      </c>
      <c r="W75" s="252">
        <f t="shared" si="23"/>
        <v>0</v>
      </c>
      <c r="X75" s="252">
        <f t="shared" ref="X75:BA75" si="60">IF(AND(X$37-$A75&gt;$V$25,SUM($W75:W75)&lt;&gt;$V75),$V75,0)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row>
    <row r="76" ht="15.75" customHeight="1">
      <c r="A76" s="787">
        <v>1968.0</v>
      </c>
      <c r="B76" s="38"/>
      <c r="C76" s="38"/>
      <c r="D76" s="38"/>
      <c r="E76" s="38"/>
      <c r="F76" s="38"/>
      <c r="G76" s="38"/>
      <c r="H76" s="38"/>
      <c r="I76" s="38"/>
      <c r="J76" s="38"/>
      <c r="K76" s="38"/>
      <c r="L76" s="38"/>
      <c r="M76" s="38"/>
      <c r="N76" s="38"/>
      <c r="O76" s="38"/>
      <c r="P76" s="38"/>
      <c r="Q76" s="38"/>
      <c r="R76" s="38"/>
      <c r="S76" s="38"/>
      <c r="T76" s="38"/>
      <c r="U76" s="38"/>
      <c r="V76" s="801">
        <v>209.8</v>
      </c>
      <c r="W76" s="252">
        <f t="shared" si="23"/>
        <v>0</v>
      </c>
      <c r="X76" s="252">
        <f t="shared" ref="X76:BA76" si="61">IF(AND(X$37-$A76&gt;$V$25,SUM($W76:W76)&lt;&gt;$V76),$V76,0)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row>
    <row r="77" ht="15.75" customHeight="1">
      <c r="A77" s="787">
        <v>1969.0</v>
      </c>
      <c r="B77" s="38"/>
      <c r="C77" s="38"/>
      <c r="D77" s="38"/>
      <c r="E77" s="38"/>
      <c r="F77" s="38"/>
      <c r="G77" s="38"/>
      <c r="H77" s="38"/>
      <c r="I77" s="38"/>
      <c r="J77" s="38"/>
      <c r="K77" s="38"/>
      <c r="L77" s="38"/>
      <c r="M77" s="38"/>
      <c r="N77" s="38"/>
      <c r="O77" s="38"/>
      <c r="P77" s="38"/>
      <c r="Q77" s="38"/>
      <c r="R77" s="38"/>
      <c r="S77" s="38"/>
      <c r="T77" s="38"/>
      <c r="U77" s="38"/>
      <c r="V77" s="801">
        <v>0.0</v>
      </c>
      <c r="W77" s="252">
        <f t="shared" si="23"/>
        <v>0</v>
      </c>
      <c r="X77" s="252">
        <f t="shared" ref="X77:BA77" si="62">IF(AND(X$37-$A77&gt;$V$25,SUM($W77:W77)&lt;&gt;$V77),$V77,0)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row>
    <row r="78" ht="15.75" customHeight="1">
      <c r="A78" s="787">
        <v>1970.0</v>
      </c>
      <c r="B78" s="38"/>
      <c r="C78" s="38"/>
      <c r="D78" s="38"/>
      <c r="E78" s="38"/>
      <c r="F78" s="38"/>
      <c r="G78" s="38"/>
      <c r="H78" s="38"/>
      <c r="I78" s="38"/>
      <c r="J78" s="38"/>
      <c r="K78" s="38"/>
      <c r="L78" s="38"/>
      <c r="M78" s="38"/>
      <c r="N78" s="38"/>
      <c r="O78" s="38"/>
      <c r="P78" s="38"/>
      <c r="Q78" s="38"/>
      <c r="R78" s="38"/>
      <c r="S78" s="38"/>
      <c r="T78" s="38"/>
      <c r="U78" s="38"/>
      <c r="V78" s="801">
        <v>129.1</v>
      </c>
      <c r="W78" s="252">
        <f t="shared" si="23"/>
        <v>0</v>
      </c>
      <c r="X78" s="252">
        <f t="shared" ref="X78:BA78" si="63">IF(AND(X$37-$A78&gt;$V$25,SUM($W78:W78)&lt;&gt;$V78),$V78,0)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row>
    <row r="79" ht="15.75" customHeight="1">
      <c r="A79" s="787">
        <v>1971.0</v>
      </c>
      <c r="B79" s="38"/>
      <c r="C79" s="38"/>
      <c r="D79" s="38"/>
      <c r="E79" s="38"/>
      <c r="F79" s="38"/>
      <c r="G79" s="38"/>
      <c r="H79" s="38"/>
      <c r="I79" s="38"/>
      <c r="J79" s="38"/>
      <c r="K79" s="38"/>
      <c r="L79" s="38"/>
      <c r="M79" s="38"/>
      <c r="N79" s="38"/>
      <c r="O79" s="38"/>
      <c r="P79" s="38"/>
      <c r="Q79" s="38"/>
      <c r="R79" s="38"/>
      <c r="S79" s="38"/>
      <c r="T79" s="38"/>
      <c r="U79" s="38"/>
      <c r="V79" s="801">
        <v>225.1</v>
      </c>
      <c r="W79" s="252">
        <f t="shared" si="23"/>
        <v>0</v>
      </c>
      <c r="X79" s="252">
        <f t="shared" ref="X79:BA79" si="64">IF(AND(X$37-$A79&gt;$V$25,SUM($W79:W79)&lt;&gt;$V79),$V79,0)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row>
    <row r="80" ht="15.75" customHeight="1">
      <c r="A80" s="787">
        <v>1972.0</v>
      </c>
      <c r="B80" s="38"/>
      <c r="C80" s="38"/>
      <c r="D80" s="38"/>
      <c r="E80" s="38"/>
      <c r="F80" s="38"/>
      <c r="G80" s="38"/>
      <c r="H80" s="38"/>
      <c r="I80" s="38"/>
      <c r="J80" s="38"/>
      <c r="K80" s="38"/>
      <c r="L80" s="38"/>
      <c r="M80" s="38"/>
      <c r="N80" s="38"/>
      <c r="O80" s="38"/>
      <c r="P80" s="38"/>
      <c r="Q80" s="38"/>
      <c r="R80" s="38"/>
      <c r="S80" s="38"/>
      <c r="T80" s="38"/>
      <c r="U80" s="38"/>
      <c r="V80" s="801">
        <v>45.0</v>
      </c>
      <c r="W80" s="252">
        <f t="shared" si="23"/>
        <v>0</v>
      </c>
      <c r="X80" s="252">
        <f t="shared" ref="X80:BA80" si="65">IF(AND(X$37-$A80&gt;$V$25,SUM($W80:W80)&lt;&gt;$V80),$V80,0)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row>
    <row r="81" ht="15.75" customHeight="1">
      <c r="A81" s="787">
        <v>1973.0</v>
      </c>
      <c r="B81" s="38"/>
      <c r="C81" s="38"/>
      <c r="D81" s="38"/>
      <c r="E81" s="38"/>
      <c r="F81" s="38"/>
      <c r="G81" s="38"/>
      <c r="H81" s="38"/>
      <c r="I81" s="38"/>
      <c r="J81" s="38"/>
      <c r="K81" s="38"/>
      <c r="L81" s="38"/>
      <c r="M81" s="38"/>
      <c r="N81" s="38"/>
      <c r="O81" s="38"/>
      <c r="P81" s="38"/>
      <c r="Q81" s="38"/>
      <c r="R81" s="38"/>
      <c r="S81" s="38"/>
      <c r="T81" s="38"/>
      <c r="U81" s="38"/>
      <c r="V81" s="801">
        <v>66.6</v>
      </c>
      <c r="W81" s="252">
        <f t="shared" si="23"/>
        <v>0</v>
      </c>
      <c r="X81" s="252">
        <f t="shared" ref="X81:BA81" si="66">IF(AND(X$37-$A81&gt;$V$25,SUM($W81:W81)&lt;&gt;$V81),$V81,0)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row>
    <row r="82" ht="15.75" customHeight="1">
      <c r="A82" s="787">
        <v>1974.0</v>
      </c>
      <c r="B82" s="38"/>
      <c r="C82" s="38"/>
      <c r="D82" s="38"/>
      <c r="E82" s="38"/>
      <c r="F82" s="38"/>
      <c r="G82" s="38"/>
      <c r="H82" s="38"/>
      <c r="I82" s="38"/>
      <c r="J82" s="38"/>
      <c r="K82" s="38"/>
      <c r="L82" s="38"/>
      <c r="M82" s="38"/>
      <c r="N82" s="38"/>
      <c r="O82" s="38"/>
      <c r="P82" s="38"/>
      <c r="Q82" s="38"/>
      <c r="R82" s="38"/>
      <c r="S82" s="38"/>
      <c r="T82" s="38"/>
      <c r="U82" s="38"/>
      <c r="V82" s="801">
        <v>33.3</v>
      </c>
      <c r="W82" s="252">
        <f t="shared" si="23"/>
        <v>0</v>
      </c>
      <c r="X82" s="252">
        <f t="shared" ref="X82:BA82" si="67">IF(AND(X$37-$A82&gt;$V$25,SUM($W82:W82)&lt;&gt;$V82),$V82,0)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row>
    <row r="83" ht="15.75" customHeight="1">
      <c r="A83" s="787">
        <v>1975.0</v>
      </c>
      <c r="B83" s="38"/>
      <c r="C83" s="38"/>
      <c r="D83" s="38"/>
      <c r="E83" s="38"/>
      <c r="F83" s="38"/>
      <c r="G83" s="38"/>
      <c r="H83" s="38"/>
      <c r="I83" s="38"/>
      <c r="J83" s="38"/>
      <c r="K83" s="38"/>
      <c r="L83" s="38"/>
      <c r="M83" s="38"/>
      <c r="N83" s="38"/>
      <c r="O83" s="38"/>
      <c r="P83" s="38"/>
      <c r="Q83" s="38"/>
      <c r="R83" s="38"/>
      <c r="S83" s="38"/>
      <c r="T83" s="38"/>
      <c r="U83" s="38"/>
      <c r="V83" s="801">
        <v>405.3</v>
      </c>
      <c r="W83" s="252">
        <f t="shared" si="23"/>
        <v>0</v>
      </c>
      <c r="X83" s="252">
        <f t="shared" ref="X83:BA83" si="68">IF(AND(X$37-$A83&gt;$V$25,SUM($W83:W83)&lt;&gt;$V83),$V83,0)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row>
    <row r="84" ht="15.75" customHeight="1">
      <c r="A84" s="787">
        <v>1976.0</v>
      </c>
      <c r="B84" s="38"/>
      <c r="C84" s="38"/>
      <c r="D84" s="38"/>
      <c r="E84" s="38"/>
      <c r="F84" s="38"/>
      <c r="G84" s="38"/>
      <c r="H84" s="38"/>
      <c r="I84" s="38"/>
      <c r="J84" s="38"/>
      <c r="K84" s="38"/>
      <c r="L84" s="38"/>
      <c r="M84" s="38"/>
      <c r="N84" s="38"/>
      <c r="O84" s="38"/>
      <c r="P84" s="38"/>
      <c r="Q84" s="38"/>
      <c r="R84" s="38"/>
      <c r="S84" s="38"/>
      <c r="T84" s="38"/>
      <c r="U84" s="38"/>
      <c r="V84" s="801">
        <v>0.0</v>
      </c>
      <c r="W84" s="252">
        <f t="shared" si="23"/>
        <v>0</v>
      </c>
      <c r="X84" s="252">
        <f t="shared" ref="X84:BA84" si="69">IF(AND(X$37-$A84&gt;$V$25,SUM($W84:W84)&lt;&gt;$V84),$V84,0)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row>
    <row r="85" ht="15.75" customHeight="1">
      <c r="A85" s="787">
        <v>1977.0</v>
      </c>
      <c r="B85" s="38"/>
      <c r="C85" s="38"/>
      <c r="D85" s="38"/>
      <c r="E85" s="38"/>
      <c r="F85" s="38"/>
      <c r="G85" s="38"/>
      <c r="H85" s="38"/>
      <c r="I85" s="38"/>
      <c r="J85" s="38"/>
      <c r="K85" s="38"/>
      <c r="L85" s="38"/>
      <c r="M85" s="38"/>
      <c r="N85" s="38"/>
      <c r="O85" s="38"/>
      <c r="P85" s="38"/>
      <c r="Q85" s="38"/>
      <c r="R85" s="38"/>
      <c r="S85" s="38"/>
      <c r="T85" s="38"/>
      <c r="U85" s="38"/>
      <c r="V85" s="801">
        <v>0.0</v>
      </c>
      <c r="W85" s="252">
        <f t="shared" si="23"/>
        <v>0</v>
      </c>
      <c r="X85" s="252">
        <f t="shared" ref="X85:BA85" si="70">IF(AND(X$37-$A85&gt;$V$25,SUM($W85:W85)&lt;&gt;$V85),$V85,0)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row>
    <row r="86" ht="15.75" customHeight="1">
      <c r="A86" s="787">
        <v>1978.0</v>
      </c>
      <c r="B86" s="38"/>
      <c r="C86" s="38"/>
      <c r="D86" s="38"/>
      <c r="E86" s="38"/>
      <c r="F86" s="38"/>
      <c r="G86" s="38"/>
      <c r="H86" s="38"/>
      <c r="I86" s="38"/>
      <c r="J86" s="38"/>
      <c r="K86" s="38"/>
      <c r="L86" s="38"/>
      <c r="M86" s="38"/>
      <c r="N86" s="38"/>
      <c r="O86" s="38"/>
      <c r="P86" s="38"/>
      <c r="Q86" s="38"/>
      <c r="R86" s="38"/>
      <c r="S86" s="38"/>
      <c r="T86" s="38"/>
      <c r="U86" s="38"/>
      <c r="V86" s="801">
        <v>0.0</v>
      </c>
      <c r="W86" s="252">
        <f t="shared" si="23"/>
        <v>0</v>
      </c>
      <c r="X86" s="252">
        <f t="shared" ref="X86:BA86" si="71">IF(AND(X$37-$A86&gt;$V$25,SUM($W86:W86)&lt;&gt;$V86),$V86,0)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row>
    <row r="87" ht="15.75" customHeight="1">
      <c r="A87" s="787">
        <v>1979.0</v>
      </c>
      <c r="B87" s="38"/>
      <c r="C87" s="38"/>
      <c r="D87" s="38"/>
      <c r="E87" s="38"/>
      <c r="F87" s="38"/>
      <c r="G87" s="38"/>
      <c r="H87" s="38"/>
      <c r="I87" s="38"/>
      <c r="J87" s="38"/>
      <c r="K87" s="38"/>
      <c r="L87" s="38"/>
      <c r="M87" s="38"/>
      <c r="N87" s="38"/>
      <c r="O87" s="38"/>
      <c r="P87" s="38"/>
      <c r="Q87" s="38"/>
      <c r="R87" s="38"/>
      <c r="S87" s="38"/>
      <c r="T87" s="38"/>
      <c r="U87" s="38"/>
      <c r="V87" s="801">
        <v>0.0</v>
      </c>
      <c r="W87" s="252">
        <f t="shared" si="23"/>
        <v>0</v>
      </c>
      <c r="X87" s="252">
        <f t="shared" ref="X87:BA87" si="72">IF(AND(X$37-$A87&gt;$V$25,SUM($W87:W87)&lt;&gt;$V87),$V87,0)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row>
    <row r="88" ht="15.75" customHeight="1">
      <c r="A88" s="787">
        <v>1980.0</v>
      </c>
      <c r="B88" s="38"/>
      <c r="C88" s="38"/>
      <c r="D88" s="38"/>
      <c r="E88" s="38"/>
      <c r="F88" s="38"/>
      <c r="G88" s="38"/>
      <c r="H88" s="38"/>
      <c r="I88" s="38"/>
      <c r="J88" s="38"/>
      <c r="K88" s="38"/>
      <c r="L88" s="38"/>
      <c r="M88" s="38"/>
      <c r="N88" s="38"/>
      <c r="O88" s="38"/>
      <c r="P88" s="38"/>
      <c r="Q88" s="38"/>
      <c r="R88" s="38"/>
      <c r="S88" s="38"/>
      <c r="T88" s="38"/>
      <c r="U88" s="38"/>
      <c r="V88" s="801">
        <v>112.4</v>
      </c>
      <c r="W88" s="252">
        <f t="shared" si="23"/>
        <v>0</v>
      </c>
      <c r="X88" s="252">
        <f t="shared" ref="X88:BA88" si="73">IF(AND(X$37-$A88&gt;$V$25,SUM($W88:W88)&lt;&gt;$V88),$V88,0)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row>
    <row r="89" ht="15.75" customHeight="1">
      <c r="A89" s="787">
        <v>1981.0</v>
      </c>
      <c r="B89" s="38"/>
      <c r="C89" s="38"/>
      <c r="D89" s="38"/>
      <c r="E89" s="38"/>
      <c r="F89" s="38"/>
      <c r="G89" s="38"/>
      <c r="H89" s="38"/>
      <c r="I89" s="38"/>
      <c r="J89" s="38"/>
      <c r="K89" s="38"/>
      <c r="L89" s="38"/>
      <c r="M89" s="38"/>
      <c r="N89" s="38"/>
      <c r="O89" s="38"/>
      <c r="P89" s="38"/>
      <c r="Q89" s="38"/>
      <c r="R89" s="38"/>
      <c r="S89" s="38"/>
      <c r="T89" s="38"/>
      <c r="U89" s="38"/>
      <c r="V89" s="801">
        <v>1.0</v>
      </c>
      <c r="W89" s="252">
        <f t="shared" si="23"/>
        <v>0</v>
      </c>
      <c r="X89" s="252">
        <f t="shared" ref="X89:BA89" si="74">IF(AND(X$37-$A89&gt;$V$25,SUM($W89:W89)&lt;&gt;$V89),$V89,0)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row>
    <row r="90" ht="15.75" customHeight="1">
      <c r="A90" s="787">
        <v>1982.0</v>
      </c>
      <c r="B90" s="38"/>
      <c r="C90" s="38"/>
      <c r="D90" s="38"/>
      <c r="E90" s="38"/>
      <c r="F90" s="38"/>
      <c r="G90" s="38"/>
      <c r="H90" s="38"/>
      <c r="I90" s="38"/>
      <c r="J90" s="38"/>
      <c r="K90" s="38"/>
      <c r="L90" s="38"/>
      <c r="M90" s="38"/>
      <c r="N90" s="38"/>
      <c r="O90" s="38"/>
      <c r="P90" s="38"/>
      <c r="Q90" s="38"/>
      <c r="R90" s="38"/>
      <c r="S90" s="38"/>
      <c r="T90" s="38"/>
      <c r="U90" s="38"/>
      <c r="V90" s="801">
        <v>0.5</v>
      </c>
      <c r="W90" s="252">
        <f t="shared" si="23"/>
        <v>0</v>
      </c>
      <c r="X90" s="252">
        <f t="shared" ref="X90:BA90" si="75">IF(AND(X$37-$A90&gt;$V$25,SUM($W90:W90)&lt;&gt;$V90),$V90,0)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row>
    <row r="91" ht="15.75" customHeight="1">
      <c r="A91" s="787">
        <v>1983.0</v>
      </c>
      <c r="B91" s="38"/>
      <c r="C91" s="38"/>
      <c r="D91" s="38"/>
      <c r="E91" s="38"/>
      <c r="F91" s="38"/>
      <c r="G91" s="38"/>
      <c r="H91" s="38"/>
      <c r="I91" s="38"/>
      <c r="J91" s="38"/>
      <c r="K91" s="38"/>
      <c r="L91" s="38"/>
      <c r="M91" s="38"/>
      <c r="N91" s="38"/>
      <c r="O91" s="38"/>
      <c r="P91" s="38"/>
      <c r="Q91" s="38"/>
      <c r="R91" s="38"/>
      <c r="S91" s="38"/>
      <c r="T91" s="38"/>
      <c r="U91" s="38"/>
      <c r="V91" s="801">
        <v>215.0</v>
      </c>
      <c r="W91" s="252">
        <f t="shared" si="23"/>
        <v>0</v>
      </c>
      <c r="X91" s="252">
        <f t="shared" ref="X91:BA91" si="76">IF(AND(X$37-$A91&gt;$V$25,SUM($W91:W91)&lt;&gt;$V91),$V91,0)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row>
    <row r="92" ht="15.75" customHeight="1">
      <c r="A92" s="787">
        <v>1984.0</v>
      </c>
      <c r="B92" s="38"/>
      <c r="C92" s="38"/>
      <c r="D92" s="38"/>
      <c r="E92" s="38"/>
      <c r="F92" s="38"/>
      <c r="G92" s="38"/>
      <c r="H92" s="38"/>
      <c r="I92" s="38"/>
      <c r="J92" s="38"/>
      <c r="K92" s="38"/>
      <c r="L92" s="38"/>
      <c r="M92" s="38"/>
      <c r="N92" s="38"/>
      <c r="O92" s="38"/>
      <c r="P92" s="38"/>
      <c r="Q92" s="38"/>
      <c r="R92" s="38"/>
      <c r="S92" s="38"/>
      <c r="T92" s="38"/>
      <c r="U92" s="38"/>
      <c r="V92" s="801">
        <v>0.0</v>
      </c>
      <c r="W92" s="252">
        <f t="shared" si="23"/>
        <v>0</v>
      </c>
      <c r="X92" s="252">
        <f t="shared" ref="X92:BA92" si="77">IF(AND(X$37-$A92&gt;$V$25,SUM($W92:W92)&lt;&gt;$V92),$V92,0)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row>
    <row r="93" ht="15.75" customHeight="1">
      <c r="A93" s="787">
        <v>1985.0</v>
      </c>
      <c r="B93" s="38"/>
      <c r="C93" s="38"/>
      <c r="D93" s="38"/>
      <c r="E93" s="38"/>
      <c r="F93" s="38"/>
      <c r="G93" s="38"/>
      <c r="H93" s="38"/>
      <c r="I93" s="38"/>
      <c r="J93" s="38"/>
      <c r="K93" s="38"/>
      <c r="L93" s="38"/>
      <c r="M93" s="38"/>
      <c r="N93" s="38"/>
      <c r="O93" s="38"/>
      <c r="P93" s="38"/>
      <c r="Q93" s="38"/>
      <c r="R93" s="38"/>
      <c r="S93" s="38"/>
      <c r="T93" s="38"/>
      <c r="U93" s="38"/>
      <c r="V93" s="801">
        <v>581.0</v>
      </c>
      <c r="W93" s="252">
        <f t="shared" si="23"/>
        <v>0</v>
      </c>
      <c r="X93" s="252">
        <f t="shared" ref="X93:BA93" si="78">IF(AND(X$37-$A93&gt;$V$25,SUM($W93:W93)&lt;&gt;$V93),$V93,0)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row>
    <row r="94" ht="15.75" customHeight="1">
      <c r="A94" s="787">
        <v>1986.0</v>
      </c>
      <c r="B94" s="38"/>
      <c r="C94" s="38"/>
      <c r="D94" s="38"/>
      <c r="E94" s="38"/>
      <c r="F94" s="38"/>
      <c r="G94" s="38"/>
      <c r="H94" s="38"/>
      <c r="I94" s="38"/>
      <c r="J94" s="38"/>
      <c r="K94" s="38"/>
      <c r="L94" s="38"/>
      <c r="M94" s="38"/>
      <c r="N94" s="38"/>
      <c r="O94" s="38"/>
      <c r="P94" s="38"/>
      <c r="Q94" s="38"/>
      <c r="R94" s="38"/>
      <c r="S94" s="38"/>
      <c r="T94" s="38"/>
      <c r="U94" s="38"/>
      <c r="V94" s="801">
        <v>80.5</v>
      </c>
      <c r="W94" s="252">
        <f t="shared" si="23"/>
        <v>0</v>
      </c>
      <c r="X94" s="252">
        <f t="shared" ref="X94:BA94" si="79">IF(AND(X$37-$A94&gt;$V$25,SUM($W94:W94)&lt;&gt;$V94),$V94,0)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row>
    <row r="95" ht="15.75" customHeight="1">
      <c r="A95" s="787">
        <v>1987.0</v>
      </c>
      <c r="B95" s="38"/>
      <c r="C95" s="38"/>
      <c r="D95" s="38"/>
      <c r="E95" s="38"/>
      <c r="F95" s="38"/>
      <c r="G95" s="38"/>
      <c r="H95" s="38"/>
      <c r="I95" s="38"/>
      <c r="J95" s="38"/>
      <c r="K95" s="38"/>
      <c r="L95" s="38"/>
      <c r="M95" s="38"/>
      <c r="N95" s="38"/>
      <c r="O95" s="38"/>
      <c r="P95" s="38"/>
      <c r="Q95" s="38"/>
      <c r="R95" s="38"/>
      <c r="S95" s="38"/>
      <c r="T95" s="38"/>
      <c r="U95" s="38"/>
      <c r="V95" s="801">
        <v>1.4</v>
      </c>
      <c r="W95" s="252">
        <f t="shared" si="23"/>
        <v>0</v>
      </c>
      <c r="X95" s="252">
        <f t="shared" ref="X95:BA95" si="80">IF(AND(X$37-$A95&gt;$V$25,SUM($W95:W95)&lt;&gt;$V95),$V95,0)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row>
    <row r="96" ht="15.75" customHeight="1">
      <c r="A96" s="787">
        <v>1988.0</v>
      </c>
      <c r="B96" s="38"/>
      <c r="C96" s="38"/>
      <c r="D96" s="38"/>
      <c r="E96" s="38"/>
      <c r="F96" s="38"/>
      <c r="G96" s="38"/>
      <c r="H96" s="38"/>
      <c r="I96" s="38"/>
      <c r="J96" s="38"/>
      <c r="K96" s="38"/>
      <c r="L96" s="38"/>
      <c r="M96" s="38"/>
      <c r="N96" s="38"/>
      <c r="O96" s="38"/>
      <c r="P96" s="38"/>
      <c r="Q96" s="38"/>
      <c r="R96" s="38"/>
      <c r="S96" s="38"/>
      <c r="T96" s="38"/>
      <c r="U96" s="38"/>
      <c r="V96" s="801">
        <v>3.8</v>
      </c>
      <c r="W96" s="252">
        <f t="shared" si="23"/>
        <v>0</v>
      </c>
      <c r="X96" s="252">
        <f t="shared" ref="X96:BA96" si="81">IF(AND(X$37-$A96&gt;$V$25,SUM($W96:W96)&lt;&gt;$V96),$V96,0)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row>
    <row r="97" ht="15.75" customHeight="1">
      <c r="A97" s="787">
        <v>1989.0</v>
      </c>
      <c r="B97" s="38"/>
      <c r="C97" s="38"/>
      <c r="D97" s="38"/>
      <c r="E97" s="38"/>
      <c r="F97" s="38"/>
      <c r="G97" s="38"/>
      <c r="H97" s="38"/>
      <c r="I97" s="38"/>
      <c r="J97" s="38"/>
      <c r="K97" s="38"/>
      <c r="L97" s="38"/>
      <c r="M97" s="38"/>
      <c r="N97" s="38"/>
      <c r="O97" s="38"/>
      <c r="P97" s="38"/>
      <c r="Q97" s="38"/>
      <c r="R97" s="38"/>
      <c r="S97" s="38"/>
      <c r="T97" s="38"/>
      <c r="U97" s="38"/>
      <c r="V97" s="801">
        <v>6.3</v>
      </c>
      <c r="W97" s="252">
        <f t="shared" si="23"/>
        <v>0</v>
      </c>
      <c r="X97" s="252">
        <f t="shared" ref="X97:BA97" si="82">IF(AND(X$37-$A97&gt;$V$25,SUM($W97:W97)&lt;&gt;$V97),$V97,0)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row>
    <row r="98" ht="15.75" customHeight="1">
      <c r="A98" s="787">
        <v>1990.0</v>
      </c>
      <c r="B98" s="38"/>
      <c r="C98" s="38"/>
      <c r="D98" s="38"/>
      <c r="E98" s="38"/>
      <c r="F98" s="38"/>
      <c r="G98" s="38"/>
      <c r="H98" s="38"/>
      <c r="I98" s="38"/>
      <c r="J98" s="38"/>
      <c r="K98" s="38"/>
      <c r="L98" s="38"/>
      <c r="M98" s="38"/>
      <c r="N98" s="38"/>
      <c r="O98" s="38"/>
      <c r="P98" s="38"/>
      <c r="Q98" s="38"/>
      <c r="R98" s="38"/>
      <c r="S98" s="38"/>
      <c r="T98" s="38"/>
      <c r="U98" s="38"/>
      <c r="V98" s="801">
        <v>0.0</v>
      </c>
      <c r="W98" s="252">
        <f t="shared" si="23"/>
        <v>0</v>
      </c>
      <c r="X98" s="252">
        <f t="shared" ref="X98:BA98" si="83">IF(AND(X$37-$A98&gt;$V$25,SUM($W98:W98)&lt;&gt;$V98),$V98,0)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row>
    <row r="99" ht="15.75" customHeight="1">
      <c r="A99" s="787">
        <v>1991.0</v>
      </c>
      <c r="B99" s="38"/>
      <c r="C99" s="38"/>
      <c r="D99" s="38"/>
      <c r="E99" s="38"/>
      <c r="F99" s="38"/>
      <c r="G99" s="38"/>
      <c r="H99" s="38"/>
      <c r="I99" s="38"/>
      <c r="J99" s="38"/>
      <c r="K99" s="38"/>
      <c r="L99" s="38"/>
      <c r="M99" s="38"/>
      <c r="N99" s="38"/>
      <c r="O99" s="38"/>
      <c r="P99" s="38"/>
      <c r="Q99" s="38"/>
      <c r="R99" s="38"/>
      <c r="S99" s="38"/>
      <c r="T99" s="38"/>
      <c r="U99" s="38"/>
      <c r="V99" s="801">
        <v>0.0</v>
      </c>
      <c r="W99" s="252">
        <f t="shared" si="23"/>
        <v>0</v>
      </c>
      <c r="X99" s="252">
        <f t="shared" ref="X99:BA99" si="84">IF(AND(X$37-$A99&gt;$V$25,SUM($W99:W99)&lt;&gt;$V99),$V99,0)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row>
    <row r="100" ht="15.75" customHeight="1">
      <c r="A100" s="787">
        <v>1992.0</v>
      </c>
      <c r="B100" s="38"/>
      <c r="C100" s="38"/>
      <c r="D100" s="38"/>
      <c r="E100" s="38"/>
      <c r="F100" s="38"/>
      <c r="G100" s="38"/>
      <c r="H100" s="38"/>
      <c r="I100" s="38"/>
      <c r="J100" s="38"/>
      <c r="K100" s="38"/>
      <c r="L100" s="38"/>
      <c r="M100" s="38"/>
      <c r="N100" s="38"/>
      <c r="O100" s="38"/>
      <c r="P100" s="38"/>
      <c r="Q100" s="38"/>
      <c r="R100" s="38"/>
      <c r="S100" s="38"/>
      <c r="T100" s="38"/>
      <c r="U100" s="38"/>
      <c r="V100" s="801">
        <v>0.0</v>
      </c>
      <c r="W100" s="252">
        <f t="shared" si="23"/>
        <v>0</v>
      </c>
      <c r="X100" s="252">
        <f t="shared" ref="X100:BA100" si="85">IF(AND(X$37-$A100&gt;$V$25,SUM($W100:W100)&lt;&gt;$V100),$V100,0)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row>
    <row r="101" ht="15.75" customHeight="1">
      <c r="A101" s="787">
        <v>1993.0</v>
      </c>
      <c r="B101" s="38"/>
      <c r="C101" s="38"/>
      <c r="D101" s="38"/>
      <c r="E101" s="38"/>
      <c r="F101" s="38"/>
      <c r="G101" s="38"/>
      <c r="H101" s="38"/>
      <c r="I101" s="38"/>
      <c r="J101" s="38"/>
      <c r="K101" s="38"/>
      <c r="L101" s="38"/>
      <c r="M101" s="38"/>
      <c r="N101" s="38"/>
      <c r="O101" s="38"/>
      <c r="P101" s="38"/>
      <c r="Q101" s="38"/>
      <c r="R101" s="38"/>
      <c r="S101" s="38"/>
      <c r="T101" s="38"/>
      <c r="U101" s="38"/>
      <c r="V101" s="801">
        <v>0.9</v>
      </c>
      <c r="W101" s="252">
        <f t="shared" si="23"/>
        <v>0</v>
      </c>
      <c r="X101" s="252">
        <f t="shared" ref="X101:BA101" si="86">IF(AND(X$37-$A101&gt;$V$25,SUM($W101:W101)&lt;&gt;$V101),$V101,0)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row>
    <row r="102" ht="15.75" customHeight="1">
      <c r="A102" s="787">
        <v>1994.0</v>
      </c>
      <c r="B102" s="38"/>
      <c r="C102" s="38"/>
      <c r="D102" s="38"/>
      <c r="E102" s="38"/>
      <c r="F102" s="38"/>
      <c r="G102" s="38"/>
      <c r="H102" s="38"/>
      <c r="I102" s="38"/>
      <c r="J102" s="38"/>
      <c r="K102" s="38"/>
      <c r="L102" s="38"/>
      <c r="M102" s="38"/>
      <c r="N102" s="38"/>
      <c r="O102" s="38"/>
      <c r="P102" s="38"/>
      <c r="Q102" s="38"/>
      <c r="R102" s="38"/>
      <c r="S102" s="38"/>
      <c r="T102" s="38"/>
      <c r="U102" s="38"/>
      <c r="V102" s="801">
        <v>2.5</v>
      </c>
      <c r="W102" s="252">
        <f t="shared" si="23"/>
        <v>0</v>
      </c>
      <c r="X102" s="252">
        <f t="shared" ref="X102:BA102" si="87">IF(AND(X$37-$A102&gt;$V$25,SUM($W102:W102)&lt;&gt;$V102),$V102,0)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row>
    <row r="103" ht="15.75" customHeight="1">
      <c r="A103" s="787">
        <v>1995.0</v>
      </c>
      <c r="B103" s="38"/>
      <c r="C103" s="38"/>
      <c r="D103" s="38"/>
      <c r="E103" s="38"/>
      <c r="F103" s="38"/>
      <c r="G103" s="38"/>
      <c r="H103" s="38"/>
      <c r="I103" s="38"/>
      <c r="J103" s="38"/>
      <c r="K103" s="38"/>
      <c r="L103" s="38"/>
      <c r="M103" s="38"/>
      <c r="N103" s="38"/>
      <c r="O103" s="38"/>
      <c r="P103" s="38"/>
      <c r="Q103" s="38"/>
      <c r="R103" s="38"/>
      <c r="S103" s="38"/>
      <c r="T103" s="38"/>
      <c r="U103" s="38"/>
      <c r="V103" s="801">
        <v>0.0</v>
      </c>
      <c r="W103" s="252">
        <f t="shared" si="23"/>
        <v>0</v>
      </c>
      <c r="X103" s="252">
        <f t="shared" ref="X103:BA103" si="88">IF(AND(X$37-$A103&gt;$V$25,SUM($W103:W103)&lt;&gt;$V103),$V103,0)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row>
    <row r="104" ht="15.75" customHeight="1">
      <c r="A104" s="787">
        <v>1996.0</v>
      </c>
      <c r="B104" s="38"/>
      <c r="C104" s="38"/>
      <c r="D104" s="38"/>
      <c r="E104" s="38"/>
      <c r="F104" s="38"/>
      <c r="G104" s="38"/>
      <c r="H104" s="38"/>
      <c r="I104" s="38"/>
      <c r="J104" s="38"/>
      <c r="K104" s="38"/>
      <c r="L104" s="38"/>
      <c r="M104" s="38"/>
      <c r="N104" s="38"/>
      <c r="O104" s="38"/>
      <c r="P104" s="38"/>
      <c r="Q104" s="38"/>
      <c r="R104" s="38"/>
      <c r="S104" s="38"/>
      <c r="T104" s="38"/>
      <c r="U104" s="38"/>
      <c r="V104" s="801">
        <v>13.2</v>
      </c>
      <c r="W104" s="252">
        <f t="shared" si="23"/>
        <v>0</v>
      </c>
      <c r="X104" s="252">
        <f t="shared" ref="X104:BA104" si="89">IF(AND(X$37-$A104&gt;$V$25,SUM($W104:W104)&lt;&gt;$V104),$V104,0)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row>
    <row r="105" ht="15.75" customHeight="1">
      <c r="A105" s="787">
        <v>1997.0</v>
      </c>
      <c r="B105" s="38"/>
      <c r="C105" s="38"/>
      <c r="D105" s="38"/>
      <c r="E105" s="38"/>
      <c r="F105" s="38"/>
      <c r="G105" s="38"/>
      <c r="H105" s="38"/>
      <c r="I105" s="38"/>
      <c r="J105" s="38"/>
      <c r="K105" s="38"/>
      <c r="L105" s="38"/>
      <c r="M105" s="38"/>
      <c r="N105" s="38"/>
      <c r="O105" s="38"/>
      <c r="P105" s="38"/>
      <c r="Q105" s="38"/>
      <c r="R105" s="38"/>
      <c r="S105" s="38"/>
      <c r="T105" s="38"/>
      <c r="U105" s="38"/>
      <c r="V105" s="801">
        <v>0.8</v>
      </c>
      <c r="W105" s="252">
        <f t="shared" si="23"/>
        <v>0</v>
      </c>
      <c r="X105" s="252">
        <f t="shared" ref="X105:BA105" si="90">IF(AND(X$37-$A105&gt;$V$25,SUM($W105:W105)&lt;&gt;$V105),$V105,0)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row>
    <row r="106" ht="15.75" customHeight="1">
      <c r="A106" s="787">
        <v>1998.0</v>
      </c>
      <c r="B106" s="38"/>
      <c r="C106" s="38"/>
      <c r="D106" s="38"/>
      <c r="E106" s="38"/>
      <c r="F106" s="38"/>
      <c r="G106" s="38"/>
      <c r="H106" s="38"/>
      <c r="I106" s="38"/>
      <c r="J106" s="38"/>
      <c r="K106" s="38"/>
      <c r="L106" s="38"/>
      <c r="M106" s="38"/>
      <c r="N106" s="38"/>
      <c r="O106" s="38"/>
      <c r="P106" s="38"/>
      <c r="Q106" s="38"/>
      <c r="R106" s="38"/>
      <c r="S106" s="38"/>
      <c r="T106" s="38"/>
      <c r="U106" s="38"/>
      <c r="V106" s="801">
        <v>0.0</v>
      </c>
      <c r="W106" s="252">
        <f t="shared" si="23"/>
        <v>0</v>
      </c>
      <c r="X106" s="252">
        <f t="shared" ref="X106:BA106" si="91">IF(AND(X$37-$A106&gt;$V$25,SUM($W106:W106)&lt;&gt;$V106),$V106,0)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row>
    <row r="107" ht="15.75" customHeight="1">
      <c r="A107" s="787">
        <v>1999.0</v>
      </c>
      <c r="B107" s="38"/>
      <c r="C107" s="38"/>
      <c r="D107" s="38"/>
      <c r="E107" s="38"/>
      <c r="F107" s="38"/>
      <c r="G107" s="38"/>
      <c r="H107" s="38"/>
      <c r="I107" s="38"/>
      <c r="J107" s="38"/>
      <c r="K107" s="38"/>
      <c r="L107" s="38"/>
      <c r="M107" s="38"/>
      <c r="N107" s="38"/>
      <c r="O107" s="38"/>
      <c r="P107" s="38"/>
      <c r="Q107" s="38"/>
      <c r="R107" s="38"/>
      <c r="S107" s="38"/>
      <c r="T107" s="38"/>
      <c r="U107" s="38"/>
      <c r="V107" s="801">
        <v>0.0</v>
      </c>
      <c r="W107" s="252">
        <f t="shared" si="23"/>
        <v>0</v>
      </c>
      <c r="X107" s="252">
        <f t="shared" ref="X107:BA107" si="92">IF(AND(X$37-$A107&gt;$V$25,SUM($W107:W107)&lt;&gt;$V107),$V107,0)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row>
    <row r="108" ht="15.75" customHeight="1">
      <c r="A108" s="787">
        <v>2000.0</v>
      </c>
      <c r="B108" s="38"/>
      <c r="C108" s="38"/>
      <c r="D108" s="38"/>
      <c r="E108" s="38"/>
      <c r="F108" s="38"/>
      <c r="G108" s="38"/>
      <c r="H108" s="38"/>
      <c r="I108" s="38"/>
      <c r="J108" s="38"/>
      <c r="K108" s="38"/>
      <c r="L108" s="38"/>
      <c r="M108" s="38"/>
      <c r="N108" s="38"/>
      <c r="O108" s="38"/>
      <c r="P108" s="38"/>
      <c r="Q108" s="38"/>
      <c r="R108" s="38"/>
      <c r="S108" s="38"/>
      <c r="T108" s="38"/>
      <c r="U108" s="38"/>
      <c r="V108" s="801">
        <v>0.4</v>
      </c>
      <c r="W108" s="252">
        <f t="shared" si="23"/>
        <v>0</v>
      </c>
      <c r="X108" s="252">
        <f t="shared" ref="X108:BA108" si="93">IF(AND(X$37-$A108&gt;$V$25,SUM($W108:W108)&lt;&gt;$V108),$V108,0)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row>
    <row r="109" ht="15.75" customHeight="1">
      <c r="A109" s="787">
        <v>2001.0</v>
      </c>
      <c r="B109" s="38"/>
      <c r="C109" s="38"/>
      <c r="D109" s="38"/>
      <c r="E109" s="38"/>
      <c r="F109" s="38"/>
      <c r="G109" s="38"/>
      <c r="H109" s="38"/>
      <c r="I109" s="38"/>
      <c r="J109" s="38"/>
      <c r="K109" s="38"/>
      <c r="L109" s="38"/>
      <c r="M109" s="38"/>
      <c r="N109" s="38"/>
      <c r="O109" s="38"/>
      <c r="P109" s="38"/>
      <c r="Q109" s="38"/>
      <c r="R109" s="38"/>
      <c r="S109" s="38"/>
      <c r="T109" s="38"/>
      <c r="U109" s="38"/>
      <c r="V109" s="801">
        <v>0.0</v>
      </c>
      <c r="W109" s="252">
        <f t="shared" si="23"/>
        <v>0</v>
      </c>
      <c r="X109" s="252">
        <f t="shared" ref="X109:BA109" si="94">IF(AND(X$37-$A109&gt;$V$25,SUM($W109:W109)&lt;&gt;$V109),$V109,0)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row>
    <row r="110" ht="15.75" customHeight="1">
      <c r="A110" s="787">
        <v>2002.0</v>
      </c>
      <c r="B110" s="38"/>
      <c r="C110" s="38"/>
      <c r="D110" s="38"/>
      <c r="E110" s="38"/>
      <c r="F110" s="38"/>
      <c r="G110" s="38"/>
      <c r="H110" s="38"/>
      <c r="I110" s="38"/>
      <c r="J110" s="38"/>
      <c r="K110" s="38"/>
      <c r="L110" s="38"/>
      <c r="M110" s="38"/>
      <c r="N110" s="38"/>
      <c r="O110" s="38"/>
      <c r="P110" s="38"/>
      <c r="Q110" s="38"/>
      <c r="R110" s="38"/>
      <c r="S110" s="38"/>
      <c r="T110" s="38"/>
      <c r="U110" s="38"/>
      <c r="V110" s="801">
        <v>0.0</v>
      </c>
      <c r="W110" s="252">
        <f t="shared" si="23"/>
        <v>0</v>
      </c>
      <c r="X110" s="252">
        <f t="shared" ref="X110:BA110" si="95">IF(AND(X$37-$A110&gt;$V$25,SUM($W110:W110)&lt;&gt;$V110),$V110,0)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row>
    <row r="111" ht="15.75" customHeight="1">
      <c r="A111" s="787">
        <v>2003.0</v>
      </c>
      <c r="B111" s="38"/>
      <c r="C111" s="38"/>
      <c r="D111" s="38"/>
      <c r="E111" s="38"/>
      <c r="F111" s="38"/>
      <c r="G111" s="38"/>
      <c r="H111" s="38"/>
      <c r="I111" s="38"/>
      <c r="J111" s="38"/>
      <c r="K111" s="38"/>
      <c r="L111" s="38"/>
      <c r="M111" s="38"/>
      <c r="N111" s="38"/>
      <c r="O111" s="38"/>
      <c r="P111" s="38"/>
      <c r="Q111" s="38"/>
      <c r="R111" s="38"/>
      <c r="S111" s="38"/>
      <c r="T111" s="38"/>
      <c r="U111" s="38"/>
      <c r="V111" s="801">
        <v>62.0</v>
      </c>
      <c r="W111" s="252">
        <f t="shared" si="23"/>
        <v>0</v>
      </c>
      <c r="X111" s="252">
        <f t="shared" ref="X111:BA111" si="96">IF(AND(X$37-$A111&gt;$V$25,SUM($W111:W111)&lt;&gt;$V111),$V111,0)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row>
    <row r="112" ht="15.75" customHeight="1">
      <c r="A112" s="787">
        <v>2004.0</v>
      </c>
      <c r="B112" s="38"/>
      <c r="C112" s="38"/>
      <c r="D112" s="38"/>
      <c r="E112" s="38"/>
      <c r="F112" s="38"/>
      <c r="G112" s="38"/>
      <c r="H112" s="38"/>
      <c r="I112" s="38"/>
      <c r="J112" s="38"/>
      <c r="K112" s="38"/>
      <c r="L112" s="38"/>
      <c r="M112" s="38"/>
      <c r="N112" s="38"/>
      <c r="O112" s="38"/>
      <c r="P112" s="38"/>
      <c r="Q112" s="38"/>
      <c r="R112" s="38"/>
      <c r="S112" s="38"/>
      <c r="T112" s="38"/>
      <c r="U112" s="38"/>
      <c r="V112" s="801">
        <v>62.0</v>
      </c>
      <c r="W112" s="252">
        <f t="shared" si="23"/>
        <v>0</v>
      </c>
      <c r="X112" s="252">
        <f t="shared" ref="X112:BA112" si="97">IF(AND(X$37-$A112&gt;$V$25,SUM($W112:W112)&lt;&gt;$V112),$V112,0)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row>
    <row r="113" ht="15.75" customHeight="1">
      <c r="A113" s="787">
        <v>2005.0</v>
      </c>
      <c r="B113" s="38"/>
      <c r="C113" s="38"/>
      <c r="D113" s="38"/>
      <c r="E113" s="38"/>
      <c r="F113" s="38"/>
      <c r="G113" s="38"/>
      <c r="H113" s="38"/>
      <c r="I113" s="38"/>
      <c r="J113" s="38"/>
      <c r="K113" s="38"/>
      <c r="L113" s="38"/>
      <c r="M113" s="38"/>
      <c r="N113" s="38"/>
      <c r="O113" s="38"/>
      <c r="P113" s="38"/>
      <c r="Q113" s="38"/>
      <c r="R113" s="38"/>
      <c r="S113" s="38"/>
      <c r="T113" s="38"/>
      <c r="U113" s="38"/>
      <c r="V113" s="801">
        <v>25.8</v>
      </c>
      <c r="W113" s="252">
        <f t="shared" si="23"/>
        <v>0</v>
      </c>
      <c r="X113" s="252">
        <f t="shared" ref="X113:BA113" si="98">IF(AND(X$37-$A113&gt;$V$25,SUM($W113:W113)&lt;&gt;$V113),$V113,0)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row>
    <row r="114" ht="15.75" customHeight="1">
      <c r="A114" s="787">
        <v>2006.0</v>
      </c>
      <c r="B114" s="38"/>
      <c r="C114" s="38"/>
      <c r="D114" s="38"/>
      <c r="E114" s="38"/>
      <c r="F114" s="38"/>
      <c r="G114" s="38"/>
      <c r="H114" s="38"/>
      <c r="I114" s="38"/>
      <c r="J114" s="38"/>
      <c r="K114" s="38"/>
      <c r="L114" s="38"/>
      <c r="M114" s="38"/>
      <c r="N114" s="38"/>
      <c r="O114" s="38"/>
      <c r="P114" s="38"/>
      <c r="Q114" s="38"/>
      <c r="R114" s="38"/>
      <c r="S114" s="38"/>
      <c r="T114" s="38"/>
      <c r="U114" s="38"/>
      <c r="V114" s="801">
        <v>0.0</v>
      </c>
      <c r="W114" s="252">
        <f t="shared" si="23"/>
        <v>0</v>
      </c>
      <c r="X114" s="252">
        <f t="shared" ref="X114:BA114" si="99">IF(AND(X$37-$A114&gt;$V$25,SUM($W114:W114)&lt;&gt;$V114),$V114,0)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row>
    <row r="115" ht="18.75" customHeight="1">
      <c r="A115" s="787">
        <v>2007.0</v>
      </c>
      <c r="B115" s="38"/>
      <c r="C115" s="38"/>
      <c r="D115" s="38"/>
      <c r="E115" s="38"/>
      <c r="F115" s="38"/>
      <c r="G115" s="38"/>
      <c r="H115" s="38"/>
      <c r="I115" s="38"/>
      <c r="J115" s="38"/>
      <c r="K115" s="38"/>
      <c r="L115" s="38"/>
      <c r="M115" s="38"/>
      <c r="N115" s="38"/>
      <c r="O115" s="38"/>
      <c r="P115" s="38"/>
      <c r="Q115" s="38"/>
      <c r="R115" s="38"/>
      <c r="S115" s="38"/>
      <c r="T115" s="38"/>
      <c r="U115" s="38"/>
      <c r="V115" s="801">
        <v>0.0</v>
      </c>
      <c r="W115" s="252">
        <f t="shared" si="23"/>
        <v>0</v>
      </c>
      <c r="X115" s="252">
        <f t="shared" ref="X115:BA115" si="100">IF(AND(X$37-$A115&gt;$V$25,SUM($W115:W115)&lt;&gt;$V115),$V115,0)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row>
    <row r="116" ht="15.75" customHeight="1">
      <c r="A116" s="787">
        <v>2008.0</v>
      </c>
      <c r="B116" s="38"/>
      <c r="C116" s="38"/>
      <c r="D116" s="38"/>
      <c r="E116" s="38"/>
      <c r="F116" s="38"/>
      <c r="G116" s="38"/>
      <c r="H116" s="38"/>
      <c r="I116" s="38"/>
      <c r="J116" s="38"/>
      <c r="K116" s="38"/>
      <c r="L116" s="38"/>
      <c r="M116" s="38"/>
      <c r="N116" s="38"/>
      <c r="O116" s="38"/>
      <c r="P116" s="38"/>
      <c r="Q116" s="38"/>
      <c r="R116" s="38"/>
      <c r="S116" s="38"/>
      <c r="T116" s="38"/>
      <c r="U116" s="38"/>
      <c r="V116" s="801">
        <v>0.0</v>
      </c>
      <c r="W116" s="252">
        <f t="shared" si="23"/>
        <v>0</v>
      </c>
      <c r="X116" s="252">
        <f t="shared" ref="X116:BA116" si="101">IF(AND(X$37-$A116&gt;$V$25,SUM($W116:W116)&lt;&gt;$V116),$V116,0)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row>
    <row r="117" ht="15.75" customHeight="1">
      <c r="A117" s="787">
        <v>2009.0</v>
      </c>
      <c r="B117" s="38"/>
      <c r="C117" s="38"/>
      <c r="D117" s="38"/>
      <c r="E117" s="38"/>
      <c r="F117" s="38"/>
      <c r="G117" s="38"/>
      <c r="H117" s="38"/>
      <c r="I117" s="38"/>
      <c r="J117" s="38"/>
      <c r="K117" s="38"/>
      <c r="L117" s="38"/>
      <c r="M117" s="38"/>
      <c r="N117" s="38"/>
      <c r="O117" s="38"/>
      <c r="P117" s="38"/>
      <c r="Q117" s="38"/>
      <c r="R117" s="38"/>
      <c r="S117" s="38"/>
      <c r="T117" s="38"/>
      <c r="U117" s="38"/>
      <c r="V117" s="801">
        <v>0.0</v>
      </c>
      <c r="W117" s="252">
        <f t="shared" si="23"/>
        <v>0</v>
      </c>
      <c r="X117" s="252">
        <f t="shared" ref="X117:BA117" si="102">IF(AND(X$37-$A117&gt;$V$25,SUM($W117:W117)&lt;&gt;$V117),$V117,0)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row>
    <row r="118" ht="15.75" customHeight="1">
      <c r="A118" s="787">
        <v>2010.0</v>
      </c>
      <c r="B118" s="38"/>
      <c r="C118" s="38"/>
      <c r="D118" s="38"/>
      <c r="E118" s="38"/>
      <c r="F118" s="38"/>
      <c r="G118" s="38"/>
      <c r="H118" s="38"/>
      <c r="I118" s="38"/>
      <c r="J118" s="38"/>
      <c r="K118" s="38"/>
      <c r="L118" s="38"/>
      <c r="M118" s="38"/>
      <c r="N118" s="38"/>
      <c r="O118" s="38"/>
      <c r="P118" s="38"/>
      <c r="Q118" s="38"/>
      <c r="R118" s="38"/>
      <c r="S118" s="38"/>
      <c r="T118" s="38"/>
      <c r="U118" s="38"/>
      <c r="V118" s="801">
        <v>0.0</v>
      </c>
      <c r="W118" s="252">
        <f t="shared" si="23"/>
        <v>0</v>
      </c>
      <c r="X118" s="252">
        <f t="shared" ref="X118:BA118" si="103">IF(AND(X$37-$A118&gt;$V$25,SUM($W118:W118)&lt;&gt;$V118),$V118,0)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row>
    <row r="119" ht="15.75" customHeight="1">
      <c r="A119" s="787">
        <v>2011.0</v>
      </c>
      <c r="B119" s="38"/>
      <c r="C119" s="38"/>
      <c r="D119" s="38"/>
      <c r="E119" s="38"/>
      <c r="F119" s="38"/>
      <c r="G119" s="38"/>
      <c r="H119" s="38"/>
      <c r="I119" s="38"/>
      <c r="J119" s="38"/>
      <c r="K119" s="38"/>
      <c r="L119" s="38"/>
      <c r="M119" s="38"/>
      <c r="N119" s="38"/>
      <c r="O119" s="38"/>
      <c r="P119" s="38"/>
      <c r="Q119" s="38"/>
      <c r="R119" s="38"/>
      <c r="S119" s="38"/>
      <c r="T119" s="38"/>
      <c r="U119" s="38"/>
      <c r="V119" s="801">
        <v>1.7</v>
      </c>
      <c r="W119" s="252">
        <f t="shared" si="23"/>
        <v>0</v>
      </c>
      <c r="X119" s="252">
        <f t="shared" ref="X119:BA119" si="104">IF(AND(X$37-$A119&gt;$V$25,SUM($W119:W119)&lt;&gt;$V119),$V119,0)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row>
    <row r="120" ht="15.75" customHeight="1">
      <c r="A120" s="787">
        <v>2012.0</v>
      </c>
      <c r="B120" s="38"/>
      <c r="C120" s="38"/>
      <c r="D120" s="38"/>
      <c r="E120" s="38"/>
      <c r="F120" s="38"/>
      <c r="G120" s="38"/>
      <c r="H120" s="38"/>
      <c r="I120" s="38"/>
      <c r="J120" s="38"/>
      <c r="K120" s="38"/>
      <c r="L120" s="38"/>
      <c r="M120" s="38"/>
      <c r="N120" s="38"/>
      <c r="O120" s="38"/>
      <c r="P120" s="38"/>
      <c r="Q120" s="38"/>
      <c r="R120" s="38"/>
      <c r="S120" s="38"/>
      <c r="T120" s="38"/>
      <c r="U120" s="38"/>
      <c r="V120" s="801">
        <v>86.9</v>
      </c>
      <c r="W120" s="252">
        <f t="shared" si="23"/>
        <v>0</v>
      </c>
      <c r="X120" s="252">
        <f t="shared" ref="X120:BA120" si="105">IF(AND(X$37-$A120&gt;$V$25,SUM($W120:W120)&lt;&gt;$V120),$V120,0)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row>
    <row r="121" ht="15.75" customHeight="1">
      <c r="A121" s="787">
        <v>2013.0</v>
      </c>
      <c r="B121" s="38"/>
      <c r="C121" s="38"/>
      <c r="D121" s="38"/>
      <c r="E121" s="38"/>
      <c r="F121" s="38"/>
      <c r="G121" s="38"/>
      <c r="H121" s="38"/>
      <c r="I121" s="38"/>
      <c r="J121" s="38"/>
      <c r="K121" s="38"/>
      <c r="L121" s="38"/>
      <c r="M121" s="38"/>
      <c r="N121" s="38"/>
      <c r="O121" s="38"/>
      <c r="P121" s="38"/>
      <c r="Q121" s="38"/>
      <c r="R121" s="38"/>
      <c r="S121" s="38"/>
      <c r="T121" s="38"/>
      <c r="U121" s="38"/>
      <c r="V121" s="801">
        <v>28.6</v>
      </c>
      <c r="W121" s="252">
        <f t="shared" si="23"/>
        <v>0</v>
      </c>
      <c r="X121" s="252">
        <f t="shared" ref="X121:BA121" si="106">IF(AND(X$37-$A121&gt;$V$25,SUM($W121:W121)&lt;&gt;$V121),$V121,0)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row>
    <row r="122" ht="15.75" customHeight="1">
      <c r="A122" s="787">
        <v>2014.0</v>
      </c>
      <c r="B122" s="38"/>
      <c r="C122" s="38"/>
      <c r="D122" s="38"/>
      <c r="E122" s="38"/>
      <c r="F122" s="38"/>
      <c r="G122" s="38"/>
      <c r="H122" s="38"/>
      <c r="I122" s="38"/>
      <c r="J122" s="38"/>
      <c r="K122" s="38"/>
      <c r="L122" s="38"/>
      <c r="M122" s="38"/>
      <c r="N122" s="38"/>
      <c r="O122" s="38"/>
      <c r="P122" s="38"/>
      <c r="Q122" s="38"/>
      <c r="R122" s="38"/>
      <c r="S122" s="38"/>
      <c r="T122" s="38"/>
      <c r="U122" s="38"/>
      <c r="V122" s="801">
        <v>0.0</v>
      </c>
      <c r="W122" s="252">
        <f t="shared" si="23"/>
        <v>0</v>
      </c>
      <c r="X122" s="252">
        <f t="shared" ref="X122:BA122" si="107">IF(AND(X$37-$A122&gt;$V$25,SUM($W122:W122)&lt;&gt;$V122),$V122,0)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row>
    <row r="123" ht="15.75" customHeight="1">
      <c r="A123" s="787">
        <v>2015.0</v>
      </c>
      <c r="B123" s="38"/>
      <c r="C123" s="38"/>
      <c r="D123" s="38"/>
      <c r="E123" s="38"/>
      <c r="F123" s="38"/>
      <c r="G123" s="38"/>
      <c r="H123" s="38"/>
      <c r="I123" s="38"/>
      <c r="J123" s="38"/>
      <c r="K123" s="38"/>
      <c r="L123" s="38"/>
      <c r="M123" s="38"/>
      <c r="N123" s="38"/>
      <c r="O123" s="38"/>
      <c r="P123" s="38"/>
      <c r="Q123" s="38"/>
      <c r="R123" s="38"/>
      <c r="S123" s="38"/>
      <c r="T123" s="38"/>
      <c r="U123" s="38"/>
      <c r="V123" s="801">
        <v>0.0</v>
      </c>
      <c r="W123" s="252">
        <f t="shared" si="23"/>
        <v>0</v>
      </c>
      <c r="X123" s="252">
        <f t="shared" ref="X123:BA123" si="108">IF(AND(X$37-$A123&gt;$V$25,SUM($W123:W123)&lt;&gt;$V123),$V123,0)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row>
    <row r="124" ht="15.75" customHeight="1">
      <c r="A124" s="787">
        <v>2016.0</v>
      </c>
      <c r="B124" s="38"/>
      <c r="C124" s="38"/>
      <c r="D124" s="38"/>
      <c r="E124" s="38"/>
      <c r="F124" s="38"/>
      <c r="G124" s="38"/>
      <c r="H124" s="38"/>
      <c r="I124" s="38"/>
      <c r="J124" s="38"/>
      <c r="K124" s="38"/>
      <c r="L124" s="38"/>
      <c r="M124" s="38"/>
      <c r="N124" s="38"/>
      <c r="O124" s="38"/>
      <c r="P124" s="38"/>
      <c r="Q124" s="38"/>
      <c r="R124" s="38"/>
      <c r="S124" s="38"/>
      <c r="T124" s="38"/>
      <c r="U124" s="38"/>
      <c r="V124" s="801">
        <v>0.0</v>
      </c>
      <c r="W124" s="252">
        <f t="shared" si="23"/>
        <v>0</v>
      </c>
      <c r="X124" s="252">
        <f t="shared" ref="X124:BA124" si="109">IF(AND(X$37-$A124&gt;$V$25,SUM($W124:W124)&lt;&gt;$V124),$V124,0)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row>
    <row r="125" ht="15.75" customHeight="1">
      <c r="A125" s="787">
        <v>2017.0</v>
      </c>
      <c r="B125" s="38"/>
      <c r="C125" s="38"/>
      <c r="D125" s="38"/>
      <c r="E125" s="38"/>
      <c r="F125" s="38"/>
      <c r="G125" s="38"/>
      <c r="H125" s="38"/>
      <c r="I125" s="38"/>
      <c r="J125" s="38"/>
      <c r="K125" s="38"/>
      <c r="L125" s="38"/>
      <c r="M125" s="38"/>
      <c r="N125" s="38"/>
      <c r="O125" s="38"/>
      <c r="P125" s="38"/>
      <c r="Q125" s="38"/>
      <c r="R125" s="38"/>
      <c r="S125" s="38"/>
      <c r="T125" s="38"/>
      <c r="U125" s="38"/>
      <c r="V125" s="801">
        <v>0.0</v>
      </c>
      <c r="W125" s="252">
        <f t="shared" si="23"/>
        <v>0</v>
      </c>
      <c r="X125" s="252">
        <f t="shared" ref="X125:BA125" si="110">IF(AND(X$37-$A125&gt;$V$25,SUM($W125:W125)&lt;&gt;$V125),$V125,0)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row>
    <row r="126" ht="15.75" customHeight="1">
      <c r="A126" s="787">
        <v>2018.0</v>
      </c>
      <c r="B126" s="38"/>
      <c r="C126" s="38"/>
      <c r="D126" s="38"/>
      <c r="E126" s="38"/>
      <c r="F126" s="38"/>
      <c r="G126" s="38"/>
      <c r="H126" s="38"/>
      <c r="I126" s="38"/>
      <c r="J126" s="38"/>
      <c r="K126" s="38"/>
      <c r="L126" s="38"/>
      <c r="M126" s="38"/>
      <c r="N126" s="38"/>
      <c r="O126" s="38"/>
      <c r="P126" s="38"/>
      <c r="Q126" s="38"/>
      <c r="R126" s="38"/>
      <c r="S126" s="38"/>
      <c r="T126" s="38"/>
      <c r="U126" s="38"/>
      <c r="V126" s="801">
        <v>0.0</v>
      </c>
      <c r="W126" s="252">
        <f t="shared" si="23"/>
        <v>0</v>
      </c>
      <c r="X126" s="252">
        <f t="shared" ref="X126:BA126" si="111">IF(AND(X$37-$A126&gt;$V$25,SUM($W126:W126)&lt;&gt;$V126),$V126,0)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row>
    <row r="127" ht="15.75" customHeight="1">
      <c r="A127" s="787">
        <v>2019.0</v>
      </c>
      <c r="B127" s="38"/>
      <c r="C127" s="38"/>
      <c r="D127" s="38"/>
      <c r="E127" s="38"/>
      <c r="F127" s="38"/>
      <c r="G127" s="38"/>
      <c r="H127" s="38"/>
      <c r="I127" s="38"/>
      <c r="J127" s="38"/>
      <c r="K127" s="38"/>
      <c r="L127" s="38"/>
      <c r="M127" s="38"/>
      <c r="N127" s="38"/>
      <c r="O127" s="38"/>
      <c r="P127" s="38"/>
      <c r="Q127" s="38"/>
      <c r="R127" s="38"/>
      <c r="S127" s="38"/>
      <c r="T127" s="38"/>
      <c r="U127" s="38"/>
      <c r="V127" s="801">
        <v>0.0</v>
      </c>
      <c r="W127" s="252">
        <f t="shared" si="23"/>
        <v>0</v>
      </c>
      <c r="X127" s="252">
        <f t="shared" ref="X127:BA127" si="112">IF(AND(X$37-$A127&gt;$V$25,SUM($W127:W127)&lt;&gt;$V127),$V127,0)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row>
    <row r="128" ht="15.75" customHeight="1">
      <c r="A128" s="788">
        <v>2020.0</v>
      </c>
      <c r="B128" s="38"/>
      <c r="C128" s="38"/>
      <c r="D128" s="38"/>
      <c r="E128" s="38"/>
      <c r="F128" s="38"/>
      <c r="G128" s="38"/>
      <c r="H128" s="38"/>
      <c r="I128" s="38"/>
      <c r="J128" s="38"/>
      <c r="K128" s="38"/>
      <c r="L128" s="38"/>
      <c r="M128" s="38"/>
      <c r="N128" s="38"/>
      <c r="O128" s="38"/>
      <c r="P128" s="38"/>
      <c r="Q128" s="38"/>
      <c r="R128" s="38"/>
      <c r="S128" s="38"/>
      <c r="T128" s="38"/>
      <c r="U128" s="745" t="s">
        <v>1016</v>
      </c>
      <c r="V128" s="840">
        <f t="array" ref="V128:V158">transpose(Model!W1354:BA1354)</f>
        <v>0</v>
      </c>
      <c r="W128" s="252">
        <f t="shared" si="23"/>
        <v>0</v>
      </c>
      <c r="X128" s="252">
        <f t="shared" ref="X128:BA128" si="113">IF(AND(X$37-$A128&gt;$V$25,SUM($W128:W128)&lt;&gt;$V128),$V128,0)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row>
    <row r="129" ht="15.75" customHeight="1">
      <c r="A129" s="788">
        <v>2021.0</v>
      </c>
      <c r="B129" s="38"/>
      <c r="C129" s="38"/>
      <c r="D129" s="38"/>
      <c r="E129" s="38"/>
      <c r="F129" s="38"/>
      <c r="G129" s="38"/>
      <c r="H129" s="38"/>
      <c r="I129" s="38"/>
      <c r="J129" s="38"/>
      <c r="K129" s="38"/>
      <c r="L129" s="38"/>
      <c r="M129" s="38"/>
      <c r="N129" s="38"/>
      <c r="O129" s="38"/>
      <c r="P129" s="38"/>
      <c r="Q129" s="38"/>
      <c r="R129" s="38"/>
      <c r="S129" s="38"/>
      <c r="T129" s="38"/>
      <c r="U129" s="745" t="s">
        <v>1017</v>
      </c>
      <c r="V129" s="840">
        <v>0.0</v>
      </c>
      <c r="W129" s="252">
        <f t="shared" si="23"/>
        <v>0</v>
      </c>
      <c r="X129" s="252">
        <f t="shared" ref="X129:BA129" si="114">IF(AND(X$37-$A129&gt;$V$25,SUM($W129:W129)&lt;&gt;$V129),$V129,0)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row>
    <row r="130" ht="15.75" customHeight="1">
      <c r="A130" s="788">
        <v>2022.0</v>
      </c>
      <c r="B130" s="38"/>
      <c r="C130" s="38"/>
      <c r="D130" s="38"/>
      <c r="E130" s="38"/>
      <c r="F130" s="38"/>
      <c r="G130" s="38"/>
      <c r="H130" s="38"/>
      <c r="I130" s="38"/>
      <c r="J130" s="38"/>
      <c r="K130" s="38"/>
      <c r="L130" s="38"/>
      <c r="M130" s="38"/>
      <c r="N130" s="38"/>
      <c r="O130" s="38"/>
      <c r="P130" s="38"/>
      <c r="Q130" s="38"/>
      <c r="R130" s="38"/>
      <c r="S130" s="38"/>
      <c r="T130" s="38"/>
      <c r="U130" s="745" t="s">
        <v>1018</v>
      </c>
      <c r="V130" s="840">
        <v>0.0</v>
      </c>
      <c r="W130" s="252">
        <f t="shared" si="23"/>
        <v>0</v>
      </c>
      <c r="X130" s="252">
        <f t="shared" ref="X130:BA130" si="115">IF(AND(X$37-$A130&gt;$V$25,SUM($W130:W130)&lt;&gt;$V130),$V130,0)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row>
    <row r="131" ht="15.75" customHeight="1">
      <c r="A131" s="788">
        <v>2023.0</v>
      </c>
      <c r="B131" s="38"/>
      <c r="C131" s="38"/>
      <c r="D131" s="38"/>
      <c r="E131" s="38"/>
      <c r="F131" s="38"/>
      <c r="G131" s="38"/>
      <c r="H131" s="38"/>
      <c r="I131" s="38"/>
      <c r="J131" s="38"/>
      <c r="K131" s="38"/>
      <c r="L131" s="38"/>
      <c r="M131" s="38"/>
      <c r="N131" s="38"/>
      <c r="O131" s="38"/>
      <c r="P131" s="38"/>
      <c r="Q131" s="38"/>
      <c r="R131" s="38"/>
      <c r="S131" s="38"/>
      <c r="T131" s="38"/>
      <c r="U131" s="745" t="s">
        <v>1019</v>
      </c>
      <c r="V131" s="840">
        <v>0.0</v>
      </c>
      <c r="W131" s="252">
        <f t="shared" si="23"/>
        <v>0</v>
      </c>
      <c r="X131" s="252">
        <f t="shared" ref="X131:BA131" si="116">IF(AND(X$37-$A131&gt;$V$25,SUM($W131:W131)&lt;&gt;$V131),$V131,0)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row>
    <row r="132" ht="15.75" customHeight="1">
      <c r="A132" s="788">
        <v>2024.0</v>
      </c>
      <c r="B132" s="38"/>
      <c r="C132" s="38"/>
      <c r="D132" s="38"/>
      <c r="E132" s="38"/>
      <c r="F132" s="38"/>
      <c r="G132" s="38"/>
      <c r="H132" s="38"/>
      <c r="I132" s="38"/>
      <c r="J132" s="38"/>
      <c r="K132" s="38"/>
      <c r="L132" s="38"/>
      <c r="M132" s="38"/>
      <c r="N132" s="38"/>
      <c r="O132" s="38"/>
      <c r="P132" s="38"/>
      <c r="Q132" s="38"/>
      <c r="R132" s="38"/>
      <c r="S132" s="38"/>
      <c r="T132" s="38"/>
      <c r="U132" s="38"/>
      <c r="V132" s="840">
        <v>0.0</v>
      </c>
      <c r="W132" s="252">
        <f t="shared" si="23"/>
        <v>0</v>
      </c>
      <c r="X132" s="252">
        <f t="shared" ref="X132:BA132" si="117">IF(AND(X$37-$A132&gt;$V$25,SUM($W132:W132)&lt;&gt;$V132),$V132,0)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row>
    <row r="133" ht="15.75" customHeight="1">
      <c r="A133" s="788">
        <v>2025.0</v>
      </c>
      <c r="B133" s="38"/>
      <c r="C133" s="38"/>
      <c r="D133" s="38"/>
      <c r="E133" s="38"/>
      <c r="F133" s="38"/>
      <c r="G133" s="38"/>
      <c r="H133" s="38"/>
      <c r="I133" s="38"/>
      <c r="J133" s="38"/>
      <c r="K133" s="38"/>
      <c r="L133" s="38"/>
      <c r="M133" s="38"/>
      <c r="N133" s="38"/>
      <c r="O133" s="38"/>
      <c r="P133" s="38"/>
      <c r="Q133" s="38"/>
      <c r="R133" s="38"/>
      <c r="S133" s="38"/>
      <c r="T133" s="38"/>
      <c r="U133" s="38"/>
      <c r="V133" s="840">
        <v>0.0</v>
      </c>
      <c r="W133" s="252">
        <f t="shared" si="23"/>
        <v>0</v>
      </c>
      <c r="X133" s="252">
        <f t="shared" ref="X133:BA133" si="118">IF(AND(X$37-$A133&gt;$V$25,SUM($W133:W133)&lt;&gt;$V133),$V133,0)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row>
    <row r="134" ht="15.75" customHeight="1">
      <c r="A134" s="788">
        <v>2026.0</v>
      </c>
      <c r="B134" s="38"/>
      <c r="C134" s="38"/>
      <c r="D134" s="38"/>
      <c r="E134" s="38"/>
      <c r="F134" s="38"/>
      <c r="G134" s="38"/>
      <c r="H134" s="38"/>
      <c r="I134" s="38"/>
      <c r="J134" s="38"/>
      <c r="K134" s="38"/>
      <c r="L134" s="38"/>
      <c r="M134" s="38"/>
      <c r="N134" s="38"/>
      <c r="O134" s="38"/>
      <c r="P134" s="38"/>
      <c r="Q134" s="38"/>
      <c r="R134" s="38"/>
      <c r="S134" s="38"/>
      <c r="T134" s="38"/>
      <c r="U134" s="38"/>
      <c r="V134" s="840">
        <v>0.0</v>
      </c>
      <c r="W134" s="252">
        <f t="shared" si="23"/>
        <v>0</v>
      </c>
      <c r="X134" s="252">
        <f t="shared" ref="X134:BA134" si="119">IF(AND(X$37-$A134&gt;$V$25,SUM($W134:W134)&lt;&gt;$V134),$V134,0)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row>
    <row r="135" ht="15.75" customHeight="1">
      <c r="A135" s="788">
        <v>2027.0</v>
      </c>
      <c r="B135" s="38"/>
      <c r="C135" s="38"/>
      <c r="D135" s="38"/>
      <c r="E135" s="38"/>
      <c r="F135" s="38"/>
      <c r="G135" s="38"/>
      <c r="H135" s="38"/>
      <c r="I135" s="38"/>
      <c r="J135" s="38"/>
      <c r="K135" s="38"/>
      <c r="L135" s="38"/>
      <c r="M135" s="38"/>
      <c r="N135" s="38"/>
      <c r="O135" s="38"/>
      <c r="P135" s="38"/>
      <c r="Q135" s="38"/>
      <c r="R135" s="38"/>
      <c r="S135" s="38"/>
      <c r="T135" s="38"/>
      <c r="U135" s="38"/>
      <c r="V135" s="840">
        <v>0.0</v>
      </c>
      <c r="W135" s="252">
        <f t="shared" si="23"/>
        <v>0</v>
      </c>
      <c r="X135" s="252">
        <f t="shared" ref="X135:BA135" si="120">IF(AND(X$37-$A135&gt;$V$25,SUM($W135:W135)&lt;&gt;$V135),$V135,0)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row>
    <row r="136" ht="15.75" customHeight="1">
      <c r="A136" s="788">
        <v>2028.0</v>
      </c>
      <c r="B136" s="38"/>
      <c r="C136" s="38"/>
      <c r="D136" s="38"/>
      <c r="E136" s="38"/>
      <c r="F136" s="38"/>
      <c r="G136" s="38"/>
      <c r="H136" s="38"/>
      <c r="I136" s="38"/>
      <c r="J136" s="38"/>
      <c r="K136" s="38"/>
      <c r="L136" s="38"/>
      <c r="M136" s="38"/>
      <c r="N136" s="38"/>
      <c r="O136" s="38"/>
      <c r="P136" s="38"/>
      <c r="Q136" s="38"/>
      <c r="R136" s="38"/>
      <c r="S136" s="38"/>
      <c r="T136" s="38"/>
      <c r="U136" s="38"/>
      <c r="V136" s="840">
        <v>0.0</v>
      </c>
      <c r="W136" s="252">
        <f t="shared" si="23"/>
        <v>0</v>
      </c>
      <c r="X136" s="252">
        <f t="shared" ref="X136:BA136" si="121">IF(AND(X$37-$A136&gt;$V$25,SUM($W136:W136)&lt;&gt;$V136),$V136,0)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row>
    <row r="137" ht="15.75" customHeight="1">
      <c r="A137" s="788">
        <v>2029.0</v>
      </c>
      <c r="B137" s="38"/>
      <c r="C137" s="38"/>
      <c r="D137" s="38"/>
      <c r="E137" s="38"/>
      <c r="F137" s="38"/>
      <c r="G137" s="38"/>
      <c r="H137" s="38"/>
      <c r="I137" s="38"/>
      <c r="J137" s="38"/>
      <c r="K137" s="38"/>
      <c r="L137" s="38"/>
      <c r="M137" s="38"/>
      <c r="N137" s="38"/>
      <c r="O137" s="38"/>
      <c r="P137" s="38"/>
      <c r="Q137" s="38"/>
      <c r="R137" s="38"/>
      <c r="S137" s="38"/>
      <c r="T137" s="38"/>
      <c r="U137" s="38"/>
      <c r="V137" s="840">
        <v>0.0</v>
      </c>
      <c r="W137" s="252">
        <f t="shared" si="23"/>
        <v>0</v>
      </c>
      <c r="X137" s="252">
        <f t="shared" ref="X137:BA137" si="122">IF(AND(X$37-$A137&gt;$V$25,SUM($W137:W137)&lt;&gt;$V137),$V137,0)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row>
    <row r="138" ht="15.75" customHeight="1">
      <c r="A138" s="788">
        <v>2030.0</v>
      </c>
      <c r="B138" s="38"/>
      <c r="C138" s="38"/>
      <c r="D138" s="38"/>
      <c r="E138" s="38"/>
      <c r="F138" s="38"/>
      <c r="G138" s="38"/>
      <c r="H138" s="38"/>
      <c r="I138" s="38"/>
      <c r="J138" s="38"/>
      <c r="K138" s="38"/>
      <c r="L138" s="38"/>
      <c r="M138" s="38"/>
      <c r="N138" s="38"/>
      <c r="O138" s="38"/>
      <c r="P138" s="38"/>
      <c r="Q138" s="38"/>
      <c r="R138" s="38"/>
      <c r="S138" s="38"/>
      <c r="T138" s="38"/>
      <c r="U138" s="38"/>
      <c r="V138" s="840">
        <v>0.0</v>
      </c>
      <c r="W138" s="252">
        <f t="shared" si="23"/>
        <v>0</v>
      </c>
      <c r="X138" s="252">
        <f t="shared" ref="X138:BA138" si="123">IF(AND(X$37-$A138&gt;$V$25,SUM($W138:W138)&lt;&gt;$V138),$V138,0)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row>
    <row r="139" ht="15.75" customHeight="1">
      <c r="A139" s="788">
        <v>2031.0</v>
      </c>
      <c r="B139" s="38"/>
      <c r="C139" s="38"/>
      <c r="D139" s="38"/>
      <c r="E139" s="38"/>
      <c r="F139" s="38"/>
      <c r="G139" s="38"/>
      <c r="H139" s="38"/>
      <c r="I139" s="38"/>
      <c r="J139" s="38"/>
      <c r="K139" s="38"/>
      <c r="L139" s="38"/>
      <c r="M139" s="38"/>
      <c r="N139" s="38"/>
      <c r="O139" s="38"/>
      <c r="P139" s="38"/>
      <c r="Q139" s="38"/>
      <c r="R139" s="38"/>
      <c r="S139" s="38"/>
      <c r="T139" s="38"/>
      <c r="U139" s="38"/>
      <c r="V139" s="840">
        <v>0.0</v>
      </c>
      <c r="W139" s="252">
        <f t="shared" si="23"/>
        <v>0</v>
      </c>
      <c r="X139" s="252">
        <f t="shared" ref="X139:BA139" si="124">IF(AND(X$37-$A139&gt;$V$25,SUM($W139:W139)&lt;&gt;$V139),$V139,0)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row>
    <row r="140" ht="15.75" customHeight="1">
      <c r="A140" s="788">
        <v>2032.0</v>
      </c>
      <c r="B140" s="38"/>
      <c r="C140" s="38"/>
      <c r="D140" s="38"/>
      <c r="E140" s="38"/>
      <c r="F140" s="38"/>
      <c r="G140" s="38"/>
      <c r="H140" s="38"/>
      <c r="I140" s="38"/>
      <c r="J140" s="38"/>
      <c r="K140" s="38"/>
      <c r="L140" s="38"/>
      <c r="M140" s="38"/>
      <c r="N140" s="38"/>
      <c r="O140" s="38"/>
      <c r="P140" s="38"/>
      <c r="Q140" s="38"/>
      <c r="R140" s="38"/>
      <c r="S140" s="38"/>
      <c r="T140" s="38"/>
      <c r="U140" s="38"/>
      <c r="V140" s="840">
        <v>0.0</v>
      </c>
      <c r="W140" s="252">
        <f t="shared" si="23"/>
        <v>0</v>
      </c>
      <c r="X140" s="252">
        <f t="shared" ref="X140:BA140" si="125">IF(AND(X$37-$A140&gt;$V$25,SUM($W140:W140)&lt;&gt;$V140),$V140,0)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row>
    <row r="141" ht="15.75" customHeight="1">
      <c r="A141" s="788">
        <v>2033.0</v>
      </c>
      <c r="B141" s="38"/>
      <c r="C141" s="38"/>
      <c r="D141" s="38"/>
      <c r="E141" s="38"/>
      <c r="F141" s="38"/>
      <c r="G141" s="38"/>
      <c r="H141" s="38"/>
      <c r="I141" s="38"/>
      <c r="J141" s="38"/>
      <c r="K141" s="38"/>
      <c r="L141" s="38"/>
      <c r="M141" s="38"/>
      <c r="N141" s="38"/>
      <c r="O141" s="38"/>
      <c r="P141" s="38"/>
      <c r="Q141" s="38"/>
      <c r="R141" s="38"/>
      <c r="S141" s="38"/>
      <c r="T141" s="38"/>
      <c r="U141" s="38"/>
      <c r="V141" s="840">
        <v>0.0</v>
      </c>
      <c r="W141" s="252">
        <f t="shared" si="23"/>
        <v>0</v>
      </c>
      <c r="X141" s="252">
        <f t="shared" ref="X141:BA141" si="126">IF(AND(X$37-$A141&gt;$V$25,SUM($W141:W141)&lt;&gt;$V141),$V141,0)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row>
    <row r="142" ht="15.75" customHeight="1">
      <c r="A142" s="788">
        <v>2034.0</v>
      </c>
      <c r="B142" s="38"/>
      <c r="C142" s="38"/>
      <c r="D142" s="38"/>
      <c r="E142" s="38"/>
      <c r="F142" s="38"/>
      <c r="G142" s="38"/>
      <c r="H142" s="38"/>
      <c r="I142" s="38"/>
      <c r="J142" s="38"/>
      <c r="K142" s="38"/>
      <c r="L142" s="38"/>
      <c r="M142" s="38"/>
      <c r="N142" s="38"/>
      <c r="O142" s="38"/>
      <c r="P142" s="38"/>
      <c r="Q142" s="38"/>
      <c r="R142" s="38"/>
      <c r="S142" s="38"/>
      <c r="T142" s="38"/>
      <c r="U142" s="38"/>
      <c r="V142" s="840">
        <v>0.0</v>
      </c>
      <c r="W142" s="252">
        <f t="shared" si="23"/>
        <v>0</v>
      </c>
      <c r="X142" s="252">
        <f t="shared" ref="X142:BA142" si="127">IF(AND(X$37-$A142&gt;$V$25,SUM($W142:W142)&lt;&gt;$V142),$V142,0)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row>
    <row r="143" ht="15.75" customHeight="1">
      <c r="A143" s="788">
        <v>2035.0</v>
      </c>
      <c r="B143" s="38"/>
      <c r="C143" s="38"/>
      <c r="D143" s="38"/>
      <c r="E143" s="38"/>
      <c r="F143" s="38"/>
      <c r="G143" s="38"/>
      <c r="H143" s="38"/>
      <c r="I143" s="38"/>
      <c r="J143" s="38"/>
      <c r="K143" s="38"/>
      <c r="L143" s="38"/>
      <c r="M143" s="38"/>
      <c r="N143" s="38"/>
      <c r="O143" s="38"/>
      <c r="P143" s="38"/>
      <c r="Q143" s="38"/>
      <c r="R143" s="38"/>
      <c r="S143" s="38"/>
      <c r="T143" s="38"/>
      <c r="U143" s="38"/>
      <c r="V143" s="840">
        <v>0.0</v>
      </c>
      <c r="W143" s="252">
        <f t="shared" si="23"/>
        <v>0</v>
      </c>
      <c r="X143" s="252">
        <f t="shared" ref="X143:BA143" si="128">IF(AND(X$37-$A143&gt;$V$25,SUM($W143:W143)&lt;&gt;$V143),$V143,0)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row>
    <row r="144" ht="15.75" customHeight="1">
      <c r="A144" s="788">
        <v>2036.0</v>
      </c>
      <c r="B144" s="38"/>
      <c r="C144" s="38"/>
      <c r="D144" s="38"/>
      <c r="E144" s="38"/>
      <c r="F144" s="38"/>
      <c r="G144" s="38"/>
      <c r="H144" s="38"/>
      <c r="I144" s="38"/>
      <c r="J144" s="38"/>
      <c r="K144" s="38"/>
      <c r="L144" s="38"/>
      <c r="M144" s="38"/>
      <c r="N144" s="38"/>
      <c r="O144" s="38"/>
      <c r="P144" s="38"/>
      <c r="Q144" s="38"/>
      <c r="R144" s="38"/>
      <c r="S144" s="38"/>
      <c r="T144" s="38"/>
      <c r="U144" s="38"/>
      <c r="V144" s="840">
        <v>0.0</v>
      </c>
      <c r="W144" s="252">
        <f t="shared" si="23"/>
        <v>0</v>
      </c>
      <c r="X144" s="252">
        <f t="shared" ref="X144:BA144" si="129">IF(AND(X$37-$A144&gt;$V$25,SUM($W144:W144)&lt;&gt;$V144),$V144,0)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row>
    <row r="145" ht="15.75" customHeight="1">
      <c r="A145" s="788">
        <v>2037.0</v>
      </c>
      <c r="B145" s="38"/>
      <c r="C145" s="38"/>
      <c r="D145" s="38"/>
      <c r="E145" s="38"/>
      <c r="F145" s="38"/>
      <c r="G145" s="38"/>
      <c r="H145" s="38"/>
      <c r="I145" s="38"/>
      <c r="J145" s="38"/>
      <c r="K145" s="38"/>
      <c r="L145" s="38"/>
      <c r="M145" s="38"/>
      <c r="N145" s="38"/>
      <c r="O145" s="38"/>
      <c r="P145" s="38"/>
      <c r="Q145" s="38"/>
      <c r="R145" s="38"/>
      <c r="S145" s="38"/>
      <c r="T145" s="38"/>
      <c r="U145" s="38"/>
      <c r="V145" s="840">
        <v>0.0</v>
      </c>
      <c r="W145" s="252">
        <f t="shared" si="23"/>
        <v>0</v>
      </c>
      <c r="X145" s="252">
        <f t="shared" ref="X145:BA145" si="130">IF(AND(X$37-$A145&gt;$V$25,SUM($W145:W145)&lt;&gt;$V145),$V145,0)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row>
    <row r="146" ht="15.75" customHeight="1">
      <c r="A146" s="788">
        <v>2038.0</v>
      </c>
      <c r="B146" s="38"/>
      <c r="C146" s="38"/>
      <c r="D146" s="38"/>
      <c r="E146" s="38"/>
      <c r="F146" s="38"/>
      <c r="G146" s="38"/>
      <c r="H146" s="38"/>
      <c r="I146" s="38"/>
      <c r="J146" s="38"/>
      <c r="K146" s="38"/>
      <c r="L146" s="38"/>
      <c r="M146" s="38"/>
      <c r="N146" s="38"/>
      <c r="O146" s="38"/>
      <c r="P146" s="38"/>
      <c r="Q146" s="38"/>
      <c r="R146" s="38"/>
      <c r="S146" s="38"/>
      <c r="T146" s="38"/>
      <c r="U146" s="38"/>
      <c r="V146" s="840">
        <v>0.0</v>
      </c>
      <c r="W146" s="252">
        <f t="shared" si="23"/>
        <v>0</v>
      </c>
      <c r="X146" s="252">
        <f t="shared" ref="X146:BA146" si="131">IF(AND(X$37-$A146&gt;$V$25,SUM($W146:W146)&lt;&gt;$V146),$V146,0)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row>
    <row r="147" ht="15.75" customHeight="1">
      <c r="A147" s="788">
        <v>2039.0</v>
      </c>
      <c r="B147" s="38"/>
      <c r="C147" s="38"/>
      <c r="D147" s="38"/>
      <c r="E147" s="38"/>
      <c r="F147" s="38"/>
      <c r="G147" s="38"/>
      <c r="H147" s="38"/>
      <c r="I147" s="38"/>
      <c r="J147" s="38"/>
      <c r="K147" s="38"/>
      <c r="L147" s="38"/>
      <c r="M147" s="38"/>
      <c r="N147" s="38"/>
      <c r="O147" s="38"/>
      <c r="P147" s="38"/>
      <c r="Q147" s="38"/>
      <c r="R147" s="38"/>
      <c r="S147" s="38"/>
      <c r="T147" s="38"/>
      <c r="U147" s="38"/>
      <c r="V147" s="840">
        <v>0.0</v>
      </c>
      <c r="W147" s="252">
        <f t="shared" si="23"/>
        <v>0</v>
      </c>
      <c r="X147" s="252">
        <f t="shared" ref="X147:BA147" si="132">IF(AND(X$37-$A147&gt;$V$25,SUM($W147:W147)&lt;&gt;$V147),$V147,0)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row>
    <row r="148" ht="15.75" customHeight="1">
      <c r="A148" s="788">
        <v>2040.0</v>
      </c>
      <c r="B148" s="38"/>
      <c r="C148" s="38"/>
      <c r="D148" s="38"/>
      <c r="E148" s="38"/>
      <c r="F148" s="38"/>
      <c r="G148" s="38"/>
      <c r="H148" s="38"/>
      <c r="I148" s="38"/>
      <c r="J148" s="38"/>
      <c r="K148" s="38"/>
      <c r="L148" s="38"/>
      <c r="M148" s="38"/>
      <c r="N148" s="38"/>
      <c r="O148" s="38"/>
      <c r="P148" s="38"/>
      <c r="Q148" s="38"/>
      <c r="R148" s="38"/>
      <c r="S148" s="38"/>
      <c r="T148" s="38"/>
      <c r="U148" s="38"/>
      <c r="V148" s="840">
        <v>0.0</v>
      </c>
      <c r="W148" s="252">
        <f t="shared" si="23"/>
        <v>0</v>
      </c>
      <c r="X148" s="252">
        <f t="shared" ref="X148:BA148" si="133">IF(AND(X$37-$A148&gt;$V$25,SUM($W148:W148)&lt;&gt;$V148),$V148,0)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row>
    <row r="149" ht="15.75" customHeight="1">
      <c r="A149" s="788">
        <v>2041.0</v>
      </c>
      <c r="B149" s="38"/>
      <c r="C149" s="38"/>
      <c r="D149" s="38"/>
      <c r="E149" s="38"/>
      <c r="F149" s="38"/>
      <c r="G149" s="38"/>
      <c r="H149" s="38"/>
      <c r="I149" s="38"/>
      <c r="J149" s="38"/>
      <c r="K149" s="38"/>
      <c r="L149" s="38"/>
      <c r="M149" s="38"/>
      <c r="N149" s="38"/>
      <c r="O149" s="38"/>
      <c r="P149" s="38"/>
      <c r="Q149" s="38"/>
      <c r="R149" s="38"/>
      <c r="S149" s="38"/>
      <c r="T149" s="38"/>
      <c r="U149" s="38"/>
      <c r="V149" s="840">
        <v>0.0</v>
      </c>
      <c r="W149" s="252">
        <f t="shared" si="23"/>
        <v>0</v>
      </c>
      <c r="X149" s="252">
        <f t="shared" ref="X149:BA149" si="134">IF(AND(X$37-$A149&gt;$V$25,SUM($W149:W149)&lt;&gt;$V149),$V149,0)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row>
    <row r="150" ht="15.75" customHeight="1">
      <c r="A150" s="788">
        <v>2042.0</v>
      </c>
      <c r="B150" s="38"/>
      <c r="C150" s="38"/>
      <c r="D150" s="38"/>
      <c r="E150" s="38"/>
      <c r="F150" s="38"/>
      <c r="G150" s="38"/>
      <c r="H150" s="38"/>
      <c r="I150" s="38"/>
      <c r="J150" s="38"/>
      <c r="K150" s="38"/>
      <c r="L150" s="38"/>
      <c r="M150" s="38"/>
      <c r="N150" s="38"/>
      <c r="O150" s="38"/>
      <c r="P150" s="38"/>
      <c r="Q150" s="38"/>
      <c r="R150" s="38"/>
      <c r="S150" s="38"/>
      <c r="T150" s="38"/>
      <c r="U150" s="38"/>
      <c r="V150" s="840">
        <v>0.0</v>
      </c>
      <c r="W150" s="252">
        <f t="shared" si="23"/>
        <v>0</v>
      </c>
      <c r="X150" s="252">
        <f t="shared" ref="X150:BA150" si="135">IF(AND(X$37-$A150&gt;$V$25,SUM($W150:W150)&lt;&gt;$V150),$V150,0)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row>
    <row r="151" ht="15.75" customHeight="1">
      <c r="A151" s="788">
        <v>2043.0</v>
      </c>
      <c r="B151" s="38"/>
      <c r="C151" s="38"/>
      <c r="D151" s="38"/>
      <c r="E151" s="38"/>
      <c r="F151" s="38"/>
      <c r="G151" s="38"/>
      <c r="H151" s="38"/>
      <c r="I151" s="38"/>
      <c r="J151" s="38"/>
      <c r="K151" s="38"/>
      <c r="L151" s="38"/>
      <c r="M151" s="38"/>
      <c r="N151" s="38"/>
      <c r="O151" s="38"/>
      <c r="P151" s="38"/>
      <c r="Q151" s="38"/>
      <c r="R151" s="38"/>
      <c r="S151" s="38"/>
      <c r="T151" s="38"/>
      <c r="U151" s="38"/>
      <c r="V151" s="840">
        <v>0.0</v>
      </c>
      <c r="W151" s="252">
        <f t="shared" si="23"/>
        <v>0</v>
      </c>
      <c r="X151" s="252">
        <f t="shared" ref="X151:BA151" si="136">IF(AND(X$37-$A151&gt;$V$25,SUM($W151:W151)&lt;&gt;$V151),$V151,0)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row>
    <row r="152" ht="15.75" customHeight="1">
      <c r="A152" s="788">
        <v>2044.0</v>
      </c>
      <c r="B152" s="38"/>
      <c r="C152" s="38"/>
      <c r="D152" s="38"/>
      <c r="E152" s="38"/>
      <c r="F152" s="38"/>
      <c r="G152" s="38"/>
      <c r="H152" s="38"/>
      <c r="I152" s="38"/>
      <c r="J152" s="38"/>
      <c r="K152" s="38"/>
      <c r="L152" s="38"/>
      <c r="M152" s="38"/>
      <c r="N152" s="38"/>
      <c r="O152" s="38"/>
      <c r="P152" s="38"/>
      <c r="Q152" s="38"/>
      <c r="R152" s="38"/>
      <c r="S152" s="38"/>
      <c r="T152" s="38"/>
      <c r="U152" s="38"/>
      <c r="V152" s="840">
        <v>0.0</v>
      </c>
      <c r="W152" s="252">
        <f t="shared" si="23"/>
        <v>0</v>
      </c>
      <c r="X152" s="252">
        <f t="shared" ref="X152:BA152" si="137">IF(AND(X$37-$A152&gt;$V$25,SUM($W152:W152)&lt;&gt;$V152),$V152,0)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row>
    <row r="153" ht="15.75" customHeight="1">
      <c r="A153" s="788">
        <v>2045.0</v>
      </c>
      <c r="B153" s="38"/>
      <c r="C153" s="38"/>
      <c r="D153" s="38"/>
      <c r="E153" s="38"/>
      <c r="F153" s="38"/>
      <c r="G153" s="38"/>
      <c r="H153" s="38"/>
      <c r="I153" s="38"/>
      <c r="J153" s="38"/>
      <c r="K153" s="38"/>
      <c r="L153" s="38"/>
      <c r="M153" s="38"/>
      <c r="N153" s="38"/>
      <c r="O153" s="38"/>
      <c r="P153" s="38"/>
      <c r="Q153" s="38"/>
      <c r="R153" s="38"/>
      <c r="S153" s="38"/>
      <c r="T153" s="38"/>
      <c r="U153" s="38"/>
      <c r="V153" s="840">
        <v>0.0</v>
      </c>
      <c r="W153" s="252">
        <f t="shared" si="23"/>
        <v>0</v>
      </c>
      <c r="X153" s="252">
        <f t="shared" ref="X153:BA153" si="138">IF(AND(X$37-$A153&gt;$V$25,SUM($W153:W153)&lt;&gt;$V153),$V153,0)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row>
    <row r="154" ht="15.75" customHeight="1">
      <c r="A154" s="788">
        <v>2046.0</v>
      </c>
      <c r="B154" s="38"/>
      <c r="C154" s="38"/>
      <c r="D154" s="38"/>
      <c r="E154" s="38"/>
      <c r="F154" s="38"/>
      <c r="G154" s="38"/>
      <c r="H154" s="38"/>
      <c r="I154" s="38"/>
      <c r="J154" s="38"/>
      <c r="K154" s="38"/>
      <c r="L154" s="38"/>
      <c r="M154" s="38"/>
      <c r="N154" s="38"/>
      <c r="O154" s="38"/>
      <c r="P154" s="38"/>
      <c r="Q154" s="38"/>
      <c r="R154" s="38"/>
      <c r="S154" s="38"/>
      <c r="T154" s="38"/>
      <c r="U154" s="38"/>
      <c r="V154" s="840">
        <v>0.0</v>
      </c>
      <c r="W154" s="252">
        <f t="shared" si="23"/>
        <v>0</v>
      </c>
      <c r="X154" s="252">
        <f t="shared" ref="X154:BA154" si="139">IF(AND(X$37-$A154&gt;$V$25,SUM($W154:W154)&lt;&gt;$V154),$V154,0)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row>
    <row r="155" ht="15.75" customHeight="1">
      <c r="A155" s="788">
        <v>2047.0</v>
      </c>
      <c r="B155" s="38"/>
      <c r="C155" s="38"/>
      <c r="D155" s="38"/>
      <c r="E155" s="38"/>
      <c r="F155" s="38"/>
      <c r="G155" s="38"/>
      <c r="H155" s="38"/>
      <c r="I155" s="38"/>
      <c r="J155" s="38"/>
      <c r="K155" s="38"/>
      <c r="L155" s="38"/>
      <c r="M155" s="38"/>
      <c r="N155" s="38"/>
      <c r="O155" s="38"/>
      <c r="P155" s="38"/>
      <c r="Q155" s="38"/>
      <c r="R155" s="38"/>
      <c r="S155" s="38"/>
      <c r="T155" s="38"/>
      <c r="U155" s="38"/>
      <c r="V155" s="840">
        <v>0.0</v>
      </c>
      <c r="W155" s="252">
        <f t="shared" si="23"/>
        <v>0</v>
      </c>
      <c r="X155" s="252">
        <f t="shared" ref="X155:BA155" si="140">IF(AND(X$37-$A155&gt;$V$25,SUM($W155:W155)&lt;&gt;$V155),$V155,0)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row>
    <row r="156" ht="15.75" customHeight="1">
      <c r="A156" s="788">
        <v>2048.0</v>
      </c>
      <c r="B156" s="38"/>
      <c r="C156" s="38"/>
      <c r="D156" s="38"/>
      <c r="E156" s="38"/>
      <c r="F156" s="38"/>
      <c r="G156" s="38"/>
      <c r="H156" s="38"/>
      <c r="I156" s="38"/>
      <c r="J156" s="38"/>
      <c r="K156" s="38"/>
      <c r="L156" s="38"/>
      <c r="M156" s="38"/>
      <c r="N156" s="38"/>
      <c r="O156" s="38"/>
      <c r="P156" s="38"/>
      <c r="Q156" s="38"/>
      <c r="R156" s="38"/>
      <c r="S156" s="38"/>
      <c r="T156" s="38"/>
      <c r="U156" s="38"/>
      <c r="V156" s="840">
        <v>0.0</v>
      </c>
      <c r="W156" s="252">
        <f t="shared" si="23"/>
        <v>0</v>
      </c>
      <c r="X156" s="252">
        <f t="shared" ref="X156:BA156" si="141">IF(AND(X$37-$A156&gt;$V$25,SUM($W156:W156)&lt;&gt;$V156),$V156,0)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row>
    <row r="157" ht="15.75" customHeight="1">
      <c r="A157" s="788">
        <v>2049.0</v>
      </c>
      <c r="B157" s="38"/>
      <c r="C157" s="38"/>
      <c r="D157" s="38"/>
      <c r="E157" s="38"/>
      <c r="F157" s="38"/>
      <c r="G157" s="38"/>
      <c r="H157" s="38"/>
      <c r="I157" s="38"/>
      <c r="J157" s="38"/>
      <c r="K157" s="38"/>
      <c r="L157" s="38"/>
      <c r="M157" s="38"/>
      <c r="N157" s="38"/>
      <c r="O157" s="38"/>
      <c r="P157" s="38"/>
      <c r="Q157" s="38"/>
      <c r="R157" s="38"/>
      <c r="S157" s="38"/>
      <c r="T157" s="38"/>
      <c r="U157" s="38"/>
      <c r="V157" s="840">
        <v>0.0</v>
      </c>
      <c r="W157" s="252">
        <f t="shared" si="23"/>
        <v>0</v>
      </c>
      <c r="X157" s="252">
        <f t="shared" ref="X157:BA157" si="142">IF(AND(X$37-$A157&gt;$V$25,SUM($W157:W157)&lt;&gt;$V157),$V157,0)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row>
    <row r="158" ht="15.75" customHeight="1">
      <c r="A158" s="788">
        <v>2050.0</v>
      </c>
      <c r="B158" s="38"/>
      <c r="C158" s="38"/>
      <c r="D158" s="38"/>
      <c r="E158" s="38"/>
      <c r="F158" s="38"/>
      <c r="G158" s="38"/>
      <c r="H158" s="38"/>
      <c r="I158" s="38"/>
      <c r="J158" s="38"/>
      <c r="K158" s="38"/>
      <c r="L158" s="38"/>
      <c r="M158" s="38"/>
      <c r="N158" s="38"/>
      <c r="O158" s="38"/>
      <c r="P158" s="38"/>
      <c r="Q158" s="38"/>
      <c r="R158" s="38"/>
      <c r="S158" s="38"/>
      <c r="T158" s="38"/>
      <c r="U158" s="38"/>
      <c r="V158" s="840">
        <v>0.0</v>
      </c>
      <c r="W158" s="252">
        <f t="shared" si="23"/>
        <v>0</v>
      </c>
      <c r="X158" s="252">
        <f t="shared" ref="X158:BA158" si="143">IF(AND(X$37-$A158&gt;$V$25,SUM($W158:W158)&lt;&gt;$V158),$V158,0)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row>
    <row r="159" ht="15.75" customHeight="1">
      <c r="A159" s="788"/>
      <c r="B159" s="38"/>
      <c r="C159" s="38"/>
      <c r="D159" s="38"/>
      <c r="E159" s="38"/>
      <c r="F159" s="38"/>
      <c r="G159" s="38"/>
      <c r="H159" s="38"/>
      <c r="I159" s="38"/>
      <c r="J159" s="38"/>
      <c r="K159" s="38"/>
      <c r="L159" s="38"/>
      <c r="M159" s="38"/>
      <c r="N159" s="38"/>
      <c r="O159" s="38"/>
      <c r="P159" s="38"/>
      <c r="Q159" s="38"/>
      <c r="R159" s="38"/>
      <c r="S159" s="38"/>
      <c r="T159" s="38"/>
      <c r="U159" s="38"/>
      <c r="V159" s="768"/>
      <c r="W159" s="252"/>
      <c r="X159" s="252"/>
      <c r="Y159" s="252"/>
      <c r="Z159" s="252"/>
      <c r="AA159" s="252"/>
      <c r="AB159" s="252"/>
      <c r="AC159" s="252"/>
      <c r="AD159" s="252"/>
      <c r="AE159" s="252"/>
      <c r="AF159" s="252"/>
      <c r="AG159" s="252"/>
      <c r="AH159" s="252"/>
      <c r="AI159" s="252"/>
      <c r="AJ159" s="252"/>
      <c r="AK159" s="252"/>
      <c r="AL159" s="252"/>
      <c r="AM159" s="252"/>
      <c r="AN159" s="252"/>
      <c r="AO159" s="252"/>
      <c r="AP159" s="252"/>
      <c r="AQ159" s="252"/>
      <c r="AR159" s="252"/>
      <c r="AS159" s="252"/>
      <c r="AT159" s="252"/>
      <c r="AU159" s="252"/>
      <c r="AV159" s="252"/>
      <c r="AW159" s="252"/>
      <c r="AX159" s="252"/>
      <c r="AY159" s="252"/>
      <c r="AZ159" s="252"/>
      <c r="BA159" s="252"/>
    </row>
    <row r="160" ht="15.75" customHeight="1">
      <c r="A160" s="788"/>
      <c r="B160" s="38"/>
      <c r="C160" s="38"/>
      <c r="D160" s="38"/>
      <c r="E160" s="38"/>
      <c r="F160" s="38"/>
      <c r="G160" s="38"/>
      <c r="H160" s="38"/>
      <c r="I160" s="38"/>
      <c r="J160" s="38"/>
      <c r="K160" s="38"/>
      <c r="L160" s="38"/>
      <c r="M160" s="38"/>
      <c r="N160" s="38"/>
      <c r="O160" s="38"/>
      <c r="P160" s="38"/>
      <c r="Q160" s="38"/>
      <c r="R160" s="38"/>
      <c r="S160" s="38"/>
      <c r="T160" s="38"/>
      <c r="U160" s="38"/>
      <c r="V160" s="768"/>
      <c r="W160" s="252"/>
      <c r="X160" s="252"/>
      <c r="Y160" s="252"/>
      <c r="Z160" s="252"/>
      <c r="AA160" s="252"/>
      <c r="AB160" s="252"/>
      <c r="AC160" s="252"/>
      <c r="AD160" s="252"/>
      <c r="AE160" s="252"/>
      <c r="AF160" s="252"/>
      <c r="AG160" s="252"/>
      <c r="AH160" s="252"/>
      <c r="AI160" s="252"/>
      <c r="AJ160" s="252"/>
      <c r="AK160" s="252"/>
      <c r="AL160" s="252"/>
      <c r="AM160" s="252"/>
      <c r="AN160" s="252"/>
      <c r="AO160" s="252"/>
      <c r="AP160" s="252"/>
      <c r="AQ160" s="252"/>
      <c r="AR160" s="252"/>
      <c r="AS160" s="252"/>
      <c r="AT160" s="252"/>
      <c r="AU160" s="252"/>
      <c r="AV160" s="252"/>
      <c r="AW160" s="252"/>
      <c r="AX160" s="252"/>
      <c r="AY160" s="252"/>
      <c r="AZ160" s="252"/>
      <c r="BA160" s="252"/>
    </row>
    <row r="161" ht="15.75" customHeight="1">
      <c r="A161" s="788"/>
      <c r="B161" s="38"/>
      <c r="C161" s="38"/>
      <c r="D161" s="38"/>
      <c r="E161" s="38"/>
      <c r="F161" s="38"/>
      <c r="G161" s="38"/>
      <c r="H161" s="38"/>
      <c r="I161" s="38"/>
      <c r="J161" s="38"/>
      <c r="K161" s="38"/>
      <c r="L161" s="38"/>
      <c r="M161" s="38"/>
      <c r="N161" s="38"/>
      <c r="O161" s="38"/>
      <c r="P161" s="38"/>
      <c r="Q161" s="38"/>
      <c r="R161" s="38"/>
      <c r="S161" s="38"/>
      <c r="T161" s="38"/>
      <c r="U161" s="38"/>
      <c r="V161" s="768"/>
      <c r="W161" s="252"/>
      <c r="X161" s="252"/>
      <c r="Y161" s="252"/>
      <c r="Z161" s="252"/>
      <c r="AA161" s="252"/>
      <c r="AB161" s="252"/>
      <c r="AC161" s="252"/>
      <c r="AD161" s="252"/>
      <c r="AE161" s="252"/>
      <c r="AF161" s="252"/>
      <c r="AG161" s="252"/>
      <c r="AH161" s="252"/>
      <c r="AI161" s="252"/>
      <c r="AJ161" s="252"/>
      <c r="AK161" s="252"/>
      <c r="AL161" s="252"/>
      <c r="AM161" s="252"/>
      <c r="AN161" s="252"/>
      <c r="AO161" s="252"/>
      <c r="AP161" s="252"/>
      <c r="AQ161" s="252"/>
      <c r="AR161" s="252"/>
      <c r="AS161" s="252"/>
      <c r="AT161" s="252"/>
      <c r="AU161" s="252"/>
      <c r="AV161" s="252"/>
      <c r="AW161" s="252"/>
      <c r="AX161" s="252"/>
      <c r="AY161" s="252"/>
      <c r="AZ161" s="252"/>
      <c r="BA161" s="252"/>
    </row>
    <row r="162" ht="15.75" customHeight="1">
      <c r="A162" s="788"/>
      <c r="V162" s="841"/>
      <c r="W162" s="252"/>
      <c r="X162" s="252"/>
      <c r="Y162" s="252"/>
      <c r="Z162" s="252"/>
      <c r="AA162" s="252"/>
      <c r="AB162" s="252"/>
      <c r="AC162" s="252"/>
      <c r="AD162" s="252"/>
      <c r="AE162" s="252"/>
      <c r="AF162" s="252"/>
      <c r="AG162" s="252"/>
      <c r="AH162" s="252"/>
      <c r="AI162" s="252"/>
      <c r="AJ162" s="252"/>
      <c r="AK162" s="252"/>
      <c r="AL162" s="252"/>
      <c r="AM162" s="252"/>
      <c r="AN162" s="252"/>
      <c r="AO162" s="252"/>
      <c r="AP162" s="252"/>
      <c r="AQ162" s="252"/>
      <c r="AR162" s="252"/>
      <c r="AS162" s="252"/>
      <c r="AT162" s="252"/>
      <c r="AU162" s="252"/>
      <c r="AV162" s="252"/>
      <c r="AW162" s="252"/>
      <c r="AX162" s="252"/>
      <c r="AY162" s="252"/>
      <c r="AZ162" s="252"/>
      <c r="BA162" s="252"/>
    </row>
  </sheetData>
  <printOptions/>
  <pageMargins bottom="0.75" footer="0.0" header="0.0" left="0.7" right="0.7" top="0.75"/>
  <pageSetup orientation="landscape"/>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Population'!$S$18</f>
        <v>39147716.21</v>
      </c>
      <c r="C2" s="160">
        <f>C3*1000*'Inflation GDP Population'!C$18/'Inflation GDP Population'!$S$18</f>
        <v>40006388.41</v>
      </c>
      <c r="D2" s="160">
        <f>D3*1000*'Inflation GDP Population'!D$18/'Inflation GDP Population'!$S$18</f>
        <v>40639188.44</v>
      </c>
      <c r="E2" s="160">
        <f>E3*1000*'Inflation GDP Population'!E$18/'Inflation GDP Population'!$S$18</f>
        <v>41393908.51</v>
      </c>
      <c r="F2" s="160">
        <f>F3*1000*'Inflation GDP Population'!F$18/'Inflation GDP Population'!$S$18</f>
        <v>42508315.43</v>
      </c>
      <c r="G2" s="160">
        <f>G3*1000*'Inflation GDP Population'!G$18/'Inflation GDP Population'!$S$18</f>
        <v>43832411.03</v>
      </c>
      <c r="H2" s="160">
        <f>H3*1000*'Inflation GDP Population'!H$18/'Inflation GDP Population'!$S$18</f>
        <v>45158872.79</v>
      </c>
      <c r="I2" s="160">
        <f>I3*1000*'Inflation GDP Population'!I$18/'Inflation GDP Population'!$S$18</f>
        <v>46371978.48</v>
      </c>
      <c r="J2" s="160">
        <f>J3*1000*'Inflation GDP Population'!J$18/'Inflation GDP Population'!$S$18</f>
        <v>47273973.08</v>
      </c>
      <c r="K2" s="160">
        <f>K3*1000*'Inflation GDP Population'!K$18/'Inflation GDP Population'!$S$18</f>
        <v>47634359.86</v>
      </c>
      <c r="L2" s="160">
        <f>L3*1000*'Inflation GDP Population'!L$18/'Inflation GDP Population'!$S$18</f>
        <v>48189420.58</v>
      </c>
      <c r="M2" s="160">
        <f>M3*1000*'Inflation GDP Population'!M$18/'Inflation GDP Population'!$S$18</f>
        <v>49196056.43</v>
      </c>
      <c r="N2" s="160">
        <f>N3*1000*'Inflation GDP Population'!N$18/'Inflation GDP Population'!$S$18</f>
        <v>50139558.54</v>
      </c>
      <c r="O2" s="160">
        <f>O3*1000*'Inflation GDP Population'!O$18/'Inflation GDP Population'!$S$18</f>
        <v>51019472.15</v>
      </c>
      <c r="P2" s="160">
        <f>P3*1000*'Inflation GDP Population'!P$18/'Inflation GDP Population'!$S$18</f>
        <v>51963517.26</v>
      </c>
      <c r="Q2" s="160">
        <f>Q3*1000*'Inflation GDP Population'!Q$18/'Inflation GDP Population'!$S$18</f>
        <v>52504634.96</v>
      </c>
      <c r="R2" s="160">
        <f>R3*1000*'Inflation GDP Population'!R$18/'Inflation GDP Population'!$S$18</f>
        <v>53048203.91</v>
      </c>
      <c r="S2" s="160">
        <f>S3*1000*'Inflation GDP Population'!S$18/'Inflation GDP Population'!$S$18</f>
        <v>54047430.44</v>
      </c>
      <c r="T2" s="160">
        <f>T3*1000*'Inflation GDP Population'!T$18/'Inflation GDP Population'!$S$18</f>
        <v>55363999.15</v>
      </c>
      <c r="U2" s="160">
        <f>U3*1000*'Inflation GDP Population'!U$18/'Inflation GDP Population'!$S$18</f>
        <v>56444094.01</v>
      </c>
      <c r="V2" s="161">
        <f>V3*1000*'Inflation GDP Population'!V$18/'Inflation GDP Population'!$S$18</f>
        <v>57545260.41</v>
      </c>
      <c r="W2" s="160">
        <f>W3*1000*'Inflation GDP Population'!W$18/'Inflation GDP Population'!$S$18</f>
        <v>58667909.44</v>
      </c>
      <c r="X2" s="160">
        <f>X3*1000*'Inflation GDP Population'!X$18/'Inflation GDP Population'!$S$18</f>
        <v>59812460.21</v>
      </c>
      <c r="Y2" s="160">
        <f>Y3*1000*'Inflation GDP Population'!Y$18/'Inflation GDP Population'!$S$18</f>
        <v>60979339.98</v>
      </c>
      <c r="Z2" s="160">
        <f>Z3*1000*'Inflation GDP Population'!Z$18/'Inflation GDP Population'!$S$18</f>
        <v>62168984.38</v>
      </c>
      <c r="AA2" s="160">
        <f>AA3*1000*'Inflation GDP Population'!AA$18/'Inflation GDP Population'!$S$18</f>
        <v>63381837.53</v>
      </c>
      <c r="AB2" s="160">
        <f>AB3*1000*'Inflation GDP Population'!AB$18/'Inflation GDP Population'!$S$18</f>
        <v>64618352.2</v>
      </c>
      <c r="AC2" s="160">
        <f>AC3*1000*'Inflation GDP Population'!AC$18/'Inflation GDP Population'!$S$18</f>
        <v>65878990</v>
      </c>
      <c r="AD2" s="160">
        <f>AD3*1000*'Inflation GDP Population'!AD$18/'Inflation GDP Population'!$S$18</f>
        <v>67164221.55</v>
      </c>
      <c r="AE2" s="160">
        <f>AE3*1000*'Inflation GDP Population'!AE$18/'Inflation GDP Population'!$S$18</f>
        <v>68474526.65</v>
      </c>
      <c r="AF2" s="160">
        <f>AF3*1000*'Inflation GDP Population'!AF$18/'Inflation GDP Population'!$S$18</f>
        <v>69810394.46</v>
      </c>
      <c r="AG2" s="160">
        <f>AG3*1000*'Inflation GDP Population'!AG$18/'Inflation GDP Population'!$S$18</f>
        <v>71172323.68</v>
      </c>
      <c r="AH2" s="160">
        <f>AH3*1000*'Inflation GDP Population'!AH$18/'Inflation GDP Population'!$S$18</f>
        <v>72560822.74</v>
      </c>
      <c r="AI2" s="160">
        <f>AI3*1000*'Inflation GDP Population'!AI$18/'Inflation GDP Population'!$S$18</f>
        <v>73976410</v>
      </c>
      <c r="AJ2" s="160">
        <f>AJ3*1000*'Inflation GDP Population'!AJ$18/'Inflation GDP Population'!$S$18</f>
        <v>75419613.91</v>
      </c>
      <c r="AK2" s="160">
        <f>AK3*1000*'Inflation GDP Population'!AK$18/'Inflation GDP Population'!$S$18</f>
        <v>76890973.25</v>
      </c>
      <c r="AL2" s="160">
        <f>AL3*1000*'Inflation GDP Population'!AL$18/'Inflation GDP Population'!$S$18</f>
        <v>78391037.31</v>
      </c>
      <c r="AM2" s="160">
        <f>AM3*1000*'Inflation GDP Population'!AM$18/'Inflation GDP Population'!$S$18</f>
        <v>79920366.07</v>
      </c>
      <c r="AN2" s="160">
        <f>AN3*1000*'Inflation GDP Population'!AN$18/'Inflation GDP Population'!$S$18</f>
        <v>81479530.48</v>
      </c>
      <c r="AO2" s="160">
        <f>AO3*1000*'Inflation GDP Population'!AO$18/'Inflation GDP Population'!$S$18</f>
        <v>83069112.58</v>
      </c>
      <c r="AP2" s="160">
        <f>AP3*1000*'Inflation GDP Population'!AP$18/'Inflation GDP Population'!$S$18</f>
        <v>84689705.8</v>
      </c>
      <c r="AQ2" s="160">
        <f>AQ3*1000*'Inflation GDP Population'!AQ$18/'Inflation GDP Population'!$S$18</f>
        <v>86341915.13</v>
      </c>
      <c r="AR2" s="160">
        <f>AR3*1000*'Inflation GDP Population'!AR$18/'Inflation GDP Population'!$S$18</f>
        <v>88026357.37</v>
      </c>
      <c r="AS2" s="160">
        <f>AS3*1000*'Inflation GDP Population'!AS$18/'Inflation GDP Population'!$S$18</f>
        <v>89743661.35</v>
      </c>
      <c r="AT2" s="160">
        <f>AT3*1000*'Inflation GDP Population'!AT$18/'Inflation GDP Population'!$S$18</f>
        <v>91494468.17</v>
      </c>
      <c r="AU2" s="160">
        <f>AU3*1000*'Inflation GDP Population'!AU$18/'Inflation GDP Population'!$S$18</f>
        <v>93279431.43</v>
      </c>
      <c r="AV2" s="160">
        <f>AV3*1000*'Inflation GDP Population'!AV$18/'Inflation GDP Population'!$S$18</f>
        <v>95099217.51</v>
      </c>
      <c r="AW2" s="160">
        <f>AW3*1000*'Inflation GDP Population'!AW$18/'Inflation GDP Population'!$S$18</f>
        <v>96954505.74</v>
      </c>
      <c r="AX2" s="160">
        <f>AX3*1000*'Inflation GDP Population'!AX$18/'Inflation GDP Population'!$S$18</f>
        <v>98845988.74</v>
      </c>
      <c r="AY2" s="160">
        <f>AY3*1000*'Inflation GDP Population'!AY$18/'Inflation GDP Population'!$S$18</f>
        <v>100774372.6</v>
      </c>
      <c r="AZ2" s="160">
        <f>AZ3*1000*'Inflation GDP Population'!AZ$18/'Inflation GDP Population'!$S$18</f>
        <v>102740377.3</v>
      </c>
    </row>
    <row r="3" ht="15.0" customHeight="1">
      <c r="A3" s="541" t="s">
        <v>1125</v>
      </c>
      <c r="B3" s="792">
        <f t="shared" ref="B3:U3" si="1">C3</f>
        <v>54047.43044</v>
      </c>
      <c r="C3" s="792">
        <f t="shared" si="1"/>
        <v>54047.43044</v>
      </c>
      <c r="D3" s="792">
        <f t="shared" si="1"/>
        <v>54047.43044</v>
      </c>
      <c r="E3" s="792">
        <f t="shared" si="1"/>
        <v>54047.43044</v>
      </c>
      <c r="F3" s="792">
        <f t="shared" si="1"/>
        <v>54047.43044</v>
      </c>
      <c r="G3" s="792">
        <f t="shared" si="1"/>
        <v>54047.43044</v>
      </c>
      <c r="H3" s="792">
        <f t="shared" si="1"/>
        <v>54047.43044</v>
      </c>
      <c r="I3" s="792">
        <f t="shared" si="1"/>
        <v>54047.43044</v>
      </c>
      <c r="J3" s="792">
        <f t="shared" si="1"/>
        <v>54047.43044</v>
      </c>
      <c r="K3" s="792">
        <f t="shared" si="1"/>
        <v>54047.43044</v>
      </c>
      <c r="L3" s="792">
        <f t="shared" si="1"/>
        <v>54047.43044</v>
      </c>
      <c r="M3" s="792">
        <f t="shared" si="1"/>
        <v>54047.43044</v>
      </c>
      <c r="N3" s="792">
        <f t="shared" si="1"/>
        <v>54047.43044</v>
      </c>
      <c r="O3" s="792">
        <f t="shared" si="1"/>
        <v>54047.43044</v>
      </c>
      <c r="P3" s="792">
        <f t="shared" si="1"/>
        <v>54047.43044</v>
      </c>
      <c r="Q3" s="792">
        <f t="shared" si="1"/>
        <v>54047.43044</v>
      </c>
      <c r="R3" s="792">
        <f t="shared" si="1"/>
        <v>54047.43044</v>
      </c>
      <c r="S3" s="792">
        <f t="shared" si="1"/>
        <v>54047.43044</v>
      </c>
      <c r="T3" s="792">
        <f t="shared" si="1"/>
        <v>54047.43044</v>
      </c>
      <c r="U3" s="792">
        <f t="shared" si="1"/>
        <v>54047.43044</v>
      </c>
      <c r="V3" s="842">
        <f>Inputs!$H$25</f>
        <v>54047.43044</v>
      </c>
      <c r="W3" s="827">
        <f t="shared" ref="W3:AY3" si="2">V$3+($AZ$3-$V$3)/($AZ$1-$V$1)</f>
        <v>54047.43044</v>
      </c>
      <c r="X3" s="827">
        <f t="shared" si="2"/>
        <v>54047.43044</v>
      </c>
      <c r="Y3" s="827">
        <f t="shared" si="2"/>
        <v>54047.43044</v>
      </c>
      <c r="Z3" s="827">
        <f t="shared" si="2"/>
        <v>54047.43044</v>
      </c>
      <c r="AA3" s="827">
        <f t="shared" si="2"/>
        <v>54047.43044</v>
      </c>
      <c r="AB3" s="827">
        <f t="shared" si="2"/>
        <v>54047.43044</v>
      </c>
      <c r="AC3" s="827">
        <f t="shared" si="2"/>
        <v>54047.43044</v>
      </c>
      <c r="AD3" s="827">
        <f t="shared" si="2"/>
        <v>54047.43044</v>
      </c>
      <c r="AE3" s="827">
        <f t="shared" si="2"/>
        <v>54047.43044</v>
      </c>
      <c r="AF3" s="827">
        <f t="shared" si="2"/>
        <v>54047.43044</v>
      </c>
      <c r="AG3" s="827">
        <f t="shared" si="2"/>
        <v>54047.43044</v>
      </c>
      <c r="AH3" s="827">
        <f t="shared" si="2"/>
        <v>54047.43044</v>
      </c>
      <c r="AI3" s="827">
        <f t="shared" si="2"/>
        <v>54047.43044</v>
      </c>
      <c r="AJ3" s="827">
        <f t="shared" si="2"/>
        <v>54047.43044</v>
      </c>
      <c r="AK3" s="827">
        <f t="shared" si="2"/>
        <v>54047.43044</v>
      </c>
      <c r="AL3" s="827">
        <f t="shared" si="2"/>
        <v>54047.43044</v>
      </c>
      <c r="AM3" s="827">
        <f t="shared" si="2"/>
        <v>54047.43044</v>
      </c>
      <c r="AN3" s="827">
        <f t="shared" si="2"/>
        <v>54047.43044</v>
      </c>
      <c r="AO3" s="827">
        <f t="shared" si="2"/>
        <v>54047.43044</v>
      </c>
      <c r="AP3" s="827">
        <f t="shared" si="2"/>
        <v>54047.43044</v>
      </c>
      <c r="AQ3" s="827">
        <f t="shared" si="2"/>
        <v>54047.43044</v>
      </c>
      <c r="AR3" s="827">
        <f t="shared" si="2"/>
        <v>54047.43044</v>
      </c>
      <c r="AS3" s="827">
        <f t="shared" si="2"/>
        <v>54047.43044</v>
      </c>
      <c r="AT3" s="827">
        <f t="shared" si="2"/>
        <v>54047.43044</v>
      </c>
      <c r="AU3" s="827">
        <f t="shared" si="2"/>
        <v>54047.43044</v>
      </c>
      <c r="AV3" s="827">
        <f t="shared" si="2"/>
        <v>54047.43044</v>
      </c>
      <c r="AW3" s="827">
        <f t="shared" si="2"/>
        <v>54047.43044</v>
      </c>
      <c r="AX3" s="827">
        <f t="shared" si="2"/>
        <v>54047.43044</v>
      </c>
      <c r="AY3" s="827">
        <f t="shared" si="2"/>
        <v>54047.43044</v>
      </c>
      <c r="AZ3" s="843">
        <f>Inputs!$H$23</f>
        <v>54047.43044</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250.0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f>if(Model!W1574&gt;0,(Model!W1575*10^6)/(Model!W1574*8760),0)</f>
        <v>0</v>
      </c>
      <c r="W15" s="844">
        <f>if(Model!X1574&gt;0,(Model!X1575*10^6)/(Model!X1574*8760),0)</f>
        <v>0</v>
      </c>
      <c r="X15" s="844">
        <f>if(Model!Y1574&gt;0,(Model!Y1575*10^6)/(Model!Y1574*8760),0)</f>
        <v>0</v>
      </c>
      <c r="Y15" s="844">
        <f>if(Model!Z1574&gt;0,(Model!Z1575*10^6)/(Model!Z1574*8760),0)</f>
        <v>0</v>
      </c>
      <c r="Z15" s="844">
        <f>if(Model!AA1574&gt;0,(Model!AA1575*10^6)/(Model!AA1574*8760),0)</f>
        <v>0</v>
      </c>
      <c r="AA15" s="844">
        <f>if(Model!AB1574&gt;0,(Model!AB1575*10^6)/(Model!AB1574*8760),0)</f>
        <v>0</v>
      </c>
      <c r="AB15" s="844">
        <f>if(Model!AC1574&gt;0,(Model!AC1575*10^6)/(Model!AC1574*8760),0)</f>
        <v>0</v>
      </c>
      <c r="AC15" s="844">
        <f>if(Model!AD1574&gt;0,(Model!AD1575*10^6)/(Model!AD1574*8760),0)</f>
        <v>0</v>
      </c>
      <c r="AD15" s="844">
        <f>if(Model!AE1574&gt;0,(Model!AE1575*10^6)/(Model!AE1574*8760),0)</f>
        <v>0</v>
      </c>
      <c r="AE15" s="844">
        <f>if(Model!AF1574&gt;0,(Model!AF1575*10^6)/(Model!AF1574*8760),0)</f>
        <v>0</v>
      </c>
      <c r="AF15" s="844">
        <f>if(Model!AG1574&gt;0,(Model!AG1575*10^6)/(Model!AG1574*8760),0)</f>
        <v>0</v>
      </c>
      <c r="AG15" s="844">
        <f>if(Model!AH1574&gt;0,(Model!AH1575*10^6)/(Model!AH1574*8760),0)</f>
        <v>0</v>
      </c>
      <c r="AH15" s="844">
        <f>if(Model!AI1574&gt;0,(Model!AI1575*10^6)/(Model!AI1574*8760),0)</f>
        <v>0</v>
      </c>
      <c r="AI15" s="844">
        <f>if(Model!AJ1574&gt;0,(Model!AJ1575*10^6)/(Model!AJ1574*8760),0)</f>
        <v>0</v>
      </c>
      <c r="AJ15" s="844">
        <f>if(Model!AK1574&gt;0,(Model!AK1575*10^6)/(Model!AK1574*8760),0)</f>
        <v>0</v>
      </c>
      <c r="AK15" s="844">
        <f>if(Model!AL1574&gt;0,(Model!AL1575*10^6)/(Model!AL1574*8760),0)</f>
        <v>0</v>
      </c>
      <c r="AL15" s="844">
        <f>if(Model!AM1574&gt;0,(Model!AM1575*10^6)/(Model!AM1574*8760),0)</f>
        <v>0</v>
      </c>
      <c r="AM15" s="844">
        <f>if(Model!AN1574&gt;0,(Model!AN1575*10^6)/(Model!AN1574*8760),0)</f>
        <v>0</v>
      </c>
      <c r="AN15" s="844">
        <f>if(Model!AO1574&gt;0,(Model!AO1575*10^6)/(Model!AO1574*8760),0)</f>
        <v>0</v>
      </c>
      <c r="AO15" s="844">
        <f>if(Model!AP1574&gt;0,(Model!AP1575*10^6)/(Model!AP1574*8760),0)</f>
        <v>0</v>
      </c>
      <c r="AP15" s="844">
        <f>if(Model!AQ1574&gt;0,(Model!AQ1575*10^6)/(Model!AQ1574*8760),0)</f>
        <v>0</v>
      </c>
      <c r="AQ15" s="844">
        <f>if(Model!AR1574&gt;0,(Model!AR1575*10^6)/(Model!AR1574*8760),0)</f>
        <v>0</v>
      </c>
      <c r="AR15" s="844">
        <f>if(Model!AS1574&gt;0,(Model!AS1575*10^6)/(Model!AS1574*8760),0)</f>
        <v>0</v>
      </c>
      <c r="AS15" s="844">
        <f>if(Model!AT1574&gt;0,(Model!AT1575*10^6)/(Model!AT1574*8760),0)</f>
        <v>0</v>
      </c>
      <c r="AT15" s="844">
        <f>if(Model!AU1574&gt;0,(Model!AU1575*10^6)/(Model!AU1574*8760),0)</f>
        <v>0</v>
      </c>
      <c r="AU15" s="844">
        <f>if(Model!AV1574&gt;0,(Model!AV1575*10^6)/(Model!AV1574*8760),0)</f>
        <v>0</v>
      </c>
      <c r="AV15" s="844">
        <f>if(Model!AW1574&gt;0,(Model!AW1575*10^6)/(Model!AW1574*8760),0)</f>
        <v>0</v>
      </c>
      <c r="AW15" s="844">
        <f>if(Model!AX1574&gt;0,(Model!AX1575*10^6)/(Model!AX1574*8760),0)</f>
        <v>0</v>
      </c>
      <c r="AX15" s="844">
        <f>if(Model!AY1574&gt;0,(Model!AY1575*10^6)/(Model!AY1574*8760),0)</f>
        <v>0</v>
      </c>
      <c r="AY15" s="844">
        <f>if(Model!AZ1574&gt;0,(Model!AZ1575*10^6)/(Model!AZ1574*8760),0)</f>
        <v>0</v>
      </c>
      <c r="AZ15" s="844">
        <f>if(Model!BA1574&gt;0,(Model!BA1575*10^6)/(Model!BA1574*8760),0)</f>
        <v>0</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0.89</v>
      </c>
      <c r="W16" s="208">
        <f t="shared" ref="W16:AZ16" si="5">V16</f>
        <v>0.89</v>
      </c>
      <c r="X16" s="208">
        <f t="shared" si="5"/>
        <v>0.89</v>
      </c>
      <c r="Y16" s="208">
        <f t="shared" si="5"/>
        <v>0.89</v>
      </c>
      <c r="Z16" s="208">
        <f t="shared" si="5"/>
        <v>0.89</v>
      </c>
      <c r="AA16" s="208">
        <f t="shared" si="5"/>
        <v>0.89</v>
      </c>
      <c r="AB16" s="208">
        <f t="shared" si="5"/>
        <v>0.89</v>
      </c>
      <c r="AC16" s="208">
        <f t="shared" si="5"/>
        <v>0.89</v>
      </c>
      <c r="AD16" s="208">
        <f t="shared" si="5"/>
        <v>0.89</v>
      </c>
      <c r="AE16" s="208">
        <f t="shared" si="5"/>
        <v>0.89</v>
      </c>
      <c r="AF16" s="208">
        <f t="shared" si="5"/>
        <v>0.89</v>
      </c>
      <c r="AG16" s="208">
        <f t="shared" si="5"/>
        <v>0.89</v>
      </c>
      <c r="AH16" s="208">
        <f t="shared" si="5"/>
        <v>0.89</v>
      </c>
      <c r="AI16" s="208">
        <f t="shared" si="5"/>
        <v>0.89</v>
      </c>
      <c r="AJ16" s="208">
        <f t="shared" si="5"/>
        <v>0.89</v>
      </c>
      <c r="AK16" s="208">
        <f t="shared" si="5"/>
        <v>0.89</v>
      </c>
      <c r="AL16" s="208">
        <f t="shared" si="5"/>
        <v>0.89</v>
      </c>
      <c r="AM16" s="208">
        <f t="shared" si="5"/>
        <v>0.89</v>
      </c>
      <c r="AN16" s="208">
        <f t="shared" si="5"/>
        <v>0.89</v>
      </c>
      <c r="AO16" s="208">
        <f t="shared" si="5"/>
        <v>0.89</v>
      </c>
      <c r="AP16" s="208">
        <f t="shared" si="5"/>
        <v>0.89</v>
      </c>
      <c r="AQ16" s="208">
        <f t="shared" si="5"/>
        <v>0.89</v>
      </c>
      <c r="AR16" s="208">
        <f t="shared" si="5"/>
        <v>0.89</v>
      </c>
      <c r="AS16" s="208">
        <f t="shared" si="5"/>
        <v>0.89</v>
      </c>
      <c r="AT16" s="208">
        <f t="shared" si="5"/>
        <v>0.89</v>
      </c>
      <c r="AU16" s="208">
        <f t="shared" si="5"/>
        <v>0.89</v>
      </c>
      <c r="AV16" s="208">
        <f t="shared" si="5"/>
        <v>0.89</v>
      </c>
      <c r="AW16" s="208">
        <f t="shared" si="5"/>
        <v>0.89</v>
      </c>
      <c r="AX16" s="208">
        <f t="shared" si="5"/>
        <v>0.89</v>
      </c>
      <c r="AY16" s="208">
        <f t="shared" si="5"/>
        <v>0.89</v>
      </c>
      <c r="AZ16" s="208">
        <f t="shared" si="5"/>
        <v>0.89</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160">
        <f>B$19*1000*'Inflation GDP Population'!B$18/'Inflation GDP Population'!$S$18</f>
        <v>563146.2468</v>
      </c>
      <c r="C18" s="160">
        <f>C$19*1000*'Inflation GDP Population'!C$18/'Inflation GDP Population'!$S$18</f>
        <v>575498.3858</v>
      </c>
      <c r="D18" s="160">
        <f>D$19*1000*'Inflation GDP Population'!D$18/'Inflation GDP Population'!$S$18</f>
        <v>584601.3168</v>
      </c>
      <c r="E18" s="160">
        <f>E$19*1000*'Inflation GDP Population'!E$18/'Inflation GDP Population'!$S$18</f>
        <v>595458.0875</v>
      </c>
      <c r="F18" s="160">
        <f>F$19*1000*'Inflation GDP Population'!F$18/'Inflation GDP Population'!$S$18</f>
        <v>611489.0118</v>
      </c>
      <c r="G18" s="160">
        <f>G$19*1000*'Inflation GDP Population'!G$18/'Inflation GDP Population'!$S$18</f>
        <v>630536.3417</v>
      </c>
      <c r="H18" s="160">
        <f>H$19*1000*'Inflation GDP Population'!H$18/'Inflation GDP Population'!$S$18</f>
        <v>649617.7092</v>
      </c>
      <c r="I18" s="160">
        <f>I$19*1000*'Inflation GDP Population'!I$18/'Inflation GDP Population'!$S$18</f>
        <v>667068.4313</v>
      </c>
      <c r="J18" s="160">
        <f>J$19*1000*'Inflation GDP Population'!J$18/'Inflation GDP Population'!$S$18</f>
        <v>680043.7699</v>
      </c>
      <c r="K18" s="160">
        <f>K$19*1000*'Inflation GDP Population'!K$18/'Inflation GDP Population'!$S$18</f>
        <v>685227.9922</v>
      </c>
      <c r="L18" s="160">
        <f>L$19*1000*'Inflation GDP Population'!L$18/'Inflation GDP Population'!$S$18</f>
        <v>693212.6307</v>
      </c>
      <c r="M18" s="160">
        <f>M$19*1000*'Inflation GDP Population'!M$18/'Inflation GDP Population'!$S$18</f>
        <v>707693.2506</v>
      </c>
      <c r="N18" s="160">
        <f>N$19*1000*'Inflation GDP Population'!N$18/'Inflation GDP Population'!$S$18</f>
        <v>721265.6815</v>
      </c>
      <c r="O18" s="160">
        <f>O$19*1000*'Inflation GDP Population'!O$18/'Inflation GDP Population'!$S$18</f>
        <v>733923.3815</v>
      </c>
      <c r="P18" s="160">
        <f>P$19*1000*'Inflation GDP Population'!P$18/'Inflation GDP Population'!$S$18</f>
        <v>747503.6235</v>
      </c>
      <c r="Q18" s="160">
        <f>Q$19*1000*'Inflation GDP Population'!Q$18/'Inflation GDP Population'!$S$18</f>
        <v>755287.6894</v>
      </c>
      <c r="R18" s="160">
        <f>R$19*1000*'Inflation GDP Population'!R$18/'Inflation GDP Population'!$S$18</f>
        <v>763107.0169</v>
      </c>
      <c r="S18" s="160">
        <f>S$19*1000*'Inflation GDP Population'!S$18/'Inflation GDP Population'!$S$18</f>
        <v>777481.0526</v>
      </c>
      <c r="T18" s="160">
        <f>T$19*1000*'Inflation GDP Population'!T$18/'Inflation GDP Population'!$S$18</f>
        <v>796420.107</v>
      </c>
      <c r="U18" s="160">
        <f>U$19*1000*'Inflation GDP Population'!U$18/'Inflation GDP Population'!$S$18</f>
        <v>811957.4468</v>
      </c>
      <c r="V18" s="161">
        <f>V$19*1000*'Inflation GDP Population'!V$18/'Inflation GDP Population'!$S$18</f>
        <v>827797.9041</v>
      </c>
      <c r="W18" s="160">
        <f>W$19*1000*'Inflation GDP Population'!W$18/'Inflation GDP Population'!$S$18</f>
        <v>843947.3925</v>
      </c>
      <c r="X18" s="160">
        <f>X$19*1000*'Inflation GDP Population'!X$18/'Inflation GDP Population'!$S$18</f>
        <v>860411.9408</v>
      </c>
      <c r="Y18" s="160">
        <f>Y$19*1000*'Inflation GDP Population'!Y$18/'Inflation GDP Population'!$S$18</f>
        <v>877197.6956</v>
      </c>
      <c r="Z18" s="160">
        <f>Z$19*1000*'Inflation GDP Population'!Z$18/'Inflation GDP Population'!$S$18</f>
        <v>894310.9233</v>
      </c>
      <c r="AA18" s="160">
        <f>AA$19*1000*'Inflation GDP Population'!AA$18/'Inflation GDP Population'!$S$18</f>
        <v>911758.0125</v>
      </c>
      <c r="AB18" s="160">
        <f>AB$19*1000*'Inflation GDP Population'!AB$18/'Inflation GDP Population'!$S$18</f>
        <v>929545.4765</v>
      </c>
      <c r="AC18" s="160">
        <f>AC$19*1000*'Inflation GDP Population'!AC$18/'Inflation GDP Population'!$S$18</f>
        <v>947679.9557</v>
      </c>
      <c r="AD18" s="160">
        <f>AD$19*1000*'Inflation GDP Population'!AD$18/'Inflation GDP Population'!$S$18</f>
        <v>966168.22</v>
      </c>
      <c r="AE18" s="160">
        <f>AE$19*1000*'Inflation GDP Population'!AE$18/'Inflation GDP Population'!$S$18</f>
        <v>985017.1714</v>
      </c>
      <c r="AF18" s="160">
        <f>AF$19*1000*'Inflation GDP Population'!AF$18/'Inflation GDP Population'!$S$18</f>
        <v>1004233.847</v>
      </c>
      <c r="AG18" s="160">
        <f>AG$19*1000*'Inflation GDP Population'!AG$18/'Inflation GDP Population'!$S$18</f>
        <v>1023825.419</v>
      </c>
      <c r="AH18" s="160">
        <f>AH$19*1000*'Inflation GDP Population'!AH$18/'Inflation GDP Population'!$S$18</f>
        <v>1043799.203</v>
      </c>
      <c r="AI18" s="160">
        <f>AI$19*1000*'Inflation GDP Population'!AI$18/'Inflation GDP Population'!$S$18</f>
        <v>1064162.656</v>
      </c>
      <c r="AJ18" s="160">
        <f>AJ$19*1000*'Inflation GDP Population'!AJ$18/'Inflation GDP Population'!$S$18</f>
        <v>1084923.378</v>
      </c>
      <c r="AK18" s="160">
        <f>AK$19*1000*'Inflation GDP Population'!AK$18/'Inflation GDP Population'!$S$18</f>
        <v>1106089.121</v>
      </c>
      <c r="AL18" s="160">
        <f>AL$19*1000*'Inflation GDP Population'!AL$18/'Inflation GDP Population'!$S$18</f>
        <v>1127667.786</v>
      </c>
      <c r="AM18" s="160">
        <f>AM$19*1000*'Inflation GDP Population'!AM$18/'Inflation GDP Population'!$S$18</f>
        <v>1149667.428</v>
      </c>
      <c r="AN18" s="160">
        <f>AN$19*1000*'Inflation GDP Population'!AN$18/'Inflation GDP Population'!$S$18</f>
        <v>1172096.261</v>
      </c>
      <c r="AO18" s="160">
        <f>AO$19*1000*'Inflation GDP Population'!AO$18/'Inflation GDP Population'!$S$18</f>
        <v>1194962.657</v>
      </c>
      <c r="AP18" s="160">
        <f>AP$19*1000*'Inflation GDP Population'!AP$18/'Inflation GDP Population'!$S$18</f>
        <v>1218275.153</v>
      </c>
      <c r="AQ18" s="160">
        <f>AQ$19*1000*'Inflation GDP Population'!AQ$18/'Inflation GDP Population'!$S$18</f>
        <v>1242042.453</v>
      </c>
      <c r="AR18" s="160">
        <f>AR$19*1000*'Inflation GDP Population'!AR$18/'Inflation GDP Population'!$S$18</f>
        <v>1266273.427</v>
      </c>
      <c r="AS18" s="160">
        <f>AS$19*1000*'Inflation GDP Population'!AS$18/'Inflation GDP Population'!$S$18</f>
        <v>1290977.124</v>
      </c>
      <c r="AT18" s="160">
        <f>AT$19*1000*'Inflation GDP Population'!AT$18/'Inflation GDP Population'!$S$18</f>
        <v>1316162.764</v>
      </c>
      <c r="AU18" s="160">
        <f>AU$19*1000*'Inflation GDP Population'!AU$18/'Inflation GDP Population'!$S$18</f>
        <v>1341839.75</v>
      </c>
      <c r="AV18" s="160">
        <f>AV$19*1000*'Inflation GDP Population'!AV$18/'Inflation GDP Population'!$S$18</f>
        <v>1368017.668</v>
      </c>
      <c r="AW18" s="160">
        <f>AW$19*1000*'Inflation GDP Population'!AW$18/'Inflation GDP Population'!$S$18</f>
        <v>1394706.29</v>
      </c>
      <c r="AX18" s="160">
        <f>AX$19*1000*'Inflation GDP Population'!AX$18/'Inflation GDP Population'!$S$18</f>
        <v>1421915.579</v>
      </c>
      <c r="AY18" s="160">
        <f>AY$19*1000*'Inflation GDP Population'!AY$18/'Inflation GDP Population'!$S$18</f>
        <v>1449655.695</v>
      </c>
      <c r="AZ18" s="160">
        <f>AZ$19*1000*'Inflation GDP Population'!AZ$18/'Inflation GDP Population'!$S$18</f>
        <v>1477936.991</v>
      </c>
    </row>
    <row r="19" ht="15.0" customHeight="1">
      <c r="A19" s="541" t="s">
        <v>1126</v>
      </c>
      <c r="B19" s="177">
        <f t="shared" ref="B19:U19" si="7">C19</f>
        <v>777.4810526</v>
      </c>
      <c r="C19" s="177">
        <f t="shared" si="7"/>
        <v>777.4810526</v>
      </c>
      <c r="D19" s="177">
        <f t="shared" si="7"/>
        <v>777.4810526</v>
      </c>
      <c r="E19" s="177">
        <f t="shared" si="7"/>
        <v>777.4810526</v>
      </c>
      <c r="F19" s="177">
        <f t="shared" si="7"/>
        <v>777.4810526</v>
      </c>
      <c r="G19" s="177">
        <f t="shared" si="7"/>
        <v>777.4810526</v>
      </c>
      <c r="H19" s="177">
        <f t="shared" si="7"/>
        <v>777.4810526</v>
      </c>
      <c r="I19" s="177">
        <f t="shared" si="7"/>
        <v>777.4810526</v>
      </c>
      <c r="J19" s="177">
        <f t="shared" si="7"/>
        <v>777.4810526</v>
      </c>
      <c r="K19" s="177">
        <f t="shared" si="7"/>
        <v>777.4810526</v>
      </c>
      <c r="L19" s="177">
        <f t="shared" si="7"/>
        <v>777.4810526</v>
      </c>
      <c r="M19" s="177">
        <f t="shared" si="7"/>
        <v>777.4810526</v>
      </c>
      <c r="N19" s="177">
        <f t="shared" si="7"/>
        <v>777.4810526</v>
      </c>
      <c r="O19" s="177">
        <f t="shared" si="7"/>
        <v>777.4810526</v>
      </c>
      <c r="P19" s="177">
        <f t="shared" si="7"/>
        <v>777.4810526</v>
      </c>
      <c r="Q19" s="177">
        <f t="shared" si="7"/>
        <v>777.4810526</v>
      </c>
      <c r="R19" s="177">
        <f t="shared" si="7"/>
        <v>777.4810526</v>
      </c>
      <c r="S19" s="177">
        <f t="shared" si="7"/>
        <v>777.4810526</v>
      </c>
      <c r="T19" s="177">
        <f t="shared" si="7"/>
        <v>777.4810526</v>
      </c>
      <c r="U19" s="177">
        <f t="shared" si="7"/>
        <v>777.4810526</v>
      </c>
      <c r="V19" s="845">
        <f>Inputs!$H$26</f>
        <v>777.4810526</v>
      </c>
      <c r="W19" s="177">
        <f t="shared" ref="W19:AY19" si="8">V$19+($AZ$19-$V$19)/($AZ$1-$V$1)</f>
        <v>777.4810526</v>
      </c>
      <c r="X19" s="177">
        <f t="shared" si="8"/>
        <v>777.4810526</v>
      </c>
      <c r="Y19" s="177">
        <f t="shared" si="8"/>
        <v>777.4810526</v>
      </c>
      <c r="Z19" s="177">
        <f t="shared" si="8"/>
        <v>777.4810526</v>
      </c>
      <c r="AA19" s="177">
        <f t="shared" si="8"/>
        <v>777.4810526</v>
      </c>
      <c r="AB19" s="177">
        <f t="shared" si="8"/>
        <v>777.4810526</v>
      </c>
      <c r="AC19" s="177">
        <f t="shared" si="8"/>
        <v>777.4810526</v>
      </c>
      <c r="AD19" s="177">
        <f t="shared" si="8"/>
        <v>777.4810526</v>
      </c>
      <c r="AE19" s="177">
        <f t="shared" si="8"/>
        <v>777.4810526</v>
      </c>
      <c r="AF19" s="177">
        <f t="shared" si="8"/>
        <v>777.4810526</v>
      </c>
      <c r="AG19" s="177">
        <f t="shared" si="8"/>
        <v>777.4810526</v>
      </c>
      <c r="AH19" s="177">
        <f t="shared" si="8"/>
        <v>777.4810526</v>
      </c>
      <c r="AI19" s="177">
        <f t="shared" si="8"/>
        <v>777.4810526</v>
      </c>
      <c r="AJ19" s="177">
        <f t="shared" si="8"/>
        <v>777.4810526</v>
      </c>
      <c r="AK19" s="177">
        <f t="shared" si="8"/>
        <v>777.4810526</v>
      </c>
      <c r="AL19" s="177">
        <f t="shared" si="8"/>
        <v>777.4810526</v>
      </c>
      <c r="AM19" s="177">
        <f t="shared" si="8"/>
        <v>777.4810526</v>
      </c>
      <c r="AN19" s="177">
        <f t="shared" si="8"/>
        <v>777.4810526</v>
      </c>
      <c r="AO19" s="177">
        <f t="shared" si="8"/>
        <v>777.4810526</v>
      </c>
      <c r="AP19" s="177">
        <f t="shared" si="8"/>
        <v>777.4810526</v>
      </c>
      <c r="AQ19" s="177">
        <f t="shared" si="8"/>
        <v>777.4810526</v>
      </c>
      <c r="AR19" s="177">
        <f t="shared" si="8"/>
        <v>777.4810526</v>
      </c>
      <c r="AS19" s="177">
        <f t="shared" si="8"/>
        <v>777.4810526</v>
      </c>
      <c r="AT19" s="177">
        <f t="shared" si="8"/>
        <v>777.4810526</v>
      </c>
      <c r="AU19" s="177">
        <f t="shared" si="8"/>
        <v>777.4810526</v>
      </c>
      <c r="AV19" s="177">
        <f t="shared" si="8"/>
        <v>777.4810526</v>
      </c>
      <c r="AW19" s="177">
        <f t="shared" si="8"/>
        <v>777.4810526</v>
      </c>
      <c r="AX19" s="177">
        <f t="shared" si="8"/>
        <v>777.4810526</v>
      </c>
      <c r="AY19" s="177">
        <f t="shared" si="8"/>
        <v>777.4810526</v>
      </c>
      <c r="AZ19" s="845">
        <f>Inputs!$H$24</f>
        <v>777.4810526</v>
      </c>
    </row>
    <row r="20" ht="15.0" customHeight="1">
      <c r="A20" s="535" t="s">
        <v>1112</v>
      </c>
      <c r="B20" s="177">
        <f t="shared" ref="B20:U20" si="9">C20/(1+B37-B22)</f>
        <v>0</v>
      </c>
      <c r="C20" s="177">
        <f t="shared" si="9"/>
        <v>0</v>
      </c>
      <c r="D20" s="177">
        <f t="shared" si="9"/>
        <v>0</v>
      </c>
      <c r="E20" s="177">
        <f t="shared" si="9"/>
        <v>0</v>
      </c>
      <c r="F20" s="177">
        <f t="shared" si="9"/>
        <v>0</v>
      </c>
      <c r="G20" s="177">
        <f t="shared" si="9"/>
        <v>0</v>
      </c>
      <c r="H20" s="177">
        <f t="shared" si="9"/>
        <v>0</v>
      </c>
      <c r="I20" s="177">
        <f t="shared" si="9"/>
        <v>0</v>
      </c>
      <c r="J20" s="177">
        <f t="shared" si="9"/>
        <v>0</v>
      </c>
      <c r="K20" s="177">
        <f t="shared" si="9"/>
        <v>0</v>
      </c>
      <c r="L20" s="177">
        <f t="shared" si="9"/>
        <v>0</v>
      </c>
      <c r="M20" s="177">
        <f t="shared" si="9"/>
        <v>0</v>
      </c>
      <c r="N20" s="177">
        <f t="shared" si="9"/>
        <v>0</v>
      </c>
      <c r="O20" s="177">
        <f t="shared" si="9"/>
        <v>0</v>
      </c>
      <c r="P20" s="177">
        <f t="shared" si="9"/>
        <v>0</v>
      </c>
      <c r="Q20" s="177">
        <f t="shared" si="9"/>
        <v>0</v>
      </c>
      <c r="R20" s="177">
        <f t="shared" si="9"/>
        <v>0</v>
      </c>
      <c r="S20" s="177">
        <f t="shared" si="9"/>
        <v>0</v>
      </c>
      <c r="T20" s="177">
        <f t="shared" si="9"/>
        <v>0</v>
      </c>
      <c r="U20" s="177">
        <f t="shared" si="9"/>
        <v>0</v>
      </c>
      <c r="V20" s="846">
        <v>0.0</v>
      </c>
      <c r="W20" s="177">
        <f t="shared" ref="W20:AZ20" si="10">V20*(1+V37-V22)</f>
        <v>0</v>
      </c>
      <c r="X20" s="177">
        <f t="shared" si="10"/>
        <v>0</v>
      </c>
      <c r="Y20" s="177">
        <f t="shared" si="10"/>
        <v>0</v>
      </c>
      <c r="Z20" s="177">
        <f t="shared" si="10"/>
        <v>0</v>
      </c>
      <c r="AA20" s="177">
        <f t="shared" si="10"/>
        <v>0</v>
      </c>
      <c r="AB20" s="177">
        <f t="shared" si="10"/>
        <v>0</v>
      </c>
      <c r="AC20" s="177">
        <f t="shared" si="10"/>
        <v>0</v>
      </c>
      <c r="AD20" s="177">
        <f t="shared" si="10"/>
        <v>0</v>
      </c>
      <c r="AE20" s="177">
        <f t="shared" si="10"/>
        <v>0</v>
      </c>
      <c r="AF20" s="177">
        <f t="shared" si="10"/>
        <v>0</v>
      </c>
      <c r="AG20" s="177">
        <f t="shared" si="10"/>
        <v>0</v>
      </c>
      <c r="AH20" s="177">
        <f t="shared" si="10"/>
        <v>0</v>
      </c>
      <c r="AI20" s="177">
        <f t="shared" si="10"/>
        <v>0</v>
      </c>
      <c r="AJ20" s="177">
        <f t="shared" si="10"/>
        <v>0</v>
      </c>
      <c r="AK20" s="177">
        <f t="shared" si="10"/>
        <v>0</v>
      </c>
      <c r="AL20" s="177">
        <f t="shared" si="10"/>
        <v>0</v>
      </c>
      <c r="AM20" s="177">
        <f t="shared" si="10"/>
        <v>0</v>
      </c>
      <c r="AN20" s="177">
        <f t="shared" si="10"/>
        <v>0</v>
      </c>
      <c r="AO20" s="177">
        <f t="shared" si="10"/>
        <v>0</v>
      </c>
      <c r="AP20" s="177">
        <f t="shared" si="10"/>
        <v>0</v>
      </c>
      <c r="AQ20" s="177">
        <f t="shared" si="10"/>
        <v>0</v>
      </c>
      <c r="AR20" s="177">
        <f t="shared" si="10"/>
        <v>0</v>
      </c>
      <c r="AS20" s="177">
        <f t="shared" si="10"/>
        <v>0</v>
      </c>
      <c r="AT20" s="177">
        <f t="shared" si="10"/>
        <v>0</v>
      </c>
      <c r="AU20" s="177">
        <f t="shared" si="10"/>
        <v>0</v>
      </c>
      <c r="AV20" s="177">
        <f t="shared" si="10"/>
        <v>0</v>
      </c>
      <c r="AW20" s="177">
        <f t="shared" si="10"/>
        <v>0</v>
      </c>
      <c r="AX20" s="177">
        <f t="shared" si="10"/>
        <v>0</v>
      </c>
      <c r="AY20" s="177">
        <f t="shared" si="10"/>
        <v>0</v>
      </c>
      <c r="AZ20" s="177">
        <f t="shared" si="10"/>
        <v>0</v>
      </c>
    </row>
    <row r="21" ht="15.0" customHeight="1">
      <c r="A21" s="535" t="s">
        <v>1115</v>
      </c>
      <c r="B21" s="177">
        <f t="shared" ref="B21:U21" si="11">C21/(1+B37-B22)</f>
        <v>0</v>
      </c>
      <c r="C21" s="177">
        <f t="shared" si="11"/>
        <v>0</v>
      </c>
      <c r="D21" s="177">
        <f t="shared" si="11"/>
        <v>0</v>
      </c>
      <c r="E21" s="177">
        <f t="shared" si="11"/>
        <v>0</v>
      </c>
      <c r="F21" s="177">
        <f t="shared" si="11"/>
        <v>0</v>
      </c>
      <c r="G21" s="177">
        <f t="shared" si="11"/>
        <v>0</v>
      </c>
      <c r="H21" s="177">
        <f t="shared" si="11"/>
        <v>0</v>
      </c>
      <c r="I21" s="177">
        <f t="shared" si="11"/>
        <v>0</v>
      </c>
      <c r="J21" s="177">
        <f t="shared" si="11"/>
        <v>0</v>
      </c>
      <c r="K21" s="177">
        <f t="shared" si="11"/>
        <v>0</v>
      </c>
      <c r="L21" s="177">
        <f t="shared" si="11"/>
        <v>0</v>
      </c>
      <c r="M21" s="177">
        <f t="shared" si="11"/>
        <v>0</v>
      </c>
      <c r="N21" s="177">
        <f t="shared" si="11"/>
        <v>0</v>
      </c>
      <c r="O21" s="177">
        <f t="shared" si="11"/>
        <v>0</v>
      </c>
      <c r="P21" s="177">
        <f t="shared" si="11"/>
        <v>0</v>
      </c>
      <c r="Q21" s="177">
        <f t="shared" si="11"/>
        <v>0</v>
      </c>
      <c r="R21" s="177">
        <f t="shared" si="11"/>
        <v>0</v>
      </c>
      <c r="S21" s="177">
        <f t="shared" si="11"/>
        <v>0</v>
      </c>
      <c r="T21" s="177">
        <f t="shared" si="11"/>
        <v>0</v>
      </c>
      <c r="U21" s="177">
        <f t="shared" si="11"/>
        <v>0</v>
      </c>
      <c r="V21" s="715">
        <f>if(Model!W1574&gt;0,V18*Model!W1574/(V15*Model!W1574*8760)+V20,V20)</f>
        <v>0</v>
      </c>
      <c r="W21" s="847">
        <f>if(Model!X1574&gt;0,W18*Model!X1574/(Model!X1575*10^6)+W20,W20)</f>
        <v>0</v>
      </c>
      <c r="X21" s="847">
        <f>if(Model!Y1574&gt;0,X18*Model!Y1574/(Model!Y1575*10^6)+X20,X20)</f>
        <v>0</v>
      </c>
      <c r="Y21" s="847">
        <f>if(Model!Z1574&gt;0,Y18*Model!Z1574/(Model!Z1575*10^6)+Y20,Y20)</f>
        <v>0</v>
      </c>
      <c r="Z21" s="847">
        <f>if(Model!AA1574&gt;0,Z18*Model!AA1574/(Model!AA1575*10^6)+Z20,Z20)</f>
        <v>0</v>
      </c>
      <c r="AA21" s="847">
        <f>if(Model!AB1574&gt;0,AA18*Model!AB1574/(Model!AB1575*10^6)+AA20,AA20)</f>
        <v>0</v>
      </c>
      <c r="AB21" s="847">
        <f>if(Model!AC1574&gt;0,AB18*Model!AC1574/(Model!AC1575*10^6)+AB20,AB20)</f>
        <v>0</v>
      </c>
      <c r="AC21" s="847">
        <f>if(Model!AD1574&gt;0,AC18*Model!AD1574/(Model!AD1575*10^6)+AC20,AC20)</f>
        <v>0</v>
      </c>
      <c r="AD21" s="847">
        <f>if(Model!AE1574&gt;0,AD18*Model!AE1574/(Model!AE1575*10^6)+AD20,AD20)</f>
        <v>0</v>
      </c>
      <c r="AE21" s="847">
        <f>if(Model!AF1574&gt;0,AE18*Model!AF1574/(Model!AF1575*10^6)+AE20,AE20)</f>
        <v>0</v>
      </c>
      <c r="AF21" s="847">
        <f>if(Model!AG1574&gt;0,AF18*Model!AG1574/(Model!AG1575*10^6)+AF20,AF20)</f>
        <v>0</v>
      </c>
      <c r="AG21" s="847">
        <f>if(Model!AH1574&gt;0,AG18*Model!AH1574/(Model!AH1575*10^6)+AG20,AG20)</f>
        <v>0</v>
      </c>
      <c r="AH21" s="847">
        <f>if(Model!AI1574&gt;0,AH18*Model!AI1574/(Model!AI1575*10^6)+AH20,AH20)</f>
        <v>0</v>
      </c>
      <c r="AI21" s="847">
        <f>if(Model!AJ1574&gt;0,AI18*Model!AJ1574/(Model!AJ1575*10^6)+AI20,AI20)</f>
        <v>0</v>
      </c>
      <c r="AJ21" s="847">
        <f>if(Model!AK1574&gt;0,AJ18*Model!AK1574/(Model!AK1575*10^6)+AJ20,AJ20)</f>
        <v>0</v>
      </c>
      <c r="AK21" s="847">
        <f>if(Model!AL1574&gt;0,AK18*Model!AL1574/(Model!AL1575*10^6)+AK20,AK20)</f>
        <v>0</v>
      </c>
      <c r="AL21" s="847">
        <f>if(Model!AM1574&gt;0,AL18*Model!AM1574/(Model!AM1575*10^6)+AL20,AL20)</f>
        <v>0</v>
      </c>
      <c r="AM21" s="847">
        <f>if(Model!AN1574&gt;0,AM18*Model!AN1574/(Model!AN1575*10^6)+AM20,AM20)</f>
        <v>0</v>
      </c>
      <c r="AN21" s="847">
        <f>if(Model!AO1574&gt;0,AN18*Model!AO1574/(Model!AO1575*10^6)+AN20,AN20)</f>
        <v>0</v>
      </c>
      <c r="AO21" s="847">
        <f>if(Model!AP1574&gt;0,AO18*Model!AP1574/(Model!AP1575*10^6)+AO20,AO20)</f>
        <v>0</v>
      </c>
      <c r="AP21" s="847">
        <f>if(Model!AQ1574&gt;0,AP18*Model!AQ1574/(Model!AQ1575*10^6)+AP20,AP20)</f>
        <v>0</v>
      </c>
      <c r="AQ21" s="847">
        <f>if(Model!AR1574&gt;0,AQ18*Model!AR1574/(Model!AR1575*10^6)+AQ20,AQ20)</f>
        <v>0</v>
      </c>
      <c r="AR21" s="847">
        <f>if(Model!AS1574&gt;0,AR18*Model!AS1574/(Model!AS1575*10^6)+AR20,AR20)</f>
        <v>0</v>
      </c>
      <c r="AS21" s="847">
        <f>if(Model!AT1574&gt;0,AS18*Model!AT1574/(Model!AT1575*10^6)+AS20,AS20)</f>
        <v>0</v>
      </c>
      <c r="AT21" s="847">
        <f>if(Model!AU1574&gt;0,AT18*Model!AU1574/(Model!AU1575*10^6)+AT20,AT20)</f>
        <v>0</v>
      </c>
      <c r="AU21" s="847">
        <f>if(Model!AV1574&gt;0,AU18*Model!AV1574/(Model!AV1575*10^6)+AU20,AU20)</f>
        <v>0</v>
      </c>
      <c r="AV21" s="847">
        <f>if(Model!AW1574&gt;0,AV18*Model!AW1574/(Model!AW1575*10^6)+AV20,AV20)</f>
        <v>0</v>
      </c>
      <c r="AW21" s="847">
        <f>if(Model!AX1574&gt;0,AW18*Model!AX1574/(Model!AX1575*10^6)+AW20,AW20)</f>
        <v>0</v>
      </c>
      <c r="AX21" s="847">
        <f>if(Model!AY1574&gt;0,AX18*Model!AY1574/(Model!AY1575*10^6)+AX20,AX20)</f>
        <v>0</v>
      </c>
      <c r="AY21" s="847">
        <f>if(Model!AZ1574&gt;0,AY18*Model!AZ1574/(Model!AZ1575*10^6)+AY20,AY20)</f>
        <v>0</v>
      </c>
      <c r="AZ21" s="847">
        <f>if(Model!BA1574&gt;0,AZ18*Model!BA1574/(Model!BA1575*10^6)+AZ20,AZ20)</f>
        <v>0</v>
      </c>
    </row>
    <row r="22" ht="15.0" customHeight="1">
      <c r="A22" s="535" t="s">
        <v>106</v>
      </c>
      <c r="B22" s="709">
        <f t="shared" ref="B22:U22" si="12">C22</f>
        <v>0.001</v>
      </c>
      <c r="C22" s="709">
        <f t="shared" si="12"/>
        <v>0.001</v>
      </c>
      <c r="D22" s="709">
        <f t="shared" si="12"/>
        <v>0.001</v>
      </c>
      <c r="E22" s="709">
        <f t="shared" si="12"/>
        <v>0.001</v>
      </c>
      <c r="F22" s="709">
        <f t="shared" si="12"/>
        <v>0.001</v>
      </c>
      <c r="G22" s="709">
        <f t="shared" si="12"/>
        <v>0.001</v>
      </c>
      <c r="H22" s="709">
        <f t="shared" si="12"/>
        <v>0.001</v>
      </c>
      <c r="I22" s="709">
        <f t="shared" si="12"/>
        <v>0.001</v>
      </c>
      <c r="J22" s="709">
        <f t="shared" si="12"/>
        <v>0.001</v>
      </c>
      <c r="K22" s="709">
        <f t="shared" si="12"/>
        <v>0.001</v>
      </c>
      <c r="L22" s="709">
        <f t="shared" si="12"/>
        <v>0.001</v>
      </c>
      <c r="M22" s="709">
        <f t="shared" si="12"/>
        <v>0.001</v>
      </c>
      <c r="N22" s="709">
        <f t="shared" si="12"/>
        <v>0.001</v>
      </c>
      <c r="O22" s="709">
        <f t="shared" si="12"/>
        <v>0.001</v>
      </c>
      <c r="P22" s="709">
        <f t="shared" si="12"/>
        <v>0.001</v>
      </c>
      <c r="Q22" s="709">
        <f t="shared" si="12"/>
        <v>0.001</v>
      </c>
      <c r="R22" s="709">
        <f t="shared" si="12"/>
        <v>0.001</v>
      </c>
      <c r="S22" s="709">
        <f t="shared" si="12"/>
        <v>0.001</v>
      </c>
      <c r="T22" s="709">
        <f t="shared" si="12"/>
        <v>0.001</v>
      </c>
      <c r="U22" s="709">
        <f t="shared" si="12"/>
        <v>0.001</v>
      </c>
      <c r="V22" s="538">
        <v>0.001</v>
      </c>
      <c r="W22" s="537">
        <f t="shared" ref="W22:AZ22" si="13">V22</f>
        <v>0.001</v>
      </c>
      <c r="X22" s="537">
        <f t="shared" si="13"/>
        <v>0.001</v>
      </c>
      <c r="Y22" s="537">
        <f t="shared" si="13"/>
        <v>0.001</v>
      </c>
      <c r="Z22" s="537">
        <f t="shared" si="13"/>
        <v>0.001</v>
      </c>
      <c r="AA22" s="537">
        <f t="shared" si="13"/>
        <v>0.001</v>
      </c>
      <c r="AB22" s="537">
        <f t="shared" si="13"/>
        <v>0.001</v>
      </c>
      <c r="AC22" s="537">
        <f t="shared" si="13"/>
        <v>0.001</v>
      </c>
      <c r="AD22" s="537">
        <f t="shared" si="13"/>
        <v>0.001</v>
      </c>
      <c r="AE22" s="537">
        <f t="shared" si="13"/>
        <v>0.001</v>
      </c>
      <c r="AF22" s="537">
        <f t="shared" si="13"/>
        <v>0.001</v>
      </c>
      <c r="AG22" s="537">
        <f t="shared" si="13"/>
        <v>0.001</v>
      </c>
      <c r="AH22" s="537">
        <f t="shared" si="13"/>
        <v>0.001</v>
      </c>
      <c r="AI22" s="537">
        <f t="shared" si="13"/>
        <v>0.001</v>
      </c>
      <c r="AJ22" s="537">
        <f t="shared" si="13"/>
        <v>0.001</v>
      </c>
      <c r="AK22" s="537">
        <f t="shared" si="13"/>
        <v>0.001</v>
      </c>
      <c r="AL22" s="537">
        <f t="shared" si="13"/>
        <v>0.001</v>
      </c>
      <c r="AM22" s="537">
        <f t="shared" si="13"/>
        <v>0.001</v>
      </c>
      <c r="AN22" s="537">
        <f t="shared" si="13"/>
        <v>0.001</v>
      </c>
      <c r="AO22" s="537">
        <f t="shared" si="13"/>
        <v>0.001</v>
      </c>
      <c r="AP22" s="537">
        <f t="shared" si="13"/>
        <v>0.001</v>
      </c>
      <c r="AQ22" s="537">
        <f t="shared" si="13"/>
        <v>0.001</v>
      </c>
      <c r="AR22" s="537">
        <f t="shared" si="13"/>
        <v>0.001</v>
      </c>
      <c r="AS22" s="537">
        <f t="shared" si="13"/>
        <v>0.001</v>
      </c>
      <c r="AT22" s="537">
        <f t="shared" si="13"/>
        <v>0.001</v>
      </c>
      <c r="AU22" s="537">
        <f t="shared" si="13"/>
        <v>0.001</v>
      </c>
      <c r="AV22" s="537">
        <f t="shared" si="13"/>
        <v>0.001</v>
      </c>
      <c r="AW22" s="537">
        <f t="shared" si="13"/>
        <v>0.001</v>
      </c>
      <c r="AX22" s="537">
        <f t="shared" si="13"/>
        <v>0.001</v>
      </c>
      <c r="AY22" s="537">
        <f t="shared" si="13"/>
        <v>0.001</v>
      </c>
      <c r="AZ22" s="537">
        <f t="shared" si="13"/>
        <v>0.001</v>
      </c>
    </row>
    <row r="23" ht="15.0" customHeight="1">
      <c r="A23" s="535" t="s">
        <v>111</v>
      </c>
      <c r="B23" s="535"/>
      <c r="C23" s="535"/>
      <c r="D23" s="535"/>
      <c r="E23" s="535"/>
      <c r="F23" s="535"/>
      <c r="G23" s="535"/>
      <c r="H23" s="535"/>
      <c r="I23" s="535"/>
      <c r="J23" s="535"/>
      <c r="K23" s="535"/>
      <c r="L23" s="535"/>
      <c r="M23" s="535"/>
      <c r="N23" s="535"/>
      <c r="O23" s="535"/>
      <c r="P23" s="535"/>
      <c r="Q23" s="535"/>
      <c r="R23" s="535"/>
      <c r="S23" s="535"/>
      <c r="T23" s="535"/>
      <c r="U23" s="535"/>
      <c r="V23" s="848">
        <v>0.0</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403" t="s">
        <v>1101</v>
      </c>
      <c r="B24" s="410"/>
      <c r="C24" s="410"/>
      <c r="D24" s="410"/>
      <c r="E24" s="410"/>
      <c r="F24" s="410"/>
      <c r="G24" s="410"/>
      <c r="H24" s="410"/>
      <c r="I24" s="410"/>
      <c r="J24" s="410"/>
      <c r="K24" s="410"/>
      <c r="L24" s="410"/>
      <c r="M24" s="410"/>
      <c r="N24" s="410"/>
      <c r="O24" s="410"/>
      <c r="P24" s="410"/>
      <c r="Q24" s="410"/>
      <c r="R24" s="410"/>
      <c r="S24" s="410"/>
      <c r="T24" s="410"/>
      <c r="U24" s="411"/>
      <c r="V24" s="729">
        <v>836000.0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112</v>
      </c>
      <c r="B25" s="546">
        <v>0.35</v>
      </c>
      <c r="C25" s="546">
        <v>0.35</v>
      </c>
      <c r="D25" s="546">
        <v>0.35</v>
      </c>
      <c r="E25" s="546">
        <v>0.35</v>
      </c>
      <c r="F25" s="546">
        <v>0.35</v>
      </c>
      <c r="G25" s="546">
        <v>0.35</v>
      </c>
      <c r="H25" s="546">
        <v>0.35</v>
      </c>
      <c r="I25" s="546">
        <v>0.35</v>
      </c>
      <c r="J25" s="546">
        <v>0.35</v>
      </c>
      <c r="K25" s="546">
        <v>0.35</v>
      </c>
      <c r="L25" s="546">
        <v>0.35</v>
      </c>
      <c r="M25" s="546">
        <v>0.35</v>
      </c>
      <c r="N25" s="546">
        <v>0.35</v>
      </c>
      <c r="O25" s="546">
        <v>0.35</v>
      </c>
      <c r="P25" s="546">
        <v>0.35</v>
      </c>
      <c r="Q25" s="546">
        <v>0.35</v>
      </c>
      <c r="R25" s="546">
        <v>0.35</v>
      </c>
      <c r="S25" s="546">
        <v>0.35</v>
      </c>
      <c r="T25" s="546">
        <v>0.21</v>
      </c>
      <c r="U25" s="546">
        <v>0.21</v>
      </c>
      <c r="V25" s="547">
        <v>0.21</v>
      </c>
      <c r="W25" s="208">
        <f t="shared" ref="W25:AZ25" si="14">V25</f>
        <v>0.21</v>
      </c>
      <c r="X25" s="208">
        <f t="shared" si="14"/>
        <v>0.21</v>
      </c>
      <c r="Y25" s="208">
        <f t="shared" si="14"/>
        <v>0.21</v>
      </c>
      <c r="Z25" s="208">
        <f t="shared" si="14"/>
        <v>0.21</v>
      </c>
      <c r="AA25" s="208">
        <f t="shared" si="14"/>
        <v>0.21</v>
      </c>
      <c r="AB25" s="208">
        <f t="shared" si="14"/>
        <v>0.21</v>
      </c>
      <c r="AC25" s="208">
        <f t="shared" si="14"/>
        <v>0.21</v>
      </c>
      <c r="AD25" s="208">
        <f t="shared" si="14"/>
        <v>0.21</v>
      </c>
      <c r="AE25" s="208">
        <f t="shared" si="14"/>
        <v>0.21</v>
      </c>
      <c r="AF25" s="208">
        <f t="shared" si="14"/>
        <v>0.21</v>
      </c>
      <c r="AG25" s="208">
        <f t="shared" si="14"/>
        <v>0.21</v>
      </c>
      <c r="AH25" s="208">
        <f t="shared" si="14"/>
        <v>0.21</v>
      </c>
      <c r="AI25" s="208">
        <f t="shared" si="14"/>
        <v>0.21</v>
      </c>
      <c r="AJ25" s="208">
        <f t="shared" si="14"/>
        <v>0.21</v>
      </c>
      <c r="AK25" s="208">
        <f t="shared" si="14"/>
        <v>0.21</v>
      </c>
      <c r="AL25" s="208">
        <f t="shared" si="14"/>
        <v>0.21</v>
      </c>
      <c r="AM25" s="208">
        <f t="shared" si="14"/>
        <v>0.21</v>
      </c>
      <c r="AN25" s="208">
        <f t="shared" si="14"/>
        <v>0.21</v>
      </c>
      <c r="AO25" s="208">
        <f t="shared" si="14"/>
        <v>0.21</v>
      </c>
      <c r="AP25" s="208">
        <f t="shared" si="14"/>
        <v>0.21</v>
      </c>
      <c r="AQ25" s="208">
        <f t="shared" si="14"/>
        <v>0.21</v>
      </c>
      <c r="AR25" s="208">
        <f t="shared" si="14"/>
        <v>0.21</v>
      </c>
      <c r="AS25" s="208">
        <f t="shared" si="14"/>
        <v>0.21</v>
      </c>
      <c r="AT25" s="208">
        <f t="shared" si="14"/>
        <v>0.21</v>
      </c>
      <c r="AU25" s="208">
        <f t="shared" si="14"/>
        <v>0.21</v>
      </c>
      <c r="AV25" s="208">
        <f t="shared" si="14"/>
        <v>0.21</v>
      </c>
      <c r="AW25" s="208">
        <f t="shared" si="14"/>
        <v>0.21</v>
      </c>
      <c r="AX25" s="208">
        <f t="shared" si="14"/>
        <v>0.21</v>
      </c>
      <c r="AY25" s="208">
        <f t="shared" si="14"/>
        <v>0.21</v>
      </c>
      <c r="AZ25" s="208">
        <f t="shared" si="14"/>
        <v>0.21</v>
      </c>
    </row>
    <row r="26" ht="15.0" customHeight="1">
      <c r="A26" s="535" t="s">
        <v>114</v>
      </c>
      <c r="B26" s="535"/>
      <c r="C26" s="535"/>
      <c r="D26" s="535"/>
      <c r="E26" s="535"/>
      <c r="F26" s="535"/>
      <c r="G26" s="535"/>
      <c r="H26" s="535"/>
      <c r="I26" s="535"/>
      <c r="J26" s="535"/>
      <c r="K26" s="535"/>
      <c r="L26" s="535"/>
      <c r="M26" s="535"/>
      <c r="N26" s="535"/>
      <c r="O26" s="535"/>
      <c r="P26" s="535"/>
      <c r="Q26" s="535"/>
      <c r="R26" s="535"/>
      <c r="S26" s="535"/>
      <c r="T26" s="535"/>
      <c r="U26" s="535"/>
      <c r="V26" s="715">
        <v>0.0</v>
      </c>
      <c r="W26" s="177">
        <f t="shared" ref="W26:AZ26" si="15">V26*(1+V37)</f>
        <v>0</v>
      </c>
      <c r="X26" s="177">
        <f t="shared" si="15"/>
        <v>0</v>
      </c>
      <c r="Y26" s="177">
        <f t="shared" si="15"/>
        <v>0</v>
      </c>
      <c r="Z26" s="177">
        <f t="shared" si="15"/>
        <v>0</v>
      </c>
      <c r="AA26" s="177">
        <f t="shared" si="15"/>
        <v>0</v>
      </c>
      <c r="AB26" s="177">
        <f t="shared" si="15"/>
        <v>0</v>
      </c>
      <c r="AC26" s="177">
        <f t="shared" si="15"/>
        <v>0</v>
      </c>
      <c r="AD26" s="177">
        <f t="shared" si="15"/>
        <v>0</v>
      </c>
      <c r="AE26" s="177">
        <f t="shared" si="15"/>
        <v>0</v>
      </c>
      <c r="AF26" s="177">
        <f t="shared" si="15"/>
        <v>0</v>
      </c>
      <c r="AG26" s="177">
        <f t="shared" si="15"/>
        <v>0</v>
      </c>
      <c r="AH26" s="177">
        <f t="shared" si="15"/>
        <v>0</v>
      </c>
      <c r="AI26" s="177">
        <f t="shared" si="15"/>
        <v>0</v>
      </c>
      <c r="AJ26" s="177">
        <f t="shared" si="15"/>
        <v>0</v>
      </c>
      <c r="AK26" s="177">
        <f t="shared" si="15"/>
        <v>0</v>
      </c>
      <c r="AL26" s="177">
        <f t="shared" si="15"/>
        <v>0</v>
      </c>
      <c r="AM26" s="177">
        <f t="shared" si="15"/>
        <v>0</v>
      </c>
      <c r="AN26" s="177">
        <f t="shared" si="15"/>
        <v>0</v>
      </c>
      <c r="AO26" s="177">
        <f t="shared" si="15"/>
        <v>0</v>
      </c>
      <c r="AP26" s="177">
        <f t="shared" si="15"/>
        <v>0</v>
      </c>
      <c r="AQ26" s="177">
        <f t="shared" si="15"/>
        <v>0</v>
      </c>
      <c r="AR26" s="177">
        <f t="shared" si="15"/>
        <v>0</v>
      </c>
      <c r="AS26" s="177">
        <f t="shared" si="15"/>
        <v>0</v>
      </c>
      <c r="AT26" s="177">
        <f t="shared" si="15"/>
        <v>0</v>
      </c>
      <c r="AU26" s="177">
        <f t="shared" si="15"/>
        <v>0</v>
      </c>
      <c r="AV26" s="177">
        <f t="shared" si="15"/>
        <v>0</v>
      </c>
      <c r="AW26" s="177">
        <f t="shared" si="15"/>
        <v>0</v>
      </c>
      <c r="AX26" s="177">
        <f t="shared" si="15"/>
        <v>0</v>
      </c>
      <c r="AY26" s="177">
        <f t="shared" si="15"/>
        <v>0</v>
      </c>
      <c r="AZ26" s="177">
        <f t="shared" si="15"/>
        <v>0</v>
      </c>
    </row>
    <row r="27" ht="15.0" customHeight="1">
      <c r="A27" s="535" t="s">
        <v>116</v>
      </c>
      <c r="B27" s="535"/>
      <c r="C27" s="535"/>
      <c r="D27" s="535"/>
      <c r="E27" s="535"/>
      <c r="F27" s="535"/>
      <c r="G27" s="535"/>
      <c r="H27" s="535"/>
      <c r="I27" s="535"/>
      <c r="J27" s="535"/>
      <c r="K27" s="535"/>
      <c r="L27" s="535"/>
      <c r="M27" s="535"/>
      <c r="N27" s="535"/>
      <c r="O27" s="535"/>
      <c r="P27" s="535"/>
      <c r="Q27" s="535"/>
      <c r="R27" s="535"/>
      <c r="S27" s="535"/>
      <c r="T27" s="535"/>
      <c r="U27" s="535"/>
      <c r="V27" s="849">
        <v>29.0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119</v>
      </c>
      <c r="B28" s="535"/>
      <c r="C28" s="535"/>
      <c r="D28" s="535"/>
      <c r="E28" s="535"/>
      <c r="F28" s="535"/>
      <c r="G28" s="535"/>
      <c r="H28" s="535"/>
      <c r="I28" s="535"/>
      <c r="J28" s="535"/>
      <c r="K28" s="535"/>
      <c r="L28" s="535"/>
      <c r="M28" s="535"/>
      <c r="N28" s="535"/>
      <c r="O28" s="535"/>
      <c r="P28" s="535"/>
      <c r="Q28" s="535"/>
      <c r="R28" s="535"/>
      <c r="S28" s="535"/>
      <c r="T28" s="535"/>
      <c r="U28" s="535"/>
      <c r="V28" s="849">
        <v>50.0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121</v>
      </c>
      <c r="B29" s="535"/>
      <c r="C29" s="535"/>
      <c r="D29" s="535"/>
      <c r="E29" s="535"/>
      <c r="F29" s="535"/>
      <c r="G29" s="535"/>
      <c r="H29" s="535"/>
      <c r="I29" s="535"/>
      <c r="J29" s="535"/>
      <c r="K29" s="535"/>
      <c r="L29" s="535"/>
      <c r="M29" s="535"/>
      <c r="N29" s="535"/>
      <c r="O29" s="535"/>
      <c r="P29" s="535"/>
      <c r="Q29" s="535"/>
      <c r="R29" s="535"/>
      <c r="S29" s="535"/>
      <c r="T29" s="535"/>
      <c r="U29" s="535"/>
      <c r="V29" s="849">
        <v>4.0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535" t="s">
        <v>122</v>
      </c>
      <c r="B30" s="535"/>
      <c r="C30" s="535"/>
      <c r="D30" s="535"/>
      <c r="E30" s="535"/>
      <c r="F30" s="535"/>
      <c r="G30" s="535"/>
      <c r="H30" s="535"/>
      <c r="I30" s="535"/>
      <c r="J30" s="535"/>
      <c r="K30" s="535"/>
      <c r="L30" s="535"/>
      <c r="M30" s="535"/>
      <c r="N30" s="535"/>
      <c r="O30" s="535"/>
      <c r="P30" s="535"/>
      <c r="Q30" s="535"/>
      <c r="R30" s="535"/>
      <c r="S30" s="535"/>
      <c r="T30" s="535"/>
      <c r="U30" s="535"/>
      <c r="V30" s="849">
        <v>27.0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174" t="s">
        <v>123</v>
      </c>
      <c r="B31" s="174"/>
      <c r="C31" s="174"/>
      <c r="D31" s="174"/>
      <c r="E31" s="174"/>
      <c r="F31" s="174"/>
      <c r="G31" s="174"/>
      <c r="H31" s="174"/>
      <c r="I31" s="174"/>
      <c r="J31" s="174"/>
      <c r="K31" s="174"/>
      <c r="L31" s="174"/>
      <c r="M31" s="174"/>
      <c r="N31" s="174"/>
      <c r="O31" s="174"/>
      <c r="P31" s="174"/>
      <c r="Q31" s="174"/>
      <c r="R31" s="174"/>
      <c r="S31" s="174"/>
      <c r="T31" s="174"/>
      <c r="U31" s="174"/>
      <c r="V31" s="705"/>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ht="15.0" customHeight="1">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ht="15.0" customHeight="1">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ht="15.0" customHeight="1">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ht="15.0" customHeight="1">
      <c r="A36" s="541" t="s">
        <v>1127</v>
      </c>
      <c r="B36" s="546">
        <v>0.0</v>
      </c>
      <c r="C36" s="546">
        <v>0.0</v>
      </c>
      <c r="D36" s="546">
        <v>0.0</v>
      </c>
      <c r="E36" s="546">
        <v>0.0</v>
      </c>
      <c r="F36" s="546">
        <v>0.0</v>
      </c>
      <c r="G36" s="546">
        <v>0.0</v>
      </c>
      <c r="H36" s="546">
        <v>0.0</v>
      </c>
      <c r="I36" s="546">
        <f t="shared" ref="I36:U36" si="16">J36</f>
        <v>0</v>
      </c>
      <c r="J36" s="546">
        <f t="shared" si="16"/>
        <v>0</v>
      </c>
      <c r="K36" s="546">
        <f t="shared" si="16"/>
        <v>0</v>
      </c>
      <c r="L36" s="546">
        <f t="shared" si="16"/>
        <v>0</v>
      </c>
      <c r="M36" s="546">
        <f t="shared" si="16"/>
        <v>0</v>
      </c>
      <c r="N36" s="546">
        <f t="shared" si="16"/>
        <v>0</v>
      </c>
      <c r="O36" s="546">
        <f t="shared" si="16"/>
        <v>0</v>
      </c>
      <c r="P36" s="546">
        <f t="shared" si="16"/>
        <v>0</v>
      </c>
      <c r="Q36" s="546">
        <f t="shared" si="16"/>
        <v>0</v>
      </c>
      <c r="R36" s="546">
        <f t="shared" si="16"/>
        <v>0</v>
      </c>
      <c r="S36" s="546">
        <f t="shared" si="16"/>
        <v>0</v>
      </c>
      <c r="T36" s="546">
        <f t="shared" si="16"/>
        <v>0</v>
      </c>
      <c r="U36" s="546">
        <f t="shared" si="16"/>
        <v>0</v>
      </c>
      <c r="V36" s="542">
        <v>0.0</v>
      </c>
      <c r="W36" s="208">
        <f t="shared" ref="W36:AZ36" si="17">V36</f>
        <v>0</v>
      </c>
      <c r="X36" s="208">
        <f t="shared" si="17"/>
        <v>0</v>
      </c>
      <c r="Y36" s="208">
        <f t="shared" si="17"/>
        <v>0</v>
      </c>
      <c r="Z36" s="208">
        <f t="shared" si="17"/>
        <v>0</v>
      </c>
      <c r="AA36" s="208">
        <f t="shared" si="17"/>
        <v>0</v>
      </c>
      <c r="AB36" s="208">
        <f t="shared" si="17"/>
        <v>0</v>
      </c>
      <c r="AC36" s="208">
        <f t="shared" si="17"/>
        <v>0</v>
      </c>
      <c r="AD36" s="208">
        <f t="shared" si="17"/>
        <v>0</v>
      </c>
      <c r="AE36" s="208">
        <f t="shared" si="17"/>
        <v>0</v>
      </c>
      <c r="AF36" s="208">
        <f t="shared" si="17"/>
        <v>0</v>
      </c>
      <c r="AG36" s="208">
        <f t="shared" si="17"/>
        <v>0</v>
      </c>
      <c r="AH36" s="208">
        <f t="shared" si="17"/>
        <v>0</v>
      </c>
      <c r="AI36" s="208">
        <f t="shared" si="17"/>
        <v>0</v>
      </c>
      <c r="AJ36" s="208">
        <f t="shared" si="17"/>
        <v>0</v>
      </c>
      <c r="AK36" s="208">
        <f t="shared" si="17"/>
        <v>0</v>
      </c>
      <c r="AL36" s="208">
        <f t="shared" si="17"/>
        <v>0</v>
      </c>
      <c r="AM36" s="208">
        <f t="shared" si="17"/>
        <v>0</v>
      </c>
      <c r="AN36" s="208">
        <f t="shared" si="17"/>
        <v>0</v>
      </c>
      <c r="AO36" s="208">
        <f t="shared" si="17"/>
        <v>0</v>
      </c>
      <c r="AP36" s="208">
        <f t="shared" si="17"/>
        <v>0</v>
      </c>
      <c r="AQ36" s="208">
        <f t="shared" si="17"/>
        <v>0</v>
      </c>
      <c r="AR36" s="208">
        <f t="shared" si="17"/>
        <v>0</v>
      </c>
      <c r="AS36" s="208">
        <f t="shared" si="17"/>
        <v>0</v>
      </c>
      <c r="AT36" s="208">
        <f t="shared" si="17"/>
        <v>0</v>
      </c>
      <c r="AU36" s="208">
        <f t="shared" si="17"/>
        <v>0</v>
      </c>
      <c r="AV36" s="208">
        <f t="shared" si="17"/>
        <v>0</v>
      </c>
      <c r="AW36" s="208">
        <f t="shared" si="17"/>
        <v>0</v>
      </c>
      <c r="AX36" s="208">
        <f t="shared" si="17"/>
        <v>0</v>
      </c>
      <c r="AY36" s="208">
        <f t="shared" si="17"/>
        <v>0</v>
      </c>
      <c r="AZ36" s="208">
        <f t="shared" si="17"/>
        <v>0</v>
      </c>
    </row>
    <row r="37" ht="15.75" customHeight="1">
      <c r="A37" s="535" t="s">
        <v>137</v>
      </c>
      <c r="B37" s="709">
        <f t="shared" ref="B37:U37" si="18">C37</f>
        <v>0.01989423738</v>
      </c>
      <c r="C37" s="709">
        <f t="shared" si="18"/>
        <v>0.01989423738</v>
      </c>
      <c r="D37" s="709">
        <f t="shared" si="18"/>
        <v>0.01989423738</v>
      </c>
      <c r="E37" s="709">
        <f t="shared" si="18"/>
        <v>0.01989423738</v>
      </c>
      <c r="F37" s="709">
        <f t="shared" si="18"/>
        <v>0.01989423738</v>
      </c>
      <c r="G37" s="709">
        <f t="shared" si="18"/>
        <v>0.01989423738</v>
      </c>
      <c r="H37" s="709">
        <f t="shared" si="18"/>
        <v>0.01989423738</v>
      </c>
      <c r="I37" s="709">
        <f t="shared" si="18"/>
        <v>0.01989423738</v>
      </c>
      <c r="J37" s="709">
        <f t="shared" si="18"/>
        <v>0.01989423738</v>
      </c>
      <c r="K37" s="709">
        <f t="shared" si="18"/>
        <v>0.01989423738</v>
      </c>
      <c r="L37" s="709">
        <f t="shared" si="18"/>
        <v>0.01989423738</v>
      </c>
      <c r="M37" s="709">
        <f t="shared" si="18"/>
        <v>0.01989423738</v>
      </c>
      <c r="N37" s="709">
        <f t="shared" si="18"/>
        <v>0.01989423738</v>
      </c>
      <c r="O37" s="709">
        <f t="shared" si="18"/>
        <v>0.01989423738</v>
      </c>
      <c r="P37" s="709">
        <f t="shared" si="18"/>
        <v>0.01989423738</v>
      </c>
      <c r="Q37" s="709">
        <f t="shared" si="18"/>
        <v>0.01989423738</v>
      </c>
      <c r="R37" s="709">
        <f t="shared" si="18"/>
        <v>0.01989423738</v>
      </c>
      <c r="S37" s="709">
        <f t="shared" si="18"/>
        <v>0.01989423738</v>
      </c>
      <c r="T37" s="709">
        <f t="shared" si="18"/>
        <v>0.01989423738</v>
      </c>
      <c r="U37" s="709">
        <f t="shared" si="18"/>
        <v>0.01989423738</v>
      </c>
      <c r="V37" s="669">
        <f>Inputs!B21</f>
        <v>0.01989423738</v>
      </c>
      <c r="W37" s="710">
        <f t="shared" ref="W37:AZ37" si="19">V37</f>
        <v>0.01989423738</v>
      </c>
      <c r="X37" s="710">
        <f t="shared" si="19"/>
        <v>0.01989423738</v>
      </c>
      <c r="Y37" s="710">
        <f t="shared" si="19"/>
        <v>0.01989423738</v>
      </c>
      <c r="Z37" s="710">
        <f t="shared" si="19"/>
        <v>0.01989423738</v>
      </c>
      <c r="AA37" s="710">
        <f t="shared" si="19"/>
        <v>0.01989423738</v>
      </c>
      <c r="AB37" s="710">
        <f t="shared" si="19"/>
        <v>0.01989423738</v>
      </c>
      <c r="AC37" s="710">
        <f t="shared" si="19"/>
        <v>0.01989423738</v>
      </c>
      <c r="AD37" s="710">
        <f t="shared" si="19"/>
        <v>0.01989423738</v>
      </c>
      <c r="AE37" s="710">
        <f t="shared" si="19"/>
        <v>0.01989423738</v>
      </c>
      <c r="AF37" s="710">
        <f t="shared" si="19"/>
        <v>0.01989423738</v>
      </c>
      <c r="AG37" s="710">
        <f t="shared" si="19"/>
        <v>0.01989423738</v>
      </c>
      <c r="AH37" s="710">
        <f t="shared" si="19"/>
        <v>0.01989423738</v>
      </c>
      <c r="AI37" s="710">
        <f t="shared" si="19"/>
        <v>0.01989423738</v>
      </c>
      <c r="AJ37" s="710">
        <f t="shared" si="19"/>
        <v>0.01989423738</v>
      </c>
      <c r="AK37" s="710">
        <f t="shared" si="19"/>
        <v>0.01989423738</v>
      </c>
      <c r="AL37" s="710">
        <f t="shared" si="19"/>
        <v>0.01989423738</v>
      </c>
      <c r="AM37" s="710">
        <f t="shared" si="19"/>
        <v>0.01989423738</v>
      </c>
      <c r="AN37" s="710">
        <f t="shared" si="19"/>
        <v>0.01989423738</v>
      </c>
      <c r="AO37" s="710">
        <f t="shared" si="19"/>
        <v>0.01989423738</v>
      </c>
      <c r="AP37" s="710">
        <f t="shared" si="19"/>
        <v>0.01989423738</v>
      </c>
      <c r="AQ37" s="710">
        <f t="shared" si="19"/>
        <v>0.01989423738</v>
      </c>
      <c r="AR37" s="710">
        <f t="shared" si="19"/>
        <v>0.01989423738</v>
      </c>
      <c r="AS37" s="710">
        <f t="shared" si="19"/>
        <v>0.01989423738</v>
      </c>
      <c r="AT37" s="710">
        <f t="shared" si="19"/>
        <v>0.01989423738</v>
      </c>
      <c r="AU37" s="710">
        <f t="shared" si="19"/>
        <v>0.01989423738</v>
      </c>
      <c r="AV37" s="710">
        <f t="shared" si="19"/>
        <v>0.01989423738</v>
      </c>
      <c r="AW37" s="710">
        <f t="shared" si="19"/>
        <v>0.01989423738</v>
      </c>
      <c r="AX37" s="710">
        <f t="shared" si="19"/>
        <v>0.01989423738</v>
      </c>
      <c r="AY37" s="710">
        <f t="shared" si="19"/>
        <v>0.01989423738</v>
      </c>
      <c r="AZ37" s="710">
        <f t="shared" si="19"/>
        <v>0.01989423738</v>
      </c>
    </row>
    <row r="38" ht="15.75" customHeight="1">
      <c r="A38" s="535"/>
      <c r="B38" s="535"/>
      <c r="C38" s="535"/>
      <c r="D38" s="535"/>
      <c r="E38" s="535"/>
      <c r="F38" s="535"/>
      <c r="G38" s="535"/>
      <c r="H38" s="535"/>
      <c r="I38" s="535"/>
      <c r="J38" s="535"/>
      <c r="K38" s="535"/>
      <c r="L38" s="535"/>
      <c r="M38" s="535"/>
      <c r="N38" s="535"/>
      <c r="O38" s="535"/>
      <c r="P38" s="535"/>
      <c r="Q38" s="535"/>
      <c r="R38" s="535"/>
      <c r="S38" s="535"/>
      <c r="T38" s="535"/>
      <c r="U38" s="535"/>
      <c r="V38" s="141"/>
      <c r="W38" s="710"/>
      <c r="X38" s="710"/>
      <c r="Y38" s="710"/>
      <c r="Z38" s="710"/>
      <c r="AA38" s="710"/>
      <c r="AB38" s="710"/>
      <c r="AC38" s="710"/>
      <c r="AD38" s="710"/>
      <c r="AE38" s="710"/>
      <c r="AF38" s="710"/>
      <c r="AG38" s="710"/>
      <c r="AH38" s="710"/>
      <c r="AI38" s="710"/>
      <c r="AJ38" s="710"/>
      <c r="AK38" s="710"/>
      <c r="AL38" s="710"/>
      <c r="AM38" s="710"/>
      <c r="AN38" s="710"/>
      <c r="AO38" s="710"/>
      <c r="AP38" s="710"/>
      <c r="AQ38" s="710"/>
      <c r="AR38" s="710"/>
      <c r="AS38" s="710"/>
      <c r="AT38" s="710"/>
      <c r="AU38" s="710"/>
      <c r="AV38" s="710"/>
      <c r="AW38" s="710"/>
      <c r="AX38" s="710"/>
      <c r="AY38" s="710"/>
      <c r="AZ38" s="710"/>
    </row>
    <row r="39" ht="15.75" customHeight="1">
      <c r="A39" s="403" t="s">
        <v>140</v>
      </c>
      <c r="B39" s="38"/>
      <c r="C39" s="38"/>
      <c r="D39" s="38"/>
      <c r="E39" s="38"/>
      <c r="F39" s="38"/>
      <c r="G39" s="38"/>
      <c r="H39" s="38"/>
      <c r="I39" s="38"/>
      <c r="J39" s="38"/>
      <c r="K39" s="38"/>
      <c r="L39" s="38"/>
      <c r="M39" s="38"/>
      <c r="N39" s="38"/>
      <c r="O39" s="38"/>
      <c r="P39" s="38"/>
      <c r="Q39" s="38"/>
      <c r="R39" s="38"/>
      <c r="S39" s="38"/>
      <c r="T39" s="38"/>
      <c r="U39" s="38"/>
      <c r="V39" s="32"/>
      <c r="W39" s="252">
        <f t="shared" ref="W39:BA39" si="20">SUM(W41:W161)</f>
        <v>0</v>
      </c>
      <c r="X39" s="252">
        <f t="shared" si="20"/>
        <v>0</v>
      </c>
      <c r="Y39" s="252">
        <f t="shared" si="20"/>
        <v>0</v>
      </c>
      <c r="Z39" s="252">
        <f t="shared" si="20"/>
        <v>0</v>
      </c>
      <c r="AA39" s="252">
        <f t="shared" si="20"/>
        <v>0</v>
      </c>
      <c r="AB39" s="252">
        <f t="shared" si="20"/>
        <v>0</v>
      </c>
      <c r="AC39" s="252">
        <f t="shared" si="20"/>
        <v>0</v>
      </c>
      <c r="AD39" s="252">
        <f t="shared" si="20"/>
        <v>0</v>
      </c>
      <c r="AE39" s="252">
        <f t="shared" si="20"/>
        <v>0</v>
      </c>
      <c r="AF39" s="252">
        <f t="shared" si="20"/>
        <v>0</v>
      </c>
      <c r="AG39" s="252">
        <f t="shared" si="20"/>
        <v>0</v>
      </c>
      <c r="AH39" s="252">
        <f t="shared" si="20"/>
        <v>0</v>
      </c>
      <c r="AI39" s="252">
        <f t="shared" si="20"/>
        <v>0</v>
      </c>
      <c r="AJ39" s="252">
        <f t="shared" si="20"/>
        <v>0</v>
      </c>
      <c r="AK39" s="252">
        <f t="shared" si="20"/>
        <v>0</v>
      </c>
      <c r="AL39" s="252">
        <f t="shared" si="20"/>
        <v>0</v>
      </c>
      <c r="AM39" s="252">
        <f t="shared" si="20"/>
        <v>0</v>
      </c>
      <c r="AN39" s="252">
        <f t="shared" si="20"/>
        <v>0</v>
      </c>
      <c r="AO39" s="252">
        <f t="shared" si="20"/>
        <v>0</v>
      </c>
      <c r="AP39" s="252">
        <f t="shared" si="20"/>
        <v>0</v>
      </c>
      <c r="AQ39" s="252">
        <f t="shared" si="20"/>
        <v>0</v>
      </c>
      <c r="AR39" s="252">
        <f t="shared" si="20"/>
        <v>0</v>
      </c>
      <c r="AS39" s="252">
        <f t="shared" si="20"/>
        <v>0</v>
      </c>
      <c r="AT39" s="252">
        <f t="shared" si="20"/>
        <v>0</v>
      </c>
      <c r="AU39" s="252">
        <f t="shared" si="20"/>
        <v>0</v>
      </c>
      <c r="AV39" s="252">
        <f t="shared" si="20"/>
        <v>0</v>
      </c>
      <c r="AW39" s="252">
        <f t="shared" si="20"/>
        <v>0</v>
      </c>
      <c r="AX39" s="252">
        <f t="shared" si="20"/>
        <v>0</v>
      </c>
      <c r="AY39" s="252">
        <f t="shared" si="20"/>
        <v>0</v>
      </c>
      <c r="AZ39" s="252">
        <f t="shared" si="20"/>
        <v>0</v>
      </c>
      <c r="BA39" s="252">
        <f t="shared" si="20"/>
        <v>0</v>
      </c>
    </row>
    <row r="40" ht="15.75" customHeight="1">
      <c r="A40" s="733" t="s">
        <v>1012</v>
      </c>
      <c r="B40" s="733"/>
      <c r="C40" s="733"/>
      <c r="D40" s="733"/>
      <c r="E40" s="733"/>
      <c r="F40" s="733"/>
      <c r="G40" s="733"/>
      <c r="H40" s="733"/>
      <c r="I40" s="733"/>
      <c r="J40" s="733"/>
      <c r="K40" s="733"/>
      <c r="L40" s="733"/>
      <c r="M40" s="733"/>
      <c r="N40" s="733"/>
      <c r="O40" s="733"/>
      <c r="P40" s="733"/>
      <c r="Q40" s="733"/>
      <c r="R40" s="733"/>
      <c r="S40" s="733"/>
      <c r="T40" s="733"/>
      <c r="U40" s="733"/>
      <c r="V40" s="32" t="s">
        <v>1128</v>
      </c>
      <c r="W40" s="159">
        <v>2020.0</v>
      </c>
      <c r="X40" s="159">
        <v>2021.0</v>
      </c>
      <c r="Y40" s="159">
        <v>2022.0</v>
      </c>
      <c r="Z40" s="159">
        <v>2023.0</v>
      </c>
      <c r="AA40" s="159">
        <v>2024.0</v>
      </c>
      <c r="AB40" s="159">
        <v>2025.0</v>
      </c>
      <c r="AC40" s="159">
        <v>2026.0</v>
      </c>
      <c r="AD40" s="159">
        <v>2027.0</v>
      </c>
      <c r="AE40" s="159">
        <v>2028.0</v>
      </c>
      <c r="AF40" s="159">
        <v>2029.0</v>
      </c>
      <c r="AG40" s="159">
        <v>2030.0</v>
      </c>
      <c r="AH40" s="159">
        <v>2031.0</v>
      </c>
      <c r="AI40" s="159">
        <v>2032.0</v>
      </c>
      <c r="AJ40" s="159">
        <v>2033.0</v>
      </c>
      <c r="AK40" s="159">
        <v>2034.0</v>
      </c>
      <c r="AL40" s="159">
        <v>2035.0</v>
      </c>
      <c r="AM40" s="159">
        <v>2036.0</v>
      </c>
      <c r="AN40" s="159">
        <v>2037.0</v>
      </c>
      <c r="AO40" s="159">
        <v>2038.0</v>
      </c>
      <c r="AP40" s="159">
        <v>2039.0</v>
      </c>
      <c r="AQ40" s="159">
        <v>2040.0</v>
      </c>
      <c r="AR40" s="159">
        <v>2041.0</v>
      </c>
      <c r="AS40" s="159">
        <v>2042.0</v>
      </c>
      <c r="AT40" s="159">
        <v>2043.0</v>
      </c>
      <c r="AU40" s="159">
        <v>2044.0</v>
      </c>
      <c r="AV40" s="159">
        <v>2045.0</v>
      </c>
      <c r="AW40" s="159">
        <v>2046.0</v>
      </c>
      <c r="AX40" s="159">
        <v>2047.0</v>
      </c>
      <c r="AY40" s="159">
        <v>2048.0</v>
      </c>
      <c r="AZ40" s="159">
        <v>2049.0</v>
      </c>
      <c r="BA40" s="159">
        <v>2050.0</v>
      </c>
    </row>
    <row r="41" ht="15.75" customHeight="1">
      <c r="A41" s="850">
        <v>1930.0</v>
      </c>
      <c r="B41" s="38"/>
      <c r="C41" s="38"/>
      <c r="D41" s="38"/>
      <c r="E41" s="38"/>
      <c r="F41" s="38"/>
      <c r="G41" s="38"/>
      <c r="H41" s="38"/>
      <c r="I41" s="38"/>
      <c r="J41" s="38"/>
      <c r="K41" s="38"/>
      <c r="L41" s="38"/>
      <c r="M41" s="38"/>
      <c r="N41" s="38"/>
      <c r="O41" s="38"/>
      <c r="P41" s="38"/>
      <c r="Q41" s="38"/>
      <c r="R41" s="38"/>
      <c r="S41" s="38"/>
      <c r="T41" s="38"/>
      <c r="U41" s="38"/>
      <c r="V41" s="171">
        <v>0.0</v>
      </c>
      <c r="W41" s="252">
        <f t="shared" ref="W41:W161" si="22">IF(W$40-$A41&gt;$V$27,$V41,0)</f>
        <v>0</v>
      </c>
      <c r="X41" s="252">
        <f t="shared" ref="X41:BA41" si="21">IF(AND(X$40-$A41&gt;$V$27,SUM($W41:W41)&lt;&gt;$V41),$V41,0)</f>
        <v>0</v>
      </c>
      <c r="Y41" s="252">
        <f t="shared" si="21"/>
        <v>0</v>
      </c>
      <c r="Z41" s="252">
        <f t="shared" si="21"/>
        <v>0</v>
      </c>
      <c r="AA41" s="252">
        <f t="shared" si="21"/>
        <v>0</v>
      </c>
      <c r="AB41" s="252">
        <f t="shared" si="21"/>
        <v>0</v>
      </c>
      <c r="AC41" s="252">
        <f t="shared" si="21"/>
        <v>0</v>
      </c>
      <c r="AD41" s="252">
        <f t="shared" si="21"/>
        <v>0</v>
      </c>
      <c r="AE41" s="252">
        <f t="shared" si="21"/>
        <v>0</v>
      </c>
      <c r="AF41" s="252">
        <f t="shared" si="21"/>
        <v>0</v>
      </c>
      <c r="AG41" s="252">
        <f t="shared" si="21"/>
        <v>0</v>
      </c>
      <c r="AH41" s="252">
        <f t="shared" si="21"/>
        <v>0</v>
      </c>
      <c r="AI41" s="252">
        <f t="shared" si="21"/>
        <v>0</v>
      </c>
      <c r="AJ41" s="252">
        <f t="shared" si="21"/>
        <v>0</v>
      </c>
      <c r="AK41" s="252">
        <f t="shared" si="21"/>
        <v>0</v>
      </c>
      <c r="AL41" s="252">
        <f t="shared" si="21"/>
        <v>0</v>
      </c>
      <c r="AM41" s="252">
        <f t="shared" si="21"/>
        <v>0</v>
      </c>
      <c r="AN41" s="252">
        <f t="shared" si="21"/>
        <v>0</v>
      </c>
      <c r="AO41" s="252">
        <f t="shared" si="21"/>
        <v>0</v>
      </c>
      <c r="AP41" s="252">
        <f t="shared" si="21"/>
        <v>0</v>
      </c>
      <c r="AQ41" s="252">
        <f t="shared" si="21"/>
        <v>0</v>
      </c>
      <c r="AR41" s="252">
        <f t="shared" si="21"/>
        <v>0</v>
      </c>
      <c r="AS41" s="252">
        <f t="shared" si="21"/>
        <v>0</v>
      </c>
      <c r="AT41" s="252">
        <f t="shared" si="21"/>
        <v>0</v>
      </c>
      <c r="AU41" s="252">
        <f t="shared" si="21"/>
        <v>0</v>
      </c>
      <c r="AV41" s="252">
        <f t="shared" si="21"/>
        <v>0</v>
      </c>
      <c r="AW41" s="252">
        <f t="shared" si="21"/>
        <v>0</v>
      </c>
      <c r="AX41" s="252">
        <f t="shared" si="21"/>
        <v>0</v>
      </c>
      <c r="AY41" s="252">
        <f t="shared" si="21"/>
        <v>0</v>
      </c>
      <c r="AZ41" s="252">
        <f t="shared" si="21"/>
        <v>0</v>
      </c>
      <c r="BA41" s="252">
        <f t="shared" si="21"/>
        <v>0</v>
      </c>
    </row>
    <row r="42" ht="15.75" customHeight="1">
      <c r="A42" s="850">
        <v>1931.0</v>
      </c>
      <c r="B42" s="38"/>
      <c r="C42" s="38"/>
      <c r="D42" s="38"/>
      <c r="E42" s="38"/>
      <c r="F42" s="38"/>
      <c r="G42" s="38"/>
      <c r="H42" s="38"/>
      <c r="I42" s="38"/>
      <c r="J42" s="38"/>
      <c r="K42" s="38"/>
      <c r="L42" s="38"/>
      <c r="M42" s="38"/>
      <c r="N42" s="38"/>
      <c r="O42" s="38"/>
      <c r="P42" s="38"/>
      <c r="Q42" s="38"/>
      <c r="R42" s="38"/>
      <c r="S42" s="38"/>
      <c r="T42" s="38"/>
      <c r="U42" s="38"/>
      <c r="V42" s="171">
        <v>0.0</v>
      </c>
      <c r="W42" s="252">
        <f t="shared" si="22"/>
        <v>0</v>
      </c>
      <c r="X42" s="252">
        <f t="shared" ref="X42:BA42" si="23">IF(AND(X$40-$A42&gt;$V$27,SUM($W42:W42)&lt;&gt;$V42),$V42,0)</f>
        <v>0</v>
      </c>
      <c r="Y42" s="252">
        <f t="shared" si="23"/>
        <v>0</v>
      </c>
      <c r="Z42" s="252">
        <f t="shared" si="23"/>
        <v>0</v>
      </c>
      <c r="AA42" s="252">
        <f t="shared" si="23"/>
        <v>0</v>
      </c>
      <c r="AB42" s="252">
        <f t="shared" si="23"/>
        <v>0</v>
      </c>
      <c r="AC42" s="252">
        <f t="shared" si="23"/>
        <v>0</v>
      </c>
      <c r="AD42" s="252">
        <f t="shared" si="23"/>
        <v>0</v>
      </c>
      <c r="AE42" s="252">
        <f t="shared" si="23"/>
        <v>0</v>
      </c>
      <c r="AF42" s="252">
        <f t="shared" si="23"/>
        <v>0</v>
      </c>
      <c r="AG42" s="252">
        <f t="shared" si="23"/>
        <v>0</v>
      </c>
      <c r="AH42" s="252">
        <f t="shared" si="23"/>
        <v>0</v>
      </c>
      <c r="AI42" s="252">
        <f t="shared" si="23"/>
        <v>0</v>
      </c>
      <c r="AJ42" s="252">
        <f t="shared" si="23"/>
        <v>0</v>
      </c>
      <c r="AK42" s="252">
        <f t="shared" si="23"/>
        <v>0</v>
      </c>
      <c r="AL42" s="252">
        <f t="shared" si="23"/>
        <v>0</v>
      </c>
      <c r="AM42" s="252">
        <f t="shared" si="23"/>
        <v>0</v>
      </c>
      <c r="AN42" s="252">
        <f t="shared" si="23"/>
        <v>0</v>
      </c>
      <c r="AO42" s="252">
        <f t="shared" si="23"/>
        <v>0</v>
      </c>
      <c r="AP42" s="252">
        <f t="shared" si="23"/>
        <v>0</v>
      </c>
      <c r="AQ42" s="252">
        <f t="shared" si="23"/>
        <v>0</v>
      </c>
      <c r="AR42" s="252">
        <f t="shared" si="23"/>
        <v>0</v>
      </c>
      <c r="AS42" s="252">
        <f t="shared" si="23"/>
        <v>0</v>
      </c>
      <c r="AT42" s="252">
        <f t="shared" si="23"/>
        <v>0</v>
      </c>
      <c r="AU42" s="252">
        <f t="shared" si="23"/>
        <v>0</v>
      </c>
      <c r="AV42" s="252">
        <f t="shared" si="23"/>
        <v>0</v>
      </c>
      <c r="AW42" s="252">
        <f t="shared" si="23"/>
        <v>0</v>
      </c>
      <c r="AX42" s="252">
        <f t="shared" si="23"/>
        <v>0</v>
      </c>
      <c r="AY42" s="252">
        <f t="shared" si="23"/>
        <v>0</v>
      </c>
      <c r="AZ42" s="252">
        <f t="shared" si="23"/>
        <v>0</v>
      </c>
      <c r="BA42" s="252">
        <f t="shared" si="23"/>
        <v>0</v>
      </c>
    </row>
    <row r="43" ht="15.75" customHeight="1">
      <c r="A43" s="850">
        <v>1932.0</v>
      </c>
      <c r="B43" s="38"/>
      <c r="C43" s="38"/>
      <c r="D43" s="38"/>
      <c r="E43" s="38"/>
      <c r="F43" s="38"/>
      <c r="G43" s="38"/>
      <c r="H43" s="38"/>
      <c r="I43" s="38"/>
      <c r="J43" s="38"/>
      <c r="K43" s="38"/>
      <c r="L43" s="38"/>
      <c r="M43" s="38"/>
      <c r="N43" s="38"/>
      <c r="O43" s="38"/>
      <c r="P43" s="38"/>
      <c r="Q43" s="38"/>
      <c r="R43" s="38"/>
      <c r="S43" s="38"/>
      <c r="T43" s="38"/>
      <c r="U43" s="38"/>
      <c r="V43" s="171">
        <v>0.0</v>
      </c>
      <c r="W43" s="252">
        <f t="shared" si="22"/>
        <v>0</v>
      </c>
      <c r="X43" s="252">
        <f t="shared" ref="X43:BA43" si="24">IF(AND(X$40-$A43&gt;$V$27,SUM($W43:W43)&lt;&gt;$V43),$V43,0)</f>
        <v>0</v>
      </c>
      <c r="Y43" s="252">
        <f t="shared" si="24"/>
        <v>0</v>
      </c>
      <c r="Z43" s="252">
        <f t="shared" si="24"/>
        <v>0</v>
      </c>
      <c r="AA43" s="252">
        <f t="shared" si="24"/>
        <v>0</v>
      </c>
      <c r="AB43" s="252">
        <f t="shared" si="24"/>
        <v>0</v>
      </c>
      <c r="AC43" s="252">
        <f t="shared" si="24"/>
        <v>0</v>
      </c>
      <c r="AD43" s="252">
        <f t="shared" si="24"/>
        <v>0</v>
      </c>
      <c r="AE43" s="252">
        <f t="shared" si="24"/>
        <v>0</v>
      </c>
      <c r="AF43" s="252">
        <f t="shared" si="24"/>
        <v>0</v>
      </c>
      <c r="AG43" s="252">
        <f t="shared" si="24"/>
        <v>0</v>
      </c>
      <c r="AH43" s="252">
        <f t="shared" si="24"/>
        <v>0</v>
      </c>
      <c r="AI43" s="252">
        <f t="shared" si="24"/>
        <v>0</v>
      </c>
      <c r="AJ43" s="252">
        <f t="shared" si="24"/>
        <v>0</v>
      </c>
      <c r="AK43" s="252">
        <f t="shared" si="24"/>
        <v>0</v>
      </c>
      <c r="AL43" s="252">
        <f t="shared" si="24"/>
        <v>0</v>
      </c>
      <c r="AM43" s="252">
        <f t="shared" si="24"/>
        <v>0</v>
      </c>
      <c r="AN43" s="252">
        <f t="shared" si="24"/>
        <v>0</v>
      </c>
      <c r="AO43" s="252">
        <f t="shared" si="24"/>
        <v>0</v>
      </c>
      <c r="AP43" s="252">
        <f t="shared" si="24"/>
        <v>0</v>
      </c>
      <c r="AQ43" s="252">
        <f t="shared" si="24"/>
        <v>0</v>
      </c>
      <c r="AR43" s="252">
        <f t="shared" si="24"/>
        <v>0</v>
      </c>
      <c r="AS43" s="252">
        <f t="shared" si="24"/>
        <v>0</v>
      </c>
      <c r="AT43" s="252">
        <f t="shared" si="24"/>
        <v>0</v>
      </c>
      <c r="AU43" s="252">
        <f t="shared" si="24"/>
        <v>0</v>
      </c>
      <c r="AV43" s="252">
        <f t="shared" si="24"/>
        <v>0</v>
      </c>
      <c r="AW43" s="252">
        <f t="shared" si="24"/>
        <v>0</v>
      </c>
      <c r="AX43" s="252">
        <f t="shared" si="24"/>
        <v>0</v>
      </c>
      <c r="AY43" s="252">
        <f t="shared" si="24"/>
        <v>0</v>
      </c>
      <c r="AZ43" s="252">
        <f t="shared" si="24"/>
        <v>0</v>
      </c>
      <c r="BA43" s="252">
        <f t="shared" si="24"/>
        <v>0</v>
      </c>
    </row>
    <row r="44" ht="15.75" customHeight="1">
      <c r="A44" s="850">
        <v>1933.0</v>
      </c>
      <c r="B44" s="38"/>
      <c r="C44" s="38"/>
      <c r="D44" s="38"/>
      <c r="E44" s="38"/>
      <c r="F44" s="38"/>
      <c r="G44" s="38"/>
      <c r="H44" s="38"/>
      <c r="I44" s="38"/>
      <c r="J44" s="38"/>
      <c r="K44" s="38"/>
      <c r="L44" s="38"/>
      <c r="M44" s="38"/>
      <c r="N44" s="38"/>
      <c r="O44" s="38"/>
      <c r="P44" s="38"/>
      <c r="Q44" s="38"/>
      <c r="R44" s="38"/>
      <c r="S44" s="38"/>
      <c r="T44" s="38"/>
      <c r="U44" s="38"/>
      <c r="V44" s="171">
        <v>0.0</v>
      </c>
      <c r="W44" s="252">
        <f t="shared" si="22"/>
        <v>0</v>
      </c>
      <c r="X44" s="252">
        <f t="shared" ref="X44:BA44" si="25">IF(AND(X$40-$A44&gt;$V$27,SUM($W44:W44)&lt;&gt;$V44),$V44,0)</f>
        <v>0</v>
      </c>
      <c r="Y44" s="252">
        <f t="shared" si="25"/>
        <v>0</v>
      </c>
      <c r="Z44" s="252">
        <f t="shared" si="25"/>
        <v>0</v>
      </c>
      <c r="AA44" s="252">
        <f t="shared" si="25"/>
        <v>0</v>
      </c>
      <c r="AB44" s="252">
        <f t="shared" si="25"/>
        <v>0</v>
      </c>
      <c r="AC44" s="252">
        <f t="shared" si="25"/>
        <v>0</v>
      </c>
      <c r="AD44" s="252">
        <f t="shared" si="25"/>
        <v>0</v>
      </c>
      <c r="AE44" s="252">
        <f t="shared" si="25"/>
        <v>0</v>
      </c>
      <c r="AF44" s="252">
        <f t="shared" si="25"/>
        <v>0</v>
      </c>
      <c r="AG44" s="252">
        <f t="shared" si="25"/>
        <v>0</v>
      </c>
      <c r="AH44" s="252">
        <f t="shared" si="25"/>
        <v>0</v>
      </c>
      <c r="AI44" s="252">
        <f t="shared" si="25"/>
        <v>0</v>
      </c>
      <c r="AJ44" s="252">
        <f t="shared" si="25"/>
        <v>0</v>
      </c>
      <c r="AK44" s="252">
        <f t="shared" si="25"/>
        <v>0</v>
      </c>
      <c r="AL44" s="252">
        <f t="shared" si="25"/>
        <v>0</v>
      </c>
      <c r="AM44" s="252">
        <f t="shared" si="25"/>
        <v>0</v>
      </c>
      <c r="AN44" s="252">
        <f t="shared" si="25"/>
        <v>0</v>
      </c>
      <c r="AO44" s="252">
        <f t="shared" si="25"/>
        <v>0</v>
      </c>
      <c r="AP44" s="252">
        <f t="shared" si="25"/>
        <v>0</v>
      </c>
      <c r="AQ44" s="252">
        <f t="shared" si="25"/>
        <v>0</v>
      </c>
      <c r="AR44" s="252">
        <f t="shared" si="25"/>
        <v>0</v>
      </c>
      <c r="AS44" s="252">
        <f t="shared" si="25"/>
        <v>0</v>
      </c>
      <c r="AT44" s="252">
        <f t="shared" si="25"/>
        <v>0</v>
      </c>
      <c r="AU44" s="252">
        <f t="shared" si="25"/>
        <v>0</v>
      </c>
      <c r="AV44" s="252">
        <f t="shared" si="25"/>
        <v>0</v>
      </c>
      <c r="AW44" s="252">
        <f t="shared" si="25"/>
        <v>0</v>
      </c>
      <c r="AX44" s="252">
        <f t="shared" si="25"/>
        <v>0</v>
      </c>
      <c r="AY44" s="252">
        <f t="shared" si="25"/>
        <v>0</v>
      </c>
      <c r="AZ44" s="252">
        <f t="shared" si="25"/>
        <v>0</v>
      </c>
      <c r="BA44" s="252">
        <f t="shared" si="25"/>
        <v>0</v>
      </c>
    </row>
    <row r="45" ht="15.75" customHeight="1">
      <c r="A45" s="850">
        <v>1934.0</v>
      </c>
      <c r="B45" s="38"/>
      <c r="C45" s="38"/>
      <c r="D45" s="38"/>
      <c r="E45" s="38"/>
      <c r="F45" s="38"/>
      <c r="G45" s="38"/>
      <c r="H45" s="38"/>
      <c r="I45" s="38"/>
      <c r="J45" s="38"/>
      <c r="K45" s="38"/>
      <c r="L45" s="38"/>
      <c r="M45" s="38"/>
      <c r="N45" s="38"/>
      <c r="O45" s="38"/>
      <c r="P45" s="38"/>
      <c r="Q45" s="38"/>
      <c r="R45" s="38"/>
      <c r="S45" s="38"/>
      <c r="T45" s="38"/>
      <c r="U45" s="38"/>
      <c r="V45" s="171">
        <v>0.0</v>
      </c>
      <c r="W45" s="252">
        <f t="shared" si="22"/>
        <v>0</v>
      </c>
      <c r="X45" s="252">
        <f t="shared" ref="X45:BA45" si="26">IF(AND(X$40-$A45&gt;$V$27,SUM($W45:W45)&lt;&gt;$V45),$V45,0)</f>
        <v>0</v>
      </c>
      <c r="Y45" s="252">
        <f t="shared" si="26"/>
        <v>0</v>
      </c>
      <c r="Z45" s="252">
        <f t="shared" si="26"/>
        <v>0</v>
      </c>
      <c r="AA45" s="252">
        <f t="shared" si="26"/>
        <v>0</v>
      </c>
      <c r="AB45" s="252">
        <f t="shared" si="26"/>
        <v>0</v>
      </c>
      <c r="AC45" s="252">
        <f t="shared" si="26"/>
        <v>0</v>
      </c>
      <c r="AD45" s="252">
        <f t="shared" si="26"/>
        <v>0</v>
      </c>
      <c r="AE45" s="252">
        <f t="shared" si="26"/>
        <v>0</v>
      </c>
      <c r="AF45" s="252">
        <f t="shared" si="26"/>
        <v>0</v>
      </c>
      <c r="AG45" s="252">
        <f t="shared" si="26"/>
        <v>0</v>
      </c>
      <c r="AH45" s="252">
        <f t="shared" si="26"/>
        <v>0</v>
      </c>
      <c r="AI45" s="252">
        <f t="shared" si="26"/>
        <v>0</v>
      </c>
      <c r="AJ45" s="252">
        <f t="shared" si="26"/>
        <v>0</v>
      </c>
      <c r="AK45" s="252">
        <f t="shared" si="26"/>
        <v>0</v>
      </c>
      <c r="AL45" s="252">
        <f t="shared" si="26"/>
        <v>0</v>
      </c>
      <c r="AM45" s="252">
        <f t="shared" si="26"/>
        <v>0</v>
      </c>
      <c r="AN45" s="252">
        <f t="shared" si="26"/>
        <v>0</v>
      </c>
      <c r="AO45" s="252">
        <f t="shared" si="26"/>
        <v>0</v>
      </c>
      <c r="AP45" s="252">
        <f t="shared" si="26"/>
        <v>0</v>
      </c>
      <c r="AQ45" s="252">
        <f t="shared" si="26"/>
        <v>0</v>
      </c>
      <c r="AR45" s="252">
        <f t="shared" si="26"/>
        <v>0</v>
      </c>
      <c r="AS45" s="252">
        <f t="shared" si="26"/>
        <v>0</v>
      </c>
      <c r="AT45" s="252">
        <f t="shared" si="26"/>
        <v>0</v>
      </c>
      <c r="AU45" s="252">
        <f t="shared" si="26"/>
        <v>0</v>
      </c>
      <c r="AV45" s="252">
        <f t="shared" si="26"/>
        <v>0</v>
      </c>
      <c r="AW45" s="252">
        <f t="shared" si="26"/>
        <v>0</v>
      </c>
      <c r="AX45" s="252">
        <f t="shared" si="26"/>
        <v>0</v>
      </c>
      <c r="AY45" s="252">
        <f t="shared" si="26"/>
        <v>0</v>
      </c>
      <c r="AZ45" s="252">
        <f t="shared" si="26"/>
        <v>0</v>
      </c>
      <c r="BA45" s="252">
        <f t="shared" si="26"/>
        <v>0</v>
      </c>
    </row>
    <row r="46" ht="15.75" customHeight="1">
      <c r="A46" s="850">
        <v>1935.0</v>
      </c>
      <c r="B46" s="38"/>
      <c r="C46" s="38"/>
      <c r="D46" s="38"/>
      <c r="E46" s="38"/>
      <c r="F46" s="38"/>
      <c r="G46" s="38"/>
      <c r="H46" s="38"/>
      <c r="I46" s="38"/>
      <c r="J46" s="38"/>
      <c r="K46" s="38"/>
      <c r="L46" s="38"/>
      <c r="M46" s="38"/>
      <c r="N46" s="38"/>
      <c r="O46" s="38"/>
      <c r="P46" s="38"/>
      <c r="Q46" s="38"/>
      <c r="R46" s="38"/>
      <c r="S46" s="38"/>
      <c r="T46" s="38"/>
      <c r="U46" s="38"/>
      <c r="V46" s="171">
        <v>0.0</v>
      </c>
      <c r="W46" s="252">
        <f t="shared" si="22"/>
        <v>0</v>
      </c>
      <c r="X46" s="252">
        <f t="shared" ref="X46:BA46" si="27">IF(AND(X$40-$A46&gt;$V$27,SUM($W46:W46)&lt;&gt;$V46),$V46,0)</f>
        <v>0</v>
      </c>
      <c r="Y46" s="252">
        <f t="shared" si="27"/>
        <v>0</v>
      </c>
      <c r="Z46" s="252">
        <f t="shared" si="27"/>
        <v>0</v>
      </c>
      <c r="AA46" s="252">
        <f t="shared" si="27"/>
        <v>0</v>
      </c>
      <c r="AB46" s="252">
        <f t="shared" si="27"/>
        <v>0</v>
      </c>
      <c r="AC46" s="252">
        <f t="shared" si="27"/>
        <v>0</v>
      </c>
      <c r="AD46" s="252">
        <f t="shared" si="27"/>
        <v>0</v>
      </c>
      <c r="AE46" s="252">
        <f t="shared" si="27"/>
        <v>0</v>
      </c>
      <c r="AF46" s="252">
        <f t="shared" si="27"/>
        <v>0</v>
      </c>
      <c r="AG46" s="252">
        <f t="shared" si="27"/>
        <v>0</v>
      </c>
      <c r="AH46" s="252">
        <f t="shared" si="27"/>
        <v>0</v>
      </c>
      <c r="AI46" s="252">
        <f t="shared" si="27"/>
        <v>0</v>
      </c>
      <c r="AJ46" s="252">
        <f t="shared" si="27"/>
        <v>0</v>
      </c>
      <c r="AK46" s="252">
        <f t="shared" si="27"/>
        <v>0</v>
      </c>
      <c r="AL46" s="252">
        <f t="shared" si="27"/>
        <v>0</v>
      </c>
      <c r="AM46" s="252">
        <f t="shared" si="27"/>
        <v>0</v>
      </c>
      <c r="AN46" s="252">
        <f t="shared" si="27"/>
        <v>0</v>
      </c>
      <c r="AO46" s="252">
        <f t="shared" si="27"/>
        <v>0</v>
      </c>
      <c r="AP46" s="252">
        <f t="shared" si="27"/>
        <v>0</v>
      </c>
      <c r="AQ46" s="252">
        <f t="shared" si="27"/>
        <v>0</v>
      </c>
      <c r="AR46" s="252">
        <f t="shared" si="27"/>
        <v>0</v>
      </c>
      <c r="AS46" s="252">
        <f t="shared" si="27"/>
        <v>0</v>
      </c>
      <c r="AT46" s="252">
        <f t="shared" si="27"/>
        <v>0</v>
      </c>
      <c r="AU46" s="252">
        <f t="shared" si="27"/>
        <v>0</v>
      </c>
      <c r="AV46" s="252">
        <f t="shared" si="27"/>
        <v>0</v>
      </c>
      <c r="AW46" s="252">
        <f t="shared" si="27"/>
        <v>0</v>
      </c>
      <c r="AX46" s="252">
        <f t="shared" si="27"/>
        <v>0</v>
      </c>
      <c r="AY46" s="252">
        <f t="shared" si="27"/>
        <v>0</v>
      </c>
      <c r="AZ46" s="252">
        <f t="shared" si="27"/>
        <v>0</v>
      </c>
      <c r="BA46" s="252">
        <f t="shared" si="27"/>
        <v>0</v>
      </c>
    </row>
    <row r="47" ht="15.75" customHeight="1">
      <c r="A47" s="850">
        <v>1936.0</v>
      </c>
      <c r="B47" s="38"/>
      <c r="C47" s="38"/>
      <c r="D47" s="38"/>
      <c r="E47" s="38"/>
      <c r="F47" s="38"/>
      <c r="G47" s="38"/>
      <c r="H47" s="38"/>
      <c r="I47" s="38"/>
      <c r="J47" s="38"/>
      <c r="K47" s="38"/>
      <c r="L47" s="38"/>
      <c r="M47" s="38"/>
      <c r="N47" s="38"/>
      <c r="O47" s="38"/>
      <c r="P47" s="38"/>
      <c r="Q47" s="38"/>
      <c r="R47" s="38"/>
      <c r="S47" s="38"/>
      <c r="T47" s="38"/>
      <c r="U47" s="38"/>
      <c r="V47" s="171">
        <v>0.0</v>
      </c>
      <c r="W47" s="252">
        <f t="shared" si="22"/>
        <v>0</v>
      </c>
      <c r="X47" s="252">
        <f t="shared" ref="X47:BA47" si="28">IF(AND(X$40-$A47&gt;$V$27,SUM($W47:W47)&lt;&gt;$V47),$V47,0)</f>
        <v>0</v>
      </c>
      <c r="Y47" s="252">
        <f t="shared" si="28"/>
        <v>0</v>
      </c>
      <c r="Z47" s="252">
        <f t="shared" si="28"/>
        <v>0</v>
      </c>
      <c r="AA47" s="252">
        <f t="shared" si="28"/>
        <v>0</v>
      </c>
      <c r="AB47" s="252">
        <f t="shared" si="28"/>
        <v>0</v>
      </c>
      <c r="AC47" s="252">
        <f t="shared" si="28"/>
        <v>0</v>
      </c>
      <c r="AD47" s="252">
        <f t="shared" si="28"/>
        <v>0</v>
      </c>
      <c r="AE47" s="252">
        <f t="shared" si="28"/>
        <v>0</v>
      </c>
      <c r="AF47" s="252">
        <f t="shared" si="28"/>
        <v>0</v>
      </c>
      <c r="AG47" s="252">
        <f t="shared" si="28"/>
        <v>0</v>
      </c>
      <c r="AH47" s="252">
        <f t="shared" si="28"/>
        <v>0</v>
      </c>
      <c r="AI47" s="252">
        <f t="shared" si="28"/>
        <v>0</v>
      </c>
      <c r="AJ47" s="252">
        <f t="shared" si="28"/>
        <v>0</v>
      </c>
      <c r="AK47" s="252">
        <f t="shared" si="28"/>
        <v>0</v>
      </c>
      <c r="AL47" s="252">
        <f t="shared" si="28"/>
        <v>0</v>
      </c>
      <c r="AM47" s="252">
        <f t="shared" si="28"/>
        <v>0</v>
      </c>
      <c r="AN47" s="252">
        <f t="shared" si="28"/>
        <v>0</v>
      </c>
      <c r="AO47" s="252">
        <f t="shared" si="28"/>
        <v>0</v>
      </c>
      <c r="AP47" s="252">
        <f t="shared" si="28"/>
        <v>0</v>
      </c>
      <c r="AQ47" s="252">
        <f t="shared" si="28"/>
        <v>0</v>
      </c>
      <c r="AR47" s="252">
        <f t="shared" si="28"/>
        <v>0</v>
      </c>
      <c r="AS47" s="252">
        <f t="shared" si="28"/>
        <v>0</v>
      </c>
      <c r="AT47" s="252">
        <f t="shared" si="28"/>
        <v>0</v>
      </c>
      <c r="AU47" s="252">
        <f t="shared" si="28"/>
        <v>0</v>
      </c>
      <c r="AV47" s="252">
        <f t="shared" si="28"/>
        <v>0</v>
      </c>
      <c r="AW47" s="252">
        <f t="shared" si="28"/>
        <v>0</v>
      </c>
      <c r="AX47" s="252">
        <f t="shared" si="28"/>
        <v>0</v>
      </c>
      <c r="AY47" s="252">
        <f t="shared" si="28"/>
        <v>0</v>
      </c>
      <c r="AZ47" s="252">
        <f t="shared" si="28"/>
        <v>0</v>
      </c>
      <c r="BA47" s="252">
        <f t="shared" si="28"/>
        <v>0</v>
      </c>
    </row>
    <row r="48" ht="15.75" customHeight="1">
      <c r="A48" s="850">
        <v>1937.0</v>
      </c>
      <c r="B48" s="38"/>
      <c r="C48" s="38"/>
      <c r="D48" s="38"/>
      <c r="E48" s="38"/>
      <c r="F48" s="38"/>
      <c r="G48" s="38"/>
      <c r="H48" s="38"/>
      <c r="I48" s="38"/>
      <c r="J48" s="38"/>
      <c r="K48" s="38"/>
      <c r="L48" s="38"/>
      <c r="M48" s="38"/>
      <c r="N48" s="38"/>
      <c r="O48" s="38"/>
      <c r="P48" s="38"/>
      <c r="Q48" s="38"/>
      <c r="R48" s="38"/>
      <c r="S48" s="38"/>
      <c r="T48" s="38"/>
      <c r="U48" s="38"/>
      <c r="V48" s="171">
        <v>0.0</v>
      </c>
      <c r="W48" s="252">
        <f t="shared" si="22"/>
        <v>0</v>
      </c>
      <c r="X48" s="252">
        <f t="shared" ref="X48:BA48" si="29">IF(AND(X$40-$A48&gt;$V$27,SUM($W48:W48)&lt;&gt;$V48),$V48,0)</f>
        <v>0</v>
      </c>
      <c r="Y48" s="252">
        <f t="shared" si="29"/>
        <v>0</v>
      </c>
      <c r="Z48" s="252">
        <f t="shared" si="29"/>
        <v>0</v>
      </c>
      <c r="AA48" s="252">
        <f t="shared" si="29"/>
        <v>0</v>
      </c>
      <c r="AB48" s="252">
        <f t="shared" si="29"/>
        <v>0</v>
      </c>
      <c r="AC48" s="252">
        <f t="shared" si="29"/>
        <v>0</v>
      </c>
      <c r="AD48" s="252">
        <f t="shared" si="29"/>
        <v>0</v>
      </c>
      <c r="AE48" s="252">
        <f t="shared" si="29"/>
        <v>0</v>
      </c>
      <c r="AF48" s="252">
        <f t="shared" si="29"/>
        <v>0</v>
      </c>
      <c r="AG48" s="252">
        <f t="shared" si="29"/>
        <v>0</v>
      </c>
      <c r="AH48" s="252">
        <f t="shared" si="29"/>
        <v>0</v>
      </c>
      <c r="AI48" s="252">
        <f t="shared" si="29"/>
        <v>0</v>
      </c>
      <c r="AJ48" s="252">
        <f t="shared" si="29"/>
        <v>0</v>
      </c>
      <c r="AK48" s="252">
        <f t="shared" si="29"/>
        <v>0</v>
      </c>
      <c r="AL48" s="252">
        <f t="shared" si="29"/>
        <v>0</v>
      </c>
      <c r="AM48" s="252">
        <f t="shared" si="29"/>
        <v>0</v>
      </c>
      <c r="AN48" s="252">
        <f t="shared" si="29"/>
        <v>0</v>
      </c>
      <c r="AO48" s="252">
        <f t="shared" si="29"/>
        <v>0</v>
      </c>
      <c r="AP48" s="252">
        <f t="shared" si="29"/>
        <v>0</v>
      </c>
      <c r="AQ48" s="252">
        <f t="shared" si="29"/>
        <v>0</v>
      </c>
      <c r="AR48" s="252">
        <f t="shared" si="29"/>
        <v>0</v>
      </c>
      <c r="AS48" s="252">
        <f t="shared" si="29"/>
        <v>0</v>
      </c>
      <c r="AT48" s="252">
        <f t="shared" si="29"/>
        <v>0</v>
      </c>
      <c r="AU48" s="252">
        <f t="shared" si="29"/>
        <v>0</v>
      </c>
      <c r="AV48" s="252">
        <f t="shared" si="29"/>
        <v>0</v>
      </c>
      <c r="AW48" s="252">
        <f t="shared" si="29"/>
        <v>0</v>
      </c>
      <c r="AX48" s="252">
        <f t="shared" si="29"/>
        <v>0</v>
      </c>
      <c r="AY48" s="252">
        <f t="shared" si="29"/>
        <v>0</v>
      </c>
      <c r="AZ48" s="252">
        <f t="shared" si="29"/>
        <v>0</v>
      </c>
      <c r="BA48" s="252">
        <f t="shared" si="29"/>
        <v>0</v>
      </c>
    </row>
    <row r="49" ht="15.75" customHeight="1">
      <c r="A49" s="850">
        <v>1938.0</v>
      </c>
      <c r="B49" s="38"/>
      <c r="C49" s="38"/>
      <c r="D49" s="38"/>
      <c r="E49" s="38"/>
      <c r="F49" s="38"/>
      <c r="G49" s="38"/>
      <c r="H49" s="38"/>
      <c r="I49" s="38"/>
      <c r="J49" s="38"/>
      <c r="K49" s="38"/>
      <c r="L49" s="38"/>
      <c r="M49" s="38"/>
      <c r="N49" s="38"/>
      <c r="O49" s="38"/>
      <c r="P49" s="38"/>
      <c r="Q49" s="38"/>
      <c r="R49" s="38"/>
      <c r="S49" s="38"/>
      <c r="T49" s="38"/>
      <c r="U49" s="38"/>
      <c r="V49" s="171">
        <v>0.0</v>
      </c>
      <c r="W49" s="252">
        <f t="shared" si="22"/>
        <v>0</v>
      </c>
      <c r="X49" s="252">
        <f t="shared" ref="X49:BA49" si="30">IF(AND(X$40-$A49&gt;$V$27,SUM($W49:W49)&lt;&gt;$V49),$V49,0)</f>
        <v>0</v>
      </c>
      <c r="Y49" s="252">
        <f t="shared" si="30"/>
        <v>0</v>
      </c>
      <c r="Z49" s="252">
        <f t="shared" si="30"/>
        <v>0</v>
      </c>
      <c r="AA49" s="252">
        <f t="shared" si="30"/>
        <v>0</v>
      </c>
      <c r="AB49" s="252">
        <f t="shared" si="30"/>
        <v>0</v>
      </c>
      <c r="AC49" s="252">
        <f t="shared" si="30"/>
        <v>0</v>
      </c>
      <c r="AD49" s="252">
        <f t="shared" si="30"/>
        <v>0</v>
      </c>
      <c r="AE49" s="252">
        <f t="shared" si="30"/>
        <v>0</v>
      </c>
      <c r="AF49" s="252">
        <f t="shared" si="30"/>
        <v>0</v>
      </c>
      <c r="AG49" s="252">
        <f t="shared" si="30"/>
        <v>0</v>
      </c>
      <c r="AH49" s="252">
        <f t="shared" si="30"/>
        <v>0</v>
      </c>
      <c r="AI49" s="252">
        <f t="shared" si="30"/>
        <v>0</v>
      </c>
      <c r="AJ49" s="252">
        <f t="shared" si="30"/>
        <v>0</v>
      </c>
      <c r="AK49" s="252">
        <f t="shared" si="30"/>
        <v>0</v>
      </c>
      <c r="AL49" s="252">
        <f t="shared" si="30"/>
        <v>0</v>
      </c>
      <c r="AM49" s="252">
        <f t="shared" si="30"/>
        <v>0</v>
      </c>
      <c r="AN49" s="252">
        <f t="shared" si="30"/>
        <v>0</v>
      </c>
      <c r="AO49" s="252">
        <f t="shared" si="30"/>
        <v>0</v>
      </c>
      <c r="AP49" s="252">
        <f t="shared" si="30"/>
        <v>0</v>
      </c>
      <c r="AQ49" s="252">
        <f t="shared" si="30"/>
        <v>0</v>
      </c>
      <c r="AR49" s="252">
        <f t="shared" si="30"/>
        <v>0</v>
      </c>
      <c r="AS49" s="252">
        <f t="shared" si="30"/>
        <v>0</v>
      </c>
      <c r="AT49" s="252">
        <f t="shared" si="30"/>
        <v>0</v>
      </c>
      <c r="AU49" s="252">
        <f t="shared" si="30"/>
        <v>0</v>
      </c>
      <c r="AV49" s="252">
        <f t="shared" si="30"/>
        <v>0</v>
      </c>
      <c r="AW49" s="252">
        <f t="shared" si="30"/>
        <v>0</v>
      </c>
      <c r="AX49" s="252">
        <f t="shared" si="30"/>
        <v>0</v>
      </c>
      <c r="AY49" s="252">
        <f t="shared" si="30"/>
        <v>0</v>
      </c>
      <c r="AZ49" s="252">
        <f t="shared" si="30"/>
        <v>0</v>
      </c>
      <c r="BA49" s="252">
        <f t="shared" si="30"/>
        <v>0</v>
      </c>
    </row>
    <row r="50" ht="15.75" customHeight="1">
      <c r="A50" s="850">
        <v>1939.0</v>
      </c>
      <c r="B50" s="38"/>
      <c r="C50" s="38"/>
      <c r="D50" s="38"/>
      <c r="E50" s="38"/>
      <c r="F50" s="38"/>
      <c r="G50" s="38"/>
      <c r="H50" s="38"/>
      <c r="I50" s="38"/>
      <c r="J50" s="38"/>
      <c r="K50" s="38"/>
      <c r="L50" s="38"/>
      <c r="M50" s="38"/>
      <c r="N50" s="38"/>
      <c r="O50" s="38"/>
      <c r="P50" s="38"/>
      <c r="Q50" s="38"/>
      <c r="R50" s="38"/>
      <c r="S50" s="38"/>
      <c r="T50" s="38"/>
      <c r="U50" s="38"/>
      <c r="V50" s="171">
        <v>0.0</v>
      </c>
      <c r="W50" s="252">
        <f t="shared" si="22"/>
        <v>0</v>
      </c>
      <c r="X50" s="252">
        <f t="shared" ref="X50:BA50" si="31">IF(AND(X$40-$A50&gt;$V$27,SUM($W50:W50)&lt;&gt;$V50),$V50,0)</f>
        <v>0</v>
      </c>
      <c r="Y50" s="252">
        <f t="shared" si="31"/>
        <v>0</v>
      </c>
      <c r="Z50" s="252">
        <f t="shared" si="31"/>
        <v>0</v>
      </c>
      <c r="AA50" s="252">
        <f t="shared" si="31"/>
        <v>0</v>
      </c>
      <c r="AB50" s="252">
        <f t="shared" si="31"/>
        <v>0</v>
      </c>
      <c r="AC50" s="252">
        <f t="shared" si="31"/>
        <v>0</v>
      </c>
      <c r="AD50" s="252">
        <f t="shared" si="31"/>
        <v>0</v>
      </c>
      <c r="AE50" s="252">
        <f t="shared" si="31"/>
        <v>0</v>
      </c>
      <c r="AF50" s="252">
        <f t="shared" si="31"/>
        <v>0</v>
      </c>
      <c r="AG50" s="252">
        <f t="shared" si="31"/>
        <v>0</v>
      </c>
      <c r="AH50" s="252">
        <f t="shared" si="31"/>
        <v>0</v>
      </c>
      <c r="AI50" s="252">
        <f t="shared" si="31"/>
        <v>0</v>
      </c>
      <c r="AJ50" s="252">
        <f t="shared" si="31"/>
        <v>0</v>
      </c>
      <c r="AK50" s="252">
        <f t="shared" si="31"/>
        <v>0</v>
      </c>
      <c r="AL50" s="252">
        <f t="shared" si="31"/>
        <v>0</v>
      </c>
      <c r="AM50" s="252">
        <f t="shared" si="31"/>
        <v>0</v>
      </c>
      <c r="AN50" s="252">
        <f t="shared" si="31"/>
        <v>0</v>
      </c>
      <c r="AO50" s="252">
        <f t="shared" si="31"/>
        <v>0</v>
      </c>
      <c r="AP50" s="252">
        <f t="shared" si="31"/>
        <v>0</v>
      </c>
      <c r="AQ50" s="252">
        <f t="shared" si="31"/>
        <v>0</v>
      </c>
      <c r="AR50" s="252">
        <f t="shared" si="31"/>
        <v>0</v>
      </c>
      <c r="AS50" s="252">
        <f t="shared" si="31"/>
        <v>0</v>
      </c>
      <c r="AT50" s="252">
        <f t="shared" si="31"/>
        <v>0</v>
      </c>
      <c r="AU50" s="252">
        <f t="shared" si="31"/>
        <v>0</v>
      </c>
      <c r="AV50" s="252">
        <f t="shared" si="31"/>
        <v>0</v>
      </c>
      <c r="AW50" s="252">
        <f t="shared" si="31"/>
        <v>0</v>
      </c>
      <c r="AX50" s="252">
        <f t="shared" si="31"/>
        <v>0</v>
      </c>
      <c r="AY50" s="252">
        <f t="shared" si="31"/>
        <v>0</v>
      </c>
      <c r="AZ50" s="252">
        <f t="shared" si="31"/>
        <v>0</v>
      </c>
      <c r="BA50" s="252">
        <f t="shared" si="31"/>
        <v>0</v>
      </c>
    </row>
    <row r="51" ht="15.75" customHeight="1">
      <c r="A51" s="850">
        <v>1940.0</v>
      </c>
      <c r="B51" s="38"/>
      <c r="C51" s="38"/>
      <c r="D51" s="38"/>
      <c r="E51" s="38"/>
      <c r="F51" s="38"/>
      <c r="G51" s="38"/>
      <c r="H51" s="38"/>
      <c r="I51" s="38"/>
      <c r="J51" s="38"/>
      <c r="K51" s="38"/>
      <c r="L51" s="38"/>
      <c r="M51" s="38"/>
      <c r="N51" s="38"/>
      <c r="O51" s="38"/>
      <c r="P51" s="38"/>
      <c r="Q51" s="38"/>
      <c r="R51" s="38"/>
      <c r="S51" s="38"/>
      <c r="T51" s="38"/>
      <c r="U51" s="38"/>
      <c r="V51" s="171">
        <v>0.0</v>
      </c>
      <c r="W51" s="252">
        <f t="shared" si="22"/>
        <v>0</v>
      </c>
      <c r="X51" s="252">
        <f t="shared" ref="X51:BA51" si="32">IF(AND(X$40-$A51&gt;$V$27,SUM($W51:W51)&lt;&gt;$V51),$V51,0)</f>
        <v>0</v>
      </c>
      <c r="Y51" s="252">
        <f t="shared" si="32"/>
        <v>0</v>
      </c>
      <c r="Z51" s="252">
        <f t="shared" si="32"/>
        <v>0</v>
      </c>
      <c r="AA51" s="252">
        <f t="shared" si="32"/>
        <v>0</v>
      </c>
      <c r="AB51" s="252">
        <f t="shared" si="32"/>
        <v>0</v>
      </c>
      <c r="AC51" s="252">
        <f t="shared" si="32"/>
        <v>0</v>
      </c>
      <c r="AD51" s="252">
        <f t="shared" si="32"/>
        <v>0</v>
      </c>
      <c r="AE51" s="252">
        <f t="shared" si="32"/>
        <v>0</v>
      </c>
      <c r="AF51" s="252">
        <f t="shared" si="32"/>
        <v>0</v>
      </c>
      <c r="AG51" s="252">
        <f t="shared" si="32"/>
        <v>0</v>
      </c>
      <c r="AH51" s="252">
        <f t="shared" si="32"/>
        <v>0</v>
      </c>
      <c r="AI51" s="252">
        <f t="shared" si="32"/>
        <v>0</v>
      </c>
      <c r="AJ51" s="252">
        <f t="shared" si="32"/>
        <v>0</v>
      </c>
      <c r="AK51" s="252">
        <f t="shared" si="32"/>
        <v>0</v>
      </c>
      <c r="AL51" s="252">
        <f t="shared" si="32"/>
        <v>0</v>
      </c>
      <c r="AM51" s="252">
        <f t="shared" si="32"/>
        <v>0</v>
      </c>
      <c r="AN51" s="252">
        <f t="shared" si="32"/>
        <v>0</v>
      </c>
      <c r="AO51" s="252">
        <f t="shared" si="32"/>
        <v>0</v>
      </c>
      <c r="AP51" s="252">
        <f t="shared" si="32"/>
        <v>0</v>
      </c>
      <c r="AQ51" s="252">
        <f t="shared" si="32"/>
        <v>0</v>
      </c>
      <c r="AR51" s="252">
        <f t="shared" si="32"/>
        <v>0</v>
      </c>
      <c r="AS51" s="252">
        <f t="shared" si="32"/>
        <v>0</v>
      </c>
      <c r="AT51" s="252">
        <f t="shared" si="32"/>
        <v>0</v>
      </c>
      <c r="AU51" s="252">
        <f t="shared" si="32"/>
        <v>0</v>
      </c>
      <c r="AV51" s="252">
        <f t="shared" si="32"/>
        <v>0</v>
      </c>
      <c r="AW51" s="252">
        <f t="shared" si="32"/>
        <v>0</v>
      </c>
      <c r="AX51" s="252">
        <f t="shared" si="32"/>
        <v>0</v>
      </c>
      <c r="AY51" s="252">
        <f t="shared" si="32"/>
        <v>0</v>
      </c>
      <c r="AZ51" s="252">
        <f t="shared" si="32"/>
        <v>0</v>
      </c>
      <c r="BA51" s="252">
        <f t="shared" si="32"/>
        <v>0</v>
      </c>
    </row>
    <row r="52" ht="15.75" customHeight="1">
      <c r="A52" s="850">
        <v>1941.0</v>
      </c>
      <c r="B52" s="38"/>
      <c r="C52" s="38"/>
      <c r="D52" s="38"/>
      <c r="E52" s="38"/>
      <c r="F52" s="38"/>
      <c r="G52" s="38"/>
      <c r="H52" s="38"/>
      <c r="I52" s="38"/>
      <c r="J52" s="38"/>
      <c r="K52" s="38"/>
      <c r="L52" s="38"/>
      <c r="M52" s="38"/>
      <c r="N52" s="38"/>
      <c r="O52" s="38"/>
      <c r="P52" s="38"/>
      <c r="Q52" s="38"/>
      <c r="R52" s="38"/>
      <c r="S52" s="38"/>
      <c r="T52" s="38"/>
      <c r="U52" s="38"/>
      <c r="V52" s="171">
        <v>0.0</v>
      </c>
      <c r="W52" s="252">
        <f t="shared" si="22"/>
        <v>0</v>
      </c>
      <c r="X52" s="252">
        <f t="shared" ref="X52:BA52" si="33">IF(AND(X$40-$A52&gt;$V$27,SUM($W52:W52)&lt;&gt;$V52),$V52,0)</f>
        <v>0</v>
      </c>
      <c r="Y52" s="252">
        <f t="shared" si="33"/>
        <v>0</v>
      </c>
      <c r="Z52" s="252">
        <f t="shared" si="33"/>
        <v>0</v>
      </c>
      <c r="AA52" s="252">
        <f t="shared" si="33"/>
        <v>0</v>
      </c>
      <c r="AB52" s="252">
        <f t="shared" si="33"/>
        <v>0</v>
      </c>
      <c r="AC52" s="252">
        <f t="shared" si="33"/>
        <v>0</v>
      </c>
      <c r="AD52" s="252">
        <f t="shared" si="33"/>
        <v>0</v>
      </c>
      <c r="AE52" s="252">
        <f t="shared" si="33"/>
        <v>0</v>
      </c>
      <c r="AF52" s="252">
        <f t="shared" si="33"/>
        <v>0</v>
      </c>
      <c r="AG52" s="252">
        <f t="shared" si="33"/>
        <v>0</v>
      </c>
      <c r="AH52" s="252">
        <f t="shared" si="33"/>
        <v>0</v>
      </c>
      <c r="AI52" s="252">
        <f t="shared" si="33"/>
        <v>0</v>
      </c>
      <c r="AJ52" s="252">
        <f t="shared" si="33"/>
        <v>0</v>
      </c>
      <c r="AK52" s="252">
        <f t="shared" si="33"/>
        <v>0</v>
      </c>
      <c r="AL52" s="252">
        <f t="shared" si="33"/>
        <v>0</v>
      </c>
      <c r="AM52" s="252">
        <f t="shared" si="33"/>
        <v>0</v>
      </c>
      <c r="AN52" s="252">
        <f t="shared" si="33"/>
        <v>0</v>
      </c>
      <c r="AO52" s="252">
        <f t="shared" si="33"/>
        <v>0</v>
      </c>
      <c r="AP52" s="252">
        <f t="shared" si="33"/>
        <v>0</v>
      </c>
      <c r="AQ52" s="252">
        <f t="shared" si="33"/>
        <v>0</v>
      </c>
      <c r="AR52" s="252">
        <f t="shared" si="33"/>
        <v>0</v>
      </c>
      <c r="AS52" s="252">
        <f t="shared" si="33"/>
        <v>0</v>
      </c>
      <c r="AT52" s="252">
        <f t="shared" si="33"/>
        <v>0</v>
      </c>
      <c r="AU52" s="252">
        <f t="shared" si="33"/>
        <v>0</v>
      </c>
      <c r="AV52" s="252">
        <f t="shared" si="33"/>
        <v>0</v>
      </c>
      <c r="AW52" s="252">
        <f t="shared" si="33"/>
        <v>0</v>
      </c>
      <c r="AX52" s="252">
        <f t="shared" si="33"/>
        <v>0</v>
      </c>
      <c r="AY52" s="252">
        <f t="shared" si="33"/>
        <v>0</v>
      </c>
      <c r="AZ52" s="252">
        <f t="shared" si="33"/>
        <v>0</v>
      </c>
      <c r="BA52" s="252">
        <f t="shared" si="33"/>
        <v>0</v>
      </c>
    </row>
    <row r="53" ht="15.75" customHeight="1">
      <c r="A53" s="850">
        <v>1942.0</v>
      </c>
      <c r="B53" s="38"/>
      <c r="C53" s="38"/>
      <c r="D53" s="38"/>
      <c r="E53" s="38"/>
      <c r="F53" s="38"/>
      <c r="G53" s="38"/>
      <c r="H53" s="38"/>
      <c r="I53" s="38"/>
      <c r="J53" s="38"/>
      <c r="K53" s="38"/>
      <c r="L53" s="38"/>
      <c r="M53" s="38"/>
      <c r="N53" s="38"/>
      <c r="O53" s="38"/>
      <c r="P53" s="38"/>
      <c r="Q53" s="38"/>
      <c r="R53" s="38"/>
      <c r="S53" s="38"/>
      <c r="T53" s="38"/>
      <c r="U53" s="38"/>
      <c r="V53" s="171">
        <v>0.0</v>
      </c>
      <c r="W53" s="252">
        <f t="shared" si="22"/>
        <v>0</v>
      </c>
      <c r="X53" s="252">
        <f t="shared" ref="X53:BA53" si="34">IF(AND(X$40-$A53&gt;$V$27,SUM($W53:W53)&lt;&gt;$V53),$V53,0)</f>
        <v>0</v>
      </c>
      <c r="Y53" s="252">
        <f t="shared" si="34"/>
        <v>0</v>
      </c>
      <c r="Z53" s="252">
        <f t="shared" si="34"/>
        <v>0</v>
      </c>
      <c r="AA53" s="252">
        <f t="shared" si="34"/>
        <v>0</v>
      </c>
      <c r="AB53" s="252">
        <f t="shared" si="34"/>
        <v>0</v>
      </c>
      <c r="AC53" s="252">
        <f t="shared" si="34"/>
        <v>0</v>
      </c>
      <c r="AD53" s="252">
        <f t="shared" si="34"/>
        <v>0</v>
      </c>
      <c r="AE53" s="252">
        <f t="shared" si="34"/>
        <v>0</v>
      </c>
      <c r="AF53" s="252">
        <f t="shared" si="34"/>
        <v>0</v>
      </c>
      <c r="AG53" s="252">
        <f t="shared" si="34"/>
        <v>0</v>
      </c>
      <c r="AH53" s="252">
        <f t="shared" si="34"/>
        <v>0</v>
      </c>
      <c r="AI53" s="252">
        <f t="shared" si="34"/>
        <v>0</v>
      </c>
      <c r="AJ53" s="252">
        <f t="shared" si="34"/>
        <v>0</v>
      </c>
      <c r="AK53" s="252">
        <f t="shared" si="34"/>
        <v>0</v>
      </c>
      <c r="AL53" s="252">
        <f t="shared" si="34"/>
        <v>0</v>
      </c>
      <c r="AM53" s="252">
        <f t="shared" si="34"/>
        <v>0</v>
      </c>
      <c r="AN53" s="252">
        <f t="shared" si="34"/>
        <v>0</v>
      </c>
      <c r="AO53" s="252">
        <f t="shared" si="34"/>
        <v>0</v>
      </c>
      <c r="AP53" s="252">
        <f t="shared" si="34"/>
        <v>0</v>
      </c>
      <c r="AQ53" s="252">
        <f t="shared" si="34"/>
        <v>0</v>
      </c>
      <c r="AR53" s="252">
        <f t="shared" si="34"/>
        <v>0</v>
      </c>
      <c r="AS53" s="252">
        <f t="shared" si="34"/>
        <v>0</v>
      </c>
      <c r="AT53" s="252">
        <f t="shared" si="34"/>
        <v>0</v>
      </c>
      <c r="AU53" s="252">
        <f t="shared" si="34"/>
        <v>0</v>
      </c>
      <c r="AV53" s="252">
        <f t="shared" si="34"/>
        <v>0</v>
      </c>
      <c r="AW53" s="252">
        <f t="shared" si="34"/>
        <v>0</v>
      </c>
      <c r="AX53" s="252">
        <f t="shared" si="34"/>
        <v>0</v>
      </c>
      <c r="AY53" s="252">
        <f t="shared" si="34"/>
        <v>0</v>
      </c>
      <c r="AZ53" s="252">
        <f t="shared" si="34"/>
        <v>0</v>
      </c>
      <c r="BA53" s="252">
        <f t="shared" si="34"/>
        <v>0</v>
      </c>
    </row>
    <row r="54" ht="15.75" customHeight="1">
      <c r="A54" s="850">
        <v>1943.0</v>
      </c>
      <c r="B54" s="38"/>
      <c r="C54" s="38"/>
      <c r="D54" s="38"/>
      <c r="E54" s="38"/>
      <c r="F54" s="38"/>
      <c r="G54" s="38"/>
      <c r="H54" s="38"/>
      <c r="I54" s="38"/>
      <c r="J54" s="38"/>
      <c r="K54" s="38"/>
      <c r="L54" s="38"/>
      <c r="M54" s="38"/>
      <c r="N54" s="38"/>
      <c r="O54" s="38"/>
      <c r="P54" s="38"/>
      <c r="Q54" s="38"/>
      <c r="R54" s="38"/>
      <c r="S54" s="38"/>
      <c r="T54" s="38"/>
      <c r="U54" s="38"/>
      <c r="V54" s="171">
        <v>0.0</v>
      </c>
      <c r="W54" s="252">
        <f t="shared" si="22"/>
        <v>0</v>
      </c>
      <c r="X54" s="252">
        <f t="shared" ref="X54:BA54" si="35">IF(AND(X$40-$A54&gt;$V$27,SUM($W54:W54)&lt;&gt;$V54),$V54,0)</f>
        <v>0</v>
      </c>
      <c r="Y54" s="252">
        <f t="shared" si="35"/>
        <v>0</v>
      </c>
      <c r="Z54" s="252">
        <f t="shared" si="35"/>
        <v>0</v>
      </c>
      <c r="AA54" s="252">
        <f t="shared" si="35"/>
        <v>0</v>
      </c>
      <c r="AB54" s="252">
        <f t="shared" si="35"/>
        <v>0</v>
      </c>
      <c r="AC54" s="252">
        <f t="shared" si="35"/>
        <v>0</v>
      </c>
      <c r="AD54" s="252">
        <f t="shared" si="35"/>
        <v>0</v>
      </c>
      <c r="AE54" s="252">
        <f t="shared" si="35"/>
        <v>0</v>
      </c>
      <c r="AF54" s="252">
        <f t="shared" si="35"/>
        <v>0</v>
      </c>
      <c r="AG54" s="252">
        <f t="shared" si="35"/>
        <v>0</v>
      </c>
      <c r="AH54" s="252">
        <f t="shared" si="35"/>
        <v>0</v>
      </c>
      <c r="AI54" s="252">
        <f t="shared" si="35"/>
        <v>0</v>
      </c>
      <c r="AJ54" s="252">
        <f t="shared" si="35"/>
        <v>0</v>
      </c>
      <c r="AK54" s="252">
        <f t="shared" si="35"/>
        <v>0</v>
      </c>
      <c r="AL54" s="252">
        <f t="shared" si="35"/>
        <v>0</v>
      </c>
      <c r="AM54" s="252">
        <f t="shared" si="35"/>
        <v>0</v>
      </c>
      <c r="AN54" s="252">
        <f t="shared" si="35"/>
        <v>0</v>
      </c>
      <c r="AO54" s="252">
        <f t="shared" si="35"/>
        <v>0</v>
      </c>
      <c r="AP54" s="252">
        <f t="shared" si="35"/>
        <v>0</v>
      </c>
      <c r="AQ54" s="252">
        <f t="shared" si="35"/>
        <v>0</v>
      </c>
      <c r="AR54" s="252">
        <f t="shared" si="35"/>
        <v>0</v>
      </c>
      <c r="AS54" s="252">
        <f t="shared" si="35"/>
        <v>0</v>
      </c>
      <c r="AT54" s="252">
        <f t="shared" si="35"/>
        <v>0</v>
      </c>
      <c r="AU54" s="252">
        <f t="shared" si="35"/>
        <v>0</v>
      </c>
      <c r="AV54" s="252">
        <f t="shared" si="35"/>
        <v>0</v>
      </c>
      <c r="AW54" s="252">
        <f t="shared" si="35"/>
        <v>0</v>
      </c>
      <c r="AX54" s="252">
        <f t="shared" si="35"/>
        <v>0</v>
      </c>
      <c r="AY54" s="252">
        <f t="shared" si="35"/>
        <v>0</v>
      </c>
      <c r="AZ54" s="252">
        <f t="shared" si="35"/>
        <v>0</v>
      </c>
      <c r="BA54" s="252">
        <f t="shared" si="35"/>
        <v>0</v>
      </c>
    </row>
    <row r="55" ht="15.75" customHeight="1">
      <c r="A55" s="850">
        <v>1944.0</v>
      </c>
      <c r="B55" s="38"/>
      <c r="C55" s="38"/>
      <c r="D55" s="38"/>
      <c r="E55" s="38"/>
      <c r="F55" s="38"/>
      <c r="G55" s="38"/>
      <c r="H55" s="38"/>
      <c r="I55" s="38"/>
      <c r="J55" s="38"/>
      <c r="K55" s="38"/>
      <c r="L55" s="38"/>
      <c r="M55" s="38"/>
      <c r="N55" s="38"/>
      <c r="O55" s="38"/>
      <c r="P55" s="38"/>
      <c r="Q55" s="38"/>
      <c r="R55" s="38"/>
      <c r="S55" s="38"/>
      <c r="T55" s="38"/>
      <c r="U55" s="38"/>
      <c r="V55" s="171">
        <v>0.0</v>
      </c>
      <c r="W55" s="252">
        <f t="shared" si="22"/>
        <v>0</v>
      </c>
      <c r="X55" s="252">
        <f t="shared" ref="X55:BA55" si="36">IF(AND(X$40-$A55&gt;$V$27,SUM($W55:W55)&lt;&gt;$V55),$V55,0)</f>
        <v>0</v>
      </c>
      <c r="Y55" s="252">
        <f t="shared" si="36"/>
        <v>0</v>
      </c>
      <c r="Z55" s="252">
        <f t="shared" si="36"/>
        <v>0</v>
      </c>
      <c r="AA55" s="252">
        <f t="shared" si="36"/>
        <v>0</v>
      </c>
      <c r="AB55" s="252">
        <f t="shared" si="36"/>
        <v>0</v>
      </c>
      <c r="AC55" s="252">
        <f t="shared" si="36"/>
        <v>0</v>
      </c>
      <c r="AD55" s="252">
        <f t="shared" si="36"/>
        <v>0</v>
      </c>
      <c r="AE55" s="252">
        <f t="shared" si="36"/>
        <v>0</v>
      </c>
      <c r="AF55" s="252">
        <f t="shared" si="36"/>
        <v>0</v>
      </c>
      <c r="AG55" s="252">
        <f t="shared" si="36"/>
        <v>0</v>
      </c>
      <c r="AH55" s="252">
        <f t="shared" si="36"/>
        <v>0</v>
      </c>
      <c r="AI55" s="252">
        <f t="shared" si="36"/>
        <v>0</v>
      </c>
      <c r="AJ55" s="252">
        <f t="shared" si="36"/>
        <v>0</v>
      </c>
      <c r="AK55" s="252">
        <f t="shared" si="36"/>
        <v>0</v>
      </c>
      <c r="AL55" s="252">
        <f t="shared" si="36"/>
        <v>0</v>
      </c>
      <c r="AM55" s="252">
        <f t="shared" si="36"/>
        <v>0</v>
      </c>
      <c r="AN55" s="252">
        <f t="shared" si="36"/>
        <v>0</v>
      </c>
      <c r="AO55" s="252">
        <f t="shared" si="36"/>
        <v>0</v>
      </c>
      <c r="AP55" s="252">
        <f t="shared" si="36"/>
        <v>0</v>
      </c>
      <c r="AQ55" s="252">
        <f t="shared" si="36"/>
        <v>0</v>
      </c>
      <c r="AR55" s="252">
        <f t="shared" si="36"/>
        <v>0</v>
      </c>
      <c r="AS55" s="252">
        <f t="shared" si="36"/>
        <v>0</v>
      </c>
      <c r="AT55" s="252">
        <f t="shared" si="36"/>
        <v>0</v>
      </c>
      <c r="AU55" s="252">
        <f t="shared" si="36"/>
        <v>0</v>
      </c>
      <c r="AV55" s="252">
        <f t="shared" si="36"/>
        <v>0</v>
      </c>
      <c r="AW55" s="252">
        <f t="shared" si="36"/>
        <v>0</v>
      </c>
      <c r="AX55" s="252">
        <f t="shared" si="36"/>
        <v>0</v>
      </c>
      <c r="AY55" s="252">
        <f t="shared" si="36"/>
        <v>0</v>
      </c>
      <c r="AZ55" s="252">
        <f t="shared" si="36"/>
        <v>0</v>
      </c>
      <c r="BA55" s="252">
        <f t="shared" si="36"/>
        <v>0</v>
      </c>
    </row>
    <row r="56" ht="15.75" customHeight="1">
      <c r="A56" s="850">
        <v>1945.0</v>
      </c>
      <c r="B56" s="38"/>
      <c r="C56" s="38"/>
      <c r="D56" s="38"/>
      <c r="E56" s="38"/>
      <c r="F56" s="38"/>
      <c r="G56" s="38"/>
      <c r="H56" s="38"/>
      <c r="I56" s="38"/>
      <c r="J56" s="38"/>
      <c r="K56" s="38"/>
      <c r="L56" s="38"/>
      <c r="M56" s="38"/>
      <c r="N56" s="38"/>
      <c r="O56" s="38"/>
      <c r="P56" s="38"/>
      <c r="Q56" s="38"/>
      <c r="R56" s="38"/>
      <c r="S56" s="38"/>
      <c r="T56" s="38"/>
      <c r="U56" s="38"/>
      <c r="V56" s="171">
        <v>0.0</v>
      </c>
      <c r="W56" s="252">
        <f t="shared" si="22"/>
        <v>0</v>
      </c>
      <c r="X56" s="252">
        <f t="shared" ref="X56:BA56" si="37">IF(AND(X$40-$A56&gt;$V$27,SUM($W56:W56)&lt;&gt;$V56),$V56,0)</f>
        <v>0</v>
      </c>
      <c r="Y56" s="252">
        <f t="shared" si="37"/>
        <v>0</v>
      </c>
      <c r="Z56" s="252">
        <f t="shared" si="37"/>
        <v>0</v>
      </c>
      <c r="AA56" s="252">
        <f t="shared" si="37"/>
        <v>0</v>
      </c>
      <c r="AB56" s="252">
        <f t="shared" si="37"/>
        <v>0</v>
      </c>
      <c r="AC56" s="252">
        <f t="shared" si="37"/>
        <v>0</v>
      </c>
      <c r="AD56" s="252">
        <f t="shared" si="37"/>
        <v>0</v>
      </c>
      <c r="AE56" s="252">
        <f t="shared" si="37"/>
        <v>0</v>
      </c>
      <c r="AF56" s="252">
        <f t="shared" si="37"/>
        <v>0</v>
      </c>
      <c r="AG56" s="252">
        <f t="shared" si="37"/>
        <v>0</v>
      </c>
      <c r="AH56" s="252">
        <f t="shared" si="37"/>
        <v>0</v>
      </c>
      <c r="AI56" s="252">
        <f t="shared" si="37"/>
        <v>0</v>
      </c>
      <c r="AJ56" s="252">
        <f t="shared" si="37"/>
        <v>0</v>
      </c>
      <c r="AK56" s="252">
        <f t="shared" si="37"/>
        <v>0</v>
      </c>
      <c r="AL56" s="252">
        <f t="shared" si="37"/>
        <v>0</v>
      </c>
      <c r="AM56" s="252">
        <f t="shared" si="37"/>
        <v>0</v>
      </c>
      <c r="AN56" s="252">
        <f t="shared" si="37"/>
        <v>0</v>
      </c>
      <c r="AO56" s="252">
        <f t="shared" si="37"/>
        <v>0</v>
      </c>
      <c r="AP56" s="252">
        <f t="shared" si="37"/>
        <v>0</v>
      </c>
      <c r="AQ56" s="252">
        <f t="shared" si="37"/>
        <v>0</v>
      </c>
      <c r="AR56" s="252">
        <f t="shared" si="37"/>
        <v>0</v>
      </c>
      <c r="AS56" s="252">
        <f t="shared" si="37"/>
        <v>0</v>
      </c>
      <c r="AT56" s="252">
        <f t="shared" si="37"/>
        <v>0</v>
      </c>
      <c r="AU56" s="252">
        <f t="shared" si="37"/>
        <v>0</v>
      </c>
      <c r="AV56" s="252">
        <f t="shared" si="37"/>
        <v>0</v>
      </c>
      <c r="AW56" s="252">
        <f t="shared" si="37"/>
        <v>0</v>
      </c>
      <c r="AX56" s="252">
        <f t="shared" si="37"/>
        <v>0</v>
      </c>
      <c r="AY56" s="252">
        <f t="shared" si="37"/>
        <v>0</v>
      </c>
      <c r="AZ56" s="252">
        <f t="shared" si="37"/>
        <v>0</v>
      </c>
      <c r="BA56" s="252">
        <f t="shared" si="37"/>
        <v>0</v>
      </c>
    </row>
    <row r="57" ht="15.75" customHeight="1">
      <c r="A57" s="850">
        <v>1946.0</v>
      </c>
      <c r="B57" s="38"/>
      <c r="C57" s="38"/>
      <c r="D57" s="38"/>
      <c r="E57" s="38"/>
      <c r="F57" s="38"/>
      <c r="G57" s="38"/>
      <c r="H57" s="38"/>
      <c r="I57" s="38"/>
      <c r="J57" s="38"/>
      <c r="K57" s="38"/>
      <c r="L57" s="38"/>
      <c r="M57" s="38"/>
      <c r="N57" s="38"/>
      <c r="O57" s="38"/>
      <c r="P57" s="38"/>
      <c r="Q57" s="38"/>
      <c r="R57" s="38"/>
      <c r="S57" s="38"/>
      <c r="T57" s="38"/>
      <c r="U57" s="38"/>
      <c r="V57" s="171">
        <v>0.0</v>
      </c>
      <c r="W57" s="252">
        <f t="shared" si="22"/>
        <v>0</v>
      </c>
      <c r="X57" s="252">
        <f t="shared" ref="X57:BA57" si="38">IF(AND(X$40-$A57&gt;$V$27,SUM($W57:W57)&lt;&gt;$V57),$V57,0)</f>
        <v>0</v>
      </c>
      <c r="Y57" s="252">
        <f t="shared" si="38"/>
        <v>0</v>
      </c>
      <c r="Z57" s="252">
        <f t="shared" si="38"/>
        <v>0</v>
      </c>
      <c r="AA57" s="252">
        <f t="shared" si="38"/>
        <v>0</v>
      </c>
      <c r="AB57" s="252">
        <f t="shared" si="38"/>
        <v>0</v>
      </c>
      <c r="AC57" s="252">
        <f t="shared" si="38"/>
        <v>0</v>
      </c>
      <c r="AD57" s="252">
        <f t="shared" si="38"/>
        <v>0</v>
      </c>
      <c r="AE57" s="252">
        <f t="shared" si="38"/>
        <v>0</v>
      </c>
      <c r="AF57" s="252">
        <f t="shared" si="38"/>
        <v>0</v>
      </c>
      <c r="AG57" s="252">
        <f t="shared" si="38"/>
        <v>0</v>
      </c>
      <c r="AH57" s="252">
        <f t="shared" si="38"/>
        <v>0</v>
      </c>
      <c r="AI57" s="252">
        <f t="shared" si="38"/>
        <v>0</v>
      </c>
      <c r="AJ57" s="252">
        <f t="shared" si="38"/>
        <v>0</v>
      </c>
      <c r="AK57" s="252">
        <f t="shared" si="38"/>
        <v>0</v>
      </c>
      <c r="AL57" s="252">
        <f t="shared" si="38"/>
        <v>0</v>
      </c>
      <c r="AM57" s="252">
        <f t="shared" si="38"/>
        <v>0</v>
      </c>
      <c r="AN57" s="252">
        <f t="shared" si="38"/>
        <v>0</v>
      </c>
      <c r="AO57" s="252">
        <f t="shared" si="38"/>
        <v>0</v>
      </c>
      <c r="AP57" s="252">
        <f t="shared" si="38"/>
        <v>0</v>
      </c>
      <c r="AQ57" s="252">
        <f t="shared" si="38"/>
        <v>0</v>
      </c>
      <c r="AR57" s="252">
        <f t="shared" si="38"/>
        <v>0</v>
      </c>
      <c r="AS57" s="252">
        <f t="shared" si="38"/>
        <v>0</v>
      </c>
      <c r="AT57" s="252">
        <f t="shared" si="38"/>
        <v>0</v>
      </c>
      <c r="AU57" s="252">
        <f t="shared" si="38"/>
        <v>0</v>
      </c>
      <c r="AV57" s="252">
        <f t="shared" si="38"/>
        <v>0</v>
      </c>
      <c r="AW57" s="252">
        <f t="shared" si="38"/>
        <v>0</v>
      </c>
      <c r="AX57" s="252">
        <f t="shared" si="38"/>
        <v>0</v>
      </c>
      <c r="AY57" s="252">
        <f t="shared" si="38"/>
        <v>0</v>
      </c>
      <c r="AZ57" s="252">
        <f t="shared" si="38"/>
        <v>0</v>
      </c>
      <c r="BA57" s="252">
        <f t="shared" si="38"/>
        <v>0</v>
      </c>
    </row>
    <row r="58" ht="15.75" customHeight="1">
      <c r="A58" s="850">
        <v>1947.0</v>
      </c>
      <c r="B58" s="38"/>
      <c r="C58" s="38"/>
      <c r="D58" s="38"/>
      <c r="E58" s="38"/>
      <c r="F58" s="38"/>
      <c r="G58" s="38"/>
      <c r="H58" s="38"/>
      <c r="I58" s="38"/>
      <c r="J58" s="38"/>
      <c r="K58" s="38"/>
      <c r="L58" s="38"/>
      <c r="M58" s="38"/>
      <c r="N58" s="38"/>
      <c r="O58" s="38"/>
      <c r="P58" s="38"/>
      <c r="Q58" s="38"/>
      <c r="R58" s="38"/>
      <c r="S58" s="38"/>
      <c r="T58" s="38"/>
      <c r="U58" s="38"/>
      <c r="V58" s="171">
        <v>0.0</v>
      </c>
      <c r="W58" s="252">
        <f t="shared" si="22"/>
        <v>0</v>
      </c>
      <c r="X58" s="252">
        <f t="shared" ref="X58:BA58" si="39">IF(AND(X$40-$A58&gt;$V$27,SUM($W58:W58)&lt;&gt;$V58),$V58,0)</f>
        <v>0</v>
      </c>
      <c r="Y58" s="252">
        <f t="shared" si="39"/>
        <v>0</v>
      </c>
      <c r="Z58" s="252">
        <f t="shared" si="39"/>
        <v>0</v>
      </c>
      <c r="AA58" s="252">
        <f t="shared" si="39"/>
        <v>0</v>
      </c>
      <c r="AB58" s="252">
        <f t="shared" si="39"/>
        <v>0</v>
      </c>
      <c r="AC58" s="252">
        <f t="shared" si="39"/>
        <v>0</v>
      </c>
      <c r="AD58" s="252">
        <f t="shared" si="39"/>
        <v>0</v>
      </c>
      <c r="AE58" s="252">
        <f t="shared" si="39"/>
        <v>0</v>
      </c>
      <c r="AF58" s="252">
        <f t="shared" si="39"/>
        <v>0</v>
      </c>
      <c r="AG58" s="252">
        <f t="shared" si="39"/>
        <v>0</v>
      </c>
      <c r="AH58" s="252">
        <f t="shared" si="39"/>
        <v>0</v>
      </c>
      <c r="AI58" s="252">
        <f t="shared" si="39"/>
        <v>0</v>
      </c>
      <c r="AJ58" s="252">
        <f t="shared" si="39"/>
        <v>0</v>
      </c>
      <c r="AK58" s="252">
        <f t="shared" si="39"/>
        <v>0</v>
      </c>
      <c r="AL58" s="252">
        <f t="shared" si="39"/>
        <v>0</v>
      </c>
      <c r="AM58" s="252">
        <f t="shared" si="39"/>
        <v>0</v>
      </c>
      <c r="AN58" s="252">
        <f t="shared" si="39"/>
        <v>0</v>
      </c>
      <c r="AO58" s="252">
        <f t="shared" si="39"/>
        <v>0</v>
      </c>
      <c r="AP58" s="252">
        <f t="shared" si="39"/>
        <v>0</v>
      </c>
      <c r="AQ58" s="252">
        <f t="shared" si="39"/>
        <v>0</v>
      </c>
      <c r="AR58" s="252">
        <f t="shared" si="39"/>
        <v>0</v>
      </c>
      <c r="AS58" s="252">
        <f t="shared" si="39"/>
        <v>0</v>
      </c>
      <c r="AT58" s="252">
        <f t="shared" si="39"/>
        <v>0</v>
      </c>
      <c r="AU58" s="252">
        <f t="shared" si="39"/>
        <v>0</v>
      </c>
      <c r="AV58" s="252">
        <f t="shared" si="39"/>
        <v>0</v>
      </c>
      <c r="AW58" s="252">
        <f t="shared" si="39"/>
        <v>0</v>
      </c>
      <c r="AX58" s="252">
        <f t="shared" si="39"/>
        <v>0</v>
      </c>
      <c r="AY58" s="252">
        <f t="shared" si="39"/>
        <v>0</v>
      </c>
      <c r="AZ58" s="252">
        <f t="shared" si="39"/>
        <v>0</v>
      </c>
      <c r="BA58" s="252">
        <f t="shared" si="39"/>
        <v>0</v>
      </c>
    </row>
    <row r="59" ht="15.75" customHeight="1">
      <c r="A59" s="850">
        <v>1948.0</v>
      </c>
      <c r="B59" s="38"/>
      <c r="C59" s="38"/>
      <c r="D59" s="38"/>
      <c r="E59" s="38"/>
      <c r="F59" s="38"/>
      <c r="G59" s="38"/>
      <c r="H59" s="38"/>
      <c r="I59" s="38"/>
      <c r="J59" s="38"/>
      <c r="K59" s="38"/>
      <c r="L59" s="38"/>
      <c r="M59" s="38"/>
      <c r="N59" s="38"/>
      <c r="O59" s="38"/>
      <c r="P59" s="38"/>
      <c r="Q59" s="38"/>
      <c r="R59" s="38"/>
      <c r="S59" s="38"/>
      <c r="T59" s="38"/>
      <c r="U59" s="38"/>
      <c r="V59" s="171">
        <v>0.0</v>
      </c>
      <c r="W59" s="252">
        <f t="shared" si="22"/>
        <v>0</v>
      </c>
      <c r="X59" s="252">
        <f t="shared" ref="X59:BA59" si="40">IF(AND(X$40-$A59&gt;$V$27,SUM($W59:W59)&lt;&gt;$V59),$V59,0)</f>
        <v>0</v>
      </c>
      <c r="Y59" s="252">
        <f t="shared" si="40"/>
        <v>0</v>
      </c>
      <c r="Z59" s="252">
        <f t="shared" si="40"/>
        <v>0</v>
      </c>
      <c r="AA59" s="252">
        <f t="shared" si="40"/>
        <v>0</v>
      </c>
      <c r="AB59" s="252">
        <f t="shared" si="40"/>
        <v>0</v>
      </c>
      <c r="AC59" s="252">
        <f t="shared" si="40"/>
        <v>0</v>
      </c>
      <c r="AD59" s="252">
        <f t="shared" si="40"/>
        <v>0</v>
      </c>
      <c r="AE59" s="252">
        <f t="shared" si="40"/>
        <v>0</v>
      </c>
      <c r="AF59" s="252">
        <f t="shared" si="40"/>
        <v>0</v>
      </c>
      <c r="AG59" s="252">
        <f t="shared" si="40"/>
        <v>0</v>
      </c>
      <c r="AH59" s="252">
        <f t="shared" si="40"/>
        <v>0</v>
      </c>
      <c r="AI59" s="252">
        <f t="shared" si="40"/>
        <v>0</v>
      </c>
      <c r="AJ59" s="252">
        <f t="shared" si="40"/>
        <v>0</v>
      </c>
      <c r="AK59" s="252">
        <f t="shared" si="40"/>
        <v>0</v>
      </c>
      <c r="AL59" s="252">
        <f t="shared" si="40"/>
        <v>0</v>
      </c>
      <c r="AM59" s="252">
        <f t="shared" si="40"/>
        <v>0</v>
      </c>
      <c r="AN59" s="252">
        <f t="shared" si="40"/>
        <v>0</v>
      </c>
      <c r="AO59" s="252">
        <f t="shared" si="40"/>
        <v>0</v>
      </c>
      <c r="AP59" s="252">
        <f t="shared" si="40"/>
        <v>0</v>
      </c>
      <c r="AQ59" s="252">
        <f t="shared" si="40"/>
        <v>0</v>
      </c>
      <c r="AR59" s="252">
        <f t="shared" si="40"/>
        <v>0</v>
      </c>
      <c r="AS59" s="252">
        <f t="shared" si="40"/>
        <v>0</v>
      </c>
      <c r="AT59" s="252">
        <f t="shared" si="40"/>
        <v>0</v>
      </c>
      <c r="AU59" s="252">
        <f t="shared" si="40"/>
        <v>0</v>
      </c>
      <c r="AV59" s="252">
        <f t="shared" si="40"/>
        <v>0</v>
      </c>
      <c r="AW59" s="252">
        <f t="shared" si="40"/>
        <v>0</v>
      </c>
      <c r="AX59" s="252">
        <f t="shared" si="40"/>
        <v>0</v>
      </c>
      <c r="AY59" s="252">
        <f t="shared" si="40"/>
        <v>0</v>
      </c>
      <c r="AZ59" s="252">
        <f t="shared" si="40"/>
        <v>0</v>
      </c>
      <c r="BA59" s="252">
        <f t="shared" si="40"/>
        <v>0</v>
      </c>
    </row>
    <row r="60" ht="15.75" customHeight="1">
      <c r="A60" s="850">
        <v>1949.0</v>
      </c>
      <c r="B60" s="38"/>
      <c r="C60" s="38"/>
      <c r="D60" s="38"/>
      <c r="E60" s="38"/>
      <c r="F60" s="38"/>
      <c r="G60" s="38"/>
      <c r="H60" s="38"/>
      <c r="I60" s="38"/>
      <c r="J60" s="38"/>
      <c r="K60" s="38"/>
      <c r="L60" s="38"/>
      <c r="M60" s="38"/>
      <c r="N60" s="38"/>
      <c r="O60" s="38"/>
      <c r="P60" s="38"/>
      <c r="Q60" s="38"/>
      <c r="R60" s="38"/>
      <c r="S60" s="38"/>
      <c r="T60" s="38"/>
      <c r="U60" s="38"/>
      <c r="V60" s="171">
        <v>0.0</v>
      </c>
      <c r="W60" s="252">
        <f t="shared" si="22"/>
        <v>0</v>
      </c>
      <c r="X60" s="252">
        <f t="shared" ref="X60:BA60" si="41">IF(AND(X$40-$A60&gt;$V$27,SUM($W60:W60)&lt;&gt;$V60),$V60,0)</f>
        <v>0</v>
      </c>
      <c r="Y60" s="252">
        <f t="shared" si="41"/>
        <v>0</v>
      </c>
      <c r="Z60" s="252">
        <f t="shared" si="41"/>
        <v>0</v>
      </c>
      <c r="AA60" s="252">
        <f t="shared" si="41"/>
        <v>0</v>
      </c>
      <c r="AB60" s="252">
        <f t="shared" si="41"/>
        <v>0</v>
      </c>
      <c r="AC60" s="252">
        <f t="shared" si="41"/>
        <v>0</v>
      </c>
      <c r="AD60" s="252">
        <f t="shared" si="41"/>
        <v>0</v>
      </c>
      <c r="AE60" s="252">
        <f t="shared" si="41"/>
        <v>0</v>
      </c>
      <c r="AF60" s="252">
        <f t="shared" si="41"/>
        <v>0</v>
      </c>
      <c r="AG60" s="252">
        <f t="shared" si="41"/>
        <v>0</v>
      </c>
      <c r="AH60" s="252">
        <f t="shared" si="41"/>
        <v>0</v>
      </c>
      <c r="AI60" s="252">
        <f t="shared" si="41"/>
        <v>0</v>
      </c>
      <c r="AJ60" s="252">
        <f t="shared" si="41"/>
        <v>0</v>
      </c>
      <c r="AK60" s="252">
        <f t="shared" si="41"/>
        <v>0</v>
      </c>
      <c r="AL60" s="252">
        <f t="shared" si="41"/>
        <v>0</v>
      </c>
      <c r="AM60" s="252">
        <f t="shared" si="41"/>
        <v>0</v>
      </c>
      <c r="AN60" s="252">
        <f t="shared" si="41"/>
        <v>0</v>
      </c>
      <c r="AO60" s="252">
        <f t="shared" si="41"/>
        <v>0</v>
      </c>
      <c r="AP60" s="252">
        <f t="shared" si="41"/>
        <v>0</v>
      </c>
      <c r="AQ60" s="252">
        <f t="shared" si="41"/>
        <v>0</v>
      </c>
      <c r="AR60" s="252">
        <f t="shared" si="41"/>
        <v>0</v>
      </c>
      <c r="AS60" s="252">
        <f t="shared" si="41"/>
        <v>0</v>
      </c>
      <c r="AT60" s="252">
        <f t="shared" si="41"/>
        <v>0</v>
      </c>
      <c r="AU60" s="252">
        <f t="shared" si="41"/>
        <v>0</v>
      </c>
      <c r="AV60" s="252">
        <f t="shared" si="41"/>
        <v>0</v>
      </c>
      <c r="AW60" s="252">
        <f t="shared" si="41"/>
        <v>0</v>
      </c>
      <c r="AX60" s="252">
        <f t="shared" si="41"/>
        <v>0</v>
      </c>
      <c r="AY60" s="252">
        <f t="shared" si="41"/>
        <v>0</v>
      </c>
      <c r="AZ60" s="252">
        <f t="shared" si="41"/>
        <v>0</v>
      </c>
      <c r="BA60" s="252">
        <f t="shared" si="41"/>
        <v>0</v>
      </c>
    </row>
    <row r="61" ht="15.75" customHeight="1">
      <c r="A61" s="850">
        <v>1950.0</v>
      </c>
      <c r="B61" s="38"/>
      <c r="C61" s="38"/>
      <c r="D61" s="38"/>
      <c r="E61" s="38"/>
      <c r="F61" s="38"/>
      <c r="G61" s="38"/>
      <c r="H61" s="38"/>
      <c r="I61" s="38"/>
      <c r="J61" s="38"/>
      <c r="K61" s="38"/>
      <c r="L61" s="38"/>
      <c r="M61" s="38"/>
      <c r="N61" s="38"/>
      <c r="O61" s="38"/>
      <c r="P61" s="38"/>
      <c r="Q61" s="38"/>
      <c r="R61" s="38"/>
      <c r="S61" s="38"/>
      <c r="T61" s="38"/>
      <c r="U61" s="38"/>
      <c r="V61" s="171">
        <v>0.0</v>
      </c>
      <c r="W61" s="252">
        <f t="shared" si="22"/>
        <v>0</v>
      </c>
      <c r="X61" s="252">
        <f t="shared" ref="X61:BA61" si="42">IF(AND(X$40-$A61&gt;$V$27,SUM($W61:W61)&lt;&gt;$V61),$V61,0)</f>
        <v>0</v>
      </c>
      <c r="Y61" s="252">
        <f t="shared" si="42"/>
        <v>0</v>
      </c>
      <c r="Z61" s="252">
        <f t="shared" si="42"/>
        <v>0</v>
      </c>
      <c r="AA61" s="252">
        <f t="shared" si="42"/>
        <v>0</v>
      </c>
      <c r="AB61" s="252">
        <f t="shared" si="42"/>
        <v>0</v>
      </c>
      <c r="AC61" s="252">
        <f t="shared" si="42"/>
        <v>0</v>
      </c>
      <c r="AD61" s="252">
        <f t="shared" si="42"/>
        <v>0</v>
      </c>
      <c r="AE61" s="252">
        <f t="shared" si="42"/>
        <v>0</v>
      </c>
      <c r="AF61" s="252">
        <f t="shared" si="42"/>
        <v>0</v>
      </c>
      <c r="AG61" s="252">
        <f t="shared" si="42"/>
        <v>0</v>
      </c>
      <c r="AH61" s="252">
        <f t="shared" si="42"/>
        <v>0</v>
      </c>
      <c r="AI61" s="252">
        <f t="shared" si="42"/>
        <v>0</v>
      </c>
      <c r="AJ61" s="252">
        <f t="shared" si="42"/>
        <v>0</v>
      </c>
      <c r="AK61" s="252">
        <f t="shared" si="42"/>
        <v>0</v>
      </c>
      <c r="AL61" s="252">
        <f t="shared" si="42"/>
        <v>0</v>
      </c>
      <c r="AM61" s="252">
        <f t="shared" si="42"/>
        <v>0</v>
      </c>
      <c r="AN61" s="252">
        <f t="shared" si="42"/>
        <v>0</v>
      </c>
      <c r="AO61" s="252">
        <f t="shared" si="42"/>
        <v>0</v>
      </c>
      <c r="AP61" s="252">
        <f t="shared" si="42"/>
        <v>0</v>
      </c>
      <c r="AQ61" s="252">
        <f t="shared" si="42"/>
        <v>0</v>
      </c>
      <c r="AR61" s="252">
        <f t="shared" si="42"/>
        <v>0</v>
      </c>
      <c r="AS61" s="252">
        <f t="shared" si="42"/>
        <v>0</v>
      </c>
      <c r="AT61" s="252">
        <f t="shared" si="42"/>
        <v>0</v>
      </c>
      <c r="AU61" s="252">
        <f t="shared" si="42"/>
        <v>0</v>
      </c>
      <c r="AV61" s="252">
        <f t="shared" si="42"/>
        <v>0</v>
      </c>
      <c r="AW61" s="252">
        <f t="shared" si="42"/>
        <v>0</v>
      </c>
      <c r="AX61" s="252">
        <f t="shared" si="42"/>
        <v>0</v>
      </c>
      <c r="AY61" s="252">
        <f t="shared" si="42"/>
        <v>0</v>
      </c>
      <c r="AZ61" s="252">
        <f t="shared" si="42"/>
        <v>0</v>
      </c>
      <c r="BA61" s="252">
        <f t="shared" si="42"/>
        <v>0</v>
      </c>
    </row>
    <row r="62" ht="15.75" customHeight="1">
      <c r="A62" s="850">
        <v>1951.0</v>
      </c>
      <c r="B62" s="38"/>
      <c r="C62" s="38"/>
      <c r="D62" s="38"/>
      <c r="E62" s="38"/>
      <c r="F62" s="38"/>
      <c r="G62" s="38"/>
      <c r="H62" s="38"/>
      <c r="I62" s="38"/>
      <c r="J62" s="38"/>
      <c r="K62" s="38"/>
      <c r="L62" s="38"/>
      <c r="M62" s="38"/>
      <c r="N62" s="38"/>
      <c r="O62" s="38"/>
      <c r="P62" s="38"/>
      <c r="Q62" s="38"/>
      <c r="R62" s="38"/>
      <c r="S62" s="38"/>
      <c r="T62" s="38"/>
      <c r="U62" s="38"/>
      <c r="V62" s="171">
        <v>0.0</v>
      </c>
      <c r="W62" s="252">
        <f t="shared" si="22"/>
        <v>0</v>
      </c>
      <c r="X62" s="252">
        <f t="shared" ref="X62:BA62" si="43">IF(AND(X$40-$A62&gt;$V$27,SUM($W62:W62)&lt;&gt;$V62),$V62,0)</f>
        <v>0</v>
      </c>
      <c r="Y62" s="252">
        <f t="shared" si="43"/>
        <v>0</v>
      </c>
      <c r="Z62" s="252">
        <f t="shared" si="43"/>
        <v>0</v>
      </c>
      <c r="AA62" s="252">
        <f t="shared" si="43"/>
        <v>0</v>
      </c>
      <c r="AB62" s="252">
        <f t="shared" si="43"/>
        <v>0</v>
      </c>
      <c r="AC62" s="252">
        <f t="shared" si="43"/>
        <v>0</v>
      </c>
      <c r="AD62" s="252">
        <f t="shared" si="43"/>
        <v>0</v>
      </c>
      <c r="AE62" s="252">
        <f t="shared" si="43"/>
        <v>0</v>
      </c>
      <c r="AF62" s="252">
        <f t="shared" si="43"/>
        <v>0</v>
      </c>
      <c r="AG62" s="252">
        <f t="shared" si="43"/>
        <v>0</v>
      </c>
      <c r="AH62" s="252">
        <f t="shared" si="43"/>
        <v>0</v>
      </c>
      <c r="AI62" s="252">
        <f t="shared" si="43"/>
        <v>0</v>
      </c>
      <c r="AJ62" s="252">
        <f t="shared" si="43"/>
        <v>0</v>
      </c>
      <c r="AK62" s="252">
        <f t="shared" si="43"/>
        <v>0</v>
      </c>
      <c r="AL62" s="252">
        <f t="shared" si="43"/>
        <v>0</v>
      </c>
      <c r="AM62" s="252">
        <f t="shared" si="43"/>
        <v>0</v>
      </c>
      <c r="AN62" s="252">
        <f t="shared" si="43"/>
        <v>0</v>
      </c>
      <c r="AO62" s="252">
        <f t="shared" si="43"/>
        <v>0</v>
      </c>
      <c r="AP62" s="252">
        <f t="shared" si="43"/>
        <v>0</v>
      </c>
      <c r="AQ62" s="252">
        <f t="shared" si="43"/>
        <v>0</v>
      </c>
      <c r="AR62" s="252">
        <f t="shared" si="43"/>
        <v>0</v>
      </c>
      <c r="AS62" s="252">
        <f t="shared" si="43"/>
        <v>0</v>
      </c>
      <c r="AT62" s="252">
        <f t="shared" si="43"/>
        <v>0</v>
      </c>
      <c r="AU62" s="252">
        <f t="shared" si="43"/>
        <v>0</v>
      </c>
      <c r="AV62" s="252">
        <f t="shared" si="43"/>
        <v>0</v>
      </c>
      <c r="AW62" s="252">
        <f t="shared" si="43"/>
        <v>0</v>
      </c>
      <c r="AX62" s="252">
        <f t="shared" si="43"/>
        <v>0</v>
      </c>
      <c r="AY62" s="252">
        <f t="shared" si="43"/>
        <v>0</v>
      </c>
      <c r="AZ62" s="252">
        <f t="shared" si="43"/>
        <v>0</v>
      </c>
      <c r="BA62" s="252">
        <f t="shared" si="43"/>
        <v>0</v>
      </c>
    </row>
    <row r="63" ht="15.75" customHeight="1">
      <c r="A63" s="850">
        <v>1952.0</v>
      </c>
      <c r="B63" s="38"/>
      <c r="C63" s="38"/>
      <c r="D63" s="38"/>
      <c r="E63" s="38"/>
      <c r="F63" s="38"/>
      <c r="G63" s="38"/>
      <c r="H63" s="38"/>
      <c r="I63" s="38"/>
      <c r="J63" s="38"/>
      <c r="K63" s="38"/>
      <c r="L63" s="38"/>
      <c r="M63" s="38"/>
      <c r="N63" s="38"/>
      <c r="O63" s="38"/>
      <c r="P63" s="38"/>
      <c r="Q63" s="38"/>
      <c r="R63" s="38"/>
      <c r="S63" s="38"/>
      <c r="T63" s="38"/>
      <c r="U63" s="38"/>
      <c r="V63" s="171">
        <v>0.0</v>
      </c>
      <c r="W63" s="252">
        <f t="shared" si="22"/>
        <v>0</v>
      </c>
      <c r="X63" s="252">
        <f t="shared" ref="X63:BA63" si="44">IF(AND(X$40-$A63&gt;$V$27,SUM($W63:W63)&lt;&gt;$V63),$V63,0)</f>
        <v>0</v>
      </c>
      <c r="Y63" s="252">
        <f t="shared" si="44"/>
        <v>0</v>
      </c>
      <c r="Z63" s="252">
        <f t="shared" si="44"/>
        <v>0</v>
      </c>
      <c r="AA63" s="252">
        <f t="shared" si="44"/>
        <v>0</v>
      </c>
      <c r="AB63" s="252">
        <f t="shared" si="44"/>
        <v>0</v>
      </c>
      <c r="AC63" s="252">
        <f t="shared" si="44"/>
        <v>0</v>
      </c>
      <c r="AD63" s="252">
        <f t="shared" si="44"/>
        <v>0</v>
      </c>
      <c r="AE63" s="252">
        <f t="shared" si="44"/>
        <v>0</v>
      </c>
      <c r="AF63" s="252">
        <f t="shared" si="44"/>
        <v>0</v>
      </c>
      <c r="AG63" s="252">
        <f t="shared" si="44"/>
        <v>0</v>
      </c>
      <c r="AH63" s="252">
        <f t="shared" si="44"/>
        <v>0</v>
      </c>
      <c r="AI63" s="252">
        <f t="shared" si="44"/>
        <v>0</v>
      </c>
      <c r="AJ63" s="252">
        <f t="shared" si="44"/>
        <v>0</v>
      </c>
      <c r="AK63" s="252">
        <f t="shared" si="44"/>
        <v>0</v>
      </c>
      <c r="AL63" s="252">
        <f t="shared" si="44"/>
        <v>0</v>
      </c>
      <c r="AM63" s="252">
        <f t="shared" si="44"/>
        <v>0</v>
      </c>
      <c r="AN63" s="252">
        <f t="shared" si="44"/>
        <v>0</v>
      </c>
      <c r="AO63" s="252">
        <f t="shared" si="44"/>
        <v>0</v>
      </c>
      <c r="AP63" s="252">
        <f t="shared" si="44"/>
        <v>0</v>
      </c>
      <c r="AQ63" s="252">
        <f t="shared" si="44"/>
        <v>0</v>
      </c>
      <c r="AR63" s="252">
        <f t="shared" si="44"/>
        <v>0</v>
      </c>
      <c r="AS63" s="252">
        <f t="shared" si="44"/>
        <v>0</v>
      </c>
      <c r="AT63" s="252">
        <f t="shared" si="44"/>
        <v>0</v>
      </c>
      <c r="AU63" s="252">
        <f t="shared" si="44"/>
        <v>0</v>
      </c>
      <c r="AV63" s="252">
        <f t="shared" si="44"/>
        <v>0</v>
      </c>
      <c r="AW63" s="252">
        <f t="shared" si="44"/>
        <v>0</v>
      </c>
      <c r="AX63" s="252">
        <f t="shared" si="44"/>
        <v>0</v>
      </c>
      <c r="AY63" s="252">
        <f t="shared" si="44"/>
        <v>0</v>
      </c>
      <c r="AZ63" s="252">
        <f t="shared" si="44"/>
        <v>0</v>
      </c>
      <c r="BA63" s="252">
        <f t="shared" si="44"/>
        <v>0</v>
      </c>
    </row>
    <row r="64" ht="15.75" customHeight="1">
      <c r="A64" s="850">
        <v>1953.0</v>
      </c>
      <c r="B64" s="38"/>
      <c r="C64" s="38"/>
      <c r="D64" s="38"/>
      <c r="E64" s="38"/>
      <c r="F64" s="38"/>
      <c r="G64" s="38"/>
      <c r="H64" s="38"/>
      <c r="I64" s="38"/>
      <c r="J64" s="38"/>
      <c r="K64" s="38"/>
      <c r="L64" s="38"/>
      <c r="M64" s="38"/>
      <c r="N64" s="38"/>
      <c r="O64" s="38"/>
      <c r="P64" s="38"/>
      <c r="Q64" s="38"/>
      <c r="R64" s="38"/>
      <c r="S64" s="38"/>
      <c r="T64" s="38"/>
      <c r="U64" s="38"/>
      <c r="V64" s="171">
        <v>0.0</v>
      </c>
      <c r="W64" s="252">
        <f t="shared" si="22"/>
        <v>0</v>
      </c>
      <c r="X64" s="252">
        <f t="shared" ref="X64:BA64" si="45">IF(AND(X$40-$A64&gt;$V$27,SUM($W64:W64)&lt;&gt;$V64),$V64,0)</f>
        <v>0</v>
      </c>
      <c r="Y64" s="252">
        <f t="shared" si="45"/>
        <v>0</v>
      </c>
      <c r="Z64" s="252">
        <f t="shared" si="45"/>
        <v>0</v>
      </c>
      <c r="AA64" s="252">
        <f t="shared" si="45"/>
        <v>0</v>
      </c>
      <c r="AB64" s="252">
        <f t="shared" si="45"/>
        <v>0</v>
      </c>
      <c r="AC64" s="252">
        <f t="shared" si="45"/>
        <v>0</v>
      </c>
      <c r="AD64" s="252">
        <f t="shared" si="45"/>
        <v>0</v>
      </c>
      <c r="AE64" s="252">
        <f t="shared" si="45"/>
        <v>0</v>
      </c>
      <c r="AF64" s="252">
        <f t="shared" si="45"/>
        <v>0</v>
      </c>
      <c r="AG64" s="252">
        <f t="shared" si="45"/>
        <v>0</v>
      </c>
      <c r="AH64" s="252">
        <f t="shared" si="45"/>
        <v>0</v>
      </c>
      <c r="AI64" s="252">
        <f t="shared" si="45"/>
        <v>0</v>
      </c>
      <c r="AJ64" s="252">
        <f t="shared" si="45"/>
        <v>0</v>
      </c>
      <c r="AK64" s="252">
        <f t="shared" si="45"/>
        <v>0</v>
      </c>
      <c r="AL64" s="252">
        <f t="shared" si="45"/>
        <v>0</v>
      </c>
      <c r="AM64" s="252">
        <f t="shared" si="45"/>
        <v>0</v>
      </c>
      <c r="AN64" s="252">
        <f t="shared" si="45"/>
        <v>0</v>
      </c>
      <c r="AO64" s="252">
        <f t="shared" si="45"/>
        <v>0</v>
      </c>
      <c r="AP64" s="252">
        <f t="shared" si="45"/>
        <v>0</v>
      </c>
      <c r="AQ64" s="252">
        <f t="shared" si="45"/>
        <v>0</v>
      </c>
      <c r="AR64" s="252">
        <f t="shared" si="45"/>
        <v>0</v>
      </c>
      <c r="AS64" s="252">
        <f t="shared" si="45"/>
        <v>0</v>
      </c>
      <c r="AT64" s="252">
        <f t="shared" si="45"/>
        <v>0</v>
      </c>
      <c r="AU64" s="252">
        <f t="shared" si="45"/>
        <v>0</v>
      </c>
      <c r="AV64" s="252">
        <f t="shared" si="45"/>
        <v>0</v>
      </c>
      <c r="AW64" s="252">
        <f t="shared" si="45"/>
        <v>0</v>
      </c>
      <c r="AX64" s="252">
        <f t="shared" si="45"/>
        <v>0</v>
      </c>
      <c r="AY64" s="252">
        <f t="shared" si="45"/>
        <v>0</v>
      </c>
      <c r="AZ64" s="252">
        <f t="shared" si="45"/>
        <v>0</v>
      </c>
      <c r="BA64" s="252">
        <f t="shared" si="45"/>
        <v>0</v>
      </c>
    </row>
    <row r="65" ht="15.75" customHeight="1">
      <c r="A65" s="850">
        <v>1954.0</v>
      </c>
      <c r="B65" s="38"/>
      <c r="C65" s="38"/>
      <c r="D65" s="38"/>
      <c r="E65" s="38"/>
      <c r="F65" s="38"/>
      <c r="G65" s="38"/>
      <c r="H65" s="38"/>
      <c r="I65" s="38"/>
      <c r="J65" s="38"/>
      <c r="K65" s="38"/>
      <c r="L65" s="38"/>
      <c r="M65" s="38"/>
      <c r="N65" s="38"/>
      <c r="O65" s="38"/>
      <c r="P65" s="38"/>
      <c r="Q65" s="38"/>
      <c r="R65" s="38"/>
      <c r="S65" s="38"/>
      <c r="T65" s="38"/>
      <c r="U65" s="38"/>
      <c r="V65" s="171">
        <v>0.0</v>
      </c>
      <c r="W65" s="252">
        <f t="shared" si="22"/>
        <v>0</v>
      </c>
      <c r="X65" s="252">
        <f t="shared" ref="X65:BA65" si="46">IF(AND(X$40-$A65&gt;$V$27,SUM($W65:W65)&lt;&gt;$V65),$V65,0)</f>
        <v>0</v>
      </c>
      <c r="Y65" s="252">
        <f t="shared" si="46"/>
        <v>0</v>
      </c>
      <c r="Z65" s="252">
        <f t="shared" si="46"/>
        <v>0</v>
      </c>
      <c r="AA65" s="252">
        <f t="shared" si="46"/>
        <v>0</v>
      </c>
      <c r="AB65" s="252">
        <f t="shared" si="46"/>
        <v>0</v>
      </c>
      <c r="AC65" s="252">
        <f t="shared" si="46"/>
        <v>0</v>
      </c>
      <c r="AD65" s="252">
        <f t="shared" si="46"/>
        <v>0</v>
      </c>
      <c r="AE65" s="252">
        <f t="shared" si="46"/>
        <v>0</v>
      </c>
      <c r="AF65" s="252">
        <f t="shared" si="46"/>
        <v>0</v>
      </c>
      <c r="AG65" s="252">
        <f t="shared" si="46"/>
        <v>0</v>
      </c>
      <c r="AH65" s="252">
        <f t="shared" si="46"/>
        <v>0</v>
      </c>
      <c r="AI65" s="252">
        <f t="shared" si="46"/>
        <v>0</v>
      </c>
      <c r="AJ65" s="252">
        <f t="shared" si="46"/>
        <v>0</v>
      </c>
      <c r="AK65" s="252">
        <f t="shared" si="46"/>
        <v>0</v>
      </c>
      <c r="AL65" s="252">
        <f t="shared" si="46"/>
        <v>0</v>
      </c>
      <c r="AM65" s="252">
        <f t="shared" si="46"/>
        <v>0</v>
      </c>
      <c r="AN65" s="252">
        <f t="shared" si="46"/>
        <v>0</v>
      </c>
      <c r="AO65" s="252">
        <f t="shared" si="46"/>
        <v>0</v>
      </c>
      <c r="AP65" s="252">
        <f t="shared" si="46"/>
        <v>0</v>
      </c>
      <c r="AQ65" s="252">
        <f t="shared" si="46"/>
        <v>0</v>
      </c>
      <c r="AR65" s="252">
        <f t="shared" si="46"/>
        <v>0</v>
      </c>
      <c r="AS65" s="252">
        <f t="shared" si="46"/>
        <v>0</v>
      </c>
      <c r="AT65" s="252">
        <f t="shared" si="46"/>
        <v>0</v>
      </c>
      <c r="AU65" s="252">
        <f t="shared" si="46"/>
        <v>0</v>
      </c>
      <c r="AV65" s="252">
        <f t="shared" si="46"/>
        <v>0</v>
      </c>
      <c r="AW65" s="252">
        <f t="shared" si="46"/>
        <v>0</v>
      </c>
      <c r="AX65" s="252">
        <f t="shared" si="46"/>
        <v>0</v>
      </c>
      <c r="AY65" s="252">
        <f t="shared" si="46"/>
        <v>0</v>
      </c>
      <c r="AZ65" s="252">
        <f t="shared" si="46"/>
        <v>0</v>
      </c>
      <c r="BA65" s="252">
        <f t="shared" si="46"/>
        <v>0</v>
      </c>
    </row>
    <row r="66" ht="15.75" customHeight="1">
      <c r="A66" s="850">
        <v>1955.0</v>
      </c>
      <c r="B66" s="38"/>
      <c r="C66" s="38"/>
      <c r="D66" s="38"/>
      <c r="E66" s="38"/>
      <c r="F66" s="38"/>
      <c r="G66" s="38"/>
      <c r="H66" s="38"/>
      <c r="I66" s="38"/>
      <c r="J66" s="38"/>
      <c r="K66" s="38"/>
      <c r="L66" s="38"/>
      <c r="M66" s="38"/>
      <c r="N66" s="38"/>
      <c r="O66" s="38"/>
      <c r="P66" s="38"/>
      <c r="Q66" s="38"/>
      <c r="R66" s="38"/>
      <c r="S66" s="38"/>
      <c r="T66" s="38"/>
      <c r="U66" s="38"/>
      <c r="V66" s="171">
        <v>0.0</v>
      </c>
      <c r="W66" s="252">
        <f t="shared" si="22"/>
        <v>0</v>
      </c>
      <c r="X66" s="252">
        <f t="shared" ref="X66:BA66" si="47">IF(AND(X$40-$A66&gt;$V$27,SUM($W66:W66)&lt;&gt;$V66),$V66,0)</f>
        <v>0</v>
      </c>
      <c r="Y66" s="252">
        <f t="shared" si="47"/>
        <v>0</v>
      </c>
      <c r="Z66" s="252">
        <f t="shared" si="47"/>
        <v>0</v>
      </c>
      <c r="AA66" s="252">
        <f t="shared" si="47"/>
        <v>0</v>
      </c>
      <c r="AB66" s="252">
        <f t="shared" si="47"/>
        <v>0</v>
      </c>
      <c r="AC66" s="252">
        <f t="shared" si="47"/>
        <v>0</v>
      </c>
      <c r="AD66" s="252">
        <f t="shared" si="47"/>
        <v>0</v>
      </c>
      <c r="AE66" s="252">
        <f t="shared" si="47"/>
        <v>0</v>
      </c>
      <c r="AF66" s="252">
        <f t="shared" si="47"/>
        <v>0</v>
      </c>
      <c r="AG66" s="252">
        <f t="shared" si="47"/>
        <v>0</v>
      </c>
      <c r="AH66" s="252">
        <f t="shared" si="47"/>
        <v>0</v>
      </c>
      <c r="AI66" s="252">
        <f t="shared" si="47"/>
        <v>0</v>
      </c>
      <c r="AJ66" s="252">
        <f t="shared" si="47"/>
        <v>0</v>
      </c>
      <c r="AK66" s="252">
        <f t="shared" si="47"/>
        <v>0</v>
      </c>
      <c r="AL66" s="252">
        <f t="shared" si="47"/>
        <v>0</v>
      </c>
      <c r="AM66" s="252">
        <f t="shared" si="47"/>
        <v>0</v>
      </c>
      <c r="AN66" s="252">
        <f t="shared" si="47"/>
        <v>0</v>
      </c>
      <c r="AO66" s="252">
        <f t="shared" si="47"/>
        <v>0</v>
      </c>
      <c r="AP66" s="252">
        <f t="shared" si="47"/>
        <v>0</v>
      </c>
      <c r="AQ66" s="252">
        <f t="shared" si="47"/>
        <v>0</v>
      </c>
      <c r="AR66" s="252">
        <f t="shared" si="47"/>
        <v>0</v>
      </c>
      <c r="AS66" s="252">
        <f t="shared" si="47"/>
        <v>0</v>
      </c>
      <c r="AT66" s="252">
        <f t="shared" si="47"/>
        <v>0</v>
      </c>
      <c r="AU66" s="252">
        <f t="shared" si="47"/>
        <v>0</v>
      </c>
      <c r="AV66" s="252">
        <f t="shared" si="47"/>
        <v>0</v>
      </c>
      <c r="AW66" s="252">
        <f t="shared" si="47"/>
        <v>0</v>
      </c>
      <c r="AX66" s="252">
        <f t="shared" si="47"/>
        <v>0</v>
      </c>
      <c r="AY66" s="252">
        <f t="shared" si="47"/>
        <v>0</v>
      </c>
      <c r="AZ66" s="252">
        <f t="shared" si="47"/>
        <v>0</v>
      </c>
      <c r="BA66" s="252">
        <f t="shared" si="47"/>
        <v>0</v>
      </c>
    </row>
    <row r="67" ht="15.75" customHeight="1">
      <c r="A67" s="850">
        <v>1956.0</v>
      </c>
      <c r="B67" s="38"/>
      <c r="C67" s="38"/>
      <c r="D67" s="38"/>
      <c r="E67" s="38"/>
      <c r="F67" s="38"/>
      <c r="G67" s="38"/>
      <c r="H67" s="38"/>
      <c r="I67" s="38"/>
      <c r="J67" s="38"/>
      <c r="K67" s="38"/>
      <c r="L67" s="38"/>
      <c r="M67" s="38"/>
      <c r="N67" s="38"/>
      <c r="O67" s="38"/>
      <c r="P67" s="38"/>
      <c r="Q67" s="38"/>
      <c r="R67" s="38"/>
      <c r="S67" s="38"/>
      <c r="T67" s="38"/>
      <c r="U67" s="38"/>
      <c r="V67" s="171">
        <v>0.0</v>
      </c>
      <c r="W67" s="252">
        <f t="shared" si="22"/>
        <v>0</v>
      </c>
      <c r="X67" s="252">
        <f t="shared" ref="X67:BA67" si="48">IF(AND(X$40-$A67&gt;$V$27,SUM($W67:W67)&lt;&gt;$V67),$V67,0)</f>
        <v>0</v>
      </c>
      <c r="Y67" s="252">
        <f t="shared" si="48"/>
        <v>0</v>
      </c>
      <c r="Z67" s="252">
        <f t="shared" si="48"/>
        <v>0</v>
      </c>
      <c r="AA67" s="252">
        <f t="shared" si="48"/>
        <v>0</v>
      </c>
      <c r="AB67" s="252">
        <f t="shared" si="48"/>
        <v>0</v>
      </c>
      <c r="AC67" s="252">
        <f t="shared" si="48"/>
        <v>0</v>
      </c>
      <c r="AD67" s="252">
        <f t="shared" si="48"/>
        <v>0</v>
      </c>
      <c r="AE67" s="252">
        <f t="shared" si="48"/>
        <v>0</v>
      </c>
      <c r="AF67" s="252">
        <f t="shared" si="48"/>
        <v>0</v>
      </c>
      <c r="AG67" s="252">
        <f t="shared" si="48"/>
        <v>0</v>
      </c>
      <c r="AH67" s="252">
        <f t="shared" si="48"/>
        <v>0</v>
      </c>
      <c r="AI67" s="252">
        <f t="shared" si="48"/>
        <v>0</v>
      </c>
      <c r="AJ67" s="252">
        <f t="shared" si="48"/>
        <v>0</v>
      </c>
      <c r="AK67" s="252">
        <f t="shared" si="48"/>
        <v>0</v>
      </c>
      <c r="AL67" s="252">
        <f t="shared" si="48"/>
        <v>0</v>
      </c>
      <c r="AM67" s="252">
        <f t="shared" si="48"/>
        <v>0</v>
      </c>
      <c r="AN67" s="252">
        <f t="shared" si="48"/>
        <v>0</v>
      </c>
      <c r="AO67" s="252">
        <f t="shared" si="48"/>
        <v>0</v>
      </c>
      <c r="AP67" s="252">
        <f t="shared" si="48"/>
        <v>0</v>
      </c>
      <c r="AQ67" s="252">
        <f t="shared" si="48"/>
        <v>0</v>
      </c>
      <c r="AR67" s="252">
        <f t="shared" si="48"/>
        <v>0</v>
      </c>
      <c r="AS67" s="252">
        <f t="shared" si="48"/>
        <v>0</v>
      </c>
      <c r="AT67" s="252">
        <f t="shared" si="48"/>
        <v>0</v>
      </c>
      <c r="AU67" s="252">
        <f t="shared" si="48"/>
        <v>0</v>
      </c>
      <c r="AV67" s="252">
        <f t="shared" si="48"/>
        <v>0</v>
      </c>
      <c r="AW67" s="252">
        <f t="shared" si="48"/>
        <v>0</v>
      </c>
      <c r="AX67" s="252">
        <f t="shared" si="48"/>
        <v>0</v>
      </c>
      <c r="AY67" s="252">
        <f t="shared" si="48"/>
        <v>0</v>
      </c>
      <c r="AZ67" s="252">
        <f t="shared" si="48"/>
        <v>0</v>
      </c>
      <c r="BA67" s="252">
        <f t="shared" si="48"/>
        <v>0</v>
      </c>
    </row>
    <row r="68" ht="15.75" customHeight="1">
      <c r="A68" s="850">
        <v>1957.0</v>
      </c>
      <c r="B68" s="38"/>
      <c r="C68" s="38"/>
      <c r="D68" s="38"/>
      <c r="E68" s="38"/>
      <c r="F68" s="38"/>
      <c r="G68" s="38"/>
      <c r="H68" s="38"/>
      <c r="I68" s="38"/>
      <c r="J68" s="38"/>
      <c r="K68" s="38"/>
      <c r="L68" s="38"/>
      <c r="M68" s="38"/>
      <c r="N68" s="38"/>
      <c r="O68" s="38"/>
      <c r="P68" s="38"/>
      <c r="Q68" s="38"/>
      <c r="R68" s="38"/>
      <c r="S68" s="38"/>
      <c r="T68" s="38"/>
      <c r="U68" s="38"/>
      <c r="V68" s="171">
        <v>0.0</v>
      </c>
      <c r="W68" s="252">
        <f t="shared" si="22"/>
        <v>0</v>
      </c>
      <c r="X68" s="252">
        <f t="shared" ref="X68:BA68" si="49">IF(AND(X$40-$A68&gt;$V$27,SUM($W68:W68)&lt;&gt;$V68),$V68,0)</f>
        <v>0</v>
      </c>
      <c r="Y68" s="252">
        <f t="shared" si="49"/>
        <v>0</v>
      </c>
      <c r="Z68" s="252">
        <f t="shared" si="49"/>
        <v>0</v>
      </c>
      <c r="AA68" s="252">
        <f t="shared" si="49"/>
        <v>0</v>
      </c>
      <c r="AB68" s="252">
        <f t="shared" si="49"/>
        <v>0</v>
      </c>
      <c r="AC68" s="252">
        <f t="shared" si="49"/>
        <v>0</v>
      </c>
      <c r="AD68" s="252">
        <f t="shared" si="49"/>
        <v>0</v>
      </c>
      <c r="AE68" s="252">
        <f t="shared" si="49"/>
        <v>0</v>
      </c>
      <c r="AF68" s="252">
        <f t="shared" si="49"/>
        <v>0</v>
      </c>
      <c r="AG68" s="252">
        <f t="shared" si="49"/>
        <v>0</v>
      </c>
      <c r="AH68" s="252">
        <f t="shared" si="49"/>
        <v>0</v>
      </c>
      <c r="AI68" s="252">
        <f t="shared" si="49"/>
        <v>0</v>
      </c>
      <c r="AJ68" s="252">
        <f t="shared" si="49"/>
        <v>0</v>
      </c>
      <c r="AK68" s="252">
        <f t="shared" si="49"/>
        <v>0</v>
      </c>
      <c r="AL68" s="252">
        <f t="shared" si="49"/>
        <v>0</v>
      </c>
      <c r="AM68" s="252">
        <f t="shared" si="49"/>
        <v>0</v>
      </c>
      <c r="AN68" s="252">
        <f t="shared" si="49"/>
        <v>0</v>
      </c>
      <c r="AO68" s="252">
        <f t="shared" si="49"/>
        <v>0</v>
      </c>
      <c r="AP68" s="252">
        <f t="shared" si="49"/>
        <v>0</v>
      </c>
      <c r="AQ68" s="252">
        <f t="shared" si="49"/>
        <v>0</v>
      </c>
      <c r="AR68" s="252">
        <f t="shared" si="49"/>
        <v>0</v>
      </c>
      <c r="AS68" s="252">
        <f t="shared" si="49"/>
        <v>0</v>
      </c>
      <c r="AT68" s="252">
        <f t="shared" si="49"/>
        <v>0</v>
      </c>
      <c r="AU68" s="252">
        <f t="shared" si="49"/>
        <v>0</v>
      </c>
      <c r="AV68" s="252">
        <f t="shared" si="49"/>
        <v>0</v>
      </c>
      <c r="AW68" s="252">
        <f t="shared" si="49"/>
        <v>0</v>
      </c>
      <c r="AX68" s="252">
        <f t="shared" si="49"/>
        <v>0</v>
      </c>
      <c r="AY68" s="252">
        <f t="shared" si="49"/>
        <v>0</v>
      </c>
      <c r="AZ68" s="252">
        <f t="shared" si="49"/>
        <v>0</v>
      </c>
      <c r="BA68" s="252">
        <f t="shared" si="49"/>
        <v>0</v>
      </c>
    </row>
    <row r="69" ht="15.75" customHeight="1">
      <c r="A69" s="850">
        <v>1958.0</v>
      </c>
      <c r="B69" s="38"/>
      <c r="C69" s="38"/>
      <c r="D69" s="38"/>
      <c r="E69" s="38"/>
      <c r="F69" s="38"/>
      <c r="G69" s="38"/>
      <c r="H69" s="38"/>
      <c r="I69" s="38"/>
      <c r="J69" s="38"/>
      <c r="K69" s="38"/>
      <c r="L69" s="38"/>
      <c r="M69" s="38"/>
      <c r="N69" s="38"/>
      <c r="O69" s="38"/>
      <c r="P69" s="38"/>
      <c r="Q69" s="38"/>
      <c r="R69" s="38"/>
      <c r="S69" s="38"/>
      <c r="T69" s="38"/>
      <c r="U69" s="38"/>
      <c r="V69" s="171">
        <v>0.0</v>
      </c>
      <c r="W69" s="252">
        <f t="shared" si="22"/>
        <v>0</v>
      </c>
      <c r="X69" s="252">
        <f t="shared" ref="X69:BA69" si="50">IF(AND(X$40-$A69&gt;$V$27,SUM($W69:W69)&lt;&gt;$V69),$V69,0)</f>
        <v>0</v>
      </c>
      <c r="Y69" s="252">
        <f t="shared" si="50"/>
        <v>0</v>
      </c>
      <c r="Z69" s="252">
        <f t="shared" si="50"/>
        <v>0</v>
      </c>
      <c r="AA69" s="252">
        <f t="shared" si="50"/>
        <v>0</v>
      </c>
      <c r="AB69" s="252">
        <f t="shared" si="50"/>
        <v>0</v>
      </c>
      <c r="AC69" s="252">
        <f t="shared" si="50"/>
        <v>0</v>
      </c>
      <c r="AD69" s="252">
        <f t="shared" si="50"/>
        <v>0</v>
      </c>
      <c r="AE69" s="252">
        <f t="shared" si="50"/>
        <v>0</v>
      </c>
      <c r="AF69" s="252">
        <f t="shared" si="50"/>
        <v>0</v>
      </c>
      <c r="AG69" s="252">
        <f t="shared" si="50"/>
        <v>0</v>
      </c>
      <c r="AH69" s="252">
        <f t="shared" si="50"/>
        <v>0</v>
      </c>
      <c r="AI69" s="252">
        <f t="shared" si="50"/>
        <v>0</v>
      </c>
      <c r="AJ69" s="252">
        <f t="shared" si="50"/>
        <v>0</v>
      </c>
      <c r="AK69" s="252">
        <f t="shared" si="50"/>
        <v>0</v>
      </c>
      <c r="AL69" s="252">
        <f t="shared" si="50"/>
        <v>0</v>
      </c>
      <c r="AM69" s="252">
        <f t="shared" si="50"/>
        <v>0</v>
      </c>
      <c r="AN69" s="252">
        <f t="shared" si="50"/>
        <v>0</v>
      </c>
      <c r="AO69" s="252">
        <f t="shared" si="50"/>
        <v>0</v>
      </c>
      <c r="AP69" s="252">
        <f t="shared" si="50"/>
        <v>0</v>
      </c>
      <c r="AQ69" s="252">
        <f t="shared" si="50"/>
        <v>0</v>
      </c>
      <c r="AR69" s="252">
        <f t="shared" si="50"/>
        <v>0</v>
      </c>
      <c r="AS69" s="252">
        <f t="shared" si="50"/>
        <v>0</v>
      </c>
      <c r="AT69" s="252">
        <f t="shared" si="50"/>
        <v>0</v>
      </c>
      <c r="AU69" s="252">
        <f t="shared" si="50"/>
        <v>0</v>
      </c>
      <c r="AV69" s="252">
        <f t="shared" si="50"/>
        <v>0</v>
      </c>
      <c r="AW69" s="252">
        <f t="shared" si="50"/>
        <v>0</v>
      </c>
      <c r="AX69" s="252">
        <f t="shared" si="50"/>
        <v>0</v>
      </c>
      <c r="AY69" s="252">
        <f t="shared" si="50"/>
        <v>0</v>
      </c>
      <c r="AZ69" s="252">
        <f t="shared" si="50"/>
        <v>0</v>
      </c>
      <c r="BA69" s="252">
        <f t="shared" si="50"/>
        <v>0</v>
      </c>
    </row>
    <row r="70" ht="15.75" customHeight="1">
      <c r="A70" s="850">
        <v>1959.0</v>
      </c>
      <c r="B70" s="38"/>
      <c r="C70" s="38"/>
      <c r="D70" s="38"/>
      <c r="E70" s="38"/>
      <c r="F70" s="38"/>
      <c r="G70" s="38"/>
      <c r="H70" s="38"/>
      <c r="I70" s="38"/>
      <c r="J70" s="38"/>
      <c r="K70" s="38"/>
      <c r="L70" s="38"/>
      <c r="M70" s="38"/>
      <c r="N70" s="38"/>
      <c r="O70" s="38"/>
      <c r="P70" s="38"/>
      <c r="Q70" s="38"/>
      <c r="R70" s="38"/>
      <c r="S70" s="38"/>
      <c r="T70" s="38"/>
      <c r="U70" s="38"/>
      <c r="V70" s="171">
        <v>0.0</v>
      </c>
      <c r="W70" s="252">
        <f t="shared" si="22"/>
        <v>0</v>
      </c>
      <c r="X70" s="252">
        <f t="shared" ref="X70:BA70" si="51">IF(AND(X$40-$A70&gt;$V$27,SUM($W70:W70)&lt;&gt;$V70),$V70,0)</f>
        <v>0</v>
      </c>
      <c r="Y70" s="252">
        <f t="shared" si="51"/>
        <v>0</v>
      </c>
      <c r="Z70" s="252">
        <f t="shared" si="51"/>
        <v>0</v>
      </c>
      <c r="AA70" s="252">
        <f t="shared" si="51"/>
        <v>0</v>
      </c>
      <c r="AB70" s="252">
        <f t="shared" si="51"/>
        <v>0</v>
      </c>
      <c r="AC70" s="252">
        <f t="shared" si="51"/>
        <v>0</v>
      </c>
      <c r="AD70" s="252">
        <f t="shared" si="51"/>
        <v>0</v>
      </c>
      <c r="AE70" s="252">
        <f t="shared" si="51"/>
        <v>0</v>
      </c>
      <c r="AF70" s="252">
        <f t="shared" si="51"/>
        <v>0</v>
      </c>
      <c r="AG70" s="252">
        <f t="shared" si="51"/>
        <v>0</v>
      </c>
      <c r="AH70" s="252">
        <f t="shared" si="51"/>
        <v>0</v>
      </c>
      <c r="AI70" s="252">
        <f t="shared" si="51"/>
        <v>0</v>
      </c>
      <c r="AJ70" s="252">
        <f t="shared" si="51"/>
        <v>0</v>
      </c>
      <c r="AK70" s="252">
        <f t="shared" si="51"/>
        <v>0</v>
      </c>
      <c r="AL70" s="252">
        <f t="shared" si="51"/>
        <v>0</v>
      </c>
      <c r="AM70" s="252">
        <f t="shared" si="51"/>
        <v>0</v>
      </c>
      <c r="AN70" s="252">
        <f t="shared" si="51"/>
        <v>0</v>
      </c>
      <c r="AO70" s="252">
        <f t="shared" si="51"/>
        <v>0</v>
      </c>
      <c r="AP70" s="252">
        <f t="shared" si="51"/>
        <v>0</v>
      </c>
      <c r="AQ70" s="252">
        <f t="shared" si="51"/>
        <v>0</v>
      </c>
      <c r="AR70" s="252">
        <f t="shared" si="51"/>
        <v>0</v>
      </c>
      <c r="AS70" s="252">
        <f t="shared" si="51"/>
        <v>0</v>
      </c>
      <c r="AT70" s="252">
        <f t="shared" si="51"/>
        <v>0</v>
      </c>
      <c r="AU70" s="252">
        <f t="shared" si="51"/>
        <v>0</v>
      </c>
      <c r="AV70" s="252">
        <f t="shared" si="51"/>
        <v>0</v>
      </c>
      <c r="AW70" s="252">
        <f t="shared" si="51"/>
        <v>0</v>
      </c>
      <c r="AX70" s="252">
        <f t="shared" si="51"/>
        <v>0</v>
      </c>
      <c r="AY70" s="252">
        <f t="shared" si="51"/>
        <v>0</v>
      </c>
      <c r="AZ70" s="252">
        <f t="shared" si="51"/>
        <v>0</v>
      </c>
      <c r="BA70" s="252">
        <f t="shared" si="51"/>
        <v>0</v>
      </c>
    </row>
    <row r="71" ht="15.75" customHeight="1">
      <c r="A71" s="850">
        <v>1960.0</v>
      </c>
      <c r="B71" s="38"/>
      <c r="C71" s="38"/>
      <c r="D71" s="38"/>
      <c r="E71" s="38"/>
      <c r="F71" s="38"/>
      <c r="G71" s="38"/>
      <c r="H71" s="38"/>
      <c r="I71" s="38"/>
      <c r="J71" s="38"/>
      <c r="K71" s="38"/>
      <c r="L71" s="38"/>
      <c r="M71" s="38"/>
      <c r="N71" s="38"/>
      <c r="O71" s="38"/>
      <c r="P71" s="38"/>
      <c r="Q71" s="38"/>
      <c r="R71" s="38"/>
      <c r="S71" s="38"/>
      <c r="T71" s="38"/>
      <c r="U71" s="38"/>
      <c r="V71" s="171">
        <v>0.0</v>
      </c>
      <c r="W71" s="252">
        <f t="shared" si="22"/>
        <v>0</v>
      </c>
      <c r="X71" s="252">
        <f t="shared" ref="X71:BA71" si="52">IF(AND(X$40-$A71&gt;$V$27,SUM($W71:W71)&lt;&gt;$V71),$V71,0)</f>
        <v>0</v>
      </c>
      <c r="Y71" s="252">
        <f t="shared" si="52"/>
        <v>0</v>
      </c>
      <c r="Z71" s="252">
        <f t="shared" si="52"/>
        <v>0</v>
      </c>
      <c r="AA71" s="252">
        <f t="shared" si="52"/>
        <v>0</v>
      </c>
      <c r="AB71" s="252">
        <f t="shared" si="52"/>
        <v>0</v>
      </c>
      <c r="AC71" s="252">
        <f t="shared" si="52"/>
        <v>0</v>
      </c>
      <c r="AD71" s="252">
        <f t="shared" si="52"/>
        <v>0</v>
      </c>
      <c r="AE71" s="252">
        <f t="shared" si="52"/>
        <v>0</v>
      </c>
      <c r="AF71" s="252">
        <f t="shared" si="52"/>
        <v>0</v>
      </c>
      <c r="AG71" s="252">
        <f t="shared" si="52"/>
        <v>0</v>
      </c>
      <c r="AH71" s="252">
        <f t="shared" si="52"/>
        <v>0</v>
      </c>
      <c r="AI71" s="252">
        <f t="shared" si="52"/>
        <v>0</v>
      </c>
      <c r="AJ71" s="252">
        <f t="shared" si="52"/>
        <v>0</v>
      </c>
      <c r="AK71" s="252">
        <f t="shared" si="52"/>
        <v>0</v>
      </c>
      <c r="AL71" s="252">
        <f t="shared" si="52"/>
        <v>0</v>
      </c>
      <c r="AM71" s="252">
        <f t="shared" si="52"/>
        <v>0</v>
      </c>
      <c r="AN71" s="252">
        <f t="shared" si="52"/>
        <v>0</v>
      </c>
      <c r="AO71" s="252">
        <f t="shared" si="52"/>
        <v>0</v>
      </c>
      <c r="AP71" s="252">
        <f t="shared" si="52"/>
        <v>0</v>
      </c>
      <c r="AQ71" s="252">
        <f t="shared" si="52"/>
        <v>0</v>
      </c>
      <c r="AR71" s="252">
        <f t="shared" si="52"/>
        <v>0</v>
      </c>
      <c r="AS71" s="252">
        <f t="shared" si="52"/>
        <v>0</v>
      </c>
      <c r="AT71" s="252">
        <f t="shared" si="52"/>
        <v>0</v>
      </c>
      <c r="AU71" s="252">
        <f t="shared" si="52"/>
        <v>0</v>
      </c>
      <c r="AV71" s="252">
        <f t="shared" si="52"/>
        <v>0</v>
      </c>
      <c r="AW71" s="252">
        <f t="shared" si="52"/>
        <v>0</v>
      </c>
      <c r="AX71" s="252">
        <f t="shared" si="52"/>
        <v>0</v>
      </c>
      <c r="AY71" s="252">
        <f t="shared" si="52"/>
        <v>0</v>
      </c>
      <c r="AZ71" s="252">
        <f t="shared" si="52"/>
        <v>0</v>
      </c>
      <c r="BA71" s="252">
        <f t="shared" si="52"/>
        <v>0</v>
      </c>
    </row>
    <row r="72" ht="15.75" customHeight="1">
      <c r="A72" s="850">
        <v>1961.0</v>
      </c>
      <c r="B72" s="38"/>
      <c r="C72" s="38"/>
      <c r="D72" s="38"/>
      <c r="E72" s="38"/>
      <c r="F72" s="38"/>
      <c r="G72" s="38"/>
      <c r="H72" s="38"/>
      <c r="I72" s="38"/>
      <c r="J72" s="38"/>
      <c r="K72" s="38"/>
      <c r="L72" s="38"/>
      <c r="M72" s="38"/>
      <c r="N72" s="38"/>
      <c r="O72" s="38"/>
      <c r="P72" s="38"/>
      <c r="Q72" s="38"/>
      <c r="R72" s="38"/>
      <c r="S72" s="38"/>
      <c r="T72" s="38"/>
      <c r="U72" s="38"/>
      <c r="V72" s="171">
        <v>0.0</v>
      </c>
      <c r="W72" s="252">
        <f t="shared" si="22"/>
        <v>0</v>
      </c>
      <c r="X72" s="252">
        <f t="shared" ref="X72:BA72" si="53">IF(AND(X$40-$A72&gt;$V$27,SUM($W72:W72)&lt;&gt;$V72),$V72,0)</f>
        <v>0</v>
      </c>
      <c r="Y72" s="252">
        <f t="shared" si="53"/>
        <v>0</v>
      </c>
      <c r="Z72" s="252">
        <f t="shared" si="53"/>
        <v>0</v>
      </c>
      <c r="AA72" s="252">
        <f t="shared" si="53"/>
        <v>0</v>
      </c>
      <c r="AB72" s="252">
        <f t="shared" si="53"/>
        <v>0</v>
      </c>
      <c r="AC72" s="252">
        <f t="shared" si="53"/>
        <v>0</v>
      </c>
      <c r="AD72" s="252">
        <f t="shared" si="53"/>
        <v>0</v>
      </c>
      <c r="AE72" s="252">
        <f t="shared" si="53"/>
        <v>0</v>
      </c>
      <c r="AF72" s="252">
        <f t="shared" si="53"/>
        <v>0</v>
      </c>
      <c r="AG72" s="252">
        <f t="shared" si="53"/>
        <v>0</v>
      </c>
      <c r="AH72" s="252">
        <f t="shared" si="53"/>
        <v>0</v>
      </c>
      <c r="AI72" s="252">
        <f t="shared" si="53"/>
        <v>0</v>
      </c>
      <c r="AJ72" s="252">
        <f t="shared" si="53"/>
        <v>0</v>
      </c>
      <c r="AK72" s="252">
        <f t="shared" si="53"/>
        <v>0</v>
      </c>
      <c r="AL72" s="252">
        <f t="shared" si="53"/>
        <v>0</v>
      </c>
      <c r="AM72" s="252">
        <f t="shared" si="53"/>
        <v>0</v>
      </c>
      <c r="AN72" s="252">
        <f t="shared" si="53"/>
        <v>0</v>
      </c>
      <c r="AO72" s="252">
        <f t="shared" si="53"/>
        <v>0</v>
      </c>
      <c r="AP72" s="252">
        <f t="shared" si="53"/>
        <v>0</v>
      </c>
      <c r="AQ72" s="252">
        <f t="shared" si="53"/>
        <v>0</v>
      </c>
      <c r="AR72" s="252">
        <f t="shared" si="53"/>
        <v>0</v>
      </c>
      <c r="AS72" s="252">
        <f t="shared" si="53"/>
        <v>0</v>
      </c>
      <c r="AT72" s="252">
        <f t="shared" si="53"/>
        <v>0</v>
      </c>
      <c r="AU72" s="252">
        <f t="shared" si="53"/>
        <v>0</v>
      </c>
      <c r="AV72" s="252">
        <f t="shared" si="53"/>
        <v>0</v>
      </c>
      <c r="AW72" s="252">
        <f t="shared" si="53"/>
        <v>0</v>
      </c>
      <c r="AX72" s="252">
        <f t="shared" si="53"/>
        <v>0</v>
      </c>
      <c r="AY72" s="252">
        <f t="shared" si="53"/>
        <v>0</v>
      </c>
      <c r="AZ72" s="252">
        <f t="shared" si="53"/>
        <v>0</v>
      </c>
      <c r="BA72" s="252">
        <f t="shared" si="53"/>
        <v>0</v>
      </c>
    </row>
    <row r="73" ht="15.75" customHeight="1">
      <c r="A73" s="850">
        <v>1962.0</v>
      </c>
      <c r="B73" s="38"/>
      <c r="C73" s="38"/>
      <c r="D73" s="38"/>
      <c r="E73" s="38"/>
      <c r="F73" s="38"/>
      <c r="G73" s="38"/>
      <c r="H73" s="38"/>
      <c r="I73" s="38"/>
      <c r="J73" s="38"/>
      <c r="K73" s="38"/>
      <c r="L73" s="38"/>
      <c r="M73" s="38"/>
      <c r="N73" s="38"/>
      <c r="O73" s="38"/>
      <c r="P73" s="38"/>
      <c r="Q73" s="38"/>
      <c r="R73" s="38"/>
      <c r="S73" s="38"/>
      <c r="T73" s="38"/>
      <c r="U73" s="38"/>
      <c r="V73" s="171">
        <v>0.0</v>
      </c>
      <c r="W73" s="252">
        <f t="shared" si="22"/>
        <v>0</v>
      </c>
      <c r="X73" s="252">
        <f t="shared" ref="X73:BA73" si="54">IF(AND(X$40-$A73&gt;$V$27,SUM($W73:W73)&lt;&gt;$V73),$V73,0)</f>
        <v>0</v>
      </c>
      <c r="Y73" s="252">
        <f t="shared" si="54"/>
        <v>0</v>
      </c>
      <c r="Z73" s="252">
        <f t="shared" si="54"/>
        <v>0</v>
      </c>
      <c r="AA73" s="252">
        <f t="shared" si="54"/>
        <v>0</v>
      </c>
      <c r="AB73" s="252">
        <f t="shared" si="54"/>
        <v>0</v>
      </c>
      <c r="AC73" s="252">
        <f t="shared" si="54"/>
        <v>0</v>
      </c>
      <c r="AD73" s="252">
        <f t="shared" si="54"/>
        <v>0</v>
      </c>
      <c r="AE73" s="252">
        <f t="shared" si="54"/>
        <v>0</v>
      </c>
      <c r="AF73" s="252">
        <f t="shared" si="54"/>
        <v>0</v>
      </c>
      <c r="AG73" s="252">
        <f t="shared" si="54"/>
        <v>0</v>
      </c>
      <c r="AH73" s="252">
        <f t="shared" si="54"/>
        <v>0</v>
      </c>
      <c r="AI73" s="252">
        <f t="shared" si="54"/>
        <v>0</v>
      </c>
      <c r="AJ73" s="252">
        <f t="shared" si="54"/>
        <v>0</v>
      </c>
      <c r="AK73" s="252">
        <f t="shared" si="54"/>
        <v>0</v>
      </c>
      <c r="AL73" s="252">
        <f t="shared" si="54"/>
        <v>0</v>
      </c>
      <c r="AM73" s="252">
        <f t="shared" si="54"/>
        <v>0</v>
      </c>
      <c r="AN73" s="252">
        <f t="shared" si="54"/>
        <v>0</v>
      </c>
      <c r="AO73" s="252">
        <f t="shared" si="54"/>
        <v>0</v>
      </c>
      <c r="AP73" s="252">
        <f t="shared" si="54"/>
        <v>0</v>
      </c>
      <c r="AQ73" s="252">
        <f t="shared" si="54"/>
        <v>0</v>
      </c>
      <c r="AR73" s="252">
        <f t="shared" si="54"/>
        <v>0</v>
      </c>
      <c r="AS73" s="252">
        <f t="shared" si="54"/>
        <v>0</v>
      </c>
      <c r="AT73" s="252">
        <f t="shared" si="54"/>
        <v>0</v>
      </c>
      <c r="AU73" s="252">
        <f t="shared" si="54"/>
        <v>0</v>
      </c>
      <c r="AV73" s="252">
        <f t="shared" si="54"/>
        <v>0</v>
      </c>
      <c r="AW73" s="252">
        <f t="shared" si="54"/>
        <v>0</v>
      </c>
      <c r="AX73" s="252">
        <f t="shared" si="54"/>
        <v>0</v>
      </c>
      <c r="AY73" s="252">
        <f t="shared" si="54"/>
        <v>0</v>
      </c>
      <c r="AZ73" s="252">
        <f t="shared" si="54"/>
        <v>0</v>
      </c>
      <c r="BA73" s="252">
        <f t="shared" si="54"/>
        <v>0</v>
      </c>
    </row>
    <row r="74" ht="15.75" customHeight="1">
      <c r="A74" s="850">
        <v>1963.0</v>
      </c>
      <c r="B74" s="38"/>
      <c r="C74" s="38"/>
      <c r="D74" s="38"/>
      <c r="E74" s="38"/>
      <c r="F74" s="38"/>
      <c r="G74" s="38"/>
      <c r="H74" s="38"/>
      <c r="I74" s="38"/>
      <c r="J74" s="38"/>
      <c r="K74" s="38"/>
      <c r="L74" s="38"/>
      <c r="M74" s="38"/>
      <c r="N74" s="38"/>
      <c r="O74" s="38"/>
      <c r="P74" s="38"/>
      <c r="Q74" s="38"/>
      <c r="R74" s="38"/>
      <c r="S74" s="38"/>
      <c r="T74" s="38"/>
      <c r="U74" s="38"/>
      <c r="V74" s="171">
        <v>0.0</v>
      </c>
      <c r="W74" s="252">
        <f t="shared" si="22"/>
        <v>0</v>
      </c>
      <c r="X74" s="252">
        <f t="shared" ref="X74:BA74" si="55">IF(AND(X$40-$A74&gt;$V$27,SUM($W74:W74)&lt;&gt;$V74),$V74,0)</f>
        <v>0</v>
      </c>
      <c r="Y74" s="252">
        <f t="shared" si="55"/>
        <v>0</v>
      </c>
      <c r="Z74" s="252">
        <f t="shared" si="55"/>
        <v>0</v>
      </c>
      <c r="AA74" s="252">
        <f t="shared" si="55"/>
        <v>0</v>
      </c>
      <c r="AB74" s="252">
        <f t="shared" si="55"/>
        <v>0</v>
      </c>
      <c r="AC74" s="252">
        <f t="shared" si="55"/>
        <v>0</v>
      </c>
      <c r="AD74" s="252">
        <f t="shared" si="55"/>
        <v>0</v>
      </c>
      <c r="AE74" s="252">
        <f t="shared" si="55"/>
        <v>0</v>
      </c>
      <c r="AF74" s="252">
        <f t="shared" si="55"/>
        <v>0</v>
      </c>
      <c r="AG74" s="252">
        <f t="shared" si="55"/>
        <v>0</v>
      </c>
      <c r="AH74" s="252">
        <f t="shared" si="55"/>
        <v>0</v>
      </c>
      <c r="AI74" s="252">
        <f t="shared" si="55"/>
        <v>0</v>
      </c>
      <c r="AJ74" s="252">
        <f t="shared" si="55"/>
        <v>0</v>
      </c>
      <c r="AK74" s="252">
        <f t="shared" si="55"/>
        <v>0</v>
      </c>
      <c r="AL74" s="252">
        <f t="shared" si="55"/>
        <v>0</v>
      </c>
      <c r="AM74" s="252">
        <f t="shared" si="55"/>
        <v>0</v>
      </c>
      <c r="AN74" s="252">
        <f t="shared" si="55"/>
        <v>0</v>
      </c>
      <c r="AO74" s="252">
        <f t="shared" si="55"/>
        <v>0</v>
      </c>
      <c r="AP74" s="252">
        <f t="shared" si="55"/>
        <v>0</v>
      </c>
      <c r="AQ74" s="252">
        <f t="shared" si="55"/>
        <v>0</v>
      </c>
      <c r="AR74" s="252">
        <f t="shared" si="55"/>
        <v>0</v>
      </c>
      <c r="AS74" s="252">
        <f t="shared" si="55"/>
        <v>0</v>
      </c>
      <c r="AT74" s="252">
        <f t="shared" si="55"/>
        <v>0</v>
      </c>
      <c r="AU74" s="252">
        <f t="shared" si="55"/>
        <v>0</v>
      </c>
      <c r="AV74" s="252">
        <f t="shared" si="55"/>
        <v>0</v>
      </c>
      <c r="AW74" s="252">
        <f t="shared" si="55"/>
        <v>0</v>
      </c>
      <c r="AX74" s="252">
        <f t="shared" si="55"/>
        <v>0</v>
      </c>
      <c r="AY74" s="252">
        <f t="shared" si="55"/>
        <v>0</v>
      </c>
      <c r="AZ74" s="252">
        <f t="shared" si="55"/>
        <v>0</v>
      </c>
      <c r="BA74" s="252">
        <f t="shared" si="55"/>
        <v>0</v>
      </c>
    </row>
    <row r="75" ht="15.75" customHeight="1">
      <c r="A75" s="838">
        <v>1964.0</v>
      </c>
      <c r="B75" s="32"/>
      <c r="C75" s="32"/>
      <c r="D75" s="32"/>
      <c r="E75" s="32"/>
      <c r="F75" s="32"/>
      <c r="G75" s="32"/>
      <c r="H75" s="32"/>
      <c r="I75" s="32"/>
      <c r="J75" s="32"/>
      <c r="K75" s="32"/>
      <c r="L75" s="32"/>
      <c r="M75" s="32"/>
      <c r="N75" s="32"/>
      <c r="O75" s="32"/>
      <c r="P75" s="32"/>
      <c r="Q75" s="32"/>
      <c r="R75" s="32"/>
      <c r="S75" s="32"/>
      <c r="T75" s="32"/>
      <c r="U75" s="32"/>
      <c r="V75" s="741">
        <v>0.0</v>
      </c>
      <c r="W75" s="252">
        <f t="shared" si="22"/>
        <v>0</v>
      </c>
      <c r="X75" s="252">
        <f t="shared" ref="X75:BA75" si="56">IF(AND(X$40-$A75&gt;$V$27,SUM($W75:W75)&lt;&gt;$V75),$V75,0)</f>
        <v>0</v>
      </c>
      <c r="Y75" s="252">
        <f t="shared" si="56"/>
        <v>0</v>
      </c>
      <c r="Z75" s="252">
        <f t="shared" si="56"/>
        <v>0</v>
      </c>
      <c r="AA75" s="252">
        <f t="shared" si="56"/>
        <v>0</v>
      </c>
      <c r="AB75" s="252">
        <f t="shared" si="56"/>
        <v>0</v>
      </c>
      <c r="AC75" s="252">
        <f t="shared" si="56"/>
        <v>0</v>
      </c>
      <c r="AD75" s="252">
        <f t="shared" si="56"/>
        <v>0</v>
      </c>
      <c r="AE75" s="252">
        <f t="shared" si="56"/>
        <v>0</v>
      </c>
      <c r="AF75" s="252">
        <f t="shared" si="56"/>
        <v>0</v>
      </c>
      <c r="AG75" s="252">
        <f t="shared" si="56"/>
        <v>0</v>
      </c>
      <c r="AH75" s="252">
        <f t="shared" si="56"/>
        <v>0</v>
      </c>
      <c r="AI75" s="252">
        <f t="shared" si="56"/>
        <v>0</v>
      </c>
      <c r="AJ75" s="252">
        <f t="shared" si="56"/>
        <v>0</v>
      </c>
      <c r="AK75" s="252">
        <f t="shared" si="56"/>
        <v>0</v>
      </c>
      <c r="AL75" s="252">
        <f t="shared" si="56"/>
        <v>0</v>
      </c>
      <c r="AM75" s="252">
        <f t="shared" si="56"/>
        <v>0</v>
      </c>
      <c r="AN75" s="252">
        <f t="shared" si="56"/>
        <v>0</v>
      </c>
      <c r="AO75" s="252">
        <f t="shared" si="56"/>
        <v>0</v>
      </c>
      <c r="AP75" s="252">
        <f t="shared" si="56"/>
        <v>0</v>
      </c>
      <c r="AQ75" s="252">
        <f t="shared" si="56"/>
        <v>0</v>
      </c>
      <c r="AR75" s="252">
        <f t="shared" si="56"/>
        <v>0</v>
      </c>
      <c r="AS75" s="252">
        <f t="shared" si="56"/>
        <v>0</v>
      </c>
      <c r="AT75" s="252">
        <f t="shared" si="56"/>
        <v>0</v>
      </c>
      <c r="AU75" s="252">
        <f t="shared" si="56"/>
        <v>0</v>
      </c>
      <c r="AV75" s="252">
        <f t="shared" si="56"/>
        <v>0</v>
      </c>
      <c r="AW75" s="252">
        <f t="shared" si="56"/>
        <v>0</v>
      </c>
      <c r="AX75" s="252">
        <f t="shared" si="56"/>
        <v>0</v>
      </c>
      <c r="AY75" s="252">
        <f t="shared" si="56"/>
        <v>0</v>
      </c>
      <c r="AZ75" s="252">
        <f t="shared" si="56"/>
        <v>0</v>
      </c>
      <c r="BA75" s="252">
        <f t="shared" si="56"/>
        <v>0</v>
      </c>
    </row>
    <row r="76" ht="15.75" customHeight="1">
      <c r="A76" s="838">
        <v>1965.0</v>
      </c>
      <c r="B76" s="32"/>
      <c r="C76" s="32"/>
      <c r="D76" s="32"/>
      <c r="E76" s="32"/>
      <c r="F76" s="32"/>
      <c r="G76" s="32"/>
      <c r="H76" s="32"/>
      <c r="I76" s="32"/>
      <c r="J76" s="32"/>
      <c r="K76" s="32"/>
      <c r="L76" s="32"/>
      <c r="M76" s="32"/>
      <c r="N76" s="32"/>
      <c r="O76" s="32"/>
      <c r="P76" s="32"/>
      <c r="Q76" s="32"/>
      <c r="R76" s="32"/>
      <c r="S76" s="32"/>
      <c r="T76" s="32"/>
      <c r="U76" s="32"/>
      <c r="V76" s="741">
        <v>0.0</v>
      </c>
      <c r="W76" s="252">
        <f t="shared" si="22"/>
        <v>0</v>
      </c>
      <c r="X76" s="252">
        <f t="shared" ref="X76:BA76" si="57">IF(AND(X$40-$A76&gt;$V$27,SUM($W76:W76)&lt;&gt;$V76),$V76,0)</f>
        <v>0</v>
      </c>
      <c r="Y76" s="252">
        <f t="shared" si="57"/>
        <v>0</v>
      </c>
      <c r="Z76" s="252">
        <f t="shared" si="57"/>
        <v>0</v>
      </c>
      <c r="AA76" s="252">
        <f t="shared" si="57"/>
        <v>0</v>
      </c>
      <c r="AB76" s="252">
        <f t="shared" si="57"/>
        <v>0</v>
      </c>
      <c r="AC76" s="252">
        <f t="shared" si="57"/>
        <v>0</v>
      </c>
      <c r="AD76" s="252">
        <f t="shared" si="57"/>
        <v>0</v>
      </c>
      <c r="AE76" s="252">
        <f t="shared" si="57"/>
        <v>0</v>
      </c>
      <c r="AF76" s="252">
        <f t="shared" si="57"/>
        <v>0</v>
      </c>
      <c r="AG76" s="252">
        <f t="shared" si="57"/>
        <v>0</v>
      </c>
      <c r="AH76" s="252">
        <f t="shared" si="57"/>
        <v>0</v>
      </c>
      <c r="AI76" s="252">
        <f t="shared" si="57"/>
        <v>0</v>
      </c>
      <c r="AJ76" s="252">
        <f t="shared" si="57"/>
        <v>0</v>
      </c>
      <c r="AK76" s="252">
        <f t="shared" si="57"/>
        <v>0</v>
      </c>
      <c r="AL76" s="252">
        <f t="shared" si="57"/>
        <v>0</v>
      </c>
      <c r="AM76" s="252">
        <f t="shared" si="57"/>
        <v>0</v>
      </c>
      <c r="AN76" s="252">
        <f t="shared" si="57"/>
        <v>0</v>
      </c>
      <c r="AO76" s="252">
        <f t="shared" si="57"/>
        <v>0</v>
      </c>
      <c r="AP76" s="252">
        <f t="shared" si="57"/>
        <v>0</v>
      </c>
      <c r="AQ76" s="252">
        <f t="shared" si="57"/>
        <v>0</v>
      </c>
      <c r="AR76" s="252">
        <f t="shared" si="57"/>
        <v>0</v>
      </c>
      <c r="AS76" s="252">
        <f t="shared" si="57"/>
        <v>0</v>
      </c>
      <c r="AT76" s="252">
        <f t="shared" si="57"/>
        <v>0</v>
      </c>
      <c r="AU76" s="252">
        <f t="shared" si="57"/>
        <v>0</v>
      </c>
      <c r="AV76" s="252">
        <f t="shared" si="57"/>
        <v>0</v>
      </c>
      <c r="AW76" s="252">
        <f t="shared" si="57"/>
        <v>0</v>
      </c>
      <c r="AX76" s="252">
        <f t="shared" si="57"/>
        <v>0</v>
      </c>
      <c r="AY76" s="252">
        <f t="shared" si="57"/>
        <v>0</v>
      </c>
      <c r="AZ76" s="252">
        <f t="shared" si="57"/>
        <v>0</v>
      </c>
      <c r="BA76" s="252">
        <f t="shared" si="57"/>
        <v>0</v>
      </c>
    </row>
    <row r="77" ht="15.75" customHeight="1">
      <c r="A77" s="838">
        <v>1966.0</v>
      </c>
      <c r="B77" s="32"/>
      <c r="C77" s="32"/>
      <c r="D77" s="32"/>
      <c r="E77" s="32"/>
      <c r="F77" s="32"/>
      <c r="G77" s="32"/>
      <c r="H77" s="32"/>
      <c r="I77" s="32"/>
      <c r="J77" s="32"/>
      <c r="K77" s="32"/>
      <c r="L77" s="32"/>
      <c r="M77" s="32"/>
      <c r="N77" s="32"/>
      <c r="O77" s="32"/>
      <c r="P77" s="32"/>
      <c r="Q77" s="32"/>
      <c r="R77" s="32"/>
      <c r="S77" s="32"/>
      <c r="T77" s="32"/>
      <c r="U77" s="32"/>
      <c r="V77" s="741">
        <v>0.0</v>
      </c>
      <c r="W77" s="252">
        <f t="shared" si="22"/>
        <v>0</v>
      </c>
      <c r="X77" s="252">
        <f t="shared" ref="X77:BA77" si="58">IF(AND(X$40-$A77&gt;$V$27,SUM($W77:W77)&lt;&gt;$V77),$V77,0)</f>
        <v>0</v>
      </c>
      <c r="Y77" s="252">
        <f t="shared" si="58"/>
        <v>0</v>
      </c>
      <c r="Z77" s="252">
        <f t="shared" si="58"/>
        <v>0</v>
      </c>
      <c r="AA77" s="252">
        <f t="shared" si="58"/>
        <v>0</v>
      </c>
      <c r="AB77" s="252">
        <f t="shared" si="58"/>
        <v>0</v>
      </c>
      <c r="AC77" s="252">
        <f t="shared" si="58"/>
        <v>0</v>
      </c>
      <c r="AD77" s="252">
        <f t="shared" si="58"/>
        <v>0</v>
      </c>
      <c r="AE77" s="252">
        <f t="shared" si="58"/>
        <v>0</v>
      </c>
      <c r="AF77" s="252">
        <f t="shared" si="58"/>
        <v>0</v>
      </c>
      <c r="AG77" s="252">
        <f t="shared" si="58"/>
        <v>0</v>
      </c>
      <c r="AH77" s="252">
        <f t="shared" si="58"/>
        <v>0</v>
      </c>
      <c r="AI77" s="252">
        <f t="shared" si="58"/>
        <v>0</v>
      </c>
      <c r="AJ77" s="252">
        <f t="shared" si="58"/>
        <v>0</v>
      </c>
      <c r="AK77" s="252">
        <f t="shared" si="58"/>
        <v>0</v>
      </c>
      <c r="AL77" s="252">
        <f t="shared" si="58"/>
        <v>0</v>
      </c>
      <c r="AM77" s="252">
        <f t="shared" si="58"/>
        <v>0</v>
      </c>
      <c r="AN77" s="252">
        <f t="shared" si="58"/>
        <v>0</v>
      </c>
      <c r="AO77" s="252">
        <f t="shared" si="58"/>
        <v>0</v>
      </c>
      <c r="AP77" s="252">
        <f t="shared" si="58"/>
        <v>0</v>
      </c>
      <c r="AQ77" s="252">
        <f t="shared" si="58"/>
        <v>0</v>
      </c>
      <c r="AR77" s="252">
        <f t="shared" si="58"/>
        <v>0</v>
      </c>
      <c r="AS77" s="252">
        <f t="shared" si="58"/>
        <v>0</v>
      </c>
      <c r="AT77" s="252">
        <f t="shared" si="58"/>
        <v>0</v>
      </c>
      <c r="AU77" s="252">
        <f t="shared" si="58"/>
        <v>0</v>
      </c>
      <c r="AV77" s="252">
        <f t="shared" si="58"/>
        <v>0</v>
      </c>
      <c r="AW77" s="252">
        <f t="shared" si="58"/>
        <v>0</v>
      </c>
      <c r="AX77" s="252">
        <f t="shared" si="58"/>
        <v>0</v>
      </c>
      <c r="AY77" s="252">
        <f t="shared" si="58"/>
        <v>0</v>
      </c>
      <c r="AZ77" s="252">
        <f t="shared" si="58"/>
        <v>0</v>
      </c>
      <c r="BA77" s="252">
        <f t="shared" si="58"/>
        <v>0</v>
      </c>
    </row>
    <row r="78" ht="15.75" customHeight="1">
      <c r="A78" s="838">
        <v>1967.0</v>
      </c>
      <c r="B78" s="32"/>
      <c r="C78" s="32"/>
      <c r="D78" s="32"/>
      <c r="E78" s="32"/>
      <c r="F78" s="32"/>
      <c r="G78" s="32"/>
      <c r="H78" s="32"/>
      <c r="I78" s="32"/>
      <c r="J78" s="32"/>
      <c r="K78" s="32"/>
      <c r="L78" s="32"/>
      <c r="M78" s="32"/>
      <c r="N78" s="32"/>
      <c r="O78" s="32"/>
      <c r="P78" s="32"/>
      <c r="Q78" s="32"/>
      <c r="R78" s="32"/>
      <c r="S78" s="32"/>
      <c r="T78" s="32"/>
      <c r="U78" s="32"/>
      <c r="V78" s="741">
        <v>0.0</v>
      </c>
      <c r="W78" s="252">
        <f t="shared" si="22"/>
        <v>0</v>
      </c>
      <c r="X78" s="252">
        <f t="shared" ref="X78:BA78" si="59">IF(AND(X$40-$A78&gt;$V$27,SUM($W78:W78)&lt;&gt;$V78),$V78,0)</f>
        <v>0</v>
      </c>
      <c r="Y78" s="252">
        <f t="shared" si="59"/>
        <v>0</v>
      </c>
      <c r="Z78" s="252">
        <f t="shared" si="59"/>
        <v>0</v>
      </c>
      <c r="AA78" s="252">
        <f t="shared" si="59"/>
        <v>0</v>
      </c>
      <c r="AB78" s="252">
        <f t="shared" si="59"/>
        <v>0</v>
      </c>
      <c r="AC78" s="252">
        <f t="shared" si="59"/>
        <v>0</v>
      </c>
      <c r="AD78" s="252">
        <f t="shared" si="59"/>
        <v>0</v>
      </c>
      <c r="AE78" s="252">
        <f t="shared" si="59"/>
        <v>0</v>
      </c>
      <c r="AF78" s="252">
        <f t="shared" si="59"/>
        <v>0</v>
      </c>
      <c r="AG78" s="252">
        <f t="shared" si="59"/>
        <v>0</v>
      </c>
      <c r="AH78" s="252">
        <f t="shared" si="59"/>
        <v>0</v>
      </c>
      <c r="AI78" s="252">
        <f t="shared" si="59"/>
        <v>0</v>
      </c>
      <c r="AJ78" s="252">
        <f t="shared" si="59"/>
        <v>0</v>
      </c>
      <c r="AK78" s="252">
        <f t="shared" si="59"/>
        <v>0</v>
      </c>
      <c r="AL78" s="252">
        <f t="shared" si="59"/>
        <v>0</v>
      </c>
      <c r="AM78" s="252">
        <f t="shared" si="59"/>
        <v>0</v>
      </c>
      <c r="AN78" s="252">
        <f t="shared" si="59"/>
        <v>0</v>
      </c>
      <c r="AO78" s="252">
        <f t="shared" si="59"/>
        <v>0</v>
      </c>
      <c r="AP78" s="252">
        <f t="shared" si="59"/>
        <v>0</v>
      </c>
      <c r="AQ78" s="252">
        <f t="shared" si="59"/>
        <v>0</v>
      </c>
      <c r="AR78" s="252">
        <f t="shared" si="59"/>
        <v>0</v>
      </c>
      <c r="AS78" s="252">
        <f t="shared" si="59"/>
        <v>0</v>
      </c>
      <c r="AT78" s="252">
        <f t="shared" si="59"/>
        <v>0</v>
      </c>
      <c r="AU78" s="252">
        <f t="shared" si="59"/>
        <v>0</v>
      </c>
      <c r="AV78" s="252">
        <f t="shared" si="59"/>
        <v>0</v>
      </c>
      <c r="AW78" s="252">
        <f t="shared" si="59"/>
        <v>0</v>
      </c>
      <c r="AX78" s="252">
        <f t="shared" si="59"/>
        <v>0</v>
      </c>
      <c r="AY78" s="252">
        <f t="shared" si="59"/>
        <v>0</v>
      </c>
      <c r="AZ78" s="252">
        <f t="shared" si="59"/>
        <v>0</v>
      </c>
      <c r="BA78" s="252">
        <f t="shared" si="59"/>
        <v>0</v>
      </c>
    </row>
    <row r="79" ht="15.75" customHeight="1">
      <c r="A79" s="838">
        <v>1968.0</v>
      </c>
      <c r="B79" s="32"/>
      <c r="C79" s="32"/>
      <c r="D79" s="32"/>
      <c r="E79" s="32"/>
      <c r="F79" s="32"/>
      <c r="G79" s="32"/>
      <c r="H79" s="32"/>
      <c r="I79" s="32"/>
      <c r="J79" s="32"/>
      <c r="K79" s="32"/>
      <c r="L79" s="32"/>
      <c r="M79" s="32"/>
      <c r="N79" s="32"/>
      <c r="O79" s="32"/>
      <c r="P79" s="32"/>
      <c r="Q79" s="32"/>
      <c r="R79" s="32"/>
      <c r="S79" s="32"/>
      <c r="T79" s="32"/>
      <c r="U79" s="32"/>
      <c r="V79" s="741">
        <v>0.0</v>
      </c>
      <c r="W79" s="252">
        <f t="shared" si="22"/>
        <v>0</v>
      </c>
      <c r="X79" s="252">
        <f t="shared" ref="X79:BA79" si="60">IF(AND(X$40-$A79&gt;$V$27,SUM($W79:W79)&lt;&gt;$V79),$V79,0)</f>
        <v>0</v>
      </c>
      <c r="Y79" s="252">
        <f t="shared" si="60"/>
        <v>0</v>
      </c>
      <c r="Z79" s="252">
        <f t="shared" si="60"/>
        <v>0</v>
      </c>
      <c r="AA79" s="252">
        <f t="shared" si="60"/>
        <v>0</v>
      </c>
      <c r="AB79" s="252">
        <f t="shared" si="60"/>
        <v>0</v>
      </c>
      <c r="AC79" s="252">
        <f t="shared" si="60"/>
        <v>0</v>
      </c>
      <c r="AD79" s="252">
        <f t="shared" si="60"/>
        <v>0</v>
      </c>
      <c r="AE79" s="252">
        <f t="shared" si="60"/>
        <v>0</v>
      </c>
      <c r="AF79" s="252">
        <f t="shared" si="60"/>
        <v>0</v>
      </c>
      <c r="AG79" s="252">
        <f t="shared" si="60"/>
        <v>0</v>
      </c>
      <c r="AH79" s="252">
        <f t="shared" si="60"/>
        <v>0</v>
      </c>
      <c r="AI79" s="252">
        <f t="shared" si="60"/>
        <v>0</v>
      </c>
      <c r="AJ79" s="252">
        <f t="shared" si="60"/>
        <v>0</v>
      </c>
      <c r="AK79" s="252">
        <f t="shared" si="60"/>
        <v>0</v>
      </c>
      <c r="AL79" s="252">
        <f t="shared" si="60"/>
        <v>0</v>
      </c>
      <c r="AM79" s="252">
        <f t="shared" si="60"/>
        <v>0</v>
      </c>
      <c r="AN79" s="252">
        <f t="shared" si="60"/>
        <v>0</v>
      </c>
      <c r="AO79" s="252">
        <f t="shared" si="60"/>
        <v>0</v>
      </c>
      <c r="AP79" s="252">
        <f t="shared" si="60"/>
        <v>0</v>
      </c>
      <c r="AQ79" s="252">
        <f t="shared" si="60"/>
        <v>0</v>
      </c>
      <c r="AR79" s="252">
        <f t="shared" si="60"/>
        <v>0</v>
      </c>
      <c r="AS79" s="252">
        <f t="shared" si="60"/>
        <v>0</v>
      </c>
      <c r="AT79" s="252">
        <f t="shared" si="60"/>
        <v>0</v>
      </c>
      <c r="AU79" s="252">
        <f t="shared" si="60"/>
        <v>0</v>
      </c>
      <c r="AV79" s="252">
        <f t="shared" si="60"/>
        <v>0</v>
      </c>
      <c r="AW79" s="252">
        <f t="shared" si="60"/>
        <v>0</v>
      </c>
      <c r="AX79" s="252">
        <f t="shared" si="60"/>
        <v>0</v>
      </c>
      <c r="AY79" s="252">
        <f t="shared" si="60"/>
        <v>0</v>
      </c>
      <c r="AZ79" s="252">
        <f t="shared" si="60"/>
        <v>0</v>
      </c>
      <c r="BA79" s="252">
        <f t="shared" si="60"/>
        <v>0</v>
      </c>
    </row>
    <row r="80" ht="15.75" customHeight="1">
      <c r="A80" s="838">
        <v>1969.0</v>
      </c>
      <c r="B80" s="32"/>
      <c r="C80" s="32"/>
      <c r="D80" s="32"/>
      <c r="E80" s="32"/>
      <c r="F80" s="32"/>
      <c r="G80" s="32"/>
      <c r="H80" s="32"/>
      <c r="I80" s="32"/>
      <c r="J80" s="32"/>
      <c r="K80" s="32"/>
      <c r="L80" s="32"/>
      <c r="M80" s="32"/>
      <c r="N80" s="32"/>
      <c r="O80" s="32"/>
      <c r="P80" s="32"/>
      <c r="Q80" s="32"/>
      <c r="R80" s="32"/>
      <c r="S80" s="32"/>
      <c r="T80" s="32"/>
      <c r="U80" s="32"/>
      <c r="V80" s="741">
        <v>0.0</v>
      </c>
      <c r="W80" s="252">
        <f t="shared" si="22"/>
        <v>0</v>
      </c>
      <c r="X80" s="252">
        <f t="shared" ref="X80:BA80" si="61">IF(AND(X$40-$A80&gt;$V$27,SUM($W80:W80)&lt;&gt;$V80),$V80,0)</f>
        <v>0</v>
      </c>
      <c r="Y80" s="252">
        <f t="shared" si="61"/>
        <v>0</v>
      </c>
      <c r="Z80" s="252">
        <f t="shared" si="61"/>
        <v>0</v>
      </c>
      <c r="AA80" s="252">
        <f t="shared" si="61"/>
        <v>0</v>
      </c>
      <c r="AB80" s="252">
        <f t="shared" si="61"/>
        <v>0</v>
      </c>
      <c r="AC80" s="252">
        <f t="shared" si="61"/>
        <v>0</v>
      </c>
      <c r="AD80" s="252">
        <f t="shared" si="61"/>
        <v>0</v>
      </c>
      <c r="AE80" s="252">
        <f t="shared" si="61"/>
        <v>0</v>
      </c>
      <c r="AF80" s="252">
        <f t="shared" si="61"/>
        <v>0</v>
      </c>
      <c r="AG80" s="252">
        <f t="shared" si="61"/>
        <v>0</v>
      </c>
      <c r="AH80" s="252">
        <f t="shared" si="61"/>
        <v>0</v>
      </c>
      <c r="AI80" s="252">
        <f t="shared" si="61"/>
        <v>0</v>
      </c>
      <c r="AJ80" s="252">
        <f t="shared" si="61"/>
        <v>0</v>
      </c>
      <c r="AK80" s="252">
        <f t="shared" si="61"/>
        <v>0</v>
      </c>
      <c r="AL80" s="252">
        <f t="shared" si="61"/>
        <v>0</v>
      </c>
      <c r="AM80" s="252">
        <f t="shared" si="61"/>
        <v>0</v>
      </c>
      <c r="AN80" s="252">
        <f t="shared" si="61"/>
        <v>0</v>
      </c>
      <c r="AO80" s="252">
        <f t="shared" si="61"/>
        <v>0</v>
      </c>
      <c r="AP80" s="252">
        <f t="shared" si="61"/>
        <v>0</v>
      </c>
      <c r="AQ80" s="252">
        <f t="shared" si="61"/>
        <v>0</v>
      </c>
      <c r="AR80" s="252">
        <f t="shared" si="61"/>
        <v>0</v>
      </c>
      <c r="AS80" s="252">
        <f t="shared" si="61"/>
        <v>0</v>
      </c>
      <c r="AT80" s="252">
        <f t="shared" si="61"/>
        <v>0</v>
      </c>
      <c r="AU80" s="252">
        <f t="shared" si="61"/>
        <v>0</v>
      </c>
      <c r="AV80" s="252">
        <f t="shared" si="61"/>
        <v>0</v>
      </c>
      <c r="AW80" s="252">
        <f t="shared" si="61"/>
        <v>0</v>
      </c>
      <c r="AX80" s="252">
        <f t="shared" si="61"/>
        <v>0</v>
      </c>
      <c r="AY80" s="252">
        <f t="shared" si="61"/>
        <v>0</v>
      </c>
      <c r="AZ80" s="252">
        <f t="shared" si="61"/>
        <v>0</v>
      </c>
      <c r="BA80" s="252">
        <f t="shared" si="61"/>
        <v>0</v>
      </c>
    </row>
    <row r="81" ht="15.75" customHeight="1">
      <c r="A81" s="838">
        <v>1970.0</v>
      </c>
      <c r="B81" s="32"/>
      <c r="C81" s="32"/>
      <c r="D81" s="32"/>
      <c r="E81" s="32"/>
      <c r="F81" s="32"/>
      <c r="G81" s="32"/>
      <c r="H81" s="32"/>
      <c r="I81" s="32"/>
      <c r="J81" s="32"/>
      <c r="K81" s="32"/>
      <c r="L81" s="32"/>
      <c r="M81" s="32"/>
      <c r="N81" s="32"/>
      <c r="O81" s="32"/>
      <c r="P81" s="32"/>
      <c r="Q81" s="32"/>
      <c r="R81" s="32"/>
      <c r="S81" s="32"/>
      <c r="T81" s="32"/>
      <c r="U81" s="32"/>
      <c r="V81" s="741">
        <v>0.0</v>
      </c>
      <c r="W81" s="252">
        <f t="shared" si="22"/>
        <v>0</v>
      </c>
      <c r="X81" s="252">
        <f t="shared" ref="X81:BA81" si="62">IF(AND(X$40-$A81&gt;$V$27,SUM($W81:W81)&lt;&gt;$V81),$V81,0)</f>
        <v>0</v>
      </c>
      <c r="Y81" s="252">
        <f t="shared" si="62"/>
        <v>0</v>
      </c>
      <c r="Z81" s="252">
        <f t="shared" si="62"/>
        <v>0</v>
      </c>
      <c r="AA81" s="252">
        <f t="shared" si="62"/>
        <v>0</v>
      </c>
      <c r="AB81" s="252">
        <f t="shared" si="62"/>
        <v>0</v>
      </c>
      <c r="AC81" s="252">
        <f t="shared" si="62"/>
        <v>0</v>
      </c>
      <c r="AD81" s="252">
        <f t="shared" si="62"/>
        <v>0</v>
      </c>
      <c r="AE81" s="252">
        <f t="shared" si="62"/>
        <v>0</v>
      </c>
      <c r="AF81" s="252">
        <f t="shared" si="62"/>
        <v>0</v>
      </c>
      <c r="AG81" s="252">
        <f t="shared" si="62"/>
        <v>0</v>
      </c>
      <c r="AH81" s="252">
        <f t="shared" si="62"/>
        <v>0</v>
      </c>
      <c r="AI81" s="252">
        <f t="shared" si="62"/>
        <v>0</v>
      </c>
      <c r="AJ81" s="252">
        <f t="shared" si="62"/>
        <v>0</v>
      </c>
      <c r="AK81" s="252">
        <f t="shared" si="62"/>
        <v>0</v>
      </c>
      <c r="AL81" s="252">
        <f t="shared" si="62"/>
        <v>0</v>
      </c>
      <c r="AM81" s="252">
        <f t="shared" si="62"/>
        <v>0</v>
      </c>
      <c r="AN81" s="252">
        <f t="shared" si="62"/>
        <v>0</v>
      </c>
      <c r="AO81" s="252">
        <f t="shared" si="62"/>
        <v>0</v>
      </c>
      <c r="AP81" s="252">
        <f t="shared" si="62"/>
        <v>0</v>
      </c>
      <c r="AQ81" s="252">
        <f t="shared" si="62"/>
        <v>0</v>
      </c>
      <c r="AR81" s="252">
        <f t="shared" si="62"/>
        <v>0</v>
      </c>
      <c r="AS81" s="252">
        <f t="shared" si="62"/>
        <v>0</v>
      </c>
      <c r="AT81" s="252">
        <f t="shared" si="62"/>
        <v>0</v>
      </c>
      <c r="AU81" s="252">
        <f t="shared" si="62"/>
        <v>0</v>
      </c>
      <c r="AV81" s="252">
        <f t="shared" si="62"/>
        <v>0</v>
      </c>
      <c r="AW81" s="252">
        <f t="shared" si="62"/>
        <v>0</v>
      </c>
      <c r="AX81" s="252">
        <f t="shared" si="62"/>
        <v>0</v>
      </c>
      <c r="AY81" s="252">
        <f t="shared" si="62"/>
        <v>0</v>
      </c>
      <c r="AZ81" s="252">
        <f t="shared" si="62"/>
        <v>0</v>
      </c>
      <c r="BA81" s="252">
        <f t="shared" si="62"/>
        <v>0</v>
      </c>
    </row>
    <row r="82" ht="15.75" customHeight="1">
      <c r="A82" s="838">
        <v>1971.0</v>
      </c>
      <c r="B82" s="32"/>
      <c r="C82" s="32"/>
      <c r="D82" s="32"/>
      <c r="E82" s="32"/>
      <c r="F82" s="32"/>
      <c r="G82" s="32"/>
      <c r="H82" s="32"/>
      <c r="I82" s="32"/>
      <c r="J82" s="32"/>
      <c r="K82" s="32"/>
      <c r="L82" s="32"/>
      <c r="M82" s="32"/>
      <c r="N82" s="32"/>
      <c r="O82" s="32"/>
      <c r="P82" s="32"/>
      <c r="Q82" s="32"/>
      <c r="R82" s="32"/>
      <c r="S82" s="32"/>
      <c r="T82" s="32"/>
      <c r="U82" s="32"/>
      <c r="V82" s="741">
        <v>0.0</v>
      </c>
      <c r="W82" s="252">
        <f t="shared" si="22"/>
        <v>0</v>
      </c>
      <c r="X82" s="252">
        <f t="shared" ref="X82:BA82" si="63">IF(AND(X$40-$A82&gt;$V$27,SUM($W82:W82)&lt;&gt;$V82),$V82,0)</f>
        <v>0</v>
      </c>
      <c r="Y82" s="252">
        <f t="shared" si="63"/>
        <v>0</v>
      </c>
      <c r="Z82" s="252">
        <f t="shared" si="63"/>
        <v>0</v>
      </c>
      <c r="AA82" s="252">
        <f t="shared" si="63"/>
        <v>0</v>
      </c>
      <c r="AB82" s="252">
        <f t="shared" si="63"/>
        <v>0</v>
      </c>
      <c r="AC82" s="252">
        <f t="shared" si="63"/>
        <v>0</v>
      </c>
      <c r="AD82" s="252">
        <f t="shared" si="63"/>
        <v>0</v>
      </c>
      <c r="AE82" s="252">
        <f t="shared" si="63"/>
        <v>0</v>
      </c>
      <c r="AF82" s="252">
        <f t="shared" si="63"/>
        <v>0</v>
      </c>
      <c r="AG82" s="252">
        <f t="shared" si="63"/>
        <v>0</v>
      </c>
      <c r="AH82" s="252">
        <f t="shared" si="63"/>
        <v>0</v>
      </c>
      <c r="AI82" s="252">
        <f t="shared" si="63"/>
        <v>0</v>
      </c>
      <c r="AJ82" s="252">
        <f t="shared" si="63"/>
        <v>0</v>
      </c>
      <c r="AK82" s="252">
        <f t="shared" si="63"/>
        <v>0</v>
      </c>
      <c r="AL82" s="252">
        <f t="shared" si="63"/>
        <v>0</v>
      </c>
      <c r="AM82" s="252">
        <f t="shared" si="63"/>
        <v>0</v>
      </c>
      <c r="AN82" s="252">
        <f t="shared" si="63"/>
        <v>0</v>
      </c>
      <c r="AO82" s="252">
        <f t="shared" si="63"/>
        <v>0</v>
      </c>
      <c r="AP82" s="252">
        <f t="shared" si="63"/>
        <v>0</v>
      </c>
      <c r="AQ82" s="252">
        <f t="shared" si="63"/>
        <v>0</v>
      </c>
      <c r="AR82" s="252">
        <f t="shared" si="63"/>
        <v>0</v>
      </c>
      <c r="AS82" s="252">
        <f t="shared" si="63"/>
        <v>0</v>
      </c>
      <c r="AT82" s="252">
        <f t="shared" si="63"/>
        <v>0</v>
      </c>
      <c r="AU82" s="252">
        <f t="shared" si="63"/>
        <v>0</v>
      </c>
      <c r="AV82" s="252">
        <f t="shared" si="63"/>
        <v>0</v>
      </c>
      <c r="AW82" s="252">
        <f t="shared" si="63"/>
        <v>0</v>
      </c>
      <c r="AX82" s="252">
        <f t="shared" si="63"/>
        <v>0</v>
      </c>
      <c r="AY82" s="252">
        <f t="shared" si="63"/>
        <v>0</v>
      </c>
      <c r="AZ82" s="252">
        <f t="shared" si="63"/>
        <v>0</v>
      </c>
      <c r="BA82" s="252">
        <f t="shared" si="63"/>
        <v>0</v>
      </c>
    </row>
    <row r="83" ht="15.75" customHeight="1">
      <c r="A83" s="838">
        <v>1972.0</v>
      </c>
      <c r="B83" s="32"/>
      <c r="C83" s="32"/>
      <c r="D83" s="32"/>
      <c r="E83" s="32"/>
      <c r="F83" s="32"/>
      <c r="G83" s="32"/>
      <c r="H83" s="32"/>
      <c r="I83" s="32"/>
      <c r="J83" s="32"/>
      <c r="K83" s="32"/>
      <c r="L83" s="32"/>
      <c r="M83" s="32"/>
      <c r="N83" s="32"/>
      <c r="O83" s="32"/>
      <c r="P83" s="32"/>
      <c r="Q83" s="32"/>
      <c r="R83" s="32"/>
      <c r="S83" s="32"/>
      <c r="T83" s="32"/>
      <c r="U83" s="32"/>
      <c r="V83" s="741">
        <v>0.0</v>
      </c>
      <c r="W83" s="252">
        <f t="shared" si="22"/>
        <v>0</v>
      </c>
      <c r="X83" s="252">
        <f t="shared" ref="X83:BA83" si="64">IF(AND(X$40-$A83&gt;$V$27,SUM($W83:W83)&lt;&gt;$V83),$V83,0)</f>
        <v>0</v>
      </c>
      <c r="Y83" s="252">
        <f t="shared" si="64"/>
        <v>0</v>
      </c>
      <c r="Z83" s="252">
        <f t="shared" si="64"/>
        <v>0</v>
      </c>
      <c r="AA83" s="252">
        <f t="shared" si="64"/>
        <v>0</v>
      </c>
      <c r="AB83" s="252">
        <f t="shared" si="64"/>
        <v>0</v>
      </c>
      <c r="AC83" s="252">
        <f t="shared" si="64"/>
        <v>0</v>
      </c>
      <c r="AD83" s="252">
        <f t="shared" si="64"/>
        <v>0</v>
      </c>
      <c r="AE83" s="252">
        <f t="shared" si="64"/>
        <v>0</v>
      </c>
      <c r="AF83" s="252">
        <f t="shared" si="64"/>
        <v>0</v>
      </c>
      <c r="AG83" s="252">
        <f t="shared" si="64"/>
        <v>0</v>
      </c>
      <c r="AH83" s="252">
        <f t="shared" si="64"/>
        <v>0</v>
      </c>
      <c r="AI83" s="252">
        <f t="shared" si="64"/>
        <v>0</v>
      </c>
      <c r="AJ83" s="252">
        <f t="shared" si="64"/>
        <v>0</v>
      </c>
      <c r="AK83" s="252">
        <f t="shared" si="64"/>
        <v>0</v>
      </c>
      <c r="AL83" s="252">
        <f t="shared" si="64"/>
        <v>0</v>
      </c>
      <c r="AM83" s="252">
        <f t="shared" si="64"/>
        <v>0</v>
      </c>
      <c r="AN83" s="252">
        <f t="shared" si="64"/>
        <v>0</v>
      </c>
      <c r="AO83" s="252">
        <f t="shared" si="64"/>
        <v>0</v>
      </c>
      <c r="AP83" s="252">
        <f t="shared" si="64"/>
        <v>0</v>
      </c>
      <c r="AQ83" s="252">
        <f t="shared" si="64"/>
        <v>0</v>
      </c>
      <c r="AR83" s="252">
        <f t="shared" si="64"/>
        <v>0</v>
      </c>
      <c r="AS83" s="252">
        <f t="shared" si="64"/>
        <v>0</v>
      </c>
      <c r="AT83" s="252">
        <f t="shared" si="64"/>
        <v>0</v>
      </c>
      <c r="AU83" s="252">
        <f t="shared" si="64"/>
        <v>0</v>
      </c>
      <c r="AV83" s="252">
        <f t="shared" si="64"/>
        <v>0</v>
      </c>
      <c r="AW83" s="252">
        <f t="shared" si="64"/>
        <v>0</v>
      </c>
      <c r="AX83" s="252">
        <f t="shared" si="64"/>
        <v>0</v>
      </c>
      <c r="AY83" s="252">
        <f t="shared" si="64"/>
        <v>0</v>
      </c>
      <c r="AZ83" s="252">
        <f t="shared" si="64"/>
        <v>0</v>
      </c>
      <c r="BA83" s="252">
        <f t="shared" si="64"/>
        <v>0</v>
      </c>
    </row>
    <row r="84" ht="15.75" customHeight="1">
      <c r="A84" s="838">
        <v>1973.0</v>
      </c>
      <c r="B84" s="32"/>
      <c r="C84" s="32"/>
      <c r="D84" s="32"/>
      <c r="E84" s="32"/>
      <c r="F84" s="32"/>
      <c r="G84" s="32"/>
      <c r="H84" s="32"/>
      <c r="I84" s="32"/>
      <c r="J84" s="32"/>
      <c r="K84" s="32"/>
      <c r="L84" s="32"/>
      <c r="M84" s="32"/>
      <c r="N84" s="32"/>
      <c r="O84" s="32"/>
      <c r="P84" s="32"/>
      <c r="Q84" s="32"/>
      <c r="R84" s="32"/>
      <c r="S84" s="32"/>
      <c r="T84" s="32"/>
      <c r="U84" s="32"/>
      <c r="V84" s="741">
        <v>0.0</v>
      </c>
      <c r="W84" s="252">
        <f t="shared" si="22"/>
        <v>0</v>
      </c>
      <c r="X84" s="252">
        <f t="shared" ref="X84:BA84" si="65">IF(AND(X$40-$A84&gt;$V$27,SUM($W84:W84)&lt;&gt;$V84),$V84,0)</f>
        <v>0</v>
      </c>
      <c r="Y84" s="252">
        <f t="shared" si="65"/>
        <v>0</v>
      </c>
      <c r="Z84" s="252">
        <f t="shared" si="65"/>
        <v>0</v>
      </c>
      <c r="AA84" s="252">
        <f t="shared" si="65"/>
        <v>0</v>
      </c>
      <c r="AB84" s="252">
        <f t="shared" si="65"/>
        <v>0</v>
      </c>
      <c r="AC84" s="252">
        <f t="shared" si="65"/>
        <v>0</v>
      </c>
      <c r="AD84" s="252">
        <f t="shared" si="65"/>
        <v>0</v>
      </c>
      <c r="AE84" s="252">
        <f t="shared" si="65"/>
        <v>0</v>
      </c>
      <c r="AF84" s="252">
        <f t="shared" si="65"/>
        <v>0</v>
      </c>
      <c r="AG84" s="252">
        <f t="shared" si="65"/>
        <v>0</v>
      </c>
      <c r="AH84" s="252">
        <f t="shared" si="65"/>
        <v>0</v>
      </c>
      <c r="AI84" s="252">
        <f t="shared" si="65"/>
        <v>0</v>
      </c>
      <c r="AJ84" s="252">
        <f t="shared" si="65"/>
        <v>0</v>
      </c>
      <c r="AK84" s="252">
        <f t="shared" si="65"/>
        <v>0</v>
      </c>
      <c r="AL84" s="252">
        <f t="shared" si="65"/>
        <v>0</v>
      </c>
      <c r="AM84" s="252">
        <f t="shared" si="65"/>
        <v>0</v>
      </c>
      <c r="AN84" s="252">
        <f t="shared" si="65"/>
        <v>0</v>
      </c>
      <c r="AO84" s="252">
        <f t="shared" si="65"/>
        <v>0</v>
      </c>
      <c r="AP84" s="252">
        <f t="shared" si="65"/>
        <v>0</v>
      </c>
      <c r="AQ84" s="252">
        <f t="shared" si="65"/>
        <v>0</v>
      </c>
      <c r="AR84" s="252">
        <f t="shared" si="65"/>
        <v>0</v>
      </c>
      <c r="AS84" s="252">
        <f t="shared" si="65"/>
        <v>0</v>
      </c>
      <c r="AT84" s="252">
        <f t="shared" si="65"/>
        <v>0</v>
      </c>
      <c r="AU84" s="252">
        <f t="shared" si="65"/>
        <v>0</v>
      </c>
      <c r="AV84" s="252">
        <f t="shared" si="65"/>
        <v>0</v>
      </c>
      <c r="AW84" s="252">
        <f t="shared" si="65"/>
        <v>0</v>
      </c>
      <c r="AX84" s="252">
        <f t="shared" si="65"/>
        <v>0</v>
      </c>
      <c r="AY84" s="252">
        <f t="shared" si="65"/>
        <v>0</v>
      </c>
      <c r="AZ84" s="252">
        <f t="shared" si="65"/>
        <v>0</v>
      </c>
      <c r="BA84" s="252">
        <f t="shared" si="65"/>
        <v>0</v>
      </c>
    </row>
    <row r="85" ht="15.75" customHeight="1">
      <c r="A85" s="838">
        <v>1974.0</v>
      </c>
      <c r="B85" s="32"/>
      <c r="C85" s="32"/>
      <c r="D85" s="32"/>
      <c r="E85" s="32"/>
      <c r="F85" s="32"/>
      <c r="G85" s="32"/>
      <c r="H85" s="32"/>
      <c r="I85" s="32"/>
      <c r="J85" s="32"/>
      <c r="K85" s="32"/>
      <c r="L85" s="32"/>
      <c r="M85" s="32"/>
      <c r="N85" s="32"/>
      <c r="O85" s="32"/>
      <c r="P85" s="32"/>
      <c r="Q85" s="32"/>
      <c r="R85" s="32"/>
      <c r="S85" s="32"/>
      <c r="T85" s="32"/>
      <c r="U85" s="32"/>
      <c r="V85" s="741">
        <v>0.0</v>
      </c>
      <c r="W85" s="252">
        <f t="shared" si="22"/>
        <v>0</v>
      </c>
      <c r="X85" s="252">
        <f t="shared" ref="X85:BA85" si="66">IF(AND(X$40-$A85&gt;$V$27,SUM($W85:W85)&lt;&gt;$V85),$V85,0)</f>
        <v>0</v>
      </c>
      <c r="Y85" s="252">
        <f t="shared" si="66"/>
        <v>0</v>
      </c>
      <c r="Z85" s="252">
        <f t="shared" si="66"/>
        <v>0</v>
      </c>
      <c r="AA85" s="252">
        <f t="shared" si="66"/>
        <v>0</v>
      </c>
      <c r="AB85" s="252">
        <f t="shared" si="66"/>
        <v>0</v>
      </c>
      <c r="AC85" s="252">
        <f t="shared" si="66"/>
        <v>0</v>
      </c>
      <c r="AD85" s="252">
        <f t="shared" si="66"/>
        <v>0</v>
      </c>
      <c r="AE85" s="252">
        <f t="shared" si="66"/>
        <v>0</v>
      </c>
      <c r="AF85" s="252">
        <f t="shared" si="66"/>
        <v>0</v>
      </c>
      <c r="AG85" s="252">
        <f t="shared" si="66"/>
        <v>0</v>
      </c>
      <c r="AH85" s="252">
        <f t="shared" si="66"/>
        <v>0</v>
      </c>
      <c r="AI85" s="252">
        <f t="shared" si="66"/>
        <v>0</v>
      </c>
      <c r="AJ85" s="252">
        <f t="shared" si="66"/>
        <v>0</v>
      </c>
      <c r="AK85" s="252">
        <f t="shared" si="66"/>
        <v>0</v>
      </c>
      <c r="AL85" s="252">
        <f t="shared" si="66"/>
        <v>0</v>
      </c>
      <c r="AM85" s="252">
        <f t="shared" si="66"/>
        <v>0</v>
      </c>
      <c r="AN85" s="252">
        <f t="shared" si="66"/>
        <v>0</v>
      </c>
      <c r="AO85" s="252">
        <f t="shared" si="66"/>
        <v>0</v>
      </c>
      <c r="AP85" s="252">
        <f t="shared" si="66"/>
        <v>0</v>
      </c>
      <c r="AQ85" s="252">
        <f t="shared" si="66"/>
        <v>0</v>
      </c>
      <c r="AR85" s="252">
        <f t="shared" si="66"/>
        <v>0</v>
      </c>
      <c r="AS85" s="252">
        <f t="shared" si="66"/>
        <v>0</v>
      </c>
      <c r="AT85" s="252">
        <f t="shared" si="66"/>
        <v>0</v>
      </c>
      <c r="AU85" s="252">
        <f t="shared" si="66"/>
        <v>0</v>
      </c>
      <c r="AV85" s="252">
        <f t="shared" si="66"/>
        <v>0</v>
      </c>
      <c r="AW85" s="252">
        <f t="shared" si="66"/>
        <v>0</v>
      </c>
      <c r="AX85" s="252">
        <f t="shared" si="66"/>
        <v>0</v>
      </c>
      <c r="AY85" s="252">
        <f t="shared" si="66"/>
        <v>0</v>
      </c>
      <c r="AZ85" s="252">
        <f t="shared" si="66"/>
        <v>0</v>
      </c>
      <c r="BA85" s="252">
        <f t="shared" si="66"/>
        <v>0</v>
      </c>
    </row>
    <row r="86" ht="15.75" customHeight="1">
      <c r="A86" s="838">
        <v>1975.0</v>
      </c>
      <c r="B86" s="32"/>
      <c r="C86" s="32"/>
      <c r="D86" s="32"/>
      <c r="E86" s="32"/>
      <c r="F86" s="32"/>
      <c r="G86" s="32"/>
      <c r="H86" s="32"/>
      <c r="I86" s="32"/>
      <c r="J86" s="32"/>
      <c r="K86" s="32"/>
      <c r="L86" s="32"/>
      <c r="M86" s="32"/>
      <c r="N86" s="32"/>
      <c r="O86" s="32"/>
      <c r="P86" s="32"/>
      <c r="Q86" s="32"/>
      <c r="R86" s="32"/>
      <c r="S86" s="32"/>
      <c r="T86" s="32"/>
      <c r="U86" s="32"/>
      <c r="V86" s="741">
        <v>0.0</v>
      </c>
      <c r="W86" s="252">
        <f t="shared" si="22"/>
        <v>0</v>
      </c>
      <c r="X86" s="252">
        <f t="shared" ref="X86:BA86" si="67">IF(AND(X$40-$A86&gt;$V$27,SUM($W86:W86)&lt;&gt;$V86),$V86,0)</f>
        <v>0</v>
      </c>
      <c r="Y86" s="252">
        <f t="shared" si="67"/>
        <v>0</v>
      </c>
      <c r="Z86" s="252">
        <f t="shared" si="67"/>
        <v>0</v>
      </c>
      <c r="AA86" s="252">
        <f t="shared" si="67"/>
        <v>0</v>
      </c>
      <c r="AB86" s="252">
        <f t="shared" si="67"/>
        <v>0</v>
      </c>
      <c r="AC86" s="252">
        <f t="shared" si="67"/>
        <v>0</v>
      </c>
      <c r="AD86" s="252">
        <f t="shared" si="67"/>
        <v>0</v>
      </c>
      <c r="AE86" s="252">
        <f t="shared" si="67"/>
        <v>0</v>
      </c>
      <c r="AF86" s="252">
        <f t="shared" si="67"/>
        <v>0</v>
      </c>
      <c r="AG86" s="252">
        <f t="shared" si="67"/>
        <v>0</v>
      </c>
      <c r="AH86" s="252">
        <f t="shared" si="67"/>
        <v>0</v>
      </c>
      <c r="AI86" s="252">
        <f t="shared" si="67"/>
        <v>0</v>
      </c>
      <c r="AJ86" s="252">
        <f t="shared" si="67"/>
        <v>0</v>
      </c>
      <c r="AK86" s="252">
        <f t="shared" si="67"/>
        <v>0</v>
      </c>
      <c r="AL86" s="252">
        <f t="shared" si="67"/>
        <v>0</v>
      </c>
      <c r="AM86" s="252">
        <f t="shared" si="67"/>
        <v>0</v>
      </c>
      <c r="AN86" s="252">
        <f t="shared" si="67"/>
        <v>0</v>
      </c>
      <c r="AO86" s="252">
        <f t="shared" si="67"/>
        <v>0</v>
      </c>
      <c r="AP86" s="252">
        <f t="shared" si="67"/>
        <v>0</v>
      </c>
      <c r="AQ86" s="252">
        <f t="shared" si="67"/>
        <v>0</v>
      </c>
      <c r="AR86" s="252">
        <f t="shared" si="67"/>
        <v>0</v>
      </c>
      <c r="AS86" s="252">
        <f t="shared" si="67"/>
        <v>0</v>
      </c>
      <c r="AT86" s="252">
        <f t="shared" si="67"/>
        <v>0</v>
      </c>
      <c r="AU86" s="252">
        <f t="shared" si="67"/>
        <v>0</v>
      </c>
      <c r="AV86" s="252">
        <f t="shared" si="67"/>
        <v>0</v>
      </c>
      <c r="AW86" s="252">
        <f t="shared" si="67"/>
        <v>0</v>
      </c>
      <c r="AX86" s="252">
        <f t="shared" si="67"/>
        <v>0</v>
      </c>
      <c r="AY86" s="252">
        <f t="shared" si="67"/>
        <v>0</v>
      </c>
      <c r="AZ86" s="252">
        <f t="shared" si="67"/>
        <v>0</v>
      </c>
      <c r="BA86" s="252">
        <f t="shared" si="67"/>
        <v>0</v>
      </c>
    </row>
    <row r="87" ht="15.75" customHeight="1">
      <c r="A87" s="838">
        <v>1976.0</v>
      </c>
      <c r="B87" s="32"/>
      <c r="C87" s="32"/>
      <c r="D87" s="32"/>
      <c r="E87" s="32"/>
      <c r="F87" s="32"/>
      <c r="G87" s="32"/>
      <c r="H87" s="32"/>
      <c r="I87" s="32"/>
      <c r="J87" s="32"/>
      <c r="K87" s="32"/>
      <c r="L87" s="32"/>
      <c r="M87" s="32"/>
      <c r="N87" s="32"/>
      <c r="O87" s="32"/>
      <c r="P87" s="32"/>
      <c r="Q87" s="32"/>
      <c r="R87" s="32"/>
      <c r="S87" s="32"/>
      <c r="T87" s="32"/>
      <c r="U87" s="32"/>
      <c r="V87" s="741">
        <v>0.0</v>
      </c>
      <c r="W87" s="252">
        <f t="shared" si="22"/>
        <v>0</v>
      </c>
      <c r="X87" s="252">
        <f t="shared" ref="X87:BA87" si="68">IF(AND(X$40-$A87&gt;$V$27,SUM($W87:W87)&lt;&gt;$V87),$V87,0)</f>
        <v>0</v>
      </c>
      <c r="Y87" s="252">
        <f t="shared" si="68"/>
        <v>0</v>
      </c>
      <c r="Z87" s="252">
        <f t="shared" si="68"/>
        <v>0</v>
      </c>
      <c r="AA87" s="252">
        <f t="shared" si="68"/>
        <v>0</v>
      </c>
      <c r="AB87" s="252">
        <f t="shared" si="68"/>
        <v>0</v>
      </c>
      <c r="AC87" s="252">
        <f t="shared" si="68"/>
        <v>0</v>
      </c>
      <c r="AD87" s="252">
        <f t="shared" si="68"/>
        <v>0</v>
      </c>
      <c r="AE87" s="252">
        <f t="shared" si="68"/>
        <v>0</v>
      </c>
      <c r="AF87" s="252">
        <f t="shared" si="68"/>
        <v>0</v>
      </c>
      <c r="AG87" s="252">
        <f t="shared" si="68"/>
        <v>0</v>
      </c>
      <c r="AH87" s="252">
        <f t="shared" si="68"/>
        <v>0</v>
      </c>
      <c r="AI87" s="252">
        <f t="shared" si="68"/>
        <v>0</v>
      </c>
      <c r="AJ87" s="252">
        <f t="shared" si="68"/>
        <v>0</v>
      </c>
      <c r="AK87" s="252">
        <f t="shared" si="68"/>
        <v>0</v>
      </c>
      <c r="AL87" s="252">
        <f t="shared" si="68"/>
        <v>0</v>
      </c>
      <c r="AM87" s="252">
        <f t="shared" si="68"/>
        <v>0</v>
      </c>
      <c r="AN87" s="252">
        <f t="shared" si="68"/>
        <v>0</v>
      </c>
      <c r="AO87" s="252">
        <f t="shared" si="68"/>
        <v>0</v>
      </c>
      <c r="AP87" s="252">
        <f t="shared" si="68"/>
        <v>0</v>
      </c>
      <c r="AQ87" s="252">
        <f t="shared" si="68"/>
        <v>0</v>
      </c>
      <c r="AR87" s="252">
        <f t="shared" si="68"/>
        <v>0</v>
      </c>
      <c r="AS87" s="252">
        <f t="shared" si="68"/>
        <v>0</v>
      </c>
      <c r="AT87" s="252">
        <f t="shared" si="68"/>
        <v>0</v>
      </c>
      <c r="AU87" s="252">
        <f t="shared" si="68"/>
        <v>0</v>
      </c>
      <c r="AV87" s="252">
        <f t="shared" si="68"/>
        <v>0</v>
      </c>
      <c r="AW87" s="252">
        <f t="shared" si="68"/>
        <v>0</v>
      </c>
      <c r="AX87" s="252">
        <f t="shared" si="68"/>
        <v>0</v>
      </c>
      <c r="AY87" s="252">
        <f t="shared" si="68"/>
        <v>0</v>
      </c>
      <c r="AZ87" s="252">
        <f t="shared" si="68"/>
        <v>0</v>
      </c>
      <c r="BA87" s="252">
        <f t="shared" si="68"/>
        <v>0</v>
      </c>
    </row>
    <row r="88" ht="15.75" customHeight="1">
      <c r="A88" s="838">
        <v>1977.0</v>
      </c>
      <c r="B88" s="32"/>
      <c r="C88" s="32"/>
      <c r="D88" s="32"/>
      <c r="E88" s="32"/>
      <c r="F88" s="32"/>
      <c r="G88" s="32"/>
      <c r="H88" s="32"/>
      <c r="I88" s="32"/>
      <c r="J88" s="32"/>
      <c r="K88" s="32"/>
      <c r="L88" s="32"/>
      <c r="M88" s="32"/>
      <c r="N88" s="32"/>
      <c r="O88" s="32"/>
      <c r="P88" s="32"/>
      <c r="Q88" s="32"/>
      <c r="R88" s="32"/>
      <c r="S88" s="32"/>
      <c r="T88" s="32"/>
      <c r="U88" s="32"/>
      <c r="V88" s="741">
        <v>0.0</v>
      </c>
      <c r="W88" s="252">
        <f t="shared" si="22"/>
        <v>0</v>
      </c>
      <c r="X88" s="252">
        <f t="shared" ref="X88:BA88" si="69">IF(AND(X$40-$A88&gt;$V$27,SUM($W88:W88)&lt;&gt;$V88),$V88,0)</f>
        <v>0</v>
      </c>
      <c r="Y88" s="252">
        <f t="shared" si="69"/>
        <v>0</v>
      </c>
      <c r="Z88" s="252">
        <f t="shared" si="69"/>
        <v>0</v>
      </c>
      <c r="AA88" s="252">
        <f t="shared" si="69"/>
        <v>0</v>
      </c>
      <c r="AB88" s="252">
        <f t="shared" si="69"/>
        <v>0</v>
      </c>
      <c r="AC88" s="252">
        <f t="shared" si="69"/>
        <v>0</v>
      </c>
      <c r="AD88" s="252">
        <f t="shared" si="69"/>
        <v>0</v>
      </c>
      <c r="AE88" s="252">
        <f t="shared" si="69"/>
        <v>0</v>
      </c>
      <c r="AF88" s="252">
        <f t="shared" si="69"/>
        <v>0</v>
      </c>
      <c r="AG88" s="252">
        <f t="shared" si="69"/>
        <v>0</v>
      </c>
      <c r="AH88" s="252">
        <f t="shared" si="69"/>
        <v>0</v>
      </c>
      <c r="AI88" s="252">
        <f t="shared" si="69"/>
        <v>0</v>
      </c>
      <c r="AJ88" s="252">
        <f t="shared" si="69"/>
        <v>0</v>
      </c>
      <c r="AK88" s="252">
        <f t="shared" si="69"/>
        <v>0</v>
      </c>
      <c r="AL88" s="252">
        <f t="shared" si="69"/>
        <v>0</v>
      </c>
      <c r="AM88" s="252">
        <f t="shared" si="69"/>
        <v>0</v>
      </c>
      <c r="AN88" s="252">
        <f t="shared" si="69"/>
        <v>0</v>
      </c>
      <c r="AO88" s="252">
        <f t="shared" si="69"/>
        <v>0</v>
      </c>
      <c r="AP88" s="252">
        <f t="shared" si="69"/>
        <v>0</v>
      </c>
      <c r="AQ88" s="252">
        <f t="shared" si="69"/>
        <v>0</v>
      </c>
      <c r="AR88" s="252">
        <f t="shared" si="69"/>
        <v>0</v>
      </c>
      <c r="AS88" s="252">
        <f t="shared" si="69"/>
        <v>0</v>
      </c>
      <c r="AT88" s="252">
        <f t="shared" si="69"/>
        <v>0</v>
      </c>
      <c r="AU88" s="252">
        <f t="shared" si="69"/>
        <v>0</v>
      </c>
      <c r="AV88" s="252">
        <f t="shared" si="69"/>
        <v>0</v>
      </c>
      <c r="AW88" s="252">
        <f t="shared" si="69"/>
        <v>0</v>
      </c>
      <c r="AX88" s="252">
        <f t="shared" si="69"/>
        <v>0</v>
      </c>
      <c r="AY88" s="252">
        <f t="shared" si="69"/>
        <v>0</v>
      </c>
      <c r="AZ88" s="252">
        <f t="shared" si="69"/>
        <v>0</v>
      </c>
      <c r="BA88" s="252">
        <f t="shared" si="69"/>
        <v>0</v>
      </c>
    </row>
    <row r="89" ht="15.75" customHeight="1">
      <c r="A89" s="838">
        <v>1978.0</v>
      </c>
      <c r="B89" s="32"/>
      <c r="C89" s="32"/>
      <c r="D89" s="32"/>
      <c r="E89" s="32"/>
      <c r="F89" s="32"/>
      <c r="G89" s="32"/>
      <c r="H89" s="32"/>
      <c r="I89" s="32"/>
      <c r="J89" s="32"/>
      <c r="K89" s="32"/>
      <c r="L89" s="32"/>
      <c r="M89" s="32"/>
      <c r="N89" s="32"/>
      <c r="O89" s="32"/>
      <c r="P89" s="32"/>
      <c r="Q89" s="32"/>
      <c r="R89" s="32"/>
      <c r="S89" s="32"/>
      <c r="T89" s="32"/>
      <c r="U89" s="32"/>
      <c r="V89" s="741">
        <v>0.0</v>
      </c>
      <c r="W89" s="252">
        <f t="shared" si="22"/>
        <v>0</v>
      </c>
      <c r="X89" s="252">
        <f t="shared" ref="X89:BA89" si="70">IF(AND(X$40-$A89&gt;$V$27,SUM($W89:W89)&lt;&gt;$V89),$V89,0)</f>
        <v>0</v>
      </c>
      <c r="Y89" s="252">
        <f t="shared" si="70"/>
        <v>0</v>
      </c>
      <c r="Z89" s="252">
        <f t="shared" si="70"/>
        <v>0</v>
      </c>
      <c r="AA89" s="252">
        <f t="shared" si="70"/>
        <v>0</v>
      </c>
      <c r="AB89" s="252">
        <f t="shared" si="70"/>
        <v>0</v>
      </c>
      <c r="AC89" s="252">
        <f t="shared" si="70"/>
        <v>0</v>
      </c>
      <c r="AD89" s="252">
        <f t="shared" si="70"/>
        <v>0</v>
      </c>
      <c r="AE89" s="252">
        <f t="shared" si="70"/>
        <v>0</v>
      </c>
      <c r="AF89" s="252">
        <f t="shared" si="70"/>
        <v>0</v>
      </c>
      <c r="AG89" s="252">
        <f t="shared" si="70"/>
        <v>0</v>
      </c>
      <c r="AH89" s="252">
        <f t="shared" si="70"/>
        <v>0</v>
      </c>
      <c r="AI89" s="252">
        <f t="shared" si="70"/>
        <v>0</v>
      </c>
      <c r="AJ89" s="252">
        <f t="shared" si="70"/>
        <v>0</v>
      </c>
      <c r="AK89" s="252">
        <f t="shared" si="70"/>
        <v>0</v>
      </c>
      <c r="AL89" s="252">
        <f t="shared" si="70"/>
        <v>0</v>
      </c>
      <c r="AM89" s="252">
        <f t="shared" si="70"/>
        <v>0</v>
      </c>
      <c r="AN89" s="252">
        <f t="shared" si="70"/>
        <v>0</v>
      </c>
      <c r="AO89" s="252">
        <f t="shared" si="70"/>
        <v>0</v>
      </c>
      <c r="AP89" s="252">
        <f t="shared" si="70"/>
        <v>0</v>
      </c>
      <c r="AQ89" s="252">
        <f t="shared" si="70"/>
        <v>0</v>
      </c>
      <c r="AR89" s="252">
        <f t="shared" si="70"/>
        <v>0</v>
      </c>
      <c r="AS89" s="252">
        <f t="shared" si="70"/>
        <v>0</v>
      </c>
      <c r="AT89" s="252">
        <f t="shared" si="70"/>
        <v>0</v>
      </c>
      <c r="AU89" s="252">
        <f t="shared" si="70"/>
        <v>0</v>
      </c>
      <c r="AV89" s="252">
        <f t="shared" si="70"/>
        <v>0</v>
      </c>
      <c r="AW89" s="252">
        <f t="shared" si="70"/>
        <v>0</v>
      </c>
      <c r="AX89" s="252">
        <f t="shared" si="70"/>
        <v>0</v>
      </c>
      <c r="AY89" s="252">
        <f t="shared" si="70"/>
        <v>0</v>
      </c>
      <c r="AZ89" s="252">
        <f t="shared" si="70"/>
        <v>0</v>
      </c>
      <c r="BA89" s="252">
        <f t="shared" si="70"/>
        <v>0</v>
      </c>
    </row>
    <row r="90" ht="15.75" customHeight="1">
      <c r="A90" s="838">
        <v>1979.0</v>
      </c>
      <c r="B90" s="32"/>
      <c r="C90" s="32"/>
      <c r="D90" s="32"/>
      <c r="E90" s="32"/>
      <c r="F90" s="32"/>
      <c r="G90" s="32"/>
      <c r="H90" s="32"/>
      <c r="I90" s="32"/>
      <c r="J90" s="32"/>
      <c r="K90" s="32"/>
      <c r="L90" s="32"/>
      <c r="M90" s="32"/>
      <c r="N90" s="32"/>
      <c r="O90" s="32"/>
      <c r="P90" s="32"/>
      <c r="Q90" s="32"/>
      <c r="R90" s="32"/>
      <c r="S90" s="32"/>
      <c r="T90" s="32"/>
      <c r="U90" s="32"/>
      <c r="V90" s="741">
        <v>0.0</v>
      </c>
      <c r="W90" s="252">
        <f t="shared" si="22"/>
        <v>0</v>
      </c>
      <c r="X90" s="252">
        <f t="shared" ref="X90:BA90" si="71">IF(AND(X$40-$A90&gt;$V$27,SUM($W90:W90)&lt;&gt;$V90),$V90,0)</f>
        <v>0</v>
      </c>
      <c r="Y90" s="252">
        <f t="shared" si="71"/>
        <v>0</v>
      </c>
      <c r="Z90" s="252">
        <f t="shared" si="71"/>
        <v>0</v>
      </c>
      <c r="AA90" s="252">
        <f t="shared" si="71"/>
        <v>0</v>
      </c>
      <c r="AB90" s="252">
        <f t="shared" si="71"/>
        <v>0</v>
      </c>
      <c r="AC90" s="252">
        <f t="shared" si="71"/>
        <v>0</v>
      </c>
      <c r="AD90" s="252">
        <f t="shared" si="71"/>
        <v>0</v>
      </c>
      <c r="AE90" s="252">
        <f t="shared" si="71"/>
        <v>0</v>
      </c>
      <c r="AF90" s="252">
        <f t="shared" si="71"/>
        <v>0</v>
      </c>
      <c r="AG90" s="252">
        <f t="shared" si="71"/>
        <v>0</v>
      </c>
      <c r="AH90" s="252">
        <f t="shared" si="71"/>
        <v>0</v>
      </c>
      <c r="AI90" s="252">
        <f t="shared" si="71"/>
        <v>0</v>
      </c>
      <c r="AJ90" s="252">
        <f t="shared" si="71"/>
        <v>0</v>
      </c>
      <c r="AK90" s="252">
        <f t="shared" si="71"/>
        <v>0</v>
      </c>
      <c r="AL90" s="252">
        <f t="shared" si="71"/>
        <v>0</v>
      </c>
      <c r="AM90" s="252">
        <f t="shared" si="71"/>
        <v>0</v>
      </c>
      <c r="AN90" s="252">
        <f t="shared" si="71"/>
        <v>0</v>
      </c>
      <c r="AO90" s="252">
        <f t="shared" si="71"/>
        <v>0</v>
      </c>
      <c r="AP90" s="252">
        <f t="shared" si="71"/>
        <v>0</v>
      </c>
      <c r="AQ90" s="252">
        <f t="shared" si="71"/>
        <v>0</v>
      </c>
      <c r="AR90" s="252">
        <f t="shared" si="71"/>
        <v>0</v>
      </c>
      <c r="AS90" s="252">
        <f t="shared" si="71"/>
        <v>0</v>
      </c>
      <c r="AT90" s="252">
        <f t="shared" si="71"/>
        <v>0</v>
      </c>
      <c r="AU90" s="252">
        <f t="shared" si="71"/>
        <v>0</v>
      </c>
      <c r="AV90" s="252">
        <f t="shared" si="71"/>
        <v>0</v>
      </c>
      <c r="AW90" s="252">
        <f t="shared" si="71"/>
        <v>0</v>
      </c>
      <c r="AX90" s="252">
        <f t="shared" si="71"/>
        <v>0</v>
      </c>
      <c r="AY90" s="252">
        <f t="shared" si="71"/>
        <v>0</v>
      </c>
      <c r="AZ90" s="252">
        <f t="shared" si="71"/>
        <v>0</v>
      </c>
      <c r="BA90" s="252">
        <f t="shared" si="71"/>
        <v>0</v>
      </c>
    </row>
    <row r="91" ht="15.75" customHeight="1">
      <c r="A91" s="838">
        <v>1980.0</v>
      </c>
      <c r="B91" s="32"/>
      <c r="C91" s="32"/>
      <c r="D91" s="32"/>
      <c r="E91" s="32"/>
      <c r="F91" s="32"/>
      <c r="G91" s="32"/>
      <c r="H91" s="32"/>
      <c r="I91" s="32"/>
      <c r="J91" s="32"/>
      <c r="K91" s="32"/>
      <c r="L91" s="32"/>
      <c r="M91" s="32"/>
      <c r="N91" s="32"/>
      <c r="O91" s="32"/>
      <c r="P91" s="32"/>
      <c r="Q91" s="32"/>
      <c r="R91" s="32"/>
      <c r="S91" s="32"/>
      <c r="T91" s="32"/>
      <c r="U91" s="32"/>
      <c r="V91" s="741">
        <v>0.0</v>
      </c>
      <c r="W91" s="252">
        <f t="shared" si="22"/>
        <v>0</v>
      </c>
      <c r="X91" s="252">
        <f t="shared" ref="X91:BA91" si="72">IF(AND(X$40-$A91&gt;$V$27,SUM($W91:W91)&lt;&gt;$V91),$V91,0)</f>
        <v>0</v>
      </c>
      <c r="Y91" s="252">
        <f t="shared" si="72"/>
        <v>0</v>
      </c>
      <c r="Z91" s="252">
        <f t="shared" si="72"/>
        <v>0</v>
      </c>
      <c r="AA91" s="252">
        <f t="shared" si="72"/>
        <v>0</v>
      </c>
      <c r="AB91" s="252">
        <f t="shared" si="72"/>
        <v>0</v>
      </c>
      <c r="AC91" s="252">
        <f t="shared" si="72"/>
        <v>0</v>
      </c>
      <c r="AD91" s="252">
        <f t="shared" si="72"/>
        <v>0</v>
      </c>
      <c r="AE91" s="252">
        <f t="shared" si="72"/>
        <v>0</v>
      </c>
      <c r="AF91" s="252">
        <f t="shared" si="72"/>
        <v>0</v>
      </c>
      <c r="AG91" s="252">
        <f t="shared" si="72"/>
        <v>0</v>
      </c>
      <c r="AH91" s="252">
        <f t="shared" si="72"/>
        <v>0</v>
      </c>
      <c r="AI91" s="252">
        <f t="shared" si="72"/>
        <v>0</v>
      </c>
      <c r="AJ91" s="252">
        <f t="shared" si="72"/>
        <v>0</v>
      </c>
      <c r="AK91" s="252">
        <f t="shared" si="72"/>
        <v>0</v>
      </c>
      <c r="AL91" s="252">
        <f t="shared" si="72"/>
        <v>0</v>
      </c>
      <c r="AM91" s="252">
        <f t="shared" si="72"/>
        <v>0</v>
      </c>
      <c r="AN91" s="252">
        <f t="shared" si="72"/>
        <v>0</v>
      </c>
      <c r="AO91" s="252">
        <f t="shared" si="72"/>
        <v>0</v>
      </c>
      <c r="AP91" s="252">
        <f t="shared" si="72"/>
        <v>0</v>
      </c>
      <c r="AQ91" s="252">
        <f t="shared" si="72"/>
        <v>0</v>
      </c>
      <c r="AR91" s="252">
        <f t="shared" si="72"/>
        <v>0</v>
      </c>
      <c r="AS91" s="252">
        <f t="shared" si="72"/>
        <v>0</v>
      </c>
      <c r="AT91" s="252">
        <f t="shared" si="72"/>
        <v>0</v>
      </c>
      <c r="AU91" s="252">
        <f t="shared" si="72"/>
        <v>0</v>
      </c>
      <c r="AV91" s="252">
        <f t="shared" si="72"/>
        <v>0</v>
      </c>
      <c r="AW91" s="252">
        <f t="shared" si="72"/>
        <v>0</v>
      </c>
      <c r="AX91" s="252">
        <f t="shared" si="72"/>
        <v>0</v>
      </c>
      <c r="AY91" s="252">
        <f t="shared" si="72"/>
        <v>0</v>
      </c>
      <c r="AZ91" s="252">
        <f t="shared" si="72"/>
        <v>0</v>
      </c>
      <c r="BA91" s="252">
        <f t="shared" si="72"/>
        <v>0</v>
      </c>
    </row>
    <row r="92" ht="15.75" customHeight="1">
      <c r="A92" s="838">
        <v>1981.0</v>
      </c>
      <c r="B92" s="32"/>
      <c r="C92" s="32"/>
      <c r="D92" s="32"/>
      <c r="E92" s="32"/>
      <c r="F92" s="32"/>
      <c r="G92" s="32"/>
      <c r="H92" s="32"/>
      <c r="I92" s="32"/>
      <c r="J92" s="32"/>
      <c r="K92" s="32"/>
      <c r="L92" s="32"/>
      <c r="M92" s="32"/>
      <c r="N92" s="32"/>
      <c r="O92" s="32"/>
      <c r="P92" s="32"/>
      <c r="Q92" s="32"/>
      <c r="R92" s="32"/>
      <c r="S92" s="32"/>
      <c r="T92" s="32"/>
      <c r="U92" s="32"/>
      <c r="V92" s="741">
        <v>0.0</v>
      </c>
      <c r="W92" s="252">
        <f t="shared" si="22"/>
        <v>0</v>
      </c>
      <c r="X92" s="252">
        <f t="shared" ref="X92:BA92" si="73">IF(AND(X$40-$A92&gt;$V$27,SUM($W92:W92)&lt;&gt;$V92),$V92,0)</f>
        <v>0</v>
      </c>
      <c r="Y92" s="252">
        <f t="shared" si="73"/>
        <v>0</v>
      </c>
      <c r="Z92" s="252">
        <f t="shared" si="73"/>
        <v>0</v>
      </c>
      <c r="AA92" s="252">
        <f t="shared" si="73"/>
        <v>0</v>
      </c>
      <c r="AB92" s="252">
        <f t="shared" si="73"/>
        <v>0</v>
      </c>
      <c r="AC92" s="252">
        <f t="shared" si="73"/>
        <v>0</v>
      </c>
      <c r="AD92" s="252">
        <f t="shared" si="73"/>
        <v>0</v>
      </c>
      <c r="AE92" s="252">
        <f t="shared" si="73"/>
        <v>0</v>
      </c>
      <c r="AF92" s="252">
        <f t="shared" si="73"/>
        <v>0</v>
      </c>
      <c r="AG92" s="252">
        <f t="shared" si="73"/>
        <v>0</v>
      </c>
      <c r="AH92" s="252">
        <f t="shared" si="73"/>
        <v>0</v>
      </c>
      <c r="AI92" s="252">
        <f t="shared" si="73"/>
        <v>0</v>
      </c>
      <c r="AJ92" s="252">
        <f t="shared" si="73"/>
        <v>0</v>
      </c>
      <c r="AK92" s="252">
        <f t="shared" si="73"/>
        <v>0</v>
      </c>
      <c r="AL92" s="252">
        <f t="shared" si="73"/>
        <v>0</v>
      </c>
      <c r="AM92" s="252">
        <f t="shared" si="73"/>
        <v>0</v>
      </c>
      <c r="AN92" s="252">
        <f t="shared" si="73"/>
        <v>0</v>
      </c>
      <c r="AO92" s="252">
        <f t="shared" si="73"/>
        <v>0</v>
      </c>
      <c r="AP92" s="252">
        <f t="shared" si="73"/>
        <v>0</v>
      </c>
      <c r="AQ92" s="252">
        <f t="shared" si="73"/>
        <v>0</v>
      </c>
      <c r="AR92" s="252">
        <f t="shared" si="73"/>
        <v>0</v>
      </c>
      <c r="AS92" s="252">
        <f t="shared" si="73"/>
        <v>0</v>
      </c>
      <c r="AT92" s="252">
        <f t="shared" si="73"/>
        <v>0</v>
      </c>
      <c r="AU92" s="252">
        <f t="shared" si="73"/>
        <v>0</v>
      </c>
      <c r="AV92" s="252">
        <f t="shared" si="73"/>
        <v>0</v>
      </c>
      <c r="AW92" s="252">
        <f t="shared" si="73"/>
        <v>0</v>
      </c>
      <c r="AX92" s="252">
        <f t="shared" si="73"/>
        <v>0</v>
      </c>
      <c r="AY92" s="252">
        <f t="shared" si="73"/>
        <v>0</v>
      </c>
      <c r="AZ92" s="252">
        <f t="shared" si="73"/>
        <v>0</v>
      </c>
      <c r="BA92" s="252">
        <f t="shared" si="73"/>
        <v>0</v>
      </c>
    </row>
    <row r="93" ht="15.75" customHeight="1">
      <c r="A93" s="838">
        <v>1982.0</v>
      </c>
      <c r="B93" s="32"/>
      <c r="C93" s="32"/>
      <c r="D93" s="32"/>
      <c r="E93" s="32"/>
      <c r="F93" s="32"/>
      <c r="G93" s="32"/>
      <c r="H93" s="32"/>
      <c r="I93" s="32"/>
      <c r="J93" s="32"/>
      <c r="K93" s="32"/>
      <c r="L93" s="32"/>
      <c r="M93" s="32"/>
      <c r="N93" s="32"/>
      <c r="O93" s="32"/>
      <c r="P93" s="32"/>
      <c r="Q93" s="32"/>
      <c r="R93" s="32"/>
      <c r="S93" s="32"/>
      <c r="T93" s="32"/>
      <c r="U93" s="32"/>
      <c r="V93" s="741">
        <v>0.0</v>
      </c>
      <c r="W93" s="252">
        <f t="shared" si="22"/>
        <v>0</v>
      </c>
      <c r="X93" s="252">
        <f t="shared" ref="X93:BA93" si="74">IF(AND(X$40-$A93&gt;$V$27,SUM($W93:W93)&lt;&gt;$V93),$V93,0)</f>
        <v>0</v>
      </c>
      <c r="Y93" s="252">
        <f t="shared" si="74"/>
        <v>0</v>
      </c>
      <c r="Z93" s="252">
        <f t="shared" si="74"/>
        <v>0</v>
      </c>
      <c r="AA93" s="252">
        <f t="shared" si="74"/>
        <v>0</v>
      </c>
      <c r="AB93" s="252">
        <f t="shared" si="74"/>
        <v>0</v>
      </c>
      <c r="AC93" s="252">
        <f t="shared" si="74"/>
        <v>0</v>
      </c>
      <c r="AD93" s="252">
        <f t="shared" si="74"/>
        <v>0</v>
      </c>
      <c r="AE93" s="252">
        <f t="shared" si="74"/>
        <v>0</v>
      </c>
      <c r="AF93" s="252">
        <f t="shared" si="74"/>
        <v>0</v>
      </c>
      <c r="AG93" s="252">
        <f t="shared" si="74"/>
        <v>0</v>
      </c>
      <c r="AH93" s="252">
        <f t="shared" si="74"/>
        <v>0</v>
      </c>
      <c r="AI93" s="252">
        <f t="shared" si="74"/>
        <v>0</v>
      </c>
      <c r="AJ93" s="252">
        <f t="shared" si="74"/>
        <v>0</v>
      </c>
      <c r="AK93" s="252">
        <f t="shared" si="74"/>
        <v>0</v>
      </c>
      <c r="AL93" s="252">
        <f t="shared" si="74"/>
        <v>0</v>
      </c>
      <c r="AM93" s="252">
        <f t="shared" si="74"/>
        <v>0</v>
      </c>
      <c r="AN93" s="252">
        <f t="shared" si="74"/>
        <v>0</v>
      </c>
      <c r="AO93" s="252">
        <f t="shared" si="74"/>
        <v>0</v>
      </c>
      <c r="AP93" s="252">
        <f t="shared" si="74"/>
        <v>0</v>
      </c>
      <c r="AQ93" s="252">
        <f t="shared" si="74"/>
        <v>0</v>
      </c>
      <c r="AR93" s="252">
        <f t="shared" si="74"/>
        <v>0</v>
      </c>
      <c r="AS93" s="252">
        <f t="shared" si="74"/>
        <v>0</v>
      </c>
      <c r="AT93" s="252">
        <f t="shared" si="74"/>
        <v>0</v>
      </c>
      <c r="AU93" s="252">
        <f t="shared" si="74"/>
        <v>0</v>
      </c>
      <c r="AV93" s="252">
        <f t="shared" si="74"/>
        <v>0</v>
      </c>
      <c r="AW93" s="252">
        <f t="shared" si="74"/>
        <v>0</v>
      </c>
      <c r="AX93" s="252">
        <f t="shared" si="74"/>
        <v>0</v>
      </c>
      <c r="AY93" s="252">
        <f t="shared" si="74"/>
        <v>0</v>
      </c>
      <c r="AZ93" s="252">
        <f t="shared" si="74"/>
        <v>0</v>
      </c>
      <c r="BA93" s="252">
        <f t="shared" si="74"/>
        <v>0</v>
      </c>
    </row>
    <row r="94" ht="15.75" customHeight="1">
      <c r="A94" s="838">
        <v>1983.0</v>
      </c>
      <c r="B94" s="32"/>
      <c r="C94" s="32"/>
      <c r="D94" s="32"/>
      <c r="E94" s="32"/>
      <c r="F94" s="32"/>
      <c r="G94" s="32"/>
      <c r="H94" s="32"/>
      <c r="I94" s="32"/>
      <c r="J94" s="32"/>
      <c r="K94" s="32"/>
      <c r="L94" s="32"/>
      <c r="M94" s="32"/>
      <c r="N94" s="32"/>
      <c r="O94" s="32"/>
      <c r="P94" s="32"/>
      <c r="Q94" s="32"/>
      <c r="R94" s="32"/>
      <c r="S94" s="32"/>
      <c r="T94" s="32"/>
      <c r="U94" s="32"/>
      <c r="V94" s="741">
        <v>0.0</v>
      </c>
      <c r="W94" s="252">
        <f t="shared" si="22"/>
        <v>0</v>
      </c>
      <c r="X94" s="252">
        <f t="shared" ref="X94:BA94" si="75">IF(AND(X$40-$A94&gt;$V$27,SUM($W94:W94)&lt;&gt;$V94),$V94,0)</f>
        <v>0</v>
      </c>
      <c r="Y94" s="252">
        <f t="shared" si="75"/>
        <v>0</v>
      </c>
      <c r="Z94" s="252">
        <f t="shared" si="75"/>
        <v>0</v>
      </c>
      <c r="AA94" s="252">
        <f t="shared" si="75"/>
        <v>0</v>
      </c>
      <c r="AB94" s="252">
        <f t="shared" si="75"/>
        <v>0</v>
      </c>
      <c r="AC94" s="252">
        <f t="shared" si="75"/>
        <v>0</v>
      </c>
      <c r="AD94" s="252">
        <f t="shared" si="75"/>
        <v>0</v>
      </c>
      <c r="AE94" s="252">
        <f t="shared" si="75"/>
        <v>0</v>
      </c>
      <c r="AF94" s="252">
        <f t="shared" si="75"/>
        <v>0</v>
      </c>
      <c r="AG94" s="252">
        <f t="shared" si="75"/>
        <v>0</v>
      </c>
      <c r="AH94" s="252">
        <f t="shared" si="75"/>
        <v>0</v>
      </c>
      <c r="AI94" s="252">
        <f t="shared" si="75"/>
        <v>0</v>
      </c>
      <c r="AJ94" s="252">
        <f t="shared" si="75"/>
        <v>0</v>
      </c>
      <c r="AK94" s="252">
        <f t="shared" si="75"/>
        <v>0</v>
      </c>
      <c r="AL94" s="252">
        <f t="shared" si="75"/>
        <v>0</v>
      </c>
      <c r="AM94" s="252">
        <f t="shared" si="75"/>
        <v>0</v>
      </c>
      <c r="AN94" s="252">
        <f t="shared" si="75"/>
        <v>0</v>
      </c>
      <c r="AO94" s="252">
        <f t="shared" si="75"/>
        <v>0</v>
      </c>
      <c r="AP94" s="252">
        <f t="shared" si="75"/>
        <v>0</v>
      </c>
      <c r="AQ94" s="252">
        <f t="shared" si="75"/>
        <v>0</v>
      </c>
      <c r="AR94" s="252">
        <f t="shared" si="75"/>
        <v>0</v>
      </c>
      <c r="AS94" s="252">
        <f t="shared" si="75"/>
        <v>0</v>
      </c>
      <c r="AT94" s="252">
        <f t="shared" si="75"/>
        <v>0</v>
      </c>
      <c r="AU94" s="252">
        <f t="shared" si="75"/>
        <v>0</v>
      </c>
      <c r="AV94" s="252">
        <f t="shared" si="75"/>
        <v>0</v>
      </c>
      <c r="AW94" s="252">
        <f t="shared" si="75"/>
        <v>0</v>
      </c>
      <c r="AX94" s="252">
        <f t="shared" si="75"/>
        <v>0</v>
      </c>
      <c r="AY94" s="252">
        <f t="shared" si="75"/>
        <v>0</v>
      </c>
      <c r="AZ94" s="252">
        <f t="shared" si="75"/>
        <v>0</v>
      </c>
      <c r="BA94" s="252">
        <f t="shared" si="75"/>
        <v>0</v>
      </c>
    </row>
    <row r="95" ht="15.75" customHeight="1">
      <c r="A95" s="838">
        <v>1984.0</v>
      </c>
      <c r="B95" s="32"/>
      <c r="C95" s="32"/>
      <c r="D95" s="32"/>
      <c r="E95" s="32"/>
      <c r="F95" s="32"/>
      <c r="G95" s="32"/>
      <c r="H95" s="32"/>
      <c r="I95" s="32"/>
      <c r="J95" s="32"/>
      <c r="K95" s="32"/>
      <c r="L95" s="32"/>
      <c r="M95" s="32"/>
      <c r="N95" s="32"/>
      <c r="O95" s="32"/>
      <c r="P95" s="32"/>
      <c r="Q95" s="32"/>
      <c r="R95" s="32"/>
      <c r="S95" s="32"/>
      <c r="T95" s="32"/>
      <c r="U95" s="32"/>
      <c r="V95" s="741">
        <v>0.0</v>
      </c>
      <c r="W95" s="252">
        <f t="shared" si="22"/>
        <v>0</v>
      </c>
      <c r="X95" s="252">
        <f t="shared" ref="X95:BA95" si="76">IF(AND(X$40-$A95&gt;$V$27,SUM($W95:W95)&lt;&gt;$V95),$V95,0)</f>
        <v>0</v>
      </c>
      <c r="Y95" s="252">
        <f t="shared" si="76"/>
        <v>0</v>
      </c>
      <c r="Z95" s="252">
        <f t="shared" si="76"/>
        <v>0</v>
      </c>
      <c r="AA95" s="252">
        <f t="shared" si="76"/>
        <v>0</v>
      </c>
      <c r="AB95" s="252">
        <f t="shared" si="76"/>
        <v>0</v>
      </c>
      <c r="AC95" s="252">
        <f t="shared" si="76"/>
        <v>0</v>
      </c>
      <c r="AD95" s="252">
        <f t="shared" si="76"/>
        <v>0</v>
      </c>
      <c r="AE95" s="252">
        <f t="shared" si="76"/>
        <v>0</v>
      </c>
      <c r="AF95" s="252">
        <f t="shared" si="76"/>
        <v>0</v>
      </c>
      <c r="AG95" s="252">
        <f t="shared" si="76"/>
        <v>0</v>
      </c>
      <c r="AH95" s="252">
        <f t="shared" si="76"/>
        <v>0</v>
      </c>
      <c r="AI95" s="252">
        <f t="shared" si="76"/>
        <v>0</v>
      </c>
      <c r="AJ95" s="252">
        <f t="shared" si="76"/>
        <v>0</v>
      </c>
      <c r="AK95" s="252">
        <f t="shared" si="76"/>
        <v>0</v>
      </c>
      <c r="AL95" s="252">
        <f t="shared" si="76"/>
        <v>0</v>
      </c>
      <c r="AM95" s="252">
        <f t="shared" si="76"/>
        <v>0</v>
      </c>
      <c r="AN95" s="252">
        <f t="shared" si="76"/>
        <v>0</v>
      </c>
      <c r="AO95" s="252">
        <f t="shared" si="76"/>
        <v>0</v>
      </c>
      <c r="AP95" s="252">
        <f t="shared" si="76"/>
        <v>0</v>
      </c>
      <c r="AQ95" s="252">
        <f t="shared" si="76"/>
        <v>0</v>
      </c>
      <c r="AR95" s="252">
        <f t="shared" si="76"/>
        <v>0</v>
      </c>
      <c r="AS95" s="252">
        <f t="shared" si="76"/>
        <v>0</v>
      </c>
      <c r="AT95" s="252">
        <f t="shared" si="76"/>
        <v>0</v>
      </c>
      <c r="AU95" s="252">
        <f t="shared" si="76"/>
        <v>0</v>
      </c>
      <c r="AV95" s="252">
        <f t="shared" si="76"/>
        <v>0</v>
      </c>
      <c r="AW95" s="252">
        <f t="shared" si="76"/>
        <v>0</v>
      </c>
      <c r="AX95" s="252">
        <f t="shared" si="76"/>
        <v>0</v>
      </c>
      <c r="AY95" s="252">
        <f t="shared" si="76"/>
        <v>0</v>
      </c>
      <c r="AZ95" s="252">
        <f t="shared" si="76"/>
        <v>0</v>
      </c>
      <c r="BA95" s="252">
        <f t="shared" si="76"/>
        <v>0</v>
      </c>
    </row>
    <row r="96" ht="15.75" customHeight="1">
      <c r="A96" s="838">
        <v>1985.0</v>
      </c>
      <c r="B96" s="32"/>
      <c r="C96" s="32"/>
      <c r="D96" s="32"/>
      <c r="E96" s="32"/>
      <c r="F96" s="32"/>
      <c r="G96" s="32"/>
      <c r="H96" s="32"/>
      <c r="I96" s="32"/>
      <c r="J96" s="32"/>
      <c r="K96" s="32"/>
      <c r="L96" s="32"/>
      <c r="M96" s="32"/>
      <c r="N96" s="32"/>
      <c r="O96" s="32"/>
      <c r="P96" s="32"/>
      <c r="Q96" s="32"/>
      <c r="R96" s="32"/>
      <c r="S96" s="32"/>
      <c r="T96" s="32"/>
      <c r="U96" s="32"/>
      <c r="V96" s="741">
        <v>0.0</v>
      </c>
      <c r="W96" s="252">
        <f t="shared" si="22"/>
        <v>0</v>
      </c>
      <c r="X96" s="252">
        <f t="shared" ref="X96:BA96" si="77">IF(AND(X$40-$A96&gt;$V$27,SUM($W96:W96)&lt;&gt;$V96),$V96,0)</f>
        <v>0</v>
      </c>
      <c r="Y96" s="252">
        <f t="shared" si="77"/>
        <v>0</v>
      </c>
      <c r="Z96" s="252">
        <f t="shared" si="77"/>
        <v>0</v>
      </c>
      <c r="AA96" s="252">
        <f t="shared" si="77"/>
        <v>0</v>
      </c>
      <c r="AB96" s="252">
        <f t="shared" si="77"/>
        <v>0</v>
      </c>
      <c r="AC96" s="252">
        <f t="shared" si="77"/>
        <v>0</v>
      </c>
      <c r="AD96" s="252">
        <f t="shared" si="77"/>
        <v>0</v>
      </c>
      <c r="AE96" s="252">
        <f t="shared" si="77"/>
        <v>0</v>
      </c>
      <c r="AF96" s="252">
        <f t="shared" si="77"/>
        <v>0</v>
      </c>
      <c r="AG96" s="252">
        <f t="shared" si="77"/>
        <v>0</v>
      </c>
      <c r="AH96" s="252">
        <f t="shared" si="77"/>
        <v>0</v>
      </c>
      <c r="AI96" s="252">
        <f t="shared" si="77"/>
        <v>0</v>
      </c>
      <c r="AJ96" s="252">
        <f t="shared" si="77"/>
        <v>0</v>
      </c>
      <c r="AK96" s="252">
        <f t="shared" si="77"/>
        <v>0</v>
      </c>
      <c r="AL96" s="252">
        <f t="shared" si="77"/>
        <v>0</v>
      </c>
      <c r="AM96" s="252">
        <f t="shared" si="77"/>
        <v>0</v>
      </c>
      <c r="AN96" s="252">
        <f t="shared" si="77"/>
        <v>0</v>
      </c>
      <c r="AO96" s="252">
        <f t="shared" si="77"/>
        <v>0</v>
      </c>
      <c r="AP96" s="252">
        <f t="shared" si="77"/>
        <v>0</v>
      </c>
      <c r="AQ96" s="252">
        <f t="shared" si="77"/>
        <v>0</v>
      </c>
      <c r="AR96" s="252">
        <f t="shared" si="77"/>
        <v>0</v>
      </c>
      <c r="AS96" s="252">
        <f t="shared" si="77"/>
        <v>0</v>
      </c>
      <c r="AT96" s="252">
        <f t="shared" si="77"/>
        <v>0</v>
      </c>
      <c r="AU96" s="252">
        <f t="shared" si="77"/>
        <v>0</v>
      </c>
      <c r="AV96" s="252">
        <f t="shared" si="77"/>
        <v>0</v>
      </c>
      <c r="AW96" s="252">
        <f t="shared" si="77"/>
        <v>0</v>
      </c>
      <c r="AX96" s="252">
        <f t="shared" si="77"/>
        <v>0</v>
      </c>
      <c r="AY96" s="252">
        <f t="shared" si="77"/>
        <v>0</v>
      </c>
      <c r="AZ96" s="252">
        <f t="shared" si="77"/>
        <v>0</v>
      </c>
      <c r="BA96" s="252">
        <f t="shared" si="77"/>
        <v>0</v>
      </c>
    </row>
    <row r="97" ht="15.75" customHeight="1">
      <c r="A97" s="838">
        <v>1986.0</v>
      </c>
      <c r="B97" s="32"/>
      <c r="C97" s="32"/>
      <c r="D97" s="32"/>
      <c r="E97" s="32"/>
      <c r="F97" s="32"/>
      <c r="G97" s="32"/>
      <c r="H97" s="32"/>
      <c r="I97" s="32"/>
      <c r="J97" s="32"/>
      <c r="K97" s="32"/>
      <c r="L97" s="32"/>
      <c r="M97" s="32"/>
      <c r="N97" s="32"/>
      <c r="O97" s="32"/>
      <c r="P97" s="32"/>
      <c r="Q97" s="32"/>
      <c r="R97" s="32"/>
      <c r="S97" s="32"/>
      <c r="T97" s="32"/>
      <c r="U97" s="32"/>
      <c r="V97" s="741">
        <v>0.0</v>
      </c>
      <c r="W97" s="252">
        <f t="shared" si="22"/>
        <v>0</v>
      </c>
      <c r="X97" s="252">
        <f t="shared" ref="X97:BA97" si="78">IF(AND(X$40-$A97&gt;$V$27,SUM($W97:W97)&lt;&gt;$V97),$V97,0)</f>
        <v>0</v>
      </c>
      <c r="Y97" s="252">
        <f t="shared" si="78"/>
        <v>0</v>
      </c>
      <c r="Z97" s="252">
        <f t="shared" si="78"/>
        <v>0</v>
      </c>
      <c r="AA97" s="252">
        <f t="shared" si="78"/>
        <v>0</v>
      </c>
      <c r="AB97" s="252">
        <f t="shared" si="78"/>
        <v>0</v>
      </c>
      <c r="AC97" s="252">
        <f t="shared" si="78"/>
        <v>0</v>
      </c>
      <c r="AD97" s="252">
        <f t="shared" si="78"/>
        <v>0</v>
      </c>
      <c r="AE97" s="252">
        <f t="shared" si="78"/>
        <v>0</v>
      </c>
      <c r="AF97" s="252">
        <f t="shared" si="78"/>
        <v>0</v>
      </c>
      <c r="AG97" s="252">
        <f t="shared" si="78"/>
        <v>0</v>
      </c>
      <c r="AH97" s="252">
        <f t="shared" si="78"/>
        <v>0</v>
      </c>
      <c r="AI97" s="252">
        <f t="shared" si="78"/>
        <v>0</v>
      </c>
      <c r="AJ97" s="252">
        <f t="shared" si="78"/>
        <v>0</v>
      </c>
      <c r="AK97" s="252">
        <f t="shared" si="78"/>
        <v>0</v>
      </c>
      <c r="AL97" s="252">
        <f t="shared" si="78"/>
        <v>0</v>
      </c>
      <c r="AM97" s="252">
        <f t="shared" si="78"/>
        <v>0</v>
      </c>
      <c r="AN97" s="252">
        <f t="shared" si="78"/>
        <v>0</v>
      </c>
      <c r="AO97" s="252">
        <f t="shared" si="78"/>
        <v>0</v>
      </c>
      <c r="AP97" s="252">
        <f t="shared" si="78"/>
        <v>0</v>
      </c>
      <c r="AQ97" s="252">
        <f t="shared" si="78"/>
        <v>0</v>
      </c>
      <c r="AR97" s="252">
        <f t="shared" si="78"/>
        <v>0</v>
      </c>
      <c r="AS97" s="252">
        <f t="shared" si="78"/>
        <v>0</v>
      </c>
      <c r="AT97" s="252">
        <f t="shared" si="78"/>
        <v>0</v>
      </c>
      <c r="AU97" s="252">
        <f t="shared" si="78"/>
        <v>0</v>
      </c>
      <c r="AV97" s="252">
        <f t="shared" si="78"/>
        <v>0</v>
      </c>
      <c r="AW97" s="252">
        <f t="shared" si="78"/>
        <v>0</v>
      </c>
      <c r="AX97" s="252">
        <f t="shared" si="78"/>
        <v>0</v>
      </c>
      <c r="AY97" s="252">
        <f t="shared" si="78"/>
        <v>0</v>
      </c>
      <c r="AZ97" s="252">
        <f t="shared" si="78"/>
        <v>0</v>
      </c>
      <c r="BA97" s="252">
        <f t="shared" si="78"/>
        <v>0</v>
      </c>
    </row>
    <row r="98" ht="15.75" customHeight="1">
      <c r="A98" s="838">
        <v>1987.0</v>
      </c>
      <c r="B98" s="32"/>
      <c r="C98" s="32"/>
      <c r="D98" s="32"/>
      <c r="E98" s="32"/>
      <c r="F98" s="32"/>
      <c r="G98" s="32"/>
      <c r="H98" s="32"/>
      <c r="I98" s="32"/>
      <c r="J98" s="32"/>
      <c r="K98" s="32"/>
      <c r="L98" s="32"/>
      <c r="M98" s="32"/>
      <c r="N98" s="32"/>
      <c r="O98" s="32"/>
      <c r="P98" s="32"/>
      <c r="Q98" s="32"/>
      <c r="R98" s="32"/>
      <c r="S98" s="32"/>
      <c r="T98" s="32"/>
      <c r="U98" s="32"/>
      <c r="V98" s="741">
        <v>0.0</v>
      </c>
      <c r="W98" s="252">
        <f t="shared" si="22"/>
        <v>0</v>
      </c>
      <c r="X98" s="252">
        <f t="shared" ref="X98:BA98" si="79">IF(AND(X$40-$A98&gt;$V$27,SUM($W98:W98)&lt;&gt;$V98),$V98,0)</f>
        <v>0</v>
      </c>
      <c r="Y98" s="252">
        <f t="shared" si="79"/>
        <v>0</v>
      </c>
      <c r="Z98" s="252">
        <f t="shared" si="79"/>
        <v>0</v>
      </c>
      <c r="AA98" s="252">
        <f t="shared" si="79"/>
        <v>0</v>
      </c>
      <c r="AB98" s="252">
        <f t="shared" si="79"/>
        <v>0</v>
      </c>
      <c r="AC98" s="252">
        <f t="shared" si="79"/>
        <v>0</v>
      </c>
      <c r="AD98" s="252">
        <f t="shared" si="79"/>
        <v>0</v>
      </c>
      <c r="AE98" s="252">
        <f t="shared" si="79"/>
        <v>0</v>
      </c>
      <c r="AF98" s="252">
        <f t="shared" si="79"/>
        <v>0</v>
      </c>
      <c r="AG98" s="252">
        <f t="shared" si="79"/>
        <v>0</v>
      </c>
      <c r="AH98" s="252">
        <f t="shared" si="79"/>
        <v>0</v>
      </c>
      <c r="AI98" s="252">
        <f t="shared" si="79"/>
        <v>0</v>
      </c>
      <c r="AJ98" s="252">
        <f t="shared" si="79"/>
        <v>0</v>
      </c>
      <c r="AK98" s="252">
        <f t="shared" si="79"/>
        <v>0</v>
      </c>
      <c r="AL98" s="252">
        <f t="shared" si="79"/>
        <v>0</v>
      </c>
      <c r="AM98" s="252">
        <f t="shared" si="79"/>
        <v>0</v>
      </c>
      <c r="AN98" s="252">
        <f t="shared" si="79"/>
        <v>0</v>
      </c>
      <c r="AO98" s="252">
        <f t="shared" si="79"/>
        <v>0</v>
      </c>
      <c r="AP98" s="252">
        <f t="shared" si="79"/>
        <v>0</v>
      </c>
      <c r="AQ98" s="252">
        <f t="shared" si="79"/>
        <v>0</v>
      </c>
      <c r="AR98" s="252">
        <f t="shared" si="79"/>
        <v>0</v>
      </c>
      <c r="AS98" s="252">
        <f t="shared" si="79"/>
        <v>0</v>
      </c>
      <c r="AT98" s="252">
        <f t="shared" si="79"/>
        <v>0</v>
      </c>
      <c r="AU98" s="252">
        <f t="shared" si="79"/>
        <v>0</v>
      </c>
      <c r="AV98" s="252">
        <f t="shared" si="79"/>
        <v>0</v>
      </c>
      <c r="AW98" s="252">
        <f t="shared" si="79"/>
        <v>0</v>
      </c>
      <c r="AX98" s="252">
        <f t="shared" si="79"/>
        <v>0</v>
      </c>
      <c r="AY98" s="252">
        <f t="shared" si="79"/>
        <v>0</v>
      </c>
      <c r="AZ98" s="252">
        <f t="shared" si="79"/>
        <v>0</v>
      </c>
      <c r="BA98" s="252">
        <f t="shared" si="79"/>
        <v>0</v>
      </c>
    </row>
    <row r="99" ht="15.75" customHeight="1">
      <c r="A99" s="838">
        <v>1988.0</v>
      </c>
      <c r="B99" s="32"/>
      <c r="C99" s="32"/>
      <c r="D99" s="32"/>
      <c r="E99" s="32"/>
      <c r="F99" s="32"/>
      <c r="G99" s="32"/>
      <c r="H99" s="32"/>
      <c r="I99" s="32"/>
      <c r="J99" s="32"/>
      <c r="K99" s="32"/>
      <c r="L99" s="32"/>
      <c r="M99" s="32"/>
      <c r="N99" s="32"/>
      <c r="O99" s="32"/>
      <c r="P99" s="32"/>
      <c r="Q99" s="32"/>
      <c r="R99" s="32"/>
      <c r="S99" s="32"/>
      <c r="T99" s="32"/>
      <c r="U99" s="32"/>
      <c r="V99" s="741">
        <v>0.0</v>
      </c>
      <c r="W99" s="252">
        <f t="shared" si="22"/>
        <v>0</v>
      </c>
      <c r="X99" s="252">
        <f t="shared" ref="X99:BA99" si="80">IF(AND(X$40-$A99&gt;$V$27,SUM($W99:W99)&lt;&gt;$V99),$V99,0)</f>
        <v>0</v>
      </c>
      <c r="Y99" s="252">
        <f t="shared" si="80"/>
        <v>0</v>
      </c>
      <c r="Z99" s="252">
        <f t="shared" si="80"/>
        <v>0</v>
      </c>
      <c r="AA99" s="252">
        <f t="shared" si="80"/>
        <v>0</v>
      </c>
      <c r="AB99" s="252">
        <f t="shared" si="80"/>
        <v>0</v>
      </c>
      <c r="AC99" s="252">
        <f t="shared" si="80"/>
        <v>0</v>
      </c>
      <c r="AD99" s="252">
        <f t="shared" si="80"/>
        <v>0</v>
      </c>
      <c r="AE99" s="252">
        <f t="shared" si="80"/>
        <v>0</v>
      </c>
      <c r="AF99" s="252">
        <f t="shared" si="80"/>
        <v>0</v>
      </c>
      <c r="AG99" s="252">
        <f t="shared" si="80"/>
        <v>0</v>
      </c>
      <c r="AH99" s="252">
        <f t="shared" si="80"/>
        <v>0</v>
      </c>
      <c r="AI99" s="252">
        <f t="shared" si="80"/>
        <v>0</v>
      </c>
      <c r="AJ99" s="252">
        <f t="shared" si="80"/>
        <v>0</v>
      </c>
      <c r="AK99" s="252">
        <f t="shared" si="80"/>
        <v>0</v>
      </c>
      <c r="AL99" s="252">
        <f t="shared" si="80"/>
        <v>0</v>
      </c>
      <c r="AM99" s="252">
        <f t="shared" si="80"/>
        <v>0</v>
      </c>
      <c r="AN99" s="252">
        <f t="shared" si="80"/>
        <v>0</v>
      </c>
      <c r="AO99" s="252">
        <f t="shared" si="80"/>
        <v>0</v>
      </c>
      <c r="AP99" s="252">
        <f t="shared" si="80"/>
        <v>0</v>
      </c>
      <c r="AQ99" s="252">
        <f t="shared" si="80"/>
        <v>0</v>
      </c>
      <c r="AR99" s="252">
        <f t="shared" si="80"/>
        <v>0</v>
      </c>
      <c r="AS99" s="252">
        <f t="shared" si="80"/>
        <v>0</v>
      </c>
      <c r="AT99" s="252">
        <f t="shared" si="80"/>
        <v>0</v>
      </c>
      <c r="AU99" s="252">
        <f t="shared" si="80"/>
        <v>0</v>
      </c>
      <c r="AV99" s="252">
        <f t="shared" si="80"/>
        <v>0</v>
      </c>
      <c r="AW99" s="252">
        <f t="shared" si="80"/>
        <v>0</v>
      </c>
      <c r="AX99" s="252">
        <f t="shared" si="80"/>
        <v>0</v>
      </c>
      <c r="AY99" s="252">
        <f t="shared" si="80"/>
        <v>0</v>
      </c>
      <c r="AZ99" s="252">
        <f t="shared" si="80"/>
        <v>0</v>
      </c>
      <c r="BA99" s="252">
        <f t="shared" si="80"/>
        <v>0</v>
      </c>
    </row>
    <row r="100" ht="15.75" customHeight="1">
      <c r="A100" s="838">
        <v>1989.0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22"/>
        <v>0</v>
      </c>
      <c r="X100" s="252">
        <f t="shared" ref="X100:BA100" si="81">IF(AND(X$40-$A100&gt;$V$27,SUM($W100:W100)&lt;&gt;$V100),$V100,0)</f>
        <v>0</v>
      </c>
      <c r="Y100" s="252">
        <f t="shared" si="81"/>
        <v>0</v>
      </c>
      <c r="Z100" s="252">
        <f t="shared" si="81"/>
        <v>0</v>
      </c>
      <c r="AA100" s="252">
        <f t="shared" si="81"/>
        <v>0</v>
      </c>
      <c r="AB100" s="252">
        <f t="shared" si="81"/>
        <v>0</v>
      </c>
      <c r="AC100" s="252">
        <f t="shared" si="81"/>
        <v>0</v>
      </c>
      <c r="AD100" s="252">
        <f t="shared" si="81"/>
        <v>0</v>
      </c>
      <c r="AE100" s="252">
        <f t="shared" si="81"/>
        <v>0</v>
      </c>
      <c r="AF100" s="252">
        <f t="shared" si="81"/>
        <v>0</v>
      </c>
      <c r="AG100" s="252">
        <f t="shared" si="81"/>
        <v>0</v>
      </c>
      <c r="AH100" s="252">
        <f t="shared" si="81"/>
        <v>0</v>
      </c>
      <c r="AI100" s="252">
        <f t="shared" si="81"/>
        <v>0</v>
      </c>
      <c r="AJ100" s="252">
        <f t="shared" si="81"/>
        <v>0</v>
      </c>
      <c r="AK100" s="252">
        <f t="shared" si="81"/>
        <v>0</v>
      </c>
      <c r="AL100" s="252">
        <f t="shared" si="81"/>
        <v>0</v>
      </c>
      <c r="AM100" s="252">
        <f t="shared" si="81"/>
        <v>0</v>
      </c>
      <c r="AN100" s="252">
        <f t="shared" si="81"/>
        <v>0</v>
      </c>
      <c r="AO100" s="252">
        <f t="shared" si="81"/>
        <v>0</v>
      </c>
      <c r="AP100" s="252">
        <f t="shared" si="81"/>
        <v>0</v>
      </c>
      <c r="AQ100" s="252">
        <f t="shared" si="81"/>
        <v>0</v>
      </c>
      <c r="AR100" s="252">
        <f t="shared" si="81"/>
        <v>0</v>
      </c>
      <c r="AS100" s="252">
        <f t="shared" si="81"/>
        <v>0</v>
      </c>
      <c r="AT100" s="252">
        <f t="shared" si="81"/>
        <v>0</v>
      </c>
      <c r="AU100" s="252">
        <f t="shared" si="81"/>
        <v>0</v>
      </c>
      <c r="AV100" s="252">
        <f t="shared" si="81"/>
        <v>0</v>
      </c>
      <c r="AW100" s="252">
        <f t="shared" si="81"/>
        <v>0</v>
      </c>
      <c r="AX100" s="252">
        <f t="shared" si="81"/>
        <v>0</v>
      </c>
      <c r="AY100" s="252">
        <f t="shared" si="81"/>
        <v>0</v>
      </c>
      <c r="AZ100" s="252">
        <f t="shared" si="81"/>
        <v>0</v>
      </c>
      <c r="BA100" s="252">
        <f t="shared" si="81"/>
        <v>0</v>
      </c>
    </row>
    <row r="101" ht="15.75" customHeight="1">
      <c r="A101" s="838">
        <v>1990.0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22"/>
        <v>0</v>
      </c>
      <c r="X101" s="252">
        <f t="shared" ref="X101:BA101" si="82">IF(AND(X$40-$A101&gt;$V$27,SUM($W101:W101)&lt;&gt;$V101),$V101,0)</f>
        <v>0</v>
      </c>
      <c r="Y101" s="252">
        <f t="shared" si="82"/>
        <v>0</v>
      </c>
      <c r="Z101" s="252">
        <f t="shared" si="82"/>
        <v>0</v>
      </c>
      <c r="AA101" s="252">
        <f t="shared" si="82"/>
        <v>0</v>
      </c>
      <c r="AB101" s="252">
        <f t="shared" si="82"/>
        <v>0</v>
      </c>
      <c r="AC101" s="252">
        <f t="shared" si="82"/>
        <v>0</v>
      </c>
      <c r="AD101" s="252">
        <f t="shared" si="82"/>
        <v>0</v>
      </c>
      <c r="AE101" s="252">
        <f t="shared" si="82"/>
        <v>0</v>
      </c>
      <c r="AF101" s="252">
        <f t="shared" si="82"/>
        <v>0</v>
      </c>
      <c r="AG101" s="252">
        <f t="shared" si="82"/>
        <v>0</v>
      </c>
      <c r="AH101" s="252">
        <f t="shared" si="82"/>
        <v>0</v>
      </c>
      <c r="AI101" s="252">
        <f t="shared" si="82"/>
        <v>0</v>
      </c>
      <c r="AJ101" s="252">
        <f t="shared" si="82"/>
        <v>0</v>
      </c>
      <c r="AK101" s="252">
        <f t="shared" si="82"/>
        <v>0</v>
      </c>
      <c r="AL101" s="252">
        <f t="shared" si="82"/>
        <v>0</v>
      </c>
      <c r="AM101" s="252">
        <f t="shared" si="82"/>
        <v>0</v>
      </c>
      <c r="AN101" s="252">
        <f t="shared" si="82"/>
        <v>0</v>
      </c>
      <c r="AO101" s="252">
        <f t="shared" si="82"/>
        <v>0</v>
      </c>
      <c r="AP101" s="252">
        <f t="shared" si="82"/>
        <v>0</v>
      </c>
      <c r="AQ101" s="252">
        <f t="shared" si="82"/>
        <v>0</v>
      </c>
      <c r="AR101" s="252">
        <f t="shared" si="82"/>
        <v>0</v>
      </c>
      <c r="AS101" s="252">
        <f t="shared" si="82"/>
        <v>0</v>
      </c>
      <c r="AT101" s="252">
        <f t="shared" si="82"/>
        <v>0</v>
      </c>
      <c r="AU101" s="252">
        <f t="shared" si="82"/>
        <v>0</v>
      </c>
      <c r="AV101" s="252">
        <f t="shared" si="82"/>
        <v>0</v>
      </c>
      <c r="AW101" s="252">
        <f t="shared" si="82"/>
        <v>0</v>
      </c>
      <c r="AX101" s="252">
        <f t="shared" si="82"/>
        <v>0</v>
      </c>
      <c r="AY101" s="252">
        <f t="shared" si="82"/>
        <v>0</v>
      </c>
      <c r="AZ101" s="252">
        <f t="shared" si="82"/>
        <v>0</v>
      </c>
      <c r="BA101" s="252">
        <f t="shared" si="82"/>
        <v>0</v>
      </c>
    </row>
    <row r="102" ht="15.75" customHeight="1">
      <c r="A102" s="838">
        <v>1991.0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22"/>
        <v>0</v>
      </c>
      <c r="X102" s="252">
        <f t="shared" ref="X102:BA102" si="83">IF(AND(X$40-$A102&gt;$V$27,SUM($W102:W102)&lt;&gt;$V102),$V102,0)</f>
        <v>0</v>
      </c>
      <c r="Y102" s="252">
        <f t="shared" si="83"/>
        <v>0</v>
      </c>
      <c r="Z102" s="252">
        <f t="shared" si="83"/>
        <v>0</v>
      </c>
      <c r="AA102" s="252">
        <f t="shared" si="83"/>
        <v>0</v>
      </c>
      <c r="AB102" s="252">
        <f t="shared" si="83"/>
        <v>0</v>
      </c>
      <c r="AC102" s="252">
        <f t="shared" si="83"/>
        <v>0</v>
      </c>
      <c r="AD102" s="252">
        <f t="shared" si="83"/>
        <v>0</v>
      </c>
      <c r="AE102" s="252">
        <f t="shared" si="83"/>
        <v>0</v>
      </c>
      <c r="AF102" s="252">
        <f t="shared" si="83"/>
        <v>0</v>
      </c>
      <c r="AG102" s="252">
        <f t="shared" si="83"/>
        <v>0</v>
      </c>
      <c r="AH102" s="252">
        <f t="shared" si="83"/>
        <v>0</v>
      </c>
      <c r="AI102" s="252">
        <f t="shared" si="83"/>
        <v>0</v>
      </c>
      <c r="AJ102" s="252">
        <f t="shared" si="83"/>
        <v>0</v>
      </c>
      <c r="AK102" s="252">
        <f t="shared" si="83"/>
        <v>0</v>
      </c>
      <c r="AL102" s="252">
        <f t="shared" si="83"/>
        <v>0</v>
      </c>
      <c r="AM102" s="252">
        <f t="shared" si="83"/>
        <v>0</v>
      </c>
      <c r="AN102" s="252">
        <f t="shared" si="83"/>
        <v>0</v>
      </c>
      <c r="AO102" s="252">
        <f t="shared" si="83"/>
        <v>0</v>
      </c>
      <c r="AP102" s="252">
        <f t="shared" si="83"/>
        <v>0</v>
      </c>
      <c r="AQ102" s="252">
        <f t="shared" si="83"/>
        <v>0</v>
      </c>
      <c r="AR102" s="252">
        <f t="shared" si="83"/>
        <v>0</v>
      </c>
      <c r="AS102" s="252">
        <f t="shared" si="83"/>
        <v>0</v>
      </c>
      <c r="AT102" s="252">
        <f t="shared" si="83"/>
        <v>0</v>
      </c>
      <c r="AU102" s="252">
        <f t="shared" si="83"/>
        <v>0</v>
      </c>
      <c r="AV102" s="252">
        <f t="shared" si="83"/>
        <v>0</v>
      </c>
      <c r="AW102" s="252">
        <f t="shared" si="83"/>
        <v>0</v>
      </c>
      <c r="AX102" s="252">
        <f t="shared" si="83"/>
        <v>0</v>
      </c>
      <c r="AY102" s="252">
        <f t="shared" si="83"/>
        <v>0</v>
      </c>
      <c r="AZ102" s="252">
        <f t="shared" si="83"/>
        <v>0</v>
      </c>
      <c r="BA102" s="252">
        <f t="shared" si="83"/>
        <v>0</v>
      </c>
    </row>
    <row r="103" ht="15.75" customHeight="1">
      <c r="A103" s="838">
        <v>1992.0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22"/>
        <v>0</v>
      </c>
      <c r="X103" s="252">
        <f t="shared" ref="X103:BA103" si="84">IF(AND(X$40-$A103&gt;$V$27,SUM($W103:W103)&lt;&gt;$V103),$V103,0)</f>
        <v>0</v>
      </c>
      <c r="Y103" s="252">
        <f t="shared" si="84"/>
        <v>0</v>
      </c>
      <c r="Z103" s="252">
        <f t="shared" si="84"/>
        <v>0</v>
      </c>
      <c r="AA103" s="252">
        <f t="shared" si="84"/>
        <v>0</v>
      </c>
      <c r="AB103" s="252">
        <f t="shared" si="84"/>
        <v>0</v>
      </c>
      <c r="AC103" s="252">
        <f t="shared" si="84"/>
        <v>0</v>
      </c>
      <c r="AD103" s="252">
        <f t="shared" si="84"/>
        <v>0</v>
      </c>
      <c r="AE103" s="252">
        <f t="shared" si="84"/>
        <v>0</v>
      </c>
      <c r="AF103" s="252">
        <f t="shared" si="84"/>
        <v>0</v>
      </c>
      <c r="AG103" s="252">
        <f t="shared" si="84"/>
        <v>0</v>
      </c>
      <c r="AH103" s="252">
        <f t="shared" si="84"/>
        <v>0</v>
      </c>
      <c r="AI103" s="252">
        <f t="shared" si="84"/>
        <v>0</v>
      </c>
      <c r="AJ103" s="252">
        <f t="shared" si="84"/>
        <v>0</v>
      </c>
      <c r="AK103" s="252">
        <f t="shared" si="84"/>
        <v>0</v>
      </c>
      <c r="AL103" s="252">
        <f t="shared" si="84"/>
        <v>0</v>
      </c>
      <c r="AM103" s="252">
        <f t="shared" si="84"/>
        <v>0</v>
      </c>
      <c r="AN103" s="252">
        <f t="shared" si="84"/>
        <v>0</v>
      </c>
      <c r="AO103" s="252">
        <f t="shared" si="84"/>
        <v>0</v>
      </c>
      <c r="AP103" s="252">
        <f t="shared" si="84"/>
        <v>0</v>
      </c>
      <c r="AQ103" s="252">
        <f t="shared" si="84"/>
        <v>0</v>
      </c>
      <c r="AR103" s="252">
        <f t="shared" si="84"/>
        <v>0</v>
      </c>
      <c r="AS103" s="252">
        <f t="shared" si="84"/>
        <v>0</v>
      </c>
      <c r="AT103" s="252">
        <f t="shared" si="84"/>
        <v>0</v>
      </c>
      <c r="AU103" s="252">
        <f t="shared" si="84"/>
        <v>0</v>
      </c>
      <c r="AV103" s="252">
        <f t="shared" si="84"/>
        <v>0</v>
      </c>
      <c r="AW103" s="252">
        <f t="shared" si="84"/>
        <v>0</v>
      </c>
      <c r="AX103" s="252">
        <f t="shared" si="84"/>
        <v>0</v>
      </c>
      <c r="AY103" s="252">
        <f t="shared" si="84"/>
        <v>0</v>
      </c>
      <c r="AZ103" s="252">
        <f t="shared" si="84"/>
        <v>0</v>
      </c>
      <c r="BA103" s="252">
        <f t="shared" si="84"/>
        <v>0</v>
      </c>
    </row>
    <row r="104" ht="15.75" customHeight="1">
      <c r="A104" s="838">
        <v>1993.0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22"/>
        <v>0</v>
      </c>
      <c r="X104" s="252">
        <f t="shared" ref="X104:BA104" si="85">IF(AND(X$40-$A104&gt;$V$27,SUM($W104:W104)&lt;&gt;$V104),$V104,0)</f>
        <v>0</v>
      </c>
      <c r="Y104" s="252">
        <f t="shared" si="85"/>
        <v>0</v>
      </c>
      <c r="Z104" s="252">
        <f t="shared" si="85"/>
        <v>0</v>
      </c>
      <c r="AA104" s="252">
        <f t="shared" si="85"/>
        <v>0</v>
      </c>
      <c r="AB104" s="252">
        <f t="shared" si="85"/>
        <v>0</v>
      </c>
      <c r="AC104" s="252">
        <f t="shared" si="85"/>
        <v>0</v>
      </c>
      <c r="AD104" s="252">
        <f t="shared" si="85"/>
        <v>0</v>
      </c>
      <c r="AE104" s="252">
        <f t="shared" si="85"/>
        <v>0</v>
      </c>
      <c r="AF104" s="252">
        <f t="shared" si="85"/>
        <v>0</v>
      </c>
      <c r="AG104" s="252">
        <f t="shared" si="85"/>
        <v>0</v>
      </c>
      <c r="AH104" s="252">
        <f t="shared" si="85"/>
        <v>0</v>
      </c>
      <c r="AI104" s="252">
        <f t="shared" si="85"/>
        <v>0</v>
      </c>
      <c r="AJ104" s="252">
        <f t="shared" si="85"/>
        <v>0</v>
      </c>
      <c r="AK104" s="252">
        <f t="shared" si="85"/>
        <v>0</v>
      </c>
      <c r="AL104" s="252">
        <f t="shared" si="85"/>
        <v>0</v>
      </c>
      <c r="AM104" s="252">
        <f t="shared" si="85"/>
        <v>0</v>
      </c>
      <c r="AN104" s="252">
        <f t="shared" si="85"/>
        <v>0</v>
      </c>
      <c r="AO104" s="252">
        <f t="shared" si="85"/>
        <v>0</v>
      </c>
      <c r="AP104" s="252">
        <f t="shared" si="85"/>
        <v>0</v>
      </c>
      <c r="AQ104" s="252">
        <f t="shared" si="85"/>
        <v>0</v>
      </c>
      <c r="AR104" s="252">
        <f t="shared" si="85"/>
        <v>0</v>
      </c>
      <c r="AS104" s="252">
        <f t="shared" si="85"/>
        <v>0</v>
      </c>
      <c r="AT104" s="252">
        <f t="shared" si="85"/>
        <v>0</v>
      </c>
      <c r="AU104" s="252">
        <f t="shared" si="85"/>
        <v>0</v>
      </c>
      <c r="AV104" s="252">
        <f t="shared" si="85"/>
        <v>0</v>
      </c>
      <c r="AW104" s="252">
        <f t="shared" si="85"/>
        <v>0</v>
      </c>
      <c r="AX104" s="252">
        <f t="shared" si="85"/>
        <v>0</v>
      </c>
      <c r="AY104" s="252">
        <f t="shared" si="85"/>
        <v>0</v>
      </c>
      <c r="AZ104" s="252">
        <f t="shared" si="85"/>
        <v>0</v>
      </c>
      <c r="BA104" s="252">
        <f t="shared" si="85"/>
        <v>0</v>
      </c>
    </row>
    <row r="105" ht="15.75" customHeight="1">
      <c r="A105" s="838">
        <v>1994.0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22"/>
        <v>0</v>
      </c>
      <c r="X105" s="252">
        <f t="shared" ref="X105:BA105" si="86">IF(AND(X$40-$A105&gt;$V$27,SUM($W105:W105)&lt;&gt;$V105),$V105,0)</f>
        <v>0</v>
      </c>
      <c r="Y105" s="252">
        <f t="shared" si="86"/>
        <v>0</v>
      </c>
      <c r="Z105" s="252">
        <f t="shared" si="86"/>
        <v>0</v>
      </c>
      <c r="AA105" s="252">
        <f t="shared" si="86"/>
        <v>0</v>
      </c>
      <c r="AB105" s="252">
        <f t="shared" si="86"/>
        <v>0</v>
      </c>
      <c r="AC105" s="252">
        <f t="shared" si="86"/>
        <v>0</v>
      </c>
      <c r="AD105" s="252">
        <f t="shared" si="86"/>
        <v>0</v>
      </c>
      <c r="AE105" s="252">
        <f t="shared" si="86"/>
        <v>0</v>
      </c>
      <c r="AF105" s="252">
        <f t="shared" si="86"/>
        <v>0</v>
      </c>
      <c r="AG105" s="252">
        <f t="shared" si="86"/>
        <v>0</v>
      </c>
      <c r="AH105" s="252">
        <f t="shared" si="86"/>
        <v>0</v>
      </c>
      <c r="AI105" s="252">
        <f t="shared" si="86"/>
        <v>0</v>
      </c>
      <c r="AJ105" s="252">
        <f t="shared" si="86"/>
        <v>0</v>
      </c>
      <c r="AK105" s="252">
        <f t="shared" si="86"/>
        <v>0</v>
      </c>
      <c r="AL105" s="252">
        <f t="shared" si="86"/>
        <v>0</v>
      </c>
      <c r="AM105" s="252">
        <f t="shared" si="86"/>
        <v>0</v>
      </c>
      <c r="AN105" s="252">
        <f t="shared" si="86"/>
        <v>0</v>
      </c>
      <c r="AO105" s="252">
        <f t="shared" si="86"/>
        <v>0</v>
      </c>
      <c r="AP105" s="252">
        <f t="shared" si="86"/>
        <v>0</v>
      </c>
      <c r="AQ105" s="252">
        <f t="shared" si="86"/>
        <v>0</v>
      </c>
      <c r="AR105" s="252">
        <f t="shared" si="86"/>
        <v>0</v>
      </c>
      <c r="AS105" s="252">
        <f t="shared" si="86"/>
        <v>0</v>
      </c>
      <c r="AT105" s="252">
        <f t="shared" si="86"/>
        <v>0</v>
      </c>
      <c r="AU105" s="252">
        <f t="shared" si="86"/>
        <v>0</v>
      </c>
      <c r="AV105" s="252">
        <f t="shared" si="86"/>
        <v>0</v>
      </c>
      <c r="AW105" s="252">
        <f t="shared" si="86"/>
        <v>0</v>
      </c>
      <c r="AX105" s="252">
        <f t="shared" si="86"/>
        <v>0</v>
      </c>
      <c r="AY105" s="252">
        <f t="shared" si="86"/>
        <v>0</v>
      </c>
      <c r="AZ105" s="252">
        <f t="shared" si="86"/>
        <v>0</v>
      </c>
      <c r="BA105" s="252">
        <f t="shared" si="86"/>
        <v>0</v>
      </c>
    </row>
    <row r="106" ht="15.75" customHeight="1">
      <c r="A106" s="838">
        <v>1995.0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22"/>
        <v>0</v>
      </c>
      <c r="X106" s="252">
        <f t="shared" ref="X106:BA106" si="87">IF(AND(X$40-$A106&gt;$V$27,SUM($W106:W106)&lt;&gt;$V106),$V106,0)</f>
        <v>0</v>
      </c>
      <c r="Y106" s="252">
        <f t="shared" si="87"/>
        <v>0</v>
      </c>
      <c r="Z106" s="252">
        <f t="shared" si="87"/>
        <v>0</v>
      </c>
      <c r="AA106" s="252">
        <f t="shared" si="87"/>
        <v>0</v>
      </c>
      <c r="AB106" s="252">
        <f t="shared" si="87"/>
        <v>0</v>
      </c>
      <c r="AC106" s="252">
        <f t="shared" si="87"/>
        <v>0</v>
      </c>
      <c r="AD106" s="252">
        <f t="shared" si="87"/>
        <v>0</v>
      </c>
      <c r="AE106" s="252">
        <f t="shared" si="87"/>
        <v>0</v>
      </c>
      <c r="AF106" s="252">
        <f t="shared" si="87"/>
        <v>0</v>
      </c>
      <c r="AG106" s="252">
        <f t="shared" si="87"/>
        <v>0</v>
      </c>
      <c r="AH106" s="252">
        <f t="shared" si="87"/>
        <v>0</v>
      </c>
      <c r="AI106" s="252">
        <f t="shared" si="87"/>
        <v>0</v>
      </c>
      <c r="AJ106" s="252">
        <f t="shared" si="87"/>
        <v>0</v>
      </c>
      <c r="AK106" s="252">
        <f t="shared" si="87"/>
        <v>0</v>
      </c>
      <c r="AL106" s="252">
        <f t="shared" si="87"/>
        <v>0</v>
      </c>
      <c r="AM106" s="252">
        <f t="shared" si="87"/>
        <v>0</v>
      </c>
      <c r="AN106" s="252">
        <f t="shared" si="87"/>
        <v>0</v>
      </c>
      <c r="AO106" s="252">
        <f t="shared" si="87"/>
        <v>0</v>
      </c>
      <c r="AP106" s="252">
        <f t="shared" si="87"/>
        <v>0</v>
      </c>
      <c r="AQ106" s="252">
        <f t="shared" si="87"/>
        <v>0</v>
      </c>
      <c r="AR106" s="252">
        <f t="shared" si="87"/>
        <v>0</v>
      </c>
      <c r="AS106" s="252">
        <f t="shared" si="87"/>
        <v>0</v>
      </c>
      <c r="AT106" s="252">
        <f t="shared" si="87"/>
        <v>0</v>
      </c>
      <c r="AU106" s="252">
        <f t="shared" si="87"/>
        <v>0</v>
      </c>
      <c r="AV106" s="252">
        <f t="shared" si="87"/>
        <v>0</v>
      </c>
      <c r="AW106" s="252">
        <f t="shared" si="87"/>
        <v>0</v>
      </c>
      <c r="AX106" s="252">
        <f t="shared" si="87"/>
        <v>0</v>
      </c>
      <c r="AY106" s="252">
        <f t="shared" si="87"/>
        <v>0</v>
      </c>
      <c r="AZ106" s="252">
        <f t="shared" si="87"/>
        <v>0</v>
      </c>
      <c r="BA106" s="252">
        <f t="shared" si="87"/>
        <v>0</v>
      </c>
    </row>
    <row r="107" ht="15.75" customHeight="1">
      <c r="A107" s="838">
        <v>1996.0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22"/>
        <v>0</v>
      </c>
      <c r="X107" s="252">
        <f t="shared" ref="X107:BA107" si="88">IF(AND(X$40-$A107&gt;$V$27,SUM($W107:W107)&lt;&gt;$V107),$V107,0)</f>
        <v>0</v>
      </c>
      <c r="Y107" s="252">
        <f t="shared" si="88"/>
        <v>0</v>
      </c>
      <c r="Z107" s="252">
        <f t="shared" si="88"/>
        <v>0</v>
      </c>
      <c r="AA107" s="252">
        <f t="shared" si="88"/>
        <v>0</v>
      </c>
      <c r="AB107" s="252">
        <f t="shared" si="88"/>
        <v>0</v>
      </c>
      <c r="AC107" s="252">
        <f t="shared" si="88"/>
        <v>0</v>
      </c>
      <c r="AD107" s="252">
        <f t="shared" si="88"/>
        <v>0</v>
      </c>
      <c r="AE107" s="252">
        <f t="shared" si="88"/>
        <v>0</v>
      </c>
      <c r="AF107" s="252">
        <f t="shared" si="88"/>
        <v>0</v>
      </c>
      <c r="AG107" s="252">
        <f t="shared" si="88"/>
        <v>0</v>
      </c>
      <c r="AH107" s="252">
        <f t="shared" si="88"/>
        <v>0</v>
      </c>
      <c r="AI107" s="252">
        <f t="shared" si="88"/>
        <v>0</v>
      </c>
      <c r="AJ107" s="252">
        <f t="shared" si="88"/>
        <v>0</v>
      </c>
      <c r="AK107" s="252">
        <f t="shared" si="88"/>
        <v>0</v>
      </c>
      <c r="AL107" s="252">
        <f t="shared" si="88"/>
        <v>0</v>
      </c>
      <c r="AM107" s="252">
        <f t="shared" si="88"/>
        <v>0</v>
      </c>
      <c r="AN107" s="252">
        <f t="shared" si="88"/>
        <v>0</v>
      </c>
      <c r="AO107" s="252">
        <f t="shared" si="88"/>
        <v>0</v>
      </c>
      <c r="AP107" s="252">
        <f t="shared" si="88"/>
        <v>0</v>
      </c>
      <c r="AQ107" s="252">
        <f t="shared" si="88"/>
        <v>0</v>
      </c>
      <c r="AR107" s="252">
        <f t="shared" si="88"/>
        <v>0</v>
      </c>
      <c r="AS107" s="252">
        <f t="shared" si="88"/>
        <v>0</v>
      </c>
      <c r="AT107" s="252">
        <f t="shared" si="88"/>
        <v>0</v>
      </c>
      <c r="AU107" s="252">
        <f t="shared" si="88"/>
        <v>0</v>
      </c>
      <c r="AV107" s="252">
        <f t="shared" si="88"/>
        <v>0</v>
      </c>
      <c r="AW107" s="252">
        <f t="shared" si="88"/>
        <v>0</v>
      </c>
      <c r="AX107" s="252">
        <f t="shared" si="88"/>
        <v>0</v>
      </c>
      <c r="AY107" s="252">
        <f t="shared" si="88"/>
        <v>0</v>
      </c>
      <c r="AZ107" s="252">
        <f t="shared" si="88"/>
        <v>0</v>
      </c>
      <c r="BA107" s="252">
        <f t="shared" si="88"/>
        <v>0</v>
      </c>
    </row>
    <row r="108" ht="15.75" customHeight="1">
      <c r="A108" s="838">
        <v>1997.0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22"/>
        <v>0</v>
      </c>
      <c r="X108" s="252">
        <f t="shared" ref="X108:BA108" si="89">IF(AND(X$40-$A108&gt;$V$27,SUM($W108:W108)&lt;&gt;$V108),$V108,0)</f>
        <v>0</v>
      </c>
      <c r="Y108" s="252">
        <f t="shared" si="89"/>
        <v>0</v>
      </c>
      <c r="Z108" s="252">
        <f t="shared" si="89"/>
        <v>0</v>
      </c>
      <c r="AA108" s="252">
        <f t="shared" si="89"/>
        <v>0</v>
      </c>
      <c r="AB108" s="252">
        <f t="shared" si="89"/>
        <v>0</v>
      </c>
      <c r="AC108" s="252">
        <f t="shared" si="89"/>
        <v>0</v>
      </c>
      <c r="AD108" s="252">
        <f t="shared" si="89"/>
        <v>0</v>
      </c>
      <c r="AE108" s="252">
        <f t="shared" si="89"/>
        <v>0</v>
      </c>
      <c r="AF108" s="252">
        <f t="shared" si="89"/>
        <v>0</v>
      </c>
      <c r="AG108" s="252">
        <f t="shared" si="89"/>
        <v>0</v>
      </c>
      <c r="AH108" s="252">
        <f t="shared" si="89"/>
        <v>0</v>
      </c>
      <c r="AI108" s="252">
        <f t="shared" si="89"/>
        <v>0</v>
      </c>
      <c r="AJ108" s="252">
        <f t="shared" si="89"/>
        <v>0</v>
      </c>
      <c r="AK108" s="252">
        <f t="shared" si="89"/>
        <v>0</v>
      </c>
      <c r="AL108" s="252">
        <f t="shared" si="89"/>
        <v>0</v>
      </c>
      <c r="AM108" s="252">
        <f t="shared" si="89"/>
        <v>0</v>
      </c>
      <c r="AN108" s="252">
        <f t="shared" si="89"/>
        <v>0</v>
      </c>
      <c r="AO108" s="252">
        <f t="shared" si="89"/>
        <v>0</v>
      </c>
      <c r="AP108" s="252">
        <f t="shared" si="89"/>
        <v>0</v>
      </c>
      <c r="AQ108" s="252">
        <f t="shared" si="89"/>
        <v>0</v>
      </c>
      <c r="AR108" s="252">
        <f t="shared" si="89"/>
        <v>0</v>
      </c>
      <c r="AS108" s="252">
        <f t="shared" si="89"/>
        <v>0</v>
      </c>
      <c r="AT108" s="252">
        <f t="shared" si="89"/>
        <v>0</v>
      </c>
      <c r="AU108" s="252">
        <f t="shared" si="89"/>
        <v>0</v>
      </c>
      <c r="AV108" s="252">
        <f t="shared" si="89"/>
        <v>0</v>
      </c>
      <c r="AW108" s="252">
        <f t="shared" si="89"/>
        <v>0</v>
      </c>
      <c r="AX108" s="252">
        <f t="shared" si="89"/>
        <v>0</v>
      </c>
      <c r="AY108" s="252">
        <f t="shared" si="89"/>
        <v>0</v>
      </c>
      <c r="AZ108" s="252">
        <f t="shared" si="89"/>
        <v>0</v>
      </c>
      <c r="BA108" s="252">
        <f t="shared" si="89"/>
        <v>0</v>
      </c>
    </row>
    <row r="109" ht="15.75" customHeight="1">
      <c r="A109" s="838">
        <v>1998.0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22"/>
        <v>0</v>
      </c>
      <c r="X109" s="252">
        <f t="shared" ref="X109:BA109" si="90">IF(AND(X$40-$A109&gt;$V$27,SUM($W109:W109)&lt;&gt;$V109),$V109,0)</f>
        <v>0</v>
      </c>
      <c r="Y109" s="252">
        <f t="shared" si="90"/>
        <v>0</v>
      </c>
      <c r="Z109" s="252">
        <f t="shared" si="90"/>
        <v>0</v>
      </c>
      <c r="AA109" s="252">
        <f t="shared" si="90"/>
        <v>0</v>
      </c>
      <c r="AB109" s="252">
        <f t="shared" si="90"/>
        <v>0</v>
      </c>
      <c r="AC109" s="252">
        <f t="shared" si="90"/>
        <v>0</v>
      </c>
      <c r="AD109" s="252">
        <f t="shared" si="90"/>
        <v>0</v>
      </c>
      <c r="AE109" s="252">
        <f t="shared" si="90"/>
        <v>0</v>
      </c>
      <c r="AF109" s="252">
        <f t="shared" si="90"/>
        <v>0</v>
      </c>
      <c r="AG109" s="252">
        <f t="shared" si="90"/>
        <v>0</v>
      </c>
      <c r="AH109" s="252">
        <f t="shared" si="90"/>
        <v>0</v>
      </c>
      <c r="AI109" s="252">
        <f t="shared" si="90"/>
        <v>0</v>
      </c>
      <c r="AJ109" s="252">
        <f t="shared" si="90"/>
        <v>0</v>
      </c>
      <c r="AK109" s="252">
        <f t="shared" si="90"/>
        <v>0</v>
      </c>
      <c r="AL109" s="252">
        <f t="shared" si="90"/>
        <v>0</v>
      </c>
      <c r="AM109" s="252">
        <f t="shared" si="90"/>
        <v>0</v>
      </c>
      <c r="AN109" s="252">
        <f t="shared" si="90"/>
        <v>0</v>
      </c>
      <c r="AO109" s="252">
        <f t="shared" si="90"/>
        <v>0</v>
      </c>
      <c r="AP109" s="252">
        <f t="shared" si="90"/>
        <v>0</v>
      </c>
      <c r="AQ109" s="252">
        <f t="shared" si="90"/>
        <v>0</v>
      </c>
      <c r="AR109" s="252">
        <f t="shared" si="90"/>
        <v>0</v>
      </c>
      <c r="AS109" s="252">
        <f t="shared" si="90"/>
        <v>0</v>
      </c>
      <c r="AT109" s="252">
        <f t="shared" si="90"/>
        <v>0</v>
      </c>
      <c r="AU109" s="252">
        <f t="shared" si="90"/>
        <v>0</v>
      </c>
      <c r="AV109" s="252">
        <f t="shared" si="90"/>
        <v>0</v>
      </c>
      <c r="AW109" s="252">
        <f t="shared" si="90"/>
        <v>0</v>
      </c>
      <c r="AX109" s="252">
        <f t="shared" si="90"/>
        <v>0</v>
      </c>
      <c r="AY109" s="252">
        <f t="shared" si="90"/>
        <v>0</v>
      </c>
      <c r="AZ109" s="252">
        <f t="shared" si="90"/>
        <v>0</v>
      </c>
      <c r="BA109" s="252">
        <f t="shared" si="90"/>
        <v>0</v>
      </c>
    </row>
    <row r="110" ht="15.75" customHeight="1">
      <c r="A110" s="838">
        <v>1999.0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22"/>
        <v>0</v>
      </c>
      <c r="X110" s="252">
        <f t="shared" ref="X110:BA110" si="91">IF(AND(X$40-$A110&gt;$V$27,SUM($W110:W110)&lt;&gt;$V110),$V110,0)</f>
        <v>0</v>
      </c>
      <c r="Y110" s="252">
        <f t="shared" si="91"/>
        <v>0</v>
      </c>
      <c r="Z110" s="252">
        <f t="shared" si="91"/>
        <v>0</v>
      </c>
      <c r="AA110" s="252">
        <f t="shared" si="91"/>
        <v>0</v>
      </c>
      <c r="AB110" s="252">
        <f t="shared" si="91"/>
        <v>0</v>
      </c>
      <c r="AC110" s="252">
        <f t="shared" si="91"/>
        <v>0</v>
      </c>
      <c r="AD110" s="252">
        <f t="shared" si="91"/>
        <v>0</v>
      </c>
      <c r="AE110" s="252">
        <f t="shared" si="91"/>
        <v>0</v>
      </c>
      <c r="AF110" s="252">
        <f t="shared" si="91"/>
        <v>0</v>
      </c>
      <c r="AG110" s="252">
        <f t="shared" si="91"/>
        <v>0</v>
      </c>
      <c r="AH110" s="252">
        <f t="shared" si="91"/>
        <v>0</v>
      </c>
      <c r="AI110" s="252">
        <f t="shared" si="91"/>
        <v>0</v>
      </c>
      <c r="AJ110" s="252">
        <f t="shared" si="91"/>
        <v>0</v>
      </c>
      <c r="AK110" s="252">
        <f t="shared" si="91"/>
        <v>0</v>
      </c>
      <c r="AL110" s="252">
        <f t="shared" si="91"/>
        <v>0</v>
      </c>
      <c r="AM110" s="252">
        <f t="shared" si="91"/>
        <v>0</v>
      </c>
      <c r="AN110" s="252">
        <f t="shared" si="91"/>
        <v>0</v>
      </c>
      <c r="AO110" s="252">
        <f t="shared" si="91"/>
        <v>0</v>
      </c>
      <c r="AP110" s="252">
        <f t="shared" si="91"/>
        <v>0</v>
      </c>
      <c r="AQ110" s="252">
        <f t="shared" si="91"/>
        <v>0</v>
      </c>
      <c r="AR110" s="252">
        <f t="shared" si="91"/>
        <v>0</v>
      </c>
      <c r="AS110" s="252">
        <f t="shared" si="91"/>
        <v>0</v>
      </c>
      <c r="AT110" s="252">
        <f t="shared" si="91"/>
        <v>0</v>
      </c>
      <c r="AU110" s="252">
        <f t="shared" si="91"/>
        <v>0</v>
      </c>
      <c r="AV110" s="252">
        <f t="shared" si="91"/>
        <v>0</v>
      </c>
      <c r="AW110" s="252">
        <f t="shared" si="91"/>
        <v>0</v>
      </c>
      <c r="AX110" s="252">
        <f t="shared" si="91"/>
        <v>0</v>
      </c>
      <c r="AY110" s="252">
        <f t="shared" si="91"/>
        <v>0</v>
      </c>
      <c r="AZ110" s="252">
        <f t="shared" si="91"/>
        <v>0</v>
      </c>
      <c r="BA110" s="252">
        <f t="shared" si="91"/>
        <v>0</v>
      </c>
    </row>
    <row r="111" ht="15.75" customHeight="1">
      <c r="A111" s="838">
        <v>2000.0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22"/>
        <v>0</v>
      </c>
      <c r="X111" s="252">
        <f t="shared" ref="X111:BA111" si="92">IF(AND(X$40-$A111&gt;$V$27,SUM($W111:W111)&lt;&gt;$V111),$V111,0)</f>
        <v>0</v>
      </c>
      <c r="Y111" s="252">
        <f t="shared" si="92"/>
        <v>0</v>
      </c>
      <c r="Z111" s="252">
        <f t="shared" si="92"/>
        <v>0</v>
      </c>
      <c r="AA111" s="252">
        <f t="shared" si="92"/>
        <v>0</v>
      </c>
      <c r="AB111" s="252">
        <f t="shared" si="92"/>
        <v>0</v>
      </c>
      <c r="AC111" s="252">
        <f t="shared" si="92"/>
        <v>0</v>
      </c>
      <c r="AD111" s="252">
        <f t="shared" si="92"/>
        <v>0</v>
      </c>
      <c r="AE111" s="252">
        <f t="shared" si="92"/>
        <v>0</v>
      </c>
      <c r="AF111" s="252">
        <f t="shared" si="92"/>
        <v>0</v>
      </c>
      <c r="AG111" s="252">
        <f t="shared" si="92"/>
        <v>0</v>
      </c>
      <c r="AH111" s="252">
        <f t="shared" si="92"/>
        <v>0</v>
      </c>
      <c r="AI111" s="252">
        <f t="shared" si="92"/>
        <v>0</v>
      </c>
      <c r="AJ111" s="252">
        <f t="shared" si="92"/>
        <v>0</v>
      </c>
      <c r="AK111" s="252">
        <f t="shared" si="92"/>
        <v>0</v>
      </c>
      <c r="AL111" s="252">
        <f t="shared" si="92"/>
        <v>0</v>
      </c>
      <c r="AM111" s="252">
        <f t="shared" si="92"/>
        <v>0</v>
      </c>
      <c r="AN111" s="252">
        <f t="shared" si="92"/>
        <v>0</v>
      </c>
      <c r="AO111" s="252">
        <f t="shared" si="92"/>
        <v>0</v>
      </c>
      <c r="AP111" s="252">
        <f t="shared" si="92"/>
        <v>0</v>
      </c>
      <c r="AQ111" s="252">
        <f t="shared" si="92"/>
        <v>0</v>
      </c>
      <c r="AR111" s="252">
        <f t="shared" si="92"/>
        <v>0</v>
      </c>
      <c r="AS111" s="252">
        <f t="shared" si="92"/>
        <v>0</v>
      </c>
      <c r="AT111" s="252">
        <f t="shared" si="92"/>
        <v>0</v>
      </c>
      <c r="AU111" s="252">
        <f t="shared" si="92"/>
        <v>0</v>
      </c>
      <c r="AV111" s="252">
        <f t="shared" si="92"/>
        <v>0</v>
      </c>
      <c r="AW111" s="252">
        <f t="shared" si="92"/>
        <v>0</v>
      </c>
      <c r="AX111" s="252">
        <f t="shared" si="92"/>
        <v>0</v>
      </c>
      <c r="AY111" s="252">
        <f t="shared" si="92"/>
        <v>0</v>
      </c>
      <c r="AZ111" s="252">
        <f t="shared" si="92"/>
        <v>0</v>
      </c>
      <c r="BA111" s="252">
        <f t="shared" si="92"/>
        <v>0</v>
      </c>
    </row>
    <row r="112" ht="15.75" customHeight="1">
      <c r="A112" s="838">
        <v>2001.0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22"/>
        <v>0</v>
      </c>
      <c r="X112" s="252">
        <f t="shared" ref="X112:BA112" si="93">IF(AND(X$40-$A112&gt;$V$27,SUM($W112:W112)&lt;&gt;$V112),$V112,0)</f>
        <v>0</v>
      </c>
      <c r="Y112" s="252">
        <f t="shared" si="93"/>
        <v>0</v>
      </c>
      <c r="Z112" s="252">
        <f t="shared" si="93"/>
        <v>0</v>
      </c>
      <c r="AA112" s="252">
        <f t="shared" si="93"/>
        <v>0</v>
      </c>
      <c r="AB112" s="252">
        <f t="shared" si="93"/>
        <v>0</v>
      </c>
      <c r="AC112" s="252">
        <f t="shared" si="93"/>
        <v>0</v>
      </c>
      <c r="AD112" s="252">
        <f t="shared" si="93"/>
        <v>0</v>
      </c>
      <c r="AE112" s="252">
        <f t="shared" si="93"/>
        <v>0</v>
      </c>
      <c r="AF112" s="252">
        <f t="shared" si="93"/>
        <v>0</v>
      </c>
      <c r="AG112" s="252">
        <f t="shared" si="93"/>
        <v>0</v>
      </c>
      <c r="AH112" s="252">
        <f t="shared" si="93"/>
        <v>0</v>
      </c>
      <c r="AI112" s="252">
        <f t="shared" si="93"/>
        <v>0</v>
      </c>
      <c r="AJ112" s="252">
        <f t="shared" si="93"/>
        <v>0</v>
      </c>
      <c r="AK112" s="252">
        <f t="shared" si="93"/>
        <v>0</v>
      </c>
      <c r="AL112" s="252">
        <f t="shared" si="93"/>
        <v>0</v>
      </c>
      <c r="AM112" s="252">
        <f t="shared" si="93"/>
        <v>0</v>
      </c>
      <c r="AN112" s="252">
        <f t="shared" si="93"/>
        <v>0</v>
      </c>
      <c r="AO112" s="252">
        <f t="shared" si="93"/>
        <v>0</v>
      </c>
      <c r="AP112" s="252">
        <f t="shared" si="93"/>
        <v>0</v>
      </c>
      <c r="AQ112" s="252">
        <f t="shared" si="93"/>
        <v>0</v>
      </c>
      <c r="AR112" s="252">
        <f t="shared" si="93"/>
        <v>0</v>
      </c>
      <c r="AS112" s="252">
        <f t="shared" si="93"/>
        <v>0</v>
      </c>
      <c r="AT112" s="252">
        <f t="shared" si="93"/>
        <v>0</v>
      </c>
      <c r="AU112" s="252">
        <f t="shared" si="93"/>
        <v>0</v>
      </c>
      <c r="AV112" s="252">
        <f t="shared" si="93"/>
        <v>0</v>
      </c>
      <c r="AW112" s="252">
        <f t="shared" si="93"/>
        <v>0</v>
      </c>
      <c r="AX112" s="252">
        <f t="shared" si="93"/>
        <v>0</v>
      </c>
      <c r="AY112" s="252">
        <f t="shared" si="93"/>
        <v>0</v>
      </c>
      <c r="AZ112" s="252">
        <f t="shared" si="93"/>
        <v>0</v>
      </c>
      <c r="BA112" s="252">
        <f t="shared" si="93"/>
        <v>0</v>
      </c>
    </row>
    <row r="113" ht="15.75" customHeight="1">
      <c r="A113" s="838">
        <v>2002.0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22"/>
        <v>0</v>
      </c>
      <c r="X113" s="252">
        <f t="shared" ref="X113:BA113" si="94">IF(AND(X$40-$A113&gt;$V$27,SUM($W113:W113)&lt;&gt;$V113),$V113,0)</f>
        <v>0</v>
      </c>
      <c r="Y113" s="252">
        <f t="shared" si="94"/>
        <v>0</v>
      </c>
      <c r="Z113" s="252">
        <f t="shared" si="94"/>
        <v>0</v>
      </c>
      <c r="AA113" s="252">
        <f t="shared" si="94"/>
        <v>0</v>
      </c>
      <c r="AB113" s="252">
        <f t="shared" si="94"/>
        <v>0</v>
      </c>
      <c r="AC113" s="252">
        <f t="shared" si="94"/>
        <v>0</v>
      </c>
      <c r="AD113" s="252">
        <f t="shared" si="94"/>
        <v>0</v>
      </c>
      <c r="AE113" s="252">
        <f t="shared" si="94"/>
        <v>0</v>
      </c>
      <c r="AF113" s="252">
        <f t="shared" si="94"/>
        <v>0</v>
      </c>
      <c r="AG113" s="252">
        <f t="shared" si="94"/>
        <v>0</v>
      </c>
      <c r="AH113" s="252">
        <f t="shared" si="94"/>
        <v>0</v>
      </c>
      <c r="AI113" s="252">
        <f t="shared" si="94"/>
        <v>0</v>
      </c>
      <c r="AJ113" s="252">
        <f t="shared" si="94"/>
        <v>0</v>
      </c>
      <c r="AK113" s="252">
        <f t="shared" si="94"/>
        <v>0</v>
      </c>
      <c r="AL113" s="252">
        <f t="shared" si="94"/>
        <v>0</v>
      </c>
      <c r="AM113" s="252">
        <f t="shared" si="94"/>
        <v>0</v>
      </c>
      <c r="AN113" s="252">
        <f t="shared" si="94"/>
        <v>0</v>
      </c>
      <c r="AO113" s="252">
        <f t="shared" si="94"/>
        <v>0</v>
      </c>
      <c r="AP113" s="252">
        <f t="shared" si="94"/>
        <v>0</v>
      </c>
      <c r="AQ113" s="252">
        <f t="shared" si="94"/>
        <v>0</v>
      </c>
      <c r="AR113" s="252">
        <f t="shared" si="94"/>
        <v>0</v>
      </c>
      <c r="AS113" s="252">
        <f t="shared" si="94"/>
        <v>0</v>
      </c>
      <c r="AT113" s="252">
        <f t="shared" si="94"/>
        <v>0</v>
      </c>
      <c r="AU113" s="252">
        <f t="shared" si="94"/>
        <v>0</v>
      </c>
      <c r="AV113" s="252">
        <f t="shared" si="94"/>
        <v>0</v>
      </c>
      <c r="AW113" s="252">
        <f t="shared" si="94"/>
        <v>0</v>
      </c>
      <c r="AX113" s="252">
        <f t="shared" si="94"/>
        <v>0</v>
      </c>
      <c r="AY113" s="252">
        <f t="shared" si="94"/>
        <v>0</v>
      </c>
      <c r="AZ113" s="252">
        <f t="shared" si="94"/>
        <v>0</v>
      </c>
      <c r="BA113" s="252">
        <f t="shared" si="94"/>
        <v>0</v>
      </c>
    </row>
    <row r="114" ht="15.75" customHeight="1">
      <c r="A114" s="838">
        <v>2003.0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22"/>
        <v>0</v>
      </c>
      <c r="X114" s="252">
        <f t="shared" ref="X114:BA114" si="95">IF(AND(X$40-$A114&gt;$V$27,SUM($W114:W114)&lt;&gt;$V114),$V114,0)</f>
        <v>0</v>
      </c>
      <c r="Y114" s="252">
        <f t="shared" si="95"/>
        <v>0</v>
      </c>
      <c r="Z114" s="252">
        <f t="shared" si="95"/>
        <v>0</v>
      </c>
      <c r="AA114" s="252">
        <f t="shared" si="95"/>
        <v>0</v>
      </c>
      <c r="AB114" s="252">
        <f t="shared" si="95"/>
        <v>0</v>
      </c>
      <c r="AC114" s="252">
        <f t="shared" si="95"/>
        <v>0</v>
      </c>
      <c r="AD114" s="252">
        <f t="shared" si="95"/>
        <v>0</v>
      </c>
      <c r="AE114" s="252">
        <f t="shared" si="95"/>
        <v>0</v>
      </c>
      <c r="AF114" s="252">
        <f t="shared" si="95"/>
        <v>0</v>
      </c>
      <c r="AG114" s="252">
        <f t="shared" si="95"/>
        <v>0</v>
      </c>
      <c r="AH114" s="252">
        <f t="shared" si="95"/>
        <v>0</v>
      </c>
      <c r="AI114" s="252">
        <f t="shared" si="95"/>
        <v>0</v>
      </c>
      <c r="AJ114" s="252">
        <f t="shared" si="95"/>
        <v>0</v>
      </c>
      <c r="AK114" s="252">
        <f t="shared" si="95"/>
        <v>0</v>
      </c>
      <c r="AL114" s="252">
        <f t="shared" si="95"/>
        <v>0</v>
      </c>
      <c r="AM114" s="252">
        <f t="shared" si="95"/>
        <v>0</v>
      </c>
      <c r="AN114" s="252">
        <f t="shared" si="95"/>
        <v>0</v>
      </c>
      <c r="AO114" s="252">
        <f t="shared" si="95"/>
        <v>0</v>
      </c>
      <c r="AP114" s="252">
        <f t="shared" si="95"/>
        <v>0</v>
      </c>
      <c r="AQ114" s="252">
        <f t="shared" si="95"/>
        <v>0</v>
      </c>
      <c r="AR114" s="252">
        <f t="shared" si="95"/>
        <v>0</v>
      </c>
      <c r="AS114" s="252">
        <f t="shared" si="95"/>
        <v>0</v>
      </c>
      <c r="AT114" s="252">
        <f t="shared" si="95"/>
        <v>0</v>
      </c>
      <c r="AU114" s="252">
        <f t="shared" si="95"/>
        <v>0</v>
      </c>
      <c r="AV114" s="252">
        <f t="shared" si="95"/>
        <v>0</v>
      </c>
      <c r="AW114" s="252">
        <f t="shared" si="95"/>
        <v>0</v>
      </c>
      <c r="AX114" s="252">
        <f t="shared" si="95"/>
        <v>0</v>
      </c>
      <c r="AY114" s="252">
        <f t="shared" si="95"/>
        <v>0</v>
      </c>
      <c r="AZ114" s="252">
        <f t="shared" si="95"/>
        <v>0</v>
      </c>
      <c r="BA114" s="252">
        <f t="shared" si="95"/>
        <v>0</v>
      </c>
    </row>
    <row r="115" ht="15.75" customHeight="1">
      <c r="A115" s="838">
        <v>2004.0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22"/>
        <v>0</v>
      </c>
      <c r="X115" s="252">
        <f t="shared" ref="X115:BA115" si="96">IF(AND(X$40-$A115&gt;$V$27,SUM($W115:W115)&lt;&gt;$V115),$V115,0)</f>
        <v>0</v>
      </c>
      <c r="Y115" s="252">
        <f t="shared" si="96"/>
        <v>0</v>
      </c>
      <c r="Z115" s="252">
        <f t="shared" si="96"/>
        <v>0</v>
      </c>
      <c r="AA115" s="252">
        <f t="shared" si="96"/>
        <v>0</v>
      </c>
      <c r="AB115" s="252">
        <f t="shared" si="96"/>
        <v>0</v>
      </c>
      <c r="AC115" s="252">
        <f t="shared" si="96"/>
        <v>0</v>
      </c>
      <c r="AD115" s="252">
        <f t="shared" si="96"/>
        <v>0</v>
      </c>
      <c r="AE115" s="252">
        <f t="shared" si="96"/>
        <v>0</v>
      </c>
      <c r="AF115" s="252">
        <f t="shared" si="96"/>
        <v>0</v>
      </c>
      <c r="AG115" s="252">
        <f t="shared" si="96"/>
        <v>0</v>
      </c>
      <c r="AH115" s="252">
        <f t="shared" si="96"/>
        <v>0</v>
      </c>
      <c r="AI115" s="252">
        <f t="shared" si="96"/>
        <v>0</v>
      </c>
      <c r="AJ115" s="252">
        <f t="shared" si="96"/>
        <v>0</v>
      </c>
      <c r="AK115" s="252">
        <f t="shared" si="96"/>
        <v>0</v>
      </c>
      <c r="AL115" s="252">
        <f t="shared" si="96"/>
        <v>0</v>
      </c>
      <c r="AM115" s="252">
        <f t="shared" si="96"/>
        <v>0</v>
      </c>
      <c r="AN115" s="252">
        <f t="shared" si="96"/>
        <v>0</v>
      </c>
      <c r="AO115" s="252">
        <f t="shared" si="96"/>
        <v>0</v>
      </c>
      <c r="AP115" s="252">
        <f t="shared" si="96"/>
        <v>0</v>
      </c>
      <c r="AQ115" s="252">
        <f t="shared" si="96"/>
        <v>0</v>
      </c>
      <c r="AR115" s="252">
        <f t="shared" si="96"/>
        <v>0</v>
      </c>
      <c r="AS115" s="252">
        <f t="shared" si="96"/>
        <v>0</v>
      </c>
      <c r="AT115" s="252">
        <f t="shared" si="96"/>
        <v>0</v>
      </c>
      <c r="AU115" s="252">
        <f t="shared" si="96"/>
        <v>0</v>
      </c>
      <c r="AV115" s="252">
        <f t="shared" si="96"/>
        <v>0</v>
      </c>
      <c r="AW115" s="252">
        <f t="shared" si="96"/>
        <v>0</v>
      </c>
      <c r="AX115" s="252">
        <f t="shared" si="96"/>
        <v>0</v>
      </c>
      <c r="AY115" s="252">
        <f t="shared" si="96"/>
        <v>0</v>
      </c>
      <c r="AZ115" s="252">
        <f t="shared" si="96"/>
        <v>0</v>
      </c>
      <c r="BA115" s="252">
        <f t="shared" si="96"/>
        <v>0</v>
      </c>
    </row>
    <row r="116" ht="15.75" customHeight="1">
      <c r="A116" s="838">
        <v>2005.0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22"/>
        <v>0</v>
      </c>
      <c r="X116" s="252">
        <f t="shared" ref="X116:BA116" si="97">IF(AND(X$40-$A116&gt;$V$27,SUM($W116:W116)&lt;&gt;$V116),$V116,0)</f>
        <v>0</v>
      </c>
      <c r="Y116" s="252">
        <f t="shared" si="97"/>
        <v>0</v>
      </c>
      <c r="Z116" s="252">
        <f t="shared" si="97"/>
        <v>0</v>
      </c>
      <c r="AA116" s="252">
        <f t="shared" si="97"/>
        <v>0</v>
      </c>
      <c r="AB116" s="252">
        <f t="shared" si="97"/>
        <v>0</v>
      </c>
      <c r="AC116" s="252">
        <f t="shared" si="97"/>
        <v>0</v>
      </c>
      <c r="AD116" s="252">
        <f t="shared" si="97"/>
        <v>0</v>
      </c>
      <c r="AE116" s="252">
        <f t="shared" si="97"/>
        <v>0</v>
      </c>
      <c r="AF116" s="252">
        <f t="shared" si="97"/>
        <v>0</v>
      </c>
      <c r="AG116" s="252">
        <f t="shared" si="97"/>
        <v>0</v>
      </c>
      <c r="AH116" s="252">
        <f t="shared" si="97"/>
        <v>0</v>
      </c>
      <c r="AI116" s="252">
        <f t="shared" si="97"/>
        <v>0</v>
      </c>
      <c r="AJ116" s="252">
        <f t="shared" si="97"/>
        <v>0</v>
      </c>
      <c r="AK116" s="252">
        <f t="shared" si="97"/>
        <v>0</v>
      </c>
      <c r="AL116" s="252">
        <f t="shared" si="97"/>
        <v>0</v>
      </c>
      <c r="AM116" s="252">
        <f t="shared" si="97"/>
        <v>0</v>
      </c>
      <c r="AN116" s="252">
        <f t="shared" si="97"/>
        <v>0</v>
      </c>
      <c r="AO116" s="252">
        <f t="shared" si="97"/>
        <v>0</v>
      </c>
      <c r="AP116" s="252">
        <f t="shared" si="97"/>
        <v>0</v>
      </c>
      <c r="AQ116" s="252">
        <f t="shared" si="97"/>
        <v>0</v>
      </c>
      <c r="AR116" s="252">
        <f t="shared" si="97"/>
        <v>0</v>
      </c>
      <c r="AS116" s="252">
        <f t="shared" si="97"/>
        <v>0</v>
      </c>
      <c r="AT116" s="252">
        <f t="shared" si="97"/>
        <v>0</v>
      </c>
      <c r="AU116" s="252">
        <f t="shared" si="97"/>
        <v>0</v>
      </c>
      <c r="AV116" s="252">
        <f t="shared" si="97"/>
        <v>0</v>
      </c>
      <c r="AW116" s="252">
        <f t="shared" si="97"/>
        <v>0</v>
      </c>
      <c r="AX116" s="252">
        <f t="shared" si="97"/>
        <v>0</v>
      </c>
      <c r="AY116" s="252">
        <f t="shared" si="97"/>
        <v>0</v>
      </c>
      <c r="AZ116" s="252">
        <f t="shared" si="97"/>
        <v>0</v>
      </c>
      <c r="BA116" s="252">
        <f t="shared" si="97"/>
        <v>0</v>
      </c>
    </row>
    <row r="117" ht="15.75" customHeight="1">
      <c r="A117" s="838">
        <v>2006.0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22"/>
        <v>0</v>
      </c>
      <c r="X117" s="252">
        <f t="shared" ref="X117:BA117" si="98">IF(AND(X$40-$A117&gt;$V$27,SUM($W117:W117)&lt;&gt;$V117),$V117,0)</f>
        <v>0</v>
      </c>
      <c r="Y117" s="252">
        <f t="shared" si="98"/>
        <v>0</v>
      </c>
      <c r="Z117" s="252">
        <f t="shared" si="98"/>
        <v>0</v>
      </c>
      <c r="AA117" s="252">
        <f t="shared" si="98"/>
        <v>0</v>
      </c>
      <c r="AB117" s="252">
        <f t="shared" si="98"/>
        <v>0</v>
      </c>
      <c r="AC117" s="252">
        <f t="shared" si="98"/>
        <v>0</v>
      </c>
      <c r="AD117" s="252">
        <f t="shared" si="98"/>
        <v>0</v>
      </c>
      <c r="AE117" s="252">
        <f t="shared" si="98"/>
        <v>0</v>
      </c>
      <c r="AF117" s="252">
        <f t="shared" si="98"/>
        <v>0</v>
      </c>
      <c r="AG117" s="252">
        <f t="shared" si="98"/>
        <v>0</v>
      </c>
      <c r="AH117" s="252">
        <f t="shared" si="98"/>
        <v>0</v>
      </c>
      <c r="AI117" s="252">
        <f t="shared" si="98"/>
        <v>0</v>
      </c>
      <c r="AJ117" s="252">
        <f t="shared" si="98"/>
        <v>0</v>
      </c>
      <c r="AK117" s="252">
        <f t="shared" si="98"/>
        <v>0</v>
      </c>
      <c r="AL117" s="252">
        <f t="shared" si="98"/>
        <v>0</v>
      </c>
      <c r="AM117" s="252">
        <f t="shared" si="98"/>
        <v>0</v>
      </c>
      <c r="AN117" s="252">
        <f t="shared" si="98"/>
        <v>0</v>
      </c>
      <c r="AO117" s="252">
        <f t="shared" si="98"/>
        <v>0</v>
      </c>
      <c r="AP117" s="252">
        <f t="shared" si="98"/>
        <v>0</v>
      </c>
      <c r="AQ117" s="252">
        <f t="shared" si="98"/>
        <v>0</v>
      </c>
      <c r="AR117" s="252">
        <f t="shared" si="98"/>
        <v>0</v>
      </c>
      <c r="AS117" s="252">
        <f t="shared" si="98"/>
        <v>0</v>
      </c>
      <c r="AT117" s="252">
        <f t="shared" si="98"/>
        <v>0</v>
      </c>
      <c r="AU117" s="252">
        <f t="shared" si="98"/>
        <v>0</v>
      </c>
      <c r="AV117" s="252">
        <f t="shared" si="98"/>
        <v>0</v>
      </c>
      <c r="AW117" s="252">
        <f t="shared" si="98"/>
        <v>0</v>
      </c>
      <c r="AX117" s="252">
        <f t="shared" si="98"/>
        <v>0</v>
      </c>
      <c r="AY117" s="252">
        <f t="shared" si="98"/>
        <v>0</v>
      </c>
      <c r="AZ117" s="252">
        <f t="shared" si="98"/>
        <v>0</v>
      </c>
      <c r="BA117" s="252">
        <f t="shared" si="98"/>
        <v>0</v>
      </c>
    </row>
    <row r="118" ht="15.75" customHeight="1">
      <c r="A118" s="838">
        <v>2007.0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22"/>
        <v>0</v>
      </c>
      <c r="X118" s="252">
        <f t="shared" ref="X118:BA118" si="99">IF(AND(X$40-$A118&gt;$V$27,SUM($W118:W118)&lt;&gt;$V118),$V118,0)</f>
        <v>0</v>
      </c>
      <c r="Y118" s="252">
        <f t="shared" si="99"/>
        <v>0</v>
      </c>
      <c r="Z118" s="252">
        <f t="shared" si="99"/>
        <v>0</v>
      </c>
      <c r="AA118" s="252">
        <f t="shared" si="99"/>
        <v>0</v>
      </c>
      <c r="AB118" s="252">
        <f t="shared" si="99"/>
        <v>0</v>
      </c>
      <c r="AC118" s="252">
        <f t="shared" si="99"/>
        <v>0</v>
      </c>
      <c r="AD118" s="252">
        <f t="shared" si="99"/>
        <v>0</v>
      </c>
      <c r="AE118" s="252">
        <f t="shared" si="99"/>
        <v>0</v>
      </c>
      <c r="AF118" s="252">
        <f t="shared" si="99"/>
        <v>0</v>
      </c>
      <c r="AG118" s="252">
        <f t="shared" si="99"/>
        <v>0</v>
      </c>
      <c r="AH118" s="252">
        <f t="shared" si="99"/>
        <v>0</v>
      </c>
      <c r="AI118" s="252">
        <f t="shared" si="99"/>
        <v>0</v>
      </c>
      <c r="AJ118" s="252">
        <f t="shared" si="99"/>
        <v>0</v>
      </c>
      <c r="AK118" s="252">
        <f t="shared" si="99"/>
        <v>0</v>
      </c>
      <c r="AL118" s="252">
        <f t="shared" si="99"/>
        <v>0</v>
      </c>
      <c r="AM118" s="252">
        <f t="shared" si="99"/>
        <v>0</v>
      </c>
      <c r="AN118" s="252">
        <f t="shared" si="99"/>
        <v>0</v>
      </c>
      <c r="AO118" s="252">
        <f t="shared" si="99"/>
        <v>0</v>
      </c>
      <c r="AP118" s="252">
        <f t="shared" si="99"/>
        <v>0</v>
      </c>
      <c r="AQ118" s="252">
        <f t="shared" si="99"/>
        <v>0</v>
      </c>
      <c r="AR118" s="252">
        <f t="shared" si="99"/>
        <v>0</v>
      </c>
      <c r="AS118" s="252">
        <f t="shared" si="99"/>
        <v>0</v>
      </c>
      <c r="AT118" s="252">
        <f t="shared" si="99"/>
        <v>0</v>
      </c>
      <c r="AU118" s="252">
        <f t="shared" si="99"/>
        <v>0</v>
      </c>
      <c r="AV118" s="252">
        <f t="shared" si="99"/>
        <v>0</v>
      </c>
      <c r="AW118" s="252">
        <f t="shared" si="99"/>
        <v>0</v>
      </c>
      <c r="AX118" s="252">
        <f t="shared" si="99"/>
        <v>0</v>
      </c>
      <c r="AY118" s="252">
        <f t="shared" si="99"/>
        <v>0</v>
      </c>
      <c r="AZ118" s="252">
        <f t="shared" si="99"/>
        <v>0</v>
      </c>
      <c r="BA118" s="252">
        <f t="shared" si="99"/>
        <v>0</v>
      </c>
    </row>
    <row r="119" ht="15.75" customHeight="1">
      <c r="A119" s="838">
        <v>2008.0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22"/>
        <v>0</v>
      </c>
      <c r="X119" s="252">
        <f t="shared" ref="X119:BA119" si="100">IF(AND(X$40-$A119&gt;$V$27,SUM($W119:W119)&lt;&gt;$V119),$V119,0)</f>
        <v>0</v>
      </c>
      <c r="Y119" s="252">
        <f t="shared" si="100"/>
        <v>0</v>
      </c>
      <c r="Z119" s="252">
        <f t="shared" si="100"/>
        <v>0</v>
      </c>
      <c r="AA119" s="252">
        <f t="shared" si="100"/>
        <v>0</v>
      </c>
      <c r="AB119" s="252">
        <f t="shared" si="100"/>
        <v>0</v>
      </c>
      <c r="AC119" s="252">
        <f t="shared" si="100"/>
        <v>0</v>
      </c>
      <c r="AD119" s="252">
        <f t="shared" si="100"/>
        <v>0</v>
      </c>
      <c r="AE119" s="252">
        <f t="shared" si="100"/>
        <v>0</v>
      </c>
      <c r="AF119" s="252">
        <f t="shared" si="100"/>
        <v>0</v>
      </c>
      <c r="AG119" s="252">
        <f t="shared" si="100"/>
        <v>0</v>
      </c>
      <c r="AH119" s="252">
        <f t="shared" si="100"/>
        <v>0</v>
      </c>
      <c r="AI119" s="252">
        <f t="shared" si="100"/>
        <v>0</v>
      </c>
      <c r="AJ119" s="252">
        <f t="shared" si="100"/>
        <v>0</v>
      </c>
      <c r="AK119" s="252">
        <f t="shared" si="100"/>
        <v>0</v>
      </c>
      <c r="AL119" s="252">
        <f t="shared" si="100"/>
        <v>0</v>
      </c>
      <c r="AM119" s="252">
        <f t="shared" si="100"/>
        <v>0</v>
      </c>
      <c r="AN119" s="252">
        <f t="shared" si="100"/>
        <v>0</v>
      </c>
      <c r="AO119" s="252">
        <f t="shared" si="100"/>
        <v>0</v>
      </c>
      <c r="AP119" s="252">
        <f t="shared" si="100"/>
        <v>0</v>
      </c>
      <c r="AQ119" s="252">
        <f t="shared" si="100"/>
        <v>0</v>
      </c>
      <c r="AR119" s="252">
        <f t="shared" si="100"/>
        <v>0</v>
      </c>
      <c r="AS119" s="252">
        <f t="shared" si="100"/>
        <v>0</v>
      </c>
      <c r="AT119" s="252">
        <f t="shared" si="100"/>
        <v>0</v>
      </c>
      <c r="AU119" s="252">
        <f t="shared" si="100"/>
        <v>0</v>
      </c>
      <c r="AV119" s="252">
        <f t="shared" si="100"/>
        <v>0</v>
      </c>
      <c r="AW119" s="252">
        <f t="shared" si="100"/>
        <v>0</v>
      </c>
      <c r="AX119" s="252">
        <f t="shared" si="100"/>
        <v>0</v>
      </c>
      <c r="AY119" s="252">
        <f t="shared" si="100"/>
        <v>0</v>
      </c>
      <c r="AZ119" s="252">
        <f t="shared" si="100"/>
        <v>0</v>
      </c>
      <c r="BA119" s="252">
        <f t="shared" si="100"/>
        <v>0</v>
      </c>
    </row>
    <row r="120" ht="15.75" customHeight="1">
      <c r="A120" s="838">
        <v>2009.0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22"/>
        <v>0</v>
      </c>
      <c r="X120" s="252">
        <f t="shared" ref="X120:BA120" si="101">IF(AND(X$40-$A120&gt;$V$27,SUM($W120:W120)&lt;&gt;$V120),$V120,0)</f>
        <v>0</v>
      </c>
      <c r="Y120" s="252">
        <f t="shared" si="101"/>
        <v>0</v>
      </c>
      <c r="Z120" s="252">
        <f t="shared" si="101"/>
        <v>0</v>
      </c>
      <c r="AA120" s="252">
        <f t="shared" si="101"/>
        <v>0</v>
      </c>
      <c r="AB120" s="252">
        <f t="shared" si="101"/>
        <v>0</v>
      </c>
      <c r="AC120" s="252">
        <f t="shared" si="101"/>
        <v>0</v>
      </c>
      <c r="AD120" s="252">
        <f t="shared" si="101"/>
        <v>0</v>
      </c>
      <c r="AE120" s="252">
        <f t="shared" si="101"/>
        <v>0</v>
      </c>
      <c r="AF120" s="252">
        <f t="shared" si="101"/>
        <v>0</v>
      </c>
      <c r="AG120" s="252">
        <f t="shared" si="101"/>
        <v>0</v>
      </c>
      <c r="AH120" s="252">
        <f t="shared" si="101"/>
        <v>0</v>
      </c>
      <c r="AI120" s="252">
        <f t="shared" si="101"/>
        <v>0</v>
      </c>
      <c r="AJ120" s="252">
        <f t="shared" si="101"/>
        <v>0</v>
      </c>
      <c r="AK120" s="252">
        <f t="shared" si="101"/>
        <v>0</v>
      </c>
      <c r="AL120" s="252">
        <f t="shared" si="101"/>
        <v>0</v>
      </c>
      <c r="AM120" s="252">
        <f t="shared" si="101"/>
        <v>0</v>
      </c>
      <c r="AN120" s="252">
        <f t="shared" si="101"/>
        <v>0</v>
      </c>
      <c r="AO120" s="252">
        <f t="shared" si="101"/>
        <v>0</v>
      </c>
      <c r="AP120" s="252">
        <f t="shared" si="101"/>
        <v>0</v>
      </c>
      <c r="AQ120" s="252">
        <f t="shared" si="101"/>
        <v>0</v>
      </c>
      <c r="AR120" s="252">
        <f t="shared" si="101"/>
        <v>0</v>
      </c>
      <c r="AS120" s="252">
        <f t="shared" si="101"/>
        <v>0</v>
      </c>
      <c r="AT120" s="252">
        <f t="shared" si="101"/>
        <v>0</v>
      </c>
      <c r="AU120" s="252">
        <f t="shared" si="101"/>
        <v>0</v>
      </c>
      <c r="AV120" s="252">
        <f t="shared" si="101"/>
        <v>0</v>
      </c>
      <c r="AW120" s="252">
        <f t="shared" si="101"/>
        <v>0</v>
      </c>
      <c r="AX120" s="252">
        <f t="shared" si="101"/>
        <v>0</v>
      </c>
      <c r="AY120" s="252">
        <f t="shared" si="101"/>
        <v>0</v>
      </c>
      <c r="AZ120" s="252">
        <f t="shared" si="101"/>
        <v>0</v>
      </c>
      <c r="BA120" s="252">
        <f t="shared" si="101"/>
        <v>0</v>
      </c>
    </row>
    <row r="121" ht="15.75" customHeight="1">
      <c r="A121" s="838">
        <v>2010.0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22"/>
        <v>0</v>
      </c>
      <c r="X121" s="252">
        <f t="shared" ref="X121:BA121" si="102">IF(AND(X$40-$A121&gt;$V$27,SUM($W121:W121)&lt;&gt;$V121),$V121,0)</f>
        <v>0</v>
      </c>
      <c r="Y121" s="252">
        <f t="shared" si="102"/>
        <v>0</v>
      </c>
      <c r="Z121" s="252">
        <f t="shared" si="102"/>
        <v>0</v>
      </c>
      <c r="AA121" s="252">
        <f t="shared" si="102"/>
        <v>0</v>
      </c>
      <c r="AB121" s="252">
        <f t="shared" si="102"/>
        <v>0</v>
      </c>
      <c r="AC121" s="252">
        <f t="shared" si="102"/>
        <v>0</v>
      </c>
      <c r="AD121" s="252">
        <f t="shared" si="102"/>
        <v>0</v>
      </c>
      <c r="AE121" s="252">
        <f t="shared" si="102"/>
        <v>0</v>
      </c>
      <c r="AF121" s="252">
        <f t="shared" si="102"/>
        <v>0</v>
      </c>
      <c r="AG121" s="252">
        <f t="shared" si="102"/>
        <v>0</v>
      </c>
      <c r="AH121" s="252">
        <f t="shared" si="102"/>
        <v>0</v>
      </c>
      <c r="AI121" s="252">
        <f t="shared" si="102"/>
        <v>0</v>
      </c>
      <c r="AJ121" s="252">
        <f t="shared" si="102"/>
        <v>0</v>
      </c>
      <c r="AK121" s="252">
        <f t="shared" si="102"/>
        <v>0</v>
      </c>
      <c r="AL121" s="252">
        <f t="shared" si="102"/>
        <v>0</v>
      </c>
      <c r="AM121" s="252">
        <f t="shared" si="102"/>
        <v>0</v>
      </c>
      <c r="AN121" s="252">
        <f t="shared" si="102"/>
        <v>0</v>
      </c>
      <c r="AO121" s="252">
        <f t="shared" si="102"/>
        <v>0</v>
      </c>
      <c r="AP121" s="252">
        <f t="shared" si="102"/>
        <v>0</v>
      </c>
      <c r="AQ121" s="252">
        <f t="shared" si="102"/>
        <v>0</v>
      </c>
      <c r="AR121" s="252">
        <f t="shared" si="102"/>
        <v>0</v>
      </c>
      <c r="AS121" s="252">
        <f t="shared" si="102"/>
        <v>0</v>
      </c>
      <c r="AT121" s="252">
        <f t="shared" si="102"/>
        <v>0</v>
      </c>
      <c r="AU121" s="252">
        <f t="shared" si="102"/>
        <v>0</v>
      </c>
      <c r="AV121" s="252">
        <f t="shared" si="102"/>
        <v>0</v>
      </c>
      <c r="AW121" s="252">
        <f t="shared" si="102"/>
        <v>0</v>
      </c>
      <c r="AX121" s="252">
        <f t="shared" si="102"/>
        <v>0</v>
      </c>
      <c r="AY121" s="252">
        <f t="shared" si="102"/>
        <v>0</v>
      </c>
      <c r="AZ121" s="252">
        <f t="shared" si="102"/>
        <v>0</v>
      </c>
      <c r="BA121" s="252">
        <f t="shared" si="102"/>
        <v>0</v>
      </c>
    </row>
    <row r="122" ht="15.75" customHeight="1">
      <c r="A122" s="838">
        <v>2011.0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22"/>
        <v>0</v>
      </c>
      <c r="X122" s="252">
        <f t="shared" ref="X122:BA122" si="103">IF(AND(X$40-$A122&gt;$V$27,SUM($W122:W122)&lt;&gt;$V122),$V122,0)</f>
        <v>0</v>
      </c>
      <c r="Y122" s="252">
        <f t="shared" si="103"/>
        <v>0</v>
      </c>
      <c r="Z122" s="252">
        <f t="shared" si="103"/>
        <v>0</v>
      </c>
      <c r="AA122" s="252">
        <f t="shared" si="103"/>
        <v>0</v>
      </c>
      <c r="AB122" s="252">
        <f t="shared" si="103"/>
        <v>0</v>
      </c>
      <c r="AC122" s="252">
        <f t="shared" si="103"/>
        <v>0</v>
      </c>
      <c r="AD122" s="252">
        <f t="shared" si="103"/>
        <v>0</v>
      </c>
      <c r="AE122" s="252">
        <f t="shared" si="103"/>
        <v>0</v>
      </c>
      <c r="AF122" s="252">
        <f t="shared" si="103"/>
        <v>0</v>
      </c>
      <c r="AG122" s="252">
        <f t="shared" si="103"/>
        <v>0</v>
      </c>
      <c r="AH122" s="252">
        <f t="shared" si="103"/>
        <v>0</v>
      </c>
      <c r="AI122" s="252">
        <f t="shared" si="103"/>
        <v>0</v>
      </c>
      <c r="AJ122" s="252">
        <f t="shared" si="103"/>
        <v>0</v>
      </c>
      <c r="AK122" s="252">
        <f t="shared" si="103"/>
        <v>0</v>
      </c>
      <c r="AL122" s="252">
        <f t="shared" si="103"/>
        <v>0</v>
      </c>
      <c r="AM122" s="252">
        <f t="shared" si="103"/>
        <v>0</v>
      </c>
      <c r="AN122" s="252">
        <f t="shared" si="103"/>
        <v>0</v>
      </c>
      <c r="AO122" s="252">
        <f t="shared" si="103"/>
        <v>0</v>
      </c>
      <c r="AP122" s="252">
        <f t="shared" si="103"/>
        <v>0</v>
      </c>
      <c r="AQ122" s="252">
        <f t="shared" si="103"/>
        <v>0</v>
      </c>
      <c r="AR122" s="252">
        <f t="shared" si="103"/>
        <v>0</v>
      </c>
      <c r="AS122" s="252">
        <f t="shared" si="103"/>
        <v>0</v>
      </c>
      <c r="AT122" s="252">
        <f t="shared" si="103"/>
        <v>0</v>
      </c>
      <c r="AU122" s="252">
        <f t="shared" si="103"/>
        <v>0</v>
      </c>
      <c r="AV122" s="252">
        <f t="shared" si="103"/>
        <v>0</v>
      </c>
      <c r="AW122" s="252">
        <f t="shared" si="103"/>
        <v>0</v>
      </c>
      <c r="AX122" s="252">
        <f t="shared" si="103"/>
        <v>0</v>
      </c>
      <c r="AY122" s="252">
        <f t="shared" si="103"/>
        <v>0</v>
      </c>
      <c r="AZ122" s="252">
        <f t="shared" si="103"/>
        <v>0</v>
      </c>
      <c r="BA122" s="252">
        <f t="shared" si="103"/>
        <v>0</v>
      </c>
    </row>
    <row r="123" ht="15.75" customHeight="1">
      <c r="A123" s="838">
        <v>2012.0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22"/>
        <v>0</v>
      </c>
      <c r="X123" s="252">
        <f t="shared" ref="X123:BA123" si="104">IF(AND(X$40-$A123&gt;$V$27,SUM($W123:W123)&lt;&gt;$V123),$V123,0)</f>
        <v>0</v>
      </c>
      <c r="Y123" s="252">
        <f t="shared" si="104"/>
        <v>0</v>
      </c>
      <c r="Z123" s="252">
        <f t="shared" si="104"/>
        <v>0</v>
      </c>
      <c r="AA123" s="252">
        <f t="shared" si="104"/>
        <v>0</v>
      </c>
      <c r="AB123" s="252">
        <f t="shared" si="104"/>
        <v>0</v>
      </c>
      <c r="AC123" s="252">
        <f t="shared" si="104"/>
        <v>0</v>
      </c>
      <c r="AD123" s="252">
        <f t="shared" si="104"/>
        <v>0</v>
      </c>
      <c r="AE123" s="252">
        <f t="shared" si="104"/>
        <v>0</v>
      </c>
      <c r="AF123" s="252">
        <f t="shared" si="104"/>
        <v>0</v>
      </c>
      <c r="AG123" s="252">
        <f t="shared" si="104"/>
        <v>0</v>
      </c>
      <c r="AH123" s="252">
        <f t="shared" si="104"/>
        <v>0</v>
      </c>
      <c r="AI123" s="252">
        <f t="shared" si="104"/>
        <v>0</v>
      </c>
      <c r="AJ123" s="252">
        <f t="shared" si="104"/>
        <v>0</v>
      </c>
      <c r="AK123" s="252">
        <f t="shared" si="104"/>
        <v>0</v>
      </c>
      <c r="AL123" s="252">
        <f t="shared" si="104"/>
        <v>0</v>
      </c>
      <c r="AM123" s="252">
        <f t="shared" si="104"/>
        <v>0</v>
      </c>
      <c r="AN123" s="252">
        <f t="shared" si="104"/>
        <v>0</v>
      </c>
      <c r="AO123" s="252">
        <f t="shared" si="104"/>
        <v>0</v>
      </c>
      <c r="AP123" s="252">
        <f t="shared" si="104"/>
        <v>0</v>
      </c>
      <c r="AQ123" s="252">
        <f t="shared" si="104"/>
        <v>0</v>
      </c>
      <c r="AR123" s="252">
        <f t="shared" si="104"/>
        <v>0</v>
      </c>
      <c r="AS123" s="252">
        <f t="shared" si="104"/>
        <v>0</v>
      </c>
      <c r="AT123" s="252">
        <f t="shared" si="104"/>
        <v>0</v>
      </c>
      <c r="AU123" s="252">
        <f t="shared" si="104"/>
        <v>0</v>
      </c>
      <c r="AV123" s="252">
        <f t="shared" si="104"/>
        <v>0</v>
      </c>
      <c r="AW123" s="252">
        <f t="shared" si="104"/>
        <v>0</v>
      </c>
      <c r="AX123" s="252">
        <f t="shared" si="104"/>
        <v>0</v>
      </c>
      <c r="AY123" s="252">
        <f t="shared" si="104"/>
        <v>0</v>
      </c>
      <c r="AZ123" s="252">
        <f t="shared" si="104"/>
        <v>0</v>
      </c>
      <c r="BA123" s="252">
        <f t="shared" si="104"/>
        <v>0</v>
      </c>
    </row>
    <row r="124" ht="15.75" customHeight="1">
      <c r="A124" s="838">
        <v>2013.0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22"/>
        <v>0</v>
      </c>
      <c r="X124" s="252">
        <f t="shared" ref="X124:BA124" si="105">IF(AND(X$40-$A124&gt;$V$27,SUM($W124:W124)&lt;&gt;$V124),$V124,0)</f>
        <v>0</v>
      </c>
      <c r="Y124" s="252">
        <f t="shared" si="105"/>
        <v>0</v>
      </c>
      <c r="Z124" s="252">
        <f t="shared" si="105"/>
        <v>0</v>
      </c>
      <c r="AA124" s="252">
        <f t="shared" si="105"/>
        <v>0</v>
      </c>
      <c r="AB124" s="252">
        <f t="shared" si="105"/>
        <v>0</v>
      </c>
      <c r="AC124" s="252">
        <f t="shared" si="105"/>
        <v>0</v>
      </c>
      <c r="AD124" s="252">
        <f t="shared" si="105"/>
        <v>0</v>
      </c>
      <c r="AE124" s="252">
        <f t="shared" si="105"/>
        <v>0</v>
      </c>
      <c r="AF124" s="252">
        <f t="shared" si="105"/>
        <v>0</v>
      </c>
      <c r="AG124" s="252">
        <f t="shared" si="105"/>
        <v>0</v>
      </c>
      <c r="AH124" s="252">
        <f t="shared" si="105"/>
        <v>0</v>
      </c>
      <c r="AI124" s="252">
        <f t="shared" si="105"/>
        <v>0</v>
      </c>
      <c r="AJ124" s="252">
        <f t="shared" si="105"/>
        <v>0</v>
      </c>
      <c r="AK124" s="252">
        <f t="shared" si="105"/>
        <v>0</v>
      </c>
      <c r="AL124" s="252">
        <f t="shared" si="105"/>
        <v>0</v>
      </c>
      <c r="AM124" s="252">
        <f t="shared" si="105"/>
        <v>0</v>
      </c>
      <c r="AN124" s="252">
        <f t="shared" si="105"/>
        <v>0</v>
      </c>
      <c r="AO124" s="252">
        <f t="shared" si="105"/>
        <v>0</v>
      </c>
      <c r="AP124" s="252">
        <f t="shared" si="105"/>
        <v>0</v>
      </c>
      <c r="AQ124" s="252">
        <f t="shared" si="105"/>
        <v>0</v>
      </c>
      <c r="AR124" s="252">
        <f t="shared" si="105"/>
        <v>0</v>
      </c>
      <c r="AS124" s="252">
        <f t="shared" si="105"/>
        <v>0</v>
      </c>
      <c r="AT124" s="252">
        <f t="shared" si="105"/>
        <v>0</v>
      </c>
      <c r="AU124" s="252">
        <f t="shared" si="105"/>
        <v>0</v>
      </c>
      <c r="AV124" s="252">
        <f t="shared" si="105"/>
        <v>0</v>
      </c>
      <c r="AW124" s="252">
        <f t="shared" si="105"/>
        <v>0</v>
      </c>
      <c r="AX124" s="252">
        <f t="shared" si="105"/>
        <v>0</v>
      </c>
      <c r="AY124" s="252">
        <f t="shared" si="105"/>
        <v>0</v>
      </c>
      <c r="AZ124" s="252">
        <f t="shared" si="105"/>
        <v>0</v>
      </c>
      <c r="BA124" s="252">
        <f t="shared" si="105"/>
        <v>0</v>
      </c>
    </row>
    <row r="125" ht="15.75" customHeight="1">
      <c r="A125" s="838">
        <v>2014.0</v>
      </c>
      <c r="B125" s="32"/>
      <c r="C125" s="32"/>
      <c r="D125" s="32"/>
      <c r="E125" s="32"/>
      <c r="F125" s="32"/>
      <c r="G125" s="32"/>
      <c r="H125" s="32"/>
      <c r="I125" s="32"/>
      <c r="J125" s="32"/>
      <c r="K125" s="32"/>
      <c r="L125" s="32"/>
      <c r="M125" s="32"/>
      <c r="N125" s="32"/>
      <c r="O125" s="32"/>
      <c r="P125" s="32"/>
      <c r="Q125" s="32"/>
      <c r="R125" s="32"/>
      <c r="S125" s="32"/>
      <c r="T125" s="32"/>
      <c r="U125" s="32"/>
      <c r="V125" s="741">
        <v>0.0</v>
      </c>
      <c r="W125" s="252">
        <f t="shared" si="22"/>
        <v>0</v>
      </c>
      <c r="X125" s="252">
        <f t="shared" ref="X125:BA125" si="106">IF(AND(X$40-$A125&gt;$V$27,SUM($W125:W125)&lt;&gt;$V125),$V125,0)</f>
        <v>0</v>
      </c>
      <c r="Y125" s="252">
        <f t="shared" si="106"/>
        <v>0</v>
      </c>
      <c r="Z125" s="252">
        <f t="shared" si="106"/>
        <v>0</v>
      </c>
      <c r="AA125" s="252">
        <f t="shared" si="106"/>
        <v>0</v>
      </c>
      <c r="AB125" s="252">
        <f t="shared" si="106"/>
        <v>0</v>
      </c>
      <c r="AC125" s="252">
        <f t="shared" si="106"/>
        <v>0</v>
      </c>
      <c r="AD125" s="252">
        <f t="shared" si="106"/>
        <v>0</v>
      </c>
      <c r="AE125" s="252">
        <f t="shared" si="106"/>
        <v>0</v>
      </c>
      <c r="AF125" s="252">
        <f t="shared" si="106"/>
        <v>0</v>
      </c>
      <c r="AG125" s="252">
        <f t="shared" si="106"/>
        <v>0</v>
      </c>
      <c r="AH125" s="252">
        <f t="shared" si="106"/>
        <v>0</v>
      </c>
      <c r="AI125" s="252">
        <f t="shared" si="106"/>
        <v>0</v>
      </c>
      <c r="AJ125" s="252">
        <f t="shared" si="106"/>
        <v>0</v>
      </c>
      <c r="AK125" s="252">
        <f t="shared" si="106"/>
        <v>0</v>
      </c>
      <c r="AL125" s="252">
        <f t="shared" si="106"/>
        <v>0</v>
      </c>
      <c r="AM125" s="252">
        <f t="shared" si="106"/>
        <v>0</v>
      </c>
      <c r="AN125" s="252">
        <f t="shared" si="106"/>
        <v>0</v>
      </c>
      <c r="AO125" s="252">
        <f t="shared" si="106"/>
        <v>0</v>
      </c>
      <c r="AP125" s="252">
        <f t="shared" si="106"/>
        <v>0</v>
      </c>
      <c r="AQ125" s="252">
        <f t="shared" si="106"/>
        <v>0</v>
      </c>
      <c r="AR125" s="252">
        <f t="shared" si="106"/>
        <v>0</v>
      </c>
      <c r="AS125" s="252">
        <f t="shared" si="106"/>
        <v>0</v>
      </c>
      <c r="AT125" s="252">
        <f t="shared" si="106"/>
        <v>0</v>
      </c>
      <c r="AU125" s="252">
        <f t="shared" si="106"/>
        <v>0</v>
      </c>
      <c r="AV125" s="252">
        <f t="shared" si="106"/>
        <v>0</v>
      </c>
      <c r="AW125" s="252">
        <f t="shared" si="106"/>
        <v>0</v>
      </c>
      <c r="AX125" s="252">
        <f t="shared" si="106"/>
        <v>0</v>
      </c>
      <c r="AY125" s="252">
        <f t="shared" si="106"/>
        <v>0</v>
      </c>
      <c r="AZ125" s="252">
        <f t="shared" si="106"/>
        <v>0</v>
      </c>
      <c r="BA125" s="252">
        <f t="shared" si="106"/>
        <v>0</v>
      </c>
    </row>
    <row r="126" ht="15.75" customHeight="1">
      <c r="A126" s="838">
        <v>2015.0</v>
      </c>
      <c r="B126" s="32"/>
      <c r="C126" s="32"/>
      <c r="D126" s="32"/>
      <c r="E126" s="32"/>
      <c r="F126" s="32"/>
      <c r="G126" s="32"/>
      <c r="H126" s="32"/>
      <c r="I126" s="32"/>
      <c r="J126" s="32"/>
      <c r="K126" s="32"/>
      <c r="L126" s="32"/>
      <c r="M126" s="32"/>
      <c r="N126" s="32"/>
      <c r="O126" s="32"/>
      <c r="P126" s="32"/>
      <c r="Q126" s="32"/>
      <c r="R126" s="32"/>
      <c r="S126" s="32"/>
      <c r="T126" s="32"/>
      <c r="U126" s="32"/>
      <c r="V126" s="741">
        <v>0.0</v>
      </c>
      <c r="W126" s="252">
        <f t="shared" si="22"/>
        <v>0</v>
      </c>
      <c r="X126" s="252">
        <f t="shared" ref="X126:BA126" si="107">IF(AND(X$40-$A126&gt;$V$27,SUM($W126:W126)&lt;&gt;$V126),$V126,0)</f>
        <v>0</v>
      </c>
      <c r="Y126" s="252">
        <f t="shared" si="107"/>
        <v>0</v>
      </c>
      <c r="Z126" s="252">
        <f t="shared" si="107"/>
        <v>0</v>
      </c>
      <c r="AA126" s="252">
        <f t="shared" si="107"/>
        <v>0</v>
      </c>
      <c r="AB126" s="252">
        <f t="shared" si="107"/>
        <v>0</v>
      </c>
      <c r="AC126" s="252">
        <f t="shared" si="107"/>
        <v>0</v>
      </c>
      <c r="AD126" s="252">
        <f t="shared" si="107"/>
        <v>0</v>
      </c>
      <c r="AE126" s="252">
        <f t="shared" si="107"/>
        <v>0</v>
      </c>
      <c r="AF126" s="252">
        <f t="shared" si="107"/>
        <v>0</v>
      </c>
      <c r="AG126" s="252">
        <f t="shared" si="107"/>
        <v>0</v>
      </c>
      <c r="AH126" s="252">
        <f t="shared" si="107"/>
        <v>0</v>
      </c>
      <c r="AI126" s="252">
        <f t="shared" si="107"/>
        <v>0</v>
      </c>
      <c r="AJ126" s="252">
        <f t="shared" si="107"/>
        <v>0</v>
      </c>
      <c r="AK126" s="252">
        <f t="shared" si="107"/>
        <v>0</v>
      </c>
      <c r="AL126" s="252">
        <f t="shared" si="107"/>
        <v>0</v>
      </c>
      <c r="AM126" s="252">
        <f t="shared" si="107"/>
        <v>0</v>
      </c>
      <c r="AN126" s="252">
        <f t="shared" si="107"/>
        <v>0</v>
      </c>
      <c r="AO126" s="252">
        <f t="shared" si="107"/>
        <v>0</v>
      </c>
      <c r="AP126" s="252">
        <f t="shared" si="107"/>
        <v>0</v>
      </c>
      <c r="AQ126" s="252">
        <f t="shared" si="107"/>
        <v>0</v>
      </c>
      <c r="AR126" s="252">
        <f t="shared" si="107"/>
        <v>0</v>
      </c>
      <c r="AS126" s="252">
        <f t="shared" si="107"/>
        <v>0</v>
      </c>
      <c r="AT126" s="252">
        <f t="shared" si="107"/>
        <v>0</v>
      </c>
      <c r="AU126" s="252">
        <f t="shared" si="107"/>
        <v>0</v>
      </c>
      <c r="AV126" s="252">
        <f t="shared" si="107"/>
        <v>0</v>
      </c>
      <c r="AW126" s="252">
        <f t="shared" si="107"/>
        <v>0</v>
      </c>
      <c r="AX126" s="252">
        <f t="shared" si="107"/>
        <v>0</v>
      </c>
      <c r="AY126" s="252">
        <f t="shared" si="107"/>
        <v>0</v>
      </c>
      <c r="AZ126" s="252">
        <f t="shared" si="107"/>
        <v>0</v>
      </c>
      <c r="BA126" s="252">
        <f t="shared" si="107"/>
        <v>0</v>
      </c>
    </row>
    <row r="127" ht="15.75" customHeight="1">
      <c r="A127" s="838">
        <v>2016.0</v>
      </c>
      <c r="B127" s="32"/>
      <c r="C127" s="32"/>
      <c r="D127" s="32"/>
      <c r="E127" s="32"/>
      <c r="F127" s="32"/>
      <c r="G127" s="32"/>
      <c r="H127" s="32"/>
      <c r="I127" s="32"/>
      <c r="J127" s="32"/>
      <c r="K127" s="32"/>
      <c r="L127" s="32"/>
      <c r="M127" s="32"/>
      <c r="N127" s="32"/>
      <c r="O127" s="32"/>
      <c r="P127" s="32"/>
      <c r="Q127" s="32"/>
      <c r="R127" s="32"/>
      <c r="S127" s="32"/>
      <c r="T127" s="32"/>
      <c r="U127" s="32"/>
      <c r="V127" s="741">
        <v>0.0</v>
      </c>
      <c r="W127" s="252">
        <f t="shared" si="22"/>
        <v>0</v>
      </c>
      <c r="X127" s="252">
        <f t="shared" ref="X127:BA127" si="108">IF(AND(X$40-$A127&gt;$V$27,SUM($W127:W127)&lt;&gt;$V127),$V127,0)</f>
        <v>0</v>
      </c>
      <c r="Y127" s="252">
        <f t="shared" si="108"/>
        <v>0</v>
      </c>
      <c r="Z127" s="252">
        <f t="shared" si="108"/>
        <v>0</v>
      </c>
      <c r="AA127" s="252">
        <f t="shared" si="108"/>
        <v>0</v>
      </c>
      <c r="AB127" s="252">
        <f t="shared" si="108"/>
        <v>0</v>
      </c>
      <c r="AC127" s="252">
        <f t="shared" si="108"/>
        <v>0</v>
      </c>
      <c r="AD127" s="252">
        <f t="shared" si="108"/>
        <v>0</v>
      </c>
      <c r="AE127" s="252">
        <f t="shared" si="108"/>
        <v>0</v>
      </c>
      <c r="AF127" s="252">
        <f t="shared" si="108"/>
        <v>0</v>
      </c>
      <c r="AG127" s="252">
        <f t="shared" si="108"/>
        <v>0</v>
      </c>
      <c r="AH127" s="252">
        <f t="shared" si="108"/>
        <v>0</v>
      </c>
      <c r="AI127" s="252">
        <f t="shared" si="108"/>
        <v>0</v>
      </c>
      <c r="AJ127" s="252">
        <f t="shared" si="108"/>
        <v>0</v>
      </c>
      <c r="AK127" s="252">
        <f t="shared" si="108"/>
        <v>0</v>
      </c>
      <c r="AL127" s="252">
        <f t="shared" si="108"/>
        <v>0</v>
      </c>
      <c r="AM127" s="252">
        <f t="shared" si="108"/>
        <v>0</v>
      </c>
      <c r="AN127" s="252">
        <f t="shared" si="108"/>
        <v>0</v>
      </c>
      <c r="AO127" s="252">
        <f t="shared" si="108"/>
        <v>0</v>
      </c>
      <c r="AP127" s="252">
        <f t="shared" si="108"/>
        <v>0</v>
      </c>
      <c r="AQ127" s="252">
        <f t="shared" si="108"/>
        <v>0</v>
      </c>
      <c r="AR127" s="252">
        <f t="shared" si="108"/>
        <v>0</v>
      </c>
      <c r="AS127" s="252">
        <f t="shared" si="108"/>
        <v>0</v>
      </c>
      <c r="AT127" s="252">
        <f t="shared" si="108"/>
        <v>0</v>
      </c>
      <c r="AU127" s="252">
        <f t="shared" si="108"/>
        <v>0</v>
      </c>
      <c r="AV127" s="252">
        <f t="shared" si="108"/>
        <v>0</v>
      </c>
      <c r="AW127" s="252">
        <f t="shared" si="108"/>
        <v>0</v>
      </c>
      <c r="AX127" s="252">
        <f t="shared" si="108"/>
        <v>0</v>
      </c>
      <c r="AY127" s="252">
        <f t="shared" si="108"/>
        <v>0</v>
      </c>
      <c r="AZ127" s="252">
        <f t="shared" si="108"/>
        <v>0</v>
      </c>
      <c r="BA127" s="252">
        <f t="shared" si="108"/>
        <v>0</v>
      </c>
    </row>
    <row r="128" ht="15.75" customHeight="1">
      <c r="A128" s="838">
        <v>2017.0</v>
      </c>
      <c r="B128" s="32"/>
      <c r="C128" s="32"/>
      <c r="D128" s="32"/>
      <c r="E128" s="32"/>
      <c r="F128" s="32"/>
      <c r="G128" s="32"/>
      <c r="H128" s="32"/>
      <c r="I128" s="32"/>
      <c r="J128" s="32"/>
      <c r="K128" s="32"/>
      <c r="L128" s="32"/>
      <c r="M128" s="32"/>
      <c r="N128" s="32"/>
      <c r="O128" s="32"/>
      <c r="P128" s="32"/>
      <c r="Q128" s="32"/>
      <c r="R128" s="32"/>
      <c r="S128" s="32"/>
      <c r="T128" s="32"/>
      <c r="U128" s="32"/>
      <c r="V128" s="741">
        <v>0.0</v>
      </c>
      <c r="W128" s="252">
        <f t="shared" si="22"/>
        <v>0</v>
      </c>
      <c r="X128" s="252">
        <f t="shared" ref="X128:BA128" si="109">IF(AND(X$40-$A128&gt;$V$27,SUM($W128:W128)&lt;&gt;$V128),$V128,0)</f>
        <v>0</v>
      </c>
      <c r="Y128" s="252">
        <f t="shared" si="109"/>
        <v>0</v>
      </c>
      <c r="Z128" s="252">
        <f t="shared" si="109"/>
        <v>0</v>
      </c>
      <c r="AA128" s="252">
        <f t="shared" si="109"/>
        <v>0</v>
      </c>
      <c r="AB128" s="252">
        <f t="shared" si="109"/>
        <v>0</v>
      </c>
      <c r="AC128" s="252">
        <f t="shared" si="109"/>
        <v>0</v>
      </c>
      <c r="AD128" s="252">
        <f t="shared" si="109"/>
        <v>0</v>
      </c>
      <c r="AE128" s="252">
        <f t="shared" si="109"/>
        <v>0</v>
      </c>
      <c r="AF128" s="252">
        <f t="shared" si="109"/>
        <v>0</v>
      </c>
      <c r="AG128" s="252">
        <f t="shared" si="109"/>
        <v>0</v>
      </c>
      <c r="AH128" s="252">
        <f t="shared" si="109"/>
        <v>0</v>
      </c>
      <c r="AI128" s="252">
        <f t="shared" si="109"/>
        <v>0</v>
      </c>
      <c r="AJ128" s="252">
        <f t="shared" si="109"/>
        <v>0</v>
      </c>
      <c r="AK128" s="252">
        <f t="shared" si="109"/>
        <v>0</v>
      </c>
      <c r="AL128" s="252">
        <f t="shared" si="109"/>
        <v>0</v>
      </c>
      <c r="AM128" s="252">
        <f t="shared" si="109"/>
        <v>0</v>
      </c>
      <c r="AN128" s="252">
        <f t="shared" si="109"/>
        <v>0</v>
      </c>
      <c r="AO128" s="252">
        <f t="shared" si="109"/>
        <v>0</v>
      </c>
      <c r="AP128" s="252">
        <f t="shared" si="109"/>
        <v>0</v>
      </c>
      <c r="AQ128" s="252">
        <f t="shared" si="109"/>
        <v>0</v>
      </c>
      <c r="AR128" s="252">
        <f t="shared" si="109"/>
        <v>0</v>
      </c>
      <c r="AS128" s="252">
        <f t="shared" si="109"/>
        <v>0</v>
      </c>
      <c r="AT128" s="252">
        <f t="shared" si="109"/>
        <v>0</v>
      </c>
      <c r="AU128" s="252">
        <f t="shared" si="109"/>
        <v>0</v>
      </c>
      <c r="AV128" s="252">
        <f t="shared" si="109"/>
        <v>0</v>
      </c>
      <c r="AW128" s="252">
        <f t="shared" si="109"/>
        <v>0</v>
      </c>
      <c r="AX128" s="252">
        <f t="shared" si="109"/>
        <v>0</v>
      </c>
      <c r="AY128" s="252">
        <f t="shared" si="109"/>
        <v>0</v>
      </c>
      <c r="AZ128" s="252">
        <f t="shared" si="109"/>
        <v>0</v>
      </c>
      <c r="BA128" s="252">
        <f t="shared" si="109"/>
        <v>0</v>
      </c>
    </row>
    <row r="129" ht="15.75" customHeight="1">
      <c r="A129" s="838">
        <v>2018.0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22"/>
        <v>0</v>
      </c>
      <c r="X129" s="252">
        <f t="shared" ref="X129:BA129" si="110">IF(AND(X$40-$A129&gt;$V$27,SUM($W129:W129)&lt;&gt;$V129),$V129,0)</f>
        <v>0</v>
      </c>
      <c r="Y129" s="252">
        <f t="shared" si="110"/>
        <v>0</v>
      </c>
      <c r="Z129" s="252">
        <f t="shared" si="110"/>
        <v>0</v>
      </c>
      <c r="AA129" s="252">
        <f t="shared" si="110"/>
        <v>0</v>
      </c>
      <c r="AB129" s="252">
        <f t="shared" si="110"/>
        <v>0</v>
      </c>
      <c r="AC129" s="252">
        <f t="shared" si="110"/>
        <v>0</v>
      </c>
      <c r="AD129" s="252">
        <f t="shared" si="110"/>
        <v>0</v>
      </c>
      <c r="AE129" s="252">
        <f t="shared" si="110"/>
        <v>0</v>
      </c>
      <c r="AF129" s="252">
        <f t="shared" si="110"/>
        <v>0</v>
      </c>
      <c r="AG129" s="252">
        <f t="shared" si="110"/>
        <v>0</v>
      </c>
      <c r="AH129" s="252">
        <f t="shared" si="110"/>
        <v>0</v>
      </c>
      <c r="AI129" s="252">
        <f t="shared" si="110"/>
        <v>0</v>
      </c>
      <c r="AJ129" s="252">
        <f t="shared" si="110"/>
        <v>0</v>
      </c>
      <c r="AK129" s="252">
        <f t="shared" si="110"/>
        <v>0</v>
      </c>
      <c r="AL129" s="252">
        <f t="shared" si="110"/>
        <v>0</v>
      </c>
      <c r="AM129" s="252">
        <f t="shared" si="110"/>
        <v>0</v>
      </c>
      <c r="AN129" s="252">
        <f t="shared" si="110"/>
        <v>0</v>
      </c>
      <c r="AO129" s="252">
        <f t="shared" si="110"/>
        <v>0</v>
      </c>
      <c r="AP129" s="252">
        <f t="shared" si="110"/>
        <v>0</v>
      </c>
      <c r="AQ129" s="252">
        <f t="shared" si="110"/>
        <v>0</v>
      </c>
      <c r="AR129" s="252">
        <f t="shared" si="110"/>
        <v>0</v>
      </c>
      <c r="AS129" s="252">
        <f t="shared" si="110"/>
        <v>0</v>
      </c>
      <c r="AT129" s="252">
        <f t="shared" si="110"/>
        <v>0</v>
      </c>
      <c r="AU129" s="252">
        <f t="shared" si="110"/>
        <v>0</v>
      </c>
      <c r="AV129" s="252">
        <f t="shared" si="110"/>
        <v>0</v>
      </c>
      <c r="AW129" s="252">
        <f t="shared" si="110"/>
        <v>0</v>
      </c>
      <c r="AX129" s="252">
        <f t="shared" si="110"/>
        <v>0</v>
      </c>
      <c r="AY129" s="252">
        <f t="shared" si="110"/>
        <v>0</v>
      </c>
      <c r="AZ129" s="252">
        <f t="shared" si="110"/>
        <v>0</v>
      </c>
      <c r="BA129" s="252">
        <f t="shared" si="110"/>
        <v>0</v>
      </c>
    </row>
    <row r="130" ht="15.75" customHeight="1">
      <c r="A130" s="838">
        <v>2019.0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22"/>
        <v>0</v>
      </c>
      <c r="X130" s="252">
        <f t="shared" ref="X130:BA130" si="111">IF(AND(X$40-$A130&gt;$V$27,SUM($W130:W130)&lt;&gt;$V130),$V130,0)</f>
        <v>0</v>
      </c>
      <c r="Y130" s="252">
        <f t="shared" si="111"/>
        <v>0</v>
      </c>
      <c r="Z130" s="252">
        <f t="shared" si="111"/>
        <v>0</v>
      </c>
      <c r="AA130" s="252">
        <f t="shared" si="111"/>
        <v>0</v>
      </c>
      <c r="AB130" s="252">
        <f t="shared" si="111"/>
        <v>0</v>
      </c>
      <c r="AC130" s="252">
        <f t="shared" si="111"/>
        <v>0</v>
      </c>
      <c r="AD130" s="252">
        <f t="shared" si="111"/>
        <v>0</v>
      </c>
      <c r="AE130" s="252">
        <f t="shared" si="111"/>
        <v>0</v>
      </c>
      <c r="AF130" s="252">
        <f t="shared" si="111"/>
        <v>0</v>
      </c>
      <c r="AG130" s="252">
        <f t="shared" si="111"/>
        <v>0</v>
      </c>
      <c r="AH130" s="252">
        <f t="shared" si="111"/>
        <v>0</v>
      </c>
      <c r="AI130" s="252">
        <f t="shared" si="111"/>
        <v>0</v>
      </c>
      <c r="AJ130" s="252">
        <f t="shared" si="111"/>
        <v>0</v>
      </c>
      <c r="AK130" s="252">
        <f t="shared" si="111"/>
        <v>0</v>
      </c>
      <c r="AL130" s="252">
        <f t="shared" si="111"/>
        <v>0</v>
      </c>
      <c r="AM130" s="252">
        <f t="shared" si="111"/>
        <v>0</v>
      </c>
      <c r="AN130" s="252">
        <f t="shared" si="111"/>
        <v>0</v>
      </c>
      <c r="AO130" s="252">
        <f t="shared" si="111"/>
        <v>0</v>
      </c>
      <c r="AP130" s="252">
        <f t="shared" si="111"/>
        <v>0</v>
      </c>
      <c r="AQ130" s="252">
        <f t="shared" si="111"/>
        <v>0</v>
      </c>
      <c r="AR130" s="252">
        <f t="shared" si="111"/>
        <v>0</v>
      </c>
      <c r="AS130" s="252">
        <f t="shared" si="111"/>
        <v>0</v>
      </c>
      <c r="AT130" s="252">
        <f t="shared" si="111"/>
        <v>0</v>
      </c>
      <c r="AU130" s="252">
        <f t="shared" si="111"/>
        <v>0</v>
      </c>
      <c r="AV130" s="252">
        <f t="shared" si="111"/>
        <v>0</v>
      </c>
      <c r="AW130" s="252">
        <f t="shared" si="111"/>
        <v>0</v>
      </c>
      <c r="AX130" s="252">
        <f t="shared" si="111"/>
        <v>0</v>
      </c>
      <c r="AY130" s="252">
        <f t="shared" si="111"/>
        <v>0</v>
      </c>
      <c r="AZ130" s="252">
        <f t="shared" si="111"/>
        <v>0</v>
      </c>
      <c r="BA130" s="252">
        <f t="shared" si="111"/>
        <v>0</v>
      </c>
    </row>
    <row r="131" ht="15.75" customHeight="1">
      <c r="A131" s="851">
        <v>2020.0</v>
      </c>
      <c r="U131" s="745" t="s">
        <v>1016</v>
      </c>
      <c r="V131" s="852">
        <f t="array" ref="V131:V161">transpose(Model!W1579:BA1579)</f>
        <v>0</v>
      </c>
      <c r="W131" s="252">
        <f t="shared" si="22"/>
        <v>0</v>
      </c>
      <c r="X131" s="252">
        <f t="shared" ref="X131:BA131" si="112">IF(AND(X$40-$A131&gt;$V$27,SUM($W131:W131)&lt;&gt;$V131),$V131,0)</f>
        <v>0</v>
      </c>
      <c r="Y131" s="252">
        <f t="shared" si="112"/>
        <v>0</v>
      </c>
      <c r="Z131" s="252">
        <f t="shared" si="112"/>
        <v>0</v>
      </c>
      <c r="AA131" s="252">
        <f t="shared" si="112"/>
        <v>0</v>
      </c>
      <c r="AB131" s="252">
        <f t="shared" si="112"/>
        <v>0</v>
      </c>
      <c r="AC131" s="252">
        <f t="shared" si="112"/>
        <v>0</v>
      </c>
      <c r="AD131" s="252">
        <f t="shared" si="112"/>
        <v>0</v>
      </c>
      <c r="AE131" s="252">
        <f t="shared" si="112"/>
        <v>0</v>
      </c>
      <c r="AF131" s="252">
        <f t="shared" si="112"/>
        <v>0</v>
      </c>
      <c r="AG131" s="252">
        <f t="shared" si="112"/>
        <v>0</v>
      </c>
      <c r="AH131" s="252">
        <f t="shared" si="112"/>
        <v>0</v>
      </c>
      <c r="AI131" s="252">
        <f t="shared" si="112"/>
        <v>0</v>
      </c>
      <c r="AJ131" s="252">
        <f t="shared" si="112"/>
        <v>0</v>
      </c>
      <c r="AK131" s="252">
        <f t="shared" si="112"/>
        <v>0</v>
      </c>
      <c r="AL131" s="252">
        <f t="shared" si="112"/>
        <v>0</v>
      </c>
      <c r="AM131" s="252">
        <f t="shared" si="112"/>
        <v>0</v>
      </c>
      <c r="AN131" s="252">
        <f t="shared" si="112"/>
        <v>0</v>
      </c>
      <c r="AO131" s="252">
        <f t="shared" si="112"/>
        <v>0</v>
      </c>
      <c r="AP131" s="252">
        <f t="shared" si="112"/>
        <v>0</v>
      </c>
      <c r="AQ131" s="252">
        <f t="shared" si="112"/>
        <v>0</v>
      </c>
      <c r="AR131" s="252">
        <f t="shared" si="112"/>
        <v>0</v>
      </c>
      <c r="AS131" s="252">
        <f t="shared" si="112"/>
        <v>0</v>
      </c>
      <c r="AT131" s="252">
        <f t="shared" si="112"/>
        <v>0</v>
      </c>
      <c r="AU131" s="252">
        <f t="shared" si="112"/>
        <v>0</v>
      </c>
      <c r="AV131" s="252">
        <f t="shared" si="112"/>
        <v>0</v>
      </c>
      <c r="AW131" s="252">
        <f t="shared" si="112"/>
        <v>0</v>
      </c>
      <c r="AX131" s="252">
        <f t="shared" si="112"/>
        <v>0</v>
      </c>
      <c r="AY131" s="252">
        <f t="shared" si="112"/>
        <v>0</v>
      </c>
      <c r="AZ131" s="252">
        <f t="shared" si="112"/>
        <v>0</v>
      </c>
      <c r="BA131" s="252">
        <f t="shared" si="112"/>
        <v>0</v>
      </c>
    </row>
    <row r="132" ht="15.75" customHeight="1">
      <c r="A132" s="851">
        <v>2021.0</v>
      </c>
      <c r="U132" s="745" t="s">
        <v>1017</v>
      </c>
      <c r="V132" s="852">
        <v>0.0</v>
      </c>
      <c r="W132" s="252">
        <f t="shared" si="22"/>
        <v>0</v>
      </c>
      <c r="X132" s="252">
        <f t="shared" ref="X132:BA132" si="113">IF(AND(X$40-$A132&gt;$V$27,SUM($W132:W132)&lt;&gt;$V132),$V132,0)</f>
        <v>0</v>
      </c>
      <c r="Y132" s="252">
        <f t="shared" si="113"/>
        <v>0</v>
      </c>
      <c r="Z132" s="252">
        <f t="shared" si="113"/>
        <v>0</v>
      </c>
      <c r="AA132" s="252">
        <f t="shared" si="113"/>
        <v>0</v>
      </c>
      <c r="AB132" s="252">
        <f t="shared" si="113"/>
        <v>0</v>
      </c>
      <c r="AC132" s="252">
        <f t="shared" si="113"/>
        <v>0</v>
      </c>
      <c r="AD132" s="252">
        <f t="shared" si="113"/>
        <v>0</v>
      </c>
      <c r="AE132" s="252">
        <f t="shared" si="113"/>
        <v>0</v>
      </c>
      <c r="AF132" s="252">
        <f t="shared" si="113"/>
        <v>0</v>
      </c>
      <c r="AG132" s="252">
        <f t="shared" si="113"/>
        <v>0</v>
      </c>
      <c r="AH132" s="252">
        <f t="shared" si="113"/>
        <v>0</v>
      </c>
      <c r="AI132" s="252">
        <f t="shared" si="113"/>
        <v>0</v>
      </c>
      <c r="AJ132" s="252">
        <f t="shared" si="113"/>
        <v>0</v>
      </c>
      <c r="AK132" s="252">
        <f t="shared" si="113"/>
        <v>0</v>
      </c>
      <c r="AL132" s="252">
        <f t="shared" si="113"/>
        <v>0</v>
      </c>
      <c r="AM132" s="252">
        <f t="shared" si="113"/>
        <v>0</v>
      </c>
      <c r="AN132" s="252">
        <f t="shared" si="113"/>
        <v>0</v>
      </c>
      <c r="AO132" s="252">
        <f t="shared" si="113"/>
        <v>0</v>
      </c>
      <c r="AP132" s="252">
        <f t="shared" si="113"/>
        <v>0</v>
      </c>
      <c r="AQ132" s="252">
        <f t="shared" si="113"/>
        <v>0</v>
      </c>
      <c r="AR132" s="252">
        <f t="shared" si="113"/>
        <v>0</v>
      </c>
      <c r="AS132" s="252">
        <f t="shared" si="113"/>
        <v>0</v>
      </c>
      <c r="AT132" s="252">
        <f t="shared" si="113"/>
        <v>0</v>
      </c>
      <c r="AU132" s="252">
        <f t="shared" si="113"/>
        <v>0</v>
      </c>
      <c r="AV132" s="252">
        <f t="shared" si="113"/>
        <v>0</v>
      </c>
      <c r="AW132" s="252">
        <f t="shared" si="113"/>
        <v>0</v>
      </c>
      <c r="AX132" s="252">
        <f t="shared" si="113"/>
        <v>0</v>
      </c>
      <c r="AY132" s="252">
        <f t="shared" si="113"/>
        <v>0</v>
      </c>
      <c r="AZ132" s="252">
        <f t="shared" si="113"/>
        <v>0</v>
      </c>
      <c r="BA132" s="252">
        <f t="shared" si="113"/>
        <v>0</v>
      </c>
    </row>
    <row r="133" ht="15.75" customHeight="1">
      <c r="A133" s="851">
        <v>2022.0</v>
      </c>
      <c r="U133" s="745" t="s">
        <v>1018</v>
      </c>
      <c r="V133" s="852">
        <v>0.0</v>
      </c>
      <c r="W133" s="252">
        <f t="shared" si="22"/>
        <v>0</v>
      </c>
      <c r="X133" s="252">
        <f t="shared" ref="X133:BA133" si="114">IF(AND(X$40-$A133&gt;$V$27,SUM($W133:W133)&lt;&gt;$V133),$V133,0)</f>
        <v>0</v>
      </c>
      <c r="Y133" s="252">
        <f t="shared" si="114"/>
        <v>0</v>
      </c>
      <c r="Z133" s="252">
        <f t="shared" si="114"/>
        <v>0</v>
      </c>
      <c r="AA133" s="252">
        <f t="shared" si="114"/>
        <v>0</v>
      </c>
      <c r="AB133" s="252">
        <f t="shared" si="114"/>
        <v>0</v>
      </c>
      <c r="AC133" s="252">
        <f t="shared" si="114"/>
        <v>0</v>
      </c>
      <c r="AD133" s="252">
        <f t="shared" si="114"/>
        <v>0</v>
      </c>
      <c r="AE133" s="252">
        <f t="shared" si="114"/>
        <v>0</v>
      </c>
      <c r="AF133" s="252">
        <f t="shared" si="114"/>
        <v>0</v>
      </c>
      <c r="AG133" s="252">
        <f t="shared" si="114"/>
        <v>0</v>
      </c>
      <c r="AH133" s="252">
        <f t="shared" si="114"/>
        <v>0</v>
      </c>
      <c r="AI133" s="252">
        <f t="shared" si="114"/>
        <v>0</v>
      </c>
      <c r="AJ133" s="252">
        <f t="shared" si="114"/>
        <v>0</v>
      </c>
      <c r="AK133" s="252">
        <f t="shared" si="114"/>
        <v>0</v>
      </c>
      <c r="AL133" s="252">
        <f t="shared" si="114"/>
        <v>0</v>
      </c>
      <c r="AM133" s="252">
        <f t="shared" si="114"/>
        <v>0</v>
      </c>
      <c r="AN133" s="252">
        <f t="shared" si="114"/>
        <v>0</v>
      </c>
      <c r="AO133" s="252">
        <f t="shared" si="114"/>
        <v>0</v>
      </c>
      <c r="AP133" s="252">
        <f t="shared" si="114"/>
        <v>0</v>
      </c>
      <c r="AQ133" s="252">
        <f t="shared" si="114"/>
        <v>0</v>
      </c>
      <c r="AR133" s="252">
        <f t="shared" si="114"/>
        <v>0</v>
      </c>
      <c r="AS133" s="252">
        <f t="shared" si="114"/>
        <v>0</v>
      </c>
      <c r="AT133" s="252">
        <f t="shared" si="114"/>
        <v>0</v>
      </c>
      <c r="AU133" s="252">
        <f t="shared" si="114"/>
        <v>0</v>
      </c>
      <c r="AV133" s="252">
        <f t="shared" si="114"/>
        <v>0</v>
      </c>
      <c r="AW133" s="252">
        <f t="shared" si="114"/>
        <v>0</v>
      </c>
      <c r="AX133" s="252">
        <f t="shared" si="114"/>
        <v>0</v>
      </c>
      <c r="AY133" s="252">
        <f t="shared" si="114"/>
        <v>0</v>
      </c>
      <c r="AZ133" s="252">
        <f t="shared" si="114"/>
        <v>0</v>
      </c>
      <c r="BA133" s="252">
        <f t="shared" si="114"/>
        <v>0</v>
      </c>
    </row>
    <row r="134" ht="15.75" customHeight="1">
      <c r="A134" s="851">
        <v>2023.0</v>
      </c>
      <c r="U134" s="745" t="s">
        <v>1019</v>
      </c>
      <c r="V134" s="852">
        <v>0.0</v>
      </c>
      <c r="W134" s="252">
        <f t="shared" si="22"/>
        <v>0</v>
      </c>
      <c r="X134" s="252">
        <f t="shared" ref="X134:BA134" si="115">IF(AND(X$40-$A134&gt;$V$27,SUM($W134:W134)&lt;&gt;$V134),$V134,0)</f>
        <v>0</v>
      </c>
      <c r="Y134" s="252">
        <f t="shared" si="115"/>
        <v>0</v>
      </c>
      <c r="Z134" s="252">
        <f t="shared" si="115"/>
        <v>0</v>
      </c>
      <c r="AA134" s="252">
        <f t="shared" si="115"/>
        <v>0</v>
      </c>
      <c r="AB134" s="252">
        <f t="shared" si="115"/>
        <v>0</v>
      </c>
      <c r="AC134" s="252">
        <f t="shared" si="115"/>
        <v>0</v>
      </c>
      <c r="AD134" s="252">
        <f t="shared" si="115"/>
        <v>0</v>
      </c>
      <c r="AE134" s="252">
        <f t="shared" si="115"/>
        <v>0</v>
      </c>
      <c r="AF134" s="252">
        <f t="shared" si="115"/>
        <v>0</v>
      </c>
      <c r="AG134" s="252">
        <f t="shared" si="115"/>
        <v>0</v>
      </c>
      <c r="AH134" s="252">
        <f t="shared" si="115"/>
        <v>0</v>
      </c>
      <c r="AI134" s="252">
        <f t="shared" si="115"/>
        <v>0</v>
      </c>
      <c r="AJ134" s="252">
        <f t="shared" si="115"/>
        <v>0</v>
      </c>
      <c r="AK134" s="252">
        <f t="shared" si="115"/>
        <v>0</v>
      </c>
      <c r="AL134" s="252">
        <f t="shared" si="115"/>
        <v>0</v>
      </c>
      <c r="AM134" s="252">
        <f t="shared" si="115"/>
        <v>0</v>
      </c>
      <c r="AN134" s="252">
        <f t="shared" si="115"/>
        <v>0</v>
      </c>
      <c r="AO134" s="252">
        <f t="shared" si="115"/>
        <v>0</v>
      </c>
      <c r="AP134" s="252">
        <f t="shared" si="115"/>
        <v>0</v>
      </c>
      <c r="AQ134" s="252">
        <f t="shared" si="115"/>
        <v>0</v>
      </c>
      <c r="AR134" s="252">
        <f t="shared" si="115"/>
        <v>0</v>
      </c>
      <c r="AS134" s="252">
        <f t="shared" si="115"/>
        <v>0</v>
      </c>
      <c r="AT134" s="252">
        <f t="shared" si="115"/>
        <v>0</v>
      </c>
      <c r="AU134" s="252">
        <f t="shared" si="115"/>
        <v>0</v>
      </c>
      <c r="AV134" s="252">
        <f t="shared" si="115"/>
        <v>0</v>
      </c>
      <c r="AW134" s="252">
        <f t="shared" si="115"/>
        <v>0</v>
      </c>
      <c r="AX134" s="252">
        <f t="shared" si="115"/>
        <v>0</v>
      </c>
      <c r="AY134" s="252">
        <f t="shared" si="115"/>
        <v>0</v>
      </c>
      <c r="AZ134" s="252">
        <f t="shared" si="115"/>
        <v>0</v>
      </c>
      <c r="BA134" s="252">
        <f t="shared" si="115"/>
        <v>0</v>
      </c>
    </row>
    <row r="135" ht="15.75" customHeight="1">
      <c r="A135" s="851">
        <v>2024.0</v>
      </c>
      <c r="V135" s="852">
        <v>0.0</v>
      </c>
      <c r="W135" s="252">
        <f t="shared" si="22"/>
        <v>0</v>
      </c>
      <c r="X135" s="252">
        <f t="shared" ref="X135:BA135" si="116">IF(AND(X$40-$A135&gt;$V$27,SUM($W135:W135)&lt;&gt;$V135),$V135,0)</f>
        <v>0</v>
      </c>
      <c r="Y135" s="252">
        <f t="shared" si="116"/>
        <v>0</v>
      </c>
      <c r="Z135" s="252">
        <f t="shared" si="116"/>
        <v>0</v>
      </c>
      <c r="AA135" s="252">
        <f t="shared" si="116"/>
        <v>0</v>
      </c>
      <c r="AB135" s="252">
        <f t="shared" si="116"/>
        <v>0</v>
      </c>
      <c r="AC135" s="252">
        <f t="shared" si="116"/>
        <v>0</v>
      </c>
      <c r="AD135" s="252">
        <f t="shared" si="116"/>
        <v>0</v>
      </c>
      <c r="AE135" s="252">
        <f t="shared" si="116"/>
        <v>0</v>
      </c>
      <c r="AF135" s="252">
        <f t="shared" si="116"/>
        <v>0</v>
      </c>
      <c r="AG135" s="252">
        <f t="shared" si="116"/>
        <v>0</v>
      </c>
      <c r="AH135" s="252">
        <f t="shared" si="116"/>
        <v>0</v>
      </c>
      <c r="AI135" s="252">
        <f t="shared" si="116"/>
        <v>0</v>
      </c>
      <c r="AJ135" s="252">
        <f t="shared" si="116"/>
        <v>0</v>
      </c>
      <c r="AK135" s="252">
        <f t="shared" si="116"/>
        <v>0</v>
      </c>
      <c r="AL135" s="252">
        <f t="shared" si="116"/>
        <v>0</v>
      </c>
      <c r="AM135" s="252">
        <f t="shared" si="116"/>
        <v>0</v>
      </c>
      <c r="AN135" s="252">
        <f t="shared" si="116"/>
        <v>0</v>
      </c>
      <c r="AO135" s="252">
        <f t="shared" si="116"/>
        <v>0</v>
      </c>
      <c r="AP135" s="252">
        <f t="shared" si="116"/>
        <v>0</v>
      </c>
      <c r="AQ135" s="252">
        <f t="shared" si="116"/>
        <v>0</v>
      </c>
      <c r="AR135" s="252">
        <f t="shared" si="116"/>
        <v>0</v>
      </c>
      <c r="AS135" s="252">
        <f t="shared" si="116"/>
        <v>0</v>
      </c>
      <c r="AT135" s="252">
        <f t="shared" si="116"/>
        <v>0</v>
      </c>
      <c r="AU135" s="252">
        <f t="shared" si="116"/>
        <v>0</v>
      </c>
      <c r="AV135" s="252">
        <f t="shared" si="116"/>
        <v>0</v>
      </c>
      <c r="AW135" s="252">
        <f t="shared" si="116"/>
        <v>0</v>
      </c>
      <c r="AX135" s="252">
        <f t="shared" si="116"/>
        <v>0</v>
      </c>
      <c r="AY135" s="252">
        <f t="shared" si="116"/>
        <v>0</v>
      </c>
      <c r="AZ135" s="252">
        <f t="shared" si="116"/>
        <v>0</v>
      </c>
      <c r="BA135" s="252">
        <f t="shared" si="116"/>
        <v>0</v>
      </c>
    </row>
    <row r="136" ht="15.75" customHeight="1">
      <c r="A136" s="851">
        <v>2025.0</v>
      </c>
      <c r="V136" s="852">
        <v>0.0</v>
      </c>
      <c r="W136" s="252">
        <f t="shared" si="22"/>
        <v>0</v>
      </c>
      <c r="X136" s="252">
        <f t="shared" ref="X136:BA136" si="117">IF(AND(X$40-$A136&gt;$V$27,SUM($W136:W136)&lt;&gt;$V136),$V136,0)</f>
        <v>0</v>
      </c>
      <c r="Y136" s="252">
        <f t="shared" si="117"/>
        <v>0</v>
      </c>
      <c r="Z136" s="252">
        <f t="shared" si="117"/>
        <v>0</v>
      </c>
      <c r="AA136" s="252">
        <f t="shared" si="117"/>
        <v>0</v>
      </c>
      <c r="AB136" s="252">
        <f t="shared" si="117"/>
        <v>0</v>
      </c>
      <c r="AC136" s="252">
        <f t="shared" si="117"/>
        <v>0</v>
      </c>
      <c r="AD136" s="252">
        <f t="shared" si="117"/>
        <v>0</v>
      </c>
      <c r="AE136" s="252">
        <f t="shared" si="117"/>
        <v>0</v>
      </c>
      <c r="AF136" s="252">
        <f t="shared" si="117"/>
        <v>0</v>
      </c>
      <c r="AG136" s="252">
        <f t="shared" si="117"/>
        <v>0</v>
      </c>
      <c r="AH136" s="252">
        <f t="shared" si="117"/>
        <v>0</v>
      </c>
      <c r="AI136" s="252">
        <f t="shared" si="117"/>
        <v>0</v>
      </c>
      <c r="AJ136" s="252">
        <f t="shared" si="117"/>
        <v>0</v>
      </c>
      <c r="AK136" s="252">
        <f t="shared" si="117"/>
        <v>0</v>
      </c>
      <c r="AL136" s="252">
        <f t="shared" si="117"/>
        <v>0</v>
      </c>
      <c r="AM136" s="252">
        <f t="shared" si="117"/>
        <v>0</v>
      </c>
      <c r="AN136" s="252">
        <f t="shared" si="117"/>
        <v>0</v>
      </c>
      <c r="AO136" s="252">
        <f t="shared" si="117"/>
        <v>0</v>
      </c>
      <c r="AP136" s="252">
        <f t="shared" si="117"/>
        <v>0</v>
      </c>
      <c r="AQ136" s="252">
        <f t="shared" si="117"/>
        <v>0</v>
      </c>
      <c r="AR136" s="252">
        <f t="shared" si="117"/>
        <v>0</v>
      </c>
      <c r="AS136" s="252">
        <f t="shared" si="117"/>
        <v>0</v>
      </c>
      <c r="AT136" s="252">
        <f t="shared" si="117"/>
        <v>0</v>
      </c>
      <c r="AU136" s="252">
        <f t="shared" si="117"/>
        <v>0</v>
      </c>
      <c r="AV136" s="252">
        <f t="shared" si="117"/>
        <v>0</v>
      </c>
      <c r="AW136" s="252">
        <f t="shared" si="117"/>
        <v>0</v>
      </c>
      <c r="AX136" s="252">
        <f t="shared" si="117"/>
        <v>0</v>
      </c>
      <c r="AY136" s="252">
        <f t="shared" si="117"/>
        <v>0</v>
      </c>
      <c r="AZ136" s="252">
        <f t="shared" si="117"/>
        <v>0</v>
      </c>
      <c r="BA136" s="252">
        <f t="shared" si="117"/>
        <v>0</v>
      </c>
    </row>
    <row r="137" ht="15.75" customHeight="1">
      <c r="A137" s="851">
        <v>2026.0</v>
      </c>
      <c r="V137" s="852">
        <v>0.0</v>
      </c>
      <c r="W137" s="252">
        <f t="shared" si="22"/>
        <v>0</v>
      </c>
      <c r="X137" s="252">
        <f t="shared" ref="X137:BA137" si="118">IF(AND(X$40-$A137&gt;$V$27,SUM($W137:W137)&lt;&gt;$V137),$V137,0)</f>
        <v>0</v>
      </c>
      <c r="Y137" s="252">
        <f t="shared" si="118"/>
        <v>0</v>
      </c>
      <c r="Z137" s="252">
        <f t="shared" si="118"/>
        <v>0</v>
      </c>
      <c r="AA137" s="252">
        <f t="shared" si="118"/>
        <v>0</v>
      </c>
      <c r="AB137" s="252">
        <f t="shared" si="118"/>
        <v>0</v>
      </c>
      <c r="AC137" s="252">
        <f t="shared" si="118"/>
        <v>0</v>
      </c>
      <c r="AD137" s="252">
        <f t="shared" si="118"/>
        <v>0</v>
      </c>
      <c r="AE137" s="252">
        <f t="shared" si="118"/>
        <v>0</v>
      </c>
      <c r="AF137" s="252">
        <f t="shared" si="118"/>
        <v>0</v>
      </c>
      <c r="AG137" s="252">
        <f t="shared" si="118"/>
        <v>0</v>
      </c>
      <c r="AH137" s="252">
        <f t="shared" si="118"/>
        <v>0</v>
      </c>
      <c r="AI137" s="252">
        <f t="shared" si="118"/>
        <v>0</v>
      </c>
      <c r="AJ137" s="252">
        <f t="shared" si="118"/>
        <v>0</v>
      </c>
      <c r="AK137" s="252">
        <f t="shared" si="118"/>
        <v>0</v>
      </c>
      <c r="AL137" s="252">
        <f t="shared" si="118"/>
        <v>0</v>
      </c>
      <c r="AM137" s="252">
        <f t="shared" si="118"/>
        <v>0</v>
      </c>
      <c r="AN137" s="252">
        <f t="shared" si="118"/>
        <v>0</v>
      </c>
      <c r="AO137" s="252">
        <f t="shared" si="118"/>
        <v>0</v>
      </c>
      <c r="AP137" s="252">
        <f t="shared" si="118"/>
        <v>0</v>
      </c>
      <c r="AQ137" s="252">
        <f t="shared" si="118"/>
        <v>0</v>
      </c>
      <c r="AR137" s="252">
        <f t="shared" si="118"/>
        <v>0</v>
      </c>
      <c r="AS137" s="252">
        <f t="shared" si="118"/>
        <v>0</v>
      </c>
      <c r="AT137" s="252">
        <f t="shared" si="118"/>
        <v>0</v>
      </c>
      <c r="AU137" s="252">
        <f t="shared" si="118"/>
        <v>0</v>
      </c>
      <c r="AV137" s="252">
        <f t="shared" si="118"/>
        <v>0</v>
      </c>
      <c r="AW137" s="252">
        <f t="shared" si="118"/>
        <v>0</v>
      </c>
      <c r="AX137" s="252">
        <f t="shared" si="118"/>
        <v>0</v>
      </c>
      <c r="AY137" s="252">
        <f t="shared" si="118"/>
        <v>0</v>
      </c>
      <c r="AZ137" s="252">
        <f t="shared" si="118"/>
        <v>0</v>
      </c>
      <c r="BA137" s="252">
        <f t="shared" si="118"/>
        <v>0</v>
      </c>
    </row>
    <row r="138" ht="15.75" customHeight="1">
      <c r="A138" s="851">
        <v>2027.0</v>
      </c>
      <c r="V138" s="852">
        <v>0.0</v>
      </c>
      <c r="W138" s="252">
        <f t="shared" si="22"/>
        <v>0</v>
      </c>
      <c r="X138" s="252">
        <f t="shared" ref="X138:BA138" si="119">IF(AND(X$40-$A138&gt;$V$27,SUM($W138:W138)&lt;&gt;$V138),$V138,0)</f>
        <v>0</v>
      </c>
      <c r="Y138" s="252">
        <f t="shared" si="119"/>
        <v>0</v>
      </c>
      <c r="Z138" s="252">
        <f t="shared" si="119"/>
        <v>0</v>
      </c>
      <c r="AA138" s="252">
        <f t="shared" si="119"/>
        <v>0</v>
      </c>
      <c r="AB138" s="252">
        <f t="shared" si="119"/>
        <v>0</v>
      </c>
      <c r="AC138" s="252">
        <f t="shared" si="119"/>
        <v>0</v>
      </c>
      <c r="AD138" s="252">
        <f t="shared" si="119"/>
        <v>0</v>
      </c>
      <c r="AE138" s="252">
        <f t="shared" si="119"/>
        <v>0</v>
      </c>
      <c r="AF138" s="252">
        <f t="shared" si="119"/>
        <v>0</v>
      </c>
      <c r="AG138" s="252">
        <f t="shared" si="119"/>
        <v>0</v>
      </c>
      <c r="AH138" s="252">
        <f t="shared" si="119"/>
        <v>0</v>
      </c>
      <c r="AI138" s="252">
        <f t="shared" si="119"/>
        <v>0</v>
      </c>
      <c r="AJ138" s="252">
        <f t="shared" si="119"/>
        <v>0</v>
      </c>
      <c r="AK138" s="252">
        <f t="shared" si="119"/>
        <v>0</v>
      </c>
      <c r="AL138" s="252">
        <f t="shared" si="119"/>
        <v>0</v>
      </c>
      <c r="AM138" s="252">
        <f t="shared" si="119"/>
        <v>0</v>
      </c>
      <c r="AN138" s="252">
        <f t="shared" si="119"/>
        <v>0</v>
      </c>
      <c r="AO138" s="252">
        <f t="shared" si="119"/>
        <v>0</v>
      </c>
      <c r="AP138" s="252">
        <f t="shared" si="119"/>
        <v>0</v>
      </c>
      <c r="AQ138" s="252">
        <f t="shared" si="119"/>
        <v>0</v>
      </c>
      <c r="AR138" s="252">
        <f t="shared" si="119"/>
        <v>0</v>
      </c>
      <c r="AS138" s="252">
        <f t="shared" si="119"/>
        <v>0</v>
      </c>
      <c r="AT138" s="252">
        <f t="shared" si="119"/>
        <v>0</v>
      </c>
      <c r="AU138" s="252">
        <f t="shared" si="119"/>
        <v>0</v>
      </c>
      <c r="AV138" s="252">
        <f t="shared" si="119"/>
        <v>0</v>
      </c>
      <c r="AW138" s="252">
        <f t="shared" si="119"/>
        <v>0</v>
      </c>
      <c r="AX138" s="252">
        <f t="shared" si="119"/>
        <v>0</v>
      </c>
      <c r="AY138" s="252">
        <f t="shared" si="119"/>
        <v>0</v>
      </c>
      <c r="AZ138" s="252">
        <f t="shared" si="119"/>
        <v>0</v>
      </c>
      <c r="BA138" s="252">
        <f t="shared" si="119"/>
        <v>0</v>
      </c>
    </row>
    <row r="139" ht="15.75" customHeight="1">
      <c r="A139" s="851">
        <v>2028.0</v>
      </c>
      <c r="V139" s="852">
        <v>0.0</v>
      </c>
      <c r="W139" s="252">
        <f t="shared" si="22"/>
        <v>0</v>
      </c>
      <c r="X139" s="252">
        <f t="shared" ref="X139:BA139" si="120">IF(AND(X$40-$A139&gt;$V$27,SUM($W139:W139)&lt;&gt;$V139),$V139,0)</f>
        <v>0</v>
      </c>
      <c r="Y139" s="252">
        <f t="shared" si="120"/>
        <v>0</v>
      </c>
      <c r="Z139" s="252">
        <f t="shared" si="120"/>
        <v>0</v>
      </c>
      <c r="AA139" s="252">
        <f t="shared" si="120"/>
        <v>0</v>
      </c>
      <c r="AB139" s="252">
        <f t="shared" si="120"/>
        <v>0</v>
      </c>
      <c r="AC139" s="252">
        <f t="shared" si="120"/>
        <v>0</v>
      </c>
      <c r="AD139" s="252">
        <f t="shared" si="120"/>
        <v>0</v>
      </c>
      <c r="AE139" s="252">
        <f t="shared" si="120"/>
        <v>0</v>
      </c>
      <c r="AF139" s="252">
        <f t="shared" si="120"/>
        <v>0</v>
      </c>
      <c r="AG139" s="252">
        <f t="shared" si="120"/>
        <v>0</v>
      </c>
      <c r="AH139" s="252">
        <f t="shared" si="120"/>
        <v>0</v>
      </c>
      <c r="AI139" s="252">
        <f t="shared" si="120"/>
        <v>0</v>
      </c>
      <c r="AJ139" s="252">
        <f t="shared" si="120"/>
        <v>0</v>
      </c>
      <c r="AK139" s="252">
        <f t="shared" si="120"/>
        <v>0</v>
      </c>
      <c r="AL139" s="252">
        <f t="shared" si="120"/>
        <v>0</v>
      </c>
      <c r="AM139" s="252">
        <f t="shared" si="120"/>
        <v>0</v>
      </c>
      <c r="AN139" s="252">
        <f t="shared" si="120"/>
        <v>0</v>
      </c>
      <c r="AO139" s="252">
        <f t="shared" si="120"/>
        <v>0</v>
      </c>
      <c r="AP139" s="252">
        <f t="shared" si="120"/>
        <v>0</v>
      </c>
      <c r="AQ139" s="252">
        <f t="shared" si="120"/>
        <v>0</v>
      </c>
      <c r="AR139" s="252">
        <f t="shared" si="120"/>
        <v>0</v>
      </c>
      <c r="AS139" s="252">
        <f t="shared" si="120"/>
        <v>0</v>
      </c>
      <c r="AT139" s="252">
        <f t="shared" si="120"/>
        <v>0</v>
      </c>
      <c r="AU139" s="252">
        <f t="shared" si="120"/>
        <v>0</v>
      </c>
      <c r="AV139" s="252">
        <f t="shared" si="120"/>
        <v>0</v>
      </c>
      <c r="AW139" s="252">
        <f t="shared" si="120"/>
        <v>0</v>
      </c>
      <c r="AX139" s="252">
        <f t="shared" si="120"/>
        <v>0</v>
      </c>
      <c r="AY139" s="252">
        <f t="shared" si="120"/>
        <v>0</v>
      </c>
      <c r="AZ139" s="252">
        <f t="shared" si="120"/>
        <v>0</v>
      </c>
      <c r="BA139" s="252">
        <f t="shared" si="120"/>
        <v>0</v>
      </c>
    </row>
    <row r="140" ht="15.75" customHeight="1">
      <c r="A140" s="851">
        <v>2029.0</v>
      </c>
      <c r="V140" s="852">
        <v>0.0</v>
      </c>
      <c r="W140" s="252">
        <f t="shared" si="22"/>
        <v>0</v>
      </c>
      <c r="X140" s="252">
        <f t="shared" ref="X140:BA140" si="121">IF(AND(X$40-$A140&gt;$V$27,SUM($W140:W140)&lt;&gt;$V140),$V140,0)</f>
        <v>0</v>
      </c>
      <c r="Y140" s="252">
        <f t="shared" si="121"/>
        <v>0</v>
      </c>
      <c r="Z140" s="252">
        <f t="shared" si="121"/>
        <v>0</v>
      </c>
      <c r="AA140" s="252">
        <f t="shared" si="121"/>
        <v>0</v>
      </c>
      <c r="AB140" s="252">
        <f t="shared" si="121"/>
        <v>0</v>
      </c>
      <c r="AC140" s="252">
        <f t="shared" si="121"/>
        <v>0</v>
      </c>
      <c r="AD140" s="252">
        <f t="shared" si="121"/>
        <v>0</v>
      </c>
      <c r="AE140" s="252">
        <f t="shared" si="121"/>
        <v>0</v>
      </c>
      <c r="AF140" s="252">
        <f t="shared" si="121"/>
        <v>0</v>
      </c>
      <c r="AG140" s="252">
        <f t="shared" si="121"/>
        <v>0</v>
      </c>
      <c r="AH140" s="252">
        <f t="shared" si="121"/>
        <v>0</v>
      </c>
      <c r="AI140" s="252">
        <f t="shared" si="121"/>
        <v>0</v>
      </c>
      <c r="AJ140" s="252">
        <f t="shared" si="121"/>
        <v>0</v>
      </c>
      <c r="AK140" s="252">
        <f t="shared" si="121"/>
        <v>0</v>
      </c>
      <c r="AL140" s="252">
        <f t="shared" si="121"/>
        <v>0</v>
      </c>
      <c r="AM140" s="252">
        <f t="shared" si="121"/>
        <v>0</v>
      </c>
      <c r="AN140" s="252">
        <f t="shared" si="121"/>
        <v>0</v>
      </c>
      <c r="AO140" s="252">
        <f t="shared" si="121"/>
        <v>0</v>
      </c>
      <c r="AP140" s="252">
        <f t="shared" si="121"/>
        <v>0</v>
      </c>
      <c r="AQ140" s="252">
        <f t="shared" si="121"/>
        <v>0</v>
      </c>
      <c r="AR140" s="252">
        <f t="shared" si="121"/>
        <v>0</v>
      </c>
      <c r="AS140" s="252">
        <f t="shared" si="121"/>
        <v>0</v>
      </c>
      <c r="AT140" s="252">
        <f t="shared" si="121"/>
        <v>0</v>
      </c>
      <c r="AU140" s="252">
        <f t="shared" si="121"/>
        <v>0</v>
      </c>
      <c r="AV140" s="252">
        <f t="shared" si="121"/>
        <v>0</v>
      </c>
      <c r="AW140" s="252">
        <f t="shared" si="121"/>
        <v>0</v>
      </c>
      <c r="AX140" s="252">
        <f t="shared" si="121"/>
        <v>0</v>
      </c>
      <c r="AY140" s="252">
        <f t="shared" si="121"/>
        <v>0</v>
      </c>
      <c r="AZ140" s="252">
        <f t="shared" si="121"/>
        <v>0</v>
      </c>
      <c r="BA140" s="252">
        <f t="shared" si="121"/>
        <v>0</v>
      </c>
    </row>
    <row r="141" ht="15.75" customHeight="1">
      <c r="A141" s="851">
        <v>2030.0</v>
      </c>
      <c r="V141" s="852">
        <v>0.0</v>
      </c>
      <c r="W141" s="252">
        <f t="shared" si="22"/>
        <v>0</v>
      </c>
      <c r="X141" s="252">
        <f t="shared" ref="X141:BA141" si="122">IF(AND(X$40-$A141&gt;$V$27,SUM($W141:W141)&lt;&gt;$V141),$V141,0)</f>
        <v>0</v>
      </c>
      <c r="Y141" s="252">
        <f t="shared" si="122"/>
        <v>0</v>
      </c>
      <c r="Z141" s="252">
        <f t="shared" si="122"/>
        <v>0</v>
      </c>
      <c r="AA141" s="252">
        <f t="shared" si="122"/>
        <v>0</v>
      </c>
      <c r="AB141" s="252">
        <f t="shared" si="122"/>
        <v>0</v>
      </c>
      <c r="AC141" s="252">
        <f t="shared" si="122"/>
        <v>0</v>
      </c>
      <c r="AD141" s="252">
        <f t="shared" si="122"/>
        <v>0</v>
      </c>
      <c r="AE141" s="252">
        <f t="shared" si="122"/>
        <v>0</v>
      </c>
      <c r="AF141" s="252">
        <f t="shared" si="122"/>
        <v>0</v>
      </c>
      <c r="AG141" s="252">
        <f t="shared" si="122"/>
        <v>0</v>
      </c>
      <c r="AH141" s="252">
        <f t="shared" si="122"/>
        <v>0</v>
      </c>
      <c r="AI141" s="252">
        <f t="shared" si="122"/>
        <v>0</v>
      </c>
      <c r="AJ141" s="252">
        <f t="shared" si="122"/>
        <v>0</v>
      </c>
      <c r="AK141" s="252">
        <f t="shared" si="122"/>
        <v>0</v>
      </c>
      <c r="AL141" s="252">
        <f t="shared" si="122"/>
        <v>0</v>
      </c>
      <c r="AM141" s="252">
        <f t="shared" si="122"/>
        <v>0</v>
      </c>
      <c r="AN141" s="252">
        <f t="shared" si="122"/>
        <v>0</v>
      </c>
      <c r="AO141" s="252">
        <f t="shared" si="122"/>
        <v>0</v>
      </c>
      <c r="AP141" s="252">
        <f t="shared" si="122"/>
        <v>0</v>
      </c>
      <c r="AQ141" s="252">
        <f t="shared" si="122"/>
        <v>0</v>
      </c>
      <c r="AR141" s="252">
        <f t="shared" si="122"/>
        <v>0</v>
      </c>
      <c r="AS141" s="252">
        <f t="shared" si="122"/>
        <v>0</v>
      </c>
      <c r="AT141" s="252">
        <f t="shared" si="122"/>
        <v>0</v>
      </c>
      <c r="AU141" s="252">
        <f t="shared" si="122"/>
        <v>0</v>
      </c>
      <c r="AV141" s="252">
        <f t="shared" si="122"/>
        <v>0</v>
      </c>
      <c r="AW141" s="252">
        <f t="shared" si="122"/>
        <v>0</v>
      </c>
      <c r="AX141" s="252">
        <f t="shared" si="122"/>
        <v>0</v>
      </c>
      <c r="AY141" s="252">
        <f t="shared" si="122"/>
        <v>0</v>
      </c>
      <c r="AZ141" s="252">
        <f t="shared" si="122"/>
        <v>0</v>
      </c>
      <c r="BA141" s="252">
        <f t="shared" si="122"/>
        <v>0</v>
      </c>
    </row>
    <row r="142" ht="15.75" customHeight="1">
      <c r="A142" s="851">
        <v>2031.0</v>
      </c>
      <c r="V142" s="852">
        <v>0.0</v>
      </c>
      <c r="W142" s="252">
        <f t="shared" si="22"/>
        <v>0</v>
      </c>
      <c r="X142" s="252">
        <f t="shared" ref="X142:BA142" si="123">IF(AND(X$40-$A142&gt;$V$27,SUM($W142:W142)&lt;&gt;$V142),$V142,0)</f>
        <v>0</v>
      </c>
      <c r="Y142" s="252">
        <f t="shared" si="123"/>
        <v>0</v>
      </c>
      <c r="Z142" s="252">
        <f t="shared" si="123"/>
        <v>0</v>
      </c>
      <c r="AA142" s="252">
        <f t="shared" si="123"/>
        <v>0</v>
      </c>
      <c r="AB142" s="252">
        <f t="shared" si="123"/>
        <v>0</v>
      </c>
      <c r="AC142" s="252">
        <f t="shared" si="123"/>
        <v>0</v>
      </c>
      <c r="AD142" s="252">
        <f t="shared" si="123"/>
        <v>0</v>
      </c>
      <c r="AE142" s="252">
        <f t="shared" si="123"/>
        <v>0</v>
      </c>
      <c r="AF142" s="252">
        <f t="shared" si="123"/>
        <v>0</v>
      </c>
      <c r="AG142" s="252">
        <f t="shared" si="123"/>
        <v>0</v>
      </c>
      <c r="AH142" s="252">
        <f t="shared" si="123"/>
        <v>0</v>
      </c>
      <c r="AI142" s="252">
        <f t="shared" si="123"/>
        <v>0</v>
      </c>
      <c r="AJ142" s="252">
        <f t="shared" si="123"/>
        <v>0</v>
      </c>
      <c r="AK142" s="252">
        <f t="shared" si="123"/>
        <v>0</v>
      </c>
      <c r="AL142" s="252">
        <f t="shared" si="123"/>
        <v>0</v>
      </c>
      <c r="AM142" s="252">
        <f t="shared" si="123"/>
        <v>0</v>
      </c>
      <c r="AN142" s="252">
        <f t="shared" si="123"/>
        <v>0</v>
      </c>
      <c r="AO142" s="252">
        <f t="shared" si="123"/>
        <v>0</v>
      </c>
      <c r="AP142" s="252">
        <f t="shared" si="123"/>
        <v>0</v>
      </c>
      <c r="AQ142" s="252">
        <f t="shared" si="123"/>
        <v>0</v>
      </c>
      <c r="AR142" s="252">
        <f t="shared" si="123"/>
        <v>0</v>
      </c>
      <c r="AS142" s="252">
        <f t="shared" si="123"/>
        <v>0</v>
      </c>
      <c r="AT142" s="252">
        <f t="shared" si="123"/>
        <v>0</v>
      </c>
      <c r="AU142" s="252">
        <f t="shared" si="123"/>
        <v>0</v>
      </c>
      <c r="AV142" s="252">
        <f t="shared" si="123"/>
        <v>0</v>
      </c>
      <c r="AW142" s="252">
        <f t="shared" si="123"/>
        <v>0</v>
      </c>
      <c r="AX142" s="252">
        <f t="shared" si="123"/>
        <v>0</v>
      </c>
      <c r="AY142" s="252">
        <f t="shared" si="123"/>
        <v>0</v>
      </c>
      <c r="AZ142" s="252">
        <f t="shared" si="123"/>
        <v>0</v>
      </c>
      <c r="BA142" s="252">
        <f t="shared" si="123"/>
        <v>0</v>
      </c>
    </row>
    <row r="143" ht="15.75" customHeight="1">
      <c r="A143" s="851">
        <v>2032.0</v>
      </c>
      <c r="V143" s="852">
        <v>0.0</v>
      </c>
      <c r="W143" s="252">
        <f t="shared" si="22"/>
        <v>0</v>
      </c>
      <c r="X143" s="252">
        <f t="shared" ref="X143:BA143" si="124">IF(AND(X$40-$A143&gt;$V$27,SUM($W143:W143)&lt;&gt;$V143),$V143,0)</f>
        <v>0</v>
      </c>
      <c r="Y143" s="252">
        <f t="shared" si="124"/>
        <v>0</v>
      </c>
      <c r="Z143" s="252">
        <f t="shared" si="124"/>
        <v>0</v>
      </c>
      <c r="AA143" s="252">
        <f t="shared" si="124"/>
        <v>0</v>
      </c>
      <c r="AB143" s="252">
        <f t="shared" si="124"/>
        <v>0</v>
      </c>
      <c r="AC143" s="252">
        <f t="shared" si="124"/>
        <v>0</v>
      </c>
      <c r="AD143" s="252">
        <f t="shared" si="124"/>
        <v>0</v>
      </c>
      <c r="AE143" s="252">
        <f t="shared" si="124"/>
        <v>0</v>
      </c>
      <c r="AF143" s="252">
        <f t="shared" si="124"/>
        <v>0</v>
      </c>
      <c r="AG143" s="252">
        <f t="shared" si="124"/>
        <v>0</v>
      </c>
      <c r="AH143" s="252">
        <f t="shared" si="124"/>
        <v>0</v>
      </c>
      <c r="AI143" s="252">
        <f t="shared" si="124"/>
        <v>0</v>
      </c>
      <c r="AJ143" s="252">
        <f t="shared" si="124"/>
        <v>0</v>
      </c>
      <c r="AK143" s="252">
        <f t="shared" si="124"/>
        <v>0</v>
      </c>
      <c r="AL143" s="252">
        <f t="shared" si="124"/>
        <v>0</v>
      </c>
      <c r="AM143" s="252">
        <f t="shared" si="124"/>
        <v>0</v>
      </c>
      <c r="AN143" s="252">
        <f t="shared" si="124"/>
        <v>0</v>
      </c>
      <c r="AO143" s="252">
        <f t="shared" si="124"/>
        <v>0</v>
      </c>
      <c r="AP143" s="252">
        <f t="shared" si="124"/>
        <v>0</v>
      </c>
      <c r="AQ143" s="252">
        <f t="shared" si="124"/>
        <v>0</v>
      </c>
      <c r="AR143" s="252">
        <f t="shared" si="124"/>
        <v>0</v>
      </c>
      <c r="AS143" s="252">
        <f t="shared" si="124"/>
        <v>0</v>
      </c>
      <c r="AT143" s="252">
        <f t="shared" si="124"/>
        <v>0</v>
      </c>
      <c r="AU143" s="252">
        <f t="shared" si="124"/>
        <v>0</v>
      </c>
      <c r="AV143" s="252">
        <f t="shared" si="124"/>
        <v>0</v>
      </c>
      <c r="AW143" s="252">
        <f t="shared" si="124"/>
        <v>0</v>
      </c>
      <c r="AX143" s="252">
        <f t="shared" si="124"/>
        <v>0</v>
      </c>
      <c r="AY143" s="252">
        <f t="shared" si="124"/>
        <v>0</v>
      </c>
      <c r="AZ143" s="252">
        <f t="shared" si="124"/>
        <v>0</v>
      </c>
      <c r="BA143" s="252">
        <f t="shared" si="124"/>
        <v>0</v>
      </c>
    </row>
    <row r="144" ht="15.75" customHeight="1">
      <c r="A144" s="851">
        <v>2033.0</v>
      </c>
      <c r="V144" s="852">
        <v>0.0</v>
      </c>
      <c r="W144" s="252">
        <f t="shared" si="22"/>
        <v>0</v>
      </c>
      <c r="X144" s="252">
        <f t="shared" ref="X144:BA144" si="125">IF(AND(X$40-$A144&gt;$V$27,SUM($W144:W144)&lt;&gt;$V144),$V144,0)</f>
        <v>0</v>
      </c>
      <c r="Y144" s="252">
        <f t="shared" si="125"/>
        <v>0</v>
      </c>
      <c r="Z144" s="252">
        <f t="shared" si="125"/>
        <v>0</v>
      </c>
      <c r="AA144" s="252">
        <f t="shared" si="125"/>
        <v>0</v>
      </c>
      <c r="AB144" s="252">
        <f t="shared" si="125"/>
        <v>0</v>
      </c>
      <c r="AC144" s="252">
        <f t="shared" si="125"/>
        <v>0</v>
      </c>
      <c r="AD144" s="252">
        <f t="shared" si="125"/>
        <v>0</v>
      </c>
      <c r="AE144" s="252">
        <f t="shared" si="125"/>
        <v>0</v>
      </c>
      <c r="AF144" s="252">
        <f t="shared" si="125"/>
        <v>0</v>
      </c>
      <c r="AG144" s="252">
        <f t="shared" si="125"/>
        <v>0</v>
      </c>
      <c r="AH144" s="252">
        <f t="shared" si="125"/>
        <v>0</v>
      </c>
      <c r="AI144" s="252">
        <f t="shared" si="125"/>
        <v>0</v>
      </c>
      <c r="AJ144" s="252">
        <f t="shared" si="125"/>
        <v>0</v>
      </c>
      <c r="AK144" s="252">
        <f t="shared" si="125"/>
        <v>0</v>
      </c>
      <c r="AL144" s="252">
        <f t="shared" si="125"/>
        <v>0</v>
      </c>
      <c r="AM144" s="252">
        <f t="shared" si="125"/>
        <v>0</v>
      </c>
      <c r="AN144" s="252">
        <f t="shared" si="125"/>
        <v>0</v>
      </c>
      <c r="AO144" s="252">
        <f t="shared" si="125"/>
        <v>0</v>
      </c>
      <c r="AP144" s="252">
        <f t="shared" si="125"/>
        <v>0</v>
      </c>
      <c r="AQ144" s="252">
        <f t="shared" si="125"/>
        <v>0</v>
      </c>
      <c r="AR144" s="252">
        <f t="shared" si="125"/>
        <v>0</v>
      </c>
      <c r="AS144" s="252">
        <f t="shared" si="125"/>
        <v>0</v>
      </c>
      <c r="AT144" s="252">
        <f t="shared" si="125"/>
        <v>0</v>
      </c>
      <c r="AU144" s="252">
        <f t="shared" si="125"/>
        <v>0</v>
      </c>
      <c r="AV144" s="252">
        <f t="shared" si="125"/>
        <v>0</v>
      </c>
      <c r="AW144" s="252">
        <f t="shared" si="125"/>
        <v>0</v>
      </c>
      <c r="AX144" s="252">
        <f t="shared" si="125"/>
        <v>0</v>
      </c>
      <c r="AY144" s="252">
        <f t="shared" si="125"/>
        <v>0</v>
      </c>
      <c r="AZ144" s="252">
        <f t="shared" si="125"/>
        <v>0</v>
      </c>
      <c r="BA144" s="252">
        <f t="shared" si="125"/>
        <v>0</v>
      </c>
    </row>
    <row r="145" ht="15.75" customHeight="1">
      <c r="A145" s="851">
        <v>2034.0</v>
      </c>
      <c r="V145" s="852">
        <v>0.0</v>
      </c>
      <c r="W145" s="252">
        <f t="shared" si="22"/>
        <v>0</v>
      </c>
      <c r="X145" s="252">
        <f t="shared" ref="X145:BA145" si="126">IF(AND(X$40-$A145&gt;$V$27,SUM($W145:W145)&lt;&gt;$V145),$V145,0)</f>
        <v>0</v>
      </c>
      <c r="Y145" s="252">
        <f t="shared" si="126"/>
        <v>0</v>
      </c>
      <c r="Z145" s="252">
        <f t="shared" si="126"/>
        <v>0</v>
      </c>
      <c r="AA145" s="252">
        <f t="shared" si="126"/>
        <v>0</v>
      </c>
      <c r="AB145" s="252">
        <f t="shared" si="126"/>
        <v>0</v>
      </c>
      <c r="AC145" s="252">
        <f t="shared" si="126"/>
        <v>0</v>
      </c>
      <c r="AD145" s="252">
        <f t="shared" si="126"/>
        <v>0</v>
      </c>
      <c r="AE145" s="252">
        <f t="shared" si="126"/>
        <v>0</v>
      </c>
      <c r="AF145" s="252">
        <f t="shared" si="126"/>
        <v>0</v>
      </c>
      <c r="AG145" s="252">
        <f t="shared" si="126"/>
        <v>0</v>
      </c>
      <c r="AH145" s="252">
        <f t="shared" si="126"/>
        <v>0</v>
      </c>
      <c r="AI145" s="252">
        <f t="shared" si="126"/>
        <v>0</v>
      </c>
      <c r="AJ145" s="252">
        <f t="shared" si="126"/>
        <v>0</v>
      </c>
      <c r="AK145" s="252">
        <f t="shared" si="126"/>
        <v>0</v>
      </c>
      <c r="AL145" s="252">
        <f t="shared" si="126"/>
        <v>0</v>
      </c>
      <c r="AM145" s="252">
        <f t="shared" si="126"/>
        <v>0</v>
      </c>
      <c r="AN145" s="252">
        <f t="shared" si="126"/>
        <v>0</v>
      </c>
      <c r="AO145" s="252">
        <f t="shared" si="126"/>
        <v>0</v>
      </c>
      <c r="AP145" s="252">
        <f t="shared" si="126"/>
        <v>0</v>
      </c>
      <c r="AQ145" s="252">
        <f t="shared" si="126"/>
        <v>0</v>
      </c>
      <c r="AR145" s="252">
        <f t="shared" si="126"/>
        <v>0</v>
      </c>
      <c r="AS145" s="252">
        <f t="shared" si="126"/>
        <v>0</v>
      </c>
      <c r="AT145" s="252">
        <f t="shared" si="126"/>
        <v>0</v>
      </c>
      <c r="AU145" s="252">
        <f t="shared" si="126"/>
        <v>0</v>
      </c>
      <c r="AV145" s="252">
        <f t="shared" si="126"/>
        <v>0</v>
      </c>
      <c r="AW145" s="252">
        <f t="shared" si="126"/>
        <v>0</v>
      </c>
      <c r="AX145" s="252">
        <f t="shared" si="126"/>
        <v>0</v>
      </c>
      <c r="AY145" s="252">
        <f t="shared" si="126"/>
        <v>0</v>
      </c>
      <c r="AZ145" s="252">
        <f t="shared" si="126"/>
        <v>0</v>
      </c>
      <c r="BA145" s="252">
        <f t="shared" si="126"/>
        <v>0</v>
      </c>
    </row>
    <row r="146" ht="15.75" customHeight="1">
      <c r="A146" s="851">
        <v>2035.0</v>
      </c>
      <c r="V146" s="852">
        <v>0.0</v>
      </c>
      <c r="W146" s="252">
        <f t="shared" si="22"/>
        <v>0</v>
      </c>
      <c r="X146" s="252">
        <f t="shared" ref="X146:BA146" si="127">IF(AND(X$40-$A146&gt;$V$27,SUM($W146:W146)&lt;&gt;$V146),$V146,0)</f>
        <v>0</v>
      </c>
      <c r="Y146" s="252">
        <f t="shared" si="127"/>
        <v>0</v>
      </c>
      <c r="Z146" s="252">
        <f t="shared" si="127"/>
        <v>0</v>
      </c>
      <c r="AA146" s="252">
        <f t="shared" si="127"/>
        <v>0</v>
      </c>
      <c r="AB146" s="252">
        <f t="shared" si="127"/>
        <v>0</v>
      </c>
      <c r="AC146" s="252">
        <f t="shared" si="127"/>
        <v>0</v>
      </c>
      <c r="AD146" s="252">
        <f t="shared" si="127"/>
        <v>0</v>
      </c>
      <c r="AE146" s="252">
        <f t="shared" si="127"/>
        <v>0</v>
      </c>
      <c r="AF146" s="252">
        <f t="shared" si="127"/>
        <v>0</v>
      </c>
      <c r="AG146" s="252">
        <f t="shared" si="127"/>
        <v>0</v>
      </c>
      <c r="AH146" s="252">
        <f t="shared" si="127"/>
        <v>0</v>
      </c>
      <c r="AI146" s="252">
        <f t="shared" si="127"/>
        <v>0</v>
      </c>
      <c r="AJ146" s="252">
        <f t="shared" si="127"/>
        <v>0</v>
      </c>
      <c r="AK146" s="252">
        <f t="shared" si="127"/>
        <v>0</v>
      </c>
      <c r="AL146" s="252">
        <f t="shared" si="127"/>
        <v>0</v>
      </c>
      <c r="AM146" s="252">
        <f t="shared" si="127"/>
        <v>0</v>
      </c>
      <c r="AN146" s="252">
        <f t="shared" si="127"/>
        <v>0</v>
      </c>
      <c r="AO146" s="252">
        <f t="shared" si="127"/>
        <v>0</v>
      </c>
      <c r="AP146" s="252">
        <f t="shared" si="127"/>
        <v>0</v>
      </c>
      <c r="AQ146" s="252">
        <f t="shared" si="127"/>
        <v>0</v>
      </c>
      <c r="AR146" s="252">
        <f t="shared" si="127"/>
        <v>0</v>
      </c>
      <c r="AS146" s="252">
        <f t="shared" si="127"/>
        <v>0</v>
      </c>
      <c r="AT146" s="252">
        <f t="shared" si="127"/>
        <v>0</v>
      </c>
      <c r="AU146" s="252">
        <f t="shared" si="127"/>
        <v>0</v>
      </c>
      <c r="AV146" s="252">
        <f t="shared" si="127"/>
        <v>0</v>
      </c>
      <c r="AW146" s="252">
        <f t="shared" si="127"/>
        <v>0</v>
      </c>
      <c r="AX146" s="252">
        <f t="shared" si="127"/>
        <v>0</v>
      </c>
      <c r="AY146" s="252">
        <f t="shared" si="127"/>
        <v>0</v>
      </c>
      <c r="AZ146" s="252">
        <f t="shared" si="127"/>
        <v>0</v>
      </c>
      <c r="BA146" s="252">
        <f t="shared" si="127"/>
        <v>0</v>
      </c>
    </row>
    <row r="147" ht="15.75" customHeight="1">
      <c r="A147" s="851">
        <v>2036.0</v>
      </c>
      <c r="V147" s="852">
        <v>0.0</v>
      </c>
      <c r="W147" s="252">
        <f t="shared" si="22"/>
        <v>0</v>
      </c>
      <c r="X147" s="252">
        <f t="shared" ref="X147:BA147" si="128">IF(AND(X$40-$A147&gt;$V$27,SUM($W147:W147)&lt;&gt;$V147),$V147,0)</f>
        <v>0</v>
      </c>
      <c r="Y147" s="252">
        <f t="shared" si="128"/>
        <v>0</v>
      </c>
      <c r="Z147" s="252">
        <f t="shared" si="128"/>
        <v>0</v>
      </c>
      <c r="AA147" s="252">
        <f t="shared" si="128"/>
        <v>0</v>
      </c>
      <c r="AB147" s="252">
        <f t="shared" si="128"/>
        <v>0</v>
      </c>
      <c r="AC147" s="252">
        <f t="shared" si="128"/>
        <v>0</v>
      </c>
      <c r="AD147" s="252">
        <f t="shared" si="128"/>
        <v>0</v>
      </c>
      <c r="AE147" s="252">
        <f t="shared" si="128"/>
        <v>0</v>
      </c>
      <c r="AF147" s="252">
        <f t="shared" si="128"/>
        <v>0</v>
      </c>
      <c r="AG147" s="252">
        <f t="shared" si="128"/>
        <v>0</v>
      </c>
      <c r="AH147" s="252">
        <f t="shared" si="128"/>
        <v>0</v>
      </c>
      <c r="AI147" s="252">
        <f t="shared" si="128"/>
        <v>0</v>
      </c>
      <c r="AJ147" s="252">
        <f t="shared" si="128"/>
        <v>0</v>
      </c>
      <c r="AK147" s="252">
        <f t="shared" si="128"/>
        <v>0</v>
      </c>
      <c r="AL147" s="252">
        <f t="shared" si="128"/>
        <v>0</v>
      </c>
      <c r="AM147" s="252">
        <f t="shared" si="128"/>
        <v>0</v>
      </c>
      <c r="AN147" s="252">
        <f t="shared" si="128"/>
        <v>0</v>
      </c>
      <c r="AO147" s="252">
        <f t="shared" si="128"/>
        <v>0</v>
      </c>
      <c r="AP147" s="252">
        <f t="shared" si="128"/>
        <v>0</v>
      </c>
      <c r="AQ147" s="252">
        <f t="shared" si="128"/>
        <v>0</v>
      </c>
      <c r="AR147" s="252">
        <f t="shared" si="128"/>
        <v>0</v>
      </c>
      <c r="AS147" s="252">
        <f t="shared" si="128"/>
        <v>0</v>
      </c>
      <c r="AT147" s="252">
        <f t="shared" si="128"/>
        <v>0</v>
      </c>
      <c r="AU147" s="252">
        <f t="shared" si="128"/>
        <v>0</v>
      </c>
      <c r="AV147" s="252">
        <f t="shared" si="128"/>
        <v>0</v>
      </c>
      <c r="AW147" s="252">
        <f t="shared" si="128"/>
        <v>0</v>
      </c>
      <c r="AX147" s="252">
        <f t="shared" si="128"/>
        <v>0</v>
      </c>
      <c r="AY147" s="252">
        <f t="shared" si="128"/>
        <v>0</v>
      </c>
      <c r="AZ147" s="252">
        <f t="shared" si="128"/>
        <v>0</v>
      </c>
      <c r="BA147" s="252">
        <f t="shared" si="128"/>
        <v>0</v>
      </c>
    </row>
    <row r="148" ht="15.75" customHeight="1">
      <c r="A148" s="851">
        <v>2037.0</v>
      </c>
      <c r="V148" s="852">
        <v>0.0</v>
      </c>
      <c r="W148" s="252">
        <f t="shared" si="22"/>
        <v>0</v>
      </c>
      <c r="X148" s="252">
        <f t="shared" ref="X148:BA148" si="129">IF(AND(X$40-$A148&gt;$V$27,SUM($W148:W148)&lt;&gt;$V148),$V148,0)</f>
        <v>0</v>
      </c>
      <c r="Y148" s="252">
        <f t="shared" si="129"/>
        <v>0</v>
      </c>
      <c r="Z148" s="252">
        <f t="shared" si="129"/>
        <v>0</v>
      </c>
      <c r="AA148" s="252">
        <f t="shared" si="129"/>
        <v>0</v>
      </c>
      <c r="AB148" s="252">
        <f t="shared" si="129"/>
        <v>0</v>
      </c>
      <c r="AC148" s="252">
        <f t="shared" si="129"/>
        <v>0</v>
      </c>
      <c r="AD148" s="252">
        <f t="shared" si="129"/>
        <v>0</v>
      </c>
      <c r="AE148" s="252">
        <f t="shared" si="129"/>
        <v>0</v>
      </c>
      <c r="AF148" s="252">
        <f t="shared" si="129"/>
        <v>0</v>
      </c>
      <c r="AG148" s="252">
        <f t="shared" si="129"/>
        <v>0</v>
      </c>
      <c r="AH148" s="252">
        <f t="shared" si="129"/>
        <v>0</v>
      </c>
      <c r="AI148" s="252">
        <f t="shared" si="129"/>
        <v>0</v>
      </c>
      <c r="AJ148" s="252">
        <f t="shared" si="129"/>
        <v>0</v>
      </c>
      <c r="AK148" s="252">
        <f t="shared" si="129"/>
        <v>0</v>
      </c>
      <c r="AL148" s="252">
        <f t="shared" si="129"/>
        <v>0</v>
      </c>
      <c r="AM148" s="252">
        <f t="shared" si="129"/>
        <v>0</v>
      </c>
      <c r="AN148" s="252">
        <f t="shared" si="129"/>
        <v>0</v>
      </c>
      <c r="AO148" s="252">
        <f t="shared" si="129"/>
        <v>0</v>
      </c>
      <c r="AP148" s="252">
        <f t="shared" si="129"/>
        <v>0</v>
      </c>
      <c r="AQ148" s="252">
        <f t="shared" si="129"/>
        <v>0</v>
      </c>
      <c r="AR148" s="252">
        <f t="shared" si="129"/>
        <v>0</v>
      </c>
      <c r="AS148" s="252">
        <f t="shared" si="129"/>
        <v>0</v>
      </c>
      <c r="AT148" s="252">
        <f t="shared" si="129"/>
        <v>0</v>
      </c>
      <c r="AU148" s="252">
        <f t="shared" si="129"/>
        <v>0</v>
      </c>
      <c r="AV148" s="252">
        <f t="shared" si="129"/>
        <v>0</v>
      </c>
      <c r="AW148" s="252">
        <f t="shared" si="129"/>
        <v>0</v>
      </c>
      <c r="AX148" s="252">
        <f t="shared" si="129"/>
        <v>0</v>
      </c>
      <c r="AY148" s="252">
        <f t="shared" si="129"/>
        <v>0</v>
      </c>
      <c r="AZ148" s="252">
        <f t="shared" si="129"/>
        <v>0</v>
      </c>
      <c r="BA148" s="252">
        <f t="shared" si="129"/>
        <v>0</v>
      </c>
    </row>
    <row r="149" ht="15.75" customHeight="1">
      <c r="A149" s="851">
        <v>2038.0</v>
      </c>
      <c r="V149" s="852">
        <v>0.0</v>
      </c>
      <c r="W149" s="252">
        <f t="shared" si="22"/>
        <v>0</v>
      </c>
      <c r="X149" s="252">
        <f t="shared" ref="X149:BA149" si="130">IF(AND(X$40-$A149&gt;$V$27,SUM($W149:W149)&lt;&gt;$V149),$V149,0)</f>
        <v>0</v>
      </c>
      <c r="Y149" s="252">
        <f t="shared" si="130"/>
        <v>0</v>
      </c>
      <c r="Z149" s="252">
        <f t="shared" si="130"/>
        <v>0</v>
      </c>
      <c r="AA149" s="252">
        <f t="shared" si="130"/>
        <v>0</v>
      </c>
      <c r="AB149" s="252">
        <f t="shared" si="130"/>
        <v>0</v>
      </c>
      <c r="AC149" s="252">
        <f t="shared" si="130"/>
        <v>0</v>
      </c>
      <c r="AD149" s="252">
        <f t="shared" si="130"/>
        <v>0</v>
      </c>
      <c r="AE149" s="252">
        <f t="shared" si="130"/>
        <v>0</v>
      </c>
      <c r="AF149" s="252">
        <f t="shared" si="130"/>
        <v>0</v>
      </c>
      <c r="AG149" s="252">
        <f t="shared" si="130"/>
        <v>0</v>
      </c>
      <c r="AH149" s="252">
        <f t="shared" si="130"/>
        <v>0</v>
      </c>
      <c r="AI149" s="252">
        <f t="shared" si="130"/>
        <v>0</v>
      </c>
      <c r="AJ149" s="252">
        <f t="shared" si="130"/>
        <v>0</v>
      </c>
      <c r="AK149" s="252">
        <f t="shared" si="130"/>
        <v>0</v>
      </c>
      <c r="AL149" s="252">
        <f t="shared" si="130"/>
        <v>0</v>
      </c>
      <c r="AM149" s="252">
        <f t="shared" si="130"/>
        <v>0</v>
      </c>
      <c r="AN149" s="252">
        <f t="shared" si="130"/>
        <v>0</v>
      </c>
      <c r="AO149" s="252">
        <f t="shared" si="130"/>
        <v>0</v>
      </c>
      <c r="AP149" s="252">
        <f t="shared" si="130"/>
        <v>0</v>
      </c>
      <c r="AQ149" s="252">
        <f t="shared" si="130"/>
        <v>0</v>
      </c>
      <c r="AR149" s="252">
        <f t="shared" si="130"/>
        <v>0</v>
      </c>
      <c r="AS149" s="252">
        <f t="shared" si="130"/>
        <v>0</v>
      </c>
      <c r="AT149" s="252">
        <f t="shared" si="130"/>
        <v>0</v>
      </c>
      <c r="AU149" s="252">
        <f t="shared" si="130"/>
        <v>0</v>
      </c>
      <c r="AV149" s="252">
        <f t="shared" si="130"/>
        <v>0</v>
      </c>
      <c r="AW149" s="252">
        <f t="shared" si="130"/>
        <v>0</v>
      </c>
      <c r="AX149" s="252">
        <f t="shared" si="130"/>
        <v>0</v>
      </c>
      <c r="AY149" s="252">
        <f t="shared" si="130"/>
        <v>0</v>
      </c>
      <c r="AZ149" s="252">
        <f t="shared" si="130"/>
        <v>0</v>
      </c>
      <c r="BA149" s="252">
        <f t="shared" si="130"/>
        <v>0</v>
      </c>
    </row>
    <row r="150" ht="15.75" customHeight="1">
      <c r="A150" s="851">
        <v>2039.0</v>
      </c>
      <c r="V150" s="852">
        <v>0.0</v>
      </c>
      <c r="W150" s="252">
        <f t="shared" si="22"/>
        <v>0</v>
      </c>
      <c r="X150" s="252">
        <f t="shared" ref="X150:BA150" si="131">IF(AND(X$40-$A150&gt;$V$27,SUM($W150:W150)&lt;&gt;$V150),$V150,0)</f>
        <v>0</v>
      </c>
      <c r="Y150" s="252">
        <f t="shared" si="131"/>
        <v>0</v>
      </c>
      <c r="Z150" s="252">
        <f t="shared" si="131"/>
        <v>0</v>
      </c>
      <c r="AA150" s="252">
        <f t="shared" si="131"/>
        <v>0</v>
      </c>
      <c r="AB150" s="252">
        <f t="shared" si="131"/>
        <v>0</v>
      </c>
      <c r="AC150" s="252">
        <f t="shared" si="131"/>
        <v>0</v>
      </c>
      <c r="AD150" s="252">
        <f t="shared" si="131"/>
        <v>0</v>
      </c>
      <c r="AE150" s="252">
        <f t="shared" si="131"/>
        <v>0</v>
      </c>
      <c r="AF150" s="252">
        <f t="shared" si="131"/>
        <v>0</v>
      </c>
      <c r="AG150" s="252">
        <f t="shared" si="131"/>
        <v>0</v>
      </c>
      <c r="AH150" s="252">
        <f t="shared" si="131"/>
        <v>0</v>
      </c>
      <c r="AI150" s="252">
        <f t="shared" si="131"/>
        <v>0</v>
      </c>
      <c r="AJ150" s="252">
        <f t="shared" si="131"/>
        <v>0</v>
      </c>
      <c r="AK150" s="252">
        <f t="shared" si="131"/>
        <v>0</v>
      </c>
      <c r="AL150" s="252">
        <f t="shared" si="131"/>
        <v>0</v>
      </c>
      <c r="AM150" s="252">
        <f t="shared" si="131"/>
        <v>0</v>
      </c>
      <c r="AN150" s="252">
        <f t="shared" si="131"/>
        <v>0</v>
      </c>
      <c r="AO150" s="252">
        <f t="shared" si="131"/>
        <v>0</v>
      </c>
      <c r="AP150" s="252">
        <f t="shared" si="131"/>
        <v>0</v>
      </c>
      <c r="AQ150" s="252">
        <f t="shared" si="131"/>
        <v>0</v>
      </c>
      <c r="AR150" s="252">
        <f t="shared" si="131"/>
        <v>0</v>
      </c>
      <c r="AS150" s="252">
        <f t="shared" si="131"/>
        <v>0</v>
      </c>
      <c r="AT150" s="252">
        <f t="shared" si="131"/>
        <v>0</v>
      </c>
      <c r="AU150" s="252">
        <f t="shared" si="131"/>
        <v>0</v>
      </c>
      <c r="AV150" s="252">
        <f t="shared" si="131"/>
        <v>0</v>
      </c>
      <c r="AW150" s="252">
        <f t="shared" si="131"/>
        <v>0</v>
      </c>
      <c r="AX150" s="252">
        <f t="shared" si="131"/>
        <v>0</v>
      </c>
      <c r="AY150" s="252">
        <f t="shared" si="131"/>
        <v>0</v>
      </c>
      <c r="AZ150" s="252">
        <f t="shared" si="131"/>
        <v>0</v>
      </c>
      <c r="BA150" s="252">
        <f t="shared" si="131"/>
        <v>0</v>
      </c>
    </row>
    <row r="151" ht="15.75" customHeight="1">
      <c r="A151" s="851">
        <v>2040.0</v>
      </c>
      <c r="V151" s="852">
        <v>0.0</v>
      </c>
      <c r="W151" s="252">
        <f t="shared" si="22"/>
        <v>0</v>
      </c>
      <c r="X151" s="252">
        <f t="shared" ref="X151:BA151" si="132">IF(AND(X$40-$A151&gt;$V$27,SUM($W151:W151)&lt;&gt;$V151),$V151,0)</f>
        <v>0</v>
      </c>
      <c r="Y151" s="252">
        <f t="shared" si="132"/>
        <v>0</v>
      </c>
      <c r="Z151" s="252">
        <f t="shared" si="132"/>
        <v>0</v>
      </c>
      <c r="AA151" s="252">
        <f t="shared" si="132"/>
        <v>0</v>
      </c>
      <c r="AB151" s="252">
        <f t="shared" si="132"/>
        <v>0</v>
      </c>
      <c r="AC151" s="252">
        <f t="shared" si="132"/>
        <v>0</v>
      </c>
      <c r="AD151" s="252">
        <f t="shared" si="132"/>
        <v>0</v>
      </c>
      <c r="AE151" s="252">
        <f t="shared" si="132"/>
        <v>0</v>
      </c>
      <c r="AF151" s="252">
        <f t="shared" si="132"/>
        <v>0</v>
      </c>
      <c r="AG151" s="252">
        <f t="shared" si="132"/>
        <v>0</v>
      </c>
      <c r="AH151" s="252">
        <f t="shared" si="132"/>
        <v>0</v>
      </c>
      <c r="AI151" s="252">
        <f t="shared" si="132"/>
        <v>0</v>
      </c>
      <c r="AJ151" s="252">
        <f t="shared" si="132"/>
        <v>0</v>
      </c>
      <c r="AK151" s="252">
        <f t="shared" si="132"/>
        <v>0</v>
      </c>
      <c r="AL151" s="252">
        <f t="shared" si="132"/>
        <v>0</v>
      </c>
      <c r="AM151" s="252">
        <f t="shared" si="132"/>
        <v>0</v>
      </c>
      <c r="AN151" s="252">
        <f t="shared" si="132"/>
        <v>0</v>
      </c>
      <c r="AO151" s="252">
        <f t="shared" si="132"/>
        <v>0</v>
      </c>
      <c r="AP151" s="252">
        <f t="shared" si="132"/>
        <v>0</v>
      </c>
      <c r="AQ151" s="252">
        <f t="shared" si="132"/>
        <v>0</v>
      </c>
      <c r="AR151" s="252">
        <f t="shared" si="132"/>
        <v>0</v>
      </c>
      <c r="AS151" s="252">
        <f t="shared" si="132"/>
        <v>0</v>
      </c>
      <c r="AT151" s="252">
        <f t="shared" si="132"/>
        <v>0</v>
      </c>
      <c r="AU151" s="252">
        <f t="shared" si="132"/>
        <v>0</v>
      </c>
      <c r="AV151" s="252">
        <f t="shared" si="132"/>
        <v>0</v>
      </c>
      <c r="AW151" s="252">
        <f t="shared" si="132"/>
        <v>0</v>
      </c>
      <c r="AX151" s="252">
        <f t="shared" si="132"/>
        <v>0</v>
      </c>
      <c r="AY151" s="252">
        <f t="shared" si="132"/>
        <v>0</v>
      </c>
      <c r="AZ151" s="252">
        <f t="shared" si="132"/>
        <v>0</v>
      </c>
      <c r="BA151" s="252">
        <f t="shared" si="132"/>
        <v>0</v>
      </c>
    </row>
    <row r="152" ht="15.75" customHeight="1">
      <c r="A152" s="851">
        <v>2041.0</v>
      </c>
      <c r="V152" s="852">
        <v>0.0</v>
      </c>
      <c r="W152" s="252">
        <f t="shared" si="22"/>
        <v>0</v>
      </c>
      <c r="X152" s="252">
        <f t="shared" ref="X152:BA152" si="133">IF(AND(X$40-$A152&gt;$V$27,SUM($W152:W152)&lt;&gt;$V152),$V152,0)</f>
        <v>0</v>
      </c>
      <c r="Y152" s="252">
        <f t="shared" si="133"/>
        <v>0</v>
      </c>
      <c r="Z152" s="252">
        <f t="shared" si="133"/>
        <v>0</v>
      </c>
      <c r="AA152" s="252">
        <f t="shared" si="133"/>
        <v>0</v>
      </c>
      <c r="AB152" s="252">
        <f t="shared" si="133"/>
        <v>0</v>
      </c>
      <c r="AC152" s="252">
        <f t="shared" si="133"/>
        <v>0</v>
      </c>
      <c r="AD152" s="252">
        <f t="shared" si="133"/>
        <v>0</v>
      </c>
      <c r="AE152" s="252">
        <f t="shared" si="133"/>
        <v>0</v>
      </c>
      <c r="AF152" s="252">
        <f t="shared" si="133"/>
        <v>0</v>
      </c>
      <c r="AG152" s="252">
        <f t="shared" si="133"/>
        <v>0</v>
      </c>
      <c r="AH152" s="252">
        <f t="shared" si="133"/>
        <v>0</v>
      </c>
      <c r="AI152" s="252">
        <f t="shared" si="133"/>
        <v>0</v>
      </c>
      <c r="AJ152" s="252">
        <f t="shared" si="133"/>
        <v>0</v>
      </c>
      <c r="AK152" s="252">
        <f t="shared" si="133"/>
        <v>0</v>
      </c>
      <c r="AL152" s="252">
        <f t="shared" si="133"/>
        <v>0</v>
      </c>
      <c r="AM152" s="252">
        <f t="shared" si="133"/>
        <v>0</v>
      </c>
      <c r="AN152" s="252">
        <f t="shared" si="133"/>
        <v>0</v>
      </c>
      <c r="AO152" s="252">
        <f t="shared" si="133"/>
        <v>0</v>
      </c>
      <c r="AP152" s="252">
        <f t="shared" si="133"/>
        <v>0</v>
      </c>
      <c r="AQ152" s="252">
        <f t="shared" si="133"/>
        <v>0</v>
      </c>
      <c r="AR152" s="252">
        <f t="shared" si="133"/>
        <v>0</v>
      </c>
      <c r="AS152" s="252">
        <f t="shared" si="133"/>
        <v>0</v>
      </c>
      <c r="AT152" s="252">
        <f t="shared" si="133"/>
        <v>0</v>
      </c>
      <c r="AU152" s="252">
        <f t="shared" si="133"/>
        <v>0</v>
      </c>
      <c r="AV152" s="252">
        <f t="shared" si="133"/>
        <v>0</v>
      </c>
      <c r="AW152" s="252">
        <f t="shared" si="133"/>
        <v>0</v>
      </c>
      <c r="AX152" s="252">
        <f t="shared" si="133"/>
        <v>0</v>
      </c>
      <c r="AY152" s="252">
        <f t="shared" si="133"/>
        <v>0</v>
      </c>
      <c r="AZ152" s="252">
        <f t="shared" si="133"/>
        <v>0</v>
      </c>
      <c r="BA152" s="252">
        <f t="shared" si="133"/>
        <v>0</v>
      </c>
    </row>
    <row r="153" ht="15.75" customHeight="1">
      <c r="A153" s="851">
        <v>2042.0</v>
      </c>
      <c r="V153" s="852">
        <v>0.0</v>
      </c>
      <c r="W153" s="252">
        <f t="shared" si="22"/>
        <v>0</v>
      </c>
      <c r="X153" s="252">
        <f t="shared" ref="X153:BA153" si="134">IF(AND(X$40-$A153&gt;$V$27,SUM($W153:W153)&lt;&gt;$V153),$V153,0)</f>
        <v>0</v>
      </c>
      <c r="Y153" s="252">
        <f t="shared" si="134"/>
        <v>0</v>
      </c>
      <c r="Z153" s="252">
        <f t="shared" si="134"/>
        <v>0</v>
      </c>
      <c r="AA153" s="252">
        <f t="shared" si="134"/>
        <v>0</v>
      </c>
      <c r="AB153" s="252">
        <f t="shared" si="134"/>
        <v>0</v>
      </c>
      <c r="AC153" s="252">
        <f t="shared" si="134"/>
        <v>0</v>
      </c>
      <c r="AD153" s="252">
        <f t="shared" si="134"/>
        <v>0</v>
      </c>
      <c r="AE153" s="252">
        <f t="shared" si="134"/>
        <v>0</v>
      </c>
      <c r="AF153" s="252">
        <f t="shared" si="134"/>
        <v>0</v>
      </c>
      <c r="AG153" s="252">
        <f t="shared" si="134"/>
        <v>0</v>
      </c>
      <c r="AH153" s="252">
        <f t="shared" si="134"/>
        <v>0</v>
      </c>
      <c r="AI153" s="252">
        <f t="shared" si="134"/>
        <v>0</v>
      </c>
      <c r="AJ153" s="252">
        <f t="shared" si="134"/>
        <v>0</v>
      </c>
      <c r="AK153" s="252">
        <f t="shared" si="134"/>
        <v>0</v>
      </c>
      <c r="AL153" s="252">
        <f t="shared" si="134"/>
        <v>0</v>
      </c>
      <c r="AM153" s="252">
        <f t="shared" si="134"/>
        <v>0</v>
      </c>
      <c r="AN153" s="252">
        <f t="shared" si="134"/>
        <v>0</v>
      </c>
      <c r="AO153" s="252">
        <f t="shared" si="134"/>
        <v>0</v>
      </c>
      <c r="AP153" s="252">
        <f t="shared" si="134"/>
        <v>0</v>
      </c>
      <c r="AQ153" s="252">
        <f t="shared" si="134"/>
        <v>0</v>
      </c>
      <c r="AR153" s="252">
        <f t="shared" si="134"/>
        <v>0</v>
      </c>
      <c r="AS153" s="252">
        <f t="shared" si="134"/>
        <v>0</v>
      </c>
      <c r="AT153" s="252">
        <f t="shared" si="134"/>
        <v>0</v>
      </c>
      <c r="AU153" s="252">
        <f t="shared" si="134"/>
        <v>0</v>
      </c>
      <c r="AV153" s="252">
        <f t="shared" si="134"/>
        <v>0</v>
      </c>
      <c r="AW153" s="252">
        <f t="shared" si="134"/>
        <v>0</v>
      </c>
      <c r="AX153" s="252">
        <f t="shared" si="134"/>
        <v>0</v>
      </c>
      <c r="AY153" s="252">
        <f t="shared" si="134"/>
        <v>0</v>
      </c>
      <c r="AZ153" s="252">
        <f t="shared" si="134"/>
        <v>0</v>
      </c>
      <c r="BA153" s="252">
        <f t="shared" si="134"/>
        <v>0</v>
      </c>
    </row>
    <row r="154" ht="15.75" customHeight="1">
      <c r="A154" s="851">
        <v>2043.0</v>
      </c>
      <c r="V154" s="852">
        <v>0.0</v>
      </c>
      <c r="W154" s="252">
        <f t="shared" si="22"/>
        <v>0</v>
      </c>
      <c r="X154" s="252">
        <f t="shared" ref="X154:BA154" si="135">IF(AND(X$40-$A154&gt;$V$27,SUM($W154:W154)&lt;&gt;$V154),$V154,0)</f>
        <v>0</v>
      </c>
      <c r="Y154" s="252">
        <f t="shared" si="135"/>
        <v>0</v>
      </c>
      <c r="Z154" s="252">
        <f t="shared" si="135"/>
        <v>0</v>
      </c>
      <c r="AA154" s="252">
        <f t="shared" si="135"/>
        <v>0</v>
      </c>
      <c r="AB154" s="252">
        <f t="shared" si="135"/>
        <v>0</v>
      </c>
      <c r="AC154" s="252">
        <f t="shared" si="135"/>
        <v>0</v>
      </c>
      <c r="AD154" s="252">
        <f t="shared" si="135"/>
        <v>0</v>
      </c>
      <c r="AE154" s="252">
        <f t="shared" si="135"/>
        <v>0</v>
      </c>
      <c r="AF154" s="252">
        <f t="shared" si="135"/>
        <v>0</v>
      </c>
      <c r="AG154" s="252">
        <f t="shared" si="135"/>
        <v>0</v>
      </c>
      <c r="AH154" s="252">
        <f t="shared" si="135"/>
        <v>0</v>
      </c>
      <c r="AI154" s="252">
        <f t="shared" si="135"/>
        <v>0</v>
      </c>
      <c r="AJ154" s="252">
        <f t="shared" si="135"/>
        <v>0</v>
      </c>
      <c r="AK154" s="252">
        <f t="shared" si="135"/>
        <v>0</v>
      </c>
      <c r="AL154" s="252">
        <f t="shared" si="135"/>
        <v>0</v>
      </c>
      <c r="AM154" s="252">
        <f t="shared" si="135"/>
        <v>0</v>
      </c>
      <c r="AN154" s="252">
        <f t="shared" si="135"/>
        <v>0</v>
      </c>
      <c r="AO154" s="252">
        <f t="shared" si="135"/>
        <v>0</v>
      </c>
      <c r="AP154" s="252">
        <f t="shared" si="135"/>
        <v>0</v>
      </c>
      <c r="AQ154" s="252">
        <f t="shared" si="135"/>
        <v>0</v>
      </c>
      <c r="AR154" s="252">
        <f t="shared" si="135"/>
        <v>0</v>
      </c>
      <c r="AS154" s="252">
        <f t="shared" si="135"/>
        <v>0</v>
      </c>
      <c r="AT154" s="252">
        <f t="shared" si="135"/>
        <v>0</v>
      </c>
      <c r="AU154" s="252">
        <f t="shared" si="135"/>
        <v>0</v>
      </c>
      <c r="AV154" s="252">
        <f t="shared" si="135"/>
        <v>0</v>
      </c>
      <c r="AW154" s="252">
        <f t="shared" si="135"/>
        <v>0</v>
      </c>
      <c r="AX154" s="252">
        <f t="shared" si="135"/>
        <v>0</v>
      </c>
      <c r="AY154" s="252">
        <f t="shared" si="135"/>
        <v>0</v>
      </c>
      <c r="AZ154" s="252">
        <f t="shared" si="135"/>
        <v>0</v>
      </c>
      <c r="BA154" s="252">
        <f t="shared" si="135"/>
        <v>0</v>
      </c>
    </row>
    <row r="155" ht="15.75" customHeight="1">
      <c r="A155" s="851">
        <v>2044.0</v>
      </c>
      <c r="V155" s="852">
        <v>0.0</v>
      </c>
      <c r="W155" s="252">
        <f t="shared" si="22"/>
        <v>0</v>
      </c>
      <c r="X155" s="252">
        <f t="shared" ref="X155:BA155" si="136">IF(AND(X$40-$A155&gt;$V$27,SUM($W155:W155)&lt;&gt;$V155),$V155,0)</f>
        <v>0</v>
      </c>
      <c r="Y155" s="252">
        <f t="shared" si="136"/>
        <v>0</v>
      </c>
      <c r="Z155" s="252">
        <f t="shared" si="136"/>
        <v>0</v>
      </c>
      <c r="AA155" s="252">
        <f t="shared" si="136"/>
        <v>0</v>
      </c>
      <c r="AB155" s="252">
        <f t="shared" si="136"/>
        <v>0</v>
      </c>
      <c r="AC155" s="252">
        <f t="shared" si="136"/>
        <v>0</v>
      </c>
      <c r="AD155" s="252">
        <f t="shared" si="136"/>
        <v>0</v>
      </c>
      <c r="AE155" s="252">
        <f t="shared" si="136"/>
        <v>0</v>
      </c>
      <c r="AF155" s="252">
        <f t="shared" si="136"/>
        <v>0</v>
      </c>
      <c r="AG155" s="252">
        <f t="shared" si="136"/>
        <v>0</v>
      </c>
      <c r="AH155" s="252">
        <f t="shared" si="136"/>
        <v>0</v>
      </c>
      <c r="AI155" s="252">
        <f t="shared" si="136"/>
        <v>0</v>
      </c>
      <c r="AJ155" s="252">
        <f t="shared" si="136"/>
        <v>0</v>
      </c>
      <c r="AK155" s="252">
        <f t="shared" si="136"/>
        <v>0</v>
      </c>
      <c r="AL155" s="252">
        <f t="shared" si="136"/>
        <v>0</v>
      </c>
      <c r="AM155" s="252">
        <f t="shared" si="136"/>
        <v>0</v>
      </c>
      <c r="AN155" s="252">
        <f t="shared" si="136"/>
        <v>0</v>
      </c>
      <c r="AO155" s="252">
        <f t="shared" si="136"/>
        <v>0</v>
      </c>
      <c r="AP155" s="252">
        <f t="shared" si="136"/>
        <v>0</v>
      </c>
      <c r="AQ155" s="252">
        <f t="shared" si="136"/>
        <v>0</v>
      </c>
      <c r="AR155" s="252">
        <f t="shared" si="136"/>
        <v>0</v>
      </c>
      <c r="AS155" s="252">
        <f t="shared" si="136"/>
        <v>0</v>
      </c>
      <c r="AT155" s="252">
        <f t="shared" si="136"/>
        <v>0</v>
      </c>
      <c r="AU155" s="252">
        <f t="shared" si="136"/>
        <v>0</v>
      </c>
      <c r="AV155" s="252">
        <f t="shared" si="136"/>
        <v>0</v>
      </c>
      <c r="AW155" s="252">
        <f t="shared" si="136"/>
        <v>0</v>
      </c>
      <c r="AX155" s="252">
        <f t="shared" si="136"/>
        <v>0</v>
      </c>
      <c r="AY155" s="252">
        <f t="shared" si="136"/>
        <v>0</v>
      </c>
      <c r="AZ155" s="252">
        <f t="shared" si="136"/>
        <v>0</v>
      </c>
      <c r="BA155" s="252">
        <f t="shared" si="136"/>
        <v>0</v>
      </c>
    </row>
    <row r="156" ht="15.75" customHeight="1">
      <c r="A156" s="851">
        <v>2045.0</v>
      </c>
      <c r="V156" s="852">
        <v>0.0</v>
      </c>
      <c r="W156" s="252">
        <f t="shared" si="22"/>
        <v>0</v>
      </c>
      <c r="X156" s="252">
        <f t="shared" ref="X156:BA156" si="137">IF(AND(X$40-$A156&gt;$V$27,SUM($W156:W156)&lt;&gt;$V156),$V156,0)</f>
        <v>0</v>
      </c>
      <c r="Y156" s="252">
        <f t="shared" si="137"/>
        <v>0</v>
      </c>
      <c r="Z156" s="252">
        <f t="shared" si="137"/>
        <v>0</v>
      </c>
      <c r="AA156" s="252">
        <f t="shared" si="137"/>
        <v>0</v>
      </c>
      <c r="AB156" s="252">
        <f t="shared" si="137"/>
        <v>0</v>
      </c>
      <c r="AC156" s="252">
        <f t="shared" si="137"/>
        <v>0</v>
      </c>
      <c r="AD156" s="252">
        <f t="shared" si="137"/>
        <v>0</v>
      </c>
      <c r="AE156" s="252">
        <f t="shared" si="137"/>
        <v>0</v>
      </c>
      <c r="AF156" s="252">
        <f t="shared" si="137"/>
        <v>0</v>
      </c>
      <c r="AG156" s="252">
        <f t="shared" si="137"/>
        <v>0</v>
      </c>
      <c r="AH156" s="252">
        <f t="shared" si="137"/>
        <v>0</v>
      </c>
      <c r="AI156" s="252">
        <f t="shared" si="137"/>
        <v>0</v>
      </c>
      <c r="AJ156" s="252">
        <f t="shared" si="137"/>
        <v>0</v>
      </c>
      <c r="AK156" s="252">
        <f t="shared" si="137"/>
        <v>0</v>
      </c>
      <c r="AL156" s="252">
        <f t="shared" si="137"/>
        <v>0</v>
      </c>
      <c r="AM156" s="252">
        <f t="shared" si="137"/>
        <v>0</v>
      </c>
      <c r="AN156" s="252">
        <f t="shared" si="137"/>
        <v>0</v>
      </c>
      <c r="AO156" s="252">
        <f t="shared" si="137"/>
        <v>0</v>
      </c>
      <c r="AP156" s="252">
        <f t="shared" si="137"/>
        <v>0</v>
      </c>
      <c r="AQ156" s="252">
        <f t="shared" si="137"/>
        <v>0</v>
      </c>
      <c r="AR156" s="252">
        <f t="shared" si="137"/>
        <v>0</v>
      </c>
      <c r="AS156" s="252">
        <f t="shared" si="137"/>
        <v>0</v>
      </c>
      <c r="AT156" s="252">
        <f t="shared" si="137"/>
        <v>0</v>
      </c>
      <c r="AU156" s="252">
        <f t="shared" si="137"/>
        <v>0</v>
      </c>
      <c r="AV156" s="252">
        <f t="shared" si="137"/>
        <v>0</v>
      </c>
      <c r="AW156" s="252">
        <f t="shared" si="137"/>
        <v>0</v>
      </c>
      <c r="AX156" s="252">
        <f t="shared" si="137"/>
        <v>0</v>
      </c>
      <c r="AY156" s="252">
        <f t="shared" si="137"/>
        <v>0</v>
      </c>
      <c r="AZ156" s="252">
        <f t="shared" si="137"/>
        <v>0</v>
      </c>
      <c r="BA156" s="252">
        <f t="shared" si="137"/>
        <v>0</v>
      </c>
    </row>
    <row r="157" ht="15.75" customHeight="1">
      <c r="A157" s="851">
        <v>2046.0</v>
      </c>
      <c r="V157" s="852">
        <v>0.0</v>
      </c>
      <c r="W157" s="252">
        <f t="shared" si="22"/>
        <v>0</v>
      </c>
      <c r="X157" s="252">
        <f t="shared" ref="X157:BA157" si="138">IF(AND(X$40-$A157&gt;$V$27,SUM($W157:W157)&lt;&gt;$V157),$V157,0)</f>
        <v>0</v>
      </c>
      <c r="Y157" s="252">
        <f t="shared" si="138"/>
        <v>0</v>
      </c>
      <c r="Z157" s="252">
        <f t="shared" si="138"/>
        <v>0</v>
      </c>
      <c r="AA157" s="252">
        <f t="shared" si="138"/>
        <v>0</v>
      </c>
      <c r="AB157" s="252">
        <f t="shared" si="138"/>
        <v>0</v>
      </c>
      <c r="AC157" s="252">
        <f t="shared" si="138"/>
        <v>0</v>
      </c>
      <c r="AD157" s="252">
        <f t="shared" si="138"/>
        <v>0</v>
      </c>
      <c r="AE157" s="252">
        <f t="shared" si="138"/>
        <v>0</v>
      </c>
      <c r="AF157" s="252">
        <f t="shared" si="138"/>
        <v>0</v>
      </c>
      <c r="AG157" s="252">
        <f t="shared" si="138"/>
        <v>0</v>
      </c>
      <c r="AH157" s="252">
        <f t="shared" si="138"/>
        <v>0</v>
      </c>
      <c r="AI157" s="252">
        <f t="shared" si="138"/>
        <v>0</v>
      </c>
      <c r="AJ157" s="252">
        <f t="shared" si="138"/>
        <v>0</v>
      </c>
      <c r="AK157" s="252">
        <f t="shared" si="138"/>
        <v>0</v>
      </c>
      <c r="AL157" s="252">
        <f t="shared" si="138"/>
        <v>0</v>
      </c>
      <c r="AM157" s="252">
        <f t="shared" si="138"/>
        <v>0</v>
      </c>
      <c r="AN157" s="252">
        <f t="shared" si="138"/>
        <v>0</v>
      </c>
      <c r="AO157" s="252">
        <f t="shared" si="138"/>
        <v>0</v>
      </c>
      <c r="AP157" s="252">
        <f t="shared" si="138"/>
        <v>0</v>
      </c>
      <c r="AQ157" s="252">
        <f t="shared" si="138"/>
        <v>0</v>
      </c>
      <c r="AR157" s="252">
        <f t="shared" si="138"/>
        <v>0</v>
      </c>
      <c r="AS157" s="252">
        <f t="shared" si="138"/>
        <v>0</v>
      </c>
      <c r="AT157" s="252">
        <f t="shared" si="138"/>
        <v>0</v>
      </c>
      <c r="AU157" s="252">
        <f t="shared" si="138"/>
        <v>0</v>
      </c>
      <c r="AV157" s="252">
        <f t="shared" si="138"/>
        <v>0</v>
      </c>
      <c r="AW157" s="252">
        <f t="shared" si="138"/>
        <v>0</v>
      </c>
      <c r="AX157" s="252">
        <f t="shared" si="138"/>
        <v>0</v>
      </c>
      <c r="AY157" s="252">
        <f t="shared" si="138"/>
        <v>0</v>
      </c>
      <c r="AZ157" s="252">
        <f t="shared" si="138"/>
        <v>0</v>
      </c>
      <c r="BA157" s="252">
        <f t="shared" si="138"/>
        <v>0</v>
      </c>
    </row>
    <row r="158" ht="15.75" customHeight="1">
      <c r="A158" s="851">
        <v>2047.0</v>
      </c>
      <c r="V158" s="852">
        <v>0.0</v>
      </c>
      <c r="W158" s="252">
        <f t="shared" si="22"/>
        <v>0</v>
      </c>
      <c r="X158" s="252">
        <f t="shared" ref="X158:BA158" si="139">IF(AND(X$40-$A158&gt;$V$27,SUM($W158:W158)&lt;&gt;$V158),$V158,0)</f>
        <v>0</v>
      </c>
      <c r="Y158" s="252">
        <f t="shared" si="139"/>
        <v>0</v>
      </c>
      <c r="Z158" s="252">
        <f t="shared" si="139"/>
        <v>0</v>
      </c>
      <c r="AA158" s="252">
        <f t="shared" si="139"/>
        <v>0</v>
      </c>
      <c r="AB158" s="252">
        <f t="shared" si="139"/>
        <v>0</v>
      </c>
      <c r="AC158" s="252">
        <f t="shared" si="139"/>
        <v>0</v>
      </c>
      <c r="AD158" s="252">
        <f t="shared" si="139"/>
        <v>0</v>
      </c>
      <c r="AE158" s="252">
        <f t="shared" si="139"/>
        <v>0</v>
      </c>
      <c r="AF158" s="252">
        <f t="shared" si="139"/>
        <v>0</v>
      </c>
      <c r="AG158" s="252">
        <f t="shared" si="139"/>
        <v>0</v>
      </c>
      <c r="AH158" s="252">
        <f t="shared" si="139"/>
        <v>0</v>
      </c>
      <c r="AI158" s="252">
        <f t="shared" si="139"/>
        <v>0</v>
      </c>
      <c r="AJ158" s="252">
        <f t="shared" si="139"/>
        <v>0</v>
      </c>
      <c r="AK158" s="252">
        <f t="shared" si="139"/>
        <v>0</v>
      </c>
      <c r="AL158" s="252">
        <f t="shared" si="139"/>
        <v>0</v>
      </c>
      <c r="AM158" s="252">
        <f t="shared" si="139"/>
        <v>0</v>
      </c>
      <c r="AN158" s="252">
        <f t="shared" si="139"/>
        <v>0</v>
      </c>
      <c r="AO158" s="252">
        <f t="shared" si="139"/>
        <v>0</v>
      </c>
      <c r="AP158" s="252">
        <f t="shared" si="139"/>
        <v>0</v>
      </c>
      <c r="AQ158" s="252">
        <f t="shared" si="139"/>
        <v>0</v>
      </c>
      <c r="AR158" s="252">
        <f t="shared" si="139"/>
        <v>0</v>
      </c>
      <c r="AS158" s="252">
        <f t="shared" si="139"/>
        <v>0</v>
      </c>
      <c r="AT158" s="252">
        <f t="shared" si="139"/>
        <v>0</v>
      </c>
      <c r="AU158" s="252">
        <f t="shared" si="139"/>
        <v>0</v>
      </c>
      <c r="AV158" s="252">
        <f t="shared" si="139"/>
        <v>0</v>
      </c>
      <c r="AW158" s="252">
        <f t="shared" si="139"/>
        <v>0</v>
      </c>
      <c r="AX158" s="252">
        <f t="shared" si="139"/>
        <v>0</v>
      </c>
      <c r="AY158" s="252">
        <f t="shared" si="139"/>
        <v>0</v>
      </c>
      <c r="AZ158" s="252">
        <f t="shared" si="139"/>
        <v>0</v>
      </c>
      <c r="BA158" s="252">
        <f t="shared" si="139"/>
        <v>0</v>
      </c>
    </row>
    <row r="159" ht="15.75" customHeight="1">
      <c r="A159" s="851">
        <v>2048.0</v>
      </c>
      <c r="V159" s="852">
        <v>0.0</v>
      </c>
      <c r="W159" s="252">
        <f t="shared" si="22"/>
        <v>0</v>
      </c>
      <c r="X159" s="252">
        <f t="shared" ref="X159:BA159" si="140">IF(AND(X$40-$A159&gt;$V$27,SUM($W159:W159)&lt;&gt;$V159),$V159,0)</f>
        <v>0</v>
      </c>
      <c r="Y159" s="252">
        <f t="shared" si="140"/>
        <v>0</v>
      </c>
      <c r="Z159" s="252">
        <f t="shared" si="140"/>
        <v>0</v>
      </c>
      <c r="AA159" s="252">
        <f t="shared" si="140"/>
        <v>0</v>
      </c>
      <c r="AB159" s="252">
        <f t="shared" si="140"/>
        <v>0</v>
      </c>
      <c r="AC159" s="252">
        <f t="shared" si="140"/>
        <v>0</v>
      </c>
      <c r="AD159" s="252">
        <f t="shared" si="140"/>
        <v>0</v>
      </c>
      <c r="AE159" s="252">
        <f t="shared" si="140"/>
        <v>0</v>
      </c>
      <c r="AF159" s="252">
        <f t="shared" si="140"/>
        <v>0</v>
      </c>
      <c r="AG159" s="252">
        <f t="shared" si="140"/>
        <v>0</v>
      </c>
      <c r="AH159" s="252">
        <f t="shared" si="140"/>
        <v>0</v>
      </c>
      <c r="AI159" s="252">
        <f t="shared" si="140"/>
        <v>0</v>
      </c>
      <c r="AJ159" s="252">
        <f t="shared" si="140"/>
        <v>0</v>
      </c>
      <c r="AK159" s="252">
        <f t="shared" si="140"/>
        <v>0</v>
      </c>
      <c r="AL159" s="252">
        <f t="shared" si="140"/>
        <v>0</v>
      </c>
      <c r="AM159" s="252">
        <f t="shared" si="140"/>
        <v>0</v>
      </c>
      <c r="AN159" s="252">
        <f t="shared" si="140"/>
        <v>0</v>
      </c>
      <c r="AO159" s="252">
        <f t="shared" si="140"/>
        <v>0</v>
      </c>
      <c r="AP159" s="252">
        <f t="shared" si="140"/>
        <v>0</v>
      </c>
      <c r="AQ159" s="252">
        <f t="shared" si="140"/>
        <v>0</v>
      </c>
      <c r="AR159" s="252">
        <f t="shared" si="140"/>
        <v>0</v>
      </c>
      <c r="AS159" s="252">
        <f t="shared" si="140"/>
        <v>0</v>
      </c>
      <c r="AT159" s="252">
        <f t="shared" si="140"/>
        <v>0</v>
      </c>
      <c r="AU159" s="252">
        <f t="shared" si="140"/>
        <v>0</v>
      </c>
      <c r="AV159" s="252">
        <f t="shared" si="140"/>
        <v>0</v>
      </c>
      <c r="AW159" s="252">
        <f t="shared" si="140"/>
        <v>0</v>
      </c>
      <c r="AX159" s="252">
        <f t="shared" si="140"/>
        <v>0</v>
      </c>
      <c r="AY159" s="252">
        <f t="shared" si="140"/>
        <v>0</v>
      </c>
      <c r="AZ159" s="252">
        <f t="shared" si="140"/>
        <v>0</v>
      </c>
      <c r="BA159" s="252">
        <f t="shared" si="140"/>
        <v>0</v>
      </c>
    </row>
    <row r="160" ht="15.75" customHeight="1">
      <c r="A160" s="851">
        <v>2049.0</v>
      </c>
      <c r="V160" s="852">
        <v>0.0</v>
      </c>
      <c r="W160" s="252">
        <f t="shared" si="22"/>
        <v>0</v>
      </c>
      <c r="X160" s="252">
        <f t="shared" ref="X160:BA160" si="141">IF(AND(X$40-$A160&gt;$V$27,SUM($W160:W160)&lt;&gt;$V160),$V160,0)</f>
        <v>0</v>
      </c>
      <c r="Y160" s="252">
        <f t="shared" si="141"/>
        <v>0</v>
      </c>
      <c r="Z160" s="252">
        <f t="shared" si="141"/>
        <v>0</v>
      </c>
      <c r="AA160" s="252">
        <f t="shared" si="141"/>
        <v>0</v>
      </c>
      <c r="AB160" s="252">
        <f t="shared" si="141"/>
        <v>0</v>
      </c>
      <c r="AC160" s="252">
        <f t="shared" si="141"/>
        <v>0</v>
      </c>
      <c r="AD160" s="252">
        <f t="shared" si="141"/>
        <v>0</v>
      </c>
      <c r="AE160" s="252">
        <f t="shared" si="141"/>
        <v>0</v>
      </c>
      <c r="AF160" s="252">
        <f t="shared" si="141"/>
        <v>0</v>
      </c>
      <c r="AG160" s="252">
        <f t="shared" si="141"/>
        <v>0</v>
      </c>
      <c r="AH160" s="252">
        <f t="shared" si="141"/>
        <v>0</v>
      </c>
      <c r="AI160" s="252">
        <f t="shared" si="141"/>
        <v>0</v>
      </c>
      <c r="AJ160" s="252">
        <f t="shared" si="141"/>
        <v>0</v>
      </c>
      <c r="AK160" s="252">
        <f t="shared" si="141"/>
        <v>0</v>
      </c>
      <c r="AL160" s="252">
        <f t="shared" si="141"/>
        <v>0</v>
      </c>
      <c r="AM160" s="252">
        <f t="shared" si="141"/>
        <v>0</v>
      </c>
      <c r="AN160" s="252">
        <f t="shared" si="141"/>
        <v>0</v>
      </c>
      <c r="AO160" s="252">
        <f t="shared" si="141"/>
        <v>0</v>
      </c>
      <c r="AP160" s="252">
        <f t="shared" si="141"/>
        <v>0</v>
      </c>
      <c r="AQ160" s="252">
        <f t="shared" si="141"/>
        <v>0</v>
      </c>
      <c r="AR160" s="252">
        <f t="shared" si="141"/>
        <v>0</v>
      </c>
      <c r="AS160" s="252">
        <f t="shared" si="141"/>
        <v>0</v>
      </c>
      <c r="AT160" s="252">
        <f t="shared" si="141"/>
        <v>0</v>
      </c>
      <c r="AU160" s="252">
        <f t="shared" si="141"/>
        <v>0</v>
      </c>
      <c r="AV160" s="252">
        <f t="shared" si="141"/>
        <v>0</v>
      </c>
      <c r="AW160" s="252">
        <f t="shared" si="141"/>
        <v>0</v>
      </c>
      <c r="AX160" s="252">
        <f t="shared" si="141"/>
        <v>0</v>
      </c>
      <c r="AY160" s="252">
        <f t="shared" si="141"/>
        <v>0</v>
      </c>
      <c r="AZ160" s="252">
        <f t="shared" si="141"/>
        <v>0</v>
      </c>
      <c r="BA160" s="252">
        <f t="shared" si="141"/>
        <v>0</v>
      </c>
    </row>
    <row r="161" ht="15.75" customHeight="1">
      <c r="A161" s="851">
        <v>2050.0</v>
      </c>
      <c r="V161" s="852">
        <v>0.0</v>
      </c>
      <c r="W161" s="252">
        <f t="shared" si="22"/>
        <v>0</v>
      </c>
      <c r="X161" s="252">
        <f t="shared" ref="X161:BA161" si="142">IF(AND(X$40-$A161&gt;$V$27,SUM($W161:W161)&lt;&gt;$V161),$V161,0)</f>
        <v>0</v>
      </c>
      <c r="Y161" s="252">
        <f t="shared" si="142"/>
        <v>0</v>
      </c>
      <c r="Z161" s="252">
        <f t="shared" si="142"/>
        <v>0</v>
      </c>
      <c r="AA161" s="252">
        <f t="shared" si="142"/>
        <v>0</v>
      </c>
      <c r="AB161" s="252">
        <f t="shared" si="142"/>
        <v>0</v>
      </c>
      <c r="AC161" s="252">
        <f t="shared" si="142"/>
        <v>0</v>
      </c>
      <c r="AD161" s="252">
        <f t="shared" si="142"/>
        <v>0</v>
      </c>
      <c r="AE161" s="252">
        <f t="shared" si="142"/>
        <v>0</v>
      </c>
      <c r="AF161" s="252">
        <f t="shared" si="142"/>
        <v>0</v>
      </c>
      <c r="AG161" s="252">
        <f t="shared" si="142"/>
        <v>0</v>
      </c>
      <c r="AH161" s="252">
        <f t="shared" si="142"/>
        <v>0</v>
      </c>
      <c r="AI161" s="252">
        <f t="shared" si="142"/>
        <v>0</v>
      </c>
      <c r="AJ161" s="252">
        <f t="shared" si="142"/>
        <v>0</v>
      </c>
      <c r="AK161" s="252">
        <f t="shared" si="142"/>
        <v>0</v>
      </c>
      <c r="AL161" s="252">
        <f t="shared" si="142"/>
        <v>0</v>
      </c>
      <c r="AM161" s="252">
        <f t="shared" si="142"/>
        <v>0</v>
      </c>
      <c r="AN161" s="252">
        <f t="shared" si="142"/>
        <v>0</v>
      </c>
      <c r="AO161" s="252">
        <f t="shared" si="142"/>
        <v>0</v>
      </c>
      <c r="AP161" s="252">
        <f t="shared" si="142"/>
        <v>0</v>
      </c>
      <c r="AQ161" s="252">
        <f t="shared" si="142"/>
        <v>0</v>
      </c>
      <c r="AR161" s="252">
        <f t="shared" si="142"/>
        <v>0</v>
      </c>
      <c r="AS161" s="252">
        <f t="shared" si="142"/>
        <v>0</v>
      </c>
      <c r="AT161" s="252">
        <f t="shared" si="142"/>
        <v>0</v>
      </c>
      <c r="AU161" s="252">
        <f t="shared" si="142"/>
        <v>0</v>
      </c>
      <c r="AV161" s="252">
        <f t="shared" si="142"/>
        <v>0</v>
      </c>
      <c r="AW161" s="252">
        <f t="shared" si="142"/>
        <v>0</v>
      </c>
      <c r="AX161" s="252">
        <f t="shared" si="142"/>
        <v>0</v>
      </c>
      <c r="AY161" s="252">
        <f t="shared" si="142"/>
        <v>0</v>
      </c>
      <c r="AZ161" s="252">
        <f t="shared" si="142"/>
        <v>0</v>
      </c>
      <c r="BA161" s="252">
        <f t="shared" si="142"/>
        <v>0</v>
      </c>
    </row>
    <row r="162" ht="15.75" customHeight="1">
      <c r="A162" s="851"/>
    </row>
    <row r="163" ht="15.75" customHeight="1"/>
    <row r="164" ht="15.75" customHeight="1"/>
    <row r="165" ht="15.75" customHeight="1"/>
  </sheetData>
  <printOptions/>
  <pageMargins bottom="0.75" footer="0.0" header="0.0" left="0.7" right="0.7" top="0.75"/>
  <pageSetup orientation="landscape"/>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5895328.955</v>
      </c>
      <c r="C2" s="160">
        <f t="shared" si="1"/>
        <v>6012612.029</v>
      </c>
      <c r="D2" s="160">
        <f t="shared" si="1"/>
        <v>6132228.36</v>
      </c>
      <c r="E2" s="160">
        <f t="shared" si="1"/>
        <v>6254224.367</v>
      </c>
      <c r="F2" s="160">
        <f t="shared" si="1"/>
        <v>6378647.391</v>
      </c>
      <c r="G2" s="160">
        <f t="shared" si="1"/>
        <v>6505545.716</v>
      </c>
      <c r="H2" s="160">
        <f t="shared" si="1"/>
        <v>6634968.587</v>
      </c>
      <c r="I2" s="160">
        <f t="shared" si="1"/>
        <v>6766966.227</v>
      </c>
      <c r="J2" s="160">
        <f t="shared" si="1"/>
        <v>6901589.86</v>
      </c>
      <c r="K2" s="160">
        <f t="shared" si="1"/>
        <v>7038891.727</v>
      </c>
      <c r="L2" s="160">
        <f t="shared" si="1"/>
        <v>7178925.11</v>
      </c>
      <c r="M2" s="160">
        <f t="shared" si="1"/>
        <v>7321744.35</v>
      </c>
      <c r="N2" s="160">
        <f t="shared" si="1"/>
        <v>7467404.87</v>
      </c>
      <c r="O2" s="160">
        <f t="shared" si="1"/>
        <v>7615963.195</v>
      </c>
      <c r="P2" s="160">
        <f t="shared" si="1"/>
        <v>7767476.975</v>
      </c>
      <c r="Q2" s="160">
        <f t="shared" si="1"/>
        <v>7922005.006</v>
      </c>
      <c r="R2" s="160">
        <f t="shared" si="1"/>
        <v>8079607.254</v>
      </c>
      <c r="S2" s="160">
        <f t="shared" si="1"/>
        <v>8240344.878</v>
      </c>
      <c r="T2" s="160">
        <f t="shared" si="1"/>
        <v>8404280.255</v>
      </c>
      <c r="U2" s="160">
        <f t="shared" si="1"/>
        <v>8571477.002</v>
      </c>
      <c r="V2" s="773">
        <v>8742000.0</v>
      </c>
      <c r="W2" s="160">
        <f t="shared" ref="W2:AZ2" si="2">V2*(1+V34-V3)</f>
        <v>8915915.423</v>
      </c>
      <c r="X2" s="160">
        <f t="shared" si="2"/>
        <v>9093290.761</v>
      </c>
      <c r="Y2" s="160">
        <f t="shared" si="2"/>
        <v>9274194.846</v>
      </c>
      <c r="Z2" s="160">
        <f t="shared" si="2"/>
        <v>9458697.88</v>
      </c>
      <c r="AA2" s="160">
        <f t="shared" si="2"/>
        <v>9646871.461</v>
      </c>
      <c r="AB2" s="160">
        <f t="shared" si="2"/>
        <v>9838788.612</v>
      </c>
      <c r="AC2" s="160">
        <f t="shared" si="2"/>
        <v>10034523.81</v>
      </c>
      <c r="AD2" s="160">
        <f t="shared" si="2"/>
        <v>10234153.01</v>
      </c>
      <c r="AE2" s="160">
        <f t="shared" si="2"/>
        <v>10437753.68</v>
      </c>
      <c r="AF2" s="160">
        <f t="shared" si="2"/>
        <v>10645404.83</v>
      </c>
      <c r="AG2" s="160">
        <f t="shared" si="2"/>
        <v>10857187.04</v>
      </c>
      <c r="AH2" s="160">
        <f t="shared" si="2"/>
        <v>11073182.49</v>
      </c>
      <c r="AI2" s="160">
        <f t="shared" si="2"/>
        <v>11293475.01</v>
      </c>
      <c r="AJ2" s="160">
        <f t="shared" si="2"/>
        <v>11518150.09</v>
      </c>
      <c r="AK2" s="160">
        <f t="shared" si="2"/>
        <v>11747294.9</v>
      </c>
      <c r="AL2" s="160">
        <f t="shared" si="2"/>
        <v>11980998.37</v>
      </c>
      <c r="AM2" s="160">
        <f t="shared" si="2"/>
        <v>12219351.2</v>
      </c>
      <c r="AN2" s="160">
        <f t="shared" si="2"/>
        <v>12462445.87</v>
      </c>
      <c r="AO2" s="160">
        <f t="shared" si="2"/>
        <v>12710376.73</v>
      </c>
      <c r="AP2" s="160">
        <f t="shared" si="2"/>
        <v>12963239.98</v>
      </c>
      <c r="AQ2" s="160">
        <f t="shared" si="2"/>
        <v>13221133.75</v>
      </c>
      <c r="AR2" s="160">
        <f t="shared" si="2"/>
        <v>13484158.12</v>
      </c>
      <c r="AS2" s="160">
        <f t="shared" si="2"/>
        <v>13752415.17</v>
      </c>
      <c r="AT2" s="160">
        <f t="shared" si="2"/>
        <v>14026008.98</v>
      </c>
      <c r="AU2" s="160">
        <f t="shared" si="2"/>
        <v>14305045.73</v>
      </c>
      <c r="AV2" s="160">
        <f t="shared" si="2"/>
        <v>14589633.71</v>
      </c>
      <c r="AW2" s="160">
        <f t="shared" si="2"/>
        <v>14879883.34</v>
      </c>
      <c r="AX2" s="160">
        <f t="shared" si="2"/>
        <v>15175907.27</v>
      </c>
      <c r="AY2" s="160">
        <f t="shared" si="2"/>
        <v>15477820.38</v>
      </c>
      <c r="AZ2" s="160">
        <f t="shared" si="2"/>
        <v>15785739.81</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250.0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0.65</v>
      </c>
      <c r="W14" s="208">
        <f t="shared" ref="W14:AZ14" si="5">V14*(1+V16)</f>
        <v>0.65</v>
      </c>
      <c r="X14" s="208">
        <f t="shared" si="5"/>
        <v>0.65</v>
      </c>
      <c r="Y14" s="208">
        <f t="shared" si="5"/>
        <v>0.65</v>
      </c>
      <c r="Z14" s="208">
        <f t="shared" si="5"/>
        <v>0.65</v>
      </c>
      <c r="AA14" s="208">
        <f t="shared" si="5"/>
        <v>0.65</v>
      </c>
      <c r="AB14" s="208">
        <f t="shared" si="5"/>
        <v>0.65</v>
      </c>
      <c r="AC14" s="208">
        <f t="shared" si="5"/>
        <v>0.65</v>
      </c>
      <c r="AD14" s="208">
        <f t="shared" si="5"/>
        <v>0.65</v>
      </c>
      <c r="AE14" s="208">
        <f t="shared" si="5"/>
        <v>0.65</v>
      </c>
      <c r="AF14" s="208">
        <f t="shared" si="5"/>
        <v>0.65</v>
      </c>
      <c r="AG14" s="208">
        <f t="shared" si="5"/>
        <v>0.65</v>
      </c>
      <c r="AH14" s="208">
        <f t="shared" si="5"/>
        <v>0.65</v>
      </c>
      <c r="AI14" s="208">
        <f t="shared" si="5"/>
        <v>0.65</v>
      </c>
      <c r="AJ14" s="208">
        <f t="shared" si="5"/>
        <v>0.65</v>
      </c>
      <c r="AK14" s="208">
        <f t="shared" si="5"/>
        <v>0.65</v>
      </c>
      <c r="AL14" s="208">
        <f t="shared" si="5"/>
        <v>0.65</v>
      </c>
      <c r="AM14" s="208">
        <f t="shared" si="5"/>
        <v>0.65</v>
      </c>
      <c r="AN14" s="208">
        <f t="shared" si="5"/>
        <v>0.65</v>
      </c>
      <c r="AO14" s="208">
        <f t="shared" si="5"/>
        <v>0.65</v>
      </c>
      <c r="AP14" s="208">
        <f t="shared" si="5"/>
        <v>0.65</v>
      </c>
      <c r="AQ14" s="208">
        <f t="shared" si="5"/>
        <v>0.65</v>
      </c>
      <c r="AR14" s="208">
        <f t="shared" si="5"/>
        <v>0.65</v>
      </c>
      <c r="AS14" s="208">
        <f t="shared" si="5"/>
        <v>0.65</v>
      </c>
      <c r="AT14" s="208">
        <f t="shared" si="5"/>
        <v>0.65</v>
      </c>
      <c r="AU14" s="208">
        <f t="shared" si="5"/>
        <v>0.65</v>
      </c>
      <c r="AV14" s="208">
        <f t="shared" si="5"/>
        <v>0.65</v>
      </c>
      <c r="AW14" s="208">
        <f t="shared" si="5"/>
        <v>0.65</v>
      </c>
      <c r="AX14" s="208">
        <f t="shared" si="5"/>
        <v>0.65</v>
      </c>
      <c r="AY14" s="208">
        <f t="shared" si="5"/>
        <v>0.65</v>
      </c>
      <c r="AZ14" s="208">
        <f t="shared" si="5"/>
        <v>0.65</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0.73</v>
      </c>
      <c r="W15" s="208">
        <f t="shared" ref="W15:AZ15" si="6">V15</f>
        <v>0.73</v>
      </c>
      <c r="X15" s="208">
        <f t="shared" si="6"/>
        <v>0.73</v>
      </c>
      <c r="Y15" s="208">
        <f t="shared" si="6"/>
        <v>0.73</v>
      </c>
      <c r="Z15" s="208">
        <f t="shared" si="6"/>
        <v>0.73</v>
      </c>
      <c r="AA15" s="208">
        <f t="shared" si="6"/>
        <v>0.73</v>
      </c>
      <c r="AB15" s="208">
        <f t="shared" si="6"/>
        <v>0.73</v>
      </c>
      <c r="AC15" s="208">
        <f t="shared" si="6"/>
        <v>0.73</v>
      </c>
      <c r="AD15" s="208">
        <f t="shared" si="6"/>
        <v>0.73</v>
      </c>
      <c r="AE15" s="208">
        <f t="shared" si="6"/>
        <v>0.73</v>
      </c>
      <c r="AF15" s="208">
        <f t="shared" si="6"/>
        <v>0.73</v>
      </c>
      <c r="AG15" s="208">
        <f t="shared" si="6"/>
        <v>0.73</v>
      </c>
      <c r="AH15" s="208">
        <f t="shared" si="6"/>
        <v>0.73</v>
      </c>
      <c r="AI15" s="208">
        <f t="shared" si="6"/>
        <v>0.73</v>
      </c>
      <c r="AJ15" s="208">
        <f t="shared" si="6"/>
        <v>0.73</v>
      </c>
      <c r="AK15" s="208">
        <f t="shared" si="6"/>
        <v>0.73</v>
      </c>
      <c r="AL15" s="208">
        <f t="shared" si="6"/>
        <v>0.73</v>
      </c>
      <c r="AM15" s="208">
        <f t="shared" si="6"/>
        <v>0.73</v>
      </c>
      <c r="AN15" s="208">
        <f t="shared" si="6"/>
        <v>0.73</v>
      </c>
      <c r="AO15" s="208">
        <f t="shared" si="6"/>
        <v>0.73</v>
      </c>
      <c r="AP15" s="208">
        <f t="shared" si="6"/>
        <v>0.73</v>
      </c>
      <c r="AQ15" s="208">
        <f t="shared" si="6"/>
        <v>0.73</v>
      </c>
      <c r="AR15" s="208">
        <f t="shared" si="6"/>
        <v>0.73</v>
      </c>
      <c r="AS15" s="208">
        <f t="shared" si="6"/>
        <v>0.73</v>
      </c>
      <c r="AT15" s="208">
        <f t="shared" si="6"/>
        <v>0.73</v>
      </c>
      <c r="AU15" s="208">
        <f t="shared" si="6"/>
        <v>0.73</v>
      </c>
      <c r="AV15" s="208">
        <f t="shared" si="6"/>
        <v>0.73</v>
      </c>
      <c r="AW15" s="208">
        <f t="shared" si="6"/>
        <v>0.73</v>
      </c>
      <c r="AX15" s="208">
        <f t="shared" si="6"/>
        <v>0.73</v>
      </c>
      <c r="AY15" s="208">
        <f t="shared" si="6"/>
        <v>0.73</v>
      </c>
      <c r="AZ15" s="208">
        <f t="shared" si="6"/>
        <v>0.73</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286797.1057</v>
      </c>
      <c r="C17" s="160">
        <f t="shared" si="8"/>
        <v>292215.9183</v>
      </c>
      <c r="D17" s="160">
        <f t="shared" si="8"/>
        <v>297737.1153</v>
      </c>
      <c r="E17" s="160">
        <f t="shared" si="8"/>
        <v>303362.631</v>
      </c>
      <c r="F17" s="160">
        <f t="shared" si="8"/>
        <v>309094.4366</v>
      </c>
      <c r="G17" s="160">
        <f t="shared" si="8"/>
        <v>314934.5402</v>
      </c>
      <c r="H17" s="160">
        <f t="shared" si="8"/>
        <v>320884.9882</v>
      </c>
      <c r="I17" s="160">
        <f t="shared" si="8"/>
        <v>326947.8653</v>
      </c>
      <c r="J17" s="160">
        <f t="shared" si="8"/>
        <v>333125.2959</v>
      </c>
      <c r="K17" s="160">
        <f t="shared" si="8"/>
        <v>339419.4443</v>
      </c>
      <c r="L17" s="160">
        <f t="shared" si="8"/>
        <v>345832.5159</v>
      </c>
      <c r="M17" s="160">
        <f t="shared" si="8"/>
        <v>352366.7575</v>
      </c>
      <c r="N17" s="160">
        <f t="shared" si="8"/>
        <v>359024.4587</v>
      </c>
      <c r="O17" s="160">
        <f t="shared" si="8"/>
        <v>365807.952</v>
      </c>
      <c r="P17" s="160">
        <f t="shared" si="8"/>
        <v>372719.6143</v>
      </c>
      <c r="Q17" s="160">
        <f t="shared" si="8"/>
        <v>379761.8672</v>
      </c>
      <c r="R17" s="160">
        <f t="shared" si="8"/>
        <v>386937.1781</v>
      </c>
      <c r="S17" s="160">
        <f t="shared" si="8"/>
        <v>394248.061</v>
      </c>
      <c r="T17" s="160">
        <f t="shared" si="8"/>
        <v>401697.0774</v>
      </c>
      <c r="U17" s="160">
        <f t="shared" si="8"/>
        <v>409286.8373</v>
      </c>
      <c r="V17" s="773">
        <v>417020.0</v>
      </c>
      <c r="W17" s="160">
        <f t="shared" ref="W17:AZ17" si="9">V17*(1+V34-V20)</f>
        <v>424899.2749</v>
      </c>
      <c r="X17" s="160">
        <f t="shared" si="9"/>
        <v>432927.4226</v>
      </c>
      <c r="Y17" s="160">
        <f t="shared" si="9"/>
        <v>441107.2561</v>
      </c>
      <c r="Z17" s="160">
        <f t="shared" si="9"/>
        <v>449441.6413</v>
      </c>
      <c r="AA17" s="160">
        <f t="shared" si="9"/>
        <v>457933.4984</v>
      </c>
      <c r="AB17" s="160">
        <f t="shared" si="9"/>
        <v>466585.8026</v>
      </c>
      <c r="AC17" s="160">
        <f t="shared" si="9"/>
        <v>475401.5855</v>
      </c>
      <c r="AD17" s="160">
        <f t="shared" si="9"/>
        <v>484383.9359</v>
      </c>
      <c r="AE17" s="160">
        <f t="shared" si="9"/>
        <v>493536.001</v>
      </c>
      <c r="AF17" s="160">
        <f t="shared" si="9"/>
        <v>502860.9874</v>
      </c>
      <c r="AG17" s="160">
        <f t="shared" si="9"/>
        <v>512362.1622</v>
      </c>
      <c r="AH17" s="160">
        <f t="shared" si="9"/>
        <v>522042.8546</v>
      </c>
      <c r="AI17" s="160">
        <f t="shared" si="9"/>
        <v>531906.4562</v>
      </c>
      <c r="AJ17" s="160">
        <f t="shared" si="9"/>
        <v>541956.423</v>
      </c>
      <c r="AK17" s="160">
        <f t="shared" si="9"/>
        <v>552196.2763</v>
      </c>
      <c r="AL17" s="160">
        <f t="shared" si="9"/>
        <v>562629.6039</v>
      </c>
      <c r="AM17" s="160">
        <f t="shared" si="9"/>
        <v>573260.0611</v>
      </c>
      <c r="AN17" s="160">
        <f t="shared" si="9"/>
        <v>584091.3728</v>
      </c>
      <c r="AO17" s="160">
        <f t="shared" si="9"/>
        <v>595127.3339</v>
      </c>
      <c r="AP17" s="160">
        <f t="shared" si="9"/>
        <v>606371.811</v>
      </c>
      <c r="AQ17" s="160">
        <f t="shared" si="9"/>
        <v>617828.7439</v>
      </c>
      <c r="AR17" s="160">
        <f t="shared" si="9"/>
        <v>629502.1469</v>
      </c>
      <c r="AS17" s="160">
        <f t="shared" si="9"/>
        <v>641396.1099</v>
      </c>
      <c r="AT17" s="160">
        <f t="shared" si="9"/>
        <v>653514.8002</v>
      </c>
      <c r="AU17" s="160">
        <f t="shared" si="9"/>
        <v>665862.464</v>
      </c>
      <c r="AV17" s="160">
        <f t="shared" si="9"/>
        <v>678443.4275</v>
      </c>
      <c r="AW17" s="160">
        <f t="shared" si="9"/>
        <v>691262.0986</v>
      </c>
      <c r="AX17" s="160">
        <f t="shared" si="9"/>
        <v>704322.9688</v>
      </c>
      <c r="AY17" s="160">
        <f t="shared" si="9"/>
        <v>717630.6142</v>
      </c>
      <c r="AZ17" s="160">
        <f t="shared" si="9"/>
        <v>731189.6973</v>
      </c>
    </row>
    <row r="18" ht="15.0" customHeight="1">
      <c r="A18" s="535" t="s">
        <v>1112</v>
      </c>
      <c r="B18" s="177">
        <f t="shared" ref="B18:U18" si="10">C18/(1+B34-B20)</f>
        <v>6.389010389</v>
      </c>
      <c r="C18" s="177">
        <f t="shared" si="10"/>
        <v>6.509725868</v>
      </c>
      <c r="D18" s="177">
        <f t="shared" si="10"/>
        <v>6.632722174</v>
      </c>
      <c r="E18" s="177">
        <f t="shared" si="10"/>
        <v>6.758042401</v>
      </c>
      <c r="F18" s="177">
        <f t="shared" si="10"/>
        <v>6.885730458</v>
      </c>
      <c r="G18" s="177">
        <f t="shared" si="10"/>
        <v>7.015831084</v>
      </c>
      <c r="H18" s="177">
        <f t="shared" si="10"/>
        <v>7.148389862</v>
      </c>
      <c r="I18" s="177">
        <f t="shared" si="10"/>
        <v>7.283453237</v>
      </c>
      <c r="J18" s="177">
        <f t="shared" si="10"/>
        <v>7.421068531</v>
      </c>
      <c r="K18" s="177">
        <f t="shared" si="10"/>
        <v>7.561283962</v>
      </c>
      <c r="L18" s="177">
        <f t="shared" si="10"/>
        <v>7.704148656</v>
      </c>
      <c r="M18" s="177">
        <f t="shared" si="10"/>
        <v>7.84971267</v>
      </c>
      <c r="N18" s="177">
        <f t="shared" si="10"/>
        <v>7.998027004</v>
      </c>
      <c r="O18" s="177">
        <f t="shared" si="10"/>
        <v>8.149143625</v>
      </c>
      <c r="P18" s="177">
        <f t="shared" si="10"/>
        <v>8.303115479</v>
      </c>
      <c r="Q18" s="177">
        <f t="shared" si="10"/>
        <v>8.459996514</v>
      </c>
      <c r="R18" s="177">
        <f t="shared" si="10"/>
        <v>8.619841696</v>
      </c>
      <c r="S18" s="177">
        <f t="shared" si="10"/>
        <v>8.782707031</v>
      </c>
      <c r="T18" s="177">
        <f t="shared" si="10"/>
        <v>8.948649583</v>
      </c>
      <c r="U18" s="177">
        <f t="shared" si="10"/>
        <v>9.117727492</v>
      </c>
      <c r="V18" s="846">
        <v>9.29</v>
      </c>
      <c r="W18" s="177">
        <f t="shared" ref="W18:AZ18" si="11">V18*(1+V34-V20)</f>
        <v>9.465527465</v>
      </c>
      <c r="X18" s="177">
        <f t="shared" si="11"/>
        <v>9.644371388</v>
      </c>
      <c r="Y18" s="177">
        <f t="shared" si="11"/>
        <v>9.826594431</v>
      </c>
      <c r="Z18" s="177">
        <f t="shared" si="11"/>
        <v>10.01226044</v>
      </c>
      <c r="AA18" s="177">
        <f t="shared" si="11"/>
        <v>10.20143446</v>
      </c>
      <c r="AB18" s="177">
        <f t="shared" si="11"/>
        <v>10.39418279</v>
      </c>
      <c r="AC18" s="177">
        <f t="shared" si="11"/>
        <v>10.59057295</v>
      </c>
      <c r="AD18" s="177">
        <f t="shared" si="11"/>
        <v>10.79067374</v>
      </c>
      <c r="AE18" s="177">
        <f t="shared" si="11"/>
        <v>10.9945553</v>
      </c>
      <c r="AF18" s="177">
        <f t="shared" si="11"/>
        <v>11.20228903</v>
      </c>
      <c r="AG18" s="177">
        <f t="shared" si="11"/>
        <v>11.41394774</v>
      </c>
      <c r="AH18" s="177">
        <f t="shared" si="11"/>
        <v>11.62960558</v>
      </c>
      <c r="AI18" s="177">
        <f t="shared" si="11"/>
        <v>11.84933811</v>
      </c>
      <c r="AJ18" s="177">
        <f t="shared" si="11"/>
        <v>12.07322232</v>
      </c>
      <c r="AK18" s="177">
        <f t="shared" si="11"/>
        <v>12.30133664</v>
      </c>
      <c r="AL18" s="177">
        <f t="shared" si="11"/>
        <v>12.53376102</v>
      </c>
      <c r="AM18" s="177">
        <f t="shared" si="11"/>
        <v>12.77057687</v>
      </c>
      <c r="AN18" s="177">
        <f t="shared" si="11"/>
        <v>13.01186719</v>
      </c>
      <c r="AO18" s="177">
        <f t="shared" si="11"/>
        <v>13.25771649</v>
      </c>
      <c r="AP18" s="177">
        <f t="shared" si="11"/>
        <v>13.50821093</v>
      </c>
      <c r="AQ18" s="177">
        <f t="shared" si="11"/>
        <v>13.76343828</v>
      </c>
      <c r="AR18" s="177">
        <f t="shared" si="11"/>
        <v>14.02348795</v>
      </c>
      <c r="AS18" s="177">
        <f t="shared" si="11"/>
        <v>14.28845106</v>
      </c>
      <c r="AT18" s="177">
        <f t="shared" si="11"/>
        <v>14.55842045</v>
      </c>
      <c r="AU18" s="177">
        <f t="shared" si="11"/>
        <v>14.8334907</v>
      </c>
      <c r="AV18" s="177">
        <f t="shared" si="11"/>
        <v>15.11375819</v>
      </c>
      <c r="AW18" s="177">
        <f t="shared" si="11"/>
        <v>15.39932113</v>
      </c>
      <c r="AX18" s="177">
        <f t="shared" si="11"/>
        <v>15.69027956</v>
      </c>
      <c r="AY18" s="177">
        <f t="shared" si="11"/>
        <v>15.98673542</v>
      </c>
      <c r="AZ18" s="177">
        <f t="shared" si="11"/>
        <v>16.2887926</v>
      </c>
    </row>
    <row r="19" ht="15.0" customHeight="1">
      <c r="A19" s="535" t="s">
        <v>1115</v>
      </c>
      <c r="B19" s="177" t="str">
        <f t="shared" ref="B19:U19" si="12">C19/(1+B34-B20)</f>
        <v>#DIV/0!</v>
      </c>
      <c r="C19" s="177" t="str">
        <f t="shared" si="12"/>
        <v>#DIV/0!</v>
      </c>
      <c r="D19" s="177" t="str">
        <f t="shared" si="12"/>
        <v>#DIV/0!</v>
      </c>
      <c r="E19" s="177" t="str">
        <f t="shared" si="12"/>
        <v>#DIV/0!</v>
      </c>
      <c r="F19" s="177" t="str">
        <f t="shared" si="12"/>
        <v>#DIV/0!</v>
      </c>
      <c r="G19" s="177" t="str">
        <f t="shared" si="12"/>
        <v>#DIV/0!</v>
      </c>
      <c r="H19" s="177" t="str">
        <f t="shared" si="12"/>
        <v>#DIV/0!</v>
      </c>
      <c r="I19" s="177" t="str">
        <f t="shared" si="12"/>
        <v>#DIV/0!</v>
      </c>
      <c r="J19" s="177" t="str">
        <f t="shared" si="12"/>
        <v>#DIV/0!</v>
      </c>
      <c r="K19" s="177" t="str">
        <f t="shared" si="12"/>
        <v>#DIV/0!</v>
      </c>
      <c r="L19" s="177" t="str">
        <f t="shared" si="12"/>
        <v>#DIV/0!</v>
      </c>
      <c r="M19" s="177" t="str">
        <f t="shared" si="12"/>
        <v>#DIV/0!</v>
      </c>
      <c r="N19" s="177" t="str">
        <f t="shared" si="12"/>
        <v>#DIV/0!</v>
      </c>
      <c r="O19" s="177" t="str">
        <f t="shared" si="12"/>
        <v>#DIV/0!</v>
      </c>
      <c r="P19" s="177" t="str">
        <f t="shared" si="12"/>
        <v>#DIV/0!</v>
      </c>
      <c r="Q19" s="177" t="str">
        <f t="shared" si="12"/>
        <v>#DIV/0!</v>
      </c>
      <c r="R19" s="177" t="str">
        <f t="shared" si="12"/>
        <v>#DIV/0!</v>
      </c>
      <c r="S19" s="177" t="str">
        <f t="shared" si="12"/>
        <v>#DIV/0!</v>
      </c>
      <c r="T19" s="177" t="str">
        <f t="shared" si="12"/>
        <v>#DIV/0!</v>
      </c>
      <c r="U19" s="177" t="str">
        <f t="shared" si="12"/>
        <v>#DIV/0!</v>
      </c>
      <c r="V19" s="715" t="str">
        <f>V17*Model!W1574/(V14*Model!W1574*8760)+V18</f>
        <v>#DIV/0!</v>
      </c>
      <c r="W19" s="177" t="str">
        <f t="shared" ref="W19:AZ19" si="13">V19*(1+V34-V20)</f>
        <v>#DIV/0!</v>
      </c>
      <c r="X19" s="177" t="str">
        <f t="shared" si="13"/>
        <v>#DIV/0!</v>
      </c>
      <c r="Y19" s="177" t="str">
        <f t="shared" si="13"/>
        <v>#DIV/0!</v>
      </c>
      <c r="Z19" s="177" t="str">
        <f t="shared" si="13"/>
        <v>#DIV/0!</v>
      </c>
      <c r="AA19" s="177" t="str">
        <f t="shared" si="13"/>
        <v>#DIV/0!</v>
      </c>
      <c r="AB19" s="177" t="str">
        <f t="shared" si="13"/>
        <v>#DIV/0!</v>
      </c>
      <c r="AC19" s="177" t="str">
        <f t="shared" si="13"/>
        <v>#DIV/0!</v>
      </c>
      <c r="AD19" s="177" t="str">
        <f t="shared" si="13"/>
        <v>#DIV/0!</v>
      </c>
      <c r="AE19" s="177" t="str">
        <f t="shared" si="13"/>
        <v>#DIV/0!</v>
      </c>
      <c r="AF19" s="177" t="str">
        <f t="shared" si="13"/>
        <v>#DIV/0!</v>
      </c>
      <c r="AG19" s="177" t="str">
        <f t="shared" si="13"/>
        <v>#DIV/0!</v>
      </c>
      <c r="AH19" s="177" t="str">
        <f t="shared" si="13"/>
        <v>#DIV/0!</v>
      </c>
      <c r="AI19" s="177" t="str">
        <f t="shared" si="13"/>
        <v>#DIV/0!</v>
      </c>
      <c r="AJ19" s="177" t="str">
        <f t="shared" si="13"/>
        <v>#DIV/0!</v>
      </c>
      <c r="AK19" s="177" t="str">
        <f t="shared" si="13"/>
        <v>#DIV/0!</v>
      </c>
      <c r="AL19" s="177" t="str">
        <f t="shared" si="13"/>
        <v>#DIV/0!</v>
      </c>
      <c r="AM19" s="177" t="str">
        <f t="shared" si="13"/>
        <v>#DIV/0!</v>
      </c>
      <c r="AN19" s="177" t="str">
        <f t="shared" si="13"/>
        <v>#DIV/0!</v>
      </c>
      <c r="AO19" s="177" t="str">
        <f t="shared" si="13"/>
        <v>#DIV/0!</v>
      </c>
      <c r="AP19" s="177" t="str">
        <f t="shared" si="13"/>
        <v>#DIV/0!</v>
      </c>
      <c r="AQ19" s="177" t="str">
        <f t="shared" si="13"/>
        <v>#DIV/0!</v>
      </c>
      <c r="AR19" s="177" t="str">
        <f t="shared" si="13"/>
        <v>#DIV/0!</v>
      </c>
      <c r="AS19" s="177" t="str">
        <f t="shared" si="13"/>
        <v>#DIV/0!</v>
      </c>
      <c r="AT19" s="177" t="str">
        <f t="shared" si="13"/>
        <v>#DIV/0!</v>
      </c>
      <c r="AU19" s="177" t="str">
        <f t="shared" si="13"/>
        <v>#DIV/0!</v>
      </c>
      <c r="AV19" s="177" t="str">
        <f t="shared" si="13"/>
        <v>#DIV/0!</v>
      </c>
      <c r="AW19" s="177" t="str">
        <f t="shared" si="13"/>
        <v>#DIV/0!</v>
      </c>
      <c r="AX19" s="177" t="str">
        <f t="shared" si="13"/>
        <v>#DIV/0!</v>
      </c>
      <c r="AY19" s="177" t="str">
        <f t="shared" si="13"/>
        <v>#DIV/0!</v>
      </c>
      <c r="AZ19" s="177" t="str">
        <f t="shared" si="13"/>
        <v>#DIV/0!</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849">
        <v>16.0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849">
        <v>70.0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849">
        <v>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849">
        <v>22.0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41" t="s">
        <v>1129</v>
      </c>
      <c r="B33" s="546">
        <v>0.0</v>
      </c>
      <c r="C33" s="546">
        <v>0.0</v>
      </c>
      <c r="D33" s="546">
        <v>0.0</v>
      </c>
      <c r="E33" s="546">
        <v>0.0</v>
      </c>
      <c r="F33" s="546">
        <v>0.0</v>
      </c>
      <c r="G33" s="546">
        <v>0.0</v>
      </c>
      <c r="H33" s="546">
        <v>0.0</v>
      </c>
      <c r="I33" s="546">
        <f t="shared" ref="I33:U33" si="18">J33</f>
        <v>0</v>
      </c>
      <c r="J33" s="546">
        <f t="shared" si="18"/>
        <v>0</v>
      </c>
      <c r="K33" s="546">
        <f t="shared" si="18"/>
        <v>0</v>
      </c>
      <c r="L33" s="546">
        <f t="shared" si="18"/>
        <v>0</v>
      </c>
      <c r="M33" s="546">
        <f t="shared" si="18"/>
        <v>0</v>
      </c>
      <c r="N33" s="546">
        <f t="shared" si="18"/>
        <v>0</v>
      </c>
      <c r="O33" s="546">
        <f t="shared" si="18"/>
        <v>0</v>
      </c>
      <c r="P33" s="546">
        <f t="shared" si="18"/>
        <v>0</v>
      </c>
      <c r="Q33" s="546">
        <f t="shared" si="18"/>
        <v>0</v>
      </c>
      <c r="R33" s="546">
        <f t="shared" si="18"/>
        <v>0</v>
      </c>
      <c r="S33" s="546">
        <f t="shared" si="18"/>
        <v>0</v>
      </c>
      <c r="T33" s="546">
        <f t="shared" si="18"/>
        <v>0</v>
      </c>
      <c r="U33" s="546">
        <f t="shared" si="18"/>
        <v>0</v>
      </c>
      <c r="V33" s="542">
        <v>0.0</v>
      </c>
      <c r="W33" s="208">
        <f t="shared" ref="W33:AZ33" si="19">V33</f>
        <v>0</v>
      </c>
      <c r="X33" s="208">
        <f t="shared" si="19"/>
        <v>0</v>
      </c>
      <c r="Y33" s="208">
        <f t="shared" si="19"/>
        <v>0</v>
      </c>
      <c r="Z33" s="208">
        <f t="shared" si="19"/>
        <v>0</v>
      </c>
      <c r="AA33" s="208">
        <f t="shared" si="19"/>
        <v>0</v>
      </c>
      <c r="AB33" s="208">
        <f t="shared" si="19"/>
        <v>0</v>
      </c>
      <c r="AC33" s="208">
        <f t="shared" si="19"/>
        <v>0</v>
      </c>
      <c r="AD33" s="208">
        <f t="shared" si="19"/>
        <v>0</v>
      </c>
      <c r="AE33" s="208">
        <f t="shared" si="19"/>
        <v>0</v>
      </c>
      <c r="AF33" s="208">
        <f t="shared" si="19"/>
        <v>0</v>
      </c>
      <c r="AG33" s="208">
        <f t="shared" si="19"/>
        <v>0</v>
      </c>
      <c r="AH33" s="208">
        <f t="shared" si="19"/>
        <v>0</v>
      </c>
      <c r="AI33" s="208">
        <f t="shared" si="19"/>
        <v>0</v>
      </c>
      <c r="AJ33" s="208">
        <f t="shared" si="19"/>
        <v>0</v>
      </c>
      <c r="AK33" s="208">
        <f t="shared" si="19"/>
        <v>0</v>
      </c>
      <c r="AL33" s="208">
        <f t="shared" si="19"/>
        <v>0</v>
      </c>
      <c r="AM33" s="208">
        <f t="shared" si="19"/>
        <v>0</v>
      </c>
      <c r="AN33" s="208">
        <f t="shared" si="19"/>
        <v>0</v>
      </c>
      <c r="AO33" s="208">
        <f t="shared" si="19"/>
        <v>0</v>
      </c>
      <c r="AP33" s="208">
        <f t="shared" si="19"/>
        <v>0</v>
      </c>
      <c r="AQ33" s="208">
        <f t="shared" si="19"/>
        <v>0</v>
      </c>
      <c r="AR33" s="208">
        <f t="shared" si="19"/>
        <v>0</v>
      </c>
      <c r="AS33" s="208">
        <f t="shared" si="19"/>
        <v>0</v>
      </c>
      <c r="AT33" s="208">
        <f t="shared" si="19"/>
        <v>0</v>
      </c>
      <c r="AU33" s="208">
        <f t="shared" si="19"/>
        <v>0</v>
      </c>
      <c r="AV33" s="208">
        <f t="shared" si="19"/>
        <v>0</v>
      </c>
      <c r="AW33" s="208">
        <f t="shared" si="19"/>
        <v>0</v>
      </c>
      <c r="AX33" s="208">
        <f t="shared" si="19"/>
        <v>0</v>
      </c>
      <c r="AY33" s="208">
        <f t="shared" si="19"/>
        <v>0</v>
      </c>
      <c r="AZ33" s="208">
        <f t="shared" si="19"/>
        <v>0</v>
      </c>
    </row>
    <row r="34" ht="15.75" customHeight="1">
      <c r="A34" s="535" t="s">
        <v>137</v>
      </c>
      <c r="B34" s="709">
        <f t="shared" ref="B34:U34" si="20">C34</f>
        <v>0.01989423738</v>
      </c>
      <c r="C34" s="709">
        <f t="shared" si="20"/>
        <v>0.01989423738</v>
      </c>
      <c r="D34" s="709">
        <f t="shared" si="20"/>
        <v>0.01989423738</v>
      </c>
      <c r="E34" s="709">
        <f t="shared" si="20"/>
        <v>0.01989423738</v>
      </c>
      <c r="F34" s="709">
        <f t="shared" si="20"/>
        <v>0.01989423738</v>
      </c>
      <c r="G34" s="709">
        <f t="shared" si="20"/>
        <v>0.01989423738</v>
      </c>
      <c r="H34" s="709">
        <f t="shared" si="20"/>
        <v>0.01989423738</v>
      </c>
      <c r="I34" s="709">
        <f t="shared" si="20"/>
        <v>0.01989423738</v>
      </c>
      <c r="J34" s="709">
        <f t="shared" si="20"/>
        <v>0.01989423738</v>
      </c>
      <c r="K34" s="709">
        <f t="shared" si="20"/>
        <v>0.01989423738</v>
      </c>
      <c r="L34" s="709">
        <f t="shared" si="20"/>
        <v>0.01989423738</v>
      </c>
      <c r="M34" s="709">
        <f t="shared" si="20"/>
        <v>0.01989423738</v>
      </c>
      <c r="N34" s="709">
        <f t="shared" si="20"/>
        <v>0.01989423738</v>
      </c>
      <c r="O34" s="709">
        <f t="shared" si="20"/>
        <v>0.01989423738</v>
      </c>
      <c r="P34" s="709">
        <f t="shared" si="20"/>
        <v>0.01989423738</v>
      </c>
      <c r="Q34" s="709">
        <f t="shared" si="20"/>
        <v>0.01989423738</v>
      </c>
      <c r="R34" s="709">
        <f t="shared" si="20"/>
        <v>0.01989423738</v>
      </c>
      <c r="S34" s="709">
        <f t="shared" si="20"/>
        <v>0.01989423738</v>
      </c>
      <c r="T34" s="709">
        <f t="shared" si="20"/>
        <v>0.01989423738</v>
      </c>
      <c r="U34" s="709">
        <f t="shared" si="20"/>
        <v>0.01989423738</v>
      </c>
      <c r="V34" s="669">
        <f>Inputs!B21</f>
        <v>0.01989423738</v>
      </c>
      <c r="W34" s="710">
        <f t="shared" ref="W34:AZ34" si="21">V34</f>
        <v>0.01989423738</v>
      </c>
      <c r="X34" s="710">
        <f t="shared" si="21"/>
        <v>0.01989423738</v>
      </c>
      <c r="Y34" s="710">
        <f t="shared" si="21"/>
        <v>0.01989423738</v>
      </c>
      <c r="Z34" s="710">
        <f t="shared" si="21"/>
        <v>0.01989423738</v>
      </c>
      <c r="AA34" s="710">
        <f t="shared" si="21"/>
        <v>0.01989423738</v>
      </c>
      <c r="AB34" s="710">
        <f t="shared" si="21"/>
        <v>0.01989423738</v>
      </c>
      <c r="AC34" s="710">
        <f t="shared" si="21"/>
        <v>0.01989423738</v>
      </c>
      <c r="AD34" s="710">
        <f t="shared" si="21"/>
        <v>0.01989423738</v>
      </c>
      <c r="AE34" s="710">
        <f t="shared" si="21"/>
        <v>0.01989423738</v>
      </c>
      <c r="AF34" s="710">
        <f t="shared" si="21"/>
        <v>0.01989423738</v>
      </c>
      <c r="AG34" s="710">
        <f t="shared" si="21"/>
        <v>0.01989423738</v>
      </c>
      <c r="AH34" s="710">
        <f t="shared" si="21"/>
        <v>0.01989423738</v>
      </c>
      <c r="AI34" s="710">
        <f t="shared" si="21"/>
        <v>0.01989423738</v>
      </c>
      <c r="AJ34" s="710">
        <f t="shared" si="21"/>
        <v>0.01989423738</v>
      </c>
      <c r="AK34" s="710">
        <f t="shared" si="21"/>
        <v>0.01989423738</v>
      </c>
      <c r="AL34" s="710">
        <f t="shared" si="21"/>
        <v>0.01989423738</v>
      </c>
      <c r="AM34" s="710">
        <f t="shared" si="21"/>
        <v>0.01989423738</v>
      </c>
      <c r="AN34" s="710">
        <f t="shared" si="21"/>
        <v>0.01989423738</v>
      </c>
      <c r="AO34" s="710">
        <f t="shared" si="21"/>
        <v>0.01989423738</v>
      </c>
      <c r="AP34" s="710">
        <f t="shared" si="21"/>
        <v>0.01989423738</v>
      </c>
      <c r="AQ34" s="710">
        <f t="shared" si="21"/>
        <v>0.01989423738</v>
      </c>
      <c r="AR34" s="710">
        <f t="shared" si="21"/>
        <v>0.01989423738</v>
      </c>
      <c r="AS34" s="710">
        <f t="shared" si="21"/>
        <v>0.01989423738</v>
      </c>
      <c r="AT34" s="710">
        <f t="shared" si="21"/>
        <v>0.01989423738</v>
      </c>
      <c r="AU34" s="710">
        <f t="shared" si="21"/>
        <v>0.01989423738</v>
      </c>
      <c r="AV34" s="710">
        <f t="shared" si="21"/>
        <v>0.01989423738</v>
      </c>
      <c r="AW34" s="710">
        <f t="shared" si="21"/>
        <v>0.01989423738</v>
      </c>
      <c r="AX34" s="710">
        <f t="shared" si="21"/>
        <v>0.01989423738</v>
      </c>
      <c r="AY34" s="710">
        <f t="shared" si="21"/>
        <v>0.01989423738</v>
      </c>
      <c r="AZ34" s="710">
        <f t="shared" si="21"/>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535" t="s">
        <v>140</v>
      </c>
      <c r="B36" s="535"/>
      <c r="C36" s="535"/>
      <c r="D36" s="535"/>
      <c r="E36" s="535"/>
      <c r="F36" s="535"/>
      <c r="G36" s="535"/>
      <c r="H36" s="535"/>
      <c r="I36" s="535"/>
      <c r="J36" s="535"/>
      <c r="K36" s="535"/>
      <c r="L36" s="535"/>
      <c r="M36" s="535"/>
      <c r="N36" s="535"/>
      <c r="O36" s="535"/>
      <c r="P36" s="535"/>
      <c r="Q36" s="535"/>
      <c r="R36" s="535"/>
      <c r="S36" s="535"/>
      <c r="T36" s="535"/>
      <c r="U36" s="535"/>
      <c r="W36">
        <f t="shared" ref="W36:BA36" si="22">SUM(W38:W63)</f>
        <v>27</v>
      </c>
      <c r="X36">
        <f t="shared" si="22"/>
        <v>0</v>
      </c>
      <c r="Y36">
        <f t="shared" si="22"/>
        <v>26.9</v>
      </c>
      <c r="Z36">
        <f t="shared" si="22"/>
        <v>0</v>
      </c>
      <c r="AA36">
        <f t="shared" si="22"/>
        <v>18</v>
      </c>
      <c r="AB36">
        <f t="shared" si="22"/>
        <v>0</v>
      </c>
      <c r="AC36">
        <f t="shared" si="22"/>
        <v>0</v>
      </c>
      <c r="AD36">
        <f t="shared" si="22"/>
        <v>0</v>
      </c>
      <c r="AE36">
        <f t="shared" si="22"/>
        <v>0</v>
      </c>
      <c r="AF36">
        <f t="shared" si="22"/>
        <v>0</v>
      </c>
      <c r="AG36">
        <f t="shared" si="22"/>
        <v>16.9</v>
      </c>
      <c r="AH36">
        <f t="shared" si="22"/>
        <v>0</v>
      </c>
      <c r="AI36">
        <f t="shared" si="22"/>
        <v>10.6</v>
      </c>
      <c r="AJ36">
        <f t="shared" si="22"/>
        <v>0</v>
      </c>
      <c r="AK36">
        <f t="shared" si="22"/>
        <v>0</v>
      </c>
      <c r="AL36">
        <f t="shared" si="22"/>
        <v>0</v>
      </c>
      <c r="AM36">
        <f t="shared" si="22"/>
        <v>0</v>
      </c>
      <c r="AN36">
        <f t="shared" si="22"/>
        <v>0</v>
      </c>
      <c r="AO36">
        <f t="shared" si="22"/>
        <v>0</v>
      </c>
      <c r="AP36">
        <f t="shared" si="22"/>
        <v>0</v>
      </c>
      <c r="AQ36">
        <f t="shared" si="22"/>
        <v>2.9</v>
      </c>
      <c r="AR36">
        <f t="shared" si="22"/>
        <v>0</v>
      </c>
      <c r="AS36">
        <f t="shared" si="22"/>
        <v>0</v>
      </c>
      <c r="AT36">
        <f t="shared" si="22"/>
        <v>0</v>
      </c>
      <c r="AU36">
        <f t="shared" si="22"/>
        <v>0</v>
      </c>
      <c r="AV36">
        <f t="shared" si="22"/>
        <v>0</v>
      </c>
      <c r="AW36">
        <f t="shared" si="22"/>
        <v>0</v>
      </c>
      <c r="AX36">
        <f t="shared" si="22"/>
        <v>0</v>
      </c>
      <c r="AY36">
        <f t="shared" si="22"/>
        <v>1.6</v>
      </c>
      <c r="AZ36">
        <f t="shared" si="22"/>
        <v>0</v>
      </c>
      <c r="BA36">
        <f t="shared" si="22"/>
        <v>0</v>
      </c>
    </row>
    <row r="37" ht="15.75" customHeight="1">
      <c r="A37" s="853" t="s">
        <v>1012</v>
      </c>
      <c r="B37" s="853"/>
      <c r="C37" s="853"/>
      <c r="D37" s="853"/>
      <c r="E37" s="853"/>
      <c r="F37" s="853"/>
      <c r="G37" s="853"/>
      <c r="H37" s="853"/>
      <c r="I37" s="853"/>
      <c r="J37" s="853"/>
      <c r="K37" s="853"/>
      <c r="L37" s="853"/>
      <c r="M37" s="853"/>
      <c r="N37" s="853"/>
      <c r="O37" s="853"/>
      <c r="P37" s="853"/>
      <c r="Q37" s="853"/>
      <c r="R37" s="853"/>
      <c r="S37" s="853"/>
      <c r="T37" s="853"/>
      <c r="U37" s="853"/>
      <c r="V37" t="s">
        <v>1128</v>
      </c>
      <c r="W37" s="78">
        <v>2020.0</v>
      </c>
      <c r="X37" s="78">
        <v>2021.0</v>
      </c>
      <c r="Y37" s="78">
        <v>2022.0</v>
      </c>
      <c r="Z37" s="78">
        <v>2023.0</v>
      </c>
      <c r="AA37" s="78">
        <v>2024.0</v>
      </c>
      <c r="AB37" s="78">
        <v>2025.0</v>
      </c>
      <c r="AC37" s="78">
        <v>2026.0</v>
      </c>
      <c r="AD37" s="78">
        <v>2027.0</v>
      </c>
      <c r="AE37" s="78">
        <v>2028.0</v>
      </c>
      <c r="AF37" s="78">
        <v>2029.0</v>
      </c>
      <c r="AG37" s="78">
        <v>2030.0</v>
      </c>
      <c r="AH37" s="78">
        <v>2031.0</v>
      </c>
      <c r="AI37" s="78">
        <v>2032.0</v>
      </c>
      <c r="AJ37" s="78">
        <v>2033.0</v>
      </c>
      <c r="AK37" s="78">
        <v>2034.0</v>
      </c>
      <c r="AL37" s="78">
        <v>2035.0</v>
      </c>
      <c r="AM37" s="78">
        <v>2036.0</v>
      </c>
      <c r="AN37" s="78">
        <v>2037.0</v>
      </c>
      <c r="AO37" s="78">
        <v>2038.0</v>
      </c>
      <c r="AP37" s="78">
        <v>2039.0</v>
      </c>
      <c r="AQ37" s="78">
        <v>2040.0</v>
      </c>
      <c r="AR37" s="78">
        <v>2041.0</v>
      </c>
      <c r="AS37" s="78">
        <v>2042.0</v>
      </c>
      <c r="AT37" s="78">
        <v>2043.0</v>
      </c>
      <c r="AU37" s="78">
        <v>2044.0</v>
      </c>
      <c r="AV37" s="78">
        <v>2045.0</v>
      </c>
      <c r="AW37" s="78">
        <v>2046.0</v>
      </c>
      <c r="AX37" s="78">
        <v>2047.0</v>
      </c>
      <c r="AY37" s="78">
        <v>2048.0</v>
      </c>
      <c r="AZ37" s="78">
        <v>2049.0</v>
      </c>
      <c r="BA37" s="78">
        <v>2050.0</v>
      </c>
    </row>
    <row r="38" ht="15.75" customHeight="1">
      <c r="A38" s="854">
        <v>1948.0</v>
      </c>
      <c r="B38" s="789"/>
      <c r="C38" s="789"/>
      <c r="D38" s="789"/>
      <c r="E38" s="789"/>
      <c r="F38" s="789"/>
      <c r="G38" s="789"/>
      <c r="H38" s="789"/>
      <c r="I38" s="789"/>
      <c r="J38" s="789"/>
      <c r="K38" s="789"/>
      <c r="L38" s="789"/>
      <c r="M38" s="789"/>
      <c r="N38" s="789"/>
      <c r="O38" s="789"/>
      <c r="P38" s="789"/>
      <c r="Q38" s="789"/>
      <c r="R38" s="789"/>
      <c r="S38" s="789"/>
      <c r="T38" s="789"/>
      <c r="U38" s="789"/>
      <c r="V38" s="285">
        <v>9.0</v>
      </c>
      <c r="W38">
        <f t="shared" ref="W38:W82" si="24">IF(W$37-$A38&gt;$V$25,$V38,0)</f>
        <v>9</v>
      </c>
      <c r="X38">
        <f t="shared" ref="X38:BA38" si="23">IF(AND(X$37-$A38&gt;$V$25,SUM($W38:W38)&lt;&gt;$V38),$V38,0)</f>
        <v>0</v>
      </c>
      <c r="Y38">
        <f t="shared" si="23"/>
        <v>0</v>
      </c>
      <c r="Z38">
        <f t="shared" si="23"/>
        <v>0</v>
      </c>
      <c r="AA38">
        <f t="shared" si="23"/>
        <v>0</v>
      </c>
      <c r="AB38">
        <f t="shared" si="23"/>
        <v>0</v>
      </c>
      <c r="AC38">
        <f t="shared" si="23"/>
        <v>0</v>
      </c>
      <c r="AD38">
        <f t="shared" si="23"/>
        <v>0</v>
      </c>
      <c r="AE38">
        <f t="shared" si="23"/>
        <v>0</v>
      </c>
      <c r="AF38">
        <f t="shared" si="23"/>
        <v>0</v>
      </c>
      <c r="AG38">
        <f t="shared" si="23"/>
        <v>0</v>
      </c>
      <c r="AH38">
        <f t="shared" si="23"/>
        <v>0</v>
      </c>
      <c r="AI38">
        <f t="shared" si="23"/>
        <v>0</v>
      </c>
      <c r="AJ38">
        <f t="shared" si="23"/>
        <v>0</v>
      </c>
      <c r="AK38">
        <f t="shared" si="23"/>
        <v>0</v>
      </c>
      <c r="AL38">
        <f t="shared" si="23"/>
        <v>0</v>
      </c>
      <c r="AM38">
        <f t="shared" si="23"/>
        <v>0</v>
      </c>
      <c r="AN38">
        <f t="shared" si="23"/>
        <v>0</v>
      </c>
      <c r="AO38">
        <f t="shared" si="23"/>
        <v>0</v>
      </c>
      <c r="AP38">
        <f t="shared" si="23"/>
        <v>0</v>
      </c>
      <c r="AQ38">
        <f t="shared" si="23"/>
        <v>0</v>
      </c>
      <c r="AR38">
        <f t="shared" si="23"/>
        <v>0</v>
      </c>
      <c r="AS38">
        <f t="shared" si="23"/>
        <v>0</v>
      </c>
      <c r="AT38">
        <f t="shared" si="23"/>
        <v>0</v>
      </c>
      <c r="AU38">
        <f t="shared" si="23"/>
        <v>0</v>
      </c>
      <c r="AV38">
        <f t="shared" si="23"/>
        <v>0</v>
      </c>
      <c r="AW38">
        <f t="shared" si="23"/>
        <v>0</v>
      </c>
      <c r="AX38">
        <f t="shared" si="23"/>
        <v>0</v>
      </c>
      <c r="AY38">
        <f t="shared" si="23"/>
        <v>0</v>
      </c>
      <c r="AZ38">
        <f t="shared" si="23"/>
        <v>0</v>
      </c>
      <c r="BA38">
        <f t="shared" si="23"/>
        <v>0</v>
      </c>
    </row>
    <row r="39" ht="15.75" customHeight="1">
      <c r="A39" s="854">
        <v>1949.0</v>
      </c>
      <c r="B39" s="789"/>
      <c r="C39" s="789"/>
      <c r="D39" s="789"/>
      <c r="E39" s="789"/>
      <c r="F39" s="789"/>
      <c r="G39" s="789"/>
      <c r="H39" s="789"/>
      <c r="I39" s="789"/>
      <c r="J39" s="789"/>
      <c r="K39" s="789"/>
      <c r="L39" s="789"/>
      <c r="M39" s="789"/>
      <c r="N39" s="789"/>
      <c r="O39" s="789"/>
      <c r="P39" s="789"/>
      <c r="Q39" s="789"/>
      <c r="R39" s="789"/>
      <c r="S39" s="789"/>
      <c r="T39" s="789"/>
      <c r="U39" s="789"/>
      <c r="V39" s="285">
        <v>18.0</v>
      </c>
      <c r="W39">
        <f t="shared" si="24"/>
        <v>18</v>
      </c>
      <c r="X39">
        <f t="shared" ref="X39:BA39" si="25">IF(AND(X$37-$A39&gt;$V$25,SUM($W39:W39)&lt;&gt;$V39),$V39,0)</f>
        <v>0</v>
      </c>
      <c r="Y39">
        <f t="shared" si="25"/>
        <v>0</v>
      </c>
      <c r="Z39">
        <f t="shared" si="25"/>
        <v>0</v>
      </c>
      <c r="AA39">
        <f t="shared" si="25"/>
        <v>0</v>
      </c>
      <c r="AB39">
        <f t="shared" si="25"/>
        <v>0</v>
      </c>
      <c r="AC39">
        <f t="shared" si="25"/>
        <v>0</v>
      </c>
      <c r="AD39">
        <f t="shared" si="25"/>
        <v>0</v>
      </c>
      <c r="AE39">
        <f t="shared" si="25"/>
        <v>0</v>
      </c>
      <c r="AF39">
        <f t="shared" si="25"/>
        <v>0</v>
      </c>
      <c r="AG39">
        <f t="shared" si="25"/>
        <v>0</v>
      </c>
      <c r="AH39">
        <f t="shared" si="25"/>
        <v>0</v>
      </c>
      <c r="AI39">
        <f t="shared" si="25"/>
        <v>0</v>
      </c>
      <c r="AJ39">
        <f t="shared" si="25"/>
        <v>0</v>
      </c>
      <c r="AK39">
        <f t="shared" si="25"/>
        <v>0</v>
      </c>
      <c r="AL39">
        <f t="shared" si="25"/>
        <v>0</v>
      </c>
      <c r="AM39">
        <f t="shared" si="25"/>
        <v>0</v>
      </c>
      <c r="AN39">
        <f t="shared" si="25"/>
        <v>0</v>
      </c>
      <c r="AO39">
        <f t="shared" si="25"/>
        <v>0</v>
      </c>
      <c r="AP39">
        <f t="shared" si="25"/>
        <v>0</v>
      </c>
      <c r="AQ39">
        <f t="shared" si="25"/>
        <v>0</v>
      </c>
      <c r="AR39">
        <f t="shared" si="25"/>
        <v>0</v>
      </c>
      <c r="AS39">
        <f t="shared" si="25"/>
        <v>0</v>
      </c>
      <c r="AT39">
        <f t="shared" si="25"/>
        <v>0</v>
      </c>
      <c r="AU39">
        <f t="shared" si="25"/>
        <v>0</v>
      </c>
      <c r="AV39">
        <f t="shared" si="25"/>
        <v>0</v>
      </c>
      <c r="AW39">
        <f t="shared" si="25"/>
        <v>0</v>
      </c>
      <c r="AX39">
        <f t="shared" si="25"/>
        <v>0</v>
      </c>
      <c r="AY39">
        <f t="shared" si="25"/>
        <v>0</v>
      </c>
      <c r="AZ39">
        <f t="shared" si="25"/>
        <v>0</v>
      </c>
      <c r="BA39">
        <f t="shared" si="25"/>
        <v>0</v>
      </c>
    </row>
    <row r="40" ht="15.75" customHeight="1">
      <c r="A40" s="854">
        <v>1951.0</v>
      </c>
      <c r="B40" s="789"/>
      <c r="C40" s="789"/>
      <c r="D40" s="789"/>
      <c r="E40" s="789"/>
      <c r="F40" s="789"/>
      <c r="G40" s="789"/>
      <c r="H40" s="789"/>
      <c r="I40" s="789"/>
      <c r="J40" s="789"/>
      <c r="K40" s="789"/>
      <c r="L40" s="789"/>
      <c r="M40" s="789"/>
      <c r="N40" s="789"/>
      <c r="O40" s="789"/>
      <c r="P40" s="789"/>
      <c r="Q40" s="789"/>
      <c r="R40" s="789"/>
      <c r="S40" s="789"/>
      <c r="T40" s="789"/>
      <c r="U40" s="789"/>
      <c r="V40" s="285">
        <v>26.9</v>
      </c>
      <c r="W40">
        <f t="shared" si="24"/>
        <v>0</v>
      </c>
      <c r="X40">
        <f t="shared" ref="X40:BA40" si="26">IF(AND(X$37-$A40&gt;$V$25,SUM($W40:W40)&lt;&gt;$V40),$V40,0)</f>
        <v>0</v>
      </c>
      <c r="Y40">
        <f t="shared" si="26"/>
        <v>26.9</v>
      </c>
      <c r="Z40">
        <f t="shared" si="26"/>
        <v>0</v>
      </c>
      <c r="AA40">
        <f t="shared" si="26"/>
        <v>0</v>
      </c>
      <c r="AB40">
        <f t="shared" si="26"/>
        <v>0</v>
      </c>
      <c r="AC40">
        <f t="shared" si="26"/>
        <v>0</v>
      </c>
      <c r="AD40">
        <f t="shared" si="26"/>
        <v>0</v>
      </c>
      <c r="AE40">
        <f t="shared" si="26"/>
        <v>0</v>
      </c>
      <c r="AF40">
        <f t="shared" si="26"/>
        <v>0</v>
      </c>
      <c r="AG40">
        <f t="shared" si="26"/>
        <v>0</v>
      </c>
      <c r="AH40">
        <f t="shared" si="26"/>
        <v>0</v>
      </c>
      <c r="AI40">
        <f t="shared" si="26"/>
        <v>0</v>
      </c>
      <c r="AJ40">
        <f t="shared" si="26"/>
        <v>0</v>
      </c>
      <c r="AK40">
        <f t="shared" si="26"/>
        <v>0</v>
      </c>
      <c r="AL40">
        <f t="shared" si="26"/>
        <v>0</v>
      </c>
      <c r="AM40">
        <f t="shared" si="26"/>
        <v>0</v>
      </c>
      <c r="AN40">
        <f t="shared" si="26"/>
        <v>0</v>
      </c>
      <c r="AO40">
        <f t="shared" si="26"/>
        <v>0</v>
      </c>
      <c r="AP40">
        <f t="shared" si="26"/>
        <v>0</v>
      </c>
      <c r="AQ40">
        <f t="shared" si="26"/>
        <v>0</v>
      </c>
      <c r="AR40">
        <f t="shared" si="26"/>
        <v>0</v>
      </c>
      <c r="AS40">
        <f t="shared" si="26"/>
        <v>0</v>
      </c>
      <c r="AT40">
        <f t="shared" si="26"/>
        <v>0</v>
      </c>
      <c r="AU40">
        <f t="shared" si="26"/>
        <v>0</v>
      </c>
      <c r="AV40">
        <f t="shared" si="26"/>
        <v>0</v>
      </c>
      <c r="AW40">
        <f t="shared" si="26"/>
        <v>0</v>
      </c>
      <c r="AX40">
        <f t="shared" si="26"/>
        <v>0</v>
      </c>
      <c r="AY40">
        <f t="shared" si="26"/>
        <v>0</v>
      </c>
      <c r="AZ40">
        <f t="shared" si="26"/>
        <v>0</v>
      </c>
      <c r="BA40">
        <f t="shared" si="26"/>
        <v>0</v>
      </c>
    </row>
    <row r="41" ht="15.75" customHeight="1">
      <c r="A41" s="854">
        <v>1953.0</v>
      </c>
      <c r="B41" s="789"/>
      <c r="C41" s="789"/>
      <c r="D41" s="789"/>
      <c r="E41" s="789"/>
      <c r="F41" s="789"/>
      <c r="G41" s="789"/>
      <c r="H41" s="789"/>
      <c r="I41" s="789"/>
      <c r="J41" s="789"/>
      <c r="K41" s="789"/>
      <c r="L41" s="789"/>
      <c r="M41" s="789"/>
      <c r="N41" s="789"/>
      <c r="O41" s="789"/>
      <c r="P41" s="789"/>
      <c r="Q41" s="789"/>
      <c r="R41" s="789"/>
      <c r="S41" s="789"/>
      <c r="T41" s="789"/>
      <c r="U41" s="789"/>
      <c r="V41" s="285">
        <v>18.0</v>
      </c>
      <c r="W41">
        <f t="shared" si="24"/>
        <v>0</v>
      </c>
      <c r="X41">
        <f t="shared" ref="X41:BA41" si="27">IF(AND(X$37-$A41&gt;$V$25,SUM($W41:W41)&lt;&gt;$V41),$V41,0)</f>
        <v>0</v>
      </c>
      <c r="Y41">
        <f t="shared" si="27"/>
        <v>0</v>
      </c>
      <c r="Z41">
        <f t="shared" si="27"/>
        <v>0</v>
      </c>
      <c r="AA41">
        <f t="shared" si="27"/>
        <v>18</v>
      </c>
      <c r="AB41">
        <f t="shared" si="27"/>
        <v>0</v>
      </c>
      <c r="AC41">
        <f t="shared" si="27"/>
        <v>0</v>
      </c>
      <c r="AD41">
        <f t="shared" si="27"/>
        <v>0</v>
      </c>
      <c r="AE41">
        <f t="shared" si="27"/>
        <v>0</v>
      </c>
      <c r="AF41">
        <f t="shared" si="27"/>
        <v>0</v>
      </c>
      <c r="AG41">
        <f t="shared" si="27"/>
        <v>0</v>
      </c>
      <c r="AH41">
        <f t="shared" si="27"/>
        <v>0</v>
      </c>
      <c r="AI41">
        <f t="shared" si="27"/>
        <v>0</v>
      </c>
      <c r="AJ41">
        <f t="shared" si="27"/>
        <v>0</v>
      </c>
      <c r="AK41">
        <f t="shared" si="27"/>
        <v>0</v>
      </c>
      <c r="AL41">
        <f t="shared" si="27"/>
        <v>0</v>
      </c>
      <c r="AM41">
        <f t="shared" si="27"/>
        <v>0</v>
      </c>
      <c r="AN41">
        <f t="shared" si="27"/>
        <v>0</v>
      </c>
      <c r="AO41">
        <f t="shared" si="27"/>
        <v>0</v>
      </c>
      <c r="AP41">
        <f t="shared" si="27"/>
        <v>0</v>
      </c>
      <c r="AQ41">
        <f t="shared" si="27"/>
        <v>0</v>
      </c>
      <c r="AR41">
        <f t="shared" si="27"/>
        <v>0</v>
      </c>
      <c r="AS41">
        <f t="shared" si="27"/>
        <v>0</v>
      </c>
      <c r="AT41">
        <f t="shared" si="27"/>
        <v>0</v>
      </c>
      <c r="AU41">
        <f t="shared" si="27"/>
        <v>0</v>
      </c>
      <c r="AV41">
        <f t="shared" si="27"/>
        <v>0</v>
      </c>
      <c r="AW41">
        <f t="shared" si="27"/>
        <v>0</v>
      </c>
      <c r="AX41">
        <f t="shared" si="27"/>
        <v>0</v>
      </c>
      <c r="AY41">
        <f t="shared" si="27"/>
        <v>0</v>
      </c>
      <c r="AZ41">
        <f t="shared" si="27"/>
        <v>0</v>
      </c>
      <c r="BA41">
        <f t="shared" si="27"/>
        <v>0</v>
      </c>
    </row>
    <row r="42" ht="15.75" customHeight="1">
      <c r="A42" s="854">
        <v>1959.0</v>
      </c>
      <c r="B42" s="789"/>
      <c r="C42" s="789"/>
      <c r="D42" s="789"/>
      <c r="E42" s="789"/>
      <c r="F42" s="789"/>
      <c r="G42" s="789"/>
      <c r="H42" s="789"/>
      <c r="I42" s="789"/>
      <c r="J42" s="789"/>
      <c r="K42" s="789"/>
      <c r="L42" s="789"/>
      <c r="M42" s="789"/>
      <c r="N42" s="789"/>
      <c r="O42" s="789"/>
      <c r="P42" s="789"/>
      <c r="Q42" s="789"/>
      <c r="R42" s="789"/>
      <c r="S42" s="789"/>
      <c r="T42" s="789"/>
      <c r="U42" s="789"/>
      <c r="V42" s="285">
        <v>16.9</v>
      </c>
      <c r="W42">
        <f t="shared" si="24"/>
        <v>0</v>
      </c>
      <c r="X42">
        <f t="shared" ref="X42:BA42" si="28">IF(AND(X$37-$A42&gt;$V$25,SUM($W42:W42)&lt;&gt;$V42),$V42,0)</f>
        <v>0</v>
      </c>
      <c r="Y42">
        <f t="shared" si="28"/>
        <v>0</v>
      </c>
      <c r="Z42">
        <f t="shared" si="28"/>
        <v>0</v>
      </c>
      <c r="AA42">
        <f t="shared" si="28"/>
        <v>0</v>
      </c>
      <c r="AB42">
        <f t="shared" si="28"/>
        <v>0</v>
      </c>
      <c r="AC42">
        <f t="shared" si="28"/>
        <v>0</v>
      </c>
      <c r="AD42">
        <f t="shared" si="28"/>
        <v>0</v>
      </c>
      <c r="AE42">
        <f t="shared" si="28"/>
        <v>0</v>
      </c>
      <c r="AF42">
        <f t="shared" si="28"/>
        <v>0</v>
      </c>
      <c r="AG42">
        <f t="shared" si="28"/>
        <v>16.9</v>
      </c>
      <c r="AH42">
        <f t="shared" si="28"/>
        <v>0</v>
      </c>
      <c r="AI42">
        <f t="shared" si="28"/>
        <v>0</v>
      </c>
      <c r="AJ42">
        <f t="shared" si="28"/>
        <v>0</v>
      </c>
      <c r="AK42">
        <f t="shared" si="28"/>
        <v>0</v>
      </c>
      <c r="AL42">
        <f t="shared" si="28"/>
        <v>0</v>
      </c>
      <c r="AM42">
        <f t="shared" si="28"/>
        <v>0</v>
      </c>
      <c r="AN42">
        <f t="shared" si="28"/>
        <v>0</v>
      </c>
      <c r="AO42">
        <f t="shared" si="28"/>
        <v>0</v>
      </c>
      <c r="AP42">
        <f t="shared" si="28"/>
        <v>0</v>
      </c>
      <c r="AQ42">
        <f t="shared" si="28"/>
        <v>0</v>
      </c>
      <c r="AR42">
        <f t="shared" si="28"/>
        <v>0</v>
      </c>
      <c r="AS42">
        <f t="shared" si="28"/>
        <v>0</v>
      </c>
      <c r="AT42">
        <f t="shared" si="28"/>
        <v>0</v>
      </c>
      <c r="AU42">
        <f t="shared" si="28"/>
        <v>0</v>
      </c>
      <c r="AV42">
        <f t="shared" si="28"/>
        <v>0</v>
      </c>
      <c r="AW42">
        <f t="shared" si="28"/>
        <v>0</v>
      </c>
      <c r="AX42">
        <f t="shared" si="28"/>
        <v>0</v>
      </c>
      <c r="AY42">
        <f t="shared" si="28"/>
        <v>0</v>
      </c>
      <c r="AZ42">
        <f t="shared" si="28"/>
        <v>0</v>
      </c>
      <c r="BA42">
        <f t="shared" si="28"/>
        <v>0</v>
      </c>
    </row>
    <row r="43" ht="15.75" customHeight="1">
      <c r="A43" s="854">
        <v>1961.0</v>
      </c>
      <c r="B43" s="789"/>
      <c r="C43" s="789"/>
      <c r="D43" s="789"/>
      <c r="E43" s="789"/>
      <c r="F43" s="789"/>
      <c r="G43" s="789"/>
      <c r="H43" s="789"/>
      <c r="I43" s="789"/>
      <c r="J43" s="789"/>
      <c r="K43" s="789"/>
      <c r="L43" s="789"/>
      <c r="M43" s="789"/>
      <c r="N43" s="789"/>
      <c r="O43" s="789"/>
      <c r="P43" s="789"/>
      <c r="Q43" s="789"/>
      <c r="R43" s="789"/>
      <c r="S43" s="789"/>
      <c r="T43" s="789"/>
      <c r="U43" s="789"/>
      <c r="V43" s="285">
        <v>10.6</v>
      </c>
      <c r="W43">
        <f t="shared" si="24"/>
        <v>0</v>
      </c>
      <c r="X43">
        <f t="shared" ref="X43:BA43" si="29">IF(AND(X$37-$A43&gt;$V$25,SUM($W43:W43)&lt;&gt;$V43),$V43,0)</f>
        <v>0</v>
      </c>
      <c r="Y43">
        <f t="shared" si="29"/>
        <v>0</v>
      </c>
      <c r="Z43">
        <f t="shared" si="29"/>
        <v>0</v>
      </c>
      <c r="AA43">
        <f t="shared" si="29"/>
        <v>0</v>
      </c>
      <c r="AB43">
        <f t="shared" si="29"/>
        <v>0</v>
      </c>
      <c r="AC43">
        <f t="shared" si="29"/>
        <v>0</v>
      </c>
      <c r="AD43">
        <f t="shared" si="29"/>
        <v>0</v>
      </c>
      <c r="AE43">
        <f t="shared" si="29"/>
        <v>0</v>
      </c>
      <c r="AF43">
        <f t="shared" si="29"/>
        <v>0</v>
      </c>
      <c r="AG43">
        <f t="shared" si="29"/>
        <v>0</v>
      </c>
      <c r="AH43">
        <f t="shared" si="29"/>
        <v>0</v>
      </c>
      <c r="AI43">
        <f t="shared" si="29"/>
        <v>10.6</v>
      </c>
      <c r="AJ43">
        <f t="shared" si="29"/>
        <v>0</v>
      </c>
      <c r="AK43">
        <f t="shared" si="29"/>
        <v>0</v>
      </c>
      <c r="AL43">
        <f t="shared" si="29"/>
        <v>0</v>
      </c>
      <c r="AM43">
        <f t="shared" si="29"/>
        <v>0</v>
      </c>
      <c r="AN43">
        <f t="shared" si="29"/>
        <v>0</v>
      </c>
      <c r="AO43">
        <f t="shared" si="29"/>
        <v>0</v>
      </c>
      <c r="AP43">
        <f t="shared" si="29"/>
        <v>0</v>
      </c>
      <c r="AQ43">
        <f t="shared" si="29"/>
        <v>0</v>
      </c>
      <c r="AR43">
        <f t="shared" si="29"/>
        <v>0</v>
      </c>
      <c r="AS43">
        <f t="shared" si="29"/>
        <v>0</v>
      </c>
      <c r="AT43">
        <f t="shared" si="29"/>
        <v>0</v>
      </c>
      <c r="AU43">
        <f t="shared" si="29"/>
        <v>0</v>
      </c>
      <c r="AV43">
        <f t="shared" si="29"/>
        <v>0</v>
      </c>
      <c r="AW43">
        <f t="shared" si="29"/>
        <v>0</v>
      </c>
      <c r="AX43">
        <f t="shared" si="29"/>
        <v>0</v>
      </c>
      <c r="AY43">
        <f t="shared" si="29"/>
        <v>0</v>
      </c>
      <c r="AZ43">
        <f t="shared" si="29"/>
        <v>0</v>
      </c>
      <c r="BA43">
        <f t="shared" si="29"/>
        <v>0</v>
      </c>
    </row>
    <row r="44" ht="15.75" customHeight="1">
      <c r="A44" s="854">
        <v>1969.0</v>
      </c>
      <c r="B44" s="789"/>
      <c r="C44" s="789"/>
      <c r="D44" s="789"/>
      <c r="E44" s="789"/>
      <c r="F44" s="789"/>
      <c r="G44" s="789"/>
      <c r="H44" s="789"/>
      <c r="I44" s="789"/>
      <c r="J44" s="789"/>
      <c r="K44" s="789"/>
      <c r="L44" s="789"/>
      <c r="M44" s="789"/>
      <c r="N44" s="789"/>
      <c r="O44" s="789"/>
      <c r="P44" s="789"/>
      <c r="Q44" s="789"/>
      <c r="R44" s="789"/>
      <c r="S44" s="789"/>
      <c r="T44" s="789"/>
      <c r="U44" s="789"/>
      <c r="V44" s="285">
        <v>2.9</v>
      </c>
      <c r="W44">
        <f t="shared" si="24"/>
        <v>0</v>
      </c>
      <c r="X44">
        <f t="shared" ref="X44:BA44" si="30">IF(AND(X$37-$A44&gt;$V$25,SUM($W44:W44)&lt;&gt;$V44),$V44,0)</f>
        <v>0</v>
      </c>
      <c r="Y44">
        <f t="shared" si="30"/>
        <v>0</v>
      </c>
      <c r="Z44">
        <f t="shared" si="30"/>
        <v>0</v>
      </c>
      <c r="AA44">
        <f t="shared" si="30"/>
        <v>0</v>
      </c>
      <c r="AB44">
        <f t="shared" si="30"/>
        <v>0</v>
      </c>
      <c r="AC44">
        <f t="shared" si="30"/>
        <v>0</v>
      </c>
      <c r="AD44">
        <f t="shared" si="30"/>
        <v>0</v>
      </c>
      <c r="AE44">
        <f t="shared" si="30"/>
        <v>0</v>
      </c>
      <c r="AF44">
        <f t="shared" si="30"/>
        <v>0</v>
      </c>
      <c r="AG44">
        <f t="shared" si="30"/>
        <v>0</v>
      </c>
      <c r="AH44">
        <f t="shared" si="30"/>
        <v>0</v>
      </c>
      <c r="AI44">
        <f t="shared" si="30"/>
        <v>0</v>
      </c>
      <c r="AJ44">
        <f t="shared" si="30"/>
        <v>0</v>
      </c>
      <c r="AK44">
        <f t="shared" si="30"/>
        <v>0</v>
      </c>
      <c r="AL44">
        <f t="shared" si="30"/>
        <v>0</v>
      </c>
      <c r="AM44">
        <f t="shared" si="30"/>
        <v>0</v>
      </c>
      <c r="AN44">
        <f t="shared" si="30"/>
        <v>0</v>
      </c>
      <c r="AO44">
        <f t="shared" si="30"/>
        <v>0</v>
      </c>
      <c r="AP44">
        <f t="shared" si="30"/>
        <v>0</v>
      </c>
      <c r="AQ44">
        <f t="shared" si="30"/>
        <v>2.9</v>
      </c>
      <c r="AR44">
        <f t="shared" si="30"/>
        <v>0</v>
      </c>
      <c r="AS44">
        <f t="shared" si="30"/>
        <v>0</v>
      </c>
      <c r="AT44">
        <f t="shared" si="30"/>
        <v>0</v>
      </c>
      <c r="AU44">
        <f t="shared" si="30"/>
        <v>0</v>
      </c>
      <c r="AV44">
        <f t="shared" si="30"/>
        <v>0</v>
      </c>
      <c r="AW44">
        <f t="shared" si="30"/>
        <v>0</v>
      </c>
      <c r="AX44">
        <f t="shared" si="30"/>
        <v>0</v>
      </c>
      <c r="AY44">
        <f t="shared" si="30"/>
        <v>0</v>
      </c>
      <c r="AZ44">
        <f t="shared" si="30"/>
        <v>0</v>
      </c>
      <c r="BA44">
        <f t="shared" si="30"/>
        <v>0</v>
      </c>
    </row>
    <row r="45" ht="15.75" customHeight="1">
      <c r="A45" s="854">
        <v>1977.0</v>
      </c>
      <c r="B45" s="789"/>
      <c r="C45" s="789"/>
      <c r="D45" s="789"/>
      <c r="E45" s="789"/>
      <c r="F45" s="789"/>
      <c r="G45" s="789"/>
      <c r="H45" s="789"/>
      <c r="I45" s="789"/>
      <c r="J45" s="789"/>
      <c r="K45" s="789"/>
      <c r="L45" s="789"/>
      <c r="M45" s="789"/>
      <c r="N45" s="789"/>
      <c r="O45" s="789"/>
      <c r="P45" s="789"/>
      <c r="Q45" s="789"/>
      <c r="R45" s="789"/>
      <c r="S45" s="789"/>
      <c r="T45" s="789"/>
      <c r="U45" s="789"/>
      <c r="V45" s="285">
        <v>1.6</v>
      </c>
      <c r="W45">
        <f t="shared" si="24"/>
        <v>0</v>
      </c>
      <c r="X45">
        <f t="shared" ref="X45:BA45" si="31">IF(AND(X$37-$A45&gt;$V$25,SUM($W45:W45)&lt;&gt;$V45),$V45,0)</f>
        <v>0</v>
      </c>
      <c r="Y45">
        <f t="shared" si="31"/>
        <v>0</v>
      </c>
      <c r="Z45">
        <f t="shared" si="31"/>
        <v>0</v>
      </c>
      <c r="AA45">
        <f t="shared" si="31"/>
        <v>0</v>
      </c>
      <c r="AB45">
        <f t="shared" si="31"/>
        <v>0</v>
      </c>
      <c r="AC45">
        <f t="shared" si="31"/>
        <v>0</v>
      </c>
      <c r="AD45">
        <f t="shared" si="31"/>
        <v>0</v>
      </c>
      <c r="AE45">
        <f t="shared" si="31"/>
        <v>0</v>
      </c>
      <c r="AF45">
        <f t="shared" si="31"/>
        <v>0</v>
      </c>
      <c r="AG45">
        <f t="shared" si="31"/>
        <v>0</v>
      </c>
      <c r="AH45">
        <f t="shared" si="31"/>
        <v>0</v>
      </c>
      <c r="AI45">
        <f t="shared" si="31"/>
        <v>0</v>
      </c>
      <c r="AJ45">
        <f t="shared" si="31"/>
        <v>0</v>
      </c>
      <c r="AK45">
        <f t="shared" si="31"/>
        <v>0</v>
      </c>
      <c r="AL45">
        <f t="shared" si="31"/>
        <v>0</v>
      </c>
      <c r="AM45">
        <f t="shared" si="31"/>
        <v>0</v>
      </c>
      <c r="AN45">
        <f t="shared" si="31"/>
        <v>0</v>
      </c>
      <c r="AO45">
        <f t="shared" si="31"/>
        <v>0</v>
      </c>
      <c r="AP45">
        <f t="shared" si="31"/>
        <v>0</v>
      </c>
      <c r="AQ45">
        <f t="shared" si="31"/>
        <v>0</v>
      </c>
      <c r="AR45">
        <f t="shared" si="31"/>
        <v>0</v>
      </c>
      <c r="AS45">
        <f t="shared" si="31"/>
        <v>0</v>
      </c>
      <c r="AT45">
        <f t="shared" si="31"/>
        <v>0</v>
      </c>
      <c r="AU45">
        <f t="shared" si="31"/>
        <v>0</v>
      </c>
      <c r="AV45">
        <f t="shared" si="31"/>
        <v>0</v>
      </c>
      <c r="AW45">
        <f t="shared" si="31"/>
        <v>0</v>
      </c>
      <c r="AX45">
        <f t="shared" si="31"/>
        <v>0</v>
      </c>
      <c r="AY45">
        <f t="shared" si="31"/>
        <v>1.6</v>
      </c>
      <c r="AZ45">
        <f t="shared" si="31"/>
        <v>0</v>
      </c>
      <c r="BA45">
        <f t="shared" si="31"/>
        <v>0</v>
      </c>
    </row>
    <row r="46" ht="15.75" customHeight="1">
      <c r="A46" s="854">
        <v>1980.0</v>
      </c>
      <c r="B46" s="789"/>
      <c r="C46" s="789"/>
      <c r="D46" s="789"/>
      <c r="E46" s="789"/>
      <c r="F46" s="789"/>
      <c r="G46" s="789"/>
      <c r="H46" s="789"/>
      <c r="I46" s="789"/>
      <c r="J46" s="789"/>
      <c r="K46" s="789"/>
      <c r="L46" s="789"/>
      <c r="M46" s="789"/>
      <c r="N46" s="789"/>
      <c r="O46" s="789"/>
      <c r="P46" s="789"/>
      <c r="Q46" s="789"/>
      <c r="R46" s="789"/>
      <c r="S46" s="789"/>
      <c r="T46" s="789"/>
      <c r="U46" s="789"/>
      <c r="V46" s="285">
        <v>36.0</v>
      </c>
      <c r="W46">
        <f t="shared" si="24"/>
        <v>0</v>
      </c>
      <c r="X46">
        <f t="shared" ref="X46:BA46" si="32">IF(AND(X$37-$A46&gt;$V$25,SUM($W46:W46)&lt;&gt;$V46),$V46,0)</f>
        <v>0</v>
      </c>
      <c r="Y46">
        <f t="shared" si="32"/>
        <v>0</v>
      </c>
      <c r="Z46">
        <f t="shared" si="32"/>
        <v>0</v>
      </c>
      <c r="AA46">
        <f t="shared" si="32"/>
        <v>0</v>
      </c>
      <c r="AB46">
        <f t="shared" si="32"/>
        <v>0</v>
      </c>
      <c r="AC46">
        <f t="shared" si="32"/>
        <v>0</v>
      </c>
      <c r="AD46">
        <f t="shared" si="32"/>
        <v>0</v>
      </c>
      <c r="AE46">
        <f t="shared" si="32"/>
        <v>0</v>
      </c>
      <c r="AF46">
        <f t="shared" si="32"/>
        <v>0</v>
      </c>
      <c r="AG46">
        <f t="shared" si="32"/>
        <v>0</v>
      </c>
      <c r="AH46">
        <f t="shared" si="32"/>
        <v>0</v>
      </c>
      <c r="AI46">
        <f t="shared" si="32"/>
        <v>0</v>
      </c>
      <c r="AJ46">
        <f t="shared" si="32"/>
        <v>0</v>
      </c>
      <c r="AK46">
        <f t="shared" si="32"/>
        <v>0</v>
      </c>
      <c r="AL46">
        <f t="shared" si="32"/>
        <v>0</v>
      </c>
      <c r="AM46">
        <f t="shared" si="32"/>
        <v>0</v>
      </c>
      <c r="AN46">
        <f t="shared" si="32"/>
        <v>0</v>
      </c>
      <c r="AO46">
        <f t="shared" si="32"/>
        <v>0</v>
      </c>
      <c r="AP46">
        <f t="shared" si="32"/>
        <v>0</v>
      </c>
      <c r="AQ46">
        <f t="shared" si="32"/>
        <v>0</v>
      </c>
      <c r="AR46">
        <f t="shared" si="32"/>
        <v>0</v>
      </c>
      <c r="AS46">
        <f t="shared" si="32"/>
        <v>0</v>
      </c>
      <c r="AT46">
        <f t="shared" si="32"/>
        <v>0</v>
      </c>
      <c r="AU46">
        <f t="shared" si="32"/>
        <v>0</v>
      </c>
      <c r="AV46">
        <f t="shared" si="32"/>
        <v>0</v>
      </c>
      <c r="AW46">
        <f t="shared" si="32"/>
        <v>0</v>
      </c>
      <c r="AX46">
        <f t="shared" si="32"/>
        <v>0</v>
      </c>
      <c r="AY46">
        <f t="shared" si="32"/>
        <v>0</v>
      </c>
      <c r="AZ46">
        <f t="shared" si="32"/>
        <v>0</v>
      </c>
      <c r="BA46">
        <f t="shared" si="32"/>
        <v>0</v>
      </c>
    </row>
    <row r="47" ht="15.75" customHeight="1">
      <c r="A47" s="854">
        <v>1981.0</v>
      </c>
      <c r="B47" s="789"/>
      <c r="C47" s="789"/>
      <c r="D47" s="789"/>
      <c r="E47" s="789"/>
      <c r="F47" s="789"/>
      <c r="G47" s="789"/>
      <c r="H47" s="789"/>
      <c r="I47" s="789"/>
      <c r="J47" s="789"/>
      <c r="K47" s="789"/>
      <c r="L47" s="789"/>
      <c r="M47" s="789"/>
      <c r="N47" s="789"/>
      <c r="O47" s="789"/>
      <c r="P47" s="789"/>
      <c r="Q47" s="789"/>
      <c r="R47" s="789"/>
      <c r="S47" s="789"/>
      <c r="T47" s="789"/>
      <c r="U47" s="789"/>
      <c r="V47" s="285">
        <v>71.6</v>
      </c>
      <c r="W47">
        <f t="shared" si="24"/>
        <v>0</v>
      </c>
      <c r="X47">
        <f t="shared" ref="X47:BA47" si="33">IF(AND(X$37-$A47&gt;$V$25,SUM($W47:W47)&lt;&gt;$V47),$V47,0)</f>
        <v>0</v>
      </c>
      <c r="Y47">
        <f t="shared" si="33"/>
        <v>0</v>
      </c>
      <c r="Z47">
        <f t="shared" si="33"/>
        <v>0</v>
      </c>
      <c r="AA47">
        <f t="shared" si="33"/>
        <v>0</v>
      </c>
      <c r="AB47">
        <f t="shared" si="33"/>
        <v>0</v>
      </c>
      <c r="AC47">
        <f t="shared" si="33"/>
        <v>0</v>
      </c>
      <c r="AD47">
        <f t="shared" si="33"/>
        <v>0</v>
      </c>
      <c r="AE47">
        <f t="shared" si="33"/>
        <v>0</v>
      </c>
      <c r="AF47">
        <f t="shared" si="33"/>
        <v>0</v>
      </c>
      <c r="AG47">
        <f t="shared" si="33"/>
        <v>0</v>
      </c>
      <c r="AH47">
        <f t="shared" si="33"/>
        <v>0</v>
      </c>
      <c r="AI47">
        <f t="shared" si="33"/>
        <v>0</v>
      </c>
      <c r="AJ47">
        <f t="shared" si="33"/>
        <v>0</v>
      </c>
      <c r="AK47">
        <f t="shared" si="33"/>
        <v>0</v>
      </c>
      <c r="AL47">
        <f t="shared" si="33"/>
        <v>0</v>
      </c>
      <c r="AM47">
        <f t="shared" si="33"/>
        <v>0</v>
      </c>
      <c r="AN47">
        <f t="shared" si="33"/>
        <v>0</v>
      </c>
      <c r="AO47">
        <f t="shared" si="33"/>
        <v>0</v>
      </c>
      <c r="AP47">
        <f t="shared" si="33"/>
        <v>0</v>
      </c>
      <c r="AQ47">
        <f t="shared" si="33"/>
        <v>0</v>
      </c>
      <c r="AR47">
        <f t="shared" si="33"/>
        <v>0</v>
      </c>
      <c r="AS47">
        <f t="shared" si="33"/>
        <v>0</v>
      </c>
      <c r="AT47">
        <f t="shared" si="33"/>
        <v>0</v>
      </c>
      <c r="AU47">
        <f t="shared" si="33"/>
        <v>0</v>
      </c>
      <c r="AV47">
        <f t="shared" si="33"/>
        <v>0</v>
      </c>
      <c r="AW47">
        <f t="shared" si="33"/>
        <v>0</v>
      </c>
      <c r="AX47">
        <f t="shared" si="33"/>
        <v>0</v>
      </c>
      <c r="AY47">
        <f t="shared" si="33"/>
        <v>0</v>
      </c>
      <c r="AZ47">
        <f t="shared" si="33"/>
        <v>0</v>
      </c>
      <c r="BA47">
        <f t="shared" si="33"/>
        <v>0</v>
      </c>
    </row>
    <row r="48" ht="15.75" customHeight="1">
      <c r="A48" s="854">
        <v>1983.0</v>
      </c>
      <c r="B48" s="789"/>
      <c r="C48" s="789"/>
      <c r="D48" s="789"/>
      <c r="E48" s="789"/>
      <c r="F48" s="789"/>
      <c r="G48" s="789"/>
      <c r="H48" s="789"/>
      <c r="I48" s="789"/>
      <c r="J48" s="789"/>
      <c r="K48" s="789"/>
      <c r="L48" s="789"/>
      <c r="M48" s="789"/>
      <c r="N48" s="789"/>
      <c r="O48" s="789"/>
      <c r="P48" s="789"/>
      <c r="Q48" s="789"/>
      <c r="R48" s="789"/>
      <c r="S48" s="789"/>
      <c r="T48" s="789"/>
      <c r="U48" s="789"/>
      <c r="V48" s="285">
        <v>41.1</v>
      </c>
      <c r="W48">
        <f t="shared" si="24"/>
        <v>0</v>
      </c>
      <c r="X48">
        <f t="shared" ref="X48:BA48" si="34">IF(AND(X$37-$A48&gt;$V$25,SUM($W48:W48)&lt;&gt;$V48),$V48,0)</f>
        <v>0</v>
      </c>
      <c r="Y48">
        <f t="shared" si="34"/>
        <v>0</v>
      </c>
      <c r="Z48">
        <f t="shared" si="34"/>
        <v>0</v>
      </c>
      <c r="AA48">
        <f t="shared" si="34"/>
        <v>0</v>
      </c>
      <c r="AB48">
        <f t="shared" si="34"/>
        <v>0</v>
      </c>
      <c r="AC48">
        <f t="shared" si="34"/>
        <v>0</v>
      </c>
      <c r="AD48">
        <f t="shared" si="34"/>
        <v>0</v>
      </c>
      <c r="AE48">
        <f t="shared" si="34"/>
        <v>0</v>
      </c>
      <c r="AF48">
        <f t="shared" si="34"/>
        <v>0</v>
      </c>
      <c r="AG48">
        <f t="shared" si="34"/>
        <v>0</v>
      </c>
      <c r="AH48">
        <f t="shared" si="34"/>
        <v>0</v>
      </c>
      <c r="AI48">
        <f t="shared" si="34"/>
        <v>0</v>
      </c>
      <c r="AJ48">
        <f t="shared" si="34"/>
        <v>0</v>
      </c>
      <c r="AK48">
        <f t="shared" si="34"/>
        <v>0</v>
      </c>
      <c r="AL48">
        <f t="shared" si="34"/>
        <v>0</v>
      </c>
      <c r="AM48">
        <f t="shared" si="34"/>
        <v>0</v>
      </c>
      <c r="AN48">
        <f t="shared" si="34"/>
        <v>0</v>
      </c>
      <c r="AO48">
        <f t="shared" si="34"/>
        <v>0</v>
      </c>
      <c r="AP48">
        <f t="shared" si="34"/>
        <v>0</v>
      </c>
      <c r="AQ48">
        <f t="shared" si="34"/>
        <v>0</v>
      </c>
      <c r="AR48">
        <f t="shared" si="34"/>
        <v>0</v>
      </c>
      <c r="AS48">
        <f t="shared" si="34"/>
        <v>0</v>
      </c>
      <c r="AT48">
        <f t="shared" si="34"/>
        <v>0</v>
      </c>
      <c r="AU48">
        <f t="shared" si="34"/>
        <v>0</v>
      </c>
      <c r="AV48">
        <f t="shared" si="34"/>
        <v>0</v>
      </c>
      <c r="AW48">
        <f t="shared" si="34"/>
        <v>0</v>
      </c>
      <c r="AX48">
        <f t="shared" si="34"/>
        <v>0</v>
      </c>
      <c r="AY48">
        <f t="shared" si="34"/>
        <v>0</v>
      </c>
      <c r="AZ48">
        <f t="shared" si="34"/>
        <v>0</v>
      </c>
      <c r="BA48">
        <f t="shared" si="34"/>
        <v>0</v>
      </c>
    </row>
    <row r="49" ht="15.75" customHeight="1">
      <c r="A49" s="854">
        <v>1984.0</v>
      </c>
      <c r="B49" s="789"/>
      <c r="C49" s="789"/>
      <c r="D49" s="789"/>
      <c r="E49" s="789"/>
      <c r="F49" s="789"/>
      <c r="G49" s="789"/>
      <c r="H49" s="789"/>
      <c r="I49" s="789"/>
      <c r="J49" s="789"/>
      <c r="K49" s="789"/>
      <c r="L49" s="789"/>
      <c r="M49" s="789"/>
      <c r="N49" s="789"/>
      <c r="O49" s="789"/>
      <c r="P49" s="789"/>
      <c r="Q49" s="789"/>
      <c r="R49" s="789"/>
      <c r="S49" s="789"/>
      <c r="T49" s="789"/>
      <c r="U49" s="789"/>
      <c r="V49" s="285">
        <v>108.0</v>
      </c>
      <c r="W49">
        <f t="shared" si="24"/>
        <v>0</v>
      </c>
      <c r="X49">
        <f t="shared" ref="X49:BA49" si="35">IF(AND(X$37-$A49&gt;$V$25,SUM($W49:W49)&lt;&gt;$V49),$V49,0)</f>
        <v>0</v>
      </c>
      <c r="Y49">
        <f t="shared" si="35"/>
        <v>0</v>
      </c>
      <c r="Z49">
        <f t="shared" si="35"/>
        <v>0</v>
      </c>
      <c r="AA49">
        <f t="shared" si="35"/>
        <v>0</v>
      </c>
      <c r="AB49">
        <f t="shared" si="35"/>
        <v>0</v>
      </c>
      <c r="AC49">
        <f t="shared" si="35"/>
        <v>0</v>
      </c>
      <c r="AD49">
        <f t="shared" si="35"/>
        <v>0</v>
      </c>
      <c r="AE49">
        <f t="shared" si="35"/>
        <v>0</v>
      </c>
      <c r="AF49">
        <f t="shared" si="35"/>
        <v>0</v>
      </c>
      <c r="AG49">
        <f t="shared" si="35"/>
        <v>0</v>
      </c>
      <c r="AH49">
        <f t="shared" si="35"/>
        <v>0</v>
      </c>
      <c r="AI49">
        <f t="shared" si="35"/>
        <v>0</v>
      </c>
      <c r="AJ49">
        <f t="shared" si="35"/>
        <v>0</v>
      </c>
      <c r="AK49">
        <f t="shared" si="35"/>
        <v>0</v>
      </c>
      <c r="AL49">
        <f t="shared" si="35"/>
        <v>0</v>
      </c>
      <c r="AM49">
        <f t="shared" si="35"/>
        <v>0</v>
      </c>
      <c r="AN49">
        <f t="shared" si="35"/>
        <v>0</v>
      </c>
      <c r="AO49">
        <f t="shared" si="35"/>
        <v>0</v>
      </c>
      <c r="AP49">
        <f t="shared" si="35"/>
        <v>0</v>
      </c>
      <c r="AQ49">
        <f t="shared" si="35"/>
        <v>0</v>
      </c>
      <c r="AR49">
        <f t="shared" si="35"/>
        <v>0</v>
      </c>
      <c r="AS49">
        <f t="shared" si="35"/>
        <v>0</v>
      </c>
      <c r="AT49">
        <f t="shared" si="35"/>
        <v>0</v>
      </c>
      <c r="AU49">
        <f t="shared" si="35"/>
        <v>0</v>
      </c>
      <c r="AV49">
        <f t="shared" si="35"/>
        <v>0</v>
      </c>
      <c r="AW49">
        <f t="shared" si="35"/>
        <v>0</v>
      </c>
      <c r="AX49">
        <f t="shared" si="35"/>
        <v>0</v>
      </c>
      <c r="AY49">
        <f t="shared" si="35"/>
        <v>0</v>
      </c>
      <c r="AZ49">
        <f t="shared" si="35"/>
        <v>0</v>
      </c>
      <c r="BA49">
        <f t="shared" si="35"/>
        <v>0</v>
      </c>
    </row>
    <row r="50" ht="15.75" customHeight="1">
      <c r="A50" s="854">
        <v>1985.0</v>
      </c>
      <c r="B50" s="789"/>
      <c r="C50" s="789"/>
      <c r="D50" s="789"/>
      <c r="E50" s="789"/>
      <c r="F50" s="789"/>
      <c r="G50" s="789"/>
      <c r="H50" s="789"/>
      <c r="I50" s="789"/>
      <c r="J50" s="789"/>
      <c r="K50" s="789"/>
      <c r="L50" s="789"/>
      <c r="M50" s="789"/>
      <c r="N50" s="789"/>
      <c r="O50" s="789"/>
      <c r="P50" s="789"/>
      <c r="Q50" s="789"/>
      <c r="R50" s="789"/>
      <c r="S50" s="789"/>
      <c r="T50" s="789"/>
      <c r="U50" s="789"/>
      <c r="V50" s="285">
        <v>98.7</v>
      </c>
      <c r="W50">
        <f t="shared" si="24"/>
        <v>0</v>
      </c>
      <c r="X50">
        <f t="shared" ref="X50:BA50" si="36">IF(AND(X$37-$A50&gt;$V$25,SUM($W50:W50)&lt;&gt;$V50),$V50,0)</f>
        <v>0</v>
      </c>
      <c r="Y50">
        <f t="shared" si="36"/>
        <v>0</v>
      </c>
      <c r="Z50">
        <f t="shared" si="36"/>
        <v>0</v>
      </c>
      <c r="AA50">
        <f t="shared" si="36"/>
        <v>0</v>
      </c>
      <c r="AB50">
        <f t="shared" si="36"/>
        <v>0</v>
      </c>
      <c r="AC50">
        <f t="shared" si="36"/>
        <v>0</v>
      </c>
      <c r="AD50">
        <f t="shared" si="36"/>
        <v>0</v>
      </c>
      <c r="AE50">
        <f t="shared" si="36"/>
        <v>0</v>
      </c>
      <c r="AF50">
        <f t="shared" si="36"/>
        <v>0</v>
      </c>
      <c r="AG50">
        <f t="shared" si="36"/>
        <v>0</v>
      </c>
      <c r="AH50">
        <f t="shared" si="36"/>
        <v>0</v>
      </c>
      <c r="AI50">
        <f t="shared" si="36"/>
        <v>0</v>
      </c>
      <c r="AJ50">
        <f t="shared" si="36"/>
        <v>0</v>
      </c>
      <c r="AK50">
        <f t="shared" si="36"/>
        <v>0</v>
      </c>
      <c r="AL50">
        <f t="shared" si="36"/>
        <v>0</v>
      </c>
      <c r="AM50">
        <f t="shared" si="36"/>
        <v>0</v>
      </c>
      <c r="AN50">
        <f t="shared" si="36"/>
        <v>0</v>
      </c>
      <c r="AO50">
        <f t="shared" si="36"/>
        <v>0</v>
      </c>
      <c r="AP50">
        <f t="shared" si="36"/>
        <v>0</v>
      </c>
      <c r="AQ50">
        <f t="shared" si="36"/>
        <v>0</v>
      </c>
      <c r="AR50">
        <f t="shared" si="36"/>
        <v>0</v>
      </c>
      <c r="AS50">
        <f t="shared" si="36"/>
        <v>0</v>
      </c>
      <c r="AT50">
        <f t="shared" si="36"/>
        <v>0</v>
      </c>
      <c r="AU50">
        <f t="shared" si="36"/>
        <v>0</v>
      </c>
      <c r="AV50">
        <f t="shared" si="36"/>
        <v>0</v>
      </c>
      <c r="AW50">
        <f t="shared" si="36"/>
        <v>0</v>
      </c>
      <c r="AX50">
        <f t="shared" si="36"/>
        <v>0</v>
      </c>
      <c r="AY50">
        <f t="shared" si="36"/>
        <v>0</v>
      </c>
      <c r="AZ50">
        <f t="shared" si="36"/>
        <v>0</v>
      </c>
      <c r="BA50">
        <f t="shared" si="36"/>
        <v>0</v>
      </c>
    </row>
    <row r="51" ht="15.75" customHeight="1">
      <c r="A51" s="854">
        <v>1986.0</v>
      </c>
      <c r="B51" s="789"/>
      <c r="C51" s="789"/>
      <c r="D51" s="789"/>
      <c r="E51" s="789"/>
      <c r="F51" s="789"/>
      <c r="G51" s="789"/>
      <c r="H51" s="789"/>
      <c r="I51" s="789"/>
      <c r="J51" s="789"/>
      <c r="K51" s="789"/>
      <c r="L51" s="789"/>
      <c r="M51" s="789"/>
      <c r="N51" s="789"/>
      <c r="O51" s="789"/>
      <c r="P51" s="789"/>
      <c r="Q51" s="789"/>
      <c r="R51" s="789"/>
      <c r="S51" s="789"/>
      <c r="T51" s="789"/>
      <c r="U51" s="789"/>
      <c r="V51" s="285">
        <v>78.4</v>
      </c>
      <c r="W51">
        <f t="shared" si="24"/>
        <v>0</v>
      </c>
      <c r="X51">
        <f t="shared" ref="X51:BA51" si="37">IF(AND(X$37-$A51&gt;$V$25,SUM($W51:W51)&lt;&gt;$V51),$V51,0)</f>
        <v>0</v>
      </c>
      <c r="Y51">
        <f t="shared" si="37"/>
        <v>0</v>
      </c>
      <c r="Z51">
        <f t="shared" si="37"/>
        <v>0</v>
      </c>
      <c r="AA51">
        <f t="shared" si="37"/>
        <v>0</v>
      </c>
      <c r="AB51">
        <f t="shared" si="37"/>
        <v>0</v>
      </c>
      <c r="AC51">
        <f t="shared" si="37"/>
        <v>0</v>
      </c>
      <c r="AD51">
        <f t="shared" si="37"/>
        <v>0</v>
      </c>
      <c r="AE51">
        <f t="shared" si="37"/>
        <v>0</v>
      </c>
      <c r="AF51">
        <f t="shared" si="37"/>
        <v>0</v>
      </c>
      <c r="AG51">
        <f t="shared" si="37"/>
        <v>0</v>
      </c>
      <c r="AH51">
        <f t="shared" si="37"/>
        <v>0</v>
      </c>
      <c r="AI51">
        <f t="shared" si="37"/>
        <v>0</v>
      </c>
      <c r="AJ51">
        <f t="shared" si="37"/>
        <v>0</v>
      </c>
      <c r="AK51">
        <f t="shared" si="37"/>
        <v>0</v>
      </c>
      <c r="AL51">
        <f t="shared" si="37"/>
        <v>0</v>
      </c>
      <c r="AM51">
        <f t="shared" si="37"/>
        <v>0</v>
      </c>
      <c r="AN51">
        <f t="shared" si="37"/>
        <v>0</v>
      </c>
      <c r="AO51">
        <f t="shared" si="37"/>
        <v>0</v>
      </c>
      <c r="AP51">
        <f t="shared" si="37"/>
        <v>0</v>
      </c>
      <c r="AQ51">
        <f t="shared" si="37"/>
        <v>0</v>
      </c>
      <c r="AR51">
        <f t="shared" si="37"/>
        <v>0</v>
      </c>
      <c r="AS51">
        <f t="shared" si="37"/>
        <v>0</v>
      </c>
      <c r="AT51">
        <f t="shared" si="37"/>
        <v>0</v>
      </c>
      <c r="AU51">
        <f t="shared" si="37"/>
        <v>0</v>
      </c>
      <c r="AV51">
        <f t="shared" si="37"/>
        <v>0</v>
      </c>
      <c r="AW51">
        <f t="shared" si="37"/>
        <v>0</v>
      </c>
      <c r="AX51">
        <f t="shared" si="37"/>
        <v>0</v>
      </c>
      <c r="AY51">
        <f t="shared" si="37"/>
        <v>0</v>
      </c>
      <c r="AZ51">
        <f t="shared" si="37"/>
        <v>0</v>
      </c>
      <c r="BA51">
        <f t="shared" si="37"/>
        <v>0</v>
      </c>
    </row>
    <row r="52" ht="15.75" customHeight="1">
      <c r="A52" s="854">
        <v>1987.0</v>
      </c>
      <c r="B52" s="789"/>
      <c r="C52" s="789"/>
      <c r="D52" s="789"/>
      <c r="E52" s="789"/>
      <c r="F52" s="789"/>
      <c r="G52" s="789"/>
      <c r="H52" s="789"/>
      <c r="I52" s="789"/>
      <c r="J52" s="789"/>
      <c r="K52" s="789"/>
      <c r="L52" s="789"/>
      <c r="M52" s="789"/>
      <c r="N52" s="789"/>
      <c r="O52" s="789"/>
      <c r="P52" s="789"/>
      <c r="Q52" s="789"/>
      <c r="R52" s="789"/>
      <c r="S52" s="789"/>
      <c r="T52" s="789"/>
      <c r="U52" s="789"/>
      <c r="V52" s="285">
        <v>199.2</v>
      </c>
      <c r="W52">
        <f t="shared" si="24"/>
        <v>0</v>
      </c>
      <c r="X52">
        <f t="shared" ref="X52:BA52" si="38">IF(AND(X$37-$A52&gt;$V$25,SUM($W52:W52)&lt;&gt;$V52),$V52,0)</f>
        <v>0</v>
      </c>
      <c r="Y52">
        <f t="shared" si="38"/>
        <v>0</v>
      </c>
      <c r="Z52">
        <f t="shared" si="38"/>
        <v>0</v>
      </c>
      <c r="AA52">
        <f t="shared" si="38"/>
        <v>0</v>
      </c>
      <c r="AB52">
        <f t="shared" si="38"/>
        <v>0</v>
      </c>
      <c r="AC52">
        <f t="shared" si="38"/>
        <v>0</v>
      </c>
      <c r="AD52">
        <f t="shared" si="38"/>
        <v>0</v>
      </c>
      <c r="AE52">
        <f t="shared" si="38"/>
        <v>0</v>
      </c>
      <c r="AF52">
        <f t="shared" si="38"/>
        <v>0</v>
      </c>
      <c r="AG52">
        <f t="shared" si="38"/>
        <v>0</v>
      </c>
      <c r="AH52">
        <f t="shared" si="38"/>
        <v>0</v>
      </c>
      <c r="AI52">
        <f t="shared" si="38"/>
        <v>0</v>
      </c>
      <c r="AJ52">
        <f t="shared" si="38"/>
        <v>0</v>
      </c>
      <c r="AK52">
        <f t="shared" si="38"/>
        <v>0</v>
      </c>
      <c r="AL52">
        <f t="shared" si="38"/>
        <v>0</v>
      </c>
      <c r="AM52">
        <f t="shared" si="38"/>
        <v>0</v>
      </c>
      <c r="AN52">
        <f t="shared" si="38"/>
        <v>0</v>
      </c>
      <c r="AO52">
        <f t="shared" si="38"/>
        <v>0</v>
      </c>
      <c r="AP52">
        <f t="shared" si="38"/>
        <v>0</v>
      </c>
      <c r="AQ52">
        <f t="shared" si="38"/>
        <v>0</v>
      </c>
      <c r="AR52">
        <f t="shared" si="38"/>
        <v>0</v>
      </c>
      <c r="AS52">
        <f t="shared" si="38"/>
        <v>0</v>
      </c>
      <c r="AT52">
        <f t="shared" si="38"/>
        <v>0</v>
      </c>
      <c r="AU52">
        <f t="shared" si="38"/>
        <v>0</v>
      </c>
      <c r="AV52">
        <f t="shared" si="38"/>
        <v>0</v>
      </c>
      <c r="AW52">
        <f t="shared" si="38"/>
        <v>0</v>
      </c>
      <c r="AX52">
        <f t="shared" si="38"/>
        <v>0</v>
      </c>
      <c r="AY52">
        <f t="shared" si="38"/>
        <v>0</v>
      </c>
      <c r="AZ52">
        <f t="shared" si="38"/>
        <v>0</v>
      </c>
      <c r="BA52">
        <f t="shared" si="38"/>
        <v>0</v>
      </c>
    </row>
    <row r="53" ht="15.75" customHeight="1">
      <c r="A53" s="854">
        <v>1988.0</v>
      </c>
      <c r="B53" s="789"/>
      <c r="C53" s="789"/>
      <c r="D53" s="789"/>
      <c r="E53" s="789"/>
      <c r="F53" s="789"/>
      <c r="G53" s="789"/>
      <c r="H53" s="789"/>
      <c r="I53" s="789"/>
      <c r="J53" s="789"/>
      <c r="K53" s="789"/>
      <c r="L53" s="789"/>
      <c r="M53" s="789"/>
      <c r="N53" s="789"/>
      <c r="O53" s="789"/>
      <c r="P53" s="789"/>
      <c r="Q53" s="789"/>
      <c r="R53" s="789"/>
      <c r="S53" s="789"/>
      <c r="T53" s="789"/>
      <c r="U53" s="789"/>
      <c r="V53" s="285">
        <v>352.1</v>
      </c>
      <c r="W53">
        <f t="shared" si="24"/>
        <v>0</v>
      </c>
      <c r="X53">
        <f t="shared" ref="X53:BA53" si="39">IF(AND(X$37-$A53&gt;$V$25,SUM($W53:W53)&lt;&gt;$V53),$V53,0)</f>
        <v>0</v>
      </c>
      <c r="Y53">
        <f t="shared" si="39"/>
        <v>0</v>
      </c>
      <c r="Z53">
        <f t="shared" si="39"/>
        <v>0</v>
      </c>
      <c r="AA53">
        <f t="shared" si="39"/>
        <v>0</v>
      </c>
      <c r="AB53">
        <f t="shared" si="39"/>
        <v>0</v>
      </c>
      <c r="AC53">
        <f t="shared" si="39"/>
        <v>0</v>
      </c>
      <c r="AD53">
        <f t="shared" si="39"/>
        <v>0</v>
      </c>
      <c r="AE53">
        <f t="shared" si="39"/>
        <v>0</v>
      </c>
      <c r="AF53">
        <f t="shared" si="39"/>
        <v>0</v>
      </c>
      <c r="AG53">
        <f t="shared" si="39"/>
        <v>0</v>
      </c>
      <c r="AH53">
        <f t="shared" si="39"/>
        <v>0</v>
      </c>
      <c r="AI53">
        <f t="shared" si="39"/>
        <v>0</v>
      </c>
      <c r="AJ53">
        <f t="shared" si="39"/>
        <v>0</v>
      </c>
      <c r="AK53">
        <f t="shared" si="39"/>
        <v>0</v>
      </c>
      <c r="AL53">
        <f t="shared" si="39"/>
        <v>0</v>
      </c>
      <c r="AM53">
        <f t="shared" si="39"/>
        <v>0</v>
      </c>
      <c r="AN53">
        <f t="shared" si="39"/>
        <v>0</v>
      </c>
      <c r="AO53">
        <f t="shared" si="39"/>
        <v>0</v>
      </c>
      <c r="AP53">
        <f t="shared" si="39"/>
        <v>0</v>
      </c>
      <c r="AQ53">
        <f t="shared" si="39"/>
        <v>0</v>
      </c>
      <c r="AR53">
        <f t="shared" si="39"/>
        <v>0</v>
      </c>
      <c r="AS53">
        <f t="shared" si="39"/>
        <v>0</v>
      </c>
      <c r="AT53">
        <f t="shared" si="39"/>
        <v>0</v>
      </c>
      <c r="AU53">
        <f t="shared" si="39"/>
        <v>0</v>
      </c>
      <c r="AV53">
        <f t="shared" si="39"/>
        <v>0</v>
      </c>
      <c r="AW53">
        <f t="shared" si="39"/>
        <v>0</v>
      </c>
      <c r="AX53">
        <f t="shared" si="39"/>
        <v>0</v>
      </c>
      <c r="AY53">
        <f t="shared" si="39"/>
        <v>0</v>
      </c>
      <c r="AZ53">
        <f t="shared" si="39"/>
        <v>0</v>
      </c>
      <c r="BA53">
        <f t="shared" si="39"/>
        <v>0</v>
      </c>
    </row>
    <row r="54" ht="15.75" customHeight="1">
      <c r="A54" s="854">
        <v>1989.0</v>
      </c>
      <c r="B54" s="789"/>
      <c r="C54" s="789"/>
      <c r="D54" s="789"/>
      <c r="E54" s="789"/>
      <c r="F54" s="789"/>
      <c r="G54" s="789"/>
      <c r="H54" s="789"/>
      <c r="I54" s="789"/>
      <c r="J54" s="789"/>
      <c r="K54" s="789"/>
      <c r="L54" s="789"/>
      <c r="M54" s="789"/>
      <c r="N54" s="789"/>
      <c r="O54" s="789"/>
      <c r="P54" s="789"/>
      <c r="Q54" s="789"/>
      <c r="R54" s="789"/>
      <c r="S54" s="789"/>
      <c r="T54" s="789"/>
      <c r="U54" s="789"/>
      <c r="V54" s="285">
        <v>301.0</v>
      </c>
      <c r="W54">
        <f t="shared" si="24"/>
        <v>0</v>
      </c>
      <c r="X54">
        <f t="shared" ref="X54:BA54" si="40">IF(AND(X$37-$A54&gt;$V$25,SUM($W54:W54)&lt;&gt;$V54),$V54,0)</f>
        <v>0</v>
      </c>
      <c r="Y54">
        <f t="shared" si="40"/>
        <v>0</v>
      </c>
      <c r="Z54">
        <f t="shared" si="40"/>
        <v>0</v>
      </c>
      <c r="AA54">
        <f t="shared" si="40"/>
        <v>0</v>
      </c>
      <c r="AB54">
        <f t="shared" si="40"/>
        <v>0</v>
      </c>
      <c r="AC54">
        <f t="shared" si="40"/>
        <v>0</v>
      </c>
      <c r="AD54">
        <f t="shared" si="40"/>
        <v>0</v>
      </c>
      <c r="AE54">
        <f t="shared" si="40"/>
        <v>0</v>
      </c>
      <c r="AF54">
        <f t="shared" si="40"/>
        <v>0</v>
      </c>
      <c r="AG54">
        <f t="shared" si="40"/>
        <v>0</v>
      </c>
      <c r="AH54">
        <f t="shared" si="40"/>
        <v>0</v>
      </c>
      <c r="AI54">
        <f t="shared" si="40"/>
        <v>0</v>
      </c>
      <c r="AJ54">
        <f t="shared" si="40"/>
        <v>0</v>
      </c>
      <c r="AK54">
        <f t="shared" si="40"/>
        <v>0</v>
      </c>
      <c r="AL54">
        <f t="shared" si="40"/>
        <v>0</v>
      </c>
      <c r="AM54">
        <f t="shared" si="40"/>
        <v>0</v>
      </c>
      <c r="AN54">
        <f t="shared" si="40"/>
        <v>0</v>
      </c>
      <c r="AO54">
        <f t="shared" si="40"/>
        <v>0</v>
      </c>
      <c r="AP54">
        <f t="shared" si="40"/>
        <v>0</v>
      </c>
      <c r="AQ54">
        <f t="shared" si="40"/>
        <v>0</v>
      </c>
      <c r="AR54">
        <f t="shared" si="40"/>
        <v>0</v>
      </c>
      <c r="AS54">
        <f t="shared" si="40"/>
        <v>0</v>
      </c>
      <c r="AT54">
        <f t="shared" si="40"/>
        <v>0</v>
      </c>
      <c r="AU54">
        <f t="shared" si="40"/>
        <v>0</v>
      </c>
      <c r="AV54">
        <f t="shared" si="40"/>
        <v>0</v>
      </c>
      <c r="AW54">
        <f t="shared" si="40"/>
        <v>0</v>
      </c>
      <c r="AX54">
        <f t="shared" si="40"/>
        <v>0</v>
      </c>
      <c r="AY54">
        <f t="shared" si="40"/>
        <v>0</v>
      </c>
      <c r="AZ54">
        <f t="shared" si="40"/>
        <v>0</v>
      </c>
      <c r="BA54">
        <f t="shared" si="40"/>
        <v>0</v>
      </c>
    </row>
    <row r="55" ht="15.75" customHeight="1">
      <c r="A55" s="854">
        <v>1990.0</v>
      </c>
      <c r="B55" s="789"/>
      <c r="C55" s="789"/>
      <c r="D55" s="789"/>
      <c r="E55" s="789"/>
      <c r="F55" s="789"/>
      <c r="G55" s="789"/>
      <c r="H55" s="789"/>
      <c r="I55" s="789"/>
      <c r="J55" s="789"/>
      <c r="K55" s="789"/>
      <c r="L55" s="789"/>
      <c r="M55" s="789"/>
      <c r="N55" s="789"/>
      <c r="O55" s="789"/>
      <c r="P55" s="789"/>
      <c r="Q55" s="789"/>
      <c r="R55" s="789"/>
      <c r="S55" s="789"/>
      <c r="T55" s="789"/>
      <c r="U55" s="789"/>
      <c r="V55" s="285">
        <v>227.4</v>
      </c>
      <c r="W55">
        <f t="shared" si="24"/>
        <v>0</v>
      </c>
      <c r="X55">
        <f t="shared" ref="X55:BA55" si="41">IF(AND(X$37-$A55&gt;$V$25,SUM($W55:W55)&lt;&gt;$V55),$V55,0)</f>
        <v>0</v>
      </c>
      <c r="Y55">
        <f t="shared" si="41"/>
        <v>0</v>
      </c>
      <c r="Z55">
        <f t="shared" si="41"/>
        <v>0</v>
      </c>
      <c r="AA55">
        <f t="shared" si="41"/>
        <v>0</v>
      </c>
      <c r="AB55">
        <f t="shared" si="41"/>
        <v>0</v>
      </c>
      <c r="AC55">
        <f t="shared" si="41"/>
        <v>0</v>
      </c>
      <c r="AD55">
        <f t="shared" si="41"/>
        <v>0</v>
      </c>
      <c r="AE55">
        <f t="shared" si="41"/>
        <v>0</v>
      </c>
      <c r="AF55">
        <f t="shared" si="41"/>
        <v>0</v>
      </c>
      <c r="AG55">
        <f t="shared" si="41"/>
        <v>0</v>
      </c>
      <c r="AH55">
        <f t="shared" si="41"/>
        <v>0</v>
      </c>
      <c r="AI55">
        <f t="shared" si="41"/>
        <v>0</v>
      </c>
      <c r="AJ55">
        <f t="shared" si="41"/>
        <v>0</v>
      </c>
      <c r="AK55">
        <f t="shared" si="41"/>
        <v>0</v>
      </c>
      <c r="AL55">
        <f t="shared" si="41"/>
        <v>0</v>
      </c>
      <c r="AM55">
        <f t="shared" si="41"/>
        <v>0</v>
      </c>
      <c r="AN55">
        <f t="shared" si="41"/>
        <v>0</v>
      </c>
      <c r="AO55">
        <f t="shared" si="41"/>
        <v>0</v>
      </c>
      <c r="AP55">
        <f t="shared" si="41"/>
        <v>0</v>
      </c>
      <c r="AQ55">
        <f t="shared" si="41"/>
        <v>0</v>
      </c>
      <c r="AR55">
        <f t="shared" si="41"/>
        <v>0</v>
      </c>
      <c r="AS55">
        <f t="shared" si="41"/>
        <v>0</v>
      </c>
      <c r="AT55">
        <f t="shared" si="41"/>
        <v>0</v>
      </c>
      <c r="AU55">
        <f t="shared" si="41"/>
        <v>0</v>
      </c>
      <c r="AV55">
        <f t="shared" si="41"/>
        <v>0</v>
      </c>
      <c r="AW55">
        <f t="shared" si="41"/>
        <v>0</v>
      </c>
      <c r="AX55">
        <f t="shared" si="41"/>
        <v>0</v>
      </c>
      <c r="AY55">
        <f t="shared" si="41"/>
        <v>0</v>
      </c>
      <c r="AZ55">
        <f t="shared" si="41"/>
        <v>0</v>
      </c>
      <c r="BA55">
        <f t="shared" si="41"/>
        <v>0</v>
      </c>
    </row>
    <row r="56" ht="15.75" customHeight="1">
      <c r="A56" s="854">
        <v>1991.0</v>
      </c>
      <c r="B56" s="789"/>
      <c r="C56" s="789"/>
      <c r="D56" s="789"/>
      <c r="E56" s="789"/>
      <c r="F56" s="789"/>
      <c r="G56" s="789"/>
      <c r="H56" s="789"/>
      <c r="I56" s="789"/>
      <c r="J56" s="789"/>
      <c r="K56" s="789"/>
      <c r="L56" s="789"/>
      <c r="M56" s="789"/>
      <c r="N56" s="789"/>
      <c r="O56" s="789"/>
      <c r="P56" s="789"/>
      <c r="Q56" s="789"/>
      <c r="R56" s="789"/>
      <c r="S56" s="789"/>
      <c r="T56" s="789"/>
      <c r="U56" s="789"/>
      <c r="V56" s="285">
        <v>302.3</v>
      </c>
      <c r="W56">
        <f t="shared" si="24"/>
        <v>0</v>
      </c>
      <c r="X56">
        <f t="shared" ref="X56:BA56" si="42">IF(AND(X$37-$A56&gt;$V$25,SUM($W56:W56)&lt;&gt;$V56),$V56,0)</f>
        <v>0</v>
      </c>
      <c r="Y56">
        <f t="shared" si="42"/>
        <v>0</v>
      </c>
      <c r="Z56">
        <f t="shared" si="42"/>
        <v>0</v>
      </c>
      <c r="AA56">
        <f t="shared" si="42"/>
        <v>0</v>
      </c>
      <c r="AB56">
        <f t="shared" si="42"/>
        <v>0</v>
      </c>
      <c r="AC56">
        <f t="shared" si="42"/>
        <v>0</v>
      </c>
      <c r="AD56">
        <f t="shared" si="42"/>
        <v>0</v>
      </c>
      <c r="AE56">
        <f t="shared" si="42"/>
        <v>0</v>
      </c>
      <c r="AF56">
        <f t="shared" si="42"/>
        <v>0</v>
      </c>
      <c r="AG56">
        <f t="shared" si="42"/>
        <v>0</v>
      </c>
      <c r="AH56">
        <f t="shared" si="42"/>
        <v>0</v>
      </c>
      <c r="AI56">
        <f t="shared" si="42"/>
        <v>0</v>
      </c>
      <c r="AJ56">
        <f t="shared" si="42"/>
        <v>0</v>
      </c>
      <c r="AK56">
        <f t="shared" si="42"/>
        <v>0</v>
      </c>
      <c r="AL56">
        <f t="shared" si="42"/>
        <v>0</v>
      </c>
      <c r="AM56">
        <f t="shared" si="42"/>
        <v>0</v>
      </c>
      <c r="AN56">
        <f t="shared" si="42"/>
        <v>0</v>
      </c>
      <c r="AO56">
        <f t="shared" si="42"/>
        <v>0</v>
      </c>
      <c r="AP56">
        <f t="shared" si="42"/>
        <v>0</v>
      </c>
      <c r="AQ56">
        <f t="shared" si="42"/>
        <v>0</v>
      </c>
      <c r="AR56">
        <f t="shared" si="42"/>
        <v>0</v>
      </c>
      <c r="AS56">
        <f t="shared" si="42"/>
        <v>0</v>
      </c>
      <c r="AT56">
        <f t="shared" si="42"/>
        <v>0</v>
      </c>
      <c r="AU56">
        <f t="shared" si="42"/>
        <v>0</v>
      </c>
      <c r="AV56">
        <f t="shared" si="42"/>
        <v>0</v>
      </c>
      <c r="AW56">
        <f t="shared" si="42"/>
        <v>0</v>
      </c>
      <c r="AX56">
        <f t="shared" si="42"/>
        <v>0</v>
      </c>
      <c r="AY56">
        <f t="shared" si="42"/>
        <v>0</v>
      </c>
      <c r="AZ56">
        <f t="shared" si="42"/>
        <v>0</v>
      </c>
      <c r="BA56">
        <f t="shared" si="42"/>
        <v>0</v>
      </c>
    </row>
    <row r="57" ht="15.75" customHeight="1">
      <c r="A57" s="854">
        <v>1992.0</v>
      </c>
      <c r="B57" s="789"/>
      <c r="C57" s="789"/>
      <c r="D57" s="789"/>
      <c r="E57" s="789"/>
      <c r="F57" s="789"/>
      <c r="G57" s="789"/>
      <c r="H57" s="789"/>
      <c r="I57" s="789"/>
      <c r="J57" s="789"/>
      <c r="K57" s="789"/>
      <c r="L57" s="789"/>
      <c r="M57" s="789"/>
      <c r="N57" s="789"/>
      <c r="O57" s="789"/>
      <c r="P57" s="789"/>
      <c r="Q57" s="789"/>
      <c r="R57" s="789"/>
      <c r="S57" s="789"/>
      <c r="T57" s="789"/>
      <c r="U57" s="789"/>
      <c r="V57" s="285">
        <v>27.5</v>
      </c>
      <c r="W57">
        <f t="shared" si="24"/>
        <v>0</v>
      </c>
      <c r="X57">
        <f t="shared" ref="X57:BA57" si="43">IF(AND(X$37-$A57&gt;$V$25,SUM($W57:W57)&lt;&gt;$V57),$V57,0)</f>
        <v>0</v>
      </c>
      <c r="Y57">
        <f t="shared" si="43"/>
        <v>0</v>
      </c>
      <c r="Z57">
        <f t="shared" si="43"/>
        <v>0</v>
      </c>
      <c r="AA57">
        <f t="shared" si="43"/>
        <v>0</v>
      </c>
      <c r="AB57">
        <f t="shared" si="43"/>
        <v>0</v>
      </c>
      <c r="AC57">
        <f t="shared" si="43"/>
        <v>0</v>
      </c>
      <c r="AD57">
        <f t="shared" si="43"/>
        <v>0</v>
      </c>
      <c r="AE57">
        <f t="shared" si="43"/>
        <v>0</v>
      </c>
      <c r="AF57">
        <f t="shared" si="43"/>
        <v>0</v>
      </c>
      <c r="AG57">
        <f t="shared" si="43"/>
        <v>0</v>
      </c>
      <c r="AH57">
        <f t="shared" si="43"/>
        <v>0</v>
      </c>
      <c r="AI57">
        <f t="shared" si="43"/>
        <v>0</v>
      </c>
      <c r="AJ57">
        <f t="shared" si="43"/>
        <v>0</v>
      </c>
      <c r="AK57">
        <f t="shared" si="43"/>
        <v>0</v>
      </c>
      <c r="AL57">
        <f t="shared" si="43"/>
        <v>0</v>
      </c>
      <c r="AM57">
        <f t="shared" si="43"/>
        <v>0</v>
      </c>
      <c r="AN57">
        <f t="shared" si="43"/>
        <v>0</v>
      </c>
      <c r="AO57">
        <f t="shared" si="43"/>
        <v>0</v>
      </c>
      <c r="AP57">
        <f t="shared" si="43"/>
        <v>0</v>
      </c>
      <c r="AQ57">
        <f t="shared" si="43"/>
        <v>0</v>
      </c>
      <c r="AR57">
        <f t="shared" si="43"/>
        <v>0</v>
      </c>
      <c r="AS57">
        <f t="shared" si="43"/>
        <v>0</v>
      </c>
      <c r="AT57">
        <f t="shared" si="43"/>
        <v>0</v>
      </c>
      <c r="AU57">
        <f t="shared" si="43"/>
        <v>0</v>
      </c>
      <c r="AV57">
        <f t="shared" si="43"/>
        <v>0</v>
      </c>
      <c r="AW57">
        <f t="shared" si="43"/>
        <v>0</v>
      </c>
      <c r="AX57">
        <f t="shared" si="43"/>
        <v>0</v>
      </c>
      <c r="AY57">
        <f t="shared" si="43"/>
        <v>0</v>
      </c>
      <c r="AZ57">
        <f t="shared" si="43"/>
        <v>0</v>
      </c>
      <c r="BA57">
        <f t="shared" si="43"/>
        <v>0</v>
      </c>
    </row>
    <row r="58" ht="15.75" customHeight="1">
      <c r="A58" s="854">
        <v>1993.0</v>
      </c>
      <c r="B58" s="789"/>
      <c r="C58" s="789"/>
      <c r="D58" s="789"/>
      <c r="E58" s="789"/>
      <c r="F58" s="789"/>
      <c r="G58" s="789"/>
      <c r="H58" s="789"/>
      <c r="I58" s="789"/>
      <c r="J58" s="789"/>
      <c r="K58" s="789"/>
      <c r="L58" s="789"/>
      <c r="M58" s="789"/>
      <c r="N58" s="789"/>
      <c r="O58" s="789"/>
      <c r="P58" s="789"/>
      <c r="Q58" s="789"/>
      <c r="R58" s="789"/>
      <c r="S58" s="789"/>
      <c r="T58" s="789"/>
      <c r="U58" s="789"/>
      <c r="V58" s="285">
        <v>50.1</v>
      </c>
      <c r="W58">
        <f t="shared" si="24"/>
        <v>0</v>
      </c>
      <c r="X58">
        <f t="shared" ref="X58:BA58" si="44">IF(AND(X$37-$A58&gt;$V$25,SUM($W58:W58)&lt;&gt;$V58),$V58,0)</f>
        <v>0</v>
      </c>
      <c r="Y58">
        <f t="shared" si="44"/>
        <v>0</v>
      </c>
      <c r="Z58">
        <f t="shared" si="44"/>
        <v>0</v>
      </c>
      <c r="AA58">
        <f t="shared" si="44"/>
        <v>0</v>
      </c>
      <c r="AB58">
        <f t="shared" si="44"/>
        <v>0</v>
      </c>
      <c r="AC58">
        <f t="shared" si="44"/>
        <v>0</v>
      </c>
      <c r="AD58">
        <f t="shared" si="44"/>
        <v>0</v>
      </c>
      <c r="AE58">
        <f t="shared" si="44"/>
        <v>0</v>
      </c>
      <c r="AF58">
        <f t="shared" si="44"/>
        <v>0</v>
      </c>
      <c r="AG58">
        <f t="shared" si="44"/>
        <v>0</v>
      </c>
      <c r="AH58">
        <f t="shared" si="44"/>
        <v>0</v>
      </c>
      <c r="AI58">
        <f t="shared" si="44"/>
        <v>0</v>
      </c>
      <c r="AJ58">
        <f t="shared" si="44"/>
        <v>0</v>
      </c>
      <c r="AK58">
        <f t="shared" si="44"/>
        <v>0</v>
      </c>
      <c r="AL58">
        <f t="shared" si="44"/>
        <v>0</v>
      </c>
      <c r="AM58">
        <f t="shared" si="44"/>
        <v>0</v>
      </c>
      <c r="AN58">
        <f t="shared" si="44"/>
        <v>0</v>
      </c>
      <c r="AO58">
        <f t="shared" si="44"/>
        <v>0</v>
      </c>
      <c r="AP58">
        <f t="shared" si="44"/>
        <v>0</v>
      </c>
      <c r="AQ58">
        <f t="shared" si="44"/>
        <v>0</v>
      </c>
      <c r="AR58">
        <f t="shared" si="44"/>
        <v>0</v>
      </c>
      <c r="AS58">
        <f t="shared" si="44"/>
        <v>0</v>
      </c>
      <c r="AT58">
        <f t="shared" si="44"/>
        <v>0</v>
      </c>
      <c r="AU58">
        <f t="shared" si="44"/>
        <v>0</v>
      </c>
      <c r="AV58">
        <f t="shared" si="44"/>
        <v>0</v>
      </c>
      <c r="AW58">
        <f t="shared" si="44"/>
        <v>0</v>
      </c>
      <c r="AX58">
        <f t="shared" si="44"/>
        <v>0</v>
      </c>
      <c r="AY58">
        <f t="shared" si="44"/>
        <v>0</v>
      </c>
      <c r="AZ58">
        <f t="shared" si="44"/>
        <v>0</v>
      </c>
      <c r="BA58">
        <f t="shared" si="44"/>
        <v>0</v>
      </c>
    </row>
    <row r="59" ht="15.75" customHeight="1">
      <c r="A59" s="854">
        <v>1994.0</v>
      </c>
      <c r="B59" s="789"/>
      <c r="C59" s="789"/>
      <c r="D59" s="789"/>
      <c r="E59" s="789"/>
      <c r="F59" s="789"/>
      <c r="G59" s="789"/>
      <c r="H59" s="789"/>
      <c r="I59" s="789"/>
      <c r="J59" s="789"/>
      <c r="K59" s="789"/>
      <c r="L59" s="789"/>
      <c r="M59" s="789"/>
      <c r="N59" s="789"/>
      <c r="O59" s="789"/>
      <c r="P59" s="789"/>
      <c r="Q59" s="789"/>
      <c r="R59" s="789"/>
      <c r="S59" s="789"/>
      <c r="T59" s="789"/>
      <c r="U59" s="789"/>
      <c r="V59" s="285">
        <v>172.2</v>
      </c>
      <c r="W59">
        <f t="shared" si="24"/>
        <v>0</v>
      </c>
      <c r="X59">
        <f t="shared" ref="X59:BA59" si="45">IF(AND(X$37-$A59&gt;$V$25,SUM($W59:W59)&lt;&gt;$V59),$V59,0)</f>
        <v>0</v>
      </c>
      <c r="Y59">
        <f t="shared" si="45"/>
        <v>0</v>
      </c>
      <c r="Z59">
        <f t="shared" si="45"/>
        <v>0</v>
      </c>
      <c r="AA59">
        <f t="shared" si="45"/>
        <v>0</v>
      </c>
      <c r="AB59">
        <f t="shared" si="45"/>
        <v>0</v>
      </c>
      <c r="AC59">
        <f t="shared" si="45"/>
        <v>0</v>
      </c>
      <c r="AD59">
        <f t="shared" si="45"/>
        <v>0</v>
      </c>
      <c r="AE59">
        <f t="shared" si="45"/>
        <v>0</v>
      </c>
      <c r="AF59">
        <f t="shared" si="45"/>
        <v>0</v>
      </c>
      <c r="AG59">
        <f t="shared" si="45"/>
        <v>0</v>
      </c>
      <c r="AH59">
        <f t="shared" si="45"/>
        <v>0</v>
      </c>
      <c r="AI59">
        <f t="shared" si="45"/>
        <v>0</v>
      </c>
      <c r="AJ59">
        <f t="shared" si="45"/>
        <v>0</v>
      </c>
      <c r="AK59">
        <f t="shared" si="45"/>
        <v>0</v>
      </c>
      <c r="AL59">
        <f t="shared" si="45"/>
        <v>0</v>
      </c>
      <c r="AM59">
        <f t="shared" si="45"/>
        <v>0</v>
      </c>
      <c r="AN59">
        <f t="shared" si="45"/>
        <v>0</v>
      </c>
      <c r="AO59">
        <f t="shared" si="45"/>
        <v>0</v>
      </c>
      <c r="AP59">
        <f t="shared" si="45"/>
        <v>0</v>
      </c>
      <c r="AQ59">
        <f t="shared" si="45"/>
        <v>0</v>
      </c>
      <c r="AR59">
        <f t="shared" si="45"/>
        <v>0</v>
      </c>
      <c r="AS59">
        <f t="shared" si="45"/>
        <v>0</v>
      </c>
      <c r="AT59">
        <f t="shared" si="45"/>
        <v>0</v>
      </c>
      <c r="AU59">
        <f t="shared" si="45"/>
        <v>0</v>
      </c>
      <c r="AV59">
        <f t="shared" si="45"/>
        <v>0</v>
      </c>
      <c r="AW59">
        <f t="shared" si="45"/>
        <v>0</v>
      </c>
      <c r="AX59">
        <f t="shared" si="45"/>
        <v>0</v>
      </c>
      <c r="AY59">
        <f t="shared" si="45"/>
        <v>0</v>
      </c>
      <c r="AZ59">
        <f t="shared" si="45"/>
        <v>0</v>
      </c>
      <c r="BA59">
        <f t="shared" si="45"/>
        <v>0</v>
      </c>
    </row>
    <row r="60" ht="15.75" customHeight="1">
      <c r="A60" s="854">
        <v>1995.0</v>
      </c>
      <c r="B60" s="789"/>
      <c r="C60" s="789"/>
      <c r="D60" s="789"/>
      <c r="E60" s="789"/>
      <c r="F60" s="789"/>
      <c r="G60" s="789"/>
      <c r="H60" s="789"/>
      <c r="I60" s="789"/>
      <c r="J60" s="789"/>
      <c r="K60" s="789"/>
      <c r="L60" s="789"/>
      <c r="M60" s="789"/>
      <c r="N60" s="789"/>
      <c r="O60" s="789"/>
      <c r="P60" s="789"/>
      <c r="Q60" s="789"/>
      <c r="R60" s="789"/>
      <c r="S60" s="789"/>
      <c r="T60" s="789"/>
      <c r="U60" s="789"/>
      <c r="V60" s="285">
        <v>78.1</v>
      </c>
      <c r="W60">
        <f t="shared" si="24"/>
        <v>0</v>
      </c>
      <c r="X60">
        <f t="shared" ref="X60:BA60" si="46">IF(AND(X$37-$A60&gt;$V$25,SUM($W60:W60)&lt;&gt;$V60),$V60,0)</f>
        <v>0</v>
      </c>
      <c r="Y60">
        <f t="shared" si="46"/>
        <v>0</v>
      </c>
      <c r="Z60">
        <f t="shared" si="46"/>
        <v>0</v>
      </c>
      <c r="AA60">
        <f t="shared" si="46"/>
        <v>0</v>
      </c>
      <c r="AB60">
        <f t="shared" si="46"/>
        <v>0</v>
      </c>
      <c r="AC60">
        <f t="shared" si="46"/>
        <v>0</v>
      </c>
      <c r="AD60">
        <f t="shared" si="46"/>
        <v>0</v>
      </c>
      <c r="AE60">
        <f t="shared" si="46"/>
        <v>0</v>
      </c>
      <c r="AF60">
        <f t="shared" si="46"/>
        <v>0</v>
      </c>
      <c r="AG60">
        <f t="shared" si="46"/>
        <v>0</v>
      </c>
      <c r="AH60">
        <f t="shared" si="46"/>
        <v>0</v>
      </c>
      <c r="AI60">
        <f t="shared" si="46"/>
        <v>0</v>
      </c>
      <c r="AJ60">
        <f t="shared" si="46"/>
        <v>0</v>
      </c>
      <c r="AK60">
        <f t="shared" si="46"/>
        <v>0</v>
      </c>
      <c r="AL60">
        <f t="shared" si="46"/>
        <v>0</v>
      </c>
      <c r="AM60">
        <f t="shared" si="46"/>
        <v>0</v>
      </c>
      <c r="AN60">
        <f t="shared" si="46"/>
        <v>0</v>
      </c>
      <c r="AO60">
        <f t="shared" si="46"/>
        <v>0</v>
      </c>
      <c r="AP60">
        <f t="shared" si="46"/>
        <v>0</v>
      </c>
      <c r="AQ60">
        <f t="shared" si="46"/>
        <v>0</v>
      </c>
      <c r="AR60">
        <f t="shared" si="46"/>
        <v>0</v>
      </c>
      <c r="AS60">
        <f t="shared" si="46"/>
        <v>0</v>
      </c>
      <c r="AT60">
        <f t="shared" si="46"/>
        <v>0</v>
      </c>
      <c r="AU60">
        <f t="shared" si="46"/>
        <v>0</v>
      </c>
      <c r="AV60">
        <f t="shared" si="46"/>
        <v>0</v>
      </c>
      <c r="AW60">
        <f t="shared" si="46"/>
        <v>0</v>
      </c>
      <c r="AX60">
        <f t="shared" si="46"/>
        <v>0</v>
      </c>
      <c r="AY60">
        <f t="shared" si="46"/>
        <v>0</v>
      </c>
      <c r="AZ60">
        <f t="shared" si="46"/>
        <v>0</v>
      </c>
      <c r="BA60">
        <f t="shared" si="46"/>
        <v>0</v>
      </c>
    </row>
    <row r="61" ht="15.75" customHeight="1">
      <c r="A61" s="854">
        <v>1996.0</v>
      </c>
      <c r="B61" s="789"/>
      <c r="C61" s="789"/>
      <c r="D61" s="789"/>
      <c r="E61" s="789"/>
      <c r="F61" s="789"/>
      <c r="G61" s="789"/>
      <c r="H61" s="789"/>
      <c r="I61" s="789"/>
      <c r="J61" s="789"/>
      <c r="K61" s="789"/>
      <c r="L61" s="789"/>
      <c r="M61" s="789"/>
      <c r="N61" s="789"/>
      <c r="O61" s="789"/>
      <c r="P61" s="789"/>
      <c r="Q61" s="789"/>
      <c r="R61" s="789"/>
      <c r="S61" s="789"/>
      <c r="T61" s="789"/>
      <c r="U61" s="789"/>
      <c r="V61" s="285">
        <v>115.0</v>
      </c>
      <c r="W61">
        <f t="shared" si="24"/>
        <v>0</v>
      </c>
      <c r="X61">
        <f t="shared" ref="X61:BA61" si="47">IF(AND(X$37-$A61&gt;$V$25,SUM($W61:W61)&lt;&gt;$V61),$V61,0)</f>
        <v>0</v>
      </c>
      <c r="Y61">
        <f t="shared" si="47"/>
        <v>0</v>
      </c>
      <c r="Z61">
        <f t="shared" si="47"/>
        <v>0</v>
      </c>
      <c r="AA61">
        <f t="shared" si="47"/>
        <v>0</v>
      </c>
      <c r="AB61">
        <f t="shared" si="47"/>
        <v>0</v>
      </c>
      <c r="AC61">
        <f t="shared" si="47"/>
        <v>0</v>
      </c>
      <c r="AD61">
        <f t="shared" si="47"/>
        <v>0</v>
      </c>
      <c r="AE61">
        <f t="shared" si="47"/>
        <v>0</v>
      </c>
      <c r="AF61">
        <f t="shared" si="47"/>
        <v>0</v>
      </c>
      <c r="AG61">
        <f t="shared" si="47"/>
        <v>0</v>
      </c>
      <c r="AH61">
        <f t="shared" si="47"/>
        <v>0</v>
      </c>
      <c r="AI61">
        <f t="shared" si="47"/>
        <v>0</v>
      </c>
      <c r="AJ61">
        <f t="shared" si="47"/>
        <v>0</v>
      </c>
      <c r="AK61">
        <f t="shared" si="47"/>
        <v>0</v>
      </c>
      <c r="AL61">
        <f t="shared" si="47"/>
        <v>0</v>
      </c>
      <c r="AM61">
        <f t="shared" si="47"/>
        <v>0</v>
      </c>
      <c r="AN61">
        <f t="shared" si="47"/>
        <v>0</v>
      </c>
      <c r="AO61">
        <f t="shared" si="47"/>
        <v>0</v>
      </c>
      <c r="AP61">
        <f t="shared" si="47"/>
        <v>0</v>
      </c>
      <c r="AQ61">
        <f t="shared" si="47"/>
        <v>0</v>
      </c>
      <c r="AR61">
        <f t="shared" si="47"/>
        <v>0</v>
      </c>
      <c r="AS61">
        <f t="shared" si="47"/>
        <v>0</v>
      </c>
      <c r="AT61">
        <f t="shared" si="47"/>
        <v>0</v>
      </c>
      <c r="AU61">
        <f t="shared" si="47"/>
        <v>0</v>
      </c>
      <c r="AV61">
        <f t="shared" si="47"/>
        <v>0</v>
      </c>
      <c r="AW61">
        <f t="shared" si="47"/>
        <v>0</v>
      </c>
      <c r="AX61">
        <f t="shared" si="47"/>
        <v>0</v>
      </c>
      <c r="AY61">
        <f t="shared" si="47"/>
        <v>0</v>
      </c>
      <c r="AZ61">
        <f t="shared" si="47"/>
        <v>0</v>
      </c>
      <c r="BA61">
        <f t="shared" si="47"/>
        <v>0</v>
      </c>
    </row>
    <row r="62" ht="15.75" customHeight="1">
      <c r="A62" s="854">
        <v>1997.0</v>
      </c>
      <c r="B62" s="789"/>
      <c r="C62" s="789"/>
      <c r="D62" s="789"/>
      <c r="E62" s="789"/>
      <c r="F62" s="789"/>
      <c r="G62" s="789"/>
      <c r="H62" s="789"/>
      <c r="I62" s="789"/>
      <c r="J62" s="789"/>
      <c r="K62" s="789"/>
      <c r="L62" s="789"/>
      <c r="M62" s="789"/>
      <c r="N62" s="789"/>
      <c r="O62" s="789"/>
      <c r="P62" s="789"/>
      <c r="Q62" s="789"/>
      <c r="R62" s="789"/>
      <c r="S62" s="789"/>
      <c r="T62" s="789"/>
      <c r="U62" s="789"/>
      <c r="V62" s="285">
        <v>31.2</v>
      </c>
      <c r="W62">
        <f t="shared" si="24"/>
        <v>0</v>
      </c>
      <c r="X62">
        <f t="shared" ref="X62:BA62" si="48">IF(AND(X$37-$A62&gt;$V$25,SUM($W62:W62)&lt;&gt;$V62),$V62,0)</f>
        <v>0</v>
      </c>
      <c r="Y62">
        <f t="shared" si="48"/>
        <v>0</v>
      </c>
      <c r="Z62">
        <f t="shared" si="48"/>
        <v>0</v>
      </c>
      <c r="AA62">
        <f t="shared" si="48"/>
        <v>0</v>
      </c>
      <c r="AB62">
        <f t="shared" si="48"/>
        <v>0</v>
      </c>
      <c r="AC62">
        <f t="shared" si="48"/>
        <v>0</v>
      </c>
      <c r="AD62">
        <f t="shared" si="48"/>
        <v>0</v>
      </c>
      <c r="AE62">
        <f t="shared" si="48"/>
        <v>0</v>
      </c>
      <c r="AF62">
        <f t="shared" si="48"/>
        <v>0</v>
      </c>
      <c r="AG62">
        <f t="shared" si="48"/>
        <v>0</v>
      </c>
      <c r="AH62">
        <f t="shared" si="48"/>
        <v>0</v>
      </c>
      <c r="AI62">
        <f t="shared" si="48"/>
        <v>0</v>
      </c>
      <c r="AJ62">
        <f t="shared" si="48"/>
        <v>0</v>
      </c>
      <c r="AK62">
        <f t="shared" si="48"/>
        <v>0</v>
      </c>
      <c r="AL62">
        <f t="shared" si="48"/>
        <v>0</v>
      </c>
      <c r="AM62">
        <f t="shared" si="48"/>
        <v>0</v>
      </c>
      <c r="AN62">
        <f t="shared" si="48"/>
        <v>0</v>
      </c>
      <c r="AO62">
        <f t="shared" si="48"/>
        <v>0</v>
      </c>
      <c r="AP62">
        <f t="shared" si="48"/>
        <v>0</v>
      </c>
      <c r="AQ62">
        <f t="shared" si="48"/>
        <v>0</v>
      </c>
      <c r="AR62">
        <f t="shared" si="48"/>
        <v>0</v>
      </c>
      <c r="AS62">
        <f t="shared" si="48"/>
        <v>0</v>
      </c>
      <c r="AT62">
        <f t="shared" si="48"/>
        <v>0</v>
      </c>
      <c r="AU62">
        <f t="shared" si="48"/>
        <v>0</v>
      </c>
      <c r="AV62">
        <f t="shared" si="48"/>
        <v>0</v>
      </c>
      <c r="AW62">
        <f t="shared" si="48"/>
        <v>0</v>
      </c>
      <c r="AX62">
        <f t="shared" si="48"/>
        <v>0</v>
      </c>
      <c r="AY62">
        <f t="shared" si="48"/>
        <v>0</v>
      </c>
      <c r="AZ62">
        <f t="shared" si="48"/>
        <v>0</v>
      </c>
      <c r="BA62">
        <f t="shared" si="48"/>
        <v>0</v>
      </c>
    </row>
    <row r="63" ht="15.75" customHeight="1">
      <c r="A63" s="854">
        <v>1998.0</v>
      </c>
      <c r="B63" s="789"/>
      <c r="C63" s="789"/>
      <c r="D63" s="789"/>
      <c r="E63" s="789"/>
      <c r="F63" s="789"/>
      <c r="G63" s="789"/>
      <c r="H63" s="789"/>
      <c r="I63" s="789"/>
      <c r="J63" s="789"/>
      <c r="K63" s="789"/>
      <c r="L63" s="789"/>
      <c r="M63" s="789"/>
      <c r="N63" s="789"/>
      <c r="O63" s="789"/>
      <c r="P63" s="789"/>
      <c r="Q63" s="789"/>
      <c r="R63" s="789"/>
      <c r="S63" s="789"/>
      <c r="T63" s="789"/>
      <c r="U63" s="789"/>
      <c r="V63" s="285">
        <v>42.9</v>
      </c>
      <c r="W63">
        <f t="shared" si="24"/>
        <v>0</v>
      </c>
      <c r="X63">
        <f t="shared" ref="X63:AZ63" si="49">IF(AND(X$37-$A63&gt;$V$25,SUM($W63:W63)&lt;&gt;$V63),$V63,0)</f>
        <v>0</v>
      </c>
      <c r="Y63">
        <f t="shared" si="49"/>
        <v>0</v>
      </c>
      <c r="Z63">
        <f t="shared" si="49"/>
        <v>0</v>
      </c>
      <c r="AA63">
        <f t="shared" si="49"/>
        <v>0</v>
      </c>
      <c r="AB63">
        <f t="shared" si="49"/>
        <v>0</v>
      </c>
      <c r="AC63">
        <f t="shared" si="49"/>
        <v>0</v>
      </c>
      <c r="AD63">
        <f t="shared" si="49"/>
        <v>0</v>
      </c>
      <c r="AE63">
        <f t="shared" si="49"/>
        <v>0</v>
      </c>
      <c r="AF63">
        <f t="shared" si="49"/>
        <v>0</v>
      </c>
      <c r="AG63">
        <f t="shared" si="49"/>
        <v>0</v>
      </c>
      <c r="AH63">
        <f t="shared" si="49"/>
        <v>0</v>
      </c>
      <c r="AI63">
        <f t="shared" si="49"/>
        <v>0</v>
      </c>
      <c r="AJ63">
        <f t="shared" si="49"/>
        <v>0</v>
      </c>
      <c r="AK63">
        <f t="shared" si="49"/>
        <v>0</v>
      </c>
      <c r="AL63">
        <f t="shared" si="49"/>
        <v>0</v>
      </c>
      <c r="AM63">
        <f t="shared" si="49"/>
        <v>0</v>
      </c>
      <c r="AN63">
        <f t="shared" si="49"/>
        <v>0</v>
      </c>
      <c r="AO63">
        <f t="shared" si="49"/>
        <v>0</v>
      </c>
      <c r="AP63">
        <f t="shared" si="49"/>
        <v>0</v>
      </c>
      <c r="AQ63">
        <f t="shared" si="49"/>
        <v>0</v>
      </c>
      <c r="AR63">
        <f t="shared" si="49"/>
        <v>0</v>
      </c>
      <c r="AS63">
        <f t="shared" si="49"/>
        <v>0</v>
      </c>
      <c r="AT63">
        <f t="shared" si="49"/>
        <v>0</v>
      </c>
      <c r="AU63">
        <f t="shared" si="49"/>
        <v>0</v>
      </c>
      <c r="AV63">
        <f t="shared" si="49"/>
        <v>0</v>
      </c>
      <c r="AW63">
        <f t="shared" si="49"/>
        <v>0</v>
      </c>
      <c r="AX63">
        <f t="shared" si="49"/>
        <v>0</v>
      </c>
      <c r="AY63">
        <f t="shared" si="49"/>
        <v>0</v>
      </c>
      <c r="AZ63">
        <f t="shared" si="49"/>
        <v>0</v>
      </c>
    </row>
    <row r="64" ht="15.75" customHeight="1">
      <c r="A64" s="854">
        <v>1999.0</v>
      </c>
      <c r="V64" s="285">
        <v>45.7</v>
      </c>
      <c r="W64">
        <f t="shared" si="24"/>
        <v>0</v>
      </c>
      <c r="X64">
        <f t="shared" ref="X64:AZ64" si="50">IF(AND(X$37-$A64&gt;$V$25,SUM($W64:W64)&lt;&gt;$V64),$V64,0)</f>
        <v>0</v>
      </c>
      <c r="Y64">
        <f t="shared" si="50"/>
        <v>0</v>
      </c>
      <c r="Z64">
        <f t="shared" si="50"/>
        <v>0</v>
      </c>
      <c r="AA64">
        <f t="shared" si="50"/>
        <v>0</v>
      </c>
      <c r="AB64">
        <f t="shared" si="50"/>
        <v>0</v>
      </c>
      <c r="AC64">
        <f t="shared" si="50"/>
        <v>0</v>
      </c>
      <c r="AD64">
        <f t="shared" si="50"/>
        <v>0</v>
      </c>
      <c r="AE64">
        <f t="shared" si="50"/>
        <v>0</v>
      </c>
      <c r="AF64">
        <f t="shared" si="50"/>
        <v>0</v>
      </c>
      <c r="AG64">
        <f t="shared" si="50"/>
        <v>0</v>
      </c>
      <c r="AH64">
        <f t="shared" si="50"/>
        <v>0</v>
      </c>
      <c r="AI64">
        <f t="shared" si="50"/>
        <v>0</v>
      </c>
      <c r="AJ64">
        <f t="shared" si="50"/>
        <v>0</v>
      </c>
      <c r="AK64">
        <f t="shared" si="50"/>
        <v>0</v>
      </c>
      <c r="AL64">
        <f t="shared" si="50"/>
        <v>0</v>
      </c>
      <c r="AM64">
        <f t="shared" si="50"/>
        <v>0</v>
      </c>
      <c r="AN64">
        <f t="shared" si="50"/>
        <v>0</v>
      </c>
      <c r="AO64">
        <f t="shared" si="50"/>
        <v>0</v>
      </c>
      <c r="AP64">
        <f t="shared" si="50"/>
        <v>0</v>
      </c>
      <c r="AQ64">
        <f t="shared" si="50"/>
        <v>0</v>
      </c>
      <c r="AR64">
        <f t="shared" si="50"/>
        <v>0</v>
      </c>
      <c r="AS64">
        <f t="shared" si="50"/>
        <v>0</v>
      </c>
      <c r="AT64">
        <f t="shared" si="50"/>
        <v>0</v>
      </c>
      <c r="AU64">
        <f t="shared" si="50"/>
        <v>0</v>
      </c>
      <c r="AV64">
        <f t="shared" si="50"/>
        <v>0</v>
      </c>
      <c r="AW64">
        <f t="shared" si="50"/>
        <v>0</v>
      </c>
      <c r="AX64">
        <f t="shared" si="50"/>
        <v>0</v>
      </c>
      <c r="AY64">
        <f t="shared" si="50"/>
        <v>0</v>
      </c>
      <c r="AZ64">
        <f t="shared" si="50"/>
        <v>0</v>
      </c>
    </row>
    <row r="65" ht="15.75" customHeight="1">
      <c r="A65" s="854">
        <v>2000.0</v>
      </c>
      <c r="V65" s="285">
        <v>24.6</v>
      </c>
      <c r="W65">
        <f t="shared" si="24"/>
        <v>0</v>
      </c>
      <c r="X65">
        <f t="shared" ref="X65:AZ65" si="51">IF(AND(X$37-$A65&gt;$V$25,SUM($W65:W65)&lt;&gt;$V65),$V65,0)</f>
        <v>0</v>
      </c>
      <c r="Y65">
        <f t="shared" si="51"/>
        <v>0</v>
      </c>
      <c r="Z65">
        <f t="shared" si="51"/>
        <v>0</v>
      </c>
      <c r="AA65">
        <f t="shared" si="51"/>
        <v>0</v>
      </c>
      <c r="AB65">
        <f t="shared" si="51"/>
        <v>0</v>
      </c>
      <c r="AC65">
        <f t="shared" si="51"/>
        <v>0</v>
      </c>
      <c r="AD65">
        <f t="shared" si="51"/>
        <v>0</v>
      </c>
      <c r="AE65">
        <f t="shared" si="51"/>
        <v>0</v>
      </c>
      <c r="AF65">
        <f t="shared" si="51"/>
        <v>0</v>
      </c>
      <c r="AG65">
        <f t="shared" si="51"/>
        <v>0</v>
      </c>
      <c r="AH65">
        <f t="shared" si="51"/>
        <v>0</v>
      </c>
      <c r="AI65">
        <f t="shared" si="51"/>
        <v>0</v>
      </c>
      <c r="AJ65">
        <f t="shared" si="51"/>
        <v>0</v>
      </c>
      <c r="AK65">
        <f t="shared" si="51"/>
        <v>0</v>
      </c>
      <c r="AL65">
        <f t="shared" si="51"/>
        <v>0</v>
      </c>
      <c r="AM65">
        <f t="shared" si="51"/>
        <v>0</v>
      </c>
      <c r="AN65">
        <f t="shared" si="51"/>
        <v>0</v>
      </c>
      <c r="AO65">
        <f t="shared" si="51"/>
        <v>0</v>
      </c>
      <c r="AP65">
        <f t="shared" si="51"/>
        <v>0</v>
      </c>
      <c r="AQ65">
        <f t="shared" si="51"/>
        <v>0</v>
      </c>
      <c r="AR65">
        <f t="shared" si="51"/>
        <v>0</v>
      </c>
      <c r="AS65">
        <f t="shared" si="51"/>
        <v>0</v>
      </c>
      <c r="AT65">
        <f t="shared" si="51"/>
        <v>0</v>
      </c>
      <c r="AU65">
        <f t="shared" si="51"/>
        <v>0</v>
      </c>
      <c r="AV65">
        <f t="shared" si="51"/>
        <v>0</v>
      </c>
      <c r="AW65">
        <f t="shared" si="51"/>
        <v>0</v>
      </c>
      <c r="AX65">
        <f t="shared" si="51"/>
        <v>0</v>
      </c>
      <c r="AY65">
        <f t="shared" si="51"/>
        <v>0</v>
      </c>
      <c r="AZ65">
        <f t="shared" si="51"/>
        <v>0</v>
      </c>
    </row>
    <row r="66" ht="15.75" customHeight="1">
      <c r="A66" s="854">
        <v>2001.0</v>
      </c>
      <c r="V66" s="285">
        <v>91.1</v>
      </c>
      <c r="W66">
        <f t="shared" si="24"/>
        <v>0</v>
      </c>
      <c r="X66">
        <f t="shared" ref="X66:AZ66" si="52">IF(AND(X$37-$A66&gt;$V$25,SUM($W66:W66)&lt;&gt;$V66),$V66,0)</f>
        <v>0</v>
      </c>
      <c r="Y66">
        <f t="shared" si="52"/>
        <v>0</v>
      </c>
      <c r="Z66">
        <f t="shared" si="52"/>
        <v>0</v>
      </c>
      <c r="AA66">
        <f t="shared" si="52"/>
        <v>0</v>
      </c>
      <c r="AB66">
        <f t="shared" si="52"/>
        <v>0</v>
      </c>
      <c r="AC66">
        <f t="shared" si="52"/>
        <v>0</v>
      </c>
      <c r="AD66">
        <f t="shared" si="52"/>
        <v>0</v>
      </c>
      <c r="AE66">
        <f t="shared" si="52"/>
        <v>0</v>
      </c>
      <c r="AF66">
        <f t="shared" si="52"/>
        <v>0</v>
      </c>
      <c r="AG66">
        <f t="shared" si="52"/>
        <v>0</v>
      </c>
      <c r="AH66">
        <f t="shared" si="52"/>
        <v>0</v>
      </c>
      <c r="AI66">
        <f t="shared" si="52"/>
        <v>0</v>
      </c>
      <c r="AJ66">
        <f t="shared" si="52"/>
        <v>0</v>
      </c>
      <c r="AK66">
        <f t="shared" si="52"/>
        <v>0</v>
      </c>
      <c r="AL66">
        <f t="shared" si="52"/>
        <v>0</v>
      </c>
      <c r="AM66">
        <f t="shared" si="52"/>
        <v>0</v>
      </c>
      <c r="AN66">
        <f t="shared" si="52"/>
        <v>0</v>
      </c>
      <c r="AO66">
        <f t="shared" si="52"/>
        <v>0</v>
      </c>
      <c r="AP66">
        <f t="shared" si="52"/>
        <v>0</v>
      </c>
      <c r="AQ66">
        <f t="shared" si="52"/>
        <v>0</v>
      </c>
      <c r="AR66">
        <f t="shared" si="52"/>
        <v>0</v>
      </c>
      <c r="AS66">
        <f t="shared" si="52"/>
        <v>0</v>
      </c>
      <c r="AT66">
        <f t="shared" si="52"/>
        <v>0</v>
      </c>
      <c r="AU66">
        <f t="shared" si="52"/>
        <v>0</v>
      </c>
      <c r="AV66">
        <f t="shared" si="52"/>
        <v>0</v>
      </c>
      <c r="AW66">
        <f t="shared" si="52"/>
        <v>0</v>
      </c>
      <c r="AX66">
        <f t="shared" si="52"/>
        <v>0</v>
      </c>
      <c r="AY66">
        <f t="shared" si="52"/>
        <v>0</v>
      </c>
      <c r="AZ66">
        <f t="shared" si="52"/>
        <v>0</v>
      </c>
    </row>
    <row r="67" ht="15.75" customHeight="1">
      <c r="A67" s="854">
        <v>2002.0</v>
      </c>
      <c r="V67" s="285">
        <v>24.5</v>
      </c>
      <c r="W67">
        <f t="shared" si="24"/>
        <v>0</v>
      </c>
      <c r="X67">
        <f t="shared" ref="X67:AZ67" si="53">IF(AND(X$37-$A67&gt;$V$25,SUM($W67:W67)&lt;&gt;$V67),$V67,0)</f>
        <v>0</v>
      </c>
      <c r="Y67">
        <f t="shared" si="53"/>
        <v>0</v>
      </c>
      <c r="Z67">
        <f t="shared" si="53"/>
        <v>0</v>
      </c>
      <c r="AA67">
        <f t="shared" si="53"/>
        <v>0</v>
      </c>
      <c r="AB67">
        <f t="shared" si="53"/>
        <v>0</v>
      </c>
      <c r="AC67">
        <f t="shared" si="53"/>
        <v>0</v>
      </c>
      <c r="AD67">
        <f t="shared" si="53"/>
        <v>0</v>
      </c>
      <c r="AE67">
        <f t="shared" si="53"/>
        <v>0</v>
      </c>
      <c r="AF67">
        <f t="shared" si="53"/>
        <v>0</v>
      </c>
      <c r="AG67">
        <f t="shared" si="53"/>
        <v>0</v>
      </c>
      <c r="AH67">
        <f t="shared" si="53"/>
        <v>0</v>
      </c>
      <c r="AI67">
        <f t="shared" si="53"/>
        <v>0</v>
      </c>
      <c r="AJ67">
        <f t="shared" si="53"/>
        <v>0</v>
      </c>
      <c r="AK67">
        <f t="shared" si="53"/>
        <v>0</v>
      </c>
      <c r="AL67">
        <f t="shared" si="53"/>
        <v>0</v>
      </c>
      <c r="AM67">
        <f t="shared" si="53"/>
        <v>0</v>
      </c>
      <c r="AN67">
        <f t="shared" si="53"/>
        <v>0</v>
      </c>
      <c r="AO67">
        <f t="shared" si="53"/>
        <v>0</v>
      </c>
      <c r="AP67">
        <f t="shared" si="53"/>
        <v>0</v>
      </c>
      <c r="AQ67">
        <f t="shared" si="53"/>
        <v>0</v>
      </c>
      <c r="AR67">
        <f t="shared" si="53"/>
        <v>0</v>
      </c>
      <c r="AS67">
        <f t="shared" si="53"/>
        <v>0</v>
      </c>
      <c r="AT67">
        <f t="shared" si="53"/>
        <v>0</v>
      </c>
      <c r="AU67">
        <f t="shared" si="53"/>
        <v>0</v>
      </c>
      <c r="AV67">
        <f t="shared" si="53"/>
        <v>0</v>
      </c>
      <c r="AW67">
        <f t="shared" si="53"/>
        <v>0</v>
      </c>
      <c r="AX67">
        <f t="shared" si="53"/>
        <v>0</v>
      </c>
      <c r="AY67">
        <f t="shared" si="53"/>
        <v>0</v>
      </c>
      <c r="AZ67">
        <f t="shared" si="53"/>
        <v>0</v>
      </c>
    </row>
    <row r="68" ht="15.75" customHeight="1">
      <c r="A68" s="854">
        <v>2003.0</v>
      </c>
      <c r="V68" s="285">
        <v>82.3</v>
      </c>
      <c r="W68">
        <f t="shared" si="24"/>
        <v>0</v>
      </c>
      <c r="X68">
        <f t="shared" ref="X68:AZ68" si="54">IF(AND(X$37-$A68&gt;$V$25,SUM($W68:W68)&lt;&gt;$V68),$V68,0)</f>
        <v>0</v>
      </c>
      <c r="Y68">
        <f t="shared" si="54"/>
        <v>0</v>
      </c>
      <c r="Z68">
        <f t="shared" si="54"/>
        <v>0</v>
      </c>
      <c r="AA68">
        <f t="shared" si="54"/>
        <v>0</v>
      </c>
      <c r="AB68">
        <f t="shared" si="54"/>
        <v>0</v>
      </c>
      <c r="AC68">
        <f t="shared" si="54"/>
        <v>0</v>
      </c>
      <c r="AD68">
        <f t="shared" si="54"/>
        <v>0</v>
      </c>
      <c r="AE68">
        <f t="shared" si="54"/>
        <v>0</v>
      </c>
      <c r="AF68">
        <f t="shared" si="54"/>
        <v>0</v>
      </c>
      <c r="AG68">
        <f t="shared" si="54"/>
        <v>0</v>
      </c>
      <c r="AH68">
        <f t="shared" si="54"/>
        <v>0</v>
      </c>
      <c r="AI68">
        <f t="shared" si="54"/>
        <v>0</v>
      </c>
      <c r="AJ68">
        <f t="shared" si="54"/>
        <v>0</v>
      </c>
      <c r="AK68">
        <f t="shared" si="54"/>
        <v>0</v>
      </c>
      <c r="AL68">
        <f t="shared" si="54"/>
        <v>0</v>
      </c>
      <c r="AM68">
        <f t="shared" si="54"/>
        <v>0</v>
      </c>
      <c r="AN68">
        <f t="shared" si="54"/>
        <v>0</v>
      </c>
      <c r="AO68">
        <f t="shared" si="54"/>
        <v>0</v>
      </c>
      <c r="AP68">
        <f t="shared" si="54"/>
        <v>0</v>
      </c>
      <c r="AQ68">
        <f t="shared" si="54"/>
        <v>0</v>
      </c>
      <c r="AR68">
        <f t="shared" si="54"/>
        <v>0</v>
      </c>
      <c r="AS68">
        <f t="shared" si="54"/>
        <v>0</v>
      </c>
      <c r="AT68">
        <f t="shared" si="54"/>
        <v>0</v>
      </c>
      <c r="AU68">
        <f t="shared" si="54"/>
        <v>0</v>
      </c>
      <c r="AV68">
        <f t="shared" si="54"/>
        <v>0</v>
      </c>
      <c r="AW68">
        <f t="shared" si="54"/>
        <v>0</v>
      </c>
      <c r="AX68">
        <f t="shared" si="54"/>
        <v>0</v>
      </c>
      <c r="AY68">
        <f t="shared" si="54"/>
        <v>0</v>
      </c>
      <c r="AZ68">
        <f t="shared" si="54"/>
        <v>0</v>
      </c>
    </row>
    <row r="69" ht="15.75" customHeight="1">
      <c r="A69" s="854">
        <v>2004.0</v>
      </c>
      <c r="V69" s="285">
        <v>41.1</v>
      </c>
      <c r="W69">
        <f t="shared" si="24"/>
        <v>0</v>
      </c>
      <c r="X69">
        <f t="shared" ref="X69:AZ69" si="55">IF(AND(X$37-$A69&gt;$V$25,SUM($W69:W69)&lt;&gt;$V69),$V69,0)</f>
        <v>0</v>
      </c>
      <c r="Y69">
        <f t="shared" si="55"/>
        <v>0</v>
      </c>
      <c r="Z69">
        <f t="shared" si="55"/>
        <v>0</v>
      </c>
      <c r="AA69">
        <f t="shared" si="55"/>
        <v>0</v>
      </c>
      <c r="AB69">
        <f t="shared" si="55"/>
        <v>0</v>
      </c>
      <c r="AC69">
        <f t="shared" si="55"/>
        <v>0</v>
      </c>
      <c r="AD69">
        <f t="shared" si="55"/>
        <v>0</v>
      </c>
      <c r="AE69">
        <f t="shared" si="55"/>
        <v>0</v>
      </c>
      <c r="AF69">
        <f t="shared" si="55"/>
        <v>0</v>
      </c>
      <c r="AG69">
        <f t="shared" si="55"/>
        <v>0</v>
      </c>
      <c r="AH69">
        <f t="shared" si="55"/>
        <v>0</v>
      </c>
      <c r="AI69">
        <f t="shared" si="55"/>
        <v>0</v>
      </c>
      <c r="AJ69">
        <f t="shared" si="55"/>
        <v>0</v>
      </c>
      <c r="AK69">
        <f t="shared" si="55"/>
        <v>0</v>
      </c>
      <c r="AL69">
        <f t="shared" si="55"/>
        <v>0</v>
      </c>
      <c r="AM69">
        <f t="shared" si="55"/>
        <v>0</v>
      </c>
      <c r="AN69">
        <f t="shared" si="55"/>
        <v>0</v>
      </c>
      <c r="AO69">
        <f t="shared" si="55"/>
        <v>0</v>
      </c>
      <c r="AP69">
        <f t="shared" si="55"/>
        <v>0</v>
      </c>
      <c r="AQ69">
        <f t="shared" si="55"/>
        <v>0</v>
      </c>
      <c r="AR69">
        <f t="shared" si="55"/>
        <v>0</v>
      </c>
      <c r="AS69">
        <f t="shared" si="55"/>
        <v>0</v>
      </c>
      <c r="AT69">
        <f t="shared" si="55"/>
        <v>0</v>
      </c>
      <c r="AU69">
        <f t="shared" si="55"/>
        <v>0</v>
      </c>
      <c r="AV69">
        <f t="shared" si="55"/>
        <v>0</v>
      </c>
      <c r="AW69">
        <f t="shared" si="55"/>
        <v>0</v>
      </c>
      <c r="AX69">
        <f t="shared" si="55"/>
        <v>0</v>
      </c>
      <c r="AY69">
        <f t="shared" si="55"/>
        <v>0</v>
      </c>
      <c r="AZ69">
        <f t="shared" si="55"/>
        <v>0</v>
      </c>
    </row>
    <row r="70" ht="15.75" customHeight="1">
      <c r="A70" s="854">
        <v>2005.0</v>
      </c>
      <c r="V70" s="285">
        <v>44.2</v>
      </c>
      <c r="W70">
        <f t="shared" si="24"/>
        <v>0</v>
      </c>
      <c r="X70">
        <f t="shared" ref="X70:AZ70" si="56">IF(AND(X$37-$A70&gt;$V$25,SUM($W70:W70)&lt;&gt;$V70),$V70,0)</f>
        <v>0</v>
      </c>
      <c r="Y70">
        <f t="shared" si="56"/>
        <v>0</v>
      </c>
      <c r="Z70">
        <f t="shared" si="56"/>
        <v>0</v>
      </c>
      <c r="AA70">
        <f t="shared" si="56"/>
        <v>0</v>
      </c>
      <c r="AB70">
        <f t="shared" si="56"/>
        <v>0</v>
      </c>
      <c r="AC70">
        <f t="shared" si="56"/>
        <v>0</v>
      </c>
      <c r="AD70">
        <f t="shared" si="56"/>
        <v>0</v>
      </c>
      <c r="AE70">
        <f t="shared" si="56"/>
        <v>0</v>
      </c>
      <c r="AF70">
        <f t="shared" si="56"/>
        <v>0</v>
      </c>
      <c r="AG70">
        <f t="shared" si="56"/>
        <v>0</v>
      </c>
      <c r="AH70">
        <f t="shared" si="56"/>
        <v>0</v>
      </c>
      <c r="AI70">
        <f t="shared" si="56"/>
        <v>0</v>
      </c>
      <c r="AJ70">
        <f t="shared" si="56"/>
        <v>0</v>
      </c>
      <c r="AK70">
        <f t="shared" si="56"/>
        <v>0</v>
      </c>
      <c r="AL70">
        <f t="shared" si="56"/>
        <v>0</v>
      </c>
      <c r="AM70">
        <f t="shared" si="56"/>
        <v>0</v>
      </c>
      <c r="AN70">
        <f t="shared" si="56"/>
        <v>0</v>
      </c>
      <c r="AO70">
        <f t="shared" si="56"/>
        <v>0</v>
      </c>
      <c r="AP70">
        <f t="shared" si="56"/>
        <v>0</v>
      </c>
      <c r="AQ70">
        <f t="shared" si="56"/>
        <v>0</v>
      </c>
      <c r="AR70">
        <f t="shared" si="56"/>
        <v>0</v>
      </c>
      <c r="AS70">
        <f t="shared" si="56"/>
        <v>0</v>
      </c>
      <c r="AT70">
        <f t="shared" si="56"/>
        <v>0</v>
      </c>
      <c r="AU70">
        <f t="shared" si="56"/>
        <v>0</v>
      </c>
      <c r="AV70">
        <f t="shared" si="56"/>
        <v>0</v>
      </c>
      <c r="AW70">
        <f t="shared" si="56"/>
        <v>0</v>
      </c>
      <c r="AX70">
        <f t="shared" si="56"/>
        <v>0</v>
      </c>
      <c r="AY70">
        <f t="shared" si="56"/>
        <v>0</v>
      </c>
      <c r="AZ70">
        <f t="shared" si="56"/>
        <v>0</v>
      </c>
    </row>
    <row r="71" ht="15.75" customHeight="1">
      <c r="A71" s="854">
        <v>2006.0</v>
      </c>
      <c r="V71" s="285">
        <v>123.7</v>
      </c>
      <c r="W71">
        <f t="shared" si="24"/>
        <v>0</v>
      </c>
      <c r="X71">
        <f t="shared" ref="X71:AZ71" si="57">IF(AND(X$37-$A71&gt;$V$25,SUM($W71:W71)&lt;&gt;$V71),$V71,0)</f>
        <v>0</v>
      </c>
      <c r="Y71">
        <f t="shared" si="57"/>
        <v>0</v>
      </c>
      <c r="Z71">
        <f t="shared" si="57"/>
        <v>0</v>
      </c>
      <c r="AA71">
        <f t="shared" si="57"/>
        <v>0</v>
      </c>
      <c r="AB71">
        <f t="shared" si="57"/>
        <v>0</v>
      </c>
      <c r="AC71">
        <f t="shared" si="57"/>
        <v>0</v>
      </c>
      <c r="AD71">
        <f t="shared" si="57"/>
        <v>0</v>
      </c>
      <c r="AE71">
        <f t="shared" si="57"/>
        <v>0</v>
      </c>
      <c r="AF71">
        <f t="shared" si="57"/>
        <v>0</v>
      </c>
      <c r="AG71">
        <f t="shared" si="57"/>
        <v>0</v>
      </c>
      <c r="AH71">
        <f t="shared" si="57"/>
        <v>0</v>
      </c>
      <c r="AI71">
        <f t="shared" si="57"/>
        <v>0</v>
      </c>
      <c r="AJ71">
        <f t="shared" si="57"/>
        <v>0</v>
      </c>
      <c r="AK71">
        <f t="shared" si="57"/>
        <v>0</v>
      </c>
      <c r="AL71">
        <f t="shared" si="57"/>
        <v>0</v>
      </c>
      <c r="AM71">
        <f t="shared" si="57"/>
        <v>0</v>
      </c>
      <c r="AN71">
        <f t="shared" si="57"/>
        <v>0</v>
      </c>
      <c r="AO71">
        <f t="shared" si="57"/>
        <v>0</v>
      </c>
      <c r="AP71">
        <f t="shared" si="57"/>
        <v>0</v>
      </c>
      <c r="AQ71">
        <f t="shared" si="57"/>
        <v>0</v>
      </c>
      <c r="AR71">
        <f t="shared" si="57"/>
        <v>0</v>
      </c>
      <c r="AS71">
        <f t="shared" si="57"/>
        <v>0</v>
      </c>
      <c r="AT71">
        <f t="shared" si="57"/>
        <v>0</v>
      </c>
      <c r="AU71">
        <f t="shared" si="57"/>
        <v>0</v>
      </c>
      <c r="AV71">
        <f t="shared" si="57"/>
        <v>0</v>
      </c>
      <c r="AW71">
        <f t="shared" si="57"/>
        <v>0</v>
      </c>
      <c r="AX71">
        <f t="shared" si="57"/>
        <v>0</v>
      </c>
      <c r="AY71">
        <f t="shared" si="57"/>
        <v>0</v>
      </c>
      <c r="AZ71">
        <f t="shared" si="57"/>
        <v>0</v>
      </c>
    </row>
    <row r="72" ht="15.75" customHeight="1">
      <c r="A72" s="854">
        <v>2007.0</v>
      </c>
      <c r="V72" s="285">
        <v>130.3</v>
      </c>
      <c r="W72">
        <f t="shared" si="24"/>
        <v>0</v>
      </c>
      <c r="X72">
        <f t="shared" ref="X72:AZ72" si="58">IF(AND(X$37-$A72&gt;$V$25,SUM($W72:W72)&lt;&gt;$V72),$V72,0)</f>
        <v>0</v>
      </c>
      <c r="Y72">
        <f t="shared" si="58"/>
        <v>0</v>
      </c>
      <c r="Z72">
        <f t="shared" si="58"/>
        <v>0</v>
      </c>
      <c r="AA72">
        <f t="shared" si="58"/>
        <v>0</v>
      </c>
      <c r="AB72">
        <f t="shared" si="58"/>
        <v>0</v>
      </c>
      <c r="AC72">
        <f t="shared" si="58"/>
        <v>0</v>
      </c>
      <c r="AD72">
        <f t="shared" si="58"/>
        <v>0</v>
      </c>
      <c r="AE72">
        <f t="shared" si="58"/>
        <v>0</v>
      </c>
      <c r="AF72">
        <f t="shared" si="58"/>
        <v>0</v>
      </c>
      <c r="AG72">
        <f t="shared" si="58"/>
        <v>0</v>
      </c>
      <c r="AH72">
        <f t="shared" si="58"/>
        <v>0</v>
      </c>
      <c r="AI72">
        <f t="shared" si="58"/>
        <v>0</v>
      </c>
      <c r="AJ72">
        <f t="shared" si="58"/>
        <v>0</v>
      </c>
      <c r="AK72">
        <f t="shared" si="58"/>
        <v>0</v>
      </c>
      <c r="AL72">
        <f t="shared" si="58"/>
        <v>0</v>
      </c>
      <c r="AM72">
        <f t="shared" si="58"/>
        <v>0</v>
      </c>
      <c r="AN72">
        <f t="shared" si="58"/>
        <v>0</v>
      </c>
      <c r="AO72">
        <f t="shared" si="58"/>
        <v>0</v>
      </c>
      <c r="AP72">
        <f t="shared" si="58"/>
        <v>0</v>
      </c>
      <c r="AQ72">
        <f t="shared" si="58"/>
        <v>0</v>
      </c>
      <c r="AR72">
        <f t="shared" si="58"/>
        <v>0</v>
      </c>
      <c r="AS72">
        <f t="shared" si="58"/>
        <v>0</v>
      </c>
      <c r="AT72">
        <f t="shared" si="58"/>
        <v>0</v>
      </c>
      <c r="AU72">
        <f t="shared" si="58"/>
        <v>0</v>
      </c>
      <c r="AV72">
        <f t="shared" si="58"/>
        <v>0</v>
      </c>
      <c r="AW72">
        <f t="shared" si="58"/>
        <v>0</v>
      </c>
      <c r="AX72">
        <f t="shared" si="58"/>
        <v>0</v>
      </c>
      <c r="AY72">
        <f t="shared" si="58"/>
        <v>0</v>
      </c>
      <c r="AZ72">
        <f t="shared" si="58"/>
        <v>0</v>
      </c>
    </row>
    <row r="73" ht="15.75" customHeight="1">
      <c r="A73" s="854">
        <v>2008.0</v>
      </c>
      <c r="V73" s="285">
        <v>131.5</v>
      </c>
      <c r="W73">
        <f t="shared" si="24"/>
        <v>0</v>
      </c>
      <c r="X73">
        <f t="shared" ref="X73:AZ73" si="59">IF(AND(X$37-$A73&gt;$V$25,SUM($W73:W73)&lt;&gt;$V73),$V73,0)</f>
        <v>0</v>
      </c>
      <c r="Y73">
        <f t="shared" si="59"/>
        <v>0</v>
      </c>
      <c r="Z73">
        <f t="shared" si="59"/>
        <v>0</v>
      </c>
      <c r="AA73">
        <f t="shared" si="59"/>
        <v>0</v>
      </c>
      <c r="AB73">
        <f t="shared" si="59"/>
        <v>0</v>
      </c>
      <c r="AC73">
        <f t="shared" si="59"/>
        <v>0</v>
      </c>
      <c r="AD73">
        <f t="shared" si="59"/>
        <v>0</v>
      </c>
      <c r="AE73">
        <f t="shared" si="59"/>
        <v>0</v>
      </c>
      <c r="AF73">
        <f t="shared" si="59"/>
        <v>0</v>
      </c>
      <c r="AG73">
        <f t="shared" si="59"/>
        <v>0</v>
      </c>
      <c r="AH73">
        <f t="shared" si="59"/>
        <v>0</v>
      </c>
      <c r="AI73">
        <f t="shared" si="59"/>
        <v>0</v>
      </c>
      <c r="AJ73">
        <f t="shared" si="59"/>
        <v>0</v>
      </c>
      <c r="AK73">
        <f t="shared" si="59"/>
        <v>0</v>
      </c>
      <c r="AL73">
        <f t="shared" si="59"/>
        <v>0</v>
      </c>
      <c r="AM73">
        <f t="shared" si="59"/>
        <v>0</v>
      </c>
      <c r="AN73">
        <f t="shared" si="59"/>
        <v>0</v>
      </c>
      <c r="AO73">
        <f t="shared" si="59"/>
        <v>0</v>
      </c>
      <c r="AP73">
        <f t="shared" si="59"/>
        <v>0</v>
      </c>
      <c r="AQ73">
        <f t="shared" si="59"/>
        <v>0</v>
      </c>
      <c r="AR73">
        <f t="shared" si="59"/>
        <v>0</v>
      </c>
      <c r="AS73">
        <f t="shared" si="59"/>
        <v>0</v>
      </c>
      <c r="AT73">
        <f t="shared" si="59"/>
        <v>0</v>
      </c>
      <c r="AU73">
        <f t="shared" si="59"/>
        <v>0</v>
      </c>
      <c r="AV73">
        <f t="shared" si="59"/>
        <v>0</v>
      </c>
      <c r="AW73">
        <f t="shared" si="59"/>
        <v>0</v>
      </c>
      <c r="AX73">
        <f t="shared" si="59"/>
        <v>0</v>
      </c>
      <c r="AY73">
        <f t="shared" si="59"/>
        <v>0</v>
      </c>
      <c r="AZ73">
        <f t="shared" si="59"/>
        <v>0</v>
      </c>
    </row>
    <row r="74" ht="15.75" customHeight="1">
      <c r="A74" s="854">
        <v>2009.0</v>
      </c>
      <c r="V74" s="285">
        <v>132.0</v>
      </c>
      <c r="W74">
        <f t="shared" si="24"/>
        <v>0</v>
      </c>
      <c r="X74">
        <f t="shared" ref="X74:AZ74" si="60">IF(AND(X$37-$A74&gt;$V$25,SUM($W74:W74)&lt;&gt;$V74),$V74,0)</f>
        <v>0</v>
      </c>
      <c r="Y74">
        <f t="shared" si="60"/>
        <v>0</v>
      </c>
      <c r="Z74">
        <f t="shared" si="60"/>
        <v>0</v>
      </c>
      <c r="AA74">
        <f t="shared" si="60"/>
        <v>0</v>
      </c>
      <c r="AB74">
        <f t="shared" si="60"/>
        <v>0</v>
      </c>
      <c r="AC74">
        <f t="shared" si="60"/>
        <v>0</v>
      </c>
      <c r="AD74">
        <f t="shared" si="60"/>
        <v>0</v>
      </c>
      <c r="AE74">
        <f t="shared" si="60"/>
        <v>0</v>
      </c>
      <c r="AF74">
        <f t="shared" si="60"/>
        <v>0</v>
      </c>
      <c r="AG74">
        <f t="shared" si="60"/>
        <v>0</v>
      </c>
      <c r="AH74">
        <f t="shared" si="60"/>
        <v>0</v>
      </c>
      <c r="AI74">
        <f t="shared" si="60"/>
        <v>0</v>
      </c>
      <c r="AJ74">
        <f t="shared" si="60"/>
        <v>0</v>
      </c>
      <c r="AK74">
        <f t="shared" si="60"/>
        <v>0</v>
      </c>
      <c r="AL74">
        <f t="shared" si="60"/>
        <v>0</v>
      </c>
      <c r="AM74">
        <f t="shared" si="60"/>
        <v>0</v>
      </c>
      <c r="AN74">
        <f t="shared" si="60"/>
        <v>0</v>
      </c>
      <c r="AO74">
        <f t="shared" si="60"/>
        <v>0</v>
      </c>
      <c r="AP74">
        <f t="shared" si="60"/>
        <v>0</v>
      </c>
      <c r="AQ74">
        <f t="shared" si="60"/>
        <v>0</v>
      </c>
      <c r="AR74">
        <f t="shared" si="60"/>
        <v>0</v>
      </c>
      <c r="AS74">
        <f t="shared" si="60"/>
        <v>0</v>
      </c>
      <c r="AT74">
        <f t="shared" si="60"/>
        <v>0</v>
      </c>
      <c r="AU74">
        <f t="shared" si="60"/>
        <v>0</v>
      </c>
      <c r="AV74">
        <f t="shared" si="60"/>
        <v>0</v>
      </c>
      <c r="AW74">
        <f t="shared" si="60"/>
        <v>0</v>
      </c>
      <c r="AX74">
        <f t="shared" si="60"/>
        <v>0</v>
      </c>
      <c r="AY74">
        <f t="shared" si="60"/>
        <v>0</v>
      </c>
      <c r="AZ74">
        <f t="shared" si="60"/>
        <v>0</v>
      </c>
    </row>
    <row r="75" ht="15.75" customHeight="1">
      <c r="A75" s="854">
        <v>2010.0</v>
      </c>
      <c r="V75" s="285">
        <v>142.7</v>
      </c>
      <c r="W75">
        <f t="shared" si="24"/>
        <v>0</v>
      </c>
      <c r="X75">
        <f t="shared" ref="X75:AZ75" si="61">IF(AND(X$37-$A75&gt;$V$25,SUM($W75:W75)&lt;&gt;$V75),$V75,0)</f>
        <v>0</v>
      </c>
      <c r="Y75">
        <f t="shared" si="61"/>
        <v>0</v>
      </c>
      <c r="Z75">
        <f t="shared" si="61"/>
        <v>0</v>
      </c>
      <c r="AA75">
        <f t="shared" si="61"/>
        <v>0</v>
      </c>
      <c r="AB75">
        <f t="shared" si="61"/>
        <v>0</v>
      </c>
      <c r="AC75">
        <f t="shared" si="61"/>
        <v>0</v>
      </c>
      <c r="AD75">
        <f t="shared" si="61"/>
        <v>0</v>
      </c>
      <c r="AE75">
        <f t="shared" si="61"/>
        <v>0</v>
      </c>
      <c r="AF75">
        <f t="shared" si="61"/>
        <v>0</v>
      </c>
      <c r="AG75">
        <f t="shared" si="61"/>
        <v>0</v>
      </c>
      <c r="AH75">
        <f t="shared" si="61"/>
        <v>0</v>
      </c>
      <c r="AI75">
        <f t="shared" si="61"/>
        <v>0</v>
      </c>
      <c r="AJ75">
        <f t="shared" si="61"/>
        <v>0</v>
      </c>
      <c r="AK75">
        <f t="shared" si="61"/>
        <v>0</v>
      </c>
      <c r="AL75">
        <f t="shared" si="61"/>
        <v>0</v>
      </c>
      <c r="AM75">
        <f t="shared" si="61"/>
        <v>0</v>
      </c>
      <c r="AN75">
        <f t="shared" si="61"/>
        <v>0</v>
      </c>
      <c r="AO75">
        <f t="shared" si="61"/>
        <v>0</v>
      </c>
      <c r="AP75">
        <f t="shared" si="61"/>
        <v>0</v>
      </c>
      <c r="AQ75">
        <f t="shared" si="61"/>
        <v>0</v>
      </c>
      <c r="AR75">
        <f t="shared" si="61"/>
        <v>0</v>
      </c>
      <c r="AS75">
        <f t="shared" si="61"/>
        <v>0</v>
      </c>
      <c r="AT75">
        <f t="shared" si="61"/>
        <v>0</v>
      </c>
      <c r="AU75">
        <f t="shared" si="61"/>
        <v>0</v>
      </c>
      <c r="AV75">
        <f t="shared" si="61"/>
        <v>0</v>
      </c>
      <c r="AW75">
        <f t="shared" si="61"/>
        <v>0</v>
      </c>
      <c r="AX75">
        <f t="shared" si="61"/>
        <v>0</v>
      </c>
      <c r="AY75">
        <f t="shared" si="61"/>
        <v>0</v>
      </c>
      <c r="AZ75">
        <f t="shared" si="61"/>
        <v>0</v>
      </c>
    </row>
    <row r="76" ht="15.75" customHeight="1">
      <c r="A76" s="854">
        <v>2011.0</v>
      </c>
      <c r="V76" s="285">
        <v>143.5</v>
      </c>
      <c r="W76">
        <f t="shared" si="24"/>
        <v>0</v>
      </c>
      <c r="X76">
        <f t="shared" ref="X76:AZ76" si="62">IF(AND(X$37-$A76&gt;$V$25,SUM($W76:W76)&lt;&gt;$V76),$V76,0)</f>
        <v>0</v>
      </c>
      <c r="Y76">
        <f t="shared" si="62"/>
        <v>0</v>
      </c>
      <c r="Z76">
        <f t="shared" si="62"/>
        <v>0</v>
      </c>
      <c r="AA76">
        <f t="shared" si="62"/>
        <v>0</v>
      </c>
      <c r="AB76">
        <f t="shared" si="62"/>
        <v>0</v>
      </c>
      <c r="AC76">
        <f t="shared" si="62"/>
        <v>0</v>
      </c>
      <c r="AD76">
        <f t="shared" si="62"/>
        <v>0</v>
      </c>
      <c r="AE76">
        <f t="shared" si="62"/>
        <v>0</v>
      </c>
      <c r="AF76">
        <f t="shared" si="62"/>
        <v>0</v>
      </c>
      <c r="AG76">
        <f t="shared" si="62"/>
        <v>0</v>
      </c>
      <c r="AH76">
        <f t="shared" si="62"/>
        <v>0</v>
      </c>
      <c r="AI76">
        <f t="shared" si="62"/>
        <v>0</v>
      </c>
      <c r="AJ76">
        <f t="shared" si="62"/>
        <v>0</v>
      </c>
      <c r="AK76">
        <f t="shared" si="62"/>
        <v>0</v>
      </c>
      <c r="AL76">
        <f t="shared" si="62"/>
        <v>0</v>
      </c>
      <c r="AM76">
        <f t="shared" si="62"/>
        <v>0</v>
      </c>
      <c r="AN76">
        <f t="shared" si="62"/>
        <v>0</v>
      </c>
      <c r="AO76">
        <f t="shared" si="62"/>
        <v>0</v>
      </c>
      <c r="AP76">
        <f t="shared" si="62"/>
        <v>0</v>
      </c>
      <c r="AQ76">
        <f t="shared" si="62"/>
        <v>0</v>
      </c>
      <c r="AR76">
        <f t="shared" si="62"/>
        <v>0</v>
      </c>
      <c r="AS76">
        <f t="shared" si="62"/>
        <v>0</v>
      </c>
      <c r="AT76">
        <f t="shared" si="62"/>
        <v>0</v>
      </c>
      <c r="AU76">
        <f t="shared" si="62"/>
        <v>0</v>
      </c>
      <c r="AV76">
        <f t="shared" si="62"/>
        <v>0</v>
      </c>
      <c r="AW76">
        <f t="shared" si="62"/>
        <v>0</v>
      </c>
      <c r="AX76">
        <f t="shared" si="62"/>
        <v>0</v>
      </c>
      <c r="AY76">
        <f t="shared" si="62"/>
        <v>0</v>
      </c>
      <c r="AZ76">
        <f t="shared" si="62"/>
        <v>0</v>
      </c>
    </row>
    <row r="77" ht="15.75" customHeight="1">
      <c r="A77" s="854">
        <v>2012.0</v>
      </c>
      <c r="V77" s="285">
        <v>173.7</v>
      </c>
      <c r="W77">
        <f t="shared" si="24"/>
        <v>0</v>
      </c>
      <c r="X77">
        <f t="shared" ref="X77:AZ77" si="63">IF(AND(X$37-$A77&gt;$V$25,SUM($W77:W77)&lt;&gt;$V77),$V77,0)</f>
        <v>0</v>
      </c>
      <c r="Y77">
        <f t="shared" si="63"/>
        <v>0</v>
      </c>
      <c r="Z77">
        <f t="shared" si="63"/>
        <v>0</v>
      </c>
      <c r="AA77">
        <f t="shared" si="63"/>
        <v>0</v>
      </c>
      <c r="AB77">
        <f t="shared" si="63"/>
        <v>0</v>
      </c>
      <c r="AC77">
        <f t="shared" si="63"/>
        <v>0</v>
      </c>
      <c r="AD77">
        <f t="shared" si="63"/>
        <v>0</v>
      </c>
      <c r="AE77">
        <f t="shared" si="63"/>
        <v>0</v>
      </c>
      <c r="AF77">
        <f t="shared" si="63"/>
        <v>0</v>
      </c>
      <c r="AG77">
        <f t="shared" si="63"/>
        <v>0</v>
      </c>
      <c r="AH77">
        <f t="shared" si="63"/>
        <v>0</v>
      </c>
      <c r="AI77">
        <f t="shared" si="63"/>
        <v>0</v>
      </c>
      <c r="AJ77">
        <f t="shared" si="63"/>
        <v>0</v>
      </c>
      <c r="AK77">
        <f t="shared" si="63"/>
        <v>0</v>
      </c>
      <c r="AL77">
        <f t="shared" si="63"/>
        <v>0</v>
      </c>
      <c r="AM77">
        <f t="shared" si="63"/>
        <v>0</v>
      </c>
      <c r="AN77">
        <f t="shared" si="63"/>
        <v>0</v>
      </c>
      <c r="AO77">
        <f t="shared" si="63"/>
        <v>0</v>
      </c>
      <c r="AP77">
        <f t="shared" si="63"/>
        <v>0</v>
      </c>
      <c r="AQ77">
        <f t="shared" si="63"/>
        <v>0</v>
      </c>
      <c r="AR77">
        <f t="shared" si="63"/>
        <v>0</v>
      </c>
      <c r="AS77">
        <f t="shared" si="63"/>
        <v>0</v>
      </c>
      <c r="AT77">
        <f t="shared" si="63"/>
        <v>0</v>
      </c>
      <c r="AU77">
        <f t="shared" si="63"/>
        <v>0</v>
      </c>
      <c r="AV77">
        <f t="shared" si="63"/>
        <v>0</v>
      </c>
      <c r="AW77">
        <f t="shared" si="63"/>
        <v>0</v>
      </c>
      <c r="AX77">
        <f t="shared" si="63"/>
        <v>0</v>
      </c>
      <c r="AY77">
        <f t="shared" si="63"/>
        <v>0</v>
      </c>
      <c r="AZ77">
        <f t="shared" si="63"/>
        <v>0</v>
      </c>
    </row>
    <row r="78" ht="15.75" customHeight="1">
      <c r="A78" s="854">
        <v>2013.0</v>
      </c>
      <c r="V78" s="285">
        <v>140.0</v>
      </c>
      <c r="W78">
        <f t="shared" si="24"/>
        <v>0</v>
      </c>
      <c r="X78">
        <f t="shared" ref="X78:AZ78" si="64">IF(AND(X$37-$A78&gt;$V$25,SUM($W78:W78)&lt;&gt;$V78),$V78,0)</f>
        <v>0</v>
      </c>
      <c r="Y78">
        <f t="shared" si="64"/>
        <v>0</v>
      </c>
      <c r="Z78">
        <f t="shared" si="64"/>
        <v>0</v>
      </c>
      <c r="AA78">
        <f t="shared" si="64"/>
        <v>0</v>
      </c>
      <c r="AB78">
        <f t="shared" si="64"/>
        <v>0</v>
      </c>
      <c r="AC78">
        <f t="shared" si="64"/>
        <v>0</v>
      </c>
      <c r="AD78">
        <f t="shared" si="64"/>
        <v>0</v>
      </c>
      <c r="AE78">
        <f t="shared" si="64"/>
        <v>0</v>
      </c>
      <c r="AF78">
        <f t="shared" si="64"/>
        <v>0</v>
      </c>
      <c r="AG78">
        <f t="shared" si="64"/>
        <v>0</v>
      </c>
      <c r="AH78">
        <f t="shared" si="64"/>
        <v>0</v>
      </c>
      <c r="AI78">
        <f t="shared" si="64"/>
        <v>0</v>
      </c>
      <c r="AJ78">
        <f t="shared" si="64"/>
        <v>0</v>
      </c>
      <c r="AK78">
        <f t="shared" si="64"/>
        <v>0</v>
      </c>
      <c r="AL78">
        <f t="shared" si="64"/>
        <v>0</v>
      </c>
      <c r="AM78">
        <f t="shared" si="64"/>
        <v>0</v>
      </c>
      <c r="AN78">
        <f t="shared" si="64"/>
        <v>0</v>
      </c>
      <c r="AO78">
        <f t="shared" si="64"/>
        <v>0</v>
      </c>
      <c r="AP78">
        <f t="shared" si="64"/>
        <v>0</v>
      </c>
      <c r="AQ78">
        <f t="shared" si="64"/>
        <v>0</v>
      </c>
      <c r="AR78">
        <f t="shared" si="64"/>
        <v>0</v>
      </c>
      <c r="AS78">
        <f t="shared" si="64"/>
        <v>0</v>
      </c>
      <c r="AT78">
        <f t="shared" si="64"/>
        <v>0</v>
      </c>
      <c r="AU78">
        <f t="shared" si="64"/>
        <v>0</v>
      </c>
      <c r="AV78">
        <f t="shared" si="64"/>
        <v>0</v>
      </c>
      <c r="AW78">
        <f t="shared" si="64"/>
        <v>0</v>
      </c>
      <c r="AX78">
        <f t="shared" si="64"/>
        <v>0</v>
      </c>
      <c r="AY78">
        <f t="shared" si="64"/>
        <v>0</v>
      </c>
      <c r="AZ78">
        <f t="shared" si="64"/>
        <v>0</v>
      </c>
    </row>
    <row r="79" ht="15.75" customHeight="1">
      <c r="A79" s="854">
        <v>2014.0</v>
      </c>
      <c r="V79" s="285">
        <v>88.3</v>
      </c>
      <c r="W79">
        <f t="shared" si="24"/>
        <v>0</v>
      </c>
      <c r="X79">
        <f t="shared" ref="X79:AZ79" si="65">IF(AND(X$37-$A79&gt;$V$25,SUM($W79:W79)&lt;&gt;$V79),$V79,0)</f>
        <v>0</v>
      </c>
      <c r="Y79">
        <f t="shared" si="65"/>
        <v>0</v>
      </c>
      <c r="Z79">
        <f t="shared" si="65"/>
        <v>0</v>
      </c>
      <c r="AA79">
        <f t="shared" si="65"/>
        <v>0</v>
      </c>
      <c r="AB79">
        <f t="shared" si="65"/>
        <v>0</v>
      </c>
      <c r="AC79">
        <f t="shared" si="65"/>
        <v>0</v>
      </c>
      <c r="AD79">
        <f t="shared" si="65"/>
        <v>0</v>
      </c>
      <c r="AE79">
        <f t="shared" si="65"/>
        <v>0</v>
      </c>
      <c r="AF79">
        <f t="shared" si="65"/>
        <v>0</v>
      </c>
      <c r="AG79">
        <f t="shared" si="65"/>
        <v>0</v>
      </c>
      <c r="AH79">
        <f t="shared" si="65"/>
        <v>0</v>
      </c>
      <c r="AI79">
        <f t="shared" si="65"/>
        <v>0</v>
      </c>
      <c r="AJ79">
        <f t="shared" si="65"/>
        <v>0</v>
      </c>
      <c r="AK79">
        <f t="shared" si="65"/>
        <v>0</v>
      </c>
      <c r="AL79">
        <f t="shared" si="65"/>
        <v>0</v>
      </c>
      <c r="AM79">
        <f t="shared" si="65"/>
        <v>0</v>
      </c>
      <c r="AN79">
        <f t="shared" si="65"/>
        <v>0</v>
      </c>
      <c r="AO79">
        <f t="shared" si="65"/>
        <v>0</v>
      </c>
      <c r="AP79">
        <f t="shared" si="65"/>
        <v>0</v>
      </c>
      <c r="AQ79">
        <f t="shared" si="65"/>
        <v>0</v>
      </c>
      <c r="AR79">
        <f t="shared" si="65"/>
        <v>0</v>
      </c>
      <c r="AS79">
        <f t="shared" si="65"/>
        <v>0</v>
      </c>
      <c r="AT79">
        <f t="shared" si="65"/>
        <v>0</v>
      </c>
      <c r="AU79">
        <f t="shared" si="65"/>
        <v>0</v>
      </c>
      <c r="AV79">
        <f t="shared" si="65"/>
        <v>0</v>
      </c>
      <c r="AW79">
        <f t="shared" si="65"/>
        <v>0</v>
      </c>
      <c r="AX79">
        <f t="shared" si="65"/>
        <v>0</v>
      </c>
      <c r="AY79">
        <f t="shared" si="65"/>
        <v>0</v>
      </c>
      <c r="AZ79">
        <f t="shared" si="65"/>
        <v>0</v>
      </c>
    </row>
    <row r="80" ht="15.75" customHeight="1">
      <c r="A80" s="854">
        <v>2015.0</v>
      </c>
      <c r="V80" s="285">
        <v>100.8</v>
      </c>
      <c r="W80">
        <f t="shared" si="24"/>
        <v>0</v>
      </c>
      <c r="X80">
        <f t="shared" ref="X80:AZ80" si="66">IF(AND(X$37-$A80&gt;$V$25,SUM($W80:W80)&lt;&gt;$V80),$V80,0)</f>
        <v>0</v>
      </c>
      <c r="Y80">
        <f t="shared" si="66"/>
        <v>0</v>
      </c>
      <c r="Z80">
        <f t="shared" si="66"/>
        <v>0</v>
      </c>
      <c r="AA80">
        <f t="shared" si="66"/>
        <v>0</v>
      </c>
      <c r="AB80">
        <f t="shared" si="66"/>
        <v>0</v>
      </c>
      <c r="AC80">
        <f t="shared" si="66"/>
        <v>0</v>
      </c>
      <c r="AD80">
        <f t="shared" si="66"/>
        <v>0</v>
      </c>
      <c r="AE80">
        <f t="shared" si="66"/>
        <v>0</v>
      </c>
      <c r="AF80">
        <f t="shared" si="66"/>
        <v>0</v>
      </c>
      <c r="AG80">
        <f t="shared" si="66"/>
        <v>0</v>
      </c>
      <c r="AH80">
        <f t="shared" si="66"/>
        <v>0</v>
      </c>
      <c r="AI80">
        <f t="shared" si="66"/>
        <v>0</v>
      </c>
      <c r="AJ80">
        <f t="shared" si="66"/>
        <v>0</v>
      </c>
      <c r="AK80">
        <f t="shared" si="66"/>
        <v>0</v>
      </c>
      <c r="AL80">
        <f t="shared" si="66"/>
        <v>0</v>
      </c>
      <c r="AM80">
        <f t="shared" si="66"/>
        <v>0</v>
      </c>
      <c r="AN80">
        <f t="shared" si="66"/>
        <v>0</v>
      </c>
      <c r="AO80">
        <f t="shared" si="66"/>
        <v>0</v>
      </c>
      <c r="AP80">
        <f t="shared" si="66"/>
        <v>0</v>
      </c>
      <c r="AQ80">
        <f t="shared" si="66"/>
        <v>0</v>
      </c>
      <c r="AR80">
        <f t="shared" si="66"/>
        <v>0</v>
      </c>
      <c r="AS80">
        <f t="shared" si="66"/>
        <v>0</v>
      </c>
      <c r="AT80">
        <f t="shared" si="66"/>
        <v>0</v>
      </c>
      <c r="AU80">
        <f t="shared" si="66"/>
        <v>0</v>
      </c>
      <c r="AV80">
        <f t="shared" si="66"/>
        <v>0</v>
      </c>
      <c r="AW80">
        <f t="shared" si="66"/>
        <v>0</v>
      </c>
      <c r="AX80">
        <f t="shared" si="66"/>
        <v>0</v>
      </c>
      <c r="AY80">
        <f t="shared" si="66"/>
        <v>0</v>
      </c>
      <c r="AZ80">
        <f t="shared" si="66"/>
        <v>0</v>
      </c>
    </row>
    <row r="81" ht="15.75" customHeight="1">
      <c r="A81" s="854">
        <v>2016.0</v>
      </c>
      <c r="V81" s="285">
        <v>82.3</v>
      </c>
      <c r="W81">
        <f t="shared" si="24"/>
        <v>0</v>
      </c>
      <c r="X81">
        <f t="shared" ref="X81:AZ81" si="67">IF(AND(X$37-$A81&gt;$V$25,SUM($W81:W81)&lt;&gt;$V81),$V81,0)</f>
        <v>0</v>
      </c>
      <c r="Y81">
        <f t="shared" si="67"/>
        <v>0</v>
      </c>
      <c r="Z81">
        <f t="shared" si="67"/>
        <v>0</v>
      </c>
      <c r="AA81">
        <f t="shared" si="67"/>
        <v>0</v>
      </c>
      <c r="AB81">
        <f t="shared" si="67"/>
        <v>0</v>
      </c>
      <c r="AC81">
        <f t="shared" si="67"/>
        <v>0</v>
      </c>
      <c r="AD81">
        <f t="shared" si="67"/>
        <v>0</v>
      </c>
      <c r="AE81">
        <f t="shared" si="67"/>
        <v>0</v>
      </c>
      <c r="AF81">
        <f t="shared" si="67"/>
        <v>0</v>
      </c>
      <c r="AG81">
        <f t="shared" si="67"/>
        <v>0</v>
      </c>
      <c r="AH81">
        <f t="shared" si="67"/>
        <v>0</v>
      </c>
      <c r="AI81">
        <f t="shared" si="67"/>
        <v>0</v>
      </c>
      <c r="AJ81">
        <f t="shared" si="67"/>
        <v>0</v>
      </c>
      <c r="AK81">
        <f t="shared" si="67"/>
        <v>0</v>
      </c>
      <c r="AL81">
        <f t="shared" si="67"/>
        <v>0</v>
      </c>
      <c r="AM81">
        <f t="shared" si="67"/>
        <v>0</v>
      </c>
      <c r="AN81">
        <f t="shared" si="67"/>
        <v>0</v>
      </c>
      <c r="AO81">
        <f t="shared" si="67"/>
        <v>0</v>
      </c>
      <c r="AP81">
        <f t="shared" si="67"/>
        <v>0</v>
      </c>
      <c r="AQ81">
        <f t="shared" si="67"/>
        <v>0</v>
      </c>
      <c r="AR81">
        <f t="shared" si="67"/>
        <v>0</v>
      </c>
      <c r="AS81">
        <f t="shared" si="67"/>
        <v>0</v>
      </c>
      <c r="AT81">
        <f t="shared" si="67"/>
        <v>0</v>
      </c>
      <c r="AU81">
        <f t="shared" si="67"/>
        <v>0</v>
      </c>
      <c r="AV81">
        <f t="shared" si="67"/>
        <v>0</v>
      </c>
      <c r="AW81">
        <f t="shared" si="67"/>
        <v>0</v>
      </c>
      <c r="AX81">
        <f t="shared" si="67"/>
        <v>0</v>
      </c>
      <c r="AY81">
        <f t="shared" si="67"/>
        <v>0</v>
      </c>
      <c r="AZ81">
        <f t="shared" si="67"/>
        <v>0</v>
      </c>
    </row>
    <row r="82" ht="15.75" customHeight="1">
      <c r="A82" s="854">
        <v>2017.0</v>
      </c>
      <c r="V82" s="285">
        <v>31.5</v>
      </c>
      <c r="W82">
        <f t="shared" si="24"/>
        <v>0</v>
      </c>
      <c r="X82">
        <f t="shared" ref="X82:AZ82" si="68">IF(AND(X$37-$A82&gt;$V$25,SUM($W82:W82)&lt;&gt;$V82),$V82,0)</f>
        <v>0</v>
      </c>
      <c r="Y82">
        <f t="shared" si="68"/>
        <v>0</v>
      </c>
      <c r="Z82">
        <f t="shared" si="68"/>
        <v>0</v>
      </c>
      <c r="AA82">
        <f t="shared" si="68"/>
        <v>0</v>
      </c>
      <c r="AB82">
        <f t="shared" si="68"/>
        <v>0</v>
      </c>
      <c r="AC82">
        <f t="shared" si="68"/>
        <v>0</v>
      </c>
      <c r="AD82">
        <f t="shared" si="68"/>
        <v>0</v>
      </c>
      <c r="AE82">
        <f t="shared" si="68"/>
        <v>0</v>
      </c>
      <c r="AF82">
        <f t="shared" si="68"/>
        <v>0</v>
      </c>
      <c r="AG82">
        <f t="shared" si="68"/>
        <v>0</v>
      </c>
      <c r="AH82">
        <f t="shared" si="68"/>
        <v>0</v>
      </c>
      <c r="AI82">
        <f t="shared" si="68"/>
        <v>0</v>
      </c>
      <c r="AJ82">
        <f t="shared" si="68"/>
        <v>0</v>
      </c>
      <c r="AK82">
        <f t="shared" si="68"/>
        <v>0</v>
      </c>
      <c r="AL82">
        <f t="shared" si="68"/>
        <v>0</v>
      </c>
      <c r="AM82">
        <f t="shared" si="68"/>
        <v>0</v>
      </c>
      <c r="AN82">
        <f t="shared" si="68"/>
        <v>0</v>
      </c>
      <c r="AO82">
        <f t="shared" si="68"/>
        <v>0</v>
      </c>
      <c r="AP82">
        <f t="shared" si="68"/>
        <v>0</v>
      </c>
      <c r="AQ82">
        <f t="shared" si="68"/>
        <v>0</v>
      </c>
      <c r="AR82">
        <f t="shared" si="68"/>
        <v>0</v>
      </c>
      <c r="AS82">
        <f t="shared" si="68"/>
        <v>0</v>
      </c>
      <c r="AT82">
        <f t="shared" si="68"/>
        <v>0</v>
      </c>
      <c r="AU82">
        <f t="shared" si="68"/>
        <v>0</v>
      </c>
      <c r="AV82">
        <f t="shared" si="68"/>
        <v>0</v>
      </c>
      <c r="AW82">
        <f t="shared" si="68"/>
        <v>0</v>
      </c>
      <c r="AX82">
        <f t="shared" si="68"/>
        <v>0</v>
      </c>
      <c r="AY82">
        <f t="shared" si="68"/>
        <v>0</v>
      </c>
      <c r="AZ82">
        <f t="shared" si="68"/>
        <v>0</v>
      </c>
    </row>
    <row r="83" ht="15.75" customHeight="1"/>
    <row r="84" ht="15.75" customHeight="1"/>
    <row r="85" ht="15.75" customHeight="1"/>
    <row r="86" ht="15.75" customHeight="1"/>
    <row r="87" ht="15.75" customHeight="1"/>
    <row r="88" ht="15.75" customHeight="1"/>
    <row r="89" ht="15.75" customHeight="1"/>
    <row r="90" ht="15.75" customHeight="1"/>
    <row r="91" ht="15.75" customHeight="1"/>
  </sheetData>
  <printOptions/>
  <pageMargins bottom="0.75" footer="0.0" header="0.0" left="0.7" right="0.7" top="0.75"/>
  <pageSetup orientation="landscape"/>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Population'!$T$18</f>
        <v>3074457.638</v>
      </c>
      <c r="C2" s="160">
        <f>C3*1000*'Inflation GDP Population'!C$18/'Inflation GDP Population'!$T$18</f>
        <v>3141893.279</v>
      </c>
      <c r="D2" s="160">
        <f>D3*1000*'Inflation GDP Population'!D$18/'Inflation GDP Population'!$T$18</f>
        <v>3191590.095</v>
      </c>
      <c r="E2" s="160">
        <f>E3*1000*'Inflation GDP Population'!E$18/'Inflation GDP Population'!$T$18</f>
        <v>3250861.877</v>
      </c>
      <c r="F2" s="160">
        <f>F3*1000*'Inflation GDP Population'!F$18/'Inflation GDP Population'!$T$18</f>
        <v>3338381.59</v>
      </c>
      <c r="G2" s="160">
        <f>G3*1000*'Inflation GDP Population'!G$18/'Inflation GDP Population'!$T$18</f>
        <v>3442369.159</v>
      </c>
      <c r="H2" s="160">
        <f>H3*1000*'Inflation GDP Population'!H$18/'Inflation GDP Population'!$T$18</f>
        <v>3546542.553</v>
      </c>
      <c r="I2" s="160">
        <f>I3*1000*'Inflation GDP Population'!I$18/'Inflation GDP Population'!$T$18</f>
        <v>3641813.552</v>
      </c>
      <c r="J2" s="160">
        <f>J3*1000*'Inflation GDP Population'!J$18/'Inflation GDP Population'!$T$18</f>
        <v>3712651.508</v>
      </c>
      <c r="K2" s="160">
        <f>K3*1000*'Inflation GDP Population'!K$18/'Inflation GDP Population'!$T$18</f>
        <v>3740954.408</v>
      </c>
      <c r="L2" s="160">
        <f>L3*1000*'Inflation GDP Population'!L$18/'Inflation GDP Population'!$T$18</f>
        <v>3784545.985</v>
      </c>
      <c r="M2" s="160">
        <f>M3*1000*'Inflation GDP Population'!M$18/'Inflation GDP Population'!$T$18</f>
        <v>3863601.919</v>
      </c>
      <c r="N2" s="160">
        <f>N3*1000*'Inflation GDP Population'!N$18/'Inflation GDP Population'!$T$18</f>
        <v>3937699.658</v>
      </c>
      <c r="O2" s="160">
        <f>O3*1000*'Inflation GDP Population'!O$18/'Inflation GDP Population'!$T$18</f>
        <v>4006803.488</v>
      </c>
      <c r="P2" s="160">
        <f>P3*1000*'Inflation GDP Population'!P$18/'Inflation GDP Population'!$T$18</f>
        <v>4080943.872</v>
      </c>
      <c r="Q2" s="160">
        <f>Q3*1000*'Inflation GDP Population'!Q$18/'Inflation GDP Population'!$T$18</f>
        <v>4123440.436</v>
      </c>
      <c r="R2" s="160">
        <f>R3*1000*'Inflation GDP Population'!R$18/'Inflation GDP Population'!$T$18</f>
        <v>4166129.509</v>
      </c>
      <c r="S2" s="160">
        <f>S3*1000*'Inflation GDP Population'!S$18/'Inflation GDP Population'!$T$18</f>
        <v>4244603.554</v>
      </c>
      <c r="T2" s="160">
        <f>T3*1000*'Inflation GDP Population'!T$18/'Inflation GDP Population'!$T$18</f>
        <v>4348000</v>
      </c>
      <c r="U2" s="160">
        <f>U3*1000*'Inflation GDP Population'!U$18/'Inflation GDP Population'!$T$18</f>
        <v>4419571.405</v>
      </c>
      <c r="V2" s="773">
        <v>3837000.0</v>
      </c>
      <c r="W2" s="160">
        <f t="shared" ref="W2:AZ2" si="1">V2*(1+V40-V4)</f>
        <v>3913334.189</v>
      </c>
      <c r="X2" s="160">
        <f t="shared" si="1"/>
        <v>3991186.988</v>
      </c>
      <c r="Y2" s="160">
        <f t="shared" si="1"/>
        <v>4070588.61</v>
      </c>
      <c r="Z2" s="160">
        <f t="shared" si="1"/>
        <v>4151569.866</v>
      </c>
      <c r="AA2" s="160">
        <f t="shared" si="1"/>
        <v>4234162.182</v>
      </c>
      <c r="AB2" s="160">
        <f t="shared" si="1"/>
        <v>4318397.61</v>
      </c>
      <c r="AC2" s="160">
        <f t="shared" si="1"/>
        <v>4404308.837</v>
      </c>
      <c r="AD2" s="160">
        <f t="shared" si="1"/>
        <v>4491929.202</v>
      </c>
      <c r="AE2" s="160">
        <f t="shared" si="1"/>
        <v>4581292.708</v>
      </c>
      <c r="AF2" s="160">
        <f t="shared" si="1"/>
        <v>4672434.033</v>
      </c>
      <c r="AG2" s="160">
        <f t="shared" si="1"/>
        <v>4765388.545</v>
      </c>
      <c r="AH2" s="160">
        <f t="shared" si="1"/>
        <v>4860192.315</v>
      </c>
      <c r="AI2" s="160">
        <f t="shared" si="1"/>
        <v>4956882.135</v>
      </c>
      <c r="AJ2" s="160">
        <f t="shared" si="1"/>
        <v>5055495.525</v>
      </c>
      <c r="AK2" s="160">
        <f t="shared" si="1"/>
        <v>5156070.753</v>
      </c>
      <c r="AL2" s="160">
        <f t="shared" si="1"/>
        <v>5258646.848</v>
      </c>
      <c r="AM2" s="160">
        <f t="shared" si="1"/>
        <v>5363263.617</v>
      </c>
      <c r="AN2" s="160">
        <f t="shared" si="1"/>
        <v>5469961.657</v>
      </c>
      <c r="AO2" s="160">
        <f t="shared" si="1"/>
        <v>5578782.372</v>
      </c>
      <c r="AP2" s="160">
        <f t="shared" si="1"/>
        <v>5689767.993</v>
      </c>
      <c r="AQ2" s="160">
        <f t="shared" si="1"/>
        <v>5802961.588</v>
      </c>
      <c r="AR2" s="160">
        <f t="shared" si="1"/>
        <v>5918407.084</v>
      </c>
      <c r="AS2" s="160">
        <f t="shared" si="1"/>
        <v>6036149.279</v>
      </c>
      <c r="AT2" s="160">
        <f t="shared" si="1"/>
        <v>6156233.866</v>
      </c>
      <c r="AU2" s="160">
        <f t="shared" si="1"/>
        <v>6278707.444</v>
      </c>
      <c r="AV2" s="160">
        <f t="shared" si="1"/>
        <v>6403617.54</v>
      </c>
      <c r="AW2" s="160">
        <f t="shared" si="1"/>
        <v>6531012.627</v>
      </c>
      <c r="AX2" s="160">
        <f t="shared" si="1"/>
        <v>6660942.143</v>
      </c>
      <c r="AY2" s="160">
        <f t="shared" si="1"/>
        <v>6793456.507</v>
      </c>
      <c r="AZ2" s="160">
        <f t="shared" si="1"/>
        <v>6928607.144</v>
      </c>
    </row>
    <row r="3" ht="15.0" customHeight="1">
      <c r="A3" s="541" t="s">
        <v>989</v>
      </c>
      <c r="B3" s="792">
        <f t="shared" ref="B3:S3" si="2">C3*(1+B4)</f>
        <v>4348</v>
      </c>
      <c r="C3" s="792">
        <f t="shared" si="2"/>
        <v>4348</v>
      </c>
      <c r="D3" s="792">
        <f t="shared" si="2"/>
        <v>4348</v>
      </c>
      <c r="E3" s="792">
        <f t="shared" si="2"/>
        <v>4348</v>
      </c>
      <c r="F3" s="792">
        <f t="shared" si="2"/>
        <v>4348</v>
      </c>
      <c r="G3" s="792">
        <f t="shared" si="2"/>
        <v>4348</v>
      </c>
      <c r="H3" s="792">
        <f t="shared" si="2"/>
        <v>4348</v>
      </c>
      <c r="I3" s="792">
        <f t="shared" si="2"/>
        <v>4348</v>
      </c>
      <c r="J3" s="792">
        <f t="shared" si="2"/>
        <v>4348</v>
      </c>
      <c r="K3" s="792">
        <f t="shared" si="2"/>
        <v>4348</v>
      </c>
      <c r="L3" s="792">
        <f t="shared" si="2"/>
        <v>4348</v>
      </c>
      <c r="M3" s="792">
        <f t="shared" si="2"/>
        <v>4348</v>
      </c>
      <c r="N3" s="792">
        <f t="shared" si="2"/>
        <v>4348</v>
      </c>
      <c r="O3" s="792">
        <f t="shared" si="2"/>
        <v>4348</v>
      </c>
      <c r="P3" s="792">
        <f t="shared" si="2"/>
        <v>4348</v>
      </c>
      <c r="Q3" s="792">
        <f t="shared" si="2"/>
        <v>4348</v>
      </c>
      <c r="R3" s="792">
        <f t="shared" si="2"/>
        <v>4348</v>
      </c>
      <c r="S3" s="792">
        <f t="shared" si="2"/>
        <v>4348</v>
      </c>
      <c r="T3" s="750">
        <v>4348.0</v>
      </c>
      <c r="U3" s="750">
        <v>4335.0</v>
      </c>
      <c r="V3" s="707">
        <v>4322.0</v>
      </c>
      <c r="W3" s="751">
        <v>4309.0</v>
      </c>
      <c r="X3" s="751">
        <v>4296.0</v>
      </c>
      <c r="Y3" s="751">
        <v>4284.0</v>
      </c>
      <c r="Z3" s="751">
        <v>4271.0</v>
      </c>
      <c r="AA3" s="751">
        <v>4247.0</v>
      </c>
      <c r="AB3" s="751">
        <v>4232.0</v>
      </c>
      <c r="AC3" s="751">
        <v>4214.0</v>
      </c>
      <c r="AD3" s="751">
        <v>4198.0</v>
      </c>
      <c r="AE3" s="751">
        <v>4181.0</v>
      </c>
      <c r="AF3" s="751">
        <v>4160.0</v>
      </c>
      <c r="AG3" s="751">
        <v>4140.0</v>
      </c>
      <c r="AH3" s="751">
        <v>4119.0</v>
      </c>
      <c r="AI3" s="751">
        <v>4097.0</v>
      </c>
      <c r="AJ3" s="751">
        <v>4079.0</v>
      </c>
      <c r="AK3" s="751">
        <v>4060.0</v>
      </c>
      <c r="AL3" s="751">
        <v>4036.0</v>
      </c>
      <c r="AM3" s="751">
        <v>4017.0</v>
      </c>
      <c r="AN3" s="751">
        <v>3997.0</v>
      </c>
      <c r="AO3" s="751">
        <v>3974.0</v>
      </c>
      <c r="AP3" s="751">
        <v>3950.0</v>
      </c>
      <c r="AQ3" s="751">
        <v>3933.0</v>
      </c>
      <c r="AR3" s="751">
        <v>3911.0</v>
      </c>
      <c r="AS3" s="751">
        <v>3891.0</v>
      </c>
      <c r="AT3" s="751">
        <v>3871.0</v>
      </c>
      <c r="AU3" s="751">
        <v>3853.0</v>
      </c>
      <c r="AV3" s="751">
        <v>3828.0</v>
      </c>
      <c r="AW3" s="751">
        <v>3809.0</v>
      </c>
      <c r="AX3" s="751">
        <v>3789.0</v>
      </c>
      <c r="AY3" s="751">
        <v>3769.0</v>
      </c>
      <c r="AZ3" s="751">
        <v>3716.0</v>
      </c>
      <c r="BA3" s="803">
        <v>3769.0</v>
      </c>
      <c r="BB3" s="803">
        <v>3716.0</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600.0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849">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v>0.44</v>
      </c>
      <c r="W15" s="208">
        <f t="shared" ref="W15:AZ15" si="5">V15*(1+V17)</f>
        <v>0.44</v>
      </c>
      <c r="X15" s="208">
        <f t="shared" si="5"/>
        <v>0.44</v>
      </c>
      <c r="Y15" s="208">
        <f t="shared" si="5"/>
        <v>0.44</v>
      </c>
      <c r="Z15" s="208">
        <f t="shared" si="5"/>
        <v>0.44</v>
      </c>
      <c r="AA15" s="208">
        <f t="shared" si="5"/>
        <v>0.44</v>
      </c>
      <c r="AB15" s="208">
        <f t="shared" si="5"/>
        <v>0.44</v>
      </c>
      <c r="AC15" s="208">
        <f t="shared" si="5"/>
        <v>0.44</v>
      </c>
      <c r="AD15" s="208">
        <f t="shared" si="5"/>
        <v>0.44</v>
      </c>
      <c r="AE15" s="208">
        <f t="shared" si="5"/>
        <v>0.44</v>
      </c>
      <c r="AF15" s="208">
        <f t="shared" si="5"/>
        <v>0.44</v>
      </c>
      <c r="AG15" s="208">
        <f t="shared" si="5"/>
        <v>0.44</v>
      </c>
      <c r="AH15" s="208">
        <f t="shared" si="5"/>
        <v>0.44</v>
      </c>
      <c r="AI15" s="208">
        <f t="shared" si="5"/>
        <v>0.44</v>
      </c>
      <c r="AJ15" s="208">
        <f t="shared" si="5"/>
        <v>0.44</v>
      </c>
      <c r="AK15" s="208">
        <f t="shared" si="5"/>
        <v>0.44</v>
      </c>
      <c r="AL15" s="208">
        <f t="shared" si="5"/>
        <v>0.44</v>
      </c>
      <c r="AM15" s="208">
        <f t="shared" si="5"/>
        <v>0.44</v>
      </c>
      <c r="AN15" s="208">
        <f t="shared" si="5"/>
        <v>0.44</v>
      </c>
      <c r="AO15" s="208">
        <f t="shared" si="5"/>
        <v>0.44</v>
      </c>
      <c r="AP15" s="208">
        <f t="shared" si="5"/>
        <v>0.44</v>
      </c>
      <c r="AQ15" s="208">
        <f t="shared" si="5"/>
        <v>0.44</v>
      </c>
      <c r="AR15" s="208">
        <f t="shared" si="5"/>
        <v>0.44</v>
      </c>
      <c r="AS15" s="208">
        <f t="shared" si="5"/>
        <v>0.44</v>
      </c>
      <c r="AT15" s="208">
        <f t="shared" si="5"/>
        <v>0.44</v>
      </c>
      <c r="AU15" s="208">
        <f t="shared" si="5"/>
        <v>0.44</v>
      </c>
      <c r="AV15" s="208">
        <f t="shared" si="5"/>
        <v>0.44</v>
      </c>
      <c r="AW15" s="208">
        <f t="shared" si="5"/>
        <v>0.44</v>
      </c>
      <c r="AX15" s="208">
        <f t="shared" si="5"/>
        <v>0.44</v>
      </c>
      <c r="AY15" s="208">
        <f t="shared" si="5"/>
        <v>0.44</v>
      </c>
      <c r="AZ15" s="208">
        <f t="shared" si="5"/>
        <v>0.44</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0.53</v>
      </c>
      <c r="W16" s="208">
        <f t="shared" ref="W16:AZ16" si="6">V16</f>
        <v>0.53</v>
      </c>
      <c r="X16" s="208">
        <f t="shared" si="6"/>
        <v>0.53</v>
      </c>
      <c r="Y16" s="208">
        <f t="shared" si="6"/>
        <v>0.53</v>
      </c>
      <c r="Z16" s="208">
        <f t="shared" si="6"/>
        <v>0.53</v>
      </c>
      <c r="AA16" s="208">
        <f t="shared" si="6"/>
        <v>0.53</v>
      </c>
      <c r="AB16" s="208">
        <f t="shared" si="6"/>
        <v>0.53</v>
      </c>
      <c r="AC16" s="208">
        <f t="shared" si="6"/>
        <v>0.53</v>
      </c>
      <c r="AD16" s="208">
        <f t="shared" si="6"/>
        <v>0.53</v>
      </c>
      <c r="AE16" s="208">
        <f t="shared" si="6"/>
        <v>0.53</v>
      </c>
      <c r="AF16" s="208">
        <f t="shared" si="6"/>
        <v>0.53</v>
      </c>
      <c r="AG16" s="208">
        <f t="shared" si="6"/>
        <v>0.53</v>
      </c>
      <c r="AH16" s="208">
        <f t="shared" si="6"/>
        <v>0.53</v>
      </c>
      <c r="AI16" s="208">
        <f t="shared" si="6"/>
        <v>0.53</v>
      </c>
      <c r="AJ16" s="208">
        <f t="shared" si="6"/>
        <v>0.53</v>
      </c>
      <c r="AK16" s="208">
        <f t="shared" si="6"/>
        <v>0.53</v>
      </c>
      <c r="AL16" s="208">
        <f t="shared" si="6"/>
        <v>0.53</v>
      </c>
      <c r="AM16" s="208">
        <f t="shared" si="6"/>
        <v>0.53</v>
      </c>
      <c r="AN16" s="208">
        <f t="shared" si="6"/>
        <v>0.53</v>
      </c>
      <c r="AO16" s="208">
        <f t="shared" si="6"/>
        <v>0.53</v>
      </c>
      <c r="AP16" s="208">
        <f t="shared" si="6"/>
        <v>0.53</v>
      </c>
      <c r="AQ16" s="208">
        <f t="shared" si="6"/>
        <v>0.53</v>
      </c>
      <c r="AR16" s="208">
        <f t="shared" si="6"/>
        <v>0.53</v>
      </c>
      <c r="AS16" s="208">
        <f t="shared" si="6"/>
        <v>0.53</v>
      </c>
      <c r="AT16" s="208">
        <f t="shared" si="6"/>
        <v>0.53</v>
      </c>
      <c r="AU16" s="208">
        <f t="shared" si="6"/>
        <v>0.53</v>
      </c>
      <c r="AV16" s="208">
        <f t="shared" si="6"/>
        <v>0.53</v>
      </c>
      <c r="AW16" s="208">
        <f t="shared" si="6"/>
        <v>0.53</v>
      </c>
      <c r="AX16" s="208">
        <f t="shared" si="6"/>
        <v>0.53</v>
      </c>
      <c r="AY16" s="208">
        <f t="shared" si="6"/>
        <v>0.53</v>
      </c>
      <c r="AZ16" s="208">
        <f t="shared" si="6"/>
        <v>0.53</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7">V17</f>
        <v>0</v>
      </c>
      <c r="X17" s="208">
        <f t="shared" si="7"/>
        <v>0</v>
      </c>
      <c r="Y17" s="208">
        <f t="shared" si="7"/>
        <v>0</v>
      </c>
      <c r="Z17" s="208">
        <f t="shared" si="7"/>
        <v>0</v>
      </c>
      <c r="AA17" s="208">
        <f t="shared" si="7"/>
        <v>0</v>
      </c>
      <c r="AB17" s="208">
        <f t="shared" si="7"/>
        <v>0</v>
      </c>
      <c r="AC17" s="208">
        <f t="shared" si="7"/>
        <v>0</v>
      </c>
      <c r="AD17" s="208">
        <f t="shared" si="7"/>
        <v>0</v>
      </c>
      <c r="AE17" s="208">
        <f t="shared" si="7"/>
        <v>0</v>
      </c>
      <c r="AF17" s="208">
        <f t="shared" si="7"/>
        <v>0</v>
      </c>
      <c r="AG17" s="208">
        <f t="shared" si="7"/>
        <v>0</v>
      </c>
      <c r="AH17" s="208">
        <f t="shared" si="7"/>
        <v>0</v>
      </c>
      <c r="AI17" s="208">
        <f t="shared" si="7"/>
        <v>0</v>
      </c>
      <c r="AJ17" s="208">
        <f t="shared" si="7"/>
        <v>0</v>
      </c>
      <c r="AK17" s="208">
        <f t="shared" si="7"/>
        <v>0</v>
      </c>
      <c r="AL17" s="208">
        <f t="shared" si="7"/>
        <v>0</v>
      </c>
      <c r="AM17" s="208">
        <f t="shared" si="7"/>
        <v>0</v>
      </c>
      <c r="AN17" s="208">
        <f t="shared" si="7"/>
        <v>0</v>
      </c>
      <c r="AO17" s="208">
        <f t="shared" si="7"/>
        <v>0</v>
      </c>
      <c r="AP17" s="208">
        <f t="shared" si="7"/>
        <v>0</v>
      </c>
      <c r="AQ17" s="208">
        <f t="shared" si="7"/>
        <v>0</v>
      </c>
      <c r="AR17" s="208">
        <f t="shared" si="7"/>
        <v>0</v>
      </c>
      <c r="AS17" s="208">
        <f t="shared" si="7"/>
        <v>0</v>
      </c>
      <c r="AT17" s="208">
        <f t="shared" si="7"/>
        <v>0</v>
      </c>
      <c r="AU17" s="208">
        <f t="shared" si="7"/>
        <v>0</v>
      </c>
      <c r="AV17" s="208">
        <f t="shared" si="7"/>
        <v>0</v>
      </c>
      <c r="AW17" s="208">
        <f t="shared" si="7"/>
        <v>0</v>
      </c>
      <c r="AX17" s="208">
        <f t="shared" si="7"/>
        <v>0</v>
      </c>
      <c r="AY17" s="208">
        <f t="shared" si="7"/>
        <v>0</v>
      </c>
      <c r="AZ17" s="208">
        <f t="shared" si="7"/>
        <v>0</v>
      </c>
    </row>
    <row r="18" ht="15.0" customHeight="1">
      <c r="A18" s="535" t="s">
        <v>100</v>
      </c>
      <c r="B18" s="160">
        <f t="shared" ref="B18:U18" si="8">C18/(1+B40-B21)</f>
        <v>77128.90367</v>
      </c>
      <c r="C18" s="160">
        <f t="shared" si="8"/>
        <v>78586.19549</v>
      </c>
      <c r="D18" s="160">
        <f t="shared" si="8"/>
        <v>80071.02172</v>
      </c>
      <c r="E18" s="160">
        <f t="shared" si="8"/>
        <v>81583.90261</v>
      </c>
      <c r="F18" s="160">
        <f t="shared" si="8"/>
        <v>83125.36823</v>
      </c>
      <c r="G18" s="160">
        <f t="shared" si="8"/>
        <v>84695.95867</v>
      </c>
      <c r="H18" s="160">
        <f t="shared" si="8"/>
        <v>86296.22422</v>
      </c>
      <c r="I18" s="160">
        <f t="shared" si="8"/>
        <v>87926.72557</v>
      </c>
      <c r="J18" s="160">
        <f t="shared" si="8"/>
        <v>89588.03399</v>
      </c>
      <c r="K18" s="160">
        <f t="shared" si="8"/>
        <v>91280.73157</v>
      </c>
      <c r="L18" s="160">
        <f t="shared" si="8"/>
        <v>93005.41139</v>
      </c>
      <c r="M18" s="160">
        <f t="shared" si="8"/>
        <v>94762.67771</v>
      </c>
      <c r="N18" s="160">
        <f t="shared" si="8"/>
        <v>96553.14623</v>
      </c>
      <c r="O18" s="160">
        <f t="shared" si="8"/>
        <v>98377.4443</v>
      </c>
      <c r="P18" s="160">
        <f t="shared" si="8"/>
        <v>100236.2111</v>
      </c>
      <c r="Q18" s="160">
        <f t="shared" si="8"/>
        <v>102130.0979</v>
      </c>
      <c r="R18" s="160">
        <f t="shared" si="8"/>
        <v>104059.7682</v>
      </c>
      <c r="S18" s="160">
        <f t="shared" si="8"/>
        <v>106025.8981</v>
      </c>
      <c r="T18" s="160">
        <f t="shared" si="8"/>
        <v>108029.1766</v>
      </c>
      <c r="U18" s="160">
        <f t="shared" si="8"/>
        <v>110070.3055</v>
      </c>
      <c r="V18" s="773">
        <v>112150.0</v>
      </c>
      <c r="W18" s="160">
        <f t="shared" ref="W18:AZ18" si="9">V18*(1+V40-V21)</f>
        <v>114268.9887</v>
      </c>
      <c r="X18" s="160">
        <f t="shared" si="9"/>
        <v>116428.0141</v>
      </c>
      <c r="Y18" s="160">
        <f t="shared" si="9"/>
        <v>118627.8327</v>
      </c>
      <c r="Z18" s="160">
        <f t="shared" si="9"/>
        <v>120869.2151</v>
      </c>
      <c r="AA18" s="160">
        <f t="shared" si="9"/>
        <v>123152.9467</v>
      </c>
      <c r="AB18" s="160">
        <f t="shared" si="9"/>
        <v>125479.8277</v>
      </c>
      <c r="AC18" s="160">
        <f t="shared" si="9"/>
        <v>127850.6734</v>
      </c>
      <c r="AD18" s="160">
        <f t="shared" si="9"/>
        <v>130266.3144</v>
      </c>
      <c r="AE18" s="160">
        <f t="shared" si="9"/>
        <v>132727.597</v>
      </c>
      <c r="AF18" s="160">
        <f t="shared" si="9"/>
        <v>135235.3838</v>
      </c>
      <c r="AG18" s="160">
        <f t="shared" si="9"/>
        <v>137790.5532</v>
      </c>
      <c r="AH18" s="160">
        <f t="shared" si="9"/>
        <v>140394.0006</v>
      </c>
      <c r="AI18" s="160">
        <f t="shared" si="9"/>
        <v>143046.6382</v>
      </c>
      <c r="AJ18" s="160">
        <f t="shared" si="9"/>
        <v>145749.3953</v>
      </c>
      <c r="AK18" s="160">
        <f t="shared" si="9"/>
        <v>148503.219</v>
      </c>
      <c r="AL18" s="160">
        <f t="shared" si="9"/>
        <v>151309.0741</v>
      </c>
      <c r="AM18" s="160">
        <f t="shared" si="9"/>
        <v>154167.9436</v>
      </c>
      <c r="AN18" s="160">
        <f t="shared" si="9"/>
        <v>157080.8294</v>
      </c>
      <c r="AO18" s="160">
        <f t="shared" si="9"/>
        <v>160048.7518</v>
      </c>
      <c r="AP18" s="160">
        <f t="shared" si="9"/>
        <v>163072.751</v>
      </c>
      <c r="AQ18" s="160">
        <f t="shared" si="9"/>
        <v>166153.8862</v>
      </c>
      <c r="AR18" s="160">
        <f t="shared" si="9"/>
        <v>169293.2372</v>
      </c>
      <c r="AS18" s="160">
        <f t="shared" si="9"/>
        <v>172491.9038</v>
      </c>
      <c r="AT18" s="160">
        <f t="shared" si="9"/>
        <v>175751.0068</v>
      </c>
      <c r="AU18" s="160">
        <f t="shared" si="9"/>
        <v>179071.688</v>
      </c>
      <c r="AV18" s="160">
        <f t="shared" si="9"/>
        <v>182455.111</v>
      </c>
      <c r="AW18" s="160">
        <f t="shared" si="9"/>
        <v>185902.4612</v>
      </c>
      <c r="AX18" s="160">
        <f t="shared" si="9"/>
        <v>189414.9464</v>
      </c>
      <c r="AY18" s="160">
        <f t="shared" si="9"/>
        <v>192993.7974</v>
      </c>
      <c r="AZ18" s="160">
        <f t="shared" si="9"/>
        <v>196640.268</v>
      </c>
    </row>
    <row r="19" ht="15.0" customHeight="1">
      <c r="A19" s="535" t="s">
        <v>1112</v>
      </c>
      <c r="B19" s="177">
        <f t="shared" ref="B19:U19" si="10">C19/(1+B40-B21)</f>
        <v>3.837532613</v>
      </c>
      <c r="C19" s="177">
        <f t="shared" si="10"/>
        <v>3.910039865</v>
      </c>
      <c r="D19" s="177">
        <f t="shared" si="10"/>
        <v>3.983917086</v>
      </c>
      <c r="E19" s="177">
        <f t="shared" si="10"/>
        <v>4.059190161</v>
      </c>
      <c r="F19" s="177">
        <f t="shared" si="10"/>
        <v>4.135885464</v>
      </c>
      <c r="G19" s="177">
        <f t="shared" si="10"/>
        <v>4.214029865</v>
      </c>
      <c r="H19" s="177">
        <f t="shared" si="10"/>
        <v>4.293650746</v>
      </c>
      <c r="I19" s="177">
        <f t="shared" si="10"/>
        <v>4.374776002</v>
      </c>
      <c r="J19" s="177">
        <f t="shared" si="10"/>
        <v>4.457434059</v>
      </c>
      <c r="K19" s="177">
        <f t="shared" si="10"/>
        <v>4.541653876</v>
      </c>
      <c r="L19" s="177">
        <f t="shared" si="10"/>
        <v>4.627464962</v>
      </c>
      <c r="M19" s="177">
        <f t="shared" si="10"/>
        <v>4.714897384</v>
      </c>
      <c r="N19" s="177">
        <f t="shared" si="10"/>
        <v>4.803981774</v>
      </c>
      <c r="O19" s="177">
        <f t="shared" si="10"/>
        <v>4.894749346</v>
      </c>
      <c r="P19" s="177">
        <f t="shared" si="10"/>
        <v>4.987231902</v>
      </c>
      <c r="Q19" s="177">
        <f t="shared" si="10"/>
        <v>5.081461846</v>
      </c>
      <c r="R19" s="177">
        <f t="shared" si="10"/>
        <v>5.177472192</v>
      </c>
      <c r="S19" s="177">
        <f t="shared" si="10"/>
        <v>5.275296581</v>
      </c>
      <c r="T19" s="177">
        <f t="shared" si="10"/>
        <v>5.374969287</v>
      </c>
      <c r="U19" s="177">
        <f t="shared" si="10"/>
        <v>5.476525232</v>
      </c>
      <c r="V19" s="846">
        <v>5.58</v>
      </c>
      <c r="W19" s="177">
        <f t="shared" ref="W19:AZ19" si="11">V19*(1+V40-V21)</f>
        <v>5.685429845</v>
      </c>
      <c r="X19" s="177">
        <f t="shared" si="11"/>
        <v>5.792851706</v>
      </c>
      <c r="Y19" s="177">
        <f t="shared" si="11"/>
        <v>5.902303221</v>
      </c>
      <c r="Z19" s="177">
        <f t="shared" si="11"/>
        <v>6.013822739</v>
      </c>
      <c r="AA19" s="177">
        <f t="shared" si="11"/>
        <v>6.127449333</v>
      </c>
      <c r="AB19" s="177">
        <f t="shared" si="11"/>
        <v>6.243222816</v>
      </c>
      <c r="AC19" s="177">
        <f t="shared" si="11"/>
        <v>6.36118375</v>
      </c>
      <c r="AD19" s="177">
        <f t="shared" si="11"/>
        <v>6.481373465</v>
      </c>
      <c r="AE19" s="177">
        <f t="shared" si="11"/>
        <v>6.603834074</v>
      </c>
      <c r="AF19" s="177">
        <f t="shared" si="11"/>
        <v>6.728608483</v>
      </c>
      <c r="AG19" s="177">
        <f t="shared" si="11"/>
        <v>6.855740409</v>
      </c>
      <c r="AH19" s="177">
        <f t="shared" si="11"/>
        <v>6.985274395</v>
      </c>
      <c r="AI19" s="177">
        <f t="shared" si="11"/>
        <v>7.117255828</v>
      </c>
      <c r="AJ19" s="177">
        <f t="shared" si="11"/>
        <v>7.251730949</v>
      </c>
      <c r="AK19" s="177">
        <f t="shared" si="11"/>
        <v>7.388746875</v>
      </c>
      <c r="AL19" s="177">
        <f t="shared" si="11"/>
        <v>7.528351613</v>
      </c>
      <c r="AM19" s="177">
        <f t="shared" si="11"/>
        <v>7.670594075</v>
      </c>
      <c r="AN19" s="177">
        <f t="shared" si="11"/>
        <v>7.8155241</v>
      </c>
      <c r="AO19" s="177">
        <f t="shared" si="11"/>
        <v>7.963192468</v>
      </c>
      <c r="AP19" s="177">
        <f t="shared" si="11"/>
        <v>8.113650917</v>
      </c>
      <c r="AQ19" s="177">
        <f t="shared" si="11"/>
        <v>8.266952163</v>
      </c>
      <c r="AR19" s="177">
        <f t="shared" si="11"/>
        <v>8.42314992</v>
      </c>
      <c r="AS19" s="177">
        <f t="shared" si="11"/>
        <v>8.582298914</v>
      </c>
      <c r="AT19" s="177">
        <f t="shared" si="11"/>
        <v>8.744454907</v>
      </c>
      <c r="AU19" s="177">
        <f t="shared" si="11"/>
        <v>8.909674714</v>
      </c>
      <c r="AV19" s="177">
        <f t="shared" si="11"/>
        <v>9.078016223</v>
      </c>
      <c r="AW19" s="177">
        <f t="shared" si="11"/>
        <v>9.249538416</v>
      </c>
      <c r="AX19" s="177">
        <f t="shared" si="11"/>
        <v>9.424301391</v>
      </c>
      <c r="AY19" s="177">
        <f t="shared" si="11"/>
        <v>9.602366378</v>
      </c>
      <c r="AZ19" s="177">
        <f t="shared" si="11"/>
        <v>9.783795768</v>
      </c>
    </row>
    <row r="20" ht="15.0" customHeight="1">
      <c r="A20" s="535" t="s">
        <v>1115</v>
      </c>
      <c r="B20" s="177">
        <f t="shared" ref="B20:U20" si="12">C20/(1+B40-B21)</f>
        <v>21.97312887</v>
      </c>
      <c r="C20" s="177">
        <f t="shared" si="12"/>
        <v>22.38829438</v>
      </c>
      <c r="D20" s="177">
        <f t="shared" si="12"/>
        <v>22.81130413</v>
      </c>
      <c r="E20" s="177">
        <f t="shared" si="12"/>
        <v>23.24230632</v>
      </c>
      <c r="F20" s="177">
        <f t="shared" si="12"/>
        <v>23.68145198</v>
      </c>
      <c r="G20" s="177">
        <f t="shared" si="12"/>
        <v>24.12889495</v>
      </c>
      <c r="H20" s="177">
        <f t="shared" si="12"/>
        <v>24.58479202</v>
      </c>
      <c r="I20" s="177">
        <f t="shared" si="12"/>
        <v>25.04930292</v>
      </c>
      <c r="J20" s="177">
        <f t="shared" si="12"/>
        <v>25.52259039</v>
      </c>
      <c r="K20" s="177">
        <f t="shared" si="12"/>
        <v>26.00482027</v>
      </c>
      <c r="L20" s="177">
        <f t="shared" si="12"/>
        <v>26.49616152</v>
      </c>
      <c r="M20" s="177">
        <f t="shared" si="12"/>
        <v>26.99678629</v>
      </c>
      <c r="N20" s="177">
        <f t="shared" si="12"/>
        <v>27.50686997</v>
      </c>
      <c r="O20" s="177">
        <f t="shared" si="12"/>
        <v>28.0265913</v>
      </c>
      <c r="P20" s="177">
        <f t="shared" si="12"/>
        <v>28.55613237</v>
      </c>
      <c r="Q20" s="177">
        <f t="shared" si="12"/>
        <v>29.09567872</v>
      </c>
      <c r="R20" s="177">
        <f t="shared" si="12"/>
        <v>29.64541938</v>
      </c>
      <c r="S20" s="177">
        <f t="shared" si="12"/>
        <v>30.20554697</v>
      </c>
      <c r="T20" s="177">
        <f t="shared" si="12"/>
        <v>30.77625774</v>
      </c>
      <c r="U20" s="177">
        <f t="shared" si="12"/>
        <v>31.35775166</v>
      </c>
      <c r="V20" s="715">
        <f>if(Model!W2025&gt;0,V18*Model!W2024/(Model!W2025*10^6)+V19,V19)</f>
        <v>31.95023247</v>
      </c>
      <c r="W20" s="177">
        <f t="shared" ref="W20:AZ20" si="13">V20*(1+V40-V21)</f>
        <v>32.55390774</v>
      </c>
      <c r="X20" s="177">
        <f t="shared" si="13"/>
        <v>33.168989</v>
      </c>
      <c r="Y20" s="177">
        <f t="shared" si="13"/>
        <v>33.79569176</v>
      </c>
      <c r="Z20" s="177">
        <f t="shared" si="13"/>
        <v>34.43423558</v>
      </c>
      <c r="AA20" s="177">
        <f t="shared" si="13"/>
        <v>35.0848442</v>
      </c>
      <c r="AB20" s="177">
        <f t="shared" si="13"/>
        <v>35.74774557</v>
      </c>
      <c r="AC20" s="177">
        <f t="shared" si="13"/>
        <v>36.42317197</v>
      </c>
      <c r="AD20" s="177">
        <f t="shared" si="13"/>
        <v>37.11136002</v>
      </c>
      <c r="AE20" s="177">
        <f t="shared" si="13"/>
        <v>37.81255087</v>
      </c>
      <c r="AF20" s="177">
        <f t="shared" si="13"/>
        <v>38.52699018</v>
      </c>
      <c r="AG20" s="177">
        <f t="shared" si="13"/>
        <v>39.25492828</v>
      </c>
      <c r="AH20" s="177">
        <f t="shared" si="13"/>
        <v>39.99662021</v>
      </c>
      <c r="AI20" s="177">
        <f t="shared" si="13"/>
        <v>40.75232585</v>
      </c>
      <c r="AJ20" s="177">
        <f t="shared" si="13"/>
        <v>41.52230997</v>
      </c>
      <c r="AK20" s="177">
        <f t="shared" si="13"/>
        <v>42.30684235</v>
      </c>
      <c r="AL20" s="177">
        <f t="shared" si="13"/>
        <v>43.10619787</v>
      </c>
      <c r="AM20" s="177">
        <f t="shared" si="13"/>
        <v>43.92065661</v>
      </c>
      <c r="AN20" s="177">
        <f t="shared" si="13"/>
        <v>44.75050392</v>
      </c>
      <c r="AO20" s="177">
        <f t="shared" si="13"/>
        <v>45.59603056</v>
      </c>
      <c r="AP20" s="177">
        <f t="shared" si="13"/>
        <v>46.45753279</v>
      </c>
      <c r="AQ20" s="177">
        <f t="shared" si="13"/>
        <v>47.33531244</v>
      </c>
      <c r="AR20" s="177">
        <f t="shared" si="13"/>
        <v>48.22967707</v>
      </c>
      <c r="AS20" s="177">
        <f t="shared" si="13"/>
        <v>49.14094004</v>
      </c>
      <c r="AT20" s="177">
        <f t="shared" si="13"/>
        <v>50.06942062</v>
      </c>
      <c r="AU20" s="177">
        <f t="shared" si="13"/>
        <v>51.01544414</v>
      </c>
      <c r="AV20" s="177">
        <f t="shared" si="13"/>
        <v>51.97934205</v>
      </c>
      <c r="AW20" s="177">
        <f t="shared" si="13"/>
        <v>52.96145208</v>
      </c>
      <c r="AX20" s="177">
        <f t="shared" si="13"/>
        <v>53.96211833</v>
      </c>
      <c r="AY20" s="177">
        <f t="shared" si="13"/>
        <v>54.9816914</v>
      </c>
      <c r="AZ20" s="177">
        <f t="shared" si="13"/>
        <v>56.02052853</v>
      </c>
    </row>
    <row r="21" ht="15.0" customHeight="1">
      <c r="A21" s="535" t="s">
        <v>106</v>
      </c>
      <c r="B21" s="720">
        <f t="shared" ref="B21:U21" si="14">C21</f>
        <v>0.001</v>
      </c>
      <c r="C21" s="720">
        <f t="shared" si="14"/>
        <v>0.001</v>
      </c>
      <c r="D21" s="720">
        <f t="shared" si="14"/>
        <v>0.001</v>
      </c>
      <c r="E21" s="720">
        <f t="shared" si="14"/>
        <v>0.001</v>
      </c>
      <c r="F21" s="720">
        <f t="shared" si="14"/>
        <v>0.001</v>
      </c>
      <c r="G21" s="720">
        <f t="shared" si="14"/>
        <v>0.001</v>
      </c>
      <c r="H21" s="720">
        <f t="shared" si="14"/>
        <v>0.001</v>
      </c>
      <c r="I21" s="720">
        <f t="shared" si="14"/>
        <v>0.001</v>
      </c>
      <c r="J21" s="720">
        <f t="shared" si="14"/>
        <v>0.001</v>
      </c>
      <c r="K21" s="720">
        <f t="shared" si="14"/>
        <v>0.001</v>
      </c>
      <c r="L21" s="720">
        <f t="shared" si="14"/>
        <v>0.001</v>
      </c>
      <c r="M21" s="720">
        <f t="shared" si="14"/>
        <v>0.001</v>
      </c>
      <c r="N21" s="720">
        <f t="shared" si="14"/>
        <v>0.001</v>
      </c>
      <c r="O21" s="720">
        <f t="shared" si="14"/>
        <v>0.001</v>
      </c>
      <c r="P21" s="720">
        <f t="shared" si="14"/>
        <v>0.001</v>
      </c>
      <c r="Q21" s="720">
        <f t="shared" si="14"/>
        <v>0.001</v>
      </c>
      <c r="R21" s="720">
        <f t="shared" si="14"/>
        <v>0.001</v>
      </c>
      <c r="S21" s="720">
        <f t="shared" si="14"/>
        <v>0.001</v>
      </c>
      <c r="T21" s="720">
        <f t="shared" si="14"/>
        <v>0.001</v>
      </c>
      <c r="U21" s="720">
        <f t="shared" si="14"/>
        <v>0.001</v>
      </c>
      <c r="V21" s="538">
        <v>0.001</v>
      </c>
      <c r="W21" s="537">
        <f t="shared" ref="W21:AZ21" si="15">V21</f>
        <v>0.001</v>
      </c>
      <c r="X21" s="537">
        <f t="shared" si="15"/>
        <v>0.001</v>
      </c>
      <c r="Y21" s="537">
        <f t="shared" si="15"/>
        <v>0.001</v>
      </c>
      <c r="Z21" s="537">
        <f t="shared" si="15"/>
        <v>0.001</v>
      </c>
      <c r="AA21" s="537">
        <f t="shared" si="15"/>
        <v>0.001</v>
      </c>
      <c r="AB21" s="537">
        <f t="shared" si="15"/>
        <v>0.001</v>
      </c>
      <c r="AC21" s="537">
        <f t="shared" si="15"/>
        <v>0.001</v>
      </c>
      <c r="AD21" s="537">
        <f t="shared" si="15"/>
        <v>0.001</v>
      </c>
      <c r="AE21" s="537">
        <f t="shared" si="15"/>
        <v>0.001</v>
      </c>
      <c r="AF21" s="537">
        <f t="shared" si="15"/>
        <v>0.001</v>
      </c>
      <c r="AG21" s="537">
        <f t="shared" si="15"/>
        <v>0.001</v>
      </c>
      <c r="AH21" s="537">
        <f t="shared" si="15"/>
        <v>0.001</v>
      </c>
      <c r="AI21" s="537">
        <f t="shared" si="15"/>
        <v>0.001</v>
      </c>
      <c r="AJ21" s="537">
        <f t="shared" si="15"/>
        <v>0.001</v>
      </c>
      <c r="AK21" s="537">
        <f t="shared" si="15"/>
        <v>0.001</v>
      </c>
      <c r="AL21" s="537">
        <f t="shared" si="15"/>
        <v>0.001</v>
      </c>
      <c r="AM21" s="537">
        <f t="shared" si="15"/>
        <v>0.001</v>
      </c>
      <c r="AN21" s="537">
        <f t="shared" si="15"/>
        <v>0.001</v>
      </c>
      <c r="AO21" s="537">
        <f t="shared" si="15"/>
        <v>0.001</v>
      </c>
      <c r="AP21" s="537">
        <f t="shared" si="15"/>
        <v>0.001</v>
      </c>
      <c r="AQ21" s="537">
        <f t="shared" si="15"/>
        <v>0.001</v>
      </c>
      <c r="AR21" s="537">
        <f t="shared" si="15"/>
        <v>0.001</v>
      </c>
      <c r="AS21" s="537">
        <f t="shared" si="15"/>
        <v>0.001</v>
      </c>
      <c r="AT21" s="537">
        <f t="shared" si="15"/>
        <v>0.001</v>
      </c>
      <c r="AU21" s="537">
        <f t="shared" si="15"/>
        <v>0.001</v>
      </c>
      <c r="AV21" s="537">
        <f t="shared" si="15"/>
        <v>0.001</v>
      </c>
      <c r="AW21" s="537">
        <f t="shared" si="15"/>
        <v>0.001</v>
      </c>
      <c r="AX21" s="537">
        <f t="shared" si="15"/>
        <v>0.001</v>
      </c>
      <c r="AY21" s="537">
        <f t="shared" si="15"/>
        <v>0.001</v>
      </c>
      <c r="AZ21" s="537">
        <f t="shared" si="15"/>
        <v>0.001</v>
      </c>
    </row>
    <row r="22" ht="15.0" customHeight="1">
      <c r="A22" s="541" t="s">
        <v>1130</v>
      </c>
      <c r="B22" s="855">
        <f t="shared" ref="B22:R22" si="16">C22</f>
        <v>8420.232734</v>
      </c>
      <c r="C22" s="855">
        <f t="shared" si="16"/>
        <v>8420.232734</v>
      </c>
      <c r="D22" s="855">
        <f t="shared" si="16"/>
        <v>8420.232734</v>
      </c>
      <c r="E22" s="855">
        <f t="shared" si="16"/>
        <v>8420.232734</v>
      </c>
      <c r="F22" s="855">
        <f t="shared" si="16"/>
        <v>8420.232734</v>
      </c>
      <c r="G22" s="855">
        <f t="shared" si="16"/>
        <v>8420.232734</v>
      </c>
      <c r="H22" s="855">
        <f t="shared" si="16"/>
        <v>8420.232734</v>
      </c>
      <c r="I22" s="855">
        <f t="shared" si="16"/>
        <v>8420.232734</v>
      </c>
      <c r="J22" s="855">
        <f t="shared" si="16"/>
        <v>8420.232734</v>
      </c>
      <c r="K22" s="855">
        <f t="shared" si="16"/>
        <v>8420.232734</v>
      </c>
      <c r="L22" s="855">
        <f t="shared" si="16"/>
        <v>8420.232734</v>
      </c>
      <c r="M22" s="855">
        <f t="shared" si="16"/>
        <v>8420.232734</v>
      </c>
      <c r="N22" s="855">
        <f t="shared" si="16"/>
        <v>8420.232734</v>
      </c>
      <c r="O22" s="855">
        <f t="shared" si="16"/>
        <v>8420.232734</v>
      </c>
      <c r="P22" s="855">
        <f t="shared" si="16"/>
        <v>8420.232734</v>
      </c>
      <c r="Q22" s="855">
        <f t="shared" si="16"/>
        <v>8420.232734</v>
      </c>
      <c r="R22" s="855">
        <f t="shared" si="16"/>
        <v>8420.232734</v>
      </c>
      <c r="S22" s="856">
        <v>8420.232734</v>
      </c>
      <c r="T22" s="856">
        <v>8625.608635</v>
      </c>
      <c r="U22" s="856">
        <v>8681.63981</v>
      </c>
      <c r="V22" s="837">
        <v>8710.188525</v>
      </c>
      <c r="W22" s="857">
        <v>8683.857868</v>
      </c>
      <c r="X22" s="857">
        <v>8653.155202</v>
      </c>
      <c r="Y22" s="857">
        <v>8621.773812</v>
      </c>
      <c r="Z22" s="857">
        <v>8593.973938</v>
      </c>
      <c r="AA22" s="857">
        <v>8554.799334</v>
      </c>
      <c r="AB22" s="857">
        <v>8522.475263</v>
      </c>
      <c r="AC22" s="857">
        <v>8514.498936</v>
      </c>
      <c r="AD22" s="857">
        <v>8486.022008</v>
      </c>
      <c r="AE22" s="857">
        <v>8526.234073</v>
      </c>
      <c r="AF22" s="857">
        <v>8479.317071</v>
      </c>
      <c r="AG22" s="857">
        <v>8457.14077</v>
      </c>
      <c r="AH22" s="857">
        <v>8410.626646</v>
      </c>
      <c r="AI22" s="857">
        <v>8382.654093</v>
      </c>
      <c r="AJ22" s="857">
        <v>8338.215496</v>
      </c>
      <c r="AK22" s="857">
        <v>8267.02551</v>
      </c>
      <c r="AL22" s="857">
        <v>8279.899408</v>
      </c>
      <c r="AM22" s="857">
        <v>8186.747224</v>
      </c>
      <c r="AN22" s="857">
        <v>8141.379379</v>
      </c>
      <c r="AO22" s="857">
        <v>8102.986669</v>
      </c>
      <c r="AP22" s="857">
        <v>8060.026161</v>
      </c>
      <c r="AQ22" s="857">
        <v>8027.013409</v>
      </c>
      <c r="AR22" s="857">
        <v>7997.574075</v>
      </c>
      <c r="AS22" s="857">
        <v>7977.341387</v>
      </c>
      <c r="AT22" s="857">
        <v>7930.649338</v>
      </c>
      <c r="AU22" s="857">
        <v>7912.363436</v>
      </c>
      <c r="AV22" s="857">
        <v>7876.225695</v>
      </c>
      <c r="AW22" s="857">
        <v>7891.503954</v>
      </c>
      <c r="AX22" s="857">
        <v>7838.002105</v>
      </c>
      <c r="AY22" s="857">
        <v>7847.768773</v>
      </c>
      <c r="AZ22" s="857">
        <v>7845.040709</v>
      </c>
    </row>
    <row r="23" ht="15.0" customHeight="1">
      <c r="A23" s="541" t="s">
        <v>1131</v>
      </c>
      <c r="B23" s="858">
        <f t="shared" ref="B23:R23" si="17">C23</f>
        <v>3</v>
      </c>
      <c r="C23" s="858">
        <f t="shared" si="17"/>
        <v>3</v>
      </c>
      <c r="D23" s="858">
        <f t="shared" si="17"/>
        <v>3</v>
      </c>
      <c r="E23" s="858">
        <f t="shared" si="17"/>
        <v>3</v>
      </c>
      <c r="F23" s="858">
        <f t="shared" si="17"/>
        <v>3</v>
      </c>
      <c r="G23" s="858">
        <f t="shared" si="17"/>
        <v>3</v>
      </c>
      <c r="H23" s="858">
        <f t="shared" si="17"/>
        <v>3</v>
      </c>
      <c r="I23" s="858">
        <f t="shared" si="17"/>
        <v>3</v>
      </c>
      <c r="J23" s="858">
        <f t="shared" si="17"/>
        <v>3</v>
      </c>
      <c r="K23" s="858">
        <f t="shared" si="17"/>
        <v>3</v>
      </c>
      <c r="L23" s="858">
        <f t="shared" si="17"/>
        <v>3</v>
      </c>
      <c r="M23" s="858">
        <f t="shared" si="17"/>
        <v>3</v>
      </c>
      <c r="N23" s="858">
        <f t="shared" si="17"/>
        <v>3</v>
      </c>
      <c r="O23" s="858">
        <f t="shared" si="17"/>
        <v>3</v>
      </c>
      <c r="P23" s="858">
        <f t="shared" si="17"/>
        <v>3</v>
      </c>
      <c r="Q23" s="858">
        <f t="shared" si="17"/>
        <v>3</v>
      </c>
      <c r="R23" s="858">
        <f t="shared" si="17"/>
        <v>3</v>
      </c>
      <c r="S23" s="859">
        <f>S25*(1+S24)*'Inflation GDP Population'!S$18/'Inflation GDP Population'!$S$18</f>
        <v>3</v>
      </c>
      <c r="T23" s="859">
        <f>T25*(1+T24)*'Inflation GDP Population'!T$18/'Inflation GDP Population'!$S$18</f>
        <v>3.073078518</v>
      </c>
      <c r="U23" s="859">
        <f>U25*(1+U24)*'Inflation GDP Population'!U$18/'Inflation GDP Population'!$S$18</f>
        <v>3.133031129</v>
      </c>
      <c r="V23" s="860">
        <f>V25*(1+V24)*'Inflation GDP Population'!V$18/'Inflation GDP Population'!$S$18</f>
        <v>3.194153354</v>
      </c>
      <c r="W23" s="859">
        <f>W25*(1+W24)*'Inflation GDP Population'!W$18/'Inflation GDP Population'!$S$18</f>
        <v>3.226130363</v>
      </c>
      <c r="X23" s="859">
        <f>X25*(1+X24)*'Inflation GDP Population'!X$18/'Inflation GDP Population'!$S$18</f>
        <v>3.258139354</v>
      </c>
      <c r="Y23" s="859">
        <f>Y25*(1+Y24)*'Inflation GDP Population'!Y$18/'Inflation GDP Population'!$S$18</f>
        <v>3.290169404</v>
      </c>
      <c r="Z23" s="859">
        <f>Z25*(1+Z24)*'Inflation GDP Population'!Z$18/'Inflation GDP Population'!$S$18</f>
        <v>3.322209153</v>
      </c>
      <c r="AA23" s="859">
        <f>AA25*(1+AA24)*'Inflation GDP Population'!AA$18/'Inflation GDP Population'!$S$18</f>
        <v>3.354246789</v>
      </c>
      <c r="AB23" s="859">
        <f>AB25*(1+AB24)*'Inflation GDP Population'!AB$18/'Inflation GDP Population'!$S$18</f>
        <v>3.386270035</v>
      </c>
      <c r="AC23" s="859">
        <f>AC25*(1+AC24)*'Inflation GDP Population'!AC$18/'Inflation GDP Population'!$S$18</f>
        <v>3.418266135</v>
      </c>
      <c r="AD23" s="859">
        <f>AD25*(1+AD24)*'Inflation GDP Population'!AD$18/'Inflation GDP Population'!$S$18</f>
        <v>3.450221843</v>
      </c>
      <c r="AE23" s="859">
        <f>AE25*(1+AE24)*'Inflation GDP Population'!AE$18/'Inflation GDP Population'!$S$18</f>
        <v>3.482123404</v>
      </c>
      <c r="AF23" s="859">
        <f>AF25*(1+AF24)*'Inflation GDP Population'!AF$18/'Inflation GDP Population'!$S$18</f>
        <v>3.513956544</v>
      </c>
      <c r="AG23" s="859">
        <f>AG25*(1+AG24)*'Inflation GDP Population'!AG$18/'Inflation GDP Population'!$S$18</f>
        <v>3.545706452</v>
      </c>
      <c r="AH23" s="859">
        <f>AH25*(1+AH24)*'Inflation GDP Population'!AH$18/'Inflation GDP Population'!$S$18</f>
        <v>3.577357764</v>
      </c>
      <c r="AI23" s="859">
        <f>AI25*(1+AI24)*'Inflation GDP Population'!AI$18/'Inflation GDP Population'!$S$18</f>
        <v>3.608894548</v>
      </c>
      <c r="AJ23" s="859">
        <f>AJ25*(1+AJ24)*'Inflation GDP Population'!AJ$18/'Inflation GDP Population'!$S$18</f>
        <v>3.640300291</v>
      </c>
      <c r="AK23" s="859">
        <f>AK25*(1+AK24)*'Inflation GDP Population'!AK$18/'Inflation GDP Population'!$S$18</f>
        <v>3.671557876</v>
      </c>
      <c r="AL23" s="859">
        <f>AL25*(1+AL24)*'Inflation GDP Population'!AL$18/'Inflation GDP Population'!$S$18</f>
        <v>3.702649569</v>
      </c>
      <c r="AM23" s="859">
        <f>AM25*(1+AM24)*'Inflation GDP Population'!AM$18/'Inflation GDP Population'!$S$18</f>
        <v>3.733557001</v>
      </c>
      <c r="AN23" s="859">
        <f>AN25*(1+AN24)*'Inflation GDP Population'!AN$18/'Inflation GDP Population'!$S$18</f>
        <v>3.764261148</v>
      </c>
      <c r="AO23" s="859">
        <f>AO25*(1+AO24)*'Inflation GDP Population'!AO$18/'Inflation GDP Population'!$S$18</f>
        <v>3.794742317</v>
      </c>
      <c r="AP23" s="859">
        <f>AP25*(1+AP24)*'Inflation GDP Population'!AP$18/'Inflation GDP Population'!$S$18</f>
        <v>3.82498012</v>
      </c>
      <c r="AQ23" s="859">
        <f>AQ25*(1+AQ24)*'Inflation GDP Population'!AQ$18/'Inflation GDP Population'!$S$18</f>
        <v>3.854953461</v>
      </c>
      <c r="AR23" s="859">
        <f>AR25*(1+AR24)*'Inflation GDP Population'!AR$18/'Inflation GDP Population'!$S$18</f>
        <v>3.884640512</v>
      </c>
      <c r="AS23" s="859">
        <f>AS25*(1+AS24)*'Inflation GDP Population'!AS$18/'Inflation GDP Population'!$S$18</f>
        <v>3.914018695</v>
      </c>
      <c r="AT23" s="859">
        <f>AT25*(1+AT24)*'Inflation GDP Population'!AT$18/'Inflation GDP Population'!$S$18</f>
        <v>3.943064661</v>
      </c>
      <c r="AU23" s="859">
        <f>AU25*(1+AU24)*'Inflation GDP Population'!AU$18/'Inflation GDP Population'!$S$18</f>
        <v>3.971754264</v>
      </c>
      <c r="AV23" s="859">
        <f>AV25*(1+AV24)*'Inflation GDP Population'!AV$18/'Inflation GDP Population'!$S$18</f>
        <v>4.000062546</v>
      </c>
      <c r="AW23" s="859">
        <f>AW25*(1+AW24)*'Inflation GDP Population'!AW$18/'Inflation GDP Population'!$S$18</f>
        <v>4.02796371</v>
      </c>
      <c r="AX23" s="859">
        <f>AX25*(1+AX24)*'Inflation GDP Population'!AX$18/'Inflation GDP Population'!$S$18</f>
        <v>4.055431095</v>
      </c>
      <c r="AY23" s="859">
        <f>AY25*(1+AY24)*'Inflation GDP Population'!AY$18/'Inflation GDP Population'!$S$18</f>
        <v>4.082437158</v>
      </c>
      <c r="AZ23" s="859">
        <f>AZ25*(1+AZ24)*'Inflation GDP Population'!AZ$18/'Inflation GDP Population'!$S$18</f>
        <v>4.108953445</v>
      </c>
    </row>
    <row r="24" ht="15.0" customHeight="1">
      <c r="A24" s="541" t="s">
        <v>1132</v>
      </c>
      <c r="B24" s="861">
        <v>0.0</v>
      </c>
      <c r="C24" s="861">
        <v>0.0</v>
      </c>
      <c r="D24" s="861">
        <v>0.0</v>
      </c>
      <c r="E24" s="861">
        <v>0.0</v>
      </c>
      <c r="F24" s="861">
        <v>0.0</v>
      </c>
      <c r="G24" s="861">
        <v>0.0</v>
      </c>
      <c r="H24" s="861">
        <v>0.0</v>
      </c>
      <c r="I24" s="861">
        <v>0.0</v>
      </c>
      <c r="J24" s="861">
        <v>0.0</v>
      </c>
      <c r="K24" s="861">
        <v>0.0</v>
      </c>
      <c r="L24" s="861">
        <v>0.0</v>
      </c>
      <c r="M24" s="861">
        <v>0.0</v>
      </c>
      <c r="N24" s="861">
        <v>0.0</v>
      </c>
      <c r="O24" s="861">
        <v>0.0</v>
      </c>
      <c r="P24" s="861">
        <v>0.0</v>
      </c>
      <c r="Q24" s="861">
        <v>0.0</v>
      </c>
      <c r="R24" s="861">
        <v>0.0</v>
      </c>
      <c r="S24" s="861">
        <v>0.0</v>
      </c>
      <c r="T24" s="861">
        <v>0.0</v>
      </c>
      <c r="U24" s="861">
        <v>0.0</v>
      </c>
      <c r="V24" s="862">
        <v>0.0</v>
      </c>
      <c r="W24" s="777">
        <f t="shared" ref="W24:AZ24" si="18">V24</f>
        <v>0</v>
      </c>
      <c r="X24" s="777">
        <f t="shared" si="18"/>
        <v>0</v>
      </c>
      <c r="Y24" s="777">
        <f t="shared" si="18"/>
        <v>0</v>
      </c>
      <c r="Z24" s="777">
        <f t="shared" si="18"/>
        <v>0</v>
      </c>
      <c r="AA24" s="777">
        <f t="shared" si="18"/>
        <v>0</v>
      </c>
      <c r="AB24" s="777">
        <f t="shared" si="18"/>
        <v>0</v>
      </c>
      <c r="AC24" s="777">
        <f t="shared" si="18"/>
        <v>0</v>
      </c>
      <c r="AD24" s="777">
        <f t="shared" si="18"/>
        <v>0</v>
      </c>
      <c r="AE24" s="777">
        <f t="shared" si="18"/>
        <v>0</v>
      </c>
      <c r="AF24" s="777">
        <f t="shared" si="18"/>
        <v>0</v>
      </c>
      <c r="AG24" s="777">
        <f t="shared" si="18"/>
        <v>0</v>
      </c>
      <c r="AH24" s="777">
        <f t="shared" si="18"/>
        <v>0</v>
      </c>
      <c r="AI24" s="777">
        <f t="shared" si="18"/>
        <v>0</v>
      </c>
      <c r="AJ24" s="777">
        <f t="shared" si="18"/>
        <v>0</v>
      </c>
      <c r="AK24" s="777">
        <f t="shared" si="18"/>
        <v>0</v>
      </c>
      <c r="AL24" s="777">
        <f t="shared" si="18"/>
        <v>0</v>
      </c>
      <c r="AM24" s="777">
        <f t="shared" si="18"/>
        <v>0</v>
      </c>
      <c r="AN24" s="777">
        <f t="shared" si="18"/>
        <v>0</v>
      </c>
      <c r="AO24" s="777">
        <f t="shared" si="18"/>
        <v>0</v>
      </c>
      <c r="AP24" s="777">
        <f t="shared" si="18"/>
        <v>0</v>
      </c>
      <c r="AQ24" s="777">
        <f t="shared" si="18"/>
        <v>0</v>
      </c>
      <c r="AR24" s="777">
        <f t="shared" si="18"/>
        <v>0</v>
      </c>
      <c r="AS24" s="777">
        <f t="shared" si="18"/>
        <v>0</v>
      </c>
      <c r="AT24" s="777">
        <f t="shared" si="18"/>
        <v>0</v>
      </c>
      <c r="AU24" s="777">
        <f t="shared" si="18"/>
        <v>0</v>
      </c>
      <c r="AV24" s="777">
        <f t="shared" si="18"/>
        <v>0</v>
      </c>
      <c r="AW24" s="777">
        <f t="shared" si="18"/>
        <v>0</v>
      </c>
      <c r="AX24" s="777">
        <f t="shared" si="18"/>
        <v>0</v>
      </c>
      <c r="AY24" s="777">
        <f t="shared" si="18"/>
        <v>0</v>
      </c>
      <c r="AZ24" s="777">
        <f t="shared" si="18"/>
        <v>0</v>
      </c>
    </row>
    <row r="25" ht="15.0" customHeight="1">
      <c r="A25" s="541" t="s">
        <v>1133</v>
      </c>
      <c r="B25" s="863">
        <f t="shared" ref="B25:U25" si="19">C25</f>
        <v>3</v>
      </c>
      <c r="C25" s="863">
        <f t="shared" si="19"/>
        <v>3</v>
      </c>
      <c r="D25" s="863">
        <f t="shared" si="19"/>
        <v>3</v>
      </c>
      <c r="E25" s="863">
        <f t="shared" si="19"/>
        <v>3</v>
      </c>
      <c r="F25" s="863">
        <f t="shared" si="19"/>
        <v>3</v>
      </c>
      <c r="G25" s="863">
        <f t="shared" si="19"/>
        <v>3</v>
      </c>
      <c r="H25" s="863">
        <f t="shared" si="19"/>
        <v>3</v>
      </c>
      <c r="I25" s="863">
        <f t="shared" si="19"/>
        <v>3</v>
      </c>
      <c r="J25" s="863">
        <f t="shared" si="19"/>
        <v>3</v>
      </c>
      <c r="K25" s="863">
        <f t="shared" si="19"/>
        <v>3</v>
      </c>
      <c r="L25" s="863">
        <f t="shared" si="19"/>
        <v>3</v>
      </c>
      <c r="M25" s="863">
        <f t="shared" si="19"/>
        <v>3</v>
      </c>
      <c r="N25" s="863">
        <f t="shared" si="19"/>
        <v>3</v>
      </c>
      <c r="O25" s="863">
        <f t="shared" si="19"/>
        <v>3</v>
      </c>
      <c r="P25" s="863">
        <f t="shared" si="19"/>
        <v>3</v>
      </c>
      <c r="Q25" s="863">
        <f t="shared" si="19"/>
        <v>3</v>
      </c>
      <c r="R25" s="863">
        <f t="shared" si="19"/>
        <v>3</v>
      </c>
      <c r="S25" s="863">
        <f t="shared" si="19"/>
        <v>3</v>
      </c>
      <c r="T25" s="863">
        <f t="shared" si="19"/>
        <v>3</v>
      </c>
      <c r="U25" s="863">
        <f t="shared" si="19"/>
        <v>3</v>
      </c>
      <c r="V25" s="864">
        <v>3.0</v>
      </c>
      <c r="W25" s="177">
        <f t="shared" ref="W25:AY25" si="20">V25+($AZ$25-$V$25)/($AZ$1-$V$1)</f>
        <v>2.972051638</v>
      </c>
      <c r="X25" s="177">
        <f t="shared" si="20"/>
        <v>2.944103277</v>
      </c>
      <c r="Y25" s="177">
        <f t="shared" si="20"/>
        <v>2.916154915</v>
      </c>
      <c r="Z25" s="177">
        <f t="shared" si="20"/>
        <v>2.888206554</v>
      </c>
      <c r="AA25" s="177">
        <f t="shared" si="20"/>
        <v>2.860258192</v>
      </c>
      <c r="AB25" s="177">
        <f t="shared" si="20"/>
        <v>2.83230983</v>
      </c>
      <c r="AC25" s="177">
        <f t="shared" si="20"/>
        <v>2.804361469</v>
      </c>
      <c r="AD25" s="177">
        <f t="shared" si="20"/>
        <v>2.776413107</v>
      </c>
      <c r="AE25" s="177">
        <f t="shared" si="20"/>
        <v>2.748464746</v>
      </c>
      <c r="AF25" s="177">
        <f t="shared" si="20"/>
        <v>2.720516384</v>
      </c>
      <c r="AG25" s="177">
        <f t="shared" si="20"/>
        <v>2.692568022</v>
      </c>
      <c r="AH25" s="177">
        <f t="shared" si="20"/>
        <v>2.664619661</v>
      </c>
      <c r="AI25" s="177">
        <f t="shared" si="20"/>
        <v>2.636671299</v>
      </c>
      <c r="AJ25" s="177">
        <f t="shared" si="20"/>
        <v>2.608722938</v>
      </c>
      <c r="AK25" s="177">
        <f t="shared" si="20"/>
        <v>2.580774576</v>
      </c>
      <c r="AL25" s="177">
        <f t="shared" si="20"/>
        <v>2.552826214</v>
      </c>
      <c r="AM25" s="177">
        <f t="shared" si="20"/>
        <v>2.524877853</v>
      </c>
      <c r="AN25" s="177">
        <f t="shared" si="20"/>
        <v>2.496929491</v>
      </c>
      <c r="AO25" s="177">
        <f t="shared" si="20"/>
        <v>2.46898113</v>
      </c>
      <c r="AP25" s="177">
        <f t="shared" si="20"/>
        <v>2.441032768</v>
      </c>
      <c r="AQ25" s="177">
        <f t="shared" si="20"/>
        <v>2.413084406</v>
      </c>
      <c r="AR25" s="177">
        <f t="shared" si="20"/>
        <v>2.385136045</v>
      </c>
      <c r="AS25" s="177">
        <f t="shared" si="20"/>
        <v>2.357187683</v>
      </c>
      <c r="AT25" s="177">
        <f t="shared" si="20"/>
        <v>2.329239322</v>
      </c>
      <c r="AU25" s="177">
        <f t="shared" si="20"/>
        <v>2.30129096</v>
      </c>
      <c r="AV25" s="177">
        <f t="shared" si="20"/>
        <v>2.273342598</v>
      </c>
      <c r="AW25" s="177">
        <f t="shared" si="20"/>
        <v>2.245394237</v>
      </c>
      <c r="AX25" s="177">
        <f t="shared" si="20"/>
        <v>2.217445875</v>
      </c>
      <c r="AY25" s="177">
        <f t="shared" si="20"/>
        <v>2.189497514</v>
      </c>
      <c r="AZ25" s="865">
        <f>Inputs!$H$22</f>
        <v>2.161549152</v>
      </c>
    </row>
    <row r="26" ht="15.0" customHeight="1">
      <c r="A26" s="535" t="s">
        <v>111</v>
      </c>
      <c r="B26" s="535"/>
      <c r="C26" s="535"/>
      <c r="D26" s="535"/>
      <c r="E26" s="535"/>
      <c r="F26" s="535"/>
      <c r="G26" s="535"/>
      <c r="H26" s="535"/>
      <c r="I26" s="535"/>
      <c r="J26" s="535"/>
      <c r="K26" s="535"/>
      <c r="L26" s="535"/>
      <c r="M26" s="535"/>
      <c r="N26" s="535"/>
      <c r="O26" s="535"/>
      <c r="P26" s="535"/>
      <c r="Q26" s="535"/>
      <c r="R26" s="535"/>
      <c r="S26" s="535"/>
      <c r="T26" s="535"/>
      <c r="U26" s="535"/>
      <c r="V26" s="848">
        <v>0.0</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535"/>
      <c r="V27" s="726">
        <v>258000.0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21">V28</f>
        <v>0.21</v>
      </c>
      <c r="X28" s="208">
        <f t="shared" si="21"/>
        <v>0.21</v>
      </c>
      <c r="Y28" s="208">
        <f t="shared" si="21"/>
        <v>0.21</v>
      </c>
      <c r="Z28" s="208">
        <f t="shared" si="21"/>
        <v>0.21</v>
      </c>
      <c r="AA28" s="208">
        <f t="shared" si="21"/>
        <v>0.21</v>
      </c>
      <c r="AB28" s="208">
        <f t="shared" si="21"/>
        <v>0.21</v>
      </c>
      <c r="AC28" s="208">
        <f t="shared" si="21"/>
        <v>0.21</v>
      </c>
      <c r="AD28" s="208">
        <f t="shared" si="21"/>
        <v>0.21</v>
      </c>
      <c r="AE28" s="208">
        <f t="shared" si="21"/>
        <v>0.21</v>
      </c>
      <c r="AF28" s="208">
        <f t="shared" si="21"/>
        <v>0.21</v>
      </c>
      <c r="AG28" s="208">
        <f t="shared" si="21"/>
        <v>0.21</v>
      </c>
      <c r="AH28" s="208">
        <f t="shared" si="21"/>
        <v>0.21</v>
      </c>
      <c r="AI28" s="208">
        <f t="shared" si="21"/>
        <v>0.21</v>
      </c>
      <c r="AJ28" s="208">
        <f t="shared" si="21"/>
        <v>0.21</v>
      </c>
      <c r="AK28" s="208">
        <f t="shared" si="21"/>
        <v>0.21</v>
      </c>
      <c r="AL28" s="208">
        <f t="shared" si="21"/>
        <v>0.21</v>
      </c>
      <c r="AM28" s="208">
        <f t="shared" si="21"/>
        <v>0.21</v>
      </c>
      <c r="AN28" s="208">
        <f t="shared" si="21"/>
        <v>0.21</v>
      </c>
      <c r="AO28" s="208">
        <f t="shared" si="21"/>
        <v>0.21</v>
      </c>
      <c r="AP28" s="208">
        <f t="shared" si="21"/>
        <v>0.21</v>
      </c>
      <c r="AQ28" s="208">
        <f t="shared" si="21"/>
        <v>0.21</v>
      </c>
      <c r="AR28" s="208">
        <f t="shared" si="21"/>
        <v>0.21</v>
      </c>
      <c r="AS28" s="208">
        <f t="shared" si="21"/>
        <v>0.21</v>
      </c>
      <c r="AT28" s="208">
        <f t="shared" si="21"/>
        <v>0.21</v>
      </c>
      <c r="AU28" s="208">
        <f t="shared" si="21"/>
        <v>0.21</v>
      </c>
      <c r="AV28" s="208">
        <f t="shared" si="21"/>
        <v>0.21</v>
      </c>
      <c r="AW28" s="208">
        <f t="shared" si="21"/>
        <v>0.21</v>
      </c>
      <c r="AX28" s="208">
        <f t="shared" si="21"/>
        <v>0.21</v>
      </c>
      <c r="AY28" s="208">
        <f t="shared" si="21"/>
        <v>0.21</v>
      </c>
      <c r="AZ28" s="208">
        <f t="shared" si="21"/>
        <v>0.21</v>
      </c>
    </row>
    <row r="29" ht="15.0" customHeight="1">
      <c r="A29" s="535" t="s">
        <v>114</v>
      </c>
      <c r="B29" s="535"/>
      <c r="C29" s="535"/>
      <c r="D29" s="535"/>
      <c r="E29" s="535"/>
      <c r="F29" s="535"/>
      <c r="G29" s="535"/>
      <c r="H29" s="535"/>
      <c r="I29" s="535"/>
      <c r="J29" s="535"/>
      <c r="K29" s="535"/>
      <c r="L29" s="535"/>
      <c r="M29" s="535"/>
      <c r="N29" s="535"/>
      <c r="O29" s="535"/>
      <c r="P29" s="535"/>
      <c r="Q29" s="535"/>
      <c r="R29" s="535"/>
      <c r="S29" s="535"/>
      <c r="T29" s="535"/>
      <c r="U29" s="535"/>
      <c r="V29" s="715">
        <v>0.0</v>
      </c>
      <c r="W29" s="177">
        <f t="shared" ref="W29:AZ29" si="22">V29*(1+V40)</f>
        <v>0</v>
      </c>
      <c r="X29" s="177">
        <f t="shared" si="22"/>
        <v>0</v>
      </c>
      <c r="Y29" s="177">
        <f t="shared" si="22"/>
        <v>0</v>
      </c>
      <c r="Z29" s="177">
        <f t="shared" si="22"/>
        <v>0</v>
      </c>
      <c r="AA29" s="177">
        <f t="shared" si="22"/>
        <v>0</v>
      </c>
      <c r="AB29" s="177">
        <f t="shared" si="22"/>
        <v>0</v>
      </c>
      <c r="AC29" s="177">
        <f t="shared" si="22"/>
        <v>0</v>
      </c>
      <c r="AD29" s="177">
        <f t="shared" si="22"/>
        <v>0</v>
      </c>
      <c r="AE29" s="177">
        <f t="shared" si="22"/>
        <v>0</v>
      </c>
      <c r="AF29" s="177">
        <f t="shared" si="22"/>
        <v>0</v>
      </c>
      <c r="AG29" s="177">
        <f t="shared" si="22"/>
        <v>0</v>
      </c>
      <c r="AH29" s="177">
        <f t="shared" si="22"/>
        <v>0</v>
      </c>
      <c r="AI29" s="177">
        <f t="shared" si="22"/>
        <v>0</v>
      </c>
      <c r="AJ29" s="177">
        <f t="shared" si="22"/>
        <v>0</v>
      </c>
      <c r="AK29" s="177">
        <f t="shared" si="22"/>
        <v>0</v>
      </c>
      <c r="AL29" s="177">
        <f t="shared" si="22"/>
        <v>0</v>
      </c>
      <c r="AM29" s="177">
        <f t="shared" si="22"/>
        <v>0</v>
      </c>
      <c r="AN29" s="177">
        <f t="shared" si="22"/>
        <v>0</v>
      </c>
      <c r="AO29" s="177">
        <f t="shared" si="22"/>
        <v>0</v>
      </c>
      <c r="AP29" s="177">
        <f t="shared" si="22"/>
        <v>0</v>
      </c>
      <c r="AQ29" s="177">
        <f t="shared" si="22"/>
        <v>0</v>
      </c>
      <c r="AR29" s="177">
        <f t="shared" si="22"/>
        <v>0</v>
      </c>
      <c r="AS29" s="177">
        <f t="shared" si="22"/>
        <v>0</v>
      </c>
      <c r="AT29" s="177">
        <f t="shared" si="22"/>
        <v>0</v>
      </c>
      <c r="AU29" s="177">
        <f t="shared" si="22"/>
        <v>0</v>
      </c>
      <c r="AV29" s="177">
        <f t="shared" si="22"/>
        <v>0</v>
      </c>
      <c r="AW29" s="177">
        <f t="shared" si="22"/>
        <v>0</v>
      </c>
      <c r="AX29" s="177">
        <f t="shared" si="22"/>
        <v>0</v>
      </c>
      <c r="AY29" s="177">
        <f t="shared" si="22"/>
        <v>0</v>
      </c>
      <c r="AZ29" s="177">
        <f t="shared" si="22"/>
        <v>0</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849">
        <v>31.0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849">
        <v>80.0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849">
        <v>5.0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122</v>
      </c>
      <c r="B33" s="535"/>
      <c r="C33" s="535"/>
      <c r="D33" s="535"/>
      <c r="E33" s="535"/>
      <c r="F33" s="535"/>
      <c r="G33" s="535"/>
      <c r="H33" s="535"/>
      <c r="I33" s="535"/>
      <c r="J33" s="535"/>
      <c r="K33" s="535"/>
      <c r="L33" s="535"/>
      <c r="M33" s="535"/>
      <c r="N33" s="535"/>
      <c r="O33" s="535"/>
      <c r="P33" s="535"/>
      <c r="Q33" s="535"/>
      <c r="R33" s="535"/>
      <c r="S33" s="535"/>
      <c r="T33" s="535"/>
      <c r="U33" s="535"/>
      <c r="V33" s="849">
        <v>32.0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41" t="s">
        <v>1134</v>
      </c>
      <c r="B39" s="546">
        <v>0.0</v>
      </c>
      <c r="C39" s="546">
        <v>0.0</v>
      </c>
      <c r="D39" s="546">
        <v>0.0</v>
      </c>
      <c r="E39" s="546">
        <v>0.0</v>
      </c>
      <c r="F39" s="546">
        <v>0.0</v>
      </c>
      <c r="G39" s="546">
        <v>0.0</v>
      </c>
      <c r="H39" s="546">
        <v>0.0</v>
      </c>
      <c r="I39" s="546">
        <f t="shared" ref="I39:U39" si="23">J39</f>
        <v>0</v>
      </c>
      <c r="J39" s="546">
        <f t="shared" si="23"/>
        <v>0</v>
      </c>
      <c r="K39" s="546">
        <f t="shared" si="23"/>
        <v>0</v>
      </c>
      <c r="L39" s="546">
        <f t="shared" si="23"/>
        <v>0</v>
      </c>
      <c r="M39" s="546">
        <f t="shared" si="23"/>
        <v>0</v>
      </c>
      <c r="N39" s="546">
        <f t="shared" si="23"/>
        <v>0</v>
      </c>
      <c r="O39" s="546">
        <f t="shared" si="23"/>
        <v>0</v>
      </c>
      <c r="P39" s="546">
        <f t="shared" si="23"/>
        <v>0</v>
      </c>
      <c r="Q39" s="546">
        <f t="shared" si="23"/>
        <v>0</v>
      </c>
      <c r="R39" s="546">
        <f t="shared" si="23"/>
        <v>0</v>
      </c>
      <c r="S39" s="546">
        <f t="shared" si="23"/>
        <v>0</v>
      </c>
      <c r="T39" s="546">
        <f t="shared" si="23"/>
        <v>0</v>
      </c>
      <c r="U39" s="546">
        <f t="shared" si="23"/>
        <v>0</v>
      </c>
      <c r="V39" s="542">
        <v>0.0</v>
      </c>
      <c r="W39" s="208">
        <f t="shared" ref="W39:AZ39" si="24">V39</f>
        <v>0</v>
      </c>
      <c r="X39" s="208">
        <f t="shared" si="24"/>
        <v>0</v>
      </c>
      <c r="Y39" s="208">
        <f t="shared" si="24"/>
        <v>0</v>
      </c>
      <c r="Z39" s="208">
        <f t="shared" si="24"/>
        <v>0</v>
      </c>
      <c r="AA39" s="208">
        <f t="shared" si="24"/>
        <v>0</v>
      </c>
      <c r="AB39" s="208">
        <f t="shared" si="24"/>
        <v>0</v>
      </c>
      <c r="AC39" s="208">
        <f t="shared" si="24"/>
        <v>0</v>
      </c>
      <c r="AD39" s="208">
        <f t="shared" si="24"/>
        <v>0</v>
      </c>
      <c r="AE39" s="208">
        <f t="shared" si="24"/>
        <v>0</v>
      </c>
      <c r="AF39" s="208">
        <f t="shared" si="24"/>
        <v>0</v>
      </c>
      <c r="AG39" s="208">
        <f t="shared" si="24"/>
        <v>0</v>
      </c>
      <c r="AH39" s="208">
        <f t="shared" si="24"/>
        <v>0</v>
      </c>
      <c r="AI39" s="208">
        <f t="shared" si="24"/>
        <v>0</v>
      </c>
      <c r="AJ39" s="208">
        <f t="shared" si="24"/>
        <v>0</v>
      </c>
      <c r="AK39" s="208">
        <f t="shared" si="24"/>
        <v>0</v>
      </c>
      <c r="AL39" s="208">
        <f t="shared" si="24"/>
        <v>0</v>
      </c>
      <c r="AM39" s="208">
        <f t="shared" si="24"/>
        <v>0</v>
      </c>
      <c r="AN39" s="208">
        <f t="shared" si="24"/>
        <v>0</v>
      </c>
      <c r="AO39" s="208">
        <f t="shared" si="24"/>
        <v>0</v>
      </c>
      <c r="AP39" s="208">
        <f t="shared" si="24"/>
        <v>0</v>
      </c>
      <c r="AQ39" s="208">
        <f t="shared" si="24"/>
        <v>0</v>
      </c>
      <c r="AR39" s="208">
        <f t="shared" si="24"/>
        <v>0</v>
      </c>
      <c r="AS39" s="208">
        <f t="shared" si="24"/>
        <v>0</v>
      </c>
      <c r="AT39" s="208">
        <f t="shared" si="24"/>
        <v>0</v>
      </c>
      <c r="AU39" s="208">
        <f t="shared" si="24"/>
        <v>0</v>
      </c>
      <c r="AV39" s="208">
        <f t="shared" si="24"/>
        <v>0</v>
      </c>
      <c r="AW39" s="208">
        <f t="shared" si="24"/>
        <v>0</v>
      </c>
      <c r="AX39" s="208">
        <f t="shared" si="24"/>
        <v>0</v>
      </c>
      <c r="AY39" s="208">
        <f t="shared" si="24"/>
        <v>0</v>
      </c>
      <c r="AZ39" s="208">
        <f t="shared" si="24"/>
        <v>0</v>
      </c>
    </row>
    <row r="40" ht="15.75" customHeight="1">
      <c r="A40" s="535" t="s">
        <v>137</v>
      </c>
      <c r="B40" s="709">
        <f t="shared" ref="B40:U40" si="25">C40</f>
        <v>0.01989423738</v>
      </c>
      <c r="C40" s="709">
        <f t="shared" si="25"/>
        <v>0.01989423738</v>
      </c>
      <c r="D40" s="709">
        <f t="shared" si="25"/>
        <v>0.01989423738</v>
      </c>
      <c r="E40" s="709">
        <f t="shared" si="25"/>
        <v>0.01989423738</v>
      </c>
      <c r="F40" s="709">
        <f t="shared" si="25"/>
        <v>0.01989423738</v>
      </c>
      <c r="G40" s="709">
        <f t="shared" si="25"/>
        <v>0.01989423738</v>
      </c>
      <c r="H40" s="709">
        <f t="shared" si="25"/>
        <v>0.01989423738</v>
      </c>
      <c r="I40" s="709">
        <f t="shared" si="25"/>
        <v>0.01989423738</v>
      </c>
      <c r="J40" s="709">
        <f t="shared" si="25"/>
        <v>0.01989423738</v>
      </c>
      <c r="K40" s="709">
        <f t="shared" si="25"/>
        <v>0.01989423738</v>
      </c>
      <c r="L40" s="709">
        <f t="shared" si="25"/>
        <v>0.01989423738</v>
      </c>
      <c r="M40" s="709">
        <f t="shared" si="25"/>
        <v>0.01989423738</v>
      </c>
      <c r="N40" s="709">
        <f t="shared" si="25"/>
        <v>0.01989423738</v>
      </c>
      <c r="O40" s="709">
        <f t="shared" si="25"/>
        <v>0.01989423738</v>
      </c>
      <c r="P40" s="709">
        <f t="shared" si="25"/>
        <v>0.01989423738</v>
      </c>
      <c r="Q40" s="709">
        <f t="shared" si="25"/>
        <v>0.01989423738</v>
      </c>
      <c r="R40" s="709">
        <f t="shared" si="25"/>
        <v>0.01989423738</v>
      </c>
      <c r="S40" s="709">
        <f t="shared" si="25"/>
        <v>0.01989423738</v>
      </c>
      <c r="T40" s="709">
        <f t="shared" si="25"/>
        <v>0.01989423738</v>
      </c>
      <c r="U40" s="709">
        <f t="shared" si="25"/>
        <v>0.01989423738</v>
      </c>
      <c r="V40" s="669">
        <f>Inputs!B21</f>
        <v>0.01989423738</v>
      </c>
      <c r="W40" s="710">
        <f t="shared" ref="W40:AZ40" si="26">V40</f>
        <v>0.01989423738</v>
      </c>
      <c r="X40" s="710">
        <f t="shared" si="26"/>
        <v>0.01989423738</v>
      </c>
      <c r="Y40" s="710">
        <f t="shared" si="26"/>
        <v>0.01989423738</v>
      </c>
      <c r="Z40" s="710">
        <f t="shared" si="26"/>
        <v>0.01989423738</v>
      </c>
      <c r="AA40" s="710">
        <f t="shared" si="26"/>
        <v>0.01989423738</v>
      </c>
      <c r="AB40" s="710">
        <f t="shared" si="26"/>
        <v>0.01989423738</v>
      </c>
      <c r="AC40" s="710">
        <f t="shared" si="26"/>
        <v>0.01989423738</v>
      </c>
      <c r="AD40" s="710">
        <f t="shared" si="26"/>
        <v>0.01989423738</v>
      </c>
      <c r="AE40" s="710">
        <f t="shared" si="26"/>
        <v>0.01989423738</v>
      </c>
      <c r="AF40" s="710">
        <f t="shared" si="26"/>
        <v>0.01989423738</v>
      </c>
      <c r="AG40" s="710">
        <f t="shared" si="26"/>
        <v>0.01989423738</v>
      </c>
      <c r="AH40" s="710">
        <f t="shared" si="26"/>
        <v>0.01989423738</v>
      </c>
      <c r="AI40" s="710">
        <f t="shared" si="26"/>
        <v>0.01989423738</v>
      </c>
      <c r="AJ40" s="710">
        <f t="shared" si="26"/>
        <v>0.01989423738</v>
      </c>
      <c r="AK40" s="710">
        <f t="shared" si="26"/>
        <v>0.01989423738</v>
      </c>
      <c r="AL40" s="710">
        <f t="shared" si="26"/>
        <v>0.01989423738</v>
      </c>
      <c r="AM40" s="710">
        <f t="shared" si="26"/>
        <v>0.01989423738</v>
      </c>
      <c r="AN40" s="710">
        <f t="shared" si="26"/>
        <v>0.01989423738</v>
      </c>
      <c r="AO40" s="710">
        <f t="shared" si="26"/>
        <v>0.01989423738</v>
      </c>
      <c r="AP40" s="710">
        <f t="shared" si="26"/>
        <v>0.01989423738</v>
      </c>
      <c r="AQ40" s="710">
        <f t="shared" si="26"/>
        <v>0.01989423738</v>
      </c>
      <c r="AR40" s="710">
        <f t="shared" si="26"/>
        <v>0.01989423738</v>
      </c>
      <c r="AS40" s="710">
        <f t="shared" si="26"/>
        <v>0.01989423738</v>
      </c>
      <c r="AT40" s="710">
        <f t="shared" si="26"/>
        <v>0.01989423738</v>
      </c>
      <c r="AU40" s="710">
        <f t="shared" si="26"/>
        <v>0.01989423738</v>
      </c>
      <c r="AV40" s="710">
        <f t="shared" si="26"/>
        <v>0.01989423738</v>
      </c>
      <c r="AW40" s="710">
        <f t="shared" si="26"/>
        <v>0.01989423738</v>
      </c>
      <c r="AX40" s="710">
        <f t="shared" si="26"/>
        <v>0.01989423738</v>
      </c>
      <c r="AY40" s="710">
        <f t="shared" si="26"/>
        <v>0.01989423738</v>
      </c>
      <c r="AZ40" s="710">
        <f t="shared" si="26"/>
        <v>0.01989423738</v>
      </c>
    </row>
    <row r="41" ht="15.75" customHeight="1">
      <c r="A41" s="535"/>
      <c r="B41" s="38"/>
      <c r="C41" s="38"/>
      <c r="D41" s="38"/>
      <c r="E41" s="38"/>
      <c r="F41" s="38"/>
      <c r="G41" s="38"/>
      <c r="H41" s="38"/>
      <c r="I41" s="38"/>
      <c r="J41" s="38"/>
      <c r="K41" s="38"/>
      <c r="L41" s="38"/>
      <c r="M41" s="38"/>
      <c r="N41" s="38"/>
      <c r="O41" s="38"/>
      <c r="P41" s="38"/>
      <c r="Q41" s="38"/>
      <c r="R41" s="38"/>
      <c r="S41" s="38"/>
      <c r="T41" s="38"/>
      <c r="U41" s="38"/>
      <c r="V41" s="32"/>
      <c r="W41" s="252"/>
      <c r="X41" s="252"/>
      <c r="Y41" s="252"/>
      <c r="Z41" s="252"/>
      <c r="AA41" s="252"/>
      <c r="AB41" s="252"/>
      <c r="AC41" s="252"/>
      <c r="AD41" s="252"/>
      <c r="AE41" s="252"/>
      <c r="AF41" s="252"/>
      <c r="AG41" s="252"/>
      <c r="AH41" s="252"/>
      <c r="AI41" s="252"/>
      <c r="AJ41" s="252"/>
      <c r="AK41" s="252"/>
      <c r="AL41" s="252"/>
      <c r="AM41" s="252"/>
      <c r="AN41" s="252"/>
      <c r="AO41" s="252"/>
      <c r="AP41" s="252"/>
      <c r="AQ41" s="252"/>
      <c r="AR41" s="252"/>
      <c r="AS41" s="252"/>
      <c r="AT41" s="252"/>
      <c r="AU41" s="252"/>
      <c r="AV41" s="252"/>
      <c r="AW41" s="252"/>
      <c r="AX41" s="252"/>
      <c r="AY41" s="252"/>
      <c r="AZ41" s="252"/>
      <c r="BA41" s="252"/>
      <c r="BB41" s="252"/>
    </row>
    <row r="42" ht="15.75" customHeight="1">
      <c r="A42" s="403" t="s">
        <v>1117</v>
      </c>
      <c r="B42" s="38"/>
      <c r="C42" s="38"/>
      <c r="D42" s="38"/>
      <c r="E42" s="38"/>
      <c r="F42" s="38"/>
      <c r="G42" s="38"/>
      <c r="H42" s="38"/>
      <c r="I42" s="38"/>
      <c r="J42" s="38"/>
      <c r="K42" s="38"/>
      <c r="L42" s="38"/>
      <c r="M42" s="38"/>
      <c r="N42" s="38"/>
      <c r="O42" s="38"/>
      <c r="P42" s="38"/>
      <c r="Q42" s="38"/>
      <c r="R42" s="38"/>
      <c r="S42" s="38"/>
      <c r="T42" s="38"/>
      <c r="U42" s="38"/>
      <c r="V42" s="32"/>
      <c r="W42" s="252">
        <f t="shared" ref="W42:BA42" si="27">SUM(W44:W164)</f>
        <v>0</v>
      </c>
      <c r="X42" s="252">
        <f t="shared" si="27"/>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c r="BB42" s="252"/>
    </row>
    <row r="43" ht="15.75" customHeight="1">
      <c r="A43" s="733" t="s">
        <v>1012</v>
      </c>
      <c r="B43" s="733"/>
      <c r="C43" s="733"/>
      <c r="D43" s="733"/>
      <c r="E43" s="733"/>
      <c r="F43" s="733"/>
      <c r="G43" s="733"/>
      <c r="H43" s="733"/>
      <c r="I43" s="733"/>
      <c r="J43" s="733"/>
      <c r="K43" s="733"/>
      <c r="L43" s="733"/>
      <c r="M43" s="733"/>
      <c r="N43" s="733"/>
      <c r="O43" s="733"/>
      <c r="P43" s="733"/>
      <c r="Q43" s="733"/>
      <c r="R43" s="733"/>
      <c r="S43" s="38"/>
      <c r="T43" s="38"/>
      <c r="U43" s="733"/>
      <c r="V43" s="73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159">
        <v>2050.0</v>
      </c>
      <c r="BB43" s="159"/>
    </row>
    <row r="44" ht="15.75" customHeight="1">
      <c r="A44" s="44">
        <v>1930.0</v>
      </c>
      <c r="B44" s="38"/>
      <c r="C44" s="38"/>
      <c r="D44" s="38"/>
      <c r="E44" s="38"/>
      <c r="F44" s="38"/>
      <c r="G44" s="38"/>
      <c r="H44" s="38"/>
      <c r="I44" s="38"/>
      <c r="J44" s="38"/>
      <c r="K44" s="38"/>
      <c r="L44" s="38"/>
      <c r="M44" s="38"/>
      <c r="N44" s="38"/>
      <c r="O44" s="38"/>
      <c r="P44" s="38"/>
      <c r="Q44" s="38"/>
      <c r="R44" s="38"/>
      <c r="S44" s="38"/>
      <c r="T44" s="38"/>
      <c r="U44" s="38"/>
      <c r="V44" s="171">
        <v>0.0</v>
      </c>
      <c r="W44" s="252">
        <f t="shared" ref="W44:W164" si="29">IF(W$44-$A44&gt;$V$30,$V44,0)</f>
        <v>0</v>
      </c>
      <c r="X44" s="252">
        <f t="shared" ref="X44:BA44" si="28">IF(AND(X$44-$A44&gt;$V$30,SUM($W44:W44)&lt;&gt;$V44),$V44,0)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c r="BB44" s="252"/>
    </row>
    <row r="45" ht="15.75" customHeight="1">
      <c r="A45" s="44">
        <v>1931.0</v>
      </c>
      <c r="B45" s="38"/>
      <c r="C45" s="38"/>
      <c r="D45" s="38"/>
      <c r="E45" s="38"/>
      <c r="F45" s="38"/>
      <c r="G45" s="38"/>
      <c r="H45" s="38"/>
      <c r="I45" s="38"/>
      <c r="J45" s="38"/>
      <c r="K45" s="38"/>
      <c r="L45" s="38"/>
      <c r="M45" s="38"/>
      <c r="N45" s="38"/>
      <c r="O45" s="38"/>
      <c r="P45" s="38"/>
      <c r="Q45" s="38"/>
      <c r="R45" s="38"/>
      <c r="S45" s="38"/>
      <c r="T45" s="38"/>
      <c r="U45" s="38"/>
      <c r="V45" s="171">
        <v>0.0</v>
      </c>
      <c r="W45" s="252">
        <f t="shared" si="29"/>
        <v>0</v>
      </c>
      <c r="X45" s="252">
        <f t="shared" ref="X45:BA45" si="30">IF(AND(X$44-$A45&gt;$V$30,SUM($W45:W45)&lt;&gt;$V45),$V45,0)</f>
        <v>0</v>
      </c>
      <c r="Y45" s="252">
        <f t="shared" si="30"/>
        <v>0</v>
      </c>
      <c r="Z45" s="252">
        <f t="shared" si="30"/>
        <v>0</v>
      </c>
      <c r="AA45" s="252">
        <f t="shared" si="30"/>
        <v>0</v>
      </c>
      <c r="AB45" s="252">
        <f t="shared" si="30"/>
        <v>0</v>
      </c>
      <c r="AC45" s="252">
        <f t="shared" si="30"/>
        <v>0</v>
      </c>
      <c r="AD45" s="252">
        <f t="shared" si="30"/>
        <v>0</v>
      </c>
      <c r="AE45" s="252">
        <f t="shared" si="30"/>
        <v>0</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c r="BB45" s="252"/>
    </row>
    <row r="46" ht="15.75" customHeight="1">
      <c r="A46" s="44">
        <v>1932.0</v>
      </c>
      <c r="B46" s="38"/>
      <c r="C46" s="38"/>
      <c r="D46" s="38"/>
      <c r="E46" s="38"/>
      <c r="F46" s="38"/>
      <c r="G46" s="38"/>
      <c r="H46" s="38"/>
      <c r="I46" s="38"/>
      <c r="J46" s="38"/>
      <c r="K46" s="38"/>
      <c r="L46" s="38"/>
      <c r="M46" s="38"/>
      <c r="N46" s="38"/>
      <c r="O46" s="38"/>
      <c r="P46" s="38"/>
      <c r="Q46" s="38"/>
      <c r="R46" s="38"/>
      <c r="S46" s="38"/>
      <c r="T46" s="38"/>
      <c r="U46" s="38"/>
      <c r="V46" s="171">
        <v>0.0</v>
      </c>
      <c r="W46" s="252">
        <f t="shared" si="29"/>
        <v>0</v>
      </c>
      <c r="X46" s="252">
        <f t="shared" ref="X46:BA46" si="31">IF(AND(X$44-$A46&gt;$V$30,SUM($W46:W46)&lt;&gt;$V46),$V46,0)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0</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c r="BB46" s="252"/>
    </row>
    <row r="47" ht="15.75" customHeight="1">
      <c r="A47" s="44">
        <v>1933.0</v>
      </c>
      <c r="B47" s="38"/>
      <c r="C47" s="38"/>
      <c r="D47" s="38"/>
      <c r="E47" s="38"/>
      <c r="F47" s="38"/>
      <c r="G47" s="38"/>
      <c r="H47" s="38"/>
      <c r="I47" s="38"/>
      <c r="J47" s="38"/>
      <c r="K47" s="38"/>
      <c r="L47" s="38"/>
      <c r="M47" s="38"/>
      <c r="N47" s="38"/>
      <c r="O47" s="38"/>
      <c r="P47" s="38"/>
      <c r="Q47" s="38"/>
      <c r="R47" s="38"/>
      <c r="S47" s="38"/>
      <c r="T47" s="38"/>
      <c r="U47" s="38"/>
      <c r="V47" s="171">
        <v>0.0</v>
      </c>
      <c r="W47" s="252">
        <f t="shared" si="29"/>
        <v>0</v>
      </c>
      <c r="X47" s="252">
        <f t="shared" ref="X47:BA47" si="32">IF(AND(X$44-$A47&gt;$V$30,SUM($W47:W47)&lt;&gt;$V47),$V47,0)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0</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c r="BB47" s="252"/>
    </row>
    <row r="48" ht="15.75" customHeight="1">
      <c r="A48" s="44">
        <v>1934.0</v>
      </c>
      <c r="B48" s="38"/>
      <c r="C48" s="38"/>
      <c r="D48" s="38"/>
      <c r="E48" s="38"/>
      <c r="F48" s="38"/>
      <c r="G48" s="38"/>
      <c r="H48" s="38"/>
      <c r="I48" s="38"/>
      <c r="J48" s="38"/>
      <c r="K48" s="38"/>
      <c r="L48" s="38"/>
      <c r="M48" s="38"/>
      <c r="N48" s="38"/>
      <c r="O48" s="38"/>
      <c r="P48" s="38"/>
      <c r="Q48" s="38"/>
      <c r="R48" s="38"/>
      <c r="S48" s="38"/>
      <c r="T48" s="38"/>
      <c r="U48" s="38"/>
      <c r="V48" s="171">
        <v>0.0</v>
      </c>
      <c r="W48" s="252">
        <f t="shared" si="29"/>
        <v>0</v>
      </c>
      <c r="X48" s="252">
        <f t="shared" ref="X48:BA48" si="33">IF(AND(X$44-$A48&gt;$V$30,SUM($W48:W48)&lt;&gt;$V48),$V48,0)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0</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c r="BB48" s="252"/>
    </row>
    <row r="49" ht="15.75" customHeight="1">
      <c r="A49" s="44">
        <v>1935.0</v>
      </c>
      <c r="B49" s="38"/>
      <c r="C49" s="38"/>
      <c r="D49" s="38"/>
      <c r="E49" s="38"/>
      <c r="F49" s="38"/>
      <c r="G49" s="38"/>
      <c r="H49" s="38"/>
      <c r="I49" s="38"/>
      <c r="J49" s="38"/>
      <c r="K49" s="38"/>
      <c r="L49" s="38"/>
      <c r="M49" s="38"/>
      <c r="N49" s="38"/>
      <c r="O49" s="38"/>
      <c r="P49" s="38"/>
      <c r="Q49" s="38"/>
      <c r="R49" s="38"/>
      <c r="S49" s="38"/>
      <c r="T49" s="38"/>
      <c r="U49" s="38"/>
      <c r="V49" s="171">
        <v>0.0</v>
      </c>
      <c r="W49" s="252">
        <f t="shared" si="29"/>
        <v>0</v>
      </c>
      <c r="X49" s="252">
        <f t="shared" ref="X49:BA49" si="34">IF(AND(X$44-$A49&gt;$V$30,SUM($W49:W49)&lt;&gt;$V49),$V49,0)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0</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c r="BB49" s="252"/>
    </row>
    <row r="50" ht="15.75" customHeight="1">
      <c r="A50" s="44">
        <v>1936.0</v>
      </c>
      <c r="B50" s="38"/>
      <c r="C50" s="38"/>
      <c r="D50" s="38"/>
      <c r="E50" s="38"/>
      <c r="F50" s="38"/>
      <c r="G50" s="38"/>
      <c r="H50" s="38"/>
      <c r="I50" s="38"/>
      <c r="J50" s="38"/>
      <c r="K50" s="38"/>
      <c r="L50" s="38"/>
      <c r="M50" s="38"/>
      <c r="N50" s="38"/>
      <c r="O50" s="38"/>
      <c r="P50" s="38"/>
      <c r="Q50" s="38"/>
      <c r="R50" s="38"/>
      <c r="S50" s="38"/>
      <c r="T50" s="38"/>
      <c r="U50" s="38"/>
      <c r="V50" s="171">
        <v>0.0</v>
      </c>
      <c r="W50" s="252">
        <f t="shared" si="29"/>
        <v>0</v>
      </c>
      <c r="X50" s="252">
        <f t="shared" ref="X50:BA50" si="35">IF(AND(X$44-$A50&gt;$V$30,SUM($W50:W50)&lt;&gt;$V50),$V50,0)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0</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c r="BB50" s="252"/>
    </row>
    <row r="51" ht="15.75" customHeight="1">
      <c r="A51" s="44">
        <v>1937.0</v>
      </c>
      <c r="B51" s="38"/>
      <c r="C51" s="38"/>
      <c r="D51" s="38"/>
      <c r="E51" s="38"/>
      <c r="F51" s="38"/>
      <c r="G51" s="38"/>
      <c r="H51" s="38"/>
      <c r="I51" s="38"/>
      <c r="J51" s="38"/>
      <c r="K51" s="38"/>
      <c r="L51" s="38"/>
      <c r="M51" s="38"/>
      <c r="N51" s="38"/>
      <c r="O51" s="38"/>
      <c r="P51" s="38"/>
      <c r="Q51" s="38"/>
      <c r="R51" s="38"/>
      <c r="S51" s="38"/>
      <c r="T51" s="38"/>
      <c r="U51" s="38"/>
      <c r="V51" s="171">
        <v>0.0</v>
      </c>
      <c r="W51" s="252">
        <f t="shared" si="29"/>
        <v>0</v>
      </c>
      <c r="X51" s="252">
        <f t="shared" ref="X51:BA51" si="36">IF(AND(X$44-$A51&gt;$V$30,SUM($W51:W51)&lt;&gt;$V51),$V51,0)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0</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c r="BB51" s="252"/>
    </row>
    <row r="52" ht="15.75" customHeight="1">
      <c r="A52" s="44">
        <v>1938.0</v>
      </c>
      <c r="B52" s="38"/>
      <c r="C52" s="38"/>
      <c r="D52" s="38"/>
      <c r="E52" s="38"/>
      <c r="F52" s="38"/>
      <c r="G52" s="38"/>
      <c r="H52" s="38"/>
      <c r="I52" s="38"/>
      <c r="J52" s="38"/>
      <c r="K52" s="38"/>
      <c r="L52" s="38"/>
      <c r="M52" s="38"/>
      <c r="N52" s="38"/>
      <c r="O52" s="38"/>
      <c r="P52" s="38"/>
      <c r="Q52" s="38"/>
      <c r="R52" s="38"/>
      <c r="S52" s="38"/>
      <c r="T52" s="38"/>
      <c r="U52" s="38"/>
      <c r="V52" s="171">
        <v>0.0</v>
      </c>
      <c r="W52" s="252">
        <f t="shared" si="29"/>
        <v>0</v>
      </c>
      <c r="X52" s="252">
        <f t="shared" ref="X52:BA52" si="37">IF(AND(X$44-$A52&gt;$V$30,SUM($W52:W52)&lt;&gt;$V52),$V52,0)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0</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c r="BB52" s="252"/>
    </row>
    <row r="53" ht="15.75" customHeight="1">
      <c r="A53" s="44">
        <v>1939.0</v>
      </c>
      <c r="B53" s="38"/>
      <c r="C53" s="38"/>
      <c r="D53" s="38"/>
      <c r="E53" s="38"/>
      <c r="F53" s="38"/>
      <c r="G53" s="38"/>
      <c r="H53" s="38"/>
      <c r="I53" s="38"/>
      <c r="J53" s="38"/>
      <c r="K53" s="38"/>
      <c r="L53" s="38"/>
      <c r="M53" s="38"/>
      <c r="N53" s="38"/>
      <c r="O53" s="38"/>
      <c r="P53" s="38"/>
      <c r="Q53" s="38"/>
      <c r="R53" s="38"/>
      <c r="S53" s="38"/>
      <c r="T53" s="38"/>
      <c r="U53" s="38"/>
      <c r="V53" s="171">
        <v>0.0</v>
      </c>
      <c r="W53" s="252">
        <f t="shared" si="29"/>
        <v>0</v>
      </c>
      <c r="X53" s="252">
        <f t="shared" ref="X53:BA53" si="38">IF(AND(X$44-$A53&gt;$V$30,SUM($W53:W53)&lt;&gt;$V53),$V53,0)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0</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c r="BB53" s="252"/>
    </row>
    <row r="54" ht="15.75" customHeight="1">
      <c r="A54" s="44">
        <v>1940.0</v>
      </c>
      <c r="B54" s="38"/>
      <c r="C54" s="38"/>
      <c r="D54" s="38"/>
      <c r="E54" s="38"/>
      <c r="F54" s="38"/>
      <c r="G54" s="38"/>
      <c r="H54" s="38"/>
      <c r="I54" s="38"/>
      <c r="J54" s="38"/>
      <c r="K54" s="38"/>
      <c r="L54" s="38"/>
      <c r="M54" s="38"/>
      <c r="N54" s="38"/>
      <c r="O54" s="38"/>
      <c r="P54" s="38"/>
      <c r="Q54" s="38"/>
      <c r="R54" s="38"/>
      <c r="S54" s="38"/>
      <c r="T54" s="38"/>
      <c r="U54" s="38"/>
      <c r="V54" s="171">
        <v>0.0</v>
      </c>
      <c r="W54" s="252">
        <f t="shared" si="29"/>
        <v>0</v>
      </c>
      <c r="X54" s="252">
        <f t="shared" ref="X54:BA54" si="39">IF(AND(X$44-$A54&gt;$V$30,SUM($W54:W54)&lt;&gt;$V54),$V54,0)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0</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c r="BB54" s="252"/>
    </row>
    <row r="55" ht="15.75" customHeight="1">
      <c r="A55" s="44">
        <v>1941.0</v>
      </c>
      <c r="B55" s="38"/>
      <c r="C55" s="38"/>
      <c r="D55" s="38"/>
      <c r="E55" s="38"/>
      <c r="F55" s="38"/>
      <c r="G55" s="38"/>
      <c r="H55" s="38"/>
      <c r="I55" s="38"/>
      <c r="J55" s="38"/>
      <c r="K55" s="38"/>
      <c r="L55" s="38"/>
      <c r="M55" s="38"/>
      <c r="N55" s="38"/>
      <c r="O55" s="38"/>
      <c r="P55" s="38"/>
      <c r="Q55" s="38"/>
      <c r="R55" s="38"/>
      <c r="S55" s="38"/>
      <c r="T55" s="38"/>
      <c r="U55" s="38"/>
      <c r="V55" s="171">
        <v>0.0</v>
      </c>
      <c r="W55" s="252">
        <f t="shared" si="29"/>
        <v>0</v>
      </c>
      <c r="X55" s="252">
        <f t="shared" ref="X55:BA55" si="40">IF(AND(X$44-$A55&gt;$V$30,SUM($W55:W55)&lt;&gt;$V55),$V55,0)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c r="BB55" s="252"/>
    </row>
    <row r="56" ht="15.75" customHeight="1">
      <c r="A56" s="44">
        <v>1942.0</v>
      </c>
      <c r="B56" s="38"/>
      <c r="C56" s="38"/>
      <c r="D56" s="38"/>
      <c r="E56" s="38"/>
      <c r="F56" s="38"/>
      <c r="G56" s="38"/>
      <c r="H56" s="38"/>
      <c r="I56" s="38"/>
      <c r="J56" s="38"/>
      <c r="K56" s="38"/>
      <c r="L56" s="38"/>
      <c r="M56" s="38"/>
      <c r="N56" s="38"/>
      <c r="O56" s="38"/>
      <c r="P56" s="38"/>
      <c r="Q56" s="38"/>
      <c r="R56" s="38"/>
      <c r="S56" s="38"/>
      <c r="T56" s="38"/>
      <c r="U56" s="38"/>
      <c r="V56" s="171">
        <v>0.0</v>
      </c>
      <c r="W56" s="252">
        <f t="shared" si="29"/>
        <v>0</v>
      </c>
      <c r="X56" s="252">
        <f t="shared" ref="X56:BA56" si="41">IF(AND(X$44-$A56&gt;$V$30,SUM($W56:W56)&lt;&gt;$V56),$V56,0)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0</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c r="BB56" s="252"/>
    </row>
    <row r="57" ht="15.75" customHeight="1">
      <c r="A57" s="44">
        <v>1943.0</v>
      </c>
      <c r="B57" s="38"/>
      <c r="C57" s="38"/>
      <c r="D57" s="38"/>
      <c r="E57" s="38"/>
      <c r="F57" s="38"/>
      <c r="G57" s="38"/>
      <c r="H57" s="38"/>
      <c r="I57" s="38"/>
      <c r="J57" s="38"/>
      <c r="K57" s="38"/>
      <c r="L57" s="38"/>
      <c r="M57" s="38"/>
      <c r="N57" s="38"/>
      <c r="O57" s="38"/>
      <c r="P57" s="38"/>
      <c r="Q57" s="38"/>
      <c r="R57" s="38"/>
      <c r="S57" s="38"/>
      <c r="T57" s="38"/>
      <c r="U57" s="38"/>
      <c r="V57" s="171">
        <v>0.0</v>
      </c>
      <c r="W57" s="252">
        <f t="shared" si="29"/>
        <v>0</v>
      </c>
      <c r="X57" s="252">
        <f t="shared" ref="X57:BA57" si="42">IF(AND(X$44-$A57&gt;$V$30,SUM($W57:W57)&lt;&gt;$V57),$V57,0)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0</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c r="BB57" s="252"/>
    </row>
    <row r="58" ht="15.75" customHeight="1">
      <c r="A58" s="44">
        <v>1944.0</v>
      </c>
      <c r="B58" s="38"/>
      <c r="C58" s="38"/>
      <c r="D58" s="38"/>
      <c r="E58" s="38"/>
      <c r="F58" s="38"/>
      <c r="G58" s="38"/>
      <c r="H58" s="38"/>
      <c r="I58" s="38"/>
      <c r="J58" s="38"/>
      <c r="K58" s="38"/>
      <c r="L58" s="38"/>
      <c r="M58" s="38"/>
      <c r="N58" s="38"/>
      <c r="O58" s="38"/>
      <c r="P58" s="38"/>
      <c r="Q58" s="38"/>
      <c r="R58" s="38"/>
      <c r="S58" s="38"/>
      <c r="T58" s="38"/>
      <c r="U58" s="38"/>
      <c r="V58" s="171">
        <v>0.0</v>
      </c>
      <c r="W58" s="252">
        <f t="shared" si="29"/>
        <v>0</v>
      </c>
      <c r="X58" s="252">
        <f t="shared" ref="X58:BA58" si="43">IF(AND(X$44-$A58&gt;$V$30,SUM($W58:W58)&lt;&gt;$V58),$V58,0)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0</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c r="BB58" s="252"/>
    </row>
    <row r="59" ht="15.75" customHeight="1">
      <c r="A59" s="44">
        <v>1945.0</v>
      </c>
      <c r="B59" s="38"/>
      <c r="C59" s="38"/>
      <c r="D59" s="38"/>
      <c r="E59" s="38"/>
      <c r="F59" s="38"/>
      <c r="G59" s="38"/>
      <c r="H59" s="38"/>
      <c r="I59" s="38"/>
      <c r="J59" s="38"/>
      <c r="K59" s="38"/>
      <c r="L59" s="38"/>
      <c r="M59" s="38"/>
      <c r="N59" s="38"/>
      <c r="O59" s="38"/>
      <c r="P59" s="38"/>
      <c r="Q59" s="38"/>
      <c r="R59" s="38"/>
      <c r="S59" s="38"/>
      <c r="T59" s="38"/>
      <c r="U59" s="38"/>
      <c r="V59" s="171">
        <v>0.0</v>
      </c>
      <c r="W59" s="252">
        <f t="shared" si="29"/>
        <v>0</v>
      </c>
      <c r="X59" s="252">
        <f t="shared" ref="X59:BA59" si="44">IF(AND(X$44-$A59&gt;$V$30,SUM($W59:W59)&lt;&gt;$V59),$V59,0)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0</v>
      </c>
      <c r="AT59" s="252">
        <f t="shared" si="44"/>
        <v>0</v>
      </c>
      <c r="AU59" s="252">
        <f t="shared" si="44"/>
        <v>0</v>
      </c>
      <c r="AV59" s="252">
        <f t="shared" si="44"/>
        <v>0</v>
      </c>
      <c r="AW59" s="252">
        <f t="shared" si="44"/>
        <v>0</v>
      </c>
      <c r="AX59" s="252">
        <f t="shared" si="44"/>
        <v>0</v>
      </c>
      <c r="AY59" s="252">
        <f t="shared" si="44"/>
        <v>0</v>
      </c>
      <c r="AZ59" s="252">
        <f t="shared" si="44"/>
        <v>0</v>
      </c>
      <c r="BA59" s="252">
        <f t="shared" si="44"/>
        <v>0</v>
      </c>
      <c r="BB59" s="252"/>
    </row>
    <row r="60" ht="15.75" customHeight="1">
      <c r="A60" s="44">
        <v>1946.0</v>
      </c>
      <c r="B60" s="38"/>
      <c r="C60" s="38"/>
      <c r="D60" s="38"/>
      <c r="E60" s="38"/>
      <c r="F60" s="38"/>
      <c r="G60" s="38"/>
      <c r="H60" s="38"/>
      <c r="I60" s="38"/>
      <c r="J60" s="38"/>
      <c r="K60" s="38"/>
      <c r="L60" s="38"/>
      <c r="M60" s="38"/>
      <c r="N60" s="38"/>
      <c r="O60" s="38"/>
      <c r="P60" s="38"/>
      <c r="Q60" s="38"/>
      <c r="R60" s="38"/>
      <c r="S60" s="38"/>
      <c r="T60" s="38"/>
      <c r="U60" s="38"/>
      <c r="V60" s="171">
        <v>0.0</v>
      </c>
      <c r="W60" s="252">
        <f t="shared" si="29"/>
        <v>0</v>
      </c>
      <c r="X60" s="252">
        <f t="shared" ref="X60:BA60" si="45">IF(AND(X$44-$A60&gt;$V$30,SUM($W60:W60)&lt;&gt;$V60),$V60,0)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0</v>
      </c>
      <c r="AU60" s="252">
        <f t="shared" si="45"/>
        <v>0</v>
      </c>
      <c r="AV60" s="252">
        <f t="shared" si="45"/>
        <v>0</v>
      </c>
      <c r="AW60" s="252">
        <f t="shared" si="45"/>
        <v>0</v>
      </c>
      <c r="AX60" s="252">
        <f t="shared" si="45"/>
        <v>0</v>
      </c>
      <c r="AY60" s="252">
        <f t="shared" si="45"/>
        <v>0</v>
      </c>
      <c r="AZ60" s="252">
        <f t="shared" si="45"/>
        <v>0</v>
      </c>
      <c r="BA60" s="252">
        <f t="shared" si="45"/>
        <v>0</v>
      </c>
      <c r="BB60" s="252"/>
    </row>
    <row r="61" ht="15.75" customHeight="1">
      <c r="A61" s="44">
        <v>1947.0</v>
      </c>
      <c r="B61" s="38"/>
      <c r="C61" s="38"/>
      <c r="D61" s="38"/>
      <c r="E61" s="38"/>
      <c r="F61" s="38"/>
      <c r="G61" s="38"/>
      <c r="H61" s="38"/>
      <c r="I61" s="38"/>
      <c r="J61" s="38"/>
      <c r="K61" s="38"/>
      <c r="L61" s="38"/>
      <c r="M61" s="38"/>
      <c r="N61" s="38"/>
      <c r="O61" s="38"/>
      <c r="P61" s="38"/>
      <c r="Q61" s="38"/>
      <c r="R61" s="38"/>
      <c r="S61" s="38"/>
      <c r="T61" s="38"/>
      <c r="U61" s="38"/>
      <c r="V61" s="171">
        <v>10.0</v>
      </c>
      <c r="W61" s="252">
        <f t="shared" si="29"/>
        <v>0</v>
      </c>
      <c r="X61" s="252">
        <f t="shared" ref="X61:BA61" si="46">IF(AND(X$44-$A61&gt;$V$30,SUM($W61:W61)&lt;&gt;$V61),$V61,0)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0</v>
      </c>
      <c r="AV61" s="252">
        <f t="shared" si="46"/>
        <v>0</v>
      </c>
      <c r="AW61" s="252">
        <f t="shared" si="46"/>
        <v>0</v>
      </c>
      <c r="AX61" s="252">
        <f t="shared" si="46"/>
        <v>0</v>
      </c>
      <c r="AY61" s="252">
        <f t="shared" si="46"/>
        <v>0</v>
      </c>
      <c r="AZ61" s="252">
        <f t="shared" si="46"/>
        <v>0</v>
      </c>
      <c r="BA61" s="252">
        <f t="shared" si="46"/>
        <v>0</v>
      </c>
      <c r="BB61" s="252"/>
    </row>
    <row r="62" ht="15.75" customHeight="1">
      <c r="A62" s="44">
        <v>1948.0</v>
      </c>
      <c r="B62" s="38"/>
      <c r="C62" s="38"/>
      <c r="D62" s="38"/>
      <c r="E62" s="38"/>
      <c r="F62" s="38"/>
      <c r="G62" s="38"/>
      <c r="H62" s="38"/>
      <c r="I62" s="38"/>
      <c r="J62" s="38"/>
      <c r="K62" s="38"/>
      <c r="L62" s="38"/>
      <c r="M62" s="38"/>
      <c r="N62" s="38"/>
      <c r="O62" s="38"/>
      <c r="P62" s="38"/>
      <c r="Q62" s="38"/>
      <c r="R62" s="38"/>
      <c r="S62" s="38"/>
      <c r="T62" s="38"/>
      <c r="U62" s="38"/>
      <c r="V62" s="171">
        <v>17.5</v>
      </c>
      <c r="W62" s="252">
        <f t="shared" si="29"/>
        <v>0</v>
      </c>
      <c r="X62" s="252">
        <f t="shared" ref="X62:BA62" si="47">IF(AND(X$44-$A62&gt;$V$30,SUM($W62:W62)&lt;&gt;$V62),$V62,0)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0</v>
      </c>
      <c r="AW62" s="252">
        <f t="shared" si="47"/>
        <v>0</v>
      </c>
      <c r="AX62" s="252">
        <f t="shared" si="47"/>
        <v>0</v>
      </c>
      <c r="AY62" s="252">
        <f t="shared" si="47"/>
        <v>0</v>
      </c>
      <c r="AZ62" s="252">
        <f t="shared" si="47"/>
        <v>0</v>
      </c>
      <c r="BA62" s="252">
        <f t="shared" si="47"/>
        <v>0</v>
      </c>
      <c r="BB62" s="252"/>
    </row>
    <row r="63" ht="15.75" customHeight="1">
      <c r="A63" s="44">
        <v>1949.0</v>
      </c>
      <c r="B63" s="38"/>
      <c r="C63" s="38"/>
      <c r="D63" s="38"/>
      <c r="E63" s="38"/>
      <c r="F63" s="38"/>
      <c r="G63" s="38"/>
      <c r="H63" s="38"/>
      <c r="I63" s="38"/>
      <c r="J63" s="38"/>
      <c r="K63" s="38"/>
      <c r="L63" s="38"/>
      <c r="M63" s="38"/>
      <c r="N63" s="38"/>
      <c r="O63" s="38"/>
      <c r="P63" s="38"/>
      <c r="Q63" s="38"/>
      <c r="R63" s="38"/>
      <c r="S63" s="38"/>
      <c r="T63" s="38"/>
      <c r="U63" s="38"/>
      <c r="V63" s="171">
        <v>0.0</v>
      </c>
      <c r="W63" s="252">
        <f t="shared" si="29"/>
        <v>0</v>
      </c>
      <c r="X63" s="252">
        <f t="shared" ref="X63:BA63" si="48">IF(AND(X$44-$A63&gt;$V$30,SUM($W63:W63)&lt;&gt;$V63),$V63,0)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0</v>
      </c>
      <c r="AX63" s="252">
        <f t="shared" si="48"/>
        <v>0</v>
      </c>
      <c r="AY63" s="252">
        <f t="shared" si="48"/>
        <v>0</v>
      </c>
      <c r="AZ63" s="252">
        <f t="shared" si="48"/>
        <v>0</v>
      </c>
      <c r="BA63" s="252">
        <f t="shared" si="48"/>
        <v>0</v>
      </c>
      <c r="BB63" s="252"/>
    </row>
    <row r="64" ht="15.75" customHeight="1">
      <c r="A64" s="44">
        <v>1950.0</v>
      </c>
      <c r="B64" s="38"/>
      <c r="C64" s="38"/>
      <c r="D64" s="38"/>
      <c r="E64" s="38"/>
      <c r="F64" s="38"/>
      <c r="G64" s="38"/>
      <c r="H64" s="38"/>
      <c r="I64" s="38"/>
      <c r="J64" s="38"/>
      <c r="K64" s="38"/>
      <c r="L64" s="38"/>
      <c r="M64" s="38"/>
      <c r="N64" s="38"/>
      <c r="O64" s="38"/>
      <c r="P64" s="38"/>
      <c r="Q64" s="38"/>
      <c r="R64" s="38"/>
      <c r="S64" s="38"/>
      <c r="T64" s="38"/>
      <c r="U64" s="38"/>
      <c r="V64" s="171">
        <v>0.0</v>
      </c>
      <c r="W64" s="252">
        <f t="shared" si="29"/>
        <v>0</v>
      </c>
      <c r="X64" s="252">
        <f t="shared" ref="X64:BA64" si="49">IF(AND(X$44-$A64&gt;$V$30,SUM($W64:W64)&lt;&gt;$V64),$V64,0)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0</v>
      </c>
      <c r="AY64" s="252">
        <f t="shared" si="49"/>
        <v>0</v>
      </c>
      <c r="AZ64" s="252">
        <f t="shared" si="49"/>
        <v>0</v>
      </c>
      <c r="BA64" s="252">
        <f t="shared" si="49"/>
        <v>0</v>
      </c>
      <c r="BB64" s="252"/>
    </row>
    <row r="65" ht="15.75" customHeight="1">
      <c r="A65" s="44">
        <v>1951.0</v>
      </c>
      <c r="B65" s="38"/>
      <c r="C65" s="38"/>
      <c r="D65" s="38"/>
      <c r="E65" s="38"/>
      <c r="F65" s="38"/>
      <c r="G65" s="38"/>
      <c r="H65" s="38"/>
      <c r="I65" s="38"/>
      <c r="J65" s="38"/>
      <c r="K65" s="38"/>
      <c r="L65" s="38"/>
      <c r="M65" s="38"/>
      <c r="N65" s="38"/>
      <c r="O65" s="38"/>
      <c r="P65" s="38"/>
      <c r="Q65" s="38"/>
      <c r="R65" s="38"/>
      <c r="S65" s="38"/>
      <c r="T65" s="38"/>
      <c r="U65" s="38"/>
      <c r="V65" s="171">
        <v>7.5</v>
      </c>
      <c r="W65" s="252">
        <f t="shared" si="29"/>
        <v>0</v>
      </c>
      <c r="X65" s="252">
        <f t="shared" ref="X65:BA65" si="50">IF(AND(X$44-$A65&gt;$V$30,SUM($W65:W65)&lt;&gt;$V65),$V65,0)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0</v>
      </c>
      <c r="AZ65" s="252">
        <f t="shared" si="50"/>
        <v>0</v>
      </c>
      <c r="BA65" s="252">
        <f t="shared" si="50"/>
        <v>0</v>
      </c>
      <c r="BB65" s="252"/>
    </row>
    <row r="66" ht="15.75" customHeight="1">
      <c r="A66" s="44">
        <v>1952.0</v>
      </c>
      <c r="B66" s="38"/>
      <c r="C66" s="38"/>
      <c r="D66" s="38"/>
      <c r="E66" s="38"/>
      <c r="F66" s="38"/>
      <c r="G66" s="38"/>
      <c r="H66" s="38"/>
      <c r="I66" s="38"/>
      <c r="J66" s="38"/>
      <c r="K66" s="38"/>
      <c r="L66" s="38"/>
      <c r="M66" s="38"/>
      <c r="N66" s="38"/>
      <c r="O66" s="38"/>
      <c r="P66" s="38"/>
      <c r="Q66" s="38"/>
      <c r="R66" s="38"/>
      <c r="S66" s="38"/>
      <c r="T66" s="38"/>
      <c r="U66" s="38"/>
      <c r="V66" s="171">
        <v>7.5</v>
      </c>
      <c r="W66" s="252">
        <f t="shared" si="29"/>
        <v>0</v>
      </c>
      <c r="X66" s="252">
        <f t="shared" ref="X66:BA66" si="51">IF(AND(X$44-$A66&gt;$V$30,SUM($W66:W66)&lt;&gt;$V66),$V66,0)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0</v>
      </c>
      <c r="BA66" s="252">
        <f t="shared" si="51"/>
        <v>0</v>
      </c>
      <c r="BB66" s="252"/>
    </row>
    <row r="67" ht="15.75" customHeight="1">
      <c r="A67" s="44">
        <v>1953.0</v>
      </c>
      <c r="B67" s="38"/>
      <c r="C67" s="38"/>
      <c r="D67" s="38"/>
      <c r="E67" s="38"/>
      <c r="F67" s="38"/>
      <c r="G67" s="38"/>
      <c r="H67" s="38"/>
      <c r="I67" s="38"/>
      <c r="J67" s="38"/>
      <c r="K67" s="38"/>
      <c r="L67" s="38"/>
      <c r="M67" s="38"/>
      <c r="N67" s="38"/>
      <c r="O67" s="38"/>
      <c r="P67" s="38"/>
      <c r="Q67" s="38"/>
      <c r="R67" s="38"/>
      <c r="S67" s="38"/>
      <c r="T67" s="38"/>
      <c r="U67" s="38"/>
      <c r="V67" s="171">
        <v>0.0</v>
      </c>
      <c r="W67" s="252">
        <f t="shared" si="29"/>
        <v>0</v>
      </c>
      <c r="X67" s="252">
        <f t="shared" ref="X67:BA67" si="52">IF(AND(X$44-$A67&gt;$V$30,SUM($W67:W67)&lt;&gt;$V67),$V67,0)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0</v>
      </c>
      <c r="BB67" s="252"/>
    </row>
    <row r="68" ht="15.75" customHeight="1">
      <c r="A68" s="44">
        <v>1954.0</v>
      </c>
      <c r="B68" s="38"/>
      <c r="C68" s="38"/>
      <c r="D68" s="38"/>
      <c r="E68" s="38"/>
      <c r="F68" s="38"/>
      <c r="G68" s="38"/>
      <c r="H68" s="38"/>
      <c r="I68" s="38"/>
      <c r="J68" s="38"/>
      <c r="K68" s="38"/>
      <c r="L68" s="38"/>
      <c r="M68" s="38"/>
      <c r="N68" s="38"/>
      <c r="O68" s="38"/>
      <c r="P68" s="38"/>
      <c r="Q68" s="38"/>
      <c r="R68" s="38"/>
      <c r="S68" s="38"/>
      <c r="T68" s="38"/>
      <c r="U68" s="38"/>
      <c r="V68" s="171">
        <v>80.0</v>
      </c>
      <c r="W68" s="252">
        <f t="shared" si="29"/>
        <v>0</v>
      </c>
      <c r="X68" s="252">
        <f t="shared" ref="X68:BA68" si="53">IF(AND(X$44-$A68&gt;$V$30,SUM($W68:W68)&lt;&gt;$V68),$V68,0)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c r="BB68" s="252"/>
    </row>
    <row r="69" ht="15.75" customHeight="1">
      <c r="A69" s="44">
        <v>1955.0</v>
      </c>
      <c r="B69" s="38"/>
      <c r="C69" s="38"/>
      <c r="D69" s="38"/>
      <c r="E69" s="38"/>
      <c r="F69" s="38"/>
      <c r="G69" s="38"/>
      <c r="H69" s="38"/>
      <c r="I69" s="38"/>
      <c r="J69" s="38"/>
      <c r="K69" s="38"/>
      <c r="L69" s="38"/>
      <c r="M69" s="38"/>
      <c r="N69" s="38"/>
      <c r="O69" s="38"/>
      <c r="P69" s="38"/>
      <c r="Q69" s="38"/>
      <c r="R69" s="38"/>
      <c r="S69" s="38"/>
      <c r="T69" s="38"/>
      <c r="U69" s="38"/>
      <c r="V69" s="171">
        <v>0.0</v>
      </c>
      <c r="W69" s="252">
        <f t="shared" si="29"/>
        <v>0</v>
      </c>
      <c r="X69" s="252">
        <f t="shared" ref="X69:BA69" si="54">IF(AND(X$44-$A69&gt;$V$30,SUM($W69:W69)&lt;&gt;$V69),$V69,0)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c r="BB69" s="252"/>
    </row>
    <row r="70" ht="15.75" customHeight="1">
      <c r="A70" s="44">
        <v>1956.0</v>
      </c>
      <c r="B70" s="32"/>
      <c r="C70" s="32"/>
      <c r="D70" s="32"/>
      <c r="E70" s="32"/>
      <c r="F70" s="32"/>
      <c r="G70" s="32"/>
      <c r="H70" s="32"/>
      <c r="I70" s="32"/>
      <c r="J70" s="32"/>
      <c r="K70" s="32"/>
      <c r="L70" s="32"/>
      <c r="M70" s="32"/>
      <c r="N70" s="32"/>
      <c r="O70" s="32"/>
      <c r="P70" s="32"/>
      <c r="Q70" s="32"/>
      <c r="R70" s="32"/>
      <c r="S70" s="32"/>
      <c r="T70" s="32"/>
      <c r="U70" s="32"/>
      <c r="V70" s="171">
        <v>0.0</v>
      </c>
      <c r="W70" s="252">
        <f t="shared" si="29"/>
        <v>0</v>
      </c>
      <c r="X70" s="252">
        <f t="shared" ref="X70:BA70" si="55">IF(AND(X$44-$A70&gt;$V$30,SUM($W70:W70)&lt;&gt;$V70),$V70,0)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c r="BB70" s="252"/>
    </row>
    <row r="71" ht="15.75" customHeight="1">
      <c r="A71" s="44">
        <v>1957.0</v>
      </c>
      <c r="B71" s="32"/>
      <c r="C71" s="32"/>
      <c r="D71" s="32"/>
      <c r="E71" s="32"/>
      <c r="F71" s="32"/>
      <c r="G71" s="32"/>
      <c r="H71" s="32"/>
      <c r="I71" s="32"/>
      <c r="J71" s="32"/>
      <c r="K71" s="32"/>
      <c r="L71" s="32"/>
      <c r="M71" s="32"/>
      <c r="N71" s="32"/>
      <c r="O71" s="32"/>
      <c r="P71" s="32"/>
      <c r="Q71" s="32"/>
      <c r="R71" s="32"/>
      <c r="S71" s="32"/>
      <c r="T71" s="32"/>
      <c r="U71" s="32"/>
      <c r="V71" s="171">
        <v>32.5</v>
      </c>
      <c r="W71" s="252">
        <f t="shared" si="29"/>
        <v>0</v>
      </c>
      <c r="X71" s="252">
        <f t="shared" ref="X71:BA71" si="56">IF(AND(X$44-$A71&gt;$V$30,SUM($W71:W71)&lt;&gt;$V71),$V71,0)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c r="BB71" s="252"/>
    </row>
    <row r="72" ht="15.75" customHeight="1">
      <c r="A72" s="44">
        <v>1958.0</v>
      </c>
      <c r="B72" s="32"/>
      <c r="C72" s="32"/>
      <c r="D72" s="32"/>
      <c r="E72" s="32"/>
      <c r="F72" s="32"/>
      <c r="G72" s="32"/>
      <c r="H72" s="32"/>
      <c r="I72" s="32"/>
      <c r="J72" s="32"/>
      <c r="K72" s="32"/>
      <c r="L72" s="32"/>
      <c r="M72" s="32"/>
      <c r="N72" s="32"/>
      <c r="O72" s="32"/>
      <c r="P72" s="32"/>
      <c r="Q72" s="32"/>
      <c r="R72" s="32"/>
      <c r="S72" s="32"/>
      <c r="T72" s="32"/>
      <c r="U72" s="32"/>
      <c r="V72" s="171">
        <v>0.0</v>
      </c>
      <c r="W72" s="252">
        <f t="shared" si="29"/>
        <v>0</v>
      </c>
      <c r="X72" s="252">
        <f t="shared" ref="X72:BA72" si="57">IF(AND(X$44-$A72&gt;$V$30,SUM($W72:W72)&lt;&gt;$V72),$V72,0)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c r="BB72" s="252"/>
    </row>
    <row r="73" ht="15.75" customHeight="1">
      <c r="A73" s="44">
        <v>1959.0</v>
      </c>
      <c r="B73" s="32"/>
      <c r="C73" s="32"/>
      <c r="D73" s="32"/>
      <c r="E73" s="32"/>
      <c r="F73" s="32"/>
      <c r="G73" s="32"/>
      <c r="H73" s="32"/>
      <c r="I73" s="32"/>
      <c r="J73" s="32"/>
      <c r="K73" s="32"/>
      <c r="L73" s="32"/>
      <c r="M73" s="32"/>
      <c r="N73" s="32"/>
      <c r="O73" s="32"/>
      <c r="P73" s="32"/>
      <c r="Q73" s="32"/>
      <c r="R73" s="32"/>
      <c r="S73" s="32"/>
      <c r="T73" s="32"/>
      <c r="U73" s="32"/>
      <c r="V73" s="171">
        <v>15.6</v>
      </c>
      <c r="W73" s="252">
        <f t="shared" si="29"/>
        <v>0</v>
      </c>
      <c r="X73" s="252">
        <f t="shared" ref="X73:BA73" si="58">IF(AND(X$44-$A73&gt;$V$30,SUM($W73:W73)&lt;&gt;$V73),$V73,0)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c r="BB73" s="252"/>
    </row>
    <row r="74" ht="15.75" customHeight="1">
      <c r="A74" s="44">
        <v>1960.0</v>
      </c>
      <c r="B74" s="32"/>
      <c r="C74" s="32"/>
      <c r="D74" s="32"/>
      <c r="E74" s="32"/>
      <c r="F74" s="32"/>
      <c r="G74" s="32"/>
      <c r="H74" s="32"/>
      <c r="I74" s="32"/>
      <c r="J74" s="32"/>
      <c r="K74" s="32"/>
      <c r="L74" s="32"/>
      <c r="M74" s="32"/>
      <c r="N74" s="32"/>
      <c r="O74" s="32"/>
      <c r="P74" s="32"/>
      <c r="Q74" s="32"/>
      <c r="R74" s="32"/>
      <c r="S74" s="32"/>
      <c r="T74" s="32"/>
      <c r="U74" s="32"/>
      <c r="V74" s="171">
        <v>77.0</v>
      </c>
      <c r="W74" s="252">
        <f t="shared" si="29"/>
        <v>0</v>
      </c>
      <c r="X74" s="252">
        <f t="shared" ref="X74:BA74" si="59">IF(AND(X$44-$A74&gt;$V$30,SUM($W74:W74)&lt;&gt;$V74),$V74,0)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c r="BB74" s="252"/>
    </row>
    <row r="75" ht="15.75" customHeight="1">
      <c r="A75" s="44">
        <v>1961.0</v>
      </c>
      <c r="B75" s="32"/>
      <c r="C75" s="32"/>
      <c r="D75" s="32"/>
      <c r="E75" s="32"/>
      <c r="F75" s="32"/>
      <c r="G75" s="32"/>
      <c r="H75" s="32"/>
      <c r="I75" s="32"/>
      <c r="J75" s="32"/>
      <c r="K75" s="32"/>
      <c r="L75" s="32"/>
      <c r="M75" s="32"/>
      <c r="N75" s="32"/>
      <c r="O75" s="32"/>
      <c r="P75" s="32"/>
      <c r="Q75" s="32"/>
      <c r="R75" s="32"/>
      <c r="S75" s="32"/>
      <c r="T75" s="32"/>
      <c r="U75" s="32"/>
      <c r="V75" s="171">
        <v>22.0</v>
      </c>
      <c r="W75" s="252">
        <f t="shared" si="29"/>
        <v>0</v>
      </c>
      <c r="X75" s="252">
        <f t="shared" ref="X75:BA75" si="60">IF(AND(X$44-$A75&gt;$V$30,SUM($W75:W75)&lt;&gt;$V75),$V75,0)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c r="BB75" s="252"/>
    </row>
    <row r="76" ht="15.75" customHeight="1">
      <c r="A76" s="44">
        <v>1962.0</v>
      </c>
      <c r="B76" s="32"/>
      <c r="C76" s="32"/>
      <c r="D76" s="32"/>
      <c r="E76" s="32"/>
      <c r="F76" s="32"/>
      <c r="G76" s="32"/>
      <c r="H76" s="32"/>
      <c r="I76" s="32"/>
      <c r="J76" s="32"/>
      <c r="K76" s="32"/>
      <c r="L76" s="32"/>
      <c r="M76" s="32"/>
      <c r="N76" s="32"/>
      <c r="O76" s="32"/>
      <c r="P76" s="32"/>
      <c r="Q76" s="32"/>
      <c r="R76" s="32"/>
      <c r="S76" s="32"/>
      <c r="T76" s="32"/>
      <c r="U76" s="32"/>
      <c r="V76" s="171">
        <v>15.6</v>
      </c>
      <c r="W76" s="252">
        <f t="shared" si="29"/>
        <v>0</v>
      </c>
      <c r="X76" s="252">
        <f t="shared" ref="X76:BA76" si="61">IF(AND(X$44-$A76&gt;$V$30,SUM($W76:W76)&lt;&gt;$V76),$V76,0)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c r="BB76" s="252"/>
    </row>
    <row r="77" ht="15.75" customHeight="1">
      <c r="A77" s="44">
        <v>1963.0</v>
      </c>
      <c r="B77" s="32"/>
      <c r="C77" s="32"/>
      <c r="D77" s="32"/>
      <c r="E77" s="32"/>
      <c r="F77" s="32"/>
      <c r="G77" s="32"/>
      <c r="H77" s="32"/>
      <c r="I77" s="32"/>
      <c r="J77" s="32"/>
      <c r="K77" s="32"/>
      <c r="L77" s="32"/>
      <c r="M77" s="32"/>
      <c r="N77" s="32"/>
      <c r="O77" s="32"/>
      <c r="P77" s="32"/>
      <c r="Q77" s="32"/>
      <c r="R77" s="32"/>
      <c r="S77" s="32"/>
      <c r="T77" s="32"/>
      <c r="U77" s="32"/>
      <c r="V77" s="171">
        <v>62.3</v>
      </c>
      <c r="W77" s="252">
        <f t="shared" si="29"/>
        <v>0</v>
      </c>
      <c r="X77" s="252">
        <f t="shared" ref="X77:BA77" si="62">IF(AND(X$44-$A77&gt;$V$30,SUM($W77:W77)&lt;&gt;$V77),$V77,0)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c r="BB77" s="252"/>
    </row>
    <row r="78" ht="15.75" customHeight="1">
      <c r="A78" s="44">
        <v>1964.0</v>
      </c>
      <c r="B78" s="32"/>
      <c r="C78" s="32"/>
      <c r="D78" s="32"/>
      <c r="E78" s="32"/>
      <c r="F78" s="32"/>
      <c r="G78" s="32"/>
      <c r="H78" s="32"/>
      <c r="I78" s="32"/>
      <c r="J78" s="32"/>
      <c r="K78" s="32"/>
      <c r="L78" s="32"/>
      <c r="M78" s="32"/>
      <c r="N78" s="32"/>
      <c r="O78" s="32"/>
      <c r="P78" s="32"/>
      <c r="Q78" s="32"/>
      <c r="R78" s="32"/>
      <c r="S78" s="32"/>
      <c r="T78" s="32"/>
      <c r="U78" s="32"/>
      <c r="V78" s="171">
        <v>0.0</v>
      </c>
      <c r="W78" s="252">
        <f t="shared" si="29"/>
        <v>0</v>
      </c>
      <c r="X78" s="252">
        <f t="shared" ref="X78:BA78" si="63">IF(AND(X$44-$A78&gt;$V$30,SUM($W78:W78)&lt;&gt;$V78),$V78,0)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c r="BB78" s="252"/>
    </row>
    <row r="79" ht="15.75" customHeight="1">
      <c r="A79" s="44">
        <v>1965.0</v>
      </c>
      <c r="B79" s="32"/>
      <c r="C79" s="32"/>
      <c r="D79" s="32"/>
      <c r="E79" s="32"/>
      <c r="F79" s="32"/>
      <c r="G79" s="32"/>
      <c r="H79" s="32"/>
      <c r="I79" s="32"/>
      <c r="J79" s="32"/>
      <c r="K79" s="32"/>
      <c r="L79" s="32"/>
      <c r="M79" s="32"/>
      <c r="N79" s="32"/>
      <c r="O79" s="32"/>
      <c r="P79" s="32"/>
      <c r="Q79" s="32"/>
      <c r="R79" s="32"/>
      <c r="S79" s="32"/>
      <c r="T79" s="32"/>
      <c r="U79" s="32"/>
      <c r="V79" s="171">
        <v>69.9</v>
      </c>
      <c r="W79" s="252">
        <f t="shared" si="29"/>
        <v>0</v>
      </c>
      <c r="X79" s="252">
        <f t="shared" ref="X79:BA79" si="64">IF(AND(X$44-$A79&gt;$V$30,SUM($W79:W79)&lt;&gt;$V79),$V79,0)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c r="BB79" s="252"/>
    </row>
    <row r="80" ht="15.75" customHeight="1">
      <c r="A80" s="44">
        <v>1966.0</v>
      </c>
      <c r="B80" s="32"/>
      <c r="C80" s="32"/>
      <c r="D80" s="32"/>
      <c r="E80" s="32"/>
      <c r="F80" s="32"/>
      <c r="G80" s="32"/>
      <c r="H80" s="32"/>
      <c r="I80" s="32"/>
      <c r="J80" s="32"/>
      <c r="K80" s="32"/>
      <c r="L80" s="32"/>
      <c r="M80" s="32"/>
      <c r="N80" s="32"/>
      <c r="O80" s="32"/>
      <c r="P80" s="32"/>
      <c r="Q80" s="32"/>
      <c r="R80" s="32"/>
      <c r="S80" s="32"/>
      <c r="T80" s="32"/>
      <c r="U80" s="32"/>
      <c r="V80" s="171">
        <v>85.9</v>
      </c>
      <c r="W80" s="252">
        <f t="shared" si="29"/>
        <v>0</v>
      </c>
      <c r="X80" s="252">
        <f t="shared" ref="X80:BA80" si="65">IF(AND(X$44-$A80&gt;$V$30,SUM($W80:W80)&lt;&gt;$V80),$V80,0)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c r="BB80" s="252"/>
    </row>
    <row r="81" ht="15.75" customHeight="1">
      <c r="A81" s="44">
        <v>1967.0</v>
      </c>
      <c r="B81" s="32"/>
      <c r="C81" s="32"/>
      <c r="D81" s="32"/>
      <c r="E81" s="32"/>
      <c r="F81" s="32"/>
      <c r="G81" s="32"/>
      <c r="H81" s="32"/>
      <c r="I81" s="32"/>
      <c r="J81" s="32"/>
      <c r="K81" s="32"/>
      <c r="L81" s="32"/>
      <c r="M81" s="32"/>
      <c r="N81" s="32"/>
      <c r="O81" s="32"/>
      <c r="P81" s="32"/>
      <c r="Q81" s="32"/>
      <c r="R81" s="32"/>
      <c r="S81" s="32"/>
      <c r="T81" s="32"/>
      <c r="U81" s="32"/>
      <c r="V81" s="171">
        <v>102.6</v>
      </c>
      <c r="W81" s="252">
        <f t="shared" si="29"/>
        <v>0</v>
      </c>
      <c r="X81" s="252">
        <f t="shared" ref="X81:BA81" si="66">IF(AND(X$44-$A81&gt;$V$30,SUM($W81:W81)&lt;&gt;$V81),$V81,0)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c r="BB81" s="252"/>
    </row>
    <row r="82" ht="15.75" customHeight="1">
      <c r="A82" s="44">
        <v>1968.0</v>
      </c>
      <c r="B82" s="32"/>
      <c r="C82" s="32"/>
      <c r="D82" s="32"/>
      <c r="E82" s="32"/>
      <c r="F82" s="32"/>
      <c r="G82" s="32"/>
      <c r="H82" s="32"/>
      <c r="I82" s="32"/>
      <c r="J82" s="32"/>
      <c r="K82" s="32"/>
      <c r="L82" s="32"/>
      <c r="M82" s="32"/>
      <c r="N82" s="32"/>
      <c r="O82" s="32"/>
      <c r="P82" s="32"/>
      <c r="Q82" s="32"/>
      <c r="R82" s="32"/>
      <c r="S82" s="32"/>
      <c r="T82" s="32"/>
      <c r="U82" s="32"/>
      <c r="V82" s="171">
        <v>136.0</v>
      </c>
      <c r="W82" s="252">
        <f t="shared" si="29"/>
        <v>0</v>
      </c>
      <c r="X82" s="252">
        <f t="shared" ref="X82:BA82" si="67">IF(AND(X$44-$A82&gt;$V$30,SUM($W82:W82)&lt;&gt;$V82),$V82,0)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c r="BB82" s="252"/>
    </row>
    <row r="83" ht="15.75" customHeight="1">
      <c r="A83" s="44">
        <v>1969.0</v>
      </c>
      <c r="B83" s="32"/>
      <c r="C83" s="32"/>
      <c r="D83" s="32"/>
      <c r="E83" s="32"/>
      <c r="F83" s="32"/>
      <c r="G83" s="32"/>
      <c r="H83" s="32"/>
      <c r="I83" s="32"/>
      <c r="J83" s="32"/>
      <c r="K83" s="32"/>
      <c r="L83" s="32"/>
      <c r="M83" s="32"/>
      <c r="N83" s="32"/>
      <c r="O83" s="32"/>
      <c r="P83" s="32"/>
      <c r="Q83" s="32"/>
      <c r="R83" s="32"/>
      <c r="S83" s="32"/>
      <c r="T83" s="32"/>
      <c r="U83" s="32"/>
      <c r="V83" s="171">
        <v>0.0</v>
      </c>
      <c r="W83" s="252">
        <f t="shared" si="29"/>
        <v>0</v>
      </c>
      <c r="X83" s="252">
        <f t="shared" ref="X83:BA83" si="68">IF(AND(X$44-$A83&gt;$V$30,SUM($W83:W83)&lt;&gt;$V83),$V83,0)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c r="BB83" s="252"/>
    </row>
    <row r="84" ht="15.75" customHeight="1">
      <c r="A84" s="44">
        <v>1970.0</v>
      </c>
      <c r="B84" s="32"/>
      <c r="C84" s="32"/>
      <c r="D84" s="32"/>
      <c r="E84" s="32"/>
      <c r="F84" s="32"/>
      <c r="G84" s="32"/>
      <c r="H84" s="32"/>
      <c r="I84" s="32"/>
      <c r="J84" s="32"/>
      <c r="K84" s="32"/>
      <c r="L84" s="32"/>
      <c r="M84" s="32"/>
      <c r="N84" s="32"/>
      <c r="O84" s="32"/>
      <c r="P84" s="32"/>
      <c r="Q84" s="32"/>
      <c r="R84" s="32"/>
      <c r="S84" s="32"/>
      <c r="T84" s="32"/>
      <c r="U84" s="32"/>
      <c r="V84" s="171">
        <v>0.0</v>
      </c>
      <c r="W84" s="252">
        <f t="shared" si="29"/>
        <v>0</v>
      </c>
      <c r="X84" s="252">
        <f t="shared" ref="X84:BA84" si="69">IF(AND(X$44-$A84&gt;$V$30,SUM($W84:W84)&lt;&gt;$V84),$V84,0)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c r="BB84" s="252"/>
    </row>
    <row r="85" ht="15.75" customHeight="1">
      <c r="A85" s="44">
        <v>1971.0</v>
      </c>
      <c r="B85" s="32"/>
      <c r="C85" s="32"/>
      <c r="D85" s="32"/>
      <c r="E85" s="32"/>
      <c r="F85" s="32"/>
      <c r="G85" s="32"/>
      <c r="H85" s="32"/>
      <c r="I85" s="32"/>
      <c r="J85" s="32"/>
      <c r="K85" s="32"/>
      <c r="L85" s="32"/>
      <c r="M85" s="32"/>
      <c r="N85" s="32"/>
      <c r="O85" s="32"/>
      <c r="P85" s="32"/>
      <c r="Q85" s="32"/>
      <c r="R85" s="32"/>
      <c r="S85" s="32"/>
      <c r="T85" s="32"/>
      <c r="U85" s="32"/>
      <c r="V85" s="171">
        <v>30.0</v>
      </c>
      <c r="W85" s="252">
        <f t="shared" si="29"/>
        <v>0</v>
      </c>
      <c r="X85" s="252">
        <f t="shared" ref="X85:BA85" si="70">IF(AND(X$44-$A85&gt;$V$30,SUM($W85:W85)&lt;&gt;$V85),$V85,0)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c r="BB85" s="252"/>
    </row>
    <row r="86" ht="15.75" customHeight="1">
      <c r="A86" s="44">
        <v>1972.0</v>
      </c>
      <c r="B86" s="32"/>
      <c r="C86" s="32"/>
      <c r="D86" s="32"/>
      <c r="E86" s="32"/>
      <c r="F86" s="32"/>
      <c r="G86" s="32"/>
      <c r="H86" s="32"/>
      <c r="I86" s="32"/>
      <c r="J86" s="32"/>
      <c r="K86" s="32"/>
      <c r="L86" s="32"/>
      <c r="M86" s="32"/>
      <c r="N86" s="32"/>
      <c r="O86" s="32"/>
      <c r="P86" s="32"/>
      <c r="Q86" s="32"/>
      <c r="R86" s="32"/>
      <c r="S86" s="32"/>
      <c r="T86" s="32"/>
      <c r="U86" s="32"/>
      <c r="V86" s="171">
        <v>0.0</v>
      </c>
      <c r="W86" s="252">
        <f t="shared" si="29"/>
        <v>0</v>
      </c>
      <c r="X86" s="252">
        <f t="shared" ref="X86:BA86" si="71">IF(AND(X$44-$A86&gt;$V$30,SUM($W86:W86)&lt;&gt;$V86),$V86,0)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c r="BB86" s="252"/>
    </row>
    <row r="87" ht="15.75" customHeight="1">
      <c r="A87" s="44">
        <v>1973.0</v>
      </c>
      <c r="B87" s="32"/>
      <c r="C87" s="32"/>
      <c r="D87" s="32"/>
      <c r="E87" s="32"/>
      <c r="F87" s="32"/>
      <c r="G87" s="32"/>
      <c r="H87" s="32"/>
      <c r="I87" s="32"/>
      <c r="J87" s="32"/>
      <c r="K87" s="32"/>
      <c r="L87" s="32"/>
      <c r="M87" s="32"/>
      <c r="N87" s="32"/>
      <c r="O87" s="32"/>
      <c r="P87" s="32"/>
      <c r="Q87" s="32"/>
      <c r="R87" s="32"/>
      <c r="S87" s="32"/>
      <c r="T87" s="32"/>
      <c r="U87" s="32"/>
      <c r="V87" s="171">
        <v>0.0</v>
      </c>
      <c r="W87" s="252">
        <f t="shared" si="29"/>
        <v>0</v>
      </c>
      <c r="X87" s="252">
        <f t="shared" ref="X87:BA87" si="72">IF(AND(X$44-$A87&gt;$V$30,SUM($W87:W87)&lt;&gt;$V87),$V87,0)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c r="BB87" s="252"/>
    </row>
    <row r="88" ht="15.75" customHeight="1">
      <c r="A88" s="44">
        <v>1974.0</v>
      </c>
      <c r="B88" s="32"/>
      <c r="C88" s="32"/>
      <c r="D88" s="32"/>
      <c r="E88" s="32"/>
      <c r="F88" s="32"/>
      <c r="G88" s="32"/>
      <c r="H88" s="32"/>
      <c r="I88" s="32"/>
      <c r="J88" s="32"/>
      <c r="K88" s="32"/>
      <c r="L88" s="32"/>
      <c r="M88" s="32"/>
      <c r="N88" s="32"/>
      <c r="O88" s="32"/>
      <c r="P88" s="32"/>
      <c r="Q88" s="32"/>
      <c r="R88" s="32"/>
      <c r="S88" s="32"/>
      <c r="T88" s="32"/>
      <c r="U88" s="32"/>
      <c r="V88" s="171">
        <v>15.0</v>
      </c>
      <c r="W88" s="252">
        <f t="shared" si="29"/>
        <v>0</v>
      </c>
      <c r="X88" s="252">
        <f t="shared" ref="X88:BA88" si="73">IF(AND(X$44-$A88&gt;$V$30,SUM($W88:W88)&lt;&gt;$V88),$V88,0)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c r="BB88" s="252"/>
    </row>
    <row r="89" ht="15.75" customHeight="1">
      <c r="A89" s="44">
        <v>1975.0</v>
      </c>
      <c r="B89" s="32"/>
      <c r="C89" s="32"/>
      <c r="D89" s="32"/>
      <c r="E89" s="32"/>
      <c r="F89" s="32"/>
      <c r="G89" s="32"/>
      <c r="H89" s="32"/>
      <c r="I89" s="32"/>
      <c r="J89" s="32"/>
      <c r="K89" s="32"/>
      <c r="L89" s="32"/>
      <c r="M89" s="32"/>
      <c r="N89" s="32"/>
      <c r="O89" s="32"/>
      <c r="P89" s="32"/>
      <c r="Q89" s="32"/>
      <c r="R89" s="32"/>
      <c r="S89" s="32"/>
      <c r="T89" s="32"/>
      <c r="U89" s="32"/>
      <c r="V89" s="171">
        <v>0.0</v>
      </c>
      <c r="W89" s="252">
        <f t="shared" si="29"/>
        <v>0</v>
      </c>
      <c r="X89" s="252">
        <f t="shared" ref="X89:BA89" si="74">IF(AND(X$44-$A89&gt;$V$30,SUM($W89:W89)&lt;&gt;$V89),$V89,0)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c r="BB89" s="252"/>
    </row>
    <row r="90" ht="15.75" customHeight="1">
      <c r="A90" s="44">
        <v>1976.0</v>
      </c>
      <c r="B90" s="32"/>
      <c r="C90" s="32"/>
      <c r="D90" s="32"/>
      <c r="E90" s="32"/>
      <c r="F90" s="32"/>
      <c r="G90" s="32"/>
      <c r="H90" s="32"/>
      <c r="I90" s="32"/>
      <c r="J90" s="32"/>
      <c r="K90" s="32"/>
      <c r="L90" s="32"/>
      <c r="M90" s="32"/>
      <c r="N90" s="32"/>
      <c r="O90" s="32"/>
      <c r="P90" s="32"/>
      <c r="Q90" s="32"/>
      <c r="R90" s="32"/>
      <c r="S90" s="32"/>
      <c r="T90" s="32"/>
      <c r="U90" s="32"/>
      <c r="V90" s="171">
        <v>86.0</v>
      </c>
      <c r="W90" s="252">
        <f t="shared" si="29"/>
        <v>0</v>
      </c>
      <c r="X90" s="252">
        <f t="shared" ref="X90:BA90" si="75">IF(AND(X$44-$A90&gt;$V$30,SUM($W90:W90)&lt;&gt;$V90),$V90,0)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c r="BB90" s="252"/>
    </row>
    <row r="91" ht="15.75" customHeight="1">
      <c r="A91" s="44">
        <v>1977.0</v>
      </c>
      <c r="B91" s="32"/>
      <c r="C91" s="32"/>
      <c r="D91" s="32"/>
      <c r="E91" s="32"/>
      <c r="F91" s="32"/>
      <c r="G91" s="32"/>
      <c r="H91" s="32"/>
      <c r="I91" s="32"/>
      <c r="J91" s="32"/>
      <c r="K91" s="32"/>
      <c r="L91" s="32"/>
      <c r="M91" s="32"/>
      <c r="N91" s="32"/>
      <c r="O91" s="32"/>
      <c r="P91" s="32"/>
      <c r="Q91" s="32"/>
      <c r="R91" s="32"/>
      <c r="S91" s="32"/>
      <c r="T91" s="32"/>
      <c r="U91" s="32"/>
      <c r="V91" s="171">
        <v>1.6</v>
      </c>
      <c r="W91" s="252">
        <f t="shared" si="29"/>
        <v>0</v>
      </c>
      <c r="X91" s="252">
        <f t="shared" ref="X91:BA91" si="76">IF(AND(X$44-$A91&gt;$V$30,SUM($W91:W91)&lt;&gt;$V91),$V91,0)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c r="BB91" s="252"/>
    </row>
    <row r="92" ht="15.75" customHeight="1">
      <c r="A92" s="44">
        <v>1978.0</v>
      </c>
      <c r="B92" s="32"/>
      <c r="C92" s="32"/>
      <c r="D92" s="32"/>
      <c r="E92" s="32"/>
      <c r="F92" s="32"/>
      <c r="G92" s="32"/>
      <c r="H92" s="32"/>
      <c r="I92" s="32"/>
      <c r="J92" s="32"/>
      <c r="K92" s="32"/>
      <c r="L92" s="32"/>
      <c r="M92" s="32"/>
      <c r="N92" s="32"/>
      <c r="O92" s="32"/>
      <c r="P92" s="32"/>
      <c r="Q92" s="32"/>
      <c r="R92" s="32"/>
      <c r="S92" s="32"/>
      <c r="T92" s="32"/>
      <c r="U92" s="32"/>
      <c r="V92" s="171">
        <v>120.0</v>
      </c>
      <c r="W92" s="252">
        <f t="shared" si="29"/>
        <v>0</v>
      </c>
      <c r="X92" s="252">
        <f t="shared" ref="X92:BA92" si="77">IF(AND(X$44-$A92&gt;$V$30,SUM($W92:W92)&lt;&gt;$V92),$V92,0)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c r="BB92" s="252"/>
    </row>
    <row r="93" ht="15.75" customHeight="1">
      <c r="A93" s="44">
        <v>1979.0</v>
      </c>
      <c r="B93" s="32"/>
      <c r="C93" s="32"/>
      <c r="D93" s="32"/>
      <c r="E93" s="32"/>
      <c r="F93" s="32"/>
      <c r="G93" s="32"/>
      <c r="H93" s="32"/>
      <c r="I93" s="32"/>
      <c r="J93" s="32"/>
      <c r="K93" s="32"/>
      <c r="L93" s="32"/>
      <c r="M93" s="32"/>
      <c r="N93" s="32"/>
      <c r="O93" s="32"/>
      <c r="P93" s="32"/>
      <c r="Q93" s="32"/>
      <c r="R93" s="32"/>
      <c r="S93" s="32"/>
      <c r="T93" s="32"/>
      <c r="U93" s="32"/>
      <c r="V93" s="171">
        <v>0.0</v>
      </c>
      <c r="W93" s="252">
        <f t="shared" si="29"/>
        <v>0</v>
      </c>
      <c r="X93" s="252">
        <f t="shared" ref="X93:BA93" si="78">IF(AND(X$44-$A93&gt;$V$30,SUM($W93:W93)&lt;&gt;$V93),$V93,0)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c r="BB93" s="252"/>
    </row>
    <row r="94" ht="15.75" customHeight="1">
      <c r="A94" s="44">
        <v>1980.0</v>
      </c>
      <c r="B94" s="32"/>
      <c r="C94" s="32"/>
      <c r="D94" s="32"/>
      <c r="E94" s="32"/>
      <c r="F94" s="32"/>
      <c r="G94" s="32"/>
      <c r="H94" s="32"/>
      <c r="I94" s="32"/>
      <c r="J94" s="32"/>
      <c r="K94" s="32"/>
      <c r="L94" s="32"/>
      <c r="M94" s="32"/>
      <c r="N94" s="32"/>
      <c r="O94" s="32"/>
      <c r="P94" s="32"/>
      <c r="Q94" s="32"/>
      <c r="R94" s="32"/>
      <c r="S94" s="32"/>
      <c r="T94" s="32"/>
      <c r="U94" s="32"/>
      <c r="V94" s="171">
        <v>103.0</v>
      </c>
      <c r="W94" s="252">
        <f t="shared" si="29"/>
        <v>0</v>
      </c>
      <c r="X94" s="252">
        <f t="shared" ref="X94:BA94" si="79">IF(AND(X$44-$A94&gt;$V$30,SUM($W94:W94)&lt;&gt;$V94),$V94,0)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c r="BB94" s="252"/>
    </row>
    <row r="95" ht="15.75" customHeight="1">
      <c r="A95" s="44">
        <v>1981.0</v>
      </c>
      <c r="B95" s="32"/>
      <c r="C95" s="32"/>
      <c r="D95" s="32"/>
      <c r="E95" s="32"/>
      <c r="F95" s="32"/>
      <c r="G95" s="32"/>
      <c r="H95" s="32"/>
      <c r="I95" s="32"/>
      <c r="J95" s="32"/>
      <c r="K95" s="32"/>
      <c r="L95" s="32"/>
      <c r="M95" s="32"/>
      <c r="N95" s="32"/>
      <c r="O95" s="32"/>
      <c r="P95" s="32"/>
      <c r="Q95" s="32"/>
      <c r="R95" s="32"/>
      <c r="S95" s="32"/>
      <c r="T95" s="32"/>
      <c r="U95" s="32"/>
      <c r="V95" s="171">
        <v>15.9</v>
      </c>
      <c r="W95" s="252">
        <f t="shared" si="29"/>
        <v>0</v>
      </c>
      <c r="X95" s="252">
        <f t="shared" ref="X95:BA95" si="80">IF(AND(X$44-$A95&gt;$V$30,SUM($W95:W95)&lt;&gt;$V95),$V95,0)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c r="BB95" s="252"/>
    </row>
    <row r="96" ht="15.75" customHeight="1">
      <c r="A96" s="44">
        <v>1982.0</v>
      </c>
      <c r="B96" s="32"/>
      <c r="C96" s="32"/>
      <c r="D96" s="32"/>
      <c r="E96" s="32"/>
      <c r="F96" s="32"/>
      <c r="G96" s="32"/>
      <c r="H96" s="32"/>
      <c r="I96" s="32"/>
      <c r="J96" s="32"/>
      <c r="K96" s="32"/>
      <c r="L96" s="32"/>
      <c r="M96" s="32"/>
      <c r="N96" s="32"/>
      <c r="O96" s="32"/>
      <c r="P96" s="32"/>
      <c r="Q96" s="32"/>
      <c r="R96" s="32"/>
      <c r="S96" s="32"/>
      <c r="T96" s="32"/>
      <c r="U96" s="32"/>
      <c r="V96" s="171">
        <v>137.5</v>
      </c>
      <c r="W96" s="252">
        <f t="shared" si="29"/>
        <v>0</v>
      </c>
      <c r="X96" s="252">
        <f t="shared" ref="X96:BA96" si="81">IF(AND(X$44-$A96&gt;$V$30,SUM($W96:W96)&lt;&gt;$V96),$V96,0)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c r="BB96" s="252"/>
    </row>
    <row r="97" ht="15.75" customHeight="1">
      <c r="A97" s="44">
        <v>1983.0</v>
      </c>
      <c r="B97" s="32"/>
      <c r="C97" s="32"/>
      <c r="D97" s="32"/>
      <c r="E97" s="32"/>
      <c r="F97" s="32"/>
      <c r="G97" s="32"/>
      <c r="H97" s="32"/>
      <c r="I97" s="32"/>
      <c r="J97" s="32"/>
      <c r="K97" s="32"/>
      <c r="L97" s="32"/>
      <c r="M97" s="32"/>
      <c r="N97" s="32"/>
      <c r="O97" s="32"/>
      <c r="P97" s="32"/>
      <c r="Q97" s="32"/>
      <c r="R97" s="32"/>
      <c r="S97" s="32"/>
      <c r="T97" s="32"/>
      <c r="U97" s="32"/>
      <c r="V97" s="171">
        <v>0.0</v>
      </c>
      <c r="W97" s="252">
        <f t="shared" si="29"/>
        <v>0</v>
      </c>
      <c r="X97" s="252">
        <f t="shared" ref="X97:BA97" si="82">IF(AND(X$44-$A97&gt;$V$30,SUM($W97:W97)&lt;&gt;$V97),$V97,0)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c r="BB97" s="252"/>
    </row>
    <row r="98" ht="15.75" customHeight="1">
      <c r="A98" s="44">
        <v>1984.0</v>
      </c>
      <c r="B98" s="32"/>
      <c r="C98" s="32"/>
      <c r="D98" s="32"/>
      <c r="E98" s="32"/>
      <c r="F98" s="32"/>
      <c r="G98" s="32"/>
      <c r="H98" s="32"/>
      <c r="I98" s="32"/>
      <c r="J98" s="32"/>
      <c r="K98" s="32"/>
      <c r="L98" s="32"/>
      <c r="M98" s="32"/>
      <c r="N98" s="32"/>
      <c r="O98" s="32"/>
      <c r="P98" s="32"/>
      <c r="Q98" s="32"/>
      <c r="R98" s="32"/>
      <c r="S98" s="32"/>
      <c r="T98" s="32"/>
      <c r="U98" s="32"/>
      <c r="V98" s="171">
        <v>168.8</v>
      </c>
      <c r="W98" s="252">
        <f t="shared" si="29"/>
        <v>0</v>
      </c>
      <c r="X98" s="252">
        <f t="shared" ref="X98:BA98" si="83">IF(AND(X$44-$A98&gt;$V$30,SUM($W98:W98)&lt;&gt;$V98),$V98,0)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c r="BB98" s="252"/>
    </row>
    <row r="99" ht="15.75" customHeight="1">
      <c r="A99" s="44">
        <v>1985.0</v>
      </c>
      <c r="B99" s="32"/>
      <c r="C99" s="32"/>
      <c r="D99" s="32"/>
      <c r="E99" s="32"/>
      <c r="F99" s="32"/>
      <c r="G99" s="32"/>
      <c r="H99" s="32"/>
      <c r="I99" s="32"/>
      <c r="J99" s="32"/>
      <c r="K99" s="32"/>
      <c r="L99" s="32"/>
      <c r="M99" s="32"/>
      <c r="N99" s="32"/>
      <c r="O99" s="32"/>
      <c r="P99" s="32"/>
      <c r="Q99" s="32"/>
      <c r="R99" s="32"/>
      <c r="S99" s="32"/>
      <c r="T99" s="32"/>
      <c r="U99" s="32"/>
      <c r="V99" s="171">
        <v>129.6</v>
      </c>
      <c r="W99" s="252">
        <f t="shared" si="29"/>
        <v>0</v>
      </c>
      <c r="X99" s="252">
        <f t="shared" ref="X99:BA99" si="84">IF(AND(X$44-$A99&gt;$V$30,SUM($W99:W99)&lt;&gt;$V99),$V99,0)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c r="BB99" s="252"/>
    </row>
    <row r="100" ht="15.75" customHeight="1">
      <c r="A100" s="44">
        <v>1986.0</v>
      </c>
      <c r="B100" s="32"/>
      <c r="C100" s="32"/>
      <c r="D100" s="32"/>
      <c r="E100" s="32"/>
      <c r="F100" s="32"/>
      <c r="G100" s="32"/>
      <c r="H100" s="32"/>
      <c r="I100" s="32"/>
      <c r="J100" s="32"/>
      <c r="K100" s="32"/>
      <c r="L100" s="32"/>
      <c r="M100" s="32"/>
      <c r="N100" s="32"/>
      <c r="O100" s="32"/>
      <c r="P100" s="32"/>
      <c r="Q100" s="32"/>
      <c r="R100" s="32"/>
      <c r="S100" s="32"/>
      <c r="T100" s="32"/>
      <c r="U100" s="32"/>
      <c r="V100" s="171">
        <v>0.0</v>
      </c>
      <c r="W100" s="252">
        <f t="shared" si="29"/>
        <v>0</v>
      </c>
      <c r="X100" s="252">
        <f t="shared" ref="X100:BA100" si="85">IF(AND(X$44-$A100&gt;$V$30,SUM($W100:W100)&lt;&gt;$V100),$V100,0)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c r="BB100" s="252"/>
    </row>
    <row r="101" ht="15.75" customHeight="1">
      <c r="A101" s="44">
        <v>1987.0</v>
      </c>
      <c r="B101" s="32"/>
      <c r="C101" s="32"/>
      <c r="D101" s="32"/>
      <c r="E101" s="32"/>
      <c r="F101" s="32"/>
      <c r="G101" s="32"/>
      <c r="H101" s="32"/>
      <c r="I101" s="32"/>
      <c r="J101" s="32"/>
      <c r="K101" s="32"/>
      <c r="L101" s="32"/>
      <c r="M101" s="32"/>
      <c r="N101" s="32"/>
      <c r="O101" s="32"/>
      <c r="P101" s="32"/>
      <c r="Q101" s="32"/>
      <c r="R101" s="32"/>
      <c r="S101" s="32"/>
      <c r="T101" s="32"/>
      <c r="U101" s="32"/>
      <c r="V101" s="171">
        <v>283.0</v>
      </c>
      <c r="W101" s="252">
        <f t="shared" si="29"/>
        <v>0</v>
      </c>
      <c r="X101" s="252">
        <f t="shared" ref="X101:BA101" si="86">IF(AND(X$44-$A101&gt;$V$30,SUM($W101:W101)&lt;&gt;$V101),$V101,0)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c r="BB101" s="252"/>
    </row>
    <row r="102" ht="15.75" customHeight="1">
      <c r="A102" s="44">
        <v>1988.0</v>
      </c>
      <c r="B102" s="32"/>
      <c r="C102" s="32"/>
      <c r="D102" s="32"/>
      <c r="E102" s="32"/>
      <c r="F102" s="32"/>
      <c r="G102" s="32"/>
      <c r="H102" s="32"/>
      <c r="I102" s="32"/>
      <c r="J102" s="32"/>
      <c r="K102" s="32"/>
      <c r="L102" s="32"/>
      <c r="M102" s="32"/>
      <c r="N102" s="32"/>
      <c r="O102" s="32"/>
      <c r="P102" s="32"/>
      <c r="Q102" s="32"/>
      <c r="R102" s="32"/>
      <c r="S102" s="32"/>
      <c r="T102" s="32"/>
      <c r="U102" s="32"/>
      <c r="V102" s="171">
        <v>0.0</v>
      </c>
      <c r="W102" s="252">
        <f t="shared" si="29"/>
        <v>0</v>
      </c>
      <c r="X102" s="252">
        <f t="shared" ref="X102:BA102" si="87">IF(AND(X$44-$A102&gt;$V$30,SUM($W102:W102)&lt;&gt;$V102),$V102,0)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c r="BB102" s="252"/>
    </row>
    <row r="103" ht="15.75" customHeight="1">
      <c r="A103" s="44">
        <v>1989.0</v>
      </c>
      <c r="B103" s="32"/>
      <c r="C103" s="32"/>
      <c r="D103" s="32"/>
      <c r="E103" s="32"/>
      <c r="F103" s="32"/>
      <c r="G103" s="32"/>
      <c r="H103" s="32"/>
      <c r="I103" s="32"/>
      <c r="J103" s="32"/>
      <c r="K103" s="32"/>
      <c r="L103" s="32"/>
      <c r="M103" s="32"/>
      <c r="N103" s="32"/>
      <c r="O103" s="32"/>
      <c r="P103" s="32"/>
      <c r="Q103" s="32"/>
      <c r="R103" s="32"/>
      <c r="S103" s="32"/>
      <c r="T103" s="32"/>
      <c r="U103" s="32"/>
      <c r="V103" s="171">
        <v>83.4</v>
      </c>
      <c r="W103" s="252">
        <f t="shared" si="29"/>
        <v>0</v>
      </c>
      <c r="X103" s="252">
        <f t="shared" ref="X103:BA103" si="88">IF(AND(X$44-$A103&gt;$V$30,SUM($W103:W103)&lt;&gt;$V103),$V103,0)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c r="BB103" s="252"/>
    </row>
    <row r="104" ht="15.75" customHeight="1">
      <c r="A104" s="44">
        <v>1990.0</v>
      </c>
      <c r="B104" s="32"/>
      <c r="C104" s="32"/>
      <c r="D104" s="32"/>
      <c r="E104" s="32"/>
      <c r="F104" s="32"/>
      <c r="G104" s="32"/>
      <c r="H104" s="32"/>
      <c r="I104" s="32"/>
      <c r="J104" s="32"/>
      <c r="K104" s="32"/>
      <c r="L104" s="32"/>
      <c r="M104" s="32"/>
      <c r="N104" s="32"/>
      <c r="O104" s="32"/>
      <c r="P104" s="32"/>
      <c r="Q104" s="32"/>
      <c r="R104" s="32"/>
      <c r="S104" s="32"/>
      <c r="T104" s="32"/>
      <c r="U104" s="32"/>
      <c r="V104" s="171">
        <v>169.5</v>
      </c>
      <c r="W104" s="252">
        <f t="shared" si="29"/>
        <v>0</v>
      </c>
      <c r="X104" s="252">
        <f t="shared" ref="X104:BA104" si="89">IF(AND(X$44-$A104&gt;$V$30,SUM($W104:W104)&lt;&gt;$V104),$V104,0)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c r="BB104" s="252"/>
    </row>
    <row r="105" ht="15.75" customHeight="1">
      <c r="A105" s="44">
        <v>1991.0</v>
      </c>
      <c r="B105" s="32"/>
      <c r="C105" s="32"/>
      <c r="D105" s="32"/>
      <c r="E105" s="32"/>
      <c r="F105" s="32"/>
      <c r="G105" s="32"/>
      <c r="H105" s="32"/>
      <c r="I105" s="32"/>
      <c r="J105" s="32"/>
      <c r="K105" s="32"/>
      <c r="L105" s="32"/>
      <c r="M105" s="32"/>
      <c r="N105" s="32"/>
      <c r="O105" s="32"/>
      <c r="P105" s="32"/>
      <c r="Q105" s="32"/>
      <c r="R105" s="32"/>
      <c r="S105" s="32"/>
      <c r="T105" s="32"/>
      <c r="U105" s="32"/>
      <c r="V105" s="171">
        <v>177.5</v>
      </c>
      <c r="W105" s="252">
        <f t="shared" si="29"/>
        <v>0</v>
      </c>
      <c r="X105" s="252">
        <f t="shared" ref="X105:BA105" si="90">IF(AND(X$44-$A105&gt;$V$30,SUM($W105:W105)&lt;&gt;$V105),$V105,0)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c r="BB105" s="252"/>
    </row>
    <row r="106" ht="15.75" customHeight="1">
      <c r="A106" s="44">
        <v>1992.0</v>
      </c>
      <c r="B106" s="32"/>
      <c r="C106" s="32"/>
      <c r="D106" s="32"/>
      <c r="E106" s="32"/>
      <c r="F106" s="32"/>
      <c r="G106" s="32"/>
      <c r="H106" s="32"/>
      <c r="I106" s="32"/>
      <c r="J106" s="32"/>
      <c r="K106" s="32"/>
      <c r="L106" s="32"/>
      <c r="M106" s="32"/>
      <c r="N106" s="32"/>
      <c r="O106" s="32"/>
      <c r="P106" s="32"/>
      <c r="Q106" s="32"/>
      <c r="R106" s="32"/>
      <c r="S106" s="32"/>
      <c r="T106" s="32"/>
      <c r="U106" s="32"/>
      <c r="V106" s="171">
        <v>3.2</v>
      </c>
      <c r="W106" s="252">
        <f t="shared" si="29"/>
        <v>0</v>
      </c>
      <c r="X106" s="252">
        <f t="shared" ref="X106:BA106" si="91">IF(AND(X$44-$A106&gt;$V$30,SUM($W106:W106)&lt;&gt;$V106),$V106,0)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c r="BB106" s="252"/>
    </row>
    <row r="107" ht="15.75" customHeight="1">
      <c r="A107" s="44">
        <v>1993.0</v>
      </c>
      <c r="B107" s="32"/>
      <c r="C107" s="32"/>
      <c r="D107" s="32"/>
      <c r="E107" s="32"/>
      <c r="F107" s="32"/>
      <c r="G107" s="32"/>
      <c r="H107" s="32"/>
      <c r="I107" s="32"/>
      <c r="J107" s="32"/>
      <c r="K107" s="32"/>
      <c r="L107" s="32"/>
      <c r="M107" s="32"/>
      <c r="N107" s="32"/>
      <c r="O107" s="32"/>
      <c r="P107" s="32"/>
      <c r="Q107" s="32"/>
      <c r="R107" s="32"/>
      <c r="S107" s="32"/>
      <c r="T107" s="32"/>
      <c r="U107" s="32"/>
      <c r="V107" s="171">
        <v>49.7</v>
      </c>
      <c r="W107" s="252">
        <f t="shared" si="29"/>
        <v>0</v>
      </c>
      <c r="X107" s="252">
        <f t="shared" ref="X107:BA107" si="92">IF(AND(X$44-$A107&gt;$V$30,SUM($W107:W107)&lt;&gt;$V107),$V107,0)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c r="BB107" s="252"/>
    </row>
    <row r="108" ht="15.75" customHeight="1">
      <c r="A108" s="44">
        <v>1994.0</v>
      </c>
      <c r="B108" s="32"/>
      <c r="C108" s="32"/>
      <c r="D108" s="32"/>
      <c r="E108" s="32"/>
      <c r="F108" s="32"/>
      <c r="G108" s="32"/>
      <c r="H108" s="32"/>
      <c r="I108" s="32"/>
      <c r="J108" s="32"/>
      <c r="K108" s="32"/>
      <c r="L108" s="32"/>
      <c r="M108" s="32"/>
      <c r="N108" s="32"/>
      <c r="O108" s="32"/>
      <c r="P108" s="32"/>
      <c r="Q108" s="32"/>
      <c r="R108" s="32"/>
      <c r="S108" s="32"/>
      <c r="T108" s="32"/>
      <c r="U108" s="32"/>
      <c r="V108" s="171">
        <v>0.0</v>
      </c>
      <c r="W108" s="252">
        <f t="shared" si="29"/>
        <v>0</v>
      </c>
      <c r="X108" s="252">
        <f t="shared" ref="X108:BA108" si="93">IF(AND(X$44-$A108&gt;$V$30,SUM($W108:W108)&lt;&gt;$V108),$V108,0)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c r="BB108" s="252"/>
    </row>
    <row r="109" ht="15.75" customHeight="1">
      <c r="A109" s="44">
        <v>1995.0</v>
      </c>
      <c r="B109" s="32"/>
      <c r="C109" s="32"/>
      <c r="D109" s="32"/>
      <c r="E109" s="32"/>
      <c r="F109" s="32"/>
      <c r="G109" s="32"/>
      <c r="H109" s="32"/>
      <c r="I109" s="32"/>
      <c r="J109" s="32"/>
      <c r="K109" s="32"/>
      <c r="L109" s="32"/>
      <c r="M109" s="32"/>
      <c r="N109" s="32"/>
      <c r="O109" s="32"/>
      <c r="P109" s="32"/>
      <c r="Q109" s="32"/>
      <c r="R109" s="32"/>
      <c r="S109" s="32"/>
      <c r="T109" s="32"/>
      <c r="U109" s="32"/>
      <c r="V109" s="171">
        <v>0.0</v>
      </c>
      <c r="W109" s="252">
        <f t="shared" si="29"/>
        <v>0</v>
      </c>
      <c r="X109" s="252">
        <f t="shared" ref="X109:BA109" si="94">IF(AND(X$44-$A109&gt;$V$30,SUM($W109:W109)&lt;&gt;$V109),$V109,0)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c r="BB109" s="252"/>
    </row>
    <row r="110" ht="15.75" customHeight="1">
      <c r="A110" s="44">
        <v>1996.0</v>
      </c>
      <c r="B110" s="32"/>
      <c r="C110" s="32"/>
      <c r="D110" s="32"/>
      <c r="E110" s="32"/>
      <c r="F110" s="32"/>
      <c r="G110" s="32"/>
      <c r="H110" s="32"/>
      <c r="I110" s="32"/>
      <c r="J110" s="32"/>
      <c r="K110" s="32"/>
      <c r="L110" s="32"/>
      <c r="M110" s="32"/>
      <c r="N110" s="32"/>
      <c r="O110" s="32"/>
      <c r="P110" s="32"/>
      <c r="Q110" s="32"/>
      <c r="R110" s="32"/>
      <c r="S110" s="32"/>
      <c r="T110" s="32"/>
      <c r="U110" s="32"/>
      <c r="V110" s="171">
        <v>13.0</v>
      </c>
      <c r="W110" s="252">
        <f t="shared" si="29"/>
        <v>0</v>
      </c>
      <c r="X110" s="252">
        <f t="shared" ref="X110:BA110" si="95">IF(AND(X$44-$A110&gt;$V$30,SUM($W110:W110)&lt;&gt;$V110),$V110,0)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c r="BB110" s="252"/>
    </row>
    <row r="111" ht="15.75" customHeight="1">
      <c r="A111" s="44">
        <v>1997.0</v>
      </c>
      <c r="B111" s="32"/>
      <c r="C111" s="32"/>
      <c r="D111" s="32"/>
      <c r="E111" s="32"/>
      <c r="F111" s="32"/>
      <c r="G111" s="32"/>
      <c r="H111" s="32"/>
      <c r="I111" s="32"/>
      <c r="J111" s="32"/>
      <c r="K111" s="32"/>
      <c r="L111" s="32"/>
      <c r="M111" s="32"/>
      <c r="N111" s="32"/>
      <c r="O111" s="32"/>
      <c r="P111" s="32"/>
      <c r="Q111" s="32"/>
      <c r="R111" s="32"/>
      <c r="S111" s="32"/>
      <c r="T111" s="32"/>
      <c r="U111" s="32"/>
      <c r="V111" s="171">
        <v>0.0</v>
      </c>
      <c r="W111" s="252">
        <f t="shared" si="29"/>
        <v>0</v>
      </c>
      <c r="X111" s="252">
        <f t="shared" ref="X111:BA111" si="96">IF(AND(X$44-$A111&gt;$V$30,SUM($W111:W111)&lt;&gt;$V111),$V111,0)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c r="BB111" s="252"/>
    </row>
    <row r="112" ht="15.75" customHeight="1">
      <c r="A112" s="44">
        <v>1998.0</v>
      </c>
      <c r="B112" s="32"/>
      <c r="C112" s="32"/>
      <c r="D112" s="32"/>
      <c r="E112" s="32"/>
      <c r="F112" s="32"/>
      <c r="G112" s="32"/>
      <c r="H112" s="32"/>
      <c r="I112" s="32"/>
      <c r="J112" s="32"/>
      <c r="K112" s="32"/>
      <c r="L112" s="32"/>
      <c r="M112" s="32"/>
      <c r="N112" s="32"/>
      <c r="O112" s="32"/>
      <c r="P112" s="32"/>
      <c r="Q112" s="32"/>
      <c r="R112" s="32"/>
      <c r="S112" s="32"/>
      <c r="T112" s="32"/>
      <c r="U112" s="32"/>
      <c r="V112" s="171">
        <v>82.8</v>
      </c>
      <c r="W112" s="252">
        <f t="shared" si="29"/>
        <v>0</v>
      </c>
      <c r="X112" s="252">
        <f t="shared" ref="X112:BA112" si="97">IF(AND(X$44-$A112&gt;$V$30,SUM($W112:W112)&lt;&gt;$V112),$V112,0)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c r="BB112" s="252"/>
    </row>
    <row r="113" ht="15.75" customHeight="1">
      <c r="A113" s="44">
        <v>1999.0</v>
      </c>
      <c r="B113" s="32"/>
      <c r="C113" s="32"/>
      <c r="D113" s="32"/>
      <c r="E113" s="32"/>
      <c r="F113" s="32"/>
      <c r="G113" s="32"/>
      <c r="H113" s="32"/>
      <c r="I113" s="32"/>
      <c r="J113" s="32"/>
      <c r="K113" s="32"/>
      <c r="L113" s="32"/>
      <c r="M113" s="32"/>
      <c r="N113" s="32"/>
      <c r="O113" s="32"/>
      <c r="P113" s="32"/>
      <c r="Q113" s="32"/>
      <c r="R113" s="32"/>
      <c r="S113" s="32"/>
      <c r="T113" s="32"/>
      <c r="U113" s="32"/>
      <c r="V113" s="171">
        <v>106.5</v>
      </c>
      <c r="W113" s="252">
        <f t="shared" si="29"/>
        <v>0</v>
      </c>
      <c r="X113" s="252">
        <f t="shared" ref="X113:BA113" si="98">IF(AND(X$44-$A113&gt;$V$30,SUM($W113:W113)&lt;&gt;$V113),$V113,0)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c r="BB113" s="252"/>
    </row>
    <row r="114" ht="15.75" customHeight="1">
      <c r="A114" s="44">
        <v>2000.0</v>
      </c>
      <c r="B114" s="32"/>
      <c r="C114" s="32"/>
      <c r="D114" s="32"/>
      <c r="E114" s="32"/>
      <c r="F114" s="32"/>
      <c r="G114" s="32"/>
      <c r="H114" s="32"/>
      <c r="I114" s="32"/>
      <c r="J114" s="32"/>
      <c r="K114" s="32"/>
      <c r="L114" s="32"/>
      <c r="M114" s="32"/>
      <c r="N114" s="32"/>
      <c r="O114" s="32"/>
      <c r="P114" s="32"/>
      <c r="Q114" s="32"/>
      <c r="R114" s="32"/>
      <c r="S114" s="32"/>
      <c r="T114" s="32"/>
      <c r="U114" s="32"/>
      <c r="V114" s="171">
        <v>0.0</v>
      </c>
      <c r="W114" s="252">
        <f t="shared" si="29"/>
        <v>0</v>
      </c>
      <c r="X114" s="252">
        <f t="shared" ref="X114:BA114" si="99">IF(AND(X$44-$A114&gt;$V$30,SUM($W114:W114)&lt;&gt;$V114),$V114,0)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c r="BB114" s="252"/>
    </row>
    <row r="115" ht="15.75" customHeight="1">
      <c r="A115" s="44">
        <v>2001.0</v>
      </c>
      <c r="B115" s="32"/>
      <c r="C115" s="32"/>
      <c r="D115" s="32"/>
      <c r="E115" s="32"/>
      <c r="F115" s="32"/>
      <c r="G115" s="32"/>
      <c r="H115" s="32"/>
      <c r="I115" s="32"/>
      <c r="J115" s="32"/>
      <c r="K115" s="32"/>
      <c r="L115" s="32"/>
      <c r="M115" s="32"/>
      <c r="N115" s="32"/>
      <c r="O115" s="32"/>
      <c r="P115" s="32"/>
      <c r="Q115" s="32"/>
      <c r="R115" s="32"/>
      <c r="S115" s="32"/>
      <c r="T115" s="32"/>
      <c r="U115" s="32"/>
      <c r="V115" s="171">
        <v>2.0</v>
      </c>
      <c r="W115" s="252">
        <f t="shared" si="29"/>
        <v>0</v>
      </c>
      <c r="X115" s="252">
        <f t="shared" ref="X115:BA115" si="100">IF(AND(X$44-$A115&gt;$V$30,SUM($W115:W115)&lt;&gt;$V115),$V115,0)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c r="BB115" s="252"/>
    </row>
    <row r="116" ht="15.75" customHeight="1">
      <c r="A116" s="44">
        <v>2002.0</v>
      </c>
      <c r="B116" s="32"/>
      <c r="C116" s="32"/>
      <c r="D116" s="32"/>
      <c r="E116" s="32"/>
      <c r="F116" s="32"/>
      <c r="G116" s="32"/>
      <c r="H116" s="32"/>
      <c r="I116" s="32"/>
      <c r="J116" s="32"/>
      <c r="K116" s="32"/>
      <c r="L116" s="32"/>
      <c r="M116" s="32"/>
      <c r="N116" s="32"/>
      <c r="O116" s="32"/>
      <c r="P116" s="32"/>
      <c r="Q116" s="32"/>
      <c r="R116" s="32"/>
      <c r="S116" s="32"/>
      <c r="T116" s="32"/>
      <c r="U116" s="32"/>
      <c r="V116" s="171">
        <v>0.9</v>
      </c>
      <c r="W116" s="252">
        <f t="shared" si="29"/>
        <v>0</v>
      </c>
      <c r="X116" s="252">
        <f t="shared" ref="X116:BA116" si="101">IF(AND(X$44-$A116&gt;$V$30,SUM($W116:W116)&lt;&gt;$V116),$V116,0)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c r="BB116" s="252"/>
    </row>
    <row r="117" ht="15.75" customHeight="1">
      <c r="A117" s="44">
        <v>2003.0</v>
      </c>
      <c r="B117" s="32"/>
      <c r="C117" s="32"/>
      <c r="D117" s="32"/>
      <c r="E117" s="32"/>
      <c r="F117" s="32"/>
      <c r="G117" s="32"/>
      <c r="H117" s="32"/>
      <c r="I117" s="32"/>
      <c r="J117" s="32"/>
      <c r="K117" s="32"/>
      <c r="L117" s="32"/>
      <c r="M117" s="32"/>
      <c r="N117" s="32"/>
      <c r="O117" s="32"/>
      <c r="P117" s="32"/>
      <c r="Q117" s="32"/>
      <c r="R117" s="32"/>
      <c r="S117" s="32"/>
      <c r="T117" s="32"/>
      <c r="U117" s="32"/>
      <c r="V117" s="171">
        <v>5.1</v>
      </c>
      <c r="W117" s="252">
        <f t="shared" si="29"/>
        <v>0</v>
      </c>
      <c r="X117" s="252">
        <f t="shared" ref="X117:BA117" si="102">IF(AND(X$44-$A117&gt;$V$30,SUM($W117:W117)&lt;&gt;$V117),$V117,0)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c r="BB117" s="252"/>
    </row>
    <row r="118" ht="15.75" customHeight="1">
      <c r="A118" s="252">
        <v>2004.0</v>
      </c>
      <c r="B118" s="32"/>
      <c r="C118" s="32"/>
      <c r="D118" s="32"/>
      <c r="E118" s="32"/>
      <c r="F118" s="32"/>
      <c r="G118" s="32"/>
      <c r="H118" s="32"/>
      <c r="I118" s="32"/>
      <c r="J118" s="32"/>
      <c r="K118" s="32"/>
      <c r="L118" s="32"/>
      <c r="M118" s="32"/>
      <c r="N118" s="32"/>
      <c r="O118" s="32"/>
      <c r="P118" s="32"/>
      <c r="Q118" s="32"/>
      <c r="R118" s="32"/>
      <c r="S118" s="32"/>
      <c r="T118" s="32"/>
      <c r="U118" s="32"/>
      <c r="V118" s="741">
        <v>25.0</v>
      </c>
      <c r="W118" s="252">
        <f t="shared" si="29"/>
        <v>0</v>
      </c>
      <c r="X118" s="252">
        <f t="shared" ref="X118:BA118" si="103">IF(AND(X$44-$A118&gt;$V$30,SUM($W118:W118)&lt;&gt;$V118),$V118,0)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c r="BB118" s="252"/>
    </row>
    <row r="119" ht="15.75" customHeight="1">
      <c r="A119" s="252">
        <v>2005.0</v>
      </c>
      <c r="B119" s="32"/>
      <c r="C119" s="32"/>
      <c r="D119" s="32"/>
      <c r="E119" s="32"/>
      <c r="F119" s="32"/>
      <c r="G119" s="32"/>
      <c r="H119" s="32"/>
      <c r="I119" s="32"/>
      <c r="J119" s="32"/>
      <c r="K119" s="32"/>
      <c r="L119" s="32"/>
      <c r="M119" s="32"/>
      <c r="N119" s="32"/>
      <c r="O119" s="32"/>
      <c r="P119" s="32"/>
      <c r="Q119" s="32"/>
      <c r="R119" s="32"/>
      <c r="S119" s="32"/>
      <c r="T119" s="32"/>
      <c r="U119" s="32"/>
      <c r="V119" s="741">
        <v>7.7</v>
      </c>
      <c r="W119" s="252">
        <f t="shared" si="29"/>
        <v>0</v>
      </c>
      <c r="X119" s="252">
        <f t="shared" ref="X119:BA119" si="104">IF(AND(X$44-$A119&gt;$V$30,SUM($W119:W119)&lt;&gt;$V119),$V119,0)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c r="BB119" s="252"/>
    </row>
    <row r="120" ht="15.75" customHeight="1">
      <c r="A120" s="252">
        <v>2006.0</v>
      </c>
      <c r="B120" s="748"/>
      <c r="C120" s="748"/>
      <c r="D120" s="748"/>
      <c r="E120" s="748"/>
      <c r="F120" s="748"/>
      <c r="G120" s="748"/>
      <c r="H120" s="748"/>
      <c r="I120" s="748"/>
      <c r="J120" s="748"/>
      <c r="K120" s="748"/>
      <c r="L120" s="748"/>
      <c r="M120" s="748"/>
      <c r="N120" s="748"/>
      <c r="O120" s="748"/>
      <c r="P120" s="748"/>
      <c r="Q120" s="748"/>
      <c r="R120" s="748"/>
      <c r="S120" s="748"/>
      <c r="T120" s="748"/>
      <c r="U120" s="748"/>
      <c r="V120" s="741">
        <v>61.2</v>
      </c>
      <c r="W120" s="252">
        <f t="shared" si="29"/>
        <v>0</v>
      </c>
      <c r="X120" s="252">
        <f t="shared" ref="X120:BA120" si="105">IF(AND(X$44-$A120&gt;$V$30,SUM($W120:W120)&lt;&gt;$V120),$V120,0)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c r="BB120" s="252"/>
    </row>
    <row r="121" ht="15.75" customHeight="1">
      <c r="A121" s="252">
        <v>2007.0</v>
      </c>
      <c r="B121" s="748"/>
      <c r="C121" s="748"/>
      <c r="D121" s="748"/>
      <c r="E121" s="748"/>
      <c r="F121" s="748"/>
      <c r="G121" s="748"/>
      <c r="H121" s="748"/>
      <c r="I121" s="748"/>
      <c r="J121" s="748"/>
      <c r="K121" s="748"/>
      <c r="L121" s="748"/>
      <c r="M121" s="748"/>
      <c r="N121" s="748"/>
      <c r="O121" s="748"/>
      <c r="P121" s="748"/>
      <c r="Q121" s="748"/>
      <c r="R121" s="748"/>
      <c r="S121" s="748"/>
      <c r="T121" s="748"/>
      <c r="U121" s="748"/>
      <c r="V121" s="741">
        <v>21.5</v>
      </c>
      <c r="W121" s="252">
        <f t="shared" si="29"/>
        <v>0</v>
      </c>
      <c r="X121" s="252">
        <f t="shared" ref="X121:BA121" si="106">IF(AND(X$44-$A121&gt;$V$30,SUM($W121:W121)&lt;&gt;$V121),$V121,0)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c r="BB121" s="252"/>
    </row>
    <row r="122" ht="15.75" customHeight="1">
      <c r="A122" s="252">
        <v>2008.0</v>
      </c>
      <c r="B122" s="748"/>
      <c r="C122" s="748"/>
      <c r="D122" s="748"/>
      <c r="E122" s="748"/>
      <c r="F122" s="748"/>
      <c r="G122" s="748"/>
      <c r="H122" s="748"/>
      <c r="I122" s="748"/>
      <c r="J122" s="748"/>
      <c r="K122" s="748"/>
      <c r="L122" s="748"/>
      <c r="M122" s="748"/>
      <c r="N122" s="748"/>
      <c r="O122" s="748"/>
      <c r="P122" s="748"/>
      <c r="Q122" s="748"/>
      <c r="R122" s="748"/>
      <c r="S122" s="748"/>
      <c r="T122" s="748"/>
      <c r="U122" s="748"/>
      <c r="V122" s="741">
        <v>9.6</v>
      </c>
      <c r="W122" s="252">
        <f t="shared" si="29"/>
        <v>0</v>
      </c>
      <c r="X122" s="252">
        <f t="shared" ref="X122:BA122" si="107">IF(AND(X$44-$A122&gt;$V$30,SUM($W122:W122)&lt;&gt;$V122),$V122,0)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c r="BB122" s="252"/>
    </row>
    <row r="123" ht="15.75" customHeight="1">
      <c r="A123" s="825">
        <v>2009.0</v>
      </c>
      <c r="B123" s="748"/>
      <c r="C123" s="748"/>
      <c r="D123" s="748"/>
      <c r="E123" s="748"/>
      <c r="F123" s="748"/>
      <c r="G123" s="748"/>
      <c r="H123" s="748"/>
      <c r="I123" s="748"/>
      <c r="J123" s="748"/>
      <c r="K123" s="748"/>
      <c r="L123" s="748"/>
      <c r="M123" s="748"/>
      <c r="N123" s="748"/>
      <c r="O123" s="748"/>
      <c r="P123" s="748"/>
      <c r="Q123" s="748"/>
      <c r="R123" s="748"/>
      <c r="S123" s="748"/>
      <c r="T123" s="748"/>
      <c r="U123" s="748"/>
      <c r="V123" s="741">
        <v>17.4</v>
      </c>
      <c r="W123" s="252">
        <f t="shared" si="29"/>
        <v>0</v>
      </c>
      <c r="X123" s="252">
        <f t="shared" ref="X123:BA123" si="108">IF(AND(X$44-$A123&gt;$V$30,SUM($W123:W123)&lt;&gt;$V123),$V123,0)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c r="BB123" s="252"/>
    </row>
    <row r="124" ht="15.75" customHeight="1">
      <c r="A124" s="252">
        <v>2010.0</v>
      </c>
      <c r="B124" s="32"/>
      <c r="C124" s="32"/>
      <c r="D124" s="32"/>
      <c r="E124" s="32"/>
      <c r="F124" s="32"/>
      <c r="G124" s="32"/>
      <c r="H124" s="32"/>
      <c r="I124" s="32"/>
      <c r="J124" s="32"/>
      <c r="K124" s="32"/>
      <c r="L124" s="32"/>
      <c r="M124" s="32"/>
      <c r="N124" s="32"/>
      <c r="O124" s="32"/>
      <c r="P124" s="32"/>
      <c r="Q124" s="32"/>
      <c r="R124" s="32"/>
      <c r="S124" s="32"/>
      <c r="T124" s="32"/>
      <c r="U124" s="32"/>
      <c r="V124" s="741">
        <v>109.7</v>
      </c>
      <c r="W124" s="252">
        <f t="shared" si="29"/>
        <v>0</v>
      </c>
      <c r="X124" s="252">
        <f t="shared" ref="X124:BA124" si="109">IF(AND(X$44-$A124&gt;$V$30,SUM($W124:W124)&lt;&gt;$V124),$V124,0)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c r="BB124" s="252"/>
    </row>
    <row r="125" ht="15.75" customHeight="1">
      <c r="A125" s="252">
        <v>2011.0</v>
      </c>
      <c r="B125" s="32"/>
      <c r="C125" s="32"/>
      <c r="D125" s="32"/>
      <c r="E125" s="32"/>
      <c r="F125" s="32"/>
      <c r="G125" s="32"/>
      <c r="H125" s="32"/>
      <c r="I125" s="32"/>
      <c r="J125" s="32"/>
      <c r="K125" s="32"/>
      <c r="L125" s="32"/>
      <c r="M125" s="32"/>
      <c r="N125" s="32"/>
      <c r="O125" s="32"/>
      <c r="P125" s="32"/>
      <c r="Q125" s="32"/>
      <c r="R125" s="32"/>
      <c r="S125" s="32"/>
      <c r="T125" s="32"/>
      <c r="U125" s="32"/>
      <c r="V125" s="741">
        <v>98.6</v>
      </c>
      <c r="W125" s="252">
        <f t="shared" si="29"/>
        <v>0</v>
      </c>
      <c r="X125" s="252">
        <f t="shared" ref="X125:BA125" si="110">IF(AND(X$44-$A125&gt;$V$30,SUM($W125:W125)&lt;&gt;$V125),$V125,0)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c r="BB125" s="252"/>
    </row>
    <row r="126" ht="15.75" customHeight="1">
      <c r="A126" s="252">
        <v>2012.0</v>
      </c>
      <c r="B126" s="32"/>
      <c r="C126" s="32"/>
      <c r="D126" s="32"/>
      <c r="E126" s="32"/>
      <c r="F126" s="32"/>
      <c r="G126" s="32"/>
      <c r="H126" s="32"/>
      <c r="I126" s="32"/>
      <c r="J126" s="32"/>
      <c r="K126" s="32"/>
      <c r="L126" s="32"/>
      <c r="M126" s="32"/>
      <c r="N126" s="32"/>
      <c r="O126" s="32"/>
      <c r="P126" s="32"/>
      <c r="Q126" s="32"/>
      <c r="R126" s="32"/>
      <c r="S126" s="32"/>
      <c r="T126" s="32"/>
      <c r="U126" s="32"/>
      <c r="V126" s="741">
        <v>49.4</v>
      </c>
      <c r="W126" s="252">
        <f t="shared" si="29"/>
        <v>0</v>
      </c>
      <c r="X126" s="252">
        <f t="shared" ref="X126:BA126" si="111">IF(AND(X$44-$A126&gt;$V$30,SUM($W126:W126)&lt;&gt;$V126),$V126,0)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c r="BB126" s="252"/>
    </row>
    <row r="127" ht="15.75" customHeight="1">
      <c r="A127" s="252">
        <v>2013.0</v>
      </c>
      <c r="B127" s="32"/>
      <c r="C127" s="32"/>
      <c r="D127" s="32"/>
      <c r="E127" s="32"/>
      <c r="F127" s="32"/>
      <c r="G127" s="32"/>
      <c r="H127" s="32"/>
      <c r="I127" s="32"/>
      <c r="J127" s="32"/>
      <c r="K127" s="32"/>
      <c r="L127" s="32"/>
      <c r="M127" s="32"/>
      <c r="N127" s="32"/>
      <c r="O127" s="32"/>
      <c r="P127" s="32"/>
      <c r="Q127" s="32"/>
      <c r="R127" s="32"/>
      <c r="S127" s="32"/>
      <c r="T127" s="32"/>
      <c r="U127" s="32"/>
      <c r="V127" s="741">
        <v>172.1</v>
      </c>
      <c r="W127" s="252">
        <f t="shared" si="29"/>
        <v>0</v>
      </c>
      <c r="X127" s="252">
        <f t="shared" ref="X127:BA127" si="112">IF(AND(X$44-$A127&gt;$V$30,SUM($W127:W127)&lt;&gt;$V127),$V127,0)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c r="BB127" s="252"/>
    </row>
    <row r="128" ht="15.75" customHeight="1">
      <c r="A128" s="252">
        <v>2014.0</v>
      </c>
      <c r="B128" s="32"/>
      <c r="C128" s="32"/>
      <c r="D128" s="32"/>
      <c r="E128" s="32"/>
      <c r="F128" s="32"/>
      <c r="G128" s="32"/>
      <c r="H128" s="32"/>
      <c r="I128" s="32"/>
      <c r="J128" s="32"/>
      <c r="K128" s="32"/>
      <c r="L128" s="32"/>
      <c r="M128" s="32"/>
      <c r="N128" s="32"/>
      <c r="O128" s="32"/>
      <c r="P128" s="32"/>
      <c r="Q128" s="32"/>
      <c r="R128" s="32"/>
      <c r="S128" s="32"/>
      <c r="T128" s="32"/>
      <c r="U128" s="32"/>
      <c r="V128" s="741">
        <v>96.9</v>
      </c>
      <c r="W128" s="252">
        <f t="shared" si="29"/>
        <v>0</v>
      </c>
      <c r="X128" s="252">
        <f t="shared" ref="X128:BA128" si="113">IF(AND(X$44-$A128&gt;$V$30,SUM($W128:W128)&lt;&gt;$V128),$V128,0)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c r="BB128" s="252"/>
    </row>
    <row r="129" ht="15.75" customHeight="1">
      <c r="A129" s="252">
        <v>2015.0</v>
      </c>
      <c r="B129" s="32"/>
      <c r="C129" s="32"/>
      <c r="D129" s="32"/>
      <c r="E129" s="32"/>
      <c r="F129" s="32"/>
      <c r="G129" s="32"/>
      <c r="H129" s="32"/>
      <c r="I129" s="32"/>
      <c r="J129" s="32"/>
      <c r="K129" s="32"/>
      <c r="L129" s="32"/>
      <c r="M129" s="32"/>
      <c r="N129" s="32"/>
      <c r="O129" s="32"/>
      <c r="P129" s="32"/>
      <c r="Q129" s="32"/>
      <c r="R129" s="32"/>
      <c r="S129" s="32"/>
      <c r="T129" s="32"/>
      <c r="U129" s="32"/>
      <c r="V129" s="741">
        <v>46.1</v>
      </c>
      <c r="W129" s="252">
        <f t="shared" si="29"/>
        <v>0</v>
      </c>
      <c r="X129" s="252">
        <f t="shared" ref="X129:BA129" si="114">IF(AND(X$44-$A129&gt;$V$30,SUM($W129:W129)&lt;&gt;$V129),$V129,0)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c r="BB129" s="252"/>
    </row>
    <row r="130" ht="15.75" customHeight="1">
      <c r="A130" s="252">
        <v>2016.0</v>
      </c>
      <c r="B130" s="32"/>
      <c r="C130" s="32"/>
      <c r="D130" s="32"/>
      <c r="E130" s="32"/>
      <c r="F130" s="32"/>
      <c r="G130" s="32"/>
      <c r="H130" s="32"/>
      <c r="I130" s="32"/>
      <c r="J130" s="32"/>
      <c r="K130" s="32"/>
      <c r="L130" s="32"/>
      <c r="M130" s="32"/>
      <c r="N130" s="32"/>
      <c r="O130" s="32"/>
      <c r="P130" s="32"/>
      <c r="Q130" s="32"/>
      <c r="R130" s="32"/>
      <c r="S130" s="32"/>
      <c r="T130" s="32"/>
      <c r="U130" s="32"/>
      <c r="V130" s="741">
        <v>29.4</v>
      </c>
      <c r="W130" s="252">
        <f t="shared" si="29"/>
        <v>0</v>
      </c>
      <c r="X130" s="252">
        <f t="shared" ref="X130:BA130" si="115">IF(AND(X$44-$A130&gt;$V$30,SUM($W130:W130)&lt;&gt;$V130),$V130,0)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c r="BB130" s="252"/>
    </row>
    <row r="131" ht="15.75" customHeight="1">
      <c r="A131" s="252">
        <v>2017.0</v>
      </c>
      <c r="B131" s="32"/>
      <c r="C131" s="32"/>
      <c r="D131" s="32"/>
      <c r="E131" s="32"/>
      <c r="F131" s="32"/>
      <c r="G131" s="32"/>
      <c r="H131" s="32"/>
      <c r="I131" s="32"/>
      <c r="J131" s="32"/>
      <c r="K131" s="32"/>
      <c r="L131" s="32"/>
      <c r="M131" s="32"/>
      <c r="N131" s="32"/>
      <c r="O131" s="32"/>
      <c r="P131" s="32"/>
      <c r="Q131" s="32"/>
      <c r="R131" s="32"/>
      <c r="S131" s="32"/>
      <c r="T131" s="32"/>
      <c r="U131" s="32"/>
      <c r="V131" s="171">
        <v>134.0</v>
      </c>
      <c r="W131" s="252">
        <f t="shared" si="29"/>
        <v>0</v>
      </c>
      <c r="X131" s="252">
        <f t="shared" ref="X131:BA131" si="116">IF(AND(X$44-$A131&gt;$V$30,SUM($W131:W131)&lt;&gt;$V131),$V131,0)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c r="BB131" s="252"/>
    </row>
    <row r="132" ht="15.75" customHeight="1">
      <c r="A132" s="252">
        <v>2018.0</v>
      </c>
      <c r="B132" s="32"/>
      <c r="C132" s="32"/>
      <c r="D132" s="32"/>
      <c r="E132" s="32"/>
      <c r="F132" s="32"/>
      <c r="G132" s="32"/>
      <c r="H132" s="32"/>
      <c r="I132" s="32"/>
      <c r="J132" s="32"/>
      <c r="K132" s="32"/>
      <c r="L132" s="32"/>
      <c r="M132" s="32"/>
      <c r="N132" s="32"/>
      <c r="O132" s="32"/>
      <c r="P132" s="32"/>
      <c r="Q132" s="32"/>
      <c r="R132" s="32"/>
      <c r="S132" s="32"/>
      <c r="T132" s="32"/>
      <c r="U132" s="32"/>
      <c r="V132" s="741">
        <v>0.0</v>
      </c>
      <c r="W132" s="252">
        <f t="shared" si="29"/>
        <v>0</v>
      </c>
      <c r="X132" s="252">
        <f t="shared" ref="X132:BA132" si="117">IF(AND(X$44-$A132&gt;$V$30,SUM($W132:W132)&lt;&gt;$V132),$V132,0)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c r="BB132" s="252"/>
    </row>
    <row r="133" ht="15.75" customHeight="1">
      <c r="A133" s="252">
        <v>2019.0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29"/>
        <v>0</v>
      </c>
      <c r="X133" s="252">
        <f t="shared" ref="X133:BA133" si="118">IF(AND(X$44-$A133&gt;$V$30,SUM($W133:W133)&lt;&gt;$V133),$V133,0)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c r="BB133" s="252"/>
    </row>
    <row r="134" ht="15.75" customHeight="1">
      <c r="A134" s="744">
        <v>2020.0</v>
      </c>
      <c r="U134" s="745" t="s">
        <v>1016</v>
      </c>
      <c r="V134" s="747">
        <f t="array" ref="V134:V164">transpose(Model!W2030:BA2030)</f>
        <v>0</v>
      </c>
      <c r="W134" s="252">
        <f t="shared" si="29"/>
        <v>0</v>
      </c>
      <c r="X134" s="252">
        <f t="shared" ref="X134:BA134" si="119">IF(AND(X$44-$A134&gt;$V$30,SUM($W134:W134)&lt;&gt;$V134),$V134,0)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c r="BB134" s="252"/>
    </row>
    <row r="135" ht="15.75" customHeight="1">
      <c r="A135" s="744">
        <v>2021.0</v>
      </c>
      <c r="U135" s="745" t="s">
        <v>1017</v>
      </c>
      <c r="V135" s="747">
        <v>0.0</v>
      </c>
      <c r="W135" s="252">
        <f t="shared" si="29"/>
        <v>0</v>
      </c>
      <c r="X135" s="252">
        <f t="shared" ref="X135:BA135" si="120">IF(AND(X$44-$A135&gt;$V$30,SUM($W135:W135)&lt;&gt;$V135),$V135,0)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c r="BB135" s="252"/>
    </row>
    <row r="136" ht="15.75" customHeight="1">
      <c r="A136" s="744">
        <v>2022.0</v>
      </c>
      <c r="U136" s="745" t="s">
        <v>1018</v>
      </c>
      <c r="V136" s="747">
        <v>0.0</v>
      </c>
      <c r="W136" s="252">
        <f t="shared" si="29"/>
        <v>0</v>
      </c>
      <c r="X136" s="252">
        <f t="shared" ref="X136:BA136" si="121">IF(AND(X$44-$A136&gt;$V$30,SUM($W136:W136)&lt;&gt;$V136),$V136,0)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c r="BB136" s="252"/>
    </row>
    <row r="137" ht="15.75" customHeight="1">
      <c r="A137" s="744">
        <v>2023.0</v>
      </c>
      <c r="U137" s="745" t="s">
        <v>1019</v>
      </c>
      <c r="V137" s="747">
        <v>0.0</v>
      </c>
      <c r="W137" s="252">
        <f t="shared" si="29"/>
        <v>0</v>
      </c>
      <c r="X137" s="252">
        <f t="shared" ref="X137:BA137" si="122">IF(AND(X$44-$A137&gt;$V$30,SUM($W137:W137)&lt;&gt;$V137),$V137,0)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c r="BB137" s="252"/>
    </row>
    <row r="138" ht="15.75" customHeight="1">
      <c r="A138" s="744">
        <v>2024.0</v>
      </c>
      <c r="V138" s="747">
        <v>0.0</v>
      </c>
      <c r="W138" s="252">
        <f t="shared" si="29"/>
        <v>0</v>
      </c>
      <c r="X138" s="252">
        <f t="shared" ref="X138:BA138" si="123">IF(AND(X$44-$A138&gt;$V$30,SUM($W138:W138)&lt;&gt;$V138),$V138,0)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c r="BB138" s="252"/>
    </row>
    <row r="139" ht="15.75" customHeight="1">
      <c r="A139" s="744">
        <v>2025.0</v>
      </c>
      <c r="V139" s="747">
        <v>0.0</v>
      </c>
      <c r="W139" s="252">
        <f t="shared" si="29"/>
        <v>0</v>
      </c>
      <c r="X139" s="252">
        <f t="shared" ref="X139:BA139" si="124">IF(AND(X$44-$A139&gt;$V$30,SUM($W139:W139)&lt;&gt;$V139),$V139,0)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c r="BB139" s="252"/>
    </row>
    <row r="140" ht="15.75" customHeight="1">
      <c r="A140" s="744">
        <v>2026.0</v>
      </c>
      <c r="V140" s="747">
        <v>0.0</v>
      </c>
      <c r="W140" s="252">
        <f t="shared" si="29"/>
        <v>0</v>
      </c>
      <c r="X140" s="252">
        <f t="shared" ref="X140:BA140" si="125">IF(AND(X$44-$A140&gt;$V$30,SUM($W140:W140)&lt;&gt;$V140),$V140,0)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c r="BB140" s="252"/>
    </row>
    <row r="141" ht="15.75" customHeight="1">
      <c r="A141" s="744">
        <v>2027.0</v>
      </c>
      <c r="V141" s="747">
        <v>0.0</v>
      </c>
      <c r="W141" s="252">
        <f t="shared" si="29"/>
        <v>0</v>
      </c>
      <c r="X141" s="252">
        <f t="shared" ref="X141:BA141" si="126">IF(AND(X$44-$A141&gt;$V$30,SUM($W141:W141)&lt;&gt;$V141),$V141,0)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c r="BB141" s="252"/>
    </row>
    <row r="142" ht="15.75" customHeight="1">
      <c r="A142" s="744">
        <v>2028.0</v>
      </c>
      <c r="V142" s="747">
        <v>0.0</v>
      </c>
      <c r="W142" s="252">
        <f t="shared" si="29"/>
        <v>0</v>
      </c>
      <c r="X142" s="252">
        <f t="shared" ref="X142:BA142" si="127">IF(AND(X$44-$A142&gt;$V$30,SUM($W142:W142)&lt;&gt;$V142),$V142,0)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c r="BB142" s="252"/>
    </row>
    <row r="143" ht="15.75" customHeight="1">
      <c r="A143" s="744">
        <v>2029.0</v>
      </c>
      <c r="V143" s="747">
        <v>0.0</v>
      </c>
      <c r="W143" s="252">
        <f t="shared" si="29"/>
        <v>0</v>
      </c>
      <c r="X143" s="252">
        <f t="shared" ref="X143:BA143" si="128">IF(AND(X$44-$A143&gt;$V$30,SUM($W143:W143)&lt;&gt;$V143),$V143,0)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c r="BB143" s="252"/>
    </row>
    <row r="144" ht="15.75" customHeight="1">
      <c r="A144" s="744">
        <v>2030.0</v>
      </c>
      <c r="V144" s="747">
        <v>0.0</v>
      </c>
      <c r="W144" s="252">
        <f t="shared" si="29"/>
        <v>0</v>
      </c>
      <c r="X144" s="252">
        <f t="shared" ref="X144:BA144" si="129">IF(AND(X$44-$A144&gt;$V$30,SUM($W144:W144)&lt;&gt;$V144),$V144,0)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c r="BB144" s="252"/>
    </row>
    <row r="145" ht="15.75" customHeight="1">
      <c r="A145" s="744">
        <v>2031.0</v>
      </c>
      <c r="V145" s="747">
        <v>0.0</v>
      </c>
      <c r="W145" s="252">
        <f t="shared" si="29"/>
        <v>0</v>
      </c>
      <c r="X145" s="252">
        <f t="shared" ref="X145:BA145" si="130">IF(AND(X$44-$A145&gt;$V$30,SUM($W145:W145)&lt;&gt;$V145),$V145,0)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c r="BB145" s="252"/>
    </row>
    <row r="146" ht="15.75" customHeight="1">
      <c r="A146" s="744">
        <v>2032.0</v>
      </c>
      <c r="V146" s="747">
        <v>0.0</v>
      </c>
      <c r="W146" s="252">
        <f t="shared" si="29"/>
        <v>0</v>
      </c>
      <c r="X146" s="252">
        <f t="shared" ref="X146:BA146" si="131">IF(AND(X$44-$A146&gt;$V$30,SUM($W146:W146)&lt;&gt;$V146),$V146,0)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c r="BB146" s="252"/>
    </row>
    <row r="147" ht="15.75" customHeight="1">
      <c r="A147" s="744">
        <v>2033.0</v>
      </c>
      <c r="V147" s="747">
        <v>0.0</v>
      </c>
      <c r="W147" s="252">
        <f t="shared" si="29"/>
        <v>0</v>
      </c>
      <c r="X147" s="252">
        <f t="shared" ref="X147:BA147" si="132">IF(AND(X$44-$A147&gt;$V$30,SUM($W147:W147)&lt;&gt;$V147),$V147,0)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c r="BB147" s="252"/>
    </row>
    <row r="148" ht="15.75" customHeight="1">
      <c r="A148" s="744">
        <v>2034.0</v>
      </c>
      <c r="V148" s="747">
        <v>0.0</v>
      </c>
      <c r="W148" s="252">
        <f t="shared" si="29"/>
        <v>0</v>
      </c>
      <c r="X148" s="252">
        <f t="shared" ref="X148:BA148" si="133">IF(AND(X$44-$A148&gt;$V$30,SUM($W148:W148)&lt;&gt;$V148),$V148,0)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c r="BB148" s="252"/>
    </row>
    <row r="149" ht="15.75" customHeight="1">
      <c r="A149" s="744">
        <v>2035.0</v>
      </c>
      <c r="V149" s="747">
        <v>0.0</v>
      </c>
      <c r="W149" s="252">
        <f t="shared" si="29"/>
        <v>0</v>
      </c>
      <c r="X149" s="252">
        <f t="shared" ref="X149:BA149" si="134">IF(AND(X$44-$A149&gt;$V$30,SUM($W149:W149)&lt;&gt;$V149),$V149,0)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c r="BB149" s="252"/>
    </row>
    <row r="150" ht="15.75" customHeight="1">
      <c r="A150" s="744">
        <v>2036.0</v>
      </c>
      <c r="V150" s="747">
        <v>0.0</v>
      </c>
      <c r="W150" s="252">
        <f t="shared" si="29"/>
        <v>0</v>
      </c>
      <c r="X150" s="252">
        <f t="shared" ref="X150:BA150" si="135">IF(AND(X$44-$A150&gt;$V$30,SUM($W150:W150)&lt;&gt;$V150),$V150,0)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c r="BB150" s="252"/>
    </row>
    <row r="151" ht="15.75" customHeight="1">
      <c r="A151" s="744">
        <v>2037.0</v>
      </c>
      <c r="V151" s="747">
        <v>0.0</v>
      </c>
      <c r="W151" s="252">
        <f t="shared" si="29"/>
        <v>0</v>
      </c>
      <c r="X151" s="252">
        <f t="shared" ref="X151:BA151" si="136">IF(AND(X$44-$A151&gt;$V$30,SUM($W151:W151)&lt;&gt;$V151),$V151,0)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c r="BB151" s="252"/>
    </row>
    <row r="152" ht="15.75" customHeight="1">
      <c r="A152" s="744">
        <v>2038.0</v>
      </c>
      <c r="V152" s="747">
        <v>0.0</v>
      </c>
      <c r="W152" s="252">
        <f t="shared" si="29"/>
        <v>0</v>
      </c>
      <c r="X152" s="252">
        <f t="shared" ref="X152:BA152" si="137">IF(AND(X$44-$A152&gt;$V$30,SUM($W152:W152)&lt;&gt;$V152),$V152,0)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c r="BB152" s="252"/>
    </row>
    <row r="153" ht="15.75" customHeight="1">
      <c r="A153" s="744">
        <v>2039.0</v>
      </c>
      <c r="V153" s="747">
        <v>0.0</v>
      </c>
      <c r="W153" s="252">
        <f t="shared" si="29"/>
        <v>0</v>
      </c>
      <c r="X153" s="252">
        <f t="shared" ref="X153:BA153" si="138">IF(AND(X$44-$A153&gt;$V$30,SUM($W153:W153)&lt;&gt;$V153),$V153,0)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c r="BB153" s="252"/>
    </row>
    <row r="154" ht="15.75" customHeight="1">
      <c r="A154" s="744">
        <v>2040.0</v>
      </c>
      <c r="V154" s="747">
        <v>0.0</v>
      </c>
      <c r="W154" s="252">
        <f t="shared" si="29"/>
        <v>0</v>
      </c>
      <c r="X154" s="252">
        <f t="shared" ref="X154:BA154" si="139">IF(AND(X$44-$A154&gt;$V$30,SUM($W154:W154)&lt;&gt;$V154),$V154,0)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c r="BB154" s="252"/>
    </row>
    <row r="155" ht="15.75" customHeight="1">
      <c r="A155" s="744">
        <v>2041.0</v>
      </c>
      <c r="V155" s="747">
        <v>0.0</v>
      </c>
      <c r="W155" s="252">
        <f t="shared" si="29"/>
        <v>0</v>
      </c>
      <c r="X155" s="252">
        <f t="shared" ref="X155:BA155" si="140">IF(AND(X$44-$A155&gt;$V$30,SUM($W155:W155)&lt;&gt;$V155),$V155,0)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c r="BB155" s="252"/>
    </row>
    <row r="156" ht="15.75" customHeight="1">
      <c r="A156" s="744">
        <v>2042.0</v>
      </c>
      <c r="V156" s="747">
        <v>0.0</v>
      </c>
      <c r="W156" s="252">
        <f t="shared" si="29"/>
        <v>0</v>
      </c>
      <c r="X156" s="252">
        <f t="shared" ref="X156:BA156" si="141">IF(AND(X$44-$A156&gt;$V$30,SUM($W156:W156)&lt;&gt;$V156),$V156,0)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c r="BB156" s="252"/>
    </row>
    <row r="157" ht="15.75" customHeight="1">
      <c r="A157" s="744">
        <v>2043.0</v>
      </c>
      <c r="V157" s="747">
        <v>0.0</v>
      </c>
      <c r="W157" s="252">
        <f t="shared" si="29"/>
        <v>0</v>
      </c>
      <c r="X157" s="252">
        <f t="shared" ref="X157:BA157" si="142">IF(AND(X$44-$A157&gt;$V$30,SUM($W157:W157)&lt;&gt;$V157),$V157,0)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c r="BB157" s="252"/>
    </row>
    <row r="158" ht="15.75" customHeight="1">
      <c r="A158" s="744">
        <v>2044.0</v>
      </c>
      <c r="V158" s="747">
        <v>0.0</v>
      </c>
      <c r="W158" s="252">
        <f t="shared" si="29"/>
        <v>0</v>
      </c>
      <c r="X158" s="252">
        <f t="shared" ref="X158:BA158" si="143">IF(AND(X$44-$A158&gt;$V$30,SUM($W158:W158)&lt;&gt;$V158),$V158,0)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c r="BB158" s="252"/>
    </row>
    <row r="159" ht="15.75" customHeight="1">
      <c r="A159" s="744">
        <v>2045.0</v>
      </c>
      <c r="V159" s="747">
        <v>0.0</v>
      </c>
      <c r="W159" s="252">
        <f t="shared" si="29"/>
        <v>0</v>
      </c>
      <c r="X159" s="252">
        <f t="shared" ref="X159:BA159" si="144">IF(AND(X$44-$A159&gt;$V$30,SUM($W159:W159)&lt;&gt;$V159),$V159,0)</f>
        <v>0</v>
      </c>
      <c r="Y159" s="252">
        <f t="shared" si="144"/>
        <v>0</v>
      </c>
      <c r="Z159" s="252">
        <f t="shared" si="144"/>
        <v>0</v>
      </c>
      <c r="AA159" s="252">
        <f t="shared" si="144"/>
        <v>0</v>
      </c>
      <c r="AB159" s="252">
        <f t="shared" si="144"/>
        <v>0</v>
      </c>
      <c r="AC159" s="252">
        <f t="shared" si="144"/>
        <v>0</v>
      </c>
      <c r="AD159" s="252">
        <f t="shared" si="144"/>
        <v>0</v>
      </c>
      <c r="AE159" s="252">
        <f t="shared" si="144"/>
        <v>0</v>
      </c>
      <c r="AF159" s="252">
        <f t="shared" si="144"/>
        <v>0</v>
      </c>
      <c r="AG159" s="252">
        <f t="shared" si="144"/>
        <v>0</v>
      </c>
      <c r="AH159" s="252">
        <f t="shared" si="144"/>
        <v>0</v>
      </c>
      <c r="AI159" s="252">
        <f t="shared" si="144"/>
        <v>0</v>
      </c>
      <c r="AJ159" s="252">
        <f t="shared" si="144"/>
        <v>0</v>
      </c>
      <c r="AK159" s="252">
        <f t="shared" si="144"/>
        <v>0</v>
      </c>
      <c r="AL159" s="252">
        <f t="shared" si="144"/>
        <v>0</v>
      </c>
      <c r="AM159" s="252">
        <f t="shared" si="144"/>
        <v>0</v>
      </c>
      <c r="AN159" s="252">
        <f t="shared" si="144"/>
        <v>0</v>
      </c>
      <c r="AO159" s="252">
        <f t="shared" si="144"/>
        <v>0</v>
      </c>
      <c r="AP159" s="252">
        <f t="shared" si="144"/>
        <v>0</v>
      </c>
      <c r="AQ159" s="252">
        <f t="shared" si="144"/>
        <v>0</v>
      </c>
      <c r="AR159" s="252">
        <f t="shared" si="144"/>
        <v>0</v>
      </c>
      <c r="AS159" s="252">
        <f t="shared" si="144"/>
        <v>0</v>
      </c>
      <c r="AT159" s="252">
        <f t="shared" si="144"/>
        <v>0</v>
      </c>
      <c r="AU159" s="252">
        <f t="shared" si="144"/>
        <v>0</v>
      </c>
      <c r="AV159" s="252">
        <f t="shared" si="144"/>
        <v>0</v>
      </c>
      <c r="AW159" s="252">
        <f t="shared" si="144"/>
        <v>0</v>
      </c>
      <c r="AX159" s="252">
        <f t="shared" si="144"/>
        <v>0</v>
      </c>
      <c r="AY159" s="252">
        <f t="shared" si="144"/>
        <v>0</v>
      </c>
      <c r="AZ159" s="252">
        <f t="shared" si="144"/>
        <v>0</v>
      </c>
      <c r="BA159" s="252">
        <f t="shared" si="144"/>
        <v>0</v>
      </c>
      <c r="BB159" s="252"/>
    </row>
    <row r="160" ht="15.75" customHeight="1">
      <c r="A160" s="744">
        <v>2046.0</v>
      </c>
      <c r="V160" s="747">
        <v>0.0</v>
      </c>
      <c r="W160" s="252">
        <f t="shared" si="29"/>
        <v>0</v>
      </c>
      <c r="X160" s="252">
        <f t="shared" ref="X160:BA160" si="145">IF(AND(X$44-$A160&gt;$V$30,SUM($W160:W160)&lt;&gt;$V160),$V160,0)</f>
        <v>0</v>
      </c>
      <c r="Y160" s="252">
        <f t="shared" si="145"/>
        <v>0</v>
      </c>
      <c r="Z160" s="252">
        <f t="shared" si="145"/>
        <v>0</v>
      </c>
      <c r="AA160" s="252">
        <f t="shared" si="145"/>
        <v>0</v>
      </c>
      <c r="AB160" s="252">
        <f t="shared" si="145"/>
        <v>0</v>
      </c>
      <c r="AC160" s="252">
        <f t="shared" si="145"/>
        <v>0</v>
      </c>
      <c r="AD160" s="252">
        <f t="shared" si="145"/>
        <v>0</v>
      </c>
      <c r="AE160" s="252">
        <f t="shared" si="145"/>
        <v>0</v>
      </c>
      <c r="AF160" s="252">
        <f t="shared" si="145"/>
        <v>0</v>
      </c>
      <c r="AG160" s="252">
        <f t="shared" si="145"/>
        <v>0</v>
      </c>
      <c r="AH160" s="252">
        <f t="shared" si="145"/>
        <v>0</v>
      </c>
      <c r="AI160" s="252">
        <f t="shared" si="145"/>
        <v>0</v>
      </c>
      <c r="AJ160" s="252">
        <f t="shared" si="145"/>
        <v>0</v>
      </c>
      <c r="AK160" s="252">
        <f t="shared" si="145"/>
        <v>0</v>
      </c>
      <c r="AL160" s="252">
        <f t="shared" si="145"/>
        <v>0</v>
      </c>
      <c r="AM160" s="252">
        <f t="shared" si="145"/>
        <v>0</v>
      </c>
      <c r="AN160" s="252">
        <f t="shared" si="145"/>
        <v>0</v>
      </c>
      <c r="AO160" s="252">
        <f t="shared" si="145"/>
        <v>0</v>
      </c>
      <c r="AP160" s="252">
        <f t="shared" si="145"/>
        <v>0</v>
      </c>
      <c r="AQ160" s="252">
        <f t="shared" si="145"/>
        <v>0</v>
      </c>
      <c r="AR160" s="252">
        <f t="shared" si="145"/>
        <v>0</v>
      </c>
      <c r="AS160" s="252">
        <f t="shared" si="145"/>
        <v>0</v>
      </c>
      <c r="AT160" s="252">
        <f t="shared" si="145"/>
        <v>0</v>
      </c>
      <c r="AU160" s="252">
        <f t="shared" si="145"/>
        <v>0</v>
      </c>
      <c r="AV160" s="252">
        <f t="shared" si="145"/>
        <v>0</v>
      </c>
      <c r="AW160" s="252">
        <f t="shared" si="145"/>
        <v>0</v>
      </c>
      <c r="AX160" s="252">
        <f t="shared" si="145"/>
        <v>0</v>
      </c>
      <c r="AY160" s="252">
        <f t="shared" si="145"/>
        <v>0</v>
      </c>
      <c r="AZ160" s="252">
        <f t="shared" si="145"/>
        <v>0</v>
      </c>
      <c r="BA160" s="252">
        <f t="shared" si="145"/>
        <v>0</v>
      </c>
      <c r="BB160" s="252"/>
    </row>
    <row r="161" ht="15.75" customHeight="1">
      <c r="A161" s="744">
        <v>2047.0</v>
      </c>
      <c r="V161" s="747">
        <v>0.0</v>
      </c>
      <c r="W161" s="252">
        <f t="shared" si="29"/>
        <v>0</v>
      </c>
      <c r="X161" s="252">
        <f t="shared" ref="X161:BA161" si="146">IF(AND(X$44-$A161&gt;$V$30,SUM($W161:W161)&lt;&gt;$V161),$V161,0)</f>
        <v>0</v>
      </c>
      <c r="Y161" s="252">
        <f t="shared" si="146"/>
        <v>0</v>
      </c>
      <c r="Z161" s="252">
        <f t="shared" si="146"/>
        <v>0</v>
      </c>
      <c r="AA161" s="252">
        <f t="shared" si="146"/>
        <v>0</v>
      </c>
      <c r="AB161" s="252">
        <f t="shared" si="146"/>
        <v>0</v>
      </c>
      <c r="AC161" s="252">
        <f t="shared" si="146"/>
        <v>0</v>
      </c>
      <c r="AD161" s="252">
        <f t="shared" si="146"/>
        <v>0</v>
      </c>
      <c r="AE161" s="252">
        <f t="shared" si="146"/>
        <v>0</v>
      </c>
      <c r="AF161" s="252">
        <f t="shared" si="146"/>
        <v>0</v>
      </c>
      <c r="AG161" s="252">
        <f t="shared" si="146"/>
        <v>0</v>
      </c>
      <c r="AH161" s="252">
        <f t="shared" si="146"/>
        <v>0</v>
      </c>
      <c r="AI161" s="252">
        <f t="shared" si="146"/>
        <v>0</v>
      </c>
      <c r="AJ161" s="252">
        <f t="shared" si="146"/>
        <v>0</v>
      </c>
      <c r="AK161" s="252">
        <f t="shared" si="146"/>
        <v>0</v>
      </c>
      <c r="AL161" s="252">
        <f t="shared" si="146"/>
        <v>0</v>
      </c>
      <c r="AM161" s="252">
        <f t="shared" si="146"/>
        <v>0</v>
      </c>
      <c r="AN161" s="252">
        <f t="shared" si="146"/>
        <v>0</v>
      </c>
      <c r="AO161" s="252">
        <f t="shared" si="146"/>
        <v>0</v>
      </c>
      <c r="AP161" s="252">
        <f t="shared" si="146"/>
        <v>0</v>
      </c>
      <c r="AQ161" s="252">
        <f t="shared" si="146"/>
        <v>0</v>
      </c>
      <c r="AR161" s="252">
        <f t="shared" si="146"/>
        <v>0</v>
      </c>
      <c r="AS161" s="252">
        <f t="shared" si="146"/>
        <v>0</v>
      </c>
      <c r="AT161" s="252">
        <f t="shared" si="146"/>
        <v>0</v>
      </c>
      <c r="AU161" s="252">
        <f t="shared" si="146"/>
        <v>0</v>
      </c>
      <c r="AV161" s="252">
        <f t="shared" si="146"/>
        <v>0</v>
      </c>
      <c r="AW161" s="252">
        <f t="shared" si="146"/>
        <v>0</v>
      </c>
      <c r="AX161" s="252">
        <f t="shared" si="146"/>
        <v>0</v>
      </c>
      <c r="AY161" s="252">
        <f t="shared" si="146"/>
        <v>0</v>
      </c>
      <c r="AZ161" s="252">
        <f t="shared" si="146"/>
        <v>0</v>
      </c>
      <c r="BA161" s="252">
        <f t="shared" si="146"/>
        <v>0</v>
      </c>
      <c r="BB161" s="252"/>
    </row>
    <row r="162" ht="15.75" customHeight="1">
      <c r="A162" s="744">
        <v>2048.0</v>
      </c>
      <c r="V162" s="747">
        <v>0.0</v>
      </c>
      <c r="W162" s="252">
        <f t="shared" si="29"/>
        <v>0</v>
      </c>
      <c r="X162" s="252">
        <f t="shared" ref="X162:BA162" si="147">IF(AND(X$44-$A162&gt;$V$30,SUM($W162:W162)&lt;&gt;$V162),$V162,0)</f>
        <v>0</v>
      </c>
      <c r="Y162" s="252">
        <f t="shared" si="147"/>
        <v>0</v>
      </c>
      <c r="Z162" s="252">
        <f t="shared" si="147"/>
        <v>0</v>
      </c>
      <c r="AA162" s="252">
        <f t="shared" si="147"/>
        <v>0</v>
      </c>
      <c r="AB162" s="252">
        <f t="shared" si="147"/>
        <v>0</v>
      </c>
      <c r="AC162" s="252">
        <f t="shared" si="147"/>
        <v>0</v>
      </c>
      <c r="AD162" s="252">
        <f t="shared" si="147"/>
        <v>0</v>
      </c>
      <c r="AE162" s="252">
        <f t="shared" si="147"/>
        <v>0</v>
      </c>
      <c r="AF162" s="252">
        <f t="shared" si="147"/>
        <v>0</v>
      </c>
      <c r="AG162" s="252">
        <f t="shared" si="147"/>
        <v>0</v>
      </c>
      <c r="AH162" s="252">
        <f t="shared" si="147"/>
        <v>0</v>
      </c>
      <c r="AI162" s="252">
        <f t="shared" si="147"/>
        <v>0</v>
      </c>
      <c r="AJ162" s="252">
        <f t="shared" si="147"/>
        <v>0</v>
      </c>
      <c r="AK162" s="252">
        <f t="shared" si="147"/>
        <v>0</v>
      </c>
      <c r="AL162" s="252">
        <f t="shared" si="147"/>
        <v>0</v>
      </c>
      <c r="AM162" s="252">
        <f t="shared" si="147"/>
        <v>0</v>
      </c>
      <c r="AN162" s="252">
        <f t="shared" si="147"/>
        <v>0</v>
      </c>
      <c r="AO162" s="252">
        <f t="shared" si="147"/>
        <v>0</v>
      </c>
      <c r="AP162" s="252">
        <f t="shared" si="147"/>
        <v>0</v>
      </c>
      <c r="AQ162" s="252">
        <f t="shared" si="147"/>
        <v>0</v>
      </c>
      <c r="AR162" s="252">
        <f t="shared" si="147"/>
        <v>0</v>
      </c>
      <c r="AS162" s="252">
        <f t="shared" si="147"/>
        <v>0</v>
      </c>
      <c r="AT162" s="252">
        <f t="shared" si="147"/>
        <v>0</v>
      </c>
      <c r="AU162" s="252">
        <f t="shared" si="147"/>
        <v>0</v>
      </c>
      <c r="AV162" s="252">
        <f t="shared" si="147"/>
        <v>0</v>
      </c>
      <c r="AW162" s="252">
        <f t="shared" si="147"/>
        <v>0</v>
      </c>
      <c r="AX162" s="252">
        <f t="shared" si="147"/>
        <v>0</v>
      </c>
      <c r="AY162" s="252">
        <f t="shared" si="147"/>
        <v>0</v>
      </c>
      <c r="AZ162" s="252">
        <f t="shared" si="147"/>
        <v>0</v>
      </c>
      <c r="BA162" s="252">
        <f t="shared" si="147"/>
        <v>0</v>
      </c>
      <c r="BB162" s="252"/>
    </row>
    <row r="163" ht="15.75" customHeight="1">
      <c r="A163" s="744">
        <v>2049.0</v>
      </c>
      <c r="V163" s="747">
        <v>0.0</v>
      </c>
      <c r="W163" s="252">
        <f t="shared" si="29"/>
        <v>0</v>
      </c>
      <c r="X163" s="252">
        <f t="shared" ref="X163:BA163" si="148">IF(AND(X$44-$A163&gt;$V$30,SUM($W163:W163)&lt;&gt;$V163),$V163,0)</f>
        <v>0</v>
      </c>
      <c r="Y163" s="252">
        <f t="shared" si="148"/>
        <v>0</v>
      </c>
      <c r="Z163" s="252">
        <f t="shared" si="148"/>
        <v>0</v>
      </c>
      <c r="AA163" s="252">
        <f t="shared" si="148"/>
        <v>0</v>
      </c>
      <c r="AB163" s="252">
        <f t="shared" si="148"/>
        <v>0</v>
      </c>
      <c r="AC163" s="252">
        <f t="shared" si="148"/>
        <v>0</v>
      </c>
      <c r="AD163" s="252">
        <f t="shared" si="148"/>
        <v>0</v>
      </c>
      <c r="AE163" s="252">
        <f t="shared" si="148"/>
        <v>0</v>
      </c>
      <c r="AF163" s="252">
        <f t="shared" si="148"/>
        <v>0</v>
      </c>
      <c r="AG163" s="252">
        <f t="shared" si="148"/>
        <v>0</v>
      </c>
      <c r="AH163" s="252">
        <f t="shared" si="148"/>
        <v>0</v>
      </c>
      <c r="AI163" s="252">
        <f t="shared" si="148"/>
        <v>0</v>
      </c>
      <c r="AJ163" s="252">
        <f t="shared" si="148"/>
        <v>0</v>
      </c>
      <c r="AK163" s="252">
        <f t="shared" si="148"/>
        <v>0</v>
      </c>
      <c r="AL163" s="252">
        <f t="shared" si="148"/>
        <v>0</v>
      </c>
      <c r="AM163" s="252">
        <f t="shared" si="148"/>
        <v>0</v>
      </c>
      <c r="AN163" s="252">
        <f t="shared" si="148"/>
        <v>0</v>
      </c>
      <c r="AO163" s="252">
        <f t="shared" si="148"/>
        <v>0</v>
      </c>
      <c r="AP163" s="252">
        <f t="shared" si="148"/>
        <v>0</v>
      </c>
      <c r="AQ163" s="252">
        <f t="shared" si="148"/>
        <v>0</v>
      </c>
      <c r="AR163" s="252">
        <f t="shared" si="148"/>
        <v>0</v>
      </c>
      <c r="AS163" s="252">
        <f t="shared" si="148"/>
        <v>0</v>
      </c>
      <c r="AT163" s="252">
        <f t="shared" si="148"/>
        <v>0</v>
      </c>
      <c r="AU163" s="252">
        <f t="shared" si="148"/>
        <v>0</v>
      </c>
      <c r="AV163" s="252">
        <f t="shared" si="148"/>
        <v>0</v>
      </c>
      <c r="AW163" s="252">
        <f t="shared" si="148"/>
        <v>0</v>
      </c>
      <c r="AX163" s="252">
        <f t="shared" si="148"/>
        <v>0</v>
      </c>
      <c r="AY163" s="252">
        <f t="shared" si="148"/>
        <v>0</v>
      </c>
      <c r="AZ163" s="252">
        <f t="shared" si="148"/>
        <v>0</v>
      </c>
      <c r="BA163" s="252">
        <f t="shared" si="148"/>
        <v>0</v>
      </c>
      <c r="BB163" s="252"/>
    </row>
    <row r="164" ht="15.75" customHeight="1">
      <c r="A164" s="744">
        <v>2050.0</v>
      </c>
      <c r="V164" s="747">
        <v>0.0</v>
      </c>
      <c r="W164" s="252">
        <f t="shared" si="29"/>
        <v>0</v>
      </c>
      <c r="X164" s="252">
        <f t="shared" ref="X164:BA164" si="149">IF(AND(X$44-$A164&gt;$V$30,SUM($W164:W164)&lt;&gt;$V164),$V164,0)</f>
        <v>0</v>
      </c>
      <c r="Y164" s="252">
        <f t="shared" si="149"/>
        <v>0</v>
      </c>
      <c r="Z164" s="252">
        <f t="shared" si="149"/>
        <v>0</v>
      </c>
      <c r="AA164" s="252">
        <f t="shared" si="149"/>
        <v>0</v>
      </c>
      <c r="AB164" s="252">
        <f t="shared" si="149"/>
        <v>0</v>
      </c>
      <c r="AC164" s="252">
        <f t="shared" si="149"/>
        <v>0</v>
      </c>
      <c r="AD164" s="252">
        <f t="shared" si="149"/>
        <v>0</v>
      </c>
      <c r="AE164" s="252">
        <f t="shared" si="149"/>
        <v>0</v>
      </c>
      <c r="AF164" s="252">
        <f t="shared" si="149"/>
        <v>0</v>
      </c>
      <c r="AG164" s="252">
        <f t="shared" si="149"/>
        <v>0</v>
      </c>
      <c r="AH164" s="252">
        <f t="shared" si="149"/>
        <v>0</v>
      </c>
      <c r="AI164" s="252">
        <f t="shared" si="149"/>
        <v>0</v>
      </c>
      <c r="AJ164" s="252">
        <f t="shared" si="149"/>
        <v>0</v>
      </c>
      <c r="AK164" s="252">
        <f t="shared" si="149"/>
        <v>0</v>
      </c>
      <c r="AL164" s="252">
        <f t="shared" si="149"/>
        <v>0</v>
      </c>
      <c r="AM164" s="252">
        <f t="shared" si="149"/>
        <v>0</v>
      </c>
      <c r="AN164" s="252">
        <f t="shared" si="149"/>
        <v>0</v>
      </c>
      <c r="AO164" s="252">
        <f t="shared" si="149"/>
        <v>0</v>
      </c>
      <c r="AP164" s="252">
        <f t="shared" si="149"/>
        <v>0</v>
      </c>
      <c r="AQ164" s="252">
        <f t="shared" si="149"/>
        <v>0</v>
      </c>
      <c r="AR164" s="252">
        <f t="shared" si="149"/>
        <v>0</v>
      </c>
      <c r="AS164" s="252">
        <f t="shared" si="149"/>
        <v>0</v>
      </c>
      <c r="AT164" s="252">
        <f t="shared" si="149"/>
        <v>0</v>
      </c>
      <c r="AU164" s="252">
        <f t="shared" si="149"/>
        <v>0</v>
      </c>
      <c r="AV164" s="252">
        <f t="shared" si="149"/>
        <v>0</v>
      </c>
      <c r="AW164" s="252">
        <f t="shared" si="149"/>
        <v>0</v>
      </c>
      <c r="AX164" s="252">
        <f t="shared" si="149"/>
        <v>0</v>
      </c>
      <c r="AY164" s="252">
        <f t="shared" si="149"/>
        <v>0</v>
      </c>
      <c r="AZ164" s="252">
        <f t="shared" si="149"/>
        <v>0</v>
      </c>
      <c r="BA164" s="252">
        <f t="shared" si="149"/>
        <v>0</v>
      </c>
      <c r="BB164" s="252"/>
    </row>
    <row r="165" ht="15.75" customHeight="1"/>
    <row r="166" ht="15.75" customHeight="1"/>
    <row r="167" ht="15.75" customHeight="1"/>
    <row r="168" ht="15.75" customHeight="1"/>
    <row r="169" ht="15.75" customHeight="1"/>
    <row r="170" ht="15.75" customHeight="1"/>
  </sheetData>
  <printOptions/>
  <pageMargins bottom="0.75" footer="0.0" header="0.0" left="0.7" right="0.7" top="0.75"/>
  <pageSetup orientation="landscape"/>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C2/(1+B36-B3)</f>
        <v>662229.814</v>
      </c>
      <c r="C2" s="160">
        <f t="shared" si="1"/>
        <v>675404.3711</v>
      </c>
      <c r="D2" s="160">
        <f t="shared" si="1"/>
        <v>688841.026</v>
      </c>
      <c r="E2" s="160">
        <f t="shared" si="1"/>
        <v>702544.9929</v>
      </c>
      <c r="F2" s="160">
        <f t="shared" si="1"/>
        <v>716521.5898</v>
      </c>
      <c r="G2" s="160">
        <f t="shared" si="1"/>
        <v>730776.2404</v>
      </c>
      <c r="H2" s="160">
        <f t="shared" si="1"/>
        <v>745314.4764</v>
      </c>
      <c r="I2" s="160">
        <f t="shared" si="1"/>
        <v>760141.9395</v>
      </c>
      <c r="J2" s="160">
        <f t="shared" si="1"/>
        <v>775264.3837</v>
      </c>
      <c r="K2" s="160">
        <f t="shared" si="1"/>
        <v>790687.6774</v>
      </c>
      <c r="L2" s="160">
        <f t="shared" si="1"/>
        <v>806417.8057</v>
      </c>
      <c r="M2" s="160">
        <f t="shared" si="1"/>
        <v>822460.873</v>
      </c>
      <c r="N2" s="160">
        <f t="shared" si="1"/>
        <v>838823.1048</v>
      </c>
      <c r="O2" s="160">
        <f t="shared" si="1"/>
        <v>855510.8508</v>
      </c>
      <c r="P2" s="160">
        <f t="shared" si="1"/>
        <v>872530.5867</v>
      </c>
      <c r="Q2" s="160">
        <f t="shared" si="1"/>
        <v>889888.9173</v>
      </c>
      <c r="R2" s="160">
        <f t="shared" si="1"/>
        <v>907592.5787</v>
      </c>
      <c r="S2" s="160">
        <f t="shared" si="1"/>
        <v>925648.4409</v>
      </c>
      <c r="T2" s="160">
        <f t="shared" si="1"/>
        <v>944063.5107</v>
      </c>
      <c r="U2" s="160">
        <f t="shared" si="1"/>
        <v>962844.9343</v>
      </c>
      <c r="V2" s="773">
        <v>982000.0</v>
      </c>
      <c r="W2" s="160">
        <f t="shared" ref="W2:AZ2" si="2">V2*(1+V36-V3)</f>
        <v>1001536.141</v>
      </c>
      <c r="X2" s="160">
        <f t="shared" si="2"/>
        <v>1021460.939</v>
      </c>
      <c r="Y2" s="160">
        <f t="shared" si="2"/>
        <v>1041782.125</v>
      </c>
      <c r="Z2" s="160">
        <f t="shared" si="2"/>
        <v>1062507.586</v>
      </c>
      <c r="AA2" s="160">
        <f t="shared" si="2"/>
        <v>1083645.364</v>
      </c>
      <c r="AB2" s="160">
        <f t="shared" si="2"/>
        <v>1105203.662</v>
      </c>
      <c r="AC2" s="160">
        <f t="shared" si="2"/>
        <v>1127190.846</v>
      </c>
      <c r="AD2" s="160">
        <f t="shared" si="2"/>
        <v>1149615.449</v>
      </c>
      <c r="AE2" s="160">
        <f t="shared" si="2"/>
        <v>1172486.171</v>
      </c>
      <c r="AF2" s="160">
        <f t="shared" si="2"/>
        <v>1195811.89</v>
      </c>
      <c r="AG2" s="160">
        <f t="shared" si="2"/>
        <v>1219601.655</v>
      </c>
      <c r="AH2" s="160">
        <f t="shared" si="2"/>
        <v>1243864.7</v>
      </c>
      <c r="AI2" s="160">
        <f t="shared" si="2"/>
        <v>1268610.44</v>
      </c>
      <c r="AJ2" s="160">
        <f t="shared" si="2"/>
        <v>1293848.477</v>
      </c>
      <c r="AK2" s="160">
        <f t="shared" si="2"/>
        <v>1319588.606</v>
      </c>
      <c r="AL2" s="160">
        <f t="shared" si="2"/>
        <v>1345840.814</v>
      </c>
      <c r="AM2" s="160">
        <f t="shared" si="2"/>
        <v>1372615.291</v>
      </c>
      <c r="AN2" s="160">
        <f t="shared" si="2"/>
        <v>1399922.426</v>
      </c>
      <c r="AO2" s="160">
        <f t="shared" si="2"/>
        <v>1427772.815</v>
      </c>
      <c r="AP2" s="160">
        <f t="shared" si="2"/>
        <v>1456177.266</v>
      </c>
      <c r="AQ2" s="160">
        <f t="shared" si="2"/>
        <v>1485146.802</v>
      </c>
      <c r="AR2" s="160">
        <f t="shared" si="2"/>
        <v>1514692.665</v>
      </c>
      <c r="AS2" s="160">
        <f t="shared" si="2"/>
        <v>1544826.321</v>
      </c>
      <c r="AT2" s="160">
        <f t="shared" si="2"/>
        <v>1575559.462</v>
      </c>
      <c r="AU2" s="160">
        <f t="shared" si="2"/>
        <v>1606904.016</v>
      </c>
      <c r="AV2" s="160">
        <f t="shared" si="2"/>
        <v>1638872.146</v>
      </c>
      <c r="AW2" s="160">
        <f t="shared" si="2"/>
        <v>1671476.258</v>
      </c>
      <c r="AX2" s="160">
        <f t="shared" si="2"/>
        <v>1704729.003</v>
      </c>
      <c r="AY2" s="160">
        <f t="shared" si="2"/>
        <v>1738643.286</v>
      </c>
      <c r="AZ2" s="160">
        <f t="shared" si="2"/>
        <v>1773232.269</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600.0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0.09</v>
      </c>
      <c r="W14" s="208">
        <f t="shared" ref="W14:AZ14" si="5">V14*(1+V16)</f>
        <v>0.09</v>
      </c>
      <c r="X14" s="208">
        <f t="shared" si="5"/>
        <v>0.09</v>
      </c>
      <c r="Y14" s="208">
        <f t="shared" si="5"/>
        <v>0.09</v>
      </c>
      <c r="Z14" s="208">
        <f t="shared" si="5"/>
        <v>0.09</v>
      </c>
      <c r="AA14" s="208">
        <f t="shared" si="5"/>
        <v>0.09</v>
      </c>
      <c r="AB14" s="208">
        <f t="shared" si="5"/>
        <v>0.09</v>
      </c>
      <c r="AC14" s="208">
        <f t="shared" si="5"/>
        <v>0.09</v>
      </c>
      <c r="AD14" s="208">
        <f t="shared" si="5"/>
        <v>0.09</v>
      </c>
      <c r="AE14" s="208">
        <f t="shared" si="5"/>
        <v>0.09</v>
      </c>
      <c r="AF14" s="208">
        <f t="shared" si="5"/>
        <v>0.09</v>
      </c>
      <c r="AG14" s="208">
        <f t="shared" si="5"/>
        <v>0.09</v>
      </c>
      <c r="AH14" s="208">
        <f t="shared" si="5"/>
        <v>0.09</v>
      </c>
      <c r="AI14" s="208">
        <f t="shared" si="5"/>
        <v>0.09</v>
      </c>
      <c r="AJ14" s="208">
        <f t="shared" si="5"/>
        <v>0.09</v>
      </c>
      <c r="AK14" s="208">
        <f t="shared" si="5"/>
        <v>0.09</v>
      </c>
      <c r="AL14" s="208">
        <f t="shared" si="5"/>
        <v>0.09</v>
      </c>
      <c r="AM14" s="208">
        <f t="shared" si="5"/>
        <v>0.09</v>
      </c>
      <c r="AN14" s="208">
        <f t="shared" si="5"/>
        <v>0.09</v>
      </c>
      <c r="AO14" s="208">
        <f t="shared" si="5"/>
        <v>0.09</v>
      </c>
      <c r="AP14" s="208">
        <f t="shared" si="5"/>
        <v>0.09</v>
      </c>
      <c r="AQ14" s="208">
        <f t="shared" si="5"/>
        <v>0.09</v>
      </c>
      <c r="AR14" s="208">
        <f t="shared" si="5"/>
        <v>0.09</v>
      </c>
      <c r="AS14" s="208">
        <f t="shared" si="5"/>
        <v>0.09</v>
      </c>
      <c r="AT14" s="208">
        <f t="shared" si="5"/>
        <v>0.09</v>
      </c>
      <c r="AU14" s="208">
        <f t="shared" si="5"/>
        <v>0.09</v>
      </c>
      <c r="AV14" s="208">
        <f t="shared" si="5"/>
        <v>0.09</v>
      </c>
      <c r="AW14" s="208">
        <f t="shared" si="5"/>
        <v>0.09</v>
      </c>
      <c r="AX14" s="208">
        <f t="shared" si="5"/>
        <v>0.09</v>
      </c>
      <c r="AY14" s="208">
        <f t="shared" si="5"/>
        <v>0.09</v>
      </c>
      <c r="AZ14" s="208">
        <f t="shared" si="5"/>
        <v>0.09</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0.11</v>
      </c>
      <c r="W15" s="208">
        <f t="shared" ref="W15:AZ15" si="6">V15</f>
        <v>0.11</v>
      </c>
      <c r="X15" s="208">
        <f t="shared" si="6"/>
        <v>0.11</v>
      </c>
      <c r="Y15" s="208">
        <f t="shared" si="6"/>
        <v>0.11</v>
      </c>
      <c r="Z15" s="208">
        <f t="shared" si="6"/>
        <v>0.11</v>
      </c>
      <c r="AA15" s="208">
        <f t="shared" si="6"/>
        <v>0.11</v>
      </c>
      <c r="AB15" s="208">
        <f t="shared" si="6"/>
        <v>0.11</v>
      </c>
      <c r="AC15" s="208">
        <f t="shared" si="6"/>
        <v>0.11</v>
      </c>
      <c r="AD15" s="208">
        <f t="shared" si="6"/>
        <v>0.11</v>
      </c>
      <c r="AE15" s="208">
        <f t="shared" si="6"/>
        <v>0.11</v>
      </c>
      <c r="AF15" s="208">
        <f t="shared" si="6"/>
        <v>0.11</v>
      </c>
      <c r="AG15" s="208">
        <f t="shared" si="6"/>
        <v>0.11</v>
      </c>
      <c r="AH15" s="208">
        <f t="shared" si="6"/>
        <v>0.11</v>
      </c>
      <c r="AI15" s="208">
        <f t="shared" si="6"/>
        <v>0.11</v>
      </c>
      <c r="AJ15" s="208">
        <f t="shared" si="6"/>
        <v>0.11</v>
      </c>
      <c r="AK15" s="208">
        <f t="shared" si="6"/>
        <v>0.11</v>
      </c>
      <c r="AL15" s="208">
        <f t="shared" si="6"/>
        <v>0.11</v>
      </c>
      <c r="AM15" s="208">
        <f t="shared" si="6"/>
        <v>0.11</v>
      </c>
      <c r="AN15" s="208">
        <f t="shared" si="6"/>
        <v>0.11</v>
      </c>
      <c r="AO15" s="208">
        <f t="shared" si="6"/>
        <v>0.11</v>
      </c>
      <c r="AP15" s="208">
        <f t="shared" si="6"/>
        <v>0.11</v>
      </c>
      <c r="AQ15" s="208">
        <f t="shared" si="6"/>
        <v>0.11</v>
      </c>
      <c r="AR15" s="208">
        <f t="shared" si="6"/>
        <v>0.11</v>
      </c>
      <c r="AS15" s="208">
        <f t="shared" si="6"/>
        <v>0.11</v>
      </c>
      <c r="AT15" s="208">
        <f t="shared" si="6"/>
        <v>0.11</v>
      </c>
      <c r="AU15" s="208">
        <f t="shared" si="6"/>
        <v>0.11</v>
      </c>
      <c r="AV15" s="208">
        <f t="shared" si="6"/>
        <v>0.11</v>
      </c>
      <c r="AW15" s="208">
        <f t="shared" si="6"/>
        <v>0.11</v>
      </c>
      <c r="AX15" s="208">
        <f t="shared" si="6"/>
        <v>0.11</v>
      </c>
      <c r="AY15" s="208">
        <f t="shared" si="6"/>
        <v>0.11</v>
      </c>
      <c r="AZ15" s="208">
        <f t="shared" si="6"/>
        <v>0.11</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C17/(1+B36-B20)</f>
        <v>7640.678732</v>
      </c>
      <c r="C17" s="160">
        <f t="shared" si="8"/>
        <v>7785.04353</v>
      </c>
      <c r="D17" s="160">
        <f t="shared" si="8"/>
        <v>7932.13599</v>
      </c>
      <c r="E17" s="160">
        <f t="shared" si="8"/>
        <v>8082.007651</v>
      </c>
      <c r="F17" s="160">
        <f t="shared" si="8"/>
        <v>8234.711022</v>
      </c>
      <c r="G17" s="160">
        <f t="shared" si="8"/>
        <v>8390.299607</v>
      </c>
      <c r="H17" s="160">
        <f t="shared" si="8"/>
        <v>8548.827919</v>
      </c>
      <c r="I17" s="160">
        <f t="shared" si="8"/>
        <v>8710.351503</v>
      </c>
      <c r="J17" s="160">
        <f t="shared" si="8"/>
        <v>8874.926952</v>
      </c>
      <c r="K17" s="160">
        <f t="shared" si="8"/>
        <v>9042.611929</v>
      </c>
      <c r="L17" s="160">
        <f t="shared" si="8"/>
        <v>9213.465185</v>
      </c>
      <c r="M17" s="160">
        <f t="shared" si="8"/>
        <v>9387.546583</v>
      </c>
      <c r="N17" s="160">
        <f t="shared" si="8"/>
        <v>9564.917117</v>
      </c>
      <c r="O17" s="160">
        <f t="shared" si="8"/>
        <v>9745.638931</v>
      </c>
      <c r="P17" s="160">
        <f t="shared" si="8"/>
        <v>9929.775347</v>
      </c>
      <c r="Q17" s="160">
        <f t="shared" si="8"/>
        <v>10117.39088</v>
      </c>
      <c r="R17" s="160">
        <f t="shared" si="8"/>
        <v>10308.55126</v>
      </c>
      <c r="S17" s="160">
        <f t="shared" si="8"/>
        <v>10503.32348</v>
      </c>
      <c r="T17" s="160">
        <f t="shared" si="8"/>
        <v>10701.77577</v>
      </c>
      <c r="U17" s="160">
        <f t="shared" si="8"/>
        <v>10903.97766</v>
      </c>
      <c r="V17" s="773">
        <v>11110.0</v>
      </c>
      <c r="W17" s="160">
        <f t="shared" ref="W17:AZ17" si="9">V17*(1+V36-V20)</f>
        <v>11319.91498</v>
      </c>
      <c r="X17" s="160">
        <f t="shared" si="9"/>
        <v>11533.79614</v>
      </c>
      <c r="Y17" s="160">
        <f t="shared" si="9"/>
        <v>11751.71842</v>
      </c>
      <c r="Z17" s="160">
        <f t="shared" si="9"/>
        <v>11973.75818</v>
      </c>
      <c r="AA17" s="160">
        <f t="shared" si="9"/>
        <v>12199.99321</v>
      </c>
      <c r="AB17" s="160">
        <f t="shared" si="9"/>
        <v>12430.50277</v>
      </c>
      <c r="AC17" s="160">
        <f t="shared" si="9"/>
        <v>12665.36764</v>
      </c>
      <c r="AD17" s="160">
        <f t="shared" si="9"/>
        <v>12904.67011</v>
      </c>
      <c r="AE17" s="160">
        <f t="shared" si="9"/>
        <v>13148.49401</v>
      </c>
      <c r="AF17" s="160">
        <f t="shared" si="9"/>
        <v>13396.92478</v>
      </c>
      <c r="AG17" s="160">
        <f t="shared" si="9"/>
        <v>13650.04945</v>
      </c>
      <c r="AH17" s="160">
        <f t="shared" si="9"/>
        <v>13907.95673</v>
      </c>
      <c r="AI17" s="160">
        <f t="shared" si="9"/>
        <v>14170.73696</v>
      </c>
      <c r="AJ17" s="160">
        <f t="shared" si="9"/>
        <v>14438.48223</v>
      </c>
      <c r="AK17" s="160">
        <f t="shared" si="9"/>
        <v>14711.28634</v>
      </c>
      <c r="AL17" s="160">
        <f t="shared" si="9"/>
        <v>14989.24488</v>
      </c>
      <c r="AM17" s="160">
        <f t="shared" si="9"/>
        <v>15272.45523</v>
      </c>
      <c r="AN17" s="160">
        <f t="shared" si="9"/>
        <v>15561.01662</v>
      </c>
      <c r="AO17" s="160">
        <f t="shared" si="9"/>
        <v>15855.03016</v>
      </c>
      <c r="AP17" s="160">
        <f t="shared" si="9"/>
        <v>16154.59887</v>
      </c>
      <c r="AQ17" s="160">
        <f t="shared" si="9"/>
        <v>16459.82769</v>
      </c>
      <c r="AR17" s="160">
        <f t="shared" si="9"/>
        <v>16770.82359</v>
      </c>
      <c r="AS17" s="160">
        <f t="shared" si="9"/>
        <v>17087.69551</v>
      </c>
      <c r="AT17" s="160">
        <f t="shared" si="9"/>
        <v>17410.55448</v>
      </c>
      <c r="AU17" s="160">
        <f t="shared" si="9"/>
        <v>17739.51363</v>
      </c>
      <c r="AV17" s="160">
        <f t="shared" si="9"/>
        <v>18074.68821</v>
      </c>
      <c r="AW17" s="160">
        <f t="shared" si="9"/>
        <v>18416.19566</v>
      </c>
      <c r="AX17" s="160">
        <f t="shared" si="9"/>
        <v>18764.15564</v>
      </c>
      <c r="AY17" s="160">
        <f t="shared" si="9"/>
        <v>19118.69005</v>
      </c>
      <c r="AZ17" s="160">
        <f t="shared" si="9"/>
        <v>19479.92312</v>
      </c>
    </row>
    <row r="18" ht="15.0" customHeight="1">
      <c r="A18" s="535" t="s">
        <v>1112</v>
      </c>
      <c r="B18" s="177">
        <f t="shared" ref="B18:U18" si="10">C18/(1+B36-B20)</f>
        <v>2.4345637</v>
      </c>
      <c r="C18" s="177">
        <f t="shared" si="10"/>
        <v>2.480562925</v>
      </c>
      <c r="D18" s="177">
        <f t="shared" si="10"/>
        <v>2.52743127</v>
      </c>
      <c r="E18" s="177">
        <f t="shared" si="10"/>
        <v>2.575185156</v>
      </c>
      <c r="F18" s="177">
        <f t="shared" si="10"/>
        <v>2.623841316</v>
      </c>
      <c r="G18" s="177">
        <f t="shared" si="10"/>
        <v>2.673416796</v>
      </c>
      <c r="H18" s="177">
        <f t="shared" si="10"/>
        <v>2.723928968</v>
      </c>
      <c r="I18" s="177">
        <f t="shared" si="10"/>
        <v>2.775395528</v>
      </c>
      <c r="J18" s="177">
        <f t="shared" si="10"/>
        <v>2.82783451</v>
      </c>
      <c r="K18" s="177">
        <f t="shared" si="10"/>
        <v>2.881264287</v>
      </c>
      <c r="L18" s="177">
        <f t="shared" si="10"/>
        <v>2.935703578</v>
      </c>
      <c r="M18" s="177">
        <f t="shared" si="10"/>
        <v>2.991171459</v>
      </c>
      <c r="N18" s="177">
        <f t="shared" si="10"/>
        <v>3.047687362</v>
      </c>
      <c r="O18" s="177">
        <f t="shared" si="10"/>
        <v>3.105271091</v>
      </c>
      <c r="P18" s="177">
        <f t="shared" si="10"/>
        <v>3.16394282</v>
      </c>
      <c r="Q18" s="177">
        <f t="shared" si="10"/>
        <v>3.223723106</v>
      </c>
      <c r="R18" s="177">
        <f t="shared" si="10"/>
        <v>3.284632896</v>
      </c>
      <c r="S18" s="177">
        <f t="shared" si="10"/>
        <v>3.34669353</v>
      </c>
      <c r="T18" s="177">
        <f t="shared" si="10"/>
        <v>3.409926752</v>
      </c>
      <c r="U18" s="177">
        <f t="shared" si="10"/>
        <v>3.474354717</v>
      </c>
      <c r="V18" s="846">
        <v>3.54</v>
      </c>
      <c r="W18" s="177">
        <f t="shared" ref="W18:AZ18" si="11">V18*(1+V36-V20)</f>
        <v>3.6068856</v>
      </c>
      <c r="X18" s="177">
        <f t="shared" si="11"/>
        <v>3.675034953</v>
      </c>
      <c r="Y18" s="177">
        <f t="shared" si="11"/>
        <v>3.744471936</v>
      </c>
      <c r="Z18" s="177">
        <f t="shared" si="11"/>
        <v>3.815220877</v>
      </c>
      <c r="AA18" s="177">
        <f t="shared" si="11"/>
        <v>3.887306566</v>
      </c>
      <c r="AB18" s="177">
        <f t="shared" si="11"/>
        <v>3.960754259</v>
      </c>
      <c r="AC18" s="177">
        <f t="shared" si="11"/>
        <v>4.035589691</v>
      </c>
      <c r="AD18" s="177">
        <f t="shared" si="11"/>
        <v>4.11183908</v>
      </c>
      <c r="AE18" s="177">
        <f t="shared" si="11"/>
        <v>4.189529144</v>
      </c>
      <c r="AF18" s="177">
        <f t="shared" si="11"/>
        <v>4.268687102</v>
      </c>
      <c r="AG18" s="177">
        <f t="shared" si="11"/>
        <v>4.349340689</v>
      </c>
      <c r="AH18" s="177">
        <f t="shared" si="11"/>
        <v>4.431518165</v>
      </c>
      <c r="AI18" s="177">
        <f t="shared" si="11"/>
        <v>4.515248321</v>
      </c>
      <c r="AJ18" s="177">
        <f t="shared" si="11"/>
        <v>4.600560495</v>
      </c>
      <c r="AK18" s="177">
        <f t="shared" si="11"/>
        <v>4.687484577</v>
      </c>
      <c r="AL18" s="177">
        <f t="shared" si="11"/>
        <v>4.776051023</v>
      </c>
      <c r="AM18" s="177">
        <f t="shared" si="11"/>
        <v>4.866290865</v>
      </c>
      <c r="AN18" s="177">
        <f t="shared" si="11"/>
        <v>4.95823572</v>
      </c>
      <c r="AO18" s="177">
        <f t="shared" si="11"/>
        <v>5.051917802</v>
      </c>
      <c r="AP18" s="177">
        <f t="shared" si="11"/>
        <v>5.147369936</v>
      </c>
      <c r="AQ18" s="177">
        <f t="shared" si="11"/>
        <v>5.244625566</v>
      </c>
      <c r="AR18" s="177">
        <f t="shared" si="11"/>
        <v>5.343718766</v>
      </c>
      <c r="AS18" s="177">
        <f t="shared" si="11"/>
        <v>5.444684257</v>
      </c>
      <c r="AT18" s="177">
        <f t="shared" si="11"/>
        <v>5.547557414</v>
      </c>
      <c r="AU18" s="177">
        <f t="shared" si="11"/>
        <v>5.652374281</v>
      </c>
      <c r="AV18" s="177">
        <f t="shared" si="11"/>
        <v>5.759171582</v>
      </c>
      <c r="AW18" s="177">
        <f t="shared" si="11"/>
        <v>5.867986737</v>
      </c>
      <c r="AX18" s="177">
        <f t="shared" si="11"/>
        <v>5.978857871</v>
      </c>
      <c r="AY18" s="177">
        <f t="shared" si="11"/>
        <v>6.091823831</v>
      </c>
      <c r="AZ18" s="177">
        <f t="shared" si="11"/>
        <v>6.206924197</v>
      </c>
    </row>
    <row r="19" ht="15.0" customHeight="1">
      <c r="A19" s="535" t="s">
        <v>1115</v>
      </c>
      <c r="B19" s="177">
        <f t="shared" ref="B19:U19" si="12">C19/(1+B36-B20)</f>
        <v>2.4345637</v>
      </c>
      <c r="C19" s="177">
        <f t="shared" si="12"/>
        <v>2.480562925</v>
      </c>
      <c r="D19" s="177">
        <f t="shared" si="12"/>
        <v>2.52743127</v>
      </c>
      <c r="E19" s="177">
        <f t="shared" si="12"/>
        <v>2.575185156</v>
      </c>
      <c r="F19" s="177">
        <f t="shared" si="12"/>
        <v>2.623841316</v>
      </c>
      <c r="G19" s="177">
        <f t="shared" si="12"/>
        <v>2.673416796</v>
      </c>
      <c r="H19" s="177">
        <f t="shared" si="12"/>
        <v>2.723928968</v>
      </c>
      <c r="I19" s="177">
        <f t="shared" si="12"/>
        <v>2.775395528</v>
      </c>
      <c r="J19" s="177">
        <f t="shared" si="12"/>
        <v>2.82783451</v>
      </c>
      <c r="K19" s="177">
        <f t="shared" si="12"/>
        <v>2.881264287</v>
      </c>
      <c r="L19" s="177">
        <f t="shared" si="12"/>
        <v>2.935703578</v>
      </c>
      <c r="M19" s="177">
        <f t="shared" si="12"/>
        <v>2.991171459</v>
      </c>
      <c r="N19" s="177">
        <f t="shared" si="12"/>
        <v>3.047687362</v>
      </c>
      <c r="O19" s="177">
        <f t="shared" si="12"/>
        <v>3.105271091</v>
      </c>
      <c r="P19" s="177">
        <f t="shared" si="12"/>
        <v>3.16394282</v>
      </c>
      <c r="Q19" s="177">
        <f t="shared" si="12"/>
        <v>3.223723106</v>
      </c>
      <c r="R19" s="177">
        <f t="shared" si="12"/>
        <v>3.284632896</v>
      </c>
      <c r="S19" s="177">
        <f t="shared" si="12"/>
        <v>3.34669353</v>
      </c>
      <c r="T19" s="177">
        <f t="shared" si="12"/>
        <v>3.409926752</v>
      </c>
      <c r="U19" s="177">
        <f t="shared" si="12"/>
        <v>3.474354717</v>
      </c>
      <c r="V19" s="715">
        <f>if(Model!W1574&gt;0,V17*Model!W1574/(V14*Model!W1574*8760)+V18,V18)</f>
        <v>3.54</v>
      </c>
      <c r="W19" s="177">
        <f t="shared" ref="W19:AZ19" si="13">V19*(1+V36-V20)</f>
        <v>3.6068856</v>
      </c>
      <c r="X19" s="177">
        <f t="shared" si="13"/>
        <v>3.675034953</v>
      </c>
      <c r="Y19" s="177">
        <f t="shared" si="13"/>
        <v>3.744471936</v>
      </c>
      <c r="Z19" s="177">
        <f t="shared" si="13"/>
        <v>3.815220877</v>
      </c>
      <c r="AA19" s="177">
        <f t="shared" si="13"/>
        <v>3.887306566</v>
      </c>
      <c r="AB19" s="177">
        <f t="shared" si="13"/>
        <v>3.960754259</v>
      </c>
      <c r="AC19" s="177">
        <f t="shared" si="13"/>
        <v>4.035589691</v>
      </c>
      <c r="AD19" s="177">
        <f t="shared" si="13"/>
        <v>4.11183908</v>
      </c>
      <c r="AE19" s="177">
        <f t="shared" si="13"/>
        <v>4.189529144</v>
      </c>
      <c r="AF19" s="177">
        <f t="shared" si="13"/>
        <v>4.268687102</v>
      </c>
      <c r="AG19" s="177">
        <f t="shared" si="13"/>
        <v>4.349340689</v>
      </c>
      <c r="AH19" s="177">
        <f t="shared" si="13"/>
        <v>4.431518165</v>
      </c>
      <c r="AI19" s="177">
        <f t="shared" si="13"/>
        <v>4.515248321</v>
      </c>
      <c r="AJ19" s="177">
        <f t="shared" si="13"/>
        <v>4.600560495</v>
      </c>
      <c r="AK19" s="177">
        <f t="shared" si="13"/>
        <v>4.687484577</v>
      </c>
      <c r="AL19" s="177">
        <f t="shared" si="13"/>
        <v>4.776051023</v>
      </c>
      <c r="AM19" s="177">
        <f t="shared" si="13"/>
        <v>4.866290865</v>
      </c>
      <c r="AN19" s="177">
        <f t="shared" si="13"/>
        <v>4.95823572</v>
      </c>
      <c r="AO19" s="177">
        <f t="shared" si="13"/>
        <v>5.051917802</v>
      </c>
      <c r="AP19" s="177">
        <f t="shared" si="13"/>
        <v>5.147369936</v>
      </c>
      <c r="AQ19" s="177">
        <f t="shared" si="13"/>
        <v>5.244625566</v>
      </c>
      <c r="AR19" s="177">
        <f t="shared" si="13"/>
        <v>5.343718766</v>
      </c>
      <c r="AS19" s="177">
        <f t="shared" si="13"/>
        <v>5.444684257</v>
      </c>
      <c r="AT19" s="177">
        <f t="shared" si="13"/>
        <v>5.547557414</v>
      </c>
      <c r="AU19" s="177">
        <f t="shared" si="13"/>
        <v>5.652374281</v>
      </c>
      <c r="AV19" s="177">
        <f t="shared" si="13"/>
        <v>5.759171582</v>
      </c>
      <c r="AW19" s="177">
        <f t="shared" si="13"/>
        <v>5.867986737</v>
      </c>
      <c r="AX19" s="177">
        <f t="shared" si="13"/>
        <v>5.978857871</v>
      </c>
      <c r="AY19" s="177">
        <f t="shared" si="13"/>
        <v>6.091823831</v>
      </c>
      <c r="AZ19" s="177">
        <f t="shared" si="13"/>
        <v>6.206924197</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41" t="s">
        <v>1135</v>
      </c>
      <c r="B21" s="866">
        <v>10.6</v>
      </c>
      <c r="C21" s="866">
        <v>10.6</v>
      </c>
      <c r="D21" s="866">
        <v>10.6</v>
      </c>
      <c r="E21" s="866">
        <v>10.6</v>
      </c>
      <c r="F21" s="866">
        <v>10.6</v>
      </c>
      <c r="G21" s="866">
        <v>10.6</v>
      </c>
      <c r="H21" s="866">
        <v>10.6</v>
      </c>
      <c r="I21" s="866">
        <v>10.6</v>
      </c>
      <c r="J21" s="866">
        <v>10.6</v>
      </c>
      <c r="K21" s="866">
        <v>10.6</v>
      </c>
      <c r="L21" s="866">
        <v>10.6</v>
      </c>
      <c r="M21" s="866">
        <v>10.6</v>
      </c>
      <c r="N21" s="866">
        <v>10.6</v>
      </c>
      <c r="O21" s="866">
        <v>10.6</v>
      </c>
      <c r="P21" s="866">
        <v>10.6</v>
      </c>
      <c r="Q21" s="866">
        <v>10.6</v>
      </c>
      <c r="R21" s="866">
        <v>10.6</v>
      </c>
      <c r="S21" s="866">
        <v>10.6</v>
      </c>
      <c r="T21" s="866">
        <v>10.6</v>
      </c>
      <c r="U21" s="866">
        <v>10.6</v>
      </c>
      <c r="V21" s="866">
        <v>10.6</v>
      </c>
      <c r="W21" s="866">
        <v>10.6</v>
      </c>
      <c r="X21" s="866">
        <v>10.6</v>
      </c>
      <c r="Y21" s="866">
        <v>10.6</v>
      </c>
      <c r="Z21" s="866">
        <v>10.6</v>
      </c>
      <c r="AA21" s="866">
        <v>10.6</v>
      </c>
      <c r="AB21" s="866">
        <v>10.6</v>
      </c>
      <c r="AC21" s="866">
        <v>10.6</v>
      </c>
      <c r="AD21" s="866">
        <v>10.6</v>
      </c>
      <c r="AE21" s="866">
        <v>10.6</v>
      </c>
      <c r="AF21" s="866">
        <v>10.6</v>
      </c>
      <c r="AG21" s="866">
        <v>10.6</v>
      </c>
      <c r="AH21" s="866">
        <v>10.6</v>
      </c>
      <c r="AI21" s="866">
        <v>10.6</v>
      </c>
      <c r="AJ21" s="866">
        <v>10.6</v>
      </c>
      <c r="AK21" s="866">
        <v>10.6</v>
      </c>
      <c r="AL21" s="866">
        <v>10.6</v>
      </c>
      <c r="AM21" s="866">
        <v>10.6</v>
      </c>
      <c r="AN21" s="866">
        <v>10.6</v>
      </c>
      <c r="AO21" s="866">
        <v>10.6</v>
      </c>
      <c r="AP21" s="866">
        <v>10.6</v>
      </c>
      <c r="AQ21" s="866">
        <v>10.6</v>
      </c>
      <c r="AR21" s="866">
        <v>10.6</v>
      </c>
      <c r="AS21" s="866">
        <v>10.6</v>
      </c>
      <c r="AT21" s="866">
        <v>10.6</v>
      </c>
      <c r="AU21" s="866">
        <v>10.6</v>
      </c>
      <c r="AV21" s="866">
        <v>10.6</v>
      </c>
      <c r="AW21" s="866">
        <v>10.6</v>
      </c>
      <c r="AX21" s="866">
        <v>10.6</v>
      </c>
      <c r="AY21" s="866">
        <v>10.6</v>
      </c>
      <c r="AZ21" s="866">
        <v>10.6</v>
      </c>
    </row>
    <row r="22" ht="15.0" customHeight="1">
      <c r="A22" s="541" t="s">
        <v>1136</v>
      </c>
      <c r="B22" s="177">
        <f>B21*'Assumptions (O&amp;G Upstream)'!C318</f>
        <v>66.61151982</v>
      </c>
      <c r="C22" s="177">
        <f>C21*'Assumptions (O&amp;G Upstream)'!D318</f>
        <v>68.07258744</v>
      </c>
      <c r="D22" s="177">
        <f>D21*'Assumptions (O&amp;G Upstream)'!E318</f>
        <v>63.56320956</v>
      </c>
      <c r="E22" s="177">
        <f>E21*'Assumptions (O&amp;G Upstream)'!F318</f>
        <v>78.7096657</v>
      </c>
      <c r="F22" s="177">
        <f>F21*'Assumptions (O&amp;G Upstream)'!G318</f>
        <v>116.7722222</v>
      </c>
      <c r="G22" s="177">
        <f>G21*'Assumptions (O&amp;G Upstream)'!H318</f>
        <v>163.9542003</v>
      </c>
      <c r="H22" s="177">
        <f>H21*'Assumptions (O&amp;G Upstream)'!I318</f>
        <v>196.0965744</v>
      </c>
      <c r="I22" s="177">
        <f>I21*'Assumptions (O&amp;G Upstream)'!J318</f>
        <v>217.2030583</v>
      </c>
      <c r="J22" s="177">
        <f>J21*'Assumptions (O&amp;G Upstream)'!K318</f>
        <v>286.6059247</v>
      </c>
      <c r="K22" s="177">
        <f>K21*'Assumptions (O&amp;G Upstream)'!L318</f>
        <v>168.8498752</v>
      </c>
      <c r="L22" s="177">
        <f>L21*'Assumptions (O&amp;G Upstream)'!M318</f>
        <v>221.5005926</v>
      </c>
      <c r="M22" s="177">
        <f>M21*'Assumptions (O&amp;G Upstream)'!N318</f>
        <v>312.6031525</v>
      </c>
      <c r="N22" s="177">
        <f>N21*'Assumptions (O&amp;G Upstream)'!O318</f>
        <v>324.4461417</v>
      </c>
      <c r="O22" s="177">
        <f>O21*'Assumptions (O&amp;G Upstream)'!P318</f>
        <v>319.8330293</v>
      </c>
      <c r="P22" s="177">
        <f>P21*'Assumptions (O&amp;G Upstream)'!Q318</f>
        <v>301.0762652</v>
      </c>
      <c r="Q22" s="177">
        <f>Q21*'Assumptions (O&amp;G Upstream)'!R318</f>
        <v>181.0834794</v>
      </c>
      <c r="R22" s="177">
        <f>R21*'Assumptions (O&amp;G Upstream)'!S318</f>
        <v>153.5699841</v>
      </c>
      <c r="S22" s="177">
        <f>S21*'Assumptions (O&amp;G Upstream)'!T318</f>
        <v>193.4028032</v>
      </c>
      <c r="T22" s="177">
        <f>T21*'Assumptions (O&amp;G Upstream)'!U318</f>
        <v>235.744</v>
      </c>
      <c r="U22" s="177">
        <f>U21*'Assumptions (O&amp;G Upstream)'!V318</f>
        <v>244.6658418</v>
      </c>
      <c r="V22" s="177">
        <f>V21*'Assumptions (O&amp;G Upstream)'!W318</f>
        <v>244.2607379</v>
      </c>
      <c r="W22" s="177">
        <f>W21*'Assumptions (O&amp;G Upstream)'!X318</f>
        <v>240.3769378</v>
      </c>
      <c r="X22" s="177">
        <f>X21*'Assumptions (O&amp;G Upstream)'!Y318</f>
        <v>233.9582934</v>
      </c>
      <c r="Y22" s="177">
        <f>Y21*'Assumptions (O&amp;G Upstream)'!Z318</f>
        <v>232.5682717</v>
      </c>
      <c r="Z22" s="177">
        <f>Z21*'Assumptions (O&amp;G Upstream)'!AA318</f>
        <v>235.08195</v>
      </c>
      <c r="AA22" s="177">
        <f>AA21*'Assumptions (O&amp;G Upstream)'!AB318</f>
        <v>243.9154416</v>
      </c>
      <c r="AB22" s="177">
        <f>AB21*'Assumptions (O&amp;G Upstream)'!AC318</f>
        <v>253.6227178</v>
      </c>
      <c r="AC22" s="177">
        <f>AC21*'Assumptions (O&amp;G Upstream)'!AD318</f>
        <v>266.3908221</v>
      </c>
      <c r="AD22" s="177">
        <f>AD21*'Assumptions (O&amp;G Upstream)'!AE318</f>
        <v>272.6165757</v>
      </c>
      <c r="AE22" s="177">
        <f>AE21*'Assumptions (O&amp;G Upstream)'!AF318</f>
        <v>284.7523203</v>
      </c>
      <c r="AF22" s="177">
        <f>AF21*'Assumptions (O&amp;G Upstream)'!AG318</f>
        <v>291.9114552</v>
      </c>
      <c r="AG22" s="177">
        <f>AG21*'Assumptions (O&amp;G Upstream)'!AH318</f>
        <v>298.5602149</v>
      </c>
      <c r="AH22" s="177">
        <f>AH21*'Assumptions (O&amp;G Upstream)'!AI318</f>
        <v>307.9968703</v>
      </c>
      <c r="AI22" s="177">
        <f>AI21*'Assumptions (O&amp;G Upstream)'!AJ318</f>
        <v>318.6795401</v>
      </c>
      <c r="AJ22" s="177">
        <f>AJ21*'Assumptions (O&amp;G Upstream)'!AK318</f>
        <v>325.3298467</v>
      </c>
      <c r="AK22" s="177">
        <f>AK21*'Assumptions (O&amp;G Upstream)'!AL318</f>
        <v>335.0626568</v>
      </c>
      <c r="AL22" s="177">
        <f>AL21*'Assumptions (O&amp;G Upstream)'!AM318</f>
        <v>347.152627</v>
      </c>
      <c r="AM22" s="177">
        <f>AM21*'Assumptions (O&amp;G Upstream)'!AN318</f>
        <v>352.8541092</v>
      </c>
      <c r="AN22" s="177">
        <f>AN21*'Assumptions (O&amp;G Upstream)'!AO318</f>
        <v>361.4539403</v>
      </c>
      <c r="AO22" s="177">
        <f>AO21*'Assumptions (O&amp;G Upstream)'!AP318</f>
        <v>371.3683327</v>
      </c>
      <c r="AP22" s="177">
        <f>AP21*'Assumptions (O&amp;G Upstream)'!AQ318</f>
        <v>381.5319949</v>
      </c>
      <c r="AQ22" s="177">
        <f>AQ21*'Assumptions (O&amp;G Upstream)'!AR318</f>
        <v>390.2977759</v>
      </c>
      <c r="AR22" s="177">
        <f>AR21*'Assumptions (O&amp;G Upstream)'!AS318</f>
        <v>401.7883996</v>
      </c>
      <c r="AS22" s="177">
        <f>AS21*'Assumptions (O&amp;G Upstream)'!AT318</f>
        <v>410.3141727</v>
      </c>
      <c r="AT22" s="177">
        <f>AT21*'Assumptions (O&amp;G Upstream)'!AU318</f>
        <v>417.9686306</v>
      </c>
      <c r="AU22" s="177">
        <f>AU21*'Assumptions (O&amp;G Upstream)'!AV318</f>
        <v>427.3729207</v>
      </c>
      <c r="AV22" s="177">
        <f>AV21*'Assumptions (O&amp;G Upstream)'!AW318</f>
        <v>435.8926053</v>
      </c>
      <c r="AW22" s="177">
        <f>AW21*'Assumptions (O&amp;G Upstream)'!AX318</f>
        <v>444.9533109</v>
      </c>
      <c r="AX22" s="177">
        <f>AX21*'Assumptions (O&amp;G Upstream)'!AY318</f>
        <v>454.9586486</v>
      </c>
      <c r="AY22" s="177">
        <f>AY21*'Assumptions (O&amp;G Upstream)'!AZ318</f>
        <v>462.6767687</v>
      </c>
      <c r="AZ22" s="177">
        <f>AZ21*'Assumptions (O&amp;G Upstream)'!BA318</f>
        <v>471.1129975</v>
      </c>
    </row>
    <row r="23" ht="15.0" customHeight="1">
      <c r="A23" s="541" t="s">
        <v>1137</v>
      </c>
      <c r="B23" s="535"/>
      <c r="C23" s="535"/>
      <c r="D23" s="535"/>
      <c r="E23" s="535"/>
      <c r="F23" s="535"/>
      <c r="G23" s="535"/>
      <c r="H23" s="535"/>
      <c r="I23" s="535"/>
      <c r="J23" s="535"/>
      <c r="K23" s="535"/>
      <c r="L23" s="535"/>
      <c r="M23" s="535"/>
      <c r="N23" s="535"/>
      <c r="O23" s="535"/>
      <c r="P23" s="535"/>
      <c r="Q23" s="535"/>
      <c r="R23" s="535"/>
      <c r="S23" s="535"/>
      <c r="T23" s="535"/>
      <c r="U23" s="535"/>
      <c r="V23" s="867">
        <f>21/21860*1000</f>
        <v>0.9606587374</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535" t="s">
        <v>112</v>
      </c>
      <c r="B24" s="546">
        <v>0.35</v>
      </c>
      <c r="C24" s="546">
        <v>0.35</v>
      </c>
      <c r="D24" s="546">
        <v>0.35</v>
      </c>
      <c r="E24" s="546">
        <v>0.35</v>
      </c>
      <c r="F24" s="546">
        <v>0.35</v>
      </c>
      <c r="G24" s="546">
        <v>0.35</v>
      </c>
      <c r="H24" s="546">
        <v>0.35</v>
      </c>
      <c r="I24" s="546">
        <v>0.35</v>
      </c>
      <c r="J24" s="546">
        <v>0.35</v>
      </c>
      <c r="K24" s="546">
        <v>0.35</v>
      </c>
      <c r="L24" s="546">
        <v>0.35</v>
      </c>
      <c r="M24" s="546">
        <v>0.35</v>
      </c>
      <c r="N24" s="546">
        <v>0.35</v>
      </c>
      <c r="O24" s="546">
        <v>0.35</v>
      </c>
      <c r="P24" s="546">
        <v>0.35</v>
      </c>
      <c r="Q24" s="546">
        <v>0.35</v>
      </c>
      <c r="R24" s="546">
        <v>0.35</v>
      </c>
      <c r="S24" s="546">
        <v>0.35</v>
      </c>
      <c r="T24" s="546">
        <v>0.21</v>
      </c>
      <c r="U24" s="546">
        <v>0.21</v>
      </c>
      <c r="V24" s="547">
        <v>0.21</v>
      </c>
      <c r="W24" s="208">
        <f t="shared" ref="W24:AZ24" si="16">V24</f>
        <v>0.21</v>
      </c>
      <c r="X24" s="208">
        <f t="shared" si="16"/>
        <v>0.21</v>
      </c>
      <c r="Y24" s="208">
        <f t="shared" si="16"/>
        <v>0.21</v>
      </c>
      <c r="Z24" s="208">
        <f t="shared" si="16"/>
        <v>0.21</v>
      </c>
      <c r="AA24" s="208">
        <f t="shared" si="16"/>
        <v>0.21</v>
      </c>
      <c r="AB24" s="208">
        <f t="shared" si="16"/>
        <v>0.21</v>
      </c>
      <c r="AC24" s="208">
        <f t="shared" si="16"/>
        <v>0.21</v>
      </c>
      <c r="AD24" s="208">
        <f t="shared" si="16"/>
        <v>0.21</v>
      </c>
      <c r="AE24" s="208">
        <f t="shared" si="16"/>
        <v>0.21</v>
      </c>
      <c r="AF24" s="208">
        <f t="shared" si="16"/>
        <v>0.21</v>
      </c>
      <c r="AG24" s="208">
        <f t="shared" si="16"/>
        <v>0.21</v>
      </c>
      <c r="AH24" s="208">
        <f t="shared" si="16"/>
        <v>0.21</v>
      </c>
      <c r="AI24" s="208">
        <f t="shared" si="16"/>
        <v>0.21</v>
      </c>
      <c r="AJ24" s="208">
        <f t="shared" si="16"/>
        <v>0.21</v>
      </c>
      <c r="AK24" s="208">
        <f t="shared" si="16"/>
        <v>0.21</v>
      </c>
      <c r="AL24" s="208">
        <f t="shared" si="16"/>
        <v>0.21</v>
      </c>
      <c r="AM24" s="208">
        <f t="shared" si="16"/>
        <v>0.21</v>
      </c>
      <c r="AN24" s="208">
        <f t="shared" si="16"/>
        <v>0.21</v>
      </c>
      <c r="AO24" s="208">
        <f t="shared" si="16"/>
        <v>0.21</v>
      </c>
      <c r="AP24" s="208">
        <f t="shared" si="16"/>
        <v>0.21</v>
      </c>
      <c r="AQ24" s="208">
        <f t="shared" si="16"/>
        <v>0.21</v>
      </c>
      <c r="AR24" s="208">
        <f t="shared" si="16"/>
        <v>0.21</v>
      </c>
      <c r="AS24" s="208">
        <f t="shared" si="16"/>
        <v>0.21</v>
      </c>
      <c r="AT24" s="208">
        <f t="shared" si="16"/>
        <v>0.21</v>
      </c>
      <c r="AU24" s="208">
        <f t="shared" si="16"/>
        <v>0.21</v>
      </c>
      <c r="AV24" s="208">
        <f t="shared" si="16"/>
        <v>0.21</v>
      </c>
      <c r="AW24" s="208">
        <f t="shared" si="16"/>
        <v>0.21</v>
      </c>
      <c r="AX24" s="208">
        <f t="shared" si="16"/>
        <v>0.21</v>
      </c>
      <c r="AY24" s="208">
        <f t="shared" si="16"/>
        <v>0.21</v>
      </c>
      <c r="AZ24" s="208">
        <f t="shared" si="16"/>
        <v>0.21</v>
      </c>
    </row>
    <row r="25" ht="15.0" customHeight="1">
      <c r="A25" s="535" t="s">
        <v>114</v>
      </c>
      <c r="B25" s="535"/>
      <c r="C25" s="535"/>
      <c r="D25" s="535"/>
      <c r="E25" s="535"/>
      <c r="F25" s="535"/>
      <c r="G25" s="535"/>
      <c r="H25" s="535"/>
      <c r="I25" s="535"/>
      <c r="J25" s="535"/>
      <c r="K25" s="535"/>
      <c r="L25" s="535"/>
      <c r="M25" s="535"/>
      <c r="N25" s="535"/>
      <c r="O25" s="535"/>
      <c r="P25" s="535"/>
      <c r="Q25" s="535"/>
      <c r="R25" s="535"/>
      <c r="S25" s="535"/>
      <c r="T25" s="535"/>
      <c r="U25" s="535"/>
      <c r="V25" s="715">
        <v>0.0</v>
      </c>
      <c r="W25" s="177">
        <f t="shared" ref="W25:AZ25" si="17">V25*(1+V36)</f>
        <v>0</v>
      </c>
      <c r="X25" s="177">
        <f t="shared" si="17"/>
        <v>0</v>
      </c>
      <c r="Y25" s="177">
        <f t="shared" si="17"/>
        <v>0</v>
      </c>
      <c r="Z25" s="177">
        <f t="shared" si="17"/>
        <v>0</v>
      </c>
      <c r="AA25" s="177">
        <f t="shared" si="17"/>
        <v>0</v>
      </c>
      <c r="AB25" s="177">
        <f t="shared" si="17"/>
        <v>0</v>
      </c>
      <c r="AC25" s="177">
        <f t="shared" si="17"/>
        <v>0</v>
      </c>
      <c r="AD25" s="177">
        <f t="shared" si="17"/>
        <v>0</v>
      </c>
      <c r="AE25" s="177">
        <f t="shared" si="17"/>
        <v>0</v>
      </c>
      <c r="AF25" s="177">
        <f t="shared" si="17"/>
        <v>0</v>
      </c>
      <c r="AG25" s="177">
        <f t="shared" si="17"/>
        <v>0</v>
      </c>
      <c r="AH25" s="177">
        <f t="shared" si="17"/>
        <v>0</v>
      </c>
      <c r="AI25" s="177">
        <f t="shared" si="17"/>
        <v>0</v>
      </c>
      <c r="AJ25" s="177">
        <f t="shared" si="17"/>
        <v>0</v>
      </c>
      <c r="AK25" s="177">
        <f t="shared" si="17"/>
        <v>0</v>
      </c>
      <c r="AL25" s="177">
        <f t="shared" si="17"/>
        <v>0</v>
      </c>
      <c r="AM25" s="177">
        <f t="shared" si="17"/>
        <v>0</v>
      </c>
      <c r="AN25" s="177">
        <f t="shared" si="17"/>
        <v>0</v>
      </c>
      <c r="AO25" s="177">
        <f t="shared" si="17"/>
        <v>0</v>
      </c>
      <c r="AP25" s="177">
        <f t="shared" si="17"/>
        <v>0</v>
      </c>
      <c r="AQ25" s="177">
        <f t="shared" si="17"/>
        <v>0</v>
      </c>
      <c r="AR25" s="177">
        <f t="shared" si="17"/>
        <v>0</v>
      </c>
      <c r="AS25" s="177">
        <f t="shared" si="17"/>
        <v>0</v>
      </c>
      <c r="AT25" s="177">
        <f t="shared" si="17"/>
        <v>0</v>
      </c>
      <c r="AU25" s="177">
        <f t="shared" si="17"/>
        <v>0</v>
      </c>
      <c r="AV25" s="177">
        <f t="shared" si="17"/>
        <v>0</v>
      </c>
      <c r="AW25" s="177">
        <f t="shared" si="17"/>
        <v>0</v>
      </c>
      <c r="AX25" s="177">
        <f t="shared" si="17"/>
        <v>0</v>
      </c>
      <c r="AY25" s="177">
        <f t="shared" si="17"/>
        <v>0</v>
      </c>
      <c r="AZ25" s="177">
        <f t="shared" si="17"/>
        <v>0</v>
      </c>
    </row>
    <row r="26" ht="15.0" customHeight="1">
      <c r="A26" s="535" t="s">
        <v>116</v>
      </c>
      <c r="B26" s="535"/>
      <c r="C26" s="535"/>
      <c r="D26" s="535"/>
      <c r="E26" s="535"/>
      <c r="F26" s="535"/>
      <c r="G26" s="535"/>
      <c r="H26" s="535"/>
      <c r="I26" s="535"/>
      <c r="J26" s="535"/>
      <c r="K26" s="535"/>
      <c r="L26" s="535"/>
      <c r="M26" s="535"/>
      <c r="N26" s="535"/>
      <c r="O26" s="535"/>
      <c r="P26" s="535"/>
      <c r="Q26" s="535"/>
      <c r="R26" s="535"/>
      <c r="S26" s="535"/>
      <c r="T26" s="535"/>
      <c r="U26" s="535"/>
      <c r="V26" s="849">
        <v>30.0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119</v>
      </c>
      <c r="B27" s="535"/>
      <c r="C27" s="535"/>
      <c r="D27" s="535"/>
      <c r="E27" s="535"/>
      <c r="F27" s="535"/>
      <c r="G27" s="535"/>
      <c r="H27" s="535"/>
      <c r="I27" s="535"/>
      <c r="J27" s="535"/>
      <c r="K27" s="535"/>
      <c r="L27" s="535"/>
      <c r="M27" s="535"/>
      <c r="N27" s="535"/>
      <c r="O27" s="535"/>
      <c r="P27" s="535"/>
      <c r="Q27" s="535"/>
      <c r="R27" s="535"/>
      <c r="S27" s="535"/>
      <c r="T27" s="535"/>
      <c r="U27" s="535"/>
      <c r="V27" s="849">
        <v>90.0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121</v>
      </c>
      <c r="B28" s="535"/>
      <c r="C28" s="535"/>
      <c r="D28" s="535"/>
      <c r="E28" s="535"/>
      <c r="F28" s="535"/>
      <c r="G28" s="535"/>
      <c r="H28" s="535"/>
      <c r="I28" s="535"/>
      <c r="J28" s="535"/>
      <c r="K28" s="535"/>
      <c r="L28" s="535"/>
      <c r="M28" s="535"/>
      <c r="N28" s="535"/>
      <c r="O28" s="535"/>
      <c r="P28" s="535"/>
      <c r="Q28" s="535"/>
      <c r="R28" s="535"/>
      <c r="S28" s="535"/>
      <c r="T28" s="535"/>
      <c r="U28" s="535"/>
      <c r="V28" s="849">
        <v>4.0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122</v>
      </c>
      <c r="B29" s="535"/>
      <c r="C29" s="535"/>
      <c r="D29" s="535"/>
      <c r="E29" s="535"/>
      <c r="F29" s="535"/>
      <c r="G29" s="535"/>
      <c r="H29" s="535"/>
      <c r="I29" s="535"/>
      <c r="J29" s="535"/>
      <c r="K29" s="535"/>
      <c r="L29" s="535"/>
      <c r="M29" s="535"/>
      <c r="N29" s="535"/>
      <c r="O29" s="535"/>
      <c r="P29" s="535"/>
      <c r="Q29" s="535"/>
      <c r="R29" s="535"/>
      <c r="S29" s="535"/>
      <c r="T29" s="535"/>
      <c r="U29" s="535"/>
      <c r="V29" s="849">
        <v>40.0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174" t="s">
        <v>123</v>
      </c>
      <c r="B30" s="174"/>
      <c r="C30" s="174"/>
      <c r="D30" s="174"/>
      <c r="E30" s="174"/>
      <c r="F30" s="174"/>
      <c r="G30" s="174"/>
      <c r="H30" s="174"/>
      <c r="I30" s="174"/>
      <c r="J30" s="174"/>
      <c r="K30" s="174"/>
      <c r="L30" s="174"/>
      <c r="M30" s="174"/>
      <c r="N30" s="174"/>
      <c r="O30" s="174"/>
      <c r="P30" s="174"/>
      <c r="Q30" s="174"/>
      <c r="R30" s="174"/>
      <c r="S30" s="174"/>
      <c r="T30" s="174"/>
      <c r="U30" s="174"/>
      <c r="V30" s="705"/>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126</v>
      </c>
      <c r="B31" s="730">
        <f>'Inflation GDP Population'!B2</f>
        <v>96.994687</v>
      </c>
      <c r="C31" s="730">
        <f>'Inflation GDP Population'!C2</f>
        <v>82.56180237</v>
      </c>
      <c r="D31" s="730">
        <f>'Inflation GDP Population'!D2</f>
        <v>92.42298883</v>
      </c>
      <c r="E31" s="730">
        <f>'Inflation GDP Population'!E2</f>
        <v>85.643903</v>
      </c>
      <c r="F31" s="730">
        <f>'Inflation GDP Population'!F2</f>
        <v>81.32479157</v>
      </c>
      <c r="G31" s="730">
        <f>'Inflation GDP Population'!G2</f>
        <v>82.28505158</v>
      </c>
      <c r="H31" s="730">
        <f>'Inflation GDP Population'!H2</f>
        <v>73.13235237</v>
      </c>
      <c r="I31" s="730">
        <f>'Inflation GDP Population'!I2</f>
        <v>75.17834992</v>
      </c>
      <c r="J31" s="730">
        <f>'Inflation GDP Population'!J2</f>
        <v>77.56686895</v>
      </c>
      <c r="K31" s="730">
        <f>'Inflation GDP Population'!K2</f>
        <v>67.39705426</v>
      </c>
      <c r="L31" s="730">
        <f>'Inflation GDP Population'!L2</f>
        <v>69.35926131</v>
      </c>
      <c r="M31" s="730">
        <f>'Inflation GDP Population'!M2</f>
        <v>69.14964738</v>
      </c>
      <c r="N31" s="730">
        <f>'Inflation GDP Population'!N2</f>
        <v>66.07741069</v>
      </c>
      <c r="O31" s="730">
        <f>'Inflation GDP Population'!O2</f>
        <v>68.66764955</v>
      </c>
      <c r="P31" s="730">
        <f>'Inflation GDP Population'!P2</f>
        <v>67.61337449</v>
      </c>
      <c r="Q31" s="730">
        <f>'Inflation GDP Population'!Q2</f>
        <v>63.51929276</v>
      </c>
      <c r="R31" s="730">
        <f>'Inflation GDP Population'!R2</f>
        <v>65.2</v>
      </c>
      <c r="S31" s="730">
        <f>'Inflation GDP Population'!S2</f>
        <v>62.54</v>
      </c>
      <c r="T31" s="730">
        <f>'Inflation GDP Population'!T2</f>
        <v>62.8</v>
      </c>
      <c r="U31" s="730">
        <f>'Inflation GDP Population'!U2</f>
        <v>62.22</v>
      </c>
      <c r="V31" s="730">
        <f>'Inflation GDP Population'!V2</f>
        <v>63.24546</v>
      </c>
      <c r="W31" s="730">
        <f>'Inflation GDP Population'!W2</f>
        <v>62.18788</v>
      </c>
      <c r="X31" s="730">
        <f>'Inflation GDP Population'!X2</f>
        <v>61.28391</v>
      </c>
      <c r="Y31" s="730">
        <f>'Inflation GDP Population'!Y2</f>
        <v>60.78271</v>
      </c>
      <c r="Z31" s="730">
        <f>'Inflation GDP Population'!Z2</f>
        <v>60.47005</v>
      </c>
      <c r="AA31" s="730">
        <f>'Inflation GDP Population'!AA2</f>
        <v>60.72605</v>
      </c>
      <c r="AB31" s="730">
        <f>'Inflation GDP Population'!AB2</f>
        <v>60.32351</v>
      </c>
      <c r="AC31" s="730">
        <f>'Inflation GDP Population'!AC2</f>
        <v>60.15475</v>
      </c>
      <c r="AD31" s="730">
        <f>'Inflation GDP Population'!AD2</f>
        <v>59.91858</v>
      </c>
      <c r="AE31" s="730">
        <f>'Inflation GDP Population'!AE2</f>
        <v>59.74736</v>
      </c>
      <c r="AF31" s="730">
        <f>'Inflation GDP Population'!AF2</f>
        <v>59.57172</v>
      </c>
      <c r="AG31" s="730">
        <f>'Inflation GDP Population'!AG2</f>
        <v>59.4622</v>
      </c>
      <c r="AH31" s="730">
        <f>'Inflation GDP Population'!AH2</f>
        <v>59.09818</v>
      </c>
      <c r="AI31" s="730">
        <f>'Inflation GDP Population'!AI2</f>
        <v>58.69071</v>
      </c>
      <c r="AJ31" s="730">
        <f>'Inflation GDP Population'!AJ2</f>
        <v>58.27968</v>
      </c>
      <c r="AK31" s="730">
        <f>'Inflation GDP Population'!AK2</f>
        <v>57.94539</v>
      </c>
      <c r="AL31" s="730">
        <f>'Inflation GDP Population'!AL2</f>
        <v>57.82228</v>
      </c>
      <c r="AM31" s="730">
        <f>'Inflation GDP Population'!AM2</f>
        <v>57.6393</v>
      </c>
      <c r="AN31" s="730">
        <f>'Inflation GDP Population'!AN2</f>
        <v>57.61822</v>
      </c>
      <c r="AO31" s="730">
        <f>'Inflation GDP Population'!AO2</f>
        <v>57.58316</v>
      </c>
      <c r="AP31" s="730">
        <f>'Inflation GDP Population'!AP2</f>
        <v>57.42865</v>
      </c>
      <c r="AQ31" s="730">
        <f>'Inflation GDP Population'!AQ2</f>
        <v>57.21256</v>
      </c>
      <c r="AR31" s="730">
        <f>'Inflation GDP Population'!AR2</f>
        <v>56.95737</v>
      </c>
      <c r="AS31" s="730">
        <f>'Inflation GDP Population'!AS2</f>
        <v>56.72602</v>
      </c>
      <c r="AT31" s="730">
        <f>'Inflation GDP Population'!AT2</f>
        <v>56.5327</v>
      </c>
      <c r="AU31" s="730">
        <f>'Inflation GDP Population'!AU2</f>
        <v>56.32994</v>
      </c>
      <c r="AV31" s="730">
        <f>'Inflation GDP Population'!AV2</f>
        <v>56.00807</v>
      </c>
      <c r="AW31" s="730">
        <f>'Inflation GDP Population'!AW2</f>
        <v>55.85328</v>
      </c>
      <c r="AX31" s="730">
        <f>'Inflation GDP Population'!AX2</f>
        <v>56.44464</v>
      </c>
      <c r="AY31" s="730">
        <f>'Inflation GDP Population'!AY2</f>
        <v>56.52391</v>
      </c>
      <c r="AZ31" s="730">
        <f>'Inflation GDP Population'!AZ2</f>
        <v>56.24409</v>
      </c>
    </row>
    <row r="32" ht="15.0" customHeight="1">
      <c r="A32" s="535" t="s">
        <v>128</v>
      </c>
      <c r="B32" s="730">
        <f>'Inflation GDP Population'!B3</f>
        <v>66.9366</v>
      </c>
      <c r="C32" s="730">
        <f>'Inflation GDP Population'!C3</f>
        <v>68.5627</v>
      </c>
      <c r="D32" s="730">
        <f>'Inflation GDP Population'!D3</f>
        <v>61.9876</v>
      </c>
      <c r="E32" s="730">
        <f>'Inflation GDP Population'!E3</f>
        <v>75.3499</v>
      </c>
      <c r="F32" s="730">
        <f>'Inflation GDP Population'!F3</f>
        <v>79.1677</v>
      </c>
      <c r="G32" s="730">
        <f>'Inflation GDP Population'!G3</f>
        <v>95.8529</v>
      </c>
      <c r="H32" s="730">
        <f>'Inflation GDP Population'!H3</f>
        <v>86.2377</v>
      </c>
      <c r="I32" s="730">
        <f>'Inflation GDP Population'!I3</f>
        <v>87.6517</v>
      </c>
      <c r="J32" s="730">
        <f>'Inflation GDP Population'!J3</f>
        <v>101.4382</v>
      </c>
      <c r="K32" s="730">
        <f>'Inflation GDP Population'!K3</f>
        <v>70.8251</v>
      </c>
      <c r="L32" s="730">
        <f>'Inflation GDP Population'!L3</f>
        <v>73.2289</v>
      </c>
      <c r="M32" s="730">
        <f>'Inflation GDP Population'!M3</f>
        <v>70.5423</v>
      </c>
      <c r="N32" s="730">
        <f>'Inflation GDP Population'!N3</f>
        <v>60.9978</v>
      </c>
      <c r="O32" s="730">
        <f>'Inflation GDP Population'!O3</f>
        <v>67.7143</v>
      </c>
      <c r="P32" s="730">
        <f>'Inflation GDP Population'!P3</f>
        <v>72.6633</v>
      </c>
      <c r="Q32" s="730">
        <f>'Inflation GDP Population'!Q3</f>
        <v>59.8666</v>
      </c>
      <c r="R32" s="730">
        <f>'Inflation GDP Population'!R3</f>
        <v>64.07</v>
      </c>
      <c r="S32" s="730">
        <f>'Inflation GDP Population'!S3</f>
        <v>62.54</v>
      </c>
      <c r="T32" s="730">
        <f>'Inflation GDP Population'!T3</f>
        <v>64.2</v>
      </c>
      <c r="U32" s="730">
        <f>'Inflation GDP Population'!U3</f>
        <v>65.09</v>
      </c>
      <c r="V32" s="730">
        <f>'Inflation GDP Population'!V3</f>
        <v>67.89328</v>
      </c>
      <c r="W32" s="730">
        <f>'Inflation GDP Population'!W3</f>
        <v>68.40823</v>
      </c>
      <c r="X32" s="730">
        <f>'Inflation GDP Population'!X3</f>
        <v>69.03984</v>
      </c>
      <c r="Y32" s="730">
        <f>'Inflation GDP Population'!Y3</f>
        <v>70.16593</v>
      </c>
      <c r="Z32" s="730">
        <f>'Inflation GDP Population'!Z3</f>
        <v>71.49954</v>
      </c>
      <c r="AA32" s="730">
        <f>'Inflation GDP Population'!AA3</f>
        <v>73.51659</v>
      </c>
      <c r="AB32" s="730">
        <f>'Inflation GDP Population'!AB3</f>
        <v>74.70362</v>
      </c>
      <c r="AC32" s="730">
        <f>'Inflation GDP Population'!AC3</f>
        <v>76.17161</v>
      </c>
      <c r="AD32" s="730">
        <f>'Inflation GDP Population'!AD3</f>
        <v>77.50948</v>
      </c>
      <c r="AE32" s="730">
        <f>'Inflation GDP Population'!AE3</f>
        <v>78.93703</v>
      </c>
      <c r="AF32" s="730">
        <f>'Inflation GDP Population'!AF3</f>
        <v>80.39476</v>
      </c>
      <c r="AG32" s="730">
        <f>'Inflation GDP Population'!AG3</f>
        <v>81.99922</v>
      </c>
      <c r="AH32" s="730">
        <f>'Inflation GDP Population'!AH3</f>
        <v>83.28815</v>
      </c>
      <c r="AI32" s="730">
        <f>'Inflation GDP Population'!AI3</f>
        <v>84.55218</v>
      </c>
      <c r="AJ32" s="730">
        <f>'Inflation GDP Population'!AJ3</f>
        <v>85.84256</v>
      </c>
      <c r="AK32" s="730">
        <f>'Inflation GDP Population'!AK3</f>
        <v>87.2825</v>
      </c>
      <c r="AL32" s="730">
        <f>'Inflation GDP Population'!AL3</f>
        <v>89.09156</v>
      </c>
      <c r="AM32" s="730">
        <f>'Inflation GDP Population'!AM3</f>
        <v>90.84511</v>
      </c>
      <c r="AN32" s="730">
        <f>'Inflation GDP Population'!AN3</f>
        <v>92.88487</v>
      </c>
      <c r="AO32" s="730">
        <f>'Inflation GDP Population'!AO3</f>
        <v>94.96038</v>
      </c>
      <c r="AP32" s="730">
        <f>'Inflation GDP Population'!AP3</f>
        <v>96.89805</v>
      </c>
      <c r="AQ32" s="730">
        <f>'Inflation GDP Population'!AQ3</f>
        <v>98.79292</v>
      </c>
      <c r="AR32" s="730">
        <f>'Inflation GDP Population'!AR3</f>
        <v>100.67492</v>
      </c>
      <c r="AS32" s="730">
        <f>'Inflation GDP Population'!AS3</f>
        <v>102.66981</v>
      </c>
      <c r="AT32" s="730">
        <f>'Inflation GDP Population'!AT3</f>
        <v>104.79814</v>
      </c>
      <c r="AU32" s="730">
        <f>'Inflation GDP Population'!AU3</f>
        <v>106.98113</v>
      </c>
      <c r="AV32" s="730">
        <f>'Inflation GDP Population'!AV3</f>
        <v>108.97938</v>
      </c>
      <c r="AW32" s="730">
        <f>'Inflation GDP Population'!AW3</f>
        <v>111.37462</v>
      </c>
      <c r="AX32" s="730">
        <f>'Inflation GDP Population'!AX3</f>
        <v>115.38931</v>
      </c>
      <c r="AY32" s="730">
        <f>'Inflation GDP Population'!AY3</f>
        <v>118.463</v>
      </c>
      <c r="AZ32" s="730">
        <f>'Inflation GDP Population'!AZ3</f>
        <v>120.87941</v>
      </c>
    </row>
    <row r="33" ht="15.0" customHeight="1">
      <c r="A33" s="535" t="s">
        <v>465</v>
      </c>
      <c r="B33" s="730">
        <f>'Inflation GDP Population'!B6</f>
        <v>249.4238174</v>
      </c>
      <c r="C33" s="730">
        <f>'Inflation GDP Population'!C6</f>
        <v>249.4238174</v>
      </c>
      <c r="D33" s="730">
        <f>'Inflation GDP Population'!D6</f>
        <v>212.30936</v>
      </c>
      <c r="E33" s="730">
        <f>'Inflation GDP Population'!E6</f>
        <v>237.6676023</v>
      </c>
      <c r="F33" s="730">
        <f>'Inflation GDP Population'!F6</f>
        <v>220.2350447</v>
      </c>
      <c r="G33" s="730">
        <f>'Inflation GDP Population'!G6</f>
        <v>209.1283615</v>
      </c>
      <c r="H33" s="730">
        <f>'Inflation GDP Population'!H6</f>
        <v>211.5976897</v>
      </c>
      <c r="I33" s="730">
        <f>'Inflation GDP Population'!I6</f>
        <v>188.0613369</v>
      </c>
      <c r="J33" s="730">
        <f>'Inflation GDP Population'!J6</f>
        <v>193.3226613</v>
      </c>
      <c r="K33" s="730">
        <f>'Inflation GDP Population'!K6</f>
        <v>199.4647867</v>
      </c>
      <c r="L33" s="730">
        <f>'Inflation GDP Population'!L6</f>
        <v>173.3129007</v>
      </c>
      <c r="M33" s="730">
        <f>'Inflation GDP Population'!M6</f>
        <v>178.3587562</v>
      </c>
      <c r="N33" s="730">
        <f>'Inflation GDP Population'!N6</f>
        <v>177.8197297</v>
      </c>
      <c r="O33" s="730">
        <f>'Inflation GDP Population'!O6</f>
        <v>169.9194103</v>
      </c>
      <c r="P33" s="730">
        <f>'Inflation GDP Population'!P6</f>
        <v>176.5802624</v>
      </c>
      <c r="Q33" s="730">
        <f>'Inflation GDP Population'!Q6</f>
        <v>173.8691726</v>
      </c>
      <c r="R33" s="730">
        <f>'Inflation GDP Population'!R6</f>
        <v>163.3411578</v>
      </c>
      <c r="S33" s="730">
        <f>'Inflation GDP Population'!S6</f>
        <v>167.6631308</v>
      </c>
      <c r="T33" s="730">
        <f>'Inflation GDP Population'!T6</f>
        <v>160.8228865</v>
      </c>
      <c r="U33" s="730">
        <f>'Inflation GDP Population'!U6</f>
        <v>161.4914818</v>
      </c>
      <c r="V33" s="730">
        <f>'Inflation GDP Population'!V6</f>
        <v>160</v>
      </c>
      <c r="W33" s="730">
        <f>'Inflation GDP Population'!W6</f>
        <v>157.3245068</v>
      </c>
      <c r="X33" s="730">
        <f>'Inflation GDP Population'!X6</f>
        <v>155.0376201</v>
      </c>
      <c r="Y33" s="730">
        <f>'Inflation GDP Population'!Y6</f>
        <v>153.7696714</v>
      </c>
      <c r="Z33" s="730">
        <f>'Inflation GDP Population'!Z6</f>
        <v>152.978696</v>
      </c>
      <c r="AA33" s="730">
        <f>'Inflation GDP Population'!AA6</f>
        <v>153.6263314</v>
      </c>
      <c r="AB33" s="730">
        <f>'Inflation GDP Population'!AB6</f>
        <v>152.6079753</v>
      </c>
      <c r="AC33" s="730">
        <f>'Inflation GDP Population'!AC6</f>
        <v>152.1810419</v>
      </c>
      <c r="AD33" s="730">
        <f>'Inflation GDP Population'!AD6</f>
        <v>151.583573</v>
      </c>
      <c r="AE33" s="730">
        <f>'Inflation GDP Population'!AE6</f>
        <v>151.1504162</v>
      </c>
      <c r="AF33" s="730">
        <f>'Inflation GDP Population'!AF6</f>
        <v>150.7060776</v>
      </c>
      <c r="AG33" s="730">
        <f>'Inflation GDP Population'!AG6</f>
        <v>150.429011</v>
      </c>
      <c r="AH33" s="730">
        <f>'Inflation GDP Population'!AH6</f>
        <v>149.5081038</v>
      </c>
      <c r="AI33" s="730">
        <f>'Inflation GDP Population'!AI6</f>
        <v>148.4772757</v>
      </c>
      <c r="AJ33" s="730">
        <f>'Inflation GDP Population'!AJ6</f>
        <v>147.4374414</v>
      </c>
      <c r="AK33" s="730">
        <f>'Inflation GDP Population'!AK6</f>
        <v>146.5917459</v>
      </c>
      <c r="AL33" s="730">
        <f>'Inflation GDP Population'!AL6</f>
        <v>146.280299</v>
      </c>
      <c r="AM33" s="730">
        <f>'Inflation GDP Population'!AM6</f>
        <v>145.8173915</v>
      </c>
      <c r="AN33" s="730">
        <f>'Inflation GDP Population'!AN6</f>
        <v>145.7640627</v>
      </c>
      <c r="AO33" s="730">
        <f>'Inflation GDP Population'!AO6</f>
        <v>145.6753671</v>
      </c>
      <c r="AP33" s="730">
        <f>'Inflation GDP Population'!AP6</f>
        <v>145.2844837</v>
      </c>
      <c r="AQ33" s="730">
        <f>'Inflation GDP Population'!AQ6</f>
        <v>144.7378136</v>
      </c>
      <c r="AR33" s="730">
        <f>'Inflation GDP Population'!AR6</f>
        <v>144.0922273</v>
      </c>
      <c r="AS33" s="730">
        <f>'Inflation GDP Population'!AS6</f>
        <v>143.5069521</v>
      </c>
      <c r="AT33" s="730">
        <f>'Inflation GDP Population'!AT6</f>
        <v>143.0178862</v>
      </c>
      <c r="AU33" s="730">
        <f>'Inflation GDP Population'!AU6</f>
        <v>142.5049387</v>
      </c>
      <c r="AV33" s="730">
        <f>'Inflation GDP Population'!AV6</f>
        <v>141.6906636</v>
      </c>
      <c r="AW33" s="730">
        <f>'Inflation GDP Population'!AW6</f>
        <v>141.2990719</v>
      </c>
      <c r="AX33" s="730">
        <f>'Inflation GDP Population'!AX6</f>
        <v>142.7951097</v>
      </c>
      <c r="AY33" s="730">
        <f>'Inflation GDP Population'!AY6</f>
        <v>142.995649</v>
      </c>
      <c r="AZ33" s="730">
        <f>'Inflation GDP Population'!AZ6</f>
        <v>142.2877531</v>
      </c>
    </row>
    <row r="34" ht="15.0" customHeight="1">
      <c r="A34" s="535" t="s">
        <v>130</v>
      </c>
      <c r="B34" s="730">
        <f>'Inflation GDP Population'!B7</f>
        <v>164.5391919</v>
      </c>
      <c r="C34" s="730">
        <f>'Inflation GDP Population'!C7</f>
        <v>164.5391919</v>
      </c>
      <c r="D34" s="730">
        <f>'Inflation GDP Population'!D7</f>
        <v>168.536365</v>
      </c>
      <c r="E34" s="730">
        <f>'Inflation GDP Population'!E7</f>
        <v>152.3738823</v>
      </c>
      <c r="F34" s="730">
        <f>'Inflation GDP Population'!F7</f>
        <v>185.2202182</v>
      </c>
      <c r="G34" s="730">
        <f>'Inflation GDP Population'!G7</f>
        <v>194.6048855</v>
      </c>
      <c r="H34" s="730">
        <f>'Inflation GDP Population'!H7</f>
        <v>235.6193578</v>
      </c>
      <c r="I34" s="730">
        <f>'Inflation GDP Population'!I7</f>
        <v>211.9838992</v>
      </c>
      <c r="J34" s="730">
        <f>'Inflation GDP Population'!J7</f>
        <v>215.459702</v>
      </c>
      <c r="K34" s="730">
        <f>'Inflation GDP Population'!K7</f>
        <v>249.3487786</v>
      </c>
      <c r="L34" s="730">
        <f>'Inflation GDP Population'!L7</f>
        <v>174.0976494</v>
      </c>
      <c r="M34" s="730">
        <f>'Inflation GDP Population'!M7</f>
        <v>180.0065141</v>
      </c>
      <c r="N34" s="730">
        <f>'Inflation GDP Population'!N7</f>
        <v>173.4024889</v>
      </c>
      <c r="O34" s="730">
        <f>'Inflation GDP Population'!O7</f>
        <v>149.9408204</v>
      </c>
      <c r="P34" s="730">
        <f>'Inflation GDP Population'!P7</f>
        <v>166.4508834</v>
      </c>
      <c r="Q34" s="730">
        <f>'Inflation GDP Population'!Q7</f>
        <v>178.616193</v>
      </c>
      <c r="R34" s="730">
        <f>'Inflation GDP Population'!R7</f>
        <v>147.1601782</v>
      </c>
      <c r="S34" s="730">
        <f>'Inflation GDP Population'!S7</f>
        <v>157.4927024</v>
      </c>
      <c r="T34" s="730">
        <f>'Inflation GDP Population'!T7</f>
        <v>153.731756</v>
      </c>
      <c r="U34" s="730">
        <f>'Inflation GDP Population'!U7</f>
        <v>157.8122599</v>
      </c>
      <c r="V34" s="730">
        <f>'Inflation GDP Population'!V7</f>
        <v>160</v>
      </c>
      <c r="W34" s="730">
        <f>'Inflation GDP Population'!W7</f>
        <v>161.2135516</v>
      </c>
      <c r="X34" s="730">
        <f>'Inflation GDP Population'!X7</f>
        <v>162.7020288</v>
      </c>
      <c r="Y34" s="730">
        <f>'Inflation GDP Population'!Y7</f>
        <v>165.3558172</v>
      </c>
      <c r="Z34" s="730">
        <f>'Inflation GDP Population'!Z7</f>
        <v>168.4986555</v>
      </c>
      <c r="AA34" s="730">
        <f>'Inflation GDP Population'!AA7</f>
        <v>173.2521157</v>
      </c>
      <c r="AB34" s="730">
        <f>'Inflation GDP Population'!AB7</f>
        <v>176.0495177</v>
      </c>
      <c r="AC34" s="730">
        <f>'Inflation GDP Population'!AC7</f>
        <v>179.5090412</v>
      </c>
      <c r="AD34" s="730">
        <f>'Inflation GDP Population'!AD7</f>
        <v>182.6619188</v>
      </c>
      <c r="AE34" s="730">
        <f>'Inflation GDP Population'!AE7</f>
        <v>186.0261398</v>
      </c>
      <c r="AF34" s="730">
        <f>'Inflation GDP Population'!AF7</f>
        <v>189.4614843</v>
      </c>
      <c r="AG34" s="730">
        <f>'Inflation GDP Population'!AG7</f>
        <v>193.2426184</v>
      </c>
      <c r="AH34" s="730">
        <f>'Inflation GDP Population'!AH7</f>
        <v>196.280162</v>
      </c>
      <c r="AI34" s="730">
        <f>'Inflation GDP Population'!AI7</f>
        <v>199.2590253</v>
      </c>
      <c r="AJ34" s="730">
        <f>'Inflation GDP Population'!AJ7</f>
        <v>202.2999861</v>
      </c>
      <c r="AK34" s="730">
        <f>'Inflation GDP Population'!AK7</f>
        <v>205.6934059</v>
      </c>
      <c r="AL34" s="730">
        <f>'Inflation GDP Population'!AL7</f>
        <v>209.9567085</v>
      </c>
      <c r="AM34" s="730">
        <f>'Inflation GDP Population'!AM7</f>
        <v>214.0891941</v>
      </c>
      <c r="AN34" s="730">
        <f>'Inflation GDP Population'!AN7</f>
        <v>218.8961735</v>
      </c>
      <c r="AO34" s="730">
        <f>'Inflation GDP Population'!AO7</f>
        <v>223.7874028</v>
      </c>
      <c r="AP34" s="730">
        <f>'Inflation GDP Population'!AP7</f>
        <v>228.3537929</v>
      </c>
      <c r="AQ34" s="730">
        <f>'Inflation GDP Population'!AQ7</f>
        <v>232.8193188</v>
      </c>
      <c r="AR34" s="730">
        <f>'Inflation GDP Population'!AR7</f>
        <v>237.2545147</v>
      </c>
      <c r="AS34" s="730">
        <f>'Inflation GDP Population'!AS7</f>
        <v>241.9557517</v>
      </c>
      <c r="AT34" s="730">
        <f>'Inflation GDP Population'!AT7</f>
        <v>246.9714587</v>
      </c>
      <c r="AU34" s="730">
        <f>'Inflation GDP Population'!AU7</f>
        <v>252.1159797</v>
      </c>
      <c r="AV34" s="730">
        <f>'Inflation GDP Population'!AV7</f>
        <v>256.825135</v>
      </c>
      <c r="AW34" s="730">
        <f>'Inflation GDP Population'!AW7</f>
        <v>262.4698527</v>
      </c>
      <c r="AX34" s="730">
        <f>'Inflation GDP Population'!AX7</f>
        <v>271.9310306</v>
      </c>
      <c r="AY34" s="730">
        <f>'Inflation GDP Population'!AY7</f>
        <v>279.1746105</v>
      </c>
      <c r="AZ34" s="730">
        <f>'Inflation GDP Population'!AZ7</f>
        <v>284.8692183</v>
      </c>
    </row>
    <row r="35" ht="15.0" customHeight="1">
      <c r="A35" s="541" t="s">
        <v>1138</v>
      </c>
      <c r="B35" s="546">
        <v>0.0</v>
      </c>
      <c r="C35" s="546">
        <v>0.0</v>
      </c>
      <c r="D35" s="546">
        <v>0.0</v>
      </c>
      <c r="E35" s="546">
        <v>0.0</v>
      </c>
      <c r="F35" s="546">
        <v>0.0</v>
      </c>
      <c r="G35" s="546">
        <v>0.0</v>
      </c>
      <c r="H35" s="546">
        <v>0.0</v>
      </c>
      <c r="I35" s="546">
        <f t="shared" ref="I35:U35" si="18">J35</f>
        <v>0</v>
      </c>
      <c r="J35" s="546">
        <f t="shared" si="18"/>
        <v>0</v>
      </c>
      <c r="K35" s="546">
        <f t="shared" si="18"/>
        <v>0</v>
      </c>
      <c r="L35" s="546">
        <f t="shared" si="18"/>
        <v>0</v>
      </c>
      <c r="M35" s="546">
        <f t="shared" si="18"/>
        <v>0</v>
      </c>
      <c r="N35" s="546">
        <f t="shared" si="18"/>
        <v>0</v>
      </c>
      <c r="O35" s="546">
        <f t="shared" si="18"/>
        <v>0</v>
      </c>
      <c r="P35" s="546">
        <f t="shared" si="18"/>
        <v>0</v>
      </c>
      <c r="Q35" s="546">
        <f t="shared" si="18"/>
        <v>0</v>
      </c>
      <c r="R35" s="546">
        <f t="shared" si="18"/>
        <v>0</v>
      </c>
      <c r="S35" s="546">
        <f t="shared" si="18"/>
        <v>0</v>
      </c>
      <c r="T35" s="546">
        <f t="shared" si="18"/>
        <v>0</v>
      </c>
      <c r="U35" s="546">
        <f t="shared" si="18"/>
        <v>0</v>
      </c>
      <c r="V35" s="542">
        <v>0.0</v>
      </c>
      <c r="W35" s="208">
        <f t="shared" ref="W35:AZ35" si="19">V35</f>
        <v>0</v>
      </c>
      <c r="X35" s="208">
        <f t="shared" si="19"/>
        <v>0</v>
      </c>
      <c r="Y35" s="208">
        <f t="shared" si="19"/>
        <v>0</v>
      </c>
      <c r="Z35" s="208">
        <f t="shared" si="19"/>
        <v>0</v>
      </c>
      <c r="AA35" s="208">
        <f t="shared" si="19"/>
        <v>0</v>
      </c>
      <c r="AB35" s="208">
        <f t="shared" si="19"/>
        <v>0</v>
      </c>
      <c r="AC35" s="208">
        <f t="shared" si="19"/>
        <v>0</v>
      </c>
      <c r="AD35" s="208">
        <f t="shared" si="19"/>
        <v>0</v>
      </c>
      <c r="AE35" s="208">
        <f t="shared" si="19"/>
        <v>0</v>
      </c>
      <c r="AF35" s="208">
        <f t="shared" si="19"/>
        <v>0</v>
      </c>
      <c r="AG35" s="208">
        <f t="shared" si="19"/>
        <v>0</v>
      </c>
      <c r="AH35" s="208">
        <f t="shared" si="19"/>
        <v>0</v>
      </c>
      <c r="AI35" s="208">
        <f t="shared" si="19"/>
        <v>0</v>
      </c>
      <c r="AJ35" s="208">
        <f t="shared" si="19"/>
        <v>0</v>
      </c>
      <c r="AK35" s="208">
        <f t="shared" si="19"/>
        <v>0</v>
      </c>
      <c r="AL35" s="208">
        <f t="shared" si="19"/>
        <v>0</v>
      </c>
      <c r="AM35" s="208">
        <f t="shared" si="19"/>
        <v>0</v>
      </c>
      <c r="AN35" s="208">
        <f t="shared" si="19"/>
        <v>0</v>
      </c>
      <c r="AO35" s="208">
        <f t="shared" si="19"/>
        <v>0</v>
      </c>
      <c r="AP35" s="208">
        <f t="shared" si="19"/>
        <v>0</v>
      </c>
      <c r="AQ35" s="208">
        <f t="shared" si="19"/>
        <v>0</v>
      </c>
      <c r="AR35" s="208">
        <f t="shared" si="19"/>
        <v>0</v>
      </c>
      <c r="AS35" s="208">
        <f t="shared" si="19"/>
        <v>0</v>
      </c>
      <c r="AT35" s="208">
        <f t="shared" si="19"/>
        <v>0</v>
      </c>
      <c r="AU35" s="208">
        <f t="shared" si="19"/>
        <v>0</v>
      </c>
      <c r="AV35" s="208">
        <f t="shared" si="19"/>
        <v>0</v>
      </c>
      <c r="AW35" s="208">
        <f t="shared" si="19"/>
        <v>0</v>
      </c>
      <c r="AX35" s="208">
        <f t="shared" si="19"/>
        <v>0</v>
      </c>
      <c r="AY35" s="208">
        <f t="shared" si="19"/>
        <v>0</v>
      </c>
      <c r="AZ35" s="208">
        <f t="shared" si="19"/>
        <v>0</v>
      </c>
    </row>
    <row r="36" ht="15.75" customHeight="1">
      <c r="A36" s="535" t="s">
        <v>137</v>
      </c>
      <c r="B36" s="709">
        <f t="shared" ref="B36:U36" si="20">C36</f>
        <v>0.01989423738</v>
      </c>
      <c r="C36" s="709">
        <f t="shared" si="20"/>
        <v>0.01989423738</v>
      </c>
      <c r="D36" s="709">
        <f t="shared" si="20"/>
        <v>0.01989423738</v>
      </c>
      <c r="E36" s="709">
        <f t="shared" si="20"/>
        <v>0.01989423738</v>
      </c>
      <c r="F36" s="709">
        <f t="shared" si="20"/>
        <v>0.01989423738</v>
      </c>
      <c r="G36" s="709">
        <f t="shared" si="20"/>
        <v>0.01989423738</v>
      </c>
      <c r="H36" s="709">
        <f t="shared" si="20"/>
        <v>0.01989423738</v>
      </c>
      <c r="I36" s="709">
        <f t="shared" si="20"/>
        <v>0.01989423738</v>
      </c>
      <c r="J36" s="709">
        <f t="shared" si="20"/>
        <v>0.01989423738</v>
      </c>
      <c r="K36" s="709">
        <f t="shared" si="20"/>
        <v>0.01989423738</v>
      </c>
      <c r="L36" s="709">
        <f t="shared" si="20"/>
        <v>0.01989423738</v>
      </c>
      <c r="M36" s="709">
        <f t="shared" si="20"/>
        <v>0.01989423738</v>
      </c>
      <c r="N36" s="709">
        <f t="shared" si="20"/>
        <v>0.01989423738</v>
      </c>
      <c r="O36" s="709">
        <f t="shared" si="20"/>
        <v>0.01989423738</v>
      </c>
      <c r="P36" s="709">
        <f t="shared" si="20"/>
        <v>0.01989423738</v>
      </c>
      <c r="Q36" s="709">
        <f t="shared" si="20"/>
        <v>0.01989423738</v>
      </c>
      <c r="R36" s="709">
        <f t="shared" si="20"/>
        <v>0.01989423738</v>
      </c>
      <c r="S36" s="709">
        <f t="shared" si="20"/>
        <v>0.01989423738</v>
      </c>
      <c r="T36" s="709">
        <f t="shared" si="20"/>
        <v>0.01989423738</v>
      </c>
      <c r="U36" s="709">
        <f t="shared" si="20"/>
        <v>0.01989423738</v>
      </c>
      <c r="V36" s="669">
        <f>Inputs!B21</f>
        <v>0.01989423738</v>
      </c>
      <c r="W36" s="710">
        <f t="shared" ref="W36:AZ36" si="21">V36</f>
        <v>0.01989423738</v>
      </c>
      <c r="X36" s="710">
        <f t="shared" si="21"/>
        <v>0.01989423738</v>
      </c>
      <c r="Y36" s="710">
        <f t="shared" si="21"/>
        <v>0.01989423738</v>
      </c>
      <c r="Z36" s="710">
        <f t="shared" si="21"/>
        <v>0.01989423738</v>
      </c>
      <c r="AA36" s="710">
        <f t="shared" si="21"/>
        <v>0.01989423738</v>
      </c>
      <c r="AB36" s="710">
        <f t="shared" si="21"/>
        <v>0.01989423738</v>
      </c>
      <c r="AC36" s="710">
        <f t="shared" si="21"/>
        <v>0.01989423738</v>
      </c>
      <c r="AD36" s="710">
        <f t="shared" si="21"/>
        <v>0.01989423738</v>
      </c>
      <c r="AE36" s="710">
        <f t="shared" si="21"/>
        <v>0.01989423738</v>
      </c>
      <c r="AF36" s="710">
        <f t="shared" si="21"/>
        <v>0.01989423738</v>
      </c>
      <c r="AG36" s="710">
        <f t="shared" si="21"/>
        <v>0.01989423738</v>
      </c>
      <c r="AH36" s="710">
        <f t="shared" si="21"/>
        <v>0.01989423738</v>
      </c>
      <c r="AI36" s="710">
        <f t="shared" si="21"/>
        <v>0.01989423738</v>
      </c>
      <c r="AJ36" s="710">
        <f t="shared" si="21"/>
        <v>0.01989423738</v>
      </c>
      <c r="AK36" s="710">
        <f t="shared" si="21"/>
        <v>0.01989423738</v>
      </c>
      <c r="AL36" s="710">
        <f t="shared" si="21"/>
        <v>0.01989423738</v>
      </c>
      <c r="AM36" s="710">
        <f t="shared" si="21"/>
        <v>0.01989423738</v>
      </c>
      <c r="AN36" s="710">
        <f t="shared" si="21"/>
        <v>0.01989423738</v>
      </c>
      <c r="AO36" s="710">
        <f t="shared" si="21"/>
        <v>0.01989423738</v>
      </c>
      <c r="AP36" s="710">
        <f t="shared" si="21"/>
        <v>0.01989423738</v>
      </c>
      <c r="AQ36" s="710">
        <f t="shared" si="21"/>
        <v>0.01989423738</v>
      </c>
      <c r="AR36" s="710">
        <f t="shared" si="21"/>
        <v>0.01989423738</v>
      </c>
      <c r="AS36" s="710">
        <f t="shared" si="21"/>
        <v>0.01989423738</v>
      </c>
      <c r="AT36" s="710">
        <f t="shared" si="21"/>
        <v>0.01989423738</v>
      </c>
      <c r="AU36" s="710">
        <f t="shared" si="21"/>
        <v>0.01989423738</v>
      </c>
      <c r="AV36" s="710">
        <f t="shared" si="21"/>
        <v>0.01989423738</v>
      </c>
      <c r="AW36" s="710">
        <f t="shared" si="21"/>
        <v>0.01989423738</v>
      </c>
      <c r="AX36" s="710">
        <f t="shared" si="21"/>
        <v>0.01989423738</v>
      </c>
      <c r="AY36" s="710">
        <f t="shared" si="21"/>
        <v>0.01989423738</v>
      </c>
      <c r="AZ36" s="710">
        <f t="shared" si="21"/>
        <v>0.01989423738</v>
      </c>
    </row>
    <row r="37" ht="15.75" customHeight="1">
      <c r="A37" s="535"/>
      <c r="B37" s="535"/>
      <c r="C37" s="535"/>
      <c r="D37" s="535"/>
      <c r="E37" s="535"/>
      <c r="F37" s="535"/>
      <c r="G37" s="535"/>
      <c r="H37" s="535"/>
      <c r="I37" s="535"/>
      <c r="J37" s="535"/>
      <c r="K37" s="535"/>
      <c r="L37" s="535"/>
      <c r="M37" s="535"/>
      <c r="N37" s="535"/>
      <c r="O37" s="535"/>
      <c r="P37" s="535"/>
      <c r="Q37" s="535"/>
      <c r="R37" s="535"/>
      <c r="S37" s="535"/>
      <c r="T37" s="535"/>
      <c r="U37" s="535"/>
      <c r="V37" s="141"/>
      <c r="W37" s="710"/>
      <c r="X37" s="710"/>
      <c r="Y37" s="710"/>
      <c r="Z37" s="710"/>
      <c r="AA37" s="710"/>
      <c r="AB37" s="710"/>
      <c r="AC37" s="710"/>
      <c r="AD37" s="710"/>
      <c r="AE37" s="710"/>
      <c r="AF37" s="710"/>
      <c r="AG37" s="710"/>
      <c r="AH37" s="710"/>
      <c r="AI37" s="710"/>
      <c r="AJ37" s="710"/>
      <c r="AK37" s="710"/>
      <c r="AL37" s="710"/>
      <c r="AM37" s="710"/>
      <c r="AN37" s="710"/>
      <c r="AO37" s="710"/>
      <c r="AP37" s="710"/>
      <c r="AQ37" s="710"/>
      <c r="AR37" s="710"/>
      <c r="AS37" s="710"/>
      <c r="AT37" s="710"/>
      <c r="AU37" s="710"/>
      <c r="AV37" s="710"/>
      <c r="AW37" s="710"/>
      <c r="AX37" s="710"/>
      <c r="AY37" s="710"/>
      <c r="AZ37" s="710"/>
    </row>
    <row r="38" ht="15.75" customHeight="1">
      <c r="A38" s="403" t="s">
        <v>140</v>
      </c>
      <c r="B38" s="38"/>
      <c r="C38" s="38"/>
      <c r="D38" s="38"/>
      <c r="E38" s="38"/>
      <c r="F38" s="38"/>
      <c r="G38" s="38"/>
      <c r="H38" s="38"/>
      <c r="I38" s="38"/>
      <c r="J38" s="38"/>
      <c r="K38" s="38"/>
      <c r="L38" s="38"/>
      <c r="M38" s="38"/>
      <c r="N38" s="38"/>
      <c r="O38" s="38"/>
      <c r="P38" s="38"/>
      <c r="Q38" s="38"/>
      <c r="R38" s="38"/>
      <c r="S38" s="38"/>
      <c r="T38" s="38"/>
      <c r="U38" s="38"/>
      <c r="V38" s="32"/>
      <c r="W38" s="252">
        <f t="shared" ref="W38:BA38" si="22">SUM(W40:W160)</f>
        <v>1883.6</v>
      </c>
      <c r="X38" s="252">
        <f t="shared" si="22"/>
        <v>180</v>
      </c>
      <c r="Y38" s="252">
        <f t="shared" si="22"/>
        <v>26.8</v>
      </c>
      <c r="Z38" s="252">
        <f t="shared" si="22"/>
        <v>1.7</v>
      </c>
      <c r="AA38" s="252">
        <f t="shared" si="22"/>
        <v>16.9</v>
      </c>
      <c r="AB38" s="252">
        <f t="shared" si="22"/>
        <v>5.2</v>
      </c>
      <c r="AC38" s="252">
        <f t="shared" si="22"/>
        <v>12.5</v>
      </c>
      <c r="AD38" s="252">
        <f t="shared" si="22"/>
        <v>1.5</v>
      </c>
      <c r="AE38" s="252">
        <f t="shared" si="22"/>
        <v>1.6</v>
      </c>
      <c r="AF38" s="252">
        <f t="shared" si="22"/>
        <v>47.3</v>
      </c>
      <c r="AG38" s="252">
        <f t="shared" si="22"/>
        <v>3</v>
      </c>
      <c r="AH38" s="252">
        <f t="shared" si="22"/>
        <v>106</v>
      </c>
      <c r="AI38" s="252">
        <f t="shared" si="22"/>
        <v>28.2</v>
      </c>
      <c r="AJ38" s="252">
        <f t="shared" si="22"/>
        <v>19.4</v>
      </c>
      <c r="AK38" s="252">
        <f t="shared" si="22"/>
        <v>24.6</v>
      </c>
      <c r="AL38" s="252">
        <f t="shared" si="22"/>
        <v>16.9</v>
      </c>
      <c r="AM38" s="252">
        <f t="shared" si="22"/>
        <v>19</v>
      </c>
      <c r="AN38" s="252">
        <f t="shared" si="22"/>
        <v>23.4</v>
      </c>
      <c r="AO38" s="252">
        <f t="shared" si="22"/>
        <v>23.2</v>
      </c>
      <c r="AP38" s="252">
        <f t="shared" si="22"/>
        <v>10.1</v>
      </c>
      <c r="AQ38" s="252">
        <f t="shared" si="22"/>
        <v>1.3</v>
      </c>
      <c r="AR38" s="252">
        <f t="shared" si="22"/>
        <v>0</v>
      </c>
      <c r="AS38" s="252">
        <f t="shared" si="22"/>
        <v>10.5</v>
      </c>
      <c r="AT38" s="252">
        <f t="shared" si="22"/>
        <v>3.6</v>
      </c>
      <c r="AU38" s="252">
        <f t="shared" si="22"/>
        <v>19.9</v>
      </c>
      <c r="AV38" s="252">
        <f t="shared" si="22"/>
        <v>1.2</v>
      </c>
      <c r="AW38" s="252">
        <f t="shared" si="22"/>
        <v>0.7</v>
      </c>
      <c r="AX38" s="252">
        <f t="shared" si="22"/>
        <v>0</v>
      </c>
      <c r="AY38" s="252">
        <f t="shared" si="22"/>
        <v>0</v>
      </c>
      <c r="AZ38" s="252">
        <f t="shared" si="22"/>
        <v>0</v>
      </c>
      <c r="BA38" s="252">
        <f t="shared" si="22"/>
        <v>0</v>
      </c>
    </row>
    <row r="39" ht="15.75" customHeight="1">
      <c r="A39" s="733" t="s">
        <v>1012</v>
      </c>
      <c r="B39" s="733"/>
      <c r="C39" s="733"/>
      <c r="D39" s="733"/>
      <c r="E39" s="733"/>
      <c r="F39" s="733"/>
      <c r="G39" s="733"/>
      <c r="H39" s="733"/>
      <c r="I39" s="733"/>
      <c r="J39" s="733"/>
      <c r="K39" s="733"/>
      <c r="L39" s="733"/>
      <c r="M39" s="733"/>
      <c r="N39" s="733"/>
      <c r="O39" s="733"/>
      <c r="P39" s="733"/>
      <c r="Q39" s="733"/>
      <c r="R39" s="733"/>
      <c r="S39" s="733"/>
      <c r="T39" s="733"/>
      <c r="U39" s="733"/>
      <c r="V39" s="736" t="s">
        <v>1015</v>
      </c>
      <c r="W39" s="159">
        <v>2020.0</v>
      </c>
      <c r="X39" s="159">
        <v>2021.0</v>
      </c>
      <c r="Y39" s="159">
        <v>2022.0</v>
      </c>
      <c r="Z39" s="159">
        <v>2023.0</v>
      </c>
      <c r="AA39" s="159">
        <v>2024.0</v>
      </c>
      <c r="AB39" s="159">
        <v>2025.0</v>
      </c>
      <c r="AC39" s="159">
        <v>2026.0</v>
      </c>
      <c r="AD39" s="159">
        <v>2027.0</v>
      </c>
      <c r="AE39" s="159">
        <v>2028.0</v>
      </c>
      <c r="AF39" s="159">
        <v>2029.0</v>
      </c>
      <c r="AG39" s="159">
        <v>2030.0</v>
      </c>
      <c r="AH39" s="159">
        <v>2031.0</v>
      </c>
      <c r="AI39" s="159">
        <v>2032.0</v>
      </c>
      <c r="AJ39" s="159">
        <v>2033.0</v>
      </c>
      <c r="AK39" s="159">
        <v>2034.0</v>
      </c>
      <c r="AL39" s="159">
        <v>2035.0</v>
      </c>
      <c r="AM39" s="159">
        <v>2036.0</v>
      </c>
      <c r="AN39" s="159">
        <v>2037.0</v>
      </c>
      <c r="AO39" s="159">
        <v>2038.0</v>
      </c>
      <c r="AP39" s="159">
        <v>2039.0</v>
      </c>
      <c r="AQ39" s="159">
        <v>2040.0</v>
      </c>
      <c r="AR39" s="159">
        <v>2041.0</v>
      </c>
      <c r="AS39" s="159">
        <v>2042.0</v>
      </c>
      <c r="AT39" s="159">
        <v>2043.0</v>
      </c>
      <c r="AU39" s="159">
        <v>2044.0</v>
      </c>
      <c r="AV39" s="159">
        <v>2045.0</v>
      </c>
      <c r="AW39" s="159">
        <v>2046.0</v>
      </c>
      <c r="AX39" s="159">
        <v>2047.0</v>
      </c>
      <c r="AY39" s="159">
        <v>2048.0</v>
      </c>
      <c r="AZ39" s="159">
        <v>2049.0</v>
      </c>
      <c r="BA39" s="159">
        <v>2050.0</v>
      </c>
    </row>
    <row r="40" ht="15.75" customHeight="1">
      <c r="A40" s="850">
        <v>1930.0</v>
      </c>
      <c r="B40" s="38"/>
      <c r="C40" s="38"/>
      <c r="D40" s="38"/>
      <c r="E40" s="38"/>
      <c r="F40" s="38"/>
      <c r="G40" s="38"/>
      <c r="H40" s="38"/>
      <c r="I40" s="38"/>
      <c r="J40" s="38"/>
      <c r="K40" s="38"/>
      <c r="L40" s="38"/>
      <c r="M40" s="38"/>
      <c r="N40" s="38"/>
      <c r="O40" s="38"/>
      <c r="P40" s="38"/>
      <c r="Q40" s="38"/>
      <c r="R40" s="38"/>
      <c r="S40" s="38"/>
      <c r="T40" s="38"/>
      <c r="U40" s="38"/>
      <c r="V40" s="770">
        <v>0.0</v>
      </c>
      <c r="W40" s="252">
        <f t="shared" ref="W40:W160" si="24">IF(W$39-$A40&gt;$V$26,$V40,0)</f>
        <v>0</v>
      </c>
      <c r="X40" s="252">
        <f t="shared" ref="X40:BA40" si="23">IF(AND(X$39-$A40&gt;$V$26,SUM($W40:W40)&lt;&gt;$V40),$V40,0)</f>
        <v>0</v>
      </c>
      <c r="Y40" s="252">
        <f t="shared" si="23"/>
        <v>0</v>
      </c>
      <c r="Z40" s="252">
        <f t="shared" si="23"/>
        <v>0</v>
      </c>
      <c r="AA40" s="252">
        <f t="shared" si="23"/>
        <v>0</v>
      </c>
      <c r="AB40" s="252">
        <f t="shared" si="23"/>
        <v>0</v>
      </c>
      <c r="AC40" s="252">
        <f t="shared" si="23"/>
        <v>0</v>
      </c>
      <c r="AD40" s="252">
        <f t="shared" si="23"/>
        <v>0</v>
      </c>
      <c r="AE40" s="252">
        <f t="shared" si="23"/>
        <v>0</v>
      </c>
      <c r="AF40" s="252">
        <f t="shared" si="23"/>
        <v>0</v>
      </c>
      <c r="AG40" s="252">
        <f t="shared" si="23"/>
        <v>0</v>
      </c>
      <c r="AH40" s="252">
        <f t="shared" si="23"/>
        <v>0</v>
      </c>
      <c r="AI40" s="252">
        <f t="shared" si="23"/>
        <v>0</v>
      </c>
      <c r="AJ40" s="252">
        <f t="shared" si="23"/>
        <v>0</v>
      </c>
      <c r="AK40" s="252">
        <f t="shared" si="23"/>
        <v>0</v>
      </c>
      <c r="AL40" s="252">
        <f t="shared" si="23"/>
        <v>0</v>
      </c>
      <c r="AM40" s="252">
        <f t="shared" si="23"/>
        <v>0</v>
      </c>
      <c r="AN40" s="252">
        <f t="shared" si="23"/>
        <v>0</v>
      </c>
      <c r="AO40" s="252">
        <f t="shared" si="23"/>
        <v>0</v>
      </c>
      <c r="AP40" s="252">
        <f t="shared" si="23"/>
        <v>0</v>
      </c>
      <c r="AQ40" s="252">
        <f t="shared" si="23"/>
        <v>0</v>
      </c>
      <c r="AR40" s="252">
        <f t="shared" si="23"/>
        <v>0</v>
      </c>
      <c r="AS40" s="252">
        <f t="shared" si="23"/>
        <v>0</v>
      </c>
      <c r="AT40" s="252">
        <f t="shared" si="23"/>
        <v>0</v>
      </c>
      <c r="AU40" s="252">
        <f t="shared" si="23"/>
        <v>0</v>
      </c>
      <c r="AV40" s="252">
        <f t="shared" si="23"/>
        <v>0</v>
      </c>
      <c r="AW40" s="252">
        <f t="shared" si="23"/>
        <v>0</v>
      </c>
      <c r="AX40" s="252">
        <f t="shared" si="23"/>
        <v>0</v>
      </c>
      <c r="AY40" s="252">
        <f t="shared" si="23"/>
        <v>0</v>
      </c>
      <c r="AZ40" s="252">
        <f t="shared" si="23"/>
        <v>0</v>
      </c>
      <c r="BA40" s="252">
        <f t="shared" si="23"/>
        <v>0</v>
      </c>
    </row>
    <row r="41" ht="15.75" customHeight="1">
      <c r="A41" s="850">
        <v>1931.0</v>
      </c>
      <c r="B41" s="38"/>
      <c r="C41" s="38"/>
      <c r="D41" s="38"/>
      <c r="E41" s="38"/>
      <c r="F41" s="38"/>
      <c r="G41" s="38"/>
      <c r="H41" s="38"/>
      <c r="I41" s="38"/>
      <c r="J41" s="38"/>
      <c r="K41" s="38"/>
      <c r="L41" s="38"/>
      <c r="M41" s="38"/>
      <c r="N41" s="38"/>
      <c r="O41" s="38"/>
      <c r="P41" s="38"/>
      <c r="Q41" s="38"/>
      <c r="R41" s="38"/>
      <c r="S41" s="38"/>
      <c r="T41" s="38"/>
      <c r="U41" s="38"/>
      <c r="V41" s="770">
        <v>0.0</v>
      </c>
      <c r="W41" s="252">
        <f t="shared" si="24"/>
        <v>0</v>
      </c>
      <c r="X41" s="252">
        <f t="shared" ref="X41:BA41" si="25">IF(AND(X$39-$A41&gt;$V$26,SUM($W41:W41)&lt;&gt;$V41),$V41,0)</f>
        <v>0</v>
      </c>
      <c r="Y41" s="252">
        <f t="shared" si="25"/>
        <v>0</v>
      </c>
      <c r="Z41" s="252">
        <f t="shared" si="25"/>
        <v>0</v>
      </c>
      <c r="AA41" s="252">
        <f t="shared" si="25"/>
        <v>0</v>
      </c>
      <c r="AB41" s="252">
        <f t="shared" si="25"/>
        <v>0</v>
      </c>
      <c r="AC41" s="252">
        <f t="shared" si="25"/>
        <v>0</v>
      </c>
      <c r="AD41" s="252">
        <f t="shared" si="25"/>
        <v>0</v>
      </c>
      <c r="AE41" s="252">
        <f t="shared" si="25"/>
        <v>0</v>
      </c>
      <c r="AF41" s="252">
        <f t="shared" si="25"/>
        <v>0</v>
      </c>
      <c r="AG41" s="252">
        <f t="shared" si="25"/>
        <v>0</v>
      </c>
      <c r="AH41" s="252">
        <f t="shared" si="25"/>
        <v>0</v>
      </c>
      <c r="AI41" s="252">
        <f t="shared" si="25"/>
        <v>0</v>
      </c>
      <c r="AJ41" s="252">
        <f t="shared" si="25"/>
        <v>0</v>
      </c>
      <c r="AK41" s="252">
        <f t="shared" si="25"/>
        <v>0</v>
      </c>
      <c r="AL41" s="252">
        <f t="shared" si="25"/>
        <v>0</v>
      </c>
      <c r="AM41" s="252">
        <f t="shared" si="25"/>
        <v>0</v>
      </c>
      <c r="AN41" s="252">
        <f t="shared" si="25"/>
        <v>0</v>
      </c>
      <c r="AO41" s="252">
        <f t="shared" si="25"/>
        <v>0</v>
      </c>
      <c r="AP41" s="252">
        <f t="shared" si="25"/>
        <v>0</v>
      </c>
      <c r="AQ41" s="252">
        <f t="shared" si="25"/>
        <v>0</v>
      </c>
      <c r="AR41" s="252">
        <f t="shared" si="25"/>
        <v>0</v>
      </c>
      <c r="AS41" s="252">
        <f t="shared" si="25"/>
        <v>0</v>
      </c>
      <c r="AT41" s="252">
        <f t="shared" si="25"/>
        <v>0</v>
      </c>
      <c r="AU41" s="252">
        <f t="shared" si="25"/>
        <v>0</v>
      </c>
      <c r="AV41" s="252">
        <f t="shared" si="25"/>
        <v>0</v>
      </c>
      <c r="AW41" s="252">
        <f t="shared" si="25"/>
        <v>0</v>
      </c>
      <c r="AX41" s="252">
        <f t="shared" si="25"/>
        <v>0</v>
      </c>
      <c r="AY41" s="252">
        <f t="shared" si="25"/>
        <v>0</v>
      </c>
      <c r="AZ41" s="252">
        <f t="shared" si="25"/>
        <v>0</v>
      </c>
      <c r="BA41" s="252">
        <f t="shared" si="25"/>
        <v>0</v>
      </c>
    </row>
    <row r="42" ht="15.75" customHeight="1">
      <c r="A42" s="850">
        <v>1932.0</v>
      </c>
      <c r="B42" s="38"/>
      <c r="C42" s="38"/>
      <c r="D42" s="38"/>
      <c r="E42" s="38"/>
      <c r="F42" s="38"/>
      <c r="G42" s="38"/>
      <c r="H42" s="38"/>
      <c r="I42" s="38"/>
      <c r="J42" s="38"/>
      <c r="K42" s="38"/>
      <c r="L42" s="38"/>
      <c r="M42" s="38"/>
      <c r="N42" s="38"/>
      <c r="O42" s="38"/>
      <c r="P42" s="38"/>
      <c r="Q42" s="38"/>
      <c r="R42" s="38"/>
      <c r="S42" s="38"/>
      <c r="T42" s="38"/>
      <c r="U42" s="38"/>
      <c r="V42" s="770">
        <v>0.0</v>
      </c>
      <c r="W42" s="252">
        <f t="shared" si="24"/>
        <v>0</v>
      </c>
      <c r="X42" s="252">
        <f t="shared" ref="X42:BA42" si="26">IF(AND(X$39-$A42&gt;$V$26,SUM($W42:W42)&lt;&gt;$V42),$V42,0)</f>
        <v>0</v>
      </c>
      <c r="Y42" s="252">
        <f t="shared" si="26"/>
        <v>0</v>
      </c>
      <c r="Z42" s="252">
        <f t="shared" si="26"/>
        <v>0</v>
      </c>
      <c r="AA42" s="252">
        <f t="shared" si="26"/>
        <v>0</v>
      </c>
      <c r="AB42" s="252">
        <f t="shared" si="26"/>
        <v>0</v>
      </c>
      <c r="AC42" s="252">
        <f t="shared" si="26"/>
        <v>0</v>
      </c>
      <c r="AD42" s="252">
        <f t="shared" si="26"/>
        <v>0</v>
      </c>
      <c r="AE42" s="252">
        <f t="shared" si="26"/>
        <v>0</v>
      </c>
      <c r="AF42" s="252">
        <f t="shared" si="26"/>
        <v>0</v>
      </c>
      <c r="AG42" s="252">
        <f t="shared" si="26"/>
        <v>0</v>
      </c>
      <c r="AH42" s="252">
        <f t="shared" si="26"/>
        <v>0</v>
      </c>
      <c r="AI42" s="252">
        <f t="shared" si="26"/>
        <v>0</v>
      </c>
      <c r="AJ42" s="252">
        <f t="shared" si="26"/>
        <v>0</v>
      </c>
      <c r="AK42" s="252">
        <f t="shared" si="26"/>
        <v>0</v>
      </c>
      <c r="AL42" s="252">
        <f t="shared" si="26"/>
        <v>0</v>
      </c>
      <c r="AM42" s="252">
        <f t="shared" si="26"/>
        <v>0</v>
      </c>
      <c r="AN42" s="252">
        <f t="shared" si="26"/>
        <v>0</v>
      </c>
      <c r="AO42" s="252">
        <f t="shared" si="26"/>
        <v>0</v>
      </c>
      <c r="AP42" s="252">
        <f t="shared" si="26"/>
        <v>0</v>
      </c>
      <c r="AQ42" s="252">
        <f t="shared" si="26"/>
        <v>0</v>
      </c>
      <c r="AR42" s="252">
        <f t="shared" si="26"/>
        <v>0</v>
      </c>
      <c r="AS42" s="252">
        <f t="shared" si="26"/>
        <v>0</v>
      </c>
      <c r="AT42" s="252">
        <f t="shared" si="26"/>
        <v>0</v>
      </c>
      <c r="AU42" s="252">
        <f t="shared" si="26"/>
        <v>0</v>
      </c>
      <c r="AV42" s="252">
        <f t="shared" si="26"/>
        <v>0</v>
      </c>
      <c r="AW42" s="252">
        <f t="shared" si="26"/>
        <v>0</v>
      </c>
      <c r="AX42" s="252">
        <f t="shared" si="26"/>
        <v>0</v>
      </c>
      <c r="AY42" s="252">
        <f t="shared" si="26"/>
        <v>0</v>
      </c>
      <c r="AZ42" s="252">
        <f t="shared" si="26"/>
        <v>0</v>
      </c>
      <c r="BA42" s="252">
        <f t="shared" si="26"/>
        <v>0</v>
      </c>
    </row>
    <row r="43" ht="15.75" customHeight="1">
      <c r="A43" s="850">
        <v>1933.0</v>
      </c>
      <c r="B43" s="38"/>
      <c r="C43" s="38"/>
      <c r="D43" s="38"/>
      <c r="E43" s="38"/>
      <c r="F43" s="38"/>
      <c r="G43" s="38"/>
      <c r="H43" s="38"/>
      <c r="I43" s="38"/>
      <c r="J43" s="38"/>
      <c r="K43" s="38"/>
      <c r="L43" s="38"/>
      <c r="M43" s="38"/>
      <c r="N43" s="38"/>
      <c r="O43" s="38"/>
      <c r="P43" s="38"/>
      <c r="Q43" s="38"/>
      <c r="R43" s="38"/>
      <c r="S43" s="38"/>
      <c r="T43" s="38"/>
      <c r="U43" s="38"/>
      <c r="V43" s="770">
        <v>0.0</v>
      </c>
      <c r="W43" s="252">
        <f t="shared" si="24"/>
        <v>0</v>
      </c>
      <c r="X43" s="252">
        <f t="shared" ref="X43:BA43" si="27">IF(AND(X$39-$A43&gt;$V$26,SUM($W43:W43)&lt;&gt;$V43),$V43,0)</f>
        <v>0</v>
      </c>
      <c r="Y43" s="252">
        <f t="shared" si="27"/>
        <v>0</v>
      </c>
      <c r="Z43" s="252">
        <f t="shared" si="27"/>
        <v>0</v>
      </c>
      <c r="AA43" s="252">
        <f t="shared" si="27"/>
        <v>0</v>
      </c>
      <c r="AB43" s="252">
        <f t="shared" si="27"/>
        <v>0</v>
      </c>
      <c r="AC43" s="252">
        <f t="shared" si="27"/>
        <v>0</v>
      </c>
      <c r="AD43" s="252">
        <f t="shared" si="27"/>
        <v>0</v>
      </c>
      <c r="AE43" s="252">
        <f t="shared" si="27"/>
        <v>0</v>
      </c>
      <c r="AF43" s="252">
        <f t="shared" si="27"/>
        <v>0</v>
      </c>
      <c r="AG43" s="252">
        <f t="shared" si="27"/>
        <v>0</v>
      </c>
      <c r="AH43" s="252">
        <f t="shared" si="27"/>
        <v>0</v>
      </c>
      <c r="AI43" s="252">
        <f t="shared" si="27"/>
        <v>0</v>
      </c>
      <c r="AJ43" s="252">
        <f t="shared" si="27"/>
        <v>0</v>
      </c>
      <c r="AK43" s="252">
        <f t="shared" si="27"/>
        <v>0</v>
      </c>
      <c r="AL43" s="252">
        <f t="shared" si="27"/>
        <v>0</v>
      </c>
      <c r="AM43" s="252">
        <f t="shared" si="27"/>
        <v>0</v>
      </c>
      <c r="AN43" s="252">
        <f t="shared" si="27"/>
        <v>0</v>
      </c>
      <c r="AO43" s="252">
        <f t="shared" si="27"/>
        <v>0</v>
      </c>
      <c r="AP43" s="252">
        <f t="shared" si="27"/>
        <v>0</v>
      </c>
      <c r="AQ43" s="252">
        <f t="shared" si="27"/>
        <v>0</v>
      </c>
      <c r="AR43" s="252">
        <f t="shared" si="27"/>
        <v>0</v>
      </c>
      <c r="AS43" s="252">
        <f t="shared" si="27"/>
        <v>0</v>
      </c>
      <c r="AT43" s="252">
        <f t="shared" si="27"/>
        <v>0</v>
      </c>
      <c r="AU43" s="252">
        <f t="shared" si="27"/>
        <v>0</v>
      </c>
      <c r="AV43" s="252">
        <f t="shared" si="27"/>
        <v>0</v>
      </c>
      <c r="AW43" s="252">
        <f t="shared" si="27"/>
        <v>0</v>
      </c>
      <c r="AX43" s="252">
        <f t="shared" si="27"/>
        <v>0</v>
      </c>
      <c r="AY43" s="252">
        <f t="shared" si="27"/>
        <v>0</v>
      </c>
      <c r="AZ43" s="252">
        <f t="shared" si="27"/>
        <v>0</v>
      </c>
      <c r="BA43" s="252">
        <f t="shared" si="27"/>
        <v>0</v>
      </c>
    </row>
    <row r="44" ht="15.75" customHeight="1">
      <c r="A44" s="850">
        <v>1934.0</v>
      </c>
      <c r="B44" s="38"/>
      <c r="C44" s="38"/>
      <c r="D44" s="38"/>
      <c r="E44" s="38"/>
      <c r="F44" s="38"/>
      <c r="G44" s="38"/>
      <c r="H44" s="38"/>
      <c r="I44" s="38"/>
      <c r="J44" s="38"/>
      <c r="K44" s="38"/>
      <c r="L44" s="38"/>
      <c r="M44" s="38"/>
      <c r="N44" s="38"/>
      <c r="O44" s="38"/>
      <c r="P44" s="38"/>
      <c r="Q44" s="38"/>
      <c r="R44" s="38"/>
      <c r="S44" s="38"/>
      <c r="T44" s="38"/>
      <c r="U44" s="38"/>
      <c r="V44" s="770">
        <v>0.0</v>
      </c>
      <c r="W44" s="252">
        <f t="shared" si="24"/>
        <v>0</v>
      </c>
      <c r="X44" s="252">
        <f t="shared" ref="X44:BA44" si="28">IF(AND(X$39-$A44&gt;$V$26,SUM($W44:W44)&lt;&gt;$V44),$V44,0)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row>
    <row r="45" ht="15.75" customHeight="1">
      <c r="A45" s="850">
        <v>1935.0</v>
      </c>
      <c r="B45" s="38"/>
      <c r="C45" s="38"/>
      <c r="D45" s="38"/>
      <c r="E45" s="38"/>
      <c r="F45" s="38"/>
      <c r="G45" s="38"/>
      <c r="H45" s="38"/>
      <c r="I45" s="38"/>
      <c r="J45" s="38"/>
      <c r="K45" s="38"/>
      <c r="L45" s="38"/>
      <c r="M45" s="38"/>
      <c r="N45" s="38"/>
      <c r="O45" s="38"/>
      <c r="P45" s="38"/>
      <c r="Q45" s="38"/>
      <c r="R45" s="38"/>
      <c r="S45" s="38"/>
      <c r="T45" s="38"/>
      <c r="U45" s="38"/>
      <c r="V45" s="770">
        <v>0.0</v>
      </c>
      <c r="W45" s="252">
        <f t="shared" si="24"/>
        <v>0</v>
      </c>
      <c r="X45" s="252">
        <f t="shared" ref="X45:BA45" si="29">IF(AND(X$39-$A45&gt;$V$26,SUM($W45:W45)&lt;&gt;$V45),$V45,0)</f>
        <v>0</v>
      </c>
      <c r="Y45" s="252">
        <f t="shared" si="29"/>
        <v>0</v>
      </c>
      <c r="Z45" s="252">
        <f t="shared" si="29"/>
        <v>0</v>
      </c>
      <c r="AA45" s="252">
        <f t="shared" si="29"/>
        <v>0</v>
      </c>
      <c r="AB45" s="252">
        <f t="shared" si="29"/>
        <v>0</v>
      </c>
      <c r="AC45" s="252">
        <f t="shared" si="29"/>
        <v>0</v>
      </c>
      <c r="AD45" s="252">
        <f t="shared" si="29"/>
        <v>0</v>
      </c>
      <c r="AE45" s="252">
        <f t="shared" si="29"/>
        <v>0</v>
      </c>
      <c r="AF45" s="252">
        <f t="shared" si="29"/>
        <v>0</v>
      </c>
      <c r="AG45" s="252">
        <f t="shared" si="29"/>
        <v>0</v>
      </c>
      <c r="AH45" s="252">
        <f t="shared" si="29"/>
        <v>0</v>
      </c>
      <c r="AI45" s="252">
        <f t="shared" si="29"/>
        <v>0</v>
      </c>
      <c r="AJ45" s="252">
        <f t="shared" si="29"/>
        <v>0</v>
      </c>
      <c r="AK45" s="252">
        <f t="shared" si="29"/>
        <v>0</v>
      </c>
      <c r="AL45" s="252">
        <f t="shared" si="29"/>
        <v>0</v>
      </c>
      <c r="AM45" s="252">
        <f t="shared" si="29"/>
        <v>0</v>
      </c>
      <c r="AN45" s="252">
        <f t="shared" si="29"/>
        <v>0</v>
      </c>
      <c r="AO45" s="252">
        <f t="shared" si="29"/>
        <v>0</v>
      </c>
      <c r="AP45" s="252">
        <f t="shared" si="29"/>
        <v>0</v>
      </c>
      <c r="AQ45" s="252">
        <f t="shared" si="29"/>
        <v>0</v>
      </c>
      <c r="AR45" s="252">
        <f t="shared" si="29"/>
        <v>0</v>
      </c>
      <c r="AS45" s="252">
        <f t="shared" si="29"/>
        <v>0</v>
      </c>
      <c r="AT45" s="252">
        <f t="shared" si="29"/>
        <v>0</v>
      </c>
      <c r="AU45" s="252">
        <f t="shared" si="29"/>
        <v>0</v>
      </c>
      <c r="AV45" s="252">
        <f t="shared" si="29"/>
        <v>0</v>
      </c>
      <c r="AW45" s="252">
        <f t="shared" si="29"/>
        <v>0</v>
      </c>
      <c r="AX45" s="252">
        <f t="shared" si="29"/>
        <v>0</v>
      </c>
      <c r="AY45" s="252">
        <f t="shared" si="29"/>
        <v>0</v>
      </c>
      <c r="AZ45" s="252">
        <f t="shared" si="29"/>
        <v>0</v>
      </c>
      <c r="BA45" s="252">
        <f t="shared" si="29"/>
        <v>0</v>
      </c>
    </row>
    <row r="46" ht="15.75" customHeight="1">
      <c r="A46" s="850">
        <v>1936.0</v>
      </c>
      <c r="B46" s="38"/>
      <c r="C46" s="38"/>
      <c r="D46" s="38"/>
      <c r="E46" s="38"/>
      <c r="F46" s="38"/>
      <c r="G46" s="38"/>
      <c r="H46" s="38"/>
      <c r="I46" s="38"/>
      <c r="J46" s="38"/>
      <c r="K46" s="38"/>
      <c r="L46" s="38"/>
      <c r="M46" s="38"/>
      <c r="N46" s="38"/>
      <c r="O46" s="38"/>
      <c r="P46" s="38"/>
      <c r="Q46" s="38"/>
      <c r="R46" s="38"/>
      <c r="S46" s="38"/>
      <c r="T46" s="38"/>
      <c r="U46" s="38"/>
      <c r="V46" s="770">
        <v>0.0</v>
      </c>
      <c r="W46" s="252">
        <f t="shared" si="24"/>
        <v>0</v>
      </c>
      <c r="X46" s="252">
        <f t="shared" ref="X46:BA46" si="30">IF(AND(X$39-$A46&gt;$V$26,SUM($W46:W46)&lt;&gt;$V46),$V46,0)</f>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0</v>
      </c>
      <c r="AK46" s="252">
        <f t="shared" si="30"/>
        <v>0</v>
      </c>
      <c r="AL46" s="252">
        <f t="shared" si="30"/>
        <v>0</v>
      </c>
      <c r="AM46" s="252">
        <f t="shared" si="30"/>
        <v>0</v>
      </c>
      <c r="AN46" s="252">
        <f t="shared" si="30"/>
        <v>0</v>
      </c>
      <c r="AO46" s="252">
        <f t="shared" si="30"/>
        <v>0</v>
      </c>
      <c r="AP46" s="252">
        <f t="shared" si="30"/>
        <v>0</v>
      </c>
      <c r="AQ46" s="252">
        <f t="shared" si="30"/>
        <v>0</v>
      </c>
      <c r="AR46" s="252">
        <f t="shared" si="30"/>
        <v>0</v>
      </c>
      <c r="AS46" s="252">
        <f t="shared" si="30"/>
        <v>0</v>
      </c>
      <c r="AT46" s="252">
        <f t="shared" si="30"/>
        <v>0</v>
      </c>
      <c r="AU46" s="252">
        <f t="shared" si="30"/>
        <v>0</v>
      </c>
      <c r="AV46" s="252">
        <f t="shared" si="30"/>
        <v>0</v>
      </c>
      <c r="AW46" s="252">
        <f t="shared" si="30"/>
        <v>0</v>
      </c>
      <c r="AX46" s="252">
        <f t="shared" si="30"/>
        <v>0</v>
      </c>
      <c r="AY46" s="252">
        <f t="shared" si="30"/>
        <v>0</v>
      </c>
      <c r="AZ46" s="252">
        <f t="shared" si="30"/>
        <v>0</v>
      </c>
      <c r="BA46" s="252">
        <f t="shared" si="30"/>
        <v>0</v>
      </c>
    </row>
    <row r="47" ht="15.75" customHeight="1">
      <c r="A47" s="850">
        <v>1937.0</v>
      </c>
      <c r="B47" s="38"/>
      <c r="C47" s="38"/>
      <c r="D47" s="38"/>
      <c r="E47" s="38"/>
      <c r="F47" s="38"/>
      <c r="G47" s="38"/>
      <c r="H47" s="38"/>
      <c r="I47" s="38"/>
      <c r="J47" s="38"/>
      <c r="K47" s="38"/>
      <c r="L47" s="38"/>
      <c r="M47" s="38"/>
      <c r="N47" s="38"/>
      <c r="O47" s="38"/>
      <c r="P47" s="38"/>
      <c r="Q47" s="38"/>
      <c r="R47" s="38"/>
      <c r="S47" s="38"/>
      <c r="T47" s="38"/>
      <c r="U47" s="38"/>
      <c r="V47" s="770">
        <v>0.0</v>
      </c>
      <c r="W47" s="252">
        <f t="shared" si="24"/>
        <v>0</v>
      </c>
      <c r="X47" s="252">
        <f t="shared" ref="X47:BA47" si="31">IF(AND(X$39-$A47&gt;$V$26,SUM($W47:W47)&lt;&gt;$V47),$V47,0)</f>
        <v>0</v>
      </c>
      <c r="Y47" s="252">
        <f t="shared" si="31"/>
        <v>0</v>
      </c>
      <c r="Z47" s="252">
        <f t="shared" si="31"/>
        <v>0</v>
      </c>
      <c r="AA47" s="252">
        <f t="shared" si="31"/>
        <v>0</v>
      </c>
      <c r="AB47" s="252">
        <f t="shared" si="31"/>
        <v>0</v>
      </c>
      <c r="AC47" s="252">
        <f t="shared" si="31"/>
        <v>0</v>
      </c>
      <c r="AD47" s="252">
        <f t="shared" si="31"/>
        <v>0</v>
      </c>
      <c r="AE47" s="252">
        <f t="shared" si="31"/>
        <v>0</v>
      </c>
      <c r="AF47" s="252">
        <f t="shared" si="31"/>
        <v>0</v>
      </c>
      <c r="AG47" s="252">
        <f t="shared" si="31"/>
        <v>0</v>
      </c>
      <c r="AH47" s="252">
        <f t="shared" si="31"/>
        <v>0</v>
      </c>
      <c r="AI47" s="252">
        <f t="shared" si="31"/>
        <v>0</v>
      </c>
      <c r="AJ47" s="252">
        <f t="shared" si="31"/>
        <v>0</v>
      </c>
      <c r="AK47" s="252">
        <f t="shared" si="31"/>
        <v>0</v>
      </c>
      <c r="AL47" s="252">
        <f t="shared" si="31"/>
        <v>0</v>
      </c>
      <c r="AM47" s="252">
        <f t="shared" si="31"/>
        <v>0</v>
      </c>
      <c r="AN47" s="252">
        <f t="shared" si="31"/>
        <v>0</v>
      </c>
      <c r="AO47" s="252">
        <f t="shared" si="31"/>
        <v>0</v>
      </c>
      <c r="AP47" s="252">
        <f t="shared" si="31"/>
        <v>0</v>
      </c>
      <c r="AQ47" s="252">
        <f t="shared" si="31"/>
        <v>0</v>
      </c>
      <c r="AR47" s="252">
        <f t="shared" si="31"/>
        <v>0</v>
      </c>
      <c r="AS47" s="252">
        <f t="shared" si="31"/>
        <v>0</v>
      </c>
      <c r="AT47" s="252">
        <f t="shared" si="31"/>
        <v>0</v>
      </c>
      <c r="AU47" s="252">
        <f t="shared" si="31"/>
        <v>0</v>
      </c>
      <c r="AV47" s="252">
        <f t="shared" si="31"/>
        <v>0</v>
      </c>
      <c r="AW47" s="252">
        <f t="shared" si="31"/>
        <v>0</v>
      </c>
      <c r="AX47" s="252">
        <f t="shared" si="31"/>
        <v>0</v>
      </c>
      <c r="AY47" s="252">
        <f t="shared" si="31"/>
        <v>0</v>
      </c>
      <c r="AZ47" s="252">
        <f t="shared" si="31"/>
        <v>0</v>
      </c>
      <c r="BA47" s="252">
        <f t="shared" si="31"/>
        <v>0</v>
      </c>
    </row>
    <row r="48" ht="15.75" customHeight="1">
      <c r="A48" s="850">
        <v>1938.0</v>
      </c>
      <c r="B48" s="38"/>
      <c r="C48" s="38"/>
      <c r="D48" s="38"/>
      <c r="E48" s="38"/>
      <c r="F48" s="38"/>
      <c r="G48" s="38"/>
      <c r="H48" s="38"/>
      <c r="I48" s="38"/>
      <c r="J48" s="38"/>
      <c r="K48" s="38"/>
      <c r="L48" s="38"/>
      <c r="M48" s="38"/>
      <c r="N48" s="38"/>
      <c r="O48" s="38"/>
      <c r="P48" s="38"/>
      <c r="Q48" s="38"/>
      <c r="R48" s="38"/>
      <c r="S48" s="38"/>
      <c r="T48" s="38"/>
      <c r="U48" s="38"/>
      <c r="V48" s="770">
        <v>0.0</v>
      </c>
      <c r="W48" s="252">
        <f t="shared" si="24"/>
        <v>0</v>
      </c>
      <c r="X48" s="252">
        <f t="shared" ref="X48:BA48" si="32">IF(AND(X$39-$A48&gt;$V$26,SUM($W48:W48)&lt;&gt;$V48),$V48,0)</f>
        <v>0</v>
      </c>
      <c r="Y48" s="252">
        <f t="shared" si="32"/>
        <v>0</v>
      </c>
      <c r="Z48" s="252">
        <f t="shared" si="32"/>
        <v>0</v>
      </c>
      <c r="AA48" s="252">
        <f t="shared" si="32"/>
        <v>0</v>
      </c>
      <c r="AB48" s="252">
        <f t="shared" si="32"/>
        <v>0</v>
      </c>
      <c r="AC48" s="252">
        <f t="shared" si="32"/>
        <v>0</v>
      </c>
      <c r="AD48" s="252">
        <f t="shared" si="32"/>
        <v>0</v>
      </c>
      <c r="AE48" s="252">
        <f t="shared" si="32"/>
        <v>0</v>
      </c>
      <c r="AF48" s="252">
        <f t="shared" si="32"/>
        <v>0</v>
      </c>
      <c r="AG48" s="252">
        <f t="shared" si="32"/>
        <v>0</v>
      </c>
      <c r="AH48" s="252">
        <f t="shared" si="32"/>
        <v>0</v>
      </c>
      <c r="AI48" s="252">
        <f t="shared" si="32"/>
        <v>0</v>
      </c>
      <c r="AJ48" s="252">
        <f t="shared" si="32"/>
        <v>0</v>
      </c>
      <c r="AK48" s="252">
        <f t="shared" si="32"/>
        <v>0</v>
      </c>
      <c r="AL48" s="252">
        <f t="shared" si="32"/>
        <v>0</v>
      </c>
      <c r="AM48" s="252">
        <f t="shared" si="32"/>
        <v>0</v>
      </c>
      <c r="AN48" s="252">
        <f t="shared" si="32"/>
        <v>0</v>
      </c>
      <c r="AO48" s="252">
        <f t="shared" si="32"/>
        <v>0</v>
      </c>
      <c r="AP48" s="252">
        <f t="shared" si="32"/>
        <v>0</v>
      </c>
      <c r="AQ48" s="252">
        <f t="shared" si="32"/>
        <v>0</v>
      </c>
      <c r="AR48" s="252">
        <f t="shared" si="32"/>
        <v>0</v>
      </c>
      <c r="AS48" s="252">
        <f t="shared" si="32"/>
        <v>0</v>
      </c>
      <c r="AT48" s="252">
        <f t="shared" si="32"/>
        <v>0</v>
      </c>
      <c r="AU48" s="252">
        <f t="shared" si="32"/>
        <v>0</v>
      </c>
      <c r="AV48" s="252">
        <f t="shared" si="32"/>
        <v>0</v>
      </c>
      <c r="AW48" s="252">
        <f t="shared" si="32"/>
        <v>0</v>
      </c>
      <c r="AX48" s="252">
        <f t="shared" si="32"/>
        <v>0</v>
      </c>
      <c r="AY48" s="252">
        <f t="shared" si="32"/>
        <v>0</v>
      </c>
      <c r="AZ48" s="252">
        <f t="shared" si="32"/>
        <v>0</v>
      </c>
      <c r="BA48" s="252">
        <f t="shared" si="32"/>
        <v>0</v>
      </c>
    </row>
    <row r="49" ht="15.75" customHeight="1">
      <c r="A49" s="850">
        <v>1939.0</v>
      </c>
      <c r="B49" s="38"/>
      <c r="C49" s="38"/>
      <c r="D49" s="38"/>
      <c r="E49" s="38"/>
      <c r="F49" s="38"/>
      <c r="G49" s="38"/>
      <c r="H49" s="38"/>
      <c r="I49" s="38"/>
      <c r="J49" s="38"/>
      <c r="K49" s="38"/>
      <c r="L49" s="38"/>
      <c r="M49" s="38"/>
      <c r="N49" s="38"/>
      <c r="O49" s="38"/>
      <c r="P49" s="38"/>
      <c r="Q49" s="38"/>
      <c r="R49" s="38"/>
      <c r="S49" s="38"/>
      <c r="T49" s="38"/>
      <c r="U49" s="38"/>
      <c r="V49" s="770">
        <v>0.0</v>
      </c>
      <c r="W49" s="252">
        <f t="shared" si="24"/>
        <v>0</v>
      </c>
      <c r="X49" s="252">
        <f t="shared" ref="X49:BA49" si="33">IF(AND(X$39-$A49&gt;$V$26,SUM($W49:W49)&lt;&gt;$V49),$V49,0)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850">
        <v>1940.0</v>
      </c>
      <c r="B50" s="38"/>
      <c r="C50" s="38"/>
      <c r="D50" s="38"/>
      <c r="E50" s="38"/>
      <c r="F50" s="38"/>
      <c r="G50" s="38"/>
      <c r="H50" s="38"/>
      <c r="I50" s="38"/>
      <c r="J50" s="38"/>
      <c r="K50" s="38"/>
      <c r="L50" s="38"/>
      <c r="M50" s="38"/>
      <c r="N50" s="38"/>
      <c r="O50" s="38"/>
      <c r="P50" s="38"/>
      <c r="Q50" s="38"/>
      <c r="R50" s="38"/>
      <c r="S50" s="38"/>
      <c r="T50" s="38"/>
      <c r="U50" s="38"/>
      <c r="V50" s="770">
        <v>0.0</v>
      </c>
      <c r="W50" s="252">
        <f t="shared" si="24"/>
        <v>0</v>
      </c>
      <c r="X50" s="252">
        <f t="shared" ref="X50:BA50" si="34">IF(AND(X$39-$A50&gt;$V$26,SUM($W50:W50)&lt;&gt;$V50),$V50,0)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850">
        <v>1941.0</v>
      </c>
      <c r="B51" s="38"/>
      <c r="C51" s="38"/>
      <c r="D51" s="38"/>
      <c r="E51" s="38"/>
      <c r="F51" s="38"/>
      <c r="G51" s="38"/>
      <c r="H51" s="38"/>
      <c r="I51" s="38"/>
      <c r="J51" s="38"/>
      <c r="K51" s="38"/>
      <c r="L51" s="38"/>
      <c r="M51" s="38"/>
      <c r="N51" s="38"/>
      <c r="O51" s="38"/>
      <c r="P51" s="38"/>
      <c r="Q51" s="38"/>
      <c r="R51" s="38"/>
      <c r="S51" s="38"/>
      <c r="T51" s="38"/>
      <c r="U51" s="38"/>
      <c r="V51" s="770">
        <v>0.0</v>
      </c>
      <c r="W51" s="252">
        <f t="shared" si="24"/>
        <v>0</v>
      </c>
      <c r="X51" s="252">
        <f t="shared" ref="X51:BA51" si="35">IF(AND(X$39-$A51&gt;$V$26,SUM($W51:W51)&lt;&gt;$V51),$V51,0)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850">
        <v>1942.0</v>
      </c>
      <c r="B52" s="38"/>
      <c r="C52" s="38"/>
      <c r="D52" s="38"/>
      <c r="E52" s="38"/>
      <c r="F52" s="38"/>
      <c r="G52" s="38"/>
      <c r="H52" s="38"/>
      <c r="I52" s="38"/>
      <c r="J52" s="38"/>
      <c r="K52" s="38"/>
      <c r="L52" s="38"/>
      <c r="M52" s="38"/>
      <c r="N52" s="38"/>
      <c r="O52" s="38"/>
      <c r="P52" s="38"/>
      <c r="Q52" s="38"/>
      <c r="R52" s="38"/>
      <c r="S52" s="38"/>
      <c r="T52" s="38"/>
      <c r="U52" s="38"/>
      <c r="V52" s="770">
        <v>0.0</v>
      </c>
      <c r="W52" s="252">
        <f t="shared" si="24"/>
        <v>0</v>
      </c>
      <c r="X52" s="252">
        <f t="shared" ref="X52:BA52" si="36">IF(AND(X$39-$A52&gt;$V$26,SUM($W52:W52)&lt;&gt;$V52),$V52,0)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850">
        <v>1943.0</v>
      </c>
      <c r="B53" s="38"/>
      <c r="C53" s="38"/>
      <c r="D53" s="38"/>
      <c r="E53" s="38"/>
      <c r="F53" s="38"/>
      <c r="G53" s="38"/>
      <c r="H53" s="38"/>
      <c r="I53" s="38"/>
      <c r="J53" s="38"/>
      <c r="K53" s="38"/>
      <c r="L53" s="38"/>
      <c r="M53" s="38"/>
      <c r="N53" s="38"/>
      <c r="O53" s="38"/>
      <c r="P53" s="38"/>
      <c r="Q53" s="38"/>
      <c r="R53" s="38"/>
      <c r="S53" s="38"/>
      <c r="T53" s="38"/>
      <c r="U53" s="38"/>
      <c r="V53" s="770">
        <v>0.0</v>
      </c>
      <c r="W53" s="252">
        <f t="shared" si="24"/>
        <v>0</v>
      </c>
      <c r="X53" s="252">
        <f t="shared" ref="X53:BA53" si="37">IF(AND(X$39-$A53&gt;$V$26,SUM($W53:W53)&lt;&gt;$V53),$V53,0)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850">
        <v>1944.0</v>
      </c>
      <c r="B54" s="38"/>
      <c r="C54" s="38"/>
      <c r="D54" s="38"/>
      <c r="E54" s="38"/>
      <c r="F54" s="38"/>
      <c r="G54" s="38"/>
      <c r="H54" s="38"/>
      <c r="I54" s="38"/>
      <c r="J54" s="38"/>
      <c r="K54" s="38"/>
      <c r="L54" s="38"/>
      <c r="M54" s="38"/>
      <c r="N54" s="38"/>
      <c r="O54" s="38"/>
      <c r="P54" s="38"/>
      <c r="Q54" s="38"/>
      <c r="R54" s="38"/>
      <c r="S54" s="38"/>
      <c r="T54" s="38"/>
      <c r="U54" s="38"/>
      <c r="V54" s="770">
        <v>0.0</v>
      </c>
      <c r="W54" s="252">
        <f t="shared" si="24"/>
        <v>0</v>
      </c>
      <c r="X54" s="252">
        <f t="shared" ref="X54:BA54" si="38">IF(AND(X$39-$A54&gt;$V$26,SUM($W54:W54)&lt;&gt;$V54),$V54,0)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850">
        <v>1945.0</v>
      </c>
      <c r="B55" s="38"/>
      <c r="C55" s="38"/>
      <c r="D55" s="38"/>
      <c r="E55" s="38"/>
      <c r="F55" s="38"/>
      <c r="G55" s="38"/>
      <c r="H55" s="38"/>
      <c r="I55" s="38"/>
      <c r="J55" s="38"/>
      <c r="K55" s="38"/>
      <c r="L55" s="38"/>
      <c r="M55" s="38"/>
      <c r="N55" s="38"/>
      <c r="O55" s="38"/>
      <c r="P55" s="38"/>
      <c r="Q55" s="38"/>
      <c r="R55" s="38"/>
      <c r="S55" s="38"/>
      <c r="T55" s="38"/>
      <c r="U55" s="38"/>
      <c r="V55" s="770">
        <v>0.0</v>
      </c>
      <c r="W55" s="252">
        <f t="shared" si="24"/>
        <v>0</v>
      </c>
      <c r="X55" s="252">
        <f t="shared" ref="X55:BA55" si="39">IF(AND(X$39-$A55&gt;$V$26,SUM($W55:W55)&lt;&gt;$V55),$V55,0)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850">
        <v>1946.0</v>
      </c>
      <c r="B56" s="38"/>
      <c r="C56" s="38"/>
      <c r="D56" s="38"/>
      <c r="E56" s="38"/>
      <c r="F56" s="38"/>
      <c r="G56" s="38"/>
      <c r="H56" s="38"/>
      <c r="I56" s="38"/>
      <c r="J56" s="38"/>
      <c r="K56" s="38"/>
      <c r="L56" s="38"/>
      <c r="M56" s="38"/>
      <c r="N56" s="38"/>
      <c r="O56" s="38"/>
      <c r="P56" s="38"/>
      <c r="Q56" s="38"/>
      <c r="R56" s="38"/>
      <c r="S56" s="38"/>
      <c r="T56" s="38"/>
      <c r="U56" s="38"/>
      <c r="V56" s="770">
        <v>0.0</v>
      </c>
      <c r="W56" s="252">
        <f t="shared" si="24"/>
        <v>0</v>
      </c>
      <c r="X56" s="252">
        <f t="shared" ref="X56:BA56" si="40">IF(AND(X$39-$A56&gt;$V$26,SUM($W56:W56)&lt;&gt;$V56),$V56,0)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850">
        <v>1947.0</v>
      </c>
      <c r="B57" s="38"/>
      <c r="C57" s="38"/>
      <c r="D57" s="38"/>
      <c r="E57" s="38"/>
      <c r="F57" s="38"/>
      <c r="G57" s="38"/>
      <c r="H57" s="38"/>
      <c r="I57" s="38"/>
      <c r="J57" s="38"/>
      <c r="K57" s="38"/>
      <c r="L57" s="38"/>
      <c r="M57" s="38"/>
      <c r="N57" s="38"/>
      <c r="O57" s="38"/>
      <c r="P57" s="38"/>
      <c r="Q57" s="38"/>
      <c r="R57" s="38"/>
      <c r="S57" s="38"/>
      <c r="T57" s="38"/>
      <c r="U57" s="38"/>
      <c r="V57" s="770">
        <v>0.0</v>
      </c>
      <c r="W57" s="252">
        <f t="shared" si="24"/>
        <v>0</v>
      </c>
      <c r="X57" s="252">
        <f t="shared" ref="X57:BA57" si="41">IF(AND(X$39-$A57&gt;$V$26,SUM($W57:W57)&lt;&gt;$V57),$V57,0)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850">
        <v>1948.0</v>
      </c>
      <c r="B58" s="38"/>
      <c r="C58" s="38"/>
      <c r="D58" s="38"/>
      <c r="E58" s="38"/>
      <c r="F58" s="38"/>
      <c r="G58" s="38"/>
      <c r="H58" s="38"/>
      <c r="I58" s="38"/>
      <c r="J58" s="38"/>
      <c r="K58" s="38"/>
      <c r="L58" s="38"/>
      <c r="M58" s="38"/>
      <c r="N58" s="38"/>
      <c r="O58" s="38"/>
      <c r="P58" s="38"/>
      <c r="Q58" s="38"/>
      <c r="R58" s="38"/>
      <c r="S58" s="38"/>
      <c r="T58" s="38"/>
      <c r="U58" s="38"/>
      <c r="V58" s="770">
        <v>0.0</v>
      </c>
      <c r="W58" s="252">
        <f t="shared" si="24"/>
        <v>0</v>
      </c>
      <c r="X58" s="252">
        <f t="shared" ref="X58:BA58" si="42">IF(AND(X$39-$A58&gt;$V$26,SUM($W58:W58)&lt;&gt;$V58),$V58,0)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850">
        <v>1949.0</v>
      </c>
      <c r="B59" s="38"/>
      <c r="C59" s="38"/>
      <c r="D59" s="38"/>
      <c r="E59" s="38"/>
      <c r="F59" s="38"/>
      <c r="G59" s="38"/>
      <c r="H59" s="38"/>
      <c r="I59" s="38"/>
      <c r="J59" s="38"/>
      <c r="K59" s="38"/>
      <c r="L59" s="38"/>
      <c r="M59" s="38"/>
      <c r="N59" s="38"/>
      <c r="O59" s="38"/>
      <c r="P59" s="38"/>
      <c r="Q59" s="38"/>
      <c r="R59" s="38"/>
      <c r="S59" s="38"/>
      <c r="T59" s="38"/>
      <c r="U59" s="38"/>
      <c r="V59" s="770">
        <v>0.0</v>
      </c>
      <c r="W59" s="252">
        <f t="shared" si="24"/>
        <v>0</v>
      </c>
      <c r="X59" s="252">
        <f t="shared" ref="X59:BA59" si="43">IF(AND(X$39-$A59&gt;$V$26,SUM($W59:W59)&lt;&gt;$V59),$V59,0)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850">
        <v>1950.0</v>
      </c>
      <c r="B60" s="38"/>
      <c r="C60" s="38"/>
      <c r="D60" s="38"/>
      <c r="E60" s="38"/>
      <c r="F60" s="38"/>
      <c r="G60" s="38"/>
      <c r="H60" s="38"/>
      <c r="I60" s="38"/>
      <c r="J60" s="38"/>
      <c r="K60" s="38"/>
      <c r="L60" s="38"/>
      <c r="M60" s="38"/>
      <c r="N60" s="38"/>
      <c r="O60" s="38"/>
      <c r="P60" s="38"/>
      <c r="Q60" s="38"/>
      <c r="R60" s="38"/>
      <c r="S60" s="38"/>
      <c r="T60" s="38"/>
      <c r="U60" s="38"/>
      <c r="V60" s="770">
        <v>0.0</v>
      </c>
      <c r="W60" s="252">
        <f t="shared" si="24"/>
        <v>0</v>
      </c>
      <c r="X60" s="252">
        <f t="shared" ref="X60:BA60" si="44">IF(AND(X$39-$A60&gt;$V$26,SUM($W60:W60)&lt;&gt;$V60),$V60,0)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850">
        <v>1951.0</v>
      </c>
      <c r="B61" s="38"/>
      <c r="C61" s="38"/>
      <c r="D61" s="38"/>
      <c r="E61" s="38"/>
      <c r="F61" s="38"/>
      <c r="G61" s="38"/>
      <c r="H61" s="38"/>
      <c r="I61" s="38"/>
      <c r="J61" s="38"/>
      <c r="K61" s="38"/>
      <c r="L61" s="38"/>
      <c r="M61" s="38"/>
      <c r="N61" s="38"/>
      <c r="O61" s="38"/>
      <c r="P61" s="38"/>
      <c r="Q61" s="38"/>
      <c r="R61" s="38"/>
      <c r="S61" s="38"/>
      <c r="T61" s="38"/>
      <c r="U61" s="38"/>
      <c r="V61" s="770">
        <v>0.0</v>
      </c>
      <c r="W61" s="252">
        <f t="shared" si="24"/>
        <v>0</v>
      </c>
      <c r="X61" s="252">
        <f t="shared" ref="X61:BA61" si="45">IF(AND(X$39-$A61&gt;$V$26,SUM($W61:W61)&lt;&gt;$V61),$V61,0)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850">
        <v>1952.0</v>
      </c>
      <c r="B62" s="38"/>
      <c r="C62" s="38"/>
      <c r="D62" s="38"/>
      <c r="E62" s="38"/>
      <c r="F62" s="38"/>
      <c r="G62" s="38"/>
      <c r="H62" s="38"/>
      <c r="I62" s="38"/>
      <c r="J62" s="38"/>
      <c r="K62" s="38"/>
      <c r="L62" s="38"/>
      <c r="M62" s="38"/>
      <c r="N62" s="38"/>
      <c r="O62" s="38"/>
      <c r="P62" s="38"/>
      <c r="Q62" s="38"/>
      <c r="R62" s="38"/>
      <c r="S62" s="38"/>
      <c r="T62" s="38"/>
      <c r="U62" s="38"/>
      <c r="V62" s="770">
        <v>0.0</v>
      </c>
      <c r="W62" s="252">
        <f t="shared" si="24"/>
        <v>0</v>
      </c>
      <c r="X62" s="252">
        <f t="shared" ref="X62:BA62" si="46">IF(AND(X$39-$A62&gt;$V$26,SUM($W62:W62)&lt;&gt;$V62),$V62,0)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850">
        <v>1953.0</v>
      </c>
      <c r="B63" s="38"/>
      <c r="C63" s="38"/>
      <c r="D63" s="38"/>
      <c r="E63" s="38"/>
      <c r="F63" s="38"/>
      <c r="G63" s="38"/>
      <c r="H63" s="38"/>
      <c r="I63" s="38"/>
      <c r="J63" s="38"/>
      <c r="K63" s="38"/>
      <c r="L63" s="38"/>
      <c r="M63" s="38"/>
      <c r="N63" s="38"/>
      <c r="O63" s="38"/>
      <c r="P63" s="38"/>
      <c r="Q63" s="38"/>
      <c r="R63" s="38"/>
      <c r="S63" s="38"/>
      <c r="T63" s="38"/>
      <c r="U63" s="38"/>
      <c r="V63" s="770">
        <v>0.0</v>
      </c>
      <c r="W63" s="252">
        <f t="shared" si="24"/>
        <v>0</v>
      </c>
      <c r="X63" s="252">
        <f t="shared" ref="X63:BA63" si="47">IF(AND(X$39-$A63&gt;$V$26,SUM($W63:W63)&lt;&gt;$V63),$V63,0)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850">
        <v>1954.0</v>
      </c>
      <c r="B64" s="38"/>
      <c r="C64" s="38"/>
      <c r="D64" s="38"/>
      <c r="E64" s="38"/>
      <c r="F64" s="38"/>
      <c r="G64" s="38"/>
      <c r="H64" s="38"/>
      <c r="I64" s="38"/>
      <c r="J64" s="38"/>
      <c r="K64" s="38"/>
      <c r="L64" s="38"/>
      <c r="M64" s="38"/>
      <c r="N64" s="38"/>
      <c r="O64" s="38"/>
      <c r="P64" s="38"/>
      <c r="Q64" s="38"/>
      <c r="R64" s="38"/>
      <c r="S64" s="38"/>
      <c r="T64" s="38"/>
      <c r="U64" s="38"/>
      <c r="V64" s="770">
        <v>0.0</v>
      </c>
      <c r="W64" s="252">
        <f t="shared" si="24"/>
        <v>0</v>
      </c>
      <c r="X64" s="252">
        <f t="shared" ref="X64:BA64" si="48">IF(AND(X$39-$A64&gt;$V$26,SUM($W64:W64)&lt;&gt;$V64),$V64,0)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850">
        <v>1955.0</v>
      </c>
      <c r="B65" s="38"/>
      <c r="C65" s="38"/>
      <c r="D65" s="38"/>
      <c r="E65" s="38"/>
      <c r="F65" s="38"/>
      <c r="G65" s="38"/>
      <c r="H65" s="38"/>
      <c r="I65" s="38"/>
      <c r="J65" s="38"/>
      <c r="K65" s="38"/>
      <c r="L65" s="38"/>
      <c r="M65" s="38"/>
      <c r="N65" s="38"/>
      <c r="O65" s="38"/>
      <c r="P65" s="38"/>
      <c r="Q65" s="38"/>
      <c r="R65" s="38"/>
      <c r="S65" s="38"/>
      <c r="T65" s="38"/>
      <c r="U65" s="38"/>
      <c r="V65" s="770">
        <v>0.0</v>
      </c>
      <c r="W65" s="252">
        <f t="shared" si="24"/>
        <v>0</v>
      </c>
      <c r="X65" s="252">
        <f t="shared" ref="X65:BA65" si="49">IF(AND(X$39-$A65&gt;$V$26,SUM($W65:W65)&lt;&gt;$V65),$V65,0)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850">
        <v>1956.0</v>
      </c>
      <c r="B66" s="32"/>
      <c r="C66" s="32"/>
      <c r="D66" s="32"/>
      <c r="E66" s="32"/>
      <c r="F66" s="32"/>
      <c r="G66" s="32"/>
      <c r="H66" s="32"/>
      <c r="I66" s="32"/>
      <c r="J66" s="32"/>
      <c r="K66" s="32"/>
      <c r="L66" s="32"/>
      <c r="M66" s="32"/>
      <c r="N66" s="32"/>
      <c r="O66" s="32"/>
      <c r="P66" s="32"/>
      <c r="Q66" s="32"/>
      <c r="R66" s="32"/>
      <c r="S66" s="32"/>
      <c r="T66" s="32"/>
      <c r="U66" s="32"/>
      <c r="V66" s="770">
        <v>0.0</v>
      </c>
      <c r="W66" s="252">
        <f t="shared" si="24"/>
        <v>0</v>
      </c>
      <c r="X66" s="252">
        <f t="shared" ref="X66:BA66" si="50">IF(AND(X$39-$A66&gt;$V$26,SUM($W66:W66)&lt;&gt;$V66),$V66,0)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850">
        <v>1957.0</v>
      </c>
      <c r="B67" s="32"/>
      <c r="C67" s="32"/>
      <c r="D67" s="32"/>
      <c r="E67" s="32"/>
      <c r="F67" s="32"/>
      <c r="G67" s="32"/>
      <c r="H67" s="32"/>
      <c r="I67" s="32"/>
      <c r="J67" s="32"/>
      <c r="K67" s="32"/>
      <c r="L67" s="32"/>
      <c r="M67" s="32"/>
      <c r="N67" s="32"/>
      <c r="O67" s="32"/>
      <c r="P67" s="32"/>
      <c r="Q67" s="32"/>
      <c r="R67" s="32"/>
      <c r="S67" s="32"/>
      <c r="T67" s="32"/>
      <c r="U67" s="32"/>
      <c r="V67" s="770">
        <v>0.0</v>
      </c>
      <c r="W67" s="252">
        <f t="shared" si="24"/>
        <v>0</v>
      </c>
      <c r="X67" s="252">
        <f t="shared" ref="X67:BA67" si="51">IF(AND(X$39-$A67&gt;$V$26,SUM($W67:W67)&lt;&gt;$V67),$V67,0)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850">
        <v>1958.0</v>
      </c>
      <c r="B68" s="32"/>
      <c r="C68" s="32"/>
      <c r="D68" s="32"/>
      <c r="E68" s="32"/>
      <c r="F68" s="32"/>
      <c r="G68" s="32"/>
      <c r="H68" s="32"/>
      <c r="I68" s="32"/>
      <c r="J68" s="32"/>
      <c r="K68" s="32"/>
      <c r="L68" s="32"/>
      <c r="M68" s="32"/>
      <c r="N68" s="32"/>
      <c r="O68" s="32"/>
      <c r="P68" s="32"/>
      <c r="Q68" s="32"/>
      <c r="R68" s="32"/>
      <c r="S68" s="32"/>
      <c r="T68" s="32"/>
      <c r="U68" s="32"/>
      <c r="V68" s="770">
        <v>0.0</v>
      </c>
      <c r="W68" s="252">
        <f t="shared" si="24"/>
        <v>0</v>
      </c>
      <c r="X68" s="252">
        <f t="shared" ref="X68:BA68" si="52">IF(AND(X$39-$A68&gt;$V$26,SUM($W68:W68)&lt;&gt;$V68),$V68,0)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850">
        <v>1959.0</v>
      </c>
      <c r="B69" s="32"/>
      <c r="C69" s="32"/>
      <c r="D69" s="32"/>
      <c r="E69" s="32"/>
      <c r="F69" s="32"/>
      <c r="G69" s="32"/>
      <c r="H69" s="32"/>
      <c r="I69" s="32"/>
      <c r="J69" s="32"/>
      <c r="K69" s="32"/>
      <c r="L69" s="32"/>
      <c r="M69" s="32"/>
      <c r="N69" s="32"/>
      <c r="O69" s="32"/>
      <c r="P69" s="32"/>
      <c r="Q69" s="32"/>
      <c r="R69" s="32"/>
      <c r="S69" s="32"/>
      <c r="T69" s="32"/>
      <c r="U69" s="32"/>
      <c r="V69" s="770">
        <v>0.0</v>
      </c>
      <c r="W69" s="252">
        <f t="shared" si="24"/>
        <v>0</v>
      </c>
      <c r="X69" s="252">
        <f t="shared" ref="X69:BA69" si="53">IF(AND(X$39-$A69&gt;$V$26,SUM($W69:W69)&lt;&gt;$V69),$V69,0)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850">
        <v>1960.0</v>
      </c>
      <c r="B70" s="32"/>
      <c r="C70" s="32"/>
      <c r="D70" s="32"/>
      <c r="E70" s="32"/>
      <c r="F70" s="32"/>
      <c r="G70" s="32"/>
      <c r="H70" s="32"/>
      <c r="I70" s="32"/>
      <c r="J70" s="32"/>
      <c r="K70" s="32"/>
      <c r="L70" s="32"/>
      <c r="M70" s="32"/>
      <c r="N70" s="32"/>
      <c r="O70" s="32"/>
      <c r="P70" s="32"/>
      <c r="Q70" s="32"/>
      <c r="R70" s="32"/>
      <c r="S70" s="32"/>
      <c r="T70" s="32"/>
      <c r="U70" s="32"/>
      <c r="V70" s="770">
        <v>0.0</v>
      </c>
      <c r="W70" s="252">
        <f t="shared" si="24"/>
        <v>0</v>
      </c>
      <c r="X70" s="252">
        <f t="shared" ref="X70:BA70" si="54">IF(AND(X$39-$A70&gt;$V$26,SUM($W70:W70)&lt;&gt;$V70),$V70,0)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850">
        <v>1961.0</v>
      </c>
      <c r="B71" s="32"/>
      <c r="C71" s="32"/>
      <c r="D71" s="32"/>
      <c r="E71" s="32"/>
      <c r="F71" s="32"/>
      <c r="G71" s="32"/>
      <c r="H71" s="32"/>
      <c r="I71" s="32"/>
      <c r="J71" s="32"/>
      <c r="K71" s="32"/>
      <c r="L71" s="32"/>
      <c r="M71" s="32"/>
      <c r="N71" s="32"/>
      <c r="O71" s="32"/>
      <c r="P71" s="32"/>
      <c r="Q71" s="32"/>
      <c r="R71" s="32"/>
      <c r="S71" s="32"/>
      <c r="T71" s="32"/>
      <c r="U71" s="32"/>
      <c r="V71" s="770">
        <v>0.0</v>
      </c>
      <c r="W71" s="252">
        <f t="shared" si="24"/>
        <v>0</v>
      </c>
      <c r="X71" s="252">
        <f t="shared" ref="X71:BA71" si="55">IF(AND(X$39-$A71&gt;$V$26,SUM($W71:W71)&lt;&gt;$V71),$V71,0)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850">
        <v>1962.0</v>
      </c>
      <c r="B72" s="32"/>
      <c r="C72" s="32"/>
      <c r="D72" s="32"/>
      <c r="E72" s="32"/>
      <c r="F72" s="32"/>
      <c r="G72" s="32"/>
      <c r="H72" s="32"/>
      <c r="I72" s="32"/>
      <c r="J72" s="32"/>
      <c r="K72" s="32"/>
      <c r="L72" s="32"/>
      <c r="M72" s="32"/>
      <c r="N72" s="32"/>
      <c r="O72" s="32"/>
      <c r="P72" s="32"/>
      <c r="Q72" s="32"/>
      <c r="R72" s="32"/>
      <c r="S72" s="32"/>
      <c r="T72" s="32"/>
      <c r="U72" s="32"/>
      <c r="V72" s="770">
        <v>38.1</v>
      </c>
      <c r="W72" s="252">
        <f t="shared" si="24"/>
        <v>38.1</v>
      </c>
      <c r="X72" s="252">
        <f t="shared" ref="X72:BA72" si="56">IF(AND(X$39-$A72&gt;$V$26,SUM($W72:W72)&lt;&gt;$V72),$V72,0)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850">
        <v>1963.0</v>
      </c>
      <c r="B73" s="32"/>
      <c r="C73" s="32"/>
      <c r="D73" s="32"/>
      <c r="E73" s="32"/>
      <c r="F73" s="32"/>
      <c r="G73" s="32"/>
      <c r="H73" s="32"/>
      <c r="I73" s="32"/>
      <c r="J73" s="32"/>
      <c r="K73" s="32"/>
      <c r="L73" s="32"/>
      <c r="M73" s="32"/>
      <c r="N73" s="32"/>
      <c r="O73" s="32"/>
      <c r="P73" s="32"/>
      <c r="Q73" s="32"/>
      <c r="R73" s="32"/>
      <c r="S73" s="32"/>
      <c r="T73" s="32"/>
      <c r="U73" s="32"/>
      <c r="V73" s="770">
        <v>0.0</v>
      </c>
      <c r="W73" s="252">
        <f t="shared" si="24"/>
        <v>0</v>
      </c>
      <c r="X73" s="252">
        <f t="shared" ref="X73:BA73" si="57">IF(AND(X$39-$A73&gt;$V$26,SUM($W73:W73)&lt;&gt;$V73),$V73,0)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850">
        <v>1964.0</v>
      </c>
      <c r="B74" s="32"/>
      <c r="C74" s="32"/>
      <c r="D74" s="32"/>
      <c r="E74" s="32"/>
      <c r="F74" s="32"/>
      <c r="G74" s="32"/>
      <c r="H74" s="32"/>
      <c r="I74" s="32"/>
      <c r="J74" s="32"/>
      <c r="K74" s="32"/>
      <c r="L74" s="32"/>
      <c r="M74" s="32"/>
      <c r="N74" s="32"/>
      <c r="O74" s="32"/>
      <c r="P74" s="32"/>
      <c r="Q74" s="32"/>
      <c r="R74" s="32"/>
      <c r="S74" s="32"/>
      <c r="T74" s="32"/>
      <c r="U74" s="32"/>
      <c r="V74" s="770">
        <v>2.0</v>
      </c>
      <c r="W74" s="252">
        <f t="shared" si="24"/>
        <v>2</v>
      </c>
      <c r="X74" s="252">
        <f t="shared" ref="X74:BA74" si="58">IF(AND(X$39-$A74&gt;$V$26,SUM($W74:W74)&lt;&gt;$V74),$V74,0)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850">
        <v>1965.0</v>
      </c>
      <c r="B75" s="32"/>
      <c r="C75" s="32"/>
      <c r="D75" s="32"/>
      <c r="E75" s="32"/>
      <c r="F75" s="32"/>
      <c r="G75" s="32"/>
      <c r="H75" s="32"/>
      <c r="I75" s="32"/>
      <c r="J75" s="32"/>
      <c r="K75" s="32"/>
      <c r="L75" s="32"/>
      <c r="M75" s="32"/>
      <c r="N75" s="32"/>
      <c r="O75" s="32"/>
      <c r="P75" s="32"/>
      <c r="Q75" s="32"/>
      <c r="R75" s="32"/>
      <c r="S75" s="32"/>
      <c r="T75" s="32"/>
      <c r="U75" s="32"/>
      <c r="V75" s="770">
        <v>0.0</v>
      </c>
      <c r="W75" s="252">
        <f t="shared" si="24"/>
        <v>0</v>
      </c>
      <c r="X75" s="252">
        <f t="shared" ref="X75:BA75" si="59">IF(AND(X$39-$A75&gt;$V$26,SUM($W75:W75)&lt;&gt;$V75),$V75,0)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850">
        <v>1966.0</v>
      </c>
      <c r="B76" s="32"/>
      <c r="C76" s="32"/>
      <c r="D76" s="32"/>
      <c r="E76" s="32"/>
      <c r="F76" s="32"/>
      <c r="G76" s="32"/>
      <c r="H76" s="32"/>
      <c r="I76" s="32"/>
      <c r="J76" s="32"/>
      <c r="K76" s="32"/>
      <c r="L76" s="32"/>
      <c r="M76" s="32"/>
      <c r="N76" s="32"/>
      <c r="O76" s="32"/>
      <c r="P76" s="32"/>
      <c r="Q76" s="32"/>
      <c r="R76" s="32"/>
      <c r="S76" s="32"/>
      <c r="T76" s="32"/>
      <c r="U76" s="32"/>
      <c r="V76" s="770">
        <v>0.0</v>
      </c>
      <c r="W76" s="252">
        <f t="shared" si="24"/>
        <v>0</v>
      </c>
      <c r="X76" s="252">
        <f t="shared" ref="X76:BA76" si="60">IF(AND(X$39-$A76&gt;$V$26,SUM($W76:W76)&lt;&gt;$V76),$V76,0)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850">
        <v>1967.0</v>
      </c>
      <c r="B77" s="32"/>
      <c r="C77" s="32"/>
      <c r="D77" s="32"/>
      <c r="E77" s="32"/>
      <c r="F77" s="32"/>
      <c r="G77" s="32"/>
      <c r="H77" s="32"/>
      <c r="I77" s="32"/>
      <c r="J77" s="32"/>
      <c r="K77" s="32"/>
      <c r="L77" s="32"/>
      <c r="M77" s="32"/>
      <c r="N77" s="32"/>
      <c r="O77" s="32"/>
      <c r="P77" s="32"/>
      <c r="Q77" s="32"/>
      <c r="R77" s="32"/>
      <c r="S77" s="32"/>
      <c r="T77" s="32"/>
      <c r="U77" s="32"/>
      <c r="V77" s="770">
        <v>1.0</v>
      </c>
      <c r="W77" s="252">
        <f t="shared" si="24"/>
        <v>1</v>
      </c>
      <c r="X77" s="252">
        <f t="shared" ref="X77:BA77" si="61">IF(AND(X$39-$A77&gt;$V$26,SUM($W77:W77)&lt;&gt;$V77),$V77,0)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850">
        <v>1968.0</v>
      </c>
      <c r="B78" s="32"/>
      <c r="C78" s="32"/>
      <c r="D78" s="32"/>
      <c r="E78" s="32"/>
      <c r="F78" s="32"/>
      <c r="G78" s="32"/>
      <c r="H78" s="32"/>
      <c r="I78" s="32"/>
      <c r="J78" s="32"/>
      <c r="K78" s="32"/>
      <c r="L78" s="32"/>
      <c r="M78" s="32"/>
      <c r="N78" s="32"/>
      <c r="O78" s="32"/>
      <c r="P78" s="32"/>
      <c r="Q78" s="32"/>
      <c r="R78" s="32"/>
      <c r="S78" s="32"/>
      <c r="T78" s="32"/>
      <c r="U78" s="32"/>
      <c r="V78" s="770">
        <v>26.3</v>
      </c>
      <c r="W78" s="252">
        <f t="shared" si="24"/>
        <v>26.3</v>
      </c>
      <c r="X78" s="252">
        <f t="shared" ref="X78:BA78" si="62">IF(AND(X$39-$A78&gt;$V$26,SUM($W78:W78)&lt;&gt;$V78),$V78,0)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850">
        <v>1969.0</v>
      </c>
      <c r="B79" s="32"/>
      <c r="C79" s="32"/>
      <c r="D79" s="32"/>
      <c r="E79" s="32"/>
      <c r="F79" s="32"/>
      <c r="G79" s="32"/>
      <c r="H79" s="32"/>
      <c r="I79" s="32"/>
      <c r="J79" s="32"/>
      <c r="K79" s="32"/>
      <c r="L79" s="32"/>
      <c r="M79" s="32"/>
      <c r="N79" s="32"/>
      <c r="O79" s="32"/>
      <c r="P79" s="32"/>
      <c r="Q79" s="32"/>
      <c r="R79" s="32"/>
      <c r="S79" s="32"/>
      <c r="T79" s="32"/>
      <c r="U79" s="32"/>
      <c r="V79" s="770">
        <v>0.0</v>
      </c>
      <c r="W79" s="252">
        <f t="shared" si="24"/>
        <v>0</v>
      </c>
      <c r="X79" s="252">
        <f t="shared" ref="X79:BA79" si="63">IF(AND(X$39-$A79&gt;$V$26,SUM($W79:W79)&lt;&gt;$V79),$V79,0)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850">
        <v>1970.0</v>
      </c>
      <c r="B80" s="32"/>
      <c r="C80" s="32"/>
      <c r="D80" s="32"/>
      <c r="E80" s="32"/>
      <c r="F80" s="32"/>
      <c r="G80" s="32"/>
      <c r="H80" s="32"/>
      <c r="I80" s="32"/>
      <c r="J80" s="32"/>
      <c r="K80" s="32"/>
      <c r="L80" s="32"/>
      <c r="M80" s="32"/>
      <c r="N80" s="32"/>
      <c r="O80" s="32"/>
      <c r="P80" s="32"/>
      <c r="Q80" s="32"/>
      <c r="R80" s="32"/>
      <c r="S80" s="32"/>
      <c r="T80" s="32"/>
      <c r="U80" s="32"/>
      <c r="V80" s="770">
        <v>116.2</v>
      </c>
      <c r="W80" s="252">
        <f t="shared" si="24"/>
        <v>116.2</v>
      </c>
      <c r="X80" s="252">
        <f t="shared" ref="X80:BA80" si="64">IF(AND(X$39-$A80&gt;$V$26,SUM($W80:W80)&lt;&gt;$V80),$V80,0)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850">
        <v>1971.0</v>
      </c>
      <c r="B81" s="32"/>
      <c r="C81" s="32"/>
      <c r="D81" s="32"/>
      <c r="E81" s="32"/>
      <c r="F81" s="32"/>
      <c r="G81" s="32"/>
      <c r="H81" s="32"/>
      <c r="I81" s="32"/>
      <c r="J81" s="32"/>
      <c r="K81" s="32"/>
      <c r="L81" s="32"/>
      <c r="M81" s="32"/>
      <c r="N81" s="32"/>
      <c r="O81" s="32"/>
      <c r="P81" s="32"/>
      <c r="Q81" s="32"/>
      <c r="R81" s="32"/>
      <c r="S81" s="32"/>
      <c r="T81" s="32"/>
      <c r="U81" s="32"/>
      <c r="V81" s="770">
        <v>153.6</v>
      </c>
      <c r="W81" s="252">
        <f t="shared" si="24"/>
        <v>153.6</v>
      </c>
      <c r="X81" s="252">
        <f t="shared" ref="X81:BA81" si="65">IF(AND(X$39-$A81&gt;$V$26,SUM($W81:W81)&lt;&gt;$V81),$V81,0)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850">
        <v>1972.0</v>
      </c>
      <c r="B82" s="32"/>
      <c r="C82" s="32"/>
      <c r="D82" s="32"/>
      <c r="E82" s="32"/>
      <c r="F82" s="32"/>
      <c r="G82" s="32"/>
      <c r="H82" s="32"/>
      <c r="I82" s="32"/>
      <c r="J82" s="32"/>
      <c r="K82" s="32"/>
      <c r="L82" s="32"/>
      <c r="M82" s="32"/>
      <c r="N82" s="32"/>
      <c r="O82" s="32"/>
      <c r="P82" s="32"/>
      <c r="Q82" s="32"/>
      <c r="R82" s="32"/>
      <c r="S82" s="32"/>
      <c r="T82" s="32"/>
      <c r="U82" s="32"/>
      <c r="V82" s="770">
        <v>702.8</v>
      </c>
      <c r="W82" s="252">
        <f t="shared" si="24"/>
        <v>702.8</v>
      </c>
      <c r="X82" s="252">
        <f t="shared" ref="X82:BA82" si="66">IF(AND(X$39-$A82&gt;$V$26,SUM($W82:W82)&lt;&gt;$V82),$V82,0)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850">
        <v>1973.0</v>
      </c>
      <c r="B83" s="32"/>
      <c r="C83" s="32"/>
      <c r="D83" s="32"/>
      <c r="E83" s="32"/>
      <c r="F83" s="32"/>
      <c r="G83" s="32"/>
      <c r="H83" s="32"/>
      <c r="I83" s="32"/>
      <c r="J83" s="32"/>
      <c r="K83" s="32"/>
      <c r="L83" s="32"/>
      <c r="M83" s="32"/>
      <c r="N83" s="32"/>
      <c r="O83" s="32"/>
      <c r="P83" s="32"/>
      <c r="Q83" s="32"/>
      <c r="R83" s="32"/>
      <c r="S83" s="32"/>
      <c r="T83" s="32"/>
      <c r="U83" s="32"/>
      <c r="V83" s="770">
        <v>185.9</v>
      </c>
      <c r="W83" s="252">
        <f t="shared" si="24"/>
        <v>185.9</v>
      </c>
      <c r="X83" s="252">
        <f t="shared" ref="X83:BA83" si="67">IF(AND(X$39-$A83&gt;$V$26,SUM($W83:W83)&lt;&gt;$V83),$V83,0)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850">
        <v>1974.0</v>
      </c>
      <c r="B84" s="32"/>
      <c r="C84" s="32"/>
      <c r="D84" s="32"/>
      <c r="E84" s="32"/>
      <c r="F84" s="32"/>
      <c r="G84" s="32"/>
      <c r="H84" s="32"/>
      <c r="I84" s="32"/>
      <c r="J84" s="32"/>
      <c r="K84" s="32"/>
      <c r="L84" s="32"/>
      <c r="M84" s="32"/>
      <c r="N84" s="32"/>
      <c r="O84" s="32"/>
      <c r="P84" s="32"/>
      <c r="Q84" s="32"/>
      <c r="R84" s="32"/>
      <c r="S84" s="32"/>
      <c r="T84" s="32"/>
      <c r="U84" s="32"/>
      <c r="V84" s="770">
        <v>355.6</v>
      </c>
      <c r="W84" s="252">
        <f t="shared" si="24"/>
        <v>355.6</v>
      </c>
      <c r="X84" s="252">
        <f t="shared" ref="X84:BA84" si="68">IF(AND(X$39-$A84&gt;$V$26,SUM($W84:W84)&lt;&gt;$V84),$V84,0)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850">
        <v>1975.0</v>
      </c>
      <c r="B85" s="32"/>
      <c r="C85" s="32"/>
      <c r="D85" s="32"/>
      <c r="E85" s="32"/>
      <c r="F85" s="32"/>
      <c r="G85" s="32"/>
      <c r="H85" s="32"/>
      <c r="I85" s="32"/>
      <c r="J85" s="32"/>
      <c r="K85" s="32"/>
      <c r="L85" s="32"/>
      <c r="M85" s="32"/>
      <c r="N85" s="32"/>
      <c r="O85" s="32"/>
      <c r="P85" s="32"/>
      <c r="Q85" s="32"/>
      <c r="R85" s="32"/>
      <c r="S85" s="32"/>
      <c r="T85" s="32"/>
      <c r="U85" s="32"/>
      <c r="V85" s="770">
        <v>1.2</v>
      </c>
      <c r="W85" s="252">
        <f t="shared" si="24"/>
        <v>1.2</v>
      </c>
      <c r="X85" s="252">
        <f t="shared" ref="X85:BA85" si="69">IF(AND(X$39-$A85&gt;$V$26,SUM($W85:W85)&lt;&gt;$V85),$V85,0)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850">
        <v>1976.0</v>
      </c>
      <c r="B86" s="32"/>
      <c r="C86" s="32"/>
      <c r="D86" s="32"/>
      <c r="E86" s="32"/>
      <c r="F86" s="32"/>
      <c r="G86" s="32"/>
      <c r="H86" s="32"/>
      <c r="I86" s="32"/>
      <c r="J86" s="32"/>
      <c r="K86" s="32"/>
      <c r="L86" s="32"/>
      <c r="M86" s="32"/>
      <c r="N86" s="32"/>
      <c r="O86" s="32"/>
      <c r="P86" s="32"/>
      <c r="Q86" s="32"/>
      <c r="R86" s="32"/>
      <c r="S86" s="32"/>
      <c r="T86" s="32"/>
      <c r="U86" s="32"/>
      <c r="V86" s="770">
        <v>35.3</v>
      </c>
      <c r="W86" s="252">
        <f t="shared" si="24"/>
        <v>35.3</v>
      </c>
      <c r="X86" s="252">
        <f t="shared" ref="X86:BA86" si="70">IF(AND(X$39-$A86&gt;$V$26,SUM($W86:W86)&lt;&gt;$V86),$V86,0)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850">
        <v>1977.0</v>
      </c>
      <c r="B87" s="32"/>
      <c r="C87" s="32"/>
      <c r="D87" s="32"/>
      <c r="E87" s="32"/>
      <c r="F87" s="32"/>
      <c r="G87" s="32"/>
      <c r="H87" s="32"/>
      <c r="I87" s="32"/>
      <c r="J87" s="32"/>
      <c r="K87" s="32"/>
      <c r="L87" s="32"/>
      <c r="M87" s="32"/>
      <c r="N87" s="32"/>
      <c r="O87" s="32"/>
      <c r="P87" s="32"/>
      <c r="Q87" s="32"/>
      <c r="R87" s="32"/>
      <c r="S87" s="32"/>
      <c r="T87" s="32"/>
      <c r="U87" s="32"/>
      <c r="V87" s="770">
        <v>0.0</v>
      </c>
      <c r="W87" s="252">
        <f t="shared" si="24"/>
        <v>0</v>
      </c>
      <c r="X87" s="252">
        <f t="shared" ref="X87:BA87" si="71">IF(AND(X$39-$A87&gt;$V$26,SUM($W87:W87)&lt;&gt;$V87),$V87,0)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850">
        <v>1978.0</v>
      </c>
      <c r="B88" s="32"/>
      <c r="C88" s="32"/>
      <c r="D88" s="32"/>
      <c r="E88" s="32"/>
      <c r="F88" s="32"/>
      <c r="G88" s="32"/>
      <c r="H88" s="32"/>
      <c r="I88" s="32"/>
      <c r="J88" s="32"/>
      <c r="K88" s="32"/>
      <c r="L88" s="32"/>
      <c r="M88" s="32"/>
      <c r="N88" s="32"/>
      <c r="O88" s="32"/>
      <c r="P88" s="32"/>
      <c r="Q88" s="32"/>
      <c r="R88" s="32"/>
      <c r="S88" s="32"/>
      <c r="T88" s="32"/>
      <c r="U88" s="32"/>
      <c r="V88" s="770">
        <v>1.1</v>
      </c>
      <c r="W88" s="252">
        <f t="shared" si="24"/>
        <v>1.1</v>
      </c>
      <c r="X88" s="252">
        <f t="shared" ref="X88:BA88" si="72">IF(AND(X$39-$A88&gt;$V$26,SUM($W88:W88)&lt;&gt;$V88),$V88,0)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850">
        <v>1979.0</v>
      </c>
      <c r="B89" s="32"/>
      <c r="C89" s="32"/>
      <c r="D89" s="32"/>
      <c r="E89" s="32"/>
      <c r="F89" s="32"/>
      <c r="G89" s="32"/>
      <c r="H89" s="32"/>
      <c r="I89" s="32"/>
      <c r="J89" s="32"/>
      <c r="K89" s="32"/>
      <c r="L89" s="32"/>
      <c r="M89" s="32"/>
      <c r="N89" s="32"/>
      <c r="O89" s="32"/>
      <c r="P89" s="32"/>
      <c r="Q89" s="32"/>
      <c r="R89" s="32"/>
      <c r="S89" s="32"/>
      <c r="T89" s="32"/>
      <c r="U89" s="32"/>
      <c r="V89" s="770">
        <v>64.7</v>
      </c>
      <c r="W89" s="252">
        <f t="shared" si="24"/>
        <v>64.7</v>
      </c>
      <c r="X89" s="252">
        <f t="shared" ref="X89:BA89" si="73">IF(AND(X$39-$A89&gt;$V$26,SUM($W89:W89)&lt;&gt;$V89),$V89,0)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850">
        <v>1980.0</v>
      </c>
      <c r="B90" s="32"/>
      <c r="C90" s="32"/>
      <c r="D90" s="32"/>
      <c r="E90" s="32"/>
      <c r="F90" s="32"/>
      <c r="G90" s="32"/>
      <c r="H90" s="32"/>
      <c r="I90" s="32"/>
      <c r="J90" s="32"/>
      <c r="K90" s="32"/>
      <c r="L90" s="32"/>
      <c r="M90" s="32"/>
      <c r="N90" s="32"/>
      <c r="O90" s="32"/>
      <c r="P90" s="32"/>
      <c r="Q90" s="32"/>
      <c r="R90" s="32"/>
      <c r="S90" s="32"/>
      <c r="T90" s="32"/>
      <c r="U90" s="32"/>
      <c r="V90" s="770">
        <v>52.8</v>
      </c>
      <c r="W90" s="252">
        <f t="shared" si="24"/>
        <v>52.8</v>
      </c>
      <c r="X90" s="252">
        <f t="shared" ref="X90:BA90" si="74">IF(AND(X$39-$A90&gt;$V$26,SUM($W90:W90)&lt;&gt;$V90),$V90,0)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850">
        <v>1981.0</v>
      </c>
      <c r="B91" s="32"/>
      <c r="C91" s="32"/>
      <c r="D91" s="32"/>
      <c r="E91" s="32"/>
      <c r="F91" s="32"/>
      <c r="G91" s="32"/>
      <c r="H91" s="32"/>
      <c r="I91" s="32"/>
      <c r="J91" s="32"/>
      <c r="K91" s="32"/>
      <c r="L91" s="32"/>
      <c r="M91" s="32"/>
      <c r="N91" s="32"/>
      <c r="O91" s="32"/>
      <c r="P91" s="32"/>
      <c r="Q91" s="32"/>
      <c r="R91" s="32"/>
      <c r="S91" s="32"/>
      <c r="T91" s="32"/>
      <c r="U91" s="32"/>
      <c r="V91" s="770">
        <v>0.3</v>
      </c>
      <c r="W91" s="252">
        <f t="shared" si="24"/>
        <v>0.3</v>
      </c>
      <c r="X91" s="252">
        <f t="shared" ref="X91:BA91" si="75">IF(AND(X$39-$A91&gt;$V$26,SUM($W91:W91)&lt;&gt;$V91),$V91,0)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850">
        <v>1982.0</v>
      </c>
      <c r="B92" s="32"/>
      <c r="C92" s="32"/>
      <c r="D92" s="32"/>
      <c r="E92" s="32"/>
      <c r="F92" s="32"/>
      <c r="G92" s="32"/>
      <c r="H92" s="32"/>
      <c r="I92" s="32"/>
      <c r="J92" s="32"/>
      <c r="K92" s="32"/>
      <c r="L92" s="32"/>
      <c r="M92" s="32"/>
      <c r="N92" s="32"/>
      <c r="O92" s="32"/>
      <c r="P92" s="32"/>
      <c r="Q92" s="32"/>
      <c r="R92" s="32"/>
      <c r="S92" s="32"/>
      <c r="T92" s="32"/>
      <c r="U92" s="32"/>
      <c r="V92" s="770">
        <v>1.4</v>
      </c>
      <c r="W92" s="252">
        <f t="shared" si="24"/>
        <v>1.4</v>
      </c>
      <c r="X92" s="252">
        <f t="shared" ref="X92:BA92" si="76">IF(AND(X$39-$A92&gt;$V$26,SUM($W92:W92)&lt;&gt;$V92),$V92,0)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0</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850">
        <v>1983.0</v>
      </c>
      <c r="B93" s="32"/>
      <c r="C93" s="32"/>
      <c r="D93" s="32"/>
      <c r="E93" s="32"/>
      <c r="F93" s="32"/>
      <c r="G93" s="32"/>
      <c r="H93" s="32"/>
      <c r="I93" s="32"/>
      <c r="J93" s="32"/>
      <c r="K93" s="32"/>
      <c r="L93" s="32"/>
      <c r="M93" s="32"/>
      <c r="N93" s="32"/>
      <c r="O93" s="32"/>
      <c r="P93" s="32"/>
      <c r="Q93" s="32"/>
      <c r="R93" s="32"/>
      <c r="S93" s="32"/>
      <c r="T93" s="32"/>
      <c r="U93" s="32"/>
      <c r="V93" s="770">
        <v>0.0</v>
      </c>
      <c r="W93" s="252">
        <f t="shared" si="24"/>
        <v>0</v>
      </c>
      <c r="X93" s="252">
        <f t="shared" ref="X93:BA93" si="77">IF(AND(X$39-$A93&gt;$V$26,SUM($W93:W93)&lt;&gt;$V93),$V93,0)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0</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850">
        <v>1984.0</v>
      </c>
      <c r="B94" s="32"/>
      <c r="C94" s="32"/>
      <c r="D94" s="32"/>
      <c r="E94" s="32"/>
      <c r="F94" s="32"/>
      <c r="G94" s="32"/>
      <c r="H94" s="32"/>
      <c r="I94" s="32"/>
      <c r="J94" s="32"/>
      <c r="K94" s="32"/>
      <c r="L94" s="32"/>
      <c r="M94" s="32"/>
      <c r="N94" s="32"/>
      <c r="O94" s="32"/>
      <c r="P94" s="32"/>
      <c r="Q94" s="32"/>
      <c r="R94" s="32"/>
      <c r="S94" s="32"/>
      <c r="T94" s="32"/>
      <c r="U94" s="32"/>
      <c r="V94" s="770">
        <v>7.5</v>
      </c>
      <c r="W94" s="252">
        <f t="shared" si="24"/>
        <v>7.5</v>
      </c>
      <c r="X94" s="252">
        <f t="shared" ref="X94:BA94" si="78">IF(AND(X$39-$A94&gt;$V$26,SUM($W94:W94)&lt;&gt;$V94),$V94,0)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850">
        <v>1985.0</v>
      </c>
      <c r="B95" s="32"/>
      <c r="C95" s="32"/>
      <c r="D95" s="32"/>
      <c r="E95" s="32"/>
      <c r="F95" s="32"/>
      <c r="G95" s="32"/>
      <c r="H95" s="32"/>
      <c r="I95" s="32"/>
      <c r="J95" s="32"/>
      <c r="K95" s="32"/>
      <c r="L95" s="32"/>
      <c r="M95" s="32"/>
      <c r="N95" s="32"/>
      <c r="O95" s="32"/>
      <c r="P95" s="32"/>
      <c r="Q95" s="32"/>
      <c r="R95" s="32"/>
      <c r="S95" s="32"/>
      <c r="T95" s="32"/>
      <c r="U95" s="32"/>
      <c r="V95" s="770">
        <v>0.0</v>
      </c>
      <c r="W95" s="252">
        <f t="shared" si="24"/>
        <v>0</v>
      </c>
      <c r="X95" s="252">
        <f t="shared" ref="X95:BA95" si="79">IF(AND(X$39-$A95&gt;$V$26,SUM($W95:W95)&lt;&gt;$V95),$V95,0)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850">
        <v>1986.0</v>
      </c>
      <c r="B96" s="32"/>
      <c r="C96" s="32"/>
      <c r="D96" s="32"/>
      <c r="E96" s="32"/>
      <c r="F96" s="32"/>
      <c r="G96" s="32"/>
      <c r="H96" s="32"/>
      <c r="I96" s="32"/>
      <c r="J96" s="32"/>
      <c r="K96" s="32"/>
      <c r="L96" s="32"/>
      <c r="M96" s="32"/>
      <c r="N96" s="32"/>
      <c r="O96" s="32"/>
      <c r="P96" s="32"/>
      <c r="Q96" s="32"/>
      <c r="R96" s="32"/>
      <c r="S96" s="32"/>
      <c r="T96" s="32"/>
      <c r="U96" s="32"/>
      <c r="V96" s="770">
        <v>1.5</v>
      </c>
      <c r="W96" s="252">
        <f t="shared" si="24"/>
        <v>1.5</v>
      </c>
      <c r="X96" s="252">
        <f t="shared" ref="X96:BA96" si="80">IF(AND(X$39-$A96&gt;$V$26,SUM($W96:W96)&lt;&gt;$V96),$V96,0)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850">
        <v>1987.0</v>
      </c>
      <c r="B97" s="32"/>
      <c r="C97" s="32"/>
      <c r="D97" s="32"/>
      <c r="E97" s="32"/>
      <c r="F97" s="32"/>
      <c r="G97" s="32"/>
      <c r="H97" s="32"/>
      <c r="I97" s="32"/>
      <c r="J97" s="32"/>
      <c r="K97" s="32"/>
      <c r="L97" s="32"/>
      <c r="M97" s="32"/>
      <c r="N97" s="32"/>
      <c r="O97" s="32"/>
      <c r="P97" s="32"/>
      <c r="Q97" s="32"/>
      <c r="R97" s="32"/>
      <c r="S97" s="32"/>
      <c r="T97" s="32"/>
      <c r="U97" s="32"/>
      <c r="V97" s="770">
        <v>15.2</v>
      </c>
      <c r="W97" s="252">
        <f t="shared" si="24"/>
        <v>15.2</v>
      </c>
      <c r="X97" s="252">
        <f t="shared" ref="X97:BA97" si="81">IF(AND(X$39-$A97&gt;$V$26,SUM($W97:W97)&lt;&gt;$V97),$V97,0)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850">
        <v>1988.0</v>
      </c>
      <c r="B98" s="32"/>
      <c r="C98" s="32"/>
      <c r="D98" s="32"/>
      <c r="E98" s="32"/>
      <c r="F98" s="32"/>
      <c r="G98" s="32"/>
      <c r="H98" s="32"/>
      <c r="I98" s="32"/>
      <c r="J98" s="32"/>
      <c r="K98" s="32"/>
      <c r="L98" s="32"/>
      <c r="M98" s="32"/>
      <c r="N98" s="32"/>
      <c r="O98" s="32"/>
      <c r="P98" s="32"/>
      <c r="Q98" s="32"/>
      <c r="R98" s="32"/>
      <c r="S98" s="32"/>
      <c r="T98" s="32"/>
      <c r="U98" s="32"/>
      <c r="V98" s="770">
        <v>57.0</v>
      </c>
      <c r="W98" s="252">
        <f t="shared" si="24"/>
        <v>57</v>
      </c>
      <c r="X98" s="252">
        <f t="shared" ref="X98:BA98" si="82">IF(AND(X$39-$A98&gt;$V$26,SUM($W98:W98)&lt;&gt;$V98),$V98,0)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850">
        <v>1989.0</v>
      </c>
      <c r="B99" s="32"/>
      <c r="C99" s="32"/>
      <c r="D99" s="32"/>
      <c r="E99" s="32"/>
      <c r="F99" s="32"/>
      <c r="G99" s="32"/>
      <c r="H99" s="32"/>
      <c r="I99" s="32"/>
      <c r="J99" s="32"/>
      <c r="K99" s="32"/>
      <c r="L99" s="32"/>
      <c r="M99" s="32"/>
      <c r="N99" s="32"/>
      <c r="O99" s="32"/>
      <c r="P99" s="32"/>
      <c r="Q99" s="32"/>
      <c r="R99" s="32"/>
      <c r="S99" s="32"/>
      <c r="T99" s="32"/>
      <c r="U99" s="32"/>
      <c r="V99" s="770">
        <v>64.1</v>
      </c>
      <c r="W99" s="252">
        <f t="shared" si="24"/>
        <v>64.1</v>
      </c>
      <c r="X99" s="252">
        <f t="shared" ref="X99:BA99" si="83">IF(AND(X$39-$A99&gt;$V$26,SUM($W99:W99)&lt;&gt;$V99),$V99,0)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850">
        <v>1990.0</v>
      </c>
      <c r="B100" s="32"/>
      <c r="C100" s="32"/>
      <c r="D100" s="32"/>
      <c r="E100" s="32"/>
      <c r="F100" s="32"/>
      <c r="G100" s="32"/>
      <c r="H100" s="32"/>
      <c r="I100" s="32"/>
      <c r="J100" s="32"/>
      <c r="K100" s="32"/>
      <c r="L100" s="32"/>
      <c r="M100" s="32"/>
      <c r="N100" s="32"/>
      <c r="O100" s="32"/>
      <c r="P100" s="32"/>
      <c r="Q100" s="32"/>
      <c r="R100" s="32"/>
      <c r="S100" s="32"/>
      <c r="T100" s="32"/>
      <c r="U100" s="32"/>
      <c r="V100" s="770">
        <v>180.0</v>
      </c>
      <c r="W100" s="252">
        <f t="shared" si="24"/>
        <v>0</v>
      </c>
      <c r="X100" s="252">
        <f t="shared" ref="X100:BA100" si="84">IF(AND(X$39-$A100&gt;$V$26,SUM($W100:W100)&lt;&gt;$V100),$V100,0)</f>
        <v>180</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850">
        <v>1991.0</v>
      </c>
      <c r="B101" s="32"/>
      <c r="C101" s="32"/>
      <c r="D101" s="32"/>
      <c r="E101" s="32"/>
      <c r="F101" s="32"/>
      <c r="G101" s="32"/>
      <c r="H101" s="32"/>
      <c r="I101" s="32"/>
      <c r="J101" s="32"/>
      <c r="K101" s="32"/>
      <c r="L101" s="32"/>
      <c r="M101" s="32"/>
      <c r="N101" s="32"/>
      <c r="O101" s="32"/>
      <c r="P101" s="32"/>
      <c r="Q101" s="32"/>
      <c r="R101" s="32"/>
      <c r="S101" s="32"/>
      <c r="T101" s="32"/>
      <c r="U101" s="32"/>
      <c r="V101" s="770">
        <v>26.8</v>
      </c>
      <c r="W101" s="252">
        <f t="shared" si="24"/>
        <v>0</v>
      </c>
      <c r="X101" s="252">
        <f t="shared" ref="X101:BA101" si="85">IF(AND(X$39-$A101&gt;$V$26,SUM($W101:W101)&lt;&gt;$V101),$V101,0)</f>
        <v>0</v>
      </c>
      <c r="Y101" s="252">
        <f t="shared" si="85"/>
        <v>26.8</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850">
        <v>1992.0</v>
      </c>
      <c r="B102" s="32"/>
      <c r="C102" s="32"/>
      <c r="D102" s="32"/>
      <c r="E102" s="32"/>
      <c r="F102" s="32"/>
      <c r="G102" s="32"/>
      <c r="H102" s="32"/>
      <c r="I102" s="32"/>
      <c r="J102" s="32"/>
      <c r="K102" s="32"/>
      <c r="L102" s="32"/>
      <c r="M102" s="32"/>
      <c r="N102" s="32"/>
      <c r="O102" s="32"/>
      <c r="P102" s="32"/>
      <c r="Q102" s="32"/>
      <c r="R102" s="32"/>
      <c r="S102" s="32"/>
      <c r="T102" s="32"/>
      <c r="U102" s="32"/>
      <c r="V102" s="770">
        <v>1.7</v>
      </c>
      <c r="W102" s="252">
        <f t="shared" si="24"/>
        <v>0</v>
      </c>
      <c r="X102" s="252">
        <f t="shared" ref="X102:BA102" si="86">IF(AND(X$39-$A102&gt;$V$26,SUM($W102:W102)&lt;&gt;$V102),$V102,0)</f>
        <v>0</v>
      </c>
      <c r="Y102" s="252">
        <f t="shared" si="86"/>
        <v>0</v>
      </c>
      <c r="Z102" s="252">
        <f t="shared" si="86"/>
        <v>1.7</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850">
        <v>1993.0</v>
      </c>
      <c r="B103" s="32"/>
      <c r="C103" s="32"/>
      <c r="D103" s="32"/>
      <c r="E103" s="32"/>
      <c r="F103" s="32"/>
      <c r="G103" s="32"/>
      <c r="H103" s="32"/>
      <c r="I103" s="32"/>
      <c r="J103" s="32"/>
      <c r="K103" s="32"/>
      <c r="L103" s="32"/>
      <c r="M103" s="32"/>
      <c r="N103" s="32"/>
      <c r="O103" s="32"/>
      <c r="P103" s="32"/>
      <c r="Q103" s="32"/>
      <c r="R103" s="32"/>
      <c r="S103" s="32"/>
      <c r="T103" s="32"/>
      <c r="U103" s="32"/>
      <c r="V103" s="770">
        <v>16.9</v>
      </c>
      <c r="W103" s="252">
        <f t="shared" si="24"/>
        <v>0</v>
      </c>
      <c r="X103" s="252">
        <f t="shared" ref="X103:BA103" si="87">IF(AND(X$39-$A103&gt;$V$26,SUM($W103:W103)&lt;&gt;$V103),$V103,0)</f>
        <v>0</v>
      </c>
      <c r="Y103" s="252">
        <f t="shared" si="87"/>
        <v>0</v>
      </c>
      <c r="Z103" s="252">
        <f t="shared" si="87"/>
        <v>0</v>
      </c>
      <c r="AA103" s="252">
        <f t="shared" si="87"/>
        <v>16.9</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0</v>
      </c>
      <c r="AX103" s="252">
        <f t="shared" si="87"/>
        <v>0</v>
      </c>
      <c r="AY103" s="252">
        <f t="shared" si="87"/>
        <v>0</v>
      </c>
      <c r="AZ103" s="252">
        <f t="shared" si="87"/>
        <v>0</v>
      </c>
      <c r="BA103" s="252">
        <f t="shared" si="87"/>
        <v>0</v>
      </c>
    </row>
    <row r="104" ht="15.75" customHeight="1">
      <c r="A104" s="850">
        <v>1994.0</v>
      </c>
      <c r="B104" s="32"/>
      <c r="C104" s="32"/>
      <c r="D104" s="32"/>
      <c r="E104" s="32"/>
      <c r="F104" s="32"/>
      <c r="G104" s="32"/>
      <c r="H104" s="32"/>
      <c r="I104" s="32"/>
      <c r="J104" s="32"/>
      <c r="K104" s="32"/>
      <c r="L104" s="32"/>
      <c r="M104" s="32"/>
      <c r="N104" s="32"/>
      <c r="O104" s="32"/>
      <c r="P104" s="32"/>
      <c r="Q104" s="32"/>
      <c r="R104" s="32"/>
      <c r="S104" s="32"/>
      <c r="T104" s="32"/>
      <c r="U104" s="32"/>
      <c r="V104" s="770">
        <v>5.2</v>
      </c>
      <c r="W104" s="252">
        <f t="shared" si="24"/>
        <v>0</v>
      </c>
      <c r="X104" s="252">
        <f t="shared" ref="X104:BA104" si="88">IF(AND(X$39-$A104&gt;$V$26,SUM($W104:W104)&lt;&gt;$V104),$V104,0)</f>
        <v>0</v>
      </c>
      <c r="Y104" s="252">
        <f t="shared" si="88"/>
        <v>0</v>
      </c>
      <c r="Z104" s="252">
        <f t="shared" si="88"/>
        <v>0</v>
      </c>
      <c r="AA104" s="252">
        <f t="shared" si="88"/>
        <v>0</v>
      </c>
      <c r="AB104" s="252">
        <f t="shared" si="88"/>
        <v>5.2</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0</v>
      </c>
      <c r="AY104" s="252">
        <f t="shared" si="88"/>
        <v>0</v>
      </c>
      <c r="AZ104" s="252">
        <f t="shared" si="88"/>
        <v>0</v>
      </c>
      <c r="BA104" s="252">
        <f t="shared" si="88"/>
        <v>0</v>
      </c>
    </row>
    <row r="105" ht="15.75" customHeight="1">
      <c r="A105" s="850">
        <v>1995.0</v>
      </c>
      <c r="B105" s="32"/>
      <c r="C105" s="32"/>
      <c r="D105" s="32"/>
      <c r="E105" s="32"/>
      <c r="F105" s="32"/>
      <c r="G105" s="32"/>
      <c r="H105" s="32"/>
      <c r="I105" s="32"/>
      <c r="J105" s="32"/>
      <c r="K105" s="32"/>
      <c r="L105" s="32"/>
      <c r="M105" s="32"/>
      <c r="N105" s="32"/>
      <c r="O105" s="32"/>
      <c r="P105" s="32"/>
      <c r="Q105" s="32"/>
      <c r="R105" s="32"/>
      <c r="S105" s="32"/>
      <c r="T105" s="32"/>
      <c r="U105" s="32"/>
      <c r="V105" s="770">
        <v>12.5</v>
      </c>
      <c r="W105" s="252">
        <f t="shared" si="24"/>
        <v>0</v>
      </c>
      <c r="X105" s="252">
        <f t="shared" ref="X105:BA105" si="89">IF(AND(X$39-$A105&gt;$V$26,SUM($W105:W105)&lt;&gt;$V105),$V105,0)</f>
        <v>0</v>
      </c>
      <c r="Y105" s="252">
        <f t="shared" si="89"/>
        <v>0</v>
      </c>
      <c r="Z105" s="252">
        <f t="shared" si="89"/>
        <v>0</v>
      </c>
      <c r="AA105" s="252">
        <f t="shared" si="89"/>
        <v>0</v>
      </c>
      <c r="AB105" s="252">
        <f t="shared" si="89"/>
        <v>0</v>
      </c>
      <c r="AC105" s="252">
        <f t="shared" si="89"/>
        <v>12.5</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0</v>
      </c>
      <c r="AZ105" s="252">
        <f t="shared" si="89"/>
        <v>0</v>
      </c>
      <c r="BA105" s="252">
        <f t="shared" si="89"/>
        <v>0</v>
      </c>
    </row>
    <row r="106" ht="15.75" customHeight="1">
      <c r="A106" s="850">
        <v>1996.0</v>
      </c>
      <c r="B106" s="32"/>
      <c r="C106" s="32"/>
      <c r="D106" s="32"/>
      <c r="E106" s="32"/>
      <c r="F106" s="32"/>
      <c r="G106" s="32"/>
      <c r="H106" s="32"/>
      <c r="I106" s="32"/>
      <c r="J106" s="32"/>
      <c r="K106" s="32"/>
      <c r="L106" s="32"/>
      <c r="M106" s="32"/>
      <c r="N106" s="32"/>
      <c r="O106" s="32"/>
      <c r="P106" s="32"/>
      <c r="Q106" s="32"/>
      <c r="R106" s="32"/>
      <c r="S106" s="32"/>
      <c r="T106" s="32"/>
      <c r="U106" s="32"/>
      <c r="V106" s="770">
        <v>1.5</v>
      </c>
      <c r="W106" s="252">
        <f t="shared" si="24"/>
        <v>0</v>
      </c>
      <c r="X106" s="252">
        <f t="shared" ref="X106:BA106" si="90">IF(AND(X$39-$A106&gt;$V$26,SUM($W106:W106)&lt;&gt;$V106),$V106,0)</f>
        <v>0</v>
      </c>
      <c r="Y106" s="252">
        <f t="shared" si="90"/>
        <v>0</v>
      </c>
      <c r="Z106" s="252">
        <f t="shared" si="90"/>
        <v>0</v>
      </c>
      <c r="AA106" s="252">
        <f t="shared" si="90"/>
        <v>0</v>
      </c>
      <c r="AB106" s="252">
        <f t="shared" si="90"/>
        <v>0</v>
      </c>
      <c r="AC106" s="252">
        <f t="shared" si="90"/>
        <v>0</v>
      </c>
      <c r="AD106" s="252">
        <f t="shared" si="90"/>
        <v>1.5</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850">
        <v>1997.0</v>
      </c>
      <c r="B107" s="32"/>
      <c r="C107" s="32"/>
      <c r="D107" s="32"/>
      <c r="E107" s="32"/>
      <c r="F107" s="32"/>
      <c r="G107" s="32"/>
      <c r="H107" s="32"/>
      <c r="I107" s="32"/>
      <c r="J107" s="32"/>
      <c r="K107" s="32"/>
      <c r="L107" s="32"/>
      <c r="M107" s="32"/>
      <c r="N107" s="32"/>
      <c r="O107" s="32"/>
      <c r="P107" s="32"/>
      <c r="Q107" s="32"/>
      <c r="R107" s="32"/>
      <c r="S107" s="32"/>
      <c r="T107" s="32"/>
      <c r="U107" s="32"/>
      <c r="V107" s="770">
        <v>1.6</v>
      </c>
      <c r="W107" s="252">
        <f t="shared" si="24"/>
        <v>0</v>
      </c>
      <c r="X107" s="252">
        <f t="shared" ref="X107:BA107" si="91">IF(AND(X$39-$A107&gt;$V$26,SUM($W107:W107)&lt;&gt;$V107),$V107,0)</f>
        <v>0</v>
      </c>
      <c r="Y107" s="252">
        <f t="shared" si="91"/>
        <v>0</v>
      </c>
      <c r="Z107" s="252">
        <f t="shared" si="91"/>
        <v>0</v>
      </c>
      <c r="AA107" s="252">
        <f t="shared" si="91"/>
        <v>0</v>
      </c>
      <c r="AB107" s="252">
        <f t="shared" si="91"/>
        <v>0</v>
      </c>
      <c r="AC107" s="252">
        <f t="shared" si="91"/>
        <v>0</v>
      </c>
      <c r="AD107" s="252">
        <f t="shared" si="91"/>
        <v>0</v>
      </c>
      <c r="AE107" s="252">
        <f t="shared" si="91"/>
        <v>1.6</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850">
        <v>1998.0</v>
      </c>
      <c r="B108" s="32"/>
      <c r="C108" s="32"/>
      <c r="D108" s="32"/>
      <c r="E108" s="32"/>
      <c r="F108" s="32"/>
      <c r="G108" s="32"/>
      <c r="H108" s="32"/>
      <c r="I108" s="32"/>
      <c r="J108" s="32"/>
      <c r="K108" s="32"/>
      <c r="L108" s="32"/>
      <c r="M108" s="32"/>
      <c r="N108" s="32"/>
      <c r="O108" s="32"/>
      <c r="P108" s="32"/>
      <c r="Q108" s="32"/>
      <c r="R108" s="32"/>
      <c r="S108" s="32"/>
      <c r="T108" s="32"/>
      <c r="U108" s="32"/>
      <c r="V108" s="770">
        <v>47.3</v>
      </c>
      <c r="W108" s="252">
        <f t="shared" si="24"/>
        <v>0</v>
      </c>
      <c r="X108" s="252">
        <f t="shared" ref="X108:BA108" si="92">IF(AND(X$39-$A108&gt;$V$26,SUM($W108:W108)&lt;&gt;$V108),$V108,0)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47.3</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850">
        <v>1999.0</v>
      </c>
      <c r="B109" s="32"/>
      <c r="C109" s="32"/>
      <c r="D109" s="32"/>
      <c r="E109" s="32"/>
      <c r="F109" s="32"/>
      <c r="G109" s="32"/>
      <c r="H109" s="32"/>
      <c r="I109" s="32"/>
      <c r="J109" s="32"/>
      <c r="K109" s="32"/>
      <c r="L109" s="32"/>
      <c r="M109" s="32"/>
      <c r="N109" s="32"/>
      <c r="O109" s="32"/>
      <c r="P109" s="32"/>
      <c r="Q109" s="32"/>
      <c r="R109" s="32"/>
      <c r="S109" s="32"/>
      <c r="T109" s="32"/>
      <c r="U109" s="32"/>
      <c r="V109" s="770">
        <v>3.0</v>
      </c>
      <c r="W109" s="252">
        <f t="shared" si="24"/>
        <v>0</v>
      </c>
      <c r="X109" s="252">
        <f t="shared" ref="X109:BA109" si="93">IF(AND(X$39-$A109&gt;$V$26,SUM($W109:W109)&lt;&gt;$V109),$V109,0)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3</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850">
        <v>2000.0</v>
      </c>
      <c r="B110" s="32"/>
      <c r="C110" s="32"/>
      <c r="D110" s="32"/>
      <c r="E110" s="32"/>
      <c r="F110" s="32"/>
      <c r="G110" s="32"/>
      <c r="H110" s="32"/>
      <c r="I110" s="32"/>
      <c r="J110" s="32"/>
      <c r="K110" s="32"/>
      <c r="L110" s="32"/>
      <c r="M110" s="32"/>
      <c r="N110" s="32"/>
      <c r="O110" s="32"/>
      <c r="P110" s="32"/>
      <c r="Q110" s="32"/>
      <c r="R110" s="32"/>
      <c r="S110" s="32"/>
      <c r="T110" s="32"/>
      <c r="U110" s="32"/>
      <c r="V110" s="770">
        <v>106.0</v>
      </c>
      <c r="W110" s="252">
        <f t="shared" si="24"/>
        <v>0</v>
      </c>
      <c r="X110" s="252">
        <f t="shared" ref="X110:BA110" si="94">IF(AND(X$39-$A110&gt;$V$26,SUM($W110:W110)&lt;&gt;$V110),$V110,0)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106</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850">
        <v>2001.0</v>
      </c>
      <c r="B111" s="32"/>
      <c r="C111" s="32"/>
      <c r="D111" s="32"/>
      <c r="E111" s="32"/>
      <c r="F111" s="32"/>
      <c r="G111" s="32"/>
      <c r="H111" s="32"/>
      <c r="I111" s="32"/>
      <c r="J111" s="32"/>
      <c r="K111" s="32"/>
      <c r="L111" s="32"/>
      <c r="M111" s="32"/>
      <c r="N111" s="32"/>
      <c r="O111" s="32"/>
      <c r="P111" s="32"/>
      <c r="Q111" s="32"/>
      <c r="R111" s="32"/>
      <c r="S111" s="32"/>
      <c r="T111" s="32"/>
      <c r="U111" s="32"/>
      <c r="V111" s="770">
        <v>28.2</v>
      </c>
      <c r="W111" s="252">
        <f t="shared" si="24"/>
        <v>0</v>
      </c>
      <c r="X111" s="252">
        <f t="shared" ref="X111:BA111" si="95">IF(AND(X$39-$A111&gt;$V$26,SUM($W111:W111)&lt;&gt;$V111),$V111,0)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28.2</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850">
        <v>2002.0</v>
      </c>
      <c r="B112" s="32"/>
      <c r="C112" s="32"/>
      <c r="D112" s="32"/>
      <c r="E112" s="32"/>
      <c r="F112" s="32"/>
      <c r="G112" s="32"/>
      <c r="H112" s="32"/>
      <c r="I112" s="32"/>
      <c r="J112" s="32"/>
      <c r="K112" s="32"/>
      <c r="L112" s="32"/>
      <c r="M112" s="32"/>
      <c r="N112" s="32"/>
      <c r="O112" s="32"/>
      <c r="P112" s="32"/>
      <c r="Q112" s="32"/>
      <c r="R112" s="32"/>
      <c r="S112" s="32"/>
      <c r="T112" s="32"/>
      <c r="U112" s="32"/>
      <c r="V112" s="770">
        <v>19.4</v>
      </c>
      <c r="W112" s="252">
        <f t="shared" si="24"/>
        <v>0</v>
      </c>
      <c r="X112" s="252">
        <f t="shared" ref="X112:BA112" si="96">IF(AND(X$39-$A112&gt;$V$26,SUM($W112:W112)&lt;&gt;$V112),$V112,0)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19.4</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850">
        <v>2003.0</v>
      </c>
      <c r="B113" s="32"/>
      <c r="C113" s="32"/>
      <c r="D113" s="32"/>
      <c r="E113" s="32"/>
      <c r="F113" s="32"/>
      <c r="G113" s="32"/>
      <c r="H113" s="32"/>
      <c r="I113" s="32"/>
      <c r="J113" s="32"/>
      <c r="K113" s="32"/>
      <c r="L113" s="32"/>
      <c r="M113" s="32"/>
      <c r="N113" s="32"/>
      <c r="O113" s="32"/>
      <c r="P113" s="32"/>
      <c r="Q113" s="32"/>
      <c r="R113" s="32"/>
      <c r="S113" s="32"/>
      <c r="T113" s="32"/>
      <c r="U113" s="32"/>
      <c r="V113" s="770">
        <v>24.6</v>
      </c>
      <c r="W113" s="252">
        <f t="shared" si="24"/>
        <v>0</v>
      </c>
      <c r="X113" s="252">
        <f t="shared" ref="X113:BA113" si="97">IF(AND(X$39-$A113&gt;$V$26,SUM($W113:W113)&lt;&gt;$V113),$V113,0)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24.6</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850">
        <v>2004.0</v>
      </c>
      <c r="B114" s="32"/>
      <c r="C114" s="32"/>
      <c r="D114" s="32"/>
      <c r="E114" s="32"/>
      <c r="F114" s="32"/>
      <c r="G114" s="32"/>
      <c r="H114" s="32"/>
      <c r="I114" s="32"/>
      <c r="J114" s="32"/>
      <c r="K114" s="32"/>
      <c r="L114" s="32"/>
      <c r="M114" s="32"/>
      <c r="N114" s="32"/>
      <c r="O114" s="32"/>
      <c r="P114" s="32"/>
      <c r="Q114" s="32"/>
      <c r="R114" s="32"/>
      <c r="S114" s="32"/>
      <c r="T114" s="32"/>
      <c r="U114" s="32"/>
      <c r="V114" s="770">
        <v>16.9</v>
      </c>
      <c r="W114" s="252">
        <f t="shared" si="24"/>
        <v>0</v>
      </c>
      <c r="X114" s="252">
        <f t="shared" ref="X114:BA114" si="98">IF(AND(X$39-$A114&gt;$V$26,SUM($W114:W114)&lt;&gt;$V114),$V114,0)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16.9</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850">
        <v>2005.0</v>
      </c>
      <c r="B115" s="32"/>
      <c r="C115" s="32"/>
      <c r="D115" s="32"/>
      <c r="E115" s="32"/>
      <c r="F115" s="32"/>
      <c r="G115" s="32"/>
      <c r="H115" s="32"/>
      <c r="I115" s="32"/>
      <c r="J115" s="32"/>
      <c r="K115" s="32"/>
      <c r="L115" s="32"/>
      <c r="M115" s="32"/>
      <c r="N115" s="32"/>
      <c r="O115" s="32"/>
      <c r="P115" s="32"/>
      <c r="Q115" s="32"/>
      <c r="R115" s="32"/>
      <c r="S115" s="32"/>
      <c r="T115" s="32"/>
      <c r="U115" s="32"/>
      <c r="V115" s="770">
        <v>19.0</v>
      </c>
      <c r="W115" s="252">
        <f t="shared" si="24"/>
        <v>0</v>
      </c>
      <c r="X115" s="252">
        <f t="shared" ref="X115:BA115" si="99">IF(AND(X$39-$A115&gt;$V$26,SUM($W115:W115)&lt;&gt;$V115),$V115,0)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19</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850">
        <v>2006.0</v>
      </c>
      <c r="B116" s="32"/>
      <c r="C116" s="32"/>
      <c r="D116" s="32"/>
      <c r="E116" s="32"/>
      <c r="F116" s="32"/>
      <c r="G116" s="32"/>
      <c r="H116" s="32"/>
      <c r="I116" s="32"/>
      <c r="J116" s="32"/>
      <c r="K116" s="32"/>
      <c r="L116" s="32"/>
      <c r="M116" s="32"/>
      <c r="N116" s="32"/>
      <c r="O116" s="32"/>
      <c r="P116" s="32"/>
      <c r="Q116" s="32"/>
      <c r="R116" s="32"/>
      <c r="S116" s="32"/>
      <c r="T116" s="32"/>
      <c r="U116" s="32"/>
      <c r="V116" s="770">
        <v>23.4</v>
      </c>
      <c r="W116" s="252">
        <f t="shared" si="24"/>
        <v>0</v>
      </c>
      <c r="X116" s="252">
        <f t="shared" ref="X116:BA116" si="100">IF(AND(X$39-$A116&gt;$V$26,SUM($W116:W116)&lt;&gt;$V116),$V116,0)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23.4</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850">
        <v>2007.0</v>
      </c>
      <c r="B117" s="32"/>
      <c r="C117" s="32"/>
      <c r="D117" s="32"/>
      <c r="E117" s="32"/>
      <c r="F117" s="32"/>
      <c r="G117" s="32"/>
      <c r="H117" s="32"/>
      <c r="I117" s="32"/>
      <c r="J117" s="32"/>
      <c r="K117" s="32"/>
      <c r="L117" s="32"/>
      <c r="M117" s="32"/>
      <c r="N117" s="32"/>
      <c r="O117" s="32"/>
      <c r="P117" s="32"/>
      <c r="Q117" s="32"/>
      <c r="R117" s="32"/>
      <c r="S117" s="32"/>
      <c r="T117" s="32"/>
      <c r="U117" s="32"/>
      <c r="V117" s="770">
        <v>23.2</v>
      </c>
      <c r="W117" s="252">
        <f t="shared" si="24"/>
        <v>0</v>
      </c>
      <c r="X117" s="252">
        <f t="shared" ref="X117:BA117" si="101">IF(AND(X$39-$A117&gt;$V$26,SUM($W117:W117)&lt;&gt;$V117),$V117,0)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23.2</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850">
        <v>2008.0</v>
      </c>
      <c r="B118" s="32"/>
      <c r="C118" s="32"/>
      <c r="D118" s="32"/>
      <c r="E118" s="32"/>
      <c r="F118" s="32"/>
      <c r="G118" s="32"/>
      <c r="H118" s="32"/>
      <c r="I118" s="32"/>
      <c r="J118" s="32"/>
      <c r="K118" s="32"/>
      <c r="L118" s="32"/>
      <c r="M118" s="32"/>
      <c r="N118" s="32"/>
      <c r="O118" s="32"/>
      <c r="P118" s="32"/>
      <c r="Q118" s="32"/>
      <c r="R118" s="32"/>
      <c r="S118" s="32"/>
      <c r="T118" s="32"/>
      <c r="U118" s="32"/>
      <c r="V118" s="770">
        <v>10.1</v>
      </c>
      <c r="W118" s="252">
        <f t="shared" si="24"/>
        <v>0</v>
      </c>
      <c r="X118" s="252">
        <f t="shared" ref="X118:BA118" si="102">IF(AND(X$39-$A118&gt;$V$26,SUM($W118:W118)&lt;&gt;$V118),$V118,0)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10.1</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850">
        <v>2009.0</v>
      </c>
      <c r="B119" s="32"/>
      <c r="C119" s="32"/>
      <c r="D119" s="32"/>
      <c r="E119" s="32"/>
      <c r="F119" s="32"/>
      <c r="G119" s="32"/>
      <c r="H119" s="32"/>
      <c r="I119" s="32"/>
      <c r="J119" s="32"/>
      <c r="K119" s="32"/>
      <c r="L119" s="32"/>
      <c r="M119" s="32"/>
      <c r="N119" s="32"/>
      <c r="O119" s="32"/>
      <c r="P119" s="32"/>
      <c r="Q119" s="32"/>
      <c r="R119" s="32"/>
      <c r="S119" s="32"/>
      <c r="T119" s="32"/>
      <c r="U119" s="32"/>
      <c r="V119" s="770">
        <v>1.3</v>
      </c>
      <c r="W119" s="252">
        <f t="shared" si="24"/>
        <v>0</v>
      </c>
      <c r="X119" s="252">
        <f t="shared" ref="X119:BA119" si="103">IF(AND(X$39-$A119&gt;$V$26,SUM($W119:W119)&lt;&gt;$V119),$V119,0)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1.3</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850">
        <v>2010.0</v>
      </c>
      <c r="B120" s="32"/>
      <c r="C120" s="32"/>
      <c r="D120" s="32"/>
      <c r="E120" s="32"/>
      <c r="F120" s="32"/>
      <c r="G120" s="32"/>
      <c r="H120" s="32"/>
      <c r="I120" s="32"/>
      <c r="J120" s="32"/>
      <c r="K120" s="32"/>
      <c r="L120" s="32"/>
      <c r="M120" s="32"/>
      <c r="N120" s="32"/>
      <c r="O120" s="32"/>
      <c r="P120" s="32"/>
      <c r="Q120" s="32"/>
      <c r="R120" s="32"/>
      <c r="S120" s="32"/>
      <c r="T120" s="32"/>
      <c r="U120" s="32"/>
      <c r="V120" s="770">
        <v>0.0</v>
      </c>
      <c r="W120" s="252">
        <f t="shared" si="24"/>
        <v>0</v>
      </c>
      <c r="X120" s="252">
        <f t="shared" ref="X120:BA120" si="104">IF(AND(X$39-$A120&gt;$V$26,SUM($W120:W120)&lt;&gt;$V120),$V120,0)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0</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850">
        <v>2011.0</v>
      </c>
      <c r="B121" s="32"/>
      <c r="C121" s="32"/>
      <c r="D121" s="32"/>
      <c r="E121" s="32"/>
      <c r="F121" s="32"/>
      <c r="G121" s="32"/>
      <c r="H121" s="32"/>
      <c r="I121" s="32"/>
      <c r="J121" s="32"/>
      <c r="K121" s="32"/>
      <c r="L121" s="32"/>
      <c r="M121" s="32"/>
      <c r="N121" s="32"/>
      <c r="O121" s="32"/>
      <c r="P121" s="32"/>
      <c r="Q121" s="32"/>
      <c r="R121" s="32"/>
      <c r="S121" s="32"/>
      <c r="T121" s="32"/>
      <c r="U121" s="32"/>
      <c r="V121" s="770">
        <v>10.5</v>
      </c>
      <c r="W121" s="252">
        <f t="shared" si="24"/>
        <v>0</v>
      </c>
      <c r="X121" s="252">
        <f t="shared" ref="X121:BA121" si="105">IF(AND(X$39-$A121&gt;$V$26,SUM($W121:W121)&lt;&gt;$V121),$V121,0)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10.5</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50">
        <v>2012.0</v>
      </c>
      <c r="B122" s="32"/>
      <c r="C122" s="32"/>
      <c r="D122" s="32"/>
      <c r="E122" s="32"/>
      <c r="F122" s="32"/>
      <c r="G122" s="32"/>
      <c r="H122" s="32"/>
      <c r="I122" s="32"/>
      <c r="J122" s="32"/>
      <c r="K122" s="32"/>
      <c r="L122" s="32"/>
      <c r="M122" s="32"/>
      <c r="N122" s="32"/>
      <c r="O122" s="32"/>
      <c r="P122" s="32"/>
      <c r="Q122" s="32"/>
      <c r="R122" s="32"/>
      <c r="S122" s="32"/>
      <c r="T122" s="32"/>
      <c r="U122" s="32"/>
      <c r="V122" s="770">
        <v>3.6</v>
      </c>
      <c r="W122" s="252">
        <f t="shared" si="24"/>
        <v>0</v>
      </c>
      <c r="X122" s="252">
        <f t="shared" ref="X122:BA122" si="106">IF(AND(X$39-$A122&gt;$V$26,SUM($W122:W122)&lt;&gt;$V122),$V122,0)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3.6</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50">
        <v>2013.0</v>
      </c>
      <c r="B123" s="32"/>
      <c r="C123" s="32"/>
      <c r="D123" s="32"/>
      <c r="E123" s="32"/>
      <c r="F123" s="32"/>
      <c r="G123" s="32"/>
      <c r="H123" s="32"/>
      <c r="I123" s="32"/>
      <c r="J123" s="32"/>
      <c r="K123" s="32"/>
      <c r="L123" s="32"/>
      <c r="M123" s="32"/>
      <c r="N123" s="32"/>
      <c r="O123" s="32"/>
      <c r="P123" s="32"/>
      <c r="Q123" s="32"/>
      <c r="R123" s="32"/>
      <c r="S123" s="32"/>
      <c r="T123" s="32"/>
      <c r="U123" s="32"/>
      <c r="V123" s="770">
        <v>19.9</v>
      </c>
      <c r="W123" s="252">
        <f t="shared" si="24"/>
        <v>0</v>
      </c>
      <c r="X123" s="252">
        <f t="shared" ref="X123:BA123" si="107">IF(AND(X$39-$A123&gt;$V$26,SUM($W123:W123)&lt;&gt;$V123),$V123,0)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19.9</v>
      </c>
      <c r="AV123" s="252">
        <f t="shared" si="107"/>
        <v>0</v>
      </c>
      <c r="AW123" s="252">
        <f t="shared" si="107"/>
        <v>0</v>
      </c>
      <c r="AX123" s="252">
        <f t="shared" si="107"/>
        <v>0</v>
      </c>
      <c r="AY123" s="252">
        <f t="shared" si="107"/>
        <v>0</v>
      </c>
      <c r="AZ123" s="252">
        <f t="shared" si="107"/>
        <v>0</v>
      </c>
      <c r="BA123" s="252">
        <f t="shared" si="107"/>
        <v>0</v>
      </c>
    </row>
    <row r="124" ht="15.75" customHeight="1">
      <c r="A124" s="850">
        <v>2014.0</v>
      </c>
      <c r="B124" s="32"/>
      <c r="C124" s="32"/>
      <c r="D124" s="32"/>
      <c r="E124" s="32"/>
      <c r="F124" s="32"/>
      <c r="G124" s="32"/>
      <c r="H124" s="32"/>
      <c r="I124" s="32"/>
      <c r="J124" s="32"/>
      <c r="K124" s="32"/>
      <c r="L124" s="32"/>
      <c r="M124" s="32"/>
      <c r="N124" s="32"/>
      <c r="O124" s="32"/>
      <c r="P124" s="32"/>
      <c r="Q124" s="32"/>
      <c r="R124" s="32"/>
      <c r="S124" s="32"/>
      <c r="T124" s="32"/>
      <c r="U124" s="32"/>
      <c r="V124" s="770">
        <v>1.2</v>
      </c>
      <c r="W124" s="252">
        <f t="shared" si="24"/>
        <v>0</v>
      </c>
      <c r="X124" s="252">
        <f t="shared" ref="X124:BA124" si="108">IF(AND(X$39-$A124&gt;$V$26,SUM($W124:W124)&lt;&gt;$V124),$V124,0)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1.2</v>
      </c>
      <c r="AW124" s="252">
        <f t="shared" si="108"/>
        <v>0</v>
      </c>
      <c r="AX124" s="252">
        <f t="shared" si="108"/>
        <v>0</v>
      </c>
      <c r="AY124" s="252">
        <f t="shared" si="108"/>
        <v>0</v>
      </c>
      <c r="AZ124" s="252">
        <f t="shared" si="108"/>
        <v>0</v>
      </c>
      <c r="BA124" s="252">
        <f t="shared" si="108"/>
        <v>0</v>
      </c>
    </row>
    <row r="125" ht="15.75" customHeight="1">
      <c r="A125" s="850">
        <v>2015.0</v>
      </c>
      <c r="B125" s="32"/>
      <c r="C125" s="32"/>
      <c r="D125" s="32"/>
      <c r="E125" s="32"/>
      <c r="F125" s="32"/>
      <c r="G125" s="32"/>
      <c r="H125" s="32"/>
      <c r="I125" s="32"/>
      <c r="J125" s="32"/>
      <c r="K125" s="32"/>
      <c r="L125" s="32"/>
      <c r="M125" s="32"/>
      <c r="N125" s="32"/>
      <c r="O125" s="32"/>
      <c r="P125" s="32"/>
      <c r="Q125" s="32"/>
      <c r="R125" s="32"/>
      <c r="S125" s="32"/>
      <c r="T125" s="32"/>
      <c r="U125" s="32"/>
      <c r="V125" s="770">
        <v>0.7</v>
      </c>
      <c r="W125" s="252">
        <f t="shared" si="24"/>
        <v>0</v>
      </c>
      <c r="X125" s="252">
        <f t="shared" ref="X125:BA125" si="109">IF(AND(X$39-$A125&gt;$V$26,SUM($W125:W125)&lt;&gt;$V125),$V125,0)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0.7</v>
      </c>
      <c r="AX125" s="252">
        <f t="shared" si="109"/>
        <v>0</v>
      </c>
      <c r="AY125" s="252">
        <f t="shared" si="109"/>
        <v>0</v>
      </c>
      <c r="AZ125" s="252">
        <f t="shared" si="109"/>
        <v>0</v>
      </c>
      <c r="BA125" s="252">
        <f t="shared" si="109"/>
        <v>0</v>
      </c>
    </row>
    <row r="126" ht="15.75" customHeight="1">
      <c r="A126" s="850">
        <v>2016.0</v>
      </c>
      <c r="B126" s="32"/>
      <c r="C126" s="32"/>
      <c r="D126" s="32"/>
      <c r="E126" s="32"/>
      <c r="F126" s="32"/>
      <c r="G126" s="32"/>
      <c r="H126" s="32"/>
      <c r="I126" s="32"/>
      <c r="J126" s="32"/>
      <c r="K126" s="32"/>
      <c r="L126" s="32"/>
      <c r="M126" s="32"/>
      <c r="N126" s="32"/>
      <c r="O126" s="32"/>
      <c r="P126" s="32"/>
      <c r="Q126" s="32"/>
      <c r="R126" s="32"/>
      <c r="S126" s="32"/>
      <c r="T126" s="32"/>
      <c r="U126" s="32"/>
      <c r="V126" s="770">
        <v>0.0</v>
      </c>
      <c r="W126" s="252">
        <f t="shared" si="24"/>
        <v>0</v>
      </c>
      <c r="X126" s="252">
        <f t="shared" ref="X126:BA126" si="110">IF(AND(X$39-$A126&gt;$V$26,SUM($W126:W126)&lt;&gt;$V126),$V126,0)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0</v>
      </c>
      <c r="AY126" s="252">
        <f t="shared" si="110"/>
        <v>0</v>
      </c>
      <c r="AZ126" s="252">
        <f t="shared" si="110"/>
        <v>0</v>
      </c>
      <c r="BA126" s="252">
        <f t="shared" si="110"/>
        <v>0</v>
      </c>
    </row>
    <row r="127" ht="15.75" customHeight="1">
      <c r="A127" s="850">
        <v>2017.0</v>
      </c>
      <c r="B127" s="32"/>
      <c r="C127" s="32"/>
      <c r="D127" s="32"/>
      <c r="E127" s="32"/>
      <c r="F127" s="32"/>
      <c r="G127" s="32"/>
      <c r="H127" s="32"/>
      <c r="I127" s="32"/>
      <c r="J127" s="32"/>
      <c r="K127" s="32"/>
      <c r="L127" s="32"/>
      <c r="M127" s="32"/>
      <c r="N127" s="32"/>
      <c r="O127" s="32"/>
      <c r="P127" s="32"/>
      <c r="Q127" s="32"/>
      <c r="R127" s="32"/>
      <c r="S127" s="32"/>
      <c r="T127" s="32"/>
      <c r="U127" s="32"/>
      <c r="V127" s="770">
        <v>0.0</v>
      </c>
      <c r="W127" s="252">
        <f t="shared" si="24"/>
        <v>0</v>
      </c>
      <c r="X127" s="252">
        <f t="shared" ref="X127:BA127" si="111">IF(AND(X$39-$A127&gt;$V$26,SUM($W127:W127)&lt;&gt;$V127),$V127,0)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0</v>
      </c>
      <c r="AZ127" s="252">
        <f t="shared" si="111"/>
        <v>0</v>
      </c>
      <c r="BA127" s="252">
        <f t="shared" si="111"/>
        <v>0</v>
      </c>
    </row>
    <row r="128" ht="15.75" customHeight="1">
      <c r="A128" s="850">
        <v>2018.0</v>
      </c>
      <c r="B128" s="32"/>
      <c r="C128" s="32"/>
      <c r="D128" s="32"/>
      <c r="E128" s="32"/>
      <c r="F128" s="32"/>
      <c r="G128" s="32"/>
      <c r="H128" s="32"/>
      <c r="I128" s="32"/>
      <c r="J128" s="32"/>
      <c r="K128" s="32"/>
      <c r="L128" s="32"/>
      <c r="M128" s="32"/>
      <c r="N128" s="32"/>
      <c r="O128" s="32"/>
      <c r="P128" s="32"/>
      <c r="Q128" s="32"/>
      <c r="R128" s="32"/>
      <c r="S128" s="32"/>
      <c r="T128" s="32"/>
      <c r="U128" s="32"/>
      <c r="V128" s="770">
        <v>0.0</v>
      </c>
      <c r="W128" s="252">
        <f t="shared" si="24"/>
        <v>0</v>
      </c>
      <c r="X128" s="252">
        <f t="shared" ref="X128:BA128" si="112">IF(AND(X$39-$A128&gt;$V$26,SUM($W128:W128)&lt;&gt;$V128),$V128,0)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0</v>
      </c>
      <c r="BA128" s="252">
        <f t="shared" si="112"/>
        <v>0</v>
      </c>
    </row>
    <row r="129" ht="15.75" customHeight="1">
      <c r="A129" s="850">
        <v>2019.0</v>
      </c>
      <c r="B129" s="32"/>
      <c r="C129" s="32"/>
      <c r="D129" s="32"/>
      <c r="E129" s="32"/>
      <c r="F129" s="32"/>
      <c r="G129" s="32"/>
      <c r="H129" s="32"/>
      <c r="I129" s="32"/>
      <c r="J129" s="32"/>
      <c r="K129" s="32"/>
      <c r="L129" s="32"/>
      <c r="M129" s="32"/>
      <c r="N129" s="32"/>
      <c r="O129" s="32"/>
      <c r="P129" s="32"/>
      <c r="Q129" s="32"/>
      <c r="R129" s="32"/>
      <c r="S129" s="32"/>
      <c r="T129" s="32"/>
      <c r="U129" s="32"/>
      <c r="V129" s="770">
        <v>0.0</v>
      </c>
      <c r="W129" s="252">
        <f t="shared" si="24"/>
        <v>0</v>
      </c>
      <c r="X129" s="252">
        <f t="shared" ref="X129:BA129" si="113">IF(AND(X$39-$A129&gt;$V$26,SUM($W129:W129)&lt;&gt;$V129),$V129,0)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68">
        <v>2020.0</v>
      </c>
      <c r="B130" s="32"/>
      <c r="C130" s="32"/>
      <c r="D130" s="32"/>
      <c r="E130" s="32"/>
      <c r="F130" s="32"/>
      <c r="G130" s="32"/>
      <c r="H130" s="32"/>
      <c r="I130" s="32"/>
      <c r="J130" s="32"/>
      <c r="K130" s="32"/>
      <c r="L130" s="32"/>
      <c r="M130" s="32"/>
      <c r="N130" s="32"/>
      <c r="O130" s="32"/>
      <c r="P130" s="32"/>
      <c r="Q130" s="32"/>
      <c r="R130" s="32"/>
      <c r="S130" s="32"/>
      <c r="T130" s="32"/>
      <c r="U130" s="745" t="s">
        <v>1016</v>
      </c>
      <c r="V130" s="869">
        <f t="array" ref="V130:V160">transpose(Model!W2253:BA2253)</f>
        <v>0</v>
      </c>
      <c r="W130" s="252">
        <f t="shared" si="24"/>
        <v>0</v>
      </c>
      <c r="X130" s="252">
        <f t="shared" ref="X130:BA130" si="114">IF(AND(X$39-$A130&gt;$V$26,SUM($W130:W130)&lt;&gt;$V130),$V130,0)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68">
        <v>2021.0</v>
      </c>
      <c r="U131" s="745" t="s">
        <v>1017</v>
      </c>
      <c r="V131" s="483">
        <v>0.0</v>
      </c>
      <c r="W131" s="252">
        <f t="shared" si="24"/>
        <v>0</v>
      </c>
      <c r="X131" s="252">
        <f t="shared" ref="X131:BA131" si="115">IF(AND(X$39-$A131&gt;$V$26,SUM($W131:W131)&lt;&gt;$V131),$V131,0)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68">
        <v>2022.0</v>
      </c>
      <c r="U132" s="745" t="s">
        <v>1018</v>
      </c>
      <c r="V132" s="483">
        <v>0.0</v>
      </c>
      <c r="W132" s="252">
        <f t="shared" si="24"/>
        <v>0</v>
      </c>
      <c r="X132" s="252">
        <f t="shared" ref="X132:BA132" si="116">IF(AND(X$39-$A132&gt;$V$26,SUM($W132:W132)&lt;&gt;$V132),$V132,0)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68">
        <v>2023.0</v>
      </c>
      <c r="U133" s="745" t="s">
        <v>1019</v>
      </c>
      <c r="V133" s="483">
        <v>0.0</v>
      </c>
      <c r="W133" s="252">
        <f t="shared" si="24"/>
        <v>0</v>
      </c>
      <c r="X133" s="252">
        <f t="shared" ref="X133:BA133" si="117">IF(AND(X$39-$A133&gt;$V$26,SUM($W133:W133)&lt;&gt;$V133),$V133,0)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68">
        <v>2024.0</v>
      </c>
      <c r="V134" s="483">
        <v>0.0</v>
      </c>
      <c r="W134" s="252">
        <f t="shared" si="24"/>
        <v>0</v>
      </c>
      <c r="X134" s="252">
        <f t="shared" ref="X134:BA134" si="118">IF(AND(X$39-$A134&gt;$V$26,SUM($W134:W134)&lt;&gt;$V134),$V134,0)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68">
        <v>2025.0</v>
      </c>
      <c r="V135" s="483">
        <v>0.0</v>
      </c>
      <c r="W135" s="252">
        <f t="shared" si="24"/>
        <v>0</v>
      </c>
      <c r="X135" s="252">
        <f t="shared" ref="X135:BA135" si="119">IF(AND(X$39-$A135&gt;$V$26,SUM($W135:W135)&lt;&gt;$V135),$V135,0)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68">
        <v>2026.0</v>
      </c>
      <c r="V136" s="483">
        <v>0.0</v>
      </c>
      <c r="W136" s="252">
        <f t="shared" si="24"/>
        <v>0</v>
      </c>
      <c r="X136" s="252">
        <f t="shared" ref="X136:BA136" si="120">IF(AND(X$39-$A136&gt;$V$26,SUM($W136:W136)&lt;&gt;$V136),$V136,0)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68">
        <v>2027.0</v>
      </c>
      <c r="V137" s="483">
        <v>0.0</v>
      </c>
      <c r="W137" s="252">
        <f t="shared" si="24"/>
        <v>0</v>
      </c>
      <c r="X137" s="252">
        <f t="shared" ref="X137:BA137" si="121">IF(AND(X$39-$A137&gt;$V$26,SUM($W137:W137)&lt;&gt;$V137),$V137,0)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c r="A138" s="868">
        <v>2028.0</v>
      </c>
      <c r="V138" s="483">
        <v>0.0</v>
      </c>
      <c r="W138" s="252">
        <f t="shared" si="24"/>
        <v>0</v>
      </c>
      <c r="X138" s="252">
        <f t="shared" ref="X138:BA138" si="122">IF(AND(X$39-$A138&gt;$V$26,SUM($W138:W138)&lt;&gt;$V138),$V138,0)</f>
        <v>0</v>
      </c>
      <c r="Y138" s="252">
        <f t="shared" si="122"/>
        <v>0</v>
      </c>
      <c r="Z138" s="252">
        <f t="shared" si="122"/>
        <v>0</v>
      </c>
      <c r="AA138" s="252">
        <f t="shared" si="122"/>
        <v>0</v>
      </c>
      <c r="AB138" s="252">
        <f t="shared" si="122"/>
        <v>0</v>
      </c>
      <c r="AC138" s="252">
        <f t="shared" si="122"/>
        <v>0</v>
      </c>
      <c r="AD138" s="252">
        <f t="shared" si="122"/>
        <v>0</v>
      </c>
      <c r="AE138" s="252">
        <f t="shared" si="122"/>
        <v>0</v>
      </c>
      <c r="AF138" s="252">
        <f t="shared" si="122"/>
        <v>0</v>
      </c>
      <c r="AG138" s="252">
        <f t="shared" si="122"/>
        <v>0</v>
      </c>
      <c r="AH138" s="252">
        <f t="shared" si="122"/>
        <v>0</v>
      </c>
      <c r="AI138" s="252">
        <f t="shared" si="122"/>
        <v>0</v>
      </c>
      <c r="AJ138" s="252">
        <f t="shared" si="122"/>
        <v>0</v>
      </c>
      <c r="AK138" s="252">
        <f t="shared" si="122"/>
        <v>0</v>
      </c>
      <c r="AL138" s="252">
        <f t="shared" si="122"/>
        <v>0</v>
      </c>
      <c r="AM138" s="252">
        <f t="shared" si="122"/>
        <v>0</v>
      </c>
      <c r="AN138" s="252">
        <f t="shared" si="122"/>
        <v>0</v>
      </c>
      <c r="AO138" s="252">
        <f t="shared" si="122"/>
        <v>0</v>
      </c>
      <c r="AP138" s="252">
        <f t="shared" si="122"/>
        <v>0</v>
      </c>
      <c r="AQ138" s="252">
        <f t="shared" si="122"/>
        <v>0</v>
      </c>
      <c r="AR138" s="252">
        <f t="shared" si="122"/>
        <v>0</v>
      </c>
      <c r="AS138" s="252">
        <f t="shared" si="122"/>
        <v>0</v>
      </c>
      <c r="AT138" s="252">
        <f t="shared" si="122"/>
        <v>0</v>
      </c>
      <c r="AU138" s="252">
        <f t="shared" si="122"/>
        <v>0</v>
      </c>
      <c r="AV138" s="252">
        <f t="shared" si="122"/>
        <v>0</v>
      </c>
      <c r="AW138" s="252">
        <f t="shared" si="122"/>
        <v>0</v>
      </c>
      <c r="AX138" s="252">
        <f t="shared" si="122"/>
        <v>0</v>
      </c>
      <c r="AY138" s="252">
        <f t="shared" si="122"/>
        <v>0</v>
      </c>
      <c r="AZ138" s="252">
        <f t="shared" si="122"/>
        <v>0</v>
      </c>
      <c r="BA138" s="252">
        <f t="shared" si="122"/>
        <v>0</v>
      </c>
    </row>
    <row r="139" ht="15.75" customHeight="1">
      <c r="A139" s="868">
        <v>2029.0</v>
      </c>
      <c r="V139" s="483">
        <v>0.0</v>
      </c>
      <c r="W139" s="252">
        <f t="shared" si="24"/>
        <v>0</v>
      </c>
      <c r="X139" s="252">
        <f t="shared" ref="X139:BA139" si="123">IF(AND(X$39-$A139&gt;$V$26,SUM($W139:W139)&lt;&gt;$V139),$V139,0)</f>
        <v>0</v>
      </c>
      <c r="Y139" s="252">
        <f t="shared" si="123"/>
        <v>0</v>
      </c>
      <c r="Z139" s="252">
        <f t="shared" si="123"/>
        <v>0</v>
      </c>
      <c r="AA139" s="252">
        <f t="shared" si="123"/>
        <v>0</v>
      </c>
      <c r="AB139" s="252">
        <f t="shared" si="123"/>
        <v>0</v>
      </c>
      <c r="AC139" s="252">
        <f t="shared" si="123"/>
        <v>0</v>
      </c>
      <c r="AD139" s="252">
        <f t="shared" si="123"/>
        <v>0</v>
      </c>
      <c r="AE139" s="252">
        <f t="shared" si="123"/>
        <v>0</v>
      </c>
      <c r="AF139" s="252">
        <f t="shared" si="123"/>
        <v>0</v>
      </c>
      <c r="AG139" s="252">
        <f t="shared" si="123"/>
        <v>0</v>
      </c>
      <c r="AH139" s="252">
        <f t="shared" si="123"/>
        <v>0</v>
      </c>
      <c r="AI139" s="252">
        <f t="shared" si="123"/>
        <v>0</v>
      </c>
      <c r="AJ139" s="252">
        <f t="shared" si="123"/>
        <v>0</v>
      </c>
      <c r="AK139" s="252">
        <f t="shared" si="123"/>
        <v>0</v>
      </c>
      <c r="AL139" s="252">
        <f t="shared" si="123"/>
        <v>0</v>
      </c>
      <c r="AM139" s="252">
        <f t="shared" si="123"/>
        <v>0</v>
      </c>
      <c r="AN139" s="252">
        <f t="shared" si="123"/>
        <v>0</v>
      </c>
      <c r="AO139" s="252">
        <f t="shared" si="123"/>
        <v>0</v>
      </c>
      <c r="AP139" s="252">
        <f t="shared" si="123"/>
        <v>0</v>
      </c>
      <c r="AQ139" s="252">
        <f t="shared" si="123"/>
        <v>0</v>
      </c>
      <c r="AR139" s="252">
        <f t="shared" si="123"/>
        <v>0</v>
      </c>
      <c r="AS139" s="252">
        <f t="shared" si="123"/>
        <v>0</v>
      </c>
      <c r="AT139" s="252">
        <f t="shared" si="123"/>
        <v>0</v>
      </c>
      <c r="AU139" s="252">
        <f t="shared" si="123"/>
        <v>0</v>
      </c>
      <c r="AV139" s="252">
        <f t="shared" si="123"/>
        <v>0</v>
      </c>
      <c r="AW139" s="252">
        <f t="shared" si="123"/>
        <v>0</v>
      </c>
      <c r="AX139" s="252">
        <f t="shared" si="123"/>
        <v>0</v>
      </c>
      <c r="AY139" s="252">
        <f t="shared" si="123"/>
        <v>0</v>
      </c>
      <c r="AZ139" s="252">
        <f t="shared" si="123"/>
        <v>0</v>
      </c>
      <c r="BA139" s="252">
        <f t="shared" si="123"/>
        <v>0</v>
      </c>
    </row>
    <row r="140" ht="15.75" customHeight="1">
      <c r="A140" s="868">
        <v>2030.0</v>
      </c>
      <c r="V140" s="483">
        <v>0.0</v>
      </c>
      <c r="W140" s="252">
        <f t="shared" si="24"/>
        <v>0</v>
      </c>
      <c r="X140" s="252">
        <f t="shared" ref="X140:BA140" si="124">IF(AND(X$39-$A140&gt;$V$26,SUM($W140:W140)&lt;&gt;$V140),$V140,0)</f>
        <v>0</v>
      </c>
      <c r="Y140" s="252">
        <f t="shared" si="124"/>
        <v>0</v>
      </c>
      <c r="Z140" s="252">
        <f t="shared" si="124"/>
        <v>0</v>
      </c>
      <c r="AA140" s="252">
        <f t="shared" si="124"/>
        <v>0</v>
      </c>
      <c r="AB140" s="252">
        <f t="shared" si="124"/>
        <v>0</v>
      </c>
      <c r="AC140" s="252">
        <f t="shared" si="124"/>
        <v>0</v>
      </c>
      <c r="AD140" s="252">
        <f t="shared" si="124"/>
        <v>0</v>
      </c>
      <c r="AE140" s="252">
        <f t="shared" si="124"/>
        <v>0</v>
      </c>
      <c r="AF140" s="252">
        <f t="shared" si="124"/>
        <v>0</v>
      </c>
      <c r="AG140" s="252">
        <f t="shared" si="124"/>
        <v>0</v>
      </c>
      <c r="AH140" s="252">
        <f t="shared" si="124"/>
        <v>0</v>
      </c>
      <c r="AI140" s="252">
        <f t="shared" si="124"/>
        <v>0</v>
      </c>
      <c r="AJ140" s="252">
        <f t="shared" si="124"/>
        <v>0</v>
      </c>
      <c r="AK140" s="252">
        <f t="shared" si="124"/>
        <v>0</v>
      </c>
      <c r="AL140" s="252">
        <f t="shared" si="124"/>
        <v>0</v>
      </c>
      <c r="AM140" s="252">
        <f t="shared" si="124"/>
        <v>0</v>
      </c>
      <c r="AN140" s="252">
        <f t="shared" si="124"/>
        <v>0</v>
      </c>
      <c r="AO140" s="252">
        <f t="shared" si="124"/>
        <v>0</v>
      </c>
      <c r="AP140" s="252">
        <f t="shared" si="124"/>
        <v>0</v>
      </c>
      <c r="AQ140" s="252">
        <f t="shared" si="124"/>
        <v>0</v>
      </c>
      <c r="AR140" s="252">
        <f t="shared" si="124"/>
        <v>0</v>
      </c>
      <c r="AS140" s="252">
        <f t="shared" si="124"/>
        <v>0</v>
      </c>
      <c r="AT140" s="252">
        <f t="shared" si="124"/>
        <v>0</v>
      </c>
      <c r="AU140" s="252">
        <f t="shared" si="124"/>
        <v>0</v>
      </c>
      <c r="AV140" s="252">
        <f t="shared" si="124"/>
        <v>0</v>
      </c>
      <c r="AW140" s="252">
        <f t="shared" si="124"/>
        <v>0</v>
      </c>
      <c r="AX140" s="252">
        <f t="shared" si="124"/>
        <v>0</v>
      </c>
      <c r="AY140" s="252">
        <f t="shared" si="124"/>
        <v>0</v>
      </c>
      <c r="AZ140" s="252">
        <f t="shared" si="124"/>
        <v>0</v>
      </c>
      <c r="BA140" s="252">
        <f t="shared" si="124"/>
        <v>0</v>
      </c>
    </row>
    <row r="141" ht="15.75" customHeight="1">
      <c r="A141" s="868">
        <v>2031.0</v>
      </c>
      <c r="V141" s="483">
        <v>0.0</v>
      </c>
      <c r="W141" s="252">
        <f t="shared" si="24"/>
        <v>0</v>
      </c>
      <c r="X141" s="252">
        <f t="shared" ref="X141:BA141" si="125">IF(AND(X$39-$A141&gt;$V$26,SUM($W141:W141)&lt;&gt;$V141),$V141,0)</f>
        <v>0</v>
      </c>
      <c r="Y141" s="252">
        <f t="shared" si="125"/>
        <v>0</v>
      </c>
      <c r="Z141" s="252">
        <f t="shared" si="125"/>
        <v>0</v>
      </c>
      <c r="AA141" s="252">
        <f t="shared" si="125"/>
        <v>0</v>
      </c>
      <c r="AB141" s="252">
        <f t="shared" si="125"/>
        <v>0</v>
      </c>
      <c r="AC141" s="252">
        <f t="shared" si="125"/>
        <v>0</v>
      </c>
      <c r="AD141" s="252">
        <f t="shared" si="125"/>
        <v>0</v>
      </c>
      <c r="AE141" s="252">
        <f t="shared" si="125"/>
        <v>0</v>
      </c>
      <c r="AF141" s="252">
        <f t="shared" si="125"/>
        <v>0</v>
      </c>
      <c r="AG141" s="252">
        <f t="shared" si="125"/>
        <v>0</v>
      </c>
      <c r="AH141" s="252">
        <f t="shared" si="125"/>
        <v>0</v>
      </c>
      <c r="AI141" s="252">
        <f t="shared" si="125"/>
        <v>0</v>
      </c>
      <c r="AJ141" s="252">
        <f t="shared" si="125"/>
        <v>0</v>
      </c>
      <c r="AK141" s="252">
        <f t="shared" si="125"/>
        <v>0</v>
      </c>
      <c r="AL141" s="252">
        <f t="shared" si="125"/>
        <v>0</v>
      </c>
      <c r="AM141" s="252">
        <f t="shared" si="125"/>
        <v>0</v>
      </c>
      <c r="AN141" s="252">
        <f t="shared" si="125"/>
        <v>0</v>
      </c>
      <c r="AO141" s="252">
        <f t="shared" si="125"/>
        <v>0</v>
      </c>
      <c r="AP141" s="252">
        <f t="shared" si="125"/>
        <v>0</v>
      </c>
      <c r="AQ141" s="252">
        <f t="shared" si="125"/>
        <v>0</v>
      </c>
      <c r="AR141" s="252">
        <f t="shared" si="125"/>
        <v>0</v>
      </c>
      <c r="AS141" s="252">
        <f t="shared" si="125"/>
        <v>0</v>
      </c>
      <c r="AT141" s="252">
        <f t="shared" si="125"/>
        <v>0</v>
      </c>
      <c r="AU141" s="252">
        <f t="shared" si="125"/>
        <v>0</v>
      </c>
      <c r="AV141" s="252">
        <f t="shared" si="125"/>
        <v>0</v>
      </c>
      <c r="AW141" s="252">
        <f t="shared" si="125"/>
        <v>0</v>
      </c>
      <c r="AX141" s="252">
        <f t="shared" si="125"/>
        <v>0</v>
      </c>
      <c r="AY141" s="252">
        <f t="shared" si="125"/>
        <v>0</v>
      </c>
      <c r="AZ141" s="252">
        <f t="shared" si="125"/>
        <v>0</v>
      </c>
      <c r="BA141" s="252">
        <f t="shared" si="125"/>
        <v>0</v>
      </c>
    </row>
    <row r="142" ht="15.75" customHeight="1">
      <c r="A142" s="868">
        <v>2032.0</v>
      </c>
      <c r="V142" s="483">
        <v>0.0</v>
      </c>
      <c r="W142" s="252">
        <f t="shared" si="24"/>
        <v>0</v>
      </c>
      <c r="X142" s="252">
        <f t="shared" ref="X142:BA142" si="126">IF(AND(X$39-$A142&gt;$V$26,SUM($W142:W142)&lt;&gt;$V142),$V142,0)</f>
        <v>0</v>
      </c>
      <c r="Y142" s="252">
        <f t="shared" si="126"/>
        <v>0</v>
      </c>
      <c r="Z142" s="252">
        <f t="shared" si="126"/>
        <v>0</v>
      </c>
      <c r="AA142" s="252">
        <f t="shared" si="126"/>
        <v>0</v>
      </c>
      <c r="AB142" s="252">
        <f t="shared" si="126"/>
        <v>0</v>
      </c>
      <c r="AC142" s="252">
        <f t="shared" si="126"/>
        <v>0</v>
      </c>
      <c r="AD142" s="252">
        <f t="shared" si="126"/>
        <v>0</v>
      </c>
      <c r="AE142" s="252">
        <f t="shared" si="126"/>
        <v>0</v>
      </c>
      <c r="AF142" s="252">
        <f t="shared" si="126"/>
        <v>0</v>
      </c>
      <c r="AG142" s="252">
        <f t="shared" si="126"/>
        <v>0</v>
      </c>
      <c r="AH142" s="252">
        <f t="shared" si="126"/>
        <v>0</v>
      </c>
      <c r="AI142" s="252">
        <f t="shared" si="126"/>
        <v>0</v>
      </c>
      <c r="AJ142" s="252">
        <f t="shared" si="126"/>
        <v>0</v>
      </c>
      <c r="AK142" s="252">
        <f t="shared" si="126"/>
        <v>0</v>
      </c>
      <c r="AL142" s="252">
        <f t="shared" si="126"/>
        <v>0</v>
      </c>
      <c r="AM142" s="252">
        <f t="shared" si="126"/>
        <v>0</v>
      </c>
      <c r="AN142" s="252">
        <f t="shared" si="126"/>
        <v>0</v>
      </c>
      <c r="AO142" s="252">
        <f t="shared" si="126"/>
        <v>0</v>
      </c>
      <c r="AP142" s="252">
        <f t="shared" si="126"/>
        <v>0</v>
      </c>
      <c r="AQ142" s="252">
        <f t="shared" si="126"/>
        <v>0</v>
      </c>
      <c r="AR142" s="252">
        <f t="shared" si="126"/>
        <v>0</v>
      </c>
      <c r="AS142" s="252">
        <f t="shared" si="126"/>
        <v>0</v>
      </c>
      <c r="AT142" s="252">
        <f t="shared" si="126"/>
        <v>0</v>
      </c>
      <c r="AU142" s="252">
        <f t="shared" si="126"/>
        <v>0</v>
      </c>
      <c r="AV142" s="252">
        <f t="shared" si="126"/>
        <v>0</v>
      </c>
      <c r="AW142" s="252">
        <f t="shared" si="126"/>
        <v>0</v>
      </c>
      <c r="AX142" s="252">
        <f t="shared" si="126"/>
        <v>0</v>
      </c>
      <c r="AY142" s="252">
        <f t="shared" si="126"/>
        <v>0</v>
      </c>
      <c r="AZ142" s="252">
        <f t="shared" si="126"/>
        <v>0</v>
      </c>
      <c r="BA142" s="252">
        <f t="shared" si="126"/>
        <v>0</v>
      </c>
    </row>
    <row r="143" ht="15.75" customHeight="1">
      <c r="A143" s="868">
        <v>2033.0</v>
      </c>
      <c r="V143" s="483">
        <v>0.0</v>
      </c>
      <c r="W143" s="252">
        <f t="shared" si="24"/>
        <v>0</v>
      </c>
      <c r="X143" s="252">
        <f t="shared" ref="X143:BA143" si="127">IF(AND(X$39-$A143&gt;$V$26,SUM($W143:W143)&lt;&gt;$V143),$V143,0)</f>
        <v>0</v>
      </c>
      <c r="Y143" s="252">
        <f t="shared" si="127"/>
        <v>0</v>
      </c>
      <c r="Z143" s="252">
        <f t="shared" si="127"/>
        <v>0</v>
      </c>
      <c r="AA143" s="252">
        <f t="shared" si="127"/>
        <v>0</v>
      </c>
      <c r="AB143" s="252">
        <f t="shared" si="127"/>
        <v>0</v>
      </c>
      <c r="AC143" s="252">
        <f t="shared" si="127"/>
        <v>0</v>
      </c>
      <c r="AD143" s="252">
        <f t="shared" si="127"/>
        <v>0</v>
      </c>
      <c r="AE143" s="252">
        <f t="shared" si="127"/>
        <v>0</v>
      </c>
      <c r="AF143" s="252">
        <f t="shared" si="127"/>
        <v>0</v>
      </c>
      <c r="AG143" s="252">
        <f t="shared" si="127"/>
        <v>0</v>
      </c>
      <c r="AH143" s="252">
        <f t="shared" si="127"/>
        <v>0</v>
      </c>
      <c r="AI143" s="252">
        <f t="shared" si="127"/>
        <v>0</v>
      </c>
      <c r="AJ143" s="252">
        <f t="shared" si="127"/>
        <v>0</v>
      </c>
      <c r="AK143" s="252">
        <f t="shared" si="127"/>
        <v>0</v>
      </c>
      <c r="AL143" s="252">
        <f t="shared" si="127"/>
        <v>0</v>
      </c>
      <c r="AM143" s="252">
        <f t="shared" si="127"/>
        <v>0</v>
      </c>
      <c r="AN143" s="252">
        <f t="shared" si="127"/>
        <v>0</v>
      </c>
      <c r="AO143" s="252">
        <f t="shared" si="127"/>
        <v>0</v>
      </c>
      <c r="AP143" s="252">
        <f t="shared" si="127"/>
        <v>0</v>
      </c>
      <c r="AQ143" s="252">
        <f t="shared" si="127"/>
        <v>0</v>
      </c>
      <c r="AR143" s="252">
        <f t="shared" si="127"/>
        <v>0</v>
      </c>
      <c r="AS143" s="252">
        <f t="shared" si="127"/>
        <v>0</v>
      </c>
      <c r="AT143" s="252">
        <f t="shared" si="127"/>
        <v>0</v>
      </c>
      <c r="AU143" s="252">
        <f t="shared" si="127"/>
        <v>0</v>
      </c>
      <c r="AV143" s="252">
        <f t="shared" si="127"/>
        <v>0</v>
      </c>
      <c r="AW143" s="252">
        <f t="shared" si="127"/>
        <v>0</v>
      </c>
      <c r="AX143" s="252">
        <f t="shared" si="127"/>
        <v>0</v>
      </c>
      <c r="AY143" s="252">
        <f t="shared" si="127"/>
        <v>0</v>
      </c>
      <c r="AZ143" s="252">
        <f t="shared" si="127"/>
        <v>0</v>
      </c>
      <c r="BA143" s="252">
        <f t="shared" si="127"/>
        <v>0</v>
      </c>
    </row>
    <row r="144" ht="15.75" customHeight="1">
      <c r="A144" s="868">
        <v>2034.0</v>
      </c>
      <c r="V144" s="483">
        <v>0.0</v>
      </c>
      <c r="W144" s="252">
        <f t="shared" si="24"/>
        <v>0</v>
      </c>
      <c r="X144" s="252">
        <f t="shared" ref="X144:BA144" si="128">IF(AND(X$39-$A144&gt;$V$26,SUM($W144:W144)&lt;&gt;$V144),$V144,0)</f>
        <v>0</v>
      </c>
      <c r="Y144" s="252">
        <f t="shared" si="128"/>
        <v>0</v>
      </c>
      <c r="Z144" s="252">
        <f t="shared" si="128"/>
        <v>0</v>
      </c>
      <c r="AA144" s="252">
        <f t="shared" si="128"/>
        <v>0</v>
      </c>
      <c r="AB144" s="252">
        <f t="shared" si="128"/>
        <v>0</v>
      </c>
      <c r="AC144" s="252">
        <f t="shared" si="128"/>
        <v>0</v>
      </c>
      <c r="AD144" s="252">
        <f t="shared" si="128"/>
        <v>0</v>
      </c>
      <c r="AE144" s="252">
        <f t="shared" si="128"/>
        <v>0</v>
      </c>
      <c r="AF144" s="252">
        <f t="shared" si="128"/>
        <v>0</v>
      </c>
      <c r="AG144" s="252">
        <f t="shared" si="128"/>
        <v>0</v>
      </c>
      <c r="AH144" s="252">
        <f t="shared" si="128"/>
        <v>0</v>
      </c>
      <c r="AI144" s="252">
        <f t="shared" si="128"/>
        <v>0</v>
      </c>
      <c r="AJ144" s="252">
        <f t="shared" si="128"/>
        <v>0</v>
      </c>
      <c r="AK144" s="252">
        <f t="shared" si="128"/>
        <v>0</v>
      </c>
      <c r="AL144" s="252">
        <f t="shared" si="128"/>
        <v>0</v>
      </c>
      <c r="AM144" s="252">
        <f t="shared" si="128"/>
        <v>0</v>
      </c>
      <c r="AN144" s="252">
        <f t="shared" si="128"/>
        <v>0</v>
      </c>
      <c r="AO144" s="252">
        <f t="shared" si="128"/>
        <v>0</v>
      </c>
      <c r="AP144" s="252">
        <f t="shared" si="128"/>
        <v>0</v>
      </c>
      <c r="AQ144" s="252">
        <f t="shared" si="128"/>
        <v>0</v>
      </c>
      <c r="AR144" s="252">
        <f t="shared" si="128"/>
        <v>0</v>
      </c>
      <c r="AS144" s="252">
        <f t="shared" si="128"/>
        <v>0</v>
      </c>
      <c r="AT144" s="252">
        <f t="shared" si="128"/>
        <v>0</v>
      </c>
      <c r="AU144" s="252">
        <f t="shared" si="128"/>
        <v>0</v>
      </c>
      <c r="AV144" s="252">
        <f t="shared" si="128"/>
        <v>0</v>
      </c>
      <c r="AW144" s="252">
        <f t="shared" si="128"/>
        <v>0</v>
      </c>
      <c r="AX144" s="252">
        <f t="shared" si="128"/>
        <v>0</v>
      </c>
      <c r="AY144" s="252">
        <f t="shared" si="128"/>
        <v>0</v>
      </c>
      <c r="AZ144" s="252">
        <f t="shared" si="128"/>
        <v>0</v>
      </c>
      <c r="BA144" s="252">
        <f t="shared" si="128"/>
        <v>0</v>
      </c>
    </row>
    <row r="145" ht="15.75" customHeight="1">
      <c r="A145" s="868">
        <v>2035.0</v>
      </c>
      <c r="V145" s="483">
        <v>0.0</v>
      </c>
      <c r="W145" s="252">
        <f t="shared" si="24"/>
        <v>0</v>
      </c>
      <c r="X145" s="252">
        <f t="shared" ref="X145:BA145" si="129">IF(AND(X$39-$A145&gt;$V$26,SUM($W145:W145)&lt;&gt;$V145),$V145,0)</f>
        <v>0</v>
      </c>
      <c r="Y145" s="252">
        <f t="shared" si="129"/>
        <v>0</v>
      </c>
      <c r="Z145" s="252">
        <f t="shared" si="129"/>
        <v>0</v>
      </c>
      <c r="AA145" s="252">
        <f t="shared" si="129"/>
        <v>0</v>
      </c>
      <c r="AB145" s="252">
        <f t="shared" si="129"/>
        <v>0</v>
      </c>
      <c r="AC145" s="252">
        <f t="shared" si="129"/>
        <v>0</v>
      </c>
      <c r="AD145" s="252">
        <f t="shared" si="129"/>
        <v>0</v>
      </c>
      <c r="AE145" s="252">
        <f t="shared" si="129"/>
        <v>0</v>
      </c>
      <c r="AF145" s="252">
        <f t="shared" si="129"/>
        <v>0</v>
      </c>
      <c r="AG145" s="252">
        <f t="shared" si="129"/>
        <v>0</v>
      </c>
      <c r="AH145" s="252">
        <f t="shared" si="129"/>
        <v>0</v>
      </c>
      <c r="AI145" s="252">
        <f t="shared" si="129"/>
        <v>0</v>
      </c>
      <c r="AJ145" s="252">
        <f t="shared" si="129"/>
        <v>0</v>
      </c>
      <c r="AK145" s="252">
        <f t="shared" si="129"/>
        <v>0</v>
      </c>
      <c r="AL145" s="252">
        <f t="shared" si="129"/>
        <v>0</v>
      </c>
      <c r="AM145" s="252">
        <f t="shared" si="129"/>
        <v>0</v>
      </c>
      <c r="AN145" s="252">
        <f t="shared" si="129"/>
        <v>0</v>
      </c>
      <c r="AO145" s="252">
        <f t="shared" si="129"/>
        <v>0</v>
      </c>
      <c r="AP145" s="252">
        <f t="shared" si="129"/>
        <v>0</v>
      </c>
      <c r="AQ145" s="252">
        <f t="shared" si="129"/>
        <v>0</v>
      </c>
      <c r="AR145" s="252">
        <f t="shared" si="129"/>
        <v>0</v>
      </c>
      <c r="AS145" s="252">
        <f t="shared" si="129"/>
        <v>0</v>
      </c>
      <c r="AT145" s="252">
        <f t="shared" si="129"/>
        <v>0</v>
      </c>
      <c r="AU145" s="252">
        <f t="shared" si="129"/>
        <v>0</v>
      </c>
      <c r="AV145" s="252">
        <f t="shared" si="129"/>
        <v>0</v>
      </c>
      <c r="AW145" s="252">
        <f t="shared" si="129"/>
        <v>0</v>
      </c>
      <c r="AX145" s="252">
        <f t="shared" si="129"/>
        <v>0</v>
      </c>
      <c r="AY145" s="252">
        <f t="shared" si="129"/>
        <v>0</v>
      </c>
      <c r="AZ145" s="252">
        <f t="shared" si="129"/>
        <v>0</v>
      </c>
      <c r="BA145" s="252">
        <f t="shared" si="129"/>
        <v>0</v>
      </c>
    </row>
    <row r="146" ht="15.75" customHeight="1">
      <c r="A146" s="868">
        <v>2036.0</v>
      </c>
      <c r="V146" s="483">
        <v>0.0</v>
      </c>
      <c r="W146" s="252">
        <f t="shared" si="24"/>
        <v>0</v>
      </c>
      <c r="X146" s="252">
        <f t="shared" ref="X146:BA146" si="130">IF(AND(X$39-$A146&gt;$V$26,SUM($W146:W146)&lt;&gt;$V146),$V146,0)</f>
        <v>0</v>
      </c>
      <c r="Y146" s="252">
        <f t="shared" si="130"/>
        <v>0</v>
      </c>
      <c r="Z146" s="252">
        <f t="shared" si="130"/>
        <v>0</v>
      </c>
      <c r="AA146" s="252">
        <f t="shared" si="130"/>
        <v>0</v>
      </c>
      <c r="AB146" s="252">
        <f t="shared" si="130"/>
        <v>0</v>
      </c>
      <c r="AC146" s="252">
        <f t="shared" si="130"/>
        <v>0</v>
      </c>
      <c r="AD146" s="252">
        <f t="shared" si="130"/>
        <v>0</v>
      </c>
      <c r="AE146" s="252">
        <f t="shared" si="130"/>
        <v>0</v>
      </c>
      <c r="AF146" s="252">
        <f t="shared" si="130"/>
        <v>0</v>
      </c>
      <c r="AG146" s="252">
        <f t="shared" si="130"/>
        <v>0</v>
      </c>
      <c r="AH146" s="252">
        <f t="shared" si="130"/>
        <v>0</v>
      </c>
      <c r="AI146" s="252">
        <f t="shared" si="130"/>
        <v>0</v>
      </c>
      <c r="AJ146" s="252">
        <f t="shared" si="130"/>
        <v>0</v>
      </c>
      <c r="AK146" s="252">
        <f t="shared" si="130"/>
        <v>0</v>
      </c>
      <c r="AL146" s="252">
        <f t="shared" si="130"/>
        <v>0</v>
      </c>
      <c r="AM146" s="252">
        <f t="shared" si="130"/>
        <v>0</v>
      </c>
      <c r="AN146" s="252">
        <f t="shared" si="130"/>
        <v>0</v>
      </c>
      <c r="AO146" s="252">
        <f t="shared" si="130"/>
        <v>0</v>
      </c>
      <c r="AP146" s="252">
        <f t="shared" si="130"/>
        <v>0</v>
      </c>
      <c r="AQ146" s="252">
        <f t="shared" si="130"/>
        <v>0</v>
      </c>
      <c r="AR146" s="252">
        <f t="shared" si="130"/>
        <v>0</v>
      </c>
      <c r="AS146" s="252">
        <f t="shared" si="130"/>
        <v>0</v>
      </c>
      <c r="AT146" s="252">
        <f t="shared" si="130"/>
        <v>0</v>
      </c>
      <c r="AU146" s="252">
        <f t="shared" si="130"/>
        <v>0</v>
      </c>
      <c r="AV146" s="252">
        <f t="shared" si="130"/>
        <v>0</v>
      </c>
      <c r="AW146" s="252">
        <f t="shared" si="130"/>
        <v>0</v>
      </c>
      <c r="AX146" s="252">
        <f t="shared" si="130"/>
        <v>0</v>
      </c>
      <c r="AY146" s="252">
        <f t="shared" si="130"/>
        <v>0</v>
      </c>
      <c r="AZ146" s="252">
        <f t="shared" si="130"/>
        <v>0</v>
      </c>
      <c r="BA146" s="252">
        <f t="shared" si="130"/>
        <v>0</v>
      </c>
    </row>
    <row r="147" ht="15.75" customHeight="1">
      <c r="A147" s="868">
        <v>2037.0</v>
      </c>
      <c r="V147" s="483">
        <v>0.0</v>
      </c>
      <c r="W147" s="252">
        <f t="shared" si="24"/>
        <v>0</v>
      </c>
      <c r="X147" s="252">
        <f t="shared" ref="X147:BA147" si="131">IF(AND(X$39-$A147&gt;$V$26,SUM($W147:W147)&lt;&gt;$V147),$V147,0)</f>
        <v>0</v>
      </c>
      <c r="Y147" s="252">
        <f t="shared" si="131"/>
        <v>0</v>
      </c>
      <c r="Z147" s="252">
        <f t="shared" si="131"/>
        <v>0</v>
      </c>
      <c r="AA147" s="252">
        <f t="shared" si="131"/>
        <v>0</v>
      </c>
      <c r="AB147" s="252">
        <f t="shared" si="131"/>
        <v>0</v>
      </c>
      <c r="AC147" s="252">
        <f t="shared" si="131"/>
        <v>0</v>
      </c>
      <c r="AD147" s="252">
        <f t="shared" si="131"/>
        <v>0</v>
      </c>
      <c r="AE147" s="252">
        <f t="shared" si="131"/>
        <v>0</v>
      </c>
      <c r="AF147" s="252">
        <f t="shared" si="131"/>
        <v>0</v>
      </c>
      <c r="AG147" s="252">
        <f t="shared" si="131"/>
        <v>0</v>
      </c>
      <c r="AH147" s="252">
        <f t="shared" si="131"/>
        <v>0</v>
      </c>
      <c r="AI147" s="252">
        <f t="shared" si="131"/>
        <v>0</v>
      </c>
      <c r="AJ147" s="252">
        <f t="shared" si="131"/>
        <v>0</v>
      </c>
      <c r="AK147" s="252">
        <f t="shared" si="131"/>
        <v>0</v>
      </c>
      <c r="AL147" s="252">
        <f t="shared" si="131"/>
        <v>0</v>
      </c>
      <c r="AM147" s="252">
        <f t="shared" si="131"/>
        <v>0</v>
      </c>
      <c r="AN147" s="252">
        <f t="shared" si="131"/>
        <v>0</v>
      </c>
      <c r="AO147" s="252">
        <f t="shared" si="131"/>
        <v>0</v>
      </c>
      <c r="AP147" s="252">
        <f t="shared" si="131"/>
        <v>0</v>
      </c>
      <c r="AQ147" s="252">
        <f t="shared" si="131"/>
        <v>0</v>
      </c>
      <c r="AR147" s="252">
        <f t="shared" si="131"/>
        <v>0</v>
      </c>
      <c r="AS147" s="252">
        <f t="shared" si="131"/>
        <v>0</v>
      </c>
      <c r="AT147" s="252">
        <f t="shared" si="131"/>
        <v>0</v>
      </c>
      <c r="AU147" s="252">
        <f t="shared" si="131"/>
        <v>0</v>
      </c>
      <c r="AV147" s="252">
        <f t="shared" si="131"/>
        <v>0</v>
      </c>
      <c r="AW147" s="252">
        <f t="shared" si="131"/>
        <v>0</v>
      </c>
      <c r="AX147" s="252">
        <f t="shared" si="131"/>
        <v>0</v>
      </c>
      <c r="AY147" s="252">
        <f t="shared" si="131"/>
        <v>0</v>
      </c>
      <c r="AZ147" s="252">
        <f t="shared" si="131"/>
        <v>0</v>
      </c>
      <c r="BA147" s="252">
        <f t="shared" si="131"/>
        <v>0</v>
      </c>
    </row>
    <row r="148" ht="15.75" customHeight="1">
      <c r="A148" s="868">
        <v>2038.0</v>
      </c>
      <c r="V148" s="483">
        <v>0.0</v>
      </c>
      <c r="W148" s="252">
        <f t="shared" si="24"/>
        <v>0</v>
      </c>
      <c r="X148" s="252">
        <f t="shared" ref="X148:BA148" si="132">IF(AND(X$39-$A148&gt;$V$26,SUM($W148:W148)&lt;&gt;$V148),$V148,0)</f>
        <v>0</v>
      </c>
      <c r="Y148" s="252">
        <f t="shared" si="132"/>
        <v>0</v>
      </c>
      <c r="Z148" s="252">
        <f t="shared" si="132"/>
        <v>0</v>
      </c>
      <c r="AA148" s="252">
        <f t="shared" si="132"/>
        <v>0</v>
      </c>
      <c r="AB148" s="252">
        <f t="shared" si="132"/>
        <v>0</v>
      </c>
      <c r="AC148" s="252">
        <f t="shared" si="132"/>
        <v>0</v>
      </c>
      <c r="AD148" s="252">
        <f t="shared" si="132"/>
        <v>0</v>
      </c>
      <c r="AE148" s="252">
        <f t="shared" si="132"/>
        <v>0</v>
      </c>
      <c r="AF148" s="252">
        <f t="shared" si="132"/>
        <v>0</v>
      </c>
      <c r="AG148" s="252">
        <f t="shared" si="132"/>
        <v>0</v>
      </c>
      <c r="AH148" s="252">
        <f t="shared" si="132"/>
        <v>0</v>
      </c>
      <c r="AI148" s="252">
        <f t="shared" si="132"/>
        <v>0</v>
      </c>
      <c r="AJ148" s="252">
        <f t="shared" si="132"/>
        <v>0</v>
      </c>
      <c r="AK148" s="252">
        <f t="shared" si="132"/>
        <v>0</v>
      </c>
      <c r="AL148" s="252">
        <f t="shared" si="132"/>
        <v>0</v>
      </c>
      <c r="AM148" s="252">
        <f t="shared" si="132"/>
        <v>0</v>
      </c>
      <c r="AN148" s="252">
        <f t="shared" si="132"/>
        <v>0</v>
      </c>
      <c r="AO148" s="252">
        <f t="shared" si="132"/>
        <v>0</v>
      </c>
      <c r="AP148" s="252">
        <f t="shared" si="132"/>
        <v>0</v>
      </c>
      <c r="AQ148" s="252">
        <f t="shared" si="132"/>
        <v>0</v>
      </c>
      <c r="AR148" s="252">
        <f t="shared" si="132"/>
        <v>0</v>
      </c>
      <c r="AS148" s="252">
        <f t="shared" si="132"/>
        <v>0</v>
      </c>
      <c r="AT148" s="252">
        <f t="shared" si="132"/>
        <v>0</v>
      </c>
      <c r="AU148" s="252">
        <f t="shared" si="132"/>
        <v>0</v>
      </c>
      <c r="AV148" s="252">
        <f t="shared" si="132"/>
        <v>0</v>
      </c>
      <c r="AW148" s="252">
        <f t="shared" si="132"/>
        <v>0</v>
      </c>
      <c r="AX148" s="252">
        <f t="shared" si="132"/>
        <v>0</v>
      </c>
      <c r="AY148" s="252">
        <f t="shared" si="132"/>
        <v>0</v>
      </c>
      <c r="AZ148" s="252">
        <f t="shared" si="132"/>
        <v>0</v>
      </c>
      <c r="BA148" s="252">
        <f t="shared" si="132"/>
        <v>0</v>
      </c>
    </row>
    <row r="149" ht="15.75" customHeight="1">
      <c r="A149" s="868">
        <v>2039.0</v>
      </c>
      <c r="V149" s="483">
        <v>0.0</v>
      </c>
      <c r="W149" s="252">
        <f t="shared" si="24"/>
        <v>0</v>
      </c>
      <c r="X149" s="252">
        <f t="shared" ref="X149:BA149" si="133">IF(AND(X$39-$A149&gt;$V$26,SUM($W149:W149)&lt;&gt;$V149),$V149,0)</f>
        <v>0</v>
      </c>
      <c r="Y149" s="252">
        <f t="shared" si="133"/>
        <v>0</v>
      </c>
      <c r="Z149" s="252">
        <f t="shared" si="133"/>
        <v>0</v>
      </c>
      <c r="AA149" s="252">
        <f t="shared" si="133"/>
        <v>0</v>
      </c>
      <c r="AB149" s="252">
        <f t="shared" si="133"/>
        <v>0</v>
      </c>
      <c r="AC149" s="252">
        <f t="shared" si="133"/>
        <v>0</v>
      </c>
      <c r="AD149" s="252">
        <f t="shared" si="133"/>
        <v>0</v>
      </c>
      <c r="AE149" s="252">
        <f t="shared" si="133"/>
        <v>0</v>
      </c>
      <c r="AF149" s="252">
        <f t="shared" si="133"/>
        <v>0</v>
      </c>
      <c r="AG149" s="252">
        <f t="shared" si="133"/>
        <v>0</v>
      </c>
      <c r="AH149" s="252">
        <f t="shared" si="133"/>
        <v>0</v>
      </c>
      <c r="AI149" s="252">
        <f t="shared" si="133"/>
        <v>0</v>
      </c>
      <c r="AJ149" s="252">
        <f t="shared" si="133"/>
        <v>0</v>
      </c>
      <c r="AK149" s="252">
        <f t="shared" si="133"/>
        <v>0</v>
      </c>
      <c r="AL149" s="252">
        <f t="shared" si="133"/>
        <v>0</v>
      </c>
      <c r="AM149" s="252">
        <f t="shared" si="133"/>
        <v>0</v>
      </c>
      <c r="AN149" s="252">
        <f t="shared" si="133"/>
        <v>0</v>
      </c>
      <c r="AO149" s="252">
        <f t="shared" si="133"/>
        <v>0</v>
      </c>
      <c r="AP149" s="252">
        <f t="shared" si="133"/>
        <v>0</v>
      </c>
      <c r="AQ149" s="252">
        <f t="shared" si="133"/>
        <v>0</v>
      </c>
      <c r="AR149" s="252">
        <f t="shared" si="133"/>
        <v>0</v>
      </c>
      <c r="AS149" s="252">
        <f t="shared" si="133"/>
        <v>0</v>
      </c>
      <c r="AT149" s="252">
        <f t="shared" si="133"/>
        <v>0</v>
      </c>
      <c r="AU149" s="252">
        <f t="shared" si="133"/>
        <v>0</v>
      </c>
      <c r="AV149" s="252">
        <f t="shared" si="133"/>
        <v>0</v>
      </c>
      <c r="AW149" s="252">
        <f t="shared" si="133"/>
        <v>0</v>
      </c>
      <c r="AX149" s="252">
        <f t="shared" si="133"/>
        <v>0</v>
      </c>
      <c r="AY149" s="252">
        <f t="shared" si="133"/>
        <v>0</v>
      </c>
      <c r="AZ149" s="252">
        <f t="shared" si="133"/>
        <v>0</v>
      </c>
      <c r="BA149" s="252">
        <f t="shared" si="133"/>
        <v>0</v>
      </c>
    </row>
    <row r="150" ht="15.75" customHeight="1">
      <c r="A150" s="868">
        <v>2040.0</v>
      </c>
      <c r="V150" s="483">
        <v>0.0</v>
      </c>
      <c r="W150" s="252">
        <f t="shared" si="24"/>
        <v>0</v>
      </c>
      <c r="X150" s="252">
        <f t="shared" ref="X150:BA150" si="134">IF(AND(X$39-$A150&gt;$V$26,SUM($W150:W150)&lt;&gt;$V150),$V150,0)</f>
        <v>0</v>
      </c>
      <c r="Y150" s="252">
        <f t="shared" si="134"/>
        <v>0</v>
      </c>
      <c r="Z150" s="252">
        <f t="shared" si="134"/>
        <v>0</v>
      </c>
      <c r="AA150" s="252">
        <f t="shared" si="134"/>
        <v>0</v>
      </c>
      <c r="AB150" s="252">
        <f t="shared" si="134"/>
        <v>0</v>
      </c>
      <c r="AC150" s="252">
        <f t="shared" si="134"/>
        <v>0</v>
      </c>
      <c r="AD150" s="252">
        <f t="shared" si="134"/>
        <v>0</v>
      </c>
      <c r="AE150" s="252">
        <f t="shared" si="134"/>
        <v>0</v>
      </c>
      <c r="AF150" s="252">
        <f t="shared" si="134"/>
        <v>0</v>
      </c>
      <c r="AG150" s="252">
        <f t="shared" si="134"/>
        <v>0</v>
      </c>
      <c r="AH150" s="252">
        <f t="shared" si="134"/>
        <v>0</v>
      </c>
      <c r="AI150" s="252">
        <f t="shared" si="134"/>
        <v>0</v>
      </c>
      <c r="AJ150" s="252">
        <f t="shared" si="134"/>
        <v>0</v>
      </c>
      <c r="AK150" s="252">
        <f t="shared" si="134"/>
        <v>0</v>
      </c>
      <c r="AL150" s="252">
        <f t="shared" si="134"/>
        <v>0</v>
      </c>
      <c r="AM150" s="252">
        <f t="shared" si="134"/>
        <v>0</v>
      </c>
      <c r="AN150" s="252">
        <f t="shared" si="134"/>
        <v>0</v>
      </c>
      <c r="AO150" s="252">
        <f t="shared" si="134"/>
        <v>0</v>
      </c>
      <c r="AP150" s="252">
        <f t="shared" si="134"/>
        <v>0</v>
      </c>
      <c r="AQ150" s="252">
        <f t="shared" si="134"/>
        <v>0</v>
      </c>
      <c r="AR150" s="252">
        <f t="shared" si="134"/>
        <v>0</v>
      </c>
      <c r="AS150" s="252">
        <f t="shared" si="134"/>
        <v>0</v>
      </c>
      <c r="AT150" s="252">
        <f t="shared" si="134"/>
        <v>0</v>
      </c>
      <c r="AU150" s="252">
        <f t="shared" si="134"/>
        <v>0</v>
      </c>
      <c r="AV150" s="252">
        <f t="shared" si="134"/>
        <v>0</v>
      </c>
      <c r="AW150" s="252">
        <f t="shared" si="134"/>
        <v>0</v>
      </c>
      <c r="AX150" s="252">
        <f t="shared" si="134"/>
        <v>0</v>
      </c>
      <c r="AY150" s="252">
        <f t="shared" si="134"/>
        <v>0</v>
      </c>
      <c r="AZ150" s="252">
        <f t="shared" si="134"/>
        <v>0</v>
      </c>
      <c r="BA150" s="252">
        <f t="shared" si="134"/>
        <v>0</v>
      </c>
    </row>
    <row r="151" ht="15.75" customHeight="1">
      <c r="A151" s="868">
        <v>2041.0</v>
      </c>
      <c r="V151" s="483">
        <v>0.0</v>
      </c>
      <c r="W151" s="252">
        <f t="shared" si="24"/>
        <v>0</v>
      </c>
      <c r="X151" s="252">
        <f t="shared" ref="X151:BA151" si="135">IF(AND(X$39-$A151&gt;$V$26,SUM($W151:W151)&lt;&gt;$V151),$V151,0)</f>
        <v>0</v>
      </c>
      <c r="Y151" s="252">
        <f t="shared" si="135"/>
        <v>0</v>
      </c>
      <c r="Z151" s="252">
        <f t="shared" si="135"/>
        <v>0</v>
      </c>
      <c r="AA151" s="252">
        <f t="shared" si="135"/>
        <v>0</v>
      </c>
      <c r="AB151" s="252">
        <f t="shared" si="135"/>
        <v>0</v>
      </c>
      <c r="AC151" s="252">
        <f t="shared" si="135"/>
        <v>0</v>
      </c>
      <c r="AD151" s="252">
        <f t="shared" si="135"/>
        <v>0</v>
      </c>
      <c r="AE151" s="252">
        <f t="shared" si="135"/>
        <v>0</v>
      </c>
      <c r="AF151" s="252">
        <f t="shared" si="135"/>
        <v>0</v>
      </c>
      <c r="AG151" s="252">
        <f t="shared" si="135"/>
        <v>0</v>
      </c>
      <c r="AH151" s="252">
        <f t="shared" si="135"/>
        <v>0</v>
      </c>
      <c r="AI151" s="252">
        <f t="shared" si="135"/>
        <v>0</v>
      </c>
      <c r="AJ151" s="252">
        <f t="shared" si="135"/>
        <v>0</v>
      </c>
      <c r="AK151" s="252">
        <f t="shared" si="135"/>
        <v>0</v>
      </c>
      <c r="AL151" s="252">
        <f t="shared" si="135"/>
        <v>0</v>
      </c>
      <c r="AM151" s="252">
        <f t="shared" si="135"/>
        <v>0</v>
      </c>
      <c r="AN151" s="252">
        <f t="shared" si="135"/>
        <v>0</v>
      </c>
      <c r="AO151" s="252">
        <f t="shared" si="135"/>
        <v>0</v>
      </c>
      <c r="AP151" s="252">
        <f t="shared" si="135"/>
        <v>0</v>
      </c>
      <c r="AQ151" s="252">
        <f t="shared" si="135"/>
        <v>0</v>
      </c>
      <c r="AR151" s="252">
        <f t="shared" si="135"/>
        <v>0</v>
      </c>
      <c r="AS151" s="252">
        <f t="shared" si="135"/>
        <v>0</v>
      </c>
      <c r="AT151" s="252">
        <f t="shared" si="135"/>
        <v>0</v>
      </c>
      <c r="AU151" s="252">
        <f t="shared" si="135"/>
        <v>0</v>
      </c>
      <c r="AV151" s="252">
        <f t="shared" si="135"/>
        <v>0</v>
      </c>
      <c r="AW151" s="252">
        <f t="shared" si="135"/>
        <v>0</v>
      </c>
      <c r="AX151" s="252">
        <f t="shared" si="135"/>
        <v>0</v>
      </c>
      <c r="AY151" s="252">
        <f t="shared" si="135"/>
        <v>0</v>
      </c>
      <c r="AZ151" s="252">
        <f t="shared" si="135"/>
        <v>0</v>
      </c>
      <c r="BA151" s="252">
        <f t="shared" si="135"/>
        <v>0</v>
      </c>
    </row>
    <row r="152" ht="15.75" customHeight="1">
      <c r="A152" s="868">
        <v>2042.0</v>
      </c>
      <c r="V152" s="483">
        <v>0.0</v>
      </c>
      <c r="W152" s="252">
        <f t="shared" si="24"/>
        <v>0</v>
      </c>
      <c r="X152" s="252">
        <f t="shared" ref="X152:BA152" si="136">IF(AND(X$39-$A152&gt;$V$26,SUM($W152:W152)&lt;&gt;$V152),$V152,0)</f>
        <v>0</v>
      </c>
      <c r="Y152" s="252">
        <f t="shared" si="136"/>
        <v>0</v>
      </c>
      <c r="Z152" s="252">
        <f t="shared" si="136"/>
        <v>0</v>
      </c>
      <c r="AA152" s="252">
        <f t="shared" si="136"/>
        <v>0</v>
      </c>
      <c r="AB152" s="252">
        <f t="shared" si="136"/>
        <v>0</v>
      </c>
      <c r="AC152" s="252">
        <f t="shared" si="136"/>
        <v>0</v>
      </c>
      <c r="AD152" s="252">
        <f t="shared" si="136"/>
        <v>0</v>
      </c>
      <c r="AE152" s="252">
        <f t="shared" si="136"/>
        <v>0</v>
      </c>
      <c r="AF152" s="252">
        <f t="shared" si="136"/>
        <v>0</v>
      </c>
      <c r="AG152" s="252">
        <f t="shared" si="136"/>
        <v>0</v>
      </c>
      <c r="AH152" s="252">
        <f t="shared" si="136"/>
        <v>0</v>
      </c>
      <c r="AI152" s="252">
        <f t="shared" si="136"/>
        <v>0</v>
      </c>
      <c r="AJ152" s="252">
        <f t="shared" si="136"/>
        <v>0</v>
      </c>
      <c r="AK152" s="252">
        <f t="shared" si="136"/>
        <v>0</v>
      </c>
      <c r="AL152" s="252">
        <f t="shared" si="136"/>
        <v>0</v>
      </c>
      <c r="AM152" s="252">
        <f t="shared" si="136"/>
        <v>0</v>
      </c>
      <c r="AN152" s="252">
        <f t="shared" si="136"/>
        <v>0</v>
      </c>
      <c r="AO152" s="252">
        <f t="shared" si="136"/>
        <v>0</v>
      </c>
      <c r="AP152" s="252">
        <f t="shared" si="136"/>
        <v>0</v>
      </c>
      <c r="AQ152" s="252">
        <f t="shared" si="136"/>
        <v>0</v>
      </c>
      <c r="AR152" s="252">
        <f t="shared" si="136"/>
        <v>0</v>
      </c>
      <c r="AS152" s="252">
        <f t="shared" si="136"/>
        <v>0</v>
      </c>
      <c r="AT152" s="252">
        <f t="shared" si="136"/>
        <v>0</v>
      </c>
      <c r="AU152" s="252">
        <f t="shared" si="136"/>
        <v>0</v>
      </c>
      <c r="AV152" s="252">
        <f t="shared" si="136"/>
        <v>0</v>
      </c>
      <c r="AW152" s="252">
        <f t="shared" si="136"/>
        <v>0</v>
      </c>
      <c r="AX152" s="252">
        <f t="shared" si="136"/>
        <v>0</v>
      </c>
      <c r="AY152" s="252">
        <f t="shared" si="136"/>
        <v>0</v>
      </c>
      <c r="AZ152" s="252">
        <f t="shared" si="136"/>
        <v>0</v>
      </c>
      <c r="BA152" s="252">
        <f t="shared" si="136"/>
        <v>0</v>
      </c>
    </row>
    <row r="153" ht="15.75" customHeight="1">
      <c r="A153" s="868">
        <v>2043.0</v>
      </c>
      <c r="V153" s="483">
        <v>0.0</v>
      </c>
      <c r="W153" s="252">
        <f t="shared" si="24"/>
        <v>0</v>
      </c>
      <c r="X153" s="252">
        <f t="shared" ref="X153:BA153" si="137">IF(AND(X$39-$A153&gt;$V$26,SUM($W153:W153)&lt;&gt;$V153),$V153,0)</f>
        <v>0</v>
      </c>
      <c r="Y153" s="252">
        <f t="shared" si="137"/>
        <v>0</v>
      </c>
      <c r="Z153" s="252">
        <f t="shared" si="137"/>
        <v>0</v>
      </c>
      <c r="AA153" s="252">
        <f t="shared" si="137"/>
        <v>0</v>
      </c>
      <c r="AB153" s="252">
        <f t="shared" si="137"/>
        <v>0</v>
      </c>
      <c r="AC153" s="252">
        <f t="shared" si="137"/>
        <v>0</v>
      </c>
      <c r="AD153" s="252">
        <f t="shared" si="137"/>
        <v>0</v>
      </c>
      <c r="AE153" s="252">
        <f t="shared" si="137"/>
        <v>0</v>
      </c>
      <c r="AF153" s="252">
        <f t="shared" si="137"/>
        <v>0</v>
      </c>
      <c r="AG153" s="252">
        <f t="shared" si="137"/>
        <v>0</v>
      </c>
      <c r="AH153" s="252">
        <f t="shared" si="137"/>
        <v>0</v>
      </c>
      <c r="AI153" s="252">
        <f t="shared" si="137"/>
        <v>0</v>
      </c>
      <c r="AJ153" s="252">
        <f t="shared" si="137"/>
        <v>0</v>
      </c>
      <c r="AK153" s="252">
        <f t="shared" si="137"/>
        <v>0</v>
      </c>
      <c r="AL153" s="252">
        <f t="shared" si="137"/>
        <v>0</v>
      </c>
      <c r="AM153" s="252">
        <f t="shared" si="137"/>
        <v>0</v>
      </c>
      <c r="AN153" s="252">
        <f t="shared" si="137"/>
        <v>0</v>
      </c>
      <c r="AO153" s="252">
        <f t="shared" si="137"/>
        <v>0</v>
      </c>
      <c r="AP153" s="252">
        <f t="shared" si="137"/>
        <v>0</v>
      </c>
      <c r="AQ153" s="252">
        <f t="shared" si="137"/>
        <v>0</v>
      </c>
      <c r="AR153" s="252">
        <f t="shared" si="137"/>
        <v>0</v>
      </c>
      <c r="AS153" s="252">
        <f t="shared" si="137"/>
        <v>0</v>
      </c>
      <c r="AT153" s="252">
        <f t="shared" si="137"/>
        <v>0</v>
      </c>
      <c r="AU153" s="252">
        <f t="shared" si="137"/>
        <v>0</v>
      </c>
      <c r="AV153" s="252">
        <f t="shared" si="137"/>
        <v>0</v>
      </c>
      <c r="AW153" s="252">
        <f t="shared" si="137"/>
        <v>0</v>
      </c>
      <c r="AX153" s="252">
        <f t="shared" si="137"/>
        <v>0</v>
      </c>
      <c r="AY153" s="252">
        <f t="shared" si="137"/>
        <v>0</v>
      </c>
      <c r="AZ153" s="252">
        <f t="shared" si="137"/>
        <v>0</v>
      </c>
      <c r="BA153" s="252">
        <f t="shared" si="137"/>
        <v>0</v>
      </c>
    </row>
    <row r="154" ht="15.75" customHeight="1">
      <c r="A154" s="868">
        <v>2044.0</v>
      </c>
      <c r="V154" s="483">
        <v>0.0</v>
      </c>
      <c r="W154" s="252">
        <f t="shared" si="24"/>
        <v>0</v>
      </c>
      <c r="X154" s="252">
        <f t="shared" ref="X154:BA154" si="138">IF(AND(X$39-$A154&gt;$V$26,SUM($W154:W154)&lt;&gt;$V154),$V154,0)</f>
        <v>0</v>
      </c>
      <c r="Y154" s="252">
        <f t="shared" si="138"/>
        <v>0</v>
      </c>
      <c r="Z154" s="252">
        <f t="shared" si="138"/>
        <v>0</v>
      </c>
      <c r="AA154" s="252">
        <f t="shared" si="138"/>
        <v>0</v>
      </c>
      <c r="AB154" s="252">
        <f t="shared" si="138"/>
        <v>0</v>
      </c>
      <c r="AC154" s="252">
        <f t="shared" si="138"/>
        <v>0</v>
      </c>
      <c r="AD154" s="252">
        <f t="shared" si="138"/>
        <v>0</v>
      </c>
      <c r="AE154" s="252">
        <f t="shared" si="138"/>
        <v>0</v>
      </c>
      <c r="AF154" s="252">
        <f t="shared" si="138"/>
        <v>0</v>
      </c>
      <c r="AG154" s="252">
        <f t="shared" si="138"/>
        <v>0</v>
      </c>
      <c r="AH154" s="252">
        <f t="shared" si="138"/>
        <v>0</v>
      </c>
      <c r="AI154" s="252">
        <f t="shared" si="138"/>
        <v>0</v>
      </c>
      <c r="AJ154" s="252">
        <f t="shared" si="138"/>
        <v>0</v>
      </c>
      <c r="AK154" s="252">
        <f t="shared" si="138"/>
        <v>0</v>
      </c>
      <c r="AL154" s="252">
        <f t="shared" si="138"/>
        <v>0</v>
      </c>
      <c r="AM154" s="252">
        <f t="shared" si="138"/>
        <v>0</v>
      </c>
      <c r="AN154" s="252">
        <f t="shared" si="138"/>
        <v>0</v>
      </c>
      <c r="AO154" s="252">
        <f t="shared" si="138"/>
        <v>0</v>
      </c>
      <c r="AP154" s="252">
        <f t="shared" si="138"/>
        <v>0</v>
      </c>
      <c r="AQ154" s="252">
        <f t="shared" si="138"/>
        <v>0</v>
      </c>
      <c r="AR154" s="252">
        <f t="shared" si="138"/>
        <v>0</v>
      </c>
      <c r="AS154" s="252">
        <f t="shared" si="138"/>
        <v>0</v>
      </c>
      <c r="AT154" s="252">
        <f t="shared" si="138"/>
        <v>0</v>
      </c>
      <c r="AU154" s="252">
        <f t="shared" si="138"/>
        <v>0</v>
      </c>
      <c r="AV154" s="252">
        <f t="shared" si="138"/>
        <v>0</v>
      </c>
      <c r="AW154" s="252">
        <f t="shared" si="138"/>
        <v>0</v>
      </c>
      <c r="AX154" s="252">
        <f t="shared" si="138"/>
        <v>0</v>
      </c>
      <c r="AY154" s="252">
        <f t="shared" si="138"/>
        <v>0</v>
      </c>
      <c r="AZ154" s="252">
        <f t="shared" si="138"/>
        <v>0</v>
      </c>
      <c r="BA154" s="252">
        <f t="shared" si="138"/>
        <v>0</v>
      </c>
    </row>
    <row r="155" ht="15.75" customHeight="1">
      <c r="A155" s="868">
        <v>2045.0</v>
      </c>
      <c r="V155" s="483">
        <v>0.0</v>
      </c>
      <c r="W155" s="252">
        <f t="shared" si="24"/>
        <v>0</v>
      </c>
      <c r="X155" s="252">
        <f t="shared" ref="X155:BA155" si="139">IF(AND(X$39-$A155&gt;$V$26,SUM($W155:W155)&lt;&gt;$V155),$V155,0)</f>
        <v>0</v>
      </c>
      <c r="Y155" s="252">
        <f t="shared" si="139"/>
        <v>0</v>
      </c>
      <c r="Z155" s="252">
        <f t="shared" si="139"/>
        <v>0</v>
      </c>
      <c r="AA155" s="252">
        <f t="shared" si="139"/>
        <v>0</v>
      </c>
      <c r="AB155" s="252">
        <f t="shared" si="139"/>
        <v>0</v>
      </c>
      <c r="AC155" s="252">
        <f t="shared" si="139"/>
        <v>0</v>
      </c>
      <c r="AD155" s="252">
        <f t="shared" si="139"/>
        <v>0</v>
      </c>
      <c r="AE155" s="252">
        <f t="shared" si="139"/>
        <v>0</v>
      </c>
      <c r="AF155" s="252">
        <f t="shared" si="139"/>
        <v>0</v>
      </c>
      <c r="AG155" s="252">
        <f t="shared" si="139"/>
        <v>0</v>
      </c>
      <c r="AH155" s="252">
        <f t="shared" si="139"/>
        <v>0</v>
      </c>
      <c r="AI155" s="252">
        <f t="shared" si="139"/>
        <v>0</v>
      </c>
      <c r="AJ155" s="252">
        <f t="shared" si="139"/>
        <v>0</v>
      </c>
      <c r="AK155" s="252">
        <f t="shared" si="139"/>
        <v>0</v>
      </c>
      <c r="AL155" s="252">
        <f t="shared" si="139"/>
        <v>0</v>
      </c>
      <c r="AM155" s="252">
        <f t="shared" si="139"/>
        <v>0</v>
      </c>
      <c r="AN155" s="252">
        <f t="shared" si="139"/>
        <v>0</v>
      </c>
      <c r="AO155" s="252">
        <f t="shared" si="139"/>
        <v>0</v>
      </c>
      <c r="AP155" s="252">
        <f t="shared" si="139"/>
        <v>0</v>
      </c>
      <c r="AQ155" s="252">
        <f t="shared" si="139"/>
        <v>0</v>
      </c>
      <c r="AR155" s="252">
        <f t="shared" si="139"/>
        <v>0</v>
      </c>
      <c r="AS155" s="252">
        <f t="shared" si="139"/>
        <v>0</v>
      </c>
      <c r="AT155" s="252">
        <f t="shared" si="139"/>
        <v>0</v>
      </c>
      <c r="AU155" s="252">
        <f t="shared" si="139"/>
        <v>0</v>
      </c>
      <c r="AV155" s="252">
        <f t="shared" si="139"/>
        <v>0</v>
      </c>
      <c r="AW155" s="252">
        <f t="shared" si="139"/>
        <v>0</v>
      </c>
      <c r="AX155" s="252">
        <f t="shared" si="139"/>
        <v>0</v>
      </c>
      <c r="AY155" s="252">
        <f t="shared" si="139"/>
        <v>0</v>
      </c>
      <c r="AZ155" s="252">
        <f t="shared" si="139"/>
        <v>0</v>
      </c>
      <c r="BA155" s="252">
        <f t="shared" si="139"/>
        <v>0</v>
      </c>
    </row>
    <row r="156" ht="15.75" customHeight="1">
      <c r="A156" s="868">
        <v>2046.0</v>
      </c>
      <c r="V156" s="483">
        <v>0.0</v>
      </c>
      <c r="W156" s="252">
        <f t="shared" si="24"/>
        <v>0</v>
      </c>
      <c r="X156" s="252">
        <f t="shared" ref="X156:BA156" si="140">IF(AND(X$39-$A156&gt;$V$26,SUM($W156:W156)&lt;&gt;$V156),$V156,0)</f>
        <v>0</v>
      </c>
      <c r="Y156" s="252">
        <f t="shared" si="140"/>
        <v>0</v>
      </c>
      <c r="Z156" s="252">
        <f t="shared" si="140"/>
        <v>0</v>
      </c>
      <c r="AA156" s="252">
        <f t="shared" si="140"/>
        <v>0</v>
      </c>
      <c r="AB156" s="252">
        <f t="shared" si="140"/>
        <v>0</v>
      </c>
      <c r="AC156" s="252">
        <f t="shared" si="140"/>
        <v>0</v>
      </c>
      <c r="AD156" s="252">
        <f t="shared" si="140"/>
        <v>0</v>
      </c>
      <c r="AE156" s="252">
        <f t="shared" si="140"/>
        <v>0</v>
      </c>
      <c r="AF156" s="252">
        <f t="shared" si="140"/>
        <v>0</v>
      </c>
      <c r="AG156" s="252">
        <f t="shared" si="140"/>
        <v>0</v>
      </c>
      <c r="AH156" s="252">
        <f t="shared" si="140"/>
        <v>0</v>
      </c>
      <c r="AI156" s="252">
        <f t="shared" si="140"/>
        <v>0</v>
      </c>
      <c r="AJ156" s="252">
        <f t="shared" si="140"/>
        <v>0</v>
      </c>
      <c r="AK156" s="252">
        <f t="shared" si="140"/>
        <v>0</v>
      </c>
      <c r="AL156" s="252">
        <f t="shared" si="140"/>
        <v>0</v>
      </c>
      <c r="AM156" s="252">
        <f t="shared" si="140"/>
        <v>0</v>
      </c>
      <c r="AN156" s="252">
        <f t="shared" si="140"/>
        <v>0</v>
      </c>
      <c r="AO156" s="252">
        <f t="shared" si="140"/>
        <v>0</v>
      </c>
      <c r="AP156" s="252">
        <f t="shared" si="140"/>
        <v>0</v>
      </c>
      <c r="AQ156" s="252">
        <f t="shared" si="140"/>
        <v>0</v>
      </c>
      <c r="AR156" s="252">
        <f t="shared" si="140"/>
        <v>0</v>
      </c>
      <c r="AS156" s="252">
        <f t="shared" si="140"/>
        <v>0</v>
      </c>
      <c r="AT156" s="252">
        <f t="shared" si="140"/>
        <v>0</v>
      </c>
      <c r="AU156" s="252">
        <f t="shared" si="140"/>
        <v>0</v>
      </c>
      <c r="AV156" s="252">
        <f t="shared" si="140"/>
        <v>0</v>
      </c>
      <c r="AW156" s="252">
        <f t="shared" si="140"/>
        <v>0</v>
      </c>
      <c r="AX156" s="252">
        <f t="shared" si="140"/>
        <v>0</v>
      </c>
      <c r="AY156" s="252">
        <f t="shared" si="140"/>
        <v>0</v>
      </c>
      <c r="AZ156" s="252">
        <f t="shared" si="140"/>
        <v>0</v>
      </c>
      <c r="BA156" s="252">
        <f t="shared" si="140"/>
        <v>0</v>
      </c>
    </row>
    <row r="157" ht="15.75" customHeight="1">
      <c r="A157" s="868">
        <v>2047.0</v>
      </c>
      <c r="V157" s="483">
        <v>0.0</v>
      </c>
      <c r="W157" s="252">
        <f t="shared" si="24"/>
        <v>0</v>
      </c>
      <c r="X157" s="252">
        <f t="shared" ref="X157:BA157" si="141">IF(AND(X$39-$A157&gt;$V$26,SUM($W157:W157)&lt;&gt;$V157),$V157,0)</f>
        <v>0</v>
      </c>
      <c r="Y157" s="252">
        <f t="shared" si="141"/>
        <v>0</v>
      </c>
      <c r="Z157" s="252">
        <f t="shared" si="141"/>
        <v>0</v>
      </c>
      <c r="AA157" s="252">
        <f t="shared" si="141"/>
        <v>0</v>
      </c>
      <c r="AB157" s="252">
        <f t="shared" si="141"/>
        <v>0</v>
      </c>
      <c r="AC157" s="252">
        <f t="shared" si="141"/>
        <v>0</v>
      </c>
      <c r="AD157" s="252">
        <f t="shared" si="141"/>
        <v>0</v>
      </c>
      <c r="AE157" s="252">
        <f t="shared" si="141"/>
        <v>0</v>
      </c>
      <c r="AF157" s="252">
        <f t="shared" si="141"/>
        <v>0</v>
      </c>
      <c r="AG157" s="252">
        <f t="shared" si="141"/>
        <v>0</v>
      </c>
      <c r="AH157" s="252">
        <f t="shared" si="141"/>
        <v>0</v>
      </c>
      <c r="AI157" s="252">
        <f t="shared" si="141"/>
        <v>0</v>
      </c>
      <c r="AJ157" s="252">
        <f t="shared" si="141"/>
        <v>0</v>
      </c>
      <c r="AK157" s="252">
        <f t="shared" si="141"/>
        <v>0</v>
      </c>
      <c r="AL157" s="252">
        <f t="shared" si="141"/>
        <v>0</v>
      </c>
      <c r="AM157" s="252">
        <f t="shared" si="141"/>
        <v>0</v>
      </c>
      <c r="AN157" s="252">
        <f t="shared" si="141"/>
        <v>0</v>
      </c>
      <c r="AO157" s="252">
        <f t="shared" si="141"/>
        <v>0</v>
      </c>
      <c r="AP157" s="252">
        <f t="shared" si="141"/>
        <v>0</v>
      </c>
      <c r="AQ157" s="252">
        <f t="shared" si="141"/>
        <v>0</v>
      </c>
      <c r="AR157" s="252">
        <f t="shared" si="141"/>
        <v>0</v>
      </c>
      <c r="AS157" s="252">
        <f t="shared" si="141"/>
        <v>0</v>
      </c>
      <c r="AT157" s="252">
        <f t="shared" si="141"/>
        <v>0</v>
      </c>
      <c r="AU157" s="252">
        <f t="shared" si="141"/>
        <v>0</v>
      </c>
      <c r="AV157" s="252">
        <f t="shared" si="141"/>
        <v>0</v>
      </c>
      <c r="AW157" s="252">
        <f t="shared" si="141"/>
        <v>0</v>
      </c>
      <c r="AX157" s="252">
        <f t="shared" si="141"/>
        <v>0</v>
      </c>
      <c r="AY157" s="252">
        <f t="shared" si="141"/>
        <v>0</v>
      </c>
      <c r="AZ157" s="252">
        <f t="shared" si="141"/>
        <v>0</v>
      </c>
      <c r="BA157" s="252">
        <f t="shared" si="141"/>
        <v>0</v>
      </c>
    </row>
    <row r="158" ht="15.75" customHeight="1">
      <c r="A158" s="868">
        <v>2048.0</v>
      </c>
      <c r="V158" s="483">
        <v>0.0</v>
      </c>
      <c r="W158" s="252">
        <f t="shared" si="24"/>
        <v>0</v>
      </c>
      <c r="X158" s="252">
        <f t="shared" ref="X158:BA158" si="142">IF(AND(X$39-$A158&gt;$V$26,SUM($W158:W158)&lt;&gt;$V158),$V158,0)</f>
        <v>0</v>
      </c>
      <c r="Y158" s="252">
        <f t="shared" si="142"/>
        <v>0</v>
      </c>
      <c r="Z158" s="252">
        <f t="shared" si="142"/>
        <v>0</v>
      </c>
      <c r="AA158" s="252">
        <f t="shared" si="142"/>
        <v>0</v>
      </c>
      <c r="AB158" s="252">
        <f t="shared" si="142"/>
        <v>0</v>
      </c>
      <c r="AC158" s="252">
        <f t="shared" si="142"/>
        <v>0</v>
      </c>
      <c r="AD158" s="252">
        <f t="shared" si="142"/>
        <v>0</v>
      </c>
      <c r="AE158" s="252">
        <f t="shared" si="142"/>
        <v>0</v>
      </c>
      <c r="AF158" s="252">
        <f t="shared" si="142"/>
        <v>0</v>
      </c>
      <c r="AG158" s="252">
        <f t="shared" si="142"/>
        <v>0</v>
      </c>
      <c r="AH158" s="252">
        <f t="shared" si="142"/>
        <v>0</v>
      </c>
      <c r="AI158" s="252">
        <f t="shared" si="142"/>
        <v>0</v>
      </c>
      <c r="AJ158" s="252">
        <f t="shared" si="142"/>
        <v>0</v>
      </c>
      <c r="AK158" s="252">
        <f t="shared" si="142"/>
        <v>0</v>
      </c>
      <c r="AL158" s="252">
        <f t="shared" si="142"/>
        <v>0</v>
      </c>
      <c r="AM158" s="252">
        <f t="shared" si="142"/>
        <v>0</v>
      </c>
      <c r="AN158" s="252">
        <f t="shared" si="142"/>
        <v>0</v>
      </c>
      <c r="AO158" s="252">
        <f t="shared" si="142"/>
        <v>0</v>
      </c>
      <c r="AP158" s="252">
        <f t="shared" si="142"/>
        <v>0</v>
      </c>
      <c r="AQ158" s="252">
        <f t="shared" si="142"/>
        <v>0</v>
      </c>
      <c r="AR158" s="252">
        <f t="shared" si="142"/>
        <v>0</v>
      </c>
      <c r="AS158" s="252">
        <f t="shared" si="142"/>
        <v>0</v>
      </c>
      <c r="AT158" s="252">
        <f t="shared" si="142"/>
        <v>0</v>
      </c>
      <c r="AU158" s="252">
        <f t="shared" si="142"/>
        <v>0</v>
      </c>
      <c r="AV158" s="252">
        <f t="shared" si="142"/>
        <v>0</v>
      </c>
      <c r="AW158" s="252">
        <f t="shared" si="142"/>
        <v>0</v>
      </c>
      <c r="AX158" s="252">
        <f t="shared" si="142"/>
        <v>0</v>
      </c>
      <c r="AY158" s="252">
        <f t="shared" si="142"/>
        <v>0</v>
      </c>
      <c r="AZ158" s="252">
        <f t="shared" si="142"/>
        <v>0</v>
      </c>
      <c r="BA158" s="252">
        <f t="shared" si="142"/>
        <v>0</v>
      </c>
    </row>
    <row r="159" ht="15.75" customHeight="1">
      <c r="A159" s="868">
        <v>2049.0</v>
      </c>
      <c r="V159" s="483">
        <v>0.0</v>
      </c>
      <c r="W159" s="252">
        <f t="shared" si="24"/>
        <v>0</v>
      </c>
      <c r="X159" s="252">
        <f t="shared" ref="X159:BA159" si="143">IF(AND(X$39-$A159&gt;$V$26,SUM($W159:W159)&lt;&gt;$V159),$V159,0)</f>
        <v>0</v>
      </c>
      <c r="Y159" s="252">
        <f t="shared" si="143"/>
        <v>0</v>
      </c>
      <c r="Z159" s="252">
        <f t="shared" si="143"/>
        <v>0</v>
      </c>
      <c r="AA159" s="252">
        <f t="shared" si="143"/>
        <v>0</v>
      </c>
      <c r="AB159" s="252">
        <f t="shared" si="143"/>
        <v>0</v>
      </c>
      <c r="AC159" s="252">
        <f t="shared" si="143"/>
        <v>0</v>
      </c>
      <c r="AD159" s="252">
        <f t="shared" si="143"/>
        <v>0</v>
      </c>
      <c r="AE159" s="252">
        <f t="shared" si="143"/>
        <v>0</v>
      </c>
      <c r="AF159" s="252">
        <f t="shared" si="143"/>
        <v>0</v>
      </c>
      <c r="AG159" s="252">
        <f t="shared" si="143"/>
        <v>0</v>
      </c>
      <c r="AH159" s="252">
        <f t="shared" si="143"/>
        <v>0</v>
      </c>
      <c r="AI159" s="252">
        <f t="shared" si="143"/>
        <v>0</v>
      </c>
      <c r="AJ159" s="252">
        <f t="shared" si="143"/>
        <v>0</v>
      </c>
      <c r="AK159" s="252">
        <f t="shared" si="143"/>
        <v>0</v>
      </c>
      <c r="AL159" s="252">
        <f t="shared" si="143"/>
        <v>0</v>
      </c>
      <c r="AM159" s="252">
        <f t="shared" si="143"/>
        <v>0</v>
      </c>
      <c r="AN159" s="252">
        <f t="shared" si="143"/>
        <v>0</v>
      </c>
      <c r="AO159" s="252">
        <f t="shared" si="143"/>
        <v>0</v>
      </c>
      <c r="AP159" s="252">
        <f t="shared" si="143"/>
        <v>0</v>
      </c>
      <c r="AQ159" s="252">
        <f t="shared" si="143"/>
        <v>0</v>
      </c>
      <c r="AR159" s="252">
        <f t="shared" si="143"/>
        <v>0</v>
      </c>
      <c r="AS159" s="252">
        <f t="shared" si="143"/>
        <v>0</v>
      </c>
      <c r="AT159" s="252">
        <f t="shared" si="143"/>
        <v>0</v>
      </c>
      <c r="AU159" s="252">
        <f t="shared" si="143"/>
        <v>0</v>
      </c>
      <c r="AV159" s="252">
        <f t="shared" si="143"/>
        <v>0</v>
      </c>
      <c r="AW159" s="252">
        <f t="shared" si="143"/>
        <v>0</v>
      </c>
      <c r="AX159" s="252">
        <f t="shared" si="143"/>
        <v>0</v>
      </c>
      <c r="AY159" s="252">
        <f t="shared" si="143"/>
        <v>0</v>
      </c>
      <c r="AZ159" s="252">
        <f t="shared" si="143"/>
        <v>0</v>
      </c>
      <c r="BA159" s="252">
        <f t="shared" si="143"/>
        <v>0</v>
      </c>
    </row>
    <row r="160" ht="15.75" customHeight="1">
      <c r="A160" s="868">
        <v>2050.0</v>
      </c>
      <c r="V160" s="483">
        <v>0.0</v>
      </c>
      <c r="W160" s="252">
        <f t="shared" si="24"/>
        <v>0</v>
      </c>
      <c r="X160" s="252">
        <f t="shared" ref="X160:BA160" si="144">IF(AND(X$39-$A160&gt;$V$26,SUM($W160:W160)&lt;&gt;$V160),$V160,0)</f>
        <v>0</v>
      </c>
      <c r="Y160" s="252">
        <f t="shared" si="144"/>
        <v>0</v>
      </c>
      <c r="Z160" s="252">
        <f t="shared" si="144"/>
        <v>0</v>
      </c>
      <c r="AA160" s="252">
        <f t="shared" si="144"/>
        <v>0</v>
      </c>
      <c r="AB160" s="252">
        <f t="shared" si="144"/>
        <v>0</v>
      </c>
      <c r="AC160" s="252">
        <f t="shared" si="144"/>
        <v>0</v>
      </c>
      <c r="AD160" s="252">
        <f t="shared" si="144"/>
        <v>0</v>
      </c>
      <c r="AE160" s="252">
        <f t="shared" si="144"/>
        <v>0</v>
      </c>
      <c r="AF160" s="252">
        <f t="shared" si="144"/>
        <v>0</v>
      </c>
      <c r="AG160" s="252">
        <f t="shared" si="144"/>
        <v>0</v>
      </c>
      <c r="AH160" s="252">
        <f t="shared" si="144"/>
        <v>0</v>
      </c>
      <c r="AI160" s="252">
        <f t="shared" si="144"/>
        <v>0</v>
      </c>
      <c r="AJ160" s="252">
        <f t="shared" si="144"/>
        <v>0</v>
      </c>
      <c r="AK160" s="252">
        <f t="shared" si="144"/>
        <v>0</v>
      </c>
      <c r="AL160" s="252">
        <f t="shared" si="144"/>
        <v>0</v>
      </c>
      <c r="AM160" s="252">
        <f t="shared" si="144"/>
        <v>0</v>
      </c>
      <c r="AN160" s="252">
        <f t="shared" si="144"/>
        <v>0</v>
      </c>
      <c r="AO160" s="252">
        <f t="shared" si="144"/>
        <v>0</v>
      </c>
      <c r="AP160" s="252">
        <f t="shared" si="144"/>
        <v>0</v>
      </c>
      <c r="AQ160" s="252">
        <f t="shared" si="144"/>
        <v>0</v>
      </c>
      <c r="AR160" s="252">
        <f t="shared" si="144"/>
        <v>0</v>
      </c>
      <c r="AS160" s="252">
        <f t="shared" si="144"/>
        <v>0</v>
      </c>
      <c r="AT160" s="252">
        <f t="shared" si="144"/>
        <v>0</v>
      </c>
      <c r="AU160" s="252">
        <f t="shared" si="144"/>
        <v>0</v>
      </c>
      <c r="AV160" s="252">
        <f t="shared" si="144"/>
        <v>0</v>
      </c>
      <c r="AW160" s="252">
        <f t="shared" si="144"/>
        <v>0</v>
      </c>
      <c r="AX160" s="252">
        <f t="shared" si="144"/>
        <v>0</v>
      </c>
      <c r="AY160" s="252">
        <f t="shared" si="144"/>
        <v>0</v>
      </c>
      <c r="AZ160" s="252">
        <f t="shared" si="144"/>
        <v>0</v>
      </c>
      <c r="BA160" s="252">
        <f t="shared" si="144"/>
        <v>0</v>
      </c>
    </row>
    <row r="161" ht="15.75" customHeight="1">
      <c r="A161" s="868"/>
    </row>
    <row r="162" ht="15.75" customHeight="1"/>
    <row r="163" ht="15.75" customHeight="1"/>
  </sheetData>
  <printOptions/>
  <pageMargins bottom="0.75" footer="0.0" header="0.0" left="0.7" right="0.7" top="0.75"/>
  <pageSetup orientation="landscape"/>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1139</v>
      </c>
      <c r="B2" s="160">
        <f t="shared" ref="B2:S2" si="1">C2/(1+B44-B6)</f>
        <v>736594.2045</v>
      </c>
      <c r="C2" s="160">
        <f t="shared" si="1"/>
        <v>699686.5902</v>
      </c>
      <c r="D2" s="160">
        <f t="shared" si="1"/>
        <v>664628.26</v>
      </c>
      <c r="E2" s="160">
        <f t="shared" si="1"/>
        <v>631326.5541</v>
      </c>
      <c r="F2" s="160">
        <f t="shared" si="1"/>
        <v>599693.4557</v>
      </c>
      <c r="G2" s="160">
        <f t="shared" si="1"/>
        <v>569645.3578</v>
      </c>
      <c r="H2" s="160">
        <f t="shared" si="1"/>
        <v>541102.8427</v>
      </c>
      <c r="I2" s="160">
        <f t="shared" si="1"/>
        <v>513990.4721</v>
      </c>
      <c r="J2" s="160">
        <f t="shared" si="1"/>
        <v>488236.5875</v>
      </c>
      <c r="K2" s="160">
        <f t="shared" si="1"/>
        <v>463773.121</v>
      </c>
      <c r="L2" s="160">
        <f t="shared" si="1"/>
        <v>440535.415</v>
      </c>
      <c r="M2" s="160">
        <f t="shared" si="1"/>
        <v>418462.0521</v>
      </c>
      <c r="N2" s="160">
        <f t="shared" si="1"/>
        <v>397494.6919</v>
      </c>
      <c r="O2" s="160">
        <f t="shared" si="1"/>
        <v>377577.9172</v>
      </c>
      <c r="P2" s="160">
        <f t="shared" si="1"/>
        <v>358659.0877</v>
      </c>
      <c r="Q2" s="160">
        <f t="shared" si="1"/>
        <v>340688.2006</v>
      </c>
      <c r="R2" s="160">
        <f t="shared" si="1"/>
        <v>323617.7585</v>
      </c>
      <c r="S2" s="160">
        <f t="shared" si="1"/>
        <v>307402.6439</v>
      </c>
      <c r="T2" s="160">
        <f>T4*1000*'Inflation GDP Population'!T$18/'Inflation GDP Population'!$T$18</f>
        <v>292000</v>
      </c>
      <c r="U2" s="160">
        <f>U4*1000*'Inflation GDP Population'!U$18/'Inflation GDP Population'!$T$18</f>
        <v>281384.477</v>
      </c>
      <c r="V2" s="160">
        <f>V4*1000*'Inflation GDP Population'!V$18/'Inflation GDP Population'!$T$18</f>
        <v>270243.6229</v>
      </c>
      <c r="W2" s="160">
        <f>W4*1000*'Inflation GDP Population'!W$18/'Inflation GDP Population'!$T$18</f>
        <v>258560.9805</v>
      </c>
      <c r="X2" s="160">
        <f>X4*1000*'Inflation GDP Population'!X$18/'Inflation GDP Population'!$T$18</f>
        <v>246319.6506</v>
      </c>
      <c r="Y2" s="160">
        <f>Y4*1000*'Inflation GDP Population'!Y$18/'Inflation GDP Population'!$T$18</f>
        <v>233502.2808</v>
      </c>
      <c r="Z2" s="160">
        <f>Z4*1000*'Inflation GDP Population'!Z$18/'Inflation GDP Population'!$T$18</f>
        <v>220091.0542</v>
      </c>
      <c r="AA2" s="160">
        <f>AA4*1000*'Inflation GDP Population'!AA$18/'Inflation GDP Population'!$T$18</f>
        <v>204922.8577</v>
      </c>
      <c r="AB2" s="160">
        <f>AB4*1000*'Inflation GDP Population'!AB$18/'Inflation GDP Population'!$T$18</f>
        <v>201917.7643</v>
      </c>
      <c r="AC2" s="160">
        <f>AC4*1000*'Inflation GDP Population'!AC$18/'Inflation GDP Population'!$T$18</f>
        <v>197527.5</v>
      </c>
      <c r="AD2" s="160">
        <f>AD4*1000*'Inflation GDP Population'!AD$18/'Inflation GDP Population'!$T$18</f>
        <v>192889.0866</v>
      </c>
      <c r="AE2" s="160">
        <f>AE4*1000*'Inflation GDP Population'!AE$18/'Inflation GDP Population'!$T$18</f>
        <v>189231.3189</v>
      </c>
      <c r="AF2" s="160">
        <f>AF4*1000*'Inflation GDP Population'!AF$18/'Inflation GDP Population'!$T$18</f>
        <v>184096.4841</v>
      </c>
      <c r="AG2" s="160">
        <f>AG4*1000*'Inflation GDP Population'!AG$18/'Inflation GDP Population'!$T$18</f>
        <v>185116.949</v>
      </c>
      <c r="AH2" s="160">
        <f>AH4*1000*'Inflation GDP Population'!AH$18/'Inflation GDP Population'!$T$18</f>
        <v>186107.1633</v>
      </c>
      <c r="AI2" s="160">
        <f>AI4*1000*'Inflation GDP Population'!AI$18/'Inflation GDP Population'!$T$18</f>
        <v>188401.7407</v>
      </c>
      <c r="AJ2" s="160">
        <f>AJ4*1000*'Inflation GDP Population'!AJ$18/'Inflation GDP Population'!$T$18</f>
        <v>189352.7652</v>
      </c>
      <c r="AK2" s="160">
        <f>AK4*1000*'Inflation GDP Population'!AK$18/'Inflation GDP Population'!$T$18</f>
        <v>190269.1911</v>
      </c>
      <c r="AL2" s="160">
        <f>AL4*1000*'Inflation GDP Population'!AL$18/'Inflation GDP Population'!$T$18</f>
        <v>191149.3064</v>
      </c>
      <c r="AM2" s="160">
        <f>AM4*1000*'Inflation GDP Population'!AM$18/'Inflation GDP Population'!$T$18</f>
        <v>191991.3455</v>
      </c>
      <c r="AN2" s="160">
        <f>AN4*1000*'Inflation GDP Population'!AN$18/'Inflation GDP Population'!$T$18</f>
        <v>192793.4878</v>
      </c>
      <c r="AO2" s="160">
        <f>AO4*1000*'Inflation GDP Population'!AO$18/'Inflation GDP Population'!$T$18</f>
        <v>195054.2736</v>
      </c>
      <c r="AP2" s="160">
        <f>AP4*1000*'Inflation GDP Population'!AP$18/'Inflation GDP Population'!$T$18</f>
        <v>195800.2043</v>
      </c>
      <c r="AQ2" s="160">
        <f>AQ4*1000*'Inflation GDP Population'!AQ$18/'Inflation GDP Population'!$T$18</f>
        <v>196501.002</v>
      </c>
      <c r="AR2" s="160">
        <f>AR4*1000*'Inflation GDP Population'!AR$18/'Inflation GDP Population'!$T$18</f>
        <v>197154.6218</v>
      </c>
      <c r="AS2" s="160">
        <f>AS4*1000*'Inflation GDP Population'!AS$18/'Inflation GDP Population'!$T$18</f>
        <v>197758.9562</v>
      </c>
      <c r="AT2" s="160">
        <f>AT4*1000*'Inflation GDP Population'!AT$18/'Inflation GDP Population'!$T$18</f>
        <v>199964.4321</v>
      </c>
      <c r="AU2" s="160">
        <f>AU4*1000*'Inflation GDP Population'!AU$18/'Inflation GDP Population'!$T$18</f>
        <v>200495.8549</v>
      </c>
      <c r="AV2" s="160">
        <f>AV4*1000*'Inflation GDP Population'!AV$18/'Inflation GDP Population'!$T$18</f>
        <v>200971.9063</v>
      </c>
      <c r="AW2" s="160">
        <f>AW4*1000*'Inflation GDP Population'!AW$18/'Inflation GDP Population'!$T$18</f>
        <v>201390.2234</v>
      </c>
      <c r="AX2" s="160">
        <f>AX4*1000*'Inflation GDP Population'!AX$18/'Inflation GDP Population'!$T$18</f>
        <v>201748.3726</v>
      </c>
      <c r="AY2" s="160">
        <f>AY4*1000*'Inflation GDP Population'!AY$18/'Inflation GDP Population'!$T$18</f>
        <v>202043.8468</v>
      </c>
      <c r="AZ2" s="160">
        <f>AZ4*1000*'Inflation GDP Population'!AZ$18/'Inflation GDP Population'!$T$18</f>
        <v>204129.7897</v>
      </c>
    </row>
    <row r="3" ht="15.0" customHeight="1">
      <c r="A3" s="541" t="s">
        <v>1140</v>
      </c>
      <c r="B3" s="827">
        <f t="shared" ref="B3:S3" si="2">C3/(1+B44-B6)</f>
        <v>845065.2689</v>
      </c>
      <c r="C3" s="827">
        <f t="shared" si="2"/>
        <v>802722.6291</v>
      </c>
      <c r="D3" s="827">
        <f t="shared" si="2"/>
        <v>762501.5996</v>
      </c>
      <c r="E3" s="827">
        <f t="shared" si="2"/>
        <v>724295.8755</v>
      </c>
      <c r="F3" s="827">
        <f t="shared" si="2"/>
        <v>688004.4783</v>
      </c>
      <c r="G3" s="827">
        <f t="shared" si="2"/>
        <v>653531.4892</v>
      </c>
      <c r="H3" s="827">
        <f t="shared" si="2"/>
        <v>620785.7955</v>
      </c>
      <c r="I3" s="827">
        <f t="shared" si="2"/>
        <v>589680.8498</v>
      </c>
      <c r="J3" s="827">
        <f t="shared" si="2"/>
        <v>560134.4412</v>
      </c>
      <c r="K3" s="827">
        <f t="shared" si="2"/>
        <v>532068.4778</v>
      </c>
      <c r="L3" s="827">
        <f t="shared" si="2"/>
        <v>505408.781</v>
      </c>
      <c r="M3" s="827">
        <f t="shared" si="2"/>
        <v>480084.8886</v>
      </c>
      <c r="N3" s="827">
        <f t="shared" si="2"/>
        <v>456029.8691</v>
      </c>
      <c r="O3" s="827">
        <f t="shared" si="2"/>
        <v>433180.1447</v>
      </c>
      <c r="P3" s="827">
        <f t="shared" si="2"/>
        <v>411475.3232</v>
      </c>
      <c r="Q3" s="827">
        <f t="shared" si="2"/>
        <v>390858.0384</v>
      </c>
      <c r="R3" s="827">
        <f t="shared" si="2"/>
        <v>371273.7983</v>
      </c>
      <c r="S3" s="827">
        <f t="shared" si="2"/>
        <v>352670.8415</v>
      </c>
      <c r="T3" s="749">
        <f>T5*1000*'Inflation GDP Population'!T$18/'Inflation GDP Population'!$T$18</f>
        <v>335000</v>
      </c>
      <c r="U3" s="749">
        <f>U5*1000*'Inflation GDP Population'!U$18/'Inflation GDP Population'!$T$18</f>
        <v>323184.345</v>
      </c>
      <c r="V3" s="749">
        <f>V5*1000*'Inflation GDP Population'!V$18/'Inflation GDP Population'!$T$18</f>
        <v>310780.1663</v>
      </c>
      <c r="W3" s="749">
        <f>W5*1000*'Inflation GDP Population'!W$18/'Inflation GDP Population'!$T$18</f>
        <v>296709.3219</v>
      </c>
      <c r="X3" s="749">
        <f>X5*1000*'Inflation GDP Population'!X$18/'Inflation GDP Population'!$T$18</f>
        <v>283051.5283</v>
      </c>
      <c r="Y3" s="749">
        <f>Y5*1000*'Inflation GDP Population'!Y$18/'Inflation GDP Population'!$T$18</f>
        <v>267646.4822</v>
      </c>
      <c r="Z3" s="749">
        <f>Z5*1000*'Inflation GDP Population'!Z$18/'Inflation GDP Population'!$T$18</f>
        <v>252655.5469</v>
      </c>
      <c r="AA3" s="749">
        <f>AA5*1000*'Inflation GDP Population'!AA$18/'Inflation GDP Population'!$T$18</f>
        <v>235833.0094</v>
      </c>
      <c r="AB3" s="749">
        <f>AB5*1000*'Inflation GDP Population'!AB$18/'Inflation GDP Population'!$T$18</f>
        <v>231096.632</v>
      </c>
      <c r="AC3" s="749">
        <f>AC5*1000*'Inflation GDP Population'!AC$18/'Inflation GDP Population'!$T$18</f>
        <v>227275.6174</v>
      </c>
      <c r="AD3" s="749">
        <f>AD5*1000*'Inflation GDP Population'!AD$18/'Inflation GDP Population'!$T$18</f>
        <v>222004.4204</v>
      </c>
      <c r="AE3" s="749">
        <f>AE5*1000*'Inflation GDP Population'!AE$18/'Inflation GDP Population'!$T$18</f>
        <v>216441.051</v>
      </c>
      <c r="AF3" s="749">
        <f>AF5*1000*'Inflation GDP Population'!AF$18/'Inflation GDP Population'!$T$18</f>
        <v>211837.0502</v>
      </c>
      <c r="AG3" s="749">
        <f>AG5*1000*'Inflation GDP Population'!AG$18/'Inflation GDP Population'!$T$18</f>
        <v>213398.7052</v>
      </c>
      <c r="AH3" s="749">
        <f>AH5*1000*'Inflation GDP Population'!AH$18/'Inflation GDP Population'!$T$18</f>
        <v>214940.6674</v>
      </c>
      <c r="AI3" s="749">
        <f>AI5*1000*'Inflation GDP Population'!AI$18/'Inflation GDP Population'!$T$18</f>
        <v>215125.3918</v>
      </c>
      <c r="AJ3" s="749">
        <f>AJ5*1000*'Inflation GDP Population'!AJ$18/'Inflation GDP Population'!$T$18</f>
        <v>216597.7674</v>
      </c>
      <c r="AK3" s="749">
        <f>AK5*1000*'Inflation GDP Population'!AK$18/'Inflation GDP Population'!$T$18</f>
        <v>218045.7154</v>
      </c>
      <c r="AL3" s="749">
        <f>AL5*1000*'Inflation GDP Population'!AL$18/'Inflation GDP Population'!$T$18</f>
        <v>219467.7222</v>
      </c>
      <c r="AM3" s="749">
        <f>AM5*1000*'Inflation GDP Population'!AM$18/'Inflation GDP Population'!$T$18</f>
        <v>220862.2245</v>
      </c>
      <c r="AN3" s="749">
        <f>AN5*1000*'Inflation GDP Population'!AN$18/'Inflation GDP Population'!$T$18</f>
        <v>222227.608</v>
      </c>
      <c r="AO3" s="749">
        <f>AO5*1000*'Inflation GDP Population'!AO$18/'Inflation GDP Population'!$T$18</f>
        <v>223562.2058</v>
      </c>
      <c r="AP3" s="749">
        <f>AP5*1000*'Inflation GDP Population'!AP$18/'Inflation GDP Population'!$T$18</f>
        <v>224864.2971</v>
      </c>
      <c r="AQ3" s="749">
        <f>AQ5*1000*'Inflation GDP Population'!AQ$18/'Inflation GDP Population'!$T$18</f>
        <v>226132.1054</v>
      </c>
      <c r="AR3" s="749">
        <f>AR5*1000*'Inflation GDP Population'!AR$18/'Inflation GDP Population'!$T$18</f>
        <v>227363.7977</v>
      </c>
      <c r="AS3" s="749">
        <f>AS5*1000*'Inflation GDP Population'!AS$18/'Inflation GDP Population'!$T$18</f>
        <v>228557.4822</v>
      </c>
      <c r="AT3" s="749">
        <f>AT5*1000*'Inflation GDP Population'!AT$18/'Inflation GDP Population'!$T$18</f>
        <v>228058.6085</v>
      </c>
      <c r="AU3" s="749">
        <f>AU5*1000*'Inflation GDP Population'!AU$18/'Inflation GDP Population'!$T$18</f>
        <v>229138.1199</v>
      </c>
      <c r="AV3" s="749">
        <f>AV5*1000*'Inflation GDP Population'!AV$18/'Inflation GDP Population'!$T$18</f>
        <v>230172.9525</v>
      </c>
      <c r="AW3" s="749">
        <f>AW5*1000*'Inflation GDP Population'!AW$18/'Inflation GDP Population'!$T$18</f>
        <v>231160.9521</v>
      </c>
      <c r="AX3" s="749">
        <f>AX5*1000*'Inflation GDP Population'!AX$18/'Inflation GDP Population'!$T$18</f>
        <v>232099.8976</v>
      </c>
      <c r="AY3" s="749">
        <f>AY5*1000*'Inflation GDP Population'!AY$18/'Inflation GDP Population'!$T$18</f>
        <v>232987.499</v>
      </c>
      <c r="AZ3" s="749">
        <f>AZ5*1000*'Inflation GDP Population'!AZ$18/'Inflation GDP Population'!$T$18</f>
        <v>233821.3955</v>
      </c>
    </row>
    <row r="4" ht="15.0" customHeight="1">
      <c r="A4" s="541" t="s">
        <v>1141</v>
      </c>
      <c r="B4" s="870">
        <f t="shared" ref="B4:S4" si="3">C4*(1+B$6)</f>
        <v>986.9402245</v>
      </c>
      <c r="C4" s="870">
        <f t="shared" si="3"/>
        <v>922.3740416</v>
      </c>
      <c r="D4" s="870">
        <f t="shared" si="3"/>
        <v>862.0318146</v>
      </c>
      <c r="E4" s="870">
        <f t="shared" si="3"/>
        <v>805.6372099</v>
      </c>
      <c r="F4" s="870">
        <f t="shared" si="3"/>
        <v>752.9319719</v>
      </c>
      <c r="G4" s="870">
        <f t="shared" si="3"/>
        <v>703.6747401</v>
      </c>
      <c r="H4" s="870">
        <f t="shared" si="3"/>
        <v>657.639944</v>
      </c>
      <c r="I4" s="870">
        <f t="shared" si="3"/>
        <v>614.6167701</v>
      </c>
      <c r="J4" s="870">
        <f t="shared" si="3"/>
        <v>574.4081963</v>
      </c>
      <c r="K4" s="870">
        <f t="shared" si="3"/>
        <v>536.83009</v>
      </c>
      <c r="L4" s="870">
        <f t="shared" si="3"/>
        <v>501.7103645</v>
      </c>
      <c r="M4" s="870">
        <f t="shared" si="3"/>
        <v>468.8881911</v>
      </c>
      <c r="N4" s="870">
        <f t="shared" si="3"/>
        <v>438.2132627</v>
      </c>
      <c r="O4" s="870">
        <f t="shared" si="3"/>
        <v>409.5451054</v>
      </c>
      <c r="P4" s="870">
        <f t="shared" si="3"/>
        <v>382.7524349</v>
      </c>
      <c r="Q4" s="870">
        <f t="shared" si="3"/>
        <v>357.712556</v>
      </c>
      <c r="R4" s="870">
        <f t="shared" si="3"/>
        <v>334.3108</v>
      </c>
      <c r="S4" s="870">
        <f t="shared" si="3"/>
        <v>312.44</v>
      </c>
      <c r="T4" s="750">
        <v>292.0</v>
      </c>
      <c r="U4" s="750">
        <v>276.0</v>
      </c>
      <c r="V4" s="707">
        <v>260.0</v>
      </c>
      <c r="W4" s="751">
        <v>244.0</v>
      </c>
      <c r="X4" s="751">
        <v>228.0</v>
      </c>
      <c r="Y4" s="751">
        <v>212.0</v>
      </c>
      <c r="Z4" s="751">
        <v>196.0</v>
      </c>
      <c r="AA4" s="751">
        <v>179.0</v>
      </c>
      <c r="AB4" s="751">
        <v>173.0</v>
      </c>
      <c r="AC4" s="751">
        <v>166.0</v>
      </c>
      <c r="AD4" s="751">
        <v>159.0</v>
      </c>
      <c r="AE4" s="751">
        <v>153.0</v>
      </c>
      <c r="AF4" s="751">
        <v>146.0</v>
      </c>
      <c r="AG4" s="751">
        <v>144.0</v>
      </c>
      <c r="AH4" s="751">
        <v>142.0</v>
      </c>
      <c r="AI4" s="751">
        <v>141.0</v>
      </c>
      <c r="AJ4" s="751">
        <v>139.0</v>
      </c>
      <c r="AK4" s="751">
        <v>137.0</v>
      </c>
      <c r="AL4" s="751">
        <v>135.0</v>
      </c>
      <c r="AM4" s="751">
        <v>133.0</v>
      </c>
      <c r="AN4" s="751">
        <v>131.0</v>
      </c>
      <c r="AO4" s="751">
        <v>130.0</v>
      </c>
      <c r="AP4" s="751">
        <v>128.0</v>
      </c>
      <c r="AQ4" s="751">
        <v>126.0</v>
      </c>
      <c r="AR4" s="751">
        <v>124.0</v>
      </c>
      <c r="AS4" s="751">
        <v>122.0</v>
      </c>
      <c r="AT4" s="751">
        <v>121.0</v>
      </c>
      <c r="AU4" s="751">
        <v>119.0</v>
      </c>
      <c r="AV4" s="751">
        <v>117.0</v>
      </c>
      <c r="AW4" s="751">
        <v>115.0</v>
      </c>
      <c r="AX4" s="751">
        <v>113.0</v>
      </c>
      <c r="AY4" s="751">
        <v>111.0</v>
      </c>
      <c r="AZ4" s="751">
        <v>110.0</v>
      </c>
    </row>
    <row r="5" ht="15.0" customHeight="1">
      <c r="A5" s="541" t="s">
        <v>1142</v>
      </c>
      <c r="B5" s="870">
        <f t="shared" ref="B5:S5" si="4">C5*(1+B$6)</f>
        <v>1132.277312</v>
      </c>
      <c r="C5" s="870">
        <f t="shared" si="4"/>
        <v>1058.203096</v>
      </c>
      <c r="D5" s="870">
        <f t="shared" si="4"/>
        <v>988.9748558</v>
      </c>
      <c r="E5" s="870">
        <f t="shared" si="4"/>
        <v>924.2755661</v>
      </c>
      <c r="F5" s="870">
        <f t="shared" si="4"/>
        <v>863.8089403</v>
      </c>
      <c r="G5" s="870">
        <f t="shared" si="4"/>
        <v>807.2980751</v>
      </c>
      <c r="H5" s="870">
        <f t="shared" si="4"/>
        <v>754.4841823</v>
      </c>
      <c r="I5" s="870">
        <f t="shared" si="4"/>
        <v>705.125404</v>
      </c>
      <c r="J5" s="870">
        <f t="shared" si="4"/>
        <v>658.9957047</v>
      </c>
      <c r="K5" s="870">
        <f t="shared" si="4"/>
        <v>615.8838362</v>
      </c>
      <c r="L5" s="870">
        <f t="shared" si="4"/>
        <v>575.5923702</v>
      </c>
      <c r="M5" s="870">
        <f t="shared" si="4"/>
        <v>537.9367946</v>
      </c>
      <c r="N5" s="870">
        <f t="shared" si="4"/>
        <v>502.7446679</v>
      </c>
      <c r="O5" s="870">
        <f t="shared" si="4"/>
        <v>469.8548298</v>
      </c>
      <c r="P5" s="870">
        <f t="shared" si="4"/>
        <v>439.1166634</v>
      </c>
      <c r="Q5" s="870">
        <f t="shared" si="4"/>
        <v>410.389405</v>
      </c>
      <c r="R5" s="870">
        <f t="shared" si="4"/>
        <v>383.5415</v>
      </c>
      <c r="S5" s="870">
        <f t="shared" si="4"/>
        <v>358.45</v>
      </c>
      <c r="T5" s="750">
        <v>335.0</v>
      </c>
      <c r="U5" s="750">
        <v>317.0</v>
      </c>
      <c r="V5" s="707">
        <v>299.0</v>
      </c>
      <c r="W5" s="751">
        <v>280.0</v>
      </c>
      <c r="X5" s="751">
        <v>262.0</v>
      </c>
      <c r="Y5" s="751">
        <v>243.0</v>
      </c>
      <c r="Z5" s="751">
        <v>225.0</v>
      </c>
      <c r="AA5" s="751">
        <v>206.0</v>
      </c>
      <c r="AB5" s="751">
        <v>198.0</v>
      </c>
      <c r="AC5" s="751">
        <v>191.0</v>
      </c>
      <c r="AD5" s="751">
        <v>183.0</v>
      </c>
      <c r="AE5" s="751">
        <v>175.0</v>
      </c>
      <c r="AF5" s="751">
        <v>168.0</v>
      </c>
      <c r="AG5" s="751">
        <v>166.0</v>
      </c>
      <c r="AH5" s="751">
        <v>164.0</v>
      </c>
      <c r="AI5" s="751">
        <v>161.0</v>
      </c>
      <c r="AJ5" s="751">
        <v>159.0</v>
      </c>
      <c r="AK5" s="751">
        <v>157.0</v>
      </c>
      <c r="AL5" s="751">
        <v>155.0</v>
      </c>
      <c r="AM5" s="751">
        <v>153.0</v>
      </c>
      <c r="AN5" s="751">
        <v>151.0</v>
      </c>
      <c r="AO5" s="751">
        <v>149.0</v>
      </c>
      <c r="AP5" s="751">
        <v>147.0</v>
      </c>
      <c r="AQ5" s="751">
        <v>145.0</v>
      </c>
      <c r="AR5" s="751">
        <v>143.0</v>
      </c>
      <c r="AS5" s="751">
        <v>141.0</v>
      </c>
      <c r="AT5" s="751">
        <v>138.0</v>
      </c>
      <c r="AU5" s="751">
        <v>136.0</v>
      </c>
      <c r="AV5" s="751">
        <v>134.0</v>
      </c>
      <c r="AW5" s="751">
        <v>132.0</v>
      </c>
      <c r="AX5" s="751">
        <v>130.0</v>
      </c>
      <c r="AY5" s="751">
        <v>128.0</v>
      </c>
      <c r="AZ5" s="751">
        <v>126.0</v>
      </c>
    </row>
    <row r="6" ht="15.0" customHeight="1">
      <c r="A6" s="535" t="s">
        <v>72</v>
      </c>
      <c r="B6" s="720">
        <f t="shared" ref="B6:U6" si="5">C6</f>
        <v>0.07</v>
      </c>
      <c r="C6" s="720">
        <f t="shared" si="5"/>
        <v>0.07</v>
      </c>
      <c r="D6" s="720">
        <f t="shared" si="5"/>
        <v>0.07</v>
      </c>
      <c r="E6" s="720">
        <f t="shared" si="5"/>
        <v>0.07</v>
      </c>
      <c r="F6" s="720">
        <f t="shared" si="5"/>
        <v>0.07</v>
      </c>
      <c r="G6" s="720">
        <f t="shared" si="5"/>
        <v>0.07</v>
      </c>
      <c r="H6" s="720">
        <f t="shared" si="5"/>
        <v>0.07</v>
      </c>
      <c r="I6" s="720">
        <f t="shared" si="5"/>
        <v>0.07</v>
      </c>
      <c r="J6" s="720">
        <f t="shared" si="5"/>
        <v>0.07</v>
      </c>
      <c r="K6" s="720">
        <f t="shared" si="5"/>
        <v>0.07</v>
      </c>
      <c r="L6" s="720">
        <f t="shared" si="5"/>
        <v>0.07</v>
      </c>
      <c r="M6" s="720">
        <f t="shared" si="5"/>
        <v>0.07</v>
      </c>
      <c r="N6" s="720">
        <f t="shared" si="5"/>
        <v>0.07</v>
      </c>
      <c r="O6" s="720">
        <f t="shared" si="5"/>
        <v>0.07</v>
      </c>
      <c r="P6" s="720">
        <f t="shared" si="5"/>
        <v>0.07</v>
      </c>
      <c r="Q6" s="720">
        <f t="shared" si="5"/>
        <v>0.07</v>
      </c>
      <c r="R6" s="720">
        <f t="shared" si="5"/>
        <v>0.07</v>
      </c>
      <c r="S6" s="720">
        <f t="shared" si="5"/>
        <v>0.07</v>
      </c>
      <c r="T6" s="720">
        <f t="shared" si="5"/>
        <v>0.07</v>
      </c>
      <c r="U6" s="720">
        <f t="shared" si="5"/>
        <v>0.07</v>
      </c>
      <c r="V6" s="536">
        <v>0.07</v>
      </c>
      <c r="W6" s="537">
        <f t="shared" ref="W6:AF6" si="6">V6</f>
        <v>0.07</v>
      </c>
      <c r="X6" s="537">
        <f t="shared" si="6"/>
        <v>0.07</v>
      </c>
      <c r="Y6" s="537">
        <f t="shared" si="6"/>
        <v>0.07</v>
      </c>
      <c r="Z6" s="537">
        <f t="shared" si="6"/>
        <v>0.07</v>
      </c>
      <c r="AA6" s="537">
        <f t="shared" si="6"/>
        <v>0.07</v>
      </c>
      <c r="AB6" s="537">
        <f t="shared" si="6"/>
        <v>0.07</v>
      </c>
      <c r="AC6" s="537">
        <f t="shared" si="6"/>
        <v>0.07</v>
      </c>
      <c r="AD6" s="537">
        <f t="shared" si="6"/>
        <v>0.07</v>
      </c>
      <c r="AE6" s="537">
        <f t="shared" si="6"/>
        <v>0.07</v>
      </c>
      <c r="AF6" s="537">
        <f t="shared" si="6"/>
        <v>0.07</v>
      </c>
      <c r="AG6" s="871">
        <f>AF6/3</f>
        <v>0.02333333333</v>
      </c>
      <c r="AH6" s="871">
        <f t="shared" ref="AH6:AZ6" si="7">AG6</f>
        <v>0.02333333333</v>
      </c>
      <c r="AI6" s="871">
        <f t="shared" si="7"/>
        <v>0.02333333333</v>
      </c>
      <c r="AJ6" s="871">
        <f t="shared" si="7"/>
        <v>0.02333333333</v>
      </c>
      <c r="AK6" s="871">
        <f t="shared" si="7"/>
        <v>0.02333333333</v>
      </c>
      <c r="AL6" s="871">
        <f t="shared" si="7"/>
        <v>0.02333333333</v>
      </c>
      <c r="AM6" s="871">
        <f t="shared" si="7"/>
        <v>0.02333333333</v>
      </c>
      <c r="AN6" s="871">
        <f t="shared" si="7"/>
        <v>0.02333333333</v>
      </c>
      <c r="AO6" s="871">
        <f t="shared" si="7"/>
        <v>0.02333333333</v>
      </c>
      <c r="AP6" s="871">
        <f t="shared" si="7"/>
        <v>0.02333333333</v>
      </c>
      <c r="AQ6" s="871">
        <f t="shared" si="7"/>
        <v>0.02333333333</v>
      </c>
      <c r="AR6" s="871">
        <f t="shared" si="7"/>
        <v>0.02333333333</v>
      </c>
      <c r="AS6" s="871">
        <f t="shared" si="7"/>
        <v>0.02333333333</v>
      </c>
      <c r="AT6" s="871">
        <f t="shared" si="7"/>
        <v>0.02333333333</v>
      </c>
      <c r="AU6" s="871">
        <f t="shared" si="7"/>
        <v>0.02333333333</v>
      </c>
      <c r="AV6" s="871">
        <f t="shared" si="7"/>
        <v>0.02333333333</v>
      </c>
      <c r="AW6" s="871">
        <f t="shared" si="7"/>
        <v>0.02333333333</v>
      </c>
      <c r="AX6" s="871">
        <f t="shared" si="7"/>
        <v>0.02333333333</v>
      </c>
      <c r="AY6" s="871">
        <f t="shared" si="7"/>
        <v>0.02333333333</v>
      </c>
      <c r="AZ6" s="871">
        <f t="shared" si="7"/>
        <v>0.02333333333</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6">
        <v>0.2</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0.8</v>
      </c>
      <c r="W8" s="872"/>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6">
        <v>0.08</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41" t="s">
        <v>1143</v>
      </c>
      <c r="B10" s="535"/>
      <c r="C10" s="535"/>
      <c r="D10" s="535"/>
      <c r="E10" s="535"/>
      <c r="F10" s="535"/>
      <c r="G10" s="535"/>
      <c r="H10" s="535"/>
      <c r="I10" s="535"/>
      <c r="J10" s="535"/>
      <c r="K10" s="535"/>
      <c r="L10" s="535"/>
      <c r="M10" s="535"/>
      <c r="N10" s="535"/>
      <c r="O10" s="535"/>
      <c r="P10" s="535"/>
      <c r="Q10" s="535"/>
      <c r="R10" s="535"/>
      <c r="S10" s="535"/>
      <c r="T10" s="535"/>
      <c r="U10" s="535"/>
      <c r="V10" s="536">
        <v>0.12</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0.112</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540">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41" t="s">
        <v>709</v>
      </c>
      <c r="B13" s="535"/>
      <c r="C13" s="535"/>
      <c r="D13" s="535"/>
      <c r="E13" s="535"/>
      <c r="F13" s="535"/>
      <c r="G13" s="535"/>
      <c r="H13" s="535"/>
      <c r="I13" s="535"/>
      <c r="J13" s="535"/>
      <c r="K13" s="535"/>
      <c r="L13" s="535"/>
      <c r="M13" s="535"/>
      <c r="N13" s="535"/>
      <c r="O13" s="535"/>
      <c r="P13" s="535"/>
      <c r="Q13" s="535"/>
      <c r="R13" s="535"/>
      <c r="S13" s="535"/>
      <c r="T13" s="535"/>
      <c r="U13" s="535"/>
      <c r="V13" s="862">
        <v>0.1429</v>
      </c>
      <c r="W13" s="873">
        <v>0.2449</v>
      </c>
      <c r="X13" s="873">
        <v>0.1749</v>
      </c>
      <c r="Y13" s="873">
        <v>0.1249</v>
      </c>
      <c r="Z13" s="873">
        <v>0.0893</v>
      </c>
      <c r="AA13" s="873">
        <v>0.0892</v>
      </c>
      <c r="AB13" s="873">
        <v>0.0893</v>
      </c>
      <c r="AC13" s="873">
        <v>0.0446</v>
      </c>
      <c r="AD13" s="710"/>
      <c r="AE13" s="710"/>
      <c r="AF13" s="710"/>
      <c r="AG13" s="710"/>
      <c r="AH13" s="710"/>
      <c r="AI13" s="710"/>
      <c r="AJ13" s="710"/>
      <c r="AK13" s="710"/>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540"/>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849">
        <v>1.0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1</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874" t="s">
        <v>1144</v>
      </c>
      <c r="B17" s="535"/>
      <c r="C17" s="535"/>
      <c r="D17" s="535"/>
      <c r="E17" s="535"/>
      <c r="F17" s="535"/>
      <c r="G17" s="535"/>
      <c r="H17" s="535"/>
      <c r="I17" s="535"/>
      <c r="J17" s="853">
        <f t="shared" ref="J17:U17" si="8">K17/(1+J21)</f>
        <v>4</v>
      </c>
      <c r="K17" s="853">
        <f t="shared" si="8"/>
        <v>4</v>
      </c>
      <c r="L17" s="853">
        <f t="shared" si="8"/>
        <v>4</v>
      </c>
      <c r="M17" s="853">
        <f t="shared" si="8"/>
        <v>4</v>
      </c>
      <c r="N17" s="853">
        <f t="shared" si="8"/>
        <v>4</v>
      </c>
      <c r="O17" s="853">
        <f t="shared" si="8"/>
        <v>4</v>
      </c>
      <c r="P17" s="853">
        <f t="shared" si="8"/>
        <v>4</v>
      </c>
      <c r="Q17" s="853">
        <f t="shared" si="8"/>
        <v>4</v>
      </c>
      <c r="R17" s="853">
        <f t="shared" si="8"/>
        <v>4</v>
      </c>
      <c r="S17" s="853">
        <f t="shared" si="8"/>
        <v>4</v>
      </c>
      <c r="T17" s="853">
        <f t="shared" si="8"/>
        <v>4</v>
      </c>
      <c r="U17" s="853">
        <f t="shared" si="8"/>
        <v>4</v>
      </c>
      <c r="V17" s="837">
        <v>4.0</v>
      </c>
      <c r="W17" s="875">
        <f t="shared" ref="W17:AZ17" si="9">V17*(1+V21)</f>
        <v>4</v>
      </c>
      <c r="X17" s="875">
        <f t="shared" si="9"/>
        <v>4</v>
      </c>
      <c r="Y17" s="875">
        <f t="shared" si="9"/>
        <v>4</v>
      </c>
      <c r="Z17" s="875">
        <f t="shared" si="9"/>
        <v>4</v>
      </c>
      <c r="AA17" s="875">
        <f t="shared" si="9"/>
        <v>4</v>
      </c>
      <c r="AB17" s="875">
        <f t="shared" si="9"/>
        <v>4</v>
      </c>
      <c r="AC17" s="875">
        <f t="shared" si="9"/>
        <v>4</v>
      </c>
      <c r="AD17" s="875">
        <f t="shared" si="9"/>
        <v>4</v>
      </c>
      <c r="AE17" s="875">
        <f t="shared" si="9"/>
        <v>4</v>
      </c>
      <c r="AF17" s="875">
        <f t="shared" si="9"/>
        <v>4</v>
      </c>
      <c r="AG17" s="875">
        <f t="shared" si="9"/>
        <v>4</v>
      </c>
      <c r="AH17" s="875">
        <f t="shared" si="9"/>
        <v>4</v>
      </c>
      <c r="AI17" s="875">
        <f t="shared" si="9"/>
        <v>4</v>
      </c>
      <c r="AJ17" s="875">
        <f t="shared" si="9"/>
        <v>4</v>
      </c>
      <c r="AK17" s="875">
        <f t="shared" si="9"/>
        <v>4</v>
      </c>
      <c r="AL17" s="875">
        <f t="shared" si="9"/>
        <v>4</v>
      </c>
      <c r="AM17" s="875">
        <f t="shared" si="9"/>
        <v>4</v>
      </c>
      <c r="AN17" s="875">
        <f t="shared" si="9"/>
        <v>4</v>
      </c>
      <c r="AO17" s="875">
        <f t="shared" si="9"/>
        <v>4</v>
      </c>
      <c r="AP17" s="875">
        <f t="shared" si="9"/>
        <v>4</v>
      </c>
      <c r="AQ17" s="875">
        <f t="shared" si="9"/>
        <v>4</v>
      </c>
      <c r="AR17" s="875">
        <f t="shared" si="9"/>
        <v>4</v>
      </c>
      <c r="AS17" s="875">
        <f t="shared" si="9"/>
        <v>4</v>
      </c>
      <c r="AT17" s="875">
        <f t="shared" si="9"/>
        <v>4</v>
      </c>
      <c r="AU17" s="875">
        <f t="shared" si="9"/>
        <v>4</v>
      </c>
      <c r="AV17" s="875">
        <f t="shared" si="9"/>
        <v>4</v>
      </c>
      <c r="AW17" s="875">
        <f t="shared" si="9"/>
        <v>4</v>
      </c>
      <c r="AX17" s="875">
        <f t="shared" si="9"/>
        <v>4</v>
      </c>
      <c r="AY17" s="875">
        <f t="shared" si="9"/>
        <v>4</v>
      </c>
      <c r="AZ17" s="875">
        <f t="shared" si="9"/>
        <v>4</v>
      </c>
    </row>
    <row r="18" ht="15.0" customHeight="1">
      <c r="A18" s="874" t="s">
        <v>1145</v>
      </c>
      <c r="B18" s="535"/>
      <c r="C18" s="535"/>
      <c r="D18" s="535"/>
      <c r="E18" s="535"/>
      <c r="F18" s="535"/>
      <c r="G18" s="535"/>
      <c r="H18" s="535"/>
      <c r="I18" s="535"/>
      <c r="J18" s="731">
        <f t="shared" ref="J18:U18" si="10">K18</f>
        <v>1</v>
      </c>
      <c r="K18" s="731">
        <f t="shared" si="10"/>
        <v>1</v>
      </c>
      <c r="L18" s="731">
        <f t="shared" si="10"/>
        <v>1</v>
      </c>
      <c r="M18" s="731">
        <f t="shared" si="10"/>
        <v>1</v>
      </c>
      <c r="N18" s="731">
        <f t="shared" si="10"/>
        <v>1</v>
      </c>
      <c r="O18" s="731">
        <f t="shared" si="10"/>
        <v>1</v>
      </c>
      <c r="P18" s="731">
        <f t="shared" si="10"/>
        <v>1</v>
      </c>
      <c r="Q18" s="731">
        <f t="shared" si="10"/>
        <v>1</v>
      </c>
      <c r="R18" s="731">
        <f t="shared" si="10"/>
        <v>1</v>
      </c>
      <c r="S18" s="731">
        <f t="shared" si="10"/>
        <v>1</v>
      </c>
      <c r="T18" s="731">
        <f t="shared" si="10"/>
        <v>1</v>
      </c>
      <c r="U18" s="731">
        <f t="shared" si="10"/>
        <v>1</v>
      </c>
      <c r="V18" s="542">
        <v>1.0</v>
      </c>
      <c r="W18" s="208">
        <f t="shared" ref="W18:AZ18" si="11">V18</f>
        <v>1</v>
      </c>
      <c r="X18" s="208">
        <f t="shared" si="11"/>
        <v>1</v>
      </c>
      <c r="Y18" s="208">
        <f t="shared" si="11"/>
        <v>1</v>
      </c>
      <c r="Z18" s="208">
        <f t="shared" si="11"/>
        <v>1</v>
      </c>
      <c r="AA18" s="208">
        <f t="shared" si="11"/>
        <v>1</v>
      </c>
      <c r="AB18" s="208">
        <f t="shared" si="11"/>
        <v>1</v>
      </c>
      <c r="AC18" s="208">
        <f t="shared" si="11"/>
        <v>1</v>
      </c>
      <c r="AD18" s="208">
        <f t="shared" si="11"/>
        <v>1</v>
      </c>
      <c r="AE18" s="208">
        <f t="shared" si="11"/>
        <v>1</v>
      </c>
      <c r="AF18" s="208">
        <f t="shared" si="11"/>
        <v>1</v>
      </c>
      <c r="AG18" s="208">
        <f t="shared" si="11"/>
        <v>1</v>
      </c>
      <c r="AH18" s="208">
        <f t="shared" si="11"/>
        <v>1</v>
      </c>
      <c r="AI18" s="208">
        <f t="shared" si="11"/>
        <v>1</v>
      </c>
      <c r="AJ18" s="208">
        <f t="shared" si="11"/>
        <v>1</v>
      </c>
      <c r="AK18" s="208">
        <f t="shared" si="11"/>
        <v>1</v>
      </c>
      <c r="AL18" s="208">
        <f t="shared" si="11"/>
        <v>1</v>
      </c>
      <c r="AM18" s="208">
        <f t="shared" si="11"/>
        <v>1</v>
      </c>
      <c r="AN18" s="208">
        <f t="shared" si="11"/>
        <v>1</v>
      </c>
      <c r="AO18" s="208">
        <f t="shared" si="11"/>
        <v>1</v>
      </c>
      <c r="AP18" s="208">
        <f t="shared" si="11"/>
        <v>1</v>
      </c>
      <c r="AQ18" s="208">
        <f t="shared" si="11"/>
        <v>1</v>
      </c>
      <c r="AR18" s="208">
        <f t="shared" si="11"/>
        <v>1</v>
      </c>
      <c r="AS18" s="208">
        <f t="shared" si="11"/>
        <v>1</v>
      </c>
      <c r="AT18" s="208">
        <f t="shared" si="11"/>
        <v>1</v>
      </c>
      <c r="AU18" s="208">
        <f t="shared" si="11"/>
        <v>1</v>
      </c>
      <c r="AV18" s="208">
        <f t="shared" si="11"/>
        <v>1</v>
      </c>
      <c r="AW18" s="208">
        <f t="shared" si="11"/>
        <v>1</v>
      </c>
      <c r="AX18" s="208">
        <f t="shared" si="11"/>
        <v>1</v>
      </c>
      <c r="AY18" s="208">
        <f t="shared" si="11"/>
        <v>1</v>
      </c>
      <c r="AZ18" s="208">
        <f t="shared" si="11"/>
        <v>1</v>
      </c>
    </row>
    <row r="19" ht="15.0" customHeight="1">
      <c r="A19" s="874" t="s">
        <v>1146</v>
      </c>
      <c r="B19" s="535"/>
      <c r="C19" s="535"/>
      <c r="D19" s="535"/>
      <c r="E19" s="535"/>
      <c r="F19" s="535"/>
      <c r="G19" s="535"/>
      <c r="H19" s="535"/>
      <c r="I19" s="535"/>
      <c r="J19" s="855">
        <f t="shared" ref="J19:U19" si="12">K19</f>
        <v>1</v>
      </c>
      <c r="K19" s="855">
        <f t="shared" si="12"/>
        <v>1</v>
      </c>
      <c r="L19" s="855">
        <f t="shared" si="12"/>
        <v>1</v>
      </c>
      <c r="M19" s="855">
        <f t="shared" si="12"/>
        <v>1</v>
      </c>
      <c r="N19" s="855">
        <f t="shared" si="12"/>
        <v>1</v>
      </c>
      <c r="O19" s="855">
        <f t="shared" si="12"/>
        <v>1</v>
      </c>
      <c r="P19" s="855">
        <f t="shared" si="12"/>
        <v>1</v>
      </c>
      <c r="Q19" s="855">
        <f t="shared" si="12"/>
        <v>1</v>
      </c>
      <c r="R19" s="855">
        <f t="shared" si="12"/>
        <v>1</v>
      </c>
      <c r="S19" s="855">
        <f t="shared" si="12"/>
        <v>1</v>
      </c>
      <c r="T19" s="855">
        <f t="shared" si="12"/>
        <v>1</v>
      </c>
      <c r="U19" s="855">
        <f t="shared" si="12"/>
        <v>1</v>
      </c>
      <c r="V19" s="837">
        <v>1.0</v>
      </c>
      <c r="W19" s="875">
        <f t="shared" ref="W19:AZ19" si="13">V19</f>
        <v>1</v>
      </c>
      <c r="X19" s="875">
        <f t="shared" si="13"/>
        <v>1</v>
      </c>
      <c r="Y19" s="875">
        <f t="shared" si="13"/>
        <v>1</v>
      </c>
      <c r="Z19" s="875">
        <f t="shared" si="13"/>
        <v>1</v>
      </c>
      <c r="AA19" s="875">
        <f t="shared" si="13"/>
        <v>1</v>
      </c>
      <c r="AB19" s="875">
        <f t="shared" si="13"/>
        <v>1</v>
      </c>
      <c r="AC19" s="875">
        <f t="shared" si="13"/>
        <v>1</v>
      </c>
      <c r="AD19" s="875">
        <f t="shared" si="13"/>
        <v>1</v>
      </c>
      <c r="AE19" s="875">
        <f t="shared" si="13"/>
        <v>1</v>
      </c>
      <c r="AF19" s="875">
        <f t="shared" si="13"/>
        <v>1</v>
      </c>
      <c r="AG19" s="875">
        <f t="shared" si="13"/>
        <v>1</v>
      </c>
      <c r="AH19" s="875">
        <f t="shared" si="13"/>
        <v>1</v>
      </c>
      <c r="AI19" s="875">
        <f t="shared" si="13"/>
        <v>1</v>
      </c>
      <c r="AJ19" s="875">
        <f t="shared" si="13"/>
        <v>1</v>
      </c>
      <c r="AK19" s="875">
        <f t="shared" si="13"/>
        <v>1</v>
      </c>
      <c r="AL19" s="875">
        <f t="shared" si="13"/>
        <v>1</v>
      </c>
      <c r="AM19" s="875">
        <f t="shared" si="13"/>
        <v>1</v>
      </c>
      <c r="AN19" s="875">
        <f t="shared" si="13"/>
        <v>1</v>
      </c>
      <c r="AO19" s="875">
        <f t="shared" si="13"/>
        <v>1</v>
      </c>
      <c r="AP19" s="875">
        <f t="shared" si="13"/>
        <v>1</v>
      </c>
      <c r="AQ19" s="875">
        <f t="shared" si="13"/>
        <v>1</v>
      </c>
      <c r="AR19" s="875">
        <f t="shared" si="13"/>
        <v>1</v>
      </c>
      <c r="AS19" s="875">
        <f t="shared" si="13"/>
        <v>1</v>
      </c>
      <c r="AT19" s="875">
        <f t="shared" si="13"/>
        <v>1</v>
      </c>
      <c r="AU19" s="875">
        <f t="shared" si="13"/>
        <v>1</v>
      </c>
      <c r="AV19" s="875">
        <f t="shared" si="13"/>
        <v>1</v>
      </c>
      <c r="AW19" s="875">
        <f t="shared" si="13"/>
        <v>1</v>
      </c>
      <c r="AX19" s="875">
        <f t="shared" si="13"/>
        <v>1</v>
      </c>
      <c r="AY19" s="875">
        <f t="shared" si="13"/>
        <v>1</v>
      </c>
      <c r="AZ19" s="875">
        <f t="shared" si="13"/>
        <v>1</v>
      </c>
    </row>
    <row r="20" ht="15.0" customHeight="1">
      <c r="A20" s="874" t="s">
        <v>1147</v>
      </c>
      <c r="B20" s="535"/>
      <c r="C20" s="535"/>
      <c r="D20" s="535"/>
      <c r="E20" s="535"/>
      <c r="F20" s="535"/>
      <c r="G20" s="535"/>
      <c r="H20" s="535"/>
      <c r="I20" s="535"/>
      <c r="J20" s="855">
        <f t="shared" ref="J20:U20" si="14">K20</f>
        <v>350</v>
      </c>
      <c r="K20" s="855">
        <f t="shared" si="14"/>
        <v>350</v>
      </c>
      <c r="L20" s="855">
        <f t="shared" si="14"/>
        <v>350</v>
      </c>
      <c r="M20" s="855">
        <f t="shared" si="14"/>
        <v>350</v>
      </c>
      <c r="N20" s="855">
        <f t="shared" si="14"/>
        <v>350</v>
      </c>
      <c r="O20" s="855">
        <f t="shared" si="14"/>
        <v>350</v>
      </c>
      <c r="P20" s="855">
        <f t="shared" si="14"/>
        <v>350</v>
      </c>
      <c r="Q20" s="855">
        <f t="shared" si="14"/>
        <v>350</v>
      </c>
      <c r="R20" s="855">
        <f t="shared" si="14"/>
        <v>350</v>
      </c>
      <c r="S20" s="855">
        <f t="shared" si="14"/>
        <v>350</v>
      </c>
      <c r="T20" s="855">
        <f t="shared" si="14"/>
        <v>350</v>
      </c>
      <c r="U20" s="855">
        <f t="shared" si="14"/>
        <v>350</v>
      </c>
      <c r="V20" s="837">
        <v>350.0</v>
      </c>
      <c r="W20" s="875">
        <f t="shared" ref="W20:AZ20" si="15">V20</f>
        <v>350</v>
      </c>
      <c r="X20" s="875">
        <f t="shared" si="15"/>
        <v>350</v>
      </c>
      <c r="Y20" s="875">
        <f t="shared" si="15"/>
        <v>350</v>
      </c>
      <c r="Z20" s="875">
        <f t="shared" si="15"/>
        <v>350</v>
      </c>
      <c r="AA20" s="875">
        <f t="shared" si="15"/>
        <v>350</v>
      </c>
      <c r="AB20" s="875">
        <f t="shared" si="15"/>
        <v>350</v>
      </c>
      <c r="AC20" s="875">
        <f t="shared" si="15"/>
        <v>350</v>
      </c>
      <c r="AD20" s="875">
        <f t="shared" si="15"/>
        <v>350</v>
      </c>
      <c r="AE20" s="875">
        <f t="shared" si="15"/>
        <v>350</v>
      </c>
      <c r="AF20" s="875">
        <f t="shared" si="15"/>
        <v>350</v>
      </c>
      <c r="AG20" s="875">
        <f t="shared" si="15"/>
        <v>350</v>
      </c>
      <c r="AH20" s="875">
        <f t="shared" si="15"/>
        <v>350</v>
      </c>
      <c r="AI20" s="875">
        <f t="shared" si="15"/>
        <v>350</v>
      </c>
      <c r="AJ20" s="875">
        <f t="shared" si="15"/>
        <v>350</v>
      </c>
      <c r="AK20" s="875">
        <f t="shared" si="15"/>
        <v>350</v>
      </c>
      <c r="AL20" s="875">
        <f t="shared" si="15"/>
        <v>350</v>
      </c>
      <c r="AM20" s="875">
        <f t="shared" si="15"/>
        <v>350</v>
      </c>
      <c r="AN20" s="875">
        <f t="shared" si="15"/>
        <v>350</v>
      </c>
      <c r="AO20" s="875">
        <f t="shared" si="15"/>
        <v>350</v>
      </c>
      <c r="AP20" s="875">
        <f t="shared" si="15"/>
        <v>350</v>
      </c>
      <c r="AQ20" s="875">
        <f t="shared" si="15"/>
        <v>350</v>
      </c>
      <c r="AR20" s="875">
        <f t="shared" si="15"/>
        <v>350</v>
      </c>
      <c r="AS20" s="875">
        <f t="shared" si="15"/>
        <v>350</v>
      </c>
      <c r="AT20" s="875">
        <f t="shared" si="15"/>
        <v>350</v>
      </c>
      <c r="AU20" s="875">
        <f t="shared" si="15"/>
        <v>350</v>
      </c>
      <c r="AV20" s="875">
        <f t="shared" si="15"/>
        <v>350</v>
      </c>
      <c r="AW20" s="875">
        <f t="shared" si="15"/>
        <v>350</v>
      </c>
      <c r="AX20" s="875">
        <f t="shared" si="15"/>
        <v>350</v>
      </c>
      <c r="AY20" s="875">
        <f t="shared" si="15"/>
        <v>350</v>
      </c>
      <c r="AZ20" s="875">
        <f t="shared" si="15"/>
        <v>350</v>
      </c>
    </row>
    <row r="21" ht="15.0" customHeight="1">
      <c r="A21" s="874" t="s">
        <v>1148</v>
      </c>
      <c r="B21" s="535"/>
      <c r="C21" s="535"/>
      <c r="D21" s="535"/>
      <c r="E21" s="535"/>
      <c r="F21" s="535"/>
      <c r="G21" s="535"/>
      <c r="H21" s="535"/>
      <c r="I21" s="535"/>
      <c r="J21" s="731">
        <f t="shared" ref="J21:U21" si="16">K21</f>
        <v>0</v>
      </c>
      <c r="K21" s="731">
        <f t="shared" si="16"/>
        <v>0</v>
      </c>
      <c r="L21" s="731">
        <f t="shared" si="16"/>
        <v>0</v>
      </c>
      <c r="M21" s="731">
        <f t="shared" si="16"/>
        <v>0</v>
      </c>
      <c r="N21" s="731">
        <f t="shared" si="16"/>
        <v>0</v>
      </c>
      <c r="O21" s="731">
        <f t="shared" si="16"/>
        <v>0</v>
      </c>
      <c r="P21" s="731">
        <f t="shared" si="16"/>
        <v>0</v>
      </c>
      <c r="Q21" s="731">
        <f t="shared" si="16"/>
        <v>0</v>
      </c>
      <c r="R21" s="731">
        <f t="shared" si="16"/>
        <v>0</v>
      </c>
      <c r="S21" s="731">
        <f t="shared" si="16"/>
        <v>0</v>
      </c>
      <c r="T21" s="731">
        <f t="shared" si="16"/>
        <v>0</v>
      </c>
      <c r="U21" s="731">
        <f t="shared" si="16"/>
        <v>0</v>
      </c>
      <c r="V21" s="547">
        <v>0.0</v>
      </c>
      <c r="W21" s="208">
        <f t="shared" ref="W21:AZ21" si="17">V21</f>
        <v>0</v>
      </c>
      <c r="X21" s="208">
        <f t="shared" si="17"/>
        <v>0</v>
      </c>
      <c r="Y21" s="208">
        <f t="shared" si="17"/>
        <v>0</v>
      </c>
      <c r="Z21" s="208">
        <f t="shared" si="17"/>
        <v>0</v>
      </c>
      <c r="AA21" s="208">
        <f t="shared" si="17"/>
        <v>0</v>
      </c>
      <c r="AB21" s="208">
        <f t="shared" si="17"/>
        <v>0</v>
      </c>
      <c r="AC21" s="208">
        <f t="shared" si="17"/>
        <v>0</v>
      </c>
      <c r="AD21" s="208">
        <f t="shared" si="17"/>
        <v>0</v>
      </c>
      <c r="AE21" s="208">
        <f t="shared" si="17"/>
        <v>0</v>
      </c>
      <c r="AF21" s="208">
        <f t="shared" si="17"/>
        <v>0</v>
      </c>
      <c r="AG21" s="208">
        <f t="shared" si="17"/>
        <v>0</v>
      </c>
      <c r="AH21" s="208">
        <f t="shared" si="17"/>
        <v>0</v>
      </c>
      <c r="AI21" s="208">
        <f t="shared" si="17"/>
        <v>0</v>
      </c>
      <c r="AJ21" s="208">
        <f t="shared" si="17"/>
        <v>0</v>
      </c>
      <c r="AK21" s="208">
        <f t="shared" si="17"/>
        <v>0</v>
      </c>
      <c r="AL21" s="208">
        <f t="shared" si="17"/>
        <v>0</v>
      </c>
      <c r="AM21" s="208">
        <f t="shared" si="17"/>
        <v>0</v>
      </c>
      <c r="AN21" s="208">
        <f t="shared" si="17"/>
        <v>0</v>
      </c>
      <c r="AO21" s="208">
        <f t="shared" si="17"/>
        <v>0</v>
      </c>
      <c r="AP21" s="208">
        <f t="shared" si="17"/>
        <v>0</v>
      </c>
      <c r="AQ21" s="208">
        <f t="shared" si="17"/>
        <v>0</v>
      </c>
      <c r="AR21" s="208">
        <f t="shared" si="17"/>
        <v>0</v>
      </c>
      <c r="AS21" s="208">
        <f t="shared" si="17"/>
        <v>0</v>
      </c>
      <c r="AT21" s="208">
        <f t="shared" si="17"/>
        <v>0</v>
      </c>
      <c r="AU21" s="208">
        <f t="shared" si="17"/>
        <v>0</v>
      </c>
      <c r="AV21" s="208">
        <f t="shared" si="17"/>
        <v>0</v>
      </c>
      <c r="AW21" s="208">
        <f t="shared" si="17"/>
        <v>0</v>
      </c>
      <c r="AX21" s="208">
        <f t="shared" si="17"/>
        <v>0</v>
      </c>
      <c r="AY21" s="208">
        <f t="shared" si="17"/>
        <v>0</v>
      </c>
      <c r="AZ21" s="208">
        <f t="shared" si="17"/>
        <v>0</v>
      </c>
    </row>
    <row r="22" ht="15.0" customHeight="1">
      <c r="A22" s="535" t="s">
        <v>100</v>
      </c>
      <c r="B22" s="160"/>
      <c r="C22" s="160"/>
      <c r="D22" s="160"/>
      <c r="E22" s="160"/>
      <c r="F22" s="160"/>
      <c r="G22" s="160"/>
      <c r="H22" s="160"/>
      <c r="I22" s="160"/>
      <c r="J22" s="160"/>
      <c r="K22" s="160"/>
      <c r="L22" s="160"/>
      <c r="M22" s="160"/>
      <c r="N22" s="160"/>
      <c r="O22" s="160"/>
      <c r="P22" s="160"/>
      <c r="Q22" s="160"/>
      <c r="R22" s="160"/>
      <c r="S22" s="160"/>
      <c r="T22" s="160"/>
      <c r="U22" s="160"/>
      <c r="V22" s="160">
        <f>V23*1000*'Inflation GDP Population'!V$18/'Inflation GDP Population'!$T$18</f>
        <v>37834.1072</v>
      </c>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row>
    <row r="23" ht="15.0" customHeight="1">
      <c r="A23" s="541" t="s">
        <v>1113</v>
      </c>
      <c r="B23" s="876" t="s">
        <v>1149</v>
      </c>
      <c r="C23" s="877"/>
      <c r="D23" s="877"/>
      <c r="E23" s="877"/>
      <c r="F23" s="877"/>
      <c r="G23" s="877"/>
      <c r="H23" s="876" t="s">
        <v>1149</v>
      </c>
      <c r="I23" s="877"/>
      <c r="J23" s="877"/>
      <c r="K23" s="877"/>
      <c r="L23" s="877"/>
      <c r="M23" s="877"/>
      <c r="N23" s="876" t="s">
        <v>1149</v>
      </c>
      <c r="O23" s="877"/>
      <c r="P23" s="877"/>
      <c r="Q23" s="877"/>
      <c r="R23" s="877"/>
      <c r="S23" s="877"/>
      <c r="T23" s="878"/>
      <c r="U23" s="878"/>
      <c r="V23" s="878">
        <f>0.025*(V4+4*V5)</f>
        <v>36.4</v>
      </c>
      <c r="W23" s="876" t="s">
        <v>1149</v>
      </c>
      <c r="X23" s="878"/>
      <c r="Y23" s="878"/>
      <c r="Z23" s="878"/>
      <c r="AA23" s="878"/>
      <c r="AB23" s="878"/>
      <c r="AC23" s="876" t="s">
        <v>1149</v>
      </c>
      <c r="AD23" s="878"/>
      <c r="AE23" s="878"/>
      <c r="AF23" s="878"/>
      <c r="AG23" s="878"/>
      <c r="AH23" s="876" t="s">
        <v>1149</v>
      </c>
      <c r="AI23" s="878"/>
      <c r="AJ23" s="878"/>
      <c r="AK23" s="878"/>
      <c r="AL23" s="878"/>
      <c r="AM23" s="876" t="s">
        <v>1149</v>
      </c>
      <c r="AN23" s="878"/>
      <c r="AO23" s="878"/>
      <c r="AP23" s="878"/>
      <c r="AQ23" s="878"/>
      <c r="AR23" s="876" t="s">
        <v>1149</v>
      </c>
      <c r="AS23" s="878"/>
      <c r="AT23" s="878"/>
      <c r="AU23" s="878"/>
      <c r="AV23" s="878"/>
      <c r="AW23" s="876" t="s">
        <v>1149</v>
      </c>
      <c r="AX23" s="878"/>
      <c r="AY23" s="878"/>
      <c r="AZ23" s="878"/>
    </row>
    <row r="24" ht="15.0" customHeight="1">
      <c r="A24" s="541" t="s">
        <v>1150</v>
      </c>
      <c r="B24" s="177">
        <f t="shared" ref="B24:U24" si="18">C24/(1+B44-B29)</f>
        <v>5.010588016</v>
      </c>
      <c r="C24" s="177">
        <f t="shared" si="18"/>
        <v>5.010058083</v>
      </c>
      <c r="D24" s="177">
        <f t="shared" si="18"/>
        <v>5.009528206</v>
      </c>
      <c r="E24" s="177">
        <f t="shared" si="18"/>
        <v>5.008998385</v>
      </c>
      <c r="F24" s="177">
        <f t="shared" si="18"/>
        <v>5.008468621</v>
      </c>
      <c r="G24" s="177">
        <f t="shared" si="18"/>
        <v>5.007938912</v>
      </c>
      <c r="H24" s="177">
        <f t="shared" si="18"/>
        <v>5.007409259</v>
      </c>
      <c r="I24" s="177">
        <f t="shared" si="18"/>
        <v>5.006879662</v>
      </c>
      <c r="J24" s="177">
        <f t="shared" si="18"/>
        <v>5.006350122</v>
      </c>
      <c r="K24" s="177">
        <f t="shared" si="18"/>
        <v>5.005820637</v>
      </c>
      <c r="L24" s="177">
        <f t="shared" si="18"/>
        <v>5.005291208</v>
      </c>
      <c r="M24" s="177">
        <f t="shared" si="18"/>
        <v>5.004761836</v>
      </c>
      <c r="N24" s="177">
        <f t="shared" si="18"/>
        <v>5.004232519</v>
      </c>
      <c r="O24" s="177">
        <f t="shared" si="18"/>
        <v>5.003703258</v>
      </c>
      <c r="P24" s="177">
        <f t="shared" si="18"/>
        <v>5.003174053</v>
      </c>
      <c r="Q24" s="177">
        <f t="shared" si="18"/>
        <v>5.002644905</v>
      </c>
      <c r="R24" s="177">
        <f t="shared" si="18"/>
        <v>5.002115812</v>
      </c>
      <c r="S24" s="177">
        <f t="shared" si="18"/>
        <v>5.001586775</v>
      </c>
      <c r="T24" s="177">
        <f t="shared" si="18"/>
        <v>5.001057794</v>
      </c>
      <c r="U24" s="177">
        <f t="shared" si="18"/>
        <v>5.000528869</v>
      </c>
      <c r="V24" s="846">
        <v>5.0</v>
      </c>
      <c r="W24" s="177">
        <f t="shared" ref="W24:AZ24" si="19">V24*(1+V44-V29)</f>
        <v>4.999471187</v>
      </c>
      <c r="X24" s="177">
        <f t="shared" si="19"/>
        <v>4.99894243</v>
      </c>
      <c r="Y24" s="177">
        <f t="shared" si="19"/>
        <v>4.998413728</v>
      </c>
      <c r="Z24" s="177">
        <f t="shared" si="19"/>
        <v>4.997885083</v>
      </c>
      <c r="AA24" s="177">
        <f t="shared" si="19"/>
        <v>4.997356494</v>
      </c>
      <c r="AB24" s="177">
        <f t="shared" si="19"/>
        <v>4.99682796</v>
      </c>
      <c r="AC24" s="177">
        <f t="shared" si="19"/>
        <v>4.996299483</v>
      </c>
      <c r="AD24" s="177">
        <f t="shared" si="19"/>
        <v>4.995771061</v>
      </c>
      <c r="AE24" s="177">
        <f t="shared" si="19"/>
        <v>4.995242695</v>
      </c>
      <c r="AF24" s="177">
        <f t="shared" si="19"/>
        <v>4.994714385</v>
      </c>
      <c r="AG24" s="177">
        <f t="shared" si="19"/>
        <v>4.994186131</v>
      </c>
      <c r="AH24" s="177">
        <f t="shared" si="19"/>
        <v>4.993657933</v>
      </c>
      <c r="AI24" s="177">
        <f t="shared" si="19"/>
        <v>4.993129791</v>
      </c>
      <c r="AJ24" s="177">
        <f t="shared" si="19"/>
        <v>4.992601704</v>
      </c>
      <c r="AK24" s="177">
        <f t="shared" si="19"/>
        <v>4.992073673</v>
      </c>
      <c r="AL24" s="177">
        <f t="shared" si="19"/>
        <v>4.991545699</v>
      </c>
      <c r="AM24" s="177">
        <f t="shared" si="19"/>
        <v>4.99101778</v>
      </c>
      <c r="AN24" s="177">
        <f t="shared" si="19"/>
        <v>4.990489917</v>
      </c>
      <c r="AO24" s="177">
        <f t="shared" si="19"/>
        <v>4.989962109</v>
      </c>
      <c r="AP24" s="177">
        <f t="shared" si="19"/>
        <v>4.989434358</v>
      </c>
      <c r="AQ24" s="177">
        <f t="shared" si="19"/>
        <v>4.988906662</v>
      </c>
      <c r="AR24" s="177">
        <f t="shared" si="19"/>
        <v>4.988379022</v>
      </c>
      <c r="AS24" s="177">
        <f t="shared" si="19"/>
        <v>4.987851438</v>
      </c>
      <c r="AT24" s="177">
        <f t="shared" si="19"/>
        <v>4.98732391</v>
      </c>
      <c r="AU24" s="177">
        <f t="shared" si="19"/>
        <v>4.986796438</v>
      </c>
      <c r="AV24" s="177">
        <f t="shared" si="19"/>
        <v>4.986269021</v>
      </c>
      <c r="AW24" s="177">
        <f t="shared" si="19"/>
        <v>4.98574166</v>
      </c>
      <c r="AX24" s="177">
        <f t="shared" si="19"/>
        <v>4.985214355</v>
      </c>
      <c r="AY24" s="177">
        <f t="shared" si="19"/>
        <v>4.984687106</v>
      </c>
      <c r="AZ24" s="177">
        <f t="shared" si="19"/>
        <v>4.984159912</v>
      </c>
    </row>
    <row r="25" ht="15.0" customHeight="1">
      <c r="A25" s="541" t="s">
        <v>1151</v>
      </c>
      <c r="B25" s="177"/>
      <c r="C25" s="177"/>
      <c r="D25" s="177"/>
      <c r="E25" s="177"/>
      <c r="F25" s="177"/>
      <c r="G25" s="177"/>
      <c r="H25" s="177"/>
      <c r="I25" s="177"/>
      <c r="J25" s="177">
        <f t="shared" ref="J25:U25" si="20">K25/(1+$V$26)</f>
        <v>30.89790551</v>
      </c>
      <c r="K25" s="177">
        <f t="shared" si="20"/>
        <v>31.06784399</v>
      </c>
      <c r="L25" s="177">
        <f t="shared" si="20"/>
        <v>31.23871713</v>
      </c>
      <c r="M25" s="177">
        <f t="shared" si="20"/>
        <v>31.41053007</v>
      </c>
      <c r="N25" s="177">
        <f t="shared" si="20"/>
        <v>31.58328799</v>
      </c>
      <c r="O25" s="177">
        <f t="shared" si="20"/>
        <v>31.75699607</v>
      </c>
      <c r="P25" s="177">
        <f t="shared" si="20"/>
        <v>31.93165955</v>
      </c>
      <c r="Q25" s="177">
        <f t="shared" si="20"/>
        <v>32.10728368</v>
      </c>
      <c r="R25" s="177">
        <f t="shared" si="20"/>
        <v>32.28387374</v>
      </c>
      <c r="S25" s="177">
        <f t="shared" si="20"/>
        <v>32.46143505</v>
      </c>
      <c r="T25" s="177">
        <f t="shared" si="20"/>
        <v>32.63997294</v>
      </c>
      <c r="U25" s="177">
        <f t="shared" si="20"/>
        <v>32.81949279</v>
      </c>
      <c r="V25" s="846">
        <v>33.0</v>
      </c>
      <c r="W25" s="177">
        <f t="shared" ref="W25:AZ25" si="21">V25*(1+$V$26)</f>
        <v>33.1815</v>
      </c>
      <c r="X25" s="177">
        <f t="shared" si="21"/>
        <v>33.36399825</v>
      </c>
      <c r="Y25" s="177">
        <f t="shared" si="21"/>
        <v>33.54750024</v>
      </c>
      <c r="Z25" s="177">
        <f t="shared" si="21"/>
        <v>33.73201149</v>
      </c>
      <c r="AA25" s="177">
        <f t="shared" si="21"/>
        <v>33.91753755</v>
      </c>
      <c r="AB25" s="177">
        <f t="shared" si="21"/>
        <v>34.10408401</v>
      </c>
      <c r="AC25" s="177">
        <f t="shared" si="21"/>
        <v>34.29165647</v>
      </c>
      <c r="AD25" s="177">
        <f t="shared" si="21"/>
        <v>34.48026058</v>
      </c>
      <c r="AE25" s="177">
        <f t="shared" si="21"/>
        <v>34.66990202</v>
      </c>
      <c r="AF25" s="177">
        <f t="shared" si="21"/>
        <v>34.86058648</v>
      </c>
      <c r="AG25" s="177">
        <f t="shared" si="21"/>
        <v>35.0523197</v>
      </c>
      <c r="AH25" s="177">
        <f t="shared" si="21"/>
        <v>35.24510746</v>
      </c>
      <c r="AI25" s="177">
        <f t="shared" si="21"/>
        <v>35.43895555</v>
      </c>
      <c r="AJ25" s="177">
        <f t="shared" si="21"/>
        <v>35.63386981</v>
      </c>
      <c r="AK25" s="177">
        <f t="shared" si="21"/>
        <v>35.82985609</v>
      </c>
      <c r="AL25" s="177">
        <f t="shared" si="21"/>
        <v>36.0269203</v>
      </c>
      <c r="AM25" s="177">
        <f t="shared" si="21"/>
        <v>36.22506836</v>
      </c>
      <c r="AN25" s="177">
        <f t="shared" si="21"/>
        <v>36.42430624</v>
      </c>
      <c r="AO25" s="177">
        <f t="shared" si="21"/>
        <v>36.62463992</v>
      </c>
      <c r="AP25" s="177">
        <f t="shared" si="21"/>
        <v>36.82607544</v>
      </c>
      <c r="AQ25" s="177">
        <f t="shared" si="21"/>
        <v>37.02861886</v>
      </c>
      <c r="AR25" s="177">
        <f t="shared" si="21"/>
        <v>37.23227626</v>
      </c>
      <c r="AS25" s="177">
        <f t="shared" si="21"/>
        <v>37.43705378</v>
      </c>
      <c r="AT25" s="177">
        <f t="shared" si="21"/>
        <v>37.64295758</v>
      </c>
      <c r="AU25" s="177">
        <f t="shared" si="21"/>
        <v>37.84999384</v>
      </c>
      <c r="AV25" s="177">
        <f t="shared" si="21"/>
        <v>38.05816881</v>
      </c>
      <c r="AW25" s="177">
        <f t="shared" si="21"/>
        <v>38.26748874</v>
      </c>
      <c r="AX25" s="177">
        <f t="shared" si="21"/>
        <v>38.47795993</v>
      </c>
      <c r="AY25" s="177">
        <f t="shared" si="21"/>
        <v>38.68958871</v>
      </c>
      <c r="AZ25" s="177">
        <f t="shared" si="21"/>
        <v>38.90238144</v>
      </c>
    </row>
    <row r="26" ht="15.0" customHeight="1">
      <c r="A26" s="541" t="s">
        <v>1152</v>
      </c>
      <c r="B26" s="177"/>
      <c r="C26" s="177"/>
      <c r="D26" s="177"/>
      <c r="E26" s="177"/>
      <c r="F26" s="177"/>
      <c r="G26" s="177"/>
      <c r="H26" s="177"/>
      <c r="I26" s="177"/>
      <c r="J26" s="177"/>
      <c r="K26" s="177"/>
      <c r="L26" s="177"/>
      <c r="M26" s="177"/>
      <c r="N26" s="177"/>
      <c r="O26" s="177"/>
      <c r="P26" s="177"/>
      <c r="Q26" s="177"/>
      <c r="R26" s="177"/>
      <c r="S26" s="177"/>
      <c r="T26" s="177"/>
      <c r="U26" s="177"/>
      <c r="V26" s="536">
        <v>0.0055</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541" t="s">
        <v>1153</v>
      </c>
      <c r="B27" s="177"/>
      <c r="C27" s="177"/>
      <c r="D27" s="177"/>
      <c r="E27" s="177"/>
      <c r="F27" s="177"/>
      <c r="G27" s="177"/>
      <c r="H27" s="177"/>
      <c r="I27" s="177"/>
      <c r="J27" s="208">
        <f t="shared" ref="J27:U27" si="22">K27</f>
        <v>0.9025</v>
      </c>
      <c r="K27" s="208">
        <f t="shared" si="22"/>
        <v>0.9025</v>
      </c>
      <c r="L27" s="208">
        <f t="shared" si="22"/>
        <v>0.9025</v>
      </c>
      <c r="M27" s="208">
        <f t="shared" si="22"/>
        <v>0.9025</v>
      </c>
      <c r="N27" s="208">
        <f t="shared" si="22"/>
        <v>0.9025</v>
      </c>
      <c r="O27" s="208">
        <f t="shared" si="22"/>
        <v>0.9025</v>
      </c>
      <c r="P27" s="208">
        <f t="shared" si="22"/>
        <v>0.9025</v>
      </c>
      <c r="Q27" s="208">
        <f t="shared" si="22"/>
        <v>0.9025</v>
      </c>
      <c r="R27" s="208">
        <f t="shared" si="22"/>
        <v>0.9025</v>
      </c>
      <c r="S27" s="208">
        <f t="shared" si="22"/>
        <v>0.9025</v>
      </c>
      <c r="T27" s="208">
        <f t="shared" si="22"/>
        <v>0.9025</v>
      </c>
      <c r="U27" s="208">
        <f t="shared" si="22"/>
        <v>0.9025</v>
      </c>
      <c r="V27" s="542">
        <f>0.95^2</f>
        <v>0.9025</v>
      </c>
      <c r="W27" s="208">
        <f t="shared" ref="W27:AZ27" si="23">V27</f>
        <v>0.9025</v>
      </c>
      <c r="X27" s="208">
        <f t="shared" si="23"/>
        <v>0.9025</v>
      </c>
      <c r="Y27" s="208">
        <f t="shared" si="23"/>
        <v>0.9025</v>
      </c>
      <c r="Z27" s="208">
        <f t="shared" si="23"/>
        <v>0.9025</v>
      </c>
      <c r="AA27" s="208">
        <f t="shared" si="23"/>
        <v>0.9025</v>
      </c>
      <c r="AB27" s="208">
        <f t="shared" si="23"/>
        <v>0.9025</v>
      </c>
      <c r="AC27" s="208">
        <f t="shared" si="23"/>
        <v>0.9025</v>
      </c>
      <c r="AD27" s="208">
        <f t="shared" si="23"/>
        <v>0.9025</v>
      </c>
      <c r="AE27" s="208">
        <f t="shared" si="23"/>
        <v>0.9025</v>
      </c>
      <c r="AF27" s="208">
        <f t="shared" si="23"/>
        <v>0.9025</v>
      </c>
      <c r="AG27" s="208">
        <f t="shared" si="23"/>
        <v>0.9025</v>
      </c>
      <c r="AH27" s="208">
        <f t="shared" si="23"/>
        <v>0.9025</v>
      </c>
      <c r="AI27" s="208">
        <f t="shared" si="23"/>
        <v>0.9025</v>
      </c>
      <c r="AJ27" s="208">
        <f t="shared" si="23"/>
        <v>0.9025</v>
      </c>
      <c r="AK27" s="208">
        <f t="shared" si="23"/>
        <v>0.9025</v>
      </c>
      <c r="AL27" s="208">
        <f t="shared" si="23"/>
        <v>0.9025</v>
      </c>
      <c r="AM27" s="208">
        <f t="shared" si="23"/>
        <v>0.9025</v>
      </c>
      <c r="AN27" s="208">
        <f t="shared" si="23"/>
        <v>0.9025</v>
      </c>
      <c r="AO27" s="208">
        <f t="shared" si="23"/>
        <v>0.9025</v>
      </c>
      <c r="AP27" s="208">
        <f t="shared" si="23"/>
        <v>0.9025</v>
      </c>
      <c r="AQ27" s="208">
        <f t="shared" si="23"/>
        <v>0.9025</v>
      </c>
      <c r="AR27" s="208">
        <f t="shared" si="23"/>
        <v>0.9025</v>
      </c>
      <c r="AS27" s="208">
        <f t="shared" si="23"/>
        <v>0.9025</v>
      </c>
      <c r="AT27" s="208">
        <f t="shared" si="23"/>
        <v>0.9025</v>
      </c>
      <c r="AU27" s="208">
        <f t="shared" si="23"/>
        <v>0.9025</v>
      </c>
      <c r="AV27" s="208">
        <f t="shared" si="23"/>
        <v>0.9025</v>
      </c>
      <c r="AW27" s="208">
        <f t="shared" si="23"/>
        <v>0.9025</v>
      </c>
      <c r="AX27" s="208">
        <f t="shared" si="23"/>
        <v>0.9025</v>
      </c>
      <c r="AY27" s="208">
        <f t="shared" si="23"/>
        <v>0.9025</v>
      </c>
      <c r="AZ27" s="208">
        <f t="shared" si="23"/>
        <v>0.9025</v>
      </c>
    </row>
    <row r="28" ht="15.0" customHeight="1">
      <c r="A28" s="541" t="s">
        <v>1154</v>
      </c>
      <c r="B28" s="177">
        <f t="shared" ref="B28:U28" si="24">C28/(1+B44-B29)</f>
        <v>0</v>
      </c>
      <c r="C28" s="177">
        <f t="shared" si="24"/>
        <v>0</v>
      </c>
      <c r="D28" s="177">
        <f t="shared" si="24"/>
        <v>0</v>
      </c>
      <c r="E28" s="177">
        <f t="shared" si="24"/>
        <v>0</v>
      </c>
      <c r="F28" s="177">
        <f t="shared" si="24"/>
        <v>0</v>
      </c>
      <c r="G28" s="177">
        <f t="shared" si="24"/>
        <v>0</v>
      </c>
      <c r="H28" s="177">
        <f t="shared" si="24"/>
        <v>0</v>
      </c>
      <c r="I28" s="177">
        <f t="shared" si="24"/>
        <v>0</v>
      </c>
      <c r="J28" s="177">
        <f t="shared" si="24"/>
        <v>0</v>
      </c>
      <c r="K28" s="177">
        <f t="shared" si="24"/>
        <v>0</v>
      </c>
      <c r="L28" s="177">
        <f t="shared" si="24"/>
        <v>0</v>
      </c>
      <c r="M28" s="177">
        <f t="shared" si="24"/>
        <v>0</v>
      </c>
      <c r="N28" s="177">
        <f t="shared" si="24"/>
        <v>0</v>
      </c>
      <c r="O28" s="177">
        <f t="shared" si="24"/>
        <v>0</v>
      </c>
      <c r="P28" s="177">
        <f t="shared" si="24"/>
        <v>0</v>
      </c>
      <c r="Q28" s="177">
        <f t="shared" si="24"/>
        <v>0</v>
      </c>
      <c r="R28" s="177">
        <f t="shared" si="24"/>
        <v>0</v>
      </c>
      <c r="S28" s="177">
        <f t="shared" si="24"/>
        <v>0</v>
      </c>
      <c r="T28" s="177">
        <f t="shared" si="24"/>
        <v>0</v>
      </c>
      <c r="U28" s="177">
        <f t="shared" si="24"/>
        <v>0</v>
      </c>
      <c r="V28" s="879">
        <v>0.0</v>
      </c>
      <c r="W28" s="177">
        <f t="shared" ref="W28:AZ28" si="25">V28*(1+V44-V29)</f>
        <v>0</v>
      </c>
      <c r="X28" s="177">
        <f t="shared" si="25"/>
        <v>0</v>
      </c>
      <c r="Y28" s="177">
        <f t="shared" si="25"/>
        <v>0</v>
      </c>
      <c r="Z28" s="177">
        <f t="shared" si="25"/>
        <v>0</v>
      </c>
      <c r="AA28" s="177">
        <f t="shared" si="25"/>
        <v>0</v>
      </c>
      <c r="AB28" s="177">
        <f t="shared" si="25"/>
        <v>0</v>
      </c>
      <c r="AC28" s="177">
        <f t="shared" si="25"/>
        <v>0</v>
      </c>
      <c r="AD28" s="177">
        <f t="shared" si="25"/>
        <v>0</v>
      </c>
      <c r="AE28" s="177">
        <f t="shared" si="25"/>
        <v>0</v>
      </c>
      <c r="AF28" s="177">
        <f t="shared" si="25"/>
        <v>0</v>
      </c>
      <c r="AG28" s="177">
        <f t="shared" si="25"/>
        <v>0</v>
      </c>
      <c r="AH28" s="177">
        <f t="shared" si="25"/>
        <v>0</v>
      </c>
      <c r="AI28" s="177">
        <f t="shared" si="25"/>
        <v>0</v>
      </c>
      <c r="AJ28" s="177">
        <f t="shared" si="25"/>
        <v>0</v>
      </c>
      <c r="AK28" s="177">
        <f t="shared" si="25"/>
        <v>0</v>
      </c>
      <c r="AL28" s="177">
        <f t="shared" si="25"/>
        <v>0</v>
      </c>
      <c r="AM28" s="177">
        <f t="shared" si="25"/>
        <v>0</v>
      </c>
      <c r="AN28" s="177">
        <f t="shared" si="25"/>
        <v>0</v>
      </c>
      <c r="AO28" s="177">
        <f t="shared" si="25"/>
        <v>0</v>
      </c>
      <c r="AP28" s="177">
        <f t="shared" si="25"/>
        <v>0</v>
      </c>
      <c r="AQ28" s="177">
        <f t="shared" si="25"/>
        <v>0</v>
      </c>
      <c r="AR28" s="177">
        <f t="shared" si="25"/>
        <v>0</v>
      </c>
      <c r="AS28" s="177">
        <f t="shared" si="25"/>
        <v>0</v>
      </c>
      <c r="AT28" s="177">
        <f t="shared" si="25"/>
        <v>0</v>
      </c>
      <c r="AU28" s="177">
        <f t="shared" si="25"/>
        <v>0</v>
      </c>
      <c r="AV28" s="177">
        <f t="shared" si="25"/>
        <v>0</v>
      </c>
      <c r="AW28" s="177">
        <f t="shared" si="25"/>
        <v>0</v>
      </c>
      <c r="AX28" s="177">
        <f t="shared" si="25"/>
        <v>0</v>
      </c>
      <c r="AY28" s="177">
        <f t="shared" si="25"/>
        <v>0</v>
      </c>
      <c r="AZ28" s="177">
        <f t="shared" si="25"/>
        <v>0</v>
      </c>
    </row>
    <row r="29" ht="15.0" customHeight="1">
      <c r="A29" s="535" t="s">
        <v>106</v>
      </c>
      <c r="B29" s="709">
        <f t="shared" ref="B29:U29" si="26">C29</f>
        <v>0.02</v>
      </c>
      <c r="C29" s="709">
        <f t="shared" si="26"/>
        <v>0.02</v>
      </c>
      <c r="D29" s="709">
        <f t="shared" si="26"/>
        <v>0.02</v>
      </c>
      <c r="E29" s="709">
        <f t="shared" si="26"/>
        <v>0.02</v>
      </c>
      <c r="F29" s="709">
        <f t="shared" si="26"/>
        <v>0.02</v>
      </c>
      <c r="G29" s="709">
        <f t="shared" si="26"/>
        <v>0.02</v>
      </c>
      <c r="H29" s="709">
        <f t="shared" si="26"/>
        <v>0.02</v>
      </c>
      <c r="I29" s="709">
        <f t="shared" si="26"/>
        <v>0.02</v>
      </c>
      <c r="J29" s="709">
        <f t="shared" si="26"/>
        <v>0.02</v>
      </c>
      <c r="K29" s="709">
        <f t="shared" si="26"/>
        <v>0.02</v>
      </c>
      <c r="L29" s="709">
        <f t="shared" si="26"/>
        <v>0.02</v>
      </c>
      <c r="M29" s="709">
        <f t="shared" si="26"/>
        <v>0.02</v>
      </c>
      <c r="N29" s="709">
        <f t="shared" si="26"/>
        <v>0.02</v>
      </c>
      <c r="O29" s="709">
        <f t="shared" si="26"/>
        <v>0.02</v>
      </c>
      <c r="P29" s="709">
        <f t="shared" si="26"/>
        <v>0.02</v>
      </c>
      <c r="Q29" s="709">
        <f t="shared" si="26"/>
        <v>0.02</v>
      </c>
      <c r="R29" s="709">
        <f t="shared" si="26"/>
        <v>0.02</v>
      </c>
      <c r="S29" s="709">
        <f t="shared" si="26"/>
        <v>0.02</v>
      </c>
      <c r="T29" s="709">
        <f t="shared" si="26"/>
        <v>0.02</v>
      </c>
      <c r="U29" s="709">
        <f t="shared" si="26"/>
        <v>0.02</v>
      </c>
      <c r="V29" s="536">
        <v>0.02</v>
      </c>
      <c r="W29" s="537">
        <f t="shared" ref="W29:AZ29" si="27">V29</f>
        <v>0.02</v>
      </c>
      <c r="X29" s="537">
        <f t="shared" si="27"/>
        <v>0.02</v>
      </c>
      <c r="Y29" s="537">
        <f t="shared" si="27"/>
        <v>0.02</v>
      </c>
      <c r="Z29" s="537">
        <f t="shared" si="27"/>
        <v>0.02</v>
      </c>
      <c r="AA29" s="537">
        <f t="shared" si="27"/>
        <v>0.02</v>
      </c>
      <c r="AB29" s="537">
        <f t="shared" si="27"/>
        <v>0.02</v>
      </c>
      <c r="AC29" s="537">
        <f t="shared" si="27"/>
        <v>0.02</v>
      </c>
      <c r="AD29" s="537">
        <f t="shared" si="27"/>
        <v>0.02</v>
      </c>
      <c r="AE29" s="537">
        <f t="shared" si="27"/>
        <v>0.02</v>
      </c>
      <c r="AF29" s="537">
        <f t="shared" si="27"/>
        <v>0.02</v>
      </c>
      <c r="AG29" s="537">
        <f t="shared" si="27"/>
        <v>0.02</v>
      </c>
      <c r="AH29" s="537">
        <f t="shared" si="27"/>
        <v>0.02</v>
      </c>
      <c r="AI29" s="537">
        <f t="shared" si="27"/>
        <v>0.02</v>
      </c>
      <c r="AJ29" s="537">
        <f t="shared" si="27"/>
        <v>0.02</v>
      </c>
      <c r="AK29" s="537">
        <f t="shared" si="27"/>
        <v>0.02</v>
      </c>
      <c r="AL29" s="537">
        <f t="shared" si="27"/>
        <v>0.02</v>
      </c>
      <c r="AM29" s="537">
        <f t="shared" si="27"/>
        <v>0.02</v>
      </c>
      <c r="AN29" s="537">
        <f t="shared" si="27"/>
        <v>0.02</v>
      </c>
      <c r="AO29" s="537">
        <f t="shared" si="27"/>
        <v>0.02</v>
      </c>
      <c r="AP29" s="537">
        <f t="shared" si="27"/>
        <v>0.02</v>
      </c>
      <c r="AQ29" s="537">
        <f t="shared" si="27"/>
        <v>0.02</v>
      </c>
      <c r="AR29" s="537">
        <f t="shared" si="27"/>
        <v>0.02</v>
      </c>
      <c r="AS29" s="537">
        <f t="shared" si="27"/>
        <v>0.02</v>
      </c>
      <c r="AT29" s="537">
        <f t="shared" si="27"/>
        <v>0.02</v>
      </c>
      <c r="AU29" s="537">
        <f t="shared" si="27"/>
        <v>0.02</v>
      </c>
      <c r="AV29" s="537">
        <f t="shared" si="27"/>
        <v>0.02</v>
      </c>
      <c r="AW29" s="537">
        <f t="shared" si="27"/>
        <v>0.02</v>
      </c>
      <c r="AX29" s="537">
        <f t="shared" si="27"/>
        <v>0.02</v>
      </c>
      <c r="AY29" s="537">
        <f t="shared" si="27"/>
        <v>0.02</v>
      </c>
      <c r="AZ29" s="537">
        <f t="shared" si="27"/>
        <v>0.02</v>
      </c>
    </row>
    <row r="30" ht="15.0" customHeight="1">
      <c r="A30" s="535" t="s">
        <v>111</v>
      </c>
      <c r="B30" s="535"/>
      <c r="C30" s="535"/>
      <c r="D30" s="535"/>
      <c r="E30" s="535"/>
      <c r="F30" s="535"/>
      <c r="G30" s="535"/>
      <c r="H30" s="535"/>
      <c r="I30" s="535"/>
      <c r="J30" s="535"/>
      <c r="K30" s="535"/>
      <c r="L30" s="535"/>
      <c r="M30" s="535"/>
      <c r="N30" s="535"/>
      <c r="O30" s="535"/>
      <c r="P30" s="535"/>
      <c r="Q30" s="535"/>
      <c r="R30" s="535"/>
      <c r="S30" s="535"/>
      <c r="T30" s="535"/>
      <c r="U30" s="535"/>
      <c r="V30" s="715"/>
      <c r="W30" s="177"/>
      <c r="X30" s="177"/>
      <c r="Y30" s="177"/>
      <c r="Z30" s="177"/>
      <c r="AA30" s="177"/>
      <c r="AB30" s="177"/>
      <c r="AC30" s="177"/>
      <c r="AD30" s="177"/>
      <c r="AE30" s="177"/>
      <c r="AF30" s="177"/>
      <c r="AG30" s="177"/>
      <c r="AH30" s="177"/>
      <c r="AI30" s="177"/>
      <c r="AJ30" s="177"/>
      <c r="AK30" s="177"/>
      <c r="AL30" s="177"/>
      <c r="AM30" s="177"/>
      <c r="AN30" s="177"/>
      <c r="AO30" s="177"/>
      <c r="AP30" s="177"/>
      <c r="AQ30" s="177"/>
      <c r="AR30" s="177"/>
      <c r="AS30" s="177"/>
      <c r="AT30" s="177"/>
      <c r="AU30" s="177"/>
      <c r="AV30" s="177"/>
      <c r="AW30" s="177"/>
      <c r="AX30" s="177"/>
      <c r="AY30" s="177"/>
      <c r="AZ30" s="177"/>
    </row>
    <row r="31" ht="15.0" customHeight="1">
      <c r="A31" s="541" t="s">
        <v>1155</v>
      </c>
      <c r="B31" s="546"/>
      <c r="C31" s="546"/>
      <c r="D31" s="546"/>
      <c r="E31" s="546"/>
      <c r="F31" s="546"/>
      <c r="G31" s="546"/>
      <c r="H31" s="546"/>
      <c r="I31" s="546"/>
      <c r="J31" s="546"/>
      <c r="K31" s="546"/>
      <c r="L31" s="546"/>
      <c r="M31" s="546"/>
      <c r="N31" s="546"/>
      <c r="O31" s="546"/>
      <c r="P31" s="546"/>
      <c r="Q31" s="546"/>
      <c r="R31" s="546"/>
      <c r="S31" s="546"/>
      <c r="T31" s="546"/>
      <c r="U31" s="546"/>
      <c r="V31" s="849">
        <v>69000.0</v>
      </c>
      <c r="W31" s="208"/>
      <c r="X31" s="208"/>
      <c r="Y31" s="208"/>
      <c r="Z31" s="208"/>
      <c r="AA31" s="208"/>
      <c r="AB31" s="208"/>
      <c r="AC31" s="208"/>
      <c r="AD31" s="208"/>
      <c r="AE31" s="208"/>
      <c r="AF31" s="208"/>
      <c r="AG31" s="208"/>
      <c r="AH31" s="208"/>
      <c r="AI31" s="208"/>
      <c r="AJ31" s="208"/>
      <c r="AK31" s="208"/>
      <c r="AL31" s="208"/>
      <c r="AM31" s="208"/>
      <c r="AN31" s="208"/>
      <c r="AO31" s="208"/>
      <c r="AP31" s="208"/>
      <c r="AQ31" s="208"/>
      <c r="AR31" s="208"/>
      <c r="AS31" s="208"/>
      <c r="AT31" s="208"/>
      <c r="AU31" s="208"/>
      <c r="AV31" s="208"/>
      <c r="AW31" s="208"/>
      <c r="AX31" s="208"/>
      <c r="AY31" s="208"/>
      <c r="AZ31" s="208"/>
    </row>
    <row r="32" ht="15.0" customHeight="1">
      <c r="A32" s="535" t="s">
        <v>112</v>
      </c>
      <c r="B32" s="546">
        <v>0.35</v>
      </c>
      <c r="C32" s="546">
        <v>0.35</v>
      </c>
      <c r="D32" s="546">
        <v>0.35</v>
      </c>
      <c r="E32" s="546">
        <v>0.35</v>
      </c>
      <c r="F32" s="546">
        <v>0.35</v>
      </c>
      <c r="G32" s="546">
        <v>0.35</v>
      </c>
      <c r="H32" s="546">
        <v>0.35</v>
      </c>
      <c r="I32" s="546">
        <v>0.35</v>
      </c>
      <c r="J32" s="546">
        <v>0.35</v>
      </c>
      <c r="K32" s="546">
        <v>0.35</v>
      </c>
      <c r="L32" s="546">
        <v>0.35</v>
      </c>
      <c r="M32" s="546">
        <v>0.35</v>
      </c>
      <c r="N32" s="546">
        <v>0.35</v>
      </c>
      <c r="O32" s="546">
        <v>0.35</v>
      </c>
      <c r="P32" s="546">
        <v>0.35</v>
      </c>
      <c r="Q32" s="546">
        <v>0.35</v>
      </c>
      <c r="R32" s="546">
        <v>0.35</v>
      </c>
      <c r="S32" s="546">
        <v>0.35</v>
      </c>
      <c r="T32" s="546">
        <v>0.21</v>
      </c>
      <c r="U32" s="546">
        <v>0.21</v>
      </c>
      <c r="V32" s="547">
        <v>0.21</v>
      </c>
      <c r="W32" s="208">
        <f t="shared" ref="W32:AZ32" si="28">V32</f>
        <v>0.21</v>
      </c>
      <c r="X32" s="208">
        <f t="shared" si="28"/>
        <v>0.21</v>
      </c>
      <c r="Y32" s="208">
        <f t="shared" si="28"/>
        <v>0.21</v>
      </c>
      <c r="Z32" s="208">
        <f t="shared" si="28"/>
        <v>0.21</v>
      </c>
      <c r="AA32" s="208">
        <f t="shared" si="28"/>
        <v>0.21</v>
      </c>
      <c r="AB32" s="208">
        <f t="shared" si="28"/>
        <v>0.21</v>
      </c>
      <c r="AC32" s="208">
        <f t="shared" si="28"/>
        <v>0.21</v>
      </c>
      <c r="AD32" s="208">
        <f t="shared" si="28"/>
        <v>0.21</v>
      </c>
      <c r="AE32" s="208">
        <f t="shared" si="28"/>
        <v>0.21</v>
      </c>
      <c r="AF32" s="208">
        <f t="shared" si="28"/>
        <v>0.21</v>
      </c>
      <c r="AG32" s="208">
        <f t="shared" si="28"/>
        <v>0.21</v>
      </c>
      <c r="AH32" s="208">
        <f t="shared" si="28"/>
        <v>0.21</v>
      </c>
      <c r="AI32" s="208">
        <f t="shared" si="28"/>
        <v>0.21</v>
      </c>
      <c r="AJ32" s="208">
        <f t="shared" si="28"/>
        <v>0.21</v>
      </c>
      <c r="AK32" s="208">
        <f t="shared" si="28"/>
        <v>0.21</v>
      </c>
      <c r="AL32" s="208">
        <f t="shared" si="28"/>
        <v>0.21</v>
      </c>
      <c r="AM32" s="208">
        <f t="shared" si="28"/>
        <v>0.21</v>
      </c>
      <c r="AN32" s="208">
        <f t="shared" si="28"/>
        <v>0.21</v>
      </c>
      <c r="AO32" s="208">
        <f t="shared" si="28"/>
        <v>0.21</v>
      </c>
      <c r="AP32" s="208">
        <f t="shared" si="28"/>
        <v>0.21</v>
      </c>
      <c r="AQ32" s="208">
        <f t="shared" si="28"/>
        <v>0.21</v>
      </c>
      <c r="AR32" s="208">
        <f t="shared" si="28"/>
        <v>0.21</v>
      </c>
      <c r="AS32" s="208">
        <f t="shared" si="28"/>
        <v>0.21</v>
      </c>
      <c r="AT32" s="208">
        <f t="shared" si="28"/>
        <v>0.21</v>
      </c>
      <c r="AU32" s="208">
        <f t="shared" si="28"/>
        <v>0.21</v>
      </c>
      <c r="AV32" s="208">
        <f t="shared" si="28"/>
        <v>0.21</v>
      </c>
      <c r="AW32" s="208">
        <f t="shared" si="28"/>
        <v>0.21</v>
      </c>
      <c r="AX32" s="208">
        <f t="shared" si="28"/>
        <v>0.21</v>
      </c>
      <c r="AY32" s="208">
        <f t="shared" si="28"/>
        <v>0.21</v>
      </c>
      <c r="AZ32" s="208">
        <f t="shared" si="28"/>
        <v>0.21</v>
      </c>
    </row>
    <row r="33" ht="15.0" customHeight="1">
      <c r="A33" s="535" t="s">
        <v>114</v>
      </c>
      <c r="B33" s="535"/>
      <c r="C33" s="535"/>
      <c r="D33" s="535"/>
      <c r="E33" s="535"/>
      <c r="F33" s="535"/>
      <c r="G33" s="535"/>
      <c r="H33" s="535"/>
      <c r="I33" s="535"/>
      <c r="J33" s="535"/>
      <c r="K33" s="535"/>
      <c r="L33" s="535"/>
      <c r="M33" s="535"/>
      <c r="N33" s="535"/>
      <c r="O33" s="535"/>
      <c r="P33" s="535"/>
      <c r="Q33" s="535"/>
      <c r="R33" s="535"/>
      <c r="S33" s="535"/>
      <c r="T33" s="535"/>
      <c r="U33" s="535"/>
      <c r="V33" s="715">
        <v>0.0</v>
      </c>
      <c r="W33" s="177">
        <f t="shared" ref="W33:AZ33" si="29">V33*(1+V44)</f>
        <v>0</v>
      </c>
      <c r="X33" s="177">
        <f t="shared" si="29"/>
        <v>0</v>
      </c>
      <c r="Y33" s="177">
        <f t="shared" si="29"/>
        <v>0</v>
      </c>
      <c r="Z33" s="177">
        <f t="shared" si="29"/>
        <v>0</v>
      </c>
      <c r="AA33" s="177">
        <f t="shared" si="29"/>
        <v>0</v>
      </c>
      <c r="AB33" s="177">
        <f t="shared" si="29"/>
        <v>0</v>
      </c>
      <c r="AC33" s="177">
        <f t="shared" si="29"/>
        <v>0</v>
      </c>
      <c r="AD33" s="177">
        <f t="shared" si="29"/>
        <v>0</v>
      </c>
      <c r="AE33" s="177">
        <f t="shared" si="29"/>
        <v>0</v>
      </c>
      <c r="AF33" s="177">
        <f t="shared" si="29"/>
        <v>0</v>
      </c>
      <c r="AG33" s="177">
        <f t="shared" si="29"/>
        <v>0</v>
      </c>
      <c r="AH33" s="177">
        <f t="shared" si="29"/>
        <v>0</v>
      </c>
      <c r="AI33" s="177">
        <f t="shared" si="29"/>
        <v>0</v>
      </c>
      <c r="AJ33" s="177">
        <f t="shared" si="29"/>
        <v>0</v>
      </c>
      <c r="AK33" s="177">
        <f t="shared" si="29"/>
        <v>0</v>
      </c>
      <c r="AL33" s="177">
        <f t="shared" si="29"/>
        <v>0</v>
      </c>
      <c r="AM33" s="177">
        <f t="shared" si="29"/>
        <v>0</v>
      </c>
      <c r="AN33" s="177">
        <f t="shared" si="29"/>
        <v>0</v>
      </c>
      <c r="AO33" s="177">
        <f t="shared" si="29"/>
        <v>0</v>
      </c>
      <c r="AP33" s="177">
        <f t="shared" si="29"/>
        <v>0</v>
      </c>
      <c r="AQ33" s="177">
        <f t="shared" si="29"/>
        <v>0</v>
      </c>
      <c r="AR33" s="177">
        <f t="shared" si="29"/>
        <v>0</v>
      </c>
      <c r="AS33" s="177">
        <f t="shared" si="29"/>
        <v>0</v>
      </c>
      <c r="AT33" s="177">
        <f t="shared" si="29"/>
        <v>0</v>
      </c>
      <c r="AU33" s="177">
        <f t="shared" si="29"/>
        <v>0</v>
      </c>
      <c r="AV33" s="177">
        <f t="shared" si="29"/>
        <v>0</v>
      </c>
      <c r="AW33" s="177">
        <f t="shared" si="29"/>
        <v>0</v>
      </c>
      <c r="AX33" s="177">
        <f t="shared" si="29"/>
        <v>0</v>
      </c>
      <c r="AY33" s="177">
        <f t="shared" si="29"/>
        <v>0</v>
      </c>
      <c r="AZ33" s="177">
        <f t="shared" si="29"/>
        <v>0</v>
      </c>
    </row>
    <row r="34" ht="15.0" customHeight="1">
      <c r="A34" s="535" t="s">
        <v>116</v>
      </c>
      <c r="B34" s="535"/>
      <c r="C34" s="535"/>
      <c r="D34" s="535"/>
      <c r="E34" s="535"/>
      <c r="F34" s="535"/>
      <c r="G34" s="535"/>
      <c r="H34" s="535"/>
      <c r="I34" s="535"/>
      <c r="J34" s="535"/>
      <c r="K34" s="535"/>
      <c r="L34" s="535"/>
      <c r="M34" s="535"/>
      <c r="N34" s="535"/>
      <c r="O34" s="535"/>
      <c r="P34" s="535"/>
      <c r="Q34" s="535"/>
      <c r="R34" s="535"/>
      <c r="S34" s="535"/>
      <c r="T34" s="535"/>
      <c r="U34" s="535"/>
      <c r="V34" s="849">
        <v>15.0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119</v>
      </c>
      <c r="B35" s="535"/>
      <c r="C35" s="535"/>
      <c r="D35" s="535"/>
      <c r="E35" s="535"/>
      <c r="F35" s="535"/>
      <c r="G35" s="535"/>
      <c r="H35" s="535"/>
      <c r="I35" s="535"/>
      <c r="J35" s="535"/>
      <c r="K35" s="535"/>
      <c r="L35" s="535"/>
      <c r="M35" s="535"/>
      <c r="N35" s="535"/>
      <c r="O35" s="535"/>
      <c r="P35" s="535"/>
      <c r="Q35" s="535"/>
      <c r="R35" s="535"/>
      <c r="S35" s="535"/>
      <c r="T35" s="535"/>
      <c r="U35" s="535"/>
      <c r="V35" s="849">
        <f>V34</f>
        <v>15</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121</v>
      </c>
      <c r="B36" s="535"/>
      <c r="C36" s="535"/>
      <c r="D36" s="535"/>
      <c r="E36" s="535"/>
      <c r="F36" s="535"/>
      <c r="G36" s="535"/>
      <c r="H36" s="535"/>
      <c r="I36" s="535"/>
      <c r="J36" s="535"/>
      <c r="K36" s="535"/>
      <c r="L36" s="535"/>
      <c r="M36" s="535"/>
      <c r="N36" s="535"/>
      <c r="O36" s="535"/>
      <c r="P36" s="535"/>
      <c r="Q36" s="535"/>
      <c r="R36" s="535"/>
      <c r="S36" s="535"/>
      <c r="T36" s="535"/>
      <c r="U36" s="535"/>
      <c r="V36" s="849">
        <f>V34</f>
        <v>15</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122</v>
      </c>
      <c r="B37" s="535"/>
      <c r="C37" s="535"/>
      <c r="D37" s="535"/>
      <c r="E37" s="535"/>
      <c r="F37" s="535"/>
      <c r="G37" s="535"/>
      <c r="H37" s="535"/>
      <c r="I37" s="535"/>
      <c r="J37" s="535"/>
      <c r="K37" s="535"/>
      <c r="L37" s="535"/>
      <c r="M37" s="535"/>
      <c r="N37" s="535"/>
      <c r="O37" s="535"/>
      <c r="P37" s="535"/>
      <c r="Q37" s="535"/>
      <c r="R37" s="535"/>
      <c r="S37" s="535"/>
      <c r="T37" s="535"/>
      <c r="U37" s="535"/>
      <c r="V37" s="849"/>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174" t="s">
        <v>123</v>
      </c>
      <c r="B38" s="174"/>
      <c r="C38" s="174"/>
      <c r="D38" s="174"/>
      <c r="E38" s="174"/>
      <c r="F38" s="174"/>
      <c r="G38" s="174"/>
      <c r="H38" s="174"/>
      <c r="I38" s="174"/>
      <c r="J38" s="174"/>
      <c r="K38" s="174"/>
      <c r="L38" s="174"/>
      <c r="M38" s="174"/>
      <c r="N38" s="174"/>
      <c r="O38" s="174"/>
      <c r="P38" s="174"/>
      <c r="Q38" s="174"/>
      <c r="R38" s="174"/>
      <c r="S38" s="174"/>
      <c r="T38" s="174"/>
      <c r="U38" s="174"/>
      <c r="V38" s="705"/>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126</v>
      </c>
      <c r="B39" s="730">
        <f>'Inflation GDP Population'!B2</f>
        <v>96.994687</v>
      </c>
      <c r="C39" s="730">
        <f>'Inflation GDP Population'!C2</f>
        <v>82.56180237</v>
      </c>
      <c r="D39" s="730">
        <f>'Inflation GDP Population'!D2</f>
        <v>92.42298883</v>
      </c>
      <c r="E39" s="730">
        <f>'Inflation GDP Population'!E2</f>
        <v>85.643903</v>
      </c>
      <c r="F39" s="730">
        <f>'Inflation GDP Population'!F2</f>
        <v>81.32479157</v>
      </c>
      <c r="G39" s="730">
        <f>'Inflation GDP Population'!G2</f>
        <v>82.28505158</v>
      </c>
      <c r="H39" s="730">
        <f>'Inflation GDP Population'!H2</f>
        <v>73.13235237</v>
      </c>
      <c r="I39" s="730">
        <f>'Inflation GDP Population'!I2</f>
        <v>75.17834992</v>
      </c>
      <c r="J39" s="730">
        <f>'Inflation GDP Population'!J2</f>
        <v>77.56686895</v>
      </c>
      <c r="K39" s="730">
        <f>'Inflation GDP Population'!K2</f>
        <v>67.39705426</v>
      </c>
      <c r="L39" s="730">
        <f>'Inflation GDP Population'!L2</f>
        <v>69.35926131</v>
      </c>
      <c r="M39" s="730">
        <f>'Inflation GDP Population'!M2</f>
        <v>69.14964738</v>
      </c>
      <c r="N39" s="730">
        <f>'Inflation GDP Population'!N2</f>
        <v>66.07741069</v>
      </c>
      <c r="O39" s="730">
        <f>'Inflation GDP Population'!O2</f>
        <v>68.66764955</v>
      </c>
      <c r="P39" s="730">
        <f>'Inflation GDP Population'!P2</f>
        <v>67.61337449</v>
      </c>
      <c r="Q39" s="730">
        <f>'Inflation GDP Population'!Q2</f>
        <v>63.51929276</v>
      </c>
      <c r="R39" s="730">
        <f>'Inflation GDP Population'!R2</f>
        <v>65.2</v>
      </c>
      <c r="S39" s="730">
        <f>'Inflation GDP Population'!S2</f>
        <v>62.54</v>
      </c>
      <c r="T39" s="730">
        <f>'Inflation GDP Population'!T2</f>
        <v>62.8</v>
      </c>
      <c r="U39" s="730">
        <f>'Inflation GDP Population'!U2</f>
        <v>62.22</v>
      </c>
      <c r="V39" s="730">
        <f>'Inflation GDP Population'!V2</f>
        <v>63.24546</v>
      </c>
      <c r="W39" s="730">
        <f>'Inflation GDP Population'!W2</f>
        <v>62.18788</v>
      </c>
      <c r="X39" s="730">
        <f>'Inflation GDP Population'!X2</f>
        <v>61.28391</v>
      </c>
      <c r="Y39" s="730">
        <f>'Inflation GDP Population'!Y2</f>
        <v>60.78271</v>
      </c>
      <c r="Z39" s="730">
        <f>'Inflation GDP Population'!Z2</f>
        <v>60.47005</v>
      </c>
      <c r="AA39" s="730">
        <f>'Inflation GDP Population'!AA2</f>
        <v>60.72605</v>
      </c>
      <c r="AB39" s="730">
        <f>'Inflation GDP Population'!AB2</f>
        <v>60.32351</v>
      </c>
      <c r="AC39" s="730">
        <f>'Inflation GDP Population'!AC2</f>
        <v>60.15475</v>
      </c>
      <c r="AD39" s="730">
        <f>'Inflation GDP Population'!AD2</f>
        <v>59.91858</v>
      </c>
      <c r="AE39" s="730">
        <f>'Inflation GDP Population'!AE2</f>
        <v>59.74736</v>
      </c>
      <c r="AF39" s="730">
        <f>'Inflation GDP Population'!AF2</f>
        <v>59.57172</v>
      </c>
      <c r="AG39" s="730">
        <f>'Inflation GDP Population'!AG2</f>
        <v>59.4622</v>
      </c>
      <c r="AH39" s="730">
        <f>'Inflation GDP Population'!AH2</f>
        <v>59.09818</v>
      </c>
      <c r="AI39" s="730">
        <f>'Inflation GDP Population'!AI2</f>
        <v>58.69071</v>
      </c>
      <c r="AJ39" s="730">
        <f>'Inflation GDP Population'!AJ2</f>
        <v>58.27968</v>
      </c>
      <c r="AK39" s="730">
        <f>'Inflation GDP Population'!AK2</f>
        <v>57.94539</v>
      </c>
      <c r="AL39" s="730">
        <f>'Inflation GDP Population'!AL2</f>
        <v>57.82228</v>
      </c>
      <c r="AM39" s="730">
        <f>'Inflation GDP Population'!AM2</f>
        <v>57.6393</v>
      </c>
      <c r="AN39" s="730">
        <f>'Inflation GDP Population'!AN2</f>
        <v>57.61822</v>
      </c>
      <c r="AO39" s="730">
        <f>'Inflation GDP Population'!AO2</f>
        <v>57.58316</v>
      </c>
      <c r="AP39" s="730">
        <f>'Inflation GDP Population'!AP2</f>
        <v>57.42865</v>
      </c>
      <c r="AQ39" s="730">
        <f>'Inflation GDP Population'!AQ2</f>
        <v>57.21256</v>
      </c>
      <c r="AR39" s="730">
        <f>'Inflation GDP Population'!AR2</f>
        <v>56.95737</v>
      </c>
      <c r="AS39" s="730">
        <f>'Inflation GDP Population'!AS2</f>
        <v>56.72602</v>
      </c>
      <c r="AT39" s="730">
        <f>'Inflation GDP Population'!AT2</f>
        <v>56.5327</v>
      </c>
      <c r="AU39" s="730">
        <f>'Inflation GDP Population'!AU2</f>
        <v>56.32994</v>
      </c>
      <c r="AV39" s="730">
        <f>'Inflation GDP Population'!AV2</f>
        <v>56.00807</v>
      </c>
      <c r="AW39" s="730">
        <f>'Inflation GDP Population'!AW2</f>
        <v>55.85328</v>
      </c>
      <c r="AX39" s="730">
        <f>'Inflation GDP Population'!AX2</f>
        <v>56.44464</v>
      </c>
      <c r="AY39" s="730">
        <f>'Inflation GDP Population'!AY2</f>
        <v>56.52391</v>
      </c>
      <c r="AZ39" s="730">
        <f>'Inflation GDP Population'!AZ2</f>
        <v>56.24409</v>
      </c>
    </row>
    <row r="40" ht="15.0" customHeight="1">
      <c r="A40" s="535" t="s">
        <v>128</v>
      </c>
      <c r="B40" s="730">
        <f>'Inflation GDP Population'!B3</f>
        <v>66.9366</v>
      </c>
      <c r="C40" s="730">
        <f>'Inflation GDP Population'!C3</f>
        <v>68.5627</v>
      </c>
      <c r="D40" s="730">
        <f>'Inflation GDP Population'!D3</f>
        <v>61.9876</v>
      </c>
      <c r="E40" s="730">
        <f>'Inflation GDP Population'!E3</f>
        <v>75.3499</v>
      </c>
      <c r="F40" s="730">
        <f>'Inflation GDP Population'!F3</f>
        <v>79.1677</v>
      </c>
      <c r="G40" s="730">
        <f>'Inflation GDP Population'!G3</f>
        <v>95.8529</v>
      </c>
      <c r="H40" s="730">
        <f>'Inflation GDP Population'!H3</f>
        <v>86.2377</v>
      </c>
      <c r="I40" s="730">
        <f>'Inflation GDP Population'!I3</f>
        <v>87.6517</v>
      </c>
      <c r="J40" s="730">
        <f>'Inflation GDP Population'!J3</f>
        <v>101.4382</v>
      </c>
      <c r="K40" s="730">
        <f>'Inflation GDP Population'!K3</f>
        <v>70.8251</v>
      </c>
      <c r="L40" s="730">
        <f>'Inflation GDP Population'!L3</f>
        <v>73.2289</v>
      </c>
      <c r="M40" s="730">
        <f>'Inflation GDP Population'!M3</f>
        <v>70.5423</v>
      </c>
      <c r="N40" s="730">
        <f>'Inflation GDP Population'!N3</f>
        <v>60.9978</v>
      </c>
      <c r="O40" s="730">
        <f>'Inflation GDP Population'!O3</f>
        <v>67.7143</v>
      </c>
      <c r="P40" s="730">
        <f>'Inflation GDP Population'!P3</f>
        <v>72.6633</v>
      </c>
      <c r="Q40" s="730">
        <f>'Inflation GDP Population'!Q3</f>
        <v>59.8666</v>
      </c>
      <c r="R40" s="730">
        <f>'Inflation GDP Population'!R3</f>
        <v>64.07</v>
      </c>
      <c r="S40" s="730">
        <f>'Inflation GDP Population'!S3</f>
        <v>62.54</v>
      </c>
      <c r="T40" s="730">
        <f>'Inflation GDP Population'!T3</f>
        <v>64.2</v>
      </c>
      <c r="U40" s="730">
        <f>'Inflation GDP Population'!U3</f>
        <v>65.09</v>
      </c>
      <c r="V40" s="730">
        <f>'Inflation GDP Population'!V3</f>
        <v>67.89328</v>
      </c>
      <c r="W40" s="730">
        <f>'Inflation GDP Population'!W3</f>
        <v>68.40823</v>
      </c>
      <c r="X40" s="730">
        <f>'Inflation GDP Population'!X3</f>
        <v>69.03984</v>
      </c>
      <c r="Y40" s="730">
        <f>'Inflation GDP Population'!Y3</f>
        <v>70.16593</v>
      </c>
      <c r="Z40" s="730">
        <f>'Inflation GDP Population'!Z3</f>
        <v>71.49954</v>
      </c>
      <c r="AA40" s="730">
        <f>'Inflation GDP Population'!AA3</f>
        <v>73.51659</v>
      </c>
      <c r="AB40" s="730">
        <f>'Inflation GDP Population'!AB3</f>
        <v>74.70362</v>
      </c>
      <c r="AC40" s="730">
        <f>'Inflation GDP Population'!AC3</f>
        <v>76.17161</v>
      </c>
      <c r="AD40" s="730">
        <f>'Inflation GDP Population'!AD3</f>
        <v>77.50948</v>
      </c>
      <c r="AE40" s="730">
        <f>'Inflation GDP Population'!AE3</f>
        <v>78.93703</v>
      </c>
      <c r="AF40" s="730">
        <f>'Inflation GDP Population'!AF3</f>
        <v>80.39476</v>
      </c>
      <c r="AG40" s="730">
        <f>'Inflation GDP Population'!AG3</f>
        <v>81.99922</v>
      </c>
      <c r="AH40" s="730">
        <f>'Inflation GDP Population'!AH3</f>
        <v>83.28815</v>
      </c>
      <c r="AI40" s="730">
        <f>'Inflation GDP Population'!AI3</f>
        <v>84.55218</v>
      </c>
      <c r="AJ40" s="730">
        <f>'Inflation GDP Population'!AJ3</f>
        <v>85.84256</v>
      </c>
      <c r="AK40" s="730">
        <f>'Inflation GDP Population'!AK3</f>
        <v>87.2825</v>
      </c>
      <c r="AL40" s="730">
        <f>'Inflation GDP Population'!AL3</f>
        <v>89.09156</v>
      </c>
      <c r="AM40" s="730">
        <f>'Inflation GDP Population'!AM3</f>
        <v>90.84511</v>
      </c>
      <c r="AN40" s="730">
        <f>'Inflation GDP Population'!AN3</f>
        <v>92.88487</v>
      </c>
      <c r="AO40" s="730">
        <f>'Inflation GDP Population'!AO3</f>
        <v>94.96038</v>
      </c>
      <c r="AP40" s="730">
        <f>'Inflation GDP Population'!AP3</f>
        <v>96.89805</v>
      </c>
      <c r="AQ40" s="730">
        <f>'Inflation GDP Population'!AQ3</f>
        <v>98.79292</v>
      </c>
      <c r="AR40" s="730">
        <f>'Inflation GDP Population'!AR3</f>
        <v>100.67492</v>
      </c>
      <c r="AS40" s="730">
        <f>'Inflation GDP Population'!AS3</f>
        <v>102.66981</v>
      </c>
      <c r="AT40" s="730">
        <f>'Inflation GDP Population'!AT3</f>
        <v>104.79814</v>
      </c>
      <c r="AU40" s="730">
        <f>'Inflation GDP Population'!AU3</f>
        <v>106.98113</v>
      </c>
      <c r="AV40" s="730">
        <f>'Inflation GDP Population'!AV3</f>
        <v>108.97938</v>
      </c>
      <c r="AW40" s="730">
        <f>'Inflation GDP Population'!AW3</f>
        <v>111.37462</v>
      </c>
      <c r="AX40" s="730">
        <f>'Inflation GDP Population'!AX3</f>
        <v>115.38931</v>
      </c>
      <c r="AY40" s="730">
        <f>'Inflation GDP Population'!AY3</f>
        <v>118.463</v>
      </c>
      <c r="AZ40" s="730">
        <f>'Inflation GDP Population'!AZ3</f>
        <v>120.87941</v>
      </c>
    </row>
    <row r="41" ht="15.0" customHeight="1">
      <c r="A41" s="535" t="s">
        <v>465</v>
      </c>
      <c r="B41" s="730">
        <f>'Inflation GDP Population'!B6</f>
        <v>249.4238174</v>
      </c>
      <c r="C41" s="730">
        <f>'Inflation GDP Population'!C6</f>
        <v>249.4238174</v>
      </c>
      <c r="D41" s="730">
        <f>'Inflation GDP Population'!D6</f>
        <v>212.30936</v>
      </c>
      <c r="E41" s="730">
        <f>'Inflation GDP Population'!E6</f>
        <v>237.6676023</v>
      </c>
      <c r="F41" s="730">
        <f>'Inflation GDP Population'!F6</f>
        <v>220.2350447</v>
      </c>
      <c r="G41" s="730">
        <f>'Inflation GDP Population'!G6</f>
        <v>209.1283615</v>
      </c>
      <c r="H41" s="730">
        <f>'Inflation GDP Population'!H6</f>
        <v>211.5976897</v>
      </c>
      <c r="I41" s="730">
        <f>'Inflation GDP Population'!I6</f>
        <v>188.0613369</v>
      </c>
      <c r="J41" s="730">
        <f>'Inflation GDP Population'!J6</f>
        <v>193.3226613</v>
      </c>
      <c r="K41" s="730">
        <f>'Inflation GDP Population'!K6</f>
        <v>199.4647867</v>
      </c>
      <c r="L41" s="730">
        <f>'Inflation GDP Population'!L6</f>
        <v>173.3129007</v>
      </c>
      <c r="M41" s="730">
        <f>'Inflation GDP Population'!M6</f>
        <v>178.3587562</v>
      </c>
      <c r="N41" s="730">
        <f>'Inflation GDP Population'!N6</f>
        <v>177.8197297</v>
      </c>
      <c r="O41" s="730">
        <f>'Inflation GDP Population'!O6</f>
        <v>169.9194103</v>
      </c>
      <c r="P41" s="730">
        <f>'Inflation GDP Population'!P6</f>
        <v>176.5802624</v>
      </c>
      <c r="Q41" s="730">
        <f>'Inflation GDP Population'!Q6</f>
        <v>173.8691726</v>
      </c>
      <c r="R41" s="730">
        <f>'Inflation GDP Population'!R6</f>
        <v>163.3411578</v>
      </c>
      <c r="S41" s="730">
        <f>'Inflation GDP Population'!S6</f>
        <v>167.6631308</v>
      </c>
      <c r="T41" s="730">
        <f>'Inflation GDP Population'!T6</f>
        <v>160.8228865</v>
      </c>
      <c r="U41" s="730">
        <f>'Inflation GDP Population'!U6</f>
        <v>161.4914818</v>
      </c>
      <c r="V41" s="730">
        <f>'Inflation GDP Population'!V6</f>
        <v>160</v>
      </c>
      <c r="W41" s="730">
        <f>'Inflation GDP Population'!W6</f>
        <v>157.3245068</v>
      </c>
      <c r="X41" s="730">
        <f>'Inflation GDP Population'!X6</f>
        <v>155.0376201</v>
      </c>
      <c r="Y41" s="730">
        <f>'Inflation GDP Population'!Y6</f>
        <v>153.7696714</v>
      </c>
      <c r="Z41" s="730">
        <f>'Inflation GDP Population'!Z6</f>
        <v>152.978696</v>
      </c>
      <c r="AA41" s="730">
        <f>'Inflation GDP Population'!AA6</f>
        <v>153.6263314</v>
      </c>
      <c r="AB41" s="730">
        <f>'Inflation GDP Population'!AB6</f>
        <v>152.6079753</v>
      </c>
      <c r="AC41" s="730">
        <f>'Inflation GDP Population'!AC6</f>
        <v>152.1810419</v>
      </c>
      <c r="AD41" s="730">
        <f>'Inflation GDP Population'!AD6</f>
        <v>151.583573</v>
      </c>
      <c r="AE41" s="730">
        <f>'Inflation GDP Population'!AE6</f>
        <v>151.1504162</v>
      </c>
      <c r="AF41" s="730">
        <f>'Inflation GDP Population'!AF6</f>
        <v>150.7060776</v>
      </c>
      <c r="AG41" s="730">
        <f>'Inflation GDP Population'!AG6</f>
        <v>150.429011</v>
      </c>
      <c r="AH41" s="730">
        <f>'Inflation GDP Population'!AH6</f>
        <v>149.5081038</v>
      </c>
      <c r="AI41" s="730">
        <f>'Inflation GDP Population'!AI6</f>
        <v>148.4772757</v>
      </c>
      <c r="AJ41" s="730">
        <f>'Inflation GDP Population'!AJ6</f>
        <v>147.4374414</v>
      </c>
      <c r="AK41" s="730">
        <f>'Inflation GDP Population'!AK6</f>
        <v>146.5917459</v>
      </c>
      <c r="AL41" s="730">
        <f>'Inflation GDP Population'!AL6</f>
        <v>146.280299</v>
      </c>
      <c r="AM41" s="730">
        <f>'Inflation GDP Population'!AM6</f>
        <v>145.8173915</v>
      </c>
      <c r="AN41" s="730">
        <f>'Inflation GDP Population'!AN6</f>
        <v>145.7640627</v>
      </c>
      <c r="AO41" s="730">
        <f>'Inflation GDP Population'!AO6</f>
        <v>145.6753671</v>
      </c>
      <c r="AP41" s="730">
        <f>'Inflation GDP Population'!AP6</f>
        <v>145.2844837</v>
      </c>
      <c r="AQ41" s="730">
        <f>'Inflation GDP Population'!AQ6</f>
        <v>144.7378136</v>
      </c>
      <c r="AR41" s="730">
        <f>'Inflation GDP Population'!AR6</f>
        <v>144.0922273</v>
      </c>
      <c r="AS41" s="730">
        <f>'Inflation GDP Population'!AS6</f>
        <v>143.5069521</v>
      </c>
      <c r="AT41" s="730">
        <f>'Inflation GDP Population'!AT6</f>
        <v>143.0178862</v>
      </c>
      <c r="AU41" s="730">
        <f>'Inflation GDP Population'!AU6</f>
        <v>142.5049387</v>
      </c>
      <c r="AV41" s="730">
        <f>'Inflation GDP Population'!AV6</f>
        <v>141.6906636</v>
      </c>
      <c r="AW41" s="730">
        <f>'Inflation GDP Population'!AW6</f>
        <v>141.2990719</v>
      </c>
      <c r="AX41" s="730">
        <f>'Inflation GDP Population'!AX6</f>
        <v>142.7951097</v>
      </c>
      <c r="AY41" s="730">
        <f>'Inflation GDP Population'!AY6</f>
        <v>142.995649</v>
      </c>
      <c r="AZ41" s="730">
        <f>'Inflation GDP Population'!AZ6</f>
        <v>142.2877531</v>
      </c>
    </row>
    <row r="42" ht="15.0" customHeight="1">
      <c r="A42" s="535" t="s">
        <v>130</v>
      </c>
      <c r="B42" s="730">
        <f>'Inflation GDP Population'!B7</f>
        <v>164.5391919</v>
      </c>
      <c r="C42" s="730">
        <f>'Inflation GDP Population'!C7</f>
        <v>164.5391919</v>
      </c>
      <c r="D42" s="730">
        <f>'Inflation GDP Population'!D7</f>
        <v>168.536365</v>
      </c>
      <c r="E42" s="730">
        <f>'Inflation GDP Population'!E7</f>
        <v>152.3738823</v>
      </c>
      <c r="F42" s="730">
        <f>'Inflation GDP Population'!F7</f>
        <v>185.2202182</v>
      </c>
      <c r="G42" s="730">
        <f>'Inflation GDP Population'!G7</f>
        <v>194.6048855</v>
      </c>
      <c r="H42" s="730">
        <f>'Inflation GDP Population'!H7</f>
        <v>235.6193578</v>
      </c>
      <c r="I42" s="730">
        <f>'Inflation GDP Population'!I7</f>
        <v>211.9838992</v>
      </c>
      <c r="J42" s="730">
        <f>'Inflation GDP Population'!J7</f>
        <v>215.459702</v>
      </c>
      <c r="K42" s="730">
        <f>'Inflation GDP Population'!K7</f>
        <v>249.3487786</v>
      </c>
      <c r="L42" s="730">
        <f>'Inflation GDP Population'!L7</f>
        <v>174.0976494</v>
      </c>
      <c r="M42" s="730">
        <f>'Inflation GDP Population'!M7</f>
        <v>180.0065141</v>
      </c>
      <c r="N42" s="730">
        <f>'Inflation GDP Population'!N7</f>
        <v>173.4024889</v>
      </c>
      <c r="O42" s="730">
        <f>'Inflation GDP Population'!O7</f>
        <v>149.9408204</v>
      </c>
      <c r="P42" s="730">
        <f>'Inflation GDP Population'!P7</f>
        <v>166.4508834</v>
      </c>
      <c r="Q42" s="730">
        <f>'Inflation GDP Population'!Q7</f>
        <v>178.616193</v>
      </c>
      <c r="R42" s="730">
        <f>'Inflation GDP Population'!R7</f>
        <v>147.1601782</v>
      </c>
      <c r="S42" s="730">
        <f>'Inflation GDP Population'!S7</f>
        <v>157.4927024</v>
      </c>
      <c r="T42" s="730">
        <f>'Inflation GDP Population'!T7</f>
        <v>153.731756</v>
      </c>
      <c r="U42" s="730">
        <f>'Inflation GDP Population'!U7</f>
        <v>157.8122599</v>
      </c>
      <c r="V42" s="730">
        <f>'Inflation GDP Population'!V7</f>
        <v>160</v>
      </c>
      <c r="W42" s="730">
        <f>'Inflation GDP Population'!W7</f>
        <v>161.2135516</v>
      </c>
      <c r="X42" s="730">
        <f>'Inflation GDP Population'!X7</f>
        <v>162.7020288</v>
      </c>
      <c r="Y42" s="730">
        <f>'Inflation GDP Population'!Y7</f>
        <v>165.3558172</v>
      </c>
      <c r="Z42" s="730">
        <f>'Inflation GDP Population'!Z7</f>
        <v>168.4986555</v>
      </c>
      <c r="AA42" s="730">
        <f>'Inflation GDP Population'!AA7</f>
        <v>173.2521157</v>
      </c>
      <c r="AB42" s="730">
        <f>'Inflation GDP Population'!AB7</f>
        <v>176.0495177</v>
      </c>
      <c r="AC42" s="730">
        <f>'Inflation GDP Population'!AC7</f>
        <v>179.5090412</v>
      </c>
      <c r="AD42" s="730">
        <f>'Inflation GDP Population'!AD7</f>
        <v>182.6619188</v>
      </c>
      <c r="AE42" s="730">
        <f>'Inflation GDP Population'!AE7</f>
        <v>186.0261398</v>
      </c>
      <c r="AF42" s="730">
        <f>'Inflation GDP Population'!AF7</f>
        <v>189.4614843</v>
      </c>
      <c r="AG42" s="730">
        <f>'Inflation GDP Population'!AG7</f>
        <v>193.2426184</v>
      </c>
      <c r="AH42" s="730">
        <f>'Inflation GDP Population'!AH7</f>
        <v>196.280162</v>
      </c>
      <c r="AI42" s="730">
        <f>'Inflation GDP Population'!AI7</f>
        <v>199.2590253</v>
      </c>
      <c r="AJ42" s="730">
        <f>'Inflation GDP Population'!AJ7</f>
        <v>202.2999861</v>
      </c>
      <c r="AK42" s="730">
        <f>'Inflation GDP Population'!AK7</f>
        <v>205.6934059</v>
      </c>
      <c r="AL42" s="730">
        <f>'Inflation GDP Population'!AL7</f>
        <v>209.9567085</v>
      </c>
      <c r="AM42" s="730">
        <f>'Inflation GDP Population'!AM7</f>
        <v>214.0891941</v>
      </c>
      <c r="AN42" s="730">
        <f>'Inflation GDP Population'!AN7</f>
        <v>218.8961735</v>
      </c>
      <c r="AO42" s="730">
        <f>'Inflation GDP Population'!AO7</f>
        <v>223.7874028</v>
      </c>
      <c r="AP42" s="730">
        <f>'Inflation GDP Population'!AP7</f>
        <v>228.3537929</v>
      </c>
      <c r="AQ42" s="730">
        <f>'Inflation GDP Population'!AQ7</f>
        <v>232.8193188</v>
      </c>
      <c r="AR42" s="730">
        <f>'Inflation GDP Population'!AR7</f>
        <v>237.2545147</v>
      </c>
      <c r="AS42" s="730">
        <f>'Inflation GDP Population'!AS7</f>
        <v>241.9557517</v>
      </c>
      <c r="AT42" s="730">
        <f>'Inflation GDP Population'!AT7</f>
        <v>246.9714587</v>
      </c>
      <c r="AU42" s="730">
        <f>'Inflation GDP Population'!AU7</f>
        <v>252.1159797</v>
      </c>
      <c r="AV42" s="730">
        <f>'Inflation GDP Population'!AV7</f>
        <v>256.825135</v>
      </c>
      <c r="AW42" s="730">
        <f>'Inflation GDP Population'!AW7</f>
        <v>262.4698527</v>
      </c>
      <c r="AX42" s="730">
        <f>'Inflation GDP Population'!AX7</f>
        <v>271.9310306</v>
      </c>
      <c r="AY42" s="730">
        <f>'Inflation GDP Population'!AY7</f>
        <v>279.1746105</v>
      </c>
      <c r="AZ42" s="730">
        <f>'Inflation GDP Population'!AZ7</f>
        <v>284.8692183</v>
      </c>
    </row>
    <row r="43" ht="15.0" customHeight="1">
      <c r="A43" s="541" t="s">
        <v>1156</v>
      </c>
      <c r="B43" s="546">
        <v>0.0</v>
      </c>
      <c r="C43" s="546">
        <v>0.0</v>
      </c>
      <c r="D43" s="546">
        <v>0.0</v>
      </c>
      <c r="E43" s="546">
        <v>0.0</v>
      </c>
      <c r="F43" s="546">
        <v>0.0</v>
      </c>
      <c r="G43" s="546">
        <v>0.0</v>
      </c>
      <c r="H43" s="546">
        <v>0.0</v>
      </c>
      <c r="I43" s="546">
        <f t="shared" ref="I43:U43" si="30">J43</f>
        <v>0</v>
      </c>
      <c r="J43" s="546">
        <f t="shared" si="30"/>
        <v>0</v>
      </c>
      <c r="K43" s="546">
        <f t="shared" si="30"/>
        <v>0</v>
      </c>
      <c r="L43" s="546">
        <f t="shared" si="30"/>
        <v>0</v>
      </c>
      <c r="M43" s="546">
        <f t="shared" si="30"/>
        <v>0</v>
      </c>
      <c r="N43" s="546">
        <f t="shared" si="30"/>
        <v>0</v>
      </c>
      <c r="O43" s="546">
        <f t="shared" si="30"/>
        <v>0</v>
      </c>
      <c r="P43" s="546">
        <f t="shared" si="30"/>
        <v>0</v>
      </c>
      <c r="Q43" s="546">
        <f t="shared" si="30"/>
        <v>0</v>
      </c>
      <c r="R43" s="546">
        <f t="shared" si="30"/>
        <v>0</v>
      </c>
      <c r="S43" s="546">
        <f t="shared" si="30"/>
        <v>0</v>
      </c>
      <c r="T43" s="546">
        <f t="shared" si="30"/>
        <v>0</v>
      </c>
      <c r="U43" s="546">
        <f t="shared" si="30"/>
        <v>0</v>
      </c>
      <c r="V43" s="542">
        <v>0.0</v>
      </c>
      <c r="W43" s="208">
        <f t="shared" ref="W43:AZ43" si="31">V43</f>
        <v>0</v>
      </c>
      <c r="X43" s="208">
        <f t="shared" si="31"/>
        <v>0</v>
      </c>
      <c r="Y43" s="208">
        <f t="shared" si="31"/>
        <v>0</v>
      </c>
      <c r="Z43" s="208">
        <f t="shared" si="31"/>
        <v>0</v>
      </c>
      <c r="AA43" s="208">
        <f t="shared" si="31"/>
        <v>0</v>
      </c>
      <c r="AB43" s="208">
        <f t="shared" si="31"/>
        <v>0</v>
      </c>
      <c r="AC43" s="208">
        <f t="shared" si="31"/>
        <v>0</v>
      </c>
      <c r="AD43" s="208">
        <f t="shared" si="31"/>
        <v>0</v>
      </c>
      <c r="AE43" s="208">
        <f t="shared" si="31"/>
        <v>0</v>
      </c>
      <c r="AF43" s="208">
        <f t="shared" si="31"/>
        <v>0</v>
      </c>
      <c r="AG43" s="208">
        <f t="shared" si="31"/>
        <v>0</v>
      </c>
      <c r="AH43" s="208">
        <f t="shared" si="31"/>
        <v>0</v>
      </c>
      <c r="AI43" s="208">
        <f t="shared" si="31"/>
        <v>0</v>
      </c>
      <c r="AJ43" s="208">
        <f t="shared" si="31"/>
        <v>0</v>
      </c>
      <c r="AK43" s="208">
        <f t="shared" si="31"/>
        <v>0</v>
      </c>
      <c r="AL43" s="208">
        <f t="shared" si="31"/>
        <v>0</v>
      </c>
      <c r="AM43" s="208">
        <f t="shared" si="31"/>
        <v>0</v>
      </c>
      <c r="AN43" s="208">
        <f t="shared" si="31"/>
        <v>0</v>
      </c>
      <c r="AO43" s="208">
        <f t="shared" si="31"/>
        <v>0</v>
      </c>
      <c r="AP43" s="208">
        <f t="shared" si="31"/>
        <v>0</v>
      </c>
      <c r="AQ43" s="208">
        <f t="shared" si="31"/>
        <v>0</v>
      </c>
      <c r="AR43" s="208">
        <f t="shared" si="31"/>
        <v>0</v>
      </c>
      <c r="AS43" s="208">
        <f t="shared" si="31"/>
        <v>0</v>
      </c>
      <c r="AT43" s="208">
        <f t="shared" si="31"/>
        <v>0</v>
      </c>
      <c r="AU43" s="208">
        <f t="shared" si="31"/>
        <v>0</v>
      </c>
      <c r="AV43" s="208">
        <f t="shared" si="31"/>
        <v>0</v>
      </c>
      <c r="AW43" s="208">
        <f t="shared" si="31"/>
        <v>0</v>
      </c>
      <c r="AX43" s="208">
        <f t="shared" si="31"/>
        <v>0</v>
      </c>
      <c r="AY43" s="208">
        <f t="shared" si="31"/>
        <v>0</v>
      </c>
      <c r="AZ43" s="208">
        <f t="shared" si="31"/>
        <v>0</v>
      </c>
    </row>
    <row r="44" ht="15.75" customHeight="1">
      <c r="A44" s="535" t="s">
        <v>137</v>
      </c>
      <c r="B44" s="709">
        <f t="shared" ref="B44:U44" si="32">C44</f>
        <v>0.01989423738</v>
      </c>
      <c r="C44" s="709">
        <f t="shared" si="32"/>
        <v>0.01989423738</v>
      </c>
      <c r="D44" s="709">
        <f t="shared" si="32"/>
        <v>0.01989423738</v>
      </c>
      <c r="E44" s="709">
        <f t="shared" si="32"/>
        <v>0.01989423738</v>
      </c>
      <c r="F44" s="709">
        <f t="shared" si="32"/>
        <v>0.01989423738</v>
      </c>
      <c r="G44" s="709">
        <f t="shared" si="32"/>
        <v>0.01989423738</v>
      </c>
      <c r="H44" s="709">
        <f t="shared" si="32"/>
        <v>0.01989423738</v>
      </c>
      <c r="I44" s="709">
        <f t="shared" si="32"/>
        <v>0.01989423738</v>
      </c>
      <c r="J44" s="709">
        <f t="shared" si="32"/>
        <v>0.01989423738</v>
      </c>
      <c r="K44" s="709">
        <f t="shared" si="32"/>
        <v>0.01989423738</v>
      </c>
      <c r="L44" s="709">
        <f t="shared" si="32"/>
        <v>0.01989423738</v>
      </c>
      <c r="M44" s="709">
        <f t="shared" si="32"/>
        <v>0.01989423738</v>
      </c>
      <c r="N44" s="709">
        <f t="shared" si="32"/>
        <v>0.01989423738</v>
      </c>
      <c r="O44" s="709">
        <f t="shared" si="32"/>
        <v>0.01989423738</v>
      </c>
      <c r="P44" s="709">
        <f t="shared" si="32"/>
        <v>0.01989423738</v>
      </c>
      <c r="Q44" s="709">
        <f t="shared" si="32"/>
        <v>0.01989423738</v>
      </c>
      <c r="R44" s="709">
        <f t="shared" si="32"/>
        <v>0.01989423738</v>
      </c>
      <c r="S44" s="709">
        <f t="shared" si="32"/>
        <v>0.01989423738</v>
      </c>
      <c r="T44" s="709">
        <f t="shared" si="32"/>
        <v>0.01989423738</v>
      </c>
      <c r="U44" s="709">
        <f t="shared" si="32"/>
        <v>0.01989423738</v>
      </c>
      <c r="V44" s="669">
        <f>Inputs!B21</f>
        <v>0.01989423738</v>
      </c>
      <c r="W44" s="710">
        <f t="shared" ref="W44:AZ44" si="33">V44</f>
        <v>0.01989423738</v>
      </c>
      <c r="X44" s="710">
        <f t="shared" si="33"/>
        <v>0.01989423738</v>
      </c>
      <c r="Y44" s="710">
        <f t="shared" si="33"/>
        <v>0.01989423738</v>
      </c>
      <c r="Z44" s="710">
        <f t="shared" si="33"/>
        <v>0.01989423738</v>
      </c>
      <c r="AA44" s="710">
        <f t="shared" si="33"/>
        <v>0.01989423738</v>
      </c>
      <c r="AB44" s="710">
        <f t="shared" si="33"/>
        <v>0.01989423738</v>
      </c>
      <c r="AC44" s="710">
        <f t="shared" si="33"/>
        <v>0.01989423738</v>
      </c>
      <c r="AD44" s="710">
        <f t="shared" si="33"/>
        <v>0.01989423738</v>
      </c>
      <c r="AE44" s="710">
        <f t="shared" si="33"/>
        <v>0.01989423738</v>
      </c>
      <c r="AF44" s="710">
        <f t="shared" si="33"/>
        <v>0.01989423738</v>
      </c>
      <c r="AG44" s="710">
        <f t="shared" si="33"/>
        <v>0.01989423738</v>
      </c>
      <c r="AH44" s="710">
        <f t="shared" si="33"/>
        <v>0.01989423738</v>
      </c>
      <c r="AI44" s="710">
        <f t="shared" si="33"/>
        <v>0.01989423738</v>
      </c>
      <c r="AJ44" s="710">
        <f t="shared" si="33"/>
        <v>0.01989423738</v>
      </c>
      <c r="AK44" s="710">
        <f t="shared" si="33"/>
        <v>0.01989423738</v>
      </c>
      <c r="AL44" s="710">
        <f t="shared" si="33"/>
        <v>0.01989423738</v>
      </c>
      <c r="AM44" s="710">
        <f t="shared" si="33"/>
        <v>0.01989423738</v>
      </c>
      <c r="AN44" s="710">
        <f t="shared" si="33"/>
        <v>0.01989423738</v>
      </c>
      <c r="AO44" s="710">
        <f t="shared" si="33"/>
        <v>0.01989423738</v>
      </c>
      <c r="AP44" s="710">
        <f t="shared" si="33"/>
        <v>0.01989423738</v>
      </c>
      <c r="AQ44" s="710">
        <f t="shared" si="33"/>
        <v>0.01989423738</v>
      </c>
      <c r="AR44" s="710">
        <f t="shared" si="33"/>
        <v>0.01989423738</v>
      </c>
      <c r="AS44" s="710">
        <f t="shared" si="33"/>
        <v>0.01989423738</v>
      </c>
      <c r="AT44" s="710">
        <f t="shared" si="33"/>
        <v>0.01989423738</v>
      </c>
      <c r="AU44" s="710">
        <f t="shared" si="33"/>
        <v>0.01989423738</v>
      </c>
      <c r="AV44" s="710">
        <f t="shared" si="33"/>
        <v>0.01989423738</v>
      </c>
      <c r="AW44" s="710">
        <f t="shared" si="33"/>
        <v>0.01989423738</v>
      </c>
      <c r="AX44" s="710">
        <f t="shared" si="33"/>
        <v>0.01989423738</v>
      </c>
      <c r="AY44" s="710">
        <f t="shared" si="33"/>
        <v>0.01989423738</v>
      </c>
      <c r="AZ44" s="710">
        <f t="shared" si="33"/>
        <v>0.01989423738</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728" t="s">
        <v>1157</v>
      </c>
      <c r="B46" s="38"/>
      <c r="C46" s="38"/>
      <c r="D46" s="38"/>
      <c r="E46" s="38"/>
      <c r="F46" s="38"/>
      <c r="G46" s="38"/>
      <c r="H46" s="38"/>
      <c r="I46" s="38"/>
      <c r="J46" s="38"/>
      <c r="K46" s="38"/>
      <c r="L46" s="38"/>
      <c r="M46" s="38"/>
      <c r="N46" s="38"/>
      <c r="O46" s="38"/>
      <c r="P46" s="38"/>
      <c r="Q46" s="38"/>
      <c r="R46" s="38"/>
      <c r="S46" s="38"/>
      <c r="T46" s="38"/>
      <c r="U46" s="38"/>
      <c r="V46" s="32"/>
      <c r="W46" s="252">
        <f t="shared" ref="W46:BA46" si="34">SUM(W49:W169)</f>
        <v>0</v>
      </c>
      <c r="X46" s="252">
        <f t="shared" si="34"/>
        <v>0</v>
      </c>
      <c r="Y46" s="252">
        <f t="shared" si="34"/>
        <v>0</v>
      </c>
      <c r="Z46" s="252">
        <f t="shared" si="34"/>
        <v>0</v>
      </c>
      <c r="AA46" s="252">
        <f t="shared" si="34"/>
        <v>0</v>
      </c>
      <c r="AB46" s="252">
        <f t="shared" si="34"/>
        <v>0</v>
      </c>
      <c r="AC46" s="252">
        <f t="shared" si="34"/>
        <v>0</v>
      </c>
      <c r="AD46" s="252">
        <f t="shared" si="34"/>
        <v>0</v>
      </c>
      <c r="AE46" s="252">
        <f t="shared" si="34"/>
        <v>0</v>
      </c>
      <c r="AF46" s="252">
        <f t="shared" si="34"/>
        <v>0</v>
      </c>
      <c r="AG46" s="252">
        <f t="shared" si="34"/>
        <v>0</v>
      </c>
      <c r="AH46" s="252">
        <f t="shared" si="34"/>
        <v>1</v>
      </c>
      <c r="AI46" s="252">
        <f t="shared" si="34"/>
        <v>0</v>
      </c>
      <c r="AJ46" s="252">
        <f t="shared" si="34"/>
        <v>2</v>
      </c>
      <c r="AK46" s="252">
        <f t="shared" si="34"/>
        <v>4</v>
      </c>
      <c r="AL46" s="252">
        <f t="shared" si="34"/>
        <v>0</v>
      </c>
      <c r="AM46" s="253">
        <f t="shared" si="34"/>
        <v>0</v>
      </c>
      <c r="AN46" s="253">
        <f t="shared" si="34"/>
        <v>440.9335817</v>
      </c>
      <c r="AO46" s="253">
        <f t="shared" si="34"/>
        <v>440.9335817</v>
      </c>
      <c r="AP46" s="253">
        <f t="shared" si="34"/>
        <v>440.9335817</v>
      </c>
      <c r="AQ46" s="253">
        <f t="shared" si="34"/>
        <v>440.9335817</v>
      </c>
      <c r="AR46" s="253">
        <f t="shared" si="34"/>
        <v>440.9335817</v>
      </c>
      <c r="AS46" s="253">
        <f t="shared" si="34"/>
        <v>440.9335817</v>
      </c>
      <c r="AT46" s="253">
        <f t="shared" si="34"/>
        <v>440.9335817</v>
      </c>
      <c r="AU46" s="253">
        <f t="shared" si="34"/>
        <v>440.9335817</v>
      </c>
      <c r="AV46" s="253">
        <f t="shared" si="34"/>
        <v>440.9335817</v>
      </c>
      <c r="AW46" s="253">
        <f t="shared" si="34"/>
        <v>440.9335817</v>
      </c>
      <c r="AX46" s="253">
        <f t="shared" si="34"/>
        <v>440.9335817</v>
      </c>
      <c r="AY46" s="253">
        <f t="shared" si="34"/>
        <v>441.9335817</v>
      </c>
      <c r="AZ46" s="253">
        <f t="shared" si="34"/>
        <v>440.9335817</v>
      </c>
      <c r="BA46" s="253">
        <f t="shared" si="34"/>
        <v>442.9335817</v>
      </c>
    </row>
    <row r="47" ht="15.75" customHeight="1">
      <c r="A47" s="728" t="s">
        <v>1158</v>
      </c>
      <c r="B47" s="733"/>
      <c r="C47" s="733"/>
      <c r="D47" s="733"/>
      <c r="E47" s="733"/>
      <c r="F47" s="733"/>
      <c r="G47" s="733"/>
      <c r="H47" s="733"/>
      <c r="I47" s="733"/>
      <c r="J47" s="733"/>
      <c r="K47" s="733"/>
      <c r="L47" s="733"/>
      <c r="M47" s="733"/>
      <c r="N47" s="733"/>
      <c r="O47" s="733"/>
      <c r="P47" s="733"/>
      <c r="Q47" s="733"/>
      <c r="R47" s="733"/>
      <c r="S47" s="38"/>
      <c r="T47" s="38"/>
      <c r="U47" s="733"/>
      <c r="V47" s="767"/>
      <c r="W47" s="880">
        <f t="shared" ref="W47:BA47" si="35">sum(W172:W222)</f>
        <v>0</v>
      </c>
      <c r="X47" s="880">
        <f t="shared" si="35"/>
        <v>0</v>
      </c>
      <c r="Y47" s="880">
        <f t="shared" si="35"/>
        <v>0</v>
      </c>
      <c r="Z47" s="880">
        <f t="shared" si="35"/>
        <v>0</v>
      </c>
      <c r="AA47" s="880">
        <f t="shared" si="35"/>
        <v>0</v>
      </c>
      <c r="AB47" s="880">
        <f t="shared" si="35"/>
        <v>0</v>
      </c>
      <c r="AC47" s="880">
        <f t="shared" si="35"/>
        <v>0</v>
      </c>
      <c r="AD47" s="880">
        <f t="shared" si="35"/>
        <v>0</v>
      </c>
      <c r="AE47" s="880">
        <f t="shared" si="35"/>
        <v>0</v>
      </c>
      <c r="AF47" s="880">
        <f t="shared" si="35"/>
        <v>0</v>
      </c>
      <c r="AG47" s="880">
        <f t="shared" si="35"/>
        <v>0</v>
      </c>
      <c r="AH47" s="880">
        <f t="shared" si="35"/>
        <v>0</v>
      </c>
      <c r="AI47" s="880">
        <f t="shared" si="35"/>
        <v>0</v>
      </c>
      <c r="AJ47" s="880">
        <f t="shared" si="35"/>
        <v>0</v>
      </c>
      <c r="AK47" s="880">
        <f t="shared" si="35"/>
        <v>0</v>
      </c>
      <c r="AL47" s="880">
        <f t="shared" si="35"/>
        <v>0</v>
      </c>
      <c r="AM47" s="880">
        <f t="shared" si="35"/>
        <v>0</v>
      </c>
      <c r="AN47" s="880">
        <f t="shared" si="35"/>
        <v>0.006245053086</v>
      </c>
      <c r="AO47" s="880">
        <f t="shared" si="35"/>
        <v>0.006245053086</v>
      </c>
      <c r="AP47" s="880">
        <f t="shared" si="35"/>
        <v>0.006245053086</v>
      </c>
      <c r="AQ47" s="880">
        <f t="shared" si="35"/>
        <v>0.006245053086</v>
      </c>
      <c r="AR47" s="880">
        <f t="shared" si="35"/>
        <v>0.006245053086</v>
      </c>
      <c r="AS47" s="880">
        <f t="shared" si="35"/>
        <v>0.006245053086</v>
      </c>
      <c r="AT47" s="880">
        <f t="shared" si="35"/>
        <v>0.006245053086</v>
      </c>
      <c r="AU47" s="880">
        <f t="shared" si="35"/>
        <v>0.006245053086</v>
      </c>
      <c r="AV47" s="880">
        <f t="shared" si="35"/>
        <v>0.006245053086</v>
      </c>
      <c r="AW47" s="880">
        <f t="shared" si="35"/>
        <v>0.006245053086</v>
      </c>
      <c r="AX47" s="880">
        <f t="shared" si="35"/>
        <v>0.006245053086</v>
      </c>
      <c r="AY47" s="880">
        <f t="shared" si="35"/>
        <v>0.006245053086</v>
      </c>
      <c r="AZ47" s="880">
        <f t="shared" si="35"/>
        <v>0.006245053086</v>
      </c>
      <c r="BA47" s="880">
        <f t="shared" si="35"/>
        <v>0.006245053086</v>
      </c>
    </row>
    <row r="48" ht="15.75" customHeight="1">
      <c r="A48" s="881" t="s">
        <v>1159</v>
      </c>
      <c r="B48" s="733"/>
      <c r="C48" s="733"/>
      <c r="D48" s="733"/>
      <c r="E48" s="733"/>
      <c r="F48" s="733"/>
      <c r="G48" s="733"/>
      <c r="H48" s="733"/>
      <c r="I48" s="733"/>
      <c r="J48" s="733"/>
      <c r="K48" s="733"/>
      <c r="L48" s="733"/>
      <c r="M48" s="733"/>
      <c r="N48" s="733"/>
      <c r="O48" s="733"/>
      <c r="P48" s="733"/>
      <c r="Q48" s="733"/>
      <c r="R48" s="733"/>
      <c r="S48" s="38"/>
      <c r="T48" s="38"/>
      <c r="U48" s="733"/>
      <c r="V48" s="767" t="s">
        <v>1160</v>
      </c>
      <c r="W48" s="159">
        <v>2020.0</v>
      </c>
      <c r="X48" s="159">
        <v>2021.0</v>
      </c>
      <c r="Y48" s="159">
        <v>2022.0</v>
      </c>
      <c r="Z48" s="159">
        <v>2023.0</v>
      </c>
      <c r="AA48" s="159">
        <v>2024.0</v>
      </c>
      <c r="AB48" s="159">
        <v>2025.0</v>
      </c>
      <c r="AC48" s="159">
        <v>2026.0</v>
      </c>
      <c r="AD48" s="159">
        <v>2027.0</v>
      </c>
      <c r="AE48" s="159">
        <v>2028.0</v>
      </c>
      <c r="AF48" s="159">
        <v>2029.0</v>
      </c>
      <c r="AG48" s="159">
        <v>2030.0</v>
      </c>
      <c r="AH48" s="159">
        <v>2031.0</v>
      </c>
      <c r="AI48" s="159">
        <v>2032.0</v>
      </c>
      <c r="AJ48" s="159">
        <v>2033.0</v>
      </c>
      <c r="AK48" s="159">
        <v>2034.0</v>
      </c>
      <c r="AL48" s="159">
        <v>2035.0</v>
      </c>
      <c r="AM48" s="159">
        <v>2036.0</v>
      </c>
      <c r="AN48" s="159">
        <v>2037.0</v>
      </c>
      <c r="AO48" s="159">
        <v>2038.0</v>
      </c>
      <c r="AP48" s="159">
        <v>2039.0</v>
      </c>
      <c r="AQ48" s="159">
        <v>2040.0</v>
      </c>
      <c r="AR48" s="159">
        <v>2041.0</v>
      </c>
      <c r="AS48" s="159">
        <v>2042.0</v>
      </c>
      <c r="AT48" s="159">
        <v>2043.0</v>
      </c>
      <c r="AU48" s="159">
        <v>2044.0</v>
      </c>
      <c r="AV48" s="159">
        <v>2045.0</v>
      </c>
      <c r="AW48" s="159">
        <v>2046.0</v>
      </c>
      <c r="AX48" s="159">
        <v>2047.0</v>
      </c>
      <c r="AY48" s="159">
        <v>2048.0</v>
      </c>
      <c r="AZ48" s="159">
        <v>2049.0</v>
      </c>
      <c r="BA48" s="159">
        <v>2050.0</v>
      </c>
    </row>
    <row r="49" ht="15.75" customHeight="1">
      <c r="A49" s="44">
        <v>1930.0</v>
      </c>
      <c r="B49" s="32"/>
      <c r="C49" s="32"/>
      <c r="D49" s="32"/>
      <c r="E49" s="32"/>
      <c r="F49" s="32"/>
      <c r="G49" s="32"/>
      <c r="H49" s="32"/>
      <c r="I49" s="32"/>
      <c r="J49" s="32"/>
      <c r="K49" s="32"/>
      <c r="L49" s="32"/>
      <c r="M49" s="32"/>
      <c r="N49" s="32"/>
      <c r="O49" s="32"/>
      <c r="P49" s="32"/>
      <c r="Q49" s="32"/>
      <c r="R49" s="32"/>
      <c r="S49" s="32"/>
      <c r="T49" s="32"/>
      <c r="U49" s="32"/>
      <c r="V49" s="171">
        <v>0.0</v>
      </c>
      <c r="W49" s="252">
        <f t="shared" ref="W49:W169" si="37">IF(W$48-$A49&gt;$V$34,$V49,0)</f>
        <v>0</v>
      </c>
      <c r="X49" s="252">
        <f t="shared" ref="X49:BA49" si="36">IF(AND(X$48-$A49&gt;$V$34,SUM($W49:W49)&lt;&gt;$V49),$V49,0)</f>
        <v>0</v>
      </c>
      <c r="Y49" s="252">
        <f t="shared" si="36"/>
        <v>0</v>
      </c>
      <c r="Z49" s="252">
        <f t="shared" si="36"/>
        <v>0</v>
      </c>
      <c r="AA49" s="252">
        <f t="shared" si="36"/>
        <v>0</v>
      </c>
      <c r="AB49" s="252">
        <f t="shared" si="36"/>
        <v>0</v>
      </c>
      <c r="AC49" s="252">
        <f t="shared" si="36"/>
        <v>0</v>
      </c>
      <c r="AD49" s="252">
        <f t="shared" si="36"/>
        <v>0</v>
      </c>
      <c r="AE49" s="252">
        <f t="shared" si="36"/>
        <v>0</v>
      </c>
      <c r="AF49" s="252">
        <f t="shared" si="36"/>
        <v>0</v>
      </c>
      <c r="AG49" s="252">
        <f t="shared" si="36"/>
        <v>0</v>
      </c>
      <c r="AH49" s="252">
        <f t="shared" si="36"/>
        <v>0</v>
      </c>
      <c r="AI49" s="252">
        <f t="shared" si="36"/>
        <v>0</v>
      </c>
      <c r="AJ49" s="252">
        <f t="shared" si="36"/>
        <v>0</v>
      </c>
      <c r="AK49" s="252">
        <f t="shared" si="36"/>
        <v>0</v>
      </c>
      <c r="AL49" s="252">
        <f t="shared" si="36"/>
        <v>0</v>
      </c>
      <c r="AM49" s="252">
        <f t="shared" si="36"/>
        <v>0</v>
      </c>
      <c r="AN49" s="252">
        <f t="shared" si="36"/>
        <v>0</v>
      </c>
      <c r="AO49" s="252">
        <f t="shared" si="36"/>
        <v>0</v>
      </c>
      <c r="AP49" s="252">
        <f t="shared" si="36"/>
        <v>0</v>
      </c>
      <c r="AQ49" s="252">
        <f t="shared" si="36"/>
        <v>0</v>
      </c>
      <c r="AR49" s="252">
        <f t="shared" si="36"/>
        <v>0</v>
      </c>
      <c r="AS49" s="252">
        <f t="shared" si="36"/>
        <v>0</v>
      </c>
      <c r="AT49" s="252">
        <f t="shared" si="36"/>
        <v>0</v>
      </c>
      <c r="AU49" s="252">
        <f t="shared" si="36"/>
        <v>0</v>
      </c>
      <c r="AV49" s="252">
        <f t="shared" si="36"/>
        <v>0</v>
      </c>
      <c r="AW49" s="252">
        <f t="shared" si="36"/>
        <v>0</v>
      </c>
      <c r="AX49" s="252">
        <f t="shared" si="36"/>
        <v>0</v>
      </c>
      <c r="AY49" s="252">
        <f t="shared" si="36"/>
        <v>0</v>
      </c>
      <c r="AZ49" s="252">
        <f t="shared" si="36"/>
        <v>0</v>
      </c>
      <c r="BA49" s="252">
        <f t="shared" si="36"/>
        <v>0</v>
      </c>
    </row>
    <row r="50" ht="15.75" customHeight="1">
      <c r="A50" s="44">
        <v>1931.0</v>
      </c>
      <c r="B50" s="32"/>
      <c r="C50" s="32"/>
      <c r="D50" s="32"/>
      <c r="E50" s="32"/>
      <c r="F50" s="32"/>
      <c r="G50" s="32"/>
      <c r="H50" s="32"/>
      <c r="I50" s="32"/>
      <c r="J50" s="32"/>
      <c r="K50" s="32"/>
      <c r="L50" s="32"/>
      <c r="M50" s="32"/>
      <c r="N50" s="32"/>
      <c r="O50" s="32"/>
      <c r="P50" s="32"/>
      <c r="Q50" s="32"/>
      <c r="R50" s="32"/>
      <c r="S50" s="32"/>
      <c r="T50" s="32"/>
      <c r="U50" s="32"/>
      <c r="V50" s="171">
        <v>0.0</v>
      </c>
      <c r="W50" s="252">
        <f t="shared" si="37"/>
        <v>0</v>
      </c>
      <c r="X50" s="252">
        <f t="shared" ref="X50:BA50" si="38">IF(AND(X$48-$A50&gt;$V$34,SUM($W50:W50)&lt;&gt;$V50),$V50,0)</f>
        <v>0</v>
      </c>
      <c r="Y50" s="252">
        <f t="shared" si="38"/>
        <v>0</v>
      </c>
      <c r="Z50" s="252">
        <f t="shared" si="38"/>
        <v>0</v>
      </c>
      <c r="AA50" s="252">
        <f t="shared" si="38"/>
        <v>0</v>
      </c>
      <c r="AB50" s="252">
        <f t="shared" si="38"/>
        <v>0</v>
      </c>
      <c r="AC50" s="252">
        <f t="shared" si="38"/>
        <v>0</v>
      </c>
      <c r="AD50" s="252">
        <f t="shared" si="38"/>
        <v>0</v>
      </c>
      <c r="AE50" s="252">
        <f t="shared" si="38"/>
        <v>0</v>
      </c>
      <c r="AF50" s="252">
        <f t="shared" si="38"/>
        <v>0</v>
      </c>
      <c r="AG50" s="252">
        <f t="shared" si="38"/>
        <v>0</v>
      </c>
      <c r="AH50" s="252">
        <f t="shared" si="38"/>
        <v>0</v>
      </c>
      <c r="AI50" s="252">
        <f t="shared" si="38"/>
        <v>0</v>
      </c>
      <c r="AJ50" s="252">
        <f t="shared" si="38"/>
        <v>0</v>
      </c>
      <c r="AK50" s="252">
        <f t="shared" si="38"/>
        <v>0</v>
      </c>
      <c r="AL50" s="252">
        <f t="shared" si="38"/>
        <v>0</v>
      </c>
      <c r="AM50" s="252">
        <f t="shared" si="38"/>
        <v>0</v>
      </c>
      <c r="AN50" s="252">
        <f t="shared" si="38"/>
        <v>0</v>
      </c>
      <c r="AO50" s="252">
        <f t="shared" si="38"/>
        <v>0</v>
      </c>
      <c r="AP50" s="252">
        <f t="shared" si="38"/>
        <v>0</v>
      </c>
      <c r="AQ50" s="252">
        <f t="shared" si="38"/>
        <v>0</v>
      </c>
      <c r="AR50" s="252">
        <f t="shared" si="38"/>
        <v>0</v>
      </c>
      <c r="AS50" s="252">
        <f t="shared" si="38"/>
        <v>0</v>
      </c>
      <c r="AT50" s="252">
        <f t="shared" si="38"/>
        <v>0</v>
      </c>
      <c r="AU50" s="252">
        <f t="shared" si="38"/>
        <v>0</v>
      </c>
      <c r="AV50" s="252">
        <f t="shared" si="38"/>
        <v>0</v>
      </c>
      <c r="AW50" s="252">
        <f t="shared" si="38"/>
        <v>0</v>
      </c>
      <c r="AX50" s="252">
        <f t="shared" si="38"/>
        <v>0</v>
      </c>
      <c r="AY50" s="252">
        <f t="shared" si="38"/>
        <v>0</v>
      </c>
      <c r="AZ50" s="252">
        <f t="shared" si="38"/>
        <v>0</v>
      </c>
      <c r="BA50" s="252">
        <f t="shared" si="38"/>
        <v>0</v>
      </c>
    </row>
    <row r="51" ht="15.75" customHeight="1">
      <c r="A51" s="44">
        <v>1932.0</v>
      </c>
      <c r="B51" s="32"/>
      <c r="C51" s="32"/>
      <c r="D51" s="32"/>
      <c r="E51" s="32"/>
      <c r="F51" s="32"/>
      <c r="G51" s="32"/>
      <c r="H51" s="32"/>
      <c r="I51" s="32"/>
      <c r="J51" s="32"/>
      <c r="K51" s="32"/>
      <c r="L51" s="32"/>
      <c r="M51" s="32"/>
      <c r="N51" s="32"/>
      <c r="O51" s="32"/>
      <c r="P51" s="32"/>
      <c r="Q51" s="32"/>
      <c r="R51" s="32"/>
      <c r="S51" s="32"/>
      <c r="T51" s="32"/>
      <c r="U51" s="32"/>
      <c r="V51" s="171">
        <v>0.0</v>
      </c>
      <c r="W51" s="252">
        <f t="shared" si="37"/>
        <v>0</v>
      </c>
      <c r="X51" s="252">
        <f t="shared" ref="X51:BA51" si="39">IF(AND(X$48-$A51&gt;$V$34,SUM($W51:W51)&lt;&gt;$V51),$V51,0)</f>
        <v>0</v>
      </c>
      <c r="Y51" s="252">
        <f t="shared" si="39"/>
        <v>0</v>
      </c>
      <c r="Z51" s="252">
        <f t="shared" si="39"/>
        <v>0</v>
      </c>
      <c r="AA51" s="252">
        <f t="shared" si="39"/>
        <v>0</v>
      </c>
      <c r="AB51" s="252">
        <f t="shared" si="39"/>
        <v>0</v>
      </c>
      <c r="AC51" s="252">
        <f t="shared" si="39"/>
        <v>0</v>
      </c>
      <c r="AD51" s="252">
        <f t="shared" si="39"/>
        <v>0</v>
      </c>
      <c r="AE51" s="252">
        <f t="shared" si="39"/>
        <v>0</v>
      </c>
      <c r="AF51" s="252">
        <f t="shared" si="39"/>
        <v>0</v>
      </c>
      <c r="AG51" s="252">
        <f t="shared" si="39"/>
        <v>0</v>
      </c>
      <c r="AH51" s="252">
        <f t="shared" si="39"/>
        <v>0</v>
      </c>
      <c r="AI51" s="252">
        <f t="shared" si="39"/>
        <v>0</v>
      </c>
      <c r="AJ51" s="252">
        <f t="shared" si="39"/>
        <v>0</v>
      </c>
      <c r="AK51" s="252">
        <f t="shared" si="39"/>
        <v>0</v>
      </c>
      <c r="AL51" s="252">
        <f t="shared" si="39"/>
        <v>0</v>
      </c>
      <c r="AM51" s="252">
        <f t="shared" si="39"/>
        <v>0</v>
      </c>
      <c r="AN51" s="252">
        <f t="shared" si="39"/>
        <v>0</v>
      </c>
      <c r="AO51" s="252">
        <f t="shared" si="39"/>
        <v>0</v>
      </c>
      <c r="AP51" s="252">
        <f t="shared" si="39"/>
        <v>0</v>
      </c>
      <c r="AQ51" s="252">
        <f t="shared" si="39"/>
        <v>0</v>
      </c>
      <c r="AR51" s="252">
        <f t="shared" si="39"/>
        <v>0</v>
      </c>
      <c r="AS51" s="252">
        <f t="shared" si="39"/>
        <v>0</v>
      </c>
      <c r="AT51" s="252">
        <f t="shared" si="39"/>
        <v>0</v>
      </c>
      <c r="AU51" s="252">
        <f t="shared" si="39"/>
        <v>0</v>
      </c>
      <c r="AV51" s="252">
        <f t="shared" si="39"/>
        <v>0</v>
      </c>
      <c r="AW51" s="252">
        <f t="shared" si="39"/>
        <v>0</v>
      </c>
      <c r="AX51" s="252">
        <f t="shared" si="39"/>
        <v>0</v>
      </c>
      <c r="AY51" s="252">
        <f t="shared" si="39"/>
        <v>0</v>
      </c>
      <c r="AZ51" s="252">
        <f t="shared" si="39"/>
        <v>0</v>
      </c>
      <c r="BA51" s="252">
        <f t="shared" si="39"/>
        <v>0</v>
      </c>
    </row>
    <row r="52" ht="15.75" customHeight="1">
      <c r="A52" s="44">
        <v>1933.0</v>
      </c>
      <c r="B52" s="32"/>
      <c r="C52" s="32"/>
      <c r="D52" s="32"/>
      <c r="E52" s="32"/>
      <c r="F52" s="32"/>
      <c r="G52" s="32"/>
      <c r="H52" s="32"/>
      <c r="I52" s="32"/>
      <c r="J52" s="32"/>
      <c r="K52" s="32"/>
      <c r="L52" s="32"/>
      <c r="M52" s="32"/>
      <c r="N52" s="32"/>
      <c r="O52" s="32"/>
      <c r="P52" s="32"/>
      <c r="Q52" s="32"/>
      <c r="R52" s="32"/>
      <c r="S52" s="32"/>
      <c r="T52" s="32"/>
      <c r="U52" s="32"/>
      <c r="V52" s="171">
        <v>0.0</v>
      </c>
      <c r="W52" s="252">
        <f t="shared" si="37"/>
        <v>0</v>
      </c>
      <c r="X52" s="252">
        <f t="shared" ref="X52:BA52" si="40">IF(AND(X$48-$A52&gt;$V$34,SUM($W52:W52)&lt;&gt;$V52),$V52,0)</f>
        <v>0</v>
      </c>
      <c r="Y52" s="252">
        <f t="shared" si="40"/>
        <v>0</v>
      </c>
      <c r="Z52" s="252">
        <f t="shared" si="40"/>
        <v>0</v>
      </c>
      <c r="AA52" s="252">
        <f t="shared" si="40"/>
        <v>0</v>
      </c>
      <c r="AB52" s="252">
        <f t="shared" si="40"/>
        <v>0</v>
      </c>
      <c r="AC52" s="252">
        <f t="shared" si="40"/>
        <v>0</v>
      </c>
      <c r="AD52" s="252">
        <f t="shared" si="40"/>
        <v>0</v>
      </c>
      <c r="AE52" s="252">
        <f t="shared" si="40"/>
        <v>0</v>
      </c>
      <c r="AF52" s="252">
        <f t="shared" si="40"/>
        <v>0</v>
      </c>
      <c r="AG52" s="252">
        <f t="shared" si="40"/>
        <v>0</v>
      </c>
      <c r="AH52" s="252">
        <f t="shared" si="40"/>
        <v>0</v>
      </c>
      <c r="AI52" s="252">
        <f t="shared" si="40"/>
        <v>0</v>
      </c>
      <c r="AJ52" s="252">
        <f t="shared" si="40"/>
        <v>0</v>
      </c>
      <c r="AK52" s="252">
        <f t="shared" si="40"/>
        <v>0</v>
      </c>
      <c r="AL52" s="252">
        <f t="shared" si="40"/>
        <v>0</v>
      </c>
      <c r="AM52" s="252">
        <f t="shared" si="40"/>
        <v>0</v>
      </c>
      <c r="AN52" s="252">
        <f t="shared" si="40"/>
        <v>0</v>
      </c>
      <c r="AO52" s="252">
        <f t="shared" si="40"/>
        <v>0</v>
      </c>
      <c r="AP52" s="252">
        <f t="shared" si="40"/>
        <v>0</v>
      </c>
      <c r="AQ52" s="252">
        <f t="shared" si="40"/>
        <v>0</v>
      </c>
      <c r="AR52" s="252">
        <f t="shared" si="40"/>
        <v>0</v>
      </c>
      <c r="AS52" s="252">
        <f t="shared" si="40"/>
        <v>0</v>
      </c>
      <c r="AT52" s="252">
        <f t="shared" si="40"/>
        <v>0</v>
      </c>
      <c r="AU52" s="252">
        <f t="shared" si="40"/>
        <v>0</v>
      </c>
      <c r="AV52" s="252">
        <f t="shared" si="40"/>
        <v>0</v>
      </c>
      <c r="AW52" s="252">
        <f t="shared" si="40"/>
        <v>0</v>
      </c>
      <c r="AX52" s="252">
        <f t="shared" si="40"/>
        <v>0</v>
      </c>
      <c r="AY52" s="252">
        <f t="shared" si="40"/>
        <v>0</v>
      </c>
      <c r="AZ52" s="252">
        <f t="shared" si="40"/>
        <v>0</v>
      </c>
      <c r="BA52" s="252">
        <f t="shared" si="40"/>
        <v>0</v>
      </c>
    </row>
    <row r="53" ht="15.75" customHeight="1">
      <c r="A53" s="44">
        <v>1934.0</v>
      </c>
      <c r="B53" s="32"/>
      <c r="C53" s="32"/>
      <c r="D53" s="32"/>
      <c r="E53" s="32"/>
      <c r="F53" s="32"/>
      <c r="G53" s="32"/>
      <c r="H53" s="32"/>
      <c r="I53" s="32"/>
      <c r="J53" s="32"/>
      <c r="K53" s="32"/>
      <c r="L53" s="32"/>
      <c r="M53" s="32"/>
      <c r="N53" s="32"/>
      <c r="O53" s="32"/>
      <c r="P53" s="32"/>
      <c r="Q53" s="32"/>
      <c r="R53" s="32"/>
      <c r="S53" s="32"/>
      <c r="T53" s="32"/>
      <c r="U53" s="32"/>
      <c r="V53" s="171">
        <v>0.0</v>
      </c>
      <c r="W53" s="252">
        <f t="shared" si="37"/>
        <v>0</v>
      </c>
      <c r="X53" s="252">
        <f t="shared" ref="X53:BA53" si="41">IF(AND(X$48-$A53&gt;$V$34,SUM($W53:W53)&lt;&gt;$V53),$V53,0)</f>
        <v>0</v>
      </c>
      <c r="Y53" s="252">
        <f t="shared" si="41"/>
        <v>0</v>
      </c>
      <c r="Z53" s="252">
        <f t="shared" si="41"/>
        <v>0</v>
      </c>
      <c r="AA53" s="252">
        <f t="shared" si="41"/>
        <v>0</v>
      </c>
      <c r="AB53" s="252">
        <f t="shared" si="41"/>
        <v>0</v>
      </c>
      <c r="AC53" s="252">
        <f t="shared" si="41"/>
        <v>0</v>
      </c>
      <c r="AD53" s="252">
        <f t="shared" si="41"/>
        <v>0</v>
      </c>
      <c r="AE53" s="252">
        <f t="shared" si="41"/>
        <v>0</v>
      </c>
      <c r="AF53" s="252">
        <f t="shared" si="41"/>
        <v>0</v>
      </c>
      <c r="AG53" s="252">
        <f t="shared" si="41"/>
        <v>0</v>
      </c>
      <c r="AH53" s="252">
        <f t="shared" si="41"/>
        <v>0</v>
      </c>
      <c r="AI53" s="252">
        <f t="shared" si="41"/>
        <v>0</v>
      </c>
      <c r="AJ53" s="252">
        <f t="shared" si="41"/>
        <v>0</v>
      </c>
      <c r="AK53" s="252">
        <f t="shared" si="41"/>
        <v>0</v>
      </c>
      <c r="AL53" s="252">
        <f t="shared" si="41"/>
        <v>0</v>
      </c>
      <c r="AM53" s="252">
        <f t="shared" si="41"/>
        <v>0</v>
      </c>
      <c r="AN53" s="252">
        <f t="shared" si="41"/>
        <v>0</v>
      </c>
      <c r="AO53" s="252">
        <f t="shared" si="41"/>
        <v>0</v>
      </c>
      <c r="AP53" s="252">
        <f t="shared" si="41"/>
        <v>0</v>
      </c>
      <c r="AQ53" s="252">
        <f t="shared" si="41"/>
        <v>0</v>
      </c>
      <c r="AR53" s="252">
        <f t="shared" si="41"/>
        <v>0</v>
      </c>
      <c r="AS53" s="252">
        <f t="shared" si="41"/>
        <v>0</v>
      </c>
      <c r="AT53" s="252">
        <f t="shared" si="41"/>
        <v>0</v>
      </c>
      <c r="AU53" s="252">
        <f t="shared" si="41"/>
        <v>0</v>
      </c>
      <c r="AV53" s="252">
        <f t="shared" si="41"/>
        <v>0</v>
      </c>
      <c r="AW53" s="252">
        <f t="shared" si="41"/>
        <v>0</v>
      </c>
      <c r="AX53" s="252">
        <f t="shared" si="41"/>
        <v>0</v>
      </c>
      <c r="AY53" s="252">
        <f t="shared" si="41"/>
        <v>0</v>
      </c>
      <c r="AZ53" s="252">
        <f t="shared" si="41"/>
        <v>0</v>
      </c>
      <c r="BA53" s="252">
        <f t="shared" si="41"/>
        <v>0</v>
      </c>
    </row>
    <row r="54" ht="15.75" customHeight="1">
      <c r="A54" s="44">
        <v>1935.0</v>
      </c>
      <c r="B54" s="32"/>
      <c r="C54" s="32"/>
      <c r="D54" s="32"/>
      <c r="E54" s="32"/>
      <c r="F54" s="32"/>
      <c r="G54" s="32"/>
      <c r="H54" s="32"/>
      <c r="I54" s="32"/>
      <c r="J54" s="32"/>
      <c r="K54" s="32"/>
      <c r="L54" s="32"/>
      <c r="M54" s="32"/>
      <c r="N54" s="32"/>
      <c r="O54" s="32"/>
      <c r="P54" s="32"/>
      <c r="Q54" s="32"/>
      <c r="R54" s="32"/>
      <c r="S54" s="32"/>
      <c r="T54" s="32"/>
      <c r="U54" s="32"/>
      <c r="V54" s="171">
        <v>0.0</v>
      </c>
      <c r="W54" s="252">
        <f t="shared" si="37"/>
        <v>0</v>
      </c>
      <c r="X54" s="252">
        <f t="shared" ref="X54:BA54" si="42">IF(AND(X$48-$A54&gt;$V$34,SUM($W54:W54)&lt;&gt;$V54),$V54,0)</f>
        <v>0</v>
      </c>
      <c r="Y54" s="252">
        <f t="shared" si="42"/>
        <v>0</v>
      </c>
      <c r="Z54" s="252">
        <f t="shared" si="42"/>
        <v>0</v>
      </c>
      <c r="AA54" s="252">
        <f t="shared" si="42"/>
        <v>0</v>
      </c>
      <c r="AB54" s="252">
        <f t="shared" si="42"/>
        <v>0</v>
      </c>
      <c r="AC54" s="252">
        <f t="shared" si="42"/>
        <v>0</v>
      </c>
      <c r="AD54" s="252">
        <f t="shared" si="42"/>
        <v>0</v>
      </c>
      <c r="AE54" s="252">
        <f t="shared" si="42"/>
        <v>0</v>
      </c>
      <c r="AF54" s="252">
        <f t="shared" si="42"/>
        <v>0</v>
      </c>
      <c r="AG54" s="252">
        <f t="shared" si="42"/>
        <v>0</v>
      </c>
      <c r="AH54" s="252">
        <f t="shared" si="42"/>
        <v>0</v>
      </c>
      <c r="AI54" s="252">
        <f t="shared" si="42"/>
        <v>0</v>
      </c>
      <c r="AJ54" s="252">
        <f t="shared" si="42"/>
        <v>0</v>
      </c>
      <c r="AK54" s="252">
        <f t="shared" si="42"/>
        <v>0</v>
      </c>
      <c r="AL54" s="252">
        <f t="shared" si="42"/>
        <v>0</v>
      </c>
      <c r="AM54" s="252">
        <f t="shared" si="42"/>
        <v>0</v>
      </c>
      <c r="AN54" s="252">
        <f t="shared" si="42"/>
        <v>0</v>
      </c>
      <c r="AO54" s="252">
        <f t="shared" si="42"/>
        <v>0</v>
      </c>
      <c r="AP54" s="252">
        <f t="shared" si="42"/>
        <v>0</v>
      </c>
      <c r="AQ54" s="252">
        <f t="shared" si="42"/>
        <v>0</v>
      </c>
      <c r="AR54" s="252">
        <f t="shared" si="42"/>
        <v>0</v>
      </c>
      <c r="AS54" s="252">
        <f t="shared" si="42"/>
        <v>0</v>
      </c>
      <c r="AT54" s="252">
        <f t="shared" si="42"/>
        <v>0</v>
      </c>
      <c r="AU54" s="252">
        <f t="shared" si="42"/>
        <v>0</v>
      </c>
      <c r="AV54" s="252">
        <f t="shared" si="42"/>
        <v>0</v>
      </c>
      <c r="AW54" s="252">
        <f t="shared" si="42"/>
        <v>0</v>
      </c>
      <c r="AX54" s="252">
        <f t="shared" si="42"/>
        <v>0</v>
      </c>
      <c r="AY54" s="252">
        <f t="shared" si="42"/>
        <v>0</v>
      </c>
      <c r="AZ54" s="252">
        <f t="shared" si="42"/>
        <v>0</v>
      </c>
      <c r="BA54" s="252">
        <f t="shared" si="42"/>
        <v>0</v>
      </c>
    </row>
    <row r="55" ht="15.75" customHeight="1">
      <c r="A55" s="44">
        <v>1936.0</v>
      </c>
      <c r="B55" s="32"/>
      <c r="C55" s="32"/>
      <c r="D55" s="32"/>
      <c r="E55" s="32"/>
      <c r="F55" s="32"/>
      <c r="G55" s="32"/>
      <c r="H55" s="32"/>
      <c r="I55" s="32"/>
      <c r="J55" s="32"/>
      <c r="K55" s="32"/>
      <c r="L55" s="32"/>
      <c r="M55" s="32"/>
      <c r="N55" s="32"/>
      <c r="O55" s="32"/>
      <c r="P55" s="32"/>
      <c r="Q55" s="32"/>
      <c r="R55" s="32"/>
      <c r="S55" s="32"/>
      <c r="T55" s="32"/>
      <c r="U55" s="32"/>
      <c r="V55" s="171">
        <v>0.0</v>
      </c>
      <c r="W55" s="252">
        <f t="shared" si="37"/>
        <v>0</v>
      </c>
      <c r="X55" s="252">
        <f t="shared" ref="X55:BA55" si="43">IF(AND(X$48-$A55&gt;$V$34,SUM($W55:W55)&lt;&gt;$V55),$V55,0)</f>
        <v>0</v>
      </c>
      <c r="Y55" s="252">
        <f t="shared" si="43"/>
        <v>0</v>
      </c>
      <c r="Z55" s="252">
        <f t="shared" si="43"/>
        <v>0</v>
      </c>
      <c r="AA55" s="252">
        <f t="shared" si="43"/>
        <v>0</v>
      </c>
      <c r="AB55" s="252">
        <f t="shared" si="43"/>
        <v>0</v>
      </c>
      <c r="AC55" s="252">
        <f t="shared" si="43"/>
        <v>0</v>
      </c>
      <c r="AD55" s="252">
        <f t="shared" si="43"/>
        <v>0</v>
      </c>
      <c r="AE55" s="252">
        <f t="shared" si="43"/>
        <v>0</v>
      </c>
      <c r="AF55" s="252">
        <f t="shared" si="43"/>
        <v>0</v>
      </c>
      <c r="AG55" s="252">
        <f t="shared" si="43"/>
        <v>0</v>
      </c>
      <c r="AH55" s="252">
        <f t="shared" si="43"/>
        <v>0</v>
      </c>
      <c r="AI55" s="252">
        <f t="shared" si="43"/>
        <v>0</v>
      </c>
      <c r="AJ55" s="252">
        <f t="shared" si="43"/>
        <v>0</v>
      </c>
      <c r="AK55" s="252">
        <f t="shared" si="43"/>
        <v>0</v>
      </c>
      <c r="AL55" s="252">
        <f t="shared" si="43"/>
        <v>0</v>
      </c>
      <c r="AM55" s="252">
        <f t="shared" si="43"/>
        <v>0</v>
      </c>
      <c r="AN55" s="252">
        <f t="shared" si="43"/>
        <v>0</v>
      </c>
      <c r="AO55" s="252">
        <f t="shared" si="43"/>
        <v>0</v>
      </c>
      <c r="AP55" s="252">
        <f t="shared" si="43"/>
        <v>0</v>
      </c>
      <c r="AQ55" s="252">
        <f t="shared" si="43"/>
        <v>0</v>
      </c>
      <c r="AR55" s="252">
        <f t="shared" si="43"/>
        <v>0</v>
      </c>
      <c r="AS55" s="252">
        <f t="shared" si="43"/>
        <v>0</v>
      </c>
      <c r="AT55" s="252">
        <f t="shared" si="43"/>
        <v>0</v>
      </c>
      <c r="AU55" s="252">
        <f t="shared" si="43"/>
        <v>0</v>
      </c>
      <c r="AV55" s="252">
        <f t="shared" si="43"/>
        <v>0</v>
      </c>
      <c r="AW55" s="252">
        <f t="shared" si="43"/>
        <v>0</v>
      </c>
      <c r="AX55" s="252">
        <f t="shared" si="43"/>
        <v>0</v>
      </c>
      <c r="AY55" s="252">
        <f t="shared" si="43"/>
        <v>0</v>
      </c>
      <c r="AZ55" s="252">
        <f t="shared" si="43"/>
        <v>0</v>
      </c>
      <c r="BA55" s="252">
        <f t="shared" si="43"/>
        <v>0</v>
      </c>
    </row>
    <row r="56" ht="15.75" customHeight="1">
      <c r="A56" s="44">
        <v>1937.0</v>
      </c>
      <c r="B56" s="32"/>
      <c r="C56" s="32"/>
      <c r="D56" s="32"/>
      <c r="E56" s="32"/>
      <c r="F56" s="32"/>
      <c r="G56" s="32"/>
      <c r="H56" s="32"/>
      <c r="I56" s="32"/>
      <c r="J56" s="32"/>
      <c r="K56" s="32"/>
      <c r="L56" s="32"/>
      <c r="M56" s="32"/>
      <c r="N56" s="32"/>
      <c r="O56" s="32"/>
      <c r="P56" s="32"/>
      <c r="Q56" s="32"/>
      <c r="R56" s="32"/>
      <c r="S56" s="32"/>
      <c r="T56" s="32"/>
      <c r="U56" s="32"/>
      <c r="V56" s="171">
        <v>0.0</v>
      </c>
      <c r="W56" s="252">
        <f t="shared" si="37"/>
        <v>0</v>
      </c>
      <c r="X56" s="252">
        <f t="shared" ref="X56:BA56" si="44">IF(AND(X$48-$A56&gt;$V$34,SUM($W56:W56)&lt;&gt;$V56),$V56,0)</f>
        <v>0</v>
      </c>
      <c r="Y56" s="252">
        <f t="shared" si="44"/>
        <v>0</v>
      </c>
      <c r="Z56" s="252">
        <f t="shared" si="44"/>
        <v>0</v>
      </c>
      <c r="AA56" s="252">
        <f t="shared" si="44"/>
        <v>0</v>
      </c>
      <c r="AB56" s="252">
        <f t="shared" si="44"/>
        <v>0</v>
      </c>
      <c r="AC56" s="252">
        <f t="shared" si="44"/>
        <v>0</v>
      </c>
      <c r="AD56" s="252">
        <f t="shared" si="44"/>
        <v>0</v>
      </c>
      <c r="AE56" s="252">
        <f t="shared" si="44"/>
        <v>0</v>
      </c>
      <c r="AF56" s="252">
        <f t="shared" si="44"/>
        <v>0</v>
      </c>
      <c r="AG56" s="252">
        <f t="shared" si="44"/>
        <v>0</v>
      </c>
      <c r="AH56" s="252">
        <f t="shared" si="44"/>
        <v>0</v>
      </c>
      <c r="AI56" s="252">
        <f t="shared" si="44"/>
        <v>0</v>
      </c>
      <c r="AJ56" s="252">
        <f t="shared" si="44"/>
        <v>0</v>
      </c>
      <c r="AK56" s="252">
        <f t="shared" si="44"/>
        <v>0</v>
      </c>
      <c r="AL56" s="252">
        <f t="shared" si="44"/>
        <v>0</v>
      </c>
      <c r="AM56" s="252">
        <f t="shared" si="44"/>
        <v>0</v>
      </c>
      <c r="AN56" s="252">
        <f t="shared" si="44"/>
        <v>0</v>
      </c>
      <c r="AO56" s="252">
        <f t="shared" si="44"/>
        <v>0</v>
      </c>
      <c r="AP56" s="252">
        <f t="shared" si="44"/>
        <v>0</v>
      </c>
      <c r="AQ56" s="252">
        <f t="shared" si="44"/>
        <v>0</v>
      </c>
      <c r="AR56" s="252">
        <f t="shared" si="44"/>
        <v>0</v>
      </c>
      <c r="AS56" s="252">
        <f t="shared" si="44"/>
        <v>0</v>
      </c>
      <c r="AT56" s="252">
        <f t="shared" si="44"/>
        <v>0</v>
      </c>
      <c r="AU56" s="252">
        <f t="shared" si="44"/>
        <v>0</v>
      </c>
      <c r="AV56" s="252">
        <f t="shared" si="44"/>
        <v>0</v>
      </c>
      <c r="AW56" s="252">
        <f t="shared" si="44"/>
        <v>0</v>
      </c>
      <c r="AX56" s="252">
        <f t="shared" si="44"/>
        <v>0</v>
      </c>
      <c r="AY56" s="252">
        <f t="shared" si="44"/>
        <v>0</v>
      </c>
      <c r="AZ56" s="252">
        <f t="shared" si="44"/>
        <v>0</v>
      </c>
      <c r="BA56" s="252">
        <f t="shared" si="44"/>
        <v>0</v>
      </c>
    </row>
    <row r="57" ht="15.75" customHeight="1">
      <c r="A57" s="44">
        <v>1938.0</v>
      </c>
      <c r="B57" s="32"/>
      <c r="C57" s="32"/>
      <c r="D57" s="32"/>
      <c r="E57" s="32"/>
      <c r="F57" s="32"/>
      <c r="G57" s="32"/>
      <c r="H57" s="32"/>
      <c r="I57" s="32"/>
      <c r="J57" s="32"/>
      <c r="K57" s="32"/>
      <c r="L57" s="32"/>
      <c r="M57" s="32"/>
      <c r="N57" s="32"/>
      <c r="O57" s="32"/>
      <c r="P57" s="32"/>
      <c r="Q57" s="32"/>
      <c r="R57" s="32"/>
      <c r="S57" s="32"/>
      <c r="T57" s="32"/>
      <c r="U57" s="32"/>
      <c r="V57" s="171">
        <v>0.0</v>
      </c>
      <c r="W57" s="252">
        <f t="shared" si="37"/>
        <v>0</v>
      </c>
      <c r="X57" s="252">
        <f t="shared" ref="X57:BA57" si="45">IF(AND(X$48-$A57&gt;$V$34,SUM($W57:W57)&lt;&gt;$V57),$V57,0)</f>
        <v>0</v>
      </c>
      <c r="Y57" s="252">
        <f t="shared" si="45"/>
        <v>0</v>
      </c>
      <c r="Z57" s="252">
        <f t="shared" si="45"/>
        <v>0</v>
      </c>
      <c r="AA57" s="252">
        <f t="shared" si="45"/>
        <v>0</v>
      </c>
      <c r="AB57" s="252">
        <f t="shared" si="45"/>
        <v>0</v>
      </c>
      <c r="AC57" s="252">
        <f t="shared" si="45"/>
        <v>0</v>
      </c>
      <c r="AD57" s="252">
        <f t="shared" si="45"/>
        <v>0</v>
      </c>
      <c r="AE57" s="252">
        <f t="shared" si="45"/>
        <v>0</v>
      </c>
      <c r="AF57" s="252">
        <f t="shared" si="45"/>
        <v>0</v>
      </c>
      <c r="AG57" s="252">
        <f t="shared" si="45"/>
        <v>0</v>
      </c>
      <c r="AH57" s="252">
        <f t="shared" si="45"/>
        <v>0</v>
      </c>
      <c r="AI57" s="252">
        <f t="shared" si="45"/>
        <v>0</v>
      </c>
      <c r="AJ57" s="252">
        <f t="shared" si="45"/>
        <v>0</v>
      </c>
      <c r="AK57" s="252">
        <f t="shared" si="45"/>
        <v>0</v>
      </c>
      <c r="AL57" s="252">
        <f t="shared" si="45"/>
        <v>0</v>
      </c>
      <c r="AM57" s="252">
        <f t="shared" si="45"/>
        <v>0</v>
      </c>
      <c r="AN57" s="252">
        <f t="shared" si="45"/>
        <v>0</v>
      </c>
      <c r="AO57" s="252">
        <f t="shared" si="45"/>
        <v>0</v>
      </c>
      <c r="AP57" s="252">
        <f t="shared" si="45"/>
        <v>0</v>
      </c>
      <c r="AQ57" s="252">
        <f t="shared" si="45"/>
        <v>0</v>
      </c>
      <c r="AR57" s="252">
        <f t="shared" si="45"/>
        <v>0</v>
      </c>
      <c r="AS57" s="252">
        <f t="shared" si="45"/>
        <v>0</v>
      </c>
      <c r="AT57" s="252">
        <f t="shared" si="45"/>
        <v>0</v>
      </c>
      <c r="AU57" s="252">
        <f t="shared" si="45"/>
        <v>0</v>
      </c>
      <c r="AV57" s="252">
        <f t="shared" si="45"/>
        <v>0</v>
      </c>
      <c r="AW57" s="252">
        <f t="shared" si="45"/>
        <v>0</v>
      </c>
      <c r="AX57" s="252">
        <f t="shared" si="45"/>
        <v>0</v>
      </c>
      <c r="AY57" s="252">
        <f t="shared" si="45"/>
        <v>0</v>
      </c>
      <c r="AZ57" s="252">
        <f t="shared" si="45"/>
        <v>0</v>
      </c>
      <c r="BA57" s="252">
        <f t="shared" si="45"/>
        <v>0</v>
      </c>
    </row>
    <row r="58" ht="15.75" customHeight="1">
      <c r="A58" s="823">
        <v>1939.0</v>
      </c>
      <c r="B58" s="32"/>
      <c r="C58" s="32"/>
      <c r="D58" s="32"/>
      <c r="E58" s="32"/>
      <c r="F58" s="32"/>
      <c r="G58" s="32"/>
      <c r="H58" s="32"/>
      <c r="I58" s="32"/>
      <c r="J58" s="32"/>
      <c r="K58" s="32"/>
      <c r="L58" s="32"/>
      <c r="M58" s="32"/>
      <c r="N58" s="32"/>
      <c r="O58" s="32"/>
      <c r="P58" s="32"/>
      <c r="Q58" s="32"/>
      <c r="R58" s="32"/>
      <c r="S58" s="32"/>
      <c r="T58" s="32"/>
      <c r="U58" s="32"/>
      <c r="V58" s="741">
        <v>0.0</v>
      </c>
      <c r="W58" s="252">
        <f t="shared" si="37"/>
        <v>0</v>
      </c>
      <c r="X58" s="252">
        <f t="shared" ref="X58:BA58" si="46">IF(AND(X$48-$A58&gt;$V$34,SUM($W58:W58)&lt;&gt;$V58),$V58,0)</f>
        <v>0</v>
      </c>
      <c r="Y58" s="252">
        <f t="shared" si="46"/>
        <v>0</v>
      </c>
      <c r="Z58" s="252">
        <f t="shared" si="46"/>
        <v>0</v>
      </c>
      <c r="AA58" s="252">
        <f t="shared" si="46"/>
        <v>0</v>
      </c>
      <c r="AB58" s="252">
        <f t="shared" si="46"/>
        <v>0</v>
      </c>
      <c r="AC58" s="252">
        <f t="shared" si="46"/>
        <v>0</v>
      </c>
      <c r="AD58" s="252">
        <f t="shared" si="46"/>
        <v>0</v>
      </c>
      <c r="AE58" s="252">
        <f t="shared" si="46"/>
        <v>0</v>
      </c>
      <c r="AF58" s="252">
        <f t="shared" si="46"/>
        <v>0</v>
      </c>
      <c r="AG58" s="252">
        <f t="shared" si="46"/>
        <v>0</v>
      </c>
      <c r="AH58" s="252">
        <f t="shared" si="46"/>
        <v>0</v>
      </c>
      <c r="AI58" s="252">
        <f t="shared" si="46"/>
        <v>0</v>
      </c>
      <c r="AJ58" s="252">
        <f t="shared" si="46"/>
        <v>0</v>
      </c>
      <c r="AK58" s="252">
        <f t="shared" si="46"/>
        <v>0</v>
      </c>
      <c r="AL58" s="252">
        <f t="shared" si="46"/>
        <v>0</v>
      </c>
      <c r="AM58" s="252">
        <f t="shared" si="46"/>
        <v>0</v>
      </c>
      <c r="AN58" s="252">
        <f t="shared" si="46"/>
        <v>0</v>
      </c>
      <c r="AO58" s="252">
        <f t="shared" si="46"/>
        <v>0</v>
      </c>
      <c r="AP58" s="252">
        <f t="shared" si="46"/>
        <v>0</v>
      </c>
      <c r="AQ58" s="252">
        <f t="shared" si="46"/>
        <v>0</v>
      </c>
      <c r="AR58" s="252">
        <f t="shared" si="46"/>
        <v>0</v>
      </c>
      <c r="AS58" s="252">
        <f t="shared" si="46"/>
        <v>0</v>
      </c>
      <c r="AT58" s="252">
        <f t="shared" si="46"/>
        <v>0</v>
      </c>
      <c r="AU58" s="252">
        <f t="shared" si="46"/>
        <v>0</v>
      </c>
      <c r="AV58" s="252">
        <f t="shared" si="46"/>
        <v>0</v>
      </c>
      <c r="AW58" s="252">
        <f t="shared" si="46"/>
        <v>0</v>
      </c>
      <c r="AX58" s="252">
        <f t="shared" si="46"/>
        <v>0</v>
      </c>
      <c r="AY58" s="252">
        <f t="shared" si="46"/>
        <v>0</v>
      </c>
      <c r="AZ58" s="252">
        <f t="shared" si="46"/>
        <v>0</v>
      </c>
      <c r="BA58" s="252">
        <f t="shared" si="46"/>
        <v>0</v>
      </c>
    </row>
    <row r="59" ht="15.75" customHeight="1">
      <c r="A59" s="823">
        <v>1940.0</v>
      </c>
      <c r="B59" s="32"/>
      <c r="C59" s="32"/>
      <c r="D59" s="32"/>
      <c r="E59" s="32"/>
      <c r="F59" s="32"/>
      <c r="G59" s="32"/>
      <c r="H59" s="32"/>
      <c r="I59" s="32"/>
      <c r="J59" s="32"/>
      <c r="K59" s="32"/>
      <c r="L59" s="32"/>
      <c r="M59" s="32"/>
      <c r="N59" s="32"/>
      <c r="O59" s="32"/>
      <c r="P59" s="32"/>
      <c r="Q59" s="32"/>
      <c r="R59" s="32"/>
      <c r="S59" s="32"/>
      <c r="T59" s="32"/>
      <c r="U59" s="32"/>
      <c r="V59" s="741">
        <v>0.0</v>
      </c>
      <c r="W59" s="252">
        <f t="shared" si="37"/>
        <v>0</v>
      </c>
      <c r="X59" s="252">
        <f t="shared" ref="X59:BA59" si="47">IF(AND(X$48-$A59&gt;$V$34,SUM($W59:W59)&lt;&gt;$V59),$V59,0)</f>
        <v>0</v>
      </c>
      <c r="Y59" s="252">
        <f t="shared" si="47"/>
        <v>0</v>
      </c>
      <c r="Z59" s="252">
        <f t="shared" si="47"/>
        <v>0</v>
      </c>
      <c r="AA59" s="252">
        <f t="shared" si="47"/>
        <v>0</v>
      </c>
      <c r="AB59" s="252">
        <f t="shared" si="47"/>
        <v>0</v>
      </c>
      <c r="AC59" s="252">
        <f t="shared" si="47"/>
        <v>0</v>
      </c>
      <c r="AD59" s="252">
        <f t="shared" si="47"/>
        <v>0</v>
      </c>
      <c r="AE59" s="252">
        <f t="shared" si="47"/>
        <v>0</v>
      </c>
      <c r="AF59" s="252">
        <f t="shared" si="47"/>
        <v>0</v>
      </c>
      <c r="AG59" s="252">
        <f t="shared" si="47"/>
        <v>0</v>
      </c>
      <c r="AH59" s="252">
        <f t="shared" si="47"/>
        <v>0</v>
      </c>
      <c r="AI59" s="252">
        <f t="shared" si="47"/>
        <v>0</v>
      </c>
      <c r="AJ59" s="252">
        <f t="shared" si="47"/>
        <v>0</v>
      </c>
      <c r="AK59" s="252">
        <f t="shared" si="47"/>
        <v>0</v>
      </c>
      <c r="AL59" s="252">
        <f t="shared" si="47"/>
        <v>0</v>
      </c>
      <c r="AM59" s="252">
        <f t="shared" si="47"/>
        <v>0</v>
      </c>
      <c r="AN59" s="252">
        <f t="shared" si="47"/>
        <v>0</v>
      </c>
      <c r="AO59" s="252">
        <f t="shared" si="47"/>
        <v>0</v>
      </c>
      <c r="AP59" s="252">
        <f t="shared" si="47"/>
        <v>0</v>
      </c>
      <c r="AQ59" s="252">
        <f t="shared" si="47"/>
        <v>0</v>
      </c>
      <c r="AR59" s="252">
        <f t="shared" si="47"/>
        <v>0</v>
      </c>
      <c r="AS59" s="252">
        <f t="shared" si="47"/>
        <v>0</v>
      </c>
      <c r="AT59" s="252">
        <f t="shared" si="47"/>
        <v>0</v>
      </c>
      <c r="AU59" s="252">
        <f t="shared" si="47"/>
        <v>0</v>
      </c>
      <c r="AV59" s="252">
        <f t="shared" si="47"/>
        <v>0</v>
      </c>
      <c r="AW59" s="252">
        <f t="shared" si="47"/>
        <v>0</v>
      </c>
      <c r="AX59" s="252">
        <f t="shared" si="47"/>
        <v>0</v>
      </c>
      <c r="AY59" s="252">
        <f t="shared" si="47"/>
        <v>0</v>
      </c>
      <c r="AZ59" s="252">
        <f t="shared" si="47"/>
        <v>0</v>
      </c>
      <c r="BA59" s="252">
        <f t="shared" si="47"/>
        <v>0</v>
      </c>
    </row>
    <row r="60" ht="15.75" customHeight="1">
      <c r="A60" s="823">
        <v>1941.0</v>
      </c>
      <c r="B60" s="32"/>
      <c r="C60" s="32"/>
      <c r="D60" s="32"/>
      <c r="E60" s="32"/>
      <c r="F60" s="32"/>
      <c r="G60" s="32"/>
      <c r="H60" s="32"/>
      <c r="I60" s="32"/>
      <c r="J60" s="32"/>
      <c r="K60" s="32"/>
      <c r="L60" s="32"/>
      <c r="M60" s="32"/>
      <c r="N60" s="32"/>
      <c r="O60" s="32"/>
      <c r="P60" s="32"/>
      <c r="Q60" s="32"/>
      <c r="R60" s="32"/>
      <c r="S60" s="32"/>
      <c r="T60" s="32"/>
      <c r="U60" s="32"/>
      <c r="V60" s="741">
        <v>0.0</v>
      </c>
      <c r="W60" s="252">
        <f t="shared" si="37"/>
        <v>0</v>
      </c>
      <c r="X60" s="252">
        <f t="shared" ref="X60:BA60" si="48">IF(AND(X$48-$A60&gt;$V$34,SUM($W60:W60)&lt;&gt;$V60),$V60,0)</f>
        <v>0</v>
      </c>
      <c r="Y60" s="252">
        <f t="shared" si="48"/>
        <v>0</v>
      </c>
      <c r="Z60" s="252">
        <f t="shared" si="48"/>
        <v>0</v>
      </c>
      <c r="AA60" s="252">
        <f t="shared" si="48"/>
        <v>0</v>
      </c>
      <c r="AB60" s="252">
        <f t="shared" si="48"/>
        <v>0</v>
      </c>
      <c r="AC60" s="252">
        <f t="shared" si="48"/>
        <v>0</v>
      </c>
      <c r="AD60" s="252">
        <f t="shared" si="48"/>
        <v>0</v>
      </c>
      <c r="AE60" s="252">
        <f t="shared" si="48"/>
        <v>0</v>
      </c>
      <c r="AF60" s="252">
        <f t="shared" si="48"/>
        <v>0</v>
      </c>
      <c r="AG60" s="252">
        <f t="shared" si="48"/>
        <v>0</v>
      </c>
      <c r="AH60" s="252">
        <f t="shared" si="48"/>
        <v>0</v>
      </c>
      <c r="AI60" s="252">
        <f t="shared" si="48"/>
        <v>0</v>
      </c>
      <c r="AJ60" s="252">
        <f t="shared" si="48"/>
        <v>0</v>
      </c>
      <c r="AK60" s="252">
        <f t="shared" si="48"/>
        <v>0</v>
      </c>
      <c r="AL60" s="252">
        <f t="shared" si="48"/>
        <v>0</v>
      </c>
      <c r="AM60" s="252">
        <f t="shared" si="48"/>
        <v>0</v>
      </c>
      <c r="AN60" s="252">
        <f t="shared" si="48"/>
        <v>0</v>
      </c>
      <c r="AO60" s="252">
        <f t="shared" si="48"/>
        <v>0</v>
      </c>
      <c r="AP60" s="252">
        <f t="shared" si="48"/>
        <v>0</v>
      </c>
      <c r="AQ60" s="252">
        <f t="shared" si="48"/>
        <v>0</v>
      </c>
      <c r="AR60" s="252">
        <f t="shared" si="48"/>
        <v>0</v>
      </c>
      <c r="AS60" s="252">
        <f t="shared" si="48"/>
        <v>0</v>
      </c>
      <c r="AT60" s="252">
        <f t="shared" si="48"/>
        <v>0</v>
      </c>
      <c r="AU60" s="252">
        <f t="shared" si="48"/>
        <v>0</v>
      </c>
      <c r="AV60" s="252">
        <f t="shared" si="48"/>
        <v>0</v>
      </c>
      <c r="AW60" s="252">
        <f t="shared" si="48"/>
        <v>0</v>
      </c>
      <c r="AX60" s="252">
        <f t="shared" si="48"/>
        <v>0</v>
      </c>
      <c r="AY60" s="252">
        <f t="shared" si="48"/>
        <v>0</v>
      </c>
      <c r="AZ60" s="252">
        <f t="shared" si="48"/>
        <v>0</v>
      </c>
      <c r="BA60" s="252">
        <f t="shared" si="48"/>
        <v>0</v>
      </c>
    </row>
    <row r="61" ht="15.75" customHeight="1">
      <c r="A61" s="823">
        <v>1942.0</v>
      </c>
      <c r="B61" s="32"/>
      <c r="C61" s="32"/>
      <c r="D61" s="32"/>
      <c r="E61" s="32"/>
      <c r="F61" s="32"/>
      <c r="G61" s="32"/>
      <c r="H61" s="32"/>
      <c r="I61" s="32"/>
      <c r="J61" s="32"/>
      <c r="K61" s="32"/>
      <c r="L61" s="32"/>
      <c r="M61" s="32"/>
      <c r="N61" s="32"/>
      <c r="O61" s="32"/>
      <c r="P61" s="32"/>
      <c r="Q61" s="32"/>
      <c r="R61" s="32"/>
      <c r="S61" s="32"/>
      <c r="T61" s="32"/>
      <c r="U61" s="32"/>
      <c r="V61" s="741">
        <v>0.0</v>
      </c>
      <c r="W61" s="252">
        <f t="shared" si="37"/>
        <v>0</v>
      </c>
      <c r="X61" s="252">
        <f t="shared" ref="X61:BA61" si="49">IF(AND(X$48-$A61&gt;$V$34,SUM($W61:W61)&lt;&gt;$V61),$V61,0)</f>
        <v>0</v>
      </c>
      <c r="Y61" s="252">
        <f t="shared" si="49"/>
        <v>0</v>
      </c>
      <c r="Z61" s="252">
        <f t="shared" si="49"/>
        <v>0</v>
      </c>
      <c r="AA61" s="252">
        <f t="shared" si="49"/>
        <v>0</v>
      </c>
      <c r="AB61" s="252">
        <f t="shared" si="49"/>
        <v>0</v>
      </c>
      <c r="AC61" s="252">
        <f t="shared" si="49"/>
        <v>0</v>
      </c>
      <c r="AD61" s="252">
        <f t="shared" si="49"/>
        <v>0</v>
      </c>
      <c r="AE61" s="252">
        <f t="shared" si="49"/>
        <v>0</v>
      </c>
      <c r="AF61" s="252">
        <f t="shared" si="49"/>
        <v>0</v>
      </c>
      <c r="AG61" s="252">
        <f t="shared" si="49"/>
        <v>0</v>
      </c>
      <c r="AH61" s="252">
        <f t="shared" si="49"/>
        <v>0</v>
      </c>
      <c r="AI61" s="252">
        <f t="shared" si="49"/>
        <v>0</v>
      </c>
      <c r="AJ61" s="252">
        <f t="shared" si="49"/>
        <v>0</v>
      </c>
      <c r="AK61" s="252">
        <f t="shared" si="49"/>
        <v>0</v>
      </c>
      <c r="AL61" s="252">
        <f t="shared" si="49"/>
        <v>0</v>
      </c>
      <c r="AM61" s="252">
        <f t="shared" si="49"/>
        <v>0</v>
      </c>
      <c r="AN61" s="252">
        <f t="shared" si="49"/>
        <v>0</v>
      </c>
      <c r="AO61" s="252">
        <f t="shared" si="49"/>
        <v>0</v>
      </c>
      <c r="AP61" s="252">
        <f t="shared" si="49"/>
        <v>0</v>
      </c>
      <c r="AQ61" s="252">
        <f t="shared" si="49"/>
        <v>0</v>
      </c>
      <c r="AR61" s="252">
        <f t="shared" si="49"/>
        <v>0</v>
      </c>
      <c r="AS61" s="252">
        <f t="shared" si="49"/>
        <v>0</v>
      </c>
      <c r="AT61" s="252">
        <f t="shared" si="49"/>
        <v>0</v>
      </c>
      <c r="AU61" s="252">
        <f t="shared" si="49"/>
        <v>0</v>
      </c>
      <c r="AV61" s="252">
        <f t="shared" si="49"/>
        <v>0</v>
      </c>
      <c r="AW61" s="252">
        <f t="shared" si="49"/>
        <v>0</v>
      </c>
      <c r="AX61" s="252">
        <f t="shared" si="49"/>
        <v>0</v>
      </c>
      <c r="AY61" s="252">
        <f t="shared" si="49"/>
        <v>0</v>
      </c>
      <c r="AZ61" s="252">
        <f t="shared" si="49"/>
        <v>0</v>
      </c>
      <c r="BA61" s="252">
        <f t="shared" si="49"/>
        <v>0</v>
      </c>
    </row>
    <row r="62" ht="15.75" customHeight="1">
      <c r="A62" s="823">
        <v>1943.0</v>
      </c>
      <c r="B62" s="32"/>
      <c r="C62" s="32"/>
      <c r="D62" s="32"/>
      <c r="E62" s="32"/>
      <c r="F62" s="32"/>
      <c r="G62" s="32"/>
      <c r="H62" s="32"/>
      <c r="I62" s="32"/>
      <c r="J62" s="32"/>
      <c r="K62" s="32"/>
      <c r="L62" s="32"/>
      <c r="M62" s="32"/>
      <c r="N62" s="32"/>
      <c r="O62" s="32"/>
      <c r="P62" s="32"/>
      <c r="Q62" s="32"/>
      <c r="R62" s="32"/>
      <c r="S62" s="32"/>
      <c r="T62" s="32"/>
      <c r="U62" s="32"/>
      <c r="V62" s="741">
        <v>0.0</v>
      </c>
      <c r="W62" s="252">
        <f t="shared" si="37"/>
        <v>0</v>
      </c>
      <c r="X62" s="252">
        <f t="shared" ref="X62:BA62" si="50">IF(AND(X$48-$A62&gt;$V$34,SUM($W62:W62)&lt;&gt;$V62),$V62,0)</f>
        <v>0</v>
      </c>
      <c r="Y62" s="252">
        <f t="shared" si="50"/>
        <v>0</v>
      </c>
      <c r="Z62" s="252">
        <f t="shared" si="50"/>
        <v>0</v>
      </c>
      <c r="AA62" s="252">
        <f t="shared" si="50"/>
        <v>0</v>
      </c>
      <c r="AB62" s="252">
        <f t="shared" si="50"/>
        <v>0</v>
      </c>
      <c r="AC62" s="252">
        <f t="shared" si="50"/>
        <v>0</v>
      </c>
      <c r="AD62" s="252">
        <f t="shared" si="50"/>
        <v>0</v>
      </c>
      <c r="AE62" s="252">
        <f t="shared" si="50"/>
        <v>0</v>
      </c>
      <c r="AF62" s="252">
        <f t="shared" si="50"/>
        <v>0</v>
      </c>
      <c r="AG62" s="252">
        <f t="shared" si="50"/>
        <v>0</v>
      </c>
      <c r="AH62" s="252">
        <f t="shared" si="50"/>
        <v>0</v>
      </c>
      <c r="AI62" s="252">
        <f t="shared" si="50"/>
        <v>0</v>
      </c>
      <c r="AJ62" s="252">
        <f t="shared" si="50"/>
        <v>0</v>
      </c>
      <c r="AK62" s="252">
        <f t="shared" si="50"/>
        <v>0</v>
      </c>
      <c r="AL62" s="252">
        <f t="shared" si="50"/>
        <v>0</v>
      </c>
      <c r="AM62" s="252">
        <f t="shared" si="50"/>
        <v>0</v>
      </c>
      <c r="AN62" s="252">
        <f t="shared" si="50"/>
        <v>0</v>
      </c>
      <c r="AO62" s="252">
        <f t="shared" si="50"/>
        <v>0</v>
      </c>
      <c r="AP62" s="252">
        <f t="shared" si="50"/>
        <v>0</v>
      </c>
      <c r="AQ62" s="252">
        <f t="shared" si="50"/>
        <v>0</v>
      </c>
      <c r="AR62" s="252">
        <f t="shared" si="50"/>
        <v>0</v>
      </c>
      <c r="AS62" s="252">
        <f t="shared" si="50"/>
        <v>0</v>
      </c>
      <c r="AT62" s="252">
        <f t="shared" si="50"/>
        <v>0</v>
      </c>
      <c r="AU62" s="252">
        <f t="shared" si="50"/>
        <v>0</v>
      </c>
      <c r="AV62" s="252">
        <f t="shared" si="50"/>
        <v>0</v>
      </c>
      <c r="AW62" s="252">
        <f t="shared" si="50"/>
        <v>0</v>
      </c>
      <c r="AX62" s="252">
        <f t="shared" si="50"/>
        <v>0</v>
      </c>
      <c r="AY62" s="252">
        <f t="shared" si="50"/>
        <v>0</v>
      </c>
      <c r="AZ62" s="252">
        <f t="shared" si="50"/>
        <v>0</v>
      </c>
      <c r="BA62" s="252">
        <f t="shared" si="50"/>
        <v>0</v>
      </c>
    </row>
    <row r="63" ht="15.75" customHeight="1">
      <c r="A63" s="823">
        <v>1944.0</v>
      </c>
      <c r="B63" s="32"/>
      <c r="C63" s="32"/>
      <c r="D63" s="32"/>
      <c r="E63" s="32"/>
      <c r="F63" s="32"/>
      <c r="G63" s="32"/>
      <c r="H63" s="32"/>
      <c r="I63" s="32"/>
      <c r="J63" s="32"/>
      <c r="K63" s="32"/>
      <c r="L63" s="32"/>
      <c r="M63" s="32"/>
      <c r="N63" s="32"/>
      <c r="O63" s="32"/>
      <c r="P63" s="32"/>
      <c r="Q63" s="32"/>
      <c r="R63" s="32"/>
      <c r="S63" s="32"/>
      <c r="T63" s="32"/>
      <c r="U63" s="32"/>
      <c r="V63" s="741">
        <v>0.0</v>
      </c>
      <c r="W63" s="252">
        <f t="shared" si="37"/>
        <v>0</v>
      </c>
      <c r="X63" s="252">
        <f t="shared" ref="X63:BA63" si="51">IF(AND(X$48-$A63&gt;$V$34,SUM($W63:W63)&lt;&gt;$V63),$V63,0)</f>
        <v>0</v>
      </c>
      <c r="Y63" s="252">
        <f t="shared" si="51"/>
        <v>0</v>
      </c>
      <c r="Z63" s="252">
        <f t="shared" si="51"/>
        <v>0</v>
      </c>
      <c r="AA63" s="252">
        <f t="shared" si="51"/>
        <v>0</v>
      </c>
      <c r="AB63" s="252">
        <f t="shared" si="51"/>
        <v>0</v>
      </c>
      <c r="AC63" s="252">
        <f t="shared" si="51"/>
        <v>0</v>
      </c>
      <c r="AD63" s="252">
        <f t="shared" si="51"/>
        <v>0</v>
      </c>
      <c r="AE63" s="252">
        <f t="shared" si="51"/>
        <v>0</v>
      </c>
      <c r="AF63" s="252">
        <f t="shared" si="51"/>
        <v>0</v>
      </c>
      <c r="AG63" s="252">
        <f t="shared" si="51"/>
        <v>0</v>
      </c>
      <c r="AH63" s="252">
        <f t="shared" si="51"/>
        <v>0</v>
      </c>
      <c r="AI63" s="252">
        <f t="shared" si="51"/>
        <v>0</v>
      </c>
      <c r="AJ63" s="252">
        <f t="shared" si="51"/>
        <v>0</v>
      </c>
      <c r="AK63" s="252">
        <f t="shared" si="51"/>
        <v>0</v>
      </c>
      <c r="AL63" s="252">
        <f t="shared" si="51"/>
        <v>0</v>
      </c>
      <c r="AM63" s="252">
        <f t="shared" si="51"/>
        <v>0</v>
      </c>
      <c r="AN63" s="252">
        <f t="shared" si="51"/>
        <v>0</v>
      </c>
      <c r="AO63" s="252">
        <f t="shared" si="51"/>
        <v>0</v>
      </c>
      <c r="AP63" s="252">
        <f t="shared" si="51"/>
        <v>0</v>
      </c>
      <c r="AQ63" s="252">
        <f t="shared" si="51"/>
        <v>0</v>
      </c>
      <c r="AR63" s="252">
        <f t="shared" si="51"/>
        <v>0</v>
      </c>
      <c r="AS63" s="252">
        <f t="shared" si="51"/>
        <v>0</v>
      </c>
      <c r="AT63" s="252">
        <f t="shared" si="51"/>
        <v>0</v>
      </c>
      <c r="AU63" s="252">
        <f t="shared" si="51"/>
        <v>0</v>
      </c>
      <c r="AV63" s="252">
        <f t="shared" si="51"/>
        <v>0</v>
      </c>
      <c r="AW63" s="252">
        <f t="shared" si="51"/>
        <v>0</v>
      </c>
      <c r="AX63" s="252">
        <f t="shared" si="51"/>
        <v>0</v>
      </c>
      <c r="AY63" s="252">
        <f t="shared" si="51"/>
        <v>0</v>
      </c>
      <c r="AZ63" s="252">
        <f t="shared" si="51"/>
        <v>0</v>
      </c>
      <c r="BA63" s="252">
        <f t="shared" si="51"/>
        <v>0</v>
      </c>
    </row>
    <row r="64" ht="15.75" customHeight="1">
      <c r="A64" s="823">
        <v>1945.0</v>
      </c>
      <c r="B64" s="32"/>
      <c r="C64" s="32"/>
      <c r="D64" s="32"/>
      <c r="E64" s="32"/>
      <c r="F64" s="32"/>
      <c r="G64" s="32"/>
      <c r="H64" s="32"/>
      <c r="I64" s="32"/>
      <c r="J64" s="32"/>
      <c r="K64" s="32"/>
      <c r="L64" s="32"/>
      <c r="M64" s="32"/>
      <c r="N64" s="32"/>
      <c r="O64" s="32"/>
      <c r="P64" s="32"/>
      <c r="Q64" s="32"/>
      <c r="R64" s="32"/>
      <c r="S64" s="32"/>
      <c r="T64" s="32"/>
      <c r="U64" s="32"/>
      <c r="V64" s="741">
        <v>0.0</v>
      </c>
      <c r="W64" s="252">
        <f t="shared" si="37"/>
        <v>0</v>
      </c>
      <c r="X64" s="252">
        <f t="shared" ref="X64:BA64" si="52">IF(AND(X$48-$A64&gt;$V$34,SUM($W64:W64)&lt;&gt;$V64),$V64,0)</f>
        <v>0</v>
      </c>
      <c r="Y64" s="252">
        <f t="shared" si="52"/>
        <v>0</v>
      </c>
      <c r="Z64" s="252">
        <f t="shared" si="52"/>
        <v>0</v>
      </c>
      <c r="AA64" s="252">
        <f t="shared" si="52"/>
        <v>0</v>
      </c>
      <c r="AB64" s="252">
        <f t="shared" si="52"/>
        <v>0</v>
      </c>
      <c r="AC64" s="252">
        <f t="shared" si="52"/>
        <v>0</v>
      </c>
      <c r="AD64" s="252">
        <f t="shared" si="52"/>
        <v>0</v>
      </c>
      <c r="AE64" s="252">
        <f t="shared" si="52"/>
        <v>0</v>
      </c>
      <c r="AF64" s="252">
        <f t="shared" si="52"/>
        <v>0</v>
      </c>
      <c r="AG64" s="252">
        <f t="shared" si="52"/>
        <v>0</v>
      </c>
      <c r="AH64" s="252">
        <f t="shared" si="52"/>
        <v>0</v>
      </c>
      <c r="AI64" s="252">
        <f t="shared" si="52"/>
        <v>0</v>
      </c>
      <c r="AJ64" s="252">
        <f t="shared" si="52"/>
        <v>0</v>
      </c>
      <c r="AK64" s="252">
        <f t="shared" si="52"/>
        <v>0</v>
      </c>
      <c r="AL64" s="252">
        <f t="shared" si="52"/>
        <v>0</v>
      </c>
      <c r="AM64" s="252">
        <f t="shared" si="52"/>
        <v>0</v>
      </c>
      <c r="AN64" s="252">
        <f t="shared" si="52"/>
        <v>0</v>
      </c>
      <c r="AO64" s="252">
        <f t="shared" si="52"/>
        <v>0</v>
      </c>
      <c r="AP64" s="252">
        <f t="shared" si="52"/>
        <v>0</v>
      </c>
      <c r="AQ64" s="252">
        <f t="shared" si="52"/>
        <v>0</v>
      </c>
      <c r="AR64" s="252">
        <f t="shared" si="52"/>
        <v>0</v>
      </c>
      <c r="AS64" s="252">
        <f t="shared" si="52"/>
        <v>0</v>
      </c>
      <c r="AT64" s="252">
        <f t="shared" si="52"/>
        <v>0</v>
      </c>
      <c r="AU64" s="252">
        <f t="shared" si="52"/>
        <v>0</v>
      </c>
      <c r="AV64" s="252">
        <f t="shared" si="52"/>
        <v>0</v>
      </c>
      <c r="AW64" s="252">
        <f t="shared" si="52"/>
        <v>0</v>
      </c>
      <c r="AX64" s="252">
        <f t="shared" si="52"/>
        <v>0</v>
      </c>
      <c r="AY64" s="252">
        <f t="shared" si="52"/>
        <v>0</v>
      </c>
      <c r="AZ64" s="252">
        <f t="shared" si="52"/>
        <v>0</v>
      </c>
      <c r="BA64" s="252">
        <f t="shared" si="52"/>
        <v>0</v>
      </c>
    </row>
    <row r="65" ht="15.75" customHeight="1">
      <c r="A65" s="823">
        <v>1946.0</v>
      </c>
      <c r="B65" s="32"/>
      <c r="C65" s="32"/>
      <c r="D65" s="32"/>
      <c r="E65" s="32"/>
      <c r="F65" s="32"/>
      <c r="G65" s="32"/>
      <c r="H65" s="32"/>
      <c r="I65" s="32"/>
      <c r="J65" s="32"/>
      <c r="K65" s="32"/>
      <c r="L65" s="32"/>
      <c r="M65" s="32"/>
      <c r="N65" s="32"/>
      <c r="O65" s="32"/>
      <c r="P65" s="32"/>
      <c r="Q65" s="32"/>
      <c r="R65" s="32"/>
      <c r="S65" s="32"/>
      <c r="T65" s="32"/>
      <c r="U65" s="32"/>
      <c r="V65" s="741">
        <v>0.0</v>
      </c>
      <c r="W65" s="252">
        <f t="shared" si="37"/>
        <v>0</v>
      </c>
      <c r="X65" s="252">
        <f t="shared" ref="X65:BA65" si="53">IF(AND(X$48-$A65&gt;$V$34,SUM($W65:W65)&lt;&gt;$V65),$V65,0)</f>
        <v>0</v>
      </c>
      <c r="Y65" s="252">
        <f t="shared" si="53"/>
        <v>0</v>
      </c>
      <c r="Z65" s="252">
        <f t="shared" si="53"/>
        <v>0</v>
      </c>
      <c r="AA65" s="252">
        <f t="shared" si="53"/>
        <v>0</v>
      </c>
      <c r="AB65" s="252">
        <f t="shared" si="53"/>
        <v>0</v>
      </c>
      <c r="AC65" s="252">
        <f t="shared" si="53"/>
        <v>0</v>
      </c>
      <c r="AD65" s="252">
        <f t="shared" si="53"/>
        <v>0</v>
      </c>
      <c r="AE65" s="252">
        <f t="shared" si="53"/>
        <v>0</v>
      </c>
      <c r="AF65" s="252">
        <f t="shared" si="53"/>
        <v>0</v>
      </c>
      <c r="AG65" s="252">
        <f t="shared" si="53"/>
        <v>0</v>
      </c>
      <c r="AH65" s="252">
        <f t="shared" si="53"/>
        <v>0</v>
      </c>
      <c r="AI65" s="252">
        <f t="shared" si="53"/>
        <v>0</v>
      </c>
      <c r="AJ65" s="252">
        <f t="shared" si="53"/>
        <v>0</v>
      </c>
      <c r="AK65" s="252">
        <f t="shared" si="53"/>
        <v>0</v>
      </c>
      <c r="AL65" s="252">
        <f t="shared" si="53"/>
        <v>0</v>
      </c>
      <c r="AM65" s="252">
        <f t="shared" si="53"/>
        <v>0</v>
      </c>
      <c r="AN65" s="252">
        <f t="shared" si="53"/>
        <v>0</v>
      </c>
      <c r="AO65" s="252">
        <f t="shared" si="53"/>
        <v>0</v>
      </c>
      <c r="AP65" s="252">
        <f t="shared" si="53"/>
        <v>0</v>
      </c>
      <c r="AQ65" s="252">
        <f t="shared" si="53"/>
        <v>0</v>
      </c>
      <c r="AR65" s="252">
        <f t="shared" si="53"/>
        <v>0</v>
      </c>
      <c r="AS65" s="252">
        <f t="shared" si="53"/>
        <v>0</v>
      </c>
      <c r="AT65" s="252">
        <f t="shared" si="53"/>
        <v>0</v>
      </c>
      <c r="AU65" s="252">
        <f t="shared" si="53"/>
        <v>0</v>
      </c>
      <c r="AV65" s="252">
        <f t="shared" si="53"/>
        <v>0</v>
      </c>
      <c r="AW65" s="252">
        <f t="shared" si="53"/>
        <v>0</v>
      </c>
      <c r="AX65" s="252">
        <f t="shared" si="53"/>
        <v>0</v>
      </c>
      <c r="AY65" s="252">
        <f t="shared" si="53"/>
        <v>0</v>
      </c>
      <c r="AZ65" s="252">
        <f t="shared" si="53"/>
        <v>0</v>
      </c>
      <c r="BA65" s="252">
        <f t="shared" si="53"/>
        <v>0</v>
      </c>
    </row>
    <row r="66" ht="15.75" customHeight="1">
      <c r="A66" s="823">
        <v>1947.0</v>
      </c>
      <c r="B66" s="32"/>
      <c r="C66" s="32"/>
      <c r="D66" s="32"/>
      <c r="E66" s="32"/>
      <c r="F66" s="32"/>
      <c r="G66" s="32"/>
      <c r="H66" s="32"/>
      <c r="I66" s="32"/>
      <c r="J66" s="32"/>
      <c r="K66" s="32"/>
      <c r="L66" s="32"/>
      <c r="M66" s="32"/>
      <c r="N66" s="32"/>
      <c r="O66" s="32"/>
      <c r="P66" s="32"/>
      <c r="Q66" s="32"/>
      <c r="R66" s="32"/>
      <c r="S66" s="32"/>
      <c r="T66" s="32"/>
      <c r="U66" s="32"/>
      <c r="V66" s="741">
        <v>0.0</v>
      </c>
      <c r="W66" s="252">
        <f t="shared" si="37"/>
        <v>0</v>
      </c>
      <c r="X66" s="252">
        <f t="shared" ref="X66:BA66" si="54">IF(AND(X$48-$A66&gt;$V$34,SUM($W66:W66)&lt;&gt;$V66),$V66,0)</f>
        <v>0</v>
      </c>
      <c r="Y66" s="252">
        <f t="shared" si="54"/>
        <v>0</v>
      </c>
      <c r="Z66" s="252">
        <f t="shared" si="54"/>
        <v>0</v>
      </c>
      <c r="AA66" s="252">
        <f t="shared" si="54"/>
        <v>0</v>
      </c>
      <c r="AB66" s="252">
        <f t="shared" si="54"/>
        <v>0</v>
      </c>
      <c r="AC66" s="252">
        <f t="shared" si="54"/>
        <v>0</v>
      </c>
      <c r="AD66" s="252">
        <f t="shared" si="54"/>
        <v>0</v>
      </c>
      <c r="AE66" s="252">
        <f t="shared" si="54"/>
        <v>0</v>
      </c>
      <c r="AF66" s="252">
        <f t="shared" si="54"/>
        <v>0</v>
      </c>
      <c r="AG66" s="252">
        <f t="shared" si="54"/>
        <v>0</v>
      </c>
      <c r="AH66" s="252">
        <f t="shared" si="54"/>
        <v>0</v>
      </c>
      <c r="AI66" s="252">
        <f t="shared" si="54"/>
        <v>0</v>
      </c>
      <c r="AJ66" s="252">
        <f t="shared" si="54"/>
        <v>0</v>
      </c>
      <c r="AK66" s="252">
        <f t="shared" si="54"/>
        <v>0</v>
      </c>
      <c r="AL66" s="252">
        <f t="shared" si="54"/>
        <v>0</v>
      </c>
      <c r="AM66" s="252">
        <f t="shared" si="54"/>
        <v>0</v>
      </c>
      <c r="AN66" s="252">
        <f t="shared" si="54"/>
        <v>0</v>
      </c>
      <c r="AO66" s="252">
        <f t="shared" si="54"/>
        <v>0</v>
      </c>
      <c r="AP66" s="252">
        <f t="shared" si="54"/>
        <v>0</v>
      </c>
      <c r="AQ66" s="252">
        <f t="shared" si="54"/>
        <v>0</v>
      </c>
      <c r="AR66" s="252">
        <f t="shared" si="54"/>
        <v>0</v>
      </c>
      <c r="AS66" s="252">
        <f t="shared" si="54"/>
        <v>0</v>
      </c>
      <c r="AT66" s="252">
        <f t="shared" si="54"/>
        <v>0</v>
      </c>
      <c r="AU66" s="252">
        <f t="shared" si="54"/>
        <v>0</v>
      </c>
      <c r="AV66" s="252">
        <f t="shared" si="54"/>
        <v>0</v>
      </c>
      <c r="AW66" s="252">
        <f t="shared" si="54"/>
        <v>0</v>
      </c>
      <c r="AX66" s="252">
        <f t="shared" si="54"/>
        <v>0</v>
      </c>
      <c r="AY66" s="252">
        <f t="shared" si="54"/>
        <v>0</v>
      </c>
      <c r="AZ66" s="252">
        <f t="shared" si="54"/>
        <v>0</v>
      </c>
      <c r="BA66" s="252">
        <f t="shared" si="54"/>
        <v>0</v>
      </c>
    </row>
    <row r="67" ht="15.75" customHeight="1">
      <c r="A67" s="823">
        <v>1948.0</v>
      </c>
      <c r="B67" s="32"/>
      <c r="C67" s="32"/>
      <c r="D67" s="32"/>
      <c r="E67" s="32"/>
      <c r="F67" s="32"/>
      <c r="G67" s="32"/>
      <c r="H67" s="32"/>
      <c r="I67" s="32"/>
      <c r="J67" s="32"/>
      <c r="K67" s="32"/>
      <c r="L67" s="32"/>
      <c r="M67" s="32"/>
      <c r="N67" s="32"/>
      <c r="O67" s="32"/>
      <c r="P67" s="32"/>
      <c r="Q67" s="32"/>
      <c r="R67" s="32"/>
      <c r="S67" s="32"/>
      <c r="T67" s="32"/>
      <c r="U67" s="32"/>
      <c r="V67" s="741">
        <v>0.0</v>
      </c>
      <c r="W67" s="252">
        <f t="shared" si="37"/>
        <v>0</v>
      </c>
      <c r="X67" s="252">
        <f t="shared" ref="X67:BA67" si="55">IF(AND(X$48-$A67&gt;$V$34,SUM($W67:W67)&lt;&gt;$V67),$V67,0)</f>
        <v>0</v>
      </c>
      <c r="Y67" s="252">
        <f t="shared" si="55"/>
        <v>0</v>
      </c>
      <c r="Z67" s="252">
        <f t="shared" si="55"/>
        <v>0</v>
      </c>
      <c r="AA67" s="252">
        <f t="shared" si="55"/>
        <v>0</v>
      </c>
      <c r="AB67" s="252">
        <f t="shared" si="55"/>
        <v>0</v>
      </c>
      <c r="AC67" s="252">
        <f t="shared" si="55"/>
        <v>0</v>
      </c>
      <c r="AD67" s="252">
        <f t="shared" si="55"/>
        <v>0</v>
      </c>
      <c r="AE67" s="252">
        <f t="shared" si="55"/>
        <v>0</v>
      </c>
      <c r="AF67" s="252">
        <f t="shared" si="55"/>
        <v>0</v>
      </c>
      <c r="AG67" s="252">
        <f t="shared" si="55"/>
        <v>0</v>
      </c>
      <c r="AH67" s="252">
        <f t="shared" si="55"/>
        <v>0</v>
      </c>
      <c r="AI67" s="252">
        <f t="shared" si="55"/>
        <v>0</v>
      </c>
      <c r="AJ67" s="252">
        <f t="shared" si="55"/>
        <v>0</v>
      </c>
      <c r="AK67" s="252">
        <f t="shared" si="55"/>
        <v>0</v>
      </c>
      <c r="AL67" s="252">
        <f t="shared" si="55"/>
        <v>0</v>
      </c>
      <c r="AM67" s="252">
        <f t="shared" si="55"/>
        <v>0</v>
      </c>
      <c r="AN67" s="252">
        <f t="shared" si="55"/>
        <v>0</v>
      </c>
      <c r="AO67" s="252">
        <f t="shared" si="55"/>
        <v>0</v>
      </c>
      <c r="AP67" s="252">
        <f t="shared" si="55"/>
        <v>0</v>
      </c>
      <c r="AQ67" s="252">
        <f t="shared" si="55"/>
        <v>0</v>
      </c>
      <c r="AR67" s="252">
        <f t="shared" si="55"/>
        <v>0</v>
      </c>
      <c r="AS67" s="252">
        <f t="shared" si="55"/>
        <v>0</v>
      </c>
      <c r="AT67" s="252">
        <f t="shared" si="55"/>
        <v>0</v>
      </c>
      <c r="AU67" s="252">
        <f t="shared" si="55"/>
        <v>0</v>
      </c>
      <c r="AV67" s="252">
        <f t="shared" si="55"/>
        <v>0</v>
      </c>
      <c r="AW67" s="252">
        <f t="shared" si="55"/>
        <v>0</v>
      </c>
      <c r="AX67" s="252">
        <f t="shared" si="55"/>
        <v>0</v>
      </c>
      <c r="AY67" s="252">
        <f t="shared" si="55"/>
        <v>0</v>
      </c>
      <c r="AZ67" s="252">
        <f t="shared" si="55"/>
        <v>0</v>
      </c>
      <c r="BA67" s="252">
        <f t="shared" si="55"/>
        <v>0</v>
      </c>
    </row>
    <row r="68" ht="15.75" customHeight="1">
      <c r="A68" s="823">
        <v>1949.0</v>
      </c>
      <c r="B68" s="32"/>
      <c r="C68" s="32"/>
      <c r="D68" s="32"/>
      <c r="E68" s="32"/>
      <c r="F68" s="32"/>
      <c r="G68" s="32"/>
      <c r="H68" s="32"/>
      <c r="I68" s="32"/>
      <c r="J68" s="32"/>
      <c r="K68" s="32"/>
      <c r="L68" s="32"/>
      <c r="M68" s="32"/>
      <c r="N68" s="32"/>
      <c r="O68" s="32"/>
      <c r="P68" s="32"/>
      <c r="Q68" s="32"/>
      <c r="R68" s="32"/>
      <c r="S68" s="32"/>
      <c r="T68" s="32"/>
      <c r="U68" s="32"/>
      <c r="V68" s="741">
        <v>0.0</v>
      </c>
      <c r="W68" s="252">
        <f t="shared" si="37"/>
        <v>0</v>
      </c>
      <c r="X68" s="252">
        <f t="shared" ref="X68:BA68" si="56">IF(AND(X$48-$A68&gt;$V$34,SUM($W68:W68)&lt;&gt;$V68),$V68,0)</f>
        <v>0</v>
      </c>
      <c r="Y68" s="252">
        <f t="shared" si="56"/>
        <v>0</v>
      </c>
      <c r="Z68" s="252">
        <f t="shared" si="56"/>
        <v>0</v>
      </c>
      <c r="AA68" s="252">
        <f t="shared" si="56"/>
        <v>0</v>
      </c>
      <c r="AB68" s="252">
        <f t="shared" si="56"/>
        <v>0</v>
      </c>
      <c r="AC68" s="252">
        <f t="shared" si="56"/>
        <v>0</v>
      </c>
      <c r="AD68" s="252">
        <f t="shared" si="56"/>
        <v>0</v>
      </c>
      <c r="AE68" s="252">
        <f t="shared" si="56"/>
        <v>0</v>
      </c>
      <c r="AF68" s="252">
        <f t="shared" si="56"/>
        <v>0</v>
      </c>
      <c r="AG68" s="252">
        <f t="shared" si="56"/>
        <v>0</v>
      </c>
      <c r="AH68" s="252">
        <f t="shared" si="56"/>
        <v>0</v>
      </c>
      <c r="AI68" s="252">
        <f t="shared" si="56"/>
        <v>0</v>
      </c>
      <c r="AJ68" s="252">
        <f t="shared" si="56"/>
        <v>0</v>
      </c>
      <c r="AK68" s="252">
        <f t="shared" si="56"/>
        <v>0</v>
      </c>
      <c r="AL68" s="252">
        <f t="shared" si="56"/>
        <v>0</v>
      </c>
      <c r="AM68" s="252">
        <f t="shared" si="56"/>
        <v>0</v>
      </c>
      <c r="AN68" s="252">
        <f t="shared" si="56"/>
        <v>0</v>
      </c>
      <c r="AO68" s="252">
        <f t="shared" si="56"/>
        <v>0</v>
      </c>
      <c r="AP68" s="252">
        <f t="shared" si="56"/>
        <v>0</v>
      </c>
      <c r="AQ68" s="252">
        <f t="shared" si="56"/>
        <v>0</v>
      </c>
      <c r="AR68" s="252">
        <f t="shared" si="56"/>
        <v>0</v>
      </c>
      <c r="AS68" s="252">
        <f t="shared" si="56"/>
        <v>0</v>
      </c>
      <c r="AT68" s="252">
        <f t="shared" si="56"/>
        <v>0</v>
      </c>
      <c r="AU68" s="252">
        <f t="shared" si="56"/>
        <v>0</v>
      </c>
      <c r="AV68" s="252">
        <f t="shared" si="56"/>
        <v>0</v>
      </c>
      <c r="AW68" s="252">
        <f t="shared" si="56"/>
        <v>0</v>
      </c>
      <c r="AX68" s="252">
        <f t="shared" si="56"/>
        <v>0</v>
      </c>
      <c r="AY68" s="252">
        <f t="shared" si="56"/>
        <v>0</v>
      </c>
      <c r="AZ68" s="252">
        <f t="shared" si="56"/>
        <v>0</v>
      </c>
      <c r="BA68" s="252">
        <f t="shared" si="56"/>
        <v>0</v>
      </c>
    </row>
    <row r="69" ht="15.75" customHeight="1">
      <c r="A69" s="823">
        <v>1950.0</v>
      </c>
      <c r="B69" s="32"/>
      <c r="C69" s="32"/>
      <c r="D69" s="32"/>
      <c r="E69" s="32"/>
      <c r="F69" s="32"/>
      <c r="G69" s="32"/>
      <c r="H69" s="32"/>
      <c r="I69" s="32"/>
      <c r="J69" s="32"/>
      <c r="K69" s="32"/>
      <c r="L69" s="32"/>
      <c r="M69" s="32"/>
      <c r="N69" s="32"/>
      <c r="O69" s="32"/>
      <c r="P69" s="32"/>
      <c r="Q69" s="32"/>
      <c r="R69" s="32"/>
      <c r="S69" s="32"/>
      <c r="T69" s="32"/>
      <c r="U69" s="32"/>
      <c r="V69" s="741">
        <v>0.0</v>
      </c>
      <c r="W69" s="252">
        <f t="shared" si="37"/>
        <v>0</v>
      </c>
      <c r="X69" s="252">
        <f t="shared" ref="X69:BA69" si="57">IF(AND(X$48-$A69&gt;$V$34,SUM($W69:W69)&lt;&gt;$V69),$V69,0)</f>
        <v>0</v>
      </c>
      <c r="Y69" s="252">
        <f t="shared" si="57"/>
        <v>0</v>
      </c>
      <c r="Z69" s="252">
        <f t="shared" si="57"/>
        <v>0</v>
      </c>
      <c r="AA69" s="252">
        <f t="shared" si="57"/>
        <v>0</v>
      </c>
      <c r="AB69" s="252">
        <f t="shared" si="57"/>
        <v>0</v>
      </c>
      <c r="AC69" s="252">
        <f t="shared" si="57"/>
        <v>0</v>
      </c>
      <c r="AD69" s="252">
        <f t="shared" si="57"/>
        <v>0</v>
      </c>
      <c r="AE69" s="252">
        <f t="shared" si="57"/>
        <v>0</v>
      </c>
      <c r="AF69" s="252">
        <f t="shared" si="57"/>
        <v>0</v>
      </c>
      <c r="AG69" s="252">
        <f t="shared" si="57"/>
        <v>0</v>
      </c>
      <c r="AH69" s="252">
        <f t="shared" si="57"/>
        <v>0</v>
      </c>
      <c r="AI69" s="252">
        <f t="shared" si="57"/>
        <v>0</v>
      </c>
      <c r="AJ69" s="252">
        <f t="shared" si="57"/>
        <v>0</v>
      </c>
      <c r="AK69" s="252">
        <f t="shared" si="57"/>
        <v>0</v>
      </c>
      <c r="AL69" s="252">
        <f t="shared" si="57"/>
        <v>0</v>
      </c>
      <c r="AM69" s="252">
        <f t="shared" si="57"/>
        <v>0</v>
      </c>
      <c r="AN69" s="252">
        <f t="shared" si="57"/>
        <v>0</v>
      </c>
      <c r="AO69" s="252">
        <f t="shared" si="57"/>
        <v>0</v>
      </c>
      <c r="AP69" s="252">
        <f t="shared" si="57"/>
        <v>0</v>
      </c>
      <c r="AQ69" s="252">
        <f t="shared" si="57"/>
        <v>0</v>
      </c>
      <c r="AR69" s="252">
        <f t="shared" si="57"/>
        <v>0</v>
      </c>
      <c r="AS69" s="252">
        <f t="shared" si="57"/>
        <v>0</v>
      </c>
      <c r="AT69" s="252">
        <f t="shared" si="57"/>
        <v>0</v>
      </c>
      <c r="AU69" s="252">
        <f t="shared" si="57"/>
        <v>0</v>
      </c>
      <c r="AV69" s="252">
        <f t="shared" si="57"/>
        <v>0</v>
      </c>
      <c r="AW69" s="252">
        <f t="shared" si="57"/>
        <v>0</v>
      </c>
      <c r="AX69" s="252">
        <f t="shared" si="57"/>
        <v>0</v>
      </c>
      <c r="AY69" s="252">
        <f t="shared" si="57"/>
        <v>0</v>
      </c>
      <c r="AZ69" s="252">
        <f t="shared" si="57"/>
        <v>0</v>
      </c>
      <c r="BA69" s="252">
        <f t="shared" si="57"/>
        <v>0</v>
      </c>
    </row>
    <row r="70" ht="15.75" customHeight="1">
      <c r="A70" s="823">
        <v>1951.0</v>
      </c>
      <c r="B70" s="32"/>
      <c r="C70" s="32"/>
      <c r="D70" s="32"/>
      <c r="E70" s="32"/>
      <c r="F70" s="32"/>
      <c r="G70" s="32"/>
      <c r="H70" s="32"/>
      <c r="I70" s="32"/>
      <c r="J70" s="32"/>
      <c r="K70" s="32"/>
      <c r="L70" s="32"/>
      <c r="M70" s="32"/>
      <c r="N70" s="32"/>
      <c r="O70" s="32"/>
      <c r="P70" s="32"/>
      <c r="Q70" s="32"/>
      <c r="R70" s="32"/>
      <c r="S70" s="32"/>
      <c r="T70" s="32"/>
      <c r="U70" s="32"/>
      <c r="V70" s="741">
        <v>0.0</v>
      </c>
      <c r="W70" s="252">
        <f t="shared" si="37"/>
        <v>0</v>
      </c>
      <c r="X70" s="252">
        <f t="shared" ref="X70:BA70" si="58">IF(AND(X$48-$A70&gt;$V$34,SUM($W70:W70)&lt;&gt;$V70),$V70,0)</f>
        <v>0</v>
      </c>
      <c r="Y70" s="252">
        <f t="shared" si="58"/>
        <v>0</v>
      </c>
      <c r="Z70" s="252">
        <f t="shared" si="58"/>
        <v>0</v>
      </c>
      <c r="AA70" s="252">
        <f t="shared" si="58"/>
        <v>0</v>
      </c>
      <c r="AB70" s="252">
        <f t="shared" si="58"/>
        <v>0</v>
      </c>
      <c r="AC70" s="252">
        <f t="shared" si="58"/>
        <v>0</v>
      </c>
      <c r="AD70" s="252">
        <f t="shared" si="58"/>
        <v>0</v>
      </c>
      <c r="AE70" s="252">
        <f t="shared" si="58"/>
        <v>0</v>
      </c>
      <c r="AF70" s="252">
        <f t="shared" si="58"/>
        <v>0</v>
      </c>
      <c r="AG70" s="252">
        <f t="shared" si="58"/>
        <v>0</v>
      </c>
      <c r="AH70" s="252">
        <f t="shared" si="58"/>
        <v>0</v>
      </c>
      <c r="AI70" s="252">
        <f t="shared" si="58"/>
        <v>0</v>
      </c>
      <c r="AJ70" s="252">
        <f t="shared" si="58"/>
        <v>0</v>
      </c>
      <c r="AK70" s="252">
        <f t="shared" si="58"/>
        <v>0</v>
      </c>
      <c r="AL70" s="252">
        <f t="shared" si="58"/>
        <v>0</v>
      </c>
      <c r="AM70" s="252">
        <f t="shared" si="58"/>
        <v>0</v>
      </c>
      <c r="AN70" s="252">
        <f t="shared" si="58"/>
        <v>0</v>
      </c>
      <c r="AO70" s="252">
        <f t="shared" si="58"/>
        <v>0</v>
      </c>
      <c r="AP70" s="252">
        <f t="shared" si="58"/>
        <v>0</v>
      </c>
      <c r="AQ70" s="252">
        <f t="shared" si="58"/>
        <v>0</v>
      </c>
      <c r="AR70" s="252">
        <f t="shared" si="58"/>
        <v>0</v>
      </c>
      <c r="AS70" s="252">
        <f t="shared" si="58"/>
        <v>0</v>
      </c>
      <c r="AT70" s="252">
        <f t="shared" si="58"/>
        <v>0</v>
      </c>
      <c r="AU70" s="252">
        <f t="shared" si="58"/>
        <v>0</v>
      </c>
      <c r="AV70" s="252">
        <f t="shared" si="58"/>
        <v>0</v>
      </c>
      <c r="AW70" s="252">
        <f t="shared" si="58"/>
        <v>0</v>
      </c>
      <c r="AX70" s="252">
        <f t="shared" si="58"/>
        <v>0</v>
      </c>
      <c r="AY70" s="252">
        <f t="shared" si="58"/>
        <v>0</v>
      </c>
      <c r="AZ70" s="252">
        <f t="shared" si="58"/>
        <v>0</v>
      </c>
      <c r="BA70" s="252">
        <f t="shared" si="58"/>
        <v>0</v>
      </c>
    </row>
    <row r="71" ht="15.75" customHeight="1">
      <c r="A71" s="823">
        <v>1952.0</v>
      </c>
      <c r="B71" s="32"/>
      <c r="C71" s="32"/>
      <c r="D71" s="32"/>
      <c r="E71" s="32"/>
      <c r="F71" s="32"/>
      <c r="G71" s="32"/>
      <c r="H71" s="32"/>
      <c r="I71" s="32"/>
      <c r="J71" s="32"/>
      <c r="K71" s="32"/>
      <c r="L71" s="32"/>
      <c r="M71" s="32"/>
      <c r="N71" s="32"/>
      <c r="O71" s="32"/>
      <c r="P71" s="32"/>
      <c r="Q71" s="32"/>
      <c r="R71" s="32"/>
      <c r="S71" s="32"/>
      <c r="T71" s="32"/>
      <c r="U71" s="32"/>
      <c r="V71" s="741">
        <v>0.0</v>
      </c>
      <c r="W71" s="252">
        <f t="shared" si="37"/>
        <v>0</v>
      </c>
      <c r="X71" s="252">
        <f t="shared" ref="X71:BA71" si="59">IF(AND(X$48-$A71&gt;$V$34,SUM($W71:W71)&lt;&gt;$V71),$V71,0)</f>
        <v>0</v>
      </c>
      <c r="Y71" s="252">
        <f t="shared" si="59"/>
        <v>0</v>
      </c>
      <c r="Z71" s="252">
        <f t="shared" si="59"/>
        <v>0</v>
      </c>
      <c r="AA71" s="252">
        <f t="shared" si="59"/>
        <v>0</v>
      </c>
      <c r="AB71" s="252">
        <f t="shared" si="59"/>
        <v>0</v>
      </c>
      <c r="AC71" s="252">
        <f t="shared" si="59"/>
        <v>0</v>
      </c>
      <c r="AD71" s="252">
        <f t="shared" si="59"/>
        <v>0</v>
      </c>
      <c r="AE71" s="252">
        <f t="shared" si="59"/>
        <v>0</v>
      </c>
      <c r="AF71" s="252">
        <f t="shared" si="59"/>
        <v>0</v>
      </c>
      <c r="AG71" s="252">
        <f t="shared" si="59"/>
        <v>0</v>
      </c>
      <c r="AH71" s="252">
        <f t="shared" si="59"/>
        <v>0</v>
      </c>
      <c r="AI71" s="252">
        <f t="shared" si="59"/>
        <v>0</v>
      </c>
      <c r="AJ71" s="252">
        <f t="shared" si="59"/>
        <v>0</v>
      </c>
      <c r="AK71" s="252">
        <f t="shared" si="59"/>
        <v>0</v>
      </c>
      <c r="AL71" s="252">
        <f t="shared" si="59"/>
        <v>0</v>
      </c>
      <c r="AM71" s="252">
        <f t="shared" si="59"/>
        <v>0</v>
      </c>
      <c r="AN71" s="252">
        <f t="shared" si="59"/>
        <v>0</v>
      </c>
      <c r="AO71" s="252">
        <f t="shared" si="59"/>
        <v>0</v>
      </c>
      <c r="AP71" s="252">
        <f t="shared" si="59"/>
        <v>0</v>
      </c>
      <c r="AQ71" s="252">
        <f t="shared" si="59"/>
        <v>0</v>
      </c>
      <c r="AR71" s="252">
        <f t="shared" si="59"/>
        <v>0</v>
      </c>
      <c r="AS71" s="252">
        <f t="shared" si="59"/>
        <v>0</v>
      </c>
      <c r="AT71" s="252">
        <f t="shared" si="59"/>
        <v>0</v>
      </c>
      <c r="AU71" s="252">
        <f t="shared" si="59"/>
        <v>0</v>
      </c>
      <c r="AV71" s="252">
        <f t="shared" si="59"/>
        <v>0</v>
      </c>
      <c r="AW71" s="252">
        <f t="shared" si="59"/>
        <v>0</v>
      </c>
      <c r="AX71" s="252">
        <f t="shared" si="59"/>
        <v>0</v>
      </c>
      <c r="AY71" s="252">
        <f t="shared" si="59"/>
        <v>0</v>
      </c>
      <c r="AZ71" s="252">
        <f t="shared" si="59"/>
        <v>0</v>
      </c>
      <c r="BA71" s="252">
        <f t="shared" si="59"/>
        <v>0</v>
      </c>
    </row>
    <row r="72" ht="15.75" customHeight="1">
      <c r="A72" s="823">
        <v>1953.0</v>
      </c>
      <c r="B72" s="32"/>
      <c r="C72" s="32"/>
      <c r="D72" s="32"/>
      <c r="E72" s="32"/>
      <c r="F72" s="32"/>
      <c r="G72" s="32"/>
      <c r="H72" s="32"/>
      <c r="I72" s="32"/>
      <c r="J72" s="32"/>
      <c r="K72" s="32"/>
      <c r="L72" s="32"/>
      <c r="M72" s="32"/>
      <c r="N72" s="32"/>
      <c r="O72" s="32"/>
      <c r="P72" s="32"/>
      <c r="Q72" s="32"/>
      <c r="R72" s="32"/>
      <c r="S72" s="32"/>
      <c r="T72" s="32"/>
      <c r="U72" s="32"/>
      <c r="V72" s="741">
        <v>0.0</v>
      </c>
      <c r="W72" s="252">
        <f t="shared" si="37"/>
        <v>0</v>
      </c>
      <c r="X72" s="252">
        <f t="shared" ref="X72:BA72" si="60">IF(AND(X$48-$A72&gt;$V$34,SUM($W72:W72)&lt;&gt;$V72),$V72,0)</f>
        <v>0</v>
      </c>
      <c r="Y72" s="252">
        <f t="shared" si="60"/>
        <v>0</v>
      </c>
      <c r="Z72" s="252">
        <f t="shared" si="60"/>
        <v>0</v>
      </c>
      <c r="AA72" s="252">
        <f t="shared" si="60"/>
        <v>0</v>
      </c>
      <c r="AB72" s="252">
        <f t="shared" si="60"/>
        <v>0</v>
      </c>
      <c r="AC72" s="252">
        <f t="shared" si="60"/>
        <v>0</v>
      </c>
      <c r="AD72" s="252">
        <f t="shared" si="60"/>
        <v>0</v>
      </c>
      <c r="AE72" s="252">
        <f t="shared" si="60"/>
        <v>0</v>
      </c>
      <c r="AF72" s="252">
        <f t="shared" si="60"/>
        <v>0</v>
      </c>
      <c r="AG72" s="252">
        <f t="shared" si="60"/>
        <v>0</v>
      </c>
      <c r="AH72" s="252">
        <f t="shared" si="60"/>
        <v>0</v>
      </c>
      <c r="AI72" s="252">
        <f t="shared" si="60"/>
        <v>0</v>
      </c>
      <c r="AJ72" s="252">
        <f t="shared" si="60"/>
        <v>0</v>
      </c>
      <c r="AK72" s="252">
        <f t="shared" si="60"/>
        <v>0</v>
      </c>
      <c r="AL72" s="252">
        <f t="shared" si="60"/>
        <v>0</v>
      </c>
      <c r="AM72" s="252">
        <f t="shared" si="60"/>
        <v>0</v>
      </c>
      <c r="AN72" s="252">
        <f t="shared" si="60"/>
        <v>0</v>
      </c>
      <c r="AO72" s="252">
        <f t="shared" si="60"/>
        <v>0</v>
      </c>
      <c r="AP72" s="252">
        <f t="shared" si="60"/>
        <v>0</v>
      </c>
      <c r="AQ72" s="252">
        <f t="shared" si="60"/>
        <v>0</v>
      </c>
      <c r="AR72" s="252">
        <f t="shared" si="60"/>
        <v>0</v>
      </c>
      <c r="AS72" s="252">
        <f t="shared" si="60"/>
        <v>0</v>
      </c>
      <c r="AT72" s="252">
        <f t="shared" si="60"/>
        <v>0</v>
      </c>
      <c r="AU72" s="252">
        <f t="shared" si="60"/>
        <v>0</v>
      </c>
      <c r="AV72" s="252">
        <f t="shared" si="60"/>
        <v>0</v>
      </c>
      <c r="AW72" s="252">
        <f t="shared" si="60"/>
        <v>0</v>
      </c>
      <c r="AX72" s="252">
        <f t="shared" si="60"/>
        <v>0</v>
      </c>
      <c r="AY72" s="252">
        <f t="shared" si="60"/>
        <v>0</v>
      </c>
      <c r="AZ72" s="252">
        <f t="shared" si="60"/>
        <v>0</v>
      </c>
      <c r="BA72" s="252">
        <f t="shared" si="60"/>
        <v>0</v>
      </c>
    </row>
    <row r="73" ht="15.75" customHeight="1">
      <c r="A73" s="823">
        <v>1954.0</v>
      </c>
      <c r="B73" s="32"/>
      <c r="C73" s="32"/>
      <c r="D73" s="32"/>
      <c r="E73" s="32"/>
      <c r="F73" s="32"/>
      <c r="G73" s="32"/>
      <c r="H73" s="32"/>
      <c r="I73" s="32"/>
      <c r="J73" s="32"/>
      <c r="K73" s="32"/>
      <c r="L73" s="32"/>
      <c r="M73" s="32"/>
      <c r="N73" s="32"/>
      <c r="O73" s="32"/>
      <c r="P73" s="32"/>
      <c r="Q73" s="32"/>
      <c r="R73" s="32"/>
      <c r="S73" s="32"/>
      <c r="T73" s="32"/>
      <c r="U73" s="32"/>
      <c r="V73" s="741">
        <v>0.0</v>
      </c>
      <c r="W73" s="252">
        <f t="shared" si="37"/>
        <v>0</v>
      </c>
      <c r="X73" s="252">
        <f t="shared" ref="X73:BA73" si="61">IF(AND(X$48-$A73&gt;$V$34,SUM($W73:W73)&lt;&gt;$V73),$V73,0)</f>
        <v>0</v>
      </c>
      <c r="Y73" s="252">
        <f t="shared" si="61"/>
        <v>0</v>
      </c>
      <c r="Z73" s="252">
        <f t="shared" si="61"/>
        <v>0</v>
      </c>
      <c r="AA73" s="252">
        <f t="shared" si="61"/>
        <v>0</v>
      </c>
      <c r="AB73" s="252">
        <f t="shared" si="61"/>
        <v>0</v>
      </c>
      <c r="AC73" s="252">
        <f t="shared" si="61"/>
        <v>0</v>
      </c>
      <c r="AD73" s="252">
        <f t="shared" si="61"/>
        <v>0</v>
      </c>
      <c r="AE73" s="252">
        <f t="shared" si="61"/>
        <v>0</v>
      </c>
      <c r="AF73" s="252">
        <f t="shared" si="61"/>
        <v>0</v>
      </c>
      <c r="AG73" s="252">
        <f t="shared" si="61"/>
        <v>0</v>
      </c>
      <c r="AH73" s="252">
        <f t="shared" si="61"/>
        <v>0</v>
      </c>
      <c r="AI73" s="252">
        <f t="shared" si="61"/>
        <v>0</v>
      </c>
      <c r="AJ73" s="252">
        <f t="shared" si="61"/>
        <v>0</v>
      </c>
      <c r="AK73" s="252">
        <f t="shared" si="61"/>
        <v>0</v>
      </c>
      <c r="AL73" s="252">
        <f t="shared" si="61"/>
        <v>0</v>
      </c>
      <c r="AM73" s="252">
        <f t="shared" si="61"/>
        <v>0</v>
      </c>
      <c r="AN73" s="252">
        <f t="shared" si="61"/>
        <v>0</v>
      </c>
      <c r="AO73" s="252">
        <f t="shared" si="61"/>
        <v>0</v>
      </c>
      <c r="AP73" s="252">
        <f t="shared" si="61"/>
        <v>0</v>
      </c>
      <c r="AQ73" s="252">
        <f t="shared" si="61"/>
        <v>0</v>
      </c>
      <c r="AR73" s="252">
        <f t="shared" si="61"/>
        <v>0</v>
      </c>
      <c r="AS73" s="252">
        <f t="shared" si="61"/>
        <v>0</v>
      </c>
      <c r="AT73" s="252">
        <f t="shared" si="61"/>
        <v>0</v>
      </c>
      <c r="AU73" s="252">
        <f t="shared" si="61"/>
        <v>0</v>
      </c>
      <c r="AV73" s="252">
        <f t="shared" si="61"/>
        <v>0</v>
      </c>
      <c r="AW73" s="252">
        <f t="shared" si="61"/>
        <v>0</v>
      </c>
      <c r="AX73" s="252">
        <f t="shared" si="61"/>
        <v>0</v>
      </c>
      <c r="AY73" s="252">
        <f t="shared" si="61"/>
        <v>0</v>
      </c>
      <c r="AZ73" s="252">
        <f t="shared" si="61"/>
        <v>0</v>
      </c>
      <c r="BA73" s="252">
        <f t="shared" si="61"/>
        <v>0</v>
      </c>
    </row>
    <row r="74" ht="15.75" customHeight="1">
      <c r="A74" s="823">
        <v>1955.0</v>
      </c>
      <c r="B74" s="32"/>
      <c r="C74" s="32"/>
      <c r="D74" s="32"/>
      <c r="E74" s="32"/>
      <c r="F74" s="32"/>
      <c r="G74" s="32"/>
      <c r="H74" s="32"/>
      <c r="I74" s="32"/>
      <c r="J74" s="32"/>
      <c r="K74" s="32"/>
      <c r="L74" s="32"/>
      <c r="M74" s="32"/>
      <c r="N74" s="32"/>
      <c r="O74" s="32"/>
      <c r="P74" s="32"/>
      <c r="Q74" s="32"/>
      <c r="R74" s="32"/>
      <c r="S74" s="32"/>
      <c r="T74" s="32"/>
      <c r="U74" s="32"/>
      <c r="V74" s="741">
        <v>0.0</v>
      </c>
      <c r="W74" s="252">
        <f t="shared" si="37"/>
        <v>0</v>
      </c>
      <c r="X74" s="252">
        <f t="shared" ref="X74:BA74" si="62">IF(AND(X$48-$A74&gt;$V$34,SUM($W74:W74)&lt;&gt;$V74),$V74,0)</f>
        <v>0</v>
      </c>
      <c r="Y74" s="252">
        <f t="shared" si="62"/>
        <v>0</v>
      </c>
      <c r="Z74" s="252">
        <f t="shared" si="62"/>
        <v>0</v>
      </c>
      <c r="AA74" s="252">
        <f t="shared" si="62"/>
        <v>0</v>
      </c>
      <c r="AB74" s="252">
        <f t="shared" si="62"/>
        <v>0</v>
      </c>
      <c r="AC74" s="252">
        <f t="shared" si="62"/>
        <v>0</v>
      </c>
      <c r="AD74" s="252">
        <f t="shared" si="62"/>
        <v>0</v>
      </c>
      <c r="AE74" s="252">
        <f t="shared" si="62"/>
        <v>0</v>
      </c>
      <c r="AF74" s="252">
        <f t="shared" si="62"/>
        <v>0</v>
      </c>
      <c r="AG74" s="252">
        <f t="shared" si="62"/>
        <v>0</v>
      </c>
      <c r="AH74" s="252">
        <f t="shared" si="62"/>
        <v>0</v>
      </c>
      <c r="AI74" s="252">
        <f t="shared" si="62"/>
        <v>0</v>
      </c>
      <c r="AJ74" s="252">
        <f t="shared" si="62"/>
        <v>0</v>
      </c>
      <c r="AK74" s="252">
        <f t="shared" si="62"/>
        <v>0</v>
      </c>
      <c r="AL74" s="252">
        <f t="shared" si="62"/>
        <v>0</v>
      </c>
      <c r="AM74" s="252">
        <f t="shared" si="62"/>
        <v>0</v>
      </c>
      <c r="AN74" s="252">
        <f t="shared" si="62"/>
        <v>0</v>
      </c>
      <c r="AO74" s="252">
        <f t="shared" si="62"/>
        <v>0</v>
      </c>
      <c r="AP74" s="252">
        <f t="shared" si="62"/>
        <v>0</v>
      </c>
      <c r="AQ74" s="252">
        <f t="shared" si="62"/>
        <v>0</v>
      </c>
      <c r="AR74" s="252">
        <f t="shared" si="62"/>
        <v>0</v>
      </c>
      <c r="AS74" s="252">
        <f t="shared" si="62"/>
        <v>0</v>
      </c>
      <c r="AT74" s="252">
        <f t="shared" si="62"/>
        <v>0</v>
      </c>
      <c r="AU74" s="252">
        <f t="shared" si="62"/>
        <v>0</v>
      </c>
      <c r="AV74" s="252">
        <f t="shared" si="62"/>
        <v>0</v>
      </c>
      <c r="AW74" s="252">
        <f t="shared" si="62"/>
        <v>0</v>
      </c>
      <c r="AX74" s="252">
        <f t="shared" si="62"/>
        <v>0</v>
      </c>
      <c r="AY74" s="252">
        <f t="shared" si="62"/>
        <v>0</v>
      </c>
      <c r="AZ74" s="252">
        <f t="shared" si="62"/>
        <v>0</v>
      </c>
      <c r="BA74" s="252">
        <f t="shared" si="62"/>
        <v>0</v>
      </c>
    </row>
    <row r="75" ht="15.75" customHeight="1">
      <c r="A75" s="823">
        <v>1956.0</v>
      </c>
      <c r="B75" s="32"/>
      <c r="C75" s="32"/>
      <c r="D75" s="32"/>
      <c r="E75" s="32"/>
      <c r="F75" s="32"/>
      <c r="G75" s="32"/>
      <c r="H75" s="32"/>
      <c r="I75" s="32"/>
      <c r="J75" s="32"/>
      <c r="K75" s="32"/>
      <c r="L75" s="32"/>
      <c r="M75" s="32"/>
      <c r="N75" s="32"/>
      <c r="O75" s="32"/>
      <c r="P75" s="32"/>
      <c r="Q75" s="32"/>
      <c r="R75" s="32"/>
      <c r="S75" s="32"/>
      <c r="T75" s="32"/>
      <c r="U75" s="32"/>
      <c r="V75" s="741">
        <v>0.0</v>
      </c>
      <c r="W75" s="252">
        <f t="shared" si="37"/>
        <v>0</v>
      </c>
      <c r="X75" s="252">
        <f t="shared" ref="X75:BA75" si="63">IF(AND(X$48-$A75&gt;$V$34,SUM($W75:W75)&lt;&gt;$V75),$V75,0)</f>
        <v>0</v>
      </c>
      <c r="Y75" s="252">
        <f t="shared" si="63"/>
        <v>0</v>
      </c>
      <c r="Z75" s="252">
        <f t="shared" si="63"/>
        <v>0</v>
      </c>
      <c r="AA75" s="252">
        <f t="shared" si="63"/>
        <v>0</v>
      </c>
      <c r="AB75" s="252">
        <f t="shared" si="63"/>
        <v>0</v>
      </c>
      <c r="AC75" s="252">
        <f t="shared" si="63"/>
        <v>0</v>
      </c>
      <c r="AD75" s="252">
        <f t="shared" si="63"/>
        <v>0</v>
      </c>
      <c r="AE75" s="252">
        <f t="shared" si="63"/>
        <v>0</v>
      </c>
      <c r="AF75" s="252">
        <f t="shared" si="63"/>
        <v>0</v>
      </c>
      <c r="AG75" s="252">
        <f t="shared" si="63"/>
        <v>0</v>
      </c>
      <c r="AH75" s="252">
        <f t="shared" si="63"/>
        <v>0</v>
      </c>
      <c r="AI75" s="252">
        <f t="shared" si="63"/>
        <v>0</v>
      </c>
      <c r="AJ75" s="252">
        <f t="shared" si="63"/>
        <v>0</v>
      </c>
      <c r="AK75" s="252">
        <f t="shared" si="63"/>
        <v>0</v>
      </c>
      <c r="AL75" s="252">
        <f t="shared" si="63"/>
        <v>0</v>
      </c>
      <c r="AM75" s="252">
        <f t="shared" si="63"/>
        <v>0</v>
      </c>
      <c r="AN75" s="252">
        <f t="shared" si="63"/>
        <v>0</v>
      </c>
      <c r="AO75" s="252">
        <f t="shared" si="63"/>
        <v>0</v>
      </c>
      <c r="AP75" s="252">
        <f t="shared" si="63"/>
        <v>0</v>
      </c>
      <c r="AQ75" s="252">
        <f t="shared" si="63"/>
        <v>0</v>
      </c>
      <c r="AR75" s="252">
        <f t="shared" si="63"/>
        <v>0</v>
      </c>
      <c r="AS75" s="252">
        <f t="shared" si="63"/>
        <v>0</v>
      </c>
      <c r="AT75" s="252">
        <f t="shared" si="63"/>
        <v>0</v>
      </c>
      <c r="AU75" s="252">
        <f t="shared" si="63"/>
        <v>0</v>
      </c>
      <c r="AV75" s="252">
        <f t="shared" si="63"/>
        <v>0</v>
      </c>
      <c r="AW75" s="252">
        <f t="shared" si="63"/>
        <v>0</v>
      </c>
      <c r="AX75" s="252">
        <f t="shared" si="63"/>
        <v>0</v>
      </c>
      <c r="AY75" s="252">
        <f t="shared" si="63"/>
        <v>0</v>
      </c>
      <c r="AZ75" s="252">
        <f t="shared" si="63"/>
        <v>0</v>
      </c>
      <c r="BA75" s="252">
        <f t="shared" si="63"/>
        <v>0</v>
      </c>
    </row>
    <row r="76" ht="15.75" customHeight="1">
      <c r="A76" s="823">
        <v>1957.0</v>
      </c>
      <c r="B76" s="32"/>
      <c r="C76" s="32"/>
      <c r="D76" s="32"/>
      <c r="E76" s="32"/>
      <c r="F76" s="32"/>
      <c r="G76" s="32"/>
      <c r="H76" s="32"/>
      <c r="I76" s="32"/>
      <c r="J76" s="32"/>
      <c r="K76" s="32"/>
      <c r="L76" s="32"/>
      <c r="M76" s="32"/>
      <c r="N76" s="32"/>
      <c r="O76" s="32"/>
      <c r="P76" s="32"/>
      <c r="Q76" s="32"/>
      <c r="R76" s="32"/>
      <c r="S76" s="32"/>
      <c r="T76" s="32"/>
      <c r="U76" s="32"/>
      <c r="V76" s="741">
        <v>0.0</v>
      </c>
      <c r="W76" s="252">
        <f t="shared" si="37"/>
        <v>0</v>
      </c>
      <c r="X76" s="252">
        <f t="shared" ref="X76:BA76" si="64">IF(AND(X$48-$A76&gt;$V$34,SUM($W76:W76)&lt;&gt;$V76),$V76,0)</f>
        <v>0</v>
      </c>
      <c r="Y76" s="252">
        <f t="shared" si="64"/>
        <v>0</v>
      </c>
      <c r="Z76" s="252">
        <f t="shared" si="64"/>
        <v>0</v>
      </c>
      <c r="AA76" s="252">
        <f t="shared" si="64"/>
        <v>0</v>
      </c>
      <c r="AB76" s="252">
        <f t="shared" si="64"/>
        <v>0</v>
      </c>
      <c r="AC76" s="252">
        <f t="shared" si="64"/>
        <v>0</v>
      </c>
      <c r="AD76" s="252">
        <f t="shared" si="64"/>
        <v>0</v>
      </c>
      <c r="AE76" s="252">
        <f t="shared" si="64"/>
        <v>0</v>
      </c>
      <c r="AF76" s="252">
        <f t="shared" si="64"/>
        <v>0</v>
      </c>
      <c r="AG76" s="252">
        <f t="shared" si="64"/>
        <v>0</v>
      </c>
      <c r="AH76" s="252">
        <f t="shared" si="64"/>
        <v>0</v>
      </c>
      <c r="AI76" s="252">
        <f t="shared" si="64"/>
        <v>0</v>
      </c>
      <c r="AJ76" s="252">
        <f t="shared" si="64"/>
        <v>0</v>
      </c>
      <c r="AK76" s="252">
        <f t="shared" si="64"/>
        <v>0</v>
      </c>
      <c r="AL76" s="252">
        <f t="shared" si="64"/>
        <v>0</v>
      </c>
      <c r="AM76" s="252">
        <f t="shared" si="64"/>
        <v>0</v>
      </c>
      <c r="AN76" s="252">
        <f t="shared" si="64"/>
        <v>0</v>
      </c>
      <c r="AO76" s="252">
        <f t="shared" si="64"/>
        <v>0</v>
      </c>
      <c r="AP76" s="252">
        <f t="shared" si="64"/>
        <v>0</v>
      </c>
      <c r="AQ76" s="252">
        <f t="shared" si="64"/>
        <v>0</v>
      </c>
      <c r="AR76" s="252">
        <f t="shared" si="64"/>
        <v>0</v>
      </c>
      <c r="AS76" s="252">
        <f t="shared" si="64"/>
        <v>0</v>
      </c>
      <c r="AT76" s="252">
        <f t="shared" si="64"/>
        <v>0</v>
      </c>
      <c r="AU76" s="252">
        <f t="shared" si="64"/>
        <v>0</v>
      </c>
      <c r="AV76" s="252">
        <f t="shared" si="64"/>
        <v>0</v>
      </c>
      <c r="AW76" s="252">
        <f t="shared" si="64"/>
        <v>0</v>
      </c>
      <c r="AX76" s="252">
        <f t="shared" si="64"/>
        <v>0</v>
      </c>
      <c r="AY76" s="252">
        <f t="shared" si="64"/>
        <v>0</v>
      </c>
      <c r="AZ76" s="252">
        <f t="shared" si="64"/>
        <v>0</v>
      </c>
      <c r="BA76" s="252">
        <f t="shared" si="64"/>
        <v>0</v>
      </c>
    </row>
    <row r="77" ht="15.75" customHeight="1">
      <c r="A77" s="823">
        <v>1958.0</v>
      </c>
      <c r="B77" s="32"/>
      <c r="C77" s="32"/>
      <c r="D77" s="32"/>
      <c r="E77" s="32"/>
      <c r="F77" s="32"/>
      <c r="G77" s="32"/>
      <c r="H77" s="32"/>
      <c r="I77" s="32"/>
      <c r="J77" s="32"/>
      <c r="K77" s="32"/>
      <c r="L77" s="32"/>
      <c r="M77" s="32"/>
      <c r="N77" s="32"/>
      <c r="O77" s="32"/>
      <c r="P77" s="32"/>
      <c r="Q77" s="32"/>
      <c r="R77" s="32"/>
      <c r="S77" s="32"/>
      <c r="T77" s="32"/>
      <c r="U77" s="32"/>
      <c r="V77" s="741">
        <v>0.0</v>
      </c>
      <c r="W77" s="252">
        <f t="shared" si="37"/>
        <v>0</v>
      </c>
      <c r="X77" s="252">
        <f t="shared" ref="X77:BA77" si="65">IF(AND(X$48-$A77&gt;$V$34,SUM($W77:W77)&lt;&gt;$V77),$V77,0)</f>
        <v>0</v>
      </c>
      <c r="Y77" s="252">
        <f t="shared" si="65"/>
        <v>0</v>
      </c>
      <c r="Z77" s="252">
        <f t="shared" si="65"/>
        <v>0</v>
      </c>
      <c r="AA77" s="252">
        <f t="shared" si="65"/>
        <v>0</v>
      </c>
      <c r="AB77" s="252">
        <f t="shared" si="65"/>
        <v>0</v>
      </c>
      <c r="AC77" s="252">
        <f t="shared" si="65"/>
        <v>0</v>
      </c>
      <c r="AD77" s="252">
        <f t="shared" si="65"/>
        <v>0</v>
      </c>
      <c r="AE77" s="252">
        <f t="shared" si="65"/>
        <v>0</v>
      </c>
      <c r="AF77" s="252">
        <f t="shared" si="65"/>
        <v>0</v>
      </c>
      <c r="AG77" s="252">
        <f t="shared" si="65"/>
        <v>0</v>
      </c>
      <c r="AH77" s="252">
        <f t="shared" si="65"/>
        <v>0</v>
      </c>
      <c r="AI77" s="252">
        <f t="shared" si="65"/>
        <v>0</v>
      </c>
      <c r="AJ77" s="252">
        <f t="shared" si="65"/>
        <v>0</v>
      </c>
      <c r="AK77" s="252">
        <f t="shared" si="65"/>
        <v>0</v>
      </c>
      <c r="AL77" s="252">
        <f t="shared" si="65"/>
        <v>0</v>
      </c>
      <c r="AM77" s="252">
        <f t="shared" si="65"/>
        <v>0</v>
      </c>
      <c r="AN77" s="252">
        <f t="shared" si="65"/>
        <v>0</v>
      </c>
      <c r="AO77" s="252">
        <f t="shared" si="65"/>
        <v>0</v>
      </c>
      <c r="AP77" s="252">
        <f t="shared" si="65"/>
        <v>0</v>
      </c>
      <c r="AQ77" s="252">
        <f t="shared" si="65"/>
        <v>0</v>
      </c>
      <c r="AR77" s="252">
        <f t="shared" si="65"/>
        <v>0</v>
      </c>
      <c r="AS77" s="252">
        <f t="shared" si="65"/>
        <v>0</v>
      </c>
      <c r="AT77" s="252">
        <f t="shared" si="65"/>
        <v>0</v>
      </c>
      <c r="AU77" s="252">
        <f t="shared" si="65"/>
        <v>0</v>
      </c>
      <c r="AV77" s="252">
        <f t="shared" si="65"/>
        <v>0</v>
      </c>
      <c r="AW77" s="252">
        <f t="shared" si="65"/>
        <v>0</v>
      </c>
      <c r="AX77" s="252">
        <f t="shared" si="65"/>
        <v>0</v>
      </c>
      <c r="AY77" s="252">
        <f t="shared" si="65"/>
        <v>0</v>
      </c>
      <c r="AZ77" s="252">
        <f t="shared" si="65"/>
        <v>0</v>
      </c>
      <c r="BA77" s="252">
        <f t="shared" si="65"/>
        <v>0</v>
      </c>
    </row>
    <row r="78" ht="15.75" customHeight="1">
      <c r="A78" s="823">
        <v>1959.0</v>
      </c>
      <c r="B78" s="32"/>
      <c r="C78" s="32"/>
      <c r="D78" s="32"/>
      <c r="E78" s="32"/>
      <c r="F78" s="32"/>
      <c r="G78" s="32"/>
      <c r="H78" s="32"/>
      <c r="I78" s="32"/>
      <c r="J78" s="32"/>
      <c r="K78" s="32"/>
      <c r="L78" s="32"/>
      <c r="M78" s="32"/>
      <c r="N78" s="32"/>
      <c r="O78" s="32"/>
      <c r="P78" s="32"/>
      <c r="Q78" s="32"/>
      <c r="R78" s="32"/>
      <c r="S78" s="32"/>
      <c r="T78" s="32"/>
      <c r="U78" s="32"/>
      <c r="V78" s="741">
        <v>0.0</v>
      </c>
      <c r="W78" s="252">
        <f t="shared" si="37"/>
        <v>0</v>
      </c>
      <c r="X78" s="252">
        <f t="shared" ref="X78:BA78" si="66">IF(AND(X$48-$A78&gt;$V$34,SUM($W78:W78)&lt;&gt;$V78),$V78,0)</f>
        <v>0</v>
      </c>
      <c r="Y78" s="252">
        <f t="shared" si="66"/>
        <v>0</v>
      </c>
      <c r="Z78" s="252">
        <f t="shared" si="66"/>
        <v>0</v>
      </c>
      <c r="AA78" s="252">
        <f t="shared" si="66"/>
        <v>0</v>
      </c>
      <c r="AB78" s="252">
        <f t="shared" si="66"/>
        <v>0</v>
      </c>
      <c r="AC78" s="252">
        <f t="shared" si="66"/>
        <v>0</v>
      </c>
      <c r="AD78" s="252">
        <f t="shared" si="66"/>
        <v>0</v>
      </c>
      <c r="AE78" s="252">
        <f t="shared" si="66"/>
        <v>0</v>
      </c>
      <c r="AF78" s="252">
        <f t="shared" si="66"/>
        <v>0</v>
      </c>
      <c r="AG78" s="252">
        <f t="shared" si="66"/>
        <v>0</v>
      </c>
      <c r="AH78" s="252">
        <f t="shared" si="66"/>
        <v>0</v>
      </c>
      <c r="AI78" s="252">
        <f t="shared" si="66"/>
        <v>0</v>
      </c>
      <c r="AJ78" s="252">
        <f t="shared" si="66"/>
        <v>0</v>
      </c>
      <c r="AK78" s="252">
        <f t="shared" si="66"/>
        <v>0</v>
      </c>
      <c r="AL78" s="252">
        <f t="shared" si="66"/>
        <v>0</v>
      </c>
      <c r="AM78" s="252">
        <f t="shared" si="66"/>
        <v>0</v>
      </c>
      <c r="AN78" s="252">
        <f t="shared" si="66"/>
        <v>0</v>
      </c>
      <c r="AO78" s="252">
        <f t="shared" si="66"/>
        <v>0</v>
      </c>
      <c r="AP78" s="252">
        <f t="shared" si="66"/>
        <v>0</v>
      </c>
      <c r="AQ78" s="252">
        <f t="shared" si="66"/>
        <v>0</v>
      </c>
      <c r="AR78" s="252">
        <f t="shared" si="66"/>
        <v>0</v>
      </c>
      <c r="AS78" s="252">
        <f t="shared" si="66"/>
        <v>0</v>
      </c>
      <c r="AT78" s="252">
        <f t="shared" si="66"/>
        <v>0</v>
      </c>
      <c r="AU78" s="252">
        <f t="shared" si="66"/>
        <v>0</v>
      </c>
      <c r="AV78" s="252">
        <f t="shared" si="66"/>
        <v>0</v>
      </c>
      <c r="AW78" s="252">
        <f t="shared" si="66"/>
        <v>0</v>
      </c>
      <c r="AX78" s="252">
        <f t="shared" si="66"/>
        <v>0</v>
      </c>
      <c r="AY78" s="252">
        <f t="shared" si="66"/>
        <v>0</v>
      </c>
      <c r="AZ78" s="252">
        <f t="shared" si="66"/>
        <v>0</v>
      </c>
      <c r="BA78" s="252">
        <f t="shared" si="66"/>
        <v>0</v>
      </c>
    </row>
    <row r="79" ht="15.75" customHeight="1">
      <c r="A79" s="823">
        <v>1960.0</v>
      </c>
      <c r="B79" s="32"/>
      <c r="C79" s="32"/>
      <c r="D79" s="32"/>
      <c r="E79" s="32"/>
      <c r="F79" s="32"/>
      <c r="G79" s="32"/>
      <c r="H79" s="32"/>
      <c r="I79" s="32"/>
      <c r="J79" s="32"/>
      <c r="K79" s="32"/>
      <c r="L79" s="32"/>
      <c r="M79" s="32"/>
      <c r="N79" s="32"/>
      <c r="O79" s="32"/>
      <c r="P79" s="32"/>
      <c r="Q79" s="32"/>
      <c r="R79" s="32"/>
      <c r="S79" s="32"/>
      <c r="T79" s="32"/>
      <c r="U79" s="32"/>
      <c r="V79" s="741">
        <v>0.0</v>
      </c>
      <c r="W79" s="252">
        <f t="shared" si="37"/>
        <v>0</v>
      </c>
      <c r="X79" s="252">
        <f t="shared" ref="X79:BA79" si="67">IF(AND(X$48-$A79&gt;$V$34,SUM($W79:W79)&lt;&gt;$V79),$V79,0)</f>
        <v>0</v>
      </c>
      <c r="Y79" s="252">
        <f t="shared" si="67"/>
        <v>0</v>
      </c>
      <c r="Z79" s="252">
        <f t="shared" si="67"/>
        <v>0</v>
      </c>
      <c r="AA79" s="252">
        <f t="shared" si="67"/>
        <v>0</v>
      </c>
      <c r="AB79" s="252">
        <f t="shared" si="67"/>
        <v>0</v>
      </c>
      <c r="AC79" s="252">
        <f t="shared" si="67"/>
        <v>0</v>
      </c>
      <c r="AD79" s="252">
        <f t="shared" si="67"/>
        <v>0</v>
      </c>
      <c r="AE79" s="252">
        <f t="shared" si="67"/>
        <v>0</v>
      </c>
      <c r="AF79" s="252">
        <f t="shared" si="67"/>
        <v>0</v>
      </c>
      <c r="AG79" s="252">
        <f t="shared" si="67"/>
        <v>0</v>
      </c>
      <c r="AH79" s="252">
        <f t="shared" si="67"/>
        <v>0</v>
      </c>
      <c r="AI79" s="252">
        <f t="shared" si="67"/>
        <v>0</v>
      </c>
      <c r="AJ79" s="252">
        <f t="shared" si="67"/>
        <v>0</v>
      </c>
      <c r="AK79" s="252">
        <f t="shared" si="67"/>
        <v>0</v>
      </c>
      <c r="AL79" s="252">
        <f t="shared" si="67"/>
        <v>0</v>
      </c>
      <c r="AM79" s="252">
        <f t="shared" si="67"/>
        <v>0</v>
      </c>
      <c r="AN79" s="252">
        <f t="shared" si="67"/>
        <v>0</v>
      </c>
      <c r="AO79" s="252">
        <f t="shared" si="67"/>
        <v>0</v>
      </c>
      <c r="AP79" s="252">
        <f t="shared" si="67"/>
        <v>0</v>
      </c>
      <c r="AQ79" s="252">
        <f t="shared" si="67"/>
        <v>0</v>
      </c>
      <c r="AR79" s="252">
        <f t="shared" si="67"/>
        <v>0</v>
      </c>
      <c r="AS79" s="252">
        <f t="shared" si="67"/>
        <v>0</v>
      </c>
      <c r="AT79" s="252">
        <f t="shared" si="67"/>
        <v>0</v>
      </c>
      <c r="AU79" s="252">
        <f t="shared" si="67"/>
        <v>0</v>
      </c>
      <c r="AV79" s="252">
        <f t="shared" si="67"/>
        <v>0</v>
      </c>
      <c r="AW79" s="252">
        <f t="shared" si="67"/>
        <v>0</v>
      </c>
      <c r="AX79" s="252">
        <f t="shared" si="67"/>
        <v>0</v>
      </c>
      <c r="AY79" s="252">
        <f t="shared" si="67"/>
        <v>0</v>
      </c>
      <c r="AZ79" s="252">
        <f t="shared" si="67"/>
        <v>0</v>
      </c>
      <c r="BA79" s="252">
        <f t="shared" si="67"/>
        <v>0</v>
      </c>
    </row>
    <row r="80" ht="15.75" customHeight="1">
      <c r="A80" s="823">
        <v>1961.0</v>
      </c>
      <c r="B80" s="32"/>
      <c r="C80" s="32"/>
      <c r="D80" s="32"/>
      <c r="E80" s="32"/>
      <c r="F80" s="32"/>
      <c r="G80" s="32"/>
      <c r="H80" s="32"/>
      <c r="I80" s="32"/>
      <c r="J80" s="32"/>
      <c r="K80" s="32"/>
      <c r="L80" s="32"/>
      <c r="M80" s="32"/>
      <c r="N80" s="32"/>
      <c r="O80" s="32"/>
      <c r="P80" s="32"/>
      <c r="Q80" s="32"/>
      <c r="R80" s="32"/>
      <c r="S80" s="32"/>
      <c r="T80" s="32"/>
      <c r="U80" s="32"/>
      <c r="V80" s="741">
        <v>0.0</v>
      </c>
      <c r="W80" s="252">
        <f t="shared" si="37"/>
        <v>0</v>
      </c>
      <c r="X80" s="252">
        <f t="shared" ref="X80:BA80" si="68">IF(AND(X$48-$A80&gt;$V$34,SUM($W80:W80)&lt;&gt;$V80),$V80,0)</f>
        <v>0</v>
      </c>
      <c r="Y80" s="252">
        <f t="shared" si="68"/>
        <v>0</v>
      </c>
      <c r="Z80" s="252">
        <f t="shared" si="68"/>
        <v>0</v>
      </c>
      <c r="AA80" s="252">
        <f t="shared" si="68"/>
        <v>0</v>
      </c>
      <c r="AB80" s="252">
        <f t="shared" si="68"/>
        <v>0</v>
      </c>
      <c r="AC80" s="252">
        <f t="shared" si="68"/>
        <v>0</v>
      </c>
      <c r="AD80" s="252">
        <f t="shared" si="68"/>
        <v>0</v>
      </c>
      <c r="AE80" s="252">
        <f t="shared" si="68"/>
        <v>0</v>
      </c>
      <c r="AF80" s="252">
        <f t="shared" si="68"/>
        <v>0</v>
      </c>
      <c r="AG80" s="252">
        <f t="shared" si="68"/>
        <v>0</v>
      </c>
      <c r="AH80" s="252">
        <f t="shared" si="68"/>
        <v>0</v>
      </c>
      <c r="AI80" s="252">
        <f t="shared" si="68"/>
        <v>0</v>
      </c>
      <c r="AJ80" s="252">
        <f t="shared" si="68"/>
        <v>0</v>
      </c>
      <c r="AK80" s="252">
        <f t="shared" si="68"/>
        <v>0</v>
      </c>
      <c r="AL80" s="252">
        <f t="shared" si="68"/>
        <v>0</v>
      </c>
      <c r="AM80" s="252">
        <f t="shared" si="68"/>
        <v>0</v>
      </c>
      <c r="AN80" s="252">
        <f t="shared" si="68"/>
        <v>0</v>
      </c>
      <c r="AO80" s="252">
        <f t="shared" si="68"/>
        <v>0</v>
      </c>
      <c r="AP80" s="252">
        <f t="shared" si="68"/>
        <v>0</v>
      </c>
      <c r="AQ80" s="252">
        <f t="shared" si="68"/>
        <v>0</v>
      </c>
      <c r="AR80" s="252">
        <f t="shared" si="68"/>
        <v>0</v>
      </c>
      <c r="AS80" s="252">
        <f t="shared" si="68"/>
        <v>0</v>
      </c>
      <c r="AT80" s="252">
        <f t="shared" si="68"/>
        <v>0</v>
      </c>
      <c r="AU80" s="252">
        <f t="shared" si="68"/>
        <v>0</v>
      </c>
      <c r="AV80" s="252">
        <f t="shared" si="68"/>
        <v>0</v>
      </c>
      <c r="AW80" s="252">
        <f t="shared" si="68"/>
        <v>0</v>
      </c>
      <c r="AX80" s="252">
        <f t="shared" si="68"/>
        <v>0</v>
      </c>
      <c r="AY80" s="252">
        <f t="shared" si="68"/>
        <v>0</v>
      </c>
      <c r="AZ80" s="252">
        <f t="shared" si="68"/>
        <v>0</v>
      </c>
      <c r="BA80" s="252">
        <f t="shared" si="68"/>
        <v>0</v>
      </c>
    </row>
    <row r="81" ht="15.75" customHeight="1">
      <c r="A81" s="823">
        <v>1962.0</v>
      </c>
      <c r="B81" s="32"/>
      <c r="C81" s="32"/>
      <c r="D81" s="32"/>
      <c r="E81" s="32"/>
      <c r="F81" s="32"/>
      <c r="G81" s="32"/>
      <c r="H81" s="32"/>
      <c r="I81" s="32"/>
      <c r="J81" s="32"/>
      <c r="K81" s="32"/>
      <c r="L81" s="32"/>
      <c r="M81" s="32"/>
      <c r="N81" s="32"/>
      <c r="O81" s="32"/>
      <c r="P81" s="32"/>
      <c r="Q81" s="32"/>
      <c r="R81" s="32"/>
      <c r="S81" s="32"/>
      <c r="T81" s="32"/>
      <c r="U81" s="32"/>
      <c r="V81" s="741">
        <v>0.0</v>
      </c>
      <c r="W81" s="252">
        <f t="shared" si="37"/>
        <v>0</v>
      </c>
      <c r="X81" s="252">
        <f t="shared" ref="X81:BA81" si="69">IF(AND(X$48-$A81&gt;$V$34,SUM($W81:W81)&lt;&gt;$V81),$V81,0)</f>
        <v>0</v>
      </c>
      <c r="Y81" s="252">
        <f t="shared" si="69"/>
        <v>0</v>
      </c>
      <c r="Z81" s="252">
        <f t="shared" si="69"/>
        <v>0</v>
      </c>
      <c r="AA81" s="252">
        <f t="shared" si="69"/>
        <v>0</v>
      </c>
      <c r="AB81" s="252">
        <f t="shared" si="69"/>
        <v>0</v>
      </c>
      <c r="AC81" s="252">
        <f t="shared" si="69"/>
        <v>0</v>
      </c>
      <c r="AD81" s="252">
        <f t="shared" si="69"/>
        <v>0</v>
      </c>
      <c r="AE81" s="252">
        <f t="shared" si="69"/>
        <v>0</v>
      </c>
      <c r="AF81" s="252">
        <f t="shared" si="69"/>
        <v>0</v>
      </c>
      <c r="AG81" s="252">
        <f t="shared" si="69"/>
        <v>0</v>
      </c>
      <c r="AH81" s="252">
        <f t="shared" si="69"/>
        <v>0</v>
      </c>
      <c r="AI81" s="252">
        <f t="shared" si="69"/>
        <v>0</v>
      </c>
      <c r="AJ81" s="252">
        <f t="shared" si="69"/>
        <v>0</v>
      </c>
      <c r="AK81" s="252">
        <f t="shared" si="69"/>
        <v>0</v>
      </c>
      <c r="AL81" s="252">
        <f t="shared" si="69"/>
        <v>0</v>
      </c>
      <c r="AM81" s="252">
        <f t="shared" si="69"/>
        <v>0</v>
      </c>
      <c r="AN81" s="252">
        <f t="shared" si="69"/>
        <v>0</v>
      </c>
      <c r="AO81" s="252">
        <f t="shared" si="69"/>
        <v>0</v>
      </c>
      <c r="AP81" s="252">
        <f t="shared" si="69"/>
        <v>0</v>
      </c>
      <c r="AQ81" s="252">
        <f t="shared" si="69"/>
        <v>0</v>
      </c>
      <c r="AR81" s="252">
        <f t="shared" si="69"/>
        <v>0</v>
      </c>
      <c r="AS81" s="252">
        <f t="shared" si="69"/>
        <v>0</v>
      </c>
      <c r="AT81" s="252">
        <f t="shared" si="69"/>
        <v>0</v>
      </c>
      <c r="AU81" s="252">
        <f t="shared" si="69"/>
        <v>0</v>
      </c>
      <c r="AV81" s="252">
        <f t="shared" si="69"/>
        <v>0</v>
      </c>
      <c r="AW81" s="252">
        <f t="shared" si="69"/>
        <v>0</v>
      </c>
      <c r="AX81" s="252">
        <f t="shared" si="69"/>
        <v>0</v>
      </c>
      <c r="AY81" s="252">
        <f t="shared" si="69"/>
        <v>0</v>
      </c>
      <c r="AZ81" s="252">
        <f t="shared" si="69"/>
        <v>0</v>
      </c>
      <c r="BA81" s="252">
        <f t="shared" si="69"/>
        <v>0</v>
      </c>
    </row>
    <row r="82" ht="15.75" customHeight="1">
      <c r="A82" s="823">
        <v>1963.0</v>
      </c>
      <c r="B82" s="32"/>
      <c r="C82" s="32"/>
      <c r="D82" s="32"/>
      <c r="E82" s="32"/>
      <c r="F82" s="32"/>
      <c r="G82" s="32"/>
      <c r="H82" s="32"/>
      <c r="I82" s="32"/>
      <c r="J82" s="32"/>
      <c r="K82" s="32"/>
      <c r="L82" s="32"/>
      <c r="M82" s="32"/>
      <c r="N82" s="32"/>
      <c r="O82" s="32"/>
      <c r="P82" s="32"/>
      <c r="Q82" s="32"/>
      <c r="R82" s="32"/>
      <c r="S82" s="32"/>
      <c r="T82" s="32"/>
      <c r="U82" s="32"/>
      <c r="V82" s="741">
        <v>0.0</v>
      </c>
      <c r="W82" s="252">
        <f t="shared" si="37"/>
        <v>0</v>
      </c>
      <c r="X82" s="252">
        <f t="shared" ref="X82:BA82" si="70">IF(AND(X$48-$A82&gt;$V$34,SUM($W82:W82)&lt;&gt;$V82),$V82,0)</f>
        <v>0</v>
      </c>
      <c r="Y82" s="252">
        <f t="shared" si="70"/>
        <v>0</v>
      </c>
      <c r="Z82" s="252">
        <f t="shared" si="70"/>
        <v>0</v>
      </c>
      <c r="AA82" s="252">
        <f t="shared" si="70"/>
        <v>0</v>
      </c>
      <c r="AB82" s="252">
        <f t="shared" si="70"/>
        <v>0</v>
      </c>
      <c r="AC82" s="252">
        <f t="shared" si="70"/>
        <v>0</v>
      </c>
      <c r="AD82" s="252">
        <f t="shared" si="70"/>
        <v>0</v>
      </c>
      <c r="AE82" s="252">
        <f t="shared" si="70"/>
        <v>0</v>
      </c>
      <c r="AF82" s="252">
        <f t="shared" si="70"/>
        <v>0</v>
      </c>
      <c r="AG82" s="252">
        <f t="shared" si="70"/>
        <v>0</v>
      </c>
      <c r="AH82" s="252">
        <f t="shared" si="70"/>
        <v>0</v>
      </c>
      <c r="AI82" s="252">
        <f t="shared" si="70"/>
        <v>0</v>
      </c>
      <c r="AJ82" s="252">
        <f t="shared" si="70"/>
        <v>0</v>
      </c>
      <c r="AK82" s="252">
        <f t="shared" si="70"/>
        <v>0</v>
      </c>
      <c r="AL82" s="252">
        <f t="shared" si="70"/>
        <v>0</v>
      </c>
      <c r="AM82" s="252">
        <f t="shared" si="70"/>
        <v>0</v>
      </c>
      <c r="AN82" s="252">
        <f t="shared" si="70"/>
        <v>0</v>
      </c>
      <c r="AO82" s="252">
        <f t="shared" si="70"/>
        <v>0</v>
      </c>
      <c r="AP82" s="252">
        <f t="shared" si="70"/>
        <v>0</v>
      </c>
      <c r="AQ82" s="252">
        <f t="shared" si="70"/>
        <v>0</v>
      </c>
      <c r="AR82" s="252">
        <f t="shared" si="70"/>
        <v>0</v>
      </c>
      <c r="AS82" s="252">
        <f t="shared" si="70"/>
        <v>0</v>
      </c>
      <c r="AT82" s="252">
        <f t="shared" si="70"/>
        <v>0</v>
      </c>
      <c r="AU82" s="252">
        <f t="shared" si="70"/>
        <v>0</v>
      </c>
      <c r="AV82" s="252">
        <f t="shared" si="70"/>
        <v>0</v>
      </c>
      <c r="AW82" s="252">
        <f t="shared" si="70"/>
        <v>0</v>
      </c>
      <c r="AX82" s="252">
        <f t="shared" si="70"/>
        <v>0</v>
      </c>
      <c r="AY82" s="252">
        <f t="shared" si="70"/>
        <v>0</v>
      </c>
      <c r="AZ82" s="252">
        <f t="shared" si="70"/>
        <v>0</v>
      </c>
      <c r="BA82" s="252">
        <f t="shared" si="70"/>
        <v>0</v>
      </c>
    </row>
    <row r="83" ht="15.75" customHeight="1">
      <c r="A83" s="823">
        <v>1964.0</v>
      </c>
      <c r="B83" s="32"/>
      <c r="C83" s="32"/>
      <c r="D83" s="32"/>
      <c r="E83" s="32"/>
      <c r="F83" s="32"/>
      <c r="G83" s="32"/>
      <c r="H83" s="32"/>
      <c r="I83" s="32"/>
      <c r="J83" s="32"/>
      <c r="K83" s="32"/>
      <c r="L83" s="32"/>
      <c r="M83" s="32"/>
      <c r="N83" s="32"/>
      <c r="O83" s="32"/>
      <c r="P83" s="32"/>
      <c r="Q83" s="32"/>
      <c r="R83" s="32"/>
      <c r="S83" s="32"/>
      <c r="T83" s="32"/>
      <c r="U83" s="32"/>
      <c r="V83" s="741">
        <v>0.0</v>
      </c>
      <c r="W83" s="252">
        <f t="shared" si="37"/>
        <v>0</v>
      </c>
      <c r="X83" s="252">
        <f t="shared" ref="X83:BA83" si="71">IF(AND(X$48-$A83&gt;$V$34,SUM($W83:W83)&lt;&gt;$V83),$V83,0)</f>
        <v>0</v>
      </c>
      <c r="Y83" s="252">
        <f t="shared" si="71"/>
        <v>0</v>
      </c>
      <c r="Z83" s="252">
        <f t="shared" si="71"/>
        <v>0</v>
      </c>
      <c r="AA83" s="252">
        <f t="shared" si="71"/>
        <v>0</v>
      </c>
      <c r="AB83" s="252">
        <f t="shared" si="71"/>
        <v>0</v>
      </c>
      <c r="AC83" s="252">
        <f t="shared" si="71"/>
        <v>0</v>
      </c>
      <c r="AD83" s="252">
        <f t="shared" si="71"/>
        <v>0</v>
      </c>
      <c r="AE83" s="252">
        <f t="shared" si="71"/>
        <v>0</v>
      </c>
      <c r="AF83" s="252">
        <f t="shared" si="71"/>
        <v>0</v>
      </c>
      <c r="AG83" s="252">
        <f t="shared" si="71"/>
        <v>0</v>
      </c>
      <c r="AH83" s="252">
        <f t="shared" si="71"/>
        <v>0</v>
      </c>
      <c r="AI83" s="252">
        <f t="shared" si="71"/>
        <v>0</v>
      </c>
      <c r="AJ83" s="252">
        <f t="shared" si="71"/>
        <v>0</v>
      </c>
      <c r="AK83" s="252">
        <f t="shared" si="71"/>
        <v>0</v>
      </c>
      <c r="AL83" s="252">
        <f t="shared" si="71"/>
        <v>0</v>
      </c>
      <c r="AM83" s="252">
        <f t="shared" si="71"/>
        <v>0</v>
      </c>
      <c r="AN83" s="252">
        <f t="shared" si="71"/>
        <v>0</v>
      </c>
      <c r="AO83" s="252">
        <f t="shared" si="71"/>
        <v>0</v>
      </c>
      <c r="AP83" s="252">
        <f t="shared" si="71"/>
        <v>0</v>
      </c>
      <c r="AQ83" s="252">
        <f t="shared" si="71"/>
        <v>0</v>
      </c>
      <c r="AR83" s="252">
        <f t="shared" si="71"/>
        <v>0</v>
      </c>
      <c r="AS83" s="252">
        <f t="shared" si="71"/>
        <v>0</v>
      </c>
      <c r="AT83" s="252">
        <f t="shared" si="71"/>
        <v>0</v>
      </c>
      <c r="AU83" s="252">
        <f t="shared" si="71"/>
        <v>0</v>
      </c>
      <c r="AV83" s="252">
        <f t="shared" si="71"/>
        <v>0</v>
      </c>
      <c r="AW83" s="252">
        <f t="shared" si="71"/>
        <v>0</v>
      </c>
      <c r="AX83" s="252">
        <f t="shared" si="71"/>
        <v>0</v>
      </c>
      <c r="AY83" s="252">
        <f t="shared" si="71"/>
        <v>0</v>
      </c>
      <c r="AZ83" s="252">
        <f t="shared" si="71"/>
        <v>0</v>
      </c>
      <c r="BA83" s="252">
        <f t="shared" si="71"/>
        <v>0</v>
      </c>
    </row>
    <row r="84" ht="15.75" customHeight="1">
      <c r="A84" s="823">
        <v>1965.0</v>
      </c>
      <c r="B84" s="32"/>
      <c r="C84" s="32"/>
      <c r="D84" s="32"/>
      <c r="E84" s="32"/>
      <c r="F84" s="32"/>
      <c r="G84" s="32"/>
      <c r="H84" s="32"/>
      <c r="I84" s="32"/>
      <c r="J84" s="32"/>
      <c r="K84" s="32"/>
      <c r="L84" s="32"/>
      <c r="M84" s="32"/>
      <c r="N84" s="32"/>
      <c r="O84" s="32"/>
      <c r="P84" s="32"/>
      <c r="Q84" s="32"/>
      <c r="R84" s="32"/>
      <c r="S84" s="32"/>
      <c r="T84" s="32"/>
      <c r="U84" s="32"/>
      <c r="V84" s="741">
        <v>0.0</v>
      </c>
      <c r="W84" s="252">
        <f t="shared" si="37"/>
        <v>0</v>
      </c>
      <c r="X84" s="252">
        <f t="shared" ref="X84:BA84" si="72">IF(AND(X$48-$A84&gt;$V$34,SUM($W84:W84)&lt;&gt;$V84),$V84,0)</f>
        <v>0</v>
      </c>
      <c r="Y84" s="252">
        <f t="shared" si="72"/>
        <v>0</v>
      </c>
      <c r="Z84" s="252">
        <f t="shared" si="72"/>
        <v>0</v>
      </c>
      <c r="AA84" s="252">
        <f t="shared" si="72"/>
        <v>0</v>
      </c>
      <c r="AB84" s="252">
        <f t="shared" si="72"/>
        <v>0</v>
      </c>
      <c r="AC84" s="252">
        <f t="shared" si="72"/>
        <v>0</v>
      </c>
      <c r="AD84" s="252">
        <f t="shared" si="72"/>
        <v>0</v>
      </c>
      <c r="AE84" s="252">
        <f t="shared" si="72"/>
        <v>0</v>
      </c>
      <c r="AF84" s="252">
        <f t="shared" si="72"/>
        <v>0</v>
      </c>
      <c r="AG84" s="252">
        <f t="shared" si="72"/>
        <v>0</v>
      </c>
      <c r="AH84" s="252">
        <f t="shared" si="72"/>
        <v>0</v>
      </c>
      <c r="AI84" s="252">
        <f t="shared" si="72"/>
        <v>0</v>
      </c>
      <c r="AJ84" s="252">
        <f t="shared" si="72"/>
        <v>0</v>
      </c>
      <c r="AK84" s="252">
        <f t="shared" si="72"/>
        <v>0</v>
      </c>
      <c r="AL84" s="252">
        <f t="shared" si="72"/>
        <v>0</v>
      </c>
      <c r="AM84" s="252">
        <f t="shared" si="72"/>
        <v>0</v>
      </c>
      <c r="AN84" s="252">
        <f t="shared" si="72"/>
        <v>0</v>
      </c>
      <c r="AO84" s="252">
        <f t="shared" si="72"/>
        <v>0</v>
      </c>
      <c r="AP84" s="252">
        <f t="shared" si="72"/>
        <v>0</v>
      </c>
      <c r="AQ84" s="252">
        <f t="shared" si="72"/>
        <v>0</v>
      </c>
      <c r="AR84" s="252">
        <f t="shared" si="72"/>
        <v>0</v>
      </c>
      <c r="AS84" s="252">
        <f t="shared" si="72"/>
        <v>0</v>
      </c>
      <c r="AT84" s="252">
        <f t="shared" si="72"/>
        <v>0</v>
      </c>
      <c r="AU84" s="252">
        <f t="shared" si="72"/>
        <v>0</v>
      </c>
      <c r="AV84" s="252">
        <f t="shared" si="72"/>
        <v>0</v>
      </c>
      <c r="AW84" s="252">
        <f t="shared" si="72"/>
        <v>0</v>
      </c>
      <c r="AX84" s="252">
        <f t="shared" si="72"/>
        <v>0</v>
      </c>
      <c r="AY84" s="252">
        <f t="shared" si="72"/>
        <v>0</v>
      </c>
      <c r="AZ84" s="252">
        <f t="shared" si="72"/>
        <v>0</v>
      </c>
      <c r="BA84" s="252">
        <f t="shared" si="72"/>
        <v>0</v>
      </c>
    </row>
    <row r="85" ht="15.75" customHeight="1">
      <c r="A85" s="823">
        <v>1966.0</v>
      </c>
      <c r="B85" s="32"/>
      <c r="C85" s="32"/>
      <c r="D85" s="32"/>
      <c r="E85" s="32"/>
      <c r="F85" s="32"/>
      <c r="G85" s="32"/>
      <c r="H85" s="32"/>
      <c r="I85" s="32"/>
      <c r="J85" s="32"/>
      <c r="K85" s="32"/>
      <c r="L85" s="32"/>
      <c r="M85" s="32"/>
      <c r="N85" s="32"/>
      <c r="O85" s="32"/>
      <c r="P85" s="32"/>
      <c r="Q85" s="32"/>
      <c r="R85" s="32"/>
      <c r="S85" s="32"/>
      <c r="T85" s="32"/>
      <c r="U85" s="32"/>
      <c r="V85" s="741">
        <v>0.0</v>
      </c>
      <c r="W85" s="252">
        <f t="shared" si="37"/>
        <v>0</v>
      </c>
      <c r="X85" s="252">
        <f t="shared" ref="X85:BA85" si="73">IF(AND(X$48-$A85&gt;$V$34,SUM($W85:W85)&lt;&gt;$V85),$V85,0)</f>
        <v>0</v>
      </c>
      <c r="Y85" s="252">
        <f t="shared" si="73"/>
        <v>0</v>
      </c>
      <c r="Z85" s="252">
        <f t="shared" si="73"/>
        <v>0</v>
      </c>
      <c r="AA85" s="252">
        <f t="shared" si="73"/>
        <v>0</v>
      </c>
      <c r="AB85" s="252">
        <f t="shared" si="73"/>
        <v>0</v>
      </c>
      <c r="AC85" s="252">
        <f t="shared" si="73"/>
        <v>0</v>
      </c>
      <c r="AD85" s="252">
        <f t="shared" si="73"/>
        <v>0</v>
      </c>
      <c r="AE85" s="252">
        <f t="shared" si="73"/>
        <v>0</v>
      </c>
      <c r="AF85" s="252">
        <f t="shared" si="73"/>
        <v>0</v>
      </c>
      <c r="AG85" s="252">
        <f t="shared" si="73"/>
        <v>0</v>
      </c>
      <c r="AH85" s="252">
        <f t="shared" si="73"/>
        <v>0</v>
      </c>
      <c r="AI85" s="252">
        <f t="shared" si="73"/>
        <v>0</v>
      </c>
      <c r="AJ85" s="252">
        <f t="shared" si="73"/>
        <v>0</v>
      </c>
      <c r="AK85" s="252">
        <f t="shared" si="73"/>
        <v>0</v>
      </c>
      <c r="AL85" s="252">
        <f t="shared" si="73"/>
        <v>0</v>
      </c>
      <c r="AM85" s="252">
        <f t="shared" si="73"/>
        <v>0</v>
      </c>
      <c r="AN85" s="252">
        <f t="shared" si="73"/>
        <v>0</v>
      </c>
      <c r="AO85" s="252">
        <f t="shared" si="73"/>
        <v>0</v>
      </c>
      <c r="AP85" s="252">
        <f t="shared" si="73"/>
        <v>0</v>
      </c>
      <c r="AQ85" s="252">
        <f t="shared" si="73"/>
        <v>0</v>
      </c>
      <c r="AR85" s="252">
        <f t="shared" si="73"/>
        <v>0</v>
      </c>
      <c r="AS85" s="252">
        <f t="shared" si="73"/>
        <v>0</v>
      </c>
      <c r="AT85" s="252">
        <f t="shared" si="73"/>
        <v>0</v>
      </c>
      <c r="AU85" s="252">
        <f t="shared" si="73"/>
        <v>0</v>
      </c>
      <c r="AV85" s="252">
        <f t="shared" si="73"/>
        <v>0</v>
      </c>
      <c r="AW85" s="252">
        <f t="shared" si="73"/>
        <v>0</v>
      </c>
      <c r="AX85" s="252">
        <f t="shared" si="73"/>
        <v>0</v>
      </c>
      <c r="AY85" s="252">
        <f t="shared" si="73"/>
        <v>0</v>
      </c>
      <c r="AZ85" s="252">
        <f t="shared" si="73"/>
        <v>0</v>
      </c>
      <c r="BA85" s="252">
        <f t="shared" si="73"/>
        <v>0</v>
      </c>
    </row>
    <row r="86" ht="15.75" customHeight="1">
      <c r="A86" s="823">
        <v>1967.0</v>
      </c>
      <c r="B86" s="32"/>
      <c r="C86" s="32"/>
      <c r="D86" s="32"/>
      <c r="E86" s="32"/>
      <c r="F86" s="32"/>
      <c r="G86" s="32"/>
      <c r="H86" s="32"/>
      <c r="I86" s="32"/>
      <c r="J86" s="32"/>
      <c r="K86" s="32"/>
      <c r="L86" s="32"/>
      <c r="M86" s="32"/>
      <c r="N86" s="32"/>
      <c r="O86" s="32"/>
      <c r="P86" s="32"/>
      <c r="Q86" s="32"/>
      <c r="R86" s="32"/>
      <c r="S86" s="32"/>
      <c r="T86" s="32"/>
      <c r="U86" s="32"/>
      <c r="V86" s="741">
        <v>0.0</v>
      </c>
      <c r="W86" s="252">
        <f t="shared" si="37"/>
        <v>0</v>
      </c>
      <c r="X86" s="252">
        <f t="shared" ref="X86:BA86" si="74">IF(AND(X$48-$A86&gt;$V$34,SUM($W86:W86)&lt;&gt;$V86),$V86,0)</f>
        <v>0</v>
      </c>
      <c r="Y86" s="252">
        <f t="shared" si="74"/>
        <v>0</v>
      </c>
      <c r="Z86" s="252">
        <f t="shared" si="74"/>
        <v>0</v>
      </c>
      <c r="AA86" s="252">
        <f t="shared" si="74"/>
        <v>0</v>
      </c>
      <c r="AB86" s="252">
        <f t="shared" si="74"/>
        <v>0</v>
      </c>
      <c r="AC86" s="252">
        <f t="shared" si="74"/>
        <v>0</v>
      </c>
      <c r="AD86" s="252">
        <f t="shared" si="74"/>
        <v>0</v>
      </c>
      <c r="AE86" s="252">
        <f t="shared" si="74"/>
        <v>0</v>
      </c>
      <c r="AF86" s="252">
        <f t="shared" si="74"/>
        <v>0</v>
      </c>
      <c r="AG86" s="252">
        <f t="shared" si="74"/>
        <v>0</v>
      </c>
      <c r="AH86" s="252">
        <f t="shared" si="74"/>
        <v>0</v>
      </c>
      <c r="AI86" s="252">
        <f t="shared" si="74"/>
        <v>0</v>
      </c>
      <c r="AJ86" s="252">
        <f t="shared" si="74"/>
        <v>0</v>
      </c>
      <c r="AK86" s="252">
        <f t="shared" si="74"/>
        <v>0</v>
      </c>
      <c r="AL86" s="252">
        <f t="shared" si="74"/>
        <v>0</v>
      </c>
      <c r="AM86" s="252">
        <f t="shared" si="74"/>
        <v>0</v>
      </c>
      <c r="AN86" s="252">
        <f t="shared" si="74"/>
        <v>0</v>
      </c>
      <c r="AO86" s="252">
        <f t="shared" si="74"/>
        <v>0</v>
      </c>
      <c r="AP86" s="252">
        <f t="shared" si="74"/>
        <v>0</v>
      </c>
      <c r="AQ86" s="252">
        <f t="shared" si="74"/>
        <v>0</v>
      </c>
      <c r="AR86" s="252">
        <f t="shared" si="74"/>
        <v>0</v>
      </c>
      <c r="AS86" s="252">
        <f t="shared" si="74"/>
        <v>0</v>
      </c>
      <c r="AT86" s="252">
        <f t="shared" si="74"/>
        <v>0</v>
      </c>
      <c r="AU86" s="252">
        <f t="shared" si="74"/>
        <v>0</v>
      </c>
      <c r="AV86" s="252">
        <f t="shared" si="74"/>
        <v>0</v>
      </c>
      <c r="AW86" s="252">
        <f t="shared" si="74"/>
        <v>0</v>
      </c>
      <c r="AX86" s="252">
        <f t="shared" si="74"/>
        <v>0</v>
      </c>
      <c r="AY86" s="252">
        <f t="shared" si="74"/>
        <v>0</v>
      </c>
      <c r="AZ86" s="252">
        <f t="shared" si="74"/>
        <v>0</v>
      </c>
      <c r="BA86" s="252">
        <f t="shared" si="74"/>
        <v>0</v>
      </c>
    </row>
    <row r="87" ht="15.75" customHeight="1">
      <c r="A87" s="823">
        <v>1968.0</v>
      </c>
      <c r="B87" s="32"/>
      <c r="C87" s="32"/>
      <c r="D87" s="32"/>
      <c r="E87" s="32"/>
      <c r="F87" s="32"/>
      <c r="G87" s="32"/>
      <c r="H87" s="32"/>
      <c r="I87" s="32"/>
      <c r="J87" s="32"/>
      <c r="K87" s="32"/>
      <c r="L87" s="32"/>
      <c r="M87" s="32"/>
      <c r="N87" s="32"/>
      <c r="O87" s="32"/>
      <c r="P87" s="32"/>
      <c r="Q87" s="32"/>
      <c r="R87" s="32"/>
      <c r="S87" s="32"/>
      <c r="T87" s="32"/>
      <c r="U87" s="32"/>
      <c r="V87" s="741">
        <v>0.0</v>
      </c>
      <c r="W87" s="252">
        <f t="shared" si="37"/>
        <v>0</v>
      </c>
      <c r="X87" s="252">
        <f t="shared" ref="X87:BA87" si="75">IF(AND(X$48-$A87&gt;$V$34,SUM($W87:W87)&lt;&gt;$V87),$V87,0)</f>
        <v>0</v>
      </c>
      <c r="Y87" s="252">
        <f t="shared" si="75"/>
        <v>0</v>
      </c>
      <c r="Z87" s="252">
        <f t="shared" si="75"/>
        <v>0</v>
      </c>
      <c r="AA87" s="252">
        <f t="shared" si="75"/>
        <v>0</v>
      </c>
      <c r="AB87" s="252">
        <f t="shared" si="75"/>
        <v>0</v>
      </c>
      <c r="AC87" s="252">
        <f t="shared" si="75"/>
        <v>0</v>
      </c>
      <c r="AD87" s="252">
        <f t="shared" si="75"/>
        <v>0</v>
      </c>
      <c r="AE87" s="252">
        <f t="shared" si="75"/>
        <v>0</v>
      </c>
      <c r="AF87" s="252">
        <f t="shared" si="75"/>
        <v>0</v>
      </c>
      <c r="AG87" s="252">
        <f t="shared" si="75"/>
        <v>0</v>
      </c>
      <c r="AH87" s="252">
        <f t="shared" si="75"/>
        <v>0</v>
      </c>
      <c r="AI87" s="252">
        <f t="shared" si="75"/>
        <v>0</v>
      </c>
      <c r="AJ87" s="252">
        <f t="shared" si="75"/>
        <v>0</v>
      </c>
      <c r="AK87" s="252">
        <f t="shared" si="75"/>
        <v>0</v>
      </c>
      <c r="AL87" s="252">
        <f t="shared" si="75"/>
        <v>0</v>
      </c>
      <c r="AM87" s="252">
        <f t="shared" si="75"/>
        <v>0</v>
      </c>
      <c r="AN87" s="252">
        <f t="shared" si="75"/>
        <v>0</v>
      </c>
      <c r="AO87" s="252">
        <f t="shared" si="75"/>
        <v>0</v>
      </c>
      <c r="AP87" s="252">
        <f t="shared" si="75"/>
        <v>0</v>
      </c>
      <c r="AQ87" s="252">
        <f t="shared" si="75"/>
        <v>0</v>
      </c>
      <c r="AR87" s="252">
        <f t="shared" si="75"/>
        <v>0</v>
      </c>
      <c r="AS87" s="252">
        <f t="shared" si="75"/>
        <v>0</v>
      </c>
      <c r="AT87" s="252">
        <f t="shared" si="75"/>
        <v>0</v>
      </c>
      <c r="AU87" s="252">
        <f t="shared" si="75"/>
        <v>0</v>
      </c>
      <c r="AV87" s="252">
        <f t="shared" si="75"/>
        <v>0</v>
      </c>
      <c r="AW87" s="252">
        <f t="shared" si="75"/>
        <v>0</v>
      </c>
      <c r="AX87" s="252">
        <f t="shared" si="75"/>
        <v>0</v>
      </c>
      <c r="AY87" s="252">
        <f t="shared" si="75"/>
        <v>0</v>
      </c>
      <c r="AZ87" s="252">
        <f t="shared" si="75"/>
        <v>0</v>
      </c>
      <c r="BA87" s="252">
        <f t="shared" si="75"/>
        <v>0</v>
      </c>
    </row>
    <row r="88" ht="15.75" customHeight="1">
      <c r="A88" s="823">
        <v>1969.0</v>
      </c>
      <c r="B88" s="32"/>
      <c r="C88" s="32"/>
      <c r="D88" s="32"/>
      <c r="E88" s="32"/>
      <c r="F88" s="32"/>
      <c r="G88" s="32"/>
      <c r="H88" s="32"/>
      <c r="I88" s="32"/>
      <c r="J88" s="32"/>
      <c r="K88" s="32"/>
      <c r="L88" s="32"/>
      <c r="M88" s="32"/>
      <c r="N88" s="32"/>
      <c r="O88" s="32"/>
      <c r="P88" s="32"/>
      <c r="Q88" s="32"/>
      <c r="R88" s="32"/>
      <c r="S88" s="32"/>
      <c r="T88" s="32"/>
      <c r="U88" s="32"/>
      <c r="V88" s="741">
        <v>0.0</v>
      </c>
      <c r="W88" s="252">
        <f t="shared" si="37"/>
        <v>0</v>
      </c>
      <c r="X88" s="252">
        <f t="shared" ref="X88:BA88" si="76">IF(AND(X$48-$A88&gt;$V$34,SUM($W88:W88)&lt;&gt;$V88),$V88,0)</f>
        <v>0</v>
      </c>
      <c r="Y88" s="252">
        <f t="shared" si="76"/>
        <v>0</v>
      </c>
      <c r="Z88" s="252">
        <f t="shared" si="76"/>
        <v>0</v>
      </c>
      <c r="AA88" s="252">
        <f t="shared" si="76"/>
        <v>0</v>
      </c>
      <c r="AB88" s="252">
        <f t="shared" si="76"/>
        <v>0</v>
      </c>
      <c r="AC88" s="252">
        <f t="shared" si="76"/>
        <v>0</v>
      </c>
      <c r="AD88" s="252">
        <f t="shared" si="76"/>
        <v>0</v>
      </c>
      <c r="AE88" s="252">
        <f t="shared" si="76"/>
        <v>0</v>
      </c>
      <c r="AF88" s="252">
        <f t="shared" si="76"/>
        <v>0</v>
      </c>
      <c r="AG88" s="252">
        <f t="shared" si="76"/>
        <v>0</v>
      </c>
      <c r="AH88" s="252">
        <f t="shared" si="76"/>
        <v>0</v>
      </c>
      <c r="AI88" s="252">
        <f t="shared" si="76"/>
        <v>0</v>
      </c>
      <c r="AJ88" s="252">
        <f t="shared" si="76"/>
        <v>0</v>
      </c>
      <c r="AK88" s="252">
        <f t="shared" si="76"/>
        <v>0</v>
      </c>
      <c r="AL88" s="252">
        <f t="shared" si="76"/>
        <v>0</v>
      </c>
      <c r="AM88" s="252">
        <f t="shared" si="76"/>
        <v>0</v>
      </c>
      <c r="AN88" s="252">
        <f t="shared" si="76"/>
        <v>0</v>
      </c>
      <c r="AO88" s="252">
        <f t="shared" si="76"/>
        <v>0</v>
      </c>
      <c r="AP88" s="252">
        <f t="shared" si="76"/>
        <v>0</v>
      </c>
      <c r="AQ88" s="252">
        <f t="shared" si="76"/>
        <v>0</v>
      </c>
      <c r="AR88" s="252">
        <f t="shared" si="76"/>
        <v>0</v>
      </c>
      <c r="AS88" s="252">
        <f t="shared" si="76"/>
        <v>0</v>
      </c>
      <c r="AT88" s="252">
        <f t="shared" si="76"/>
        <v>0</v>
      </c>
      <c r="AU88" s="252">
        <f t="shared" si="76"/>
        <v>0</v>
      </c>
      <c r="AV88" s="252">
        <f t="shared" si="76"/>
        <v>0</v>
      </c>
      <c r="AW88" s="252">
        <f t="shared" si="76"/>
        <v>0</v>
      </c>
      <c r="AX88" s="252">
        <f t="shared" si="76"/>
        <v>0</v>
      </c>
      <c r="AY88" s="252">
        <f t="shared" si="76"/>
        <v>0</v>
      </c>
      <c r="AZ88" s="252">
        <f t="shared" si="76"/>
        <v>0</v>
      </c>
      <c r="BA88" s="252">
        <f t="shared" si="76"/>
        <v>0</v>
      </c>
    </row>
    <row r="89" ht="15.75" customHeight="1">
      <c r="A89" s="823">
        <v>1970.0</v>
      </c>
      <c r="B89" s="32"/>
      <c r="C89" s="32"/>
      <c r="D89" s="32"/>
      <c r="E89" s="32"/>
      <c r="F89" s="32"/>
      <c r="G89" s="32"/>
      <c r="H89" s="32"/>
      <c r="I89" s="32"/>
      <c r="J89" s="32"/>
      <c r="K89" s="32"/>
      <c r="L89" s="32"/>
      <c r="M89" s="32"/>
      <c r="N89" s="32"/>
      <c r="O89" s="32"/>
      <c r="P89" s="32"/>
      <c r="Q89" s="32"/>
      <c r="R89" s="32"/>
      <c r="S89" s="32"/>
      <c r="T89" s="32"/>
      <c r="U89" s="32"/>
      <c r="V89" s="741">
        <v>0.0</v>
      </c>
      <c r="W89" s="252">
        <f t="shared" si="37"/>
        <v>0</v>
      </c>
      <c r="X89" s="252">
        <f t="shared" ref="X89:BA89" si="77">IF(AND(X$48-$A89&gt;$V$34,SUM($W89:W89)&lt;&gt;$V89),$V89,0)</f>
        <v>0</v>
      </c>
      <c r="Y89" s="252">
        <f t="shared" si="77"/>
        <v>0</v>
      </c>
      <c r="Z89" s="252">
        <f t="shared" si="77"/>
        <v>0</v>
      </c>
      <c r="AA89" s="252">
        <f t="shared" si="77"/>
        <v>0</v>
      </c>
      <c r="AB89" s="252">
        <f t="shared" si="77"/>
        <v>0</v>
      </c>
      <c r="AC89" s="252">
        <f t="shared" si="77"/>
        <v>0</v>
      </c>
      <c r="AD89" s="252">
        <f t="shared" si="77"/>
        <v>0</v>
      </c>
      <c r="AE89" s="252">
        <f t="shared" si="77"/>
        <v>0</v>
      </c>
      <c r="AF89" s="252">
        <f t="shared" si="77"/>
        <v>0</v>
      </c>
      <c r="AG89" s="252">
        <f t="shared" si="77"/>
        <v>0</v>
      </c>
      <c r="AH89" s="252">
        <f t="shared" si="77"/>
        <v>0</v>
      </c>
      <c r="AI89" s="252">
        <f t="shared" si="77"/>
        <v>0</v>
      </c>
      <c r="AJ89" s="252">
        <f t="shared" si="77"/>
        <v>0</v>
      </c>
      <c r="AK89" s="252">
        <f t="shared" si="77"/>
        <v>0</v>
      </c>
      <c r="AL89" s="252">
        <f t="shared" si="77"/>
        <v>0</v>
      </c>
      <c r="AM89" s="252">
        <f t="shared" si="77"/>
        <v>0</v>
      </c>
      <c r="AN89" s="252">
        <f t="shared" si="77"/>
        <v>0</v>
      </c>
      <c r="AO89" s="252">
        <f t="shared" si="77"/>
        <v>0</v>
      </c>
      <c r="AP89" s="252">
        <f t="shared" si="77"/>
        <v>0</v>
      </c>
      <c r="AQ89" s="252">
        <f t="shared" si="77"/>
        <v>0</v>
      </c>
      <c r="AR89" s="252">
        <f t="shared" si="77"/>
        <v>0</v>
      </c>
      <c r="AS89" s="252">
        <f t="shared" si="77"/>
        <v>0</v>
      </c>
      <c r="AT89" s="252">
        <f t="shared" si="77"/>
        <v>0</v>
      </c>
      <c r="AU89" s="252">
        <f t="shared" si="77"/>
        <v>0</v>
      </c>
      <c r="AV89" s="252">
        <f t="shared" si="77"/>
        <v>0</v>
      </c>
      <c r="AW89" s="252">
        <f t="shared" si="77"/>
        <v>0</v>
      </c>
      <c r="AX89" s="252">
        <f t="shared" si="77"/>
        <v>0</v>
      </c>
      <c r="AY89" s="252">
        <f t="shared" si="77"/>
        <v>0</v>
      </c>
      <c r="AZ89" s="252">
        <f t="shared" si="77"/>
        <v>0</v>
      </c>
      <c r="BA89" s="252">
        <f t="shared" si="77"/>
        <v>0</v>
      </c>
    </row>
    <row r="90" ht="15.75" customHeight="1">
      <c r="A90" s="823">
        <v>1971.0</v>
      </c>
      <c r="B90" s="32"/>
      <c r="C90" s="32"/>
      <c r="D90" s="32"/>
      <c r="E90" s="32"/>
      <c r="F90" s="32"/>
      <c r="G90" s="32"/>
      <c r="H90" s="32"/>
      <c r="I90" s="32"/>
      <c r="J90" s="32"/>
      <c r="K90" s="32"/>
      <c r="L90" s="32"/>
      <c r="M90" s="32"/>
      <c r="N90" s="32"/>
      <c r="O90" s="32"/>
      <c r="P90" s="32"/>
      <c r="Q90" s="32"/>
      <c r="R90" s="32"/>
      <c r="S90" s="32"/>
      <c r="T90" s="32"/>
      <c r="U90" s="32"/>
      <c r="V90" s="741">
        <v>0.0</v>
      </c>
      <c r="W90" s="252">
        <f t="shared" si="37"/>
        <v>0</v>
      </c>
      <c r="X90" s="252">
        <f t="shared" ref="X90:BA90" si="78">IF(AND(X$48-$A90&gt;$V$34,SUM($W90:W90)&lt;&gt;$V90),$V90,0)</f>
        <v>0</v>
      </c>
      <c r="Y90" s="252">
        <f t="shared" si="78"/>
        <v>0</v>
      </c>
      <c r="Z90" s="252">
        <f t="shared" si="78"/>
        <v>0</v>
      </c>
      <c r="AA90" s="252">
        <f t="shared" si="78"/>
        <v>0</v>
      </c>
      <c r="AB90" s="252">
        <f t="shared" si="78"/>
        <v>0</v>
      </c>
      <c r="AC90" s="252">
        <f t="shared" si="78"/>
        <v>0</v>
      </c>
      <c r="AD90" s="252">
        <f t="shared" si="78"/>
        <v>0</v>
      </c>
      <c r="AE90" s="252">
        <f t="shared" si="78"/>
        <v>0</v>
      </c>
      <c r="AF90" s="252">
        <f t="shared" si="78"/>
        <v>0</v>
      </c>
      <c r="AG90" s="252">
        <f t="shared" si="78"/>
        <v>0</v>
      </c>
      <c r="AH90" s="252">
        <f t="shared" si="78"/>
        <v>0</v>
      </c>
      <c r="AI90" s="252">
        <f t="shared" si="78"/>
        <v>0</v>
      </c>
      <c r="AJ90" s="252">
        <f t="shared" si="78"/>
        <v>0</v>
      </c>
      <c r="AK90" s="252">
        <f t="shared" si="78"/>
        <v>0</v>
      </c>
      <c r="AL90" s="252">
        <f t="shared" si="78"/>
        <v>0</v>
      </c>
      <c r="AM90" s="252">
        <f t="shared" si="78"/>
        <v>0</v>
      </c>
      <c r="AN90" s="252">
        <f t="shared" si="78"/>
        <v>0</v>
      </c>
      <c r="AO90" s="252">
        <f t="shared" si="78"/>
        <v>0</v>
      </c>
      <c r="AP90" s="252">
        <f t="shared" si="78"/>
        <v>0</v>
      </c>
      <c r="AQ90" s="252">
        <f t="shared" si="78"/>
        <v>0</v>
      </c>
      <c r="AR90" s="252">
        <f t="shared" si="78"/>
        <v>0</v>
      </c>
      <c r="AS90" s="252">
        <f t="shared" si="78"/>
        <v>0</v>
      </c>
      <c r="AT90" s="252">
        <f t="shared" si="78"/>
        <v>0</v>
      </c>
      <c r="AU90" s="252">
        <f t="shared" si="78"/>
        <v>0</v>
      </c>
      <c r="AV90" s="252">
        <f t="shared" si="78"/>
        <v>0</v>
      </c>
      <c r="AW90" s="252">
        <f t="shared" si="78"/>
        <v>0</v>
      </c>
      <c r="AX90" s="252">
        <f t="shared" si="78"/>
        <v>0</v>
      </c>
      <c r="AY90" s="252">
        <f t="shared" si="78"/>
        <v>0</v>
      </c>
      <c r="AZ90" s="252">
        <f t="shared" si="78"/>
        <v>0</v>
      </c>
      <c r="BA90" s="252">
        <f t="shared" si="78"/>
        <v>0</v>
      </c>
    </row>
    <row r="91" ht="15.75" customHeight="1">
      <c r="A91" s="823">
        <v>1972.0</v>
      </c>
      <c r="B91" s="32"/>
      <c r="C91" s="32"/>
      <c r="D91" s="32"/>
      <c r="E91" s="32"/>
      <c r="F91" s="32"/>
      <c r="G91" s="32"/>
      <c r="H91" s="32"/>
      <c r="I91" s="32"/>
      <c r="J91" s="32"/>
      <c r="K91" s="32"/>
      <c r="L91" s="32"/>
      <c r="M91" s="32"/>
      <c r="N91" s="32"/>
      <c r="O91" s="32"/>
      <c r="P91" s="32"/>
      <c r="Q91" s="32"/>
      <c r="R91" s="32"/>
      <c r="S91" s="32"/>
      <c r="T91" s="32"/>
      <c r="U91" s="32"/>
      <c r="V91" s="741">
        <v>0.0</v>
      </c>
      <c r="W91" s="252">
        <f t="shared" si="37"/>
        <v>0</v>
      </c>
      <c r="X91" s="252">
        <f t="shared" ref="X91:BA91" si="79">IF(AND(X$48-$A91&gt;$V$34,SUM($W91:W91)&lt;&gt;$V91),$V91,0)</f>
        <v>0</v>
      </c>
      <c r="Y91" s="252">
        <f t="shared" si="79"/>
        <v>0</v>
      </c>
      <c r="Z91" s="252">
        <f t="shared" si="79"/>
        <v>0</v>
      </c>
      <c r="AA91" s="252">
        <f t="shared" si="79"/>
        <v>0</v>
      </c>
      <c r="AB91" s="252">
        <f t="shared" si="79"/>
        <v>0</v>
      </c>
      <c r="AC91" s="252">
        <f t="shared" si="79"/>
        <v>0</v>
      </c>
      <c r="AD91" s="252">
        <f t="shared" si="79"/>
        <v>0</v>
      </c>
      <c r="AE91" s="252">
        <f t="shared" si="79"/>
        <v>0</v>
      </c>
      <c r="AF91" s="252">
        <f t="shared" si="79"/>
        <v>0</v>
      </c>
      <c r="AG91" s="252">
        <f t="shared" si="79"/>
        <v>0</v>
      </c>
      <c r="AH91" s="252">
        <f t="shared" si="79"/>
        <v>0</v>
      </c>
      <c r="AI91" s="252">
        <f t="shared" si="79"/>
        <v>0</v>
      </c>
      <c r="AJ91" s="252">
        <f t="shared" si="79"/>
        <v>0</v>
      </c>
      <c r="AK91" s="252">
        <f t="shared" si="79"/>
        <v>0</v>
      </c>
      <c r="AL91" s="252">
        <f t="shared" si="79"/>
        <v>0</v>
      </c>
      <c r="AM91" s="252">
        <f t="shared" si="79"/>
        <v>0</v>
      </c>
      <c r="AN91" s="252">
        <f t="shared" si="79"/>
        <v>0</v>
      </c>
      <c r="AO91" s="252">
        <f t="shared" si="79"/>
        <v>0</v>
      </c>
      <c r="AP91" s="252">
        <f t="shared" si="79"/>
        <v>0</v>
      </c>
      <c r="AQ91" s="252">
        <f t="shared" si="79"/>
        <v>0</v>
      </c>
      <c r="AR91" s="252">
        <f t="shared" si="79"/>
        <v>0</v>
      </c>
      <c r="AS91" s="252">
        <f t="shared" si="79"/>
        <v>0</v>
      </c>
      <c r="AT91" s="252">
        <f t="shared" si="79"/>
        <v>0</v>
      </c>
      <c r="AU91" s="252">
        <f t="shared" si="79"/>
        <v>0</v>
      </c>
      <c r="AV91" s="252">
        <f t="shared" si="79"/>
        <v>0</v>
      </c>
      <c r="AW91" s="252">
        <f t="shared" si="79"/>
        <v>0</v>
      </c>
      <c r="AX91" s="252">
        <f t="shared" si="79"/>
        <v>0</v>
      </c>
      <c r="AY91" s="252">
        <f t="shared" si="79"/>
        <v>0</v>
      </c>
      <c r="AZ91" s="252">
        <f t="shared" si="79"/>
        <v>0</v>
      </c>
      <c r="BA91" s="252">
        <f t="shared" si="79"/>
        <v>0</v>
      </c>
    </row>
    <row r="92" ht="15.75" customHeight="1">
      <c r="A92" s="823">
        <v>1973.0</v>
      </c>
      <c r="B92" s="32"/>
      <c r="C92" s="32"/>
      <c r="D92" s="32"/>
      <c r="E92" s="32"/>
      <c r="F92" s="32"/>
      <c r="G92" s="32"/>
      <c r="H92" s="32"/>
      <c r="I92" s="32"/>
      <c r="J92" s="32"/>
      <c r="K92" s="32"/>
      <c r="L92" s="32"/>
      <c r="M92" s="32"/>
      <c r="N92" s="32"/>
      <c r="O92" s="32"/>
      <c r="P92" s="32"/>
      <c r="Q92" s="32"/>
      <c r="R92" s="32"/>
      <c r="S92" s="32"/>
      <c r="T92" s="32"/>
      <c r="U92" s="32"/>
      <c r="V92" s="741">
        <v>0.0</v>
      </c>
      <c r="W92" s="252">
        <f t="shared" si="37"/>
        <v>0</v>
      </c>
      <c r="X92" s="252">
        <f t="shared" ref="X92:BA92" si="80">IF(AND(X$48-$A92&gt;$V$34,SUM($W92:W92)&lt;&gt;$V92),$V92,0)</f>
        <v>0</v>
      </c>
      <c r="Y92" s="252">
        <f t="shared" si="80"/>
        <v>0</v>
      </c>
      <c r="Z92" s="252">
        <f t="shared" si="80"/>
        <v>0</v>
      </c>
      <c r="AA92" s="252">
        <f t="shared" si="80"/>
        <v>0</v>
      </c>
      <c r="AB92" s="252">
        <f t="shared" si="80"/>
        <v>0</v>
      </c>
      <c r="AC92" s="252">
        <f t="shared" si="80"/>
        <v>0</v>
      </c>
      <c r="AD92" s="252">
        <f t="shared" si="80"/>
        <v>0</v>
      </c>
      <c r="AE92" s="252">
        <f t="shared" si="80"/>
        <v>0</v>
      </c>
      <c r="AF92" s="252">
        <f t="shared" si="80"/>
        <v>0</v>
      </c>
      <c r="AG92" s="252">
        <f t="shared" si="80"/>
        <v>0</v>
      </c>
      <c r="AH92" s="252">
        <f t="shared" si="80"/>
        <v>0</v>
      </c>
      <c r="AI92" s="252">
        <f t="shared" si="80"/>
        <v>0</v>
      </c>
      <c r="AJ92" s="252">
        <f t="shared" si="80"/>
        <v>0</v>
      </c>
      <c r="AK92" s="252">
        <f t="shared" si="80"/>
        <v>0</v>
      </c>
      <c r="AL92" s="252">
        <f t="shared" si="80"/>
        <v>0</v>
      </c>
      <c r="AM92" s="252">
        <f t="shared" si="80"/>
        <v>0</v>
      </c>
      <c r="AN92" s="252">
        <f t="shared" si="80"/>
        <v>0</v>
      </c>
      <c r="AO92" s="252">
        <f t="shared" si="80"/>
        <v>0</v>
      </c>
      <c r="AP92" s="252">
        <f t="shared" si="80"/>
        <v>0</v>
      </c>
      <c r="AQ92" s="252">
        <f t="shared" si="80"/>
        <v>0</v>
      </c>
      <c r="AR92" s="252">
        <f t="shared" si="80"/>
        <v>0</v>
      </c>
      <c r="AS92" s="252">
        <f t="shared" si="80"/>
        <v>0</v>
      </c>
      <c r="AT92" s="252">
        <f t="shared" si="80"/>
        <v>0</v>
      </c>
      <c r="AU92" s="252">
        <f t="shared" si="80"/>
        <v>0</v>
      </c>
      <c r="AV92" s="252">
        <f t="shared" si="80"/>
        <v>0</v>
      </c>
      <c r="AW92" s="252">
        <f t="shared" si="80"/>
        <v>0</v>
      </c>
      <c r="AX92" s="252">
        <f t="shared" si="80"/>
        <v>0</v>
      </c>
      <c r="AY92" s="252">
        <f t="shared" si="80"/>
        <v>0</v>
      </c>
      <c r="AZ92" s="252">
        <f t="shared" si="80"/>
        <v>0</v>
      </c>
      <c r="BA92" s="252">
        <f t="shared" si="80"/>
        <v>0</v>
      </c>
    </row>
    <row r="93" ht="15.75" customHeight="1">
      <c r="A93" s="823">
        <v>1974.0</v>
      </c>
      <c r="B93" s="32"/>
      <c r="C93" s="32"/>
      <c r="D93" s="32"/>
      <c r="E93" s="32"/>
      <c r="F93" s="32"/>
      <c r="G93" s="32"/>
      <c r="H93" s="32"/>
      <c r="I93" s="32"/>
      <c r="J93" s="32"/>
      <c r="K93" s="32"/>
      <c r="L93" s="32"/>
      <c r="M93" s="32"/>
      <c r="N93" s="32"/>
      <c r="O93" s="32"/>
      <c r="P93" s="32"/>
      <c r="Q93" s="32"/>
      <c r="R93" s="32"/>
      <c r="S93" s="32"/>
      <c r="T93" s="32"/>
      <c r="U93" s="32"/>
      <c r="V93" s="741">
        <v>0.0</v>
      </c>
      <c r="W93" s="252">
        <f t="shared" si="37"/>
        <v>0</v>
      </c>
      <c r="X93" s="252">
        <f t="shared" ref="X93:BA93" si="81">IF(AND(X$48-$A93&gt;$V$34,SUM($W93:W93)&lt;&gt;$V93),$V93,0)</f>
        <v>0</v>
      </c>
      <c r="Y93" s="252">
        <f t="shared" si="81"/>
        <v>0</v>
      </c>
      <c r="Z93" s="252">
        <f t="shared" si="81"/>
        <v>0</v>
      </c>
      <c r="AA93" s="252">
        <f t="shared" si="81"/>
        <v>0</v>
      </c>
      <c r="AB93" s="252">
        <f t="shared" si="81"/>
        <v>0</v>
      </c>
      <c r="AC93" s="252">
        <f t="shared" si="81"/>
        <v>0</v>
      </c>
      <c r="AD93" s="252">
        <f t="shared" si="81"/>
        <v>0</v>
      </c>
      <c r="AE93" s="252">
        <f t="shared" si="81"/>
        <v>0</v>
      </c>
      <c r="AF93" s="252">
        <f t="shared" si="81"/>
        <v>0</v>
      </c>
      <c r="AG93" s="252">
        <f t="shared" si="81"/>
        <v>0</v>
      </c>
      <c r="AH93" s="252">
        <f t="shared" si="81"/>
        <v>0</v>
      </c>
      <c r="AI93" s="252">
        <f t="shared" si="81"/>
        <v>0</v>
      </c>
      <c r="AJ93" s="252">
        <f t="shared" si="81"/>
        <v>0</v>
      </c>
      <c r="AK93" s="252">
        <f t="shared" si="81"/>
        <v>0</v>
      </c>
      <c r="AL93" s="252">
        <f t="shared" si="81"/>
        <v>0</v>
      </c>
      <c r="AM93" s="252">
        <f t="shared" si="81"/>
        <v>0</v>
      </c>
      <c r="AN93" s="252">
        <f t="shared" si="81"/>
        <v>0</v>
      </c>
      <c r="AO93" s="252">
        <f t="shared" si="81"/>
        <v>0</v>
      </c>
      <c r="AP93" s="252">
        <f t="shared" si="81"/>
        <v>0</v>
      </c>
      <c r="AQ93" s="252">
        <f t="shared" si="81"/>
        <v>0</v>
      </c>
      <c r="AR93" s="252">
        <f t="shared" si="81"/>
        <v>0</v>
      </c>
      <c r="AS93" s="252">
        <f t="shared" si="81"/>
        <v>0</v>
      </c>
      <c r="AT93" s="252">
        <f t="shared" si="81"/>
        <v>0</v>
      </c>
      <c r="AU93" s="252">
        <f t="shared" si="81"/>
        <v>0</v>
      </c>
      <c r="AV93" s="252">
        <f t="shared" si="81"/>
        <v>0</v>
      </c>
      <c r="AW93" s="252">
        <f t="shared" si="81"/>
        <v>0</v>
      </c>
      <c r="AX93" s="252">
        <f t="shared" si="81"/>
        <v>0</v>
      </c>
      <c r="AY93" s="252">
        <f t="shared" si="81"/>
        <v>0</v>
      </c>
      <c r="AZ93" s="252">
        <f t="shared" si="81"/>
        <v>0</v>
      </c>
      <c r="BA93" s="252">
        <f t="shared" si="81"/>
        <v>0</v>
      </c>
    </row>
    <row r="94" ht="15.75" customHeight="1">
      <c r="A94" s="823">
        <v>1975.0</v>
      </c>
      <c r="B94" s="32"/>
      <c r="C94" s="32"/>
      <c r="D94" s="32"/>
      <c r="E94" s="32"/>
      <c r="F94" s="32"/>
      <c r="G94" s="32"/>
      <c r="H94" s="32"/>
      <c r="I94" s="32"/>
      <c r="J94" s="32"/>
      <c r="K94" s="32"/>
      <c r="L94" s="32"/>
      <c r="M94" s="32"/>
      <c r="N94" s="32"/>
      <c r="O94" s="32"/>
      <c r="P94" s="32"/>
      <c r="Q94" s="32"/>
      <c r="R94" s="32"/>
      <c r="S94" s="32"/>
      <c r="T94" s="32"/>
      <c r="U94" s="32"/>
      <c r="V94" s="741">
        <v>0.0</v>
      </c>
      <c r="W94" s="252">
        <f t="shared" si="37"/>
        <v>0</v>
      </c>
      <c r="X94" s="252">
        <f t="shared" ref="X94:BA94" si="82">IF(AND(X$48-$A94&gt;$V$34,SUM($W94:W94)&lt;&gt;$V94),$V94,0)</f>
        <v>0</v>
      </c>
      <c r="Y94" s="252">
        <f t="shared" si="82"/>
        <v>0</v>
      </c>
      <c r="Z94" s="252">
        <f t="shared" si="82"/>
        <v>0</v>
      </c>
      <c r="AA94" s="252">
        <f t="shared" si="82"/>
        <v>0</v>
      </c>
      <c r="AB94" s="252">
        <f t="shared" si="82"/>
        <v>0</v>
      </c>
      <c r="AC94" s="252">
        <f t="shared" si="82"/>
        <v>0</v>
      </c>
      <c r="AD94" s="252">
        <f t="shared" si="82"/>
        <v>0</v>
      </c>
      <c r="AE94" s="252">
        <f t="shared" si="82"/>
        <v>0</v>
      </c>
      <c r="AF94" s="252">
        <f t="shared" si="82"/>
        <v>0</v>
      </c>
      <c r="AG94" s="252">
        <f t="shared" si="82"/>
        <v>0</v>
      </c>
      <c r="AH94" s="252">
        <f t="shared" si="82"/>
        <v>0</v>
      </c>
      <c r="AI94" s="252">
        <f t="shared" si="82"/>
        <v>0</v>
      </c>
      <c r="AJ94" s="252">
        <f t="shared" si="82"/>
        <v>0</v>
      </c>
      <c r="AK94" s="252">
        <f t="shared" si="82"/>
        <v>0</v>
      </c>
      <c r="AL94" s="252">
        <f t="shared" si="82"/>
        <v>0</v>
      </c>
      <c r="AM94" s="252">
        <f t="shared" si="82"/>
        <v>0</v>
      </c>
      <c r="AN94" s="252">
        <f t="shared" si="82"/>
        <v>0</v>
      </c>
      <c r="AO94" s="252">
        <f t="shared" si="82"/>
        <v>0</v>
      </c>
      <c r="AP94" s="252">
        <f t="shared" si="82"/>
        <v>0</v>
      </c>
      <c r="AQ94" s="252">
        <f t="shared" si="82"/>
        <v>0</v>
      </c>
      <c r="AR94" s="252">
        <f t="shared" si="82"/>
        <v>0</v>
      </c>
      <c r="AS94" s="252">
        <f t="shared" si="82"/>
        <v>0</v>
      </c>
      <c r="AT94" s="252">
        <f t="shared" si="82"/>
        <v>0</v>
      </c>
      <c r="AU94" s="252">
        <f t="shared" si="82"/>
        <v>0</v>
      </c>
      <c r="AV94" s="252">
        <f t="shared" si="82"/>
        <v>0</v>
      </c>
      <c r="AW94" s="252">
        <f t="shared" si="82"/>
        <v>0</v>
      </c>
      <c r="AX94" s="252">
        <f t="shared" si="82"/>
        <v>0</v>
      </c>
      <c r="AY94" s="252">
        <f t="shared" si="82"/>
        <v>0</v>
      </c>
      <c r="AZ94" s="252">
        <f t="shared" si="82"/>
        <v>0</v>
      </c>
      <c r="BA94" s="252">
        <f t="shared" si="82"/>
        <v>0</v>
      </c>
    </row>
    <row r="95" ht="15.75" customHeight="1">
      <c r="A95" s="823">
        <v>1976.0</v>
      </c>
      <c r="B95" s="32"/>
      <c r="C95" s="32"/>
      <c r="D95" s="32"/>
      <c r="E95" s="32"/>
      <c r="F95" s="32"/>
      <c r="G95" s="32"/>
      <c r="H95" s="32"/>
      <c r="I95" s="32"/>
      <c r="J95" s="32"/>
      <c r="K95" s="32"/>
      <c r="L95" s="32"/>
      <c r="M95" s="32"/>
      <c r="N95" s="32"/>
      <c r="O95" s="32"/>
      <c r="P95" s="32"/>
      <c r="Q95" s="32"/>
      <c r="R95" s="32"/>
      <c r="S95" s="32"/>
      <c r="T95" s="32"/>
      <c r="U95" s="32"/>
      <c r="V95" s="741">
        <v>0.0</v>
      </c>
      <c r="W95" s="252">
        <f t="shared" si="37"/>
        <v>0</v>
      </c>
      <c r="X95" s="252">
        <f t="shared" ref="X95:BA95" si="83">IF(AND(X$48-$A95&gt;$V$34,SUM($W95:W95)&lt;&gt;$V95),$V95,0)</f>
        <v>0</v>
      </c>
      <c r="Y95" s="252">
        <f t="shared" si="83"/>
        <v>0</v>
      </c>
      <c r="Z95" s="252">
        <f t="shared" si="83"/>
        <v>0</v>
      </c>
      <c r="AA95" s="252">
        <f t="shared" si="83"/>
        <v>0</v>
      </c>
      <c r="AB95" s="252">
        <f t="shared" si="83"/>
        <v>0</v>
      </c>
      <c r="AC95" s="252">
        <f t="shared" si="83"/>
        <v>0</v>
      </c>
      <c r="AD95" s="252">
        <f t="shared" si="83"/>
        <v>0</v>
      </c>
      <c r="AE95" s="252">
        <f t="shared" si="83"/>
        <v>0</v>
      </c>
      <c r="AF95" s="252">
        <f t="shared" si="83"/>
        <v>0</v>
      </c>
      <c r="AG95" s="252">
        <f t="shared" si="83"/>
        <v>0</v>
      </c>
      <c r="AH95" s="252">
        <f t="shared" si="83"/>
        <v>0</v>
      </c>
      <c r="AI95" s="252">
        <f t="shared" si="83"/>
        <v>0</v>
      </c>
      <c r="AJ95" s="252">
        <f t="shared" si="83"/>
        <v>0</v>
      </c>
      <c r="AK95" s="252">
        <f t="shared" si="83"/>
        <v>0</v>
      </c>
      <c r="AL95" s="252">
        <f t="shared" si="83"/>
        <v>0</v>
      </c>
      <c r="AM95" s="252">
        <f t="shared" si="83"/>
        <v>0</v>
      </c>
      <c r="AN95" s="252">
        <f t="shared" si="83"/>
        <v>0</v>
      </c>
      <c r="AO95" s="252">
        <f t="shared" si="83"/>
        <v>0</v>
      </c>
      <c r="AP95" s="252">
        <f t="shared" si="83"/>
        <v>0</v>
      </c>
      <c r="AQ95" s="252">
        <f t="shared" si="83"/>
        <v>0</v>
      </c>
      <c r="AR95" s="252">
        <f t="shared" si="83"/>
        <v>0</v>
      </c>
      <c r="AS95" s="252">
        <f t="shared" si="83"/>
        <v>0</v>
      </c>
      <c r="AT95" s="252">
        <f t="shared" si="83"/>
        <v>0</v>
      </c>
      <c r="AU95" s="252">
        <f t="shared" si="83"/>
        <v>0</v>
      </c>
      <c r="AV95" s="252">
        <f t="shared" si="83"/>
        <v>0</v>
      </c>
      <c r="AW95" s="252">
        <f t="shared" si="83"/>
        <v>0</v>
      </c>
      <c r="AX95" s="252">
        <f t="shared" si="83"/>
        <v>0</v>
      </c>
      <c r="AY95" s="252">
        <f t="shared" si="83"/>
        <v>0</v>
      </c>
      <c r="AZ95" s="252">
        <f t="shared" si="83"/>
        <v>0</v>
      </c>
      <c r="BA95" s="252">
        <f t="shared" si="83"/>
        <v>0</v>
      </c>
    </row>
    <row r="96" ht="15.75" customHeight="1">
      <c r="A96" s="823">
        <v>1977.0</v>
      </c>
      <c r="B96" s="32"/>
      <c r="C96" s="32"/>
      <c r="D96" s="32"/>
      <c r="E96" s="32"/>
      <c r="F96" s="32"/>
      <c r="G96" s="32"/>
      <c r="H96" s="32"/>
      <c r="I96" s="32"/>
      <c r="J96" s="32"/>
      <c r="K96" s="32"/>
      <c r="L96" s="32"/>
      <c r="M96" s="32"/>
      <c r="N96" s="32"/>
      <c r="O96" s="32"/>
      <c r="P96" s="32"/>
      <c r="Q96" s="32"/>
      <c r="R96" s="32"/>
      <c r="S96" s="32"/>
      <c r="T96" s="32"/>
      <c r="U96" s="32"/>
      <c r="V96" s="741">
        <v>0.0</v>
      </c>
      <c r="W96" s="252">
        <f t="shared" si="37"/>
        <v>0</v>
      </c>
      <c r="X96" s="252">
        <f t="shared" ref="X96:BA96" si="84">IF(AND(X$48-$A96&gt;$V$34,SUM($W96:W96)&lt;&gt;$V96),$V96,0)</f>
        <v>0</v>
      </c>
      <c r="Y96" s="252">
        <f t="shared" si="84"/>
        <v>0</v>
      </c>
      <c r="Z96" s="252">
        <f t="shared" si="84"/>
        <v>0</v>
      </c>
      <c r="AA96" s="252">
        <f t="shared" si="84"/>
        <v>0</v>
      </c>
      <c r="AB96" s="252">
        <f t="shared" si="84"/>
        <v>0</v>
      </c>
      <c r="AC96" s="252">
        <f t="shared" si="84"/>
        <v>0</v>
      </c>
      <c r="AD96" s="252">
        <f t="shared" si="84"/>
        <v>0</v>
      </c>
      <c r="AE96" s="252">
        <f t="shared" si="84"/>
        <v>0</v>
      </c>
      <c r="AF96" s="252">
        <f t="shared" si="84"/>
        <v>0</v>
      </c>
      <c r="AG96" s="252">
        <f t="shared" si="84"/>
        <v>0</v>
      </c>
      <c r="AH96" s="252">
        <f t="shared" si="84"/>
        <v>0</v>
      </c>
      <c r="AI96" s="252">
        <f t="shared" si="84"/>
        <v>0</v>
      </c>
      <c r="AJ96" s="252">
        <f t="shared" si="84"/>
        <v>0</v>
      </c>
      <c r="AK96" s="252">
        <f t="shared" si="84"/>
        <v>0</v>
      </c>
      <c r="AL96" s="252">
        <f t="shared" si="84"/>
        <v>0</v>
      </c>
      <c r="AM96" s="252">
        <f t="shared" si="84"/>
        <v>0</v>
      </c>
      <c r="AN96" s="252">
        <f t="shared" si="84"/>
        <v>0</v>
      </c>
      <c r="AO96" s="252">
        <f t="shared" si="84"/>
        <v>0</v>
      </c>
      <c r="AP96" s="252">
        <f t="shared" si="84"/>
        <v>0</v>
      </c>
      <c r="AQ96" s="252">
        <f t="shared" si="84"/>
        <v>0</v>
      </c>
      <c r="AR96" s="252">
        <f t="shared" si="84"/>
        <v>0</v>
      </c>
      <c r="AS96" s="252">
        <f t="shared" si="84"/>
        <v>0</v>
      </c>
      <c r="AT96" s="252">
        <f t="shared" si="84"/>
        <v>0</v>
      </c>
      <c r="AU96" s="252">
        <f t="shared" si="84"/>
        <v>0</v>
      </c>
      <c r="AV96" s="252">
        <f t="shared" si="84"/>
        <v>0</v>
      </c>
      <c r="AW96" s="252">
        <f t="shared" si="84"/>
        <v>0</v>
      </c>
      <c r="AX96" s="252">
        <f t="shared" si="84"/>
        <v>0</v>
      </c>
      <c r="AY96" s="252">
        <f t="shared" si="84"/>
        <v>0</v>
      </c>
      <c r="AZ96" s="252">
        <f t="shared" si="84"/>
        <v>0</v>
      </c>
      <c r="BA96" s="252">
        <f t="shared" si="84"/>
        <v>0</v>
      </c>
    </row>
    <row r="97" ht="15.75" customHeight="1">
      <c r="A97" s="823">
        <v>1978.0</v>
      </c>
      <c r="B97" s="32"/>
      <c r="C97" s="32"/>
      <c r="D97" s="32"/>
      <c r="E97" s="32"/>
      <c r="F97" s="32"/>
      <c r="G97" s="32"/>
      <c r="H97" s="32"/>
      <c r="I97" s="32"/>
      <c r="J97" s="32"/>
      <c r="K97" s="32"/>
      <c r="L97" s="32"/>
      <c r="M97" s="32"/>
      <c r="N97" s="32"/>
      <c r="O97" s="32"/>
      <c r="P97" s="32"/>
      <c r="Q97" s="32"/>
      <c r="R97" s="32"/>
      <c r="S97" s="32"/>
      <c r="T97" s="32"/>
      <c r="U97" s="32"/>
      <c r="V97" s="741">
        <v>0.0</v>
      </c>
      <c r="W97" s="252">
        <f t="shared" si="37"/>
        <v>0</v>
      </c>
      <c r="X97" s="252">
        <f t="shared" ref="X97:BA97" si="85">IF(AND(X$48-$A97&gt;$V$34,SUM($W97:W97)&lt;&gt;$V97),$V97,0)</f>
        <v>0</v>
      </c>
      <c r="Y97" s="252">
        <f t="shared" si="85"/>
        <v>0</v>
      </c>
      <c r="Z97" s="252">
        <f t="shared" si="85"/>
        <v>0</v>
      </c>
      <c r="AA97" s="252">
        <f t="shared" si="85"/>
        <v>0</v>
      </c>
      <c r="AB97" s="252">
        <f t="shared" si="85"/>
        <v>0</v>
      </c>
      <c r="AC97" s="252">
        <f t="shared" si="85"/>
        <v>0</v>
      </c>
      <c r="AD97" s="252">
        <f t="shared" si="85"/>
        <v>0</v>
      </c>
      <c r="AE97" s="252">
        <f t="shared" si="85"/>
        <v>0</v>
      </c>
      <c r="AF97" s="252">
        <f t="shared" si="85"/>
        <v>0</v>
      </c>
      <c r="AG97" s="252">
        <f t="shared" si="85"/>
        <v>0</v>
      </c>
      <c r="AH97" s="252">
        <f t="shared" si="85"/>
        <v>0</v>
      </c>
      <c r="AI97" s="252">
        <f t="shared" si="85"/>
        <v>0</v>
      </c>
      <c r="AJ97" s="252">
        <f t="shared" si="85"/>
        <v>0</v>
      </c>
      <c r="AK97" s="252">
        <f t="shared" si="85"/>
        <v>0</v>
      </c>
      <c r="AL97" s="252">
        <f t="shared" si="85"/>
        <v>0</v>
      </c>
      <c r="AM97" s="252">
        <f t="shared" si="85"/>
        <v>0</v>
      </c>
      <c r="AN97" s="252">
        <f t="shared" si="85"/>
        <v>0</v>
      </c>
      <c r="AO97" s="252">
        <f t="shared" si="85"/>
        <v>0</v>
      </c>
      <c r="AP97" s="252">
        <f t="shared" si="85"/>
        <v>0</v>
      </c>
      <c r="AQ97" s="252">
        <f t="shared" si="85"/>
        <v>0</v>
      </c>
      <c r="AR97" s="252">
        <f t="shared" si="85"/>
        <v>0</v>
      </c>
      <c r="AS97" s="252">
        <f t="shared" si="85"/>
        <v>0</v>
      </c>
      <c r="AT97" s="252">
        <f t="shared" si="85"/>
        <v>0</v>
      </c>
      <c r="AU97" s="252">
        <f t="shared" si="85"/>
        <v>0</v>
      </c>
      <c r="AV97" s="252">
        <f t="shared" si="85"/>
        <v>0</v>
      </c>
      <c r="AW97" s="252">
        <f t="shared" si="85"/>
        <v>0</v>
      </c>
      <c r="AX97" s="252">
        <f t="shared" si="85"/>
        <v>0</v>
      </c>
      <c r="AY97" s="252">
        <f t="shared" si="85"/>
        <v>0</v>
      </c>
      <c r="AZ97" s="252">
        <f t="shared" si="85"/>
        <v>0</v>
      </c>
      <c r="BA97" s="252">
        <f t="shared" si="85"/>
        <v>0</v>
      </c>
    </row>
    <row r="98" ht="15.75" customHeight="1">
      <c r="A98" s="823">
        <v>1979.0</v>
      </c>
      <c r="B98" s="32"/>
      <c r="C98" s="32"/>
      <c r="D98" s="32"/>
      <c r="E98" s="32"/>
      <c r="F98" s="32"/>
      <c r="G98" s="32"/>
      <c r="H98" s="32"/>
      <c r="I98" s="32"/>
      <c r="J98" s="32"/>
      <c r="K98" s="32"/>
      <c r="L98" s="32"/>
      <c r="M98" s="32"/>
      <c r="N98" s="32"/>
      <c r="O98" s="32"/>
      <c r="P98" s="32"/>
      <c r="Q98" s="32"/>
      <c r="R98" s="32"/>
      <c r="S98" s="32"/>
      <c r="T98" s="32"/>
      <c r="U98" s="32"/>
      <c r="V98" s="741">
        <v>0.0</v>
      </c>
      <c r="W98" s="252">
        <f t="shared" si="37"/>
        <v>0</v>
      </c>
      <c r="X98" s="252">
        <f t="shared" ref="X98:BA98" si="86">IF(AND(X$48-$A98&gt;$V$34,SUM($W98:W98)&lt;&gt;$V98),$V98,0)</f>
        <v>0</v>
      </c>
      <c r="Y98" s="252">
        <f t="shared" si="86"/>
        <v>0</v>
      </c>
      <c r="Z98" s="252">
        <f t="shared" si="86"/>
        <v>0</v>
      </c>
      <c r="AA98" s="252">
        <f t="shared" si="86"/>
        <v>0</v>
      </c>
      <c r="AB98" s="252">
        <f t="shared" si="86"/>
        <v>0</v>
      </c>
      <c r="AC98" s="252">
        <f t="shared" si="86"/>
        <v>0</v>
      </c>
      <c r="AD98" s="252">
        <f t="shared" si="86"/>
        <v>0</v>
      </c>
      <c r="AE98" s="252">
        <f t="shared" si="86"/>
        <v>0</v>
      </c>
      <c r="AF98" s="252">
        <f t="shared" si="86"/>
        <v>0</v>
      </c>
      <c r="AG98" s="252">
        <f t="shared" si="86"/>
        <v>0</v>
      </c>
      <c r="AH98" s="252">
        <f t="shared" si="86"/>
        <v>0</v>
      </c>
      <c r="AI98" s="252">
        <f t="shared" si="86"/>
        <v>0</v>
      </c>
      <c r="AJ98" s="252">
        <f t="shared" si="86"/>
        <v>0</v>
      </c>
      <c r="AK98" s="252">
        <f t="shared" si="86"/>
        <v>0</v>
      </c>
      <c r="AL98" s="252">
        <f t="shared" si="86"/>
        <v>0</v>
      </c>
      <c r="AM98" s="252">
        <f t="shared" si="86"/>
        <v>0</v>
      </c>
      <c r="AN98" s="252">
        <f t="shared" si="86"/>
        <v>0</v>
      </c>
      <c r="AO98" s="252">
        <f t="shared" si="86"/>
        <v>0</v>
      </c>
      <c r="AP98" s="252">
        <f t="shared" si="86"/>
        <v>0</v>
      </c>
      <c r="AQ98" s="252">
        <f t="shared" si="86"/>
        <v>0</v>
      </c>
      <c r="AR98" s="252">
        <f t="shared" si="86"/>
        <v>0</v>
      </c>
      <c r="AS98" s="252">
        <f t="shared" si="86"/>
        <v>0</v>
      </c>
      <c r="AT98" s="252">
        <f t="shared" si="86"/>
        <v>0</v>
      </c>
      <c r="AU98" s="252">
        <f t="shared" si="86"/>
        <v>0</v>
      </c>
      <c r="AV98" s="252">
        <f t="shared" si="86"/>
        <v>0</v>
      </c>
      <c r="AW98" s="252">
        <f t="shared" si="86"/>
        <v>0</v>
      </c>
      <c r="AX98" s="252">
        <f t="shared" si="86"/>
        <v>0</v>
      </c>
      <c r="AY98" s="252">
        <f t="shared" si="86"/>
        <v>0</v>
      </c>
      <c r="AZ98" s="252">
        <f t="shared" si="86"/>
        <v>0</v>
      </c>
      <c r="BA98" s="252">
        <f t="shared" si="86"/>
        <v>0</v>
      </c>
    </row>
    <row r="99" ht="15.75" customHeight="1">
      <c r="A99" s="823">
        <v>1980.0</v>
      </c>
      <c r="B99" s="32"/>
      <c r="C99" s="32"/>
      <c r="D99" s="32"/>
      <c r="E99" s="32"/>
      <c r="F99" s="32"/>
      <c r="G99" s="32"/>
      <c r="H99" s="32"/>
      <c r="I99" s="32"/>
      <c r="J99" s="32"/>
      <c r="K99" s="32"/>
      <c r="L99" s="32"/>
      <c r="M99" s="32"/>
      <c r="N99" s="32"/>
      <c r="O99" s="32"/>
      <c r="P99" s="32"/>
      <c r="Q99" s="32"/>
      <c r="R99" s="32"/>
      <c r="S99" s="32"/>
      <c r="T99" s="32"/>
      <c r="U99" s="32"/>
      <c r="V99" s="741">
        <v>0.0</v>
      </c>
      <c r="W99" s="252">
        <f t="shared" si="37"/>
        <v>0</v>
      </c>
      <c r="X99" s="252">
        <f t="shared" ref="X99:BA99" si="87">IF(AND(X$48-$A99&gt;$V$34,SUM($W99:W99)&lt;&gt;$V99),$V99,0)</f>
        <v>0</v>
      </c>
      <c r="Y99" s="252">
        <f t="shared" si="87"/>
        <v>0</v>
      </c>
      <c r="Z99" s="252">
        <f t="shared" si="87"/>
        <v>0</v>
      </c>
      <c r="AA99" s="252">
        <f t="shared" si="87"/>
        <v>0</v>
      </c>
      <c r="AB99" s="252">
        <f t="shared" si="87"/>
        <v>0</v>
      </c>
      <c r="AC99" s="252">
        <f t="shared" si="87"/>
        <v>0</v>
      </c>
      <c r="AD99" s="252">
        <f t="shared" si="87"/>
        <v>0</v>
      </c>
      <c r="AE99" s="252">
        <f t="shared" si="87"/>
        <v>0</v>
      </c>
      <c r="AF99" s="252">
        <f t="shared" si="87"/>
        <v>0</v>
      </c>
      <c r="AG99" s="252">
        <f t="shared" si="87"/>
        <v>0</v>
      </c>
      <c r="AH99" s="252">
        <f t="shared" si="87"/>
        <v>0</v>
      </c>
      <c r="AI99" s="252">
        <f t="shared" si="87"/>
        <v>0</v>
      </c>
      <c r="AJ99" s="252">
        <f t="shared" si="87"/>
        <v>0</v>
      </c>
      <c r="AK99" s="252">
        <f t="shared" si="87"/>
        <v>0</v>
      </c>
      <c r="AL99" s="252">
        <f t="shared" si="87"/>
        <v>0</v>
      </c>
      <c r="AM99" s="252">
        <f t="shared" si="87"/>
        <v>0</v>
      </c>
      <c r="AN99" s="252">
        <f t="shared" si="87"/>
        <v>0</v>
      </c>
      <c r="AO99" s="252">
        <f t="shared" si="87"/>
        <v>0</v>
      </c>
      <c r="AP99" s="252">
        <f t="shared" si="87"/>
        <v>0</v>
      </c>
      <c r="AQ99" s="252">
        <f t="shared" si="87"/>
        <v>0</v>
      </c>
      <c r="AR99" s="252">
        <f t="shared" si="87"/>
        <v>0</v>
      </c>
      <c r="AS99" s="252">
        <f t="shared" si="87"/>
        <v>0</v>
      </c>
      <c r="AT99" s="252">
        <f t="shared" si="87"/>
        <v>0</v>
      </c>
      <c r="AU99" s="252">
        <f t="shared" si="87"/>
        <v>0</v>
      </c>
      <c r="AV99" s="252">
        <f t="shared" si="87"/>
        <v>0</v>
      </c>
      <c r="AW99" s="252">
        <f t="shared" si="87"/>
        <v>0</v>
      </c>
      <c r="AX99" s="252">
        <f t="shared" si="87"/>
        <v>0</v>
      </c>
      <c r="AY99" s="252">
        <f t="shared" si="87"/>
        <v>0</v>
      </c>
      <c r="AZ99" s="252">
        <f t="shared" si="87"/>
        <v>0</v>
      </c>
      <c r="BA99" s="252">
        <f t="shared" si="87"/>
        <v>0</v>
      </c>
    </row>
    <row r="100" ht="15.75" customHeight="1">
      <c r="A100" s="823">
        <v>1981.0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37"/>
        <v>0</v>
      </c>
      <c r="X100" s="252">
        <f t="shared" ref="X100:BA100" si="88">IF(AND(X$48-$A100&gt;$V$34,SUM($W100:W100)&lt;&gt;$V100),$V100,0)</f>
        <v>0</v>
      </c>
      <c r="Y100" s="252">
        <f t="shared" si="88"/>
        <v>0</v>
      </c>
      <c r="Z100" s="252">
        <f t="shared" si="88"/>
        <v>0</v>
      </c>
      <c r="AA100" s="252">
        <f t="shared" si="88"/>
        <v>0</v>
      </c>
      <c r="AB100" s="252">
        <f t="shared" si="88"/>
        <v>0</v>
      </c>
      <c r="AC100" s="252">
        <f t="shared" si="88"/>
        <v>0</v>
      </c>
      <c r="AD100" s="252">
        <f t="shared" si="88"/>
        <v>0</v>
      </c>
      <c r="AE100" s="252">
        <f t="shared" si="88"/>
        <v>0</v>
      </c>
      <c r="AF100" s="252">
        <f t="shared" si="88"/>
        <v>0</v>
      </c>
      <c r="AG100" s="252">
        <f t="shared" si="88"/>
        <v>0</v>
      </c>
      <c r="AH100" s="252">
        <f t="shared" si="88"/>
        <v>0</v>
      </c>
      <c r="AI100" s="252">
        <f t="shared" si="88"/>
        <v>0</v>
      </c>
      <c r="AJ100" s="252">
        <f t="shared" si="88"/>
        <v>0</v>
      </c>
      <c r="AK100" s="252">
        <f t="shared" si="88"/>
        <v>0</v>
      </c>
      <c r="AL100" s="252">
        <f t="shared" si="88"/>
        <v>0</v>
      </c>
      <c r="AM100" s="252">
        <f t="shared" si="88"/>
        <v>0</v>
      </c>
      <c r="AN100" s="252">
        <f t="shared" si="88"/>
        <v>0</v>
      </c>
      <c r="AO100" s="252">
        <f t="shared" si="88"/>
        <v>0</v>
      </c>
      <c r="AP100" s="252">
        <f t="shared" si="88"/>
        <v>0</v>
      </c>
      <c r="AQ100" s="252">
        <f t="shared" si="88"/>
        <v>0</v>
      </c>
      <c r="AR100" s="252">
        <f t="shared" si="88"/>
        <v>0</v>
      </c>
      <c r="AS100" s="252">
        <f t="shared" si="88"/>
        <v>0</v>
      </c>
      <c r="AT100" s="252">
        <f t="shared" si="88"/>
        <v>0</v>
      </c>
      <c r="AU100" s="252">
        <f t="shared" si="88"/>
        <v>0</v>
      </c>
      <c r="AV100" s="252">
        <f t="shared" si="88"/>
        <v>0</v>
      </c>
      <c r="AW100" s="252">
        <f t="shared" si="88"/>
        <v>0</v>
      </c>
      <c r="AX100" s="252">
        <f t="shared" si="88"/>
        <v>0</v>
      </c>
      <c r="AY100" s="252">
        <f t="shared" si="88"/>
        <v>0</v>
      </c>
      <c r="AZ100" s="252">
        <f t="shared" si="88"/>
        <v>0</v>
      </c>
      <c r="BA100" s="252">
        <f t="shared" si="88"/>
        <v>0</v>
      </c>
    </row>
    <row r="101" ht="15.75" customHeight="1">
      <c r="A101" s="823">
        <v>1982.0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37"/>
        <v>0</v>
      </c>
      <c r="X101" s="252">
        <f t="shared" ref="X101:BA101" si="89">IF(AND(X$48-$A101&gt;$V$34,SUM($W101:W101)&lt;&gt;$V101),$V101,0)</f>
        <v>0</v>
      </c>
      <c r="Y101" s="252">
        <f t="shared" si="89"/>
        <v>0</v>
      </c>
      <c r="Z101" s="252">
        <f t="shared" si="89"/>
        <v>0</v>
      </c>
      <c r="AA101" s="252">
        <f t="shared" si="89"/>
        <v>0</v>
      </c>
      <c r="AB101" s="252">
        <f t="shared" si="89"/>
        <v>0</v>
      </c>
      <c r="AC101" s="252">
        <f t="shared" si="89"/>
        <v>0</v>
      </c>
      <c r="AD101" s="252">
        <f t="shared" si="89"/>
        <v>0</v>
      </c>
      <c r="AE101" s="252">
        <f t="shared" si="89"/>
        <v>0</v>
      </c>
      <c r="AF101" s="252">
        <f t="shared" si="89"/>
        <v>0</v>
      </c>
      <c r="AG101" s="252">
        <f t="shared" si="89"/>
        <v>0</v>
      </c>
      <c r="AH101" s="252">
        <f t="shared" si="89"/>
        <v>0</v>
      </c>
      <c r="AI101" s="252">
        <f t="shared" si="89"/>
        <v>0</v>
      </c>
      <c r="AJ101" s="252">
        <f t="shared" si="89"/>
        <v>0</v>
      </c>
      <c r="AK101" s="252">
        <f t="shared" si="89"/>
        <v>0</v>
      </c>
      <c r="AL101" s="252">
        <f t="shared" si="89"/>
        <v>0</v>
      </c>
      <c r="AM101" s="252">
        <f t="shared" si="89"/>
        <v>0</v>
      </c>
      <c r="AN101" s="252">
        <f t="shared" si="89"/>
        <v>0</v>
      </c>
      <c r="AO101" s="252">
        <f t="shared" si="89"/>
        <v>0</v>
      </c>
      <c r="AP101" s="252">
        <f t="shared" si="89"/>
        <v>0</v>
      </c>
      <c r="AQ101" s="252">
        <f t="shared" si="89"/>
        <v>0</v>
      </c>
      <c r="AR101" s="252">
        <f t="shared" si="89"/>
        <v>0</v>
      </c>
      <c r="AS101" s="252">
        <f t="shared" si="89"/>
        <v>0</v>
      </c>
      <c r="AT101" s="252">
        <f t="shared" si="89"/>
        <v>0</v>
      </c>
      <c r="AU101" s="252">
        <f t="shared" si="89"/>
        <v>0</v>
      </c>
      <c r="AV101" s="252">
        <f t="shared" si="89"/>
        <v>0</v>
      </c>
      <c r="AW101" s="252">
        <f t="shared" si="89"/>
        <v>0</v>
      </c>
      <c r="AX101" s="252">
        <f t="shared" si="89"/>
        <v>0</v>
      </c>
      <c r="AY101" s="252">
        <f t="shared" si="89"/>
        <v>0</v>
      </c>
      <c r="AZ101" s="252">
        <f t="shared" si="89"/>
        <v>0</v>
      </c>
      <c r="BA101" s="252">
        <f t="shared" si="89"/>
        <v>0</v>
      </c>
    </row>
    <row r="102" ht="15.75" customHeight="1">
      <c r="A102" s="823">
        <v>1983.0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37"/>
        <v>0</v>
      </c>
      <c r="X102" s="252">
        <f t="shared" ref="X102:BA102" si="90">IF(AND(X$48-$A102&gt;$V$34,SUM($W102:W102)&lt;&gt;$V102),$V102,0)</f>
        <v>0</v>
      </c>
      <c r="Y102" s="252">
        <f t="shared" si="90"/>
        <v>0</v>
      </c>
      <c r="Z102" s="252">
        <f t="shared" si="90"/>
        <v>0</v>
      </c>
      <c r="AA102" s="252">
        <f t="shared" si="90"/>
        <v>0</v>
      </c>
      <c r="AB102" s="252">
        <f t="shared" si="90"/>
        <v>0</v>
      </c>
      <c r="AC102" s="252">
        <f t="shared" si="90"/>
        <v>0</v>
      </c>
      <c r="AD102" s="252">
        <f t="shared" si="90"/>
        <v>0</v>
      </c>
      <c r="AE102" s="252">
        <f t="shared" si="90"/>
        <v>0</v>
      </c>
      <c r="AF102" s="252">
        <f t="shared" si="90"/>
        <v>0</v>
      </c>
      <c r="AG102" s="252">
        <f t="shared" si="90"/>
        <v>0</v>
      </c>
      <c r="AH102" s="252">
        <f t="shared" si="90"/>
        <v>0</v>
      </c>
      <c r="AI102" s="252">
        <f t="shared" si="90"/>
        <v>0</v>
      </c>
      <c r="AJ102" s="252">
        <f t="shared" si="90"/>
        <v>0</v>
      </c>
      <c r="AK102" s="252">
        <f t="shared" si="90"/>
        <v>0</v>
      </c>
      <c r="AL102" s="252">
        <f t="shared" si="90"/>
        <v>0</v>
      </c>
      <c r="AM102" s="252">
        <f t="shared" si="90"/>
        <v>0</v>
      </c>
      <c r="AN102" s="252">
        <f t="shared" si="90"/>
        <v>0</v>
      </c>
      <c r="AO102" s="252">
        <f t="shared" si="90"/>
        <v>0</v>
      </c>
      <c r="AP102" s="252">
        <f t="shared" si="90"/>
        <v>0</v>
      </c>
      <c r="AQ102" s="252">
        <f t="shared" si="90"/>
        <v>0</v>
      </c>
      <c r="AR102" s="252">
        <f t="shared" si="90"/>
        <v>0</v>
      </c>
      <c r="AS102" s="252">
        <f t="shared" si="90"/>
        <v>0</v>
      </c>
      <c r="AT102" s="252">
        <f t="shared" si="90"/>
        <v>0</v>
      </c>
      <c r="AU102" s="252">
        <f t="shared" si="90"/>
        <v>0</v>
      </c>
      <c r="AV102" s="252">
        <f t="shared" si="90"/>
        <v>0</v>
      </c>
      <c r="AW102" s="252">
        <f t="shared" si="90"/>
        <v>0</v>
      </c>
      <c r="AX102" s="252">
        <f t="shared" si="90"/>
        <v>0</v>
      </c>
      <c r="AY102" s="252">
        <f t="shared" si="90"/>
        <v>0</v>
      </c>
      <c r="AZ102" s="252">
        <f t="shared" si="90"/>
        <v>0</v>
      </c>
      <c r="BA102" s="252">
        <f t="shared" si="90"/>
        <v>0</v>
      </c>
    </row>
    <row r="103" ht="15.75" customHeight="1">
      <c r="A103" s="823">
        <v>1984.0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37"/>
        <v>0</v>
      </c>
      <c r="X103" s="252">
        <f t="shared" ref="X103:BA103" si="91">IF(AND(X$48-$A103&gt;$V$34,SUM($W103:W103)&lt;&gt;$V103),$V103,0)</f>
        <v>0</v>
      </c>
      <c r="Y103" s="252">
        <f t="shared" si="91"/>
        <v>0</v>
      </c>
      <c r="Z103" s="252">
        <f t="shared" si="91"/>
        <v>0</v>
      </c>
      <c r="AA103" s="252">
        <f t="shared" si="91"/>
        <v>0</v>
      </c>
      <c r="AB103" s="252">
        <f t="shared" si="91"/>
        <v>0</v>
      </c>
      <c r="AC103" s="252">
        <f t="shared" si="91"/>
        <v>0</v>
      </c>
      <c r="AD103" s="252">
        <f t="shared" si="91"/>
        <v>0</v>
      </c>
      <c r="AE103" s="252">
        <f t="shared" si="91"/>
        <v>0</v>
      </c>
      <c r="AF103" s="252">
        <f t="shared" si="91"/>
        <v>0</v>
      </c>
      <c r="AG103" s="252">
        <f t="shared" si="91"/>
        <v>0</v>
      </c>
      <c r="AH103" s="252">
        <f t="shared" si="91"/>
        <v>0</v>
      </c>
      <c r="AI103" s="252">
        <f t="shared" si="91"/>
        <v>0</v>
      </c>
      <c r="AJ103" s="252">
        <f t="shared" si="91"/>
        <v>0</v>
      </c>
      <c r="AK103" s="252">
        <f t="shared" si="91"/>
        <v>0</v>
      </c>
      <c r="AL103" s="252">
        <f t="shared" si="91"/>
        <v>0</v>
      </c>
      <c r="AM103" s="252">
        <f t="shared" si="91"/>
        <v>0</v>
      </c>
      <c r="AN103" s="252">
        <f t="shared" si="91"/>
        <v>0</v>
      </c>
      <c r="AO103" s="252">
        <f t="shared" si="91"/>
        <v>0</v>
      </c>
      <c r="AP103" s="252">
        <f t="shared" si="91"/>
        <v>0</v>
      </c>
      <c r="AQ103" s="252">
        <f t="shared" si="91"/>
        <v>0</v>
      </c>
      <c r="AR103" s="252">
        <f t="shared" si="91"/>
        <v>0</v>
      </c>
      <c r="AS103" s="252">
        <f t="shared" si="91"/>
        <v>0</v>
      </c>
      <c r="AT103" s="252">
        <f t="shared" si="91"/>
        <v>0</v>
      </c>
      <c r="AU103" s="252">
        <f t="shared" si="91"/>
        <v>0</v>
      </c>
      <c r="AV103" s="252">
        <f t="shared" si="91"/>
        <v>0</v>
      </c>
      <c r="AW103" s="252">
        <f t="shared" si="91"/>
        <v>0</v>
      </c>
      <c r="AX103" s="252">
        <f t="shared" si="91"/>
        <v>0</v>
      </c>
      <c r="AY103" s="252">
        <f t="shared" si="91"/>
        <v>0</v>
      </c>
      <c r="AZ103" s="252">
        <f t="shared" si="91"/>
        <v>0</v>
      </c>
      <c r="BA103" s="252">
        <f t="shared" si="91"/>
        <v>0</v>
      </c>
    </row>
    <row r="104" ht="15.75" customHeight="1">
      <c r="A104" s="823">
        <v>1985.0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37"/>
        <v>0</v>
      </c>
      <c r="X104" s="252">
        <f t="shared" ref="X104:BA104" si="92">IF(AND(X$48-$A104&gt;$V$34,SUM($W104:W104)&lt;&gt;$V104),$V104,0)</f>
        <v>0</v>
      </c>
      <c r="Y104" s="252">
        <f t="shared" si="92"/>
        <v>0</v>
      </c>
      <c r="Z104" s="252">
        <f t="shared" si="92"/>
        <v>0</v>
      </c>
      <c r="AA104" s="252">
        <f t="shared" si="92"/>
        <v>0</v>
      </c>
      <c r="AB104" s="252">
        <f t="shared" si="92"/>
        <v>0</v>
      </c>
      <c r="AC104" s="252">
        <f t="shared" si="92"/>
        <v>0</v>
      </c>
      <c r="AD104" s="252">
        <f t="shared" si="92"/>
        <v>0</v>
      </c>
      <c r="AE104" s="252">
        <f t="shared" si="92"/>
        <v>0</v>
      </c>
      <c r="AF104" s="252">
        <f t="shared" si="92"/>
        <v>0</v>
      </c>
      <c r="AG104" s="252">
        <f t="shared" si="92"/>
        <v>0</v>
      </c>
      <c r="AH104" s="252">
        <f t="shared" si="92"/>
        <v>0</v>
      </c>
      <c r="AI104" s="252">
        <f t="shared" si="92"/>
        <v>0</v>
      </c>
      <c r="AJ104" s="252">
        <f t="shared" si="92"/>
        <v>0</v>
      </c>
      <c r="AK104" s="252">
        <f t="shared" si="92"/>
        <v>0</v>
      </c>
      <c r="AL104" s="252">
        <f t="shared" si="92"/>
        <v>0</v>
      </c>
      <c r="AM104" s="252">
        <f t="shared" si="92"/>
        <v>0</v>
      </c>
      <c r="AN104" s="252">
        <f t="shared" si="92"/>
        <v>0</v>
      </c>
      <c r="AO104" s="252">
        <f t="shared" si="92"/>
        <v>0</v>
      </c>
      <c r="AP104" s="252">
        <f t="shared" si="92"/>
        <v>0</v>
      </c>
      <c r="AQ104" s="252">
        <f t="shared" si="92"/>
        <v>0</v>
      </c>
      <c r="AR104" s="252">
        <f t="shared" si="92"/>
        <v>0</v>
      </c>
      <c r="AS104" s="252">
        <f t="shared" si="92"/>
        <v>0</v>
      </c>
      <c r="AT104" s="252">
        <f t="shared" si="92"/>
        <v>0</v>
      </c>
      <c r="AU104" s="252">
        <f t="shared" si="92"/>
        <v>0</v>
      </c>
      <c r="AV104" s="252">
        <f t="shared" si="92"/>
        <v>0</v>
      </c>
      <c r="AW104" s="252">
        <f t="shared" si="92"/>
        <v>0</v>
      </c>
      <c r="AX104" s="252">
        <f t="shared" si="92"/>
        <v>0</v>
      </c>
      <c r="AY104" s="252">
        <f t="shared" si="92"/>
        <v>0</v>
      </c>
      <c r="AZ104" s="252">
        <f t="shared" si="92"/>
        <v>0</v>
      </c>
      <c r="BA104" s="252">
        <f t="shared" si="92"/>
        <v>0</v>
      </c>
    </row>
    <row r="105" ht="15.75" customHeight="1">
      <c r="A105" s="823">
        <v>1986.0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37"/>
        <v>0</v>
      </c>
      <c r="X105" s="252">
        <f t="shared" ref="X105:BA105" si="93">IF(AND(X$48-$A105&gt;$V$34,SUM($W105:W105)&lt;&gt;$V105),$V105,0)</f>
        <v>0</v>
      </c>
      <c r="Y105" s="252">
        <f t="shared" si="93"/>
        <v>0</v>
      </c>
      <c r="Z105" s="252">
        <f t="shared" si="93"/>
        <v>0</v>
      </c>
      <c r="AA105" s="252">
        <f t="shared" si="93"/>
        <v>0</v>
      </c>
      <c r="AB105" s="252">
        <f t="shared" si="93"/>
        <v>0</v>
      </c>
      <c r="AC105" s="252">
        <f t="shared" si="93"/>
        <v>0</v>
      </c>
      <c r="AD105" s="252">
        <f t="shared" si="93"/>
        <v>0</v>
      </c>
      <c r="AE105" s="252">
        <f t="shared" si="93"/>
        <v>0</v>
      </c>
      <c r="AF105" s="252">
        <f t="shared" si="93"/>
        <v>0</v>
      </c>
      <c r="AG105" s="252">
        <f t="shared" si="93"/>
        <v>0</v>
      </c>
      <c r="AH105" s="252">
        <f t="shared" si="93"/>
        <v>0</v>
      </c>
      <c r="AI105" s="252">
        <f t="shared" si="93"/>
        <v>0</v>
      </c>
      <c r="AJ105" s="252">
        <f t="shared" si="93"/>
        <v>0</v>
      </c>
      <c r="AK105" s="252">
        <f t="shared" si="93"/>
        <v>0</v>
      </c>
      <c r="AL105" s="252">
        <f t="shared" si="93"/>
        <v>0</v>
      </c>
      <c r="AM105" s="252">
        <f t="shared" si="93"/>
        <v>0</v>
      </c>
      <c r="AN105" s="252">
        <f t="shared" si="93"/>
        <v>0</v>
      </c>
      <c r="AO105" s="252">
        <f t="shared" si="93"/>
        <v>0</v>
      </c>
      <c r="AP105" s="252">
        <f t="shared" si="93"/>
        <v>0</v>
      </c>
      <c r="AQ105" s="252">
        <f t="shared" si="93"/>
        <v>0</v>
      </c>
      <c r="AR105" s="252">
        <f t="shared" si="93"/>
        <v>0</v>
      </c>
      <c r="AS105" s="252">
        <f t="shared" si="93"/>
        <v>0</v>
      </c>
      <c r="AT105" s="252">
        <f t="shared" si="93"/>
        <v>0</v>
      </c>
      <c r="AU105" s="252">
        <f t="shared" si="93"/>
        <v>0</v>
      </c>
      <c r="AV105" s="252">
        <f t="shared" si="93"/>
        <v>0</v>
      </c>
      <c r="AW105" s="252">
        <f t="shared" si="93"/>
        <v>0</v>
      </c>
      <c r="AX105" s="252">
        <f t="shared" si="93"/>
        <v>0</v>
      </c>
      <c r="AY105" s="252">
        <f t="shared" si="93"/>
        <v>0</v>
      </c>
      <c r="AZ105" s="252">
        <f t="shared" si="93"/>
        <v>0</v>
      </c>
      <c r="BA105" s="252">
        <f t="shared" si="93"/>
        <v>0</v>
      </c>
    </row>
    <row r="106" ht="15.75" customHeight="1">
      <c r="A106" s="823">
        <v>1987.0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37"/>
        <v>0</v>
      </c>
      <c r="X106" s="252">
        <f t="shared" ref="X106:BA106" si="94">IF(AND(X$48-$A106&gt;$V$34,SUM($W106:W106)&lt;&gt;$V106),$V106,0)</f>
        <v>0</v>
      </c>
      <c r="Y106" s="252">
        <f t="shared" si="94"/>
        <v>0</v>
      </c>
      <c r="Z106" s="252">
        <f t="shared" si="94"/>
        <v>0</v>
      </c>
      <c r="AA106" s="252">
        <f t="shared" si="94"/>
        <v>0</v>
      </c>
      <c r="AB106" s="252">
        <f t="shared" si="94"/>
        <v>0</v>
      </c>
      <c r="AC106" s="252">
        <f t="shared" si="94"/>
        <v>0</v>
      </c>
      <c r="AD106" s="252">
        <f t="shared" si="94"/>
        <v>0</v>
      </c>
      <c r="AE106" s="252">
        <f t="shared" si="94"/>
        <v>0</v>
      </c>
      <c r="AF106" s="252">
        <f t="shared" si="94"/>
        <v>0</v>
      </c>
      <c r="AG106" s="252">
        <f t="shared" si="94"/>
        <v>0</v>
      </c>
      <c r="AH106" s="252">
        <f t="shared" si="94"/>
        <v>0</v>
      </c>
      <c r="AI106" s="252">
        <f t="shared" si="94"/>
        <v>0</v>
      </c>
      <c r="AJ106" s="252">
        <f t="shared" si="94"/>
        <v>0</v>
      </c>
      <c r="AK106" s="252">
        <f t="shared" si="94"/>
        <v>0</v>
      </c>
      <c r="AL106" s="252">
        <f t="shared" si="94"/>
        <v>0</v>
      </c>
      <c r="AM106" s="252">
        <f t="shared" si="94"/>
        <v>0</v>
      </c>
      <c r="AN106" s="252">
        <f t="shared" si="94"/>
        <v>0</v>
      </c>
      <c r="AO106" s="252">
        <f t="shared" si="94"/>
        <v>0</v>
      </c>
      <c r="AP106" s="252">
        <f t="shared" si="94"/>
        <v>0</v>
      </c>
      <c r="AQ106" s="252">
        <f t="shared" si="94"/>
        <v>0</v>
      </c>
      <c r="AR106" s="252">
        <f t="shared" si="94"/>
        <v>0</v>
      </c>
      <c r="AS106" s="252">
        <f t="shared" si="94"/>
        <v>0</v>
      </c>
      <c r="AT106" s="252">
        <f t="shared" si="94"/>
        <v>0</v>
      </c>
      <c r="AU106" s="252">
        <f t="shared" si="94"/>
        <v>0</v>
      </c>
      <c r="AV106" s="252">
        <f t="shared" si="94"/>
        <v>0</v>
      </c>
      <c r="AW106" s="252">
        <f t="shared" si="94"/>
        <v>0</v>
      </c>
      <c r="AX106" s="252">
        <f t="shared" si="94"/>
        <v>0</v>
      </c>
      <c r="AY106" s="252">
        <f t="shared" si="94"/>
        <v>0</v>
      </c>
      <c r="AZ106" s="252">
        <f t="shared" si="94"/>
        <v>0</v>
      </c>
      <c r="BA106" s="252">
        <f t="shared" si="94"/>
        <v>0</v>
      </c>
    </row>
    <row r="107" ht="15.75" customHeight="1">
      <c r="A107" s="823">
        <v>1988.0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37"/>
        <v>0</v>
      </c>
      <c r="X107" s="252">
        <f t="shared" ref="X107:BA107" si="95">IF(AND(X$48-$A107&gt;$V$34,SUM($W107:W107)&lt;&gt;$V107),$V107,0)</f>
        <v>0</v>
      </c>
      <c r="Y107" s="252">
        <f t="shared" si="95"/>
        <v>0</v>
      </c>
      <c r="Z107" s="252">
        <f t="shared" si="95"/>
        <v>0</v>
      </c>
      <c r="AA107" s="252">
        <f t="shared" si="95"/>
        <v>0</v>
      </c>
      <c r="AB107" s="252">
        <f t="shared" si="95"/>
        <v>0</v>
      </c>
      <c r="AC107" s="252">
        <f t="shared" si="95"/>
        <v>0</v>
      </c>
      <c r="AD107" s="252">
        <f t="shared" si="95"/>
        <v>0</v>
      </c>
      <c r="AE107" s="252">
        <f t="shared" si="95"/>
        <v>0</v>
      </c>
      <c r="AF107" s="252">
        <f t="shared" si="95"/>
        <v>0</v>
      </c>
      <c r="AG107" s="252">
        <f t="shared" si="95"/>
        <v>0</v>
      </c>
      <c r="AH107" s="252">
        <f t="shared" si="95"/>
        <v>0</v>
      </c>
      <c r="AI107" s="252">
        <f t="shared" si="95"/>
        <v>0</v>
      </c>
      <c r="AJ107" s="252">
        <f t="shared" si="95"/>
        <v>0</v>
      </c>
      <c r="AK107" s="252">
        <f t="shared" si="95"/>
        <v>0</v>
      </c>
      <c r="AL107" s="252">
        <f t="shared" si="95"/>
        <v>0</v>
      </c>
      <c r="AM107" s="252">
        <f t="shared" si="95"/>
        <v>0</v>
      </c>
      <c r="AN107" s="252">
        <f t="shared" si="95"/>
        <v>0</v>
      </c>
      <c r="AO107" s="252">
        <f t="shared" si="95"/>
        <v>0</v>
      </c>
      <c r="AP107" s="252">
        <f t="shared" si="95"/>
        <v>0</v>
      </c>
      <c r="AQ107" s="252">
        <f t="shared" si="95"/>
        <v>0</v>
      </c>
      <c r="AR107" s="252">
        <f t="shared" si="95"/>
        <v>0</v>
      </c>
      <c r="AS107" s="252">
        <f t="shared" si="95"/>
        <v>0</v>
      </c>
      <c r="AT107" s="252">
        <f t="shared" si="95"/>
        <v>0</v>
      </c>
      <c r="AU107" s="252">
        <f t="shared" si="95"/>
        <v>0</v>
      </c>
      <c r="AV107" s="252">
        <f t="shared" si="95"/>
        <v>0</v>
      </c>
      <c r="AW107" s="252">
        <f t="shared" si="95"/>
        <v>0</v>
      </c>
      <c r="AX107" s="252">
        <f t="shared" si="95"/>
        <v>0</v>
      </c>
      <c r="AY107" s="252">
        <f t="shared" si="95"/>
        <v>0</v>
      </c>
      <c r="AZ107" s="252">
        <f t="shared" si="95"/>
        <v>0</v>
      </c>
      <c r="BA107" s="252">
        <f t="shared" si="95"/>
        <v>0</v>
      </c>
    </row>
    <row r="108" ht="15.75" customHeight="1">
      <c r="A108" s="823">
        <v>1989.0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37"/>
        <v>0</v>
      </c>
      <c r="X108" s="252">
        <f t="shared" ref="X108:BA108" si="96">IF(AND(X$48-$A108&gt;$V$34,SUM($W108:W108)&lt;&gt;$V108),$V108,0)</f>
        <v>0</v>
      </c>
      <c r="Y108" s="252">
        <f t="shared" si="96"/>
        <v>0</v>
      </c>
      <c r="Z108" s="252">
        <f t="shared" si="96"/>
        <v>0</v>
      </c>
      <c r="AA108" s="252">
        <f t="shared" si="96"/>
        <v>0</v>
      </c>
      <c r="AB108" s="252">
        <f t="shared" si="96"/>
        <v>0</v>
      </c>
      <c r="AC108" s="252">
        <f t="shared" si="96"/>
        <v>0</v>
      </c>
      <c r="AD108" s="252">
        <f t="shared" si="96"/>
        <v>0</v>
      </c>
      <c r="AE108" s="252">
        <f t="shared" si="96"/>
        <v>0</v>
      </c>
      <c r="AF108" s="252">
        <f t="shared" si="96"/>
        <v>0</v>
      </c>
      <c r="AG108" s="252">
        <f t="shared" si="96"/>
        <v>0</v>
      </c>
      <c r="AH108" s="252">
        <f t="shared" si="96"/>
        <v>0</v>
      </c>
      <c r="AI108" s="252">
        <f t="shared" si="96"/>
        <v>0</v>
      </c>
      <c r="AJ108" s="252">
        <f t="shared" si="96"/>
        <v>0</v>
      </c>
      <c r="AK108" s="252">
        <f t="shared" si="96"/>
        <v>0</v>
      </c>
      <c r="AL108" s="252">
        <f t="shared" si="96"/>
        <v>0</v>
      </c>
      <c r="AM108" s="252">
        <f t="shared" si="96"/>
        <v>0</v>
      </c>
      <c r="AN108" s="252">
        <f t="shared" si="96"/>
        <v>0</v>
      </c>
      <c r="AO108" s="252">
        <f t="shared" si="96"/>
        <v>0</v>
      </c>
      <c r="AP108" s="252">
        <f t="shared" si="96"/>
        <v>0</v>
      </c>
      <c r="AQ108" s="252">
        <f t="shared" si="96"/>
        <v>0</v>
      </c>
      <c r="AR108" s="252">
        <f t="shared" si="96"/>
        <v>0</v>
      </c>
      <c r="AS108" s="252">
        <f t="shared" si="96"/>
        <v>0</v>
      </c>
      <c r="AT108" s="252">
        <f t="shared" si="96"/>
        <v>0</v>
      </c>
      <c r="AU108" s="252">
        <f t="shared" si="96"/>
        <v>0</v>
      </c>
      <c r="AV108" s="252">
        <f t="shared" si="96"/>
        <v>0</v>
      </c>
      <c r="AW108" s="252">
        <f t="shared" si="96"/>
        <v>0</v>
      </c>
      <c r="AX108" s="252">
        <f t="shared" si="96"/>
        <v>0</v>
      </c>
      <c r="AY108" s="252">
        <f t="shared" si="96"/>
        <v>0</v>
      </c>
      <c r="AZ108" s="252">
        <f t="shared" si="96"/>
        <v>0</v>
      </c>
      <c r="BA108" s="252">
        <f t="shared" si="96"/>
        <v>0</v>
      </c>
    </row>
    <row r="109" ht="15.75" customHeight="1">
      <c r="A109" s="823">
        <v>1990.0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37"/>
        <v>0</v>
      </c>
      <c r="X109" s="252">
        <f t="shared" ref="X109:BA109" si="97">IF(AND(X$48-$A109&gt;$V$34,SUM($W109:W109)&lt;&gt;$V109),$V109,0)</f>
        <v>0</v>
      </c>
      <c r="Y109" s="252">
        <f t="shared" si="97"/>
        <v>0</v>
      </c>
      <c r="Z109" s="252">
        <f t="shared" si="97"/>
        <v>0</v>
      </c>
      <c r="AA109" s="252">
        <f t="shared" si="97"/>
        <v>0</v>
      </c>
      <c r="AB109" s="252">
        <f t="shared" si="97"/>
        <v>0</v>
      </c>
      <c r="AC109" s="252">
        <f t="shared" si="97"/>
        <v>0</v>
      </c>
      <c r="AD109" s="252">
        <f t="shared" si="97"/>
        <v>0</v>
      </c>
      <c r="AE109" s="252">
        <f t="shared" si="97"/>
        <v>0</v>
      </c>
      <c r="AF109" s="252">
        <f t="shared" si="97"/>
        <v>0</v>
      </c>
      <c r="AG109" s="252">
        <f t="shared" si="97"/>
        <v>0</v>
      </c>
      <c r="AH109" s="252">
        <f t="shared" si="97"/>
        <v>0</v>
      </c>
      <c r="AI109" s="252">
        <f t="shared" si="97"/>
        <v>0</v>
      </c>
      <c r="AJ109" s="252">
        <f t="shared" si="97"/>
        <v>0</v>
      </c>
      <c r="AK109" s="252">
        <f t="shared" si="97"/>
        <v>0</v>
      </c>
      <c r="AL109" s="252">
        <f t="shared" si="97"/>
        <v>0</v>
      </c>
      <c r="AM109" s="252">
        <f t="shared" si="97"/>
        <v>0</v>
      </c>
      <c r="AN109" s="252">
        <f t="shared" si="97"/>
        <v>0</v>
      </c>
      <c r="AO109" s="252">
        <f t="shared" si="97"/>
        <v>0</v>
      </c>
      <c r="AP109" s="252">
        <f t="shared" si="97"/>
        <v>0</v>
      </c>
      <c r="AQ109" s="252">
        <f t="shared" si="97"/>
        <v>0</v>
      </c>
      <c r="AR109" s="252">
        <f t="shared" si="97"/>
        <v>0</v>
      </c>
      <c r="AS109" s="252">
        <f t="shared" si="97"/>
        <v>0</v>
      </c>
      <c r="AT109" s="252">
        <f t="shared" si="97"/>
        <v>0</v>
      </c>
      <c r="AU109" s="252">
        <f t="shared" si="97"/>
        <v>0</v>
      </c>
      <c r="AV109" s="252">
        <f t="shared" si="97"/>
        <v>0</v>
      </c>
      <c r="AW109" s="252">
        <f t="shared" si="97"/>
        <v>0</v>
      </c>
      <c r="AX109" s="252">
        <f t="shared" si="97"/>
        <v>0</v>
      </c>
      <c r="AY109" s="252">
        <f t="shared" si="97"/>
        <v>0</v>
      </c>
      <c r="AZ109" s="252">
        <f t="shared" si="97"/>
        <v>0</v>
      </c>
      <c r="BA109" s="252">
        <f t="shared" si="97"/>
        <v>0</v>
      </c>
    </row>
    <row r="110" ht="15.75" customHeight="1">
      <c r="A110" s="823">
        <v>1991.0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37"/>
        <v>0</v>
      </c>
      <c r="X110" s="252">
        <f t="shared" ref="X110:BA110" si="98">IF(AND(X$48-$A110&gt;$V$34,SUM($W110:W110)&lt;&gt;$V110),$V110,0)</f>
        <v>0</v>
      </c>
      <c r="Y110" s="252">
        <f t="shared" si="98"/>
        <v>0</v>
      </c>
      <c r="Z110" s="252">
        <f t="shared" si="98"/>
        <v>0</v>
      </c>
      <c r="AA110" s="252">
        <f t="shared" si="98"/>
        <v>0</v>
      </c>
      <c r="AB110" s="252">
        <f t="shared" si="98"/>
        <v>0</v>
      </c>
      <c r="AC110" s="252">
        <f t="shared" si="98"/>
        <v>0</v>
      </c>
      <c r="AD110" s="252">
        <f t="shared" si="98"/>
        <v>0</v>
      </c>
      <c r="AE110" s="252">
        <f t="shared" si="98"/>
        <v>0</v>
      </c>
      <c r="AF110" s="252">
        <f t="shared" si="98"/>
        <v>0</v>
      </c>
      <c r="AG110" s="252">
        <f t="shared" si="98"/>
        <v>0</v>
      </c>
      <c r="AH110" s="252">
        <f t="shared" si="98"/>
        <v>0</v>
      </c>
      <c r="AI110" s="252">
        <f t="shared" si="98"/>
        <v>0</v>
      </c>
      <c r="AJ110" s="252">
        <f t="shared" si="98"/>
        <v>0</v>
      </c>
      <c r="AK110" s="252">
        <f t="shared" si="98"/>
        <v>0</v>
      </c>
      <c r="AL110" s="252">
        <f t="shared" si="98"/>
        <v>0</v>
      </c>
      <c r="AM110" s="252">
        <f t="shared" si="98"/>
        <v>0</v>
      </c>
      <c r="AN110" s="252">
        <f t="shared" si="98"/>
        <v>0</v>
      </c>
      <c r="AO110" s="252">
        <f t="shared" si="98"/>
        <v>0</v>
      </c>
      <c r="AP110" s="252">
        <f t="shared" si="98"/>
        <v>0</v>
      </c>
      <c r="AQ110" s="252">
        <f t="shared" si="98"/>
        <v>0</v>
      </c>
      <c r="AR110" s="252">
        <f t="shared" si="98"/>
        <v>0</v>
      </c>
      <c r="AS110" s="252">
        <f t="shared" si="98"/>
        <v>0</v>
      </c>
      <c r="AT110" s="252">
        <f t="shared" si="98"/>
        <v>0</v>
      </c>
      <c r="AU110" s="252">
        <f t="shared" si="98"/>
        <v>0</v>
      </c>
      <c r="AV110" s="252">
        <f t="shared" si="98"/>
        <v>0</v>
      </c>
      <c r="AW110" s="252">
        <f t="shared" si="98"/>
        <v>0</v>
      </c>
      <c r="AX110" s="252">
        <f t="shared" si="98"/>
        <v>0</v>
      </c>
      <c r="AY110" s="252">
        <f t="shared" si="98"/>
        <v>0</v>
      </c>
      <c r="AZ110" s="252">
        <f t="shared" si="98"/>
        <v>0</v>
      </c>
      <c r="BA110" s="252">
        <f t="shared" si="98"/>
        <v>0</v>
      </c>
    </row>
    <row r="111" ht="15.75" customHeight="1">
      <c r="A111" s="823">
        <v>1992.0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37"/>
        <v>0</v>
      </c>
      <c r="X111" s="252">
        <f t="shared" ref="X111:BA111" si="99">IF(AND(X$48-$A111&gt;$V$34,SUM($W111:W111)&lt;&gt;$V111),$V111,0)</f>
        <v>0</v>
      </c>
      <c r="Y111" s="252">
        <f t="shared" si="99"/>
        <v>0</v>
      </c>
      <c r="Z111" s="252">
        <f t="shared" si="99"/>
        <v>0</v>
      </c>
      <c r="AA111" s="252">
        <f t="shared" si="99"/>
        <v>0</v>
      </c>
      <c r="AB111" s="252">
        <f t="shared" si="99"/>
        <v>0</v>
      </c>
      <c r="AC111" s="252">
        <f t="shared" si="99"/>
        <v>0</v>
      </c>
      <c r="AD111" s="252">
        <f t="shared" si="99"/>
        <v>0</v>
      </c>
      <c r="AE111" s="252">
        <f t="shared" si="99"/>
        <v>0</v>
      </c>
      <c r="AF111" s="252">
        <f t="shared" si="99"/>
        <v>0</v>
      </c>
      <c r="AG111" s="252">
        <f t="shared" si="99"/>
        <v>0</v>
      </c>
      <c r="AH111" s="252">
        <f t="shared" si="99"/>
        <v>0</v>
      </c>
      <c r="AI111" s="252">
        <f t="shared" si="99"/>
        <v>0</v>
      </c>
      <c r="AJ111" s="252">
        <f t="shared" si="99"/>
        <v>0</v>
      </c>
      <c r="AK111" s="252">
        <f t="shared" si="99"/>
        <v>0</v>
      </c>
      <c r="AL111" s="252">
        <f t="shared" si="99"/>
        <v>0</v>
      </c>
      <c r="AM111" s="252">
        <f t="shared" si="99"/>
        <v>0</v>
      </c>
      <c r="AN111" s="252">
        <f t="shared" si="99"/>
        <v>0</v>
      </c>
      <c r="AO111" s="252">
        <f t="shared" si="99"/>
        <v>0</v>
      </c>
      <c r="AP111" s="252">
        <f t="shared" si="99"/>
        <v>0</v>
      </c>
      <c r="AQ111" s="252">
        <f t="shared" si="99"/>
        <v>0</v>
      </c>
      <c r="AR111" s="252">
        <f t="shared" si="99"/>
        <v>0</v>
      </c>
      <c r="AS111" s="252">
        <f t="shared" si="99"/>
        <v>0</v>
      </c>
      <c r="AT111" s="252">
        <f t="shared" si="99"/>
        <v>0</v>
      </c>
      <c r="AU111" s="252">
        <f t="shared" si="99"/>
        <v>0</v>
      </c>
      <c r="AV111" s="252">
        <f t="shared" si="99"/>
        <v>0</v>
      </c>
      <c r="AW111" s="252">
        <f t="shared" si="99"/>
        <v>0</v>
      </c>
      <c r="AX111" s="252">
        <f t="shared" si="99"/>
        <v>0</v>
      </c>
      <c r="AY111" s="252">
        <f t="shared" si="99"/>
        <v>0</v>
      </c>
      <c r="AZ111" s="252">
        <f t="shared" si="99"/>
        <v>0</v>
      </c>
      <c r="BA111" s="252">
        <f t="shared" si="99"/>
        <v>0</v>
      </c>
    </row>
    <row r="112" ht="15.75" customHeight="1">
      <c r="A112" s="823">
        <v>1993.0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37"/>
        <v>0</v>
      </c>
      <c r="X112" s="252">
        <f t="shared" ref="X112:BA112" si="100">IF(AND(X$48-$A112&gt;$V$34,SUM($W112:W112)&lt;&gt;$V112),$V112,0)</f>
        <v>0</v>
      </c>
      <c r="Y112" s="252">
        <f t="shared" si="100"/>
        <v>0</v>
      </c>
      <c r="Z112" s="252">
        <f t="shared" si="100"/>
        <v>0</v>
      </c>
      <c r="AA112" s="252">
        <f t="shared" si="100"/>
        <v>0</v>
      </c>
      <c r="AB112" s="252">
        <f t="shared" si="100"/>
        <v>0</v>
      </c>
      <c r="AC112" s="252">
        <f t="shared" si="100"/>
        <v>0</v>
      </c>
      <c r="AD112" s="252">
        <f t="shared" si="100"/>
        <v>0</v>
      </c>
      <c r="AE112" s="252">
        <f t="shared" si="100"/>
        <v>0</v>
      </c>
      <c r="AF112" s="252">
        <f t="shared" si="100"/>
        <v>0</v>
      </c>
      <c r="AG112" s="252">
        <f t="shared" si="100"/>
        <v>0</v>
      </c>
      <c r="AH112" s="252">
        <f t="shared" si="100"/>
        <v>0</v>
      </c>
      <c r="AI112" s="252">
        <f t="shared" si="100"/>
        <v>0</v>
      </c>
      <c r="AJ112" s="252">
        <f t="shared" si="100"/>
        <v>0</v>
      </c>
      <c r="AK112" s="252">
        <f t="shared" si="100"/>
        <v>0</v>
      </c>
      <c r="AL112" s="252">
        <f t="shared" si="100"/>
        <v>0</v>
      </c>
      <c r="AM112" s="252">
        <f t="shared" si="100"/>
        <v>0</v>
      </c>
      <c r="AN112" s="252">
        <f t="shared" si="100"/>
        <v>0</v>
      </c>
      <c r="AO112" s="252">
        <f t="shared" si="100"/>
        <v>0</v>
      </c>
      <c r="AP112" s="252">
        <f t="shared" si="100"/>
        <v>0</v>
      </c>
      <c r="AQ112" s="252">
        <f t="shared" si="100"/>
        <v>0</v>
      </c>
      <c r="AR112" s="252">
        <f t="shared" si="100"/>
        <v>0</v>
      </c>
      <c r="AS112" s="252">
        <f t="shared" si="100"/>
        <v>0</v>
      </c>
      <c r="AT112" s="252">
        <f t="shared" si="100"/>
        <v>0</v>
      </c>
      <c r="AU112" s="252">
        <f t="shared" si="100"/>
        <v>0</v>
      </c>
      <c r="AV112" s="252">
        <f t="shared" si="100"/>
        <v>0</v>
      </c>
      <c r="AW112" s="252">
        <f t="shared" si="100"/>
        <v>0</v>
      </c>
      <c r="AX112" s="252">
        <f t="shared" si="100"/>
        <v>0</v>
      </c>
      <c r="AY112" s="252">
        <f t="shared" si="100"/>
        <v>0</v>
      </c>
      <c r="AZ112" s="252">
        <f t="shared" si="100"/>
        <v>0</v>
      </c>
      <c r="BA112" s="252">
        <f t="shared" si="100"/>
        <v>0</v>
      </c>
    </row>
    <row r="113" ht="15.75" customHeight="1">
      <c r="A113" s="823">
        <v>1994.0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37"/>
        <v>0</v>
      </c>
      <c r="X113" s="252">
        <f t="shared" ref="X113:BA113" si="101">IF(AND(X$48-$A113&gt;$V$34,SUM($W113:W113)&lt;&gt;$V113),$V113,0)</f>
        <v>0</v>
      </c>
      <c r="Y113" s="252">
        <f t="shared" si="101"/>
        <v>0</v>
      </c>
      <c r="Z113" s="252">
        <f t="shared" si="101"/>
        <v>0</v>
      </c>
      <c r="AA113" s="252">
        <f t="shared" si="101"/>
        <v>0</v>
      </c>
      <c r="AB113" s="252">
        <f t="shared" si="101"/>
        <v>0</v>
      </c>
      <c r="AC113" s="252">
        <f t="shared" si="101"/>
        <v>0</v>
      </c>
      <c r="AD113" s="252">
        <f t="shared" si="101"/>
        <v>0</v>
      </c>
      <c r="AE113" s="252">
        <f t="shared" si="101"/>
        <v>0</v>
      </c>
      <c r="AF113" s="252">
        <f t="shared" si="101"/>
        <v>0</v>
      </c>
      <c r="AG113" s="252">
        <f t="shared" si="101"/>
        <v>0</v>
      </c>
      <c r="AH113" s="252">
        <f t="shared" si="101"/>
        <v>0</v>
      </c>
      <c r="AI113" s="252">
        <f t="shared" si="101"/>
        <v>0</v>
      </c>
      <c r="AJ113" s="252">
        <f t="shared" si="101"/>
        <v>0</v>
      </c>
      <c r="AK113" s="252">
        <f t="shared" si="101"/>
        <v>0</v>
      </c>
      <c r="AL113" s="252">
        <f t="shared" si="101"/>
        <v>0</v>
      </c>
      <c r="AM113" s="252">
        <f t="shared" si="101"/>
        <v>0</v>
      </c>
      <c r="AN113" s="252">
        <f t="shared" si="101"/>
        <v>0</v>
      </c>
      <c r="AO113" s="252">
        <f t="shared" si="101"/>
        <v>0</v>
      </c>
      <c r="AP113" s="252">
        <f t="shared" si="101"/>
        <v>0</v>
      </c>
      <c r="AQ113" s="252">
        <f t="shared" si="101"/>
        <v>0</v>
      </c>
      <c r="AR113" s="252">
        <f t="shared" si="101"/>
        <v>0</v>
      </c>
      <c r="AS113" s="252">
        <f t="shared" si="101"/>
        <v>0</v>
      </c>
      <c r="AT113" s="252">
        <f t="shared" si="101"/>
        <v>0</v>
      </c>
      <c r="AU113" s="252">
        <f t="shared" si="101"/>
        <v>0</v>
      </c>
      <c r="AV113" s="252">
        <f t="shared" si="101"/>
        <v>0</v>
      </c>
      <c r="AW113" s="252">
        <f t="shared" si="101"/>
        <v>0</v>
      </c>
      <c r="AX113" s="252">
        <f t="shared" si="101"/>
        <v>0</v>
      </c>
      <c r="AY113" s="252">
        <f t="shared" si="101"/>
        <v>0</v>
      </c>
      <c r="AZ113" s="252">
        <f t="shared" si="101"/>
        <v>0</v>
      </c>
      <c r="BA113" s="252">
        <f t="shared" si="101"/>
        <v>0</v>
      </c>
    </row>
    <row r="114" ht="15.75" customHeight="1">
      <c r="A114" s="823">
        <v>1995.0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37"/>
        <v>0</v>
      </c>
      <c r="X114" s="252">
        <f t="shared" ref="X114:BA114" si="102">IF(AND(X$48-$A114&gt;$V$34,SUM($W114:W114)&lt;&gt;$V114),$V114,0)</f>
        <v>0</v>
      </c>
      <c r="Y114" s="252">
        <f t="shared" si="102"/>
        <v>0</v>
      </c>
      <c r="Z114" s="252">
        <f t="shared" si="102"/>
        <v>0</v>
      </c>
      <c r="AA114" s="252">
        <f t="shared" si="102"/>
        <v>0</v>
      </c>
      <c r="AB114" s="252">
        <f t="shared" si="102"/>
        <v>0</v>
      </c>
      <c r="AC114" s="252">
        <f t="shared" si="102"/>
        <v>0</v>
      </c>
      <c r="AD114" s="252">
        <f t="shared" si="102"/>
        <v>0</v>
      </c>
      <c r="AE114" s="252">
        <f t="shared" si="102"/>
        <v>0</v>
      </c>
      <c r="AF114" s="252">
        <f t="shared" si="102"/>
        <v>0</v>
      </c>
      <c r="AG114" s="252">
        <f t="shared" si="102"/>
        <v>0</v>
      </c>
      <c r="AH114" s="252">
        <f t="shared" si="102"/>
        <v>0</v>
      </c>
      <c r="AI114" s="252">
        <f t="shared" si="102"/>
        <v>0</v>
      </c>
      <c r="AJ114" s="252">
        <f t="shared" si="102"/>
        <v>0</v>
      </c>
      <c r="AK114" s="252">
        <f t="shared" si="102"/>
        <v>0</v>
      </c>
      <c r="AL114" s="252">
        <f t="shared" si="102"/>
        <v>0</v>
      </c>
      <c r="AM114" s="252">
        <f t="shared" si="102"/>
        <v>0</v>
      </c>
      <c r="AN114" s="252">
        <f t="shared" si="102"/>
        <v>0</v>
      </c>
      <c r="AO114" s="252">
        <f t="shared" si="102"/>
        <v>0</v>
      </c>
      <c r="AP114" s="252">
        <f t="shared" si="102"/>
        <v>0</v>
      </c>
      <c r="AQ114" s="252">
        <f t="shared" si="102"/>
        <v>0</v>
      </c>
      <c r="AR114" s="252">
        <f t="shared" si="102"/>
        <v>0</v>
      </c>
      <c r="AS114" s="252">
        <f t="shared" si="102"/>
        <v>0</v>
      </c>
      <c r="AT114" s="252">
        <f t="shared" si="102"/>
        <v>0</v>
      </c>
      <c r="AU114" s="252">
        <f t="shared" si="102"/>
        <v>0</v>
      </c>
      <c r="AV114" s="252">
        <f t="shared" si="102"/>
        <v>0</v>
      </c>
      <c r="AW114" s="252">
        <f t="shared" si="102"/>
        <v>0</v>
      </c>
      <c r="AX114" s="252">
        <f t="shared" si="102"/>
        <v>0</v>
      </c>
      <c r="AY114" s="252">
        <f t="shared" si="102"/>
        <v>0</v>
      </c>
      <c r="AZ114" s="252">
        <f t="shared" si="102"/>
        <v>0</v>
      </c>
      <c r="BA114" s="252">
        <f t="shared" si="102"/>
        <v>0</v>
      </c>
    </row>
    <row r="115" ht="15.75" customHeight="1">
      <c r="A115" s="823">
        <v>1996.0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37"/>
        <v>0</v>
      </c>
      <c r="X115" s="252">
        <f t="shared" ref="X115:BA115" si="103">IF(AND(X$48-$A115&gt;$V$34,SUM($W115:W115)&lt;&gt;$V115),$V115,0)</f>
        <v>0</v>
      </c>
      <c r="Y115" s="252">
        <f t="shared" si="103"/>
        <v>0</v>
      </c>
      <c r="Z115" s="252">
        <f t="shared" si="103"/>
        <v>0</v>
      </c>
      <c r="AA115" s="252">
        <f t="shared" si="103"/>
        <v>0</v>
      </c>
      <c r="AB115" s="252">
        <f t="shared" si="103"/>
        <v>0</v>
      </c>
      <c r="AC115" s="252">
        <f t="shared" si="103"/>
        <v>0</v>
      </c>
      <c r="AD115" s="252">
        <f t="shared" si="103"/>
        <v>0</v>
      </c>
      <c r="AE115" s="252">
        <f t="shared" si="103"/>
        <v>0</v>
      </c>
      <c r="AF115" s="252">
        <f t="shared" si="103"/>
        <v>0</v>
      </c>
      <c r="AG115" s="252">
        <f t="shared" si="103"/>
        <v>0</v>
      </c>
      <c r="AH115" s="252">
        <f t="shared" si="103"/>
        <v>0</v>
      </c>
      <c r="AI115" s="252">
        <f t="shared" si="103"/>
        <v>0</v>
      </c>
      <c r="AJ115" s="252">
        <f t="shared" si="103"/>
        <v>0</v>
      </c>
      <c r="AK115" s="252">
        <f t="shared" si="103"/>
        <v>0</v>
      </c>
      <c r="AL115" s="252">
        <f t="shared" si="103"/>
        <v>0</v>
      </c>
      <c r="AM115" s="252">
        <f t="shared" si="103"/>
        <v>0</v>
      </c>
      <c r="AN115" s="252">
        <f t="shared" si="103"/>
        <v>0</v>
      </c>
      <c r="AO115" s="252">
        <f t="shared" si="103"/>
        <v>0</v>
      </c>
      <c r="AP115" s="252">
        <f t="shared" si="103"/>
        <v>0</v>
      </c>
      <c r="AQ115" s="252">
        <f t="shared" si="103"/>
        <v>0</v>
      </c>
      <c r="AR115" s="252">
        <f t="shared" si="103"/>
        <v>0</v>
      </c>
      <c r="AS115" s="252">
        <f t="shared" si="103"/>
        <v>0</v>
      </c>
      <c r="AT115" s="252">
        <f t="shared" si="103"/>
        <v>0</v>
      </c>
      <c r="AU115" s="252">
        <f t="shared" si="103"/>
        <v>0</v>
      </c>
      <c r="AV115" s="252">
        <f t="shared" si="103"/>
        <v>0</v>
      </c>
      <c r="AW115" s="252">
        <f t="shared" si="103"/>
        <v>0</v>
      </c>
      <c r="AX115" s="252">
        <f t="shared" si="103"/>
        <v>0</v>
      </c>
      <c r="AY115" s="252">
        <f t="shared" si="103"/>
        <v>0</v>
      </c>
      <c r="AZ115" s="252">
        <f t="shared" si="103"/>
        <v>0</v>
      </c>
      <c r="BA115" s="252">
        <f t="shared" si="103"/>
        <v>0</v>
      </c>
    </row>
    <row r="116" ht="15.75" customHeight="1">
      <c r="A116" s="823">
        <v>1997.0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37"/>
        <v>0</v>
      </c>
      <c r="X116" s="252">
        <f t="shared" ref="X116:BA116" si="104">IF(AND(X$48-$A116&gt;$V$34,SUM($W116:W116)&lt;&gt;$V116),$V116,0)</f>
        <v>0</v>
      </c>
      <c r="Y116" s="252">
        <f t="shared" si="104"/>
        <v>0</v>
      </c>
      <c r="Z116" s="252">
        <f t="shared" si="104"/>
        <v>0</v>
      </c>
      <c r="AA116" s="252">
        <f t="shared" si="104"/>
        <v>0</v>
      </c>
      <c r="AB116" s="252">
        <f t="shared" si="104"/>
        <v>0</v>
      </c>
      <c r="AC116" s="252">
        <f t="shared" si="104"/>
        <v>0</v>
      </c>
      <c r="AD116" s="252">
        <f t="shared" si="104"/>
        <v>0</v>
      </c>
      <c r="AE116" s="252">
        <f t="shared" si="104"/>
        <v>0</v>
      </c>
      <c r="AF116" s="252">
        <f t="shared" si="104"/>
        <v>0</v>
      </c>
      <c r="AG116" s="252">
        <f t="shared" si="104"/>
        <v>0</v>
      </c>
      <c r="AH116" s="252">
        <f t="shared" si="104"/>
        <v>0</v>
      </c>
      <c r="AI116" s="252">
        <f t="shared" si="104"/>
        <v>0</v>
      </c>
      <c r="AJ116" s="252">
        <f t="shared" si="104"/>
        <v>0</v>
      </c>
      <c r="AK116" s="252">
        <f t="shared" si="104"/>
        <v>0</v>
      </c>
      <c r="AL116" s="252">
        <f t="shared" si="104"/>
        <v>0</v>
      </c>
      <c r="AM116" s="252">
        <f t="shared" si="104"/>
        <v>0</v>
      </c>
      <c r="AN116" s="252">
        <f t="shared" si="104"/>
        <v>0</v>
      </c>
      <c r="AO116" s="252">
        <f t="shared" si="104"/>
        <v>0</v>
      </c>
      <c r="AP116" s="252">
        <f t="shared" si="104"/>
        <v>0</v>
      </c>
      <c r="AQ116" s="252">
        <f t="shared" si="104"/>
        <v>0</v>
      </c>
      <c r="AR116" s="252">
        <f t="shared" si="104"/>
        <v>0</v>
      </c>
      <c r="AS116" s="252">
        <f t="shared" si="104"/>
        <v>0</v>
      </c>
      <c r="AT116" s="252">
        <f t="shared" si="104"/>
        <v>0</v>
      </c>
      <c r="AU116" s="252">
        <f t="shared" si="104"/>
        <v>0</v>
      </c>
      <c r="AV116" s="252">
        <f t="shared" si="104"/>
        <v>0</v>
      </c>
      <c r="AW116" s="252">
        <f t="shared" si="104"/>
        <v>0</v>
      </c>
      <c r="AX116" s="252">
        <f t="shared" si="104"/>
        <v>0</v>
      </c>
      <c r="AY116" s="252">
        <f t="shared" si="104"/>
        <v>0</v>
      </c>
      <c r="AZ116" s="252">
        <f t="shared" si="104"/>
        <v>0</v>
      </c>
      <c r="BA116" s="252">
        <f t="shared" si="104"/>
        <v>0</v>
      </c>
    </row>
    <row r="117" ht="15.75" customHeight="1">
      <c r="A117" s="823">
        <v>1998.0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37"/>
        <v>0</v>
      </c>
      <c r="X117" s="252">
        <f t="shared" ref="X117:BA117" si="105">IF(AND(X$48-$A117&gt;$V$34,SUM($W117:W117)&lt;&gt;$V117),$V117,0)</f>
        <v>0</v>
      </c>
      <c r="Y117" s="252">
        <f t="shared" si="105"/>
        <v>0</v>
      </c>
      <c r="Z117" s="252">
        <f t="shared" si="105"/>
        <v>0</v>
      </c>
      <c r="AA117" s="252">
        <f t="shared" si="105"/>
        <v>0</v>
      </c>
      <c r="AB117" s="252">
        <f t="shared" si="105"/>
        <v>0</v>
      </c>
      <c r="AC117" s="252">
        <f t="shared" si="105"/>
        <v>0</v>
      </c>
      <c r="AD117" s="252">
        <f t="shared" si="105"/>
        <v>0</v>
      </c>
      <c r="AE117" s="252">
        <f t="shared" si="105"/>
        <v>0</v>
      </c>
      <c r="AF117" s="252">
        <f t="shared" si="105"/>
        <v>0</v>
      </c>
      <c r="AG117" s="252">
        <f t="shared" si="105"/>
        <v>0</v>
      </c>
      <c r="AH117" s="252">
        <f t="shared" si="105"/>
        <v>0</v>
      </c>
      <c r="AI117" s="252">
        <f t="shared" si="105"/>
        <v>0</v>
      </c>
      <c r="AJ117" s="252">
        <f t="shared" si="105"/>
        <v>0</v>
      </c>
      <c r="AK117" s="252">
        <f t="shared" si="105"/>
        <v>0</v>
      </c>
      <c r="AL117" s="252">
        <f t="shared" si="105"/>
        <v>0</v>
      </c>
      <c r="AM117" s="252">
        <f t="shared" si="105"/>
        <v>0</v>
      </c>
      <c r="AN117" s="252">
        <f t="shared" si="105"/>
        <v>0</v>
      </c>
      <c r="AO117" s="252">
        <f t="shared" si="105"/>
        <v>0</v>
      </c>
      <c r="AP117" s="252">
        <f t="shared" si="105"/>
        <v>0</v>
      </c>
      <c r="AQ117" s="252">
        <f t="shared" si="105"/>
        <v>0</v>
      </c>
      <c r="AR117" s="252">
        <f t="shared" si="105"/>
        <v>0</v>
      </c>
      <c r="AS117" s="252">
        <f t="shared" si="105"/>
        <v>0</v>
      </c>
      <c r="AT117" s="252">
        <f t="shared" si="105"/>
        <v>0</v>
      </c>
      <c r="AU117" s="252">
        <f t="shared" si="105"/>
        <v>0</v>
      </c>
      <c r="AV117" s="252">
        <f t="shared" si="105"/>
        <v>0</v>
      </c>
      <c r="AW117" s="252">
        <f t="shared" si="105"/>
        <v>0</v>
      </c>
      <c r="AX117" s="252">
        <f t="shared" si="105"/>
        <v>0</v>
      </c>
      <c r="AY117" s="252">
        <f t="shared" si="105"/>
        <v>0</v>
      </c>
      <c r="AZ117" s="252">
        <f t="shared" si="105"/>
        <v>0</v>
      </c>
      <c r="BA117" s="252">
        <f t="shared" si="105"/>
        <v>0</v>
      </c>
    </row>
    <row r="118" ht="15.75" customHeight="1">
      <c r="A118" s="823">
        <v>1999.0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37"/>
        <v>0</v>
      </c>
      <c r="X118" s="252">
        <f t="shared" ref="X118:BA118" si="106">IF(AND(X$48-$A118&gt;$V$34,SUM($W118:W118)&lt;&gt;$V118),$V118,0)</f>
        <v>0</v>
      </c>
      <c r="Y118" s="252">
        <f t="shared" si="106"/>
        <v>0</v>
      </c>
      <c r="Z118" s="252">
        <f t="shared" si="106"/>
        <v>0</v>
      </c>
      <c r="AA118" s="252">
        <f t="shared" si="106"/>
        <v>0</v>
      </c>
      <c r="AB118" s="252">
        <f t="shared" si="106"/>
        <v>0</v>
      </c>
      <c r="AC118" s="252">
        <f t="shared" si="106"/>
        <v>0</v>
      </c>
      <c r="AD118" s="252">
        <f t="shared" si="106"/>
        <v>0</v>
      </c>
      <c r="AE118" s="252">
        <f t="shared" si="106"/>
        <v>0</v>
      </c>
      <c r="AF118" s="252">
        <f t="shared" si="106"/>
        <v>0</v>
      </c>
      <c r="AG118" s="252">
        <f t="shared" si="106"/>
        <v>0</v>
      </c>
      <c r="AH118" s="252">
        <f t="shared" si="106"/>
        <v>0</v>
      </c>
      <c r="AI118" s="252">
        <f t="shared" si="106"/>
        <v>0</v>
      </c>
      <c r="AJ118" s="252">
        <f t="shared" si="106"/>
        <v>0</v>
      </c>
      <c r="AK118" s="252">
        <f t="shared" si="106"/>
        <v>0</v>
      </c>
      <c r="AL118" s="252">
        <f t="shared" si="106"/>
        <v>0</v>
      </c>
      <c r="AM118" s="252">
        <f t="shared" si="106"/>
        <v>0</v>
      </c>
      <c r="AN118" s="252">
        <f t="shared" si="106"/>
        <v>0</v>
      </c>
      <c r="AO118" s="252">
        <f t="shared" si="106"/>
        <v>0</v>
      </c>
      <c r="AP118" s="252">
        <f t="shared" si="106"/>
        <v>0</v>
      </c>
      <c r="AQ118" s="252">
        <f t="shared" si="106"/>
        <v>0</v>
      </c>
      <c r="AR118" s="252">
        <f t="shared" si="106"/>
        <v>0</v>
      </c>
      <c r="AS118" s="252">
        <f t="shared" si="106"/>
        <v>0</v>
      </c>
      <c r="AT118" s="252">
        <f t="shared" si="106"/>
        <v>0</v>
      </c>
      <c r="AU118" s="252">
        <f t="shared" si="106"/>
        <v>0</v>
      </c>
      <c r="AV118" s="252">
        <f t="shared" si="106"/>
        <v>0</v>
      </c>
      <c r="AW118" s="252">
        <f t="shared" si="106"/>
        <v>0</v>
      </c>
      <c r="AX118" s="252">
        <f t="shared" si="106"/>
        <v>0</v>
      </c>
      <c r="AY118" s="252">
        <f t="shared" si="106"/>
        <v>0</v>
      </c>
      <c r="AZ118" s="252">
        <f t="shared" si="106"/>
        <v>0</v>
      </c>
      <c r="BA118" s="252">
        <f t="shared" si="106"/>
        <v>0</v>
      </c>
    </row>
    <row r="119" ht="15.75" customHeight="1">
      <c r="A119" s="823">
        <v>2000.0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37"/>
        <v>0</v>
      </c>
      <c r="X119" s="252">
        <f t="shared" ref="X119:BA119" si="107">IF(AND(X$48-$A119&gt;$V$34,SUM($W119:W119)&lt;&gt;$V119),$V119,0)</f>
        <v>0</v>
      </c>
      <c r="Y119" s="252">
        <f t="shared" si="107"/>
        <v>0</v>
      </c>
      <c r="Z119" s="252">
        <f t="shared" si="107"/>
        <v>0</v>
      </c>
      <c r="AA119" s="252">
        <f t="shared" si="107"/>
        <v>0</v>
      </c>
      <c r="AB119" s="252">
        <f t="shared" si="107"/>
        <v>0</v>
      </c>
      <c r="AC119" s="252">
        <f t="shared" si="107"/>
        <v>0</v>
      </c>
      <c r="AD119" s="252">
        <f t="shared" si="107"/>
        <v>0</v>
      </c>
      <c r="AE119" s="252">
        <f t="shared" si="107"/>
        <v>0</v>
      </c>
      <c r="AF119" s="252">
        <f t="shared" si="107"/>
        <v>0</v>
      </c>
      <c r="AG119" s="252">
        <f t="shared" si="107"/>
        <v>0</v>
      </c>
      <c r="AH119" s="252">
        <f t="shared" si="107"/>
        <v>0</v>
      </c>
      <c r="AI119" s="252">
        <f t="shared" si="107"/>
        <v>0</v>
      </c>
      <c r="AJ119" s="252">
        <f t="shared" si="107"/>
        <v>0</v>
      </c>
      <c r="AK119" s="252">
        <f t="shared" si="107"/>
        <v>0</v>
      </c>
      <c r="AL119" s="252">
        <f t="shared" si="107"/>
        <v>0</v>
      </c>
      <c r="AM119" s="252">
        <f t="shared" si="107"/>
        <v>0</v>
      </c>
      <c r="AN119" s="252">
        <f t="shared" si="107"/>
        <v>0</v>
      </c>
      <c r="AO119" s="252">
        <f t="shared" si="107"/>
        <v>0</v>
      </c>
      <c r="AP119" s="252">
        <f t="shared" si="107"/>
        <v>0</v>
      </c>
      <c r="AQ119" s="252">
        <f t="shared" si="107"/>
        <v>0</v>
      </c>
      <c r="AR119" s="252">
        <f t="shared" si="107"/>
        <v>0</v>
      </c>
      <c r="AS119" s="252">
        <f t="shared" si="107"/>
        <v>0</v>
      </c>
      <c r="AT119" s="252">
        <f t="shared" si="107"/>
        <v>0</v>
      </c>
      <c r="AU119" s="252">
        <f t="shared" si="107"/>
        <v>0</v>
      </c>
      <c r="AV119" s="252">
        <f t="shared" si="107"/>
        <v>0</v>
      </c>
      <c r="AW119" s="252">
        <f t="shared" si="107"/>
        <v>0</v>
      </c>
      <c r="AX119" s="252">
        <f t="shared" si="107"/>
        <v>0</v>
      </c>
      <c r="AY119" s="252">
        <f t="shared" si="107"/>
        <v>0</v>
      </c>
      <c r="AZ119" s="252">
        <f t="shared" si="107"/>
        <v>0</v>
      </c>
      <c r="BA119" s="252">
        <f t="shared" si="107"/>
        <v>0</v>
      </c>
    </row>
    <row r="120" ht="15.75" customHeight="1">
      <c r="A120" s="823">
        <v>2001.0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37"/>
        <v>0</v>
      </c>
      <c r="X120" s="252">
        <f t="shared" ref="X120:BA120" si="108">IF(AND(X$48-$A120&gt;$V$34,SUM($W120:W120)&lt;&gt;$V120),$V120,0)</f>
        <v>0</v>
      </c>
      <c r="Y120" s="252">
        <f t="shared" si="108"/>
        <v>0</v>
      </c>
      <c r="Z120" s="252">
        <f t="shared" si="108"/>
        <v>0</v>
      </c>
      <c r="AA120" s="252">
        <f t="shared" si="108"/>
        <v>0</v>
      </c>
      <c r="AB120" s="252">
        <f t="shared" si="108"/>
        <v>0</v>
      </c>
      <c r="AC120" s="252">
        <f t="shared" si="108"/>
        <v>0</v>
      </c>
      <c r="AD120" s="252">
        <f t="shared" si="108"/>
        <v>0</v>
      </c>
      <c r="AE120" s="252">
        <f t="shared" si="108"/>
        <v>0</v>
      </c>
      <c r="AF120" s="252">
        <f t="shared" si="108"/>
        <v>0</v>
      </c>
      <c r="AG120" s="252">
        <f t="shared" si="108"/>
        <v>0</v>
      </c>
      <c r="AH120" s="252">
        <f t="shared" si="108"/>
        <v>0</v>
      </c>
      <c r="AI120" s="252">
        <f t="shared" si="108"/>
        <v>0</v>
      </c>
      <c r="AJ120" s="252">
        <f t="shared" si="108"/>
        <v>0</v>
      </c>
      <c r="AK120" s="252">
        <f t="shared" si="108"/>
        <v>0</v>
      </c>
      <c r="AL120" s="252">
        <f t="shared" si="108"/>
        <v>0</v>
      </c>
      <c r="AM120" s="252">
        <f t="shared" si="108"/>
        <v>0</v>
      </c>
      <c r="AN120" s="252">
        <f t="shared" si="108"/>
        <v>0</v>
      </c>
      <c r="AO120" s="252">
        <f t="shared" si="108"/>
        <v>0</v>
      </c>
      <c r="AP120" s="252">
        <f t="shared" si="108"/>
        <v>0</v>
      </c>
      <c r="AQ120" s="252">
        <f t="shared" si="108"/>
        <v>0</v>
      </c>
      <c r="AR120" s="252">
        <f t="shared" si="108"/>
        <v>0</v>
      </c>
      <c r="AS120" s="252">
        <f t="shared" si="108"/>
        <v>0</v>
      </c>
      <c r="AT120" s="252">
        <f t="shared" si="108"/>
        <v>0</v>
      </c>
      <c r="AU120" s="252">
        <f t="shared" si="108"/>
        <v>0</v>
      </c>
      <c r="AV120" s="252">
        <f t="shared" si="108"/>
        <v>0</v>
      </c>
      <c r="AW120" s="252">
        <f t="shared" si="108"/>
        <v>0</v>
      </c>
      <c r="AX120" s="252">
        <f t="shared" si="108"/>
        <v>0</v>
      </c>
      <c r="AY120" s="252">
        <f t="shared" si="108"/>
        <v>0</v>
      </c>
      <c r="AZ120" s="252">
        <f t="shared" si="108"/>
        <v>0</v>
      </c>
      <c r="BA120" s="252">
        <f t="shared" si="108"/>
        <v>0</v>
      </c>
    </row>
    <row r="121" ht="15.75" customHeight="1">
      <c r="A121" s="823">
        <v>2002.0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37"/>
        <v>0</v>
      </c>
      <c r="X121" s="252">
        <f t="shared" ref="X121:BA121" si="109">IF(AND(X$48-$A121&gt;$V$34,SUM($W121:W121)&lt;&gt;$V121),$V121,0)</f>
        <v>0</v>
      </c>
      <c r="Y121" s="252">
        <f t="shared" si="109"/>
        <v>0</v>
      </c>
      <c r="Z121" s="252">
        <f t="shared" si="109"/>
        <v>0</v>
      </c>
      <c r="AA121" s="252">
        <f t="shared" si="109"/>
        <v>0</v>
      </c>
      <c r="AB121" s="252">
        <f t="shared" si="109"/>
        <v>0</v>
      </c>
      <c r="AC121" s="252">
        <f t="shared" si="109"/>
        <v>0</v>
      </c>
      <c r="AD121" s="252">
        <f t="shared" si="109"/>
        <v>0</v>
      </c>
      <c r="AE121" s="252">
        <f t="shared" si="109"/>
        <v>0</v>
      </c>
      <c r="AF121" s="252">
        <f t="shared" si="109"/>
        <v>0</v>
      </c>
      <c r="AG121" s="252">
        <f t="shared" si="109"/>
        <v>0</v>
      </c>
      <c r="AH121" s="252">
        <f t="shared" si="109"/>
        <v>0</v>
      </c>
      <c r="AI121" s="252">
        <f t="shared" si="109"/>
        <v>0</v>
      </c>
      <c r="AJ121" s="252">
        <f t="shared" si="109"/>
        <v>0</v>
      </c>
      <c r="AK121" s="252">
        <f t="shared" si="109"/>
        <v>0</v>
      </c>
      <c r="AL121" s="252">
        <f t="shared" si="109"/>
        <v>0</v>
      </c>
      <c r="AM121" s="252">
        <f t="shared" si="109"/>
        <v>0</v>
      </c>
      <c r="AN121" s="252">
        <f t="shared" si="109"/>
        <v>0</v>
      </c>
      <c r="AO121" s="252">
        <f t="shared" si="109"/>
        <v>0</v>
      </c>
      <c r="AP121" s="252">
        <f t="shared" si="109"/>
        <v>0</v>
      </c>
      <c r="AQ121" s="252">
        <f t="shared" si="109"/>
        <v>0</v>
      </c>
      <c r="AR121" s="252">
        <f t="shared" si="109"/>
        <v>0</v>
      </c>
      <c r="AS121" s="252">
        <f t="shared" si="109"/>
        <v>0</v>
      </c>
      <c r="AT121" s="252">
        <f t="shared" si="109"/>
        <v>0</v>
      </c>
      <c r="AU121" s="252">
        <f t="shared" si="109"/>
        <v>0</v>
      </c>
      <c r="AV121" s="252">
        <f t="shared" si="109"/>
        <v>0</v>
      </c>
      <c r="AW121" s="252">
        <f t="shared" si="109"/>
        <v>0</v>
      </c>
      <c r="AX121" s="252">
        <f t="shared" si="109"/>
        <v>0</v>
      </c>
      <c r="AY121" s="252">
        <f t="shared" si="109"/>
        <v>0</v>
      </c>
      <c r="AZ121" s="252">
        <f t="shared" si="109"/>
        <v>0</v>
      </c>
      <c r="BA121" s="252">
        <f t="shared" si="109"/>
        <v>0</v>
      </c>
    </row>
    <row r="122" ht="15.75" customHeight="1">
      <c r="A122" s="823">
        <v>2003.0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37"/>
        <v>0</v>
      </c>
      <c r="X122" s="252">
        <f t="shared" ref="X122:BA122" si="110">IF(AND(X$48-$A122&gt;$V$34,SUM($W122:W122)&lt;&gt;$V122),$V122,0)</f>
        <v>0</v>
      </c>
      <c r="Y122" s="252">
        <f t="shared" si="110"/>
        <v>0</v>
      </c>
      <c r="Z122" s="252">
        <f t="shared" si="110"/>
        <v>0</v>
      </c>
      <c r="AA122" s="252">
        <f t="shared" si="110"/>
        <v>0</v>
      </c>
      <c r="AB122" s="252">
        <f t="shared" si="110"/>
        <v>0</v>
      </c>
      <c r="AC122" s="252">
        <f t="shared" si="110"/>
        <v>0</v>
      </c>
      <c r="AD122" s="252">
        <f t="shared" si="110"/>
        <v>0</v>
      </c>
      <c r="AE122" s="252">
        <f t="shared" si="110"/>
        <v>0</v>
      </c>
      <c r="AF122" s="252">
        <f t="shared" si="110"/>
        <v>0</v>
      </c>
      <c r="AG122" s="252">
        <f t="shared" si="110"/>
        <v>0</v>
      </c>
      <c r="AH122" s="252">
        <f t="shared" si="110"/>
        <v>0</v>
      </c>
      <c r="AI122" s="252">
        <f t="shared" si="110"/>
        <v>0</v>
      </c>
      <c r="AJ122" s="252">
        <f t="shared" si="110"/>
        <v>0</v>
      </c>
      <c r="AK122" s="252">
        <f t="shared" si="110"/>
        <v>0</v>
      </c>
      <c r="AL122" s="252">
        <f t="shared" si="110"/>
        <v>0</v>
      </c>
      <c r="AM122" s="252">
        <f t="shared" si="110"/>
        <v>0</v>
      </c>
      <c r="AN122" s="252">
        <f t="shared" si="110"/>
        <v>0</v>
      </c>
      <c r="AO122" s="252">
        <f t="shared" si="110"/>
        <v>0</v>
      </c>
      <c r="AP122" s="252">
        <f t="shared" si="110"/>
        <v>0</v>
      </c>
      <c r="AQ122" s="252">
        <f t="shared" si="110"/>
        <v>0</v>
      </c>
      <c r="AR122" s="252">
        <f t="shared" si="110"/>
        <v>0</v>
      </c>
      <c r="AS122" s="252">
        <f t="shared" si="110"/>
        <v>0</v>
      </c>
      <c r="AT122" s="252">
        <f t="shared" si="110"/>
        <v>0</v>
      </c>
      <c r="AU122" s="252">
        <f t="shared" si="110"/>
        <v>0</v>
      </c>
      <c r="AV122" s="252">
        <f t="shared" si="110"/>
        <v>0</v>
      </c>
      <c r="AW122" s="252">
        <f t="shared" si="110"/>
        <v>0</v>
      </c>
      <c r="AX122" s="252">
        <f t="shared" si="110"/>
        <v>0</v>
      </c>
      <c r="AY122" s="252">
        <f t="shared" si="110"/>
        <v>0</v>
      </c>
      <c r="AZ122" s="252">
        <f t="shared" si="110"/>
        <v>0</v>
      </c>
      <c r="BA122" s="252">
        <f t="shared" si="110"/>
        <v>0</v>
      </c>
    </row>
    <row r="123" ht="15.75" customHeight="1">
      <c r="A123" s="252">
        <v>2004.0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37"/>
        <v>0</v>
      </c>
      <c r="X123" s="252">
        <f t="shared" ref="X123:BA123" si="111">IF(AND(X$48-$A123&gt;$V$34,SUM($W123:W123)&lt;&gt;$V123),$V123,0)</f>
        <v>0</v>
      </c>
      <c r="Y123" s="252">
        <f t="shared" si="111"/>
        <v>0</v>
      </c>
      <c r="Z123" s="252">
        <f t="shared" si="111"/>
        <v>0</v>
      </c>
      <c r="AA123" s="252">
        <f t="shared" si="111"/>
        <v>0</v>
      </c>
      <c r="AB123" s="252">
        <f t="shared" si="111"/>
        <v>0</v>
      </c>
      <c r="AC123" s="252">
        <f t="shared" si="111"/>
        <v>0</v>
      </c>
      <c r="AD123" s="252">
        <f t="shared" si="111"/>
        <v>0</v>
      </c>
      <c r="AE123" s="252">
        <f t="shared" si="111"/>
        <v>0</v>
      </c>
      <c r="AF123" s="252">
        <f t="shared" si="111"/>
        <v>0</v>
      </c>
      <c r="AG123" s="252">
        <f t="shared" si="111"/>
        <v>0</v>
      </c>
      <c r="AH123" s="252">
        <f t="shared" si="111"/>
        <v>0</v>
      </c>
      <c r="AI123" s="252">
        <f t="shared" si="111"/>
        <v>0</v>
      </c>
      <c r="AJ123" s="252">
        <f t="shared" si="111"/>
        <v>0</v>
      </c>
      <c r="AK123" s="252">
        <f t="shared" si="111"/>
        <v>0</v>
      </c>
      <c r="AL123" s="252">
        <f t="shared" si="111"/>
        <v>0</v>
      </c>
      <c r="AM123" s="252">
        <f t="shared" si="111"/>
        <v>0</v>
      </c>
      <c r="AN123" s="252">
        <f t="shared" si="111"/>
        <v>0</v>
      </c>
      <c r="AO123" s="252">
        <f t="shared" si="111"/>
        <v>0</v>
      </c>
      <c r="AP123" s="252">
        <f t="shared" si="111"/>
        <v>0</v>
      </c>
      <c r="AQ123" s="252">
        <f t="shared" si="111"/>
        <v>0</v>
      </c>
      <c r="AR123" s="252">
        <f t="shared" si="111"/>
        <v>0</v>
      </c>
      <c r="AS123" s="252">
        <f t="shared" si="111"/>
        <v>0</v>
      </c>
      <c r="AT123" s="252">
        <f t="shared" si="111"/>
        <v>0</v>
      </c>
      <c r="AU123" s="252">
        <f t="shared" si="111"/>
        <v>0</v>
      </c>
      <c r="AV123" s="252">
        <f t="shared" si="111"/>
        <v>0</v>
      </c>
      <c r="AW123" s="252">
        <f t="shared" si="111"/>
        <v>0</v>
      </c>
      <c r="AX123" s="252">
        <f t="shared" si="111"/>
        <v>0</v>
      </c>
      <c r="AY123" s="252">
        <f t="shared" si="111"/>
        <v>0</v>
      </c>
      <c r="AZ123" s="252">
        <f t="shared" si="111"/>
        <v>0</v>
      </c>
      <c r="BA123" s="252">
        <f t="shared" si="111"/>
        <v>0</v>
      </c>
    </row>
    <row r="124" ht="15.75" customHeight="1">
      <c r="A124" s="252">
        <v>2005.0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37"/>
        <v>0</v>
      </c>
      <c r="X124" s="252">
        <f t="shared" ref="X124:BA124" si="112">IF(AND(X$48-$A124&gt;$V$34,SUM($W124:W124)&lt;&gt;$V124),$V124,0)</f>
        <v>0</v>
      </c>
      <c r="Y124" s="252">
        <f t="shared" si="112"/>
        <v>0</v>
      </c>
      <c r="Z124" s="252">
        <f t="shared" si="112"/>
        <v>0</v>
      </c>
      <c r="AA124" s="252">
        <f t="shared" si="112"/>
        <v>0</v>
      </c>
      <c r="AB124" s="252">
        <f t="shared" si="112"/>
        <v>0</v>
      </c>
      <c r="AC124" s="252">
        <f t="shared" si="112"/>
        <v>0</v>
      </c>
      <c r="AD124" s="252">
        <f t="shared" si="112"/>
        <v>0</v>
      </c>
      <c r="AE124" s="252">
        <f t="shared" si="112"/>
        <v>0</v>
      </c>
      <c r="AF124" s="252">
        <f t="shared" si="112"/>
        <v>0</v>
      </c>
      <c r="AG124" s="252">
        <f t="shared" si="112"/>
        <v>0</v>
      </c>
      <c r="AH124" s="252">
        <f t="shared" si="112"/>
        <v>0</v>
      </c>
      <c r="AI124" s="252">
        <f t="shared" si="112"/>
        <v>0</v>
      </c>
      <c r="AJ124" s="252">
        <f t="shared" si="112"/>
        <v>0</v>
      </c>
      <c r="AK124" s="252">
        <f t="shared" si="112"/>
        <v>0</v>
      </c>
      <c r="AL124" s="252">
        <f t="shared" si="112"/>
        <v>0</v>
      </c>
      <c r="AM124" s="252">
        <f t="shared" si="112"/>
        <v>0</v>
      </c>
      <c r="AN124" s="252">
        <f t="shared" si="112"/>
        <v>0</v>
      </c>
      <c r="AO124" s="252">
        <f t="shared" si="112"/>
        <v>0</v>
      </c>
      <c r="AP124" s="252">
        <f t="shared" si="112"/>
        <v>0</v>
      </c>
      <c r="AQ124" s="252">
        <f t="shared" si="112"/>
        <v>0</v>
      </c>
      <c r="AR124" s="252">
        <f t="shared" si="112"/>
        <v>0</v>
      </c>
      <c r="AS124" s="252">
        <f t="shared" si="112"/>
        <v>0</v>
      </c>
      <c r="AT124" s="252">
        <f t="shared" si="112"/>
        <v>0</v>
      </c>
      <c r="AU124" s="252">
        <f t="shared" si="112"/>
        <v>0</v>
      </c>
      <c r="AV124" s="252">
        <f t="shared" si="112"/>
        <v>0</v>
      </c>
      <c r="AW124" s="252">
        <f t="shared" si="112"/>
        <v>0</v>
      </c>
      <c r="AX124" s="252">
        <f t="shared" si="112"/>
        <v>0</v>
      </c>
      <c r="AY124" s="252">
        <f t="shared" si="112"/>
        <v>0</v>
      </c>
      <c r="AZ124" s="252">
        <f t="shared" si="112"/>
        <v>0</v>
      </c>
      <c r="BA124" s="252">
        <f t="shared" si="112"/>
        <v>0</v>
      </c>
    </row>
    <row r="125" ht="15.75" customHeight="1">
      <c r="A125" s="252">
        <v>2006.0</v>
      </c>
      <c r="B125" s="748"/>
      <c r="C125" s="748"/>
      <c r="D125" s="748"/>
      <c r="E125" s="748"/>
      <c r="F125" s="748"/>
      <c r="G125" s="748"/>
      <c r="H125" s="748"/>
      <c r="I125" s="748"/>
      <c r="J125" s="748"/>
      <c r="K125" s="748"/>
      <c r="L125" s="748"/>
      <c r="M125" s="748"/>
      <c r="N125" s="748"/>
      <c r="O125" s="748"/>
      <c r="P125" s="748"/>
      <c r="Q125" s="748"/>
      <c r="R125" s="748"/>
      <c r="S125" s="748"/>
      <c r="T125" s="748"/>
      <c r="U125" s="748"/>
      <c r="V125" s="741">
        <v>0.0</v>
      </c>
      <c r="W125" s="252">
        <f t="shared" si="37"/>
        <v>0</v>
      </c>
      <c r="X125" s="252">
        <f t="shared" ref="X125:BA125" si="113">IF(AND(X$48-$A125&gt;$V$34,SUM($W125:W125)&lt;&gt;$V125),$V125,0)</f>
        <v>0</v>
      </c>
      <c r="Y125" s="252">
        <f t="shared" si="113"/>
        <v>0</v>
      </c>
      <c r="Z125" s="252">
        <f t="shared" si="113"/>
        <v>0</v>
      </c>
      <c r="AA125" s="252">
        <f t="shared" si="113"/>
        <v>0</v>
      </c>
      <c r="AB125" s="252">
        <f t="shared" si="113"/>
        <v>0</v>
      </c>
      <c r="AC125" s="252">
        <f t="shared" si="113"/>
        <v>0</v>
      </c>
      <c r="AD125" s="252">
        <f t="shared" si="113"/>
        <v>0</v>
      </c>
      <c r="AE125" s="252">
        <f t="shared" si="113"/>
        <v>0</v>
      </c>
      <c r="AF125" s="252">
        <f t="shared" si="113"/>
        <v>0</v>
      </c>
      <c r="AG125" s="252">
        <f t="shared" si="113"/>
        <v>0</v>
      </c>
      <c r="AH125" s="252">
        <f t="shared" si="113"/>
        <v>0</v>
      </c>
      <c r="AI125" s="252">
        <f t="shared" si="113"/>
        <v>0</v>
      </c>
      <c r="AJ125" s="252">
        <f t="shared" si="113"/>
        <v>0</v>
      </c>
      <c r="AK125" s="252">
        <f t="shared" si="113"/>
        <v>0</v>
      </c>
      <c r="AL125" s="252">
        <f t="shared" si="113"/>
        <v>0</v>
      </c>
      <c r="AM125" s="252">
        <f t="shared" si="113"/>
        <v>0</v>
      </c>
      <c r="AN125" s="252">
        <f t="shared" si="113"/>
        <v>0</v>
      </c>
      <c r="AO125" s="252">
        <f t="shared" si="113"/>
        <v>0</v>
      </c>
      <c r="AP125" s="252">
        <f t="shared" si="113"/>
        <v>0</v>
      </c>
      <c r="AQ125" s="252">
        <f t="shared" si="113"/>
        <v>0</v>
      </c>
      <c r="AR125" s="252">
        <f t="shared" si="113"/>
        <v>0</v>
      </c>
      <c r="AS125" s="252">
        <f t="shared" si="113"/>
        <v>0</v>
      </c>
      <c r="AT125" s="252">
        <f t="shared" si="113"/>
        <v>0</v>
      </c>
      <c r="AU125" s="252">
        <f t="shared" si="113"/>
        <v>0</v>
      </c>
      <c r="AV125" s="252">
        <f t="shared" si="113"/>
        <v>0</v>
      </c>
      <c r="AW125" s="252">
        <f t="shared" si="113"/>
        <v>0</v>
      </c>
      <c r="AX125" s="252">
        <f t="shared" si="113"/>
        <v>0</v>
      </c>
      <c r="AY125" s="252">
        <f t="shared" si="113"/>
        <v>0</v>
      </c>
      <c r="AZ125" s="252">
        <f t="shared" si="113"/>
        <v>0</v>
      </c>
      <c r="BA125" s="252">
        <f t="shared" si="113"/>
        <v>0</v>
      </c>
    </row>
    <row r="126" ht="15.75" customHeight="1">
      <c r="A126" s="252">
        <v>2007.0</v>
      </c>
      <c r="B126" s="748"/>
      <c r="C126" s="748"/>
      <c r="D126" s="748"/>
      <c r="E126" s="748"/>
      <c r="F126" s="748"/>
      <c r="G126" s="748"/>
      <c r="H126" s="748"/>
      <c r="I126" s="748"/>
      <c r="J126" s="748"/>
      <c r="K126" s="748"/>
      <c r="L126" s="748"/>
      <c r="M126" s="748"/>
      <c r="N126" s="748"/>
      <c r="O126" s="748"/>
      <c r="P126" s="748"/>
      <c r="Q126" s="748"/>
      <c r="R126" s="748"/>
      <c r="S126" s="748"/>
      <c r="T126" s="748"/>
      <c r="U126" s="748"/>
      <c r="V126" s="741">
        <v>0.0</v>
      </c>
      <c r="W126" s="252">
        <f t="shared" si="37"/>
        <v>0</v>
      </c>
      <c r="X126" s="252">
        <f t="shared" ref="X126:BA126" si="114">IF(AND(X$48-$A126&gt;$V$34,SUM($W126:W126)&lt;&gt;$V126),$V126,0)</f>
        <v>0</v>
      </c>
      <c r="Y126" s="252">
        <f t="shared" si="114"/>
        <v>0</v>
      </c>
      <c r="Z126" s="252">
        <f t="shared" si="114"/>
        <v>0</v>
      </c>
      <c r="AA126" s="252">
        <f t="shared" si="114"/>
        <v>0</v>
      </c>
      <c r="AB126" s="252">
        <f t="shared" si="114"/>
        <v>0</v>
      </c>
      <c r="AC126" s="252">
        <f t="shared" si="114"/>
        <v>0</v>
      </c>
      <c r="AD126" s="252">
        <f t="shared" si="114"/>
        <v>0</v>
      </c>
      <c r="AE126" s="252">
        <f t="shared" si="114"/>
        <v>0</v>
      </c>
      <c r="AF126" s="252">
        <f t="shared" si="114"/>
        <v>0</v>
      </c>
      <c r="AG126" s="252">
        <f t="shared" si="114"/>
        <v>0</v>
      </c>
      <c r="AH126" s="252">
        <f t="shared" si="114"/>
        <v>0</v>
      </c>
      <c r="AI126" s="252">
        <f t="shared" si="114"/>
        <v>0</v>
      </c>
      <c r="AJ126" s="252">
        <f t="shared" si="114"/>
        <v>0</v>
      </c>
      <c r="AK126" s="252">
        <f t="shared" si="114"/>
        <v>0</v>
      </c>
      <c r="AL126" s="252">
        <f t="shared" si="114"/>
        <v>0</v>
      </c>
      <c r="AM126" s="252">
        <f t="shared" si="114"/>
        <v>0</v>
      </c>
      <c r="AN126" s="252">
        <f t="shared" si="114"/>
        <v>0</v>
      </c>
      <c r="AO126" s="252">
        <f t="shared" si="114"/>
        <v>0</v>
      </c>
      <c r="AP126" s="252">
        <f t="shared" si="114"/>
        <v>0</v>
      </c>
      <c r="AQ126" s="252">
        <f t="shared" si="114"/>
        <v>0</v>
      </c>
      <c r="AR126" s="252">
        <f t="shared" si="114"/>
        <v>0</v>
      </c>
      <c r="AS126" s="252">
        <f t="shared" si="114"/>
        <v>0</v>
      </c>
      <c r="AT126" s="252">
        <f t="shared" si="114"/>
        <v>0</v>
      </c>
      <c r="AU126" s="252">
        <f t="shared" si="114"/>
        <v>0</v>
      </c>
      <c r="AV126" s="252">
        <f t="shared" si="114"/>
        <v>0</v>
      </c>
      <c r="AW126" s="252">
        <f t="shared" si="114"/>
        <v>0</v>
      </c>
      <c r="AX126" s="252">
        <f t="shared" si="114"/>
        <v>0</v>
      </c>
      <c r="AY126" s="252">
        <f t="shared" si="114"/>
        <v>0</v>
      </c>
      <c r="AZ126" s="252">
        <f t="shared" si="114"/>
        <v>0</v>
      </c>
      <c r="BA126" s="252">
        <f t="shared" si="114"/>
        <v>0</v>
      </c>
    </row>
    <row r="127" ht="15.75" customHeight="1">
      <c r="A127" s="252">
        <v>2008.0</v>
      </c>
      <c r="B127" s="748"/>
      <c r="C127" s="748"/>
      <c r="D127" s="748"/>
      <c r="E127" s="748"/>
      <c r="F127" s="748"/>
      <c r="G127" s="748"/>
      <c r="H127" s="748"/>
      <c r="I127" s="748"/>
      <c r="J127" s="748"/>
      <c r="K127" s="748"/>
      <c r="L127" s="748"/>
      <c r="M127" s="748"/>
      <c r="N127" s="748"/>
      <c r="O127" s="748"/>
      <c r="P127" s="748"/>
      <c r="Q127" s="748"/>
      <c r="R127" s="748"/>
      <c r="S127" s="748"/>
      <c r="T127" s="748"/>
      <c r="U127" s="748"/>
      <c r="V127" s="741">
        <v>0.0</v>
      </c>
      <c r="W127" s="252">
        <f t="shared" si="37"/>
        <v>0</v>
      </c>
      <c r="X127" s="252">
        <f t="shared" ref="X127:BA127" si="115">IF(AND(X$48-$A127&gt;$V$34,SUM($W127:W127)&lt;&gt;$V127),$V127,0)</f>
        <v>0</v>
      </c>
      <c r="Y127" s="252">
        <f t="shared" si="115"/>
        <v>0</v>
      </c>
      <c r="Z127" s="252">
        <f t="shared" si="115"/>
        <v>0</v>
      </c>
      <c r="AA127" s="252">
        <f t="shared" si="115"/>
        <v>0</v>
      </c>
      <c r="AB127" s="252">
        <f t="shared" si="115"/>
        <v>0</v>
      </c>
      <c r="AC127" s="252">
        <f t="shared" si="115"/>
        <v>0</v>
      </c>
      <c r="AD127" s="252">
        <f t="shared" si="115"/>
        <v>0</v>
      </c>
      <c r="AE127" s="252">
        <f t="shared" si="115"/>
        <v>0</v>
      </c>
      <c r="AF127" s="252">
        <f t="shared" si="115"/>
        <v>0</v>
      </c>
      <c r="AG127" s="252">
        <f t="shared" si="115"/>
        <v>0</v>
      </c>
      <c r="AH127" s="252">
        <f t="shared" si="115"/>
        <v>0</v>
      </c>
      <c r="AI127" s="252">
        <f t="shared" si="115"/>
        <v>0</v>
      </c>
      <c r="AJ127" s="252">
        <f t="shared" si="115"/>
        <v>0</v>
      </c>
      <c r="AK127" s="252">
        <f t="shared" si="115"/>
        <v>0</v>
      </c>
      <c r="AL127" s="252">
        <f t="shared" si="115"/>
        <v>0</v>
      </c>
      <c r="AM127" s="252">
        <f t="shared" si="115"/>
        <v>0</v>
      </c>
      <c r="AN127" s="252">
        <f t="shared" si="115"/>
        <v>0</v>
      </c>
      <c r="AO127" s="252">
        <f t="shared" si="115"/>
        <v>0</v>
      </c>
      <c r="AP127" s="252">
        <f t="shared" si="115"/>
        <v>0</v>
      </c>
      <c r="AQ127" s="252">
        <f t="shared" si="115"/>
        <v>0</v>
      </c>
      <c r="AR127" s="252">
        <f t="shared" si="115"/>
        <v>0</v>
      </c>
      <c r="AS127" s="252">
        <f t="shared" si="115"/>
        <v>0</v>
      </c>
      <c r="AT127" s="252">
        <f t="shared" si="115"/>
        <v>0</v>
      </c>
      <c r="AU127" s="252">
        <f t="shared" si="115"/>
        <v>0</v>
      </c>
      <c r="AV127" s="252">
        <f t="shared" si="115"/>
        <v>0</v>
      </c>
      <c r="AW127" s="252">
        <f t="shared" si="115"/>
        <v>0</v>
      </c>
      <c r="AX127" s="252">
        <f t="shared" si="115"/>
        <v>0</v>
      </c>
      <c r="AY127" s="252">
        <f t="shared" si="115"/>
        <v>0</v>
      </c>
      <c r="AZ127" s="252">
        <f t="shared" si="115"/>
        <v>0</v>
      </c>
      <c r="BA127" s="252">
        <f t="shared" si="115"/>
        <v>0</v>
      </c>
    </row>
    <row r="128" ht="15.75" customHeight="1">
      <c r="A128" s="825">
        <v>2009.0</v>
      </c>
      <c r="B128" s="748"/>
      <c r="C128" s="748"/>
      <c r="D128" s="748"/>
      <c r="E128" s="748"/>
      <c r="F128" s="748"/>
      <c r="G128" s="748"/>
      <c r="H128" s="748"/>
      <c r="I128" s="748"/>
      <c r="J128" s="748"/>
      <c r="K128" s="748"/>
      <c r="L128" s="748"/>
      <c r="M128" s="748"/>
      <c r="N128" s="748"/>
      <c r="O128" s="748"/>
      <c r="P128" s="748"/>
      <c r="Q128" s="748"/>
      <c r="R128" s="748"/>
      <c r="S128" s="748"/>
      <c r="T128" s="748"/>
      <c r="U128" s="748"/>
      <c r="V128" s="741">
        <v>0.0</v>
      </c>
      <c r="W128" s="252">
        <f t="shared" si="37"/>
        <v>0</v>
      </c>
      <c r="X128" s="252">
        <f t="shared" ref="X128:BA128" si="116">IF(AND(X$48-$A128&gt;$V$34,SUM($W128:W128)&lt;&gt;$V128),$V128,0)</f>
        <v>0</v>
      </c>
      <c r="Y128" s="252">
        <f t="shared" si="116"/>
        <v>0</v>
      </c>
      <c r="Z128" s="252">
        <f t="shared" si="116"/>
        <v>0</v>
      </c>
      <c r="AA128" s="252">
        <f t="shared" si="116"/>
        <v>0</v>
      </c>
      <c r="AB128" s="252">
        <f t="shared" si="116"/>
        <v>0</v>
      </c>
      <c r="AC128" s="252">
        <f t="shared" si="116"/>
        <v>0</v>
      </c>
      <c r="AD128" s="252">
        <f t="shared" si="116"/>
        <v>0</v>
      </c>
      <c r="AE128" s="252">
        <f t="shared" si="116"/>
        <v>0</v>
      </c>
      <c r="AF128" s="252">
        <f t="shared" si="116"/>
        <v>0</v>
      </c>
      <c r="AG128" s="252">
        <f t="shared" si="116"/>
        <v>0</v>
      </c>
      <c r="AH128" s="252">
        <f t="shared" si="116"/>
        <v>0</v>
      </c>
      <c r="AI128" s="252">
        <f t="shared" si="116"/>
        <v>0</v>
      </c>
      <c r="AJ128" s="252">
        <f t="shared" si="116"/>
        <v>0</v>
      </c>
      <c r="AK128" s="252">
        <f t="shared" si="116"/>
        <v>0</v>
      </c>
      <c r="AL128" s="252">
        <f t="shared" si="116"/>
        <v>0</v>
      </c>
      <c r="AM128" s="252">
        <f t="shared" si="116"/>
        <v>0</v>
      </c>
      <c r="AN128" s="252">
        <f t="shared" si="116"/>
        <v>0</v>
      </c>
      <c r="AO128" s="252">
        <f t="shared" si="116"/>
        <v>0</v>
      </c>
      <c r="AP128" s="252">
        <f t="shared" si="116"/>
        <v>0</v>
      </c>
      <c r="AQ128" s="252">
        <f t="shared" si="116"/>
        <v>0</v>
      </c>
      <c r="AR128" s="252">
        <f t="shared" si="116"/>
        <v>0</v>
      </c>
      <c r="AS128" s="252">
        <f t="shared" si="116"/>
        <v>0</v>
      </c>
      <c r="AT128" s="252">
        <f t="shared" si="116"/>
        <v>0</v>
      </c>
      <c r="AU128" s="252">
        <f t="shared" si="116"/>
        <v>0</v>
      </c>
      <c r="AV128" s="252">
        <f t="shared" si="116"/>
        <v>0</v>
      </c>
      <c r="AW128" s="252">
        <f t="shared" si="116"/>
        <v>0</v>
      </c>
      <c r="AX128" s="252">
        <f t="shared" si="116"/>
        <v>0</v>
      </c>
      <c r="AY128" s="252">
        <f t="shared" si="116"/>
        <v>0</v>
      </c>
      <c r="AZ128" s="252">
        <f t="shared" si="116"/>
        <v>0</v>
      </c>
      <c r="BA128" s="252">
        <f t="shared" si="116"/>
        <v>0</v>
      </c>
    </row>
    <row r="129" ht="15.75" customHeight="1">
      <c r="A129" s="252">
        <v>2010.0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37"/>
        <v>0</v>
      </c>
      <c r="X129" s="252">
        <f t="shared" ref="X129:BA129" si="117">IF(AND(X$48-$A129&gt;$V$34,SUM($W129:W129)&lt;&gt;$V129),$V129,0)</f>
        <v>0</v>
      </c>
      <c r="Y129" s="252">
        <f t="shared" si="117"/>
        <v>0</v>
      </c>
      <c r="Z129" s="252">
        <f t="shared" si="117"/>
        <v>0</v>
      </c>
      <c r="AA129" s="252">
        <f t="shared" si="117"/>
        <v>0</v>
      </c>
      <c r="AB129" s="252">
        <f t="shared" si="117"/>
        <v>0</v>
      </c>
      <c r="AC129" s="252">
        <f t="shared" si="117"/>
        <v>0</v>
      </c>
      <c r="AD129" s="252">
        <f t="shared" si="117"/>
        <v>0</v>
      </c>
      <c r="AE129" s="252">
        <f t="shared" si="117"/>
        <v>0</v>
      </c>
      <c r="AF129" s="252">
        <f t="shared" si="117"/>
        <v>0</v>
      </c>
      <c r="AG129" s="252">
        <f t="shared" si="117"/>
        <v>0</v>
      </c>
      <c r="AH129" s="252">
        <f t="shared" si="117"/>
        <v>0</v>
      </c>
      <c r="AI129" s="252">
        <f t="shared" si="117"/>
        <v>0</v>
      </c>
      <c r="AJ129" s="252">
        <f t="shared" si="117"/>
        <v>0</v>
      </c>
      <c r="AK129" s="252">
        <f t="shared" si="117"/>
        <v>0</v>
      </c>
      <c r="AL129" s="252">
        <f t="shared" si="117"/>
        <v>0</v>
      </c>
      <c r="AM129" s="252">
        <f t="shared" si="117"/>
        <v>0</v>
      </c>
      <c r="AN129" s="252">
        <f t="shared" si="117"/>
        <v>0</v>
      </c>
      <c r="AO129" s="252">
        <f t="shared" si="117"/>
        <v>0</v>
      </c>
      <c r="AP129" s="252">
        <f t="shared" si="117"/>
        <v>0</v>
      </c>
      <c r="AQ129" s="252">
        <f t="shared" si="117"/>
        <v>0</v>
      </c>
      <c r="AR129" s="252">
        <f t="shared" si="117"/>
        <v>0</v>
      </c>
      <c r="AS129" s="252">
        <f t="shared" si="117"/>
        <v>0</v>
      </c>
      <c r="AT129" s="252">
        <f t="shared" si="117"/>
        <v>0</v>
      </c>
      <c r="AU129" s="252">
        <f t="shared" si="117"/>
        <v>0</v>
      </c>
      <c r="AV129" s="252">
        <f t="shared" si="117"/>
        <v>0</v>
      </c>
      <c r="AW129" s="252">
        <f t="shared" si="117"/>
        <v>0</v>
      </c>
      <c r="AX129" s="252">
        <f t="shared" si="117"/>
        <v>0</v>
      </c>
      <c r="AY129" s="252">
        <f t="shared" si="117"/>
        <v>0</v>
      </c>
      <c r="AZ129" s="252">
        <f t="shared" si="117"/>
        <v>0</v>
      </c>
      <c r="BA129" s="252">
        <f t="shared" si="117"/>
        <v>0</v>
      </c>
    </row>
    <row r="130" ht="15.75" customHeight="1">
      <c r="A130" s="252">
        <v>2011.0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37"/>
        <v>0</v>
      </c>
      <c r="X130" s="252">
        <f t="shared" ref="X130:BA130" si="118">IF(AND(X$48-$A130&gt;$V$34,SUM($W130:W130)&lt;&gt;$V130),$V130,0)</f>
        <v>0</v>
      </c>
      <c r="Y130" s="252">
        <f t="shared" si="118"/>
        <v>0</v>
      </c>
      <c r="Z130" s="252">
        <f t="shared" si="118"/>
        <v>0</v>
      </c>
      <c r="AA130" s="252">
        <f t="shared" si="118"/>
        <v>0</v>
      </c>
      <c r="AB130" s="252">
        <f t="shared" si="118"/>
        <v>0</v>
      </c>
      <c r="AC130" s="252">
        <f t="shared" si="118"/>
        <v>0</v>
      </c>
      <c r="AD130" s="252">
        <f t="shared" si="118"/>
        <v>0</v>
      </c>
      <c r="AE130" s="252">
        <f t="shared" si="118"/>
        <v>0</v>
      </c>
      <c r="AF130" s="252">
        <f t="shared" si="118"/>
        <v>0</v>
      </c>
      <c r="AG130" s="252">
        <f t="shared" si="118"/>
        <v>0</v>
      </c>
      <c r="AH130" s="252">
        <f t="shared" si="118"/>
        <v>0</v>
      </c>
      <c r="AI130" s="252">
        <f t="shared" si="118"/>
        <v>0</v>
      </c>
      <c r="AJ130" s="252">
        <f t="shared" si="118"/>
        <v>0</v>
      </c>
      <c r="AK130" s="252">
        <f t="shared" si="118"/>
        <v>0</v>
      </c>
      <c r="AL130" s="252">
        <f t="shared" si="118"/>
        <v>0</v>
      </c>
      <c r="AM130" s="252">
        <f t="shared" si="118"/>
        <v>0</v>
      </c>
      <c r="AN130" s="252">
        <f t="shared" si="118"/>
        <v>0</v>
      </c>
      <c r="AO130" s="252">
        <f t="shared" si="118"/>
        <v>0</v>
      </c>
      <c r="AP130" s="252">
        <f t="shared" si="118"/>
        <v>0</v>
      </c>
      <c r="AQ130" s="252">
        <f t="shared" si="118"/>
        <v>0</v>
      </c>
      <c r="AR130" s="252">
        <f t="shared" si="118"/>
        <v>0</v>
      </c>
      <c r="AS130" s="252">
        <f t="shared" si="118"/>
        <v>0</v>
      </c>
      <c r="AT130" s="252">
        <f t="shared" si="118"/>
        <v>0</v>
      </c>
      <c r="AU130" s="252">
        <f t="shared" si="118"/>
        <v>0</v>
      </c>
      <c r="AV130" s="252">
        <f t="shared" si="118"/>
        <v>0</v>
      </c>
      <c r="AW130" s="252">
        <f t="shared" si="118"/>
        <v>0</v>
      </c>
      <c r="AX130" s="252">
        <f t="shared" si="118"/>
        <v>0</v>
      </c>
      <c r="AY130" s="252">
        <f t="shared" si="118"/>
        <v>0</v>
      </c>
      <c r="AZ130" s="252">
        <f t="shared" si="118"/>
        <v>0</v>
      </c>
      <c r="BA130" s="252">
        <f t="shared" si="118"/>
        <v>0</v>
      </c>
    </row>
    <row r="131" ht="15.75" customHeight="1">
      <c r="A131" s="252">
        <v>2012.0</v>
      </c>
      <c r="B131" s="32"/>
      <c r="C131" s="32"/>
      <c r="D131" s="32"/>
      <c r="E131" s="32"/>
      <c r="F131" s="32"/>
      <c r="G131" s="32"/>
      <c r="H131" s="32"/>
      <c r="I131" s="32"/>
      <c r="J131" s="32"/>
      <c r="K131" s="32"/>
      <c r="L131" s="32"/>
      <c r="M131" s="32"/>
      <c r="N131" s="32"/>
      <c r="O131" s="32"/>
      <c r="P131" s="32"/>
      <c r="Q131" s="32"/>
      <c r="R131" s="32"/>
      <c r="S131" s="32"/>
      <c r="T131" s="32"/>
      <c r="U131" s="32"/>
      <c r="V131" s="741">
        <v>0.0</v>
      </c>
      <c r="W131" s="252">
        <f t="shared" si="37"/>
        <v>0</v>
      </c>
      <c r="X131" s="252">
        <f t="shared" ref="X131:BA131" si="119">IF(AND(X$48-$A131&gt;$V$34,SUM($W131:W131)&lt;&gt;$V131),$V131,0)</f>
        <v>0</v>
      </c>
      <c r="Y131" s="252">
        <f t="shared" si="119"/>
        <v>0</v>
      </c>
      <c r="Z131" s="252">
        <f t="shared" si="119"/>
        <v>0</v>
      </c>
      <c r="AA131" s="252">
        <f t="shared" si="119"/>
        <v>0</v>
      </c>
      <c r="AB131" s="252">
        <f t="shared" si="119"/>
        <v>0</v>
      </c>
      <c r="AC131" s="252">
        <f t="shared" si="119"/>
        <v>0</v>
      </c>
      <c r="AD131" s="252">
        <f t="shared" si="119"/>
        <v>0</v>
      </c>
      <c r="AE131" s="252">
        <f t="shared" si="119"/>
        <v>0</v>
      </c>
      <c r="AF131" s="252">
        <f t="shared" si="119"/>
        <v>0</v>
      </c>
      <c r="AG131" s="252">
        <f t="shared" si="119"/>
        <v>0</v>
      </c>
      <c r="AH131" s="252">
        <f t="shared" si="119"/>
        <v>0</v>
      </c>
      <c r="AI131" s="252">
        <f t="shared" si="119"/>
        <v>0</v>
      </c>
      <c r="AJ131" s="252">
        <f t="shared" si="119"/>
        <v>0</v>
      </c>
      <c r="AK131" s="252">
        <f t="shared" si="119"/>
        <v>0</v>
      </c>
      <c r="AL131" s="252">
        <f t="shared" si="119"/>
        <v>0</v>
      </c>
      <c r="AM131" s="252">
        <f t="shared" si="119"/>
        <v>0</v>
      </c>
      <c r="AN131" s="252">
        <f t="shared" si="119"/>
        <v>0</v>
      </c>
      <c r="AO131" s="252">
        <f t="shared" si="119"/>
        <v>0</v>
      </c>
      <c r="AP131" s="252">
        <f t="shared" si="119"/>
        <v>0</v>
      </c>
      <c r="AQ131" s="252">
        <f t="shared" si="119"/>
        <v>0</v>
      </c>
      <c r="AR131" s="252">
        <f t="shared" si="119"/>
        <v>0</v>
      </c>
      <c r="AS131" s="252">
        <f t="shared" si="119"/>
        <v>0</v>
      </c>
      <c r="AT131" s="252">
        <f t="shared" si="119"/>
        <v>0</v>
      </c>
      <c r="AU131" s="252">
        <f t="shared" si="119"/>
        <v>0</v>
      </c>
      <c r="AV131" s="252">
        <f t="shared" si="119"/>
        <v>0</v>
      </c>
      <c r="AW131" s="252">
        <f t="shared" si="119"/>
        <v>0</v>
      </c>
      <c r="AX131" s="252">
        <f t="shared" si="119"/>
        <v>0</v>
      </c>
      <c r="AY131" s="252">
        <f t="shared" si="119"/>
        <v>0</v>
      </c>
      <c r="AZ131" s="252">
        <f t="shared" si="119"/>
        <v>0</v>
      </c>
      <c r="BA131" s="252">
        <f t="shared" si="119"/>
        <v>0</v>
      </c>
    </row>
    <row r="132" ht="15.75" customHeight="1">
      <c r="A132" s="252">
        <v>2013.0</v>
      </c>
      <c r="B132" s="32"/>
      <c r="C132" s="32"/>
      <c r="D132" s="32"/>
      <c r="E132" s="32"/>
      <c r="F132" s="32"/>
      <c r="G132" s="32"/>
      <c r="H132" s="32"/>
      <c r="I132" s="32"/>
      <c r="J132" s="32"/>
      <c r="K132" s="32"/>
      <c r="L132" s="32"/>
      <c r="M132" s="32"/>
      <c r="N132" s="32"/>
      <c r="O132" s="32"/>
      <c r="P132" s="32"/>
      <c r="Q132" s="32"/>
      <c r="R132" s="32"/>
      <c r="S132" s="32"/>
      <c r="T132" s="32"/>
      <c r="U132" s="32"/>
      <c r="V132" s="741">
        <v>0.0</v>
      </c>
      <c r="W132" s="252">
        <f t="shared" si="37"/>
        <v>0</v>
      </c>
      <c r="X132" s="252">
        <f t="shared" ref="X132:BA132" si="120">IF(AND(X$48-$A132&gt;$V$34,SUM($W132:W132)&lt;&gt;$V132),$V132,0)</f>
        <v>0</v>
      </c>
      <c r="Y132" s="252">
        <f t="shared" si="120"/>
        <v>0</v>
      </c>
      <c r="Z132" s="252">
        <f t="shared" si="120"/>
        <v>0</v>
      </c>
      <c r="AA132" s="252">
        <f t="shared" si="120"/>
        <v>0</v>
      </c>
      <c r="AB132" s="252">
        <f t="shared" si="120"/>
        <v>0</v>
      </c>
      <c r="AC132" s="252">
        <f t="shared" si="120"/>
        <v>0</v>
      </c>
      <c r="AD132" s="252">
        <f t="shared" si="120"/>
        <v>0</v>
      </c>
      <c r="AE132" s="252">
        <f t="shared" si="120"/>
        <v>0</v>
      </c>
      <c r="AF132" s="252">
        <f t="shared" si="120"/>
        <v>0</v>
      </c>
      <c r="AG132" s="252">
        <f t="shared" si="120"/>
        <v>0</v>
      </c>
      <c r="AH132" s="252">
        <f t="shared" si="120"/>
        <v>0</v>
      </c>
      <c r="AI132" s="252">
        <f t="shared" si="120"/>
        <v>0</v>
      </c>
      <c r="AJ132" s="252">
        <f t="shared" si="120"/>
        <v>0</v>
      </c>
      <c r="AK132" s="252">
        <f t="shared" si="120"/>
        <v>0</v>
      </c>
      <c r="AL132" s="252">
        <f t="shared" si="120"/>
        <v>0</v>
      </c>
      <c r="AM132" s="252">
        <f t="shared" si="120"/>
        <v>0</v>
      </c>
      <c r="AN132" s="252">
        <f t="shared" si="120"/>
        <v>0</v>
      </c>
      <c r="AO132" s="252">
        <f t="shared" si="120"/>
        <v>0</v>
      </c>
      <c r="AP132" s="252">
        <f t="shared" si="120"/>
        <v>0</v>
      </c>
      <c r="AQ132" s="252">
        <f t="shared" si="120"/>
        <v>0</v>
      </c>
      <c r="AR132" s="252">
        <f t="shared" si="120"/>
        <v>0</v>
      </c>
      <c r="AS132" s="252">
        <f t="shared" si="120"/>
        <v>0</v>
      </c>
      <c r="AT132" s="252">
        <f t="shared" si="120"/>
        <v>0</v>
      </c>
      <c r="AU132" s="252">
        <f t="shared" si="120"/>
        <v>0</v>
      </c>
      <c r="AV132" s="252">
        <f t="shared" si="120"/>
        <v>0</v>
      </c>
      <c r="AW132" s="252">
        <f t="shared" si="120"/>
        <v>0</v>
      </c>
      <c r="AX132" s="252">
        <f t="shared" si="120"/>
        <v>0</v>
      </c>
      <c r="AY132" s="252">
        <f t="shared" si="120"/>
        <v>0</v>
      </c>
      <c r="AZ132" s="252">
        <f t="shared" si="120"/>
        <v>0</v>
      </c>
      <c r="BA132" s="252">
        <f t="shared" si="120"/>
        <v>0</v>
      </c>
    </row>
    <row r="133" ht="15.75" customHeight="1">
      <c r="A133" s="252">
        <v>2014.0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37"/>
        <v>0</v>
      </c>
      <c r="X133" s="252">
        <f t="shared" ref="X133:BA133" si="121">IF(AND(X$48-$A133&gt;$V$34,SUM($W133:W133)&lt;&gt;$V133),$V133,0)</f>
        <v>0</v>
      </c>
      <c r="Y133" s="252">
        <f t="shared" si="121"/>
        <v>0</v>
      </c>
      <c r="Z133" s="252">
        <f t="shared" si="121"/>
        <v>0</v>
      </c>
      <c r="AA133" s="252">
        <f t="shared" si="121"/>
        <v>0</v>
      </c>
      <c r="AB133" s="252">
        <f t="shared" si="121"/>
        <v>0</v>
      </c>
      <c r="AC133" s="252">
        <f t="shared" si="121"/>
        <v>0</v>
      </c>
      <c r="AD133" s="252">
        <f t="shared" si="121"/>
        <v>0</v>
      </c>
      <c r="AE133" s="252">
        <f t="shared" si="121"/>
        <v>0</v>
      </c>
      <c r="AF133" s="252">
        <f t="shared" si="121"/>
        <v>0</v>
      </c>
      <c r="AG133" s="252">
        <f t="shared" si="121"/>
        <v>0</v>
      </c>
      <c r="AH133" s="252">
        <f t="shared" si="121"/>
        <v>0</v>
      </c>
      <c r="AI133" s="252">
        <f t="shared" si="121"/>
        <v>0</v>
      </c>
      <c r="AJ133" s="252">
        <f t="shared" si="121"/>
        <v>0</v>
      </c>
      <c r="AK133" s="252">
        <f t="shared" si="121"/>
        <v>0</v>
      </c>
      <c r="AL133" s="252">
        <f t="shared" si="121"/>
        <v>0</v>
      </c>
      <c r="AM133" s="252">
        <f t="shared" si="121"/>
        <v>0</v>
      </c>
      <c r="AN133" s="252">
        <f t="shared" si="121"/>
        <v>0</v>
      </c>
      <c r="AO133" s="252">
        <f t="shared" si="121"/>
        <v>0</v>
      </c>
      <c r="AP133" s="252">
        <f t="shared" si="121"/>
        <v>0</v>
      </c>
      <c r="AQ133" s="252">
        <f t="shared" si="121"/>
        <v>0</v>
      </c>
      <c r="AR133" s="252">
        <f t="shared" si="121"/>
        <v>0</v>
      </c>
      <c r="AS133" s="252">
        <f t="shared" si="121"/>
        <v>0</v>
      </c>
      <c r="AT133" s="252">
        <f t="shared" si="121"/>
        <v>0</v>
      </c>
      <c r="AU133" s="252">
        <f t="shared" si="121"/>
        <v>0</v>
      </c>
      <c r="AV133" s="252">
        <f t="shared" si="121"/>
        <v>0</v>
      </c>
      <c r="AW133" s="252">
        <f t="shared" si="121"/>
        <v>0</v>
      </c>
      <c r="AX133" s="252">
        <f t="shared" si="121"/>
        <v>0</v>
      </c>
      <c r="AY133" s="252">
        <f t="shared" si="121"/>
        <v>0</v>
      </c>
      <c r="AZ133" s="252">
        <f t="shared" si="121"/>
        <v>0</v>
      </c>
      <c r="BA133" s="252">
        <f t="shared" si="121"/>
        <v>0</v>
      </c>
    </row>
    <row r="134" ht="15.75" customHeight="1">
      <c r="A134" s="252">
        <v>2015.0</v>
      </c>
      <c r="B134" s="32"/>
      <c r="C134" s="32"/>
      <c r="D134" s="32"/>
      <c r="E134" s="32"/>
      <c r="F134" s="32"/>
      <c r="G134" s="32"/>
      <c r="H134" s="32"/>
      <c r="I134" s="32"/>
      <c r="J134" s="32"/>
      <c r="K134" s="32"/>
      <c r="L134" s="32"/>
      <c r="M134" s="32"/>
      <c r="N134" s="32"/>
      <c r="O134" s="32"/>
      <c r="P134" s="32"/>
      <c r="Q134" s="32"/>
      <c r="R134" s="32"/>
      <c r="S134" s="32"/>
      <c r="T134" s="32"/>
      <c r="U134" s="32"/>
      <c r="V134" s="741">
        <v>1.0</v>
      </c>
      <c r="W134" s="252">
        <f t="shared" si="37"/>
        <v>0</v>
      </c>
      <c r="X134" s="252">
        <f t="shared" ref="X134:BA134" si="122">IF(AND(X$48-$A134&gt;$V$34,SUM($W134:W134)&lt;&gt;$V134),$V134,0)</f>
        <v>0</v>
      </c>
      <c r="Y134" s="252">
        <f t="shared" si="122"/>
        <v>0</v>
      </c>
      <c r="Z134" s="252">
        <f t="shared" si="122"/>
        <v>0</v>
      </c>
      <c r="AA134" s="252">
        <f t="shared" si="122"/>
        <v>0</v>
      </c>
      <c r="AB134" s="252">
        <f t="shared" si="122"/>
        <v>0</v>
      </c>
      <c r="AC134" s="252">
        <f t="shared" si="122"/>
        <v>0</v>
      </c>
      <c r="AD134" s="252">
        <f t="shared" si="122"/>
        <v>0</v>
      </c>
      <c r="AE134" s="252">
        <f t="shared" si="122"/>
        <v>0</v>
      </c>
      <c r="AF134" s="252">
        <f t="shared" si="122"/>
        <v>0</v>
      </c>
      <c r="AG134" s="252">
        <f t="shared" si="122"/>
        <v>0</v>
      </c>
      <c r="AH134" s="252">
        <f t="shared" si="122"/>
        <v>1</v>
      </c>
      <c r="AI134" s="252">
        <f t="shared" si="122"/>
        <v>0</v>
      </c>
      <c r="AJ134" s="252">
        <f t="shared" si="122"/>
        <v>0</v>
      </c>
      <c r="AK134" s="252">
        <f t="shared" si="122"/>
        <v>0</v>
      </c>
      <c r="AL134" s="252">
        <f t="shared" si="122"/>
        <v>0</v>
      </c>
      <c r="AM134" s="252">
        <f t="shared" si="122"/>
        <v>0</v>
      </c>
      <c r="AN134" s="252">
        <f t="shared" si="122"/>
        <v>0</v>
      </c>
      <c r="AO134" s="252">
        <f t="shared" si="122"/>
        <v>0</v>
      </c>
      <c r="AP134" s="252">
        <f t="shared" si="122"/>
        <v>0</v>
      </c>
      <c r="AQ134" s="252">
        <f t="shared" si="122"/>
        <v>0</v>
      </c>
      <c r="AR134" s="252">
        <f t="shared" si="122"/>
        <v>0</v>
      </c>
      <c r="AS134" s="252">
        <f t="shared" si="122"/>
        <v>0</v>
      </c>
      <c r="AT134" s="252">
        <f t="shared" si="122"/>
        <v>0</v>
      </c>
      <c r="AU134" s="252">
        <f t="shared" si="122"/>
        <v>0</v>
      </c>
      <c r="AV134" s="252">
        <f t="shared" si="122"/>
        <v>0</v>
      </c>
      <c r="AW134" s="252">
        <f t="shared" si="122"/>
        <v>0</v>
      </c>
      <c r="AX134" s="252">
        <f t="shared" si="122"/>
        <v>0</v>
      </c>
      <c r="AY134" s="252">
        <f t="shared" si="122"/>
        <v>0</v>
      </c>
      <c r="AZ134" s="252">
        <f t="shared" si="122"/>
        <v>0</v>
      </c>
      <c r="BA134" s="252">
        <f t="shared" si="122"/>
        <v>0</v>
      </c>
    </row>
    <row r="135" ht="15.75" customHeight="1">
      <c r="A135" s="252">
        <v>2016.0</v>
      </c>
      <c r="B135" s="32"/>
      <c r="C135" s="32"/>
      <c r="D135" s="32"/>
      <c r="E135" s="32"/>
      <c r="F135" s="32"/>
      <c r="G135" s="32"/>
      <c r="H135" s="32"/>
      <c r="I135" s="32"/>
      <c r="J135" s="32"/>
      <c r="K135" s="32"/>
      <c r="L135" s="32"/>
      <c r="M135" s="32"/>
      <c r="N135" s="32"/>
      <c r="O135" s="32"/>
      <c r="P135" s="32"/>
      <c r="Q135" s="32"/>
      <c r="R135" s="32"/>
      <c r="S135" s="32"/>
      <c r="T135" s="32"/>
      <c r="U135" s="32"/>
      <c r="V135" s="741">
        <v>0.0</v>
      </c>
      <c r="W135" s="252">
        <f t="shared" si="37"/>
        <v>0</v>
      </c>
      <c r="X135" s="252">
        <f t="shared" ref="X135:BA135" si="123">IF(AND(X$48-$A135&gt;$V$34,SUM($W135:W135)&lt;&gt;$V135),$V135,0)</f>
        <v>0</v>
      </c>
      <c r="Y135" s="252">
        <f t="shared" si="123"/>
        <v>0</v>
      </c>
      <c r="Z135" s="252">
        <f t="shared" si="123"/>
        <v>0</v>
      </c>
      <c r="AA135" s="252">
        <f t="shared" si="123"/>
        <v>0</v>
      </c>
      <c r="AB135" s="252">
        <f t="shared" si="123"/>
        <v>0</v>
      </c>
      <c r="AC135" s="252">
        <f t="shared" si="123"/>
        <v>0</v>
      </c>
      <c r="AD135" s="252">
        <f t="shared" si="123"/>
        <v>0</v>
      </c>
      <c r="AE135" s="252">
        <f t="shared" si="123"/>
        <v>0</v>
      </c>
      <c r="AF135" s="252">
        <f t="shared" si="123"/>
        <v>0</v>
      </c>
      <c r="AG135" s="252">
        <f t="shared" si="123"/>
        <v>0</v>
      </c>
      <c r="AH135" s="252">
        <f t="shared" si="123"/>
        <v>0</v>
      </c>
      <c r="AI135" s="252">
        <f t="shared" si="123"/>
        <v>0</v>
      </c>
      <c r="AJ135" s="252">
        <f t="shared" si="123"/>
        <v>0</v>
      </c>
      <c r="AK135" s="252">
        <f t="shared" si="123"/>
        <v>0</v>
      </c>
      <c r="AL135" s="252">
        <f t="shared" si="123"/>
        <v>0</v>
      </c>
      <c r="AM135" s="252">
        <f t="shared" si="123"/>
        <v>0</v>
      </c>
      <c r="AN135" s="252">
        <f t="shared" si="123"/>
        <v>0</v>
      </c>
      <c r="AO135" s="252">
        <f t="shared" si="123"/>
        <v>0</v>
      </c>
      <c r="AP135" s="252">
        <f t="shared" si="123"/>
        <v>0</v>
      </c>
      <c r="AQ135" s="252">
        <f t="shared" si="123"/>
        <v>0</v>
      </c>
      <c r="AR135" s="252">
        <f t="shared" si="123"/>
        <v>0</v>
      </c>
      <c r="AS135" s="252">
        <f t="shared" si="123"/>
        <v>0</v>
      </c>
      <c r="AT135" s="252">
        <f t="shared" si="123"/>
        <v>0</v>
      </c>
      <c r="AU135" s="252">
        <f t="shared" si="123"/>
        <v>0</v>
      </c>
      <c r="AV135" s="252">
        <f t="shared" si="123"/>
        <v>0</v>
      </c>
      <c r="AW135" s="252">
        <f t="shared" si="123"/>
        <v>0</v>
      </c>
      <c r="AX135" s="252">
        <f t="shared" si="123"/>
        <v>0</v>
      </c>
      <c r="AY135" s="252">
        <f t="shared" si="123"/>
        <v>0</v>
      </c>
      <c r="AZ135" s="252">
        <f t="shared" si="123"/>
        <v>0</v>
      </c>
      <c r="BA135" s="252">
        <f t="shared" si="123"/>
        <v>0</v>
      </c>
    </row>
    <row r="136" ht="15.75" customHeight="1">
      <c r="A136" s="252">
        <v>2017.0</v>
      </c>
      <c r="B136" s="32"/>
      <c r="C136" s="32"/>
      <c r="D136" s="32"/>
      <c r="E136" s="32"/>
      <c r="F136" s="32"/>
      <c r="G136" s="32"/>
      <c r="H136" s="32"/>
      <c r="I136" s="32"/>
      <c r="J136" s="32"/>
      <c r="K136" s="32"/>
      <c r="L136" s="32"/>
      <c r="M136" s="32"/>
      <c r="N136" s="32"/>
      <c r="O136" s="32"/>
      <c r="P136" s="32"/>
      <c r="Q136" s="32"/>
      <c r="R136" s="32"/>
      <c r="S136" s="32"/>
      <c r="T136" s="32"/>
      <c r="U136" s="32"/>
      <c r="V136" s="741">
        <v>2.0</v>
      </c>
      <c r="W136" s="252">
        <f t="shared" si="37"/>
        <v>0</v>
      </c>
      <c r="X136" s="252">
        <f t="shared" ref="X136:BA136" si="124">IF(AND(X$48-$A136&gt;$V$34,SUM($W136:W136)&lt;&gt;$V136),$V136,0)</f>
        <v>0</v>
      </c>
      <c r="Y136" s="252">
        <f t="shared" si="124"/>
        <v>0</v>
      </c>
      <c r="Z136" s="252">
        <f t="shared" si="124"/>
        <v>0</v>
      </c>
      <c r="AA136" s="252">
        <f t="shared" si="124"/>
        <v>0</v>
      </c>
      <c r="AB136" s="252">
        <f t="shared" si="124"/>
        <v>0</v>
      </c>
      <c r="AC136" s="252">
        <f t="shared" si="124"/>
        <v>0</v>
      </c>
      <c r="AD136" s="252">
        <f t="shared" si="124"/>
        <v>0</v>
      </c>
      <c r="AE136" s="252">
        <f t="shared" si="124"/>
        <v>0</v>
      </c>
      <c r="AF136" s="252">
        <f t="shared" si="124"/>
        <v>0</v>
      </c>
      <c r="AG136" s="252">
        <f t="shared" si="124"/>
        <v>0</v>
      </c>
      <c r="AH136" s="252">
        <f t="shared" si="124"/>
        <v>0</v>
      </c>
      <c r="AI136" s="252">
        <f t="shared" si="124"/>
        <v>0</v>
      </c>
      <c r="AJ136" s="252">
        <f t="shared" si="124"/>
        <v>2</v>
      </c>
      <c r="AK136" s="252">
        <f t="shared" si="124"/>
        <v>0</v>
      </c>
      <c r="AL136" s="252">
        <f t="shared" si="124"/>
        <v>0</v>
      </c>
      <c r="AM136" s="252">
        <f t="shared" si="124"/>
        <v>0</v>
      </c>
      <c r="AN136" s="252">
        <f t="shared" si="124"/>
        <v>0</v>
      </c>
      <c r="AO136" s="252">
        <f t="shared" si="124"/>
        <v>0</v>
      </c>
      <c r="AP136" s="252">
        <f t="shared" si="124"/>
        <v>0</v>
      </c>
      <c r="AQ136" s="252">
        <f t="shared" si="124"/>
        <v>0</v>
      </c>
      <c r="AR136" s="252">
        <f t="shared" si="124"/>
        <v>0</v>
      </c>
      <c r="AS136" s="252">
        <f t="shared" si="124"/>
        <v>0</v>
      </c>
      <c r="AT136" s="252">
        <f t="shared" si="124"/>
        <v>0</v>
      </c>
      <c r="AU136" s="252">
        <f t="shared" si="124"/>
        <v>0</v>
      </c>
      <c r="AV136" s="252">
        <f t="shared" si="124"/>
        <v>0</v>
      </c>
      <c r="AW136" s="252">
        <f t="shared" si="124"/>
        <v>0</v>
      </c>
      <c r="AX136" s="252">
        <f t="shared" si="124"/>
        <v>0</v>
      </c>
      <c r="AY136" s="252">
        <f t="shared" si="124"/>
        <v>0</v>
      </c>
      <c r="AZ136" s="252">
        <f t="shared" si="124"/>
        <v>0</v>
      </c>
      <c r="BA136" s="252">
        <f t="shared" si="124"/>
        <v>0</v>
      </c>
    </row>
    <row r="137" ht="15.75" customHeight="1">
      <c r="A137" s="252">
        <v>2018.0</v>
      </c>
      <c r="B137" s="32"/>
      <c r="C137" s="32"/>
      <c r="D137" s="32"/>
      <c r="E137" s="32"/>
      <c r="F137" s="32"/>
      <c r="G137" s="32"/>
      <c r="H137" s="32"/>
      <c r="I137" s="32"/>
      <c r="J137" s="32"/>
      <c r="K137" s="32"/>
      <c r="L137" s="32"/>
      <c r="M137" s="32"/>
      <c r="N137" s="32"/>
      <c r="O137" s="32"/>
      <c r="P137" s="32"/>
      <c r="Q137" s="32"/>
      <c r="R137" s="32"/>
      <c r="S137" s="32"/>
      <c r="T137" s="32"/>
      <c r="U137" s="32"/>
      <c r="V137" s="741">
        <v>4.0</v>
      </c>
      <c r="W137" s="252">
        <f t="shared" si="37"/>
        <v>0</v>
      </c>
      <c r="X137" s="252">
        <f t="shared" ref="X137:BA137" si="125">IF(AND(X$48-$A137&gt;$V$34,SUM($W137:W137)&lt;&gt;$V137),$V137,0)</f>
        <v>0</v>
      </c>
      <c r="Y137" s="252">
        <f t="shared" si="125"/>
        <v>0</v>
      </c>
      <c r="Z137" s="252">
        <f t="shared" si="125"/>
        <v>0</v>
      </c>
      <c r="AA137" s="252">
        <f t="shared" si="125"/>
        <v>0</v>
      </c>
      <c r="AB137" s="252">
        <f t="shared" si="125"/>
        <v>0</v>
      </c>
      <c r="AC137" s="252">
        <f t="shared" si="125"/>
        <v>0</v>
      </c>
      <c r="AD137" s="252">
        <f t="shared" si="125"/>
        <v>0</v>
      </c>
      <c r="AE137" s="252">
        <f t="shared" si="125"/>
        <v>0</v>
      </c>
      <c r="AF137" s="252">
        <f t="shared" si="125"/>
        <v>0</v>
      </c>
      <c r="AG137" s="252">
        <f t="shared" si="125"/>
        <v>0</v>
      </c>
      <c r="AH137" s="252">
        <f t="shared" si="125"/>
        <v>0</v>
      </c>
      <c r="AI137" s="252">
        <f t="shared" si="125"/>
        <v>0</v>
      </c>
      <c r="AJ137" s="252">
        <f t="shared" si="125"/>
        <v>0</v>
      </c>
      <c r="AK137" s="252">
        <f t="shared" si="125"/>
        <v>4</v>
      </c>
      <c r="AL137" s="252">
        <f t="shared" si="125"/>
        <v>0</v>
      </c>
      <c r="AM137" s="252">
        <f t="shared" si="125"/>
        <v>0</v>
      </c>
      <c r="AN137" s="252">
        <f t="shared" si="125"/>
        <v>0</v>
      </c>
      <c r="AO137" s="252">
        <f t="shared" si="125"/>
        <v>0</v>
      </c>
      <c r="AP137" s="252">
        <f t="shared" si="125"/>
        <v>0</v>
      </c>
      <c r="AQ137" s="252">
        <f t="shared" si="125"/>
        <v>0</v>
      </c>
      <c r="AR137" s="252">
        <f t="shared" si="125"/>
        <v>0</v>
      </c>
      <c r="AS137" s="252">
        <f t="shared" si="125"/>
        <v>0</v>
      </c>
      <c r="AT137" s="252">
        <f t="shared" si="125"/>
        <v>0</v>
      </c>
      <c r="AU137" s="252">
        <f t="shared" si="125"/>
        <v>0</v>
      </c>
      <c r="AV137" s="252">
        <f t="shared" si="125"/>
        <v>0</v>
      </c>
      <c r="AW137" s="252">
        <f t="shared" si="125"/>
        <v>0</v>
      </c>
      <c r="AX137" s="252">
        <f t="shared" si="125"/>
        <v>0</v>
      </c>
      <c r="AY137" s="252">
        <f t="shared" si="125"/>
        <v>0</v>
      </c>
      <c r="AZ137" s="252">
        <f t="shared" si="125"/>
        <v>0</v>
      </c>
      <c r="BA137" s="252">
        <f t="shared" si="125"/>
        <v>0</v>
      </c>
    </row>
    <row r="138" ht="15.75" customHeight="1">
      <c r="A138" s="252">
        <v>2019.0</v>
      </c>
      <c r="B138" s="32"/>
      <c r="C138" s="32"/>
      <c r="D138" s="32"/>
      <c r="E138" s="32"/>
      <c r="F138" s="32"/>
      <c r="G138" s="32"/>
      <c r="H138" s="32"/>
      <c r="I138" s="32"/>
      <c r="J138" s="32"/>
      <c r="K138" s="32"/>
      <c r="L138" s="32"/>
      <c r="M138" s="32"/>
      <c r="N138" s="32"/>
      <c r="O138" s="32"/>
      <c r="P138" s="32"/>
      <c r="Q138" s="32"/>
      <c r="R138" s="32"/>
      <c r="S138" s="32"/>
      <c r="T138" s="32"/>
      <c r="U138" s="32"/>
      <c r="V138" s="741">
        <v>0.0</v>
      </c>
      <c r="W138" s="252">
        <f t="shared" si="37"/>
        <v>0</v>
      </c>
      <c r="X138" s="252">
        <f t="shared" ref="X138:BA138" si="126">IF(AND(X$48-$A138&gt;$V$34,SUM($W138:W138)&lt;&gt;$V138),$V138,0)</f>
        <v>0</v>
      </c>
      <c r="Y138" s="252">
        <f t="shared" si="126"/>
        <v>0</v>
      </c>
      <c r="Z138" s="252">
        <f t="shared" si="126"/>
        <v>0</v>
      </c>
      <c r="AA138" s="252">
        <f t="shared" si="126"/>
        <v>0</v>
      </c>
      <c r="AB138" s="252">
        <f t="shared" si="126"/>
        <v>0</v>
      </c>
      <c r="AC138" s="252">
        <f t="shared" si="126"/>
        <v>0</v>
      </c>
      <c r="AD138" s="252">
        <f t="shared" si="126"/>
        <v>0</v>
      </c>
      <c r="AE138" s="252">
        <f t="shared" si="126"/>
        <v>0</v>
      </c>
      <c r="AF138" s="252">
        <f t="shared" si="126"/>
        <v>0</v>
      </c>
      <c r="AG138" s="252">
        <f t="shared" si="126"/>
        <v>0</v>
      </c>
      <c r="AH138" s="252">
        <f t="shared" si="126"/>
        <v>0</v>
      </c>
      <c r="AI138" s="252">
        <f t="shared" si="126"/>
        <v>0</v>
      </c>
      <c r="AJ138" s="252">
        <f t="shared" si="126"/>
        <v>0</v>
      </c>
      <c r="AK138" s="252">
        <f t="shared" si="126"/>
        <v>0</v>
      </c>
      <c r="AL138" s="252">
        <f t="shared" si="126"/>
        <v>0</v>
      </c>
      <c r="AM138" s="252">
        <f t="shared" si="126"/>
        <v>0</v>
      </c>
      <c r="AN138" s="252">
        <f t="shared" si="126"/>
        <v>0</v>
      </c>
      <c r="AO138" s="252">
        <f t="shared" si="126"/>
        <v>0</v>
      </c>
      <c r="AP138" s="252">
        <f t="shared" si="126"/>
        <v>0</v>
      </c>
      <c r="AQ138" s="252">
        <f t="shared" si="126"/>
        <v>0</v>
      </c>
      <c r="AR138" s="252">
        <f t="shared" si="126"/>
        <v>0</v>
      </c>
      <c r="AS138" s="252">
        <f t="shared" si="126"/>
        <v>0</v>
      </c>
      <c r="AT138" s="252">
        <f t="shared" si="126"/>
        <v>0</v>
      </c>
      <c r="AU138" s="252">
        <f t="shared" si="126"/>
        <v>0</v>
      </c>
      <c r="AV138" s="252">
        <f t="shared" si="126"/>
        <v>0</v>
      </c>
      <c r="AW138" s="252">
        <f t="shared" si="126"/>
        <v>0</v>
      </c>
      <c r="AX138" s="252">
        <f t="shared" si="126"/>
        <v>0</v>
      </c>
      <c r="AY138" s="252">
        <f t="shared" si="126"/>
        <v>0</v>
      </c>
      <c r="AZ138" s="252">
        <f t="shared" si="126"/>
        <v>0</v>
      </c>
      <c r="BA138" s="252">
        <f t="shared" si="126"/>
        <v>0</v>
      </c>
    </row>
    <row r="139" ht="15.75" customHeight="1">
      <c r="A139" s="744">
        <v>2020.0</v>
      </c>
      <c r="U139" s="745" t="s">
        <v>1016</v>
      </c>
      <c r="V139" s="5">
        <f t="array" ref="V139:V169">transpose(Model!W2478:BA2478)</f>
        <v>0</v>
      </c>
      <c r="W139" s="252">
        <f t="shared" si="37"/>
        <v>0</v>
      </c>
      <c r="X139" s="252">
        <f t="shared" ref="X139:BA139" si="127">IF(AND(X$48-$A139&gt;$V$34,SUM($W139:W139)&lt;&gt;$V139),$V139,0)</f>
        <v>0</v>
      </c>
      <c r="Y139" s="252">
        <f t="shared" si="127"/>
        <v>0</v>
      </c>
      <c r="Z139" s="252">
        <f t="shared" si="127"/>
        <v>0</v>
      </c>
      <c r="AA139" s="252">
        <f t="shared" si="127"/>
        <v>0</v>
      </c>
      <c r="AB139" s="252">
        <f t="shared" si="127"/>
        <v>0</v>
      </c>
      <c r="AC139" s="252">
        <f t="shared" si="127"/>
        <v>0</v>
      </c>
      <c r="AD139" s="252">
        <f t="shared" si="127"/>
        <v>0</v>
      </c>
      <c r="AE139" s="252">
        <f t="shared" si="127"/>
        <v>0</v>
      </c>
      <c r="AF139" s="252">
        <f t="shared" si="127"/>
        <v>0</v>
      </c>
      <c r="AG139" s="252">
        <f t="shared" si="127"/>
        <v>0</v>
      </c>
      <c r="AH139" s="252">
        <f t="shared" si="127"/>
        <v>0</v>
      </c>
      <c r="AI139" s="252">
        <f t="shared" si="127"/>
        <v>0</v>
      </c>
      <c r="AJ139" s="252">
        <f t="shared" si="127"/>
        <v>0</v>
      </c>
      <c r="AK139" s="252">
        <f t="shared" si="127"/>
        <v>0</v>
      </c>
      <c r="AL139" s="252">
        <f t="shared" si="127"/>
        <v>0</v>
      </c>
      <c r="AM139" s="252">
        <f t="shared" si="127"/>
        <v>0</v>
      </c>
      <c r="AN139" s="252">
        <f t="shared" si="127"/>
        <v>0</v>
      </c>
      <c r="AO139" s="252">
        <f t="shared" si="127"/>
        <v>0</v>
      </c>
      <c r="AP139" s="252">
        <f t="shared" si="127"/>
        <v>0</v>
      </c>
      <c r="AQ139" s="252">
        <f t="shared" si="127"/>
        <v>0</v>
      </c>
      <c r="AR139" s="252">
        <f t="shared" si="127"/>
        <v>0</v>
      </c>
      <c r="AS139" s="252">
        <f t="shared" si="127"/>
        <v>0</v>
      </c>
      <c r="AT139" s="252">
        <f t="shared" si="127"/>
        <v>0</v>
      </c>
      <c r="AU139" s="252">
        <f t="shared" si="127"/>
        <v>0</v>
      </c>
      <c r="AV139" s="252">
        <f t="shared" si="127"/>
        <v>0</v>
      </c>
      <c r="AW139" s="252">
        <f t="shared" si="127"/>
        <v>0</v>
      </c>
      <c r="AX139" s="252">
        <f t="shared" si="127"/>
        <v>0</v>
      </c>
      <c r="AY139" s="252">
        <f t="shared" si="127"/>
        <v>0</v>
      </c>
      <c r="AZ139" s="252">
        <f t="shared" si="127"/>
        <v>0</v>
      </c>
      <c r="BA139" s="252">
        <f t="shared" si="127"/>
        <v>0</v>
      </c>
    </row>
    <row r="140" ht="15.75" customHeight="1">
      <c r="A140" s="744">
        <v>2021.0</v>
      </c>
      <c r="U140" s="745" t="s">
        <v>1017</v>
      </c>
      <c r="V140" s="747">
        <v>440.9335816504134</v>
      </c>
      <c r="W140" s="252">
        <f t="shared" si="37"/>
        <v>0</v>
      </c>
      <c r="X140" s="252">
        <f t="shared" ref="X140:BA140" si="128">IF(AND(X$48-$A140&gt;$V$34,SUM($W140:W140)&lt;&gt;$V140),$V140,0)</f>
        <v>0</v>
      </c>
      <c r="Y140" s="252">
        <f t="shared" si="128"/>
        <v>0</v>
      </c>
      <c r="Z140" s="252">
        <f t="shared" si="128"/>
        <v>0</v>
      </c>
      <c r="AA140" s="252">
        <f t="shared" si="128"/>
        <v>0</v>
      </c>
      <c r="AB140" s="252">
        <f t="shared" si="128"/>
        <v>0</v>
      </c>
      <c r="AC140" s="252">
        <f t="shared" si="128"/>
        <v>0</v>
      </c>
      <c r="AD140" s="252">
        <f t="shared" si="128"/>
        <v>0</v>
      </c>
      <c r="AE140" s="252">
        <f t="shared" si="128"/>
        <v>0</v>
      </c>
      <c r="AF140" s="252">
        <f t="shared" si="128"/>
        <v>0</v>
      </c>
      <c r="AG140" s="252">
        <f t="shared" si="128"/>
        <v>0</v>
      </c>
      <c r="AH140" s="252">
        <f t="shared" si="128"/>
        <v>0</v>
      </c>
      <c r="AI140" s="252">
        <f t="shared" si="128"/>
        <v>0</v>
      </c>
      <c r="AJ140" s="252">
        <f t="shared" si="128"/>
        <v>0</v>
      </c>
      <c r="AK140" s="252">
        <f t="shared" si="128"/>
        <v>0</v>
      </c>
      <c r="AL140" s="252">
        <f t="shared" si="128"/>
        <v>0</v>
      </c>
      <c r="AM140" s="252">
        <f t="shared" si="128"/>
        <v>0</v>
      </c>
      <c r="AN140" s="235">
        <f t="shared" si="128"/>
        <v>440.9335817</v>
      </c>
      <c r="AO140" s="252">
        <f t="shared" si="128"/>
        <v>0</v>
      </c>
      <c r="AP140" s="252">
        <f t="shared" si="128"/>
        <v>0</v>
      </c>
      <c r="AQ140" s="252">
        <f t="shared" si="128"/>
        <v>0</v>
      </c>
      <c r="AR140" s="252">
        <f t="shared" si="128"/>
        <v>0</v>
      </c>
      <c r="AS140" s="252">
        <f t="shared" si="128"/>
        <v>0</v>
      </c>
      <c r="AT140" s="252">
        <f t="shared" si="128"/>
        <v>0</v>
      </c>
      <c r="AU140" s="252">
        <f t="shared" si="128"/>
        <v>0</v>
      </c>
      <c r="AV140" s="252">
        <f t="shared" si="128"/>
        <v>0</v>
      </c>
      <c r="AW140" s="252">
        <f t="shared" si="128"/>
        <v>0</v>
      </c>
      <c r="AX140" s="252">
        <f t="shared" si="128"/>
        <v>0</v>
      </c>
      <c r="AY140" s="252">
        <f t="shared" si="128"/>
        <v>0</v>
      </c>
      <c r="AZ140" s="252">
        <f t="shared" si="128"/>
        <v>0</v>
      </c>
      <c r="BA140" s="252">
        <f t="shared" si="128"/>
        <v>0</v>
      </c>
    </row>
    <row r="141" ht="15.75" customHeight="1">
      <c r="A141" s="744">
        <v>2022.0</v>
      </c>
      <c r="U141" s="745" t="s">
        <v>1018</v>
      </c>
      <c r="V141" s="747">
        <v>440.9335816504134</v>
      </c>
      <c r="W141" s="252">
        <f t="shared" si="37"/>
        <v>0</v>
      </c>
      <c r="X141" s="252">
        <f t="shared" ref="X141:BA141" si="129">IF(AND(X$48-$A141&gt;$V$34,SUM($W141:W141)&lt;&gt;$V141),$V141,0)</f>
        <v>0</v>
      </c>
      <c r="Y141" s="252">
        <f t="shared" si="129"/>
        <v>0</v>
      </c>
      <c r="Z141" s="252">
        <f t="shared" si="129"/>
        <v>0</v>
      </c>
      <c r="AA141" s="252">
        <f t="shared" si="129"/>
        <v>0</v>
      </c>
      <c r="AB141" s="252">
        <f t="shared" si="129"/>
        <v>0</v>
      </c>
      <c r="AC141" s="252">
        <f t="shared" si="129"/>
        <v>0</v>
      </c>
      <c r="AD141" s="252">
        <f t="shared" si="129"/>
        <v>0</v>
      </c>
      <c r="AE141" s="252">
        <f t="shared" si="129"/>
        <v>0</v>
      </c>
      <c r="AF141" s="252">
        <f t="shared" si="129"/>
        <v>0</v>
      </c>
      <c r="AG141" s="252">
        <f t="shared" si="129"/>
        <v>0</v>
      </c>
      <c r="AH141" s="252">
        <f t="shared" si="129"/>
        <v>0</v>
      </c>
      <c r="AI141" s="252">
        <f t="shared" si="129"/>
        <v>0</v>
      </c>
      <c r="AJ141" s="252">
        <f t="shared" si="129"/>
        <v>0</v>
      </c>
      <c r="AK141" s="252">
        <f t="shared" si="129"/>
        <v>0</v>
      </c>
      <c r="AL141" s="252">
        <f t="shared" si="129"/>
        <v>0</v>
      </c>
      <c r="AM141" s="252">
        <f t="shared" si="129"/>
        <v>0</v>
      </c>
      <c r="AN141" s="252">
        <f t="shared" si="129"/>
        <v>0</v>
      </c>
      <c r="AO141" s="235">
        <f t="shared" si="129"/>
        <v>440.9335817</v>
      </c>
      <c r="AP141" s="252">
        <f t="shared" si="129"/>
        <v>0</v>
      </c>
      <c r="AQ141" s="252">
        <f t="shared" si="129"/>
        <v>0</v>
      </c>
      <c r="AR141" s="252">
        <f t="shared" si="129"/>
        <v>0</v>
      </c>
      <c r="AS141" s="252">
        <f t="shared" si="129"/>
        <v>0</v>
      </c>
      <c r="AT141" s="252">
        <f t="shared" si="129"/>
        <v>0</v>
      </c>
      <c r="AU141" s="252">
        <f t="shared" si="129"/>
        <v>0</v>
      </c>
      <c r="AV141" s="252">
        <f t="shared" si="129"/>
        <v>0</v>
      </c>
      <c r="AW141" s="252">
        <f t="shared" si="129"/>
        <v>0</v>
      </c>
      <c r="AX141" s="252">
        <f t="shared" si="129"/>
        <v>0</v>
      </c>
      <c r="AY141" s="252">
        <f t="shared" si="129"/>
        <v>0</v>
      </c>
      <c r="AZ141" s="252">
        <f t="shared" si="129"/>
        <v>0</v>
      </c>
      <c r="BA141" s="252">
        <f t="shared" si="129"/>
        <v>0</v>
      </c>
    </row>
    <row r="142" ht="15.75" customHeight="1">
      <c r="A142" s="744">
        <v>2023.0</v>
      </c>
      <c r="U142" s="745" t="s">
        <v>1019</v>
      </c>
      <c r="V142" s="747">
        <v>440.93358165041343</v>
      </c>
      <c r="W142" s="252">
        <f t="shared" si="37"/>
        <v>0</v>
      </c>
      <c r="X142" s="252">
        <f t="shared" ref="X142:BA142" si="130">IF(AND(X$48-$A142&gt;$V$34,SUM($W142:W142)&lt;&gt;$V142),$V142,0)</f>
        <v>0</v>
      </c>
      <c r="Y142" s="252">
        <f t="shared" si="130"/>
        <v>0</v>
      </c>
      <c r="Z142" s="252">
        <f t="shared" si="130"/>
        <v>0</v>
      </c>
      <c r="AA142" s="252">
        <f t="shared" si="130"/>
        <v>0</v>
      </c>
      <c r="AB142" s="252">
        <f t="shared" si="130"/>
        <v>0</v>
      </c>
      <c r="AC142" s="252">
        <f t="shared" si="130"/>
        <v>0</v>
      </c>
      <c r="AD142" s="252">
        <f t="shared" si="130"/>
        <v>0</v>
      </c>
      <c r="AE142" s="252">
        <f t="shared" si="130"/>
        <v>0</v>
      </c>
      <c r="AF142" s="252">
        <f t="shared" si="130"/>
        <v>0</v>
      </c>
      <c r="AG142" s="252">
        <f t="shared" si="130"/>
        <v>0</v>
      </c>
      <c r="AH142" s="252">
        <f t="shared" si="130"/>
        <v>0</v>
      </c>
      <c r="AI142" s="252">
        <f t="shared" si="130"/>
        <v>0</v>
      </c>
      <c r="AJ142" s="252">
        <f t="shared" si="130"/>
        <v>0</v>
      </c>
      <c r="AK142" s="252">
        <f t="shared" si="130"/>
        <v>0</v>
      </c>
      <c r="AL142" s="252">
        <f t="shared" si="130"/>
        <v>0</v>
      </c>
      <c r="AM142" s="252">
        <f t="shared" si="130"/>
        <v>0</v>
      </c>
      <c r="AN142" s="252">
        <f t="shared" si="130"/>
        <v>0</v>
      </c>
      <c r="AO142" s="252">
        <f t="shared" si="130"/>
        <v>0</v>
      </c>
      <c r="AP142" s="235">
        <f t="shared" si="130"/>
        <v>440.9335817</v>
      </c>
      <c r="AQ142" s="252">
        <f t="shared" si="130"/>
        <v>0</v>
      </c>
      <c r="AR142" s="252">
        <f t="shared" si="130"/>
        <v>0</v>
      </c>
      <c r="AS142" s="252">
        <f t="shared" si="130"/>
        <v>0</v>
      </c>
      <c r="AT142" s="252">
        <f t="shared" si="130"/>
        <v>0</v>
      </c>
      <c r="AU142" s="252">
        <f t="shared" si="130"/>
        <v>0</v>
      </c>
      <c r="AV142" s="252">
        <f t="shared" si="130"/>
        <v>0</v>
      </c>
      <c r="AW142" s="252">
        <f t="shared" si="130"/>
        <v>0</v>
      </c>
      <c r="AX142" s="252">
        <f t="shared" si="130"/>
        <v>0</v>
      </c>
      <c r="AY142" s="252">
        <f t="shared" si="130"/>
        <v>0</v>
      </c>
      <c r="AZ142" s="252">
        <f t="shared" si="130"/>
        <v>0</v>
      </c>
      <c r="BA142" s="252">
        <f t="shared" si="130"/>
        <v>0</v>
      </c>
    </row>
    <row r="143" ht="15.75" customHeight="1">
      <c r="A143" s="744">
        <v>2024.0</v>
      </c>
      <c r="V143" s="747">
        <v>440.9335816504133</v>
      </c>
      <c r="W143" s="252">
        <f t="shared" si="37"/>
        <v>0</v>
      </c>
      <c r="X143" s="252">
        <f t="shared" ref="X143:BA143" si="131">IF(AND(X$48-$A143&gt;$V$34,SUM($W143:W143)&lt;&gt;$V143),$V143,0)</f>
        <v>0</v>
      </c>
      <c r="Y143" s="252">
        <f t="shared" si="131"/>
        <v>0</v>
      </c>
      <c r="Z143" s="252">
        <f t="shared" si="131"/>
        <v>0</v>
      </c>
      <c r="AA143" s="252">
        <f t="shared" si="131"/>
        <v>0</v>
      </c>
      <c r="AB143" s="252">
        <f t="shared" si="131"/>
        <v>0</v>
      </c>
      <c r="AC143" s="252">
        <f t="shared" si="131"/>
        <v>0</v>
      </c>
      <c r="AD143" s="252">
        <f t="shared" si="131"/>
        <v>0</v>
      </c>
      <c r="AE143" s="252">
        <f t="shared" si="131"/>
        <v>0</v>
      </c>
      <c r="AF143" s="252">
        <f t="shared" si="131"/>
        <v>0</v>
      </c>
      <c r="AG143" s="252">
        <f t="shared" si="131"/>
        <v>0</v>
      </c>
      <c r="AH143" s="252">
        <f t="shared" si="131"/>
        <v>0</v>
      </c>
      <c r="AI143" s="252">
        <f t="shared" si="131"/>
        <v>0</v>
      </c>
      <c r="AJ143" s="252">
        <f t="shared" si="131"/>
        <v>0</v>
      </c>
      <c r="AK143" s="252">
        <f t="shared" si="131"/>
        <v>0</v>
      </c>
      <c r="AL143" s="252">
        <f t="shared" si="131"/>
        <v>0</v>
      </c>
      <c r="AM143" s="252">
        <f t="shared" si="131"/>
        <v>0</v>
      </c>
      <c r="AN143" s="252">
        <f t="shared" si="131"/>
        <v>0</v>
      </c>
      <c r="AO143" s="252">
        <f t="shared" si="131"/>
        <v>0</v>
      </c>
      <c r="AP143" s="252">
        <f t="shared" si="131"/>
        <v>0</v>
      </c>
      <c r="AQ143" s="235">
        <f t="shared" si="131"/>
        <v>440.9335817</v>
      </c>
      <c r="AR143" s="252">
        <f t="shared" si="131"/>
        <v>0</v>
      </c>
      <c r="AS143" s="252">
        <f t="shared" si="131"/>
        <v>0</v>
      </c>
      <c r="AT143" s="252">
        <f t="shared" si="131"/>
        <v>0</v>
      </c>
      <c r="AU143" s="252">
        <f t="shared" si="131"/>
        <v>0</v>
      </c>
      <c r="AV143" s="252">
        <f t="shared" si="131"/>
        <v>0</v>
      </c>
      <c r="AW143" s="252">
        <f t="shared" si="131"/>
        <v>0</v>
      </c>
      <c r="AX143" s="252">
        <f t="shared" si="131"/>
        <v>0</v>
      </c>
      <c r="AY143" s="252">
        <f t="shared" si="131"/>
        <v>0</v>
      </c>
      <c r="AZ143" s="252">
        <f t="shared" si="131"/>
        <v>0</v>
      </c>
      <c r="BA143" s="252">
        <f t="shared" si="131"/>
        <v>0</v>
      </c>
    </row>
    <row r="144" ht="15.75" customHeight="1">
      <c r="A144" s="744">
        <v>2025.0</v>
      </c>
      <c r="V144" s="747">
        <v>440.9335816504133</v>
      </c>
      <c r="W144" s="252">
        <f t="shared" si="37"/>
        <v>0</v>
      </c>
      <c r="X144" s="252">
        <f t="shared" ref="X144:BA144" si="132">IF(AND(X$48-$A144&gt;$V$34,SUM($W144:W144)&lt;&gt;$V144),$V144,0)</f>
        <v>0</v>
      </c>
      <c r="Y144" s="252">
        <f t="shared" si="132"/>
        <v>0</v>
      </c>
      <c r="Z144" s="252">
        <f t="shared" si="132"/>
        <v>0</v>
      </c>
      <c r="AA144" s="252">
        <f t="shared" si="132"/>
        <v>0</v>
      </c>
      <c r="AB144" s="252">
        <f t="shared" si="132"/>
        <v>0</v>
      </c>
      <c r="AC144" s="252">
        <f t="shared" si="132"/>
        <v>0</v>
      </c>
      <c r="AD144" s="252">
        <f t="shared" si="132"/>
        <v>0</v>
      </c>
      <c r="AE144" s="252">
        <f t="shared" si="132"/>
        <v>0</v>
      </c>
      <c r="AF144" s="252">
        <f t="shared" si="132"/>
        <v>0</v>
      </c>
      <c r="AG144" s="252">
        <f t="shared" si="132"/>
        <v>0</v>
      </c>
      <c r="AH144" s="252">
        <f t="shared" si="132"/>
        <v>0</v>
      </c>
      <c r="AI144" s="252">
        <f t="shared" si="132"/>
        <v>0</v>
      </c>
      <c r="AJ144" s="252">
        <f t="shared" si="132"/>
        <v>0</v>
      </c>
      <c r="AK144" s="252">
        <f t="shared" si="132"/>
        <v>0</v>
      </c>
      <c r="AL144" s="252">
        <f t="shared" si="132"/>
        <v>0</v>
      </c>
      <c r="AM144" s="252">
        <f t="shared" si="132"/>
        <v>0</v>
      </c>
      <c r="AN144" s="252">
        <f t="shared" si="132"/>
        <v>0</v>
      </c>
      <c r="AO144" s="252">
        <f t="shared" si="132"/>
        <v>0</v>
      </c>
      <c r="AP144" s="252">
        <f t="shared" si="132"/>
        <v>0</v>
      </c>
      <c r="AQ144" s="252">
        <f t="shared" si="132"/>
        <v>0</v>
      </c>
      <c r="AR144" s="235">
        <f t="shared" si="132"/>
        <v>440.9335817</v>
      </c>
      <c r="AS144" s="252">
        <f t="shared" si="132"/>
        <v>0</v>
      </c>
      <c r="AT144" s="252">
        <f t="shared" si="132"/>
        <v>0</v>
      </c>
      <c r="AU144" s="252">
        <f t="shared" si="132"/>
        <v>0</v>
      </c>
      <c r="AV144" s="252">
        <f t="shared" si="132"/>
        <v>0</v>
      </c>
      <c r="AW144" s="252">
        <f t="shared" si="132"/>
        <v>0</v>
      </c>
      <c r="AX144" s="252">
        <f t="shared" si="132"/>
        <v>0</v>
      </c>
      <c r="AY144" s="252">
        <f t="shared" si="132"/>
        <v>0</v>
      </c>
      <c r="AZ144" s="252">
        <f t="shared" si="132"/>
        <v>0</v>
      </c>
      <c r="BA144" s="252">
        <f t="shared" si="132"/>
        <v>0</v>
      </c>
    </row>
    <row r="145" ht="15.75" customHeight="1">
      <c r="A145" s="744">
        <v>2026.0</v>
      </c>
      <c r="V145" s="747">
        <v>440.93358165041354</v>
      </c>
      <c r="W145" s="252">
        <f t="shared" si="37"/>
        <v>0</v>
      </c>
      <c r="X145" s="252">
        <f t="shared" ref="X145:BA145" si="133">IF(AND(X$48-$A145&gt;$V$34,SUM($W145:W145)&lt;&gt;$V145),$V145,0)</f>
        <v>0</v>
      </c>
      <c r="Y145" s="252">
        <f t="shared" si="133"/>
        <v>0</v>
      </c>
      <c r="Z145" s="252">
        <f t="shared" si="133"/>
        <v>0</v>
      </c>
      <c r="AA145" s="252">
        <f t="shared" si="133"/>
        <v>0</v>
      </c>
      <c r="AB145" s="252">
        <f t="shared" si="133"/>
        <v>0</v>
      </c>
      <c r="AC145" s="252">
        <f t="shared" si="133"/>
        <v>0</v>
      </c>
      <c r="AD145" s="252">
        <f t="shared" si="133"/>
        <v>0</v>
      </c>
      <c r="AE145" s="252">
        <f t="shared" si="133"/>
        <v>0</v>
      </c>
      <c r="AF145" s="252">
        <f t="shared" si="133"/>
        <v>0</v>
      </c>
      <c r="AG145" s="252">
        <f t="shared" si="133"/>
        <v>0</v>
      </c>
      <c r="AH145" s="252">
        <f t="shared" si="133"/>
        <v>0</v>
      </c>
      <c r="AI145" s="252">
        <f t="shared" si="133"/>
        <v>0</v>
      </c>
      <c r="AJ145" s="252">
        <f t="shared" si="133"/>
        <v>0</v>
      </c>
      <c r="AK145" s="252">
        <f t="shared" si="133"/>
        <v>0</v>
      </c>
      <c r="AL145" s="252">
        <f t="shared" si="133"/>
        <v>0</v>
      </c>
      <c r="AM145" s="252">
        <f t="shared" si="133"/>
        <v>0</v>
      </c>
      <c r="AN145" s="252">
        <f t="shared" si="133"/>
        <v>0</v>
      </c>
      <c r="AO145" s="252">
        <f t="shared" si="133"/>
        <v>0</v>
      </c>
      <c r="AP145" s="252">
        <f t="shared" si="133"/>
        <v>0</v>
      </c>
      <c r="AQ145" s="252">
        <f t="shared" si="133"/>
        <v>0</v>
      </c>
      <c r="AR145" s="252">
        <f t="shared" si="133"/>
        <v>0</v>
      </c>
      <c r="AS145" s="235">
        <f t="shared" si="133"/>
        <v>440.9335817</v>
      </c>
      <c r="AT145" s="252">
        <f t="shared" si="133"/>
        <v>0</v>
      </c>
      <c r="AU145" s="252">
        <f t="shared" si="133"/>
        <v>0</v>
      </c>
      <c r="AV145" s="252">
        <f t="shared" si="133"/>
        <v>0</v>
      </c>
      <c r="AW145" s="252">
        <f t="shared" si="133"/>
        <v>0</v>
      </c>
      <c r="AX145" s="252">
        <f t="shared" si="133"/>
        <v>0</v>
      </c>
      <c r="AY145" s="252">
        <f t="shared" si="133"/>
        <v>0</v>
      </c>
      <c r="AZ145" s="252">
        <f t="shared" si="133"/>
        <v>0</v>
      </c>
      <c r="BA145" s="252">
        <f t="shared" si="133"/>
        <v>0</v>
      </c>
    </row>
    <row r="146" ht="15.75" customHeight="1">
      <c r="A146" s="744">
        <v>2027.0</v>
      </c>
      <c r="V146" s="747">
        <v>440.93358165041354</v>
      </c>
      <c r="W146" s="252">
        <f t="shared" si="37"/>
        <v>0</v>
      </c>
      <c r="X146" s="252">
        <f t="shared" ref="X146:BA146" si="134">IF(AND(X$48-$A146&gt;$V$34,SUM($W146:W146)&lt;&gt;$V146),$V146,0)</f>
        <v>0</v>
      </c>
      <c r="Y146" s="252">
        <f t="shared" si="134"/>
        <v>0</v>
      </c>
      <c r="Z146" s="252">
        <f t="shared" si="134"/>
        <v>0</v>
      </c>
      <c r="AA146" s="252">
        <f t="shared" si="134"/>
        <v>0</v>
      </c>
      <c r="AB146" s="252">
        <f t="shared" si="134"/>
        <v>0</v>
      </c>
      <c r="AC146" s="252">
        <f t="shared" si="134"/>
        <v>0</v>
      </c>
      <c r="AD146" s="252">
        <f t="shared" si="134"/>
        <v>0</v>
      </c>
      <c r="AE146" s="252">
        <f t="shared" si="134"/>
        <v>0</v>
      </c>
      <c r="AF146" s="252">
        <f t="shared" si="134"/>
        <v>0</v>
      </c>
      <c r="AG146" s="252">
        <f t="shared" si="134"/>
        <v>0</v>
      </c>
      <c r="AH146" s="252">
        <f t="shared" si="134"/>
        <v>0</v>
      </c>
      <c r="AI146" s="252">
        <f t="shared" si="134"/>
        <v>0</v>
      </c>
      <c r="AJ146" s="252">
        <f t="shared" si="134"/>
        <v>0</v>
      </c>
      <c r="AK146" s="252">
        <f t="shared" si="134"/>
        <v>0</v>
      </c>
      <c r="AL146" s="252">
        <f t="shared" si="134"/>
        <v>0</v>
      </c>
      <c r="AM146" s="252">
        <f t="shared" si="134"/>
        <v>0</v>
      </c>
      <c r="AN146" s="252">
        <f t="shared" si="134"/>
        <v>0</v>
      </c>
      <c r="AO146" s="252">
        <f t="shared" si="134"/>
        <v>0</v>
      </c>
      <c r="AP146" s="252">
        <f t="shared" si="134"/>
        <v>0</v>
      </c>
      <c r="AQ146" s="252">
        <f t="shared" si="134"/>
        <v>0</v>
      </c>
      <c r="AR146" s="252">
        <f t="shared" si="134"/>
        <v>0</v>
      </c>
      <c r="AS146" s="252">
        <f t="shared" si="134"/>
        <v>0</v>
      </c>
      <c r="AT146" s="235">
        <f t="shared" si="134"/>
        <v>440.9335817</v>
      </c>
      <c r="AU146" s="252">
        <f t="shared" si="134"/>
        <v>0</v>
      </c>
      <c r="AV146" s="252">
        <f t="shared" si="134"/>
        <v>0</v>
      </c>
      <c r="AW146" s="252">
        <f t="shared" si="134"/>
        <v>0</v>
      </c>
      <c r="AX146" s="252">
        <f t="shared" si="134"/>
        <v>0</v>
      </c>
      <c r="AY146" s="252">
        <f t="shared" si="134"/>
        <v>0</v>
      </c>
      <c r="AZ146" s="252">
        <f t="shared" si="134"/>
        <v>0</v>
      </c>
      <c r="BA146" s="252">
        <f t="shared" si="134"/>
        <v>0</v>
      </c>
    </row>
    <row r="147" ht="15.75" customHeight="1">
      <c r="A147" s="744">
        <v>2028.0</v>
      </c>
      <c r="V147" s="747">
        <v>440.93358165041354</v>
      </c>
      <c r="W147" s="252">
        <f t="shared" si="37"/>
        <v>0</v>
      </c>
      <c r="X147" s="252">
        <f t="shared" ref="X147:BA147" si="135">IF(AND(X$48-$A147&gt;$V$34,SUM($W147:W147)&lt;&gt;$V147),$V147,0)</f>
        <v>0</v>
      </c>
      <c r="Y147" s="252">
        <f t="shared" si="135"/>
        <v>0</v>
      </c>
      <c r="Z147" s="252">
        <f t="shared" si="135"/>
        <v>0</v>
      </c>
      <c r="AA147" s="252">
        <f t="shared" si="135"/>
        <v>0</v>
      </c>
      <c r="AB147" s="252">
        <f t="shared" si="135"/>
        <v>0</v>
      </c>
      <c r="AC147" s="252">
        <f t="shared" si="135"/>
        <v>0</v>
      </c>
      <c r="AD147" s="252">
        <f t="shared" si="135"/>
        <v>0</v>
      </c>
      <c r="AE147" s="252">
        <f t="shared" si="135"/>
        <v>0</v>
      </c>
      <c r="AF147" s="252">
        <f t="shared" si="135"/>
        <v>0</v>
      </c>
      <c r="AG147" s="252">
        <f t="shared" si="135"/>
        <v>0</v>
      </c>
      <c r="AH147" s="252">
        <f t="shared" si="135"/>
        <v>0</v>
      </c>
      <c r="AI147" s="252">
        <f t="shared" si="135"/>
        <v>0</v>
      </c>
      <c r="AJ147" s="252">
        <f t="shared" si="135"/>
        <v>0</v>
      </c>
      <c r="AK147" s="252">
        <f t="shared" si="135"/>
        <v>0</v>
      </c>
      <c r="AL147" s="252">
        <f t="shared" si="135"/>
        <v>0</v>
      </c>
      <c r="AM147" s="252">
        <f t="shared" si="135"/>
        <v>0</v>
      </c>
      <c r="AN147" s="252">
        <f t="shared" si="135"/>
        <v>0</v>
      </c>
      <c r="AO147" s="252">
        <f t="shared" si="135"/>
        <v>0</v>
      </c>
      <c r="AP147" s="252">
        <f t="shared" si="135"/>
        <v>0</v>
      </c>
      <c r="AQ147" s="252">
        <f t="shared" si="135"/>
        <v>0</v>
      </c>
      <c r="AR147" s="252">
        <f t="shared" si="135"/>
        <v>0</v>
      </c>
      <c r="AS147" s="252">
        <f t="shared" si="135"/>
        <v>0</v>
      </c>
      <c r="AT147" s="252">
        <f t="shared" si="135"/>
        <v>0</v>
      </c>
      <c r="AU147" s="235">
        <f t="shared" si="135"/>
        <v>440.9335817</v>
      </c>
      <c r="AV147" s="252">
        <f t="shared" si="135"/>
        <v>0</v>
      </c>
      <c r="AW147" s="252">
        <f t="shared" si="135"/>
        <v>0</v>
      </c>
      <c r="AX147" s="252">
        <f t="shared" si="135"/>
        <v>0</v>
      </c>
      <c r="AY147" s="252">
        <f t="shared" si="135"/>
        <v>0</v>
      </c>
      <c r="AZ147" s="252">
        <f t="shared" si="135"/>
        <v>0</v>
      </c>
      <c r="BA147" s="252">
        <f t="shared" si="135"/>
        <v>0</v>
      </c>
    </row>
    <row r="148" ht="15.75" customHeight="1">
      <c r="A148" s="744">
        <v>2029.0</v>
      </c>
      <c r="V148" s="747">
        <v>440.93358165041354</v>
      </c>
      <c r="W148" s="252">
        <f t="shared" si="37"/>
        <v>0</v>
      </c>
      <c r="X148" s="252">
        <f t="shared" ref="X148:BA148" si="136">IF(AND(X$48-$A148&gt;$V$34,SUM($W148:W148)&lt;&gt;$V148),$V148,0)</f>
        <v>0</v>
      </c>
      <c r="Y148" s="252">
        <f t="shared" si="136"/>
        <v>0</v>
      </c>
      <c r="Z148" s="252">
        <f t="shared" si="136"/>
        <v>0</v>
      </c>
      <c r="AA148" s="252">
        <f t="shared" si="136"/>
        <v>0</v>
      </c>
      <c r="AB148" s="252">
        <f t="shared" si="136"/>
        <v>0</v>
      </c>
      <c r="AC148" s="252">
        <f t="shared" si="136"/>
        <v>0</v>
      </c>
      <c r="AD148" s="252">
        <f t="shared" si="136"/>
        <v>0</v>
      </c>
      <c r="AE148" s="252">
        <f t="shared" si="136"/>
        <v>0</v>
      </c>
      <c r="AF148" s="252">
        <f t="shared" si="136"/>
        <v>0</v>
      </c>
      <c r="AG148" s="252">
        <f t="shared" si="136"/>
        <v>0</v>
      </c>
      <c r="AH148" s="252">
        <f t="shared" si="136"/>
        <v>0</v>
      </c>
      <c r="AI148" s="252">
        <f t="shared" si="136"/>
        <v>0</v>
      </c>
      <c r="AJ148" s="252">
        <f t="shared" si="136"/>
        <v>0</v>
      </c>
      <c r="AK148" s="252">
        <f t="shared" si="136"/>
        <v>0</v>
      </c>
      <c r="AL148" s="252">
        <f t="shared" si="136"/>
        <v>0</v>
      </c>
      <c r="AM148" s="252">
        <f t="shared" si="136"/>
        <v>0</v>
      </c>
      <c r="AN148" s="252">
        <f t="shared" si="136"/>
        <v>0</v>
      </c>
      <c r="AO148" s="252">
        <f t="shared" si="136"/>
        <v>0</v>
      </c>
      <c r="AP148" s="252">
        <f t="shared" si="136"/>
        <v>0</v>
      </c>
      <c r="AQ148" s="252">
        <f t="shared" si="136"/>
        <v>0</v>
      </c>
      <c r="AR148" s="252">
        <f t="shared" si="136"/>
        <v>0</v>
      </c>
      <c r="AS148" s="252">
        <f t="shared" si="136"/>
        <v>0</v>
      </c>
      <c r="AT148" s="252">
        <f t="shared" si="136"/>
        <v>0</v>
      </c>
      <c r="AU148" s="252">
        <f t="shared" si="136"/>
        <v>0</v>
      </c>
      <c r="AV148" s="235">
        <f t="shared" si="136"/>
        <v>440.9335817</v>
      </c>
      <c r="AW148" s="252">
        <f t="shared" si="136"/>
        <v>0</v>
      </c>
      <c r="AX148" s="252">
        <f t="shared" si="136"/>
        <v>0</v>
      </c>
      <c r="AY148" s="252">
        <f t="shared" si="136"/>
        <v>0</v>
      </c>
      <c r="AZ148" s="252">
        <f t="shared" si="136"/>
        <v>0</v>
      </c>
      <c r="BA148" s="252">
        <f t="shared" si="136"/>
        <v>0</v>
      </c>
    </row>
    <row r="149" ht="15.75" customHeight="1">
      <c r="A149" s="744">
        <v>2030.0</v>
      </c>
      <c r="V149" s="747">
        <v>440.93358165041354</v>
      </c>
      <c r="W149" s="252">
        <f t="shared" si="37"/>
        <v>0</v>
      </c>
      <c r="X149" s="252">
        <f t="shared" ref="X149:BA149" si="137">IF(AND(X$48-$A149&gt;$V$34,SUM($W149:W149)&lt;&gt;$V149),$V149,0)</f>
        <v>0</v>
      </c>
      <c r="Y149" s="252">
        <f t="shared" si="137"/>
        <v>0</v>
      </c>
      <c r="Z149" s="252">
        <f t="shared" si="137"/>
        <v>0</v>
      </c>
      <c r="AA149" s="252">
        <f t="shared" si="137"/>
        <v>0</v>
      </c>
      <c r="AB149" s="252">
        <f t="shared" si="137"/>
        <v>0</v>
      </c>
      <c r="AC149" s="252">
        <f t="shared" si="137"/>
        <v>0</v>
      </c>
      <c r="AD149" s="252">
        <f t="shared" si="137"/>
        <v>0</v>
      </c>
      <c r="AE149" s="252">
        <f t="shared" si="137"/>
        <v>0</v>
      </c>
      <c r="AF149" s="252">
        <f t="shared" si="137"/>
        <v>0</v>
      </c>
      <c r="AG149" s="252">
        <f t="shared" si="137"/>
        <v>0</v>
      </c>
      <c r="AH149" s="252">
        <f t="shared" si="137"/>
        <v>0</v>
      </c>
      <c r="AI149" s="252">
        <f t="shared" si="137"/>
        <v>0</v>
      </c>
      <c r="AJ149" s="252">
        <f t="shared" si="137"/>
        <v>0</v>
      </c>
      <c r="AK149" s="252">
        <f t="shared" si="137"/>
        <v>0</v>
      </c>
      <c r="AL149" s="252">
        <f t="shared" si="137"/>
        <v>0</v>
      </c>
      <c r="AM149" s="252">
        <f t="shared" si="137"/>
        <v>0</v>
      </c>
      <c r="AN149" s="252">
        <f t="shared" si="137"/>
        <v>0</v>
      </c>
      <c r="AO149" s="252">
        <f t="shared" si="137"/>
        <v>0</v>
      </c>
      <c r="AP149" s="252">
        <f t="shared" si="137"/>
        <v>0</v>
      </c>
      <c r="AQ149" s="252">
        <f t="shared" si="137"/>
        <v>0</v>
      </c>
      <c r="AR149" s="252">
        <f t="shared" si="137"/>
        <v>0</v>
      </c>
      <c r="AS149" s="252">
        <f t="shared" si="137"/>
        <v>0</v>
      </c>
      <c r="AT149" s="252">
        <f t="shared" si="137"/>
        <v>0</v>
      </c>
      <c r="AU149" s="252">
        <f t="shared" si="137"/>
        <v>0</v>
      </c>
      <c r="AV149" s="252">
        <f t="shared" si="137"/>
        <v>0</v>
      </c>
      <c r="AW149" s="235">
        <f t="shared" si="137"/>
        <v>440.9335817</v>
      </c>
      <c r="AX149" s="252">
        <f t="shared" si="137"/>
        <v>0</v>
      </c>
      <c r="AY149" s="252">
        <f t="shared" si="137"/>
        <v>0</v>
      </c>
      <c r="AZ149" s="252">
        <f t="shared" si="137"/>
        <v>0</v>
      </c>
      <c r="BA149" s="252">
        <f t="shared" si="137"/>
        <v>0</v>
      </c>
    </row>
    <row r="150" ht="15.75" customHeight="1">
      <c r="A150" s="744">
        <v>2031.0</v>
      </c>
      <c r="V150" s="747">
        <v>440.93358165041354</v>
      </c>
      <c r="W150" s="252">
        <f t="shared" si="37"/>
        <v>0</v>
      </c>
      <c r="X150" s="252">
        <f t="shared" ref="X150:BA150" si="138">IF(AND(X$48-$A150&gt;$V$34,SUM($W150:W150)&lt;&gt;$V150),$V150,0)</f>
        <v>0</v>
      </c>
      <c r="Y150" s="252">
        <f t="shared" si="138"/>
        <v>0</v>
      </c>
      <c r="Z150" s="252">
        <f t="shared" si="138"/>
        <v>0</v>
      </c>
      <c r="AA150" s="252">
        <f t="shared" si="138"/>
        <v>0</v>
      </c>
      <c r="AB150" s="252">
        <f t="shared" si="138"/>
        <v>0</v>
      </c>
      <c r="AC150" s="252">
        <f t="shared" si="138"/>
        <v>0</v>
      </c>
      <c r="AD150" s="252">
        <f t="shared" si="138"/>
        <v>0</v>
      </c>
      <c r="AE150" s="252">
        <f t="shared" si="138"/>
        <v>0</v>
      </c>
      <c r="AF150" s="252">
        <f t="shared" si="138"/>
        <v>0</v>
      </c>
      <c r="AG150" s="252">
        <f t="shared" si="138"/>
        <v>0</v>
      </c>
      <c r="AH150" s="252">
        <f t="shared" si="138"/>
        <v>0</v>
      </c>
      <c r="AI150" s="252">
        <f t="shared" si="138"/>
        <v>0</v>
      </c>
      <c r="AJ150" s="252">
        <f t="shared" si="138"/>
        <v>0</v>
      </c>
      <c r="AK150" s="252">
        <f t="shared" si="138"/>
        <v>0</v>
      </c>
      <c r="AL150" s="252">
        <f t="shared" si="138"/>
        <v>0</v>
      </c>
      <c r="AM150" s="252">
        <f t="shared" si="138"/>
        <v>0</v>
      </c>
      <c r="AN150" s="252">
        <f t="shared" si="138"/>
        <v>0</v>
      </c>
      <c r="AO150" s="252">
        <f t="shared" si="138"/>
        <v>0</v>
      </c>
      <c r="AP150" s="252">
        <f t="shared" si="138"/>
        <v>0</v>
      </c>
      <c r="AQ150" s="252">
        <f t="shared" si="138"/>
        <v>0</v>
      </c>
      <c r="AR150" s="252">
        <f t="shared" si="138"/>
        <v>0</v>
      </c>
      <c r="AS150" s="252">
        <f t="shared" si="138"/>
        <v>0</v>
      </c>
      <c r="AT150" s="252">
        <f t="shared" si="138"/>
        <v>0</v>
      </c>
      <c r="AU150" s="252">
        <f t="shared" si="138"/>
        <v>0</v>
      </c>
      <c r="AV150" s="252">
        <f t="shared" si="138"/>
        <v>0</v>
      </c>
      <c r="AW150" s="252">
        <f t="shared" si="138"/>
        <v>0</v>
      </c>
      <c r="AX150" s="235">
        <f t="shared" si="138"/>
        <v>440.9335817</v>
      </c>
      <c r="AY150" s="252">
        <f t="shared" si="138"/>
        <v>0</v>
      </c>
      <c r="AZ150" s="252">
        <f t="shared" si="138"/>
        <v>0</v>
      </c>
      <c r="BA150" s="252">
        <f t="shared" si="138"/>
        <v>0</v>
      </c>
    </row>
    <row r="151" ht="15.75" customHeight="1">
      <c r="A151" s="744">
        <v>2032.0</v>
      </c>
      <c r="V151" s="747">
        <v>441.93358165041354</v>
      </c>
      <c r="W151" s="252">
        <f t="shared" si="37"/>
        <v>0</v>
      </c>
      <c r="X151" s="252">
        <f t="shared" ref="X151:BA151" si="139">IF(AND(X$48-$A151&gt;$V$34,SUM($W151:W151)&lt;&gt;$V151),$V151,0)</f>
        <v>0</v>
      </c>
      <c r="Y151" s="252">
        <f t="shared" si="139"/>
        <v>0</v>
      </c>
      <c r="Z151" s="252">
        <f t="shared" si="139"/>
        <v>0</v>
      </c>
      <c r="AA151" s="252">
        <f t="shared" si="139"/>
        <v>0</v>
      </c>
      <c r="AB151" s="252">
        <f t="shared" si="139"/>
        <v>0</v>
      </c>
      <c r="AC151" s="252">
        <f t="shared" si="139"/>
        <v>0</v>
      </c>
      <c r="AD151" s="252">
        <f t="shared" si="139"/>
        <v>0</v>
      </c>
      <c r="AE151" s="252">
        <f t="shared" si="139"/>
        <v>0</v>
      </c>
      <c r="AF151" s="252">
        <f t="shared" si="139"/>
        <v>0</v>
      </c>
      <c r="AG151" s="252">
        <f t="shared" si="139"/>
        <v>0</v>
      </c>
      <c r="AH151" s="252">
        <f t="shared" si="139"/>
        <v>0</v>
      </c>
      <c r="AI151" s="252">
        <f t="shared" si="139"/>
        <v>0</v>
      </c>
      <c r="AJ151" s="252">
        <f t="shared" si="139"/>
        <v>0</v>
      </c>
      <c r="AK151" s="252">
        <f t="shared" si="139"/>
        <v>0</v>
      </c>
      <c r="AL151" s="252">
        <f t="shared" si="139"/>
        <v>0</v>
      </c>
      <c r="AM151" s="252">
        <f t="shared" si="139"/>
        <v>0</v>
      </c>
      <c r="AN151" s="252">
        <f t="shared" si="139"/>
        <v>0</v>
      </c>
      <c r="AO151" s="252">
        <f t="shared" si="139"/>
        <v>0</v>
      </c>
      <c r="AP151" s="252">
        <f t="shared" si="139"/>
        <v>0</v>
      </c>
      <c r="AQ151" s="252">
        <f t="shared" si="139"/>
        <v>0</v>
      </c>
      <c r="AR151" s="252">
        <f t="shared" si="139"/>
        <v>0</v>
      </c>
      <c r="AS151" s="252">
        <f t="shared" si="139"/>
        <v>0</v>
      </c>
      <c r="AT151" s="252">
        <f t="shared" si="139"/>
        <v>0</v>
      </c>
      <c r="AU151" s="252">
        <f t="shared" si="139"/>
        <v>0</v>
      </c>
      <c r="AV151" s="252">
        <f t="shared" si="139"/>
        <v>0</v>
      </c>
      <c r="AW151" s="252">
        <f t="shared" si="139"/>
        <v>0</v>
      </c>
      <c r="AX151" s="252">
        <f t="shared" si="139"/>
        <v>0</v>
      </c>
      <c r="AY151" s="235">
        <f t="shared" si="139"/>
        <v>441.9335817</v>
      </c>
      <c r="AZ151" s="252">
        <f t="shared" si="139"/>
        <v>0</v>
      </c>
      <c r="BA151" s="252">
        <f t="shared" si="139"/>
        <v>0</v>
      </c>
    </row>
    <row r="152" ht="15.75" customHeight="1">
      <c r="A152" s="744">
        <v>2033.0</v>
      </c>
      <c r="V152" s="747">
        <v>440.93358165041354</v>
      </c>
      <c r="W152" s="252">
        <f t="shared" si="37"/>
        <v>0</v>
      </c>
      <c r="X152" s="252">
        <f t="shared" ref="X152:BA152" si="140">IF(AND(X$48-$A152&gt;$V$34,SUM($W152:W152)&lt;&gt;$V152),$V152,0)</f>
        <v>0</v>
      </c>
      <c r="Y152" s="252">
        <f t="shared" si="140"/>
        <v>0</v>
      </c>
      <c r="Z152" s="252">
        <f t="shared" si="140"/>
        <v>0</v>
      </c>
      <c r="AA152" s="252">
        <f t="shared" si="140"/>
        <v>0</v>
      </c>
      <c r="AB152" s="252">
        <f t="shared" si="140"/>
        <v>0</v>
      </c>
      <c r="AC152" s="252">
        <f t="shared" si="140"/>
        <v>0</v>
      </c>
      <c r="AD152" s="252">
        <f t="shared" si="140"/>
        <v>0</v>
      </c>
      <c r="AE152" s="252">
        <f t="shared" si="140"/>
        <v>0</v>
      </c>
      <c r="AF152" s="252">
        <f t="shared" si="140"/>
        <v>0</v>
      </c>
      <c r="AG152" s="252">
        <f t="shared" si="140"/>
        <v>0</v>
      </c>
      <c r="AH152" s="252">
        <f t="shared" si="140"/>
        <v>0</v>
      </c>
      <c r="AI152" s="252">
        <f t="shared" si="140"/>
        <v>0</v>
      </c>
      <c r="AJ152" s="252">
        <f t="shared" si="140"/>
        <v>0</v>
      </c>
      <c r="AK152" s="252">
        <f t="shared" si="140"/>
        <v>0</v>
      </c>
      <c r="AL152" s="252">
        <f t="shared" si="140"/>
        <v>0</v>
      </c>
      <c r="AM152" s="252">
        <f t="shared" si="140"/>
        <v>0</v>
      </c>
      <c r="AN152" s="252">
        <f t="shared" si="140"/>
        <v>0</v>
      </c>
      <c r="AO152" s="252">
        <f t="shared" si="140"/>
        <v>0</v>
      </c>
      <c r="AP152" s="252">
        <f t="shared" si="140"/>
        <v>0</v>
      </c>
      <c r="AQ152" s="252">
        <f t="shared" si="140"/>
        <v>0</v>
      </c>
      <c r="AR152" s="252">
        <f t="shared" si="140"/>
        <v>0</v>
      </c>
      <c r="AS152" s="252">
        <f t="shared" si="140"/>
        <v>0</v>
      </c>
      <c r="AT152" s="252">
        <f t="shared" si="140"/>
        <v>0</v>
      </c>
      <c r="AU152" s="252">
        <f t="shared" si="140"/>
        <v>0</v>
      </c>
      <c r="AV152" s="252">
        <f t="shared" si="140"/>
        <v>0</v>
      </c>
      <c r="AW152" s="252">
        <f t="shared" si="140"/>
        <v>0</v>
      </c>
      <c r="AX152" s="252">
        <f t="shared" si="140"/>
        <v>0</v>
      </c>
      <c r="AY152" s="252">
        <f t="shared" si="140"/>
        <v>0</v>
      </c>
      <c r="AZ152" s="235">
        <f t="shared" si="140"/>
        <v>440.9335817</v>
      </c>
      <c r="BA152" s="252">
        <f t="shared" si="140"/>
        <v>0</v>
      </c>
    </row>
    <row r="153" ht="15.75" customHeight="1">
      <c r="A153" s="744">
        <v>2034.0</v>
      </c>
      <c r="V153" s="747">
        <v>442.93358165041354</v>
      </c>
      <c r="W153" s="252">
        <f t="shared" si="37"/>
        <v>0</v>
      </c>
      <c r="X153" s="252">
        <f t="shared" ref="X153:BA153" si="141">IF(AND(X$48-$A153&gt;$V$34,SUM($W153:W153)&lt;&gt;$V153),$V153,0)</f>
        <v>0</v>
      </c>
      <c r="Y153" s="252">
        <f t="shared" si="141"/>
        <v>0</v>
      </c>
      <c r="Z153" s="252">
        <f t="shared" si="141"/>
        <v>0</v>
      </c>
      <c r="AA153" s="252">
        <f t="shared" si="141"/>
        <v>0</v>
      </c>
      <c r="AB153" s="252">
        <f t="shared" si="141"/>
        <v>0</v>
      </c>
      <c r="AC153" s="252">
        <f t="shared" si="141"/>
        <v>0</v>
      </c>
      <c r="AD153" s="252">
        <f t="shared" si="141"/>
        <v>0</v>
      </c>
      <c r="AE153" s="252">
        <f t="shared" si="141"/>
        <v>0</v>
      </c>
      <c r="AF153" s="252">
        <f t="shared" si="141"/>
        <v>0</v>
      </c>
      <c r="AG153" s="252">
        <f t="shared" si="141"/>
        <v>0</v>
      </c>
      <c r="AH153" s="252">
        <f t="shared" si="141"/>
        <v>0</v>
      </c>
      <c r="AI153" s="252">
        <f t="shared" si="141"/>
        <v>0</v>
      </c>
      <c r="AJ153" s="252">
        <f t="shared" si="141"/>
        <v>0</v>
      </c>
      <c r="AK153" s="252">
        <f t="shared" si="141"/>
        <v>0</v>
      </c>
      <c r="AL153" s="252">
        <f t="shared" si="141"/>
        <v>0</v>
      </c>
      <c r="AM153" s="252">
        <f t="shared" si="141"/>
        <v>0</v>
      </c>
      <c r="AN153" s="252">
        <f t="shared" si="141"/>
        <v>0</v>
      </c>
      <c r="AO153" s="252">
        <f t="shared" si="141"/>
        <v>0</v>
      </c>
      <c r="AP153" s="252">
        <f t="shared" si="141"/>
        <v>0</v>
      </c>
      <c r="AQ153" s="252">
        <f t="shared" si="141"/>
        <v>0</v>
      </c>
      <c r="AR153" s="252">
        <f t="shared" si="141"/>
        <v>0</v>
      </c>
      <c r="AS153" s="252">
        <f t="shared" si="141"/>
        <v>0</v>
      </c>
      <c r="AT153" s="252">
        <f t="shared" si="141"/>
        <v>0</v>
      </c>
      <c r="AU153" s="252">
        <f t="shared" si="141"/>
        <v>0</v>
      </c>
      <c r="AV153" s="252">
        <f t="shared" si="141"/>
        <v>0</v>
      </c>
      <c r="AW153" s="252">
        <f t="shared" si="141"/>
        <v>0</v>
      </c>
      <c r="AX153" s="252">
        <f t="shared" si="141"/>
        <v>0</v>
      </c>
      <c r="AY153" s="252">
        <f t="shared" si="141"/>
        <v>0</v>
      </c>
      <c r="AZ153" s="252">
        <f t="shared" si="141"/>
        <v>0</v>
      </c>
      <c r="BA153" s="235">
        <f t="shared" si="141"/>
        <v>442.9335817</v>
      </c>
    </row>
    <row r="154" ht="15.75" customHeight="1">
      <c r="A154" s="744">
        <v>2035.0</v>
      </c>
      <c r="V154" s="747">
        <v>444.93358165041354</v>
      </c>
      <c r="W154" s="252">
        <f t="shared" si="37"/>
        <v>0</v>
      </c>
      <c r="X154" s="252">
        <f t="shared" ref="X154:BA154" si="142">IF(AND(X$48-$A154&gt;$V$34,SUM($W154:W154)&lt;&gt;$V154),$V154,0)</f>
        <v>0</v>
      </c>
      <c r="Y154" s="252">
        <f t="shared" si="142"/>
        <v>0</v>
      </c>
      <c r="Z154" s="252">
        <f t="shared" si="142"/>
        <v>0</v>
      </c>
      <c r="AA154" s="252">
        <f t="shared" si="142"/>
        <v>0</v>
      </c>
      <c r="AB154" s="252">
        <f t="shared" si="142"/>
        <v>0</v>
      </c>
      <c r="AC154" s="252">
        <f t="shared" si="142"/>
        <v>0</v>
      </c>
      <c r="AD154" s="252">
        <f t="shared" si="142"/>
        <v>0</v>
      </c>
      <c r="AE154" s="252">
        <f t="shared" si="142"/>
        <v>0</v>
      </c>
      <c r="AF154" s="252">
        <f t="shared" si="142"/>
        <v>0</v>
      </c>
      <c r="AG154" s="252">
        <f t="shared" si="142"/>
        <v>0</v>
      </c>
      <c r="AH154" s="252">
        <f t="shared" si="142"/>
        <v>0</v>
      </c>
      <c r="AI154" s="252">
        <f t="shared" si="142"/>
        <v>0</v>
      </c>
      <c r="AJ154" s="252">
        <f t="shared" si="142"/>
        <v>0</v>
      </c>
      <c r="AK154" s="252">
        <f t="shared" si="142"/>
        <v>0</v>
      </c>
      <c r="AL154" s="252">
        <f t="shared" si="142"/>
        <v>0</v>
      </c>
      <c r="AM154" s="252">
        <f t="shared" si="142"/>
        <v>0</v>
      </c>
      <c r="AN154" s="252">
        <f t="shared" si="142"/>
        <v>0</v>
      </c>
      <c r="AO154" s="252">
        <f t="shared" si="142"/>
        <v>0</v>
      </c>
      <c r="AP154" s="252">
        <f t="shared" si="142"/>
        <v>0</v>
      </c>
      <c r="AQ154" s="252">
        <f t="shared" si="142"/>
        <v>0</v>
      </c>
      <c r="AR154" s="252">
        <f t="shared" si="142"/>
        <v>0</v>
      </c>
      <c r="AS154" s="252">
        <f t="shared" si="142"/>
        <v>0</v>
      </c>
      <c r="AT154" s="252">
        <f t="shared" si="142"/>
        <v>0</v>
      </c>
      <c r="AU154" s="252">
        <f t="shared" si="142"/>
        <v>0</v>
      </c>
      <c r="AV154" s="252">
        <f t="shared" si="142"/>
        <v>0</v>
      </c>
      <c r="AW154" s="252">
        <f t="shared" si="142"/>
        <v>0</v>
      </c>
      <c r="AX154" s="252">
        <f t="shared" si="142"/>
        <v>0</v>
      </c>
      <c r="AY154" s="252">
        <f t="shared" si="142"/>
        <v>0</v>
      </c>
      <c r="AZ154" s="252">
        <f t="shared" si="142"/>
        <v>0</v>
      </c>
      <c r="BA154" s="252">
        <f t="shared" si="142"/>
        <v>0</v>
      </c>
    </row>
    <row r="155" ht="15.75" customHeight="1">
      <c r="A155" s="744">
        <v>2036.0</v>
      </c>
      <c r="V155" s="747">
        <v>440.93358165041354</v>
      </c>
      <c r="W155" s="252">
        <f t="shared" si="37"/>
        <v>0</v>
      </c>
      <c r="X155" s="252">
        <f t="shared" ref="X155:BA155" si="143">IF(AND(X$48-$A155&gt;$V$34,SUM($W155:W155)&lt;&gt;$V155),$V155,0)</f>
        <v>0</v>
      </c>
      <c r="Y155" s="252">
        <f t="shared" si="143"/>
        <v>0</v>
      </c>
      <c r="Z155" s="252">
        <f t="shared" si="143"/>
        <v>0</v>
      </c>
      <c r="AA155" s="252">
        <f t="shared" si="143"/>
        <v>0</v>
      </c>
      <c r="AB155" s="252">
        <f t="shared" si="143"/>
        <v>0</v>
      </c>
      <c r="AC155" s="252">
        <f t="shared" si="143"/>
        <v>0</v>
      </c>
      <c r="AD155" s="252">
        <f t="shared" si="143"/>
        <v>0</v>
      </c>
      <c r="AE155" s="252">
        <f t="shared" si="143"/>
        <v>0</v>
      </c>
      <c r="AF155" s="252">
        <f t="shared" si="143"/>
        <v>0</v>
      </c>
      <c r="AG155" s="252">
        <f t="shared" si="143"/>
        <v>0</v>
      </c>
      <c r="AH155" s="252">
        <f t="shared" si="143"/>
        <v>0</v>
      </c>
      <c r="AI155" s="252">
        <f t="shared" si="143"/>
        <v>0</v>
      </c>
      <c r="AJ155" s="252">
        <f t="shared" si="143"/>
        <v>0</v>
      </c>
      <c r="AK155" s="252">
        <f t="shared" si="143"/>
        <v>0</v>
      </c>
      <c r="AL155" s="252">
        <f t="shared" si="143"/>
        <v>0</v>
      </c>
      <c r="AM155" s="252">
        <f t="shared" si="143"/>
        <v>0</v>
      </c>
      <c r="AN155" s="252">
        <f t="shared" si="143"/>
        <v>0</v>
      </c>
      <c r="AO155" s="252">
        <f t="shared" si="143"/>
        <v>0</v>
      </c>
      <c r="AP155" s="252">
        <f t="shared" si="143"/>
        <v>0</v>
      </c>
      <c r="AQ155" s="252">
        <f t="shared" si="143"/>
        <v>0</v>
      </c>
      <c r="AR155" s="252">
        <f t="shared" si="143"/>
        <v>0</v>
      </c>
      <c r="AS155" s="252">
        <f t="shared" si="143"/>
        <v>0</v>
      </c>
      <c r="AT155" s="252">
        <f t="shared" si="143"/>
        <v>0</v>
      </c>
      <c r="AU155" s="252">
        <f t="shared" si="143"/>
        <v>0</v>
      </c>
      <c r="AV155" s="252">
        <f t="shared" si="143"/>
        <v>0</v>
      </c>
      <c r="AW155" s="252">
        <f t="shared" si="143"/>
        <v>0</v>
      </c>
      <c r="AX155" s="252">
        <f t="shared" si="143"/>
        <v>0</v>
      </c>
      <c r="AY155" s="252">
        <f t="shared" si="143"/>
        <v>0</v>
      </c>
      <c r="AZ155" s="252">
        <f t="shared" si="143"/>
        <v>0</v>
      </c>
      <c r="BA155" s="252">
        <f t="shared" si="143"/>
        <v>0</v>
      </c>
    </row>
    <row r="156" ht="15.75" customHeight="1">
      <c r="A156" s="744">
        <v>2037.0</v>
      </c>
      <c r="V156" s="747">
        <v>440.93358165041354</v>
      </c>
      <c r="W156" s="252">
        <f t="shared" si="37"/>
        <v>0</v>
      </c>
      <c r="X156" s="252">
        <f t="shared" ref="X156:BA156" si="144">IF(AND(X$48-$A156&gt;$V$34,SUM($W156:W156)&lt;&gt;$V156),$V156,0)</f>
        <v>0</v>
      </c>
      <c r="Y156" s="252">
        <f t="shared" si="144"/>
        <v>0</v>
      </c>
      <c r="Z156" s="252">
        <f t="shared" si="144"/>
        <v>0</v>
      </c>
      <c r="AA156" s="252">
        <f t="shared" si="144"/>
        <v>0</v>
      </c>
      <c r="AB156" s="252">
        <f t="shared" si="144"/>
        <v>0</v>
      </c>
      <c r="AC156" s="252">
        <f t="shared" si="144"/>
        <v>0</v>
      </c>
      <c r="AD156" s="252">
        <f t="shared" si="144"/>
        <v>0</v>
      </c>
      <c r="AE156" s="252">
        <f t="shared" si="144"/>
        <v>0</v>
      </c>
      <c r="AF156" s="252">
        <f t="shared" si="144"/>
        <v>0</v>
      </c>
      <c r="AG156" s="252">
        <f t="shared" si="144"/>
        <v>0</v>
      </c>
      <c r="AH156" s="252">
        <f t="shared" si="144"/>
        <v>0</v>
      </c>
      <c r="AI156" s="252">
        <f t="shared" si="144"/>
        <v>0</v>
      </c>
      <c r="AJ156" s="252">
        <f t="shared" si="144"/>
        <v>0</v>
      </c>
      <c r="AK156" s="252">
        <f t="shared" si="144"/>
        <v>0</v>
      </c>
      <c r="AL156" s="252">
        <f t="shared" si="144"/>
        <v>0</v>
      </c>
      <c r="AM156" s="252">
        <f t="shared" si="144"/>
        <v>0</v>
      </c>
      <c r="AN156" s="252">
        <f t="shared" si="144"/>
        <v>0</v>
      </c>
      <c r="AO156" s="252">
        <f t="shared" si="144"/>
        <v>0</v>
      </c>
      <c r="AP156" s="252">
        <f t="shared" si="144"/>
        <v>0</v>
      </c>
      <c r="AQ156" s="252">
        <f t="shared" si="144"/>
        <v>0</v>
      </c>
      <c r="AR156" s="252">
        <f t="shared" si="144"/>
        <v>0</v>
      </c>
      <c r="AS156" s="252">
        <f t="shared" si="144"/>
        <v>0</v>
      </c>
      <c r="AT156" s="252">
        <f t="shared" si="144"/>
        <v>0</v>
      </c>
      <c r="AU156" s="252">
        <f t="shared" si="144"/>
        <v>0</v>
      </c>
      <c r="AV156" s="252">
        <f t="shared" si="144"/>
        <v>0</v>
      </c>
      <c r="AW156" s="252">
        <f t="shared" si="144"/>
        <v>0</v>
      </c>
      <c r="AX156" s="252">
        <f t="shared" si="144"/>
        <v>0</v>
      </c>
      <c r="AY156" s="252">
        <f t="shared" si="144"/>
        <v>0</v>
      </c>
      <c r="AZ156" s="252">
        <f t="shared" si="144"/>
        <v>0</v>
      </c>
      <c r="BA156" s="252">
        <f t="shared" si="144"/>
        <v>0</v>
      </c>
    </row>
    <row r="157" ht="15.75" customHeight="1">
      <c r="A157" s="744">
        <v>2038.0</v>
      </c>
      <c r="V157" s="747">
        <v>881.8671633008271</v>
      </c>
      <c r="W157" s="252">
        <f t="shared" si="37"/>
        <v>0</v>
      </c>
      <c r="X157" s="252">
        <f t="shared" ref="X157:BA157" si="145">IF(AND(X$48-$A157&gt;$V$34,SUM($W157:W157)&lt;&gt;$V157),$V157,0)</f>
        <v>0</v>
      </c>
      <c r="Y157" s="252">
        <f t="shared" si="145"/>
        <v>0</v>
      </c>
      <c r="Z157" s="252">
        <f t="shared" si="145"/>
        <v>0</v>
      </c>
      <c r="AA157" s="252">
        <f t="shared" si="145"/>
        <v>0</v>
      </c>
      <c r="AB157" s="252">
        <f t="shared" si="145"/>
        <v>0</v>
      </c>
      <c r="AC157" s="252">
        <f t="shared" si="145"/>
        <v>0</v>
      </c>
      <c r="AD157" s="252">
        <f t="shared" si="145"/>
        <v>0</v>
      </c>
      <c r="AE157" s="252">
        <f t="shared" si="145"/>
        <v>0</v>
      </c>
      <c r="AF157" s="252">
        <f t="shared" si="145"/>
        <v>0</v>
      </c>
      <c r="AG157" s="252">
        <f t="shared" si="145"/>
        <v>0</v>
      </c>
      <c r="AH157" s="252">
        <f t="shared" si="145"/>
        <v>0</v>
      </c>
      <c r="AI157" s="252">
        <f t="shared" si="145"/>
        <v>0</v>
      </c>
      <c r="AJ157" s="252">
        <f t="shared" si="145"/>
        <v>0</v>
      </c>
      <c r="AK157" s="252">
        <f t="shared" si="145"/>
        <v>0</v>
      </c>
      <c r="AL157" s="252">
        <f t="shared" si="145"/>
        <v>0</v>
      </c>
      <c r="AM157" s="252">
        <f t="shared" si="145"/>
        <v>0</v>
      </c>
      <c r="AN157" s="252">
        <f t="shared" si="145"/>
        <v>0</v>
      </c>
      <c r="AO157" s="252">
        <f t="shared" si="145"/>
        <v>0</v>
      </c>
      <c r="AP157" s="252">
        <f t="shared" si="145"/>
        <v>0</v>
      </c>
      <c r="AQ157" s="252">
        <f t="shared" si="145"/>
        <v>0</v>
      </c>
      <c r="AR157" s="252">
        <f t="shared" si="145"/>
        <v>0</v>
      </c>
      <c r="AS157" s="252">
        <f t="shared" si="145"/>
        <v>0</v>
      </c>
      <c r="AT157" s="252">
        <f t="shared" si="145"/>
        <v>0</v>
      </c>
      <c r="AU157" s="252">
        <f t="shared" si="145"/>
        <v>0</v>
      </c>
      <c r="AV157" s="252">
        <f t="shared" si="145"/>
        <v>0</v>
      </c>
      <c r="AW157" s="252">
        <f t="shared" si="145"/>
        <v>0</v>
      </c>
      <c r="AX157" s="252">
        <f t="shared" si="145"/>
        <v>0</v>
      </c>
      <c r="AY157" s="252">
        <f t="shared" si="145"/>
        <v>0</v>
      </c>
      <c r="AZ157" s="252">
        <f t="shared" si="145"/>
        <v>0</v>
      </c>
      <c r="BA157" s="252">
        <f t="shared" si="145"/>
        <v>0</v>
      </c>
    </row>
    <row r="158" ht="15.75" customHeight="1">
      <c r="A158" s="744">
        <v>2039.0</v>
      </c>
      <c r="V158" s="747">
        <v>881.8671633008262</v>
      </c>
      <c r="W158" s="252">
        <f t="shared" si="37"/>
        <v>0</v>
      </c>
      <c r="X158" s="252">
        <f t="shared" ref="X158:BA158" si="146">IF(AND(X$48-$A158&gt;$V$34,SUM($W158:W158)&lt;&gt;$V158),$V158,0)</f>
        <v>0</v>
      </c>
      <c r="Y158" s="252">
        <f t="shared" si="146"/>
        <v>0</v>
      </c>
      <c r="Z158" s="252">
        <f t="shared" si="146"/>
        <v>0</v>
      </c>
      <c r="AA158" s="252">
        <f t="shared" si="146"/>
        <v>0</v>
      </c>
      <c r="AB158" s="252">
        <f t="shared" si="146"/>
        <v>0</v>
      </c>
      <c r="AC158" s="252">
        <f t="shared" si="146"/>
        <v>0</v>
      </c>
      <c r="AD158" s="252">
        <f t="shared" si="146"/>
        <v>0</v>
      </c>
      <c r="AE158" s="252">
        <f t="shared" si="146"/>
        <v>0</v>
      </c>
      <c r="AF158" s="252">
        <f t="shared" si="146"/>
        <v>0</v>
      </c>
      <c r="AG158" s="252">
        <f t="shared" si="146"/>
        <v>0</v>
      </c>
      <c r="AH158" s="252">
        <f t="shared" si="146"/>
        <v>0</v>
      </c>
      <c r="AI158" s="252">
        <f t="shared" si="146"/>
        <v>0</v>
      </c>
      <c r="AJ158" s="252">
        <f t="shared" si="146"/>
        <v>0</v>
      </c>
      <c r="AK158" s="252">
        <f t="shared" si="146"/>
        <v>0</v>
      </c>
      <c r="AL158" s="252">
        <f t="shared" si="146"/>
        <v>0</v>
      </c>
      <c r="AM158" s="252">
        <f t="shared" si="146"/>
        <v>0</v>
      </c>
      <c r="AN158" s="252">
        <f t="shared" si="146"/>
        <v>0</v>
      </c>
      <c r="AO158" s="252">
        <f t="shared" si="146"/>
        <v>0</v>
      </c>
      <c r="AP158" s="252">
        <f t="shared" si="146"/>
        <v>0</v>
      </c>
      <c r="AQ158" s="252">
        <f t="shared" si="146"/>
        <v>0</v>
      </c>
      <c r="AR158" s="252">
        <f t="shared" si="146"/>
        <v>0</v>
      </c>
      <c r="AS158" s="252">
        <f t="shared" si="146"/>
        <v>0</v>
      </c>
      <c r="AT158" s="252">
        <f t="shared" si="146"/>
        <v>0</v>
      </c>
      <c r="AU158" s="252">
        <f t="shared" si="146"/>
        <v>0</v>
      </c>
      <c r="AV158" s="252">
        <f t="shared" si="146"/>
        <v>0</v>
      </c>
      <c r="AW158" s="252">
        <f t="shared" si="146"/>
        <v>0</v>
      </c>
      <c r="AX158" s="252">
        <f t="shared" si="146"/>
        <v>0</v>
      </c>
      <c r="AY158" s="252">
        <f t="shared" si="146"/>
        <v>0</v>
      </c>
      <c r="AZ158" s="252">
        <f t="shared" si="146"/>
        <v>0</v>
      </c>
      <c r="BA158" s="252">
        <f t="shared" si="146"/>
        <v>0</v>
      </c>
    </row>
    <row r="159" ht="15.75" customHeight="1">
      <c r="A159" s="744">
        <v>2040.0</v>
      </c>
      <c r="V159" s="747">
        <v>881.8671633008271</v>
      </c>
      <c r="W159" s="252">
        <f t="shared" si="37"/>
        <v>0</v>
      </c>
      <c r="X159" s="252">
        <f t="shared" ref="X159:BA159" si="147">IF(AND(X$48-$A159&gt;$V$34,SUM($W159:W159)&lt;&gt;$V159),$V159,0)</f>
        <v>0</v>
      </c>
      <c r="Y159" s="252">
        <f t="shared" si="147"/>
        <v>0</v>
      </c>
      <c r="Z159" s="252">
        <f t="shared" si="147"/>
        <v>0</v>
      </c>
      <c r="AA159" s="252">
        <f t="shared" si="147"/>
        <v>0</v>
      </c>
      <c r="AB159" s="252">
        <f t="shared" si="147"/>
        <v>0</v>
      </c>
      <c r="AC159" s="252">
        <f t="shared" si="147"/>
        <v>0</v>
      </c>
      <c r="AD159" s="252">
        <f t="shared" si="147"/>
        <v>0</v>
      </c>
      <c r="AE159" s="252">
        <f t="shared" si="147"/>
        <v>0</v>
      </c>
      <c r="AF159" s="252">
        <f t="shared" si="147"/>
        <v>0</v>
      </c>
      <c r="AG159" s="252">
        <f t="shared" si="147"/>
        <v>0</v>
      </c>
      <c r="AH159" s="252">
        <f t="shared" si="147"/>
        <v>0</v>
      </c>
      <c r="AI159" s="252">
        <f t="shared" si="147"/>
        <v>0</v>
      </c>
      <c r="AJ159" s="252">
        <f t="shared" si="147"/>
        <v>0</v>
      </c>
      <c r="AK159" s="252">
        <f t="shared" si="147"/>
        <v>0</v>
      </c>
      <c r="AL159" s="252">
        <f t="shared" si="147"/>
        <v>0</v>
      </c>
      <c r="AM159" s="252">
        <f t="shared" si="147"/>
        <v>0</v>
      </c>
      <c r="AN159" s="252">
        <f t="shared" si="147"/>
        <v>0</v>
      </c>
      <c r="AO159" s="252">
        <f t="shared" si="147"/>
        <v>0</v>
      </c>
      <c r="AP159" s="252">
        <f t="shared" si="147"/>
        <v>0</v>
      </c>
      <c r="AQ159" s="252">
        <f t="shared" si="147"/>
        <v>0</v>
      </c>
      <c r="AR159" s="252">
        <f t="shared" si="147"/>
        <v>0</v>
      </c>
      <c r="AS159" s="252">
        <f t="shared" si="147"/>
        <v>0</v>
      </c>
      <c r="AT159" s="252">
        <f t="shared" si="147"/>
        <v>0</v>
      </c>
      <c r="AU159" s="252">
        <f t="shared" si="147"/>
        <v>0</v>
      </c>
      <c r="AV159" s="252">
        <f t="shared" si="147"/>
        <v>0</v>
      </c>
      <c r="AW159" s="252">
        <f t="shared" si="147"/>
        <v>0</v>
      </c>
      <c r="AX159" s="252">
        <f t="shared" si="147"/>
        <v>0</v>
      </c>
      <c r="AY159" s="252">
        <f t="shared" si="147"/>
        <v>0</v>
      </c>
      <c r="AZ159" s="252">
        <f t="shared" si="147"/>
        <v>0</v>
      </c>
      <c r="BA159" s="252">
        <f t="shared" si="147"/>
        <v>0</v>
      </c>
    </row>
    <row r="160" ht="15.75" customHeight="1">
      <c r="A160" s="744">
        <v>2041.0</v>
      </c>
      <c r="V160" s="747">
        <v>881.8671633008271</v>
      </c>
      <c r="W160" s="252">
        <f t="shared" si="37"/>
        <v>0</v>
      </c>
      <c r="X160" s="252">
        <f t="shared" ref="X160:BA160" si="148">IF(AND(X$48-$A160&gt;$V$34,SUM($W160:W160)&lt;&gt;$V160),$V160,0)</f>
        <v>0</v>
      </c>
      <c r="Y160" s="252">
        <f t="shared" si="148"/>
        <v>0</v>
      </c>
      <c r="Z160" s="252">
        <f t="shared" si="148"/>
        <v>0</v>
      </c>
      <c r="AA160" s="252">
        <f t="shared" si="148"/>
        <v>0</v>
      </c>
      <c r="AB160" s="252">
        <f t="shared" si="148"/>
        <v>0</v>
      </c>
      <c r="AC160" s="252">
        <f t="shared" si="148"/>
        <v>0</v>
      </c>
      <c r="AD160" s="252">
        <f t="shared" si="148"/>
        <v>0</v>
      </c>
      <c r="AE160" s="252">
        <f t="shared" si="148"/>
        <v>0</v>
      </c>
      <c r="AF160" s="252">
        <f t="shared" si="148"/>
        <v>0</v>
      </c>
      <c r="AG160" s="252">
        <f t="shared" si="148"/>
        <v>0</v>
      </c>
      <c r="AH160" s="252">
        <f t="shared" si="148"/>
        <v>0</v>
      </c>
      <c r="AI160" s="252">
        <f t="shared" si="148"/>
        <v>0</v>
      </c>
      <c r="AJ160" s="252">
        <f t="shared" si="148"/>
        <v>0</v>
      </c>
      <c r="AK160" s="252">
        <f t="shared" si="148"/>
        <v>0</v>
      </c>
      <c r="AL160" s="252">
        <f t="shared" si="148"/>
        <v>0</v>
      </c>
      <c r="AM160" s="252">
        <f t="shared" si="148"/>
        <v>0</v>
      </c>
      <c r="AN160" s="252">
        <f t="shared" si="148"/>
        <v>0</v>
      </c>
      <c r="AO160" s="252">
        <f t="shared" si="148"/>
        <v>0</v>
      </c>
      <c r="AP160" s="252">
        <f t="shared" si="148"/>
        <v>0</v>
      </c>
      <c r="AQ160" s="252">
        <f t="shared" si="148"/>
        <v>0</v>
      </c>
      <c r="AR160" s="252">
        <f t="shared" si="148"/>
        <v>0</v>
      </c>
      <c r="AS160" s="252">
        <f t="shared" si="148"/>
        <v>0</v>
      </c>
      <c r="AT160" s="252">
        <f t="shared" si="148"/>
        <v>0</v>
      </c>
      <c r="AU160" s="252">
        <f t="shared" si="148"/>
        <v>0</v>
      </c>
      <c r="AV160" s="252">
        <f t="shared" si="148"/>
        <v>0</v>
      </c>
      <c r="AW160" s="252">
        <f t="shared" si="148"/>
        <v>0</v>
      </c>
      <c r="AX160" s="252">
        <f t="shared" si="148"/>
        <v>0</v>
      </c>
      <c r="AY160" s="252">
        <f t="shared" si="148"/>
        <v>0</v>
      </c>
      <c r="AZ160" s="252">
        <f t="shared" si="148"/>
        <v>0</v>
      </c>
      <c r="BA160" s="252">
        <f t="shared" si="148"/>
        <v>0</v>
      </c>
    </row>
    <row r="161" ht="15.75" customHeight="1">
      <c r="A161" s="744">
        <v>2042.0</v>
      </c>
      <c r="V161" s="747">
        <v>881.8671633008271</v>
      </c>
      <c r="W161" s="252">
        <f t="shared" si="37"/>
        <v>0</v>
      </c>
      <c r="X161" s="252">
        <f t="shared" ref="X161:BA161" si="149">IF(AND(X$48-$A161&gt;$V$34,SUM($W161:W161)&lt;&gt;$V161),$V161,0)</f>
        <v>0</v>
      </c>
      <c r="Y161" s="252">
        <f t="shared" si="149"/>
        <v>0</v>
      </c>
      <c r="Z161" s="252">
        <f t="shared" si="149"/>
        <v>0</v>
      </c>
      <c r="AA161" s="252">
        <f t="shared" si="149"/>
        <v>0</v>
      </c>
      <c r="AB161" s="252">
        <f t="shared" si="149"/>
        <v>0</v>
      </c>
      <c r="AC161" s="252">
        <f t="shared" si="149"/>
        <v>0</v>
      </c>
      <c r="AD161" s="252">
        <f t="shared" si="149"/>
        <v>0</v>
      </c>
      <c r="AE161" s="252">
        <f t="shared" si="149"/>
        <v>0</v>
      </c>
      <c r="AF161" s="252">
        <f t="shared" si="149"/>
        <v>0</v>
      </c>
      <c r="AG161" s="252">
        <f t="shared" si="149"/>
        <v>0</v>
      </c>
      <c r="AH161" s="252">
        <f t="shared" si="149"/>
        <v>0</v>
      </c>
      <c r="AI161" s="252">
        <f t="shared" si="149"/>
        <v>0</v>
      </c>
      <c r="AJ161" s="252">
        <f t="shared" si="149"/>
        <v>0</v>
      </c>
      <c r="AK161" s="252">
        <f t="shared" si="149"/>
        <v>0</v>
      </c>
      <c r="AL161" s="252">
        <f t="shared" si="149"/>
        <v>0</v>
      </c>
      <c r="AM161" s="252">
        <f t="shared" si="149"/>
        <v>0</v>
      </c>
      <c r="AN161" s="252">
        <f t="shared" si="149"/>
        <v>0</v>
      </c>
      <c r="AO161" s="252">
        <f t="shared" si="149"/>
        <v>0</v>
      </c>
      <c r="AP161" s="252">
        <f t="shared" si="149"/>
        <v>0</v>
      </c>
      <c r="AQ161" s="252">
        <f t="shared" si="149"/>
        <v>0</v>
      </c>
      <c r="AR161" s="252">
        <f t="shared" si="149"/>
        <v>0</v>
      </c>
      <c r="AS161" s="252">
        <f t="shared" si="149"/>
        <v>0</v>
      </c>
      <c r="AT161" s="252">
        <f t="shared" si="149"/>
        <v>0</v>
      </c>
      <c r="AU161" s="252">
        <f t="shared" si="149"/>
        <v>0</v>
      </c>
      <c r="AV161" s="252">
        <f t="shared" si="149"/>
        <v>0</v>
      </c>
      <c r="AW161" s="252">
        <f t="shared" si="149"/>
        <v>0</v>
      </c>
      <c r="AX161" s="252">
        <f t="shared" si="149"/>
        <v>0</v>
      </c>
      <c r="AY161" s="252">
        <f t="shared" si="149"/>
        <v>0</v>
      </c>
      <c r="AZ161" s="252">
        <f t="shared" si="149"/>
        <v>0</v>
      </c>
      <c r="BA161" s="252">
        <f t="shared" si="149"/>
        <v>0</v>
      </c>
    </row>
    <row r="162" ht="15.75" customHeight="1">
      <c r="A162" s="744">
        <v>2043.0</v>
      </c>
      <c r="V162" s="747">
        <v>881.8671633008271</v>
      </c>
      <c r="W162" s="252">
        <f t="shared" si="37"/>
        <v>0</v>
      </c>
      <c r="X162" s="252">
        <f t="shared" ref="X162:BA162" si="150">IF(AND(X$48-$A162&gt;$V$34,SUM($W162:W162)&lt;&gt;$V162),$V162,0)</f>
        <v>0</v>
      </c>
      <c r="Y162" s="252">
        <f t="shared" si="150"/>
        <v>0</v>
      </c>
      <c r="Z162" s="252">
        <f t="shared" si="150"/>
        <v>0</v>
      </c>
      <c r="AA162" s="252">
        <f t="shared" si="150"/>
        <v>0</v>
      </c>
      <c r="AB162" s="252">
        <f t="shared" si="150"/>
        <v>0</v>
      </c>
      <c r="AC162" s="252">
        <f t="shared" si="150"/>
        <v>0</v>
      </c>
      <c r="AD162" s="252">
        <f t="shared" si="150"/>
        <v>0</v>
      </c>
      <c r="AE162" s="252">
        <f t="shared" si="150"/>
        <v>0</v>
      </c>
      <c r="AF162" s="252">
        <f t="shared" si="150"/>
        <v>0</v>
      </c>
      <c r="AG162" s="252">
        <f t="shared" si="150"/>
        <v>0</v>
      </c>
      <c r="AH162" s="252">
        <f t="shared" si="150"/>
        <v>0</v>
      </c>
      <c r="AI162" s="252">
        <f t="shared" si="150"/>
        <v>0</v>
      </c>
      <c r="AJ162" s="252">
        <f t="shared" si="150"/>
        <v>0</v>
      </c>
      <c r="AK162" s="252">
        <f t="shared" si="150"/>
        <v>0</v>
      </c>
      <c r="AL162" s="252">
        <f t="shared" si="150"/>
        <v>0</v>
      </c>
      <c r="AM162" s="252">
        <f t="shared" si="150"/>
        <v>0</v>
      </c>
      <c r="AN162" s="252">
        <f t="shared" si="150"/>
        <v>0</v>
      </c>
      <c r="AO162" s="252">
        <f t="shared" si="150"/>
        <v>0</v>
      </c>
      <c r="AP162" s="252">
        <f t="shared" si="150"/>
        <v>0</v>
      </c>
      <c r="AQ162" s="252">
        <f t="shared" si="150"/>
        <v>0</v>
      </c>
      <c r="AR162" s="252">
        <f t="shared" si="150"/>
        <v>0</v>
      </c>
      <c r="AS162" s="252">
        <f t="shared" si="150"/>
        <v>0</v>
      </c>
      <c r="AT162" s="252">
        <f t="shared" si="150"/>
        <v>0</v>
      </c>
      <c r="AU162" s="252">
        <f t="shared" si="150"/>
        <v>0</v>
      </c>
      <c r="AV162" s="252">
        <f t="shared" si="150"/>
        <v>0</v>
      </c>
      <c r="AW162" s="252">
        <f t="shared" si="150"/>
        <v>0</v>
      </c>
      <c r="AX162" s="252">
        <f t="shared" si="150"/>
        <v>0</v>
      </c>
      <c r="AY162" s="252">
        <f t="shared" si="150"/>
        <v>0</v>
      </c>
      <c r="AZ162" s="252">
        <f t="shared" si="150"/>
        <v>0</v>
      </c>
      <c r="BA162" s="252">
        <f t="shared" si="150"/>
        <v>0</v>
      </c>
    </row>
    <row r="163" ht="15.75" customHeight="1">
      <c r="A163" s="744">
        <v>2044.0</v>
      </c>
      <c r="V163" s="747">
        <v>881.8671633008271</v>
      </c>
      <c r="W163" s="252">
        <f t="shared" si="37"/>
        <v>0</v>
      </c>
      <c r="X163" s="252">
        <f t="shared" ref="X163:BA163" si="151">IF(AND(X$48-$A163&gt;$V$34,SUM($W163:W163)&lt;&gt;$V163),$V163,0)</f>
        <v>0</v>
      </c>
      <c r="Y163" s="252">
        <f t="shared" si="151"/>
        <v>0</v>
      </c>
      <c r="Z163" s="252">
        <f t="shared" si="151"/>
        <v>0</v>
      </c>
      <c r="AA163" s="252">
        <f t="shared" si="151"/>
        <v>0</v>
      </c>
      <c r="AB163" s="252">
        <f t="shared" si="151"/>
        <v>0</v>
      </c>
      <c r="AC163" s="252">
        <f t="shared" si="151"/>
        <v>0</v>
      </c>
      <c r="AD163" s="252">
        <f t="shared" si="151"/>
        <v>0</v>
      </c>
      <c r="AE163" s="252">
        <f t="shared" si="151"/>
        <v>0</v>
      </c>
      <c r="AF163" s="252">
        <f t="shared" si="151"/>
        <v>0</v>
      </c>
      <c r="AG163" s="252">
        <f t="shared" si="151"/>
        <v>0</v>
      </c>
      <c r="AH163" s="252">
        <f t="shared" si="151"/>
        <v>0</v>
      </c>
      <c r="AI163" s="252">
        <f t="shared" si="151"/>
        <v>0</v>
      </c>
      <c r="AJ163" s="252">
        <f t="shared" si="151"/>
        <v>0</v>
      </c>
      <c r="AK163" s="252">
        <f t="shared" si="151"/>
        <v>0</v>
      </c>
      <c r="AL163" s="252">
        <f t="shared" si="151"/>
        <v>0</v>
      </c>
      <c r="AM163" s="252">
        <f t="shared" si="151"/>
        <v>0</v>
      </c>
      <c r="AN163" s="252">
        <f t="shared" si="151"/>
        <v>0</v>
      </c>
      <c r="AO163" s="252">
        <f t="shared" si="151"/>
        <v>0</v>
      </c>
      <c r="AP163" s="252">
        <f t="shared" si="151"/>
        <v>0</v>
      </c>
      <c r="AQ163" s="252">
        <f t="shared" si="151"/>
        <v>0</v>
      </c>
      <c r="AR163" s="252">
        <f t="shared" si="151"/>
        <v>0</v>
      </c>
      <c r="AS163" s="252">
        <f t="shared" si="151"/>
        <v>0</v>
      </c>
      <c r="AT163" s="252">
        <f t="shared" si="151"/>
        <v>0</v>
      </c>
      <c r="AU163" s="252">
        <f t="shared" si="151"/>
        <v>0</v>
      </c>
      <c r="AV163" s="252">
        <f t="shared" si="151"/>
        <v>0</v>
      </c>
      <c r="AW163" s="252">
        <f t="shared" si="151"/>
        <v>0</v>
      </c>
      <c r="AX163" s="252">
        <f t="shared" si="151"/>
        <v>0</v>
      </c>
      <c r="AY163" s="252">
        <f t="shared" si="151"/>
        <v>0</v>
      </c>
      <c r="AZ163" s="252">
        <f t="shared" si="151"/>
        <v>0</v>
      </c>
      <c r="BA163" s="252">
        <f t="shared" si="151"/>
        <v>0</v>
      </c>
    </row>
    <row r="164" ht="15.75" customHeight="1">
      <c r="A164" s="744">
        <v>2045.0</v>
      </c>
      <c r="V164" s="747">
        <v>881.8671633008271</v>
      </c>
      <c r="W164" s="252">
        <f t="shared" si="37"/>
        <v>0</v>
      </c>
      <c r="X164" s="252">
        <f t="shared" ref="X164:BA164" si="152">IF(AND(X$48-$A164&gt;$V$34,SUM($W164:W164)&lt;&gt;$V164),$V164,0)</f>
        <v>0</v>
      </c>
      <c r="Y164" s="252">
        <f t="shared" si="152"/>
        <v>0</v>
      </c>
      <c r="Z164" s="252">
        <f t="shared" si="152"/>
        <v>0</v>
      </c>
      <c r="AA164" s="252">
        <f t="shared" si="152"/>
        <v>0</v>
      </c>
      <c r="AB164" s="252">
        <f t="shared" si="152"/>
        <v>0</v>
      </c>
      <c r="AC164" s="252">
        <f t="shared" si="152"/>
        <v>0</v>
      </c>
      <c r="AD164" s="252">
        <f t="shared" si="152"/>
        <v>0</v>
      </c>
      <c r="AE164" s="252">
        <f t="shared" si="152"/>
        <v>0</v>
      </c>
      <c r="AF164" s="252">
        <f t="shared" si="152"/>
        <v>0</v>
      </c>
      <c r="AG164" s="252">
        <f t="shared" si="152"/>
        <v>0</v>
      </c>
      <c r="AH164" s="252">
        <f t="shared" si="152"/>
        <v>0</v>
      </c>
      <c r="AI164" s="252">
        <f t="shared" si="152"/>
        <v>0</v>
      </c>
      <c r="AJ164" s="252">
        <f t="shared" si="152"/>
        <v>0</v>
      </c>
      <c r="AK164" s="252">
        <f t="shared" si="152"/>
        <v>0</v>
      </c>
      <c r="AL164" s="252">
        <f t="shared" si="152"/>
        <v>0</v>
      </c>
      <c r="AM164" s="252">
        <f t="shared" si="152"/>
        <v>0</v>
      </c>
      <c r="AN164" s="252">
        <f t="shared" si="152"/>
        <v>0</v>
      </c>
      <c r="AO164" s="252">
        <f t="shared" si="152"/>
        <v>0</v>
      </c>
      <c r="AP164" s="252">
        <f t="shared" si="152"/>
        <v>0</v>
      </c>
      <c r="AQ164" s="252">
        <f t="shared" si="152"/>
        <v>0</v>
      </c>
      <c r="AR164" s="252">
        <f t="shared" si="152"/>
        <v>0</v>
      </c>
      <c r="AS164" s="252">
        <f t="shared" si="152"/>
        <v>0</v>
      </c>
      <c r="AT164" s="252">
        <f t="shared" si="152"/>
        <v>0</v>
      </c>
      <c r="AU164" s="252">
        <f t="shared" si="152"/>
        <v>0</v>
      </c>
      <c r="AV164" s="252">
        <f t="shared" si="152"/>
        <v>0</v>
      </c>
      <c r="AW164" s="252">
        <f t="shared" si="152"/>
        <v>0</v>
      </c>
      <c r="AX164" s="252">
        <f t="shared" si="152"/>
        <v>0</v>
      </c>
      <c r="AY164" s="252">
        <f t="shared" si="152"/>
        <v>0</v>
      </c>
      <c r="AZ164" s="252">
        <f t="shared" si="152"/>
        <v>0</v>
      </c>
      <c r="BA164" s="252">
        <f t="shared" si="152"/>
        <v>0</v>
      </c>
    </row>
    <row r="165" ht="15.75" customHeight="1">
      <c r="A165" s="744">
        <v>2046.0</v>
      </c>
      <c r="V165" s="747">
        <v>881.8671633008271</v>
      </c>
      <c r="W165" s="252">
        <f t="shared" si="37"/>
        <v>0</v>
      </c>
      <c r="X165" s="252">
        <f t="shared" ref="X165:BA165" si="153">IF(AND(X$48-$A165&gt;$V$34,SUM($W165:W165)&lt;&gt;$V165),$V165,0)</f>
        <v>0</v>
      </c>
      <c r="Y165" s="252">
        <f t="shared" si="153"/>
        <v>0</v>
      </c>
      <c r="Z165" s="252">
        <f t="shared" si="153"/>
        <v>0</v>
      </c>
      <c r="AA165" s="252">
        <f t="shared" si="153"/>
        <v>0</v>
      </c>
      <c r="AB165" s="252">
        <f t="shared" si="153"/>
        <v>0</v>
      </c>
      <c r="AC165" s="252">
        <f t="shared" si="153"/>
        <v>0</v>
      </c>
      <c r="AD165" s="252">
        <f t="shared" si="153"/>
        <v>0</v>
      </c>
      <c r="AE165" s="252">
        <f t="shared" si="153"/>
        <v>0</v>
      </c>
      <c r="AF165" s="252">
        <f t="shared" si="153"/>
        <v>0</v>
      </c>
      <c r="AG165" s="252">
        <f t="shared" si="153"/>
        <v>0</v>
      </c>
      <c r="AH165" s="252">
        <f t="shared" si="153"/>
        <v>0</v>
      </c>
      <c r="AI165" s="252">
        <f t="shared" si="153"/>
        <v>0</v>
      </c>
      <c r="AJ165" s="252">
        <f t="shared" si="153"/>
        <v>0</v>
      </c>
      <c r="AK165" s="252">
        <f t="shared" si="153"/>
        <v>0</v>
      </c>
      <c r="AL165" s="252">
        <f t="shared" si="153"/>
        <v>0</v>
      </c>
      <c r="AM165" s="252">
        <f t="shared" si="153"/>
        <v>0</v>
      </c>
      <c r="AN165" s="252">
        <f t="shared" si="153"/>
        <v>0</v>
      </c>
      <c r="AO165" s="252">
        <f t="shared" si="153"/>
        <v>0</v>
      </c>
      <c r="AP165" s="252">
        <f t="shared" si="153"/>
        <v>0</v>
      </c>
      <c r="AQ165" s="252">
        <f t="shared" si="153"/>
        <v>0</v>
      </c>
      <c r="AR165" s="252">
        <f t="shared" si="153"/>
        <v>0</v>
      </c>
      <c r="AS165" s="252">
        <f t="shared" si="153"/>
        <v>0</v>
      </c>
      <c r="AT165" s="252">
        <f t="shared" si="153"/>
        <v>0</v>
      </c>
      <c r="AU165" s="252">
        <f t="shared" si="153"/>
        <v>0</v>
      </c>
      <c r="AV165" s="252">
        <f t="shared" si="153"/>
        <v>0</v>
      </c>
      <c r="AW165" s="252">
        <f t="shared" si="153"/>
        <v>0</v>
      </c>
      <c r="AX165" s="252">
        <f t="shared" si="153"/>
        <v>0</v>
      </c>
      <c r="AY165" s="252">
        <f t="shared" si="153"/>
        <v>0</v>
      </c>
      <c r="AZ165" s="252">
        <f t="shared" si="153"/>
        <v>0</v>
      </c>
      <c r="BA165" s="252">
        <f t="shared" si="153"/>
        <v>0</v>
      </c>
    </row>
    <row r="166" ht="15.75" customHeight="1">
      <c r="A166" s="744">
        <v>2047.0</v>
      </c>
      <c r="V166" s="747">
        <v>881.8671633008271</v>
      </c>
      <c r="W166" s="252">
        <f t="shared" si="37"/>
        <v>0</v>
      </c>
      <c r="X166" s="252">
        <f t="shared" ref="X166:BA166" si="154">IF(AND(X$48-$A166&gt;$V$34,SUM($W166:W166)&lt;&gt;$V166),$V166,0)</f>
        <v>0</v>
      </c>
      <c r="Y166" s="252">
        <f t="shared" si="154"/>
        <v>0</v>
      </c>
      <c r="Z166" s="252">
        <f t="shared" si="154"/>
        <v>0</v>
      </c>
      <c r="AA166" s="252">
        <f t="shared" si="154"/>
        <v>0</v>
      </c>
      <c r="AB166" s="252">
        <f t="shared" si="154"/>
        <v>0</v>
      </c>
      <c r="AC166" s="252">
        <f t="shared" si="154"/>
        <v>0</v>
      </c>
      <c r="AD166" s="252">
        <f t="shared" si="154"/>
        <v>0</v>
      </c>
      <c r="AE166" s="252">
        <f t="shared" si="154"/>
        <v>0</v>
      </c>
      <c r="AF166" s="252">
        <f t="shared" si="154"/>
        <v>0</v>
      </c>
      <c r="AG166" s="252">
        <f t="shared" si="154"/>
        <v>0</v>
      </c>
      <c r="AH166" s="252">
        <f t="shared" si="154"/>
        <v>0</v>
      </c>
      <c r="AI166" s="252">
        <f t="shared" si="154"/>
        <v>0</v>
      </c>
      <c r="AJ166" s="252">
        <f t="shared" si="154"/>
        <v>0</v>
      </c>
      <c r="AK166" s="252">
        <f t="shared" si="154"/>
        <v>0</v>
      </c>
      <c r="AL166" s="252">
        <f t="shared" si="154"/>
        <v>0</v>
      </c>
      <c r="AM166" s="252">
        <f t="shared" si="154"/>
        <v>0</v>
      </c>
      <c r="AN166" s="252">
        <f t="shared" si="154"/>
        <v>0</v>
      </c>
      <c r="AO166" s="252">
        <f t="shared" si="154"/>
        <v>0</v>
      </c>
      <c r="AP166" s="252">
        <f t="shared" si="154"/>
        <v>0</v>
      </c>
      <c r="AQ166" s="252">
        <f t="shared" si="154"/>
        <v>0</v>
      </c>
      <c r="AR166" s="252">
        <f t="shared" si="154"/>
        <v>0</v>
      </c>
      <c r="AS166" s="252">
        <f t="shared" si="154"/>
        <v>0</v>
      </c>
      <c r="AT166" s="252">
        <f t="shared" si="154"/>
        <v>0</v>
      </c>
      <c r="AU166" s="252">
        <f t="shared" si="154"/>
        <v>0</v>
      </c>
      <c r="AV166" s="252">
        <f t="shared" si="154"/>
        <v>0</v>
      </c>
      <c r="AW166" s="252">
        <f t="shared" si="154"/>
        <v>0</v>
      </c>
      <c r="AX166" s="252">
        <f t="shared" si="154"/>
        <v>0</v>
      </c>
      <c r="AY166" s="252">
        <f t="shared" si="154"/>
        <v>0</v>
      </c>
      <c r="AZ166" s="252">
        <f t="shared" si="154"/>
        <v>0</v>
      </c>
      <c r="BA166" s="252">
        <f t="shared" si="154"/>
        <v>0</v>
      </c>
    </row>
    <row r="167" ht="15.75" customHeight="1">
      <c r="A167" s="744">
        <v>2048.0</v>
      </c>
      <c r="V167" s="747">
        <v>881.8671633008271</v>
      </c>
      <c r="W167" s="252">
        <f t="shared" si="37"/>
        <v>0</v>
      </c>
      <c r="X167" s="252">
        <f t="shared" ref="X167:BA167" si="155">IF(AND(X$48-$A167&gt;$V$34,SUM($W167:W167)&lt;&gt;$V167),$V167,0)</f>
        <v>0</v>
      </c>
      <c r="Y167" s="252">
        <f t="shared" si="155"/>
        <v>0</v>
      </c>
      <c r="Z167" s="252">
        <f t="shared" si="155"/>
        <v>0</v>
      </c>
      <c r="AA167" s="252">
        <f t="shared" si="155"/>
        <v>0</v>
      </c>
      <c r="AB167" s="252">
        <f t="shared" si="155"/>
        <v>0</v>
      </c>
      <c r="AC167" s="252">
        <f t="shared" si="155"/>
        <v>0</v>
      </c>
      <c r="AD167" s="252">
        <f t="shared" si="155"/>
        <v>0</v>
      </c>
      <c r="AE167" s="252">
        <f t="shared" si="155"/>
        <v>0</v>
      </c>
      <c r="AF167" s="252">
        <f t="shared" si="155"/>
        <v>0</v>
      </c>
      <c r="AG167" s="252">
        <f t="shared" si="155"/>
        <v>0</v>
      </c>
      <c r="AH167" s="252">
        <f t="shared" si="155"/>
        <v>0</v>
      </c>
      <c r="AI167" s="252">
        <f t="shared" si="155"/>
        <v>0</v>
      </c>
      <c r="AJ167" s="252">
        <f t="shared" si="155"/>
        <v>0</v>
      </c>
      <c r="AK167" s="252">
        <f t="shared" si="155"/>
        <v>0</v>
      </c>
      <c r="AL167" s="252">
        <f t="shared" si="155"/>
        <v>0</v>
      </c>
      <c r="AM167" s="252">
        <f t="shared" si="155"/>
        <v>0</v>
      </c>
      <c r="AN167" s="252">
        <f t="shared" si="155"/>
        <v>0</v>
      </c>
      <c r="AO167" s="252">
        <f t="shared" si="155"/>
        <v>0</v>
      </c>
      <c r="AP167" s="252">
        <f t="shared" si="155"/>
        <v>0</v>
      </c>
      <c r="AQ167" s="252">
        <f t="shared" si="155"/>
        <v>0</v>
      </c>
      <c r="AR167" s="252">
        <f t="shared" si="155"/>
        <v>0</v>
      </c>
      <c r="AS167" s="252">
        <f t="shared" si="155"/>
        <v>0</v>
      </c>
      <c r="AT167" s="252">
        <f t="shared" si="155"/>
        <v>0</v>
      </c>
      <c r="AU167" s="252">
        <f t="shared" si="155"/>
        <v>0</v>
      </c>
      <c r="AV167" s="252">
        <f t="shared" si="155"/>
        <v>0</v>
      </c>
      <c r="AW167" s="252">
        <f t="shared" si="155"/>
        <v>0</v>
      </c>
      <c r="AX167" s="252">
        <f t="shared" si="155"/>
        <v>0</v>
      </c>
      <c r="AY167" s="252">
        <f t="shared" si="155"/>
        <v>0</v>
      </c>
      <c r="AZ167" s="252">
        <f t="shared" si="155"/>
        <v>0</v>
      </c>
      <c r="BA167" s="252">
        <f t="shared" si="155"/>
        <v>0</v>
      </c>
    </row>
    <row r="168" ht="15.75" customHeight="1">
      <c r="A168" s="744">
        <v>2049.0</v>
      </c>
      <c r="V168" s="747">
        <v>882.8671633008271</v>
      </c>
      <c r="W168" s="252">
        <f t="shared" si="37"/>
        <v>0</v>
      </c>
      <c r="X168" s="252">
        <f t="shared" ref="X168:BA168" si="156">IF(AND(X$48-$A168&gt;$V$34,SUM($W168:W168)&lt;&gt;$V168),$V168,0)</f>
        <v>0</v>
      </c>
      <c r="Y168" s="252">
        <f t="shared" si="156"/>
        <v>0</v>
      </c>
      <c r="Z168" s="252">
        <f t="shared" si="156"/>
        <v>0</v>
      </c>
      <c r="AA168" s="252">
        <f t="shared" si="156"/>
        <v>0</v>
      </c>
      <c r="AB168" s="252">
        <f t="shared" si="156"/>
        <v>0</v>
      </c>
      <c r="AC168" s="252">
        <f t="shared" si="156"/>
        <v>0</v>
      </c>
      <c r="AD168" s="252">
        <f t="shared" si="156"/>
        <v>0</v>
      </c>
      <c r="AE168" s="252">
        <f t="shared" si="156"/>
        <v>0</v>
      </c>
      <c r="AF168" s="252">
        <f t="shared" si="156"/>
        <v>0</v>
      </c>
      <c r="AG168" s="252">
        <f t="shared" si="156"/>
        <v>0</v>
      </c>
      <c r="AH168" s="252">
        <f t="shared" si="156"/>
        <v>0</v>
      </c>
      <c r="AI168" s="252">
        <f t="shared" si="156"/>
        <v>0</v>
      </c>
      <c r="AJ168" s="252">
        <f t="shared" si="156"/>
        <v>0</v>
      </c>
      <c r="AK168" s="252">
        <f t="shared" si="156"/>
        <v>0</v>
      </c>
      <c r="AL168" s="252">
        <f t="shared" si="156"/>
        <v>0</v>
      </c>
      <c r="AM168" s="252">
        <f t="shared" si="156"/>
        <v>0</v>
      </c>
      <c r="AN168" s="252">
        <f t="shared" si="156"/>
        <v>0</v>
      </c>
      <c r="AO168" s="252">
        <f t="shared" si="156"/>
        <v>0</v>
      </c>
      <c r="AP168" s="252">
        <f t="shared" si="156"/>
        <v>0</v>
      </c>
      <c r="AQ168" s="252">
        <f t="shared" si="156"/>
        <v>0</v>
      </c>
      <c r="AR168" s="252">
        <f t="shared" si="156"/>
        <v>0</v>
      </c>
      <c r="AS168" s="252">
        <f t="shared" si="156"/>
        <v>0</v>
      </c>
      <c r="AT168" s="252">
        <f t="shared" si="156"/>
        <v>0</v>
      </c>
      <c r="AU168" s="252">
        <f t="shared" si="156"/>
        <v>0</v>
      </c>
      <c r="AV168" s="252">
        <f t="shared" si="156"/>
        <v>0</v>
      </c>
      <c r="AW168" s="252">
        <f t="shared" si="156"/>
        <v>0</v>
      </c>
      <c r="AX168" s="252">
        <f t="shared" si="156"/>
        <v>0</v>
      </c>
      <c r="AY168" s="252">
        <f t="shared" si="156"/>
        <v>0</v>
      </c>
      <c r="AZ168" s="252">
        <f t="shared" si="156"/>
        <v>0</v>
      </c>
      <c r="BA168" s="252">
        <f t="shared" si="156"/>
        <v>0</v>
      </c>
    </row>
    <row r="169" ht="15.75" customHeight="1">
      <c r="A169" s="744">
        <v>2050.0</v>
      </c>
      <c r="V169" s="747">
        <v>881.8671633008234</v>
      </c>
      <c r="W169" s="252">
        <f t="shared" si="37"/>
        <v>0</v>
      </c>
      <c r="X169" s="252">
        <f t="shared" ref="X169:BA169" si="157">IF(AND(X$48-$A169&gt;$V$34,SUM($W169:W169)&lt;&gt;$V169),$V169,0)</f>
        <v>0</v>
      </c>
      <c r="Y169" s="252">
        <f t="shared" si="157"/>
        <v>0</v>
      </c>
      <c r="Z169" s="252">
        <f t="shared" si="157"/>
        <v>0</v>
      </c>
      <c r="AA169" s="252">
        <f t="shared" si="157"/>
        <v>0</v>
      </c>
      <c r="AB169" s="252">
        <f t="shared" si="157"/>
        <v>0</v>
      </c>
      <c r="AC169" s="252">
        <f t="shared" si="157"/>
        <v>0</v>
      </c>
      <c r="AD169" s="252">
        <f t="shared" si="157"/>
        <v>0</v>
      </c>
      <c r="AE169" s="252">
        <f t="shared" si="157"/>
        <v>0</v>
      </c>
      <c r="AF169" s="252">
        <f t="shared" si="157"/>
        <v>0</v>
      </c>
      <c r="AG169" s="252">
        <f t="shared" si="157"/>
        <v>0</v>
      </c>
      <c r="AH169" s="252">
        <f t="shared" si="157"/>
        <v>0</v>
      </c>
      <c r="AI169" s="252">
        <f t="shared" si="157"/>
        <v>0</v>
      </c>
      <c r="AJ169" s="252">
        <f t="shared" si="157"/>
        <v>0</v>
      </c>
      <c r="AK169" s="252">
        <f t="shared" si="157"/>
        <v>0</v>
      </c>
      <c r="AL169" s="252">
        <f t="shared" si="157"/>
        <v>0</v>
      </c>
      <c r="AM169" s="252">
        <f t="shared" si="157"/>
        <v>0</v>
      </c>
      <c r="AN169" s="252">
        <f t="shared" si="157"/>
        <v>0</v>
      </c>
      <c r="AO169" s="252">
        <f t="shared" si="157"/>
        <v>0</v>
      </c>
      <c r="AP169" s="252">
        <f t="shared" si="157"/>
        <v>0</v>
      </c>
      <c r="AQ169" s="252">
        <f t="shared" si="157"/>
        <v>0</v>
      </c>
      <c r="AR169" s="252">
        <f t="shared" si="157"/>
        <v>0</v>
      </c>
      <c r="AS169" s="252">
        <f t="shared" si="157"/>
        <v>0</v>
      </c>
      <c r="AT169" s="252">
        <f t="shared" si="157"/>
        <v>0</v>
      </c>
      <c r="AU169" s="252">
        <f t="shared" si="157"/>
        <v>0</v>
      </c>
      <c r="AV169" s="252">
        <f t="shared" si="157"/>
        <v>0</v>
      </c>
      <c r="AW169" s="252">
        <f t="shared" si="157"/>
        <v>0</v>
      </c>
      <c r="AX169" s="252">
        <f t="shared" si="157"/>
        <v>0</v>
      </c>
      <c r="AY169" s="252">
        <f t="shared" si="157"/>
        <v>0</v>
      </c>
      <c r="AZ169" s="252">
        <f t="shared" si="157"/>
        <v>0</v>
      </c>
      <c r="BA169" s="252">
        <f t="shared" si="157"/>
        <v>0</v>
      </c>
    </row>
    <row r="170" ht="15.75" customHeight="1"/>
    <row r="171" ht="15.75" customHeight="1">
      <c r="A171" s="881" t="s">
        <v>1161</v>
      </c>
      <c r="V171" s="767" t="s">
        <v>1162</v>
      </c>
      <c r="W171" s="159">
        <v>2020.0</v>
      </c>
      <c r="X171" s="159">
        <v>2021.0</v>
      </c>
      <c r="Y171" s="159">
        <v>2022.0</v>
      </c>
      <c r="Z171" s="159">
        <v>2023.0</v>
      </c>
      <c r="AA171" s="159">
        <v>2024.0</v>
      </c>
      <c r="AB171" s="159">
        <v>2025.0</v>
      </c>
      <c r="AC171" s="159">
        <v>2026.0</v>
      </c>
      <c r="AD171" s="159">
        <v>2027.0</v>
      </c>
      <c r="AE171" s="159">
        <v>2028.0</v>
      </c>
      <c r="AF171" s="159">
        <v>2029.0</v>
      </c>
      <c r="AG171" s="159">
        <v>2030.0</v>
      </c>
      <c r="AH171" s="159">
        <v>2031.0</v>
      </c>
      <c r="AI171" s="159">
        <v>2032.0</v>
      </c>
      <c r="AJ171" s="159">
        <v>2033.0</v>
      </c>
      <c r="AK171" s="159">
        <v>2034.0</v>
      </c>
      <c r="AL171" s="159">
        <v>2035.0</v>
      </c>
      <c r="AM171" s="159">
        <v>2036.0</v>
      </c>
      <c r="AN171" s="159">
        <v>2037.0</v>
      </c>
      <c r="AO171" s="159">
        <v>2038.0</v>
      </c>
      <c r="AP171" s="159">
        <v>2039.0</v>
      </c>
      <c r="AQ171" s="159">
        <v>2040.0</v>
      </c>
      <c r="AR171" s="159">
        <v>2041.0</v>
      </c>
      <c r="AS171" s="159">
        <v>2042.0</v>
      </c>
      <c r="AT171" s="159">
        <v>2043.0</v>
      </c>
      <c r="AU171" s="159">
        <v>2044.0</v>
      </c>
      <c r="AV171" s="159">
        <v>2045.0</v>
      </c>
      <c r="AW171" s="159">
        <v>2046.0</v>
      </c>
      <c r="AX171" s="159">
        <v>2047.0</v>
      </c>
      <c r="AY171" s="159">
        <v>2048.0</v>
      </c>
      <c r="AZ171" s="159">
        <v>2049.0</v>
      </c>
      <c r="BA171" s="159">
        <v>2050.0</v>
      </c>
    </row>
    <row r="172" ht="15.75" customHeight="1">
      <c r="A172" s="823">
        <v>2000.0</v>
      </c>
      <c r="V172" s="447">
        <v>0.0</v>
      </c>
      <c r="W172">
        <f t="shared" ref="W172:W222" si="159">IF(W$171-$A172&gt;$V$34,$V172,0)</f>
        <v>0</v>
      </c>
      <c r="X172">
        <f t="shared" ref="X172:BA172" si="158">IF(AND(X$171-$A172&gt;$V$34,SUM($W172:W172)&lt;&gt;$V172),$V172,0)</f>
        <v>0</v>
      </c>
      <c r="Y172">
        <f t="shared" si="158"/>
        <v>0</v>
      </c>
      <c r="Z172">
        <f t="shared" si="158"/>
        <v>0</v>
      </c>
      <c r="AA172">
        <f t="shared" si="158"/>
        <v>0</v>
      </c>
      <c r="AB172">
        <f t="shared" si="158"/>
        <v>0</v>
      </c>
      <c r="AC172">
        <f t="shared" si="158"/>
        <v>0</v>
      </c>
      <c r="AD172">
        <f t="shared" si="158"/>
        <v>0</v>
      </c>
      <c r="AE172">
        <f t="shared" si="158"/>
        <v>0</v>
      </c>
      <c r="AF172">
        <f t="shared" si="158"/>
        <v>0</v>
      </c>
      <c r="AG172">
        <f t="shared" si="158"/>
        <v>0</v>
      </c>
      <c r="AH172">
        <f t="shared" si="158"/>
        <v>0</v>
      </c>
      <c r="AI172">
        <f t="shared" si="158"/>
        <v>0</v>
      </c>
      <c r="AJ172">
        <f t="shared" si="158"/>
        <v>0</v>
      </c>
      <c r="AK172">
        <f t="shared" si="158"/>
        <v>0</v>
      </c>
      <c r="AL172">
        <f t="shared" si="158"/>
        <v>0</v>
      </c>
      <c r="AM172">
        <f t="shared" si="158"/>
        <v>0</v>
      </c>
      <c r="AN172">
        <f t="shared" si="158"/>
        <v>0</v>
      </c>
      <c r="AO172">
        <f t="shared" si="158"/>
        <v>0</v>
      </c>
      <c r="AP172">
        <f t="shared" si="158"/>
        <v>0</v>
      </c>
      <c r="AQ172">
        <f t="shared" si="158"/>
        <v>0</v>
      </c>
      <c r="AR172">
        <f t="shared" si="158"/>
        <v>0</v>
      </c>
      <c r="AS172">
        <f t="shared" si="158"/>
        <v>0</v>
      </c>
      <c r="AT172">
        <f t="shared" si="158"/>
        <v>0</v>
      </c>
      <c r="AU172">
        <f t="shared" si="158"/>
        <v>0</v>
      </c>
      <c r="AV172">
        <f t="shared" si="158"/>
        <v>0</v>
      </c>
      <c r="AW172">
        <f t="shared" si="158"/>
        <v>0</v>
      </c>
      <c r="AX172">
        <f t="shared" si="158"/>
        <v>0</v>
      </c>
      <c r="AY172">
        <f t="shared" si="158"/>
        <v>0</v>
      </c>
      <c r="AZ172">
        <f t="shared" si="158"/>
        <v>0</v>
      </c>
      <c r="BA172">
        <f t="shared" si="158"/>
        <v>0</v>
      </c>
    </row>
    <row r="173" ht="15.75" customHeight="1">
      <c r="A173" s="823">
        <v>2001.0</v>
      </c>
      <c r="V173" s="447">
        <v>0.0</v>
      </c>
      <c r="W173">
        <f t="shared" si="159"/>
        <v>0</v>
      </c>
      <c r="X173">
        <f t="shared" ref="X173:BA173" si="160">IF(AND(X$171-$A173&gt;$V$34,SUM($W173:W173)&lt;&gt;$V173),$V173,0)</f>
        <v>0</v>
      </c>
      <c r="Y173">
        <f t="shared" si="160"/>
        <v>0</v>
      </c>
      <c r="Z173">
        <f t="shared" si="160"/>
        <v>0</v>
      </c>
      <c r="AA173">
        <f t="shared" si="160"/>
        <v>0</v>
      </c>
      <c r="AB173">
        <f t="shared" si="160"/>
        <v>0</v>
      </c>
      <c r="AC173">
        <f t="shared" si="160"/>
        <v>0</v>
      </c>
      <c r="AD173">
        <f t="shared" si="160"/>
        <v>0</v>
      </c>
      <c r="AE173">
        <f t="shared" si="160"/>
        <v>0</v>
      </c>
      <c r="AF173">
        <f t="shared" si="160"/>
        <v>0</v>
      </c>
      <c r="AG173">
        <f t="shared" si="160"/>
        <v>0</v>
      </c>
      <c r="AH173">
        <f t="shared" si="160"/>
        <v>0</v>
      </c>
      <c r="AI173">
        <f t="shared" si="160"/>
        <v>0</v>
      </c>
      <c r="AJ173">
        <f t="shared" si="160"/>
        <v>0</v>
      </c>
      <c r="AK173">
        <f t="shared" si="160"/>
        <v>0</v>
      </c>
      <c r="AL173">
        <f t="shared" si="160"/>
        <v>0</v>
      </c>
      <c r="AM173">
        <f t="shared" si="160"/>
        <v>0</v>
      </c>
      <c r="AN173">
        <f t="shared" si="160"/>
        <v>0</v>
      </c>
      <c r="AO173">
        <f t="shared" si="160"/>
        <v>0</v>
      </c>
      <c r="AP173">
        <f t="shared" si="160"/>
        <v>0</v>
      </c>
      <c r="AQ173">
        <f t="shared" si="160"/>
        <v>0</v>
      </c>
      <c r="AR173">
        <f t="shared" si="160"/>
        <v>0</v>
      </c>
      <c r="AS173">
        <f t="shared" si="160"/>
        <v>0</v>
      </c>
      <c r="AT173">
        <f t="shared" si="160"/>
        <v>0</v>
      </c>
      <c r="AU173">
        <f t="shared" si="160"/>
        <v>0</v>
      </c>
      <c r="AV173">
        <f t="shared" si="160"/>
        <v>0</v>
      </c>
      <c r="AW173">
        <f t="shared" si="160"/>
        <v>0</v>
      </c>
      <c r="AX173">
        <f t="shared" si="160"/>
        <v>0</v>
      </c>
      <c r="AY173">
        <f t="shared" si="160"/>
        <v>0</v>
      </c>
      <c r="AZ173">
        <f t="shared" si="160"/>
        <v>0</v>
      </c>
      <c r="BA173">
        <f t="shared" si="160"/>
        <v>0</v>
      </c>
    </row>
    <row r="174" ht="15.75" customHeight="1">
      <c r="A174" s="823">
        <v>2002.0</v>
      </c>
      <c r="V174" s="447">
        <v>0.0</v>
      </c>
      <c r="W174">
        <f t="shared" si="159"/>
        <v>0</v>
      </c>
      <c r="X174">
        <f t="shared" ref="X174:BA174" si="161">IF(AND(X$171-$A174&gt;$V$34,SUM($W174:W174)&lt;&gt;$V174),$V174,0)</f>
        <v>0</v>
      </c>
      <c r="Y174">
        <f t="shared" si="161"/>
        <v>0</v>
      </c>
      <c r="Z174">
        <f t="shared" si="161"/>
        <v>0</v>
      </c>
      <c r="AA174">
        <f t="shared" si="161"/>
        <v>0</v>
      </c>
      <c r="AB174">
        <f t="shared" si="161"/>
        <v>0</v>
      </c>
      <c r="AC174">
        <f t="shared" si="161"/>
        <v>0</v>
      </c>
      <c r="AD174">
        <f t="shared" si="161"/>
        <v>0</v>
      </c>
      <c r="AE174">
        <f t="shared" si="161"/>
        <v>0</v>
      </c>
      <c r="AF174">
        <f t="shared" si="161"/>
        <v>0</v>
      </c>
      <c r="AG174">
        <f t="shared" si="161"/>
        <v>0</v>
      </c>
      <c r="AH174">
        <f t="shared" si="161"/>
        <v>0</v>
      </c>
      <c r="AI174">
        <f t="shared" si="161"/>
        <v>0</v>
      </c>
      <c r="AJ174">
        <f t="shared" si="161"/>
        <v>0</v>
      </c>
      <c r="AK174">
        <f t="shared" si="161"/>
        <v>0</v>
      </c>
      <c r="AL174">
        <f t="shared" si="161"/>
        <v>0</v>
      </c>
      <c r="AM174">
        <f t="shared" si="161"/>
        <v>0</v>
      </c>
      <c r="AN174">
        <f t="shared" si="161"/>
        <v>0</v>
      </c>
      <c r="AO174">
        <f t="shared" si="161"/>
        <v>0</v>
      </c>
      <c r="AP174">
        <f t="shared" si="161"/>
        <v>0</v>
      </c>
      <c r="AQ174">
        <f t="shared" si="161"/>
        <v>0</v>
      </c>
      <c r="AR174">
        <f t="shared" si="161"/>
        <v>0</v>
      </c>
      <c r="AS174">
        <f t="shared" si="161"/>
        <v>0</v>
      </c>
      <c r="AT174">
        <f t="shared" si="161"/>
        <v>0</v>
      </c>
      <c r="AU174">
        <f t="shared" si="161"/>
        <v>0</v>
      </c>
      <c r="AV174">
        <f t="shared" si="161"/>
        <v>0</v>
      </c>
      <c r="AW174">
        <f t="shared" si="161"/>
        <v>0</v>
      </c>
      <c r="AX174">
        <f t="shared" si="161"/>
        <v>0</v>
      </c>
      <c r="AY174">
        <f t="shared" si="161"/>
        <v>0</v>
      </c>
      <c r="AZ174">
        <f t="shared" si="161"/>
        <v>0</v>
      </c>
      <c r="BA174">
        <f t="shared" si="161"/>
        <v>0</v>
      </c>
    </row>
    <row r="175" ht="15.75" customHeight="1">
      <c r="A175" s="823">
        <v>2003.0</v>
      </c>
      <c r="V175" s="447">
        <v>0.0</v>
      </c>
      <c r="W175">
        <f t="shared" si="159"/>
        <v>0</v>
      </c>
      <c r="X175">
        <f t="shared" ref="X175:BA175" si="162">IF(AND(X$171-$A175&gt;$V$34,SUM($W175:W175)&lt;&gt;$V175),$V175,0)</f>
        <v>0</v>
      </c>
      <c r="Y175">
        <f t="shared" si="162"/>
        <v>0</v>
      </c>
      <c r="Z175">
        <f t="shared" si="162"/>
        <v>0</v>
      </c>
      <c r="AA175">
        <f t="shared" si="162"/>
        <v>0</v>
      </c>
      <c r="AB175">
        <f t="shared" si="162"/>
        <v>0</v>
      </c>
      <c r="AC175">
        <f t="shared" si="162"/>
        <v>0</v>
      </c>
      <c r="AD175">
        <f t="shared" si="162"/>
        <v>0</v>
      </c>
      <c r="AE175">
        <f t="shared" si="162"/>
        <v>0</v>
      </c>
      <c r="AF175">
        <f t="shared" si="162"/>
        <v>0</v>
      </c>
      <c r="AG175">
        <f t="shared" si="162"/>
        <v>0</v>
      </c>
      <c r="AH175">
        <f t="shared" si="162"/>
        <v>0</v>
      </c>
      <c r="AI175">
        <f t="shared" si="162"/>
        <v>0</v>
      </c>
      <c r="AJ175">
        <f t="shared" si="162"/>
        <v>0</v>
      </c>
      <c r="AK175">
        <f t="shared" si="162"/>
        <v>0</v>
      </c>
      <c r="AL175">
        <f t="shared" si="162"/>
        <v>0</v>
      </c>
      <c r="AM175">
        <f t="shared" si="162"/>
        <v>0</v>
      </c>
      <c r="AN175">
        <f t="shared" si="162"/>
        <v>0</v>
      </c>
      <c r="AO175">
        <f t="shared" si="162"/>
        <v>0</v>
      </c>
      <c r="AP175">
        <f t="shared" si="162"/>
        <v>0</v>
      </c>
      <c r="AQ175">
        <f t="shared" si="162"/>
        <v>0</v>
      </c>
      <c r="AR175">
        <f t="shared" si="162"/>
        <v>0</v>
      </c>
      <c r="AS175">
        <f t="shared" si="162"/>
        <v>0</v>
      </c>
      <c r="AT175">
        <f t="shared" si="162"/>
        <v>0</v>
      </c>
      <c r="AU175">
        <f t="shared" si="162"/>
        <v>0</v>
      </c>
      <c r="AV175">
        <f t="shared" si="162"/>
        <v>0</v>
      </c>
      <c r="AW175">
        <f t="shared" si="162"/>
        <v>0</v>
      </c>
      <c r="AX175">
        <f t="shared" si="162"/>
        <v>0</v>
      </c>
      <c r="AY175">
        <f t="shared" si="162"/>
        <v>0</v>
      </c>
      <c r="AZ175">
        <f t="shared" si="162"/>
        <v>0</v>
      </c>
      <c r="BA175">
        <f t="shared" si="162"/>
        <v>0</v>
      </c>
    </row>
    <row r="176" ht="15.75" customHeight="1">
      <c r="A176" s="252">
        <v>2004.0</v>
      </c>
      <c r="V176" s="447">
        <v>0.0</v>
      </c>
      <c r="W176">
        <f t="shared" si="159"/>
        <v>0</v>
      </c>
      <c r="X176">
        <f t="shared" ref="X176:BA176" si="163">IF(AND(X$171-$A176&gt;$V$34,SUM($W176:W176)&lt;&gt;$V176),$V176,0)</f>
        <v>0</v>
      </c>
      <c r="Y176">
        <f t="shared" si="163"/>
        <v>0</v>
      </c>
      <c r="Z176">
        <f t="shared" si="163"/>
        <v>0</v>
      </c>
      <c r="AA176">
        <f t="shared" si="163"/>
        <v>0</v>
      </c>
      <c r="AB176">
        <f t="shared" si="163"/>
        <v>0</v>
      </c>
      <c r="AC176">
        <f t="shared" si="163"/>
        <v>0</v>
      </c>
      <c r="AD176">
        <f t="shared" si="163"/>
        <v>0</v>
      </c>
      <c r="AE176">
        <f t="shared" si="163"/>
        <v>0</v>
      </c>
      <c r="AF176">
        <f t="shared" si="163"/>
        <v>0</v>
      </c>
      <c r="AG176">
        <f t="shared" si="163"/>
        <v>0</v>
      </c>
      <c r="AH176">
        <f t="shared" si="163"/>
        <v>0</v>
      </c>
      <c r="AI176">
        <f t="shared" si="163"/>
        <v>0</v>
      </c>
      <c r="AJ176">
        <f t="shared" si="163"/>
        <v>0</v>
      </c>
      <c r="AK176">
        <f t="shared" si="163"/>
        <v>0</v>
      </c>
      <c r="AL176">
        <f t="shared" si="163"/>
        <v>0</v>
      </c>
      <c r="AM176">
        <f t="shared" si="163"/>
        <v>0</v>
      </c>
      <c r="AN176">
        <f t="shared" si="163"/>
        <v>0</v>
      </c>
      <c r="AO176">
        <f t="shared" si="163"/>
        <v>0</v>
      </c>
      <c r="AP176">
        <f t="shared" si="163"/>
        <v>0</v>
      </c>
      <c r="AQ176">
        <f t="shared" si="163"/>
        <v>0</v>
      </c>
      <c r="AR176">
        <f t="shared" si="163"/>
        <v>0</v>
      </c>
      <c r="AS176">
        <f t="shared" si="163"/>
        <v>0</v>
      </c>
      <c r="AT176">
        <f t="shared" si="163"/>
        <v>0</v>
      </c>
      <c r="AU176">
        <f t="shared" si="163"/>
        <v>0</v>
      </c>
      <c r="AV176">
        <f t="shared" si="163"/>
        <v>0</v>
      </c>
      <c r="AW176">
        <f t="shared" si="163"/>
        <v>0</v>
      </c>
      <c r="AX176">
        <f t="shared" si="163"/>
        <v>0</v>
      </c>
      <c r="AY176">
        <f t="shared" si="163"/>
        <v>0</v>
      </c>
      <c r="AZ176">
        <f t="shared" si="163"/>
        <v>0</v>
      </c>
      <c r="BA176">
        <f t="shared" si="163"/>
        <v>0</v>
      </c>
    </row>
    <row r="177" ht="15.75" customHeight="1">
      <c r="A177" s="252">
        <v>2005.0</v>
      </c>
      <c r="V177" s="447">
        <v>0.0</v>
      </c>
      <c r="W177">
        <f t="shared" si="159"/>
        <v>0</v>
      </c>
      <c r="X177">
        <f t="shared" ref="X177:BA177" si="164">IF(AND(X$171-$A177&gt;$V$34,SUM($W177:W177)&lt;&gt;$V177),$V177,0)</f>
        <v>0</v>
      </c>
      <c r="Y177">
        <f t="shared" si="164"/>
        <v>0</v>
      </c>
      <c r="Z177">
        <f t="shared" si="164"/>
        <v>0</v>
      </c>
      <c r="AA177">
        <f t="shared" si="164"/>
        <v>0</v>
      </c>
      <c r="AB177">
        <f t="shared" si="164"/>
        <v>0</v>
      </c>
      <c r="AC177">
        <f t="shared" si="164"/>
        <v>0</v>
      </c>
      <c r="AD177">
        <f t="shared" si="164"/>
        <v>0</v>
      </c>
      <c r="AE177">
        <f t="shared" si="164"/>
        <v>0</v>
      </c>
      <c r="AF177">
        <f t="shared" si="164"/>
        <v>0</v>
      </c>
      <c r="AG177">
        <f t="shared" si="164"/>
        <v>0</v>
      </c>
      <c r="AH177">
        <f t="shared" si="164"/>
        <v>0</v>
      </c>
      <c r="AI177">
        <f t="shared" si="164"/>
        <v>0</v>
      </c>
      <c r="AJ177">
        <f t="shared" si="164"/>
        <v>0</v>
      </c>
      <c r="AK177">
        <f t="shared" si="164"/>
        <v>0</v>
      </c>
      <c r="AL177">
        <f t="shared" si="164"/>
        <v>0</v>
      </c>
      <c r="AM177">
        <f t="shared" si="164"/>
        <v>0</v>
      </c>
      <c r="AN177">
        <f t="shared" si="164"/>
        <v>0</v>
      </c>
      <c r="AO177">
        <f t="shared" si="164"/>
        <v>0</v>
      </c>
      <c r="AP177">
        <f t="shared" si="164"/>
        <v>0</v>
      </c>
      <c r="AQ177">
        <f t="shared" si="164"/>
        <v>0</v>
      </c>
      <c r="AR177">
        <f t="shared" si="164"/>
        <v>0</v>
      </c>
      <c r="AS177">
        <f t="shared" si="164"/>
        <v>0</v>
      </c>
      <c r="AT177">
        <f t="shared" si="164"/>
        <v>0</v>
      </c>
      <c r="AU177">
        <f t="shared" si="164"/>
        <v>0</v>
      </c>
      <c r="AV177">
        <f t="shared" si="164"/>
        <v>0</v>
      </c>
      <c r="AW177">
        <f t="shared" si="164"/>
        <v>0</v>
      </c>
      <c r="AX177">
        <f t="shared" si="164"/>
        <v>0</v>
      </c>
      <c r="AY177">
        <f t="shared" si="164"/>
        <v>0</v>
      </c>
      <c r="AZ177">
        <f t="shared" si="164"/>
        <v>0</v>
      </c>
      <c r="BA177">
        <f t="shared" si="164"/>
        <v>0</v>
      </c>
    </row>
    <row r="178" ht="15.75" customHeight="1">
      <c r="A178" s="252">
        <v>2006.0</v>
      </c>
      <c r="V178" s="447">
        <v>0.0</v>
      </c>
      <c r="W178">
        <f t="shared" si="159"/>
        <v>0</v>
      </c>
      <c r="X178">
        <f t="shared" ref="X178:BA178" si="165">IF(AND(X$171-$A178&gt;$V$34,SUM($W178:W178)&lt;&gt;$V178),$V178,0)</f>
        <v>0</v>
      </c>
      <c r="Y178">
        <f t="shared" si="165"/>
        <v>0</v>
      </c>
      <c r="Z178">
        <f t="shared" si="165"/>
        <v>0</v>
      </c>
      <c r="AA178">
        <f t="shared" si="165"/>
        <v>0</v>
      </c>
      <c r="AB178">
        <f t="shared" si="165"/>
        <v>0</v>
      </c>
      <c r="AC178">
        <f t="shared" si="165"/>
        <v>0</v>
      </c>
      <c r="AD178">
        <f t="shared" si="165"/>
        <v>0</v>
      </c>
      <c r="AE178">
        <f t="shared" si="165"/>
        <v>0</v>
      </c>
      <c r="AF178">
        <f t="shared" si="165"/>
        <v>0</v>
      </c>
      <c r="AG178">
        <f t="shared" si="165"/>
        <v>0</v>
      </c>
      <c r="AH178">
        <f t="shared" si="165"/>
        <v>0</v>
      </c>
      <c r="AI178">
        <f t="shared" si="165"/>
        <v>0</v>
      </c>
      <c r="AJ178">
        <f t="shared" si="165"/>
        <v>0</v>
      </c>
      <c r="AK178">
        <f t="shared" si="165"/>
        <v>0</v>
      </c>
      <c r="AL178">
        <f t="shared" si="165"/>
        <v>0</v>
      </c>
      <c r="AM178">
        <f t="shared" si="165"/>
        <v>0</v>
      </c>
      <c r="AN178">
        <f t="shared" si="165"/>
        <v>0</v>
      </c>
      <c r="AO178">
        <f t="shared" si="165"/>
        <v>0</v>
      </c>
      <c r="AP178">
        <f t="shared" si="165"/>
        <v>0</v>
      </c>
      <c r="AQ178">
        <f t="shared" si="165"/>
        <v>0</v>
      </c>
      <c r="AR178">
        <f t="shared" si="165"/>
        <v>0</v>
      </c>
      <c r="AS178">
        <f t="shared" si="165"/>
        <v>0</v>
      </c>
      <c r="AT178">
        <f t="shared" si="165"/>
        <v>0</v>
      </c>
      <c r="AU178">
        <f t="shared" si="165"/>
        <v>0</v>
      </c>
      <c r="AV178">
        <f t="shared" si="165"/>
        <v>0</v>
      </c>
      <c r="AW178">
        <f t="shared" si="165"/>
        <v>0</v>
      </c>
      <c r="AX178">
        <f t="shared" si="165"/>
        <v>0</v>
      </c>
      <c r="AY178">
        <f t="shared" si="165"/>
        <v>0</v>
      </c>
      <c r="AZ178">
        <f t="shared" si="165"/>
        <v>0</v>
      </c>
      <c r="BA178">
        <f t="shared" si="165"/>
        <v>0</v>
      </c>
    </row>
    <row r="179" ht="15.75" customHeight="1">
      <c r="A179" s="252">
        <v>2007.0</v>
      </c>
      <c r="V179" s="447">
        <v>0.0</v>
      </c>
      <c r="W179">
        <f t="shared" si="159"/>
        <v>0</v>
      </c>
      <c r="X179">
        <f t="shared" ref="X179:BA179" si="166">IF(AND(X$171-$A179&gt;$V$34,SUM($W179:W179)&lt;&gt;$V179),$V179,0)</f>
        <v>0</v>
      </c>
      <c r="Y179">
        <f t="shared" si="166"/>
        <v>0</v>
      </c>
      <c r="Z179">
        <f t="shared" si="166"/>
        <v>0</v>
      </c>
      <c r="AA179">
        <f t="shared" si="166"/>
        <v>0</v>
      </c>
      <c r="AB179">
        <f t="shared" si="166"/>
        <v>0</v>
      </c>
      <c r="AC179">
        <f t="shared" si="166"/>
        <v>0</v>
      </c>
      <c r="AD179">
        <f t="shared" si="166"/>
        <v>0</v>
      </c>
      <c r="AE179">
        <f t="shared" si="166"/>
        <v>0</v>
      </c>
      <c r="AF179">
        <f t="shared" si="166"/>
        <v>0</v>
      </c>
      <c r="AG179">
        <f t="shared" si="166"/>
        <v>0</v>
      </c>
      <c r="AH179">
        <f t="shared" si="166"/>
        <v>0</v>
      </c>
      <c r="AI179">
        <f t="shared" si="166"/>
        <v>0</v>
      </c>
      <c r="AJ179">
        <f t="shared" si="166"/>
        <v>0</v>
      </c>
      <c r="AK179">
        <f t="shared" si="166"/>
        <v>0</v>
      </c>
      <c r="AL179">
        <f t="shared" si="166"/>
        <v>0</v>
      </c>
      <c r="AM179">
        <f t="shared" si="166"/>
        <v>0</v>
      </c>
      <c r="AN179">
        <f t="shared" si="166"/>
        <v>0</v>
      </c>
      <c r="AO179">
        <f t="shared" si="166"/>
        <v>0</v>
      </c>
      <c r="AP179">
        <f t="shared" si="166"/>
        <v>0</v>
      </c>
      <c r="AQ179">
        <f t="shared" si="166"/>
        <v>0</v>
      </c>
      <c r="AR179">
        <f t="shared" si="166"/>
        <v>0</v>
      </c>
      <c r="AS179">
        <f t="shared" si="166"/>
        <v>0</v>
      </c>
      <c r="AT179">
        <f t="shared" si="166"/>
        <v>0</v>
      </c>
      <c r="AU179">
        <f t="shared" si="166"/>
        <v>0</v>
      </c>
      <c r="AV179">
        <f t="shared" si="166"/>
        <v>0</v>
      </c>
      <c r="AW179">
        <f t="shared" si="166"/>
        <v>0</v>
      </c>
      <c r="AX179">
        <f t="shared" si="166"/>
        <v>0</v>
      </c>
      <c r="AY179">
        <f t="shared" si="166"/>
        <v>0</v>
      </c>
      <c r="AZ179">
        <f t="shared" si="166"/>
        <v>0</v>
      </c>
      <c r="BA179">
        <f t="shared" si="166"/>
        <v>0</v>
      </c>
    </row>
    <row r="180" ht="15.75" customHeight="1">
      <c r="A180" s="252">
        <v>2008.0</v>
      </c>
      <c r="V180" s="447">
        <v>0.0</v>
      </c>
      <c r="W180">
        <f t="shared" si="159"/>
        <v>0</v>
      </c>
      <c r="X180">
        <f t="shared" ref="X180:BA180" si="167">IF(AND(X$171-$A180&gt;$V$34,SUM($W180:W180)&lt;&gt;$V180),$V180,0)</f>
        <v>0</v>
      </c>
      <c r="Y180">
        <f t="shared" si="167"/>
        <v>0</v>
      </c>
      <c r="Z180">
        <f t="shared" si="167"/>
        <v>0</v>
      </c>
      <c r="AA180">
        <f t="shared" si="167"/>
        <v>0</v>
      </c>
      <c r="AB180">
        <f t="shared" si="167"/>
        <v>0</v>
      </c>
      <c r="AC180">
        <f t="shared" si="167"/>
        <v>0</v>
      </c>
      <c r="AD180">
        <f t="shared" si="167"/>
        <v>0</v>
      </c>
      <c r="AE180">
        <f t="shared" si="167"/>
        <v>0</v>
      </c>
      <c r="AF180">
        <f t="shared" si="167"/>
        <v>0</v>
      </c>
      <c r="AG180">
        <f t="shared" si="167"/>
        <v>0</v>
      </c>
      <c r="AH180">
        <f t="shared" si="167"/>
        <v>0</v>
      </c>
      <c r="AI180">
        <f t="shared" si="167"/>
        <v>0</v>
      </c>
      <c r="AJ180">
        <f t="shared" si="167"/>
        <v>0</v>
      </c>
      <c r="AK180">
        <f t="shared" si="167"/>
        <v>0</v>
      </c>
      <c r="AL180">
        <f t="shared" si="167"/>
        <v>0</v>
      </c>
      <c r="AM180">
        <f t="shared" si="167"/>
        <v>0</v>
      </c>
      <c r="AN180">
        <f t="shared" si="167"/>
        <v>0</v>
      </c>
      <c r="AO180">
        <f t="shared" si="167"/>
        <v>0</v>
      </c>
      <c r="AP180">
        <f t="shared" si="167"/>
        <v>0</v>
      </c>
      <c r="AQ180">
        <f t="shared" si="167"/>
        <v>0</v>
      </c>
      <c r="AR180">
        <f t="shared" si="167"/>
        <v>0</v>
      </c>
      <c r="AS180">
        <f t="shared" si="167"/>
        <v>0</v>
      </c>
      <c r="AT180">
        <f t="shared" si="167"/>
        <v>0</v>
      </c>
      <c r="AU180">
        <f t="shared" si="167"/>
        <v>0</v>
      </c>
      <c r="AV180">
        <f t="shared" si="167"/>
        <v>0</v>
      </c>
      <c r="AW180">
        <f t="shared" si="167"/>
        <v>0</v>
      </c>
      <c r="AX180">
        <f t="shared" si="167"/>
        <v>0</v>
      </c>
      <c r="AY180">
        <f t="shared" si="167"/>
        <v>0</v>
      </c>
      <c r="AZ180">
        <f t="shared" si="167"/>
        <v>0</v>
      </c>
      <c r="BA180">
        <f t="shared" si="167"/>
        <v>0</v>
      </c>
    </row>
    <row r="181" ht="15.75" customHeight="1">
      <c r="A181" s="825">
        <v>2009.0</v>
      </c>
      <c r="V181" s="447">
        <v>0.0</v>
      </c>
      <c r="W181">
        <f t="shared" si="159"/>
        <v>0</v>
      </c>
      <c r="X181">
        <f t="shared" ref="X181:BA181" si="168">IF(AND(X$171-$A181&gt;$V$34,SUM($W181:W181)&lt;&gt;$V181),$V181,0)</f>
        <v>0</v>
      </c>
      <c r="Y181">
        <f t="shared" si="168"/>
        <v>0</v>
      </c>
      <c r="Z181">
        <f t="shared" si="168"/>
        <v>0</v>
      </c>
      <c r="AA181">
        <f t="shared" si="168"/>
        <v>0</v>
      </c>
      <c r="AB181">
        <f t="shared" si="168"/>
        <v>0</v>
      </c>
      <c r="AC181">
        <f t="shared" si="168"/>
        <v>0</v>
      </c>
      <c r="AD181">
        <f t="shared" si="168"/>
        <v>0</v>
      </c>
      <c r="AE181">
        <f t="shared" si="168"/>
        <v>0</v>
      </c>
      <c r="AF181">
        <f t="shared" si="168"/>
        <v>0</v>
      </c>
      <c r="AG181">
        <f t="shared" si="168"/>
        <v>0</v>
      </c>
      <c r="AH181">
        <f t="shared" si="168"/>
        <v>0</v>
      </c>
      <c r="AI181">
        <f t="shared" si="168"/>
        <v>0</v>
      </c>
      <c r="AJ181">
        <f t="shared" si="168"/>
        <v>0</v>
      </c>
      <c r="AK181">
        <f t="shared" si="168"/>
        <v>0</v>
      </c>
      <c r="AL181">
        <f t="shared" si="168"/>
        <v>0</v>
      </c>
      <c r="AM181">
        <f t="shared" si="168"/>
        <v>0</v>
      </c>
      <c r="AN181">
        <f t="shared" si="168"/>
        <v>0</v>
      </c>
      <c r="AO181">
        <f t="shared" si="168"/>
        <v>0</v>
      </c>
      <c r="AP181">
        <f t="shared" si="168"/>
        <v>0</v>
      </c>
      <c r="AQ181">
        <f t="shared" si="168"/>
        <v>0</v>
      </c>
      <c r="AR181">
        <f t="shared" si="168"/>
        <v>0</v>
      </c>
      <c r="AS181">
        <f t="shared" si="168"/>
        <v>0</v>
      </c>
      <c r="AT181">
        <f t="shared" si="168"/>
        <v>0</v>
      </c>
      <c r="AU181">
        <f t="shared" si="168"/>
        <v>0</v>
      </c>
      <c r="AV181">
        <f t="shared" si="168"/>
        <v>0</v>
      </c>
      <c r="AW181">
        <f t="shared" si="168"/>
        <v>0</v>
      </c>
      <c r="AX181">
        <f t="shared" si="168"/>
        <v>0</v>
      </c>
      <c r="AY181">
        <f t="shared" si="168"/>
        <v>0</v>
      </c>
      <c r="AZ181">
        <f t="shared" si="168"/>
        <v>0</v>
      </c>
      <c r="BA181">
        <f t="shared" si="168"/>
        <v>0</v>
      </c>
    </row>
    <row r="182" ht="15.75" customHeight="1">
      <c r="A182" s="252">
        <v>2010.0</v>
      </c>
      <c r="V182" s="447">
        <v>0.0</v>
      </c>
      <c r="W182">
        <f t="shared" si="159"/>
        <v>0</v>
      </c>
      <c r="X182">
        <f t="shared" ref="X182:BA182" si="169">IF(AND(X$171-$A182&gt;$V$34,SUM($W182:W182)&lt;&gt;$V182),$V182,0)</f>
        <v>0</v>
      </c>
      <c r="Y182">
        <f t="shared" si="169"/>
        <v>0</v>
      </c>
      <c r="Z182">
        <f t="shared" si="169"/>
        <v>0</v>
      </c>
      <c r="AA182">
        <f t="shared" si="169"/>
        <v>0</v>
      </c>
      <c r="AB182">
        <f t="shared" si="169"/>
        <v>0</v>
      </c>
      <c r="AC182">
        <f t="shared" si="169"/>
        <v>0</v>
      </c>
      <c r="AD182">
        <f t="shared" si="169"/>
        <v>0</v>
      </c>
      <c r="AE182">
        <f t="shared" si="169"/>
        <v>0</v>
      </c>
      <c r="AF182">
        <f t="shared" si="169"/>
        <v>0</v>
      </c>
      <c r="AG182">
        <f t="shared" si="169"/>
        <v>0</v>
      </c>
      <c r="AH182">
        <f t="shared" si="169"/>
        <v>0</v>
      </c>
      <c r="AI182">
        <f t="shared" si="169"/>
        <v>0</v>
      </c>
      <c r="AJ182">
        <f t="shared" si="169"/>
        <v>0</v>
      </c>
      <c r="AK182">
        <f t="shared" si="169"/>
        <v>0</v>
      </c>
      <c r="AL182">
        <f t="shared" si="169"/>
        <v>0</v>
      </c>
      <c r="AM182">
        <f t="shared" si="169"/>
        <v>0</v>
      </c>
      <c r="AN182">
        <f t="shared" si="169"/>
        <v>0</v>
      </c>
      <c r="AO182">
        <f t="shared" si="169"/>
        <v>0</v>
      </c>
      <c r="AP182">
        <f t="shared" si="169"/>
        <v>0</v>
      </c>
      <c r="AQ182">
        <f t="shared" si="169"/>
        <v>0</v>
      </c>
      <c r="AR182">
        <f t="shared" si="169"/>
        <v>0</v>
      </c>
      <c r="AS182">
        <f t="shared" si="169"/>
        <v>0</v>
      </c>
      <c r="AT182">
        <f t="shared" si="169"/>
        <v>0</v>
      </c>
      <c r="AU182">
        <f t="shared" si="169"/>
        <v>0</v>
      </c>
      <c r="AV182">
        <f t="shared" si="169"/>
        <v>0</v>
      </c>
      <c r="AW182">
        <f t="shared" si="169"/>
        <v>0</v>
      </c>
      <c r="AX182">
        <f t="shared" si="169"/>
        <v>0</v>
      </c>
      <c r="AY182">
        <f t="shared" si="169"/>
        <v>0</v>
      </c>
      <c r="AZ182">
        <f t="shared" si="169"/>
        <v>0</v>
      </c>
      <c r="BA182">
        <f t="shared" si="169"/>
        <v>0</v>
      </c>
    </row>
    <row r="183" ht="15.75" customHeight="1">
      <c r="A183" s="252">
        <v>2011.0</v>
      </c>
      <c r="V183" s="447">
        <v>0.0</v>
      </c>
      <c r="W183">
        <f t="shared" si="159"/>
        <v>0</v>
      </c>
      <c r="X183">
        <f t="shared" ref="X183:BA183" si="170">IF(AND(X$171-$A183&gt;$V$34,SUM($W183:W183)&lt;&gt;$V183),$V183,0)</f>
        <v>0</v>
      </c>
      <c r="Y183">
        <f t="shared" si="170"/>
        <v>0</v>
      </c>
      <c r="Z183">
        <f t="shared" si="170"/>
        <v>0</v>
      </c>
      <c r="AA183">
        <f t="shared" si="170"/>
        <v>0</v>
      </c>
      <c r="AB183">
        <f t="shared" si="170"/>
        <v>0</v>
      </c>
      <c r="AC183">
        <f t="shared" si="170"/>
        <v>0</v>
      </c>
      <c r="AD183">
        <f t="shared" si="170"/>
        <v>0</v>
      </c>
      <c r="AE183">
        <f t="shared" si="170"/>
        <v>0</v>
      </c>
      <c r="AF183">
        <f t="shared" si="170"/>
        <v>0</v>
      </c>
      <c r="AG183">
        <f t="shared" si="170"/>
        <v>0</v>
      </c>
      <c r="AH183">
        <f t="shared" si="170"/>
        <v>0</v>
      </c>
      <c r="AI183">
        <f t="shared" si="170"/>
        <v>0</v>
      </c>
      <c r="AJ183">
        <f t="shared" si="170"/>
        <v>0</v>
      </c>
      <c r="AK183">
        <f t="shared" si="170"/>
        <v>0</v>
      </c>
      <c r="AL183">
        <f t="shared" si="170"/>
        <v>0</v>
      </c>
      <c r="AM183">
        <f t="shared" si="170"/>
        <v>0</v>
      </c>
      <c r="AN183">
        <f t="shared" si="170"/>
        <v>0</v>
      </c>
      <c r="AO183">
        <f t="shared" si="170"/>
        <v>0</v>
      </c>
      <c r="AP183">
        <f t="shared" si="170"/>
        <v>0</v>
      </c>
      <c r="AQ183">
        <f t="shared" si="170"/>
        <v>0</v>
      </c>
      <c r="AR183">
        <f t="shared" si="170"/>
        <v>0</v>
      </c>
      <c r="AS183">
        <f t="shared" si="170"/>
        <v>0</v>
      </c>
      <c r="AT183">
        <f t="shared" si="170"/>
        <v>0</v>
      </c>
      <c r="AU183">
        <f t="shared" si="170"/>
        <v>0</v>
      </c>
      <c r="AV183">
        <f t="shared" si="170"/>
        <v>0</v>
      </c>
      <c r="AW183">
        <f t="shared" si="170"/>
        <v>0</v>
      </c>
      <c r="AX183">
        <f t="shared" si="170"/>
        <v>0</v>
      </c>
      <c r="AY183">
        <f t="shared" si="170"/>
        <v>0</v>
      </c>
      <c r="AZ183">
        <f t="shared" si="170"/>
        <v>0</v>
      </c>
      <c r="BA183">
        <f t="shared" si="170"/>
        <v>0</v>
      </c>
    </row>
    <row r="184" ht="15.75" customHeight="1">
      <c r="A184" s="252">
        <v>2012.0</v>
      </c>
      <c r="V184" s="447">
        <v>0.0</v>
      </c>
      <c r="W184">
        <f t="shared" si="159"/>
        <v>0</v>
      </c>
      <c r="X184">
        <f t="shared" ref="X184:BA184" si="171">IF(AND(X$171-$A184&gt;$V$34,SUM($W184:W184)&lt;&gt;$V184),$V184,0)</f>
        <v>0</v>
      </c>
      <c r="Y184">
        <f t="shared" si="171"/>
        <v>0</v>
      </c>
      <c r="Z184">
        <f t="shared" si="171"/>
        <v>0</v>
      </c>
      <c r="AA184">
        <f t="shared" si="171"/>
        <v>0</v>
      </c>
      <c r="AB184">
        <f t="shared" si="171"/>
        <v>0</v>
      </c>
      <c r="AC184">
        <f t="shared" si="171"/>
        <v>0</v>
      </c>
      <c r="AD184">
        <f t="shared" si="171"/>
        <v>0</v>
      </c>
      <c r="AE184">
        <f t="shared" si="171"/>
        <v>0</v>
      </c>
      <c r="AF184">
        <f t="shared" si="171"/>
        <v>0</v>
      </c>
      <c r="AG184">
        <f t="shared" si="171"/>
        <v>0</v>
      </c>
      <c r="AH184">
        <f t="shared" si="171"/>
        <v>0</v>
      </c>
      <c r="AI184">
        <f t="shared" si="171"/>
        <v>0</v>
      </c>
      <c r="AJ184">
        <f t="shared" si="171"/>
        <v>0</v>
      </c>
      <c r="AK184">
        <f t="shared" si="171"/>
        <v>0</v>
      </c>
      <c r="AL184">
        <f t="shared" si="171"/>
        <v>0</v>
      </c>
      <c r="AM184">
        <f t="shared" si="171"/>
        <v>0</v>
      </c>
      <c r="AN184">
        <f t="shared" si="171"/>
        <v>0</v>
      </c>
      <c r="AO184">
        <f t="shared" si="171"/>
        <v>0</v>
      </c>
      <c r="AP184">
        <f t="shared" si="171"/>
        <v>0</v>
      </c>
      <c r="AQ184">
        <f t="shared" si="171"/>
        <v>0</v>
      </c>
      <c r="AR184">
        <f t="shared" si="171"/>
        <v>0</v>
      </c>
      <c r="AS184">
        <f t="shared" si="171"/>
        <v>0</v>
      </c>
      <c r="AT184">
        <f t="shared" si="171"/>
        <v>0</v>
      </c>
      <c r="AU184">
        <f t="shared" si="171"/>
        <v>0</v>
      </c>
      <c r="AV184">
        <f t="shared" si="171"/>
        <v>0</v>
      </c>
      <c r="AW184">
        <f t="shared" si="171"/>
        <v>0</v>
      </c>
      <c r="AX184">
        <f t="shared" si="171"/>
        <v>0</v>
      </c>
      <c r="AY184">
        <f t="shared" si="171"/>
        <v>0</v>
      </c>
      <c r="AZ184">
        <f t="shared" si="171"/>
        <v>0</v>
      </c>
      <c r="BA184">
        <f t="shared" si="171"/>
        <v>0</v>
      </c>
    </row>
    <row r="185" ht="15.75" customHeight="1">
      <c r="A185" s="252">
        <v>2013.0</v>
      </c>
      <c r="V185" s="447">
        <v>0.0</v>
      </c>
      <c r="W185">
        <f t="shared" si="159"/>
        <v>0</v>
      </c>
      <c r="X185">
        <f t="shared" ref="X185:BA185" si="172">IF(AND(X$171-$A185&gt;$V$34,SUM($W185:W185)&lt;&gt;$V185),$V185,0)</f>
        <v>0</v>
      </c>
      <c r="Y185">
        <f t="shared" si="172"/>
        <v>0</v>
      </c>
      <c r="Z185">
        <f t="shared" si="172"/>
        <v>0</v>
      </c>
      <c r="AA185">
        <f t="shared" si="172"/>
        <v>0</v>
      </c>
      <c r="AB185">
        <f t="shared" si="172"/>
        <v>0</v>
      </c>
      <c r="AC185">
        <f t="shared" si="172"/>
        <v>0</v>
      </c>
      <c r="AD185">
        <f t="shared" si="172"/>
        <v>0</v>
      </c>
      <c r="AE185">
        <f t="shared" si="172"/>
        <v>0</v>
      </c>
      <c r="AF185">
        <f t="shared" si="172"/>
        <v>0</v>
      </c>
      <c r="AG185">
        <f t="shared" si="172"/>
        <v>0</v>
      </c>
      <c r="AH185">
        <f t="shared" si="172"/>
        <v>0</v>
      </c>
      <c r="AI185">
        <f t="shared" si="172"/>
        <v>0</v>
      </c>
      <c r="AJ185">
        <f t="shared" si="172"/>
        <v>0</v>
      </c>
      <c r="AK185">
        <f t="shared" si="172"/>
        <v>0</v>
      </c>
      <c r="AL185">
        <f t="shared" si="172"/>
        <v>0</v>
      </c>
      <c r="AM185">
        <f t="shared" si="172"/>
        <v>0</v>
      </c>
      <c r="AN185">
        <f t="shared" si="172"/>
        <v>0</v>
      </c>
      <c r="AO185">
        <f t="shared" si="172"/>
        <v>0</v>
      </c>
      <c r="AP185">
        <f t="shared" si="172"/>
        <v>0</v>
      </c>
      <c r="AQ185">
        <f t="shared" si="172"/>
        <v>0</v>
      </c>
      <c r="AR185">
        <f t="shared" si="172"/>
        <v>0</v>
      </c>
      <c r="AS185">
        <f t="shared" si="172"/>
        <v>0</v>
      </c>
      <c r="AT185">
        <f t="shared" si="172"/>
        <v>0</v>
      </c>
      <c r="AU185">
        <f t="shared" si="172"/>
        <v>0</v>
      </c>
      <c r="AV185">
        <f t="shared" si="172"/>
        <v>0</v>
      </c>
      <c r="AW185">
        <f t="shared" si="172"/>
        <v>0</v>
      </c>
      <c r="AX185">
        <f t="shared" si="172"/>
        <v>0</v>
      </c>
      <c r="AY185">
        <f t="shared" si="172"/>
        <v>0</v>
      </c>
      <c r="AZ185">
        <f t="shared" si="172"/>
        <v>0</v>
      </c>
      <c r="BA185">
        <f t="shared" si="172"/>
        <v>0</v>
      </c>
    </row>
    <row r="186" ht="15.75" customHeight="1">
      <c r="A186" s="252">
        <v>2014.0</v>
      </c>
      <c r="V186" s="447">
        <v>0.0</v>
      </c>
      <c r="W186">
        <f t="shared" si="159"/>
        <v>0</v>
      </c>
      <c r="X186">
        <f t="shared" ref="X186:BA186" si="173">IF(AND(X$171-$A186&gt;$V$34,SUM($W186:W186)&lt;&gt;$V186),$V186,0)</f>
        <v>0</v>
      </c>
      <c r="Y186">
        <f t="shared" si="173"/>
        <v>0</v>
      </c>
      <c r="Z186">
        <f t="shared" si="173"/>
        <v>0</v>
      </c>
      <c r="AA186">
        <f t="shared" si="173"/>
        <v>0</v>
      </c>
      <c r="AB186">
        <f t="shared" si="173"/>
        <v>0</v>
      </c>
      <c r="AC186">
        <f t="shared" si="173"/>
        <v>0</v>
      </c>
      <c r="AD186">
        <f t="shared" si="173"/>
        <v>0</v>
      </c>
      <c r="AE186">
        <f t="shared" si="173"/>
        <v>0</v>
      </c>
      <c r="AF186">
        <f t="shared" si="173"/>
        <v>0</v>
      </c>
      <c r="AG186">
        <f t="shared" si="173"/>
        <v>0</v>
      </c>
      <c r="AH186">
        <f t="shared" si="173"/>
        <v>0</v>
      </c>
      <c r="AI186">
        <f t="shared" si="173"/>
        <v>0</v>
      </c>
      <c r="AJ186">
        <f t="shared" si="173"/>
        <v>0</v>
      </c>
      <c r="AK186">
        <f t="shared" si="173"/>
        <v>0</v>
      </c>
      <c r="AL186">
        <f t="shared" si="173"/>
        <v>0</v>
      </c>
      <c r="AM186">
        <f t="shared" si="173"/>
        <v>0</v>
      </c>
      <c r="AN186">
        <f t="shared" si="173"/>
        <v>0</v>
      </c>
      <c r="AO186">
        <f t="shared" si="173"/>
        <v>0</v>
      </c>
      <c r="AP186">
        <f t="shared" si="173"/>
        <v>0</v>
      </c>
      <c r="AQ186">
        <f t="shared" si="173"/>
        <v>0</v>
      </c>
      <c r="AR186">
        <f t="shared" si="173"/>
        <v>0</v>
      </c>
      <c r="AS186">
        <f t="shared" si="173"/>
        <v>0</v>
      </c>
      <c r="AT186">
        <f t="shared" si="173"/>
        <v>0</v>
      </c>
      <c r="AU186">
        <f t="shared" si="173"/>
        <v>0</v>
      </c>
      <c r="AV186">
        <f t="shared" si="173"/>
        <v>0</v>
      </c>
      <c r="AW186">
        <f t="shared" si="173"/>
        <v>0</v>
      </c>
      <c r="AX186">
        <f t="shared" si="173"/>
        <v>0</v>
      </c>
      <c r="AY186">
        <f t="shared" si="173"/>
        <v>0</v>
      </c>
      <c r="AZ186">
        <f t="shared" si="173"/>
        <v>0</v>
      </c>
      <c r="BA186">
        <f t="shared" si="173"/>
        <v>0</v>
      </c>
    </row>
    <row r="187" ht="15.75" customHeight="1">
      <c r="A187" s="252">
        <v>2015.0</v>
      </c>
      <c r="V187" s="447">
        <v>0.0</v>
      </c>
      <c r="W187">
        <f t="shared" si="159"/>
        <v>0</v>
      </c>
      <c r="X187">
        <f t="shared" ref="X187:BA187" si="174">IF(AND(X$171-$A187&gt;$V$34,SUM($W187:W187)&lt;&gt;$V187),$V187,0)</f>
        <v>0</v>
      </c>
      <c r="Y187">
        <f t="shared" si="174"/>
        <v>0</v>
      </c>
      <c r="Z187">
        <f t="shared" si="174"/>
        <v>0</v>
      </c>
      <c r="AA187">
        <f t="shared" si="174"/>
        <v>0</v>
      </c>
      <c r="AB187">
        <f t="shared" si="174"/>
        <v>0</v>
      </c>
      <c r="AC187">
        <f t="shared" si="174"/>
        <v>0</v>
      </c>
      <c r="AD187">
        <f t="shared" si="174"/>
        <v>0</v>
      </c>
      <c r="AE187">
        <f t="shared" si="174"/>
        <v>0</v>
      </c>
      <c r="AF187">
        <f t="shared" si="174"/>
        <v>0</v>
      </c>
      <c r="AG187">
        <f t="shared" si="174"/>
        <v>0</v>
      </c>
      <c r="AH187">
        <f t="shared" si="174"/>
        <v>0</v>
      </c>
      <c r="AI187">
        <f t="shared" si="174"/>
        <v>0</v>
      </c>
      <c r="AJ187">
        <f t="shared" si="174"/>
        <v>0</v>
      </c>
      <c r="AK187">
        <f t="shared" si="174"/>
        <v>0</v>
      </c>
      <c r="AL187">
        <f t="shared" si="174"/>
        <v>0</v>
      </c>
      <c r="AM187">
        <f t="shared" si="174"/>
        <v>0</v>
      </c>
      <c r="AN187">
        <f t="shared" si="174"/>
        <v>0</v>
      </c>
      <c r="AO187">
        <f t="shared" si="174"/>
        <v>0</v>
      </c>
      <c r="AP187">
        <f t="shared" si="174"/>
        <v>0</v>
      </c>
      <c r="AQ187">
        <f t="shared" si="174"/>
        <v>0</v>
      </c>
      <c r="AR187">
        <f t="shared" si="174"/>
        <v>0</v>
      </c>
      <c r="AS187">
        <f t="shared" si="174"/>
        <v>0</v>
      </c>
      <c r="AT187">
        <f t="shared" si="174"/>
        <v>0</v>
      </c>
      <c r="AU187">
        <f t="shared" si="174"/>
        <v>0</v>
      </c>
      <c r="AV187">
        <f t="shared" si="174"/>
        <v>0</v>
      </c>
      <c r="AW187">
        <f t="shared" si="174"/>
        <v>0</v>
      </c>
      <c r="AX187">
        <f t="shared" si="174"/>
        <v>0</v>
      </c>
      <c r="AY187">
        <f t="shared" si="174"/>
        <v>0</v>
      </c>
      <c r="AZ187">
        <f t="shared" si="174"/>
        <v>0</v>
      </c>
      <c r="BA187">
        <f t="shared" si="174"/>
        <v>0</v>
      </c>
    </row>
    <row r="188" ht="15.75" customHeight="1">
      <c r="A188" s="252">
        <v>2016.0</v>
      </c>
      <c r="V188" s="447">
        <v>0.0</v>
      </c>
      <c r="W188">
        <f t="shared" si="159"/>
        <v>0</v>
      </c>
      <c r="X188">
        <f t="shared" ref="X188:BA188" si="175">IF(AND(X$171-$A188&gt;$V$34,SUM($W188:W188)&lt;&gt;$V188),$V188,0)</f>
        <v>0</v>
      </c>
      <c r="Y188">
        <f t="shared" si="175"/>
        <v>0</v>
      </c>
      <c r="Z188">
        <f t="shared" si="175"/>
        <v>0</v>
      </c>
      <c r="AA188">
        <f t="shared" si="175"/>
        <v>0</v>
      </c>
      <c r="AB188">
        <f t="shared" si="175"/>
        <v>0</v>
      </c>
      <c r="AC188">
        <f t="shared" si="175"/>
        <v>0</v>
      </c>
      <c r="AD188">
        <f t="shared" si="175"/>
        <v>0</v>
      </c>
      <c r="AE188">
        <f t="shared" si="175"/>
        <v>0</v>
      </c>
      <c r="AF188">
        <f t="shared" si="175"/>
        <v>0</v>
      </c>
      <c r="AG188">
        <f t="shared" si="175"/>
        <v>0</v>
      </c>
      <c r="AH188">
        <f t="shared" si="175"/>
        <v>0</v>
      </c>
      <c r="AI188">
        <f t="shared" si="175"/>
        <v>0</v>
      </c>
      <c r="AJ188">
        <f t="shared" si="175"/>
        <v>0</v>
      </c>
      <c r="AK188">
        <f t="shared" si="175"/>
        <v>0</v>
      </c>
      <c r="AL188">
        <f t="shared" si="175"/>
        <v>0</v>
      </c>
      <c r="AM188">
        <f t="shared" si="175"/>
        <v>0</v>
      </c>
      <c r="AN188">
        <f t="shared" si="175"/>
        <v>0</v>
      </c>
      <c r="AO188">
        <f t="shared" si="175"/>
        <v>0</v>
      </c>
      <c r="AP188">
        <f t="shared" si="175"/>
        <v>0</v>
      </c>
      <c r="AQ188">
        <f t="shared" si="175"/>
        <v>0</v>
      </c>
      <c r="AR188">
        <f t="shared" si="175"/>
        <v>0</v>
      </c>
      <c r="AS188">
        <f t="shared" si="175"/>
        <v>0</v>
      </c>
      <c r="AT188">
        <f t="shared" si="175"/>
        <v>0</v>
      </c>
      <c r="AU188">
        <f t="shared" si="175"/>
        <v>0</v>
      </c>
      <c r="AV188">
        <f t="shared" si="175"/>
        <v>0</v>
      </c>
      <c r="AW188">
        <f t="shared" si="175"/>
        <v>0</v>
      </c>
      <c r="AX188">
        <f t="shared" si="175"/>
        <v>0</v>
      </c>
      <c r="AY188">
        <f t="shared" si="175"/>
        <v>0</v>
      </c>
      <c r="AZ188">
        <f t="shared" si="175"/>
        <v>0</v>
      </c>
      <c r="BA188">
        <f t="shared" si="175"/>
        <v>0</v>
      </c>
    </row>
    <row r="189" ht="15.75" customHeight="1">
      <c r="A189" s="252">
        <v>2017.0</v>
      </c>
      <c r="V189" s="447">
        <v>0.0</v>
      </c>
      <c r="W189">
        <f t="shared" si="159"/>
        <v>0</v>
      </c>
      <c r="X189">
        <f t="shared" ref="X189:BA189" si="176">IF(AND(X$171-$A189&gt;$V$34,SUM($W189:W189)&lt;&gt;$V189),$V189,0)</f>
        <v>0</v>
      </c>
      <c r="Y189">
        <f t="shared" si="176"/>
        <v>0</v>
      </c>
      <c r="Z189">
        <f t="shared" si="176"/>
        <v>0</v>
      </c>
      <c r="AA189">
        <f t="shared" si="176"/>
        <v>0</v>
      </c>
      <c r="AB189">
        <f t="shared" si="176"/>
        <v>0</v>
      </c>
      <c r="AC189">
        <f t="shared" si="176"/>
        <v>0</v>
      </c>
      <c r="AD189">
        <f t="shared" si="176"/>
        <v>0</v>
      </c>
      <c r="AE189">
        <f t="shared" si="176"/>
        <v>0</v>
      </c>
      <c r="AF189">
        <f t="shared" si="176"/>
        <v>0</v>
      </c>
      <c r="AG189">
        <f t="shared" si="176"/>
        <v>0</v>
      </c>
      <c r="AH189">
        <f t="shared" si="176"/>
        <v>0</v>
      </c>
      <c r="AI189">
        <f t="shared" si="176"/>
        <v>0</v>
      </c>
      <c r="AJ189">
        <f t="shared" si="176"/>
        <v>0</v>
      </c>
      <c r="AK189">
        <f t="shared" si="176"/>
        <v>0</v>
      </c>
      <c r="AL189">
        <f t="shared" si="176"/>
        <v>0</v>
      </c>
      <c r="AM189">
        <f t="shared" si="176"/>
        <v>0</v>
      </c>
      <c r="AN189">
        <f t="shared" si="176"/>
        <v>0</v>
      </c>
      <c r="AO189">
        <f t="shared" si="176"/>
        <v>0</v>
      </c>
      <c r="AP189">
        <f t="shared" si="176"/>
        <v>0</v>
      </c>
      <c r="AQ189">
        <f t="shared" si="176"/>
        <v>0</v>
      </c>
      <c r="AR189">
        <f t="shared" si="176"/>
        <v>0</v>
      </c>
      <c r="AS189">
        <f t="shared" si="176"/>
        <v>0</v>
      </c>
      <c r="AT189">
        <f t="shared" si="176"/>
        <v>0</v>
      </c>
      <c r="AU189">
        <f t="shared" si="176"/>
        <v>0</v>
      </c>
      <c r="AV189">
        <f t="shared" si="176"/>
        <v>0</v>
      </c>
      <c r="AW189">
        <f t="shared" si="176"/>
        <v>0</v>
      </c>
      <c r="AX189">
        <f t="shared" si="176"/>
        <v>0</v>
      </c>
      <c r="AY189">
        <f t="shared" si="176"/>
        <v>0</v>
      </c>
      <c r="AZ189">
        <f t="shared" si="176"/>
        <v>0</v>
      </c>
      <c r="BA189">
        <f t="shared" si="176"/>
        <v>0</v>
      </c>
    </row>
    <row r="190" ht="15.75" customHeight="1">
      <c r="A190" s="252">
        <v>2018.0</v>
      </c>
      <c r="V190" s="447">
        <v>0.0</v>
      </c>
      <c r="W190">
        <f t="shared" si="159"/>
        <v>0</v>
      </c>
      <c r="X190">
        <f t="shared" ref="X190:BA190" si="177">IF(AND(X$171-$A190&gt;$V$34,SUM($W190:W190)&lt;&gt;$V190),$V190,0)</f>
        <v>0</v>
      </c>
      <c r="Y190">
        <f t="shared" si="177"/>
        <v>0</v>
      </c>
      <c r="Z190">
        <f t="shared" si="177"/>
        <v>0</v>
      </c>
      <c r="AA190">
        <f t="shared" si="177"/>
        <v>0</v>
      </c>
      <c r="AB190">
        <f t="shared" si="177"/>
        <v>0</v>
      </c>
      <c r="AC190">
        <f t="shared" si="177"/>
        <v>0</v>
      </c>
      <c r="AD190">
        <f t="shared" si="177"/>
        <v>0</v>
      </c>
      <c r="AE190">
        <f t="shared" si="177"/>
        <v>0</v>
      </c>
      <c r="AF190">
        <f t="shared" si="177"/>
        <v>0</v>
      </c>
      <c r="AG190">
        <f t="shared" si="177"/>
        <v>0</v>
      </c>
      <c r="AH190">
        <f t="shared" si="177"/>
        <v>0</v>
      </c>
      <c r="AI190">
        <f t="shared" si="177"/>
        <v>0</v>
      </c>
      <c r="AJ190">
        <f t="shared" si="177"/>
        <v>0</v>
      </c>
      <c r="AK190">
        <f t="shared" si="177"/>
        <v>0</v>
      </c>
      <c r="AL190">
        <f t="shared" si="177"/>
        <v>0</v>
      </c>
      <c r="AM190">
        <f t="shared" si="177"/>
        <v>0</v>
      </c>
      <c r="AN190">
        <f t="shared" si="177"/>
        <v>0</v>
      </c>
      <c r="AO190">
        <f t="shared" si="177"/>
        <v>0</v>
      </c>
      <c r="AP190">
        <f t="shared" si="177"/>
        <v>0</v>
      </c>
      <c r="AQ190">
        <f t="shared" si="177"/>
        <v>0</v>
      </c>
      <c r="AR190">
        <f t="shared" si="177"/>
        <v>0</v>
      </c>
      <c r="AS190">
        <f t="shared" si="177"/>
        <v>0</v>
      </c>
      <c r="AT190">
        <f t="shared" si="177"/>
        <v>0</v>
      </c>
      <c r="AU190">
        <f t="shared" si="177"/>
        <v>0</v>
      </c>
      <c r="AV190">
        <f t="shared" si="177"/>
        <v>0</v>
      </c>
      <c r="AW190">
        <f t="shared" si="177"/>
        <v>0</v>
      </c>
      <c r="AX190">
        <f t="shared" si="177"/>
        <v>0</v>
      </c>
      <c r="AY190">
        <f t="shared" si="177"/>
        <v>0</v>
      </c>
      <c r="AZ190">
        <f t="shared" si="177"/>
        <v>0</v>
      </c>
      <c r="BA190">
        <f t="shared" si="177"/>
        <v>0</v>
      </c>
    </row>
    <row r="191" ht="15.75" customHeight="1">
      <c r="A191" s="252">
        <v>2019.0</v>
      </c>
      <c r="V191" s="447">
        <v>0.0</v>
      </c>
      <c r="W191">
        <f t="shared" si="159"/>
        <v>0</v>
      </c>
      <c r="X191">
        <f t="shared" ref="X191:BA191" si="178">IF(AND(X$171-$A191&gt;$V$34,SUM($W191:W191)&lt;&gt;$V191),$V191,0)</f>
        <v>0</v>
      </c>
      <c r="Y191">
        <f t="shared" si="178"/>
        <v>0</v>
      </c>
      <c r="Z191">
        <f t="shared" si="178"/>
        <v>0</v>
      </c>
      <c r="AA191">
        <f t="shared" si="178"/>
        <v>0</v>
      </c>
      <c r="AB191">
        <f t="shared" si="178"/>
        <v>0</v>
      </c>
      <c r="AC191">
        <f t="shared" si="178"/>
        <v>0</v>
      </c>
      <c r="AD191">
        <f t="shared" si="178"/>
        <v>0</v>
      </c>
      <c r="AE191">
        <f t="shared" si="178"/>
        <v>0</v>
      </c>
      <c r="AF191">
        <f t="shared" si="178"/>
        <v>0</v>
      </c>
      <c r="AG191">
        <f t="shared" si="178"/>
        <v>0</v>
      </c>
      <c r="AH191">
        <f t="shared" si="178"/>
        <v>0</v>
      </c>
      <c r="AI191">
        <f t="shared" si="178"/>
        <v>0</v>
      </c>
      <c r="AJ191">
        <f t="shared" si="178"/>
        <v>0</v>
      </c>
      <c r="AK191">
        <f t="shared" si="178"/>
        <v>0</v>
      </c>
      <c r="AL191">
        <f t="shared" si="178"/>
        <v>0</v>
      </c>
      <c r="AM191">
        <f t="shared" si="178"/>
        <v>0</v>
      </c>
      <c r="AN191">
        <f t="shared" si="178"/>
        <v>0</v>
      </c>
      <c r="AO191">
        <f t="shared" si="178"/>
        <v>0</v>
      </c>
      <c r="AP191">
        <f t="shared" si="178"/>
        <v>0</v>
      </c>
      <c r="AQ191">
        <f t="shared" si="178"/>
        <v>0</v>
      </c>
      <c r="AR191">
        <f t="shared" si="178"/>
        <v>0</v>
      </c>
      <c r="AS191">
        <f t="shared" si="178"/>
        <v>0</v>
      </c>
      <c r="AT191">
        <f t="shared" si="178"/>
        <v>0</v>
      </c>
      <c r="AU191">
        <f t="shared" si="178"/>
        <v>0</v>
      </c>
      <c r="AV191">
        <f t="shared" si="178"/>
        <v>0</v>
      </c>
      <c r="AW191">
        <f t="shared" si="178"/>
        <v>0</v>
      </c>
      <c r="AX191">
        <f t="shared" si="178"/>
        <v>0</v>
      </c>
      <c r="AY191">
        <f t="shared" si="178"/>
        <v>0</v>
      </c>
      <c r="AZ191">
        <f t="shared" si="178"/>
        <v>0</v>
      </c>
      <c r="BA191">
        <f t="shared" si="178"/>
        <v>0</v>
      </c>
    </row>
    <row r="192" ht="15.75" customHeight="1">
      <c r="A192" s="744">
        <v>2020.0</v>
      </c>
      <c r="V192" s="882">
        <f t="array" ref="V192:V222">transpose(Model!W2479:BA2479)</f>
        <v>0</v>
      </c>
      <c r="W192">
        <f t="shared" si="159"/>
        <v>0</v>
      </c>
      <c r="X192">
        <f t="shared" ref="X192:BA192" si="179">IF(AND(X$171-$A192&gt;$V$34,SUM($W192:W192)&lt;&gt;$V192),$V192,0)</f>
        <v>0</v>
      </c>
      <c r="Y192">
        <f t="shared" si="179"/>
        <v>0</v>
      </c>
      <c r="Z192">
        <f t="shared" si="179"/>
        <v>0</v>
      </c>
      <c r="AA192">
        <f t="shared" si="179"/>
        <v>0</v>
      </c>
      <c r="AB192">
        <f t="shared" si="179"/>
        <v>0</v>
      </c>
      <c r="AC192">
        <f t="shared" si="179"/>
        <v>0</v>
      </c>
      <c r="AD192">
        <f t="shared" si="179"/>
        <v>0</v>
      </c>
      <c r="AE192">
        <f t="shared" si="179"/>
        <v>0</v>
      </c>
      <c r="AF192">
        <f t="shared" si="179"/>
        <v>0</v>
      </c>
      <c r="AG192">
        <f t="shared" si="179"/>
        <v>0</v>
      </c>
      <c r="AH192">
        <f t="shared" si="179"/>
        <v>0</v>
      </c>
      <c r="AI192">
        <f t="shared" si="179"/>
        <v>0</v>
      </c>
      <c r="AJ192">
        <f t="shared" si="179"/>
        <v>0</v>
      </c>
      <c r="AK192">
        <f t="shared" si="179"/>
        <v>0</v>
      </c>
      <c r="AL192">
        <f t="shared" si="179"/>
        <v>0</v>
      </c>
      <c r="AM192">
        <f t="shared" si="179"/>
        <v>0</v>
      </c>
      <c r="AN192">
        <f t="shared" si="179"/>
        <v>0</v>
      </c>
      <c r="AO192">
        <f t="shared" si="179"/>
        <v>0</v>
      </c>
      <c r="AP192">
        <f t="shared" si="179"/>
        <v>0</v>
      </c>
      <c r="AQ192">
        <f t="shared" si="179"/>
        <v>0</v>
      </c>
      <c r="AR192">
        <f t="shared" si="179"/>
        <v>0</v>
      </c>
      <c r="AS192">
        <f t="shared" si="179"/>
        <v>0</v>
      </c>
      <c r="AT192">
        <f t="shared" si="179"/>
        <v>0</v>
      </c>
      <c r="AU192">
        <f t="shared" si="179"/>
        <v>0</v>
      </c>
      <c r="AV192">
        <f t="shared" si="179"/>
        <v>0</v>
      </c>
      <c r="AW192">
        <f t="shared" si="179"/>
        <v>0</v>
      </c>
      <c r="AX192">
        <f t="shared" si="179"/>
        <v>0</v>
      </c>
      <c r="AY192">
        <f t="shared" si="179"/>
        <v>0</v>
      </c>
      <c r="AZ192">
        <f t="shared" si="179"/>
        <v>0</v>
      </c>
      <c r="BA192">
        <f t="shared" si="179"/>
        <v>0</v>
      </c>
    </row>
    <row r="193" ht="15.75" customHeight="1">
      <c r="A193" s="744">
        <v>2021.0</v>
      </c>
      <c r="V193" s="883">
        <v>0.006245053085993533</v>
      </c>
      <c r="W193">
        <f t="shared" si="159"/>
        <v>0</v>
      </c>
      <c r="X193">
        <f t="shared" ref="X193:BA193" si="180">IF(AND(X$171-$A193&gt;$V$34,SUM($W193:W193)&lt;&gt;$V193),$V193,0)</f>
        <v>0</v>
      </c>
      <c r="Y193">
        <f t="shared" si="180"/>
        <v>0</v>
      </c>
      <c r="Z193">
        <f t="shared" si="180"/>
        <v>0</v>
      </c>
      <c r="AA193">
        <f t="shared" si="180"/>
        <v>0</v>
      </c>
      <c r="AB193">
        <f t="shared" si="180"/>
        <v>0</v>
      </c>
      <c r="AC193">
        <f t="shared" si="180"/>
        <v>0</v>
      </c>
      <c r="AD193">
        <f t="shared" si="180"/>
        <v>0</v>
      </c>
      <c r="AE193">
        <f t="shared" si="180"/>
        <v>0</v>
      </c>
      <c r="AF193">
        <f t="shared" si="180"/>
        <v>0</v>
      </c>
      <c r="AG193">
        <f t="shared" si="180"/>
        <v>0</v>
      </c>
      <c r="AH193">
        <f t="shared" si="180"/>
        <v>0</v>
      </c>
      <c r="AI193">
        <f t="shared" si="180"/>
        <v>0</v>
      </c>
      <c r="AJ193">
        <f t="shared" si="180"/>
        <v>0</v>
      </c>
      <c r="AK193">
        <f t="shared" si="180"/>
        <v>0</v>
      </c>
      <c r="AL193">
        <f t="shared" si="180"/>
        <v>0</v>
      </c>
      <c r="AM193">
        <f t="shared" si="180"/>
        <v>0</v>
      </c>
      <c r="AN193" s="248">
        <f t="shared" si="180"/>
        <v>0.006245053086</v>
      </c>
      <c r="AO193">
        <f t="shared" si="180"/>
        <v>0</v>
      </c>
      <c r="AP193">
        <f t="shared" si="180"/>
        <v>0</v>
      </c>
      <c r="AQ193">
        <f t="shared" si="180"/>
        <v>0</v>
      </c>
      <c r="AR193">
        <f t="shared" si="180"/>
        <v>0</v>
      </c>
      <c r="AS193">
        <f t="shared" si="180"/>
        <v>0</v>
      </c>
      <c r="AT193">
        <f t="shared" si="180"/>
        <v>0</v>
      </c>
      <c r="AU193">
        <f t="shared" si="180"/>
        <v>0</v>
      </c>
      <c r="AV193">
        <f t="shared" si="180"/>
        <v>0</v>
      </c>
      <c r="AW193">
        <f t="shared" si="180"/>
        <v>0</v>
      </c>
      <c r="AX193">
        <f t="shared" si="180"/>
        <v>0</v>
      </c>
      <c r="AY193">
        <f t="shared" si="180"/>
        <v>0</v>
      </c>
      <c r="AZ193">
        <f t="shared" si="180"/>
        <v>0</v>
      </c>
      <c r="BA193">
        <f t="shared" si="180"/>
        <v>0</v>
      </c>
    </row>
    <row r="194" ht="15.75" customHeight="1">
      <c r="A194" s="744">
        <v>2022.0</v>
      </c>
      <c r="V194" s="883">
        <v>0.006245053085993533</v>
      </c>
      <c r="W194">
        <f t="shared" si="159"/>
        <v>0</v>
      </c>
      <c r="X194">
        <f t="shared" ref="X194:BA194" si="181">IF(AND(X$171-$A194&gt;$V$34,SUM($W194:W194)&lt;&gt;$V194),$V194,0)</f>
        <v>0</v>
      </c>
      <c r="Y194">
        <f t="shared" si="181"/>
        <v>0</v>
      </c>
      <c r="Z194">
        <f t="shared" si="181"/>
        <v>0</v>
      </c>
      <c r="AA194">
        <f t="shared" si="181"/>
        <v>0</v>
      </c>
      <c r="AB194">
        <f t="shared" si="181"/>
        <v>0</v>
      </c>
      <c r="AC194">
        <f t="shared" si="181"/>
        <v>0</v>
      </c>
      <c r="AD194">
        <f t="shared" si="181"/>
        <v>0</v>
      </c>
      <c r="AE194">
        <f t="shared" si="181"/>
        <v>0</v>
      </c>
      <c r="AF194">
        <f t="shared" si="181"/>
        <v>0</v>
      </c>
      <c r="AG194">
        <f t="shared" si="181"/>
        <v>0</v>
      </c>
      <c r="AH194">
        <f t="shared" si="181"/>
        <v>0</v>
      </c>
      <c r="AI194">
        <f t="shared" si="181"/>
        <v>0</v>
      </c>
      <c r="AJ194">
        <f t="shared" si="181"/>
        <v>0</v>
      </c>
      <c r="AK194">
        <f t="shared" si="181"/>
        <v>0</v>
      </c>
      <c r="AL194">
        <f t="shared" si="181"/>
        <v>0</v>
      </c>
      <c r="AM194">
        <f t="shared" si="181"/>
        <v>0</v>
      </c>
      <c r="AN194">
        <f t="shared" si="181"/>
        <v>0</v>
      </c>
      <c r="AO194" s="248">
        <f t="shared" si="181"/>
        <v>0.006245053086</v>
      </c>
      <c r="AP194">
        <f t="shared" si="181"/>
        <v>0</v>
      </c>
      <c r="AQ194">
        <f t="shared" si="181"/>
        <v>0</v>
      </c>
      <c r="AR194">
        <f t="shared" si="181"/>
        <v>0</v>
      </c>
      <c r="AS194">
        <f t="shared" si="181"/>
        <v>0</v>
      </c>
      <c r="AT194">
        <f t="shared" si="181"/>
        <v>0</v>
      </c>
      <c r="AU194">
        <f t="shared" si="181"/>
        <v>0</v>
      </c>
      <c r="AV194">
        <f t="shared" si="181"/>
        <v>0</v>
      </c>
      <c r="AW194">
        <f t="shared" si="181"/>
        <v>0</v>
      </c>
      <c r="AX194">
        <f t="shared" si="181"/>
        <v>0</v>
      </c>
      <c r="AY194">
        <f t="shared" si="181"/>
        <v>0</v>
      </c>
      <c r="AZ194">
        <f t="shared" si="181"/>
        <v>0</v>
      </c>
      <c r="BA194">
        <f t="shared" si="181"/>
        <v>0</v>
      </c>
    </row>
    <row r="195" ht="15.75" customHeight="1">
      <c r="A195" s="744">
        <v>2023.0</v>
      </c>
      <c r="V195" s="883">
        <v>0.006245053085993534</v>
      </c>
      <c r="W195">
        <f t="shared" si="159"/>
        <v>0</v>
      </c>
      <c r="X195">
        <f t="shared" ref="X195:BA195" si="182">IF(AND(X$171-$A195&gt;$V$34,SUM($W195:W195)&lt;&gt;$V195),$V195,0)</f>
        <v>0</v>
      </c>
      <c r="Y195">
        <f t="shared" si="182"/>
        <v>0</v>
      </c>
      <c r="Z195">
        <f t="shared" si="182"/>
        <v>0</v>
      </c>
      <c r="AA195">
        <f t="shared" si="182"/>
        <v>0</v>
      </c>
      <c r="AB195">
        <f t="shared" si="182"/>
        <v>0</v>
      </c>
      <c r="AC195">
        <f t="shared" si="182"/>
        <v>0</v>
      </c>
      <c r="AD195">
        <f t="shared" si="182"/>
        <v>0</v>
      </c>
      <c r="AE195">
        <f t="shared" si="182"/>
        <v>0</v>
      </c>
      <c r="AF195">
        <f t="shared" si="182"/>
        <v>0</v>
      </c>
      <c r="AG195">
        <f t="shared" si="182"/>
        <v>0</v>
      </c>
      <c r="AH195">
        <f t="shared" si="182"/>
        <v>0</v>
      </c>
      <c r="AI195">
        <f t="shared" si="182"/>
        <v>0</v>
      </c>
      <c r="AJ195">
        <f t="shared" si="182"/>
        <v>0</v>
      </c>
      <c r="AK195">
        <f t="shared" si="182"/>
        <v>0</v>
      </c>
      <c r="AL195">
        <f t="shared" si="182"/>
        <v>0</v>
      </c>
      <c r="AM195">
        <f t="shared" si="182"/>
        <v>0</v>
      </c>
      <c r="AN195">
        <f t="shared" si="182"/>
        <v>0</v>
      </c>
      <c r="AO195">
        <f t="shared" si="182"/>
        <v>0</v>
      </c>
      <c r="AP195" s="248">
        <f t="shared" si="182"/>
        <v>0.006245053086</v>
      </c>
      <c r="AQ195">
        <f t="shared" si="182"/>
        <v>0</v>
      </c>
      <c r="AR195">
        <f t="shared" si="182"/>
        <v>0</v>
      </c>
      <c r="AS195">
        <f t="shared" si="182"/>
        <v>0</v>
      </c>
      <c r="AT195">
        <f t="shared" si="182"/>
        <v>0</v>
      </c>
      <c r="AU195">
        <f t="shared" si="182"/>
        <v>0</v>
      </c>
      <c r="AV195">
        <f t="shared" si="182"/>
        <v>0</v>
      </c>
      <c r="AW195">
        <f t="shared" si="182"/>
        <v>0</v>
      </c>
      <c r="AX195">
        <f t="shared" si="182"/>
        <v>0</v>
      </c>
      <c r="AY195">
        <f t="shared" si="182"/>
        <v>0</v>
      </c>
      <c r="AZ195">
        <f t="shared" si="182"/>
        <v>0</v>
      </c>
      <c r="BA195">
        <f t="shared" si="182"/>
        <v>0</v>
      </c>
    </row>
    <row r="196" ht="15.75" customHeight="1">
      <c r="A196" s="744">
        <v>2024.0</v>
      </c>
      <c r="V196" s="883">
        <v>0.006245053085993532</v>
      </c>
      <c r="W196">
        <f t="shared" si="159"/>
        <v>0</v>
      </c>
      <c r="X196">
        <f t="shared" ref="X196:BA196" si="183">IF(AND(X$171-$A196&gt;$V$34,SUM($W196:W196)&lt;&gt;$V196),$V196,0)</f>
        <v>0</v>
      </c>
      <c r="Y196">
        <f t="shared" si="183"/>
        <v>0</v>
      </c>
      <c r="Z196">
        <f t="shared" si="183"/>
        <v>0</v>
      </c>
      <c r="AA196">
        <f t="shared" si="183"/>
        <v>0</v>
      </c>
      <c r="AB196">
        <f t="shared" si="183"/>
        <v>0</v>
      </c>
      <c r="AC196">
        <f t="shared" si="183"/>
        <v>0</v>
      </c>
      <c r="AD196">
        <f t="shared" si="183"/>
        <v>0</v>
      </c>
      <c r="AE196">
        <f t="shared" si="183"/>
        <v>0</v>
      </c>
      <c r="AF196">
        <f t="shared" si="183"/>
        <v>0</v>
      </c>
      <c r="AG196">
        <f t="shared" si="183"/>
        <v>0</v>
      </c>
      <c r="AH196">
        <f t="shared" si="183"/>
        <v>0</v>
      </c>
      <c r="AI196">
        <f t="shared" si="183"/>
        <v>0</v>
      </c>
      <c r="AJ196">
        <f t="shared" si="183"/>
        <v>0</v>
      </c>
      <c r="AK196">
        <f t="shared" si="183"/>
        <v>0</v>
      </c>
      <c r="AL196">
        <f t="shared" si="183"/>
        <v>0</v>
      </c>
      <c r="AM196">
        <f t="shared" si="183"/>
        <v>0</v>
      </c>
      <c r="AN196">
        <f t="shared" si="183"/>
        <v>0</v>
      </c>
      <c r="AO196">
        <f t="shared" si="183"/>
        <v>0</v>
      </c>
      <c r="AP196">
        <f t="shared" si="183"/>
        <v>0</v>
      </c>
      <c r="AQ196" s="248">
        <f t="shared" si="183"/>
        <v>0.006245053086</v>
      </c>
      <c r="AR196">
        <f t="shared" si="183"/>
        <v>0</v>
      </c>
      <c r="AS196">
        <f t="shared" si="183"/>
        <v>0</v>
      </c>
      <c r="AT196">
        <f t="shared" si="183"/>
        <v>0</v>
      </c>
      <c r="AU196">
        <f t="shared" si="183"/>
        <v>0</v>
      </c>
      <c r="AV196">
        <f t="shared" si="183"/>
        <v>0</v>
      </c>
      <c r="AW196">
        <f t="shared" si="183"/>
        <v>0</v>
      </c>
      <c r="AX196">
        <f t="shared" si="183"/>
        <v>0</v>
      </c>
      <c r="AY196">
        <f t="shared" si="183"/>
        <v>0</v>
      </c>
      <c r="AZ196">
        <f t="shared" si="183"/>
        <v>0</v>
      </c>
      <c r="BA196">
        <f t="shared" si="183"/>
        <v>0</v>
      </c>
    </row>
    <row r="197" ht="15.75" customHeight="1">
      <c r="A197" s="744">
        <v>2025.0</v>
      </c>
      <c r="V197" s="883">
        <v>0.006245053085993536</v>
      </c>
      <c r="W197">
        <f t="shared" si="159"/>
        <v>0</v>
      </c>
      <c r="X197">
        <f t="shared" ref="X197:BA197" si="184">IF(AND(X$171-$A197&gt;$V$34,SUM($W197:W197)&lt;&gt;$V197),$V197,0)</f>
        <v>0</v>
      </c>
      <c r="Y197">
        <f t="shared" si="184"/>
        <v>0</v>
      </c>
      <c r="Z197">
        <f t="shared" si="184"/>
        <v>0</v>
      </c>
      <c r="AA197">
        <f t="shared" si="184"/>
        <v>0</v>
      </c>
      <c r="AB197">
        <f t="shared" si="184"/>
        <v>0</v>
      </c>
      <c r="AC197">
        <f t="shared" si="184"/>
        <v>0</v>
      </c>
      <c r="AD197">
        <f t="shared" si="184"/>
        <v>0</v>
      </c>
      <c r="AE197">
        <f t="shared" si="184"/>
        <v>0</v>
      </c>
      <c r="AF197">
        <f t="shared" si="184"/>
        <v>0</v>
      </c>
      <c r="AG197">
        <f t="shared" si="184"/>
        <v>0</v>
      </c>
      <c r="AH197">
        <f t="shared" si="184"/>
        <v>0</v>
      </c>
      <c r="AI197">
        <f t="shared" si="184"/>
        <v>0</v>
      </c>
      <c r="AJ197">
        <f t="shared" si="184"/>
        <v>0</v>
      </c>
      <c r="AK197">
        <f t="shared" si="184"/>
        <v>0</v>
      </c>
      <c r="AL197">
        <f t="shared" si="184"/>
        <v>0</v>
      </c>
      <c r="AM197">
        <f t="shared" si="184"/>
        <v>0</v>
      </c>
      <c r="AN197">
        <f t="shared" si="184"/>
        <v>0</v>
      </c>
      <c r="AO197">
        <f t="shared" si="184"/>
        <v>0</v>
      </c>
      <c r="AP197">
        <f t="shared" si="184"/>
        <v>0</v>
      </c>
      <c r="AQ197">
        <f t="shared" si="184"/>
        <v>0</v>
      </c>
      <c r="AR197" s="248">
        <f t="shared" si="184"/>
        <v>0.006245053086</v>
      </c>
      <c r="AS197">
        <f t="shared" si="184"/>
        <v>0</v>
      </c>
      <c r="AT197">
        <f t="shared" si="184"/>
        <v>0</v>
      </c>
      <c r="AU197">
        <f t="shared" si="184"/>
        <v>0</v>
      </c>
      <c r="AV197">
        <f t="shared" si="184"/>
        <v>0</v>
      </c>
      <c r="AW197">
        <f t="shared" si="184"/>
        <v>0</v>
      </c>
      <c r="AX197">
        <f t="shared" si="184"/>
        <v>0</v>
      </c>
      <c r="AY197">
        <f t="shared" si="184"/>
        <v>0</v>
      </c>
      <c r="AZ197">
        <f t="shared" si="184"/>
        <v>0</v>
      </c>
      <c r="BA197">
        <f t="shared" si="184"/>
        <v>0</v>
      </c>
    </row>
    <row r="198" ht="15.75" customHeight="1">
      <c r="A198" s="744">
        <v>2026.0</v>
      </c>
      <c r="V198" s="883">
        <v>0.006245053085993532</v>
      </c>
      <c r="W198">
        <f t="shared" si="159"/>
        <v>0</v>
      </c>
      <c r="X198">
        <f t="shared" ref="X198:BA198" si="185">IF(AND(X$171-$A198&gt;$V$34,SUM($W198:W198)&lt;&gt;$V198),$V198,0)</f>
        <v>0</v>
      </c>
      <c r="Y198">
        <f t="shared" si="185"/>
        <v>0</v>
      </c>
      <c r="Z198">
        <f t="shared" si="185"/>
        <v>0</v>
      </c>
      <c r="AA198">
        <f t="shared" si="185"/>
        <v>0</v>
      </c>
      <c r="AB198">
        <f t="shared" si="185"/>
        <v>0</v>
      </c>
      <c r="AC198">
        <f t="shared" si="185"/>
        <v>0</v>
      </c>
      <c r="AD198">
        <f t="shared" si="185"/>
        <v>0</v>
      </c>
      <c r="AE198">
        <f t="shared" si="185"/>
        <v>0</v>
      </c>
      <c r="AF198">
        <f t="shared" si="185"/>
        <v>0</v>
      </c>
      <c r="AG198">
        <f t="shared" si="185"/>
        <v>0</v>
      </c>
      <c r="AH198">
        <f t="shared" si="185"/>
        <v>0</v>
      </c>
      <c r="AI198">
        <f t="shared" si="185"/>
        <v>0</v>
      </c>
      <c r="AJ198">
        <f t="shared" si="185"/>
        <v>0</v>
      </c>
      <c r="AK198">
        <f t="shared" si="185"/>
        <v>0</v>
      </c>
      <c r="AL198">
        <f t="shared" si="185"/>
        <v>0</v>
      </c>
      <c r="AM198">
        <f t="shared" si="185"/>
        <v>0</v>
      </c>
      <c r="AN198">
        <f t="shared" si="185"/>
        <v>0</v>
      </c>
      <c r="AO198">
        <f t="shared" si="185"/>
        <v>0</v>
      </c>
      <c r="AP198">
        <f t="shared" si="185"/>
        <v>0</v>
      </c>
      <c r="AQ198">
        <f t="shared" si="185"/>
        <v>0</v>
      </c>
      <c r="AR198">
        <f t="shared" si="185"/>
        <v>0</v>
      </c>
      <c r="AS198" s="248">
        <f t="shared" si="185"/>
        <v>0.006245053086</v>
      </c>
      <c r="AT198">
        <f t="shared" si="185"/>
        <v>0</v>
      </c>
      <c r="AU198">
        <f t="shared" si="185"/>
        <v>0</v>
      </c>
      <c r="AV198">
        <f t="shared" si="185"/>
        <v>0</v>
      </c>
      <c r="AW198">
        <f t="shared" si="185"/>
        <v>0</v>
      </c>
      <c r="AX198">
        <f t="shared" si="185"/>
        <v>0</v>
      </c>
      <c r="AY198">
        <f t="shared" si="185"/>
        <v>0</v>
      </c>
      <c r="AZ198">
        <f t="shared" si="185"/>
        <v>0</v>
      </c>
      <c r="BA198">
        <f t="shared" si="185"/>
        <v>0</v>
      </c>
    </row>
    <row r="199" ht="15.75" customHeight="1">
      <c r="A199" s="744">
        <v>2027.0</v>
      </c>
      <c r="V199" s="883">
        <v>0.006245053085993532</v>
      </c>
      <c r="W199">
        <f t="shared" si="159"/>
        <v>0</v>
      </c>
      <c r="X199">
        <f t="shared" ref="X199:BA199" si="186">IF(AND(X$171-$A199&gt;$V$34,SUM($W199:W199)&lt;&gt;$V199),$V199,0)</f>
        <v>0</v>
      </c>
      <c r="Y199">
        <f t="shared" si="186"/>
        <v>0</v>
      </c>
      <c r="Z199">
        <f t="shared" si="186"/>
        <v>0</v>
      </c>
      <c r="AA199">
        <f t="shared" si="186"/>
        <v>0</v>
      </c>
      <c r="AB199">
        <f t="shared" si="186"/>
        <v>0</v>
      </c>
      <c r="AC199">
        <f t="shared" si="186"/>
        <v>0</v>
      </c>
      <c r="AD199">
        <f t="shared" si="186"/>
        <v>0</v>
      </c>
      <c r="AE199">
        <f t="shared" si="186"/>
        <v>0</v>
      </c>
      <c r="AF199">
        <f t="shared" si="186"/>
        <v>0</v>
      </c>
      <c r="AG199">
        <f t="shared" si="186"/>
        <v>0</v>
      </c>
      <c r="AH199">
        <f t="shared" si="186"/>
        <v>0</v>
      </c>
      <c r="AI199">
        <f t="shared" si="186"/>
        <v>0</v>
      </c>
      <c r="AJ199">
        <f t="shared" si="186"/>
        <v>0</v>
      </c>
      <c r="AK199">
        <f t="shared" si="186"/>
        <v>0</v>
      </c>
      <c r="AL199">
        <f t="shared" si="186"/>
        <v>0</v>
      </c>
      <c r="AM199">
        <f t="shared" si="186"/>
        <v>0</v>
      </c>
      <c r="AN199">
        <f t="shared" si="186"/>
        <v>0</v>
      </c>
      <c r="AO199">
        <f t="shared" si="186"/>
        <v>0</v>
      </c>
      <c r="AP199">
        <f t="shared" si="186"/>
        <v>0</v>
      </c>
      <c r="AQ199">
        <f t="shared" si="186"/>
        <v>0</v>
      </c>
      <c r="AR199">
        <f t="shared" si="186"/>
        <v>0</v>
      </c>
      <c r="AS199">
        <f t="shared" si="186"/>
        <v>0</v>
      </c>
      <c r="AT199" s="248">
        <f t="shared" si="186"/>
        <v>0.006245053086</v>
      </c>
      <c r="AU199">
        <f t="shared" si="186"/>
        <v>0</v>
      </c>
      <c r="AV199">
        <f t="shared" si="186"/>
        <v>0</v>
      </c>
      <c r="AW199">
        <f t="shared" si="186"/>
        <v>0</v>
      </c>
      <c r="AX199">
        <f t="shared" si="186"/>
        <v>0</v>
      </c>
      <c r="AY199">
        <f t="shared" si="186"/>
        <v>0</v>
      </c>
      <c r="AZ199">
        <f t="shared" si="186"/>
        <v>0</v>
      </c>
      <c r="BA199">
        <f t="shared" si="186"/>
        <v>0</v>
      </c>
    </row>
    <row r="200" ht="15.75" customHeight="1">
      <c r="A200" s="744">
        <v>2028.0</v>
      </c>
      <c r="V200" s="883">
        <v>0.006245053085993532</v>
      </c>
      <c r="W200">
        <f t="shared" si="159"/>
        <v>0</v>
      </c>
      <c r="X200">
        <f t="shared" ref="X200:BA200" si="187">IF(AND(X$171-$A200&gt;$V$34,SUM($W200:W200)&lt;&gt;$V200),$V200,0)</f>
        <v>0</v>
      </c>
      <c r="Y200">
        <f t="shared" si="187"/>
        <v>0</v>
      </c>
      <c r="Z200">
        <f t="shared" si="187"/>
        <v>0</v>
      </c>
      <c r="AA200">
        <f t="shared" si="187"/>
        <v>0</v>
      </c>
      <c r="AB200">
        <f t="shared" si="187"/>
        <v>0</v>
      </c>
      <c r="AC200">
        <f t="shared" si="187"/>
        <v>0</v>
      </c>
      <c r="AD200">
        <f t="shared" si="187"/>
        <v>0</v>
      </c>
      <c r="AE200">
        <f t="shared" si="187"/>
        <v>0</v>
      </c>
      <c r="AF200">
        <f t="shared" si="187"/>
        <v>0</v>
      </c>
      <c r="AG200">
        <f t="shared" si="187"/>
        <v>0</v>
      </c>
      <c r="AH200">
        <f t="shared" si="187"/>
        <v>0</v>
      </c>
      <c r="AI200">
        <f t="shared" si="187"/>
        <v>0</v>
      </c>
      <c r="AJ200">
        <f t="shared" si="187"/>
        <v>0</v>
      </c>
      <c r="AK200">
        <f t="shared" si="187"/>
        <v>0</v>
      </c>
      <c r="AL200">
        <f t="shared" si="187"/>
        <v>0</v>
      </c>
      <c r="AM200">
        <f t="shared" si="187"/>
        <v>0</v>
      </c>
      <c r="AN200">
        <f t="shared" si="187"/>
        <v>0</v>
      </c>
      <c r="AO200">
        <f t="shared" si="187"/>
        <v>0</v>
      </c>
      <c r="AP200">
        <f t="shared" si="187"/>
        <v>0</v>
      </c>
      <c r="AQ200">
        <f t="shared" si="187"/>
        <v>0</v>
      </c>
      <c r="AR200">
        <f t="shared" si="187"/>
        <v>0</v>
      </c>
      <c r="AS200">
        <f t="shared" si="187"/>
        <v>0</v>
      </c>
      <c r="AT200">
        <f t="shared" si="187"/>
        <v>0</v>
      </c>
      <c r="AU200" s="248">
        <f t="shared" si="187"/>
        <v>0.006245053086</v>
      </c>
      <c r="AV200">
        <f t="shared" si="187"/>
        <v>0</v>
      </c>
      <c r="AW200">
        <f t="shared" si="187"/>
        <v>0</v>
      </c>
      <c r="AX200">
        <f t="shared" si="187"/>
        <v>0</v>
      </c>
      <c r="AY200">
        <f t="shared" si="187"/>
        <v>0</v>
      </c>
      <c r="AZ200">
        <f t="shared" si="187"/>
        <v>0</v>
      </c>
      <c r="BA200">
        <f t="shared" si="187"/>
        <v>0</v>
      </c>
    </row>
    <row r="201" ht="15.75" customHeight="1">
      <c r="A201" s="744">
        <v>2029.0</v>
      </c>
      <c r="V201" s="883">
        <v>0.006245053085993532</v>
      </c>
      <c r="W201">
        <f t="shared" si="159"/>
        <v>0</v>
      </c>
      <c r="X201">
        <f t="shared" ref="X201:BA201" si="188">IF(AND(X$171-$A201&gt;$V$34,SUM($W201:W201)&lt;&gt;$V201),$V201,0)</f>
        <v>0</v>
      </c>
      <c r="Y201">
        <f t="shared" si="188"/>
        <v>0</v>
      </c>
      <c r="Z201">
        <f t="shared" si="188"/>
        <v>0</v>
      </c>
      <c r="AA201">
        <f t="shared" si="188"/>
        <v>0</v>
      </c>
      <c r="AB201">
        <f t="shared" si="188"/>
        <v>0</v>
      </c>
      <c r="AC201">
        <f t="shared" si="188"/>
        <v>0</v>
      </c>
      <c r="AD201">
        <f t="shared" si="188"/>
        <v>0</v>
      </c>
      <c r="AE201">
        <f t="shared" si="188"/>
        <v>0</v>
      </c>
      <c r="AF201">
        <f t="shared" si="188"/>
        <v>0</v>
      </c>
      <c r="AG201">
        <f t="shared" si="188"/>
        <v>0</v>
      </c>
      <c r="AH201">
        <f t="shared" si="188"/>
        <v>0</v>
      </c>
      <c r="AI201">
        <f t="shared" si="188"/>
        <v>0</v>
      </c>
      <c r="AJ201">
        <f t="shared" si="188"/>
        <v>0</v>
      </c>
      <c r="AK201">
        <f t="shared" si="188"/>
        <v>0</v>
      </c>
      <c r="AL201">
        <f t="shared" si="188"/>
        <v>0</v>
      </c>
      <c r="AM201">
        <f t="shared" si="188"/>
        <v>0</v>
      </c>
      <c r="AN201">
        <f t="shared" si="188"/>
        <v>0</v>
      </c>
      <c r="AO201">
        <f t="shared" si="188"/>
        <v>0</v>
      </c>
      <c r="AP201">
        <f t="shared" si="188"/>
        <v>0</v>
      </c>
      <c r="AQ201">
        <f t="shared" si="188"/>
        <v>0</v>
      </c>
      <c r="AR201">
        <f t="shared" si="188"/>
        <v>0</v>
      </c>
      <c r="AS201">
        <f t="shared" si="188"/>
        <v>0</v>
      </c>
      <c r="AT201">
        <f t="shared" si="188"/>
        <v>0</v>
      </c>
      <c r="AU201">
        <f t="shared" si="188"/>
        <v>0</v>
      </c>
      <c r="AV201" s="248">
        <f t="shared" si="188"/>
        <v>0.006245053086</v>
      </c>
      <c r="AW201">
        <f t="shared" si="188"/>
        <v>0</v>
      </c>
      <c r="AX201">
        <f t="shared" si="188"/>
        <v>0</v>
      </c>
      <c r="AY201">
        <f t="shared" si="188"/>
        <v>0</v>
      </c>
      <c r="AZ201">
        <f t="shared" si="188"/>
        <v>0</v>
      </c>
      <c r="BA201">
        <f t="shared" si="188"/>
        <v>0</v>
      </c>
    </row>
    <row r="202" ht="15.75" customHeight="1">
      <c r="A202" s="744">
        <v>2030.0</v>
      </c>
      <c r="V202" s="883">
        <v>0.006245053085993532</v>
      </c>
      <c r="W202">
        <f t="shared" si="159"/>
        <v>0</v>
      </c>
      <c r="X202">
        <f t="shared" ref="X202:BA202" si="189">IF(AND(X$171-$A202&gt;$V$34,SUM($W202:W202)&lt;&gt;$V202),$V202,0)</f>
        <v>0</v>
      </c>
      <c r="Y202">
        <f t="shared" si="189"/>
        <v>0</v>
      </c>
      <c r="Z202">
        <f t="shared" si="189"/>
        <v>0</v>
      </c>
      <c r="AA202">
        <f t="shared" si="189"/>
        <v>0</v>
      </c>
      <c r="AB202">
        <f t="shared" si="189"/>
        <v>0</v>
      </c>
      <c r="AC202">
        <f t="shared" si="189"/>
        <v>0</v>
      </c>
      <c r="AD202">
        <f t="shared" si="189"/>
        <v>0</v>
      </c>
      <c r="AE202">
        <f t="shared" si="189"/>
        <v>0</v>
      </c>
      <c r="AF202">
        <f t="shared" si="189"/>
        <v>0</v>
      </c>
      <c r="AG202">
        <f t="shared" si="189"/>
        <v>0</v>
      </c>
      <c r="AH202">
        <f t="shared" si="189"/>
        <v>0</v>
      </c>
      <c r="AI202">
        <f t="shared" si="189"/>
        <v>0</v>
      </c>
      <c r="AJ202">
        <f t="shared" si="189"/>
        <v>0</v>
      </c>
      <c r="AK202">
        <f t="shared" si="189"/>
        <v>0</v>
      </c>
      <c r="AL202">
        <f t="shared" si="189"/>
        <v>0</v>
      </c>
      <c r="AM202">
        <f t="shared" si="189"/>
        <v>0</v>
      </c>
      <c r="AN202">
        <f t="shared" si="189"/>
        <v>0</v>
      </c>
      <c r="AO202">
        <f t="shared" si="189"/>
        <v>0</v>
      </c>
      <c r="AP202">
        <f t="shared" si="189"/>
        <v>0</v>
      </c>
      <c r="AQ202">
        <f t="shared" si="189"/>
        <v>0</v>
      </c>
      <c r="AR202">
        <f t="shared" si="189"/>
        <v>0</v>
      </c>
      <c r="AS202">
        <f t="shared" si="189"/>
        <v>0</v>
      </c>
      <c r="AT202">
        <f t="shared" si="189"/>
        <v>0</v>
      </c>
      <c r="AU202">
        <f t="shared" si="189"/>
        <v>0</v>
      </c>
      <c r="AV202">
        <f t="shared" si="189"/>
        <v>0</v>
      </c>
      <c r="AW202" s="248">
        <f t="shared" si="189"/>
        <v>0.006245053086</v>
      </c>
      <c r="AX202">
        <f t="shared" si="189"/>
        <v>0</v>
      </c>
      <c r="AY202">
        <f t="shared" si="189"/>
        <v>0</v>
      </c>
      <c r="AZ202">
        <f t="shared" si="189"/>
        <v>0</v>
      </c>
      <c r="BA202">
        <f t="shared" si="189"/>
        <v>0</v>
      </c>
    </row>
    <row r="203" ht="15.75" customHeight="1">
      <c r="A203" s="744">
        <v>2031.0</v>
      </c>
      <c r="V203" s="883">
        <v>0.006245053085993539</v>
      </c>
      <c r="W203">
        <f t="shared" si="159"/>
        <v>0</v>
      </c>
      <c r="X203">
        <f t="shared" ref="X203:BA203" si="190">IF(AND(X$171-$A203&gt;$V$34,SUM($W203:W203)&lt;&gt;$V203),$V203,0)</f>
        <v>0</v>
      </c>
      <c r="Y203">
        <f t="shared" si="190"/>
        <v>0</v>
      </c>
      <c r="Z203">
        <f t="shared" si="190"/>
        <v>0</v>
      </c>
      <c r="AA203">
        <f t="shared" si="190"/>
        <v>0</v>
      </c>
      <c r="AB203">
        <f t="shared" si="190"/>
        <v>0</v>
      </c>
      <c r="AC203">
        <f t="shared" si="190"/>
        <v>0</v>
      </c>
      <c r="AD203">
        <f t="shared" si="190"/>
        <v>0</v>
      </c>
      <c r="AE203">
        <f t="shared" si="190"/>
        <v>0</v>
      </c>
      <c r="AF203">
        <f t="shared" si="190"/>
        <v>0</v>
      </c>
      <c r="AG203">
        <f t="shared" si="190"/>
        <v>0</v>
      </c>
      <c r="AH203">
        <f t="shared" si="190"/>
        <v>0</v>
      </c>
      <c r="AI203">
        <f t="shared" si="190"/>
        <v>0</v>
      </c>
      <c r="AJ203">
        <f t="shared" si="190"/>
        <v>0</v>
      </c>
      <c r="AK203">
        <f t="shared" si="190"/>
        <v>0</v>
      </c>
      <c r="AL203">
        <f t="shared" si="190"/>
        <v>0</v>
      </c>
      <c r="AM203">
        <f t="shared" si="190"/>
        <v>0</v>
      </c>
      <c r="AN203">
        <f t="shared" si="190"/>
        <v>0</v>
      </c>
      <c r="AO203">
        <f t="shared" si="190"/>
        <v>0</v>
      </c>
      <c r="AP203">
        <f t="shared" si="190"/>
        <v>0</v>
      </c>
      <c r="AQ203">
        <f t="shared" si="190"/>
        <v>0</v>
      </c>
      <c r="AR203">
        <f t="shared" si="190"/>
        <v>0</v>
      </c>
      <c r="AS203">
        <f t="shared" si="190"/>
        <v>0</v>
      </c>
      <c r="AT203">
        <f t="shared" si="190"/>
        <v>0</v>
      </c>
      <c r="AU203">
        <f t="shared" si="190"/>
        <v>0</v>
      </c>
      <c r="AV203">
        <f t="shared" si="190"/>
        <v>0</v>
      </c>
      <c r="AW203">
        <f t="shared" si="190"/>
        <v>0</v>
      </c>
      <c r="AX203" s="248">
        <f t="shared" si="190"/>
        <v>0.006245053086</v>
      </c>
      <c r="AY203">
        <f t="shared" si="190"/>
        <v>0</v>
      </c>
      <c r="AZ203">
        <f t="shared" si="190"/>
        <v>0</v>
      </c>
      <c r="BA203">
        <f t="shared" si="190"/>
        <v>0</v>
      </c>
    </row>
    <row r="204" ht="15.75" customHeight="1">
      <c r="A204" s="744">
        <v>2032.0</v>
      </c>
      <c r="V204" s="883">
        <v>0.006245053085993532</v>
      </c>
      <c r="W204">
        <f t="shared" si="159"/>
        <v>0</v>
      </c>
      <c r="X204">
        <f t="shared" ref="X204:BA204" si="191">IF(AND(X$171-$A204&gt;$V$34,SUM($W204:W204)&lt;&gt;$V204),$V204,0)</f>
        <v>0</v>
      </c>
      <c r="Y204">
        <f t="shared" si="191"/>
        <v>0</v>
      </c>
      <c r="Z204">
        <f t="shared" si="191"/>
        <v>0</v>
      </c>
      <c r="AA204">
        <f t="shared" si="191"/>
        <v>0</v>
      </c>
      <c r="AB204">
        <f t="shared" si="191"/>
        <v>0</v>
      </c>
      <c r="AC204">
        <f t="shared" si="191"/>
        <v>0</v>
      </c>
      <c r="AD204">
        <f t="shared" si="191"/>
        <v>0</v>
      </c>
      <c r="AE204">
        <f t="shared" si="191"/>
        <v>0</v>
      </c>
      <c r="AF204">
        <f t="shared" si="191"/>
        <v>0</v>
      </c>
      <c r="AG204">
        <f t="shared" si="191"/>
        <v>0</v>
      </c>
      <c r="AH204">
        <f t="shared" si="191"/>
        <v>0</v>
      </c>
      <c r="AI204">
        <f t="shared" si="191"/>
        <v>0</v>
      </c>
      <c r="AJ204">
        <f t="shared" si="191"/>
        <v>0</v>
      </c>
      <c r="AK204">
        <f t="shared" si="191"/>
        <v>0</v>
      </c>
      <c r="AL204">
        <f t="shared" si="191"/>
        <v>0</v>
      </c>
      <c r="AM204">
        <f t="shared" si="191"/>
        <v>0</v>
      </c>
      <c r="AN204">
        <f t="shared" si="191"/>
        <v>0</v>
      </c>
      <c r="AO204">
        <f t="shared" si="191"/>
        <v>0</v>
      </c>
      <c r="AP204">
        <f t="shared" si="191"/>
        <v>0</v>
      </c>
      <c r="AQ204">
        <f t="shared" si="191"/>
        <v>0</v>
      </c>
      <c r="AR204">
        <f t="shared" si="191"/>
        <v>0</v>
      </c>
      <c r="AS204">
        <f t="shared" si="191"/>
        <v>0</v>
      </c>
      <c r="AT204">
        <f t="shared" si="191"/>
        <v>0</v>
      </c>
      <c r="AU204">
        <f t="shared" si="191"/>
        <v>0</v>
      </c>
      <c r="AV204">
        <f t="shared" si="191"/>
        <v>0</v>
      </c>
      <c r="AW204">
        <f t="shared" si="191"/>
        <v>0</v>
      </c>
      <c r="AX204">
        <f t="shared" si="191"/>
        <v>0</v>
      </c>
      <c r="AY204" s="248">
        <f t="shared" si="191"/>
        <v>0.006245053086</v>
      </c>
      <c r="AZ204">
        <f t="shared" si="191"/>
        <v>0</v>
      </c>
      <c r="BA204">
        <f t="shared" si="191"/>
        <v>0</v>
      </c>
    </row>
    <row r="205" ht="15.75" customHeight="1">
      <c r="A205" s="744">
        <v>2033.0</v>
      </c>
      <c r="V205" s="883">
        <v>0.006245053085993532</v>
      </c>
      <c r="W205">
        <f t="shared" si="159"/>
        <v>0</v>
      </c>
      <c r="X205">
        <f t="shared" ref="X205:BA205" si="192">IF(AND(X$171-$A205&gt;$V$34,SUM($W205:W205)&lt;&gt;$V205),$V205,0)</f>
        <v>0</v>
      </c>
      <c r="Y205">
        <f t="shared" si="192"/>
        <v>0</v>
      </c>
      <c r="Z205">
        <f t="shared" si="192"/>
        <v>0</v>
      </c>
      <c r="AA205">
        <f t="shared" si="192"/>
        <v>0</v>
      </c>
      <c r="AB205">
        <f t="shared" si="192"/>
        <v>0</v>
      </c>
      <c r="AC205">
        <f t="shared" si="192"/>
        <v>0</v>
      </c>
      <c r="AD205">
        <f t="shared" si="192"/>
        <v>0</v>
      </c>
      <c r="AE205">
        <f t="shared" si="192"/>
        <v>0</v>
      </c>
      <c r="AF205">
        <f t="shared" si="192"/>
        <v>0</v>
      </c>
      <c r="AG205">
        <f t="shared" si="192"/>
        <v>0</v>
      </c>
      <c r="AH205">
        <f t="shared" si="192"/>
        <v>0</v>
      </c>
      <c r="AI205">
        <f t="shared" si="192"/>
        <v>0</v>
      </c>
      <c r="AJ205">
        <f t="shared" si="192"/>
        <v>0</v>
      </c>
      <c r="AK205">
        <f t="shared" si="192"/>
        <v>0</v>
      </c>
      <c r="AL205">
        <f t="shared" si="192"/>
        <v>0</v>
      </c>
      <c r="AM205">
        <f t="shared" si="192"/>
        <v>0</v>
      </c>
      <c r="AN205">
        <f t="shared" si="192"/>
        <v>0</v>
      </c>
      <c r="AO205">
        <f t="shared" si="192"/>
        <v>0</v>
      </c>
      <c r="AP205">
        <f t="shared" si="192"/>
        <v>0</v>
      </c>
      <c r="AQ205">
        <f t="shared" si="192"/>
        <v>0</v>
      </c>
      <c r="AR205">
        <f t="shared" si="192"/>
        <v>0</v>
      </c>
      <c r="AS205">
        <f t="shared" si="192"/>
        <v>0</v>
      </c>
      <c r="AT205">
        <f t="shared" si="192"/>
        <v>0</v>
      </c>
      <c r="AU205">
        <f t="shared" si="192"/>
        <v>0</v>
      </c>
      <c r="AV205">
        <f t="shared" si="192"/>
        <v>0</v>
      </c>
      <c r="AW205">
        <f t="shared" si="192"/>
        <v>0</v>
      </c>
      <c r="AX205">
        <f t="shared" si="192"/>
        <v>0</v>
      </c>
      <c r="AY205">
        <f t="shared" si="192"/>
        <v>0</v>
      </c>
      <c r="AZ205" s="248">
        <f t="shared" si="192"/>
        <v>0.006245053086</v>
      </c>
      <c r="BA205">
        <f t="shared" si="192"/>
        <v>0</v>
      </c>
    </row>
    <row r="206" ht="15.75" customHeight="1">
      <c r="A206" s="744">
        <v>2034.0</v>
      </c>
      <c r="V206" s="883">
        <v>0.006245053085993532</v>
      </c>
      <c r="W206">
        <f t="shared" si="159"/>
        <v>0</v>
      </c>
      <c r="X206">
        <f t="shared" ref="X206:BA206" si="193">IF(AND(X$171-$A206&gt;$V$34,SUM($W206:W206)&lt;&gt;$V206),$V206,0)</f>
        <v>0</v>
      </c>
      <c r="Y206">
        <f t="shared" si="193"/>
        <v>0</v>
      </c>
      <c r="Z206">
        <f t="shared" si="193"/>
        <v>0</v>
      </c>
      <c r="AA206">
        <f t="shared" si="193"/>
        <v>0</v>
      </c>
      <c r="AB206">
        <f t="shared" si="193"/>
        <v>0</v>
      </c>
      <c r="AC206">
        <f t="shared" si="193"/>
        <v>0</v>
      </c>
      <c r="AD206">
        <f t="shared" si="193"/>
        <v>0</v>
      </c>
      <c r="AE206">
        <f t="shared" si="193"/>
        <v>0</v>
      </c>
      <c r="AF206">
        <f t="shared" si="193"/>
        <v>0</v>
      </c>
      <c r="AG206">
        <f t="shared" si="193"/>
        <v>0</v>
      </c>
      <c r="AH206">
        <f t="shared" si="193"/>
        <v>0</v>
      </c>
      <c r="AI206">
        <f t="shared" si="193"/>
        <v>0</v>
      </c>
      <c r="AJ206">
        <f t="shared" si="193"/>
        <v>0</v>
      </c>
      <c r="AK206">
        <f t="shared" si="193"/>
        <v>0</v>
      </c>
      <c r="AL206">
        <f t="shared" si="193"/>
        <v>0</v>
      </c>
      <c r="AM206">
        <f t="shared" si="193"/>
        <v>0</v>
      </c>
      <c r="AN206">
        <f t="shared" si="193"/>
        <v>0</v>
      </c>
      <c r="AO206">
        <f t="shared" si="193"/>
        <v>0</v>
      </c>
      <c r="AP206">
        <f t="shared" si="193"/>
        <v>0</v>
      </c>
      <c r="AQ206">
        <f t="shared" si="193"/>
        <v>0</v>
      </c>
      <c r="AR206">
        <f t="shared" si="193"/>
        <v>0</v>
      </c>
      <c r="AS206">
        <f t="shared" si="193"/>
        <v>0</v>
      </c>
      <c r="AT206">
        <f t="shared" si="193"/>
        <v>0</v>
      </c>
      <c r="AU206">
        <f t="shared" si="193"/>
        <v>0</v>
      </c>
      <c r="AV206">
        <f t="shared" si="193"/>
        <v>0</v>
      </c>
      <c r="AW206">
        <f t="shared" si="193"/>
        <v>0</v>
      </c>
      <c r="AX206">
        <f t="shared" si="193"/>
        <v>0</v>
      </c>
      <c r="AY206">
        <f t="shared" si="193"/>
        <v>0</v>
      </c>
      <c r="AZ206">
        <f t="shared" si="193"/>
        <v>0</v>
      </c>
      <c r="BA206" s="248">
        <f t="shared" si="193"/>
        <v>0.006245053086</v>
      </c>
    </row>
    <row r="207" ht="15.75" customHeight="1">
      <c r="A207" s="744">
        <v>2035.0</v>
      </c>
      <c r="V207" s="883">
        <v>0.006245053085993532</v>
      </c>
      <c r="W207">
        <f t="shared" si="159"/>
        <v>0</v>
      </c>
      <c r="X207">
        <f t="shared" ref="X207:BA207" si="194">IF(AND(X$171-$A207&gt;$V$34,SUM($W207:W207)&lt;&gt;$V207),$V207,0)</f>
        <v>0</v>
      </c>
      <c r="Y207">
        <f t="shared" si="194"/>
        <v>0</v>
      </c>
      <c r="Z207">
        <f t="shared" si="194"/>
        <v>0</v>
      </c>
      <c r="AA207">
        <f t="shared" si="194"/>
        <v>0</v>
      </c>
      <c r="AB207">
        <f t="shared" si="194"/>
        <v>0</v>
      </c>
      <c r="AC207">
        <f t="shared" si="194"/>
        <v>0</v>
      </c>
      <c r="AD207">
        <f t="shared" si="194"/>
        <v>0</v>
      </c>
      <c r="AE207">
        <f t="shared" si="194"/>
        <v>0</v>
      </c>
      <c r="AF207">
        <f t="shared" si="194"/>
        <v>0</v>
      </c>
      <c r="AG207">
        <f t="shared" si="194"/>
        <v>0</v>
      </c>
      <c r="AH207">
        <f t="shared" si="194"/>
        <v>0</v>
      </c>
      <c r="AI207">
        <f t="shared" si="194"/>
        <v>0</v>
      </c>
      <c r="AJ207">
        <f t="shared" si="194"/>
        <v>0</v>
      </c>
      <c r="AK207">
        <f t="shared" si="194"/>
        <v>0</v>
      </c>
      <c r="AL207">
        <f t="shared" si="194"/>
        <v>0</v>
      </c>
      <c r="AM207">
        <f t="shared" si="194"/>
        <v>0</v>
      </c>
      <c r="AN207">
        <f t="shared" si="194"/>
        <v>0</v>
      </c>
      <c r="AO207">
        <f t="shared" si="194"/>
        <v>0</v>
      </c>
      <c r="AP207">
        <f t="shared" si="194"/>
        <v>0</v>
      </c>
      <c r="AQ207">
        <f t="shared" si="194"/>
        <v>0</v>
      </c>
      <c r="AR207">
        <f t="shared" si="194"/>
        <v>0</v>
      </c>
      <c r="AS207">
        <f t="shared" si="194"/>
        <v>0</v>
      </c>
      <c r="AT207">
        <f t="shared" si="194"/>
        <v>0</v>
      </c>
      <c r="AU207">
        <f t="shared" si="194"/>
        <v>0</v>
      </c>
      <c r="AV207">
        <f t="shared" si="194"/>
        <v>0</v>
      </c>
      <c r="AW207">
        <f t="shared" si="194"/>
        <v>0</v>
      </c>
      <c r="AX207">
        <f t="shared" si="194"/>
        <v>0</v>
      </c>
      <c r="AY207">
        <f t="shared" si="194"/>
        <v>0</v>
      </c>
      <c r="AZ207">
        <f t="shared" si="194"/>
        <v>0</v>
      </c>
      <c r="BA207">
        <f t="shared" si="194"/>
        <v>0</v>
      </c>
    </row>
    <row r="208" ht="15.75" customHeight="1">
      <c r="A208" s="744">
        <v>2036.0</v>
      </c>
      <c r="V208" s="883">
        <v>0.006245053085993532</v>
      </c>
      <c r="W208">
        <f t="shared" si="159"/>
        <v>0</v>
      </c>
      <c r="X208">
        <f t="shared" ref="X208:BA208" si="195">IF(AND(X$171-$A208&gt;$V$34,SUM($W208:W208)&lt;&gt;$V208),$V208,0)</f>
        <v>0</v>
      </c>
      <c r="Y208">
        <f t="shared" si="195"/>
        <v>0</v>
      </c>
      <c r="Z208">
        <f t="shared" si="195"/>
        <v>0</v>
      </c>
      <c r="AA208">
        <f t="shared" si="195"/>
        <v>0</v>
      </c>
      <c r="AB208">
        <f t="shared" si="195"/>
        <v>0</v>
      </c>
      <c r="AC208">
        <f t="shared" si="195"/>
        <v>0</v>
      </c>
      <c r="AD208">
        <f t="shared" si="195"/>
        <v>0</v>
      </c>
      <c r="AE208">
        <f t="shared" si="195"/>
        <v>0</v>
      </c>
      <c r="AF208">
        <f t="shared" si="195"/>
        <v>0</v>
      </c>
      <c r="AG208">
        <f t="shared" si="195"/>
        <v>0</v>
      </c>
      <c r="AH208">
        <f t="shared" si="195"/>
        <v>0</v>
      </c>
      <c r="AI208">
        <f t="shared" si="195"/>
        <v>0</v>
      </c>
      <c r="AJ208">
        <f t="shared" si="195"/>
        <v>0</v>
      </c>
      <c r="AK208">
        <f t="shared" si="195"/>
        <v>0</v>
      </c>
      <c r="AL208">
        <f t="shared" si="195"/>
        <v>0</v>
      </c>
      <c r="AM208">
        <f t="shared" si="195"/>
        <v>0</v>
      </c>
      <c r="AN208">
        <f t="shared" si="195"/>
        <v>0</v>
      </c>
      <c r="AO208">
        <f t="shared" si="195"/>
        <v>0</v>
      </c>
      <c r="AP208">
        <f t="shared" si="195"/>
        <v>0</v>
      </c>
      <c r="AQ208">
        <f t="shared" si="195"/>
        <v>0</v>
      </c>
      <c r="AR208">
        <f t="shared" si="195"/>
        <v>0</v>
      </c>
      <c r="AS208">
        <f t="shared" si="195"/>
        <v>0</v>
      </c>
      <c r="AT208">
        <f t="shared" si="195"/>
        <v>0</v>
      </c>
      <c r="AU208">
        <f t="shared" si="195"/>
        <v>0</v>
      </c>
      <c r="AV208">
        <f t="shared" si="195"/>
        <v>0</v>
      </c>
      <c r="AW208">
        <f t="shared" si="195"/>
        <v>0</v>
      </c>
      <c r="AX208">
        <f t="shared" si="195"/>
        <v>0</v>
      </c>
      <c r="AY208">
        <f t="shared" si="195"/>
        <v>0</v>
      </c>
      <c r="AZ208">
        <f t="shared" si="195"/>
        <v>0</v>
      </c>
      <c r="BA208">
        <f t="shared" si="195"/>
        <v>0</v>
      </c>
    </row>
    <row r="209" ht="15.75" customHeight="1">
      <c r="A209" s="744">
        <v>2037.0</v>
      </c>
      <c r="V209" s="883">
        <v>0.006245053085993532</v>
      </c>
      <c r="W209">
        <f t="shared" si="159"/>
        <v>0</v>
      </c>
      <c r="X209">
        <f t="shared" ref="X209:BA209" si="196">IF(AND(X$171-$A209&gt;$V$34,SUM($W209:W209)&lt;&gt;$V209),$V209,0)</f>
        <v>0</v>
      </c>
      <c r="Y209">
        <f t="shared" si="196"/>
        <v>0</v>
      </c>
      <c r="Z209">
        <f t="shared" si="196"/>
        <v>0</v>
      </c>
      <c r="AA209">
        <f t="shared" si="196"/>
        <v>0</v>
      </c>
      <c r="AB209">
        <f t="shared" si="196"/>
        <v>0</v>
      </c>
      <c r="AC209">
        <f t="shared" si="196"/>
        <v>0</v>
      </c>
      <c r="AD209">
        <f t="shared" si="196"/>
        <v>0</v>
      </c>
      <c r="AE209">
        <f t="shared" si="196"/>
        <v>0</v>
      </c>
      <c r="AF209">
        <f t="shared" si="196"/>
        <v>0</v>
      </c>
      <c r="AG209">
        <f t="shared" si="196"/>
        <v>0</v>
      </c>
      <c r="AH209">
        <f t="shared" si="196"/>
        <v>0</v>
      </c>
      <c r="AI209">
        <f t="shared" si="196"/>
        <v>0</v>
      </c>
      <c r="AJ209">
        <f t="shared" si="196"/>
        <v>0</v>
      </c>
      <c r="AK209">
        <f t="shared" si="196"/>
        <v>0</v>
      </c>
      <c r="AL209">
        <f t="shared" si="196"/>
        <v>0</v>
      </c>
      <c r="AM209">
        <f t="shared" si="196"/>
        <v>0</v>
      </c>
      <c r="AN209">
        <f t="shared" si="196"/>
        <v>0</v>
      </c>
      <c r="AO209">
        <f t="shared" si="196"/>
        <v>0</v>
      </c>
      <c r="AP209">
        <f t="shared" si="196"/>
        <v>0</v>
      </c>
      <c r="AQ209">
        <f t="shared" si="196"/>
        <v>0</v>
      </c>
      <c r="AR209">
        <f t="shared" si="196"/>
        <v>0</v>
      </c>
      <c r="AS209">
        <f t="shared" si="196"/>
        <v>0</v>
      </c>
      <c r="AT209">
        <f t="shared" si="196"/>
        <v>0</v>
      </c>
      <c r="AU209">
        <f t="shared" si="196"/>
        <v>0</v>
      </c>
      <c r="AV209">
        <f t="shared" si="196"/>
        <v>0</v>
      </c>
      <c r="AW209">
        <f t="shared" si="196"/>
        <v>0</v>
      </c>
      <c r="AX209">
        <f t="shared" si="196"/>
        <v>0</v>
      </c>
      <c r="AY209">
        <f t="shared" si="196"/>
        <v>0</v>
      </c>
      <c r="AZ209">
        <f t="shared" si="196"/>
        <v>0</v>
      </c>
      <c r="BA209">
        <f t="shared" si="196"/>
        <v>0</v>
      </c>
    </row>
    <row r="210" ht="15.75" customHeight="1">
      <c r="A210" s="744">
        <v>2038.0</v>
      </c>
      <c r="V210" s="883">
        <v>0.012490106171987064</v>
      </c>
      <c r="W210">
        <f t="shared" si="159"/>
        <v>0</v>
      </c>
      <c r="X210">
        <f t="shared" ref="X210:BA210" si="197">IF(AND(X$171-$A210&gt;$V$34,SUM($W210:W210)&lt;&gt;$V210),$V210,0)</f>
        <v>0</v>
      </c>
      <c r="Y210">
        <f t="shared" si="197"/>
        <v>0</v>
      </c>
      <c r="Z210">
        <f t="shared" si="197"/>
        <v>0</v>
      </c>
      <c r="AA210">
        <f t="shared" si="197"/>
        <v>0</v>
      </c>
      <c r="AB210">
        <f t="shared" si="197"/>
        <v>0</v>
      </c>
      <c r="AC210">
        <f t="shared" si="197"/>
        <v>0</v>
      </c>
      <c r="AD210">
        <f t="shared" si="197"/>
        <v>0</v>
      </c>
      <c r="AE210">
        <f t="shared" si="197"/>
        <v>0</v>
      </c>
      <c r="AF210">
        <f t="shared" si="197"/>
        <v>0</v>
      </c>
      <c r="AG210">
        <f t="shared" si="197"/>
        <v>0</v>
      </c>
      <c r="AH210">
        <f t="shared" si="197"/>
        <v>0</v>
      </c>
      <c r="AI210">
        <f t="shared" si="197"/>
        <v>0</v>
      </c>
      <c r="AJ210">
        <f t="shared" si="197"/>
        <v>0</v>
      </c>
      <c r="AK210">
        <f t="shared" si="197"/>
        <v>0</v>
      </c>
      <c r="AL210">
        <f t="shared" si="197"/>
        <v>0</v>
      </c>
      <c r="AM210">
        <f t="shared" si="197"/>
        <v>0</v>
      </c>
      <c r="AN210">
        <f t="shared" si="197"/>
        <v>0</v>
      </c>
      <c r="AO210">
        <f t="shared" si="197"/>
        <v>0</v>
      </c>
      <c r="AP210">
        <f t="shared" si="197"/>
        <v>0</v>
      </c>
      <c r="AQ210">
        <f t="shared" si="197"/>
        <v>0</v>
      </c>
      <c r="AR210">
        <f t="shared" si="197"/>
        <v>0</v>
      </c>
      <c r="AS210">
        <f t="shared" si="197"/>
        <v>0</v>
      </c>
      <c r="AT210">
        <f t="shared" si="197"/>
        <v>0</v>
      </c>
      <c r="AU210">
        <f t="shared" si="197"/>
        <v>0</v>
      </c>
      <c r="AV210">
        <f t="shared" si="197"/>
        <v>0</v>
      </c>
      <c r="AW210">
        <f t="shared" si="197"/>
        <v>0</v>
      </c>
      <c r="AX210">
        <f t="shared" si="197"/>
        <v>0</v>
      </c>
      <c r="AY210">
        <f t="shared" si="197"/>
        <v>0</v>
      </c>
      <c r="AZ210">
        <f t="shared" si="197"/>
        <v>0</v>
      </c>
      <c r="BA210">
        <f t="shared" si="197"/>
        <v>0</v>
      </c>
    </row>
    <row r="211" ht="15.75" customHeight="1">
      <c r="A211" s="744">
        <v>2039.0</v>
      </c>
      <c r="V211" s="883">
        <v>0.012490106171987064</v>
      </c>
      <c r="W211">
        <f t="shared" si="159"/>
        <v>0</v>
      </c>
      <c r="X211">
        <f t="shared" ref="X211:BA211" si="198">IF(AND(X$171-$A211&gt;$V$34,SUM($W211:W211)&lt;&gt;$V211),$V211,0)</f>
        <v>0</v>
      </c>
      <c r="Y211">
        <f t="shared" si="198"/>
        <v>0</v>
      </c>
      <c r="Z211">
        <f t="shared" si="198"/>
        <v>0</v>
      </c>
      <c r="AA211">
        <f t="shared" si="198"/>
        <v>0</v>
      </c>
      <c r="AB211">
        <f t="shared" si="198"/>
        <v>0</v>
      </c>
      <c r="AC211">
        <f t="shared" si="198"/>
        <v>0</v>
      </c>
      <c r="AD211">
        <f t="shared" si="198"/>
        <v>0</v>
      </c>
      <c r="AE211">
        <f t="shared" si="198"/>
        <v>0</v>
      </c>
      <c r="AF211">
        <f t="shared" si="198"/>
        <v>0</v>
      </c>
      <c r="AG211">
        <f t="shared" si="198"/>
        <v>0</v>
      </c>
      <c r="AH211">
        <f t="shared" si="198"/>
        <v>0</v>
      </c>
      <c r="AI211">
        <f t="shared" si="198"/>
        <v>0</v>
      </c>
      <c r="AJ211">
        <f t="shared" si="198"/>
        <v>0</v>
      </c>
      <c r="AK211">
        <f t="shared" si="198"/>
        <v>0</v>
      </c>
      <c r="AL211">
        <f t="shared" si="198"/>
        <v>0</v>
      </c>
      <c r="AM211">
        <f t="shared" si="198"/>
        <v>0</v>
      </c>
      <c r="AN211">
        <f t="shared" si="198"/>
        <v>0</v>
      </c>
      <c r="AO211">
        <f t="shared" si="198"/>
        <v>0</v>
      </c>
      <c r="AP211">
        <f t="shared" si="198"/>
        <v>0</v>
      </c>
      <c r="AQ211">
        <f t="shared" si="198"/>
        <v>0</v>
      </c>
      <c r="AR211">
        <f t="shared" si="198"/>
        <v>0</v>
      </c>
      <c r="AS211">
        <f t="shared" si="198"/>
        <v>0</v>
      </c>
      <c r="AT211">
        <f t="shared" si="198"/>
        <v>0</v>
      </c>
      <c r="AU211">
        <f t="shared" si="198"/>
        <v>0</v>
      </c>
      <c r="AV211">
        <f t="shared" si="198"/>
        <v>0</v>
      </c>
      <c r="AW211">
        <f t="shared" si="198"/>
        <v>0</v>
      </c>
      <c r="AX211">
        <f t="shared" si="198"/>
        <v>0</v>
      </c>
      <c r="AY211">
        <f t="shared" si="198"/>
        <v>0</v>
      </c>
      <c r="AZ211">
        <f t="shared" si="198"/>
        <v>0</v>
      </c>
      <c r="BA211">
        <f t="shared" si="198"/>
        <v>0</v>
      </c>
    </row>
    <row r="212" ht="15.75" customHeight="1">
      <c r="A212" s="744">
        <v>2040.0</v>
      </c>
      <c r="V212" s="883">
        <v>0.012490106171987064</v>
      </c>
      <c r="W212">
        <f t="shared" si="159"/>
        <v>0</v>
      </c>
      <c r="X212">
        <f t="shared" ref="X212:BA212" si="199">IF(AND(X$171-$A212&gt;$V$34,SUM($W212:W212)&lt;&gt;$V212),$V212,0)</f>
        <v>0</v>
      </c>
      <c r="Y212">
        <f t="shared" si="199"/>
        <v>0</v>
      </c>
      <c r="Z212">
        <f t="shared" si="199"/>
        <v>0</v>
      </c>
      <c r="AA212">
        <f t="shared" si="199"/>
        <v>0</v>
      </c>
      <c r="AB212">
        <f t="shared" si="199"/>
        <v>0</v>
      </c>
      <c r="AC212">
        <f t="shared" si="199"/>
        <v>0</v>
      </c>
      <c r="AD212">
        <f t="shared" si="199"/>
        <v>0</v>
      </c>
      <c r="AE212">
        <f t="shared" si="199"/>
        <v>0</v>
      </c>
      <c r="AF212">
        <f t="shared" si="199"/>
        <v>0</v>
      </c>
      <c r="AG212">
        <f t="shared" si="199"/>
        <v>0</v>
      </c>
      <c r="AH212">
        <f t="shared" si="199"/>
        <v>0</v>
      </c>
      <c r="AI212">
        <f t="shared" si="199"/>
        <v>0</v>
      </c>
      <c r="AJ212">
        <f t="shared" si="199"/>
        <v>0</v>
      </c>
      <c r="AK212">
        <f t="shared" si="199"/>
        <v>0</v>
      </c>
      <c r="AL212">
        <f t="shared" si="199"/>
        <v>0</v>
      </c>
      <c r="AM212">
        <f t="shared" si="199"/>
        <v>0</v>
      </c>
      <c r="AN212">
        <f t="shared" si="199"/>
        <v>0</v>
      </c>
      <c r="AO212">
        <f t="shared" si="199"/>
        <v>0</v>
      </c>
      <c r="AP212">
        <f t="shared" si="199"/>
        <v>0</v>
      </c>
      <c r="AQ212">
        <f t="shared" si="199"/>
        <v>0</v>
      </c>
      <c r="AR212">
        <f t="shared" si="199"/>
        <v>0</v>
      </c>
      <c r="AS212">
        <f t="shared" si="199"/>
        <v>0</v>
      </c>
      <c r="AT212">
        <f t="shared" si="199"/>
        <v>0</v>
      </c>
      <c r="AU212">
        <f t="shared" si="199"/>
        <v>0</v>
      </c>
      <c r="AV212">
        <f t="shared" si="199"/>
        <v>0</v>
      </c>
      <c r="AW212">
        <f t="shared" si="199"/>
        <v>0</v>
      </c>
      <c r="AX212">
        <f t="shared" si="199"/>
        <v>0</v>
      </c>
      <c r="AY212">
        <f t="shared" si="199"/>
        <v>0</v>
      </c>
      <c r="AZ212">
        <f t="shared" si="199"/>
        <v>0</v>
      </c>
      <c r="BA212">
        <f t="shared" si="199"/>
        <v>0</v>
      </c>
    </row>
    <row r="213" ht="15.75" customHeight="1">
      <c r="A213" s="744">
        <v>2041.0</v>
      </c>
      <c r="V213" s="883">
        <v>0.012490106171987064</v>
      </c>
      <c r="W213">
        <f t="shared" si="159"/>
        <v>0</v>
      </c>
      <c r="X213">
        <f t="shared" ref="X213:BA213" si="200">IF(AND(X$171-$A213&gt;$V$34,SUM($W213:W213)&lt;&gt;$V213),$V213,0)</f>
        <v>0</v>
      </c>
      <c r="Y213">
        <f t="shared" si="200"/>
        <v>0</v>
      </c>
      <c r="Z213">
        <f t="shared" si="200"/>
        <v>0</v>
      </c>
      <c r="AA213">
        <f t="shared" si="200"/>
        <v>0</v>
      </c>
      <c r="AB213">
        <f t="shared" si="200"/>
        <v>0</v>
      </c>
      <c r="AC213">
        <f t="shared" si="200"/>
        <v>0</v>
      </c>
      <c r="AD213">
        <f t="shared" si="200"/>
        <v>0</v>
      </c>
      <c r="AE213">
        <f t="shared" si="200"/>
        <v>0</v>
      </c>
      <c r="AF213">
        <f t="shared" si="200"/>
        <v>0</v>
      </c>
      <c r="AG213">
        <f t="shared" si="200"/>
        <v>0</v>
      </c>
      <c r="AH213">
        <f t="shared" si="200"/>
        <v>0</v>
      </c>
      <c r="AI213">
        <f t="shared" si="200"/>
        <v>0</v>
      </c>
      <c r="AJ213">
        <f t="shared" si="200"/>
        <v>0</v>
      </c>
      <c r="AK213">
        <f t="shared" si="200"/>
        <v>0</v>
      </c>
      <c r="AL213">
        <f t="shared" si="200"/>
        <v>0</v>
      </c>
      <c r="AM213">
        <f t="shared" si="200"/>
        <v>0</v>
      </c>
      <c r="AN213">
        <f t="shared" si="200"/>
        <v>0</v>
      </c>
      <c r="AO213">
        <f t="shared" si="200"/>
        <v>0</v>
      </c>
      <c r="AP213">
        <f t="shared" si="200"/>
        <v>0</v>
      </c>
      <c r="AQ213">
        <f t="shared" si="200"/>
        <v>0</v>
      </c>
      <c r="AR213">
        <f t="shared" si="200"/>
        <v>0</v>
      </c>
      <c r="AS213">
        <f t="shared" si="200"/>
        <v>0</v>
      </c>
      <c r="AT213">
        <f t="shared" si="200"/>
        <v>0</v>
      </c>
      <c r="AU213">
        <f t="shared" si="200"/>
        <v>0</v>
      </c>
      <c r="AV213">
        <f t="shared" si="200"/>
        <v>0</v>
      </c>
      <c r="AW213">
        <f t="shared" si="200"/>
        <v>0</v>
      </c>
      <c r="AX213">
        <f t="shared" si="200"/>
        <v>0</v>
      </c>
      <c r="AY213">
        <f t="shared" si="200"/>
        <v>0</v>
      </c>
      <c r="AZ213">
        <f t="shared" si="200"/>
        <v>0</v>
      </c>
      <c r="BA213">
        <f t="shared" si="200"/>
        <v>0</v>
      </c>
    </row>
    <row r="214" ht="15.75" customHeight="1">
      <c r="A214" s="744">
        <v>2042.0</v>
      </c>
      <c r="V214" s="883">
        <v>0.012490106171987078</v>
      </c>
      <c r="W214">
        <f t="shared" si="159"/>
        <v>0</v>
      </c>
      <c r="X214">
        <f t="shared" ref="X214:BA214" si="201">IF(AND(X$171-$A214&gt;$V$34,SUM($W214:W214)&lt;&gt;$V214),$V214,0)</f>
        <v>0</v>
      </c>
      <c r="Y214">
        <f t="shared" si="201"/>
        <v>0</v>
      </c>
      <c r="Z214">
        <f t="shared" si="201"/>
        <v>0</v>
      </c>
      <c r="AA214">
        <f t="shared" si="201"/>
        <v>0</v>
      </c>
      <c r="AB214">
        <f t="shared" si="201"/>
        <v>0</v>
      </c>
      <c r="AC214">
        <f t="shared" si="201"/>
        <v>0</v>
      </c>
      <c r="AD214">
        <f t="shared" si="201"/>
        <v>0</v>
      </c>
      <c r="AE214">
        <f t="shared" si="201"/>
        <v>0</v>
      </c>
      <c r="AF214">
        <f t="shared" si="201"/>
        <v>0</v>
      </c>
      <c r="AG214">
        <f t="shared" si="201"/>
        <v>0</v>
      </c>
      <c r="AH214">
        <f t="shared" si="201"/>
        <v>0</v>
      </c>
      <c r="AI214">
        <f t="shared" si="201"/>
        <v>0</v>
      </c>
      <c r="AJ214">
        <f t="shared" si="201"/>
        <v>0</v>
      </c>
      <c r="AK214">
        <f t="shared" si="201"/>
        <v>0</v>
      </c>
      <c r="AL214">
        <f t="shared" si="201"/>
        <v>0</v>
      </c>
      <c r="AM214">
        <f t="shared" si="201"/>
        <v>0</v>
      </c>
      <c r="AN214">
        <f t="shared" si="201"/>
        <v>0</v>
      </c>
      <c r="AO214">
        <f t="shared" si="201"/>
        <v>0</v>
      </c>
      <c r="AP214">
        <f t="shared" si="201"/>
        <v>0</v>
      </c>
      <c r="AQ214">
        <f t="shared" si="201"/>
        <v>0</v>
      </c>
      <c r="AR214">
        <f t="shared" si="201"/>
        <v>0</v>
      </c>
      <c r="AS214">
        <f t="shared" si="201"/>
        <v>0</v>
      </c>
      <c r="AT214">
        <f t="shared" si="201"/>
        <v>0</v>
      </c>
      <c r="AU214">
        <f t="shared" si="201"/>
        <v>0</v>
      </c>
      <c r="AV214">
        <f t="shared" si="201"/>
        <v>0</v>
      </c>
      <c r="AW214">
        <f t="shared" si="201"/>
        <v>0</v>
      </c>
      <c r="AX214">
        <f t="shared" si="201"/>
        <v>0</v>
      </c>
      <c r="AY214">
        <f t="shared" si="201"/>
        <v>0</v>
      </c>
      <c r="AZ214">
        <f t="shared" si="201"/>
        <v>0</v>
      </c>
      <c r="BA214">
        <f t="shared" si="201"/>
        <v>0</v>
      </c>
    </row>
    <row r="215" ht="15.75" customHeight="1">
      <c r="A215" s="744">
        <v>2043.0</v>
      </c>
      <c r="V215" s="883">
        <v>0.012490106171987064</v>
      </c>
      <c r="W215">
        <f t="shared" si="159"/>
        <v>0</v>
      </c>
      <c r="X215">
        <f t="shared" ref="X215:BA215" si="202">IF(AND(X$171-$A215&gt;$V$34,SUM($W215:W215)&lt;&gt;$V215),$V215,0)</f>
        <v>0</v>
      </c>
      <c r="Y215">
        <f t="shared" si="202"/>
        <v>0</v>
      </c>
      <c r="Z215">
        <f t="shared" si="202"/>
        <v>0</v>
      </c>
      <c r="AA215">
        <f t="shared" si="202"/>
        <v>0</v>
      </c>
      <c r="AB215">
        <f t="shared" si="202"/>
        <v>0</v>
      </c>
      <c r="AC215">
        <f t="shared" si="202"/>
        <v>0</v>
      </c>
      <c r="AD215">
        <f t="shared" si="202"/>
        <v>0</v>
      </c>
      <c r="AE215">
        <f t="shared" si="202"/>
        <v>0</v>
      </c>
      <c r="AF215">
        <f t="shared" si="202"/>
        <v>0</v>
      </c>
      <c r="AG215">
        <f t="shared" si="202"/>
        <v>0</v>
      </c>
      <c r="AH215">
        <f t="shared" si="202"/>
        <v>0</v>
      </c>
      <c r="AI215">
        <f t="shared" si="202"/>
        <v>0</v>
      </c>
      <c r="AJ215">
        <f t="shared" si="202"/>
        <v>0</v>
      </c>
      <c r="AK215">
        <f t="shared" si="202"/>
        <v>0</v>
      </c>
      <c r="AL215">
        <f t="shared" si="202"/>
        <v>0</v>
      </c>
      <c r="AM215">
        <f t="shared" si="202"/>
        <v>0</v>
      </c>
      <c r="AN215">
        <f t="shared" si="202"/>
        <v>0</v>
      </c>
      <c r="AO215">
        <f t="shared" si="202"/>
        <v>0</v>
      </c>
      <c r="AP215">
        <f t="shared" si="202"/>
        <v>0</v>
      </c>
      <c r="AQ215">
        <f t="shared" si="202"/>
        <v>0</v>
      </c>
      <c r="AR215">
        <f t="shared" si="202"/>
        <v>0</v>
      </c>
      <c r="AS215">
        <f t="shared" si="202"/>
        <v>0</v>
      </c>
      <c r="AT215">
        <f t="shared" si="202"/>
        <v>0</v>
      </c>
      <c r="AU215">
        <f t="shared" si="202"/>
        <v>0</v>
      </c>
      <c r="AV215">
        <f t="shared" si="202"/>
        <v>0</v>
      </c>
      <c r="AW215">
        <f t="shared" si="202"/>
        <v>0</v>
      </c>
      <c r="AX215">
        <f t="shared" si="202"/>
        <v>0</v>
      </c>
      <c r="AY215">
        <f t="shared" si="202"/>
        <v>0</v>
      </c>
      <c r="AZ215">
        <f t="shared" si="202"/>
        <v>0</v>
      </c>
      <c r="BA215">
        <f t="shared" si="202"/>
        <v>0</v>
      </c>
    </row>
    <row r="216" ht="15.75" customHeight="1">
      <c r="A216" s="744">
        <v>2044.0</v>
      </c>
      <c r="V216" s="883">
        <v>0.012490106171987064</v>
      </c>
      <c r="W216">
        <f t="shared" si="159"/>
        <v>0</v>
      </c>
      <c r="X216">
        <f t="shared" ref="X216:BA216" si="203">IF(AND(X$171-$A216&gt;$V$34,SUM($W216:W216)&lt;&gt;$V216),$V216,0)</f>
        <v>0</v>
      </c>
      <c r="Y216">
        <f t="shared" si="203"/>
        <v>0</v>
      </c>
      <c r="Z216">
        <f t="shared" si="203"/>
        <v>0</v>
      </c>
      <c r="AA216">
        <f t="shared" si="203"/>
        <v>0</v>
      </c>
      <c r="AB216">
        <f t="shared" si="203"/>
        <v>0</v>
      </c>
      <c r="AC216">
        <f t="shared" si="203"/>
        <v>0</v>
      </c>
      <c r="AD216">
        <f t="shared" si="203"/>
        <v>0</v>
      </c>
      <c r="AE216">
        <f t="shared" si="203"/>
        <v>0</v>
      </c>
      <c r="AF216">
        <f t="shared" si="203"/>
        <v>0</v>
      </c>
      <c r="AG216">
        <f t="shared" si="203"/>
        <v>0</v>
      </c>
      <c r="AH216">
        <f t="shared" si="203"/>
        <v>0</v>
      </c>
      <c r="AI216">
        <f t="shared" si="203"/>
        <v>0</v>
      </c>
      <c r="AJ216">
        <f t="shared" si="203"/>
        <v>0</v>
      </c>
      <c r="AK216">
        <f t="shared" si="203"/>
        <v>0</v>
      </c>
      <c r="AL216">
        <f t="shared" si="203"/>
        <v>0</v>
      </c>
      <c r="AM216">
        <f t="shared" si="203"/>
        <v>0</v>
      </c>
      <c r="AN216">
        <f t="shared" si="203"/>
        <v>0</v>
      </c>
      <c r="AO216">
        <f t="shared" si="203"/>
        <v>0</v>
      </c>
      <c r="AP216">
        <f t="shared" si="203"/>
        <v>0</v>
      </c>
      <c r="AQ216">
        <f t="shared" si="203"/>
        <v>0</v>
      </c>
      <c r="AR216">
        <f t="shared" si="203"/>
        <v>0</v>
      </c>
      <c r="AS216">
        <f t="shared" si="203"/>
        <v>0</v>
      </c>
      <c r="AT216">
        <f t="shared" si="203"/>
        <v>0</v>
      </c>
      <c r="AU216">
        <f t="shared" si="203"/>
        <v>0</v>
      </c>
      <c r="AV216">
        <f t="shared" si="203"/>
        <v>0</v>
      </c>
      <c r="AW216">
        <f t="shared" si="203"/>
        <v>0</v>
      </c>
      <c r="AX216">
        <f t="shared" si="203"/>
        <v>0</v>
      </c>
      <c r="AY216">
        <f t="shared" si="203"/>
        <v>0</v>
      </c>
      <c r="AZ216">
        <f t="shared" si="203"/>
        <v>0</v>
      </c>
      <c r="BA216">
        <f t="shared" si="203"/>
        <v>0</v>
      </c>
    </row>
    <row r="217" ht="15.75" customHeight="1">
      <c r="A217" s="744">
        <v>2045.0</v>
      </c>
      <c r="V217" s="883">
        <v>0.012490106171987092</v>
      </c>
      <c r="W217">
        <f t="shared" si="159"/>
        <v>0</v>
      </c>
      <c r="X217">
        <f t="shared" ref="X217:BA217" si="204">IF(AND(X$171-$A217&gt;$V$34,SUM($W217:W217)&lt;&gt;$V217),$V217,0)</f>
        <v>0</v>
      </c>
      <c r="Y217">
        <f t="shared" si="204"/>
        <v>0</v>
      </c>
      <c r="Z217">
        <f t="shared" si="204"/>
        <v>0</v>
      </c>
      <c r="AA217">
        <f t="shared" si="204"/>
        <v>0</v>
      </c>
      <c r="AB217">
        <f t="shared" si="204"/>
        <v>0</v>
      </c>
      <c r="AC217">
        <f t="shared" si="204"/>
        <v>0</v>
      </c>
      <c r="AD217">
        <f t="shared" si="204"/>
        <v>0</v>
      </c>
      <c r="AE217">
        <f t="shared" si="204"/>
        <v>0</v>
      </c>
      <c r="AF217">
        <f t="shared" si="204"/>
        <v>0</v>
      </c>
      <c r="AG217">
        <f t="shared" si="204"/>
        <v>0</v>
      </c>
      <c r="AH217">
        <f t="shared" si="204"/>
        <v>0</v>
      </c>
      <c r="AI217">
        <f t="shared" si="204"/>
        <v>0</v>
      </c>
      <c r="AJ217">
        <f t="shared" si="204"/>
        <v>0</v>
      </c>
      <c r="AK217">
        <f t="shared" si="204"/>
        <v>0</v>
      </c>
      <c r="AL217">
        <f t="shared" si="204"/>
        <v>0</v>
      </c>
      <c r="AM217">
        <f t="shared" si="204"/>
        <v>0</v>
      </c>
      <c r="AN217">
        <f t="shared" si="204"/>
        <v>0</v>
      </c>
      <c r="AO217">
        <f t="shared" si="204"/>
        <v>0</v>
      </c>
      <c r="AP217">
        <f t="shared" si="204"/>
        <v>0</v>
      </c>
      <c r="AQ217">
        <f t="shared" si="204"/>
        <v>0</v>
      </c>
      <c r="AR217">
        <f t="shared" si="204"/>
        <v>0</v>
      </c>
      <c r="AS217">
        <f t="shared" si="204"/>
        <v>0</v>
      </c>
      <c r="AT217">
        <f t="shared" si="204"/>
        <v>0</v>
      </c>
      <c r="AU217">
        <f t="shared" si="204"/>
        <v>0</v>
      </c>
      <c r="AV217">
        <f t="shared" si="204"/>
        <v>0</v>
      </c>
      <c r="AW217">
        <f t="shared" si="204"/>
        <v>0</v>
      </c>
      <c r="AX217">
        <f t="shared" si="204"/>
        <v>0</v>
      </c>
      <c r="AY217">
        <f t="shared" si="204"/>
        <v>0</v>
      </c>
      <c r="AZ217">
        <f t="shared" si="204"/>
        <v>0</v>
      </c>
      <c r="BA217">
        <f t="shared" si="204"/>
        <v>0</v>
      </c>
    </row>
    <row r="218" ht="15.75" customHeight="1">
      <c r="A218" s="744">
        <v>2046.0</v>
      </c>
      <c r="V218" s="883">
        <v>0.012490106171987064</v>
      </c>
      <c r="W218">
        <f t="shared" si="159"/>
        <v>0</v>
      </c>
      <c r="X218">
        <f t="shared" ref="X218:BA218" si="205">IF(AND(X$171-$A218&gt;$V$34,SUM($W218:W218)&lt;&gt;$V218),$V218,0)</f>
        <v>0</v>
      </c>
      <c r="Y218">
        <f t="shared" si="205"/>
        <v>0</v>
      </c>
      <c r="Z218">
        <f t="shared" si="205"/>
        <v>0</v>
      </c>
      <c r="AA218">
        <f t="shared" si="205"/>
        <v>0</v>
      </c>
      <c r="AB218">
        <f t="shared" si="205"/>
        <v>0</v>
      </c>
      <c r="AC218">
        <f t="shared" si="205"/>
        <v>0</v>
      </c>
      <c r="AD218">
        <f t="shared" si="205"/>
        <v>0</v>
      </c>
      <c r="AE218">
        <f t="shared" si="205"/>
        <v>0</v>
      </c>
      <c r="AF218">
        <f t="shared" si="205"/>
        <v>0</v>
      </c>
      <c r="AG218">
        <f t="shared" si="205"/>
        <v>0</v>
      </c>
      <c r="AH218">
        <f t="shared" si="205"/>
        <v>0</v>
      </c>
      <c r="AI218">
        <f t="shared" si="205"/>
        <v>0</v>
      </c>
      <c r="AJ218">
        <f t="shared" si="205"/>
        <v>0</v>
      </c>
      <c r="AK218">
        <f t="shared" si="205"/>
        <v>0</v>
      </c>
      <c r="AL218">
        <f t="shared" si="205"/>
        <v>0</v>
      </c>
      <c r="AM218">
        <f t="shared" si="205"/>
        <v>0</v>
      </c>
      <c r="AN218">
        <f t="shared" si="205"/>
        <v>0</v>
      </c>
      <c r="AO218">
        <f t="shared" si="205"/>
        <v>0</v>
      </c>
      <c r="AP218">
        <f t="shared" si="205"/>
        <v>0</v>
      </c>
      <c r="AQ218">
        <f t="shared" si="205"/>
        <v>0</v>
      </c>
      <c r="AR218">
        <f t="shared" si="205"/>
        <v>0</v>
      </c>
      <c r="AS218">
        <f t="shared" si="205"/>
        <v>0</v>
      </c>
      <c r="AT218">
        <f t="shared" si="205"/>
        <v>0</v>
      </c>
      <c r="AU218">
        <f t="shared" si="205"/>
        <v>0</v>
      </c>
      <c r="AV218">
        <f t="shared" si="205"/>
        <v>0</v>
      </c>
      <c r="AW218">
        <f t="shared" si="205"/>
        <v>0</v>
      </c>
      <c r="AX218">
        <f t="shared" si="205"/>
        <v>0</v>
      </c>
      <c r="AY218">
        <f t="shared" si="205"/>
        <v>0</v>
      </c>
      <c r="AZ218">
        <f t="shared" si="205"/>
        <v>0</v>
      </c>
      <c r="BA218">
        <f t="shared" si="205"/>
        <v>0</v>
      </c>
    </row>
    <row r="219" ht="15.75" customHeight="1">
      <c r="A219" s="744">
        <v>2047.0</v>
      </c>
      <c r="V219" s="883">
        <v>0.012490106171987092</v>
      </c>
      <c r="W219">
        <f t="shared" si="159"/>
        <v>0</v>
      </c>
      <c r="X219">
        <f t="shared" ref="X219:BA219" si="206">IF(AND(X$171-$A219&gt;$V$34,SUM($W219:W219)&lt;&gt;$V219),$V219,0)</f>
        <v>0</v>
      </c>
      <c r="Y219">
        <f t="shared" si="206"/>
        <v>0</v>
      </c>
      <c r="Z219">
        <f t="shared" si="206"/>
        <v>0</v>
      </c>
      <c r="AA219">
        <f t="shared" si="206"/>
        <v>0</v>
      </c>
      <c r="AB219">
        <f t="shared" si="206"/>
        <v>0</v>
      </c>
      <c r="AC219">
        <f t="shared" si="206"/>
        <v>0</v>
      </c>
      <c r="AD219">
        <f t="shared" si="206"/>
        <v>0</v>
      </c>
      <c r="AE219">
        <f t="shared" si="206"/>
        <v>0</v>
      </c>
      <c r="AF219">
        <f t="shared" si="206"/>
        <v>0</v>
      </c>
      <c r="AG219">
        <f t="shared" si="206"/>
        <v>0</v>
      </c>
      <c r="AH219">
        <f t="shared" si="206"/>
        <v>0</v>
      </c>
      <c r="AI219">
        <f t="shared" si="206"/>
        <v>0</v>
      </c>
      <c r="AJ219">
        <f t="shared" si="206"/>
        <v>0</v>
      </c>
      <c r="AK219">
        <f t="shared" si="206"/>
        <v>0</v>
      </c>
      <c r="AL219">
        <f t="shared" si="206"/>
        <v>0</v>
      </c>
      <c r="AM219">
        <f t="shared" si="206"/>
        <v>0</v>
      </c>
      <c r="AN219">
        <f t="shared" si="206"/>
        <v>0</v>
      </c>
      <c r="AO219">
        <f t="shared" si="206"/>
        <v>0</v>
      </c>
      <c r="AP219">
        <f t="shared" si="206"/>
        <v>0</v>
      </c>
      <c r="AQ219">
        <f t="shared" si="206"/>
        <v>0</v>
      </c>
      <c r="AR219">
        <f t="shared" si="206"/>
        <v>0</v>
      </c>
      <c r="AS219">
        <f t="shared" si="206"/>
        <v>0</v>
      </c>
      <c r="AT219">
        <f t="shared" si="206"/>
        <v>0</v>
      </c>
      <c r="AU219">
        <f t="shared" si="206"/>
        <v>0</v>
      </c>
      <c r="AV219">
        <f t="shared" si="206"/>
        <v>0</v>
      </c>
      <c r="AW219">
        <f t="shared" si="206"/>
        <v>0</v>
      </c>
      <c r="AX219">
        <f t="shared" si="206"/>
        <v>0</v>
      </c>
      <c r="AY219">
        <f t="shared" si="206"/>
        <v>0</v>
      </c>
      <c r="AZ219">
        <f t="shared" si="206"/>
        <v>0</v>
      </c>
      <c r="BA219">
        <f t="shared" si="206"/>
        <v>0</v>
      </c>
    </row>
    <row r="220" ht="15.75" customHeight="1">
      <c r="A220" s="744">
        <v>2048.0</v>
      </c>
      <c r="V220" s="883">
        <v>0.012490106171987092</v>
      </c>
      <c r="W220">
        <f t="shared" si="159"/>
        <v>0</v>
      </c>
      <c r="X220">
        <f t="shared" ref="X220:BA220" si="207">IF(AND(X$171-$A220&gt;$V$34,SUM($W220:W220)&lt;&gt;$V220),$V220,0)</f>
        <v>0</v>
      </c>
      <c r="Y220">
        <f t="shared" si="207"/>
        <v>0</v>
      </c>
      <c r="Z220">
        <f t="shared" si="207"/>
        <v>0</v>
      </c>
      <c r="AA220">
        <f t="shared" si="207"/>
        <v>0</v>
      </c>
      <c r="AB220">
        <f t="shared" si="207"/>
        <v>0</v>
      </c>
      <c r="AC220">
        <f t="shared" si="207"/>
        <v>0</v>
      </c>
      <c r="AD220">
        <f t="shared" si="207"/>
        <v>0</v>
      </c>
      <c r="AE220">
        <f t="shared" si="207"/>
        <v>0</v>
      </c>
      <c r="AF220">
        <f t="shared" si="207"/>
        <v>0</v>
      </c>
      <c r="AG220">
        <f t="shared" si="207"/>
        <v>0</v>
      </c>
      <c r="AH220">
        <f t="shared" si="207"/>
        <v>0</v>
      </c>
      <c r="AI220">
        <f t="shared" si="207"/>
        <v>0</v>
      </c>
      <c r="AJ220">
        <f t="shared" si="207"/>
        <v>0</v>
      </c>
      <c r="AK220">
        <f t="shared" si="207"/>
        <v>0</v>
      </c>
      <c r="AL220">
        <f t="shared" si="207"/>
        <v>0</v>
      </c>
      <c r="AM220">
        <f t="shared" si="207"/>
        <v>0</v>
      </c>
      <c r="AN220">
        <f t="shared" si="207"/>
        <v>0</v>
      </c>
      <c r="AO220">
        <f t="shared" si="207"/>
        <v>0</v>
      </c>
      <c r="AP220">
        <f t="shared" si="207"/>
        <v>0</v>
      </c>
      <c r="AQ220">
        <f t="shared" si="207"/>
        <v>0</v>
      </c>
      <c r="AR220">
        <f t="shared" si="207"/>
        <v>0</v>
      </c>
      <c r="AS220">
        <f t="shared" si="207"/>
        <v>0</v>
      </c>
      <c r="AT220">
        <f t="shared" si="207"/>
        <v>0</v>
      </c>
      <c r="AU220">
        <f t="shared" si="207"/>
        <v>0</v>
      </c>
      <c r="AV220">
        <f t="shared" si="207"/>
        <v>0</v>
      </c>
      <c r="AW220">
        <f t="shared" si="207"/>
        <v>0</v>
      </c>
      <c r="AX220">
        <f t="shared" si="207"/>
        <v>0</v>
      </c>
      <c r="AY220">
        <f t="shared" si="207"/>
        <v>0</v>
      </c>
      <c r="AZ220">
        <f t="shared" si="207"/>
        <v>0</v>
      </c>
      <c r="BA220">
        <f t="shared" si="207"/>
        <v>0</v>
      </c>
    </row>
    <row r="221" ht="15.75" customHeight="1">
      <c r="A221" s="744">
        <v>2049.0</v>
      </c>
      <c r="V221" s="883">
        <v>0.012490106171987064</v>
      </c>
      <c r="W221">
        <f t="shared" si="159"/>
        <v>0</v>
      </c>
      <c r="X221">
        <f t="shared" ref="X221:BA221" si="208">IF(AND(X$171-$A221&gt;$V$34,SUM($W221:W221)&lt;&gt;$V221),$V221,0)</f>
        <v>0</v>
      </c>
      <c r="Y221">
        <f t="shared" si="208"/>
        <v>0</v>
      </c>
      <c r="Z221">
        <f t="shared" si="208"/>
        <v>0</v>
      </c>
      <c r="AA221">
        <f t="shared" si="208"/>
        <v>0</v>
      </c>
      <c r="AB221">
        <f t="shared" si="208"/>
        <v>0</v>
      </c>
      <c r="AC221">
        <f t="shared" si="208"/>
        <v>0</v>
      </c>
      <c r="AD221">
        <f t="shared" si="208"/>
        <v>0</v>
      </c>
      <c r="AE221">
        <f t="shared" si="208"/>
        <v>0</v>
      </c>
      <c r="AF221">
        <f t="shared" si="208"/>
        <v>0</v>
      </c>
      <c r="AG221">
        <f t="shared" si="208"/>
        <v>0</v>
      </c>
      <c r="AH221">
        <f t="shared" si="208"/>
        <v>0</v>
      </c>
      <c r="AI221">
        <f t="shared" si="208"/>
        <v>0</v>
      </c>
      <c r="AJ221">
        <f t="shared" si="208"/>
        <v>0</v>
      </c>
      <c r="AK221">
        <f t="shared" si="208"/>
        <v>0</v>
      </c>
      <c r="AL221">
        <f t="shared" si="208"/>
        <v>0</v>
      </c>
      <c r="AM221">
        <f t="shared" si="208"/>
        <v>0</v>
      </c>
      <c r="AN221">
        <f t="shared" si="208"/>
        <v>0</v>
      </c>
      <c r="AO221">
        <f t="shared" si="208"/>
        <v>0</v>
      </c>
      <c r="AP221">
        <f t="shared" si="208"/>
        <v>0</v>
      </c>
      <c r="AQ221">
        <f t="shared" si="208"/>
        <v>0</v>
      </c>
      <c r="AR221">
        <f t="shared" si="208"/>
        <v>0</v>
      </c>
      <c r="AS221">
        <f t="shared" si="208"/>
        <v>0</v>
      </c>
      <c r="AT221">
        <f t="shared" si="208"/>
        <v>0</v>
      </c>
      <c r="AU221">
        <f t="shared" si="208"/>
        <v>0</v>
      </c>
      <c r="AV221">
        <f t="shared" si="208"/>
        <v>0</v>
      </c>
      <c r="AW221">
        <f t="shared" si="208"/>
        <v>0</v>
      </c>
      <c r="AX221">
        <f t="shared" si="208"/>
        <v>0</v>
      </c>
      <c r="AY221">
        <f t="shared" si="208"/>
        <v>0</v>
      </c>
      <c r="AZ221">
        <f t="shared" si="208"/>
        <v>0</v>
      </c>
      <c r="BA221">
        <f t="shared" si="208"/>
        <v>0</v>
      </c>
    </row>
    <row r="222" ht="15.75" customHeight="1">
      <c r="A222" s="744">
        <v>2050.0</v>
      </c>
      <c r="V222" s="883">
        <v>0.012490106171986981</v>
      </c>
      <c r="W222">
        <f t="shared" si="159"/>
        <v>0</v>
      </c>
      <c r="X222">
        <f t="shared" ref="X222:BA222" si="209">IF(AND(X$171-$A222&gt;$V$34,SUM($W222:W222)&lt;&gt;$V222),$V222,0)</f>
        <v>0</v>
      </c>
      <c r="Y222">
        <f t="shared" si="209"/>
        <v>0</v>
      </c>
      <c r="Z222">
        <f t="shared" si="209"/>
        <v>0</v>
      </c>
      <c r="AA222">
        <f t="shared" si="209"/>
        <v>0</v>
      </c>
      <c r="AB222">
        <f t="shared" si="209"/>
        <v>0</v>
      </c>
      <c r="AC222">
        <f t="shared" si="209"/>
        <v>0</v>
      </c>
      <c r="AD222">
        <f t="shared" si="209"/>
        <v>0</v>
      </c>
      <c r="AE222">
        <f t="shared" si="209"/>
        <v>0</v>
      </c>
      <c r="AF222">
        <f t="shared" si="209"/>
        <v>0</v>
      </c>
      <c r="AG222">
        <f t="shared" si="209"/>
        <v>0</v>
      </c>
      <c r="AH222">
        <f t="shared" si="209"/>
        <v>0</v>
      </c>
      <c r="AI222">
        <f t="shared" si="209"/>
        <v>0</v>
      </c>
      <c r="AJ222">
        <f t="shared" si="209"/>
        <v>0</v>
      </c>
      <c r="AK222">
        <f t="shared" si="209"/>
        <v>0</v>
      </c>
      <c r="AL222">
        <f t="shared" si="209"/>
        <v>0</v>
      </c>
      <c r="AM222">
        <f t="shared" si="209"/>
        <v>0</v>
      </c>
      <c r="AN222">
        <f t="shared" si="209"/>
        <v>0</v>
      </c>
      <c r="AO222">
        <f t="shared" si="209"/>
        <v>0</v>
      </c>
      <c r="AP222">
        <f t="shared" si="209"/>
        <v>0</v>
      </c>
      <c r="AQ222">
        <f t="shared" si="209"/>
        <v>0</v>
      </c>
      <c r="AR222">
        <f t="shared" si="209"/>
        <v>0</v>
      </c>
      <c r="AS222">
        <f t="shared" si="209"/>
        <v>0</v>
      </c>
      <c r="AT222">
        <f t="shared" si="209"/>
        <v>0</v>
      </c>
      <c r="AU222">
        <f t="shared" si="209"/>
        <v>0</v>
      </c>
      <c r="AV222">
        <f t="shared" si="209"/>
        <v>0</v>
      </c>
      <c r="AW222">
        <f t="shared" si="209"/>
        <v>0</v>
      </c>
      <c r="AX222">
        <f t="shared" si="209"/>
        <v>0</v>
      </c>
      <c r="AY222">
        <f t="shared" si="209"/>
        <v>0</v>
      </c>
      <c r="AZ222">
        <f t="shared" si="209"/>
        <v>0</v>
      </c>
      <c r="BA222">
        <f t="shared" si="209"/>
        <v>0</v>
      </c>
    </row>
    <row r="223" ht="15.75" customHeight="1"/>
    <row r="224" ht="15.75" customHeight="1"/>
    <row r="225" ht="15.75" customHeight="1"/>
    <row r="226" ht="15.75" customHeight="1"/>
  </sheetData>
  <printOptions/>
  <pageMargins bottom="0.75" footer="0.0" header="0.0" left="0.7" right="0.7" top="0.75"/>
  <pageSetup orientation="landscape"/>
  <drawing r:id="rId2"/>
  <legacyDrawing r:id="rId3"/>
</worksheet>
</file>